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apchatova\Downloads\"/>
    </mc:Choice>
  </mc:AlternateContent>
  <bookViews>
    <workbookView xWindow="0" yWindow="0" windowWidth="28800" windowHeight="12930" tabRatio="779" activeTab="1"/>
  </bookViews>
  <sheets>
    <sheet name="Параметры поиска" sheetId="1" r:id="rId1"/>
    <sheet name="Результаты поиска" sheetId="13" r:id="rId2"/>
  </sheets>
  <definedNames>
    <definedName name="_xlnm._FilterDatabase" localSheetId="1" hidden="1">'Результаты поиска'!$A$2:$AC$2</definedName>
  </definedNames>
  <calcPr calcId="162913" forceFullCalc="1"/>
</workbook>
</file>

<file path=xl/calcChain.xml><?xml version="1.0" encoding="utf-8"?>
<calcChain xmlns="http://schemas.openxmlformats.org/spreadsheetml/2006/main">
  <c r="F17216" i="13" l="1"/>
  <c r="A17216" i="13"/>
  <c r="F17215" i="13"/>
  <c r="A17215" i="13"/>
  <c r="J17214" i="13"/>
  <c r="F17214" i="13"/>
  <c r="A17214" i="13"/>
  <c r="F17213" i="13"/>
  <c r="A17213" i="13"/>
  <c r="J17212" i="13"/>
  <c r="F17212" i="13"/>
  <c r="A17212" i="13"/>
  <c r="J17211" i="13"/>
  <c r="F17211" i="13"/>
  <c r="A17211" i="13"/>
  <c r="J17210" i="13"/>
  <c r="F17210" i="13"/>
  <c r="A17210" i="13"/>
  <c r="J17209" i="13"/>
  <c r="F17209" i="13"/>
  <c r="A17209" i="13"/>
  <c r="F17208" i="13"/>
  <c r="A17208" i="13"/>
  <c r="F17207" i="13"/>
  <c r="A17207" i="13"/>
  <c r="F17206" i="13"/>
  <c r="A17206" i="13"/>
  <c r="F17205" i="13"/>
  <c r="A17205" i="13"/>
  <c r="F17204" i="13"/>
  <c r="A17204" i="13"/>
  <c r="F17203" i="13"/>
  <c r="A17203" i="13"/>
  <c r="J17202" i="13"/>
  <c r="F17202" i="13"/>
  <c r="A17202" i="13"/>
  <c r="F17201" i="13"/>
  <c r="A17201" i="13"/>
  <c r="J17200" i="13"/>
  <c r="F17200" i="13"/>
  <c r="A17200" i="13"/>
  <c r="J17199" i="13"/>
  <c r="F17199" i="13"/>
  <c r="A17199" i="13"/>
  <c r="J17198" i="13"/>
  <c r="F17198" i="13"/>
  <c r="A17198" i="13"/>
  <c r="F17197" i="13"/>
  <c r="A17197" i="13"/>
  <c r="F17196" i="13"/>
  <c r="A17196" i="13"/>
  <c r="J17195" i="13"/>
  <c r="F17195" i="13"/>
  <c r="A17195" i="13"/>
  <c r="J17194" i="13"/>
  <c r="F17194" i="13"/>
  <c r="A17194" i="13"/>
  <c r="F17193" i="13"/>
  <c r="A17193" i="13"/>
  <c r="J17192" i="13"/>
  <c r="F17192" i="13"/>
  <c r="A17192" i="13"/>
  <c r="F17191" i="13"/>
  <c r="A17191" i="13"/>
  <c r="F17190" i="13"/>
  <c r="A17190" i="13"/>
  <c r="F17189" i="13"/>
  <c r="A17189" i="13"/>
  <c r="J17188" i="13"/>
  <c r="F17188" i="13"/>
  <c r="A17188" i="13"/>
  <c r="F17187" i="13"/>
  <c r="A17187" i="13"/>
  <c r="F17186" i="13"/>
  <c r="A17186" i="13"/>
  <c r="F17185" i="13"/>
  <c r="A17185" i="13"/>
  <c r="J17184" i="13"/>
  <c r="F17184" i="13"/>
  <c r="A17184" i="13"/>
  <c r="J17183" i="13"/>
  <c r="F17183" i="13"/>
  <c r="A17183" i="13"/>
  <c r="F17182" i="13"/>
  <c r="A17182" i="13"/>
  <c r="J17181" i="13"/>
  <c r="F17181" i="13"/>
  <c r="A17181" i="13"/>
  <c r="F17180" i="13"/>
  <c r="A17180" i="13"/>
  <c r="F17179" i="13"/>
  <c r="A17179" i="13"/>
  <c r="F17178" i="13"/>
  <c r="A17178" i="13"/>
  <c r="F17177" i="13"/>
  <c r="A17177" i="13"/>
  <c r="F17176" i="13"/>
  <c r="A17176" i="13"/>
  <c r="F17175" i="13"/>
  <c r="A17175" i="13"/>
  <c r="J17174" i="13"/>
  <c r="F17174" i="13"/>
  <c r="A17174" i="13"/>
  <c r="F17173" i="13"/>
  <c r="A17173" i="13"/>
  <c r="F17172" i="13"/>
  <c r="A17172" i="13"/>
  <c r="F17171" i="13"/>
  <c r="A17171" i="13"/>
  <c r="F17170" i="13"/>
  <c r="A17170" i="13"/>
  <c r="F17169" i="13"/>
  <c r="A17169" i="13"/>
  <c r="F17168" i="13"/>
  <c r="A17168" i="13"/>
  <c r="J17167" i="13"/>
  <c r="F17167" i="13"/>
  <c r="A17167" i="13"/>
  <c r="F17166" i="13"/>
  <c r="A17166" i="13"/>
  <c r="F17165" i="13"/>
  <c r="A17165" i="13"/>
  <c r="J17164" i="13"/>
  <c r="F17164" i="13"/>
  <c r="A17164" i="13"/>
  <c r="J17163" i="13"/>
  <c r="F17163" i="13"/>
  <c r="A17163" i="13"/>
  <c r="J17162" i="13"/>
  <c r="F17162" i="13"/>
  <c r="A17162" i="13"/>
  <c r="F17161" i="13"/>
  <c r="A17161" i="13"/>
  <c r="J17160" i="13"/>
  <c r="F17160" i="13"/>
  <c r="A17160" i="13"/>
  <c r="F17159" i="13"/>
  <c r="A17159" i="13"/>
  <c r="J17158" i="13"/>
  <c r="F17158" i="13"/>
  <c r="A17158" i="13"/>
  <c r="J17157" i="13"/>
  <c r="F17157" i="13"/>
  <c r="A17157" i="13"/>
  <c r="J17156" i="13"/>
  <c r="F17156" i="13"/>
  <c r="A17156" i="13"/>
  <c r="J17155" i="13"/>
  <c r="F17155" i="13"/>
  <c r="A17155" i="13"/>
  <c r="J17154" i="13"/>
  <c r="F17154" i="13"/>
  <c r="A17154" i="13"/>
  <c r="J17153" i="13"/>
  <c r="F17153" i="13"/>
  <c r="A17153" i="13"/>
  <c r="J17152" i="13"/>
  <c r="F17152" i="13"/>
  <c r="A17152" i="13"/>
  <c r="J17151" i="13"/>
  <c r="F17151" i="13"/>
  <c r="A17151" i="13"/>
  <c r="F17150" i="13"/>
  <c r="A17150" i="13"/>
  <c r="F17149" i="13"/>
  <c r="A17149" i="13"/>
  <c r="J17148" i="13"/>
  <c r="F17148" i="13"/>
  <c r="A17148" i="13"/>
  <c r="F17147" i="13"/>
  <c r="A17147" i="13"/>
  <c r="F17146" i="13"/>
  <c r="A17146" i="13"/>
  <c r="J17145" i="13"/>
  <c r="F17145" i="13"/>
  <c r="A17145" i="13"/>
  <c r="F17144" i="13"/>
  <c r="A17144" i="13"/>
  <c r="F17143" i="13"/>
  <c r="A17143" i="13"/>
  <c r="J17142" i="13"/>
  <c r="F17142" i="13"/>
  <c r="A17142" i="13"/>
  <c r="J17141" i="13"/>
  <c r="F17141" i="13"/>
  <c r="A17141" i="13"/>
  <c r="J17140" i="13"/>
  <c r="F17140" i="13"/>
  <c r="A17140" i="13"/>
  <c r="F17139" i="13"/>
  <c r="A17139" i="13"/>
  <c r="F17138" i="13"/>
  <c r="A17138" i="13"/>
  <c r="F17137" i="13"/>
  <c r="A17137" i="13"/>
  <c r="F17136" i="13"/>
  <c r="A17136" i="13"/>
  <c r="F17135" i="13"/>
  <c r="A17135" i="13"/>
  <c r="F17134" i="13"/>
  <c r="A17134" i="13"/>
  <c r="J17133" i="13"/>
  <c r="F17133" i="13"/>
  <c r="A17133" i="13"/>
  <c r="J17132" i="13"/>
  <c r="F17132" i="13"/>
  <c r="A17132" i="13"/>
  <c r="F17131" i="13"/>
  <c r="A17131" i="13"/>
  <c r="J17130" i="13"/>
  <c r="F17130" i="13"/>
  <c r="A17130" i="13"/>
  <c r="F17129" i="13"/>
  <c r="A17129" i="13"/>
  <c r="J17128" i="13"/>
  <c r="F17128" i="13"/>
  <c r="A17128" i="13"/>
  <c r="J17127" i="13"/>
  <c r="F17127" i="13"/>
  <c r="A17127" i="13"/>
  <c r="F17126" i="13"/>
  <c r="A17126" i="13"/>
  <c r="J17125" i="13"/>
  <c r="F17125" i="13"/>
  <c r="A17125" i="13"/>
  <c r="J17124" i="13"/>
  <c r="F17124" i="13"/>
  <c r="A17124" i="13"/>
  <c r="J17123" i="13"/>
  <c r="F17123" i="13"/>
  <c r="A17123" i="13"/>
  <c r="J17122" i="13"/>
  <c r="F17122" i="13"/>
  <c r="A17122" i="13"/>
  <c r="J17121" i="13"/>
  <c r="F17121" i="13"/>
  <c r="A17121" i="13"/>
  <c r="J17120" i="13"/>
  <c r="F17120" i="13"/>
  <c r="A17120" i="13"/>
  <c r="J17119" i="13"/>
  <c r="F17119" i="13"/>
  <c r="A17119" i="13"/>
  <c r="F17118" i="13"/>
  <c r="A17118" i="13"/>
  <c r="J17117" i="13"/>
  <c r="F17117" i="13"/>
  <c r="A17117" i="13"/>
  <c r="J17116" i="13"/>
  <c r="F17116" i="13"/>
  <c r="A17116" i="13"/>
  <c r="F17115" i="13"/>
  <c r="A17115" i="13"/>
  <c r="F17114" i="13"/>
  <c r="A17114" i="13"/>
  <c r="F17113" i="13"/>
  <c r="J17112" i="13"/>
  <c r="F17112" i="13"/>
  <c r="A17112" i="13"/>
  <c r="J17111" i="13"/>
  <c r="F17111" i="13"/>
  <c r="A17111" i="13"/>
  <c r="F17110" i="13"/>
  <c r="A17110" i="13"/>
  <c r="F17109" i="13"/>
  <c r="A17109" i="13"/>
  <c r="F17108" i="13"/>
  <c r="A17108" i="13"/>
  <c r="F17107" i="13"/>
  <c r="A17107" i="13"/>
  <c r="F17106" i="13"/>
  <c r="A17106" i="13"/>
  <c r="J17105" i="13"/>
  <c r="F17105" i="13"/>
  <c r="A17105" i="13"/>
  <c r="J17104" i="13"/>
  <c r="F17104" i="13"/>
  <c r="A17104" i="13"/>
  <c r="F17103" i="13"/>
  <c r="A17103" i="13"/>
  <c r="J17102" i="13"/>
  <c r="F17102" i="13"/>
  <c r="A17102" i="13"/>
  <c r="J17101" i="13"/>
  <c r="F17101" i="13"/>
  <c r="A17101" i="13"/>
  <c r="J17100" i="13"/>
  <c r="F17100" i="13"/>
  <c r="A17100" i="13"/>
  <c r="F17099" i="13"/>
  <c r="A17099" i="13"/>
  <c r="J17098" i="13"/>
  <c r="F17098" i="13"/>
  <c r="A17098" i="13"/>
  <c r="F17097" i="13"/>
  <c r="A17097" i="13"/>
  <c r="F17096" i="13"/>
  <c r="A17096" i="13"/>
  <c r="J17095" i="13"/>
  <c r="F17095" i="13"/>
  <c r="A17095" i="13"/>
  <c r="J17094" i="13"/>
  <c r="F17094" i="13"/>
  <c r="A17094" i="13"/>
  <c r="J17093" i="13"/>
  <c r="F17093" i="13"/>
  <c r="A17093" i="13"/>
  <c r="J17092" i="13"/>
  <c r="F17092" i="13"/>
  <c r="A17092" i="13"/>
  <c r="J17091" i="13"/>
  <c r="F17091" i="13"/>
  <c r="A17091" i="13"/>
  <c r="F17090" i="13"/>
  <c r="A17090" i="13"/>
  <c r="F17089" i="13"/>
  <c r="A17089" i="13"/>
  <c r="J17088" i="13"/>
  <c r="F17088" i="13"/>
  <c r="A17088" i="13"/>
  <c r="J17087" i="13"/>
  <c r="F17087" i="13"/>
  <c r="A17087" i="13"/>
  <c r="F17086" i="13"/>
  <c r="A17086" i="13"/>
  <c r="J17085" i="13"/>
  <c r="F17085" i="13"/>
  <c r="A17085" i="13"/>
  <c r="J17084" i="13"/>
  <c r="F17084" i="13"/>
  <c r="A17084" i="13"/>
  <c r="J17083" i="13"/>
  <c r="F17083" i="13"/>
  <c r="A17083" i="13"/>
  <c r="J17082" i="13"/>
  <c r="F17082" i="13"/>
  <c r="A17082" i="13"/>
  <c r="J17081" i="13"/>
  <c r="F17081" i="13"/>
  <c r="A17081" i="13"/>
  <c r="F17080" i="13"/>
  <c r="A17080" i="13"/>
  <c r="J17079" i="13"/>
  <c r="F17079" i="13"/>
  <c r="A17079" i="13"/>
  <c r="F17078" i="13"/>
  <c r="A17078" i="13"/>
  <c r="J17077" i="13"/>
  <c r="F17077" i="13"/>
  <c r="A17077" i="13"/>
  <c r="F17076" i="13"/>
  <c r="A17076" i="13"/>
  <c r="J17075" i="13"/>
  <c r="F17075" i="13"/>
  <c r="A17075" i="13"/>
  <c r="F17074" i="13"/>
  <c r="A17074" i="13"/>
  <c r="J17073" i="13"/>
  <c r="F17073" i="13"/>
  <c r="A17073" i="13"/>
  <c r="J17072" i="13"/>
  <c r="F17072" i="13"/>
  <c r="A17072" i="13"/>
  <c r="J17071" i="13"/>
  <c r="F17071" i="13"/>
  <c r="A17071" i="13"/>
  <c r="F17070" i="13"/>
  <c r="A17070" i="13"/>
  <c r="J17069" i="13"/>
  <c r="F17069" i="13"/>
  <c r="A17069" i="13"/>
  <c r="J17068" i="13"/>
  <c r="F17068" i="13"/>
  <c r="A17068" i="13"/>
  <c r="J17067" i="13"/>
  <c r="F17067" i="13"/>
  <c r="A17067" i="13"/>
  <c r="J17066" i="13"/>
  <c r="F17066" i="13"/>
  <c r="A17066" i="13"/>
  <c r="F17065" i="13"/>
  <c r="A17065" i="13"/>
  <c r="J17064" i="13"/>
  <c r="F17064" i="13"/>
  <c r="A17064" i="13"/>
  <c r="J17063" i="13"/>
  <c r="F17063" i="13"/>
  <c r="A17063" i="13"/>
  <c r="J17062" i="13"/>
  <c r="F17062" i="13"/>
  <c r="A17062" i="13"/>
  <c r="J17061" i="13"/>
  <c r="F17061" i="13"/>
  <c r="A17061" i="13"/>
  <c r="F17060" i="13"/>
  <c r="A17060" i="13"/>
  <c r="J17059" i="13"/>
  <c r="F17059" i="13"/>
  <c r="A17059" i="13"/>
  <c r="J17058" i="13"/>
  <c r="F17058" i="13"/>
  <c r="A17058" i="13"/>
  <c r="J17057" i="13"/>
  <c r="F17057" i="13"/>
  <c r="A17057" i="13"/>
  <c r="F17056" i="13"/>
  <c r="A17056" i="13"/>
  <c r="J17055" i="13"/>
  <c r="F17055" i="13"/>
  <c r="A17055" i="13"/>
  <c r="J17054" i="13"/>
  <c r="F17054" i="13"/>
  <c r="A17054" i="13"/>
  <c r="J17053" i="13"/>
  <c r="F17053" i="13"/>
  <c r="A17053" i="13"/>
  <c r="J17052" i="13"/>
  <c r="F17052" i="13"/>
  <c r="A17052" i="13"/>
  <c r="J17051" i="13"/>
  <c r="F17051" i="13"/>
  <c r="A17051" i="13"/>
  <c r="J17050" i="13"/>
  <c r="F17050" i="13"/>
  <c r="A17050" i="13"/>
  <c r="J17049" i="13"/>
  <c r="F17049" i="13"/>
  <c r="A17049" i="13"/>
  <c r="J17048" i="13"/>
  <c r="F17048" i="13"/>
  <c r="A17048" i="13"/>
  <c r="J17047" i="13"/>
  <c r="F17047" i="13"/>
  <c r="A17047" i="13"/>
  <c r="J17046" i="13"/>
  <c r="F17046" i="13"/>
  <c r="A17046" i="13"/>
  <c r="J17045" i="13"/>
  <c r="F17045" i="13"/>
  <c r="A17045" i="13"/>
  <c r="J17044" i="13"/>
  <c r="F17044" i="13"/>
  <c r="A17044" i="13"/>
  <c r="J17043" i="13"/>
  <c r="F17043" i="13"/>
  <c r="J17042" i="13"/>
  <c r="F17042" i="13"/>
  <c r="A17042" i="13"/>
  <c r="J17041" i="13"/>
  <c r="F17041" i="13"/>
  <c r="A17041" i="13"/>
  <c r="J17040" i="13"/>
  <c r="F17040" i="13"/>
  <c r="A17040" i="13"/>
  <c r="F17039" i="13"/>
  <c r="A17039" i="13"/>
  <c r="J17038" i="13"/>
  <c r="F17038" i="13"/>
  <c r="A17038" i="13"/>
  <c r="J17037" i="13"/>
  <c r="F17037" i="13"/>
  <c r="A17037" i="13"/>
  <c r="J17036" i="13"/>
  <c r="F17036" i="13"/>
  <c r="A17036" i="13"/>
  <c r="J17035" i="13"/>
  <c r="F17035" i="13"/>
  <c r="A17035" i="13"/>
  <c r="J17034" i="13"/>
  <c r="F17034" i="13"/>
  <c r="A17034" i="13"/>
  <c r="J17033" i="13"/>
  <c r="F17033" i="13"/>
  <c r="A17033" i="13"/>
  <c r="F17032" i="13"/>
  <c r="A17032" i="13"/>
  <c r="F17031" i="13"/>
  <c r="A17031" i="13"/>
  <c r="F17030" i="13"/>
  <c r="A17030" i="13"/>
  <c r="F17029" i="13"/>
  <c r="A17029" i="13"/>
  <c r="J17028" i="13"/>
  <c r="F17028" i="13"/>
  <c r="A17028" i="13"/>
  <c r="J17027" i="13"/>
  <c r="F17027" i="13"/>
  <c r="A17027" i="13"/>
  <c r="J17026" i="13"/>
  <c r="F17026" i="13"/>
  <c r="A17026" i="13"/>
  <c r="J17025" i="13"/>
  <c r="F17025" i="13"/>
  <c r="A17025" i="13"/>
  <c r="J17024" i="13"/>
  <c r="F17024" i="13"/>
  <c r="A17024" i="13"/>
  <c r="J17023" i="13"/>
  <c r="F17023" i="13"/>
  <c r="A17023" i="13"/>
  <c r="J17022" i="13"/>
  <c r="F17022" i="13"/>
  <c r="A17022" i="13"/>
  <c r="J17021" i="13"/>
  <c r="F17021" i="13"/>
  <c r="A17021" i="13"/>
  <c r="F17020" i="13"/>
  <c r="A17020" i="13"/>
  <c r="F17019" i="13"/>
  <c r="A17019" i="13"/>
  <c r="J17018" i="13"/>
  <c r="F17018" i="13"/>
  <c r="A17018" i="13"/>
  <c r="F17017" i="13"/>
  <c r="A17017" i="13"/>
  <c r="F17016" i="13"/>
  <c r="A17016" i="13"/>
  <c r="F17015" i="13"/>
  <c r="A17015" i="13"/>
  <c r="F17014" i="13"/>
  <c r="A17014" i="13"/>
  <c r="F17013" i="13"/>
  <c r="A17013" i="13"/>
  <c r="F17012" i="13"/>
  <c r="A17012" i="13"/>
  <c r="F17011" i="13"/>
  <c r="F17010" i="13"/>
  <c r="A17010" i="13"/>
  <c r="F17009" i="13"/>
  <c r="A17009" i="13"/>
  <c r="J17008" i="13"/>
  <c r="F17008" i="13"/>
  <c r="A17008" i="13"/>
  <c r="J17007" i="13"/>
  <c r="F17007" i="13"/>
  <c r="A17007" i="13"/>
  <c r="J17006" i="13"/>
  <c r="F17006" i="13"/>
  <c r="A17006" i="13"/>
  <c r="J17005" i="13"/>
  <c r="F17005" i="13"/>
  <c r="A17005" i="13"/>
  <c r="J17004" i="13"/>
  <c r="F17004" i="13"/>
  <c r="A17004" i="13"/>
  <c r="J17003" i="13"/>
  <c r="F17003" i="13"/>
  <c r="A17003" i="13"/>
  <c r="J17002" i="13"/>
  <c r="F17002" i="13"/>
  <c r="A17002" i="13"/>
  <c r="J17001" i="13"/>
  <c r="F17001" i="13"/>
  <c r="A17001" i="13"/>
  <c r="F17000" i="13"/>
  <c r="A17000" i="13"/>
  <c r="F16999" i="13"/>
  <c r="A16999" i="13"/>
  <c r="F16998" i="13"/>
  <c r="A16998" i="13"/>
  <c r="F16997" i="13"/>
  <c r="A16997" i="13"/>
  <c r="F16996" i="13"/>
  <c r="A16996" i="13"/>
  <c r="F16995" i="13"/>
  <c r="A16995" i="13"/>
  <c r="F16994" i="13"/>
  <c r="A16994" i="13"/>
  <c r="F16993" i="13"/>
  <c r="A16993" i="13"/>
  <c r="F16992" i="13"/>
  <c r="A16992" i="13"/>
  <c r="F16991" i="13"/>
  <c r="A16991" i="13"/>
  <c r="F16990" i="13"/>
  <c r="A16990" i="13"/>
  <c r="J16989" i="13"/>
  <c r="F16989" i="13"/>
  <c r="A16989" i="13"/>
  <c r="F16988" i="13"/>
  <c r="A16988" i="13"/>
  <c r="J16987" i="13"/>
  <c r="F16987" i="13"/>
  <c r="A16987" i="13"/>
  <c r="J16986" i="13"/>
  <c r="F16986" i="13"/>
  <c r="A16986" i="13"/>
  <c r="J16985" i="13"/>
  <c r="F16985" i="13"/>
  <c r="A16985" i="13"/>
  <c r="J16984" i="13"/>
  <c r="F16984" i="13"/>
  <c r="A16984" i="13"/>
  <c r="F16983" i="13"/>
  <c r="A16983" i="13"/>
  <c r="F16982" i="13"/>
  <c r="A16982" i="13"/>
  <c r="F16981" i="13"/>
  <c r="A16981" i="13"/>
  <c r="F16980" i="13"/>
  <c r="A16980" i="13"/>
  <c r="F16979" i="13"/>
  <c r="A16979" i="13"/>
  <c r="J16978" i="13"/>
  <c r="F16978" i="13"/>
  <c r="A16978" i="13"/>
  <c r="J16977" i="13"/>
  <c r="F16977" i="13"/>
  <c r="A16977" i="13"/>
  <c r="J16976" i="13"/>
  <c r="F16976" i="13"/>
  <c r="A16976" i="13"/>
  <c r="J16975" i="13"/>
  <c r="F16975" i="13"/>
  <c r="A16975" i="13"/>
  <c r="F16974" i="13"/>
  <c r="A16974" i="13"/>
  <c r="F16973" i="13"/>
  <c r="A16973" i="13"/>
  <c r="J16972" i="13"/>
  <c r="F16972" i="13"/>
  <c r="A16972" i="13"/>
  <c r="F16971" i="13"/>
  <c r="A16971" i="13"/>
  <c r="J16970" i="13"/>
  <c r="F16970" i="13"/>
  <c r="A16970" i="13"/>
  <c r="J16969" i="13"/>
  <c r="F16969" i="13"/>
  <c r="A16969" i="13"/>
  <c r="J16968" i="13"/>
  <c r="F16968" i="13"/>
  <c r="A16968" i="13"/>
  <c r="F16967" i="13"/>
  <c r="A16967" i="13"/>
  <c r="J16966" i="13"/>
  <c r="F16966" i="13"/>
  <c r="A16966" i="13"/>
  <c r="F16965" i="13"/>
  <c r="A16965" i="13"/>
  <c r="F16964" i="13"/>
  <c r="A16964" i="13"/>
  <c r="F16963" i="13"/>
  <c r="A16963" i="13"/>
  <c r="F16962" i="13"/>
  <c r="A16962" i="13"/>
  <c r="F16961" i="13"/>
  <c r="A16961" i="13"/>
  <c r="J16960" i="13"/>
  <c r="F16960" i="13"/>
  <c r="A16960" i="13"/>
  <c r="F16959" i="13"/>
  <c r="A16959" i="13"/>
  <c r="F16958" i="13"/>
  <c r="A16958" i="13"/>
  <c r="J16957" i="13"/>
  <c r="F16957" i="13"/>
  <c r="A16957" i="13"/>
  <c r="J16956" i="13"/>
  <c r="F16956" i="13"/>
  <c r="A16956" i="13"/>
  <c r="J16955" i="13"/>
  <c r="F16955" i="13"/>
  <c r="A16955" i="13"/>
  <c r="F16954" i="13"/>
  <c r="A16954" i="13"/>
  <c r="F16953" i="13"/>
  <c r="A16953" i="13"/>
  <c r="F16952" i="13"/>
  <c r="A16952" i="13"/>
  <c r="J16951" i="13"/>
  <c r="F16951" i="13"/>
  <c r="A16951" i="13"/>
  <c r="J16950" i="13"/>
  <c r="F16950" i="13"/>
  <c r="A16950" i="13"/>
  <c r="J16949" i="13"/>
  <c r="F16949" i="13"/>
  <c r="A16949" i="13"/>
  <c r="J16948" i="13"/>
  <c r="F16948" i="13"/>
  <c r="A16948" i="13"/>
  <c r="J16947" i="13"/>
  <c r="F16947" i="13"/>
  <c r="A16947" i="13"/>
  <c r="F16946" i="13"/>
  <c r="A16946" i="13"/>
  <c r="F16945" i="13"/>
  <c r="A16945" i="13"/>
  <c r="F16944" i="13"/>
  <c r="A16944" i="13"/>
  <c r="F16943" i="13"/>
  <c r="A16943" i="13"/>
  <c r="F16942" i="13"/>
  <c r="A16942" i="13"/>
  <c r="F16941" i="13"/>
  <c r="A16941" i="13"/>
  <c r="J16940" i="13"/>
  <c r="F16940" i="13"/>
  <c r="A16940" i="13"/>
  <c r="J16939" i="13"/>
  <c r="F16939" i="13"/>
  <c r="A16939" i="13"/>
  <c r="F16938" i="13"/>
  <c r="A16938" i="13"/>
  <c r="J16937" i="13"/>
  <c r="F16937" i="13"/>
  <c r="A16937" i="13"/>
  <c r="J16936" i="13"/>
  <c r="F16936" i="13"/>
  <c r="A16936" i="13"/>
  <c r="J16935" i="13"/>
  <c r="F16935" i="13"/>
  <c r="A16935" i="13"/>
  <c r="J16934" i="13"/>
  <c r="F16934" i="13"/>
  <c r="A16934" i="13"/>
  <c r="J16933" i="13"/>
  <c r="F16933" i="13"/>
  <c r="A16933" i="13"/>
  <c r="F16932" i="13"/>
  <c r="A16932" i="13"/>
  <c r="F16931" i="13"/>
  <c r="A16931" i="13"/>
  <c r="F16930" i="13"/>
  <c r="A16930" i="13"/>
  <c r="J16929" i="13"/>
  <c r="F16929" i="13"/>
  <c r="A16929" i="13"/>
  <c r="J16928" i="13"/>
  <c r="F16928" i="13"/>
  <c r="A16928" i="13"/>
  <c r="J16927" i="13"/>
  <c r="F16927" i="13"/>
  <c r="A16927" i="13"/>
  <c r="J16926" i="13"/>
  <c r="F16926" i="13"/>
  <c r="A16926" i="13"/>
  <c r="F16925" i="13"/>
  <c r="A16925" i="13"/>
  <c r="J16924" i="13"/>
  <c r="F16924" i="13"/>
  <c r="A16924" i="13"/>
  <c r="F16923" i="13"/>
  <c r="A16923" i="13"/>
  <c r="F16922" i="13"/>
  <c r="A16922" i="13"/>
  <c r="F16921" i="13"/>
  <c r="A16921" i="13"/>
  <c r="F16920" i="13"/>
  <c r="A16920" i="13"/>
  <c r="J16919" i="13"/>
  <c r="F16919" i="13"/>
  <c r="A16919" i="13"/>
  <c r="J16918" i="13"/>
  <c r="F16918" i="13"/>
  <c r="A16918" i="13"/>
  <c r="F16917" i="13"/>
  <c r="A16917" i="13"/>
  <c r="F16916" i="13"/>
  <c r="A16916" i="13"/>
  <c r="J16915" i="13"/>
  <c r="F16915" i="13"/>
  <c r="A16915" i="13"/>
  <c r="F16914" i="13"/>
  <c r="A16914" i="13"/>
  <c r="F16913" i="13"/>
  <c r="A16913" i="13"/>
  <c r="F16912" i="13"/>
  <c r="A16912" i="13"/>
  <c r="F16911" i="13"/>
  <c r="A16911" i="13"/>
  <c r="F16910" i="13"/>
  <c r="A16910" i="13"/>
  <c r="J16909" i="13"/>
  <c r="F16909" i="13"/>
  <c r="A16909" i="13"/>
  <c r="F16908" i="13"/>
  <c r="A16908" i="13"/>
  <c r="J16907" i="13"/>
  <c r="F16907" i="13"/>
  <c r="A16907" i="13"/>
  <c r="J16906" i="13"/>
  <c r="F16906" i="13"/>
  <c r="A16906" i="13"/>
  <c r="F16905" i="13"/>
  <c r="A16905" i="13"/>
  <c r="F16904" i="13"/>
  <c r="A16904" i="13"/>
  <c r="J16903" i="13"/>
  <c r="F16903" i="13"/>
  <c r="A16903" i="13"/>
  <c r="F16902" i="13"/>
  <c r="A16902" i="13"/>
  <c r="J16901" i="13"/>
  <c r="F16901" i="13"/>
  <c r="A16901" i="13"/>
  <c r="J16900" i="13"/>
  <c r="F16900" i="13"/>
  <c r="A16900" i="13"/>
  <c r="F16899" i="13"/>
  <c r="A16899" i="13"/>
  <c r="J16898" i="13"/>
  <c r="F16898" i="13"/>
  <c r="A16898" i="13"/>
  <c r="J16897" i="13"/>
  <c r="F16897" i="13"/>
  <c r="A16897" i="13"/>
  <c r="J16896" i="13"/>
  <c r="F16896" i="13"/>
  <c r="A16896" i="13"/>
  <c r="J16895" i="13"/>
  <c r="F16895" i="13"/>
  <c r="A16895" i="13"/>
  <c r="J16894" i="13"/>
  <c r="F16894" i="13"/>
  <c r="A16894" i="13"/>
  <c r="J16893" i="13"/>
  <c r="F16893" i="13"/>
  <c r="A16893" i="13"/>
  <c r="J16892" i="13"/>
  <c r="F16892" i="13"/>
  <c r="A16892" i="13"/>
  <c r="J16891" i="13"/>
  <c r="F16891" i="13"/>
  <c r="A16891" i="13"/>
  <c r="F16890" i="13"/>
  <c r="A16890" i="13"/>
  <c r="J16889" i="13"/>
  <c r="F16889" i="13"/>
  <c r="A16889" i="13"/>
  <c r="J16888" i="13"/>
  <c r="F16888" i="13"/>
  <c r="A16888" i="13"/>
  <c r="J16887" i="13"/>
  <c r="F16887" i="13"/>
  <c r="A16887" i="13"/>
  <c r="J16886" i="13"/>
  <c r="F16886" i="13"/>
  <c r="A16886" i="13"/>
  <c r="J16885" i="13"/>
  <c r="F16885" i="13"/>
  <c r="A16885" i="13"/>
  <c r="J16884" i="13"/>
  <c r="F16884" i="13"/>
  <c r="A16884" i="13"/>
  <c r="F16883" i="13"/>
  <c r="A16883" i="13"/>
  <c r="J16882" i="13"/>
  <c r="F16882" i="13"/>
  <c r="A16882" i="13"/>
  <c r="J16881" i="13"/>
  <c r="F16881" i="13"/>
  <c r="A16881" i="13"/>
  <c r="F16880" i="13"/>
  <c r="A16880" i="13"/>
  <c r="F16879" i="13"/>
  <c r="A16879" i="13"/>
  <c r="J16878" i="13"/>
  <c r="F16878" i="13"/>
  <c r="A16878" i="13"/>
  <c r="F16877" i="13"/>
  <c r="A16877" i="13"/>
  <c r="F16876" i="13"/>
  <c r="A16876" i="13"/>
  <c r="J16875" i="13"/>
  <c r="F16875" i="13"/>
  <c r="A16875" i="13"/>
  <c r="F16874" i="13"/>
  <c r="A16874" i="13"/>
  <c r="F16873" i="13"/>
  <c r="A16873" i="13"/>
  <c r="J16872" i="13"/>
  <c r="F16872" i="13"/>
  <c r="A16872" i="13"/>
  <c r="J16871" i="13"/>
  <c r="F16871" i="13"/>
  <c r="A16871" i="13"/>
  <c r="J16870" i="13"/>
  <c r="F16870" i="13"/>
  <c r="A16870" i="13"/>
  <c r="J16869" i="13"/>
  <c r="F16869" i="13"/>
  <c r="A16869" i="13"/>
  <c r="F16868" i="13"/>
  <c r="A16868" i="13"/>
  <c r="F16867" i="13"/>
  <c r="A16867" i="13"/>
  <c r="J16866" i="13"/>
  <c r="F16866" i="13"/>
  <c r="A16866" i="13"/>
  <c r="J16865" i="13"/>
  <c r="F16865" i="13"/>
  <c r="A16865" i="13"/>
  <c r="F16864" i="13"/>
  <c r="A16864" i="13"/>
  <c r="F16863" i="13"/>
  <c r="A16863" i="13"/>
  <c r="F16862" i="13"/>
  <c r="A16862" i="13"/>
  <c r="F16861" i="13"/>
  <c r="A16861" i="13"/>
  <c r="F16860" i="13"/>
  <c r="A16860" i="13"/>
  <c r="F16859" i="13"/>
  <c r="A16859" i="13"/>
  <c r="F16858" i="13"/>
  <c r="A16858" i="13"/>
  <c r="F16857" i="13"/>
  <c r="A16857" i="13"/>
  <c r="F16856" i="13"/>
  <c r="A16856" i="13"/>
  <c r="F16855" i="13"/>
  <c r="A16855" i="13"/>
  <c r="F16854" i="13"/>
  <c r="A16854" i="13"/>
  <c r="F16853" i="13"/>
  <c r="A16853" i="13"/>
  <c r="F16852" i="13"/>
  <c r="A16852" i="13"/>
  <c r="F16851" i="13"/>
  <c r="A16851" i="13"/>
  <c r="J16850" i="13"/>
  <c r="F16850" i="13"/>
  <c r="A16850" i="13"/>
  <c r="J16849" i="13"/>
  <c r="F16849" i="13"/>
  <c r="A16849" i="13"/>
  <c r="J16848" i="13"/>
  <c r="F16848" i="13"/>
  <c r="A16848" i="13"/>
  <c r="F16847" i="13"/>
  <c r="A16847" i="13"/>
  <c r="J16846" i="13"/>
  <c r="F16846" i="13"/>
  <c r="A16846" i="13"/>
  <c r="F16845" i="13"/>
  <c r="A16845" i="13"/>
  <c r="J16844" i="13"/>
  <c r="F16844" i="13"/>
  <c r="A16844" i="13"/>
  <c r="J16843" i="13"/>
  <c r="F16843" i="13"/>
  <c r="A16843" i="13"/>
  <c r="J16842" i="13"/>
  <c r="F16842" i="13"/>
  <c r="A16842" i="13"/>
  <c r="J16841" i="13"/>
  <c r="F16841" i="13"/>
  <c r="A16841" i="13"/>
  <c r="J16840" i="13"/>
  <c r="F16840" i="13"/>
  <c r="A16840" i="13"/>
  <c r="J16839" i="13"/>
  <c r="F16839" i="13"/>
  <c r="A16839" i="13"/>
  <c r="J16838" i="13"/>
  <c r="F16838" i="13"/>
  <c r="A16838" i="13"/>
  <c r="J16837" i="13"/>
  <c r="F16837" i="13"/>
  <c r="A16837" i="13"/>
  <c r="F16836" i="13"/>
  <c r="A16836" i="13"/>
  <c r="J16835" i="13"/>
  <c r="F16835" i="13"/>
  <c r="A16835" i="13"/>
  <c r="J16834" i="13"/>
  <c r="F16834" i="13"/>
  <c r="A16834" i="13"/>
  <c r="J16833" i="13"/>
  <c r="F16833" i="13"/>
  <c r="A16833" i="13"/>
  <c r="F16832" i="13"/>
  <c r="A16832" i="13"/>
  <c r="F16831" i="13"/>
  <c r="A16831" i="13"/>
  <c r="F16830" i="13"/>
  <c r="A16830" i="13"/>
  <c r="J16829" i="13"/>
  <c r="F16829" i="13"/>
  <c r="A16829" i="13"/>
  <c r="J16828" i="13"/>
  <c r="F16828" i="13"/>
  <c r="A16828" i="13"/>
  <c r="J16827" i="13"/>
  <c r="F16827" i="13"/>
  <c r="A16827" i="13"/>
  <c r="F16826" i="13"/>
  <c r="A16826" i="13"/>
  <c r="J16825" i="13"/>
  <c r="F16825" i="13"/>
  <c r="A16825" i="13"/>
  <c r="F16824" i="13"/>
  <c r="A16824" i="13"/>
  <c r="F16823" i="13"/>
  <c r="A16823" i="13"/>
  <c r="F16822" i="13"/>
  <c r="A16822" i="13"/>
  <c r="J16821" i="13"/>
  <c r="F16821" i="13"/>
  <c r="A16821" i="13"/>
  <c r="F16820" i="13"/>
  <c r="A16820" i="13"/>
  <c r="J16819" i="13"/>
  <c r="F16819" i="13"/>
  <c r="A16819" i="13"/>
  <c r="J16818" i="13"/>
  <c r="F16818" i="13"/>
  <c r="A16818" i="13"/>
  <c r="J16817" i="13"/>
  <c r="F16817" i="13"/>
  <c r="A16817" i="13"/>
  <c r="J16816" i="13"/>
  <c r="F16816" i="13"/>
  <c r="A16816" i="13"/>
  <c r="F16815" i="13"/>
  <c r="A16815" i="13"/>
  <c r="F16814" i="13"/>
  <c r="A16814" i="13"/>
  <c r="F16813" i="13"/>
  <c r="A16813" i="13"/>
  <c r="F16812" i="13"/>
  <c r="A16812" i="13"/>
  <c r="J16811" i="13"/>
  <c r="F16811" i="13"/>
  <c r="A16811" i="13"/>
  <c r="J16810" i="13"/>
  <c r="F16810" i="13"/>
  <c r="A16810" i="13"/>
  <c r="F16809" i="13"/>
  <c r="A16809" i="13"/>
  <c r="J16808" i="13"/>
  <c r="F16808" i="13"/>
  <c r="A16808" i="13"/>
  <c r="F16807" i="13"/>
  <c r="A16807" i="13"/>
  <c r="F16806" i="13"/>
  <c r="A16806" i="13"/>
  <c r="F16805" i="13"/>
  <c r="A16805" i="13"/>
  <c r="F16804" i="13"/>
  <c r="A16804" i="13"/>
  <c r="J16803" i="13"/>
  <c r="F16803" i="13"/>
  <c r="A16803" i="13"/>
  <c r="J16802" i="13"/>
  <c r="F16802" i="13"/>
  <c r="A16802" i="13"/>
  <c r="J16801" i="13"/>
  <c r="F16801" i="13"/>
  <c r="A16801" i="13"/>
  <c r="F16800" i="13"/>
  <c r="A16800" i="13"/>
  <c r="F16799" i="13"/>
  <c r="A16799" i="13"/>
  <c r="F16798" i="13"/>
  <c r="A16798" i="13"/>
  <c r="F16797" i="13"/>
  <c r="A16797" i="13"/>
  <c r="J16796" i="13"/>
  <c r="F16796" i="13"/>
  <c r="A16796" i="13"/>
  <c r="J16795" i="13"/>
  <c r="F16795" i="13"/>
  <c r="A16795" i="13"/>
  <c r="J16794" i="13"/>
  <c r="F16794" i="13"/>
  <c r="A16794" i="13"/>
  <c r="J16793" i="13"/>
  <c r="F16793" i="13"/>
  <c r="A16793" i="13"/>
  <c r="F16792" i="13"/>
  <c r="A16792" i="13"/>
  <c r="J16791" i="13"/>
  <c r="F16791" i="13"/>
  <c r="A16791" i="13"/>
  <c r="J16790" i="13"/>
  <c r="F16790" i="13"/>
  <c r="A16790" i="13"/>
  <c r="F16789" i="13"/>
  <c r="A16789" i="13"/>
  <c r="J16788" i="13"/>
  <c r="F16788" i="13"/>
  <c r="A16788" i="13"/>
  <c r="F16787" i="13"/>
  <c r="A16787" i="13"/>
  <c r="F16786" i="13"/>
  <c r="A16786" i="13"/>
  <c r="J16785" i="13"/>
  <c r="F16785" i="13"/>
  <c r="A16785" i="13"/>
  <c r="F16784" i="13"/>
  <c r="A16784" i="13"/>
  <c r="F16783" i="13"/>
  <c r="A16783" i="13"/>
  <c r="F16782" i="13"/>
  <c r="A16782" i="13"/>
  <c r="J16781" i="13"/>
  <c r="F16781" i="13"/>
  <c r="A16781" i="13"/>
  <c r="J16780" i="13"/>
  <c r="F16780" i="13"/>
  <c r="A16780" i="13"/>
  <c r="J16779" i="13"/>
  <c r="F16779" i="13"/>
  <c r="A16779" i="13"/>
  <c r="F16778" i="13"/>
  <c r="A16778" i="13"/>
  <c r="J16777" i="13"/>
  <c r="F16777" i="13"/>
  <c r="A16777" i="13"/>
  <c r="J16776" i="13"/>
  <c r="F16776" i="13"/>
  <c r="A16776" i="13"/>
  <c r="F16775" i="13"/>
  <c r="A16775" i="13"/>
  <c r="J16774" i="13"/>
  <c r="F16774" i="13"/>
  <c r="A16774" i="13"/>
  <c r="J16773" i="13"/>
  <c r="F16773" i="13"/>
  <c r="A16773" i="13"/>
  <c r="J16772" i="13"/>
  <c r="F16772" i="13"/>
  <c r="A16772" i="13"/>
  <c r="F16771" i="13"/>
  <c r="A16771" i="13"/>
  <c r="J16770" i="13"/>
  <c r="F16770" i="13"/>
  <c r="A16770" i="13"/>
  <c r="J16769" i="13"/>
  <c r="F16769" i="13"/>
  <c r="A16769" i="13"/>
  <c r="F16768" i="13"/>
  <c r="A16768" i="13"/>
  <c r="F16767" i="13"/>
  <c r="A16767" i="13"/>
  <c r="F16766" i="13"/>
  <c r="A16766" i="13"/>
  <c r="J16765" i="13"/>
  <c r="F16765" i="13"/>
  <c r="A16765" i="13"/>
  <c r="J16764" i="13"/>
  <c r="F16764" i="13"/>
  <c r="A16764" i="13"/>
  <c r="F16763" i="13"/>
  <c r="A16763" i="13"/>
  <c r="F16762" i="13"/>
  <c r="A16762" i="13"/>
  <c r="J16761" i="13"/>
  <c r="F16761" i="13"/>
  <c r="A16761" i="13"/>
  <c r="J16760" i="13"/>
  <c r="F16760" i="13"/>
  <c r="A16760" i="13"/>
  <c r="J16759" i="13"/>
  <c r="F16759" i="13"/>
  <c r="A16759" i="13"/>
  <c r="J16758" i="13"/>
  <c r="F16758" i="13"/>
  <c r="A16758" i="13"/>
  <c r="J16757" i="13"/>
  <c r="F16757" i="13"/>
  <c r="A16757" i="13"/>
  <c r="J16756" i="13"/>
  <c r="F16756" i="13"/>
  <c r="A16756" i="13"/>
  <c r="J16755" i="13"/>
  <c r="F16755" i="13"/>
  <c r="A16755" i="13"/>
  <c r="J16754" i="13"/>
  <c r="F16754" i="13"/>
  <c r="F16753" i="13"/>
  <c r="A16753" i="13"/>
  <c r="J16752" i="13"/>
  <c r="F16752" i="13"/>
  <c r="A16752" i="13"/>
  <c r="J16751" i="13"/>
  <c r="F16751" i="13"/>
  <c r="A16751" i="13"/>
  <c r="F16750" i="13"/>
  <c r="A16750" i="13"/>
  <c r="F16749" i="13"/>
  <c r="A16749" i="13"/>
  <c r="J16748" i="13"/>
  <c r="F16748" i="13"/>
  <c r="A16748" i="13"/>
  <c r="J16747" i="13"/>
  <c r="F16747" i="13"/>
  <c r="A16747" i="13"/>
  <c r="F16746" i="13"/>
  <c r="A16746" i="13"/>
  <c r="F16745" i="13"/>
  <c r="A16745" i="13"/>
  <c r="J16744" i="13"/>
  <c r="F16744" i="13"/>
  <c r="A16744" i="13"/>
  <c r="J16743" i="13"/>
  <c r="F16743" i="13"/>
  <c r="A16743" i="13"/>
  <c r="J16742" i="13"/>
  <c r="F16742" i="13"/>
  <c r="A16742" i="13"/>
  <c r="F16741" i="13"/>
  <c r="A16741" i="13"/>
  <c r="F16740" i="13"/>
  <c r="A16740" i="13"/>
  <c r="J16739" i="13"/>
  <c r="F16739" i="13"/>
  <c r="A16739" i="13"/>
  <c r="J16738" i="13"/>
  <c r="F16738" i="13"/>
  <c r="A16738" i="13"/>
  <c r="J16737" i="13"/>
  <c r="F16737" i="13"/>
  <c r="A16737" i="13"/>
  <c r="J16736" i="13"/>
  <c r="F16736" i="13"/>
  <c r="A16736" i="13"/>
  <c r="J16735" i="13"/>
  <c r="F16735" i="13"/>
  <c r="A16735" i="13"/>
  <c r="J16734" i="13"/>
  <c r="F16734" i="13"/>
  <c r="A16734" i="13"/>
  <c r="J16733" i="13"/>
  <c r="F16733" i="13"/>
  <c r="A16733" i="13"/>
  <c r="J16732" i="13"/>
  <c r="F16732" i="13"/>
  <c r="A16732" i="13"/>
  <c r="J16731" i="13"/>
  <c r="F16731" i="13"/>
  <c r="A16731" i="13"/>
  <c r="J16730" i="13"/>
  <c r="F16730" i="13"/>
  <c r="A16730" i="13"/>
  <c r="J16729" i="13"/>
  <c r="F16729" i="13"/>
  <c r="A16729" i="13"/>
  <c r="J16728" i="13"/>
  <c r="F16728" i="13"/>
  <c r="A16728" i="13"/>
  <c r="J16727" i="13"/>
  <c r="F16727" i="13"/>
  <c r="A16727" i="13"/>
  <c r="J16726" i="13"/>
  <c r="F16726" i="13"/>
  <c r="A16726" i="13"/>
  <c r="J16725" i="13"/>
  <c r="F16725" i="13"/>
  <c r="J16724" i="13"/>
  <c r="F16724" i="13"/>
  <c r="A16724" i="13"/>
  <c r="F16723" i="13"/>
  <c r="A16723" i="13"/>
  <c r="F16722" i="13"/>
  <c r="A16722" i="13"/>
  <c r="F16721" i="13"/>
  <c r="A16721" i="13"/>
  <c r="F16720" i="13"/>
  <c r="A16720" i="13"/>
  <c r="J16719" i="13"/>
  <c r="F16719" i="13"/>
  <c r="A16719" i="13"/>
  <c r="J16718" i="13"/>
  <c r="F16718" i="13"/>
  <c r="A16718" i="13"/>
  <c r="J16717" i="13"/>
  <c r="F16717" i="13"/>
  <c r="A16717" i="13"/>
  <c r="J16716" i="13"/>
  <c r="F16716" i="13"/>
  <c r="A16716" i="13"/>
  <c r="J16715" i="13"/>
  <c r="F16715" i="13"/>
  <c r="A16715" i="13"/>
  <c r="J16714" i="13"/>
  <c r="F16714" i="13"/>
  <c r="A16714" i="13"/>
  <c r="J16713" i="13"/>
  <c r="F16713" i="13"/>
  <c r="A16713" i="13"/>
  <c r="J16712" i="13"/>
  <c r="F16712" i="13"/>
  <c r="A16712" i="13"/>
  <c r="J16711" i="13"/>
  <c r="F16711" i="13"/>
  <c r="F16710" i="13"/>
  <c r="A16710" i="13"/>
  <c r="F16709" i="13"/>
  <c r="A16709" i="13"/>
  <c r="J16708" i="13"/>
  <c r="F16708" i="13"/>
  <c r="A16708" i="13"/>
  <c r="F16707" i="13"/>
  <c r="A16707" i="13"/>
  <c r="F16706" i="13"/>
  <c r="A16706" i="13"/>
  <c r="F16705" i="13"/>
  <c r="A16705" i="13"/>
  <c r="F16704" i="13"/>
  <c r="A16704" i="13"/>
  <c r="J16703" i="13"/>
  <c r="F16703" i="13"/>
  <c r="A16703" i="13"/>
  <c r="F16702" i="13"/>
  <c r="A16702" i="13"/>
  <c r="F16701" i="13"/>
  <c r="A16701" i="13"/>
  <c r="J16700" i="13"/>
  <c r="F16700" i="13"/>
  <c r="A16700" i="13"/>
  <c r="J16699" i="13"/>
  <c r="F16699" i="13"/>
  <c r="A16699" i="13"/>
  <c r="J16698" i="13"/>
  <c r="F16698" i="13"/>
  <c r="A16698" i="13"/>
  <c r="F16697" i="13"/>
  <c r="A16697" i="13"/>
  <c r="J16696" i="13"/>
  <c r="F16696" i="13"/>
  <c r="A16696" i="13"/>
  <c r="J16695" i="13"/>
  <c r="F16695" i="13"/>
  <c r="A16695" i="13"/>
  <c r="J16694" i="13"/>
  <c r="F16694" i="13"/>
  <c r="A16694" i="13"/>
  <c r="J16693" i="13"/>
  <c r="F16693" i="13"/>
  <c r="A16693" i="13"/>
  <c r="F16692" i="13"/>
  <c r="A16692" i="13"/>
  <c r="J16691" i="13"/>
  <c r="F16691" i="13"/>
  <c r="A16691" i="13"/>
  <c r="F16690" i="13"/>
  <c r="A16690" i="13"/>
  <c r="J16689" i="13"/>
  <c r="F16689" i="13"/>
  <c r="A16689" i="13"/>
  <c r="F16688" i="13"/>
  <c r="A16688" i="13"/>
  <c r="J16687" i="13"/>
  <c r="F16687" i="13"/>
  <c r="A16687" i="13"/>
  <c r="J16686" i="13"/>
  <c r="F16686" i="13"/>
  <c r="A16686" i="13"/>
  <c r="F16685" i="13"/>
  <c r="A16685" i="13"/>
  <c r="J16684" i="13"/>
  <c r="F16684" i="13"/>
  <c r="A16684" i="13"/>
  <c r="J16683" i="13"/>
  <c r="F16683" i="13"/>
  <c r="A16683" i="13"/>
  <c r="F16682" i="13"/>
  <c r="A16682" i="13"/>
  <c r="F16681" i="13"/>
  <c r="A16681" i="13"/>
  <c r="F16680" i="13"/>
  <c r="A16680" i="13"/>
  <c r="J16679" i="13"/>
  <c r="F16679" i="13"/>
  <c r="A16679" i="13"/>
  <c r="J16678" i="13"/>
  <c r="F16678" i="13"/>
  <c r="A16678" i="13"/>
  <c r="F16677" i="13"/>
  <c r="A16677" i="13"/>
  <c r="F16676" i="13"/>
  <c r="A16676" i="13"/>
  <c r="F16675" i="13"/>
  <c r="A16675" i="13"/>
  <c r="F16674" i="13"/>
  <c r="A16674" i="13"/>
  <c r="F16673" i="13"/>
  <c r="A16673" i="13"/>
  <c r="F16672" i="13"/>
  <c r="A16672" i="13"/>
  <c r="F16671" i="13"/>
  <c r="A16671" i="13"/>
  <c r="J16670" i="13"/>
  <c r="F16670" i="13"/>
  <c r="A16670" i="13"/>
  <c r="J16669" i="13"/>
  <c r="F16669" i="13"/>
  <c r="A16669" i="13"/>
  <c r="J16668" i="13"/>
  <c r="F16668" i="13"/>
  <c r="A16668" i="13"/>
  <c r="J16667" i="13"/>
  <c r="F16667" i="13"/>
  <c r="A16667" i="13"/>
  <c r="J16666" i="13"/>
  <c r="F16666" i="13"/>
  <c r="A16666" i="13"/>
  <c r="F16665" i="13"/>
  <c r="A16665" i="13"/>
  <c r="J16664" i="13"/>
  <c r="F16664" i="13"/>
  <c r="A16664" i="13"/>
  <c r="F16663" i="13"/>
  <c r="A16663" i="13"/>
  <c r="J16662" i="13"/>
  <c r="F16662" i="13"/>
  <c r="A16662" i="13"/>
  <c r="J16661" i="13"/>
  <c r="F16661" i="13"/>
  <c r="A16661" i="13"/>
  <c r="J16660" i="13"/>
  <c r="F16660" i="13"/>
  <c r="A16660" i="13"/>
  <c r="J16659" i="13"/>
  <c r="F16659" i="13"/>
  <c r="A16659" i="13"/>
  <c r="J16658" i="13"/>
  <c r="F16658" i="13"/>
  <c r="A16658" i="13"/>
  <c r="J16657" i="13"/>
  <c r="F16657" i="13"/>
  <c r="A16657" i="13"/>
  <c r="J16656" i="13"/>
  <c r="F16656" i="13"/>
  <c r="A16656" i="13"/>
  <c r="F16655" i="13"/>
  <c r="A16655" i="13"/>
  <c r="J16654" i="13"/>
  <c r="F16654" i="13"/>
  <c r="A16654" i="13"/>
  <c r="J16653" i="13"/>
  <c r="F16653" i="13"/>
  <c r="A16653" i="13"/>
  <c r="F16652" i="13"/>
  <c r="A16652" i="13"/>
  <c r="J16651" i="13"/>
  <c r="F16651" i="13"/>
  <c r="A16651" i="13"/>
  <c r="J16650" i="13"/>
  <c r="F16650" i="13"/>
  <c r="A16650" i="13"/>
  <c r="J16649" i="13"/>
  <c r="F16649" i="13"/>
  <c r="A16649" i="13"/>
  <c r="F16648" i="13"/>
  <c r="A16648" i="13"/>
  <c r="F16647" i="13"/>
  <c r="A16647" i="13"/>
  <c r="J16646" i="13"/>
  <c r="F16646" i="13"/>
  <c r="A16646" i="13"/>
  <c r="F16645" i="13"/>
  <c r="A16645" i="13"/>
  <c r="J16644" i="13"/>
  <c r="F16644" i="13"/>
  <c r="A16644" i="13"/>
  <c r="J16643" i="13"/>
  <c r="F16643" i="13"/>
  <c r="A16643" i="13"/>
  <c r="F16642" i="13"/>
  <c r="A16642" i="13"/>
  <c r="J16641" i="13"/>
  <c r="F16641" i="13"/>
  <c r="A16641" i="13"/>
  <c r="J16640" i="13"/>
  <c r="F16640" i="13"/>
  <c r="A16640" i="13"/>
  <c r="F16639" i="13"/>
  <c r="A16639" i="13"/>
  <c r="F16638" i="13"/>
  <c r="A16638" i="13"/>
  <c r="F16637" i="13"/>
  <c r="A16637" i="13"/>
  <c r="F16636" i="13"/>
  <c r="A16636" i="13"/>
  <c r="F16635" i="13"/>
  <c r="A16635" i="13"/>
  <c r="F16634" i="13"/>
  <c r="A16634" i="13"/>
  <c r="J16633" i="13"/>
  <c r="F16633" i="13"/>
  <c r="A16633" i="13"/>
  <c r="F16632" i="13"/>
  <c r="A16632" i="13"/>
  <c r="F16631" i="13"/>
  <c r="A16631" i="13"/>
  <c r="F16630" i="13"/>
  <c r="A16630" i="13"/>
  <c r="J16629" i="13"/>
  <c r="F16629" i="13"/>
  <c r="A16629" i="13"/>
  <c r="J16628" i="13"/>
  <c r="F16628" i="13"/>
  <c r="A16628" i="13"/>
  <c r="J16627" i="13"/>
  <c r="F16627" i="13"/>
  <c r="A16627" i="13"/>
  <c r="J16626" i="13"/>
  <c r="F16626" i="13"/>
  <c r="A16626" i="13"/>
  <c r="J16625" i="13"/>
  <c r="F16625" i="13"/>
  <c r="A16625" i="13"/>
  <c r="J16624" i="13"/>
  <c r="F16624" i="13"/>
  <c r="A16624" i="13"/>
  <c r="F16623" i="13"/>
  <c r="A16623" i="13"/>
  <c r="J16622" i="13"/>
  <c r="F16622" i="13"/>
  <c r="A16622" i="13"/>
  <c r="J16621" i="13"/>
  <c r="F16621" i="13"/>
  <c r="A16621" i="13"/>
  <c r="J16620" i="13"/>
  <c r="F16620" i="13"/>
  <c r="A16620" i="13"/>
  <c r="J16619" i="13"/>
  <c r="F16619" i="13"/>
  <c r="A16619" i="13"/>
  <c r="J16618" i="13"/>
  <c r="F16618" i="13"/>
  <c r="A16618" i="13"/>
  <c r="J16617" i="13"/>
  <c r="F16617" i="13"/>
  <c r="A16617" i="13"/>
  <c r="J16616" i="13"/>
  <c r="F16616" i="13"/>
  <c r="A16616" i="13"/>
  <c r="F16615" i="13"/>
  <c r="A16615" i="13"/>
  <c r="F16614" i="13"/>
  <c r="A16614" i="13"/>
  <c r="F16613" i="13"/>
  <c r="A16613" i="13"/>
  <c r="F16612" i="13"/>
  <c r="A16612" i="13"/>
  <c r="F16611" i="13"/>
  <c r="A16611" i="13"/>
  <c r="J16610" i="13"/>
  <c r="F16610" i="13"/>
  <c r="A16610" i="13"/>
  <c r="J16609" i="13"/>
  <c r="F16609" i="13"/>
  <c r="A16609" i="13"/>
  <c r="F16608" i="13"/>
  <c r="A16608" i="13"/>
  <c r="F16607" i="13"/>
  <c r="A16607" i="13"/>
  <c r="J16606" i="13"/>
  <c r="F16606" i="13"/>
  <c r="A16606" i="13"/>
  <c r="J16605" i="13"/>
  <c r="F16605" i="13"/>
  <c r="A16605" i="13"/>
  <c r="J16604" i="13"/>
  <c r="F16604" i="13"/>
  <c r="A16604" i="13"/>
  <c r="J16603" i="13"/>
  <c r="F16603" i="13"/>
  <c r="A16603" i="13"/>
  <c r="F16602" i="13"/>
  <c r="A16602" i="13"/>
  <c r="J16601" i="13"/>
  <c r="F16601" i="13"/>
  <c r="A16601" i="13"/>
  <c r="J16600" i="13"/>
  <c r="F16600" i="13"/>
  <c r="A16600" i="13"/>
  <c r="F16599" i="13"/>
  <c r="A16599" i="13"/>
  <c r="F16598" i="13"/>
  <c r="A16598" i="13"/>
  <c r="J16597" i="13"/>
  <c r="F16597" i="13"/>
  <c r="A16597" i="13"/>
  <c r="J16596" i="13"/>
  <c r="F16596" i="13"/>
  <c r="A16596" i="13"/>
  <c r="J16595" i="13"/>
  <c r="F16595" i="13"/>
  <c r="A16595" i="13"/>
  <c r="J16594" i="13"/>
  <c r="F16594" i="13"/>
  <c r="A16594" i="13"/>
  <c r="F16593" i="13"/>
  <c r="A16593" i="13"/>
  <c r="F16592" i="13"/>
  <c r="A16592" i="13"/>
  <c r="J16591" i="13"/>
  <c r="F16591" i="13"/>
  <c r="A16591" i="13"/>
  <c r="J16590" i="13"/>
  <c r="F16590" i="13"/>
  <c r="A16590" i="13"/>
  <c r="J16589" i="13"/>
  <c r="F16589" i="13"/>
  <c r="A16589" i="13"/>
  <c r="J16588" i="13"/>
  <c r="F16588" i="13"/>
  <c r="A16588" i="13"/>
  <c r="J16587" i="13"/>
  <c r="F16587" i="13"/>
  <c r="A16587" i="13"/>
  <c r="F16586" i="13"/>
  <c r="A16586" i="13"/>
  <c r="J16585" i="13"/>
  <c r="F16585" i="13"/>
  <c r="A16585" i="13"/>
  <c r="F16584" i="13"/>
  <c r="A16584" i="13"/>
  <c r="F16583" i="13"/>
  <c r="A16583" i="13"/>
  <c r="J16582" i="13"/>
  <c r="F16582" i="13"/>
  <c r="A16582" i="13"/>
  <c r="J16581" i="13"/>
  <c r="F16581" i="13"/>
  <c r="A16581" i="13"/>
  <c r="J16580" i="13"/>
  <c r="F16580" i="13"/>
  <c r="A16580" i="13"/>
  <c r="J16579" i="13"/>
  <c r="F16579" i="13"/>
  <c r="A16579" i="13"/>
  <c r="J16578" i="13"/>
  <c r="F16578" i="13"/>
  <c r="A16578" i="13"/>
  <c r="F16577" i="13"/>
  <c r="A16577" i="13"/>
  <c r="J16576" i="13"/>
  <c r="F16576" i="13"/>
  <c r="A16576" i="13"/>
  <c r="J16575" i="13"/>
  <c r="F16575" i="13"/>
  <c r="A16575" i="13"/>
  <c r="J16574" i="13"/>
  <c r="F16574" i="13"/>
  <c r="A16574" i="13"/>
  <c r="J16573" i="13"/>
  <c r="F16573" i="13"/>
  <c r="A16573" i="13"/>
  <c r="J16572" i="13"/>
  <c r="F16572" i="13"/>
  <c r="A16572" i="13"/>
  <c r="F16571" i="13"/>
  <c r="A16571" i="13"/>
  <c r="F16570" i="13"/>
  <c r="A16570" i="13"/>
  <c r="J16569" i="13"/>
  <c r="F16569" i="13"/>
  <c r="A16569" i="13"/>
  <c r="J16568" i="13"/>
  <c r="F16568" i="13"/>
  <c r="A16568" i="13"/>
  <c r="J16567" i="13"/>
  <c r="F16567" i="13"/>
  <c r="A16567" i="13"/>
  <c r="J16566" i="13"/>
  <c r="F16566" i="13"/>
  <c r="A16566" i="13"/>
  <c r="F16565" i="13"/>
  <c r="A16565" i="13"/>
  <c r="F16564" i="13"/>
  <c r="A16564" i="13"/>
  <c r="J16563" i="13"/>
  <c r="F16563" i="13"/>
  <c r="A16563" i="13"/>
  <c r="J16562" i="13"/>
  <c r="F16562" i="13"/>
  <c r="A16562" i="13"/>
  <c r="J16561" i="13"/>
  <c r="F16561" i="13"/>
  <c r="A16561" i="13"/>
  <c r="J16560" i="13"/>
  <c r="F16560" i="13"/>
  <c r="A16560" i="13"/>
  <c r="F16559" i="13"/>
  <c r="A16559" i="13"/>
  <c r="J16558" i="13"/>
  <c r="F16558" i="13"/>
  <c r="A16558" i="13"/>
  <c r="J16557" i="13"/>
  <c r="F16557" i="13"/>
  <c r="A16557" i="13"/>
  <c r="J16556" i="13"/>
  <c r="F16556" i="13"/>
  <c r="A16556" i="13"/>
  <c r="J16555" i="13"/>
  <c r="F16555" i="13"/>
  <c r="A16555" i="13"/>
  <c r="J16554" i="13"/>
  <c r="F16554" i="13"/>
  <c r="A16554" i="13"/>
  <c r="J16553" i="13"/>
  <c r="F16553" i="13"/>
  <c r="A16553" i="13"/>
  <c r="J16552" i="13"/>
  <c r="F16552" i="13"/>
  <c r="J16551" i="13"/>
  <c r="F16551" i="13"/>
  <c r="A16551" i="13"/>
  <c r="J16550" i="13"/>
  <c r="F16550" i="13"/>
  <c r="A16550" i="13"/>
  <c r="F16549" i="13"/>
  <c r="A16549" i="13"/>
  <c r="F16548" i="13"/>
  <c r="A16548" i="13"/>
  <c r="J16547" i="13"/>
  <c r="F16547" i="13"/>
  <c r="A16547" i="13"/>
  <c r="J16546" i="13"/>
  <c r="F16546" i="13"/>
  <c r="A16546" i="13"/>
  <c r="J16545" i="13"/>
  <c r="F16545" i="13"/>
  <c r="A16545" i="13"/>
  <c r="F16544" i="13"/>
  <c r="A16544" i="13"/>
  <c r="J16543" i="13"/>
  <c r="F16543" i="13"/>
  <c r="A16543" i="13"/>
  <c r="F16542" i="13"/>
  <c r="A16542" i="13"/>
  <c r="J16541" i="13"/>
  <c r="F16541" i="13"/>
  <c r="A16541" i="13"/>
  <c r="J16540" i="13"/>
  <c r="F16540" i="13"/>
  <c r="A16540" i="13"/>
  <c r="J16539" i="13"/>
  <c r="F16539" i="13"/>
  <c r="A16539" i="13"/>
  <c r="F16538" i="13"/>
  <c r="A16538" i="13"/>
  <c r="F16537" i="13"/>
  <c r="A16537" i="13"/>
  <c r="J16536" i="13"/>
  <c r="F16536" i="13"/>
  <c r="A16536" i="13"/>
  <c r="J16535" i="13"/>
  <c r="F16535" i="13"/>
  <c r="A16535" i="13"/>
  <c r="F16534" i="13"/>
  <c r="A16534" i="13"/>
  <c r="J16533" i="13"/>
  <c r="F16533" i="13"/>
  <c r="A16533" i="13"/>
  <c r="F16532" i="13"/>
  <c r="A16532" i="13"/>
  <c r="F16531" i="13"/>
  <c r="A16531" i="13"/>
  <c r="J16530" i="13"/>
  <c r="F16530" i="13"/>
  <c r="A16530" i="13"/>
  <c r="J16529" i="13"/>
  <c r="F16529" i="13"/>
  <c r="A16529" i="13"/>
  <c r="J16528" i="13"/>
  <c r="F16528" i="13"/>
  <c r="A16528" i="13"/>
  <c r="J16527" i="13"/>
  <c r="F16527" i="13"/>
  <c r="A16527" i="13"/>
  <c r="J16526" i="13"/>
  <c r="F16526" i="13"/>
  <c r="A16526" i="13"/>
  <c r="J16525" i="13"/>
  <c r="F16525" i="13"/>
  <c r="A16525" i="13"/>
  <c r="J16524" i="13"/>
  <c r="F16524" i="13"/>
  <c r="A16524" i="13"/>
  <c r="J16523" i="13"/>
  <c r="F16523" i="13"/>
  <c r="A16523" i="13"/>
  <c r="J16522" i="13"/>
  <c r="F16522" i="13"/>
  <c r="A16522" i="13"/>
  <c r="J16521" i="13"/>
  <c r="F16521" i="13"/>
  <c r="A16521" i="13"/>
  <c r="J16520" i="13"/>
  <c r="F16520" i="13"/>
  <c r="A16520" i="13"/>
  <c r="F16519" i="13"/>
  <c r="A16519" i="13"/>
  <c r="F16518" i="13"/>
  <c r="A16518" i="13"/>
  <c r="F16517" i="13"/>
  <c r="A16517" i="13"/>
  <c r="J16516" i="13"/>
  <c r="F16516" i="13"/>
  <c r="A16516" i="13"/>
  <c r="F16515" i="13"/>
  <c r="A16515" i="13"/>
  <c r="F16514" i="13"/>
  <c r="A16514" i="13"/>
  <c r="J16513" i="13"/>
  <c r="F16513" i="13"/>
  <c r="A16513" i="13"/>
  <c r="J16512" i="13"/>
  <c r="F16512" i="13"/>
  <c r="A16512" i="13"/>
  <c r="J16511" i="13"/>
  <c r="F16511" i="13"/>
  <c r="A16511" i="13"/>
  <c r="J16510" i="13"/>
  <c r="F16510" i="13"/>
  <c r="A16510" i="13"/>
  <c r="F16509" i="13"/>
  <c r="A16509" i="13"/>
  <c r="J16508" i="13"/>
  <c r="F16508" i="13"/>
  <c r="A16508" i="13"/>
  <c r="J16507" i="13"/>
  <c r="F16507" i="13"/>
  <c r="A16507" i="13"/>
  <c r="F16506" i="13"/>
  <c r="A16506" i="13"/>
  <c r="F16505" i="13"/>
  <c r="A16505" i="13"/>
  <c r="F16504" i="13"/>
  <c r="A16504" i="13"/>
  <c r="J16503" i="13"/>
  <c r="F16503" i="13"/>
  <c r="A16503" i="13"/>
  <c r="J16502" i="13"/>
  <c r="F16502" i="13"/>
  <c r="A16502" i="13"/>
  <c r="J16501" i="13"/>
  <c r="F16501" i="13"/>
  <c r="A16501" i="13"/>
  <c r="J16500" i="13"/>
  <c r="F16500" i="13"/>
  <c r="A16500" i="13"/>
  <c r="J16499" i="13"/>
  <c r="F16499" i="13"/>
  <c r="A16499" i="13"/>
  <c r="J16498" i="13"/>
  <c r="F16498" i="13"/>
  <c r="A16498" i="13"/>
  <c r="J16497" i="13"/>
  <c r="F16497" i="13"/>
  <c r="A16497" i="13"/>
  <c r="J16496" i="13"/>
  <c r="F16496" i="13"/>
  <c r="A16496" i="13"/>
  <c r="F16495" i="13"/>
  <c r="A16495" i="13"/>
  <c r="F16494" i="13"/>
  <c r="A16494" i="13"/>
  <c r="J16493" i="13"/>
  <c r="F16493" i="13"/>
  <c r="A16493" i="13"/>
  <c r="J16492" i="13"/>
  <c r="F16492" i="13"/>
  <c r="A16492" i="13"/>
  <c r="F16491" i="13"/>
  <c r="A16491" i="13"/>
  <c r="J16490" i="13"/>
  <c r="F16490" i="13"/>
  <c r="A16490" i="13"/>
  <c r="J16489" i="13"/>
  <c r="F16489" i="13"/>
  <c r="A16489" i="13"/>
  <c r="F16488" i="13"/>
  <c r="A16488" i="13"/>
  <c r="F16487" i="13"/>
  <c r="A16487" i="13"/>
  <c r="F16486" i="13"/>
  <c r="A16486" i="13"/>
  <c r="J16485" i="13"/>
  <c r="F16485" i="13"/>
  <c r="A16485" i="13"/>
  <c r="F16484" i="13"/>
  <c r="A16484" i="13"/>
  <c r="J16483" i="13"/>
  <c r="F16483" i="13"/>
  <c r="A16483" i="13"/>
  <c r="J16482" i="13"/>
  <c r="F16482" i="13"/>
  <c r="A16482" i="13"/>
  <c r="J16481" i="13"/>
  <c r="F16481" i="13"/>
  <c r="A16481" i="13"/>
  <c r="J16480" i="13"/>
  <c r="F16480" i="13"/>
  <c r="A16480" i="13"/>
  <c r="J16479" i="13"/>
  <c r="F16479" i="13"/>
  <c r="A16479" i="13"/>
  <c r="F16478" i="13"/>
  <c r="A16478" i="13"/>
  <c r="J16477" i="13"/>
  <c r="F16477" i="13"/>
  <c r="A16477" i="13"/>
  <c r="J16476" i="13"/>
  <c r="F16476" i="13"/>
  <c r="A16476" i="13"/>
  <c r="J16475" i="13"/>
  <c r="F16475" i="13"/>
  <c r="A16475" i="13"/>
  <c r="F16474" i="13"/>
  <c r="A16474" i="13"/>
  <c r="J16473" i="13"/>
  <c r="F16473" i="13"/>
  <c r="A16473" i="13"/>
  <c r="J16472" i="13"/>
  <c r="F16472" i="13"/>
  <c r="A16472" i="13"/>
  <c r="J16471" i="13"/>
  <c r="F16471" i="13"/>
  <c r="A16471" i="13"/>
  <c r="J16470" i="13"/>
  <c r="F16470" i="13"/>
  <c r="A16470" i="13"/>
  <c r="F16469" i="13"/>
  <c r="A16469" i="13"/>
  <c r="F16468" i="13"/>
  <c r="A16468" i="13"/>
  <c r="F16467" i="13"/>
  <c r="A16467" i="13"/>
  <c r="F16466" i="13"/>
  <c r="A16466" i="13"/>
  <c r="F16465" i="13"/>
  <c r="A16465" i="13"/>
  <c r="F16464" i="13"/>
  <c r="A16464" i="13"/>
  <c r="F16463" i="13"/>
  <c r="A16463" i="13"/>
  <c r="F16462" i="13"/>
  <c r="A16462" i="13"/>
  <c r="F16461" i="13"/>
  <c r="A16461" i="13"/>
  <c r="F16460" i="13"/>
  <c r="A16460" i="13"/>
  <c r="F16459" i="13"/>
  <c r="A16459" i="13"/>
  <c r="F16458" i="13"/>
  <c r="A16458" i="13"/>
  <c r="F16457" i="13"/>
  <c r="A16457" i="13"/>
  <c r="J16456" i="13"/>
  <c r="F16456" i="13"/>
  <c r="A16456" i="13"/>
  <c r="J16455" i="13"/>
  <c r="F16455" i="13"/>
  <c r="A16455" i="13"/>
  <c r="F16454" i="13"/>
  <c r="A16454" i="13"/>
  <c r="J16453" i="13"/>
  <c r="F16453" i="13"/>
  <c r="A16453" i="13"/>
  <c r="J16452" i="13"/>
  <c r="F16452" i="13"/>
  <c r="A16452" i="13"/>
  <c r="J16451" i="13"/>
  <c r="F16451" i="13"/>
  <c r="A16451" i="13"/>
  <c r="J16450" i="13"/>
  <c r="F16450" i="13"/>
  <c r="A16450" i="13"/>
  <c r="J16449" i="13"/>
  <c r="F16449" i="13"/>
  <c r="A16449" i="13"/>
  <c r="F16448" i="13"/>
  <c r="A16448" i="13"/>
  <c r="F16447" i="13"/>
  <c r="A16447" i="13"/>
  <c r="F16446" i="13"/>
  <c r="A16446" i="13"/>
  <c r="F16445" i="13"/>
  <c r="A16445" i="13"/>
  <c r="J16444" i="13"/>
  <c r="F16444" i="13"/>
  <c r="A16444" i="13"/>
  <c r="J16443" i="13"/>
  <c r="F16443" i="13"/>
  <c r="A16443" i="13"/>
  <c r="F16442" i="13"/>
  <c r="A16442" i="13"/>
  <c r="F16441" i="13"/>
  <c r="A16441" i="13"/>
  <c r="J16440" i="13"/>
  <c r="F16440" i="13"/>
  <c r="A16440" i="13"/>
  <c r="J16439" i="13"/>
  <c r="F16439" i="13"/>
  <c r="A16439" i="13"/>
  <c r="J16438" i="13"/>
  <c r="F16438" i="13"/>
  <c r="A16438" i="13"/>
  <c r="J16437" i="13"/>
  <c r="F16437" i="13"/>
  <c r="A16437" i="13"/>
  <c r="J16436" i="13"/>
  <c r="F16436" i="13"/>
  <c r="A16436" i="13"/>
  <c r="F16435" i="13"/>
  <c r="A16435" i="13"/>
  <c r="F16434" i="13"/>
  <c r="A16434" i="13"/>
  <c r="J16433" i="13"/>
  <c r="F16433" i="13"/>
  <c r="A16433" i="13"/>
  <c r="J16432" i="13"/>
  <c r="F16432" i="13"/>
  <c r="A16432" i="13"/>
  <c r="F16431" i="13"/>
  <c r="A16431" i="13"/>
  <c r="J16430" i="13"/>
  <c r="F16430" i="13"/>
  <c r="A16430" i="13"/>
  <c r="F16429" i="13"/>
  <c r="A16429" i="13"/>
  <c r="J16428" i="13"/>
  <c r="F16428" i="13"/>
  <c r="A16428" i="13"/>
  <c r="J16427" i="13"/>
  <c r="F16427" i="13"/>
  <c r="A16427" i="13"/>
  <c r="J16426" i="13"/>
  <c r="F16426" i="13"/>
  <c r="A16426" i="13"/>
  <c r="F16425" i="13"/>
  <c r="A16425" i="13"/>
  <c r="F16424" i="13"/>
  <c r="A16424" i="13"/>
  <c r="F16423" i="13"/>
  <c r="A16423" i="13"/>
  <c r="J16422" i="13"/>
  <c r="F16422" i="13"/>
  <c r="A16422" i="13"/>
  <c r="J16421" i="13"/>
  <c r="F16421" i="13"/>
  <c r="A16421" i="13"/>
  <c r="F16420" i="13"/>
  <c r="A16420" i="13"/>
  <c r="F16419" i="13"/>
  <c r="A16419" i="13"/>
  <c r="J16418" i="13"/>
  <c r="F16418" i="13"/>
  <c r="A16418" i="13"/>
  <c r="F16417" i="13"/>
  <c r="A16417" i="13"/>
  <c r="J16416" i="13"/>
  <c r="F16416" i="13"/>
  <c r="A16416" i="13"/>
  <c r="J16415" i="13"/>
  <c r="F16415" i="13"/>
  <c r="A16415" i="13"/>
  <c r="F16414" i="13"/>
  <c r="A16414" i="13"/>
  <c r="F16413" i="13"/>
  <c r="A16413" i="13"/>
  <c r="F16412" i="13"/>
  <c r="A16412" i="13"/>
  <c r="J16411" i="13"/>
  <c r="F16411" i="13"/>
  <c r="A16411" i="13"/>
  <c r="F16410" i="13"/>
  <c r="A16410" i="13"/>
  <c r="J16409" i="13"/>
  <c r="F16409" i="13"/>
  <c r="A16409" i="13"/>
  <c r="F16408" i="13"/>
  <c r="A16408" i="13"/>
  <c r="F16407" i="13"/>
  <c r="A16407" i="13"/>
  <c r="F16406" i="13"/>
  <c r="A16406" i="13"/>
  <c r="F16405" i="13"/>
  <c r="A16405" i="13"/>
  <c r="J16404" i="13"/>
  <c r="F16404" i="13"/>
  <c r="A16404" i="13"/>
  <c r="J16403" i="13"/>
  <c r="F16403" i="13"/>
  <c r="A16403" i="13"/>
  <c r="J16402" i="13"/>
  <c r="F16402" i="13"/>
  <c r="J16401" i="13"/>
  <c r="F16401" i="13"/>
  <c r="A16401" i="13"/>
  <c r="J16400" i="13"/>
  <c r="F16400" i="13"/>
  <c r="A16400" i="13"/>
  <c r="J16399" i="13"/>
  <c r="F16399" i="13"/>
  <c r="A16399" i="13"/>
  <c r="J16398" i="13"/>
  <c r="F16398" i="13"/>
  <c r="A16398" i="13"/>
  <c r="F16397" i="13"/>
  <c r="A16397" i="13"/>
  <c r="J16396" i="13"/>
  <c r="F16396" i="13"/>
  <c r="A16396" i="13"/>
  <c r="J16395" i="13"/>
  <c r="F16395" i="13"/>
  <c r="A16395" i="13"/>
  <c r="J16394" i="13"/>
  <c r="F16394" i="13"/>
  <c r="J16393" i="13"/>
  <c r="F16393" i="13"/>
  <c r="A16393" i="13"/>
  <c r="J16392" i="13"/>
  <c r="F16392" i="13"/>
  <c r="A16392" i="13"/>
  <c r="J16391" i="13"/>
  <c r="F16391" i="13"/>
  <c r="A16391" i="13"/>
  <c r="F16390" i="13"/>
  <c r="A16390" i="13"/>
  <c r="J16389" i="13"/>
  <c r="F16389" i="13"/>
  <c r="A16389" i="13"/>
  <c r="J16388" i="13"/>
  <c r="F16388" i="13"/>
  <c r="A16388" i="13"/>
  <c r="J16387" i="13"/>
  <c r="F16387" i="13"/>
  <c r="A16387" i="13"/>
  <c r="F16386" i="13"/>
  <c r="A16386" i="13"/>
  <c r="F16385" i="13"/>
  <c r="A16385" i="13"/>
  <c r="J16384" i="13"/>
  <c r="F16384" i="13"/>
  <c r="A16384" i="13"/>
  <c r="J16383" i="13"/>
  <c r="F16383" i="13"/>
  <c r="A16383" i="13"/>
  <c r="F16382" i="13"/>
  <c r="A16382" i="13"/>
  <c r="J16381" i="13"/>
  <c r="F16381" i="13"/>
  <c r="A16381" i="13"/>
  <c r="J16380" i="13"/>
  <c r="F16380" i="13"/>
  <c r="A16380" i="13"/>
  <c r="J16379" i="13"/>
  <c r="F16379" i="13"/>
  <c r="A16379" i="13"/>
  <c r="J16378" i="13"/>
  <c r="F16378" i="13"/>
  <c r="A16378" i="13"/>
  <c r="J16377" i="13"/>
  <c r="F16377" i="13"/>
  <c r="A16377" i="13"/>
  <c r="J16376" i="13"/>
  <c r="F16376" i="13"/>
  <c r="A16376" i="13"/>
  <c r="J16375" i="13"/>
  <c r="F16375" i="13"/>
  <c r="A16375" i="13"/>
  <c r="F16374" i="13"/>
  <c r="A16374" i="13"/>
  <c r="F16373" i="13"/>
  <c r="A16373" i="13"/>
  <c r="J16372" i="13"/>
  <c r="F16372" i="13"/>
  <c r="A16372" i="13"/>
  <c r="J16371" i="13"/>
  <c r="F16371" i="13"/>
  <c r="A16371" i="13"/>
  <c r="F16370" i="13"/>
  <c r="A16370" i="13"/>
  <c r="F16369" i="13"/>
  <c r="A16369" i="13"/>
  <c r="F16368" i="13"/>
  <c r="A16368" i="13"/>
  <c r="F16367" i="13"/>
  <c r="A16367" i="13"/>
  <c r="J16366" i="13"/>
  <c r="F16366" i="13"/>
  <c r="A16366" i="13"/>
  <c r="J16365" i="13"/>
  <c r="F16365" i="13"/>
  <c r="A16365" i="13"/>
  <c r="J16364" i="13"/>
  <c r="F16364" i="13"/>
  <c r="A16364" i="13"/>
  <c r="F16363" i="13"/>
  <c r="A16363" i="13"/>
  <c r="J16362" i="13"/>
  <c r="F16362" i="13"/>
  <c r="A16362" i="13"/>
  <c r="F16361" i="13"/>
  <c r="A16361" i="13"/>
  <c r="J16360" i="13"/>
  <c r="F16360" i="13"/>
  <c r="A16360" i="13"/>
  <c r="J16359" i="13"/>
  <c r="F16359" i="13"/>
  <c r="A16359" i="13"/>
  <c r="F16358" i="13"/>
  <c r="A16358" i="13"/>
  <c r="J16357" i="13"/>
  <c r="F16357" i="13"/>
  <c r="A16357" i="13"/>
  <c r="J16356" i="13"/>
  <c r="F16356" i="13"/>
  <c r="A16356" i="13"/>
  <c r="F16355" i="13"/>
  <c r="A16355" i="13"/>
  <c r="J16354" i="13"/>
  <c r="F16354" i="13"/>
  <c r="A16354" i="13"/>
  <c r="J16353" i="13"/>
  <c r="F16353" i="13"/>
  <c r="A16353" i="13"/>
  <c r="J16352" i="13"/>
  <c r="F16352" i="13"/>
  <c r="A16352" i="13"/>
  <c r="J16351" i="13"/>
  <c r="F16351" i="13"/>
  <c r="A16351" i="13"/>
  <c r="F16350" i="13"/>
  <c r="A16350" i="13"/>
  <c r="J16349" i="13"/>
  <c r="F16349" i="13"/>
  <c r="A16349" i="13"/>
  <c r="J16348" i="13"/>
  <c r="F16348" i="13"/>
  <c r="A16348" i="13"/>
  <c r="J16347" i="13"/>
  <c r="F16347" i="13"/>
  <c r="A16347" i="13"/>
  <c r="J16346" i="13"/>
  <c r="F16346" i="13"/>
  <c r="A16346" i="13"/>
  <c r="J16345" i="13"/>
  <c r="F16345" i="13"/>
  <c r="A16345" i="13"/>
  <c r="J16344" i="13"/>
  <c r="F16344" i="13"/>
  <c r="A16344" i="13"/>
  <c r="F16343" i="13"/>
  <c r="A16343" i="13"/>
  <c r="J16342" i="13"/>
  <c r="F16342" i="13"/>
  <c r="A16342" i="13"/>
  <c r="J16341" i="13"/>
  <c r="F16341" i="13"/>
  <c r="A16341" i="13"/>
  <c r="J16340" i="13"/>
  <c r="F16340" i="13"/>
  <c r="A16340" i="13"/>
  <c r="J16339" i="13"/>
  <c r="F16339" i="13"/>
  <c r="A16339" i="13"/>
  <c r="J16338" i="13"/>
  <c r="F16338" i="13"/>
  <c r="A16338" i="13"/>
  <c r="J16337" i="13"/>
  <c r="F16337" i="13"/>
  <c r="A16337" i="13"/>
  <c r="F16336" i="13"/>
  <c r="A16336" i="13"/>
  <c r="J16335" i="13"/>
  <c r="F16335" i="13"/>
  <c r="A16335" i="13"/>
  <c r="J16334" i="13"/>
  <c r="F16334" i="13"/>
  <c r="A16334" i="13"/>
  <c r="J16333" i="13"/>
  <c r="F16333" i="13"/>
  <c r="A16333" i="13"/>
  <c r="F16332" i="13"/>
  <c r="A16332" i="13"/>
  <c r="J16331" i="13"/>
  <c r="F16331" i="13"/>
  <c r="A16331" i="13"/>
  <c r="F16330" i="13"/>
  <c r="A16330" i="13"/>
  <c r="J16329" i="13"/>
  <c r="F16329" i="13"/>
  <c r="A16329" i="13"/>
  <c r="J16328" i="13"/>
  <c r="F16328" i="13"/>
  <c r="A16328" i="13"/>
  <c r="J16327" i="13"/>
  <c r="F16327" i="13"/>
  <c r="A16327" i="13"/>
  <c r="F16326" i="13"/>
  <c r="A16326" i="13"/>
  <c r="J16325" i="13"/>
  <c r="F16325" i="13"/>
  <c r="A16325" i="13"/>
  <c r="J16324" i="13"/>
  <c r="F16324" i="13"/>
  <c r="A16324" i="13"/>
  <c r="J16323" i="13"/>
  <c r="F16323" i="13"/>
  <c r="A16323" i="13"/>
  <c r="J16322" i="13"/>
  <c r="F16322" i="13"/>
  <c r="A16322" i="13"/>
  <c r="F16321" i="13"/>
  <c r="A16321" i="13"/>
  <c r="J16320" i="13"/>
  <c r="F16320" i="13"/>
  <c r="A16320" i="13"/>
  <c r="J16319" i="13"/>
  <c r="F16319" i="13"/>
  <c r="A16319" i="13"/>
  <c r="J16318" i="13"/>
  <c r="F16318" i="13"/>
  <c r="A16318" i="13"/>
  <c r="F16317" i="13"/>
  <c r="A16317" i="13"/>
  <c r="J16316" i="13"/>
  <c r="F16316" i="13"/>
  <c r="A16316" i="13"/>
  <c r="J16315" i="13"/>
  <c r="F16315" i="13"/>
  <c r="A16315" i="13"/>
  <c r="J16314" i="13"/>
  <c r="F16314" i="13"/>
  <c r="A16314" i="13"/>
  <c r="J16313" i="13"/>
  <c r="F16313" i="13"/>
  <c r="A16313" i="13"/>
  <c r="J16312" i="13"/>
  <c r="F16312" i="13"/>
  <c r="A16312" i="13"/>
  <c r="J16311" i="13"/>
  <c r="F16311" i="13"/>
  <c r="A16311" i="13"/>
  <c r="J16310" i="13"/>
  <c r="F16310" i="13"/>
  <c r="A16310" i="13"/>
  <c r="J16309" i="13"/>
  <c r="F16309" i="13"/>
  <c r="A16309" i="13"/>
  <c r="F16308" i="13"/>
  <c r="A16308" i="13"/>
  <c r="J16307" i="13"/>
  <c r="F16307" i="13"/>
  <c r="A16307" i="13"/>
  <c r="F16306" i="13"/>
  <c r="A16306" i="13"/>
  <c r="J16305" i="13"/>
  <c r="F16305" i="13"/>
  <c r="A16305" i="13"/>
  <c r="F16304" i="13"/>
  <c r="A16304" i="13"/>
  <c r="J16303" i="13"/>
  <c r="F16303" i="13"/>
  <c r="A16303" i="13"/>
  <c r="J16302" i="13"/>
  <c r="F16302" i="13"/>
  <c r="A16302" i="13"/>
  <c r="J16301" i="13"/>
  <c r="F16301" i="13"/>
  <c r="A16301" i="13"/>
  <c r="J16300" i="13"/>
  <c r="F16300" i="13"/>
  <c r="A16300" i="13"/>
  <c r="F16299" i="13"/>
  <c r="A16299" i="13"/>
  <c r="J16298" i="13"/>
  <c r="F16298" i="13"/>
  <c r="A16298" i="13"/>
  <c r="J16297" i="13"/>
  <c r="F16297" i="13"/>
  <c r="A16297" i="13"/>
  <c r="J16296" i="13"/>
  <c r="F16296" i="13"/>
  <c r="A16296" i="13"/>
  <c r="J16295" i="13"/>
  <c r="F16295" i="13"/>
  <c r="A16295" i="13"/>
  <c r="F16294" i="13"/>
  <c r="A16294" i="13"/>
  <c r="F16293" i="13"/>
  <c r="A16293" i="13"/>
  <c r="J16292" i="13"/>
  <c r="F16292" i="13"/>
  <c r="A16292" i="13"/>
  <c r="J16291" i="13"/>
  <c r="F16291" i="13"/>
  <c r="A16291" i="13"/>
  <c r="F16290" i="13"/>
  <c r="A16290" i="13"/>
  <c r="F16289" i="13"/>
  <c r="A16289" i="13"/>
  <c r="F16288" i="13"/>
  <c r="A16288" i="13"/>
  <c r="J16287" i="13"/>
  <c r="F16287" i="13"/>
  <c r="A16287" i="13"/>
  <c r="J16286" i="13"/>
  <c r="F16286" i="13"/>
  <c r="A16286" i="13"/>
  <c r="F16285" i="13"/>
  <c r="A16285" i="13"/>
  <c r="F16284" i="13"/>
  <c r="A16284" i="13"/>
  <c r="F16283" i="13"/>
  <c r="A16283" i="13"/>
  <c r="F16282" i="13"/>
  <c r="A16282" i="13"/>
  <c r="F16281" i="13"/>
  <c r="A16281" i="13"/>
  <c r="F16280" i="13"/>
  <c r="A16280" i="13"/>
  <c r="F16279" i="13"/>
  <c r="A16279" i="13"/>
  <c r="F16278" i="13"/>
  <c r="A16278" i="13"/>
  <c r="F16277" i="13"/>
  <c r="A16277" i="13"/>
  <c r="F16276" i="13"/>
  <c r="A16276" i="13"/>
  <c r="F16275" i="13"/>
  <c r="A16275" i="13"/>
  <c r="F16274" i="13"/>
  <c r="A16274" i="13"/>
  <c r="F16273" i="13"/>
  <c r="A16273" i="13"/>
  <c r="J16272" i="13"/>
  <c r="F16272" i="13"/>
  <c r="A16272" i="13"/>
  <c r="F16271" i="13"/>
  <c r="A16271" i="13"/>
  <c r="F16270" i="13"/>
  <c r="A16270" i="13"/>
  <c r="F16269" i="13"/>
  <c r="A16269" i="13"/>
  <c r="F16268" i="13"/>
  <c r="A16268" i="13"/>
  <c r="F16267" i="13"/>
  <c r="A16267" i="13"/>
  <c r="F16266" i="13"/>
  <c r="A16266" i="13"/>
  <c r="F16265" i="13"/>
  <c r="A16265" i="13"/>
  <c r="F16264" i="13"/>
  <c r="A16264" i="13"/>
  <c r="F16263" i="13"/>
  <c r="A16263" i="13"/>
  <c r="F16262" i="13"/>
  <c r="A16262" i="13"/>
  <c r="F16261" i="13"/>
  <c r="A16261" i="13"/>
  <c r="F16260" i="13"/>
  <c r="A16260" i="13"/>
  <c r="F16259" i="13"/>
  <c r="A16259" i="13"/>
  <c r="F16258" i="13"/>
  <c r="A16258" i="13"/>
  <c r="F16257" i="13"/>
  <c r="A16257" i="13"/>
  <c r="F16256" i="13"/>
  <c r="A16256" i="13"/>
  <c r="F16255" i="13"/>
  <c r="A16255" i="13"/>
  <c r="F16254" i="13"/>
  <c r="A16254" i="13"/>
  <c r="F16253" i="13"/>
  <c r="A16253" i="13"/>
  <c r="F16252" i="13"/>
  <c r="A16252" i="13"/>
  <c r="F16251" i="13"/>
  <c r="A16251" i="13"/>
  <c r="F16250" i="13"/>
  <c r="A16250" i="13"/>
  <c r="J16249" i="13"/>
  <c r="F16249" i="13"/>
  <c r="A16249" i="13"/>
  <c r="F16248" i="13"/>
  <c r="A16248" i="13"/>
  <c r="F16247" i="13"/>
  <c r="A16247" i="13"/>
  <c r="F16246" i="13"/>
  <c r="A16246" i="13"/>
  <c r="J16245" i="13"/>
  <c r="F16245" i="13"/>
  <c r="A16245" i="13"/>
  <c r="J16244" i="13"/>
  <c r="F16244" i="13"/>
  <c r="A16244" i="13"/>
  <c r="J16243" i="13"/>
  <c r="F16243" i="13"/>
  <c r="A16243" i="13"/>
  <c r="J16242" i="13"/>
  <c r="F16242" i="13"/>
  <c r="A16242" i="13"/>
  <c r="J16241" i="13"/>
  <c r="F16241" i="13"/>
  <c r="A16241" i="13"/>
  <c r="J16240" i="13"/>
  <c r="F16240" i="13"/>
  <c r="A16240" i="13"/>
  <c r="J16239" i="13"/>
  <c r="F16239" i="13"/>
  <c r="A16239" i="13"/>
  <c r="F16238" i="13"/>
  <c r="A16238" i="13"/>
  <c r="F16237" i="13"/>
  <c r="A16237" i="13"/>
  <c r="J16236" i="13"/>
  <c r="F16236" i="13"/>
  <c r="A16236" i="13"/>
  <c r="J16235" i="13"/>
  <c r="F16235" i="13"/>
  <c r="A16235" i="13"/>
  <c r="J16234" i="13"/>
  <c r="F16234" i="13"/>
  <c r="A16234" i="13"/>
  <c r="F16233" i="13"/>
  <c r="A16233" i="13"/>
  <c r="J16232" i="13"/>
  <c r="F16232" i="13"/>
  <c r="A16232" i="13"/>
  <c r="F16231" i="13"/>
  <c r="A16231" i="13"/>
  <c r="J16230" i="13"/>
  <c r="F16230" i="13"/>
  <c r="A16230" i="13"/>
  <c r="F16229" i="13"/>
  <c r="A16229" i="13"/>
  <c r="F16228" i="13"/>
  <c r="A16228" i="13"/>
  <c r="F16227" i="13"/>
  <c r="A16227" i="13"/>
  <c r="J16226" i="13"/>
  <c r="F16226" i="13"/>
  <c r="A16226" i="13"/>
  <c r="J16225" i="13"/>
  <c r="F16225" i="13"/>
  <c r="A16225" i="13"/>
  <c r="J16224" i="13"/>
  <c r="F16224" i="13"/>
  <c r="A16224" i="13"/>
  <c r="J16223" i="13"/>
  <c r="F16223" i="13"/>
  <c r="A16223" i="13"/>
  <c r="J16222" i="13"/>
  <c r="F16222" i="13"/>
  <c r="A16222" i="13"/>
  <c r="F16221" i="13"/>
  <c r="A16221" i="13"/>
  <c r="F16220" i="13"/>
  <c r="A16220" i="13"/>
  <c r="F16219" i="13"/>
  <c r="A16219" i="13"/>
  <c r="F16218" i="13"/>
  <c r="A16218" i="13"/>
  <c r="J16217" i="13"/>
  <c r="F16217" i="13"/>
  <c r="A16217" i="13"/>
  <c r="J16216" i="13"/>
  <c r="F16216" i="13"/>
  <c r="A16216" i="13"/>
  <c r="J16215" i="13"/>
  <c r="F16215" i="13"/>
  <c r="A16215" i="13"/>
  <c r="F16214" i="13"/>
  <c r="A16214" i="13"/>
  <c r="J16213" i="13"/>
  <c r="F16213" i="13"/>
  <c r="A16213" i="13"/>
  <c r="J16212" i="13"/>
  <c r="F16212" i="13"/>
  <c r="A16212" i="13"/>
  <c r="J16211" i="13"/>
  <c r="F16211" i="13"/>
  <c r="A16211" i="13"/>
  <c r="J16210" i="13"/>
  <c r="F16210" i="13"/>
  <c r="A16210" i="13"/>
  <c r="F16209" i="13"/>
  <c r="A16209" i="13"/>
  <c r="F16208" i="13"/>
  <c r="A16208" i="13"/>
  <c r="F16207" i="13"/>
  <c r="A16207" i="13"/>
  <c r="J16206" i="13"/>
  <c r="F16206" i="13"/>
  <c r="A16206" i="13"/>
  <c r="F16205" i="13"/>
  <c r="A16205" i="13"/>
  <c r="F16204" i="13"/>
  <c r="A16204" i="13"/>
  <c r="F16203" i="13"/>
  <c r="A16203" i="13"/>
  <c r="J16202" i="13"/>
  <c r="F16202" i="13"/>
  <c r="A16202" i="13"/>
  <c r="J16201" i="13"/>
  <c r="F16201" i="13"/>
  <c r="A16201" i="13"/>
  <c r="F16200" i="13"/>
  <c r="A16200" i="13"/>
  <c r="J16199" i="13"/>
  <c r="F16199" i="13"/>
  <c r="A16199" i="13"/>
  <c r="F16198" i="13"/>
  <c r="A16198" i="13"/>
  <c r="J16197" i="13"/>
  <c r="F16197" i="13"/>
  <c r="A16197" i="13"/>
  <c r="F16196" i="13"/>
  <c r="A16196" i="13"/>
  <c r="F16195" i="13"/>
  <c r="A16195" i="13"/>
  <c r="F16194" i="13"/>
  <c r="A16194" i="13"/>
  <c r="F16193" i="13"/>
  <c r="A16193" i="13"/>
  <c r="J16192" i="13"/>
  <c r="F16192" i="13"/>
  <c r="A16192" i="13"/>
  <c r="F16191" i="13"/>
  <c r="A16191" i="13"/>
  <c r="F16190" i="13"/>
  <c r="A16190" i="13"/>
  <c r="F16189" i="13"/>
  <c r="A16189" i="13"/>
  <c r="F16188" i="13"/>
  <c r="A16188" i="13"/>
  <c r="F16187" i="13"/>
  <c r="A16187" i="13"/>
  <c r="J16186" i="13"/>
  <c r="F16186" i="13"/>
  <c r="A16186" i="13"/>
  <c r="J16185" i="13"/>
  <c r="F16185" i="13"/>
  <c r="A16185" i="13"/>
  <c r="J16184" i="13"/>
  <c r="F16184" i="13"/>
  <c r="A16184" i="13"/>
  <c r="J16183" i="13"/>
  <c r="F16183" i="13"/>
  <c r="A16183" i="13"/>
  <c r="J16182" i="13"/>
  <c r="F16182" i="13"/>
  <c r="A16182" i="13"/>
  <c r="J16181" i="13"/>
  <c r="F16181" i="13"/>
  <c r="A16181" i="13"/>
  <c r="F16180" i="13"/>
  <c r="A16180" i="13"/>
  <c r="J16179" i="13"/>
  <c r="F16179" i="13"/>
  <c r="A16179" i="13"/>
  <c r="J16178" i="13"/>
  <c r="F16178" i="13"/>
  <c r="A16178" i="13"/>
  <c r="J16177" i="13"/>
  <c r="F16177" i="13"/>
  <c r="A16177" i="13"/>
  <c r="J16176" i="13"/>
  <c r="F16176" i="13"/>
  <c r="A16176" i="13"/>
  <c r="J16175" i="13"/>
  <c r="F16175" i="13"/>
  <c r="A16175" i="13"/>
  <c r="F16174" i="13"/>
  <c r="A16174" i="13"/>
  <c r="J16173" i="13"/>
  <c r="F16173" i="13"/>
  <c r="A16173" i="13"/>
  <c r="J16172" i="13"/>
  <c r="F16172" i="13"/>
  <c r="A16172" i="13"/>
  <c r="J16171" i="13"/>
  <c r="F16171" i="13"/>
  <c r="A16171" i="13"/>
  <c r="J16170" i="13"/>
  <c r="F16170" i="13"/>
  <c r="A16170" i="13"/>
  <c r="J16169" i="13"/>
  <c r="F16169" i="13"/>
  <c r="A16169" i="13"/>
  <c r="F16168" i="13"/>
  <c r="A16168" i="13"/>
  <c r="F16167" i="13"/>
  <c r="A16167" i="13"/>
  <c r="F16166" i="13"/>
  <c r="A16166" i="13"/>
  <c r="F16165" i="13"/>
  <c r="A16165" i="13"/>
  <c r="J16164" i="13"/>
  <c r="F16164" i="13"/>
  <c r="A16164" i="13"/>
  <c r="F16163" i="13"/>
  <c r="A16163" i="13"/>
  <c r="J16162" i="13"/>
  <c r="F16162" i="13"/>
  <c r="A16162" i="13"/>
  <c r="J16161" i="13"/>
  <c r="F16161" i="13"/>
  <c r="A16161" i="13"/>
  <c r="F16160" i="13"/>
  <c r="A16160" i="13"/>
  <c r="J16159" i="13"/>
  <c r="F16159" i="13"/>
  <c r="A16159" i="13"/>
  <c r="J16158" i="13"/>
  <c r="F16158" i="13"/>
  <c r="A16158" i="13"/>
  <c r="F16157" i="13"/>
  <c r="A16157" i="13"/>
  <c r="J16156" i="13"/>
  <c r="F16156" i="13"/>
  <c r="A16156" i="13"/>
  <c r="J16155" i="13"/>
  <c r="F16155" i="13"/>
  <c r="A16155" i="13"/>
  <c r="J16154" i="13"/>
  <c r="F16154" i="13"/>
  <c r="A16154" i="13"/>
  <c r="F16153" i="13"/>
  <c r="A16153" i="13"/>
  <c r="J16152" i="13"/>
  <c r="F16152" i="13"/>
  <c r="A16152" i="13"/>
  <c r="J16151" i="13"/>
  <c r="F16151" i="13"/>
  <c r="A16151" i="13"/>
  <c r="J16150" i="13"/>
  <c r="F16150" i="13"/>
  <c r="A16150" i="13"/>
  <c r="J16149" i="13"/>
  <c r="F16149" i="13"/>
  <c r="A16149" i="13"/>
  <c r="J16148" i="13"/>
  <c r="F16148" i="13"/>
  <c r="A16148" i="13"/>
  <c r="F16147" i="13"/>
  <c r="A16147" i="13"/>
  <c r="F16146" i="13"/>
  <c r="A16146" i="13"/>
  <c r="F16145" i="13"/>
  <c r="A16145" i="13"/>
  <c r="F16144" i="13"/>
  <c r="A16144" i="13"/>
  <c r="J16143" i="13"/>
  <c r="F16143" i="13"/>
  <c r="A16143" i="13"/>
  <c r="J16142" i="13"/>
  <c r="F16142" i="13"/>
  <c r="A16142" i="13"/>
  <c r="F16141" i="13"/>
  <c r="A16141" i="13"/>
  <c r="F16140" i="13"/>
  <c r="A16140" i="13"/>
  <c r="J16139" i="13"/>
  <c r="F16139" i="13"/>
  <c r="A16139" i="13"/>
  <c r="J16138" i="13"/>
  <c r="F16138" i="13"/>
  <c r="A16138" i="13"/>
  <c r="J16137" i="13"/>
  <c r="F16137" i="13"/>
  <c r="A16137" i="13"/>
  <c r="J16136" i="13"/>
  <c r="F16136" i="13"/>
  <c r="A16136" i="13"/>
  <c r="J16135" i="13"/>
  <c r="F16135" i="13"/>
  <c r="A16135" i="13"/>
  <c r="J16134" i="13"/>
  <c r="F16134" i="13"/>
  <c r="A16134" i="13"/>
  <c r="J16133" i="13"/>
  <c r="F16133" i="13"/>
  <c r="A16133" i="13"/>
  <c r="J16132" i="13"/>
  <c r="F16132" i="13"/>
  <c r="A16132" i="13"/>
  <c r="F16131" i="13"/>
  <c r="A16131" i="13"/>
  <c r="J16130" i="13"/>
  <c r="F16130" i="13"/>
  <c r="A16130" i="13"/>
  <c r="F16129" i="13"/>
  <c r="A16129" i="13"/>
  <c r="F16128" i="13"/>
  <c r="A16128" i="13"/>
  <c r="J16127" i="13"/>
  <c r="F16127" i="13"/>
  <c r="A16127" i="13"/>
  <c r="J16126" i="13"/>
  <c r="F16126" i="13"/>
  <c r="A16126" i="13"/>
  <c r="J16125" i="13"/>
  <c r="F16125" i="13"/>
  <c r="A16125" i="13"/>
  <c r="F16124" i="13"/>
  <c r="A16124" i="13"/>
  <c r="J16123" i="13"/>
  <c r="F16123" i="13"/>
  <c r="A16123" i="13"/>
  <c r="F16122" i="13"/>
  <c r="A16122" i="13"/>
  <c r="F16121" i="13"/>
  <c r="A16121" i="13"/>
  <c r="J16120" i="13"/>
  <c r="F16120" i="13"/>
  <c r="A16120" i="13"/>
  <c r="J16119" i="13"/>
  <c r="F16119" i="13"/>
  <c r="A16119" i="13"/>
  <c r="J16118" i="13"/>
  <c r="F16118" i="13"/>
  <c r="A16118" i="13"/>
  <c r="F16117" i="13"/>
  <c r="A16117" i="13"/>
  <c r="J16116" i="13"/>
  <c r="F16116" i="13"/>
  <c r="A16116" i="13"/>
  <c r="J16115" i="13"/>
  <c r="F16115" i="13"/>
  <c r="A16115" i="13"/>
  <c r="F16114" i="13"/>
  <c r="A16114" i="13"/>
  <c r="F16113" i="13"/>
  <c r="A16113" i="13"/>
  <c r="F16112" i="13"/>
  <c r="A16112" i="13"/>
  <c r="F16111" i="13"/>
  <c r="A16111" i="13"/>
  <c r="J16110" i="13"/>
  <c r="F16110" i="13"/>
  <c r="A16110" i="13"/>
  <c r="J16109" i="13"/>
  <c r="F16109" i="13"/>
  <c r="A16109" i="13"/>
  <c r="F16108" i="13"/>
  <c r="A16108" i="13"/>
  <c r="F16107" i="13"/>
  <c r="A16107" i="13"/>
  <c r="F16106" i="13"/>
  <c r="A16106" i="13"/>
  <c r="J16105" i="13"/>
  <c r="F16105" i="13"/>
  <c r="A16105" i="13"/>
  <c r="J16104" i="13"/>
  <c r="F16104" i="13"/>
  <c r="A16104" i="13"/>
  <c r="F16103" i="13"/>
  <c r="A16103" i="13"/>
  <c r="J16102" i="13"/>
  <c r="F16102" i="13"/>
  <c r="A16102" i="13"/>
  <c r="J16101" i="13"/>
  <c r="F16101" i="13"/>
  <c r="A16101" i="13"/>
  <c r="J16100" i="13"/>
  <c r="F16100" i="13"/>
  <c r="A16100" i="13"/>
  <c r="J16099" i="13"/>
  <c r="F16099" i="13"/>
  <c r="A16099" i="13"/>
  <c r="F16098" i="13"/>
  <c r="A16098" i="13"/>
  <c r="F16097" i="13"/>
  <c r="A16097" i="13"/>
  <c r="J16096" i="13"/>
  <c r="F16096" i="13"/>
  <c r="A16096" i="13"/>
  <c r="F16095" i="13"/>
  <c r="A16095" i="13"/>
  <c r="F16094" i="13"/>
  <c r="A16094" i="13"/>
  <c r="F16093" i="13"/>
  <c r="A16093" i="13"/>
  <c r="J16092" i="13"/>
  <c r="F16092" i="13"/>
  <c r="A16092" i="13"/>
  <c r="J16091" i="13"/>
  <c r="F16091" i="13"/>
  <c r="A16091" i="13"/>
  <c r="F16090" i="13"/>
  <c r="A16090" i="13"/>
  <c r="F16089" i="13"/>
  <c r="A16089" i="13"/>
  <c r="F16088" i="13"/>
  <c r="A16088" i="13"/>
  <c r="J16087" i="13"/>
  <c r="F16087" i="13"/>
  <c r="A16087" i="13"/>
  <c r="J16086" i="13"/>
  <c r="F16086" i="13"/>
  <c r="A16086" i="13"/>
  <c r="F16085" i="13"/>
  <c r="A16085" i="13"/>
  <c r="F16084" i="13"/>
  <c r="A16084" i="13"/>
  <c r="F16083" i="13"/>
  <c r="A16083" i="13"/>
  <c r="J16082" i="13"/>
  <c r="F16082" i="13"/>
  <c r="A16082" i="13"/>
  <c r="F16081" i="13"/>
  <c r="A16081" i="13"/>
  <c r="J16080" i="13"/>
  <c r="F16080" i="13"/>
  <c r="A16080" i="13"/>
  <c r="J16079" i="13"/>
  <c r="F16079" i="13"/>
  <c r="A16079" i="13"/>
  <c r="F16078" i="13"/>
  <c r="A16078" i="13"/>
  <c r="F16077" i="13"/>
  <c r="A16077" i="13"/>
  <c r="F16076" i="13"/>
  <c r="A16076" i="13"/>
  <c r="F16075" i="13"/>
  <c r="A16075" i="13"/>
  <c r="F16074" i="13"/>
  <c r="A16074" i="13"/>
  <c r="J16073" i="13"/>
  <c r="F16073" i="13"/>
  <c r="A16073" i="13"/>
  <c r="J16072" i="13"/>
  <c r="F16072" i="13"/>
  <c r="A16072" i="13"/>
  <c r="F16071" i="13"/>
  <c r="A16071" i="13"/>
  <c r="J16070" i="13"/>
  <c r="F16070" i="13"/>
  <c r="A16070" i="13"/>
  <c r="J16069" i="13"/>
  <c r="F16069" i="13"/>
  <c r="A16069" i="13"/>
  <c r="F16068" i="13"/>
  <c r="A16068" i="13"/>
  <c r="J16067" i="13"/>
  <c r="F16067" i="13"/>
  <c r="A16067" i="13"/>
  <c r="J16066" i="13"/>
  <c r="F16066" i="13"/>
  <c r="A16066" i="13"/>
  <c r="J16065" i="13"/>
  <c r="F16065" i="13"/>
  <c r="A16065" i="13"/>
  <c r="J16064" i="13"/>
  <c r="F16064" i="13"/>
  <c r="A16064" i="13"/>
  <c r="F16063" i="13"/>
  <c r="A16063" i="13"/>
  <c r="J16062" i="13"/>
  <c r="F16062" i="13"/>
  <c r="A16062" i="13"/>
  <c r="J16061" i="13"/>
  <c r="F16061" i="13"/>
  <c r="A16061" i="13"/>
  <c r="F16060" i="13"/>
  <c r="A16060" i="13"/>
  <c r="J16059" i="13"/>
  <c r="F16059" i="13"/>
  <c r="A16059" i="13"/>
  <c r="J16058" i="13"/>
  <c r="F16058" i="13"/>
  <c r="A16058" i="13"/>
  <c r="F16057" i="13"/>
  <c r="A16057" i="13"/>
  <c r="J16056" i="13"/>
  <c r="F16056" i="13"/>
  <c r="A16056" i="13"/>
  <c r="J16055" i="13"/>
  <c r="F16055" i="13"/>
  <c r="A16055" i="13"/>
  <c r="F16054" i="13"/>
  <c r="A16054" i="13"/>
  <c r="J16053" i="13"/>
  <c r="F16053" i="13"/>
  <c r="A16053" i="13"/>
  <c r="J16052" i="13"/>
  <c r="F16052" i="13"/>
  <c r="A16052" i="13"/>
  <c r="J16051" i="13"/>
  <c r="F16051" i="13"/>
  <c r="A16051" i="13"/>
  <c r="F16050" i="13"/>
  <c r="A16050" i="13"/>
  <c r="J16049" i="13"/>
  <c r="F16049" i="13"/>
  <c r="A16049" i="13"/>
  <c r="J16048" i="13"/>
  <c r="F16048" i="13"/>
  <c r="A16048" i="13"/>
  <c r="F16047" i="13"/>
  <c r="A16047" i="13"/>
  <c r="F16046" i="13"/>
  <c r="A16046" i="13"/>
  <c r="F16045" i="13"/>
  <c r="A16045" i="13"/>
  <c r="J16044" i="13"/>
  <c r="F16044" i="13"/>
  <c r="A16044" i="13"/>
  <c r="J16043" i="13"/>
  <c r="F16043" i="13"/>
  <c r="A16043" i="13"/>
  <c r="F16042" i="13"/>
  <c r="A16042" i="13"/>
  <c r="J16041" i="13"/>
  <c r="F16041" i="13"/>
  <c r="A16041" i="13"/>
  <c r="J16040" i="13"/>
  <c r="F16040" i="13"/>
  <c r="A16040" i="13"/>
  <c r="F16039" i="13"/>
  <c r="A16039" i="13"/>
  <c r="J16038" i="13"/>
  <c r="F16038" i="13"/>
  <c r="A16038" i="13"/>
  <c r="J16037" i="13"/>
  <c r="F16037" i="13"/>
  <c r="A16037" i="13"/>
  <c r="J16036" i="13"/>
  <c r="F16036" i="13"/>
  <c r="A16036" i="13"/>
  <c r="F16035" i="13"/>
  <c r="A16035" i="13"/>
  <c r="J16034" i="13"/>
  <c r="F16034" i="13"/>
  <c r="A16034" i="13"/>
  <c r="J16033" i="13"/>
  <c r="F16033" i="13"/>
  <c r="A16033" i="13"/>
  <c r="F16032" i="13"/>
  <c r="A16032" i="13"/>
  <c r="F16031" i="13"/>
  <c r="A16031" i="13"/>
  <c r="F16030" i="13"/>
  <c r="A16030" i="13"/>
  <c r="J16029" i="13"/>
  <c r="F16029" i="13"/>
  <c r="A16029" i="13"/>
  <c r="J16028" i="13"/>
  <c r="F16028" i="13"/>
  <c r="A16028" i="13"/>
  <c r="F16027" i="13"/>
  <c r="A16027" i="13"/>
  <c r="J16026" i="13"/>
  <c r="F16026" i="13"/>
  <c r="A16026" i="13"/>
  <c r="J16025" i="13"/>
  <c r="F16025" i="13"/>
  <c r="A16025" i="13"/>
  <c r="F16024" i="13"/>
  <c r="A16024" i="13"/>
  <c r="J16023" i="13"/>
  <c r="F16023" i="13"/>
  <c r="A16023" i="13"/>
  <c r="F16022" i="13"/>
  <c r="A16022" i="13"/>
  <c r="F16021" i="13"/>
  <c r="A16021" i="13"/>
  <c r="J16020" i="13"/>
  <c r="F16020" i="13"/>
  <c r="A16020" i="13"/>
  <c r="F16019" i="13"/>
  <c r="A16019" i="13"/>
  <c r="F16018" i="13"/>
  <c r="A16018" i="13"/>
  <c r="F16017" i="13"/>
  <c r="A16017" i="13"/>
  <c r="J16016" i="13"/>
  <c r="F16016" i="13"/>
  <c r="A16016" i="13"/>
  <c r="J16015" i="13"/>
  <c r="F16015" i="13"/>
  <c r="A16015" i="13"/>
  <c r="F16014" i="13"/>
  <c r="A16014" i="13"/>
  <c r="J16013" i="13"/>
  <c r="F16013" i="13"/>
  <c r="A16013" i="13"/>
  <c r="F16012" i="13"/>
  <c r="A16012" i="13"/>
  <c r="J16011" i="13"/>
  <c r="F16011" i="13"/>
  <c r="A16011" i="13"/>
  <c r="J16010" i="13"/>
  <c r="F16010" i="13"/>
  <c r="A16010" i="13"/>
  <c r="J16009" i="13"/>
  <c r="F16009" i="13"/>
  <c r="A16009" i="13"/>
  <c r="F16008" i="13"/>
  <c r="A16008" i="13"/>
  <c r="J16007" i="13"/>
  <c r="F16007" i="13"/>
  <c r="A16007" i="13"/>
  <c r="J16006" i="13"/>
  <c r="F16006" i="13"/>
  <c r="A16006" i="13"/>
  <c r="F16005" i="13"/>
  <c r="A16005" i="13"/>
  <c r="J16004" i="13"/>
  <c r="F16004" i="13"/>
  <c r="A16004" i="13"/>
  <c r="J16003" i="13"/>
  <c r="F16003" i="13"/>
  <c r="A16003" i="13"/>
  <c r="F16002" i="13"/>
  <c r="A16002" i="13"/>
  <c r="F16001" i="13"/>
  <c r="A16001" i="13"/>
  <c r="J16000" i="13"/>
  <c r="F16000" i="13"/>
  <c r="A16000" i="13"/>
  <c r="J15999" i="13"/>
  <c r="F15999" i="13"/>
  <c r="A15999" i="13"/>
  <c r="J15998" i="13"/>
  <c r="F15998" i="13"/>
  <c r="A15998" i="13"/>
  <c r="F15997" i="13"/>
  <c r="A15997" i="13"/>
  <c r="J15996" i="13"/>
  <c r="F15996" i="13"/>
  <c r="A15996" i="13"/>
  <c r="J15995" i="13"/>
  <c r="F15995" i="13"/>
  <c r="A15995" i="13"/>
  <c r="F15994" i="13"/>
  <c r="A15994" i="13"/>
  <c r="F15993" i="13"/>
  <c r="A15993" i="13"/>
  <c r="F15992" i="13"/>
  <c r="A15992" i="13"/>
  <c r="J15991" i="13"/>
  <c r="F15991" i="13"/>
  <c r="A15991" i="13"/>
  <c r="F15990" i="13"/>
  <c r="A15990" i="13"/>
  <c r="J15989" i="13"/>
  <c r="F15989" i="13"/>
  <c r="A15989" i="13"/>
  <c r="J15988" i="13"/>
  <c r="F15988" i="13"/>
  <c r="A15988" i="13"/>
  <c r="J15987" i="13"/>
  <c r="F15987" i="13"/>
  <c r="A15987" i="13"/>
  <c r="J15986" i="13"/>
  <c r="F15986" i="13"/>
  <c r="A15986" i="13"/>
  <c r="F15985" i="13"/>
  <c r="A15985" i="13"/>
  <c r="J15984" i="13"/>
  <c r="F15984" i="13"/>
  <c r="A15984" i="13"/>
  <c r="J15983" i="13"/>
  <c r="F15983" i="13"/>
  <c r="A15983" i="13"/>
  <c r="F15982" i="13"/>
  <c r="A15982" i="13"/>
  <c r="F15981" i="13"/>
  <c r="A15981" i="13"/>
  <c r="J15980" i="13"/>
  <c r="F15980" i="13"/>
  <c r="A15980" i="13"/>
  <c r="F15979" i="13"/>
  <c r="A15979" i="13"/>
  <c r="F15978" i="13"/>
  <c r="A15978" i="13"/>
  <c r="F15977" i="13"/>
  <c r="A15977" i="13"/>
  <c r="J15976" i="13"/>
  <c r="F15976" i="13"/>
  <c r="A15976" i="13"/>
  <c r="J15975" i="13"/>
  <c r="F15975" i="13"/>
  <c r="A15975" i="13"/>
  <c r="J15974" i="13"/>
  <c r="F15974" i="13"/>
  <c r="A15974" i="13"/>
  <c r="F15973" i="13"/>
  <c r="A15973" i="13"/>
  <c r="J15972" i="13"/>
  <c r="F15972" i="13"/>
  <c r="A15972" i="13"/>
  <c r="J15971" i="13"/>
  <c r="F15971" i="13"/>
  <c r="A15971" i="13"/>
  <c r="J15970" i="13"/>
  <c r="F15970" i="13"/>
  <c r="A15970" i="13"/>
  <c r="J15969" i="13"/>
  <c r="F15969" i="13"/>
  <c r="A15969" i="13"/>
  <c r="J15968" i="13"/>
  <c r="F15968" i="13"/>
  <c r="A15968" i="13"/>
  <c r="J15967" i="13"/>
  <c r="F15967" i="13"/>
  <c r="A15967" i="13"/>
  <c r="J15966" i="13"/>
  <c r="F15966" i="13"/>
  <c r="A15966" i="13"/>
  <c r="J15965" i="13"/>
  <c r="F15965" i="13"/>
  <c r="A15965" i="13"/>
  <c r="J15964" i="13"/>
  <c r="F15964" i="13"/>
  <c r="A15964" i="13"/>
  <c r="F15963" i="13"/>
  <c r="A15963" i="13"/>
  <c r="J15962" i="13"/>
  <c r="F15962" i="13"/>
  <c r="A15962" i="13"/>
  <c r="J15961" i="13"/>
  <c r="F15961" i="13"/>
  <c r="A15961" i="13"/>
  <c r="F15960" i="13"/>
  <c r="A15960" i="13"/>
  <c r="F15959" i="13"/>
  <c r="A15959" i="13"/>
  <c r="J15958" i="13"/>
  <c r="F15958" i="13"/>
  <c r="A15958" i="13"/>
  <c r="J15957" i="13"/>
  <c r="F15957" i="13"/>
  <c r="A15957" i="13"/>
  <c r="J15956" i="13"/>
  <c r="F15956" i="13"/>
  <c r="A15956" i="13"/>
  <c r="F15955" i="13"/>
  <c r="A15955" i="13"/>
  <c r="J15954" i="13"/>
  <c r="F15954" i="13"/>
  <c r="A15954" i="13"/>
  <c r="J15953" i="13"/>
  <c r="F15953" i="13"/>
  <c r="A15953" i="13"/>
  <c r="J15952" i="13"/>
  <c r="F15952" i="13"/>
  <c r="A15952" i="13"/>
  <c r="F15951" i="13"/>
  <c r="A15951" i="13"/>
  <c r="J15950" i="13"/>
  <c r="F15950" i="13"/>
  <c r="A15950" i="13"/>
  <c r="J15949" i="13"/>
  <c r="F15949" i="13"/>
  <c r="A15949" i="13"/>
  <c r="J15948" i="13"/>
  <c r="F15948" i="13"/>
  <c r="A15948" i="13"/>
  <c r="F15947" i="13"/>
  <c r="A15947" i="13"/>
  <c r="J15946" i="13"/>
  <c r="F15946" i="13"/>
  <c r="A15946" i="13"/>
  <c r="J15945" i="13"/>
  <c r="F15945" i="13"/>
  <c r="A15945" i="13"/>
  <c r="J15944" i="13"/>
  <c r="F15944" i="13"/>
  <c r="A15944" i="13"/>
  <c r="F15943" i="13"/>
  <c r="A15943" i="13"/>
  <c r="J15942" i="13"/>
  <c r="F15942" i="13"/>
  <c r="A15942" i="13"/>
  <c r="J15941" i="13"/>
  <c r="F15941" i="13"/>
  <c r="A15941" i="13"/>
  <c r="F15940" i="13"/>
  <c r="A15940" i="13"/>
  <c r="J15939" i="13"/>
  <c r="F15939" i="13"/>
  <c r="A15939" i="13"/>
  <c r="J15938" i="13"/>
  <c r="F15938" i="13"/>
  <c r="A15938" i="13"/>
  <c r="J15937" i="13"/>
  <c r="F15937" i="13"/>
  <c r="A15937" i="13"/>
  <c r="J15936" i="13"/>
  <c r="F15936" i="13"/>
  <c r="A15936" i="13"/>
  <c r="J15935" i="13"/>
  <c r="F15935" i="13"/>
  <c r="A15935" i="13"/>
  <c r="F15934" i="13"/>
  <c r="A15934" i="13"/>
  <c r="F15933" i="13"/>
  <c r="A15933" i="13"/>
  <c r="J15932" i="13"/>
  <c r="F15932" i="13"/>
  <c r="A15932" i="13"/>
  <c r="F15931" i="13"/>
  <c r="A15931" i="13"/>
  <c r="J15930" i="13"/>
  <c r="F15930" i="13"/>
  <c r="A15930" i="13"/>
  <c r="J15929" i="13"/>
  <c r="F15929" i="13"/>
  <c r="A15929" i="13"/>
  <c r="J15928" i="13"/>
  <c r="F15928" i="13"/>
  <c r="A15928" i="13"/>
  <c r="J15927" i="13"/>
  <c r="F15927" i="13"/>
  <c r="A15927" i="13"/>
  <c r="F15926" i="13"/>
  <c r="A15926" i="13"/>
  <c r="J15925" i="13"/>
  <c r="F15925" i="13"/>
  <c r="A15925" i="13"/>
  <c r="F15924" i="13"/>
  <c r="A15924" i="13"/>
  <c r="J15923" i="13"/>
  <c r="F15923" i="13"/>
  <c r="A15923" i="13"/>
  <c r="F15922" i="13"/>
  <c r="A15922" i="13"/>
  <c r="F15921" i="13"/>
  <c r="A15921" i="13"/>
  <c r="J15920" i="13"/>
  <c r="F15920" i="13"/>
  <c r="A15920" i="13"/>
  <c r="J15919" i="13"/>
  <c r="F15919" i="13"/>
  <c r="A15919" i="13"/>
  <c r="J15918" i="13"/>
  <c r="F15918" i="13"/>
  <c r="A15918" i="13"/>
  <c r="J15917" i="13"/>
  <c r="F15917" i="13"/>
  <c r="A15917" i="13"/>
  <c r="F15916" i="13"/>
  <c r="A15916" i="13"/>
  <c r="F15915" i="13"/>
  <c r="A15915" i="13"/>
  <c r="J15914" i="13"/>
  <c r="F15914" i="13"/>
  <c r="J15913" i="13"/>
  <c r="F15913" i="13"/>
  <c r="J15912" i="13"/>
  <c r="F15912" i="13"/>
  <c r="F15911" i="13"/>
  <c r="A15911" i="13"/>
  <c r="F15910" i="13"/>
  <c r="A15910" i="13"/>
  <c r="F15909" i="13"/>
  <c r="J15908" i="13"/>
  <c r="F15908" i="13"/>
  <c r="A15908" i="13"/>
  <c r="F15907" i="13"/>
  <c r="A15907" i="13"/>
  <c r="F15906" i="13"/>
  <c r="A15906" i="13"/>
  <c r="J15905" i="13"/>
  <c r="F15905" i="13"/>
  <c r="A15905" i="13"/>
  <c r="J15904" i="13"/>
  <c r="F15904" i="13"/>
  <c r="A15904" i="13"/>
  <c r="J15903" i="13"/>
  <c r="F15903" i="13"/>
  <c r="A15903" i="13"/>
  <c r="J15902" i="13"/>
  <c r="F15902" i="13"/>
  <c r="A15902" i="13"/>
  <c r="F15901" i="13"/>
  <c r="A15901" i="13"/>
  <c r="J15900" i="13"/>
  <c r="F15900" i="13"/>
  <c r="A15900" i="13"/>
  <c r="J15899" i="13"/>
  <c r="F15899" i="13"/>
  <c r="A15899" i="13"/>
  <c r="J15898" i="13"/>
  <c r="F15898" i="13"/>
  <c r="A15898" i="13"/>
  <c r="J15897" i="13"/>
  <c r="F15897" i="13"/>
  <c r="A15897" i="13"/>
  <c r="F15896" i="13"/>
  <c r="A15896" i="13"/>
  <c r="J15895" i="13"/>
  <c r="F15895" i="13"/>
  <c r="A15895" i="13"/>
  <c r="F15894" i="13"/>
  <c r="A15894" i="13"/>
  <c r="F15893" i="13"/>
  <c r="A15893" i="13"/>
  <c r="F15892" i="13"/>
  <c r="A15892" i="13"/>
  <c r="J15891" i="13"/>
  <c r="F15891" i="13"/>
  <c r="J15890" i="13"/>
  <c r="F15890" i="13"/>
  <c r="J15889" i="13"/>
  <c r="F15889" i="13"/>
  <c r="J15888" i="13"/>
  <c r="F15888" i="13"/>
  <c r="J15887" i="13"/>
  <c r="F15887" i="13"/>
  <c r="J15886" i="13"/>
  <c r="F15886" i="13"/>
  <c r="J15885" i="13"/>
  <c r="F15885" i="13"/>
  <c r="F15884" i="13"/>
  <c r="A15884" i="13"/>
  <c r="F15883" i="13"/>
  <c r="A15883" i="13"/>
  <c r="F15882" i="13"/>
  <c r="A15882" i="13"/>
  <c r="F15881" i="13"/>
  <c r="A15881" i="13"/>
  <c r="F15880" i="13"/>
  <c r="A15880" i="13"/>
  <c r="F15879" i="13"/>
  <c r="A15879" i="13"/>
  <c r="F15878" i="13"/>
  <c r="A15878" i="13"/>
  <c r="F15877" i="13"/>
  <c r="A15877" i="13"/>
  <c r="F15876" i="13"/>
  <c r="A15876" i="13"/>
  <c r="F15875" i="13"/>
  <c r="F15874" i="13"/>
  <c r="A15874" i="13"/>
  <c r="J15873" i="13"/>
  <c r="F15873" i="13"/>
  <c r="A15873" i="13"/>
  <c r="J15872" i="13"/>
  <c r="F15872" i="13"/>
  <c r="A15872" i="13"/>
  <c r="F15871" i="13"/>
  <c r="A15871" i="13"/>
  <c r="F15870" i="13"/>
  <c r="A15870" i="13"/>
  <c r="J15869" i="13"/>
  <c r="F15869" i="13"/>
  <c r="A15869" i="13"/>
  <c r="F15868" i="13"/>
  <c r="A15868" i="13"/>
  <c r="J15867" i="13"/>
  <c r="F15867" i="13"/>
  <c r="A15867" i="13"/>
  <c r="J15866" i="13"/>
  <c r="F15866" i="13"/>
  <c r="A15866" i="13"/>
  <c r="J15865" i="13"/>
  <c r="F15865" i="13"/>
  <c r="A15865" i="13"/>
  <c r="F15864" i="13"/>
  <c r="A15864" i="13"/>
  <c r="J15863" i="13"/>
  <c r="F15863" i="13"/>
  <c r="A15863" i="13"/>
  <c r="J15862" i="13"/>
  <c r="F15862" i="13"/>
  <c r="A15862" i="13"/>
  <c r="F15861" i="13"/>
  <c r="A15861" i="13"/>
  <c r="J15860" i="13"/>
  <c r="F15860" i="13"/>
  <c r="A15860" i="13"/>
  <c r="F15859" i="13"/>
  <c r="A15859" i="13"/>
  <c r="J15858" i="13"/>
  <c r="F15858" i="13"/>
  <c r="A15858" i="13"/>
  <c r="J15857" i="13"/>
  <c r="F15857" i="13"/>
  <c r="A15857" i="13"/>
  <c r="J15856" i="13"/>
  <c r="F15856" i="13"/>
  <c r="A15856" i="13"/>
  <c r="F15855" i="13"/>
  <c r="A15855" i="13"/>
  <c r="F15854" i="13"/>
  <c r="A15854" i="13"/>
  <c r="J15853" i="13"/>
  <c r="F15853" i="13"/>
  <c r="A15853" i="13"/>
  <c r="J15852" i="13"/>
  <c r="F15852" i="13"/>
  <c r="A15852" i="13"/>
  <c r="J15851" i="13"/>
  <c r="F15851" i="13"/>
  <c r="A15851" i="13"/>
  <c r="J15850" i="13"/>
  <c r="F15850" i="13"/>
  <c r="A15850" i="13"/>
  <c r="J15849" i="13"/>
  <c r="F15849" i="13"/>
  <c r="A15849" i="13"/>
  <c r="J15848" i="13"/>
  <c r="F15848" i="13"/>
  <c r="A15848" i="13"/>
  <c r="J15847" i="13"/>
  <c r="F15847" i="13"/>
  <c r="A15847" i="13"/>
  <c r="J15846" i="13"/>
  <c r="F15846" i="13"/>
  <c r="A15846" i="13"/>
  <c r="F15845" i="13"/>
  <c r="A15845" i="13"/>
  <c r="J15844" i="13"/>
  <c r="F15844" i="13"/>
  <c r="A15844" i="13"/>
  <c r="F15843" i="13"/>
  <c r="A15843" i="13"/>
  <c r="F15842" i="13"/>
  <c r="A15842" i="13"/>
  <c r="J15841" i="13"/>
  <c r="F15841" i="13"/>
  <c r="A15841" i="13"/>
  <c r="J15840" i="13"/>
  <c r="F15840" i="13"/>
  <c r="A15840" i="13"/>
  <c r="J15839" i="13"/>
  <c r="F15839" i="13"/>
  <c r="A15839" i="13"/>
  <c r="J15838" i="13"/>
  <c r="F15838" i="13"/>
  <c r="A15838" i="13"/>
  <c r="F15837" i="13"/>
  <c r="A15837" i="13"/>
  <c r="F15836" i="13"/>
  <c r="A15836" i="13"/>
  <c r="F15835" i="13"/>
  <c r="A15835" i="13"/>
  <c r="J15834" i="13"/>
  <c r="F15834" i="13"/>
  <c r="A15834" i="13"/>
  <c r="J15833" i="13"/>
  <c r="F15833" i="13"/>
  <c r="A15833" i="13"/>
  <c r="F15832" i="13"/>
  <c r="A15832" i="13"/>
  <c r="F15831" i="13"/>
  <c r="A15831" i="13"/>
  <c r="F15830" i="13"/>
  <c r="A15830" i="13"/>
  <c r="J15829" i="13"/>
  <c r="F15829" i="13"/>
  <c r="A15829" i="13"/>
  <c r="F15828" i="13"/>
  <c r="A15828" i="13"/>
  <c r="F15827" i="13"/>
  <c r="A15827" i="13"/>
  <c r="F15826" i="13"/>
  <c r="A15826" i="13"/>
  <c r="J15825" i="13"/>
  <c r="F15825" i="13"/>
  <c r="A15825" i="13"/>
  <c r="J15824" i="13"/>
  <c r="F15824" i="13"/>
  <c r="A15824" i="13"/>
  <c r="J15823" i="13"/>
  <c r="F15823" i="13"/>
  <c r="A15823" i="13"/>
  <c r="F15822" i="13"/>
  <c r="A15822" i="13"/>
  <c r="F15821" i="13"/>
  <c r="A15821" i="13"/>
  <c r="J15820" i="13"/>
  <c r="F15820" i="13"/>
  <c r="J15819" i="13"/>
  <c r="F15819" i="13"/>
  <c r="J15818" i="13"/>
  <c r="F15818" i="13"/>
  <c r="J15817" i="13"/>
  <c r="F15817" i="13"/>
  <c r="F15816" i="13"/>
  <c r="A15816" i="13"/>
  <c r="F15815" i="13"/>
  <c r="A15815" i="13"/>
  <c r="F15814" i="13"/>
  <c r="A15814" i="13"/>
  <c r="F15813" i="13"/>
  <c r="A15813" i="13"/>
  <c r="F15812" i="13"/>
  <c r="A15812" i="13"/>
  <c r="F15811" i="13"/>
  <c r="F15810" i="13"/>
  <c r="A15810" i="13"/>
  <c r="F15809" i="13"/>
  <c r="A15809" i="13"/>
  <c r="J15808" i="13"/>
  <c r="F15808" i="13"/>
  <c r="J15807" i="13"/>
  <c r="F15807" i="13"/>
  <c r="J15806" i="13"/>
  <c r="F15806" i="13"/>
  <c r="F15805" i="13"/>
  <c r="A15805" i="13"/>
  <c r="F15804" i="13"/>
  <c r="A15804" i="13"/>
  <c r="F15803" i="13"/>
  <c r="A15803" i="13"/>
  <c r="F15802" i="13"/>
  <c r="A15802" i="13"/>
  <c r="F15801" i="13"/>
  <c r="A15801" i="13"/>
  <c r="F15800" i="13"/>
  <c r="A15800" i="13"/>
  <c r="F15799" i="13"/>
  <c r="A15799" i="13"/>
  <c r="F15798" i="13"/>
  <c r="A15798" i="13"/>
  <c r="F15797" i="13"/>
  <c r="F15796" i="13"/>
  <c r="A15796" i="13"/>
  <c r="F15795" i="13"/>
  <c r="A15795" i="13"/>
  <c r="J15794" i="13"/>
  <c r="F15794" i="13"/>
  <c r="A15794" i="13"/>
  <c r="J15793" i="13"/>
  <c r="F15793" i="13"/>
  <c r="A15793" i="13"/>
  <c r="J15792" i="13"/>
  <c r="F15792" i="13"/>
  <c r="A15792" i="13"/>
  <c r="F15791" i="13"/>
  <c r="A15791" i="13"/>
  <c r="F15790" i="13"/>
  <c r="A15790" i="13"/>
  <c r="J15789" i="13"/>
  <c r="F15789" i="13"/>
  <c r="A15789" i="13"/>
  <c r="J15788" i="13"/>
  <c r="F15788" i="13"/>
  <c r="A15788" i="13"/>
  <c r="J15787" i="13"/>
  <c r="F15787" i="13"/>
  <c r="A15787" i="13"/>
  <c r="J15786" i="13"/>
  <c r="F15786" i="13"/>
  <c r="A15786" i="13"/>
  <c r="J15785" i="13"/>
  <c r="F15785" i="13"/>
  <c r="A15785" i="13"/>
  <c r="F15784" i="13"/>
  <c r="A15784" i="13"/>
  <c r="J15783" i="13"/>
  <c r="F15783" i="13"/>
  <c r="A15783" i="13"/>
  <c r="J15782" i="13"/>
  <c r="F15782" i="13"/>
  <c r="A15782" i="13"/>
  <c r="F15781" i="13"/>
  <c r="A15781" i="13"/>
  <c r="F15780" i="13"/>
  <c r="A15780" i="13"/>
  <c r="F15779" i="13"/>
  <c r="A15779" i="13"/>
  <c r="J15778" i="13"/>
  <c r="F15778" i="13"/>
  <c r="A15778" i="13"/>
  <c r="J15777" i="13"/>
  <c r="F15777" i="13"/>
  <c r="A15777" i="13"/>
  <c r="J15776" i="13"/>
  <c r="F15776" i="13"/>
  <c r="A15776" i="13"/>
  <c r="F15775" i="13"/>
  <c r="A15775" i="13"/>
  <c r="J15774" i="13"/>
  <c r="F15774" i="13"/>
  <c r="A15774" i="13"/>
  <c r="J15773" i="13"/>
  <c r="F15773" i="13"/>
  <c r="A15773" i="13"/>
  <c r="J15772" i="13"/>
  <c r="F15772" i="13"/>
  <c r="A15772" i="13"/>
  <c r="F15771" i="13"/>
  <c r="A15771" i="13"/>
  <c r="J15770" i="13"/>
  <c r="F15770" i="13"/>
  <c r="A15770" i="13"/>
  <c r="J15769" i="13"/>
  <c r="F15769" i="13"/>
  <c r="A15769" i="13"/>
  <c r="F15768" i="13"/>
  <c r="A15768" i="13"/>
  <c r="J15767" i="13"/>
  <c r="F15767" i="13"/>
  <c r="A15767" i="13"/>
  <c r="F15766" i="13"/>
  <c r="A15766" i="13"/>
  <c r="J15765" i="13"/>
  <c r="F15765" i="13"/>
  <c r="A15765" i="13"/>
  <c r="J15764" i="13"/>
  <c r="F15764" i="13"/>
  <c r="A15764" i="13"/>
  <c r="J15763" i="13"/>
  <c r="F15763" i="13"/>
  <c r="A15763" i="13"/>
  <c r="F15762" i="13"/>
  <c r="A15762" i="13"/>
  <c r="F15761" i="13"/>
  <c r="A15761" i="13"/>
  <c r="J15760" i="13"/>
  <c r="F15760" i="13"/>
  <c r="A15760" i="13"/>
  <c r="F15759" i="13"/>
  <c r="A15759" i="13"/>
  <c r="J15758" i="13"/>
  <c r="F15758" i="13"/>
  <c r="A15758" i="13"/>
  <c r="J15757" i="13"/>
  <c r="F15757" i="13"/>
  <c r="A15757" i="13"/>
  <c r="J15756" i="13"/>
  <c r="F15756" i="13"/>
  <c r="A15756" i="13"/>
  <c r="F15755" i="13"/>
  <c r="A15755" i="13"/>
  <c r="F15754" i="13"/>
  <c r="A15754" i="13"/>
  <c r="J15753" i="13"/>
  <c r="F15753" i="13"/>
  <c r="A15753" i="13"/>
  <c r="F15752" i="13"/>
  <c r="A15752" i="13"/>
  <c r="J15751" i="13"/>
  <c r="F15751" i="13"/>
  <c r="A15751" i="13"/>
  <c r="J15750" i="13"/>
  <c r="F15750" i="13"/>
  <c r="A15750" i="13"/>
  <c r="F15749" i="13"/>
  <c r="A15749" i="13"/>
  <c r="F15748" i="13"/>
  <c r="A15748" i="13"/>
  <c r="F15747" i="13"/>
  <c r="A15747" i="13"/>
  <c r="J15746" i="13"/>
  <c r="F15746" i="13"/>
  <c r="A15746" i="13"/>
  <c r="F15745" i="13"/>
  <c r="A15745" i="13"/>
  <c r="F15744" i="13"/>
  <c r="A15744" i="13"/>
  <c r="F15743" i="13"/>
  <c r="A15743" i="13"/>
  <c r="F15742" i="13"/>
  <c r="A15742" i="13"/>
  <c r="J15741" i="13"/>
  <c r="F15741" i="13"/>
  <c r="A15741" i="13"/>
  <c r="F15740" i="13"/>
  <c r="A15740" i="13"/>
  <c r="F15739" i="13"/>
  <c r="A15739" i="13"/>
  <c r="J15738" i="13"/>
  <c r="F15738" i="13"/>
  <c r="A15738" i="13"/>
  <c r="J15737" i="13"/>
  <c r="F15737" i="13"/>
  <c r="A15737" i="13"/>
  <c r="J15736" i="13"/>
  <c r="F15736" i="13"/>
  <c r="A15736" i="13"/>
  <c r="J15735" i="13"/>
  <c r="F15735" i="13"/>
  <c r="A15735" i="13"/>
  <c r="F15734" i="13"/>
  <c r="A15734" i="13"/>
  <c r="J15733" i="13"/>
  <c r="F15733" i="13"/>
  <c r="A15733" i="13"/>
  <c r="F15732" i="13"/>
  <c r="A15732" i="13"/>
  <c r="J15731" i="13"/>
  <c r="F15731" i="13"/>
  <c r="A15731" i="13"/>
  <c r="F15730" i="13"/>
  <c r="A15730" i="13"/>
  <c r="F15729" i="13"/>
  <c r="A15729" i="13"/>
  <c r="J15728" i="13"/>
  <c r="F15728" i="13"/>
  <c r="A15728" i="13"/>
  <c r="J15727" i="13"/>
  <c r="F15727" i="13"/>
  <c r="A15727" i="13"/>
  <c r="F15726" i="13"/>
  <c r="A15726" i="13"/>
  <c r="J15725" i="13"/>
  <c r="F15725" i="13"/>
  <c r="A15725" i="13"/>
  <c r="J15724" i="13"/>
  <c r="F15724" i="13"/>
  <c r="A15724" i="13"/>
  <c r="J15723" i="13"/>
  <c r="F15723" i="13"/>
  <c r="A15723" i="13"/>
  <c r="F15722" i="13"/>
  <c r="A15722" i="13"/>
  <c r="J15721" i="13"/>
  <c r="F15721" i="13"/>
  <c r="A15721" i="13"/>
  <c r="J15720" i="13"/>
  <c r="F15720" i="13"/>
  <c r="A15720" i="13"/>
  <c r="F15719" i="13"/>
  <c r="A15719" i="13"/>
  <c r="F15718" i="13"/>
  <c r="A15718" i="13"/>
  <c r="J15717" i="13"/>
  <c r="F15717" i="13"/>
  <c r="A15717" i="13"/>
  <c r="F15716" i="13"/>
  <c r="A15716" i="13"/>
  <c r="F15715" i="13"/>
  <c r="A15715" i="13"/>
  <c r="J15714" i="13"/>
  <c r="F15714" i="13"/>
  <c r="A15714" i="13"/>
  <c r="J15713" i="13"/>
  <c r="F15713" i="13"/>
  <c r="A15713" i="13"/>
  <c r="J15712" i="13"/>
  <c r="F15712" i="13"/>
  <c r="A15712" i="13"/>
  <c r="J15711" i="13"/>
  <c r="F15711" i="13"/>
  <c r="A15711" i="13"/>
  <c r="J15710" i="13"/>
  <c r="F15710" i="13"/>
  <c r="A15710" i="13"/>
  <c r="J15709" i="13"/>
  <c r="F15709" i="13"/>
  <c r="A15709" i="13"/>
  <c r="F15708" i="13"/>
  <c r="A15708" i="13"/>
  <c r="J15707" i="13"/>
  <c r="F15707" i="13"/>
  <c r="A15707" i="13"/>
  <c r="F15706" i="13"/>
  <c r="A15706" i="13"/>
  <c r="J15705" i="13"/>
  <c r="F15705" i="13"/>
  <c r="A15705" i="13"/>
  <c r="F15704" i="13"/>
  <c r="A15704" i="13"/>
  <c r="F15703" i="13"/>
  <c r="A15703" i="13"/>
  <c r="F15702" i="13"/>
  <c r="A15702" i="13"/>
  <c r="F15701" i="13"/>
  <c r="A15701" i="13"/>
  <c r="F15700" i="13"/>
  <c r="A15700" i="13"/>
  <c r="F15699" i="13"/>
  <c r="A15699" i="13"/>
  <c r="F15698" i="13"/>
  <c r="A15698" i="13"/>
  <c r="F15697" i="13"/>
  <c r="A15697" i="13"/>
  <c r="F15696" i="13"/>
  <c r="F15695" i="13"/>
  <c r="A15695" i="13"/>
  <c r="F15694" i="13"/>
  <c r="A15694" i="13"/>
  <c r="F15693" i="13"/>
  <c r="A15693" i="13"/>
  <c r="F15692" i="13"/>
  <c r="A15692" i="13"/>
  <c r="F15691" i="13"/>
  <c r="A15691" i="13"/>
  <c r="F15690" i="13"/>
  <c r="A15690" i="13"/>
  <c r="F15689" i="13"/>
  <c r="A15689" i="13"/>
  <c r="J15688" i="13"/>
  <c r="F15688" i="13"/>
  <c r="A15688" i="13"/>
  <c r="J15687" i="13"/>
  <c r="F15687" i="13"/>
  <c r="A15687" i="13"/>
  <c r="F15686" i="13"/>
  <c r="A15686" i="13"/>
  <c r="F15685" i="13"/>
  <c r="A15685" i="13"/>
  <c r="F15684" i="13"/>
  <c r="A15684" i="13"/>
  <c r="F15683" i="13"/>
  <c r="A15683" i="13"/>
  <c r="F15682" i="13"/>
  <c r="A15682" i="13"/>
  <c r="F15681" i="13"/>
  <c r="A15681" i="13"/>
  <c r="F15680" i="13"/>
  <c r="A15680" i="13"/>
  <c r="J15679" i="13"/>
  <c r="F15679" i="13"/>
  <c r="A15679" i="13"/>
  <c r="J15678" i="13"/>
  <c r="F15678" i="13"/>
  <c r="A15678" i="13"/>
  <c r="J15677" i="13"/>
  <c r="F15677" i="13"/>
  <c r="A15677" i="13"/>
  <c r="F15676" i="13"/>
  <c r="A15676" i="13"/>
  <c r="J15675" i="13"/>
  <c r="F15675" i="13"/>
  <c r="A15675" i="13"/>
  <c r="F15674" i="13"/>
  <c r="A15674" i="13"/>
  <c r="J15673" i="13"/>
  <c r="F15673" i="13"/>
  <c r="A15673" i="13"/>
  <c r="J15672" i="13"/>
  <c r="F15672" i="13"/>
  <c r="A15672" i="13"/>
  <c r="J15671" i="13"/>
  <c r="F15671" i="13"/>
  <c r="A15671" i="13"/>
  <c r="F15670" i="13"/>
  <c r="A15670" i="13"/>
  <c r="F15669" i="13"/>
  <c r="A15669" i="13"/>
  <c r="F15668" i="13"/>
  <c r="A15668" i="13"/>
  <c r="F15667" i="13"/>
  <c r="J15666" i="13"/>
  <c r="F15666" i="13"/>
  <c r="A15666" i="13"/>
  <c r="J15665" i="13"/>
  <c r="F15665" i="13"/>
  <c r="A15665" i="13"/>
  <c r="J15664" i="13"/>
  <c r="F15664" i="13"/>
  <c r="A15664" i="13"/>
  <c r="J15663" i="13"/>
  <c r="F15663" i="13"/>
  <c r="A15663" i="13"/>
  <c r="F15662" i="13"/>
  <c r="A15662" i="13"/>
  <c r="J15661" i="13"/>
  <c r="F15661" i="13"/>
  <c r="A15661" i="13"/>
  <c r="J15660" i="13"/>
  <c r="F15660" i="13"/>
  <c r="A15660" i="13"/>
  <c r="J15659" i="13"/>
  <c r="F15659" i="13"/>
  <c r="A15659" i="13"/>
  <c r="J15658" i="13"/>
  <c r="F15658" i="13"/>
  <c r="A15658" i="13"/>
  <c r="J15657" i="13"/>
  <c r="F15657" i="13"/>
  <c r="A15657" i="13"/>
  <c r="F15656" i="13"/>
  <c r="A15656" i="13"/>
  <c r="J15655" i="13"/>
  <c r="F15655" i="13"/>
  <c r="A15655" i="13"/>
  <c r="J15654" i="13"/>
  <c r="F15654" i="13"/>
  <c r="A15654" i="13"/>
  <c r="J15653" i="13"/>
  <c r="F15653" i="13"/>
  <c r="A15653" i="13"/>
  <c r="F15652" i="13"/>
  <c r="A15652" i="13"/>
  <c r="J15651" i="13"/>
  <c r="F15651" i="13"/>
  <c r="A15651" i="13"/>
  <c r="J15650" i="13"/>
  <c r="F15650" i="13"/>
  <c r="A15650" i="13"/>
  <c r="F15649" i="13"/>
  <c r="A15649" i="13"/>
  <c r="F15648" i="13"/>
  <c r="A15648" i="13"/>
  <c r="J15647" i="13"/>
  <c r="F15647" i="13"/>
  <c r="A15647" i="13"/>
  <c r="F15646" i="13"/>
  <c r="A15646" i="13"/>
  <c r="F15645" i="13"/>
  <c r="A15645" i="13"/>
  <c r="J15644" i="13"/>
  <c r="F15644" i="13"/>
  <c r="A15644" i="13"/>
  <c r="J15643" i="13"/>
  <c r="F15643" i="13"/>
  <c r="A15643" i="13"/>
  <c r="F15642" i="13"/>
  <c r="A15642" i="13"/>
  <c r="F15641" i="13"/>
  <c r="A15641" i="13"/>
  <c r="F15640" i="13"/>
  <c r="A15640" i="13"/>
  <c r="F15639" i="13"/>
  <c r="A15639" i="13"/>
  <c r="J15638" i="13"/>
  <c r="F15638" i="13"/>
  <c r="A15638" i="13"/>
  <c r="J15637" i="13"/>
  <c r="F15637" i="13"/>
  <c r="A15637" i="13"/>
  <c r="F15636" i="13"/>
  <c r="A15636" i="13"/>
  <c r="F15635" i="13"/>
  <c r="A15635" i="13"/>
  <c r="J15634" i="13"/>
  <c r="F15634" i="13"/>
  <c r="A15634" i="13"/>
  <c r="F15633" i="13"/>
  <c r="A15633" i="13"/>
  <c r="J15632" i="13"/>
  <c r="F15632" i="13"/>
  <c r="A15632" i="13"/>
  <c r="J15631" i="13"/>
  <c r="F15631" i="13"/>
  <c r="A15631" i="13"/>
  <c r="J15630" i="13"/>
  <c r="F15630" i="13"/>
  <c r="A15630" i="13"/>
  <c r="J15629" i="13"/>
  <c r="F15629" i="13"/>
  <c r="A15629" i="13"/>
  <c r="F15628" i="13"/>
  <c r="A15628" i="13"/>
  <c r="F15627" i="13"/>
  <c r="A15627" i="13"/>
  <c r="J15626" i="13"/>
  <c r="F15626" i="13"/>
  <c r="A15626" i="13"/>
  <c r="J15625" i="13"/>
  <c r="F15625" i="13"/>
  <c r="A15625" i="13"/>
  <c r="F15624" i="13"/>
  <c r="A15624" i="13"/>
  <c r="J15623" i="13"/>
  <c r="F15623" i="13"/>
  <c r="A15623" i="13"/>
  <c r="J15622" i="13"/>
  <c r="F15622" i="13"/>
  <c r="A15622" i="13"/>
  <c r="J15621" i="13"/>
  <c r="F15621" i="13"/>
  <c r="A15621" i="13"/>
  <c r="J15620" i="13"/>
  <c r="F15620" i="13"/>
  <c r="A15620" i="13"/>
  <c r="F15619" i="13"/>
  <c r="A15619" i="13"/>
  <c r="J15618" i="13"/>
  <c r="F15618" i="13"/>
  <c r="A15618" i="13"/>
  <c r="J15617" i="13"/>
  <c r="F15617" i="13"/>
  <c r="A15617" i="13"/>
  <c r="J15616" i="13"/>
  <c r="F15616" i="13"/>
  <c r="A15616" i="13"/>
  <c r="J15615" i="13"/>
  <c r="F15615" i="13"/>
  <c r="A15615" i="13"/>
  <c r="J15614" i="13"/>
  <c r="F15614" i="13"/>
  <c r="A15614" i="13"/>
  <c r="J15613" i="13"/>
  <c r="F15613" i="13"/>
  <c r="A15613" i="13"/>
  <c r="J15612" i="13"/>
  <c r="F15612" i="13"/>
  <c r="A15612" i="13"/>
  <c r="F15611" i="13"/>
  <c r="A15611" i="13"/>
  <c r="J15610" i="13"/>
  <c r="F15610" i="13"/>
  <c r="A15610" i="13"/>
  <c r="J15609" i="13"/>
  <c r="F15609" i="13"/>
  <c r="A15609" i="13"/>
  <c r="J15608" i="13"/>
  <c r="F15608" i="13"/>
  <c r="A15608" i="13"/>
  <c r="J15607" i="13"/>
  <c r="F15607" i="13"/>
  <c r="A15607" i="13"/>
  <c r="F15606" i="13"/>
  <c r="A15606" i="13"/>
  <c r="J15605" i="13"/>
  <c r="F15605" i="13"/>
  <c r="A15605" i="13"/>
  <c r="J15604" i="13"/>
  <c r="F15604" i="13"/>
  <c r="A15604" i="13"/>
  <c r="F15603" i="13"/>
  <c r="A15603" i="13"/>
  <c r="J15602" i="13"/>
  <c r="F15602" i="13"/>
  <c r="A15602" i="13"/>
  <c r="J15601" i="13"/>
  <c r="F15601" i="13"/>
  <c r="A15601" i="13"/>
  <c r="J15600" i="13"/>
  <c r="F15600" i="13"/>
  <c r="A15600" i="13"/>
  <c r="J15599" i="13"/>
  <c r="F15599" i="13"/>
  <c r="J15598" i="13"/>
  <c r="F15598" i="13"/>
  <c r="F15597" i="13"/>
  <c r="A15597" i="13"/>
  <c r="F15596" i="13"/>
  <c r="A15596" i="13"/>
  <c r="F15595" i="13"/>
  <c r="A15595" i="13"/>
  <c r="F15594" i="13"/>
  <c r="A15594" i="13"/>
  <c r="F15593" i="13"/>
  <c r="F15592" i="13"/>
  <c r="A15592" i="13"/>
  <c r="J15591" i="13"/>
  <c r="F15591" i="13"/>
  <c r="A15591" i="13"/>
  <c r="J15590" i="13"/>
  <c r="F15590" i="13"/>
  <c r="J15589" i="13"/>
  <c r="F15589" i="13"/>
  <c r="F15588" i="13"/>
  <c r="A15588" i="13"/>
  <c r="F15587" i="13"/>
  <c r="A15587" i="13"/>
  <c r="F15586" i="13"/>
  <c r="A15586" i="13"/>
  <c r="F15585" i="13"/>
  <c r="A15585" i="13"/>
  <c r="F15584" i="13"/>
  <c r="J15583" i="13"/>
  <c r="F15583" i="13"/>
  <c r="A15583" i="13"/>
  <c r="F15582" i="13"/>
  <c r="A15582" i="13"/>
  <c r="J15581" i="13"/>
  <c r="F15581" i="13"/>
  <c r="A15581" i="13"/>
  <c r="J15580" i="13"/>
  <c r="F15580" i="13"/>
  <c r="A15580" i="13"/>
  <c r="F15579" i="13"/>
  <c r="A15579" i="13"/>
  <c r="F15578" i="13"/>
  <c r="A15578" i="13"/>
  <c r="F15577" i="13"/>
  <c r="A15577" i="13"/>
  <c r="J15576" i="13"/>
  <c r="F15576" i="13"/>
  <c r="A15576" i="13"/>
  <c r="J15575" i="13"/>
  <c r="F15575" i="13"/>
  <c r="A15575" i="13"/>
  <c r="J15574" i="13"/>
  <c r="F15574" i="13"/>
  <c r="A15574" i="13"/>
  <c r="J15573" i="13"/>
  <c r="F15573" i="13"/>
  <c r="J15572" i="13"/>
  <c r="F15572" i="13"/>
  <c r="A15572" i="13"/>
  <c r="J15571" i="13"/>
  <c r="F15571" i="13"/>
  <c r="A15571" i="13"/>
  <c r="J15570" i="13"/>
  <c r="F15570" i="13"/>
  <c r="A15570" i="13"/>
  <c r="J15569" i="13"/>
  <c r="F15569" i="13"/>
  <c r="J15568" i="13"/>
  <c r="F15568" i="13"/>
  <c r="A15568" i="13"/>
  <c r="J15567" i="13"/>
  <c r="F15567" i="13"/>
  <c r="A15567" i="13"/>
  <c r="F15566" i="13"/>
  <c r="A15566" i="13"/>
  <c r="F15565" i="13"/>
  <c r="A15565" i="13"/>
  <c r="F15564" i="13"/>
  <c r="A15564" i="13"/>
  <c r="J15563" i="13"/>
  <c r="F15563" i="13"/>
  <c r="A15563" i="13"/>
  <c r="J15562" i="13"/>
  <c r="F15562" i="13"/>
  <c r="A15562" i="13"/>
  <c r="F15561" i="13"/>
  <c r="A15561" i="13"/>
  <c r="J15560" i="13"/>
  <c r="F15560" i="13"/>
  <c r="A15560" i="13"/>
  <c r="J15559" i="13"/>
  <c r="F15559" i="13"/>
  <c r="A15559" i="13"/>
  <c r="J15558" i="13"/>
  <c r="F15558" i="13"/>
  <c r="A15558" i="13"/>
  <c r="J15557" i="13"/>
  <c r="F15557" i="13"/>
  <c r="A15557" i="13"/>
  <c r="J15556" i="13"/>
  <c r="F15556" i="13"/>
  <c r="A15556" i="13"/>
  <c r="F15555" i="13"/>
  <c r="A15555" i="13"/>
  <c r="J15554" i="13"/>
  <c r="F15554" i="13"/>
  <c r="A15554" i="13"/>
  <c r="J15553" i="13"/>
  <c r="F15553" i="13"/>
  <c r="A15553" i="13"/>
  <c r="J15552" i="13"/>
  <c r="F15552" i="13"/>
  <c r="A15552" i="13"/>
  <c r="F15551" i="13"/>
  <c r="A15551" i="13"/>
  <c r="J15550" i="13"/>
  <c r="F15550" i="13"/>
  <c r="A15550" i="13"/>
  <c r="J15549" i="13"/>
  <c r="F15549" i="13"/>
  <c r="A15549" i="13"/>
  <c r="J15548" i="13"/>
  <c r="F15548" i="13"/>
  <c r="A15548" i="13"/>
  <c r="F15547" i="13"/>
  <c r="A15547" i="13"/>
  <c r="J15546" i="13"/>
  <c r="F15546" i="13"/>
  <c r="A15546" i="13"/>
  <c r="J15545" i="13"/>
  <c r="F15545" i="13"/>
  <c r="A15545" i="13"/>
  <c r="J15544" i="13"/>
  <c r="F15544" i="13"/>
  <c r="A15544" i="13"/>
  <c r="J15543" i="13"/>
  <c r="F15543" i="13"/>
  <c r="A15543" i="13"/>
  <c r="J15542" i="13"/>
  <c r="F15542" i="13"/>
  <c r="A15542" i="13"/>
  <c r="J15541" i="13"/>
  <c r="F15541" i="13"/>
  <c r="A15541" i="13"/>
  <c r="F15540" i="13"/>
  <c r="A15540" i="13"/>
  <c r="J15539" i="13"/>
  <c r="F15539" i="13"/>
  <c r="A15539" i="13"/>
  <c r="J15538" i="13"/>
  <c r="F15538" i="13"/>
  <c r="A15538" i="13"/>
  <c r="J15537" i="13"/>
  <c r="F15537" i="13"/>
  <c r="A15537" i="13"/>
  <c r="J15536" i="13"/>
  <c r="F15536" i="13"/>
  <c r="A15536" i="13"/>
  <c r="J15535" i="13"/>
  <c r="F15535" i="13"/>
  <c r="A15535" i="13"/>
  <c r="J15534" i="13"/>
  <c r="F15534" i="13"/>
  <c r="J15533" i="13"/>
  <c r="F15533" i="13"/>
  <c r="A15533" i="13"/>
  <c r="J15532" i="13"/>
  <c r="F15532" i="13"/>
  <c r="A15532" i="13"/>
  <c r="J15531" i="13"/>
  <c r="F15531" i="13"/>
  <c r="A15531" i="13"/>
  <c r="J15530" i="13"/>
  <c r="F15530" i="13"/>
  <c r="A15530" i="13"/>
  <c r="F15529" i="13"/>
  <c r="A15529" i="13"/>
  <c r="J15528" i="13"/>
  <c r="F15528" i="13"/>
  <c r="A15528" i="13"/>
  <c r="J15527" i="13"/>
  <c r="F15527" i="13"/>
  <c r="A15527" i="13"/>
  <c r="F15526" i="13"/>
  <c r="A15526" i="13"/>
  <c r="F15525" i="13"/>
  <c r="A15525" i="13"/>
  <c r="J15524" i="13"/>
  <c r="F15524" i="13"/>
  <c r="A15524" i="13"/>
  <c r="J15523" i="13"/>
  <c r="F15523" i="13"/>
  <c r="A15523" i="13"/>
  <c r="J15522" i="13"/>
  <c r="F15522" i="13"/>
  <c r="A15522" i="13"/>
  <c r="J15521" i="13"/>
  <c r="F15521" i="13"/>
  <c r="A15521" i="13"/>
  <c r="J15520" i="13"/>
  <c r="F15520" i="13"/>
  <c r="A15520" i="13"/>
  <c r="J15519" i="13"/>
  <c r="F15519" i="13"/>
  <c r="J15518" i="13"/>
  <c r="F15518" i="13"/>
  <c r="J15517" i="13"/>
  <c r="F15517" i="13"/>
  <c r="F15516" i="13"/>
  <c r="A15516" i="13"/>
  <c r="F15515" i="13"/>
  <c r="A15515" i="13"/>
  <c r="F15514" i="13"/>
  <c r="A15514" i="13"/>
  <c r="F15513" i="13"/>
  <c r="F15512" i="13"/>
  <c r="A15512" i="13"/>
  <c r="F15511" i="13"/>
  <c r="A15511" i="13"/>
  <c r="J15510" i="13"/>
  <c r="F15510" i="13"/>
  <c r="A15510" i="13"/>
  <c r="J15509" i="13"/>
  <c r="F15509" i="13"/>
  <c r="A15509" i="13"/>
  <c r="J15508" i="13"/>
  <c r="F15508" i="13"/>
  <c r="A15508" i="13"/>
  <c r="J15507" i="13"/>
  <c r="F15507" i="13"/>
  <c r="J15506" i="13"/>
  <c r="F15506" i="13"/>
  <c r="A15506" i="13"/>
  <c r="J15505" i="13"/>
  <c r="F15505" i="13"/>
  <c r="A15505" i="13"/>
  <c r="J15504" i="13"/>
  <c r="F15504" i="13"/>
  <c r="A15504" i="13"/>
  <c r="J15503" i="13"/>
  <c r="F15503" i="13"/>
  <c r="A15503" i="13"/>
  <c r="J15502" i="13"/>
  <c r="F15502" i="13"/>
  <c r="A15502" i="13"/>
  <c r="J15501" i="13"/>
  <c r="F15501" i="13"/>
  <c r="A15501" i="13"/>
  <c r="J15500" i="13"/>
  <c r="F15500" i="13"/>
  <c r="J15499" i="13"/>
  <c r="F15499" i="13"/>
  <c r="A15499" i="13"/>
  <c r="J15498" i="13"/>
  <c r="F15498" i="13"/>
  <c r="A15498" i="13"/>
  <c r="J15497" i="13"/>
  <c r="F15497" i="13"/>
  <c r="A15497" i="13"/>
  <c r="J15496" i="13"/>
  <c r="F15496" i="13"/>
  <c r="A15496" i="13"/>
  <c r="J15495" i="13"/>
  <c r="F15495" i="13"/>
  <c r="J15494" i="13"/>
  <c r="F15494" i="13"/>
  <c r="A15494" i="13"/>
  <c r="J15493" i="13"/>
  <c r="F15493" i="13"/>
  <c r="A15493" i="13"/>
  <c r="F15492" i="13"/>
  <c r="A15492" i="13"/>
  <c r="J15491" i="13"/>
  <c r="F15491" i="13"/>
  <c r="A15491" i="13"/>
  <c r="J15490" i="13"/>
  <c r="F15490" i="13"/>
  <c r="A15490" i="13"/>
  <c r="F15489" i="13"/>
  <c r="A15489" i="13"/>
  <c r="J15488" i="13"/>
  <c r="F15488" i="13"/>
  <c r="A15488" i="13"/>
  <c r="F15487" i="13"/>
  <c r="A15487" i="13"/>
  <c r="J15486" i="13"/>
  <c r="F15486" i="13"/>
  <c r="A15486" i="13"/>
  <c r="J15485" i="13"/>
  <c r="F15485" i="13"/>
  <c r="A15485" i="13"/>
  <c r="J15484" i="13"/>
  <c r="F15484" i="13"/>
  <c r="A15484" i="13"/>
  <c r="J15483" i="13"/>
  <c r="F15483" i="13"/>
  <c r="A15483" i="13"/>
  <c r="J15482" i="13"/>
  <c r="F15482" i="13"/>
  <c r="J15481" i="13"/>
  <c r="F15481" i="13"/>
  <c r="A15481" i="13"/>
  <c r="J15480" i="13"/>
  <c r="F15480" i="13"/>
  <c r="A15480" i="13"/>
  <c r="F15479" i="13"/>
  <c r="A15479" i="13"/>
  <c r="F15478" i="13"/>
  <c r="A15478" i="13"/>
  <c r="F15477" i="13"/>
  <c r="A15477" i="13"/>
  <c r="J15476" i="13"/>
  <c r="F15476" i="13"/>
  <c r="J15475" i="13"/>
  <c r="F15475" i="13"/>
  <c r="F15474" i="13"/>
  <c r="A15474" i="13"/>
  <c r="F15473" i="13"/>
  <c r="A15473" i="13"/>
  <c r="F15472" i="13"/>
  <c r="A15472" i="13"/>
  <c r="F15471" i="13"/>
  <c r="J15470" i="13"/>
  <c r="F15470" i="13"/>
  <c r="A15470" i="13"/>
  <c r="J15469" i="13"/>
  <c r="F15469" i="13"/>
  <c r="A15469" i="13"/>
  <c r="J15468" i="13"/>
  <c r="F15468" i="13"/>
  <c r="A15468" i="13"/>
  <c r="J15467" i="13"/>
  <c r="F15467" i="13"/>
  <c r="A15467" i="13"/>
  <c r="J15466" i="13"/>
  <c r="F15466" i="13"/>
  <c r="A15466" i="13"/>
  <c r="F15465" i="13"/>
  <c r="A15465" i="13"/>
  <c r="J15464" i="13"/>
  <c r="F15464" i="13"/>
  <c r="A15464" i="13"/>
  <c r="J15463" i="13"/>
  <c r="F15463" i="13"/>
  <c r="A15463" i="13"/>
  <c r="J15462" i="13"/>
  <c r="F15462" i="13"/>
  <c r="A15462" i="13"/>
  <c r="J15461" i="13"/>
  <c r="F15461" i="13"/>
  <c r="A15461" i="13"/>
  <c r="J15460" i="13"/>
  <c r="F15460" i="13"/>
  <c r="J15459" i="13"/>
  <c r="F15459" i="13"/>
  <c r="A15459" i="13"/>
  <c r="J15458" i="13"/>
  <c r="F15458" i="13"/>
  <c r="A15458" i="13"/>
  <c r="J15457" i="13"/>
  <c r="F15457" i="13"/>
  <c r="A15457" i="13"/>
  <c r="J15456" i="13"/>
  <c r="F15456" i="13"/>
  <c r="A15456" i="13"/>
  <c r="J15455" i="13"/>
  <c r="F15455" i="13"/>
  <c r="F15454" i="13"/>
  <c r="A15454" i="13"/>
  <c r="J15453" i="13"/>
  <c r="F15453" i="13"/>
  <c r="A15453" i="13"/>
  <c r="F15452" i="13"/>
  <c r="A15452" i="13"/>
  <c r="F15451" i="13"/>
  <c r="A15451" i="13"/>
  <c r="F15450" i="13"/>
  <c r="A15450" i="13"/>
  <c r="F15449" i="13"/>
  <c r="A15449" i="13"/>
  <c r="F15448" i="13"/>
  <c r="A15448" i="13"/>
  <c r="J15447" i="13"/>
  <c r="F15447" i="13"/>
  <c r="A15447" i="13"/>
  <c r="J15446" i="13"/>
  <c r="F15446" i="13"/>
  <c r="A15446" i="13"/>
  <c r="F15445" i="13"/>
  <c r="A15445" i="13"/>
  <c r="J15444" i="13"/>
  <c r="F15444" i="13"/>
  <c r="A15444" i="13"/>
  <c r="J15443" i="13"/>
  <c r="F15443" i="13"/>
  <c r="A15443" i="13"/>
  <c r="J15442" i="13"/>
  <c r="F15442" i="13"/>
  <c r="A15442" i="13"/>
  <c r="F15441" i="13"/>
  <c r="A15441" i="13"/>
  <c r="F15440" i="13"/>
  <c r="A15440" i="13"/>
  <c r="F15439" i="13"/>
  <c r="A15439" i="13"/>
  <c r="F15438" i="13"/>
  <c r="A15438" i="13"/>
  <c r="F15437" i="13"/>
  <c r="A15437" i="13"/>
  <c r="F15436" i="13"/>
  <c r="A15436" i="13"/>
  <c r="J15435" i="13"/>
  <c r="F15435" i="13"/>
  <c r="A15435" i="13"/>
  <c r="J15434" i="13"/>
  <c r="F15434" i="13"/>
  <c r="A15434" i="13"/>
  <c r="J15433" i="13"/>
  <c r="F15433" i="13"/>
  <c r="A15433" i="13"/>
  <c r="J15432" i="13"/>
  <c r="F15432" i="13"/>
  <c r="A15432" i="13"/>
  <c r="J15431" i="13"/>
  <c r="F15431" i="13"/>
  <c r="A15431" i="13"/>
  <c r="J15430" i="13"/>
  <c r="F15430" i="13"/>
  <c r="A15430" i="13"/>
  <c r="F15429" i="13"/>
  <c r="A15429" i="13"/>
  <c r="J15428" i="13"/>
  <c r="F15428" i="13"/>
  <c r="A15428" i="13"/>
  <c r="J15427" i="13"/>
  <c r="F15427" i="13"/>
  <c r="A15427" i="13"/>
  <c r="J15426" i="13"/>
  <c r="F15426" i="13"/>
  <c r="A15426" i="13"/>
  <c r="J15425" i="13"/>
  <c r="F15425" i="13"/>
  <c r="A15425" i="13"/>
  <c r="F15424" i="13"/>
  <c r="A15424" i="13"/>
  <c r="J15423" i="13"/>
  <c r="F15423" i="13"/>
  <c r="A15423" i="13"/>
  <c r="J15422" i="13"/>
  <c r="F15422" i="13"/>
  <c r="A15422" i="13"/>
  <c r="F15421" i="13"/>
  <c r="A15421" i="13"/>
  <c r="J15420" i="13"/>
  <c r="F15420" i="13"/>
  <c r="A15420" i="13"/>
  <c r="J15419" i="13"/>
  <c r="F15419" i="13"/>
  <c r="A15419" i="13"/>
  <c r="J15418" i="13"/>
  <c r="F15418" i="13"/>
  <c r="A15418" i="13"/>
  <c r="J15417" i="13"/>
  <c r="F15417" i="13"/>
  <c r="A15417" i="13"/>
  <c r="F15416" i="13"/>
  <c r="A15416" i="13"/>
  <c r="J15415" i="13"/>
  <c r="F15415" i="13"/>
  <c r="A15415" i="13"/>
  <c r="J15414" i="13"/>
  <c r="F15414" i="13"/>
  <c r="A15414" i="13"/>
  <c r="J15413" i="13"/>
  <c r="F15413" i="13"/>
  <c r="A15413" i="13"/>
  <c r="J15412" i="13"/>
  <c r="F15412" i="13"/>
  <c r="A15412" i="13"/>
  <c r="J15411" i="13"/>
  <c r="F15411" i="13"/>
  <c r="A15411" i="13"/>
  <c r="J15410" i="13"/>
  <c r="F15410" i="13"/>
  <c r="A15410" i="13"/>
  <c r="J15409" i="13"/>
  <c r="F15409" i="13"/>
  <c r="F15408" i="13"/>
  <c r="A15408" i="13"/>
  <c r="J15407" i="13"/>
  <c r="F15407" i="13"/>
  <c r="A15407" i="13"/>
  <c r="F15406" i="13"/>
  <c r="A15406" i="13"/>
  <c r="J15405" i="13"/>
  <c r="F15405" i="13"/>
  <c r="A15405" i="13"/>
  <c r="J15404" i="13"/>
  <c r="F15404" i="13"/>
  <c r="A15404" i="13"/>
  <c r="F15403" i="13"/>
  <c r="A15403" i="13"/>
  <c r="J15402" i="13"/>
  <c r="F15402" i="13"/>
  <c r="A15402" i="13"/>
  <c r="J15401" i="13"/>
  <c r="F15401" i="13"/>
  <c r="A15401" i="13"/>
  <c r="F15400" i="13"/>
  <c r="A15400" i="13"/>
  <c r="F15399" i="13"/>
  <c r="A15399" i="13"/>
  <c r="J15398" i="13"/>
  <c r="F15398" i="13"/>
  <c r="A15398" i="13"/>
  <c r="J15397" i="13"/>
  <c r="F15397" i="13"/>
  <c r="A15397" i="13"/>
  <c r="J15396" i="13"/>
  <c r="F15396" i="13"/>
  <c r="J15395" i="13"/>
  <c r="F15395" i="13"/>
  <c r="A15395" i="13"/>
  <c r="F15394" i="13"/>
  <c r="A15394" i="13"/>
  <c r="F15393" i="13"/>
  <c r="A15393" i="13"/>
  <c r="J15392" i="13"/>
  <c r="F15392" i="13"/>
  <c r="J15391" i="13"/>
  <c r="F15391" i="13"/>
  <c r="J15390" i="13"/>
  <c r="F15390" i="13"/>
  <c r="F15389" i="13"/>
  <c r="A15389" i="13"/>
  <c r="F15388" i="13"/>
  <c r="A15388" i="13"/>
  <c r="F15387" i="13"/>
  <c r="J15386" i="13"/>
  <c r="F15386" i="13"/>
  <c r="A15386" i="13"/>
  <c r="J15385" i="13"/>
  <c r="F15385" i="13"/>
  <c r="A15385" i="13"/>
  <c r="J15384" i="13"/>
  <c r="F15384" i="13"/>
  <c r="J15383" i="13"/>
  <c r="F15383" i="13"/>
  <c r="A15383" i="13"/>
  <c r="J15382" i="13"/>
  <c r="F15382" i="13"/>
  <c r="A15382" i="13"/>
  <c r="J15381" i="13"/>
  <c r="F15381" i="13"/>
  <c r="A15381" i="13"/>
  <c r="J15380" i="13"/>
  <c r="F15380" i="13"/>
  <c r="A15380" i="13"/>
  <c r="F15379" i="13"/>
  <c r="A15379" i="13"/>
  <c r="J15378" i="13"/>
  <c r="F15378" i="13"/>
  <c r="A15378" i="13"/>
  <c r="F15377" i="13"/>
  <c r="A15377" i="13"/>
  <c r="J15376" i="13"/>
  <c r="F15376" i="13"/>
  <c r="A15376" i="13"/>
  <c r="J15375" i="13"/>
  <c r="F15375" i="13"/>
  <c r="A15375" i="13"/>
  <c r="J15374" i="13"/>
  <c r="F15374" i="13"/>
  <c r="A15374" i="13"/>
  <c r="F15373" i="13"/>
  <c r="A15373" i="13"/>
  <c r="F15372" i="13"/>
  <c r="A15372" i="13"/>
  <c r="J15371" i="13"/>
  <c r="F15371" i="13"/>
  <c r="A15371" i="13"/>
  <c r="J15370" i="13"/>
  <c r="F15370" i="13"/>
  <c r="A15370" i="13"/>
  <c r="F15369" i="13"/>
  <c r="A15369" i="13"/>
  <c r="F15368" i="13"/>
  <c r="A15368" i="13"/>
  <c r="J15367" i="13"/>
  <c r="F15367" i="13"/>
  <c r="A15367" i="13"/>
  <c r="F15366" i="13"/>
  <c r="A15366" i="13"/>
  <c r="F15365" i="13"/>
  <c r="A15365" i="13"/>
  <c r="F15364" i="13"/>
  <c r="A15364" i="13"/>
  <c r="J15363" i="13"/>
  <c r="F15363" i="13"/>
  <c r="A15363" i="13"/>
  <c r="J15362" i="13"/>
  <c r="F15362" i="13"/>
  <c r="A15362" i="13"/>
  <c r="F15361" i="13"/>
  <c r="A15361" i="13"/>
  <c r="J15360" i="13"/>
  <c r="F15360" i="13"/>
  <c r="A15360" i="13"/>
  <c r="J15359" i="13"/>
  <c r="F15359" i="13"/>
  <c r="A15359" i="13"/>
  <c r="F15358" i="13"/>
  <c r="A15358" i="13"/>
  <c r="J15357" i="13"/>
  <c r="F15357" i="13"/>
  <c r="A15357" i="13"/>
  <c r="J15356" i="13"/>
  <c r="F15356" i="13"/>
  <c r="A15356" i="13"/>
  <c r="F15355" i="13"/>
  <c r="A15355" i="13"/>
  <c r="J15354" i="13"/>
  <c r="F15354" i="13"/>
  <c r="A15354" i="13"/>
  <c r="J15353" i="13"/>
  <c r="F15353" i="13"/>
  <c r="A15353" i="13"/>
  <c r="F15352" i="13"/>
  <c r="A15352" i="13"/>
  <c r="F15351" i="13"/>
  <c r="A15351" i="13"/>
  <c r="F15350" i="13"/>
  <c r="A15350" i="13"/>
  <c r="J15349" i="13"/>
  <c r="F15349" i="13"/>
  <c r="A15349" i="13"/>
  <c r="J15348" i="13"/>
  <c r="F15348" i="13"/>
  <c r="A15348" i="13"/>
  <c r="F15347" i="13"/>
  <c r="A15347" i="13"/>
  <c r="F15346" i="13"/>
  <c r="A15346" i="13"/>
  <c r="F15345" i="13"/>
  <c r="A15345" i="13"/>
  <c r="J15344" i="13"/>
  <c r="F15344" i="13"/>
  <c r="A15344" i="13"/>
  <c r="J15343" i="13"/>
  <c r="F15343" i="13"/>
  <c r="A15343" i="13"/>
  <c r="F15342" i="13"/>
  <c r="A15342" i="13"/>
  <c r="F15341" i="13"/>
  <c r="A15341" i="13"/>
  <c r="F15340" i="13"/>
  <c r="A15340" i="13"/>
  <c r="F15339" i="13"/>
  <c r="A15339" i="13"/>
  <c r="F15338" i="13"/>
  <c r="A15338" i="13"/>
  <c r="J15337" i="13"/>
  <c r="F15337" i="13"/>
  <c r="A15337" i="13"/>
  <c r="J15336" i="13"/>
  <c r="F15336" i="13"/>
  <c r="A15336" i="13"/>
  <c r="J15335" i="13"/>
  <c r="F15335" i="13"/>
  <c r="A15335" i="13"/>
  <c r="J15334" i="13"/>
  <c r="F15334" i="13"/>
  <c r="A15334" i="13"/>
  <c r="J15333" i="13"/>
  <c r="F15333" i="13"/>
  <c r="A15333" i="13"/>
  <c r="F15332" i="13"/>
  <c r="A15332" i="13"/>
  <c r="J15331" i="13"/>
  <c r="F15331" i="13"/>
  <c r="A15331" i="13"/>
  <c r="F15330" i="13"/>
  <c r="A15330" i="13"/>
  <c r="J15329" i="13"/>
  <c r="F15329" i="13"/>
  <c r="A15329" i="13"/>
  <c r="J15328" i="13"/>
  <c r="F15328" i="13"/>
  <c r="A15328" i="13"/>
  <c r="F15327" i="13"/>
  <c r="A15327" i="13"/>
  <c r="F15326" i="13"/>
  <c r="A15326" i="13"/>
  <c r="J15325" i="13"/>
  <c r="F15325" i="13"/>
  <c r="A15325" i="13"/>
  <c r="J15324" i="13"/>
  <c r="F15324" i="13"/>
  <c r="A15324" i="13"/>
  <c r="J15323" i="13"/>
  <c r="F15323" i="13"/>
  <c r="A15323" i="13"/>
  <c r="F15322" i="13"/>
  <c r="A15322" i="13"/>
  <c r="J15321" i="13"/>
  <c r="F15321" i="13"/>
  <c r="A15321" i="13"/>
  <c r="F15320" i="13"/>
  <c r="A15320" i="13"/>
  <c r="F15319" i="13"/>
  <c r="A15319" i="13"/>
  <c r="F15318" i="13"/>
  <c r="A15318" i="13"/>
  <c r="F15317" i="13"/>
  <c r="A15317" i="13"/>
  <c r="J15316" i="13"/>
  <c r="F15316" i="13"/>
  <c r="A15316" i="13"/>
  <c r="J15315" i="13"/>
  <c r="F15315" i="13"/>
  <c r="A15315" i="13"/>
  <c r="J15314" i="13"/>
  <c r="F15314" i="13"/>
  <c r="A15314" i="13"/>
  <c r="J15313" i="13"/>
  <c r="F15313" i="13"/>
  <c r="A15313" i="13"/>
  <c r="J15312" i="13"/>
  <c r="F15312" i="13"/>
  <c r="A15312" i="13"/>
  <c r="F15311" i="13"/>
  <c r="A15311" i="13"/>
  <c r="J15310" i="13"/>
  <c r="F15310" i="13"/>
  <c r="A15310" i="13"/>
  <c r="J15309" i="13"/>
  <c r="F15309" i="13"/>
  <c r="A15309" i="13"/>
  <c r="J15308" i="13"/>
  <c r="F15308" i="13"/>
  <c r="A15308" i="13"/>
  <c r="J15307" i="13"/>
  <c r="F15307" i="13"/>
  <c r="A15307" i="13"/>
  <c r="J15306" i="13"/>
  <c r="F15306" i="13"/>
  <c r="A15306" i="13"/>
  <c r="J15305" i="13"/>
  <c r="F15305" i="13"/>
  <c r="A15305" i="13"/>
  <c r="J15304" i="13"/>
  <c r="F15304" i="13"/>
  <c r="A15304" i="13"/>
  <c r="J15303" i="13"/>
  <c r="F15303" i="13"/>
  <c r="A15303" i="13"/>
  <c r="J15302" i="13"/>
  <c r="F15302" i="13"/>
  <c r="A15302" i="13"/>
  <c r="J15301" i="13"/>
  <c r="F15301" i="13"/>
  <c r="A15301" i="13"/>
  <c r="J15300" i="13"/>
  <c r="F15300" i="13"/>
  <c r="A15300" i="13"/>
  <c r="J15299" i="13"/>
  <c r="F15299" i="13"/>
  <c r="A15299" i="13"/>
  <c r="F15298" i="13"/>
  <c r="A15298" i="13"/>
  <c r="J15297" i="13"/>
  <c r="F15297" i="13"/>
  <c r="A15297" i="13"/>
  <c r="J15296" i="13"/>
  <c r="F15296" i="13"/>
  <c r="A15296" i="13"/>
  <c r="J15295" i="13"/>
  <c r="F15295" i="13"/>
  <c r="A15295" i="13"/>
  <c r="J15294" i="13"/>
  <c r="F15294" i="13"/>
  <c r="A15294" i="13"/>
  <c r="F15293" i="13"/>
  <c r="A15293" i="13"/>
  <c r="J15292" i="13"/>
  <c r="F15292" i="13"/>
  <c r="A15292" i="13"/>
  <c r="F15291" i="13"/>
  <c r="A15291" i="13"/>
  <c r="F15290" i="13"/>
  <c r="A15290" i="13"/>
  <c r="F15289" i="13"/>
  <c r="A15289" i="13"/>
  <c r="J15288" i="13"/>
  <c r="F15288" i="13"/>
  <c r="A15288" i="13"/>
  <c r="J15287" i="13"/>
  <c r="F15287" i="13"/>
  <c r="A15287" i="13"/>
  <c r="F15286" i="13"/>
  <c r="A15286" i="13"/>
  <c r="J15285" i="13"/>
  <c r="F15285" i="13"/>
  <c r="A15285" i="13"/>
  <c r="J15284" i="13"/>
  <c r="F15284" i="13"/>
  <c r="A15284" i="13"/>
  <c r="F15283" i="13"/>
  <c r="A15283" i="13"/>
  <c r="J15282" i="13"/>
  <c r="F15282" i="13"/>
  <c r="A15282" i="13"/>
  <c r="F15281" i="13"/>
  <c r="A15281" i="13"/>
  <c r="J15280" i="13"/>
  <c r="F15280" i="13"/>
  <c r="A15280" i="13"/>
  <c r="J15279" i="13"/>
  <c r="F15279" i="13"/>
  <c r="A15279" i="13"/>
  <c r="J15278" i="13"/>
  <c r="F15278" i="13"/>
  <c r="A15278" i="13"/>
  <c r="F15277" i="13"/>
  <c r="A15277" i="13"/>
  <c r="F15276" i="13"/>
  <c r="A15276" i="13"/>
  <c r="J15275" i="13"/>
  <c r="F15275" i="13"/>
  <c r="A15275" i="13"/>
  <c r="J15274" i="13"/>
  <c r="F15274" i="13"/>
  <c r="A15274" i="13"/>
  <c r="J15273" i="13"/>
  <c r="F15273" i="13"/>
  <c r="A15273" i="13"/>
  <c r="J15272" i="13"/>
  <c r="F15272" i="13"/>
  <c r="A15272" i="13"/>
  <c r="J15271" i="13"/>
  <c r="F15271" i="13"/>
  <c r="A15271" i="13"/>
  <c r="J15270" i="13"/>
  <c r="F15270" i="13"/>
  <c r="A15270" i="13"/>
  <c r="J15269" i="13"/>
  <c r="F15269" i="13"/>
  <c r="A15269" i="13"/>
  <c r="J15268" i="13"/>
  <c r="F15268" i="13"/>
  <c r="A15268" i="13"/>
  <c r="J15267" i="13"/>
  <c r="F15267" i="13"/>
  <c r="A15267" i="13"/>
  <c r="J15266" i="13"/>
  <c r="F15266" i="13"/>
  <c r="A15266" i="13"/>
  <c r="F15265" i="13"/>
  <c r="A15265" i="13"/>
  <c r="J15264" i="13"/>
  <c r="F15264" i="13"/>
  <c r="A15264" i="13"/>
  <c r="J15263" i="13"/>
  <c r="F15263" i="13"/>
  <c r="A15263" i="13"/>
  <c r="F15262" i="13"/>
  <c r="A15262" i="13"/>
  <c r="J15261" i="13"/>
  <c r="F15261" i="13"/>
  <c r="A15261" i="13"/>
  <c r="J15260" i="13"/>
  <c r="F15260" i="13"/>
  <c r="A15260" i="13"/>
  <c r="J15259" i="13"/>
  <c r="F15259" i="13"/>
  <c r="A15259" i="13"/>
  <c r="J15258" i="13"/>
  <c r="F15258" i="13"/>
  <c r="A15258" i="13"/>
  <c r="F15257" i="13"/>
  <c r="A15257" i="13"/>
  <c r="F15256" i="13"/>
  <c r="A15256" i="13"/>
  <c r="F15255" i="13"/>
  <c r="A15255" i="13"/>
  <c r="J15254" i="13"/>
  <c r="F15254" i="13"/>
  <c r="A15254" i="13"/>
  <c r="J15253" i="13"/>
  <c r="F15253" i="13"/>
  <c r="A15253" i="13"/>
  <c r="J15252" i="13"/>
  <c r="F15252" i="13"/>
  <c r="A15252" i="13"/>
  <c r="F15251" i="13"/>
  <c r="A15251" i="13"/>
  <c r="J15250" i="13"/>
  <c r="F15250" i="13"/>
  <c r="A15250" i="13"/>
  <c r="J15249" i="13"/>
  <c r="F15249" i="13"/>
  <c r="A15249" i="13"/>
  <c r="F15248" i="13"/>
  <c r="A15248" i="13"/>
  <c r="F15247" i="13"/>
  <c r="A15247" i="13"/>
  <c r="F15246" i="13"/>
  <c r="A15246" i="13"/>
  <c r="F15245" i="13"/>
  <c r="A15245" i="13"/>
  <c r="F15244" i="13"/>
  <c r="A15244" i="13"/>
  <c r="F15243" i="13"/>
  <c r="A15243" i="13"/>
  <c r="F15242" i="13"/>
  <c r="A15242" i="13"/>
  <c r="F15241" i="13"/>
  <c r="A15241" i="13"/>
  <c r="F15240" i="13"/>
  <c r="A15240" i="13"/>
  <c r="F15239" i="13"/>
  <c r="F15238" i="13"/>
  <c r="A15238" i="13"/>
  <c r="J15237" i="13"/>
  <c r="F15237" i="13"/>
  <c r="A15237" i="13"/>
  <c r="J15236" i="13"/>
  <c r="F15236" i="13"/>
  <c r="A15236" i="13"/>
  <c r="F15235" i="13"/>
  <c r="A15235" i="13"/>
  <c r="J15234" i="13"/>
  <c r="F15234" i="13"/>
  <c r="A15234" i="13"/>
  <c r="F15233" i="13"/>
  <c r="A15233" i="13"/>
  <c r="F15232" i="13"/>
  <c r="A15232" i="13"/>
  <c r="J15231" i="13"/>
  <c r="F15231" i="13"/>
  <c r="A15231" i="13"/>
  <c r="F15230" i="13"/>
  <c r="A15230" i="13"/>
  <c r="J15229" i="13"/>
  <c r="F15229" i="13"/>
  <c r="A15229" i="13"/>
  <c r="F15228" i="13"/>
  <c r="A15228" i="13"/>
  <c r="F15227" i="13"/>
  <c r="A15227" i="13"/>
  <c r="F15226" i="13"/>
  <c r="A15226" i="13"/>
  <c r="F15225" i="13"/>
  <c r="A15225" i="13"/>
  <c r="F15224" i="13"/>
  <c r="A15224" i="13"/>
  <c r="F15223" i="13"/>
  <c r="A15223" i="13"/>
  <c r="F15222" i="13"/>
  <c r="A15222" i="13"/>
  <c r="F15221" i="13"/>
  <c r="A15221" i="13"/>
  <c r="F15220" i="13"/>
  <c r="A15220" i="13"/>
  <c r="F15219" i="13"/>
  <c r="A15219" i="13"/>
  <c r="F15218" i="13"/>
  <c r="A15218" i="13"/>
  <c r="F15217" i="13"/>
  <c r="A15217" i="13"/>
  <c r="F15216" i="13"/>
  <c r="A15216" i="13"/>
  <c r="F15215" i="13"/>
  <c r="A15215" i="13"/>
  <c r="F15214" i="13"/>
  <c r="A15214" i="13"/>
  <c r="J15213" i="13"/>
  <c r="F15213" i="13"/>
  <c r="A15213" i="13"/>
  <c r="J15212" i="13"/>
  <c r="F15212" i="13"/>
  <c r="A15212" i="13"/>
  <c r="F15211" i="13"/>
  <c r="A15211" i="13"/>
  <c r="J15210" i="13"/>
  <c r="F15210" i="13"/>
  <c r="A15210" i="13"/>
  <c r="J15209" i="13"/>
  <c r="F15209" i="13"/>
  <c r="A15209" i="13"/>
  <c r="J15208" i="13"/>
  <c r="F15208" i="13"/>
  <c r="A15208" i="13"/>
  <c r="J15207" i="13"/>
  <c r="F15207" i="13"/>
  <c r="A15207" i="13"/>
  <c r="J15206" i="13"/>
  <c r="F15206" i="13"/>
  <c r="A15206" i="13"/>
  <c r="J15205" i="13"/>
  <c r="F15205" i="13"/>
  <c r="J15204" i="13"/>
  <c r="F15204" i="13"/>
  <c r="A15204" i="13"/>
  <c r="J15203" i="13"/>
  <c r="F15203" i="13"/>
  <c r="A15203" i="13"/>
  <c r="J15202" i="13"/>
  <c r="F15202" i="13"/>
  <c r="A15202" i="13"/>
  <c r="J15201" i="13"/>
  <c r="F15201" i="13"/>
  <c r="A15201" i="13"/>
  <c r="J15200" i="13"/>
  <c r="F15200" i="13"/>
  <c r="A15200" i="13"/>
  <c r="J15199" i="13"/>
  <c r="F15199" i="13"/>
  <c r="A15199" i="13"/>
  <c r="J15198" i="13"/>
  <c r="F15198" i="13"/>
  <c r="A15198" i="13"/>
  <c r="J15197" i="13"/>
  <c r="F15197" i="13"/>
  <c r="A15197" i="13"/>
  <c r="F15196" i="13"/>
  <c r="A15196" i="13"/>
  <c r="J15195" i="13"/>
  <c r="F15195" i="13"/>
  <c r="A15195" i="13"/>
  <c r="J15194" i="13"/>
  <c r="F15194" i="13"/>
  <c r="A15194" i="13"/>
  <c r="J15193" i="13"/>
  <c r="F15193" i="13"/>
  <c r="A15193" i="13"/>
  <c r="F15192" i="13"/>
  <c r="A15192" i="13"/>
  <c r="F15191" i="13"/>
  <c r="A15191" i="13"/>
  <c r="J15190" i="13"/>
  <c r="F15190" i="13"/>
  <c r="A15190" i="13"/>
  <c r="F15189" i="13"/>
  <c r="A15189" i="13"/>
  <c r="J15188" i="13"/>
  <c r="F15188" i="13"/>
  <c r="A15188" i="13"/>
  <c r="J15187" i="13"/>
  <c r="F15187" i="13"/>
  <c r="A15187" i="13"/>
  <c r="J15186" i="13"/>
  <c r="F15186" i="13"/>
  <c r="A15186" i="13"/>
  <c r="J15185" i="13"/>
  <c r="F15185" i="13"/>
  <c r="A15185" i="13"/>
  <c r="J15184" i="13"/>
  <c r="F15184" i="13"/>
  <c r="A15184" i="13"/>
  <c r="F15183" i="13"/>
  <c r="A15183" i="13"/>
  <c r="F15182" i="13"/>
  <c r="A15182" i="13"/>
  <c r="F15181" i="13"/>
  <c r="A15181" i="13"/>
  <c r="F15180" i="13"/>
  <c r="A15180" i="13"/>
  <c r="J15179" i="13"/>
  <c r="F15179" i="13"/>
  <c r="A15179" i="13"/>
  <c r="F15178" i="13"/>
  <c r="A15178" i="13"/>
  <c r="F15177" i="13"/>
  <c r="A15177" i="13"/>
  <c r="F15176" i="13"/>
  <c r="A15176" i="13"/>
  <c r="J15175" i="13"/>
  <c r="F15175" i="13"/>
  <c r="A15175" i="13"/>
  <c r="J15174" i="13"/>
  <c r="F15174" i="13"/>
  <c r="A15174" i="13"/>
  <c r="J15173" i="13"/>
  <c r="F15173" i="13"/>
  <c r="A15173" i="13"/>
  <c r="J15172" i="13"/>
  <c r="F15172" i="13"/>
  <c r="A15172" i="13"/>
  <c r="F15171" i="13"/>
  <c r="A15171" i="13"/>
  <c r="F15170" i="13"/>
  <c r="A15170" i="13"/>
  <c r="J15169" i="13"/>
  <c r="F15169" i="13"/>
  <c r="A15169" i="13"/>
  <c r="J15168" i="13"/>
  <c r="F15168" i="13"/>
  <c r="A15168" i="13"/>
  <c r="F15167" i="13"/>
  <c r="A15167" i="13"/>
  <c r="J15166" i="13"/>
  <c r="F15166" i="13"/>
  <c r="A15166" i="13"/>
  <c r="J15165" i="13"/>
  <c r="F15165" i="13"/>
  <c r="A15165" i="13"/>
  <c r="F15164" i="13"/>
  <c r="A15164" i="13"/>
  <c r="J15163" i="13"/>
  <c r="F15163" i="13"/>
  <c r="A15163" i="13"/>
  <c r="J15162" i="13"/>
  <c r="F15162" i="13"/>
  <c r="A15162" i="13"/>
  <c r="F15161" i="13"/>
  <c r="A15161" i="13"/>
  <c r="J15160" i="13"/>
  <c r="F15160" i="13"/>
  <c r="A15160" i="13"/>
  <c r="J15159" i="13"/>
  <c r="F15159" i="13"/>
  <c r="A15159" i="13"/>
  <c r="F15158" i="13"/>
  <c r="A15158" i="13"/>
  <c r="J15157" i="13"/>
  <c r="F15157" i="13"/>
  <c r="A15157" i="13"/>
  <c r="J15156" i="13"/>
  <c r="F15156" i="13"/>
  <c r="A15156" i="13"/>
  <c r="F15155" i="13"/>
  <c r="A15155" i="13"/>
  <c r="J15154" i="13"/>
  <c r="F15154" i="13"/>
  <c r="A15154" i="13"/>
  <c r="J15153" i="13"/>
  <c r="F15153" i="13"/>
  <c r="A15153" i="13"/>
  <c r="F15152" i="13"/>
  <c r="A15152" i="13"/>
  <c r="J15151" i="13"/>
  <c r="F15151" i="13"/>
  <c r="A15151" i="13"/>
  <c r="F15150" i="13"/>
  <c r="A15150" i="13"/>
  <c r="J15149" i="13"/>
  <c r="F15149" i="13"/>
  <c r="A15149" i="13"/>
  <c r="J15148" i="13"/>
  <c r="F15148" i="13"/>
  <c r="A15148" i="13"/>
  <c r="F15147" i="13"/>
  <c r="A15147" i="13"/>
  <c r="F15146" i="13"/>
  <c r="A15146" i="13"/>
  <c r="F15145" i="13"/>
  <c r="A15145" i="13"/>
  <c r="J15144" i="13"/>
  <c r="F15144" i="13"/>
  <c r="A15144" i="13"/>
  <c r="J15143" i="13"/>
  <c r="F15143" i="13"/>
  <c r="A15143" i="13"/>
  <c r="J15142" i="13"/>
  <c r="F15142" i="13"/>
  <c r="A15142" i="13"/>
  <c r="F15141" i="13"/>
  <c r="A15141" i="13"/>
  <c r="F15140" i="13"/>
  <c r="A15140" i="13"/>
  <c r="J15139" i="13"/>
  <c r="F15139" i="13"/>
  <c r="A15139" i="13"/>
  <c r="F15138" i="13"/>
  <c r="A15138" i="13"/>
  <c r="F15137" i="13"/>
  <c r="A15137" i="13"/>
  <c r="F15136" i="13"/>
  <c r="A15136" i="13"/>
  <c r="F15135" i="13"/>
  <c r="A15135" i="13"/>
  <c r="J15134" i="13"/>
  <c r="F15134" i="13"/>
  <c r="A15134" i="13"/>
  <c r="J15133" i="13"/>
  <c r="F15133" i="13"/>
  <c r="A15133" i="13"/>
  <c r="J15132" i="13"/>
  <c r="F15132" i="13"/>
  <c r="A15132" i="13"/>
  <c r="J15131" i="13"/>
  <c r="F15131" i="13"/>
  <c r="A15131" i="13"/>
  <c r="J15130" i="13"/>
  <c r="F15130" i="13"/>
  <c r="A15130" i="13"/>
  <c r="J15129" i="13"/>
  <c r="F15129" i="13"/>
  <c r="A15129" i="13"/>
  <c r="F15128" i="13"/>
  <c r="A15128" i="13"/>
  <c r="F15127" i="13"/>
  <c r="A15127" i="13"/>
  <c r="F15126" i="13"/>
  <c r="A15126" i="13"/>
  <c r="J15125" i="13"/>
  <c r="F15125" i="13"/>
  <c r="A15125" i="13"/>
  <c r="J15124" i="13"/>
  <c r="F15124" i="13"/>
  <c r="A15124" i="13"/>
  <c r="F15123" i="13"/>
  <c r="A15123" i="13"/>
  <c r="F15122" i="13"/>
  <c r="A15122" i="13"/>
  <c r="J15121" i="13"/>
  <c r="F15121" i="13"/>
  <c r="A15121" i="13"/>
  <c r="J15120" i="13"/>
  <c r="F15120" i="13"/>
  <c r="A15120" i="13"/>
  <c r="J15119" i="13"/>
  <c r="F15119" i="13"/>
  <c r="A15119" i="13"/>
  <c r="F15118" i="13"/>
  <c r="A15118" i="13"/>
  <c r="J15117" i="13"/>
  <c r="F15117" i="13"/>
  <c r="A15117" i="13"/>
  <c r="F15116" i="13"/>
  <c r="A15116" i="13"/>
  <c r="F15115" i="13"/>
  <c r="A15115" i="13"/>
  <c r="J15114" i="13"/>
  <c r="F15114" i="13"/>
  <c r="A15114" i="13"/>
  <c r="F15113" i="13"/>
  <c r="A15113" i="13"/>
  <c r="J15112" i="13"/>
  <c r="F15112" i="13"/>
  <c r="A15112" i="13"/>
  <c r="J15111" i="13"/>
  <c r="F15111" i="13"/>
  <c r="A15111" i="13"/>
  <c r="F15110" i="13"/>
  <c r="A15110" i="13"/>
  <c r="F15109" i="13"/>
  <c r="A15109" i="13"/>
  <c r="F15108" i="13"/>
  <c r="A15108" i="13"/>
  <c r="J15107" i="13"/>
  <c r="F15107" i="13"/>
  <c r="A15107" i="13"/>
  <c r="J15106" i="13"/>
  <c r="F15106" i="13"/>
  <c r="A15106" i="13"/>
  <c r="J15105" i="13"/>
  <c r="F15105" i="13"/>
  <c r="A15105" i="13"/>
  <c r="J15104" i="13"/>
  <c r="F15104" i="13"/>
  <c r="A15104" i="13"/>
  <c r="J15103" i="13"/>
  <c r="F15103" i="13"/>
  <c r="A15103" i="13"/>
  <c r="J15102" i="13"/>
  <c r="F15102" i="13"/>
  <c r="A15102" i="13"/>
  <c r="J15101" i="13"/>
  <c r="F15101" i="13"/>
  <c r="A15101" i="13"/>
  <c r="J15100" i="13"/>
  <c r="F15100" i="13"/>
  <c r="A15100" i="13"/>
  <c r="J15099" i="13"/>
  <c r="F15099" i="13"/>
  <c r="A15099" i="13"/>
  <c r="F15098" i="13"/>
  <c r="A15098" i="13"/>
  <c r="F15097" i="13"/>
  <c r="A15097" i="13"/>
  <c r="J15096" i="13"/>
  <c r="F15096" i="13"/>
  <c r="A15096" i="13"/>
  <c r="J15095" i="13"/>
  <c r="F15095" i="13"/>
  <c r="A15095" i="13"/>
  <c r="J15094" i="13"/>
  <c r="F15094" i="13"/>
  <c r="A15094" i="13"/>
  <c r="J15093" i="13"/>
  <c r="F15093" i="13"/>
  <c r="A15093" i="13"/>
  <c r="F15092" i="13"/>
  <c r="A15092" i="13"/>
  <c r="J15091" i="13"/>
  <c r="F15091" i="13"/>
  <c r="A15091" i="13"/>
  <c r="J15090" i="13"/>
  <c r="F15090" i="13"/>
  <c r="A15090" i="13"/>
  <c r="J15089" i="13"/>
  <c r="F15089" i="13"/>
  <c r="A15089" i="13"/>
  <c r="J15088" i="13"/>
  <c r="F15088" i="13"/>
  <c r="A15088" i="13"/>
  <c r="F15087" i="13"/>
  <c r="A15087" i="13"/>
  <c r="F15086" i="13"/>
  <c r="A15086" i="13"/>
  <c r="J15085" i="13"/>
  <c r="F15085" i="13"/>
  <c r="A15085" i="13"/>
  <c r="J15084" i="13"/>
  <c r="F15084" i="13"/>
  <c r="A15084" i="13"/>
  <c r="J15083" i="13"/>
  <c r="F15083" i="13"/>
  <c r="A15083" i="13"/>
  <c r="F15082" i="13"/>
  <c r="A15082" i="13"/>
  <c r="J15081" i="13"/>
  <c r="F15081" i="13"/>
  <c r="A15081" i="13"/>
  <c r="J15080" i="13"/>
  <c r="F15080" i="13"/>
  <c r="A15080" i="13"/>
  <c r="F15079" i="13"/>
  <c r="A15079" i="13"/>
  <c r="J15078" i="13"/>
  <c r="F15078" i="13"/>
  <c r="A15078" i="13"/>
  <c r="J15077" i="13"/>
  <c r="F15077" i="13"/>
  <c r="A15077" i="13"/>
  <c r="F15076" i="13"/>
  <c r="A15076" i="13"/>
  <c r="F15075" i="13"/>
  <c r="A15075" i="13"/>
  <c r="F15074" i="13"/>
  <c r="A15074" i="13"/>
  <c r="J15073" i="13"/>
  <c r="F15073" i="13"/>
  <c r="A15073" i="13"/>
  <c r="F15072" i="13"/>
  <c r="A15072" i="13"/>
  <c r="J15071" i="13"/>
  <c r="F15071" i="13"/>
  <c r="A15071" i="13"/>
  <c r="J15070" i="13"/>
  <c r="F15070" i="13"/>
  <c r="A15070" i="13"/>
  <c r="J15069" i="13"/>
  <c r="F15069" i="13"/>
  <c r="A15069" i="13"/>
  <c r="F15068" i="13"/>
  <c r="A15068" i="13"/>
  <c r="J15067" i="13"/>
  <c r="F15067" i="13"/>
  <c r="A15067" i="13"/>
  <c r="J15066" i="13"/>
  <c r="F15066" i="13"/>
  <c r="A15066" i="13"/>
  <c r="F15065" i="13"/>
  <c r="A15065" i="13"/>
  <c r="F15064" i="13"/>
  <c r="A15064" i="13"/>
  <c r="F15063" i="13"/>
  <c r="A15063" i="13"/>
  <c r="J15062" i="13"/>
  <c r="F15062" i="13"/>
  <c r="A15062" i="13"/>
  <c r="J15061" i="13"/>
  <c r="F15061" i="13"/>
  <c r="A15061" i="13"/>
  <c r="J15060" i="13"/>
  <c r="F15060" i="13"/>
  <c r="A15060" i="13"/>
  <c r="J15059" i="13"/>
  <c r="F15059" i="13"/>
  <c r="A15059" i="13"/>
  <c r="F15058" i="13"/>
  <c r="A15058" i="13"/>
  <c r="F15057" i="13"/>
  <c r="A15057" i="13"/>
  <c r="F15056" i="13"/>
  <c r="A15056" i="13"/>
  <c r="J15055" i="13"/>
  <c r="F15055" i="13"/>
  <c r="A15055" i="13"/>
  <c r="J15054" i="13"/>
  <c r="F15054" i="13"/>
  <c r="A15054" i="13"/>
  <c r="F15053" i="13"/>
  <c r="A15053" i="13"/>
  <c r="J15052" i="13"/>
  <c r="F15052" i="13"/>
  <c r="A15052" i="13"/>
  <c r="J15051" i="13"/>
  <c r="F15051" i="13"/>
  <c r="A15051" i="13"/>
  <c r="F15050" i="13"/>
  <c r="A15050" i="13"/>
  <c r="J15049" i="13"/>
  <c r="F15049" i="13"/>
  <c r="A15049" i="13"/>
  <c r="J15048" i="13"/>
  <c r="F15048" i="13"/>
  <c r="A15048" i="13"/>
  <c r="J15047" i="13"/>
  <c r="F15047" i="13"/>
  <c r="A15047" i="13"/>
  <c r="J15046" i="13"/>
  <c r="F15046" i="13"/>
  <c r="A15046" i="13"/>
  <c r="F15045" i="13"/>
  <c r="A15045" i="13"/>
  <c r="F15044" i="13"/>
  <c r="A15044" i="13"/>
  <c r="F15043" i="13"/>
  <c r="A15043" i="13"/>
  <c r="F15042" i="13"/>
  <c r="A15042" i="13"/>
  <c r="F15041" i="13"/>
  <c r="A15041" i="13"/>
  <c r="F15040" i="13"/>
  <c r="A15040" i="13"/>
  <c r="F15039" i="13"/>
  <c r="A15039" i="13"/>
  <c r="F15038" i="13"/>
  <c r="A15038" i="13"/>
  <c r="F15037" i="13"/>
  <c r="A15037" i="13"/>
  <c r="F15036" i="13"/>
  <c r="A15036" i="13"/>
  <c r="F15035" i="13"/>
  <c r="A15035" i="13"/>
  <c r="F15034" i="13"/>
  <c r="A15034" i="13"/>
  <c r="F15033" i="13"/>
  <c r="A15033" i="13"/>
  <c r="F15032" i="13"/>
  <c r="F15031" i="13"/>
  <c r="A15031" i="13"/>
  <c r="J15030" i="13"/>
  <c r="F15030" i="13"/>
  <c r="A15030" i="13"/>
  <c r="F15029" i="13"/>
  <c r="A15029" i="13"/>
  <c r="F15028" i="13"/>
  <c r="A15028" i="13"/>
  <c r="F15027" i="13"/>
  <c r="A15027" i="13"/>
  <c r="F15026" i="13"/>
  <c r="A15026" i="13"/>
  <c r="F15025" i="13"/>
  <c r="A15025" i="13"/>
  <c r="F15024" i="13"/>
  <c r="A15024" i="13"/>
  <c r="F15023" i="13"/>
  <c r="A15023" i="13"/>
  <c r="F15022" i="13"/>
  <c r="A15022" i="13"/>
  <c r="F15021" i="13"/>
  <c r="A15021" i="13"/>
  <c r="F15020" i="13"/>
  <c r="A15020" i="13"/>
  <c r="F15019" i="13"/>
  <c r="A15019" i="13"/>
  <c r="F15018" i="13"/>
  <c r="A15018" i="13"/>
  <c r="F15017" i="13"/>
  <c r="A15017" i="13"/>
  <c r="F15016" i="13"/>
  <c r="A15016" i="13"/>
  <c r="J15015" i="13"/>
  <c r="F15015" i="13"/>
  <c r="A15015" i="13"/>
  <c r="J15014" i="13"/>
  <c r="F15014" i="13"/>
  <c r="A15014" i="13"/>
  <c r="J15013" i="13"/>
  <c r="F15013" i="13"/>
  <c r="A15013" i="13"/>
  <c r="J15012" i="13"/>
  <c r="F15012" i="13"/>
  <c r="A15012" i="13"/>
  <c r="J15011" i="13"/>
  <c r="F15011" i="13"/>
  <c r="A15011" i="13"/>
  <c r="J15010" i="13"/>
  <c r="F15010" i="13"/>
  <c r="A15010" i="13"/>
  <c r="J15009" i="13"/>
  <c r="F15009" i="13"/>
  <c r="A15009" i="13"/>
  <c r="J15008" i="13"/>
  <c r="F15008" i="13"/>
  <c r="A15008" i="13"/>
  <c r="J15007" i="13"/>
  <c r="F15007" i="13"/>
  <c r="A15007" i="13"/>
  <c r="J15006" i="13"/>
  <c r="F15006" i="13"/>
  <c r="A15006" i="13"/>
  <c r="J15005" i="13"/>
  <c r="F15005" i="13"/>
  <c r="A15005" i="13"/>
  <c r="J15004" i="13"/>
  <c r="F15004" i="13"/>
  <c r="A15004" i="13"/>
  <c r="J15003" i="13"/>
  <c r="F15003" i="13"/>
  <c r="A15003" i="13"/>
  <c r="J15002" i="13"/>
  <c r="F15002" i="13"/>
  <c r="A15002" i="13"/>
  <c r="J15001" i="13"/>
  <c r="F15001" i="13"/>
  <c r="F15000" i="13"/>
  <c r="A15000" i="13"/>
  <c r="J14999" i="13"/>
  <c r="F14999" i="13"/>
  <c r="A14999" i="13"/>
  <c r="J14998" i="13"/>
  <c r="F14998" i="13"/>
  <c r="A14998" i="13"/>
  <c r="J14997" i="13"/>
  <c r="F14997" i="13"/>
  <c r="A14997" i="13"/>
  <c r="J14996" i="13"/>
  <c r="F14996" i="13"/>
  <c r="J14995" i="13"/>
  <c r="F14995" i="13"/>
  <c r="A14995" i="13"/>
  <c r="J14994" i="13"/>
  <c r="F14994" i="13"/>
  <c r="J14993" i="13"/>
  <c r="F14993" i="13"/>
  <c r="J14992" i="13"/>
  <c r="F14992" i="13"/>
  <c r="F14991" i="13"/>
  <c r="A14991" i="13"/>
  <c r="F14990" i="13"/>
  <c r="A14990" i="13"/>
  <c r="F14989" i="13"/>
  <c r="A14989" i="13"/>
  <c r="F14988" i="13"/>
  <c r="A14988" i="13"/>
  <c r="F14987" i="13"/>
  <c r="A14987" i="13"/>
  <c r="F14986" i="13"/>
  <c r="A14986" i="13"/>
  <c r="F14985" i="13"/>
  <c r="A14985" i="13"/>
  <c r="F14984" i="13"/>
  <c r="A14984" i="13"/>
  <c r="F14983" i="13"/>
  <c r="A14983" i="13"/>
  <c r="F14982" i="13"/>
  <c r="A14982" i="13"/>
  <c r="F14981" i="13"/>
  <c r="A14981" i="13"/>
  <c r="F14980" i="13"/>
  <c r="A14980" i="13"/>
  <c r="F14979" i="13"/>
  <c r="A14979" i="13"/>
  <c r="F14978" i="13"/>
  <c r="A14978" i="13"/>
  <c r="F14977" i="13"/>
  <c r="A14977" i="13"/>
  <c r="F14976" i="13"/>
  <c r="A14976" i="13"/>
  <c r="F14975" i="13"/>
  <c r="A14975" i="13"/>
  <c r="F14974" i="13"/>
  <c r="A14974" i="13"/>
  <c r="F14973" i="13"/>
  <c r="A14973" i="13"/>
  <c r="F14972" i="13"/>
  <c r="A14972" i="13"/>
  <c r="F14971" i="13"/>
  <c r="A14971" i="13"/>
  <c r="F14970" i="13"/>
  <c r="A14970" i="13"/>
  <c r="F14969" i="13"/>
  <c r="A14969" i="13"/>
  <c r="F14968" i="13"/>
  <c r="A14968" i="13"/>
  <c r="F14967" i="13"/>
  <c r="A14967" i="13"/>
  <c r="F14966" i="13"/>
  <c r="F14965" i="13"/>
  <c r="A14965" i="13"/>
  <c r="J14964" i="13"/>
  <c r="F14964" i="13"/>
  <c r="A14964" i="13"/>
  <c r="J14963" i="13"/>
  <c r="F14963" i="13"/>
  <c r="A14963" i="13"/>
  <c r="J14962" i="13"/>
  <c r="F14962" i="13"/>
  <c r="A14962" i="13"/>
  <c r="J14961" i="13"/>
  <c r="F14961" i="13"/>
  <c r="A14961" i="13"/>
  <c r="J14960" i="13"/>
  <c r="F14960" i="13"/>
  <c r="A14960" i="13"/>
  <c r="J14959" i="13"/>
  <c r="F14959" i="13"/>
  <c r="J14958" i="13"/>
  <c r="F14958" i="13"/>
  <c r="A14958" i="13"/>
  <c r="J14957" i="13"/>
  <c r="F14957" i="13"/>
  <c r="A14957" i="13"/>
  <c r="J14956" i="13"/>
  <c r="F14956" i="13"/>
  <c r="A14956" i="13"/>
  <c r="J14955" i="13"/>
  <c r="F14955" i="13"/>
  <c r="A14955" i="13"/>
  <c r="J14954" i="13"/>
  <c r="F14954" i="13"/>
  <c r="A14954" i="13"/>
  <c r="J14953" i="13"/>
  <c r="F14953" i="13"/>
  <c r="J14952" i="13"/>
  <c r="F14952" i="13"/>
  <c r="A14952" i="13"/>
  <c r="J14951" i="13"/>
  <c r="F14951" i="13"/>
  <c r="A14951" i="13"/>
  <c r="J14950" i="13"/>
  <c r="F14950" i="13"/>
  <c r="A14950" i="13"/>
  <c r="J14949" i="13"/>
  <c r="F14949" i="13"/>
  <c r="A14949" i="13"/>
  <c r="J14948" i="13"/>
  <c r="F14948" i="13"/>
  <c r="A14948" i="13"/>
  <c r="J14947" i="13"/>
  <c r="F14947" i="13"/>
  <c r="A14947" i="13"/>
  <c r="J14946" i="13"/>
  <c r="F14946" i="13"/>
  <c r="A14946" i="13"/>
  <c r="F14945" i="13"/>
  <c r="A14945" i="13"/>
  <c r="J14944" i="13"/>
  <c r="F14944" i="13"/>
  <c r="A14944" i="13"/>
  <c r="J14943" i="13"/>
  <c r="F14943" i="13"/>
  <c r="A14943" i="13"/>
  <c r="J14942" i="13"/>
  <c r="F14942" i="13"/>
  <c r="A14942" i="13"/>
  <c r="J14941" i="13"/>
  <c r="F14941" i="13"/>
  <c r="J14940" i="13"/>
  <c r="F14940" i="13"/>
  <c r="A14940" i="13"/>
  <c r="J14939" i="13"/>
  <c r="F14939" i="13"/>
  <c r="A14939" i="13"/>
  <c r="J14938" i="13"/>
  <c r="F14938" i="13"/>
  <c r="F14937" i="13"/>
  <c r="A14937" i="13"/>
  <c r="F14936" i="13"/>
  <c r="A14936" i="13"/>
  <c r="J14935" i="13"/>
  <c r="F14935" i="13"/>
  <c r="A14935" i="13"/>
  <c r="J14934" i="13"/>
  <c r="F14934" i="13"/>
  <c r="A14934" i="13"/>
  <c r="J14933" i="13"/>
  <c r="F14933" i="13"/>
  <c r="J14932" i="13"/>
  <c r="F14932" i="13"/>
  <c r="A14932" i="13"/>
  <c r="J14931" i="13"/>
  <c r="F14931" i="13"/>
  <c r="A14931" i="13"/>
  <c r="J14930" i="13"/>
  <c r="F14930" i="13"/>
  <c r="A14930" i="13"/>
  <c r="J14929" i="13"/>
  <c r="F14929" i="13"/>
  <c r="J14928" i="13"/>
  <c r="F14928" i="13"/>
  <c r="A14928" i="13"/>
  <c r="J14927" i="13"/>
  <c r="F14927" i="13"/>
  <c r="A14927" i="13"/>
  <c r="F14926" i="13"/>
  <c r="A14926" i="13"/>
  <c r="J14925" i="13"/>
  <c r="F14925" i="13"/>
  <c r="J14924" i="13"/>
  <c r="F14924" i="13"/>
  <c r="F14923" i="13"/>
  <c r="A14923" i="13"/>
  <c r="F14922" i="13"/>
  <c r="A14922" i="13"/>
  <c r="F14921" i="13"/>
  <c r="A14921" i="13"/>
  <c r="F14920" i="13"/>
  <c r="A14920" i="13"/>
  <c r="F14919" i="13"/>
  <c r="A14919" i="13"/>
  <c r="F14918" i="13"/>
  <c r="A14918" i="13"/>
  <c r="F14917" i="13"/>
  <c r="F14916" i="13"/>
  <c r="A14916" i="13"/>
  <c r="J14915" i="13"/>
  <c r="F14915" i="13"/>
  <c r="J14914" i="13"/>
  <c r="F14914" i="13"/>
  <c r="F14913" i="13"/>
  <c r="A14913" i="13"/>
  <c r="F14912" i="13"/>
  <c r="A14912" i="13"/>
  <c r="F14911" i="13"/>
  <c r="F14910" i="13"/>
  <c r="A14910" i="13"/>
  <c r="F14909" i="13"/>
  <c r="A14909" i="13"/>
  <c r="J14908" i="13"/>
  <c r="F14908" i="13"/>
  <c r="A14908" i="13"/>
  <c r="J14907" i="13"/>
  <c r="F14907" i="13"/>
  <c r="A14907" i="13"/>
  <c r="J14906" i="13"/>
  <c r="F14906" i="13"/>
  <c r="A14906" i="13"/>
  <c r="J14905" i="13"/>
  <c r="F14905" i="13"/>
  <c r="A14905" i="13"/>
  <c r="J14904" i="13"/>
  <c r="F14904" i="13"/>
  <c r="A14904" i="13"/>
  <c r="F14903" i="13"/>
  <c r="A14903" i="13"/>
  <c r="J14902" i="13"/>
  <c r="F14902" i="13"/>
  <c r="A14902" i="13"/>
  <c r="J14901" i="13"/>
  <c r="F14901" i="13"/>
  <c r="A14901" i="13"/>
  <c r="F14900" i="13"/>
  <c r="A14900" i="13"/>
  <c r="F14899" i="13"/>
  <c r="A14899" i="13"/>
  <c r="F14898" i="13"/>
  <c r="A14898" i="13"/>
  <c r="J14897" i="13"/>
  <c r="F14897" i="13"/>
  <c r="A14897" i="13"/>
  <c r="J14896" i="13"/>
  <c r="F14896" i="13"/>
  <c r="A14896" i="13"/>
  <c r="J14895" i="13"/>
  <c r="F14895" i="13"/>
  <c r="A14895" i="13"/>
  <c r="J14894" i="13"/>
  <c r="F14894" i="13"/>
  <c r="J14893" i="13"/>
  <c r="F14893" i="13"/>
  <c r="A14893" i="13"/>
  <c r="J14892" i="13"/>
  <c r="F14892" i="13"/>
  <c r="A14892" i="13"/>
  <c r="J14891" i="13"/>
  <c r="F14891" i="13"/>
  <c r="A14891" i="13"/>
  <c r="J14890" i="13"/>
  <c r="F14890" i="13"/>
  <c r="A14890" i="13"/>
  <c r="J14889" i="13"/>
  <c r="F14889" i="13"/>
  <c r="A14889" i="13"/>
  <c r="J14888" i="13"/>
  <c r="F14888" i="13"/>
  <c r="J14887" i="13"/>
  <c r="F14887" i="13"/>
  <c r="A14887" i="13"/>
  <c r="J14886" i="13"/>
  <c r="F14886" i="13"/>
  <c r="A14886" i="13"/>
  <c r="J14885" i="13"/>
  <c r="F14885" i="13"/>
  <c r="A14885" i="13"/>
  <c r="J14884" i="13"/>
  <c r="F14884" i="13"/>
  <c r="A14884" i="13"/>
  <c r="J14883" i="13"/>
  <c r="F14883" i="13"/>
  <c r="F14882" i="13"/>
  <c r="A14882" i="13"/>
  <c r="J14881" i="13"/>
  <c r="F14881" i="13"/>
  <c r="A14881" i="13"/>
  <c r="F14880" i="13"/>
  <c r="A14880" i="13"/>
  <c r="J14879" i="13"/>
  <c r="F14879" i="13"/>
  <c r="A14879" i="13"/>
  <c r="J14878" i="13"/>
  <c r="F14878" i="13"/>
  <c r="A14878" i="13"/>
  <c r="J14877" i="13"/>
  <c r="F14877" i="13"/>
  <c r="A14877" i="13"/>
  <c r="F14876" i="13"/>
  <c r="A14876" i="13"/>
  <c r="J14875" i="13"/>
  <c r="F14875" i="13"/>
  <c r="A14875" i="13"/>
  <c r="F14874" i="13"/>
  <c r="A14874" i="13"/>
  <c r="J14873" i="13"/>
  <c r="F14873" i="13"/>
  <c r="A14873" i="13"/>
  <c r="J14872" i="13"/>
  <c r="F14872" i="13"/>
  <c r="A14872" i="13"/>
  <c r="J14871" i="13"/>
  <c r="F14871" i="13"/>
  <c r="A14871" i="13"/>
  <c r="F14870" i="13"/>
  <c r="A14870" i="13"/>
  <c r="F14869" i="13"/>
  <c r="A14869" i="13"/>
  <c r="F14868" i="13"/>
  <c r="A14868" i="13"/>
  <c r="F14867" i="13"/>
  <c r="A14867" i="13"/>
  <c r="J14866" i="13"/>
  <c r="F14866" i="13"/>
  <c r="A14866" i="13"/>
  <c r="J14865" i="13"/>
  <c r="F14865" i="13"/>
  <c r="A14865" i="13"/>
  <c r="J14864" i="13"/>
  <c r="F14864" i="13"/>
  <c r="A14864" i="13"/>
  <c r="F14863" i="13"/>
  <c r="A14863" i="13"/>
  <c r="J14862" i="13"/>
  <c r="F14862" i="13"/>
  <c r="A14862" i="13"/>
  <c r="J14861" i="13"/>
  <c r="F14861" i="13"/>
  <c r="A14861" i="13"/>
  <c r="J14860" i="13"/>
  <c r="F14860" i="13"/>
  <c r="A14860" i="13"/>
  <c r="J14859" i="13"/>
  <c r="F14859" i="13"/>
  <c r="A14859" i="13"/>
  <c r="F14858" i="13"/>
  <c r="A14858" i="13"/>
  <c r="F14857" i="13"/>
  <c r="A14857" i="13"/>
  <c r="F14856" i="13"/>
  <c r="A14856" i="13"/>
  <c r="J14855" i="13"/>
  <c r="F14855" i="13"/>
  <c r="A14855" i="13"/>
  <c r="J14854" i="13"/>
  <c r="F14854" i="13"/>
  <c r="A14854" i="13"/>
  <c r="J14853" i="13"/>
  <c r="F14853" i="13"/>
  <c r="A14853" i="13"/>
  <c r="J14852" i="13"/>
  <c r="F14852" i="13"/>
  <c r="A14852" i="13"/>
  <c r="F14851" i="13"/>
  <c r="A14851" i="13"/>
  <c r="F14850" i="13"/>
  <c r="A14850" i="13"/>
  <c r="F14849" i="13"/>
  <c r="A14849" i="13"/>
  <c r="F14848" i="13"/>
  <c r="A14848" i="13"/>
  <c r="J14847" i="13"/>
  <c r="F14847" i="13"/>
  <c r="A14847" i="13"/>
  <c r="J14846" i="13"/>
  <c r="F14846" i="13"/>
  <c r="A14846" i="13"/>
  <c r="J14845" i="13"/>
  <c r="F14845" i="13"/>
  <c r="A14845" i="13"/>
  <c r="J14844" i="13"/>
  <c r="F14844" i="13"/>
  <c r="A14844" i="13"/>
  <c r="J14843" i="13"/>
  <c r="F14843" i="13"/>
  <c r="A14843" i="13"/>
  <c r="J14842" i="13"/>
  <c r="F14842" i="13"/>
  <c r="A14842" i="13"/>
  <c r="J14841" i="13"/>
  <c r="F14841" i="13"/>
  <c r="A14841" i="13"/>
  <c r="J14840" i="13"/>
  <c r="F14840" i="13"/>
  <c r="A14840" i="13"/>
  <c r="J14839" i="13"/>
  <c r="F14839" i="13"/>
  <c r="A14839" i="13"/>
  <c r="F14838" i="13"/>
  <c r="A14838" i="13"/>
  <c r="J14837" i="13"/>
  <c r="F14837" i="13"/>
  <c r="A14837" i="13"/>
  <c r="J14836" i="13"/>
  <c r="F14836" i="13"/>
  <c r="A14836" i="13"/>
  <c r="J14835" i="13"/>
  <c r="F14835" i="13"/>
  <c r="A14835" i="13"/>
  <c r="J14834" i="13"/>
  <c r="F14834" i="13"/>
  <c r="A14834" i="13"/>
  <c r="J14833" i="13"/>
  <c r="F14833" i="13"/>
  <c r="A14833" i="13"/>
  <c r="F14832" i="13"/>
  <c r="A14832" i="13"/>
  <c r="J14831" i="13"/>
  <c r="F14831" i="13"/>
  <c r="A14831" i="13"/>
  <c r="F14830" i="13"/>
  <c r="A14830" i="13"/>
  <c r="F14829" i="13"/>
  <c r="A14829" i="13"/>
  <c r="J14828" i="13"/>
  <c r="F14828" i="13"/>
  <c r="A14828" i="13"/>
  <c r="F14827" i="13"/>
  <c r="A14827" i="13"/>
  <c r="F14826" i="13"/>
  <c r="A14826" i="13"/>
  <c r="J14825" i="13"/>
  <c r="F14825" i="13"/>
  <c r="A14825" i="13"/>
  <c r="J14824" i="13"/>
  <c r="F14824" i="13"/>
  <c r="A14824" i="13"/>
  <c r="J14823" i="13"/>
  <c r="F14823" i="13"/>
  <c r="A14823" i="13"/>
  <c r="J14822" i="13"/>
  <c r="F14822" i="13"/>
  <c r="A14822" i="13"/>
  <c r="F14821" i="13"/>
  <c r="A14821" i="13"/>
  <c r="J14820" i="13"/>
  <c r="F14820" i="13"/>
  <c r="A14820" i="13"/>
  <c r="F14819" i="13"/>
  <c r="A14819" i="13"/>
  <c r="F14818" i="13"/>
  <c r="A14818" i="13"/>
  <c r="J14817" i="13"/>
  <c r="F14817" i="13"/>
  <c r="A14817" i="13"/>
  <c r="J14816" i="13"/>
  <c r="F14816" i="13"/>
  <c r="A14816" i="13"/>
  <c r="J14815" i="13"/>
  <c r="F14815" i="13"/>
  <c r="A14815" i="13"/>
  <c r="F14814" i="13"/>
  <c r="A14814" i="13"/>
  <c r="J14813" i="13"/>
  <c r="F14813" i="13"/>
  <c r="J14812" i="13"/>
  <c r="F14812" i="13"/>
  <c r="J14811" i="13"/>
  <c r="F14811" i="13"/>
  <c r="J14810" i="13"/>
  <c r="F14810" i="13"/>
  <c r="F14809" i="13"/>
  <c r="A14809" i="13"/>
  <c r="F14808" i="13"/>
  <c r="A14808" i="13"/>
  <c r="F14807" i="13"/>
  <c r="A14807" i="13"/>
  <c r="F14806" i="13"/>
  <c r="J14805" i="13"/>
  <c r="F14805" i="13"/>
  <c r="A14805" i="13"/>
  <c r="F14804" i="13"/>
  <c r="A14804" i="13"/>
  <c r="J14803" i="13"/>
  <c r="F14803" i="13"/>
  <c r="A14803" i="13"/>
  <c r="J14802" i="13"/>
  <c r="F14802" i="13"/>
  <c r="A14802" i="13"/>
  <c r="J14801" i="13"/>
  <c r="F14801" i="13"/>
  <c r="A14801" i="13"/>
  <c r="J14800" i="13"/>
  <c r="F14800" i="13"/>
  <c r="A14800" i="13"/>
  <c r="J14799" i="13"/>
  <c r="F14799" i="13"/>
  <c r="A14799" i="13"/>
  <c r="J14798" i="13"/>
  <c r="F14798" i="13"/>
  <c r="A14798" i="13"/>
  <c r="J14797" i="13"/>
  <c r="F14797" i="13"/>
  <c r="A14797" i="13"/>
  <c r="F14796" i="13"/>
  <c r="A14796" i="13"/>
  <c r="J14795" i="13"/>
  <c r="F14795" i="13"/>
  <c r="A14795" i="13"/>
  <c r="F14794" i="13"/>
  <c r="A14794" i="13"/>
  <c r="J14793" i="13"/>
  <c r="F14793" i="13"/>
  <c r="A14793" i="13"/>
  <c r="J14792" i="13"/>
  <c r="F14792" i="13"/>
  <c r="A14792" i="13"/>
  <c r="F14791" i="13"/>
  <c r="A14791" i="13"/>
  <c r="F14790" i="13"/>
  <c r="A14790" i="13"/>
  <c r="J14789" i="13"/>
  <c r="F14789" i="13"/>
  <c r="A14789" i="13"/>
  <c r="F14788" i="13"/>
  <c r="A14788" i="13"/>
  <c r="F14787" i="13"/>
  <c r="A14787" i="13"/>
  <c r="F14786" i="13"/>
  <c r="A14786" i="13"/>
  <c r="F14785" i="13"/>
  <c r="A14785" i="13"/>
  <c r="F14784" i="13"/>
  <c r="A14784" i="13"/>
  <c r="F14783" i="13"/>
  <c r="A14783" i="13"/>
  <c r="F14782" i="13"/>
  <c r="A14782" i="13"/>
  <c r="F14781" i="13"/>
  <c r="A14781" i="13"/>
  <c r="F14780" i="13"/>
  <c r="A14780" i="13"/>
  <c r="F14779" i="13"/>
  <c r="A14779" i="13"/>
  <c r="F14778" i="13"/>
  <c r="A14778" i="13"/>
  <c r="F14777" i="13"/>
  <c r="A14777" i="13"/>
  <c r="F14776" i="13"/>
  <c r="A14776" i="13"/>
  <c r="F14775" i="13"/>
  <c r="A14775" i="13"/>
  <c r="J14774" i="13"/>
  <c r="F14774" i="13"/>
  <c r="A14774" i="13"/>
  <c r="F14773" i="13"/>
  <c r="A14773" i="13"/>
  <c r="J14772" i="13"/>
  <c r="F14772" i="13"/>
  <c r="A14772" i="13"/>
  <c r="J14771" i="13"/>
  <c r="F14771" i="13"/>
  <c r="A14771" i="13"/>
  <c r="J14770" i="13"/>
  <c r="F14770" i="13"/>
  <c r="A14770" i="13"/>
  <c r="F14769" i="13"/>
  <c r="A14769" i="13"/>
  <c r="F14768" i="13"/>
  <c r="A14768" i="13"/>
  <c r="J14767" i="13"/>
  <c r="F14767" i="13"/>
  <c r="A14767" i="13"/>
  <c r="F14766" i="13"/>
  <c r="A14766" i="13"/>
  <c r="J14765" i="13"/>
  <c r="F14765" i="13"/>
  <c r="A14765" i="13"/>
  <c r="F14764" i="13"/>
  <c r="A14764" i="13"/>
  <c r="F14763" i="13"/>
  <c r="A14763" i="13"/>
  <c r="F14762" i="13"/>
  <c r="A14762" i="13"/>
  <c r="J14761" i="13"/>
  <c r="F14761" i="13"/>
  <c r="A14761" i="13"/>
  <c r="F14760" i="13"/>
  <c r="A14760" i="13"/>
  <c r="J14759" i="13"/>
  <c r="F14759" i="13"/>
  <c r="A14759" i="13"/>
  <c r="J14758" i="13"/>
  <c r="F14758" i="13"/>
  <c r="A14758" i="13"/>
  <c r="J14757" i="13"/>
  <c r="F14757" i="13"/>
  <c r="A14757" i="13"/>
  <c r="J14756" i="13"/>
  <c r="F14756" i="13"/>
  <c r="A14756" i="13"/>
  <c r="J14755" i="13"/>
  <c r="F14755" i="13"/>
  <c r="J14754" i="13"/>
  <c r="F14754" i="13"/>
  <c r="F14753" i="13"/>
  <c r="A14753" i="13"/>
  <c r="F14752" i="13"/>
  <c r="A14752" i="13"/>
  <c r="F14751" i="13"/>
  <c r="J14750" i="13"/>
  <c r="F14750" i="13"/>
  <c r="A14750" i="13"/>
  <c r="J14749" i="13"/>
  <c r="F14749" i="13"/>
  <c r="A14749" i="13"/>
  <c r="J14748" i="13"/>
  <c r="F14748" i="13"/>
  <c r="A14748" i="13"/>
  <c r="J14747" i="13"/>
  <c r="F14747" i="13"/>
  <c r="A14747" i="13"/>
  <c r="J14746" i="13"/>
  <c r="F14746" i="13"/>
  <c r="A14746" i="13"/>
  <c r="J14745" i="13"/>
  <c r="F14745" i="13"/>
  <c r="A14745" i="13"/>
  <c r="J14744" i="13"/>
  <c r="F14744" i="13"/>
  <c r="F14743" i="13"/>
  <c r="A14743" i="13"/>
  <c r="F14742" i="13"/>
  <c r="A14742" i="13"/>
  <c r="J14741" i="13"/>
  <c r="F14741" i="13"/>
  <c r="A14741" i="13"/>
  <c r="F14740" i="13"/>
  <c r="A14740" i="13"/>
  <c r="J14739" i="13"/>
  <c r="F14739" i="13"/>
  <c r="A14739" i="13"/>
  <c r="J14738" i="13"/>
  <c r="F14738" i="13"/>
  <c r="A14738" i="13"/>
  <c r="J14737" i="13"/>
  <c r="F14737" i="13"/>
  <c r="A14737" i="13"/>
  <c r="J14736" i="13"/>
  <c r="F14736" i="13"/>
  <c r="A14736" i="13"/>
  <c r="J14735" i="13"/>
  <c r="F14735" i="13"/>
  <c r="A14735" i="13"/>
  <c r="J14734" i="13"/>
  <c r="F14734" i="13"/>
  <c r="A14734" i="13"/>
  <c r="J14733" i="13"/>
  <c r="F14733" i="13"/>
  <c r="J14732" i="13"/>
  <c r="F14732" i="13"/>
  <c r="J14731" i="13"/>
  <c r="F14731" i="13"/>
  <c r="J14730" i="13"/>
  <c r="F14730" i="13"/>
  <c r="F14729" i="13"/>
  <c r="A14729" i="13"/>
  <c r="F14728" i="13"/>
  <c r="A14728" i="13"/>
  <c r="F14727" i="13"/>
  <c r="A14727" i="13"/>
  <c r="F14726" i="13"/>
  <c r="A14726" i="13"/>
  <c r="F14725" i="13"/>
  <c r="A14725" i="13"/>
  <c r="F14724" i="13"/>
  <c r="A14724" i="13"/>
  <c r="F14723" i="13"/>
  <c r="A14723" i="13"/>
  <c r="F14722" i="13"/>
  <c r="A14722" i="13"/>
  <c r="F14721" i="13"/>
  <c r="A14721" i="13"/>
  <c r="F14720" i="13"/>
  <c r="A14720" i="13"/>
  <c r="F14719" i="13"/>
  <c r="A14719" i="13"/>
  <c r="F14718" i="13"/>
  <c r="A14718" i="13"/>
  <c r="F14717" i="13"/>
  <c r="A14717" i="13"/>
  <c r="F14716" i="13"/>
  <c r="A14716" i="13"/>
  <c r="F14715" i="13"/>
  <c r="A14715" i="13"/>
  <c r="F14714" i="13"/>
  <c r="A14714" i="13"/>
  <c r="F14713" i="13"/>
  <c r="A14713" i="13"/>
  <c r="F14712" i="13"/>
  <c r="A14712" i="13"/>
  <c r="F14711" i="13"/>
  <c r="A14711" i="13"/>
  <c r="F14710" i="13"/>
  <c r="A14710" i="13"/>
  <c r="F14709" i="13"/>
  <c r="A14709" i="13"/>
  <c r="F14708" i="13"/>
  <c r="A14708" i="13"/>
  <c r="F14707" i="13"/>
  <c r="A14707" i="13"/>
  <c r="F14706" i="13"/>
  <c r="A14706" i="13"/>
  <c r="F14705" i="13"/>
  <c r="A14705" i="13"/>
  <c r="F14704" i="13"/>
  <c r="A14704" i="13"/>
  <c r="F14703" i="13"/>
  <c r="A14703" i="13"/>
  <c r="F14702" i="13"/>
  <c r="A14702" i="13"/>
  <c r="F14701" i="13"/>
  <c r="A14701" i="13"/>
  <c r="F14700" i="13"/>
  <c r="A14700" i="13"/>
  <c r="F14699" i="13"/>
  <c r="A14699" i="13"/>
  <c r="F14698" i="13"/>
  <c r="A14698" i="13"/>
  <c r="F14697" i="13"/>
  <c r="A14697" i="13"/>
  <c r="F14696" i="13"/>
  <c r="A14696" i="13"/>
  <c r="F14695" i="13"/>
  <c r="A14695" i="13"/>
  <c r="F14694" i="13"/>
  <c r="A14694" i="13"/>
  <c r="F14693" i="13"/>
  <c r="J14692" i="13"/>
  <c r="F14692" i="13"/>
  <c r="A14692" i="13"/>
  <c r="J14691" i="13"/>
  <c r="F14691" i="13"/>
  <c r="A14691" i="13"/>
  <c r="J14690" i="13"/>
  <c r="F14690" i="13"/>
  <c r="A14690" i="13"/>
  <c r="J14689" i="13"/>
  <c r="F14689" i="13"/>
  <c r="A14689" i="13"/>
  <c r="J14688" i="13"/>
  <c r="F14688" i="13"/>
  <c r="A14688" i="13"/>
  <c r="J14687" i="13"/>
  <c r="F14687" i="13"/>
  <c r="A14687" i="13"/>
  <c r="J14686" i="13"/>
  <c r="F14686" i="13"/>
  <c r="J14685" i="13"/>
  <c r="F14685" i="13"/>
  <c r="A14685" i="13"/>
  <c r="J14684" i="13"/>
  <c r="F14684" i="13"/>
  <c r="A14684" i="13"/>
  <c r="F14683" i="13"/>
  <c r="A14683" i="13"/>
  <c r="J14682" i="13"/>
  <c r="F14682" i="13"/>
  <c r="A14682" i="13"/>
  <c r="F14681" i="13"/>
  <c r="A14681" i="13"/>
  <c r="F14680" i="13"/>
  <c r="A14680" i="13"/>
  <c r="J14679" i="13"/>
  <c r="F14679" i="13"/>
  <c r="A14679" i="13"/>
  <c r="J14678" i="13"/>
  <c r="F14678" i="13"/>
  <c r="A14678" i="13"/>
  <c r="J14677" i="13"/>
  <c r="F14677" i="13"/>
  <c r="A14677" i="13"/>
  <c r="J14676" i="13"/>
  <c r="F14676" i="13"/>
  <c r="J14675" i="13"/>
  <c r="F14675" i="13"/>
  <c r="A14675" i="13"/>
  <c r="J14674" i="13"/>
  <c r="F14674" i="13"/>
  <c r="A14674" i="13"/>
  <c r="J14673" i="13"/>
  <c r="F14673" i="13"/>
  <c r="A14673" i="13"/>
  <c r="J14672" i="13"/>
  <c r="F14672" i="13"/>
  <c r="A14672" i="13"/>
  <c r="J14671" i="13"/>
  <c r="F14671" i="13"/>
  <c r="A14671" i="13"/>
  <c r="J14670" i="13"/>
  <c r="F14670" i="13"/>
  <c r="A14670" i="13"/>
  <c r="J14669" i="13"/>
  <c r="F14669" i="13"/>
  <c r="J14668" i="13"/>
  <c r="F14668" i="13"/>
  <c r="A14668" i="13"/>
  <c r="J14667" i="13"/>
  <c r="F14667" i="13"/>
  <c r="A14667" i="13"/>
  <c r="F14666" i="13"/>
  <c r="A14666" i="13"/>
  <c r="F14665" i="13"/>
  <c r="A14665" i="13"/>
  <c r="J14664" i="13"/>
  <c r="F14664" i="13"/>
  <c r="A14664" i="13"/>
  <c r="J14663" i="13"/>
  <c r="F14663" i="13"/>
  <c r="A14663" i="13"/>
  <c r="F14662" i="13"/>
  <c r="A14662" i="13"/>
  <c r="J14661" i="13"/>
  <c r="F14661" i="13"/>
  <c r="A14661" i="13"/>
  <c r="F14660" i="13"/>
  <c r="A14660" i="13"/>
  <c r="F14659" i="13"/>
  <c r="A14659" i="13"/>
  <c r="F14658" i="13"/>
  <c r="A14658" i="13"/>
  <c r="J14657" i="13"/>
  <c r="F14657" i="13"/>
  <c r="A14657" i="13"/>
  <c r="J14656" i="13"/>
  <c r="F14656" i="13"/>
  <c r="A14656" i="13"/>
  <c r="J14655" i="13"/>
  <c r="F14655" i="13"/>
  <c r="A14655" i="13"/>
  <c r="J14654" i="13"/>
  <c r="F14654" i="13"/>
  <c r="A14654" i="13"/>
  <c r="J14653" i="13"/>
  <c r="F14653" i="13"/>
  <c r="A14653" i="13"/>
  <c r="J14652" i="13"/>
  <c r="F14652" i="13"/>
  <c r="A14652" i="13"/>
  <c r="J14651" i="13"/>
  <c r="F14651" i="13"/>
  <c r="F14650" i="13"/>
  <c r="A14650" i="13"/>
  <c r="F14649" i="13"/>
  <c r="A14649" i="13"/>
  <c r="J14648" i="13"/>
  <c r="F14648" i="13"/>
  <c r="A14648" i="13"/>
  <c r="J14647" i="13"/>
  <c r="F14647" i="13"/>
  <c r="A14647" i="13"/>
  <c r="F14646" i="13"/>
  <c r="A14646" i="13"/>
  <c r="F14645" i="13"/>
  <c r="A14645" i="13"/>
  <c r="J14644" i="13"/>
  <c r="F14644" i="13"/>
  <c r="A14644" i="13"/>
  <c r="J14643" i="13"/>
  <c r="F14643" i="13"/>
  <c r="A14643" i="13"/>
  <c r="J14642" i="13"/>
  <c r="F14642" i="13"/>
  <c r="A14642" i="13"/>
  <c r="F14641" i="13"/>
  <c r="A14641" i="13"/>
  <c r="J14640" i="13"/>
  <c r="F14640" i="13"/>
  <c r="A14640" i="13"/>
  <c r="J14639" i="13"/>
  <c r="F14639" i="13"/>
  <c r="A14639" i="13"/>
  <c r="F14638" i="13"/>
  <c r="A14638" i="13"/>
  <c r="F14637" i="13"/>
  <c r="A14637" i="13"/>
  <c r="F14636" i="13"/>
  <c r="A14636" i="13"/>
  <c r="F14635" i="13"/>
  <c r="A14635" i="13"/>
  <c r="J14634" i="13"/>
  <c r="F14634" i="13"/>
  <c r="A14634" i="13"/>
  <c r="J14633" i="13"/>
  <c r="F14633" i="13"/>
  <c r="A14633" i="13"/>
  <c r="F14632" i="13"/>
  <c r="A14632" i="13"/>
  <c r="F14631" i="13"/>
  <c r="A14631" i="13"/>
  <c r="J14630" i="13"/>
  <c r="F14630" i="13"/>
  <c r="A14630" i="13"/>
  <c r="J14629" i="13"/>
  <c r="F14629" i="13"/>
  <c r="A14629" i="13"/>
  <c r="F14628" i="13"/>
  <c r="A14628" i="13"/>
  <c r="F14627" i="13"/>
  <c r="A14627" i="13"/>
  <c r="J14626" i="13"/>
  <c r="F14626" i="13"/>
  <c r="A14626" i="13"/>
  <c r="J14625" i="13"/>
  <c r="F14625" i="13"/>
  <c r="A14625" i="13"/>
  <c r="J14624" i="13"/>
  <c r="F14624" i="13"/>
  <c r="A14624" i="13"/>
  <c r="J14623" i="13"/>
  <c r="F14623" i="13"/>
  <c r="A14623" i="13"/>
  <c r="J14622" i="13"/>
  <c r="F14622" i="13"/>
  <c r="A14622" i="13"/>
  <c r="J14621" i="13"/>
  <c r="F14621" i="13"/>
  <c r="A14621" i="13"/>
  <c r="F14620" i="13"/>
  <c r="A14620" i="13"/>
  <c r="F14619" i="13"/>
  <c r="A14619" i="13"/>
  <c r="J14618" i="13"/>
  <c r="F14618" i="13"/>
  <c r="A14618" i="13"/>
  <c r="J14617" i="13"/>
  <c r="F14617" i="13"/>
  <c r="A14617" i="13"/>
  <c r="J14616" i="13"/>
  <c r="F14616" i="13"/>
  <c r="A14616" i="13"/>
  <c r="F14615" i="13"/>
  <c r="A14615" i="13"/>
  <c r="J14614" i="13"/>
  <c r="F14614" i="13"/>
  <c r="A14614" i="13"/>
  <c r="J14613" i="13"/>
  <c r="F14613" i="13"/>
  <c r="A14613" i="13"/>
  <c r="J14612" i="13"/>
  <c r="F14612" i="13"/>
  <c r="A14612" i="13"/>
  <c r="J14611" i="13"/>
  <c r="F14611" i="13"/>
  <c r="A14611" i="13"/>
  <c r="J14610" i="13"/>
  <c r="F14610" i="13"/>
  <c r="A14610" i="13"/>
  <c r="F14609" i="13"/>
  <c r="A14609" i="13"/>
  <c r="F14608" i="13"/>
  <c r="A14608" i="13"/>
  <c r="F14607" i="13"/>
  <c r="A14607" i="13"/>
  <c r="F14606" i="13"/>
  <c r="A14606" i="13"/>
  <c r="F14605" i="13"/>
  <c r="A14605" i="13"/>
  <c r="F14604" i="13"/>
  <c r="A14604" i="13"/>
  <c r="J14603" i="13"/>
  <c r="F14603" i="13"/>
  <c r="A14603" i="13"/>
  <c r="F14602" i="13"/>
  <c r="A14602" i="13"/>
  <c r="J14601" i="13"/>
  <c r="F14601" i="13"/>
  <c r="A14601" i="13"/>
  <c r="J14600" i="13"/>
  <c r="F14600" i="13"/>
  <c r="A14600" i="13"/>
  <c r="J14599" i="13"/>
  <c r="F14599" i="13"/>
  <c r="A14599" i="13"/>
  <c r="J14598" i="13"/>
  <c r="F14598" i="13"/>
  <c r="A14598" i="13"/>
  <c r="J14597" i="13"/>
  <c r="F14597" i="13"/>
  <c r="A14597" i="13"/>
  <c r="J14596" i="13"/>
  <c r="F14596" i="13"/>
  <c r="A14596" i="13"/>
  <c r="F14595" i="13"/>
  <c r="A14595" i="13"/>
  <c r="J14594" i="13"/>
  <c r="F14594" i="13"/>
  <c r="A14594" i="13"/>
  <c r="J14593" i="13"/>
  <c r="F14593" i="13"/>
  <c r="A14593" i="13"/>
  <c r="F14592" i="13"/>
  <c r="A14592" i="13"/>
  <c r="F14591" i="13"/>
  <c r="A14591" i="13"/>
  <c r="F14590" i="13"/>
  <c r="A14590" i="13"/>
  <c r="J14589" i="13"/>
  <c r="F14589" i="13"/>
  <c r="A14589" i="13"/>
  <c r="J14588" i="13"/>
  <c r="F14588" i="13"/>
  <c r="A14588" i="13"/>
  <c r="F14587" i="13"/>
  <c r="A14587" i="13"/>
  <c r="J14586" i="13"/>
  <c r="F14586" i="13"/>
  <c r="A14586" i="13"/>
  <c r="J14585" i="13"/>
  <c r="F14585" i="13"/>
  <c r="A14585" i="13"/>
  <c r="J14584" i="13"/>
  <c r="F14584" i="13"/>
  <c r="A14584" i="13"/>
  <c r="J14583" i="13"/>
  <c r="F14583" i="13"/>
  <c r="A14583" i="13"/>
  <c r="F14582" i="13"/>
  <c r="A14582" i="13"/>
  <c r="F14581" i="13"/>
  <c r="A14581" i="13"/>
  <c r="F14580" i="13"/>
  <c r="A14580" i="13"/>
  <c r="J14579" i="13"/>
  <c r="F14579" i="13"/>
  <c r="A14579" i="13"/>
  <c r="J14578" i="13"/>
  <c r="F14578" i="13"/>
  <c r="A14578" i="13"/>
  <c r="J14577" i="13"/>
  <c r="F14577" i="13"/>
  <c r="A14577" i="13"/>
  <c r="J14576" i="13"/>
  <c r="F14576" i="13"/>
  <c r="A14576" i="13"/>
  <c r="J14575" i="13"/>
  <c r="F14575" i="13"/>
  <c r="A14575" i="13"/>
  <c r="J14574" i="13"/>
  <c r="F14574" i="13"/>
  <c r="A14574" i="13"/>
  <c r="J14573" i="13"/>
  <c r="F14573" i="13"/>
  <c r="A14573" i="13"/>
  <c r="F14572" i="13"/>
  <c r="A14572" i="13"/>
  <c r="F14571" i="13"/>
  <c r="A14571" i="13"/>
  <c r="F14570" i="13"/>
  <c r="A14570" i="13"/>
  <c r="F14569" i="13"/>
  <c r="A14569" i="13"/>
  <c r="F14568" i="13"/>
  <c r="A14568" i="13"/>
  <c r="F14567" i="13"/>
  <c r="A14567" i="13"/>
  <c r="F14566" i="13"/>
  <c r="A14566" i="13"/>
  <c r="F14565" i="13"/>
  <c r="A14565" i="13"/>
  <c r="J14564" i="13"/>
  <c r="F14564" i="13"/>
  <c r="A14564" i="13"/>
  <c r="J14563" i="13"/>
  <c r="F14563" i="13"/>
  <c r="A14563" i="13"/>
  <c r="J14562" i="13"/>
  <c r="F14562" i="13"/>
  <c r="A14562" i="13"/>
  <c r="F14561" i="13"/>
  <c r="A14561" i="13"/>
  <c r="F14560" i="13"/>
  <c r="A14560" i="13"/>
  <c r="F14559" i="13"/>
  <c r="A14559" i="13"/>
  <c r="F14558" i="13"/>
  <c r="A14558" i="13"/>
  <c r="F14557" i="13"/>
  <c r="A14557" i="13"/>
  <c r="F14556" i="13"/>
  <c r="A14556" i="13"/>
  <c r="F14555" i="13"/>
  <c r="A14555" i="13"/>
  <c r="J14554" i="13"/>
  <c r="F14554" i="13"/>
  <c r="A14554" i="13"/>
  <c r="J14553" i="13"/>
  <c r="F14553" i="13"/>
  <c r="A14553" i="13"/>
  <c r="F14552" i="13"/>
  <c r="A14552" i="13"/>
  <c r="F14551" i="13"/>
  <c r="A14551" i="13"/>
  <c r="F14550" i="13"/>
  <c r="A14550" i="13"/>
  <c r="J14549" i="13"/>
  <c r="F14549" i="13"/>
  <c r="A14549" i="13"/>
  <c r="J14548" i="13"/>
  <c r="F14548" i="13"/>
  <c r="A14548" i="13"/>
  <c r="F14547" i="13"/>
  <c r="A14547" i="13"/>
  <c r="J14546" i="13"/>
  <c r="F14546" i="13"/>
  <c r="A14546" i="13"/>
  <c r="J14545" i="13"/>
  <c r="F14545" i="13"/>
  <c r="A14545" i="13"/>
  <c r="F14544" i="13"/>
  <c r="A14544" i="13"/>
  <c r="J14543" i="13"/>
  <c r="F14543" i="13"/>
  <c r="A14543" i="13"/>
  <c r="J14542" i="13"/>
  <c r="F14542" i="13"/>
  <c r="A14542" i="13"/>
  <c r="F14541" i="13"/>
  <c r="A14541" i="13"/>
  <c r="F14540" i="13"/>
  <c r="A14540" i="13"/>
  <c r="J14539" i="13"/>
  <c r="F14539" i="13"/>
  <c r="A14539" i="13"/>
  <c r="F14538" i="13"/>
  <c r="A14538" i="13"/>
  <c r="F14537" i="13"/>
  <c r="A14537" i="13"/>
  <c r="J14536" i="13"/>
  <c r="F14536" i="13"/>
  <c r="A14536" i="13"/>
  <c r="J14535" i="13"/>
  <c r="F14535" i="13"/>
  <c r="A14535" i="13"/>
  <c r="J14534" i="13"/>
  <c r="F14534" i="13"/>
  <c r="A14534" i="13"/>
  <c r="F14533" i="13"/>
  <c r="A14533" i="13"/>
  <c r="J14532" i="13"/>
  <c r="F14532" i="13"/>
  <c r="A14532" i="13"/>
  <c r="J14531" i="13"/>
  <c r="F14531" i="13"/>
  <c r="A14531" i="13"/>
  <c r="J14530" i="13"/>
  <c r="F14530" i="13"/>
  <c r="A14530" i="13"/>
  <c r="J14529" i="13"/>
  <c r="F14529" i="13"/>
  <c r="A14529" i="13"/>
  <c r="F14528" i="13"/>
  <c r="A14528" i="13"/>
  <c r="J14527" i="13"/>
  <c r="F14527" i="13"/>
  <c r="A14527" i="13"/>
  <c r="J14526" i="13"/>
  <c r="F14526" i="13"/>
  <c r="A14526" i="13"/>
  <c r="J14525" i="13"/>
  <c r="F14525" i="13"/>
  <c r="A14525" i="13"/>
  <c r="J14524" i="13"/>
  <c r="F14524" i="13"/>
  <c r="A14524" i="13"/>
  <c r="F14523" i="13"/>
  <c r="A14523" i="13"/>
  <c r="F14522" i="13"/>
  <c r="A14522" i="13"/>
  <c r="F14521" i="13"/>
  <c r="A14521" i="13"/>
  <c r="F14520" i="13"/>
  <c r="A14520" i="13"/>
  <c r="J14519" i="13"/>
  <c r="F14519" i="13"/>
  <c r="A14519" i="13"/>
  <c r="J14518" i="13"/>
  <c r="F14518" i="13"/>
  <c r="A14518" i="13"/>
  <c r="J14517" i="13"/>
  <c r="F14517" i="13"/>
  <c r="A14517" i="13"/>
  <c r="F14516" i="13"/>
  <c r="A14516" i="13"/>
  <c r="F14515" i="13"/>
  <c r="A14515" i="13"/>
  <c r="F14514" i="13"/>
  <c r="A14514" i="13"/>
  <c r="F14513" i="13"/>
  <c r="A14513" i="13"/>
  <c r="F14512" i="13"/>
  <c r="A14512" i="13"/>
  <c r="F14511" i="13"/>
  <c r="A14511" i="13"/>
  <c r="J14510" i="13"/>
  <c r="F14510" i="13"/>
  <c r="A14510" i="13"/>
  <c r="J14509" i="13"/>
  <c r="F14509" i="13"/>
  <c r="A14509" i="13"/>
  <c r="F14508" i="13"/>
  <c r="A14508" i="13"/>
  <c r="F14507" i="13"/>
  <c r="A14507" i="13"/>
  <c r="F14506" i="13"/>
  <c r="A14506" i="13"/>
  <c r="F14505" i="13"/>
  <c r="A14505" i="13"/>
  <c r="F14504" i="13"/>
  <c r="F14503" i="13"/>
  <c r="A14503" i="13"/>
  <c r="J14502" i="13"/>
  <c r="F14502" i="13"/>
  <c r="A14502" i="13"/>
  <c r="F14501" i="13"/>
  <c r="A14501" i="13"/>
  <c r="F14500" i="13"/>
  <c r="A14500" i="13"/>
  <c r="F14499" i="13"/>
  <c r="A14499" i="13"/>
  <c r="F14498" i="13"/>
  <c r="A14498" i="13"/>
  <c r="F14497" i="13"/>
  <c r="A14497" i="13"/>
  <c r="F14496" i="13"/>
  <c r="A14496" i="13"/>
  <c r="F14495" i="13"/>
  <c r="A14495" i="13"/>
  <c r="F14494" i="13"/>
  <c r="A14494" i="13"/>
  <c r="F14493" i="13"/>
  <c r="A14493" i="13"/>
  <c r="F14492" i="13"/>
  <c r="A14492" i="13"/>
  <c r="F14491" i="13"/>
  <c r="A14491" i="13"/>
  <c r="F14490" i="13"/>
  <c r="A14490" i="13"/>
  <c r="F14489" i="13"/>
  <c r="A14489" i="13"/>
  <c r="F14488" i="13"/>
  <c r="A14488" i="13"/>
  <c r="F14487" i="13"/>
  <c r="A14487" i="13"/>
  <c r="F14486" i="13"/>
  <c r="A14486" i="13"/>
  <c r="F14485" i="13"/>
  <c r="A14485" i="13"/>
  <c r="F14484" i="13"/>
  <c r="A14484" i="13"/>
  <c r="F14483" i="13"/>
  <c r="A14483" i="13"/>
  <c r="F14482" i="13"/>
  <c r="A14482" i="13"/>
  <c r="F14481" i="13"/>
  <c r="A14481" i="13"/>
  <c r="F14480" i="13"/>
  <c r="A14480" i="13"/>
  <c r="F14479" i="13"/>
  <c r="A14479" i="13"/>
  <c r="J14478" i="13"/>
  <c r="F14478" i="13"/>
  <c r="A14478" i="13"/>
  <c r="F14477" i="13"/>
  <c r="A14477" i="13"/>
  <c r="F14476" i="13"/>
  <c r="A14476" i="13"/>
  <c r="F14475" i="13"/>
  <c r="A14475" i="13"/>
  <c r="F14474" i="13"/>
  <c r="A14474" i="13"/>
  <c r="F14473" i="13"/>
  <c r="A14473" i="13"/>
  <c r="F14472" i="13"/>
  <c r="A14472" i="13"/>
  <c r="F14471" i="13"/>
  <c r="A14471" i="13"/>
  <c r="F14470" i="13"/>
  <c r="A14470" i="13"/>
  <c r="F14469" i="13"/>
  <c r="A14469" i="13"/>
  <c r="F14468" i="13"/>
  <c r="A14468" i="13"/>
  <c r="F14467" i="13"/>
  <c r="A14467" i="13"/>
  <c r="F14466" i="13"/>
  <c r="A14466" i="13"/>
  <c r="F14465" i="13"/>
  <c r="A14465" i="13"/>
  <c r="F14464" i="13"/>
  <c r="A14464" i="13"/>
  <c r="F14463" i="13"/>
  <c r="A14463" i="13"/>
  <c r="F14462" i="13"/>
  <c r="A14462" i="13"/>
  <c r="F14461" i="13"/>
  <c r="A14461" i="13"/>
  <c r="F14460" i="13"/>
  <c r="A14460" i="13"/>
  <c r="F14459" i="13"/>
  <c r="A14459" i="13"/>
  <c r="F14458" i="13"/>
  <c r="A14458" i="13"/>
  <c r="F14457" i="13"/>
  <c r="A14457" i="13"/>
  <c r="F14456" i="13"/>
  <c r="A14456" i="13"/>
  <c r="F14455" i="13"/>
  <c r="A14455" i="13"/>
  <c r="F14454" i="13"/>
  <c r="A14454" i="13"/>
  <c r="F14453" i="13"/>
  <c r="A14453" i="13"/>
  <c r="F14452" i="13"/>
  <c r="A14452" i="13"/>
  <c r="F14451" i="13"/>
  <c r="A14451" i="13"/>
  <c r="F14450" i="13"/>
  <c r="A14450" i="13"/>
  <c r="F14449" i="13"/>
  <c r="A14449" i="13"/>
  <c r="F14448" i="13"/>
  <c r="A14448" i="13"/>
  <c r="F14447" i="13"/>
  <c r="A14447" i="13"/>
  <c r="F14446" i="13"/>
  <c r="A14446" i="13"/>
  <c r="F14445" i="13"/>
  <c r="A14445" i="13"/>
  <c r="F14444" i="13"/>
  <c r="A14444" i="13"/>
  <c r="F14443" i="13"/>
  <c r="A14443" i="13"/>
  <c r="F14442" i="13"/>
  <c r="A14442" i="13"/>
  <c r="F14441" i="13"/>
  <c r="A14441" i="13"/>
  <c r="F14440" i="13"/>
  <c r="A14440" i="13"/>
  <c r="F14439" i="13"/>
  <c r="A14439" i="13"/>
  <c r="F14438" i="13"/>
  <c r="A14438" i="13"/>
  <c r="F14437" i="13"/>
  <c r="A14437" i="13"/>
  <c r="F14436" i="13"/>
  <c r="A14436" i="13"/>
  <c r="F14435" i="13"/>
  <c r="A14435" i="13"/>
  <c r="F14434" i="13"/>
  <c r="A14434" i="13"/>
  <c r="F14433" i="13"/>
  <c r="A14433" i="13"/>
  <c r="F14432" i="13"/>
  <c r="A14432" i="13"/>
  <c r="F14431" i="13"/>
  <c r="A14431" i="13"/>
  <c r="F14430" i="13"/>
  <c r="A14430" i="13"/>
  <c r="F14429" i="13"/>
  <c r="A14429" i="13"/>
  <c r="F14428" i="13"/>
  <c r="A14428" i="13"/>
  <c r="F14427" i="13"/>
  <c r="A14427" i="13"/>
  <c r="F14426" i="13"/>
  <c r="A14426" i="13"/>
  <c r="F14425" i="13"/>
  <c r="A14425" i="13"/>
  <c r="F14424" i="13"/>
  <c r="A14424" i="13"/>
  <c r="F14423" i="13"/>
  <c r="A14423" i="13"/>
  <c r="F14422" i="13"/>
  <c r="A14422" i="13"/>
  <c r="F14421" i="13"/>
  <c r="A14421" i="13"/>
  <c r="F14420" i="13"/>
  <c r="A14420" i="13"/>
  <c r="F14419" i="13"/>
  <c r="A14419" i="13"/>
  <c r="F14418" i="13"/>
  <c r="A14418" i="13"/>
  <c r="F14417" i="13"/>
  <c r="F14416" i="13"/>
  <c r="A14416" i="13"/>
  <c r="F14415" i="13"/>
  <c r="A14415" i="13"/>
  <c r="F14414" i="13"/>
  <c r="A14414" i="13"/>
  <c r="F14413" i="13"/>
  <c r="A14413" i="13"/>
  <c r="J14412" i="13"/>
  <c r="F14412" i="13"/>
  <c r="A14412" i="13"/>
  <c r="J14411" i="13"/>
  <c r="F14411" i="13"/>
  <c r="A14411" i="13"/>
  <c r="J14410" i="13"/>
  <c r="F14410" i="13"/>
  <c r="A14410" i="13"/>
  <c r="J14409" i="13"/>
  <c r="F14409" i="13"/>
  <c r="A14409" i="13"/>
  <c r="F14408" i="13"/>
  <c r="A14408" i="13"/>
  <c r="F14407" i="13"/>
  <c r="A14407" i="13"/>
  <c r="F14406" i="13"/>
  <c r="A14406" i="13"/>
  <c r="F14405" i="13"/>
  <c r="A14405" i="13"/>
  <c r="F14404" i="13"/>
  <c r="A14404" i="13"/>
  <c r="J14403" i="13"/>
  <c r="F14403" i="13"/>
  <c r="A14403" i="13"/>
  <c r="J14402" i="13"/>
  <c r="F14402" i="13"/>
  <c r="A14402" i="13"/>
  <c r="J14401" i="13"/>
  <c r="F14401" i="13"/>
  <c r="A14401" i="13"/>
  <c r="J14400" i="13"/>
  <c r="F14400" i="13"/>
  <c r="A14400" i="13"/>
  <c r="F14399" i="13"/>
  <c r="A14399" i="13"/>
  <c r="F14398" i="13"/>
  <c r="A14398" i="13"/>
  <c r="F14397" i="13"/>
  <c r="A14397" i="13"/>
  <c r="F14396" i="13"/>
  <c r="A14396" i="13"/>
  <c r="F14395" i="13"/>
  <c r="A14395" i="13"/>
  <c r="F14394" i="13"/>
  <c r="A14394" i="13"/>
  <c r="F14393" i="13"/>
  <c r="A14393" i="13"/>
  <c r="F14392" i="13"/>
  <c r="A14392" i="13"/>
  <c r="F14391" i="13"/>
  <c r="A14391" i="13"/>
  <c r="F14390" i="13"/>
  <c r="A14390" i="13"/>
  <c r="F14389" i="13"/>
  <c r="A14389" i="13"/>
  <c r="F14388" i="13"/>
  <c r="A14388" i="13"/>
  <c r="F14387" i="13"/>
  <c r="A14387" i="13"/>
  <c r="F14386" i="13"/>
  <c r="A14386" i="13"/>
  <c r="F14385" i="13"/>
  <c r="A14385" i="13"/>
  <c r="F14384" i="13"/>
  <c r="A14384" i="13"/>
  <c r="F14383" i="13"/>
  <c r="A14383" i="13"/>
  <c r="F14382" i="13"/>
  <c r="A14382" i="13"/>
  <c r="F14381" i="13"/>
  <c r="A14381" i="13"/>
  <c r="F14380" i="13"/>
  <c r="A14380" i="13"/>
  <c r="F14379" i="13"/>
  <c r="A14379" i="13"/>
  <c r="F14378" i="13"/>
  <c r="A14378" i="13"/>
  <c r="F14377" i="13"/>
  <c r="A14377" i="13"/>
  <c r="F14376" i="13"/>
  <c r="A14376" i="13"/>
  <c r="F14375" i="13"/>
  <c r="A14375" i="13"/>
  <c r="F14374" i="13"/>
  <c r="A14374" i="13"/>
  <c r="F14373" i="13"/>
  <c r="A14373" i="13"/>
  <c r="F14372" i="13"/>
  <c r="A14372" i="13"/>
  <c r="F14371" i="13"/>
  <c r="A14371" i="13"/>
  <c r="F14370" i="13"/>
  <c r="A14370" i="13"/>
  <c r="F14369" i="13"/>
  <c r="A14369" i="13"/>
  <c r="F14368" i="13"/>
  <c r="A14368" i="13"/>
  <c r="F14367" i="13"/>
  <c r="A14367" i="13"/>
  <c r="F14366" i="13"/>
  <c r="A14366" i="13"/>
  <c r="F14365" i="13"/>
  <c r="A14365" i="13"/>
  <c r="F14364" i="13"/>
  <c r="A14364" i="13"/>
  <c r="F14363" i="13"/>
  <c r="A14363" i="13"/>
  <c r="F14362" i="13"/>
  <c r="A14362" i="13"/>
  <c r="F14361" i="13"/>
  <c r="A14361" i="13"/>
  <c r="F14360" i="13"/>
  <c r="A14360" i="13"/>
  <c r="F14359" i="13"/>
  <c r="A14359" i="13"/>
  <c r="F14358" i="13"/>
  <c r="A14358" i="13"/>
  <c r="F14357" i="13"/>
  <c r="A14357" i="13"/>
  <c r="F14356" i="13"/>
  <c r="A14356" i="13"/>
  <c r="F14355" i="13"/>
  <c r="A14355" i="13"/>
  <c r="J14354" i="13"/>
  <c r="F14354" i="13"/>
  <c r="A14354" i="13"/>
  <c r="J14353" i="13"/>
  <c r="F14353" i="13"/>
  <c r="A14353" i="13"/>
  <c r="J14352" i="13"/>
  <c r="F14352" i="13"/>
  <c r="A14352" i="13"/>
  <c r="F14351" i="13"/>
  <c r="A14351" i="13"/>
  <c r="J14350" i="13"/>
  <c r="F14350" i="13"/>
  <c r="A14350" i="13"/>
  <c r="J14349" i="13"/>
  <c r="F14349" i="13"/>
  <c r="A14349" i="13"/>
  <c r="J14348" i="13"/>
  <c r="F14348" i="13"/>
  <c r="A14348" i="13"/>
  <c r="F14347" i="13"/>
  <c r="A14347" i="13"/>
  <c r="J14346" i="13"/>
  <c r="F14346" i="13"/>
  <c r="A14346" i="13"/>
  <c r="J14345" i="13"/>
  <c r="F14345" i="13"/>
  <c r="A14345" i="13"/>
  <c r="J14344" i="13"/>
  <c r="F14344" i="13"/>
  <c r="A14344" i="13"/>
  <c r="F14343" i="13"/>
  <c r="A14343" i="13"/>
  <c r="F14342" i="13"/>
  <c r="A14342" i="13"/>
  <c r="J14341" i="13"/>
  <c r="F14341" i="13"/>
  <c r="A14341" i="13"/>
  <c r="J14340" i="13"/>
  <c r="F14340" i="13"/>
  <c r="A14340" i="13"/>
  <c r="J14339" i="13"/>
  <c r="F14339" i="13"/>
  <c r="A14339" i="13"/>
  <c r="J14338" i="13"/>
  <c r="F14338" i="13"/>
  <c r="A14338" i="13"/>
  <c r="J14337" i="13"/>
  <c r="F14337" i="13"/>
  <c r="A14337" i="13"/>
  <c r="J14336" i="13"/>
  <c r="F14336" i="13"/>
  <c r="A14336" i="13"/>
  <c r="J14335" i="13"/>
  <c r="F14335" i="13"/>
  <c r="A14335" i="13"/>
  <c r="J14334" i="13"/>
  <c r="F14334" i="13"/>
  <c r="A14334" i="13"/>
  <c r="J14333" i="13"/>
  <c r="F14333" i="13"/>
  <c r="A14333" i="13"/>
  <c r="J14332" i="13"/>
  <c r="F14332" i="13"/>
  <c r="A14332" i="13"/>
  <c r="F14331" i="13"/>
  <c r="A14331" i="13"/>
  <c r="F14330" i="13"/>
  <c r="A14330" i="13"/>
  <c r="F14329" i="13"/>
  <c r="A14329" i="13"/>
  <c r="J14328" i="13"/>
  <c r="F14328" i="13"/>
  <c r="A14328" i="13"/>
  <c r="J14327" i="13"/>
  <c r="F14327" i="13"/>
  <c r="A14327" i="13"/>
  <c r="J14326" i="13"/>
  <c r="F14326" i="13"/>
  <c r="A14326" i="13"/>
  <c r="J14325" i="13"/>
  <c r="F14325" i="13"/>
  <c r="A14325" i="13"/>
  <c r="J14324" i="13"/>
  <c r="F14324" i="13"/>
  <c r="A14324" i="13"/>
  <c r="J14323" i="13"/>
  <c r="F14323" i="13"/>
  <c r="A14323" i="13"/>
  <c r="J14322" i="13"/>
  <c r="F14322" i="13"/>
  <c r="A14322" i="13"/>
  <c r="J14321" i="13"/>
  <c r="F14321" i="13"/>
  <c r="A14321" i="13"/>
  <c r="J14320" i="13"/>
  <c r="F14320" i="13"/>
  <c r="A14320" i="13"/>
  <c r="J14319" i="13"/>
  <c r="F14319" i="13"/>
  <c r="A14319" i="13"/>
  <c r="F14318" i="13"/>
  <c r="A14318" i="13"/>
  <c r="F14317" i="13"/>
  <c r="A14317" i="13"/>
  <c r="F14316" i="13"/>
  <c r="A14316" i="13"/>
  <c r="F14315" i="13"/>
  <c r="A14315" i="13"/>
  <c r="F14314" i="13"/>
  <c r="A14314" i="13"/>
  <c r="F14313" i="13"/>
  <c r="A14313" i="13"/>
  <c r="F14312" i="13"/>
  <c r="A14312" i="13"/>
  <c r="J14311" i="13"/>
  <c r="F14311" i="13"/>
  <c r="A14311" i="13"/>
  <c r="J14310" i="13"/>
  <c r="F14310" i="13"/>
  <c r="A14310" i="13"/>
  <c r="F14309" i="13"/>
  <c r="A14309" i="13"/>
  <c r="F14308" i="13"/>
  <c r="A14308" i="13"/>
  <c r="F14307" i="13"/>
  <c r="A14307" i="13"/>
  <c r="F14306" i="13"/>
  <c r="A14306" i="13"/>
  <c r="F14305" i="13"/>
  <c r="A14305" i="13"/>
  <c r="J14304" i="13"/>
  <c r="F14304" i="13"/>
  <c r="A14304" i="13"/>
  <c r="F14303" i="13"/>
  <c r="A14303" i="13"/>
  <c r="F14302" i="13"/>
  <c r="A14302" i="13"/>
  <c r="F14301" i="13"/>
  <c r="A14301" i="13"/>
  <c r="F14300" i="13"/>
  <c r="A14300" i="13"/>
  <c r="F14299" i="13"/>
  <c r="A14299" i="13"/>
  <c r="F14298" i="13"/>
  <c r="A14298" i="13"/>
  <c r="F14297" i="13"/>
  <c r="A14297" i="13"/>
  <c r="F14296" i="13"/>
  <c r="A14296" i="13"/>
  <c r="F14295" i="13"/>
  <c r="A14295" i="13"/>
  <c r="F14294" i="13"/>
  <c r="A14294" i="13"/>
  <c r="J14293" i="13"/>
  <c r="F14293" i="13"/>
  <c r="A14293" i="13"/>
  <c r="F14292" i="13"/>
  <c r="A14292" i="13"/>
  <c r="F14291" i="13"/>
  <c r="A14291" i="13"/>
  <c r="F14290" i="13"/>
  <c r="A14290" i="13"/>
  <c r="F14289" i="13"/>
  <c r="A14289" i="13"/>
  <c r="F14288" i="13"/>
  <c r="A14288" i="13"/>
  <c r="F14287" i="13"/>
  <c r="A14287" i="13"/>
  <c r="F14286" i="13"/>
  <c r="A14286" i="13"/>
  <c r="F14285" i="13"/>
  <c r="A14285" i="13"/>
  <c r="F14284" i="13"/>
  <c r="F14283" i="13"/>
  <c r="A14283" i="13"/>
  <c r="F14282" i="13"/>
  <c r="A14282" i="13"/>
  <c r="F14281" i="13"/>
  <c r="A14281" i="13"/>
  <c r="F14280" i="13"/>
  <c r="A14280" i="13"/>
  <c r="F14279" i="13"/>
  <c r="A14279" i="13"/>
  <c r="F14278" i="13"/>
  <c r="A14278" i="13"/>
  <c r="F14277" i="13"/>
  <c r="A14277" i="13"/>
  <c r="F14276" i="13"/>
  <c r="A14276" i="13"/>
  <c r="F14275" i="13"/>
  <c r="F14274" i="13"/>
  <c r="A14274" i="13"/>
  <c r="F14273" i="13"/>
  <c r="A14273" i="13"/>
  <c r="F14272" i="13"/>
  <c r="A14272" i="13"/>
  <c r="F14271" i="13"/>
  <c r="A14271" i="13"/>
  <c r="J14270" i="13"/>
  <c r="F14270" i="13"/>
  <c r="A14270" i="13"/>
  <c r="J14269" i="13"/>
  <c r="F14269" i="13"/>
  <c r="A14269" i="13"/>
  <c r="F14268" i="13"/>
  <c r="A14268" i="13"/>
  <c r="J14267" i="13"/>
  <c r="F14267" i="13"/>
  <c r="A14267" i="13"/>
  <c r="J14266" i="13"/>
  <c r="F14266" i="13"/>
  <c r="A14266" i="13"/>
  <c r="J14265" i="13"/>
  <c r="F14265" i="13"/>
  <c r="A14265" i="13"/>
  <c r="J14264" i="13"/>
  <c r="F14264" i="13"/>
  <c r="A14264" i="13"/>
  <c r="J14263" i="13"/>
  <c r="F14263" i="13"/>
  <c r="A14263" i="13"/>
  <c r="J14262" i="13"/>
  <c r="F14262" i="13"/>
  <c r="A14262" i="13"/>
  <c r="J14261" i="13"/>
  <c r="F14261" i="13"/>
  <c r="A14261" i="13"/>
  <c r="J14260" i="13"/>
  <c r="F14260" i="13"/>
  <c r="A14260" i="13"/>
  <c r="J14259" i="13"/>
  <c r="F14259" i="13"/>
  <c r="A14259" i="13"/>
  <c r="J14258" i="13"/>
  <c r="F14258" i="13"/>
  <c r="A14258" i="13"/>
  <c r="J14257" i="13"/>
  <c r="F14257" i="13"/>
  <c r="A14257" i="13"/>
  <c r="J14256" i="13"/>
  <c r="F14256" i="13"/>
  <c r="A14256" i="13"/>
  <c r="J14255" i="13"/>
  <c r="F14255" i="13"/>
  <c r="A14255" i="13"/>
  <c r="J14254" i="13"/>
  <c r="F14254" i="13"/>
  <c r="A14254" i="13"/>
  <c r="J14253" i="13"/>
  <c r="F14253" i="13"/>
  <c r="A14253" i="13"/>
  <c r="J14252" i="13"/>
  <c r="F14252" i="13"/>
  <c r="A14252" i="13"/>
  <c r="J14251" i="13"/>
  <c r="F14251" i="13"/>
  <c r="A14251" i="13"/>
  <c r="J14250" i="13"/>
  <c r="F14250" i="13"/>
  <c r="A14250" i="13"/>
  <c r="J14249" i="13"/>
  <c r="F14249" i="13"/>
  <c r="A14249" i="13"/>
  <c r="J14248" i="13"/>
  <c r="F14248" i="13"/>
  <c r="A14248" i="13"/>
  <c r="J14247" i="13"/>
  <c r="F14247" i="13"/>
  <c r="A14247" i="13"/>
  <c r="J14246" i="13"/>
  <c r="F14246" i="13"/>
  <c r="A14246" i="13"/>
  <c r="J14245" i="13"/>
  <c r="F14245" i="13"/>
  <c r="A14245" i="13"/>
  <c r="J14244" i="13"/>
  <c r="F14244" i="13"/>
  <c r="A14244" i="13"/>
  <c r="J14243" i="13"/>
  <c r="F14243" i="13"/>
  <c r="A14243" i="13"/>
  <c r="J14242" i="13"/>
  <c r="F14242" i="13"/>
  <c r="F14241" i="13"/>
  <c r="A14241" i="13"/>
  <c r="F14240" i="13"/>
  <c r="A14240" i="13"/>
  <c r="J14239" i="13"/>
  <c r="F14239" i="13"/>
  <c r="A14239" i="13"/>
  <c r="J14238" i="13"/>
  <c r="F14238" i="13"/>
  <c r="A14238" i="13"/>
  <c r="F14237" i="13"/>
  <c r="A14237" i="13"/>
  <c r="J14236" i="13"/>
  <c r="F14236" i="13"/>
  <c r="A14236" i="13"/>
  <c r="F14235" i="13"/>
  <c r="A14235" i="13"/>
  <c r="F14234" i="13"/>
  <c r="A14234" i="13"/>
  <c r="J14233" i="13"/>
  <c r="F14233" i="13"/>
  <c r="A14233" i="13"/>
  <c r="J14232" i="13"/>
  <c r="F14232" i="13"/>
  <c r="A14232" i="13"/>
  <c r="J14231" i="13"/>
  <c r="F14231" i="13"/>
  <c r="A14231" i="13"/>
  <c r="J14230" i="13"/>
  <c r="F14230" i="13"/>
  <c r="A14230" i="13"/>
  <c r="F14229" i="13"/>
  <c r="A14229" i="13"/>
  <c r="F14228" i="13"/>
  <c r="A14228" i="13"/>
  <c r="F14227" i="13"/>
  <c r="A14227" i="13"/>
  <c r="F14226" i="13"/>
  <c r="A14226" i="13"/>
  <c r="J14225" i="13"/>
  <c r="F14225" i="13"/>
  <c r="A14225" i="13"/>
  <c r="J14224" i="13"/>
  <c r="F14224" i="13"/>
  <c r="A14224" i="13"/>
  <c r="J14223" i="13"/>
  <c r="F14223" i="13"/>
  <c r="A14223" i="13"/>
  <c r="F14222" i="13"/>
  <c r="A14222" i="13"/>
  <c r="J14221" i="13"/>
  <c r="F14221" i="13"/>
  <c r="A14221" i="13"/>
  <c r="J14220" i="13"/>
  <c r="F14220" i="13"/>
  <c r="A14220" i="13"/>
  <c r="J14219" i="13"/>
  <c r="F14219" i="13"/>
  <c r="A14219" i="13"/>
  <c r="J14218" i="13"/>
  <c r="F14218" i="13"/>
  <c r="A14218" i="13"/>
  <c r="J14217" i="13"/>
  <c r="F14217" i="13"/>
  <c r="A14217" i="13"/>
  <c r="J14216" i="13"/>
  <c r="F14216" i="13"/>
  <c r="A14216" i="13"/>
  <c r="J14215" i="13"/>
  <c r="F14215" i="13"/>
  <c r="A14215" i="13"/>
  <c r="J14214" i="13"/>
  <c r="F14214" i="13"/>
  <c r="A14214" i="13"/>
  <c r="J14213" i="13"/>
  <c r="F14213" i="13"/>
  <c r="A14213" i="13"/>
  <c r="J14212" i="13"/>
  <c r="F14212" i="13"/>
  <c r="A14212" i="13"/>
  <c r="J14211" i="13"/>
  <c r="F14211" i="13"/>
  <c r="A14211" i="13"/>
  <c r="J14210" i="13"/>
  <c r="F14210" i="13"/>
  <c r="A14210" i="13"/>
  <c r="J14209" i="13"/>
  <c r="F14209" i="13"/>
  <c r="A14209" i="13"/>
  <c r="J14208" i="13"/>
  <c r="F14208" i="13"/>
  <c r="A14208" i="13"/>
  <c r="J14207" i="13"/>
  <c r="F14207" i="13"/>
  <c r="A14207" i="13"/>
  <c r="J14206" i="13"/>
  <c r="F14206" i="13"/>
  <c r="A14206" i="13"/>
  <c r="J14205" i="13"/>
  <c r="F14205" i="13"/>
  <c r="A14205" i="13"/>
  <c r="J14204" i="13"/>
  <c r="F14204" i="13"/>
  <c r="A14204" i="13"/>
  <c r="J14203" i="13"/>
  <c r="F14203" i="13"/>
  <c r="A14203" i="13"/>
  <c r="J14202" i="13"/>
  <c r="F14202" i="13"/>
  <c r="A14202" i="13"/>
  <c r="J14201" i="13"/>
  <c r="F14201" i="13"/>
  <c r="A14201" i="13"/>
  <c r="J14200" i="13"/>
  <c r="F14200" i="13"/>
  <c r="A14200" i="13"/>
  <c r="J14199" i="13"/>
  <c r="F14199" i="13"/>
  <c r="A14199" i="13"/>
  <c r="J14198" i="13"/>
  <c r="F14198" i="13"/>
  <c r="A14198" i="13"/>
  <c r="J14197" i="13"/>
  <c r="F14197" i="13"/>
  <c r="A14197" i="13"/>
  <c r="J14196" i="13"/>
  <c r="F14196" i="13"/>
  <c r="A14196" i="13"/>
  <c r="J14195" i="13"/>
  <c r="F14195" i="13"/>
  <c r="A14195" i="13"/>
  <c r="J14194" i="13"/>
  <c r="F14194" i="13"/>
  <c r="A14194" i="13"/>
  <c r="J14193" i="13"/>
  <c r="F14193" i="13"/>
  <c r="A14193" i="13"/>
  <c r="J14192" i="13"/>
  <c r="F14192" i="13"/>
  <c r="A14192" i="13"/>
  <c r="J14191" i="13"/>
  <c r="F14191" i="13"/>
  <c r="A14191" i="13"/>
  <c r="J14190" i="13"/>
  <c r="F14190" i="13"/>
  <c r="A14190" i="13"/>
  <c r="J14189" i="13"/>
  <c r="F14189" i="13"/>
  <c r="A14189" i="13"/>
  <c r="J14188" i="13"/>
  <c r="F14188" i="13"/>
  <c r="F14187" i="13"/>
  <c r="A14187" i="13"/>
  <c r="F14186" i="13"/>
  <c r="A14186" i="13"/>
  <c r="J14185" i="13"/>
  <c r="F14185" i="13"/>
  <c r="A14185" i="13"/>
  <c r="F14184" i="13"/>
  <c r="A14184" i="13"/>
  <c r="F14183" i="13"/>
  <c r="A14183" i="13"/>
  <c r="F14182" i="13"/>
  <c r="A14182" i="13"/>
  <c r="F14181" i="13"/>
  <c r="A14181" i="13"/>
  <c r="J14180" i="13"/>
  <c r="F14180" i="13"/>
  <c r="A14180" i="13"/>
  <c r="J14179" i="13"/>
  <c r="F14179" i="13"/>
  <c r="A14179" i="13"/>
  <c r="F14178" i="13"/>
  <c r="A14178" i="13"/>
  <c r="F14177" i="13"/>
  <c r="A14177" i="13"/>
  <c r="J14176" i="13"/>
  <c r="F14176" i="13"/>
  <c r="A14176" i="13"/>
  <c r="J14175" i="13"/>
  <c r="F14175" i="13"/>
  <c r="A14175" i="13"/>
  <c r="J14174" i="13"/>
  <c r="F14174" i="13"/>
  <c r="A14174" i="13"/>
  <c r="J14173" i="13"/>
  <c r="F14173" i="13"/>
  <c r="A14173" i="13"/>
  <c r="F14172" i="13"/>
  <c r="A14172" i="13"/>
  <c r="F14171" i="13"/>
  <c r="A14171" i="13"/>
  <c r="F14170" i="13"/>
  <c r="A14170" i="13"/>
  <c r="J14169" i="13"/>
  <c r="F14169" i="13"/>
  <c r="A14169" i="13"/>
  <c r="J14168" i="13"/>
  <c r="F14168" i="13"/>
  <c r="A14168" i="13"/>
  <c r="F14167" i="13"/>
  <c r="A14167" i="13"/>
  <c r="F14166" i="13"/>
  <c r="A14166" i="13"/>
  <c r="F14165" i="13"/>
  <c r="A14165" i="13"/>
  <c r="F14164" i="13"/>
  <c r="A14164" i="13"/>
  <c r="J14163" i="13"/>
  <c r="F14163" i="13"/>
  <c r="A14163" i="13"/>
  <c r="J14162" i="13"/>
  <c r="F14162" i="13"/>
  <c r="A14162" i="13"/>
  <c r="F14161" i="13"/>
  <c r="A14161" i="13"/>
  <c r="F14160" i="13"/>
  <c r="A14160" i="13"/>
  <c r="F14159" i="13"/>
  <c r="A14159" i="13"/>
  <c r="F14158" i="13"/>
  <c r="A14158" i="13"/>
  <c r="F14157" i="13"/>
  <c r="A14157" i="13"/>
  <c r="F14156" i="13"/>
  <c r="A14156" i="13"/>
  <c r="F14155" i="13"/>
  <c r="A14155" i="13"/>
  <c r="F14154" i="13"/>
  <c r="A14154" i="13"/>
  <c r="J14153" i="13"/>
  <c r="F14153" i="13"/>
  <c r="A14153" i="13"/>
  <c r="J14152" i="13"/>
  <c r="F14152" i="13"/>
  <c r="A14152" i="13"/>
  <c r="F14151" i="13"/>
  <c r="A14151" i="13"/>
  <c r="F14150" i="13"/>
  <c r="A14150" i="13"/>
  <c r="F14149" i="13"/>
  <c r="A14149" i="13"/>
  <c r="J14148" i="13"/>
  <c r="F14148" i="13"/>
  <c r="A14148" i="13"/>
  <c r="J14147" i="13"/>
  <c r="F14147" i="13"/>
  <c r="A14147" i="13"/>
  <c r="J14146" i="13"/>
  <c r="F14146" i="13"/>
  <c r="A14146" i="13"/>
  <c r="J14145" i="13"/>
  <c r="F14145" i="13"/>
  <c r="A14145" i="13"/>
  <c r="J14144" i="13"/>
  <c r="F14144" i="13"/>
  <c r="A14144" i="13"/>
  <c r="J14143" i="13"/>
  <c r="F14143" i="13"/>
  <c r="A14143" i="13"/>
  <c r="J14142" i="13"/>
  <c r="F14142" i="13"/>
  <c r="A14142" i="13"/>
  <c r="J14141" i="13"/>
  <c r="F14141" i="13"/>
  <c r="A14141" i="13"/>
  <c r="J14140" i="13"/>
  <c r="F14140" i="13"/>
  <c r="F14139" i="13"/>
  <c r="A14139" i="13"/>
  <c r="F14138" i="13"/>
  <c r="A14138" i="13"/>
  <c r="J14137" i="13"/>
  <c r="F14137" i="13"/>
  <c r="A14137" i="13"/>
  <c r="J14136" i="13"/>
  <c r="F14136" i="13"/>
  <c r="A14136" i="13"/>
  <c r="J14135" i="13"/>
  <c r="F14135" i="13"/>
  <c r="A14135" i="13"/>
  <c r="J14134" i="13"/>
  <c r="F14134" i="13"/>
  <c r="A14134" i="13"/>
  <c r="J14133" i="13"/>
  <c r="F14133" i="13"/>
  <c r="A14133" i="13"/>
  <c r="J14132" i="13"/>
  <c r="F14132" i="13"/>
  <c r="A14132" i="13"/>
  <c r="J14131" i="13"/>
  <c r="F14131" i="13"/>
  <c r="A14131" i="13"/>
  <c r="J14130" i="13"/>
  <c r="F14130" i="13"/>
  <c r="A14130" i="13"/>
  <c r="J14129" i="13"/>
  <c r="F14129" i="13"/>
  <c r="A14129" i="13"/>
  <c r="J14128" i="13"/>
  <c r="F14128" i="13"/>
  <c r="A14128" i="13"/>
  <c r="J14127" i="13"/>
  <c r="F14127" i="13"/>
  <c r="A14127" i="13"/>
  <c r="J14126" i="13"/>
  <c r="F14126" i="13"/>
  <c r="A14126" i="13"/>
  <c r="J14125" i="13"/>
  <c r="F14125" i="13"/>
  <c r="A14125" i="13"/>
  <c r="J14124" i="13"/>
  <c r="F14124" i="13"/>
  <c r="A14124" i="13"/>
  <c r="J14123" i="13"/>
  <c r="F14123" i="13"/>
  <c r="A14123" i="13"/>
  <c r="J14122" i="13"/>
  <c r="F14122" i="13"/>
  <c r="A14122" i="13"/>
  <c r="J14121" i="13"/>
  <c r="F14121" i="13"/>
  <c r="A14121" i="13"/>
  <c r="J14120" i="13"/>
  <c r="F14120" i="13"/>
  <c r="A14120" i="13"/>
  <c r="J14119" i="13"/>
  <c r="F14119" i="13"/>
  <c r="A14119" i="13"/>
  <c r="J14118" i="13"/>
  <c r="F14118" i="13"/>
  <c r="A14118" i="13"/>
  <c r="J14117" i="13"/>
  <c r="F14117" i="13"/>
  <c r="A14117" i="13"/>
  <c r="J14116" i="13"/>
  <c r="F14116" i="13"/>
  <c r="A14116" i="13"/>
  <c r="J14115" i="13"/>
  <c r="F14115" i="13"/>
  <c r="J14114" i="13"/>
  <c r="F14114" i="13"/>
  <c r="A14114" i="13"/>
  <c r="F14113" i="13"/>
  <c r="A14113" i="13"/>
  <c r="F14112" i="13"/>
  <c r="A14112" i="13"/>
  <c r="F14111" i="13"/>
  <c r="A14111" i="13"/>
  <c r="F14110" i="13"/>
  <c r="A14110" i="13"/>
  <c r="F14109" i="13"/>
  <c r="A14109" i="13"/>
  <c r="F14108" i="13"/>
  <c r="A14108" i="13"/>
  <c r="F14107" i="13"/>
  <c r="A14107" i="13"/>
  <c r="F14106" i="13"/>
  <c r="A14106" i="13"/>
  <c r="J14105" i="13"/>
  <c r="F14105" i="13"/>
  <c r="A14105" i="13"/>
  <c r="J14104" i="13"/>
  <c r="F14104" i="13"/>
  <c r="A14104" i="13"/>
  <c r="F14103" i="13"/>
  <c r="A14103" i="13"/>
  <c r="J14102" i="13"/>
  <c r="F14102" i="13"/>
  <c r="A14102" i="13"/>
  <c r="J14101" i="13"/>
  <c r="F14101" i="13"/>
  <c r="A14101" i="13"/>
  <c r="F14100" i="13"/>
  <c r="A14100" i="13"/>
  <c r="F14099" i="13"/>
  <c r="A14099" i="13"/>
  <c r="J14098" i="13"/>
  <c r="F14098" i="13"/>
  <c r="A14098" i="13"/>
  <c r="J14097" i="13"/>
  <c r="F14097" i="13"/>
  <c r="A14097" i="13"/>
  <c r="F14096" i="13"/>
  <c r="A14096" i="13"/>
  <c r="F14095" i="13"/>
  <c r="A14095" i="13"/>
  <c r="J14094" i="13"/>
  <c r="F14094" i="13"/>
  <c r="A14094" i="13"/>
  <c r="J14093" i="13"/>
  <c r="F14093" i="13"/>
  <c r="A14093" i="13"/>
  <c r="F14092" i="13"/>
  <c r="A14092" i="13"/>
  <c r="F14091" i="13"/>
  <c r="A14091" i="13"/>
  <c r="F14090" i="13"/>
  <c r="A14090" i="13"/>
  <c r="J14089" i="13"/>
  <c r="F14089" i="13"/>
  <c r="A14089" i="13"/>
  <c r="J14088" i="13"/>
  <c r="F14088" i="13"/>
  <c r="A14088" i="13"/>
  <c r="J14087" i="13"/>
  <c r="F14087" i="13"/>
  <c r="A14087" i="13"/>
  <c r="J14086" i="13"/>
  <c r="F14086" i="13"/>
  <c r="A14086" i="13"/>
  <c r="F14085" i="13"/>
  <c r="A14085" i="13"/>
  <c r="J14084" i="13"/>
  <c r="F14084" i="13"/>
  <c r="A14084" i="13"/>
  <c r="J14083" i="13"/>
  <c r="F14083" i="13"/>
  <c r="A14083" i="13"/>
  <c r="F14082" i="13"/>
  <c r="A14082" i="13"/>
  <c r="F14081" i="13"/>
  <c r="A14081" i="13"/>
  <c r="F14080" i="13"/>
  <c r="A14080" i="13"/>
  <c r="F14079" i="13"/>
  <c r="A14079" i="13"/>
  <c r="F14078" i="13"/>
  <c r="A14078" i="13"/>
  <c r="F14077" i="13"/>
  <c r="A14077" i="13"/>
  <c r="F14076" i="13"/>
  <c r="A14076" i="13"/>
  <c r="F14075" i="13"/>
  <c r="A14075" i="13"/>
  <c r="F14074" i="13"/>
  <c r="A14074" i="13"/>
  <c r="F14073" i="13"/>
  <c r="A14073" i="13"/>
  <c r="F14072" i="13"/>
  <c r="A14072" i="13"/>
  <c r="F14071" i="13"/>
  <c r="A14071" i="13"/>
  <c r="F14070" i="13"/>
  <c r="A14070" i="13"/>
  <c r="F14069" i="13"/>
  <c r="A14069" i="13"/>
  <c r="F14068" i="13"/>
  <c r="A14068" i="13"/>
  <c r="F14067" i="13"/>
  <c r="A14067" i="13"/>
  <c r="F14066" i="13"/>
  <c r="A14066" i="13"/>
  <c r="F14065" i="13"/>
  <c r="A14065" i="13"/>
  <c r="F14064" i="13"/>
  <c r="A14064" i="13"/>
  <c r="F14063" i="13"/>
  <c r="A14063" i="13"/>
  <c r="F14062" i="13"/>
  <c r="A14062" i="13"/>
  <c r="F14061" i="13"/>
  <c r="A14061" i="13"/>
  <c r="F14060" i="13"/>
  <c r="A14060" i="13"/>
  <c r="F14059" i="13"/>
  <c r="A14059" i="13"/>
  <c r="F14058" i="13"/>
  <c r="A14058" i="13"/>
  <c r="F14057" i="13"/>
  <c r="A14057" i="13"/>
  <c r="F14056" i="13"/>
  <c r="A14056" i="13"/>
  <c r="F14055" i="13"/>
  <c r="A14055" i="13"/>
  <c r="F14054" i="13"/>
  <c r="A14054" i="13"/>
  <c r="F14053" i="13"/>
  <c r="A14053" i="13"/>
  <c r="F14052" i="13"/>
  <c r="A14052" i="13"/>
  <c r="F14051" i="13"/>
  <c r="F14050" i="13"/>
  <c r="A14050" i="13"/>
  <c r="F14049" i="13"/>
  <c r="A14049" i="13"/>
  <c r="F14048" i="13"/>
  <c r="A14048" i="13"/>
  <c r="J14047" i="13"/>
  <c r="F14047" i="13"/>
  <c r="A14047" i="13"/>
  <c r="F14046" i="13"/>
  <c r="A14046" i="13"/>
  <c r="F14045" i="13"/>
  <c r="A14045" i="13"/>
  <c r="F14044" i="13"/>
  <c r="A14044" i="13"/>
  <c r="F14043" i="13"/>
  <c r="A14043" i="13"/>
  <c r="F14042" i="13"/>
  <c r="A14042" i="13"/>
  <c r="F14041" i="13"/>
  <c r="A14041" i="13"/>
  <c r="F14040" i="13"/>
  <c r="A14040" i="13"/>
  <c r="F14039" i="13"/>
  <c r="A14039" i="13"/>
  <c r="J14038" i="13"/>
  <c r="F14038" i="13"/>
  <c r="A14038" i="13"/>
  <c r="F14037" i="13"/>
  <c r="A14037" i="13"/>
  <c r="J14036" i="13"/>
  <c r="F14036" i="13"/>
  <c r="A14036" i="13"/>
  <c r="J14035" i="13"/>
  <c r="F14035" i="13"/>
  <c r="A14035" i="13"/>
  <c r="J14034" i="13"/>
  <c r="F14034" i="13"/>
  <c r="A14034" i="13"/>
  <c r="J14033" i="13"/>
  <c r="F14033" i="13"/>
  <c r="A14033" i="13"/>
  <c r="J14032" i="13"/>
  <c r="F14032" i="13"/>
  <c r="A14032" i="13"/>
  <c r="J14031" i="13"/>
  <c r="F14031" i="13"/>
  <c r="A14031" i="13"/>
  <c r="F14030" i="13"/>
  <c r="A14030" i="13"/>
  <c r="F14029" i="13"/>
  <c r="A14029" i="13"/>
  <c r="F14028" i="13"/>
  <c r="A14028" i="13"/>
  <c r="F14027" i="13"/>
  <c r="A14027" i="13"/>
  <c r="F14026" i="13"/>
  <c r="A14026" i="13"/>
  <c r="F14025" i="13"/>
  <c r="A14025" i="13"/>
  <c r="F14024" i="13"/>
  <c r="A14024" i="13"/>
  <c r="F14023" i="13"/>
  <c r="A14023" i="13"/>
  <c r="F14022" i="13"/>
  <c r="A14022" i="13"/>
  <c r="F14021" i="13"/>
  <c r="A14021" i="13"/>
  <c r="F14020" i="13"/>
  <c r="A14020" i="13"/>
  <c r="F14019" i="13"/>
  <c r="A14019" i="13"/>
  <c r="F14018" i="13"/>
  <c r="A14018" i="13"/>
  <c r="F14017" i="13"/>
  <c r="A14017" i="13"/>
  <c r="F14016" i="13"/>
  <c r="A14016" i="13"/>
  <c r="F14015" i="13"/>
  <c r="A14015" i="13"/>
  <c r="F14014" i="13"/>
  <c r="A14014" i="13"/>
  <c r="F14013" i="13"/>
  <c r="A14013" i="13"/>
  <c r="F14012" i="13"/>
  <c r="A14012" i="13"/>
  <c r="F14011" i="13"/>
  <c r="A14011" i="13"/>
  <c r="F14010" i="13"/>
  <c r="A14010" i="13"/>
  <c r="F14009" i="13"/>
  <c r="A14009" i="13"/>
  <c r="F14008" i="13"/>
  <c r="A14008" i="13"/>
  <c r="F14007" i="13"/>
  <c r="A14007" i="13"/>
  <c r="F14006" i="13"/>
  <c r="A14006" i="13"/>
  <c r="F14005" i="13"/>
  <c r="A14005" i="13"/>
  <c r="F14004" i="13"/>
  <c r="A14004" i="13"/>
  <c r="F14003" i="13"/>
  <c r="A14003" i="13"/>
  <c r="F14002" i="13"/>
  <c r="A14002" i="13"/>
  <c r="J14001" i="13"/>
  <c r="F14001" i="13"/>
  <c r="A14001" i="13"/>
  <c r="F14000" i="13"/>
  <c r="A14000" i="13"/>
  <c r="F13999" i="13"/>
  <c r="A13999" i="13"/>
  <c r="J13998" i="13"/>
  <c r="F13998" i="13"/>
  <c r="A13998" i="13"/>
  <c r="J13997" i="13"/>
  <c r="F13997" i="13"/>
  <c r="A13997" i="13"/>
  <c r="J13996" i="13"/>
  <c r="F13996" i="13"/>
  <c r="A13996" i="13"/>
  <c r="F13995" i="13"/>
  <c r="A13995" i="13"/>
  <c r="F13994" i="13"/>
  <c r="A13994" i="13"/>
  <c r="F13993" i="13"/>
  <c r="A13993" i="13"/>
  <c r="F13992" i="13"/>
  <c r="A13992" i="13"/>
  <c r="J13991" i="13"/>
  <c r="F13991" i="13"/>
  <c r="A13991" i="13"/>
  <c r="J13990" i="13"/>
  <c r="F13990" i="13"/>
  <c r="A13990" i="13"/>
  <c r="J13989" i="13"/>
  <c r="F13989" i="13"/>
  <c r="A13989" i="13"/>
  <c r="J13988" i="13"/>
  <c r="F13988" i="13"/>
  <c r="A13988" i="13"/>
  <c r="J13987" i="13"/>
  <c r="F13987" i="13"/>
  <c r="A13987" i="13"/>
  <c r="J13986" i="13"/>
  <c r="F13986" i="13"/>
  <c r="A13986" i="13"/>
  <c r="F13985" i="13"/>
  <c r="A13985" i="13"/>
  <c r="J13984" i="13"/>
  <c r="F13984" i="13"/>
  <c r="A13984" i="13"/>
  <c r="F13983" i="13"/>
  <c r="A13983" i="13"/>
  <c r="F13982" i="13"/>
  <c r="A13982" i="13"/>
  <c r="F13981" i="13"/>
  <c r="A13981" i="13"/>
  <c r="J13980" i="13"/>
  <c r="F13980" i="13"/>
  <c r="A13980" i="13"/>
  <c r="F13979" i="13"/>
  <c r="A13979" i="13"/>
  <c r="F13978" i="13"/>
  <c r="A13978" i="13"/>
  <c r="F13977" i="13"/>
  <c r="A13977" i="13"/>
  <c r="J13976" i="13"/>
  <c r="F13976" i="13"/>
  <c r="A13976" i="13"/>
  <c r="J13975" i="13"/>
  <c r="F13975" i="13"/>
  <c r="A13975" i="13"/>
  <c r="F13974" i="13"/>
  <c r="A13974" i="13"/>
  <c r="J13973" i="13"/>
  <c r="F13973" i="13"/>
  <c r="A13973" i="13"/>
  <c r="J13972" i="13"/>
  <c r="F13972" i="13"/>
  <c r="A13972" i="13"/>
  <c r="F13971" i="13"/>
  <c r="A13971" i="13"/>
  <c r="F13970" i="13"/>
  <c r="A13970" i="13"/>
  <c r="J13969" i="13"/>
  <c r="F13969" i="13"/>
  <c r="A13969" i="13"/>
  <c r="J13968" i="13"/>
  <c r="F13968" i="13"/>
  <c r="A13968" i="13"/>
  <c r="F13967" i="13"/>
  <c r="A13967" i="13"/>
  <c r="J13966" i="13"/>
  <c r="F13966" i="13"/>
  <c r="A13966" i="13"/>
  <c r="J13965" i="13"/>
  <c r="F13965" i="13"/>
  <c r="A13965" i="13"/>
  <c r="J13964" i="13"/>
  <c r="F13964" i="13"/>
  <c r="A13964" i="13"/>
  <c r="J13963" i="13"/>
  <c r="F13963" i="13"/>
  <c r="A13963" i="13"/>
  <c r="F13962" i="13"/>
  <c r="A13962" i="13"/>
  <c r="J13961" i="13"/>
  <c r="F13961" i="13"/>
  <c r="A13961" i="13"/>
  <c r="J13960" i="13"/>
  <c r="F13960" i="13"/>
  <c r="A13960" i="13"/>
  <c r="J13959" i="13"/>
  <c r="F13959" i="13"/>
  <c r="A13959" i="13"/>
  <c r="F13958" i="13"/>
  <c r="A13958" i="13"/>
  <c r="F13957" i="13"/>
  <c r="A13957" i="13"/>
  <c r="J13956" i="13"/>
  <c r="F13956" i="13"/>
  <c r="A13956" i="13"/>
  <c r="J13955" i="13"/>
  <c r="F13955" i="13"/>
  <c r="A13955" i="13"/>
  <c r="F13954" i="13"/>
  <c r="A13954" i="13"/>
  <c r="F13953" i="13"/>
  <c r="A13953" i="13"/>
  <c r="J13952" i="13"/>
  <c r="F13952" i="13"/>
  <c r="A13952" i="13"/>
  <c r="F13951" i="13"/>
  <c r="A13951" i="13"/>
  <c r="J13950" i="13"/>
  <c r="F13950" i="13"/>
  <c r="A13950" i="13"/>
  <c r="J13949" i="13"/>
  <c r="F13949" i="13"/>
  <c r="A13949" i="13"/>
  <c r="J13948" i="13"/>
  <c r="F13948" i="13"/>
  <c r="A13948" i="13"/>
  <c r="F13947" i="13"/>
  <c r="A13947" i="13"/>
  <c r="J13946" i="13"/>
  <c r="F13946" i="13"/>
  <c r="A13946" i="13"/>
  <c r="J13945" i="13"/>
  <c r="F13945" i="13"/>
  <c r="A13945" i="13"/>
  <c r="J13944" i="13"/>
  <c r="F13944" i="13"/>
  <c r="A13944" i="13"/>
  <c r="F13943" i="13"/>
  <c r="A13943" i="13"/>
  <c r="F13942" i="13"/>
  <c r="A13942" i="13"/>
  <c r="F13941" i="13"/>
  <c r="A13941" i="13"/>
  <c r="J13940" i="13"/>
  <c r="F13940" i="13"/>
  <c r="A13940" i="13"/>
  <c r="F13939" i="13"/>
  <c r="A13939" i="13"/>
  <c r="F13938" i="13"/>
  <c r="A13938" i="13"/>
  <c r="F13937" i="13"/>
  <c r="A13937" i="13"/>
  <c r="J13936" i="13"/>
  <c r="F13936" i="13"/>
  <c r="A13936" i="13"/>
  <c r="F13935" i="13"/>
  <c r="A13935" i="13"/>
  <c r="F13934" i="13"/>
  <c r="A13934" i="13"/>
  <c r="J13933" i="13"/>
  <c r="F13933" i="13"/>
  <c r="A13933" i="13"/>
  <c r="F13932" i="13"/>
  <c r="A13932" i="13"/>
  <c r="J13931" i="13"/>
  <c r="F13931" i="13"/>
  <c r="A13931" i="13"/>
  <c r="F13930" i="13"/>
  <c r="A13930" i="13"/>
  <c r="F13929" i="13"/>
  <c r="A13929" i="13"/>
  <c r="J13928" i="13"/>
  <c r="F13928" i="13"/>
  <c r="A13928" i="13"/>
  <c r="J13927" i="13"/>
  <c r="F13927" i="13"/>
  <c r="A13927" i="13"/>
  <c r="F13926" i="13"/>
  <c r="A13926" i="13"/>
  <c r="J13925" i="13"/>
  <c r="F13925" i="13"/>
  <c r="A13925" i="13"/>
  <c r="J13924" i="13"/>
  <c r="F13924" i="13"/>
  <c r="A13924" i="13"/>
  <c r="J13923" i="13"/>
  <c r="F13923" i="13"/>
  <c r="A13923" i="13"/>
  <c r="J13922" i="13"/>
  <c r="F13922" i="13"/>
  <c r="A13922" i="13"/>
  <c r="J13921" i="13"/>
  <c r="F13921" i="13"/>
  <c r="A13921" i="13"/>
  <c r="J13920" i="13"/>
  <c r="F13920" i="13"/>
  <c r="A13920" i="13"/>
  <c r="J13919" i="13"/>
  <c r="F13919" i="13"/>
  <c r="A13919" i="13"/>
  <c r="F13918" i="13"/>
  <c r="A13918" i="13"/>
  <c r="F13917" i="13"/>
  <c r="A13917" i="13"/>
  <c r="F13916" i="13"/>
  <c r="A13916" i="13"/>
  <c r="J13915" i="13"/>
  <c r="F13915" i="13"/>
  <c r="A13915" i="13"/>
  <c r="J13914" i="13"/>
  <c r="F13914" i="13"/>
  <c r="A13914" i="13"/>
  <c r="J13913" i="13"/>
  <c r="F13913" i="13"/>
  <c r="A13913" i="13"/>
  <c r="J13912" i="13"/>
  <c r="F13912" i="13"/>
  <c r="A13912" i="13"/>
  <c r="J13911" i="13"/>
  <c r="F13911" i="13"/>
  <c r="A13911" i="13"/>
  <c r="J13910" i="13"/>
  <c r="F13910" i="13"/>
  <c r="A13910" i="13"/>
  <c r="F13909" i="13"/>
  <c r="A13909" i="13"/>
  <c r="F13908" i="13"/>
  <c r="A13908" i="13"/>
  <c r="J13907" i="13"/>
  <c r="F13907" i="13"/>
  <c r="A13907" i="13"/>
  <c r="J13906" i="13"/>
  <c r="F13906" i="13"/>
  <c r="A13906" i="13"/>
  <c r="F13905" i="13"/>
  <c r="A13905" i="13"/>
  <c r="F13904" i="13"/>
  <c r="A13904" i="13"/>
  <c r="J13903" i="13"/>
  <c r="F13903" i="13"/>
  <c r="A13903" i="13"/>
  <c r="J13902" i="13"/>
  <c r="F13902" i="13"/>
  <c r="A13902" i="13"/>
  <c r="J13901" i="13"/>
  <c r="F13901" i="13"/>
  <c r="A13901" i="13"/>
  <c r="J13900" i="13"/>
  <c r="F13900" i="13"/>
  <c r="A13900" i="13"/>
  <c r="J13899" i="13"/>
  <c r="F13899" i="13"/>
  <c r="A13899" i="13"/>
  <c r="F13898" i="13"/>
  <c r="A13898" i="13"/>
  <c r="J13897" i="13"/>
  <c r="F13897" i="13"/>
  <c r="A13897" i="13"/>
  <c r="J13896" i="13"/>
  <c r="F13896" i="13"/>
  <c r="A13896" i="13"/>
  <c r="F13895" i="13"/>
  <c r="A13895" i="13"/>
  <c r="J13894" i="13"/>
  <c r="F13894" i="13"/>
  <c r="A13894" i="13"/>
  <c r="J13893" i="13"/>
  <c r="F13893" i="13"/>
  <c r="A13893" i="13"/>
  <c r="F13892" i="13"/>
  <c r="A13892" i="13"/>
  <c r="J13891" i="13"/>
  <c r="F13891" i="13"/>
  <c r="A13891" i="13"/>
  <c r="J13890" i="13"/>
  <c r="F13890" i="13"/>
  <c r="A13890" i="13"/>
  <c r="J13889" i="13"/>
  <c r="F13889" i="13"/>
  <c r="A13889" i="13"/>
  <c r="J13888" i="13"/>
  <c r="F13888" i="13"/>
  <c r="A13888" i="13"/>
  <c r="F13887" i="13"/>
  <c r="A13887" i="13"/>
  <c r="J13886" i="13"/>
  <c r="F13886" i="13"/>
  <c r="A13886" i="13"/>
  <c r="J13885" i="13"/>
  <c r="F13885" i="13"/>
  <c r="A13885" i="13"/>
  <c r="F13884" i="13"/>
  <c r="A13884" i="13"/>
  <c r="J13883" i="13"/>
  <c r="F13883" i="13"/>
  <c r="A13883" i="13"/>
  <c r="F13882" i="13"/>
  <c r="A13882" i="13"/>
  <c r="F13881" i="13"/>
  <c r="A13881" i="13"/>
  <c r="F13880" i="13"/>
  <c r="A13880" i="13"/>
  <c r="F13879" i="13"/>
  <c r="A13879" i="13"/>
  <c r="F13878" i="13"/>
  <c r="A13878" i="13"/>
  <c r="F13877" i="13"/>
  <c r="A13877" i="13"/>
  <c r="J13876" i="13"/>
  <c r="F13876" i="13"/>
  <c r="A13876" i="13"/>
  <c r="J13875" i="13"/>
  <c r="F13875" i="13"/>
  <c r="A13875" i="13"/>
  <c r="J13874" i="13"/>
  <c r="F13874" i="13"/>
  <c r="F13873" i="13"/>
  <c r="A13873" i="13"/>
  <c r="J13872" i="13"/>
  <c r="F13872" i="13"/>
  <c r="A13872" i="13"/>
  <c r="J13871" i="13"/>
  <c r="F13871" i="13"/>
  <c r="A13871" i="13"/>
  <c r="F13870" i="13"/>
  <c r="A13870" i="13"/>
  <c r="F13869" i="13"/>
  <c r="A13869" i="13"/>
  <c r="F13868" i="13"/>
  <c r="A13868" i="13"/>
  <c r="J13867" i="13"/>
  <c r="F13867" i="13"/>
  <c r="A13867" i="13"/>
  <c r="J13866" i="13"/>
  <c r="F13866" i="13"/>
  <c r="A13866" i="13"/>
  <c r="F13865" i="13"/>
  <c r="A13865" i="13"/>
  <c r="J13864" i="13"/>
  <c r="F13864" i="13"/>
  <c r="A13864" i="13"/>
  <c r="J13863" i="13"/>
  <c r="F13863" i="13"/>
  <c r="A13863" i="13"/>
  <c r="F13862" i="13"/>
  <c r="A13862" i="13"/>
  <c r="F13861" i="13"/>
  <c r="A13861" i="13"/>
  <c r="J13860" i="13"/>
  <c r="F13860" i="13"/>
  <c r="A13860" i="13"/>
  <c r="J13859" i="13"/>
  <c r="F13859" i="13"/>
  <c r="A13859" i="13"/>
  <c r="F13858" i="13"/>
  <c r="A13858" i="13"/>
  <c r="J13857" i="13"/>
  <c r="F13857" i="13"/>
  <c r="A13857" i="13"/>
  <c r="J13856" i="13"/>
  <c r="F13856" i="13"/>
  <c r="A13856" i="13"/>
  <c r="F13855" i="13"/>
  <c r="A13855" i="13"/>
  <c r="J13854" i="13"/>
  <c r="F13854" i="13"/>
  <c r="A13854" i="13"/>
  <c r="J13853" i="13"/>
  <c r="F13853" i="13"/>
  <c r="A13853" i="13"/>
  <c r="F13852" i="13"/>
  <c r="A13852" i="13"/>
  <c r="F13851" i="13"/>
  <c r="A13851" i="13"/>
  <c r="J13850" i="13"/>
  <c r="F13850" i="13"/>
  <c r="A13850" i="13"/>
  <c r="F13849" i="13"/>
  <c r="A13849" i="13"/>
  <c r="J13848" i="13"/>
  <c r="F13848" i="13"/>
  <c r="A13848" i="13"/>
  <c r="J13847" i="13"/>
  <c r="F13847" i="13"/>
  <c r="A13847" i="13"/>
  <c r="J13846" i="13"/>
  <c r="F13846" i="13"/>
  <c r="A13846" i="13"/>
  <c r="F13845" i="13"/>
  <c r="A13845" i="13"/>
  <c r="F13844" i="13"/>
  <c r="A13844" i="13"/>
  <c r="J13843" i="13"/>
  <c r="F13843" i="13"/>
  <c r="A13843" i="13"/>
  <c r="J13842" i="13"/>
  <c r="F13842" i="13"/>
  <c r="A13842" i="13"/>
  <c r="J13841" i="13"/>
  <c r="F13841" i="13"/>
  <c r="A13841" i="13"/>
  <c r="J13840" i="13"/>
  <c r="F13840" i="13"/>
  <c r="A13840" i="13"/>
  <c r="J13839" i="13"/>
  <c r="F13839" i="13"/>
  <c r="A13839" i="13"/>
  <c r="J13838" i="13"/>
  <c r="F13838" i="13"/>
  <c r="A13838" i="13"/>
  <c r="J13837" i="13"/>
  <c r="F13837" i="13"/>
  <c r="A13837" i="13"/>
  <c r="F13836" i="13"/>
  <c r="A13836" i="13"/>
  <c r="F13835" i="13"/>
  <c r="A13835" i="13"/>
  <c r="F13834" i="13"/>
  <c r="A13834" i="13"/>
  <c r="J13833" i="13"/>
  <c r="F13833" i="13"/>
  <c r="A13833" i="13"/>
  <c r="F13832" i="13"/>
  <c r="A13832" i="13"/>
  <c r="J13831" i="13"/>
  <c r="F13831" i="13"/>
  <c r="J13830" i="13"/>
  <c r="F13830" i="13"/>
  <c r="F13829" i="13"/>
  <c r="A13829" i="13"/>
  <c r="F13828" i="13"/>
  <c r="A13828" i="13"/>
  <c r="F13827" i="13"/>
  <c r="J13826" i="13"/>
  <c r="F13826" i="13"/>
  <c r="A13826" i="13"/>
  <c r="F13825" i="13"/>
  <c r="A13825" i="13"/>
  <c r="J13824" i="13"/>
  <c r="F13824" i="13"/>
  <c r="A13824" i="13"/>
  <c r="J13823" i="13"/>
  <c r="F13823" i="13"/>
  <c r="A13823" i="13"/>
  <c r="J13822" i="13"/>
  <c r="F13822" i="13"/>
  <c r="A13822" i="13"/>
  <c r="J13821" i="13"/>
  <c r="F13821" i="13"/>
  <c r="A13821" i="13"/>
  <c r="J13820" i="13"/>
  <c r="F13820" i="13"/>
  <c r="A13820" i="13"/>
  <c r="J13819" i="13"/>
  <c r="F13819" i="13"/>
  <c r="A13819" i="13"/>
  <c r="F13818" i="13"/>
  <c r="A13818" i="13"/>
  <c r="F13817" i="13"/>
  <c r="A13817" i="13"/>
  <c r="F13816" i="13"/>
  <c r="A13816" i="13"/>
  <c r="J13815" i="13"/>
  <c r="F13815" i="13"/>
  <c r="A13815" i="13"/>
  <c r="J13814" i="13"/>
  <c r="F13814" i="13"/>
  <c r="A13814" i="13"/>
  <c r="F13813" i="13"/>
  <c r="A13813" i="13"/>
  <c r="J13812" i="13"/>
  <c r="F13812" i="13"/>
  <c r="A13812" i="13"/>
  <c r="F13811" i="13"/>
  <c r="A13811" i="13"/>
  <c r="J13810" i="13"/>
  <c r="F13810" i="13"/>
  <c r="A13810" i="13"/>
  <c r="J13809" i="13"/>
  <c r="F13809" i="13"/>
  <c r="A13809" i="13"/>
  <c r="F13808" i="13"/>
  <c r="A13808" i="13"/>
  <c r="F13807" i="13"/>
  <c r="A13807" i="13"/>
  <c r="F13806" i="13"/>
  <c r="A13806" i="13"/>
  <c r="F13805" i="13"/>
  <c r="A13805" i="13"/>
  <c r="F13804" i="13"/>
  <c r="A13804" i="13"/>
  <c r="F13803" i="13"/>
  <c r="A13803" i="13"/>
  <c r="F13802" i="13"/>
  <c r="A13802" i="13"/>
  <c r="J13801" i="13"/>
  <c r="F13801" i="13"/>
  <c r="A13801" i="13"/>
  <c r="J13800" i="13"/>
  <c r="F13800" i="13"/>
  <c r="A13800" i="13"/>
  <c r="J13799" i="13"/>
  <c r="F13799" i="13"/>
  <c r="A13799" i="13"/>
  <c r="J13798" i="13"/>
  <c r="F13798" i="13"/>
  <c r="A13798" i="13"/>
  <c r="J13797" i="13"/>
  <c r="F13797" i="13"/>
  <c r="A13797" i="13"/>
  <c r="F13796" i="13"/>
  <c r="A13796" i="13"/>
  <c r="F13795" i="13"/>
  <c r="A13795" i="13"/>
  <c r="F13794" i="13"/>
  <c r="A13794" i="13"/>
  <c r="J13793" i="13"/>
  <c r="F13793" i="13"/>
  <c r="A13793" i="13"/>
  <c r="J13792" i="13"/>
  <c r="F13792" i="13"/>
  <c r="A13792" i="13"/>
  <c r="J13791" i="13"/>
  <c r="F13791" i="13"/>
  <c r="A13791" i="13"/>
  <c r="F13790" i="13"/>
  <c r="A13790" i="13"/>
  <c r="J13789" i="13"/>
  <c r="F13789" i="13"/>
  <c r="A13789" i="13"/>
  <c r="J13788" i="13"/>
  <c r="F13788" i="13"/>
  <c r="A13788" i="13"/>
  <c r="J13787" i="13"/>
  <c r="F13787" i="13"/>
  <c r="A13787" i="13"/>
  <c r="J13786" i="13"/>
  <c r="F13786" i="13"/>
  <c r="A13786" i="13"/>
  <c r="J13785" i="13"/>
  <c r="F13785" i="13"/>
  <c r="A13785" i="13"/>
  <c r="J13784" i="13"/>
  <c r="F13784" i="13"/>
  <c r="A13784" i="13"/>
  <c r="J13783" i="13"/>
  <c r="F13783" i="13"/>
  <c r="A13783" i="13"/>
  <c r="J13782" i="13"/>
  <c r="F13782" i="13"/>
  <c r="A13782" i="13"/>
  <c r="J13781" i="13"/>
  <c r="F13781" i="13"/>
  <c r="A13781" i="13"/>
  <c r="F13780" i="13"/>
  <c r="A13780" i="13"/>
  <c r="F13779" i="13"/>
  <c r="A13779" i="13"/>
  <c r="F13778" i="13"/>
  <c r="A13778" i="13"/>
  <c r="F13777" i="13"/>
  <c r="A13777" i="13"/>
  <c r="F13776" i="13"/>
  <c r="A13776" i="13"/>
  <c r="F13775" i="13"/>
  <c r="A13775" i="13"/>
  <c r="F13774" i="13"/>
  <c r="A13774" i="13"/>
  <c r="F13773" i="13"/>
  <c r="A13773" i="13"/>
  <c r="F13772" i="13"/>
  <c r="A13772" i="13"/>
  <c r="F13771" i="13"/>
  <c r="A13771" i="13"/>
  <c r="F13770" i="13"/>
  <c r="A13770" i="13"/>
  <c r="F13769" i="13"/>
  <c r="A13769" i="13"/>
  <c r="F13768" i="13"/>
  <c r="A13768" i="13"/>
  <c r="F13767" i="13"/>
  <c r="A13767" i="13"/>
  <c r="F13766" i="13"/>
  <c r="A13766" i="13"/>
  <c r="J13765" i="13"/>
  <c r="F13765" i="13"/>
  <c r="A13765" i="13"/>
  <c r="J13764" i="13"/>
  <c r="F13764" i="13"/>
  <c r="A13764" i="13"/>
  <c r="F13763" i="13"/>
  <c r="A13763" i="13"/>
  <c r="F13762" i="13"/>
  <c r="A13762" i="13"/>
  <c r="J13761" i="13"/>
  <c r="F13761" i="13"/>
  <c r="A13761" i="13"/>
  <c r="J13760" i="13"/>
  <c r="F13760" i="13"/>
  <c r="A13760" i="13"/>
  <c r="J13759" i="13"/>
  <c r="F13759" i="13"/>
  <c r="A13759" i="13"/>
  <c r="F13758" i="13"/>
  <c r="A13758" i="13"/>
  <c r="J13757" i="13"/>
  <c r="F13757" i="13"/>
  <c r="A13757" i="13"/>
  <c r="J13756" i="13"/>
  <c r="F13756" i="13"/>
  <c r="A13756" i="13"/>
  <c r="F13755" i="13"/>
  <c r="A13755" i="13"/>
  <c r="J13754" i="13"/>
  <c r="F13754" i="13"/>
  <c r="A13754" i="13"/>
  <c r="F13753" i="13"/>
  <c r="A13753" i="13"/>
  <c r="J13752" i="13"/>
  <c r="F13752" i="13"/>
  <c r="A13752" i="13"/>
  <c r="J13751" i="13"/>
  <c r="F13751" i="13"/>
  <c r="A13751" i="13"/>
  <c r="J13750" i="13"/>
  <c r="F13750" i="13"/>
  <c r="A13750" i="13"/>
  <c r="F13749" i="13"/>
  <c r="A13749" i="13"/>
  <c r="J13748" i="13"/>
  <c r="F13748" i="13"/>
  <c r="A13748" i="13"/>
  <c r="J13747" i="13"/>
  <c r="F13747" i="13"/>
  <c r="A13747" i="13"/>
  <c r="J13746" i="13"/>
  <c r="F13746" i="13"/>
  <c r="A13746" i="13"/>
  <c r="J13745" i="13"/>
  <c r="F13745" i="13"/>
  <c r="A13745" i="13"/>
  <c r="J13744" i="13"/>
  <c r="F13744" i="13"/>
  <c r="A13744" i="13"/>
  <c r="J13743" i="13"/>
  <c r="F13743" i="13"/>
  <c r="A13743" i="13"/>
  <c r="J13742" i="13"/>
  <c r="F13742" i="13"/>
  <c r="A13742" i="13"/>
  <c r="J13741" i="13"/>
  <c r="F13741" i="13"/>
  <c r="A13741" i="13"/>
  <c r="J13740" i="13"/>
  <c r="F13740" i="13"/>
  <c r="A13740" i="13"/>
  <c r="J13739" i="13"/>
  <c r="F13739" i="13"/>
  <c r="A13739" i="13"/>
  <c r="J13738" i="13"/>
  <c r="F13738" i="13"/>
  <c r="A13738" i="13"/>
  <c r="J13737" i="13"/>
  <c r="F13737" i="13"/>
  <c r="J13736" i="13"/>
  <c r="F13736" i="13"/>
  <c r="A13736" i="13"/>
  <c r="J13735" i="13"/>
  <c r="F13735" i="13"/>
  <c r="A13735" i="13"/>
  <c r="J13734" i="13"/>
  <c r="F13734" i="13"/>
  <c r="A13734" i="13"/>
  <c r="J13733" i="13"/>
  <c r="F13733" i="13"/>
  <c r="A13733" i="13"/>
  <c r="J13732" i="13"/>
  <c r="F13732" i="13"/>
  <c r="A13732" i="13"/>
  <c r="J13731" i="13"/>
  <c r="F13731" i="13"/>
  <c r="A13731" i="13"/>
  <c r="J13730" i="13"/>
  <c r="F13730" i="13"/>
  <c r="A13730" i="13"/>
  <c r="J13729" i="13"/>
  <c r="F13729" i="13"/>
  <c r="A13729" i="13"/>
  <c r="J13728" i="13"/>
  <c r="F13728" i="13"/>
  <c r="A13728" i="13"/>
  <c r="J13727" i="13"/>
  <c r="F13727" i="13"/>
  <c r="J13726" i="13"/>
  <c r="F13726" i="13"/>
  <c r="A13726" i="13"/>
  <c r="J13725" i="13"/>
  <c r="F13725" i="13"/>
  <c r="A13725" i="13"/>
  <c r="J13724" i="13"/>
  <c r="F13724" i="13"/>
  <c r="A13724" i="13"/>
  <c r="J13723" i="13"/>
  <c r="F13723" i="13"/>
  <c r="A13723" i="13"/>
  <c r="J13722" i="13"/>
  <c r="F13722" i="13"/>
  <c r="A13722" i="13"/>
  <c r="J13721" i="13"/>
  <c r="F13721" i="13"/>
  <c r="A13721" i="13"/>
  <c r="J13720" i="13"/>
  <c r="F13720" i="13"/>
  <c r="A13720" i="13"/>
  <c r="J13719" i="13"/>
  <c r="F13719" i="13"/>
  <c r="A13719" i="13"/>
  <c r="J13718" i="13"/>
  <c r="F13718" i="13"/>
  <c r="A13718" i="13"/>
  <c r="J13717" i="13"/>
  <c r="F13717" i="13"/>
  <c r="A13717" i="13"/>
  <c r="J13716" i="13"/>
  <c r="F13716" i="13"/>
  <c r="A13716" i="13"/>
  <c r="J13715" i="13"/>
  <c r="F13715" i="13"/>
  <c r="A13715" i="13"/>
  <c r="J13714" i="13"/>
  <c r="F13714" i="13"/>
  <c r="A13714" i="13"/>
  <c r="J13713" i="13"/>
  <c r="F13713" i="13"/>
  <c r="J13712" i="13"/>
  <c r="F13712" i="13"/>
  <c r="A13712" i="13"/>
  <c r="J13711" i="13"/>
  <c r="F13711" i="13"/>
  <c r="A13711" i="13"/>
  <c r="J13710" i="13"/>
  <c r="F13710" i="13"/>
  <c r="A13710" i="13"/>
  <c r="J13709" i="13"/>
  <c r="F13709" i="13"/>
  <c r="A13709" i="13"/>
  <c r="J13708" i="13"/>
  <c r="F13708" i="13"/>
  <c r="A13708" i="13"/>
  <c r="J13707" i="13"/>
  <c r="F13707" i="13"/>
  <c r="A13707" i="13"/>
  <c r="J13706" i="13"/>
  <c r="F13706" i="13"/>
  <c r="A13706" i="13"/>
  <c r="J13705" i="13"/>
  <c r="F13705" i="13"/>
  <c r="A13705" i="13"/>
  <c r="J13704" i="13"/>
  <c r="F13704" i="13"/>
  <c r="A13704" i="13"/>
  <c r="J13703" i="13"/>
  <c r="F13703" i="13"/>
  <c r="A13703" i="13"/>
  <c r="J13702" i="13"/>
  <c r="F13702" i="13"/>
  <c r="A13702" i="13"/>
  <c r="J13701" i="13"/>
  <c r="F13701" i="13"/>
  <c r="J13700" i="13"/>
  <c r="F13700" i="13"/>
  <c r="A13700" i="13"/>
  <c r="F13699" i="13"/>
  <c r="A13699" i="13"/>
  <c r="J13698" i="13"/>
  <c r="F13698" i="13"/>
  <c r="A13698" i="13"/>
  <c r="J13697" i="13"/>
  <c r="F13697" i="13"/>
  <c r="A13697" i="13"/>
  <c r="F13696" i="13"/>
  <c r="A13696" i="13"/>
  <c r="F13695" i="13"/>
  <c r="A13695" i="13"/>
  <c r="F13694" i="13"/>
  <c r="A13694" i="13"/>
  <c r="F13693" i="13"/>
  <c r="A13693" i="13"/>
  <c r="J13692" i="13"/>
  <c r="F13692" i="13"/>
  <c r="A13692" i="13"/>
  <c r="F13691" i="13"/>
  <c r="A13691" i="13"/>
  <c r="F13690" i="13"/>
  <c r="A13690" i="13"/>
  <c r="J13689" i="13"/>
  <c r="F13689" i="13"/>
  <c r="A13689" i="13"/>
  <c r="F13688" i="13"/>
  <c r="A13688" i="13"/>
  <c r="J13687" i="13"/>
  <c r="F13687" i="13"/>
  <c r="J13686" i="13"/>
  <c r="F13686" i="13"/>
  <c r="F13685" i="13"/>
  <c r="A13685" i="13"/>
  <c r="F13684" i="13"/>
  <c r="A13684" i="13"/>
  <c r="F13683" i="13"/>
  <c r="A13683" i="13"/>
  <c r="F13682" i="13"/>
  <c r="J13681" i="13"/>
  <c r="F13681" i="13"/>
  <c r="A13681" i="13"/>
  <c r="J13680" i="13"/>
  <c r="F13680" i="13"/>
  <c r="A13680" i="13"/>
  <c r="F13679" i="13"/>
  <c r="A13679" i="13"/>
  <c r="J13678" i="13"/>
  <c r="F13678" i="13"/>
  <c r="A13678" i="13"/>
  <c r="J13677" i="13"/>
  <c r="F13677" i="13"/>
  <c r="A13677" i="13"/>
  <c r="J13676" i="13"/>
  <c r="F13676" i="13"/>
  <c r="A13676" i="13"/>
  <c r="J13675" i="13"/>
  <c r="F13675" i="13"/>
  <c r="A13675" i="13"/>
  <c r="F13674" i="13"/>
  <c r="A13674" i="13"/>
  <c r="F13673" i="13"/>
  <c r="A13673" i="13"/>
  <c r="J13672" i="13"/>
  <c r="F13672" i="13"/>
  <c r="A13672" i="13"/>
  <c r="F13671" i="13"/>
  <c r="A13671" i="13"/>
  <c r="F13670" i="13"/>
  <c r="A13670" i="13"/>
  <c r="F13669" i="13"/>
  <c r="A13669" i="13"/>
  <c r="F13668" i="13"/>
  <c r="A13668" i="13"/>
  <c r="J13667" i="13"/>
  <c r="F13667" i="13"/>
  <c r="A13667" i="13"/>
  <c r="J13666" i="13"/>
  <c r="F13666" i="13"/>
  <c r="A13666" i="13"/>
  <c r="J13665" i="13"/>
  <c r="F13665" i="13"/>
  <c r="A13665" i="13"/>
  <c r="J13664" i="13"/>
  <c r="F13664" i="13"/>
  <c r="A13664" i="13"/>
  <c r="F13663" i="13"/>
  <c r="A13663" i="13"/>
  <c r="J13662" i="13"/>
  <c r="F13662" i="13"/>
  <c r="A13662" i="13"/>
  <c r="J13661" i="13"/>
  <c r="F13661" i="13"/>
  <c r="A13661" i="13"/>
  <c r="F13660" i="13"/>
  <c r="A13660" i="13"/>
  <c r="F13659" i="13"/>
  <c r="A13659" i="13"/>
  <c r="J13658" i="13"/>
  <c r="F13658" i="13"/>
  <c r="A13658" i="13"/>
  <c r="F13657" i="13"/>
  <c r="A13657" i="13"/>
  <c r="J13656" i="13"/>
  <c r="F13656" i="13"/>
  <c r="A13656" i="13"/>
  <c r="F13655" i="13"/>
  <c r="A13655" i="13"/>
  <c r="J13654" i="13"/>
  <c r="F13654" i="13"/>
  <c r="J13653" i="13"/>
  <c r="F13653" i="13"/>
  <c r="F13652" i="13"/>
  <c r="A13652" i="13"/>
  <c r="F13651" i="13"/>
  <c r="A13651" i="13"/>
  <c r="F13650" i="13"/>
  <c r="A13650" i="13"/>
  <c r="F13649" i="13"/>
  <c r="J13648" i="13"/>
  <c r="F13648" i="13"/>
  <c r="A13648" i="13"/>
  <c r="F13647" i="13"/>
  <c r="A13647" i="13"/>
  <c r="J13646" i="13"/>
  <c r="F13646" i="13"/>
  <c r="A13646" i="13"/>
  <c r="F13645" i="13"/>
  <c r="A13645" i="13"/>
  <c r="J13644" i="13"/>
  <c r="F13644" i="13"/>
  <c r="A13644" i="13"/>
  <c r="J13643" i="13"/>
  <c r="F13643" i="13"/>
  <c r="A13643" i="13"/>
  <c r="F13642" i="13"/>
  <c r="A13642" i="13"/>
  <c r="J13641" i="13"/>
  <c r="F13641" i="13"/>
  <c r="A13641" i="13"/>
  <c r="F13640" i="13"/>
  <c r="A13640" i="13"/>
  <c r="J13639" i="13"/>
  <c r="F13639" i="13"/>
  <c r="A13639" i="13"/>
  <c r="F13638" i="13"/>
  <c r="A13638" i="13"/>
  <c r="J13637" i="13"/>
  <c r="F13637" i="13"/>
  <c r="A13637" i="13"/>
  <c r="F13636" i="13"/>
  <c r="A13636" i="13"/>
  <c r="F13635" i="13"/>
  <c r="A13635" i="13"/>
  <c r="F13634" i="13"/>
  <c r="A13634" i="13"/>
  <c r="F13633" i="13"/>
  <c r="A13633" i="13"/>
  <c r="F13632" i="13"/>
  <c r="A13632" i="13"/>
  <c r="F13631" i="13"/>
  <c r="A13631" i="13"/>
  <c r="F13630" i="13"/>
  <c r="A13630" i="13"/>
  <c r="F13629" i="13"/>
  <c r="A13629" i="13"/>
  <c r="F13628" i="13"/>
  <c r="A13628" i="13"/>
  <c r="F13627" i="13"/>
  <c r="A13627" i="13"/>
  <c r="F13626" i="13"/>
  <c r="A13626" i="13"/>
  <c r="F13625" i="13"/>
  <c r="A13625" i="13"/>
  <c r="F13624" i="13"/>
  <c r="A13624" i="13"/>
  <c r="F13623" i="13"/>
  <c r="J13622" i="13"/>
  <c r="F13622" i="13"/>
  <c r="A13622" i="13"/>
  <c r="J13621" i="13"/>
  <c r="F13621" i="13"/>
  <c r="A13621" i="13"/>
  <c r="J13620" i="13"/>
  <c r="F13620" i="13"/>
  <c r="A13620" i="13"/>
  <c r="J13619" i="13"/>
  <c r="F13619" i="13"/>
  <c r="J13618" i="13"/>
  <c r="F13618" i="13"/>
  <c r="A13618" i="13"/>
  <c r="F13617" i="13"/>
  <c r="A13617" i="13"/>
  <c r="J13616" i="13"/>
  <c r="F13616" i="13"/>
  <c r="A13616" i="13"/>
  <c r="J13615" i="13"/>
  <c r="F13615" i="13"/>
  <c r="A13615" i="13"/>
  <c r="J13614" i="13"/>
  <c r="F13614" i="13"/>
  <c r="A13614" i="13"/>
  <c r="J13613" i="13"/>
  <c r="F13613" i="13"/>
  <c r="A13613" i="13"/>
  <c r="J13612" i="13"/>
  <c r="F13612" i="13"/>
  <c r="A13612" i="13"/>
  <c r="J13611" i="13"/>
  <c r="F13611" i="13"/>
  <c r="A13611" i="13"/>
  <c r="F13610" i="13"/>
  <c r="A13610" i="13"/>
  <c r="F13609" i="13"/>
  <c r="A13609" i="13"/>
  <c r="F13608" i="13"/>
  <c r="A13608" i="13"/>
  <c r="J13607" i="13"/>
  <c r="F13607" i="13"/>
  <c r="J13606" i="13"/>
  <c r="F13606" i="13"/>
  <c r="F13605" i="13"/>
  <c r="A13605" i="13"/>
  <c r="F13604" i="13"/>
  <c r="A13604" i="13"/>
  <c r="F13603" i="13"/>
  <c r="A13603" i="13"/>
  <c r="F13602" i="13"/>
  <c r="A13602" i="13"/>
  <c r="F13601" i="13"/>
  <c r="A13601" i="13"/>
  <c r="F13600" i="13"/>
  <c r="J13599" i="13"/>
  <c r="F13599" i="13"/>
  <c r="A13599" i="13"/>
  <c r="F13598" i="13"/>
  <c r="A13598" i="13"/>
  <c r="F13597" i="13"/>
  <c r="A13597" i="13"/>
  <c r="J13596" i="13"/>
  <c r="F13596" i="13"/>
  <c r="A13596" i="13"/>
  <c r="F13595" i="13"/>
  <c r="A13595" i="13"/>
  <c r="J13594" i="13"/>
  <c r="F13594" i="13"/>
  <c r="A13594" i="13"/>
  <c r="J13593" i="13"/>
  <c r="F13593" i="13"/>
  <c r="A13593" i="13"/>
  <c r="J13592" i="13"/>
  <c r="F13592" i="13"/>
  <c r="A13592" i="13"/>
  <c r="F13591" i="13"/>
  <c r="A13591" i="13"/>
  <c r="J13590" i="13"/>
  <c r="F13590" i="13"/>
  <c r="A13590" i="13"/>
  <c r="F13589" i="13"/>
  <c r="A13589" i="13"/>
  <c r="J13588" i="13"/>
  <c r="F13588" i="13"/>
  <c r="A13588" i="13"/>
  <c r="F13587" i="13"/>
  <c r="A13587" i="13"/>
  <c r="J13586" i="13"/>
  <c r="F13586" i="13"/>
  <c r="A13586" i="13"/>
  <c r="J13585" i="13"/>
  <c r="F13585" i="13"/>
  <c r="A13585" i="13"/>
  <c r="F13584" i="13"/>
  <c r="A13584" i="13"/>
  <c r="J13583" i="13"/>
  <c r="F13583" i="13"/>
  <c r="A13583" i="13"/>
  <c r="F13582" i="13"/>
  <c r="A13582" i="13"/>
  <c r="J13581" i="13"/>
  <c r="F13581" i="13"/>
  <c r="A13581" i="13"/>
  <c r="J13580" i="13"/>
  <c r="F13580" i="13"/>
  <c r="A13580" i="13"/>
  <c r="J13579" i="13"/>
  <c r="F13579" i="13"/>
  <c r="A13579" i="13"/>
  <c r="J13578" i="13"/>
  <c r="F13578" i="13"/>
  <c r="A13578" i="13"/>
  <c r="J13577" i="13"/>
  <c r="F13577" i="13"/>
  <c r="A13577" i="13"/>
  <c r="J13576" i="13"/>
  <c r="F13576" i="13"/>
  <c r="A13576" i="13"/>
  <c r="F13575" i="13"/>
  <c r="A13575" i="13"/>
  <c r="J13574" i="13"/>
  <c r="F13574" i="13"/>
  <c r="A13574" i="13"/>
  <c r="J13573" i="13"/>
  <c r="F13573" i="13"/>
  <c r="A13573" i="13"/>
  <c r="J13572" i="13"/>
  <c r="F13572" i="13"/>
  <c r="A13572" i="13"/>
  <c r="F13571" i="13"/>
  <c r="A13571" i="13"/>
  <c r="F13570" i="13"/>
  <c r="A13570" i="13"/>
  <c r="J13569" i="13"/>
  <c r="F13569" i="13"/>
  <c r="A13569" i="13"/>
  <c r="F13568" i="13"/>
  <c r="A13568" i="13"/>
  <c r="F13567" i="13"/>
  <c r="A13567" i="13"/>
  <c r="F13566" i="13"/>
  <c r="A13566" i="13"/>
  <c r="F13565" i="13"/>
  <c r="A13565" i="13"/>
  <c r="F13564" i="13"/>
  <c r="A13564" i="13"/>
  <c r="J13563" i="13"/>
  <c r="F13563" i="13"/>
  <c r="A13563" i="13"/>
  <c r="J13562" i="13"/>
  <c r="F13562" i="13"/>
  <c r="A13562" i="13"/>
  <c r="F13561" i="13"/>
  <c r="A13561" i="13"/>
  <c r="J13560" i="13"/>
  <c r="F13560" i="13"/>
  <c r="A13560" i="13"/>
  <c r="J13559" i="13"/>
  <c r="F13559" i="13"/>
  <c r="A13559" i="13"/>
  <c r="J13558" i="13"/>
  <c r="F13558" i="13"/>
  <c r="A13558" i="13"/>
  <c r="J13557" i="13"/>
  <c r="F13557" i="13"/>
  <c r="A13557" i="13"/>
  <c r="J13556" i="13"/>
  <c r="F13556" i="13"/>
  <c r="A13556" i="13"/>
  <c r="F13555" i="13"/>
  <c r="A13555" i="13"/>
  <c r="F13554" i="13"/>
  <c r="A13554" i="13"/>
  <c r="J13553" i="13"/>
  <c r="F13553" i="13"/>
  <c r="A13553" i="13"/>
  <c r="F13552" i="13"/>
  <c r="A13552" i="13"/>
  <c r="J13551" i="13"/>
  <c r="F13551" i="13"/>
  <c r="A13551" i="13"/>
  <c r="F13550" i="13"/>
  <c r="A13550" i="13"/>
  <c r="J13549" i="13"/>
  <c r="F13549" i="13"/>
  <c r="A13549" i="13"/>
  <c r="J13548" i="13"/>
  <c r="F13548" i="13"/>
  <c r="A13548" i="13"/>
  <c r="F13547" i="13"/>
  <c r="A13547" i="13"/>
  <c r="J13546" i="13"/>
  <c r="F13546" i="13"/>
  <c r="A13546" i="13"/>
  <c r="J13545" i="13"/>
  <c r="F13545" i="13"/>
  <c r="A13545" i="13"/>
  <c r="F13544" i="13"/>
  <c r="A13544" i="13"/>
  <c r="J13543" i="13"/>
  <c r="F13543" i="13"/>
  <c r="A13543" i="13"/>
  <c r="J13542" i="13"/>
  <c r="F13542" i="13"/>
  <c r="A13542" i="13"/>
  <c r="J13541" i="13"/>
  <c r="F13541" i="13"/>
  <c r="A13541" i="13"/>
  <c r="F13540" i="13"/>
  <c r="A13540" i="13"/>
  <c r="J13539" i="13"/>
  <c r="F13539" i="13"/>
  <c r="A13539" i="13"/>
  <c r="J13538" i="13"/>
  <c r="F13538" i="13"/>
  <c r="A13538" i="13"/>
  <c r="F13537" i="13"/>
  <c r="A13537" i="13"/>
  <c r="F13536" i="13"/>
  <c r="A13536" i="13"/>
  <c r="F13535" i="13"/>
  <c r="A13535" i="13"/>
  <c r="F13534" i="13"/>
  <c r="A13534" i="13"/>
  <c r="J13533" i="13"/>
  <c r="F13533" i="13"/>
  <c r="A13533" i="13"/>
  <c r="J13532" i="13"/>
  <c r="F13532" i="13"/>
  <c r="A13532" i="13"/>
  <c r="F13531" i="13"/>
  <c r="A13531" i="13"/>
  <c r="J13530" i="13"/>
  <c r="F13530" i="13"/>
  <c r="A13530" i="13"/>
  <c r="J13529" i="13"/>
  <c r="F13529" i="13"/>
  <c r="A13529" i="13"/>
  <c r="J13528" i="13"/>
  <c r="F13528" i="13"/>
  <c r="A13528" i="13"/>
  <c r="J13527" i="13"/>
  <c r="F13527" i="13"/>
  <c r="A13527" i="13"/>
  <c r="J13526" i="13"/>
  <c r="F13526" i="13"/>
  <c r="A13526" i="13"/>
  <c r="J13525" i="13"/>
  <c r="F13525" i="13"/>
  <c r="A13525" i="13"/>
  <c r="F13524" i="13"/>
  <c r="A13524" i="13"/>
  <c r="J13523" i="13"/>
  <c r="F13523" i="13"/>
  <c r="A13523" i="13"/>
  <c r="F13522" i="13"/>
  <c r="A13522" i="13"/>
  <c r="J13521" i="13"/>
  <c r="F13521" i="13"/>
  <c r="A13521" i="13"/>
  <c r="J13520" i="13"/>
  <c r="F13520" i="13"/>
  <c r="A13520" i="13"/>
  <c r="F13519" i="13"/>
  <c r="A13519" i="13"/>
  <c r="J13518" i="13"/>
  <c r="F13518" i="13"/>
  <c r="A13518" i="13"/>
  <c r="J13517" i="13"/>
  <c r="F13517" i="13"/>
  <c r="A13517" i="13"/>
  <c r="F13516" i="13"/>
  <c r="A13516" i="13"/>
  <c r="F13515" i="13"/>
  <c r="A13515" i="13"/>
  <c r="J13514" i="13"/>
  <c r="F13514" i="13"/>
  <c r="A13514" i="13"/>
  <c r="F13513" i="13"/>
  <c r="A13513" i="13"/>
  <c r="F13512" i="13"/>
  <c r="A13512" i="13"/>
  <c r="F13511" i="13"/>
  <c r="A13511" i="13"/>
  <c r="F13510" i="13"/>
  <c r="A13510" i="13"/>
  <c r="F13509" i="13"/>
  <c r="A13509" i="13"/>
  <c r="J13508" i="13"/>
  <c r="F13508" i="13"/>
  <c r="A13508" i="13"/>
  <c r="F13507" i="13"/>
  <c r="A13507" i="13"/>
  <c r="J13506" i="13"/>
  <c r="F13506" i="13"/>
  <c r="A13506" i="13"/>
  <c r="J13505" i="13"/>
  <c r="F13505" i="13"/>
  <c r="A13505" i="13"/>
  <c r="F13504" i="13"/>
  <c r="A13504" i="13"/>
  <c r="F13503" i="13"/>
  <c r="A13503" i="13"/>
  <c r="F13502" i="13"/>
  <c r="A13502" i="13"/>
  <c r="J13501" i="13"/>
  <c r="F13501" i="13"/>
  <c r="A13501" i="13"/>
  <c r="J13500" i="13"/>
  <c r="F13500" i="13"/>
  <c r="A13500" i="13"/>
  <c r="F13499" i="13"/>
  <c r="A13499" i="13"/>
  <c r="J13498" i="13"/>
  <c r="F13498" i="13"/>
  <c r="A13498" i="13"/>
  <c r="J13497" i="13"/>
  <c r="F13497" i="13"/>
  <c r="A13497" i="13"/>
  <c r="J13496" i="13"/>
  <c r="F13496" i="13"/>
  <c r="A13496" i="13"/>
  <c r="F13495" i="13"/>
  <c r="A13495" i="13"/>
  <c r="J13494" i="13"/>
  <c r="F13494" i="13"/>
  <c r="A13494" i="13"/>
  <c r="J13493" i="13"/>
  <c r="F13493" i="13"/>
  <c r="A13493" i="13"/>
  <c r="J13492" i="13"/>
  <c r="F13492" i="13"/>
  <c r="A13492" i="13"/>
  <c r="J13491" i="13"/>
  <c r="F13491" i="13"/>
  <c r="A13491" i="13"/>
  <c r="J13490" i="13"/>
  <c r="F13490" i="13"/>
  <c r="A13490" i="13"/>
  <c r="F13489" i="13"/>
  <c r="A13489" i="13"/>
  <c r="J13488" i="13"/>
  <c r="F13488" i="13"/>
  <c r="A13488" i="13"/>
  <c r="J13487" i="13"/>
  <c r="F13487" i="13"/>
  <c r="A13487" i="13"/>
  <c r="F13486" i="13"/>
  <c r="A13486" i="13"/>
  <c r="J13485" i="13"/>
  <c r="F13485" i="13"/>
  <c r="A13485" i="13"/>
  <c r="F13484" i="13"/>
  <c r="A13484" i="13"/>
  <c r="J13483" i="13"/>
  <c r="F13483" i="13"/>
  <c r="A13483" i="13"/>
  <c r="J13482" i="13"/>
  <c r="F13482" i="13"/>
  <c r="A13482" i="13"/>
  <c r="J13481" i="13"/>
  <c r="F13481" i="13"/>
  <c r="A13481" i="13"/>
  <c r="J13480" i="13"/>
  <c r="F13480" i="13"/>
  <c r="A13480" i="13"/>
  <c r="J13479" i="13"/>
  <c r="F13479" i="13"/>
  <c r="A13479" i="13"/>
  <c r="J13478" i="13"/>
  <c r="F13478" i="13"/>
  <c r="A13478" i="13"/>
  <c r="J13477" i="13"/>
  <c r="F13477" i="13"/>
  <c r="A13477" i="13"/>
  <c r="F13476" i="13"/>
  <c r="A13476" i="13"/>
  <c r="F13475" i="13"/>
  <c r="A13475" i="13"/>
  <c r="J13474" i="13"/>
  <c r="F13474" i="13"/>
  <c r="A13474" i="13"/>
  <c r="J13473" i="13"/>
  <c r="F13473" i="13"/>
  <c r="A13473" i="13"/>
  <c r="F13472" i="13"/>
  <c r="A13472" i="13"/>
  <c r="J13471" i="13"/>
  <c r="F13471" i="13"/>
  <c r="A13471" i="13"/>
  <c r="F13470" i="13"/>
  <c r="A13470" i="13"/>
  <c r="F13469" i="13"/>
  <c r="A13469" i="13"/>
  <c r="J13468" i="13"/>
  <c r="F13468" i="13"/>
  <c r="A13468" i="13"/>
  <c r="F13467" i="13"/>
  <c r="A13467" i="13"/>
  <c r="F13466" i="13"/>
  <c r="A13466" i="13"/>
  <c r="J13465" i="13"/>
  <c r="F13465" i="13"/>
  <c r="A13465" i="13"/>
  <c r="J13464" i="13"/>
  <c r="F13464" i="13"/>
  <c r="A13464" i="13"/>
  <c r="J13463" i="13"/>
  <c r="F13463" i="13"/>
  <c r="A13463" i="13"/>
  <c r="F13462" i="13"/>
  <c r="A13462" i="13"/>
  <c r="J13461" i="13"/>
  <c r="F13461" i="13"/>
  <c r="A13461" i="13"/>
  <c r="J13460" i="13"/>
  <c r="F13460" i="13"/>
  <c r="A13460" i="13"/>
  <c r="J13459" i="13"/>
  <c r="F13459" i="13"/>
  <c r="A13459" i="13"/>
  <c r="J13458" i="13"/>
  <c r="F13458" i="13"/>
  <c r="A13458" i="13"/>
  <c r="F13457" i="13"/>
  <c r="A13457" i="13"/>
  <c r="J13456" i="13"/>
  <c r="F13456" i="13"/>
  <c r="A13456" i="13"/>
  <c r="J13455" i="13"/>
  <c r="F13455" i="13"/>
  <c r="A13455" i="13"/>
  <c r="F13454" i="13"/>
  <c r="A13454" i="13"/>
  <c r="J13453" i="13"/>
  <c r="F13453" i="13"/>
  <c r="A13453" i="13"/>
  <c r="J13452" i="13"/>
  <c r="F13452" i="13"/>
  <c r="A13452" i="13"/>
  <c r="F13451" i="13"/>
  <c r="A13451" i="13"/>
  <c r="F13450" i="13"/>
  <c r="A13450" i="13"/>
  <c r="J13449" i="13"/>
  <c r="F13449" i="13"/>
  <c r="A13449" i="13"/>
  <c r="J13448" i="13"/>
  <c r="F13448" i="13"/>
  <c r="A13448" i="13"/>
  <c r="J13447" i="13"/>
  <c r="F13447" i="13"/>
  <c r="A13447" i="13"/>
  <c r="F13446" i="13"/>
  <c r="A13446" i="13"/>
  <c r="J13445" i="13"/>
  <c r="F13445" i="13"/>
  <c r="A13445" i="13"/>
  <c r="J13444" i="13"/>
  <c r="F13444" i="13"/>
  <c r="A13444" i="13"/>
  <c r="J13443" i="13"/>
  <c r="F13443" i="13"/>
  <c r="A13443" i="13"/>
  <c r="J13442" i="13"/>
  <c r="F13442" i="13"/>
  <c r="A13442" i="13"/>
  <c r="F13441" i="13"/>
  <c r="A13441" i="13"/>
  <c r="F13440" i="13"/>
  <c r="A13440" i="13"/>
  <c r="F13439" i="13"/>
  <c r="A13439" i="13"/>
  <c r="J13438" i="13"/>
  <c r="F13438" i="13"/>
  <c r="A13438" i="13"/>
  <c r="J13437" i="13"/>
  <c r="F13437" i="13"/>
  <c r="A13437" i="13"/>
  <c r="J13436" i="13"/>
  <c r="F13436" i="13"/>
  <c r="A13436" i="13"/>
  <c r="J13435" i="13"/>
  <c r="F13435" i="13"/>
  <c r="A13435" i="13"/>
  <c r="F13434" i="13"/>
  <c r="A13434" i="13"/>
  <c r="F13433" i="13"/>
  <c r="A13433" i="13"/>
  <c r="F13432" i="13"/>
  <c r="A13432" i="13"/>
  <c r="F13431" i="13"/>
  <c r="A13431" i="13"/>
  <c r="J13430" i="13"/>
  <c r="F13430" i="13"/>
  <c r="A13430" i="13"/>
  <c r="J13429" i="13"/>
  <c r="F13429" i="13"/>
  <c r="A13429" i="13"/>
  <c r="F13428" i="13"/>
  <c r="A13428" i="13"/>
  <c r="J13427" i="13"/>
  <c r="F13427" i="13"/>
  <c r="A13427" i="13"/>
  <c r="J13426" i="13"/>
  <c r="F13426" i="13"/>
  <c r="A13426" i="13"/>
  <c r="J13425" i="13"/>
  <c r="F13425" i="13"/>
  <c r="A13425" i="13"/>
  <c r="J13424" i="13"/>
  <c r="F13424" i="13"/>
  <c r="A13424" i="13"/>
  <c r="J13423" i="13"/>
  <c r="F13423" i="13"/>
  <c r="A13423" i="13"/>
  <c r="J13422" i="13"/>
  <c r="F13422" i="13"/>
  <c r="A13422" i="13"/>
  <c r="J13421" i="13"/>
  <c r="F13421" i="13"/>
  <c r="A13421" i="13"/>
  <c r="J13420" i="13"/>
  <c r="F13420" i="13"/>
  <c r="A13420" i="13"/>
  <c r="J13419" i="13"/>
  <c r="F13419" i="13"/>
  <c r="F13418" i="13"/>
  <c r="A13418" i="13"/>
  <c r="F13417" i="13"/>
  <c r="A13417" i="13"/>
  <c r="F13416" i="13"/>
  <c r="A13416" i="13"/>
  <c r="F13415" i="13"/>
  <c r="A13415" i="13"/>
  <c r="F13414" i="13"/>
  <c r="A13414" i="13"/>
  <c r="F13413" i="13"/>
  <c r="A13413" i="13"/>
  <c r="F13412" i="13"/>
  <c r="A13412" i="13"/>
  <c r="F13411" i="13"/>
  <c r="A13411" i="13"/>
  <c r="J13410" i="13"/>
  <c r="F13410" i="13"/>
  <c r="A13410" i="13"/>
  <c r="J13409" i="13"/>
  <c r="F13409" i="13"/>
  <c r="A13409" i="13"/>
  <c r="F13408" i="13"/>
  <c r="A13408" i="13"/>
  <c r="F13407" i="13"/>
  <c r="A13407" i="13"/>
  <c r="F13406" i="13"/>
  <c r="A13406" i="13"/>
  <c r="J13405" i="13"/>
  <c r="F13405" i="13"/>
  <c r="A13405" i="13"/>
  <c r="J13404" i="13"/>
  <c r="F13404" i="13"/>
  <c r="A13404" i="13"/>
  <c r="J13403" i="13"/>
  <c r="F13403" i="13"/>
  <c r="A13403" i="13"/>
  <c r="J13402" i="13"/>
  <c r="F13402" i="13"/>
  <c r="A13402" i="13"/>
  <c r="J13401" i="13"/>
  <c r="F13401" i="13"/>
  <c r="A13401" i="13"/>
  <c r="J13400" i="13"/>
  <c r="F13400" i="13"/>
  <c r="A13400" i="13"/>
  <c r="J13399" i="13"/>
  <c r="F13399" i="13"/>
  <c r="A13399" i="13"/>
  <c r="F13398" i="13"/>
  <c r="A13398" i="13"/>
  <c r="F13397" i="13"/>
  <c r="A13397" i="13"/>
  <c r="J13396" i="13"/>
  <c r="F13396" i="13"/>
  <c r="A13396" i="13"/>
  <c r="J13395" i="13"/>
  <c r="F13395" i="13"/>
  <c r="A13395" i="13"/>
  <c r="F13394" i="13"/>
  <c r="A13394" i="13"/>
  <c r="F13393" i="13"/>
  <c r="A13393" i="13"/>
  <c r="J13392" i="13"/>
  <c r="F13392" i="13"/>
  <c r="A13392" i="13"/>
  <c r="F13391" i="13"/>
  <c r="A13391" i="13"/>
  <c r="J13390" i="13"/>
  <c r="F13390" i="13"/>
  <c r="A13390" i="13"/>
  <c r="F13389" i="13"/>
  <c r="A13389" i="13"/>
  <c r="F13388" i="13"/>
  <c r="A13388" i="13"/>
  <c r="J13387" i="13"/>
  <c r="F13387" i="13"/>
  <c r="A13387" i="13"/>
  <c r="J13386" i="13"/>
  <c r="F13386" i="13"/>
  <c r="A13386" i="13"/>
  <c r="J13385" i="13"/>
  <c r="F13385" i="13"/>
  <c r="A13385" i="13"/>
  <c r="J13384" i="13"/>
  <c r="F13384" i="13"/>
  <c r="A13384" i="13"/>
  <c r="J13383" i="13"/>
  <c r="F13383" i="13"/>
  <c r="J13382" i="13"/>
  <c r="F13382" i="13"/>
  <c r="A13382" i="13"/>
  <c r="J13381" i="13"/>
  <c r="F13381" i="13"/>
  <c r="A13381" i="13"/>
  <c r="F13380" i="13"/>
  <c r="A13380" i="13"/>
  <c r="F13379" i="13"/>
  <c r="A13379" i="13"/>
  <c r="F13378" i="13"/>
  <c r="A13378" i="13"/>
  <c r="F13377" i="13"/>
  <c r="A13377" i="13"/>
  <c r="J13376" i="13"/>
  <c r="F13376" i="13"/>
  <c r="A13376" i="13"/>
  <c r="J13375" i="13"/>
  <c r="F13375" i="13"/>
  <c r="A13375" i="13"/>
  <c r="J13374" i="13"/>
  <c r="F13374" i="13"/>
  <c r="A13374" i="13"/>
  <c r="F13373" i="13"/>
  <c r="A13373" i="13"/>
  <c r="J13372" i="13"/>
  <c r="F13372" i="13"/>
  <c r="A13372" i="13"/>
  <c r="F13371" i="13"/>
  <c r="A13371" i="13"/>
  <c r="J13370" i="13"/>
  <c r="F13370" i="13"/>
  <c r="A13370" i="13"/>
  <c r="J13369" i="13"/>
  <c r="F13369" i="13"/>
  <c r="A13369" i="13"/>
  <c r="F13368" i="13"/>
  <c r="A13368" i="13"/>
  <c r="J13367" i="13"/>
  <c r="F13367" i="13"/>
  <c r="A13367" i="13"/>
  <c r="J13366" i="13"/>
  <c r="F13366" i="13"/>
  <c r="A13366" i="13"/>
  <c r="F13365" i="13"/>
  <c r="A13365" i="13"/>
  <c r="J13364" i="13"/>
  <c r="F13364" i="13"/>
  <c r="A13364" i="13"/>
  <c r="J13363" i="13"/>
  <c r="F13363" i="13"/>
  <c r="A13363" i="13"/>
  <c r="J13362" i="13"/>
  <c r="F13362" i="13"/>
  <c r="A13362" i="13"/>
  <c r="F13361" i="13"/>
  <c r="A13361" i="13"/>
  <c r="J13360" i="13"/>
  <c r="F13360" i="13"/>
  <c r="A13360" i="13"/>
  <c r="J13359" i="13"/>
  <c r="F13359" i="13"/>
  <c r="A13359" i="13"/>
  <c r="F13358" i="13"/>
  <c r="A13358" i="13"/>
  <c r="J13357" i="13"/>
  <c r="F13357" i="13"/>
  <c r="A13357" i="13"/>
  <c r="J13356" i="13"/>
  <c r="F13356" i="13"/>
  <c r="A13356" i="13"/>
  <c r="J13355" i="13"/>
  <c r="F13355" i="13"/>
  <c r="A13355" i="13"/>
  <c r="J13354" i="13"/>
  <c r="F13354" i="13"/>
  <c r="A13354" i="13"/>
  <c r="J13353" i="13"/>
  <c r="F13353" i="13"/>
  <c r="A13353" i="13"/>
  <c r="J13352" i="13"/>
  <c r="F13352" i="13"/>
  <c r="A13352" i="13"/>
  <c r="F13351" i="13"/>
  <c r="A13351" i="13"/>
  <c r="F13350" i="13"/>
  <c r="A13350" i="13"/>
  <c r="J13349" i="13"/>
  <c r="F13349" i="13"/>
  <c r="A13349" i="13"/>
  <c r="J13348" i="13"/>
  <c r="F13348" i="13"/>
  <c r="A13348" i="13"/>
  <c r="J13347" i="13"/>
  <c r="F13347" i="13"/>
  <c r="A13347" i="13"/>
  <c r="F13346" i="13"/>
  <c r="A13346" i="13"/>
  <c r="J13345" i="13"/>
  <c r="F13345" i="13"/>
  <c r="A13345" i="13"/>
  <c r="J13344" i="13"/>
  <c r="F13344" i="13"/>
  <c r="A13344" i="13"/>
  <c r="J13343" i="13"/>
  <c r="F13343" i="13"/>
  <c r="A13343" i="13"/>
  <c r="F13342" i="13"/>
  <c r="A13342" i="13"/>
  <c r="F13341" i="13"/>
  <c r="A13341" i="13"/>
  <c r="J13340" i="13"/>
  <c r="F13340" i="13"/>
  <c r="A13340" i="13"/>
  <c r="J13339" i="13"/>
  <c r="F13339" i="13"/>
  <c r="A13339" i="13"/>
  <c r="J13338" i="13"/>
  <c r="F13338" i="13"/>
  <c r="A13338" i="13"/>
  <c r="F13337" i="13"/>
  <c r="A13337" i="13"/>
  <c r="F13336" i="13"/>
  <c r="A13336" i="13"/>
  <c r="J13335" i="13"/>
  <c r="F13335" i="13"/>
  <c r="A13335" i="13"/>
  <c r="J13334" i="13"/>
  <c r="F13334" i="13"/>
  <c r="A13334" i="13"/>
  <c r="J13333" i="13"/>
  <c r="F13333" i="13"/>
  <c r="A13333" i="13"/>
  <c r="J13332" i="13"/>
  <c r="F13332" i="13"/>
  <c r="A13332" i="13"/>
  <c r="J13331" i="13"/>
  <c r="F13331" i="13"/>
  <c r="A13331" i="13"/>
  <c r="F13330" i="13"/>
  <c r="A13330" i="13"/>
  <c r="F13329" i="13"/>
  <c r="A13329" i="13"/>
  <c r="J13328" i="13"/>
  <c r="F13328" i="13"/>
  <c r="A13328" i="13"/>
  <c r="F13327" i="13"/>
  <c r="A13327" i="13"/>
  <c r="F13326" i="13"/>
  <c r="A13326" i="13"/>
  <c r="J13325" i="13"/>
  <c r="F13325" i="13"/>
  <c r="A13325" i="13"/>
  <c r="J13324" i="13"/>
  <c r="F13324" i="13"/>
  <c r="A13324" i="13"/>
  <c r="J13323" i="13"/>
  <c r="F13323" i="13"/>
  <c r="A13323" i="13"/>
  <c r="J13322" i="13"/>
  <c r="F13322" i="13"/>
  <c r="A13322" i="13"/>
  <c r="J13321" i="13"/>
  <c r="F13321" i="13"/>
  <c r="A13321" i="13"/>
  <c r="F13320" i="13"/>
  <c r="A13320" i="13"/>
  <c r="F13319" i="13"/>
  <c r="A13319" i="13"/>
  <c r="J13318" i="13"/>
  <c r="F13318" i="13"/>
  <c r="A13318" i="13"/>
  <c r="F13317" i="13"/>
  <c r="A13317" i="13"/>
  <c r="J13316" i="13"/>
  <c r="F13316" i="13"/>
  <c r="A13316" i="13"/>
  <c r="J13315" i="13"/>
  <c r="F13315" i="13"/>
  <c r="A13315" i="13"/>
  <c r="J13314" i="13"/>
  <c r="F13314" i="13"/>
  <c r="A13314" i="13"/>
  <c r="F13313" i="13"/>
  <c r="A13313" i="13"/>
  <c r="J13312" i="13"/>
  <c r="F13312" i="13"/>
  <c r="A13312" i="13"/>
  <c r="J13311" i="13"/>
  <c r="F13311" i="13"/>
  <c r="A13311" i="13"/>
  <c r="F13310" i="13"/>
  <c r="A13310" i="13"/>
  <c r="J13309" i="13"/>
  <c r="F13309" i="13"/>
  <c r="A13309" i="13"/>
  <c r="J13308" i="13"/>
  <c r="F13308" i="13"/>
  <c r="A13308" i="13"/>
  <c r="J13307" i="13"/>
  <c r="F13307" i="13"/>
  <c r="A13307" i="13"/>
  <c r="J13306" i="13"/>
  <c r="F13306" i="13"/>
  <c r="A13306" i="13"/>
  <c r="F13305" i="13"/>
  <c r="A13305" i="13"/>
  <c r="J13304" i="13"/>
  <c r="F13304" i="13"/>
  <c r="A13304" i="13"/>
  <c r="J13303" i="13"/>
  <c r="F13303" i="13"/>
  <c r="A13303" i="13"/>
  <c r="F13302" i="13"/>
  <c r="A13302" i="13"/>
  <c r="F13301" i="13"/>
  <c r="A13301" i="13"/>
  <c r="J13300" i="13"/>
  <c r="F13300" i="13"/>
  <c r="A13300" i="13"/>
  <c r="F13299" i="13"/>
  <c r="A13299" i="13"/>
  <c r="J13298" i="13"/>
  <c r="F13298" i="13"/>
  <c r="J13297" i="13"/>
  <c r="F13297" i="13"/>
  <c r="J13296" i="13"/>
  <c r="F13296" i="13"/>
  <c r="F13295" i="13"/>
  <c r="A13295" i="13"/>
  <c r="F13294" i="13"/>
  <c r="A13294" i="13"/>
  <c r="F13293" i="13"/>
  <c r="A13293" i="13"/>
  <c r="F13292" i="13"/>
  <c r="A13292" i="13"/>
  <c r="F13291" i="13"/>
  <c r="A13291" i="13"/>
  <c r="F13290" i="13"/>
  <c r="A13290" i="13"/>
  <c r="F13289" i="13"/>
  <c r="A13289" i="13"/>
  <c r="F13288" i="13"/>
  <c r="A13288" i="13"/>
  <c r="F13287" i="13"/>
  <c r="A13287" i="13"/>
  <c r="F13286" i="13"/>
  <c r="A13286" i="13"/>
  <c r="F13285" i="13"/>
  <c r="A13285" i="13"/>
  <c r="F13284" i="13"/>
  <c r="A13284" i="13"/>
  <c r="F13283" i="13"/>
  <c r="A13283" i="13"/>
  <c r="F13282" i="13"/>
  <c r="A13282" i="13"/>
  <c r="F13281" i="13"/>
  <c r="A13281" i="13"/>
  <c r="F13280" i="13"/>
  <c r="A13280" i="13"/>
  <c r="F13279" i="13"/>
  <c r="F13278" i="13"/>
  <c r="A13278" i="13"/>
  <c r="J13277" i="13"/>
  <c r="F13277" i="13"/>
  <c r="A13277" i="13"/>
  <c r="F13276" i="13"/>
  <c r="A13276" i="13"/>
  <c r="J13275" i="13"/>
  <c r="F13275" i="13"/>
  <c r="A13275" i="13"/>
  <c r="F13274" i="13"/>
  <c r="A13274" i="13"/>
  <c r="F13273" i="13"/>
  <c r="A13273" i="13"/>
  <c r="J13272" i="13"/>
  <c r="F13272" i="13"/>
  <c r="A13272" i="13"/>
  <c r="J13271" i="13"/>
  <c r="F13271" i="13"/>
  <c r="A13271" i="13"/>
  <c r="J13270" i="13"/>
  <c r="F13270" i="13"/>
  <c r="A13270" i="13"/>
  <c r="J13269" i="13"/>
  <c r="F13269" i="13"/>
  <c r="A13269" i="13"/>
  <c r="J13268" i="13"/>
  <c r="F13268" i="13"/>
  <c r="A13268" i="13"/>
  <c r="F13267" i="13"/>
  <c r="A13267" i="13"/>
  <c r="F13266" i="13"/>
  <c r="A13266" i="13"/>
  <c r="J13265" i="13"/>
  <c r="F13265" i="13"/>
  <c r="A13265" i="13"/>
  <c r="J13264" i="13"/>
  <c r="F13264" i="13"/>
  <c r="A13264" i="13"/>
  <c r="F13263" i="13"/>
  <c r="A13263" i="13"/>
  <c r="F13262" i="13"/>
  <c r="A13262" i="13"/>
  <c r="F13261" i="13"/>
  <c r="A13261" i="13"/>
  <c r="F13260" i="13"/>
  <c r="A13260" i="13"/>
  <c r="F13259" i="13"/>
  <c r="A13259" i="13"/>
  <c r="F13258" i="13"/>
  <c r="A13258" i="13"/>
  <c r="F13257" i="13"/>
  <c r="A13257" i="13"/>
  <c r="F13256" i="13"/>
  <c r="A13256" i="13"/>
  <c r="F13255" i="13"/>
  <c r="A13255" i="13"/>
  <c r="F13254" i="13"/>
  <c r="A13254" i="13"/>
  <c r="F13253" i="13"/>
  <c r="A13253" i="13"/>
  <c r="F13252" i="13"/>
  <c r="A13252" i="13"/>
  <c r="F13251" i="13"/>
  <c r="A13251" i="13"/>
  <c r="J13250" i="13"/>
  <c r="F13250" i="13"/>
  <c r="A13250" i="13"/>
  <c r="J13249" i="13"/>
  <c r="F13249" i="13"/>
  <c r="A13249" i="13"/>
  <c r="F13248" i="13"/>
  <c r="A13248" i="13"/>
  <c r="F13247" i="13"/>
  <c r="A13247" i="13"/>
  <c r="J13246" i="13"/>
  <c r="F13246" i="13"/>
  <c r="A13246" i="13"/>
  <c r="J13245" i="13"/>
  <c r="F13245" i="13"/>
  <c r="A13245" i="13"/>
  <c r="F13244" i="13"/>
  <c r="A13244" i="13"/>
  <c r="J13243" i="13"/>
  <c r="F13243" i="13"/>
  <c r="A13243" i="13"/>
  <c r="J13242" i="13"/>
  <c r="F13242" i="13"/>
  <c r="A13242" i="13"/>
  <c r="F13241" i="13"/>
  <c r="A13241" i="13"/>
  <c r="J13240" i="13"/>
  <c r="F13240" i="13"/>
  <c r="A13240" i="13"/>
  <c r="F13239" i="13"/>
  <c r="A13239" i="13"/>
  <c r="F13238" i="13"/>
  <c r="A13238" i="13"/>
  <c r="F13237" i="13"/>
  <c r="A13237" i="13"/>
  <c r="F13236" i="13"/>
  <c r="A13236" i="13"/>
  <c r="J13235" i="13"/>
  <c r="F13235" i="13"/>
  <c r="A13235" i="13"/>
  <c r="J13234" i="13"/>
  <c r="F13234" i="13"/>
  <c r="A13234" i="13"/>
  <c r="F13233" i="13"/>
  <c r="A13233" i="13"/>
  <c r="F13232" i="13"/>
  <c r="A13232" i="13"/>
  <c r="F13231" i="13"/>
  <c r="A13231" i="13"/>
  <c r="F13230" i="13"/>
  <c r="A13230" i="13"/>
  <c r="F13229" i="13"/>
  <c r="A13229" i="13"/>
  <c r="F13228" i="13"/>
  <c r="A13228" i="13"/>
  <c r="F13227" i="13"/>
  <c r="A13227" i="13"/>
  <c r="F13226" i="13"/>
  <c r="A13226" i="13"/>
  <c r="J13225" i="13"/>
  <c r="F13225" i="13"/>
  <c r="A13225" i="13"/>
  <c r="F13224" i="13"/>
  <c r="A13224" i="13"/>
  <c r="F13223" i="13"/>
  <c r="A13223" i="13"/>
  <c r="J13222" i="13"/>
  <c r="F13222" i="13"/>
  <c r="A13222" i="13"/>
  <c r="F13221" i="13"/>
  <c r="A13221" i="13"/>
  <c r="J13220" i="13"/>
  <c r="F13220" i="13"/>
  <c r="A13220" i="13"/>
  <c r="J13219" i="13"/>
  <c r="F13219" i="13"/>
  <c r="A13219" i="13"/>
  <c r="F13218" i="13"/>
  <c r="A13218" i="13"/>
  <c r="F13217" i="13"/>
  <c r="A13217" i="13"/>
  <c r="J13216" i="13"/>
  <c r="F13216" i="13"/>
  <c r="A13216" i="13"/>
  <c r="F13215" i="13"/>
  <c r="A13215" i="13"/>
  <c r="J13214" i="13"/>
  <c r="F13214" i="13"/>
  <c r="A13214" i="13"/>
  <c r="F13213" i="13"/>
  <c r="A13213" i="13"/>
  <c r="F13212" i="13"/>
  <c r="A13212" i="13"/>
  <c r="J13211" i="13"/>
  <c r="F13211" i="13"/>
  <c r="A13211" i="13"/>
  <c r="F13210" i="13"/>
  <c r="A13210" i="13"/>
  <c r="J13209" i="13"/>
  <c r="F13209" i="13"/>
  <c r="A13209" i="13"/>
  <c r="J13208" i="13"/>
  <c r="F13208" i="13"/>
  <c r="A13208" i="13"/>
  <c r="F13207" i="13"/>
  <c r="A13207" i="13"/>
  <c r="J13206" i="13"/>
  <c r="F13206" i="13"/>
  <c r="A13206" i="13"/>
  <c r="J13205" i="13"/>
  <c r="F13205" i="13"/>
  <c r="A13205" i="13"/>
  <c r="J13204" i="13"/>
  <c r="F13204" i="13"/>
  <c r="A13204" i="13"/>
  <c r="F13203" i="13"/>
  <c r="A13203" i="13"/>
  <c r="J13202" i="13"/>
  <c r="F13202" i="13"/>
  <c r="A13202" i="13"/>
  <c r="F13201" i="13"/>
  <c r="A13201" i="13"/>
  <c r="J13200" i="13"/>
  <c r="F13200" i="13"/>
  <c r="A13200" i="13"/>
  <c r="J13199" i="13"/>
  <c r="F13199" i="13"/>
  <c r="A13199" i="13"/>
  <c r="J13198" i="13"/>
  <c r="F13198" i="13"/>
  <c r="A13198" i="13"/>
  <c r="F13197" i="13"/>
  <c r="A13197" i="13"/>
  <c r="J13196" i="13"/>
  <c r="F13196" i="13"/>
  <c r="A13196" i="13"/>
  <c r="J13195" i="13"/>
  <c r="F13195" i="13"/>
  <c r="A13195" i="13"/>
  <c r="J13194" i="13"/>
  <c r="F13194" i="13"/>
  <c r="A13194" i="13"/>
  <c r="J13193" i="13"/>
  <c r="F13193" i="13"/>
  <c r="A13193" i="13"/>
  <c r="J13192" i="13"/>
  <c r="F13192" i="13"/>
  <c r="A13192" i="13"/>
  <c r="J13191" i="13"/>
  <c r="F13191" i="13"/>
  <c r="A13191" i="13"/>
  <c r="J13190" i="13"/>
  <c r="F13190" i="13"/>
  <c r="F13189" i="13"/>
  <c r="A13189" i="13"/>
  <c r="F13188" i="13"/>
  <c r="A13188" i="13"/>
  <c r="J13187" i="13"/>
  <c r="F13187" i="13"/>
  <c r="A13187" i="13"/>
  <c r="J13186" i="13"/>
  <c r="F13186" i="13"/>
  <c r="A13186" i="13"/>
  <c r="J13185" i="13"/>
  <c r="F13185" i="13"/>
  <c r="A13185" i="13"/>
  <c r="J13184" i="13"/>
  <c r="F13184" i="13"/>
  <c r="A13184" i="13"/>
  <c r="J13183" i="13"/>
  <c r="F13183" i="13"/>
  <c r="F13182" i="13"/>
  <c r="A13182" i="13"/>
  <c r="J13181" i="13"/>
  <c r="F13181" i="13"/>
  <c r="A13181" i="13"/>
  <c r="J13180" i="13"/>
  <c r="F13180" i="13"/>
  <c r="A13180" i="13"/>
  <c r="J13179" i="13"/>
  <c r="F13179" i="13"/>
  <c r="A13179" i="13"/>
  <c r="J13178" i="13"/>
  <c r="F13178" i="13"/>
  <c r="A13178" i="13"/>
  <c r="J13177" i="13"/>
  <c r="F13177" i="13"/>
  <c r="F13176" i="13"/>
  <c r="A13176" i="13"/>
  <c r="J13175" i="13"/>
  <c r="F13175" i="13"/>
  <c r="A13175" i="13"/>
  <c r="J13174" i="13"/>
  <c r="F13174" i="13"/>
  <c r="A13174" i="13"/>
  <c r="J13173" i="13"/>
  <c r="F13173" i="13"/>
  <c r="A13173" i="13"/>
  <c r="J13172" i="13"/>
  <c r="F13172" i="13"/>
  <c r="A13172" i="13"/>
  <c r="J13171" i="13"/>
  <c r="F13171" i="13"/>
  <c r="A13171" i="13"/>
  <c r="J13170" i="13"/>
  <c r="F13170" i="13"/>
  <c r="A13170" i="13"/>
  <c r="J13169" i="13"/>
  <c r="F13169" i="13"/>
  <c r="A13169" i="13"/>
  <c r="J13168" i="13"/>
  <c r="F13168" i="13"/>
  <c r="A13168" i="13"/>
  <c r="J13167" i="13"/>
  <c r="F13167" i="13"/>
  <c r="A13167" i="13"/>
  <c r="J13166" i="13"/>
  <c r="F13166" i="13"/>
  <c r="A13166" i="13"/>
  <c r="F13165" i="13"/>
  <c r="A13165" i="13"/>
  <c r="J13164" i="13"/>
  <c r="F13164" i="13"/>
  <c r="A13164" i="13"/>
  <c r="F13163" i="13"/>
  <c r="A13163" i="13"/>
  <c r="F13162" i="13"/>
  <c r="A13162" i="13"/>
  <c r="F13161" i="13"/>
  <c r="A13161" i="13"/>
  <c r="J13160" i="13"/>
  <c r="F13160" i="13"/>
  <c r="A13160" i="13"/>
  <c r="J13159" i="13"/>
  <c r="F13159" i="13"/>
  <c r="A13159" i="13"/>
  <c r="J13158" i="13"/>
  <c r="F13158" i="13"/>
  <c r="A13158" i="13"/>
  <c r="J13157" i="13"/>
  <c r="F13157" i="13"/>
  <c r="A13157" i="13"/>
  <c r="J13156" i="13"/>
  <c r="F13156" i="13"/>
  <c r="A13156" i="13"/>
  <c r="J13155" i="13"/>
  <c r="F13155" i="13"/>
  <c r="A13155" i="13"/>
  <c r="J13154" i="13"/>
  <c r="F13154" i="13"/>
  <c r="A13154" i="13"/>
  <c r="J13153" i="13"/>
  <c r="F13153" i="13"/>
  <c r="A13153" i="13"/>
  <c r="J13152" i="13"/>
  <c r="F13152" i="13"/>
  <c r="A13152" i="13"/>
  <c r="J13151" i="13"/>
  <c r="F13151" i="13"/>
  <c r="A13151" i="13"/>
  <c r="J13150" i="13"/>
  <c r="F13150" i="13"/>
  <c r="A13150" i="13"/>
  <c r="J13149" i="13"/>
  <c r="F13149" i="13"/>
  <c r="A13149" i="13"/>
  <c r="J13148" i="13"/>
  <c r="F13148" i="13"/>
  <c r="A13148" i="13"/>
  <c r="J13147" i="13"/>
  <c r="F13147" i="13"/>
  <c r="A13147" i="13"/>
  <c r="J13146" i="13"/>
  <c r="F13146" i="13"/>
  <c r="A13146" i="13"/>
  <c r="J13145" i="13"/>
  <c r="F13145" i="13"/>
  <c r="A13145" i="13"/>
  <c r="J13144" i="13"/>
  <c r="F13144" i="13"/>
  <c r="A13144" i="13"/>
  <c r="J13143" i="13"/>
  <c r="F13143" i="13"/>
  <c r="F13142" i="13"/>
  <c r="A13142" i="13"/>
  <c r="F13141" i="13"/>
  <c r="A13141" i="13"/>
  <c r="J13140" i="13"/>
  <c r="F13140" i="13"/>
  <c r="A13140" i="13"/>
  <c r="J13139" i="13"/>
  <c r="F13139" i="13"/>
  <c r="A13139" i="13"/>
  <c r="F13138" i="13"/>
  <c r="A13138" i="13"/>
  <c r="F13137" i="13"/>
  <c r="A13137" i="13"/>
  <c r="J13136" i="13"/>
  <c r="F13136" i="13"/>
  <c r="A13136" i="13"/>
  <c r="J13135" i="13"/>
  <c r="F13135" i="13"/>
  <c r="A13135" i="13"/>
  <c r="F13134" i="13"/>
  <c r="A13134" i="13"/>
  <c r="J13133" i="13"/>
  <c r="F13133" i="13"/>
  <c r="A13133" i="13"/>
  <c r="F13132" i="13"/>
  <c r="A13132" i="13"/>
  <c r="J13131" i="13"/>
  <c r="F13131" i="13"/>
  <c r="A13131" i="13"/>
  <c r="J13130" i="13"/>
  <c r="F13130" i="13"/>
  <c r="A13130" i="13"/>
  <c r="F13129" i="13"/>
  <c r="A13129" i="13"/>
  <c r="F13128" i="13"/>
  <c r="A13128" i="13"/>
  <c r="J13127" i="13"/>
  <c r="F13127" i="13"/>
  <c r="A13127" i="13"/>
  <c r="J13126" i="13"/>
  <c r="F13126" i="13"/>
  <c r="A13126" i="13"/>
  <c r="F13125" i="13"/>
  <c r="A13125" i="13"/>
  <c r="F13124" i="13"/>
  <c r="A13124" i="13"/>
  <c r="F13123" i="13"/>
  <c r="A13123" i="13"/>
  <c r="J13122" i="13"/>
  <c r="F13122" i="13"/>
  <c r="A13122" i="13"/>
  <c r="J13121" i="13"/>
  <c r="F13121" i="13"/>
  <c r="A13121" i="13"/>
  <c r="J13120" i="13"/>
  <c r="F13120" i="13"/>
  <c r="A13120" i="13"/>
  <c r="J13119" i="13"/>
  <c r="F13119" i="13"/>
  <c r="A13119" i="13"/>
  <c r="J13118" i="13"/>
  <c r="F13118" i="13"/>
  <c r="A13118" i="13"/>
  <c r="J13117" i="13"/>
  <c r="F13117" i="13"/>
  <c r="J13116" i="13"/>
  <c r="F13116" i="13"/>
  <c r="A13116" i="13"/>
  <c r="J13115" i="13"/>
  <c r="F13115" i="13"/>
  <c r="A13115" i="13"/>
  <c r="J13114" i="13"/>
  <c r="F13114" i="13"/>
  <c r="J13113" i="13"/>
  <c r="F13113" i="13"/>
  <c r="F13112" i="13"/>
  <c r="A13112" i="13"/>
  <c r="F13111" i="13"/>
  <c r="A13111" i="13"/>
  <c r="F13110" i="13"/>
  <c r="J13109" i="13"/>
  <c r="F13109" i="13"/>
  <c r="A13109" i="13"/>
  <c r="J13108" i="13"/>
  <c r="F13108" i="13"/>
  <c r="A13108" i="13"/>
  <c r="F13107" i="13"/>
  <c r="A13107" i="13"/>
  <c r="F13106" i="13"/>
  <c r="A13106" i="13"/>
  <c r="J13105" i="13"/>
  <c r="F13105" i="13"/>
  <c r="J13104" i="13"/>
  <c r="F13104" i="13"/>
  <c r="F13103" i="13"/>
  <c r="A13103" i="13"/>
  <c r="F13102" i="13"/>
  <c r="A13102" i="13"/>
  <c r="F13101" i="13"/>
  <c r="A13101" i="13"/>
  <c r="F13100" i="13"/>
  <c r="A13100" i="13"/>
  <c r="F13099" i="13"/>
  <c r="A13099" i="13"/>
  <c r="F13098" i="13"/>
  <c r="A13098" i="13"/>
  <c r="F13097" i="13"/>
  <c r="A13097" i="13"/>
  <c r="F13096" i="13"/>
  <c r="A13096" i="13"/>
  <c r="F13095" i="13"/>
  <c r="A13095" i="13"/>
  <c r="F13094" i="13"/>
  <c r="A13094" i="13"/>
  <c r="F13093" i="13"/>
  <c r="A13093" i="13"/>
  <c r="F13092" i="13"/>
  <c r="A13092" i="13"/>
  <c r="F13091" i="13"/>
  <c r="A13091" i="13"/>
  <c r="F13090" i="13"/>
  <c r="A13090" i="13"/>
  <c r="F13089" i="13"/>
  <c r="A13089" i="13"/>
  <c r="F13088" i="13"/>
  <c r="A13088" i="13"/>
  <c r="F13087" i="13"/>
  <c r="A13087" i="13"/>
  <c r="F13086" i="13"/>
  <c r="A13086" i="13"/>
  <c r="F13085" i="13"/>
  <c r="A13085" i="13"/>
  <c r="F13084" i="13"/>
  <c r="A13084" i="13"/>
  <c r="F13083" i="13"/>
  <c r="A13083" i="13"/>
  <c r="F13082" i="13"/>
  <c r="A13082" i="13"/>
  <c r="F13081" i="13"/>
  <c r="A13081" i="13"/>
  <c r="F13080" i="13"/>
  <c r="A13080" i="13"/>
  <c r="F13079" i="13"/>
  <c r="A13079" i="13"/>
  <c r="F13078" i="13"/>
  <c r="A13078" i="13"/>
  <c r="F13077" i="13"/>
  <c r="A13077" i="13"/>
  <c r="F13076" i="13"/>
  <c r="A13076" i="13"/>
  <c r="F13075" i="13"/>
  <c r="A13075" i="13"/>
  <c r="F13074" i="13"/>
  <c r="A13074" i="13"/>
  <c r="F13073" i="13"/>
  <c r="A13073" i="13"/>
  <c r="F13072" i="13"/>
  <c r="A13072" i="13"/>
  <c r="F13071" i="13"/>
  <c r="A13071" i="13"/>
  <c r="F13070" i="13"/>
  <c r="A13070" i="13"/>
  <c r="F13069" i="13"/>
  <c r="A13069" i="13"/>
  <c r="F13068" i="13"/>
  <c r="A13068" i="13"/>
  <c r="F13067" i="13"/>
  <c r="A13067" i="13"/>
  <c r="F13066" i="13"/>
  <c r="A13066" i="13"/>
  <c r="F13065" i="13"/>
  <c r="A13065" i="13"/>
  <c r="F13064" i="13"/>
  <c r="A13064" i="13"/>
  <c r="F13063" i="13"/>
  <c r="A13063" i="13"/>
  <c r="F13062" i="13"/>
  <c r="A13062" i="13"/>
  <c r="F13061" i="13"/>
  <c r="A13061" i="13"/>
  <c r="F13060" i="13"/>
  <c r="A13060" i="13"/>
  <c r="F13059" i="13"/>
  <c r="A13059" i="13"/>
  <c r="F13058" i="13"/>
  <c r="A13058" i="13"/>
  <c r="F13057" i="13"/>
  <c r="A13057" i="13"/>
  <c r="F13056" i="13"/>
  <c r="A13056" i="13"/>
  <c r="F13055" i="13"/>
  <c r="A13055" i="13"/>
  <c r="F13054" i="13"/>
  <c r="A13054" i="13"/>
  <c r="F13053" i="13"/>
  <c r="A13053" i="13"/>
  <c r="F13052" i="13"/>
  <c r="A13052" i="13"/>
  <c r="F13051" i="13"/>
  <c r="A13051" i="13"/>
  <c r="F13050" i="13"/>
  <c r="A13050" i="13"/>
  <c r="F13049" i="13"/>
  <c r="A13049" i="13"/>
  <c r="F13048" i="13"/>
  <c r="A13048" i="13"/>
  <c r="F13047" i="13"/>
  <c r="A13047" i="13"/>
  <c r="F13046" i="13"/>
  <c r="A13046" i="13"/>
  <c r="F13045" i="13"/>
  <c r="A13045" i="13"/>
  <c r="F13044" i="13"/>
  <c r="A13044" i="13"/>
  <c r="F13043" i="13"/>
  <c r="A13043" i="13"/>
  <c r="F13042" i="13"/>
  <c r="A13042" i="13"/>
  <c r="F13041" i="13"/>
  <c r="A13041" i="13"/>
  <c r="F13040" i="13"/>
  <c r="A13040" i="13"/>
  <c r="F13039" i="13"/>
  <c r="A13039" i="13"/>
  <c r="F13038" i="13"/>
  <c r="A13038" i="13"/>
  <c r="F13037" i="13"/>
  <c r="A13037" i="13"/>
  <c r="F13036" i="13"/>
  <c r="A13036" i="13"/>
  <c r="F13035" i="13"/>
  <c r="A13035" i="13"/>
  <c r="F13034" i="13"/>
  <c r="A13034" i="13"/>
  <c r="F13033" i="13"/>
  <c r="A13033" i="13"/>
  <c r="F13032" i="13"/>
  <c r="A13032" i="13"/>
  <c r="F13031" i="13"/>
  <c r="A13031" i="13"/>
  <c r="F13030" i="13"/>
  <c r="A13030" i="13"/>
  <c r="F13029" i="13"/>
  <c r="A13029" i="13"/>
  <c r="F13028" i="13"/>
  <c r="A13028" i="13"/>
  <c r="F13027" i="13"/>
  <c r="A13027" i="13"/>
  <c r="F13026" i="13"/>
  <c r="J13025" i="13"/>
  <c r="F13025" i="13"/>
  <c r="A13025" i="13"/>
  <c r="J13024" i="13"/>
  <c r="F13024" i="13"/>
  <c r="A13024" i="13"/>
  <c r="F13023" i="13"/>
  <c r="A13023" i="13"/>
  <c r="F13022" i="13"/>
  <c r="A13022" i="13"/>
  <c r="J13021" i="13"/>
  <c r="F13021" i="13"/>
  <c r="A13021" i="13"/>
  <c r="J13020" i="13"/>
  <c r="F13020" i="13"/>
  <c r="A13020" i="13"/>
  <c r="J13019" i="13"/>
  <c r="F13019" i="13"/>
  <c r="A13019" i="13"/>
  <c r="J13018" i="13"/>
  <c r="F13018" i="13"/>
  <c r="A13018" i="13"/>
  <c r="J13017" i="13"/>
  <c r="F13017" i="13"/>
  <c r="A13017" i="13"/>
  <c r="J13016" i="13"/>
  <c r="F13016" i="13"/>
  <c r="A13016" i="13"/>
  <c r="J13015" i="13"/>
  <c r="F13015" i="13"/>
  <c r="A13015" i="13"/>
  <c r="J13014" i="13"/>
  <c r="F13014" i="13"/>
  <c r="A13014" i="13"/>
  <c r="J13013" i="13"/>
  <c r="F13013" i="13"/>
  <c r="A13013" i="13"/>
  <c r="J13012" i="13"/>
  <c r="F13012" i="13"/>
  <c r="A13012" i="13"/>
  <c r="J13011" i="13"/>
  <c r="F13011" i="13"/>
  <c r="A13011" i="13"/>
  <c r="J13010" i="13"/>
  <c r="F13010" i="13"/>
  <c r="J13009" i="13"/>
  <c r="F13009" i="13"/>
  <c r="A13009" i="13"/>
  <c r="J13008" i="13"/>
  <c r="F13008" i="13"/>
  <c r="A13008" i="13"/>
  <c r="J13007" i="13"/>
  <c r="F13007" i="13"/>
  <c r="A13007" i="13"/>
  <c r="J13006" i="13"/>
  <c r="F13006" i="13"/>
  <c r="A13006" i="13"/>
  <c r="F13005" i="13"/>
  <c r="A13005" i="13"/>
  <c r="F13004" i="13"/>
  <c r="A13004" i="13"/>
  <c r="J13003" i="13"/>
  <c r="F13003" i="13"/>
  <c r="A13003" i="13"/>
  <c r="F13002" i="13"/>
  <c r="A13002" i="13"/>
  <c r="F13001" i="13"/>
  <c r="A13001" i="13"/>
  <c r="F13000" i="13"/>
  <c r="A13000" i="13"/>
  <c r="J12999" i="13"/>
  <c r="F12999" i="13"/>
  <c r="A12999" i="13"/>
  <c r="F12998" i="13"/>
  <c r="A12998" i="13"/>
  <c r="J12997" i="13"/>
  <c r="F12997" i="13"/>
  <c r="A12997" i="13"/>
  <c r="J12996" i="13"/>
  <c r="F12996" i="13"/>
  <c r="A12996" i="13"/>
  <c r="J12995" i="13"/>
  <c r="F12995" i="13"/>
  <c r="A12995" i="13"/>
  <c r="F12994" i="13"/>
  <c r="A12994" i="13"/>
  <c r="J12993" i="13"/>
  <c r="F12993" i="13"/>
  <c r="A12993" i="13"/>
  <c r="J12992" i="13"/>
  <c r="F12992" i="13"/>
  <c r="A12992" i="13"/>
  <c r="F12991" i="13"/>
  <c r="A12991" i="13"/>
  <c r="F12990" i="13"/>
  <c r="A12990" i="13"/>
  <c r="F12989" i="13"/>
  <c r="A12989" i="13"/>
  <c r="J12988" i="13"/>
  <c r="F12988" i="13"/>
  <c r="A12988" i="13"/>
  <c r="F12987" i="13"/>
  <c r="A12987" i="13"/>
  <c r="J12986" i="13"/>
  <c r="F12986" i="13"/>
  <c r="A12986" i="13"/>
  <c r="J12985" i="13"/>
  <c r="F12985" i="13"/>
  <c r="A12985" i="13"/>
  <c r="J12984" i="13"/>
  <c r="F12984" i="13"/>
  <c r="A12984" i="13"/>
  <c r="J12983" i="13"/>
  <c r="F12983" i="13"/>
  <c r="A12983" i="13"/>
  <c r="F12982" i="13"/>
  <c r="A12982" i="13"/>
  <c r="F12981" i="13"/>
  <c r="A12981" i="13"/>
  <c r="J12980" i="13"/>
  <c r="F12980" i="13"/>
  <c r="A12980" i="13"/>
  <c r="J12979" i="13"/>
  <c r="F12979" i="13"/>
  <c r="A12979" i="13"/>
  <c r="F12978" i="13"/>
  <c r="A12978" i="13"/>
  <c r="F12977" i="13"/>
  <c r="A12977" i="13"/>
  <c r="J12976" i="13"/>
  <c r="F12976" i="13"/>
  <c r="A12976" i="13"/>
  <c r="F12975" i="13"/>
  <c r="A12975" i="13"/>
  <c r="J12974" i="13"/>
  <c r="F12974" i="13"/>
  <c r="A12974" i="13"/>
  <c r="J12973" i="13"/>
  <c r="F12973" i="13"/>
  <c r="A12973" i="13"/>
  <c r="J12972" i="13"/>
  <c r="F12972" i="13"/>
  <c r="A12972" i="13"/>
  <c r="J12971" i="13"/>
  <c r="F12971" i="13"/>
  <c r="A12971" i="13"/>
  <c r="J12970" i="13"/>
  <c r="F12970" i="13"/>
  <c r="A12970" i="13"/>
  <c r="F12969" i="13"/>
  <c r="A12969" i="13"/>
  <c r="F12968" i="13"/>
  <c r="A12968" i="13"/>
  <c r="F12967" i="13"/>
  <c r="A12967" i="13"/>
  <c r="F12966" i="13"/>
  <c r="A12966" i="13"/>
  <c r="J12965" i="13"/>
  <c r="F12965" i="13"/>
  <c r="A12965" i="13"/>
  <c r="J12964" i="13"/>
  <c r="F12964" i="13"/>
  <c r="A12964" i="13"/>
  <c r="J12963" i="13"/>
  <c r="F12963" i="13"/>
  <c r="A12963" i="13"/>
  <c r="F12962" i="13"/>
  <c r="A12962" i="13"/>
  <c r="F12961" i="13"/>
  <c r="A12961" i="13"/>
  <c r="J12960" i="13"/>
  <c r="F12960" i="13"/>
  <c r="A12960" i="13"/>
  <c r="J12959" i="13"/>
  <c r="F12959" i="13"/>
  <c r="A12959" i="13"/>
  <c r="F12958" i="13"/>
  <c r="A12958" i="13"/>
  <c r="F12957" i="13"/>
  <c r="A12957" i="13"/>
  <c r="J12956" i="13"/>
  <c r="F12956" i="13"/>
  <c r="A12956" i="13"/>
  <c r="J12955" i="13"/>
  <c r="F12955" i="13"/>
  <c r="A12955" i="13"/>
  <c r="J12954" i="13"/>
  <c r="F12954" i="13"/>
  <c r="A12954" i="13"/>
  <c r="F12953" i="13"/>
  <c r="A12953" i="13"/>
  <c r="J12952" i="13"/>
  <c r="F12952" i="13"/>
  <c r="A12952" i="13"/>
  <c r="J12951" i="13"/>
  <c r="F12951" i="13"/>
  <c r="A12951" i="13"/>
  <c r="J12950" i="13"/>
  <c r="F12950" i="13"/>
  <c r="A12950" i="13"/>
  <c r="J12949" i="13"/>
  <c r="F12949" i="13"/>
  <c r="A12949" i="13"/>
  <c r="J12948" i="13"/>
  <c r="F12948" i="13"/>
  <c r="A12948" i="13"/>
  <c r="F12947" i="13"/>
  <c r="A12947" i="13"/>
  <c r="F12946" i="13"/>
  <c r="A12946" i="13"/>
  <c r="J12945" i="13"/>
  <c r="F12945" i="13"/>
  <c r="A12945" i="13"/>
  <c r="F12944" i="13"/>
  <c r="A12944" i="13"/>
  <c r="J12943" i="13"/>
  <c r="F12943" i="13"/>
  <c r="A12943" i="13"/>
  <c r="J12942" i="13"/>
  <c r="F12942" i="13"/>
  <c r="A12942" i="13"/>
  <c r="J12941" i="13"/>
  <c r="F12941" i="13"/>
  <c r="A12941" i="13"/>
  <c r="F12940" i="13"/>
  <c r="A12940" i="13"/>
  <c r="J12939" i="13"/>
  <c r="F12939" i="13"/>
  <c r="A12939" i="13"/>
  <c r="J12938" i="13"/>
  <c r="F12938" i="13"/>
  <c r="A12938" i="13"/>
  <c r="J12937" i="13"/>
  <c r="F12937" i="13"/>
  <c r="A12937" i="13"/>
  <c r="F12936" i="13"/>
  <c r="A12936" i="13"/>
  <c r="J12935" i="13"/>
  <c r="F12935" i="13"/>
  <c r="A12935" i="13"/>
  <c r="F12934" i="13"/>
  <c r="A12934" i="13"/>
  <c r="F12933" i="13"/>
  <c r="A12933" i="13"/>
  <c r="J12932" i="13"/>
  <c r="F12932" i="13"/>
  <c r="A12932" i="13"/>
  <c r="J12931" i="13"/>
  <c r="F12931" i="13"/>
  <c r="A12931" i="13"/>
  <c r="F12930" i="13"/>
  <c r="A12930" i="13"/>
  <c r="F12929" i="13"/>
  <c r="A12929" i="13"/>
  <c r="F12928" i="13"/>
  <c r="A12928" i="13"/>
  <c r="J12927" i="13"/>
  <c r="F12927" i="13"/>
  <c r="A12927" i="13"/>
  <c r="J12926" i="13"/>
  <c r="F12926" i="13"/>
  <c r="A12926" i="13"/>
  <c r="J12925" i="13"/>
  <c r="F12925" i="13"/>
  <c r="A12925" i="13"/>
  <c r="J12924" i="13"/>
  <c r="F12924" i="13"/>
  <c r="A12924" i="13"/>
  <c r="F12923" i="13"/>
  <c r="A12923" i="13"/>
  <c r="F12922" i="13"/>
  <c r="A12922" i="13"/>
  <c r="J12921" i="13"/>
  <c r="F12921" i="13"/>
  <c r="A12921" i="13"/>
  <c r="F12920" i="13"/>
  <c r="A12920" i="13"/>
  <c r="J12919" i="13"/>
  <c r="F12919" i="13"/>
  <c r="A12919" i="13"/>
  <c r="J12918" i="13"/>
  <c r="F12918" i="13"/>
  <c r="A12918" i="13"/>
  <c r="J12917" i="13"/>
  <c r="F12917" i="13"/>
  <c r="A12917" i="13"/>
  <c r="J12916" i="13"/>
  <c r="F12916" i="13"/>
  <c r="A12916" i="13"/>
  <c r="F12915" i="13"/>
  <c r="A12915" i="13"/>
  <c r="J12914" i="13"/>
  <c r="F12914" i="13"/>
  <c r="A12914" i="13"/>
  <c r="J12913" i="13"/>
  <c r="F12913" i="13"/>
  <c r="A12913" i="13"/>
  <c r="J12912" i="13"/>
  <c r="F12912" i="13"/>
  <c r="A12912" i="13"/>
  <c r="J12911" i="13"/>
  <c r="F12911" i="13"/>
  <c r="A12911" i="13"/>
  <c r="J12910" i="13"/>
  <c r="F12910" i="13"/>
  <c r="A12910" i="13"/>
  <c r="F12909" i="13"/>
  <c r="A12909" i="13"/>
  <c r="J12908" i="13"/>
  <c r="F12908" i="13"/>
  <c r="A12908" i="13"/>
  <c r="J12907" i="13"/>
  <c r="F12907" i="13"/>
  <c r="A12907" i="13"/>
  <c r="F12906" i="13"/>
  <c r="A12906" i="13"/>
  <c r="J12905" i="13"/>
  <c r="F12905" i="13"/>
  <c r="A12905" i="13"/>
  <c r="J12904" i="13"/>
  <c r="F12904" i="13"/>
  <c r="A12904" i="13"/>
  <c r="F12903" i="13"/>
  <c r="A12903" i="13"/>
  <c r="J12902" i="13"/>
  <c r="F12902" i="13"/>
  <c r="A12902" i="13"/>
  <c r="J12901" i="13"/>
  <c r="F12901" i="13"/>
  <c r="A12901" i="13"/>
  <c r="F12900" i="13"/>
  <c r="A12900" i="13"/>
  <c r="F12899" i="13"/>
  <c r="A12899" i="13"/>
  <c r="J12898" i="13"/>
  <c r="F12898" i="13"/>
  <c r="A12898" i="13"/>
  <c r="J12897" i="13"/>
  <c r="F12897" i="13"/>
  <c r="A12897" i="13"/>
  <c r="F12896" i="13"/>
  <c r="A12896" i="13"/>
  <c r="J12895" i="13"/>
  <c r="F12895" i="13"/>
  <c r="A12895" i="13"/>
  <c r="J12894" i="13"/>
  <c r="F12894" i="13"/>
  <c r="A12894" i="13"/>
  <c r="J12893" i="13"/>
  <c r="F12893" i="13"/>
  <c r="A12893" i="13"/>
  <c r="J12892" i="13"/>
  <c r="F12892" i="13"/>
  <c r="A12892" i="13"/>
  <c r="J12891" i="13"/>
  <c r="F12891" i="13"/>
  <c r="A12891" i="13"/>
  <c r="J12890" i="13"/>
  <c r="F12890" i="13"/>
  <c r="A12890" i="13"/>
  <c r="J12889" i="13"/>
  <c r="F12889" i="13"/>
  <c r="A12889" i="13"/>
  <c r="J12888" i="13"/>
  <c r="F12888" i="13"/>
  <c r="A12888" i="13"/>
  <c r="J12887" i="13"/>
  <c r="F12887" i="13"/>
  <c r="A12887" i="13"/>
  <c r="J12886" i="13"/>
  <c r="F12886" i="13"/>
  <c r="A12886" i="13"/>
  <c r="J12885" i="13"/>
  <c r="F12885" i="13"/>
  <c r="A12885" i="13"/>
  <c r="J12884" i="13"/>
  <c r="F12884" i="13"/>
  <c r="A12884" i="13"/>
  <c r="F12883" i="13"/>
  <c r="A12883" i="13"/>
  <c r="J12882" i="13"/>
  <c r="F12882" i="13"/>
  <c r="A12882" i="13"/>
  <c r="J12881" i="13"/>
  <c r="F12881" i="13"/>
  <c r="A12881" i="13"/>
  <c r="J12880" i="13"/>
  <c r="F12880" i="13"/>
  <c r="A12880" i="13"/>
  <c r="F12879" i="13"/>
  <c r="A12879" i="13"/>
  <c r="F12878" i="13"/>
  <c r="A12878" i="13"/>
  <c r="F12877" i="13"/>
  <c r="A12877" i="13"/>
  <c r="F12876" i="13"/>
  <c r="A12876" i="13"/>
  <c r="J12875" i="13"/>
  <c r="F12875" i="13"/>
  <c r="A12875" i="13"/>
  <c r="F12874" i="13"/>
  <c r="A12874" i="13"/>
  <c r="F12873" i="13"/>
  <c r="A12873" i="13"/>
  <c r="F12872" i="13"/>
  <c r="A12872" i="13"/>
  <c r="F12871" i="13"/>
  <c r="A12871" i="13"/>
  <c r="F12870" i="13"/>
  <c r="A12870" i="13"/>
  <c r="F12869" i="13"/>
  <c r="A12869" i="13"/>
  <c r="F12868" i="13"/>
  <c r="A12868" i="13"/>
  <c r="J12867" i="13"/>
  <c r="F12867" i="13"/>
  <c r="A12867" i="13"/>
  <c r="J12866" i="13"/>
  <c r="F12866" i="13"/>
  <c r="A12866" i="13"/>
  <c r="J12865" i="13"/>
  <c r="F12865" i="13"/>
  <c r="A12865" i="13"/>
  <c r="J12864" i="13"/>
  <c r="F12864" i="13"/>
  <c r="A12864" i="13"/>
  <c r="F12863" i="13"/>
  <c r="A12863" i="13"/>
  <c r="J12862" i="13"/>
  <c r="F12862" i="13"/>
  <c r="A12862" i="13"/>
  <c r="J12861" i="13"/>
  <c r="F12861" i="13"/>
  <c r="A12861" i="13"/>
  <c r="F12860" i="13"/>
  <c r="A12860" i="13"/>
  <c r="J12859" i="13"/>
  <c r="F12859" i="13"/>
  <c r="A12859" i="13"/>
  <c r="J12858" i="13"/>
  <c r="F12858" i="13"/>
  <c r="A12858" i="13"/>
  <c r="J12857" i="13"/>
  <c r="F12857" i="13"/>
  <c r="A12857" i="13"/>
  <c r="F12856" i="13"/>
  <c r="A12856" i="13"/>
  <c r="F12855" i="13"/>
  <c r="A12855" i="13"/>
  <c r="J12854" i="13"/>
  <c r="F12854" i="13"/>
  <c r="A12854" i="13"/>
  <c r="J12853" i="13"/>
  <c r="F12853" i="13"/>
  <c r="A12853" i="13"/>
  <c r="F12852" i="13"/>
  <c r="A12852" i="13"/>
  <c r="J12851" i="13"/>
  <c r="F12851" i="13"/>
  <c r="A12851" i="13"/>
  <c r="F12850" i="13"/>
  <c r="A12850" i="13"/>
  <c r="J12849" i="13"/>
  <c r="F12849" i="13"/>
  <c r="A12849" i="13"/>
  <c r="F12848" i="13"/>
  <c r="A12848" i="13"/>
  <c r="J12847" i="13"/>
  <c r="F12847" i="13"/>
  <c r="A12847" i="13"/>
  <c r="J12846" i="13"/>
  <c r="F12846" i="13"/>
  <c r="A12846" i="13"/>
  <c r="J12845" i="13"/>
  <c r="F12845" i="13"/>
  <c r="A12845" i="13"/>
  <c r="J12844" i="13"/>
  <c r="F12844" i="13"/>
  <c r="A12844" i="13"/>
  <c r="F12843" i="13"/>
  <c r="A12843" i="13"/>
  <c r="F12842" i="13"/>
  <c r="A12842" i="13"/>
  <c r="F12841" i="13"/>
  <c r="A12841" i="13"/>
  <c r="F12840" i="13"/>
  <c r="A12840" i="13"/>
  <c r="J12839" i="13"/>
  <c r="F12839" i="13"/>
  <c r="A12839" i="13"/>
  <c r="J12838" i="13"/>
  <c r="F12838" i="13"/>
  <c r="A12838" i="13"/>
  <c r="J12837" i="13"/>
  <c r="F12837" i="13"/>
  <c r="A12837" i="13"/>
  <c r="J12836" i="13"/>
  <c r="F12836" i="13"/>
  <c r="A12836" i="13"/>
  <c r="J12835" i="13"/>
  <c r="F12835" i="13"/>
  <c r="A12835" i="13"/>
  <c r="J12834" i="13"/>
  <c r="F12834" i="13"/>
  <c r="A12834" i="13"/>
  <c r="F12833" i="13"/>
  <c r="A12833" i="13"/>
  <c r="F12832" i="13"/>
  <c r="A12832" i="13"/>
  <c r="J12831" i="13"/>
  <c r="F12831" i="13"/>
  <c r="A12831" i="13"/>
  <c r="J12830" i="13"/>
  <c r="F12830" i="13"/>
  <c r="A12830" i="13"/>
  <c r="F12829" i="13"/>
  <c r="A12829" i="13"/>
  <c r="J12828" i="13"/>
  <c r="F12828" i="13"/>
  <c r="A12828" i="13"/>
  <c r="J12827" i="13"/>
  <c r="F12827" i="13"/>
  <c r="A12827" i="13"/>
  <c r="J12826" i="13"/>
  <c r="F12826" i="13"/>
  <c r="A12826" i="13"/>
  <c r="J12825" i="13"/>
  <c r="F12825" i="13"/>
  <c r="A12825" i="13"/>
  <c r="F12824" i="13"/>
  <c r="A12824" i="13"/>
  <c r="J12823" i="13"/>
  <c r="F12823" i="13"/>
  <c r="A12823" i="13"/>
  <c r="J12822" i="13"/>
  <c r="F12822" i="13"/>
  <c r="A12822" i="13"/>
  <c r="F12821" i="13"/>
  <c r="A12821" i="13"/>
  <c r="J12820" i="13"/>
  <c r="F12820" i="13"/>
  <c r="A12820" i="13"/>
  <c r="J12819" i="13"/>
  <c r="F12819" i="13"/>
  <c r="A12819" i="13"/>
  <c r="F12818" i="13"/>
  <c r="A12818" i="13"/>
  <c r="J12817" i="13"/>
  <c r="F12817" i="13"/>
  <c r="J12816" i="13"/>
  <c r="F12816" i="13"/>
  <c r="J12815" i="13"/>
  <c r="F12815" i="13"/>
  <c r="F12814" i="13"/>
  <c r="A12814" i="13"/>
  <c r="F12813" i="13"/>
  <c r="A12813" i="13"/>
  <c r="F12812" i="13"/>
  <c r="A12812" i="13"/>
  <c r="F12811" i="13"/>
  <c r="A12811" i="13"/>
  <c r="F12810" i="13"/>
  <c r="J12809" i="13"/>
  <c r="F12809" i="13"/>
  <c r="A12809" i="13"/>
  <c r="F12808" i="13"/>
  <c r="A12808" i="13"/>
  <c r="J12807" i="13"/>
  <c r="F12807" i="13"/>
  <c r="A12807" i="13"/>
  <c r="J12806" i="13"/>
  <c r="F12806" i="13"/>
  <c r="A12806" i="13"/>
  <c r="F12805" i="13"/>
  <c r="A12805" i="13"/>
  <c r="J12804" i="13"/>
  <c r="F12804" i="13"/>
  <c r="A12804" i="13"/>
  <c r="F12803" i="13"/>
  <c r="A12803" i="13"/>
  <c r="J12802" i="13"/>
  <c r="F12802" i="13"/>
  <c r="A12802" i="13"/>
  <c r="F12801" i="13"/>
  <c r="A12801" i="13"/>
  <c r="F12800" i="13"/>
  <c r="A12800" i="13"/>
  <c r="J12799" i="13"/>
  <c r="F12799" i="13"/>
  <c r="A12799" i="13"/>
  <c r="J12798" i="13"/>
  <c r="F12798" i="13"/>
  <c r="A12798" i="13"/>
  <c r="J12797" i="13"/>
  <c r="F12797" i="13"/>
  <c r="A12797" i="13"/>
  <c r="F12796" i="13"/>
  <c r="A12796" i="13"/>
  <c r="J12795" i="13"/>
  <c r="F12795" i="13"/>
  <c r="A12795" i="13"/>
  <c r="J12794" i="13"/>
  <c r="F12794" i="13"/>
  <c r="A12794" i="13"/>
  <c r="F12793" i="13"/>
  <c r="A12793" i="13"/>
  <c r="J12792" i="13"/>
  <c r="F12792" i="13"/>
  <c r="A12792" i="13"/>
  <c r="J12791" i="13"/>
  <c r="F12791" i="13"/>
  <c r="A12791" i="13"/>
  <c r="J12790" i="13"/>
  <c r="F12790" i="13"/>
  <c r="A12790" i="13"/>
  <c r="J12789" i="13"/>
  <c r="F12789" i="13"/>
  <c r="A12789" i="13"/>
  <c r="J12788" i="13"/>
  <c r="F12788" i="13"/>
  <c r="A12788" i="13"/>
  <c r="F12787" i="13"/>
  <c r="A12787" i="13"/>
  <c r="J12786" i="13"/>
  <c r="F12786" i="13"/>
  <c r="A12786" i="13"/>
  <c r="J12785" i="13"/>
  <c r="F12785" i="13"/>
  <c r="A12785" i="13"/>
  <c r="J12784" i="13"/>
  <c r="F12784" i="13"/>
  <c r="A12784" i="13"/>
  <c r="J12783" i="13"/>
  <c r="F12783" i="13"/>
  <c r="A12783" i="13"/>
  <c r="F12782" i="13"/>
  <c r="A12782" i="13"/>
  <c r="F12781" i="13"/>
  <c r="A12781" i="13"/>
  <c r="J12780" i="13"/>
  <c r="F12780" i="13"/>
  <c r="A12780" i="13"/>
  <c r="J12779" i="13"/>
  <c r="F12779" i="13"/>
  <c r="A12779" i="13"/>
  <c r="J12778" i="13"/>
  <c r="F12778" i="13"/>
  <c r="A12778" i="13"/>
  <c r="F12777" i="13"/>
  <c r="A12777" i="13"/>
  <c r="J12776" i="13"/>
  <c r="F12776" i="13"/>
  <c r="A12776" i="13"/>
  <c r="J12775" i="13"/>
  <c r="F12775" i="13"/>
  <c r="A12775" i="13"/>
  <c r="J12774" i="13"/>
  <c r="F12774" i="13"/>
  <c r="A12774" i="13"/>
  <c r="F12773" i="13"/>
  <c r="A12773" i="13"/>
  <c r="F12772" i="13"/>
  <c r="A12772" i="13"/>
  <c r="J12771" i="13"/>
  <c r="F12771" i="13"/>
  <c r="A12771" i="13"/>
  <c r="J12770" i="13"/>
  <c r="F12770" i="13"/>
  <c r="A12770" i="13"/>
  <c r="J12769" i="13"/>
  <c r="F12769" i="13"/>
  <c r="A12769" i="13"/>
  <c r="F12768" i="13"/>
  <c r="A12768" i="13"/>
  <c r="F12767" i="13"/>
  <c r="A12767" i="13"/>
  <c r="J12766" i="13"/>
  <c r="F12766" i="13"/>
  <c r="A12766" i="13"/>
  <c r="J12765" i="13"/>
  <c r="F12765" i="13"/>
  <c r="A12765" i="13"/>
  <c r="J12764" i="13"/>
  <c r="F12764" i="13"/>
  <c r="A12764" i="13"/>
  <c r="J12763" i="13"/>
  <c r="F12763" i="13"/>
  <c r="A12763" i="13"/>
  <c r="F12762" i="13"/>
  <c r="A12762" i="13"/>
  <c r="J12761" i="13"/>
  <c r="F12761" i="13"/>
  <c r="A12761" i="13"/>
  <c r="J12760" i="13"/>
  <c r="F12760" i="13"/>
  <c r="A12760" i="13"/>
  <c r="F12759" i="13"/>
  <c r="A12759" i="13"/>
  <c r="J12758" i="13"/>
  <c r="F12758" i="13"/>
  <c r="A12758" i="13"/>
  <c r="F12757" i="13"/>
  <c r="A12757" i="13"/>
  <c r="J12756" i="13"/>
  <c r="F12756" i="13"/>
  <c r="A12756" i="13"/>
  <c r="J12755" i="13"/>
  <c r="F12755" i="13"/>
  <c r="A12755" i="13"/>
  <c r="J12754" i="13"/>
  <c r="F12754" i="13"/>
  <c r="A12754" i="13"/>
  <c r="J12753" i="13"/>
  <c r="F12753" i="13"/>
  <c r="A12753" i="13"/>
  <c r="F12752" i="13"/>
  <c r="A12752" i="13"/>
  <c r="F12751" i="13"/>
  <c r="A12751" i="13"/>
  <c r="J12750" i="13"/>
  <c r="F12750" i="13"/>
  <c r="J12749" i="13"/>
  <c r="F12749" i="13"/>
  <c r="F12748" i="13"/>
  <c r="A12748" i="13"/>
  <c r="F12747" i="13"/>
  <c r="A12747" i="13"/>
  <c r="F12746" i="13"/>
  <c r="A12746" i="13"/>
  <c r="F12745" i="13"/>
  <c r="J12744" i="13"/>
  <c r="F12744" i="13"/>
  <c r="A12744" i="13"/>
  <c r="J12743" i="13"/>
  <c r="F12743" i="13"/>
  <c r="A12743" i="13"/>
  <c r="F12742" i="13"/>
  <c r="A12742" i="13"/>
  <c r="J12741" i="13"/>
  <c r="F12741" i="13"/>
  <c r="A12741" i="13"/>
  <c r="J12740" i="13"/>
  <c r="F12740" i="13"/>
  <c r="A12740" i="13"/>
  <c r="F12739" i="13"/>
  <c r="A12739" i="13"/>
  <c r="F12738" i="13"/>
  <c r="A12738" i="13"/>
  <c r="J12737" i="13"/>
  <c r="F12737" i="13"/>
  <c r="A12737" i="13"/>
  <c r="J12736" i="13"/>
  <c r="F12736" i="13"/>
  <c r="A12736" i="13"/>
  <c r="F12735" i="13"/>
  <c r="A12735" i="13"/>
  <c r="J12734" i="13"/>
  <c r="F12734" i="13"/>
  <c r="A12734" i="13"/>
  <c r="J12733" i="13"/>
  <c r="F12733" i="13"/>
  <c r="A12733" i="13"/>
  <c r="F12732" i="13"/>
  <c r="A12732" i="13"/>
  <c r="J12731" i="13"/>
  <c r="F12731" i="13"/>
  <c r="A12731" i="13"/>
  <c r="J12730" i="13"/>
  <c r="F12730" i="13"/>
  <c r="A12730" i="13"/>
  <c r="F12729" i="13"/>
  <c r="A12729" i="13"/>
  <c r="J12728" i="13"/>
  <c r="F12728" i="13"/>
  <c r="A12728" i="13"/>
  <c r="J12727" i="13"/>
  <c r="F12727" i="13"/>
  <c r="A12727" i="13"/>
  <c r="J12726" i="13"/>
  <c r="F12726" i="13"/>
  <c r="A12726" i="13"/>
  <c r="F12725" i="13"/>
  <c r="A12725" i="13"/>
  <c r="J12724" i="13"/>
  <c r="F12724" i="13"/>
  <c r="J12723" i="13"/>
  <c r="F12723" i="13"/>
  <c r="F12722" i="13"/>
  <c r="A12722" i="13"/>
  <c r="F12721" i="13"/>
  <c r="A12721" i="13"/>
  <c r="F12720" i="13"/>
  <c r="A12720" i="13"/>
  <c r="F12719" i="13"/>
  <c r="A12719" i="13"/>
  <c r="F12718" i="13"/>
  <c r="J12717" i="13"/>
  <c r="F12717" i="13"/>
  <c r="A12717" i="13"/>
  <c r="J12716" i="13"/>
  <c r="F12716" i="13"/>
  <c r="A12716" i="13"/>
  <c r="J12715" i="13"/>
  <c r="F12715" i="13"/>
  <c r="J12714" i="13"/>
  <c r="F12714" i="13"/>
  <c r="F12713" i="13"/>
  <c r="A12713" i="13"/>
  <c r="F12712" i="13"/>
  <c r="A12712" i="13"/>
  <c r="F12711" i="13"/>
  <c r="A12711" i="13"/>
  <c r="F12710" i="13"/>
  <c r="A12710" i="13"/>
  <c r="F12709" i="13"/>
  <c r="J12708" i="13"/>
  <c r="F12708" i="13"/>
  <c r="A12708" i="13"/>
  <c r="F12707" i="13"/>
  <c r="A12707" i="13"/>
  <c r="F12706" i="13"/>
  <c r="A12706" i="13"/>
  <c r="J12705" i="13"/>
  <c r="F12705" i="13"/>
  <c r="A12705" i="13"/>
  <c r="J12704" i="13"/>
  <c r="F12704" i="13"/>
  <c r="A12704" i="13"/>
  <c r="J12703" i="13"/>
  <c r="F12703" i="13"/>
  <c r="A12703" i="13"/>
  <c r="F12702" i="13"/>
  <c r="A12702" i="13"/>
  <c r="J12701" i="13"/>
  <c r="F12701" i="13"/>
  <c r="A12701" i="13"/>
  <c r="F12700" i="13"/>
  <c r="A12700" i="13"/>
  <c r="J12699" i="13"/>
  <c r="F12699" i="13"/>
  <c r="A12699" i="13"/>
  <c r="J12698" i="13"/>
  <c r="F12698" i="13"/>
  <c r="J12697" i="13"/>
  <c r="F12697" i="13"/>
  <c r="F12696" i="13"/>
  <c r="A12696" i="13"/>
  <c r="F12695" i="13"/>
  <c r="A12695" i="13"/>
  <c r="F12694" i="13"/>
  <c r="A12694" i="13"/>
  <c r="F12693" i="13"/>
  <c r="A12693" i="13"/>
  <c r="F12692" i="13"/>
  <c r="A12692" i="13"/>
  <c r="F12691" i="13"/>
  <c r="A12691" i="13"/>
  <c r="F12690" i="13"/>
  <c r="A12690" i="13"/>
  <c r="F12689" i="13"/>
  <c r="A12689" i="13"/>
  <c r="F12688" i="13"/>
  <c r="A12688" i="13"/>
  <c r="F12687" i="13"/>
  <c r="A12687" i="13"/>
  <c r="F12686" i="13"/>
  <c r="A12686" i="13"/>
  <c r="F12685" i="13"/>
  <c r="A12685" i="13"/>
  <c r="F12684" i="13"/>
  <c r="A12684" i="13"/>
  <c r="F12683" i="13"/>
  <c r="A12683" i="13"/>
  <c r="F12682" i="13"/>
  <c r="A12682" i="13"/>
  <c r="F12681" i="13"/>
  <c r="A12681" i="13"/>
  <c r="F12680" i="13"/>
  <c r="A12680" i="13"/>
  <c r="F12679" i="13"/>
  <c r="A12679" i="13"/>
  <c r="F12678" i="13"/>
  <c r="J12677" i="13"/>
  <c r="F12677" i="13"/>
  <c r="A12677" i="13"/>
  <c r="J12676" i="13"/>
  <c r="F12676" i="13"/>
  <c r="A12676" i="13"/>
  <c r="F12675" i="13"/>
  <c r="A12675" i="13"/>
  <c r="F12674" i="13"/>
  <c r="A12674" i="13"/>
  <c r="J12673" i="13"/>
  <c r="F12673" i="13"/>
  <c r="A12673" i="13"/>
  <c r="J12672" i="13"/>
  <c r="F12672" i="13"/>
  <c r="J12671" i="13"/>
  <c r="F12671" i="13"/>
  <c r="F12670" i="13"/>
  <c r="A12670" i="13"/>
  <c r="F12669" i="13"/>
  <c r="A12669" i="13"/>
  <c r="F12668" i="13"/>
  <c r="A12668" i="13"/>
  <c r="F12667" i="13"/>
  <c r="J12666" i="13"/>
  <c r="F12666" i="13"/>
  <c r="J12665" i="13"/>
  <c r="F12665" i="13"/>
  <c r="F12664" i="13"/>
  <c r="A12664" i="13"/>
  <c r="F12663" i="13"/>
  <c r="A12663" i="13"/>
  <c r="F12662" i="13"/>
  <c r="A12662" i="13"/>
  <c r="F12661" i="13"/>
  <c r="J12660" i="13"/>
  <c r="F12660" i="13"/>
  <c r="J12659" i="13"/>
  <c r="F12659" i="13"/>
  <c r="F12658" i="13"/>
  <c r="A12658" i="13"/>
  <c r="F12657" i="13"/>
  <c r="A12657" i="13"/>
  <c r="F12656" i="13"/>
  <c r="A12656" i="13"/>
  <c r="F12655" i="13"/>
  <c r="A12655" i="13"/>
  <c r="F12654" i="13"/>
  <c r="J12653" i="13"/>
  <c r="F12653" i="13"/>
  <c r="A12653" i="13"/>
  <c r="J12652" i="13"/>
  <c r="F12652" i="13"/>
  <c r="A12652" i="13"/>
  <c r="J12651" i="13"/>
  <c r="F12651" i="13"/>
  <c r="A12651" i="13"/>
  <c r="F12650" i="13"/>
  <c r="A12650" i="13"/>
  <c r="J12649" i="13"/>
  <c r="F12649" i="13"/>
  <c r="A12649" i="13"/>
  <c r="J12648" i="13"/>
  <c r="F12648" i="13"/>
  <c r="A12648" i="13"/>
  <c r="J12647" i="13"/>
  <c r="F12647" i="13"/>
  <c r="A12647" i="13"/>
  <c r="J12646" i="13"/>
  <c r="F12646" i="13"/>
  <c r="A12646" i="13"/>
  <c r="J12645" i="13"/>
  <c r="F12645" i="13"/>
  <c r="A12645" i="13"/>
  <c r="J12644" i="13"/>
  <c r="F12644" i="13"/>
  <c r="A12644" i="13"/>
  <c r="J12643" i="13"/>
  <c r="F12643" i="13"/>
  <c r="A12643" i="13"/>
  <c r="J12642" i="13"/>
  <c r="F12642" i="13"/>
  <c r="A12642" i="13"/>
  <c r="F12641" i="13"/>
  <c r="A12641" i="13"/>
  <c r="F12640" i="13"/>
  <c r="A12640" i="13"/>
  <c r="J12639" i="13"/>
  <c r="F12639" i="13"/>
  <c r="A12639" i="13"/>
  <c r="J12638" i="13"/>
  <c r="F12638" i="13"/>
  <c r="A12638" i="13"/>
  <c r="J12637" i="13"/>
  <c r="F12637" i="13"/>
  <c r="A12637" i="13"/>
  <c r="J12636" i="13"/>
  <c r="F12636" i="13"/>
  <c r="A12636" i="13"/>
  <c r="J12635" i="13"/>
  <c r="F12635" i="13"/>
  <c r="A12635" i="13"/>
  <c r="F12634" i="13"/>
  <c r="A12634" i="13"/>
  <c r="J12633" i="13"/>
  <c r="F12633" i="13"/>
  <c r="A12633" i="13"/>
  <c r="J12632" i="13"/>
  <c r="F12632" i="13"/>
  <c r="A12632" i="13"/>
  <c r="J12631" i="13"/>
  <c r="F12631" i="13"/>
  <c r="A12631" i="13"/>
  <c r="J12630" i="13"/>
  <c r="F12630" i="13"/>
  <c r="A12630" i="13"/>
  <c r="J12629" i="13"/>
  <c r="F12629" i="13"/>
  <c r="A12629" i="13"/>
  <c r="J12628" i="13"/>
  <c r="F12628" i="13"/>
  <c r="J12627" i="13"/>
  <c r="F12627" i="13"/>
  <c r="A12627" i="13"/>
  <c r="J12626" i="13"/>
  <c r="F12626" i="13"/>
  <c r="A12626" i="13"/>
  <c r="J12625" i="13"/>
  <c r="F12625" i="13"/>
  <c r="A12625" i="13"/>
  <c r="J12624" i="13"/>
  <c r="F12624" i="13"/>
  <c r="A12624" i="13"/>
  <c r="J12623" i="13"/>
  <c r="F12623" i="13"/>
  <c r="A12623" i="13"/>
  <c r="J12622" i="13"/>
  <c r="F12622" i="13"/>
  <c r="A12622" i="13"/>
  <c r="J12621" i="13"/>
  <c r="F12621" i="13"/>
  <c r="A12621" i="13"/>
  <c r="J12620" i="13"/>
  <c r="F12620" i="13"/>
  <c r="A12620" i="13"/>
  <c r="J12619" i="13"/>
  <c r="F12619" i="13"/>
  <c r="J12618" i="13"/>
  <c r="F12618" i="13"/>
  <c r="A12618" i="13"/>
  <c r="J12617" i="13"/>
  <c r="F12617" i="13"/>
  <c r="J12616" i="13"/>
  <c r="F12616" i="13"/>
  <c r="F12615" i="13"/>
  <c r="A12615" i="13"/>
  <c r="F12614" i="13"/>
  <c r="A12614" i="13"/>
  <c r="F12613" i="13"/>
  <c r="A12613" i="13"/>
  <c r="F12612" i="13"/>
  <c r="A12612" i="13"/>
  <c r="F12611" i="13"/>
  <c r="J12610" i="13"/>
  <c r="F12610" i="13"/>
  <c r="A12610" i="13"/>
  <c r="J12609" i="13"/>
  <c r="F12609" i="13"/>
  <c r="A12609" i="13"/>
  <c r="J12608" i="13"/>
  <c r="F12608" i="13"/>
  <c r="A12608" i="13"/>
  <c r="J12607" i="13"/>
  <c r="F12607" i="13"/>
  <c r="A12607" i="13"/>
  <c r="J12606" i="13"/>
  <c r="F12606" i="13"/>
  <c r="A12606" i="13"/>
  <c r="J12605" i="13"/>
  <c r="F12605" i="13"/>
  <c r="J12604" i="13"/>
  <c r="F12604" i="13"/>
  <c r="A12604" i="13"/>
  <c r="J12603" i="13"/>
  <c r="F12603" i="13"/>
  <c r="A12603" i="13"/>
  <c r="J12602" i="13"/>
  <c r="F12602" i="13"/>
  <c r="J12601" i="13"/>
  <c r="F12601" i="13"/>
  <c r="F12600" i="13"/>
  <c r="A12600" i="13"/>
  <c r="F12599" i="13"/>
  <c r="A12599" i="13"/>
  <c r="F12598" i="13"/>
  <c r="A12598" i="13"/>
  <c r="F12597" i="13"/>
  <c r="A12597" i="13"/>
  <c r="F12596" i="13"/>
  <c r="J12595" i="13"/>
  <c r="F12595" i="13"/>
  <c r="A12595" i="13"/>
  <c r="J12594" i="13"/>
  <c r="F12594" i="13"/>
  <c r="A12594" i="13"/>
  <c r="F12593" i="13"/>
  <c r="A12593" i="13"/>
  <c r="J12592" i="13"/>
  <c r="F12592" i="13"/>
  <c r="A12592" i="13"/>
  <c r="J12591" i="13"/>
  <c r="F12591" i="13"/>
  <c r="A12591" i="13"/>
  <c r="J12590" i="13"/>
  <c r="F12590" i="13"/>
  <c r="A12590" i="13"/>
  <c r="J12589" i="13"/>
  <c r="F12589" i="13"/>
  <c r="A12589" i="13"/>
  <c r="J12588" i="13"/>
  <c r="F12588" i="13"/>
  <c r="A12588" i="13"/>
  <c r="F12587" i="13"/>
  <c r="A12587" i="13"/>
  <c r="J12586" i="13"/>
  <c r="F12586" i="13"/>
  <c r="A12586" i="13"/>
  <c r="J12585" i="13"/>
  <c r="F12585" i="13"/>
  <c r="A12585" i="13"/>
  <c r="J12584" i="13"/>
  <c r="F12584" i="13"/>
  <c r="A12584" i="13"/>
  <c r="J12583" i="13"/>
  <c r="F12583" i="13"/>
  <c r="A12583" i="13"/>
  <c r="J12582" i="13"/>
  <c r="F12582" i="13"/>
  <c r="J12581" i="13"/>
  <c r="F12581" i="13"/>
  <c r="A12581" i="13"/>
  <c r="J12580" i="13"/>
  <c r="F12580" i="13"/>
  <c r="A12580" i="13"/>
  <c r="J12579" i="13"/>
  <c r="F12579" i="13"/>
  <c r="A12579" i="13"/>
  <c r="F12578" i="13"/>
  <c r="A12578" i="13"/>
  <c r="J12577" i="13"/>
  <c r="F12577" i="13"/>
  <c r="J12576" i="13"/>
  <c r="F12576" i="13"/>
  <c r="F12575" i="13"/>
  <c r="A12575" i="13"/>
  <c r="F12574" i="13"/>
  <c r="A12574" i="13"/>
  <c r="F12573" i="13"/>
  <c r="J12572" i="13"/>
  <c r="F12572" i="13"/>
  <c r="A12572" i="13"/>
  <c r="J12571" i="13"/>
  <c r="F12571" i="13"/>
  <c r="J12570" i="13"/>
  <c r="F12570" i="13"/>
  <c r="F12569" i="13"/>
  <c r="A12569" i="13"/>
  <c r="F12568" i="13"/>
  <c r="A12568" i="13"/>
  <c r="F12567" i="13"/>
  <c r="A12567" i="13"/>
  <c r="F12566" i="13"/>
  <c r="A12566" i="13"/>
  <c r="F12565" i="13"/>
  <c r="A12565" i="13"/>
  <c r="F12564" i="13"/>
  <c r="A12564" i="13"/>
  <c r="F12563" i="13"/>
  <c r="J12562" i="13"/>
  <c r="F12562" i="13"/>
  <c r="A12562" i="13"/>
  <c r="F12561" i="13"/>
  <c r="A12561" i="13"/>
  <c r="J12560" i="13"/>
  <c r="F12560" i="13"/>
  <c r="A12560" i="13"/>
  <c r="J12559" i="13"/>
  <c r="F12559" i="13"/>
  <c r="A12559" i="13"/>
  <c r="J12558" i="13"/>
  <c r="F12558" i="13"/>
  <c r="A12558" i="13"/>
  <c r="J12557" i="13"/>
  <c r="F12557" i="13"/>
  <c r="A12557" i="13"/>
  <c r="F12556" i="13"/>
  <c r="A12556" i="13"/>
  <c r="F12555" i="13"/>
  <c r="A12555" i="13"/>
  <c r="J12554" i="13"/>
  <c r="F12554" i="13"/>
  <c r="J12553" i="13"/>
  <c r="F12553" i="13"/>
  <c r="F12552" i="13"/>
  <c r="A12552" i="13"/>
  <c r="F12551" i="13"/>
  <c r="A12551" i="13"/>
  <c r="F12550" i="13"/>
  <c r="A12550" i="13"/>
  <c r="F12549" i="13"/>
  <c r="J12548" i="13"/>
  <c r="F12548" i="13"/>
  <c r="A12548" i="13"/>
  <c r="J12547" i="13"/>
  <c r="F12547" i="13"/>
  <c r="A12547" i="13"/>
  <c r="J12546" i="13"/>
  <c r="F12546" i="13"/>
  <c r="A12546" i="13"/>
  <c r="F12545" i="13"/>
  <c r="A12545" i="13"/>
  <c r="J12544" i="13"/>
  <c r="F12544" i="13"/>
  <c r="A12544" i="13"/>
  <c r="J12543" i="13"/>
  <c r="F12543" i="13"/>
  <c r="A12543" i="13"/>
  <c r="J12542" i="13"/>
  <c r="F12542" i="13"/>
  <c r="A12542" i="13"/>
  <c r="J12541" i="13"/>
  <c r="F12541" i="13"/>
  <c r="A12541" i="13"/>
  <c r="F12540" i="13"/>
  <c r="A12540" i="13"/>
  <c r="J12539" i="13"/>
  <c r="F12539" i="13"/>
  <c r="A12539" i="13"/>
  <c r="J12538" i="13"/>
  <c r="F12538" i="13"/>
  <c r="A12538" i="13"/>
  <c r="J12537" i="13"/>
  <c r="F12537" i="13"/>
  <c r="J12536" i="13"/>
  <c r="F12536" i="13"/>
  <c r="J12535" i="13"/>
  <c r="F12535" i="13"/>
  <c r="J12534" i="13"/>
  <c r="F12534" i="13"/>
  <c r="F12533" i="13"/>
  <c r="A12533" i="13"/>
  <c r="F12532" i="13"/>
  <c r="A12532" i="13"/>
  <c r="F12531" i="13"/>
  <c r="A12531" i="13"/>
  <c r="F12530" i="13"/>
  <c r="A12530" i="13"/>
  <c r="F12529" i="13"/>
  <c r="A12529" i="13"/>
  <c r="F12528" i="13"/>
  <c r="A12528" i="13"/>
  <c r="F12527" i="13"/>
  <c r="A12527" i="13"/>
  <c r="F12526" i="13"/>
  <c r="A12526" i="13"/>
  <c r="F12525" i="13"/>
  <c r="A12525" i="13"/>
  <c r="F12524" i="13"/>
  <c r="F12523" i="13"/>
  <c r="A12523" i="13"/>
  <c r="J12522" i="13"/>
  <c r="F12522" i="13"/>
  <c r="A12522" i="13"/>
  <c r="J12521" i="13"/>
  <c r="F12521" i="13"/>
  <c r="A12521" i="13"/>
  <c r="J12520" i="13"/>
  <c r="F12520" i="13"/>
  <c r="A12520" i="13"/>
  <c r="J12519" i="13"/>
  <c r="F12519" i="13"/>
  <c r="A12519" i="13"/>
  <c r="J12518" i="13"/>
  <c r="F12518" i="13"/>
  <c r="A12518" i="13"/>
  <c r="J12517" i="13"/>
  <c r="F12517" i="13"/>
  <c r="F12516" i="13"/>
  <c r="A12516" i="13"/>
  <c r="J12515" i="13"/>
  <c r="F12515" i="13"/>
  <c r="J12514" i="13"/>
  <c r="F12514" i="13"/>
  <c r="F12513" i="13"/>
  <c r="A12513" i="13"/>
  <c r="F12512" i="13"/>
  <c r="A12512" i="13"/>
  <c r="F12511" i="13"/>
  <c r="A12511" i="13"/>
  <c r="F12510" i="13"/>
  <c r="A12510" i="13"/>
  <c r="F12509" i="13"/>
  <c r="J12508" i="13"/>
  <c r="F12508" i="13"/>
  <c r="A12508" i="13"/>
  <c r="J12507" i="13"/>
  <c r="F12507" i="13"/>
  <c r="A12507" i="13"/>
  <c r="J12506" i="13"/>
  <c r="F12506" i="13"/>
  <c r="A12506" i="13"/>
  <c r="J12505" i="13"/>
  <c r="F12505" i="13"/>
  <c r="A12505" i="13"/>
  <c r="J12504" i="13"/>
  <c r="F12504" i="13"/>
  <c r="A12504" i="13"/>
  <c r="J12503" i="13"/>
  <c r="F12503" i="13"/>
  <c r="F12502" i="13"/>
  <c r="A12502" i="13"/>
  <c r="J12501" i="13"/>
  <c r="F12501" i="13"/>
  <c r="A12501" i="13"/>
  <c r="J12500" i="13"/>
  <c r="F12500" i="13"/>
  <c r="A12500" i="13"/>
  <c r="F12499" i="13"/>
  <c r="A12499" i="13"/>
  <c r="F12498" i="13"/>
  <c r="A12498" i="13"/>
  <c r="F12497" i="13"/>
  <c r="A12497" i="13"/>
  <c r="F12496" i="13"/>
  <c r="A12496" i="13"/>
  <c r="J12495" i="13"/>
  <c r="F12495" i="13"/>
  <c r="A12495" i="13"/>
  <c r="J12494" i="13"/>
  <c r="F12494" i="13"/>
  <c r="A12494" i="13"/>
  <c r="J12493" i="13"/>
  <c r="F12493" i="13"/>
  <c r="A12493" i="13"/>
  <c r="J12492" i="13"/>
  <c r="F12492" i="13"/>
  <c r="A12492" i="13"/>
  <c r="J12491" i="13"/>
  <c r="F12491" i="13"/>
  <c r="A12491" i="13"/>
  <c r="J12490" i="13"/>
  <c r="F12490" i="13"/>
  <c r="A12490" i="13"/>
  <c r="J12489" i="13"/>
  <c r="F12489" i="13"/>
  <c r="F12488" i="13"/>
  <c r="A12488" i="13"/>
  <c r="J12487" i="13"/>
  <c r="F12487" i="13"/>
  <c r="A12487" i="13"/>
  <c r="J12486" i="13"/>
  <c r="F12486" i="13"/>
  <c r="A12486" i="13"/>
  <c r="J12485" i="13"/>
  <c r="F12485" i="13"/>
  <c r="A12485" i="13"/>
  <c r="J12484" i="13"/>
  <c r="F12484" i="13"/>
  <c r="J12483" i="13"/>
  <c r="F12483" i="13"/>
  <c r="A12483" i="13"/>
  <c r="J12482" i="13"/>
  <c r="F12482" i="13"/>
  <c r="A12482" i="13"/>
  <c r="F12481" i="13"/>
  <c r="A12481" i="13"/>
  <c r="J12480" i="13"/>
  <c r="F12480" i="13"/>
  <c r="A12480" i="13"/>
  <c r="J12479" i="13"/>
  <c r="F12479" i="13"/>
  <c r="A12479" i="13"/>
  <c r="J12478" i="13"/>
  <c r="F12478" i="13"/>
  <c r="A12478" i="13"/>
  <c r="J12477" i="13"/>
  <c r="F12477" i="13"/>
  <c r="A12477" i="13"/>
  <c r="J12476" i="13"/>
  <c r="F12476" i="13"/>
  <c r="J12475" i="13"/>
  <c r="F12475" i="13"/>
  <c r="A12475" i="13"/>
  <c r="F12474" i="13"/>
  <c r="A12474" i="13"/>
  <c r="J12473" i="13"/>
  <c r="F12473" i="13"/>
  <c r="A12473" i="13"/>
  <c r="J12472" i="13"/>
  <c r="F12472" i="13"/>
  <c r="A12472" i="13"/>
  <c r="J12471" i="13"/>
  <c r="F12471" i="13"/>
  <c r="A12471" i="13"/>
  <c r="J12470" i="13"/>
  <c r="F12470" i="13"/>
  <c r="A12470" i="13"/>
  <c r="J12469" i="13"/>
  <c r="F12469" i="13"/>
  <c r="F12468" i="13"/>
  <c r="A12468" i="13"/>
  <c r="J12467" i="13"/>
  <c r="F12467" i="13"/>
  <c r="A12467" i="13"/>
  <c r="J12466" i="13"/>
  <c r="F12466" i="13"/>
  <c r="A12466" i="13"/>
  <c r="J12465" i="13"/>
  <c r="F12465" i="13"/>
  <c r="A12465" i="13"/>
  <c r="J12464" i="13"/>
  <c r="F12464" i="13"/>
  <c r="A12464" i="13"/>
  <c r="J12463" i="13"/>
  <c r="F12463" i="13"/>
  <c r="A12463" i="13"/>
  <c r="J12462" i="13"/>
  <c r="F12462" i="13"/>
  <c r="A12462" i="13"/>
  <c r="J12461" i="13"/>
  <c r="F12461" i="13"/>
  <c r="A12461" i="13"/>
  <c r="J12460" i="13"/>
  <c r="F12460" i="13"/>
  <c r="A12460" i="13"/>
  <c r="J12459" i="13"/>
  <c r="F12459" i="13"/>
  <c r="A12459" i="13"/>
  <c r="J12458" i="13"/>
  <c r="F12458" i="13"/>
  <c r="A12458" i="13"/>
  <c r="J12457" i="13"/>
  <c r="F12457" i="13"/>
  <c r="A12457" i="13"/>
  <c r="J12456" i="13"/>
  <c r="F12456" i="13"/>
  <c r="A12456" i="13"/>
  <c r="J12455" i="13"/>
  <c r="F12455" i="13"/>
  <c r="A12455" i="13"/>
  <c r="J12454" i="13"/>
  <c r="F12454" i="13"/>
  <c r="A12454" i="13"/>
  <c r="J12453" i="13"/>
  <c r="F12453" i="13"/>
  <c r="A12453" i="13"/>
  <c r="J12452" i="13"/>
  <c r="F12452" i="13"/>
  <c r="A12452" i="13"/>
  <c r="J12451" i="13"/>
  <c r="F12451" i="13"/>
  <c r="A12451" i="13"/>
  <c r="J12450" i="13"/>
  <c r="F12450" i="13"/>
  <c r="A12450" i="13"/>
  <c r="J12449" i="13"/>
  <c r="F12449" i="13"/>
  <c r="A12449" i="13"/>
  <c r="J12448" i="13"/>
  <c r="F12448" i="13"/>
  <c r="A12448" i="13"/>
  <c r="J12447" i="13"/>
  <c r="F12447" i="13"/>
  <c r="A12447" i="13"/>
  <c r="J12446" i="13"/>
  <c r="F12446" i="13"/>
  <c r="A12446" i="13"/>
  <c r="J12445" i="13"/>
  <c r="F12445" i="13"/>
  <c r="A12445" i="13"/>
  <c r="J12444" i="13"/>
  <c r="F12444" i="13"/>
  <c r="A12444" i="13"/>
  <c r="J12443" i="13"/>
  <c r="F12443" i="13"/>
  <c r="A12443" i="13"/>
  <c r="J12442" i="13"/>
  <c r="F12442" i="13"/>
  <c r="A12442" i="13"/>
  <c r="J12441" i="13"/>
  <c r="F12441" i="13"/>
  <c r="A12441" i="13"/>
  <c r="J12440" i="13"/>
  <c r="F12440" i="13"/>
  <c r="A12440" i="13"/>
  <c r="J12439" i="13"/>
  <c r="F12439" i="13"/>
  <c r="J12438" i="13"/>
  <c r="F12438" i="13"/>
  <c r="A12438" i="13"/>
  <c r="J12437" i="13"/>
  <c r="F12437" i="13"/>
  <c r="A12437" i="13"/>
  <c r="J12436" i="13"/>
  <c r="F12436" i="13"/>
  <c r="A12436" i="13"/>
  <c r="F12435" i="13"/>
  <c r="A12435" i="13"/>
  <c r="J12434" i="13"/>
  <c r="F12434" i="13"/>
  <c r="A12434" i="13"/>
  <c r="J12433" i="13"/>
  <c r="F12433" i="13"/>
  <c r="A12433" i="13"/>
  <c r="J12432" i="13"/>
  <c r="F12432" i="13"/>
  <c r="A12432" i="13"/>
  <c r="J12431" i="13"/>
  <c r="F12431" i="13"/>
  <c r="A12431" i="13"/>
  <c r="J12430" i="13"/>
  <c r="F12430" i="13"/>
  <c r="A12430" i="13"/>
  <c r="F12429" i="13"/>
  <c r="A12429" i="13"/>
  <c r="J12428" i="13"/>
  <c r="F12428" i="13"/>
  <c r="A12428" i="13"/>
  <c r="J12427" i="13"/>
  <c r="F12427" i="13"/>
  <c r="A12427" i="13"/>
  <c r="J12426" i="13"/>
  <c r="F12426" i="13"/>
  <c r="A12426" i="13"/>
  <c r="J12425" i="13"/>
  <c r="F12425" i="13"/>
  <c r="A12425" i="13"/>
  <c r="J12424" i="13"/>
  <c r="F12424" i="13"/>
  <c r="J12423" i="13"/>
  <c r="F12423" i="13"/>
  <c r="J12422" i="13"/>
  <c r="F12422" i="13"/>
  <c r="F12421" i="13"/>
  <c r="A12421" i="13"/>
  <c r="F12420" i="13"/>
  <c r="A12420" i="13"/>
  <c r="F12419" i="13"/>
  <c r="A12419" i="13"/>
  <c r="F12418" i="13"/>
  <c r="A12418" i="13"/>
  <c r="F12417" i="13"/>
  <c r="A12417" i="13"/>
  <c r="F12416" i="13"/>
  <c r="F12415" i="13"/>
  <c r="A12415" i="13"/>
  <c r="F12414" i="13"/>
  <c r="A12414" i="13"/>
  <c r="J12413" i="13"/>
  <c r="F12413" i="13"/>
  <c r="A12413" i="13"/>
  <c r="J12412" i="13"/>
  <c r="F12412" i="13"/>
  <c r="A12412" i="13"/>
  <c r="J12411" i="13"/>
  <c r="F12411" i="13"/>
  <c r="A12411" i="13"/>
  <c r="F12410" i="13"/>
  <c r="A12410" i="13"/>
  <c r="F12409" i="13"/>
  <c r="A12409" i="13"/>
  <c r="F12408" i="13"/>
  <c r="A12408" i="13"/>
  <c r="J12407" i="13"/>
  <c r="F12407" i="13"/>
  <c r="A12407" i="13"/>
  <c r="J12406" i="13"/>
  <c r="F12406" i="13"/>
  <c r="A12406" i="13"/>
  <c r="F12405" i="13"/>
  <c r="A12405" i="13"/>
  <c r="F12404" i="13"/>
  <c r="A12404" i="13"/>
  <c r="F12403" i="13"/>
  <c r="A12403" i="13"/>
  <c r="F12402" i="13"/>
  <c r="A12402" i="13"/>
  <c r="F12401" i="13"/>
  <c r="A12401" i="13"/>
  <c r="F12400" i="13"/>
  <c r="A12400" i="13"/>
  <c r="J12399" i="13"/>
  <c r="F12399" i="13"/>
  <c r="A12399" i="13"/>
  <c r="J12398" i="13"/>
  <c r="F12398" i="13"/>
  <c r="A12398" i="13"/>
  <c r="F12397" i="13"/>
  <c r="A12397" i="13"/>
  <c r="F12396" i="13"/>
  <c r="A12396" i="13"/>
  <c r="F12395" i="13"/>
  <c r="A12395" i="13"/>
  <c r="J12394" i="13"/>
  <c r="F12394" i="13"/>
  <c r="A12394" i="13"/>
  <c r="J12393" i="13"/>
  <c r="F12393" i="13"/>
  <c r="A12393" i="13"/>
  <c r="J12392" i="13"/>
  <c r="F12392" i="13"/>
  <c r="J12391" i="13"/>
  <c r="F12391" i="13"/>
  <c r="J12390" i="13"/>
  <c r="F12390" i="13"/>
  <c r="J12389" i="13"/>
  <c r="F12389" i="13"/>
  <c r="F12388" i="13"/>
  <c r="A12388" i="13"/>
  <c r="F12387" i="13"/>
  <c r="A12387" i="13"/>
  <c r="F12386" i="13"/>
  <c r="A12386" i="13"/>
  <c r="F12385" i="13"/>
  <c r="A12385" i="13"/>
  <c r="F12384" i="13"/>
  <c r="A12384" i="13"/>
  <c r="F12383" i="13"/>
  <c r="A12383" i="13"/>
  <c r="F12382" i="13"/>
  <c r="A12382" i="13"/>
  <c r="F12381" i="13"/>
  <c r="A12381" i="13"/>
  <c r="F12380" i="13"/>
  <c r="J12379" i="13"/>
  <c r="F12379" i="13"/>
  <c r="A12379" i="13"/>
  <c r="J12378" i="13"/>
  <c r="F12378" i="13"/>
  <c r="A12378" i="13"/>
  <c r="J12377" i="13"/>
  <c r="F12377" i="13"/>
  <c r="A12377" i="13"/>
  <c r="J12376" i="13"/>
  <c r="F12376" i="13"/>
  <c r="A12376" i="13"/>
  <c r="J12375" i="13"/>
  <c r="F12375" i="13"/>
  <c r="A12375" i="13"/>
  <c r="J12374" i="13"/>
  <c r="F12374" i="13"/>
  <c r="A12374" i="13"/>
  <c r="F12373" i="13"/>
  <c r="A12373" i="13"/>
  <c r="J12372" i="13"/>
  <c r="F12372" i="13"/>
  <c r="A12372" i="13"/>
  <c r="J12371" i="13"/>
  <c r="F12371" i="13"/>
  <c r="J12370" i="13"/>
  <c r="F12370" i="13"/>
  <c r="F12369" i="13"/>
  <c r="A12369" i="13"/>
  <c r="F12368" i="13"/>
  <c r="A12368" i="13"/>
  <c r="F12367" i="13"/>
  <c r="A12367" i="13"/>
  <c r="F12366" i="13"/>
  <c r="A12366" i="13"/>
  <c r="F12365" i="13"/>
  <c r="A12365" i="13"/>
  <c r="F12364" i="13"/>
  <c r="J12363" i="13"/>
  <c r="F12363" i="13"/>
  <c r="A12363" i="13"/>
  <c r="J12362" i="13"/>
  <c r="F12362" i="13"/>
  <c r="A12362" i="13"/>
  <c r="J12361" i="13"/>
  <c r="F12361" i="13"/>
  <c r="A12361" i="13"/>
  <c r="J12360" i="13"/>
  <c r="F12360" i="13"/>
  <c r="A12360" i="13"/>
  <c r="J12359" i="13"/>
  <c r="F12359" i="13"/>
  <c r="A12359" i="13"/>
  <c r="J12358" i="13"/>
  <c r="F12358" i="13"/>
  <c r="A12358" i="13"/>
  <c r="J12357" i="13"/>
  <c r="F12357" i="13"/>
  <c r="J12356" i="13"/>
  <c r="F12356" i="13"/>
  <c r="A12356" i="13"/>
  <c r="J12355" i="13"/>
  <c r="F12355" i="13"/>
  <c r="A12355" i="13"/>
  <c r="F12354" i="13"/>
  <c r="A12354" i="13"/>
  <c r="J12353" i="13"/>
  <c r="F12353" i="13"/>
  <c r="A12353" i="13"/>
  <c r="J12352" i="13"/>
  <c r="F12352" i="13"/>
  <c r="A12352" i="13"/>
  <c r="J12351" i="13"/>
  <c r="F12351" i="13"/>
  <c r="A12351" i="13"/>
  <c r="J12350" i="13"/>
  <c r="F12350" i="13"/>
  <c r="A12350" i="13"/>
  <c r="J12349" i="13"/>
  <c r="F12349" i="13"/>
  <c r="A12349" i="13"/>
  <c r="J12348" i="13"/>
  <c r="F12348" i="13"/>
  <c r="F12347" i="13"/>
  <c r="A12347" i="13"/>
  <c r="J12346" i="13"/>
  <c r="F12346" i="13"/>
  <c r="A12346" i="13"/>
  <c r="J12345" i="13"/>
  <c r="F12345" i="13"/>
  <c r="A12345" i="13"/>
  <c r="J12344" i="13"/>
  <c r="F12344" i="13"/>
  <c r="A12344" i="13"/>
  <c r="J12343" i="13"/>
  <c r="F12343" i="13"/>
  <c r="A12343" i="13"/>
  <c r="J12342" i="13"/>
  <c r="F12342" i="13"/>
  <c r="A12342" i="13"/>
  <c r="J12341" i="13"/>
  <c r="F12341" i="13"/>
  <c r="A12341" i="13"/>
  <c r="J12340" i="13"/>
  <c r="F12340" i="13"/>
  <c r="J12339" i="13"/>
  <c r="F12339" i="13"/>
  <c r="A12339" i="13"/>
  <c r="F12338" i="13"/>
  <c r="A12338" i="13"/>
  <c r="J12337" i="13"/>
  <c r="F12337" i="13"/>
  <c r="A12337" i="13"/>
  <c r="J12336" i="13"/>
  <c r="F12336" i="13"/>
  <c r="A12336" i="13"/>
  <c r="J12335" i="13"/>
  <c r="F12335" i="13"/>
  <c r="A12335" i="13"/>
  <c r="J12334" i="13"/>
  <c r="F12334" i="13"/>
  <c r="A12334" i="13"/>
  <c r="J12333" i="13"/>
  <c r="F12333" i="13"/>
  <c r="F12332" i="13"/>
  <c r="A12332" i="13"/>
  <c r="F12331" i="13"/>
  <c r="A12331" i="13"/>
  <c r="F12330" i="13"/>
  <c r="A12330" i="13"/>
  <c r="J12329" i="13"/>
  <c r="F12329" i="13"/>
  <c r="A12329" i="13"/>
  <c r="J12328" i="13"/>
  <c r="F12328" i="13"/>
  <c r="A12328" i="13"/>
  <c r="J12327" i="13"/>
  <c r="F12327" i="13"/>
  <c r="A12327" i="13"/>
  <c r="J12326" i="13"/>
  <c r="F12326" i="13"/>
  <c r="A12326" i="13"/>
  <c r="J12325" i="13"/>
  <c r="F12325" i="13"/>
  <c r="A12325" i="13"/>
  <c r="J12324" i="13"/>
  <c r="F12324" i="13"/>
  <c r="F12323" i="13"/>
  <c r="A12323" i="13"/>
  <c r="J12322" i="13"/>
  <c r="F12322" i="13"/>
  <c r="A12322" i="13"/>
  <c r="J12321" i="13"/>
  <c r="F12321" i="13"/>
  <c r="A12321" i="13"/>
  <c r="J12320" i="13"/>
  <c r="F12320" i="13"/>
  <c r="A12320" i="13"/>
  <c r="J12319" i="13"/>
  <c r="F12319" i="13"/>
  <c r="A12319" i="13"/>
  <c r="J12318" i="13"/>
  <c r="F12318" i="13"/>
  <c r="A12318" i="13"/>
  <c r="J12317" i="13"/>
  <c r="F12317" i="13"/>
  <c r="F12316" i="13"/>
  <c r="A12316" i="13"/>
  <c r="F12315" i="13"/>
  <c r="A12315" i="13"/>
  <c r="J12314" i="13"/>
  <c r="F12314" i="13"/>
  <c r="A12314" i="13"/>
  <c r="F12313" i="13"/>
  <c r="A12313" i="13"/>
  <c r="F12312" i="13"/>
  <c r="A12312" i="13"/>
  <c r="J12311" i="13"/>
  <c r="F12311" i="13"/>
  <c r="A12311" i="13"/>
  <c r="J12310" i="13"/>
  <c r="F12310" i="13"/>
  <c r="A12310" i="13"/>
  <c r="J12309" i="13"/>
  <c r="F12309" i="13"/>
  <c r="A12309" i="13"/>
  <c r="F12308" i="13"/>
  <c r="A12308" i="13"/>
  <c r="J12307" i="13"/>
  <c r="F12307" i="13"/>
  <c r="A12307" i="13"/>
  <c r="J12306" i="13"/>
  <c r="F12306" i="13"/>
  <c r="A12306" i="13"/>
  <c r="J12305" i="13"/>
  <c r="F12305" i="13"/>
  <c r="A12305" i="13"/>
  <c r="F12304" i="13"/>
  <c r="A12304" i="13"/>
  <c r="J12303" i="13"/>
  <c r="F12303" i="13"/>
  <c r="J12302" i="13"/>
  <c r="F12302" i="13"/>
  <c r="F12301" i="13"/>
  <c r="A12301" i="13"/>
  <c r="F12300" i="13"/>
  <c r="A12300" i="13"/>
  <c r="F12299" i="13"/>
  <c r="A12299" i="13"/>
  <c r="F12298" i="13"/>
  <c r="A12298" i="13"/>
  <c r="F12297" i="13"/>
  <c r="A12297" i="13"/>
  <c r="F12296" i="13"/>
  <c r="A12296" i="13"/>
  <c r="F12295" i="13"/>
  <c r="A12295" i="13"/>
  <c r="F12294" i="13"/>
  <c r="A12294" i="13"/>
  <c r="F12293" i="13"/>
  <c r="A12293" i="13"/>
  <c r="F12292" i="13"/>
  <c r="A12292" i="13"/>
  <c r="F12291" i="13"/>
  <c r="A12291" i="13"/>
  <c r="F12290" i="13"/>
  <c r="A12290" i="13"/>
  <c r="F12289" i="13"/>
  <c r="A12289" i="13"/>
  <c r="F12288" i="13"/>
  <c r="A12288" i="13"/>
  <c r="F12287" i="13"/>
  <c r="A12287" i="13"/>
  <c r="F12286" i="13"/>
  <c r="A12286" i="13"/>
  <c r="F12285" i="13"/>
  <c r="A12285" i="13"/>
  <c r="F12284" i="13"/>
  <c r="A12284" i="13"/>
  <c r="F12283" i="13"/>
  <c r="A12283" i="13"/>
  <c r="F12282" i="13"/>
  <c r="A12282" i="13"/>
  <c r="F12281" i="13"/>
  <c r="A12281" i="13"/>
  <c r="F12280" i="13"/>
  <c r="J12279" i="13"/>
  <c r="F12279" i="13"/>
  <c r="A12279" i="13"/>
  <c r="J12278" i="13"/>
  <c r="F12278" i="13"/>
  <c r="A12278" i="13"/>
  <c r="F12277" i="13"/>
  <c r="A12277" i="13"/>
  <c r="J12276" i="13"/>
  <c r="F12276" i="13"/>
  <c r="A12276" i="13"/>
  <c r="J12275" i="13"/>
  <c r="F12275" i="13"/>
  <c r="A12275" i="13"/>
  <c r="F12274" i="13"/>
  <c r="A12274" i="13"/>
  <c r="J12273" i="13"/>
  <c r="F12273" i="13"/>
  <c r="A12273" i="13"/>
  <c r="J12272" i="13"/>
  <c r="F12272" i="13"/>
  <c r="A12272" i="13"/>
  <c r="J12271" i="13"/>
  <c r="F12271" i="13"/>
  <c r="J12270" i="13"/>
  <c r="F12270" i="13"/>
  <c r="J12269" i="13"/>
  <c r="F12269" i="13"/>
  <c r="J12268" i="13"/>
  <c r="F12268" i="13"/>
  <c r="F12267" i="13"/>
  <c r="A12267" i="13"/>
  <c r="F12266" i="13"/>
  <c r="A12266" i="13"/>
  <c r="F12265" i="13"/>
  <c r="A12265" i="13"/>
  <c r="F12264" i="13"/>
  <c r="A12264" i="13"/>
  <c r="F12263" i="13"/>
  <c r="A12263" i="13"/>
  <c r="F12262" i="13"/>
  <c r="A12262" i="13"/>
  <c r="F12261" i="13"/>
  <c r="A12261" i="13"/>
  <c r="F12260" i="13"/>
  <c r="A12260" i="13"/>
  <c r="F12259" i="13"/>
  <c r="A12259" i="13"/>
  <c r="F12258" i="13"/>
  <c r="A12258" i="13"/>
  <c r="F12257" i="13"/>
  <c r="A12257" i="13"/>
  <c r="F12256" i="13"/>
  <c r="A12256" i="13"/>
  <c r="F12255" i="13"/>
  <c r="A12255" i="13"/>
  <c r="F12254" i="13"/>
  <c r="A12254" i="13"/>
  <c r="F12253" i="13"/>
  <c r="A12253" i="13"/>
  <c r="F12252" i="13"/>
  <c r="A12252" i="13"/>
  <c r="F12251" i="13"/>
  <c r="A12251" i="13"/>
  <c r="F12250" i="13"/>
  <c r="J12249" i="13"/>
  <c r="F12249" i="13"/>
  <c r="A12249" i="13"/>
  <c r="J12248" i="13"/>
  <c r="F12248" i="13"/>
  <c r="A12248" i="13"/>
  <c r="J12247" i="13"/>
  <c r="F12247" i="13"/>
  <c r="J12246" i="13"/>
  <c r="F12246" i="13"/>
  <c r="A12246" i="13"/>
  <c r="J12245" i="13"/>
  <c r="F12245" i="13"/>
  <c r="A12245" i="13"/>
  <c r="F12244" i="13"/>
  <c r="A12244" i="13"/>
  <c r="J12243" i="13"/>
  <c r="F12243" i="13"/>
  <c r="A12243" i="13"/>
  <c r="J12242" i="13"/>
  <c r="F12242" i="13"/>
  <c r="A12242" i="13"/>
  <c r="J12241" i="13"/>
  <c r="F12241" i="13"/>
  <c r="A12241" i="13"/>
  <c r="J12240" i="13"/>
  <c r="F12240" i="13"/>
  <c r="J12239" i="13"/>
  <c r="F12239" i="13"/>
  <c r="A12239" i="13"/>
  <c r="J12238" i="13"/>
  <c r="F12238" i="13"/>
  <c r="A12238" i="13"/>
  <c r="F12237" i="13"/>
  <c r="A12237" i="13"/>
  <c r="J12236" i="13"/>
  <c r="F12236" i="13"/>
  <c r="A12236" i="13"/>
  <c r="J12235" i="13"/>
  <c r="F12235" i="13"/>
  <c r="A12235" i="13"/>
  <c r="F12234" i="13"/>
  <c r="A12234" i="13"/>
  <c r="J12233" i="13"/>
  <c r="F12233" i="13"/>
  <c r="A12233" i="13"/>
  <c r="J12232" i="13"/>
  <c r="F12232" i="13"/>
  <c r="A12232" i="13"/>
  <c r="J12231" i="13"/>
  <c r="F12231" i="13"/>
  <c r="A12231" i="13"/>
  <c r="J12230" i="13"/>
  <c r="F12230" i="13"/>
  <c r="A12230" i="13"/>
  <c r="J12229" i="13"/>
  <c r="F12229" i="13"/>
  <c r="A12229" i="13"/>
  <c r="J12228" i="13"/>
  <c r="F12228" i="13"/>
  <c r="A12228" i="13"/>
  <c r="J12227" i="13"/>
  <c r="F12227" i="13"/>
  <c r="A12227" i="13"/>
  <c r="J12226" i="13"/>
  <c r="F12226" i="13"/>
  <c r="J12225" i="13"/>
  <c r="F12225" i="13"/>
  <c r="A12225" i="13"/>
  <c r="F12224" i="13"/>
  <c r="A12224" i="13"/>
  <c r="J12223" i="13"/>
  <c r="F12223" i="13"/>
  <c r="A12223" i="13"/>
  <c r="J12222" i="13"/>
  <c r="F12222" i="13"/>
  <c r="J12221" i="13"/>
  <c r="F12221" i="13"/>
  <c r="J12220" i="13"/>
  <c r="F12220" i="13"/>
  <c r="F12219" i="13"/>
  <c r="A12219" i="13"/>
  <c r="F12218" i="13"/>
  <c r="A12218" i="13"/>
  <c r="F12217" i="13"/>
  <c r="A12217" i="13"/>
  <c r="F12216" i="13"/>
  <c r="A12216" i="13"/>
  <c r="F12215" i="13"/>
  <c r="A12215" i="13"/>
  <c r="F12214" i="13"/>
  <c r="A12214" i="13"/>
  <c r="F12213" i="13"/>
  <c r="A12213" i="13"/>
  <c r="F12212" i="13"/>
  <c r="A12212" i="13"/>
  <c r="F12211" i="13"/>
  <c r="A12211" i="13"/>
  <c r="F12210" i="13"/>
  <c r="A12210" i="13"/>
  <c r="F12209" i="13"/>
  <c r="A12209" i="13"/>
  <c r="F12208" i="13"/>
  <c r="A12208" i="13"/>
  <c r="F12207" i="13"/>
  <c r="J12206" i="13"/>
  <c r="F12206" i="13"/>
  <c r="J12205" i="13"/>
  <c r="F12205" i="13"/>
  <c r="J12204" i="13"/>
  <c r="F12204" i="13"/>
  <c r="J12203" i="13"/>
  <c r="F12203" i="13"/>
  <c r="F12202" i="13"/>
  <c r="A12202" i="13"/>
  <c r="F12201" i="13"/>
  <c r="A12201" i="13"/>
  <c r="F12200" i="13"/>
  <c r="A12200" i="13"/>
  <c r="F12199" i="13"/>
  <c r="A12199" i="13"/>
  <c r="F12198" i="13"/>
  <c r="A12198" i="13"/>
  <c r="F12197" i="13"/>
  <c r="A12197" i="13"/>
  <c r="F12196" i="13"/>
  <c r="A12196" i="13"/>
  <c r="F12195" i="13"/>
  <c r="A12195" i="13"/>
  <c r="F12194" i="13"/>
  <c r="A12194" i="13"/>
  <c r="F12193" i="13"/>
  <c r="A12193" i="13"/>
  <c r="F12192" i="13"/>
  <c r="A12192" i="13"/>
  <c r="F12191" i="13"/>
  <c r="A12191" i="13"/>
  <c r="F12190" i="13"/>
  <c r="A12190" i="13"/>
  <c r="F12189" i="13"/>
  <c r="A12189" i="13"/>
  <c r="F12188" i="13"/>
  <c r="A12188" i="13"/>
  <c r="F12187" i="13"/>
  <c r="A12187" i="13"/>
  <c r="F12186" i="13"/>
  <c r="A12186" i="13"/>
  <c r="F12185" i="13"/>
  <c r="A12185" i="13"/>
  <c r="F12184" i="13"/>
  <c r="A12184" i="13"/>
  <c r="F12183" i="13"/>
  <c r="J12182" i="13"/>
  <c r="F12182" i="13"/>
  <c r="J12181" i="13"/>
  <c r="F12181" i="13"/>
  <c r="F12180" i="13"/>
  <c r="A12180" i="13"/>
  <c r="F12179" i="13"/>
  <c r="A12179" i="13"/>
  <c r="F12178" i="13"/>
  <c r="A12178" i="13"/>
  <c r="F12177" i="13"/>
  <c r="F12176" i="13"/>
  <c r="A12176" i="13"/>
  <c r="J12175" i="13"/>
  <c r="F12175" i="13"/>
  <c r="A12175" i="13"/>
  <c r="J12174" i="13"/>
  <c r="F12174" i="13"/>
  <c r="A12174" i="13"/>
  <c r="J12173" i="13"/>
  <c r="F12173" i="13"/>
  <c r="A12173" i="13"/>
  <c r="J12172" i="13"/>
  <c r="F12172" i="13"/>
  <c r="A12172" i="13"/>
  <c r="J12171" i="13"/>
  <c r="F12171" i="13"/>
  <c r="A12171" i="13"/>
  <c r="J12170" i="13"/>
  <c r="F12170" i="13"/>
  <c r="A12170" i="13"/>
  <c r="J12169" i="13"/>
  <c r="F12169" i="13"/>
  <c r="J12168" i="13"/>
  <c r="F12168" i="13"/>
  <c r="A12168" i="13"/>
  <c r="J12167" i="13"/>
  <c r="F12167" i="13"/>
  <c r="A12167" i="13"/>
  <c r="J12166" i="13"/>
  <c r="F12166" i="13"/>
  <c r="A12166" i="13"/>
  <c r="J12165" i="13"/>
  <c r="F12165" i="13"/>
  <c r="A12165" i="13"/>
  <c r="J12164" i="13"/>
  <c r="F12164" i="13"/>
  <c r="A12164" i="13"/>
  <c r="J12163" i="13"/>
  <c r="F12163" i="13"/>
  <c r="A12163" i="13"/>
  <c r="J12162" i="13"/>
  <c r="F12162" i="13"/>
  <c r="A12162" i="13"/>
  <c r="J12161" i="13"/>
  <c r="F12161" i="13"/>
  <c r="A12161" i="13"/>
  <c r="J12160" i="13"/>
  <c r="F12160" i="13"/>
  <c r="A12160" i="13"/>
  <c r="J12159" i="13"/>
  <c r="F12159" i="13"/>
  <c r="A12159" i="13"/>
  <c r="J12158" i="13"/>
  <c r="F12158" i="13"/>
  <c r="A12158" i="13"/>
  <c r="J12157" i="13"/>
  <c r="F12157" i="13"/>
  <c r="A12157" i="13"/>
  <c r="J12156" i="13"/>
  <c r="F12156" i="13"/>
  <c r="A12156" i="13"/>
  <c r="J12155" i="13"/>
  <c r="F12155" i="13"/>
  <c r="A12155" i="13"/>
  <c r="J12154" i="13"/>
  <c r="F12154" i="13"/>
  <c r="A12154" i="13"/>
  <c r="J12153" i="13"/>
  <c r="F12153" i="13"/>
  <c r="A12153" i="13"/>
  <c r="J12152" i="13"/>
  <c r="F12152" i="13"/>
  <c r="J12151" i="13"/>
  <c r="F12151" i="13"/>
  <c r="A12151" i="13"/>
  <c r="J12150" i="13"/>
  <c r="F12150" i="13"/>
  <c r="A12150" i="13"/>
  <c r="J12149" i="13"/>
  <c r="F12149" i="13"/>
  <c r="A12149" i="13"/>
  <c r="J12148" i="13"/>
  <c r="F12148" i="13"/>
  <c r="A12148" i="13"/>
  <c r="J12147" i="13"/>
  <c r="F12147" i="13"/>
  <c r="A12147" i="13"/>
  <c r="J12146" i="13"/>
  <c r="F12146" i="13"/>
  <c r="A12146" i="13"/>
  <c r="J12145" i="13"/>
  <c r="F12145" i="13"/>
  <c r="A12145" i="13"/>
  <c r="J12144" i="13"/>
  <c r="F12144" i="13"/>
  <c r="A12144" i="13"/>
  <c r="J12143" i="13"/>
  <c r="F12143" i="13"/>
  <c r="A12143" i="13"/>
  <c r="J12142" i="13"/>
  <c r="F12142" i="13"/>
  <c r="A12142" i="13"/>
  <c r="J12141" i="13"/>
  <c r="F12141" i="13"/>
  <c r="A12141" i="13"/>
  <c r="J12140" i="13"/>
  <c r="F12140" i="13"/>
  <c r="A12140" i="13"/>
  <c r="J12139" i="13"/>
  <c r="F12139" i="13"/>
  <c r="A12139" i="13"/>
  <c r="J12138" i="13"/>
  <c r="F12138" i="13"/>
  <c r="A12138" i="13"/>
  <c r="J12137" i="13"/>
  <c r="F12137" i="13"/>
  <c r="A12137" i="13"/>
  <c r="J12136" i="13"/>
  <c r="F12136" i="13"/>
  <c r="J12135" i="13"/>
  <c r="F12135" i="13"/>
  <c r="A12135" i="13"/>
  <c r="F12134" i="13"/>
  <c r="A12134" i="13"/>
  <c r="J12133" i="13"/>
  <c r="F12133" i="13"/>
  <c r="A12133" i="13"/>
  <c r="J12132" i="13"/>
  <c r="F12132" i="13"/>
  <c r="A12132" i="13"/>
  <c r="J12131" i="13"/>
  <c r="F12131" i="13"/>
  <c r="A12131" i="13"/>
  <c r="J12130" i="13"/>
  <c r="F12130" i="13"/>
  <c r="A12130" i="13"/>
  <c r="J12129" i="13"/>
  <c r="F12129" i="13"/>
  <c r="J12128" i="13"/>
  <c r="F12128" i="13"/>
  <c r="F12127" i="13"/>
  <c r="A12127" i="13"/>
  <c r="F12126" i="13"/>
  <c r="A12126" i="13"/>
  <c r="F12125" i="13"/>
  <c r="A12125" i="13"/>
  <c r="F12124" i="13"/>
  <c r="A12124" i="13"/>
  <c r="F12123" i="13"/>
  <c r="A12123" i="13"/>
  <c r="F12122" i="13"/>
  <c r="A12122" i="13"/>
  <c r="F12121" i="13"/>
  <c r="A12121" i="13"/>
  <c r="F12120" i="13"/>
  <c r="A12120" i="13"/>
  <c r="F12119" i="13"/>
  <c r="A12119" i="13"/>
  <c r="F12118" i="13"/>
  <c r="A12118" i="13"/>
  <c r="F12117" i="13"/>
  <c r="A12117" i="13"/>
  <c r="F12116" i="13"/>
  <c r="A12116" i="13"/>
  <c r="F12115" i="13"/>
  <c r="A12115" i="13"/>
  <c r="F12114" i="13"/>
  <c r="A12114" i="13"/>
  <c r="F12113" i="13"/>
  <c r="A12113" i="13"/>
  <c r="F12112" i="13"/>
  <c r="A12112" i="13"/>
  <c r="F12111" i="13"/>
  <c r="A12111" i="13"/>
  <c r="F12110" i="13"/>
  <c r="A12110" i="13"/>
  <c r="F12109" i="13"/>
  <c r="A12109" i="13"/>
  <c r="F12108" i="13"/>
  <c r="A12108" i="13"/>
  <c r="F12107" i="13"/>
  <c r="A12107" i="13"/>
  <c r="F12106" i="13"/>
  <c r="A12106" i="13"/>
  <c r="F12105" i="13"/>
  <c r="A12105" i="13"/>
  <c r="F12104" i="13"/>
  <c r="A12104" i="13"/>
  <c r="F12103" i="13"/>
  <c r="A12103" i="13"/>
  <c r="F12102" i="13"/>
  <c r="A12102" i="13"/>
  <c r="F12101" i="13"/>
  <c r="A12101" i="13"/>
  <c r="F12100" i="13"/>
  <c r="A12100" i="13"/>
  <c r="F12099" i="13"/>
  <c r="A12099" i="13"/>
  <c r="F12098" i="13"/>
  <c r="A12098" i="13"/>
  <c r="F12097" i="13"/>
  <c r="A12097" i="13"/>
  <c r="F12096" i="13"/>
  <c r="A12096" i="13"/>
  <c r="F12095" i="13"/>
  <c r="A12095" i="13"/>
  <c r="F12094" i="13"/>
  <c r="A12094" i="13"/>
  <c r="F12093" i="13"/>
  <c r="A12093" i="13"/>
  <c r="F12092" i="13"/>
  <c r="A12092" i="13"/>
  <c r="F12091" i="13"/>
  <c r="A12091" i="13"/>
  <c r="F12090" i="13"/>
  <c r="A12090" i="13"/>
  <c r="F12089" i="13"/>
  <c r="A12089" i="13"/>
  <c r="F12088" i="13"/>
  <c r="A12088" i="13"/>
  <c r="F12087" i="13"/>
  <c r="A12087" i="13"/>
  <c r="F12086" i="13"/>
  <c r="A12086" i="13"/>
  <c r="F12085" i="13"/>
  <c r="A12085" i="13"/>
  <c r="F12084" i="13"/>
  <c r="A12084" i="13"/>
  <c r="F12083" i="13"/>
  <c r="A12083" i="13"/>
  <c r="F12082" i="13"/>
  <c r="A12082" i="13"/>
  <c r="F12081" i="13"/>
  <c r="A12081" i="13"/>
  <c r="F12080" i="13"/>
  <c r="A12080" i="13"/>
  <c r="F12079" i="13"/>
  <c r="A12079" i="13"/>
  <c r="F12078" i="13"/>
  <c r="A12078" i="13"/>
  <c r="F12077" i="13"/>
  <c r="A12077" i="13"/>
  <c r="F12076" i="13"/>
  <c r="A12076" i="13"/>
  <c r="F12075" i="13"/>
  <c r="J12074" i="13"/>
  <c r="F12074" i="13"/>
  <c r="A12074" i="13"/>
  <c r="J12073" i="13"/>
  <c r="F12073" i="13"/>
  <c r="A12073" i="13"/>
  <c r="J12072" i="13"/>
  <c r="F12072" i="13"/>
  <c r="A12072" i="13"/>
  <c r="J12071" i="13"/>
  <c r="F12071" i="13"/>
  <c r="A12071" i="13"/>
  <c r="J12070" i="13"/>
  <c r="F12070" i="13"/>
  <c r="J12069" i="13"/>
  <c r="F12069" i="13"/>
  <c r="A12069" i="13"/>
  <c r="J12068" i="13"/>
  <c r="F12068" i="13"/>
  <c r="A12068" i="13"/>
  <c r="J12067" i="13"/>
  <c r="F12067" i="13"/>
  <c r="A12067" i="13"/>
  <c r="J12066" i="13"/>
  <c r="F12066" i="13"/>
  <c r="A12066" i="13"/>
  <c r="J12065" i="13"/>
  <c r="F12065" i="13"/>
  <c r="A12065" i="13"/>
  <c r="F12064" i="13"/>
  <c r="A12064" i="13"/>
  <c r="F12063" i="13"/>
  <c r="A12063" i="13"/>
  <c r="F12062" i="13"/>
  <c r="A12062" i="13"/>
  <c r="J12061" i="13"/>
  <c r="F12061" i="13"/>
  <c r="A12061" i="13"/>
  <c r="F12060" i="13"/>
  <c r="A12060" i="13"/>
  <c r="J12059" i="13"/>
  <c r="F12059" i="13"/>
  <c r="A12059" i="13"/>
  <c r="J12058" i="13"/>
  <c r="F12058" i="13"/>
  <c r="A12058" i="13"/>
  <c r="J12057" i="13"/>
  <c r="F12057" i="13"/>
  <c r="A12057" i="13"/>
  <c r="J12056" i="13"/>
  <c r="F12056" i="13"/>
  <c r="A12056" i="13"/>
  <c r="J12055" i="13"/>
  <c r="F12055" i="13"/>
  <c r="A12055" i="13"/>
  <c r="J12054" i="13"/>
  <c r="F12054" i="13"/>
  <c r="A12054" i="13"/>
  <c r="F12053" i="13"/>
  <c r="A12053" i="13"/>
  <c r="J12052" i="13"/>
  <c r="F12052" i="13"/>
  <c r="A12052" i="13"/>
  <c r="J12051" i="13"/>
  <c r="F12051" i="13"/>
  <c r="A12051" i="13"/>
  <c r="J12050" i="13"/>
  <c r="F12050" i="13"/>
  <c r="A12050" i="13"/>
  <c r="J12049" i="13"/>
  <c r="F12049" i="13"/>
  <c r="A12049" i="13"/>
  <c r="J12048" i="13"/>
  <c r="F12048" i="13"/>
  <c r="A12048" i="13"/>
  <c r="J12047" i="13"/>
  <c r="F12047" i="13"/>
  <c r="A12047" i="13"/>
  <c r="J12046" i="13"/>
  <c r="F12046" i="13"/>
  <c r="A12046" i="13"/>
  <c r="J12045" i="13"/>
  <c r="F12045" i="13"/>
  <c r="A12045" i="13"/>
  <c r="J12044" i="13"/>
  <c r="F12044" i="13"/>
  <c r="A12044" i="13"/>
  <c r="J12043" i="13"/>
  <c r="F12043" i="13"/>
  <c r="A12043" i="13"/>
  <c r="J12042" i="13"/>
  <c r="F12042" i="13"/>
  <c r="A12042" i="13"/>
  <c r="J12041" i="13"/>
  <c r="F12041" i="13"/>
  <c r="A12041" i="13"/>
  <c r="J12040" i="13"/>
  <c r="F12040" i="13"/>
  <c r="A12040" i="13"/>
  <c r="J12039" i="13"/>
  <c r="F12039" i="13"/>
  <c r="A12039" i="13"/>
  <c r="J12038" i="13"/>
  <c r="F12038" i="13"/>
  <c r="A12038" i="13"/>
  <c r="J12037" i="13"/>
  <c r="F12037" i="13"/>
  <c r="A12037" i="13"/>
  <c r="J12036" i="13"/>
  <c r="F12036" i="13"/>
  <c r="A12036" i="13"/>
  <c r="J12035" i="13"/>
  <c r="F12035" i="13"/>
  <c r="J12034" i="13"/>
  <c r="F12034" i="13"/>
  <c r="A12034" i="13"/>
  <c r="J12033" i="13"/>
  <c r="F12033" i="13"/>
  <c r="A12033" i="13"/>
  <c r="F12032" i="13"/>
  <c r="A12032" i="13"/>
  <c r="J12031" i="13"/>
  <c r="F12031" i="13"/>
  <c r="A12031" i="13"/>
  <c r="J12030" i="13"/>
  <c r="F12030" i="13"/>
  <c r="A12030" i="13"/>
  <c r="J12029" i="13"/>
  <c r="F12029" i="13"/>
  <c r="A12029" i="13"/>
  <c r="J12028" i="13"/>
  <c r="F12028" i="13"/>
  <c r="A12028" i="13"/>
  <c r="J12027" i="13"/>
  <c r="F12027" i="13"/>
  <c r="A12027" i="13"/>
  <c r="J12026" i="13"/>
  <c r="F12026" i="13"/>
  <c r="A12026" i="13"/>
  <c r="J12025" i="13"/>
  <c r="F12025" i="13"/>
  <c r="A12025" i="13"/>
  <c r="J12024" i="13"/>
  <c r="F12024" i="13"/>
  <c r="A12024" i="13"/>
  <c r="J12023" i="13"/>
  <c r="F12023" i="13"/>
  <c r="A12023" i="13"/>
  <c r="J12022" i="13"/>
  <c r="F12022" i="13"/>
  <c r="A12022" i="13"/>
  <c r="J12021" i="13"/>
  <c r="F12021" i="13"/>
  <c r="A12021" i="13"/>
  <c r="J12020" i="13"/>
  <c r="F12020" i="13"/>
  <c r="F12019" i="13"/>
  <c r="A12019" i="13"/>
  <c r="F12018" i="13"/>
  <c r="A12018" i="13"/>
  <c r="J12017" i="13"/>
  <c r="F12017" i="13"/>
  <c r="A12017" i="13"/>
  <c r="J12016" i="13"/>
  <c r="F12016" i="13"/>
  <c r="A12016" i="13"/>
  <c r="F12015" i="13"/>
  <c r="A12015" i="13"/>
  <c r="J12014" i="13"/>
  <c r="F12014" i="13"/>
  <c r="A12014" i="13"/>
  <c r="F12013" i="13"/>
  <c r="A12013" i="13"/>
  <c r="J12012" i="13"/>
  <c r="F12012" i="13"/>
  <c r="J12011" i="13"/>
  <c r="F12011" i="13"/>
  <c r="J12010" i="13"/>
  <c r="F12010" i="13"/>
  <c r="J12009" i="13"/>
  <c r="F12009" i="13"/>
  <c r="F12008" i="13"/>
  <c r="A12008" i="13"/>
  <c r="F12007" i="13"/>
  <c r="A12007" i="13"/>
  <c r="F12006" i="13"/>
  <c r="J12005" i="13"/>
  <c r="F12005" i="13"/>
  <c r="J12004" i="13"/>
  <c r="F12004" i="13"/>
  <c r="J12003" i="13"/>
  <c r="F12003" i="13"/>
  <c r="F12002" i="13"/>
  <c r="A12002" i="13"/>
  <c r="F12001" i="13"/>
  <c r="A12001" i="13"/>
  <c r="F12000" i="13"/>
  <c r="F11999" i="13"/>
  <c r="A11999" i="13"/>
  <c r="J11998" i="13"/>
  <c r="F11998" i="13"/>
  <c r="A11998" i="13"/>
  <c r="F11997" i="13"/>
  <c r="A11997" i="13"/>
  <c r="F11996" i="13"/>
  <c r="A11996" i="13"/>
  <c r="J11995" i="13"/>
  <c r="F11995" i="13"/>
  <c r="A11995" i="13"/>
  <c r="J11994" i="13"/>
  <c r="F11994" i="13"/>
  <c r="A11994" i="13"/>
  <c r="F11993" i="13"/>
  <c r="A11993" i="13"/>
  <c r="J11992" i="13"/>
  <c r="F11992" i="13"/>
  <c r="A11992" i="13"/>
  <c r="J11991" i="13"/>
  <c r="F11991" i="13"/>
  <c r="A11991" i="13"/>
  <c r="J11990" i="13"/>
  <c r="F11990" i="13"/>
  <c r="A11990" i="13"/>
  <c r="F11989" i="13"/>
  <c r="A11989" i="13"/>
  <c r="J11988" i="13"/>
  <c r="F11988" i="13"/>
  <c r="A11988" i="13"/>
  <c r="J11987" i="13"/>
  <c r="F11987" i="13"/>
  <c r="A11987" i="13"/>
  <c r="J11986" i="13"/>
  <c r="F11986" i="13"/>
  <c r="A11986" i="13"/>
  <c r="F11985" i="13"/>
  <c r="A11985" i="13"/>
  <c r="J11984" i="13"/>
  <c r="F11984" i="13"/>
  <c r="A11984" i="13"/>
  <c r="J11983" i="13"/>
  <c r="F11983" i="13"/>
  <c r="A11983" i="13"/>
  <c r="J11982" i="13"/>
  <c r="F11982" i="13"/>
  <c r="A11982" i="13"/>
  <c r="F11981" i="13"/>
  <c r="A11981" i="13"/>
  <c r="F11980" i="13"/>
  <c r="A11980" i="13"/>
  <c r="F11979" i="13"/>
  <c r="A11979" i="13"/>
  <c r="F11978" i="13"/>
  <c r="A11978" i="13"/>
  <c r="J11977" i="13"/>
  <c r="F11977" i="13"/>
  <c r="A11977" i="13"/>
  <c r="F11976" i="13"/>
  <c r="A11976" i="13"/>
  <c r="J11975" i="13"/>
  <c r="F11975" i="13"/>
  <c r="A11975" i="13"/>
  <c r="J11974" i="13"/>
  <c r="F11974" i="13"/>
  <c r="A11974" i="13"/>
  <c r="F11973" i="13"/>
  <c r="A11973" i="13"/>
  <c r="F11972" i="13"/>
  <c r="A11972" i="13"/>
  <c r="F11971" i="13"/>
  <c r="A11971" i="13"/>
  <c r="J11970" i="13"/>
  <c r="F11970" i="13"/>
  <c r="A11970" i="13"/>
  <c r="J11969" i="13"/>
  <c r="F11969" i="13"/>
  <c r="A11969" i="13"/>
  <c r="J11968" i="13"/>
  <c r="F11968" i="13"/>
  <c r="A11968" i="13"/>
  <c r="J11967" i="13"/>
  <c r="F11967" i="13"/>
  <c r="A11967" i="13"/>
  <c r="J11966" i="13"/>
  <c r="F11966" i="13"/>
  <c r="A11966" i="13"/>
  <c r="J11965" i="13"/>
  <c r="F11965" i="13"/>
  <c r="A11965" i="13"/>
  <c r="F11964" i="13"/>
  <c r="A11964" i="13"/>
  <c r="F11963" i="13"/>
  <c r="A11963" i="13"/>
  <c r="F11962" i="13"/>
  <c r="A11962" i="13"/>
  <c r="F11961" i="13"/>
  <c r="A11961" i="13"/>
  <c r="F11960" i="13"/>
  <c r="A11960" i="13"/>
  <c r="F11959" i="13"/>
  <c r="A11959" i="13"/>
  <c r="F11958" i="13"/>
  <c r="A11958" i="13"/>
  <c r="J11957" i="13"/>
  <c r="F11957" i="13"/>
  <c r="A11957" i="13"/>
  <c r="J11956" i="13"/>
  <c r="F11956" i="13"/>
  <c r="A11956" i="13"/>
  <c r="J11955" i="13"/>
  <c r="F11955" i="13"/>
  <c r="A11955" i="13"/>
  <c r="J11954" i="13"/>
  <c r="F11954" i="13"/>
  <c r="A11954" i="13"/>
  <c r="F11953" i="13"/>
  <c r="A11953" i="13"/>
  <c r="F11952" i="13"/>
  <c r="A11952" i="13"/>
  <c r="F11951" i="13"/>
  <c r="A11951" i="13"/>
  <c r="F11950" i="13"/>
  <c r="A11950" i="13"/>
  <c r="J11949" i="13"/>
  <c r="F11949" i="13"/>
  <c r="A11949" i="13"/>
  <c r="J11948" i="13"/>
  <c r="F11948" i="13"/>
  <c r="A11948" i="13"/>
  <c r="J11947" i="13"/>
  <c r="F11947" i="13"/>
  <c r="A11947" i="13"/>
  <c r="J11946" i="13"/>
  <c r="F11946" i="13"/>
  <c r="A11946" i="13"/>
  <c r="F11945" i="13"/>
  <c r="A11945" i="13"/>
  <c r="J11944" i="13"/>
  <c r="F11944" i="13"/>
  <c r="A11944" i="13"/>
  <c r="F11943" i="13"/>
  <c r="A11943" i="13"/>
  <c r="J11942" i="13"/>
  <c r="F11942" i="13"/>
  <c r="A11942" i="13"/>
  <c r="J11941" i="13"/>
  <c r="F11941" i="13"/>
  <c r="A11941" i="13"/>
  <c r="J11940" i="13"/>
  <c r="F11940" i="13"/>
  <c r="A11940" i="13"/>
  <c r="J11939" i="13"/>
  <c r="F11939" i="13"/>
  <c r="A11939" i="13"/>
  <c r="F11938" i="13"/>
  <c r="A11938" i="13"/>
  <c r="F11937" i="13"/>
  <c r="A11937" i="13"/>
  <c r="J11936" i="13"/>
  <c r="F11936" i="13"/>
  <c r="A11936" i="13"/>
  <c r="J11935" i="13"/>
  <c r="F11935" i="13"/>
  <c r="A11935" i="13"/>
  <c r="F11934" i="13"/>
  <c r="A11934" i="13"/>
  <c r="F11933" i="13"/>
  <c r="A11933" i="13"/>
  <c r="J11932" i="13"/>
  <c r="F11932" i="13"/>
  <c r="A11932" i="13"/>
  <c r="J11931" i="13"/>
  <c r="F11931" i="13"/>
  <c r="A11931" i="13"/>
  <c r="J11930" i="13"/>
  <c r="F11930" i="13"/>
  <c r="A11930" i="13"/>
  <c r="J11929" i="13"/>
  <c r="F11929" i="13"/>
  <c r="A11929" i="13"/>
  <c r="F11928" i="13"/>
  <c r="A11928" i="13"/>
  <c r="J11927" i="13"/>
  <c r="F11927" i="13"/>
  <c r="A11927" i="13"/>
  <c r="J11926" i="13"/>
  <c r="F11926" i="13"/>
  <c r="A11926" i="13"/>
  <c r="F11925" i="13"/>
  <c r="A11925" i="13"/>
  <c r="J11924" i="13"/>
  <c r="F11924" i="13"/>
  <c r="A11924" i="13"/>
  <c r="F11923" i="13"/>
  <c r="A11923" i="13"/>
  <c r="J11922" i="13"/>
  <c r="F11922" i="13"/>
  <c r="A11922" i="13"/>
  <c r="J11921" i="13"/>
  <c r="F11921" i="13"/>
  <c r="A11921" i="13"/>
  <c r="F11920" i="13"/>
  <c r="A11920" i="13"/>
  <c r="J11919" i="13"/>
  <c r="F11919" i="13"/>
  <c r="A11919" i="13"/>
  <c r="J11918" i="13"/>
  <c r="F11918" i="13"/>
  <c r="A11918" i="13"/>
  <c r="F11917" i="13"/>
  <c r="A11917" i="13"/>
  <c r="J11916" i="13"/>
  <c r="F11916" i="13"/>
  <c r="A11916" i="13"/>
  <c r="J11915" i="13"/>
  <c r="F11915" i="13"/>
  <c r="A11915" i="13"/>
  <c r="J11914" i="13"/>
  <c r="F11914" i="13"/>
  <c r="A11914" i="13"/>
  <c r="F11913" i="13"/>
  <c r="A11913" i="13"/>
  <c r="F11912" i="13"/>
  <c r="A11912" i="13"/>
  <c r="F11911" i="13"/>
  <c r="A11911" i="13"/>
  <c r="F11910" i="13"/>
  <c r="A11910" i="13"/>
  <c r="J11909" i="13"/>
  <c r="F11909" i="13"/>
  <c r="A11909" i="13"/>
  <c r="J11908" i="13"/>
  <c r="F11908" i="13"/>
  <c r="A11908" i="13"/>
  <c r="J11907" i="13"/>
  <c r="F11907" i="13"/>
  <c r="A11907" i="13"/>
  <c r="F11906" i="13"/>
  <c r="A11906" i="13"/>
  <c r="F11905" i="13"/>
  <c r="A11905" i="13"/>
  <c r="J11904" i="13"/>
  <c r="F11904" i="13"/>
  <c r="A11904" i="13"/>
  <c r="J11903" i="13"/>
  <c r="F11903" i="13"/>
  <c r="A11903" i="13"/>
  <c r="J11902" i="13"/>
  <c r="F11902" i="13"/>
  <c r="A11902" i="13"/>
  <c r="J11901" i="13"/>
  <c r="F11901" i="13"/>
  <c r="A11901" i="13"/>
  <c r="J11900" i="13"/>
  <c r="F11900" i="13"/>
  <c r="A11900" i="13"/>
  <c r="J11899" i="13"/>
  <c r="F11899" i="13"/>
  <c r="A11899" i="13"/>
  <c r="J11898" i="13"/>
  <c r="F11898" i="13"/>
  <c r="A11898" i="13"/>
  <c r="J11897" i="13"/>
  <c r="F11897" i="13"/>
  <c r="A11897" i="13"/>
  <c r="J11896" i="13"/>
  <c r="F11896" i="13"/>
  <c r="A11896" i="13"/>
  <c r="F11895" i="13"/>
  <c r="A11895" i="13"/>
  <c r="J11894" i="13"/>
  <c r="F11894" i="13"/>
  <c r="A11894" i="13"/>
  <c r="F11893" i="13"/>
  <c r="A11893" i="13"/>
  <c r="J11892" i="13"/>
  <c r="F11892" i="13"/>
  <c r="A11892" i="13"/>
  <c r="J11891" i="13"/>
  <c r="F11891" i="13"/>
  <c r="A11891" i="13"/>
  <c r="J11890" i="13"/>
  <c r="F11890" i="13"/>
  <c r="A11890" i="13"/>
  <c r="F11889" i="13"/>
  <c r="A11889" i="13"/>
  <c r="J11888" i="13"/>
  <c r="F11888" i="13"/>
  <c r="A11888" i="13"/>
  <c r="F11887" i="13"/>
  <c r="A11887" i="13"/>
  <c r="F11886" i="13"/>
  <c r="A11886" i="13"/>
  <c r="F11885" i="13"/>
  <c r="A11885" i="13"/>
  <c r="F11884" i="13"/>
  <c r="A11884" i="13"/>
  <c r="J11883" i="13"/>
  <c r="F11883" i="13"/>
  <c r="J11882" i="13"/>
  <c r="F11882" i="13"/>
  <c r="F11881" i="13"/>
  <c r="A11881" i="13"/>
  <c r="F11880" i="13"/>
  <c r="A11880" i="13"/>
  <c r="F11879" i="13"/>
  <c r="A11879" i="13"/>
  <c r="F11878" i="13"/>
  <c r="A11878" i="13"/>
  <c r="F11877" i="13"/>
  <c r="J11876" i="13"/>
  <c r="F11876" i="13"/>
  <c r="A11876" i="13"/>
  <c r="F11875" i="13"/>
  <c r="A11875" i="13"/>
  <c r="F11874" i="13"/>
  <c r="A11874" i="13"/>
  <c r="J11873" i="13"/>
  <c r="F11873" i="13"/>
  <c r="A11873" i="13"/>
  <c r="J11872" i="13"/>
  <c r="F11872" i="13"/>
  <c r="A11872" i="13"/>
  <c r="J11871" i="13"/>
  <c r="F11871" i="13"/>
  <c r="A11871" i="13"/>
  <c r="J11870" i="13"/>
  <c r="F11870" i="13"/>
  <c r="J11869" i="13"/>
  <c r="F11869" i="13"/>
  <c r="A11869" i="13"/>
  <c r="J11868" i="13"/>
  <c r="F11868" i="13"/>
  <c r="A11868" i="13"/>
  <c r="F11867" i="13"/>
  <c r="A11867" i="13"/>
  <c r="J11866" i="13"/>
  <c r="F11866" i="13"/>
  <c r="A11866" i="13"/>
  <c r="F11865" i="13"/>
  <c r="A11865" i="13"/>
  <c r="J11864" i="13"/>
  <c r="F11864" i="13"/>
  <c r="A11864" i="13"/>
  <c r="F11863" i="13"/>
  <c r="A11863" i="13"/>
  <c r="J11862" i="13"/>
  <c r="F11862" i="13"/>
  <c r="A11862" i="13"/>
  <c r="J11861" i="13"/>
  <c r="F11861" i="13"/>
  <c r="A11861" i="13"/>
  <c r="J11860" i="13"/>
  <c r="F11860" i="13"/>
  <c r="A11860" i="13"/>
  <c r="F11859" i="13"/>
  <c r="A11859" i="13"/>
  <c r="J11858" i="13"/>
  <c r="F11858" i="13"/>
  <c r="A11858" i="13"/>
  <c r="J11857" i="13"/>
  <c r="F11857" i="13"/>
  <c r="A11857" i="13"/>
  <c r="F11856" i="13"/>
  <c r="A11856" i="13"/>
  <c r="F11855" i="13"/>
  <c r="A11855" i="13"/>
  <c r="J11854" i="13"/>
  <c r="F11854" i="13"/>
  <c r="A11854" i="13"/>
  <c r="J11853" i="13"/>
  <c r="F11853" i="13"/>
  <c r="A11853" i="13"/>
  <c r="J11852" i="13"/>
  <c r="F11852" i="13"/>
  <c r="A11852" i="13"/>
  <c r="F11851" i="13"/>
  <c r="A11851" i="13"/>
  <c r="J11850" i="13"/>
  <c r="F11850" i="13"/>
  <c r="A11850" i="13"/>
  <c r="J11849" i="13"/>
  <c r="F11849" i="13"/>
  <c r="A11849" i="13"/>
  <c r="J11848" i="13"/>
  <c r="F11848" i="13"/>
  <c r="A11848" i="13"/>
  <c r="J11847" i="13"/>
  <c r="F11847" i="13"/>
  <c r="A11847" i="13"/>
  <c r="J11846" i="13"/>
  <c r="F11846" i="13"/>
  <c r="A11846" i="13"/>
  <c r="J11845" i="13"/>
  <c r="F11845" i="13"/>
  <c r="A11845" i="13"/>
  <c r="J11844" i="13"/>
  <c r="F11844" i="13"/>
  <c r="A11844" i="13"/>
  <c r="J11843" i="13"/>
  <c r="F11843" i="13"/>
  <c r="A11843" i="13"/>
  <c r="J11842" i="13"/>
  <c r="F11842" i="13"/>
  <c r="A11842" i="13"/>
  <c r="J11841" i="13"/>
  <c r="F11841" i="13"/>
  <c r="F11840" i="13"/>
  <c r="A11840" i="13"/>
  <c r="F11839" i="13"/>
  <c r="A11839" i="13"/>
  <c r="J11838" i="13"/>
  <c r="F11838" i="13"/>
  <c r="A11838" i="13"/>
  <c r="J11837" i="13"/>
  <c r="F11837" i="13"/>
  <c r="A11837" i="13"/>
  <c r="F11836" i="13"/>
  <c r="A11836" i="13"/>
  <c r="J11835" i="13"/>
  <c r="F11835" i="13"/>
  <c r="A11835" i="13"/>
  <c r="J11834" i="13"/>
  <c r="F11834" i="13"/>
  <c r="A11834" i="13"/>
  <c r="J11833" i="13"/>
  <c r="F11833" i="13"/>
  <c r="A11833" i="13"/>
  <c r="J11832" i="13"/>
  <c r="F11832" i="13"/>
  <c r="A11832" i="13"/>
  <c r="F11831" i="13"/>
  <c r="A11831" i="13"/>
  <c r="J11830" i="13"/>
  <c r="F11830" i="13"/>
  <c r="A11830" i="13"/>
  <c r="J11829" i="13"/>
  <c r="F11829" i="13"/>
  <c r="A11829" i="13"/>
  <c r="F11828" i="13"/>
  <c r="A11828" i="13"/>
  <c r="J11827" i="13"/>
  <c r="F11827" i="13"/>
  <c r="A11827" i="13"/>
  <c r="J11826" i="13"/>
  <c r="F11826" i="13"/>
  <c r="A11826" i="13"/>
  <c r="J11825" i="13"/>
  <c r="F11825" i="13"/>
  <c r="A11825" i="13"/>
  <c r="J11824" i="13"/>
  <c r="F11824" i="13"/>
  <c r="A11824" i="13"/>
  <c r="J11823" i="13"/>
  <c r="F11823" i="13"/>
  <c r="A11823" i="13"/>
  <c r="J11822" i="13"/>
  <c r="F11822" i="13"/>
  <c r="A11822" i="13"/>
  <c r="F11821" i="13"/>
  <c r="A11821" i="13"/>
  <c r="F11820" i="13"/>
  <c r="A11820" i="13"/>
  <c r="J11819" i="13"/>
  <c r="F11819" i="13"/>
  <c r="A11819" i="13"/>
  <c r="J11818" i="13"/>
  <c r="F11818" i="13"/>
  <c r="A11818" i="13"/>
  <c r="J11817" i="13"/>
  <c r="F11817" i="13"/>
  <c r="A11817" i="13"/>
  <c r="J11816" i="13"/>
  <c r="F11816" i="13"/>
  <c r="A11816" i="13"/>
  <c r="J11815" i="13"/>
  <c r="F11815" i="13"/>
  <c r="A11815" i="13"/>
  <c r="J11814" i="13"/>
  <c r="F11814" i="13"/>
  <c r="A11814" i="13"/>
  <c r="J11813" i="13"/>
  <c r="F11813" i="13"/>
  <c r="A11813" i="13"/>
  <c r="J11812" i="13"/>
  <c r="F11812" i="13"/>
  <c r="A11812" i="13"/>
  <c r="J11811" i="13"/>
  <c r="F11811" i="13"/>
  <c r="A11811" i="13"/>
  <c r="J11810" i="13"/>
  <c r="F11810" i="13"/>
  <c r="A11810" i="13"/>
  <c r="J11809" i="13"/>
  <c r="F11809" i="13"/>
  <c r="A11809" i="13"/>
  <c r="J11808" i="13"/>
  <c r="F11808" i="13"/>
  <c r="A11808" i="13"/>
  <c r="J11807" i="13"/>
  <c r="F11807" i="13"/>
  <c r="A11807" i="13"/>
  <c r="J11806" i="13"/>
  <c r="F11806" i="13"/>
  <c r="A11806" i="13"/>
  <c r="J11805" i="13"/>
  <c r="F11805" i="13"/>
  <c r="J11804" i="13"/>
  <c r="F11804" i="13"/>
  <c r="A11804" i="13"/>
  <c r="F11803" i="13"/>
  <c r="A11803" i="13"/>
  <c r="F11802" i="13"/>
  <c r="A11802" i="13"/>
  <c r="J11801" i="13"/>
  <c r="F11801" i="13"/>
  <c r="A11801" i="13"/>
  <c r="J11800" i="13"/>
  <c r="F11800" i="13"/>
  <c r="A11800" i="13"/>
  <c r="F11799" i="13"/>
  <c r="A11799" i="13"/>
  <c r="J11798" i="13"/>
  <c r="F11798" i="13"/>
  <c r="J11797" i="13"/>
  <c r="F11797" i="13"/>
  <c r="F11796" i="13"/>
  <c r="A11796" i="13"/>
  <c r="F11795" i="13"/>
  <c r="A11795" i="13"/>
  <c r="F11794" i="13"/>
  <c r="A11794" i="13"/>
  <c r="F11793" i="13"/>
  <c r="A11793" i="13"/>
  <c r="F11792" i="13"/>
  <c r="A11792" i="13"/>
  <c r="F11791" i="13"/>
  <c r="A11791" i="13"/>
  <c r="F11790" i="13"/>
  <c r="A11790" i="13"/>
  <c r="F11789" i="13"/>
  <c r="A11789" i="13"/>
  <c r="F11788" i="13"/>
  <c r="A11788" i="13"/>
  <c r="F11787" i="13"/>
  <c r="A11787" i="13"/>
  <c r="F11786" i="13"/>
  <c r="A11786" i="13"/>
  <c r="F11785" i="13"/>
  <c r="A11785" i="13"/>
  <c r="F11784" i="13"/>
  <c r="A11784" i="13"/>
  <c r="F11783" i="13"/>
  <c r="A11783" i="13"/>
  <c r="F11782" i="13"/>
  <c r="A11782" i="13"/>
  <c r="F11781" i="13"/>
  <c r="J11780" i="13"/>
  <c r="F11780" i="13"/>
  <c r="A11780" i="13"/>
  <c r="J11779" i="13"/>
  <c r="F11779" i="13"/>
  <c r="A11779" i="13"/>
  <c r="J11778" i="13"/>
  <c r="F11778" i="13"/>
  <c r="A11778" i="13"/>
  <c r="F11777" i="13"/>
  <c r="A11777" i="13"/>
  <c r="F11776" i="13"/>
  <c r="A11776" i="13"/>
  <c r="J11775" i="13"/>
  <c r="F11775" i="13"/>
  <c r="A11775" i="13"/>
  <c r="J11774" i="13"/>
  <c r="F11774" i="13"/>
  <c r="A11774" i="13"/>
  <c r="J11773" i="13"/>
  <c r="F11773" i="13"/>
  <c r="A11773" i="13"/>
  <c r="J11772" i="13"/>
  <c r="F11772" i="13"/>
  <c r="A11772" i="13"/>
  <c r="J11771" i="13"/>
  <c r="F11771" i="13"/>
  <c r="A11771" i="13"/>
  <c r="J11770" i="13"/>
  <c r="F11770" i="13"/>
  <c r="A11770" i="13"/>
  <c r="J11769" i="13"/>
  <c r="F11769" i="13"/>
  <c r="A11769" i="13"/>
  <c r="J11768" i="13"/>
  <c r="F11768" i="13"/>
  <c r="A11768" i="13"/>
  <c r="J11767" i="13"/>
  <c r="F11767" i="13"/>
  <c r="A11767" i="13"/>
  <c r="J11766" i="13"/>
  <c r="F11766" i="13"/>
  <c r="A11766" i="13"/>
  <c r="J11765" i="13"/>
  <c r="F11765" i="13"/>
  <c r="A11765" i="13"/>
  <c r="J11764" i="13"/>
  <c r="F11764" i="13"/>
  <c r="J11763" i="13"/>
  <c r="F11763" i="13"/>
  <c r="A11763" i="13"/>
  <c r="J11762" i="13"/>
  <c r="F11762" i="13"/>
  <c r="A11762" i="13"/>
  <c r="J11761" i="13"/>
  <c r="F11761" i="13"/>
  <c r="A11761" i="13"/>
  <c r="J11760" i="13"/>
  <c r="F11760" i="13"/>
  <c r="J11759" i="13"/>
  <c r="F11759" i="13"/>
  <c r="A11759" i="13"/>
  <c r="J11758" i="13"/>
  <c r="F11758" i="13"/>
  <c r="A11758" i="13"/>
  <c r="J11757" i="13"/>
  <c r="F11757" i="13"/>
  <c r="A11757" i="13"/>
  <c r="J11756" i="13"/>
  <c r="F11756" i="13"/>
  <c r="A11756" i="13"/>
  <c r="J11755" i="13"/>
  <c r="F11755" i="13"/>
  <c r="A11755" i="13"/>
  <c r="J11754" i="13"/>
  <c r="F11754" i="13"/>
  <c r="A11754" i="13"/>
  <c r="J11753" i="13"/>
  <c r="F11753" i="13"/>
  <c r="A11753" i="13"/>
  <c r="J11752" i="13"/>
  <c r="F11752" i="13"/>
  <c r="A11752" i="13"/>
  <c r="J11751" i="13"/>
  <c r="F11751" i="13"/>
  <c r="A11751" i="13"/>
  <c r="J11750" i="13"/>
  <c r="F11750" i="13"/>
  <c r="A11750" i="13"/>
  <c r="J11749" i="13"/>
  <c r="F11749" i="13"/>
  <c r="A11749" i="13"/>
  <c r="J11748" i="13"/>
  <c r="F11748" i="13"/>
  <c r="A11748" i="13"/>
  <c r="J11747" i="13"/>
  <c r="F11747" i="13"/>
  <c r="A11747" i="13"/>
  <c r="J11746" i="13"/>
  <c r="F11746" i="13"/>
  <c r="J11745" i="13"/>
  <c r="F11745" i="13"/>
  <c r="A11745" i="13"/>
  <c r="J11744" i="13"/>
  <c r="F11744" i="13"/>
  <c r="A11744" i="13"/>
  <c r="J11743" i="13"/>
  <c r="F11743" i="13"/>
  <c r="A11743" i="13"/>
  <c r="J11742" i="13"/>
  <c r="F11742" i="13"/>
  <c r="J11741" i="13"/>
  <c r="F11741" i="13"/>
  <c r="A11741" i="13"/>
  <c r="J11740" i="13"/>
  <c r="F11740" i="13"/>
  <c r="A11740" i="13"/>
  <c r="J11739" i="13"/>
  <c r="F11739" i="13"/>
  <c r="A11739" i="13"/>
  <c r="J11738" i="13"/>
  <c r="F11738" i="13"/>
  <c r="J11737" i="13"/>
  <c r="F11737" i="13"/>
  <c r="A11737" i="13"/>
  <c r="J11736" i="13"/>
  <c r="F11736" i="13"/>
  <c r="A11736" i="13"/>
  <c r="J11735" i="13"/>
  <c r="F11735" i="13"/>
  <c r="A11735" i="13"/>
  <c r="J11734" i="13"/>
  <c r="F11734" i="13"/>
  <c r="A11734" i="13"/>
  <c r="J11733" i="13"/>
  <c r="F11733" i="13"/>
  <c r="A11733" i="13"/>
  <c r="J11732" i="13"/>
  <c r="F11732" i="13"/>
  <c r="A11732" i="13"/>
  <c r="J11731" i="13"/>
  <c r="F11731" i="13"/>
  <c r="A11731" i="13"/>
  <c r="J11730" i="13"/>
  <c r="F11730" i="13"/>
  <c r="A11730" i="13"/>
  <c r="J11729" i="13"/>
  <c r="F11729" i="13"/>
  <c r="A11729" i="13"/>
  <c r="J11728" i="13"/>
  <c r="F11728" i="13"/>
  <c r="A11728" i="13"/>
  <c r="J11727" i="13"/>
  <c r="F11727" i="13"/>
  <c r="J11726" i="13"/>
  <c r="F11726" i="13"/>
  <c r="A11726" i="13"/>
  <c r="J11725" i="13"/>
  <c r="F11725" i="13"/>
  <c r="A11725" i="13"/>
  <c r="J11724" i="13"/>
  <c r="F11724" i="13"/>
  <c r="A11724" i="13"/>
  <c r="J11723" i="13"/>
  <c r="F11723" i="13"/>
  <c r="A11723" i="13"/>
  <c r="J11722" i="13"/>
  <c r="F11722" i="13"/>
  <c r="J11721" i="13"/>
  <c r="F11721" i="13"/>
  <c r="A11721" i="13"/>
  <c r="J11720" i="13"/>
  <c r="F11720" i="13"/>
  <c r="A11720" i="13"/>
  <c r="J11719" i="13"/>
  <c r="F11719" i="13"/>
  <c r="J11718" i="13"/>
  <c r="F11718" i="13"/>
  <c r="A11718" i="13"/>
  <c r="J11717" i="13"/>
  <c r="F11717" i="13"/>
  <c r="A11717" i="13"/>
  <c r="J11716" i="13"/>
  <c r="F11716" i="13"/>
  <c r="A11716" i="13"/>
  <c r="J11715" i="13"/>
  <c r="F11715" i="13"/>
  <c r="A11715" i="13"/>
  <c r="J11714" i="13"/>
  <c r="F11714" i="13"/>
  <c r="J11713" i="13"/>
  <c r="F11713" i="13"/>
  <c r="A11713" i="13"/>
  <c r="J11712" i="13"/>
  <c r="F11712" i="13"/>
  <c r="A11712" i="13"/>
  <c r="J11711" i="13"/>
  <c r="F11711" i="13"/>
  <c r="A11711" i="13"/>
  <c r="F11710" i="13"/>
  <c r="A11710" i="13"/>
  <c r="J11709" i="13"/>
  <c r="F11709" i="13"/>
  <c r="A11709" i="13"/>
  <c r="J11708" i="13"/>
  <c r="F11708" i="13"/>
  <c r="A11708" i="13"/>
  <c r="J11707" i="13"/>
  <c r="F11707" i="13"/>
  <c r="A11707" i="13"/>
  <c r="J11706" i="13"/>
  <c r="F11706" i="13"/>
  <c r="J11705" i="13"/>
  <c r="F11705" i="13"/>
  <c r="A11705" i="13"/>
  <c r="J11704" i="13"/>
  <c r="F11704" i="13"/>
  <c r="A11704" i="13"/>
  <c r="J11703" i="13"/>
  <c r="F11703" i="13"/>
  <c r="A11703" i="13"/>
  <c r="J11702" i="13"/>
  <c r="F11702" i="13"/>
  <c r="J11701" i="13"/>
  <c r="F11701" i="13"/>
  <c r="A11701" i="13"/>
  <c r="J11700" i="13"/>
  <c r="F11700" i="13"/>
  <c r="A11700" i="13"/>
  <c r="J11699" i="13"/>
  <c r="F11699" i="13"/>
  <c r="A11699" i="13"/>
  <c r="J11698" i="13"/>
  <c r="F11698" i="13"/>
  <c r="A11698" i="13"/>
  <c r="J11697" i="13"/>
  <c r="F11697" i="13"/>
  <c r="A11697" i="13"/>
  <c r="J11696" i="13"/>
  <c r="F11696" i="13"/>
  <c r="A11696" i="13"/>
  <c r="J11695" i="13"/>
  <c r="F11695" i="13"/>
  <c r="A11695" i="13"/>
  <c r="J11694" i="13"/>
  <c r="F11694" i="13"/>
  <c r="A11694" i="13"/>
  <c r="J11693" i="13"/>
  <c r="F11693" i="13"/>
  <c r="A11693" i="13"/>
  <c r="J11692" i="13"/>
  <c r="F11692" i="13"/>
  <c r="A11692" i="13"/>
  <c r="J11691" i="13"/>
  <c r="F11691" i="13"/>
  <c r="J11690" i="13"/>
  <c r="F11690" i="13"/>
  <c r="A11690" i="13"/>
  <c r="J11689" i="13"/>
  <c r="F11689" i="13"/>
  <c r="A11689" i="13"/>
  <c r="J11688" i="13"/>
  <c r="F11688" i="13"/>
  <c r="A11688" i="13"/>
  <c r="F11687" i="13"/>
  <c r="A11687" i="13"/>
  <c r="F11686" i="13"/>
  <c r="A11686" i="13"/>
  <c r="J11685" i="13"/>
  <c r="F11685" i="13"/>
  <c r="A11685" i="13"/>
  <c r="J11684" i="13"/>
  <c r="F11684" i="13"/>
  <c r="A11684" i="13"/>
  <c r="J11683" i="13"/>
  <c r="F11683" i="13"/>
  <c r="A11683" i="13"/>
  <c r="F11682" i="13"/>
  <c r="A11682" i="13"/>
  <c r="J11681" i="13"/>
  <c r="F11681" i="13"/>
  <c r="A11681" i="13"/>
  <c r="J11680" i="13"/>
  <c r="F11680" i="13"/>
  <c r="A11680" i="13"/>
  <c r="F11679" i="13"/>
  <c r="A11679" i="13"/>
  <c r="J11678" i="13"/>
  <c r="F11678" i="13"/>
  <c r="A11678" i="13"/>
  <c r="J11677" i="13"/>
  <c r="F11677" i="13"/>
  <c r="A11677" i="13"/>
  <c r="F11676" i="13"/>
  <c r="A11676" i="13"/>
  <c r="J11675" i="13"/>
  <c r="F11675" i="13"/>
  <c r="A11675" i="13"/>
  <c r="J11674" i="13"/>
  <c r="F11674" i="13"/>
  <c r="A11674" i="13"/>
  <c r="J11673" i="13"/>
  <c r="F11673" i="13"/>
  <c r="A11673" i="13"/>
  <c r="J11672" i="13"/>
  <c r="F11672" i="13"/>
  <c r="J11671" i="13"/>
  <c r="F11671" i="13"/>
  <c r="A11671" i="13"/>
  <c r="J11670" i="13"/>
  <c r="F11670" i="13"/>
  <c r="A11670" i="13"/>
  <c r="J11669" i="13"/>
  <c r="F11669" i="13"/>
  <c r="J11668" i="13"/>
  <c r="F11668" i="13"/>
  <c r="A11668" i="13"/>
  <c r="J11667" i="13"/>
  <c r="F11667" i="13"/>
  <c r="A11667" i="13"/>
  <c r="J11666" i="13"/>
  <c r="F11666" i="13"/>
  <c r="A11666" i="13"/>
  <c r="J11665" i="13"/>
  <c r="F11665" i="13"/>
  <c r="A11665" i="13"/>
  <c r="J11664" i="13"/>
  <c r="F11664" i="13"/>
  <c r="J11663" i="13"/>
  <c r="F11663" i="13"/>
  <c r="A11663" i="13"/>
  <c r="J11662" i="13"/>
  <c r="F11662" i="13"/>
  <c r="A11662" i="13"/>
  <c r="J11661" i="13"/>
  <c r="F11661" i="13"/>
  <c r="A11661" i="13"/>
  <c r="J11660" i="13"/>
  <c r="F11660" i="13"/>
  <c r="J11659" i="13"/>
  <c r="F11659" i="13"/>
  <c r="A11659" i="13"/>
  <c r="F11658" i="13"/>
  <c r="A11658" i="13"/>
  <c r="J11657" i="13"/>
  <c r="F11657" i="13"/>
  <c r="A11657" i="13"/>
  <c r="J11656" i="13"/>
  <c r="F11656" i="13"/>
  <c r="A11656" i="13"/>
  <c r="J11655" i="13"/>
  <c r="F11655" i="13"/>
  <c r="A11655" i="13"/>
  <c r="J11654" i="13"/>
  <c r="F11654" i="13"/>
  <c r="J11653" i="13"/>
  <c r="F11653" i="13"/>
  <c r="A11653" i="13"/>
  <c r="J11652" i="13"/>
  <c r="F11652" i="13"/>
  <c r="A11652" i="13"/>
  <c r="J11651" i="13"/>
  <c r="F11651" i="13"/>
  <c r="A11651" i="13"/>
  <c r="J11650" i="13"/>
  <c r="F11650" i="13"/>
  <c r="J11649" i="13"/>
  <c r="F11649" i="13"/>
  <c r="A11649" i="13"/>
  <c r="J11648" i="13"/>
  <c r="F11648" i="13"/>
  <c r="A11648" i="13"/>
  <c r="J11647" i="13"/>
  <c r="F11647" i="13"/>
  <c r="J11646" i="13"/>
  <c r="F11646" i="13"/>
  <c r="A11646" i="13"/>
  <c r="J11645" i="13"/>
  <c r="F11645" i="13"/>
  <c r="A11645" i="13"/>
  <c r="J11644" i="13"/>
  <c r="F11644" i="13"/>
  <c r="J11643" i="13"/>
  <c r="F11643" i="13"/>
  <c r="A11643" i="13"/>
  <c r="F11642" i="13"/>
  <c r="A11642" i="13"/>
  <c r="F11641" i="13"/>
  <c r="A11641" i="13"/>
  <c r="F11640" i="13"/>
  <c r="A11640" i="13"/>
  <c r="F11639" i="13"/>
  <c r="A11639" i="13"/>
  <c r="F11638" i="13"/>
  <c r="A11638" i="13"/>
  <c r="F11637" i="13"/>
  <c r="A11637" i="13"/>
  <c r="F11636" i="13"/>
  <c r="A11636" i="13"/>
  <c r="F11635" i="13"/>
  <c r="A11635" i="13"/>
  <c r="F11634" i="13"/>
  <c r="A11634" i="13"/>
  <c r="J11633" i="13"/>
  <c r="F11633" i="13"/>
  <c r="A11633" i="13"/>
  <c r="J11632" i="13"/>
  <c r="F11632" i="13"/>
  <c r="A11632" i="13"/>
  <c r="J11631" i="13"/>
  <c r="F11631" i="13"/>
  <c r="A11631" i="13"/>
  <c r="F11630" i="13"/>
  <c r="A11630" i="13"/>
  <c r="J11629" i="13"/>
  <c r="F11629" i="13"/>
  <c r="A11629" i="13"/>
  <c r="J11628" i="13"/>
  <c r="F11628" i="13"/>
  <c r="A11628" i="13"/>
  <c r="J11627" i="13"/>
  <c r="F11627" i="13"/>
  <c r="A11627" i="13"/>
  <c r="F11626" i="13"/>
  <c r="A11626" i="13"/>
  <c r="J11625" i="13"/>
  <c r="F11625" i="13"/>
  <c r="A11625" i="13"/>
  <c r="F11624" i="13"/>
  <c r="A11624" i="13"/>
  <c r="J11623" i="13"/>
  <c r="F11623" i="13"/>
  <c r="A11623" i="13"/>
  <c r="J11622" i="13"/>
  <c r="F11622" i="13"/>
  <c r="A11622" i="13"/>
  <c r="J11621" i="13"/>
  <c r="F11621" i="13"/>
  <c r="A11621" i="13"/>
  <c r="J11620" i="13"/>
  <c r="F11620" i="13"/>
  <c r="A11620" i="13"/>
  <c r="J11619" i="13"/>
  <c r="F11619" i="13"/>
  <c r="A11619" i="13"/>
  <c r="J11618" i="13"/>
  <c r="F11618" i="13"/>
  <c r="A11618" i="13"/>
  <c r="F11617" i="13"/>
  <c r="A11617" i="13"/>
  <c r="J11616" i="13"/>
  <c r="F11616" i="13"/>
  <c r="J11615" i="13"/>
  <c r="F11615" i="13"/>
  <c r="F11614" i="13"/>
  <c r="A11614" i="13"/>
  <c r="F11613" i="13"/>
  <c r="A11613" i="13"/>
  <c r="F11612" i="13"/>
  <c r="A11612" i="13"/>
  <c r="F11611" i="13"/>
  <c r="A11611" i="13"/>
  <c r="F11610" i="13"/>
  <c r="A11610" i="13"/>
  <c r="F11609" i="13"/>
  <c r="A11609" i="13"/>
  <c r="F11608" i="13"/>
  <c r="A11608" i="13"/>
  <c r="F11607" i="13"/>
  <c r="A11607" i="13"/>
  <c r="F11606" i="13"/>
  <c r="A11606" i="13"/>
  <c r="F11605" i="13"/>
  <c r="A11605" i="13"/>
  <c r="F11604" i="13"/>
  <c r="A11604" i="13"/>
  <c r="F11603" i="13"/>
  <c r="A11603" i="13"/>
  <c r="F11602" i="13"/>
  <c r="A11602" i="13"/>
  <c r="F11601" i="13"/>
  <c r="A11601" i="13"/>
  <c r="F11600" i="13"/>
  <c r="J11599" i="13"/>
  <c r="F11599" i="13"/>
  <c r="A11599" i="13"/>
  <c r="J11598" i="13"/>
  <c r="F11598" i="13"/>
  <c r="A11598" i="13"/>
  <c r="F11597" i="13"/>
  <c r="A11597" i="13"/>
  <c r="F11596" i="13"/>
  <c r="A11596" i="13"/>
  <c r="F11595" i="13"/>
  <c r="A11595" i="13"/>
  <c r="J11594" i="13"/>
  <c r="F11594" i="13"/>
  <c r="A11594" i="13"/>
  <c r="J11593" i="13"/>
  <c r="F11593" i="13"/>
  <c r="A11593" i="13"/>
  <c r="F11592" i="13"/>
  <c r="A11592" i="13"/>
  <c r="F11591" i="13"/>
  <c r="A11591" i="13"/>
  <c r="J11590" i="13"/>
  <c r="F11590" i="13"/>
  <c r="A11590" i="13"/>
  <c r="J11589" i="13"/>
  <c r="F11589" i="13"/>
  <c r="A11589" i="13"/>
  <c r="J11588" i="13"/>
  <c r="F11588" i="13"/>
  <c r="J11587" i="13"/>
  <c r="F11587" i="13"/>
  <c r="A11587" i="13"/>
  <c r="J11586" i="13"/>
  <c r="F11586" i="13"/>
  <c r="A11586" i="13"/>
  <c r="J11585" i="13"/>
  <c r="F11585" i="13"/>
  <c r="A11585" i="13"/>
  <c r="J11584" i="13"/>
  <c r="F11584" i="13"/>
  <c r="J11583" i="13"/>
  <c r="F11583" i="13"/>
  <c r="A11583" i="13"/>
  <c r="F11582" i="13"/>
  <c r="A11582" i="13"/>
  <c r="J11581" i="13"/>
  <c r="F11581" i="13"/>
  <c r="J11580" i="13"/>
  <c r="F11580" i="13"/>
  <c r="F11579" i="13"/>
  <c r="A11579" i="13"/>
  <c r="F11578" i="13"/>
  <c r="A11578" i="13"/>
  <c r="F11577" i="13"/>
  <c r="A11577" i="13"/>
  <c r="F11576" i="13"/>
  <c r="A11576" i="13"/>
  <c r="F11575" i="13"/>
  <c r="A11575" i="13"/>
  <c r="F11574" i="13"/>
  <c r="F11573" i="13"/>
  <c r="A11573" i="13"/>
  <c r="J11572" i="13"/>
  <c r="F11572" i="13"/>
  <c r="J11571" i="13"/>
  <c r="F11571" i="13"/>
  <c r="F11570" i="13"/>
  <c r="A11570" i="13"/>
  <c r="F11569" i="13"/>
  <c r="A11569" i="13"/>
  <c r="F11568" i="13"/>
  <c r="A11568" i="13"/>
  <c r="F11567" i="13"/>
  <c r="A11567" i="13"/>
  <c r="F11566" i="13"/>
  <c r="A11566" i="13"/>
  <c r="F11565" i="13"/>
  <c r="J11564" i="13"/>
  <c r="F11564" i="13"/>
  <c r="A11564" i="13"/>
  <c r="J11563" i="13"/>
  <c r="F11563" i="13"/>
  <c r="A11563" i="13"/>
  <c r="J11562" i="13"/>
  <c r="F11562" i="13"/>
  <c r="A11562" i="13"/>
  <c r="J11561" i="13"/>
  <c r="F11561" i="13"/>
  <c r="A11561" i="13"/>
  <c r="J11560" i="13"/>
  <c r="F11560" i="13"/>
  <c r="A11560" i="13"/>
  <c r="J11559" i="13"/>
  <c r="F11559" i="13"/>
  <c r="A11559" i="13"/>
  <c r="F11558" i="13"/>
  <c r="A11558" i="13"/>
  <c r="F11557" i="13"/>
  <c r="A11557" i="13"/>
  <c r="F11556" i="13"/>
  <c r="A11556" i="13"/>
  <c r="J11555" i="13"/>
  <c r="F11555" i="13"/>
  <c r="A11555" i="13"/>
  <c r="J11554" i="13"/>
  <c r="F11554" i="13"/>
  <c r="A11554" i="13"/>
  <c r="F11553" i="13"/>
  <c r="A11553" i="13"/>
  <c r="J11552" i="13"/>
  <c r="F11552" i="13"/>
  <c r="A11552" i="13"/>
  <c r="J11551" i="13"/>
  <c r="F11551" i="13"/>
  <c r="A11551" i="13"/>
  <c r="F11550" i="13"/>
  <c r="A11550" i="13"/>
  <c r="J11549" i="13"/>
  <c r="F11549" i="13"/>
  <c r="A11549" i="13"/>
  <c r="J11548" i="13"/>
  <c r="F11548" i="13"/>
  <c r="A11548" i="13"/>
  <c r="J11547" i="13"/>
  <c r="F11547" i="13"/>
  <c r="A11547" i="13"/>
  <c r="J11546" i="13"/>
  <c r="F11546" i="13"/>
  <c r="A11546" i="13"/>
  <c r="J11545" i="13"/>
  <c r="F11545" i="13"/>
  <c r="A11545" i="13"/>
  <c r="F11544" i="13"/>
  <c r="A11544" i="13"/>
  <c r="J11543" i="13"/>
  <c r="F11543" i="13"/>
  <c r="A11543" i="13"/>
  <c r="F11542" i="13"/>
  <c r="A11542" i="13"/>
  <c r="J11541" i="13"/>
  <c r="F11541" i="13"/>
  <c r="A11541" i="13"/>
  <c r="J11540" i="13"/>
  <c r="F11540" i="13"/>
  <c r="A11540" i="13"/>
  <c r="J11539" i="13"/>
  <c r="F11539" i="13"/>
  <c r="A11539" i="13"/>
  <c r="F11538" i="13"/>
  <c r="A11538" i="13"/>
  <c r="F11537" i="13"/>
  <c r="A11537" i="13"/>
  <c r="J11536" i="13"/>
  <c r="F11536" i="13"/>
  <c r="A11536" i="13"/>
  <c r="J11535" i="13"/>
  <c r="F11535" i="13"/>
  <c r="A11535" i="13"/>
  <c r="J11534" i="13"/>
  <c r="F11534" i="13"/>
  <c r="A11534" i="13"/>
  <c r="F11533" i="13"/>
  <c r="A11533" i="13"/>
  <c r="F11532" i="13"/>
  <c r="A11532" i="13"/>
  <c r="F11531" i="13"/>
  <c r="A11531" i="13"/>
  <c r="J11530" i="13"/>
  <c r="F11530" i="13"/>
  <c r="A11530" i="13"/>
  <c r="J11529" i="13"/>
  <c r="F11529" i="13"/>
  <c r="J11528" i="13"/>
  <c r="F11528" i="13"/>
  <c r="F11527" i="13"/>
  <c r="A11527" i="13"/>
  <c r="F11526" i="13"/>
  <c r="A11526" i="13"/>
  <c r="F11525" i="13"/>
  <c r="A11525" i="13"/>
  <c r="F11524" i="13"/>
  <c r="A11524" i="13"/>
  <c r="F11523" i="13"/>
  <c r="A11523" i="13"/>
  <c r="F11522" i="13"/>
  <c r="A11522" i="13"/>
  <c r="F11521" i="13"/>
  <c r="A11521" i="13"/>
  <c r="F11520" i="13"/>
  <c r="A11520" i="13"/>
  <c r="F11519" i="13"/>
  <c r="F11518" i="13"/>
  <c r="A11518" i="13"/>
  <c r="F11517" i="13"/>
  <c r="A11517" i="13"/>
  <c r="F11516" i="13"/>
  <c r="J11515" i="13"/>
  <c r="F11515" i="13"/>
  <c r="A11515" i="13"/>
  <c r="J11514" i="13"/>
  <c r="F11514" i="13"/>
  <c r="A11514" i="13"/>
  <c r="J11513" i="13"/>
  <c r="F11513" i="13"/>
  <c r="A11513" i="13"/>
  <c r="J11512" i="13"/>
  <c r="F11512" i="13"/>
  <c r="A11512" i="13"/>
  <c r="J11511" i="13"/>
  <c r="F11511" i="13"/>
  <c r="A11511" i="13"/>
  <c r="J11510" i="13"/>
  <c r="F11510" i="13"/>
  <c r="A11510" i="13"/>
  <c r="F11509" i="13"/>
  <c r="A11509" i="13"/>
  <c r="J11508" i="13"/>
  <c r="F11508" i="13"/>
  <c r="A11508" i="13"/>
  <c r="F11507" i="13"/>
  <c r="A11507" i="13"/>
  <c r="J11506" i="13"/>
  <c r="F11506" i="13"/>
  <c r="A11506" i="13"/>
  <c r="J11505" i="13"/>
  <c r="F11505" i="13"/>
  <c r="A11505" i="13"/>
  <c r="J11504" i="13"/>
  <c r="F11504" i="13"/>
  <c r="A11504" i="13"/>
  <c r="J11503" i="13"/>
  <c r="F11503" i="13"/>
  <c r="A11503" i="13"/>
  <c r="F11502" i="13"/>
  <c r="A11502" i="13"/>
  <c r="J11501" i="13"/>
  <c r="F11501" i="13"/>
  <c r="A11501" i="13"/>
  <c r="J11500" i="13"/>
  <c r="F11500" i="13"/>
  <c r="A11500" i="13"/>
  <c r="J11499" i="13"/>
  <c r="F11499" i="13"/>
  <c r="A11499" i="13"/>
  <c r="J11498" i="13"/>
  <c r="F11498" i="13"/>
  <c r="A11498" i="13"/>
  <c r="F11497" i="13"/>
  <c r="A11497" i="13"/>
  <c r="F11496" i="13"/>
  <c r="A11496" i="13"/>
  <c r="J11495" i="13"/>
  <c r="F11495" i="13"/>
  <c r="A11495" i="13"/>
  <c r="F11494" i="13"/>
  <c r="A11494" i="13"/>
  <c r="F11493" i="13"/>
  <c r="A11493" i="13"/>
  <c r="J11492" i="13"/>
  <c r="F11492" i="13"/>
  <c r="A11492" i="13"/>
  <c r="J11491" i="13"/>
  <c r="F11491" i="13"/>
  <c r="A11491" i="13"/>
  <c r="J11490" i="13"/>
  <c r="F11490" i="13"/>
  <c r="A11490" i="13"/>
  <c r="J11489" i="13"/>
  <c r="F11489" i="13"/>
  <c r="A11489" i="13"/>
  <c r="J11488" i="13"/>
  <c r="F11488" i="13"/>
  <c r="A11488" i="13"/>
  <c r="J11487" i="13"/>
  <c r="F11487" i="13"/>
  <c r="A11487" i="13"/>
  <c r="F11486" i="13"/>
  <c r="A11486" i="13"/>
  <c r="J11485" i="13"/>
  <c r="F11485" i="13"/>
  <c r="A11485" i="13"/>
  <c r="J11484" i="13"/>
  <c r="F11484" i="13"/>
  <c r="A11484" i="13"/>
  <c r="F11483" i="13"/>
  <c r="A11483" i="13"/>
  <c r="J11482" i="13"/>
  <c r="F11482" i="13"/>
  <c r="A11482" i="13"/>
  <c r="J11481" i="13"/>
  <c r="F11481" i="13"/>
  <c r="A11481" i="13"/>
  <c r="F11480" i="13"/>
  <c r="A11480" i="13"/>
  <c r="J11479" i="13"/>
  <c r="F11479" i="13"/>
  <c r="A11479" i="13"/>
  <c r="J11478" i="13"/>
  <c r="F11478" i="13"/>
  <c r="A11478" i="13"/>
  <c r="J11477" i="13"/>
  <c r="F11477" i="13"/>
  <c r="A11477" i="13"/>
  <c r="F11476" i="13"/>
  <c r="A11476" i="13"/>
  <c r="J11475" i="13"/>
  <c r="F11475" i="13"/>
  <c r="A11475" i="13"/>
  <c r="J11474" i="13"/>
  <c r="F11474" i="13"/>
  <c r="A11474" i="13"/>
  <c r="J11473" i="13"/>
  <c r="F11473" i="13"/>
  <c r="A11473" i="13"/>
  <c r="J11472" i="13"/>
  <c r="F11472" i="13"/>
  <c r="A11472" i="13"/>
  <c r="J11471" i="13"/>
  <c r="F11471" i="13"/>
  <c r="A11471" i="13"/>
  <c r="F11470" i="13"/>
  <c r="A11470" i="13"/>
  <c r="J11469" i="13"/>
  <c r="F11469" i="13"/>
  <c r="A11469" i="13"/>
  <c r="J11468" i="13"/>
  <c r="F11468" i="13"/>
  <c r="A11468" i="13"/>
  <c r="J11467" i="13"/>
  <c r="F11467" i="13"/>
  <c r="A11467" i="13"/>
  <c r="J11466" i="13"/>
  <c r="F11466" i="13"/>
  <c r="A11466" i="13"/>
  <c r="J11465" i="13"/>
  <c r="F11465" i="13"/>
  <c r="A11465" i="13"/>
  <c r="F11464" i="13"/>
  <c r="A11464" i="13"/>
  <c r="J11463" i="13"/>
  <c r="F11463" i="13"/>
  <c r="A11463" i="13"/>
  <c r="J11462" i="13"/>
  <c r="F11462" i="13"/>
  <c r="A11462" i="13"/>
  <c r="F11461" i="13"/>
  <c r="A11461" i="13"/>
  <c r="J11460" i="13"/>
  <c r="F11460" i="13"/>
  <c r="A11460" i="13"/>
  <c r="J11459" i="13"/>
  <c r="F11459" i="13"/>
  <c r="A11459" i="13"/>
  <c r="J11458" i="13"/>
  <c r="F11458" i="13"/>
  <c r="A11458" i="13"/>
  <c r="J11457" i="13"/>
  <c r="F11457" i="13"/>
  <c r="A11457" i="13"/>
  <c r="J11456" i="13"/>
  <c r="F11456" i="13"/>
  <c r="A11456" i="13"/>
  <c r="F11455" i="13"/>
  <c r="A11455" i="13"/>
  <c r="J11454" i="13"/>
  <c r="F11454" i="13"/>
  <c r="A11454" i="13"/>
  <c r="J11453" i="13"/>
  <c r="F11453" i="13"/>
  <c r="A11453" i="13"/>
  <c r="J11452" i="13"/>
  <c r="F11452" i="13"/>
  <c r="A11452" i="13"/>
  <c r="J11451" i="13"/>
  <c r="F11451" i="13"/>
  <c r="A11451" i="13"/>
  <c r="J11450" i="13"/>
  <c r="F11450" i="13"/>
  <c r="A11450" i="13"/>
  <c r="F11449" i="13"/>
  <c r="A11449" i="13"/>
  <c r="J11448" i="13"/>
  <c r="F11448" i="13"/>
  <c r="A11448" i="13"/>
  <c r="J11447" i="13"/>
  <c r="F11447" i="13"/>
  <c r="A11447" i="13"/>
  <c r="F11446" i="13"/>
  <c r="A11446" i="13"/>
  <c r="J11445" i="13"/>
  <c r="F11445" i="13"/>
  <c r="A11445" i="13"/>
  <c r="J11444" i="13"/>
  <c r="F11444" i="13"/>
  <c r="A11444" i="13"/>
  <c r="F11443" i="13"/>
  <c r="A11443" i="13"/>
  <c r="J11442" i="13"/>
  <c r="F11442" i="13"/>
  <c r="A11442" i="13"/>
  <c r="F11441" i="13"/>
  <c r="A11441" i="13"/>
  <c r="F11440" i="13"/>
  <c r="A11440" i="13"/>
  <c r="F11439" i="13"/>
  <c r="A11439" i="13"/>
  <c r="F11438" i="13"/>
  <c r="A11438" i="13"/>
  <c r="J11437" i="13"/>
  <c r="F11437" i="13"/>
  <c r="A11437" i="13"/>
  <c r="J11436" i="13"/>
  <c r="F11436" i="13"/>
  <c r="A11436" i="13"/>
  <c r="J11435" i="13"/>
  <c r="F11435" i="13"/>
  <c r="A11435" i="13"/>
  <c r="J11434" i="13"/>
  <c r="F11434" i="13"/>
  <c r="A11434" i="13"/>
  <c r="J11433" i="13"/>
  <c r="F11433" i="13"/>
  <c r="A11433" i="13"/>
  <c r="F11432" i="13"/>
  <c r="A11432" i="13"/>
  <c r="F11431" i="13"/>
  <c r="A11431" i="13"/>
  <c r="F11430" i="13"/>
  <c r="A11430" i="13"/>
  <c r="F11429" i="13"/>
  <c r="A11429" i="13"/>
  <c r="F11428" i="13"/>
  <c r="A11428" i="13"/>
  <c r="F11427" i="13"/>
  <c r="A11427" i="13"/>
  <c r="F11426" i="13"/>
  <c r="A11426" i="13"/>
  <c r="J11425" i="13"/>
  <c r="F11425" i="13"/>
  <c r="A11425" i="13"/>
  <c r="J11424" i="13"/>
  <c r="F11424" i="13"/>
  <c r="A11424" i="13"/>
  <c r="F11423" i="13"/>
  <c r="A11423" i="13"/>
  <c r="J11422" i="13"/>
  <c r="F11422" i="13"/>
  <c r="A11422" i="13"/>
  <c r="J11421" i="13"/>
  <c r="F11421" i="13"/>
  <c r="A11421" i="13"/>
  <c r="J11420" i="13"/>
  <c r="F11420" i="13"/>
  <c r="A11420" i="13"/>
  <c r="J11419" i="13"/>
  <c r="F11419" i="13"/>
  <c r="A11419" i="13"/>
  <c r="F11418" i="13"/>
  <c r="A11418" i="13"/>
  <c r="J11417" i="13"/>
  <c r="F11417" i="13"/>
  <c r="A11417" i="13"/>
  <c r="J11416" i="13"/>
  <c r="F11416" i="13"/>
  <c r="A11416" i="13"/>
  <c r="F11415" i="13"/>
  <c r="A11415" i="13"/>
  <c r="J11414" i="13"/>
  <c r="F11414" i="13"/>
  <c r="A11414" i="13"/>
  <c r="F11413" i="13"/>
  <c r="A11413" i="13"/>
  <c r="F11412" i="13"/>
  <c r="A11412" i="13"/>
  <c r="J11411" i="13"/>
  <c r="F11411" i="13"/>
  <c r="A11411" i="13"/>
  <c r="J11410" i="13"/>
  <c r="F11410" i="13"/>
  <c r="A11410" i="13"/>
  <c r="J11409" i="13"/>
  <c r="F11409" i="13"/>
  <c r="A11409" i="13"/>
  <c r="J11408" i="13"/>
  <c r="F11408" i="13"/>
  <c r="A11408" i="13"/>
  <c r="J11407" i="13"/>
  <c r="F11407" i="13"/>
  <c r="A11407" i="13"/>
  <c r="F11406" i="13"/>
  <c r="A11406" i="13"/>
  <c r="J11405" i="13"/>
  <c r="F11405" i="13"/>
  <c r="A11405" i="13"/>
  <c r="J11404" i="13"/>
  <c r="F11404" i="13"/>
  <c r="A11404" i="13"/>
  <c r="J11403" i="13"/>
  <c r="F11403" i="13"/>
  <c r="A11403" i="13"/>
  <c r="F11402" i="13"/>
  <c r="A11402" i="13"/>
  <c r="F11401" i="13"/>
  <c r="A11401" i="13"/>
  <c r="J11400" i="13"/>
  <c r="F11400" i="13"/>
  <c r="A11400" i="13"/>
  <c r="J11399" i="13"/>
  <c r="F11399" i="13"/>
  <c r="A11399" i="13"/>
  <c r="J11398" i="13"/>
  <c r="F11398" i="13"/>
  <c r="A11398" i="13"/>
  <c r="J11397" i="13"/>
  <c r="F11397" i="13"/>
  <c r="A11397" i="13"/>
  <c r="J11396" i="13"/>
  <c r="F11396" i="13"/>
  <c r="A11396" i="13"/>
  <c r="J11395" i="13"/>
  <c r="F11395" i="13"/>
  <c r="J11394" i="13"/>
  <c r="F11394" i="13"/>
  <c r="A11394" i="13"/>
  <c r="J11393" i="13"/>
  <c r="F11393" i="13"/>
  <c r="A11393" i="13"/>
  <c r="J11392" i="13"/>
  <c r="F11392" i="13"/>
  <c r="A11392" i="13"/>
  <c r="F11391" i="13"/>
  <c r="A11391" i="13"/>
  <c r="J11390" i="13"/>
  <c r="F11390" i="13"/>
  <c r="A11390" i="13"/>
  <c r="J11389" i="13"/>
  <c r="F11389" i="13"/>
  <c r="A11389" i="13"/>
  <c r="J11388" i="13"/>
  <c r="F11388" i="13"/>
  <c r="A11388" i="13"/>
  <c r="J11387" i="13"/>
  <c r="F11387" i="13"/>
  <c r="A11387" i="13"/>
  <c r="J11386" i="13"/>
  <c r="F11386" i="13"/>
  <c r="A11386" i="13"/>
  <c r="F11385" i="13"/>
  <c r="A11385" i="13"/>
  <c r="J11384" i="13"/>
  <c r="F11384" i="13"/>
  <c r="A11384" i="13"/>
  <c r="J11383" i="13"/>
  <c r="F11383" i="13"/>
  <c r="A11383" i="13"/>
  <c r="F11382" i="13"/>
  <c r="A11382" i="13"/>
  <c r="F11381" i="13"/>
  <c r="A11381" i="13"/>
  <c r="J11380" i="13"/>
  <c r="F11380" i="13"/>
  <c r="A11380" i="13"/>
  <c r="J11379" i="13"/>
  <c r="F11379" i="13"/>
  <c r="A11379" i="13"/>
  <c r="F11378" i="13"/>
  <c r="A11378" i="13"/>
  <c r="F11377" i="13"/>
  <c r="A11377" i="13"/>
  <c r="F11376" i="13"/>
  <c r="A11376" i="13"/>
  <c r="F11375" i="13"/>
  <c r="A11375" i="13"/>
  <c r="F11374" i="13"/>
  <c r="A11374" i="13"/>
  <c r="F11373" i="13"/>
  <c r="A11373" i="13"/>
  <c r="J11372" i="13"/>
  <c r="F11372" i="13"/>
  <c r="A11372" i="13"/>
  <c r="J11371" i="13"/>
  <c r="F11371" i="13"/>
  <c r="A11371" i="13"/>
  <c r="J11370" i="13"/>
  <c r="F11370" i="13"/>
  <c r="A11370" i="13"/>
  <c r="J11369" i="13"/>
  <c r="F11369" i="13"/>
  <c r="A11369" i="13"/>
  <c r="J11368" i="13"/>
  <c r="F11368" i="13"/>
  <c r="A11368" i="13"/>
  <c r="J11367" i="13"/>
  <c r="F11367" i="13"/>
  <c r="A11367" i="13"/>
  <c r="J11366" i="13"/>
  <c r="F11366" i="13"/>
  <c r="A11366" i="13"/>
  <c r="J11365" i="13"/>
  <c r="F11365" i="13"/>
  <c r="A11365" i="13"/>
  <c r="J11364" i="13"/>
  <c r="F11364" i="13"/>
  <c r="A11364" i="13"/>
  <c r="J11363" i="13"/>
  <c r="F11363" i="13"/>
  <c r="A11363" i="13"/>
  <c r="J11362" i="13"/>
  <c r="F11362" i="13"/>
  <c r="A11362" i="13"/>
  <c r="J11361" i="13"/>
  <c r="F11361" i="13"/>
  <c r="A11361" i="13"/>
  <c r="J11360" i="13"/>
  <c r="F11360" i="13"/>
  <c r="A11360" i="13"/>
  <c r="J11359" i="13"/>
  <c r="F11359" i="13"/>
  <c r="A11359" i="13"/>
  <c r="J11358" i="13"/>
  <c r="F11358" i="13"/>
  <c r="J11357" i="13"/>
  <c r="F11357" i="13"/>
  <c r="A11357" i="13"/>
  <c r="J11356" i="13"/>
  <c r="F11356" i="13"/>
  <c r="A11356" i="13"/>
  <c r="J11355" i="13"/>
  <c r="F11355" i="13"/>
  <c r="A11355" i="13"/>
  <c r="J11354" i="13"/>
  <c r="F11354" i="13"/>
  <c r="A11354" i="13"/>
  <c r="J11353" i="13"/>
  <c r="F11353" i="13"/>
  <c r="A11353" i="13"/>
  <c r="J11352" i="13"/>
  <c r="F11352" i="13"/>
  <c r="A11352" i="13"/>
  <c r="J11351" i="13"/>
  <c r="F11351" i="13"/>
  <c r="A11351" i="13"/>
  <c r="J11350" i="13"/>
  <c r="F11350" i="13"/>
  <c r="A11350" i="13"/>
  <c r="J11349" i="13"/>
  <c r="F11349" i="13"/>
  <c r="A11349" i="13"/>
  <c r="J11348" i="13"/>
  <c r="F11348" i="13"/>
  <c r="A11348" i="13"/>
  <c r="J11347" i="13"/>
  <c r="F11347" i="13"/>
  <c r="A11347" i="13"/>
  <c r="J11346" i="13"/>
  <c r="F11346" i="13"/>
  <c r="A11346" i="13"/>
  <c r="J11345" i="13"/>
  <c r="F11345" i="13"/>
  <c r="A11345" i="13"/>
  <c r="J11344" i="13"/>
  <c r="F11344" i="13"/>
  <c r="A11344" i="13"/>
  <c r="J11343" i="13"/>
  <c r="F11343" i="13"/>
  <c r="A11343" i="13"/>
  <c r="J11342" i="13"/>
  <c r="F11342" i="13"/>
  <c r="A11342" i="13"/>
  <c r="J11341" i="13"/>
  <c r="F11341" i="13"/>
  <c r="A11341" i="13"/>
  <c r="J11340" i="13"/>
  <c r="F11340" i="13"/>
  <c r="A11340" i="13"/>
  <c r="J11339" i="13"/>
  <c r="F11339" i="13"/>
  <c r="A11339" i="13"/>
  <c r="J11338" i="13"/>
  <c r="F11338" i="13"/>
  <c r="A11338" i="13"/>
  <c r="J11337" i="13"/>
  <c r="F11337" i="13"/>
  <c r="J11336" i="13"/>
  <c r="F11336" i="13"/>
  <c r="A11336" i="13"/>
  <c r="J11335" i="13"/>
  <c r="F11335" i="13"/>
  <c r="A11335" i="13"/>
  <c r="J11334" i="13"/>
  <c r="F11334" i="13"/>
  <c r="A11334" i="13"/>
  <c r="J11333" i="13"/>
  <c r="F11333" i="13"/>
  <c r="A11333" i="13"/>
  <c r="J11332" i="13"/>
  <c r="F11332" i="13"/>
  <c r="A11332" i="13"/>
  <c r="J11331" i="13"/>
  <c r="F11331" i="13"/>
  <c r="A11331" i="13"/>
  <c r="J11330" i="13"/>
  <c r="F11330" i="13"/>
  <c r="A11330" i="13"/>
  <c r="J11329" i="13"/>
  <c r="F11329" i="13"/>
  <c r="A11329" i="13"/>
  <c r="J11328" i="13"/>
  <c r="F11328" i="13"/>
  <c r="A11328" i="13"/>
  <c r="J11327" i="13"/>
  <c r="F11327" i="13"/>
  <c r="A11327" i="13"/>
  <c r="J11326" i="13"/>
  <c r="F11326" i="13"/>
  <c r="F11325" i="13"/>
  <c r="A11325" i="13"/>
  <c r="J11324" i="13"/>
  <c r="F11324" i="13"/>
  <c r="A11324" i="13"/>
  <c r="J11323" i="13"/>
  <c r="F11323" i="13"/>
  <c r="A11323" i="13"/>
  <c r="F11322" i="13"/>
  <c r="A11322" i="13"/>
  <c r="J11321" i="13"/>
  <c r="F11321" i="13"/>
  <c r="A11321" i="13"/>
  <c r="F11320" i="13"/>
  <c r="A11320" i="13"/>
  <c r="F11319" i="13"/>
  <c r="A11319" i="13"/>
  <c r="J11318" i="13"/>
  <c r="F11318" i="13"/>
  <c r="A11318" i="13"/>
  <c r="J11317" i="13"/>
  <c r="F11317" i="13"/>
  <c r="A11317" i="13"/>
  <c r="F11316" i="13"/>
  <c r="A11316" i="13"/>
  <c r="F11315" i="13"/>
  <c r="A11315" i="13"/>
  <c r="F11314" i="13"/>
  <c r="A11314" i="13"/>
  <c r="F11313" i="13"/>
  <c r="A11313" i="13"/>
  <c r="F11312" i="13"/>
  <c r="A11312" i="13"/>
  <c r="F11311" i="13"/>
  <c r="A11311" i="13"/>
  <c r="F11310" i="13"/>
  <c r="A11310" i="13"/>
  <c r="F11309" i="13"/>
  <c r="A11309" i="13"/>
  <c r="F11308" i="13"/>
  <c r="A11308" i="13"/>
  <c r="F11307" i="13"/>
  <c r="A11307" i="13"/>
  <c r="J11306" i="13"/>
  <c r="F11306" i="13"/>
  <c r="A11306" i="13"/>
  <c r="J11305" i="13"/>
  <c r="F11305" i="13"/>
  <c r="A11305" i="13"/>
  <c r="J11304" i="13"/>
  <c r="F11304" i="13"/>
  <c r="A11304" i="13"/>
  <c r="F11303" i="13"/>
  <c r="A11303" i="13"/>
  <c r="F11302" i="13"/>
  <c r="A11302" i="13"/>
  <c r="J11301" i="13"/>
  <c r="F11301" i="13"/>
  <c r="A11301" i="13"/>
  <c r="J11300" i="13"/>
  <c r="F11300" i="13"/>
  <c r="A11300" i="13"/>
  <c r="F11299" i="13"/>
  <c r="A11299" i="13"/>
  <c r="F11298" i="13"/>
  <c r="A11298" i="13"/>
  <c r="F11297" i="13"/>
  <c r="A11297" i="13"/>
  <c r="F11296" i="13"/>
  <c r="A11296" i="13"/>
  <c r="J11295" i="13"/>
  <c r="F11295" i="13"/>
  <c r="A11295" i="13"/>
  <c r="J11294" i="13"/>
  <c r="F11294" i="13"/>
  <c r="A11294" i="13"/>
  <c r="F11293" i="13"/>
  <c r="A11293" i="13"/>
  <c r="F11292" i="13"/>
  <c r="A11292" i="13"/>
  <c r="J11291" i="13"/>
  <c r="F11291" i="13"/>
  <c r="A11291" i="13"/>
  <c r="F11290" i="13"/>
  <c r="A11290" i="13"/>
  <c r="J11289" i="13"/>
  <c r="F11289" i="13"/>
  <c r="A11289" i="13"/>
  <c r="J11288" i="13"/>
  <c r="F11288" i="13"/>
  <c r="A11288" i="13"/>
  <c r="F11287" i="13"/>
  <c r="A11287" i="13"/>
  <c r="J11286" i="13"/>
  <c r="F11286" i="13"/>
  <c r="A11286" i="13"/>
  <c r="F11285" i="13"/>
  <c r="A11285" i="13"/>
  <c r="F11284" i="13"/>
  <c r="A11284" i="13"/>
  <c r="F11283" i="13"/>
  <c r="A11283" i="13"/>
  <c r="J11282" i="13"/>
  <c r="F11282" i="13"/>
  <c r="J11281" i="13"/>
  <c r="F11281" i="13"/>
  <c r="F11280" i="13"/>
  <c r="A11280" i="13"/>
  <c r="F11279" i="13"/>
  <c r="A11279" i="13"/>
  <c r="F11278" i="13"/>
  <c r="A11278" i="13"/>
  <c r="F11277" i="13"/>
  <c r="A11277" i="13"/>
  <c r="F11276" i="13"/>
  <c r="A11276" i="13"/>
  <c r="F11275" i="13"/>
  <c r="A11275" i="13"/>
  <c r="F11274" i="13"/>
  <c r="A11274" i="13"/>
  <c r="F11273" i="13"/>
  <c r="F11272" i="13"/>
  <c r="A11272" i="13"/>
  <c r="F11271" i="13"/>
  <c r="A11271" i="13"/>
  <c r="F11270" i="13"/>
  <c r="A11270" i="13"/>
  <c r="F11269" i="13"/>
  <c r="A11269" i="13"/>
  <c r="F11268" i="13"/>
  <c r="A11268" i="13"/>
  <c r="J11267" i="13"/>
  <c r="F11267" i="13"/>
  <c r="J11266" i="13"/>
  <c r="F11266" i="13"/>
  <c r="F11265" i="13"/>
  <c r="A11265" i="13"/>
  <c r="F11264" i="13"/>
  <c r="A11264" i="13"/>
  <c r="F11263" i="13"/>
  <c r="A11263" i="13"/>
  <c r="F11262" i="13"/>
  <c r="A11262" i="13"/>
  <c r="F11261" i="13"/>
  <c r="A11261" i="13"/>
  <c r="F11260" i="13"/>
  <c r="F11259" i="13"/>
  <c r="A11259" i="13"/>
  <c r="J11258" i="13"/>
  <c r="F11258" i="13"/>
  <c r="A11258" i="13"/>
  <c r="J11257" i="13"/>
  <c r="F11257" i="13"/>
  <c r="A11257" i="13"/>
  <c r="F11256" i="13"/>
  <c r="A11256" i="13"/>
  <c r="J11255" i="13"/>
  <c r="F11255" i="13"/>
  <c r="A11255" i="13"/>
  <c r="J11254" i="13"/>
  <c r="F11254" i="13"/>
  <c r="A11254" i="13"/>
  <c r="F11253" i="13"/>
  <c r="A11253" i="13"/>
  <c r="J11252" i="13"/>
  <c r="F11252" i="13"/>
  <c r="J11251" i="13"/>
  <c r="F11251" i="13"/>
  <c r="J11250" i="13"/>
  <c r="F11250" i="13"/>
  <c r="F11249" i="13"/>
  <c r="A11249" i="13"/>
  <c r="F11248" i="13"/>
  <c r="A11248" i="13"/>
  <c r="F11247" i="13"/>
  <c r="A11247" i="13"/>
  <c r="F11246" i="13"/>
  <c r="A11246" i="13"/>
  <c r="F11245" i="13"/>
  <c r="A11245" i="13"/>
  <c r="F11244" i="13"/>
  <c r="A11244" i="13"/>
  <c r="F11243" i="13"/>
  <c r="J11242" i="13"/>
  <c r="F11242" i="13"/>
  <c r="A11242" i="13"/>
  <c r="J11241" i="13"/>
  <c r="F11241" i="13"/>
  <c r="A11241" i="13"/>
  <c r="F11240" i="13"/>
  <c r="A11240" i="13"/>
  <c r="J11239" i="13"/>
  <c r="F11239" i="13"/>
  <c r="J11238" i="13"/>
  <c r="F11238" i="13"/>
  <c r="F11237" i="13"/>
  <c r="A11237" i="13"/>
  <c r="F11236" i="13"/>
  <c r="A11236" i="13"/>
  <c r="F11235" i="13"/>
  <c r="A11235" i="13"/>
  <c r="F11234" i="13"/>
  <c r="A11234" i="13"/>
  <c r="F11233" i="13"/>
  <c r="A11233" i="13"/>
  <c r="F11232" i="13"/>
  <c r="A11232" i="13"/>
  <c r="F11231" i="13"/>
  <c r="A11231" i="13"/>
  <c r="F11230" i="13"/>
  <c r="F11229" i="13"/>
  <c r="A11229" i="13"/>
  <c r="J11228" i="13"/>
  <c r="F11228" i="13"/>
  <c r="A11228" i="13"/>
  <c r="J11227" i="13"/>
  <c r="F11227" i="13"/>
  <c r="A11227" i="13"/>
  <c r="F11226" i="13"/>
  <c r="A11226" i="13"/>
  <c r="J11225" i="13"/>
  <c r="F11225" i="13"/>
  <c r="A11225" i="13"/>
  <c r="J11224" i="13"/>
  <c r="F11224" i="13"/>
  <c r="A11224" i="13"/>
  <c r="J11223" i="13"/>
  <c r="F11223" i="13"/>
  <c r="A11223" i="13"/>
  <c r="F11222" i="13"/>
  <c r="A11222" i="13"/>
  <c r="J11221" i="13"/>
  <c r="F11221" i="13"/>
  <c r="A11221" i="13"/>
  <c r="J11220" i="13"/>
  <c r="F11220" i="13"/>
  <c r="A11220" i="13"/>
  <c r="F11219" i="13"/>
  <c r="A11219" i="13"/>
  <c r="J11218" i="13"/>
  <c r="F11218" i="13"/>
  <c r="A11218" i="13"/>
  <c r="J11217" i="13"/>
  <c r="F11217" i="13"/>
  <c r="A11217" i="13"/>
  <c r="J11216" i="13"/>
  <c r="F11216" i="13"/>
  <c r="A11216" i="13"/>
  <c r="F11215" i="13"/>
  <c r="A11215" i="13"/>
  <c r="J11214" i="13"/>
  <c r="F11214" i="13"/>
  <c r="A11214" i="13"/>
  <c r="J11213" i="13"/>
  <c r="F11213" i="13"/>
  <c r="A11213" i="13"/>
  <c r="J11212" i="13"/>
  <c r="F11212" i="13"/>
  <c r="A11212" i="13"/>
  <c r="J11211" i="13"/>
  <c r="F11211" i="13"/>
  <c r="A11211" i="13"/>
  <c r="J11210" i="13"/>
  <c r="F11210" i="13"/>
  <c r="A11210" i="13"/>
  <c r="F11209" i="13"/>
  <c r="A11209" i="13"/>
  <c r="J11208" i="13"/>
  <c r="F11208" i="13"/>
  <c r="A11208" i="13"/>
  <c r="F11207" i="13"/>
  <c r="A11207" i="13"/>
  <c r="F11206" i="13"/>
  <c r="A11206" i="13"/>
  <c r="F11205" i="13"/>
  <c r="A11205" i="13"/>
  <c r="F11204" i="13"/>
  <c r="A11204" i="13"/>
  <c r="F11203" i="13"/>
  <c r="A11203" i="13"/>
  <c r="F11202" i="13"/>
  <c r="A11202" i="13"/>
  <c r="F11201" i="13"/>
  <c r="A11201" i="13"/>
  <c r="F11200" i="13"/>
  <c r="F11199" i="13"/>
  <c r="A11199" i="13"/>
  <c r="F11198" i="13"/>
  <c r="A11198" i="13"/>
  <c r="J11197" i="13"/>
  <c r="F11197" i="13"/>
  <c r="A11197" i="13"/>
  <c r="J11196" i="13"/>
  <c r="F11196" i="13"/>
  <c r="A11196" i="13"/>
  <c r="J11195" i="13"/>
  <c r="F11195" i="13"/>
  <c r="A11195" i="13"/>
  <c r="J11194" i="13"/>
  <c r="F11194" i="13"/>
  <c r="A11194" i="13"/>
  <c r="J11193" i="13"/>
  <c r="F11193" i="13"/>
  <c r="J11192" i="13"/>
  <c r="F11192" i="13"/>
  <c r="A11192" i="13"/>
  <c r="J11191" i="13"/>
  <c r="F11191" i="13"/>
  <c r="A11191" i="13"/>
  <c r="J11190" i="13"/>
  <c r="F11190" i="13"/>
  <c r="A11190" i="13"/>
  <c r="J11189" i="13"/>
  <c r="F11189" i="13"/>
  <c r="A11189" i="13"/>
  <c r="J11188" i="13"/>
  <c r="F11188" i="13"/>
  <c r="A11188" i="13"/>
  <c r="F11187" i="13"/>
  <c r="A11187" i="13"/>
  <c r="J11186" i="13"/>
  <c r="F11186" i="13"/>
  <c r="A11186" i="13"/>
  <c r="J11185" i="13"/>
  <c r="F11185" i="13"/>
  <c r="A11185" i="13"/>
  <c r="F11184" i="13"/>
  <c r="A11184" i="13"/>
  <c r="F11183" i="13"/>
  <c r="A11183" i="13"/>
  <c r="J11182" i="13"/>
  <c r="F11182" i="13"/>
  <c r="J11181" i="13"/>
  <c r="F11181" i="13"/>
  <c r="F11180" i="13"/>
  <c r="A11180" i="13"/>
  <c r="F11179" i="13"/>
  <c r="A11179" i="13"/>
  <c r="F11178" i="13"/>
  <c r="A11178" i="13"/>
  <c r="F11177" i="13"/>
  <c r="A11177" i="13"/>
  <c r="F11176" i="13"/>
  <c r="A11176" i="13"/>
  <c r="F11175" i="13"/>
  <c r="A11175" i="13"/>
  <c r="F11174" i="13"/>
  <c r="A11174" i="13"/>
  <c r="F11173" i="13"/>
  <c r="F11172" i="13"/>
  <c r="A11172" i="13"/>
  <c r="F11171" i="13"/>
  <c r="A11171" i="13"/>
  <c r="J11170" i="13"/>
  <c r="F11170" i="13"/>
  <c r="A11170" i="13"/>
  <c r="F11169" i="13"/>
  <c r="A11169" i="13"/>
  <c r="J11168" i="13"/>
  <c r="F11168" i="13"/>
  <c r="J11167" i="13"/>
  <c r="F11167" i="13"/>
  <c r="F11166" i="13"/>
  <c r="A11166" i="13"/>
  <c r="F11165" i="13"/>
  <c r="A11165" i="13"/>
  <c r="F11164" i="13"/>
  <c r="A11164" i="13"/>
  <c r="F11163" i="13"/>
  <c r="A11163" i="13"/>
  <c r="F11162" i="13"/>
  <c r="A11162" i="13"/>
  <c r="F11161" i="13"/>
  <c r="A11161" i="13"/>
  <c r="F11160" i="13"/>
  <c r="J11159" i="13"/>
  <c r="F11159" i="13"/>
  <c r="A11159" i="13"/>
  <c r="J11158" i="13"/>
  <c r="F11158" i="13"/>
  <c r="A11158" i="13"/>
  <c r="J11157" i="13"/>
  <c r="F11157" i="13"/>
  <c r="A11157" i="13"/>
  <c r="F11156" i="13"/>
  <c r="A11156" i="13"/>
  <c r="F11155" i="13"/>
  <c r="A11155" i="13"/>
  <c r="J11154" i="13"/>
  <c r="F11154" i="13"/>
  <c r="A11154" i="13"/>
  <c r="J11153" i="13"/>
  <c r="F11153" i="13"/>
  <c r="A11153" i="13"/>
  <c r="F11152" i="13"/>
  <c r="A11152" i="13"/>
  <c r="J11151" i="13"/>
  <c r="F11151" i="13"/>
  <c r="A11151" i="13"/>
  <c r="J11150" i="13"/>
  <c r="F11150" i="13"/>
  <c r="A11150" i="13"/>
  <c r="F11149" i="13"/>
  <c r="A11149" i="13"/>
  <c r="J11148" i="13"/>
  <c r="F11148" i="13"/>
  <c r="A11148" i="13"/>
  <c r="J11147" i="13"/>
  <c r="F11147" i="13"/>
  <c r="A11147" i="13"/>
  <c r="J11146" i="13"/>
  <c r="F11146" i="13"/>
  <c r="A11146" i="13"/>
  <c r="F11145" i="13"/>
  <c r="A11145" i="13"/>
  <c r="F11144" i="13"/>
  <c r="A11144" i="13"/>
  <c r="F11143" i="13"/>
  <c r="A11143" i="13"/>
  <c r="F11142" i="13"/>
  <c r="A11142" i="13"/>
  <c r="J11141" i="13"/>
  <c r="F11141" i="13"/>
  <c r="A11141" i="13"/>
  <c r="J11140" i="13"/>
  <c r="F11140" i="13"/>
  <c r="A11140" i="13"/>
  <c r="J11139" i="13"/>
  <c r="F11139" i="13"/>
  <c r="A11139" i="13"/>
  <c r="J11138" i="13"/>
  <c r="F11138" i="13"/>
  <c r="A11138" i="13"/>
  <c r="J11137" i="13"/>
  <c r="F11137" i="13"/>
  <c r="A11137" i="13"/>
  <c r="J11136" i="13"/>
  <c r="F11136" i="13"/>
  <c r="A11136" i="13"/>
  <c r="J11135" i="13"/>
  <c r="F11135" i="13"/>
  <c r="A11135" i="13"/>
  <c r="J11134" i="13"/>
  <c r="F11134" i="13"/>
  <c r="A11134" i="13"/>
  <c r="F11133" i="13"/>
  <c r="A11133" i="13"/>
  <c r="J11132" i="13"/>
  <c r="F11132" i="13"/>
  <c r="A11132" i="13"/>
  <c r="F11131" i="13"/>
  <c r="A11131" i="13"/>
  <c r="F11130" i="13"/>
  <c r="A11130" i="13"/>
  <c r="F11129" i="13"/>
  <c r="A11129" i="13"/>
  <c r="F11128" i="13"/>
  <c r="A11128" i="13"/>
  <c r="F11127" i="13"/>
  <c r="A11127" i="13"/>
  <c r="F11126" i="13"/>
  <c r="A11126" i="13"/>
  <c r="F11125" i="13"/>
  <c r="A11125" i="13"/>
  <c r="F11124" i="13"/>
  <c r="A11124" i="13"/>
  <c r="F11123" i="13"/>
  <c r="J11122" i="13"/>
  <c r="F11122" i="13"/>
  <c r="A11122" i="13"/>
  <c r="F11121" i="13"/>
  <c r="A11121" i="13"/>
  <c r="F11120" i="13"/>
  <c r="A11120" i="13"/>
  <c r="J11119" i="13"/>
  <c r="F11119" i="13"/>
  <c r="A11119" i="13"/>
  <c r="J11118" i="13"/>
  <c r="F11118" i="13"/>
  <c r="A11118" i="13"/>
  <c r="J11117" i="13"/>
  <c r="F11117" i="13"/>
  <c r="A11117" i="13"/>
  <c r="F11116" i="13"/>
  <c r="A11116" i="13"/>
  <c r="J11115" i="13"/>
  <c r="F11115" i="13"/>
  <c r="A11115" i="13"/>
  <c r="J11114" i="13"/>
  <c r="F11114" i="13"/>
  <c r="A11114" i="13"/>
  <c r="F11113" i="13"/>
  <c r="A11113" i="13"/>
  <c r="J11112" i="13"/>
  <c r="F11112" i="13"/>
  <c r="A11112" i="13"/>
  <c r="J11111" i="13"/>
  <c r="F11111" i="13"/>
  <c r="A11111" i="13"/>
  <c r="J11110" i="13"/>
  <c r="F11110" i="13"/>
  <c r="A11110" i="13"/>
  <c r="J11109" i="13"/>
  <c r="F11109" i="13"/>
  <c r="A11109" i="13"/>
  <c r="J11108" i="13"/>
  <c r="F11108" i="13"/>
  <c r="A11108" i="13"/>
  <c r="J11107" i="13"/>
  <c r="F11107" i="13"/>
  <c r="A11107" i="13"/>
  <c r="J11106" i="13"/>
  <c r="F11106" i="13"/>
  <c r="A11106" i="13"/>
  <c r="J11105" i="13"/>
  <c r="F11105" i="13"/>
  <c r="A11105" i="13"/>
  <c r="J11104" i="13"/>
  <c r="F11104" i="13"/>
  <c r="A11104" i="13"/>
  <c r="J11103" i="13"/>
  <c r="F11103" i="13"/>
  <c r="A11103" i="13"/>
  <c r="J11102" i="13"/>
  <c r="F11102" i="13"/>
  <c r="F11101" i="13"/>
  <c r="A11101" i="13"/>
  <c r="F11100" i="13"/>
  <c r="A11100" i="13"/>
  <c r="F11099" i="13"/>
  <c r="A11099" i="13"/>
  <c r="J11098" i="13"/>
  <c r="F11098" i="13"/>
  <c r="A11098" i="13"/>
  <c r="F11097" i="13"/>
  <c r="A11097" i="13"/>
  <c r="F11096" i="13"/>
  <c r="A11096" i="13"/>
  <c r="F11095" i="13"/>
  <c r="A11095" i="13"/>
  <c r="F11094" i="13"/>
  <c r="A11094" i="13"/>
  <c r="F11093" i="13"/>
  <c r="A11093" i="13"/>
  <c r="F11092" i="13"/>
  <c r="A11092" i="13"/>
  <c r="J11091" i="13"/>
  <c r="F11091" i="13"/>
  <c r="A11091" i="13"/>
  <c r="J11090" i="13"/>
  <c r="F11090" i="13"/>
  <c r="A11090" i="13"/>
  <c r="F11089" i="13"/>
  <c r="A11089" i="13"/>
  <c r="J11088" i="13"/>
  <c r="F11088" i="13"/>
  <c r="A11088" i="13"/>
  <c r="F11087" i="13"/>
  <c r="A11087" i="13"/>
  <c r="J11086" i="13"/>
  <c r="F11086" i="13"/>
  <c r="A11086" i="13"/>
  <c r="F11085" i="13"/>
  <c r="A11085" i="13"/>
  <c r="F11084" i="13"/>
  <c r="A11084" i="13"/>
  <c r="J11083" i="13"/>
  <c r="F11083" i="13"/>
  <c r="A11083" i="13"/>
  <c r="J11082" i="13"/>
  <c r="F11082" i="13"/>
  <c r="A11082" i="13"/>
  <c r="J11081" i="13"/>
  <c r="F11081" i="13"/>
  <c r="A11081" i="13"/>
  <c r="F11080" i="13"/>
  <c r="A11080" i="13"/>
  <c r="J11079" i="13"/>
  <c r="F11079" i="13"/>
  <c r="A11079" i="13"/>
  <c r="J11078" i="13"/>
  <c r="F11078" i="13"/>
  <c r="A11078" i="13"/>
  <c r="J11077" i="13"/>
  <c r="F11077" i="13"/>
  <c r="A11077" i="13"/>
  <c r="J11076" i="13"/>
  <c r="F11076" i="13"/>
  <c r="A11076" i="13"/>
  <c r="F11075" i="13"/>
  <c r="A11075" i="13"/>
  <c r="J11074" i="13"/>
  <c r="F11074" i="13"/>
  <c r="A11074" i="13"/>
  <c r="J11073" i="13"/>
  <c r="F11073" i="13"/>
  <c r="A11073" i="13"/>
  <c r="J11072" i="13"/>
  <c r="F11072" i="13"/>
  <c r="A11072" i="13"/>
  <c r="F11071" i="13"/>
  <c r="A11071" i="13"/>
  <c r="F11070" i="13"/>
  <c r="A11070" i="13"/>
  <c r="J11069" i="13"/>
  <c r="F11069" i="13"/>
  <c r="A11069" i="13"/>
  <c r="J11068" i="13"/>
  <c r="F11068" i="13"/>
  <c r="A11068" i="13"/>
  <c r="J11067" i="13"/>
  <c r="F11067" i="13"/>
  <c r="A11067" i="13"/>
  <c r="J11066" i="13"/>
  <c r="F11066" i="13"/>
  <c r="A11066" i="13"/>
  <c r="J11065" i="13"/>
  <c r="F11065" i="13"/>
  <c r="A11065" i="13"/>
  <c r="J11064" i="13"/>
  <c r="F11064" i="13"/>
  <c r="A11064" i="13"/>
  <c r="J11063" i="13"/>
  <c r="F11063" i="13"/>
  <c r="A11063" i="13"/>
  <c r="J11062" i="13"/>
  <c r="F11062" i="13"/>
  <c r="A11062" i="13"/>
  <c r="J11061" i="13"/>
  <c r="F11061" i="13"/>
  <c r="A11061" i="13"/>
  <c r="J11060" i="13"/>
  <c r="F11060" i="13"/>
  <c r="A11060" i="13"/>
  <c r="J11059" i="13"/>
  <c r="F11059" i="13"/>
  <c r="A11059" i="13"/>
  <c r="J11058" i="13"/>
  <c r="F11058" i="13"/>
  <c r="A11058" i="13"/>
  <c r="J11057" i="13"/>
  <c r="F11057" i="13"/>
  <c r="A11057" i="13"/>
  <c r="J11056" i="13"/>
  <c r="F11056" i="13"/>
  <c r="A11056" i="13"/>
  <c r="J11055" i="13"/>
  <c r="F11055" i="13"/>
  <c r="A11055" i="13"/>
  <c r="J11054" i="13"/>
  <c r="F11054" i="13"/>
  <c r="A11054" i="13"/>
  <c r="F11053" i="13"/>
  <c r="A11053" i="13"/>
  <c r="J11052" i="13"/>
  <c r="F11052" i="13"/>
  <c r="A11052" i="13"/>
  <c r="F11051" i="13"/>
  <c r="A11051" i="13"/>
  <c r="F11050" i="13"/>
  <c r="A11050" i="13"/>
  <c r="F11049" i="13"/>
  <c r="A11049" i="13"/>
  <c r="J11048" i="13"/>
  <c r="F11048" i="13"/>
  <c r="A11048" i="13"/>
  <c r="J11047" i="13"/>
  <c r="F11047" i="13"/>
  <c r="A11047" i="13"/>
  <c r="F11046" i="13"/>
  <c r="A11046" i="13"/>
  <c r="J11045" i="13"/>
  <c r="F11045" i="13"/>
  <c r="A11045" i="13"/>
  <c r="J11044" i="13"/>
  <c r="F11044" i="13"/>
  <c r="A11044" i="13"/>
  <c r="J11043" i="13"/>
  <c r="F11043" i="13"/>
  <c r="A11043" i="13"/>
  <c r="F11042" i="13"/>
  <c r="A11042" i="13"/>
  <c r="F11041" i="13"/>
  <c r="A11041" i="13"/>
  <c r="F11040" i="13"/>
  <c r="A11040" i="13"/>
  <c r="J11039" i="13"/>
  <c r="F11039" i="13"/>
  <c r="A11039" i="13"/>
  <c r="J11038" i="13"/>
  <c r="F11038" i="13"/>
  <c r="A11038" i="13"/>
  <c r="J11037" i="13"/>
  <c r="F11037" i="13"/>
  <c r="A11037" i="13"/>
  <c r="J11036" i="13"/>
  <c r="F11036" i="13"/>
  <c r="A11036" i="13"/>
  <c r="J11035" i="13"/>
  <c r="F11035" i="13"/>
  <c r="A11035" i="13"/>
  <c r="J11034" i="13"/>
  <c r="F11034" i="13"/>
  <c r="A11034" i="13"/>
  <c r="J11033" i="13"/>
  <c r="F11033" i="13"/>
  <c r="A11033" i="13"/>
  <c r="F11032" i="13"/>
  <c r="A11032" i="13"/>
  <c r="F11031" i="13"/>
  <c r="A11031" i="13"/>
  <c r="F11030" i="13"/>
  <c r="A11030" i="13"/>
  <c r="F11029" i="13"/>
  <c r="A11029" i="13"/>
  <c r="J11028" i="13"/>
  <c r="F11028" i="13"/>
  <c r="A11028" i="13"/>
  <c r="J11027" i="13"/>
  <c r="F11027" i="13"/>
  <c r="A11027" i="13"/>
  <c r="F11026" i="13"/>
  <c r="A11026" i="13"/>
  <c r="F11025" i="13"/>
  <c r="A11025" i="13"/>
  <c r="F11024" i="13"/>
  <c r="A11024" i="13"/>
  <c r="F11023" i="13"/>
  <c r="A11023" i="13"/>
  <c r="F11022" i="13"/>
  <c r="A11022" i="13"/>
  <c r="J11021" i="13"/>
  <c r="F11021" i="13"/>
  <c r="A11021" i="13"/>
  <c r="J11020" i="13"/>
  <c r="F11020" i="13"/>
  <c r="A11020" i="13"/>
  <c r="F11019" i="13"/>
  <c r="A11019" i="13"/>
  <c r="F11018" i="13"/>
  <c r="A11018" i="13"/>
  <c r="J11017" i="13"/>
  <c r="F11017" i="13"/>
  <c r="A11017" i="13"/>
  <c r="J11016" i="13"/>
  <c r="F11016" i="13"/>
  <c r="A11016" i="13"/>
  <c r="J11015" i="13"/>
  <c r="F11015" i="13"/>
  <c r="A11015" i="13"/>
  <c r="F11014" i="13"/>
  <c r="A11014" i="13"/>
  <c r="J11013" i="13"/>
  <c r="F11013" i="13"/>
  <c r="A11013" i="13"/>
  <c r="J11012" i="13"/>
  <c r="F11012" i="13"/>
  <c r="A11012" i="13"/>
  <c r="J11011" i="13"/>
  <c r="F11011" i="13"/>
  <c r="A11011" i="13"/>
  <c r="F11010" i="13"/>
  <c r="A11010" i="13"/>
  <c r="J11009" i="13"/>
  <c r="F11009" i="13"/>
  <c r="A11009" i="13"/>
  <c r="J11008" i="13"/>
  <c r="F11008" i="13"/>
  <c r="A11008" i="13"/>
  <c r="J11007" i="13"/>
  <c r="F11007" i="13"/>
  <c r="A11007" i="13"/>
  <c r="F11006" i="13"/>
  <c r="A11006" i="13"/>
  <c r="J11005" i="13"/>
  <c r="F11005" i="13"/>
  <c r="A11005" i="13"/>
  <c r="J11004" i="13"/>
  <c r="F11004" i="13"/>
  <c r="A11004" i="13"/>
  <c r="F11003" i="13"/>
  <c r="A11003" i="13"/>
  <c r="F11002" i="13"/>
  <c r="A11002" i="13"/>
  <c r="J11001" i="13"/>
  <c r="F11001" i="13"/>
  <c r="A11001" i="13"/>
  <c r="F11000" i="13"/>
  <c r="A11000" i="13"/>
  <c r="F10999" i="13"/>
  <c r="A10999" i="13"/>
  <c r="J10998" i="13"/>
  <c r="F10998" i="13"/>
  <c r="A10998" i="13"/>
  <c r="J10997" i="13"/>
  <c r="F10997" i="13"/>
  <c r="A10997" i="13"/>
  <c r="J10996" i="13"/>
  <c r="F10996" i="13"/>
  <c r="A10996" i="13"/>
  <c r="F10995" i="13"/>
  <c r="A10995" i="13"/>
  <c r="J10994" i="13"/>
  <c r="F10994" i="13"/>
  <c r="A10994" i="13"/>
  <c r="F10993" i="13"/>
  <c r="A10993" i="13"/>
  <c r="F10992" i="13"/>
  <c r="A10992" i="13"/>
  <c r="J10991" i="13"/>
  <c r="F10991" i="13"/>
  <c r="A10991" i="13"/>
  <c r="J10990" i="13"/>
  <c r="F10990" i="13"/>
  <c r="A10990" i="13"/>
  <c r="F10989" i="13"/>
  <c r="A10989" i="13"/>
  <c r="J10988" i="13"/>
  <c r="F10988" i="13"/>
  <c r="J10987" i="13"/>
  <c r="F10987" i="13"/>
  <c r="J10986" i="13"/>
  <c r="F10986" i="13"/>
  <c r="J10985" i="13"/>
  <c r="F10985" i="13"/>
  <c r="F10984" i="13"/>
  <c r="A10984" i="13"/>
  <c r="F10983" i="13"/>
  <c r="A10983" i="13"/>
  <c r="F10982" i="13"/>
  <c r="A10982" i="13"/>
  <c r="F10981" i="13"/>
  <c r="J10980" i="13"/>
  <c r="F10980" i="13"/>
  <c r="A10980" i="13"/>
  <c r="J10979" i="13"/>
  <c r="F10979" i="13"/>
  <c r="A10979" i="13"/>
  <c r="F10978" i="13"/>
  <c r="A10978" i="13"/>
  <c r="F10977" i="13"/>
  <c r="A10977" i="13"/>
  <c r="J10976" i="13"/>
  <c r="F10976" i="13"/>
  <c r="A10976" i="13"/>
  <c r="J10975" i="13"/>
  <c r="F10975" i="13"/>
  <c r="A10975" i="13"/>
  <c r="F10974" i="13"/>
  <c r="A10974" i="13"/>
  <c r="J10973" i="13"/>
  <c r="F10973" i="13"/>
  <c r="A10973" i="13"/>
  <c r="J10972" i="13"/>
  <c r="F10972" i="13"/>
  <c r="A10972" i="13"/>
  <c r="J10971" i="13"/>
  <c r="F10971" i="13"/>
  <c r="A10971" i="13"/>
  <c r="J10970" i="13"/>
  <c r="F10970" i="13"/>
  <c r="A10970" i="13"/>
  <c r="F10969" i="13"/>
  <c r="A10969" i="13"/>
  <c r="J10968" i="13"/>
  <c r="F10968" i="13"/>
  <c r="A10968" i="13"/>
  <c r="J10967" i="13"/>
  <c r="F10967" i="13"/>
  <c r="A10967" i="13"/>
  <c r="J10966" i="13"/>
  <c r="F10966" i="13"/>
  <c r="A10966" i="13"/>
  <c r="J10965" i="13"/>
  <c r="F10965" i="13"/>
  <c r="A10965" i="13"/>
  <c r="J10964" i="13"/>
  <c r="F10964" i="13"/>
  <c r="A10964" i="13"/>
  <c r="J10963" i="13"/>
  <c r="F10963" i="13"/>
  <c r="A10963" i="13"/>
  <c r="F10962" i="13"/>
  <c r="A10962" i="13"/>
  <c r="J10961" i="13"/>
  <c r="F10961" i="13"/>
  <c r="A10961" i="13"/>
  <c r="J10960" i="13"/>
  <c r="F10960" i="13"/>
  <c r="A10960" i="13"/>
  <c r="J10959" i="13"/>
  <c r="F10959" i="13"/>
  <c r="A10959" i="13"/>
  <c r="J10958" i="13"/>
  <c r="F10958" i="13"/>
  <c r="A10958" i="13"/>
  <c r="J10957" i="13"/>
  <c r="F10957" i="13"/>
  <c r="A10957" i="13"/>
  <c r="F10956" i="13"/>
  <c r="A10956" i="13"/>
  <c r="J10955" i="13"/>
  <c r="F10955" i="13"/>
  <c r="A10955" i="13"/>
  <c r="J10954" i="13"/>
  <c r="F10954" i="13"/>
  <c r="J10953" i="13"/>
  <c r="F10953" i="13"/>
  <c r="J10952" i="13"/>
  <c r="F10952" i="13"/>
  <c r="J10951" i="13"/>
  <c r="F10951" i="13"/>
  <c r="F10950" i="13"/>
  <c r="A10950" i="13"/>
  <c r="F10949" i="13"/>
  <c r="A10949" i="13"/>
  <c r="F10948" i="13"/>
  <c r="A10948" i="13"/>
  <c r="F10947" i="13"/>
  <c r="F10946" i="13"/>
  <c r="A10946" i="13"/>
  <c r="F10945" i="13"/>
  <c r="A10945" i="13"/>
  <c r="J10944" i="13"/>
  <c r="F10944" i="13"/>
  <c r="A10944" i="13"/>
  <c r="J10943" i="13"/>
  <c r="F10943" i="13"/>
  <c r="A10943" i="13"/>
  <c r="J10942" i="13"/>
  <c r="F10942" i="13"/>
  <c r="A10942" i="13"/>
  <c r="J10941" i="13"/>
  <c r="F10941" i="13"/>
  <c r="A10941" i="13"/>
  <c r="J10940" i="13"/>
  <c r="F10940" i="13"/>
  <c r="A10940" i="13"/>
  <c r="J10939" i="13"/>
  <c r="F10939" i="13"/>
  <c r="A10939" i="13"/>
  <c r="J10938" i="13"/>
  <c r="F10938" i="13"/>
  <c r="A10938" i="13"/>
  <c r="J10937" i="13"/>
  <c r="F10937" i="13"/>
  <c r="A10937" i="13"/>
  <c r="J10936" i="13"/>
  <c r="F10936" i="13"/>
  <c r="A10936" i="13"/>
  <c r="J10935" i="13"/>
  <c r="F10935" i="13"/>
  <c r="F10934" i="13"/>
  <c r="A10934" i="13"/>
  <c r="J10933" i="13"/>
  <c r="F10933" i="13"/>
  <c r="A10933" i="13"/>
  <c r="J10932" i="13"/>
  <c r="F10932" i="13"/>
  <c r="A10932" i="13"/>
  <c r="J10931" i="13"/>
  <c r="F10931" i="13"/>
  <c r="A10931" i="13"/>
  <c r="J10930" i="13"/>
  <c r="F10930" i="13"/>
  <c r="A10930" i="13"/>
  <c r="J10929" i="13"/>
  <c r="F10929" i="13"/>
  <c r="A10929" i="13"/>
  <c r="F10928" i="13"/>
  <c r="A10928" i="13"/>
  <c r="F10927" i="13"/>
  <c r="A10927" i="13"/>
  <c r="F10926" i="13"/>
  <c r="A10926" i="13"/>
  <c r="J10925" i="13"/>
  <c r="F10925" i="13"/>
  <c r="A10925" i="13"/>
  <c r="J10924" i="13"/>
  <c r="F10924" i="13"/>
  <c r="A10924" i="13"/>
  <c r="F10923" i="13"/>
  <c r="A10923" i="13"/>
  <c r="F10922" i="13"/>
  <c r="A10922" i="13"/>
  <c r="J10921" i="13"/>
  <c r="F10921" i="13"/>
  <c r="A10921" i="13"/>
  <c r="J10920" i="13"/>
  <c r="F10920" i="13"/>
  <c r="A10920" i="13"/>
  <c r="J10919" i="13"/>
  <c r="F10919" i="13"/>
  <c r="A10919" i="13"/>
  <c r="J10918" i="13"/>
  <c r="F10918" i="13"/>
  <c r="A10918" i="13"/>
  <c r="J10917" i="13"/>
  <c r="F10917" i="13"/>
  <c r="A10917" i="13"/>
  <c r="J10916" i="13"/>
  <c r="F10916" i="13"/>
  <c r="A10916" i="13"/>
  <c r="J10915" i="13"/>
  <c r="F10915" i="13"/>
  <c r="A10915" i="13"/>
  <c r="J10914" i="13"/>
  <c r="F10914" i="13"/>
  <c r="A10914" i="13"/>
  <c r="J10913" i="13"/>
  <c r="F10913" i="13"/>
  <c r="A10913" i="13"/>
  <c r="J10912" i="13"/>
  <c r="F10912" i="13"/>
  <c r="F10911" i="13"/>
  <c r="A10911" i="13"/>
  <c r="F10910" i="13"/>
  <c r="A10910" i="13"/>
  <c r="J10909" i="13"/>
  <c r="F10909" i="13"/>
  <c r="A10909" i="13"/>
  <c r="J10908" i="13"/>
  <c r="F10908" i="13"/>
  <c r="A10908" i="13"/>
  <c r="J10907" i="13"/>
  <c r="F10907" i="13"/>
  <c r="A10907" i="13"/>
  <c r="J10906" i="13"/>
  <c r="F10906" i="13"/>
  <c r="A10906" i="13"/>
  <c r="J10905" i="13"/>
  <c r="F10905" i="13"/>
  <c r="A10905" i="13"/>
  <c r="J10904" i="13"/>
  <c r="F10904" i="13"/>
  <c r="J10903" i="13"/>
  <c r="F10903" i="13"/>
  <c r="A10903" i="13"/>
  <c r="J10902" i="13"/>
  <c r="F10902" i="13"/>
  <c r="A10902" i="13"/>
  <c r="J10901" i="13"/>
  <c r="F10901" i="13"/>
  <c r="A10901" i="13"/>
  <c r="J10900" i="13"/>
  <c r="F10900" i="13"/>
  <c r="A10900" i="13"/>
  <c r="F10899" i="13"/>
  <c r="A10899" i="13"/>
  <c r="J10898" i="13"/>
  <c r="F10898" i="13"/>
  <c r="A10898" i="13"/>
  <c r="J10897" i="13"/>
  <c r="F10897" i="13"/>
  <c r="A10897" i="13"/>
  <c r="J10896" i="13"/>
  <c r="F10896" i="13"/>
  <c r="A10896" i="13"/>
  <c r="F10895" i="13"/>
  <c r="A10895" i="13"/>
  <c r="J10894" i="13"/>
  <c r="F10894" i="13"/>
  <c r="A10894" i="13"/>
  <c r="J10893" i="13"/>
  <c r="F10893" i="13"/>
  <c r="A10893" i="13"/>
  <c r="F10892" i="13"/>
  <c r="A10892" i="13"/>
  <c r="J10891" i="13"/>
  <c r="F10891" i="13"/>
  <c r="A10891" i="13"/>
  <c r="J10890" i="13"/>
  <c r="F10890" i="13"/>
  <c r="A10890" i="13"/>
  <c r="J10889" i="13"/>
  <c r="F10889" i="13"/>
  <c r="A10889" i="13"/>
  <c r="F10888" i="13"/>
  <c r="A10888" i="13"/>
  <c r="J10887" i="13"/>
  <c r="F10887" i="13"/>
  <c r="A10887" i="13"/>
  <c r="F10886" i="13"/>
  <c r="A10886" i="13"/>
  <c r="J10885" i="13"/>
  <c r="F10885" i="13"/>
  <c r="A10885" i="13"/>
  <c r="J10884" i="13"/>
  <c r="F10884" i="13"/>
  <c r="A10884" i="13"/>
  <c r="F10883" i="13"/>
  <c r="A10883" i="13"/>
  <c r="F10882" i="13"/>
  <c r="A10882" i="13"/>
  <c r="F10881" i="13"/>
  <c r="A10881" i="13"/>
  <c r="F10880" i="13"/>
  <c r="A10880" i="13"/>
  <c r="F10879" i="13"/>
  <c r="A10879" i="13"/>
  <c r="F10878" i="13"/>
  <c r="A10878" i="13"/>
  <c r="F10877" i="13"/>
  <c r="A10877" i="13"/>
  <c r="F10876" i="13"/>
  <c r="A10876" i="13"/>
  <c r="F10875" i="13"/>
  <c r="A10875" i="13"/>
  <c r="F10874" i="13"/>
  <c r="A10874" i="13"/>
  <c r="J10873" i="13"/>
  <c r="F10873" i="13"/>
  <c r="A10873" i="13"/>
  <c r="J10872" i="13"/>
  <c r="F10872" i="13"/>
  <c r="A10872" i="13"/>
  <c r="F10871" i="13"/>
  <c r="A10871" i="13"/>
  <c r="J10870" i="13"/>
  <c r="F10870" i="13"/>
  <c r="A10870" i="13"/>
  <c r="J10869" i="13"/>
  <c r="F10869" i="13"/>
  <c r="A10869" i="13"/>
  <c r="J10868" i="13"/>
  <c r="F10868" i="13"/>
  <c r="A10868" i="13"/>
  <c r="J10867" i="13"/>
  <c r="F10867" i="13"/>
  <c r="A10867" i="13"/>
  <c r="J10866" i="13"/>
  <c r="F10866" i="13"/>
  <c r="A10866" i="13"/>
  <c r="F10865" i="13"/>
  <c r="A10865" i="13"/>
  <c r="F10864" i="13"/>
  <c r="A10864" i="13"/>
  <c r="J10863" i="13"/>
  <c r="F10863" i="13"/>
  <c r="A10863" i="13"/>
  <c r="F10862" i="13"/>
  <c r="A10862" i="13"/>
  <c r="F10861" i="13"/>
  <c r="A10861" i="13"/>
  <c r="F10860" i="13"/>
  <c r="A10860" i="13"/>
  <c r="J10859" i="13"/>
  <c r="F10859" i="13"/>
  <c r="A10859" i="13"/>
  <c r="J10858" i="13"/>
  <c r="F10858" i="13"/>
  <c r="A10858" i="13"/>
  <c r="J10857" i="13"/>
  <c r="F10857" i="13"/>
  <c r="A10857" i="13"/>
  <c r="F10856" i="13"/>
  <c r="A10856" i="13"/>
  <c r="F10855" i="13"/>
  <c r="A10855" i="13"/>
  <c r="J10854" i="13"/>
  <c r="F10854" i="13"/>
  <c r="A10854" i="13"/>
  <c r="J10853" i="13"/>
  <c r="F10853" i="13"/>
  <c r="A10853" i="13"/>
  <c r="J10852" i="13"/>
  <c r="F10852" i="13"/>
  <c r="A10852" i="13"/>
  <c r="J10851" i="13"/>
  <c r="F10851" i="13"/>
  <c r="A10851" i="13"/>
  <c r="J10850" i="13"/>
  <c r="F10850" i="13"/>
  <c r="A10850" i="13"/>
  <c r="F10849" i="13"/>
  <c r="A10849" i="13"/>
  <c r="F10848" i="13"/>
  <c r="A10848" i="13"/>
  <c r="F10847" i="13"/>
  <c r="A10847" i="13"/>
  <c r="J10846" i="13"/>
  <c r="F10846" i="13"/>
  <c r="A10846" i="13"/>
  <c r="J10845" i="13"/>
  <c r="F10845" i="13"/>
  <c r="A10845" i="13"/>
  <c r="J10844" i="13"/>
  <c r="F10844" i="13"/>
  <c r="A10844" i="13"/>
  <c r="F10843" i="13"/>
  <c r="A10843" i="13"/>
  <c r="J10842" i="13"/>
  <c r="F10842" i="13"/>
  <c r="A10842" i="13"/>
  <c r="J10841" i="13"/>
  <c r="F10841" i="13"/>
  <c r="A10841" i="13"/>
  <c r="J10840" i="13"/>
  <c r="F10840" i="13"/>
  <c r="A10840" i="13"/>
  <c r="J10839" i="13"/>
  <c r="F10839" i="13"/>
  <c r="A10839" i="13"/>
  <c r="J10838" i="13"/>
  <c r="F10838" i="13"/>
  <c r="A10838" i="13"/>
  <c r="J10837" i="13"/>
  <c r="F10837" i="13"/>
  <c r="A10837" i="13"/>
  <c r="F10836" i="13"/>
  <c r="A10836" i="13"/>
  <c r="F10835" i="13"/>
  <c r="A10835" i="13"/>
  <c r="F10834" i="13"/>
  <c r="A10834" i="13"/>
  <c r="J10833" i="13"/>
  <c r="F10833" i="13"/>
  <c r="A10833" i="13"/>
  <c r="F10832" i="13"/>
  <c r="A10832" i="13"/>
  <c r="J10831" i="13"/>
  <c r="F10831" i="13"/>
  <c r="A10831" i="13"/>
  <c r="J10830" i="13"/>
  <c r="F10830" i="13"/>
  <c r="A10830" i="13"/>
  <c r="J10829" i="13"/>
  <c r="F10829" i="13"/>
  <c r="A10829" i="13"/>
  <c r="F10828" i="13"/>
  <c r="A10828" i="13"/>
  <c r="J10827" i="13"/>
  <c r="F10827" i="13"/>
  <c r="A10827" i="13"/>
  <c r="F10826" i="13"/>
  <c r="A10826" i="13"/>
  <c r="J10825" i="13"/>
  <c r="F10825" i="13"/>
  <c r="J10824" i="13"/>
  <c r="F10824" i="13"/>
  <c r="F10823" i="13"/>
  <c r="A10823" i="13"/>
  <c r="F10822" i="13"/>
  <c r="A10822" i="13"/>
  <c r="F10821" i="13"/>
  <c r="A10821" i="13"/>
  <c r="F10820" i="13"/>
  <c r="A10820" i="13"/>
  <c r="F10819" i="13"/>
  <c r="A10819" i="13"/>
  <c r="F10818" i="13"/>
  <c r="A10818" i="13"/>
  <c r="F10817" i="13"/>
  <c r="A10817" i="13"/>
  <c r="F10816" i="13"/>
  <c r="A10816" i="13"/>
  <c r="F10815" i="13"/>
  <c r="A10815" i="13"/>
  <c r="F10814" i="13"/>
  <c r="A10814" i="13"/>
  <c r="F10813" i="13"/>
  <c r="F10812" i="13"/>
  <c r="A10812" i="13"/>
  <c r="F10811" i="13"/>
  <c r="A10811" i="13"/>
  <c r="F10810" i="13"/>
  <c r="A10810" i="13"/>
  <c r="J10809" i="13"/>
  <c r="F10809" i="13"/>
  <c r="A10809" i="13"/>
  <c r="J10808" i="13"/>
  <c r="F10808" i="13"/>
  <c r="A10808" i="13"/>
  <c r="J10807" i="13"/>
  <c r="F10807" i="13"/>
  <c r="A10807" i="13"/>
  <c r="J10806" i="13"/>
  <c r="F10806" i="13"/>
  <c r="A10806" i="13"/>
  <c r="J10805" i="13"/>
  <c r="F10805" i="13"/>
  <c r="A10805" i="13"/>
  <c r="F10804" i="13"/>
  <c r="A10804" i="13"/>
  <c r="J10803" i="13"/>
  <c r="F10803" i="13"/>
  <c r="A10803" i="13"/>
  <c r="J10802" i="13"/>
  <c r="F10802" i="13"/>
  <c r="A10802" i="13"/>
  <c r="F10801" i="13"/>
  <c r="A10801" i="13"/>
  <c r="J10800" i="13"/>
  <c r="F10800" i="13"/>
  <c r="J10799" i="13"/>
  <c r="F10799" i="13"/>
  <c r="J10798" i="13"/>
  <c r="F10798" i="13"/>
  <c r="F10797" i="13"/>
  <c r="A10797" i="13"/>
  <c r="F10796" i="13"/>
  <c r="A10796" i="13"/>
  <c r="F10795" i="13"/>
  <c r="A10795" i="13"/>
  <c r="F10794" i="13"/>
  <c r="A10794" i="13"/>
  <c r="F10793" i="13"/>
  <c r="A10793" i="13"/>
  <c r="F10792" i="13"/>
  <c r="A10792" i="13"/>
  <c r="F10791" i="13"/>
  <c r="A10791" i="13"/>
  <c r="F10790" i="13"/>
  <c r="J10789" i="13"/>
  <c r="F10789" i="13"/>
  <c r="A10789" i="13"/>
  <c r="J10788" i="13"/>
  <c r="F10788" i="13"/>
  <c r="A10788" i="13"/>
  <c r="F10787" i="13"/>
  <c r="A10787" i="13"/>
  <c r="F10786" i="13"/>
  <c r="A10786" i="13"/>
  <c r="F10785" i="13"/>
  <c r="A10785" i="13"/>
  <c r="J10784" i="13"/>
  <c r="F10784" i="13"/>
  <c r="A10784" i="13"/>
  <c r="J10783" i="13"/>
  <c r="F10783" i="13"/>
  <c r="A10783" i="13"/>
  <c r="F10782" i="13"/>
  <c r="A10782" i="13"/>
  <c r="J10781" i="13"/>
  <c r="F10781" i="13"/>
  <c r="A10781" i="13"/>
  <c r="J10780" i="13"/>
  <c r="F10780" i="13"/>
  <c r="A10780" i="13"/>
  <c r="F10779" i="13"/>
  <c r="A10779" i="13"/>
  <c r="J10778" i="13"/>
  <c r="F10778" i="13"/>
  <c r="A10778" i="13"/>
  <c r="J10777" i="13"/>
  <c r="F10777" i="13"/>
  <c r="A10777" i="13"/>
  <c r="J10776" i="13"/>
  <c r="F10776" i="13"/>
  <c r="J10775" i="13"/>
  <c r="F10775" i="13"/>
  <c r="A10775" i="13"/>
  <c r="J10774" i="13"/>
  <c r="F10774" i="13"/>
  <c r="A10774" i="13"/>
  <c r="J10773" i="13"/>
  <c r="F10773" i="13"/>
  <c r="A10773" i="13"/>
  <c r="J10772" i="13"/>
  <c r="F10772" i="13"/>
  <c r="A10772" i="13"/>
  <c r="J10771" i="13"/>
  <c r="F10771" i="13"/>
  <c r="A10771" i="13"/>
  <c r="J10770" i="13"/>
  <c r="F10770" i="13"/>
  <c r="A10770" i="13"/>
  <c r="J10769" i="13"/>
  <c r="F10769" i="13"/>
  <c r="A10769" i="13"/>
  <c r="J10768" i="13"/>
  <c r="F10768" i="13"/>
  <c r="A10768" i="13"/>
  <c r="J10767" i="13"/>
  <c r="F10767" i="13"/>
  <c r="A10767" i="13"/>
  <c r="J10766" i="13"/>
  <c r="F10766" i="13"/>
  <c r="A10766" i="13"/>
  <c r="J10765" i="13"/>
  <c r="F10765" i="13"/>
  <c r="A10765" i="13"/>
  <c r="J10764" i="13"/>
  <c r="F10764" i="13"/>
  <c r="A10764" i="13"/>
  <c r="J10763" i="13"/>
  <c r="F10763" i="13"/>
  <c r="F10762" i="13"/>
  <c r="A10762" i="13"/>
  <c r="J10761" i="13"/>
  <c r="F10761" i="13"/>
  <c r="A10761" i="13"/>
  <c r="F10760" i="13"/>
  <c r="A10760" i="13"/>
  <c r="F10759" i="13"/>
  <c r="A10759" i="13"/>
  <c r="J10758" i="13"/>
  <c r="F10758" i="13"/>
  <c r="A10758" i="13"/>
  <c r="J10757" i="13"/>
  <c r="F10757" i="13"/>
  <c r="A10757" i="13"/>
  <c r="F10756" i="13"/>
  <c r="A10756" i="13"/>
  <c r="F10755" i="13"/>
  <c r="A10755" i="13"/>
  <c r="J10754" i="13"/>
  <c r="F10754" i="13"/>
  <c r="A10754" i="13"/>
  <c r="J10753" i="13"/>
  <c r="F10753" i="13"/>
  <c r="A10753" i="13"/>
  <c r="J10752" i="13"/>
  <c r="F10752" i="13"/>
  <c r="A10752" i="13"/>
  <c r="F10751" i="13"/>
  <c r="A10751" i="13"/>
  <c r="F10750" i="13"/>
  <c r="A10750" i="13"/>
  <c r="J10749" i="13"/>
  <c r="F10749" i="13"/>
  <c r="A10749" i="13"/>
  <c r="J10748" i="13"/>
  <c r="F10748" i="13"/>
  <c r="A10748" i="13"/>
  <c r="J10747" i="13"/>
  <c r="F10747" i="13"/>
  <c r="A10747" i="13"/>
  <c r="F10746" i="13"/>
  <c r="A10746" i="13"/>
  <c r="F10745" i="13"/>
  <c r="A10745" i="13"/>
  <c r="F10744" i="13"/>
  <c r="A10744" i="13"/>
  <c r="F10743" i="13"/>
  <c r="A10743" i="13"/>
  <c r="F10742" i="13"/>
  <c r="A10742" i="13"/>
  <c r="F10741" i="13"/>
  <c r="A10741" i="13"/>
  <c r="J10740" i="13"/>
  <c r="F10740" i="13"/>
  <c r="A10740" i="13"/>
  <c r="J10739" i="13"/>
  <c r="F10739" i="13"/>
  <c r="A10739" i="13"/>
  <c r="F10738" i="13"/>
  <c r="A10738" i="13"/>
  <c r="J10737" i="13"/>
  <c r="F10737" i="13"/>
  <c r="A10737" i="13"/>
  <c r="J10736" i="13"/>
  <c r="F10736" i="13"/>
  <c r="A10736" i="13"/>
  <c r="F10735" i="13"/>
  <c r="A10735" i="13"/>
  <c r="J10734" i="13"/>
  <c r="F10734" i="13"/>
  <c r="A10734" i="13"/>
  <c r="F10733" i="13"/>
  <c r="A10733" i="13"/>
  <c r="J10732" i="13"/>
  <c r="F10732" i="13"/>
  <c r="A10732" i="13"/>
  <c r="J10731" i="13"/>
  <c r="F10731" i="13"/>
  <c r="A10731" i="13"/>
  <c r="J10730" i="13"/>
  <c r="F10730" i="13"/>
  <c r="A10730" i="13"/>
  <c r="F10729" i="13"/>
  <c r="A10729" i="13"/>
  <c r="F10728" i="13"/>
  <c r="A10728" i="13"/>
  <c r="J10727" i="13"/>
  <c r="F10727" i="13"/>
  <c r="A10727" i="13"/>
  <c r="J10726" i="13"/>
  <c r="F10726" i="13"/>
  <c r="A10726" i="13"/>
  <c r="J10725" i="13"/>
  <c r="F10725" i="13"/>
  <c r="A10725" i="13"/>
  <c r="J10724" i="13"/>
  <c r="F10724" i="13"/>
  <c r="A10724" i="13"/>
  <c r="F10723" i="13"/>
  <c r="A10723" i="13"/>
  <c r="F10722" i="13"/>
  <c r="A10722" i="13"/>
  <c r="F10721" i="13"/>
  <c r="A10721" i="13"/>
  <c r="J10720" i="13"/>
  <c r="F10720" i="13"/>
  <c r="A10720" i="13"/>
  <c r="J10719" i="13"/>
  <c r="F10719" i="13"/>
  <c r="A10719" i="13"/>
  <c r="F10718" i="13"/>
  <c r="A10718" i="13"/>
  <c r="J10717" i="13"/>
  <c r="F10717" i="13"/>
  <c r="A10717" i="13"/>
  <c r="J10716" i="13"/>
  <c r="F10716" i="13"/>
  <c r="A10716" i="13"/>
  <c r="J10715" i="13"/>
  <c r="F10715" i="13"/>
  <c r="A10715" i="13"/>
  <c r="J10714" i="13"/>
  <c r="F10714" i="13"/>
  <c r="A10714" i="13"/>
  <c r="J10713" i="13"/>
  <c r="F10713" i="13"/>
  <c r="A10713" i="13"/>
  <c r="J10712" i="13"/>
  <c r="F10712" i="13"/>
  <c r="A10712" i="13"/>
  <c r="J10711" i="13"/>
  <c r="F10711" i="13"/>
  <c r="A10711" i="13"/>
  <c r="J10710" i="13"/>
  <c r="F10710" i="13"/>
  <c r="A10710" i="13"/>
  <c r="J10709" i="13"/>
  <c r="F10709" i="13"/>
  <c r="A10709" i="13"/>
  <c r="J10708" i="13"/>
  <c r="F10708" i="13"/>
  <c r="A10708" i="13"/>
  <c r="J10707" i="13"/>
  <c r="F10707" i="13"/>
  <c r="A10707" i="13"/>
  <c r="J10706" i="13"/>
  <c r="F10706" i="13"/>
  <c r="A10706" i="13"/>
  <c r="J10705" i="13"/>
  <c r="F10705" i="13"/>
  <c r="F10704" i="13"/>
  <c r="A10704" i="13"/>
  <c r="F10703" i="13"/>
  <c r="A10703" i="13"/>
  <c r="J10702" i="13"/>
  <c r="F10702" i="13"/>
  <c r="A10702" i="13"/>
  <c r="J10701" i="13"/>
  <c r="F10701" i="13"/>
  <c r="A10701" i="13"/>
  <c r="J10700" i="13"/>
  <c r="F10700" i="13"/>
  <c r="A10700" i="13"/>
  <c r="J10699" i="13"/>
  <c r="F10699" i="13"/>
  <c r="A10699" i="13"/>
  <c r="J10698" i="13"/>
  <c r="F10698" i="13"/>
  <c r="A10698" i="13"/>
  <c r="J10697" i="13"/>
  <c r="F10697" i="13"/>
  <c r="A10697" i="13"/>
  <c r="J10696" i="13"/>
  <c r="F10696" i="13"/>
  <c r="A10696" i="13"/>
  <c r="J10695" i="13"/>
  <c r="F10695" i="13"/>
  <c r="A10695" i="13"/>
  <c r="J10694" i="13"/>
  <c r="F10694" i="13"/>
  <c r="A10694" i="13"/>
  <c r="J10693" i="13"/>
  <c r="F10693" i="13"/>
  <c r="A10693" i="13"/>
  <c r="J10692" i="13"/>
  <c r="F10692" i="13"/>
  <c r="A10692" i="13"/>
  <c r="J10691" i="13"/>
  <c r="F10691" i="13"/>
  <c r="A10691" i="13"/>
  <c r="J10690" i="13"/>
  <c r="F10690" i="13"/>
  <c r="A10690" i="13"/>
  <c r="J10689" i="13"/>
  <c r="F10689" i="13"/>
  <c r="A10689" i="13"/>
  <c r="J10688" i="13"/>
  <c r="F10688" i="13"/>
  <c r="A10688" i="13"/>
  <c r="J10687" i="13"/>
  <c r="F10687" i="13"/>
  <c r="A10687" i="13"/>
  <c r="J10686" i="13"/>
  <c r="F10686" i="13"/>
  <c r="A10686" i="13"/>
  <c r="J10685" i="13"/>
  <c r="F10685" i="13"/>
  <c r="A10685" i="13"/>
  <c r="J10684" i="13"/>
  <c r="F10684" i="13"/>
  <c r="A10684" i="13"/>
  <c r="J10683" i="13"/>
  <c r="F10683" i="13"/>
  <c r="A10683" i="13"/>
  <c r="J10682" i="13"/>
  <c r="F10682" i="13"/>
  <c r="A10682" i="13"/>
  <c r="J10681" i="13"/>
  <c r="F10681" i="13"/>
  <c r="A10681" i="13"/>
  <c r="J10680" i="13"/>
  <c r="F10680" i="13"/>
  <c r="A10680" i="13"/>
  <c r="J10679" i="13"/>
  <c r="F10679" i="13"/>
  <c r="A10679" i="13"/>
  <c r="J10678" i="13"/>
  <c r="F10678" i="13"/>
  <c r="A10678" i="13"/>
  <c r="J10677" i="13"/>
  <c r="F10677" i="13"/>
  <c r="A10677" i="13"/>
  <c r="J10676" i="13"/>
  <c r="F10676" i="13"/>
  <c r="J10675" i="13"/>
  <c r="F10675" i="13"/>
  <c r="A10675" i="13"/>
  <c r="J10674" i="13"/>
  <c r="F10674" i="13"/>
  <c r="A10674" i="13"/>
  <c r="J10673" i="13"/>
  <c r="F10673" i="13"/>
  <c r="A10673" i="13"/>
  <c r="J10672" i="13"/>
  <c r="F10672" i="13"/>
  <c r="A10672" i="13"/>
  <c r="F10671" i="13"/>
  <c r="A10671" i="13"/>
  <c r="F10670" i="13"/>
  <c r="A10670" i="13"/>
  <c r="F10669" i="13"/>
  <c r="A10669" i="13"/>
  <c r="F10668" i="13"/>
  <c r="A10668" i="13"/>
  <c r="F10667" i="13"/>
  <c r="A10667" i="13"/>
  <c r="J10666" i="13"/>
  <c r="F10666" i="13"/>
  <c r="A10666" i="13"/>
  <c r="F10665" i="13"/>
  <c r="A10665" i="13"/>
  <c r="F10664" i="13"/>
  <c r="A10664" i="13"/>
  <c r="J10663" i="13"/>
  <c r="F10663" i="13"/>
  <c r="A10663" i="13"/>
  <c r="J10662" i="13"/>
  <c r="F10662" i="13"/>
  <c r="A10662" i="13"/>
  <c r="J10661" i="13"/>
  <c r="F10661" i="13"/>
  <c r="A10661" i="13"/>
  <c r="F10660" i="13"/>
  <c r="A10660" i="13"/>
  <c r="J10659" i="13"/>
  <c r="F10659" i="13"/>
  <c r="A10659" i="13"/>
  <c r="F10658" i="13"/>
  <c r="A10658" i="13"/>
  <c r="F10657" i="13"/>
  <c r="A10657" i="13"/>
  <c r="J10656" i="13"/>
  <c r="F10656" i="13"/>
  <c r="A10656" i="13"/>
  <c r="J10655" i="13"/>
  <c r="F10655" i="13"/>
  <c r="A10655" i="13"/>
  <c r="F10654" i="13"/>
  <c r="A10654" i="13"/>
  <c r="J10653" i="13"/>
  <c r="F10653" i="13"/>
  <c r="A10653" i="13"/>
  <c r="J10652" i="13"/>
  <c r="F10652" i="13"/>
  <c r="A10652" i="13"/>
  <c r="F10651" i="13"/>
  <c r="A10651" i="13"/>
  <c r="J10650" i="13"/>
  <c r="F10650" i="13"/>
  <c r="A10650" i="13"/>
  <c r="J10649" i="13"/>
  <c r="F10649" i="13"/>
  <c r="A10649" i="13"/>
  <c r="J10648" i="13"/>
  <c r="F10648" i="13"/>
  <c r="A10648" i="13"/>
  <c r="J10647" i="13"/>
  <c r="F10647" i="13"/>
  <c r="A10647" i="13"/>
  <c r="F10646" i="13"/>
  <c r="A10646" i="13"/>
  <c r="F10645" i="13"/>
  <c r="A10645" i="13"/>
  <c r="F10644" i="13"/>
  <c r="A10644" i="13"/>
  <c r="J10643" i="13"/>
  <c r="F10643" i="13"/>
  <c r="J10642" i="13"/>
  <c r="F10642" i="13"/>
  <c r="F10641" i="13"/>
  <c r="A10641" i="13"/>
  <c r="F10640" i="13"/>
  <c r="A10640" i="13"/>
  <c r="F10639" i="13"/>
  <c r="A10639" i="13"/>
  <c r="F10638" i="13"/>
  <c r="A10638" i="13"/>
  <c r="F10637" i="13"/>
  <c r="A10637" i="13"/>
  <c r="F10636" i="13"/>
  <c r="A10636" i="13"/>
  <c r="F10635" i="13"/>
  <c r="A10635" i="13"/>
  <c r="F10634" i="13"/>
  <c r="A10634" i="13"/>
  <c r="F10633" i="13"/>
  <c r="A10633" i="13"/>
  <c r="F10632" i="13"/>
  <c r="A10632" i="13"/>
  <c r="F10631" i="13"/>
  <c r="A10631" i="13"/>
  <c r="F10630" i="13"/>
  <c r="A10630" i="13"/>
  <c r="F10629" i="13"/>
  <c r="A10629" i="13"/>
  <c r="F10628" i="13"/>
  <c r="J10627" i="13"/>
  <c r="F10627" i="13"/>
  <c r="A10627" i="13"/>
  <c r="J10626" i="13"/>
  <c r="F10626" i="13"/>
  <c r="A10626" i="13"/>
  <c r="J10625" i="13"/>
  <c r="F10625" i="13"/>
  <c r="A10625" i="13"/>
  <c r="J10624" i="13"/>
  <c r="F10624" i="13"/>
  <c r="A10624" i="13"/>
  <c r="F10623" i="13"/>
  <c r="A10623" i="13"/>
  <c r="F10622" i="13"/>
  <c r="A10622" i="13"/>
  <c r="F10621" i="13"/>
  <c r="A10621" i="13"/>
  <c r="F10620" i="13"/>
  <c r="A10620" i="13"/>
  <c r="J10619" i="13"/>
  <c r="F10619" i="13"/>
  <c r="A10619" i="13"/>
  <c r="F10618" i="13"/>
  <c r="A10618" i="13"/>
  <c r="F10617" i="13"/>
  <c r="A10617" i="13"/>
  <c r="F10616" i="13"/>
  <c r="A10616" i="13"/>
  <c r="F10615" i="13"/>
  <c r="A10615" i="13"/>
  <c r="F10614" i="13"/>
  <c r="A10614" i="13"/>
  <c r="F10613" i="13"/>
  <c r="A10613" i="13"/>
  <c r="F10612" i="13"/>
  <c r="A10612" i="13"/>
  <c r="F10611" i="13"/>
  <c r="A10611" i="13"/>
  <c r="F10610" i="13"/>
  <c r="A10610" i="13"/>
  <c r="F10609" i="13"/>
  <c r="A10609" i="13"/>
  <c r="F10608" i="13"/>
  <c r="A10608" i="13"/>
  <c r="F10607" i="13"/>
  <c r="A10607" i="13"/>
  <c r="F10606" i="13"/>
  <c r="A10606" i="13"/>
  <c r="F10605" i="13"/>
  <c r="A10605" i="13"/>
  <c r="F10604" i="13"/>
  <c r="A10604" i="13"/>
  <c r="F10603" i="13"/>
  <c r="A10603" i="13"/>
  <c r="F10602" i="13"/>
  <c r="A10602" i="13"/>
  <c r="F10601" i="13"/>
  <c r="A10601" i="13"/>
  <c r="F10600" i="13"/>
  <c r="A10600" i="13"/>
  <c r="F10599" i="13"/>
  <c r="A10599" i="13"/>
  <c r="F10598" i="13"/>
  <c r="A10598" i="13"/>
  <c r="F10597" i="13"/>
  <c r="A10597" i="13"/>
  <c r="F10596" i="13"/>
  <c r="A10596" i="13"/>
  <c r="F10595" i="13"/>
  <c r="A10595" i="13"/>
  <c r="F10594" i="13"/>
  <c r="A10594" i="13"/>
  <c r="F10593" i="13"/>
  <c r="A10593" i="13"/>
  <c r="F10592" i="13"/>
  <c r="A10592" i="13"/>
  <c r="F10591" i="13"/>
  <c r="A10591" i="13"/>
  <c r="F10590" i="13"/>
  <c r="A10590" i="13"/>
  <c r="F10589" i="13"/>
  <c r="A10589" i="13"/>
  <c r="F10588" i="13"/>
  <c r="A10588" i="13"/>
  <c r="F10587" i="13"/>
  <c r="A10587" i="13"/>
  <c r="J10586" i="13"/>
  <c r="F10586" i="13"/>
  <c r="A10586" i="13"/>
  <c r="J10585" i="13"/>
  <c r="F10585" i="13"/>
  <c r="A10585" i="13"/>
  <c r="F10584" i="13"/>
  <c r="A10584" i="13"/>
  <c r="F10583" i="13"/>
  <c r="A10583" i="13"/>
  <c r="J10582" i="13"/>
  <c r="F10582" i="13"/>
  <c r="A10582" i="13"/>
  <c r="J10581" i="13"/>
  <c r="F10581" i="13"/>
  <c r="A10581" i="13"/>
  <c r="J10580" i="13"/>
  <c r="F10580" i="13"/>
  <c r="A10580" i="13"/>
  <c r="F10579" i="13"/>
  <c r="A10579" i="13"/>
  <c r="J10578" i="13"/>
  <c r="F10578" i="13"/>
  <c r="A10578" i="13"/>
  <c r="J10577" i="13"/>
  <c r="F10577" i="13"/>
  <c r="A10577" i="13"/>
  <c r="J10576" i="13"/>
  <c r="F10576" i="13"/>
  <c r="A10576" i="13"/>
  <c r="F10575" i="13"/>
  <c r="A10575" i="13"/>
  <c r="J10574" i="13"/>
  <c r="F10574" i="13"/>
  <c r="A10574" i="13"/>
  <c r="J10573" i="13"/>
  <c r="F10573" i="13"/>
  <c r="A10573" i="13"/>
  <c r="J10572" i="13"/>
  <c r="F10572" i="13"/>
  <c r="A10572" i="13"/>
  <c r="J10571" i="13"/>
  <c r="F10571" i="13"/>
  <c r="A10571" i="13"/>
  <c r="F10570" i="13"/>
  <c r="A10570" i="13"/>
  <c r="J10569" i="13"/>
  <c r="F10569" i="13"/>
  <c r="A10569" i="13"/>
  <c r="F10568" i="13"/>
  <c r="A10568" i="13"/>
  <c r="J10567" i="13"/>
  <c r="F10567" i="13"/>
  <c r="A10567" i="13"/>
  <c r="J10566" i="13"/>
  <c r="F10566" i="13"/>
  <c r="A10566" i="13"/>
  <c r="F10565" i="13"/>
  <c r="A10565" i="13"/>
  <c r="F10564" i="13"/>
  <c r="A10564" i="13"/>
  <c r="J10563" i="13"/>
  <c r="F10563" i="13"/>
  <c r="A10563" i="13"/>
  <c r="J10562" i="13"/>
  <c r="F10562" i="13"/>
  <c r="A10562" i="13"/>
  <c r="F10561" i="13"/>
  <c r="A10561" i="13"/>
  <c r="J10560" i="13"/>
  <c r="F10560" i="13"/>
  <c r="A10560" i="13"/>
  <c r="J10559" i="13"/>
  <c r="F10559" i="13"/>
  <c r="A10559" i="13"/>
  <c r="J10558" i="13"/>
  <c r="F10558" i="13"/>
  <c r="A10558" i="13"/>
  <c r="F10557" i="13"/>
  <c r="A10557" i="13"/>
  <c r="J10556" i="13"/>
  <c r="F10556" i="13"/>
  <c r="A10556" i="13"/>
  <c r="F10555" i="13"/>
  <c r="A10555" i="13"/>
  <c r="F10554" i="13"/>
  <c r="A10554" i="13"/>
  <c r="J10553" i="13"/>
  <c r="F10553" i="13"/>
  <c r="A10553" i="13"/>
  <c r="J10552" i="13"/>
  <c r="F10552" i="13"/>
  <c r="A10552" i="13"/>
  <c r="J10551" i="13"/>
  <c r="F10551" i="13"/>
  <c r="A10551" i="13"/>
  <c r="J10550" i="13"/>
  <c r="F10550" i="13"/>
  <c r="A10550" i="13"/>
  <c r="J10549" i="13"/>
  <c r="F10549" i="13"/>
  <c r="A10549" i="13"/>
  <c r="J10548" i="13"/>
  <c r="F10548" i="13"/>
  <c r="A10548" i="13"/>
  <c r="J10547" i="13"/>
  <c r="F10547" i="13"/>
  <c r="A10547" i="13"/>
  <c r="J10546" i="13"/>
  <c r="F10546" i="13"/>
  <c r="A10546" i="13"/>
  <c r="F10545" i="13"/>
  <c r="A10545" i="13"/>
  <c r="J10544" i="13"/>
  <c r="F10544" i="13"/>
  <c r="A10544" i="13"/>
  <c r="J10543" i="13"/>
  <c r="F10543" i="13"/>
  <c r="A10543" i="13"/>
  <c r="F10542" i="13"/>
  <c r="A10542" i="13"/>
  <c r="F10541" i="13"/>
  <c r="A10541" i="13"/>
  <c r="J10540" i="13"/>
  <c r="F10540" i="13"/>
  <c r="A10540" i="13"/>
  <c r="J10539" i="13"/>
  <c r="F10539" i="13"/>
  <c r="A10539" i="13"/>
  <c r="J10538" i="13"/>
  <c r="F10538" i="13"/>
  <c r="A10538" i="13"/>
  <c r="F10537" i="13"/>
  <c r="A10537" i="13"/>
  <c r="J10536" i="13"/>
  <c r="F10536" i="13"/>
  <c r="A10536" i="13"/>
  <c r="J10535" i="13"/>
  <c r="F10535" i="13"/>
  <c r="A10535" i="13"/>
  <c r="F10534" i="13"/>
  <c r="A10534" i="13"/>
  <c r="F10533" i="13"/>
  <c r="A10533" i="13"/>
  <c r="F10532" i="13"/>
  <c r="A10532" i="13"/>
  <c r="J10531" i="13"/>
  <c r="F10531" i="13"/>
  <c r="A10531" i="13"/>
  <c r="J10530" i="13"/>
  <c r="F10530" i="13"/>
  <c r="A10530" i="13"/>
  <c r="F10529" i="13"/>
  <c r="A10529" i="13"/>
  <c r="F10528" i="13"/>
  <c r="A10528" i="13"/>
  <c r="J10527" i="13"/>
  <c r="F10527" i="13"/>
  <c r="A10527" i="13"/>
  <c r="F10526" i="13"/>
  <c r="A10526" i="13"/>
  <c r="F10525" i="13"/>
  <c r="A10525" i="13"/>
  <c r="F10524" i="13"/>
  <c r="A10524" i="13"/>
  <c r="F10523" i="13"/>
  <c r="A10523" i="13"/>
  <c r="F10522" i="13"/>
  <c r="A10522" i="13"/>
  <c r="J10521" i="13"/>
  <c r="F10521" i="13"/>
  <c r="A10521" i="13"/>
  <c r="J10520" i="13"/>
  <c r="F10520" i="13"/>
  <c r="A10520" i="13"/>
  <c r="J10519" i="13"/>
  <c r="F10519" i="13"/>
  <c r="A10519" i="13"/>
  <c r="J10518" i="13"/>
  <c r="F10518" i="13"/>
  <c r="A10518" i="13"/>
  <c r="J10517" i="13"/>
  <c r="F10517" i="13"/>
  <c r="A10517" i="13"/>
  <c r="J10516" i="13"/>
  <c r="F10516" i="13"/>
  <c r="A10516" i="13"/>
  <c r="F10515" i="13"/>
  <c r="A10515" i="13"/>
  <c r="F10514" i="13"/>
  <c r="A10514" i="13"/>
  <c r="J10513" i="13"/>
  <c r="F10513" i="13"/>
  <c r="A10513" i="13"/>
  <c r="J10512" i="13"/>
  <c r="F10512" i="13"/>
  <c r="A10512" i="13"/>
  <c r="F10511" i="13"/>
  <c r="A10511" i="13"/>
  <c r="F10510" i="13"/>
  <c r="A10510" i="13"/>
  <c r="J10509" i="13"/>
  <c r="F10509" i="13"/>
  <c r="A10509" i="13"/>
  <c r="J10508" i="13"/>
  <c r="F10508" i="13"/>
  <c r="A10508" i="13"/>
  <c r="J10507" i="13"/>
  <c r="F10507" i="13"/>
  <c r="A10507" i="13"/>
  <c r="J10506" i="13"/>
  <c r="F10506" i="13"/>
  <c r="A10506" i="13"/>
  <c r="J10505" i="13"/>
  <c r="F10505" i="13"/>
  <c r="A10505" i="13"/>
  <c r="J10504" i="13"/>
  <c r="F10504" i="13"/>
  <c r="A10504" i="13"/>
  <c r="J10503" i="13"/>
  <c r="F10503" i="13"/>
  <c r="A10503" i="13"/>
  <c r="J10502" i="13"/>
  <c r="F10502" i="13"/>
  <c r="A10502" i="13"/>
  <c r="J10501" i="13"/>
  <c r="F10501" i="13"/>
  <c r="F10500" i="13"/>
  <c r="A10500" i="13"/>
  <c r="J10499" i="13"/>
  <c r="F10499" i="13"/>
  <c r="A10499" i="13"/>
  <c r="J10498" i="13"/>
  <c r="F10498" i="13"/>
  <c r="A10498" i="13"/>
  <c r="J10497" i="13"/>
  <c r="F10497" i="13"/>
  <c r="A10497" i="13"/>
  <c r="F10496" i="13"/>
  <c r="A10496" i="13"/>
  <c r="J10495" i="13"/>
  <c r="F10495" i="13"/>
  <c r="A10495" i="13"/>
  <c r="J10494" i="13"/>
  <c r="F10494" i="13"/>
  <c r="A10494" i="13"/>
  <c r="F10493" i="13"/>
  <c r="A10493" i="13"/>
  <c r="J10492" i="13"/>
  <c r="F10492" i="13"/>
  <c r="A10492" i="13"/>
  <c r="F10491" i="13"/>
  <c r="A10491" i="13"/>
  <c r="F10490" i="13"/>
  <c r="A10490" i="13"/>
  <c r="J10489" i="13"/>
  <c r="F10489" i="13"/>
  <c r="A10489" i="13"/>
  <c r="J10488" i="13"/>
  <c r="F10488" i="13"/>
  <c r="A10488" i="13"/>
  <c r="F10487" i="13"/>
  <c r="A10487" i="13"/>
  <c r="J10486" i="13"/>
  <c r="F10486" i="13"/>
  <c r="A10486" i="13"/>
  <c r="J10485" i="13"/>
  <c r="F10485" i="13"/>
  <c r="A10485" i="13"/>
  <c r="F10484" i="13"/>
  <c r="A10484" i="13"/>
  <c r="J10483" i="13"/>
  <c r="F10483" i="13"/>
  <c r="A10483" i="13"/>
  <c r="J10482" i="13"/>
  <c r="F10482" i="13"/>
  <c r="A10482" i="13"/>
  <c r="J10481" i="13"/>
  <c r="F10481" i="13"/>
  <c r="A10481" i="13"/>
  <c r="J10480" i="13"/>
  <c r="F10480" i="13"/>
  <c r="A10480" i="13"/>
  <c r="J10479" i="13"/>
  <c r="F10479" i="13"/>
  <c r="A10479" i="13"/>
  <c r="F10478" i="13"/>
  <c r="A10478" i="13"/>
  <c r="J10477" i="13"/>
  <c r="F10477" i="13"/>
  <c r="A10477" i="13"/>
  <c r="F10476" i="13"/>
  <c r="A10476" i="13"/>
  <c r="J10475" i="13"/>
  <c r="F10475" i="13"/>
  <c r="A10475" i="13"/>
  <c r="J10474" i="13"/>
  <c r="F10474" i="13"/>
  <c r="A10474" i="13"/>
  <c r="F10473" i="13"/>
  <c r="A10473" i="13"/>
  <c r="F10472" i="13"/>
  <c r="A10472" i="13"/>
  <c r="J10471" i="13"/>
  <c r="F10471" i="13"/>
  <c r="A10471" i="13"/>
  <c r="F10470" i="13"/>
  <c r="A10470" i="13"/>
  <c r="J10469" i="13"/>
  <c r="F10469" i="13"/>
  <c r="A10469" i="13"/>
  <c r="J10468" i="13"/>
  <c r="F10468" i="13"/>
  <c r="A10468" i="13"/>
  <c r="F10467" i="13"/>
  <c r="A10467" i="13"/>
  <c r="J10466" i="13"/>
  <c r="F10466" i="13"/>
  <c r="A10466" i="13"/>
  <c r="J10465" i="13"/>
  <c r="F10465" i="13"/>
  <c r="A10465" i="13"/>
  <c r="J10464" i="13"/>
  <c r="F10464" i="13"/>
  <c r="A10464" i="13"/>
  <c r="J10463" i="13"/>
  <c r="F10463" i="13"/>
  <c r="A10463" i="13"/>
  <c r="J10462" i="13"/>
  <c r="F10462" i="13"/>
  <c r="A10462" i="13"/>
  <c r="J10461" i="13"/>
  <c r="F10461" i="13"/>
  <c r="A10461" i="13"/>
  <c r="J10460" i="13"/>
  <c r="F10460" i="13"/>
  <c r="A10460" i="13"/>
  <c r="J10459" i="13"/>
  <c r="F10459" i="13"/>
  <c r="A10459" i="13"/>
  <c r="J10458" i="13"/>
  <c r="F10458" i="13"/>
  <c r="A10458" i="13"/>
  <c r="J10457" i="13"/>
  <c r="F10457" i="13"/>
  <c r="A10457" i="13"/>
  <c r="J10456" i="13"/>
  <c r="F10456" i="13"/>
  <c r="A10456" i="13"/>
  <c r="J10455" i="13"/>
  <c r="F10455" i="13"/>
  <c r="A10455" i="13"/>
  <c r="J10454" i="13"/>
  <c r="F10454" i="13"/>
  <c r="A10454" i="13"/>
  <c r="J10453" i="13"/>
  <c r="F10453" i="13"/>
  <c r="A10453" i="13"/>
  <c r="J10452" i="13"/>
  <c r="F10452" i="13"/>
  <c r="A10452" i="13"/>
  <c r="J10451" i="13"/>
  <c r="F10451" i="13"/>
  <c r="A10451" i="13"/>
  <c r="J10450" i="13"/>
  <c r="F10450" i="13"/>
  <c r="A10450" i="13"/>
  <c r="J10449" i="13"/>
  <c r="F10449" i="13"/>
  <c r="A10449" i="13"/>
  <c r="J10448" i="13"/>
  <c r="F10448" i="13"/>
  <c r="F10447" i="13"/>
  <c r="A10447" i="13"/>
  <c r="F10446" i="13"/>
  <c r="A10446" i="13"/>
  <c r="J10445" i="13"/>
  <c r="F10445" i="13"/>
  <c r="A10445" i="13"/>
  <c r="J10444" i="13"/>
  <c r="F10444" i="13"/>
  <c r="A10444" i="13"/>
  <c r="J10443" i="13"/>
  <c r="F10443" i="13"/>
  <c r="A10443" i="13"/>
  <c r="J10442" i="13"/>
  <c r="F10442" i="13"/>
  <c r="A10442" i="13"/>
  <c r="F10441" i="13"/>
  <c r="A10441" i="13"/>
  <c r="J10440" i="13"/>
  <c r="F10440" i="13"/>
  <c r="A10440" i="13"/>
  <c r="J10439" i="13"/>
  <c r="F10439" i="13"/>
  <c r="A10439" i="13"/>
  <c r="F10438" i="13"/>
  <c r="A10438" i="13"/>
  <c r="J10437" i="13"/>
  <c r="F10437" i="13"/>
  <c r="A10437" i="13"/>
  <c r="J10436" i="13"/>
  <c r="F10436" i="13"/>
  <c r="A10436" i="13"/>
  <c r="F10435" i="13"/>
  <c r="A10435" i="13"/>
  <c r="J10434" i="13"/>
  <c r="F10434" i="13"/>
  <c r="A10434" i="13"/>
  <c r="J10433" i="13"/>
  <c r="F10433" i="13"/>
  <c r="A10433" i="13"/>
  <c r="F10432" i="13"/>
  <c r="A10432" i="13"/>
  <c r="J10431" i="13"/>
  <c r="F10431" i="13"/>
  <c r="A10431" i="13"/>
  <c r="J10430" i="13"/>
  <c r="F10430" i="13"/>
  <c r="A10430" i="13"/>
  <c r="J10429" i="13"/>
  <c r="F10429" i="13"/>
  <c r="A10429" i="13"/>
  <c r="J10428" i="13"/>
  <c r="F10428" i="13"/>
  <c r="A10428" i="13"/>
  <c r="F10427" i="13"/>
  <c r="A10427" i="13"/>
  <c r="F10426" i="13"/>
  <c r="A10426" i="13"/>
  <c r="J10425" i="13"/>
  <c r="F10425" i="13"/>
  <c r="A10425" i="13"/>
  <c r="J10424" i="13"/>
  <c r="F10424" i="13"/>
  <c r="A10424" i="13"/>
  <c r="F10423" i="13"/>
  <c r="A10423" i="13"/>
  <c r="J10422" i="13"/>
  <c r="F10422" i="13"/>
  <c r="A10422" i="13"/>
  <c r="J10421" i="13"/>
  <c r="F10421" i="13"/>
  <c r="A10421" i="13"/>
  <c r="J10420" i="13"/>
  <c r="F10420" i="13"/>
  <c r="A10420" i="13"/>
  <c r="J10419" i="13"/>
  <c r="F10419" i="13"/>
  <c r="A10419" i="13"/>
  <c r="F10418" i="13"/>
  <c r="A10418" i="13"/>
  <c r="J10417" i="13"/>
  <c r="F10417" i="13"/>
  <c r="A10417" i="13"/>
  <c r="F10416" i="13"/>
  <c r="A10416" i="13"/>
  <c r="F10415" i="13"/>
  <c r="A10415" i="13"/>
  <c r="F10414" i="13"/>
  <c r="A10414" i="13"/>
  <c r="F10413" i="13"/>
  <c r="A10413" i="13"/>
  <c r="F10412" i="13"/>
  <c r="A10412" i="13"/>
  <c r="F10411" i="13"/>
  <c r="A10411" i="13"/>
  <c r="J10410" i="13"/>
  <c r="F10410" i="13"/>
  <c r="A10410" i="13"/>
  <c r="J10409" i="13"/>
  <c r="F10409" i="13"/>
  <c r="A10409" i="13"/>
  <c r="F10408" i="13"/>
  <c r="A10408" i="13"/>
  <c r="J10407" i="13"/>
  <c r="F10407" i="13"/>
  <c r="A10407" i="13"/>
  <c r="J10406" i="13"/>
  <c r="F10406" i="13"/>
  <c r="A10406" i="13"/>
  <c r="F10405" i="13"/>
  <c r="A10405" i="13"/>
  <c r="F10404" i="13"/>
  <c r="A10404" i="13"/>
  <c r="F10403" i="13"/>
  <c r="A10403" i="13"/>
  <c r="F10402" i="13"/>
  <c r="A10402" i="13"/>
  <c r="F10401" i="13"/>
  <c r="A10401" i="13"/>
  <c r="F10400" i="13"/>
  <c r="A10400" i="13"/>
  <c r="F10399" i="13"/>
  <c r="A10399" i="13"/>
  <c r="F10398" i="13"/>
  <c r="A10398" i="13"/>
  <c r="F10397" i="13"/>
  <c r="A10397" i="13"/>
  <c r="F10396" i="13"/>
  <c r="A10396" i="13"/>
  <c r="J10395" i="13"/>
  <c r="F10395" i="13"/>
  <c r="A10395" i="13"/>
  <c r="J10394" i="13"/>
  <c r="F10394" i="13"/>
  <c r="A10394" i="13"/>
  <c r="F10393" i="13"/>
  <c r="A10393" i="13"/>
  <c r="F10392" i="13"/>
  <c r="A10392" i="13"/>
  <c r="J10391" i="13"/>
  <c r="F10391" i="13"/>
  <c r="A10391" i="13"/>
  <c r="J10390" i="13"/>
  <c r="F10390" i="13"/>
  <c r="A10390" i="13"/>
  <c r="J10389" i="13"/>
  <c r="F10389" i="13"/>
  <c r="A10389" i="13"/>
  <c r="F10388" i="13"/>
  <c r="A10388" i="13"/>
  <c r="J10387" i="13"/>
  <c r="F10387" i="13"/>
  <c r="A10387" i="13"/>
  <c r="J10386" i="13"/>
  <c r="F10386" i="13"/>
  <c r="A10386" i="13"/>
  <c r="F10385" i="13"/>
  <c r="A10385" i="13"/>
  <c r="J10384" i="13"/>
  <c r="F10384" i="13"/>
  <c r="A10384" i="13"/>
  <c r="J10383" i="13"/>
  <c r="F10383" i="13"/>
  <c r="A10383" i="13"/>
  <c r="J10382" i="13"/>
  <c r="F10382" i="13"/>
  <c r="A10382" i="13"/>
  <c r="J10381" i="13"/>
  <c r="F10381" i="13"/>
  <c r="A10381" i="13"/>
  <c r="J10380" i="13"/>
  <c r="F10380" i="13"/>
  <c r="A10380" i="13"/>
  <c r="J10379" i="13"/>
  <c r="F10379" i="13"/>
  <c r="A10379" i="13"/>
  <c r="F10378" i="13"/>
  <c r="A10378" i="13"/>
  <c r="J10377" i="13"/>
  <c r="F10377" i="13"/>
  <c r="A10377" i="13"/>
  <c r="J10376" i="13"/>
  <c r="F10376" i="13"/>
  <c r="A10376" i="13"/>
  <c r="J10375" i="13"/>
  <c r="F10375" i="13"/>
  <c r="A10375" i="13"/>
  <c r="F10374" i="13"/>
  <c r="A10374" i="13"/>
  <c r="J10373" i="13"/>
  <c r="F10373" i="13"/>
  <c r="A10373" i="13"/>
  <c r="J10372" i="13"/>
  <c r="F10372" i="13"/>
  <c r="A10372" i="13"/>
  <c r="J10371" i="13"/>
  <c r="F10371" i="13"/>
  <c r="A10371" i="13"/>
  <c r="F10370" i="13"/>
  <c r="A10370" i="13"/>
  <c r="J10369" i="13"/>
  <c r="F10369" i="13"/>
  <c r="A10369" i="13"/>
  <c r="J10368" i="13"/>
  <c r="F10368" i="13"/>
  <c r="A10368" i="13"/>
  <c r="F10367" i="13"/>
  <c r="A10367" i="13"/>
  <c r="J10366" i="13"/>
  <c r="F10366" i="13"/>
  <c r="A10366" i="13"/>
  <c r="J10365" i="13"/>
  <c r="F10365" i="13"/>
  <c r="A10365" i="13"/>
  <c r="J10364" i="13"/>
  <c r="F10364" i="13"/>
  <c r="A10364" i="13"/>
  <c r="F10363" i="13"/>
  <c r="A10363" i="13"/>
  <c r="J10362" i="13"/>
  <c r="F10362" i="13"/>
  <c r="A10362" i="13"/>
  <c r="J10361" i="13"/>
  <c r="F10361" i="13"/>
  <c r="A10361" i="13"/>
  <c r="F10360" i="13"/>
  <c r="A10360" i="13"/>
  <c r="J10359" i="13"/>
  <c r="F10359" i="13"/>
  <c r="A10359" i="13"/>
  <c r="J10358" i="13"/>
  <c r="F10358" i="13"/>
  <c r="A10358" i="13"/>
  <c r="J10357" i="13"/>
  <c r="F10357" i="13"/>
  <c r="A10357" i="13"/>
  <c r="J10356" i="13"/>
  <c r="F10356" i="13"/>
  <c r="F10355" i="13"/>
  <c r="A10355" i="13"/>
  <c r="J10354" i="13"/>
  <c r="F10354" i="13"/>
  <c r="A10354" i="13"/>
  <c r="J10353" i="13"/>
  <c r="F10353" i="13"/>
  <c r="A10353" i="13"/>
  <c r="J10352" i="13"/>
  <c r="F10352" i="13"/>
  <c r="A10352" i="13"/>
  <c r="F10351" i="13"/>
  <c r="A10351" i="13"/>
  <c r="J10350" i="13"/>
  <c r="F10350" i="13"/>
  <c r="A10350" i="13"/>
  <c r="F10349" i="13"/>
  <c r="A10349" i="13"/>
  <c r="J10348" i="13"/>
  <c r="F10348" i="13"/>
  <c r="A10348" i="13"/>
  <c r="J10347" i="13"/>
  <c r="F10347" i="13"/>
  <c r="A10347" i="13"/>
  <c r="J10346" i="13"/>
  <c r="F10346" i="13"/>
  <c r="A10346" i="13"/>
  <c r="F10345" i="13"/>
  <c r="A10345" i="13"/>
  <c r="J10344" i="13"/>
  <c r="F10344" i="13"/>
  <c r="A10344" i="13"/>
  <c r="J10343" i="13"/>
  <c r="F10343" i="13"/>
  <c r="A10343" i="13"/>
  <c r="J10342" i="13"/>
  <c r="F10342" i="13"/>
  <c r="A10342" i="13"/>
  <c r="J10341" i="13"/>
  <c r="F10341" i="13"/>
  <c r="A10341" i="13"/>
  <c r="F10340" i="13"/>
  <c r="A10340" i="13"/>
  <c r="F10339" i="13"/>
  <c r="A10339" i="13"/>
  <c r="J10338" i="13"/>
  <c r="F10338" i="13"/>
  <c r="A10338" i="13"/>
  <c r="J10337" i="13"/>
  <c r="F10337" i="13"/>
  <c r="A10337" i="13"/>
  <c r="F10336" i="13"/>
  <c r="A10336" i="13"/>
  <c r="J10335" i="13"/>
  <c r="F10335" i="13"/>
  <c r="A10335" i="13"/>
  <c r="F10334" i="13"/>
  <c r="A10334" i="13"/>
  <c r="F10333" i="13"/>
  <c r="A10333" i="13"/>
  <c r="F10332" i="13"/>
  <c r="A10332" i="13"/>
  <c r="J10331" i="13"/>
  <c r="F10331" i="13"/>
  <c r="A10331" i="13"/>
  <c r="J10330" i="13"/>
  <c r="F10330" i="13"/>
  <c r="A10330" i="13"/>
  <c r="J10329" i="13"/>
  <c r="F10329" i="13"/>
  <c r="A10329" i="13"/>
  <c r="F10328" i="13"/>
  <c r="A10328" i="13"/>
  <c r="F10327" i="13"/>
  <c r="A10327" i="13"/>
  <c r="J10326" i="13"/>
  <c r="F10326" i="13"/>
  <c r="A10326" i="13"/>
  <c r="J10325" i="13"/>
  <c r="F10325" i="13"/>
  <c r="A10325" i="13"/>
  <c r="J10324" i="13"/>
  <c r="F10324" i="13"/>
  <c r="A10324" i="13"/>
  <c r="F10323" i="13"/>
  <c r="A10323" i="13"/>
  <c r="F10322" i="13"/>
  <c r="A10322" i="13"/>
  <c r="F10321" i="13"/>
  <c r="A10321" i="13"/>
  <c r="J10320" i="13"/>
  <c r="F10320" i="13"/>
  <c r="A10320" i="13"/>
  <c r="J10319" i="13"/>
  <c r="F10319" i="13"/>
  <c r="A10319" i="13"/>
  <c r="J10318" i="13"/>
  <c r="F10318" i="13"/>
  <c r="A10318" i="13"/>
  <c r="J10317" i="13"/>
  <c r="F10317" i="13"/>
  <c r="A10317" i="13"/>
  <c r="J10316" i="13"/>
  <c r="F10316" i="13"/>
  <c r="A10316" i="13"/>
  <c r="J10315" i="13"/>
  <c r="F10315" i="13"/>
  <c r="A10315" i="13"/>
  <c r="J10314" i="13"/>
  <c r="F10314" i="13"/>
  <c r="A10314" i="13"/>
  <c r="J10313" i="13"/>
  <c r="F10313" i="13"/>
  <c r="A10313" i="13"/>
  <c r="J10312" i="13"/>
  <c r="F10312" i="13"/>
  <c r="A10312" i="13"/>
  <c r="J10311" i="13"/>
  <c r="F10311" i="13"/>
  <c r="A10311" i="13"/>
  <c r="J10310" i="13"/>
  <c r="F10310" i="13"/>
  <c r="A10310" i="13"/>
  <c r="J10309" i="13"/>
  <c r="F10309" i="13"/>
  <c r="A10309" i="13"/>
  <c r="J10308" i="13"/>
  <c r="F10308" i="13"/>
  <c r="A10308" i="13"/>
  <c r="J10307" i="13"/>
  <c r="F10307" i="13"/>
  <c r="A10307" i="13"/>
  <c r="J10306" i="13"/>
  <c r="F10306" i="13"/>
  <c r="A10306" i="13"/>
  <c r="J10305" i="13"/>
  <c r="F10305" i="13"/>
  <c r="A10305" i="13"/>
  <c r="J10304" i="13"/>
  <c r="F10304" i="13"/>
  <c r="A10304" i="13"/>
  <c r="J10303" i="13"/>
  <c r="F10303" i="13"/>
  <c r="A10303" i="13"/>
  <c r="J10302" i="13"/>
  <c r="F10302" i="13"/>
  <c r="A10302" i="13"/>
  <c r="J10301" i="13"/>
  <c r="F10301" i="13"/>
  <c r="A10301" i="13"/>
  <c r="J10300" i="13"/>
  <c r="F10300" i="13"/>
  <c r="A10300" i="13"/>
  <c r="J10299" i="13"/>
  <c r="F10299" i="13"/>
  <c r="A10299" i="13"/>
  <c r="J10298" i="13"/>
  <c r="F10298" i="13"/>
  <c r="J10297" i="13"/>
  <c r="F10297" i="13"/>
  <c r="A10297" i="13"/>
  <c r="J10296" i="13"/>
  <c r="F10296" i="13"/>
  <c r="A10296" i="13"/>
  <c r="F10295" i="13"/>
  <c r="A10295" i="13"/>
  <c r="J10294" i="13"/>
  <c r="F10294" i="13"/>
  <c r="A10294" i="13"/>
  <c r="F10293" i="13"/>
  <c r="A10293" i="13"/>
  <c r="F10292" i="13"/>
  <c r="A10292" i="13"/>
  <c r="J10291" i="13"/>
  <c r="F10291" i="13"/>
  <c r="A10291" i="13"/>
  <c r="J10290" i="13"/>
  <c r="F10290" i="13"/>
  <c r="A10290" i="13"/>
  <c r="J10289" i="13"/>
  <c r="F10289" i="13"/>
  <c r="A10289" i="13"/>
  <c r="F10288" i="13"/>
  <c r="A10288" i="13"/>
  <c r="F10287" i="13"/>
  <c r="A10287" i="13"/>
  <c r="F10286" i="13"/>
  <c r="A10286" i="13"/>
  <c r="J10285" i="13"/>
  <c r="F10285" i="13"/>
  <c r="A10285" i="13"/>
  <c r="J10284" i="13"/>
  <c r="F10284" i="13"/>
  <c r="A10284" i="13"/>
  <c r="J10283" i="13"/>
  <c r="F10283" i="13"/>
  <c r="A10283" i="13"/>
  <c r="J10282" i="13"/>
  <c r="F10282" i="13"/>
  <c r="A10282" i="13"/>
  <c r="J10281" i="13"/>
  <c r="F10281" i="13"/>
  <c r="A10281" i="13"/>
  <c r="J10280" i="13"/>
  <c r="F10280" i="13"/>
  <c r="A10280" i="13"/>
  <c r="J10279" i="13"/>
  <c r="F10279" i="13"/>
  <c r="A10279" i="13"/>
  <c r="J10278" i="13"/>
  <c r="F10278" i="13"/>
  <c r="A10278" i="13"/>
  <c r="F10277" i="13"/>
  <c r="A10277" i="13"/>
  <c r="J10276" i="13"/>
  <c r="F10276" i="13"/>
  <c r="A10276" i="13"/>
  <c r="J10275" i="13"/>
  <c r="F10275" i="13"/>
  <c r="A10275" i="13"/>
  <c r="J10274" i="13"/>
  <c r="F10274" i="13"/>
  <c r="A10274" i="13"/>
  <c r="J10273" i="13"/>
  <c r="F10273" i="13"/>
  <c r="A10273" i="13"/>
  <c r="J10272" i="13"/>
  <c r="F10272" i="13"/>
  <c r="A10272" i="13"/>
  <c r="J10271" i="13"/>
  <c r="F10271" i="13"/>
  <c r="A10271" i="13"/>
  <c r="J10270" i="13"/>
  <c r="F10270" i="13"/>
  <c r="A10270" i="13"/>
  <c r="J10269" i="13"/>
  <c r="F10269" i="13"/>
  <c r="A10269" i="13"/>
  <c r="J10268" i="13"/>
  <c r="F10268" i="13"/>
  <c r="A10268" i="13"/>
  <c r="J10267" i="13"/>
  <c r="F10267" i="13"/>
  <c r="A10267" i="13"/>
  <c r="J10266" i="13"/>
  <c r="F10266" i="13"/>
  <c r="A10266" i="13"/>
  <c r="J10265" i="13"/>
  <c r="F10265" i="13"/>
  <c r="A10265" i="13"/>
  <c r="J10264" i="13"/>
  <c r="F10264" i="13"/>
  <c r="J10263" i="13"/>
  <c r="F10263" i="13"/>
  <c r="A10263" i="13"/>
  <c r="F10262" i="13"/>
  <c r="A10262" i="13"/>
  <c r="F10261" i="13"/>
  <c r="A10261" i="13"/>
  <c r="J10260" i="13"/>
  <c r="F10260" i="13"/>
  <c r="A10260" i="13"/>
  <c r="J10259" i="13"/>
  <c r="F10259" i="13"/>
  <c r="A10259" i="13"/>
  <c r="F10258" i="13"/>
  <c r="A10258" i="13"/>
  <c r="F10257" i="13"/>
  <c r="A10257" i="13"/>
  <c r="J10256" i="13"/>
  <c r="F10256" i="13"/>
  <c r="A10256" i="13"/>
  <c r="J10255" i="13"/>
  <c r="F10255" i="13"/>
  <c r="A10255" i="13"/>
  <c r="J10254" i="13"/>
  <c r="F10254" i="13"/>
  <c r="A10254" i="13"/>
  <c r="J10253" i="13"/>
  <c r="F10253" i="13"/>
  <c r="A10253" i="13"/>
  <c r="J10252" i="13"/>
  <c r="F10252" i="13"/>
  <c r="A10252" i="13"/>
  <c r="F10251" i="13"/>
  <c r="A10251" i="13"/>
  <c r="F10250" i="13"/>
  <c r="A10250" i="13"/>
  <c r="F10249" i="13"/>
  <c r="A10249" i="13"/>
  <c r="J10248" i="13"/>
  <c r="F10248" i="13"/>
  <c r="A10248" i="13"/>
  <c r="J10247" i="13"/>
  <c r="F10247" i="13"/>
  <c r="A10247" i="13"/>
  <c r="J10246" i="13"/>
  <c r="F10246" i="13"/>
  <c r="A10246" i="13"/>
  <c r="F10245" i="13"/>
  <c r="A10245" i="13"/>
  <c r="F10244" i="13"/>
  <c r="A10244" i="13"/>
  <c r="F10243" i="13"/>
  <c r="A10243" i="13"/>
  <c r="J10242" i="13"/>
  <c r="F10242" i="13"/>
  <c r="A10242" i="13"/>
  <c r="F10241" i="13"/>
  <c r="A10241" i="13"/>
  <c r="J10240" i="13"/>
  <c r="F10240" i="13"/>
  <c r="A10240" i="13"/>
  <c r="J10239" i="13"/>
  <c r="F10239" i="13"/>
  <c r="A10239" i="13"/>
  <c r="J10238" i="13"/>
  <c r="F10238" i="13"/>
  <c r="A10238" i="13"/>
  <c r="F10237" i="13"/>
  <c r="A10237" i="13"/>
  <c r="J10236" i="13"/>
  <c r="F10236" i="13"/>
  <c r="A10236" i="13"/>
  <c r="F10235" i="13"/>
  <c r="A10235" i="13"/>
  <c r="J10234" i="13"/>
  <c r="F10234" i="13"/>
  <c r="A10234" i="13"/>
  <c r="J10233" i="13"/>
  <c r="F10233" i="13"/>
  <c r="A10233" i="13"/>
  <c r="J10232" i="13"/>
  <c r="F10232" i="13"/>
  <c r="A10232" i="13"/>
  <c r="J10231" i="13"/>
  <c r="F10231" i="13"/>
  <c r="A10231" i="13"/>
  <c r="F10230" i="13"/>
  <c r="A10230" i="13"/>
  <c r="F10229" i="13"/>
  <c r="A10229" i="13"/>
  <c r="F10228" i="13"/>
  <c r="A10228" i="13"/>
  <c r="J10227" i="13"/>
  <c r="F10227" i="13"/>
  <c r="A10227" i="13"/>
  <c r="F10226" i="13"/>
  <c r="A10226" i="13"/>
  <c r="J10225" i="13"/>
  <c r="F10225" i="13"/>
  <c r="J10224" i="13"/>
  <c r="F10224" i="13"/>
  <c r="J10223" i="13"/>
  <c r="F10223" i="13"/>
  <c r="F10222" i="13"/>
  <c r="A10222" i="13"/>
  <c r="F10221" i="13"/>
  <c r="A10221" i="13"/>
  <c r="F10220" i="13"/>
  <c r="A10220" i="13"/>
  <c r="F10219" i="13"/>
  <c r="A10219" i="13"/>
  <c r="F10218" i="13"/>
  <c r="A10218" i="13"/>
  <c r="F10217" i="13"/>
  <c r="A10217" i="13"/>
  <c r="F10216" i="13"/>
  <c r="A10216" i="13"/>
  <c r="F10215" i="13"/>
  <c r="A10215" i="13"/>
  <c r="F10214" i="13"/>
  <c r="A10214" i="13"/>
  <c r="F10213" i="13"/>
  <c r="J10212" i="13"/>
  <c r="F10212" i="13"/>
  <c r="A10212" i="13"/>
  <c r="J10211" i="13"/>
  <c r="F10211" i="13"/>
  <c r="A10211" i="13"/>
  <c r="J10210" i="13"/>
  <c r="F10210" i="13"/>
  <c r="A10210" i="13"/>
  <c r="J10209" i="13"/>
  <c r="F10209" i="13"/>
  <c r="A10209" i="13"/>
  <c r="J10208" i="13"/>
  <c r="F10208" i="13"/>
  <c r="A10208" i="13"/>
  <c r="J10207" i="13"/>
  <c r="F10207" i="13"/>
  <c r="J10206" i="13"/>
  <c r="F10206" i="13"/>
  <c r="J10205" i="13"/>
  <c r="F10205" i="13"/>
  <c r="F10204" i="13"/>
  <c r="A10204" i="13"/>
  <c r="F10203" i="13"/>
  <c r="A10203" i="13"/>
  <c r="F10202" i="13"/>
  <c r="A10202" i="13"/>
  <c r="F10201" i="13"/>
  <c r="A10201" i="13"/>
  <c r="F10200" i="13"/>
  <c r="A10200" i="13"/>
  <c r="F10199" i="13"/>
  <c r="A10199" i="13"/>
  <c r="F10198" i="13"/>
  <c r="A10198" i="13"/>
  <c r="F10197" i="13"/>
  <c r="A10197" i="13"/>
  <c r="F10196" i="13"/>
  <c r="A10196" i="13"/>
  <c r="F10195" i="13"/>
  <c r="A10195" i="13"/>
  <c r="F10194" i="13"/>
  <c r="A10194" i="13"/>
  <c r="F10193" i="13"/>
  <c r="A10193" i="13"/>
  <c r="F10192" i="13"/>
  <c r="A10192" i="13"/>
  <c r="F10191" i="13"/>
  <c r="A10191" i="13"/>
  <c r="F10190" i="13"/>
  <c r="A10190" i="13"/>
  <c r="F10189" i="13"/>
  <c r="A10189" i="13"/>
  <c r="F10188" i="13"/>
  <c r="A10188" i="13"/>
  <c r="F10187" i="13"/>
  <c r="A10187" i="13"/>
  <c r="F10186" i="13"/>
  <c r="A10186" i="13"/>
  <c r="F10185" i="13"/>
  <c r="A10185" i="13"/>
  <c r="F10184" i="13"/>
  <c r="A10184" i="13"/>
  <c r="F10183" i="13"/>
  <c r="A10183" i="13"/>
  <c r="F10182" i="13"/>
  <c r="A10182" i="13"/>
  <c r="F10181" i="13"/>
  <c r="A10181" i="13"/>
  <c r="F10180" i="13"/>
  <c r="A10180" i="13"/>
  <c r="F10179" i="13"/>
  <c r="J10178" i="13"/>
  <c r="F10178" i="13"/>
  <c r="A10178" i="13"/>
  <c r="J10177" i="13"/>
  <c r="F10177" i="13"/>
  <c r="A10177" i="13"/>
  <c r="F10176" i="13"/>
  <c r="A10176" i="13"/>
  <c r="F10175" i="13"/>
  <c r="A10175" i="13"/>
  <c r="F10174" i="13"/>
  <c r="A10174" i="13"/>
  <c r="J10173" i="13"/>
  <c r="F10173" i="13"/>
  <c r="A10173" i="13"/>
  <c r="J10172" i="13"/>
  <c r="F10172" i="13"/>
  <c r="A10172" i="13"/>
  <c r="J10171" i="13"/>
  <c r="F10171" i="13"/>
  <c r="A10171" i="13"/>
  <c r="F10170" i="13"/>
  <c r="A10170" i="13"/>
  <c r="J10169" i="13"/>
  <c r="F10169" i="13"/>
  <c r="A10169" i="13"/>
  <c r="J10168" i="13"/>
  <c r="F10168" i="13"/>
  <c r="A10168" i="13"/>
  <c r="J10167" i="13"/>
  <c r="F10167" i="13"/>
  <c r="A10167" i="13"/>
  <c r="F10166" i="13"/>
  <c r="A10166" i="13"/>
  <c r="J10165" i="13"/>
  <c r="F10165" i="13"/>
  <c r="A10165" i="13"/>
  <c r="J10164" i="13"/>
  <c r="F10164" i="13"/>
  <c r="A10164" i="13"/>
  <c r="J10163" i="13"/>
  <c r="F10163" i="13"/>
  <c r="A10163" i="13"/>
  <c r="F10162" i="13"/>
  <c r="A10162" i="13"/>
  <c r="J10161" i="13"/>
  <c r="F10161" i="13"/>
  <c r="A10161" i="13"/>
  <c r="J10160" i="13"/>
  <c r="F10160" i="13"/>
  <c r="A10160" i="13"/>
  <c r="J10159" i="13"/>
  <c r="F10159" i="13"/>
  <c r="A10159" i="13"/>
  <c r="F10158" i="13"/>
  <c r="A10158" i="13"/>
  <c r="J10157" i="13"/>
  <c r="F10157" i="13"/>
  <c r="A10157" i="13"/>
  <c r="J10156" i="13"/>
  <c r="F10156" i="13"/>
  <c r="A10156" i="13"/>
  <c r="J10155" i="13"/>
  <c r="F10155" i="13"/>
  <c r="A10155" i="13"/>
  <c r="J10154" i="13"/>
  <c r="F10154" i="13"/>
  <c r="A10154" i="13"/>
  <c r="J10153" i="13"/>
  <c r="F10153" i="13"/>
  <c r="A10153" i="13"/>
  <c r="J10152" i="13"/>
  <c r="F10152" i="13"/>
  <c r="A10152" i="13"/>
  <c r="J10151" i="13"/>
  <c r="F10151" i="13"/>
  <c r="A10151" i="13"/>
  <c r="J10150" i="13"/>
  <c r="F10150" i="13"/>
  <c r="A10150" i="13"/>
  <c r="J10149" i="13"/>
  <c r="F10149" i="13"/>
  <c r="A10149" i="13"/>
  <c r="J10148" i="13"/>
  <c r="F10148" i="13"/>
  <c r="A10148" i="13"/>
  <c r="J10147" i="13"/>
  <c r="F10147" i="13"/>
  <c r="A10147" i="13"/>
  <c r="J10146" i="13"/>
  <c r="F10146" i="13"/>
  <c r="A10146" i="13"/>
  <c r="J10145" i="13"/>
  <c r="F10145" i="13"/>
  <c r="A10145" i="13"/>
  <c r="J10144" i="13"/>
  <c r="F10144" i="13"/>
  <c r="A10144" i="13"/>
  <c r="J10143" i="13"/>
  <c r="F10143" i="13"/>
  <c r="A10143" i="13"/>
  <c r="J10142" i="13"/>
  <c r="F10142" i="13"/>
  <c r="A10142" i="13"/>
  <c r="J10141" i="13"/>
  <c r="F10141" i="13"/>
  <c r="A10141" i="13"/>
  <c r="J10140" i="13"/>
  <c r="F10140" i="13"/>
  <c r="F10139" i="13"/>
  <c r="A10139" i="13"/>
  <c r="J10138" i="13"/>
  <c r="F10138" i="13"/>
  <c r="A10138" i="13"/>
  <c r="F10137" i="13"/>
  <c r="A10137" i="13"/>
  <c r="J10136" i="13"/>
  <c r="F10136" i="13"/>
  <c r="A10136" i="13"/>
  <c r="F10135" i="13"/>
  <c r="A10135" i="13"/>
  <c r="J10134" i="13"/>
  <c r="F10134" i="13"/>
  <c r="A10134" i="13"/>
  <c r="J10133" i="13"/>
  <c r="F10133" i="13"/>
  <c r="A10133" i="13"/>
  <c r="J10132" i="13"/>
  <c r="F10132" i="13"/>
  <c r="A10132" i="13"/>
  <c r="J10131" i="13"/>
  <c r="F10131" i="13"/>
  <c r="A10131" i="13"/>
  <c r="J10130" i="13"/>
  <c r="F10130" i="13"/>
  <c r="A10130" i="13"/>
  <c r="F10129" i="13"/>
  <c r="A10129" i="13"/>
  <c r="J10128" i="13"/>
  <c r="F10128" i="13"/>
  <c r="A10128" i="13"/>
  <c r="J10127" i="13"/>
  <c r="F10127" i="13"/>
  <c r="A10127" i="13"/>
  <c r="F10126" i="13"/>
  <c r="A10126" i="13"/>
  <c r="F10125" i="13"/>
  <c r="A10125" i="13"/>
  <c r="F10124" i="13"/>
  <c r="A10124" i="13"/>
  <c r="F10123" i="13"/>
  <c r="A10123" i="13"/>
  <c r="F10122" i="13"/>
  <c r="A10122" i="13"/>
  <c r="F10121" i="13"/>
  <c r="A10121" i="13"/>
  <c r="F10120" i="13"/>
  <c r="A10120" i="13"/>
  <c r="F10119" i="13"/>
  <c r="A10119" i="13"/>
  <c r="F10118" i="13"/>
  <c r="A10118" i="13"/>
  <c r="F10117" i="13"/>
  <c r="A10117" i="13"/>
  <c r="F10116" i="13"/>
  <c r="A10116" i="13"/>
  <c r="F10115" i="13"/>
  <c r="A10115" i="13"/>
  <c r="F10114" i="13"/>
  <c r="A10114" i="13"/>
  <c r="F10113" i="13"/>
  <c r="A10113" i="13"/>
  <c r="F10112" i="13"/>
  <c r="A10112" i="13"/>
  <c r="F10111" i="13"/>
  <c r="A10111" i="13"/>
  <c r="F10110" i="13"/>
  <c r="A10110" i="13"/>
  <c r="F10109" i="13"/>
  <c r="A10109" i="13"/>
  <c r="F10108" i="13"/>
  <c r="A10108" i="13"/>
  <c r="F10107" i="13"/>
  <c r="A10107" i="13"/>
  <c r="F10106" i="13"/>
  <c r="A10106" i="13"/>
  <c r="F10105" i="13"/>
  <c r="A10105" i="13"/>
  <c r="F10104" i="13"/>
  <c r="A10104" i="13"/>
  <c r="F10103" i="13"/>
  <c r="A10103" i="13"/>
  <c r="F10102" i="13"/>
  <c r="A10102" i="13"/>
  <c r="J10101" i="13"/>
  <c r="F10101" i="13"/>
  <c r="A10101" i="13"/>
  <c r="J10100" i="13"/>
  <c r="F10100" i="13"/>
  <c r="A10100" i="13"/>
  <c r="J10099" i="13"/>
  <c r="F10099" i="13"/>
  <c r="A10099" i="13"/>
  <c r="F10098" i="13"/>
  <c r="A10098" i="13"/>
  <c r="J10097" i="13"/>
  <c r="F10097" i="13"/>
  <c r="A10097" i="13"/>
  <c r="J10096" i="13"/>
  <c r="F10096" i="13"/>
  <c r="A10096" i="13"/>
  <c r="J10095" i="13"/>
  <c r="F10095" i="13"/>
  <c r="A10095" i="13"/>
  <c r="F10094" i="13"/>
  <c r="A10094" i="13"/>
  <c r="J10093" i="13"/>
  <c r="F10093" i="13"/>
  <c r="A10093" i="13"/>
  <c r="J10092" i="13"/>
  <c r="F10092" i="13"/>
  <c r="A10092" i="13"/>
  <c r="F10091" i="13"/>
  <c r="A10091" i="13"/>
  <c r="F10090" i="13"/>
  <c r="A10090" i="13"/>
  <c r="J10089" i="13"/>
  <c r="F10089" i="13"/>
  <c r="A10089" i="13"/>
  <c r="F10088" i="13"/>
  <c r="A10088" i="13"/>
  <c r="J10087" i="13"/>
  <c r="F10087" i="13"/>
  <c r="A10087" i="13"/>
  <c r="F10086" i="13"/>
  <c r="A10086" i="13"/>
  <c r="J10085" i="13"/>
  <c r="F10085" i="13"/>
  <c r="A10085" i="13"/>
  <c r="J10084" i="13"/>
  <c r="F10084" i="13"/>
  <c r="A10084" i="13"/>
  <c r="F10083" i="13"/>
  <c r="A10083" i="13"/>
  <c r="J10082" i="13"/>
  <c r="F10082" i="13"/>
  <c r="A10082" i="13"/>
  <c r="J10081" i="13"/>
  <c r="F10081" i="13"/>
  <c r="A10081" i="13"/>
  <c r="J10080" i="13"/>
  <c r="F10080" i="13"/>
  <c r="A10080" i="13"/>
  <c r="J10079" i="13"/>
  <c r="F10079" i="13"/>
  <c r="A10079" i="13"/>
  <c r="F10078" i="13"/>
  <c r="A10078" i="13"/>
  <c r="J10077" i="13"/>
  <c r="F10077" i="13"/>
  <c r="A10077" i="13"/>
  <c r="J10076" i="13"/>
  <c r="F10076" i="13"/>
  <c r="A10076" i="13"/>
  <c r="F10075" i="13"/>
  <c r="A10075" i="13"/>
  <c r="F10074" i="13"/>
  <c r="A10074" i="13"/>
  <c r="J10073" i="13"/>
  <c r="F10073" i="13"/>
  <c r="A10073" i="13"/>
  <c r="J10072" i="13"/>
  <c r="F10072" i="13"/>
  <c r="A10072" i="13"/>
  <c r="J10071" i="13"/>
  <c r="F10071" i="13"/>
  <c r="F10070" i="13"/>
  <c r="A10070" i="13"/>
  <c r="J10069" i="13"/>
  <c r="F10069" i="13"/>
  <c r="A10069" i="13"/>
  <c r="J10068" i="13"/>
  <c r="F10068" i="13"/>
  <c r="A10068" i="13"/>
  <c r="J10067" i="13"/>
  <c r="F10067" i="13"/>
  <c r="A10067" i="13"/>
  <c r="F10066" i="13"/>
  <c r="A10066" i="13"/>
  <c r="F10065" i="13"/>
  <c r="A10065" i="13"/>
  <c r="F10064" i="13"/>
  <c r="A10064" i="13"/>
  <c r="J10063" i="13"/>
  <c r="F10063" i="13"/>
  <c r="A10063" i="13"/>
  <c r="J10062" i="13"/>
  <c r="F10062" i="13"/>
  <c r="A10062" i="13"/>
  <c r="F10061" i="13"/>
  <c r="A10061" i="13"/>
  <c r="J10060" i="13"/>
  <c r="F10060" i="13"/>
  <c r="A10060" i="13"/>
  <c r="J10059" i="13"/>
  <c r="F10059" i="13"/>
  <c r="A10059" i="13"/>
  <c r="F10058" i="13"/>
  <c r="A10058" i="13"/>
  <c r="F10057" i="13"/>
  <c r="A10057" i="13"/>
  <c r="J10056" i="13"/>
  <c r="F10056" i="13"/>
  <c r="A10056" i="13"/>
  <c r="J10055" i="13"/>
  <c r="F10055" i="13"/>
  <c r="A10055" i="13"/>
  <c r="F10054" i="13"/>
  <c r="A10054" i="13"/>
  <c r="F10053" i="13"/>
  <c r="A10053" i="13"/>
  <c r="J10052" i="13"/>
  <c r="F10052" i="13"/>
  <c r="A10052" i="13"/>
  <c r="J10051" i="13"/>
  <c r="F10051" i="13"/>
  <c r="A10051" i="13"/>
  <c r="F10050" i="13"/>
  <c r="A10050" i="13"/>
  <c r="F10049" i="13"/>
  <c r="A10049" i="13"/>
  <c r="F10048" i="13"/>
  <c r="A10048" i="13"/>
  <c r="F10047" i="13"/>
  <c r="A10047" i="13"/>
  <c r="F10046" i="13"/>
  <c r="A10046" i="13"/>
  <c r="F10045" i="13"/>
  <c r="A10045" i="13"/>
  <c r="F10044" i="13"/>
  <c r="A10044" i="13"/>
  <c r="F10043" i="13"/>
  <c r="A10043" i="13"/>
  <c r="F10042" i="13"/>
  <c r="A10042" i="13"/>
  <c r="J10041" i="13"/>
  <c r="F10041" i="13"/>
  <c r="A10041" i="13"/>
  <c r="J10040" i="13"/>
  <c r="F10040" i="13"/>
  <c r="A10040" i="13"/>
  <c r="J10039" i="13"/>
  <c r="F10039" i="13"/>
  <c r="A10039" i="13"/>
  <c r="F10038" i="13"/>
  <c r="A10038" i="13"/>
  <c r="J10037" i="13"/>
  <c r="F10037" i="13"/>
  <c r="A10037" i="13"/>
  <c r="F10036" i="13"/>
  <c r="A10036" i="13"/>
  <c r="F10035" i="13"/>
  <c r="A10035" i="13"/>
  <c r="J10034" i="13"/>
  <c r="F10034" i="13"/>
  <c r="A10034" i="13"/>
  <c r="F10033" i="13"/>
  <c r="A10033" i="13"/>
  <c r="J10032" i="13"/>
  <c r="F10032" i="13"/>
  <c r="A10032" i="13"/>
  <c r="J10031" i="13"/>
  <c r="F10031" i="13"/>
  <c r="A10031" i="13"/>
  <c r="J10030" i="13"/>
  <c r="F10030" i="13"/>
  <c r="A10030" i="13"/>
  <c r="F10029" i="13"/>
  <c r="A10029" i="13"/>
  <c r="F10028" i="13"/>
  <c r="A10028" i="13"/>
  <c r="J10027" i="13"/>
  <c r="F10027" i="13"/>
  <c r="A10027" i="13"/>
  <c r="J10026" i="13"/>
  <c r="F10026" i="13"/>
  <c r="J10025" i="13"/>
  <c r="F10025" i="13"/>
  <c r="A10025" i="13"/>
  <c r="J10024" i="13"/>
  <c r="F10024" i="13"/>
  <c r="A10024" i="13"/>
  <c r="J10023" i="13"/>
  <c r="F10023" i="13"/>
  <c r="A10023" i="13"/>
  <c r="J10022" i="13"/>
  <c r="F10022" i="13"/>
  <c r="A10022" i="13"/>
  <c r="J10021" i="13"/>
  <c r="F10021" i="13"/>
  <c r="A10021" i="13"/>
  <c r="J10020" i="13"/>
  <c r="F10020" i="13"/>
  <c r="A10020" i="13"/>
  <c r="J10019" i="13"/>
  <c r="F10019" i="13"/>
  <c r="A10019" i="13"/>
  <c r="J10018" i="13"/>
  <c r="F10018" i="13"/>
  <c r="A10018" i="13"/>
  <c r="J10017" i="13"/>
  <c r="F10017" i="13"/>
  <c r="A10017" i="13"/>
  <c r="J10016" i="13"/>
  <c r="F10016" i="13"/>
  <c r="A10016" i="13"/>
  <c r="J10015" i="13"/>
  <c r="F10015" i="13"/>
  <c r="A10015" i="13"/>
  <c r="J10014" i="13"/>
  <c r="F10014" i="13"/>
  <c r="A10014" i="13"/>
  <c r="J10013" i="13"/>
  <c r="F10013" i="13"/>
  <c r="A10013" i="13"/>
  <c r="J10012" i="13"/>
  <c r="F10012" i="13"/>
  <c r="A10012" i="13"/>
  <c r="J10011" i="13"/>
  <c r="F10011" i="13"/>
  <c r="J10010" i="13"/>
  <c r="F10010" i="13"/>
  <c r="A10010" i="13"/>
  <c r="J10009" i="13"/>
  <c r="F10009" i="13"/>
  <c r="A10009" i="13"/>
  <c r="F10008" i="13"/>
  <c r="A10008" i="13"/>
  <c r="J10007" i="13"/>
  <c r="F10007" i="13"/>
  <c r="A10007" i="13"/>
  <c r="J10006" i="13"/>
  <c r="F10006" i="13"/>
  <c r="A10006" i="13"/>
  <c r="F10005" i="13"/>
  <c r="A10005" i="13"/>
  <c r="F10004" i="13"/>
  <c r="A10004" i="13"/>
  <c r="J10003" i="13"/>
  <c r="F10003" i="13"/>
  <c r="A10003" i="13"/>
  <c r="J10002" i="13"/>
  <c r="F10002" i="13"/>
  <c r="A10002" i="13"/>
  <c r="J10001" i="13"/>
  <c r="F10001" i="13"/>
  <c r="A10001" i="13"/>
  <c r="J10000" i="13"/>
  <c r="F10000" i="13"/>
  <c r="A10000" i="13"/>
  <c r="J9999" i="13"/>
  <c r="F9999" i="13"/>
  <c r="A9999" i="13"/>
  <c r="J9998" i="13"/>
  <c r="F9998" i="13"/>
  <c r="A9998" i="13"/>
  <c r="J9997" i="13"/>
  <c r="F9997" i="13"/>
  <c r="A9997" i="13"/>
  <c r="F9996" i="13"/>
  <c r="A9996" i="13"/>
  <c r="F9995" i="13"/>
  <c r="A9995" i="13"/>
  <c r="J9994" i="13"/>
  <c r="F9994" i="13"/>
  <c r="A9994" i="13"/>
  <c r="J9993" i="13"/>
  <c r="F9993" i="13"/>
  <c r="A9993" i="13"/>
  <c r="J9992" i="13"/>
  <c r="F9992" i="13"/>
  <c r="A9992" i="13"/>
  <c r="J9991" i="13"/>
  <c r="F9991" i="13"/>
  <c r="A9991" i="13"/>
  <c r="F9990" i="13"/>
  <c r="A9990" i="13"/>
  <c r="F9989" i="13"/>
  <c r="A9989" i="13"/>
  <c r="F9988" i="13"/>
  <c r="A9988" i="13"/>
  <c r="F9987" i="13"/>
  <c r="A9987" i="13"/>
  <c r="F9986" i="13"/>
  <c r="A9986" i="13"/>
  <c r="F9985" i="13"/>
  <c r="A9985" i="13"/>
  <c r="F9984" i="13"/>
  <c r="A9984" i="13"/>
  <c r="F9983" i="13"/>
  <c r="F9982" i="13"/>
  <c r="A9982" i="13"/>
  <c r="J9981" i="13"/>
  <c r="F9981" i="13"/>
  <c r="A9981" i="13"/>
  <c r="J9980" i="13"/>
  <c r="F9980" i="13"/>
  <c r="A9980" i="13"/>
  <c r="J9979" i="13"/>
  <c r="F9979" i="13"/>
  <c r="A9979" i="13"/>
  <c r="J9978" i="13"/>
  <c r="F9978" i="13"/>
  <c r="A9978" i="13"/>
  <c r="J9977" i="13"/>
  <c r="F9977" i="13"/>
  <c r="A9977" i="13"/>
  <c r="F9976" i="13"/>
  <c r="A9976" i="13"/>
  <c r="J9975" i="13"/>
  <c r="F9975" i="13"/>
  <c r="A9975" i="13"/>
  <c r="J9974" i="13"/>
  <c r="F9974" i="13"/>
  <c r="A9974" i="13"/>
  <c r="J9973" i="13"/>
  <c r="F9973" i="13"/>
  <c r="A9973" i="13"/>
  <c r="J9972" i="13"/>
  <c r="F9972" i="13"/>
  <c r="A9972" i="13"/>
  <c r="J9971" i="13"/>
  <c r="F9971" i="13"/>
  <c r="A9971" i="13"/>
  <c r="J9970" i="13"/>
  <c r="F9970" i="13"/>
  <c r="A9970" i="13"/>
  <c r="J9969" i="13"/>
  <c r="F9969" i="13"/>
  <c r="A9969" i="13"/>
  <c r="J9968" i="13"/>
  <c r="F9968" i="13"/>
  <c r="A9968" i="13"/>
  <c r="J9967" i="13"/>
  <c r="F9967" i="13"/>
  <c r="A9967" i="13"/>
  <c r="J9966" i="13"/>
  <c r="F9966" i="13"/>
  <c r="A9966" i="13"/>
  <c r="J9965" i="13"/>
  <c r="F9965" i="13"/>
  <c r="A9965" i="13"/>
  <c r="J9964" i="13"/>
  <c r="F9964" i="13"/>
  <c r="A9964" i="13"/>
  <c r="J9963" i="13"/>
  <c r="F9963" i="13"/>
  <c r="A9963" i="13"/>
  <c r="J9962" i="13"/>
  <c r="F9962" i="13"/>
  <c r="A9962" i="13"/>
  <c r="J9961" i="13"/>
  <c r="F9961" i="13"/>
  <c r="A9961" i="13"/>
  <c r="J9960" i="13"/>
  <c r="F9960" i="13"/>
  <c r="J9959" i="13"/>
  <c r="F9959" i="13"/>
  <c r="A9959" i="13"/>
  <c r="J9958" i="13"/>
  <c r="F9958" i="13"/>
  <c r="A9958" i="13"/>
  <c r="F9957" i="13"/>
  <c r="A9957" i="13"/>
  <c r="F9956" i="13"/>
  <c r="A9956" i="13"/>
  <c r="J9955" i="13"/>
  <c r="F9955" i="13"/>
  <c r="A9955" i="13"/>
  <c r="J9954" i="13"/>
  <c r="F9954" i="13"/>
  <c r="A9954" i="13"/>
  <c r="J9953" i="13"/>
  <c r="F9953" i="13"/>
  <c r="J9952" i="13"/>
  <c r="F9952" i="13"/>
  <c r="A9952" i="13"/>
  <c r="J9951" i="13"/>
  <c r="F9951" i="13"/>
  <c r="A9951" i="13"/>
  <c r="J9950" i="13"/>
  <c r="F9950" i="13"/>
  <c r="A9950" i="13"/>
  <c r="J9949" i="13"/>
  <c r="F9949" i="13"/>
  <c r="A9949" i="13"/>
  <c r="J9948" i="13"/>
  <c r="F9948" i="13"/>
  <c r="A9948" i="13"/>
  <c r="F9947" i="13"/>
  <c r="A9947" i="13"/>
  <c r="J9946" i="13"/>
  <c r="F9946" i="13"/>
  <c r="A9946" i="13"/>
  <c r="J9945" i="13"/>
  <c r="F9945" i="13"/>
  <c r="A9945" i="13"/>
  <c r="J9944" i="13"/>
  <c r="F9944" i="13"/>
  <c r="J9943" i="13"/>
  <c r="F9943" i="13"/>
  <c r="J9942" i="13"/>
  <c r="F9942" i="13"/>
  <c r="F9941" i="13"/>
  <c r="A9941" i="13"/>
  <c r="F9940" i="13"/>
  <c r="A9940" i="13"/>
  <c r="F9939" i="13"/>
  <c r="A9939" i="13"/>
  <c r="F9938" i="13"/>
  <c r="A9938" i="13"/>
  <c r="F9937" i="13"/>
  <c r="A9937" i="13"/>
  <c r="F9936" i="13"/>
  <c r="A9936" i="13"/>
  <c r="F9935" i="13"/>
  <c r="A9935" i="13"/>
  <c r="F9934" i="13"/>
  <c r="J9933" i="13"/>
  <c r="F9933" i="13"/>
  <c r="A9933" i="13"/>
  <c r="J9932" i="13"/>
  <c r="F9932" i="13"/>
  <c r="A9932" i="13"/>
  <c r="J9931" i="13"/>
  <c r="F9931" i="13"/>
  <c r="A9931" i="13"/>
  <c r="J9930" i="13"/>
  <c r="F9930" i="13"/>
  <c r="A9930" i="13"/>
  <c r="F9929" i="13"/>
  <c r="A9929" i="13"/>
  <c r="J9928" i="13"/>
  <c r="F9928" i="13"/>
  <c r="J9927" i="13"/>
  <c r="F9927" i="13"/>
  <c r="J9926" i="13"/>
  <c r="F9926" i="13"/>
  <c r="F9925" i="13"/>
  <c r="A9925" i="13"/>
  <c r="F9924" i="13"/>
  <c r="A9924" i="13"/>
  <c r="F9923" i="13"/>
  <c r="A9923" i="13"/>
  <c r="F9922" i="13"/>
  <c r="A9922" i="13"/>
  <c r="F9921" i="13"/>
  <c r="A9921" i="13"/>
  <c r="F9920" i="13"/>
  <c r="A9920" i="13"/>
  <c r="F9919" i="13"/>
  <c r="A9919" i="13"/>
  <c r="F9918" i="13"/>
  <c r="A9918" i="13"/>
  <c r="F9917" i="13"/>
  <c r="A9917" i="13"/>
  <c r="F9916" i="13"/>
  <c r="A9916" i="13"/>
  <c r="F9915" i="13"/>
  <c r="A9915" i="13"/>
  <c r="F9914" i="13"/>
  <c r="A9914" i="13"/>
  <c r="F9913" i="13"/>
  <c r="A9913" i="13"/>
  <c r="F9912" i="13"/>
  <c r="J9911" i="13"/>
  <c r="F9911" i="13"/>
  <c r="J9910" i="13"/>
  <c r="F9910" i="13"/>
  <c r="J9909" i="13"/>
  <c r="F9909" i="13"/>
  <c r="F9908" i="13"/>
  <c r="A9908" i="13"/>
  <c r="F9907" i="13"/>
  <c r="A9907" i="13"/>
  <c r="F9906" i="13"/>
  <c r="A9906" i="13"/>
  <c r="F9905" i="13"/>
  <c r="A9905" i="13"/>
  <c r="F9904" i="13"/>
  <c r="A9904" i="13"/>
  <c r="F9903" i="13"/>
  <c r="A9903" i="13"/>
  <c r="F9902" i="13"/>
  <c r="A9902" i="13"/>
  <c r="F9901" i="13"/>
  <c r="A9901" i="13"/>
  <c r="F9900" i="13"/>
  <c r="A9900" i="13"/>
  <c r="F9899" i="13"/>
  <c r="A9899" i="13"/>
  <c r="F9898" i="13"/>
  <c r="A9898" i="13"/>
  <c r="F9897" i="13"/>
  <c r="A9897" i="13"/>
  <c r="F9896" i="13"/>
  <c r="A9896" i="13"/>
  <c r="F9895" i="13"/>
  <c r="A9895" i="13"/>
  <c r="F9894" i="13"/>
  <c r="A9894" i="13"/>
  <c r="F9893" i="13"/>
  <c r="A9893" i="13"/>
  <c r="F9892" i="13"/>
  <c r="A9892" i="13"/>
  <c r="F9891" i="13"/>
  <c r="A9891" i="13"/>
  <c r="F9890" i="13"/>
  <c r="A9890" i="13"/>
  <c r="F9889" i="13"/>
  <c r="A9889" i="13"/>
  <c r="F9888" i="13"/>
  <c r="A9888" i="13"/>
  <c r="F9887" i="13"/>
  <c r="A9887" i="13"/>
  <c r="F9886" i="13"/>
  <c r="A9886" i="13"/>
  <c r="F9885" i="13"/>
  <c r="J9884" i="13"/>
  <c r="F9884" i="13"/>
  <c r="J9883" i="13"/>
  <c r="F9883" i="13"/>
  <c r="F9882" i="13"/>
  <c r="A9882" i="13"/>
  <c r="F9881" i="13"/>
  <c r="A9881" i="13"/>
  <c r="F9880" i="13"/>
  <c r="A9880" i="13"/>
  <c r="F9879" i="13"/>
  <c r="A9879" i="13"/>
  <c r="F9878" i="13"/>
  <c r="A9878" i="13"/>
  <c r="F9877" i="13"/>
  <c r="A9877" i="13"/>
  <c r="F9876" i="13"/>
  <c r="A9876" i="13"/>
  <c r="F9875" i="13"/>
  <c r="A9875" i="13"/>
  <c r="F9874" i="13"/>
  <c r="A9874" i="13"/>
  <c r="F9873" i="13"/>
  <c r="A9873" i="13"/>
  <c r="F9872" i="13"/>
  <c r="A9872" i="13"/>
  <c r="F9871" i="13"/>
  <c r="J9870" i="13"/>
  <c r="F9870" i="13"/>
  <c r="A9870" i="13"/>
  <c r="J9869" i="13"/>
  <c r="F9869" i="13"/>
  <c r="A9869" i="13"/>
  <c r="J9868" i="13"/>
  <c r="F9868" i="13"/>
  <c r="A9868" i="13"/>
  <c r="F9867" i="13"/>
  <c r="A9867" i="13"/>
  <c r="J9866" i="13"/>
  <c r="F9866" i="13"/>
  <c r="J9865" i="13"/>
  <c r="F9865" i="13"/>
  <c r="J9864" i="13"/>
  <c r="F9864" i="13"/>
  <c r="F9863" i="13"/>
  <c r="A9863" i="13"/>
  <c r="F9862" i="13"/>
  <c r="A9862" i="13"/>
  <c r="F9861" i="13"/>
  <c r="A9861" i="13"/>
  <c r="F9860" i="13"/>
  <c r="A9860" i="13"/>
  <c r="F9859" i="13"/>
  <c r="A9859" i="13"/>
  <c r="F9858" i="13"/>
  <c r="A9858" i="13"/>
  <c r="F9857" i="13"/>
  <c r="A9857" i="13"/>
  <c r="F9856" i="13"/>
  <c r="A9856" i="13"/>
  <c r="F9855" i="13"/>
  <c r="A9855" i="13"/>
  <c r="F9854" i="13"/>
  <c r="A9854" i="13"/>
  <c r="F9853" i="13"/>
  <c r="A9853" i="13"/>
  <c r="F9852" i="13"/>
  <c r="A9852" i="13"/>
  <c r="F9851" i="13"/>
  <c r="A9851" i="13"/>
  <c r="F9850" i="13"/>
  <c r="A9850" i="13"/>
  <c r="F9849" i="13"/>
  <c r="A9849" i="13"/>
  <c r="F9848" i="13"/>
  <c r="A9848" i="13"/>
  <c r="F9847" i="13"/>
  <c r="A9847" i="13"/>
  <c r="F9846" i="13"/>
  <c r="A9846" i="13"/>
  <c r="F9845" i="13"/>
  <c r="A9845" i="13"/>
  <c r="F9844" i="13"/>
  <c r="A9844" i="13"/>
  <c r="F9843" i="13"/>
  <c r="J9842" i="13"/>
  <c r="F9842" i="13"/>
  <c r="J9841" i="13"/>
  <c r="F9841" i="13"/>
  <c r="J9840" i="13"/>
  <c r="F9840" i="13"/>
  <c r="F9839" i="13"/>
  <c r="A9839" i="13"/>
  <c r="F9838" i="13"/>
  <c r="A9838" i="13"/>
  <c r="F9837" i="13"/>
  <c r="A9837" i="13"/>
  <c r="F9836" i="13"/>
  <c r="A9836" i="13"/>
  <c r="F9835" i="13"/>
  <c r="A9835" i="13"/>
  <c r="F9834" i="13"/>
  <c r="A9834" i="13"/>
  <c r="F9833" i="13"/>
  <c r="A9833" i="13"/>
  <c r="F9832" i="13"/>
  <c r="A9832" i="13"/>
  <c r="F9831" i="13"/>
  <c r="A9831" i="13"/>
  <c r="F9830" i="13"/>
  <c r="A9830" i="13"/>
  <c r="F9829" i="13"/>
  <c r="A9829" i="13"/>
  <c r="F9828" i="13"/>
  <c r="A9828" i="13"/>
  <c r="F9827" i="13"/>
  <c r="J9826" i="13"/>
  <c r="F9826" i="13"/>
  <c r="J9825" i="13"/>
  <c r="F9825" i="13"/>
  <c r="J9824" i="13"/>
  <c r="F9824" i="13"/>
  <c r="F9823" i="13"/>
  <c r="A9823" i="13"/>
  <c r="F9822" i="13"/>
  <c r="A9822" i="13"/>
  <c r="F9821" i="13"/>
  <c r="A9821" i="13"/>
  <c r="F9820" i="13"/>
  <c r="A9820" i="13"/>
  <c r="F9819" i="13"/>
  <c r="A9819" i="13"/>
  <c r="F9818" i="13"/>
  <c r="A9818" i="13"/>
  <c r="F9817" i="13"/>
  <c r="A9817" i="13"/>
  <c r="F9816" i="13"/>
  <c r="A9816" i="13"/>
  <c r="F9815" i="13"/>
  <c r="A9815" i="13"/>
  <c r="F9814" i="13"/>
  <c r="A9814" i="13"/>
  <c r="F9813" i="13"/>
  <c r="A9813" i="13"/>
  <c r="F9812" i="13"/>
  <c r="F9811" i="13"/>
  <c r="A9811" i="13"/>
  <c r="F9810" i="13"/>
  <c r="A9810" i="13"/>
  <c r="J9809" i="13"/>
  <c r="F9809" i="13"/>
  <c r="J9808" i="13"/>
  <c r="F9808" i="13"/>
  <c r="F9807" i="13"/>
  <c r="A9807" i="13"/>
  <c r="F9806" i="13"/>
  <c r="A9806" i="13"/>
  <c r="F9805" i="13"/>
  <c r="A9805" i="13"/>
  <c r="F9804" i="13"/>
  <c r="A9804" i="13"/>
  <c r="F9803" i="13"/>
  <c r="A9803" i="13"/>
  <c r="F9802" i="13"/>
  <c r="A9802" i="13"/>
  <c r="F9801" i="13"/>
  <c r="A9801" i="13"/>
  <c r="F9800" i="13"/>
  <c r="A9800" i="13"/>
  <c r="F9799" i="13"/>
  <c r="F9798" i="13"/>
  <c r="A9798" i="13"/>
  <c r="J9797" i="13"/>
  <c r="F9797" i="13"/>
  <c r="A9797" i="13"/>
  <c r="J9796" i="13"/>
  <c r="F9796" i="13"/>
  <c r="A9796" i="13"/>
  <c r="J9795" i="13"/>
  <c r="F9795" i="13"/>
  <c r="A9795" i="13"/>
  <c r="F9794" i="13"/>
  <c r="A9794" i="13"/>
  <c r="J9793" i="13"/>
  <c r="F9793" i="13"/>
  <c r="A9793" i="13"/>
  <c r="J9792" i="13"/>
  <c r="F9792" i="13"/>
  <c r="A9792" i="13"/>
  <c r="J9791" i="13"/>
  <c r="F9791" i="13"/>
  <c r="A9791" i="13"/>
  <c r="J9790" i="13"/>
  <c r="F9790" i="13"/>
  <c r="A9790" i="13"/>
  <c r="J9789" i="13"/>
  <c r="F9789" i="13"/>
  <c r="A9789" i="13"/>
  <c r="J9788" i="13"/>
  <c r="F9788" i="13"/>
  <c r="A9788" i="13"/>
  <c r="F9787" i="13"/>
  <c r="A9787" i="13"/>
  <c r="J9786" i="13"/>
  <c r="F9786" i="13"/>
  <c r="A9786" i="13"/>
  <c r="J9785" i="13"/>
  <c r="F9785" i="13"/>
  <c r="A9785" i="13"/>
  <c r="F9784" i="13"/>
  <c r="A9784" i="13"/>
  <c r="J9783" i="13"/>
  <c r="F9783" i="13"/>
  <c r="A9783" i="13"/>
  <c r="J9782" i="13"/>
  <c r="F9782" i="13"/>
  <c r="A9782" i="13"/>
  <c r="J9781" i="13"/>
  <c r="F9781" i="13"/>
  <c r="A9781" i="13"/>
  <c r="J9780" i="13"/>
  <c r="F9780" i="13"/>
  <c r="A9780" i="13"/>
  <c r="F9779" i="13"/>
  <c r="A9779" i="13"/>
  <c r="F9778" i="13"/>
  <c r="A9778" i="13"/>
  <c r="F9777" i="13"/>
  <c r="A9777" i="13"/>
  <c r="J9776" i="13"/>
  <c r="F9776" i="13"/>
  <c r="A9776" i="13"/>
  <c r="J9775" i="13"/>
  <c r="F9775" i="13"/>
  <c r="A9775" i="13"/>
  <c r="F9774" i="13"/>
  <c r="A9774" i="13"/>
  <c r="J9773" i="13"/>
  <c r="F9773" i="13"/>
  <c r="A9773" i="13"/>
  <c r="J9772" i="13"/>
  <c r="F9772" i="13"/>
  <c r="A9772" i="13"/>
  <c r="J9771" i="13"/>
  <c r="F9771" i="13"/>
  <c r="A9771" i="13"/>
  <c r="F9770" i="13"/>
  <c r="A9770" i="13"/>
  <c r="J9769" i="13"/>
  <c r="F9769" i="13"/>
  <c r="A9769" i="13"/>
  <c r="J9768" i="13"/>
  <c r="F9768" i="13"/>
  <c r="A9768" i="13"/>
  <c r="J9767" i="13"/>
  <c r="F9767" i="13"/>
  <c r="A9767" i="13"/>
  <c r="J9766" i="13"/>
  <c r="F9766" i="13"/>
  <c r="A9766" i="13"/>
  <c r="F9765" i="13"/>
  <c r="A9765" i="13"/>
  <c r="J9764" i="13"/>
  <c r="F9764" i="13"/>
  <c r="A9764" i="13"/>
  <c r="F9763" i="13"/>
  <c r="A9763" i="13"/>
  <c r="J9762" i="13"/>
  <c r="F9762" i="13"/>
  <c r="A9762" i="13"/>
  <c r="J9761" i="13"/>
  <c r="F9761" i="13"/>
  <c r="A9761" i="13"/>
  <c r="J9760" i="13"/>
  <c r="F9760" i="13"/>
  <c r="A9760" i="13"/>
  <c r="J9759" i="13"/>
  <c r="F9759" i="13"/>
  <c r="A9759" i="13"/>
  <c r="F9758" i="13"/>
  <c r="A9758" i="13"/>
  <c r="J9757" i="13"/>
  <c r="F9757" i="13"/>
  <c r="A9757" i="13"/>
  <c r="J9756" i="13"/>
  <c r="F9756" i="13"/>
  <c r="A9756" i="13"/>
  <c r="F9755" i="13"/>
  <c r="A9755" i="13"/>
  <c r="J9754" i="13"/>
  <c r="F9754" i="13"/>
  <c r="A9754" i="13"/>
  <c r="J9753" i="13"/>
  <c r="F9753" i="13"/>
  <c r="A9753" i="13"/>
  <c r="F9752" i="13"/>
  <c r="A9752" i="13"/>
  <c r="F9751" i="13"/>
  <c r="A9751" i="13"/>
  <c r="F9750" i="13"/>
  <c r="A9750" i="13"/>
  <c r="F9749" i="13"/>
  <c r="A9749" i="13"/>
  <c r="F9748" i="13"/>
  <c r="A9748" i="13"/>
  <c r="F9747" i="13"/>
  <c r="A9747" i="13"/>
  <c r="F9746" i="13"/>
  <c r="A9746" i="13"/>
  <c r="F9745" i="13"/>
  <c r="A9745" i="13"/>
  <c r="F9744" i="13"/>
  <c r="A9744" i="13"/>
  <c r="F9743" i="13"/>
  <c r="A9743" i="13"/>
  <c r="F9742" i="13"/>
  <c r="A9742" i="13"/>
  <c r="F9741" i="13"/>
  <c r="A9741" i="13"/>
  <c r="F9740" i="13"/>
  <c r="A9740" i="13"/>
  <c r="F9739" i="13"/>
  <c r="A9739" i="13"/>
  <c r="F9738" i="13"/>
  <c r="A9738" i="13"/>
  <c r="F9737" i="13"/>
  <c r="A9737" i="13"/>
  <c r="F9736" i="13"/>
  <c r="A9736" i="13"/>
  <c r="F9735" i="13"/>
  <c r="A9735" i="13"/>
  <c r="F9734" i="13"/>
  <c r="A9734" i="13"/>
  <c r="F9733" i="13"/>
  <c r="A9733" i="13"/>
  <c r="F9732" i="13"/>
  <c r="A9732" i="13"/>
  <c r="F9731" i="13"/>
  <c r="A9731" i="13"/>
  <c r="F9730" i="13"/>
  <c r="A9730" i="13"/>
  <c r="F9729" i="13"/>
  <c r="A9729" i="13"/>
  <c r="F9728" i="13"/>
  <c r="A9728" i="13"/>
  <c r="F9727" i="13"/>
  <c r="A9727" i="13"/>
  <c r="F9726" i="13"/>
  <c r="A9726" i="13"/>
  <c r="F9725" i="13"/>
  <c r="A9725" i="13"/>
  <c r="F9724" i="13"/>
  <c r="A9724" i="13"/>
  <c r="F9723" i="13"/>
  <c r="A9723" i="13"/>
  <c r="F9722" i="13"/>
  <c r="A9722" i="13"/>
  <c r="F9721" i="13"/>
  <c r="A9721" i="13"/>
  <c r="F9720" i="13"/>
  <c r="A9720" i="13"/>
  <c r="F9719" i="13"/>
  <c r="A9719" i="13"/>
  <c r="F9718" i="13"/>
  <c r="A9718" i="13"/>
  <c r="F9717" i="13"/>
  <c r="A9717" i="13"/>
  <c r="F9716" i="13"/>
  <c r="A9716" i="13"/>
  <c r="F9715" i="13"/>
  <c r="A9715" i="13"/>
  <c r="F9714" i="13"/>
  <c r="A9714" i="13"/>
  <c r="F9713" i="13"/>
  <c r="A9713" i="13"/>
  <c r="F9712" i="13"/>
  <c r="A9712" i="13"/>
  <c r="F9711" i="13"/>
  <c r="A9711" i="13"/>
  <c r="J9710" i="13"/>
  <c r="F9710" i="13"/>
  <c r="A9710" i="13"/>
  <c r="J9709" i="13"/>
  <c r="F9709" i="13"/>
  <c r="A9709" i="13"/>
  <c r="F9708" i="13"/>
  <c r="A9708" i="13"/>
  <c r="J9707" i="13"/>
  <c r="F9707" i="13"/>
  <c r="A9707" i="13"/>
  <c r="J9706" i="13"/>
  <c r="F9706" i="13"/>
  <c r="A9706" i="13"/>
  <c r="J9705" i="13"/>
  <c r="F9705" i="13"/>
  <c r="A9705" i="13"/>
  <c r="F9704" i="13"/>
  <c r="A9704" i="13"/>
  <c r="J9703" i="13"/>
  <c r="F9703" i="13"/>
  <c r="A9703" i="13"/>
  <c r="F9702" i="13"/>
  <c r="A9702" i="13"/>
  <c r="J9701" i="13"/>
  <c r="F9701" i="13"/>
  <c r="A9701" i="13"/>
  <c r="F9700" i="13"/>
  <c r="A9700" i="13"/>
  <c r="J9699" i="13"/>
  <c r="F9699" i="13"/>
  <c r="A9699" i="13"/>
  <c r="F9698" i="13"/>
  <c r="A9698" i="13"/>
  <c r="F9697" i="13"/>
  <c r="A9697" i="13"/>
  <c r="F9696" i="13"/>
  <c r="A9696" i="13"/>
  <c r="F9695" i="13"/>
  <c r="A9695" i="13"/>
  <c r="J9694" i="13"/>
  <c r="F9694" i="13"/>
  <c r="A9694" i="13"/>
  <c r="J9693" i="13"/>
  <c r="F9693" i="13"/>
  <c r="A9693" i="13"/>
  <c r="F9692" i="13"/>
  <c r="A9692" i="13"/>
  <c r="J9691" i="13"/>
  <c r="F9691" i="13"/>
  <c r="A9691" i="13"/>
  <c r="J9690" i="13"/>
  <c r="F9690" i="13"/>
  <c r="A9690" i="13"/>
  <c r="F9689" i="13"/>
  <c r="A9689" i="13"/>
  <c r="F9688" i="13"/>
  <c r="A9688" i="13"/>
  <c r="J9687" i="13"/>
  <c r="F9687" i="13"/>
  <c r="A9687" i="13"/>
  <c r="F9686" i="13"/>
  <c r="A9686" i="13"/>
  <c r="F9685" i="13"/>
  <c r="A9685" i="13"/>
  <c r="F9684" i="13"/>
  <c r="A9684" i="13"/>
  <c r="J9683" i="13"/>
  <c r="F9683" i="13"/>
  <c r="A9683" i="13"/>
  <c r="J9682" i="13"/>
  <c r="F9682" i="13"/>
  <c r="A9682" i="13"/>
  <c r="J9681" i="13"/>
  <c r="F9681" i="13"/>
  <c r="A9681" i="13"/>
  <c r="J9680" i="13"/>
  <c r="F9680" i="13"/>
  <c r="A9680" i="13"/>
  <c r="J9679" i="13"/>
  <c r="F9679" i="13"/>
  <c r="A9679" i="13"/>
  <c r="J9678" i="13"/>
  <c r="F9678" i="13"/>
  <c r="A9678" i="13"/>
  <c r="J9677" i="13"/>
  <c r="F9677" i="13"/>
  <c r="A9677" i="13"/>
  <c r="J9676" i="13"/>
  <c r="F9676" i="13"/>
  <c r="A9676" i="13"/>
  <c r="J9675" i="13"/>
  <c r="F9675" i="13"/>
  <c r="A9675" i="13"/>
  <c r="J9674" i="13"/>
  <c r="F9674" i="13"/>
  <c r="A9674" i="13"/>
  <c r="J9673" i="13"/>
  <c r="F9673" i="13"/>
  <c r="A9673" i="13"/>
  <c r="J9672" i="13"/>
  <c r="F9672" i="13"/>
  <c r="A9672" i="13"/>
  <c r="J9671" i="13"/>
  <c r="F9671" i="13"/>
  <c r="A9671" i="13"/>
  <c r="J9670" i="13"/>
  <c r="F9670" i="13"/>
  <c r="A9670" i="13"/>
  <c r="J9669" i="13"/>
  <c r="F9669" i="13"/>
  <c r="A9669" i="13"/>
  <c r="F9668" i="13"/>
  <c r="A9668" i="13"/>
  <c r="J9667" i="13"/>
  <c r="F9667" i="13"/>
  <c r="A9667" i="13"/>
  <c r="J9666" i="13"/>
  <c r="F9666" i="13"/>
  <c r="A9666" i="13"/>
  <c r="F9665" i="13"/>
  <c r="A9665" i="13"/>
  <c r="J9664" i="13"/>
  <c r="F9664" i="13"/>
  <c r="A9664" i="13"/>
  <c r="F9663" i="13"/>
  <c r="A9663" i="13"/>
  <c r="J9662" i="13"/>
  <c r="F9662" i="13"/>
  <c r="A9662" i="13"/>
  <c r="F9661" i="13"/>
  <c r="A9661" i="13"/>
  <c r="J9660" i="13"/>
  <c r="F9660" i="13"/>
  <c r="A9660" i="13"/>
  <c r="F9659" i="13"/>
  <c r="A9659" i="13"/>
  <c r="J9658" i="13"/>
  <c r="F9658" i="13"/>
  <c r="A9658" i="13"/>
  <c r="J9657" i="13"/>
  <c r="F9657" i="13"/>
  <c r="A9657" i="13"/>
  <c r="J9656" i="13"/>
  <c r="F9656" i="13"/>
  <c r="A9656" i="13"/>
  <c r="J9655" i="13"/>
  <c r="F9655" i="13"/>
  <c r="A9655" i="13"/>
  <c r="J9654" i="13"/>
  <c r="F9654" i="13"/>
  <c r="A9654" i="13"/>
  <c r="J9653" i="13"/>
  <c r="F9653" i="13"/>
  <c r="A9653" i="13"/>
  <c r="J9652" i="13"/>
  <c r="F9652" i="13"/>
  <c r="A9652" i="13"/>
  <c r="J9651" i="13"/>
  <c r="F9651" i="13"/>
  <c r="A9651" i="13"/>
  <c r="J9650" i="13"/>
  <c r="F9650" i="13"/>
  <c r="A9650" i="13"/>
  <c r="J9649" i="13"/>
  <c r="F9649" i="13"/>
  <c r="A9649" i="13"/>
  <c r="J9648" i="13"/>
  <c r="F9648" i="13"/>
  <c r="A9648" i="13"/>
  <c r="J9647" i="13"/>
  <c r="F9647" i="13"/>
  <c r="A9647" i="13"/>
  <c r="J9646" i="13"/>
  <c r="F9646" i="13"/>
  <c r="A9646" i="13"/>
  <c r="J9645" i="13"/>
  <c r="F9645" i="13"/>
  <c r="A9645" i="13"/>
  <c r="J9644" i="13"/>
  <c r="F9644" i="13"/>
  <c r="A9644" i="13"/>
  <c r="J9643" i="13"/>
  <c r="F9643" i="13"/>
  <c r="A9643" i="13"/>
  <c r="J9642" i="13"/>
  <c r="F9642" i="13"/>
  <c r="A9642" i="13"/>
  <c r="J9641" i="13"/>
  <c r="F9641" i="13"/>
  <c r="J9640" i="13"/>
  <c r="F9640" i="13"/>
  <c r="A9640" i="13"/>
  <c r="J9639" i="13"/>
  <c r="F9639" i="13"/>
  <c r="A9639" i="13"/>
  <c r="J9638" i="13"/>
  <c r="F9638" i="13"/>
  <c r="A9638" i="13"/>
  <c r="J9637" i="13"/>
  <c r="F9637" i="13"/>
  <c r="A9637" i="13"/>
  <c r="F9636" i="13"/>
  <c r="A9636" i="13"/>
  <c r="F9635" i="13"/>
  <c r="A9635" i="13"/>
  <c r="J9634" i="13"/>
  <c r="F9634" i="13"/>
  <c r="A9634" i="13"/>
  <c r="J9633" i="13"/>
  <c r="F9633" i="13"/>
  <c r="A9633" i="13"/>
  <c r="F9632" i="13"/>
  <c r="A9632" i="13"/>
  <c r="F9631" i="13"/>
  <c r="A9631" i="13"/>
  <c r="F9630" i="13"/>
  <c r="A9630" i="13"/>
  <c r="F9629" i="13"/>
  <c r="A9629" i="13"/>
  <c r="J9628" i="13"/>
  <c r="F9628" i="13"/>
  <c r="J9627" i="13"/>
  <c r="F9627" i="13"/>
  <c r="F9626" i="13"/>
  <c r="A9626" i="13"/>
  <c r="F9625" i="13"/>
  <c r="A9625" i="13"/>
  <c r="F9624" i="13"/>
  <c r="A9624" i="13"/>
  <c r="F9623" i="13"/>
  <c r="A9623" i="13"/>
  <c r="F9622" i="13"/>
  <c r="A9622" i="13"/>
  <c r="F9621" i="13"/>
  <c r="A9621" i="13"/>
  <c r="F9620" i="13"/>
  <c r="A9620" i="13"/>
  <c r="F9619" i="13"/>
  <c r="A9619" i="13"/>
  <c r="F9618" i="13"/>
  <c r="A9618" i="13"/>
  <c r="F9617" i="13"/>
  <c r="A9617" i="13"/>
  <c r="F9616" i="13"/>
  <c r="A9616" i="13"/>
  <c r="F9615" i="13"/>
  <c r="A9615" i="13"/>
  <c r="F9614" i="13"/>
  <c r="A9614" i="13"/>
  <c r="F9613" i="13"/>
  <c r="A9613" i="13"/>
  <c r="F9612" i="13"/>
  <c r="A9612" i="13"/>
  <c r="F9611" i="13"/>
  <c r="A9611" i="13"/>
  <c r="F9610" i="13"/>
  <c r="A9610" i="13"/>
  <c r="F9609" i="13"/>
  <c r="J9608" i="13"/>
  <c r="F9608" i="13"/>
  <c r="A9608" i="13"/>
  <c r="J9607" i="13"/>
  <c r="F9607" i="13"/>
  <c r="A9607" i="13"/>
  <c r="F9606" i="13"/>
  <c r="A9606" i="13"/>
  <c r="J9605" i="13"/>
  <c r="F9605" i="13"/>
  <c r="A9605" i="13"/>
  <c r="F9604" i="13"/>
  <c r="A9604" i="13"/>
  <c r="F9603" i="13"/>
  <c r="A9603" i="13"/>
  <c r="F9602" i="13"/>
  <c r="A9602" i="13"/>
  <c r="F9601" i="13"/>
  <c r="A9601" i="13"/>
  <c r="J9600" i="13"/>
  <c r="F9600" i="13"/>
  <c r="A9600" i="13"/>
  <c r="J9599" i="13"/>
  <c r="F9599" i="13"/>
  <c r="A9599" i="13"/>
  <c r="J9598" i="13"/>
  <c r="F9598" i="13"/>
  <c r="A9598" i="13"/>
  <c r="F9597" i="13"/>
  <c r="A9597" i="13"/>
  <c r="F9596" i="13"/>
  <c r="A9596" i="13"/>
  <c r="J9595" i="13"/>
  <c r="F9595" i="13"/>
  <c r="A9595" i="13"/>
  <c r="J9594" i="13"/>
  <c r="F9594" i="13"/>
  <c r="A9594" i="13"/>
  <c r="F9593" i="13"/>
  <c r="A9593" i="13"/>
  <c r="J9592" i="13"/>
  <c r="F9592" i="13"/>
  <c r="A9592" i="13"/>
  <c r="J9591" i="13"/>
  <c r="F9591" i="13"/>
  <c r="A9591" i="13"/>
  <c r="J9590" i="13"/>
  <c r="F9590" i="13"/>
  <c r="A9590" i="13"/>
  <c r="F9589" i="13"/>
  <c r="A9589" i="13"/>
  <c r="J9588" i="13"/>
  <c r="F9588" i="13"/>
  <c r="A9588" i="13"/>
  <c r="J9587" i="13"/>
  <c r="F9587" i="13"/>
  <c r="A9587" i="13"/>
  <c r="J9586" i="13"/>
  <c r="F9586" i="13"/>
  <c r="A9586" i="13"/>
  <c r="F9585" i="13"/>
  <c r="A9585" i="13"/>
  <c r="J9584" i="13"/>
  <c r="F9584" i="13"/>
  <c r="A9584" i="13"/>
  <c r="J9583" i="13"/>
  <c r="F9583" i="13"/>
  <c r="A9583" i="13"/>
  <c r="J9582" i="13"/>
  <c r="F9582" i="13"/>
  <c r="A9582" i="13"/>
  <c r="J9581" i="13"/>
  <c r="F9581" i="13"/>
  <c r="A9581" i="13"/>
  <c r="J9580" i="13"/>
  <c r="F9580" i="13"/>
  <c r="A9580" i="13"/>
  <c r="J9579" i="13"/>
  <c r="F9579" i="13"/>
  <c r="A9579" i="13"/>
  <c r="J9578" i="13"/>
  <c r="F9578" i="13"/>
  <c r="A9578" i="13"/>
  <c r="J9577" i="13"/>
  <c r="F9577" i="13"/>
  <c r="A9577" i="13"/>
  <c r="J9576" i="13"/>
  <c r="F9576" i="13"/>
  <c r="A9576" i="13"/>
  <c r="J9575" i="13"/>
  <c r="F9575" i="13"/>
  <c r="J9574" i="13"/>
  <c r="F9574" i="13"/>
  <c r="A9574" i="13"/>
  <c r="J9573" i="13"/>
  <c r="F9573" i="13"/>
  <c r="A9573" i="13"/>
  <c r="F9572" i="13"/>
  <c r="A9572" i="13"/>
  <c r="J9571" i="13"/>
  <c r="F9571" i="13"/>
  <c r="A9571" i="13"/>
  <c r="F9570" i="13"/>
  <c r="A9570" i="13"/>
  <c r="J9569" i="13"/>
  <c r="F9569" i="13"/>
  <c r="A9569" i="13"/>
  <c r="J9568" i="13"/>
  <c r="F9568" i="13"/>
  <c r="A9568" i="13"/>
  <c r="F9567" i="13"/>
  <c r="A9567" i="13"/>
  <c r="J9566" i="13"/>
  <c r="F9566" i="13"/>
  <c r="A9566" i="13"/>
  <c r="J9565" i="13"/>
  <c r="F9565" i="13"/>
  <c r="A9565" i="13"/>
  <c r="J9564" i="13"/>
  <c r="F9564" i="13"/>
  <c r="A9564" i="13"/>
  <c r="J9563" i="13"/>
  <c r="F9563" i="13"/>
  <c r="A9563" i="13"/>
  <c r="F9562" i="13"/>
  <c r="A9562" i="13"/>
  <c r="J9561" i="13"/>
  <c r="F9561" i="13"/>
  <c r="A9561" i="13"/>
  <c r="J9560" i="13"/>
  <c r="F9560" i="13"/>
  <c r="A9560" i="13"/>
  <c r="F9559" i="13"/>
  <c r="A9559" i="13"/>
  <c r="F9558" i="13"/>
  <c r="A9558" i="13"/>
  <c r="J9557" i="13"/>
  <c r="F9557" i="13"/>
  <c r="A9557" i="13"/>
  <c r="J9556" i="13"/>
  <c r="F9556" i="13"/>
  <c r="A9556" i="13"/>
  <c r="J9555" i="13"/>
  <c r="F9555" i="13"/>
  <c r="A9555" i="13"/>
  <c r="J9554" i="13"/>
  <c r="F9554" i="13"/>
  <c r="A9554" i="13"/>
  <c r="F9553" i="13"/>
  <c r="A9553" i="13"/>
  <c r="F9552" i="13"/>
  <c r="A9552" i="13"/>
  <c r="J9551" i="13"/>
  <c r="F9551" i="13"/>
  <c r="A9551" i="13"/>
  <c r="J9550" i="13"/>
  <c r="F9550" i="13"/>
  <c r="A9550" i="13"/>
  <c r="J9549" i="13"/>
  <c r="F9549" i="13"/>
  <c r="A9549" i="13"/>
  <c r="J9548" i="13"/>
  <c r="F9548" i="13"/>
  <c r="A9548" i="13"/>
  <c r="F9547" i="13"/>
  <c r="A9547" i="13"/>
  <c r="F9546" i="13"/>
  <c r="A9546" i="13"/>
  <c r="J9545" i="13"/>
  <c r="F9545" i="13"/>
  <c r="A9545" i="13"/>
  <c r="J9544" i="13"/>
  <c r="F9544" i="13"/>
  <c r="A9544" i="13"/>
  <c r="J9543" i="13"/>
  <c r="F9543" i="13"/>
  <c r="A9543" i="13"/>
  <c r="J9542" i="13"/>
  <c r="F9542" i="13"/>
  <c r="A9542" i="13"/>
  <c r="J9541" i="13"/>
  <c r="F9541" i="13"/>
  <c r="A9541" i="13"/>
  <c r="F9540" i="13"/>
  <c r="A9540" i="13"/>
  <c r="J9539" i="13"/>
  <c r="F9539" i="13"/>
  <c r="A9539" i="13"/>
  <c r="J9538" i="13"/>
  <c r="F9538" i="13"/>
  <c r="A9538" i="13"/>
  <c r="J9537" i="13"/>
  <c r="F9537" i="13"/>
  <c r="A9537" i="13"/>
  <c r="F9536" i="13"/>
  <c r="A9536" i="13"/>
  <c r="J9535" i="13"/>
  <c r="F9535" i="13"/>
  <c r="A9535" i="13"/>
  <c r="J9534" i="13"/>
  <c r="F9534" i="13"/>
  <c r="A9534" i="13"/>
  <c r="F9533" i="13"/>
  <c r="A9533" i="13"/>
  <c r="F9532" i="13"/>
  <c r="A9532" i="13"/>
  <c r="J9531" i="13"/>
  <c r="F9531" i="13"/>
  <c r="A9531" i="13"/>
  <c r="J9530" i="13"/>
  <c r="F9530" i="13"/>
  <c r="A9530" i="13"/>
  <c r="F9529" i="13"/>
  <c r="A9529" i="13"/>
  <c r="J9528" i="13"/>
  <c r="F9528" i="13"/>
  <c r="A9528" i="13"/>
  <c r="J9527" i="13"/>
  <c r="F9527" i="13"/>
  <c r="A9527" i="13"/>
  <c r="F9526" i="13"/>
  <c r="A9526" i="13"/>
  <c r="J9525" i="13"/>
  <c r="F9525" i="13"/>
  <c r="A9525" i="13"/>
  <c r="J9524" i="13"/>
  <c r="F9524" i="13"/>
  <c r="A9524" i="13"/>
  <c r="F9523" i="13"/>
  <c r="A9523" i="13"/>
  <c r="J9522" i="13"/>
  <c r="F9522" i="13"/>
  <c r="A9522" i="13"/>
  <c r="J9521" i="13"/>
  <c r="F9521" i="13"/>
  <c r="A9521" i="13"/>
  <c r="F9520" i="13"/>
  <c r="A9520" i="13"/>
  <c r="J9519" i="13"/>
  <c r="F9519" i="13"/>
  <c r="A9519" i="13"/>
  <c r="J9518" i="13"/>
  <c r="F9518" i="13"/>
  <c r="A9518" i="13"/>
  <c r="J9517" i="13"/>
  <c r="F9517" i="13"/>
  <c r="A9517" i="13"/>
  <c r="J9516" i="13"/>
  <c r="F9516" i="13"/>
  <c r="A9516" i="13"/>
  <c r="J9515" i="13"/>
  <c r="F9515" i="13"/>
  <c r="A9515" i="13"/>
  <c r="F9514" i="13"/>
  <c r="A9514" i="13"/>
  <c r="J9513" i="13"/>
  <c r="F9513" i="13"/>
  <c r="A9513" i="13"/>
  <c r="J9512" i="13"/>
  <c r="F9512" i="13"/>
  <c r="A9512" i="13"/>
  <c r="J9511" i="13"/>
  <c r="F9511" i="13"/>
  <c r="A9511" i="13"/>
  <c r="J9510" i="13"/>
  <c r="F9510" i="13"/>
  <c r="A9510" i="13"/>
  <c r="F9509" i="13"/>
  <c r="A9509" i="13"/>
  <c r="J9508" i="13"/>
  <c r="F9508" i="13"/>
  <c r="A9508" i="13"/>
  <c r="F9507" i="13"/>
  <c r="A9507" i="13"/>
  <c r="J9506" i="13"/>
  <c r="F9506" i="13"/>
  <c r="A9506" i="13"/>
  <c r="J9505" i="13"/>
  <c r="F9505" i="13"/>
  <c r="A9505" i="13"/>
  <c r="J9504" i="13"/>
  <c r="F9504" i="13"/>
  <c r="A9504" i="13"/>
  <c r="F9503" i="13"/>
  <c r="A9503" i="13"/>
  <c r="J9502" i="13"/>
  <c r="F9502" i="13"/>
  <c r="A9502" i="13"/>
  <c r="J9501" i="13"/>
  <c r="F9501" i="13"/>
  <c r="A9501" i="13"/>
  <c r="J9500" i="13"/>
  <c r="F9500" i="13"/>
  <c r="A9500" i="13"/>
  <c r="J9499" i="13"/>
  <c r="F9499" i="13"/>
  <c r="A9499" i="13"/>
  <c r="J9498" i="13"/>
  <c r="F9498" i="13"/>
  <c r="A9498" i="13"/>
  <c r="J9497" i="13"/>
  <c r="F9497" i="13"/>
  <c r="A9497" i="13"/>
  <c r="F9496" i="13"/>
  <c r="A9496" i="13"/>
  <c r="J9495" i="13"/>
  <c r="F9495" i="13"/>
  <c r="A9495" i="13"/>
  <c r="J9494" i="13"/>
  <c r="F9494" i="13"/>
  <c r="A9494" i="13"/>
  <c r="J9493" i="13"/>
  <c r="F9493" i="13"/>
  <c r="A9493" i="13"/>
  <c r="J9492" i="13"/>
  <c r="F9492" i="13"/>
  <c r="A9492" i="13"/>
  <c r="J9491" i="13"/>
  <c r="F9491" i="13"/>
  <c r="A9491" i="13"/>
  <c r="F9490" i="13"/>
  <c r="A9490" i="13"/>
  <c r="J9489" i="13"/>
  <c r="F9489" i="13"/>
  <c r="A9489" i="13"/>
  <c r="J9488" i="13"/>
  <c r="F9488" i="13"/>
  <c r="A9488" i="13"/>
  <c r="J9487" i="13"/>
  <c r="F9487" i="13"/>
  <c r="A9487" i="13"/>
  <c r="J9486" i="13"/>
  <c r="F9486" i="13"/>
  <c r="A9486" i="13"/>
  <c r="F9485" i="13"/>
  <c r="A9485" i="13"/>
  <c r="J9484" i="13"/>
  <c r="F9484" i="13"/>
  <c r="A9484" i="13"/>
  <c r="J9483" i="13"/>
  <c r="F9483" i="13"/>
  <c r="A9483" i="13"/>
  <c r="J9482" i="13"/>
  <c r="F9482" i="13"/>
  <c r="A9482" i="13"/>
  <c r="F9481" i="13"/>
  <c r="A9481" i="13"/>
  <c r="F9480" i="13"/>
  <c r="A9480" i="13"/>
  <c r="J9479" i="13"/>
  <c r="F9479" i="13"/>
  <c r="A9479" i="13"/>
  <c r="J9478" i="13"/>
  <c r="F9478" i="13"/>
  <c r="A9478" i="13"/>
  <c r="J9477" i="13"/>
  <c r="F9477" i="13"/>
  <c r="A9477" i="13"/>
  <c r="J9476" i="13"/>
  <c r="F9476" i="13"/>
  <c r="A9476" i="13"/>
  <c r="F9475" i="13"/>
  <c r="A9475" i="13"/>
  <c r="J9474" i="13"/>
  <c r="F9474" i="13"/>
  <c r="A9474" i="13"/>
  <c r="F9473" i="13"/>
  <c r="A9473" i="13"/>
  <c r="J9472" i="13"/>
  <c r="F9472" i="13"/>
  <c r="A9472" i="13"/>
  <c r="J9471" i="13"/>
  <c r="F9471" i="13"/>
  <c r="A9471" i="13"/>
  <c r="J9470" i="13"/>
  <c r="F9470" i="13"/>
  <c r="A9470" i="13"/>
  <c r="F9469" i="13"/>
  <c r="A9469" i="13"/>
  <c r="J9468" i="13"/>
  <c r="F9468" i="13"/>
  <c r="A9468" i="13"/>
  <c r="F9467" i="13"/>
  <c r="A9467" i="13"/>
  <c r="F9466" i="13"/>
  <c r="A9466" i="13"/>
  <c r="J9465" i="13"/>
  <c r="F9465" i="13"/>
  <c r="A9465" i="13"/>
  <c r="F9464" i="13"/>
  <c r="A9464" i="13"/>
  <c r="J9463" i="13"/>
  <c r="F9463" i="13"/>
  <c r="A9463" i="13"/>
  <c r="J9462" i="13"/>
  <c r="F9462" i="13"/>
  <c r="A9462" i="13"/>
  <c r="J9461" i="13"/>
  <c r="F9461" i="13"/>
  <c r="A9461" i="13"/>
  <c r="J9460" i="13"/>
  <c r="F9460" i="13"/>
  <c r="A9460" i="13"/>
  <c r="J9459" i="13"/>
  <c r="F9459" i="13"/>
  <c r="A9459" i="13"/>
  <c r="J9458" i="13"/>
  <c r="F9458" i="13"/>
  <c r="A9458" i="13"/>
  <c r="J9457" i="13"/>
  <c r="F9457" i="13"/>
  <c r="A9457" i="13"/>
  <c r="F9456" i="13"/>
  <c r="A9456" i="13"/>
  <c r="F9455" i="13"/>
  <c r="A9455" i="13"/>
  <c r="J9454" i="13"/>
  <c r="F9454" i="13"/>
  <c r="A9454" i="13"/>
  <c r="J9453" i="13"/>
  <c r="F9453" i="13"/>
  <c r="A9453" i="13"/>
  <c r="J9452" i="13"/>
  <c r="F9452" i="13"/>
  <c r="A9452" i="13"/>
  <c r="F9451" i="13"/>
  <c r="A9451" i="13"/>
  <c r="J9450" i="13"/>
  <c r="F9450" i="13"/>
  <c r="A9450" i="13"/>
  <c r="J9449" i="13"/>
  <c r="F9449" i="13"/>
  <c r="A9449" i="13"/>
  <c r="F9448" i="13"/>
  <c r="A9448" i="13"/>
  <c r="J9447" i="13"/>
  <c r="F9447" i="13"/>
  <c r="A9447" i="13"/>
  <c r="J9446" i="13"/>
  <c r="F9446" i="13"/>
  <c r="A9446" i="13"/>
  <c r="F9445" i="13"/>
  <c r="A9445" i="13"/>
  <c r="F9444" i="13"/>
  <c r="A9444" i="13"/>
  <c r="F9443" i="13"/>
  <c r="A9443" i="13"/>
  <c r="J9442" i="13"/>
  <c r="F9442" i="13"/>
  <c r="A9442" i="13"/>
  <c r="J9441" i="13"/>
  <c r="F9441" i="13"/>
  <c r="A9441" i="13"/>
  <c r="F9440" i="13"/>
  <c r="A9440" i="13"/>
  <c r="J9439" i="13"/>
  <c r="F9439" i="13"/>
  <c r="A9439" i="13"/>
  <c r="J9438" i="13"/>
  <c r="F9438" i="13"/>
  <c r="A9438" i="13"/>
  <c r="F9437" i="13"/>
  <c r="A9437" i="13"/>
  <c r="F9436" i="13"/>
  <c r="A9436" i="13"/>
  <c r="F9435" i="13"/>
  <c r="A9435" i="13"/>
  <c r="F9434" i="13"/>
  <c r="A9434" i="13"/>
  <c r="F9433" i="13"/>
  <c r="A9433" i="13"/>
  <c r="F9432" i="13"/>
  <c r="A9432" i="13"/>
  <c r="F9431" i="13"/>
  <c r="A9431" i="13"/>
  <c r="F9430" i="13"/>
  <c r="A9430" i="13"/>
  <c r="F9429" i="13"/>
  <c r="A9429" i="13"/>
  <c r="F9428" i="13"/>
  <c r="A9428" i="13"/>
  <c r="F9427" i="13"/>
  <c r="A9427" i="13"/>
  <c r="F9426" i="13"/>
  <c r="A9426" i="13"/>
  <c r="F9425" i="13"/>
  <c r="A9425" i="13"/>
  <c r="F9424" i="13"/>
  <c r="A9424" i="13"/>
  <c r="F9423" i="13"/>
  <c r="A9423" i="13"/>
  <c r="F9422" i="13"/>
  <c r="A9422" i="13"/>
  <c r="F9421" i="13"/>
  <c r="A9421" i="13"/>
  <c r="F9420" i="13"/>
  <c r="A9420" i="13"/>
  <c r="F9419" i="13"/>
  <c r="A9419" i="13"/>
  <c r="F9418" i="13"/>
  <c r="A9418" i="13"/>
  <c r="F9417" i="13"/>
  <c r="A9417" i="13"/>
  <c r="F9416" i="13"/>
  <c r="A9416" i="13"/>
  <c r="F9415" i="13"/>
  <c r="A9415" i="13"/>
  <c r="F9414" i="13"/>
  <c r="A9414" i="13"/>
  <c r="F9413" i="13"/>
  <c r="A9413" i="13"/>
  <c r="F9412" i="13"/>
  <c r="A9412" i="13"/>
  <c r="F9411" i="13"/>
  <c r="A9411" i="13"/>
  <c r="F9410" i="13"/>
  <c r="A9410" i="13"/>
  <c r="F9409" i="13"/>
  <c r="A9409" i="13"/>
  <c r="F9408" i="13"/>
  <c r="A9408" i="13"/>
  <c r="F9407" i="13"/>
  <c r="A9407" i="13"/>
  <c r="F9406" i="13"/>
  <c r="A9406" i="13"/>
  <c r="F9405" i="13"/>
  <c r="A9405" i="13"/>
  <c r="F9404" i="13"/>
  <c r="A9404" i="13"/>
  <c r="F9403" i="13"/>
  <c r="A9403" i="13"/>
  <c r="F9402" i="13"/>
  <c r="A9402" i="13"/>
  <c r="F9401" i="13"/>
  <c r="A9401" i="13"/>
  <c r="F9400" i="13"/>
  <c r="A9400" i="13"/>
  <c r="F9399" i="13"/>
  <c r="A9399" i="13"/>
  <c r="J9398" i="13"/>
  <c r="F9398" i="13"/>
  <c r="A9398" i="13"/>
  <c r="J9397" i="13"/>
  <c r="F9397" i="13"/>
  <c r="A9397" i="13"/>
  <c r="F9396" i="13"/>
  <c r="A9396" i="13"/>
  <c r="J9395" i="13"/>
  <c r="F9395" i="13"/>
  <c r="A9395" i="13"/>
  <c r="J9394" i="13"/>
  <c r="F9394" i="13"/>
  <c r="A9394" i="13"/>
  <c r="J9393" i="13"/>
  <c r="F9393" i="13"/>
  <c r="A9393" i="13"/>
  <c r="J9392" i="13"/>
  <c r="F9392" i="13"/>
  <c r="A9392" i="13"/>
  <c r="J9391" i="13"/>
  <c r="F9391" i="13"/>
  <c r="J9390" i="13"/>
  <c r="F9390" i="13"/>
  <c r="A9390" i="13"/>
  <c r="J9389" i="13"/>
  <c r="F9389" i="13"/>
  <c r="A9389" i="13"/>
  <c r="J9388" i="13"/>
  <c r="F9388" i="13"/>
  <c r="A9388" i="13"/>
  <c r="J9387" i="13"/>
  <c r="F9387" i="13"/>
  <c r="A9387" i="13"/>
  <c r="F9386" i="13"/>
  <c r="A9386" i="13"/>
  <c r="J9385" i="13"/>
  <c r="F9385" i="13"/>
  <c r="A9385" i="13"/>
  <c r="F9384" i="13"/>
  <c r="A9384" i="13"/>
  <c r="J9383" i="13"/>
  <c r="F9383" i="13"/>
  <c r="A9383" i="13"/>
  <c r="J9382" i="13"/>
  <c r="F9382" i="13"/>
  <c r="A9382" i="13"/>
  <c r="J9381" i="13"/>
  <c r="F9381" i="13"/>
  <c r="A9381" i="13"/>
  <c r="J9380" i="13"/>
  <c r="F9380" i="13"/>
  <c r="A9380" i="13"/>
  <c r="F9379" i="13"/>
  <c r="A9379" i="13"/>
  <c r="F9378" i="13"/>
  <c r="A9378" i="13"/>
  <c r="J9377" i="13"/>
  <c r="F9377" i="13"/>
  <c r="A9377" i="13"/>
  <c r="F9376" i="13"/>
  <c r="A9376" i="13"/>
  <c r="J9375" i="13"/>
  <c r="F9375" i="13"/>
  <c r="A9375" i="13"/>
  <c r="J9374" i="13"/>
  <c r="F9374" i="13"/>
  <c r="A9374" i="13"/>
  <c r="J9373" i="13"/>
  <c r="F9373" i="13"/>
  <c r="A9373" i="13"/>
  <c r="J9372" i="13"/>
  <c r="F9372" i="13"/>
  <c r="A9372" i="13"/>
  <c r="J9371" i="13"/>
  <c r="F9371" i="13"/>
  <c r="A9371" i="13"/>
  <c r="F9370" i="13"/>
  <c r="A9370" i="13"/>
  <c r="F9369" i="13"/>
  <c r="A9369" i="13"/>
  <c r="J9368" i="13"/>
  <c r="F9368" i="13"/>
  <c r="A9368" i="13"/>
  <c r="J9367" i="13"/>
  <c r="F9367" i="13"/>
  <c r="A9367" i="13"/>
  <c r="F9366" i="13"/>
  <c r="A9366" i="13"/>
  <c r="F9365" i="13"/>
  <c r="A9365" i="13"/>
  <c r="J9364" i="13"/>
  <c r="F9364" i="13"/>
  <c r="A9364" i="13"/>
  <c r="J9363" i="13"/>
  <c r="F9363" i="13"/>
  <c r="A9363" i="13"/>
  <c r="F9362" i="13"/>
  <c r="A9362" i="13"/>
  <c r="F9361" i="13"/>
  <c r="A9361" i="13"/>
  <c r="J9360" i="13"/>
  <c r="F9360" i="13"/>
  <c r="A9360" i="13"/>
  <c r="F9359" i="13"/>
  <c r="A9359" i="13"/>
  <c r="F9358" i="13"/>
  <c r="A9358" i="13"/>
  <c r="J9357" i="13"/>
  <c r="F9357" i="13"/>
  <c r="A9357" i="13"/>
  <c r="J9356" i="13"/>
  <c r="F9356" i="13"/>
  <c r="A9356" i="13"/>
  <c r="J9355" i="13"/>
  <c r="F9355" i="13"/>
  <c r="A9355" i="13"/>
  <c r="F9354" i="13"/>
  <c r="A9354" i="13"/>
  <c r="F9353" i="13"/>
  <c r="A9353" i="13"/>
  <c r="F9352" i="13"/>
  <c r="A9352" i="13"/>
  <c r="J9351" i="13"/>
  <c r="F9351" i="13"/>
  <c r="A9351" i="13"/>
  <c r="J9350" i="13"/>
  <c r="F9350" i="13"/>
  <c r="A9350" i="13"/>
  <c r="F9349" i="13"/>
  <c r="A9349" i="13"/>
  <c r="J9348" i="13"/>
  <c r="F9348" i="13"/>
  <c r="A9348" i="13"/>
  <c r="J9347" i="13"/>
  <c r="F9347" i="13"/>
  <c r="A9347" i="13"/>
  <c r="J9346" i="13"/>
  <c r="F9346" i="13"/>
  <c r="A9346" i="13"/>
  <c r="F9345" i="13"/>
  <c r="A9345" i="13"/>
  <c r="J9344" i="13"/>
  <c r="F9344" i="13"/>
  <c r="A9344" i="13"/>
  <c r="J9343" i="13"/>
  <c r="F9343" i="13"/>
  <c r="A9343" i="13"/>
  <c r="J9342" i="13"/>
  <c r="F9342" i="13"/>
  <c r="A9342" i="13"/>
  <c r="J9341" i="13"/>
  <c r="F9341" i="13"/>
  <c r="A9341" i="13"/>
  <c r="J9340" i="13"/>
  <c r="F9340" i="13"/>
  <c r="A9340" i="13"/>
  <c r="F9339" i="13"/>
  <c r="A9339" i="13"/>
  <c r="F9338" i="13"/>
  <c r="A9338" i="13"/>
  <c r="J9337" i="13"/>
  <c r="F9337" i="13"/>
  <c r="A9337" i="13"/>
  <c r="J9336" i="13"/>
  <c r="F9336" i="13"/>
  <c r="A9336" i="13"/>
  <c r="F9335" i="13"/>
  <c r="A9335" i="13"/>
  <c r="J9334" i="13"/>
  <c r="F9334" i="13"/>
  <c r="A9334" i="13"/>
  <c r="J9333" i="13"/>
  <c r="F9333" i="13"/>
  <c r="A9333" i="13"/>
  <c r="F9332" i="13"/>
  <c r="A9332" i="13"/>
  <c r="F9331" i="13"/>
  <c r="A9331" i="13"/>
  <c r="J9330" i="13"/>
  <c r="F9330" i="13"/>
  <c r="A9330" i="13"/>
  <c r="J9329" i="13"/>
  <c r="F9329" i="13"/>
  <c r="A9329" i="13"/>
  <c r="J9328" i="13"/>
  <c r="F9328" i="13"/>
  <c r="A9328" i="13"/>
  <c r="J9327" i="13"/>
  <c r="F9327" i="13"/>
  <c r="A9327" i="13"/>
  <c r="J9326" i="13"/>
  <c r="F9326" i="13"/>
  <c r="A9326" i="13"/>
  <c r="J9325" i="13"/>
  <c r="F9325" i="13"/>
  <c r="A9325" i="13"/>
  <c r="J9324" i="13"/>
  <c r="F9324" i="13"/>
  <c r="A9324" i="13"/>
  <c r="J9323" i="13"/>
  <c r="F9323" i="13"/>
  <c r="A9323" i="13"/>
  <c r="J9322" i="13"/>
  <c r="F9322" i="13"/>
  <c r="A9322" i="13"/>
  <c r="J9321" i="13"/>
  <c r="F9321" i="13"/>
  <c r="A9321" i="13"/>
  <c r="J9320" i="13"/>
  <c r="F9320" i="13"/>
  <c r="A9320" i="13"/>
  <c r="J9319" i="13"/>
  <c r="F9319" i="13"/>
  <c r="A9319" i="13"/>
  <c r="J9318" i="13"/>
  <c r="F9318" i="13"/>
  <c r="A9318" i="13"/>
  <c r="J9317" i="13"/>
  <c r="F9317" i="13"/>
  <c r="A9317" i="13"/>
  <c r="J9316" i="13"/>
  <c r="F9316" i="13"/>
  <c r="A9316" i="13"/>
  <c r="J9315" i="13"/>
  <c r="F9315" i="13"/>
  <c r="A9315" i="13"/>
  <c r="J9314" i="13"/>
  <c r="F9314" i="13"/>
  <c r="A9314" i="13"/>
  <c r="J9313" i="13"/>
  <c r="F9313" i="13"/>
  <c r="A9313" i="13"/>
  <c r="J9312" i="13"/>
  <c r="F9312" i="13"/>
  <c r="A9312" i="13"/>
  <c r="J9311" i="13"/>
  <c r="F9311" i="13"/>
  <c r="A9311" i="13"/>
  <c r="J9310" i="13"/>
  <c r="F9310" i="13"/>
  <c r="A9310" i="13"/>
  <c r="J9309" i="13"/>
  <c r="F9309" i="13"/>
  <c r="A9309" i="13"/>
  <c r="J9308" i="13"/>
  <c r="F9308" i="13"/>
  <c r="A9308" i="13"/>
  <c r="J9307" i="13"/>
  <c r="F9307" i="13"/>
  <c r="A9307" i="13"/>
  <c r="J9306" i="13"/>
  <c r="F9306" i="13"/>
  <c r="J9305" i="13"/>
  <c r="F9305" i="13"/>
  <c r="A9305" i="13"/>
  <c r="J9304" i="13"/>
  <c r="F9304" i="13"/>
  <c r="A9304" i="13"/>
  <c r="F9303" i="13"/>
  <c r="A9303" i="13"/>
  <c r="J9302" i="13"/>
  <c r="F9302" i="13"/>
  <c r="A9302" i="13"/>
  <c r="J9301" i="13"/>
  <c r="F9301" i="13"/>
  <c r="A9301" i="13"/>
  <c r="F9300" i="13"/>
  <c r="A9300" i="13"/>
  <c r="J9299" i="13"/>
  <c r="F9299" i="13"/>
  <c r="A9299" i="13"/>
  <c r="J9298" i="13"/>
  <c r="F9298" i="13"/>
  <c r="A9298" i="13"/>
  <c r="F9297" i="13"/>
  <c r="A9297" i="13"/>
  <c r="J9296" i="13"/>
  <c r="F9296" i="13"/>
  <c r="A9296" i="13"/>
  <c r="F9295" i="13"/>
  <c r="A9295" i="13"/>
  <c r="J9294" i="13"/>
  <c r="F9294" i="13"/>
  <c r="A9294" i="13"/>
  <c r="F9293" i="13"/>
  <c r="A9293" i="13"/>
  <c r="J9292" i="13"/>
  <c r="F9292" i="13"/>
  <c r="A9292" i="13"/>
  <c r="J9291" i="13"/>
  <c r="F9291" i="13"/>
  <c r="A9291" i="13"/>
  <c r="J9290" i="13"/>
  <c r="F9290" i="13"/>
  <c r="A9290" i="13"/>
  <c r="J9289" i="13"/>
  <c r="F9289" i="13"/>
  <c r="A9289" i="13"/>
  <c r="J9288" i="13"/>
  <c r="F9288" i="13"/>
  <c r="A9288" i="13"/>
  <c r="J9287" i="13"/>
  <c r="F9287" i="13"/>
  <c r="A9287" i="13"/>
  <c r="J9286" i="13"/>
  <c r="F9286" i="13"/>
  <c r="A9286" i="13"/>
  <c r="J9285" i="13"/>
  <c r="F9285" i="13"/>
  <c r="A9285" i="13"/>
  <c r="J9284" i="13"/>
  <c r="F9284" i="13"/>
  <c r="A9284" i="13"/>
  <c r="J9283" i="13"/>
  <c r="F9283" i="13"/>
  <c r="A9283" i="13"/>
  <c r="J9282" i="13"/>
  <c r="F9282" i="13"/>
  <c r="A9282" i="13"/>
  <c r="J9281" i="13"/>
  <c r="F9281" i="13"/>
  <c r="A9281" i="13"/>
  <c r="J9280" i="13"/>
  <c r="F9280" i="13"/>
  <c r="A9280" i="13"/>
  <c r="J9279" i="13"/>
  <c r="F9279" i="13"/>
  <c r="A9279" i="13"/>
  <c r="J9278" i="13"/>
  <c r="F9278" i="13"/>
  <c r="A9278" i="13"/>
  <c r="J9277" i="13"/>
  <c r="F9277" i="13"/>
  <c r="A9277" i="13"/>
  <c r="J9276" i="13"/>
  <c r="F9276" i="13"/>
  <c r="A9276" i="13"/>
  <c r="J9275" i="13"/>
  <c r="F9275" i="13"/>
  <c r="A9275" i="13"/>
  <c r="J9274" i="13"/>
  <c r="F9274" i="13"/>
  <c r="A9274" i="13"/>
  <c r="J9273" i="13"/>
  <c r="F9273" i="13"/>
  <c r="A9273" i="13"/>
  <c r="J9272" i="13"/>
  <c r="F9272" i="13"/>
  <c r="A9272" i="13"/>
  <c r="J9271" i="13"/>
  <c r="F9271" i="13"/>
  <c r="A9271" i="13"/>
  <c r="J9270" i="13"/>
  <c r="F9270" i="13"/>
  <c r="A9270" i="13"/>
  <c r="J9269" i="13"/>
  <c r="F9269" i="13"/>
  <c r="A9269" i="13"/>
  <c r="J9268" i="13"/>
  <c r="F9268" i="13"/>
  <c r="A9268" i="13"/>
  <c r="J9267" i="13"/>
  <c r="F9267" i="13"/>
  <c r="A9267" i="13"/>
  <c r="J9266" i="13"/>
  <c r="F9266" i="13"/>
  <c r="A9266" i="13"/>
  <c r="J9265" i="13"/>
  <c r="F9265" i="13"/>
  <c r="A9265" i="13"/>
  <c r="J9264" i="13"/>
  <c r="F9264" i="13"/>
  <c r="A9264" i="13"/>
  <c r="J9263" i="13"/>
  <c r="F9263" i="13"/>
  <c r="A9263" i="13"/>
  <c r="J9262" i="13"/>
  <c r="F9262" i="13"/>
  <c r="A9262" i="13"/>
  <c r="J9261" i="13"/>
  <c r="F9261" i="13"/>
  <c r="A9261" i="13"/>
  <c r="J9260" i="13"/>
  <c r="F9260" i="13"/>
  <c r="A9260" i="13"/>
  <c r="J9259" i="13"/>
  <c r="F9259" i="13"/>
  <c r="A9259" i="13"/>
  <c r="J9258" i="13"/>
  <c r="F9258" i="13"/>
  <c r="A9258" i="13"/>
  <c r="J9257" i="13"/>
  <c r="F9257" i="13"/>
  <c r="F9256" i="13"/>
  <c r="A9256" i="13"/>
  <c r="J9255" i="13"/>
  <c r="F9255" i="13"/>
  <c r="A9255" i="13"/>
  <c r="F9254" i="13"/>
  <c r="A9254" i="13"/>
  <c r="J9253" i="13"/>
  <c r="F9253" i="13"/>
  <c r="A9253" i="13"/>
  <c r="J9252" i="13"/>
  <c r="F9252" i="13"/>
  <c r="A9252" i="13"/>
  <c r="F9251" i="13"/>
  <c r="A9251" i="13"/>
  <c r="F9250" i="13"/>
  <c r="A9250" i="13"/>
  <c r="J9249" i="13"/>
  <c r="F9249" i="13"/>
  <c r="A9249" i="13"/>
  <c r="J9248" i="13"/>
  <c r="F9248" i="13"/>
  <c r="A9248" i="13"/>
  <c r="F9247" i="13"/>
  <c r="A9247" i="13"/>
  <c r="J9246" i="13"/>
  <c r="F9246" i="13"/>
  <c r="A9246" i="13"/>
  <c r="J9245" i="13"/>
  <c r="F9245" i="13"/>
  <c r="A9245" i="13"/>
  <c r="F9244" i="13"/>
  <c r="A9244" i="13"/>
  <c r="J9243" i="13"/>
  <c r="F9243" i="13"/>
  <c r="A9243" i="13"/>
  <c r="J9242" i="13"/>
  <c r="F9242" i="13"/>
  <c r="A9242" i="13"/>
  <c r="F9241" i="13"/>
  <c r="A9241" i="13"/>
  <c r="J9240" i="13"/>
  <c r="F9240" i="13"/>
  <c r="A9240" i="13"/>
  <c r="J9239" i="13"/>
  <c r="F9239" i="13"/>
  <c r="A9239" i="13"/>
  <c r="J9238" i="13"/>
  <c r="F9238" i="13"/>
  <c r="A9238" i="13"/>
  <c r="F9237" i="13"/>
  <c r="A9237" i="13"/>
  <c r="F9236" i="13"/>
  <c r="A9236" i="13"/>
  <c r="F9235" i="13"/>
  <c r="A9235" i="13"/>
  <c r="F9234" i="13"/>
  <c r="A9234" i="13"/>
  <c r="J9233" i="13"/>
  <c r="F9233" i="13"/>
  <c r="A9233" i="13"/>
  <c r="J9232" i="13"/>
  <c r="F9232" i="13"/>
  <c r="A9232" i="13"/>
  <c r="F9231" i="13"/>
  <c r="A9231" i="13"/>
  <c r="J9230" i="13"/>
  <c r="F9230" i="13"/>
  <c r="A9230" i="13"/>
  <c r="J9229" i="13"/>
  <c r="F9229" i="13"/>
  <c r="A9229" i="13"/>
  <c r="F9228" i="13"/>
  <c r="A9228" i="13"/>
  <c r="F9227" i="13"/>
  <c r="A9227" i="13"/>
  <c r="J9226" i="13"/>
  <c r="F9226" i="13"/>
  <c r="A9226" i="13"/>
  <c r="J9225" i="13"/>
  <c r="F9225" i="13"/>
  <c r="A9225" i="13"/>
  <c r="F9224" i="13"/>
  <c r="A9224" i="13"/>
  <c r="J9223" i="13"/>
  <c r="F9223" i="13"/>
  <c r="A9223" i="13"/>
  <c r="F9222" i="13"/>
  <c r="A9222" i="13"/>
  <c r="F9221" i="13"/>
  <c r="A9221" i="13"/>
  <c r="J9220" i="13"/>
  <c r="F9220" i="13"/>
  <c r="A9220" i="13"/>
  <c r="J9219" i="13"/>
  <c r="F9219" i="13"/>
  <c r="A9219" i="13"/>
  <c r="F9218" i="13"/>
  <c r="A9218" i="13"/>
  <c r="J9217" i="13"/>
  <c r="F9217" i="13"/>
  <c r="A9217" i="13"/>
  <c r="J9216" i="13"/>
  <c r="F9216" i="13"/>
  <c r="A9216" i="13"/>
  <c r="J9215" i="13"/>
  <c r="F9215" i="13"/>
  <c r="A9215" i="13"/>
  <c r="F9214" i="13"/>
  <c r="A9214" i="13"/>
  <c r="J9213" i="13"/>
  <c r="F9213" i="13"/>
  <c r="A9213" i="13"/>
  <c r="F9212" i="13"/>
  <c r="A9212" i="13"/>
  <c r="F9211" i="13"/>
  <c r="A9211" i="13"/>
  <c r="J9210" i="13"/>
  <c r="F9210" i="13"/>
  <c r="A9210" i="13"/>
  <c r="J9209" i="13"/>
  <c r="F9209" i="13"/>
  <c r="A9209" i="13"/>
  <c r="J9208" i="13"/>
  <c r="F9208" i="13"/>
  <c r="A9208" i="13"/>
  <c r="J9207" i="13"/>
  <c r="F9207" i="13"/>
  <c r="A9207" i="13"/>
  <c r="J9206" i="13"/>
  <c r="F9206" i="13"/>
  <c r="A9206" i="13"/>
  <c r="J9205" i="13"/>
  <c r="F9205" i="13"/>
  <c r="A9205" i="13"/>
  <c r="F9204" i="13"/>
  <c r="A9204" i="13"/>
  <c r="F9203" i="13"/>
  <c r="A9203" i="13"/>
  <c r="J9202" i="13"/>
  <c r="F9202" i="13"/>
  <c r="A9202" i="13"/>
  <c r="J9201" i="13"/>
  <c r="F9201" i="13"/>
  <c r="A9201" i="13"/>
  <c r="F9200" i="13"/>
  <c r="A9200" i="13"/>
  <c r="J9199" i="13"/>
  <c r="F9199" i="13"/>
  <c r="A9199" i="13"/>
  <c r="J9198" i="13"/>
  <c r="F9198" i="13"/>
  <c r="A9198" i="13"/>
  <c r="J9197" i="13"/>
  <c r="F9197" i="13"/>
  <c r="A9197" i="13"/>
  <c r="F9196" i="13"/>
  <c r="A9196" i="13"/>
  <c r="J9195" i="13"/>
  <c r="F9195" i="13"/>
  <c r="A9195" i="13"/>
  <c r="J9194" i="13"/>
  <c r="F9194" i="13"/>
  <c r="A9194" i="13"/>
  <c r="J9193" i="13"/>
  <c r="F9193" i="13"/>
  <c r="A9193" i="13"/>
  <c r="F9192" i="13"/>
  <c r="A9192" i="13"/>
  <c r="J9191" i="13"/>
  <c r="F9191" i="13"/>
  <c r="A9191" i="13"/>
  <c r="J9190" i="13"/>
  <c r="F9190" i="13"/>
  <c r="A9190" i="13"/>
  <c r="J9189" i="13"/>
  <c r="F9189" i="13"/>
  <c r="A9189" i="13"/>
  <c r="F9188" i="13"/>
  <c r="A9188" i="13"/>
  <c r="J9187" i="13"/>
  <c r="F9187" i="13"/>
  <c r="A9187" i="13"/>
  <c r="J9186" i="13"/>
  <c r="F9186" i="13"/>
  <c r="A9186" i="13"/>
  <c r="F9185" i="13"/>
  <c r="A9185" i="13"/>
  <c r="J9184" i="13"/>
  <c r="F9184" i="13"/>
  <c r="A9184" i="13"/>
  <c r="J9183" i="13"/>
  <c r="F9183" i="13"/>
  <c r="A9183" i="13"/>
  <c r="F9182" i="13"/>
  <c r="A9182" i="13"/>
  <c r="F9181" i="13"/>
  <c r="A9181" i="13"/>
  <c r="F9180" i="13"/>
  <c r="A9180" i="13"/>
  <c r="F9179" i="13"/>
  <c r="A9179" i="13"/>
  <c r="F9178" i="13"/>
  <c r="A9178" i="13"/>
  <c r="F9177" i="13"/>
  <c r="A9177" i="13"/>
  <c r="F9176" i="13"/>
  <c r="A9176" i="13"/>
  <c r="F9175" i="13"/>
  <c r="A9175" i="13"/>
  <c r="F9174" i="13"/>
  <c r="A9174" i="13"/>
  <c r="F9173" i="13"/>
  <c r="A9173" i="13"/>
  <c r="F9172" i="13"/>
  <c r="A9172" i="13"/>
  <c r="F9171" i="13"/>
  <c r="A9171" i="13"/>
  <c r="F9170" i="13"/>
  <c r="A9170" i="13"/>
  <c r="F9169" i="13"/>
  <c r="A9169" i="13"/>
  <c r="F9168" i="13"/>
  <c r="A9168" i="13"/>
  <c r="F9167" i="13"/>
  <c r="A9167" i="13"/>
  <c r="F9166" i="13"/>
  <c r="A9166" i="13"/>
  <c r="F9165" i="13"/>
  <c r="A9165" i="13"/>
  <c r="F9164" i="13"/>
  <c r="A9164" i="13"/>
  <c r="F9163" i="13"/>
  <c r="A9163" i="13"/>
  <c r="F9162" i="13"/>
  <c r="A9162" i="13"/>
  <c r="F9161" i="13"/>
  <c r="A9161" i="13"/>
  <c r="F9160" i="13"/>
  <c r="A9160" i="13"/>
  <c r="F9159" i="13"/>
  <c r="A9159" i="13"/>
  <c r="F9158" i="13"/>
  <c r="A9158" i="13"/>
  <c r="F9157" i="13"/>
  <c r="A9157" i="13"/>
  <c r="F9156" i="13"/>
  <c r="A9156" i="13"/>
  <c r="F9155" i="13"/>
  <c r="A9155" i="13"/>
  <c r="F9154" i="13"/>
  <c r="A9154" i="13"/>
  <c r="F9153" i="13"/>
  <c r="A9153" i="13"/>
  <c r="F9152" i="13"/>
  <c r="A9152" i="13"/>
  <c r="F9151" i="13"/>
  <c r="A9151" i="13"/>
  <c r="F9150" i="13"/>
  <c r="A9150" i="13"/>
  <c r="F9149" i="13"/>
  <c r="A9149" i="13"/>
  <c r="F9148" i="13"/>
  <c r="A9148" i="13"/>
  <c r="F9147" i="13"/>
  <c r="A9147" i="13"/>
  <c r="F9146" i="13"/>
  <c r="A9146" i="13"/>
  <c r="F9145" i="13"/>
  <c r="A9145" i="13"/>
  <c r="F9144" i="13"/>
  <c r="A9144" i="13"/>
  <c r="F9143" i="13"/>
  <c r="A9143" i="13"/>
  <c r="F9142" i="13"/>
  <c r="A9142" i="13"/>
  <c r="F9141" i="13"/>
  <c r="A9141" i="13"/>
  <c r="F9140" i="13"/>
  <c r="A9140" i="13"/>
  <c r="F9139" i="13"/>
  <c r="A9139" i="13"/>
  <c r="F9138" i="13"/>
  <c r="A9138" i="13"/>
  <c r="F9137" i="13"/>
  <c r="A9137" i="13"/>
  <c r="F9136" i="13"/>
  <c r="A9136" i="13"/>
  <c r="F9135" i="13"/>
  <c r="A9135" i="13"/>
  <c r="F9134" i="13"/>
  <c r="A9134" i="13"/>
  <c r="F9133" i="13"/>
  <c r="A9133" i="13"/>
  <c r="F9132" i="13"/>
  <c r="A9132" i="13"/>
  <c r="F9131" i="13"/>
  <c r="A9131" i="13"/>
  <c r="F9130" i="13"/>
  <c r="A9130" i="13"/>
  <c r="F9129" i="13"/>
  <c r="A9129" i="13"/>
  <c r="F9128" i="13"/>
  <c r="A9128" i="13"/>
  <c r="F9127" i="13"/>
  <c r="A9127" i="13"/>
  <c r="F9126" i="13"/>
  <c r="A9126" i="13"/>
  <c r="J9125" i="13"/>
  <c r="F9125" i="13"/>
  <c r="A9125" i="13"/>
  <c r="F9124" i="13"/>
  <c r="A9124" i="13"/>
  <c r="F9123" i="13"/>
  <c r="A9123" i="13"/>
  <c r="F9122" i="13"/>
  <c r="A9122" i="13"/>
  <c r="F9121" i="13"/>
  <c r="A9121" i="13"/>
  <c r="F9120" i="13"/>
  <c r="A9120" i="13"/>
  <c r="F9119" i="13"/>
  <c r="A9119" i="13"/>
  <c r="J9118" i="13"/>
  <c r="F9118" i="13"/>
  <c r="A9118" i="13"/>
  <c r="J9117" i="13"/>
  <c r="F9117" i="13"/>
  <c r="A9117" i="13"/>
  <c r="J9116" i="13"/>
  <c r="F9116" i="13"/>
  <c r="A9116" i="13"/>
  <c r="J9115" i="13"/>
  <c r="F9115" i="13"/>
  <c r="A9115" i="13"/>
  <c r="F9114" i="13"/>
  <c r="A9114" i="13"/>
  <c r="J9113" i="13"/>
  <c r="F9113" i="13"/>
  <c r="A9113" i="13"/>
  <c r="J9112" i="13"/>
  <c r="F9112" i="13"/>
  <c r="A9112" i="13"/>
  <c r="F9111" i="13"/>
  <c r="A9111" i="13"/>
  <c r="F9110" i="13"/>
  <c r="A9110" i="13"/>
  <c r="J9109" i="13"/>
  <c r="F9109" i="13"/>
  <c r="A9109" i="13"/>
  <c r="J9108" i="13"/>
  <c r="F9108" i="13"/>
  <c r="A9108" i="13"/>
  <c r="J9107" i="13"/>
  <c r="F9107" i="13"/>
  <c r="A9107" i="13"/>
  <c r="J9106" i="13"/>
  <c r="F9106" i="13"/>
  <c r="A9106" i="13"/>
  <c r="J9105" i="13"/>
  <c r="F9105" i="13"/>
  <c r="A9105" i="13"/>
  <c r="F9104" i="13"/>
  <c r="A9104" i="13"/>
  <c r="J9103" i="13"/>
  <c r="F9103" i="13"/>
  <c r="A9103" i="13"/>
  <c r="J9102" i="13"/>
  <c r="F9102" i="13"/>
  <c r="A9102" i="13"/>
  <c r="F9101" i="13"/>
  <c r="A9101" i="13"/>
  <c r="F9100" i="13"/>
  <c r="A9100" i="13"/>
  <c r="J9099" i="13"/>
  <c r="F9099" i="13"/>
  <c r="A9099" i="13"/>
  <c r="F9098" i="13"/>
  <c r="A9098" i="13"/>
  <c r="F9097" i="13"/>
  <c r="A9097" i="13"/>
  <c r="J9096" i="13"/>
  <c r="F9096" i="13"/>
  <c r="A9096" i="13"/>
  <c r="F9095" i="13"/>
  <c r="A9095" i="13"/>
  <c r="J9094" i="13"/>
  <c r="F9094" i="13"/>
  <c r="A9094" i="13"/>
  <c r="J9093" i="13"/>
  <c r="F9093" i="13"/>
  <c r="A9093" i="13"/>
  <c r="F9092" i="13"/>
  <c r="A9092" i="13"/>
  <c r="J9091" i="13"/>
  <c r="F9091" i="13"/>
  <c r="A9091" i="13"/>
  <c r="J9090" i="13"/>
  <c r="F9090" i="13"/>
  <c r="A9090" i="13"/>
  <c r="J9089" i="13"/>
  <c r="F9089" i="13"/>
  <c r="A9089" i="13"/>
  <c r="F9088" i="13"/>
  <c r="A9088" i="13"/>
  <c r="J9087" i="13"/>
  <c r="F9087" i="13"/>
  <c r="A9087" i="13"/>
  <c r="J9086" i="13"/>
  <c r="F9086" i="13"/>
  <c r="A9086" i="13"/>
  <c r="J9085" i="13"/>
  <c r="F9085" i="13"/>
  <c r="A9085" i="13"/>
  <c r="F9084" i="13"/>
  <c r="A9084" i="13"/>
  <c r="F9083" i="13"/>
  <c r="A9083" i="13"/>
  <c r="J9082" i="13"/>
  <c r="F9082" i="13"/>
  <c r="A9082" i="13"/>
  <c r="J9081" i="13"/>
  <c r="F9081" i="13"/>
  <c r="A9081" i="13"/>
  <c r="F9080" i="13"/>
  <c r="A9080" i="13"/>
  <c r="J9079" i="13"/>
  <c r="F9079" i="13"/>
  <c r="A9079" i="13"/>
  <c r="J9078" i="13"/>
  <c r="F9078" i="13"/>
  <c r="A9078" i="13"/>
  <c r="F9077" i="13"/>
  <c r="A9077" i="13"/>
  <c r="F9076" i="13"/>
  <c r="A9076" i="13"/>
  <c r="F9075" i="13"/>
  <c r="A9075" i="13"/>
  <c r="J9074" i="13"/>
  <c r="F9074" i="13"/>
  <c r="A9074" i="13"/>
  <c r="J9073" i="13"/>
  <c r="F9073" i="13"/>
  <c r="A9073" i="13"/>
  <c r="F9072" i="13"/>
  <c r="A9072" i="13"/>
  <c r="J9071" i="13"/>
  <c r="F9071" i="13"/>
  <c r="A9071" i="13"/>
  <c r="J9070" i="13"/>
  <c r="F9070" i="13"/>
  <c r="A9070" i="13"/>
  <c r="F9069" i="13"/>
  <c r="A9069" i="13"/>
  <c r="J9068" i="13"/>
  <c r="F9068" i="13"/>
  <c r="A9068" i="13"/>
  <c r="J9067" i="13"/>
  <c r="F9067" i="13"/>
  <c r="A9067" i="13"/>
  <c r="F9066" i="13"/>
  <c r="A9066" i="13"/>
  <c r="J9065" i="13"/>
  <c r="F9065" i="13"/>
  <c r="A9065" i="13"/>
  <c r="F9064" i="13"/>
  <c r="A9064" i="13"/>
  <c r="F9063" i="13"/>
  <c r="A9063" i="13"/>
  <c r="J9062" i="13"/>
  <c r="F9062" i="13"/>
  <c r="A9062" i="13"/>
  <c r="J9061" i="13"/>
  <c r="F9061" i="13"/>
  <c r="A9061" i="13"/>
  <c r="F9060" i="13"/>
  <c r="A9060" i="13"/>
  <c r="F9059" i="13"/>
  <c r="A9059" i="13"/>
  <c r="J9058" i="13"/>
  <c r="F9058" i="13"/>
  <c r="A9058" i="13"/>
  <c r="J9057" i="13"/>
  <c r="F9057" i="13"/>
  <c r="A9057" i="13"/>
  <c r="F9056" i="13"/>
  <c r="A9056" i="13"/>
  <c r="J9055" i="13"/>
  <c r="F9055" i="13"/>
  <c r="A9055" i="13"/>
  <c r="J9054" i="13"/>
  <c r="F9054" i="13"/>
  <c r="A9054" i="13"/>
  <c r="F9053" i="13"/>
  <c r="A9053" i="13"/>
  <c r="J9052" i="13"/>
  <c r="F9052" i="13"/>
  <c r="A9052" i="13"/>
  <c r="J9051" i="13"/>
  <c r="F9051" i="13"/>
  <c r="A9051" i="13"/>
  <c r="J9050" i="13"/>
  <c r="F9050" i="13"/>
  <c r="A9050" i="13"/>
  <c r="F9049" i="13"/>
  <c r="A9049" i="13"/>
  <c r="J9048" i="13"/>
  <c r="F9048" i="13"/>
  <c r="A9048" i="13"/>
  <c r="F9047" i="13"/>
  <c r="A9047" i="13"/>
  <c r="J9046" i="13"/>
  <c r="F9046" i="13"/>
  <c r="A9046" i="13"/>
  <c r="J9045" i="13"/>
  <c r="F9045" i="13"/>
  <c r="A9045" i="13"/>
  <c r="J9044" i="13"/>
  <c r="F9044" i="13"/>
  <c r="A9044" i="13"/>
  <c r="J9043" i="13"/>
  <c r="F9043" i="13"/>
  <c r="A9043" i="13"/>
  <c r="J9042" i="13"/>
  <c r="F9042" i="13"/>
  <c r="A9042" i="13"/>
  <c r="F9041" i="13"/>
  <c r="A9041" i="13"/>
  <c r="F9040" i="13"/>
  <c r="A9040" i="13"/>
  <c r="J9039" i="13"/>
  <c r="F9039" i="13"/>
  <c r="A9039" i="13"/>
  <c r="J9038" i="13"/>
  <c r="F9038" i="13"/>
  <c r="A9038" i="13"/>
  <c r="J9037" i="13"/>
  <c r="F9037" i="13"/>
  <c r="A9037" i="13"/>
  <c r="F9036" i="13"/>
  <c r="A9036" i="13"/>
  <c r="J9035" i="13"/>
  <c r="F9035" i="13"/>
  <c r="A9035" i="13"/>
  <c r="J9034" i="13"/>
  <c r="F9034" i="13"/>
  <c r="A9034" i="13"/>
  <c r="J9033" i="13"/>
  <c r="F9033" i="13"/>
  <c r="A9033" i="13"/>
  <c r="J9032" i="13"/>
  <c r="F9032" i="13"/>
  <c r="A9032" i="13"/>
  <c r="J9031" i="13"/>
  <c r="F9031" i="13"/>
  <c r="A9031" i="13"/>
  <c r="J9030" i="13"/>
  <c r="F9030" i="13"/>
  <c r="A9030" i="13"/>
  <c r="F9029" i="13"/>
  <c r="A9029" i="13"/>
  <c r="J9028" i="13"/>
  <c r="F9028" i="13"/>
  <c r="J9027" i="13"/>
  <c r="F9027" i="13"/>
  <c r="J9026" i="13"/>
  <c r="F9026" i="13"/>
  <c r="F9025" i="13"/>
  <c r="A9025" i="13"/>
  <c r="F9024" i="13"/>
  <c r="A9024" i="13"/>
  <c r="F9023" i="13"/>
  <c r="A9023" i="13"/>
  <c r="F9022" i="13"/>
  <c r="A9022" i="13"/>
  <c r="F9021" i="13"/>
  <c r="J9020" i="13"/>
  <c r="F9020" i="13"/>
  <c r="A9020" i="13"/>
  <c r="F9019" i="13"/>
  <c r="A9019" i="13"/>
  <c r="F9018" i="13"/>
  <c r="A9018" i="13"/>
  <c r="F9017" i="13"/>
  <c r="A9017" i="13"/>
  <c r="F9016" i="13"/>
  <c r="A9016" i="13"/>
  <c r="J9015" i="13"/>
  <c r="F9015" i="13"/>
  <c r="A9015" i="13"/>
  <c r="F9014" i="13"/>
  <c r="A9014" i="13"/>
  <c r="F9013" i="13"/>
  <c r="A9013" i="13"/>
  <c r="F9012" i="13"/>
  <c r="A9012" i="13"/>
  <c r="J9011" i="13"/>
  <c r="F9011" i="13"/>
  <c r="A9011" i="13"/>
  <c r="J9010" i="13"/>
  <c r="F9010" i="13"/>
  <c r="A9010" i="13"/>
  <c r="J9009" i="13"/>
  <c r="F9009" i="13"/>
  <c r="A9009" i="13"/>
  <c r="J9008" i="13"/>
  <c r="F9008" i="13"/>
  <c r="A9008" i="13"/>
  <c r="J9007" i="13"/>
  <c r="F9007" i="13"/>
  <c r="A9007" i="13"/>
  <c r="F9006" i="13"/>
  <c r="A9006" i="13"/>
  <c r="J9005" i="13"/>
  <c r="F9005" i="13"/>
  <c r="A9005" i="13"/>
  <c r="J9004" i="13"/>
  <c r="F9004" i="13"/>
  <c r="A9004" i="13"/>
  <c r="F9003" i="13"/>
  <c r="A9003" i="13"/>
  <c r="F9002" i="13"/>
  <c r="A9002" i="13"/>
  <c r="F9001" i="13"/>
  <c r="A9001" i="13"/>
  <c r="J9000" i="13"/>
  <c r="F9000" i="13"/>
  <c r="A9000" i="13"/>
  <c r="J8999" i="13"/>
  <c r="F8999" i="13"/>
  <c r="A8999" i="13"/>
  <c r="F8998" i="13"/>
  <c r="A8998" i="13"/>
  <c r="J8997" i="13"/>
  <c r="F8997" i="13"/>
  <c r="A8997" i="13"/>
  <c r="F8996" i="13"/>
  <c r="A8996" i="13"/>
  <c r="J8995" i="13"/>
  <c r="F8995" i="13"/>
  <c r="A8995" i="13"/>
  <c r="F8994" i="13"/>
  <c r="A8994" i="13"/>
  <c r="F8993" i="13"/>
  <c r="A8993" i="13"/>
  <c r="F8992" i="13"/>
  <c r="A8992" i="13"/>
  <c r="F8991" i="13"/>
  <c r="A8991" i="13"/>
  <c r="F8990" i="13"/>
  <c r="A8990" i="13"/>
  <c r="F8989" i="13"/>
  <c r="A8989" i="13"/>
  <c r="F8988" i="13"/>
  <c r="A8988" i="13"/>
  <c r="F8987" i="13"/>
  <c r="A8987" i="13"/>
  <c r="F8986" i="13"/>
  <c r="A8986" i="13"/>
  <c r="F8985" i="13"/>
  <c r="A8985" i="13"/>
  <c r="F8984" i="13"/>
  <c r="A8984" i="13"/>
  <c r="F8983" i="13"/>
  <c r="A8983" i="13"/>
  <c r="F8982" i="13"/>
  <c r="A8982" i="13"/>
  <c r="F8981" i="13"/>
  <c r="A8981" i="13"/>
  <c r="J8980" i="13"/>
  <c r="F8980" i="13"/>
  <c r="A8980" i="13"/>
  <c r="F8979" i="13"/>
  <c r="A8979" i="13"/>
  <c r="J8978" i="13"/>
  <c r="F8978" i="13"/>
  <c r="A8978" i="13"/>
  <c r="J8977" i="13"/>
  <c r="F8977" i="13"/>
  <c r="A8977" i="13"/>
  <c r="J8976" i="13"/>
  <c r="F8976" i="13"/>
  <c r="A8976" i="13"/>
  <c r="J8975" i="13"/>
  <c r="F8975" i="13"/>
  <c r="A8975" i="13"/>
  <c r="F8974" i="13"/>
  <c r="A8974" i="13"/>
  <c r="J8973" i="13"/>
  <c r="F8973" i="13"/>
  <c r="A8973" i="13"/>
  <c r="F8972" i="13"/>
  <c r="A8972" i="13"/>
  <c r="J8971" i="13"/>
  <c r="F8971" i="13"/>
  <c r="A8971" i="13"/>
  <c r="F8970" i="13"/>
  <c r="A8970" i="13"/>
  <c r="J8969" i="13"/>
  <c r="F8969" i="13"/>
  <c r="A8969" i="13"/>
  <c r="J8968" i="13"/>
  <c r="F8968" i="13"/>
  <c r="A8968" i="13"/>
  <c r="J8967" i="13"/>
  <c r="F8967" i="13"/>
  <c r="A8967" i="13"/>
  <c r="J8966" i="13"/>
  <c r="F8966" i="13"/>
  <c r="A8966" i="13"/>
  <c r="J8965" i="13"/>
  <c r="F8965" i="13"/>
  <c r="A8965" i="13"/>
  <c r="J8964" i="13"/>
  <c r="F8964" i="13"/>
  <c r="A8964" i="13"/>
  <c r="J8963" i="13"/>
  <c r="F8963" i="13"/>
  <c r="A8963" i="13"/>
  <c r="F8962" i="13"/>
  <c r="A8962" i="13"/>
  <c r="J8961" i="13"/>
  <c r="F8961" i="13"/>
  <c r="A8961" i="13"/>
  <c r="J8960" i="13"/>
  <c r="F8960" i="13"/>
  <c r="A8960" i="13"/>
  <c r="F8959" i="13"/>
  <c r="A8959" i="13"/>
  <c r="J8958" i="13"/>
  <c r="F8958" i="13"/>
  <c r="A8958" i="13"/>
  <c r="J8957" i="13"/>
  <c r="F8957" i="13"/>
  <c r="A8957" i="13"/>
  <c r="J8956" i="13"/>
  <c r="F8956" i="13"/>
  <c r="A8956" i="13"/>
  <c r="J8955" i="13"/>
  <c r="F8955" i="13"/>
  <c r="A8955" i="13"/>
  <c r="J8954" i="13"/>
  <c r="F8954" i="13"/>
  <c r="A8954" i="13"/>
  <c r="J8953" i="13"/>
  <c r="F8953" i="13"/>
  <c r="A8953" i="13"/>
  <c r="J8952" i="13"/>
  <c r="F8952" i="13"/>
  <c r="A8952" i="13"/>
  <c r="F8951" i="13"/>
  <c r="A8951" i="13"/>
  <c r="J8950" i="13"/>
  <c r="F8950" i="13"/>
  <c r="A8950" i="13"/>
  <c r="J8949" i="13"/>
  <c r="F8949" i="13"/>
  <c r="A8949" i="13"/>
  <c r="F8948" i="13"/>
  <c r="A8948" i="13"/>
  <c r="J8947" i="13"/>
  <c r="F8947" i="13"/>
  <c r="A8947" i="13"/>
  <c r="J8946" i="13"/>
  <c r="F8946" i="13"/>
  <c r="A8946" i="13"/>
  <c r="J8945" i="13"/>
  <c r="F8945" i="13"/>
  <c r="J8944" i="13"/>
  <c r="F8944" i="13"/>
  <c r="F8943" i="13"/>
  <c r="A8943" i="13"/>
  <c r="F8942" i="13"/>
  <c r="A8942" i="13"/>
  <c r="F8941" i="13"/>
  <c r="A8941" i="13"/>
  <c r="F8940" i="13"/>
  <c r="A8940" i="13"/>
  <c r="F8939" i="13"/>
  <c r="A8939" i="13"/>
  <c r="F8938" i="13"/>
  <c r="A8938" i="13"/>
  <c r="F8937" i="13"/>
  <c r="A8937" i="13"/>
  <c r="F8936" i="13"/>
  <c r="A8936" i="13"/>
  <c r="F8935" i="13"/>
  <c r="A8935" i="13"/>
  <c r="F8934" i="13"/>
  <c r="A8934" i="13"/>
  <c r="F8933" i="13"/>
  <c r="A8933" i="13"/>
  <c r="F8932" i="13"/>
  <c r="A8932" i="13"/>
  <c r="F8931" i="13"/>
  <c r="A8931" i="13"/>
  <c r="F8930" i="13"/>
  <c r="A8930" i="13"/>
  <c r="F8929" i="13"/>
  <c r="A8929" i="13"/>
  <c r="F8928" i="13"/>
  <c r="A8928" i="13"/>
  <c r="F8927" i="13"/>
  <c r="A8927" i="13"/>
  <c r="F8926" i="13"/>
  <c r="A8926" i="13"/>
  <c r="F8925" i="13"/>
  <c r="A8925" i="13"/>
  <c r="F8924" i="13"/>
  <c r="A8924" i="13"/>
  <c r="F8923" i="13"/>
  <c r="A8923" i="13"/>
  <c r="F8922" i="13"/>
  <c r="J8921" i="13"/>
  <c r="F8921" i="13"/>
  <c r="A8921" i="13"/>
  <c r="J8920" i="13"/>
  <c r="F8920" i="13"/>
  <c r="A8920" i="13"/>
  <c r="F8919" i="13"/>
  <c r="A8919" i="13"/>
  <c r="J8918" i="13"/>
  <c r="F8918" i="13"/>
  <c r="A8918" i="13"/>
  <c r="F8917" i="13"/>
  <c r="A8917" i="13"/>
  <c r="J8916" i="13"/>
  <c r="F8916" i="13"/>
  <c r="A8916" i="13"/>
  <c r="J8915" i="13"/>
  <c r="F8915" i="13"/>
  <c r="A8915" i="13"/>
  <c r="J8914" i="13"/>
  <c r="F8914" i="13"/>
  <c r="A8914" i="13"/>
  <c r="J8913" i="13"/>
  <c r="F8913" i="13"/>
  <c r="A8913" i="13"/>
  <c r="J8912" i="13"/>
  <c r="F8912" i="13"/>
  <c r="A8912" i="13"/>
  <c r="J8911" i="13"/>
  <c r="F8911" i="13"/>
  <c r="F8910" i="13"/>
  <c r="A8910" i="13"/>
  <c r="F8909" i="13"/>
  <c r="A8909" i="13"/>
  <c r="J8908" i="13"/>
  <c r="F8908" i="13"/>
  <c r="A8908" i="13"/>
  <c r="F8907" i="13"/>
  <c r="A8907" i="13"/>
  <c r="J8906" i="13"/>
  <c r="F8906" i="13"/>
  <c r="A8906" i="13"/>
  <c r="F8905" i="13"/>
  <c r="A8905" i="13"/>
  <c r="J8904" i="13"/>
  <c r="F8904" i="13"/>
  <c r="A8904" i="13"/>
  <c r="F8903" i="13"/>
  <c r="A8903" i="13"/>
  <c r="J8902" i="13"/>
  <c r="F8902" i="13"/>
  <c r="A8902" i="13"/>
  <c r="J8901" i="13"/>
  <c r="F8901" i="13"/>
  <c r="A8901" i="13"/>
  <c r="J8900" i="13"/>
  <c r="F8900" i="13"/>
  <c r="A8900" i="13"/>
  <c r="J8899" i="13"/>
  <c r="F8899" i="13"/>
  <c r="A8899" i="13"/>
  <c r="F8898" i="13"/>
  <c r="A8898" i="13"/>
  <c r="F8897" i="13"/>
  <c r="A8897" i="13"/>
  <c r="F8896" i="13"/>
  <c r="A8896" i="13"/>
  <c r="F8895" i="13"/>
  <c r="A8895" i="13"/>
  <c r="J8894" i="13"/>
  <c r="F8894" i="13"/>
  <c r="A8894" i="13"/>
  <c r="J8893" i="13"/>
  <c r="F8893" i="13"/>
  <c r="A8893" i="13"/>
  <c r="F8892" i="13"/>
  <c r="A8892" i="13"/>
  <c r="J8891" i="13"/>
  <c r="F8891" i="13"/>
  <c r="A8891" i="13"/>
  <c r="J8890" i="13"/>
  <c r="F8890" i="13"/>
  <c r="A8890" i="13"/>
  <c r="J8889" i="13"/>
  <c r="F8889" i="13"/>
  <c r="A8889" i="13"/>
  <c r="J8888" i="13"/>
  <c r="F8888" i="13"/>
  <c r="A8888" i="13"/>
  <c r="J8887" i="13"/>
  <c r="F8887" i="13"/>
  <c r="A8887" i="13"/>
  <c r="J8886" i="13"/>
  <c r="F8886" i="13"/>
  <c r="A8886" i="13"/>
  <c r="J8885" i="13"/>
  <c r="F8885" i="13"/>
  <c r="A8885" i="13"/>
  <c r="F8884" i="13"/>
  <c r="A8884" i="13"/>
  <c r="J8883" i="13"/>
  <c r="F8883" i="13"/>
  <c r="A8883" i="13"/>
  <c r="J8882" i="13"/>
  <c r="F8882" i="13"/>
  <c r="A8882" i="13"/>
  <c r="J8881" i="13"/>
  <c r="F8881" i="13"/>
  <c r="A8881" i="13"/>
  <c r="J8880" i="13"/>
  <c r="F8880" i="13"/>
  <c r="A8880" i="13"/>
  <c r="J8879" i="13"/>
  <c r="F8879" i="13"/>
  <c r="A8879" i="13"/>
  <c r="J8878" i="13"/>
  <c r="F8878" i="13"/>
  <c r="A8878" i="13"/>
  <c r="J8877" i="13"/>
  <c r="F8877" i="13"/>
  <c r="A8877" i="13"/>
  <c r="F8876" i="13"/>
  <c r="A8876" i="13"/>
  <c r="J8875" i="13"/>
  <c r="F8875" i="13"/>
  <c r="A8875" i="13"/>
  <c r="J8874" i="13"/>
  <c r="F8874" i="13"/>
  <c r="A8874" i="13"/>
  <c r="J8873" i="13"/>
  <c r="F8873" i="13"/>
  <c r="A8873" i="13"/>
  <c r="F8872" i="13"/>
  <c r="A8872" i="13"/>
  <c r="J8871" i="13"/>
  <c r="F8871" i="13"/>
  <c r="A8871" i="13"/>
  <c r="J8870" i="13"/>
  <c r="F8870" i="13"/>
  <c r="A8870" i="13"/>
  <c r="F8869" i="13"/>
  <c r="A8869" i="13"/>
  <c r="J8868" i="13"/>
  <c r="F8868" i="13"/>
  <c r="A8868" i="13"/>
  <c r="J8867" i="13"/>
  <c r="F8867" i="13"/>
  <c r="A8867" i="13"/>
  <c r="F8866" i="13"/>
  <c r="A8866" i="13"/>
  <c r="J8865" i="13"/>
  <c r="F8865" i="13"/>
  <c r="A8865" i="13"/>
  <c r="J8864" i="13"/>
  <c r="F8864" i="13"/>
  <c r="A8864" i="13"/>
  <c r="J8863" i="13"/>
  <c r="F8863" i="13"/>
  <c r="A8863" i="13"/>
  <c r="J8862" i="13"/>
  <c r="F8862" i="13"/>
  <c r="A8862" i="13"/>
  <c r="J8861" i="13"/>
  <c r="F8861" i="13"/>
  <c r="A8861" i="13"/>
  <c r="J8860" i="13"/>
  <c r="F8860" i="13"/>
  <c r="A8860" i="13"/>
  <c r="J8859" i="13"/>
  <c r="F8859" i="13"/>
  <c r="A8859" i="13"/>
  <c r="J8858" i="13"/>
  <c r="F8858" i="13"/>
  <c r="A8858" i="13"/>
  <c r="J8857" i="13"/>
  <c r="F8857" i="13"/>
  <c r="A8857" i="13"/>
  <c r="J8856" i="13"/>
  <c r="F8856" i="13"/>
  <c r="A8856" i="13"/>
  <c r="J8855" i="13"/>
  <c r="F8855" i="13"/>
  <c r="A8855" i="13"/>
  <c r="J8854" i="13"/>
  <c r="F8854" i="13"/>
  <c r="A8854" i="13"/>
  <c r="J8853" i="13"/>
  <c r="F8853" i="13"/>
  <c r="A8853" i="13"/>
  <c r="J8852" i="13"/>
  <c r="F8852" i="13"/>
  <c r="A8852" i="13"/>
  <c r="J8851" i="13"/>
  <c r="F8851" i="13"/>
  <c r="A8851" i="13"/>
  <c r="J8850" i="13"/>
  <c r="F8850" i="13"/>
  <c r="J8849" i="13"/>
  <c r="F8849" i="13"/>
  <c r="A8849" i="13"/>
  <c r="J8848" i="13"/>
  <c r="F8848" i="13"/>
  <c r="A8848" i="13"/>
  <c r="J8847" i="13"/>
  <c r="F8847" i="13"/>
  <c r="A8847" i="13"/>
  <c r="F8846" i="13"/>
  <c r="A8846" i="13"/>
  <c r="J8845" i="13"/>
  <c r="F8845" i="13"/>
  <c r="A8845" i="13"/>
  <c r="J8844" i="13"/>
  <c r="F8844" i="13"/>
  <c r="A8844" i="13"/>
  <c r="J8843" i="13"/>
  <c r="F8843" i="13"/>
  <c r="A8843" i="13"/>
  <c r="F8842" i="13"/>
  <c r="A8842" i="13"/>
  <c r="F8841" i="13"/>
  <c r="A8841" i="13"/>
  <c r="J8840" i="13"/>
  <c r="F8840" i="13"/>
  <c r="A8840" i="13"/>
  <c r="F8839" i="13"/>
  <c r="A8839" i="13"/>
  <c r="J8838" i="13"/>
  <c r="F8838" i="13"/>
  <c r="J8837" i="13"/>
  <c r="F8837" i="13"/>
  <c r="A8837" i="13"/>
  <c r="J8836" i="13"/>
  <c r="F8836" i="13"/>
  <c r="A8836" i="13"/>
  <c r="J8835" i="13"/>
  <c r="F8835" i="13"/>
  <c r="A8835" i="13"/>
  <c r="J8834" i="13"/>
  <c r="F8834" i="13"/>
  <c r="A8834" i="13"/>
  <c r="J8833" i="13"/>
  <c r="F8833" i="13"/>
  <c r="A8833" i="13"/>
  <c r="J8832" i="13"/>
  <c r="F8832" i="13"/>
  <c r="J8831" i="13"/>
  <c r="F8831" i="13"/>
  <c r="A8831" i="13"/>
  <c r="J8830" i="13"/>
  <c r="F8830" i="13"/>
  <c r="A8830" i="13"/>
  <c r="J8829" i="13"/>
  <c r="F8829" i="13"/>
  <c r="A8829" i="13"/>
  <c r="J8828" i="13"/>
  <c r="F8828" i="13"/>
  <c r="A8828" i="13"/>
  <c r="J8827" i="13"/>
  <c r="F8827" i="13"/>
  <c r="A8827" i="13"/>
  <c r="F8826" i="13"/>
  <c r="A8826" i="13"/>
  <c r="J8825" i="13"/>
  <c r="F8825" i="13"/>
  <c r="A8825" i="13"/>
  <c r="J8824" i="13"/>
  <c r="F8824" i="13"/>
  <c r="J8823" i="13"/>
  <c r="F8823" i="13"/>
  <c r="F8822" i="13"/>
  <c r="A8822" i="13"/>
  <c r="F8821" i="13"/>
  <c r="A8821" i="13"/>
  <c r="F8820" i="13"/>
  <c r="A8820" i="13"/>
  <c r="F8819" i="13"/>
  <c r="A8819" i="13"/>
  <c r="F8818" i="13"/>
  <c r="A8818" i="13"/>
  <c r="F8817" i="13"/>
  <c r="A8817" i="13"/>
  <c r="F8816" i="13"/>
  <c r="A8816" i="13"/>
  <c r="F8815" i="13"/>
  <c r="A8815" i="13"/>
  <c r="F8814" i="13"/>
  <c r="J8813" i="13"/>
  <c r="F8813" i="13"/>
  <c r="A8813" i="13"/>
  <c r="J8812" i="13"/>
  <c r="F8812" i="13"/>
  <c r="A8812" i="13"/>
  <c r="J8811" i="13"/>
  <c r="F8811" i="13"/>
  <c r="A8811" i="13"/>
  <c r="J8810" i="13"/>
  <c r="F8810" i="13"/>
  <c r="A8810" i="13"/>
  <c r="J8809" i="13"/>
  <c r="F8809" i="13"/>
  <c r="A8809" i="13"/>
  <c r="J8808" i="13"/>
  <c r="F8808" i="13"/>
  <c r="F8807" i="13"/>
  <c r="A8807" i="13"/>
  <c r="J8806" i="13"/>
  <c r="F8806" i="13"/>
  <c r="A8806" i="13"/>
  <c r="J8805" i="13"/>
  <c r="F8805" i="13"/>
  <c r="A8805" i="13"/>
  <c r="F8804" i="13"/>
  <c r="A8804" i="13"/>
  <c r="J8803" i="13"/>
  <c r="F8803" i="13"/>
  <c r="A8803" i="13"/>
  <c r="J8802" i="13"/>
  <c r="F8802" i="13"/>
  <c r="A8802" i="13"/>
  <c r="F8801" i="13"/>
  <c r="A8801" i="13"/>
  <c r="F8800" i="13"/>
  <c r="A8800" i="13"/>
  <c r="F8799" i="13"/>
  <c r="A8799" i="13"/>
  <c r="F8798" i="13"/>
  <c r="A8798" i="13"/>
  <c r="F8797" i="13"/>
  <c r="A8797" i="13"/>
  <c r="F8796" i="13"/>
  <c r="A8796" i="13"/>
  <c r="F8795" i="13"/>
  <c r="A8795" i="13"/>
  <c r="F8794" i="13"/>
  <c r="A8794" i="13"/>
  <c r="F8793" i="13"/>
  <c r="A8793" i="13"/>
  <c r="F8792" i="13"/>
  <c r="A8792" i="13"/>
  <c r="F8791" i="13"/>
  <c r="A8791" i="13"/>
  <c r="F8790" i="13"/>
  <c r="A8790" i="13"/>
  <c r="F8789" i="13"/>
  <c r="A8789" i="13"/>
  <c r="F8788" i="13"/>
  <c r="A8788" i="13"/>
  <c r="F8787" i="13"/>
  <c r="A8787" i="13"/>
  <c r="F8786" i="13"/>
  <c r="A8786" i="13"/>
  <c r="F8785" i="13"/>
  <c r="A8785" i="13"/>
  <c r="F8784" i="13"/>
  <c r="A8784" i="13"/>
  <c r="F8783" i="13"/>
  <c r="A8783" i="13"/>
  <c r="F8782" i="13"/>
  <c r="A8782" i="13"/>
  <c r="F8781" i="13"/>
  <c r="A8781" i="13"/>
  <c r="F8780" i="13"/>
  <c r="A8780" i="13"/>
  <c r="F8779" i="13"/>
  <c r="A8779" i="13"/>
  <c r="F8778" i="13"/>
  <c r="A8778" i="13"/>
  <c r="F8777" i="13"/>
  <c r="A8777" i="13"/>
  <c r="F8776" i="13"/>
  <c r="A8776" i="13"/>
  <c r="F8775" i="13"/>
  <c r="A8775" i="13"/>
  <c r="F8774" i="13"/>
  <c r="A8774" i="13"/>
  <c r="F8773" i="13"/>
  <c r="A8773" i="13"/>
  <c r="F8772" i="13"/>
  <c r="A8772" i="13"/>
  <c r="J8771" i="13"/>
  <c r="F8771" i="13"/>
  <c r="A8771" i="13"/>
  <c r="F8770" i="13"/>
  <c r="A8770" i="13"/>
  <c r="F8769" i="13"/>
  <c r="A8769" i="13"/>
  <c r="J8768" i="13"/>
  <c r="F8768" i="13"/>
  <c r="A8768" i="13"/>
  <c r="J8767" i="13"/>
  <c r="F8767" i="13"/>
  <c r="A8767" i="13"/>
  <c r="J8766" i="13"/>
  <c r="F8766" i="13"/>
  <c r="A8766" i="13"/>
  <c r="F8765" i="13"/>
  <c r="A8765" i="13"/>
  <c r="J8764" i="13"/>
  <c r="F8764" i="13"/>
  <c r="A8764" i="13"/>
  <c r="J8763" i="13"/>
  <c r="F8763" i="13"/>
  <c r="A8763" i="13"/>
  <c r="F8762" i="13"/>
  <c r="A8762" i="13"/>
  <c r="J8761" i="13"/>
  <c r="F8761" i="13"/>
  <c r="A8761" i="13"/>
  <c r="J8760" i="13"/>
  <c r="F8760" i="13"/>
  <c r="A8760" i="13"/>
  <c r="J8759" i="13"/>
  <c r="F8759" i="13"/>
  <c r="A8759" i="13"/>
  <c r="J8758" i="13"/>
  <c r="F8758" i="13"/>
  <c r="A8758" i="13"/>
  <c r="F8757" i="13"/>
  <c r="A8757" i="13"/>
  <c r="J8756" i="13"/>
  <c r="F8756" i="13"/>
  <c r="A8756" i="13"/>
  <c r="J8755" i="13"/>
  <c r="F8755" i="13"/>
  <c r="A8755" i="13"/>
  <c r="F8754" i="13"/>
  <c r="A8754" i="13"/>
  <c r="J8753" i="13"/>
  <c r="F8753" i="13"/>
  <c r="A8753" i="13"/>
  <c r="F8752" i="13"/>
  <c r="A8752" i="13"/>
  <c r="J8751" i="13"/>
  <c r="F8751" i="13"/>
  <c r="A8751" i="13"/>
  <c r="J8750" i="13"/>
  <c r="F8750" i="13"/>
  <c r="A8750" i="13"/>
  <c r="J8749" i="13"/>
  <c r="F8749" i="13"/>
  <c r="A8749" i="13"/>
  <c r="F8748" i="13"/>
  <c r="A8748" i="13"/>
  <c r="J8747" i="13"/>
  <c r="F8747" i="13"/>
  <c r="A8747" i="13"/>
  <c r="J8746" i="13"/>
  <c r="F8746" i="13"/>
  <c r="A8746" i="13"/>
  <c r="J8745" i="13"/>
  <c r="F8745" i="13"/>
  <c r="A8745" i="13"/>
  <c r="J8744" i="13"/>
  <c r="F8744" i="13"/>
  <c r="J8743" i="13"/>
  <c r="F8743" i="13"/>
  <c r="J8742" i="13"/>
  <c r="F8742" i="13"/>
  <c r="J8741" i="13"/>
  <c r="F8741" i="13"/>
  <c r="J8740" i="13"/>
  <c r="F8740" i="13"/>
  <c r="F8739" i="13"/>
  <c r="A8739" i="13"/>
  <c r="F8738" i="13"/>
  <c r="A8738" i="13"/>
  <c r="F8737" i="13"/>
  <c r="J8736" i="13"/>
  <c r="F8736" i="13"/>
  <c r="A8736" i="13"/>
  <c r="J8735" i="13"/>
  <c r="F8735" i="13"/>
  <c r="A8735" i="13"/>
  <c r="J8734" i="13"/>
  <c r="F8734" i="13"/>
  <c r="A8734" i="13"/>
  <c r="F8733" i="13"/>
  <c r="A8733" i="13"/>
  <c r="J8732" i="13"/>
  <c r="F8732" i="13"/>
  <c r="A8732" i="13"/>
  <c r="J8731" i="13"/>
  <c r="F8731" i="13"/>
  <c r="A8731" i="13"/>
  <c r="J8730" i="13"/>
  <c r="F8730" i="13"/>
  <c r="A8730" i="13"/>
  <c r="J8729" i="13"/>
  <c r="F8729" i="13"/>
  <c r="A8729" i="13"/>
  <c r="J8728" i="13"/>
  <c r="F8728" i="13"/>
  <c r="A8728" i="13"/>
  <c r="F8727" i="13"/>
  <c r="A8727" i="13"/>
  <c r="J8726" i="13"/>
  <c r="F8726" i="13"/>
  <c r="A8726" i="13"/>
  <c r="J8725" i="13"/>
  <c r="F8725" i="13"/>
  <c r="A8725" i="13"/>
  <c r="F8724" i="13"/>
  <c r="A8724" i="13"/>
  <c r="F8723" i="13"/>
  <c r="A8723" i="13"/>
  <c r="F8722" i="13"/>
  <c r="A8722" i="13"/>
  <c r="J8721" i="13"/>
  <c r="F8721" i="13"/>
  <c r="A8721" i="13"/>
  <c r="J8720" i="13"/>
  <c r="F8720" i="13"/>
  <c r="A8720" i="13"/>
  <c r="J8719" i="13"/>
  <c r="F8719" i="13"/>
  <c r="A8719" i="13"/>
  <c r="J8718" i="13"/>
  <c r="F8718" i="13"/>
  <c r="A8718" i="13"/>
  <c r="F8717" i="13"/>
  <c r="A8717" i="13"/>
  <c r="J8716" i="13"/>
  <c r="F8716" i="13"/>
  <c r="A8716" i="13"/>
  <c r="J8715" i="13"/>
  <c r="F8715" i="13"/>
  <c r="A8715" i="13"/>
  <c r="J8714" i="13"/>
  <c r="F8714" i="13"/>
  <c r="A8714" i="13"/>
  <c r="J8713" i="13"/>
  <c r="F8713" i="13"/>
  <c r="A8713" i="13"/>
  <c r="J8712" i="13"/>
  <c r="F8712" i="13"/>
  <c r="A8712" i="13"/>
  <c r="F8711" i="13"/>
  <c r="A8711" i="13"/>
  <c r="J8710" i="13"/>
  <c r="F8710" i="13"/>
  <c r="A8710" i="13"/>
  <c r="J8709" i="13"/>
  <c r="F8709" i="13"/>
  <c r="A8709" i="13"/>
  <c r="J8708" i="13"/>
  <c r="F8708" i="13"/>
  <c r="A8708" i="13"/>
  <c r="J8707" i="13"/>
  <c r="F8707" i="13"/>
  <c r="A8707" i="13"/>
  <c r="J8706" i="13"/>
  <c r="F8706" i="13"/>
  <c r="A8706" i="13"/>
  <c r="J8705" i="13"/>
  <c r="F8705" i="13"/>
  <c r="A8705" i="13"/>
  <c r="F8704" i="13"/>
  <c r="A8704" i="13"/>
  <c r="F8703" i="13"/>
  <c r="A8703" i="13"/>
  <c r="F8702" i="13"/>
  <c r="A8702" i="13"/>
  <c r="J8701" i="13"/>
  <c r="F8701" i="13"/>
  <c r="A8701" i="13"/>
  <c r="J8700" i="13"/>
  <c r="F8700" i="13"/>
  <c r="A8700" i="13"/>
  <c r="F8699" i="13"/>
  <c r="A8699" i="13"/>
  <c r="F8698" i="13"/>
  <c r="A8698" i="13"/>
  <c r="J8697" i="13"/>
  <c r="F8697" i="13"/>
  <c r="A8697" i="13"/>
  <c r="F8696" i="13"/>
  <c r="A8696" i="13"/>
  <c r="J8695" i="13"/>
  <c r="F8695" i="13"/>
  <c r="A8695" i="13"/>
  <c r="F8694" i="13"/>
  <c r="A8694" i="13"/>
  <c r="J8693" i="13"/>
  <c r="F8693" i="13"/>
  <c r="A8693" i="13"/>
  <c r="J8692" i="13"/>
  <c r="F8692" i="13"/>
  <c r="A8692" i="13"/>
  <c r="F8691" i="13"/>
  <c r="A8691" i="13"/>
  <c r="J8690" i="13"/>
  <c r="F8690" i="13"/>
  <c r="A8690" i="13"/>
  <c r="F8689" i="13"/>
  <c r="A8689" i="13"/>
  <c r="J8688" i="13"/>
  <c r="F8688" i="13"/>
  <c r="A8688" i="13"/>
  <c r="J8687" i="13"/>
  <c r="F8687" i="13"/>
  <c r="A8687" i="13"/>
  <c r="J8686" i="13"/>
  <c r="F8686" i="13"/>
  <c r="J8685" i="13"/>
  <c r="F8685" i="13"/>
  <c r="A8685" i="13"/>
  <c r="F8684" i="13"/>
  <c r="A8684" i="13"/>
  <c r="F8683" i="13"/>
  <c r="A8683" i="13"/>
  <c r="F8682" i="13"/>
  <c r="A8682" i="13"/>
  <c r="F8681" i="13"/>
  <c r="A8681" i="13"/>
  <c r="F8680" i="13"/>
  <c r="A8680" i="13"/>
  <c r="F8679" i="13"/>
  <c r="A8679" i="13"/>
  <c r="F8678" i="13"/>
  <c r="A8678" i="13"/>
  <c r="F8677" i="13"/>
  <c r="A8677" i="13"/>
  <c r="J8676" i="13"/>
  <c r="F8676" i="13"/>
  <c r="A8676" i="13"/>
  <c r="J8675" i="13"/>
  <c r="F8675" i="13"/>
  <c r="A8675" i="13"/>
  <c r="J8674" i="13"/>
  <c r="F8674" i="13"/>
  <c r="A8674" i="13"/>
  <c r="J8673" i="13"/>
  <c r="F8673" i="13"/>
  <c r="A8673" i="13"/>
  <c r="J8672" i="13"/>
  <c r="F8672" i="13"/>
  <c r="A8672" i="13"/>
  <c r="F8671" i="13"/>
  <c r="A8671" i="13"/>
  <c r="F8670" i="13"/>
  <c r="A8670" i="13"/>
  <c r="F8669" i="13"/>
  <c r="A8669" i="13"/>
  <c r="F8668" i="13"/>
  <c r="A8668" i="13"/>
  <c r="F8667" i="13"/>
  <c r="A8667" i="13"/>
  <c r="F8666" i="13"/>
  <c r="A8666" i="13"/>
  <c r="J8665" i="13"/>
  <c r="F8665" i="13"/>
  <c r="A8665" i="13"/>
  <c r="F8664" i="13"/>
  <c r="A8664" i="13"/>
  <c r="J8663" i="13"/>
  <c r="F8663" i="13"/>
  <c r="A8663" i="13"/>
  <c r="J8662" i="13"/>
  <c r="F8662" i="13"/>
  <c r="A8662" i="13"/>
  <c r="F8661" i="13"/>
  <c r="A8661" i="13"/>
  <c r="J8660" i="13"/>
  <c r="F8660" i="13"/>
  <c r="A8660" i="13"/>
  <c r="J8659" i="13"/>
  <c r="F8659" i="13"/>
  <c r="A8659" i="13"/>
  <c r="J8658" i="13"/>
  <c r="F8658" i="13"/>
  <c r="A8658" i="13"/>
  <c r="J8657" i="13"/>
  <c r="F8657" i="13"/>
  <c r="A8657" i="13"/>
  <c r="F8656" i="13"/>
  <c r="A8656" i="13"/>
  <c r="F8655" i="13"/>
  <c r="A8655" i="13"/>
  <c r="J8654" i="13"/>
  <c r="F8654" i="13"/>
  <c r="A8654" i="13"/>
  <c r="F8653" i="13"/>
  <c r="A8653" i="13"/>
  <c r="F8652" i="13"/>
  <c r="A8652" i="13"/>
  <c r="J8651" i="13"/>
  <c r="F8651" i="13"/>
  <c r="A8651" i="13"/>
  <c r="F8650" i="13"/>
  <c r="A8650" i="13"/>
  <c r="J8649" i="13"/>
  <c r="F8649" i="13"/>
  <c r="A8649" i="13"/>
  <c r="J8648" i="13"/>
  <c r="F8648" i="13"/>
  <c r="A8648" i="13"/>
  <c r="J8647" i="13"/>
  <c r="F8647" i="13"/>
  <c r="A8647" i="13"/>
  <c r="J8646" i="13"/>
  <c r="F8646" i="13"/>
  <c r="A8646" i="13"/>
  <c r="J8645" i="13"/>
  <c r="F8645" i="13"/>
  <c r="A8645" i="13"/>
  <c r="J8644" i="13"/>
  <c r="F8644" i="13"/>
  <c r="A8644" i="13"/>
  <c r="J8643" i="13"/>
  <c r="F8643" i="13"/>
  <c r="A8643" i="13"/>
  <c r="F8642" i="13"/>
  <c r="A8642" i="13"/>
  <c r="J8641" i="13"/>
  <c r="F8641" i="13"/>
  <c r="A8641" i="13"/>
  <c r="J8640" i="13"/>
  <c r="F8640" i="13"/>
  <c r="A8640" i="13"/>
  <c r="J8639" i="13"/>
  <c r="F8639" i="13"/>
  <c r="A8639" i="13"/>
  <c r="F8638" i="13"/>
  <c r="A8638" i="13"/>
  <c r="J8637" i="13"/>
  <c r="F8637" i="13"/>
  <c r="A8637" i="13"/>
  <c r="J8636" i="13"/>
  <c r="F8636" i="13"/>
  <c r="A8636" i="13"/>
  <c r="J8635" i="13"/>
  <c r="F8635" i="13"/>
  <c r="A8635" i="13"/>
  <c r="J8634" i="13"/>
  <c r="F8634" i="13"/>
  <c r="A8634" i="13"/>
  <c r="J8633" i="13"/>
  <c r="F8633" i="13"/>
  <c r="A8633" i="13"/>
  <c r="J8632" i="13"/>
  <c r="F8632" i="13"/>
  <c r="A8632" i="13"/>
  <c r="F8631" i="13"/>
  <c r="A8631" i="13"/>
  <c r="F8630" i="13"/>
  <c r="A8630" i="13"/>
  <c r="F8629" i="13"/>
  <c r="A8629" i="13"/>
  <c r="F8628" i="13"/>
  <c r="A8628" i="13"/>
  <c r="F8627" i="13"/>
  <c r="A8627" i="13"/>
  <c r="F8626" i="13"/>
  <c r="A8626" i="13"/>
  <c r="F8625" i="13"/>
  <c r="A8625" i="13"/>
  <c r="F8624" i="13"/>
  <c r="A8624" i="13"/>
  <c r="F8623" i="13"/>
  <c r="A8623" i="13"/>
  <c r="F8622" i="13"/>
  <c r="A8622" i="13"/>
  <c r="F8621" i="13"/>
  <c r="A8621" i="13"/>
  <c r="F8620" i="13"/>
  <c r="A8620" i="13"/>
  <c r="F8619" i="13"/>
  <c r="A8619" i="13"/>
  <c r="F8618" i="13"/>
  <c r="A8618" i="13"/>
  <c r="F8617" i="13"/>
  <c r="A8617" i="13"/>
  <c r="F8616" i="13"/>
  <c r="A8616" i="13"/>
  <c r="F8615" i="13"/>
  <c r="A8615" i="13"/>
  <c r="F8614" i="13"/>
  <c r="A8614" i="13"/>
  <c r="F8613" i="13"/>
  <c r="A8613" i="13"/>
  <c r="F8612" i="13"/>
  <c r="A8612" i="13"/>
  <c r="F8611" i="13"/>
  <c r="A8611" i="13"/>
  <c r="F8610" i="13"/>
  <c r="A8610" i="13"/>
  <c r="F8609" i="13"/>
  <c r="A8609" i="13"/>
  <c r="F8608" i="13"/>
  <c r="A8608" i="13"/>
  <c r="F8607" i="13"/>
  <c r="A8607" i="13"/>
  <c r="F8606" i="13"/>
  <c r="A8606" i="13"/>
  <c r="F8605" i="13"/>
  <c r="A8605" i="13"/>
  <c r="F8604" i="13"/>
  <c r="A8604" i="13"/>
  <c r="F8603" i="13"/>
  <c r="A8603" i="13"/>
  <c r="F8602" i="13"/>
  <c r="A8602" i="13"/>
  <c r="J8601" i="13"/>
  <c r="F8601" i="13"/>
  <c r="A8601" i="13"/>
  <c r="J8600" i="13"/>
  <c r="F8600" i="13"/>
  <c r="A8600" i="13"/>
  <c r="F8599" i="13"/>
  <c r="A8599" i="13"/>
  <c r="J8598" i="13"/>
  <c r="F8598" i="13"/>
  <c r="A8598" i="13"/>
  <c r="J8597" i="13"/>
  <c r="F8597" i="13"/>
  <c r="A8597" i="13"/>
  <c r="F8596" i="13"/>
  <c r="A8596" i="13"/>
  <c r="J8595" i="13"/>
  <c r="F8595" i="13"/>
  <c r="A8595" i="13"/>
  <c r="J8594" i="13"/>
  <c r="F8594" i="13"/>
  <c r="A8594" i="13"/>
  <c r="F8593" i="13"/>
  <c r="A8593" i="13"/>
  <c r="J8592" i="13"/>
  <c r="F8592" i="13"/>
  <c r="A8592" i="13"/>
  <c r="J8591" i="13"/>
  <c r="F8591" i="13"/>
  <c r="A8591" i="13"/>
  <c r="J8590" i="13"/>
  <c r="F8590" i="13"/>
  <c r="A8590" i="13"/>
  <c r="J8589" i="13"/>
  <c r="F8589" i="13"/>
  <c r="A8589" i="13"/>
  <c r="J8588" i="13"/>
  <c r="F8588" i="13"/>
  <c r="A8588" i="13"/>
  <c r="F8587" i="13"/>
  <c r="A8587" i="13"/>
  <c r="J8586" i="13"/>
  <c r="F8586" i="13"/>
  <c r="A8586" i="13"/>
  <c r="F8585" i="13"/>
  <c r="A8585" i="13"/>
  <c r="F8584" i="13"/>
  <c r="A8584" i="13"/>
  <c r="F8583" i="13"/>
  <c r="A8583" i="13"/>
  <c r="F8582" i="13"/>
  <c r="A8582" i="13"/>
  <c r="J8581" i="13"/>
  <c r="F8581" i="13"/>
  <c r="A8581" i="13"/>
  <c r="F8580" i="13"/>
  <c r="A8580" i="13"/>
  <c r="F8579" i="13"/>
  <c r="A8579" i="13"/>
  <c r="F8578" i="13"/>
  <c r="A8578" i="13"/>
  <c r="J8577" i="13"/>
  <c r="F8577" i="13"/>
  <c r="A8577" i="13"/>
  <c r="J8576" i="13"/>
  <c r="F8576" i="13"/>
  <c r="A8576" i="13"/>
  <c r="J8575" i="13"/>
  <c r="F8575" i="13"/>
  <c r="A8575" i="13"/>
  <c r="J8574" i="13"/>
  <c r="F8574" i="13"/>
  <c r="A8574" i="13"/>
  <c r="J8573" i="13"/>
  <c r="F8573" i="13"/>
  <c r="A8573" i="13"/>
  <c r="J8572" i="13"/>
  <c r="F8572" i="13"/>
  <c r="J8571" i="13"/>
  <c r="F8571" i="13"/>
  <c r="A8571" i="13"/>
  <c r="F8570" i="13"/>
  <c r="A8570" i="13"/>
  <c r="J8569" i="13"/>
  <c r="F8569" i="13"/>
  <c r="A8569" i="13"/>
  <c r="J8568" i="13"/>
  <c r="F8568" i="13"/>
  <c r="A8568" i="13"/>
  <c r="J8567" i="13"/>
  <c r="F8567" i="13"/>
  <c r="A8567" i="13"/>
  <c r="F8566" i="13"/>
  <c r="A8566" i="13"/>
  <c r="J8565" i="13"/>
  <c r="F8565" i="13"/>
  <c r="A8565" i="13"/>
  <c r="J8564" i="13"/>
  <c r="F8564" i="13"/>
  <c r="A8564" i="13"/>
  <c r="J8563" i="13"/>
  <c r="F8563" i="13"/>
  <c r="A8563" i="13"/>
  <c r="J8562" i="13"/>
  <c r="F8562" i="13"/>
  <c r="A8562" i="13"/>
  <c r="F8561" i="13"/>
  <c r="A8561" i="13"/>
  <c r="J8560" i="13"/>
  <c r="F8560" i="13"/>
  <c r="A8560" i="13"/>
  <c r="J8559" i="13"/>
  <c r="F8559" i="13"/>
  <c r="A8559" i="13"/>
  <c r="F8558" i="13"/>
  <c r="A8558" i="13"/>
  <c r="J8557" i="13"/>
  <c r="F8557" i="13"/>
  <c r="A8557" i="13"/>
  <c r="J8556" i="13"/>
  <c r="F8556" i="13"/>
  <c r="A8556" i="13"/>
  <c r="F8555" i="13"/>
  <c r="A8555" i="13"/>
  <c r="J8554" i="13"/>
  <c r="F8554" i="13"/>
  <c r="A8554" i="13"/>
  <c r="J8553" i="13"/>
  <c r="F8553" i="13"/>
  <c r="A8553" i="13"/>
  <c r="J8552" i="13"/>
  <c r="F8552" i="13"/>
  <c r="A8552" i="13"/>
  <c r="F8551" i="13"/>
  <c r="A8551" i="13"/>
  <c r="J8550" i="13"/>
  <c r="F8550" i="13"/>
  <c r="A8550" i="13"/>
  <c r="J8549" i="13"/>
  <c r="F8549" i="13"/>
  <c r="A8549" i="13"/>
  <c r="J8548" i="13"/>
  <c r="F8548" i="13"/>
  <c r="A8548" i="13"/>
  <c r="F8547" i="13"/>
  <c r="A8547" i="13"/>
  <c r="J8546" i="13"/>
  <c r="F8546" i="13"/>
  <c r="A8546" i="13"/>
  <c r="J8545" i="13"/>
  <c r="F8545" i="13"/>
  <c r="A8545" i="13"/>
  <c r="J8544" i="13"/>
  <c r="F8544" i="13"/>
  <c r="A8544" i="13"/>
  <c r="J8543" i="13"/>
  <c r="F8543" i="13"/>
  <c r="A8543" i="13"/>
  <c r="J8542" i="13"/>
  <c r="F8542" i="13"/>
  <c r="A8542" i="13"/>
  <c r="J8541" i="13"/>
  <c r="F8541" i="13"/>
  <c r="A8541" i="13"/>
  <c r="J8540" i="13"/>
  <c r="F8540" i="13"/>
  <c r="A8540" i="13"/>
  <c r="J8539" i="13"/>
  <c r="F8539" i="13"/>
  <c r="A8539" i="13"/>
  <c r="J8538" i="13"/>
  <c r="F8538" i="13"/>
  <c r="A8538" i="13"/>
  <c r="J8537" i="13"/>
  <c r="F8537" i="13"/>
  <c r="A8537" i="13"/>
  <c r="J8536" i="13"/>
  <c r="F8536" i="13"/>
  <c r="A8536" i="13"/>
  <c r="J8535" i="13"/>
  <c r="F8535" i="13"/>
  <c r="A8535" i="13"/>
  <c r="J8534" i="13"/>
  <c r="F8534" i="13"/>
  <c r="A8534" i="13"/>
  <c r="J8533" i="13"/>
  <c r="F8533" i="13"/>
  <c r="A8533" i="13"/>
  <c r="J8532" i="13"/>
  <c r="F8532" i="13"/>
  <c r="A8532" i="13"/>
  <c r="J8531" i="13"/>
  <c r="F8531" i="13"/>
  <c r="A8531" i="13"/>
  <c r="F8530" i="13"/>
  <c r="A8530" i="13"/>
  <c r="J8529" i="13"/>
  <c r="F8529" i="13"/>
  <c r="A8529" i="13"/>
  <c r="F8528" i="13"/>
  <c r="A8528" i="13"/>
  <c r="J8527" i="13"/>
  <c r="F8527" i="13"/>
  <c r="A8527" i="13"/>
  <c r="J8526" i="13"/>
  <c r="F8526" i="13"/>
  <c r="A8526" i="13"/>
  <c r="F8525" i="13"/>
  <c r="A8525" i="13"/>
  <c r="F8524" i="13"/>
  <c r="A8524" i="13"/>
  <c r="J8523" i="13"/>
  <c r="F8523" i="13"/>
  <c r="A8523" i="13"/>
  <c r="F8522" i="13"/>
  <c r="A8522" i="13"/>
  <c r="J8521" i="13"/>
  <c r="F8521" i="13"/>
  <c r="A8521" i="13"/>
  <c r="J8520" i="13"/>
  <c r="F8520" i="13"/>
  <c r="A8520" i="13"/>
  <c r="F8519" i="13"/>
  <c r="A8519" i="13"/>
  <c r="J8518" i="13"/>
  <c r="F8518" i="13"/>
  <c r="A8518" i="13"/>
  <c r="J8517" i="13"/>
  <c r="F8517" i="13"/>
  <c r="A8517" i="13"/>
  <c r="J8516" i="13"/>
  <c r="F8516" i="13"/>
  <c r="A8516" i="13"/>
  <c r="J8515" i="13"/>
  <c r="F8515" i="13"/>
  <c r="A8515" i="13"/>
  <c r="F8514" i="13"/>
  <c r="A8514" i="13"/>
  <c r="J8513" i="13"/>
  <c r="F8513" i="13"/>
  <c r="A8513" i="13"/>
  <c r="J8512" i="13"/>
  <c r="F8512" i="13"/>
  <c r="A8512" i="13"/>
  <c r="F8511" i="13"/>
  <c r="A8511" i="13"/>
  <c r="F8510" i="13"/>
  <c r="A8510" i="13"/>
  <c r="J8509" i="13"/>
  <c r="F8509" i="13"/>
  <c r="A8509" i="13"/>
  <c r="J8508" i="13"/>
  <c r="F8508" i="13"/>
  <c r="A8508" i="13"/>
  <c r="J8507" i="13"/>
  <c r="F8507" i="13"/>
  <c r="A8507" i="13"/>
  <c r="J8506" i="13"/>
  <c r="F8506" i="13"/>
  <c r="A8506" i="13"/>
  <c r="J8505" i="13"/>
  <c r="F8505" i="13"/>
  <c r="A8505" i="13"/>
  <c r="J8504" i="13"/>
  <c r="F8504" i="13"/>
  <c r="A8504" i="13"/>
  <c r="F8503" i="13"/>
  <c r="A8503" i="13"/>
  <c r="J8502" i="13"/>
  <c r="F8502" i="13"/>
  <c r="A8502" i="13"/>
  <c r="J8501" i="13"/>
  <c r="F8501" i="13"/>
  <c r="A8501" i="13"/>
  <c r="J8500" i="13"/>
  <c r="F8500" i="13"/>
  <c r="A8500" i="13"/>
  <c r="F8499" i="13"/>
  <c r="A8499" i="13"/>
  <c r="F8498" i="13"/>
  <c r="A8498" i="13"/>
  <c r="F8497" i="13"/>
  <c r="A8497" i="13"/>
  <c r="J8496" i="13"/>
  <c r="F8496" i="13"/>
  <c r="A8496" i="13"/>
  <c r="F8495" i="13"/>
  <c r="A8495" i="13"/>
  <c r="F8494" i="13"/>
  <c r="A8494" i="13"/>
  <c r="J8493" i="13"/>
  <c r="F8493" i="13"/>
  <c r="A8493" i="13"/>
  <c r="J8492" i="13"/>
  <c r="F8492" i="13"/>
  <c r="A8492" i="13"/>
  <c r="J8491" i="13"/>
  <c r="F8491" i="13"/>
  <c r="A8491" i="13"/>
  <c r="J8490" i="13"/>
  <c r="F8490" i="13"/>
  <c r="A8490" i="13"/>
  <c r="F8489" i="13"/>
  <c r="A8489" i="13"/>
  <c r="F8488" i="13"/>
  <c r="A8488" i="13"/>
  <c r="J8487" i="13"/>
  <c r="F8487" i="13"/>
  <c r="A8487" i="13"/>
  <c r="F8486" i="13"/>
  <c r="A8486" i="13"/>
  <c r="J8485" i="13"/>
  <c r="F8485" i="13"/>
  <c r="A8485" i="13"/>
  <c r="J8484" i="13"/>
  <c r="F8484" i="13"/>
  <c r="A8484" i="13"/>
  <c r="F8483" i="13"/>
  <c r="A8483" i="13"/>
  <c r="J8482" i="13"/>
  <c r="F8482" i="13"/>
  <c r="A8482" i="13"/>
  <c r="J8481" i="13"/>
  <c r="F8481" i="13"/>
  <c r="A8481" i="13"/>
  <c r="F8480" i="13"/>
  <c r="A8480" i="13"/>
  <c r="F8479" i="13"/>
  <c r="A8479" i="13"/>
  <c r="J8478" i="13"/>
  <c r="F8478" i="13"/>
  <c r="A8478" i="13"/>
  <c r="J8477" i="13"/>
  <c r="F8477" i="13"/>
  <c r="A8477" i="13"/>
  <c r="F8476" i="13"/>
  <c r="A8476" i="13"/>
  <c r="F8475" i="13"/>
  <c r="A8475" i="13"/>
  <c r="F8474" i="13"/>
  <c r="A8474" i="13"/>
  <c r="F8473" i="13"/>
  <c r="A8473" i="13"/>
  <c r="F8472" i="13"/>
  <c r="A8472" i="13"/>
  <c r="J8471" i="13"/>
  <c r="F8471" i="13"/>
  <c r="A8471" i="13"/>
  <c r="J8470" i="13"/>
  <c r="F8470" i="13"/>
  <c r="A8470" i="13"/>
  <c r="F8469" i="13"/>
  <c r="A8469" i="13"/>
  <c r="F8468" i="13"/>
  <c r="A8468" i="13"/>
  <c r="J8467" i="13"/>
  <c r="F8467" i="13"/>
  <c r="A8467" i="13"/>
  <c r="J8466" i="13"/>
  <c r="F8466" i="13"/>
  <c r="A8466" i="13"/>
  <c r="F8465" i="13"/>
  <c r="A8465" i="13"/>
  <c r="F8464" i="13"/>
  <c r="A8464" i="13"/>
  <c r="J8463" i="13"/>
  <c r="F8463" i="13"/>
  <c r="A8463" i="13"/>
  <c r="J8462" i="13"/>
  <c r="F8462" i="13"/>
  <c r="A8462" i="13"/>
  <c r="J8461" i="13"/>
  <c r="F8461" i="13"/>
  <c r="A8461" i="13"/>
  <c r="J8460" i="13"/>
  <c r="F8460" i="13"/>
  <c r="A8460" i="13"/>
  <c r="J8459" i="13"/>
  <c r="F8459" i="13"/>
  <c r="A8459" i="13"/>
  <c r="F8458" i="13"/>
  <c r="A8458" i="13"/>
  <c r="J8457" i="13"/>
  <c r="F8457" i="13"/>
  <c r="A8457" i="13"/>
  <c r="J8456" i="13"/>
  <c r="F8456" i="13"/>
  <c r="A8456" i="13"/>
  <c r="F8455" i="13"/>
  <c r="A8455" i="13"/>
  <c r="J8454" i="13"/>
  <c r="F8454" i="13"/>
  <c r="A8454" i="13"/>
  <c r="J8453" i="13"/>
  <c r="F8453" i="13"/>
  <c r="A8453" i="13"/>
  <c r="J8452" i="13"/>
  <c r="F8452" i="13"/>
  <c r="A8452" i="13"/>
  <c r="J8451" i="13"/>
  <c r="F8451" i="13"/>
  <c r="A8451" i="13"/>
  <c r="F8450" i="13"/>
  <c r="A8450" i="13"/>
  <c r="J8449" i="13"/>
  <c r="F8449" i="13"/>
  <c r="A8449" i="13"/>
  <c r="J8448" i="13"/>
  <c r="F8448" i="13"/>
  <c r="A8448" i="13"/>
  <c r="F8447" i="13"/>
  <c r="A8447" i="13"/>
  <c r="J8446" i="13"/>
  <c r="F8446" i="13"/>
  <c r="A8446" i="13"/>
  <c r="J8445" i="13"/>
  <c r="F8445" i="13"/>
  <c r="A8445" i="13"/>
  <c r="J8444" i="13"/>
  <c r="F8444" i="13"/>
  <c r="A8444" i="13"/>
  <c r="F8443" i="13"/>
  <c r="A8443" i="13"/>
  <c r="J8442" i="13"/>
  <c r="F8442" i="13"/>
  <c r="A8442" i="13"/>
  <c r="J8441" i="13"/>
  <c r="F8441" i="13"/>
  <c r="A8441" i="13"/>
  <c r="J8440" i="13"/>
  <c r="F8440" i="13"/>
  <c r="A8440" i="13"/>
  <c r="J8439" i="13"/>
  <c r="F8439" i="13"/>
  <c r="A8439" i="13"/>
  <c r="J8438" i="13"/>
  <c r="F8438" i="13"/>
  <c r="A8438" i="13"/>
  <c r="J8437" i="13"/>
  <c r="F8437" i="13"/>
  <c r="A8437" i="13"/>
  <c r="J8436" i="13"/>
  <c r="F8436" i="13"/>
  <c r="A8436" i="13"/>
  <c r="J8435" i="13"/>
  <c r="F8435" i="13"/>
  <c r="A8435" i="13"/>
  <c r="J8434" i="13"/>
  <c r="F8434" i="13"/>
  <c r="A8434" i="13"/>
  <c r="J8433" i="13"/>
  <c r="F8433" i="13"/>
  <c r="A8433" i="13"/>
  <c r="J8432" i="13"/>
  <c r="F8432" i="13"/>
  <c r="A8432" i="13"/>
  <c r="J8431" i="13"/>
  <c r="F8431" i="13"/>
  <c r="A8431" i="13"/>
  <c r="F8430" i="13"/>
  <c r="A8430" i="13"/>
  <c r="J8429" i="13"/>
  <c r="F8429" i="13"/>
  <c r="A8429" i="13"/>
  <c r="J8428" i="13"/>
  <c r="F8428" i="13"/>
  <c r="A8428" i="13"/>
  <c r="J8427" i="13"/>
  <c r="F8427" i="13"/>
  <c r="A8427" i="13"/>
  <c r="J8426" i="13"/>
  <c r="F8426" i="13"/>
  <c r="A8426" i="13"/>
  <c r="J8425" i="13"/>
  <c r="F8425" i="13"/>
  <c r="A8425" i="13"/>
  <c r="J8424" i="13"/>
  <c r="F8424" i="13"/>
  <c r="A8424" i="13"/>
  <c r="J8423" i="13"/>
  <c r="F8423" i="13"/>
  <c r="A8423" i="13"/>
  <c r="F8422" i="13"/>
  <c r="A8422" i="13"/>
  <c r="F8421" i="13"/>
  <c r="A8421" i="13"/>
  <c r="J8420" i="13"/>
  <c r="F8420" i="13"/>
  <c r="A8420" i="13"/>
  <c r="J8419" i="13"/>
  <c r="F8419" i="13"/>
  <c r="A8419" i="13"/>
  <c r="J8418" i="13"/>
  <c r="F8418" i="13"/>
  <c r="A8418" i="13"/>
  <c r="J8417" i="13"/>
  <c r="F8417" i="13"/>
  <c r="A8417" i="13"/>
  <c r="J8416" i="13"/>
  <c r="F8416" i="13"/>
  <c r="A8416" i="13"/>
  <c r="J8415" i="13"/>
  <c r="F8415" i="13"/>
  <c r="J8414" i="13"/>
  <c r="F8414" i="13"/>
  <c r="A8414" i="13"/>
  <c r="J8413" i="13"/>
  <c r="F8413" i="13"/>
  <c r="A8413" i="13"/>
  <c r="J8412" i="13"/>
  <c r="F8412" i="13"/>
  <c r="A8412" i="13"/>
  <c r="J8411" i="13"/>
  <c r="F8411" i="13"/>
  <c r="A8411" i="13"/>
  <c r="J8410" i="13"/>
  <c r="F8410" i="13"/>
  <c r="A8410" i="13"/>
  <c r="F8409" i="13"/>
  <c r="A8409" i="13"/>
  <c r="J8408" i="13"/>
  <c r="F8408" i="13"/>
  <c r="A8408" i="13"/>
  <c r="J8407" i="13"/>
  <c r="F8407" i="13"/>
  <c r="A8407" i="13"/>
  <c r="J8406" i="13"/>
  <c r="F8406" i="13"/>
  <c r="A8406" i="13"/>
  <c r="J8405" i="13"/>
  <c r="F8405" i="13"/>
  <c r="A8405" i="13"/>
  <c r="F8404" i="13"/>
  <c r="A8404" i="13"/>
  <c r="J8403" i="13"/>
  <c r="F8403" i="13"/>
  <c r="A8403" i="13"/>
  <c r="J8402" i="13"/>
  <c r="F8402" i="13"/>
  <c r="A8402" i="13"/>
  <c r="J8401" i="13"/>
  <c r="F8401" i="13"/>
  <c r="A8401" i="13"/>
  <c r="J8400" i="13"/>
  <c r="F8400" i="13"/>
  <c r="A8400" i="13"/>
  <c r="F8399" i="13"/>
  <c r="A8399" i="13"/>
  <c r="J8398" i="13"/>
  <c r="F8398" i="13"/>
  <c r="A8398" i="13"/>
  <c r="J8397" i="13"/>
  <c r="F8397" i="13"/>
  <c r="A8397" i="13"/>
  <c r="F8396" i="13"/>
  <c r="A8396" i="13"/>
  <c r="J8395" i="13"/>
  <c r="F8395" i="13"/>
  <c r="A8395" i="13"/>
  <c r="F8394" i="13"/>
  <c r="A8394" i="13"/>
  <c r="J8393" i="13"/>
  <c r="F8393" i="13"/>
  <c r="A8393" i="13"/>
  <c r="J8392" i="13"/>
  <c r="F8392" i="13"/>
  <c r="A8392" i="13"/>
  <c r="J8391" i="13"/>
  <c r="F8391" i="13"/>
  <c r="A8391" i="13"/>
  <c r="F8390" i="13"/>
  <c r="A8390" i="13"/>
  <c r="J8389" i="13"/>
  <c r="F8389" i="13"/>
  <c r="A8389" i="13"/>
  <c r="J8388" i="13"/>
  <c r="F8388" i="13"/>
  <c r="A8388" i="13"/>
  <c r="J8387" i="13"/>
  <c r="F8387" i="13"/>
  <c r="J8386" i="13"/>
  <c r="F8386" i="13"/>
  <c r="A8386" i="13"/>
  <c r="J8385" i="13"/>
  <c r="F8385" i="13"/>
  <c r="A8385" i="13"/>
  <c r="F8384" i="13"/>
  <c r="A8384" i="13"/>
  <c r="J8383" i="13"/>
  <c r="F8383" i="13"/>
  <c r="A8383" i="13"/>
  <c r="J8382" i="13"/>
  <c r="F8382" i="13"/>
  <c r="A8382" i="13"/>
  <c r="J8381" i="13"/>
  <c r="F8381" i="13"/>
  <c r="A8381" i="13"/>
  <c r="J8380" i="13"/>
  <c r="F8380" i="13"/>
  <c r="A8380" i="13"/>
  <c r="F8379" i="13"/>
  <c r="A8379" i="13"/>
  <c r="J8378" i="13"/>
  <c r="F8378" i="13"/>
  <c r="A8378" i="13"/>
  <c r="F8377" i="13"/>
  <c r="A8377" i="13"/>
  <c r="F8376" i="13"/>
  <c r="A8376" i="13"/>
  <c r="F8375" i="13"/>
  <c r="A8375" i="13"/>
  <c r="F8374" i="13"/>
  <c r="A8374" i="13"/>
  <c r="F8373" i="13"/>
  <c r="A8373" i="13"/>
  <c r="F8372" i="13"/>
  <c r="A8372" i="13"/>
  <c r="F8371" i="13"/>
  <c r="A8371" i="13"/>
  <c r="F8370" i="13"/>
  <c r="A8370" i="13"/>
  <c r="F8369" i="13"/>
  <c r="A8369" i="13"/>
  <c r="F8368" i="13"/>
  <c r="A8368" i="13"/>
  <c r="F8367" i="13"/>
  <c r="A8367" i="13"/>
  <c r="F8366" i="13"/>
  <c r="A8366" i="13"/>
  <c r="F8365" i="13"/>
  <c r="A8365" i="13"/>
  <c r="F8364" i="13"/>
  <c r="A8364" i="13"/>
  <c r="F8363" i="13"/>
  <c r="A8363" i="13"/>
  <c r="F8362" i="13"/>
  <c r="A8362" i="13"/>
  <c r="F8361" i="13"/>
  <c r="A8361" i="13"/>
  <c r="F8360" i="13"/>
  <c r="A8360" i="13"/>
  <c r="F8359" i="13"/>
  <c r="A8359" i="13"/>
  <c r="F8358" i="13"/>
  <c r="A8358" i="13"/>
  <c r="F8357" i="13"/>
  <c r="A8357" i="13"/>
  <c r="F8356" i="13"/>
  <c r="A8356" i="13"/>
  <c r="F8355" i="13"/>
  <c r="A8355" i="13"/>
  <c r="F8354" i="13"/>
  <c r="A8354" i="13"/>
  <c r="F8353" i="13"/>
  <c r="A8353" i="13"/>
  <c r="F8352" i="13"/>
  <c r="A8352" i="13"/>
  <c r="F8351" i="13"/>
  <c r="A8351" i="13"/>
  <c r="F8350" i="13"/>
  <c r="A8350" i="13"/>
  <c r="F8349" i="13"/>
  <c r="A8349" i="13"/>
  <c r="F8348" i="13"/>
  <c r="A8348" i="13"/>
  <c r="F8347" i="13"/>
  <c r="A8347" i="13"/>
  <c r="J8346" i="13"/>
  <c r="F8346" i="13"/>
  <c r="A8346" i="13"/>
  <c r="F8345" i="13"/>
  <c r="A8345" i="13"/>
  <c r="F8344" i="13"/>
  <c r="A8344" i="13"/>
  <c r="J8343" i="13"/>
  <c r="F8343" i="13"/>
  <c r="A8343" i="13"/>
  <c r="J8342" i="13"/>
  <c r="F8342" i="13"/>
  <c r="A8342" i="13"/>
  <c r="J8341" i="13"/>
  <c r="F8341" i="13"/>
  <c r="A8341" i="13"/>
  <c r="J8340" i="13"/>
  <c r="F8340" i="13"/>
  <c r="A8340" i="13"/>
  <c r="F8339" i="13"/>
  <c r="A8339" i="13"/>
  <c r="J8338" i="13"/>
  <c r="F8338" i="13"/>
  <c r="A8338" i="13"/>
  <c r="J8337" i="13"/>
  <c r="F8337" i="13"/>
  <c r="A8337" i="13"/>
  <c r="F8336" i="13"/>
  <c r="A8336" i="13"/>
  <c r="J8335" i="13"/>
  <c r="F8335" i="13"/>
  <c r="A8335" i="13"/>
  <c r="J8334" i="13"/>
  <c r="F8334" i="13"/>
  <c r="A8334" i="13"/>
  <c r="F8333" i="13"/>
  <c r="A8333" i="13"/>
  <c r="J8332" i="13"/>
  <c r="F8332" i="13"/>
  <c r="A8332" i="13"/>
  <c r="J8331" i="13"/>
  <c r="F8331" i="13"/>
  <c r="A8331" i="13"/>
  <c r="J8330" i="13"/>
  <c r="F8330" i="13"/>
  <c r="A8330" i="13"/>
  <c r="J8329" i="13"/>
  <c r="F8329" i="13"/>
  <c r="A8329" i="13"/>
  <c r="F8328" i="13"/>
  <c r="A8328" i="13"/>
  <c r="J8327" i="13"/>
  <c r="F8327" i="13"/>
  <c r="A8327" i="13"/>
  <c r="J8326" i="13"/>
  <c r="F8326" i="13"/>
  <c r="A8326" i="13"/>
  <c r="J8325" i="13"/>
  <c r="F8325" i="13"/>
  <c r="A8325" i="13"/>
  <c r="J8324" i="13"/>
  <c r="F8324" i="13"/>
  <c r="A8324" i="13"/>
  <c r="F8323" i="13"/>
  <c r="A8323" i="13"/>
  <c r="F8322" i="13"/>
  <c r="A8322" i="13"/>
  <c r="J8321" i="13"/>
  <c r="F8321" i="13"/>
  <c r="A8321" i="13"/>
  <c r="J8320" i="13"/>
  <c r="F8320" i="13"/>
  <c r="A8320" i="13"/>
  <c r="J8319" i="13"/>
  <c r="F8319" i="13"/>
  <c r="A8319" i="13"/>
  <c r="F8318" i="13"/>
  <c r="A8318" i="13"/>
  <c r="F8317" i="13"/>
  <c r="A8317" i="13"/>
  <c r="J8316" i="13"/>
  <c r="F8316" i="13"/>
  <c r="A8316" i="13"/>
  <c r="J8315" i="13"/>
  <c r="F8315" i="13"/>
  <c r="A8315" i="13"/>
  <c r="J8314" i="13"/>
  <c r="F8314" i="13"/>
  <c r="A8314" i="13"/>
  <c r="J8313" i="13"/>
  <c r="F8313" i="13"/>
  <c r="A8313" i="13"/>
  <c r="J8312" i="13"/>
  <c r="F8312" i="13"/>
  <c r="A8312" i="13"/>
  <c r="J8311" i="13"/>
  <c r="F8311" i="13"/>
  <c r="A8311" i="13"/>
  <c r="J8310" i="13"/>
  <c r="F8310" i="13"/>
  <c r="A8310" i="13"/>
  <c r="J8309" i="13"/>
  <c r="F8309" i="13"/>
  <c r="A8309" i="13"/>
  <c r="J8308" i="13"/>
  <c r="F8308" i="13"/>
  <c r="A8308" i="13"/>
  <c r="J8307" i="13"/>
  <c r="F8307" i="13"/>
  <c r="A8307" i="13"/>
  <c r="J8306" i="13"/>
  <c r="F8306" i="13"/>
  <c r="A8306" i="13"/>
  <c r="J8305" i="13"/>
  <c r="F8305" i="13"/>
  <c r="A8305" i="13"/>
  <c r="J8304" i="13"/>
  <c r="F8304" i="13"/>
  <c r="A8304" i="13"/>
  <c r="J8303" i="13"/>
  <c r="F8303" i="13"/>
  <c r="A8303" i="13"/>
  <c r="F8302" i="13"/>
  <c r="A8302" i="13"/>
  <c r="J8301" i="13"/>
  <c r="F8301" i="13"/>
  <c r="A8301" i="13"/>
  <c r="J8300" i="13"/>
  <c r="F8300" i="13"/>
  <c r="A8300" i="13"/>
  <c r="F8299" i="13"/>
  <c r="A8299" i="13"/>
  <c r="J8298" i="13"/>
  <c r="F8298" i="13"/>
  <c r="A8298" i="13"/>
  <c r="F8297" i="13"/>
  <c r="A8297" i="13"/>
  <c r="F8296" i="13"/>
  <c r="A8296" i="13"/>
  <c r="J8295" i="13"/>
  <c r="F8295" i="13"/>
  <c r="A8295" i="13"/>
  <c r="F8294" i="13"/>
  <c r="A8294" i="13"/>
  <c r="J8293" i="13"/>
  <c r="F8293" i="13"/>
  <c r="A8293" i="13"/>
  <c r="J8292" i="13"/>
  <c r="F8292" i="13"/>
  <c r="A8292" i="13"/>
  <c r="F8291" i="13"/>
  <c r="A8291" i="13"/>
  <c r="J8290" i="13"/>
  <c r="F8290" i="13"/>
  <c r="A8290" i="13"/>
  <c r="J8289" i="13"/>
  <c r="F8289" i="13"/>
  <c r="A8289" i="13"/>
  <c r="J8288" i="13"/>
  <c r="F8288" i="13"/>
  <c r="A8288" i="13"/>
  <c r="J8287" i="13"/>
  <c r="F8287" i="13"/>
  <c r="A8287" i="13"/>
  <c r="J8286" i="13"/>
  <c r="F8286" i="13"/>
  <c r="A8286" i="13"/>
  <c r="F8285" i="13"/>
  <c r="A8285" i="13"/>
  <c r="J8284" i="13"/>
  <c r="F8284" i="13"/>
  <c r="A8284" i="13"/>
  <c r="F8283" i="13"/>
  <c r="A8283" i="13"/>
  <c r="J8282" i="13"/>
  <c r="F8282" i="13"/>
  <c r="A8282" i="13"/>
  <c r="J8281" i="13"/>
  <c r="F8281" i="13"/>
  <c r="A8281" i="13"/>
  <c r="J8280" i="13"/>
  <c r="F8280" i="13"/>
  <c r="A8280" i="13"/>
  <c r="J8279" i="13"/>
  <c r="F8279" i="13"/>
  <c r="A8279" i="13"/>
  <c r="J8278" i="13"/>
  <c r="F8278" i="13"/>
  <c r="A8278" i="13"/>
  <c r="J8277" i="13"/>
  <c r="F8277" i="13"/>
  <c r="A8277" i="13"/>
  <c r="J8276" i="13"/>
  <c r="F8276" i="13"/>
  <c r="A8276" i="13"/>
  <c r="F8275" i="13"/>
  <c r="A8275" i="13"/>
  <c r="F8274" i="13"/>
  <c r="A8274" i="13"/>
  <c r="J8273" i="13"/>
  <c r="F8273" i="13"/>
  <c r="A8273" i="13"/>
  <c r="F8272" i="13"/>
  <c r="A8272" i="13"/>
  <c r="J8271" i="13"/>
  <c r="F8271" i="13"/>
  <c r="A8271" i="13"/>
  <c r="J8270" i="13"/>
  <c r="F8270" i="13"/>
  <c r="A8270" i="13"/>
  <c r="F8269" i="13"/>
  <c r="A8269" i="13"/>
  <c r="F8268" i="13"/>
  <c r="A8268" i="13"/>
  <c r="J8267" i="13"/>
  <c r="F8267" i="13"/>
  <c r="A8267" i="13"/>
  <c r="J8266" i="13"/>
  <c r="F8266" i="13"/>
  <c r="A8266" i="13"/>
  <c r="J8265" i="13"/>
  <c r="F8265" i="13"/>
  <c r="A8265" i="13"/>
  <c r="F8264" i="13"/>
  <c r="A8264" i="13"/>
  <c r="J8263" i="13"/>
  <c r="F8263" i="13"/>
  <c r="A8263" i="13"/>
  <c r="J8262" i="13"/>
  <c r="F8262" i="13"/>
  <c r="A8262" i="13"/>
  <c r="F8261" i="13"/>
  <c r="A8261" i="13"/>
  <c r="F8260" i="13"/>
  <c r="A8260" i="13"/>
  <c r="J8259" i="13"/>
  <c r="F8259" i="13"/>
  <c r="A8259" i="13"/>
  <c r="J8258" i="13"/>
  <c r="F8258" i="13"/>
  <c r="A8258" i="13"/>
  <c r="J8257" i="13"/>
  <c r="F8257" i="13"/>
  <c r="A8257" i="13"/>
  <c r="F8256" i="13"/>
  <c r="A8256" i="13"/>
  <c r="J8255" i="13"/>
  <c r="F8255" i="13"/>
  <c r="A8255" i="13"/>
  <c r="J8254" i="13"/>
  <c r="F8254" i="13"/>
  <c r="A8254" i="13"/>
  <c r="J8253" i="13"/>
  <c r="F8253" i="13"/>
  <c r="A8253" i="13"/>
  <c r="J8252" i="13"/>
  <c r="F8252" i="13"/>
  <c r="A8252" i="13"/>
  <c r="J8251" i="13"/>
  <c r="F8251" i="13"/>
  <c r="A8251" i="13"/>
  <c r="F8250" i="13"/>
  <c r="A8250" i="13"/>
  <c r="J8249" i="13"/>
  <c r="F8249" i="13"/>
  <c r="A8249" i="13"/>
  <c r="J8248" i="13"/>
  <c r="F8248" i="13"/>
  <c r="A8248" i="13"/>
  <c r="F8247" i="13"/>
  <c r="A8247" i="13"/>
  <c r="J8246" i="13"/>
  <c r="F8246" i="13"/>
  <c r="A8246" i="13"/>
  <c r="F8245" i="13"/>
  <c r="A8245" i="13"/>
  <c r="F8244" i="13"/>
  <c r="A8244" i="13"/>
  <c r="J8243" i="13"/>
  <c r="F8243" i="13"/>
  <c r="A8243" i="13"/>
  <c r="J8242" i="13"/>
  <c r="F8242" i="13"/>
  <c r="A8242" i="13"/>
  <c r="F8241" i="13"/>
  <c r="A8241" i="13"/>
  <c r="J8240" i="13"/>
  <c r="F8240" i="13"/>
  <c r="A8240" i="13"/>
  <c r="J8239" i="13"/>
  <c r="F8239" i="13"/>
  <c r="A8239" i="13"/>
  <c r="F8238" i="13"/>
  <c r="A8238" i="13"/>
  <c r="J8237" i="13"/>
  <c r="F8237" i="13"/>
  <c r="A8237" i="13"/>
  <c r="J8236" i="13"/>
  <c r="F8236" i="13"/>
  <c r="A8236" i="13"/>
  <c r="J8235" i="13"/>
  <c r="F8235" i="13"/>
  <c r="A8235" i="13"/>
  <c r="F8234" i="13"/>
  <c r="A8234" i="13"/>
  <c r="J8233" i="13"/>
  <c r="F8233" i="13"/>
  <c r="A8233" i="13"/>
  <c r="J8232" i="13"/>
  <c r="F8232" i="13"/>
  <c r="A8232" i="13"/>
  <c r="J8231" i="13"/>
  <c r="F8231" i="13"/>
  <c r="A8231" i="13"/>
  <c r="F8230" i="13"/>
  <c r="A8230" i="13"/>
  <c r="F8229" i="13"/>
  <c r="A8229" i="13"/>
  <c r="J8228" i="13"/>
  <c r="F8228" i="13"/>
  <c r="A8228" i="13"/>
  <c r="J8227" i="13"/>
  <c r="F8227" i="13"/>
  <c r="A8227" i="13"/>
  <c r="J8226" i="13"/>
  <c r="F8226" i="13"/>
  <c r="A8226" i="13"/>
  <c r="F8225" i="13"/>
  <c r="A8225" i="13"/>
  <c r="J8224" i="13"/>
  <c r="F8224" i="13"/>
  <c r="A8224" i="13"/>
  <c r="J8223" i="13"/>
  <c r="F8223" i="13"/>
  <c r="A8223" i="13"/>
  <c r="J8222" i="13"/>
  <c r="F8222" i="13"/>
  <c r="A8222" i="13"/>
  <c r="J8221" i="13"/>
  <c r="F8221" i="13"/>
  <c r="A8221" i="13"/>
  <c r="F8220" i="13"/>
  <c r="A8220" i="13"/>
  <c r="J8219" i="13"/>
  <c r="F8219" i="13"/>
  <c r="A8219" i="13"/>
  <c r="J8218" i="13"/>
  <c r="F8218" i="13"/>
  <c r="A8218" i="13"/>
  <c r="F8217" i="13"/>
  <c r="A8217" i="13"/>
  <c r="J8216" i="13"/>
  <c r="F8216" i="13"/>
  <c r="A8216" i="13"/>
  <c r="J8215" i="13"/>
  <c r="F8215" i="13"/>
  <c r="A8215" i="13"/>
  <c r="F8214" i="13"/>
  <c r="A8214" i="13"/>
  <c r="J8213" i="13"/>
  <c r="F8213" i="13"/>
  <c r="A8213" i="13"/>
  <c r="J8212" i="13"/>
  <c r="F8212" i="13"/>
  <c r="A8212" i="13"/>
  <c r="J8211" i="13"/>
  <c r="F8211" i="13"/>
  <c r="A8211" i="13"/>
  <c r="F8210" i="13"/>
  <c r="A8210" i="13"/>
  <c r="J8209" i="13"/>
  <c r="F8209" i="13"/>
  <c r="A8209" i="13"/>
  <c r="J8208" i="13"/>
  <c r="F8208" i="13"/>
  <c r="A8208" i="13"/>
  <c r="J8207" i="13"/>
  <c r="F8207" i="13"/>
  <c r="A8207" i="13"/>
  <c r="F8206" i="13"/>
  <c r="A8206" i="13"/>
  <c r="J8205" i="13"/>
  <c r="F8205" i="13"/>
  <c r="A8205" i="13"/>
  <c r="J8204" i="13"/>
  <c r="F8204" i="13"/>
  <c r="A8204" i="13"/>
  <c r="J8203" i="13"/>
  <c r="F8203" i="13"/>
  <c r="A8203" i="13"/>
  <c r="F8202" i="13"/>
  <c r="A8202" i="13"/>
  <c r="J8201" i="13"/>
  <c r="F8201" i="13"/>
  <c r="A8201" i="13"/>
  <c r="J8200" i="13"/>
  <c r="F8200" i="13"/>
  <c r="A8200" i="13"/>
  <c r="F8199" i="13"/>
  <c r="A8199" i="13"/>
  <c r="J8198" i="13"/>
  <c r="F8198" i="13"/>
  <c r="A8198" i="13"/>
  <c r="J8197" i="13"/>
  <c r="F8197" i="13"/>
  <c r="A8197" i="13"/>
  <c r="F8196" i="13"/>
  <c r="A8196" i="13"/>
  <c r="J8195" i="13"/>
  <c r="F8195" i="13"/>
  <c r="A8195" i="13"/>
  <c r="J8194" i="13"/>
  <c r="F8194" i="13"/>
  <c r="A8194" i="13"/>
  <c r="F8193" i="13"/>
  <c r="A8193" i="13"/>
  <c r="F8192" i="13"/>
  <c r="A8192" i="13"/>
  <c r="J8191" i="13"/>
  <c r="F8191" i="13"/>
  <c r="A8191" i="13"/>
  <c r="F8190" i="13"/>
  <c r="A8190" i="13"/>
  <c r="J8189" i="13"/>
  <c r="F8189" i="13"/>
  <c r="A8189" i="13"/>
  <c r="J8188" i="13"/>
  <c r="F8188" i="13"/>
  <c r="A8188" i="13"/>
  <c r="F8187" i="13"/>
  <c r="A8187" i="13"/>
  <c r="J8186" i="13"/>
  <c r="F8186" i="13"/>
  <c r="A8186" i="13"/>
  <c r="J8185" i="13"/>
  <c r="F8185" i="13"/>
  <c r="A8185" i="13"/>
  <c r="F8184" i="13"/>
  <c r="A8184" i="13"/>
  <c r="J8183" i="13"/>
  <c r="F8183" i="13"/>
  <c r="A8183" i="13"/>
  <c r="F8182" i="13"/>
  <c r="A8182" i="13"/>
  <c r="J8181" i="13"/>
  <c r="F8181" i="13"/>
  <c r="A8181" i="13"/>
  <c r="J8180" i="13"/>
  <c r="F8180" i="13"/>
  <c r="A8180" i="13"/>
  <c r="F8179" i="13"/>
  <c r="A8179" i="13"/>
  <c r="J8178" i="13"/>
  <c r="F8178" i="13"/>
  <c r="A8178" i="13"/>
  <c r="J8177" i="13"/>
  <c r="F8177" i="13"/>
  <c r="A8177" i="13"/>
  <c r="F8176" i="13"/>
  <c r="A8176" i="13"/>
  <c r="J8175" i="13"/>
  <c r="F8175" i="13"/>
  <c r="A8175" i="13"/>
  <c r="J8174" i="13"/>
  <c r="F8174" i="13"/>
  <c r="A8174" i="13"/>
  <c r="J8173" i="13"/>
  <c r="F8173" i="13"/>
  <c r="A8173" i="13"/>
  <c r="F8172" i="13"/>
  <c r="A8172" i="13"/>
  <c r="J8171" i="13"/>
  <c r="F8171" i="13"/>
  <c r="A8171" i="13"/>
  <c r="J8170" i="13"/>
  <c r="F8170" i="13"/>
  <c r="A8170" i="13"/>
  <c r="F8169" i="13"/>
  <c r="A8169" i="13"/>
  <c r="J8168" i="13"/>
  <c r="F8168" i="13"/>
  <c r="A8168" i="13"/>
  <c r="J8167" i="13"/>
  <c r="F8167" i="13"/>
  <c r="A8167" i="13"/>
  <c r="F8166" i="13"/>
  <c r="A8166" i="13"/>
  <c r="F8165" i="13"/>
  <c r="A8165" i="13"/>
  <c r="F8164" i="13"/>
  <c r="A8164" i="13"/>
  <c r="F8163" i="13"/>
  <c r="A8163" i="13"/>
  <c r="F8162" i="13"/>
  <c r="A8162" i="13"/>
  <c r="F8161" i="13"/>
  <c r="A8161" i="13"/>
  <c r="F8160" i="13"/>
  <c r="A8160" i="13"/>
  <c r="F8159" i="13"/>
  <c r="A8159" i="13"/>
  <c r="F8158" i="13"/>
  <c r="A8158" i="13"/>
  <c r="F8157" i="13"/>
  <c r="A8157" i="13"/>
  <c r="F8156" i="13"/>
  <c r="A8156" i="13"/>
  <c r="F8155" i="13"/>
  <c r="A8155" i="13"/>
  <c r="F8154" i="13"/>
  <c r="A8154" i="13"/>
  <c r="F8153" i="13"/>
  <c r="A8153" i="13"/>
  <c r="F8152" i="13"/>
  <c r="A8152" i="13"/>
  <c r="F8151" i="13"/>
  <c r="A8151" i="13"/>
  <c r="F8150" i="13"/>
  <c r="A8150" i="13"/>
  <c r="F8149" i="13"/>
  <c r="A8149" i="13"/>
  <c r="F8148" i="13"/>
  <c r="A8148" i="13"/>
  <c r="F8147" i="13"/>
  <c r="A8147" i="13"/>
  <c r="F8146" i="13"/>
  <c r="A8146" i="13"/>
  <c r="F8145" i="13"/>
  <c r="A8145" i="13"/>
  <c r="J8144" i="13"/>
  <c r="F8144" i="13"/>
  <c r="A8144" i="13"/>
  <c r="F8143" i="13"/>
  <c r="A8143" i="13"/>
  <c r="J8142" i="13"/>
  <c r="F8142" i="13"/>
  <c r="A8142" i="13"/>
  <c r="J8141" i="13"/>
  <c r="F8141" i="13"/>
  <c r="A8141" i="13"/>
  <c r="F8140" i="13"/>
  <c r="A8140" i="13"/>
  <c r="J8139" i="13"/>
  <c r="F8139" i="13"/>
  <c r="A8139" i="13"/>
  <c r="J8138" i="13"/>
  <c r="F8138" i="13"/>
  <c r="A8138" i="13"/>
  <c r="J8137" i="13"/>
  <c r="F8137" i="13"/>
  <c r="A8137" i="13"/>
  <c r="F8136" i="13"/>
  <c r="A8136" i="13"/>
  <c r="J8135" i="13"/>
  <c r="F8135" i="13"/>
  <c r="A8135" i="13"/>
  <c r="J8134" i="13"/>
  <c r="F8134" i="13"/>
  <c r="A8134" i="13"/>
  <c r="F8133" i="13"/>
  <c r="A8133" i="13"/>
  <c r="F8132" i="13"/>
  <c r="A8132" i="13"/>
  <c r="J8131" i="13"/>
  <c r="F8131" i="13"/>
  <c r="A8131" i="13"/>
  <c r="J8130" i="13"/>
  <c r="F8130" i="13"/>
  <c r="A8130" i="13"/>
  <c r="J8129" i="13"/>
  <c r="F8129" i="13"/>
  <c r="A8129" i="13"/>
  <c r="F8128" i="13"/>
  <c r="A8128" i="13"/>
  <c r="F8127" i="13"/>
  <c r="A8127" i="13"/>
  <c r="J8126" i="13"/>
  <c r="F8126" i="13"/>
  <c r="A8126" i="13"/>
  <c r="J8125" i="13"/>
  <c r="F8125" i="13"/>
  <c r="A8125" i="13"/>
  <c r="F8124" i="13"/>
  <c r="A8124" i="13"/>
  <c r="J8123" i="13"/>
  <c r="F8123" i="13"/>
  <c r="A8123" i="13"/>
  <c r="J8122" i="13"/>
  <c r="F8122" i="13"/>
  <c r="A8122" i="13"/>
  <c r="F8121" i="13"/>
  <c r="A8121" i="13"/>
  <c r="J8120" i="13"/>
  <c r="F8120" i="13"/>
  <c r="A8120" i="13"/>
  <c r="J8119" i="13"/>
  <c r="F8119" i="13"/>
  <c r="A8119" i="13"/>
  <c r="J8118" i="13"/>
  <c r="F8118" i="13"/>
  <c r="A8118" i="13"/>
  <c r="F8117" i="13"/>
  <c r="A8117" i="13"/>
  <c r="F8116" i="13"/>
  <c r="A8116" i="13"/>
  <c r="J8115" i="13"/>
  <c r="F8115" i="13"/>
  <c r="A8115" i="13"/>
  <c r="J8114" i="13"/>
  <c r="F8114" i="13"/>
  <c r="A8114" i="13"/>
  <c r="J8113" i="13"/>
  <c r="F8113" i="13"/>
  <c r="A8113" i="13"/>
  <c r="F8112" i="13"/>
  <c r="A8112" i="13"/>
  <c r="F8111" i="13"/>
  <c r="A8111" i="13"/>
  <c r="J8110" i="13"/>
  <c r="F8110" i="13"/>
  <c r="A8110" i="13"/>
  <c r="J8109" i="13"/>
  <c r="F8109" i="13"/>
  <c r="A8109" i="13"/>
  <c r="J8108" i="13"/>
  <c r="F8108" i="13"/>
  <c r="A8108" i="13"/>
  <c r="F8107" i="13"/>
  <c r="A8107" i="13"/>
  <c r="F8106" i="13"/>
  <c r="A8106" i="13"/>
  <c r="J8105" i="13"/>
  <c r="F8105" i="13"/>
  <c r="A8105" i="13"/>
  <c r="J8104" i="13"/>
  <c r="F8104" i="13"/>
  <c r="A8104" i="13"/>
  <c r="F8103" i="13"/>
  <c r="A8103" i="13"/>
  <c r="J8102" i="13"/>
  <c r="F8102" i="13"/>
  <c r="A8102" i="13"/>
  <c r="J8101" i="13"/>
  <c r="F8101" i="13"/>
  <c r="A8101" i="13"/>
  <c r="J8100" i="13"/>
  <c r="F8100" i="13"/>
  <c r="A8100" i="13"/>
  <c r="J8099" i="13"/>
  <c r="F8099" i="13"/>
  <c r="A8099" i="13"/>
  <c r="J8098" i="13"/>
  <c r="F8098" i="13"/>
  <c r="A8098" i="13"/>
  <c r="F8097" i="13"/>
  <c r="A8097" i="13"/>
  <c r="J8096" i="13"/>
  <c r="F8096" i="13"/>
  <c r="J8095" i="13"/>
  <c r="F8095" i="13"/>
  <c r="J8094" i="13"/>
  <c r="F8094" i="13"/>
  <c r="F8093" i="13"/>
  <c r="A8093" i="13"/>
  <c r="F8092" i="13"/>
  <c r="A8092" i="13"/>
  <c r="F8091" i="13"/>
  <c r="A8091" i="13"/>
  <c r="F8090" i="13"/>
  <c r="A8090" i="13"/>
  <c r="F8089" i="13"/>
  <c r="A8089" i="13"/>
  <c r="F8088" i="13"/>
  <c r="J8087" i="13"/>
  <c r="F8087" i="13"/>
  <c r="A8087" i="13"/>
  <c r="J8086" i="13"/>
  <c r="F8086" i="13"/>
  <c r="A8086" i="13"/>
  <c r="J8085" i="13"/>
  <c r="F8085" i="13"/>
  <c r="A8085" i="13"/>
  <c r="J8084" i="13"/>
  <c r="F8084" i="13"/>
  <c r="A8084" i="13"/>
  <c r="F8083" i="13"/>
  <c r="A8083" i="13"/>
  <c r="F8082" i="13"/>
  <c r="A8082" i="13"/>
  <c r="F8081" i="13"/>
  <c r="A8081" i="13"/>
  <c r="J8080" i="13"/>
  <c r="F8080" i="13"/>
  <c r="A8080" i="13"/>
  <c r="J8079" i="13"/>
  <c r="F8079" i="13"/>
  <c r="A8079" i="13"/>
  <c r="J8078" i="13"/>
  <c r="F8078" i="13"/>
  <c r="A8078" i="13"/>
  <c r="F8077" i="13"/>
  <c r="A8077" i="13"/>
  <c r="J8076" i="13"/>
  <c r="F8076" i="13"/>
  <c r="A8076" i="13"/>
  <c r="J8075" i="13"/>
  <c r="F8075" i="13"/>
  <c r="A8075" i="13"/>
  <c r="F8074" i="13"/>
  <c r="A8074" i="13"/>
  <c r="J8073" i="13"/>
  <c r="F8073" i="13"/>
  <c r="A8073" i="13"/>
  <c r="F8072" i="13"/>
  <c r="A8072" i="13"/>
  <c r="J8071" i="13"/>
  <c r="F8071" i="13"/>
  <c r="A8071" i="13"/>
  <c r="F8070" i="13"/>
  <c r="A8070" i="13"/>
  <c r="J8069" i="13"/>
  <c r="F8069" i="13"/>
  <c r="A8069" i="13"/>
  <c r="J8068" i="13"/>
  <c r="F8068" i="13"/>
  <c r="A8068" i="13"/>
  <c r="J8067" i="13"/>
  <c r="F8067" i="13"/>
  <c r="A8067" i="13"/>
  <c r="F8066" i="13"/>
  <c r="A8066" i="13"/>
  <c r="F8065" i="13"/>
  <c r="A8065" i="13"/>
  <c r="F8064" i="13"/>
  <c r="A8064" i="13"/>
  <c r="J8063" i="13"/>
  <c r="F8063" i="13"/>
  <c r="A8063" i="13"/>
  <c r="F8062" i="13"/>
  <c r="A8062" i="13"/>
  <c r="F8061" i="13"/>
  <c r="A8061" i="13"/>
  <c r="J8060" i="13"/>
  <c r="F8060" i="13"/>
  <c r="A8060" i="13"/>
  <c r="J8059" i="13"/>
  <c r="F8059" i="13"/>
  <c r="A8059" i="13"/>
  <c r="F8058" i="13"/>
  <c r="A8058" i="13"/>
  <c r="J8057" i="13"/>
  <c r="F8057" i="13"/>
  <c r="A8057" i="13"/>
  <c r="J8056" i="13"/>
  <c r="F8056" i="13"/>
  <c r="A8056" i="13"/>
  <c r="F8055" i="13"/>
  <c r="A8055" i="13"/>
  <c r="J8054" i="13"/>
  <c r="F8054" i="13"/>
  <c r="A8054" i="13"/>
  <c r="J8053" i="13"/>
  <c r="F8053" i="13"/>
  <c r="A8053" i="13"/>
  <c r="F8052" i="13"/>
  <c r="A8052" i="13"/>
  <c r="J8051" i="13"/>
  <c r="F8051" i="13"/>
  <c r="A8051" i="13"/>
  <c r="J8050" i="13"/>
  <c r="F8050" i="13"/>
  <c r="A8050" i="13"/>
  <c r="J8049" i="13"/>
  <c r="F8049" i="13"/>
  <c r="A8049" i="13"/>
  <c r="F8048" i="13"/>
  <c r="A8048" i="13"/>
  <c r="J8047" i="13"/>
  <c r="F8047" i="13"/>
  <c r="A8047" i="13"/>
  <c r="J8046" i="13"/>
  <c r="F8046" i="13"/>
  <c r="A8046" i="13"/>
  <c r="F8045" i="13"/>
  <c r="A8045" i="13"/>
  <c r="J8044" i="13"/>
  <c r="F8044" i="13"/>
  <c r="A8044" i="13"/>
  <c r="F8043" i="13"/>
  <c r="A8043" i="13"/>
  <c r="J8042" i="13"/>
  <c r="F8042" i="13"/>
  <c r="A8042" i="13"/>
  <c r="J8041" i="13"/>
  <c r="F8041" i="13"/>
  <c r="A8041" i="13"/>
  <c r="J8040" i="13"/>
  <c r="F8040" i="13"/>
  <c r="A8040" i="13"/>
  <c r="F8039" i="13"/>
  <c r="A8039" i="13"/>
  <c r="J8038" i="13"/>
  <c r="F8038" i="13"/>
  <c r="A8038" i="13"/>
  <c r="F8037" i="13"/>
  <c r="A8037" i="13"/>
  <c r="J8036" i="13"/>
  <c r="F8036" i="13"/>
  <c r="A8036" i="13"/>
  <c r="J8035" i="13"/>
  <c r="F8035" i="13"/>
  <c r="A8035" i="13"/>
  <c r="F8034" i="13"/>
  <c r="A8034" i="13"/>
  <c r="J8033" i="13"/>
  <c r="F8033" i="13"/>
  <c r="A8033" i="13"/>
  <c r="J8032" i="13"/>
  <c r="F8032" i="13"/>
  <c r="A8032" i="13"/>
  <c r="J8031" i="13"/>
  <c r="F8031" i="13"/>
  <c r="A8031" i="13"/>
  <c r="F8030" i="13"/>
  <c r="A8030" i="13"/>
  <c r="J8029" i="13"/>
  <c r="F8029" i="13"/>
  <c r="A8029" i="13"/>
  <c r="J8028" i="13"/>
  <c r="F8028" i="13"/>
  <c r="A8028" i="13"/>
  <c r="J8027" i="13"/>
  <c r="F8027" i="13"/>
  <c r="A8027" i="13"/>
  <c r="J8026" i="13"/>
  <c r="F8026" i="13"/>
  <c r="A8026" i="13"/>
  <c r="J8025" i="13"/>
  <c r="F8025" i="13"/>
  <c r="A8025" i="13"/>
  <c r="J8024" i="13"/>
  <c r="F8024" i="13"/>
  <c r="A8024" i="13"/>
  <c r="J8023" i="13"/>
  <c r="F8023" i="13"/>
  <c r="A8023" i="13"/>
  <c r="J8022" i="13"/>
  <c r="F8022" i="13"/>
  <c r="A8022" i="13"/>
  <c r="F8021" i="13"/>
  <c r="A8021" i="13"/>
  <c r="J8020" i="13"/>
  <c r="F8020" i="13"/>
  <c r="A8020" i="13"/>
  <c r="J8019" i="13"/>
  <c r="F8019" i="13"/>
  <c r="A8019" i="13"/>
  <c r="J8018" i="13"/>
  <c r="F8018" i="13"/>
  <c r="A8018" i="13"/>
  <c r="J8017" i="13"/>
  <c r="F8017" i="13"/>
  <c r="A8017" i="13"/>
  <c r="F8016" i="13"/>
  <c r="A8016" i="13"/>
  <c r="J8015" i="13"/>
  <c r="F8015" i="13"/>
  <c r="A8015" i="13"/>
  <c r="J8014" i="13"/>
  <c r="F8014" i="13"/>
  <c r="A8014" i="13"/>
  <c r="J8013" i="13"/>
  <c r="F8013" i="13"/>
  <c r="A8013" i="13"/>
  <c r="J8012" i="13"/>
  <c r="F8012" i="13"/>
  <c r="A8012" i="13"/>
  <c r="F8011" i="13"/>
  <c r="A8011" i="13"/>
  <c r="F8010" i="13"/>
  <c r="A8010" i="13"/>
  <c r="J8009" i="13"/>
  <c r="F8009" i="13"/>
  <c r="A8009" i="13"/>
  <c r="J8008" i="13"/>
  <c r="F8008" i="13"/>
  <c r="A8008" i="13"/>
  <c r="J8007" i="13"/>
  <c r="F8007" i="13"/>
  <c r="A8007" i="13"/>
  <c r="F8006" i="13"/>
  <c r="A8006" i="13"/>
  <c r="J8005" i="13"/>
  <c r="F8005" i="13"/>
  <c r="A8005" i="13"/>
  <c r="J8004" i="13"/>
  <c r="F8004" i="13"/>
  <c r="A8004" i="13"/>
  <c r="J8003" i="13"/>
  <c r="F8003" i="13"/>
  <c r="A8003" i="13"/>
  <c r="J8002" i="13"/>
  <c r="F8002" i="13"/>
  <c r="A8002" i="13"/>
  <c r="F8001" i="13"/>
  <c r="A8001" i="13"/>
  <c r="J8000" i="13"/>
  <c r="F8000" i="13"/>
  <c r="A8000" i="13"/>
  <c r="F7999" i="13"/>
  <c r="A7999" i="13"/>
  <c r="J7998" i="13"/>
  <c r="F7998" i="13"/>
  <c r="A7998" i="13"/>
  <c r="J7997" i="13"/>
  <c r="F7997" i="13"/>
  <c r="A7997" i="13"/>
  <c r="J7996" i="13"/>
  <c r="F7996" i="13"/>
  <c r="A7996" i="13"/>
  <c r="J7995" i="13"/>
  <c r="F7995" i="13"/>
  <c r="A7995" i="13"/>
  <c r="J7994" i="13"/>
  <c r="F7994" i="13"/>
  <c r="A7994" i="13"/>
  <c r="J7993" i="13"/>
  <c r="F7993" i="13"/>
  <c r="A7993" i="13"/>
  <c r="J7992" i="13"/>
  <c r="F7992" i="13"/>
  <c r="A7992" i="13"/>
  <c r="F7991" i="13"/>
  <c r="A7991" i="13"/>
  <c r="F7990" i="13"/>
  <c r="A7990" i="13"/>
  <c r="J7989" i="13"/>
  <c r="F7989" i="13"/>
  <c r="A7989" i="13"/>
  <c r="J7988" i="13"/>
  <c r="F7988" i="13"/>
  <c r="A7988" i="13"/>
  <c r="F7987" i="13"/>
  <c r="A7987" i="13"/>
  <c r="J7986" i="13"/>
  <c r="F7986" i="13"/>
  <c r="A7986" i="13"/>
  <c r="J7985" i="13"/>
  <c r="F7985" i="13"/>
  <c r="A7985" i="13"/>
  <c r="J7984" i="13"/>
  <c r="F7984" i="13"/>
  <c r="A7984" i="13"/>
  <c r="J7983" i="13"/>
  <c r="F7983" i="13"/>
  <c r="A7983" i="13"/>
  <c r="F7982" i="13"/>
  <c r="A7982" i="13"/>
  <c r="F7981" i="13"/>
  <c r="A7981" i="13"/>
  <c r="F7980" i="13"/>
  <c r="A7980" i="13"/>
  <c r="F7979" i="13"/>
  <c r="A7979" i="13"/>
  <c r="F7978" i="13"/>
  <c r="A7978" i="13"/>
  <c r="F7977" i="13"/>
  <c r="A7977" i="13"/>
  <c r="F7976" i="13"/>
  <c r="A7976" i="13"/>
  <c r="F7975" i="13"/>
  <c r="A7975" i="13"/>
  <c r="F7974" i="13"/>
  <c r="A7974" i="13"/>
  <c r="F7973" i="13"/>
  <c r="A7973" i="13"/>
  <c r="F7972" i="13"/>
  <c r="A7972" i="13"/>
  <c r="F7971" i="13"/>
  <c r="A7971" i="13"/>
  <c r="F7970" i="13"/>
  <c r="A7970" i="13"/>
  <c r="F7969" i="13"/>
  <c r="A7969" i="13"/>
  <c r="F7968" i="13"/>
  <c r="A7968" i="13"/>
  <c r="F7967" i="13"/>
  <c r="A7967" i="13"/>
  <c r="F7966" i="13"/>
  <c r="A7966" i="13"/>
  <c r="F7965" i="13"/>
  <c r="A7965" i="13"/>
  <c r="F7964" i="13"/>
  <c r="A7964" i="13"/>
  <c r="F7963" i="13"/>
  <c r="A7963" i="13"/>
  <c r="F7962" i="13"/>
  <c r="A7962" i="13"/>
  <c r="J7961" i="13"/>
  <c r="F7961" i="13"/>
  <c r="A7961" i="13"/>
  <c r="F7960" i="13"/>
  <c r="A7960" i="13"/>
  <c r="J7959" i="13"/>
  <c r="F7959" i="13"/>
  <c r="A7959" i="13"/>
  <c r="J7958" i="13"/>
  <c r="F7958" i="13"/>
  <c r="A7958" i="13"/>
  <c r="J7957" i="13"/>
  <c r="F7957" i="13"/>
  <c r="A7957" i="13"/>
  <c r="J7956" i="13"/>
  <c r="F7956" i="13"/>
  <c r="A7956" i="13"/>
  <c r="F7955" i="13"/>
  <c r="A7955" i="13"/>
  <c r="F7954" i="13"/>
  <c r="A7954" i="13"/>
  <c r="J7953" i="13"/>
  <c r="F7953" i="13"/>
  <c r="A7953" i="13"/>
  <c r="F7952" i="13"/>
  <c r="A7952" i="13"/>
  <c r="J7951" i="13"/>
  <c r="F7951" i="13"/>
  <c r="A7951" i="13"/>
  <c r="J7950" i="13"/>
  <c r="F7950" i="13"/>
  <c r="A7950" i="13"/>
  <c r="F7949" i="13"/>
  <c r="A7949" i="13"/>
  <c r="F7948" i="13"/>
  <c r="A7948" i="13"/>
  <c r="F7947" i="13"/>
  <c r="A7947" i="13"/>
  <c r="F7946" i="13"/>
  <c r="A7946" i="13"/>
  <c r="F7945" i="13"/>
  <c r="A7945" i="13"/>
  <c r="F7944" i="13"/>
  <c r="A7944" i="13"/>
  <c r="J7943" i="13"/>
  <c r="F7943" i="13"/>
  <c r="J7942" i="13"/>
  <c r="F7942" i="13"/>
  <c r="F7941" i="13"/>
  <c r="A7941" i="13"/>
  <c r="F7940" i="13"/>
  <c r="A7940" i="13"/>
  <c r="F7939" i="13"/>
  <c r="A7939" i="13"/>
  <c r="F7938" i="13"/>
  <c r="A7938" i="13"/>
  <c r="F7937" i="13"/>
  <c r="A7937" i="13"/>
  <c r="F7936" i="13"/>
  <c r="J7935" i="13"/>
  <c r="F7935" i="13"/>
  <c r="A7935" i="13"/>
  <c r="J7934" i="13"/>
  <c r="F7934" i="13"/>
  <c r="A7934" i="13"/>
  <c r="F7933" i="13"/>
  <c r="A7933" i="13"/>
  <c r="F7932" i="13"/>
  <c r="A7932" i="13"/>
  <c r="F7931" i="13"/>
  <c r="A7931" i="13"/>
  <c r="J7930" i="13"/>
  <c r="F7930" i="13"/>
  <c r="A7930" i="13"/>
  <c r="F7929" i="13"/>
  <c r="A7929" i="13"/>
  <c r="J7928" i="13"/>
  <c r="F7928" i="13"/>
  <c r="A7928" i="13"/>
  <c r="F7927" i="13"/>
  <c r="A7927" i="13"/>
  <c r="J7926" i="13"/>
  <c r="F7926" i="13"/>
  <c r="A7926" i="13"/>
  <c r="F7925" i="13"/>
  <c r="A7925" i="13"/>
  <c r="F7924" i="13"/>
  <c r="A7924" i="13"/>
  <c r="F7923" i="13"/>
  <c r="A7923" i="13"/>
  <c r="F7922" i="13"/>
  <c r="A7922" i="13"/>
  <c r="F7921" i="13"/>
  <c r="A7921" i="13"/>
  <c r="F7920" i="13"/>
  <c r="A7920" i="13"/>
  <c r="J7919" i="13"/>
  <c r="F7919" i="13"/>
  <c r="A7919" i="13"/>
  <c r="J7918" i="13"/>
  <c r="F7918" i="13"/>
  <c r="A7918" i="13"/>
  <c r="J7917" i="13"/>
  <c r="F7917" i="13"/>
  <c r="A7917" i="13"/>
  <c r="J7916" i="13"/>
  <c r="F7916" i="13"/>
  <c r="A7916" i="13"/>
  <c r="J7915" i="13"/>
  <c r="F7915" i="13"/>
  <c r="A7915" i="13"/>
  <c r="F7914" i="13"/>
  <c r="A7914" i="13"/>
  <c r="J7913" i="13"/>
  <c r="F7913" i="13"/>
  <c r="A7913" i="13"/>
  <c r="J7912" i="13"/>
  <c r="F7912" i="13"/>
  <c r="A7912" i="13"/>
  <c r="F7911" i="13"/>
  <c r="A7911" i="13"/>
  <c r="J7910" i="13"/>
  <c r="F7910" i="13"/>
  <c r="A7910" i="13"/>
  <c r="F7909" i="13"/>
  <c r="A7909" i="13"/>
  <c r="J7908" i="13"/>
  <c r="F7908" i="13"/>
  <c r="A7908" i="13"/>
  <c r="J7907" i="13"/>
  <c r="F7907" i="13"/>
  <c r="A7907" i="13"/>
  <c r="F7906" i="13"/>
  <c r="A7906" i="13"/>
  <c r="F7905" i="13"/>
  <c r="A7905" i="13"/>
  <c r="F7904" i="13"/>
  <c r="A7904" i="13"/>
  <c r="J7903" i="13"/>
  <c r="F7903" i="13"/>
  <c r="A7903" i="13"/>
  <c r="J7902" i="13"/>
  <c r="F7902" i="13"/>
  <c r="A7902" i="13"/>
  <c r="F7901" i="13"/>
  <c r="A7901" i="13"/>
  <c r="J7900" i="13"/>
  <c r="F7900" i="13"/>
  <c r="A7900" i="13"/>
  <c r="F7899" i="13"/>
  <c r="A7899" i="13"/>
  <c r="J7898" i="13"/>
  <c r="F7898" i="13"/>
  <c r="A7898" i="13"/>
  <c r="J7897" i="13"/>
  <c r="F7897" i="13"/>
  <c r="A7897" i="13"/>
  <c r="J7896" i="13"/>
  <c r="F7896" i="13"/>
  <c r="A7896" i="13"/>
  <c r="J7895" i="13"/>
  <c r="F7895" i="13"/>
  <c r="A7895" i="13"/>
  <c r="J7894" i="13"/>
  <c r="F7894" i="13"/>
  <c r="A7894" i="13"/>
  <c r="J7893" i="13"/>
  <c r="F7893" i="13"/>
  <c r="A7893" i="13"/>
  <c r="F7892" i="13"/>
  <c r="A7892" i="13"/>
  <c r="J7891" i="13"/>
  <c r="F7891" i="13"/>
  <c r="A7891" i="13"/>
  <c r="J7890" i="13"/>
  <c r="F7890" i="13"/>
  <c r="A7890" i="13"/>
  <c r="J7889" i="13"/>
  <c r="F7889" i="13"/>
  <c r="A7889" i="13"/>
  <c r="F7888" i="13"/>
  <c r="A7888" i="13"/>
  <c r="F7887" i="13"/>
  <c r="A7887" i="13"/>
  <c r="F7886" i="13"/>
  <c r="A7886" i="13"/>
  <c r="J7885" i="13"/>
  <c r="F7885" i="13"/>
  <c r="A7885" i="13"/>
  <c r="J7884" i="13"/>
  <c r="F7884" i="13"/>
  <c r="A7884" i="13"/>
  <c r="J7883" i="13"/>
  <c r="F7883" i="13"/>
  <c r="A7883" i="13"/>
  <c r="J7882" i="13"/>
  <c r="F7882" i="13"/>
  <c r="A7882" i="13"/>
  <c r="J7881" i="13"/>
  <c r="F7881" i="13"/>
  <c r="A7881" i="13"/>
  <c r="J7880" i="13"/>
  <c r="F7880" i="13"/>
  <c r="A7880" i="13"/>
  <c r="J7879" i="13"/>
  <c r="F7879" i="13"/>
  <c r="A7879" i="13"/>
  <c r="J7878" i="13"/>
  <c r="F7878" i="13"/>
  <c r="A7878" i="13"/>
  <c r="J7877" i="13"/>
  <c r="F7877" i="13"/>
  <c r="A7877" i="13"/>
  <c r="J7876" i="13"/>
  <c r="F7876" i="13"/>
  <c r="A7876" i="13"/>
  <c r="J7875" i="13"/>
  <c r="F7875" i="13"/>
  <c r="A7875" i="13"/>
  <c r="J7874" i="13"/>
  <c r="F7874" i="13"/>
  <c r="A7874" i="13"/>
  <c r="J7873" i="13"/>
  <c r="F7873" i="13"/>
  <c r="A7873" i="13"/>
  <c r="J7872" i="13"/>
  <c r="F7872" i="13"/>
  <c r="A7872" i="13"/>
  <c r="J7871" i="13"/>
  <c r="F7871" i="13"/>
  <c r="A7871" i="13"/>
  <c r="J7870" i="13"/>
  <c r="F7870" i="13"/>
  <c r="A7870" i="13"/>
  <c r="J7869" i="13"/>
  <c r="F7869" i="13"/>
  <c r="A7869" i="13"/>
  <c r="J7868" i="13"/>
  <c r="F7868" i="13"/>
  <c r="A7868" i="13"/>
  <c r="J7867" i="13"/>
  <c r="F7867" i="13"/>
  <c r="A7867" i="13"/>
  <c r="J7866" i="13"/>
  <c r="F7866" i="13"/>
  <c r="A7866" i="13"/>
  <c r="J7865" i="13"/>
  <c r="F7865" i="13"/>
  <c r="A7865" i="13"/>
  <c r="J7864" i="13"/>
  <c r="F7864" i="13"/>
  <c r="J7863" i="13"/>
  <c r="F7863" i="13"/>
  <c r="A7863" i="13"/>
  <c r="J7862" i="13"/>
  <c r="F7862" i="13"/>
  <c r="A7862" i="13"/>
  <c r="J7861" i="13"/>
  <c r="F7861" i="13"/>
  <c r="A7861" i="13"/>
  <c r="J7860" i="13"/>
  <c r="F7860" i="13"/>
  <c r="A7860" i="13"/>
  <c r="F7859" i="13"/>
  <c r="A7859" i="13"/>
  <c r="F7858" i="13"/>
  <c r="A7858" i="13"/>
  <c r="F7857" i="13"/>
  <c r="A7857" i="13"/>
  <c r="J7856" i="13"/>
  <c r="F7856" i="13"/>
  <c r="A7856" i="13"/>
  <c r="J7855" i="13"/>
  <c r="F7855" i="13"/>
  <c r="A7855" i="13"/>
  <c r="F7854" i="13"/>
  <c r="A7854" i="13"/>
  <c r="J7853" i="13"/>
  <c r="F7853" i="13"/>
  <c r="A7853" i="13"/>
  <c r="J7852" i="13"/>
  <c r="F7852" i="13"/>
  <c r="A7852" i="13"/>
  <c r="F7851" i="13"/>
  <c r="A7851" i="13"/>
  <c r="J7850" i="13"/>
  <c r="F7850" i="13"/>
  <c r="A7850" i="13"/>
  <c r="J7849" i="13"/>
  <c r="F7849" i="13"/>
  <c r="A7849" i="13"/>
  <c r="J7848" i="13"/>
  <c r="F7848" i="13"/>
  <c r="A7848" i="13"/>
  <c r="J7847" i="13"/>
  <c r="F7847" i="13"/>
  <c r="A7847" i="13"/>
  <c r="J7846" i="13"/>
  <c r="F7846" i="13"/>
  <c r="A7846" i="13"/>
  <c r="J7845" i="13"/>
  <c r="F7845" i="13"/>
  <c r="A7845" i="13"/>
  <c r="F7844" i="13"/>
  <c r="A7844" i="13"/>
  <c r="J7843" i="13"/>
  <c r="F7843" i="13"/>
  <c r="A7843" i="13"/>
  <c r="F7842" i="13"/>
  <c r="A7842" i="13"/>
  <c r="F7841" i="13"/>
  <c r="A7841" i="13"/>
  <c r="F7840" i="13"/>
  <c r="A7840" i="13"/>
  <c r="F7839" i="13"/>
  <c r="A7839" i="13"/>
  <c r="J7838" i="13"/>
  <c r="F7838" i="13"/>
  <c r="A7838" i="13"/>
  <c r="F7837" i="13"/>
  <c r="A7837" i="13"/>
  <c r="F7836" i="13"/>
  <c r="A7836" i="13"/>
  <c r="J7835" i="13"/>
  <c r="F7835" i="13"/>
  <c r="A7835" i="13"/>
  <c r="F7834" i="13"/>
  <c r="A7834" i="13"/>
  <c r="J7833" i="13"/>
  <c r="F7833" i="13"/>
  <c r="A7833" i="13"/>
  <c r="F7832" i="13"/>
  <c r="A7832" i="13"/>
  <c r="J7831" i="13"/>
  <c r="F7831" i="13"/>
  <c r="A7831" i="13"/>
  <c r="J7830" i="13"/>
  <c r="F7830" i="13"/>
  <c r="A7830" i="13"/>
  <c r="J7829" i="13"/>
  <c r="F7829" i="13"/>
  <c r="A7829" i="13"/>
  <c r="J7828" i="13"/>
  <c r="F7828" i="13"/>
  <c r="A7828" i="13"/>
  <c r="J7827" i="13"/>
  <c r="F7827" i="13"/>
  <c r="A7827" i="13"/>
  <c r="F7826" i="13"/>
  <c r="A7826" i="13"/>
  <c r="F7825" i="13"/>
  <c r="A7825" i="13"/>
  <c r="F7824" i="13"/>
  <c r="A7824" i="13"/>
  <c r="J7823" i="13"/>
  <c r="F7823" i="13"/>
  <c r="A7823" i="13"/>
  <c r="J7822" i="13"/>
  <c r="F7822" i="13"/>
  <c r="A7822" i="13"/>
  <c r="J7821" i="13"/>
  <c r="F7821" i="13"/>
  <c r="A7821" i="13"/>
  <c r="J7820" i="13"/>
  <c r="F7820" i="13"/>
  <c r="A7820" i="13"/>
  <c r="J7819" i="13"/>
  <c r="F7819" i="13"/>
  <c r="A7819" i="13"/>
  <c r="J7818" i="13"/>
  <c r="F7818" i="13"/>
  <c r="A7818" i="13"/>
  <c r="F7817" i="13"/>
  <c r="A7817" i="13"/>
  <c r="J7816" i="13"/>
  <c r="F7816" i="13"/>
  <c r="A7816" i="13"/>
  <c r="J7815" i="13"/>
  <c r="F7815" i="13"/>
  <c r="A7815" i="13"/>
  <c r="J7814" i="13"/>
  <c r="F7814" i="13"/>
  <c r="A7814" i="13"/>
  <c r="J7813" i="13"/>
  <c r="F7813" i="13"/>
  <c r="A7813" i="13"/>
  <c r="J7812" i="13"/>
  <c r="F7812" i="13"/>
  <c r="A7812" i="13"/>
  <c r="J7811" i="13"/>
  <c r="F7811" i="13"/>
  <c r="A7811" i="13"/>
  <c r="F7810" i="13"/>
  <c r="A7810" i="13"/>
  <c r="J7809" i="13"/>
  <c r="F7809" i="13"/>
  <c r="A7809" i="13"/>
  <c r="J7808" i="13"/>
  <c r="F7808" i="13"/>
  <c r="A7808" i="13"/>
  <c r="J7807" i="13"/>
  <c r="F7807" i="13"/>
  <c r="A7807" i="13"/>
  <c r="J7806" i="13"/>
  <c r="F7806" i="13"/>
  <c r="A7806" i="13"/>
  <c r="F7805" i="13"/>
  <c r="A7805" i="13"/>
  <c r="F7804" i="13"/>
  <c r="A7804" i="13"/>
  <c r="F7803" i="13"/>
  <c r="A7803" i="13"/>
  <c r="J7802" i="13"/>
  <c r="F7802" i="13"/>
  <c r="A7802" i="13"/>
  <c r="J7801" i="13"/>
  <c r="F7801" i="13"/>
  <c r="A7801" i="13"/>
  <c r="J7800" i="13"/>
  <c r="F7800" i="13"/>
  <c r="A7800" i="13"/>
  <c r="F7799" i="13"/>
  <c r="A7799" i="13"/>
  <c r="F7798" i="13"/>
  <c r="A7798" i="13"/>
  <c r="F7797" i="13"/>
  <c r="A7797" i="13"/>
  <c r="J7796" i="13"/>
  <c r="F7796" i="13"/>
  <c r="A7796" i="13"/>
  <c r="J7795" i="13"/>
  <c r="F7795" i="13"/>
  <c r="A7795" i="13"/>
  <c r="J7794" i="13"/>
  <c r="F7794" i="13"/>
  <c r="A7794" i="13"/>
  <c r="F7793" i="13"/>
  <c r="A7793" i="13"/>
  <c r="F7792" i="13"/>
  <c r="A7792" i="13"/>
  <c r="F7791" i="13"/>
  <c r="A7791" i="13"/>
  <c r="J7790" i="13"/>
  <c r="F7790" i="13"/>
  <c r="A7790" i="13"/>
  <c r="J7789" i="13"/>
  <c r="F7789" i="13"/>
  <c r="A7789" i="13"/>
  <c r="J7788" i="13"/>
  <c r="F7788" i="13"/>
  <c r="A7788" i="13"/>
  <c r="J7787" i="13"/>
  <c r="F7787" i="13"/>
  <c r="A7787" i="13"/>
  <c r="F7786" i="13"/>
  <c r="A7786" i="13"/>
  <c r="J7785" i="13"/>
  <c r="F7785" i="13"/>
  <c r="A7785" i="13"/>
  <c r="F7784" i="13"/>
  <c r="A7784" i="13"/>
  <c r="F7783" i="13"/>
  <c r="A7783" i="13"/>
  <c r="F7782" i="13"/>
  <c r="A7782" i="13"/>
  <c r="F7781" i="13"/>
  <c r="A7781" i="13"/>
  <c r="F7780" i="13"/>
  <c r="A7780" i="13"/>
  <c r="F7779" i="13"/>
  <c r="A7779" i="13"/>
  <c r="F7778" i="13"/>
  <c r="A7778" i="13"/>
  <c r="F7777" i="13"/>
  <c r="A7777" i="13"/>
  <c r="F7776" i="13"/>
  <c r="A7776" i="13"/>
  <c r="F7775" i="13"/>
  <c r="A7775" i="13"/>
  <c r="F7774" i="13"/>
  <c r="A7774" i="13"/>
  <c r="F7773" i="13"/>
  <c r="A7773" i="13"/>
  <c r="F7772" i="13"/>
  <c r="A7772" i="13"/>
  <c r="F7771" i="13"/>
  <c r="A7771" i="13"/>
  <c r="F7770" i="13"/>
  <c r="A7770" i="13"/>
  <c r="F7769" i="13"/>
  <c r="A7769" i="13"/>
  <c r="F7768" i="13"/>
  <c r="A7768" i="13"/>
  <c r="F7767" i="13"/>
  <c r="A7767" i="13"/>
  <c r="F7766" i="13"/>
  <c r="A7766" i="13"/>
  <c r="F7765" i="13"/>
  <c r="A7765" i="13"/>
  <c r="F7764" i="13"/>
  <c r="A7764" i="13"/>
  <c r="F7763" i="13"/>
  <c r="A7763" i="13"/>
  <c r="F7762" i="13"/>
  <c r="A7762" i="13"/>
  <c r="J7761" i="13"/>
  <c r="F7761" i="13"/>
  <c r="A7761" i="13"/>
  <c r="F7760" i="13"/>
  <c r="A7760" i="13"/>
  <c r="F7759" i="13"/>
  <c r="A7759" i="13"/>
  <c r="J7758" i="13"/>
  <c r="F7758" i="13"/>
  <c r="A7758" i="13"/>
  <c r="J7757" i="13"/>
  <c r="F7757" i="13"/>
  <c r="A7757" i="13"/>
  <c r="J7756" i="13"/>
  <c r="F7756" i="13"/>
  <c r="A7756" i="13"/>
  <c r="F7755" i="13"/>
  <c r="A7755" i="13"/>
  <c r="J7754" i="13"/>
  <c r="F7754" i="13"/>
  <c r="A7754" i="13"/>
  <c r="J7753" i="13"/>
  <c r="F7753" i="13"/>
  <c r="A7753" i="13"/>
  <c r="J7752" i="13"/>
  <c r="F7752" i="13"/>
  <c r="A7752" i="13"/>
  <c r="J7751" i="13"/>
  <c r="F7751" i="13"/>
  <c r="A7751" i="13"/>
  <c r="J7750" i="13"/>
  <c r="F7750" i="13"/>
  <c r="A7750" i="13"/>
  <c r="J7749" i="13"/>
  <c r="F7749" i="13"/>
  <c r="A7749" i="13"/>
  <c r="F7748" i="13"/>
  <c r="A7748" i="13"/>
  <c r="J7747" i="13"/>
  <c r="F7747" i="13"/>
  <c r="A7747" i="13"/>
  <c r="J7746" i="13"/>
  <c r="F7746" i="13"/>
  <c r="A7746" i="13"/>
  <c r="J7745" i="13"/>
  <c r="F7745" i="13"/>
  <c r="A7745" i="13"/>
  <c r="F7744" i="13"/>
  <c r="A7744" i="13"/>
  <c r="J7743" i="13"/>
  <c r="F7743" i="13"/>
  <c r="A7743" i="13"/>
  <c r="F7742" i="13"/>
  <c r="A7742" i="13"/>
  <c r="J7741" i="13"/>
  <c r="F7741" i="13"/>
  <c r="A7741" i="13"/>
  <c r="J7740" i="13"/>
  <c r="F7740" i="13"/>
  <c r="A7740" i="13"/>
  <c r="F7739" i="13"/>
  <c r="A7739" i="13"/>
  <c r="J7738" i="13"/>
  <c r="F7738" i="13"/>
  <c r="A7738" i="13"/>
  <c r="F7737" i="13"/>
  <c r="A7737" i="13"/>
  <c r="F7736" i="13"/>
  <c r="A7736" i="13"/>
  <c r="F7735" i="13"/>
  <c r="A7735" i="13"/>
  <c r="J7734" i="13"/>
  <c r="F7734" i="13"/>
  <c r="A7734" i="13"/>
  <c r="J7733" i="13"/>
  <c r="F7733" i="13"/>
  <c r="A7733" i="13"/>
  <c r="J7732" i="13"/>
  <c r="F7732" i="13"/>
  <c r="A7732" i="13"/>
  <c r="F7731" i="13"/>
  <c r="A7731" i="13"/>
  <c r="J7730" i="13"/>
  <c r="F7730" i="13"/>
  <c r="A7730" i="13"/>
  <c r="J7729" i="13"/>
  <c r="F7729" i="13"/>
  <c r="A7729" i="13"/>
  <c r="J7728" i="13"/>
  <c r="F7728" i="13"/>
  <c r="A7728" i="13"/>
  <c r="F7727" i="13"/>
  <c r="A7727" i="13"/>
  <c r="J7726" i="13"/>
  <c r="F7726" i="13"/>
  <c r="A7726" i="13"/>
  <c r="J7725" i="13"/>
  <c r="F7725" i="13"/>
  <c r="A7725" i="13"/>
  <c r="F7724" i="13"/>
  <c r="A7724" i="13"/>
  <c r="F7723" i="13"/>
  <c r="A7723" i="13"/>
  <c r="J7722" i="13"/>
  <c r="F7722" i="13"/>
  <c r="A7722" i="13"/>
  <c r="J7721" i="13"/>
  <c r="F7721" i="13"/>
  <c r="A7721" i="13"/>
  <c r="J7720" i="13"/>
  <c r="F7720" i="13"/>
  <c r="A7720" i="13"/>
  <c r="J7719" i="13"/>
  <c r="F7719" i="13"/>
  <c r="A7719" i="13"/>
  <c r="F7718" i="13"/>
  <c r="A7718" i="13"/>
  <c r="F7717" i="13"/>
  <c r="A7717" i="13"/>
  <c r="F7716" i="13"/>
  <c r="A7716" i="13"/>
  <c r="J7715" i="13"/>
  <c r="F7715" i="13"/>
  <c r="A7715" i="13"/>
  <c r="J7714" i="13"/>
  <c r="F7714" i="13"/>
  <c r="A7714" i="13"/>
  <c r="F7713" i="13"/>
  <c r="A7713" i="13"/>
  <c r="F7712" i="13"/>
  <c r="A7712" i="13"/>
  <c r="J7711" i="13"/>
  <c r="F7711" i="13"/>
  <c r="A7711" i="13"/>
  <c r="J7710" i="13"/>
  <c r="F7710" i="13"/>
  <c r="A7710" i="13"/>
  <c r="J7709" i="13"/>
  <c r="F7709" i="13"/>
  <c r="A7709" i="13"/>
  <c r="J7708" i="13"/>
  <c r="F7708" i="13"/>
  <c r="A7708" i="13"/>
  <c r="J7707" i="13"/>
  <c r="F7707" i="13"/>
  <c r="A7707" i="13"/>
  <c r="F7706" i="13"/>
  <c r="A7706" i="13"/>
  <c r="F7705" i="13"/>
  <c r="A7705" i="13"/>
  <c r="J7704" i="13"/>
  <c r="F7704" i="13"/>
  <c r="A7704" i="13"/>
  <c r="J7703" i="13"/>
  <c r="F7703" i="13"/>
  <c r="A7703" i="13"/>
  <c r="F7702" i="13"/>
  <c r="A7702" i="13"/>
  <c r="J7701" i="13"/>
  <c r="F7701" i="13"/>
  <c r="A7701" i="13"/>
  <c r="J7700" i="13"/>
  <c r="F7700" i="13"/>
  <c r="A7700" i="13"/>
  <c r="J7699" i="13"/>
  <c r="F7699" i="13"/>
  <c r="A7699" i="13"/>
  <c r="J7698" i="13"/>
  <c r="F7698" i="13"/>
  <c r="A7698" i="13"/>
  <c r="J7697" i="13"/>
  <c r="F7697" i="13"/>
  <c r="A7697" i="13"/>
  <c r="J7696" i="13"/>
  <c r="F7696" i="13"/>
  <c r="A7696" i="13"/>
  <c r="F7695" i="13"/>
  <c r="A7695" i="13"/>
  <c r="J7694" i="13"/>
  <c r="F7694" i="13"/>
  <c r="A7694" i="13"/>
  <c r="J7693" i="13"/>
  <c r="F7693" i="13"/>
  <c r="A7693" i="13"/>
  <c r="F7692" i="13"/>
  <c r="A7692" i="13"/>
  <c r="J7691" i="13"/>
  <c r="F7691" i="13"/>
  <c r="A7691" i="13"/>
  <c r="J7690" i="13"/>
  <c r="F7690" i="13"/>
  <c r="A7690" i="13"/>
  <c r="F7689" i="13"/>
  <c r="A7689" i="13"/>
  <c r="J7688" i="13"/>
  <c r="F7688" i="13"/>
  <c r="A7688" i="13"/>
  <c r="J7687" i="13"/>
  <c r="F7687" i="13"/>
  <c r="A7687" i="13"/>
  <c r="F7686" i="13"/>
  <c r="A7686" i="13"/>
  <c r="F7685" i="13"/>
  <c r="A7685" i="13"/>
  <c r="J7684" i="13"/>
  <c r="F7684" i="13"/>
  <c r="A7684" i="13"/>
  <c r="F7683" i="13"/>
  <c r="A7683" i="13"/>
  <c r="F7682" i="13"/>
  <c r="A7682" i="13"/>
  <c r="F7681" i="13"/>
  <c r="A7681" i="13"/>
  <c r="F7680" i="13"/>
  <c r="A7680" i="13"/>
  <c r="F7679" i="13"/>
  <c r="A7679" i="13"/>
  <c r="F7678" i="13"/>
  <c r="A7678" i="13"/>
  <c r="F7677" i="13"/>
  <c r="A7677" i="13"/>
  <c r="F7676" i="13"/>
  <c r="A7676" i="13"/>
  <c r="F7675" i="13"/>
  <c r="A7675" i="13"/>
  <c r="F7674" i="13"/>
  <c r="A7674" i="13"/>
  <c r="F7673" i="13"/>
  <c r="A7673" i="13"/>
  <c r="F7672" i="13"/>
  <c r="A7672" i="13"/>
  <c r="F7671" i="13"/>
  <c r="A7671" i="13"/>
  <c r="F7670" i="13"/>
  <c r="A7670" i="13"/>
  <c r="F7669" i="13"/>
  <c r="A7669" i="13"/>
  <c r="F7668" i="13"/>
  <c r="A7668" i="13"/>
  <c r="F7667" i="13"/>
  <c r="J7666" i="13"/>
  <c r="F7666" i="13"/>
  <c r="A7666" i="13"/>
  <c r="J7665" i="13"/>
  <c r="F7665" i="13"/>
  <c r="A7665" i="13"/>
  <c r="J7664" i="13"/>
  <c r="F7664" i="13"/>
  <c r="A7664" i="13"/>
  <c r="F7663" i="13"/>
  <c r="A7663" i="13"/>
  <c r="J7662" i="13"/>
  <c r="F7662" i="13"/>
  <c r="A7662" i="13"/>
  <c r="J7661" i="13"/>
  <c r="F7661" i="13"/>
  <c r="A7661" i="13"/>
  <c r="J7660" i="13"/>
  <c r="F7660" i="13"/>
  <c r="A7660" i="13"/>
  <c r="F7659" i="13"/>
  <c r="A7659" i="13"/>
  <c r="F7658" i="13"/>
  <c r="A7658" i="13"/>
  <c r="J7657" i="13"/>
  <c r="F7657" i="13"/>
  <c r="A7657" i="13"/>
  <c r="J7656" i="13"/>
  <c r="F7656" i="13"/>
  <c r="A7656" i="13"/>
  <c r="F7655" i="13"/>
  <c r="A7655" i="13"/>
  <c r="J7654" i="13"/>
  <c r="F7654" i="13"/>
  <c r="A7654" i="13"/>
  <c r="J7653" i="13"/>
  <c r="F7653" i="13"/>
  <c r="A7653" i="13"/>
  <c r="J7652" i="13"/>
  <c r="F7652" i="13"/>
  <c r="A7652" i="13"/>
  <c r="J7651" i="13"/>
  <c r="F7651" i="13"/>
  <c r="A7651" i="13"/>
  <c r="F7650" i="13"/>
  <c r="A7650" i="13"/>
  <c r="J7649" i="13"/>
  <c r="F7649" i="13"/>
  <c r="A7649" i="13"/>
  <c r="J7648" i="13"/>
  <c r="F7648" i="13"/>
  <c r="A7648" i="13"/>
  <c r="J7647" i="13"/>
  <c r="F7647" i="13"/>
  <c r="A7647" i="13"/>
  <c r="J7646" i="13"/>
  <c r="F7646" i="13"/>
  <c r="A7646" i="13"/>
  <c r="J7645" i="13"/>
  <c r="F7645" i="13"/>
  <c r="A7645" i="13"/>
  <c r="F7644" i="13"/>
  <c r="A7644" i="13"/>
  <c r="J7643" i="13"/>
  <c r="F7643" i="13"/>
  <c r="A7643" i="13"/>
  <c r="J7642" i="13"/>
  <c r="F7642" i="13"/>
  <c r="A7642" i="13"/>
  <c r="F7641" i="13"/>
  <c r="A7641" i="13"/>
  <c r="J7640" i="13"/>
  <c r="F7640" i="13"/>
  <c r="A7640" i="13"/>
  <c r="J7639" i="13"/>
  <c r="F7639" i="13"/>
  <c r="A7639" i="13"/>
  <c r="J7638" i="13"/>
  <c r="F7638" i="13"/>
  <c r="A7638" i="13"/>
  <c r="J7637" i="13"/>
  <c r="F7637" i="13"/>
  <c r="A7637" i="13"/>
  <c r="J7636" i="13"/>
  <c r="F7636" i="13"/>
  <c r="A7636" i="13"/>
  <c r="F7635" i="13"/>
  <c r="A7635" i="13"/>
  <c r="J7634" i="13"/>
  <c r="F7634" i="13"/>
  <c r="A7634" i="13"/>
  <c r="J7633" i="13"/>
  <c r="F7633" i="13"/>
  <c r="A7633" i="13"/>
  <c r="F7632" i="13"/>
  <c r="A7632" i="13"/>
  <c r="J7631" i="13"/>
  <c r="F7631" i="13"/>
  <c r="A7631" i="13"/>
  <c r="J7630" i="13"/>
  <c r="F7630" i="13"/>
  <c r="A7630" i="13"/>
  <c r="F7629" i="13"/>
  <c r="A7629" i="13"/>
  <c r="J7628" i="13"/>
  <c r="F7628" i="13"/>
  <c r="A7628" i="13"/>
  <c r="J7627" i="13"/>
  <c r="F7627" i="13"/>
  <c r="A7627" i="13"/>
  <c r="J7626" i="13"/>
  <c r="F7626" i="13"/>
  <c r="A7626" i="13"/>
  <c r="J7625" i="13"/>
  <c r="F7625" i="13"/>
  <c r="A7625" i="13"/>
  <c r="F7624" i="13"/>
  <c r="A7624" i="13"/>
  <c r="J7623" i="13"/>
  <c r="F7623" i="13"/>
  <c r="A7623" i="13"/>
  <c r="F7622" i="13"/>
  <c r="A7622" i="13"/>
  <c r="J7621" i="13"/>
  <c r="F7621" i="13"/>
  <c r="A7621" i="13"/>
  <c r="J7620" i="13"/>
  <c r="F7620" i="13"/>
  <c r="A7620" i="13"/>
  <c r="F7619" i="13"/>
  <c r="A7619" i="13"/>
  <c r="J7618" i="13"/>
  <c r="F7618" i="13"/>
  <c r="A7618" i="13"/>
  <c r="J7617" i="13"/>
  <c r="F7617" i="13"/>
  <c r="A7617" i="13"/>
  <c r="J7616" i="13"/>
  <c r="F7616" i="13"/>
  <c r="A7616" i="13"/>
  <c r="J7615" i="13"/>
  <c r="F7615" i="13"/>
  <c r="A7615" i="13"/>
  <c r="J7614" i="13"/>
  <c r="F7614" i="13"/>
  <c r="A7614" i="13"/>
  <c r="F7613" i="13"/>
  <c r="A7613" i="13"/>
  <c r="F7612" i="13"/>
  <c r="A7612" i="13"/>
  <c r="J7611" i="13"/>
  <c r="F7611" i="13"/>
  <c r="A7611" i="13"/>
  <c r="J7610" i="13"/>
  <c r="F7610" i="13"/>
  <c r="A7610" i="13"/>
  <c r="J7609" i="13"/>
  <c r="F7609" i="13"/>
  <c r="A7609" i="13"/>
  <c r="F7608" i="13"/>
  <c r="A7608" i="13"/>
  <c r="J7607" i="13"/>
  <c r="F7607" i="13"/>
  <c r="J7606" i="13"/>
  <c r="F7606" i="13"/>
  <c r="F7605" i="13"/>
  <c r="A7605" i="13"/>
  <c r="F7604" i="13"/>
  <c r="A7604" i="13"/>
  <c r="F7603" i="13"/>
  <c r="A7603" i="13"/>
  <c r="F7602" i="13"/>
  <c r="A7602" i="13"/>
  <c r="F7601" i="13"/>
  <c r="A7601" i="13"/>
  <c r="F7600" i="13"/>
  <c r="A7600" i="13"/>
  <c r="F7599" i="13"/>
  <c r="A7599" i="13"/>
  <c r="F7598" i="13"/>
  <c r="A7598" i="13"/>
  <c r="F7597" i="13"/>
  <c r="A7597" i="13"/>
  <c r="F7596" i="13"/>
  <c r="A7596" i="13"/>
  <c r="F7595" i="13"/>
  <c r="A7595" i="13"/>
  <c r="F7594" i="13"/>
  <c r="A7594" i="13"/>
  <c r="F7593" i="13"/>
  <c r="A7593" i="13"/>
  <c r="F7592" i="13"/>
  <c r="A7592" i="13"/>
  <c r="F7591" i="13"/>
  <c r="A7591" i="13"/>
  <c r="F7590" i="13"/>
  <c r="A7590" i="13"/>
  <c r="F7589" i="13"/>
  <c r="A7589" i="13"/>
  <c r="F7588" i="13"/>
  <c r="A7588" i="13"/>
  <c r="F7587" i="13"/>
  <c r="A7587" i="13"/>
  <c r="F7586" i="13"/>
  <c r="A7586" i="13"/>
  <c r="F7585" i="13"/>
  <c r="A7585" i="13"/>
  <c r="F7584" i="13"/>
  <c r="A7584" i="13"/>
  <c r="F7583" i="13"/>
  <c r="J7582" i="13"/>
  <c r="F7582" i="13"/>
  <c r="A7582" i="13"/>
  <c r="J7581" i="13"/>
  <c r="F7581" i="13"/>
  <c r="A7581" i="13"/>
  <c r="J7580" i="13"/>
  <c r="F7580" i="13"/>
  <c r="A7580" i="13"/>
  <c r="F7579" i="13"/>
  <c r="A7579" i="13"/>
  <c r="J7578" i="13"/>
  <c r="F7578" i="13"/>
  <c r="A7578" i="13"/>
  <c r="J7577" i="13"/>
  <c r="F7577" i="13"/>
  <c r="A7577" i="13"/>
  <c r="J7576" i="13"/>
  <c r="F7576" i="13"/>
  <c r="A7576" i="13"/>
  <c r="J7575" i="13"/>
  <c r="F7575" i="13"/>
  <c r="A7575" i="13"/>
  <c r="F7574" i="13"/>
  <c r="A7574" i="13"/>
  <c r="J7573" i="13"/>
  <c r="F7573" i="13"/>
  <c r="A7573" i="13"/>
  <c r="J7572" i="13"/>
  <c r="F7572" i="13"/>
  <c r="A7572" i="13"/>
  <c r="J7571" i="13"/>
  <c r="F7571" i="13"/>
  <c r="A7571" i="13"/>
  <c r="F7570" i="13"/>
  <c r="A7570" i="13"/>
  <c r="J7569" i="13"/>
  <c r="F7569" i="13"/>
  <c r="A7569" i="13"/>
  <c r="J7568" i="13"/>
  <c r="F7568" i="13"/>
  <c r="A7568" i="13"/>
  <c r="F7567" i="13"/>
  <c r="A7567" i="13"/>
  <c r="J7566" i="13"/>
  <c r="F7566" i="13"/>
  <c r="A7566" i="13"/>
  <c r="F7565" i="13"/>
  <c r="A7565" i="13"/>
  <c r="J7564" i="13"/>
  <c r="F7564" i="13"/>
  <c r="A7564" i="13"/>
  <c r="J7563" i="13"/>
  <c r="F7563" i="13"/>
  <c r="A7563" i="13"/>
  <c r="J7562" i="13"/>
  <c r="F7562" i="13"/>
  <c r="A7562" i="13"/>
  <c r="J7561" i="13"/>
  <c r="F7561" i="13"/>
  <c r="A7561" i="13"/>
  <c r="J7560" i="13"/>
  <c r="F7560" i="13"/>
  <c r="A7560" i="13"/>
  <c r="F7559" i="13"/>
  <c r="A7559" i="13"/>
  <c r="J7558" i="13"/>
  <c r="F7558" i="13"/>
  <c r="A7558" i="13"/>
  <c r="J7557" i="13"/>
  <c r="F7557" i="13"/>
  <c r="A7557" i="13"/>
  <c r="J7556" i="13"/>
  <c r="F7556" i="13"/>
  <c r="A7556" i="13"/>
  <c r="J7555" i="13"/>
  <c r="F7555" i="13"/>
  <c r="A7555" i="13"/>
  <c r="J7554" i="13"/>
  <c r="F7554" i="13"/>
  <c r="A7554" i="13"/>
  <c r="J7553" i="13"/>
  <c r="F7553" i="13"/>
  <c r="A7553" i="13"/>
  <c r="J7552" i="13"/>
  <c r="F7552" i="13"/>
  <c r="A7552" i="13"/>
  <c r="F7551" i="13"/>
  <c r="A7551" i="13"/>
  <c r="J7550" i="13"/>
  <c r="F7550" i="13"/>
  <c r="A7550" i="13"/>
  <c r="J7549" i="13"/>
  <c r="F7549" i="13"/>
  <c r="A7549" i="13"/>
  <c r="J7548" i="13"/>
  <c r="F7548" i="13"/>
  <c r="A7548" i="13"/>
  <c r="F7547" i="13"/>
  <c r="A7547" i="13"/>
  <c r="J7546" i="13"/>
  <c r="F7546" i="13"/>
  <c r="A7546" i="13"/>
  <c r="J7545" i="13"/>
  <c r="F7545" i="13"/>
  <c r="A7545" i="13"/>
  <c r="F7544" i="13"/>
  <c r="A7544" i="13"/>
  <c r="J7543" i="13"/>
  <c r="F7543" i="13"/>
  <c r="A7543" i="13"/>
  <c r="J7542" i="13"/>
  <c r="F7542" i="13"/>
  <c r="A7542" i="13"/>
  <c r="F7541" i="13"/>
  <c r="A7541" i="13"/>
  <c r="J7540" i="13"/>
  <c r="F7540" i="13"/>
  <c r="A7540" i="13"/>
  <c r="J7539" i="13"/>
  <c r="F7539" i="13"/>
  <c r="A7539" i="13"/>
  <c r="F7538" i="13"/>
  <c r="A7538" i="13"/>
  <c r="F7537" i="13"/>
  <c r="A7537" i="13"/>
  <c r="J7536" i="13"/>
  <c r="F7536" i="13"/>
  <c r="A7536" i="13"/>
  <c r="J7535" i="13"/>
  <c r="F7535" i="13"/>
  <c r="A7535" i="13"/>
  <c r="F7534" i="13"/>
  <c r="A7534" i="13"/>
  <c r="F7533" i="13"/>
  <c r="A7533" i="13"/>
  <c r="F7532" i="13"/>
  <c r="A7532" i="13"/>
  <c r="F7531" i="13"/>
  <c r="A7531" i="13"/>
  <c r="F7530" i="13"/>
  <c r="A7530" i="13"/>
  <c r="F7529" i="13"/>
  <c r="A7529" i="13"/>
  <c r="F7528" i="13"/>
  <c r="A7528" i="13"/>
  <c r="F7527" i="13"/>
  <c r="A7527" i="13"/>
  <c r="F7526" i="13"/>
  <c r="A7526" i="13"/>
  <c r="F7525" i="13"/>
  <c r="A7525" i="13"/>
  <c r="F7524" i="13"/>
  <c r="A7524" i="13"/>
  <c r="F7523" i="13"/>
  <c r="A7523" i="13"/>
  <c r="F7522" i="13"/>
  <c r="A7522" i="13"/>
  <c r="F7521" i="13"/>
  <c r="A7521" i="13"/>
  <c r="F7520" i="13"/>
  <c r="A7520" i="13"/>
  <c r="F7519" i="13"/>
  <c r="A7519" i="13"/>
  <c r="F7518" i="13"/>
  <c r="A7518" i="13"/>
  <c r="F7517" i="13"/>
  <c r="A7517" i="13"/>
  <c r="F7516" i="13"/>
  <c r="A7516" i="13"/>
  <c r="F7515" i="13"/>
  <c r="A7515" i="13"/>
  <c r="F7514" i="13"/>
  <c r="A7514" i="13"/>
  <c r="F7513" i="13"/>
  <c r="A7513" i="13"/>
  <c r="F7512" i="13"/>
  <c r="A7512" i="13"/>
  <c r="F7511" i="13"/>
  <c r="A7511" i="13"/>
  <c r="F7510" i="13"/>
  <c r="A7510" i="13"/>
  <c r="F7509" i="13"/>
  <c r="A7509" i="13"/>
  <c r="J7508" i="13"/>
  <c r="F7508" i="13"/>
  <c r="A7508" i="13"/>
  <c r="F7507" i="13"/>
  <c r="A7507" i="13"/>
  <c r="F7506" i="13"/>
  <c r="A7506" i="13"/>
  <c r="F7505" i="13"/>
  <c r="A7505" i="13"/>
  <c r="F7504" i="13"/>
  <c r="A7504" i="13"/>
  <c r="F7503" i="13"/>
  <c r="A7503" i="13"/>
  <c r="F7502" i="13"/>
  <c r="A7502" i="13"/>
  <c r="J7501" i="13"/>
  <c r="F7501" i="13"/>
  <c r="A7501" i="13"/>
  <c r="F7500" i="13"/>
  <c r="A7500" i="13"/>
  <c r="J7499" i="13"/>
  <c r="F7499" i="13"/>
  <c r="A7499" i="13"/>
  <c r="J7498" i="13"/>
  <c r="F7498" i="13"/>
  <c r="A7498" i="13"/>
  <c r="F7497" i="13"/>
  <c r="A7497" i="13"/>
  <c r="F7496" i="13"/>
  <c r="A7496" i="13"/>
  <c r="J7495" i="13"/>
  <c r="F7495" i="13"/>
  <c r="A7495" i="13"/>
  <c r="J7494" i="13"/>
  <c r="F7494" i="13"/>
  <c r="A7494" i="13"/>
  <c r="F7493" i="13"/>
  <c r="A7493" i="13"/>
  <c r="F7492" i="13"/>
  <c r="A7492" i="13"/>
  <c r="J7491" i="13"/>
  <c r="F7491" i="13"/>
  <c r="A7491" i="13"/>
  <c r="J7490" i="13"/>
  <c r="F7490" i="13"/>
  <c r="A7490" i="13"/>
  <c r="J7489" i="13"/>
  <c r="F7489" i="13"/>
  <c r="A7489" i="13"/>
  <c r="F7488" i="13"/>
  <c r="A7488" i="13"/>
  <c r="F7487" i="13"/>
  <c r="A7487" i="13"/>
  <c r="J7486" i="13"/>
  <c r="F7486" i="13"/>
  <c r="J7485" i="13"/>
  <c r="F7485" i="13"/>
  <c r="F7484" i="13"/>
  <c r="A7484" i="13"/>
  <c r="F7483" i="13"/>
  <c r="A7483" i="13"/>
  <c r="F7482" i="13"/>
  <c r="A7482" i="13"/>
  <c r="F7481" i="13"/>
  <c r="A7481" i="13"/>
  <c r="F7480" i="13"/>
  <c r="A7480" i="13"/>
  <c r="F7479" i="13"/>
  <c r="A7479" i="13"/>
  <c r="F7478" i="13"/>
  <c r="A7478" i="13"/>
  <c r="F7477" i="13"/>
  <c r="A7477" i="13"/>
  <c r="F7476" i="13"/>
  <c r="A7476" i="13"/>
  <c r="F7475" i="13"/>
  <c r="A7475" i="13"/>
  <c r="F7474" i="13"/>
  <c r="A7474" i="13"/>
  <c r="F7473" i="13"/>
  <c r="A7473" i="13"/>
  <c r="F7472" i="13"/>
  <c r="A7472" i="13"/>
  <c r="F7471" i="13"/>
  <c r="A7471" i="13"/>
  <c r="F7470" i="13"/>
  <c r="A7470" i="13"/>
  <c r="F7469" i="13"/>
  <c r="A7469" i="13"/>
  <c r="F7468" i="13"/>
  <c r="A7468" i="13"/>
  <c r="F7467" i="13"/>
  <c r="A7467" i="13"/>
  <c r="F7466" i="13"/>
  <c r="A7466" i="13"/>
  <c r="F7465" i="13"/>
  <c r="A7465" i="13"/>
  <c r="F7464" i="13"/>
  <c r="F7463" i="13"/>
  <c r="A7463" i="13"/>
  <c r="J7462" i="13"/>
  <c r="F7462" i="13"/>
  <c r="A7462" i="13"/>
  <c r="J7461" i="13"/>
  <c r="F7461" i="13"/>
  <c r="A7461" i="13"/>
  <c r="J7460" i="13"/>
  <c r="F7460" i="13"/>
  <c r="A7460" i="13"/>
  <c r="F7459" i="13"/>
  <c r="A7459" i="13"/>
  <c r="J7458" i="13"/>
  <c r="F7458" i="13"/>
  <c r="A7458" i="13"/>
  <c r="F7457" i="13"/>
  <c r="A7457" i="13"/>
  <c r="F7456" i="13"/>
  <c r="A7456" i="13"/>
  <c r="J7455" i="13"/>
  <c r="F7455" i="13"/>
  <c r="A7455" i="13"/>
  <c r="J7454" i="13"/>
  <c r="F7454" i="13"/>
  <c r="A7454" i="13"/>
  <c r="F7453" i="13"/>
  <c r="A7453" i="13"/>
  <c r="F7452" i="13"/>
  <c r="A7452" i="13"/>
  <c r="F7451" i="13"/>
  <c r="A7451" i="13"/>
  <c r="J7450" i="13"/>
  <c r="F7450" i="13"/>
  <c r="A7450" i="13"/>
  <c r="J7449" i="13"/>
  <c r="F7449" i="13"/>
  <c r="A7449" i="13"/>
  <c r="F7448" i="13"/>
  <c r="A7448" i="13"/>
  <c r="F7447" i="13"/>
  <c r="A7447" i="13"/>
  <c r="J7446" i="13"/>
  <c r="F7446" i="13"/>
  <c r="A7446" i="13"/>
  <c r="J7445" i="13"/>
  <c r="F7445" i="13"/>
  <c r="A7445" i="13"/>
  <c r="F7444" i="13"/>
  <c r="A7444" i="13"/>
  <c r="J7443" i="13"/>
  <c r="F7443" i="13"/>
  <c r="A7443" i="13"/>
  <c r="J7442" i="13"/>
  <c r="F7442" i="13"/>
  <c r="A7442" i="13"/>
  <c r="J7441" i="13"/>
  <c r="F7441" i="13"/>
  <c r="A7441" i="13"/>
  <c r="J7440" i="13"/>
  <c r="F7440" i="13"/>
  <c r="A7440" i="13"/>
  <c r="J7439" i="13"/>
  <c r="F7439" i="13"/>
  <c r="A7439" i="13"/>
  <c r="F7438" i="13"/>
  <c r="A7438" i="13"/>
  <c r="J7437" i="13"/>
  <c r="F7437" i="13"/>
  <c r="A7437" i="13"/>
  <c r="J7436" i="13"/>
  <c r="F7436" i="13"/>
  <c r="A7436" i="13"/>
  <c r="J7435" i="13"/>
  <c r="F7435" i="13"/>
  <c r="A7435" i="13"/>
  <c r="F7434" i="13"/>
  <c r="A7434" i="13"/>
  <c r="J7433" i="13"/>
  <c r="F7433" i="13"/>
  <c r="A7433" i="13"/>
  <c r="J7432" i="13"/>
  <c r="F7432" i="13"/>
  <c r="J7431" i="13"/>
  <c r="F7431" i="13"/>
  <c r="F7430" i="13"/>
  <c r="A7430" i="13"/>
  <c r="F7429" i="13"/>
  <c r="A7429" i="13"/>
  <c r="F7428" i="13"/>
  <c r="A7428" i="13"/>
  <c r="F7427" i="13"/>
  <c r="A7427" i="13"/>
  <c r="F7426" i="13"/>
  <c r="A7426" i="13"/>
  <c r="F7425" i="13"/>
  <c r="A7425" i="13"/>
  <c r="F7424" i="13"/>
  <c r="A7424" i="13"/>
  <c r="F7423" i="13"/>
  <c r="A7423" i="13"/>
  <c r="F7422" i="13"/>
  <c r="A7422" i="13"/>
  <c r="F7421" i="13"/>
  <c r="A7421" i="13"/>
  <c r="F7420" i="13"/>
  <c r="A7420" i="13"/>
  <c r="F7419" i="13"/>
  <c r="A7419" i="13"/>
  <c r="F7418" i="13"/>
  <c r="A7418" i="13"/>
  <c r="F7417" i="13"/>
  <c r="A7417" i="13"/>
  <c r="F7416" i="13"/>
  <c r="A7416" i="13"/>
  <c r="F7415" i="13"/>
  <c r="A7415" i="13"/>
  <c r="F7414" i="13"/>
  <c r="A7414" i="13"/>
  <c r="F7413" i="13"/>
  <c r="A7413" i="13"/>
  <c r="F7412" i="13"/>
  <c r="A7412" i="13"/>
  <c r="F7411" i="13"/>
  <c r="A7411" i="13"/>
  <c r="F7410" i="13"/>
  <c r="A7410" i="13"/>
  <c r="F7409" i="13"/>
  <c r="A7409" i="13"/>
  <c r="F7408" i="13"/>
  <c r="A7408" i="13"/>
  <c r="F7407" i="13"/>
  <c r="F7406" i="13"/>
  <c r="A7406" i="13"/>
  <c r="F7405" i="13"/>
  <c r="A7405" i="13"/>
  <c r="F7404" i="13"/>
  <c r="A7404" i="13"/>
  <c r="F7403" i="13"/>
  <c r="A7403" i="13"/>
  <c r="F7402" i="13"/>
  <c r="A7402" i="13"/>
  <c r="J7401" i="13"/>
  <c r="F7401" i="13"/>
  <c r="A7401" i="13"/>
  <c r="F7400" i="13"/>
  <c r="A7400" i="13"/>
  <c r="J7399" i="13"/>
  <c r="F7399" i="13"/>
  <c r="A7399" i="13"/>
  <c r="J7398" i="13"/>
  <c r="F7398" i="13"/>
  <c r="A7398" i="13"/>
  <c r="J7397" i="13"/>
  <c r="F7397" i="13"/>
  <c r="A7397" i="13"/>
  <c r="F7396" i="13"/>
  <c r="A7396" i="13"/>
  <c r="J7395" i="13"/>
  <c r="F7395" i="13"/>
  <c r="A7395" i="13"/>
  <c r="J7394" i="13"/>
  <c r="F7394" i="13"/>
  <c r="A7394" i="13"/>
  <c r="F7393" i="13"/>
  <c r="A7393" i="13"/>
  <c r="J7392" i="13"/>
  <c r="F7392" i="13"/>
  <c r="A7392" i="13"/>
  <c r="J7391" i="13"/>
  <c r="F7391" i="13"/>
  <c r="A7391" i="13"/>
  <c r="J7390" i="13"/>
  <c r="F7390" i="13"/>
  <c r="A7390" i="13"/>
  <c r="J7389" i="13"/>
  <c r="F7389" i="13"/>
  <c r="A7389" i="13"/>
  <c r="F7388" i="13"/>
  <c r="A7388" i="13"/>
  <c r="J7387" i="13"/>
  <c r="F7387" i="13"/>
  <c r="A7387" i="13"/>
  <c r="J7386" i="13"/>
  <c r="F7386" i="13"/>
  <c r="A7386" i="13"/>
  <c r="F7385" i="13"/>
  <c r="A7385" i="13"/>
  <c r="F7384" i="13"/>
  <c r="A7384" i="13"/>
  <c r="J7383" i="13"/>
  <c r="F7383" i="13"/>
  <c r="A7383" i="13"/>
  <c r="J7382" i="13"/>
  <c r="F7382" i="13"/>
  <c r="A7382" i="13"/>
  <c r="F7381" i="13"/>
  <c r="A7381" i="13"/>
  <c r="J7380" i="13"/>
  <c r="F7380" i="13"/>
  <c r="A7380" i="13"/>
  <c r="J7379" i="13"/>
  <c r="F7379" i="13"/>
  <c r="A7379" i="13"/>
  <c r="F7378" i="13"/>
  <c r="A7378" i="13"/>
  <c r="F7377" i="13"/>
  <c r="A7377" i="13"/>
  <c r="J7376" i="13"/>
  <c r="F7376" i="13"/>
  <c r="A7376" i="13"/>
  <c r="J7375" i="13"/>
  <c r="F7375" i="13"/>
  <c r="A7375" i="13"/>
  <c r="J7374" i="13"/>
  <c r="F7374" i="13"/>
  <c r="A7374" i="13"/>
  <c r="J7373" i="13"/>
  <c r="F7373" i="13"/>
  <c r="A7373" i="13"/>
  <c r="J7372" i="13"/>
  <c r="F7372" i="13"/>
  <c r="A7372" i="13"/>
  <c r="J7371" i="13"/>
  <c r="F7371" i="13"/>
  <c r="A7371" i="13"/>
  <c r="J7370" i="13"/>
  <c r="F7370" i="13"/>
  <c r="A7370" i="13"/>
  <c r="J7369" i="13"/>
  <c r="F7369" i="13"/>
  <c r="A7369" i="13"/>
  <c r="J7368" i="13"/>
  <c r="F7368" i="13"/>
  <c r="A7368" i="13"/>
  <c r="J7367" i="13"/>
  <c r="F7367" i="13"/>
  <c r="A7367" i="13"/>
  <c r="J7366" i="13"/>
  <c r="F7366" i="13"/>
  <c r="A7366" i="13"/>
  <c r="J7365" i="13"/>
  <c r="F7365" i="13"/>
  <c r="A7365" i="13"/>
  <c r="J7364" i="13"/>
  <c r="F7364" i="13"/>
  <c r="A7364" i="13"/>
  <c r="J7363" i="13"/>
  <c r="F7363" i="13"/>
  <c r="A7363" i="13"/>
  <c r="J7362" i="13"/>
  <c r="F7362" i="13"/>
  <c r="A7362" i="13"/>
  <c r="J7361" i="13"/>
  <c r="F7361" i="13"/>
  <c r="A7361" i="13"/>
  <c r="J7360" i="13"/>
  <c r="F7360" i="13"/>
  <c r="A7360" i="13"/>
  <c r="J7359" i="13"/>
  <c r="F7359" i="13"/>
  <c r="A7359" i="13"/>
  <c r="J7358" i="13"/>
  <c r="F7358" i="13"/>
  <c r="A7358" i="13"/>
  <c r="J7357" i="13"/>
  <c r="F7357" i="13"/>
  <c r="A7357" i="13"/>
  <c r="J7356" i="13"/>
  <c r="F7356" i="13"/>
  <c r="A7356" i="13"/>
  <c r="J7355" i="13"/>
  <c r="F7355" i="13"/>
  <c r="A7355" i="13"/>
  <c r="J7354" i="13"/>
  <c r="F7354" i="13"/>
  <c r="A7354" i="13"/>
  <c r="J7353" i="13"/>
  <c r="F7353" i="13"/>
  <c r="A7353" i="13"/>
  <c r="J7352" i="13"/>
  <c r="F7352" i="13"/>
  <c r="J7351" i="13"/>
  <c r="F7351" i="13"/>
  <c r="A7351" i="13"/>
  <c r="J7350" i="13"/>
  <c r="F7350" i="13"/>
  <c r="A7350" i="13"/>
  <c r="J7349" i="13"/>
  <c r="F7349" i="13"/>
  <c r="A7349" i="13"/>
  <c r="J7348" i="13"/>
  <c r="F7348" i="13"/>
  <c r="A7348" i="13"/>
  <c r="F7347" i="13"/>
  <c r="A7347" i="13"/>
  <c r="J7346" i="13"/>
  <c r="F7346" i="13"/>
  <c r="J7345" i="13"/>
  <c r="F7345" i="13"/>
  <c r="F7344" i="13"/>
  <c r="A7344" i="13"/>
  <c r="F7343" i="13"/>
  <c r="A7343" i="13"/>
  <c r="F7342" i="13"/>
  <c r="A7342" i="13"/>
  <c r="F7341" i="13"/>
  <c r="A7341" i="13"/>
  <c r="F7340" i="13"/>
  <c r="A7340" i="13"/>
  <c r="F7339" i="13"/>
  <c r="A7339" i="13"/>
  <c r="F7338" i="13"/>
  <c r="A7338" i="13"/>
  <c r="F7337" i="13"/>
  <c r="A7337" i="13"/>
  <c r="F7336" i="13"/>
  <c r="A7336" i="13"/>
  <c r="F7335" i="13"/>
  <c r="A7335" i="13"/>
  <c r="F7334" i="13"/>
  <c r="A7334" i="13"/>
  <c r="F7333" i="13"/>
  <c r="A7333" i="13"/>
  <c r="F7332" i="13"/>
  <c r="A7332" i="13"/>
  <c r="F7331" i="13"/>
  <c r="A7331" i="13"/>
  <c r="F7330" i="13"/>
  <c r="A7330" i="13"/>
  <c r="F7329" i="13"/>
  <c r="A7329" i="13"/>
  <c r="F7328" i="13"/>
  <c r="A7328" i="13"/>
  <c r="F7327" i="13"/>
  <c r="A7327" i="13"/>
  <c r="F7326" i="13"/>
  <c r="A7326" i="13"/>
  <c r="F7325" i="13"/>
  <c r="A7325" i="13"/>
  <c r="F7324" i="13"/>
  <c r="F7323" i="13"/>
  <c r="A7323" i="13"/>
  <c r="J7322" i="13"/>
  <c r="F7322" i="13"/>
  <c r="A7322" i="13"/>
  <c r="J7321" i="13"/>
  <c r="F7321" i="13"/>
  <c r="A7321" i="13"/>
  <c r="F7320" i="13"/>
  <c r="A7320" i="13"/>
  <c r="F7319" i="13"/>
  <c r="A7319" i="13"/>
  <c r="F7318" i="13"/>
  <c r="A7318" i="13"/>
  <c r="J7317" i="13"/>
  <c r="F7317" i="13"/>
  <c r="A7317" i="13"/>
  <c r="J7316" i="13"/>
  <c r="F7316" i="13"/>
  <c r="A7316" i="13"/>
  <c r="J7315" i="13"/>
  <c r="F7315" i="13"/>
  <c r="A7315" i="13"/>
  <c r="F7314" i="13"/>
  <c r="A7314" i="13"/>
  <c r="F7313" i="13"/>
  <c r="A7313" i="13"/>
  <c r="F7312" i="13"/>
  <c r="A7312" i="13"/>
  <c r="F7311" i="13"/>
  <c r="A7311" i="13"/>
  <c r="F7310" i="13"/>
  <c r="A7310" i="13"/>
  <c r="F7309" i="13"/>
  <c r="A7309" i="13"/>
  <c r="F7308" i="13"/>
  <c r="A7308" i="13"/>
  <c r="F7307" i="13"/>
  <c r="A7307" i="13"/>
  <c r="F7306" i="13"/>
  <c r="A7306" i="13"/>
  <c r="F7305" i="13"/>
  <c r="A7305" i="13"/>
  <c r="F7304" i="13"/>
  <c r="A7304" i="13"/>
  <c r="F7303" i="13"/>
  <c r="A7303" i="13"/>
  <c r="F7302" i="13"/>
  <c r="A7302" i="13"/>
  <c r="F7301" i="13"/>
  <c r="A7301" i="13"/>
  <c r="F7300" i="13"/>
  <c r="A7300" i="13"/>
  <c r="F7299" i="13"/>
  <c r="A7299" i="13"/>
  <c r="F7298" i="13"/>
  <c r="A7298" i="13"/>
  <c r="F7297" i="13"/>
  <c r="A7297" i="13"/>
  <c r="F7296" i="13"/>
  <c r="A7296" i="13"/>
  <c r="F7295" i="13"/>
  <c r="A7295" i="13"/>
  <c r="F7294" i="13"/>
  <c r="A7294" i="13"/>
  <c r="F7293" i="13"/>
  <c r="A7293" i="13"/>
  <c r="F7292" i="13"/>
  <c r="A7292" i="13"/>
  <c r="F7291" i="13"/>
  <c r="A7291" i="13"/>
  <c r="F7290" i="13"/>
  <c r="A7290" i="13"/>
  <c r="F7289" i="13"/>
  <c r="A7289" i="13"/>
  <c r="F7288" i="13"/>
  <c r="A7288" i="13"/>
  <c r="F7287" i="13"/>
  <c r="A7287" i="13"/>
  <c r="F7286" i="13"/>
  <c r="A7286" i="13"/>
  <c r="F7285" i="13"/>
  <c r="A7285" i="13"/>
  <c r="F7284" i="13"/>
  <c r="A7284" i="13"/>
  <c r="F7283" i="13"/>
  <c r="A7283" i="13"/>
  <c r="F7282" i="13"/>
  <c r="A7282" i="13"/>
  <c r="F7281" i="13"/>
  <c r="A7281" i="13"/>
  <c r="F7280" i="13"/>
  <c r="A7280" i="13"/>
  <c r="F7279" i="13"/>
  <c r="A7279" i="13"/>
  <c r="F7278" i="13"/>
  <c r="A7278" i="13"/>
  <c r="F7277" i="13"/>
  <c r="A7277" i="13"/>
  <c r="J7276" i="13"/>
  <c r="F7276" i="13"/>
  <c r="A7276" i="13"/>
  <c r="J7275" i="13"/>
  <c r="F7275" i="13"/>
  <c r="A7275" i="13"/>
  <c r="F7274" i="13"/>
  <c r="A7274" i="13"/>
  <c r="F7273" i="13"/>
  <c r="A7273" i="13"/>
  <c r="F7272" i="13"/>
  <c r="A7272" i="13"/>
  <c r="F7271" i="13"/>
  <c r="A7271" i="13"/>
  <c r="F7270" i="13"/>
  <c r="A7270" i="13"/>
  <c r="F7269" i="13"/>
  <c r="A7269" i="13"/>
  <c r="F7268" i="13"/>
  <c r="A7268" i="13"/>
  <c r="F7267" i="13"/>
  <c r="A7267" i="13"/>
  <c r="F7266" i="13"/>
  <c r="A7266" i="13"/>
  <c r="F7265" i="13"/>
  <c r="J7264" i="13"/>
  <c r="F7264" i="13"/>
  <c r="A7264" i="13"/>
  <c r="J7263" i="13"/>
  <c r="F7263" i="13"/>
  <c r="A7263" i="13"/>
  <c r="J7262" i="13"/>
  <c r="F7262" i="13"/>
  <c r="A7262" i="13"/>
  <c r="F7261" i="13"/>
  <c r="A7261" i="13"/>
  <c r="F7260" i="13"/>
  <c r="A7260" i="13"/>
  <c r="F7259" i="13"/>
  <c r="A7259" i="13"/>
  <c r="F7258" i="13"/>
  <c r="A7258" i="13"/>
  <c r="J7257" i="13"/>
  <c r="F7257" i="13"/>
  <c r="A7257" i="13"/>
  <c r="F7256" i="13"/>
  <c r="A7256" i="13"/>
  <c r="F7255" i="13"/>
  <c r="A7255" i="13"/>
  <c r="J7254" i="13"/>
  <c r="F7254" i="13"/>
  <c r="A7254" i="13"/>
  <c r="J7253" i="13"/>
  <c r="F7253" i="13"/>
  <c r="A7253" i="13"/>
  <c r="J7252" i="13"/>
  <c r="F7252" i="13"/>
  <c r="A7252" i="13"/>
  <c r="F7251" i="13"/>
  <c r="A7251" i="13"/>
  <c r="J7250" i="13"/>
  <c r="F7250" i="13"/>
  <c r="A7250" i="13"/>
  <c r="J7249" i="13"/>
  <c r="F7249" i="13"/>
  <c r="A7249" i="13"/>
  <c r="J7248" i="13"/>
  <c r="F7248" i="13"/>
  <c r="A7248" i="13"/>
  <c r="J7247" i="13"/>
  <c r="F7247" i="13"/>
  <c r="A7247" i="13"/>
  <c r="J7246" i="13"/>
  <c r="F7246" i="13"/>
  <c r="A7246" i="13"/>
  <c r="F7245" i="13"/>
  <c r="A7245" i="13"/>
  <c r="J7244" i="13"/>
  <c r="F7244" i="13"/>
  <c r="A7244" i="13"/>
  <c r="J7243" i="13"/>
  <c r="F7243" i="13"/>
  <c r="A7243" i="13"/>
  <c r="J7242" i="13"/>
  <c r="F7242" i="13"/>
  <c r="A7242" i="13"/>
  <c r="J7241" i="13"/>
  <c r="F7241" i="13"/>
  <c r="A7241" i="13"/>
  <c r="F7240" i="13"/>
  <c r="A7240" i="13"/>
  <c r="J7239" i="13"/>
  <c r="F7239" i="13"/>
  <c r="J7238" i="13"/>
  <c r="F7238" i="13"/>
  <c r="F7237" i="13"/>
  <c r="A7237" i="13"/>
  <c r="F7236" i="13"/>
  <c r="A7236" i="13"/>
  <c r="F7235" i="13"/>
  <c r="A7235" i="13"/>
  <c r="F7234" i="13"/>
  <c r="F7233" i="13"/>
  <c r="A7233" i="13"/>
  <c r="J7232" i="13"/>
  <c r="F7232" i="13"/>
  <c r="A7232" i="13"/>
  <c r="J7231" i="13"/>
  <c r="F7231" i="13"/>
  <c r="A7231" i="13"/>
  <c r="F7230" i="13"/>
  <c r="A7230" i="13"/>
  <c r="J7229" i="13"/>
  <c r="F7229" i="13"/>
  <c r="A7229" i="13"/>
  <c r="J7228" i="13"/>
  <c r="F7228" i="13"/>
  <c r="A7228" i="13"/>
  <c r="J7227" i="13"/>
  <c r="F7227" i="13"/>
  <c r="A7227" i="13"/>
  <c r="F7226" i="13"/>
  <c r="A7226" i="13"/>
  <c r="F7225" i="13"/>
  <c r="A7225" i="13"/>
  <c r="F7224" i="13"/>
  <c r="A7224" i="13"/>
  <c r="J7223" i="13"/>
  <c r="F7223" i="13"/>
  <c r="A7223" i="13"/>
  <c r="J7222" i="13"/>
  <c r="F7222" i="13"/>
  <c r="A7222" i="13"/>
  <c r="J7221" i="13"/>
  <c r="F7221" i="13"/>
  <c r="A7221" i="13"/>
  <c r="J7220" i="13"/>
  <c r="F7220" i="13"/>
  <c r="A7220" i="13"/>
  <c r="J7219" i="13"/>
  <c r="F7219" i="13"/>
  <c r="A7219" i="13"/>
  <c r="J7218" i="13"/>
  <c r="F7218" i="13"/>
  <c r="A7218" i="13"/>
  <c r="J7217" i="13"/>
  <c r="F7217" i="13"/>
  <c r="A7217" i="13"/>
  <c r="J7216" i="13"/>
  <c r="F7216" i="13"/>
  <c r="A7216" i="13"/>
  <c r="J7215" i="13"/>
  <c r="F7215" i="13"/>
  <c r="A7215" i="13"/>
  <c r="J7214" i="13"/>
  <c r="F7214" i="13"/>
  <c r="A7214" i="13"/>
  <c r="J7213" i="13"/>
  <c r="F7213" i="13"/>
  <c r="J7212" i="13"/>
  <c r="F7212" i="13"/>
  <c r="F7211" i="13"/>
  <c r="A7211" i="13"/>
  <c r="F7210" i="13"/>
  <c r="A7210" i="13"/>
  <c r="F7209" i="13"/>
  <c r="A7209" i="13"/>
  <c r="F7208" i="13"/>
  <c r="A7208" i="13"/>
  <c r="F7207" i="13"/>
  <c r="A7207" i="13"/>
  <c r="F7206" i="13"/>
  <c r="F7205" i="13"/>
  <c r="A7205" i="13"/>
  <c r="F7204" i="13"/>
  <c r="A7204" i="13"/>
  <c r="F7203" i="13"/>
  <c r="A7203" i="13"/>
  <c r="F7202" i="13"/>
  <c r="A7202" i="13"/>
  <c r="F7201" i="13"/>
  <c r="A7201" i="13"/>
  <c r="J7200" i="13"/>
  <c r="F7200" i="13"/>
  <c r="A7200" i="13"/>
  <c r="J7199" i="13"/>
  <c r="F7199" i="13"/>
  <c r="A7199" i="13"/>
  <c r="F7198" i="13"/>
  <c r="A7198" i="13"/>
  <c r="J7197" i="13"/>
  <c r="F7197" i="13"/>
  <c r="A7197" i="13"/>
  <c r="J7196" i="13"/>
  <c r="F7196" i="13"/>
  <c r="A7196" i="13"/>
  <c r="J7195" i="13"/>
  <c r="F7195" i="13"/>
  <c r="A7195" i="13"/>
  <c r="F7194" i="13"/>
  <c r="A7194" i="13"/>
  <c r="J7193" i="13"/>
  <c r="F7193" i="13"/>
  <c r="A7193" i="13"/>
  <c r="J7192" i="13"/>
  <c r="F7192" i="13"/>
  <c r="A7192" i="13"/>
  <c r="J7191" i="13"/>
  <c r="F7191" i="13"/>
  <c r="A7191" i="13"/>
  <c r="F7190" i="13"/>
  <c r="A7190" i="13"/>
  <c r="F7189" i="13"/>
  <c r="A7189" i="13"/>
  <c r="F7188" i="13"/>
  <c r="A7188" i="13"/>
  <c r="J7187" i="13"/>
  <c r="F7187" i="13"/>
  <c r="A7187" i="13"/>
  <c r="J7186" i="13"/>
  <c r="F7186" i="13"/>
  <c r="A7186" i="13"/>
  <c r="J7185" i="13"/>
  <c r="F7185" i="13"/>
  <c r="A7185" i="13"/>
  <c r="J7184" i="13"/>
  <c r="F7184" i="13"/>
  <c r="A7184" i="13"/>
  <c r="J7183" i="13"/>
  <c r="F7183" i="13"/>
  <c r="A7183" i="13"/>
  <c r="F7182" i="13"/>
  <c r="A7182" i="13"/>
  <c r="F7181" i="13"/>
  <c r="A7181" i="13"/>
  <c r="F7180" i="13"/>
  <c r="A7180" i="13"/>
  <c r="J7179" i="13"/>
  <c r="F7179" i="13"/>
  <c r="A7179" i="13"/>
  <c r="J7178" i="13"/>
  <c r="F7178" i="13"/>
  <c r="A7178" i="13"/>
  <c r="J7177" i="13"/>
  <c r="F7177" i="13"/>
  <c r="A7177" i="13"/>
  <c r="J7176" i="13"/>
  <c r="F7176" i="13"/>
  <c r="A7176" i="13"/>
  <c r="F7175" i="13"/>
  <c r="A7175" i="13"/>
  <c r="J7174" i="13"/>
  <c r="F7174" i="13"/>
  <c r="A7174" i="13"/>
  <c r="J7173" i="13"/>
  <c r="F7173" i="13"/>
  <c r="A7173" i="13"/>
  <c r="J7172" i="13"/>
  <c r="F7172" i="13"/>
  <c r="A7172" i="13"/>
  <c r="F7171" i="13"/>
  <c r="A7171" i="13"/>
  <c r="J7170" i="13"/>
  <c r="F7170" i="13"/>
  <c r="A7170" i="13"/>
  <c r="J7169" i="13"/>
  <c r="F7169" i="13"/>
  <c r="A7169" i="13"/>
  <c r="J7168" i="13"/>
  <c r="F7168" i="13"/>
  <c r="A7168" i="13"/>
  <c r="F7167" i="13"/>
  <c r="A7167" i="13"/>
  <c r="F7166" i="13"/>
  <c r="A7166" i="13"/>
  <c r="J7165" i="13"/>
  <c r="F7165" i="13"/>
  <c r="A7165" i="13"/>
  <c r="J7164" i="13"/>
  <c r="F7164" i="13"/>
  <c r="A7164" i="13"/>
  <c r="J7163" i="13"/>
  <c r="F7163" i="13"/>
  <c r="A7163" i="13"/>
  <c r="J7162" i="13"/>
  <c r="F7162" i="13"/>
  <c r="A7162" i="13"/>
  <c r="J7161" i="13"/>
  <c r="F7161" i="13"/>
  <c r="A7161" i="13"/>
  <c r="J7160" i="13"/>
  <c r="F7160" i="13"/>
  <c r="A7160" i="13"/>
  <c r="J7159" i="13"/>
  <c r="F7159" i="13"/>
  <c r="A7159" i="13"/>
  <c r="F7158" i="13"/>
  <c r="A7158" i="13"/>
  <c r="J7157" i="13"/>
  <c r="F7157" i="13"/>
  <c r="A7157" i="13"/>
  <c r="J7156" i="13"/>
  <c r="F7156" i="13"/>
  <c r="A7156" i="13"/>
  <c r="J7155" i="13"/>
  <c r="F7155" i="13"/>
  <c r="A7155" i="13"/>
  <c r="J7154" i="13"/>
  <c r="F7154" i="13"/>
  <c r="A7154" i="13"/>
  <c r="F7153" i="13"/>
  <c r="A7153" i="13"/>
  <c r="F7152" i="13"/>
  <c r="A7152" i="13"/>
  <c r="J7151" i="13"/>
  <c r="F7151" i="13"/>
  <c r="A7151" i="13"/>
  <c r="J7150" i="13"/>
  <c r="F7150" i="13"/>
  <c r="A7150" i="13"/>
  <c r="J7149" i="13"/>
  <c r="F7149" i="13"/>
  <c r="A7149" i="13"/>
  <c r="J7148" i="13"/>
  <c r="F7148" i="13"/>
  <c r="A7148" i="13"/>
  <c r="J7147" i="13"/>
  <c r="F7147" i="13"/>
  <c r="A7147" i="13"/>
  <c r="F7146" i="13"/>
  <c r="A7146" i="13"/>
  <c r="F7145" i="13"/>
  <c r="A7145" i="13"/>
  <c r="F7144" i="13"/>
  <c r="A7144" i="13"/>
  <c r="F7143" i="13"/>
  <c r="A7143" i="13"/>
  <c r="J7142" i="13"/>
  <c r="F7142" i="13"/>
  <c r="J7141" i="13"/>
  <c r="F7141" i="13"/>
  <c r="A7141" i="13"/>
  <c r="J7140" i="13"/>
  <c r="F7140" i="13"/>
  <c r="A7140" i="13"/>
  <c r="J7139" i="13"/>
  <c r="F7139" i="13"/>
  <c r="A7139" i="13"/>
  <c r="J7138" i="13"/>
  <c r="F7138" i="13"/>
  <c r="A7138" i="13"/>
  <c r="J7137" i="13"/>
  <c r="F7137" i="13"/>
  <c r="A7137" i="13"/>
  <c r="J7136" i="13"/>
  <c r="F7136" i="13"/>
  <c r="A7136" i="13"/>
  <c r="J7135" i="13"/>
  <c r="F7135" i="13"/>
  <c r="A7135" i="13"/>
  <c r="J7134" i="13"/>
  <c r="F7134" i="13"/>
  <c r="A7134" i="13"/>
  <c r="J7133" i="13"/>
  <c r="F7133" i="13"/>
  <c r="A7133" i="13"/>
  <c r="J7132" i="13"/>
  <c r="F7132" i="13"/>
  <c r="A7132" i="13"/>
  <c r="J7131" i="13"/>
  <c r="F7131" i="13"/>
  <c r="A7131" i="13"/>
  <c r="J7130" i="13"/>
  <c r="F7130" i="13"/>
  <c r="A7130" i="13"/>
  <c r="J7129" i="13"/>
  <c r="F7129" i="13"/>
  <c r="A7129" i="13"/>
  <c r="J7128" i="13"/>
  <c r="F7128" i="13"/>
  <c r="A7128" i="13"/>
  <c r="J7127" i="13"/>
  <c r="F7127" i="13"/>
  <c r="A7127" i="13"/>
  <c r="J7126" i="13"/>
  <c r="F7126" i="13"/>
  <c r="A7126" i="13"/>
  <c r="J7125" i="13"/>
  <c r="F7125" i="13"/>
  <c r="A7125" i="13"/>
  <c r="J7124" i="13"/>
  <c r="F7124" i="13"/>
  <c r="A7124" i="13"/>
  <c r="J7123" i="13"/>
  <c r="F7123" i="13"/>
  <c r="J7122" i="13"/>
  <c r="F7122" i="13"/>
  <c r="A7122" i="13"/>
  <c r="F7121" i="13"/>
  <c r="A7121" i="13"/>
  <c r="F7120" i="13"/>
  <c r="A7120" i="13"/>
  <c r="J7119" i="13"/>
  <c r="F7119" i="13"/>
  <c r="J7118" i="13"/>
  <c r="F7118" i="13"/>
  <c r="F7117" i="13"/>
  <c r="A7117" i="13"/>
  <c r="F7116" i="13"/>
  <c r="A7116" i="13"/>
  <c r="F7115" i="13"/>
  <c r="A7115" i="13"/>
  <c r="F7114" i="13"/>
  <c r="A7114" i="13"/>
  <c r="F7113" i="13"/>
  <c r="A7113" i="13"/>
  <c r="F7112" i="13"/>
  <c r="A7112" i="13"/>
  <c r="F7111" i="13"/>
  <c r="A7111" i="13"/>
  <c r="F7110" i="13"/>
  <c r="A7110" i="13"/>
  <c r="F7109" i="13"/>
  <c r="A7109" i="13"/>
  <c r="F7108" i="13"/>
  <c r="A7108" i="13"/>
  <c r="F7107" i="13"/>
  <c r="A7107" i="13"/>
  <c r="F7106" i="13"/>
  <c r="F7105" i="13"/>
  <c r="A7105" i="13"/>
  <c r="F7104" i="13"/>
  <c r="A7104" i="13"/>
  <c r="F7103" i="13"/>
  <c r="A7103" i="13"/>
  <c r="F7102" i="13"/>
  <c r="A7102" i="13"/>
  <c r="F7101" i="13"/>
  <c r="A7101" i="13"/>
  <c r="J7100" i="13"/>
  <c r="F7100" i="13"/>
  <c r="A7100" i="13"/>
  <c r="F7099" i="13"/>
  <c r="A7099" i="13"/>
  <c r="J7098" i="13"/>
  <c r="F7098" i="13"/>
  <c r="A7098" i="13"/>
  <c r="J7097" i="13"/>
  <c r="F7097" i="13"/>
  <c r="A7097" i="13"/>
  <c r="F7096" i="13"/>
  <c r="A7096" i="13"/>
  <c r="J7095" i="13"/>
  <c r="F7095" i="13"/>
  <c r="A7095" i="13"/>
  <c r="J7094" i="13"/>
  <c r="F7094" i="13"/>
  <c r="A7094" i="13"/>
  <c r="J7093" i="13"/>
  <c r="F7093" i="13"/>
  <c r="A7093" i="13"/>
  <c r="J7092" i="13"/>
  <c r="F7092" i="13"/>
  <c r="A7092" i="13"/>
  <c r="J7091" i="13"/>
  <c r="F7091" i="13"/>
  <c r="A7091" i="13"/>
  <c r="J7090" i="13"/>
  <c r="F7090" i="13"/>
  <c r="A7090" i="13"/>
  <c r="J7089" i="13"/>
  <c r="F7089" i="13"/>
  <c r="A7089" i="13"/>
  <c r="J7088" i="13"/>
  <c r="F7088" i="13"/>
  <c r="A7088" i="13"/>
  <c r="J7087" i="13"/>
  <c r="F7087" i="13"/>
  <c r="A7087" i="13"/>
  <c r="J7086" i="13"/>
  <c r="F7086" i="13"/>
  <c r="A7086" i="13"/>
  <c r="F7085" i="13"/>
  <c r="A7085" i="13"/>
  <c r="J7084" i="13"/>
  <c r="F7084" i="13"/>
  <c r="A7084" i="13"/>
  <c r="F7083" i="13"/>
  <c r="A7083" i="13"/>
  <c r="J7082" i="13"/>
  <c r="F7082" i="13"/>
  <c r="A7082" i="13"/>
  <c r="J7081" i="13"/>
  <c r="F7081" i="13"/>
  <c r="A7081" i="13"/>
  <c r="J7080" i="13"/>
  <c r="F7080" i="13"/>
  <c r="A7080" i="13"/>
  <c r="F7079" i="13"/>
  <c r="A7079" i="13"/>
  <c r="F7078" i="13"/>
  <c r="A7078" i="13"/>
  <c r="J7077" i="13"/>
  <c r="F7077" i="13"/>
  <c r="A7077" i="13"/>
  <c r="J7076" i="13"/>
  <c r="F7076" i="13"/>
  <c r="A7076" i="13"/>
  <c r="J7075" i="13"/>
  <c r="F7075" i="13"/>
  <c r="A7075" i="13"/>
  <c r="F7074" i="13"/>
  <c r="A7074" i="13"/>
  <c r="J7073" i="13"/>
  <c r="F7073" i="13"/>
  <c r="A7073" i="13"/>
  <c r="J7072" i="13"/>
  <c r="F7072" i="13"/>
  <c r="A7072" i="13"/>
  <c r="J7071" i="13"/>
  <c r="F7071" i="13"/>
  <c r="A7071" i="13"/>
  <c r="J7070" i="13"/>
  <c r="F7070" i="13"/>
  <c r="A7070" i="13"/>
  <c r="J7069" i="13"/>
  <c r="F7069" i="13"/>
  <c r="A7069" i="13"/>
  <c r="J7068" i="13"/>
  <c r="F7068" i="13"/>
  <c r="A7068" i="13"/>
  <c r="J7067" i="13"/>
  <c r="F7067" i="13"/>
  <c r="A7067" i="13"/>
  <c r="J7066" i="13"/>
  <c r="F7066" i="13"/>
  <c r="A7066" i="13"/>
  <c r="F7065" i="13"/>
  <c r="A7065" i="13"/>
  <c r="J7064" i="13"/>
  <c r="F7064" i="13"/>
  <c r="A7064" i="13"/>
  <c r="J7063" i="13"/>
  <c r="F7063" i="13"/>
  <c r="A7063" i="13"/>
  <c r="J7062" i="13"/>
  <c r="F7062" i="13"/>
  <c r="A7062" i="13"/>
  <c r="J7061" i="13"/>
  <c r="F7061" i="13"/>
  <c r="A7061" i="13"/>
  <c r="J7060" i="13"/>
  <c r="F7060" i="13"/>
  <c r="A7060" i="13"/>
  <c r="J7059" i="13"/>
  <c r="F7059" i="13"/>
  <c r="A7059" i="13"/>
  <c r="F7058" i="13"/>
  <c r="A7058" i="13"/>
  <c r="J7057" i="13"/>
  <c r="F7057" i="13"/>
  <c r="A7057" i="13"/>
  <c r="J7056" i="13"/>
  <c r="F7056" i="13"/>
  <c r="A7056" i="13"/>
  <c r="J7055" i="13"/>
  <c r="F7055" i="13"/>
  <c r="A7055" i="13"/>
  <c r="J7054" i="13"/>
  <c r="F7054" i="13"/>
  <c r="A7054" i="13"/>
  <c r="J7053" i="13"/>
  <c r="F7053" i="13"/>
  <c r="A7053" i="13"/>
  <c r="F7052" i="13"/>
  <c r="A7052" i="13"/>
  <c r="J7051" i="13"/>
  <c r="F7051" i="13"/>
  <c r="A7051" i="13"/>
  <c r="J7050" i="13"/>
  <c r="F7050" i="13"/>
  <c r="A7050" i="13"/>
  <c r="J7049" i="13"/>
  <c r="F7049" i="13"/>
  <c r="A7049" i="13"/>
  <c r="J7048" i="13"/>
  <c r="F7048" i="13"/>
  <c r="A7048" i="13"/>
  <c r="J7047" i="13"/>
  <c r="F7047" i="13"/>
  <c r="A7047" i="13"/>
  <c r="F7046" i="13"/>
  <c r="A7046" i="13"/>
  <c r="J7045" i="13"/>
  <c r="F7045" i="13"/>
  <c r="A7045" i="13"/>
  <c r="J7044" i="13"/>
  <c r="F7044" i="13"/>
  <c r="A7044" i="13"/>
  <c r="J7043" i="13"/>
  <c r="F7043" i="13"/>
  <c r="A7043" i="13"/>
  <c r="J7042" i="13"/>
  <c r="F7042" i="13"/>
  <c r="A7042" i="13"/>
  <c r="F7041" i="13"/>
  <c r="A7041" i="13"/>
  <c r="F7040" i="13"/>
  <c r="A7040" i="13"/>
  <c r="F7039" i="13"/>
  <c r="A7039" i="13"/>
  <c r="F7038" i="13"/>
  <c r="A7038" i="13"/>
  <c r="F7037" i="13"/>
  <c r="A7037" i="13"/>
  <c r="F7036" i="13"/>
  <c r="A7036" i="13"/>
  <c r="F7035" i="13"/>
  <c r="A7035" i="13"/>
  <c r="F7034" i="13"/>
  <c r="A7034" i="13"/>
  <c r="F7033" i="13"/>
  <c r="A7033" i="13"/>
  <c r="F7032" i="13"/>
  <c r="A7032" i="13"/>
  <c r="F7031" i="13"/>
  <c r="A7031" i="13"/>
  <c r="F7030" i="13"/>
  <c r="A7030" i="13"/>
  <c r="F7029" i="13"/>
  <c r="A7029" i="13"/>
  <c r="F7028" i="13"/>
  <c r="A7028" i="13"/>
  <c r="F7027" i="13"/>
  <c r="A7027" i="13"/>
  <c r="F7026" i="13"/>
  <c r="A7026" i="13"/>
  <c r="F7025" i="13"/>
  <c r="A7025" i="13"/>
  <c r="F7024" i="13"/>
  <c r="A7024" i="13"/>
  <c r="F7023" i="13"/>
  <c r="A7023" i="13"/>
  <c r="F7022" i="13"/>
  <c r="A7022" i="13"/>
  <c r="F7021" i="13"/>
  <c r="A7021" i="13"/>
  <c r="F7020" i="13"/>
  <c r="A7020" i="13"/>
  <c r="F7019" i="13"/>
  <c r="A7019" i="13"/>
  <c r="F7018" i="13"/>
  <c r="A7018" i="13"/>
  <c r="F7017" i="13"/>
  <c r="A7017" i="13"/>
  <c r="F7016" i="13"/>
  <c r="A7016" i="13"/>
  <c r="F7015" i="13"/>
  <c r="A7015" i="13"/>
  <c r="F7014" i="13"/>
  <c r="A7014" i="13"/>
  <c r="F7013" i="13"/>
  <c r="A7013" i="13"/>
  <c r="F7012" i="13"/>
  <c r="A7012" i="13"/>
  <c r="F7011" i="13"/>
  <c r="A7011" i="13"/>
  <c r="F7010" i="13"/>
  <c r="A7010" i="13"/>
  <c r="F7009" i="13"/>
  <c r="A7009" i="13"/>
  <c r="F7008" i="13"/>
  <c r="A7008" i="13"/>
  <c r="F7007" i="13"/>
  <c r="A7007" i="13"/>
  <c r="F7006" i="13"/>
  <c r="A7006" i="13"/>
  <c r="F7005" i="13"/>
  <c r="A7005" i="13"/>
  <c r="F7004" i="13"/>
  <c r="A7004" i="13"/>
  <c r="F7003" i="13"/>
  <c r="A7003" i="13"/>
  <c r="F7002" i="13"/>
  <c r="A7002" i="13"/>
  <c r="F7001" i="13"/>
  <c r="A7001" i="13"/>
  <c r="F7000" i="13"/>
  <c r="A7000" i="13"/>
  <c r="F6999" i="13"/>
  <c r="A6999" i="13"/>
  <c r="F6998" i="13"/>
  <c r="A6998" i="13"/>
  <c r="J6997" i="13"/>
  <c r="F6997" i="13"/>
  <c r="A6997" i="13"/>
  <c r="J6996" i="13"/>
  <c r="F6996" i="13"/>
  <c r="A6996" i="13"/>
  <c r="J6995" i="13"/>
  <c r="F6995" i="13"/>
  <c r="A6995" i="13"/>
  <c r="J6994" i="13"/>
  <c r="F6994" i="13"/>
  <c r="A6994" i="13"/>
  <c r="J6993" i="13"/>
  <c r="F6993" i="13"/>
  <c r="A6993" i="13"/>
  <c r="J6992" i="13"/>
  <c r="F6992" i="13"/>
  <c r="A6992" i="13"/>
  <c r="J6991" i="13"/>
  <c r="F6991" i="13"/>
  <c r="A6991" i="13"/>
  <c r="J6990" i="13"/>
  <c r="F6990" i="13"/>
  <c r="A6990" i="13"/>
  <c r="J6989" i="13"/>
  <c r="F6989" i="13"/>
  <c r="A6989" i="13"/>
  <c r="J6988" i="13"/>
  <c r="F6988" i="13"/>
  <c r="A6988" i="13"/>
  <c r="J6987" i="13"/>
  <c r="F6987" i="13"/>
  <c r="A6987" i="13"/>
  <c r="J6986" i="13"/>
  <c r="F6986" i="13"/>
  <c r="A6986" i="13"/>
  <c r="F6985" i="13"/>
  <c r="A6985" i="13"/>
  <c r="F6984" i="13"/>
  <c r="A6984" i="13"/>
  <c r="F6983" i="13"/>
  <c r="A6983" i="13"/>
  <c r="J6982" i="13"/>
  <c r="F6982" i="13"/>
  <c r="A6982" i="13"/>
  <c r="F6981" i="13"/>
  <c r="A6981" i="13"/>
  <c r="J6980" i="13"/>
  <c r="F6980" i="13"/>
  <c r="A6980" i="13"/>
  <c r="J6979" i="13"/>
  <c r="F6979" i="13"/>
  <c r="A6979" i="13"/>
  <c r="F6978" i="13"/>
  <c r="A6978" i="13"/>
  <c r="J6977" i="13"/>
  <c r="F6977" i="13"/>
  <c r="A6977" i="13"/>
  <c r="J6976" i="13"/>
  <c r="F6976" i="13"/>
  <c r="A6976" i="13"/>
  <c r="J6975" i="13"/>
  <c r="F6975" i="13"/>
  <c r="A6975" i="13"/>
  <c r="F6974" i="13"/>
  <c r="A6974" i="13"/>
  <c r="F6973" i="13"/>
  <c r="A6973" i="13"/>
  <c r="F6972" i="13"/>
  <c r="A6972" i="13"/>
  <c r="F6971" i="13"/>
  <c r="A6971" i="13"/>
  <c r="F6970" i="13"/>
  <c r="A6970" i="13"/>
  <c r="F6969" i="13"/>
  <c r="A6969" i="13"/>
  <c r="F6968" i="13"/>
  <c r="A6968" i="13"/>
  <c r="J6967" i="13"/>
  <c r="F6967" i="13"/>
  <c r="A6967" i="13"/>
  <c r="J6966" i="13"/>
  <c r="F6966" i="13"/>
  <c r="A6966" i="13"/>
  <c r="J6965" i="13"/>
  <c r="F6965" i="13"/>
  <c r="A6965" i="13"/>
  <c r="J6964" i="13"/>
  <c r="F6964" i="13"/>
  <c r="A6964" i="13"/>
  <c r="F6963" i="13"/>
  <c r="A6963" i="13"/>
  <c r="J6962" i="13"/>
  <c r="F6962" i="13"/>
  <c r="A6962" i="13"/>
  <c r="J6961" i="13"/>
  <c r="F6961" i="13"/>
  <c r="A6961" i="13"/>
  <c r="J6960" i="13"/>
  <c r="F6960" i="13"/>
  <c r="A6960" i="13"/>
  <c r="J6959" i="13"/>
  <c r="F6959" i="13"/>
  <c r="A6959" i="13"/>
  <c r="J6958" i="13"/>
  <c r="F6958" i="13"/>
  <c r="A6958" i="13"/>
  <c r="F6957" i="13"/>
  <c r="A6957" i="13"/>
  <c r="J6956" i="13"/>
  <c r="F6956" i="13"/>
  <c r="A6956" i="13"/>
  <c r="J6955" i="13"/>
  <c r="F6955" i="13"/>
  <c r="A6955" i="13"/>
  <c r="J6954" i="13"/>
  <c r="F6954" i="13"/>
  <c r="A6954" i="13"/>
  <c r="J6953" i="13"/>
  <c r="F6953" i="13"/>
  <c r="A6953" i="13"/>
  <c r="J6952" i="13"/>
  <c r="F6952" i="13"/>
  <c r="A6952" i="13"/>
  <c r="F6951" i="13"/>
  <c r="A6951" i="13"/>
  <c r="J6950" i="13"/>
  <c r="F6950" i="13"/>
  <c r="A6950" i="13"/>
  <c r="J6949" i="13"/>
  <c r="F6949" i="13"/>
  <c r="A6949" i="13"/>
  <c r="J6948" i="13"/>
  <c r="F6948" i="13"/>
  <c r="A6948" i="13"/>
  <c r="J6947" i="13"/>
  <c r="F6947" i="13"/>
  <c r="A6947" i="13"/>
  <c r="F6946" i="13"/>
  <c r="A6946" i="13"/>
  <c r="J6945" i="13"/>
  <c r="F6945" i="13"/>
  <c r="A6945" i="13"/>
  <c r="F6944" i="13"/>
  <c r="A6944" i="13"/>
  <c r="J6943" i="13"/>
  <c r="F6943" i="13"/>
  <c r="A6943" i="13"/>
  <c r="J6942" i="13"/>
  <c r="F6942" i="13"/>
  <c r="A6942" i="13"/>
  <c r="J6941" i="13"/>
  <c r="F6941" i="13"/>
  <c r="A6941" i="13"/>
  <c r="F6940" i="13"/>
  <c r="A6940" i="13"/>
  <c r="F6939" i="13"/>
  <c r="A6939" i="13"/>
  <c r="F6938" i="13"/>
  <c r="A6938" i="13"/>
  <c r="J6937" i="13"/>
  <c r="F6937" i="13"/>
  <c r="A6937" i="13"/>
  <c r="F6936" i="13"/>
  <c r="A6936" i="13"/>
  <c r="J6935" i="13"/>
  <c r="F6935" i="13"/>
  <c r="A6935" i="13"/>
  <c r="F6934" i="13"/>
  <c r="A6934" i="13"/>
  <c r="F6933" i="13"/>
  <c r="A6933" i="13"/>
  <c r="F6932" i="13"/>
  <c r="A6932" i="13"/>
  <c r="J6931" i="13"/>
  <c r="F6931" i="13"/>
  <c r="A6931" i="13"/>
  <c r="J6930" i="13"/>
  <c r="F6930" i="13"/>
  <c r="A6930" i="13"/>
  <c r="J6929" i="13"/>
  <c r="F6929" i="13"/>
  <c r="A6929" i="13"/>
  <c r="F6928" i="13"/>
  <c r="A6928" i="13"/>
  <c r="F6927" i="13"/>
  <c r="A6927" i="13"/>
  <c r="J6926" i="13"/>
  <c r="F6926" i="13"/>
  <c r="A6926" i="13"/>
  <c r="J6925" i="13"/>
  <c r="F6925" i="13"/>
  <c r="A6925" i="13"/>
  <c r="F6924" i="13"/>
  <c r="A6924" i="13"/>
  <c r="J6923" i="13"/>
  <c r="F6923" i="13"/>
  <c r="A6923" i="13"/>
  <c r="J6922" i="13"/>
  <c r="F6922" i="13"/>
  <c r="A6922" i="13"/>
  <c r="J6921" i="13"/>
  <c r="F6921" i="13"/>
  <c r="A6921" i="13"/>
  <c r="F6920" i="13"/>
  <c r="A6920" i="13"/>
  <c r="J6919" i="13"/>
  <c r="F6919" i="13"/>
  <c r="A6919" i="13"/>
  <c r="J6918" i="13"/>
  <c r="F6918" i="13"/>
  <c r="A6918" i="13"/>
  <c r="J6917" i="13"/>
  <c r="F6917" i="13"/>
  <c r="A6917" i="13"/>
  <c r="F6916" i="13"/>
  <c r="A6916" i="13"/>
  <c r="J6915" i="13"/>
  <c r="F6915" i="13"/>
  <c r="A6915" i="13"/>
  <c r="J6914" i="13"/>
  <c r="F6914" i="13"/>
  <c r="A6914" i="13"/>
  <c r="F6913" i="13"/>
  <c r="A6913" i="13"/>
  <c r="J6912" i="13"/>
  <c r="F6912" i="13"/>
  <c r="A6912" i="13"/>
  <c r="F6911" i="13"/>
  <c r="A6911" i="13"/>
  <c r="J6910" i="13"/>
  <c r="F6910" i="13"/>
  <c r="A6910" i="13"/>
  <c r="J6909" i="13"/>
  <c r="F6909" i="13"/>
  <c r="A6909" i="13"/>
  <c r="F6908" i="13"/>
  <c r="A6908" i="13"/>
  <c r="J6907" i="13"/>
  <c r="F6907" i="13"/>
  <c r="A6907" i="13"/>
  <c r="J6906" i="13"/>
  <c r="F6906" i="13"/>
  <c r="A6906" i="13"/>
  <c r="J6905" i="13"/>
  <c r="F6905" i="13"/>
  <c r="A6905" i="13"/>
  <c r="F6904" i="13"/>
  <c r="A6904" i="13"/>
  <c r="F6903" i="13"/>
  <c r="A6903" i="13"/>
  <c r="J6902" i="13"/>
  <c r="F6902" i="13"/>
  <c r="A6902" i="13"/>
  <c r="J6901" i="13"/>
  <c r="F6901" i="13"/>
  <c r="A6901" i="13"/>
  <c r="J6900" i="13"/>
  <c r="F6900" i="13"/>
  <c r="A6900" i="13"/>
  <c r="J6899" i="13"/>
  <c r="F6899" i="13"/>
  <c r="A6899" i="13"/>
  <c r="F6898" i="13"/>
  <c r="A6898" i="13"/>
  <c r="F6897" i="13"/>
  <c r="A6897" i="13"/>
  <c r="J6896" i="13"/>
  <c r="F6896" i="13"/>
  <c r="A6896" i="13"/>
  <c r="F6895" i="13"/>
  <c r="A6895" i="13"/>
  <c r="J6894" i="13"/>
  <c r="F6894" i="13"/>
  <c r="A6894" i="13"/>
  <c r="J6893" i="13"/>
  <c r="F6893" i="13"/>
  <c r="A6893" i="13"/>
  <c r="F6892" i="13"/>
  <c r="A6892" i="13"/>
  <c r="J6891" i="13"/>
  <c r="F6891" i="13"/>
  <c r="A6891" i="13"/>
  <c r="J6890" i="13"/>
  <c r="F6890" i="13"/>
  <c r="J6889" i="13"/>
  <c r="F6889" i="13"/>
  <c r="J6888" i="13"/>
  <c r="F6888" i="13"/>
  <c r="J6887" i="13"/>
  <c r="F6887" i="13"/>
  <c r="F6886" i="13"/>
  <c r="A6886" i="13"/>
  <c r="F6885" i="13"/>
  <c r="A6885" i="13"/>
  <c r="F6884" i="13"/>
  <c r="A6884" i="13"/>
  <c r="F6883" i="13"/>
  <c r="A6883" i="13"/>
  <c r="F6882" i="13"/>
  <c r="A6882" i="13"/>
  <c r="F6881" i="13"/>
  <c r="A6881" i="13"/>
  <c r="F6880" i="13"/>
  <c r="A6880" i="13"/>
  <c r="F6879" i="13"/>
  <c r="A6879" i="13"/>
  <c r="F6878" i="13"/>
  <c r="A6878" i="13"/>
  <c r="F6877" i="13"/>
  <c r="A6877" i="13"/>
  <c r="F6876" i="13"/>
  <c r="A6876" i="13"/>
  <c r="F6875" i="13"/>
  <c r="A6875" i="13"/>
  <c r="F6874" i="13"/>
  <c r="A6874" i="13"/>
  <c r="F6873" i="13"/>
  <c r="A6873" i="13"/>
  <c r="F6872" i="13"/>
  <c r="A6872" i="13"/>
  <c r="F6871" i="13"/>
  <c r="A6871" i="13"/>
  <c r="F6870" i="13"/>
  <c r="A6870" i="13"/>
  <c r="F6869" i="13"/>
  <c r="A6869" i="13"/>
  <c r="F6868" i="13"/>
  <c r="A6868" i="13"/>
  <c r="F6867" i="13"/>
  <c r="A6867" i="13"/>
  <c r="F6866" i="13"/>
  <c r="A6866" i="13"/>
  <c r="F6865" i="13"/>
  <c r="A6865" i="13"/>
  <c r="F6864" i="13"/>
  <c r="J6863" i="13"/>
  <c r="F6863" i="13"/>
  <c r="A6863" i="13"/>
  <c r="F6862" i="13"/>
  <c r="A6862" i="13"/>
  <c r="F6861" i="13"/>
  <c r="A6861" i="13"/>
  <c r="J6860" i="13"/>
  <c r="F6860" i="13"/>
  <c r="A6860" i="13"/>
  <c r="F6859" i="13"/>
  <c r="A6859" i="13"/>
  <c r="F6858" i="13"/>
  <c r="A6858" i="13"/>
  <c r="F6857" i="13"/>
  <c r="A6857" i="13"/>
  <c r="F6856" i="13"/>
  <c r="A6856" i="13"/>
  <c r="F6855" i="13"/>
  <c r="A6855" i="13"/>
  <c r="F6854" i="13"/>
  <c r="A6854" i="13"/>
  <c r="F6853" i="13"/>
  <c r="A6853" i="13"/>
  <c r="F6852" i="13"/>
  <c r="A6852" i="13"/>
  <c r="F6851" i="13"/>
  <c r="A6851" i="13"/>
  <c r="F6850" i="13"/>
  <c r="A6850" i="13"/>
  <c r="F6849" i="13"/>
  <c r="A6849" i="13"/>
  <c r="F6848" i="13"/>
  <c r="A6848" i="13"/>
  <c r="F6847" i="13"/>
  <c r="A6847" i="13"/>
  <c r="F6846" i="13"/>
  <c r="A6846" i="13"/>
  <c r="F6845" i="13"/>
  <c r="A6845" i="13"/>
  <c r="F6844" i="13"/>
  <c r="A6844" i="13"/>
  <c r="F6843" i="13"/>
  <c r="A6843" i="13"/>
  <c r="F6842" i="13"/>
  <c r="A6842" i="13"/>
  <c r="F6841" i="13"/>
  <c r="A6841" i="13"/>
  <c r="F6840" i="13"/>
  <c r="A6840" i="13"/>
  <c r="F6839" i="13"/>
  <c r="A6839" i="13"/>
  <c r="F6838" i="13"/>
  <c r="A6838" i="13"/>
  <c r="F6837" i="13"/>
  <c r="A6837" i="13"/>
  <c r="F6836" i="13"/>
  <c r="A6836" i="13"/>
  <c r="F6835" i="13"/>
  <c r="A6835" i="13"/>
  <c r="F6834" i="13"/>
  <c r="A6834" i="13"/>
  <c r="F6833" i="13"/>
  <c r="A6833" i="13"/>
  <c r="F6832" i="13"/>
  <c r="A6832" i="13"/>
  <c r="F6831" i="13"/>
  <c r="A6831" i="13"/>
  <c r="F6830" i="13"/>
  <c r="A6830" i="13"/>
  <c r="F6829" i="13"/>
  <c r="A6829" i="13"/>
  <c r="F6828" i="13"/>
  <c r="F6827" i="13"/>
  <c r="A6827" i="13"/>
  <c r="F6826" i="13"/>
  <c r="A6826" i="13"/>
  <c r="F6825" i="13"/>
  <c r="A6825" i="13"/>
  <c r="F6824" i="13"/>
  <c r="A6824" i="13"/>
  <c r="F6823" i="13"/>
  <c r="A6823" i="13"/>
  <c r="F6822" i="13"/>
  <c r="A6822" i="13"/>
  <c r="J6821" i="13"/>
  <c r="F6821" i="13"/>
  <c r="A6821" i="13"/>
  <c r="J6820" i="13"/>
  <c r="F6820" i="13"/>
  <c r="A6820" i="13"/>
  <c r="J6819" i="13"/>
  <c r="F6819" i="13"/>
  <c r="A6819" i="13"/>
  <c r="J6818" i="13"/>
  <c r="F6818" i="13"/>
  <c r="A6818" i="13"/>
  <c r="J6817" i="13"/>
  <c r="F6817" i="13"/>
  <c r="A6817" i="13"/>
  <c r="J6816" i="13"/>
  <c r="F6816" i="13"/>
  <c r="A6816" i="13"/>
  <c r="J6815" i="13"/>
  <c r="F6815" i="13"/>
  <c r="A6815" i="13"/>
  <c r="F6814" i="13"/>
  <c r="A6814" i="13"/>
  <c r="J6813" i="13"/>
  <c r="F6813" i="13"/>
  <c r="A6813" i="13"/>
  <c r="J6812" i="13"/>
  <c r="F6812" i="13"/>
  <c r="A6812" i="13"/>
  <c r="J6811" i="13"/>
  <c r="F6811" i="13"/>
  <c r="A6811" i="13"/>
  <c r="F6810" i="13"/>
  <c r="A6810" i="13"/>
  <c r="J6809" i="13"/>
  <c r="F6809" i="13"/>
  <c r="A6809" i="13"/>
  <c r="J6808" i="13"/>
  <c r="F6808" i="13"/>
  <c r="A6808" i="13"/>
  <c r="J6807" i="13"/>
  <c r="F6807" i="13"/>
  <c r="A6807" i="13"/>
  <c r="F6806" i="13"/>
  <c r="A6806" i="13"/>
  <c r="J6805" i="13"/>
  <c r="F6805" i="13"/>
  <c r="A6805" i="13"/>
  <c r="F6804" i="13"/>
  <c r="A6804" i="13"/>
  <c r="J6803" i="13"/>
  <c r="F6803" i="13"/>
  <c r="A6803" i="13"/>
  <c r="F6802" i="13"/>
  <c r="A6802" i="13"/>
  <c r="F6801" i="13"/>
  <c r="A6801" i="13"/>
  <c r="J6800" i="13"/>
  <c r="F6800" i="13"/>
  <c r="A6800" i="13"/>
  <c r="J6799" i="13"/>
  <c r="F6799" i="13"/>
  <c r="A6799" i="13"/>
  <c r="J6798" i="13"/>
  <c r="F6798" i="13"/>
  <c r="A6798" i="13"/>
  <c r="J6797" i="13"/>
  <c r="F6797" i="13"/>
  <c r="A6797" i="13"/>
  <c r="J6796" i="13"/>
  <c r="F6796" i="13"/>
  <c r="A6796" i="13"/>
  <c r="F6795" i="13"/>
  <c r="A6795" i="13"/>
  <c r="F6794" i="13"/>
  <c r="A6794" i="13"/>
  <c r="F6793" i="13"/>
  <c r="A6793" i="13"/>
  <c r="F6792" i="13"/>
  <c r="A6792" i="13"/>
  <c r="J6791" i="13"/>
  <c r="F6791" i="13"/>
  <c r="A6791" i="13"/>
  <c r="J6790" i="13"/>
  <c r="F6790" i="13"/>
  <c r="A6790" i="13"/>
  <c r="J6789" i="13"/>
  <c r="F6789" i="13"/>
  <c r="A6789" i="13"/>
  <c r="F6788" i="13"/>
  <c r="A6788" i="13"/>
  <c r="F6787" i="13"/>
  <c r="A6787" i="13"/>
  <c r="J6786" i="13"/>
  <c r="F6786" i="13"/>
  <c r="A6786" i="13"/>
  <c r="J6785" i="13"/>
  <c r="F6785" i="13"/>
  <c r="A6785" i="13"/>
  <c r="J6784" i="13"/>
  <c r="F6784" i="13"/>
  <c r="A6784" i="13"/>
  <c r="J6783" i="13"/>
  <c r="F6783" i="13"/>
  <c r="A6783" i="13"/>
  <c r="F6782" i="13"/>
  <c r="A6782" i="13"/>
  <c r="F6781" i="13"/>
  <c r="A6781" i="13"/>
  <c r="J6780" i="13"/>
  <c r="F6780" i="13"/>
  <c r="A6780" i="13"/>
  <c r="F6779" i="13"/>
  <c r="A6779" i="13"/>
  <c r="J6778" i="13"/>
  <c r="F6778" i="13"/>
  <c r="A6778" i="13"/>
  <c r="J6777" i="13"/>
  <c r="F6777" i="13"/>
  <c r="A6777" i="13"/>
  <c r="J6776" i="13"/>
  <c r="F6776" i="13"/>
  <c r="A6776" i="13"/>
  <c r="J6775" i="13"/>
  <c r="F6775" i="13"/>
  <c r="A6775" i="13"/>
  <c r="J6774" i="13"/>
  <c r="F6774" i="13"/>
  <c r="A6774" i="13"/>
  <c r="J6773" i="13"/>
  <c r="F6773" i="13"/>
  <c r="A6773" i="13"/>
  <c r="J6772" i="13"/>
  <c r="F6772" i="13"/>
  <c r="A6772" i="13"/>
  <c r="F6771" i="13"/>
  <c r="A6771" i="13"/>
  <c r="J6770" i="13"/>
  <c r="F6770" i="13"/>
  <c r="A6770" i="13"/>
  <c r="F6769" i="13"/>
  <c r="A6769" i="13"/>
  <c r="J6768" i="13"/>
  <c r="F6768" i="13"/>
  <c r="A6768" i="13"/>
  <c r="J6767" i="13"/>
  <c r="F6767" i="13"/>
  <c r="A6767" i="13"/>
  <c r="F6766" i="13"/>
  <c r="A6766" i="13"/>
  <c r="J6765" i="13"/>
  <c r="F6765" i="13"/>
  <c r="A6765" i="13"/>
  <c r="J6764" i="13"/>
  <c r="F6764" i="13"/>
  <c r="A6764" i="13"/>
  <c r="J6763" i="13"/>
  <c r="F6763" i="13"/>
  <c r="A6763" i="13"/>
  <c r="J6762" i="13"/>
  <c r="F6762" i="13"/>
  <c r="A6762" i="13"/>
  <c r="F6761" i="13"/>
  <c r="A6761" i="13"/>
  <c r="J6760" i="13"/>
  <c r="F6760" i="13"/>
  <c r="A6760" i="13"/>
  <c r="J6759" i="13"/>
  <c r="F6759" i="13"/>
  <c r="A6759" i="13"/>
  <c r="J6758" i="13"/>
  <c r="F6758" i="13"/>
  <c r="A6758" i="13"/>
  <c r="F6757" i="13"/>
  <c r="A6757" i="13"/>
  <c r="J6756" i="13"/>
  <c r="F6756" i="13"/>
  <c r="A6756" i="13"/>
  <c r="J6755" i="13"/>
  <c r="F6755" i="13"/>
  <c r="A6755" i="13"/>
  <c r="J6754" i="13"/>
  <c r="F6754" i="13"/>
  <c r="A6754" i="13"/>
  <c r="F6753" i="13"/>
  <c r="A6753" i="13"/>
  <c r="F6752" i="13"/>
  <c r="A6752" i="13"/>
  <c r="J6751" i="13"/>
  <c r="F6751" i="13"/>
  <c r="A6751" i="13"/>
  <c r="J6750" i="13"/>
  <c r="F6750" i="13"/>
  <c r="A6750" i="13"/>
  <c r="J6749" i="13"/>
  <c r="F6749" i="13"/>
  <c r="A6749" i="13"/>
  <c r="J6748" i="13"/>
  <c r="F6748" i="13"/>
  <c r="A6748" i="13"/>
  <c r="J6747" i="13"/>
  <c r="F6747" i="13"/>
  <c r="A6747" i="13"/>
  <c r="J6746" i="13"/>
  <c r="F6746" i="13"/>
  <c r="A6746" i="13"/>
  <c r="J6745" i="13"/>
  <c r="F6745" i="13"/>
  <c r="A6745" i="13"/>
  <c r="F6744" i="13"/>
  <c r="A6744" i="13"/>
  <c r="J6743" i="13"/>
  <c r="F6743" i="13"/>
  <c r="A6743" i="13"/>
  <c r="J6742" i="13"/>
  <c r="F6742" i="13"/>
  <c r="A6742" i="13"/>
  <c r="F6741" i="13"/>
  <c r="A6741" i="13"/>
  <c r="J6740" i="13"/>
  <c r="F6740" i="13"/>
  <c r="A6740" i="13"/>
  <c r="J6739" i="13"/>
  <c r="F6739" i="13"/>
  <c r="A6739" i="13"/>
  <c r="J6738" i="13"/>
  <c r="F6738" i="13"/>
  <c r="A6738" i="13"/>
  <c r="F6737" i="13"/>
  <c r="A6737" i="13"/>
  <c r="J6736" i="13"/>
  <c r="F6736" i="13"/>
  <c r="A6736" i="13"/>
  <c r="J6735" i="13"/>
  <c r="F6735" i="13"/>
  <c r="A6735" i="13"/>
  <c r="J6734" i="13"/>
  <c r="F6734" i="13"/>
  <c r="A6734" i="13"/>
  <c r="F6733" i="13"/>
  <c r="A6733" i="13"/>
  <c r="J6732" i="13"/>
  <c r="F6732" i="13"/>
  <c r="A6732" i="13"/>
  <c r="J6731" i="13"/>
  <c r="F6731" i="13"/>
  <c r="A6731" i="13"/>
  <c r="J6730" i="13"/>
  <c r="F6730" i="13"/>
  <c r="A6730" i="13"/>
  <c r="F6729" i="13"/>
  <c r="A6729" i="13"/>
  <c r="F6728" i="13"/>
  <c r="A6728" i="13"/>
  <c r="J6727" i="13"/>
  <c r="F6727" i="13"/>
  <c r="A6727" i="13"/>
  <c r="J6726" i="13"/>
  <c r="F6726" i="13"/>
  <c r="A6726" i="13"/>
  <c r="J6725" i="13"/>
  <c r="F6725" i="13"/>
  <c r="A6725" i="13"/>
  <c r="J6724" i="13"/>
  <c r="F6724" i="13"/>
  <c r="A6724" i="13"/>
  <c r="J6723" i="13"/>
  <c r="F6723" i="13"/>
  <c r="A6723" i="13"/>
  <c r="J6722" i="13"/>
  <c r="F6722" i="13"/>
  <c r="A6722" i="13"/>
  <c r="J6721" i="13"/>
  <c r="F6721" i="13"/>
  <c r="A6721" i="13"/>
  <c r="J6720" i="13"/>
  <c r="F6720" i="13"/>
  <c r="A6720" i="13"/>
  <c r="J6719" i="13"/>
  <c r="F6719" i="13"/>
  <c r="A6719" i="13"/>
  <c r="J6718" i="13"/>
  <c r="F6718" i="13"/>
  <c r="A6718" i="13"/>
  <c r="J6717" i="13"/>
  <c r="F6717" i="13"/>
  <c r="A6717" i="13"/>
  <c r="J6716" i="13"/>
  <c r="F6716" i="13"/>
  <c r="A6716" i="13"/>
  <c r="J6715" i="13"/>
  <c r="F6715" i="13"/>
  <c r="A6715" i="13"/>
  <c r="F6714" i="13"/>
  <c r="A6714" i="13"/>
  <c r="J6713" i="13"/>
  <c r="F6713" i="13"/>
  <c r="A6713" i="13"/>
  <c r="F6712" i="13"/>
  <c r="A6712" i="13"/>
  <c r="J6711" i="13"/>
  <c r="F6711" i="13"/>
  <c r="A6711" i="13"/>
  <c r="J6710" i="13"/>
  <c r="F6710" i="13"/>
  <c r="A6710" i="13"/>
  <c r="F6709" i="13"/>
  <c r="A6709" i="13"/>
  <c r="F6708" i="13"/>
  <c r="A6708" i="13"/>
  <c r="F6707" i="13"/>
  <c r="A6707" i="13"/>
  <c r="F6706" i="13"/>
  <c r="A6706" i="13"/>
  <c r="J6705" i="13"/>
  <c r="F6705" i="13"/>
  <c r="A6705" i="13"/>
  <c r="J6704" i="13"/>
  <c r="F6704" i="13"/>
  <c r="A6704" i="13"/>
  <c r="J6703" i="13"/>
  <c r="F6703" i="13"/>
  <c r="A6703" i="13"/>
  <c r="F6702" i="13"/>
  <c r="A6702" i="13"/>
  <c r="F6701" i="13"/>
  <c r="A6701" i="13"/>
  <c r="F6700" i="13"/>
  <c r="A6700" i="13"/>
  <c r="F6699" i="13"/>
  <c r="A6699" i="13"/>
  <c r="F6698" i="13"/>
  <c r="A6698" i="13"/>
  <c r="J6697" i="13"/>
  <c r="F6697" i="13"/>
  <c r="A6697" i="13"/>
  <c r="F6696" i="13"/>
  <c r="A6696" i="13"/>
  <c r="F6695" i="13"/>
  <c r="A6695" i="13"/>
  <c r="J6694" i="13"/>
  <c r="F6694" i="13"/>
  <c r="A6694" i="13"/>
  <c r="F6693" i="13"/>
  <c r="A6693" i="13"/>
  <c r="F6692" i="13"/>
  <c r="A6692" i="13"/>
  <c r="F6691" i="13"/>
  <c r="A6691" i="13"/>
  <c r="F6690" i="13"/>
  <c r="A6690" i="13"/>
  <c r="J6689" i="13"/>
  <c r="F6689" i="13"/>
  <c r="A6689" i="13"/>
  <c r="J6688" i="13"/>
  <c r="F6688" i="13"/>
  <c r="A6688" i="13"/>
  <c r="J6687" i="13"/>
  <c r="F6687" i="13"/>
  <c r="A6687" i="13"/>
  <c r="J6686" i="13"/>
  <c r="F6686" i="13"/>
  <c r="A6686" i="13"/>
  <c r="F6685" i="13"/>
  <c r="A6685" i="13"/>
  <c r="J6684" i="13"/>
  <c r="F6684" i="13"/>
  <c r="A6684" i="13"/>
  <c r="J6683" i="13"/>
  <c r="F6683" i="13"/>
  <c r="A6683" i="13"/>
  <c r="F6682" i="13"/>
  <c r="A6682" i="13"/>
  <c r="F6681" i="13"/>
  <c r="A6681" i="13"/>
  <c r="F6680" i="13"/>
  <c r="A6680" i="13"/>
  <c r="F6679" i="13"/>
  <c r="A6679" i="13"/>
  <c r="J6678" i="13"/>
  <c r="F6678" i="13"/>
  <c r="A6678" i="13"/>
  <c r="J6677" i="13"/>
  <c r="F6677" i="13"/>
  <c r="A6677" i="13"/>
  <c r="J6676" i="13"/>
  <c r="F6676" i="13"/>
  <c r="A6676" i="13"/>
  <c r="F6675" i="13"/>
  <c r="A6675" i="13"/>
  <c r="J6674" i="13"/>
  <c r="F6674" i="13"/>
  <c r="A6674" i="13"/>
  <c r="J6673" i="13"/>
  <c r="F6673" i="13"/>
  <c r="A6673" i="13"/>
  <c r="F6672" i="13"/>
  <c r="A6672" i="13"/>
  <c r="J6671" i="13"/>
  <c r="F6671" i="13"/>
  <c r="A6671" i="13"/>
  <c r="J6670" i="13"/>
  <c r="F6670" i="13"/>
  <c r="A6670" i="13"/>
  <c r="J6669" i="13"/>
  <c r="F6669" i="13"/>
  <c r="A6669" i="13"/>
  <c r="J6668" i="13"/>
  <c r="F6668" i="13"/>
  <c r="A6668" i="13"/>
  <c r="J6667" i="13"/>
  <c r="F6667" i="13"/>
  <c r="A6667" i="13"/>
  <c r="F6666" i="13"/>
  <c r="A6666" i="13"/>
  <c r="J6665" i="13"/>
  <c r="F6665" i="13"/>
  <c r="A6665" i="13"/>
  <c r="J6664" i="13"/>
  <c r="F6664" i="13"/>
  <c r="A6664" i="13"/>
  <c r="F6663" i="13"/>
  <c r="A6663" i="13"/>
  <c r="F6662" i="13"/>
  <c r="A6662" i="13"/>
  <c r="F6661" i="13"/>
  <c r="A6661" i="13"/>
  <c r="F6660" i="13"/>
  <c r="A6660" i="13"/>
  <c r="F6659" i="13"/>
  <c r="A6659" i="13"/>
  <c r="F6658" i="13"/>
  <c r="A6658" i="13"/>
  <c r="F6657" i="13"/>
  <c r="A6657" i="13"/>
  <c r="F6656" i="13"/>
  <c r="A6656" i="13"/>
  <c r="F6655" i="13"/>
  <c r="A6655" i="13"/>
  <c r="F6654" i="13"/>
  <c r="A6654" i="13"/>
  <c r="F6653" i="13"/>
  <c r="A6653" i="13"/>
  <c r="F6652" i="13"/>
  <c r="A6652" i="13"/>
  <c r="F6651" i="13"/>
  <c r="A6651" i="13"/>
  <c r="F6650" i="13"/>
  <c r="A6650" i="13"/>
  <c r="F6649" i="13"/>
  <c r="A6649" i="13"/>
  <c r="F6648" i="13"/>
  <c r="A6648" i="13"/>
  <c r="F6647" i="13"/>
  <c r="A6647" i="13"/>
  <c r="F6646" i="13"/>
  <c r="A6646" i="13"/>
  <c r="F6645" i="13"/>
  <c r="A6645" i="13"/>
  <c r="J6644" i="13"/>
  <c r="F6644" i="13"/>
  <c r="A6644" i="13"/>
  <c r="F6643" i="13"/>
  <c r="A6643" i="13"/>
  <c r="F6642" i="13"/>
  <c r="A6642" i="13"/>
  <c r="F6641" i="13"/>
  <c r="A6641" i="13"/>
  <c r="F6640" i="13"/>
  <c r="A6640" i="13"/>
  <c r="F6639" i="13"/>
  <c r="A6639" i="13"/>
  <c r="F6638" i="13"/>
  <c r="A6638" i="13"/>
  <c r="F6637" i="13"/>
  <c r="A6637" i="13"/>
  <c r="F6636" i="13"/>
  <c r="A6636" i="13"/>
  <c r="F6635" i="13"/>
  <c r="A6635" i="13"/>
  <c r="F6634" i="13"/>
  <c r="A6634" i="13"/>
  <c r="F6633" i="13"/>
  <c r="A6633" i="13"/>
  <c r="F6632" i="13"/>
  <c r="A6632" i="13"/>
  <c r="J6631" i="13"/>
  <c r="F6631" i="13"/>
  <c r="A6631" i="13"/>
  <c r="J6630" i="13"/>
  <c r="F6630" i="13"/>
  <c r="A6630" i="13"/>
  <c r="J6629" i="13"/>
  <c r="F6629" i="13"/>
  <c r="A6629" i="13"/>
  <c r="F6628" i="13"/>
  <c r="A6628" i="13"/>
  <c r="J6627" i="13"/>
  <c r="F6627" i="13"/>
  <c r="A6627" i="13"/>
  <c r="J6626" i="13"/>
  <c r="F6626" i="13"/>
  <c r="A6626" i="13"/>
  <c r="J6625" i="13"/>
  <c r="F6625" i="13"/>
  <c r="A6625" i="13"/>
  <c r="J6624" i="13"/>
  <c r="F6624" i="13"/>
  <c r="A6624" i="13"/>
  <c r="F6623" i="13"/>
  <c r="A6623" i="13"/>
  <c r="F6622" i="13"/>
  <c r="A6622" i="13"/>
  <c r="J6621" i="13"/>
  <c r="F6621" i="13"/>
  <c r="A6621" i="13"/>
  <c r="J6620" i="13"/>
  <c r="F6620" i="13"/>
  <c r="A6620" i="13"/>
  <c r="J6619" i="13"/>
  <c r="F6619" i="13"/>
  <c r="A6619" i="13"/>
  <c r="F6618" i="13"/>
  <c r="A6618" i="13"/>
  <c r="J6617" i="13"/>
  <c r="F6617" i="13"/>
  <c r="A6617" i="13"/>
  <c r="J6616" i="13"/>
  <c r="F6616" i="13"/>
  <c r="A6616" i="13"/>
  <c r="J6615" i="13"/>
  <c r="F6615" i="13"/>
  <c r="A6615" i="13"/>
  <c r="J6614" i="13"/>
  <c r="F6614" i="13"/>
  <c r="A6614" i="13"/>
  <c r="F6613" i="13"/>
  <c r="A6613" i="13"/>
  <c r="J6612" i="13"/>
  <c r="F6612" i="13"/>
  <c r="A6612" i="13"/>
  <c r="F6611" i="13"/>
  <c r="A6611" i="13"/>
  <c r="J6610" i="13"/>
  <c r="F6610" i="13"/>
  <c r="A6610" i="13"/>
  <c r="J6609" i="13"/>
  <c r="F6609" i="13"/>
  <c r="A6609" i="13"/>
  <c r="J6608" i="13"/>
  <c r="F6608" i="13"/>
  <c r="A6608" i="13"/>
  <c r="J6607" i="13"/>
  <c r="F6607" i="13"/>
  <c r="A6607" i="13"/>
  <c r="J6606" i="13"/>
  <c r="F6606" i="13"/>
  <c r="A6606" i="13"/>
  <c r="F6605" i="13"/>
  <c r="A6605" i="13"/>
  <c r="J6604" i="13"/>
  <c r="F6604" i="13"/>
  <c r="A6604" i="13"/>
  <c r="F6603" i="13"/>
  <c r="A6603" i="13"/>
  <c r="F6602" i="13"/>
  <c r="A6602" i="13"/>
  <c r="J6601" i="13"/>
  <c r="F6601" i="13"/>
  <c r="A6601" i="13"/>
  <c r="J6600" i="13"/>
  <c r="F6600" i="13"/>
  <c r="A6600" i="13"/>
  <c r="F6599" i="13"/>
  <c r="A6599" i="13"/>
  <c r="F6598" i="13"/>
  <c r="A6598" i="13"/>
  <c r="J6597" i="13"/>
  <c r="F6597" i="13"/>
  <c r="A6597" i="13"/>
  <c r="F6596" i="13"/>
  <c r="A6596" i="13"/>
  <c r="J6595" i="13"/>
  <c r="F6595" i="13"/>
  <c r="A6595" i="13"/>
  <c r="J6594" i="13"/>
  <c r="F6594" i="13"/>
  <c r="A6594" i="13"/>
  <c r="F6593" i="13"/>
  <c r="A6593" i="13"/>
  <c r="J6592" i="13"/>
  <c r="F6592" i="13"/>
  <c r="A6592" i="13"/>
  <c r="F6591" i="13"/>
  <c r="A6591" i="13"/>
  <c r="J6590" i="13"/>
  <c r="F6590" i="13"/>
  <c r="A6590" i="13"/>
  <c r="J6589" i="13"/>
  <c r="F6589" i="13"/>
  <c r="A6589" i="13"/>
  <c r="J6588" i="13"/>
  <c r="F6588" i="13"/>
  <c r="A6588" i="13"/>
  <c r="F6587" i="13"/>
  <c r="A6587" i="13"/>
  <c r="F6586" i="13"/>
  <c r="A6586" i="13"/>
  <c r="F6585" i="13"/>
  <c r="A6585" i="13"/>
  <c r="J6584" i="13"/>
  <c r="F6584" i="13"/>
  <c r="A6584" i="13"/>
  <c r="F6583" i="13"/>
  <c r="A6583" i="13"/>
  <c r="F6582" i="13"/>
  <c r="A6582" i="13"/>
  <c r="F6581" i="13"/>
  <c r="A6581" i="13"/>
  <c r="J6580" i="13"/>
  <c r="F6580" i="13"/>
  <c r="A6580" i="13"/>
  <c r="J6579" i="13"/>
  <c r="F6579" i="13"/>
  <c r="A6579" i="13"/>
  <c r="J6578" i="13"/>
  <c r="F6578" i="13"/>
  <c r="A6578" i="13"/>
  <c r="J6577" i="13"/>
  <c r="F6577" i="13"/>
  <c r="A6577" i="13"/>
  <c r="J6576" i="13"/>
  <c r="F6576" i="13"/>
  <c r="A6576" i="13"/>
  <c r="J6575" i="13"/>
  <c r="F6575" i="13"/>
  <c r="A6575" i="13"/>
  <c r="J6574" i="13"/>
  <c r="F6574" i="13"/>
  <c r="A6574" i="13"/>
  <c r="F6573" i="13"/>
  <c r="A6573" i="13"/>
  <c r="J6572" i="13"/>
  <c r="F6572" i="13"/>
  <c r="A6572" i="13"/>
  <c r="J6571" i="13"/>
  <c r="F6571" i="13"/>
  <c r="A6571" i="13"/>
  <c r="J6570" i="13"/>
  <c r="F6570" i="13"/>
  <c r="A6570" i="13"/>
  <c r="J6569" i="13"/>
  <c r="F6569" i="13"/>
  <c r="A6569" i="13"/>
  <c r="F6568" i="13"/>
  <c r="A6568" i="13"/>
  <c r="F6567" i="13"/>
  <c r="A6567" i="13"/>
  <c r="J6566" i="13"/>
  <c r="F6566" i="13"/>
  <c r="A6566" i="13"/>
  <c r="J6565" i="13"/>
  <c r="F6565" i="13"/>
  <c r="A6565" i="13"/>
  <c r="J6564" i="13"/>
  <c r="F6564" i="13"/>
  <c r="A6564" i="13"/>
  <c r="F6563" i="13"/>
  <c r="A6563" i="13"/>
  <c r="J6562" i="13"/>
  <c r="F6562" i="13"/>
  <c r="A6562" i="13"/>
  <c r="J6561" i="13"/>
  <c r="F6561" i="13"/>
  <c r="A6561" i="13"/>
  <c r="F6560" i="13"/>
  <c r="A6560" i="13"/>
  <c r="J6559" i="13"/>
  <c r="F6559" i="13"/>
  <c r="A6559" i="13"/>
  <c r="J6558" i="13"/>
  <c r="F6558" i="13"/>
  <c r="A6558" i="13"/>
  <c r="F6557" i="13"/>
  <c r="A6557" i="13"/>
  <c r="F6556" i="13"/>
  <c r="A6556" i="13"/>
  <c r="F6555" i="13"/>
  <c r="A6555" i="13"/>
  <c r="F6554" i="13"/>
  <c r="A6554" i="13"/>
  <c r="F6553" i="13"/>
  <c r="A6553" i="13"/>
  <c r="F6552" i="13"/>
  <c r="A6552" i="13"/>
  <c r="F6551" i="13"/>
  <c r="A6551" i="13"/>
  <c r="F6550" i="13"/>
  <c r="A6550" i="13"/>
  <c r="J6549" i="13"/>
  <c r="F6549" i="13"/>
  <c r="A6549" i="13"/>
  <c r="F6548" i="13"/>
  <c r="A6548" i="13"/>
  <c r="J6547" i="13"/>
  <c r="F6547" i="13"/>
  <c r="A6547" i="13"/>
  <c r="J6546" i="13"/>
  <c r="F6546" i="13"/>
  <c r="A6546" i="13"/>
  <c r="J6545" i="13"/>
  <c r="F6545" i="13"/>
  <c r="A6545" i="13"/>
  <c r="F6544" i="13"/>
  <c r="A6544" i="13"/>
  <c r="J6543" i="13"/>
  <c r="F6543" i="13"/>
  <c r="A6543" i="13"/>
  <c r="J6542" i="13"/>
  <c r="F6542" i="13"/>
  <c r="A6542" i="13"/>
  <c r="J6541" i="13"/>
  <c r="F6541" i="13"/>
  <c r="A6541" i="13"/>
  <c r="F6540" i="13"/>
  <c r="A6540" i="13"/>
  <c r="J6539" i="13"/>
  <c r="F6539" i="13"/>
  <c r="A6539" i="13"/>
  <c r="J6538" i="13"/>
  <c r="F6538" i="13"/>
  <c r="A6538" i="13"/>
  <c r="J6537" i="13"/>
  <c r="F6537" i="13"/>
  <c r="A6537" i="13"/>
  <c r="F6536" i="13"/>
  <c r="A6536" i="13"/>
  <c r="J6535" i="13"/>
  <c r="F6535" i="13"/>
  <c r="A6535" i="13"/>
  <c r="J6534" i="13"/>
  <c r="F6534" i="13"/>
  <c r="A6534" i="13"/>
  <c r="J6533" i="13"/>
  <c r="F6533" i="13"/>
  <c r="A6533" i="13"/>
  <c r="F6532" i="13"/>
  <c r="A6532" i="13"/>
  <c r="J6531" i="13"/>
  <c r="F6531" i="13"/>
  <c r="A6531" i="13"/>
  <c r="J6530" i="13"/>
  <c r="F6530" i="13"/>
  <c r="A6530" i="13"/>
  <c r="J6529" i="13"/>
  <c r="F6529" i="13"/>
  <c r="A6529" i="13"/>
  <c r="J6528" i="13"/>
  <c r="F6528" i="13"/>
  <c r="A6528" i="13"/>
  <c r="F6527" i="13"/>
  <c r="A6527" i="13"/>
  <c r="J6526" i="13"/>
  <c r="F6526" i="13"/>
  <c r="A6526" i="13"/>
  <c r="J6525" i="13"/>
  <c r="F6525" i="13"/>
  <c r="A6525" i="13"/>
  <c r="J6524" i="13"/>
  <c r="F6524" i="13"/>
  <c r="A6524" i="13"/>
  <c r="J6523" i="13"/>
  <c r="F6523" i="13"/>
  <c r="A6523" i="13"/>
  <c r="F6522" i="13"/>
  <c r="A6522" i="13"/>
  <c r="J6521" i="13"/>
  <c r="F6521" i="13"/>
  <c r="A6521" i="13"/>
  <c r="J6520" i="13"/>
  <c r="F6520" i="13"/>
  <c r="A6520" i="13"/>
  <c r="F6519" i="13"/>
  <c r="A6519" i="13"/>
  <c r="J6518" i="13"/>
  <c r="F6518" i="13"/>
  <c r="A6518" i="13"/>
  <c r="J6517" i="13"/>
  <c r="F6517" i="13"/>
  <c r="A6517" i="13"/>
  <c r="J6516" i="13"/>
  <c r="F6516" i="13"/>
  <c r="A6516" i="13"/>
  <c r="J6515" i="13"/>
  <c r="F6515" i="13"/>
  <c r="A6515" i="13"/>
  <c r="J6514" i="13"/>
  <c r="F6514" i="13"/>
  <c r="A6514" i="13"/>
  <c r="J6513" i="13"/>
  <c r="F6513" i="13"/>
  <c r="A6513" i="13"/>
  <c r="J6512" i="13"/>
  <c r="F6512" i="13"/>
  <c r="A6512" i="13"/>
  <c r="J6511" i="13"/>
  <c r="F6511" i="13"/>
  <c r="A6511" i="13"/>
  <c r="F6510" i="13"/>
  <c r="A6510" i="13"/>
  <c r="J6509" i="13"/>
  <c r="F6509" i="13"/>
  <c r="A6509" i="13"/>
  <c r="J6508" i="13"/>
  <c r="F6508" i="13"/>
  <c r="A6508" i="13"/>
  <c r="F6507" i="13"/>
  <c r="A6507" i="13"/>
  <c r="J6506" i="13"/>
  <c r="F6506" i="13"/>
  <c r="A6506" i="13"/>
  <c r="F6505" i="13"/>
  <c r="A6505" i="13"/>
  <c r="F6504" i="13"/>
  <c r="A6504" i="13"/>
  <c r="F6503" i="13"/>
  <c r="A6503" i="13"/>
  <c r="J6502" i="13"/>
  <c r="F6502" i="13"/>
  <c r="A6502" i="13"/>
  <c r="J6501" i="13"/>
  <c r="F6501" i="13"/>
  <c r="A6501" i="13"/>
  <c r="F6500" i="13"/>
  <c r="A6500" i="13"/>
  <c r="F6499" i="13"/>
  <c r="A6499" i="13"/>
  <c r="F6498" i="13"/>
  <c r="A6498" i="13"/>
  <c r="J6497" i="13"/>
  <c r="F6497" i="13"/>
  <c r="A6497" i="13"/>
  <c r="F6496" i="13"/>
  <c r="A6496" i="13"/>
  <c r="J6495" i="13"/>
  <c r="F6495" i="13"/>
  <c r="A6495" i="13"/>
  <c r="J6494" i="13"/>
  <c r="F6494" i="13"/>
  <c r="A6494" i="13"/>
  <c r="J6493" i="13"/>
  <c r="F6493" i="13"/>
  <c r="A6493" i="13"/>
  <c r="F6492" i="13"/>
  <c r="A6492" i="13"/>
  <c r="F6491" i="13"/>
  <c r="A6491" i="13"/>
  <c r="J6490" i="13"/>
  <c r="F6490" i="13"/>
  <c r="A6490" i="13"/>
  <c r="J6489" i="13"/>
  <c r="F6489" i="13"/>
  <c r="A6489" i="13"/>
  <c r="J6488" i="13"/>
  <c r="F6488" i="13"/>
  <c r="A6488" i="13"/>
  <c r="J6487" i="13"/>
  <c r="F6487" i="13"/>
  <c r="A6487" i="13"/>
  <c r="F6486" i="13"/>
  <c r="A6486" i="13"/>
  <c r="J6485" i="13"/>
  <c r="F6485" i="13"/>
  <c r="A6485" i="13"/>
  <c r="J6484" i="13"/>
  <c r="F6484" i="13"/>
  <c r="A6484" i="13"/>
  <c r="F6483" i="13"/>
  <c r="A6483" i="13"/>
  <c r="F6482" i="13"/>
  <c r="A6482" i="13"/>
  <c r="F6481" i="13"/>
  <c r="A6481" i="13"/>
  <c r="J6480" i="13"/>
  <c r="F6480" i="13"/>
  <c r="A6480" i="13"/>
  <c r="J6479" i="13"/>
  <c r="F6479" i="13"/>
  <c r="A6479" i="13"/>
  <c r="J6478" i="13"/>
  <c r="F6478" i="13"/>
  <c r="A6478" i="13"/>
  <c r="J6477" i="13"/>
  <c r="F6477" i="13"/>
  <c r="A6477" i="13"/>
  <c r="J6476" i="13"/>
  <c r="F6476" i="13"/>
  <c r="A6476" i="13"/>
  <c r="J6475" i="13"/>
  <c r="F6475" i="13"/>
  <c r="A6475" i="13"/>
  <c r="F6474" i="13"/>
  <c r="A6474" i="13"/>
  <c r="J6473" i="13"/>
  <c r="F6473" i="13"/>
  <c r="A6473" i="13"/>
  <c r="J6472" i="13"/>
  <c r="F6472" i="13"/>
  <c r="A6472" i="13"/>
  <c r="F6471" i="13"/>
  <c r="A6471" i="13"/>
  <c r="J6470" i="13"/>
  <c r="F6470" i="13"/>
  <c r="A6470" i="13"/>
  <c r="J6469" i="13"/>
  <c r="F6469" i="13"/>
  <c r="A6469" i="13"/>
  <c r="J6468" i="13"/>
  <c r="F6468" i="13"/>
  <c r="A6468" i="13"/>
  <c r="J6467" i="13"/>
  <c r="F6467" i="13"/>
  <c r="A6467" i="13"/>
  <c r="J6466" i="13"/>
  <c r="F6466" i="13"/>
  <c r="A6466" i="13"/>
  <c r="F6465" i="13"/>
  <c r="A6465" i="13"/>
  <c r="J6464" i="13"/>
  <c r="F6464" i="13"/>
  <c r="A6464" i="13"/>
  <c r="J6463" i="13"/>
  <c r="F6463" i="13"/>
  <c r="A6463" i="13"/>
  <c r="J6462" i="13"/>
  <c r="F6462" i="13"/>
  <c r="A6462" i="13"/>
  <c r="J6461" i="13"/>
  <c r="F6461" i="13"/>
  <c r="A6461" i="13"/>
  <c r="J6460" i="13"/>
  <c r="F6460" i="13"/>
  <c r="A6460" i="13"/>
  <c r="F6459" i="13"/>
  <c r="A6459" i="13"/>
  <c r="F6458" i="13"/>
  <c r="A6458" i="13"/>
  <c r="F6457" i="13"/>
  <c r="A6457" i="13"/>
  <c r="F6456" i="13"/>
  <c r="A6456" i="13"/>
  <c r="F6455" i="13"/>
  <c r="A6455" i="13"/>
  <c r="F6454" i="13"/>
  <c r="A6454" i="13"/>
  <c r="F6453" i="13"/>
  <c r="A6453" i="13"/>
  <c r="F6452" i="13"/>
  <c r="A6452" i="13"/>
  <c r="F6451" i="13"/>
  <c r="A6451" i="13"/>
  <c r="F6450" i="13"/>
  <c r="A6450" i="13"/>
  <c r="F6449" i="13"/>
  <c r="A6449" i="13"/>
  <c r="F6448" i="13"/>
  <c r="A6448" i="13"/>
  <c r="F6447" i="13"/>
  <c r="A6447" i="13"/>
  <c r="F6446" i="13"/>
  <c r="A6446" i="13"/>
  <c r="F6445" i="13"/>
  <c r="A6445" i="13"/>
  <c r="F6444" i="13"/>
  <c r="A6444" i="13"/>
  <c r="F6443" i="13"/>
  <c r="A6443" i="13"/>
  <c r="F6442" i="13"/>
  <c r="A6442" i="13"/>
  <c r="F6441" i="13"/>
  <c r="A6441" i="13"/>
  <c r="F6440" i="13"/>
  <c r="A6440" i="13"/>
  <c r="F6439" i="13"/>
  <c r="A6439" i="13"/>
  <c r="F6438" i="13"/>
  <c r="A6438" i="13"/>
  <c r="F6437" i="13"/>
  <c r="A6437" i="13"/>
  <c r="F6436" i="13"/>
  <c r="A6436" i="13"/>
  <c r="F6435" i="13"/>
  <c r="A6435" i="13"/>
  <c r="F6434" i="13"/>
  <c r="A6434" i="13"/>
  <c r="F6433" i="13"/>
  <c r="A6433" i="13"/>
  <c r="F6432" i="13"/>
  <c r="A6432" i="13"/>
  <c r="J6431" i="13"/>
  <c r="F6431" i="13"/>
  <c r="A6431" i="13"/>
  <c r="J6430" i="13"/>
  <c r="F6430" i="13"/>
  <c r="A6430" i="13"/>
  <c r="F6429" i="13"/>
  <c r="A6429" i="13"/>
  <c r="J6428" i="13"/>
  <c r="F6428" i="13"/>
  <c r="A6428" i="13"/>
  <c r="J6427" i="13"/>
  <c r="F6427" i="13"/>
  <c r="A6427" i="13"/>
  <c r="F6426" i="13"/>
  <c r="A6426" i="13"/>
  <c r="J6425" i="13"/>
  <c r="F6425" i="13"/>
  <c r="A6425" i="13"/>
  <c r="J6424" i="13"/>
  <c r="F6424" i="13"/>
  <c r="A6424" i="13"/>
  <c r="J6423" i="13"/>
  <c r="F6423" i="13"/>
  <c r="A6423" i="13"/>
  <c r="F6422" i="13"/>
  <c r="A6422" i="13"/>
  <c r="J6421" i="13"/>
  <c r="F6421" i="13"/>
  <c r="A6421" i="13"/>
  <c r="F6420" i="13"/>
  <c r="A6420" i="13"/>
  <c r="F6419" i="13"/>
  <c r="A6419" i="13"/>
  <c r="F6418" i="13"/>
  <c r="A6418" i="13"/>
  <c r="J6417" i="13"/>
  <c r="F6417" i="13"/>
  <c r="A6417" i="13"/>
  <c r="J6416" i="13"/>
  <c r="F6416" i="13"/>
  <c r="A6416" i="13"/>
  <c r="F6415" i="13"/>
  <c r="A6415" i="13"/>
  <c r="J6414" i="13"/>
  <c r="F6414" i="13"/>
  <c r="A6414" i="13"/>
  <c r="J6413" i="13"/>
  <c r="F6413" i="13"/>
  <c r="A6413" i="13"/>
  <c r="J6412" i="13"/>
  <c r="F6412" i="13"/>
  <c r="A6412" i="13"/>
  <c r="F6411" i="13"/>
  <c r="A6411" i="13"/>
  <c r="J6410" i="13"/>
  <c r="F6410" i="13"/>
  <c r="A6410" i="13"/>
  <c r="F6409" i="13"/>
  <c r="A6409" i="13"/>
  <c r="J6408" i="13"/>
  <c r="F6408" i="13"/>
  <c r="A6408" i="13"/>
  <c r="J6407" i="13"/>
  <c r="F6407" i="13"/>
  <c r="A6407" i="13"/>
  <c r="F6406" i="13"/>
  <c r="A6406" i="13"/>
  <c r="F6405" i="13"/>
  <c r="A6405" i="13"/>
  <c r="J6404" i="13"/>
  <c r="F6404" i="13"/>
  <c r="A6404" i="13"/>
  <c r="F6403" i="13"/>
  <c r="A6403" i="13"/>
  <c r="J6402" i="13"/>
  <c r="F6402" i="13"/>
  <c r="A6402" i="13"/>
  <c r="F6401" i="13"/>
  <c r="A6401" i="13"/>
  <c r="J6400" i="13"/>
  <c r="F6400" i="13"/>
  <c r="A6400" i="13"/>
  <c r="J6399" i="13"/>
  <c r="F6399" i="13"/>
  <c r="A6399" i="13"/>
  <c r="F6398" i="13"/>
  <c r="A6398" i="13"/>
  <c r="J6397" i="13"/>
  <c r="F6397" i="13"/>
  <c r="A6397" i="13"/>
  <c r="J6396" i="13"/>
  <c r="F6396" i="13"/>
  <c r="A6396" i="13"/>
  <c r="J6395" i="13"/>
  <c r="F6395" i="13"/>
  <c r="A6395" i="13"/>
  <c r="J6394" i="13"/>
  <c r="F6394" i="13"/>
  <c r="A6394" i="13"/>
  <c r="J6393" i="13"/>
  <c r="F6393" i="13"/>
  <c r="A6393" i="13"/>
  <c r="J6392" i="13"/>
  <c r="F6392" i="13"/>
  <c r="A6392" i="13"/>
  <c r="F6391" i="13"/>
  <c r="A6391" i="13"/>
  <c r="J6390" i="13"/>
  <c r="F6390" i="13"/>
  <c r="A6390" i="13"/>
  <c r="J6389" i="13"/>
  <c r="F6389" i="13"/>
  <c r="A6389" i="13"/>
  <c r="F6388" i="13"/>
  <c r="A6388" i="13"/>
  <c r="F6387" i="13"/>
  <c r="A6387" i="13"/>
  <c r="J6386" i="13"/>
  <c r="F6386" i="13"/>
  <c r="A6386" i="13"/>
  <c r="J6385" i="13"/>
  <c r="F6385" i="13"/>
  <c r="A6385" i="13"/>
  <c r="J6384" i="13"/>
  <c r="F6384" i="13"/>
  <c r="A6384" i="13"/>
  <c r="F6383" i="13"/>
  <c r="A6383" i="13"/>
  <c r="J6382" i="13"/>
  <c r="F6382" i="13"/>
  <c r="A6382" i="13"/>
  <c r="J6381" i="13"/>
  <c r="F6381" i="13"/>
  <c r="A6381" i="13"/>
  <c r="J6380" i="13"/>
  <c r="F6380" i="13"/>
  <c r="A6380" i="13"/>
  <c r="J6379" i="13"/>
  <c r="F6379" i="13"/>
  <c r="A6379" i="13"/>
  <c r="J6378" i="13"/>
  <c r="F6378" i="13"/>
  <c r="A6378" i="13"/>
  <c r="F6377" i="13"/>
  <c r="A6377" i="13"/>
  <c r="J6376" i="13"/>
  <c r="F6376" i="13"/>
  <c r="A6376" i="13"/>
  <c r="J6375" i="13"/>
  <c r="F6375" i="13"/>
  <c r="A6375" i="13"/>
  <c r="F6374" i="13"/>
  <c r="A6374" i="13"/>
  <c r="F6373" i="13"/>
  <c r="A6373" i="13"/>
  <c r="F6372" i="13"/>
  <c r="A6372" i="13"/>
  <c r="F6371" i="13"/>
  <c r="A6371" i="13"/>
  <c r="F6370" i="13"/>
  <c r="A6370" i="13"/>
  <c r="F6369" i="13"/>
  <c r="A6369" i="13"/>
  <c r="F6368" i="13"/>
  <c r="A6368" i="13"/>
  <c r="F6367" i="13"/>
  <c r="A6367" i="13"/>
  <c r="J6366" i="13"/>
  <c r="F6366" i="13"/>
  <c r="A6366" i="13"/>
  <c r="J6365" i="13"/>
  <c r="F6365" i="13"/>
  <c r="A6365" i="13"/>
  <c r="F6364" i="13"/>
  <c r="A6364" i="13"/>
  <c r="F6363" i="13"/>
  <c r="A6363" i="13"/>
  <c r="J6362" i="13"/>
  <c r="F6362" i="13"/>
  <c r="A6362" i="13"/>
  <c r="J6361" i="13"/>
  <c r="F6361" i="13"/>
  <c r="A6361" i="13"/>
  <c r="J6360" i="13"/>
  <c r="F6360" i="13"/>
  <c r="A6360" i="13"/>
  <c r="J6359" i="13"/>
  <c r="F6359" i="13"/>
  <c r="A6359" i="13"/>
  <c r="F6358" i="13"/>
  <c r="A6358" i="13"/>
  <c r="F6357" i="13"/>
  <c r="A6357" i="13"/>
  <c r="J6356" i="13"/>
  <c r="F6356" i="13"/>
  <c r="A6356" i="13"/>
  <c r="F6355" i="13"/>
  <c r="A6355" i="13"/>
  <c r="F6354" i="13"/>
  <c r="A6354" i="13"/>
  <c r="J6353" i="13"/>
  <c r="F6353" i="13"/>
  <c r="A6353" i="13"/>
  <c r="J6352" i="13"/>
  <c r="F6352" i="13"/>
  <c r="A6352" i="13"/>
  <c r="F6351" i="13"/>
  <c r="A6351" i="13"/>
  <c r="F6350" i="13"/>
  <c r="A6350" i="13"/>
  <c r="J6349" i="13"/>
  <c r="F6349" i="13"/>
  <c r="A6349" i="13"/>
  <c r="J6348" i="13"/>
  <c r="F6348" i="13"/>
  <c r="A6348" i="13"/>
  <c r="J6347" i="13"/>
  <c r="F6347" i="13"/>
  <c r="A6347" i="13"/>
  <c r="J6346" i="13"/>
  <c r="F6346" i="13"/>
  <c r="A6346" i="13"/>
  <c r="F6345" i="13"/>
  <c r="A6345" i="13"/>
  <c r="F6344" i="13"/>
  <c r="A6344" i="13"/>
  <c r="J6343" i="13"/>
  <c r="F6343" i="13"/>
  <c r="A6343" i="13"/>
  <c r="J6342" i="13"/>
  <c r="F6342" i="13"/>
  <c r="A6342" i="13"/>
  <c r="F6341" i="13"/>
  <c r="A6341" i="13"/>
  <c r="F6340" i="13"/>
  <c r="A6340" i="13"/>
  <c r="J6339" i="13"/>
  <c r="F6339" i="13"/>
  <c r="A6339" i="13"/>
  <c r="J6338" i="13"/>
  <c r="F6338" i="13"/>
  <c r="A6338" i="13"/>
  <c r="J6337" i="13"/>
  <c r="F6337" i="13"/>
  <c r="A6337" i="13"/>
  <c r="J6336" i="13"/>
  <c r="F6336" i="13"/>
  <c r="A6336" i="13"/>
  <c r="J6335" i="13"/>
  <c r="F6335" i="13"/>
  <c r="A6335" i="13"/>
  <c r="F6334" i="13"/>
  <c r="A6334" i="13"/>
  <c r="J6333" i="13"/>
  <c r="F6333" i="13"/>
  <c r="A6333" i="13"/>
  <c r="J6332" i="13"/>
  <c r="F6332" i="13"/>
  <c r="A6332" i="13"/>
  <c r="J6331" i="13"/>
  <c r="F6331" i="13"/>
  <c r="A6331" i="13"/>
  <c r="J6330" i="13"/>
  <c r="F6330" i="13"/>
  <c r="A6330" i="13"/>
  <c r="J6329" i="13"/>
  <c r="F6329" i="13"/>
  <c r="A6329" i="13"/>
  <c r="F6328" i="13"/>
  <c r="A6328" i="13"/>
  <c r="F6327" i="13"/>
  <c r="A6327" i="13"/>
  <c r="F6326" i="13"/>
  <c r="A6326" i="13"/>
  <c r="F6325" i="13"/>
  <c r="A6325" i="13"/>
  <c r="J6324" i="13"/>
  <c r="F6324" i="13"/>
  <c r="A6324" i="13"/>
  <c r="J6323" i="13"/>
  <c r="F6323" i="13"/>
  <c r="A6323" i="13"/>
  <c r="F6322" i="13"/>
  <c r="A6322" i="13"/>
  <c r="F6321" i="13"/>
  <c r="A6321" i="13"/>
  <c r="F6320" i="13"/>
  <c r="A6320" i="13"/>
  <c r="J6319" i="13"/>
  <c r="F6319" i="13"/>
  <c r="A6319" i="13"/>
  <c r="F6318" i="13"/>
  <c r="A6318" i="13"/>
  <c r="J6317" i="13"/>
  <c r="F6317" i="13"/>
  <c r="A6317" i="13"/>
  <c r="J6316" i="13"/>
  <c r="F6316" i="13"/>
  <c r="A6316" i="13"/>
  <c r="F6315" i="13"/>
  <c r="A6315" i="13"/>
  <c r="J6314" i="13"/>
  <c r="F6314" i="13"/>
  <c r="A6314" i="13"/>
  <c r="J6313" i="13"/>
  <c r="F6313" i="13"/>
  <c r="J6312" i="13"/>
  <c r="F6312" i="13"/>
  <c r="F6311" i="13"/>
  <c r="A6311" i="13"/>
  <c r="F6310" i="13"/>
  <c r="A6310" i="13"/>
  <c r="F6309" i="13"/>
  <c r="A6309" i="13"/>
  <c r="F6308" i="13"/>
  <c r="A6308" i="13"/>
  <c r="F6307" i="13"/>
  <c r="A6307" i="13"/>
  <c r="F6306" i="13"/>
  <c r="A6306" i="13"/>
  <c r="F6305" i="13"/>
  <c r="A6305" i="13"/>
  <c r="F6304" i="13"/>
  <c r="A6304" i="13"/>
  <c r="F6303" i="13"/>
  <c r="A6303" i="13"/>
  <c r="F6302" i="13"/>
  <c r="A6302" i="13"/>
  <c r="F6301" i="13"/>
  <c r="A6301" i="13"/>
  <c r="F6300" i="13"/>
  <c r="A6300" i="13"/>
  <c r="F6299" i="13"/>
  <c r="J6298" i="13"/>
  <c r="F6298" i="13"/>
  <c r="A6298" i="13"/>
  <c r="F6297" i="13"/>
  <c r="A6297" i="13"/>
  <c r="F6296" i="13"/>
  <c r="A6296" i="13"/>
  <c r="J6295" i="13"/>
  <c r="F6295" i="13"/>
  <c r="A6295" i="13"/>
  <c r="J6294" i="13"/>
  <c r="F6294" i="13"/>
  <c r="A6294" i="13"/>
  <c r="J6293" i="13"/>
  <c r="F6293" i="13"/>
  <c r="A6293" i="13"/>
  <c r="F6292" i="13"/>
  <c r="A6292" i="13"/>
  <c r="F6291" i="13"/>
  <c r="A6291" i="13"/>
  <c r="J6290" i="13"/>
  <c r="F6290" i="13"/>
  <c r="A6290" i="13"/>
  <c r="J6289" i="13"/>
  <c r="F6289" i="13"/>
  <c r="A6289" i="13"/>
  <c r="F6288" i="13"/>
  <c r="A6288" i="13"/>
  <c r="J6287" i="13"/>
  <c r="F6287" i="13"/>
  <c r="A6287" i="13"/>
  <c r="J6286" i="13"/>
  <c r="F6286" i="13"/>
  <c r="A6286" i="13"/>
  <c r="F6285" i="13"/>
  <c r="A6285" i="13"/>
  <c r="J6284" i="13"/>
  <c r="F6284" i="13"/>
  <c r="A6284" i="13"/>
  <c r="J6283" i="13"/>
  <c r="F6283" i="13"/>
  <c r="A6283" i="13"/>
  <c r="J6282" i="13"/>
  <c r="F6282" i="13"/>
  <c r="A6282" i="13"/>
  <c r="F6281" i="13"/>
  <c r="A6281" i="13"/>
  <c r="F6280" i="13"/>
  <c r="A6280" i="13"/>
  <c r="J6279" i="13"/>
  <c r="F6279" i="13"/>
  <c r="A6279" i="13"/>
  <c r="J6278" i="13"/>
  <c r="F6278" i="13"/>
  <c r="A6278" i="13"/>
  <c r="F6277" i="13"/>
  <c r="A6277" i="13"/>
  <c r="F6276" i="13"/>
  <c r="A6276" i="13"/>
  <c r="J6275" i="13"/>
  <c r="F6275" i="13"/>
  <c r="A6275" i="13"/>
  <c r="J6274" i="13"/>
  <c r="F6274" i="13"/>
  <c r="A6274" i="13"/>
  <c r="J6273" i="13"/>
  <c r="F6273" i="13"/>
  <c r="A6273" i="13"/>
  <c r="J6272" i="13"/>
  <c r="F6272" i="13"/>
  <c r="A6272" i="13"/>
  <c r="J6271" i="13"/>
  <c r="F6271" i="13"/>
  <c r="A6271" i="13"/>
  <c r="F6270" i="13"/>
  <c r="A6270" i="13"/>
  <c r="F6269" i="13"/>
  <c r="A6269" i="13"/>
  <c r="F6268" i="13"/>
  <c r="A6268" i="13"/>
  <c r="J6267" i="13"/>
  <c r="F6267" i="13"/>
  <c r="A6267" i="13"/>
  <c r="J6266" i="13"/>
  <c r="F6266" i="13"/>
  <c r="A6266" i="13"/>
  <c r="F6265" i="13"/>
  <c r="A6265" i="13"/>
  <c r="F6264" i="13"/>
  <c r="A6264" i="13"/>
  <c r="F6263" i="13"/>
  <c r="A6263" i="13"/>
  <c r="F6262" i="13"/>
  <c r="A6262" i="13"/>
  <c r="F6261" i="13"/>
  <c r="A6261" i="13"/>
  <c r="F6260" i="13"/>
  <c r="A6260" i="13"/>
  <c r="F6259" i="13"/>
  <c r="A6259" i="13"/>
  <c r="F6258" i="13"/>
  <c r="A6258" i="13"/>
  <c r="F6257" i="13"/>
  <c r="A6257" i="13"/>
  <c r="F6256" i="13"/>
  <c r="A6256" i="13"/>
  <c r="F6255" i="13"/>
  <c r="A6255" i="13"/>
  <c r="F6254" i="13"/>
  <c r="A6254" i="13"/>
  <c r="F6253" i="13"/>
  <c r="A6253" i="13"/>
  <c r="F6252" i="13"/>
  <c r="A6252" i="13"/>
  <c r="F6251" i="13"/>
  <c r="A6251" i="13"/>
  <c r="F6250" i="13"/>
  <c r="A6250" i="13"/>
  <c r="F6249" i="13"/>
  <c r="A6249" i="13"/>
  <c r="F6248" i="13"/>
  <c r="A6248" i="13"/>
  <c r="F6247" i="13"/>
  <c r="A6247" i="13"/>
  <c r="F6246" i="13"/>
  <c r="A6246" i="13"/>
  <c r="F6245" i="13"/>
  <c r="A6245" i="13"/>
  <c r="F6244" i="13"/>
  <c r="A6244" i="13"/>
  <c r="F6243" i="13"/>
  <c r="A6243" i="13"/>
  <c r="F6242" i="13"/>
  <c r="A6242" i="13"/>
  <c r="F6241" i="13"/>
  <c r="A6241" i="13"/>
  <c r="F6240" i="13"/>
  <c r="A6240" i="13"/>
  <c r="F6239" i="13"/>
  <c r="A6239" i="13"/>
  <c r="F6238" i="13"/>
  <c r="A6238" i="13"/>
  <c r="F6237" i="13"/>
  <c r="A6237" i="13"/>
  <c r="F6236" i="13"/>
  <c r="A6236" i="13"/>
  <c r="F6235" i="13"/>
  <c r="A6235" i="13"/>
  <c r="F6234" i="13"/>
  <c r="A6234" i="13"/>
  <c r="F6233" i="13"/>
  <c r="A6233" i="13"/>
  <c r="F6232" i="13"/>
  <c r="A6232" i="13"/>
  <c r="F6231" i="13"/>
  <c r="A6231" i="13"/>
  <c r="F6230" i="13"/>
  <c r="A6230" i="13"/>
  <c r="F6229" i="13"/>
  <c r="A6229" i="13"/>
  <c r="F6228" i="13"/>
  <c r="A6228" i="13"/>
  <c r="F6227" i="13"/>
  <c r="A6227" i="13"/>
  <c r="F6226" i="13"/>
  <c r="A6226" i="13"/>
  <c r="F6225" i="13"/>
  <c r="A6225" i="13"/>
  <c r="F6224" i="13"/>
  <c r="A6224" i="13"/>
  <c r="F6223" i="13"/>
  <c r="A6223" i="13"/>
  <c r="J6222" i="13"/>
  <c r="F6222" i="13"/>
  <c r="A6222" i="13"/>
  <c r="J6221" i="13"/>
  <c r="F6221" i="13"/>
  <c r="A6221" i="13"/>
  <c r="J6220" i="13"/>
  <c r="F6220" i="13"/>
  <c r="A6220" i="13"/>
  <c r="J6219" i="13"/>
  <c r="F6219" i="13"/>
  <c r="A6219" i="13"/>
  <c r="J6218" i="13"/>
  <c r="F6218" i="13"/>
  <c r="A6218" i="13"/>
  <c r="J6217" i="13"/>
  <c r="F6217" i="13"/>
  <c r="A6217" i="13"/>
  <c r="J6216" i="13"/>
  <c r="F6216" i="13"/>
  <c r="A6216" i="13"/>
  <c r="J6215" i="13"/>
  <c r="F6215" i="13"/>
  <c r="A6215" i="13"/>
  <c r="J6214" i="13"/>
  <c r="F6214" i="13"/>
  <c r="A6214" i="13"/>
  <c r="J6213" i="13"/>
  <c r="F6213" i="13"/>
  <c r="A6213" i="13"/>
  <c r="F6212" i="13"/>
  <c r="A6212" i="13"/>
  <c r="J6211" i="13"/>
  <c r="F6211" i="13"/>
  <c r="A6211" i="13"/>
  <c r="J6210" i="13"/>
  <c r="F6210" i="13"/>
  <c r="A6210" i="13"/>
  <c r="J6209" i="13"/>
  <c r="F6209" i="13"/>
  <c r="A6209" i="13"/>
  <c r="F6208" i="13"/>
  <c r="A6208" i="13"/>
  <c r="F6207" i="13"/>
  <c r="A6207" i="13"/>
  <c r="J6206" i="13"/>
  <c r="F6206" i="13"/>
  <c r="A6206" i="13"/>
  <c r="F6205" i="13"/>
  <c r="A6205" i="13"/>
  <c r="F6204" i="13"/>
  <c r="A6204" i="13"/>
  <c r="J6203" i="13"/>
  <c r="F6203" i="13"/>
  <c r="A6203" i="13"/>
  <c r="J6202" i="13"/>
  <c r="F6202" i="13"/>
  <c r="A6202" i="13"/>
  <c r="F6201" i="13"/>
  <c r="A6201" i="13"/>
  <c r="J6200" i="13"/>
  <c r="F6200" i="13"/>
  <c r="A6200" i="13"/>
  <c r="F6199" i="13"/>
  <c r="A6199" i="13"/>
  <c r="J6198" i="13"/>
  <c r="F6198" i="13"/>
  <c r="A6198" i="13"/>
  <c r="J6197" i="13"/>
  <c r="F6197" i="13"/>
  <c r="A6197" i="13"/>
  <c r="J6196" i="13"/>
  <c r="F6196" i="13"/>
  <c r="A6196" i="13"/>
  <c r="J6195" i="13"/>
  <c r="F6195" i="13"/>
  <c r="A6195" i="13"/>
  <c r="F6194" i="13"/>
  <c r="A6194" i="13"/>
  <c r="J6193" i="13"/>
  <c r="F6193" i="13"/>
  <c r="A6193" i="13"/>
  <c r="J6192" i="13"/>
  <c r="F6192" i="13"/>
  <c r="A6192" i="13"/>
  <c r="J6191" i="13"/>
  <c r="F6191" i="13"/>
  <c r="A6191" i="13"/>
  <c r="J6190" i="13"/>
  <c r="F6190" i="13"/>
  <c r="A6190" i="13"/>
  <c r="J6189" i="13"/>
  <c r="F6189" i="13"/>
  <c r="A6189" i="13"/>
  <c r="F6188" i="13"/>
  <c r="A6188" i="13"/>
  <c r="F6187" i="13"/>
  <c r="A6187" i="13"/>
  <c r="J6186" i="13"/>
  <c r="F6186" i="13"/>
  <c r="A6186" i="13"/>
  <c r="J6185" i="13"/>
  <c r="F6185" i="13"/>
  <c r="A6185" i="13"/>
  <c r="J6184" i="13"/>
  <c r="F6184" i="13"/>
  <c r="A6184" i="13"/>
  <c r="J6183" i="13"/>
  <c r="F6183" i="13"/>
  <c r="A6183" i="13"/>
  <c r="J6182" i="13"/>
  <c r="F6182" i="13"/>
  <c r="A6182" i="13"/>
  <c r="F6181" i="13"/>
  <c r="A6181" i="13"/>
  <c r="F6180" i="13"/>
  <c r="A6180" i="13"/>
  <c r="F6179" i="13"/>
  <c r="A6179" i="13"/>
  <c r="F6178" i="13"/>
  <c r="A6178" i="13"/>
  <c r="J6177" i="13"/>
  <c r="F6177" i="13"/>
  <c r="A6177" i="13"/>
  <c r="F6176" i="13"/>
  <c r="A6176" i="13"/>
  <c r="F6175" i="13"/>
  <c r="A6175" i="13"/>
  <c r="F6174" i="13"/>
  <c r="A6174" i="13"/>
  <c r="F6173" i="13"/>
  <c r="A6173" i="13"/>
  <c r="J6172" i="13"/>
  <c r="F6172" i="13"/>
  <c r="A6172" i="13"/>
  <c r="F6171" i="13"/>
  <c r="A6171" i="13"/>
  <c r="F6170" i="13"/>
  <c r="A6170" i="13"/>
  <c r="J6169" i="13"/>
  <c r="F6169" i="13"/>
  <c r="A6169" i="13"/>
  <c r="J6168" i="13"/>
  <c r="F6168" i="13"/>
  <c r="A6168" i="13"/>
  <c r="J6167" i="13"/>
  <c r="F6167" i="13"/>
  <c r="A6167" i="13"/>
  <c r="F6166" i="13"/>
  <c r="A6166" i="13"/>
  <c r="J6165" i="13"/>
  <c r="F6165" i="13"/>
  <c r="A6165" i="13"/>
  <c r="F6164" i="13"/>
  <c r="A6164" i="13"/>
  <c r="F6163" i="13"/>
  <c r="A6163" i="13"/>
  <c r="F6162" i="13"/>
  <c r="A6162" i="13"/>
  <c r="F6161" i="13"/>
  <c r="A6161" i="13"/>
  <c r="F6160" i="13"/>
  <c r="A6160" i="13"/>
  <c r="F6159" i="13"/>
  <c r="A6159" i="13"/>
  <c r="F6158" i="13"/>
  <c r="A6158" i="13"/>
  <c r="J6157" i="13"/>
  <c r="F6157" i="13"/>
  <c r="A6157" i="13"/>
  <c r="J6156" i="13"/>
  <c r="F6156" i="13"/>
  <c r="A6156" i="13"/>
  <c r="F6155" i="13"/>
  <c r="A6155" i="13"/>
  <c r="F6154" i="13"/>
  <c r="A6154" i="13"/>
  <c r="F6153" i="13"/>
  <c r="A6153" i="13"/>
  <c r="F6152" i="13"/>
  <c r="A6152" i="13"/>
  <c r="J6151" i="13"/>
  <c r="F6151" i="13"/>
  <c r="A6151" i="13"/>
  <c r="F6150" i="13"/>
  <c r="A6150" i="13"/>
  <c r="F6149" i="13"/>
  <c r="A6149" i="13"/>
  <c r="F6148" i="13"/>
  <c r="A6148" i="13"/>
  <c r="J6147" i="13"/>
  <c r="F6147" i="13"/>
  <c r="A6147" i="13"/>
  <c r="F6146" i="13"/>
  <c r="A6146" i="13"/>
  <c r="J6145" i="13"/>
  <c r="F6145" i="13"/>
  <c r="A6145" i="13"/>
  <c r="J6144" i="13"/>
  <c r="F6144" i="13"/>
  <c r="A6144" i="13"/>
  <c r="J6143" i="13"/>
  <c r="F6143" i="13"/>
  <c r="A6143" i="13"/>
  <c r="F6142" i="13"/>
  <c r="A6142" i="13"/>
  <c r="J6141" i="13"/>
  <c r="F6141" i="13"/>
  <c r="A6141" i="13"/>
  <c r="J6140" i="13"/>
  <c r="F6140" i="13"/>
  <c r="A6140" i="13"/>
  <c r="F6139" i="13"/>
  <c r="A6139" i="13"/>
  <c r="J6138" i="13"/>
  <c r="F6138" i="13"/>
  <c r="A6138" i="13"/>
  <c r="J6137" i="13"/>
  <c r="F6137" i="13"/>
  <c r="A6137" i="13"/>
  <c r="J6136" i="13"/>
  <c r="F6136" i="13"/>
  <c r="A6136" i="13"/>
  <c r="J6135" i="13"/>
  <c r="F6135" i="13"/>
  <c r="A6135" i="13"/>
  <c r="J6134" i="13"/>
  <c r="F6134" i="13"/>
  <c r="A6134" i="13"/>
  <c r="J6133" i="13"/>
  <c r="F6133" i="13"/>
  <c r="A6133" i="13"/>
  <c r="J6132" i="13"/>
  <c r="F6132" i="13"/>
  <c r="J6131" i="13"/>
  <c r="F6131" i="13"/>
  <c r="F6130" i="13"/>
  <c r="A6130" i="13"/>
  <c r="F6129" i="13"/>
  <c r="A6129" i="13"/>
  <c r="F6128" i="13"/>
  <c r="A6128" i="13"/>
  <c r="F6127" i="13"/>
  <c r="A6127" i="13"/>
  <c r="F6126" i="13"/>
  <c r="J6125" i="13"/>
  <c r="F6125" i="13"/>
  <c r="A6125" i="13"/>
  <c r="J6124" i="13"/>
  <c r="F6124" i="13"/>
  <c r="A6124" i="13"/>
  <c r="F6123" i="13"/>
  <c r="A6123" i="13"/>
  <c r="J6122" i="13"/>
  <c r="F6122" i="13"/>
  <c r="A6122" i="13"/>
  <c r="J6121" i="13"/>
  <c r="F6121" i="13"/>
  <c r="A6121" i="13"/>
  <c r="J6120" i="13"/>
  <c r="F6120" i="13"/>
  <c r="A6120" i="13"/>
  <c r="J6119" i="13"/>
  <c r="F6119" i="13"/>
  <c r="A6119" i="13"/>
  <c r="J6118" i="13"/>
  <c r="F6118" i="13"/>
  <c r="A6118" i="13"/>
  <c r="J6117" i="13"/>
  <c r="F6117" i="13"/>
  <c r="A6117" i="13"/>
  <c r="J6116" i="13"/>
  <c r="F6116" i="13"/>
  <c r="A6116" i="13"/>
  <c r="J6115" i="13"/>
  <c r="F6115" i="13"/>
  <c r="A6115" i="13"/>
  <c r="J6114" i="13"/>
  <c r="F6114" i="13"/>
  <c r="A6114" i="13"/>
  <c r="F6113" i="13"/>
  <c r="A6113" i="13"/>
  <c r="J6112" i="13"/>
  <c r="F6112" i="13"/>
  <c r="A6112" i="13"/>
  <c r="J6111" i="13"/>
  <c r="F6111" i="13"/>
  <c r="A6111" i="13"/>
  <c r="J6110" i="13"/>
  <c r="F6110" i="13"/>
  <c r="A6110" i="13"/>
  <c r="J6109" i="13"/>
  <c r="F6109" i="13"/>
  <c r="A6109" i="13"/>
  <c r="F6108" i="13"/>
  <c r="A6108" i="13"/>
  <c r="J6107" i="13"/>
  <c r="F6107" i="13"/>
  <c r="A6107" i="13"/>
  <c r="J6106" i="13"/>
  <c r="F6106" i="13"/>
  <c r="A6106" i="13"/>
  <c r="J6105" i="13"/>
  <c r="F6105" i="13"/>
  <c r="A6105" i="13"/>
  <c r="J6104" i="13"/>
  <c r="F6104" i="13"/>
  <c r="A6104" i="13"/>
  <c r="J6103" i="13"/>
  <c r="F6103" i="13"/>
  <c r="A6103" i="13"/>
  <c r="F6102" i="13"/>
  <c r="A6102" i="13"/>
  <c r="J6101" i="13"/>
  <c r="F6101" i="13"/>
  <c r="A6101" i="13"/>
  <c r="J6100" i="13"/>
  <c r="F6100" i="13"/>
  <c r="A6100" i="13"/>
  <c r="F6099" i="13"/>
  <c r="A6099" i="13"/>
  <c r="J6098" i="13"/>
  <c r="F6098" i="13"/>
  <c r="A6098" i="13"/>
  <c r="J6097" i="13"/>
  <c r="F6097" i="13"/>
  <c r="A6097" i="13"/>
  <c r="F6096" i="13"/>
  <c r="A6096" i="13"/>
  <c r="J6095" i="13"/>
  <c r="F6095" i="13"/>
  <c r="A6095" i="13"/>
  <c r="J6094" i="13"/>
  <c r="F6094" i="13"/>
  <c r="A6094" i="13"/>
  <c r="F6093" i="13"/>
  <c r="A6093" i="13"/>
  <c r="F6092" i="13"/>
  <c r="A6092" i="13"/>
  <c r="J6091" i="13"/>
  <c r="F6091" i="13"/>
  <c r="A6091" i="13"/>
  <c r="J6090" i="13"/>
  <c r="F6090" i="13"/>
  <c r="A6090" i="13"/>
  <c r="J6089" i="13"/>
  <c r="F6089" i="13"/>
  <c r="A6089" i="13"/>
  <c r="F6088" i="13"/>
  <c r="A6088" i="13"/>
  <c r="F6087" i="13"/>
  <c r="A6087" i="13"/>
  <c r="F6086" i="13"/>
  <c r="A6086" i="13"/>
  <c r="F6085" i="13"/>
  <c r="A6085" i="13"/>
  <c r="F6084" i="13"/>
  <c r="A6084" i="13"/>
  <c r="F6083" i="13"/>
  <c r="A6083" i="13"/>
  <c r="F6082" i="13"/>
  <c r="A6082" i="13"/>
  <c r="F6081" i="13"/>
  <c r="A6081" i="13"/>
  <c r="F6080" i="13"/>
  <c r="A6080" i="13"/>
  <c r="F6079" i="13"/>
  <c r="A6079" i="13"/>
  <c r="F6078" i="13"/>
  <c r="A6078" i="13"/>
  <c r="F6077" i="13"/>
  <c r="A6077" i="13"/>
  <c r="F6076" i="13"/>
  <c r="A6076" i="13"/>
  <c r="F6075" i="13"/>
  <c r="A6075" i="13"/>
  <c r="F6074" i="13"/>
  <c r="A6074" i="13"/>
  <c r="F6073" i="13"/>
  <c r="A6073" i="13"/>
  <c r="F6072" i="13"/>
  <c r="A6072" i="13"/>
  <c r="F6071" i="13"/>
  <c r="A6071" i="13"/>
  <c r="F6070" i="13"/>
  <c r="A6070" i="13"/>
  <c r="F6069" i="13"/>
  <c r="A6069" i="13"/>
  <c r="F6068" i="13"/>
  <c r="A6068" i="13"/>
  <c r="F6067" i="13"/>
  <c r="A6067" i="13"/>
  <c r="F6066" i="13"/>
  <c r="A6066" i="13"/>
  <c r="F6065" i="13"/>
  <c r="A6065" i="13"/>
  <c r="F6064" i="13"/>
  <c r="A6064" i="13"/>
  <c r="F6063" i="13"/>
  <c r="A6063" i="13"/>
  <c r="F6062" i="13"/>
  <c r="A6062" i="13"/>
  <c r="F6061" i="13"/>
  <c r="A6061" i="13"/>
  <c r="F6060" i="13"/>
  <c r="A6060" i="13"/>
  <c r="F6059" i="13"/>
  <c r="A6059" i="13"/>
  <c r="F6058" i="13"/>
  <c r="A6058" i="13"/>
  <c r="F6057" i="13"/>
  <c r="A6057" i="13"/>
  <c r="F6056" i="13"/>
  <c r="A6056" i="13"/>
  <c r="F6055" i="13"/>
  <c r="A6055" i="13"/>
  <c r="F6054" i="13"/>
  <c r="A6054" i="13"/>
  <c r="F6053" i="13"/>
  <c r="A6053" i="13"/>
  <c r="F6052" i="13"/>
  <c r="A6052" i="13"/>
  <c r="F6051" i="13"/>
  <c r="A6051" i="13"/>
  <c r="F6050" i="13"/>
  <c r="A6050" i="13"/>
  <c r="F6049" i="13"/>
  <c r="A6049" i="13"/>
  <c r="F6048" i="13"/>
  <c r="A6048" i="13"/>
  <c r="F6047" i="13"/>
  <c r="A6047" i="13"/>
  <c r="F6046" i="13"/>
  <c r="A6046" i="13"/>
  <c r="J6045" i="13"/>
  <c r="F6045" i="13"/>
  <c r="A6045" i="13"/>
  <c r="J6044" i="13"/>
  <c r="F6044" i="13"/>
  <c r="A6044" i="13"/>
  <c r="J6043" i="13"/>
  <c r="F6043" i="13"/>
  <c r="A6043" i="13"/>
  <c r="J6042" i="13"/>
  <c r="F6042" i="13"/>
  <c r="A6042" i="13"/>
  <c r="J6041" i="13"/>
  <c r="F6041" i="13"/>
  <c r="A6041" i="13"/>
  <c r="J6040" i="13"/>
  <c r="F6040" i="13"/>
  <c r="A6040" i="13"/>
  <c r="F6039" i="13"/>
  <c r="A6039" i="13"/>
  <c r="J6038" i="13"/>
  <c r="F6038" i="13"/>
  <c r="A6038" i="13"/>
  <c r="J6037" i="13"/>
  <c r="F6037" i="13"/>
  <c r="A6037" i="13"/>
  <c r="F6036" i="13"/>
  <c r="A6036" i="13"/>
  <c r="J6035" i="13"/>
  <c r="F6035" i="13"/>
  <c r="A6035" i="13"/>
  <c r="J6034" i="13"/>
  <c r="F6034" i="13"/>
  <c r="A6034" i="13"/>
  <c r="F6033" i="13"/>
  <c r="A6033" i="13"/>
  <c r="J6032" i="13"/>
  <c r="F6032" i="13"/>
  <c r="A6032" i="13"/>
  <c r="J6031" i="13"/>
  <c r="F6031" i="13"/>
  <c r="A6031" i="13"/>
  <c r="J6030" i="13"/>
  <c r="F6030" i="13"/>
  <c r="A6030" i="13"/>
  <c r="F6029" i="13"/>
  <c r="A6029" i="13"/>
  <c r="F6028" i="13"/>
  <c r="A6028" i="13"/>
  <c r="J6027" i="13"/>
  <c r="F6027" i="13"/>
  <c r="A6027" i="13"/>
  <c r="J6026" i="13"/>
  <c r="F6026" i="13"/>
  <c r="A6026" i="13"/>
  <c r="J6025" i="13"/>
  <c r="F6025" i="13"/>
  <c r="A6025" i="13"/>
  <c r="J6024" i="13"/>
  <c r="F6024" i="13"/>
  <c r="A6024" i="13"/>
  <c r="F6023" i="13"/>
  <c r="A6023" i="13"/>
  <c r="J6022" i="13"/>
  <c r="F6022" i="13"/>
  <c r="A6022" i="13"/>
  <c r="F6021" i="13"/>
  <c r="A6021" i="13"/>
  <c r="J6020" i="13"/>
  <c r="F6020" i="13"/>
  <c r="A6020" i="13"/>
  <c r="J6019" i="13"/>
  <c r="F6019" i="13"/>
  <c r="A6019" i="13"/>
  <c r="F6018" i="13"/>
  <c r="A6018" i="13"/>
  <c r="J6017" i="13"/>
  <c r="F6017" i="13"/>
  <c r="A6017" i="13"/>
  <c r="J6016" i="13"/>
  <c r="F6016" i="13"/>
  <c r="A6016" i="13"/>
  <c r="J6015" i="13"/>
  <c r="F6015" i="13"/>
  <c r="A6015" i="13"/>
  <c r="J6014" i="13"/>
  <c r="F6014" i="13"/>
  <c r="A6014" i="13"/>
  <c r="F6013" i="13"/>
  <c r="A6013" i="13"/>
  <c r="J6012" i="13"/>
  <c r="F6012" i="13"/>
  <c r="A6012" i="13"/>
  <c r="J6011" i="13"/>
  <c r="F6011" i="13"/>
  <c r="A6011" i="13"/>
  <c r="J6010" i="13"/>
  <c r="F6010" i="13"/>
  <c r="A6010" i="13"/>
  <c r="J6009" i="13"/>
  <c r="F6009" i="13"/>
  <c r="A6009" i="13"/>
  <c r="F6008" i="13"/>
  <c r="A6008" i="13"/>
  <c r="J6007" i="13"/>
  <c r="F6007" i="13"/>
  <c r="A6007" i="13"/>
  <c r="J6006" i="13"/>
  <c r="F6006" i="13"/>
  <c r="A6006" i="13"/>
  <c r="J6005" i="13"/>
  <c r="F6005" i="13"/>
  <c r="A6005" i="13"/>
  <c r="J6004" i="13"/>
  <c r="F6004" i="13"/>
  <c r="A6004" i="13"/>
  <c r="J6003" i="13"/>
  <c r="F6003" i="13"/>
  <c r="A6003" i="13"/>
  <c r="J6002" i="13"/>
  <c r="F6002" i="13"/>
  <c r="A6002" i="13"/>
  <c r="J6001" i="13"/>
  <c r="F6001" i="13"/>
  <c r="A6001" i="13"/>
  <c r="F6000" i="13"/>
  <c r="A6000" i="13"/>
  <c r="J5999" i="13"/>
  <c r="F5999" i="13"/>
  <c r="A5999" i="13"/>
  <c r="J5998" i="13"/>
  <c r="F5998" i="13"/>
  <c r="A5998" i="13"/>
  <c r="J5997" i="13"/>
  <c r="F5997" i="13"/>
  <c r="A5997" i="13"/>
  <c r="F5996" i="13"/>
  <c r="A5996" i="13"/>
  <c r="J5995" i="13"/>
  <c r="F5995" i="13"/>
  <c r="A5995" i="13"/>
  <c r="F5994" i="13"/>
  <c r="A5994" i="13"/>
  <c r="F5993" i="13"/>
  <c r="A5993" i="13"/>
  <c r="J5992" i="13"/>
  <c r="F5992" i="13"/>
  <c r="A5992" i="13"/>
  <c r="J5991" i="13"/>
  <c r="F5991" i="13"/>
  <c r="A5991" i="13"/>
  <c r="J5990" i="13"/>
  <c r="F5990" i="13"/>
  <c r="A5990" i="13"/>
  <c r="J5989" i="13"/>
  <c r="F5989" i="13"/>
  <c r="A5989" i="13"/>
  <c r="J5988" i="13"/>
  <c r="F5988" i="13"/>
  <c r="A5988" i="13"/>
  <c r="F5987" i="13"/>
  <c r="A5987" i="13"/>
  <c r="J5986" i="13"/>
  <c r="F5986" i="13"/>
  <c r="A5986" i="13"/>
  <c r="J5985" i="13"/>
  <c r="F5985" i="13"/>
  <c r="A5985" i="13"/>
  <c r="F5984" i="13"/>
  <c r="A5984" i="13"/>
  <c r="J5983" i="13"/>
  <c r="F5983" i="13"/>
  <c r="A5983" i="13"/>
  <c r="J5982" i="13"/>
  <c r="F5982" i="13"/>
  <c r="A5982" i="13"/>
  <c r="F5981" i="13"/>
  <c r="A5981" i="13"/>
  <c r="J5980" i="13"/>
  <c r="F5980" i="13"/>
  <c r="A5980" i="13"/>
  <c r="J5979" i="13"/>
  <c r="F5979" i="13"/>
  <c r="A5979" i="13"/>
  <c r="J5978" i="13"/>
  <c r="F5978" i="13"/>
  <c r="A5978" i="13"/>
  <c r="J5977" i="13"/>
  <c r="F5977" i="13"/>
  <c r="A5977" i="13"/>
  <c r="J5976" i="13"/>
  <c r="F5976" i="13"/>
  <c r="A5976" i="13"/>
  <c r="J5975" i="13"/>
  <c r="F5975" i="13"/>
  <c r="A5975" i="13"/>
  <c r="J5974" i="13"/>
  <c r="F5974" i="13"/>
  <c r="A5974" i="13"/>
  <c r="J5973" i="13"/>
  <c r="F5973" i="13"/>
  <c r="A5973" i="13"/>
  <c r="J5972" i="13"/>
  <c r="F5972" i="13"/>
  <c r="A5972" i="13"/>
  <c r="F5971" i="13"/>
  <c r="A5971" i="13"/>
  <c r="J5970" i="13"/>
  <c r="F5970" i="13"/>
  <c r="A5970" i="13"/>
  <c r="J5969" i="13"/>
  <c r="F5969" i="13"/>
  <c r="A5969" i="13"/>
  <c r="J5968" i="13"/>
  <c r="F5968" i="13"/>
  <c r="A5968" i="13"/>
  <c r="J5967" i="13"/>
  <c r="F5967" i="13"/>
  <c r="A5967" i="13"/>
  <c r="J5966" i="13"/>
  <c r="F5966" i="13"/>
  <c r="A5966" i="13"/>
  <c r="F5965" i="13"/>
  <c r="A5965" i="13"/>
  <c r="J5964" i="13"/>
  <c r="F5964" i="13"/>
  <c r="A5964" i="13"/>
  <c r="F5963" i="13"/>
  <c r="A5963" i="13"/>
  <c r="F5962" i="13"/>
  <c r="A5962" i="13"/>
  <c r="J5961" i="13"/>
  <c r="F5961" i="13"/>
  <c r="A5961" i="13"/>
  <c r="J5960" i="13"/>
  <c r="F5960" i="13"/>
  <c r="A5960" i="13"/>
  <c r="F5959" i="13"/>
  <c r="A5959" i="13"/>
  <c r="F5958" i="13"/>
  <c r="A5958" i="13"/>
  <c r="J5957" i="13"/>
  <c r="F5957" i="13"/>
  <c r="A5957" i="13"/>
  <c r="J5956" i="13"/>
  <c r="F5956" i="13"/>
  <c r="A5956" i="13"/>
  <c r="J5955" i="13"/>
  <c r="F5955" i="13"/>
  <c r="A5955" i="13"/>
  <c r="J5954" i="13"/>
  <c r="F5954" i="13"/>
  <c r="A5954" i="13"/>
  <c r="F5953" i="13"/>
  <c r="A5953" i="13"/>
  <c r="F5952" i="13"/>
  <c r="A5952" i="13"/>
  <c r="F5951" i="13"/>
  <c r="A5951" i="13"/>
  <c r="F5950" i="13"/>
  <c r="A5950" i="13"/>
  <c r="J5949" i="13"/>
  <c r="F5949" i="13"/>
  <c r="A5949" i="13"/>
  <c r="J5948" i="13"/>
  <c r="F5948" i="13"/>
  <c r="A5948" i="13"/>
  <c r="J5947" i="13"/>
  <c r="F5947" i="13"/>
  <c r="F5946" i="13"/>
  <c r="A5946" i="13"/>
  <c r="J5945" i="13"/>
  <c r="F5945" i="13"/>
  <c r="A5945" i="13"/>
  <c r="J5944" i="13"/>
  <c r="F5944" i="13"/>
  <c r="A5944" i="13"/>
  <c r="F5943" i="13"/>
  <c r="A5943" i="13"/>
  <c r="J5942" i="13"/>
  <c r="F5942" i="13"/>
  <c r="A5942" i="13"/>
  <c r="F5941" i="13"/>
  <c r="A5941" i="13"/>
  <c r="F5940" i="13"/>
  <c r="A5940" i="13"/>
  <c r="F5939" i="13"/>
  <c r="A5939" i="13"/>
  <c r="J5938" i="13"/>
  <c r="F5938" i="13"/>
  <c r="A5938" i="13"/>
  <c r="J5937" i="13"/>
  <c r="F5937" i="13"/>
  <c r="A5937" i="13"/>
  <c r="F5936" i="13"/>
  <c r="A5936" i="13"/>
  <c r="F5935" i="13"/>
  <c r="A5935" i="13"/>
  <c r="J5934" i="13"/>
  <c r="F5934" i="13"/>
  <c r="J5933" i="13"/>
  <c r="F5933" i="13"/>
  <c r="J5932" i="13"/>
  <c r="F5932" i="13"/>
  <c r="F5931" i="13"/>
  <c r="A5931" i="13"/>
  <c r="F5930" i="13"/>
  <c r="A5930" i="13"/>
  <c r="F5929" i="13"/>
  <c r="A5929" i="13"/>
  <c r="F5928" i="13"/>
  <c r="A5928" i="13"/>
  <c r="F5927" i="13"/>
  <c r="A5927" i="13"/>
  <c r="F5926" i="13"/>
  <c r="A5926" i="13"/>
  <c r="F5925" i="13"/>
  <c r="A5925" i="13"/>
  <c r="F5924" i="13"/>
  <c r="A5924" i="13"/>
  <c r="F5923" i="13"/>
  <c r="A5923" i="13"/>
  <c r="F5922" i="13"/>
  <c r="A5922" i="13"/>
  <c r="F5921" i="13"/>
  <c r="A5921" i="13"/>
  <c r="F5920" i="13"/>
  <c r="A5920" i="13"/>
  <c r="F5919" i="13"/>
  <c r="A5919" i="13"/>
  <c r="F5918" i="13"/>
  <c r="J5917" i="13"/>
  <c r="F5917" i="13"/>
  <c r="A5917" i="13"/>
  <c r="J5916" i="13"/>
  <c r="F5916" i="13"/>
  <c r="A5916" i="13"/>
  <c r="J5915" i="13"/>
  <c r="F5915" i="13"/>
  <c r="A5915" i="13"/>
  <c r="J5914" i="13"/>
  <c r="F5914" i="13"/>
  <c r="J5913" i="13"/>
  <c r="F5913" i="13"/>
  <c r="A5913" i="13"/>
  <c r="J5912" i="13"/>
  <c r="F5912" i="13"/>
  <c r="A5912" i="13"/>
  <c r="J5911" i="13"/>
  <c r="F5911" i="13"/>
  <c r="A5911" i="13"/>
  <c r="F5910" i="13"/>
  <c r="A5910" i="13"/>
  <c r="J5909" i="13"/>
  <c r="F5909" i="13"/>
  <c r="A5909" i="13"/>
  <c r="J5908" i="13"/>
  <c r="F5908" i="13"/>
  <c r="J5907" i="13"/>
  <c r="F5907" i="13"/>
  <c r="F5906" i="13"/>
  <c r="A5906" i="13"/>
  <c r="F5905" i="13"/>
  <c r="A5905" i="13"/>
  <c r="F5904" i="13"/>
  <c r="A5904" i="13"/>
  <c r="F5903" i="13"/>
  <c r="A5903" i="13"/>
  <c r="F5902" i="13"/>
  <c r="A5902" i="13"/>
  <c r="F5901" i="13"/>
  <c r="A5901" i="13"/>
  <c r="F5900" i="13"/>
  <c r="A5900" i="13"/>
  <c r="F5899" i="13"/>
  <c r="A5899" i="13"/>
  <c r="F5898" i="13"/>
  <c r="A5898" i="13"/>
  <c r="F5897" i="13"/>
  <c r="A5897" i="13"/>
  <c r="F5896" i="13"/>
  <c r="A5896" i="13"/>
  <c r="F5895" i="13"/>
  <c r="A5895" i="13"/>
  <c r="F5894" i="13"/>
  <c r="A5894" i="13"/>
  <c r="F5893" i="13"/>
  <c r="A5893" i="13"/>
  <c r="F5892" i="13"/>
  <c r="A5892" i="13"/>
  <c r="F5891" i="13"/>
  <c r="A5891" i="13"/>
  <c r="F5890" i="13"/>
  <c r="A5890" i="13"/>
  <c r="F5889" i="13"/>
  <c r="A5889" i="13"/>
  <c r="F5888" i="13"/>
  <c r="A5888" i="13"/>
  <c r="F5887" i="13"/>
  <c r="A5887" i="13"/>
  <c r="F5886" i="13"/>
  <c r="A5886" i="13"/>
  <c r="F5885" i="13"/>
  <c r="A5885" i="13"/>
  <c r="F5884" i="13"/>
  <c r="A5884" i="13"/>
  <c r="F5883" i="13"/>
  <c r="A5883" i="13"/>
  <c r="F5882" i="13"/>
  <c r="A5882" i="13"/>
  <c r="F5881" i="13"/>
  <c r="A5881" i="13"/>
  <c r="F5880" i="13"/>
  <c r="J5879" i="13"/>
  <c r="F5879" i="13"/>
  <c r="J5878" i="13"/>
  <c r="F5878" i="13"/>
  <c r="F5877" i="13"/>
  <c r="A5877" i="13"/>
  <c r="F5876" i="13"/>
  <c r="A5876" i="13"/>
  <c r="F5875" i="13"/>
  <c r="A5875" i="13"/>
  <c r="F5874" i="13"/>
  <c r="A5874" i="13"/>
  <c r="F5873" i="13"/>
  <c r="A5873" i="13"/>
  <c r="F5872" i="13"/>
  <c r="A5872" i="13"/>
  <c r="F5871" i="13"/>
  <c r="J5870" i="13"/>
  <c r="F5870" i="13"/>
  <c r="A5870" i="13"/>
  <c r="J5869" i="13"/>
  <c r="F5869" i="13"/>
  <c r="A5869" i="13"/>
  <c r="F5868" i="13"/>
  <c r="A5868" i="13"/>
  <c r="F5867" i="13"/>
  <c r="A5867" i="13"/>
  <c r="F5866" i="13"/>
  <c r="A5866" i="13"/>
  <c r="J5865" i="13"/>
  <c r="F5865" i="13"/>
  <c r="A5865" i="13"/>
  <c r="J5864" i="13"/>
  <c r="F5864" i="13"/>
  <c r="A5864" i="13"/>
  <c r="F5863" i="13"/>
  <c r="A5863" i="13"/>
  <c r="F5862" i="13"/>
  <c r="A5862" i="13"/>
  <c r="J5861" i="13"/>
  <c r="F5861" i="13"/>
  <c r="A5861" i="13"/>
  <c r="F5860" i="13"/>
  <c r="A5860" i="13"/>
  <c r="J5859" i="13"/>
  <c r="F5859" i="13"/>
  <c r="A5859" i="13"/>
  <c r="J5858" i="13"/>
  <c r="F5858" i="13"/>
  <c r="A5858" i="13"/>
  <c r="J5857" i="13"/>
  <c r="F5857" i="13"/>
  <c r="A5857" i="13"/>
  <c r="J5856" i="13"/>
  <c r="F5856" i="13"/>
  <c r="A5856" i="13"/>
  <c r="J5855" i="13"/>
  <c r="F5855" i="13"/>
  <c r="A5855" i="13"/>
  <c r="J5854" i="13"/>
  <c r="F5854" i="13"/>
  <c r="A5854" i="13"/>
  <c r="F5853" i="13"/>
  <c r="A5853" i="13"/>
  <c r="F5852" i="13"/>
  <c r="A5852" i="13"/>
  <c r="J5851" i="13"/>
  <c r="F5851" i="13"/>
  <c r="A5851" i="13"/>
  <c r="J5850" i="13"/>
  <c r="F5850" i="13"/>
  <c r="A5850" i="13"/>
  <c r="J5849" i="13"/>
  <c r="F5849" i="13"/>
  <c r="A5849" i="13"/>
  <c r="J5848" i="13"/>
  <c r="F5848" i="13"/>
  <c r="A5848" i="13"/>
  <c r="J5847" i="13"/>
  <c r="F5847" i="13"/>
  <c r="A5847" i="13"/>
  <c r="J5846" i="13"/>
  <c r="F5846" i="13"/>
  <c r="A5846" i="13"/>
  <c r="F5845" i="13"/>
  <c r="A5845" i="13"/>
  <c r="F5844" i="13"/>
  <c r="A5844" i="13"/>
  <c r="F5843" i="13"/>
  <c r="A5843" i="13"/>
  <c r="F5842" i="13"/>
  <c r="A5842" i="13"/>
  <c r="F5841" i="13"/>
  <c r="A5841" i="13"/>
  <c r="F5840" i="13"/>
  <c r="A5840" i="13"/>
  <c r="F5839" i="13"/>
  <c r="A5839" i="13"/>
  <c r="F5838" i="13"/>
  <c r="A5838" i="13"/>
  <c r="J5837" i="13"/>
  <c r="F5837" i="13"/>
  <c r="A5837" i="13"/>
  <c r="J5836" i="13"/>
  <c r="F5836" i="13"/>
  <c r="A5836" i="13"/>
  <c r="F5835" i="13"/>
  <c r="A5835" i="13"/>
  <c r="J5834" i="13"/>
  <c r="F5834" i="13"/>
  <c r="A5834" i="13"/>
  <c r="F5833" i="13"/>
  <c r="A5833" i="13"/>
  <c r="F5832" i="13"/>
  <c r="A5832" i="13"/>
  <c r="F5831" i="13"/>
  <c r="A5831" i="13"/>
  <c r="F5830" i="13"/>
  <c r="A5830" i="13"/>
  <c r="F5829" i="13"/>
  <c r="A5829" i="13"/>
  <c r="F5828" i="13"/>
  <c r="A5828" i="13"/>
  <c r="F5827" i="13"/>
  <c r="A5827" i="13"/>
  <c r="F5826" i="13"/>
  <c r="A5826" i="13"/>
  <c r="F5825" i="13"/>
  <c r="A5825" i="13"/>
  <c r="F5824" i="13"/>
  <c r="A5824" i="13"/>
  <c r="F5823" i="13"/>
  <c r="A5823" i="13"/>
  <c r="F5822" i="13"/>
  <c r="A5822" i="13"/>
  <c r="F5821" i="13"/>
  <c r="A5821" i="13"/>
  <c r="F5820" i="13"/>
  <c r="A5820" i="13"/>
  <c r="F5819" i="13"/>
  <c r="A5819" i="13"/>
  <c r="F5818" i="13"/>
  <c r="A5818" i="13"/>
  <c r="F5817" i="13"/>
  <c r="A5817" i="13"/>
  <c r="F5816" i="13"/>
  <c r="A5816" i="13"/>
  <c r="F5815" i="13"/>
  <c r="A5815" i="13"/>
  <c r="F5814" i="13"/>
  <c r="A5814" i="13"/>
  <c r="F5813" i="13"/>
  <c r="A5813" i="13"/>
  <c r="F5812" i="13"/>
  <c r="A5812" i="13"/>
  <c r="F5811" i="13"/>
  <c r="A5811" i="13"/>
  <c r="F5810" i="13"/>
  <c r="A5810" i="13"/>
  <c r="F5809" i="13"/>
  <c r="A5809" i="13"/>
  <c r="F5808" i="13"/>
  <c r="A5808" i="13"/>
  <c r="F5807" i="13"/>
  <c r="A5807" i="13"/>
  <c r="F5806" i="13"/>
  <c r="A5806" i="13"/>
  <c r="F5805" i="13"/>
  <c r="A5805" i="13"/>
  <c r="F5804" i="13"/>
  <c r="A5804" i="13"/>
  <c r="F5803" i="13"/>
  <c r="A5803" i="13"/>
  <c r="F5802" i="13"/>
  <c r="A5802" i="13"/>
  <c r="F5801" i="13"/>
  <c r="F5800" i="13"/>
  <c r="A5800" i="13"/>
  <c r="F5799" i="13"/>
  <c r="A5799" i="13"/>
  <c r="F5798" i="13"/>
  <c r="A5798" i="13"/>
  <c r="F5797" i="13"/>
  <c r="A5797" i="13"/>
  <c r="F5796" i="13"/>
  <c r="A5796" i="13"/>
  <c r="F5795" i="13"/>
  <c r="A5795" i="13"/>
  <c r="F5794" i="13"/>
  <c r="A5794" i="13"/>
  <c r="J5793" i="13"/>
  <c r="F5793" i="13"/>
  <c r="A5793" i="13"/>
  <c r="F5792" i="13"/>
  <c r="A5792" i="13"/>
  <c r="J5791" i="13"/>
  <c r="F5791" i="13"/>
  <c r="A5791" i="13"/>
  <c r="J5790" i="13"/>
  <c r="F5790" i="13"/>
  <c r="A5790" i="13"/>
  <c r="F5789" i="13"/>
  <c r="A5789" i="13"/>
  <c r="J5788" i="13"/>
  <c r="F5788" i="13"/>
  <c r="A5788" i="13"/>
  <c r="J5787" i="13"/>
  <c r="F5787" i="13"/>
  <c r="A5787" i="13"/>
  <c r="J5786" i="13"/>
  <c r="F5786" i="13"/>
  <c r="A5786" i="13"/>
  <c r="F5785" i="13"/>
  <c r="A5785" i="13"/>
  <c r="F5784" i="13"/>
  <c r="A5784" i="13"/>
  <c r="J5783" i="13"/>
  <c r="F5783" i="13"/>
  <c r="A5783" i="13"/>
  <c r="J5782" i="13"/>
  <c r="F5782" i="13"/>
  <c r="A5782" i="13"/>
  <c r="J5781" i="13"/>
  <c r="F5781" i="13"/>
  <c r="A5781" i="13"/>
  <c r="F5780" i="13"/>
  <c r="A5780" i="13"/>
  <c r="F5779" i="13"/>
  <c r="A5779" i="13"/>
  <c r="F5778" i="13"/>
  <c r="A5778" i="13"/>
  <c r="J5777" i="13"/>
  <c r="F5777" i="13"/>
  <c r="A5777" i="13"/>
  <c r="J5776" i="13"/>
  <c r="F5776" i="13"/>
  <c r="A5776" i="13"/>
  <c r="J5775" i="13"/>
  <c r="F5775" i="13"/>
  <c r="A5775" i="13"/>
  <c r="F5774" i="13"/>
  <c r="A5774" i="13"/>
  <c r="J5773" i="13"/>
  <c r="F5773" i="13"/>
  <c r="A5773" i="13"/>
  <c r="J5772" i="13"/>
  <c r="F5772" i="13"/>
  <c r="A5772" i="13"/>
  <c r="J5771" i="13"/>
  <c r="F5771" i="13"/>
  <c r="A5771" i="13"/>
  <c r="J5770" i="13"/>
  <c r="F5770" i="13"/>
  <c r="A5770" i="13"/>
  <c r="F5769" i="13"/>
  <c r="A5769" i="13"/>
  <c r="J5768" i="13"/>
  <c r="F5768" i="13"/>
  <c r="A5768" i="13"/>
  <c r="J5767" i="13"/>
  <c r="F5767" i="13"/>
  <c r="A5767" i="13"/>
  <c r="J5766" i="13"/>
  <c r="F5766" i="13"/>
  <c r="A5766" i="13"/>
  <c r="F5765" i="13"/>
  <c r="A5765" i="13"/>
  <c r="J5764" i="13"/>
  <c r="F5764" i="13"/>
  <c r="A5764" i="13"/>
  <c r="F5763" i="13"/>
  <c r="A5763" i="13"/>
  <c r="F5762" i="13"/>
  <c r="A5762" i="13"/>
  <c r="F5761" i="13"/>
  <c r="A5761" i="13"/>
  <c r="F5760" i="13"/>
  <c r="A5760" i="13"/>
  <c r="F5759" i="13"/>
  <c r="A5759" i="13"/>
  <c r="F5758" i="13"/>
  <c r="A5758" i="13"/>
  <c r="J5757" i="13"/>
  <c r="F5757" i="13"/>
  <c r="A5757" i="13"/>
  <c r="F5756" i="13"/>
  <c r="A5756" i="13"/>
  <c r="F5755" i="13"/>
  <c r="A5755" i="13"/>
  <c r="J5754" i="13"/>
  <c r="F5754" i="13"/>
  <c r="A5754" i="13"/>
  <c r="J5753" i="13"/>
  <c r="F5753" i="13"/>
  <c r="A5753" i="13"/>
  <c r="J5752" i="13"/>
  <c r="F5752" i="13"/>
  <c r="A5752" i="13"/>
  <c r="J5751" i="13"/>
  <c r="F5751" i="13"/>
  <c r="A5751" i="13"/>
  <c r="J5750" i="13"/>
  <c r="F5750" i="13"/>
  <c r="J5749" i="13"/>
  <c r="F5749" i="13"/>
  <c r="A5749" i="13"/>
  <c r="J5748" i="13"/>
  <c r="F5748" i="13"/>
  <c r="A5748" i="13"/>
  <c r="J5747" i="13"/>
  <c r="F5747" i="13"/>
  <c r="A5747" i="13"/>
  <c r="F5746" i="13"/>
  <c r="A5746" i="13"/>
  <c r="F5745" i="13"/>
  <c r="A5745" i="13"/>
  <c r="F5744" i="13"/>
  <c r="A5744" i="13"/>
  <c r="J5743" i="13"/>
  <c r="F5743" i="13"/>
  <c r="A5743" i="13"/>
  <c r="J5742" i="13"/>
  <c r="F5742" i="13"/>
  <c r="A5742" i="13"/>
  <c r="F5741" i="13"/>
  <c r="A5741" i="13"/>
  <c r="F5740" i="13"/>
  <c r="A5740" i="13"/>
  <c r="J5739" i="13"/>
  <c r="F5739" i="13"/>
  <c r="A5739" i="13"/>
  <c r="J5738" i="13"/>
  <c r="F5738" i="13"/>
  <c r="A5738" i="13"/>
  <c r="J5737" i="13"/>
  <c r="F5737" i="13"/>
  <c r="A5737" i="13"/>
  <c r="F5736" i="13"/>
  <c r="A5736" i="13"/>
  <c r="J5735" i="13"/>
  <c r="F5735" i="13"/>
  <c r="A5735" i="13"/>
  <c r="F5734" i="13"/>
  <c r="A5734" i="13"/>
  <c r="F5733" i="13"/>
  <c r="A5733" i="13"/>
  <c r="F5732" i="13"/>
  <c r="A5732" i="13"/>
  <c r="J5731" i="13"/>
  <c r="F5731" i="13"/>
  <c r="A5731" i="13"/>
  <c r="J5730" i="13"/>
  <c r="F5730" i="13"/>
  <c r="A5730" i="13"/>
  <c r="J5729" i="13"/>
  <c r="F5729" i="13"/>
  <c r="A5729" i="13"/>
  <c r="F5728" i="13"/>
  <c r="A5728" i="13"/>
  <c r="F5727" i="13"/>
  <c r="A5727" i="13"/>
  <c r="J5726" i="13"/>
  <c r="F5726" i="13"/>
  <c r="A5726" i="13"/>
  <c r="J5725" i="13"/>
  <c r="F5725" i="13"/>
  <c r="A5725" i="13"/>
  <c r="J5724" i="13"/>
  <c r="F5724" i="13"/>
  <c r="A5724" i="13"/>
  <c r="J5723" i="13"/>
  <c r="F5723" i="13"/>
  <c r="A5723" i="13"/>
  <c r="J5722" i="13"/>
  <c r="F5722" i="13"/>
  <c r="A5722" i="13"/>
  <c r="F5721" i="13"/>
  <c r="A5721" i="13"/>
  <c r="J5720" i="13"/>
  <c r="F5720" i="13"/>
  <c r="A5720" i="13"/>
  <c r="J5719" i="13"/>
  <c r="F5719" i="13"/>
  <c r="A5719" i="13"/>
  <c r="J5718" i="13"/>
  <c r="F5718" i="13"/>
  <c r="A5718" i="13"/>
  <c r="J5717" i="13"/>
  <c r="F5717" i="13"/>
  <c r="A5717" i="13"/>
  <c r="F5716" i="13"/>
  <c r="A5716" i="13"/>
  <c r="J5715" i="13"/>
  <c r="F5715" i="13"/>
  <c r="A5715" i="13"/>
  <c r="J5714" i="13"/>
  <c r="F5714" i="13"/>
  <c r="A5714" i="13"/>
  <c r="J5713" i="13"/>
  <c r="F5713" i="13"/>
  <c r="A5713" i="13"/>
  <c r="F5712" i="13"/>
  <c r="A5712" i="13"/>
  <c r="F5711" i="13"/>
  <c r="A5711" i="13"/>
  <c r="J5710" i="13"/>
  <c r="F5710" i="13"/>
  <c r="A5710" i="13"/>
  <c r="J5709" i="13"/>
  <c r="F5709" i="13"/>
  <c r="A5709" i="13"/>
  <c r="J5708" i="13"/>
  <c r="F5708" i="13"/>
  <c r="A5708" i="13"/>
  <c r="J5707" i="13"/>
  <c r="F5707" i="13"/>
  <c r="A5707" i="13"/>
  <c r="J5706" i="13"/>
  <c r="F5706" i="13"/>
  <c r="A5706" i="13"/>
  <c r="J5705" i="13"/>
  <c r="F5705" i="13"/>
  <c r="A5705" i="13"/>
  <c r="J5704" i="13"/>
  <c r="F5704" i="13"/>
  <c r="A5704" i="13"/>
  <c r="F5703" i="13"/>
  <c r="A5703" i="13"/>
  <c r="J5702" i="13"/>
  <c r="F5702" i="13"/>
  <c r="A5702" i="13"/>
  <c r="J5701" i="13"/>
  <c r="F5701" i="13"/>
  <c r="A5701" i="13"/>
  <c r="J5700" i="13"/>
  <c r="F5700" i="13"/>
  <c r="A5700" i="13"/>
  <c r="F5699" i="13"/>
  <c r="A5699" i="13"/>
  <c r="F5698" i="13"/>
  <c r="A5698" i="13"/>
  <c r="F5697" i="13"/>
  <c r="A5697" i="13"/>
  <c r="F5696" i="13"/>
  <c r="A5696" i="13"/>
  <c r="J5695" i="13"/>
  <c r="F5695" i="13"/>
  <c r="A5695" i="13"/>
  <c r="F5694" i="13"/>
  <c r="A5694" i="13"/>
  <c r="F5693" i="13"/>
  <c r="A5693" i="13"/>
  <c r="F5692" i="13"/>
  <c r="A5692" i="13"/>
  <c r="F5691" i="13"/>
  <c r="A5691" i="13"/>
  <c r="J5690" i="13"/>
  <c r="F5690" i="13"/>
  <c r="A5690" i="13"/>
  <c r="J5689" i="13"/>
  <c r="F5689" i="13"/>
  <c r="A5689" i="13"/>
  <c r="F5688" i="13"/>
  <c r="A5688" i="13"/>
  <c r="J5687" i="13"/>
  <c r="F5687" i="13"/>
  <c r="A5687" i="13"/>
  <c r="F5686" i="13"/>
  <c r="A5686" i="13"/>
  <c r="J5685" i="13"/>
  <c r="F5685" i="13"/>
  <c r="A5685" i="13"/>
  <c r="J5684" i="13"/>
  <c r="F5684" i="13"/>
  <c r="A5684" i="13"/>
  <c r="F5683" i="13"/>
  <c r="A5683" i="13"/>
  <c r="F5682" i="13"/>
  <c r="A5682" i="13"/>
  <c r="F5681" i="13"/>
  <c r="A5681" i="13"/>
  <c r="J5680" i="13"/>
  <c r="F5680" i="13"/>
  <c r="A5680" i="13"/>
  <c r="F5679" i="13"/>
  <c r="A5679" i="13"/>
  <c r="J5678" i="13"/>
  <c r="F5678" i="13"/>
  <c r="A5678" i="13"/>
  <c r="J5677" i="13"/>
  <c r="F5677" i="13"/>
  <c r="A5677" i="13"/>
  <c r="F5676" i="13"/>
  <c r="A5676" i="13"/>
  <c r="J5675" i="13"/>
  <c r="F5675" i="13"/>
  <c r="A5675" i="13"/>
  <c r="J5674" i="13"/>
  <c r="F5674" i="13"/>
  <c r="A5674" i="13"/>
  <c r="J5673" i="13"/>
  <c r="F5673" i="13"/>
  <c r="A5673" i="13"/>
  <c r="J5672" i="13"/>
  <c r="F5672" i="13"/>
  <c r="A5672" i="13"/>
  <c r="F5671" i="13"/>
  <c r="A5671" i="13"/>
  <c r="J5670" i="13"/>
  <c r="F5670" i="13"/>
  <c r="A5670" i="13"/>
  <c r="J5669" i="13"/>
  <c r="F5669" i="13"/>
  <c r="A5669" i="13"/>
  <c r="F5668" i="13"/>
  <c r="A5668" i="13"/>
  <c r="J5667" i="13"/>
  <c r="F5667" i="13"/>
  <c r="A5667" i="13"/>
  <c r="J5666" i="13"/>
  <c r="F5666" i="13"/>
  <c r="A5666" i="13"/>
  <c r="F5665" i="13"/>
  <c r="A5665" i="13"/>
  <c r="J5664" i="13"/>
  <c r="F5664" i="13"/>
  <c r="A5664" i="13"/>
  <c r="J5663" i="13"/>
  <c r="F5663" i="13"/>
  <c r="A5663" i="13"/>
  <c r="J5662" i="13"/>
  <c r="F5662" i="13"/>
  <c r="A5662" i="13"/>
  <c r="J5661" i="13"/>
  <c r="F5661" i="13"/>
  <c r="A5661" i="13"/>
  <c r="F5660" i="13"/>
  <c r="A5660" i="13"/>
  <c r="F5659" i="13"/>
  <c r="A5659" i="13"/>
  <c r="F5658" i="13"/>
  <c r="A5658" i="13"/>
  <c r="F5657" i="13"/>
  <c r="A5657" i="13"/>
  <c r="F5656" i="13"/>
  <c r="A5656" i="13"/>
  <c r="J5655" i="13"/>
  <c r="F5655" i="13"/>
  <c r="A5655" i="13"/>
  <c r="F5654" i="13"/>
  <c r="A5654" i="13"/>
  <c r="F5653" i="13"/>
  <c r="A5653" i="13"/>
  <c r="F5652" i="13"/>
  <c r="A5652" i="13"/>
  <c r="F5651" i="13"/>
  <c r="A5651" i="13"/>
  <c r="F5650" i="13"/>
  <c r="A5650" i="13"/>
  <c r="F5649" i="13"/>
  <c r="A5649" i="13"/>
  <c r="F5648" i="13"/>
  <c r="A5648" i="13"/>
  <c r="F5647" i="13"/>
  <c r="A5647" i="13"/>
  <c r="F5646" i="13"/>
  <c r="A5646" i="13"/>
  <c r="F5645" i="13"/>
  <c r="A5645" i="13"/>
  <c r="F5644" i="13"/>
  <c r="A5644" i="13"/>
  <c r="F5643" i="13"/>
  <c r="A5643" i="13"/>
  <c r="F5642" i="13"/>
  <c r="A5642" i="13"/>
  <c r="F5641" i="13"/>
  <c r="A5641" i="13"/>
  <c r="F5640" i="13"/>
  <c r="A5640" i="13"/>
  <c r="F5639" i="13"/>
  <c r="A5639" i="13"/>
  <c r="F5638" i="13"/>
  <c r="A5638" i="13"/>
  <c r="F5637" i="13"/>
  <c r="A5637" i="13"/>
  <c r="F5636" i="13"/>
  <c r="A5636" i="13"/>
  <c r="F5635" i="13"/>
  <c r="A5635" i="13"/>
  <c r="F5634" i="13"/>
  <c r="A5634" i="13"/>
  <c r="F5633" i="13"/>
  <c r="A5633" i="13"/>
  <c r="F5632" i="13"/>
  <c r="A5632" i="13"/>
  <c r="F5631" i="13"/>
  <c r="A5631" i="13"/>
  <c r="F5630" i="13"/>
  <c r="A5630" i="13"/>
  <c r="F5629" i="13"/>
  <c r="A5629" i="13"/>
  <c r="F5628" i="13"/>
  <c r="A5628" i="13"/>
  <c r="F5627" i="13"/>
  <c r="A5627" i="13"/>
  <c r="F5626" i="13"/>
  <c r="A5626" i="13"/>
  <c r="F5625" i="13"/>
  <c r="A5625" i="13"/>
  <c r="F5624" i="13"/>
  <c r="A5624" i="13"/>
  <c r="F5623" i="13"/>
  <c r="A5623" i="13"/>
  <c r="F5622" i="13"/>
  <c r="A5622" i="13"/>
  <c r="J5621" i="13"/>
  <c r="F5621" i="13"/>
  <c r="A5621" i="13"/>
  <c r="J5620" i="13"/>
  <c r="F5620" i="13"/>
  <c r="A5620" i="13"/>
  <c r="J5619" i="13"/>
  <c r="F5619" i="13"/>
  <c r="A5619" i="13"/>
  <c r="J5618" i="13"/>
  <c r="F5618" i="13"/>
  <c r="A5618" i="13"/>
  <c r="F5617" i="13"/>
  <c r="A5617" i="13"/>
  <c r="J5616" i="13"/>
  <c r="F5616" i="13"/>
  <c r="A5616" i="13"/>
  <c r="J5615" i="13"/>
  <c r="F5615" i="13"/>
  <c r="A5615" i="13"/>
  <c r="F5614" i="13"/>
  <c r="A5614" i="13"/>
  <c r="J5613" i="13"/>
  <c r="F5613" i="13"/>
  <c r="A5613" i="13"/>
  <c r="J5612" i="13"/>
  <c r="F5612" i="13"/>
  <c r="A5612" i="13"/>
  <c r="J5611" i="13"/>
  <c r="F5611" i="13"/>
  <c r="A5611" i="13"/>
  <c r="J5610" i="13"/>
  <c r="F5610" i="13"/>
  <c r="A5610" i="13"/>
  <c r="F5609" i="13"/>
  <c r="A5609" i="13"/>
  <c r="F5608" i="13"/>
  <c r="A5608" i="13"/>
  <c r="J5607" i="13"/>
  <c r="F5607" i="13"/>
  <c r="A5607" i="13"/>
  <c r="J5606" i="13"/>
  <c r="F5606" i="13"/>
  <c r="A5606" i="13"/>
  <c r="J5605" i="13"/>
  <c r="F5605" i="13"/>
  <c r="A5605" i="13"/>
  <c r="F5604" i="13"/>
  <c r="A5604" i="13"/>
  <c r="F5603" i="13"/>
  <c r="A5603" i="13"/>
  <c r="F5602" i="13"/>
  <c r="A5602" i="13"/>
  <c r="J5601" i="13"/>
  <c r="F5601" i="13"/>
  <c r="A5601" i="13"/>
  <c r="J5600" i="13"/>
  <c r="F5600" i="13"/>
  <c r="A5600" i="13"/>
  <c r="F5599" i="13"/>
  <c r="A5599" i="13"/>
  <c r="F5598" i="13"/>
  <c r="A5598" i="13"/>
  <c r="J5597" i="13"/>
  <c r="F5597" i="13"/>
  <c r="A5597" i="13"/>
  <c r="J5596" i="13"/>
  <c r="F5596" i="13"/>
  <c r="A5596" i="13"/>
  <c r="J5595" i="13"/>
  <c r="F5595" i="13"/>
  <c r="A5595" i="13"/>
  <c r="J5594" i="13"/>
  <c r="F5594" i="13"/>
  <c r="A5594" i="13"/>
  <c r="J5593" i="13"/>
  <c r="F5593" i="13"/>
  <c r="A5593" i="13"/>
  <c r="J5592" i="13"/>
  <c r="F5592" i="13"/>
  <c r="A5592" i="13"/>
  <c r="J5591" i="13"/>
  <c r="F5591" i="13"/>
  <c r="A5591" i="13"/>
  <c r="J5590" i="13"/>
  <c r="F5590" i="13"/>
  <c r="A5590" i="13"/>
  <c r="J5589" i="13"/>
  <c r="F5589" i="13"/>
  <c r="A5589" i="13"/>
  <c r="J5588" i="13"/>
  <c r="F5588" i="13"/>
  <c r="A5588" i="13"/>
  <c r="J5587" i="13"/>
  <c r="F5587" i="13"/>
  <c r="A5587" i="13"/>
  <c r="J5586" i="13"/>
  <c r="F5586" i="13"/>
  <c r="A5586" i="13"/>
  <c r="J5585" i="13"/>
  <c r="F5585" i="13"/>
  <c r="A5585" i="13"/>
  <c r="F5584" i="13"/>
  <c r="A5584" i="13"/>
  <c r="F5583" i="13"/>
  <c r="A5583" i="13"/>
  <c r="J5582" i="13"/>
  <c r="F5582" i="13"/>
  <c r="A5582" i="13"/>
  <c r="F5581" i="13"/>
  <c r="A5581" i="13"/>
  <c r="F5580" i="13"/>
  <c r="A5580" i="13"/>
  <c r="F5579" i="13"/>
  <c r="A5579" i="13"/>
  <c r="J5578" i="13"/>
  <c r="F5578" i="13"/>
  <c r="A5578" i="13"/>
  <c r="J5577" i="13"/>
  <c r="F5577" i="13"/>
  <c r="A5577" i="13"/>
  <c r="F5576" i="13"/>
  <c r="A5576" i="13"/>
  <c r="J5575" i="13"/>
  <c r="F5575" i="13"/>
  <c r="A5575" i="13"/>
  <c r="J5574" i="13"/>
  <c r="F5574" i="13"/>
  <c r="A5574" i="13"/>
  <c r="F5573" i="13"/>
  <c r="A5573" i="13"/>
  <c r="J5572" i="13"/>
  <c r="F5572" i="13"/>
  <c r="A5572" i="13"/>
  <c r="F5571" i="13"/>
  <c r="A5571" i="13"/>
  <c r="F5570" i="13"/>
  <c r="A5570" i="13"/>
  <c r="F5569" i="13"/>
  <c r="A5569" i="13"/>
  <c r="F5568" i="13"/>
  <c r="A5568" i="13"/>
  <c r="J5567" i="13"/>
  <c r="F5567" i="13"/>
  <c r="A5567" i="13"/>
  <c r="J5566" i="13"/>
  <c r="F5566" i="13"/>
  <c r="A5566" i="13"/>
  <c r="J5565" i="13"/>
  <c r="F5565" i="13"/>
  <c r="A5565" i="13"/>
  <c r="F5564" i="13"/>
  <c r="A5564" i="13"/>
  <c r="F5563" i="13"/>
  <c r="A5563" i="13"/>
  <c r="F5562" i="13"/>
  <c r="A5562" i="13"/>
  <c r="J5561" i="13"/>
  <c r="F5561" i="13"/>
  <c r="A5561" i="13"/>
  <c r="J5560" i="13"/>
  <c r="F5560" i="13"/>
  <c r="A5560" i="13"/>
  <c r="J5559" i="13"/>
  <c r="F5559" i="13"/>
  <c r="A5559" i="13"/>
  <c r="J5558" i="13"/>
  <c r="F5558" i="13"/>
  <c r="A5558" i="13"/>
  <c r="F5557" i="13"/>
  <c r="A5557" i="13"/>
  <c r="F5556" i="13"/>
  <c r="A5556" i="13"/>
  <c r="F5555" i="13"/>
  <c r="A5555" i="13"/>
  <c r="F5554" i="13"/>
  <c r="A5554" i="13"/>
  <c r="J5553" i="13"/>
  <c r="F5553" i="13"/>
  <c r="A5553" i="13"/>
  <c r="J5552" i="13"/>
  <c r="F5552" i="13"/>
  <c r="A5552" i="13"/>
  <c r="F5551" i="13"/>
  <c r="A5551" i="13"/>
  <c r="J5550" i="13"/>
  <c r="F5550" i="13"/>
  <c r="A5550" i="13"/>
  <c r="F5549" i="13"/>
  <c r="A5549" i="13"/>
  <c r="F5548" i="13"/>
  <c r="A5548" i="13"/>
  <c r="F5547" i="13"/>
  <c r="A5547" i="13"/>
  <c r="J5546" i="13"/>
  <c r="F5546" i="13"/>
  <c r="A5546" i="13"/>
  <c r="J5545" i="13"/>
  <c r="F5545" i="13"/>
  <c r="A5545" i="13"/>
  <c r="F5544" i="13"/>
  <c r="A5544" i="13"/>
  <c r="F5543" i="13"/>
  <c r="A5543" i="13"/>
  <c r="J5542" i="13"/>
  <c r="F5542" i="13"/>
  <c r="A5542" i="13"/>
  <c r="J5541" i="13"/>
  <c r="F5541" i="13"/>
  <c r="A5541" i="13"/>
  <c r="F5540" i="13"/>
  <c r="A5540" i="13"/>
  <c r="F5539" i="13"/>
  <c r="A5539" i="13"/>
  <c r="F5538" i="13"/>
  <c r="A5538" i="13"/>
  <c r="F5537" i="13"/>
  <c r="A5537" i="13"/>
  <c r="F5536" i="13"/>
  <c r="A5536" i="13"/>
  <c r="F5535" i="13"/>
  <c r="A5535" i="13"/>
  <c r="J5534" i="13"/>
  <c r="F5534" i="13"/>
  <c r="A5534" i="13"/>
  <c r="J5533" i="13"/>
  <c r="F5533" i="13"/>
  <c r="A5533" i="13"/>
  <c r="F5532" i="13"/>
  <c r="A5532" i="13"/>
  <c r="F5531" i="13"/>
  <c r="A5531" i="13"/>
  <c r="F5530" i="13"/>
  <c r="A5530" i="13"/>
  <c r="F5529" i="13"/>
  <c r="A5529" i="13"/>
  <c r="F5528" i="13"/>
  <c r="A5528" i="13"/>
  <c r="J5527" i="13"/>
  <c r="F5527" i="13"/>
  <c r="A5527" i="13"/>
  <c r="J5526" i="13"/>
  <c r="F5526" i="13"/>
  <c r="A5526" i="13"/>
  <c r="J5525" i="13"/>
  <c r="F5525" i="13"/>
  <c r="A5525" i="13"/>
  <c r="J5524" i="13"/>
  <c r="F5524" i="13"/>
  <c r="A5524" i="13"/>
  <c r="F5523" i="13"/>
  <c r="A5523" i="13"/>
  <c r="F5522" i="13"/>
  <c r="A5522" i="13"/>
  <c r="F5521" i="13"/>
  <c r="A5521" i="13"/>
  <c r="F5520" i="13"/>
  <c r="A5520" i="13"/>
  <c r="F5519" i="13"/>
  <c r="A5519" i="13"/>
  <c r="F5518" i="13"/>
  <c r="A5518" i="13"/>
  <c r="J5517" i="13"/>
  <c r="F5517" i="13"/>
  <c r="A5517" i="13"/>
  <c r="J5516" i="13"/>
  <c r="F5516" i="13"/>
  <c r="A5516" i="13"/>
  <c r="F5515" i="13"/>
  <c r="A5515" i="13"/>
  <c r="F5514" i="13"/>
  <c r="A5514" i="13"/>
  <c r="F5513" i="13"/>
  <c r="A5513" i="13"/>
  <c r="F5512" i="13"/>
  <c r="A5512" i="13"/>
  <c r="F5511" i="13"/>
  <c r="A5511" i="13"/>
  <c r="J5510" i="13"/>
  <c r="F5510" i="13"/>
  <c r="A5510" i="13"/>
  <c r="J5509" i="13"/>
  <c r="F5509" i="13"/>
  <c r="A5509" i="13"/>
  <c r="F5508" i="13"/>
  <c r="A5508" i="13"/>
  <c r="J5507" i="13"/>
  <c r="F5507" i="13"/>
  <c r="A5507" i="13"/>
  <c r="J5506" i="13"/>
  <c r="F5506" i="13"/>
  <c r="A5506" i="13"/>
  <c r="J5505" i="13"/>
  <c r="F5505" i="13"/>
  <c r="A5505" i="13"/>
  <c r="F5504" i="13"/>
  <c r="A5504" i="13"/>
  <c r="J5503" i="13"/>
  <c r="F5503" i="13"/>
  <c r="A5503" i="13"/>
  <c r="J5502" i="13"/>
  <c r="F5502" i="13"/>
  <c r="A5502" i="13"/>
  <c r="J5501" i="13"/>
  <c r="F5501" i="13"/>
  <c r="A5501" i="13"/>
  <c r="J5500" i="13"/>
  <c r="F5500" i="13"/>
  <c r="A5500" i="13"/>
  <c r="F5499" i="13"/>
  <c r="A5499" i="13"/>
  <c r="F5498" i="13"/>
  <c r="A5498" i="13"/>
  <c r="J5497" i="13"/>
  <c r="F5497" i="13"/>
  <c r="A5497" i="13"/>
  <c r="F5496" i="13"/>
  <c r="A5496" i="13"/>
  <c r="F5495" i="13"/>
  <c r="A5495" i="13"/>
  <c r="J5494" i="13"/>
  <c r="F5494" i="13"/>
  <c r="A5494" i="13"/>
  <c r="F5493" i="13"/>
  <c r="A5493" i="13"/>
  <c r="J5492" i="13"/>
  <c r="F5492" i="13"/>
  <c r="A5492" i="13"/>
  <c r="J5491" i="13"/>
  <c r="F5491" i="13"/>
  <c r="A5491" i="13"/>
  <c r="F5490" i="13"/>
  <c r="A5490" i="13"/>
  <c r="J5489" i="13"/>
  <c r="F5489" i="13"/>
  <c r="A5489" i="13"/>
  <c r="J5488" i="13"/>
  <c r="F5488" i="13"/>
  <c r="A5488" i="13"/>
  <c r="J5487" i="13"/>
  <c r="F5487" i="13"/>
  <c r="A5487" i="13"/>
  <c r="F5486" i="13"/>
  <c r="A5486" i="13"/>
  <c r="J5485" i="13"/>
  <c r="F5485" i="13"/>
  <c r="A5485" i="13"/>
  <c r="F5484" i="13"/>
  <c r="A5484" i="13"/>
  <c r="F5483" i="13"/>
  <c r="A5483" i="13"/>
  <c r="F5482" i="13"/>
  <c r="A5482" i="13"/>
  <c r="F5481" i="13"/>
  <c r="A5481" i="13"/>
  <c r="F5480" i="13"/>
  <c r="A5480" i="13"/>
  <c r="F5479" i="13"/>
  <c r="A5479" i="13"/>
  <c r="F5478" i="13"/>
  <c r="A5478" i="13"/>
  <c r="F5477" i="13"/>
  <c r="A5477" i="13"/>
  <c r="F5476" i="13"/>
  <c r="A5476" i="13"/>
  <c r="F5475" i="13"/>
  <c r="A5475" i="13"/>
  <c r="F5474" i="13"/>
  <c r="A5474" i="13"/>
  <c r="F5473" i="13"/>
  <c r="A5473" i="13"/>
  <c r="F5472" i="13"/>
  <c r="A5472" i="13"/>
  <c r="F5471" i="13"/>
  <c r="A5471" i="13"/>
  <c r="F5470" i="13"/>
  <c r="A5470" i="13"/>
  <c r="F5469" i="13"/>
  <c r="A5469" i="13"/>
  <c r="F5468" i="13"/>
  <c r="A5468" i="13"/>
  <c r="F5467" i="13"/>
  <c r="A5467" i="13"/>
  <c r="F5466" i="13"/>
  <c r="A5466" i="13"/>
  <c r="F5465" i="13"/>
  <c r="A5465" i="13"/>
  <c r="F5464" i="13"/>
  <c r="A5464" i="13"/>
  <c r="F5463" i="13"/>
  <c r="A5463" i="13"/>
  <c r="F5462" i="13"/>
  <c r="A5462" i="13"/>
  <c r="F5461" i="13"/>
  <c r="A5461" i="13"/>
  <c r="F5460" i="13"/>
  <c r="A5460" i="13"/>
  <c r="F5459" i="13"/>
  <c r="A5459" i="13"/>
  <c r="F5458" i="13"/>
  <c r="A5458" i="13"/>
  <c r="F5457" i="13"/>
  <c r="A5457" i="13"/>
  <c r="F5456" i="13"/>
  <c r="A5456" i="13"/>
  <c r="F5455" i="13"/>
  <c r="A5455" i="13"/>
  <c r="F5454" i="13"/>
  <c r="A5454" i="13"/>
  <c r="F5453" i="13"/>
  <c r="A5453" i="13"/>
  <c r="F5452" i="13"/>
  <c r="A5452" i="13"/>
  <c r="F5451" i="13"/>
  <c r="A5451" i="13"/>
  <c r="F5450" i="13"/>
  <c r="A5450" i="13"/>
  <c r="F5449" i="13"/>
  <c r="A5449" i="13"/>
  <c r="F5448" i="13"/>
  <c r="A5448" i="13"/>
  <c r="F5447" i="13"/>
  <c r="A5447" i="13"/>
  <c r="F5446" i="13"/>
  <c r="A5446" i="13"/>
  <c r="F5445" i="13"/>
  <c r="A5445" i="13"/>
  <c r="F5444" i="13"/>
  <c r="A5444" i="13"/>
  <c r="F5443" i="13"/>
  <c r="A5443" i="13"/>
  <c r="J5442" i="13"/>
  <c r="F5442" i="13"/>
  <c r="A5442" i="13"/>
  <c r="J5441" i="13"/>
  <c r="F5441" i="13"/>
  <c r="A5441" i="13"/>
  <c r="F5440" i="13"/>
  <c r="A5440" i="13"/>
  <c r="F5439" i="13"/>
  <c r="A5439" i="13"/>
  <c r="F5438" i="13"/>
  <c r="A5438" i="13"/>
  <c r="F5437" i="13"/>
  <c r="A5437" i="13"/>
  <c r="F5436" i="13"/>
  <c r="A5436" i="13"/>
  <c r="J5435" i="13"/>
  <c r="F5435" i="13"/>
  <c r="A5435" i="13"/>
  <c r="F5434" i="13"/>
  <c r="A5434" i="13"/>
  <c r="F5433" i="13"/>
  <c r="A5433" i="13"/>
  <c r="F5432" i="13"/>
  <c r="A5432" i="13"/>
  <c r="J5431" i="13"/>
  <c r="F5431" i="13"/>
  <c r="A5431" i="13"/>
  <c r="J5430" i="13"/>
  <c r="F5430" i="13"/>
  <c r="A5430" i="13"/>
  <c r="F5429" i="13"/>
  <c r="A5429" i="13"/>
  <c r="F5428" i="13"/>
  <c r="A5428" i="13"/>
  <c r="F5427" i="13"/>
  <c r="A5427" i="13"/>
  <c r="J5426" i="13"/>
  <c r="F5426" i="13"/>
  <c r="A5426" i="13"/>
  <c r="F5425" i="13"/>
  <c r="A5425" i="13"/>
  <c r="J5424" i="13"/>
  <c r="F5424" i="13"/>
  <c r="A5424" i="13"/>
  <c r="J5423" i="13"/>
  <c r="F5423" i="13"/>
  <c r="A5423" i="13"/>
  <c r="F5422" i="13"/>
  <c r="A5422" i="13"/>
  <c r="F5421" i="13"/>
  <c r="A5421" i="13"/>
  <c r="F5420" i="13"/>
  <c r="A5420" i="13"/>
  <c r="F5419" i="13"/>
  <c r="A5419" i="13"/>
  <c r="J5418" i="13"/>
  <c r="F5418" i="13"/>
  <c r="A5418" i="13"/>
  <c r="J5417" i="13"/>
  <c r="F5417" i="13"/>
  <c r="A5417" i="13"/>
  <c r="F5416" i="13"/>
  <c r="A5416" i="13"/>
  <c r="F5415" i="13"/>
  <c r="A5415" i="13"/>
  <c r="F5414" i="13"/>
  <c r="A5414" i="13"/>
  <c r="J5413" i="13"/>
  <c r="F5413" i="13"/>
  <c r="A5413" i="13"/>
  <c r="J5412" i="13"/>
  <c r="F5412" i="13"/>
  <c r="A5412" i="13"/>
  <c r="J5411" i="13"/>
  <c r="F5411" i="13"/>
  <c r="A5411" i="13"/>
  <c r="J5410" i="13"/>
  <c r="F5410" i="13"/>
  <c r="A5410" i="13"/>
  <c r="J5409" i="13"/>
  <c r="F5409" i="13"/>
  <c r="A5409" i="13"/>
  <c r="J5408" i="13"/>
  <c r="F5408" i="13"/>
  <c r="A5408" i="13"/>
  <c r="J5407" i="13"/>
  <c r="F5407" i="13"/>
  <c r="A5407" i="13"/>
  <c r="J5406" i="13"/>
  <c r="F5406" i="13"/>
  <c r="A5406" i="13"/>
  <c r="F5405" i="13"/>
  <c r="A5405" i="13"/>
  <c r="F5404" i="13"/>
  <c r="A5404" i="13"/>
  <c r="F5403" i="13"/>
  <c r="A5403" i="13"/>
  <c r="F5402" i="13"/>
  <c r="A5402" i="13"/>
  <c r="J5401" i="13"/>
  <c r="F5401" i="13"/>
  <c r="A5401" i="13"/>
  <c r="F5400" i="13"/>
  <c r="A5400" i="13"/>
  <c r="J5399" i="13"/>
  <c r="F5399" i="13"/>
  <c r="A5399" i="13"/>
  <c r="F5398" i="13"/>
  <c r="A5398" i="13"/>
  <c r="J5397" i="13"/>
  <c r="F5397" i="13"/>
  <c r="A5397" i="13"/>
  <c r="J5396" i="13"/>
  <c r="F5396" i="13"/>
  <c r="A5396" i="13"/>
  <c r="F5395" i="13"/>
  <c r="A5395" i="13"/>
  <c r="J5394" i="13"/>
  <c r="F5394" i="13"/>
  <c r="A5394" i="13"/>
  <c r="J5393" i="13"/>
  <c r="F5393" i="13"/>
  <c r="A5393" i="13"/>
  <c r="J5392" i="13"/>
  <c r="F5392" i="13"/>
  <c r="A5392" i="13"/>
  <c r="J5391" i="13"/>
  <c r="F5391" i="13"/>
  <c r="A5391" i="13"/>
  <c r="F5390" i="13"/>
  <c r="A5390" i="13"/>
  <c r="J5389" i="13"/>
  <c r="F5389" i="13"/>
  <c r="A5389" i="13"/>
  <c r="F5388" i="13"/>
  <c r="A5388" i="13"/>
  <c r="J5387" i="13"/>
  <c r="F5387" i="13"/>
  <c r="A5387" i="13"/>
  <c r="J5386" i="13"/>
  <c r="F5386" i="13"/>
  <c r="A5386" i="13"/>
  <c r="J5385" i="13"/>
  <c r="F5385" i="13"/>
  <c r="A5385" i="13"/>
  <c r="J5384" i="13"/>
  <c r="F5384" i="13"/>
  <c r="A5384" i="13"/>
  <c r="F5383" i="13"/>
  <c r="A5383" i="13"/>
  <c r="J5382" i="13"/>
  <c r="F5382" i="13"/>
  <c r="A5382" i="13"/>
  <c r="J5381" i="13"/>
  <c r="F5381" i="13"/>
  <c r="A5381" i="13"/>
  <c r="J5380" i="13"/>
  <c r="F5380" i="13"/>
  <c r="A5380" i="13"/>
  <c r="F5379" i="13"/>
  <c r="A5379" i="13"/>
  <c r="J5378" i="13"/>
  <c r="F5378" i="13"/>
  <c r="A5378" i="13"/>
  <c r="J5377" i="13"/>
  <c r="F5377" i="13"/>
  <c r="A5377" i="13"/>
  <c r="J5376" i="13"/>
  <c r="F5376" i="13"/>
  <c r="A5376" i="13"/>
  <c r="J5375" i="13"/>
  <c r="F5375" i="13"/>
  <c r="A5375" i="13"/>
  <c r="F5374" i="13"/>
  <c r="A5374" i="13"/>
  <c r="F5373" i="13"/>
  <c r="A5373" i="13"/>
  <c r="F5372" i="13"/>
  <c r="A5372" i="13"/>
  <c r="F5371" i="13"/>
  <c r="A5371" i="13"/>
  <c r="F5370" i="13"/>
  <c r="A5370" i="13"/>
  <c r="J5369" i="13"/>
  <c r="F5369" i="13"/>
  <c r="A5369" i="13"/>
  <c r="J5368" i="13"/>
  <c r="F5368" i="13"/>
  <c r="A5368" i="13"/>
  <c r="F5367" i="13"/>
  <c r="A5367" i="13"/>
  <c r="F5366" i="13"/>
  <c r="A5366" i="13"/>
  <c r="J5365" i="13"/>
  <c r="F5365" i="13"/>
  <c r="A5365" i="13"/>
  <c r="J5364" i="13"/>
  <c r="F5364" i="13"/>
  <c r="A5364" i="13"/>
  <c r="F5363" i="13"/>
  <c r="A5363" i="13"/>
  <c r="J5362" i="13"/>
  <c r="F5362" i="13"/>
  <c r="A5362" i="13"/>
  <c r="J5361" i="13"/>
  <c r="F5361" i="13"/>
  <c r="A5361" i="13"/>
  <c r="J5360" i="13"/>
  <c r="F5360" i="13"/>
  <c r="A5360" i="13"/>
  <c r="J5359" i="13"/>
  <c r="F5359" i="13"/>
  <c r="A5359" i="13"/>
  <c r="J5358" i="13"/>
  <c r="F5358" i="13"/>
  <c r="A5358" i="13"/>
  <c r="F5357" i="13"/>
  <c r="A5357" i="13"/>
  <c r="J5356" i="13"/>
  <c r="F5356" i="13"/>
  <c r="A5356" i="13"/>
  <c r="J5355" i="13"/>
  <c r="F5355" i="13"/>
  <c r="A5355" i="13"/>
  <c r="F5354" i="13"/>
  <c r="A5354" i="13"/>
  <c r="J5353" i="13"/>
  <c r="F5353" i="13"/>
  <c r="A5353" i="13"/>
  <c r="J5352" i="13"/>
  <c r="F5352" i="13"/>
  <c r="A5352" i="13"/>
  <c r="F5351" i="13"/>
  <c r="A5351" i="13"/>
  <c r="J5350" i="13"/>
  <c r="F5350" i="13"/>
  <c r="A5350" i="13"/>
  <c r="F5349" i="13"/>
  <c r="A5349" i="13"/>
  <c r="F5348" i="13"/>
  <c r="A5348" i="13"/>
  <c r="F5347" i="13"/>
  <c r="A5347" i="13"/>
  <c r="J5346" i="13"/>
  <c r="F5346" i="13"/>
  <c r="A5346" i="13"/>
  <c r="J5345" i="13"/>
  <c r="F5345" i="13"/>
  <c r="A5345" i="13"/>
  <c r="J5344" i="13"/>
  <c r="F5344" i="13"/>
  <c r="A5344" i="13"/>
  <c r="F5343" i="13"/>
  <c r="A5343" i="13"/>
  <c r="J5342" i="13"/>
  <c r="F5342" i="13"/>
  <c r="A5342" i="13"/>
  <c r="J5341" i="13"/>
  <c r="F5341" i="13"/>
  <c r="A5341" i="13"/>
  <c r="J5340" i="13"/>
  <c r="F5340" i="13"/>
  <c r="A5340" i="13"/>
  <c r="J5339" i="13"/>
  <c r="F5339" i="13"/>
  <c r="A5339" i="13"/>
  <c r="J5338" i="13"/>
  <c r="F5338" i="13"/>
  <c r="A5338" i="13"/>
  <c r="J5337" i="13"/>
  <c r="F5337" i="13"/>
  <c r="A5337" i="13"/>
  <c r="J5336" i="13"/>
  <c r="F5336" i="13"/>
  <c r="A5336" i="13"/>
  <c r="J5335" i="13"/>
  <c r="F5335" i="13"/>
  <c r="A5335" i="13"/>
  <c r="J5334" i="13"/>
  <c r="F5334" i="13"/>
  <c r="A5334" i="13"/>
  <c r="F5333" i="13"/>
  <c r="A5333" i="13"/>
  <c r="J5332" i="13"/>
  <c r="F5332" i="13"/>
  <c r="A5332" i="13"/>
  <c r="J5331" i="13"/>
  <c r="F5331" i="13"/>
  <c r="A5331" i="13"/>
  <c r="F5330" i="13"/>
  <c r="A5330" i="13"/>
  <c r="J5329" i="13"/>
  <c r="F5329" i="13"/>
  <c r="A5329" i="13"/>
  <c r="J5328" i="13"/>
  <c r="F5328" i="13"/>
  <c r="A5328" i="13"/>
  <c r="F5327" i="13"/>
  <c r="A5327" i="13"/>
  <c r="F5326" i="13"/>
  <c r="A5326" i="13"/>
  <c r="J5325" i="13"/>
  <c r="F5325" i="13"/>
  <c r="A5325" i="13"/>
  <c r="F5324" i="13"/>
  <c r="A5324" i="13"/>
  <c r="J5323" i="13"/>
  <c r="F5323" i="13"/>
  <c r="A5323" i="13"/>
  <c r="J5322" i="13"/>
  <c r="F5322" i="13"/>
  <c r="A5322" i="13"/>
  <c r="J5321" i="13"/>
  <c r="F5321" i="13"/>
  <c r="A5321" i="13"/>
  <c r="F5320" i="13"/>
  <c r="A5320" i="13"/>
  <c r="F5319" i="13"/>
  <c r="A5319" i="13"/>
  <c r="J5318" i="13"/>
  <c r="F5318" i="13"/>
  <c r="A5318" i="13"/>
  <c r="J5317" i="13"/>
  <c r="F5317" i="13"/>
  <c r="A5317" i="13"/>
  <c r="J5316" i="13"/>
  <c r="F5316" i="13"/>
  <c r="A5316" i="13"/>
  <c r="J5315" i="13"/>
  <c r="F5315" i="13"/>
  <c r="A5315" i="13"/>
  <c r="J5314" i="13"/>
  <c r="F5314" i="13"/>
  <c r="A5314" i="13"/>
  <c r="F5313" i="13"/>
  <c r="A5313" i="13"/>
  <c r="J5312" i="13"/>
  <c r="F5312" i="13"/>
  <c r="A5312" i="13"/>
  <c r="J5311" i="13"/>
  <c r="F5311" i="13"/>
  <c r="A5311" i="13"/>
  <c r="J5310" i="13"/>
  <c r="F5310" i="13"/>
  <c r="A5310" i="13"/>
  <c r="J5309" i="13"/>
  <c r="F5309" i="13"/>
  <c r="A5309" i="13"/>
  <c r="J5308" i="13"/>
  <c r="F5308" i="13"/>
  <c r="A5308" i="13"/>
  <c r="J5307" i="13"/>
  <c r="F5307" i="13"/>
  <c r="A5307" i="13"/>
  <c r="F5306" i="13"/>
  <c r="A5306" i="13"/>
  <c r="F5305" i="13"/>
  <c r="A5305" i="13"/>
  <c r="J5304" i="13"/>
  <c r="F5304" i="13"/>
  <c r="A5304" i="13"/>
  <c r="F5303" i="13"/>
  <c r="A5303" i="13"/>
  <c r="J5302" i="13"/>
  <c r="F5302" i="13"/>
  <c r="J5301" i="13"/>
  <c r="F5301" i="13"/>
  <c r="J5300" i="13"/>
  <c r="F5300" i="13"/>
  <c r="F5299" i="13"/>
  <c r="A5299" i="13"/>
  <c r="F5298" i="13"/>
  <c r="A5298" i="13"/>
  <c r="F5297" i="13"/>
  <c r="A5297" i="13"/>
  <c r="F5296" i="13"/>
  <c r="A5296" i="13"/>
  <c r="F5295" i="13"/>
  <c r="A5295" i="13"/>
  <c r="F5294" i="13"/>
  <c r="F5293" i="13"/>
  <c r="A5293" i="13"/>
  <c r="F5292" i="13"/>
  <c r="A5292" i="13"/>
  <c r="J5291" i="13"/>
  <c r="F5291" i="13"/>
  <c r="A5291" i="13"/>
  <c r="F5290" i="13"/>
  <c r="A5290" i="13"/>
  <c r="F5289" i="13"/>
  <c r="A5289" i="13"/>
  <c r="J5288" i="13"/>
  <c r="F5288" i="13"/>
  <c r="A5288" i="13"/>
  <c r="J5287" i="13"/>
  <c r="F5287" i="13"/>
  <c r="A5287" i="13"/>
  <c r="J5286" i="13"/>
  <c r="F5286" i="13"/>
  <c r="A5286" i="13"/>
  <c r="J5285" i="13"/>
  <c r="F5285" i="13"/>
  <c r="A5285" i="13"/>
  <c r="F5284" i="13"/>
  <c r="A5284" i="13"/>
  <c r="F5283" i="13"/>
  <c r="A5283" i="13"/>
  <c r="F5282" i="13"/>
  <c r="A5282" i="13"/>
  <c r="J5281" i="13"/>
  <c r="F5281" i="13"/>
  <c r="A5281" i="13"/>
  <c r="F5280" i="13"/>
  <c r="A5280" i="13"/>
  <c r="F5279" i="13"/>
  <c r="A5279" i="13"/>
  <c r="F5278" i="13"/>
  <c r="A5278" i="13"/>
  <c r="F5277" i="13"/>
  <c r="A5277" i="13"/>
  <c r="F5276" i="13"/>
  <c r="A5276" i="13"/>
  <c r="F5275" i="13"/>
  <c r="A5275" i="13"/>
  <c r="F5274" i="13"/>
  <c r="A5274" i="13"/>
  <c r="F5273" i="13"/>
  <c r="A5273" i="13"/>
  <c r="F5272" i="13"/>
  <c r="A5272" i="13"/>
  <c r="F5271" i="13"/>
  <c r="A5271" i="13"/>
  <c r="F5270" i="13"/>
  <c r="A5270" i="13"/>
  <c r="F5269" i="13"/>
  <c r="A5269" i="13"/>
  <c r="F5268" i="13"/>
  <c r="A5268" i="13"/>
  <c r="F5267" i="13"/>
  <c r="A5267" i="13"/>
  <c r="F5266" i="13"/>
  <c r="A5266" i="13"/>
  <c r="F5265" i="13"/>
  <c r="A5265" i="13"/>
  <c r="F5264" i="13"/>
  <c r="A5264" i="13"/>
  <c r="F5263" i="13"/>
  <c r="A5263" i="13"/>
  <c r="F5262" i="13"/>
  <c r="A5262" i="13"/>
  <c r="F5261" i="13"/>
  <c r="A5261" i="13"/>
  <c r="F5260" i="13"/>
  <c r="A5260" i="13"/>
  <c r="F5259" i="13"/>
  <c r="A5259" i="13"/>
  <c r="F5258" i="13"/>
  <c r="A5258" i="13"/>
  <c r="F5257" i="13"/>
  <c r="A5257" i="13"/>
  <c r="F5256" i="13"/>
  <c r="A5256" i="13"/>
  <c r="F5255" i="13"/>
  <c r="A5255" i="13"/>
  <c r="F5254" i="13"/>
  <c r="A5254" i="13"/>
  <c r="F5253" i="13"/>
  <c r="A5253" i="13"/>
  <c r="F5252" i="13"/>
  <c r="A5252" i="13"/>
  <c r="F5251" i="13"/>
  <c r="A5251" i="13"/>
  <c r="F5250" i="13"/>
  <c r="A5250" i="13"/>
  <c r="F5249" i="13"/>
  <c r="A5249" i="13"/>
  <c r="F5248" i="13"/>
  <c r="A5248" i="13"/>
  <c r="F5247" i="13"/>
  <c r="A5247" i="13"/>
  <c r="F5246" i="13"/>
  <c r="A5246" i="13"/>
  <c r="F5245" i="13"/>
  <c r="A5245" i="13"/>
  <c r="F5244" i="13"/>
  <c r="A5244" i="13"/>
  <c r="F5243" i="13"/>
  <c r="A5243" i="13"/>
  <c r="J5242" i="13"/>
  <c r="F5242" i="13"/>
  <c r="A5242" i="13"/>
  <c r="J5241" i="13"/>
  <c r="F5241" i="13"/>
  <c r="A5241" i="13"/>
  <c r="J5240" i="13"/>
  <c r="F5240" i="13"/>
  <c r="A5240" i="13"/>
  <c r="J5239" i="13"/>
  <c r="F5239" i="13"/>
  <c r="A5239" i="13"/>
  <c r="J5238" i="13"/>
  <c r="F5238" i="13"/>
  <c r="A5238" i="13"/>
  <c r="J5237" i="13"/>
  <c r="F5237" i="13"/>
  <c r="A5237" i="13"/>
  <c r="J5236" i="13"/>
  <c r="F5236" i="13"/>
  <c r="A5236" i="13"/>
  <c r="J5235" i="13"/>
  <c r="F5235" i="13"/>
  <c r="A5235" i="13"/>
  <c r="J5234" i="13"/>
  <c r="F5234" i="13"/>
  <c r="A5234" i="13"/>
  <c r="J5233" i="13"/>
  <c r="F5233" i="13"/>
  <c r="A5233" i="13"/>
  <c r="J5232" i="13"/>
  <c r="F5232" i="13"/>
  <c r="A5232" i="13"/>
  <c r="J5231" i="13"/>
  <c r="F5231" i="13"/>
  <c r="A5231" i="13"/>
  <c r="J5230" i="13"/>
  <c r="F5230" i="13"/>
  <c r="A5230" i="13"/>
  <c r="J5229" i="13"/>
  <c r="F5229" i="13"/>
  <c r="A5229" i="13"/>
  <c r="J5228" i="13"/>
  <c r="F5228" i="13"/>
  <c r="A5228" i="13"/>
  <c r="J5227" i="13"/>
  <c r="F5227" i="13"/>
  <c r="A5227" i="13"/>
  <c r="J5226" i="13"/>
  <c r="F5226" i="13"/>
  <c r="A5226" i="13"/>
  <c r="J5225" i="13"/>
  <c r="F5225" i="13"/>
  <c r="A5225" i="13"/>
  <c r="J5224" i="13"/>
  <c r="F5224" i="13"/>
  <c r="A5224" i="13"/>
  <c r="J5223" i="13"/>
  <c r="F5223" i="13"/>
  <c r="A5223" i="13"/>
  <c r="J5222" i="13"/>
  <c r="F5222" i="13"/>
  <c r="A5222" i="13"/>
  <c r="J5221" i="13"/>
  <c r="F5221" i="13"/>
  <c r="A5221" i="13"/>
  <c r="J5220" i="13"/>
  <c r="F5220" i="13"/>
  <c r="A5220" i="13"/>
  <c r="J5219" i="13"/>
  <c r="F5219" i="13"/>
  <c r="A5219" i="13"/>
  <c r="J5218" i="13"/>
  <c r="F5218" i="13"/>
  <c r="A5218" i="13"/>
  <c r="J5217" i="13"/>
  <c r="F5217" i="13"/>
  <c r="A5217" i="13"/>
  <c r="J5216" i="13"/>
  <c r="F5216" i="13"/>
  <c r="A5216" i="13"/>
  <c r="J5215" i="13"/>
  <c r="F5215" i="13"/>
  <c r="A5215" i="13"/>
  <c r="J5214" i="13"/>
  <c r="F5214" i="13"/>
  <c r="A5214" i="13"/>
  <c r="J5213" i="13"/>
  <c r="F5213" i="13"/>
  <c r="A5213" i="13"/>
  <c r="J5212" i="13"/>
  <c r="F5212" i="13"/>
  <c r="A5212" i="13"/>
  <c r="J5211" i="13"/>
  <c r="F5211" i="13"/>
  <c r="A5211" i="13"/>
  <c r="J5210" i="13"/>
  <c r="F5210" i="13"/>
  <c r="A5210" i="13"/>
  <c r="J5209" i="13"/>
  <c r="F5209" i="13"/>
  <c r="A5209" i="13"/>
  <c r="J5208" i="13"/>
  <c r="F5208" i="13"/>
  <c r="A5208" i="13"/>
  <c r="J5207" i="13"/>
  <c r="F5207" i="13"/>
  <c r="A5207" i="13"/>
  <c r="J5206" i="13"/>
  <c r="F5206" i="13"/>
  <c r="A5206" i="13"/>
  <c r="J5205" i="13"/>
  <c r="F5205" i="13"/>
  <c r="A5205" i="13"/>
  <c r="J5204" i="13"/>
  <c r="F5204" i="13"/>
  <c r="A5204" i="13"/>
  <c r="J5203" i="13"/>
  <c r="F5203" i="13"/>
  <c r="A5203" i="13"/>
  <c r="J5202" i="13"/>
  <c r="F5202" i="13"/>
  <c r="A5202" i="13"/>
  <c r="J5201" i="13"/>
  <c r="F5201" i="13"/>
  <c r="A5201" i="13"/>
  <c r="J5200" i="13"/>
  <c r="F5200" i="13"/>
  <c r="A5200" i="13"/>
  <c r="J5199" i="13"/>
  <c r="F5199" i="13"/>
  <c r="A5199" i="13"/>
  <c r="J5198" i="13"/>
  <c r="F5198" i="13"/>
  <c r="A5198" i="13"/>
  <c r="J5197" i="13"/>
  <c r="F5197" i="13"/>
  <c r="A5197" i="13"/>
  <c r="J5196" i="13"/>
  <c r="F5196" i="13"/>
  <c r="A5196" i="13"/>
  <c r="J5195" i="13"/>
  <c r="F5195" i="13"/>
  <c r="A5195" i="13"/>
  <c r="J5194" i="13"/>
  <c r="F5194" i="13"/>
  <c r="A5194" i="13"/>
  <c r="J5193" i="13"/>
  <c r="F5193" i="13"/>
  <c r="A5193" i="13"/>
  <c r="J5192" i="13"/>
  <c r="F5192" i="13"/>
  <c r="A5192" i="13"/>
  <c r="J5191" i="13"/>
  <c r="F5191" i="13"/>
  <c r="A5191" i="13"/>
  <c r="J5190" i="13"/>
  <c r="F5190" i="13"/>
  <c r="A5190" i="13"/>
  <c r="J5189" i="13"/>
  <c r="F5189" i="13"/>
  <c r="A5189" i="13"/>
  <c r="J5188" i="13"/>
  <c r="F5188" i="13"/>
  <c r="A5188" i="13"/>
  <c r="J5187" i="13"/>
  <c r="F5187" i="13"/>
  <c r="A5187" i="13"/>
  <c r="J5186" i="13"/>
  <c r="F5186" i="13"/>
  <c r="A5186" i="13"/>
  <c r="J5185" i="13"/>
  <c r="F5185" i="13"/>
  <c r="A5185" i="13"/>
  <c r="J5184" i="13"/>
  <c r="F5184" i="13"/>
  <c r="A5184" i="13"/>
  <c r="J5183" i="13"/>
  <c r="F5183" i="13"/>
  <c r="A5183" i="13"/>
  <c r="J5182" i="13"/>
  <c r="F5182" i="13"/>
  <c r="A5182" i="13"/>
  <c r="J5181" i="13"/>
  <c r="F5181" i="13"/>
  <c r="A5181" i="13"/>
  <c r="J5180" i="13"/>
  <c r="F5180" i="13"/>
  <c r="A5180" i="13"/>
  <c r="J5179" i="13"/>
  <c r="F5179" i="13"/>
  <c r="A5179" i="13"/>
  <c r="J5178" i="13"/>
  <c r="F5178" i="13"/>
  <c r="A5178" i="13"/>
  <c r="J5177" i="13"/>
  <c r="F5177" i="13"/>
  <c r="A5177" i="13"/>
  <c r="J5176" i="13"/>
  <c r="F5176" i="13"/>
  <c r="A5176" i="13"/>
  <c r="J5175" i="13"/>
  <c r="F5175" i="13"/>
  <c r="A5175" i="13"/>
  <c r="J5174" i="13"/>
  <c r="F5174" i="13"/>
  <c r="A5174" i="13"/>
  <c r="J5173" i="13"/>
  <c r="F5173" i="13"/>
  <c r="A5173" i="13"/>
  <c r="J5172" i="13"/>
  <c r="F5172" i="13"/>
  <c r="A5172" i="13"/>
  <c r="J5171" i="13"/>
  <c r="F5171" i="13"/>
  <c r="A5171" i="13"/>
  <c r="J5170" i="13"/>
  <c r="F5170" i="13"/>
  <c r="A5170" i="13"/>
  <c r="J5169" i="13"/>
  <c r="F5169" i="13"/>
  <c r="A5169" i="13"/>
  <c r="J5168" i="13"/>
  <c r="F5168" i="13"/>
  <c r="A5168" i="13"/>
  <c r="J5167" i="13"/>
  <c r="F5167" i="13"/>
  <c r="A5167" i="13"/>
  <c r="J5166" i="13"/>
  <c r="F5166" i="13"/>
  <c r="A5166" i="13"/>
  <c r="J5165" i="13"/>
  <c r="F5165" i="13"/>
  <c r="A5165" i="13"/>
  <c r="J5164" i="13"/>
  <c r="F5164" i="13"/>
  <c r="A5164" i="13"/>
  <c r="J5163" i="13"/>
  <c r="F5163" i="13"/>
  <c r="A5163" i="13"/>
  <c r="J5162" i="13"/>
  <c r="F5162" i="13"/>
  <c r="A5162" i="13"/>
  <c r="J5161" i="13"/>
  <c r="F5161" i="13"/>
  <c r="A5161" i="13"/>
  <c r="J5160" i="13"/>
  <c r="F5160" i="13"/>
  <c r="A5160" i="13"/>
  <c r="J5159" i="13"/>
  <c r="F5159" i="13"/>
  <c r="A5159" i="13"/>
  <c r="J5158" i="13"/>
  <c r="F5158" i="13"/>
  <c r="A5158" i="13"/>
  <c r="J5157" i="13"/>
  <c r="F5157" i="13"/>
  <c r="A5157" i="13"/>
  <c r="J5156" i="13"/>
  <c r="F5156" i="13"/>
  <c r="A5156" i="13"/>
  <c r="J5155" i="13"/>
  <c r="F5155" i="13"/>
  <c r="A5155" i="13"/>
  <c r="J5154" i="13"/>
  <c r="F5154" i="13"/>
  <c r="A5154" i="13"/>
  <c r="J5153" i="13"/>
  <c r="F5153" i="13"/>
  <c r="A5153" i="13"/>
  <c r="J5152" i="13"/>
  <c r="F5152" i="13"/>
  <c r="A5152" i="13"/>
  <c r="J5151" i="13"/>
  <c r="F5151" i="13"/>
  <c r="J5150" i="13"/>
  <c r="F5150" i="13"/>
  <c r="A5150" i="13"/>
  <c r="J5149" i="13"/>
  <c r="F5149" i="13"/>
  <c r="A5149" i="13"/>
  <c r="F5148" i="13"/>
  <c r="A5148" i="13"/>
  <c r="F5147" i="13"/>
  <c r="A5147" i="13"/>
  <c r="J5146" i="13"/>
  <c r="F5146" i="13"/>
  <c r="A5146" i="13"/>
  <c r="J5145" i="13"/>
  <c r="F5145" i="13"/>
  <c r="A5145" i="13"/>
  <c r="J5144" i="13"/>
  <c r="F5144" i="13"/>
  <c r="A5144" i="13"/>
  <c r="F5143" i="13"/>
  <c r="A5143" i="13"/>
  <c r="F5142" i="13"/>
  <c r="A5142" i="13"/>
  <c r="F5141" i="13"/>
  <c r="A5141" i="13"/>
  <c r="F5140" i="13"/>
  <c r="A5140" i="13"/>
  <c r="F5139" i="13"/>
  <c r="A5139" i="13"/>
  <c r="F5138" i="13"/>
  <c r="A5138" i="13"/>
  <c r="J5137" i="13"/>
  <c r="F5137" i="13"/>
  <c r="A5137" i="13"/>
  <c r="J5136" i="13"/>
  <c r="F5136" i="13"/>
  <c r="A5136" i="13"/>
  <c r="J5135" i="13"/>
  <c r="F5135" i="13"/>
  <c r="A5135" i="13"/>
  <c r="J5134" i="13"/>
  <c r="F5134" i="13"/>
  <c r="A5134" i="13"/>
  <c r="J5133" i="13"/>
  <c r="F5133" i="13"/>
  <c r="A5133" i="13"/>
  <c r="F5132" i="13"/>
  <c r="A5132" i="13"/>
  <c r="J5131" i="13"/>
  <c r="F5131" i="13"/>
  <c r="A5131" i="13"/>
  <c r="F5130" i="13"/>
  <c r="A5130" i="13"/>
  <c r="F5129" i="13"/>
  <c r="A5129" i="13"/>
  <c r="J5128" i="13"/>
  <c r="F5128" i="13"/>
  <c r="A5128" i="13"/>
  <c r="F5127" i="13"/>
  <c r="A5127" i="13"/>
  <c r="F5126" i="13"/>
  <c r="A5126" i="13"/>
  <c r="J5125" i="13"/>
  <c r="F5125" i="13"/>
  <c r="A5125" i="13"/>
  <c r="J5124" i="13"/>
  <c r="F5124" i="13"/>
  <c r="A5124" i="13"/>
  <c r="J5123" i="13"/>
  <c r="F5123" i="13"/>
  <c r="A5123" i="13"/>
  <c r="F5122" i="13"/>
  <c r="A5122" i="13"/>
  <c r="J5121" i="13"/>
  <c r="F5121" i="13"/>
  <c r="A5121" i="13"/>
  <c r="J5120" i="13"/>
  <c r="F5120" i="13"/>
  <c r="A5120" i="13"/>
  <c r="F5119" i="13"/>
  <c r="A5119" i="13"/>
  <c r="F5118" i="13"/>
  <c r="A5118" i="13"/>
  <c r="F5117" i="13"/>
  <c r="A5117" i="13"/>
  <c r="F5116" i="13"/>
  <c r="A5116" i="13"/>
  <c r="J5115" i="13"/>
  <c r="F5115" i="13"/>
  <c r="A5115" i="13"/>
  <c r="J5114" i="13"/>
  <c r="F5114" i="13"/>
  <c r="A5114" i="13"/>
  <c r="J5113" i="13"/>
  <c r="F5113" i="13"/>
  <c r="A5113" i="13"/>
  <c r="J5112" i="13"/>
  <c r="F5112" i="13"/>
  <c r="A5112" i="13"/>
  <c r="F5111" i="13"/>
  <c r="A5111" i="13"/>
  <c r="F5110" i="13"/>
  <c r="A5110" i="13"/>
  <c r="F5109" i="13"/>
  <c r="A5109" i="13"/>
  <c r="J5108" i="13"/>
  <c r="F5108" i="13"/>
  <c r="J5107" i="13"/>
  <c r="F5107" i="13"/>
  <c r="J5106" i="13"/>
  <c r="F5106" i="13"/>
  <c r="F5105" i="13"/>
  <c r="A5105" i="13"/>
  <c r="F5104" i="13"/>
  <c r="A5104" i="13"/>
  <c r="F5103" i="13"/>
  <c r="J5102" i="13"/>
  <c r="F5102" i="13"/>
  <c r="A5102" i="13"/>
  <c r="F5101" i="13"/>
  <c r="A5101" i="13"/>
  <c r="J5100" i="13"/>
  <c r="F5100" i="13"/>
  <c r="A5100" i="13"/>
  <c r="J5099" i="13"/>
  <c r="F5099" i="13"/>
  <c r="J5098" i="13"/>
  <c r="F5098" i="13"/>
  <c r="J5097" i="13"/>
  <c r="F5097" i="13"/>
  <c r="F5096" i="13"/>
  <c r="A5096" i="13"/>
  <c r="F5095" i="13"/>
  <c r="A5095" i="13"/>
  <c r="F5094" i="13"/>
  <c r="J5093" i="13"/>
  <c r="F5093" i="13"/>
  <c r="J5092" i="13"/>
  <c r="F5092" i="13"/>
  <c r="J5091" i="13"/>
  <c r="F5091" i="13"/>
  <c r="F5090" i="13"/>
  <c r="A5090" i="13"/>
  <c r="F5089" i="13"/>
  <c r="A5089" i="13"/>
  <c r="F5088" i="13"/>
  <c r="A5088" i="13"/>
  <c r="F5087" i="13"/>
  <c r="F5086" i="13"/>
  <c r="A5086" i="13"/>
  <c r="J5085" i="13"/>
  <c r="F5085" i="13"/>
  <c r="A5085" i="13"/>
  <c r="J5084" i="13"/>
  <c r="F5084" i="13"/>
  <c r="J5083" i="13"/>
  <c r="F5083" i="13"/>
  <c r="J5082" i="13"/>
  <c r="F5082" i="13"/>
  <c r="F5081" i="13"/>
  <c r="A5081" i="13"/>
  <c r="F5080" i="13"/>
  <c r="A5080" i="13"/>
  <c r="F5079" i="13"/>
  <c r="A5079" i="13"/>
  <c r="F5078" i="13"/>
  <c r="J5077" i="13"/>
  <c r="F5077" i="13"/>
  <c r="J5076" i="13"/>
  <c r="F5076" i="13"/>
  <c r="J5075" i="13"/>
  <c r="F5075" i="13"/>
  <c r="F5074" i="13"/>
  <c r="A5074" i="13"/>
  <c r="F5073" i="13"/>
  <c r="A5073" i="13"/>
  <c r="F5072" i="13"/>
  <c r="A5072" i="13"/>
  <c r="F5071" i="13"/>
  <c r="A5071" i="13"/>
  <c r="F5070" i="13"/>
  <c r="A5070" i="13"/>
  <c r="F5069" i="13"/>
  <c r="F5068" i="13"/>
  <c r="A5068" i="13"/>
  <c r="J5067" i="13"/>
  <c r="F5067" i="13"/>
  <c r="A5067" i="13"/>
  <c r="J5066" i="13"/>
  <c r="F5066" i="13"/>
  <c r="A5066" i="13"/>
  <c r="F5065" i="13"/>
  <c r="A5065" i="13"/>
  <c r="J5064" i="13"/>
  <c r="F5064" i="13"/>
  <c r="A5064" i="13"/>
  <c r="J5063" i="13"/>
  <c r="F5063" i="13"/>
  <c r="J5062" i="13"/>
  <c r="F5062" i="13"/>
  <c r="J5061" i="13"/>
  <c r="F5061" i="13"/>
  <c r="F5060" i="13"/>
  <c r="A5060" i="13"/>
  <c r="F5059" i="13"/>
  <c r="A5059" i="13"/>
  <c r="F5058" i="13"/>
  <c r="A5058" i="13"/>
  <c r="F5057" i="13"/>
  <c r="F5056" i="13"/>
  <c r="A5056" i="13"/>
  <c r="J5055" i="13"/>
  <c r="F5055" i="13"/>
  <c r="A5055" i="13"/>
  <c r="J5054" i="13"/>
  <c r="F5054" i="13"/>
  <c r="A5054" i="13"/>
  <c r="J5053" i="13"/>
  <c r="F5053" i="13"/>
  <c r="A5053" i="13"/>
  <c r="J5052" i="13"/>
  <c r="F5052" i="13"/>
  <c r="J5051" i="13"/>
  <c r="F5051" i="13"/>
  <c r="J5050" i="13"/>
  <c r="F5050" i="13"/>
  <c r="A5050" i="13"/>
  <c r="J5049" i="13"/>
  <c r="F5049" i="13"/>
  <c r="A5049" i="13"/>
  <c r="J5048" i="13"/>
  <c r="F5048" i="13"/>
  <c r="A5048" i="13"/>
  <c r="J5047" i="13"/>
  <c r="F5047" i="13"/>
  <c r="A5047" i="13"/>
  <c r="J5046" i="13"/>
  <c r="F5046" i="13"/>
  <c r="A5046" i="13"/>
  <c r="F5045" i="13"/>
  <c r="A5045" i="13"/>
  <c r="F5044" i="13"/>
  <c r="A5044" i="13"/>
  <c r="F5043" i="13"/>
  <c r="A5043" i="13"/>
  <c r="F5042" i="13"/>
  <c r="A5042" i="13"/>
  <c r="F5041" i="13"/>
  <c r="F5040" i="13"/>
  <c r="A5040" i="13"/>
  <c r="F5039" i="13"/>
  <c r="A5039" i="13"/>
  <c r="J5038" i="13"/>
  <c r="F5038" i="13"/>
  <c r="A5038" i="13"/>
  <c r="J5037" i="13"/>
  <c r="F5037" i="13"/>
  <c r="A5037" i="13"/>
  <c r="F5036" i="13"/>
  <c r="A5036" i="13"/>
  <c r="J5035" i="13"/>
  <c r="F5035" i="13"/>
  <c r="A5035" i="13"/>
  <c r="F5034" i="13"/>
  <c r="A5034" i="13"/>
  <c r="F5033" i="13"/>
  <c r="A5033" i="13"/>
  <c r="J5032" i="13"/>
  <c r="F5032" i="13"/>
  <c r="A5032" i="13"/>
  <c r="J5031" i="13"/>
  <c r="F5031" i="13"/>
  <c r="A5031" i="13"/>
  <c r="F5030" i="13"/>
  <c r="A5030" i="13"/>
  <c r="J5029" i="13"/>
  <c r="F5029" i="13"/>
  <c r="A5029" i="13"/>
  <c r="J5028" i="13"/>
  <c r="F5028" i="13"/>
  <c r="A5028" i="13"/>
  <c r="J5027" i="13"/>
  <c r="F5027" i="13"/>
  <c r="A5027" i="13"/>
  <c r="J5026" i="13"/>
  <c r="F5026" i="13"/>
  <c r="A5026" i="13"/>
  <c r="F5025" i="13"/>
  <c r="A5025" i="13"/>
  <c r="J5024" i="13"/>
  <c r="F5024" i="13"/>
  <c r="J5023" i="13"/>
  <c r="F5023" i="13"/>
  <c r="J5022" i="13"/>
  <c r="F5022" i="13"/>
  <c r="J5021" i="13"/>
  <c r="F5021" i="13"/>
  <c r="F5020" i="13"/>
  <c r="A5020" i="13"/>
  <c r="F5019" i="13"/>
  <c r="A5019" i="13"/>
  <c r="F5018" i="13"/>
  <c r="A5018" i="13"/>
  <c r="F5017" i="13"/>
  <c r="A5017" i="13"/>
  <c r="F5016" i="13"/>
  <c r="A5016" i="13"/>
  <c r="F5015" i="13"/>
  <c r="A5015" i="13"/>
  <c r="F5014" i="13"/>
  <c r="A5014" i="13"/>
  <c r="F5013" i="13"/>
  <c r="A5013" i="13"/>
  <c r="F5012" i="13"/>
  <c r="J5011" i="13"/>
  <c r="F5011" i="13"/>
  <c r="A5011" i="13"/>
  <c r="J5010" i="13"/>
  <c r="F5010" i="13"/>
  <c r="A5010" i="13"/>
  <c r="F5009" i="13"/>
  <c r="A5009" i="13"/>
  <c r="J5008" i="13"/>
  <c r="F5008" i="13"/>
  <c r="A5008" i="13"/>
  <c r="J5007" i="13"/>
  <c r="F5007" i="13"/>
  <c r="A5007" i="13"/>
  <c r="J5006" i="13"/>
  <c r="F5006" i="13"/>
  <c r="A5006" i="13"/>
  <c r="J5005" i="13"/>
  <c r="F5005" i="13"/>
  <c r="A5005" i="13"/>
  <c r="F5004" i="13"/>
  <c r="A5004" i="13"/>
  <c r="J5003" i="13"/>
  <c r="F5003" i="13"/>
  <c r="A5003" i="13"/>
  <c r="J5002" i="13"/>
  <c r="F5002" i="13"/>
  <c r="A5002" i="13"/>
  <c r="F5001" i="13"/>
  <c r="A5001" i="13"/>
  <c r="J5000" i="13"/>
  <c r="F5000" i="13"/>
  <c r="A5000" i="13"/>
  <c r="J4999" i="13"/>
  <c r="F4999" i="13"/>
  <c r="A4999" i="13"/>
  <c r="F4998" i="13"/>
  <c r="A4998" i="13"/>
  <c r="F4997" i="13"/>
  <c r="A4997" i="13"/>
  <c r="J4996" i="13"/>
  <c r="F4996" i="13"/>
  <c r="A4996" i="13"/>
  <c r="J4995" i="13"/>
  <c r="F4995" i="13"/>
  <c r="J4994" i="13"/>
  <c r="F4994" i="13"/>
  <c r="J4993" i="13"/>
  <c r="F4993" i="13"/>
  <c r="F4992" i="13"/>
  <c r="A4992" i="13"/>
  <c r="F4991" i="13"/>
  <c r="A4991" i="13"/>
  <c r="F4990" i="13"/>
  <c r="A4990" i="13"/>
  <c r="F4989" i="13"/>
  <c r="A4989" i="13"/>
  <c r="F4988" i="13"/>
  <c r="A4988" i="13"/>
  <c r="F4987" i="13"/>
  <c r="J4986" i="13"/>
  <c r="F4986" i="13"/>
  <c r="A4986" i="13"/>
  <c r="J4985" i="13"/>
  <c r="F4985" i="13"/>
  <c r="A4985" i="13"/>
  <c r="F4984" i="13"/>
  <c r="A4984" i="13"/>
  <c r="J4983" i="13"/>
  <c r="F4983" i="13"/>
  <c r="A4983" i="13"/>
  <c r="J4982" i="13"/>
  <c r="F4982" i="13"/>
  <c r="A4982" i="13"/>
  <c r="J4981" i="13"/>
  <c r="F4981" i="13"/>
  <c r="A4981" i="13"/>
  <c r="J4980" i="13"/>
  <c r="F4980" i="13"/>
  <c r="A4980" i="13"/>
  <c r="J4979" i="13"/>
  <c r="F4979" i="13"/>
  <c r="A4979" i="13"/>
  <c r="J4978" i="13"/>
  <c r="F4978" i="13"/>
  <c r="A4978" i="13"/>
  <c r="F4977" i="13"/>
  <c r="A4977" i="13"/>
  <c r="J4976" i="13"/>
  <c r="F4976" i="13"/>
  <c r="A4976" i="13"/>
  <c r="J4975" i="13"/>
  <c r="F4975" i="13"/>
  <c r="A4975" i="13"/>
  <c r="J4974" i="13"/>
  <c r="F4974" i="13"/>
  <c r="A4974" i="13"/>
  <c r="F4973" i="13"/>
  <c r="A4973" i="13"/>
  <c r="J4972" i="13"/>
  <c r="F4972" i="13"/>
  <c r="A4972" i="13"/>
  <c r="J4971" i="13"/>
  <c r="F4971" i="13"/>
  <c r="A4971" i="13"/>
  <c r="F4970" i="13"/>
  <c r="A4970" i="13"/>
  <c r="F4969" i="13"/>
  <c r="A4969" i="13"/>
  <c r="J4968" i="13"/>
  <c r="F4968" i="13"/>
  <c r="A4968" i="13"/>
  <c r="J4967" i="13"/>
  <c r="F4967" i="13"/>
  <c r="A4967" i="13"/>
  <c r="F4966" i="13"/>
  <c r="A4966" i="13"/>
  <c r="J4965" i="13"/>
  <c r="F4965" i="13"/>
  <c r="A4965" i="13"/>
  <c r="J4964" i="13"/>
  <c r="F4964" i="13"/>
  <c r="A4964" i="13"/>
  <c r="F4963" i="13"/>
  <c r="A4963" i="13"/>
  <c r="J4962" i="13"/>
  <c r="F4962" i="13"/>
  <c r="A4962" i="13"/>
  <c r="J4961" i="13"/>
  <c r="F4961" i="13"/>
  <c r="A4961" i="13"/>
  <c r="F4960" i="13"/>
  <c r="A4960" i="13"/>
  <c r="F4959" i="13"/>
  <c r="A4959" i="13"/>
  <c r="F4958" i="13"/>
  <c r="A4958" i="13"/>
  <c r="F4957" i="13"/>
  <c r="A4957" i="13"/>
  <c r="J4956" i="13"/>
  <c r="F4956" i="13"/>
  <c r="J4955" i="13"/>
  <c r="F4955" i="13"/>
  <c r="J4954" i="13"/>
  <c r="F4954" i="13"/>
  <c r="J4953" i="13"/>
  <c r="F4953" i="13"/>
  <c r="F4952" i="13"/>
  <c r="A4952" i="13"/>
  <c r="F4951" i="13"/>
  <c r="A4951" i="13"/>
  <c r="F4950" i="13"/>
  <c r="A4950" i="13"/>
  <c r="F4949" i="13"/>
  <c r="A4949" i="13"/>
  <c r="F4948" i="13"/>
  <c r="A4948" i="13"/>
  <c r="F4947" i="13"/>
  <c r="A4947" i="13"/>
  <c r="F4946" i="13"/>
  <c r="J4945" i="13"/>
  <c r="F4945" i="13"/>
  <c r="A4945" i="13"/>
  <c r="J4944" i="13"/>
  <c r="F4944" i="13"/>
  <c r="A4944" i="13"/>
  <c r="J4943" i="13"/>
  <c r="F4943" i="13"/>
  <c r="A4943" i="13"/>
  <c r="J4942" i="13"/>
  <c r="F4942" i="13"/>
  <c r="A4942" i="13"/>
  <c r="J4941" i="13"/>
  <c r="F4941" i="13"/>
  <c r="A4941" i="13"/>
  <c r="J4940" i="13"/>
  <c r="F4940" i="13"/>
  <c r="A4940" i="13"/>
  <c r="F4939" i="13"/>
  <c r="A4939" i="13"/>
  <c r="F4938" i="13"/>
  <c r="A4938" i="13"/>
  <c r="J4937" i="13"/>
  <c r="F4937" i="13"/>
  <c r="A4937" i="13"/>
  <c r="J4936" i="13"/>
  <c r="F4936" i="13"/>
  <c r="A4936" i="13"/>
  <c r="J4935" i="13"/>
  <c r="F4935" i="13"/>
  <c r="A4935" i="13"/>
  <c r="J4934" i="13"/>
  <c r="F4934" i="13"/>
  <c r="A4934" i="13"/>
  <c r="J4933" i="13"/>
  <c r="F4933" i="13"/>
  <c r="A4933" i="13"/>
  <c r="F4932" i="13"/>
  <c r="A4932" i="13"/>
  <c r="J4931" i="13"/>
  <c r="F4931" i="13"/>
  <c r="A4931" i="13"/>
  <c r="J4930" i="13"/>
  <c r="F4930" i="13"/>
  <c r="A4930" i="13"/>
  <c r="J4929" i="13"/>
  <c r="F4929" i="13"/>
  <c r="A4929" i="13"/>
  <c r="F4928" i="13"/>
  <c r="A4928" i="13"/>
  <c r="J4927" i="13"/>
  <c r="F4927" i="13"/>
  <c r="J4926" i="13"/>
  <c r="F4926" i="13"/>
  <c r="J4925" i="13"/>
  <c r="F4925" i="13"/>
  <c r="F4924" i="13"/>
  <c r="A4924" i="13"/>
  <c r="F4923" i="13"/>
  <c r="A4923" i="13"/>
  <c r="F4922" i="13"/>
  <c r="A4922" i="13"/>
  <c r="F4921" i="13"/>
  <c r="A4921" i="13"/>
  <c r="F4920" i="13"/>
  <c r="A4920" i="13"/>
  <c r="F4919" i="13"/>
  <c r="A4919" i="13"/>
  <c r="F4918" i="13"/>
  <c r="A4918" i="13"/>
  <c r="F4917" i="13"/>
  <c r="A4917" i="13"/>
  <c r="F4916" i="13"/>
  <c r="A4916" i="13"/>
  <c r="F4915" i="13"/>
  <c r="J4914" i="13"/>
  <c r="F4914" i="13"/>
  <c r="A4914" i="13"/>
  <c r="J4913" i="13"/>
  <c r="F4913" i="13"/>
  <c r="A4913" i="13"/>
  <c r="J4912" i="13"/>
  <c r="F4912" i="13"/>
  <c r="A4912" i="13"/>
  <c r="J4911" i="13"/>
  <c r="F4911" i="13"/>
  <c r="A4911" i="13"/>
  <c r="J4910" i="13"/>
  <c r="F4910" i="13"/>
  <c r="A4910" i="13"/>
  <c r="F4909" i="13"/>
  <c r="A4909" i="13"/>
  <c r="J4908" i="13"/>
  <c r="F4908" i="13"/>
  <c r="A4908" i="13"/>
  <c r="J4907" i="13"/>
  <c r="F4907" i="13"/>
  <c r="A4907" i="13"/>
  <c r="F4906" i="13"/>
  <c r="A4906" i="13"/>
  <c r="J4905" i="13"/>
  <c r="F4905" i="13"/>
  <c r="A4905" i="13"/>
  <c r="J4904" i="13"/>
  <c r="F4904" i="13"/>
  <c r="A4904" i="13"/>
  <c r="F4903" i="13"/>
  <c r="A4903" i="13"/>
  <c r="F4902" i="13"/>
  <c r="A4902" i="13"/>
  <c r="F4901" i="13"/>
  <c r="A4901" i="13"/>
  <c r="F4900" i="13"/>
  <c r="A4900" i="13"/>
  <c r="J4899" i="13"/>
  <c r="F4899" i="13"/>
  <c r="A4899" i="13"/>
  <c r="J4898" i="13"/>
  <c r="F4898" i="13"/>
  <c r="J4897" i="13"/>
  <c r="F4897" i="13"/>
  <c r="J4896" i="13"/>
  <c r="F4896" i="13"/>
  <c r="F4895" i="13"/>
  <c r="A4895" i="13"/>
  <c r="F4894" i="13"/>
  <c r="A4894" i="13"/>
  <c r="F4893" i="13"/>
  <c r="A4893" i="13"/>
  <c r="F4892" i="13"/>
  <c r="A4892" i="13"/>
  <c r="F4891" i="13"/>
  <c r="A4891" i="13"/>
  <c r="F4890" i="13"/>
  <c r="A4890" i="13"/>
  <c r="F4889" i="13"/>
  <c r="A4889" i="13"/>
  <c r="F4888" i="13"/>
  <c r="A4888" i="13"/>
  <c r="F4887" i="13"/>
  <c r="A4887" i="13"/>
  <c r="F4886" i="13"/>
  <c r="J4885" i="13"/>
  <c r="F4885" i="13"/>
  <c r="A4885" i="13"/>
  <c r="J4884" i="13"/>
  <c r="F4884" i="13"/>
  <c r="A4884" i="13"/>
  <c r="F4883" i="13"/>
  <c r="A4883" i="13"/>
  <c r="J4882" i="13"/>
  <c r="F4882" i="13"/>
  <c r="A4882" i="13"/>
  <c r="F4881" i="13"/>
  <c r="A4881" i="13"/>
  <c r="F4880" i="13"/>
  <c r="A4880" i="13"/>
  <c r="F4879" i="13"/>
  <c r="A4879" i="13"/>
  <c r="J4878" i="13"/>
  <c r="F4878" i="13"/>
  <c r="A4878" i="13"/>
  <c r="F4877" i="13"/>
  <c r="A4877" i="13"/>
  <c r="F4876" i="13"/>
  <c r="A4876" i="13"/>
  <c r="F4875" i="13"/>
  <c r="A4875" i="13"/>
  <c r="F4874" i="13"/>
  <c r="A4874" i="13"/>
  <c r="F4873" i="13"/>
  <c r="A4873" i="13"/>
  <c r="F4872" i="13"/>
  <c r="A4872" i="13"/>
  <c r="F4871" i="13"/>
  <c r="A4871" i="13"/>
  <c r="F4870" i="13"/>
  <c r="A4870" i="13"/>
  <c r="F4869" i="13"/>
  <c r="A4869" i="13"/>
  <c r="F4868" i="13"/>
  <c r="A4868" i="13"/>
  <c r="F4867" i="13"/>
  <c r="A4867" i="13"/>
  <c r="F4866" i="13"/>
  <c r="A4866" i="13"/>
  <c r="F4865" i="13"/>
  <c r="A4865" i="13"/>
  <c r="F4864" i="13"/>
  <c r="A4864" i="13"/>
  <c r="F4863" i="13"/>
  <c r="A4863" i="13"/>
  <c r="F4862" i="13"/>
  <c r="A4862" i="13"/>
  <c r="F4861" i="13"/>
  <c r="A4861" i="13"/>
  <c r="F4860" i="13"/>
  <c r="A4860" i="13"/>
  <c r="F4859" i="13"/>
  <c r="A4859" i="13"/>
  <c r="F4858" i="13"/>
  <c r="A4858" i="13"/>
  <c r="F4857" i="13"/>
  <c r="A4857" i="13"/>
  <c r="F4856" i="13"/>
  <c r="A4856" i="13"/>
  <c r="F4855" i="13"/>
  <c r="A4855" i="13"/>
  <c r="F4854" i="13"/>
  <c r="A4854" i="13"/>
  <c r="F4853" i="13"/>
  <c r="A4853" i="13"/>
  <c r="F4852" i="13"/>
  <c r="A4852" i="13"/>
  <c r="F4851" i="13"/>
  <c r="A4851" i="13"/>
  <c r="F4850" i="13"/>
  <c r="A4850" i="13"/>
  <c r="F4849" i="13"/>
  <c r="A4849" i="13"/>
  <c r="F4848" i="13"/>
  <c r="A4848" i="13"/>
  <c r="F4847" i="13"/>
  <c r="A4847" i="13"/>
  <c r="F4846" i="13"/>
  <c r="A4846" i="13"/>
  <c r="F4845" i="13"/>
  <c r="A4845" i="13"/>
  <c r="F4844" i="13"/>
  <c r="A4844" i="13"/>
  <c r="F4843" i="13"/>
  <c r="A4843" i="13"/>
  <c r="F4842" i="13"/>
  <c r="A4842" i="13"/>
  <c r="F4841" i="13"/>
  <c r="A4841" i="13"/>
  <c r="F4840" i="13"/>
  <c r="A4840" i="13"/>
  <c r="F4839" i="13"/>
  <c r="A4839" i="13"/>
  <c r="F4838" i="13"/>
  <c r="A4838" i="13"/>
  <c r="F4837" i="13"/>
  <c r="A4837" i="13"/>
  <c r="F4836" i="13"/>
  <c r="A4836" i="13"/>
  <c r="F4835" i="13"/>
  <c r="A4835" i="13"/>
  <c r="F4834" i="13"/>
  <c r="A4834" i="13"/>
  <c r="F4833" i="13"/>
  <c r="A4833" i="13"/>
  <c r="F4832" i="13"/>
  <c r="A4832" i="13"/>
  <c r="F4831" i="13"/>
  <c r="A4831" i="13"/>
  <c r="F4830" i="13"/>
  <c r="A4830" i="13"/>
  <c r="F4829" i="13"/>
  <c r="A4829" i="13"/>
  <c r="F4828" i="13"/>
  <c r="A4828" i="13"/>
  <c r="F4827" i="13"/>
  <c r="A4827" i="13"/>
  <c r="F4826" i="13"/>
  <c r="A4826" i="13"/>
  <c r="F4825" i="13"/>
  <c r="A4825" i="13"/>
  <c r="F4824" i="13"/>
  <c r="A4824" i="13"/>
  <c r="F4823" i="13"/>
  <c r="A4823" i="13"/>
  <c r="F4822" i="13"/>
  <c r="A4822" i="13"/>
  <c r="F4821" i="13"/>
  <c r="A4821" i="13"/>
  <c r="F4820" i="13"/>
  <c r="A4820" i="13"/>
  <c r="F4819" i="13"/>
  <c r="A4819" i="13"/>
  <c r="F4818" i="13"/>
  <c r="A4818" i="13"/>
  <c r="F4817" i="13"/>
  <c r="A4817" i="13"/>
  <c r="F4816" i="13"/>
  <c r="A4816" i="13"/>
  <c r="J4815" i="13"/>
  <c r="F4815" i="13"/>
  <c r="A4815" i="13"/>
  <c r="J4814" i="13"/>
  <c r="F4814" i="13"/>
  <c r="A4814" i="13"/>
  <c r="J4813" i="13"/>
  <c r="F4813" i="13"/>
  <c r="A4813" i="13"/>
  <c r="J4812" i="13"/>
  <c r="F4812" i="13"/>
  <c r="A4812" i="13"/>
  <c r="F4811" i="13"/>
  <c r="A4811" i="13"/>
  <c r="J4810" i="13"/>
  <c r="F4810" i="13"/>
  <c r="A4810" i="13"/>
  <c r="J4809" i="13"/>
  <c r="F4809" i="13"/>
  <c r="A4809" i="13"/>
  <c r="J4808" i="13"/>
  <c r="F4808" i="13"/>
  <c r="A4808" i="13"/>
  <c r="F4807" i="13"/>
  <c r="A4807" i="13"/>
  <c r="J4806" i="13"/>
  <c r="F4806" i="13"/>
  <c r="A4806" i="13"/>
  <c r="J4805" i="13"/>
  <c r="F4805" i="13"/>
  <c r="A4805" i="13"/>
  <c r="J4804" i="13"/>
  <c r="F4804" i="13"/>
  <c r="A4804" i="13"/>
  <c r="F4803" i="13"/>
  <c r="A4803" i="13"/>
  <c r="J4802" i="13"/>
  <c r="F4802" i="13"/>
  <c r="A4802" i="13"/>
  <c r="J4801" i="13"/>
  <c r="F4801" i="13"/>
  <c r="A4801" i="13"/>
  <c r="J4800" i="13"/>
  <c r="F4800" i="13"/>
  <c r="A4800" i="13"/>
  <c r="F4799" i="13"/>
  <c r="A4799" i="13"/>
  <c r="J4798" i="13"/>
  <c r="F4798" i="13"/>
  <c r="A4798" i="13"/>
  <c r="J4797" i="13"/>
  <c r="F4797" i="13"/>
  <c r="A4797" i="13"/>
  <c r="J4796" i="13"/>
  <c r="F4796" i="13"/>
  <c r="A4796" i="13"/>
  <c r="F4795" i="13"/>
  <c r="A4795" i="13"/>
  <c r="J4794" i="13"/>
  <c r="F4794" i="13"/>
  <c r="A4794" i="13"/>
  <c r="J4793" i="13"/>
  <c r="F4793" i="13"/>
  <c r="A4793" i="13"/>
  <c r="J4792" i="13"/>
  <c r="F4792" i="13"/>
  <c r="A4792" i="13"/>
  <c r="F4791" i="13"/>
  <c r="A4791" i="13"/>
  <c r="J4790" i="13"/>
  <c r="F4790" i="13"/>
  <c r="A4790" i="13"/>
  <c r="J4789" i="13"/>
  <c r="F4789" i="13"/>
  <c r="A4789" i="13"/>
  <c r="J4788" i="13"/>
  <c r="F4788" i="13"/>
  <c r="A4788" i="13"/>
  <c r="F4787" i="13"/>
  <c r="A4787" i="13"/>
  <c r="J4786" i="13"/>
  <c r="F4786" i="13"/>
  <c r="A4786" i="13"/>
  <c r="J4785" i="13"/>
  <c r="F4785" i="13"/>
  <c r="A4785" i="13"/>
  <c r="J4784" i="13"/>
  <c r="F4784" i="13"/>
  <c r="A4784" i="13"/>
  <c r="F4783" i="13"/>
  <c r="A4783" i="13"/>
  <c r="J4782" i="13"/>
  <c r="F4782" i="13"/>
  <c r="A4782" i="13"/>
  <c r="J4781" i="13"/>
  <c r="F4781" i="13"/>
  <c r="A4781" i="13"/>
  <c r="J4780" i="13"/>
  <c r="F4780" i="13"/>
  <c r="A4780" i="13"/>
  <c r="F4779" i="13"/>
  <c r="A4779" i="13"/>
  <c r="F4778" i="13"/>
  <c r="A4778" i="13"/>
  <c r="J4777" i="13"/>
  <c r="F4777" i="13"/>
  <c r="A4777" i="13"/>
  <c r="J4776" i="13"/>
  <c r="F4776" i="13"/>
  <c r="A4776" i="13"/>
  <c r="J4775" i="13"/>
  <c r="F4775" i="13"/>
  <c r="A4775" i="13"/>
  <c r="J4774" i="13"/>
  <c r="F4774" i="13"/>
  <c r="A4774" i="13"/>
  <c r="F4773" i="13"/>
  <c r="A4773" i="13"/>
  <c r="J4772" i="13"/>
  <c r="F4772" i="13"/>
  <c r="A4772" i="13"/>
  <c r="J4771" i="13"/>
  <c r="F4771" i="13"/>
  <c r="A4771" i="13"/>
  <c r="J4770" i="13"/>
  <c r="F4770" i="13"/>
  <c r="A4770" i="13"/>
  <c r="F4769" i="13"/>
  <c r="A4769" i="13"/>
  <c r="J4768" i="13"/>
  <c r="F4768" i="13"/>
  <c r="A4768" i="13"/>
  <c r="J4767" i="13"/>
  <c r="F4767" i="13"/>
  <c r="A4767" i="13"/>
  <c r="J4766" i="13"/>
  <c r="F4766" i="13"/>
  <c r="A4766" i="13"/>
  <c r="F4765" i="13"/>
  <c r="A4765" i="13"/>
  <c r="J4764" i="13"/>
  <c r="F4764" i="13"/>
  <c r="A4764" i="13"/>
  <c r="J4763" i="13"/>
  <c r="F4763" i="13"/>
  <c r="A4763" i="13"/>
  <c r="J4762" i="13"/>
  <c r="F4762" i="13"/>
  <c r="A4762" i="13"/>
  <c r="F4761" i="13"/>
  <c r="A4761" i="13"/>
  <c r="J4760" i="13"/>
  <c r="F4760" i="13"/>
  <c r="A4760" i="13"/>
  <c r="J4759" i="13"/>
  <c r="F4759" i="13"/>
  <c r="A4759" i="13"/>
  <c r="J4758" i="13"/>
  <c r="F4758" i="13"/>
  <c r="A4758" i="13"/>
  <c r="F4757" i="13"/>
  <c r="A4757" i="13"/>
  <c r="F4756" i="13"/>
  <c r="A4756" i="13"/>
  <c r="J4755" i="13"/>
  <c r="F4755" i="13"/>
  <c r="A4755" i="13"/>
  <c r="J4754" i="13"/>
  <c r="F4754" i="13"/>
  <c r="A4754" i="13"/>
  <c r="J4753" i="13"/>
  <c r="F4753" i="13"/>
  <c r="A4753" i="13"/>
  <c r="J4752" i="13"/>
  <c r="F4752" i="13"/>
  <c r="A4752" i="13"/>
  <c r="F4751" i="13"/>
  <c r="A4751" i="13"/>
  <c r="J4750" i="13"/>
  <c r="F4750" i="13"/>
  <c r="A4750" i="13"/>
  <c r="J4749" i="13"/>
  <c r="F4749" i="13"/>
  <c r="A4749" i="13"/>
  <c r="J4748" i="13"/>
  <c r="F4748" i="13"/>
  <c r="A4748" i="13"/>
  <c r="F4747" i="13"/>
  <c r="A4747" i="13"/>
  <c r="J4746" i="13"/>
  <c r="F4746" i="13"/>
  <c r="A4746" i="13"/>
  <c r="J4745" i="13"/>
  <c r="F4745" i="13"/>
  <c r="A4745" i="13"/>
  <c r="J4744" i="13"/>
  <c r="F4744" i="13"/>
  <c r="A4744" i="13"/>
  <c r="F4743" i="13"/>
  <c r="A4743" i="13"/>
  <c r="J4742" i="13"/>
  <c r="F4742" i="13"/>
  <c r="A4742" i="13"/>
  <c r="J4741" i="13"/>
  <c r="F4741" i="13"/>
  <c r="A4741" i="13"/>
  <c r="F4740" i="13"/>
  <c r="A4740" i="13"/>
  <c r="F4739" i="13"/>
  <c r="A4739" i="13"/>
  <c r="J4738" i="13"/>
  <c r="F4738" i="13"/>
  <c r="A4738" i="13"/>
  <c r="J4737" i="13"/>
  <c r="F4737" i="13"/>
  <c r="A4737" i="13"/>
  <c r="J4736" i="13"/>
  <c r="F4736" i="13"/>
  <c r="A4736" i="13"/>
  <c r="F4735" i="13"/>
  <c r="A4735" i="13"/>
  <c r="J4734" i="13"/>
  <c r="F4734" i="13"/>
  <c r="A4734" i="13"/>
  <c r="J4733" i="13"/>
  <c r="F4733" i="13"/>
  <c r="A4733" i="13"/>
  <c r="J4732" i="13"/>
  <c r="F4732" i="13"/>
  <c r="A4732" i="13"/>
  <c r="F4731" i="13"/>
  <c r="A4731" i="13"/>
  <c r="J4730" i="13"/>
  <c r="F4730" i="13"/>
  <c r="A4730" i="13"/>
  <c r="J4729" i="13"/>
  <c r="F4729" i="13"/>
  <c r="A4729" i="13"/>
  <c r="J4728" i="13"/>
  <c r="F4728" i="13"/>
  <c r="A4728" i="13"/>
  <c r="F4727" i="13"/>
  <c r="A4727" i="13"/>
  <c r="J4726" i="13"/>
  <c r="F4726" i="13"/>
  <c r="A4726" i="13"/>
  <c r="J4725" i="13"/>
  <c r="F4725" i="13"/>
  <c r="A4725" i="13"/>
  <c r="J4724" i="13"/>
  <c r="F4724" i="13"/>
  <c r="A4724" i="13"/>
  <c r="J4723" i="13"/>
  <c r="F4723" i="13"/>
  <c r="A4723" i="13"/>
  <c r="F4722" i="13"/>
  <c r="A4722" i="13"/>
  <c r="J4721" i="13"/>
  <c r="F4721" i="13"/>
  <c r="A4721" i="13"/>
  <c r="J4720" i="13"/>
  <c r="F4720" i="13"/>
  <c r="A4720" i="13"/>
  <c r="J4719" i="13"/>
  <c r="F4719" i="13"/>
  <c r="A4719" i="13"/>
  <c r="F4718" i="13"/>
  <c r="A4718" i="13"/>
  <c r="J4717" i="13"/>
  <c r="F4717" i="13"/>
  <c r="A4717" i="13"/>
  <c r="J4716" i="13"/>
  <c r="F4716" i="13"/>
  <c r="A4716" i="13"/>
  <c r="J4715" i="13"/>
  <c r="F4715" i="13"/>
  <c r="A4715" i="13"/>
  <c r="F4714" i="13"/>
  <c r="A4714" i="13"/>
  <c r="J4713" i="13"/>
  <c r="F4713" i="13"/>
  <c r="A4713" i="13"/>
  <c r="J4712" i="13"/>
  <c r="F4712" i="13"/>
  <c r="A4712" i="13"/>
  <c r="J4711" i="13"/>
  <c r="F4711" i="13"/>
  <c r="A4711" i="13"/>
  <c r="F4710" i="13"/>
  <c r="A4710" i="13"/>
  <c r="J4709" i="13"/>
  <c r="F4709" i="13"/>
  <c r="A4709" i="13"/>
  <c r="J4708" i="13"/>
  <c r="F4708" i="13"/>
  <c r="A4708" i="13"/>
  <c r="J4707" i="13"/>
  <c r="F4707" i="13"/>
  <c r="A4707" i="13"/>
  <c r="F4706" i="13"/>
  <c r="A4706" i="13"/>
  <c r="J4705" i="13"/>
  <c r="F4705" i="13"/>
  <c r="A4705" i="13"/>
  <c r="J4704" i="13"/>
  <c r="F4704" i="13"/>
  <c r="A4704" i="13"/>
  <c r="J4703" i="13"/>
  <c r="F4703" i="13"/>
  <c r="A4703" i="13"/>
  <c r="F4702" i="13"/>
  <c r="A4702" i="13"/>
  <c r="F4701" i="13"/>
  <c r="A4701" i="13"/>
  <c r="F4700" i="13"/>
  <c r="A4700" i="13"/>
  <c r="F4699" i="13"/>
  <c r="A4699" i="13"/>
  <c r="J4698" i="13"/>
  <c r="F4698" i="13"/>
  <c r="A4698" i="13"/>
  <c r="J4697" i="13"/>
  <c r="F4697" i="13"/>
  <c r="A4697" i="13"/>
  <c r="J4696" i="13"/>
  <c r="F4696" i="13"/>
  <c r="A4696" i="13"/>
  <c r="F4695" i="13"/>
  <c r="A4695" i="13"/>
  <c r="J4694" i="13"/>
  <c r="F4694" i="13"/>
  <c r="A4694" i="13"/>
  <c r="J4693" i="13"/>
  <c r="F4693" i="13"/>
  <c r="A4693" i="13"/>
  <c r="J4692" i="13"/>
  <c r="F4692" i="13"/>
  <c r="A4692" i="13"/>
  <c r="F4691" i="13"/>
  <c r="A4691" i="13"/>
  <c r="J4690" i="13"/>
  <c r="F4690" i="13"/>
  <c r="A4690" i="13"/>
  <c r="J4689" i="13"/>
  <c r="F4689" i="13"/>
  <c r="A4689" i="13"/>
  <c r="J4688" i="13"/>
  <c r="F4688" i="13"/>
  <c r="A4688" i="13"/>
  <c r="F4687" i="13"/>
  <c r="A4687" i="13"/>
  <c r="J4686" i="13"/>
  <c r="F4686" i="13"/>
  <c r="A4686" i="13"/>
  <c r="J4685" i="13"/>
  <c r="F4685" i="13"/>
  <c r="A4685" i="13"/>
  <c r="J4684" i="13"/>
  <c r="F4684" i="13"/>
  <c r="A4684" i="13"/>
  <c r="F4683" i="13"/>
  <c r="A4683" i="13"/>
  <c r="J4682" i="13"/>
  <c r="F4682" i="13"/>
  <c r="A4682" i="13"/>
  <c r="J4681" i="13"/>
  <c r="F4681" i="13"/>
  <c r="A4681" i="13"/>
  <c r="J4680" i="13"/>
  <c r="F4680" i="13"/>
  <c r="A4680" i="13"/>
  <c r="J4679" i="13"/>
  <c r="F4679" i="13"/>
  <c r="A4679" i="13"/>
  <c r="J4678" i="13"/>
  <c r="F4678" i="13"/>
  <c r="A4678" i="13"/>
  <c r="J4677" i="13"/>
  <c r="F4677" i="13"/>
  <c r="A4677" i="13"/>
  <c r="J4676" i="13"/>
  <c r="F4676" i="13"/>
  <c r="A4676" i="13"/>
  <c r="J4675" i="13"/>
  <c r="F4675" i="13"/>
  <c r="A4675" i="13"/>
  <c r="J4674" i="13"/>
  <c r="F4674" i="13"/>
  <c r="A4674" i="13"/>
  <c r="F4673" i="13"/>
  <c r="A4673" i="13"/>
  <c r="F4672" i="13"/>
  <c r="A4672" i="13"/>
  <c r="J4671" i="13"/>
  <c r="F4671" i="13"/>
  <c r="A4671" i="13"/>
  <c r="J4670" i="13"/>
  <c r="F4670" i="13"/>
  <c r="A4670" i="13"/>
  <c r="J4669" i="13"/>
  <c r="F4669" i="13"/>
  <c r="A4669" i="13"/>
  <c r="F4668" i="13"/>
  <c r="A4668" i="13"/>
  <c r="J4667" i="13"/>
  <c r="F4667" i="13"/>
  <c r="A4667" i="13"/>
  <c r="F4666" i="13"/>
  <c r="A4666" i="13"/>
  <c r="F4665" i="13"/>
  <c r="A4665" i="13"/>
  <c r="J4664" i="13"/>
  <c r="F4664" i="13"/>
  <c r="A4664" i="13"/>
  <c r="J4663" i="13"/>
  <c r="F4663" i="13"/>
  <c r="A4663" i="13"/>
  <c r="J4662" i="13"/>
  <c r="F4662" i="13"/>
  <c r="A4662" i="13"/>
  <c r="J4661" i="13"/>
  <c r="F4661" i="13"/>
  <c r="A4661" i="13"/>
  <c r="F4660" i="13"/>
  <c r="A4660" i="13"/>
  <c r="J4659" i="13"/>
  <c r="F4659" i="13"/>
  <c r="A4659" i="13"/>
  <c r="J4658" i="13"/>
  <c r="F4658" i="13"/>
  <c r="A4658" i="13"/>
  <c r="J4657" i="13"/>
  <c r="F4657" i="13"/>
  <c r="A4657" i="13"/>
  <c r="J4656" i="13"/>
  <c r="F4656" i="13"/>
  <c r="A4656" i="13"/>
  <c r="J4655" i="13"/>
  <c r="F4655" i="13"/>
  <c r="A4655" i="13"/>
  <c r="J4654" i="13"/>
  <c r="F4654" i="13"/>
  <c r="A4654" i="13"/>
  <c r="F4653" i="13"/>
  <c r="A4653" i="13"/>
  <c r="J4652" i="13"/>
  <c r="F4652" i="13"/>
  <c r="A4652" i="13"/>
  <c r="J4651" i="13"/>
  <c r="F4651" i="13"/>
  <c r="A4651" i="13"/>
  <c r="F4650" i="13"/>
  <c r="A4650" i="13"/>
  <c r="F4649" i="13"/>
  <c r="A4649" i="13"/>
  <c r="J4648" i="13"/>
  <c r="F4648" i="13"/>
  <c r="A4648" i="13"/>
  <c r="J4647" i="13"/>
  <c r="F4647" i="13"/>
  <c r="A4647" i="13"/>
  <c r="F4646" i="13"/>
  <c r="A4646" i="13"/>
  <c r="F4645" i="13"/>
  <c r="A4645" i="13"/>
  <c r="F4644" i="13"/>
  <c r="A4644" i="13"/>
  <c r="J4643" i="13"/>
  <c r="F4643" i="13"/>
  <c r="A4643" i="13"/>
  <c r="J4642" i="13"/>
  <c r="F4642" i="13"/>
  <c r="A4642" i="13"/>
  <c r="J4641" i="13"/>
  <c r="F4641" i="13"/>
  <c r="A4641" i="13"/>
  <c r="J4640" i="13"/>
  <c r="F4640" i="13"/>
  <c r="A4640" i="13"/>
  <c r="J4639" i="13"/>
  <c r="F4639" i="13"/>
  <c r="A4639" i="13"/>
  <c r="F4638" i="13"/>
  <c r="A4638" i="13"/>
  <c r="J4637" i="13"/>
  <c r="F4637" i="13"/>
  <c r="A4637" i="13"/>
  <c r="J4636" i="13"/>
  <c r="F4636" i="13"/>
  <c r="A4636" i="13"/>
  <c r="J4635" i="13"/>
  <c r="F4635" i="13"/>
  <c r="A4635" i="13"/>
  <c r="F4634" i="13"/>
  <c r="A4634" i="13"/>
  <c r="J4633" i="13"/>
  <c r="F4633" i="13"/>
  <c r="A4633" i="13"/>
  <c r="F4632" i="13"/>
  <c r="A4632" i="13"/>
  <c r="J4631" i="13"/>
  <c r="F4631" i="13"/>
  <c r="A4631" i="13"/>
  <c r="J4630" i="13"/>
  <c r="F4630" i="13"/>
  <c r="A4630" i="13"/>
  <c r="J4629" i="13"/>
  <c r="F4629" i="13"/>
  <c r="A4629" i="13"/>
  <c r="F4628" i="13"/>
  <c r="A4628" i="13"/>
  <c r="J4627" i="13"/>
  <c r="F4627" i="13"/>
  <c r="A4627" i="13"/>
  <c r="J4626" i="13"/>
  <c r="F4626" i="13"/>
  <c r="A4626" i="13"/>
  <c r="F4625" i="13"/>
  <c r="A4625" i="13"/>
  <c r="J4624" i="13"/>
  <c r="F4624" i="13"/>
  <c r="A4624" i="13"/>
  <c r="J4623" i="13"/>
  <c r="F4623" i="13"/>
  <c r="A4623" i="13"/>
  <c r="J4622" i="13"/>
  <c r="F4622" i="13"/>
  <c r="A4622" i="13"/>
  <c r="J4621" i="13"/>
  <c r="F4621" i="13"/>
  <c r="A4621" i="13"/>
  <c r="J4620" i="13"/>
  <c r="F4620" i="13"/>
  <c r="A4620" i="13"/>
  <c r="J4619" i="13"/>
  <c r="F4619" i="13"/>
  <c r="A4619" i="13"/>
  <c r="J4618" i="13"/>
  <c r="F4618" i="13"/>
  <c r="A4618" i="13"/>
  <c r="J4617" i="13"/>
  <c r="F4617" i="13"/>
  <c r="A4617" i="13"/>
  <c r="J4616" i="13"/>
  <c r="F4616" i="13"/>
  <c r="A4616" i="13"/>
  <c r="J4615" i="13"/>
  <c r="F4615" i="13"/>
  <c r="J4614" i="13"/>
  <c r="F4614" i="13"/>
  <c r="A4614" i="13"/>
  <c r="J4613" i="13"/>
  <c r="F4613" i="13"/>
  <c r="A4613" i="13"/>
  <c r="J4612" i="13"/>
  <c r="F4612" i="13"/>
  <c r="A4612" i="13"/>
  <c r="J4611" i="13"/>
  <c r="F4611" i="13"/>
  <c r="A4611" i="13"/>
  <c r="F4610" i="13"/>
  <c r="A4610" i="13"/>
  <c r="F4609" i="13"/>
  <c r="A4609" i="13"/>
  <c r="J4608" i="13"/>
  <c r="F4608" i="13"/>
  <c r="A4608" i="13"/>
  <c r="F4607" i="13"/>
  <c r="A4607" i="13"/>
  <c r="J4606" i="13"/>
  <c r="F4606" i="13"/>
  <c r="A4606" i="13"/>
  <c r="J4605" i="13"/>
  <c r="F4605" i="13"/>
  <c r="A4605" i="13"/>
  <c r="J4604" i="13"/>
  <c r="F4604" i="13"/>
  <c r="A4604" i="13"/>
  <c r="J4603" i="13"/>
  <c r="F4603" i="13"/>
  <c r="A4603" i="13"/>
  <c r="F4602" i="13"/>
  <c r="A4602" i="13"/>
  <c r="F4601" i="13"/>
  <c r="A4601" i="13"/>
  <c r="J4600" i="13"/>
  <c r="F4600" i="13"/>
  <c r="A4600" i="13"/>
  <c r="J4599" i="13"/>
  <c r="F4599" i="13"/>
  <c r="A4599" i="13"/>
  <c r="F4598" i="13"/>
  <c r="A4598" i="13"/>
  <c r="J4597" i="13"/>
  <c r="F4597" i="13"/>
  <c r="A4597" i="13"/>
  <c r="F4596" i="13"/>
  <c r="A4596" i="13"/>
  <c r="J4595" i="13"/>
  <c r="F4595" i="13"/>
  <c r="A4595" i="13"/>
  <c r="J4594" i="13"/>
  <c r="F4594" i="13"/>
  <c r="A4594" i="13"/>
  <c r="J4593" i="13"/>
  <c r="F4593" i="13"/>
  <c r="A4593" i="13"/>
  <c r="F4592" i="13"/>
  <c r="A4592" i="13"/>
  <c r="F4591" i="13"/>
  <c r="A4591" i="13"/>
  <c r="J4590" i="13"/>
  <c r="F4590" i="13"/>
  <c r="A4590" i="13"/>
  <c r="J4589" i="13"/>
  <c r="F4589" i="13"/>
  <c r="A4589" i="13"/>
  <c r="F4588" i="13"/>
  <c r="A4588" i="13"/>
  <c r="J4587" i="13"/>
  <c r="F4587" i="13"/>
  <c r="A4587" i="13"/>
  <c r="J4586" i="13"/>
  <c r="F4586" i="13"/>
  <c r="A4586" i="13"/>
  <c r="F4585" i="13"/>
  <c r="A4585" i="13"/>
  <c r="J4584" i="13"/>
  <c r="F4584" i="13"/>
  <c r="A4584" i="13"/>
  <c r="F4583" i="13"/>
  <c r="A4583" i="13"/>
  <c r="F4582" i="13"/>
  <c r="A4582" i="13"/>
  <c r="J4581" i="13"/>
  <c r="F4581" i="13"/>
  <c r="A4581" i="13"/>
  <c r="J4580" i="13"/>
  <c r="F4580" i="13"/>
  <c r="A4580" i="13"/>
  <c r="J4579" i="13"/>
  <c r="F4579" i="13"/>
  <c r="A4579" i="13"/>
  <c r="J4578" i="13"/>
  <c r="F4578" i="13"/>
  <c r="A4578" i="13"/>
  <c r="J4577" i="13"/>
  <c r="F4577" i="13"/>
  <c r="A4577" i="13"/>
  <c r="F4576" i="13"/>
  <c r="A4576" i="13"/>
  <c r="J4575" i="13"/>
  <c r="F4575" i="13"/>
  <c r="A4575" i="13"/>
  <c r="J4574" i="13"/>
  <c r="F4574" i="13"/>
  <c r="A4574" i="13"/>
  <c r="J4573" i="13"/>
  <c r="F4573" i="13"/>
  <c r="A4573" i="13"/>
  <c r="F4572" i="13"/>
  <c r="A4572" i="13"/>
  <c r="J4571" i="13"/>
  <c r="F4571" i="13"/>
  <c r="A4571" i="13"/>
  <c r="J4570" i="13"/>
  <c r="F4570" i="13"/>
  <c r="A4570" i="13"/>
  <c r="J4569" i="13"/>
  <c r="F4569" i="13"/>
  <c r="A4569" i="13"/>
  <c r="J4568" i="13"/>
  <c r="F4568" i="13"/>
  <c r="A4568" i="13"/>
  <c r="F4567" i="13"/>
  <c r="A4567" i="13"/>
  <c r="J4566" i="13"/>
  <c r="F4566" i="13"/>
  <c r="A4566" i="13"/>
  <c r="J4565" i="13"/>
  <c r="F4565" i="13"/>
  <c r="A4565" i="13"/>
  <c r="J4564" i="13"/>
  <c r="F4564" i="13"/>
  <c r="A4564" i="13"/>
  <c r="F4563" i="13"/>
  <c r="A4563" i="13"/>
  <c r="F4562" i="13"/>
  <c r="A4562" i="13"/>
  <c r="F4561" i="13"/>
  <c r="A4561" i="13"/>
  <c r="J4560" i="13"/>
  <c r="F4560" i="13"/>
  <c r="A4560" i="13"/>
  <c r="J4559" i="13"/>
  <c r="F4559" i="13"/>
  <c r="A4559" i="13"/>
  <c r="J4558" i="13"/>
  <c r="F4558" i="13"/>
  <c r="A4558" i="13"/>
  <c r="J4557" i="13"/>
  <c r="F4557" i="13"/>
  <c r="A4557" i="13"/>
  <c r="J4556" i="13"/>
  <c r="F4556" i="13"/>
  <c r="A4556" i="13"/>
  <c r="J4555" i="13"/>
  <c r="F4555" i="13"/>
  <c r="A4555" i="13"/>
  <c r="J4554" i="13"/>
  <c r="F4554" i="13"/>
  <c r="A4554" i="13"/>
  <c r="J4553" i="13"/>
  <c r="F4553" i="13"/>
  <c r="A4553" i="13"/>
  <c r="J4552" i="13"/>
  <c r="F4552" i="13"/>
  <c r="A4552" i="13"/>
  <c r="J4551" i="13"/>
  <c r="F4551" i="13"/>
  <c r="A4551" i="13"/>
  <c r="J4550" i="13"/>
  <c r="F4550" i="13"/>
  <c r="A4550" i="13"/>
  <c r="J4549" i="13"/>
  <c r="F4549" i="13"/>
  <c r="A4549" i="13"/>
  <c r="F4548" i="13"/>
  <c r="A4548" i="13"/>
  <c r="F4547" i="13"/>
  <c r="A4547" i="13"/>
  <c r="F4546" i="13"/>
  <c r="A4546" i="13"/>
  <c r="F4545" i="13"/>
  <c r="A4545" i="13"/>
  <c r="F4544" i="13"/>
  <c r="A4544" i="13"/>
  <c r="F4543" i="13"/>
  <c r="F4542" i="13"/>
  <c r="A4542" i="13"/>
  <c r="F4541" i="13"/>
  <c r="A4541" i="13"/>
  <c r="J4540" i="13"/>
  <c r="F4540" i="13"/>
  <c r="A4540" i="13"/>
  <c r="J4539" i="13"/>
  <c r="F4539" i="13"/>
  <c r="A4539" i="13"/>
  <c r="J4538" i="13"/>
  <c r="F4538" i="13"/>
  <c r="A4538" i="13"/>
  <c r="J4537" i="13"/>
  <c r="F4537" i="13"/>
  <c r="A4537" i="13"/>
  <c r="J4536" i="13"/>
  <c r="F4536" i="13"/>
  <c r="A4536" i="13"/>
  <c r="J4535" i="13"/>
  <c r="F4535" i="13"/>
  <c r="A4535" i="13"/>
  <c r="J4534" i="13"/>
  <c r="F4534" i="13"/>
  <c r="A4534" i="13"/>
  <c r="F4533" i="13"/>
  <c r="A4533" i="13"/>
  <c r="J4532" i="13"/>
  <c r="F4532" i="13"/>
  <c r="A4532" i="13"/>
  <c r="J4531" i="13"/>
  <c r="F4531" i="13"/>
  <c r="A4531" i="13"/>
  <c r="J4530" i="13"/>
  <c r="F4530" i="13"/>
  <c r="A4530" i="13"/>
  <c r="J4529" i="13"/>
  <c r="F4529" i="13"/>
  <c r="A4529" i="13"/>
  <c r="J4528" i="13"/>
  <c r="F4528" i="13"/>
  <c r="A4528" i="13"/>
  <c r="J4527" i="13"/>
  <c r="F4527" i="13"/>
  <c r="A4527" i="13"/>
  <c r="F4526" i="13"/>
  <c r="A4526" i="13"/>
  <c r="J4525" i="13"/>
  <c r="F4525" i="13"/>
  <c r="A4525" i="13"/>
  <c r="J4524" i="13"/>
  <c r="F4524" i="13"/>
  <c r="A4524" i="13"/>
  <c r="J4523" i="13"/>
  <c r="F4523" i="13"/>
  <c r="A4523" i="13"/>
  <c r="J4522" i="13"/>
  <c r="F4522" i="13"/>
  <c r="A4522" i="13"/>
  <c r="F4521" i="13"/>
  <c r="A4521" i="13"/>
  <c r="J4520" i="13"/>
  <c r="F4520" i="13"/>
  <c r="A4520" i="13"/>
  <c r="J4519" i="13"/>
  <c r="F4519" i="13"/>
  <c r="A4519" i="13"/>
  <c r="F4518" i="13"/>
  <c r="A4518" i="13"/>
  <c r="F4517" i="13"/>
  <c r="A4517" i="13"/>
  <c r="J4516" i="13"/>
  <c r="F4516" i="13"/>
  <c r="A4516" i="13"/>
  <c r="J4515" i="13"/>
  <c r="F4515" i="13"/>
  <c r="A4515" i="13"/>
  <c r="J4514" i="13"/>
  <c r="F4514" i="13"/>
  <c r="A4514" i="13"/>
  <c r="J4513" i="13"/>
  <c r="F4513" i="13"/>
  <c r="A4513" i="13"/>
  <c r="F4512" i="13"/>
  <c r="A4512" i="13"/>
  <c r="J4511" i="13"/>
  <c r="F4511" i="13"/>
  <c r="A4511" i="13"/>
  <c r="J4510" i="13"/>
  <c r="F4510" i="13"/>
  <c r="A4510" i="13"/>
  <c r="J4509" i="13"/>
  <c r="F4509" i="13"/>
  <c r="A4509" i="13"/>
  <c r="J4508" i="13"/>
  <c r="F4508" i="13"/>
  <c r="A4508" i="13"/>
  <c r="F4507" i="13"/>
  <c r="A4507" i="13"/>
  <c r="J4506" i="13"/>
  <c r="F4506" i="13"/>
  <c r="A4506" i="13"/>
  <c r="J4505" i="13"/>
  <c r="F4505" i="13"/>
  <c r="A4505" i="13"/>
  <c r="J4504" i="13"/>
  <c r="F4504" i="13"/>
  <c r="A4504" i="13"/>
  <c r="F4503" i="13"/>
  <c r="A4503" i="13"/>
  <c r="J4502" i="13"/>
  <c r="F4502" i="13"/>
  <c r="A4502" i="13"/>
  <c r="F4501" i="13"/>
  <c r="A4501" i="13"/>
  <c r="J4500" i="13"/>
  <c r="F4500" i="13"/>
  <c r="A4500" i="13"/>
  <c r="J4499" i="13"/>
  <c r="F4499" i="13"/>
  <c r="A4499" i="13"/>
  <c r="J4498" i="13"/>
  <c r="F4498" i="13"/>
  <c r="A4498" i="13"/>
  <c r="F4497" i="13"/>
  <c r="A4497" i="13"/>
  <c r="J4496" i="13"/>
  <c r="F4496" i="13"/>
  <c r="A4496" i="13"/>
  <c r="J4495" i="13"/>
  <c r="F4495" i="13"/>
  <c r="A4495" i="13"/>
  <c r="J4494" i="13"/>
  <c r="F4494" i="13"/>
  <c r="A4494" i="13"/>
  <c r="F4493" i="13"/>
  <c r="A4493" i="13"/>
  <c r="F4492" i="13"/>
  <c r="A4492" i="13"/>
  <c r="J4491" i="13"/>
  <c r="F4491" i="13"/>
  <c r="A4491" i="13"/>
  <c r="J4490" i="13"/>
  <c r="F4490" i="13"/>
  <c r="A4490" i="13"/>
  <c r="F4489" i="13"/>
  <c r="A4489" i="13"/>
  <c r="J4488" i="13"/>
  <c r="F4488" i="13"/>
  <c r="A4488" i="13"/>
  <c r="J4487" i="13"/>
  <c r="F4487" i="13"/>
  <c r="A4487" i="13"/>
  <c r="J4486" i="13"/>
  <c r="F4486" i="13"/>
  <c r="A4486" i="13"/>
  <c r="J4485" i="13"/>
  <c r="F4485" i="13"/>
  <c r="A4485" i="13"/>
  <c r="J4484" i="13"/>
  <c r="F4484" i="13"/>
  <c r="A4484" i="13"/>
  <c r="J4483" i="13"/>
  <c r="F4483" i="13"/>
  <c r="A4483" i="13"/>
  <c r="F4482" i="13"/>
  <c r="A4482" i="13"/>
  <c r="J4481" i="13"/>
  <c r="F4481" i="13"/>
  <c r="A4481" i="13"/>
  <c r="J4480" i="13"/>
  <c r="F4480" i="13"/>
  <c r="A4480" i="13"/>
  <c r="J4479" i="13"/>
  <c r="F4479" i="13"/>
  <c r="A4479" i="13"/>
  <c r="F4478" i="13"/>
  <c r="A4478" i="13"/>
  <c r="J4477" i="13"/>
  <c r="F4477" i="13"/>
  <c r="A4477" i="13"/>
  <c r="J4476" i="13"/>
  <c r="F4476" i="13"/>
  <c r="A4476" i="13"/>
  <c r="J4475" i="13"/>
  <c r="F4475" i="13"/>
  <c r="A4475" i="13"/>
  <c r="J4474" i="13"/>
  <c r="F4474" i="13"/>
  <c r="A4474" i="13"/>
  <c r="J4473" i="13"/>
  <c r="F4473" i="13"/>
  <c r="A4473" i="13"/>
  <c r="J4472" i="13"/>
  <c r="F4472" i="13"/>
  <c r="A4472" i="13"/>
  <c r="J4471" i="13"/>
  <c r="F4471" i="13"/>
  <c r="A4471" i="13"/>
  <c r="F4470" i="13"/>
  <c r="A4470" i="13"/>
  <c r="J4469" i="13"/>
  <c r="F4469" i="13"/>
  <c r="A4469" i="13"/>
  <c r="J4468" i="13"/>
  <c r="F4468" i="13"/>
  <c r="A4468" i="13"/>
  <c r="F4467" i="13"/>
  <c r="A4467" i="13"/>
  <c r="F4466" i="13"/>
  <c r="A4466" i="13"/>
  <c r="J4465" i="13"/>
  <c r="F4465" i="13"/>
  <c r="A4465" i="13"/>
  <c r="F4464" i="13"/>
  <c r="A4464" i="13"/>
  <c r="F4463" i="13"/>
  <c r="A4463" i="13"/>
  <c r="F4462" i="13"/>
  <c r="A4462" i="13"/>
  <c r="F4461" i="13"/>
  <c r="A4461" i="13"/>
  <c r="F4460" i="13"/>
  <c r="A4460" i="13"/>
  <c r="F4459" i="13"/>
  <c r="A4459" i="13"/>
  <c r="F4458" i="13"/>
  <c r="A4458" i="13"/>
  <c r="F4457" i="13"/>
  <c r="A4457" i="13"/>
  <c r="F4456" i="13"/>
  <c r="A4456" i="13"/>
  <c r="F4455" i="13"/>
  <c r="A4455" i="13"/>
  <c r="J4454" i="13"/>
  <c r="F4454" i="13"/>
  <c r="A4454" i="13"/>
  <c r="J4453" i="13"/>
  <c r="F4453" i="13"/>
  <c r="A4453" i="13"/>
  <c r="F4452" i="13"/>
  <c r="A4452" i="13"/>
  <c r="F4451" i="13"/>
  <c r="A4451" i="13"/>
  <c r="F4450" i="13"/>
  <c r="A4450" i="13"/>
  <c r="F4449" i="13"/>
  <c r="A4449" i="13"/>
  <c r="F4448" i="13"/>
  <c r="A4448" i="13"/>
  <c r="F4447" i="13"/>
  <c r="A4447" i="13"/>
  <c r="J4446" i="13"/>
  <c r="F4446" i="13"/>
  <c r="A4446" i="13"/>
  <c r="F4445" i="13"/>
  <c r="A4445" i="13"/>
  <c r="F4444" i="13"/>
  <c r="A4444" i="13"/>
  <c r="F4443" i="13"/>
  <c r="A4443" i="13"/>
  <c r="F4442" i="13"/>
  <c r="A4442" i="13"/>
  <c r="F4441" i="13"/>
  <c r="A4441" i="13"/>
  <c r="F4440" i="13"/>
  <c r="A4440" i="13"/>
  <c r="F4439" i="13"/>
  <c r="A4439" i="13"/>
  <c r="F4438" i="13"/>
  <c r="A4438" i="13"/>
  <c r="F4437" i="13"/>
  <c r="A4437" i="13"/>
  <c r="F4436" i="13"/>
  <c r="A4436" i="13"/>
  <c r="F4435" i="13"/>
  <c r="A4435" i="13"/>
  <c r="F4434" i="13"/>
  <c r="A4434" i="13"/>
  <c r="F4433" i="13"/>
  <c r="A4433" i="13"/>
  <c r="F4432" i="13"/>
  <c r="A4432" i="13"/>
  <c r="F4431" i="13"/>
  <c r="A4431" i="13"/>
  <c r="F4430" i="13"/>
  <c r="A4430" i="13"/>
  <c r="F4429" i="13"/>
  <c r="A4429" i="13"/>
  <c r="F4428" i="13"/>
  <c r="A4428" i="13"/>
  <c r="F4427" i="13"/>
  <c r="A4427" i="13"/>
  <c r="F4426" i="13"/>
  <c r="A4426" i="13"/>
  <c r="F4425" i="13"/>
  <c r="A4425" i="13"/>
  <c r="F4424" i="13"/>
  <c r="A4424" i="13"/>
  <c r="F4423" i="13"/>
  <c r="A4423" i="13"/>
  <c r="F4422" i="13"/>
  <c r="A4422" i="13"/>
  <c r="F4421" i="13"/>
  <c r="A4421" i="13"/>
  <c r="F4420" i="13"/>
  <c r="A4420" i="13"/>
  <c r="F4419" i="13"/>
  <c r="A4419" i="13"/>
  <c r="F4418" i="13"/>
  <c r="A4418" i="13"/>
  <c r="F4417" i="13"/>
  <c r="A4417" i="13"/>
  <c r="F4416" i="13"/>
  <c r="A4416" i="13"/>
  <c r="F4415" i="13"/>
  <c r="A4415" i="13"/>
  <c r="F4414" i="13"/>
  <c r="A4414" i="13"/>
  <c r="F4413" i="13"/>
  <c r="A4413" i="13"/>
  <c r="F4412" i="13"/>
  <c r="A4412" i="13"/>
  <c r="F4411" i="13"/>
  <c r="A4411" i="13"/>
  <c r="F4410" i="13"/>
  <c r="A4410" i="13"/>
  <c r="F4409" i="13"/>
  <c r="A4409" i="13"/>
  <c r="F4408" i="13"/>
  <c r="A4408" i="13"/>
  <c r="F4407" i="13"/>
  <c r="A4407" i="13"/>
  <c r="F4406" i="13"/>
  <c r="A4406" i="13"/>
  <c r="F4405" i="13"/>
  <c r="A4405" i="13"/>
  <c r="F4404" i="13"/>
  <c r="A4404" i="13"/>
  <c r="F4403" i="13"/>
  <c r="A4403" i="13"/>
  <c r="J4402" i="13"/>
  <c r="F4402" i="13"/>
  <c r="A4402" i="13"/>
  <c r="F4401" i="13"/>
  <c r="A4401" i="13"/>
  <c r="J4400" i="13"/>
  <c r="F4400" i="13"/>
  <c r="A4400" i="13"/>
  <c r="J4399" i="13"/>
  <c r="F4399" i="13"/>
  <c r="A4399" i="13"/>
  <c r="J4398" i="13"/>
  <c r="F4398" i="13"/>
  <c r="A4398" i="13"/>
  <c r="F4397" i="13"/>
  <c r="A4397" i="13"/>
  <c r="J4396" i="13"/>
  <c r="F4396" i="13"/>
  <c r="A4396" i="13"/>
  <c r="J4395" i="13"/>
  <c r="F4395" i="13"/>
  <c r="A4395" i="13"/>
  <c r="J4394" i="13"/>
  <c r="F4394" i="13"/>
  <c r="A4394" i="13"/>
  <c r="J4393" i="13"/>
  <c r="F4393" i="13"/>
  <c r="A4393" i="13"/>
  <c r="J4392" i="13"/>
  <c r="F4392" i="13"/>
  <c r="A4392" i="13"/>
  <c r="F4391" i="13"/>
  <c r="A4391" i="13"/>
  <c r="J4390" i="13"/>
  <c r="F4390" i="13"/>
  <c r="A4390" i="13"/>
  <c r="F4389" i="13"/>
  <c r="A4389" i="13"/>
  <c r="F4388" i="13"/>
  <c r="A4388" i="13"/>
  <c r="J4387" i="13"/>
  <c r="F4387" i="13"/>
  <c r="A4387" i="13"/>
  <c r="J4386" i="13"/>
  <c r="F4386" i="13"/>
  <c r="A4386" i="13"/>
  <c r="J4385" i="13"/>
  <c r="F4385" i="13"/>
  <c r="A4385" i="13"/>
  <c r="J4384" i="13"/>
  <c r="F4384" i="13"/>
  <c r="A4384" i="13"/>
  <c r="F4383" i="13"/>
  <c r="A4383" i="13"/>
  <c r="F4382" i="13"/>
  <c r="A4382" i="13"/>
  <c r="J4381" i="13"/>
  <c r="F4381" i="13"/>
  <c r="A4381" i="13"/>
  <c r="J4380" i="13"/>
  <c r="F4380" i="13"/>
  <c r="A4380" i="13"/>
  <c r="J4379" i="13"/>
  <c r="F4379" i="13"/>
  <c r="A4379" i="13"/>
  <c r="F4378" i="13"/>
  <c r="A4378" i="13"/>
  <c r="F4377" i="13"/>
  <c r="A4377" i="13"/>
  <c r="J4376" i="13"/>
  <c r="F4376" i="13"/>
  <c r="A4376" i="13"/>
  <c r="J4375" i="13"/>
  <c r="F4375" i="13"/>
  <c r="A4375" i="13"/>
  <c r="J4374" i="13"/>
  <c r="F4374" i="13"/>
  <c r="A4374" i="13"/>
  <c r="F4373" i="13"/>
  <c r="A4373" i="13"/>
  <c r="J4372" i="13"/>
  <c r="F4372" i="13"/>
  <c r="A4372" i="13"/>
  <c r="J4371" i="13"/>
  <c r="F4371" i="13"/>
  <c r="A4371" i="13"/>
  <c r="J4370" i="13"/>
  <c r="F4370" i="13"/>
  <c r="A4370" i="13"/>
  <c r="F4369" i="13"/>
  <c r="A4369" i="13"/>
  <c r="F4368" i="13"/>
  <c r="A4368" i="13"/>
  <c r="J4367" i="13"/>
  <c r="F4367" i="13"/>
  <c r="A4367" i="13"/>
  <c r="J4366" i="13"/>
  <c r="F4366" i="13"/>
  <c r="A4366" i="13"/>
  <c r="F4365" i="13"/>
  <c r="A4365" i="13"/>
  <c r="J4364" i="13"/>
  <c r="F4364" i="13"/>
  <c r="A4364" i="13"/>
  <c r="J4363" i="13"/>
  <c r="F4363" i="13"/>
  <c r="A4363" i="13"/>
  <c r="F4362" i="13"/>
  <c r="A4362" i="13"/>
  <c r="F4361" i="13"/>
  <c r="A4361" i="13"/>
  <c r="J4360" i="13"/>
  <c r="F4360" i="13"/>
  <c r="A4360" i="13"/>
  <c r="J4359" i="13"/>
  <c r="F4359" i="13"/>
  <c r="A4359" i="13"/>
  <c r="J4358" i="13"/>
  <c r="F4358" i="13"/>
  <c r="A4358" i="13"/>
  <c r="F4357" i="13"/>
  <c r="A4357" i="13"/>
  <c r="J4356" i="13"/>
  <c r="F4356" i="13"/>
  <c r="A4356" i="13"/>
  <c r="J4355" i="13"/>
  <c r="F4355" i="13"/>
  <c r="A4355" i="13"/>
  <c r="J4354" i="13"/>
  <c r="F4354" i="13"/>
  <c r="A4354" i="13"/>
  <c r="F4353" i="13"/>
  <c r="A4353" i="13"/>
  <c r="J4352" i="13"/>
  <c r="F4352" i="13"/>
  <c r="A4352" i="13"/>
  <c r="J4351" i="13"/>
  <c r="F4351" i="13"/>
  <c r="A4351" i="13"/>
  <c r="J4350" i="13"/>
  <c r="F4350" i="13"/>
  <c r="A4350" i="13"/>
  <c r="F4349" i="13"/>
  <c r="A4349" i="13"/>
  <c r="J4348" i="13"/>
  <c r="F4348" i="13"/>
  <c r="A4348" i="13"/>
  <c r="J4347" i="13"/>
  <c r="F4347" i="13"/>
  <c r="A4347" i="13"/>
  <c r="J4346" i="13"/>
  <c r="F4346" i="13"/>
  <c r="A4346" i="13"/>
  <c r="J4345" i="13"/>
  <c r="F4345" i="13"/>
  <c r="A4345" i="13"/>
  <c r="F4344" i="13"/>
  <c r="A4344" i="13"/>
  <c r="F4343" i="13"/>
  <c r="A4343" i="13"/>
  <c r="J4342" i="13"/>
  <c r="F4342" i="13"/>
  <c r="A4342" i="13"/>
  <c r="J4341" i="13"/>
  <c r="F4341" i="13"/>
  <c r="A4341" i="13"/>
  <c r="F4340" i="13"/>
  <c r="A4340" i="13"/>
  <c r="J4339" i="13"/>
  <c r="F4339" i="13"/>
  <c r="A4339" i="13"/>
  <c r="F4338" i="13"/>
  <c r="A4338" i="13"/>
  <c r="J4337" i="13"/>
  <c r="F4337" i="13"/>
  <c r="A4337" i="13"/>
  <c r="J4336" i="13"/>
  <c r="F4336" i="13"/>
  <c r="A4336" i="13"/>
  <c r="F4335" i="13"/>
  <c r="A4335" i="13"/>
  <c r="J4334" i="13"/>
  <c r="F4334" i="13"/>
  <c r="A4334" i="13"/>
  <c r="J4333" i="13"/>
  <c r="F4333" i="13"/>
  <c r="A4333" i="13"/>
  <c r="J4332" i="13"/>
  <c r="F4332" i="13"/>
  <c r="A4332" i="13"/>
  <c r="J4331" i="13"/>
  <c r="F4331" i="13"/>
  <c r="A4331" i="13"/>
  <c r="F4330" i="13"/>
  <c r="A4330" i="13"/>
  <c r="F4329" i="13"/>
  <c r="A4329" i="13"/>
  <c r="F4328" i="13"/>
  <c r="A4328" i="13"/>
  <c r="J4327" i="13"/>
  <c r="F4327" i="13"/>
  <c r="A4327" i="13"/>
  <c r="J4326" i="13"/>
  <c r="F4326" i="13"/>
  <c r="A4326" i="13"/>
  <c r="F4325" i="13"/>
  <c r="A4325" i="13"/>
  <c r="F4324" i="13"/>
  <c r="A4324" i="13"/>
  <c r="F4323" i="13"/>
  <c r="A4323" i="13"/>
  <c r="F4322" i="13"/>
  <c r="A4322" i="13"/>
  <c r="F4321" i="13"/>
  <c r="A4321" i="13"/>
  <c r="F4320" i="13"/>
  <c r="A4320" i="13"/>
  <c r="F4319" i="13"/>
  <c r="A4319" i="13"/>
  <c r="F4318" i="13"/>
  <c r="A4318" i="13"/>
  <c r="F4317" i="13"/>
  <c r="A4317" i="13"/>
  <c r="F4316" i="13"/>
  <c r="A4316" i="13"/>
  <c r="F4315" i="13"/>
  <c r="A4315" i="13"/>
  <c r="F4314" i="13"/>
  <c r="A4314" i="13"/>
  <c r="F4313" i="13"/>
  <c r="A4313" i="13"/>
  <c r="F4312" i="13"/>
  <c r="A4312" i="13"/>
  <c r="F4311" i="13"/>
  <c r="A4311" i="13"/>
  <c r="F4310" i="13"/>
  <c r="A4310" i="13"/>
  <c r="F4309" i="13"/>
  <c r="A4309" i="13"/>
  <c r="F4308" i="13"/>
  <c r="A4308" i="13"/>
  <c r="F4307" i="13"/>
  <c r="A4307" i="13"/>
  <c r="F4306" i="13"/>
  <c r="A4306" i="13"/>
  <c r="F4305" i="13"/>
  <c r="A4305" i="13"/>
  <c r="F4304" i="13"/>
  <c r="A4304" i="13"/>
  <c r="F4303" i="13"/>
  <c r="A4303" i="13"/>
  <c r="F4302" i="13"/>
  <c r="A4302" i="13"/>
  <c r="F4301" i="13"/>
  <c r="A4301" i="13"/>
  <c r="J4300" i="13"/>
  <c r="F4300" i="13"/>
  <c r="A4300" i="13"/>
  <c r="J4299" i="13"/>
  <c r="F4299" i="13"/>
  <c r="A4299" i="13"/>
  <c r="F4298" i="13"/>
  <c r="A4298" i="13"/>
  <c r="F4297" i="13"/>
  <c r="A4297" i="13"/>
  <c r="F4296" i="13"/>
  <c r="A4296" i="13"/>
  <c r="J4295" i="13"/>
  <c r="F4295" i="13"/>
  <c r="A4295" i="13"/>
  <c r="J4294" i="13"/>
  <c r="F4294" i="13"/>
  <c r="A4294" i="13"/>
  <c r="J4293" i="13"/>
  <c r="F4293" i="13"/>
  <c r="A4293" i="13"/>
  <c r="F4292" i="13"/>
  <c r="A4292" i="13"/>
  <c r="J4291" i="13"/>
  <c r="F4291" i="13"/>
  <c r="A4291" i="13"/>
  <c r="J4290" i="13"/>
  <c r="F4290" i="13"/>
  <c r="A4290" i="13"/>
  <c r="F4289" i="13"/>
  <c r="A4289" i="13"/>
  <c r="J4288" i="13"/>
  <c r="F4288" i="13"/>
  <c r="A4288" i="13"/>
  <c r="J4287" i="13"/>
  <c r="F4287" i="13"/>
  <c r="A4287" i="13"/>
  <c r="J4286" i="13"/>
  <c r="F4286" i="13"/>
  <c r="A4286" i="13"/>
  <c r="J4285" i="13"/>
  <c r="F4285" i="13"/>
  <c r="A4285" i="13"/>
  <c r="J4284" i="13"/>
  <c r="F4284" i="13"/>
  <c r="A4284" i="13"/>
  <c r="J4283" i="13"/>
  <c r="F4283" i="13"/>
  <c r="A4283" i="13"/>
  <c r="F4282" i="13"/>
  <c r="A4282" i="13"/>
  <c r="F4281" i="13"/>
  <c r="A4281" i="13"/>
  <c r="J4280" i="13"/>
  <c r="F4280" i="13"/>
  <c r="A4280" i="13"/>
  <c r="J4279" i="13"/>
  <c r="F4279" i="13"/>
  <c r="A4279" i="13"/>
  <c r="F4278" i="13"/>
  <c r="A4278" i="13"/>
  <c r="J4277" i="13"/>
  <c r="F4277" i="13"/>
  <c r="A4277" i="13"/>
  <c r="J4276" i="13"/>
  <c r="F4276" i="13"/>
  <c r="A4276" i="13"/>
  <c r="F4275" i="13"/>
  <c r="A4275" i="13"/>
  <c r="J4274" i="13"/>
  <c r="F4274" i="13"/>
  <c r="A4274" i="13"/>
  <c r="F4273" i="13"/>
  <c r="A4273" i="13"/>
  <c r="F4272" i="13"/>
  <c r="A4272" i="13"/>
  <c r="F4271" i="13"/>
  <c r="A4271" i="13"/>
  <c r="F4270" i="13"/>
  <c r="A4270" i="13"/>
  <c r="J4269" i="13"/>
  <c r="F4269" i="13"/>
  <c r="A4269" i="13"/>
  <c r="F4268" i="13"/>
  <c r="A4268" i="13"/>
  <c r="F4267" i="13"/>
  <c r="A4267" i="13"/>
  <c r="F4266" i="13"/>
  <c r="A4266" i="13"/>
  <c r="F4265" i="13"/>
  <c r="A4265" i="13"/>
  <c r="J4264" i="13"/>
  <c r="F4264" i="13"/>
  <c r="A4264" i="13"/>
  <c r="J4263" i="13"/>
  <c r="F4263" i="13"/>
  <c r="A4263" i="13"/>
  <c r="F4262" i="13"/>
  <c r="A4262" i="13"/>
  <c r="F4261" i="13"/>
  <c r="A4261" i="13"/>
  <c r="F4260" i="13"/>
  <c r="A4260" i="13"/>
  <c r="J4259" i="13"/>
  <c r="F4259" i="13"/>
  <c r="A4259" i="13"/>
  <c r="J4258" i="13"/>
  <c r="F4258" i="13"/>
  <c r="A4258" i="13"/>
  <c r="J4257" i="13"/>
  <c r="F4257" i="13"/>
  <c r="A4257" i="13"/>
  <c r="F4256" i="13"/>
  <c r="A4256" i="13"/>
  <c r="J4255" i="13"/>
  <c r="F4255" i="13"/>
  <c r="A4255" i="13"/>
  <c r="J4254" i="13"/>
  <c r="F4254" i="13"/>
  <c r="A4254" i="13"/>
  <c r="J4253" i="13"/>
  <c r="F4253" i="13"/>
  <c r="A4253" i="13"/>
  <c r="J4252" i="13"/>
  <c r="F4252" i="13"/>
  <c r="A4252" i="13"/>
  <c r="F4251" i="13"/>
  <c r="A4251" i="13"/>
  <c r="J4250" i="13"/>
  <c r="F4250" i="13"/>
  <c r="A4250" i="13"/>
  <c r="F4249" i="13"/>
  <c r="A4249" i="13"/>
  <c r="J4248" i="13"/>
  <c r="F4248" i="13"/>
  <c r="A4248" i="13"/>
  <c r="F4247" i="13"/>
  <c r="A4247" i="13"/>
  <c r="F4246" i="13"/>
  <c r="A4246" i="13"/>
  <c r="F4245" i="13"/>
  <c r="A4245" i="13"/>
  <c r="F4244" i="13"/>
  <c r="A4244" i="13"/>
  <c r="J4243" i="13"/>
  <c r="F4243" i="13"/>
  <c r="A4243" i="13"/>
  <c r="J4242" i="13"/>
  <c r="F4242" i="13"/>
  <c r="A4242" i="13"/>
  <c r="J4241" i="13"/>
  <c r="F4241" i="13"/>
  <c r="A4241" i="13"/>
  <c r="J4240" i="13"/>
  <c r="F4240" i="13"/>
  <c r="A4240" i="13"/>
  <c r="F4239" i="13"/>
  <c r="A4239" i="13"/>
  <c r="J4238" i="13"/>
  <c r="F4238" i="13"/>
  <c r="A4238" i="13"/>
  <c r="J4237" i="13"/>
  <c r="F4237" i="13"/>
  <c r="A4237" i="13"/>
  <c r="F4236" i="13"/>
  <c r="A4236" i="13"/>
  <c r="J4235" i="13"/>
  <c r="F4235" i="13"/>
  <c r="A4235" i="13"/>
  <c r="J4234" i="13"/>
  <c r="F4234" i="13"/>
  <c r="A4234" i="13"/>
  <c r="F4233" i="13"/>
  <c r="A4233" i="13"/>
  <c r="J4232" i="13"/>
  <c r="F4232" i="13"/>
  <c r="A4232" i="13"/>
  <c r="J4231" i="13"/>
  <c r="F4231" i="13"/>
  <c r="A4231" i="13"/>
  <c r="J4230" i="13"/>
  <c r="F4230" i="13"/>
  <c r="A4230" i="13"/>
  <c r="F4229" i="13"/>
  <c r="A4229" i="13"/>
  <c r="F4228" i="13"/>
  <c r="A4228" i="13"/>
  <c r="J4227" i="13"/>
  <c r="F4227" i="13"/>
  <c r="A4227" i="13"/>
  <c r="J4226" i="13"/>
  <c r="F4226" i="13"/>
  <c r="A4226" i="13"/>
  <c r="J4225" i="13"/>
  <c r="F4225" i="13"/>
  <c r="A4225" i="13"/>
  <c r="J4224" i="13"/>
  <c r="F4224" i="13"/>
  <c r="A4224" i="13"/>
  <c r="F4223" i="13"/>
  <c r="A4223" i="13"/>
  <c r="F4222" i="13"/>
  <c r="A4222" i="13"/>
  <c r="F4221" i="13"/>
  <c r="A4221" i="13"/>
  <c r="J4220" i="13"/>
  <c r="F4220" i="13"/>
  <c r="A4220" i="13"/>
  <c r="J4219" i="13"/>
  <c r="F4219" i="13"/>
  <c r="A4219" i="13"/>
  <c r="J4218" i="13"/>
  <c r="F4218" i="13"/>
  <c r="A4218" i="13"/>
  <c r="F4217" i="13"/>
  <c r="A4217" i="13"/>
  <c r="J4216" i="13"/>
  <c r="F4216" i="13"/>
  <c r="A4216" i="13"/>
  <c r="J4215" i="13"/>
  <c r="F4215" i="13"/>
  <c r="A4215" i="13"/>
  <c r="J4214" i="13"/>
  <c r="F4214" i="13"/>
  <c r="A4214" i="13"/>
  <c r="J4213" i="13"/>
  <c r="F4213" i="13"/>
  <c r="A4213" i="13"/>
  <c r="J4212" i="13"/>
  <c r="F4212" i="13"/>
  <c r="A4212" i="13"/>
  <c r="F4211" i="13"/>
  <c r="A4211" i="13"/>
  <c r="F4210" i="13"/>
  <c r="A4210" i="13"/>
  <c r="F4209" i="13"/>
  <c r="A4209" i="13"/>
  <c r="J4208" i="13"/>
  <c r="F4208" i="13"/>
  <c r="A4208" i="13"/>
  <c r="J4207" i="13"/>
  <c r="F4207" i="13"/>
  <c r="A4207" i="13"/>
  <c r="J4206" i="13"/>
  <c r="F4206" i="13"/>
  <c r="A4206" i="13"/>
  <c r="J4205" i="13"/>
  <c r="F4205" i="13"/>
  <c r="A4205" i="13"/>
  <c r="F4204" i="13"/>
  <c r="A4204" i="13"/>
  <c r="J4203" i="13"/>
  <c r="F4203" i="13"/>
  <c r="A4203" i="13"/>
  <c r="J4202" i="13"/>
  <c r="F4202" i="13"/>
  <c r="A4202" i="13"/>
  <c r="J4201" i="13"/>
  <c r="F4201" i="13"/>
  <c r="A4201" i="13"/>
  <c r="J4200" i="13"/>
  <c r="F4200" i="13"/>
  <c r="A4200" i="13"/>
  <c r="J4199" i="13"/>
  <c r="F4199" i="13"/>
  <c r="A4199" i="13"/>
  <c r="F4198" i="13"/>
  <c r="A4198" i="13"/>
  <c r="J4197" i="13"/>
  <c r="F4197" i="13"/>
  <c r="A4197" i="13"/>
  <c r="J4196" i="13"/>
  <c r="F4196" i="13"/>
  <c r="A4196" i="13"/>
  <c r="J4195" i="13"/>
  <c r="F4195" i="13"/>
  <c r="A4195" i="13"/>
  <c r="J4194" i="13"/>
  <c r="F4194" i="13"/>
  <c r="A4194" i="13"/>
  <c r="J4193" i="13"/>
  <c r="F4193" i="13"/>
  <c r="A4193" i="13"/>
  <c r="F4192" i="13"/>
  <c r="A4192" i="13"/>
  <c r="F4191" i="13"/>
  <c r="A4191" i="13"/>
  <c r="F4190" i="13"/>
  <c r="A4190" i="13"/>
  <c r="F4189" i="13"/>
  <c r="A4189" i="13"/>
  <c r="F4188" i="13"/>
  <c r="A4188" i="13"/>
  <c r="F4187" i="13"/>
  <c r="A4187" i="13"/>
  <c r="F4186" i="13"/>
  <c r="A4186" i="13"/>
  <c r="F4185" i="13"/>
  <c r="A4185" i="13"/>
  <c r="F4184" i="13"/>
  <c r="A4184" i="13"/>
  <c r="F4183" i="13"/>
  <c r="A4183" i="13"/>
  <c r="F4182" i="13"/>
  <c r="A4182" i="13"/>
  <c r="F4181" i="13"/>
  <c r="A4181" i="13"/>
  <c r="F4180" i="13"/>
  <c r="A4180" i="13"/>
  <c r="F4179" i="13"/>
  <c r="A4179" i="13"/>
  <c r="F4178" i="13"/>
  <c r="A4178" i="13"/>
  <c r="F4177" i="13"/>
  <c r="A4177" i="13"/>
  <c r="F4176" i="13"/>
  <c r="A4176" i="13"/>
  <c r="F4175" i="13"/>
  <c r="A4175" i="13"/>
  <c r="F4174" i="13"/>
  <c r="A4174" i="13"/>
  <c r="F4173" i="13"/>
  <c r="A4173" i="13"/>
  <c r="F4172" i="13"/>
  <c r="A4172" i="13"/>
  <c r="F4171" i="13"/>
  <c r="A4171" i="13"/>
  <c r="F4170" i="13"/>
  <c r="A4170" i="13"/>
  <c r="F4169" i="13"/>
  <c r="A4169" i="13"/>
  <c r="F4168" i="13"/>
  <c r="A4168" i="13"/>
  <c r="F4167" i="13"/>
  <c r="A4167" i="13"/>
  <c r="F4166" i="13"/>
  <c r="A4166" i="13"/>
  <c r="F4165" i="13"/>
  <c r="A4165" i="13"/>
  <c r="F4164" i="13"/>
  <c r="A4164" i="13"/>
  <c r="F4163" i="13"/>
  <c r="A4163" i="13"/>
  <c r="F4162" i="13"/>
  <c r="A4162" i="13"/>
  <c r="F4161" i="13"/>
  <c r="A4161" i="13"/>
  <c r="F4160" i="13"/>
  <c r="A4160" i="13"/>
  <c r="F4159" i="13"/>
  <c r="A4159" i="13"/>
  <c r="J4158" i="13"/>
  <c r="F4158" i="13"/>
  <c r="A4158" i="13"/>
  <c r="J4157" i="13"/>
  <c r="F4157" i="13"/>
  <c r="A4157" i="13"/>
  <c r="J4156" i="13"/>
  <c r="F4156" i="13"/>
  <c r="A4156" i="13"/>
  <c r="F4155" i="13"/>
  <c r="A4155" i="13"/>
  <c r="J4154" i="13"/>
  <c r="F4154" i="13"/>
  <c r="A4154" i="13"/>
  <c r="J4153" i="13"/>
  <c r="F4153" i="13"/>
  <c r="A4153" i="13"/>
  <c r="J4152" i="13"/>
  <c r="F4152" i="13"/>
  <c r="A4152" i="13"/>
  <c r="J4151" i="13"/>
  <c r="F4151" i="13"/>
  <c r="A4151" i="13"/>
  <c r="J4150" i="13"/>
  <c r="F4150" i="13"/>
  <c r="A4150" i="13"/>
  <c r="F4149" i="13"/>
  <c r="A4149" i="13"/>
  <c r="J4148" i="13"/>
  <c r="F4148" i="13"/>
  <c r="A4148" i="13"/>
  <c r="J4147" i="13"/>
  <c r="F4147" i="13"/>
  <c r="A4147" i="13"/>
  <c r="J4146" i="13"/>
  <c r="F4146" i="13"/>
  <c r="A4146" i="13"/>
  <c r="J4145" i="13"/>
  <c r="F4145" i="13"/>
  <c r="A4145" i="13"/>
  <c r="F4144" i="13"/>
  <c r="A4144" i="13"/>
  <c r="F4143" i="13"/>
  <c r="A4143" i="13"/>
  <c r="J4142" i="13"/>
  <c r="F4142" i="13"/>
  <c r="A4142" i="13"/>
  <c r="F4141" i="13"/>
  <c r="A4141" i="13"/>
  <c r="J4140" i="13"/>
  <c r="F4140" i="13"/>
  <c r="A4140" i="13"/>
  <c r="F4139" i="13"/>
  <c r="A4139" i="13"/>
  <c r="J4138" i="13"/>
  <c r="F4138" i="13"/>
  <c r="A4138" i="13"/>
  <c r="F4137" i="13"/>
  <c r="A4137" i="13"/>
  <c r="J4136" i="13"/>
  <c r="F4136" i="13"/>
  <c r="A4136" i="13"/>
  <c r="J4135" i="13"/>
  <c r="F4135" i="13"/>
  <c r="A4135" i="13"/>
  <c r="J4134" i="13"/>
  <c r="F4134" i="13"/>
  <c r="A4134" i="13"/>
  <c r="F4133" i="13"/>
  <c r="A4133" i="13"/>
  <c r="F4132" i="13"/>
  <c r="A4132" i="13"/>
  <c r="J4131" i="13"/>
  <c r="F4131" i="13"/>
  <c r="A4131" i="13"/>
  <c r="F4130" i="13"/>
  <c r="A4130" i="13"/>
  <c r="J4129" i="13"/>
  <c r="F4129" i="13"/>
  <c r="A4129" i="13"/>
  <c r="J4128" i="13"/>
  <c r="F4128" i="13"/>
  <c r="A4128" i="13"/>
  <c r="J4127" i="13"/>
  <c r="F4127" i="13"/>
  <c r="A4127" i="13"/>
  <c r="F4126" i="13"/>
  <c r="A4126" i="13"/>
  <c r="J4125" i="13"/>
  <c r="F4125" i="13"/>
  <c r="A4125" i="13"/>
  <c r="J4124" i="13"/>
  <c r="F4124" i="13"/>
  <c r="A4124" i="13"/>
  <c r="J4123" i="13"/>
  <c r="F4123" i="13"/>
  <c r="A4123" i="13"/>
  <c r="J4122" i="13"/>
  <c r="F4122" i="13"/>
  <c r="A4122" i="13"/>
  <c r="F4121" i="13"/>
  <c r="A4121" i="13"/>
  <c r="J4120" i="13"/>
  <c r="F4120" i="13"/>
  <c r="A4120" i="13"/>
  <c r="J4119" i="13"/>
  <c r="F4119" i="13"/>
  <c r="A4119" i="13"/>
  <c r="F4118" i="13"/>
  <c r="A4118" i="13"/>
  <c r="F4117" i="13"/>
  <c r="A4117" i="13"/>
  <c r="J4116" i="13"/>
  <c r="F4116" i="13"/>
  <c r="A4116" i="13"/>
  <c r="J4115" i="13"/>
  <c r="F4115" i="13"/>
  <c r="A4115" i="13"/>
  <c r="J4114" i="13"/>
  <c r="F4114" i="13"/>
  <c r="A4114" i="13"/>
  <c r="J4113" i="13"/>
  <c r="F4113" i="13"/>
  <c r="A4113" i="13"/>
  <c r="J4112" i="13"/>
  <c r="F4112" i="13"/>
  <c r="A4112" i="13"/>
  <c r="F4111" i="13"/>
  <c r="A4111" i="13"/>
  <c r="J4110" i="13"/>
  <c r="F4110" i="13"/>
  <c r="A4110" i="13"/>
  <c r="J4109" i="13"/>
  <c r="F4109" i="13"/>
  <c r="A4109" i="13"/>
  <c r="F4108" i="13"/>
  <c r="A4108" i="13"/>
  <c r="F4107" i="13"/>
  <c r="A4107" i="13"/>
  <c r="J4106" i="13"/>
  <c r="F4106" i="13"/>
  <c r="A4106" i="13"/>
  <c r="J4105" i="13"/>
  <c r="F4105" i="13"/>
  <c r="A4105" i="13"/>
  <c r="J4104" i="13"/>
  <c r="F4104" i="13"/>
  <c r="A4104" i="13"/>
  <c r="J4103" i="13"/>
  <c r="F4103" i="13"/>
  <c r="A4103" i="13"/>
  <c r="F4102" i="13"/>
  <c r="A4102" i="13"/>
  <c r="F4101" i="13"/>
  <c r="A4101" i="13"/>
  <c r="J4100" i="13"/>
  <c r="F4100" i="13"/>
  <c r="A4100" i="13"/>
  <c r="F4099" i="13"/>
  <c r="A4099" i="13"/>
  <c r="F4098" i="13"/>
  <c r="A4098" i="13"/>
  <c r="J4097" i="13"/>
  <c r="F4097" i="13"/>
  <c r="A4097" i="13"/>
  <c r="F4096" i="13"/>
  <c r="A4096" i="13"/>
  <c r="J4095" i="13"/>
  <c r="F4095" i="13"/>
  <c r="A4095" i="13"/>
  <c r="J4094" i="13"/>
  <c r="F4094" i="13"/>
  <c r="A4094" i="13"/>
  <c r="F4093" i="13"/>
  <c r="A4093" i="13"/>
  <c r="J4092" i="13"/>
  <c r="F4092" i="13"/>
  <c r="A4092" i="13"/>
  <c r="J4091" i="13"/>
  <c r="F4091" i="13"/>
  <c r="A4091" i="13"/>
  <c r="F4090" i="13"/>
  <c r="A4090" i="13"/>
  <c r="F4089" i="13"/>
  <c r="A4089" i="13"/>
  <c r="J4088" i="13"/>
  <c r="F4088" i="13"/>
  <c r="A4088" i="13"/>
  <c r="J4087" i="13"/>
  <c r="F4087" i="13"/>
  <c r="A4087" i="13"/>
  <c r="J4086" i="13"/>
  <c r="F4086" i="13"/>
  <c r="A4086" i="13"/>
  <c r="F4085" i="13"/>
  <c r="A4085" i="13"/>
  <c r="F4084" i="13"/>
  <c r="A4084" i="13"/>
  <c r="F4083" i="13"/>
  <c r="A4083" i="13"/>
  <c r="J4082" i="13"/>
  <c r="F4082" i="13"/>
  <c r="A4082" i="13"/>
  <c r="F4081" i="13"/>
  <c r="A4081" i="13"/>
  <c r="F4080" i="13"/>
  <c r="A4080" i="13"/>
  <c r="F4079" i="13"/>
  <c r="A4079" i="13"/>
  <c r="F4078" i="13"/>
  <c r="A4078" i="13"/>
  <c r="F4077" i="13"/>
  <c r="A4077" i="13"/>
  <c r="F4076" i="13"/>
  <c r="A4076" i="13"/>
  <c r="F4075" i="13"/>
  <c r="A4075" i="13"/>
  <c r="F4074" i="13"/>
  <c r="A4074" i="13"/>
  <c r="F4073" i="13"/>
  <c r="A4073" i="13"/>
  <c r="F4072" i="13"/>
  <c r="A4072" i="13"/>
  <c r="F4071" i="13"/>
  <c r="A4071" i="13"/>
  <c r="F4070" i="13"/>
  <c r="A4070" i="13"/>
  <c r="F4069" i="13"/>
  <c r="A4069" i="13"/>
  <c r="F4068" i="13"/>
  <c r="A4068" i="13"/>
  <c r="F4067" i="13"/>
  <c r="A4067" i="13"/>
  <c r="F4066" i="13"/>
  <c r="A4066" i="13"/>
  <c r="F4065" i="13"/>
  <c r="A4065" i="13"/>
  <c r="F4064" i="13"/>
  <c r="A4064" i="13"/>
  <c r="F4063" i="13"/>
  <c r="A4063" i="13"/>
  <c r="F4062" i="13"/>
  <c r="A4062" i="13"/>
  <c r="F4061" i="13"/>
  <c r="A4061" i="13"/>
  <c r="F4060" i="13"/>
  <c r="A4060" i="13"/>
  <c r="F4059" i="13"/>
  <c r="A4059" i="13"/>
  <c r="F4058" i="13"/>
  <c r="A4058" i="13"/>
  <c r="F4057" i="13"/>
  <c r="A4057" i="13"/>
  <c r="F4056" i="13"/>
  <c r="A4056" i="13"/>
  <c r="F4055" i="13"/>
  <c r="A4055" i="13"/>
  <c r="F4054" i="13"/>
  <c r="A4054" i="13"/>
  <c r="F4053" i="13"/>
  <c r="A4053" i="13"/>
  <c r="F4052" i="13"/>
  <c r="A4052" i="13"/>
  <c r="F4051" i="13"/>
  <c r="A4051" i="13"/>
  <c r="J4050" i="13"/>
  <c r="F4050" i="13"/>
  <c r="A4050" i="13"/>
  <c r="F4049" i="13"/>
  <c r="A4049" i="13"/>
  <c r="J4048" i="13"/>
  <c r="F4048" i="13"/>
  <c r="A4048" i="13"/>
  <c r="J4047" i="13"/>
  <c r="F4047" i="13"/>
  <c r="A4047" i="13"/>
  <c r="F4046" i="13"/>
  <c r="A4046" i="13"/>
  <c r="F4045" i="13"/>
  <c r="A4045" i="13"/>
  <c r="J4044" i="13"/>
  <c r="F4044" i="13"/>
  <c r="A4044" i="13"/>
  <c r="J4043" i="13"/>
  <c r="F4043" i="13"/>
  <c r="A4043" i="13"/>
  <c r="J4042" i="13"/>
  <c r="F4042" i="13"/>
  <c r="A4042" i="13"/>
  <c r="F4041" i="13"/>
  <c r="A4041" i="13"/>
  <c r="J4040" i="13"/>
  <c r="F4040" i="13"/>
  <c r="A4040" i="13"/>
  <c r="J4039" i="13"/>
  <c r="F4039" i="13"/>
  <c r="A4039" i="13"/>
  <c r="J4038" i="13"/>
  <c r="F4038" i="13"/>
  <c r="A4038" i="13"/>
  <c r="F4037" i="13"/>
  <c r="A4037" i="13"/>
  <c r="J4036" i="13"/>
  <c r="F4036" i="13"/>
  <c r="A4036" i="13"/>
  <c r="J4035" i="13"/>
  <c r="F4035" i="13"/>
  <c r="A4035" i="13"/>
  <c r="F4034" i="13"/>
  <c r="A4034" i="13"/>
  <c r="J4033" i="13"/>
  <c r="F4033" i="13"/>
  <c r="A4033" i="13"/>
  <c r="J4032" i="13"/>
  <c r="F4032" i="13"/>
  <c r="A4032" i="13"/>
  <c r="F4031" i="13"/>
  <c r="A4031" i="13"/>
  <c r="J4030" i="13"/>
  <c r="F4030" i="13"/>
  <c r="A4030" i="13"/>
  <c r="J4029" i="13"/>
  <c r="F4029" i="13"/>
  <c r="A4029" i="13"/>
  <c r="F4028" i="13"/>
  <c r="A4028" i="13"/>
  <c r="J4027" i="13"/>
  <c r="F4027" i="13"/>
  <c r="A4027" i="13"/>
  <c r="J4026" i="13"/>
  <c r="F4026" i="13"/>
  <c r="A4026" i="13"/>
  <c r="F4025" i="13"/>
  <c r="A4025" i="13"/>
  <c r="J4024" i="13"/>
  <c r="F4024" i="13"/>
  <c r="A4024" i="13"/>
  <c r="J4023" i="13"/>
  <c r="F4023" i="13"/>
  <c r="A4023" i="13"/>
  <c r="J4022" i="13"/>
  <c r="F4022" i="13"/>
  <c r="A4022" i="13"/>
  <c r="F4021" i="13"/>
  <c r="A4021" i="13"/>
  <c r="J4020" i="13"/>
  <c r="F4020" i="13"/>
  <c r="A4020" i="13"/>
  <c r="J4019" i="13"/>
  <c r="F4019" i="13"/>
  <c r="A4019" i="13"/>
  <c r="J4018" i="13"/>
  <c r="F4018" i="13"/>
  <c r="A4018" i="13"/>
  <c r="J4017" i="13"/>
  <c r="F4017" i="13"/>
  <c r="A4017" i="13"/>
  <c r="J4016" i="13"/>
  <c r="F4016" i="13"/>
  <c r="A4016" i="13"/>
  <c r="J4015" i="13"/>
  <c r="F4015" i="13"/>
  <c r="A4015" i="13"/>
  <c r="J4014" i="13"/>
  <c r="F4014" i="13"/>
  <c r="A4014" i="13"/>
  <c r="F4013" i="13"/>
  <c r="A4013" i="13"/>
  <c r="J4012" i="13"/>
  <c r="F4012" i="13"/>
  <c r="A4012" i="13"/>
  <c r="F4011" i="13"/>
  <c r="A4011" i="13"/>
  <c r="J4010" i="13"/>
  <c r="F4010" i="13"/>
  <c r="A4010" i="13"/>
  <c r="J4009" i="13"/>
  <c r="F4009" i="13"/>
  <c r="A4009" i="13"/>
  <c r="F4008" i="13"/>
  <c r="A4008" i="13"/>
  <c r="J4007" i="13"/>
  <c r="F4007" i="13"/>
  <c r="A4007" i="13"/>
  <c r="J4006" i="13"/>
  <c r="F4006" i="13"/>
  <c r="A4006" i="13"/>
  <c r="F4005" i="13"/>
  <c r="A4005" i="13"/>
  <c r="J4004" i="13"/>
  <c r="F4004" i="13"/>
  <c r="A4004" i="13"/>
  <c r="J4003" i="13"/>
  <c r="F4003" i="13"/>
  <c r="A4003" i="13"/>
  <c r="F4002" i="13"/>
  <c r="A4002" i="13"/>
  <c r="J4001" i="13"/>
  <c r="F4001" i="13"/>
  <c r="A4001" i="13"/>
  <c r="J4000" i="13"/>
  <c r="F4000" i="13"/>
  <c r="A4000" i="13"/>
  <c r="F3999" i="13"/>
  <c r="A3999" i="13"/>
  <c r="J3998" i="13"/>
  <c r="F3998" i="13"/>
  <c r="A3998" i="13"/>
  <c r="J3997" i="13"/>
  <c r="F3997" i="13"/>
  <c r="A3997" i="13"/>
  <c r="F3996" i="13"/>
  <c r="A3996" i="13"/>
  <c r="J3995" i="13"/>
  <c r="F3995" i="13"/>
  <c r="A3995" i="13"/>
  <c r="F3994" i="13"/>
  <c r="A3994" i="13"/>
  <c r="F3993" i="13"/>
  <c r="A3993" i="13"/>
  <c r="J3992" i="13"/>
  <c r="F3992" i="13"/>
  <c r="A3992" i="13"/>
  <c r="J3991" i="13"/>
  <c r="F3991" i="13"/>
  <c r="A3991" i="13"/>
  <c r="J3990" i="13"/>
  <c r="F3990" i="13"/>
  <c r="A3990" i="13"/>
  <c r="J3989" i="13"/>
  <c r="F3989" i="13"/>
  <c r="A3989" i="13"/>
  <c r="F3988" i="13"/>
  <c r="A3988" i="13"/>
  <c r="F3987" i="13"/>
  <c r="A3987" i="13"/>
  <c r="J3986" i="13"/>
  <c r="F3986" i="13"/>
  <c r="A3986" i="13"/>
  <c r="J3985" i="13"/>
  <c r="F3985" i="13"/>
  <c r="A3985" i="13"/>
  <c r="F3984" i="13"/>
  <c r="A3984" i="13"/>
  <c r="J3983" i="13"/>
  <c r="F3983" i="13"/>
  <c r="A3983" i="13"/>
  <c r="F3982" i="13"/>
  <c r="A3982" i="13"/>
  <c r="J3981" i="13"/>
  <c r="F3981" i="13"/>
  <c r="A3981" i="13"/>
  <c r="J3980" i="13"/>
  <c r="F3980" i="13"/>
  <c r="A3980" i="13"/>
  <c r="J3979" i="13"/>
  <c r="F3979" i="13"/>
  <c r="A3979" i="13"/>
  <c r="J3978" i="13"/>
  <c r="F3978" i="13"/>
  <c r="A3978" i="13"/>
  <c r="F3977" i="13"/>
  <c r="A3977" i="13"/>
  <c r="J3976" i="13"/>
  <c r="F3976" i="13"/>
  <c r="A3976" i="13"/>
  <c r="J3975" i="13"/>
  <c r="F3975" i="13"/>
  <c r="A3975" i="13"/>
  <c r="F3974" i="13"/>
  <c r="A3974" i="13"/>
  <c r="F3973" i="13"/>
  <c r="A3973" i="13"/>
  <c r="F3972" i="13"/>
  <c r="A3972" i="13"/>
  <c r="J3971" i="13"/>
  <c r="F3971" i="13"/>
  <c r="A3971" i="13"/>
  <c r="J3970" i="13"/>
  <c r="F3970" i="13"/>
  <c r="A3970" i="13"/>
  <c r="J3969" i="13"/>
  <c r="F3969" i="13"/>
  <c r="A3969" i="13"/>
  <c r="J3968" i="13"/>
  <c r="F3968" i="13"/>
  <c r="A3968" i="13"/>
  <c r="F3967" i="13"/>
  <c r="A3967" i="13"/>
  <c r="J3966" i="13"/>
  <c r="F3966" i="13"/>
  <c r="A3966" i="13"/>
  <c r="J3965" i="13"/>
  <c r="F3965" i="13"/>
  <c r="A3965" i="13"/>
  <c r="J3964" i="13"/>
  <c r="F3964" i="13"/>
  <c r="A3964" i="13"/>
  <c r="F3963" i="13"/>
  <c r="A3963" i="13"/>
  <c r="F3962" i="13"/>
  <c r="A3962" i="13"/>
  <c r="J3961" i="13"/>
  <c r="F3961" i="13"/>
  <c r="A3961" i="13"/>
  <c r="J3960" i="13"/>
  <c r="F3960" i="13"/>
  <c r="A3960" i="13"/>
  <c r="F3959" i="13"/>
  <c r="A3959" i="13"/>
  <c r="J3958" i="13"/>
  <c r="F3958" i="13"/>
  <c r="A3958" i="13"/>
  <c r="F3957" i="13"/>
  <c r="A3957" i="13"/>
  <c r="J3956" i="13"/>
  <c r="F3956" i="13"/>
  <c r="A3956" i="13"/>
  <c r="J3955" i="13"/>
  <c r="F3955" i="13"/>
  <c r="A3955" i="13"/>
  <c r="F3954" i="13"/>
  <c r="A3954" i="13"/>
  <c r="J3953" i="13"/>
  <c r="F3953" i="13"/>
  <c r="A3953" i="13"/>
  <c r="J3952" i="13"/>
  <c r="F3952" i="13"/>
  <c r="A3952" i="13"/>
  <c r="J3951" i="13"/>
  <c r="F3951" i="13"/>
  <c r="A3951" i="13"/>
  <c r="F3950" i="13"/>
  <c r="A3950" i="13"/>
  <c r="F3949" i="13"/>
  <c r="A3949" i="13"/>
  <c r="F3948" i="13"/>
  <c r="A3948" i="13"/>
  <c r="F3947" i="13"/>
  <c r="A3947" i="13"/>
  <c r="F3946" i="13"/>
  <c r="A3946" i="13"/>
  <c r="F3945" i="13"/>
  <c r="A3945" i="13"/>
  <c r="F3944" i="13"/>
  <c r="A3944" i="13"/>
  <c r="F3943" i="13"/>
  <c r="A3943" i="13"/>
  <c r="F3942" i="13"/>
  <c r="A3942" i="13"/>
  <c r="F3941" i="13"/>
  <c r="A3941" i="13"/>
  <c r="F3940" i="13"/>
  <c r="A3940" i="13"/>
  <c r="F3939" i="13"/>
  <c r="A3939" i="13"/>
  <c r="F3938" i="13"/>
  <c r="A3938" i="13"/>
  <c r="F3937" i="13"/>
  <c r="A3937" i="13"/>
  <c r="F3936" i="13"/>
  <c r="A3936" i="13"/>
  <c r="F3935" i="13"/>
  <c r="A3935" i="13"/>
  <c r="F3934" i="13"/>
  <c r="A3934" i="13"/>
  <c r="F3933" i="13"/>
  <c r="A3933" i="13"/>
  <c r="F3932" i="13"/>
  <c r="A3932" i="13"/>
  <c r="F3931" i="13"/>
  <c r="A3931" i="13"/>
  <c r="F3930" i="13"/>
  <c r="A3930" i="13"/>
  <c r="F3929" i="13"/>
  <c r="A3929" i="13"/>
  <c r="F3928" i="13"/>
  <c r="A3928" i="13"/>
  <c r="F3927" i="13"/>
  <c r="A3927" i="13"/>
  <c r="F3926" i="13"/>
  <c r="A3926" i="13"/>
  <c r="F3925" i="13"/>
  <c r="A3925" i="13"/>
  <c r="J3924" i="13"/>
  <c r="F3924" i="13"/>
  <c r="A3924" i="13"/>
  <c r="J3923" i="13"/>
  <c r="F3923" i="13"/>
  <c r="A3923" i="13"/>
  <c r="F3922" i="13"/>
  <c r="A3922" i="13"/>
  <c r="J3921" i="13"/>
  <c r="F3921" i="13"/>
  <c r="A3921" i="13"/>
  <c r="J3920" i="13"/>
  <c r="F3920" i="13"/>
  <c r="A3920" i="13"/>
  <c r="F3919" i="13"/>
  <c r="A3919" i="13"/>
  <c r="J3918" i="13"/>
  <c r="F3918" i="13"/>
  <c r="A3918" i="13"/>
  <c r="J3917" i="13"/>
  <c r="F3917" i="13"/>
  <c r="A3917" i="13"/>
  <c r="F3916" i="13"/>
  <c r="A3916" i="13"/>
  <c r="J3915" i="13"/>
  <c r="F3915" i="13"/>
  <c r="A3915" i="13"/>
  <c r="J3914" i="13"/>
  <c r="F3914" i="13"/>
  <c r="A3914" i="13"/>
  <c r="J3913" i="13"/>
  <c r="F3913" i="13"/>
  <c r="A3913" i="13"/>
  <c r="F3912" i="13"/>
  <c r="A3912" i="13"/>
  <c r="F3911" i="13"/>
  <c r="A3911" i="13"/>
  <c r="J3910" i="13"/>
  <c r="F3910" i="13"/>
  <c r="A3910" i="13"/>
  <c r="J3909" i="13"/>
  <c r="F3909" i="13"/>
  <c r="A3909" i="13"/>
  <c r="F3908" i="13"/>
  <c r="A3908" i="13"/>
  <c r="J3907" i="13"/>
  <c r="F3907" i="13"/>
  <c r="A3907" i="13"/>
  <c r="J3906" i="13"/>
  <c r="F3906" i="13"/>
  <c r="A3906" i="13"/>
  <c r="J3905" i="13"/>
  <c r="F3905" i="13"/>
  <c r="A3905" i="13"/>
  <c r="F3904" i="13"/>
  <c r="A3904" i="13"/>
  <c r="J3903" i="13"/>
  <c r="F3903" i="13"/>
  <c r="A3903" i="13"/>
  <c r="J3902" i="13"/>
  <c r="F3902" i="13"/>
  <c r="A3902" i="13"/>
  <c r="F3901" i="13"/>
  <c r="A3901" i="13"/>
  <c r="J3900" i="13"/>
  <c r="F3900" i="13"/>
  <c r="A3900" i="13"/>
  <c r="J3899" i="13"/>
  <c r="F3899" i="13"/>
  <c r="A3899" i="13"/>
  <c r="F3898" i="13"/>
  <c r="A3898" i="13"/>
  <c r="J3897" i="13"/>
  <c r="F3897" i="13"/>
  <c r="A3897" i="13"/>
  <c r="J3896" i="13"/>
  <c r="F3896" i="13"/>
  <c r="A3896" i="13"/>
  <c r="F3895" i="13"/>
  <c r="A3895" i="13"/>
  <c r="J3894" i="13"/>
  <c r="F3894" i="13"/>
  <c r="A3894" i="13"/>
  <c r="J3893" i="13"/>
  <c r="F3893" i="13"/>
  <c r="A3893" i="13"/>
  <c r="F3892" i="13"/>
  <c r="A3892" i="13"/>
  <c r="J3891" i="13"/>
  <c r="F3891" i="13"/>
  <c r="A3891" i="13"/>
  <c r="J3890" i="13"/>
  <c r="F3890" i="13"/>
  <c r="A3890" i="13"/>
  <c r="F3889" i="13"/>
  <c r="A3889" i="13"/>
  <c r="J3888" i="13"/>
  <c r="F3888" i="13"/>
  <c r="A3888" i="13"/>
  <c r="J3887" i="13"/>
  <c r="F3887" i="13"/>
  <c r="A3887" i="13"/>
  <c r="F3886" i="13"/>
  <c r="A3886" i="13"/>
  <c r="J3885" i="13"/>
  <c r="F3885" i="13"/>
  <c r="A3885" i="13"/>
  <c r="J3884" i="13"/>
  <c r="F3884" i="13"/>
  <c r="A3884" i="13"/>
  <c r="F3883" i="13"/>
  <c r="A3883" i="13"/>
  <c r="J3882" i="13"/>
  <c r="F3882" i="13"/>
  <c r="A3882" i="13"/>
  <c r="J3881" i="13"/>
  <c r="F3881" i="13"/>
  <c r="A3881" i="13"/>
  <c r="F3880" i="13"/>
  <c r="A3880" i="13"/>
  <c r="F3879" i="13"/>
  <c r="A3879" i="13"/>
  <c r="J3878" i="13"/>
  <c r="F3878" i="13"/>
  <c r="A3878" i="13"/>
  <c r="J3877" i="13"/>
  <c r="F3877" i="13"/>
  <c r="A3877" i="13"/>
  <c r="F3876" i="13"/>
  <c r="A3876" i="13"/>
  <c r="J3875" i="13"/>
  <c r="F3875" i="13"/>
  <c r="A3875" i="13"/>
  <c r="J3874" i="13"/>
  <c r="F3874" i="13"/>
  <c r="A3874" i="13"/>
  <c r="F3873" i="13"/>
  <c r="A3873" i="13"/>
  <c r="J3872" i="13"/>
  <c r="F3872" i="13"/>
  <c r="A3872" i="13"/>
  <c r="J3871" i="13"/>
  <c r="F3871" i="13"/>
  <c r="A3871" i="13"/>
  <c r="F3870" i="13"/>
  <c r="A3870" i="13"/>
  <c r="J3869" i="13"/>
  <c r="F3869" i="13"/>
  <c r="A3869" i="13"/>
  <c r="J3868" i="13"/>
  <c r="F3868" i="13"/>
  <c r="A3868" i="13"/>
  <c r="F3867" i="13"/>
  <c r="A3867" i="13"/>
  <c r="J3866" i="13"/>
  <c r="F3866" i="13"/>
  <c r="A3866" i="13"/>
  <c r="J3865" i="13"/>
  <c r="F3865" i="13"/>
  <c r="A3865" i="13"/>
  <c r="F3864" i="13"/>
  <c r="A3864" i="13"/>
  <c r="J3863" i="13"/>
  <c r="F3863" i="13"/>
  <c r="A3863" i="13"/>
  <c r="J3862" i="13"/>
  <c r="F3862" i="13"/>
  <c r="A3862" i="13"/>
  <c r="F3861" i="13"/>
  <c r="A3861" i="13"/>
  <c r="J3860" i="13"/>
  <c r="F3860" i="13"/>
  <c r="A3860" i="13"/>
  <c r="J3859" i="13"/>
  <c r="F3859" i="13"/>
  <c r="A3859" i="13"/>
  <c r="F3858" i="13"/>
  <c r="A3858" i="13"/>
  <c r="J3857" i="13"/>
  <c r="F3857" i="13"/>
  <c r="A3857" i="13"/>
  <c r="J3856" i="13"/>
  <c r="F3856" i="13"/>
  <c r="A3856" i="13"/>
  <c r="J3855" i="13"/>
  <c r="F3855" i="13"/>
  <c r="A3855" i="13"/>
  <c r="F3854" i="13"/>
  <c r="A3854" i="13"/>
  <c r="F3853" i="13"/>
  <c r="A3853" i="13"/>
  <c r="J3852" i="13"/>
  <c r="F3852" i="13"/>
  <c r="A3852" i="13"/>
  <c r="J3851" i="13"/>
  <c r="F3851" i="13"/>
  <c r="A3851" i="13"/>
  <c r="J3850" i="13"/>
  <c r="F3850" i="13"/>
  <c r="A3850" i="13"/>
  <c r="J3849" i="13"/>
  <c r="F3849" i="13"/>
  <c r="A3849" i="13"/>
  <c r="F3848" i="13"/>
  <c r="A3848" i="13"/>
  <c r="J3847" i="13"/>
  <c r="F3847" i="13"/>
  <c r="A3847" i="13"/>
  <c r="J3846" i="13"/>
  <c r="F3846" i="13"/>
  <c r="A3846" i="13"/>
  <c r="F3845" i="13"/>
  <c r="A3845" i="13"/>
  <c r="J3844" i="13"/>
  <c r="F3844" i="13"/>
  <c r="A3844" i="13"/>
  <c r="J3843" i="13"/>
  <c r="F3843" i="13"/>
  <c r="A3843" i="13"/>
  <c r="J3842" i="13"/>
  <c r="F3842" i="13"/>
  <c r="A3842" i="13"/>
  <c r="F3841" i="13"/>
  <c r="A3841" i="13"/>
  <c r="J3840" i="13"/>
  <c r="F3840" i="13"/>
  <c r="A3840" i="13"/>
  <c r="J3839" i="13"/>
  <c r="F3839" i="13"/>
  <c r="A3839" i="13"/>
  <c r="J3838" i="13"/>
  <c r="F3838" i="13"/>
  <c r="A3838" i="13"/>
  <c r="J3837" i="13"/>
  <c r="F3837" i="13"/>
  <c r="A3837" i="13"/>
  <c r="F3836" i="13"/>
  <c r="A3836" i="13"/>
  <c r="F3835" i="13"/>
  <c r="A3835" i="13"/>
  <c r="F3834" i="13"/>
  <c r="A3834" i="13"/>
  <c r="J3833" i="13"/>
  <c r="F3833" i="13"/>
  <c r="A3833" i="13"/>
  <c r="F3832" i="13"/>
  <c r="A3832" i="13"/>
  <c r="J3831" i="13"/>
  <c r="F3831" i="13"/>
  <c r="A3831" i="13"/>
  <c r="J3830" i="13"/>
  <c r="F3830" i="13"/>
  <c r="A3830" i="13"/>
  <c r="F3829" i="13"/>
  <c r="A3829" i="13"/>
  <c r="F3828" i="13"/>
  <c r="A3828" i="13"/>
  <c r="J3827" i="13"/>
  <c r="F3827" i="13"/>
  <c r="A3827" i="13"/>
  <c r="J3826" i="13"/>
  <c r="F3826" i="13"/>
  <c r="A3826" i="13"/>
  <c r="J3825" i="13"/>
  <c r="F3825" i="13"/>
  <c r="A3825" i="13"/>
  <c r="J3824" i="13"/>
  <c r="F3824" i="13"/>
  <c r="A3824" i="13"/>
  <c r="F3823" i="13"/>
  <c r="A3823" i="13"/>
  <c r="F3822" i="13"/>
  <c r="A3822" i="13"/>
  <c r="F3821" i="13"/>
  <c r="A3821" i="13"/>
  <c r="J3820" i="13"/>
  <c r="F3820" i="13"/>
  <c r="A3820" i="13"/>
  <c r="J3819" i="13"/>
  <c r="F3819" i="13"/>
  <c r="A3819" i="13"/>
  <c r="J3818" i="13"/>
  <c r="F3818" i="13"/>
  <c r="A3818" i="13"/>
  <c r="J3817" i="13"/>
  <c r="F3817" i="13"/>
  <c r="A3817" i="13"/>
  <c r="J3816" i="13"/>
  <c r="F3816" i="13"/>
  <c r="A3816" i="13"/>
  <c r="J3815" i="13"/>
  <c r="F3815" i="13"/>
  <c r="A3815" i="13"/>
  <c r="F3814" i="13"/>
  <c r="A3814" i="13"/>
  <c r="J3813" i="13"/>
  <c r="F3813" i="13"/>
  <c r="A3813" i="13"/>
  <c r="F3812" i="13"/>
  <c r="A3812" i="13"/>
  <c r="J3811" i="13"/>
  <c r="F3811" i="13"/>
  <c r="A3811" i="13"/>
  <c r="J3810" i="13"/>
  <c r="F3810" i="13"/>
  <c r="A3810" i="13"/>
  <c r="F3809" i="13"/>
  <c r="A3809" i="13"/>
  <c r="F3808" i="13"/>
  <c r="A3808" i="13"/>
  <c r="J3807" i="13"/>
  <c r="F3807" i="13"/>
  <c r="A3807" i="13"/>
  <c r="F3806" i="13"/>
  <c r="A3806" i="13"/>
  <c r="J3805" i="13"/>
  <c r="F3805" i="13"/>
  <c r="A3805" i="13"/>
  <c r="J3804" i="13"/>
  <c r="F3804" i="13"/>
  <c r="A3804" i="13"/>
  <c r="F3803" i="13"/>
  <c r="A3803" i="13"/>
  <c r="J3802" i="13"/>
  <c r="F3802" i="13"/>
  <c r="A3802" i="13"/>
  <c r="J3801" i="13"/>
  <c r="F3801" i="13"/>
  <c r="A3801" i="13"/>
  <c r="J3800" i="13"/>
  <c r="F3800" i="13"/>
  <c r="A3800" i="13"/>
  <c r="J3799" i="13"/>
  <c r="F3799" i="13"/>
  <c r="A3799" i="13"/>
  <c r="J3798" i="13"/>
  <c r="F3798" i="13"/>
  <c r="A3798" i="13"/>
  <c r="J3797" i="13"/>
  <c r="F3797" i="13"/>
  <c r="A3797" i="13"/>
  <c r="J3796" i="13"/>
  <c r="F3796" i="13"/>
  <c r="A3796" i="13"/>
  <c r="J3795" i="13"/>
  <c r="F3795" i="13"/>
  <c r="A3795" i="13"/>
  <c r="J3794" i="13"/>
  <c r="F3794" i="13"/>
  <c r="A3794" i="13"/>
  <c r="F3793" i="13"/>
  <c r="A3793" i="13"/>
  <c r="F3792" i="13"/>
  <c r="A3792" i="13"/>
  <c r="J3791" i="13"/>
  <c r="F3791" i="13"/>
  <c r="A3791" i="13"/>
  <c r="J3790" i="13"/>
  <c r="F3790" i="13"/>
  <c r="A3790" i="13"/>
  <c r="J3789" i="13"/>
  <c r="F3789" i="13"/>
  <c r="A3789" i="13"/>
  <c r="J3788" i="13"/>
  <c r="F3788" i="13"/>
  <c r="A3788" i="13"/>
  <c r="J3787" i="13"/>
  <c r="F3787" i="13"/>
  <c r="A3787" i="13"/>
  <c r="F3786" i="13"/>
  <c r="A3786" i="13"/>
  <c r="J3785" i="13"/>
  <c r="F3785" i="13"/>
  <c r="A3785" i="13"/>
  <c r="F3784" i="13"/>
  <c r="A3784" i="13"/>
  <c r="F3783" i="13"/>
  <c r="A3783" i="13"/>
  <c r="F3782" i="13"/>
  <c r="A3782" i="13"/>
  <c r="F3781" i="13"/>
  <c r="A3781" i="13"/>
  <c r="F3780" i="13"/>
  <c r="A3780" i="13"/>
  <c r="F3779" i="13"/>
  <c r="A3779" i="13"/>
  <c r="F3778" i="13"/>
  <c r="A3778" i="13"/>
  <c r="F3777" i="13"/>
  <c r="A3777" i="13"/>
  <c r="F3776" i="13"/>
  <c r="A3776" i="13"/>
  <c r="F3775" i="13"/>
  <c r="A3775" i="13"/>
  <c r="F3774" i="13"/>
  <c r="A3774" i="13"/>
  <c r="F3773" i="13"/>
  <c r="A3773" i="13"/>
  <c r="F3772" i="13"/>
  <c r="A3772" i="13"/>
  <c r="F3771" i="13"/>
  <c r="A3771" i="13"/>
  <c r="F3770" i="13"/>
  <c r="A3770" i="13"/>
  <c r="F3769" i="13"/>
  <c r="A3769" i="13"/>
  <c r="F3768" i="13"/>
  <c r="A3768" i="13"/>
  <c r="F3767" i="13"/>
  <c r="A3767" i="13"/>
  <c r="F3766" i="13"/>
  <c r="A3766" i="13"/>
  <c r="F3765" i="13"/>
  <c r="A3765" i="13"/>
  <c r="F3764" i="13"/>
  <c r="A3764" i="13"/>
  <c r="F3763" i="13"/>
  <c r="A3763" i="13"/>
  <c r="F3762" i="13"/>
  <c r="A3762" i="13"/>
  <c r="F3761" i="13"/>
  <c r="A3761" i="13"/>
  <c r="F3760" i="13"/>
  <c r="A3760" i="13"/>
  <c r="F3759" i="13"/>
  <c r="A3759" i="13"/>
  <c r="F3758" i="13"/>
  <c r="A3758" i="13"/>
  <c r="J3757" i="13"/>
  <c r="F3757" i="13"/>
  <c r="A3757" i="13"/>
  <c r="F3756" i="13"/>
  <c r="A3756" i="13"/>
  <c r="J3755" i="13"/>
  <c r="F3755" i="13"/>
  <c r="A3755" i="13"/>
  <c r="J3754" i="13"/>
  <c r="F3754" i="13"/>
  <c r="A3754" i="13"/>
  <c r="J3753" i="13"/>
  <c r="F3753" i="13"/>
  <c r="A3753" i="13"/>
  <c r="J3752" i="13"/>
  <c r="F3752" i="13"/>
  <c r="A3752" i="13"/>
  <c r="J3751" i="13"/>
  <c r="F3751" i="13"/>
  <c r="A3751" i="13"/>
  <c r="F3750" i="13"/>
  <c r="A3750" i="13"/>
  <c r="J3749" i="13"/>
  <c r="F3749" i="13"/>
  <c r="A3749" i="13"/>
  <c r="J3748" i="13"/>
  <c r="F3748" i="13"/>
  <c r="A3748" i="13"/>
  <c r="J3747" i="13"/>
  <c r="F3747" i="13"/>
  <c r="A3747" i="13"/>
  <c r="J3746" i="13"/>
  <c r="F3746" i="13"/>
  <c r="A3746" i="13"/>
  <c r="J3745" i="13"/>
  <c r="F3745" i="13"/>
  <c r="A3745" i="13"/>
  <c r="J3744" i="13"/>
  <c r="F3744" i="13"/>
  <c r="A3744" i="13"/>
  <c r="F3743" i="13"/>
  <c r="A3743" i="13"/>
  <c r="J3742" i="13"/>
  <c r="F3742" i="13"/>
  <c r="A3742" i="13"/>
  <c r="F3741" i="13"/>
  <c r="A3741" i="13"/>
  <c r="J3740" i="13"/>
  <c r="F3740" i="13"/>
  <c r="A3740" i="13"/>
  <c r="J3739" i="13"/>
  <c r="F3739" i="13"/>
  <c r="A3739" i="13"/>
  <c r="J3738" i="13"/>
  <c r="F3738" i="13"/>
  <c r="A3738" i="13"/>
  <c r="F3737" i="13"/>
  <c r="A3737" i="13"/>
  <c r="J3736" i="13"/>
  <c r="F3736" i="13"/>
  <c r="A3736" i="13"/>
  <c r="F3735" i="13"/>
  <c r="A3735" i="13"/>
  <c r="J3734" i="13"/>
  <c r="F3734" i="13"/>
  <c r="A3734" i="13"/>
  <c r="J3733" i="13"/>
  <c r="F3733" i="13"/>
  <c r="A3733" i="13"/>
  <c r="J3732" i="13"/>
  <c r="F3732" i="13"/>
  <c r="A3732" i="13"/>
  <c r="F3731" i="13"/>
  <c r="A3731" i="13"/>
  <c r="F3730" i="13"/>
  <c r="A3730" i="13"/>
  <c r="J3729" i="13"/>
  <c r="F3729" i="13"/>
  <c r="A3729" i="13"/>
  <c r="J3728" i="13"/>
  <c r="F3728" i="13"/>
  <c r="A3728" i="13"/>
  <c r="F3727" i="13"/>
  <c r="A3727" i="13"/>
  <c r="J3726" i="13"/>
  <c r="F3726" i="13"/>
  <c r="A3726" i="13"/>
  <c r="J3725" i="13"/>
  <c r="F3725" i="13"/>
  <c r="A3725" i="13"/>
  <c r="J3724" i="13"/>
  <c r="F3724" i="13"/>
  <c r="A3724" i="13"/>
  <c r="J3723" i="13"/>
  <c r="F3723" i="13"/>
  <c r="A3723" i="13"/>
  <c r="F3722" i="13"/>
  <c r="A3722" i="13"/>
  <c r="J3721" i="13"/>
  <c r="F3721" i="13"/>
  <c r="A3721" i="13"/>
  <c r="J3720" i="13"/>
  <c r="F3720" i="13"/>
  <c r="A3720" i="13"/>
  <c r="J3719" i="13"/>
  <c r="F3719" i="13"/>
  <c r="A3719" i="13"/>
  <c r="F3718" i="13"/>
  <c r="A3718" i="13"/>
  <c r="F3717" i="13"/>
  <c r="A3717" i="13"/>
  <c r="J3716" i="13"/>
  <c r="F3716" i="13"/>
  <c r="A3716" i="13"/>
  <c r="J3715" i="13"/>
  <c r="F3715" i="13"/>
  <c r="A3715" i="13"/>
  <c r="J3714" i="13"/>
  <c r="F3714" i="13"/>
  <c r="A3714" i="13"/>
  <c r="J3713" i="13"/>
  <c r="F3713" i="13"/>
  <c r="A3713" i="13"/>
  <c r="J3712" i="13"/>
  <c r="F3712" i="13"/>
  <c r="A3712" i="13"/>
  <c r="J3711" i="13"/>
  <c r="F3711" i="13"/>
  <c r="A3711" i="13"/>
  <c r="J3710" i="13"/>
  <c r="F3710" i="13"/>
  <c r="A3710" i="13"/>
  <c r="J3709" i="13"/>
  <c r="F3709" i="13"/>
  <c r="A3709" i="13"/>
  <c r="J3708" i="13"/>
  <c r="F3708" i="13"/>
  <c r="A3708" i="13"/>
  <c r="J3707" i="13"/>
  <c r="F3707" i="13"/>
  <c r="A3707" i="13"/>
  <c r="F3706" i="13"/>
  <c r="A3706" i="13"/>
  <c r="J3705" i="13"/>
  <c r="F3705" i="13"/>
  <c r="A3705" i="13"/>
  <c r="J3704" i="13"/>
  <c r="F3704" i="13"/>
  <c r="A3704" i="13"/>
  <c r="J3703" i="13"/>
  <c r="F3703" i="13"/>
  <c r="A3703" i="13"/>
  <c r="J3702" i="13"/>
  <c r="F3702" i="13"/>
  <c r="A3702" i="13"/>
  <c r="J3701" i="13"/>
  <c r="F3701" i="13"/>
  <c r="A3701" i="13"/>
  <c r="J3700" i="13"/>
  <c r="F3700" i="13"/>
  <c r="A3700" i="13"/>
  <c r="J3699" i="13"/>
  <c r="F3699" i="13"/>
  <c r="A3699" i="13"/>
  <c r="F3698" i="13"/>
  <c r="A3698" i="13"/>
  <c r="F3697" i="13"/>
  <c r="A3697" i="13"/>
  <c r="J3696" i="13"/>
  <c r="F3696" i="13"/>
  <c r="A3696" i="13"/>
  <c r="J3695" i="13"/>
  <c r="F3695" i="13"/>
  <c r="A3695" i="13"/>
  <c r="F3694" i="13"/>
  <c r="A3694" i="13"/>
  <c r="J3693" i="13"/>
  <c r="F3693" i="13"/>
  <c r="A3693" i="13"/>
  <c r="J3692" i="13"/>
  <c r="F3692" i="13"/>
  <c r="A3692" i="13"/>
  <c r="J3691" i="13"/>
  <c r="F3691" i="13"/>
  <c r="A3691" i="13"/>
  <c r="J3690" i="13"/>
  <c r="F3690" i="13"/>
  <c r="A3690" i="13"/>
  <c r="J3689" i="13"/>
  <c r="F3689" i="13"/>
  <c r="A3689" i="13"/>
  <c r="F3688" i="13"/>
  <c r="A3688" i="13"/>
  <c r="J3687" i="13"/>
  <c r="F3687" i="13"/>
  <c r="A3687" i="13"/>
  <c r="J3686" i="13"/>
  <c r="F3686" i="13"/>
  <c r="A3686" i="13"/>
  <c r="J3685" i="13"/>
  <c r="F3685" i="13"/>
  <c r="A3685" i="13"/>
  <c r="F3684" i="13"/>
  <c r="A3684" i="13"/>
  <c r="F3683" i="13"/>
  <c r="A3683" i="13"/>
  <c r="F3682" i="13"/>
  <c r="A3682" i="13"/>
  <c r="F3681" i="13"/>
  <c r="A3681" i="13"/>
  <c r="F3680" i="13"/>
  <c r="A3680" i="13"/>
  <c r="J3679" i="13"/>
  <c r="F3679" i="13"/>
  <c r="A3679" i="13"/>
  <c r="J3678" i="13"/>
  <c r="F3678" i="13"/>
  <c r="A3678" i="13"/>
  <c r="F3677" i="13"/>
  <c r="A3677" i="13"/>
  <c r="F3676" i="13"/>
  <c r="A3676" i="13"/>
  <c r="J3675" i="13"/>
  <c r="F3675" i="13"/>
  <c r="A3675" i="13"/>
  <c r="J3674" i="13"/>
  <c r="F3674" i="13"/>
  <c r="A3674" i="13"/>
  <c r="F3673" i="13"/>
  <c r="A3673" i="13"/>
  <c r="J3672" i="13"/>
  <c r="F3672" i="13"/>
  <c r="A3672" i="13"/>
  <c r="J3671" i="13"/>
  <c r="F3671" i="13"/>
  <c r="A3671" i="13"/>
  <c r="J3670" i="13"/>
  <c r="F3670" i="13"/>
  <c r="A3670" i="13"/>
  <c r="J3669" i="13"/>
  <c r="F3669" i="13"/>
  <c r="A3669" i="13"/>
  <c r="F3668" i="13"/>
  <c r="A3668" i="13"/>
  <c r="J3667" i="13"/>
  <c r="F3667" i="13"/>
  <c r="A3667" i="13"/>
  <c r="J3666" i="13"/>
  <c r="F3666" i="13"/>
  <c r="A3666" i="13"/>
  <c r="F3665" i="13"/>
  <c r="A3665" i="13"/>
  <c r="J3664" i="13"/>
  <c r="F3664" i="13"/>
  <c r="A3664" i="13"/>
  <c r="J3663" i="13"/>
  <c r="F3663" i="13"/>
  <c r="A3663" i="13"/>
  <c r="F3662" i="13"/>
  <c r="A3662" i="13"/>
  <c r="J3661" i="13"/>
  <c r="F3661" i="13"/>
  <c r="A3661" i="13"/>
  <c r="J3660" i="13"/>
  <c r="F3660" i="13"/>
  <c r="A3660" i="13"/>
  <c r="J3659" i="13"/>
  <c r="F3659" i="13"/>
  <c r="A3659" i="13"/>
  <c r="F3658" i="13"/>
  <c r="A3658" i="13"/>
  <c r="F3657" i="13"/>
  <c r="A3657" i="13"/>
  <c r="J3656" i="13"/>
  <c r="F3656" i="13"/>
  <c r="A3656" i="13"/>
  <c r="J3655" i="13"/>
  <c r="F3655" i="13"/>
  <c r="A3655" i="13"/>
  <c r="J3654" i="13"/>
  <c r="F3654" i="13"/>
  <c r="A3654" i="13"/>
  <c r="J3653" i="13"/>
  <c r="F3653" i="13"/>
  <c r="A3653" i="13"/>
  <c r="J3652" i="13"/>
  <c r="F3652" i="13"/>
  <c r="A3652" i="13"/>
  <c r="J3651" i="13"/>
  <c r="F3651" i="13"/>
  <c r="A3651" i="13"/>
  <c r="F3650" i="13"/>
  <c r="A3650" i="13"/>
  <c r="J3649" i="13"/>
  <c r="F3649" i="13"/>
  <c r="A3649" i="13"/>
  <c r="J3648" i="13"/>
  <c r="F3648" i="13"/>
  <c r="A3648" i="13"/>
  <c r="J3647" i="13"/>
  <c r="F3647" i="13"/>
  <c r="A3647" i="13"/>
  <c r="J3646" i="13"/>
  <c r="F3646" i="13"/>
  <c r="A3646" i="13"/>
  <c r="F3645" i="13"/>
  <c r="A3645" i="13"/>
  <c r="F3644" i="13"/>
  <c r="A3644" i="13"/>
  <c r="F3643" i="13"/>
  <c r="A3643" i="13"/>
  <c r="F3642" i="13"/>
  <c r="A3642" i="13"/>
  <c r="F3641" i="13"/>
  <c r="A3641" i="13"/>
  <c r="F3640" i="13"/>
  <c r="A3640" i="13"/>
  <c r="F3639" i="13"/>
  <c r="A3639" i="13"/>
  <c r="F3638" i="13"/>
  <c r="A3638" i="13"/>
  <c r="F3637" i="13"/>
  <c r="A3637" i="13"/>
  <c r="F3636" i="13"/>
  <c r="A3636" i="13"/>
  <c r="F3635" i="13"/>
  <c r="A3635" i="13"/>
  <c r="F3634" i="13"/>
  <c r="A3634" i="13"/>
  <c r="F3633" i="13"/>
  <c r="A3633" i="13"/>
  <c r="F3632" i="13"/>
  <c r="A3632" i="13"/>
  <c r="F3631" i="13"/>
  <c r="A3631" i="13"/>
  <c r="F3630" i="13"/>
  <c r="A3630" i="13"/>
  <c r="F3629" i="13"/>
  <c r="A3629" i="13"/>
  <c r="F3628" i="13"/>
  <c r="A3628" i="13"/>
  <c r="F3627" i="13"/>
  <c r="A3627" i="13"/>
  <c r="F3626" i="13"/>
  <c r="A3626" i="13"/>
  <c r="F3625" i="13"/>
  <c r="A3625" i="13"/>
  <c r="F3624" i="13"/>
  <c r="A3624" i="13"/>
  <c r="F3623" i="13"/>
  <c r="A3623" i="13"/>
  <c r="F3622" i="13"/>
  <c r="A3622" i="13"/>
  <c r="F3621" i="13"/>
  <c r="A3621" i="13"/>
  <c r="F3620" i="13"/>
  <c r="A3620" i="13"/>
  <c r="F3619" i="13"/>
  <c r="A3619" i="13"/>
  <c r="F3618" i="13"/>
  <c r="A3618" i="13"/>
  <c r="J3617" i="13"/>
  <c r="F3617" i="13"/>
  <c r="A3617" i="13"/>
  <c r="J3616" i="13"/>
  <c r="F3616" i="13"/>
  <c r="A3616" i="13"/>
  <c r="F3615" i="13"/>
  <c r="A3615" i="13"/>
  <c r="J3614" i="13"/>
  <c r="F3614" i="13"/>
  <c r="A3614" i="13"/>
  <c r="F3613" i="13"/>
  <c r="A3613" i="13"/>
  <c r="J3612" i="13"/>
  <c r="F3612" i="13"/>
  <c r="A3612" i="13"/>
  <c r="J3611" i="13"/>
  <c r="F3611" i="13"/>
  <c r="A3611" i="13"/>
  <c r="J3610" i="13"/>
  <c r="F3610" i="13"/>
  <c r="A3610" i="13"/>
  <c r="J3609" i="13"/>
  <c r="F3609" i="13"/>
  <c r="A3609" i="13"/>
  <c r="J3608" i="13"/>
  <c r="F3608" i="13"/>
  <c r="A3608" i="13"/>
  <c r="F3607" i="13"/>
  <c r="A3607" i="13"/>
  <c r="J3606" i="13"/>
  <c r="F3606" i="13"/>
  <c r="A3606" i="13"/>
  <c r="J3605" i="13"/>
  <c r="F3605" i="13"/>
  <c r="A3605" i="13"/>
  <c r="J3604" i="13"/>
  <c r="F3604" i="13"/>
  <c r="A3604" i="13"/>
  <c r="J3603" i="13"/>
  <c r="F3603" i="13"/>
  <c r="A3603" i="13"/>
  <c r="F3602" i="13"/>
  <c r="A3602" i="13"/>
  <c r="J3601" i="13"/>
  <c r="F3601" i="13"/>
  <c r="A3601" i="13"/>
  <c r="F3600" i="13"/>
  <c r="A3600" i="13"/>
  <c r="J3599" i="13"/>
  <c r="F3599" i="13"/>
  <c r="A3599" i="13"/>
  <c r="J3598" i="13"/>
  <c r="F3598" i="13"/>
  <c r="A3598" i="13"/>
  <c r="F3597" i="13"/>
  <c r="A3597" i="13"/>
  <c r="F3596" i="13"/>
  <c r="A3596" i="13"/>
  <c r="J3595" i="13"/>
  <c r="F3595" i="13"/>
  <c r="A3595" i="13"/>
  <c r="J3594" i="13"/>
  <c r="F3594" i="13"/>
  <c r="A3594" i="13"/>
  <c r="F3593" i="13"/>
  <c r="A3593" i="13"/>
  <c r="J3592" i="13"/>
  <c r="F3592" i="13"/>
  <c r="A3592" i="13"/>
  <c r="F3591" i="13"/>
  <c r="A3591" i="13"/>
  <c r="J3590" i="13"/>
  <c r="F3590" i="13"/>
  <c r="A3590" i="13"/>
  <c r="J3589" i="13"/>
  <c r="F3589" i="13"/>
  <c r="A3589" i="13"/>
  <c r="J3588" i="13"/>
  <c r="F3588" i="13"/>
  <c r="A3588" i="13"/>
  <c r="J3587" i="13"/>
  <c r="F3587" i="13"/>
  <c r="A3587" i="13"/>
  <c r="F3586" i="13"/>
  <c r="A3586" i="13"/>
  <c r="F3585" i="13"/>
  <c r="A3585" i="13"/>
  <c r="J3584" i="13"/>
  <c r="F3584" i="13"/>
  <c r="A3584" i="13"/>
  <c r="J3583" i="13"/>
  <c r="F3583" i="13"/>
  <c r="A3583" i="13"/>
  <c r="J3582" i="13"/>
  <c r="F3582" i="13"/>
  <c r="A3582" i="13"/>
  <c r="J3581" i="13"/>
  <c r="F3581" i="13"/>
  <c r="A3581" i="13"/>
  <c r="J3580" i="13"/>
  <c r="F3580" i="13"/>
  <c r="A3580" i="13"/>
  <c r="F3579" i="13"/>
  <c r="A3579" i="13"/>
  <c r="F3578" i="13"/>
  <c r="A3578" i="13"/>
  <c r="J3577" i="13"/>
  <c r="F3577" i="13"/>
  <c r="A3577" i="13"/>
  <c r="J3576" i="13"/>
  <c r="F3576" i="13"/>
  <c r="A3576" i="13"/>
  <c r="J3575" i="13"/>
  <c r="F3575" i="13"/>
  <c r="A3575" i="13"/>
  <c r="J3574" i="13"/>
  <c r="F3574" i="13"/>
  <c r="A3574" i="13"/>
  <c r="J3573" i="13"/>
  <c r="F3573" i="13"/>
  <c r="A3573" i="13"/>
  <c r="J3572" i="13"/>
  <c r="F3572" i="13"/>
  <c r="A3572" i="13"/>
  <c r="F3571" i="13"/>
  <c r="A3571" i="13"/>
  <c r="J3570" i="13"/>
  <c r="F3570" i="13"/>
  <c r="A3570" i="13"/>
  <c r="F3569" i="13"/>
  <c r="A3569" i="13"/>
  <c r="J3568" i="13"/>
  <c r="F3568" i="13"/>
  <c r="A3568" i="13"/>
  <c r="J3567" i="13"/>
  <c r="F3567" i="13"/>
  <c r="A3567" i="13"/>
  <c r="J3566" i="13"/>
  <c r="F3566" i="13"/>
  <c r="A3566" i="13"/>
  <c r="F3565" i="13"/>
  <c r="A3565" i="13"/>
  <c r="J3564" i="13"/>
  <c r="F3564" i="13"/>
  <c r="A3564" i="13"/>
  <c r="F3563" i="13"/>
  <c r="A3563" i="13"/>
  <c r="J3562" i="13"/>
  <c r="F3562" i="13"/>
  <c r="A3562" i="13"/>
  <c r="J3561" i="13"/>
  <c r="F3561" i="13"/>
  <c r="A3561" i="13"/>
  <c r="J3560" i="13"/>
  <c r="F3560" i="13"/>
  <c r="A3560" i="13"/>
  <c r="F3559" i="13"/>
  <c r="A3559" i="13"/>
  <c r="F3558" i="13"/>
  <c r="A3558" i="13"/>
  <c r="F3557" i="13"/>
  <c r="A3557" i="13"/>
  <c r="J3556" i="13"/>
  <c r="F3556" i="13"/>
  <c r="A3556" i="13"/>
  <c r="J3555" i="13"/>
  <c r="F3555" i="13"/>
  <c r="A3555" i="13"/>
  <c r="J3554" i="13"/>
  <c r="F3554" i="13"/>
  <c r="A3554" i="13"/>
  <c r="F3553" i="13"/>
  <c r="A3553" i="13"/>
  <c r="J3552" i="13"/>
  <c r="F3552" i="13"/>
  <c r="A3552" i="13"/>
  <c r="J3551" i="13"/>
  <c r="F3551" i="13"/>
  <c r="A3551" i="13"/>
  <c r="J3550" i="13"/>
  <c r="F3550" i="13"/>
  <c r="A3550" i="13"/>
  <c r="J3549" i="13"/>
  <c r="F3549" i="13"/>
  <c r="A3549" i="13"/>
  <c r="F3548" i="13"/>
  <c r="A3548" i="13"/>
  <c r="J3547" i="13"/>
  <c r="F3547" i="13"/>
  <c r="A3547" i="13"/>
  <c r="J3546" i="13"/>
  <c r="F3546" i="13"/>
  <c r="A3546" i="13"/>
  <c r="J3545" i="13"/>
  <c r="F3545" i="13"/>
  <c r="A3545" i="13"/>
  <c r="J3544" i="13"/>
  <c r="F3544" i="13"/>
  <c r="A3544" i="13"/>
  <c r="F3543" i="13"/>
  <c r="A3543" i="13"/>
  <c r="J3542" i="13"/>
  <c r="F3542" i="13"/>
  <c r="A3542" i="13"/>
  <c r="J3541" i="13"/>
  <c r="F3541" i="13"/>
  <c r="A3541" i="13"/>
  <c r="J3540" i="13"/>
  <c r="F3540" i="13"/>
  <c r="A3540" i="13"/>
  <c r="J3539" i="13"/>
  <c r="F3539" i="13"/>
  <c r="A3539" i="13"/>
  <c r="J3538" i="13"/>
  <c r="F3538" i="13"/>
  <c r="A3538" i="13"/>
  <c r="J3537" i="13"/>
  <c r="F3537" i="13"/>
  <c r="A3537" i="13"/>
  <c r="F3536" i="13"/>
  <c r="A3536" i="13"/>
  <c r="J3535" i="13"/>
  <c r="F3535" i="13"/>
  <c r="A3535" i="13"/>
  <c r="J3534" i="13"/>
  <c r="F3534" i="13"/>
  <c r="A3534" i="13"/>
  <c r="J3533" i="13"/>
  <c r="F3533" i="13"/>
  <c r="A3533" i="13"/>
  <c r="J3532" i="13"/>
  <c r="F3532" i="13"/>
  <c r="A3532" i="13"/>
  <c r="J3531" i="13"/>
  <c r="F3531" i="13"/>
  <c r="A3531" i="13"/>
  <c r="J3530" i="13"/>
  <c r="F3530" i="13"/>
  <c r="A3530" i="13"/>
  <c r="J3529" i="13"/>
  <c r="F3529" i="13"/>
  <c r="A3529" i="13"/>
  <c r="J3528" i="13"/>
  <c r="F3528" i="13"/>
  <c r="A3528" i="13"/>
  <c r="F3527" i="13"/>
  <c r="A3527" i="13"/>
  <c r="J3526" i="13"/>
  <c r="F3526" i="13"/>
  <c r="A3526" i="13"/>
  <c r="J3525" i="13"/>
  <c r="F3525" i="13"/>
  <c r="A3525" i="13"/>
  <c r="J3524" i="13"/>
  <c r="F3524" i="13"/>
  <c r="A3524" i="13"/>
  <c r="J3523" i="13"/>
  <c r="F3523" i="13"/>
  <c r="A3523" i="13"/>
  <c r="F3522" i="13"/>
  <c r="A3522" i="13"/>
  <c r="J3521" i="13"/>
  <c r="F3521" i="13"/>
  <c r="A3521" i="13"/>
  <c r="J3520" i="13"/>
  <c r="F3520" i="13"/>
  <c r="A3520" i="13"/>
  <c r="F3519" i="13"/>
  <c r="A3519" i="13"/>
  <c r="J3518" i="13"/>
  <c r="F3518" i="13"/>
  <c r="A3518" i="13"/>
  <c r="J3517" i="13"/>
  <c r="F3517" i="13"/>
  <c r="A3517" i="13"/>
  <c r="J3516" i="13"/>
  <c r="F3516" i="13"/>
  <c r="A3516" i="13"/>
  <c r="J3515" i="13"/>
  <c r="F3515" i="13"/>
  <c r="A3515" i="13"/>
  <c r="F3514" i="13"/>
  <c r="A3514" i="13"/>
  <c r="F3513" i="13"/>
  <c r="A3513" i="13"/>
  <c r="J3512" i="13"/>
  <c r="F3512" i="13"/>
  <c r="A3512" i="13"/>
  <c r="J3511" i="13"/>
  <c r="F3511" i="13"/>
  <c r="A3511" i="13"/>
  <c r="J3510" i="13"/>
  <c r="F3510" i="13"/>
  <c r="A3510" i="13"/>
  <c r="J3509" i="13"/>
  <c r="F3509" i="13"/>
  <c r="A3509" i="13"/>
  <c r="F3508" i="13"/>
  <c r="A3508" i="13"/>
  <c r="J3507" i="13"/>
  <c r="F3507" i="13"/>
  <c r="A3507" i="13"/>
  <c r="J3506" i="13"/>
  <c r="F3506" i="13"/>
  <c r="A3506" i="13"/>
  <c r="J3505" i="13"/>
  <c r="F3505" i="13"/>
  <c r="A3505" i="13"/>
  <c r="J3504" i="13"/>
  <c r="F3504" i="13"/>
  <c r="A3504" i="13"/>
  <c r="J3503" i="13"/>
  <c r="F3503" i="13"/>
  <c r="A3503" i="13"/>
  <c r="J3502" i="13"/>
  <c r="F3502" i="13"/>
  <c r="A3502" i="13"/>
  <c r="F3501" i="13"/>
  <c r="A3501" i="13"/>
  <c r="F3500" i="13"/>
  <c r="A3500" i="13"/>
  <c r="J3499" i="13"/>
  <c r="F3499" i="13"/>
  <c r="A3499" i="13"/>
  <c r="J3498" i="13"/>
  <c r="F3498" i="13"/>
  <c r="A3498" i="13"/>
  <c r="J3497" i="13"/>
  <c r="F3497" i="13"/>
  <c r="A3497" i="13"/>
  <c r="J3496" i="13"/>
  <c r="F3496" i="13"/>
  <c r="A3496" i="13"/>
  <c r="J3495" i="13"/>
  <c r="F3495" i="13"/>
  <c r="A3495" i="13"/>
  <c r="F3494" i="13"/>
  <c r="A3494" i="13"/>
  <c r="J3493" i="13"/>
  <c r="F3493" i="13"/>
  <c r="A3493" i="13"/>
  <c r="J3492" i="13"/>
  <c r="F3492" i="13"/>
  <c r="A3492" i="13"/>
  <c r="J3491" i="13"/>
  <c r="F3491" i="13"/>
  <c r="A3491" i="13"/>
  <c r="J3490" i="13"/>
  <c r="F3490" i="13"/>
  <c r="A3490" i="13"/>
  <c r="F3489" i="13"/>
  <c r="A3489" i="13"/>
  <c r="J3488" i="13"/>
  <c r="F3488" i="13"/>
  <c r="A3488" i="13"/>
  <c r="J3487" i="13"/>
  <c r="F3487" i="13"/>
  <c r="A3487" i="13"/>
  <c r="J3486" i="13"/>
  <c r="F3486" i="13"/>
  <c r="A3486" i="13"/>
  <c r="F3485" i="13"/>
  <c r="A3485" i="13"/>
  <c r="J3484" i="13"/>
  <c r="F3484" i="13"/>
  <c r="A3484" i="13"/>
  <c r="J3483" i="13"/>
  <c r="F3483" i="13"/>
  <c r="A3483" i="13"/>
  <c r="J3482" i="13"/>
  <c r="F3482" i="13"/>
  <c r="A3482" i="13"/>
  <c r="J3481" i="13"/>
  <c r="F3481" i="13"/>
  <c r="A3481" i="13"/>
  <c r="F3480" i="13"/>
  <c r="A3480" i="13"/>
  <c r="J3479" i="13"/>
  <c r="F3479" i="13"/>
  <c r="A3479" i="13"/>
  <c r="J3478" i="13"/>
  <c r="F3478" i="13"/>
  <c r="A3478" i="13"/>
  <c r="J3477" i="13"/>
  <c r="F3477" i="13"/>
  <c r="A3477" i="13"/>
  <c r="J3476" i="13"/>
  <c r="F3476" i="13"/>
  <c r="A3476" i="13"/>
  <c r="F3475" i="13"/>
  <c r="A3475" i="13"/>
  <c r="J3474" i="13"/>
  <c r="F3474" i="13"/>
  <c r="A3474" i="13"/>
  <c r="J3473" i="13"/>
  <c r="F3473" i="13"/>
  <c r="A3473" i="13"/>
  <c r="J3472" i="13"/>
  <c r="F3472" i="13"/>
  <c r="A3472" i="13"/>
  <c r="J3471" i="13"/>
  <c r="F3471" i="13"/>
  <c r="A3471" i="13"/>
  <c r="F3470" i="13"/>
  <c r="A3470" i="13"/>
  <c r="J3469" i="13"/>
  <c r="F3469" i="13"/>
  <c r="A3469" i="13"/>
  <c r="J3468" i="13"/>
  <c r="F3468" i="13"/>
  <c r="A3468" i="13"/>
  <c r="F3467" i="13"/>
  <c r="A3467" i="13"/>
  <c r="J3466" i="13"/>
  <c r="F3466" i="13"/>
  <c r="A3466" i="13"/>
  <c r="J3465" i="13"/>
  <c r="F3465" i="13"/>
  <c r="A3465" i="13"/>
  <c r="J3464" i="13"/>
  <c r="F3464" i="13"/>
  <c r="A3464" i="13"/>
  <c r="F3463" i="13"/>
  <c r="A3463" i="13"/>
  <c r="F3462" i="13"/>
  <c r="A3462" i="13"/>
  <c r="F3461" i="13"/>
  <c r="A3461" i="13"/>
  <c r="F3460" i="13"/>
  <c r="A3460" i="13"/>
  <c r="F3459" i="13"/>
  <c r="A3459" i="13"/>
  <c r="F3458" i="13"/>
  <c r="A3458" i="13"/>
  <c r="F3457" i="13"/>
  <c r="A3457" i="13"/>
  <c r="F3456" i="13"/>
  <c r="A3456" i="13"/>
  <c r="F3455" i="13"/>
  <c r="A3455" i="13"/>
  <c r="F3454" i="13"/>
  <c r="A3454" i="13"/>
  <c r="F3453" i="13"/>
  <c r="A3453" i="13"/>
  <c r="F3452" i="13"/>
  <c r="A3452" i="13"/>
  <c r="F3451" i="13"/>
  <c r="A3451" i="13"/>
  <c r="F3450" i="13"/>
  <c r="A3450" i="13"/>
  <c r="F3449" i="13"/>
  <c r="A3449" i="13"/>
  <c r="F3448" i="13"/>
  <c r="A3448" i="13"/>
  <c r="F3447" i="13"/>
  <c r="A3447" i="13"/>
  <c r="F3446" i="13"/>
  <c r="A3446" i="13"/>
  <c r="F3445" i="13"/>
  <c r="A3445" i="13"/>
  <c r="J3444" i="13"/>
  <c r="F3444" i="13"/>
  <c r="A3444" i="13"/>
  <c r="F3443" i="13"/>
  <c r="A3443" i="13"/>
  <c r="J3442" i="13"/>
  <c r="F3442" i="13"/>
  <c r="A3442" i="13"/>
  <c r="J3441" i="13"/>
  <c r="F3441" i="13"/>
  <c r="A3441" i="13"/>
  <c r="J3440" i="13"/>
  <c r="F3440" i="13"/>
  <c r="A3440" i="13"/>
  <c r="F3439" i="13"/>
  <c r="A3439" i="13"/>
  <c r="J3438" i="13"/>
  <c r="F3438" i="13"/>
  <c r="A3438" i="13"/>
  <c r="J3437" i="13"/>
  <c r="F3437" i="13"/>
  <c r="A3437" i="13"/>
  <c r="J3436" i="13"/>
  <c r="F3436" i="13"/>
  <c r="A3436" i="13"/>
  <c r="J3435" i="13"/>
  <c r="F3435" i="13"/>
  <c r="A3435" i="13"/>
  <c r="J3434" i="13"/>
  <c r="F3434" i="13"/>
  <c r="A3434" i="13"/>
  <c r="F3433" i="13"/>
  <c r="A3433" i="13"/>
  <c r="F3432" i="13"/>
  <c r="A3432" i="13"/>
  <c r="F3431" i="13"/>
  <c r="A3431" i="13"/>
  <c r="J3430" i="13"/>
  <c r="F3430" i="13"/>
  <c r="A3430" i="13"/>
  <c r="F3429" i="13"/>
  <c r="A3429" i="13"/>
  <c r="J3428" i="13"/>
  <c r="F3428" i="13"/>
  <c r="A3428" i="13"/>
  <c r="J3427" i="13"/>
  <c r="F3427" i="13"/>
  <c r="A3427" i="13"/>
  <c r="J3426" i="13"/>
  <c r="F3426" i="13"/>
  <c r="A3426" i="13"/>
  <c r="F3425" i="13"/>
  <c r="A3425" i="13"/>
  <c r="J3424" i="13"/>
  <c r="F3424" i="13"/>
  <c r="A3424" i="13"/>
  <c r="J3423" i="13"/>
  <c r="F3423" i="13"/>
  <c r="A3423" i="13"/>
  <c r="F3422" i="13"/>
  <c r="A3422" i="13"/>
  <c r="J3421" i="13"/>
  <c r="F3421" i="13"/>
  <c r="A3421" i="13"/>
  <c r="J3420" i="13"/>
  <c r="F3420" i="13"/>
  <c r="A3420" i="13"/>
  <c r="J3419" i="13"/>
  <c r="F3419" i="13"/>
  <c r="A3419" i="13"/>
  <c r="J3418" i="13"/>
  <c r="F3418" i="13"/>
  <c r="A3418" i="13"/>
  <c r="F3417" i="13"/>
  <c r="A3417" i="13"/>
  <c r="F3416" i="13"/>
  <c r="A3416" i="13"/>
  <c r="J3415" i="13"/>
  <c r="F3415" i="13"/>
  <c r="A3415" i="13"/>
  <c r="F3414" i="13"/>
  <c r="A3414" i="13"/>
  <c r="F3413" i="13"/>
  <c r="A3413" i="13"/>
  <c r="J3412" i="13"/>
  <c r="F3412" i="13"/>
  <c r="A3412" i="13"/>
  <c r="J3411" i="13"/>
  <c r="F3411" i="13"/>
  <c r="A3411" i="13"/>
  <c r="J3410" i="13"/>
  <c r="F3410" i="13"/>
  <c r="A3410" i="13"/>
  <c r="F3409" i="13"/>
  <c r="A3409" i="13"/>
  <c r="F3408" i="13"/>
  <c r="A3408" i="13"/>
  <c r="J3407" i="13"/>
  <c r="F3407" i="13"/>
  <c r="A3407" i="13"/>
  <c r="J3406" i="13"/>
  <c r="F3406" i="13"/>
  <c r="A3406" i="13"/>
  <c r="J3405" i="13"/>
  <c r="F3405" i="13"/>
  <c r="A3405" i="13"/>
  <c r="F3404" i="13"/>
  <c r="A3404" i="13"/>
  <c r="F3403" i="13"/>
  <c r="A3403" i="13"/>
  <c r="F3402" i="13"/>
  <c r="A3402" i="13"/>
  <c r="J3401" i="13"/>
  <c r="F3401" i="13"/>
  <c r="A3401" i="13"/>
  <c r="F3400" i="13"/>
  <c r="A3400" i="13"/>
  <c r="F3399" i="13"/>
  <c r="A3399" i="13"/>
  <c r="J3398" i="13"/>
  <c r="F3398" i="13"/>
  <c r="A3398" i="13"/>
  <c r="J3397" i="13"/>
  <c r="F3397" i="13"/>
  <c r="A3397" i="13"/>
  <c r="J3396" i="13"/>
  <c r="F3396" i="13"/>
  <c r="A3396" i="13"/>
  <c r="F3395" i="13"/>
  <c r="A3395" i="13"/>
  <c r="J3394" i="13"/>
  <c r="F3394" i="13"/>
  <c r="A3394" i="13"/>
  <c r="J3393" i="13"/>
  <c r="F3393" i="13"/>
  <c r="A3393" i="13"/>
  <c r="J3392" i="13"/>
  <c r="F3392" i="13"/>
  <c r="A3392" i="13"/>
  <c r="J3391" i="13"/>
  <c r="F3391" i="13"/>
  <c r="A3391" i="13"/>
  <c r="F3390" i="13"/>
  <c r="A3390" i="13"/>
  <c r="F3389" i="13"/>
  <c r="A3389" i="13"/>
  <c r="F3388" i="13"/>
  <c r="A3388" i="13"/>
  <c r="F3387" i="13"/>
  <c r="A3387" i="13"/>
  <c r="J3386" i="13"/>
  <c r="F3386" i="13"/>
  <c r="A3386" i="13"/>
  <c r="J3385" i="13"/>
  <c r="F3385" i="13"/>
  <c r="A3385" i="13"/>
  <c r="F3384" i="13"/>
  <c r="A3384" i="13"/>
  <c r="J3383" i="13"/>
  <c r="F3383" i="13"/>
  <c r="A3383" i="13"/>
  <c r="J3382" i="13"/>
  <c r="F3382" i="13"/>
  <c r="A3382" i="13"/>
  <c r="F3381" i="13"/>
  <c r="A3381" i="13"/>
  <c r="J3380" i="13"/>
  <c r="F3380" i="13"/>
  <c r="A3380" i="13"/>
  <c r="J3379" i="13"/>
  <c r="F3379" i="13"/>
  <c r="A3379" i="13"/>
  <c r="F3378" i="13"/>
  <c r="A3378" i="13"/>
  <c r="J3377" i="13"/>
  <c r="F3377" i="13"/>
  <c r="A3377" i="13"/>
  <c r="J3376" i="13"/>
  <c r="F3376" i="13"/>
  <c r="A3376" i="13"/>
  <c r="J3375" i="13"/>
  <c r="F3375" i="13"/>
  <c r="A3375" i="13"/>
  <c r="F3374" i="13"/>
  <c r="A3374" i="13"/>
  <c r="J3373" i="13"/>
  <c r="F3373" i="13"/>
  <c r="A3373" i="13"/>
  <c r="J3372" i="13"/>
  <c r="F3372" i="13"/>
  <c r="A3372" i="13"/>
  <c r="J3371" i="13"/>
  <c r="F3371" i="13"/>
  <c r="A3371" i="13"/>
  <c r="F3370" i="13"/>
  <c r="A3370" i="13"/>
  <c r="F3369" i="13"/>
  <c r="A3369" i="13"/>
  <c r="J3368" i="13"/>
  <c r="F3368" i="13"/>
  <c r="A3368" i="13"/>
  <c r="J3367" i="13"/>
  <c r="F3367" i="13"/>
  <c r="A3367" i="13"/>
  <c r="J3366" i="13"/>
  <c r="F3366" i="13"/>
  <c r="A3366" i="13"/>
  <c r="J3365" i="13"/>
  <c r="F3365" i="13"/>
  <c r="A3365" i="13"/>
  <c r="J3364" i="13"/>
  <c r="F3364" i="13"/>
  <c r="A3364" i="13"/>
  <c r="F3363" i="13"/>
  <c r="A3363" i="13"/>
  <c r="J3362" i="13"/>
  <c r="F3362" i="13"/>
  <c r="A3362" i="13"/>
  <c r="J3361" i="13"/>
  <c r="F3361" i="13"/>
  <c r="A3361" i="13"/>
  <c r="J3360" i="13"/>
  <c r="F3360" i="13"/>
  <c r="A3360" i="13"/>
  <c r="J3359" i="13"/>
  <c r="F3359" i="13"/>
  <c r="A3359" i="13"/>
  <c r="J3358" i="13"/>
  <c r="F3358" i="13"/>
  <c r="A3358" i="13"/>
  <c r="F3357" i="13"/>
  <c r="A3357" i="13"/>
  <c r="F3356" i="13"/>
  <c r="A3356" i="13"/>
  <c r="J3355" i="13"/>
  <c r="F3355" i="13"/>
  <c r="A3355" i="13"/>
  <c r="J3354" i="13"/>
  <c r="F3354" i="13"/>
  <c r="A3354" i="13"/>
  <c r="J3353" i="13"/>
  <c r="F3353" i="13"/>
  <c r="A3353" i="13"/>
  <c r="F3352" i="13"/>
  <c r="A3352" i="13"/>
  <c r="J3351" i="13"/>
  <c r="F3351" i="13"/>
  <c r="A3351" i="13"/>
  <c r="F3350" i="13"/>
  <c r="A3350" i="13"/>
  <c r="J3349" i="13"/>
  <c r="F3349" i="13"/>
  <c r="A3349" i="13"/>
  <c r="J3348" i="13"/>
  <c r="F3348" i="13"/>
  <c r="A3348" i="13"/>
  <c r="J3347" i="13"/>
  <c r="F3347" i="13"/>
  <c r="A3347" i="13"/>
  <c r="J3346" i="13"/>
  <c r="F3346" i="13"/>
  <c r="A3346" i="13"/>
  <c r="F3345" i="13"/>
  <c r="A3345" i="13"/>
  <c r="J3344" i="13"/>
  <c r="F3344" i="13"/>
  <c r="A3344" i="13"/>
  <c r="J3343" i="13"/>
  <c r="F3343" i="13"/>
  <c r="A3343" i="13"/>
  <c r="J3342" i="13"/>
  <c r="F3342" i="13"/>
  <c r="A3342" i="13"/>
  <c r="F3341" i="13"/>
  <c r="A3341" i="13"/>
  <c r="J3340" i="13"/>
  <c r="F3340" i="13"/>
  <c r="A3340" i="13"/>
  <c r="J3339" i="13"/>
  <c r="F3339" i="13"/>
  <c r="A3339" i="13"/>
  <c r="F3338" i="13"/>
  <c r="A3338" i="13"/>
  <c r="J3337" i="13"/>
  <c r="F3337" i="13"/>
  <c r="A3337" i="13"/>
  <c r="J3336" i="13"/>
  <c r="F3336" i="13"/>
  <c r="A3336" i="13"/>
  <c r="J3335" i="13"/>
  <c r="F3335" i="13"/>
  <c r="A3335" i="13"/>
  <c r="F3334" i="13"/>
  <c r="A3334" i="13"/>
  <c r="J3333" i="13"/>
  <c r="F3333" i="13"/>
  <c r="A3333" i="13"/>
  <c r="J3332" i="13"/>
  <c r="F3332" i="13"/>
  <c r="A3332" i="13"/>
  <c r="F3331" i="13"/>
  <c r="A3331" i="13"/>
  <c r="J3330" i="13"/>
  <c r="F3330" i="13"/>
  <c r="A3330" i="13"/>
  <c r="J3329" i="13"/>
  <c r="F3329" i="13"/>
  <c r="A3329" i="13"/>
  <c r="F3328" i="13"/>
  <c r="A3328" i="13"/>
  <c r="J3327" i="13"/>
  <c r="F3327" i="13"/>
  <c r="A3327" i="13"/>
  <c r="J3326" i="13"/>
  <c r="F3326" i="13"/>
  <c r="A3326" i="13"/>
  <c r="J3325" i="13"/>
  <c r="F3325" i="13"/>
  <c r="A3325" i="13"/>
  <c r="J3324" i="13"/>
  <c r="F3324" i="13"/>
  <c r="A3324" i="13"/>
  <c r="J3323" i="13"/>
  <c r="F3323" i="13"/>
  <c r="J3322" i="13"/>
  <c r="F3322" i="13"/>
  <c r="A3322" i="13"/>
  <c r="F3321" i="13"/>
  <c r="A3321" i="13"/>
  <c r="F3320" i="13"/>
  <c r="A3320" i="13"/>
  <c r="F3319" i="13"/>
  <c r="A3319" i="13"/>
  <c r="F3318" i="13"/>
  <c r="A3318" i="13"/>
  <c r="F3317" i="13"/>
  <c r="A3317" i="13"/>
  <c r="F3316" i="13"/>
  <c r="A3316" i="13"/>
  <c r="F3315" i="13"/>
  <c r="A3315" i="13"/>
  <c r="F3314" i="13"/>
  <c r="A3314" i="13"/>
  <c r="F3313" i="13"/>
  <c r="A3313" i="13"/>
  <c r="F3312" i="13"/>
  <c r="A3312" i="13"/>
  <c r="F3311" i="13"/>
  <c r="A3311" i="13"/>
  <c r="F3310" i="13"/>
  <c r="A3310" i="13"/>
  <c r="F3309" i="13"/>
  <c r="A3309" i="13"/>
  <c r="F3308" i="13"/>
  <c r="A3308" i="13"/>
  <c r="F3307" i="13"/>
  <c r="A3307" i="13"/>
  <c r="F3306" i="13"/>
  <c r="A3306" i="13"/>
  <c r="F3305" i="13"/>
  <c r="A3305" i="13"/>
  <c r="F3304" i="13"/>
  <c r="A3304" i="13"/>
  <c r="F3303" i="13"/>
  <c r="A3303" i="13"/>
  <c r="F3302" i="13"/>
  <c r="A3302" i="13"/>
  <c r="F3301" i="13"/>
  <c r="A3301" i="13"/>
  <c r="F3300" i="13"/>
  <c r="A3300" i="13"/>
  <c r="F3299" i="13"/>
  <c r="A3299" i="13"/>
  <c r="F3298" i="13"/>
  <c r="A3298" i="13"/>
  <c r="F3297" i="13"/>
  <c r="A3297" i="13"/>
  <c r="F3296" i="13"/>
  <c r="A3296" i="13"/>
  <c r="F3295" i="13"/>
  <c r="A3295" i="13"/>
  <c r="F3294" i="13"/>
  <c r="A3294" i="13"/>
  <c r="F3293" i="13"/>
  <c r="A3293" i="13"/>
  <c r="F3292" i="13"/>
  <c r="A3292" i="13"/>
  <c r="F3291" i="13"/>
  <c r="A3291" i="13"/>
  <c r="F3290" i="13"/>
  <c r="A3290" i="13"/>
  <c r="F3289" i="13"/>
  <c r="A3289" i="13"/>
  <c r="F3288" i="13"/>
  <c r="A3288" i="13"/>
  <c r="F3287" i="13"/>
  <c r="A3287" i="13"/>
  <c r="J3286" i="13"/>
  <c r="F3286" i="13"/>
  <c r="A3286" i="13"/>
  <c r="J3285" i="13"/>
  <c r="F3285" i="13"/>
  <c r="A3285" i="13"/>
  <c r="F3284" i="13"/>
  <c r="A3284" i="13"/>
  <c r="J3283" i="13"/>
  <c r="F3283" i="13"/>
  <c r="A3283" i="13"/>
  <c r="F3282" i="13"/>
  <c r="A3282" i="13"/>
  <c r="J3281" i="13"/>
  <c r="F3281" i="13"/>
  <c r="A3281" i="13"/>
  <c r="F3280" i="13"/>
  <c r="A3280" i="13"/>
  <c r="J3279" i="13"/>
  <c r="F3279" i="13"/>
  <c r="A3279" i="13"/>
  <c r="F3278" i="13"/>
  <c r="A3278" i="13"/>
  <c r="F3277" i="13"/>
  <c r="A3277" i="13"/>
  <c r="J3276" i="13"/>
  <c r="F3276" i="13"/>
  <c r="A3276" i="13"/>
  <c r="J3275" i="13"/>
  <c r="F3275" i="13"/>
  <c r="A3275" i="13"/>
  <c r="F3274" i="13"/>
  <c r="A3274" i="13"/>
  <c r="F3273" i="13"/>
  <c r="A3273" i="13"/>
  <c r="F3272" i="13"/>
  <c r="A3272" i="13"/>
  <c r="J3271" i="13"/>
  <c r="F3271" i="13"/>
  <c r="A3271" i="13"/>
  <c r="J3270" i="13"/>
  <c r="F3270" i="13"/>
  <c r="A3270" i="13"/>
  <c r="J3269" i="13"/>
  <c r="F3269" i="13"/>
  <c r="A3269" i="13"/>
  <c r="J3268" i="13"/>
  <c r="F3268" i="13"/>
  <c r="A3268" i="13"/>
  <c r="F3267" i="13"/>
  <c r="A3267" i="13"/>
  <c r="J3266" i="13"/>
  <c r="F3266" i="13"/>
  <c r="A3266" i="13"/>
  <c r="J3265" i="13"/>
  <c r="F3265" i="13"/>
  <c r="A3265" i="13"/>
  <c r="F3264" i="13"/>
  <c r="A3264" i="13"/>
  <c r="J3263" i="13"/>
  <c r="F3263" i="13"/>
  <c r="A3263" i="13"/>
  <c r="J3262" i="13"/>
  <c r="F3262" i="13"/>
  <c r="A3262" i="13"/>
  <c r="J3261" i="13"/>
  <c r="F3261" i="13"/>
  <c r="A3261" i="13"/>
  <c r="J3260" i="13"/>
  <c r="F3260" i="13"/>
  <c r="A3260" i="13"/>
  <c r="J3259" i="13"/>
  <c r="F3259" i="13"/>
  <c r="A3259" i="13"/>
  <c r="J3258" i="13"/>
  <c r="F3258" i="13"/>
  <c r="A3258" i="13"/>
  <c r="J3257" i="13"/>
  <c r="F3257" i="13"/>
  <c r="A3257" i="13"/>
  <c r="J3256" i="13"/>
  <c r="F3256" i="13"/>
  <c r="A3256" i="13"/>
  <c r="F3255" i="13"/>
  <c r="A3255" i="13"/>
  <c r="J3254" i="13"/>
  <c r="F3254" i="13"/>
  <c r="A3254" i="13"/>
  <c r="J3253" i="13"/>
  <c r="F3253" i="13"/>
  <c r="A3253" i="13"/>
  <c r="J3252" i="13"/>
  <c r="F3252" i="13"/>
  <c r="A3252" i="13"/>
  <c r="J3251" i="13"/>
  <c r="F3251" i="13"/>
  <c r="A3251" i="13"/>
  <c r="F3250" i="13"/>
  <c r="A3250" i="13"/>
  <c r="F3249" i="13"/>
  <c r="A3249" i="13"/>
  <c r="J3248" i="13"/>
  <c r="F3248" i="13"/>
  <c r="A3248" i="13"/>
  <c r="F3247" i="13"/>
  <c r="A3247" i="13"/>
  <c r="F3246" i="13"/>
  <c r="A3246" i="13"/>
  <c r="J3245" i="13"/>
  <c r="F3245" i="13"/>
  <c r="A3245" i="13"/>
  <c r="J3244" i="13"/>
  <c r="F3244" i="13"/>
  <c r="A3244" i="13"/>
  <c r="J3243" i="13"/>
  <c r="F3243" i="13"/>
  <c r="A3243" i="13"/>
  <c r="J3242" i="13"/>
  <c r="F3242" i="13"/>
  <c r="A3242" i="13"/>
  <c r="F3241" i="13"/>
  <c r="A3241" i="13"/>
  <c r="F3240" i="13"/>
  <c r="A3240" i="13"/>
  <c r="F3239" i="13"/>
  <c r="A3239" i="13"/>
  <c r="F3238" i="13"/>
  <c r="A3238" i="13"/>
  <c r="J3237" i="13"/>
  <c r="F3237" i="13"/>
  <c r="A3237" i="13"/>
  <c r="F3236" i="13"/>
  <c r="A3236" i="13"/>
  <c r="J3235" i="13"/>
  <c r="F3235" i="13"/>
  <c r="A3235" i="13"/>
  <c r="J3234" i="13"/>
  <c r="F3234" i="13"/>
  <c r="A3234" i="13"/>
  <c r="J3233" i="13"/>
  <c r="F3233" i="13"/>
  <c r="A3233" i="13"/>
  <c r="F3232" i="13"/>
  <c r="A3232" i="13"/>
  <c r="J3231" i="13"/>
  <c r="F3231" i="13"/>
  <c r="A3231" i="13"/>
  <c r="J3230" i="13"/>
  <c r="F3230" i="13"/>
  <c r="A3230" i="13"/>
  <c r="F3229" i="13"/>
  <c r="A3229" i="13"/>
  <c r="J3228" i="13"/>
  <c r="F3228" i="13"/>
  <c r="A3228" i="13"/>
  <c r="J3227" i="13"/>
  <c r="F3227" i="13"/>
  <c r="A3227" i="13"/>
  <c r="F3226" i="13"/>
  <c r="A3226" i="13"/>
  <c r="J3225" i="13"/>
  <c r="F3225" i="13"/>
  <c r="A3225" i="13"/>
  <c r="J3224" i="13"/>
  <c r="F3224" i="13"/>
  <c r="A3224" i="13"/>
  <c r="J3223" i="13"/>
  <c r="F3223" i="13"/>
  <c r="A3223" i="13"/>
  <c r="J3222" i="13"/>
  <c r="F3222" i="13"/>
  <c r="A3222" i="13"/>
  <c r="F3221" i="13"/>
  <c r="A3221" i="13"/>
  <c r="J3220" i="13"/>
  <c r="F3220" i="13"/>
  <c r="A3220" i="13"/>
  <c r="F3219" i="13"/>
  <c r="A3219" i="13"/>
  <c r="J3218" i="13"/>
  <c r="F3218" i="13"/>
  <c r="A3218" i="13"/>
  <c r="J3217" i="13"/>
  <c r="F3217" i="13"/>
  <c r="A3217" i="13"/>
  <c r="F3216" i="13"/>
  <c r="A3216" i="13"/>
  <c r="J3215" i="13"/>
  <c r="F3215" i="13"/>
  <c r="A3215" i="13"/>
  <c r="J3214" i="13"/>
  <c r="F3214" i="13"/>
  <c r="A3214" i="13"/>
  <c r="J3213" i="13"/>
  <c r="F3213" i="13"/>
  <c r="A3213" i="13"/>
  <c r="J3212" i="13"/>
  <c r="F3212" i="13"/>
  <c r="A3212" i="13"/>
  <c r="J3211" i="13"/>
  <c r="F3211" i="13"/>
  <c r="A3211" i="13"/>
  <c r="J3210" i="13"/>
  <c r="F3210" i="13"/>
  <c r="A3210" i="13"/>
  <c r="J3209" i="13"/>
  <c r="F3209" i="13"/>
  <c r="A3209" i="13"/>
  <c r="F3208" i="13"/>
  <c r="A3208" i="13"/>
  <c r="J3207" i="13"/>
  <c r="F3207" i="13"/>
  <c r="A3207" i="13"/>
  <c r="J3206" i="13"/>
  <c r="F3206" i="13"/>
  <c r="A3206" i="13"/>
  <c r="J3205" i="13"/>
  <c r="F3205" i="13"/>
  <c r="A3205" i="13"/>
  <c r="F3204" i="13"/>
  <c r="A3204" i="13"/>
  <c r="J3203" i="13"/>
  <c r="F3203" i="13"/>
  <c r="A3203" i="13"/>
  <c r="J3202" i="13"/>
  <c r="F3202" i="13"/>
  <c r="A3202" i="13"/>
  <c r="F3201" i="13"/>
  <c r="A3201" i="13"/>
  <c r="F3200" i="13"/>
  <c r="A3200" i="13"/>
  <c r="J3199" i="13"/>
  <c r="F3199" i="13"/>
  <c r="J3198" i="13"/>
  <c r="F3198" i="13"/>
  <c r="A3198" i="13"/>
  <c r="J3197" i="13"/>
  <c r="F3197" i="13"/>
  <c r="A3197" i="13"/>
  <c r="J3196" i="13"/>
  <c r="F3196" i="13"/>
  <c r="J3195" i="13"/>
  <c r="F3195" i="13"/>
  <c r="J3194" i="13"/>
  <c r="F3194" i="13"/>
  <c r="A3194" i="13"/>
  <c r="J3193" i="13"/>
  <c r="F3193" i="13"/>
  <c r="A3193" i="13"/>
  <c r="J3192" i="13"/>
  <c r="F3192" i="13"/>
  <c r="J3191" i="13"/>
  <c r="F3191" i="13"/>
  <c r="A3191" i="13"/>
  <c r="J3190" i="13"/>
  <c r="F3190" i="13"/>
  <c r="A3190" i="13"/>
  <c r="J3189" i="13"/>
  <c r="F3189" i="13"/>
  <c r="J3188" i="13"/>
  <c r="F3188" i="13"/>
  <c r="A3188" i="13"/>
  <c r="J3187" i="13"/>
  <c r="F3187" i="13"/>
  <c r="A3187" i="13"/>
  <c r="J3186" i="13"/>
  <c r="F3186" i="13"/>
  <c r="J3185" i="13"/>
  <c r="F3185" i="13"/>
  <c r="A3185" i="13"/>
  <c r="J3184" i="13"/>
  <c r="F3184" i="13"/>
  <c r="A3184" i="13"/>
  <c r="F3183" i="13"/>
  <c r="A3183" i="13"/>
  <c r="J3182" i="13"/>
  <c r="F3182" i="13"/>
  <c r="J3181" i="13"/>
  <c r="F3181" i="13"/>
  <c r="A3181" i="13"/>
  <c r="J3180" i="13"/>
  <c r="F3180" i="13"/>
  <c r="A3180" i="13"/>
  <c r="J3179" i="13"/>
  <c r="F3179" i="13"/>
  <c r="J3178" i="13"/>
  <c r="F3178" i="13"/>
  <c r="J3177" i="13"/>
  <c r="F3177" i="13"/>
  <c r="A3177" i="13"/>
  <c r="J3176" i="13"/>
  <c r="F3176" i="13"/>
  <c r="A3176" i="13"/>
  <c r="J3175" i="13"/>
  <c r="F3175" i="13"/>
  <c r="J3174" i="13"/>
  <c r="F3174" i="13"/>
  <c r="J3173" i="13"/>
  <c r="F3173" i="13"/>
  <c r="A3173" i="13"/>
  <c r="J3172" i="13"/>
  <c r="F3172" i="13"/>
  <c r="A3172" i="13"/>
  <c r="J3171" i="13"/>
  <c r="F3171" i="13"/>
  <c r="A3171" i="13"/>
  <c r="J3170" i="13"/>
  <c r="F3170" i="13"/>
  <c r="J3169" i="13"/>
  <c r="F3169" i="13"/>
  <c r="J3168" i="13"/>
  <c r="F3168" i="13"/>
  <c r="A3168" i="13"/>
  <c r="J3167" i="13"/>
  <c r="F3167" i="13"/>
  <c r="A3167" i="13"/>
  <c r="J3166" i="13"/>
  <c r="F3166" i="13"/>
  <c r="J3165" i="13"/>
  <c r="F3165" i="13"/>
  <c r="A3165" i="13"/>
  <c r="J3164" i="13"/>
  <c r="F3164" i="13"/>
  <c r="A3164" i="13"/>
  <c r="J3163" i="13"/>
  <c r="F3163" i="13"/>
  <c r="A3163" i="13"/>
  <c r="J3162" i="13"/>
  <c r="F3162" i="13"/>
  <c r="A3162" i="13"/>
  <c r="J3161" i="13"/>
  <c r="F3161" i="13"/>
  <c r="A3161" i="13"/>
  <c r="J3160" i="13"/>
  <c r="F3160" i="13"/>
  <c r="J3159" i="13"/>
  <c r="F3159" i="13"/>
  <c r="A3159" i="13"/>
  <c r="J3158" i="13"/>
  <c r="F3158" i="13"/>
  <c r="A3158" i="13"/>
  <c r="J3157" i="13"/>
  <c r="F3157" i="13"/>
  <c r="F3156" i="13"/>
  <c r="A3156" i="13"/>
  <c r="J3155" i="13"/>
  <c r="F3155" i="13"/>
  <c r="A3155" i="13"/>
  <c r="J3154" i="13"/>
  <c r="F3154" i="13"/>
  <c r="A3154" i="13"/>
  <c r="F3153" i="13"/>
  <c r="A3153" i="13"/>
  <c r="J3152" i="13"/>
  <c r="F3152" i="13"/>
  <c r="J3151" i="13"/>
  <c r="F3151" i="13"/>
  <c r="F3150" i="13"/>
  <c r="A3150" i="13"/>
  <c r="F3149" i="13"/>
  <c r="A3149" i="13"/>
  <c r="F3148" i="13"/>
  <c r="A3148" i="13"/>
  <c r="F3147" i="13"/>
  <c r="F3146" i="13"/>
  <c r="A3146" i="13"/>
  <c r="F3145" i="13"/>
  <c r="A3145" i="13"/>
  <c r="F3144" i="13"/>
  <c r="A3144" i="13"/>
  <c r="F3143" i="13"/>
  <c r="A3143" i="13"/>
  <c r="F3142" i="13"/>
  <c r="A3142" i="13"/>
  <c r="F3141" i="13"/>
  <c r="A3141" i="13"/>
  <c r="F3140" i="13"/>
  <c r="A3140" i="13"/>
  <c r="F3139" i="13"/>
  <c r="A3139" i="13"/>
  <c r="F3138" i="13"/>
  <c r="A3138" i="13"/>
  <c r="F3137" i="13"/>
  <c r="A3137" i="13"/>
  <c r="F3136" i="13"/>
  <c r="A3136" i="13"/>
  <c r="F3135" i="13"/>
  <c r="A3135" i="13"/>
  <c r="F3134" i="13"/>
  <c r="A3134" i="13"/>
  <c r="F3133" i="13"/>
  <c r="A3133" i="13"/>
  <c r="F3132" i="13"/>
  <c r="A3132" i="13"/>
  <c r="F3131" i="13"/>
  <c r="A3131" i="13"/>
  <c r="F3130" i="13"/>
  <c r="A3130" i="13"/>
  <c r="F3129" i="13"/>
  <c r="A3129" i="13"/>
  <c r="F3128" i="13"/>
  <c r="A3128" i="13"/>
  <c r="F3127" i="13"/>
  <c r="A3127" i="13"/>
  <c r="F3126" i="13"/>
  <c r="A3126" i="13"/>
  <c r="F3125" i="13"/>
  <c r="A3125" i="13"/>
  <c r="F3124" i="13"/>
  <c r="A3124" i="13"/>
  <c r="F3123" i="13"/>
  <c r="A3123" i="13"/>
  <c r="F3122" i="13"/>
  <c r="A3122" i="13"/>
  <c r="J3121" i="13"/>
  <c r="F3121" i="13"/>
  <c r="A3121" i="13"/>
  <c r="J3120" i="13"/>
  <c r="F3120" i="13"/>
  <c r="A3120" i="13"/>
  <c r="F3119" i="13"/>
  <c r="A3119" i="13"/>
  <c r="F3118" i="13"/>
  <c r="A3118" i="13"/>
  <c r="F3117" i="13"/>
  <c r="A3117" i="13"/>
  <c r="J3116" i="13"/>
  <c r="F3116" i="13"/>
  <c r="A3116" i="13"/>
  <c r="J3115" i="13"/>
  <c r="F3115" i="13"/>
  <c r="A3115" i="13"/>
  <c r="J3114" i="13"/>
  <c r="F3114" i="13"/>
  <c r="A3114" i="13"/>
  <c r="F3113" i="13"/>
  <c r="A3113" i="13"/>
  <c r="J3112" i="13"/>
  <c r="F3112" i="13"/>
  <c r="A3112" i="13"/>
  <c r="J3111" i="13"/>
  <c r="F3111" i="13"/>
  <c r="A3111" i="13"/>
  <c r="F3110" i="13"/>
  <c r="A3110" i="13"/>
  <c r="F3109" i="13"/>
  <c r="A3109" i="13"/>
  <c r="F3108" i="13"/>
  <c r="A3108" i="13"/>
  <c r="F3107" i="13"/>
  <c r="A3107" i="13"/>
  <c r="J3106" i="13"/>
  <c r="F3106" i="13"/>
  <c r="A3106" i="13"/>
  <c r="J3105" i="13"/>
  <c r="F3105" i="13"/>
  <c r="A3105" i="13"/>
  <c r="F3104" i="13"/>
  <c r="A3104" i="13"/>
  <c r="F3103" i="13"/>
  <c r="A3103" i="13"/>
  <c r="F3102" i="13"/>
  <c r="A3102" i="13"/>
  <c r="J3101" i="13"/>
  <c r="F3101" i="13"/>
  <c r="A3101" i="13"/>
  <c r="J3100" i="13"/>
  <c r="F3100" i="13"/>
  <c r="A3100" i="13"/>
  <c r="J3099" i="13"/>
  <c r="F3099" i="13"/>
  <c r="A3099" i="13"/>
  <c r="F3098" i="13"/>
  <c r="A3098" i="13"/>
  <c r="F3097" i="13"/>
  <c r="A3097" i="13"/>
  <c r="J3096" i="13"/>
  <c r="F3096" i="13"/>
  <c r="A3096" i="13"/>
  <c r="J3095" i="13"/>
  <c r="F3095" i="13"/>
  <c r="A3095" i="13"/>
  <c r="F3094" i="13"/>
  <c r="A3094" i="13"/>
  <c r="F3093" i="13"/>
  <c r="A3093" i="13"/>
  <c r="F3092" i="13"/>
  <c r="A3092" i="13"/>
  <c r="F3091" i="13"/>
  <c r="A3091" i="13"/>
  <c r="F3090" i="13"/>
  <c r="A3090" i="13"/>
  <c r="F3089" i="13"/>
  <c r="A3089" i="13"/>
  <c r="J3088" i="13"/>
  <c r="F3088" i="13"/>
  <c r="A3088" i="13"/>
  <c r="J3087" i="13"/>
  <c r="F3087" i="13"/>
  <c r="A3087" i="13"/>
  <c r="J3086" i="13"/>
  <c r="F3086" i="13"/>
  <c r="A3086" i="13"/>
  <c r="F3085" i="13"/>
  <c r="A3085" i="13"/>
  <c r="J3084" i="13"/>
  <c r="F3084" i="13"/>
  <c r="A3084" i="13"/>
  <c r="J3083" i="13"/>
  <c r="F3083" i="13"/>
  <c r="A3083" i="13"/>
  <c r="F3082" i="13"/>
  <c r="A3082" i="13"/>
  <c r="J3081" i="13"/>
  <c r="F3081" i="13"/>
  <c r="A3081" i="13"/>
  <c r="J3080" i="13"/>
  <c r="F3080" i="13"/>
  <c r="A3080" i="13"/>
  <c r="J3079" i="13"/>
  <c r="F3079" i="13"/>
  <c r="A3079" i="13"/>
  <c r="F3078" i="13"/>
  <c r="A3078" i="13"/>
  <c r="J3077" i="13"/>
  <c r="F3077" i="13"/>
  <c r="A3077" i="13"/>
  <c r="J3076" i="13"/>
  <c r="F3076" i="13"/>
  <c r="A3076" i="13"/>
  <c r="J3075" i="13"/>
  <c r="F3075" i="13"/>
  <c r="A3075" i="13"/>
  <c r="F3074" i="13"/>
  <c r="A3074" i="13"/>
  <c r="J3073" i="13"/>
  <c r="F3073" i="13"/>
  <c r="A3073" i="13"/>
  <c r="F3072" i="13"/>
  <c r="A3072" i="13"/>
  <c r="F3071" i="13"/>
  <c r="A3071" i="13"/>
  <c r="F3070" i="13"/>
  <c r="A3070" i="13"/>
  <c r="J3069" i="13"/>
  <c r="F3069" i="13"/>
  <c r="A3069" i="13"/>
  <c r="J3068" i="13"/>
  <c r="F3068" i="13"/>
  <c r="A3068" i="13"/>
  <c r="J3067" i="13"/>
  <c r="F3067" i="13"/>
  <c r="A3067" i="13"/>
  <c r="J3066" i="13"/>
  <c r="F3066" i="13"/>
  <c r="A3066" i="13"/>
  <c r="F3065" i="13"/>
  <c r="A3065" i="13"/>
  <c r="J3064" i="13"/>
  <c r="F3064" i="13"/>
  <c r="A3064" i="13"/>
  <c r="J3063" i="13"/>
  <c r="F3063" i="13"/>
  <c r="A3063" i="13"/>
  <c r="J3062" i="13"/>
  <c r="F3062" i="13"/>
  <c r="A3062" i="13"/>
  <c r="F3061" i="13"/>
  <c r="A3061" i="13"/>
  <c r="F3060" i="13"/>
  <c r="A3060" i="13"/>
  <c r="F3059" i="13"/>
  <c r="A3059" i="13"/>
  <c r="J3058" i="13"/>
  <c r="F3058" i="13"/>
  <c r="A3058" i="13"/>
  <c r="J3057" i="13"/>
  <c r="F3057" i="13"/>
  <c r="A3057" i="13"/>
  <c r="F3056" i="13"/>
  <c r="A3056" i="13"/>
  <c r="F3055" i="13"/>
  <c r="A3055" i="13"/>
  <c r="F3054" i="13"/>
  <c r="A3054" i="13"/>
  <c r="F3053" i="13"/>
  <c r="A3053" i="13"/>
  <c r="F3052" i="13"/>
  <c r="A3052" i="13"/>
  <c r="J3051" i="13"/>
  <c r="F3051" i="13"/>
  <c r="A3051" i="13"/>
  <c r="F3050" i="13"/>
  <c r="A3050" i="13"/>
  <c r="F3049" i="13"/>
  <c r="A3049" i="13"/>
  <c r="F3048" i="13"/>
  <c r="A3048" i="13"/>
  <c r="J3047" i="13"/>
  <c r="F3047" i="13"/>
  <c r="A3047" i="13"/>
  <c r="J3046" i="13"/>
  <c r="F3046" i="13"/>
  <c r="A3046" i="13"/>
  <c r="F3045" i="13"/>
  <c r="A3045" i="13"/>
  <c r="J3044" i="13"/>
  <c r="F3044" i="13"/>
  <c r="A3044" i="13"/>
  <c r="J3043" i="13"/>
  <c r="F3043" i="13"/>
  <c r="A3043" i="13"/>
  <c r="F3042" i="13"/>
  <c r="A3042" i="13"/>
  <c r="J3041" i="13"/>
  <c r="F3041" i="13"/>
  <c r="A3041" i="13"/>
  <c r="J3040" i="13"/>
  <c r="F3040" i="13"/>
  <c r="A3040" i="13"/>
  <c r="F3039" i="13"/>
  <c r="A3039" i="13"/>
  <c r="F3038" i="13"/>
  <c r="A3038" i="13"/>
  <c r="J3037" i="13"/>
  <c r="F3037" i="13"/>
  <c r="A3037" i="13"/>
  <c r="J3036" i="13"/>
  <c r="F3036" i="13"/>
  <c r="A3036" i="13"/>
  <c r="F3035" i="13"/>
  <c r="A3035" i="13"/>
  <c r="J3034" i="13"/>
  <c r="F3034" i="13"/>
  <c r="A3034" i="13"/>
  <c r="J3033" i="13"/>
  <c r="F3033" i="13"/>
  <c r="A3033" i="13"/>
  <c r="F3032" i="13"/>
  <c r="A3032" i="13"/>
  <c r="J3031" i="13"/>
  <c r="F3031" i="13"/>
  <c r="A3031" i="13"/>
  <c r="J3030" i="13"/>
  <c r="F3030" i="13"/>
  <c r="A3030" i="13"/>
  <c r="F3029" i="13"/>
  <c r="A3029" i="13"/>
  <c r="J3028" i="13"/>
  <c r="F3028" i="13"/>
  <c r="A3028" i="13"/>
  <c r="J3027" i="13"/>
  <c r="F3027" i="13"/>
  <c r="A3027" i="13"/>
  <c r="F3026" i="13"/>
  <c r="A3026" i="13"/>
  <c r="J3025" i="13"/>
  <c r="F3025" i="13"/>
  <c r="A3025" i="13"/>
  <c r="J3024" i="13"/>
  <c r="F3024" i="13"/>
  <c r="A3024" i="13"/>
  <c r="F3023" i="13"/>
  <c r="A3023" i="13"/>
  <c r="F3022" i="13"/>
  <c r="A3022" i="13"/>
  <c r="J3021" i="13"/>
  <c r="F3021" i="13"/>
  <c r="A3021" i="13"/>
  <c r="J3020" i="13"/>
  <c r="F3020" i="13"/>
  <c r="A3020" i="13"/>
  <c r="F3019" i="13"/>
  <c r="A3019" i="13"/>
  <c r="F3018" i="13"/>
  <c r="A3018" i="13"/>
  <c r="F3017" i="13"/>
  <c r="A3017" i="13"/>
  <c r="J3016" i="13"/>
  <c r="F3016" i="13"/>
  <c r="A3016" i="13"/>
  <c r="F3015" i="13"/>
  <c r="A3015" i="13"/>
  <c r="F3014" i="13"/>
  <c r="A3014" i="13"/>
  <c r="F3013" i="13"/>
  <c r="A3013" i="13"/>
  <c r="F3012" i="13"/>
  <c r="A3012" i="13"/>
  <c r="F3011" i="13"/>
  <c r="A3011" i="13"/>
  <c r="F3010" i="13"/>
  <c r="A3010" i="13"/>
  <c r="F3009" i="13"/>
  <c r="A3009" i="13"/>
  <c r="J3008" i="13"/>
  <c r="F3008" i="13"/>
  <c r="A3008" i="13"/>
  <c r="J3007" i="13"/>
  <c r="F3007" i="13"/>
  <c r="A3007" i="13"/>
  <c r="J3006" i="13"/>
  <c r="F3006" i="13"/>
  <c r="A3006" i="13"/>
  <c r="J3005" i="13"/>
  <c r="F3005" i="13"/>
  <c r="A3005" i="13"/>
  <c r="F3004" i="13"/>
  <c r="A3004" i="13"/>
  <c r="F3003" i="13"/>
  <c r="A3003" i="13"/>
  <c r="F3002" i="13"/>
  <c r="A3002" i="13"/>
  <c r="J3001" i="13"/>
  <c r="F3001" i="13"/>
  <c r="A3001" i="13"/>
  <c r="J3000" i="13"/>
  <c r="F3000" i="13"/>
  <c r="A3000" i="13"/>
  <c r="J2999" i="13"/>
  <c r="F2999" i="13"/>
  <c r="A2999" i="13"/>
  <c r="J2998" i="13"/>
  <c r="F2998" i="13"/>
  <c r="A2998" i="13"/>
  <c r="J2997" i="13"/>
  <c r="F2997" i="13"/>
  <c r="A2997" i="13"/>
  <c r="J2996" i="13"/>
  <c r="F2996" i="13"/>
  <c r="A2996" i="13"/>
  <c r="F2995" i="13"/>
  <c r="A2995" i="13"/>
  <c r="F2994" i="13"/>
  <c r="A2994" i="13"/>
  <c r="J2993" i="13"/>
  <c r="F2993" i="13"/>
  <c r="A2993" i="13"/>
  <c r="F2992" i="13"/>
  <c r="A2992" i="13"/>
  <c r="J2991" i="13"/>
  <c r="F2991" i="13"/>
  <c r="A2991" i="13"/>
  <c r="J2990" i="13"/>
  <c r="F2990" i="13"/>
  <c r="A2990" i="13"/>
  <c r="F2989" i="13"/>
  <c r="A2989" i="13"/>
  <c r="F2988" i="13"/>
  <c r="A2988" i="13"/>
  <c r="J2987" i="13"/>
  <c r="F2987" i="13"/>
  <c r="A2987" i="13"/>
  <c r="J2986" i="13"/>
  <c r="F2986" i="13"/>
  <c r="A2986" i="13"/>
  <c r="F2985" i="13"/>
  <c r="A2985" i="13"/>
  <c r="J2984" i="13"/>
  <c r="F2984" i="13"/>
  <c r="A2984" i="13"/>
  <c r="F2983" i="13"/>
  <c r="A2983" i="13"/>
  <c r="F2982" i="13"/>
  <c r="A2982" i="13"/>
  <c r="F2981" i="13"/>
  <c r="A2981" i="13"/>
  <c r="F2980" i="13"/>
  <c r="A2980" i="13"/>
  <c r="F2979" i="13"/>
  <c r="A2979" i="13"/>
  <c r="J2978" i="13"/>
  <c r="F2978" i="13"/>
  <c r="A2978" i="13"/>
  <c r="J2977" i="13"/>
  <c r="F2977" i="13"/>
  <c r="A2977" i="13"/>
  <c r="J2976" i="13"/>
  <c r="F2976" i="13"/>
  <c r="A2976" i="13"/>
  <c r="F2975" i="13"/>
  <c r="A2975" i="13"/>
  <c r="J2974" i="13"/>
  <c r="F2974" i="13"/>
  <c r="A2974" i="13"/>
  <c r="J2973" i="13"/>
  <c r="F2973" i="13"/>
  <c r="A2973" i="13"/>
  <c r="F2972" i="13"/>
  <c r="A2972" i="13"/>
  <c r="J2971" i="13"/>
  <c r="F2971" i="13"/>
  <c r="A2971" i="13"/>
  <c r="J2970" i="13"/>
  <c r="F2970" i="13"/>
  <c r="A2970" i="13"/>
  <c r="J2969" i="13"/>
  <c r="F2969" i="13"/>
  <c r="A2969" i="13"/>
  <c r="J2968" i="13"/>
  <c r="F2968" i="13"/>
  <c r="A2968" i="13"/>
  <c r="F2967" i="13"/>
  <c r="A2967" i="13"/>
  <c r="J2966" i="13"/>
  <c r="F2966" i="13"/>
  <c r="A2966" i="13"/>
  <c r="F2965" i="13"/>
  <c r="A2965" i="13"/>
  <c r="F2964" i="13"/>
  <c r="A2964" i="13"/>
  <c r="J2963" i="13"/>
  <c r="F2963" i="13"/>
  <c r="A2963" i="13"/>
  <c r="J2962" i="13"/>
  <c r="F2962" i="13"/>
  <c r="A2962" i="13"/>
  <c r="F2961" i="13"/>
  <c r="A2961" i="13"/>
  <c r="J2960" i="13"/>
  <c r="F2960" i="13"/>
  <c r="A2960" i="13"/>
  <c r="J2959" i="13"/>
  <c r="F2959" i="13"/>
  <c r="A2959" i="13"/>
  <c r="F2958" i="13"/>
  <c r="A2958" i="13"/>
  <c r="J2957" i="13"/>
  <c r="F2957" i="13"/>
  <c r="A2957" i="13"/>
  <c r="J2956" i="13"/>
  <c r="F2956" i="13"/>
  <c r="A2956" i="13"/>
  <c r="J2955" i="13"/>
  <c r="F2955" i="13"/>
  <c r="A2955" i="13"/>
  <c r="J2954" i="13"/>
  <c r="F2954" i="13"/>
  <c r="A2954" i="13"/>
  <c r="F2953" i="13"/>
  <c r="A2953" i="13"/>
  <c r="J2952" i="13"/>
  <c r="F2952" i="13"/>
  <c r="A2952" i="13"/>
  <c r="J2951" i="13"/>
  <c r="F2951" i="13"/>
  <c r="A2951" i="13"/>
  <c r="J2950" i="13"/>
  <c r="F2950" i="13"/>
  <c r="A2950" i="13"/>
  <c r="J2949" i="13"/>
  <c r="F2949" i="13"/>
  <c r="A2949" i="13"/>
  <c r="F2948" i="13"/>
  <c r="A2948" i="13"/>
  <c r="J2947" i="13"/>
  <c r="F2947" i="13"/>
  <c r="A2947" i="13"/>
  <c r="J2946" i="13"/>
  <c r="F2946" i="13"/>
  <c r="A2946" i="13"/>
  <c r="J2945" i="13"/>
  <c r="F2945" i="13"/>
  <c r="A2945" i="13"/>
  <c r="F2944" i="13"/>
  <c r="A2944" i="13"/>
  <c r="F2943" i="13"/>
  <c r="A2943" i="13"/>
  <c r="F2942" i="13"/>
  <c r="A2942" i="13"/>
  <c r="J2941" i="13"/>
  <c r="F2941" i="13"/>
  <c r="A2941" i="13"/>
  <c r="J2940" i="13"/>
  <c r="F2940" i="13"/>
  <c r="A2940" i="13"/>
  <c r="J2939" i="13"/>
  <c r="F2939" i="13"/>
  <c r="A2939" i="13"/>
  <c r="J2938" i="13"/>
  <c r="F2938" i="13"/>
  <c r="A2938" i="13"/>
  <c r="J2937" i="13"/>
  <c r="F2937" i="13"/>
  <c r="A2937" i="13"/>
  <c r="J2936" i="13"/>
  <c r="F2936" i="13"/>
  <c r="A2936" i="13"/>
  <c r="J2935" i="13"/>
  <c r="F2935" i="13"/>
  <c r="A2935" i="13"/>
  <c r="F2934" i="13"/>
  <c r="A2934" i="13"/>
  <c r="J2933" i="13"/>
  <c r="F2933" i="13"/>
  <c r="A2933" i="13"/>
  <c r="J2932" i="13"/>
  <c r="F2932" i="13"/>
  <c r="A2932" i="13"/>
  <c r="F2931" i="13"/>
  <c r="A2931" i="13"/>
  <c r="J2930" i="13"/>
  <c r="F2930" i="13"/>
  <c r="A2930" i="13"/>
  <c r="J2929" i="13"/>
  <c r="F2929" i="13"/>
  <c r="A2929" i="13"/>
  <c r="F2928" i="13"/>
  <c r="A2928" i="13"/>
  <c r="J2927" i="13"/>
  <c r="F2927" i="13"/>
  <c r="A2927" i="13"/>
  <c r="F2926" i="13"/>
  <c r="A2926" i="13"/>
  <c r="F2925" i="13"/>
  <c r="A2925" i="13"/>
  <c r="J2924" i="13"/>
  <c r="F2924" i="13"/>
  <c r="A2924" i="13"/>
  <c r="J2923" i="13"/>
  <c r="F2923" i="13"/>
  <c r="A2923" i="13"/>
  <c r="J2922" i="13"/>
  <c r="F2922" i="13"/>
  <c r="A2922" i="13"/>
  <c r="J2921" i="13"/>
  <c r="F2921" i="13"/>
  <c r="A2921" i="13"/>
  <c r="J2920" i="13"/>
  <c r="F2920" i="13"/>
  <c r="A2920" i="13"/>
  <c r="F2919" i="13"/>
  <c r="A2919" i="13"/>
  <c r="J2918" i="13"/>
  <c r="F2918" i="13"/>
  <c r="A2918" i="13"/>
  <c r="J2917" i="13"/>
  <c r="F2917" i="13"/>
  <c r="A2917" i="13"/>
  <c r="J2916" i="13"/>
  <c r="F2916" i="13"/>
  <c r="A2916" i="13"/>
  <c r="J2915" i="13"/>
  <c r="F2915" i="13"/>
  <c r="A2915" i="13"/>
  <c r="J2914" i="13"/>
  <c r="F2914" i="13"/>
  <c r="A2914" i="13"/>
  <c r="F2913" i="13"/>
  <c r="A2913" i="13"/>
  <c r="J2912" i="13"/>
  <c r="F2912" i="13"/>
  <c r="A2912" i="13"/>
  <c r="J2911" i="13"/>
  <c r="F2911" i="13"/>
  <c r="A2911" i="13"/>
  <c r="J2910" i="13"/>
  <c r="F2910" i="13"/>
  <c r="A2910" i="13"/>
  <c r="F2909" i="13"/>
  <c r="A2909" i="13"/>
  <c r="F2908" i="13"/>
  <c r="A2908" i="13"/>
  <c r="J2907" i="13"/>
  <c r="F2907" i="13"/>
  <c r="A2907" i="13"/>
  <c r="J2906" i="13"/>
  <c r="F2906" i="13"/>
  <c r="A2906" i="13"/>
  <c r="J2905" i="13"/>
  <c r="F2905" i="13"/>
  <c r="A2905" i="13"/>
  <c r="J2904" i="13"/>
  <c r="F2904" i="13"/>
  <c r="A2904" i="13"/>
  <c r="J2903" i="13"/>
  <c r="F2903" i="13"/>
  <c r="A2903" i="13"/>
  <c r="J2902" i="13"/>
  <c r="F2902" i="13"/>
  <c r="A2902" i="13"/>
  <c r="J2901" i="13"/>
  <c r="F2901" i="13"/>
  <c r="A2901" i="13"/>
  <c r="J2900" i="13"/>
  <c r="F2900" i="13"/>
  <c r="A2900" i="13"/>
  <c r="J2899" i="13"/>
  <c r="F2899" i="13"/>
  <c r="A2899" i="13"/>
  <c r="J2898" i="13"/>
  <c r="F2898" i="13"/>
  <c r="A2898" i="13"/>
  <c r="J2897" i="13"/>
  <c r="F2897" i="13"/>
  <c r="A2897" i="13"/>
  <c r="J2896" i="13"/>
  <c r="F2896" i="13"/>
  <c r="A2896" i="13"/>
  <c r="J2895" i="13"/>
  <c r="F2895" i="13"/>
  <c r="A2895" i="13"/>
  <c r="F2894" i="13"/>
  <c r="A2894" i="13"/>
  <c r="J2893" i="13"/>
  <c r="F2893" i="13"/>
  <c r="A2893" i="13"/>
  <c r="J2892" i="13"/>
  <c r="F2892" i="13"/>
  <c r="A2892" i="13"/>
  <c r="J2891" i="13"/>
  <c r="F2891" i="13"/>
  <c r="A2891" i="13"/>
  <c r="F2890" i="13"/>
  <c r="A2890" i="13"/>
  <c r="F2889" i="13"/>
  <c r="A2889" i="13"/>
  <c r="F2888" i="13"/>
  <c r="A2888" i="13"/>
  <c r="J2887" i="13"/>
  <c r="F2887" i="13"/>
  <c r="A2887" i="13"/>
  <c r="J2886" i="13"/>
  <c r="F2886" i="13"/>
  <c r="A2886" i="13"/>
  <c r="J2885" i="13"/>
  <c r="F2885" i="13"/>
  <c r="A2885" i="13"/>
  <c r="F2884" i="13"/>
  <c r="A2884" i="13"/>
  <c r="J2883" i="13"/>
  <c r="F2883" i="13"/>
  <c r="A2883" i="13"/>
  <c r="J2882" i="13"/>
  <c r="F2882" i="13"/>
  <c r="A2882" i="13"/>
  <c r="J2881" i="13"/>
  <c r="F2881" i="13"/>
  <c r="A2881" i="13"/>
  <c r="F2880" i="13"/>
  <c r="A2880" i="13"/>
  <c r="J2879" i="13"/>
  <c r="F2879" i="13"/>
  <c r="A2879" i="13"/>
  <c r="J2878" i="13"/>
  <c r="F2878" i="13"/>
  <c r="A2878" i="13"/>
  <c r="J2877" i="13"/>
  <c r="F2877" i="13"/>
  <c r="A2877" i="13"/>
  <c r="J2876" i="13"/>
  <c r="F2876" i="13"/>
  <c r="A2876" i="13"/>
  <c r="F2875" i="13"/>
  <c r="A2875" i="13"/>
  <c r="J2874" i="13"/>
  <c r="F2874" i="13"/>
  <c r="A2874" i="13"/>
  <c r="J2873" i="13"/>
  <c r="F2873" i="13"/>
  <c r="A2873" i="13"/>
  <c r="J2872" i="13"/>
  <c r="F2872" i="13"/>
  <c r="A2872" i="13"/>
  <c r="J2871" i="13"/>
  <c r="F2871" i="13"/>
  <c r="A2871" i="13"/>
  <c r="F2870" i="13"/>
  <c r="A2870" i="13"/>
  <c r="F2869" i="13"/>
  <c r="A2869" i="13"/>
  <c r="J2868" i="13"/>
  <c r="F2868" i="13"/>
  <c r="J2867" i="13"/>
  <c r="F2867" i="13"/>
  <c r="F2866" i="13"/>
  <c r="A2866" i="13"/>
  <c r="F2865" i="13"/>
  <c r="A2865" i="13"/>
  <c r="F2864" i="13"/>
  <c r="J2863" i="13"/>
  <c r="F2863" i="13"/>
  <c r="A2863" i="13"/>
  <c r="J2862" i="13"/>
  <c r="F2862" i="13"/>
  <c r="A2862" i="13"/>
  <c r="J2861" i="13"/>
  <c r="F2861" i="13"/>
  <c r="A2861" i="13"/>
  <c r="J2860" i="13"/>
  <c r="F2860" i="13"/>
  <c r="A2860" i="13"/>
  <c r="J2859" i="13"/>
  <c r="F2859" i="13"/>
  <c r="A2859" i="13"/>
  <c r="J2858" i="13"/>
  <c r="F2858" i="13"/>
  <c r="A2858" i="13"/>
  <c r="J2857" i="13"/>
  <c r="F2857" i="13"/>
  <c r="A2857" i="13"/>
  <c r="F2856" i="13"/>
  <c r="A2856" i="13"/>
  <c r="F2855" i="13"/>
  <c r="A2855" i="13"/>
  <c r="F2854" i="13"/>
  <c r="A2854" i="13"/>
  <c r="F2853" i="13"/>
  <c r="A2853" i="13"/>
  <c r="F2852" i="13"/>
  <c r="A2852" i="13"/>
  <c r="F2851" i="13"/>
  <c r="A2851" i="13"/>
  <c r="F2850" i="13"/>
  <c r="A2850" i="13"/>
  <c r="F2849" i="13"/>
  <c r="A2849" i="13"/>
  <c r="F2848" i="13"/>
  <c r="A2848" i="13"/>
  <c r="F2847" i="13"/>
  <c r="A2847" i="13"/>
  <c r="F2846" i="13"/>
  <c r="A2846" i="13"/>
  <c r="F2845" i="13"/>
  <c r="A2845" i="13"/>
  <c r="F2844" i="13"/>
  <c r="A2844" i="13"/>
  <c r="F2843" i="13"/>
  <c r="A2843" i="13"/>
  <c r="F2842" i="13"/>
  <c r="A2842" i="13"/>
  <c r="F2841" i="13"/>
  <c r="A2841" i="13"/>
  <c r="F2840" i="13"/>
  <c r="A2840" i="13"/>
  <c r="F2839" i="13"/>
  <c r="A2839" i="13"/>
  <c r="F2838" i="13"/>
  <c r="A2838" i="13"/>
  <c r="F2837" i="13"/>
  <c r="A2837" i="13"/>
  <c r="F2836" i="13"/>
  <c r="A2836" i="13"/>
  <c r="F2835" i="13"/>
  <c r="A2835" i="13"/>
  <c r="F2834" i="13"/>
  <c r="A2834" i="13"/>
  <c r="J2833" i="13"/>
  <c r="F2833" i="13"/>
  <c r="A2833" i="13"/>
  <c r="F2832" i="13"/>
  <c r="A2832" i="13"/>
  <c r="J2831" i="13"/>
  <c r="F2831" i="13"/>
  <c r="A2831" i="13"/>
  <c r="J2830" i="13"/>
  <c r="F2830" i="13"/>
  <c r="A2830" i="13"/>
  <c r="F2829" i="13"/>
  <c r="A2829" i="13"/>
  <c r="F2828" i="13"/>
  <c r="A2828" i="13"/>
  <c r="F2827" i="13"/>
  <c r="A2827" i="13"/>
  <c r="F2826" i="13"/>
  <c r="A2826" i="13"/>
  <c r="F2825" i="13"/>
  <c r="A2825" i="13"/>
  <c r="J2824" i="13"/>
  <c r="F2824" i="13"/>
  <c r="A2824" i="13"/>
  <c r="J2823" i="13"/>
  <c r="F2823" i="13"/>
  <c r="A2823" i="13"/>
  <c r="F2822" i="13"/>
  <c r="A2822" i="13"/>
  <c r="F2821" i="13"/>
  <c r="A2821" i="13"/>
  <c r="F2820" i="13"/>
  <c r="A2820" i="13"/>
  <c r="J2819" i="13"/>
  <c r="F2819" i="13"/>
  <c r="A2819" i="13"/>
  <c r="F2818" i="13"/>
  <c r="A2818" i="13"/>
  <c r="F2817" i="13"/>
  <c r="A2817" i="13"/>
  <c r="F2816" i="13"/>
  <c r="A2816" i="13"/>
  <c r="J2815" i="13"/>
  <c r="F2815" i="13"/>
  <c r="A2815" i="13"/>
  <c r="J2814" i="13"/>
  <c r="F2814" i="13"/>
  <c r="A2814" i="13"/>
  <c r="J2813" i="13"/>
  <c r="F2813" i="13"/>
  <c r="A2813" i="13"/>
  <c r="F2812" i="13"/>
  <c r="A2812" i="13"/>
  <c r="F2811" i="13"/>
  <c r="A2811" i="13"/>
  <c r="F2810" i="13"/>
  <c r="A2810" i="13"/>
  <c r="F2809" i="13"/>
  <c r="A2809" i="13"/>
  <c r="J2808" i="13"/>
  <c r="F2808" i="13"/>
  <c r="A2808" i="13"/>
  <c r="J2807" i="13"/>
  <c r="F2807" i="13"/>
  <c r="A2807" i="13"/>
  <c r="F2806" i="13"/>
  <c r="A2806" i="13"/>
  <c r="F2805" i="13"/>
  <c r="A2805" i="13"/>
  <c r="F2804" i="13"/>
  <c r="A2804" i="13"/>
  <c r="F2803" i="13"/>
  <c r="A2803" i="13"/>
  <c r="F2802" i="13"/>
  <c r="A2802" i="13"/>
  <c r="F2801" i="13"/>
  <c r="A2801" i="13"/>
  <c r="J2800" i="13"/>
  <c r="F2800" i="13"/>
  <c r="A2800" i="13"/>
  <c r="J2799" i="13"/>
  <c r="F2799" i="13"/>
  <c r="A2799" i="13"/>
  <c r="F2798" i="13"/>
  <c r="A2798" i="13"/>
  <c r="J2797" i="13"/>
  <c r="F2797" i="13"/>
  <c r="A2797" i="13"/>
  <c r="J2796" i="13"/>
  <c r="F2796" i="13"/>
  <c r="A2796" i="13"/>
  <c r="J2795" i="13"/>
  <c r="F2795" i="13"/>
  <c r="A2795" i="13"/>
  <c r="J2794" i="13"/>
  <c r="F2794" i="13"/>
  <c r="A2794" i="13"/>
  <c r="F2793" i="13"/>
  <c r="A2793" i="13"/>
  <c r="J2792" i="13"/>
  <c r="F2792" i="13"/>
  <c r="A2792" i="13"/>
  <c r="J2791" i="13"/>
  <c r="F2791" i="13"/>
  <c r="A2791" i="13"/>
  <c r="F2790" i="13"/>
  <c r="A2790" i="13"/>
  <c r="F2789" i="13"/>
  <c r="A2789" i="13"/>
  <c r="F2788" i="13"/>
  <c r="A2788" i="13"/>
  <c r="J2787" i="13"/>
  <c r="F2787" i="13"/>
  <c r="A2787" i="13"/>
  <c r="F2786" i="13"/>
  <c r="A2786" i="13"/>
  <c r="F2785" i="13"/>
  <c r="A2785" i="13"/>
  <c r="F2784" i="13"/>
  <c r="A2784" i="13"/>
  <c r="F2783" i="13"/>
  <c r="A2783" i="13"/>
  <c r="F2782" i="13"/>
  <c r="A2782" i="13"/>
  <c r="J2781" i="13"/>
  <c r="F2781" i="13"/>
  <c r="A2781" i="13"/>
  <c r="J2780" i="13"/>
  <c r="F2780" i="13"/>
  <c r="A2780" i="13"/>
  <c r="J2779" i="13"/>
  <c r="F2779" i="13"/>
  <c r="A2779" i="13"/>
  <c r="F2778" i="13"/>
  <c r="A2778" i="13"/>
  <c r="F2777" i="13"/>
  <c r="A2777" i="13"/>
  <c r="F2776" i="13"/>
  <c r="A2776" i="13"/>
  <c r="F2775" i="13"/>
  <c r="A2775" i="13"/>
  <c r="F2774" i="13"/>
  <c r="A2774" i="13"/>
  <c r="F2773" i="13"/>
  <c r="A2773" i="13"/>
  <c r="F2772" i="13"/>
  <c r="A2772" i="13"/>
  <c r="F2771" i="13"/>
  <c r="A2771" i="13"/>
  <c r="F2770" i="13"/>
  <c r="A2770" i="13"/>
  <c r="F2769" i="13"/>
  <c r="A2769" i="13"/>
  <c r="F2768" i="13"/>
  <c r="A2768" i="13"/>
  <c r="F2767" i="13"/>
  <c r="A2767" i="13"/>
  <c r="F2766" i="13"/>
  <c r="A2766" i="13"/>
  <c r="F2765" i="13"/>
  <c r="A2765" i="13"/>
  <c r="F2764" i="13"/>
  <c r="A2764" i="13"/>
  <c r="F2763" i="13"/>
  <c r="A2763" i="13"/>
  <c r="F2762" i="13"/>
  <c r="A2762" i="13"/>
  <c r="F2761" i="13"/>
  <c r="A2761" i="13"/>
  <c r="F2760" i="13"/>
  <c r="A2760" i="13"/>
  <c r="J2759" i="13"/>
  <c r="F2759" i="13"/>
  <c r="A2759" i="13"/>
  <c r="F2758" i="13"/>
  <c r="A2758" i="13"/>
  <c r="J2757" i="13"/>
  <c r="F2757" i="13"/>
  <c r="A2757" i="13"/>
  <c r="J2756" i="13"/>
  <c r="F2756" i="13"/>
  <c r="A2756" i="13"/>
  <c r="F2755" i="13"/>
  <c r="A2755" i="13"/>
  <c r="J2754" i="13"/>
  <c r="F2754" i="13"/>
  <c r="A2754" i="13"/>
  <c r="J2753" i="13"/>
  <c r="F2753" i="13"/>
  <c r="A2753" i="13"/>
  <c r="F2752" i="13"/>
  <c r="A2752" i="13"/>
  <c r="J2751" i="13"/>
  <c r="F2751" i="13"/>
  <c r="A2751" i="13"/>
  <c r="J2750" i="13"/>
  <c r="F2750" i="13"/>
  <c r="A2750" i="13"/>
  <c r="J2749" i="13"/>
  <c r="F2749" i="13"/>
  <c r="A2749" i="13"/>
  <c r="F2748" i="13"/>
  <c r="A2748" i="13"/>
  <c r="J2747" i="13"/>
  <c r="F2747" i="13"/>
  <c r="A2747" i="13"/>
  <c r="J2746" i="13"/>
  <c r="F2746" i="13"/>
  <c r="A2746" i="13"/>
  <c r="F2745" i="13"/>
  <c r="A2745" i="13"/>
  <c r="J2744" i="13"/>
  <c r="F2744" i="13"/>
  <c r="A2744" i="13"/>
  <c r="F2743" i="13"/>
  <c r="A2743" i="13"/>
  <c r="J2742" i="13"/>
  <c r="F2742" i="13"/>
  <c r="A2742" i="13"/>
  <c r="J2741" i="13"/>
  <c r="F2741" i="13"/>
  <c r="A2741" i="13"/>
  <c r="F2740" i="13"/>
  <c r="A2740" i="13"/>
  <c r="J2739" i="13"/>
  <c r="F2739" i="13"/>
  <c r="A2739" i="13"/>
  <c r="J2738" i="13"/>
  <c r="F2738" i="13"/>
  <c r="A2738" i="13"/>
  <c r="F2737" i="13"/>
  <c r="A2737" i="13"/>
  <c r="F2736" i="13"/>
  <c r="A2736" i="13"/>
  <c r="F2735" i="13"/>
  <c r="A2735" i="13"/>
  <c r="J2734" i="13"/>
  <c r="F2734" i="13"/>
  <c r="A2734" i="13"/>
  <c r="J2733" i="13"/>
  <c r="F2733" i="13"/>
  <c r="A2733" i="13"/>
  <c r="F2732" i="13"/>
  <c r="A2732" i="13"/>
  <c r="F2731" i="13"/>
  <c r="A2731" i="13"/>
  <c r="F2730" i="13"/>
  <c r="A2730" i="13"/>
  <c r="J2729" i="13"/>
  <c r="F2729" i="13"/>
  <c r="A2729" i="13"/>
  <c r="F2728" i="13"/>
  <c r="A2728" i="13"/>
  <c r="J2727" i="13"/>
  <c r="F2727" i="13"/>
  <c r="A2727" i="13"/>
  <c r="F2726" i="13"/>
  <c r="A2726" i="13"/>
  <c r="J2725" i="13"/>
  <c r="F2725" i="13"/>
  <c r="A2725" i="13"/>
  <c r="J2724" i="13"/>
  <c r="F2724" i="13"/>
  <c r="A2724" i="13"/>
  <c r="J2723" i="13"/>
  <c r="F2723" i="13"/>
  <c r="A2723" i="13"/>
  <c r="F2722" i="13"/>
  <c r="A2722" i="13"/>
  <c r="J2721" i="13"/>
  <c r="F2721" i="13"/>
  <c r="A2721" i="13"/>
  <c r="J2720" i="13"/>
  <c r="F2720" i="13"/>
  <c r="A2720" i="13"/>
  <c r="F2719" i="13"/>
  <c r="A2719" i="13"/>
  <c r="F2718" i="13"/>
  <c r="A2718" i="13"/>
  <c r="J2717" i="13"/>
  <c r="F2717" i="13"/>
  <c r="A2717" i="13"/>
  <c r="J2716" i="13"/>
  <c r="F2716" i="13"/>
  <c r="A2716" i="13"/>
  <c r="J2715" i="13"/>
  <c r="F2715" i="13"/>
  <c r="A2715" i="13"/>
  <c r="J2714" i="13"/>
  <c r="F2714" i="13"/>
  <c r="A2714" i="13"/>
  <c r="F2713" i="13"/>
  <c r="A2713" i="13"/>
  <c r="F2712" i="13"/>
  <c r="A2712" i="13"/>
  <c r="J2711" i="13"/>
  <c r="F2711" i="13"/>
  <c r="A2711" i="13"/>
  <c r="J2710" i="13"/>
  <c r="F2710" i="13"/>
  <c r="A2710" i="13"/>
  <c r="J2709" i="13"/>
  <c r="F2709" i="13"/>
  <c r="A2709" i="13"/>
  <c r="J2708" i="13"/>
  <c r="F2708" i="13"/>
  <c r="A2708" i="13"/>
  <c r="F2707" i="13"/>
  <c r="A2707" i="13"/>
  <c r="F2706" i="13"/>
  <c r="A2706" i="13"/>
  <c r="F2705" i="13"/>
  <c r="A2705" i="13"/>
  <c r="F2704" i="13"/>
  <c r="A2704" i="13"/>
  <c r="J2703" i="13"/>
  <c r="F2703" i="13"/>
  <c r="A2703" i="13"/>
  <c r="J2702" i="13"/>
  <c r="F2702" i="13"/>
  <c r="A2702" i="13"/>
  <c r="J2701" i="13"/>
  <c r="F2701" i="13"/>
  <c r="A2701" i="13"/>
  <c r="J2700" i="13"/>
  <c r="F2700" i="13"/>
  <c r="A2700" i="13"/>
  <c r="J2699" i="13"/>
  <c r="F2699" i="13"/>
  <c r="A2699" i="13"/>
  <c r="F2698" i="13"/>
  <c r="A2698" i="13"/>
  <c r="F2697" i="13"/>
  <c r="A2697" i="13"/>
  <c r="J2696" i="13"/>
  <c r="F2696" i="13"/>
  <c r="A2696" i="13"/>
  <c r="J2695" i="13"/>
  <c r="F2695" i="13"/>
  <c r="A2695" i="13"/>
  <c r="J2694" i="13"/>
  <c r="F2694" i="13"/>
  <c r="A2694" i="13"/>
  <c r="J2693" i="13"/>
  <c r="F2693" i="13"/>
  <c r="A2693" i="13"/>
  <c r="J2692" i="13"/>
  <c r="F2692" i="13"/>
  <c r="A2692" i="13"/>
  <c r="J2691" i="13"/>
  <c r="F2691" i="13"/>
  <c r="A2691" i="13"/>
  <c r="J2690" i="13"/>
  <c r="F2690" i="13"/>
  <c r="A2690" i="13"/>
  <c r="J2689" i="13"/>
  <c r="F2689" i="13"/>
  <c r="A2689" i="13"/>
  <c r="J2688" i="13"/>
  <c r="F2688" i="13"/>
  <c r="A2688" i="13"/>
  <c r="J2687" i="13"/>
  <c r="F2687" i="13"/>
  <c r="A2687" i="13"/>
  <c r="J2686" i="13"/>
  <c r="F2686" i="13"/>
  <c r="A2686" i="13"/>
  <c r="J2685" i="13"/>
  <c r="F2685" i="13"/>
  <c r="A2685" i="13"/>
  <c r="J2684" i="13"/>
  <c r="F2684" i="13"/>
  <c r="A2684" i="13"/>
  <c r="J2683" i="13"/>
  <c r="F2683" i="13"/>
  <c r="A2683" i="13"/>
  <c r="J2682" i="13"/>
  <c r="F2682" i="13"/>
  <c r="A2682" i="13"/>
  <c r="J2681" i="13"/>
  <c r="F2681" i="13"/>
  <c r="A2681" i="13"/>
  <c r="J2680" i="13"/>
  <c r="F2680" i="13"/>
  <c r="A2680" i="13"/>
  <c r="J2679" i="13"/>
  <c r="F2679" i="13"/>
  <c r="F2678" i="13"/>
  <c r="A2678" i="13"/>
  <c r="J2677" i="13"/>
  <c r="F2677" i="13"/>
  <c r="A2677" i="13"/>
  <c r="J2676" i="13"/>
  <c r="F2676" i="13"/>
  <c r="A2676" i="13"/>
  <c r="J2675" i="13"/>
  <c r="F2675" i="13"/>
  <c r="A2675" i="13"/>
  <c r="J2674" i="13"/>
  <c r="F2674" i="13"/>
  <c r="A2674" i="13"/>
  <c r="F2673" i="13"/>
  <c r="A2673" i="13"/>
  <c r="F2672" i="13"/>
  <c r="A2672" i="13"/>
  <c r="J2671" i="13"/>
  <c r="F2671" i="13"/>
  <c r="A2671" i="13"/>
  <c r="J2670" i="13"/>
  <c r="F2670" i="13"/>
  <c r="A2670" i="13"/>
  <c r="F2669" i="13"/>
  <c r="A2669" i="13"/>
  <c r="F2668" i="13"/>
  <c r="A2668" i="13"/>
  <c r="J2667" i="13"/>
  <c r="F2667" i="13"/>
  <c r="A2667" i="13"/>
  <c r="J2666" i="13"/>
  <c r="F2666" i="13"/>
  <c r="A2666" i="13"/>
  <c r="F2665" i="13"/>
  <c r="A2665" i="13"/>
  <c r="J2664" i="13"/>
  <c r="F2664" i="13"/>
  <c r="A2664" i="13"/>
  <c r="J2663" i="13"/>
  <c r="F2663" i="13"/>
  <c r="A2663" i="13"/>
  <c r="F2662" i="13"/>
  <c r="A2662" i="13"/>
  <c r="J2661" i="13"/>
  <c r="F2661" i="13"/>
  <c r="A2661" i="13"/>
  <c r="J2660" i="13"/>
  <c r="F2660" i="13"/>
  <c r="A2660" i="13"/>
  <c r="F2659" i="13"/>
  <c r="A2659" i="13"/>
  <c r="J2658" i="13"/>
  <c r="F2658" i="13"/>
  <c r="A2658" i="13"/>
  <c r="J2657" i="13"/>
  <c r="F2657" i="13"/>
  <c r="A2657" i="13"/>
  <c r="J2656" i="13"/>
  <c r="F2656" i="13"/>
  <c r="A2656" i="13"/>
  <c r="J2655" i="13"/>
  <c r="F2655" i="13"/>
  <c r="A2655" i="13"/>
  <c r="J2654" i="13"/>
  <c r="F2654" i="13"/>
  <c r="A2654" i="13"/>
  <c r="F2653" i="13"/>
  <c r="A2653" i="13"/>
  <c r="J2652" i="13"/>
  <c r="F2652" i="13"/>
  <c r="A2652" i="13"/>
  <c r="F2651" i="13"/>
  <c r="A2651" i="13"/>
  <c r="J2650" i="13"/>
  <c r="F2650" i="13"/>
  <c r="A2650" i="13"/>
  <c r="J2649" i="13"/>
  <c r="F2649" i="13"/>
  <c r="A2649" i="13"/>
  <c r="F2648" i="13"/>
  <c r="A2648" i="13"/>
  <c r="F2647" i="13"/>
  <c r="A2647" i="13"/>
  <c r="J2646" i="13"/>
  <c r="F2646" i="13"/>
  <c r="A2646" i="13"/>
  <c r="J2645" i="13"/>
  <c r="F2645" i="13"/>
  <c r="A2645" i="13"/>
  <c r="J2644" i="13"/>
  <c r="F2644" i="13"/>
  <c r="A2644" i="13"/>
  <c r="J2643" i="13"/>
  <c r="F2643" i="13"/>
  <c r="A2643" i="13"/>
  <c r="F2642" i="13"/>
  <c r="A2642" i="13"/>
  <c r="F2641" i="13"/>
  <c r="A2641" i="13"/>
  <c r="F2640" i="13"/>
  <c r="A2640" i="13"/>
  <c r="F2639" i="13"/>
  <c r="A2639" i="13"/>
  <c r="F2638" i="13"/>
  <c r="A2638" i="13"/>
  <c r="F2637" i="13"/>
  <c r="A2637" i="13"/>
  <c r="F2636" i="13"/>
  <c r="A2636" i="13"/>
  <c r="F2635" i="13"/>
  <c r="A2635" i="13"/>
  <c r="F2634" i="13"/>
  <c r="A2634" i="13"/>
  <c r="F2633" i="13"/>
  <c r="A2633" i="13"/>
  <c r="F2632" i="13"/>
  <c r="A2632" i="13"/>
  <c r="F2631" i="13"/>
  <c r="A2631" i="13"/>
  <c r="F2630" i="13"/>
  <c r="A2630" i="13"/>
  <c r="F2629" i="13"/>
  <c r="A2629" i="13"/>
  <c r="F2628" i="13"/>
  <c r="A2628" i="13"/>
  <c r="F2627" i="13"/>
  <c r="A2627" i="13"/>
  <c r="F2626" i="13"/>
  <c r="A2626" i="13"/>
  <c r="F2625" i="13"/>
  <c r="A2625" i="13"/>
  <c r="F2624" i="13"/>
  <c r="A2624" i="13"/>
  <c r="F2623" i="13"/>
  <c r="A2623" i="13"/>
  <c r="F2622" i="13"/>
  <c r="A2622" i="13"/>
  <c r="F2621" i="13"/>
  <c r="A2621" i="13"/>
  <c r="F2620" i="13"/>
  <c r="A2620" i="13"/>
  <c r="F2619" i="13"/>
  <c r="A2619" i="13"/>
  <c r="J2618" i="13"/>
  <c r="F2618" i="13"/>
  <c r="A2618" i="13"/>
  <c r="J2617" i="13"/>
  <c r="F2617" i="13"/>
  <c r="A2617" i="13"/>
  <c r="F2616" i="13"/>
  <c r="A2616" i="13"/>
  <c r="J2615" i="13"/>
  <c r="F2615" i="13"/>
  <c r="A2615" i="13"/>
  <c r="J2614" i="13"/>
  <c r="F2614" i="13"/>
  <c r="A2614" i="13"/>
  <c r="J2613" i="13"/>
  <c r="F2613" i="13"/>
  <c r="A2613" i="13"/>
  <c r="F2612" i="13"/>
  <c r="A2612" i="13"/>
  <c r="J2611" i="13"/>
  <c r="F2611" i="13"/>
  <c r="A2611" i="13"/>
  <c r="J2610" i="13"/>
  <c r="F2610" i="13"/>
  <c r="A2610" i="13"/>
  <c r="J2609" i="13"/>
  <c r="F2609" i="13"/>
  <c r="A2609" i="13"/>
  <c r="F2608" i="13"/>
  <c r="A2608" i="13"/>
  <c r="F2607" i="13"/>
  <c r="A2607" i="13"/>
  <c r="J2606" i="13"/>
  <c r="F2606" i="13"/>
  <c r="A2606" i="13"/>
  <c r="J2605" i="13"/>
  <c r="F2605" i="13"/>
  <c r="A2605" i="13"/>
  <c r="F2604" i="13"/>
  <c r="A2604" i="13"/>
  <c r="J2603" i="13"/>
  <c r="F2603" i="13"/>
  <c r="A2603" i="13"/>
  <c r="J2602" i="13"/>
  <c r="F2602" i="13"/>
  <c r="A2602" i="13"/>
  <c r="J2601" i="13"/>
  <c r="F2601" i="13"/>
  <c r="A2601" i="13"/>
  <c r="J2600" i="13"/>
  <c r="F2600" i="13"/>
  <c r="A2600" i="13"/>
  <c r="F2599" i="13"/>
  <c r="A2599" i="13"/>
  <c r="F2598" i="13"/>
  <c r="A2598" i="13"/>
  <c r="F2597" i="13"/>
  <c r="A2597" i="13"/>
  <c r="J2596" i="13"/>
  <c r="F2596" i="13"/>
  <c r="A2596" i="13"/>
  <c r="J2595" i="13"/>
  <c r="F2595" i="13"/>
  <c r="A2595" i="13"/>
  <c r="J2594" i="13"/>
  <c r="F2594" i="13"/>
  <c r="A2594" i="13"/>
  <c r="F2593" i="13"/>
  <c r="A2593" i="13"/>
  <c r="J2592" i="13"/>
  <c r="F2592" i="13"/>
  <c r="A2592" i="13"/>
  <c r="J2591" i="13"/>
  <c r="F2591" i="13"/>
  <c r="A2591" i="13"/>
  <c r="J2590" i="13"/>
  <c r="F2590" i="13"/>
  <c r="A2590" i="13"/>
  <c r="J2589" i="13"/>
  <c r="F2589" i="13"/>
  <c r="A2589" i="13"/>
  <c r="J2588" i="13"/>
  <c r="F2588" i="13"/>
  <c r="A2588" i="13"/>
  <c r="J2587" i="13"/>
  <c r="F2587" i="13"/>
  <c r="A2587" i="13"/>
  <c r="J2586" i="13"/>
  <c r="F2586" i="13"/>
  <c r="A2586" i="13"/>
  <c r="J2585" i="13"/>
  <c r="F2585" i="13"/>
  <c r="A2585" i="13"/>
  <c r="F2584" i="13"/>
  <c r="A2584" i="13"/>
  <c r="J2583" i="13"/>
  <c r="F2583" i="13"/>
  <c r="A2583" i="13"/>
  <c r="J2582" i="13"/>
  <c r="F2582" i="13"/>
  <c r="A2582" i="13"/>
  <c r="F2581" i="13"/>
  <c r="A2581" i="13"/>
  <c r="J2580" i="13"/>
  <c r="F2580" i="13"/>
  <c r="A2580" i="13"/>
  <c r="J2579" i="13"/>
  <c r="F2579" i="13"/>
  <c r="A2579" i="13"/>
  <c r="F2578" i="13"/>
  <c r="A2578" i="13"/>
  <c r="F2577" i="13"/>
  <c r="A2577" i="13"/>
  <c r="F2576" i="13"/>
  <c r="A2576" i="13"/>
  <c r="J2575" i="13"/>
  <c r="F2575" i="13"/>
  <c r="A2575" i="13"/>
  <c r="J2574" i="13"/>
  <c r="F2574" i="13"/>
  <c r="A2574" i="13"/>
  <c r="F2573" i="13"/>
  <c r="A2573" i="13"/>
  <c r="J2572" i="13"/>
  <c r="F2572" i="13"/>
  <c r="A2572" i="13"/>
  <c r="F2571" i="13"/>
  <c r="A2571" i="13"/>
  <c r="J2570" i="13"/>
  <c r="F2570" i="13"/>
  <c r="A2570" i="13"/>
  <c r="J2569" i="13"/>
  <c r="F2569" i="13"/>
  <c r="A2569" i="13"/>
  <c r="J2568" i="13"/>
  <c r="F2568" i="13"/>
  <c r="A2568" i="13"/>
  <c r="J2567" i="13"/>
  <c r="F2567" i="13"/>
  <c r="A2567" i="13"/>
  <c r="F2566" i="13"/>
  <c r="A2566" i="13"/>
  <c r="J2565" i="13"/>
  <c r="F2565" i="13"/>
  <c r="A2565" i="13"/>
  <c r="J2564" i="13"/>
  <c r="F2564" i="13"/>
  <c r="A2564" i="13"/>
  <c r="J2563" i="13"/>
  <c r="F2563" i="13"/>
  <c r="A2563" i="13"/>
  <c r="F2562" i="13"/>
  <c r="A2562" i="13"/>
  <c r="J2561" i="13"/>
  <c r="F2561" i="13"/>
  <c r="A2561" i="13"/>
  <c r="J2560" i="13"/>
  <c r="F2560" i="13"/>
  <c r="A2560" i="13"/>
  <c r="J2559" i="13"/>
  <c r="F2559" i="13"/>
  <c r="A2559" i="13"/>
  <c r="F2558" i="13"/>
  <c r="A2558" i="13"/>
  <c r="J2557" i="13"/>
  <c r="F2557" i="13"/>
  <c r="A2557" i="13"/>
  <c r="J2556" i="13"/>
  <c r="F2556" i="13"/>
  <c r="A2556" i="13"/>
  <c r="F2555" i="13"/>
  <c r="A2555" i="13"/>
  <c r="J2554" i="13"/>
  <c r="F2554" i="13"/>
  <c r="A2554" i="13"/>
  <c r="J2553" i="13"/>
  <c r="F2553" i="13"/>
  <c r="A2553" i="13"/>
  <c r="F2552" i="13"/>
  <c r="A2552" i="13"/>
  <c r="F2551" i="13"/>
  <c r="A2551" i="13"/>
  <c r="J2550" i="13"/>
  <c r="F2550" i="13"/>
  <c r="A2550" i="13"/>
  <c r="J2549" i="13"/>
  <c r="F2549" i="13"/>
  <c r="A2549" i="13"/>
  <c r="F2548" i="13"/>
  <c r="A2548" i="13"/>
  <c r="F2547" i="13"/>
  <c r="A2547" i="13"/>
  <c r="J2546" i="13"/>
  <c r="F2546" i="13"/>
  <c r="A2546" i="13"/>
  <c r="J2545" i="13"/>
  <c r="F2545" i="13"/>
  <c r="A2545" i="13"/>
  <c r="J2544" i="13"/>
  <c r="F2544" i="13"/>
  <c r="A2544" i="13"/>
  <c r="F2543" i="13"/>
  <c r="A2543" i="13"/>
  <c r="J2542" i="13"/>
  <c r="F2542" i="13"/>
  <c r="A2542" i="13"/>
  <c r="J2541" i="13"/>
  <c r="F2541" i="13"/>
  <c r="A2541" i="13"/>
  <c r="F2540" i="13"/>
  <c r="A2540" i="13"/>
  <c r="J2539" i="13"/>
  <c r="F2539" i="13"/>
  <c r="A2539" i="13"/>
  <c r="J2538" i="13"/>
  <c r="F2538" i="13"/>
  <c r="A2538" i="13"/>
  <c r="F2537" i="13"/>
  <c r="A2537" i="13"/>
  <c r="J2536" i="13"/>
  <c r="F2536" i="13"/>
  <c r="A2536" i="13"/>
  <c r="J2535" i="13"/>
  <c r="F2535" i="13"/>
  <c r="A2535" i="13"/>
  <c r="F2534" i="13"/>
  <c r="A2534" i="13"/>
  <c r="F2533" i="13"/>
  <c r="A2533" i="13"/>
  <c r="F2532" i="13"/>
  <c r="A2532" i="13"/>
  <c r="F2531" i="13"/>
  <c r="A2531" i="13"/>
  <c r="F2530" i="13"/>
  <c r="A2530" i="13"/>
  <c r="F2529" i="13"/>
  <c r="A2529" i="13"/>
  <c r="J2528" i="13"/>
  <c r="F2528" i="13"/>
  <c r="A2528" i="13"/>
  <c r="J2527" i="13"/>
  <c r="F2527" i="13"/>
  <c r="A2527" i="13"/>
  <c r="F2526" i="13"/>
  <c r="A2526" i="13"/>
  <c r="F2525" i="13"/>
  <c r="A2525" i="13"/>
  <c r="F2524" i="13"/>
  <c r="A2524" i="13"/>
  <c r="F2523" i="13"/>
  <c r="A2523" i="13"/>
  <c r="F2522" i="13"/>
  <c r="A2522" i="13"/>
  <c r="F2521" i="13"/>
  <c r="A2521" i="13"/>
  <c r="F2520" i="13"/>
  <c r="A2520" i="13"/>
  <c r="F2519" i="13"/>
  <c r="A2519" i="13"/>
  <c r="F2518" i="13"/>
  <c r="A2518" i="13"/>
  <c r="F2517" i="13"/>
  <c r="A2517" i="13"/>
  <c r="F2516" i="13"/>
  <c r="A2516" i="13"/>
  <c r="F2515" i="13"/>
  <c r="A2515" i="13"/>
  <c r="F2514" i="13"/>
  <c r="A2514" i="13"/>
  <c r="F2513" i="13"/>
  <c r="A2513" i="13"/>
  <c r="F2512" i="13"/>
  <c r="A2512" i="13"/>
  <c r="F2511" i="13"/>
  <c r="A2511" i="13"/>
  <c r="F2510" i="13"/>
  <c r="A2510" i="13"/>
  <c r="F2509" i="13"/>
  <c r="A2509" i="13"/>
  <c r="F2508" i="13"/>
  <c r="A2508" i="13"/>
  <c r="F2507" i="13"/>
  <c r="A2507" i="13"/>
  <c r="J2506" i="13"/>
  <c r="F2506" i="13"/>
  <c r="A2506" i="13"/>
  <c r="J2505" i="13"/>
  <c r="F2505" i="13"/>
  <c r="A2505" i="13"/>
  <c r="J2504" i="13"/>
  <c r="F2504" i="13"/>
  <c r="A2504" i="13"/>
  <c r="F2503" i="13"/>
  <c r="A2503" i="13"/>
  <c r="F2502" i="13"/>
  <c r="A2502" i="13"/>
  <c r="F2501" i="13"/>
  <c r="A2501" i="13"/>
  <c r="F2500" i="13"/>
  <c r="A2500" i="13"/>
  <c r="F2499" i="13"/>
  <c r="A2499" i="13"/>
  <c r="J2498" i="13"/>
  <c r="F2498" i="13"/>
  <c r="A2498" i="13"/>
  <c r="F2497" i="13"/>
  <c r="A2497" i="13"/>
  <c r="F2496" i="13"/>
  <c r="A2496" i="13"/>
  <c r="F2495" i="13"/>
  <c r="A2495" i="13"/>
  <c r="J2494" i="13"/>
  <c r="F2494" i="13"/>
  <c r="A2494" i="13"/>
  <c r="J2493" i="13"/>
  <c r="F2493" i="13"/>
  <c r="A2493" i="13"/>
  <c r="F2492" i="13"/>
  <c r="A2492" i="13"/>
  <c r="J2491" i="13"/>
  <c r="F2491" i="13"/>
  <c r="A2491" i="13"/>
  <c r="J2490" i="13"/>
  <c r="F2490" i="13"/>
  <c r="A2490" i="13"/>
  <c r="J2489" i="13"/>
  <c r="F2489" i="13"/>
  <c r="A2489" i="13"/>
  <c r="F2488" i="13"/>
  <c r="A2488" i="13"/>
  <c r="J2487" i="13"/>
  <c r="F2487" i="13"/>
  <c r="A2487" i="13"/>
  <c r="J2486" i="13"/>
  <c r="F2486" i="13"/>
  <c r="A2486" i="13"/>
  <c r="F2485" i="13"/>
  <c r="A2485" i="13"/>
  <c r="J2484" i="13"/>
  <c r="F2484" i="13"/>
  <c r="A2484" i="13"/>
  <c r="J2483" i="13"/>
  <c r="F2483" i="13"/>
  <c r="A2483" i="13"/>
  <c r="F2482" i="13"/>
  <c r="A2482" i="13"/>
  <c r="J2481" i="13"/>
  <c r="F2481" i="13"/>
  <c r="A2481" i="13"/>
  <c r="J2480" i="13"/>
  <c r="F2480" i="13"/>
  <c r="A2480" i="13"/>
  <c r="F2479" i="13"/>
  <c r="A2479" i="13"/>
  <c r="J2478" i="13"/>
  <c r="F2478" i="13"/>
  <c r="A2478" i="13"/>
  <c r="J2477" i="13"/>
  <c r="F2477" i="13"/>
  <c r="A2477" i="13"/>
  <c r="J2476" i="13"/>
  <c r="F2476" i="13"/>
  <c r="A2476" i="13"/>
  <c r="F2475" i="13"/>
  <c r="A2475" i="13"/>
  <c r="F2474" i="13"/>
  <c r="A2474" i="13"/>
  <c r="J2473" i="13"/>
  <c r="F2473" i="13"/>
  <c r="A2473" i="13"/>
  <c r="J2472" i="13"/>
  <c r="F2472" i="13"/>
  <c r="A2472" i="13"/>
  <c r="J2471" i="13"/>
  <c r="F2471" i="13"/>
  <c r="A2471" i="13"/>
  <c r="J2470" i="13"/>
  <c r="F2470" i="13"/>
  <c r="A2470" i="13"/>
  <c r="J2469" i="13"/>
  <c r="F2469" i="13"/>
  <c r="A2469" i="13"/>
  <c r="J2468" i="13"/>
  <c r="F2468" i="13"/>
  <c r="A2468" i="13"/>
  <c r="F2467" i="13"/>
  <c r="A2467" i="13"/>
  <c r="J2466" i="13"/>
  <c r="F2466" i="13"/>
  <c r="A2466" i="13"/>
  <c r="J2465" i="13"/>
  <c r="F2465" i="13"/>
  <c r="A2465" i="13"/>
  <c r="J2464" i="13"/>
  <c r="F2464" i="13"/>
  <c r="A2464" i="13"/>
  <c r="J2463" i="13"/>
  <c r="F2463" i="13"/>
  <c r="A2463" i="13"/>
  <c r="J2462" i="13"/>
  <c r="F2462" i="13"/>
  <c r="A2462" i="13"/>
  <c r="J2461" i="13"/>
  <c r="F2461" i="13"/>
  <c r="A2461" i="13"/>
  <c r="J2460" i="13"/>
  <c r="F2460" i="13"/>
  <c r="A2460" i="13"/>
  <c r="F2459" i="13"/>
  <c r="A2459" i="13"/>
  <c r="J2458" i="13"/>
  <c r="F2458" i="13"/>
  <c r="A2458" i="13"/>
  <c r="J2457" i="13"/>
  <c r="F2457" i="13"/>
  <c r="A2457" i="13"/>
  <c r="F2456" i="13"/>
  <c r="A2456" i="13"/>
  <c r="J2455" i="13"/>
  <c r="F2455" i="13"/>
  <c r="A2455" i="13"/>
  <c r="F2454" i="13"/>
  <c r="A2454" i="13"/>
  <c r="J2453" i="13"/>
  <c r="F2453" i="13"/>
  <c r="A2453" i="13"/>
  <c r="J2452" i="13"/>
  <c r="F2452" i="13"/>
  <c r="A2452" i="13"/>
  <c r="F2451" i="13"/>
  <c r="A2451" i="13"/>
  <c r="J2450" i="13"/>
  <c r="F2450" i="13"/>
  <c r="A2450" i="13"/>
  <c r="J2449" i="13"/>
  <c r="F2449" i="13"/>
  <c r="A2449" i="13"/>
  <c r="F2448" i="13"/>
  <c r="A2448" i="13"/>
  <c r="J2447" i="13"/>
  <c r="F2447" i="13"/>
  <c r="A2447" i="13"/>
  <c r="J2446" i="13"/>
  <c r="F2446" i="13"/>
  <c r="A2446" i="13"/>
  <c r="J2445" i="13"/>
  <c r="F2445" i="13"/>
  <c r="A2445" i="13"/>
  <c r="F2444" i="13"/>
  <c r="A2444" i="13"/>
  <c r="J2443" i="13"/>
  <c r="F2443" i="13"/>
  <c r="A2443" i="13"/>
  <c r="J2442" i="13"/>
  <c r="F2442" i="13"/>
  <c r="A2442" i="13"/>
  <c r="J2441" i="13"/>
  <c r="F2441" i="13"/>
  <c r="A2441" i="13"/>
  <c r="F2440" i="13"/>
  <c r="A2440" i="13"/>
  <c r="J2439" i="13"/>
  <c r="F2439" i="13"/>
  <c r="A2439" i="13"/>
  <c r="J2438" i="13"/>
  <c r="F2438" i="13"/>
  <c r="A2438" i="13"/>
  <c r="F2437" i="13"/>
  <c r="A2437" i="13"/>
  <c r="J2436" i="13"/>
  <c r="F2436" i="13"/>
  <c r="A2436" i="13"/>
  <c r="F2435" i="13"/>
  <c r="A2435" i="13"/>
  <c r="J2434" i="13"/>
  <c r="F2434" i="13"/>
  <c r="A2434" i="13"/>
  <c r="J2433" i="13"/>
  <c r="F2433" i="13"/>
  <c r="A2433" i="13"/>
  <c r="F2432" i="13"/>
  <c r="A2432" i="13"/>
  <c r="F2431" i="13"/>
  <c r="A2431" i="13"/>
  <c r="J2430" i="13"/>
  <c r="F2430" i="13"/>
  <c r="A2430" i="13"/>
  <c r="J2429" i="13"/>
  <c r="F2429" i="13"/>
  <c r="A2429" i="13"/>
  <c r="F2428" i="13"/>
  <c r="A2428" i="13"/>
  <c r="J2427" i="13"/>
  <c r="F2427" i="13"/>
  <c r="A2427" i="13"/>
  <c r="J2426" i="13"/>
  <c r="F2426" i="13"/>
  <c r="A2426" i="13"/>
  <c r="F2425" i="13"/>
  <c r="A2425" i="13"/>
  <c r="J2424" i="13"/>
  <c r="F2424" i="13"/>
  <c r="A2424" i="13"/>
  <c r="J2423" i="13"/>
  <c r="F2423" i="13"/>
  <c r="A2423" i="13"/>
  <c r="J2422" i="13"/>
  <c r="F2422" i="13"/>
  <c r="A2422" i="13"/>
  <c r="J2421" i="13"/>
  <c r="F2421" i="13"/>
  <c r="A2421" i="13"/>
  <c r="J2420" i="13"/>
  <c r="F2420" i="13"/>
  <c r="A2420" i="13"/>
  <c r="F2419" i="13"/>
  <c r="A2419" i="13"/>
  <c r="J2418" i="13"/>
  <c r="F2418" i="13"/>
  <c r="A2418" i="13"/>
  <c r="J2417" i="13"/>
  <c r="F2417" i="13"/>
  <c r="A2417" i="13"/>
  <c r="F2416" i="13"/>
  <c r="A2416" i="13"/>
  <c r="J2415" i="13"/>
  <c r="F2415" i="13"/>
  <c r="A2415" i="13"/>
  <c r="J2414" i="13"/>
  <c r="F2414" i="13"/>
  <c r="A2414" i="13"/>
  <c r="J2413" i="13"/>
  <c r="F2413" i="13"/>
  <c r="A2413" i="13"/>
  <c r="J2412" i="13"/>
  <c r="F2412" i="13"/>
  <c r="A2412" i="13"/>
  <c r="J2411" i="13"/>
  <c r="F2411" i="13"/>
  <c r="A2411" i="13"/>
  <c r="J2410" i="13"/>
  <c r="F2410" i="13"/>
  <c r="A2410" i="13"/>
  <c r="F2409" i="13"/>
  <c r="A2409" i="13"/>
  <c r="J2408" i="13"/>
  <c r="F2408" i="13"/>
  <c r="A2408" i="13"/>
  <c r="J2407" i="13"/>
  <c r="F2407" i="13"/>
  <c r="A2407" i="13"/>
  <c r="J2406" i="13"/>
  <c r="F2406" i="13"/>
  <c r="A2406" i="13"/>
  <c r="J2405" i="13"/>
  <c r="F2405" i="13"/>
  <c r="A2405" i="13"/>
  <c r="J2404" i="13"/>
  <c r="F2404" i="13"/>
  <c r="A2404" i="13"/>
  <c r="F2403" i="13"/>
  <c r="A2403" i="13"/>
  <c r="J2402" i="13"/>
  <c r="F2402" i="13"/>
  <c r="A2402" i="13"/>
  <c r="J2401" i="13"/>
  <c r="F2401" i="13"/>
  <c r="A2401" i="13"/>
  <c r="J2400" i="13"/>
  <c r="F2400" i="13"/>
  <c r="A2400" i="13"/>
  <c r="F2399" i="13"/>
  <c r="A2399" i="13"/>
  <c r="J2398" i="13"/>
  <c r="F2398" i="13"/>
  <c r="A2398" i="13"/>
  <c r="J2397" i="13"/>
  <c r="F2397" i="13"/>
  <c r="A2397" i="13"/>
  <c r="J2396" i="13"/>
  <c r="F2396" i="13"/>
  <c r="A2396" i="13"/>
  <c r="J2395" i="13"/>
  <c r="F2395" i="13"/>
  <c r="A2395" i="13"/>
  <c r="J2394" i="13"/>
  <c r="F2394" i="13"/>
  <c r="A2394" i="13"/>
  <c r="F2393" i="13"/>
  <c r="A2393" i="13"/>
  <c r="F2392" i="13"/>
  <c r="A2392" i="13"/>
  <c r="F2391" i="13"/>
  <c r="A2391" i="13"/>
  <c r="F2390" i="13"/>
  <c r="A2390" i="13"/>
  <c r="F2389" i="13"/>
  <c r="A2389" i="13"/>
  <c r="F2388" i="13"/>
  <c r="A2388" i="13"/>
  <c r="F2387" i="13"/>
  <c r="A2387" i="13"/>
  <c r="F2386" i="13"/>
  <c r="A2386" i="13"/>
  <c r="F2385" i="13"/>
  <c r="A2385" i="13"/>
  <c r="F2384" i="13"/>
  <c r="A2384" i="13"/>
  <c r="F2383" i="13"/>
  <c r="A2383" i="13"/>
  <c r="F2382" i="13"/>
  <c r="A2382" i="13"/>
  <c r="F2381" i="13"/>
  <c r="A2381" i="13"/>
  <c r="F2380" i="13"/>
  <c r="A2380" i="13"/>
  <c r="F2379" i="13"/>
  <c r="A2379" i="13"/>
  <c r="F2378" i="13"/>
  <c r="A2378" i="13"/>
  <c r="F2377" i="13"/>
  <c r="A2377" i="13"/>
  <c r="F2376" i="13"/>
  <c r="A2376" i="13"/>
  <c r="F2375" i="13"/>
  <c r="A2375" i="13"/>
  <c r="F2374" i="13"/>
  <c r="A2374" i="13"/>
  <c r="F2373" i="13"/>
  <c r="A2373" i="13"/>
  <c r="J2372" i="13"/>
  <c r="F2372" i="13"/>
  <c r="A2372" i="13"/>
  <c r="J2371" i="13"/>
  <c r="F2371" i="13"/>
  <c r="A2371" i="13"/>
  <c r="J2370" i="13"/>
  <c r="F2370" i="13"/>
  <c r="A2370" i="13"/>
  <c r="F2369" i="13"/>
  <c r="A2369" i="13"/>
  <c r="F2368" i="13"/>
  <c r="A2368" i="13"/>
  <c r="J2367" i="13"/>
  <c r="F2367" i="13"/>
  <c r="A2367" i="13"/>
  <c r="J2366" i="13"/>
  <c r="F2366" i="13"/>
  <c r="A2366" i="13"/>
  <c r="J2365" i="13"/>
  <c r="F2365" i="13"/>
  <c r="A2365" i="13"/>
  <c r="F2364" i="13"/>
  <c r="A2364" i="13"/>
  <c r="F2363" i="13"/>
  <c r="A2363" i="13"/>
  <c r="F2362" i="13"/>
  <c r="A2362" i="13"/>
  <c r="F2361" i="13"/>
  <c r="A2361" i="13"/>
  <c r="F2360" i="13"/>
  <c r="A2360" i="13"/>
  <c r="F2359" i="13"/>
  <c r="A2359" i="13"/>
  <c r="J2358" i="13"/>
  <c r="F2358" i="13"/>
  <c r="A2358" i="13"/>
  <c r="J2357" i="13"/>
  <c r="F2357" i="13"/>
  <c r="A2357" i="13"/>
  <c r="J2356" i="13"/>
  <c r="F2356" i="13"/>
  <c r="A2356" i="13"/>
  <c r="F2355" i="13"/>
  <c r="A2355" i="13"/>
  <c r="F2354" i="13"/>
  <c r="A2354" i="13"/>
  <c r="F2353" i="13"/>
  <c r="A2353" i="13"/>
  <c r="F2352" i="13"/>
  <c r="A2352" i="13"/>
  <c r="J2351" i="13"/>
  <c r="F2351" i="13"/>
  <c r="A2351" i="13"/>
  <c r="J2350" i="13"/>
  <c r="F2350" i="13"/>
  <c r="A2350" i="13"/>
  <c r="F2349" i="13"/>
  <c r="A2349" i="13"/>
  <c r="F2348" i="13"/>
  <c r="A2348" i="13"/>
  <c r="J2347" i="13"/>
  <c r="F2347" i="13"/>
  <c r="A2347" i="13"/>
  <c r="J2346" i="13"/>
  <c r="F2346" i="13"/>
  <c r="A2346" i="13"/>
  <c r="J2345" i="13"/>
  <c r="F2345" i="13"/>
  <c r="A2345" i="13"/>
  <c r="F2344" i="13"/>
  <c r="A2344" i="13"/>
  <c r="J2343" i="13"/>
  <c r="F2343" i="13"/>
  <c r="A2343" i="13"/>
  <c r="F2342" i="13"/>
  <c r="A2342" i="13"/>
  <c r="F2341" i="13"/>
  <c r="A2341" i="13"/>
  <c r="J2340" i="13"/>
  <c r="F2340" i="13"/>
  <c r="A2340" i="13"/>
  <c r="J2339" i="13"/>
  <c r="F2339" i="13"/>
  <c r="A2339" i="13"/>
  <c r="F2338" i="13"/>
  <c r="A2338" i="13"/>
  <c r="J2337" i="13"/>
  <c r="F2337" i="13"/>
  <c r="A2337" i="13"/>
  <c r="J2336" i="13"/>
  <c r="F2336" i="13"/>
  <c r="A2336" i="13"/>
  <c r="J2335" i="13"/>
  <c r="F2335" i="13"/>
  <c r="A2335" i="13"/>
  <c r="F2334" i="13"/>
  <c r="A2334" i="13"/>
  <c r="J2333" i="13"/>
  <c r="F2333" i="13"/>
  <c r="A2333" i="13"/>
  <c r="J2332" i="13"/>
  <c r="F2332" i="13"/>
  <c r="A2332" i="13"/>
  <c r="F2331" i="13"/>
  <c r="A2331" i="13"/>
  <c r="J2330" i="13"/>
  <c r="F2330" i="13"/>
  <c r="A2330" i="13"/>
  <c r="J2329" i="13"/>
  <c r="F2329" i="13"/>
  <c r="A2329" i="13"/>
  <c r="F2328" i="13"/>
  <c r="A2328" i="13"/>
  <c r="F2327" i="13"/>
  <c r="A2327" i="13"/>
  <c r="J2326" i="13"/>
  <c r="F2326" i="13"/>
  <c r="A2326" i="13"/>
  <c r="J2325" i="13"/>
  <c r="F2325" i="13"/>
  <c r="A2325" i="13"/>
  <c r="J2324" i="13"/>
  <c r="F2324" i="13"/>
  <c r="A2324" i="13"/>
  <c r="F2323" i="13"/>
  <c r="A2323" i="13"/>
  <c r="J2322" i="13"/>
  <c r="F2322" i="13"/>
  <c r="A2322" i="13"/>
  <c r="J2321" i="13"/>
  <c r="F2321" i="13"/>
  <c r="A2321" i="13"/>
  <c r="J2320" i="13"/>
  <c r="F2320" i="13"/>
  <c r="A2320" i="13"/>
  <c r="J2319" i="13"/>
  <c r="F2319" i="13"/>
  <c r="A2319" i="13"/>
  <c r="F2318" i="13"/>
  <c r="A2318" i="13"/>
  <c r="J2317" i="13"/>
  <c r="F2317" i="13"/>
  <c r="A2317" i="13"/>
  <c r="J2316" i="13"/>
  <c r="F2316" i="13"/>
  <c r="A2316" i="13"/>
  <c r="F2315" i="13"/>
  <c r="A2315" i="13"/>
  <c r="J2314" i="13"/>
  <c r="F2314" i="13"/>
  <c r="A2314" i="13"/>
  <c r="F2313" i="13"/>
  <c r="A2313" i="13"/>
  <c r="F2312" i="13"/>
  <c r="A2312" i="13"/>
  <c r="F2311" i="13"/>
  <c r="A2311" i="13"/>
  <c r="F2310" i="13"/>
  <c r="A2310" i="13"/>
  <c r="J2309" i="13"/>
  <c r="F2309" i="13"/>
  <c r="A2309" i="13"/>
  <c r="J2308" i="13"/>
  <c r="F2308" i="13"/>
  <c r="A2308" i="13"/>
  <c r="F2307" i="13"/>
  <c r="A2307" i="13"/>
  <c r="F2306" i="13"/>
  <c r="A2306" i="13"/>
  <c r="J2305" i="13"/>
  <c r="F2305" i="13"/>
  <c r="A2305" i="13"/>
  <c r="J2304" i="13"/>
  <c r="F2304" i="13"/>
  <c r="A2304" i="13"/>
  <c r="J2303" i="13"/>
  <c r="F2303" i="13"/>
  <c r="A2303" i="13"/>
  <c r="F2302" i="13"/>
  <c r="A2302" i="13"/>
  <c r="J2301" i="13"/>
  <c r="F2301" i="13"/>
  <c r="A2301" i="13"/>
  <c r="F2300" i="13"/>
  <c r="A2300" i="13"/>
  <c r="F2299" i="13"/>
  <c r="A2299" i="13"/>
  <c r="J2298" i="13"/>
  <c r="F2298" i="13"/>
  <c r="A2298" i="13"/>
  <c r="F2297" i="13"/>
  <c r="A2297" i="13"/>
  <c r="F2296" i="13"/>
  <c r="A2296" i="13"/>
  <c r="J2295" i="13"/>
  <c r="F2295" i="13"/>
  <c r="A2295" i="13"/>
  <c r="J2294" i="13"/>
  <c r="F2294" i="13"/>
  <c r="A2294" i="13"/>
  <c r="F2293" i="13"/>
  <c r="A2293" i="13"/>
  <c r="J2292" i="13"/>
  <c r="F2292" i="13"/>
  <c r="A2292" i="13"/>
  <c r="J2291" i="13"/>
  <c r="F2291" i="13"/>
  <c r="A2291" i="13"/>
  <c r="F2290" i="13"/>
  <c r="A2290" i="13"/>
  <c r="J2289" i="13"/>
  <c r="F2289" i="13"/>
  <c r="A2289" i="13"/>
  <c r="J2288" i="13"/>
  <c r="F2288" i="13"/>
  <c r="A2288" i="13"/>
  <c r="F2287" i="13"/>
  <c r="A2287" i="13"/>
  <c r="J2286" i="13"/>
  <c r="F2286" i="13"/>
  <c r="A2286" i="13"/>
  <c r="F2285" i="13"/>
  <c r="A2285" i="13"/>
  <c r="J2284" i="13"/>
  <c r="F2284" i="13"/>
  <c r="A2284" i="13"/>
  <c r="J2283" i="13"/>
  <c r="F2283" i="13"/>
  <c r="A2283" i="13"/>
  <c r="J2282" i="13"/>
  <c r="F2282" i="13"/>
  <c r="A2282" i="13"/>
  <c r="F2281" i="13"/>
  <c r="A2281" i="13"/>
  <c r="F2280" i="13"/>
  <c r="A2280" i="13"/>
  <c r="F2279" i="13"/>
  <c r="A2279" i="13"/>
  <c r="F2278" i="13"/>
  <c r="A2278" i="13"/>
  <c r="F2277" i="13"/>
  <c r="A2277" i="13"/>
  <c r="J2276" i="13"/>
  <c r="F2276" i="13"/>
  <c r="A2276" i="13"/>
  <c r="J2275" i="13"/>
  <c r="F2275" i="13"/>
  <c r="A2275" i="13"/>
  <c r="J2274" i="13"/>
  <c r="F2274" i="13"/>
  <c r="A2274" i="13"/>
  <c r="F2273" i="13"/>
  <c r="A2273" i="13"/>
  <c r="J2272" i="13"/>
  <c r="F2272" i="13"/>
  <c r="A2272" i="13"/>
  <c r="J2271" i="13"/>
  <c r="F2271" i="13"/>
  <c r="A2271" i="13"/>
  <c r="F2270" i="13"/>
  <c r="A2270" i="13"/>
  <c r="J2269" i="13"/>
  <c r="F2269" i="13"/>
  <c r="A2269" i="13"/>
  <c r="F2268" i="13"/>
  <c r="A2268" i="13"/>
  <c r="J2267" i="13"/>
  <c r="F2267" i="13"/>
  <c r="A2267" i="13"/>
  <c r="F2266" i="13"/>
  <c r="A2266" i="13"/>
  <c r="F2265" i="13"/>
  <c r="A2265" i="13"/>
  <c r="F2264" i="13"/>
  <c r="A2264" i="13"/>
  <c r="F2263" i="13"/>
  <c r="A2263" i="13"/>
  <c r="F2262" i="13"/>
  <c r="A2262" i="13"/>
  <c r="F2261" i="13"/>
  <c r="A2261" i="13"/>
  <c r="F2260" i="13"/>
  <c r="A2260" i="13"/>
  <c r="F2259" i="13"/>
  <c r="A2259" i="13"/>
  <c r="F2258" i="13"/>
  <c r="A2258" i="13"/>
  <c r="F2257" i="13"/>
  <c r="A2257" i="13"/>
  <c r="F2256" i="13"/>
  <c r="A2256" i="13"/>
  <c r="F2255" i="13"/>
  <c r="A2255" i="13"/>
  <c r="F2254" i="13"/>
  <c r="A2254" i="13"/>
  <c r="F2253" i="13"/>
  <c r="A2253" i="13"/>
  <c r="F2252" i="13"/>
  <c r="A2252" i="13"/>
  <c r="F2251" i="13"/>
  <c r="A2251" i="13"/>
  <c r="F2250" i="13"/>
  <c r="A2250" i="13"/>
  <c r="F2249" i="13"/>
  <c r="A2249" i="13"/>
  <c r="F2248" i="13"/>
  <c r="A2248" i="13"/>
  <c r="F2247" i="13"/>
  <c r="A2247" i="13"/>
  <c r="F2246" i="13"/>
  <c r="A2246" i="13"/>
  <c r="F2245" i="13"/>
  <c r="A2245" i="13"/>
  <c r="F2244" i="13"/>
  <c r="A2244" i="13"/>
  <c r="F2243" i="13"/>
  <c r="A2243" i="13"/>
  <c r="F2242" i="13"/>
  <c r="A2242" i="13"/>
  <c r="F2241" i="13"/>
  <c r="A2241" i="13"/>
  <c r="F2240" i="13"/>
  <c r="A2240" i="13"/>
  <c r="J2239" i="13"/>
  <c r="F2239" i="13"/>
  <c r="A2239" i="13"/>
  <c r="F2238" i="13"/>
  <c r="A2238" i="13"/>
  <c r="J2237" i="13"/>
  <c r="F2237" i="13"/>
  <c r="A2237" i="13"/>
  <c r="J2236" i="13"/>
  <c r="F2236" i="13"/>
  <c r="A2236" i="13"/>
  <c r="F2235" i="13"/>
  <c r="A2235" i="13"/>
  <c r="F2234" i="13"/>
  <c r="A2234" i="13"/>
  <c r="J2233" i="13"/>
  <c r="F2233" i="13"/>
  <c r="A2233" i="13"/>
  <c r="J2232" i="13"/>
  <c r="F2232" i="13"/>
  <c r="A2232" i="13"/>
  <c r="J2231" i="13"/>
  <c r="F2231" i="13"/>
  <c r="A2231" i="13"/>
  <c r="F2230" i="13"/>
  <c r="A2230" i="13"/>
  <c r="F2229" i="13"/>
  <c r="A2229" i="13"/>
  <c r="J2228" i="13"/>
  <c r="F2228" i="13"/>
  <c r="A2228" i="13"/>
  <c r="F2227" i="13"/>
  <c r="A2227" i="13"/>
  <c r="F2226" i="13"/>
  <c r="A2226" i="13"/>
  <c r="J2225" i="13"/>
  <c r="F2225" i="13"/>
  <c r="A2225" i="13"/>
  <c r="F2224" i="13"/>
  <c r="A2224" i="13"/>
  <c r="J2223" i="13"/>
  <c r="F2223" i="13"/>
  <c r="A2223" i="13"/>
  <c r="J2222" i="13"/>
  <c r="F2222" i="13"/>
  <c r="A2222" i="13"/>
  <c r="F2221" i="13"/>
  <c r="A2221" i="13"/>
  <c r="F2220" i="13"/>
  <c r="A2220" i="13"/>
  <c r="J2219" i="13"/>
  <c r="F2219" i="13"/>
  <c r="A2219" i="13"/>
  <c r="J2218" i="13"/>
  <c r="F2218" i="13"/>
  <c r="A2218" i="13"/>
  <c r="F2217" i="13"/>
  <c r="A2217" i="13"/>
  <c r="J2216" i="13"/>
  <c r="F2216" i="13"/>
  <c r="A2216" i="13"/>
  <c r="F2215" i="13"/>
  <c r="A2215" i="13"/>
  <c r="J2214" i="13"/>
  <c r="F2214" i="13"/>
  <c r="A2214" i="13"/>
  <c r="J2213" i="13"/>
  <c r="F2213" i="13"/>
  <c r="A2213" i="13"/>
  <c r="J2212" i="13"/>
  <c r="F2212" i="13"/>
  <c r="A2212" i="13"/>
  <c r="J2211" i="13"/>
  <c r="F2211" i="13"/>
  <c r="A2211" i="13"/>
  <c r="J2210" i="13"/>
  <c r="F2210" i="13"/>
  <c r="A2210" i="13"/>
  <c r="J2209" i="13"/>
  <c r="F2209" i="13"/>
  <c r="A2209" i="13"/>
  <c r="J2208" i="13"/>
  <c r="F2208" i="13"/>
  <c r="A2208" i="13"/>
  <c r="J2207" i="13"/>
  <c r="F2207" i="13"/>
  <c r="A2207" i="13"/>
  <c r="J2206" i="13"/>
  <c r="F2206" i="13"/>
  <c r="A2206" i="13"/>
  <c r="J2205" i="13"/>
  <c r="F2205" i="13"/>
  <c r="A2205" i="13"/>
  <c r="J2204" i="13"/>
  <c r="F2204" i="13"/>
  <c r="A2204" i="13"/>
  <c r="F2203" i="13"/>
  <c r="A2203" i="13"/>
  <c r="J2202" i="13"/>
  <c r="F2202" i="13"/>
  <c r="A2202" i="13"/>
  <c r="J2201" i="13"/>
  <c r="F2201" i="13"/>
  <c r="A2201" i="13"/>
  <c r="F2200" i="13"/>
  <c r="A2200" i="13"/>
  <c r="J2199" i="13"/>
  <c r="F2199" i="13"/>
  <c r="A2199" i="13"/>
  <c r="F2198" i="13"/>
  <c r="A2198" i="13"/>
  <c r="J2197" i="13"/>
  <c r="F2197" i="13"/>
  <c r="A2197" i="13"/>
  <c r="J2196" i="13"/>
  <c r="F2196" i="13"/>
  <c r="A2196" i="13"/>
  <c r="F2195" i="13"/>
  <c r="A2195" i="13"/>
  <c r="J2194" i="13"/>
  <c r="F2194" i="13"/>
  <c r="A2194" i="13"/>
  <c r="F2193" i="13"/>
  <c r="A2193" i="13"/>
  <c r="F2192" i="13"/>
  <c r="A2192" i="13"/>
  <c r="J2191" i="13"/>
  <c r="F2191" i="13"/>
  <c r="A2191" i="13"/>
  <c r="J2190" i="13"/>
  <c r="F2190" i="13"/>
  <c r="A2190" i="13"/>
  <c r="F2189" i="13"/>
  <c r="A2189" i="13"/>
  <c r="J2188" i="13"/>
  <c r="F2188" i="13"/>
  <c r="A2188" i="13"/>
  <c r="J2187" i="13"/>
  <c r="F2187" i="13"/>
  <c r="A2187" i="13"/>
  <c r="F2186" i="13"/>
  <c r="A2186" i="13"/>
  <c r="J2185" i="13"/>
  <c r="F2185" i="13"/>
  <c r="A2185" i="13"/>
  <c r="J2184" i="13"/>
  <c r="F2184" i="13"/>
  <c r="A2184" i="13"/>
  <c r="J2183" i="13"/>
  <c r="F2183" i="13"/>
  <c r="A2183" i="13"/>
  <c r="F2182" i="13"/>
  <c r="A2182" i="13"/>
  <c r="J2181" i="13"/>
  <c r="F2181" i="13"/>
  <c r="A2181" i="13"/>
  <c r="F2180" i="13"/>
  <c r="A2180" i="13"/>
  <c r="J2179" i="13"/>
  <c r="F2179" i="13"/>
  <c r="A2179" i="13"/>
  <c r="J2178" i="13"/>
  <c r="F2178" i="13"/>
  <c r="A2178" i="13"/>
  <c r="F2177" i="13"/>
  <c r="A2177" i="13"/>
  <c r="J2176" i="13"/>
  <c r="F2176" i="13"/>
  <c r="A2176" i="13"/>
  <c r="F2175" i="13"/>
  <c r="A2175" i="13"/>
  <c r="J2174" i="13"/>
  <c r="F2174" i="13"/>
  <c r="A2174" i="13"/>
  <c r="J2173" i="13"/>
  <c r="F2173" i="13"/>
  <c r="A2173" i="13"/>
  <c r="F2172" i="13"/>
  <c r="A2172" i="13"/>
  <c r="F2171" i="13"/>
  <c r="A2171" i="13"/>
  <c r="J2170" i="13"/>
  <c r="F2170" i="13"/>
  <c r="A2170" i="13"/>
  <c r="F2169" i="13"/>
  <c r="A2169" i="13"/>
  <c r="F2168" i="13"/>
  <c r="A2168" i="13"/>
  <c r="F2167" i="13"/>
  <c r="A2167" i="13"/>
  <c r="J2166" i="13"/>
  <c r="F2166" i="13"/>
  <c r="A2166" i="13"/>
  <c r="F2165" i="13"/>
  <c r="A2165" i="13"/>
  <c r="F2164" i="13"/>
  <c r="A2164" i="13"/>
  <c r="J2163" i="13"/>
  <c r="F2163" i="13"/>
  <c r="A2163" i="13"/>
  <c r="F2162" i="13"/>
  <c r="A2162" i="13"/>
  <c r="J2161" i="13"/>
  <c r="F2161" i="13"/>
  <c r="A2161" i="13"/>
  <c r="J2160" i="13"/>
  <c r="F2160" i="13"/>
  <c r="A2160" i="13"/>
  <c r="F2159" i="13"/>
  <c r="A2159" i="13"/>
  <c r="J2158" i="13"/>
  <c r="F2158" i="13"/>
  <c r="A2158" i="13"/>
  <c r="F2157" i="13"/>
  <c r="A2157" i="13"/>
  <c r="F2156" i="13"/>
  <c r="A2156" i="13"/>
  <c r="J2155" i="13"/>
  <c r="F2155" i="13"/>
  <c r="A2155" i="13"/>
  <c r="F2154" i="13"/>
  <c r="A2154" i="13"/>
  <c r="F2153" i="13"/>
  <c r="A2153" i="13"/>
  <c r="F2152" i="13"/>
  <c r="A2152" i="13"/>
  <c r="F2151" i="13"/>
  <c r="A2151" i="13"/>
  <c r="F2150" i="13"/>
  <c r="A2150" i="13"/>
  <c r="F2149" i="13"/>
  <c r="A2149" i="13"/>
  <c r="F2148" i="13"/>
  <c r="A2148" i="13"/>
  <c r="F2147" i="13"/>
  <c r="A2147" i="13"/>
  <c r="F2146" i="13"/>
  <c r="A2146" i="13"/>
  <c r="F2145" i="13"/>
  <c r="A2145" i="13"/>
  <c r="F2144" i="13"/>
  <c r="A2144" i="13"/>
  <c r="F2143" i="13"/>
  <c r="A2143" i="13"/>
  <c r="F2142" i="13"/>
  <c r="A2142" i="13"/>
  <c r="F2141" i="13"/>
  <c r="A2141" i="13"/>
  <c r="F2140" i="13"/>
  <c r="A2140" i="13"/>
  <c r="F2139" i="13"/>
  <c r="A2139" i="13"/>
  <c r="F2138" i="13"/>
  <c r="A2138" i="13"/>
  <c r="F2137" i="13"/>
  <c r="A2137" i="13"/>
  <c r="F2136" i="13"/>
  <c r="A2136" i="13"/>
  <c r="F2135" i="13"/>
  <c r="A2135" i="13"/>
  <c r="F2134" i="13"/>
  <c r="A2134" i="13"/>
  <c r="F2133" i="13"/>
  <c r="A2133" i="13"/>
  <c r="F2132" i="13"/>
  <c r="A2132" i="13"/>
  <c r="F2131" i="13"/>
  <c r="A2131" i="13"/>
  <c r="F2130" i="13"/>
  <c r="A2130" i="13"/>
  <c r="F2129" i="13"/>
  <c r="A2129" i="13"/>
  <c r="F2128" i="13"/>
  <c r="A2128" i="13"/>
  <c r="F2127" i="13"/>
  <c r="A2127" i="13"/>
  <c r="F2126" i="13"/>
  <c r="A2126" i="13"/>
  <c r="F2125" i="13"/>
  <c r="A2125" i="13"/>
  <c r="F2124" i="13"/>
  <c r="A2124" i="13"/>
  <c r="F2123" i="13"/>
  <c r="A2123" i="13"/>
  <c r="F2122" i="13"/>
  <c r="A2122" i="13"/>
  <c r="F2121" i="13"/>
  <c r="A2121" i="13"/>
  <c r="F2120" i="13"/>
  <c r="A2120" i="13"/>
  <c r="F2119" i="13"/>
  <c r="A2119" i="13"/>
  <c r="F2118" i="13"/>
  <c r="A2118" i="13"/>
  <c r="F2117" i="13"/>
  <c r="A2117" i="13"/>
  <c r="J2116" i="13"/>
  <c r="F2116" i="13"/>
  <c r="A2116" i="13"/>
  <c r="J2115" i="13"/>
  <c r="F2115" i="13"/>
  <c r="A2115" i="13"/>
  <c r="F2114" i="13"/>
  <c r="A2114" i="13"/>
  <c r="F2113" i="13"/>
  <c r="A2113" i="13"/>
  <c r="J2112" i="13"/>
  <c r="F2112" i="13"/>
  <c r="A2112" i="13"/>
  <c r="J2111" i="13"/>
  <c r="F2111" i="13"/>
  <c r="A2111" i="13"/>
  <c r="J2110" i="13"/>
  <c r="F2110" i="13"/>
  <c r="A2110" i="13"/>
  <c r="F2109" i="13"/>
  <c r="A2109" i="13"/>
  <c r="F2108" i="13"/>
  <c r="A2108" i="13"/>
  <c r="F2107" i="13"/>
  <c r="A2107" i="13"/>
  <c r="F2106" i="13"/>
  <c r="A2106" i="13"/>
  <c r="F2105" i="13"/>
  <c r="A2105" i="13"/>
  <c r="J2104" i="13"/>
  <c r="F2104" i="13"/>
  <c r="A2104" i="13"/>
  <c r="J2103" i="13"/>
  <c r="F2103" i="13"/>
  <c r="A2103" i="13"/>
  <c r="F2102" i="13"/>
  <c r="A2102" i="13"/>
  <c r="J2101" i="13"/>
  <c r="F2101" i="13"/>
  <c r="A2101" i="13"/>
  <c r="J2100" i="13"/>
  <c r="F2100" i="13"/>
  <c r="A2100" i="13"/>
  <c r="F2099" i="13"/>
  <c r="A2099" i="13"/>
  <c r="F2098" i="13"/>
  <c r="A2098" i="13"/>
  <c r="J2097" i="13"/>
  <c r="F2097" i="13"/>
  <c r="A2097" i="13"/>
  <c r="F2096" i="13"/>
  <c r="A2096" i="13"/>
  <c r="F2095" i="13"/>
  <c r="A2095" i="13"/>
  <c r="J2094" i="13"/>
  <c r="F2094" i="13"/>
  <c r="A2094" i="13"/>
  <c r="J2093" i="13"/>
  <c r="F2093" i="13"/>
  <c r="A2093" i="13"/>
  <c r="F2092" i="13"/>
  <c r="A2092" i="13"/>
  <c r="J2091" i="13"/>
  <c r="F2091" i="13"/>
  <c r="A2091" i="13"/>
  <c r="J2090" i="13"/>
  <c r="F2090" i="13"/>
  <c r="A2090" i="13"/>
  <c r="J2089" i="13"/>
  <c r="F2089" i="13"/>
  <c r="A2089" i="13"/>
  <c r="J2088" i="13"/>
  <c r="F2088" i="13"/>
  <c r="A2088" i="13"/>
  <c r="F2087" i="13"/>
  <c r="A2087" i="13"/>
  <c r="F2086" i="13"/>
  <c r="A2086" i="13"/>
  <c r="F2085" i="13"/>
  <c r="A2085" i="13"/>
  <c r="F2084" i="13"/>
  <c r="A2084" i="13"/>
  <c r="F2083" i="13"/>
  <c r="A2083" i="13"/>
  <c r="F2082" i="13"/>
  <c r="A2082" i="13"/>
  <c r="F2081" i="13"/>
  <c r="A2081" i="13"/>
  <c r="J2080" i="13"/>
  <c r="F2080" i="13"/>
  <c r="A2080" i="13"/>
  <c r="J2079" i="13"/>
  <c r="F2079" i="13"/>
  <c r="A2079" i="13"/>
  <c r="F2078" i="13"/>
  <c r="A2078" i="13"/>
  <c r="F2077" i="13"/>
  <c r="A2077" i="13"/>
  <c r="J2076" i="13"/>
  <c r="F2076" i="13"/>
  <c r="A2076" i="13"/>
  <c r="J2075" i="13"/>
  <c r="F2075" i="13"/>
  <c r="A2075" i="13"/>
  <c r="J2074" i="13"/>
  <c r="F2074" i="13"/>
  <c r="A2074" i="13"/>
  <c r="J2073" i="13"/>
  <c r="F2073" i="13"/>
  <c r="A2073" i="13"/>
  <c r="F2072" i="13"/>
  <c r="A2072" i="13"/>
  <c r="F2071" i="13"/>
  <c r="A2071" i="13"/>
  <c r="J2070" i="13"/>
  <c r="F2070" i="13"/>
  <c r="A2070" i="13"/>
  <c r="J2069" i="13"/>
  <c r="F2069" i="13"/>
  <c r="A2069" i="13"/>
  <c r="J2068" i="13"/>
  <c r="F2068" i="13"/>
  <c r="A2068" i="13"/>
  <c r="J2067" i="13"/>
  <c r="F2067" i="13"/>
  <c r="A2067" i="13"/>
  <c r="J2066" i="13"/>
  <c r="F2066" i="13"/>
  <c r="A2066" i="13"/>
  <c r="J2065" i="13"/>
  <c r="F2065" i="13"/>
  <c r="A2065" i="13"/>
  <c r="F2064" i="13"/>
  <c r="A2064" i="13"/>
  <c r="J2063" i="13"/>
  <c r="F2063" i="13"/>
  <c r="A2063" i="13"/>
  <c r="J2062" i="13"/>
  <c r="F2062" i="13"/>
  <c r="A2062" i="13"/>
  <c r="F2061" i="13"/>
  <c r="A2061" i="13"/>
  <c r="F2060" i="13"/>
  <c r="A2060" i="13"/>
  <c r="J2059" i="13"/>
  <c r="F2059" i="13"/>
  <c r="A2059" i="13"/>
  <c r="J2058" i="13"/>
  <c r="F2058" i="13"/>
  <c r="A2058" i="13"/>
  <c r="F2057" i="13"/>
  <c r="A2057" i="13"/>
  <c r="F2056" i="13"/>
  <c r="A2056" i="13"/>
  <c r="J2055" i="13"/>
  <c r="F2055" i="13"/>
  <c r="A2055" i="13"/>
  <c r="J2054" i="13"/>
  <c r="F2054" i="13"/>
  <c r="A2054" i="13"/>
  <c r="F2053" i="13"/>
  <c r="A2053" i="13"/>
  <c r="J2052" i="13"/>
  <c r="F2052" i="13"/>
  <c r="A2052" i="13"/>
  <c r="F2051" i="13"/>
  <c r="A2051" i="13"/>
  <c r="J2050" i="13"/>
  <c r="F2050" i="13"/>
  <c r="A2050" i="13"/>
  <c r="J2049" i="13"/>
  <c r="F2049" i="13"/>
  <c r="A2049" i="13"/>
  <c r="J2048" i="13"/>
  <c r="F2048" i="13"/>
  <c r="A2048" i="13"/>
  <c r="J2047" i="13"/>
  <c r="F2047" i="13"/>
  <c r="A2047" i="13"/>
  <c r="J2046" i="13"/>
  <c r="F2046" i="13"/>
  <c r="A2046" i="13"/>
  <c r="F2045" i="13"/>
  <c r="A2045" i="13"/>
  <c r="J2044" i="13"/>
  <c r="F2044" i="13"/>
  <c r="A2044" i="13"/>
  <c r="J2043" i="13"/>
  <c r="F2043" i="13"/>
  <c r="A2043" i="13"/>
  <c r="J2042" i="13"/>
  <c r="F2042" i="13"/>
  <c r="A2042" i="13"/>
  <c r="F2041" i="13"/>
  <c r="A2041" i="13"/>
  <c r="F2040" i="13"/>
  <c r="A2040" i="13"/>
  <c r="F2039" i="13"/>
  <c r="A2039" i="13"/>
  <c r="J2038" i="13"/>
  <c r="F2038" i="13"/>
  <c r="A2038" i="13"/>
  <c r="J2037" i="13"/>
  <c r="F2037" i="13"/>
  <c r="A2037" i="13"/>
  <c r="J2036" i="13"/>
  <c r="F2036" i="13"/>
  <c r="A2036" i="13"/>
  <c r="F2035" i="13"/>
  <c r="A2035" i="13"/>
  <c r="F2034" i="13"/>
  <c r="A2034" i="13"/>
  <c r="F2033" i="13"/>
  <c r="A2033" i="13"/>
  <c r="J2032" i="13"/>
  <c r="F2032" i="13"/>
  <c r="A2032" i="13"/>
  <c r="J2031" i="13"/>
  <c r="F2031" i="13"/>
  <c r="A2031" i="13"/>
  <c r="F2030" i="13"/>
  <c r="A2030" i="13"/>
  <c r="J2029" i="13"/>
  <c r="F2029" i="13"/>
  <c r="A2029" i="13"/>
  <c r="J2028" i="13"/>
  <c r="F2028" i="13"/>
  <c r="A2028" i="13"/>
  <c r="F2027" i="13"/>
  <c r="A2027" i="13"/>
  <c r="J2026" i="13"/>
  <c r="F2026" i="13"/>
  <c r="A2026" i="13"/>
  <c r="J2025" i="13"/>
  <c r="F2025" i="13"/>
  <c r="A2025" i="13"/>
  <c r="J2024" i="13"/>
  <c r="F2024" i="13"/>
  <c r="A2024" i="13"/>
  <c r="J2023" i="13"/>
  <c r="F2023" i="13"/>
  <c r="A2023" i="13"/>
  <c r="J2022" i="13"/>
  <c r="F2022" i="13"/>
  <c r="A2022" i="13"/>
  <c r="F2021" i="13"/>
  <c r="A2021" i="13"/>
  <c r="F2020" i="13"/>
  <c r="A2020" i="13"/>
  <c r="J2019" i="13"/>
  <c r="F2019" i="13"/>
  <c r="A2019" i="13"/>
  <c r="J2018" i="13"/>
  <c r="F2018" i="13"/>
  <c r="A2018" i="13"/>
  <c r="F2017" i="13"/>
  <c r="A2017" i="13"/>
  <c r="J2016" i="13"/>
  <c r="F2016" i="13"/>
  <c r="A2016" i="13"/>
  <c r="F2015" i="13"/>
  <c r="A2015" i="13"/>
  <c r="J2014" i="13"/>
  <c r="F2014" i="13"/>
  <c r="A2014" i="13"/>
  <c r="J2013" i="13"/>
  <c r="F2013" i="13"/>
  <c r="A2013" i="13"/>
  <c r="F2012" i="13"/>
  <c r="A2012" i="13"/>
  <c r="J2011" i="13"/>
  <c r="F2011" i="13"/>
  <c r="A2011" i="13"/>
  <c r="J2010" i="13"/>
  <c r="F2010" i="13"/>
  <c r="A2010" i="13"/>
  <c r="F2009" i="13"/>
  <c r="A2009" i="13"/>
  <c r="J2008" i="13"/>
  <c r="F2008" i="13"/>
  <c r="A2008" i="13"/>
  <c r="J2007" i="13"/>
  <c r="F2007" i="13"/>
  <c r="A2007" i="13"/>
  <c r="F2006" i="13"/>
  <c r="A2006" i="13"/>
  <c r="F2005" i="13"/>
  <c r="A2005" i="13"/>
  <c r="J2004" i="13"/>
  <c r="F2004" i="13"/>
  <c r="A2004" i="13"/>
  <c r="F2003" i="13"/>
  <c r="A2003" i="13"/>
  <c r="F2002" i="13"/>
  <c r="A2002" i="13"/>
  <c r="J2001" i="13"/>
  <c r="F2001" i="13"/>
  <c r="A2001" i="13"/>
  <c r="J2000" i="13"/>
  <c r="F2000" i="13"/>
  <c r="A2000" i="13"/>
  <c r="J1999" i="13"/>
  <c r="F1999" i="13"/>
  <c r="A1999" i="13"/>
  <c r="J1998" i="13"/>
  <c r="F1998" i="13"/>
  <c r="A1998" i="13"/>
  <c r="J1997" i="13"/>
  <c r="F1997" i="13"/>
  <c r="A1997" i="13"/>
  <c r="J1996" i="13"/>
  <c r="F1996" i="13"/>
  <c r="A1996" i="13"/>
  <c r="F1995" i="13"/>
  <c r="A1995" i="13"/>
  <c r="F1994" i="13"/>
  <c r="A1994" i="13"/>
  <c r="F1993" i="13"/>
  <c r="A1993" i="13"/>
  <c r="F1992" i="13"/>
  <c r="A1992" i="13"/>
  <c r="J1991" i="13"/>
  <c r="F1991" i="13"/>
  <c r="A1991" i="13"/>
  <c r="F1990" i="13"/>
  <c r="A1990" i="13"/>
  <c r="F1989" i="13"/>
  <c r="A1989" i="13"/>
  <c r="F1988" i="13"/>
  <c r="A1988" i="13"/>
  <c r="F1987" i="13"/>
  <c r="A1987" i="13"/>
  <c r="F1986" i="13"/>
  <c r="A1986" i="13"/>
  <c r="F1985" i="13"/>
  <c r="A1985" i="13"/>
  <c r="F1984" i="13"/>
  <c r="A1984" i="13"/>
  <c r="F1983" i="13"/>
  <c r="A1983" i="13"/>
  <c r="F1982" i="13"/>
  <c r="A1982" i="13"/>
  <c r="F1981" i="13"/>
  <c r="A1981" i="13"/>
  <c r="F1980" i="13"/>
  <c r="A1980" i="13"/>
  <c r="F1979" i="13"/>
  <c r="A1979" i="13"/>
  <c r="F1978" i="13"/>
  <c r="A1978" i="13"/>
  <c r="F1977" i="13"/>
  <c r="A1977" i="13"/>
  <c r="F1976" i="13"/>
  <c r="A1976" i="13"/>
  <c r="F1975" i="13"/>
  <c r="A1975" i="13"/>
  <c r="F1974" i="13"/>
  <c r="A1974" i="13"/>
  <c r="F1973" i="13"/>
  <c r="A1973" i="13"/>
  <c r="F1972" i="13"/>
  <c r="A1972" i="13"/>
  <c r="J1971" i="13"/>
  <c r="F1971" i="13"/>
  <c r="A1971" i="13"/>
  <c r="J1970" i="13"/>
  <c r="F1970" i="13"/>
  <c r="A1970" i="13"/>
  <c r="J1969" i="13"/>
  <c r="F1969" i="13"/>
  <c r="A1969" i="13"/>
  <c r="J1968" i="13"/>
  <c r="F1968" i="13"/>
  <c r="F1967" i="13"/>
  <c r="A1967" i="13"/>
  <c r="F1966" i="13"/>
  <c r="A1966" i="13"/>
  <c r="F1965" i="13"/>
  <c r="A1965" i="13"/>
  <c r="J1964" i="13"/>
  <c r="F1964" i="13"/>
  <c r="A1964" i="13"/>
  <c r="F1963" i="13"/>
  <c r="A1963" i="13"/>
  <c r="J1962" i="13"/>
  <c r="F1962" i="13"/>
  <c r="A1962" i="13"/>
  <c r="J1961" i="13"/>
  <c r="F1961" i="13"/>
  <c r="A1961" i="13"/>
  <c r="J1960" i="13"/>
  <c r="F1960" i="13"/>
  <c r="A1960" i="13"/>
  <c r="J1959" i="13"/>
  <c r="F1959" i="13"/>
  <c r="A1959" i="13"/>
  <c r="J1958" i="13"/>
  <c r="F1958" i="13"/>
  <c r="A1958" i="13"/>
  <c r="J1957" i="13"/>
  <c r="F1957" i="13"/>
  <c r="A1957" i="13"/>
  <c r="F1956" i="13"/>
  <c r="A1956" i="13"/>
  <c r="F1955" i="13"/>
  <c r="A1955" i="13"/>
  <c r="J1954" i="13"/>
  <c r="F1954" i="13"/>
  <c r="A1954" i="13"/>
  <c r="J1953" i="13"/>
  <c r="F1953" i="13"/>
  <c r="A1953" i="13"/>
  <c r="J1952" i="13"/>
  <c r="F1952" i="13"/>
  <c r="A1952" i="13"/>
  <c r="F1951" i="13"/>
  <c r="A1951" i="13"/>
  <c r="J1950" i="13"/>
  <c r="F1950" i="13"/>
  <c r="A1950" i="13"/>
  <c r="F1949" i="13"/>
  <c r="A1949" i="13"/>
  <c r="J1948" i="13"/>
  <c r="F1948" i="13"/>
  <c r="A1948" i="13"/>
  <c r="J1947" i="13"/>
  <c r="F1947" i="13"/>
  <c r="A1947" i="13"/>
  <c r="J1946" i="13"/>
  <c r="F1946" i="13"/>
  <c r="A1946" i="13"/>
  <c r="F1945" i="13"/>
  <c r="A1945" i="13"/>
  <c r="J1944" i="13"/>
  <c r="F1944" i="13"/>
  <c r="A1944" i="13"/>
  <c r="J1943" i="13"/>
  <c r="F1943" i="13"/>
  <c r="A1943" i="13"/>
  <c r="F1942" i="13"/>
  <c r="A1942" i="13"/>
  <c r="J1941" i="13"/>
  <c r="F1941" i="13"/>
  <c r="A1941" i="13"/>
  <c r="J1940" i="13"/>
  <c r="F1940" i="13"/>
  <c r="A1940" i="13"/>
  <c r="J1939" i="13"/>
  <c r="F1939" i="13"/>
  <c r="A1939" i="13"/>
  <c r="F1938" i="13"/>
  <c r="A1938" i="13"/>
  <c r="F1937" i="13"/>
  <c r="A1937" i="13"/>
  <c r="F1936" i="13"/>
  <c r="A1936" i="13"/>
  <c r="J1935" i="13"/>
  <c r="F1935" i="13"/>
  <c r="A1935" i="13"/>
  <c r="J1934" i="13"/>
  <c r="F1934" i="13"/>
  <c r="A1934" i="13"/>
  <c r="F1933" i="13"/>
  <c r="A1933" i="13"/>
  <c r="F1932" i="13"/>
  <c r="A1932" i="13"/>
  <c r="F1931" i="13"/>
  <c r="A1931" i="13"/>
  <c r="F1930" i="13"/>
  <c r="A1930" i="13"/>
  <c r="J1929" i="13"/>
  <c r="F1929" i="13"/>
  <c r="A1929" i="13"/>
  <c r="F1928" i="13"/>
  <c r="A1928" i="13"/>
  <c r="J1927" i="13"/>
  <c r="F1927" i="13"/>
  <c r="A1927" i="13"/>
  <c r="J1926" i="13"/>
  <c r="F1926" i="13"/>
  <c r="A1926" i="13"/>
  <c r="F1925" i="13"/>
  <c r="A1925" i="13"/>
  <c r="J1924" i="13"/>
  <c r="F1924" i="13"/>
  <c r="A1924" i="13"/>
  <c r="J1923" i="13"/>
  <c r="F1923" i="13"/>
  <c r="A1923" i="13"/>
  <c r="F1922" i="13"/>
  <c r="A1922" i="13"/>
  <c r="F1921" i="13"/>
  <c r="A1921" i="13"/>
  <c r="J1920" i="13"/>
  <c r="F1920" i="13"/>
  <c r="A1920" i="13"/>
  <c r="F1919" i="13"/>
  <c r="A1919" i="13"/>
  <c r="F1918" i="13"/>
  <c r="A1918" i="13"/>
  <c r="F1917" i="13"/>
  <c r="A1917" i="13"/>
  <c r="F1916" i="13"/>
  <c r="A1916" i="13"/>
  <c r="J1915" i="13"/>
  <c r="F1915" i="13"/>
  <c r="A1915" i="13"/>
  <c r="J1914" i="13"/>
  <c r="F1914" i="13"/>
  <c r="A1914" i="13"/>
  <c r="F1913" i="13"/>
  <c r="A1913" i="13"/>
  <c r="J1912" i="13"/>
  <c r="F1912" i="13"/>
  <c r="A1912" i="13"/>
  <c r="F1911" i="13"/>
  <c r="A1911" i="13"/>
  <c r="F1910" i="13"/>
  <c r="A1910" i="13"/>
  <c r="F1909" i="13"/>
  <c r="A1909" i="13"/>
  <c r="F1908" i="13"/>
  <c r="A1908" i="13"/>
  <c r="F1907" i="13"/>
  <c r="A1907" i="13"/>
  <c r="F1906" i="13"/>
  <c r="A1906" i="13"/>
  <c r="F1905" i="13"/>
  <c r="A1905" i="13"/>
  <c r="J1904" i="13"/>
  <c r="F1904" i="13"/>
  <c r="A1904" i="13"/>
  <c r="F1903" i="13"/>
  <c r="A1903" i="13"/>
  <c r="F1902" i="13"/>
  <c r="A1902" i="13"/>
  <c r="F1901" i="13"/>
  <c r="A1901" i="13"/>
  <c r="J1900" i="13"/>
  <c r="F1900" i="13"/>
  <c r="A1900" i="13"/>
  <c r="J1899" i="13"/>
  <c r="F1899" i="13"/>
  <c r="A1899" i="13"/>
  <c r="F1898" i="13"/>
  <c r="A1898" i="13"/>
  <c r="F1897" i="13"/>
  <c r="A1897" i="13"/>
  <c r="F1896" i="13"/>
  <c r="A1896" i="13"/>
  <c r="J1895" i="13"/>
  <c r="F1895" i="13"/>
  <c r="A1895" i="13"/>
  <c r="J1894" i="13"/>
  <c r="F1894" i="13"/>
  <c r="A1894" i="13"/>
  <c r="J1893" i="13"/>
  <c r="F1893" i="13"/>
  <c r="A1893" i="13"/>
  <c r="J1892" i="13"/>
  <c r="F1892" i="13"/>
  <c r="A1892" i="13"/>
  <c r="F1891" i="13"/>
  <c r="A1891" i="13"/>
  <c r="J1890" i="13"/>
  <c r="F1890" i="13"/>
  <c r="A1890" i="13"/>
  <c r="J1889" i="13"/>
  <c r="F1889" i="13"/>
  <c r="A1889" i="13"/>
  <c r="J1888" i="13"/>
  <c r="F1888" i="13"/>
  <c r="A1888" i="13"/>
  <c r="J1887" i="13"/>
  <c r="F1887" i="13"/>
  <c r="A1887" i="13"/>
  <c r="J1886" i="13"/>
  <c r="F1886" i="13"/>
  <c r="A1886" i="13"/>
  <c r="F1885" i="13"/>
  <c r="A1885" i="13"/>
  <c r="J1884" i="13"/>
  <c r="F1884" i="13"/>
  <c r="A1884" i="13"/>
  <c r="J1883" i="13"/>
  <c r="F1883" i="13"/>
  <c r="A1883" i="13"/>
  <c r="J1882" i="13"/>
  <c r="F1882" i="13"/>
  <c r="A1882" i="13"/>
  <c r="F1881" i="13"/>
  <c r="A1881" i="13"/>
  <c r="F1880" i="13"/>
  <c r="A1880" i="13"/>
  <c r="F1879" i="13"/>
  <c r="A1879" i="13"/>
  <c r="F1878" i="13"/>
  <c r="A1878" i="13"/>
  <c r="F1877" i="13"/>
  <c r="A1877" i="13"/>
  <c r="F1876" i="13"/>
  <c r="A1876" i="13"/>
  <c r="F1875" i="13"/>
  <c r="A1875" i="13"/>
  <c r="F1874" i="13"/>
  <c r="A1874" i="13"/>
  <c r="F1873" i="13"/>
  <c r="A1873" i="13"/>
  <c r="F1872" i="13"/>
  <c r="A1872" i="13"/>
  <c r="F1871" i="13"/>
  <c r="A1871" i="13"/>
  <c r="F1870" i="13"/>
  <c r="A1870" i="13"/>
  <c r="F1869" i="13"/>
  <c r="A1869" i="13"/>
  <c r="F1868" i="13"/>
  <c r="A1868" i="13"/>
  <c r="F1867" i="13"/>
  <c r="A1867" i="13"/>
  <c r="F1866" i="13"/>
  <c r="J1865" i="13"/>
  <c r="F1865" i="13"/>
  <c r="A1865" i="13"/>
  <c r="J1864" i="13"/>
  <c r="F1864" i="13"/>
  <c r="A1864" i="13"/>
  <c r="J1863" i="13"/>
  <c r="F1863" i="13"/>
  <c r="A1863" i="13"/>
  <c r="J1862" i="13"/>
  <c r="F1862" i="13"/>
  <c r="A1862" i="13"/>
  <c r="F1861" i="13"/>
  <c r="A1861" i="13"/>
  <c r="J1860" i="13"/>
  <c r="F1860" i="13"/>
  <c r="A1860" i="13"/>
  <c r="F1859" i="13"/>
  <c r="A1859" i="13"/>
  <c r="J1858" i="13"/>
  <c r="F1858" i="13"/>
  <c r="A1858" i="13"/>
  <c r="F1857" i="13"/>
  <c r="A1857" i="13"/>
  <c r="F1856" i="13"/>
  <c r="A1856" i="13"/>
  <c r="F1855" i="13"/>
  <c r="A1855" i="13"/>
  <c r="F1854" i="13"/>
  <c r="A1854" i="13"/>
  <c r="F1853" i="13"/>
  <c r="A1853" i="13"/>
  <c r="F1852" i="13"/>
  <c r="A1852" i="13"/>
  <c r="F1851" i="13"/>
  <c r="A1851" i="13"/>
  <c r="F1850" i="13"/>
  <c r="A1850" i="13"/>
  <c r="F1849" i="13"/>
  <c r="A1849" i="13"/>
  <c r="F1848" i="13"/>
  <c r="A1848" i="13"/>
  <c r="F1847" i="13"/>
  <c r="A1847" i="13"/>
  <c r="F1846" i="13"/>
  <c r="A1846" i="13"/>
  <c r="F1845" i="13"/>
  <c r="A1845" i="13"/>
  <c r="F1844" i="13"/>
  <c r="A1844" i="13"/>
  <c r="F1843" i="13"/>
  <c r="A1843" i="13"/>
  <c r="F1842" i="13"/>
  <c r="A1842" i="13"/>
  <c r="F1841" i="13"/>
  <c r="A1841" i="13"/>
  <c r="J1840" i="13"/>
  <c r="F1840" i="13"/>
  <c r="A1840" i="13"/>
  <c r="J1839" i="13"/>
  <c r="F1839" i="13"/>
  <c r="A1839" i="13"/>
  <c r="J1838" i="13"/>
  <c r="F1838" i="13"/>
  <c r="A1838" i="13"/>
  <c r="F1837" i="13"/>
  <c r="A1837" i="13"/>
  <c r="J1836" i="13"/>
  <c r="F1836" i="13"/>
  <c r="A1836" i="13"/>
  <c r="J1835" i="13"/>
  <c r="F1835" i="13"/>
  <c r="A1835" i="13"/>
  <c r="F1834" i="13"/>
  <c r="A1834" i="13"/>
  <c r="J1833" i="13"/>
  <c r="F1833" i="13"/>
  <c r="A1833" i="13"/>
  <c r="J1832" i="13"/>
  <c r="F1832" i="13"/>
  <c r="A1832" i="13"/>
  <c r="F1831" i="13"/>
  <c r="A1831" i="13"/>
  <c r="F1830" i="13"/>
  <c r="A1830" i="13"/>
  <c r="F1829" i="13"/>
  <c r="A1829" i="13"/>
  <c r="F1828" i="13"/>
  <c r="A1828" i="13"/>
  <c r="J1827" i="13"/>
  <c r="F1827" i="13"/>
  <c r="A1827" i="13"/>
  <c r="F1826" i="13"/>
  <c r="A1826" i="13"/>
  <c r="F1825" i="13"/>
  <c r="A1825" i="13"/>
  <c r="F1824" i="13"/>
  <c r="A1824" i="13"/>
  <c r="F1823" i="13"/>
  <c r="A1823" i="13"/>
  <c r="J1822" i="13"/>
  <c r="F1822" i="13"/>
  <c r="A1822" i="13"/>
  <c r="J1821" i="13"/>
  <c r="F1821" i="13"/>
  <c r="A1821" i="13"/>
  <c r="F1820" i="13"/>
  <c r="A1820" i="13"/>
  <c r="F1819" i="13"/>
  <c r="A1819" i="13"/>
  <c r="F1818" i="13"/>
  <c r="A1818" i="13"/>
  <c r="J1817" i="13"/>
  <c r="F1817" i="13"/>
  <c r="A1817" i="13"/>
  <c r="J1816" i="13"/>
  <c r="F1816" i="13"/>
  <c r="A1816" i="13"/>
  <c r="J1815" i="13"/>
  <c r="F1815" i="13"/>
  <c r="A1815" i="13"/>
  <c r="J1814" i="13"/>
  <c r="F1814" i="13"/>
  <c r="A1814" i="13"/>
  <c r="F1813" i="13"/>
  <c r="A1813" i="13"/>
  <c r="J1812" i="13"/>
  <c r="F1812" i="13"/>
  <c r="A1812" i="13"/>
  <c r="J1811" i="13"/>
  <c r="F1811" i="13"/>
  <c r="A1811" i="13"/>
  <c r="F1810" i="13"/>
  <c r="A1810" i="13"/>
  <c r="F1809" i="13"/>
  <c r="A1809" i="13"/>
  <c r="F1808" i="13"/>
  <c r="A1808" i="13"/>
  <c r="F1807" i="13"/>
  <c r="A1807" i="13"/>
  <c r="F1806" i="13"/>
  <c r="A1806" i="13"/>
  <c r="F1805" i="13"/>
  <c r="A1805" i="13"/>
  <c r="F1804" i="13"/>
  <c r="A1804" i="13"/>
  <c r="F1803" i="13"/>
  <c r="A1803" i="13"/>
  <c r="F1802" i="13"/>
  <c r="A1802" i="13"/>
  <c r="F1801" i="13"/>
  <c r="A1801" i="13"/>
  <c r="F1800" i="13"/>
  <c r="A1800" i="13"/>
  <c r="F1799" i="13"/>
  <c r="A1799" i="13"/>
  <c r="F1798" i="13"/>
  <c r="A1798" i="13"/>
  <c r="F1797" i="13"/>
  <c r="A1797" i="13"/>
  <c r="F1796" i="13"/>
  <c r="A1796" i="13"/>
  <c r="F1795" i="13"/>
  <c r="A1795" i="13"/>
  <c r="F1794" i="13"/>
  <c r="A1794" i="13"/>
  <c r="F1793" i="13"/>
  <c r="A1793" i="13"/>
  <c r="F1792" i="13"/>
  <c r="J1791" i="13"/>
  <c r="F1791" i="13"/>
  <c r="A1791" i="13"/>
  <c r="J1790" i="13"/>
  <c r="F1790" i="13"/>
  <c r="A1790" i="13"/>
  <c r="F1789" i="13"/>
  <c r="A1789" i="13"/>
  <c r="F1788" i="13"/>
  <c r="A1788" i="13"/>
  <c r="F1787" i="13"/>
  <c r="A1787" i="13"/>
  <c r="F1786" i="13"/>
  <c r="A1786" i="13"/>
  <c r="F1785" i="13"/>
  <c r="A1785" i="13"/>
  <c r="F1784" i="13"/>
  <c r="A1784" i="13"/>
  <c r="J1783" i="13"/>
  <c r="F1783" i="13"/>
  <c r="A1783" i="13"/>
  <c r="J1782" i="13"/>
  <c r="F1782" i="13"/>
  <c r="A1782" i="13"/>
  <c r="F1781" i="13"/>
  <c r="A1781" i="13"/>
  <c r="J1780" i="13"/>
  <c r="F1780" i="13"/>
  <c r="A1780" i="13"/>
  <c r="F1779" i="13"/>
  <c r="A1779" i="13"/>
  <c r="J1778" i="13"/>
  <c r="F1778" i="13"/>
  <c r="A1778" i="13"/>
  <c r="F1777" i="13"/>
  <c r="A1777" i="13"/>
  <c r="F1776" i="13"/>
  <c r="A1776" i="13"/>
  <c r="F1775" i="13"/>
  <c r="A1775" i="13"/>
  <c r="J1774" i="13"/>
  <c r="F1774" i="13"/>
  <c r="A1774" i="13"/>
  <c r="J1773" i="13"/>
  <c r="F1773" i="13"/>
  <c r="A1773" i="13"/>
  <c r="F1772" i="13"/>
  <c r="A1772" i="13"/>
  <c r="F1771" i="13"/>
  <c r="A1771" i="13"/>
  <c r="F1770" i="13"/>
  <c r="A1770" i="13"/>
  <c r="J1769" i="13"/>
  <c r="F1769" i="13"/>
  <c r="A1769" i="13"/>
  <c r="F1768" i="13"/>
  <c r="A1768" i="13"/>
  <c r="J1767" i="13"/>
  <c r="F1767" i="13"/>
  <c r="A1767" i="13"/>
  <c r="J1766" i="13"/>
  <c r="F1766" i="13"/>
  <c r="A1766" i="13"/>
  <c r="J1765" i="13"/>
  <c r="F1765" i="13"/>
  <c r="A1765" i="13"/>
  <c r="J1764" i="13"/>
  <c r="F1764" i="13"/>
  <c r="A1764" i="13"/>
  <c r="J1763" i="13"/>
  <c r="F1763" i="13"/>
  <c r="A1763" i="13"/>
  <c r="J1762" i="13"/>
  <c r="F1762" i="13"/>
  <c r="A1762" i="13"/>
  <c r="F1761" i="13"/>
  <c r="A1761" i="13"/>
  <c r="J1760" i="13"/>
  <c r="F1760" i="13"/>
  <c r="A1760" i="13"/>
  <c r="F1759" i="13"/>
  <c r="A1759" i="13"/>
  <c r="J1758" i="13"/>
  <c r="F1758" i="13"/>
  <c r="A1758" i="13"/>
  <c r="F1757" i="13"/>
  <c r="A1757" i="13"/>
  <c r="J1756" i="13"/>
  <c r="F1756" i="13"/>
  <c r="A1756" i="13"/>
  <c r="J1755" i="13"/>
  <c r="F1755" i="13"/>
  <c r="A1755" i="13"/>
  <c r="J1754" i="13"/>
  <c r="F1754" i="13"/>
  <c r="A1754" i="13"/>
  <c r="J1753" i="13"/>
  <c r="F1753" i="13"/>
  <c r="A1753" i="13"/>
  <c r="F1752" i="13"/>
  <c r="A1752" i="13"/>
  <c r="F1751" i="13"/>
  <c r="A1751" i="13"/>
  <c r="J1750" i="13"/>
  <c r="F1750" i="13"/>
  <c r="A1750" i="13"/>
  <c r="J1749" i="13"/>
  <c r="F1749" i="13"/>
  <c r="A1749" i="13"/>
  <c r="F1748" i="13"/>
  <c r="A1748" i="13"/>
  <c r="F1747" i="13"/>
  <c r="A1747" i="13"/>
  <c r="F1746" i="13"/>
  <c r="A1746" i="13"/>
  <c r="J1745" i="13"/>
  <c r="F1745" i="13"/>
  <c r="A1745" i="13"/>
  <c r="J1744" i="13"/>
  <c r="F1744" i="13"/>
  <c r="A1744" i="13"/>
  <c r="F1743" i="13"/>
  <c r="A1743" i="13"/>
  <c r="J1742" i="13"/>
  <c r="F1742" i="13"/>
  <c r="A1742" i="13"/>
  <c r="J1741" i="13"/>
  <c r="F1741" i="13"/>
  <c r="A1741" i="13"/>
  <c r="J1740" i="13"/>
  <c r="F1740" i="13"/>
  <c r="A1740" i="13"/>
  <c r="J1739" i="13"/>
  <c r="F1739" i="13"/>
  <c r="A1739" i="13"/>
  <c r="J1738" i="13"/>
  <c r="F1738" i="13"/>
  <c r="A1738" i="13"/>
  <c r="F1737" i="13"/>
  <c r="A1737" i="13"/>
  <c r="J1736" i="13"/>
  <c r="F1736" i="13"/>
  <c r="A1736" i="13"/>
  <c r="J1735" i="13"/>
  <c r="F1735" i="13"/>
  <c r="A1735" i="13"/>
  <c r="J1734" i="13"/>
  <c r="F1734" i="13"/>
  <c r="A1734" i="13"/>
  <c r="F1733" i="13"/>
  <c r="A1733" i="13"/>
  <c r="F1732" i="13"/>
  <c r="A1732" i="13"/>
  <c r="J1731" i="13"/>
  <c r="F1731" i="13"/>
  <c r="A1731" i="13"/>
  <c r="J1730" i="13"/>
  <c r="F1730" i="13"/>
  <c r="A1730" i="13"/>
  <c r="J1729" i="13"/>
  <c r="F1729" i="13"/>
  <c r="A1729" i="13"/>
  <c r="F1728" i="13"/>
  <c r="A1728" i="13"/>
  <c r="F1727" i="13"/>
  <c r="A1727" i="13"/>
  <c r="F1726" i="13"/>
  <c r="A1726" i="13"/>
  <c r="J1725" i="13"/>
  <c r="F1725" i="13"/>
  <c r="A1725" i="13"/>
  <c r="J1724" i="13"/>
  <c r="F1724" i="13"/>
  <c r="A1724" i="13"/>
  <c r="J1723" i="13"/>
  <c r="F1723" i="13"/>
  <c r="A1723" i="13"/>
  <c r="J1722" i="13"/>
  <c r="F1722" i="13"/>
  <c r="A1722" i="13"/>
  <c r="J1721" i="13"/>
  <c r="F1721" i="13"/>
  <c r="A1721" i="13"/>
  <c r="J1720" i="13"/>
  <c r="F1720" i="13"/>
  <c r="A1720" i="13"/>
  <c r="F1719" i="13"/>
  <c r="A1719" i="13"/>
  <c r="F1718" i="13"/>
  <c r="A1718" i="13"/>
  <c r="J1717" i="13"/>
  <c r="F1717" i="13"/>
  <c r="A1717" i="13"/>
  <c r="J1716" i="13"/>
  <c r="F1716" i="13"/>
  <c r="A1716" i="13"/>
  <c r="J1715" i="13"/>
  <c r="F1715" i="13"/>
  <c r="A1715" i="13"/>
  <c r="F1714" i="13"/>
  <c r="A1714" i="13"/>
  <c r="J1713" i="13"/>
  <c r="F1713" i="13"/>
  <c r="A1713" i="13"/>
  <c r="F1712" i="13"/>
  <c r="A1712" i="13"/>
  <c r="J1711" i="13"/>
  <c r="F1711" i="13"/>
  <c r="A1711" i="13"/>
  <c r="J1710" i="13"/>
  <c r="F1710" i="13"/>
  <c r="A1710" i="13"/>
  <c r="J1709" i="13"/>
  <c r="F1709" i="13"/>
  <c r="A1709" i="13"/>
  <c r="J1708" i="13"/>
  <c r="F1708" i="13"/>
  <c r="A1708" i="13"/>
  <c r="F1707" i="13"/>
  <c r="A1707" i="13"/>
  <c r="F1706" i="13"/>
  <c r="A1706" i="13"/>
  <c r="F1705" i="13"/>
  <c r="A1705" i="13"/>
  <c r="F1704" i="13"/>
  <c r="A1704" i="13"/>
  <c r="F1703" i="13"/>
  <c r="A1703" i="13"/>
  <c r="F1702" i="13"/>
  <c r="A1702" i="13"/>
  <c r="F1701" i="13"/>
  <c r="A1701" i="13"/>
  <c r="F1700" i="13"/>
  <c r="A1700" i="13"/>
  <c r="F1699" i="13"/>
  <c r="A1699" i="13"/>
  <c r="F1698" i="13"/>
  <c r="A1698" i="13"/>
  <c r="F1697" i="13"/>
  <c r="A1697" i="13"/>
  <c r="F1696" i="13"/>
  <c r="A1696" i="13"/>
  <c r="J1695" i="13"/>
  <c r="F1695" i="13"/>
  <c r="A1695" i="13"/>
  <c r="F1694" i="13"/>
  <c r="A1694" i="13"/>
  <c r="F1693" i="13"/>
  <c r="A1693" i="13"/>
  <c r="F1692" i="13"/>
  <c r="A1692" i="13"/>
  <c r="F1691" i="13"/>
  <c r="A1691" i="13"/>
  <c r="F1690" i="13"/>
  <c r="A1690" i="13"/>
  <c r="F1689" i="13"/>
  <c r="A1689" i="13"/>
  <c r="F1688" i="13"/>
  <c r="A1688" i="13"/>
  <c r="J1687" i="13"/>
  <c r="F1687" i="13"/>
  <c r="A1687" i="13"/>
  <c r="J1686" i="13"/>
  <c r="F1686" i="13"/>
  <c r="A1686" i="13"/>
  <c r="J1685" i="13"/>
  <c r="F1685" i="13"/>
  <c r="A1685" i="13"/>
  <c r="F1684" i="13"/>
  <c r="A1684" i="13"/>
  <c r="F1683" i="13"/>
  <c r="A1683" i="13"/>
  <c r="J1682" i="13"/>
  <c r="F1682" i="13"/>
  <c r="A1682" i="13"/>
  <c r="F1681" i="13"/>
  <c r="A1681" i="13"/>
  <c r="F1680" i="13"/>
  <c r="A1680" i="13"/>
  <c r="J1679" i="13"/>
  <c r="F1679" i="13"/>
  <c r="A1679" i="13"/>
  <c r="F1678" i="13"/>
  <c r="A1678" i="13"/>
  <c r="J1677" i="13"/>
  <c r="F1677" i="13"/>
  <c r="A1677" i="13"/>
  <c r="F1676" i="13"/>
  <c r="A1676" i="13"/>
  <c r="J1675" i="13"/>
  <c r="F1675" i="13"/>
  <c r="A1675" i="13"/>
  <c r="F1674" i="13"/>
  <c r="A1674" i="13"/>
  <c r="F1673" i="13"/>
  <c r="A1673" i="13"/>
  <c r="F1672" i="13"/>
  <c r="A1672" i="13"/>
  <c r="J1671" i="13"/>
  <c r="F1671" i="13"/>
  <c r="A1671" i="13"/>
  <c r="J1670" i="13"/>
  <c r="F1670" i="13"/>
  <c r="A1670" i="13"/>
  <c r="J1669" i="13"/>
  <c r="F1669" i="13"/>
  <c r="A1669" i="13"/>
  <c r="F1668" i="13"/>
  <c r="A1668" i="13"/>
  <c r="J1667" i="13"/>
  <c r="F1667" i="13"/>
  <c r="A1667" i="13"/>
  <c r="F1666" i="13"/>
  <c r="A1666" i="13"/>
  <c r="J1665" i="13"/>
  <c r="F1665" i="13"/>
  <c r="A1665" i="13"/>
  <c r="J1664" i="13"/>
  <c r="F1664" i="13"/>
  <c r="A1664" i="13"/>
  <c r="J1663" i="13"/>
  <c r="F1663" i="13"/>
  <c r="A1663" i="13"/>
  <c r="F1662" i="13"/>
  <c r="A1662" i="13"/>
  <c r="J1661" i="13"/>
  <c r="F1661" i="13"/>
  <c r="A1661" i="13"/>
  <c r="J1660" i="13"/>
  <c r="F1660" i="13"/>
  <c r="A1660" i="13"/>
  <c r="J1659" i="13"/>
  <c r="F1659" i="13"/>
  <c r="A1659" i="13"/>
  <c r="F1658" i="13"/>
  <c r="A1658" i="13"/>
  <c r="J1657" i="13"/>
  <c r="F1657" i="13"/>
  <c r="A1657" i="13"/>
  <c r="J1656" i="13"/>
  <c r="F1656" i="13"/>
  <c r="A1656" i="13"/>
  <c r="J1655" i="13"/>
  <c r="F1655" i="13"/>
  <c r="A1655" i="13"/>
  <c r="F1654" i="13"/>
  <c r="A1654" i="13"/>
  <c r="F1653" i="13"/>
  <c r="A1653" i="13"/>
  <c r="F1652" i="13"/>
  <c r="J1651" i="13"/>
  <c r="F1651" i="13"/>
  <c r="A1651" i="13"/>
  <c r="F1650" i="13"/>
  <c r="A1650" i="13"/>
  <c r="J1649" i="13"/>
  <c r="F1649" i="13"/>
  <c r="A1649" i="13"/>
  <c r="J1648" i="13"/>
  <c r="F1648" i="13"/>
  <c r="A1648" i="13"/>
  <c r="F1647" i="13"/>
  <c r="A1647" i="13"/>
  <c r="F1646" i="13"/>
  <c r="A1646" i="13"/>
  <c r="J1645" i="13"/>
  <c r="F1645" i="13"/>
  <c r="A1645" i="13"/>
  <c r="J1644" i="13"/>
  <c r="F1644" i="13"/>
  <c r="A1644" i="13"/>
  <c r="F1643" i="13"/>
  <c r="A1643" i="13"/>
  <c r="F1642" i="13"/>
  <c r="A1642" i="13"/>
  <c r="F1641" i="13"/>
  <c r="A1641" i="13"/>
  <c r="F1640" i="13"/>
  <c r="A1640" i="13"/>
  <c r="F1639" i="13"/>
  <c r="A1639" i="13"/>
  <c r="F1638" i="13"/>
  <c r="A1638" i="13"/>
  <c r="F1637" i="13"/>
  <c r="A1637" i="13"/>
  <c r="F1636" i="13"/>
  <c r="A1636" i="13"/>
  <c r="F1635" i="13"/>
  <c r="A1635" i="13"/>
  <c r="F1634" i="13"/>
  <c r="A1634" i="13"/>
  <c r="F1633" i="13"/>
  <c r="A1633" i="13"/>
  <c r="F1632" i="13"/>
  <c r="A1632" i="13"/>
  <c r="F1631" i="13"/>
  <c r="A1631" i="13"/>
  <c r="F1630" i="13"/>
  <c r="A1630" i="13"/>
  <c r="F1629" i="13"/>
  <c r="A1629" i="13"/>
  <c r="F1628" i="13"/>
  <c r="A1628" i="13"/>
  <c r="F1627" i="13"/>
  <c r="A1627" i="13"/>
  <c r="F1626" i="13"/>
  <c r="A1626" i="13"/>
  <c r="F1625" i="13"/>
  <c r="A1625" i="13"/>
  <c r="F1624" i="13"/>
  <c r="A1624" i="13"/>
  <c r="F1623" i="13"/>
  <c r="A1623" i="13"/>
  <c r="F1622" i="13"/>
  <c r="A1622" i="13"/>
  <c r="F1621" i="13"/>
  <c r="A1621" i="13"/>
  <c r="F1620" i="13"/>
  <c r="A1620" i="13"/>
  <c r="F1619" i="13"/>
  <c r="A1619" i="13"/>
  <c r="F1618" i="13"/>
  <c r="A1618" i="13"/>
  <c r="F1617" i="13"/>
  <c r="A1617" i="13"/>
  <c r="F1616" i="13"/>
  <c r="A1616" i="13"/>
  <c r="F1615" i="13"/>
  <c r="A1615" i="13"/>
  <c r="F1614" i="13"/>
  <c r="A1614" i="13"/>
  <c r="F1613" i="13"/>
  <c r="A1613" i="13"/>
  <c r="F1612" i="13"/>
  <c r="A1612" i="13"/>
  <c r="F1611" i="13"/>
  <c r="A1611" i="13"/>
  <c r="F1610" i="13"/>
  <c r="A1610" i="13"/>
  <c r="F1609" i="13"/>
  <c r="A1609" i="13"/>
  <c r="F1608" i="13"/>
  <c r="A1608" i="13"/>
  <c r="F1607" i="13"/>
  <c r="A1607" i="13"/>
  <c r="F1606" i="13"/>
  <c r="A1606" i="13"/>
  <c r="F1605" i="13"/>
  <c r="A1605" i="13"/>
  <c r="F1604" i="13"/>
  <c r="A1604" i="13"/>
  <c r="F1603" i="13"/>
  <c r="A1603" i="13"/>
  <c r="F1602" i="13"/>
  <c r="A1602" i="13"/>
  <c r="F1601" i="13"/>
  <c r="A1601" i="13"/>
  <c r="F1600" i="13"/>
  <c r="A1600" i="13"/>
  <c r="F1599" i="13"/>
  <c r="A1599" i="13"/>
  <c r="F1598" i="13"/>
  <c r="A1598" i="13"/>
  <c r="F1597" i="13"/>
  <c r="A1597" i="13"/>
  <c r="F1596" i="13"/>
  <c r="A1596" i="13"/>
  <c r="F1595" i="13"/>
  <c r="A1595" i="13"/>
  <c r="F1594" i="13"/>
  <c r="A1594" i="13"/>
  <c r="F1593" i="13"/>
  <c r="F1592" i="13"/>
  <c r="A1592" i="13"/>
  <c r="J1591" i="13"/>
  <c r="F1591" i="13"/>
  <c r="A1591" i="13"/>
  <c r="F1590" i="13"/>
  <c r="A1590" i="13"/>
  <c r="J1589" i="13"/>
  <c r="F1589" i="13"/>
  <c r="A1589" i="13"/>
  <c r="J1588" i="13"/>
  <c r="F1588" i="13"/>
  <c r="A1588" i="13"/>
  <c r="F1587" i="13"/>
  <c r="A1587" i="13"/>
  <c r="F1586" i="13"/>
  <c r="A1586" i="13"/>
  <c r="F1585" i="13"/>
  <c r="A1585" i="13"/>
  <c r="J1584" i="13"/>
  <c r="F1584" i="13"/>
  <c r="A1584" i="13"/>
  <c r="J1583" i="13"/>
  <c r="F1583" i="13"/>
  <c r="A1583" i="13"/>
  <c r="F1582" i="13"/>
  <c r="A1582" i="13"/>
  <c r="F1581" i="13"/>
  <c r="A1581" i="13"/>
  <c r="F1580" i="13"/>
  <c r="A1580" i="13"/>
  <c r="F1579" i="13"/>
  <c r="A1579" i="13"/>
  <c r="F1578" i="13"/>
  <c r="A1578" i="13"/>
  <c r="J1577" i="13"/>
  <c r="F1577" i="13"/>
  <c r="A1577" i="13"/>
  <c r="F1576" i="13"/>
  <c r="A1576" i="13"/>
  <c r="F1575" i="13"/>
  <c r="A1575" i="13"/>
  <c r="F1574" i="13"/>
  <c r="A1574" i="13"/>
  <c r="F1573" i="13"/>
  <c r="A1573" i="13"/>
  <c r="J1572" i="13"/>
  <c r="F1572" i="13"/>
  <c r="A1572" i="13"/>
  <c r="J1571" i="13"/>
  <c r="F1571" i="13"/>
  <c r="A1571" i="13"/>
  <c r="F1570" i="13"/>
  <c r="A1570" i="13"/>
  <c r="J1569" i="13"/>
  <c r="F1569" i="13"/>
  <c r="A1569" i="13"/>
  <c r="J1568" i="13"/>
  <c r="F1568" i="13"/>
  <c r="A1568" i="13"/>
  <c r="F1567" i="13"/>
  <c r="A1567" i="13"/>
  <c r="F1566" i="13"/>
  <c r="A1566" i="13"/>
  <c r="J1565" i="13"/>
  <c r="F1565" i="13"/>
  <c r="A1565" i="13"/>
  <c r="F1564" i="13"/>
  <c r="A1564" i="13"/>
  <c r="J1563" i="13"/>
  <c r="F1563" i="13"/>
  <c r="A1563" i="13"/>
  <c r="J1562" i="13"/>
  <c r="F1562" i="13"/>
  <c r="A1562" i="13"/>
  <c r="F1561" i="13"/>
  <c r="A1561" i="13"/>
  <c r="F1560" i="13"/>
  <c r="A1560" i="13"/>
  <c r="J1559" i="13"/>
  <c r="F1559" i="13"/>
  <c r="A1559" i="13"/>
  <c r="F1558" i="13"/>
  <c r="A1558" i="13"/>
  <c r="F1557" i="13"/>
  <c r="A1557" i="13"/>
  <c r="F1556" i="13"/>
  <c r="A1556" i="13"/>
  <c r="J1555" i="13"/>
  <c r="F1555" i="13"/>
  <c r="A1555" i="13"/>
  <c r="J1554" i="13"/>
  <c r="F1554" i="13"/>
  <c r="A1554" i="13"/>
  <c r="J1553" i="13"/>
  <c r="F1553" i="13"/>
  <c r="A1553" i="13"/>
  <c r="J1552" i="13"/>
  <c r="F1552" i="13"/>
  <c r="A1552" i="13"/>
  <c r="F1551" i="13"/>
  <c r="A1551" i="13"/>
  <c r="J1550" i="13"/>
  <c r="F1550" i="13"/>
  <c r="A1550" i="13"/>
  <c r="J1549" i="13"/>
  <c r="F1549" i="13"/>
  <c r="A1549" i="13"/>
  <c r="J1548" i="13"/>
  <c r="F1548" i="13"/>
  <c r="A1548" i="13"/>
  <c r="F1547" i="13"/>
  <c r="A1547" i="13"/>
  <c r="J1546" i="13"/>
  <c r="F1546" i="13"/>
  <c r="A1546" i="13"/>
  <c r="F1545" i="13"/>
  <c r="A1545" i="13"/>
  <c r="J1544" i="13"/>
  <c r="F1544" i="13"/>
  <c r="A1544" i="13"/>
  <c r="J1543" i="13"/>
  <c r="F1543" i="13"/>
  <c r="A1543" i="13"/>
  <c r="F1542" i="13"/>
  <c r="A1542" i="13"/>
  <c r="J1541" i="13"/>
  <c r="F1541" i="13"/>
  <c r="A1541" i="13"/>
  <c r="J1540" i="13"/>
  <c r="F1540" i="13"/>
  <c r="A1540" i="13"/>
  <c r="F1539" i="13"/>
  <c r="A1539" i="13"/>
  <c r="J1538" i="13"/>
  <c r="F1538" i="13"/>
  <c r="A1538" i="13"/>
  <c r="F1537" i="13"/>
  <c r="A1537" i="13"/>
  <c r="F1536" i="13"/>
  <c r="A1536" i="13"/>
  <c r="F1535" i="13"/>
  <c r="A1535" i="13"/>
  <c r="F1534" i="13"/>
  <c r="A1534" i="13"/>
  <c r="F1533" i="13"/>
  <c r="A1533" i="13"/>
  <c r="J1532" i="13"/>
  <c r="F1532" i="13"/>
  <c r="A1532" i="13"/>
  <c r="J1531" i="13"/>
  <c r="F1531" i="13"/>
  <c r="A1531" i="13"/>
  <c r="J1530" i="13"/>
  <c r="F1530" i="13"/>
  <c r="A1530" i="13"/>
  <c r="J1529" i="13"/>
  <c r="F1529" i="13"/>
  <c r="A1529" i="13"/>
  <c r="J1528" i="13"/>
  <c r="F1528" i="13"/>
  <c r="A1528" i="13"/>
  <c r="J1527" i="13"/>
  <c r="F1527" i="13"/>
  <c r="A1527" i="13"/>
  <c r="J1526" i="13"/>
  <c r="F1526" i="13"/>
  <c r="A1526" i="13"/>
  <c r="J1525" i="13"/>
  <c r="F1525" i="13"/>
  <c r="A1525" i="13"/>
  <c r="J1524" i="13"/>
  <c r="F1524" i="13"/>
  <c r="A1524" i="13"/>
  <c r="F1523" i="13"/>
  <c r="A1523" i="13"/>
  <c r="F1522" i="13"/>
  <c r="A1522" i="13"/>
  <c r="F1521" i="13"/>
  <c r="A1521" i="13"/>
  <c r="F1520" i="13"/>
  <c r="A1520" i="13"/>
  <c r="F1519" i="13"/>
  <c r="A1519" i="13"/>
  <c r="F1518" i="13"/>
  <c r="A1518" i="13"/>
  <c r="F1517" i="13"/>
  <c r="A1517" i="13"/>
  <c r="F1516" i="13"/>
  <c r="A1516" i="13"/>
  <c r="F1515" i="13"/>
  <c r="A1515" i="13"/>
  <c r="F1514" i="13"/>
  <c r="A1514" i="13"/>
  <c r="F1513" i="13"/>
  <c r="A1513" i="13"/>
  <c r="F1512" i="13"/>
  <c r="A1512" i="13"/>
  <c r="F1511" i="13"/>
  <c r="A1511" i="13"/>
  <c r="F1510" i="13"/>
  <c r="A1510" i="13"/>
  <c r="F1509" i="13"/>
  <c r="A1509" i="13"/>
  <c r="F1508" i="13"/>
  <c r="A1508" i="13"/>
  <c r="F1507" i="13"/>
  <c r="A1507" i="13"/>
  <c r="F1506" i="13"/>
  <c r="A1506" i="13"/>
  <c r="F1505" i="13"/>
  <c r="A1505" i="13"/>
  <c r="F1504" i="13"/>
  <c r="A1504" i="13"/>
  <c r="F1503" i="13"/>
  <c r="A1503" i="13"/>
  <c r="F1502" i="13"/>
  <c r="A1502" i="13"/>
  <c r="F1501" i="13"/>
  <c r="A1501" i="13"/>
  <c r="F1500" i="13"/>
  <c r="A1500" i="13"/>
  <c r="F1499" i="13"/>
  <c r="A1499" i="13"/>
  <c r="F1498" i="13"/>
  <c r="A1498" i="13"/>
  <c r="F1497" i="13"/>
  <c r="A1497" i="13"/>
  <c r="F1496" i="13"/>
  <c r="A1496" i="13"/>
  <c r="F1495" i="13"/>
  <c r="A1495" i="13"/>
  <c r="F1494" i="13"/>
  <c r="A1494" i="13"/>
  <c r="F1493" i="13"/>
  <c r="A1493" i="13"/>
  <c r="F1492" i="13"/>
  <c r="A1492" i="13"/>
  <c r="F1491" i="13"/>
  <c r="A1491" i="13"/>
  <c r="J1490" i="13"/>
  <c r="F1490" i="13"/>
  <c r="A1490" i="13"/>
  <c r="J1489" i="13"/>
  <c r="F1489" i="13"/>
  <c r="A1489" i="13"/>
  <c r="F1488" i="13"/>
  <c r="A1488" i="13"/>
  <c r="F1487" i="13"/>
  <c r="A1487" i="13"/>
  <c r="J1486" i="13"/>
  <c r="F1486" i="13"/>
  <c r="A1486" i="13"/>
  <c r="J1485" i="13"/>
  <c r="F1485" i="13"/>
  <c r="A1485" i="13"/>
  <c r="F1484" i="13"/>
  <c r="A1484" i="13"/>
  <c r="F1483" i="13"/>
  <c r="A1483" i="13"/>
  <c r="F1482" i="13"/>
  <c r="A1482" i="13"/>
  <c r="J1481" i="13"/>
  <c r="F1481" i="13"/>
  <c r="A1481" i="13"/>
  <c r="J1480" i="13"/>
  <c r="F1480" i="13"/>
  <c r="A1480" i="13"/>
  <c r="F1479" i="13"/>
  <c r="A1479" i="13"/>
  <c r="F1478" i="13"/>
  <c r="A1478" i="13"/>
  <c r="J1477" i="13"/>
  <c r="F1477" i="13"/>
  <c r="A1477" i="13"/>
  <c r="J1476" i="13"/>
  <c r="F1476" i="13"/>
  <c r="A1476" i="13"/>
  <c r="F1475" i="13"/>
  <c r="A1475" i="13"/>
  <c r="F1474" i="13"/>
  <c r="A1474" i="13"/>
  <c r="F1473" i="13"/>
  <c r="A1473" i="13"/>
  <c r="F1472" i="13"/>
  <c r="A1472" i="13"/>
  <c r="F1471" i="13"/>
  <c r="A1471" i="13"/>
  <c r="F1470" i="13"/>
  <c r="A1470" i="13"/>
  <c r="F1469" i="13"/>
  <c r="A1469" i="13"/>
  <c r="F1468" i="13"/>
  <c r="A1468" i="13"/>
  <c r="F1467" i="13"/>
  <c r="A1467" i="13"/>
  <c r="F1466" i="13"/>
  <c r="A1466" i="13"/>
  <c r="F1465" i="13"/>
  <c r="A1465" i="13"/>
  <c r="F1464" i="13"/>
  <c r="A1464" i="13"/>
  <c r="F1463" i="13"/>
  <c r="A1463" i="13"/>
  <c r="F1462" i="13"/>
  <c r="A1462" i="13"/>
  <c r="F1461" i="13"/>
  <c r="A1461" i="13"/>
  <c r="F1460" i="13"/>
  <c r="F1459" i="13"/>
  <c r="A1459" i="13"/>
  <c r="J1458" i="13"/>
  <c r="F1458" i="13"/>
  <c r="A1458" i="13"/>
  <c r="J1457" i="13"/>
  <c r="F1457" i="13"/>
  <c r="A1457" i="13"/>
  <c r="J1456" i="13"/>
  <c r="F1456" i="13"/>
  <c r="A1456" i="13"/>
  <c r="F1455" i="13"/>
  <c r="A1455" i="13"/>
  <c r="F1454" i="13"/>
  <c r="A1454" i="13"/>
  <c r="J1453" i="13"/>
  <c r="F1453" i="13"/>
  <c r="A1453" i="13"/>
  <c r="F1452" i="13"/>
  <c r="A1452" i="13"/>
  <c r="J1451" i="13"/>
  <c r="F1451" i="13"/>
  <c r="A1451" i="13"/>
  <c r="F1450" i="13"/>
  <c r="A1450" i="13"/>
  <c r="F1449" i="13"/>
  <c r="A1449" i="13"/>
  <c r="J1448" i="13"/>
  <c r="F1448" i="13"/>
  <c r="A1448" i="13"/>
  <c r="J1447" i="13"/>
  <c r="F1447" i="13"/>
  <c r="A1447" i="13"/>
  <c r="F1446" i="13"/>
  <c r="A1446" i="13"/>
  <c r="F1445" i="13"/>
  <c r="A1445" i="13"/>
  <c r="J1444" i="13"/>
  <c r="F1444" i="13"/>
  <c r="A1444" i="13"/>
  <c r="F1443" i="13"/>
  <c r="A1443" i="13"/>
  <c r="F1442" i="13"/>
  <c r="A1442" i="13"/>
  <c r="F1441" i="13"/>
  <c r="A1441" i="13"/>
  <c r="J1440" i="13"/>
  <c r="F1440" i="13"/>
  <c r="A1440" i="13"/>
  <c r="F1439" i="13"/>
  <c r="A1439" i="13"/>
  <c r="J1438" i="13"/>
  <c r="F1438" i="13"/>
  <c r="A1438" i="13"/>
  <c r="F1437" i="13"/>
  <c r="A1437" i="13"/>
  <c r="F1436" i="13"/>
  <c r="A1436" i="13"/>
  <c r="F1435" i="13"/>
  <c r="A1435" i="13"/>
  <c r="J1434" i="13"/>
  <c r="F1434" i="13"/>
  <c r="A1434" i="13"/>
  <c r="F1433" i="13"/>
  <c r="A1433" i="13"/>
  <c r="J1432" i="13"/>
  <c r="F1432" i="13"/>
  <c r="A1432" i="13"/>
  <c r="F1431" i="13"/>
  <c r="A1431" i="13"/>
  <c r="J1430" i="13"/>
  <c r="F1430" i="13"/>
  <c r="A1430" i="13"/>
  <c r="J1429" i="13"/>
  <c r="F1429" i="13"/>
  <c r="A1429" i="13"/>
  <c r="J1428" i="13"/>
  <c r="F1428" i="13"/>
  <c r="A1428" i="13"/>
  <c r="J1427" i="13"/>
  <c r="F1427" i="13"/>
  <c r="A1427" i="13"/>
  <c r="J1426" i="13"/>
  <c r="F1426" i="13"/>
  <c r="A1426" i="13"/>
  <c r="J1425" i="13"/>
  <c r="F1425" i="13"/>
  <c r="A1425" i="13"/>
  <c r="F1424" i="13"/>
  <c r="A1424" i="13"/>
  <c r="J1423" i="13"/>
  <c r="F1423" i="13"/>
  <c r="A1423" i="13"/>
  <c r="F1422" i="13"/>
  <c r="A1422" i="13"/>
  <c r="F1421" i="13"/>
  <c r="A1421" i="13"/>
  <c r="F1420" i="13"/>
  <c r="A1420" i="13"/>
  <c r="J1419" i="13"/>
  <c r="F1419" i="13"/>
  <c r="A1419" i="13"/>
  <c r="F1418" i="13"/>
  <c r="A1418" i="13"/>
  <c r="F1417" i="13"/>
  <c r="A1417" i="13"/>
  <c r="F1416" i="13"/>
  <c r="A1416" i="13"/>
  <c r="F1415" i="13"/>
  <c r="A1415" i="13"/>
  <c r="J1414" i="13"/>
  <c r="F1414" i="13"/>
  <c r="A1414" i="13"/>
  <c r="J1413" i="13"/>
  <c r="F1413" i="13"/>
  <c r="A1413" i="13"/>
  <c r="J1412" i="13"/>
  <c r="F1412" i="13"/>
  <c r="A1412" i="13"/>
  <c r="J1411" i="13"/>
  <c r="F1411" i="13"/>
  <c r="A1411" i="13"/>
  <c r="F1410" i="13"/>
  <c r="A1410" i="13"/>
  <c r="F1409" i="13"/>
  <c r="A1409" i="13"/>
  <c r="J1408" i="13"/>
  <c r="F1408" i="13"/>
  <c r="A1408" i="13"/>
  <c r="F1407" i="13"/>
  <c r="A1407" i="13"/>
  <c r="J1406" i="13"/>
  <c r="F1406" i="13"/>
  <c r="A1406" i="13"/>
  <c r="J1405" i="13"/>
  <c r="F1405" i="13"/>
  <c r="A1405" i="13"/>
  <c r="J1404" i="13"/>
  <c r="F1404" i="13"/>
  <c r="A1404" i="13"/>
  <c r="J1403" i="13"/>
  <c r="F1403" i="13"/>
  <c r="A1403" i="13"/>
  <c r="J1402" i="13"/>
  <c r="F1402" i="13"/>
  <c r="A1402" i="13"/>
  <c r="F1401" i="13"/>
  <c r="A1401" i="13"/>
  <c r="J1400" i="13"/>
  <c r="F1400" i="13"/>
  <c r="A1400" i="13"/>
  <c r="J1399" i="13"/>
  <c r="F1399" i="13"/>
  <c r="A1399" i="13"/>
  <c r="J1398" i="13"/>
  <c r="F1398" i="13"/>
  <c r="A1398" i="13"/>
  <c r="F1397" i="13"/>
  <c r="A1397" i="13"/>
  <c r="J1396" i="13"/>
  <c r="F1396" i="13"/>
  <c r="A1396" i="13"/>
  <c r="J1395" i="13"/>
  <c r="F1395" i="13"/>
  <c r="A1395" i="13"/>
  <c r="J1394" i="13"/>
  <c r="F1394" i="13"/>
  <c r="A1394" i="13"/>
  <c r="J1393" i="13"/>
  <c r="F1393" i="13"/>
  <c r="A1393" i="13"/>
  <c r="F1392" i="13"/>
  <c r="A1392" i="13"/>
  <c r="J1391" i="13"/>
  <c r="F1391" i="13"/>
  <c r="A1391" i="13"/>
  <c r="J1390" i="13"/>
  <c r="F1390" i="13"/>
  <c r="A1390" i="13"/>
  <c r="J1389" i="13"/>
  <c r="F1389" i="13"/>
  <c r="A1389" i="13"/>
  <c r="J1388" i="13"/>
  <c r="F1388" i="13"/>
  <c r="A1388" i="13"/>
  <c r="F1387" i="13"/>
  <c r="A1387" i="13"/>
  <c r="J1386" i="13"/>
  <c r="F1386" i="13"/>
  <c r="A1386" i="13"/>
  <c r="J1385" i="13"/>
  <c r="F1385" i="13"/>
  <c r="A1385" i="13"/>
  <c r="F1384" i="13"/>
  <c r="A1384" i="13"/>
  <c r="J1383" i="13"/>
  <c r="F1383" i="13"/>
  <c r="A1383" i="13"/>
  <c r="J1382" i="13"/>
  <c r="F1382" i="13"/>
  <c r="A1382" i="13"/>
  <c r="J1381" i="13"/>
  <c r="F1381" i="13"/>
  <c r="A1381" i="13"/>
  <c r="F1380" i="13"/>
  <c r="A1380" i="13"/>
  <c r="J1379" i="13"/>
  <c r="F1379" i="13"/>
  <c r="A1379" i="13"/>
  <c r="J1378" i="13"/>
  <c r="F1378" i="13"/>
  <c r="A1378" i="13"/>
  <c r="F1377" i="13"/>
  <c r="A1377" i="13"/>
  <c r="F1376" i="13"/>
  <c r="A1376" i="13"/>
  <c r="F1375" i="13"/>
  <c r="A1375" i="13"/>
  <c r="F1374" i="13"/>
  <c r="A1374" i="13"/>
  <c r="J1373" i="13"/>
  <c r="F1373" i="13"/>
  <c r="A1373" i="13"/>
  <c r="F1372" i="13"/>
  <c r="A1372" i="13"/>
  <c r="F1371" i="13"/>
  <c r="A1371" i="13"/>
  <c r="F1370" i="13"/>
  <c r="A1370" i="13"/>
  <c r="F1369" i="13"/>
  <c r="A1369" i="13"/>
  <c r="J1368" i="13"/>
  <c r="F1368" i="13"/>
  <c r="A1368" i="13"/>
  <c r="J1367" i="13"/>
  <c r="F1367" i="13"/>
  <c r="A1367" i="13"/>
  <c r="F1366" i="13"/>
  <c r="A1366" i="13"/>
  <c r="F1365" i="13"/>
  <c r="A1365" i="13"/>
  <c r="J1364" i="13"/>
  <c r="F1364" i="13"/>
  <c r="A1364" i="13"/>
  <c r="J1363" i="13"/>
  <c r="F1363" i="13"/>
  <c r="A1363" i="13"/>
  <c r="F1362" i="13"/>
  <c r="A1362" i="13"/>
  <c r="J1361" i="13"/>
  <c r="F1361" i="13"/>
  <c r="A1361" i="13"/>
  <c r="J1360" i="13"/>
  <c r="F1360" i="13"/>
  <c r="A1360" i="13"/>
  <c r="J1359" i="13"/>
  <c r="F1359" i="13"/>
  <c r="A1359" i="13"/>
  <c r="F1358" i="13"/>
  <c r="A1358" i="13"/>
  <c r="F1357" i="13"/>
  <c r="A1357" i="13"/>
  <c r="F1356" i="13"/>
  <c r="A1356" i="13"/>
  <c r="F1355" i="13"/>
  <c r="A1355" i="13"/>
  <c r="F1354" i="13"/>
  <c r="A1354" i="13"/>
  <c r="F1353" i="13"/>
  <c r="A1353" i="13"/>
  <c r="F1352" i="13"/>
  <c r="A1352" i="13"/>
  <c r="F1351" i="13"/>
  <c r="A1351" i="13"/>
  <c r="F1350" i="13"/>
  <c r="A1350" i="13"/>
  <c r="F1349" i="13"/>
  <c r="A1349" i="13"/>
  <c r="F1348" i="13"/>
  <c r="A1348" i="13"/>
  <c r="F1347" i="13"/>
  <c r="A1347" i="13"/>
  <c r="F1346" i="13"/>
  <c r="A1346" i="13"/>
  <c r="F1345" i="13"/>
  <c r="A1345" i="13"/>
  <c r="F1344" i="13"/>
  <c r="A1344" i="13"/>
  <c r="J1343" i="13"/>
  <c r="F1343" i="13"/>
  <c r="A1343" i="13"/>
  <c r="F1342" i="13"/>
  <c r="A1342" i="13"/>
  <c r="F1341" i="13"/>
  <c r="A1341" i="13"/>
  <c r="J1340" i="13"/>
  <c r="F1340" i="13"/>
  <c r="A1340" i="13"/>
  <c r="F1339" i="13"/>
  <c r="A1339" i="13"/>
  <c r="F1338" i="13"/>
  <c r="A1338" i="13"/>
  <c r="F1337" i="13"/>
  <c r="A1337" i="13"/>
  <c r="F1336" i="13"/>
  <c r="A1336" i="13"/>
  <c r="J1335" i="13"/>
  <c r="F1335" i="13"/>
  <c r="A1335" i="13"/>
  <c r="F1334" i="13"/>
  <c r="A1334" i="13"/>
  <c r="F1333" i="13"/>
  <c r="A1333" i="13"/>
  <c r="J1332" i="13"/>
  <c r="F1332" i="13"/>
  <c r="A1332" i="13"/>
  <c r="F1331" i="13"/>
  <c r="A1331" i="13"/>
  <c r="F1330" i="13"/>
  <c r="A1330" i="13"/>
  <c r="F1329" i="13"/>
  <c r="A1329" i="13"/>
  <c r="F1328" i="13"/>
  <c r="A1328" i="13"/>
  <c r="F1327" i="13"/>
  <c r="A1327" i="13"/>
  <c r="F1326" i="13"/>
  <c r="A1326" i="13"/>
  <c r="F1325" i="13"/>
  <c r="A1325" i="13"/>
  <c r="J1324" i="13"/>
  <c r="F1324" i="13"/>
  <c r="A1324" i="13"/>
  <c r="F1323" i="13"/>
  <c r="A1323" i="13"/>
  <c r="F1322" i="13"/>
  <c r="A1322" i="13"/>
  <c r="F1321" i="13"/>
  <c r="A1321" i="13"/>
  <c r="J1320" i="13"/>
  <c r="F1320" i="13"/>
  <c r="A1320" i="13"/>
  <c r="F1319" i="13"/>
  <c r="A1319" i="13"/>
  <c r="F1318" i="13"/>
  <c r="A1318" i="13"/>
  <c r="F1317" i="13"/>
  <c r="A1317" i="13"/>
  <c r="F1316" i="13"/>
  <c r="A1316" i="13"/>
  <c r="F1315" i="13"/>
  <c r="A1315" i="13"/>
  <c r="F1314" i="13"/>
  <c r="A1314" i="13"/>
  <c r="F1313" i="13"/>
  <c r="A1313" i="13"/>
  <c r="F1312" i="13"/>
  <c r="A1312" i="13"/>
  <c r="F1311" i="13"/>
  <c r="A1311" i="13"/>
  <c r="F1310" i="13"/>
  <c r="A1310" i="13"/>
  <c r="F1309" i="13"/>
  <c r="A1309" i="13"/>
  <c r="J1308" i="13"/>
  <c r="F1308" i="13"/>
  <c r="A1308" i="13"/>
  <c r="F1307" i="13"/>
  <c r="A1307" i="13"/>
  <c r="J1306" i="13"/>
  <c r="F1306" i="13"/>
  <c r="A1306" i="13"/>
  <c r="J1305" i="13"/>
  <c r="F1305" i="13"/>
  <c r="A1305" i="13"/>
  <c r="J1304" i="13"/>
  <c r="F1304" i="13"/>
  <c r="A1304" i="13"/>
  <c r="J1303" i="13"/>
  <c r="F1303" i="13"/>
  <c r="A1303" i="13"/>
  <c r="F1302" i="13"/>
  <c r="A1302" i="13"/>
  <c r="J1301" i="13"/>
  <c r="F1301" i="13"/>
  <c r="A1301" i="13"/>
  <c r="J1300" i="13"/>
  <c r="F1300" i="13"/>
  <c r="A1300" i="13"/>
  <c r="J1299" i="13"/>
  <c r="F1299" i="13"/>
  <c r="A1299" i="13"/>
  <c r="J1298" i="13"/>
  <c r="F1298" i="13"/>
  <c r="A1298" i="13"/>
  <c r="J1297" i="13"/>
  <c r="F1297" i="13"/>
  <c r="A1297" i="13"/>
  <c r="F1296" i="13"/>
  <c r="A1296" i="13"/>
  <c r="J1295" i="13"/>
  <c r="F1295" i="13"/>
  <c r="A1295" i="13"/>
  <c r="F1294" i="13"/>
  <c r="A1294" i="13"/>
  <c r="J1293" i="13"/>
  <c r="F1293" i="13"/>
  <c r="A1293" i="13"/>
  <c r="J1292" i="13"/>
  <c r="F1292" i="13"/>
  <c r="A1292" i="13"/>
  <c r="F1291" i="13"/>
  <c r="A1291" i="13"/>
  <c r="F1290" i="13"/>
  <c r="A1290" i="13"/>
  <c r="F1289" i="13"/>
  <c r="A1289" i="13"/>
  <c r="F1288" i="13"/>
  <c r="A1288" i="13"/>
  <c r="F1287" i="13"/>
  <c r="A1287" i="13"/>
  <c r="F1286" i="13"/>
  <c r="A1286" i="13"/>
  <c r="J1285" i="13"/>
  <c r="F1285" i="13"/>
  <c r="A1285" i="13"/>
  <c r="F1284" i="13"/>
  <c r="A1284" i="13"/>
  <c r="J1283" i="13"/>
  <c r="F1283" i="13"/>
  <c r="A1283" i="13"/>
  <c r="J1282" i="13"/>
  <c r="F1282" i="13"/>
  <c r="A1282" i="13"/>
  <c r="J1281" i="13"/>
  <c r="F1281" i="13"/>
  <c r="A1281" i="13"/>
  <c r="F1280" i="13"/>
  <c r="A1280" i="13"/>
  <c r="J1279" i="13"/>
  <c r="F1279" i="13"/>
  <c r="A1279" i="13"/>
  <c r="J1278" i="13"/>
  <c r="F1278" i="13"/>
  <c r="A1278" i="13"/>
  <c r="J1277" i="13"/>
  <c r="F1277" i="13"/>
  <c r="A1277" i="13"/>
  <c r="J1276" i="13"/>
  <c r="F1276" i="13"/>
  <c r="A1276" i="13"/>
  <c r="J1275" i="13"/>
  <c r="F1275" i="13"/>
  <c r="A1275" i="13"/>
  <c r="J1274" i="13"/>
  <c r="F1274" i="13"/>
  <c r="A1274" i="13"/>
  <c r="J1273" i="13"/>
  <c r="F1273" i="13"/>
  <c r="A1273" i="13"/>
  <c r="F1272" i="13"/>
  <c r="A1272" i="13"/>
  <c r="J1271" i="13"/>
  <c r="F1271" i="13"/>
  <c r="A1271" i="13"/>
  <c r="J1270" i="13"/>
  <c r="F1270" i="13"/>
  <c r="A1270" i="13"/>
  <c r="F1269" i="13"/>
  <c r="A1269" i="13"/>
  <c r="J1268" i="13"/>
  <c r="F1268" i="13"/>
  <c r="A1268" i="13"/>
  <c r="J1267" i="13"/>
  <c r="F1267" i="13"/>
  <c r="A1267" i="13"/>
  <c r="F1266" i="13"/>
  <c r="A1266" i="13"/>
  <c r="J1265" i="13"/>
  <c r="F1265" i="13"/>
  <c r="A1265" i="13"/>
  <c r="J1264" i="13"/>
  <c r="F1264" i="13"/>
  <c r="A1264" i="13"/>
  <c r="J1263" i="13"/>
  <c r="F1263" i="13"/>
  <c r="A1263" i="13"/>
  <c r="J1262" i="13"/>
  <c r="F1262" i="13"/>
  <c r="A1262" i="13"/>
  <c r="F1261" i="13"/>
  <c r="A1261" i="13"/>
  <c r="J1260" i="13"/>
  <c r="F1260" i="13"/>
  <c r="A1260" i="13"/>
  <c r="J1259" i="13"/>
  <c r="F1259" i="13"/>
  <c r="A1259" i="13"/>
  <c r="J1258" i="13"/>
  <c r="F1258" i="13"/>
  <c r="A1258" i="13"/>
  <c r="J1257" i="13"/>
  <c r="F1257" i="13"/>
  <c r="A1257" i="13"/>
  <c r="J1256" i="13"/>
  <c r="F1256" i="13"/>
  <c r="A1256" i="13"/>
  <c r="J1255" i="13"/>
  <c r="F1255" i="13"/>
  <c r="A1255" i="13"/>
  <c r="J1254" i="13"/>
  <c r="F1254" i="13"/>
  <c r="A1254" i="13"/>
  <c r="F1253" i="13"/>
  <c r="A1253" i="13"/>
  <c r="J1252" i="13"/>
  <c r="F1252" i="13"/>
  <c r="A1252" i="13"/>
  <c r="J1251" i="13"/>
  <c r="F1251" i="13"/>
  <c r="A1251" i="13"/>
  <c r="J1250" i="13"/>
  <c r="F1250" i="13"/>
  <c r="A1250" i="13"/>
  <c r="F1249" i="13"/>
  <c r="A1249" i="13"/>
  <c r="F1248" i="13"/>
  <c r="A1248" i="13"/>
  <c r="F1247" i="13"/>
  <c r="A1247" i="13"/>
  <c r="F1246" i="13"/>
  <c r="A1246" i="13"/>
  <c r="J1245" i="13"/>
  <c r="F1245" i="13"/>
  <c r="A1245" i="13"/>
  <c r="J1244" i="13"/>
  <c r="F1244" i="13"/>
  <c r="A1244" i="13"/>
  <c r="F1243" i="13"/>
  <c r="A1243" i="13"/>
  <c r="F1242" i="13"/>
  <c r="A1242" i="13"/>
  <c r="J1241" i="13"/>
  <c r="F1241" i="13"/>
  <c r="A1241" i="13"/>
  <c r="J1240" i="13"/>
  <c r="F1240" i="13"/>
  <c r="A1240" i="13"/>
  <c r="J1239" i="13"/>
  <c r="F1239" i="13"/>
  <c r="A1239" i="13"/>
  <c r="J1238" i="13"/>
  <c r="F1238" i="13"/>
  <c r="A1238" i="13"/>
  <c r="J1237" i="13"/>
  <c r="F1237" i="13"/>
  <c r="A1237" i="13"/>
  <c r="F1236" i="13"/>
  <c r="A1236" i="13"/>
  <c r="J1235" i="13"/>
  <c r="F1235" i="13"/>
  <c r="A1235" i="13"/>
  <c r="J1234" i="13"/>
  <c r="F1234" i="13"/>
  <c r="A1234" i="13"/>
  <c r="F1233" i="13"/>
  <c r="A1233" i="13"/>
  <c r="J1232" i="13"/>
  <c r="F1232" i="13"/>
  <c r="A1232" i="13"/>
  <c r="J1231" i="13"/>
  <c r="F1231" i="13"/>
  <c r="A1231" i="13"/>
  <c r="J1230" i="13"/>
  <c r="F1230" i="13"/>
  <c r="A1230" i="13"/>
  <c r="J1229" i="13"/>
  <c r="F1229" i="13"/>
  <c r="A1229" i="13"/>
  <c r="F1228" i="13"/>
  <c r="A1228" i="13"/>
  <c r="J1227" i="13"/>
  <c r="F1227" i="13"/>
  <c r="A1227" i="13"/>
  <c r="J1226" i="13"/>
  <c r="F1226" i="13"/>
  <c r="A1226" i="13"/>
  <c r="J1225" i="13"/>
  <c r="F1225" i="13"/>
  <c r="A1225" i="13"/>
  <c r="F1224" i="13"/>
  <c r="A1224" i="13"/>
  <c r="J1223" i="13"/>
  <c r="F1223" i="13"/>
  <c r="A1223" i="13"/>
  <c r="J1222" i="13"/>
  <c r="F1222" i="13"/>
  <c r="A1222" i="13"/>
  <c r="F1221" i="13"/>
  <c r="A1221" i="13"/>
  <c r="J1220" i="13"/>
  <c r="F1220" i="13"/>
  <c r="A1220" i="13"/>
  <c r="J1219" i="13"/>
  <c r="F1219" i="13"/>
  <c r="A1219" i="13"/>
  <c r="J1218" i="13"/>
  <c r="F1218" i="13"/>
  <c r="A1218" i="13"/>
  <c r="J1217" i="13"/>
  <c r="F1217" i="13"/>
  <c r="A1217" i="13"/>
  <c r="J1216" i="13"/>
  <c r="F1216" i="13"/>
  <c r="A1216" i="13"/>
  <c r="J1215" i="13"/>
  <c r="F1215" i="13"/>
  <c r="A1215" i="13"/>
  <c r="F1214" i="13"/>
  <c r="A1214" i="13"/>
  <c r="F1213" i="13"/>
  <c r="A1213" i="13"/>
  <c r="J1212" i="13"/>
  <c r="F1212" i="13"/>
  <c r="A1212" i="13"/>
  <c r="J1211" i="13"/>
  <c r="F1211" i="13"/>
  <c r="A1211" i="13"/>
  <c r="J1210" i="13"/>
  <c r="F1210" i="13"/>
  <c r="A1210" i="13"/>
  <c r="F1209" i="13"/>
  <c r="A1209" i="13"/>
  <c r="J1208" i="13"/>
  <c r="F1208" i="13"/>
  <c r="A1208" i="13"/>
  <c r="J1207" i="13"/>
  <c r="F1207" i="13"/>
  <c r="A1207" i="13"/>
  <c r="J1206" i="13"/>
  <c r="F1206" i="13"/>
  <c r="A1206" i="13"/>
  <c r="J1205" i="13"/>
  <c r="F1205" i="13"/>
  <c r="A1205" i="13"/>
  <c r="J1204" i="13"/>
  <c r="F1204" i="13"/>
  <c r="A1204" i="13"/>
  <c r="F1203" i="13"/>
  <c r="A1203" i="13"/>
  <c r="J1202" i="13"/>
  <c r="F1202" i="13"/>
  <c r="A1202" i="13"/>
  <c r="J1201" i="13"/>
  <c r="F1201" i="13"/>
  <c r="A1201" i="13"/>
  <c r="F1200" i="13"/>
  <c r="A1200" i="13"/>
  <c r="J1199" i="13"/>
  <c r="F1199" i="13"/>
  <c r="A1199" i="13"/>
  <c r="J1198" i="13"/>
  <c r="F1198" i="13"/>
  <c r="A1198" i="13"/>
  <c r="F1197" i="13"/>
  <c r="A1197" i="13"/>
  <c r="F1196" i="13"/>
  <c r="A1196" i="13"/>
  <c r="J1195" i="13"/>
  <c r="F1195" i="13"/>
  <c r="A1195" i="13"/>
  <c r="J1194" i="13"/>
  <c r="F1194" i="13"/>
  <c r="A1194" i="13"/>
  <c r="F1193" i="13"/>
  <c r="A1193" i="13"/>
  <c r="F1192" i="13"/>
  <c r="A1192" i="13"/>
  <c r="J1191" i="13"/>
  <c r="F1191" i="13"/>
  <c r="A1191" i="13"/>
  <c r="J1190" i="13"/>
  <c r="F1190" i="13"/>
  <c r="A1190" i="13"/>
  <c r="J1189" i="13"/>
  <c r="F1189" i="13"/>
  <c r="A1189" i="13"/>
  <c r="F1188" i="13"/>
  <c r="A1188" i="13"/>
  <c r="F1187" i="13"/>
  <c r="A1187" i="13"/>
  <c r="F1186" i="13"/>
  <c r="A1186" i="13"/>
  <c r="F1185" i="13"/>
  <c r="A1185" i="13"/>
  <c r="J1184" i="13"/>
  <c r="F1184" i="13"/>
  <c r="A1184" i="13"/>
  <c r="F1183" i="13"/>
  <c r="A1183" i="13"/>
  <c r="F1182" i="13"/>
  <c r="A1182" i="13"/>
  <c r="F1181" i="13"/>
  <c r="A1181" i="13"/>
  <c r="F1180" i="13"/>
  <c r="A1180" i="13"/>
  <c r="F1179" i="13"/>
  <c r="A1179" i="13"/>
  <c r="F1178" i="13"/>
  <c r="A1178" i="13"/>
  <c r="F1177" i="13"/>
  <c r="A1177" i="13"/>
  <c r="F1176" i="13"/>
  <c r="A1176" i="13"/>
  <c r="F1175" i="13"/>
  <c r="A1175" i="13"/>
  <c r="F1174" i="13"/>
  <c r="A1174" i="13"/>
  <c r="F1173" i="13"/>
  <c r="A1173" i="13"/>
  <c r="F1172" i="13"/>
  <c r="A1172" i="13"/>
  <c r="F1171" i="13"/>
  <c r="A1171" i="13"/>
  <c r="F1170" i="13"/>
  <c r="F1169" i="13"/>
  <c r="A1169" i="13"/>
  <c r="F1168" i="13"/>
  <c r="A1168" i="13"/>
  <c r="J1167" i="13"/>
  <c r="F1167" i="13"/>
  <c r="A1167" i="13"/>
  <c r="F1166" i="13"/>
  <c r="A1166" i="13"/>
  <c r="F1165" i="13"/>
  <c r="A1165" i="13"/>
  <c r="F1164" i="13"/>
  <c r="A1164" i="13"/>
  <c r="J1163" i="13"/>
  <c r="F1163" i="13"/>
  <c r="A1163" i="13"/>
  <c r="J1162" i="13"/>
  <c r="F1162" i="13"/>
  <c r="A1162" i="13"/>
  <c r="J1161" i="13"/>
  <c r="F1161" i="13"/>
  <c r="A1161" i="13"/>
  <c r="F1160" i="13"/>
  <c r="A1160" i="13"/>
  <c r="J1159" i="13"/>
  <c r="F1159" i="13"/>
  <c r="A1159" i="13"/>
  <c r="J1158" i="13"/>
  <c r="F1158" i="13"/>
  <c r="A1158" i="13"/>
  <c r="J1157" i="13"/>
  <c r="F1157" i="13"/>
  <c r="A1157" i="13"/>
  <c r="J1156" i="13"/>
  <c r="F1156" i="13"/>
  <c r="A1156" i="13"/>
  <c r="J1155" i="13"/>
  <c r="F1155" i="13"/>
  <c r="A1155" i="13"/>
  <c r="F1154" i="13"/>
  <c r="A1154" i="13"/>
  <c r="F1153" i="13"/>
  <c r="A1153" i="13"/>
  <c r="J1152" i="13"/>
  <c r="F1152" i="13"/>
  <c r="A1152" i="13"/>
  <c r="J1151" i="13"/>
  <c r="F1151" i="13"/>
  <c r="A1151" i="13"/>
  <c r="F1150" i="13"/>
  <c r="A1150" i="13"/>
  <c r="J1149" i="13"/>
  <c r="F1149" i="13"/>
  <c r="A1149" i="13"/>
  <c r="J1148" i="13"/>
  <c r="F1148" i="13"/>
  <c r="A1148" i="13"/>
  <c r="J1147" i="13"/>
  <c r="F1147" i="13"/>
  <c r="A1147" i="13"/>
  <c r="J1146" i="13"/>
  <c r="F1146" i="13"/>
  <c r="A1146" i="13"/>
  <c r="F1145" i="13"/>
  <c r="A1145" i="13"/>
  <c r="J1144" i="13"/>
  <c r="F1144" i="13"/>
  <c r="A1144" i="13"/>
  <c r="F1143" i="13"/>
  <c r="A1143" i="13"/>
  <c r="F1142" i="13"/>
  <c r="A1142" i="13"/>
  <c r="J1141" i="13"/>
  <c r="F1141" i="13"/>
  <c r="A1141" i="13"/>
  <c r="F1140" i="13"/>
  <c r="A1140" i="13"/>
  <c r="J1139" i="13"/>
  <c r="F1139" i="13"/>
  <c r="A1139" i="13"/>
  <c r="J1138" i="13"/>
  <c r="F1138" i="13"/>
  <c r="A1138" i="13"/>
  <c r="J1137" i="13"/>
  <c r="F1137" i="13"/>
  <c r="A1137" i="13"/>
  <c r="J1136" i="13"/>
  <c r="F1136" i="13"/>
  <c r="A1136" i="13"/>
  <c r="F1135" i="13"/>
  <c r="A1135" i="13"/>
  <c r="J1134" i="13"/>
  <c r="F1134" i="13"/>
  <c r="A1134" i="13"/>
  <c r="J1133" i="13"/>
  <c r="F1133" i="13"/>
  <c r="A1133" i="13"/>
  <c r="J1132" i="13"/>
  <c r="F1132" i="13"/>
  <c r="A1132" i="13"/>
  <c r="J1131" i="13"/>
  <c r="F1131" i="13"/>
  <c r="A1131" i="13"/>
  <c r="J1130" i="13"/>
  <c r="F1130" i="13"/>
  <c r="A1130" i="13"/>
  <c r="J1129" i="13"/>
  <c r="F1129" i="13"/>
  <c r="A1129" i="13"/>
  <c r="J1128" i="13"/>
  <c r="F1128" i="13"/>
  <c r="A1128" i="13"/>
  <c r="F1127" i="13"/>
  <c r="A1127" i="13"/>
  <c r="F1126" i="13"/>
  <c r="A1126" i="13"/>
  <c r="F1125" i="13"/>
  <c r="A1125" i="13"/>
  <c r="J1124" i="13"/>
  <c r="F1124" i="13"/>
  <c r="A1124" i="13"/>
  <c r="J1123" i="13"/>
  <c r="F1123" i="13"/>
  <c r="A1123" i="13"/>
  <c r="F1122" i="13"/>
  <c r="A1122" i="13"/>
  <c r="F1121" i="13"/>
  <c r="A1121" i="13"/>
  <c r="F1120" i="13"/>
  <c r="A1120" i="13"/>
  <c r="F1119" i="13"/>
  <c r="A1119" i="13"/>
  <c r="F1118" i="13"/>
  <c r="A1118" i="13"/>
  <c r="F1117" i="13"/>
  <c r="A1117" i="13"/>
  <c r="F1116" i="13"/>
  <c r="A1116" i="13"/>
  <c r="F1115" i="13"/>
  <c r="A1115" i="13"/>
  <c r="F1114" i="13"/>
  <c r="A1114" i="13"/>
  <c r="F1113" i="13"/>
  <c r="A1113" i="13"/>
  <c r="F1112" i="13"/>
  <c r="A1112" i="13"/>
  <c r="F1111" i="13"/>
  <c r="A1111" i="13"/>
  <c r="F1110" i="13"/>
  <c r="A1110" i="13"/>
  <c r="F1109" i="13"/>
  <c r="F1108" i="13"/>
  <c r="A1108" i="13"/>
  <c r="F1107" i="13"/>
  <c r="A1107" i="13"/>
  <c r="F1106" i="13"/>
  <c r="A1106" i="13"/>
  <c r="F1105" i="13"/>
  <c r="A1105" i="13"/>
  <c r="F1104" i="13"/>
  <c r="F1103" i="13"/>
  <c r="A1103" i="13"/>
  <c r="F1102" i="13"/>
  <c r="A1102" i="13"/>
  <c r="J1101" i="13"/>
  <c r="F1101" i="13"/>
  <c r="A1101" i="13"/>
  <c r="J1100" i="13"/>
  <c r="F1100" i="13"/>
  <c r="A1100" i="13"/>
  <c r="F1099" i="13"/>
  <c r="A1099" i="13"/>
  <c r="F1098" i="13"/>
  <c r="A1098" i="13"/>
  <c r="F1097" i="13"/>
  <c r="A1097" i="13"/>
  <c r="F1096" i="13"/>
  <c r="A1096" i="13"/>
  <c r="F1095" i="13"/>
  <c r="A1095" i="13"/>
  <c r="F1094" i="13"/>
  <c r="A1094" i="13"/>
  <c r="J1093" i="13"/>
  <c r="F1093" i="13"/>
  <c r="A1093" i="13"/>
  <c r="F1092" i="13"/>
  <c r="A1092" i="13"/>
  <c r="F1091" i="13"/>
  <c r="A1091" i="13"/>
  <c r="F1090" i="13"/>
  <c r="A1090" i="13"/>
  <c r="F1089" i="13"/>
  <c r="A1089" i="13"/>
  <c r="F1088" i="13"/>
  <c r="A1088" i="13"/>
  <c r="F1087" i="13"/>
  <c r="A1087" i="13"/>
  <c r="F1086" i="13"/>
  <c r="A1086" i="13"/>
  <c r="F1085" i="13"/>
  <c r="A1085" i="13"/>
  <c r="F1084" i="13"/>
  <c r="A1084" i="13"/>
  <c r="F1083" i="13"/>
  <c r="A1083" i="13"/>
  <c r="F1082" i="13"/>
  <c r="A1082" i="13"/>
  <c r="F1081" i="13"/>
  <c r="A1081" i="13"/>
  <c r="F1080" i="13"/>
  <c r="A1080" i="13"/>
  <c r="F1079" i="13"/>
  <c r="A1079" i="13"/>
  <c r="F1078" i="13"/>
  <c r="A1078" i="13"/>
  <c r="J1077" i="13"/>
  <c r="F1077" i="13"/>
  <c r="A1077" i="13"/>
  <c r="F1076" i="13"/>
  <c r="A1076" i="13"/>
  <c r="F1075" i="13"/>
  <c r="A1075" i="13"/>
  <c r="J1074" i="13"/>
  <c r="F1074" i="13"/>
  <c r="A1074" i="13"/>
  <c r="F1073" i="13"/>
  <c r="A1073" i="13"/>
  <c r="F1072" i="13"/>
  <c r="A1072" i="13"/>
  <c r="F1071" i="13"/>
  <c r="A1071" i="13"/>
  <c r="F1070" i="13"/>
  <c r="A1070" i="13"/>
  <c r="F1069" i="13"/>
  <c r="A1069" i="13"/>
  <c r="F1068" i="13"/>
  <c r="A1068" i="13"/>
  <c r="F1067" i="13"/>
  <c r="A1067" i="13"/>
  <c r="J1066" i="13"/>
  <c r="F1066" i="13"/>
  <c r="A1066" i="13"/>
  <c r="J1065" i="13"/>
  <c r="F1065" i="13"/>
  <c r="A1065" i="13"/>
  <c r="F1064" i="13"/>
  <c r="A1064" i="13"/>
  <c r="J1063" i="13"/>
  <c r="F1063" i="13"/>
  <c r="A1063" i="13"/>
  <c r="J1062" i="13"/>
  <c r="F1062" i="13"/>
  <c r="A1062" i="13"/>
  <c r="J1061" i="13"/>
  <c r="F1061" i="13"/>
  <c r="A1061" i="13"/>
  <c r="J1060" i="13"/>
  <c r="F1060" i="13"/>
  <c r="A1060" i="13"/>
  <c r="F1059" i="13"/>
  <c r="A1059" i="13"/>
  <c r="J1058" i="13"/>
  <c r="F1058" i="13"/>
  <c r="A1058" i="13"/>
  <c r="F1057" i="13"/>
  <c r="A1057" i="13"/>
  <c r="F1056" i="13"/>
  <c r="A1056" i="13"/>
  <c r="J1055" i="13"/>
  <c r="F1055" i="13"/>
  <c r="A1055" i="13"/>
  <c r="J1054" i="13"/>
  <c r="F1054" i="13"/>
  <c r="A1054" i="13"/>
  <c r="J1053" i="13"/>
  <c r="F1053" i="13"/>
  <c r="A1053" i="13"/>
  <c r="F1052" i="13"/>
  <c r="A1052" i="13"/>
  <c r="F1051" i="13"/>
  <c r="A1051" i="13"/>
  <c r="F1050" i="13"/>
  <c r="A1050" i="13"/>
  <c r="J1049" i="13"/>
  <c r="F1049" i="13"/>
  <c r="A1049" i="13"/>
  <c r="J1048" i="13"/>
  <c r="F1048" i="13"/>
  <c r="A1048" i="13"/>
  <c r="F1047" i="13"/>
  <c r="A1047" i="13"/>
  <c r="J1046" i="13"/>
  <c r="F1046" i="13"/>
  <c r="A1046" i="13"/>
  <c r="J1045" i="13"/>
  <c r="F1045" i="13"/>
  <c r="A1045" i="13"/>
  <c r="J1044" i="13"/>
  <c r="F1044" i="13"/>
  <c r="A1044" i="13"/>
  <c r="J1043" i="13"/>
  <c r="F1043" i="13"/>
  <c r="A1043" i="13"/>
  <c r="J1042" i="13"/>
  <c r="F1042" i="13"/>
  <c r="A1042" i="13"/>
  <c r="J1041" i="13"/>
  <c r="F1041" i="13"/>
  <c r="A1041" i="13"/>
  <c r="F1040" i="13"/>
  <c r="A1040" i="13"/>
  <c r="F1039" i="13"/>
  <c r="A1039" i="13"/>
  <c r="J1038" i="13"/>
  <c r="F1038" i="13"/>
  <c r="A1038" i="13"/>
  <c r="J1037" i="13"/>
  <c r="F1037" i="13"/>
  <c r="A1037" i="13"/>
  <c r="F1036" i="13"/>
  <c r="A1036" i="13"/>
  <c r="J1035" i="13"/>
  <c r="F1035" i="13"/>
  <c r="A1035" i="13"/>
  <c r="J1034" i="13"/>
  <c r="F1034" i="13"/>
  <c r="A1034" i="13"/>
  <c r="F1033" i="13"/>
  <c r="A1033" i="13"/>
  <c r="J1032" i="13"/>
  <c r="F1032" i="13"/>
  <c r="A1032" i="13"/>
  <c r="J1031" i="13"/>
  <c r="F1031" i="13"/>
  <c r="A1031" i="13"/>
  <c r="F1030" i="13"/>
  <c r="A1030" i="13"/>
  <c r="F1029" i="13"/>
  <c r="A1029" i="13"/>
  <c r="J1028" i="13"/>
  <c r="F1028" i="13"/>
  <c r="A1028" i="13"/>
  <c r="J1027" i="13"/>
  <c r="F1027" i="13"/>
  <c r="A1027" i="13"/>
  <c r="F1026" i="13"/>
  <c r="A1026" i="13"/>
  <c r="J1025" i="13"/>
  <c r="F1025" i="13"/>
  <c r="A1025" i="13"/>
  <c r="J1024" i="13"/>
  <c r="F1024" i="13"/>
  <c r="A1024" i="13"/>
  <c r="F1023" i="13"/>
  <c r="A1023" i="13"/>
  <c r="J1022" i="13"/>
  <c r="F1022" i="13"/>
  <c r="A1022" i="13"/>
  <c r="J1021" i="13"/>
  <c r="F1021" i="13"/>
  <c r="A1021" i="13"/>
  <c r="J1020" i="13"/>
  <c r="F1020" i="13"/>
  <c r="A1020" i="13"/>
  <c r="J1019" i="13"/>
  <c r="F1019" i="13"/>
  <c r="A1019" i="13"/>
  <c r="J1018" i="13"/>
  <c r="F1018" i="13"/>
  <c r="A1018" i="13"/>
  <c r="J1017" i="13"/>
  <c r="F1017" i="13"/>
  <c r="A1017" i="13"/>
  <c r="J1016" i="13"/>
  <c r="F1016" i="13"/>
  <c r="A1016" i="13"/>
  <c r="J1015" i="13"/>
  <c r="F1015" i="13"/>
  <c r="A1015" i="13"/>
  <c r="J1014" i="13"/>
  <c r="F1014" i="13"/>
  <c r="A1014" i="13"/>
  <c r="J1013" i="13"/>
  <c r="F1013" i="13"/>
  <c r="A1013" i="13"/>
  <c r="F1012" i="13"/>
  <c r="A1012" i="13"/>
  <c r="J1011" i="13"/>
  <c r="F1011" i="13"/>
  <c r="A1011" i="13"/>
  <c r="J1010" i="13"/>
  <c r="F1010" i="13"/>
  <c r="A1010" i="13"/>
  <c r="F1009" i="13"/>
  <c r="A1009" i="13"/>
  <c r="F1008" i="13"/>
  <c r="A1008" i="13"/>
  <c r="F1007" i="13"/>
  <c r="A1007" i="13"/>
  <c r="F1006" i="13"/>
  <c r="A1006" i="13"/>
  <c r="F1005" i="13"/>
  <c r="A1005" i="13"/>
  <c r="J1004" i="13"/>
  <c r="F1004" i="13"/>
  <c r="A1004" i="13"/>
  <c r="J1003" i="13"/>
  <c r="F1003" i="13"/>
  <c r="A1003" i="13"/>
  <c r="J1002" i="13"/>
  <c r="F1002" i="13"/>
  <c r="A1002" i="13"/>
  <c r="J1001" i="13"/>
  <c r="F1001" i="13"/>
  <c r="A1001" i="13"/>
  <c r="F1000" i="13"/>
  <c r="A1000" i="13"/>
  <c r="J999" i="13"/>
  <c r="F999" i="13"/>
  <c r="A999" i="13"/>
  <c r="J998" i="13"/>
  <c r="F998" i="13"/>
  <c r="A998" i="13"/>
  <c r="J997" i="13"/>
  <c r="F997" i="13"/>
  <c r="A997" i="13"/>
  <c r="J996" i="13"/>
  <c r="F996" i="13"/>
  <c r="A996" i="13"/>
  <c r="J995" i="13"/>
  <c r="F995" i="13"/>
  <c r="A995" i="13"/>
  <c r="J994" i="13"/>
  <c r="F994" i="13"/>
  <c r="A994" i="13"/>
  <c r="J993" i="13"/>
  <c r="F993" i="13"/>
  <c r="A993" i="13"/>
  <c r="J992" i="13"/>
  <c r="F992" i="13"/>
  <c r="A992" i="13"/>
  <c r="J991" i="13"/>
  <c r="F991" i="13"/>
  <c r="A991" i="13"/>
  <c r="J990" i="13"/>
  <c r="F990" i="13"/>
  <c r="A990" i="13"/>
  <c r="J989" i="13"/>
  <c r="F989" i="13"/>
  <c r="A989" i="13"/>
  <c r="J988" i="13"/>
  <c r="F988" i="13"/>
  <c r="A988" i="13"/>
  <c r="J987" i="13"/>
  <c r="F987" i="13"/>
  <c r="A987" i="13"/>
  <c r="J986" i="13"/>
  <c r="F986" i="13"/>
  <c r="A986" i="13"/>
  <c r="J985" i="13"/>
  <c r="F985" i="13"/>
  <c r="A985" i="13"/>
  <c r="J984" i="13"/>
  <c r="F984" i="13"/>
  <c r="A984" i="13"/>
  <c r="J983" i="13"/>
  <c r="F983" i="13"/>
  <c r="A983" i="13"/>
  <c r="J982" i="13"/>
  <c r="F982" i="13"/>
  <c r="J981" i="13"/>
  <c r="F981" i="13"/>
  <c r="A981" i="13"/>
  <c r="J980" i="13"/>
  <c r="F980" i="13"/>
  <c r="A980" i="13"/>
  <c r="J979" i="13"/>
  <c r="F979" i="13"/>
  <c r="A979" i="13"/>
  <c r="J978" i="13"/>
  <c r="F978" i="13"/>
  <c r="A978" i="13"/>
  <c r="F977" i="13"/>
  <c r="A977" i="13"/>
  <c r="F976" i="13"/>
  <c r="A976" i="13"/>
  <c r="J975" i="13"/>
  <c r="F975" i="13"/>
  <c r="A975" i="13"/>
  <c r="J974" i="13"/>
  <c r="F974" i="13"/>
  <c r="A974" i="13"/>
  <c r="F973" i="13"/>
  <c r="A973" i="13"/>
  <c r="J972" i="13"/>
  <c r="F972" i="13"/>
  <c r="A972" i="13"/>
  <c r="F971" i="13"/>
  <c r="A971" i="13"/>
  <c r="F970" i="13"/>
  <c r="A970" i="13"/>
  <c r="F969" i="13"/>
  <c r="A969" i="13"/>
  <c r="F968" i="13"/>
  <c r="A968" i="13"/>
  <c r="F967" i="13"/>
  <c r="A967" i="13"/>
  <c r="F966" i="13"/>
  <c r="A966" i="13"/>
  <c r="F965" i="13"/>
  <c r="A965" i="13"/>
  <c r="F964" i="13"/>
  <c r="A964" i="13"/>
  <c r="F963" i="13"/>
  <c r="A963" i="13"/>
  <c r="J962" i="13"/>
  <c r="F962" i="13"/>
  <c r="A962" i="13"/>
  <c r="F961" i="13"/>
  <c r="A961" i="13"/>
  <c r="F960" i="13"/>
  <c r="A960" i="13"/>
  <c r="F959" i="13"/>
  <c r="A959" i="13"/>
  <c r="F958" i="13"/>
  <c r="A958" i="13"/>
  <c r="J957" i="13"/>
  <c r="F957" i="13"/>
  <c r="A957" i="13"/>
  <c r="F956" i="13"/>
  <c r="A956" i="13"/>
  <c r="F955" i="13"/>
  <c r="A955" i="13"/>
  <c r="J954" i="13"/>
  <c r="F954" i="13"/>
  <c r="A954" i="13"/>
  <c r="F953" i="13"/>
  <c r="A953" i="13"/>
  <c r="F952" i="13"/>
  <c r="A952" i="13"/>
  <c r="F951" i="13"/>
  <c r="A951" i="13"/>
  <c r="F950" i="13"/>
  <c r="A950" i="13"/>
  <c r="J949" i="13"/>
  <c r="F949" i="13"/>
  <c r="A949" i="13"/>
  <c r="J948" i="13"/>
  <c r="F948" i="13"/>
  <c r="A948" i="13"/>
  <c r="F947" i="13"/>
  <c r="A947" i="13"/>
  <c r="F946" i="13"/>
  <c r="A946" i="13"/>
  <c r="J945" i="13"/>
  <c r="F945" i="13"/>
  <c r="A945" i="13"/>
  <c r="J944" i="13"/>
  <c r="F944" i="13"/>
  <c r="A944" i="13"/>
  <c r="F943" i="13"/>
  <c r="A943" i="13"/>
  <c r="J942" i="13"/>
  <c r="F942" i="13"/>
  <c r="A942" i="13"/>
  <c r="J941" i="13"/>
  <c r="F941" i="13"/>
  <c r="A941" i="13"/>
  <c r="F940" i="13"/>
  <c r="A940" i="13"/>
  <c r="F939" i="13"/>
  <c r="A939" i="13"/>
  <c r="J938" i="13"/>
  <c r="F938" i="13"/>
  <c r="A938" i="13"/>
  <c r="J937" i="13"/>
  <c r="F937" i="13"/>
  <c r="A937" i="13"/>
  <c r="J936" i="13"/>
  <c r="F936" i="13"/>
  <c r="A936" i="13"/>
  <c r="F935" i="13"/>
  <c r="A935" i="13"/>
  <c r="J934" i="13"/>
  <c r="F934" i="13"/>
  <c r="A934" i="13"/>
  <c r="J933" i="13"/>
  <c r="F933" i="13"/>
  <c r="A933" i="13"/>
  <c r="F932" i="13"/>
  <c r="A932" i="13"/>
  <c r="F931" i="13"/>
  <c r="A931" i="13"/>
  <c r="J930" i="13"/>
  <c r="F930" i="13"/>
  <c r="A930" i="13"/>
  <c r="J929" i="13"/>
  <c r="F929" i="13"/>
  <c r="A929" i="13"/>
  <c r="J928" i="13"/>
  <c r="F928" i="13"/>
  <c r="A928" i="13"/>
  <c r="F927" i="13"/>
  <c r="A927" i="13"/>
  <c r="F926" i="13"/>
  <c r="A926" i="13"/>
  <c r="J925" i="13"/>
  <c r="F925" i="13"/>
  <c r="A925" i="13"/>
  <c r="F924" i="13"/>
  <c r="A924" i="13"/>
  <c r="J923" i="13"/>
  <c r="F923" i="13"/>
  <c r="A923" i="13"/>
  <c r="J922" i="13"/>
  <c r="F922" i="13"/>
  <c r="A922" i="13"/>
  <c r="J921" i="13"/>
  <c r="F921" i="13"/>
  <c r="A921" i="13"/>
  <c r="F920" i="13"/>
  <c r="A920" i="13"/>
  <c r="F919" i="13"/>
  <c r="A919" i="13"/>
  <c r="F918" i="13"/>
  <c r="A918" i="13"/>
  <c r="F917" i="13"/>
  <c r="A917" i="13"/>
  <c r="F916" i="13"/>
  <c r="A916" i="13"/>
  <c r="F915" i="13"/>
  <c r="A915" i="13"/>
  <c r="F914" i="13"/>
  <c r="A914" i="13"/>
  <c r="F913" i="13"/>
  <c r="A913" i="13"/>
  <c r="F912" i="13"/>
  <c r="A912" i="13"/>
  <c r="J911" i="13"/>
  <c r="F911" i="13"/>
  <c r="A911" i="13"/>
  <c r="J910" i="13"/>
  <c r="F910" i="13"/>
  <c r="A910" i="13"/>
  <c r="F909" i="13"/>
  <c r="A909" i="13"/>
  <c r="J908" i="13"/>
  <c r="F908" i="13"/>
  <c r="A908" i="13"/>
  <c r="J907" i="13"/>
  <c r="F907" i="13"/>
  <c r="A907" i="13"/>
  <c r="F906" i="13"/>
  <c r="A906" i="13"/>
  <c r="F905" i="13"/>
  <c r="A905" i="13"/>
  <c r="J904" i="13"/>
  <c r="F904" i="13"/>
  <c r="A904" i="13"/>
  <c r="J903" i="13"/>
  <c r="F903" i="13"/>
  <c r="A903" i="13"/>
  <c r="F902" i="13"/>
  <c r="A902" i="13"/>
  <c r="J901" i="13"/>
  <c r="F901" i="13"/>
  <c r="A901" i="13"/>
  <c r="F900" i="13"/>
  <c r="A900" i="13"/>
  <c r="J899" i="13"/>
  <c r="F899" i="13"/>
  <c r="A899" i="13"/>
  <c r="J898" i="13"/>
  <c r="F898" i="13"/>
  <c r="A898" i="13"/>
  <c r="J897" i="13"/>
  <c r="F897" i="13"/>
  <c r="A897" i="13"/>
  <c r="J896" i="13"/>
  <c r="F896" i="13"/>
  <c r="A896" i="13"/>
  <c r="F895" i="13"/>
  <c r="A895" i="13"/>
  <c r="J894" i="13"/>
  <c r="F894" i="13"/>
  <c r="A894" i="13"/>
  <c r="F893" i="13"/>
  <c r="A893" i="13"/>
  <c r="J892" i="13"/>
  <c r="F892" i="13"/>
  <c r="A892" i="13"/>
  <c r="F891" i="13"/>
  <c r="A891" i="13"/>
  <c r="J890" i="13"/>
  <c r="F890" i="13"/>
  <c r="A890" i="13"/>
  <c r="F889" i="13"/>
  <c r="A889" i="13"/>
  <c r="J888" i="13"/>
  <c r="F888" i="13"/>
  <c r="A888" i="13"/>
  <c r="J887" i="13"/>
  <c r="F887" i="13"/>
  <c r="A887" i="13"/>
  <c r="F886" i="13"/>
  <c r="A886" i="13"/>
  <c r="J885" i="13"/>
  <c r="F885" i="13"/>
  <c r="A885" i="13"/>
  <c r="J884" i="13"/>
  <c r="F884" i="13"/>
  <c r="A884" i="13"/>
  <c r="F883" i="13"/>
  <c r="A883" i="13"/>
  <c r="F882" i="13"/>
  <c r="A882" i="13"/>
  <c r="F881" i="13"/>
  <c r="A881" i="13"/>
  <c r="F880" i="13"/>
  <c r="A880" i="13"/>
  <c r="F879" i="13"/>
  <c r="A879" i="13"/>
  <c r="F878" i="13"/>
  <c r="A878" i="13"/>
  <c r="F877" i="13"/>
  <c r="A877" i="13"/>
  <c r="F876" i="13"/>
  <c r="A876" i="13"/>
  <c r="F875" i="13"/>
  <c r="A875" i="13"/>
  <c r="J874" i="13"/>
  <c r="F874" i="13"/>
  <c r="A874" i="13"/>
  <c r="F873" i="13"/>
  <c r="A873" i="13"/>
  <c r="F872" i="13"/>
  <c r="A872" i="13"/>
  <c r="J871" i="13"/>
  <c r="F871" i="13"/>
  <c r="A871" i="13"/>
  <c r="J870" i="13"/>
  <c r="F870" i="13"/>
  <c r="A870" i="13"/>
  <c r="J869" i="13"/>
  <c r="F869" i="13"/>
  <c r="A869" i="13"/>
  <c r="F868" i="13"/>
  <c r="A868" i="13"/>
  <c r="J867" i="13"/>
  <c r="F867" i="13"/>
  <c r="A867" i="13"/>
  <c r="J866" i="13"/>
  <c r="F866" i="13"/>
  <c r="A866" i="13"/>
  <c r="F865" i="13"/>
  <c r="A865" i="13"/>
  <c r="J864" i="13"/>
  <c r="F864" i="13"/>
  <c r="A864" i="13"/>
  <c r="F863" i="13"/>
  <c r="A863" i="13"/>
  <c r="F862" i="13"/>
  <c r="A862" i="13"/>
  <c r="F861" i="13"/>
  <c r="A861" i="13"/>
  <c r="J860" i="13"/>
  <c r="F860" i="13"/>
  <c r="J859" i="13"/>
  <c r="F859" i="13"/>
  <c r="J858" i="13"/>
  <c r="F858" i="13"/>
  <c r="F857" i="13"/>
  <c r="A857" i="13"/>
  <c r="F856" i="13"/>
  <c r="A856" i="13"/>
  <c r="F855" i="13"/>
  <c r="A855" i="13"/>
  <c r="F854" i="13"/>
  <c r="A854" i="13"/>
  <c r="F853" i="13"/>
  <c r="A853" i="13"/>
  <c r="F852" i="13"/>
  <c r="A852" i="13"/>
  <c r="F851" i="13"/>
  <c r="A851" i="13"/>
  <c r="F850" i="13"/>
  <c r="A850" i="13"/>
  <c r="F849" i="13"/>
  <c r="J848" i="13"/>
  <c r="F848" i="13"/>
  <c r="A848" i="13"/>
  <c r="F847" i="13"/>
  <c r="A847" i="13"/>
  <c r="F846" i="13"/>
  <c r="A846" i="13"/>
  <c r="F845" i="13"/>
  <c r="A845" i="13"/>
  <c r="F844" i="13"/>
  <c r="A844" i="13"/>
  <c r="F843" i="13"/>
  <c r="A843" i="13"/>
  <c r="F842" i="13"/>
  <c r="A842" i="13"/>
  <c r="F841" i="13"/>
  <c r="A841" i="13"/>
  <c r="J840" i="13"/>
  <c r="F840" i="13"/>
  <c r="A840" i="13"/>
  <c r="F839" i="13"/>
  <c r="A839" i="13"/>
  <c r="J838" i="13"/>
  <c r="F838" i="13"/>
  <c r="A838" i="13"/>
  <c r="J837" i="13"/>
  <c r="F837" i="13"/>
  <c r="J836" i="13"/>
  <c r="F836" i="13"/>
  <c r="J835" i="13"/>
  <c r="F835" i="13"/>
  <c r="F834" i="13"/>
  <c r="A834" i="13"/>
  <c r="F833" i="13"/>
  <c r="A833" i="13"/>
  <c r="F832" i="13"/>
  <c r="A832" i="13"/>
  <c r="F831" i="13"/>
  <c r="A831" i="13"/>
  <c r="F830" i="13"/>
  <c r="F829" i="13"/>
  <c r="A829" i="13"/>
  <c r="J828" i="13"/>
  <c r="F828" i="13"/>
  <c r="J827" i="13"/>
  <c r="F827" i="13"/>
  <c r="J826" i="13"/>
  <c r="F826" i="13"/>
  <c r="F825" i="13"/>
  <c r="A825" i="13"/>
  <c r="F824" i="13"/>
  <c r="A824" i="13"/>
  <c r="F823" i="13"/>
  <c r="A823" i="13"/>
  <c r="F822" i="13"/>
  <c r="A822" i="13"/>
  <c r="F821" i="13"/>
  <c r="F820" i="13"/>
  <c r="A820" i="13"/>
  <c r="J819" i="13"/>
  <c r="F819" i="13"/>
  <c r="A819" i="13"/>
  <c r="J818" i="13"/>
  <c r="F818" i="13"/>
  <c r="A818" i="13"/>
  <c r="J817" i="13"/>
  <c r="F817" i="13"/>
  <c r="A817" i="13"/>
  <c r="F816" i="13"/>
  <c r="A816" i="13"/>
  <c r="J815" i="13"/>
  <c r="F815" i="13"/>
  <c r="A815" i="13"/>
  <c r="J814" i="13"/>
  <c r="F814" i="13"/>
  <c r="A814" i="13"/>
  <c r="F813" i="13"/>
  <c r="A813" i="13"/>
  <c r="J812" i="13"/>
  <c r="F812" i="13"/>
  <c r="A812" i="13"/>
  <c r="J811" i="13"/>
  <c r="F811" i="13"/>
  <c r="A811" i="13"/>
  <c r="J810" i="13"/>
  <c r="F810" i="13"/>
  <c r="A810" i="13"/>
  <c r="J809" i="13"/>
  <c r="F809" i="13"/>
  <c r="A809" i="13"/>
  <c r="J808" i="13"/>
  <c r="F808" i="13"/>
  <c r="A808" i="13"/>
  <c r="J807" i="13"/>
  <c r="F807" i="13"/>
  <c r="A807" i="13"/>
  <c r="J806" i="13"/>
  <c r="F806" i="13"/>
  <c r="A806" i="13"/>
  <c r="J805" i="13"/>
  <c r="F805" i="13"/>
  <c r="A805" i="13"/>
  <c r="F804" i="13"/>
  <c r="A804" i="13"/>
  <c r="F803" i="13"/>
  <c r="A803" i="13"/>
  <c r="F802" i="13"/>
  <c r="A802" i="13"/>
  <c r="J801" i="13"/>
  <c r="F801" i="13"/>
  <c r="A801" i="13"/>
  <c r="F800" i="13"/>
  <c r="A800" i="13"/>
  <c r="F799" i="13"/>
  <c r="A799" i="13"/>
  <c r="J798" i="13"/>
  <c r="F798" i="13"/>
  <c r="A798" i="13"/>
  <c r="J797" i="13"/>
  <c r="F797" i="13"/>
  <c r="A797" i="13"/>
  <c r="J796" i="13"/>
  <c r="F796" i="13"/>
  <c r="A796" i="13"/>
  <c r="F795" i="13"/>
  <c r="A795" i="13"/>
  <c r="F794" i="13"/>
  <c r="A794" i="13"/>
  <c r="J793" i="13"/>
  <c r="F793" i="13"/>
  <c r="A793" i="13"/>
  <c r="J792" i="13"/>
  <c r="F792" i="13"/>
  <c r="A792" i="13"/>
  <c r="J791" i="13"/>
  <c r="F791" i="13"/>
  <c r="A791" i="13"/>
  <c r="J790" i="13"/>
  <c r="F790" i="13"/>
  <c r="A790" i="13"/>
  <c r="F789" i="13"/>
  <c r="A789" i="13"/>
  <c r="F788" i="13"/>
  <c r="A788" i="13"/>
  <c r="F787" i="13"/>
  <c r="A787" i="13"/>
  <c r="F786" i="13"/>
  <c r="A786" i="13"/>
  <c r="F785" i="13"/>
  <c r="A785" i="13"/>
  <c r="F784" i="13"/>
  <c r="A784" i="13"/>
  <c r="F783" i="13"/>
  <c r="A783" i="13"/>
  <c r="F782" i="13"/>
  <c r="A782" i="13"/>
  <c r="F781" i="13"/>
  <c r="A781" i="13"/>
  <c r="F780" i="13"/>
  <c r="A780" i="13"/>
  <c r="F779" i="13"/>
  <c r="A779" i="13"/>
  <c r="F778" i="13"/>
  <c r="A778" i="13"/>
  <c r="F777" i="13"/>
  <c r="A777" i="13"/>
  <c r="F776" i="13"/>
  <c r="A776" i="13"/>
  <c r="F775" i="13"/>
  <c r="A775" i="13"/>
  <c r="F774" i="13"/>
  <c r="A774" i="13"/>
  <c r="F773" i="13"/>
  <c r="A773" i="13"/>
  <c r="J772" i="13"/>
  <c r="F772" i="13"/>
  <c r="A772" i="13"/>
  <c r="F771" i="13"/>
  <c r="A771" i="13"/>
  <c r="F770" i="13"/>
  <c r="A770" i="13"/>
  <c r="F769" i="13"/>
  <c r="A769" i="13"/>
  <c r="F768" i="13"/>
  <c r="A768" i="13"/>
  <c r="F767" i="13"/>
  <c r="A767" i="13"/>
  <c r="J766" i="13"/>
  <c r="F766" i="13"/>
  <c r="A766" i="13"/>
  <c r="F765" i="13"/>
  <c r="A765" i="13"/>
  <c r="F764" i="13"/>
  <c r="A764" i="13"/>
  <c r="F763" i="13"/>
  <c r="A763" i="13"/>
  <c r="F762" i="13"/>
  <c r="A762" i="13"/>
  <c r="F761" i="13"/>
  <c r="A761" i="13"/>
  <c r="J760" i="13"/>
  <c r="F760" i="13"/>
  <c r="A760" i="13"/>
  <c r="J759" i="13"/>
  <c r="F759" i="13"/>
  <c r="A759" i="13"/>
  <c r="F758" i="13"/>
  <c r="A758" i="13"/>
  <c r="F757" i="13"/>
  <c r="A757" i="13"/>
  <c r="J756" i="13"/>
  <c r="F756" i="13"/>
  <c r="A756" i="13"/>
  <c r="F755" i="13"/>
  <c r="A755" i="13"/>
  <c r="F754" i="13"/>
  <c r="A754" i="13"/>
  <c r="F753" i="13"/>
  <c r="A753" i="13"/>
  <c r="J752" i="13"/>
  <c r="F752" i="13"/>
  <c r="J751" i="13"/>
  <c r="F751" i="13"/>
  <c r="J750" i="13"/>
  <c r="F750" i="13"/>
  <c r="F749" i="13"/>
  <c r="A749" i="13"/>
  <c r="F748" i="13"/>
  <c r="A748" i="13"/>
  <c r="F747" i="13"/>
  <c r="A747" i="13"/>
  <c r="F746" i="13"/>
  <c r="A746" i="13"/>
  <c r="F745" i="13"/>
  <c r="F744" i="13"/>
  <c r="A744" i="13"/>
  <c r="J743" i="13"/>
  <c r="F743" i="13"/>
  <c r="A743" i="13"/>
  <c r="J742" i="13"/>
  <c r="F742" i="13"/>
  <c r="A742" i="13"/>
  <c r="J741" i="13"/>
  <c r="F741" i="13"/>
  <c r="A741" i="13"/>
  <c r="F740" i="13"/>
  <c r="A740" i="13"/>
  <c r="F739" i="13"/>
  <c r="A739" i="13"/>
  <c r="F738" i="13"/>
  <c r="A738" i="13"/>
  <c r="F737" i="13"/>
  <c r="A737" i="13"/>
  <c r="F736" i="13"/>
  <c r="A736" i="13"/>
  <c r="J735" i="13"/>
  <c r="F735" i="13"/>
  <c r="A735" i="13"/>
  <c r="J734" i="13"/>
  <c r="F734" i="13"/>
  <c r="A734" i="13"/>
  <c r="J733" i="13"/>
  <c r="F733" i="13"/>
  <c r="A733" i="13"/>
  <c r="J732" i="13"/>
  <c r="F732" i="13"/>
  <c r="A732" i="13"/>
  <c r="F731" i="13"/>
  <c r="A731" i="13"/>
  <c r="J730" i="13"/>
  <c r="F730" i="13"/>
  <c r="A730" i="13"/>
  <c r="F729" i="13"/>
  <c r="A729" i="13"/>
  <c r="F728" i="13"/>
  <c r="A728" i="13"/>
  <c r="F727" i="13"/>
  <c r="A727" i="13"/>
  <c r="F726" i="13"/>
  <c r="A726" i="13"/>
  <c r="J725" i="13"/>
  <c r="F725" i="13"/>
  <c r="A725" i="13"/>
  <c r="F724" i="13"/>
  <c r="A724" i="13"/>
  <c r="J723" i="13"/>
  <c r="F723" i="13"/>
  <c r="A723" i="13"/>
  <c r="J722" i="13"/>
  <c r="F722" i="13"/>
  <c r="A722" i="13"/>
  <c r="F721" i="13"/>
  <c r="A721" i="13"/>
  <c r="F720" i="13"/>
  <c r="A720" i="13"/>
  <c r="F719" i="13"/>
  <c r="A719" i="13"/>
  <c r="J718" i="13"/>
  <c r="F718" i="13"/>
  <c r="A718" i="13"/>
  <c r="F717" i="13"/>
  <c r="A717" i="13"/>
  <c r="J716" i="13"/>
  <c r="F716" i="13"/>
  <c r="A716" i="13"/>
  <c r="J715" i="13"/>
  <c r="F715" i="13"/>
  <c r="A715" i="13"/>
  <c r="F714" i="13"/>
  <c r="A714" i="13"/>
  <c r="J713" i="13"/>
  <c r="F713" i="13"/>
  <c r="A713" i="13"/>
  <c r="J712" i="13"/>
  <c r="F712" i="13"/>
  <c r="A712" i="13"/>
  <c r="F711" i="13"/>
  <c r="A711" i="13"/>
  <c r="J710" i="13"/>
  <c r="F710" i="13"/>
  <c r="A710" i="13"/>
  <c r="J709" i="13"/>
  <c r="F709" i="13"/>
  <c r="A709" i="13"/>
  <c r="F708" i="13"/>
  <c r="A708" i="13"/>
  <c r="F707" i="13"/>
  <c r="A707" i="13"/>
  <c r="F706" i="13"/>
  <c r="A706" i="13"/>
  <c r="F705" i="13"/>
  <c r="A705" i="13"/>
  <c r="F704" i="13"/>
  <c r="A704" i="13"/>
  <c r="F703" i="13"/>
  <c r="A703" i="13"/>
  <c r="F702" i="13"/>
  <c r="A702" i="13"/>
  <c r="F701" i="13"/>
  <c r="A701" i="13"/>
  <c r="F700" i="13"/>
  <c r="A700" i="13"/>
  <c r="F699" i="13"/>
  <c r="A699" i="13"/>
  <c r="J698" i="13"/>
  <c r="F698" i="13"/>
  <c r="A698" i="13"/>
  <c r="J697" i="13"/>
  <c r="F697" i="13"/>
  <c r="A697" i="13"/>
  <c r="F696" i="13"/>
  <c r="A696" i="13"/>
  <c r="J695" i="13"/>
  <c r="F695" i="13"/>
  <c r="A695" i="13"/>
  <c r="J694" i="13"/>
  <c r="F694" i="13"/>
  <c r="A694" i="13"/>
  <c r="F693" i="13"/>
  <c r="A693" i="13"/>
  <c r="F692" i="13"/>
  <c r="A692" i="13"/>
  <c r="J691" i="13"/>
  <c r="F691" i="13"/>
  <c r="A691" i="13"/>
  <c r="J690" i="13"/>
  <c r="F690" i="13"/>
  <c r="A690" i="13"/>
  <c r="F689" i="13"/>
  <c r="A689" i="13"/>
  <c r="J688" i="13"/>
  <c r="F688" i="13"/>
  <c r="A688" i="13"/>
  <c r="F687" i="13"/>
  <c r="A687" i="13"/>
  <c r="F686" i="13"/>
  <c r="A686" i="13"/>
  <c r="F685" i="13"/>
  <c r="A685" i="13"/>
  <c r="F684" i="13"/>
  <c r="A684" i="13"/>
  <c r="F683" i="13"/>
  <c r="A683" i="13"/>
  <c r="F682" i="13"/>
  <c r="A682" i="13"/>
  <c r="F681" i="13"/>
  <c r="A681" i="13"/>
  <c r="F680" i="13"/>
  <c r="A680" i="13"/>
  <c r="F679" i="13"/>
  <c r="A679" i="13"/>
  <c r="F678" i="13"/>
  <c r="A678" i="13"/>
  <c r="F677" i="13"/>
  <c r="A677" i="13"/>
  <c r="F676" i="13"/>
  <c r="A676" i="13"/>
  <c r="F675" i="13"/>
  <c r="A675" i="13"/>
  <c r="J674" i="13"/>
  <c r="F674" i="13"/>
  <c r="A674" i="13"/>
  <c r="F673" i="13"/>
  <c r="A673" i="13"/>
  <c r="F672" i="13"/>
  <c r="A672" i="13"/>
  <c r="F671" i="13"/>
  <c r="A671" i="13"/>
  <c r="F670" i="13"/>
  <c r="A670" i="13"/>
  <c r="F669" i="13"/>
  <c r="A669" i="13"/>
  <c r="F668" i="13"/>
  <c r="A668" i="13"/>
  <c r="F667" i="13"/>
  <c r="A667" i="13"/>
  <c r="F666" i="13"/>
  <c r="A666" i="13"/>
  <c r="F665" i="13"/>
  <c r="A665" i="13"/>
  <c r="J664" i="13"/>
  <c r="F664" i="13"/>
  <c r="A664" i="13"/>
  <c r="F663" i="13"/>
  <c r="A663" i="13"/>
  <c r="J662" i="13"/>
  <c r="F662" i="13"/>
  <c r="A662" i="13"/>
  <c r="F661" i="13"/>
  <c r="A661" i="13"/>
  <c r="F660" i="13"/>
  <c r="A660" i="13"/>
  <c r="F659" i="13"/>
  <c r="A659" i="13"/>
  <c r="J658" i="13"/>
  <c r="F658" i="13"/>
  <c r="A658" i="13"/>
  <c r="F657" i="13"/>
  <c r="A657" i="13"/>
  <c r="J656" i="13"/>
  <c r="F656" i="13"/>
  <c r="A656" i="13"/>
  <c r="F655" i="13"/>
  <c r="A655" i="13"/>
  <c r="J654" i="13"/>
  <c r="F654" i="13"/>
  <c r="A654" i="13"/>
  <c r="F653" i="13"/>
  <c r="A653" i="13"/>
  <c r="F652" i="13"/>
  <c r="A652" i="13"/>
  <c r="F651" i="13"/>
  <c r="A651" i="13"/>
  <c r="J650" i="13"/>
  <c r="F650" i="13"/>
  <c r="A650" i="13"/>
  <c r="F649" i="13"/>
  <c r="A649" i="13"/>
  <c r="F648" i="13"/>
  <c r="A648" i="13"/>
  <c r="F647" i="13"/>
  <c r="A647" i="13"/>
  <c r="F646" i="13"/>
  <c r="A646" i="13"/>
  <c r="F645" i="13"/>
  <c r="A645" i="13"/>
  <c r="J644" i="13"/>
  <c r="F644" i="13"/>
  <c r="A644" i="13"/>
  <c r="J643" i="13"/>
  <c r="F643" i="13"/>
  <c r="A643" i="13"/>
  <c r="F642" i="13"/>
  <c r="A642" i="13"/>
  <c r="J641" i="13"/>
  <c r="F641" i="13"/>
  <c r="A641" i="13"/>
  <c r="J640" i="13"/>
  <c r="F640" i="13"/>
  <c r="A640" i="13"/>
  <c r="J639" i="13"/>
  <c r="F639" i="13"/>
  <c r="A639" i="13"/>
  <c r="F638" i="13"/>
  <c r="A638" i="13"/>
  <c r="F637" i="13"/>
  <c r="A637" i="13"/>
  <c r="J636" i="13"/>
  <c r="F636" i="13"/>
  <c r="A636" i="13"/>
  <c r="F635" i="13"/>
  <c r="A635" i="13"/>
  <c r="F634" i="13"/>
  <c r="A634" i="13"/>
  <c r="F633" i="13"/>
  <c r="A633" i="13"/>
  <c r="F632" i="13"/>
  <c r="A632" i="13"/>
  <c r="F631" i="13"/>
  <c r="A631" i="13"/>
  <c r="F630" i="13"/>
  <c r="A630" i="13"/>
  <c r="F629" i="13"/>
  <c r="A629" i="13"/>
  <c r="J628" i="13"/>
  <c r="F628" i="13"/>
  <c r="A628" i="13"/>
  <c r="J627" i="13"/>
  <c r="F627" i="13"/>
  <c r="A627" i="13"/>
  <c r="F626" i="13"/>
  <c r="A626" i="13"/>
  <c r="J625" i="13"/>
  <c r="F625" i="13"/>
  <c r="A625" i="13"/>
  <c r="J624" i="13"/>
  <c r="F624" i="13"/>
  <c r="A624" i="13"/>
  <c r="F623" i="13"/>
  <c r="A623" i="13"/>
  <c r="J622" i="13"/>
  <c r="F622" i="13"/>
  <c r="A622" i="13"/>
  <c r="J621" i="13"/>
  <c r="F621" i="13"/>
  <c r="A621" i="13"/>
  <c r="F620" i="13"/>
  <c r="A620" i="13"/>
  <c r="F619" i="13"/>
  <c r="A619" i="13"/>
  <c r="J618" i="13"/>
  <c r="F618" i="13"/>
  <c r="A618" i="13"/>
  <c r="F617" i="13"/>
  <c r="A617" i="13"/>
  <c r="J616" i="13"/>
  <c r="F616" i="13"/>
  <c r="A616" i="13"/>
  <c r="J615" i="13"/>
  <c r="F615" i="13"/>
  <c r="A615" i="13"/>
  <c r="J614" i="13"/>
  <c r="F614" i="13"/>
  <c r="A614" i="13"/>
  <c r="F613" i="13"/>
  <c r="A613" i="13"/>
  <c r="F612" i="13"/>
  <c r="A612" i="13"/>
  <c r="J611" i="13"/>
  <c r="F611" i="13"/>
  <c r="A611" i="13"/>
  <c r="F610" i="13"/>
  <c r="A610" i="13"/>
  <c r="J609" i="13"/>
  <c r="F609" i="13"/>
  <c r="A609" i="13"/>
  <c r="F608" i="13"/>
  <c r="A608" i="13"/>
  <c r="J607" i="13"/>
  <c r="F607" i="13"/>
  <c r="A607" i="13"/>
  <c r="J606" i="13"/>
  <c r="F606" i="13"/>
  <c r="A606" i="13"/>
  <c r="J605" i="13"/>
  <c r="F605" i="13"/>
  <c r="A605" i="13"/>
  <c r="F604" i="13"/>
  <c r="A604" i="13"/>
  <c r="J603" i="13"/>
  <c r="F603" i="13"/>
  <c r="A603" i="13"/>
  <c r="F602" i="13"/>
  <c r="A602" i="13"/>
  <c r="J601" i="13"/>
  <c r="F601" i="13"/>
  <c r="A601" i="13"/>
  <c r="F600" i="13"/>
  <c r="A600" i="13"/>
  <c r="F599" i="13"/>
  <c r="A599" i="13"/>
  <c r="F598" i="13"/>
  <c r="A598" i="13"/>
  <c r="F597" i="13"/>
  <c r="A597" i="13"/>
  <c r="F596" i="13"/>
  <c r="A596" i="13"/>
  <c r="F595" i="13"/>
  <c r="A595" i="13"/>
  <c r="F594" i="13"/>
  <c r="A594" i="13"/>
  <c r="F593" i="13"/>
  <c r="A593" i="13"/>
  <c r="F592" i="13"/>
  <c r="A592" i="13"/>
  <c r="F591" i="13"/>
  <c r="A591" i="13"/>
  <c r="F590" i="13"/>
  <c r="A590" i="13"/>
  <c r="F589" i="13"/>
  <c r="A589" i="13"/>
  <c r="F588" i="13"/>
  <c r="A588" i="13"/>
  <c r="F587" i="13"/>
  <c r="A587" i="13"/>
  <c r="J586" i="13"/>
  <c r="F586" i="13"/>
  <c r="A586" i="13"/>
  <c r="J585" i="13"/>
  <c r="F585" i="13"/>
  <c r="A585" i="13"/>
  <c r="F584" i="13"/>
  <c r="A584" i="13"/>
  <c r="F583" i="13"/>
  <c r="A583" i="13"/>
  <c r="F582" i="13"/>
  <c r="A582" i="13"/>
  <c r="F581" i="13"/>
  <c r="A581" i="13"/>
  <c r="F580" i="13"/>
  <c r="A580" i="13"/>
  <c r="F579" i="13"/>
  <c r="A579" i="13"/>
  <c r="F578" i="13"/>
  <c r="A578" i="13"/>
  <c r="F577" i="13"/>
  <c r="A577" i="13"/>
  <c r="F576" i="13"/>
  <c r="A576" i="13"/>
  <c r="F575" i="13"/>
  <c r="A575" i="13"/>
  <c r="F574" i="13"/>
  <c r="A574" i="13"/>
  <c r="F573" i="13"/>
  <c r="A573" i="13"/>
  <c r="F572" i="13"/>
  <c r="A572" i="13"/>
  <c r="F571" i="13"/>
  <c r="A571" i="13"/>
  <c r="F570" i="13"/>
  <c r="A570" i="13"/>
  <c r="J569" i="13"/>
  <c r="F569" i="13"/>
  <c r="A569" i="13"/>
  <c r="J568" i="13"/>
  <c r="F568" i="13"/>
  <c r="A568" i="13"/>
  <c r="F567" i="13"/>
  <c r="A567" i="13"/>
  <c r="F566" i="13"/>
  <c r="A566" i="13"/>
  <c r="F565" i="13"/>
  <c r="A565" i="13"/>
  <c r="F564" i="13"/>
  <c r="A564" i="13"/>
  <c r="F563" i="13"/>
  <c r="A563" i="13"/>
  <c r="F562" i="13"/>
  <c r="A562" i="13"/>
  <c r="F561" i="13"/>
  <c r="A561" i="13"/>
  <c r="F560" i="13"/>
  <c r="A560" i="13"/>
  <c r="F559" i="13"/>
  <c r="A559" i="13"/>
  <c r="F558" i="13"/>
  <c r="A558" i="13"/>
  <c r="J557" i="13"/>
  <c r="F557" i="13"/>
  <c r="A557" i="13"/>
  <c r="J556" i="13"/>
  <c r="F556" i="13"/>
  <c r="A556" i="13"/>
  <c r="F555" i="13"/>
  <c r="A555" i="13"/>
  <c r="F554" i="13"/>
  <c r="A554" i="13"/>
  <c r="F553" i="13"/>
  <c r="A553" i="13"/>
  <c r="F552" i="13"/>
  <c r="A552" i="13"/>
  <c r="F551" i="13"/>
  <c r="A551" i="13"/>
  <c r="F550" i="13"/>
  <c r="A550" i="13"/>
  <c r="F549" i="13"/>
  <c r="A549" i="13"/>
  <c r="F548" i="13"/>
  <c r="A548" i="13"/>
  <c r="F547" i="13"/>
  <c r="A547" i="13"/>
  <c r="F546" i="13"/>
  <c r="A546" i="13"/>
  <c r="F545" i="13"/>
  <c r="A545" i="13"/>
  <c r="F544" i="13"/>
  <c r="A544" i="13"/>
  <c r="F543" i="13"/>
  <c r="A543" i="13"/>
  <c r="J542" i="13"/>
  <c r="F542" i="13"/>
  <c r="A542" i="13"/>
  <c r="J541" i="13"/>
  <c r="F541" i="13"/>
  <c r="A541" i="13"/>
  <c r="F540" i="13"/>
  <c r="A540" i="13"/>
  <c r="F539" i="13"/>
  <c r="A539" i="13"/>
  <c r="F538" i="13"/>
  <c r="A538" i="13"/>
  <c r="F537" i="13"/>
  <c r="A537" i="13"/>
  <c r="F536" i="13"/>
  <c r="A536" i="13"/>
  <c r="F535" i="13"/>
  <c r="A535" i="13"/>
  <c r="F534" i="13"/>
  <c r="A534" i="13"/>
  <c r="F533" i="13"/>
  <c r="A533" i="13"/>
  <c r="F532" i="13"/>
  <c r="A532" i="13"/>
  <c r="F531" i="13"/>
  <c r="A531" i="13"/>
  <c r="F530" i="13"/>
  <c r="A530" i="13"/>
  <c r="F529" i="13"/>
  <c r="A529" i="13"/>
  <c r="J528" i="13"/>
  <c r="F528" i="13"/>
  <c r="A528" i="13"/>
  <c r="F527" i="13"/>
  <c r="A527" i="13"/>
  <c r="F526" i="13"/>
  <c r="A526" i="13"/>
  <c r="F525" i="13"/>
  <c r="A525" i="13"/>
  <c r="F524" i="13"/>
  <c r="A524" i="13"/>
  <c r="F523" i="13"/>
  <c r="A523" i="13"/>
  <c r="F522" i="13"/>
  <c r="A522" i="13"/>
  <c r="J521" i="13"/>
  <c r="F521" i="13"/>
  <c r="A521" i="13"/>
  <c r="F520" i="13"/>
  <c r="A520" i="13"/>
  <c r="F519" i="13"/>
  <c r="A519" i="13"/>
  <c r="F518" i="13"/>
  <c r="A518" i="13"/>
  <c r="F517" i="13"/>
  <c r="A517" i="13"/>
  <c r="F516" i="13"/>
  <c r="A516" i="13"/>
  <c r="F515" i="13"/>
  <c r="A515" i="13"/>
  <c r="F514" i="13"/>
  <c r="A514" i="13"/>
  <c r="F513" i="13"/>
  <c r="A513" i="13"/>
  <c r="F512" i="13"/>
  <c r="A512" i="13"/>
  <c r="F511" i="13"/>
  <c r="A511" i="13"/>
  <c r="F510" i="13"/>
  <c r="A510" i="13"/>
  <c r="F509" i="13"/>
  <c r="A509" i="13"/>
  <c r="F508" i="13"/>
  <c r="A508" i="13"/>
  <c r="F507" i="13"/>
  <c r="A507" i="13"/>
  <c r="F506" i="13"/>
  <c r="A506" i="13"/>
  <c r="F505" i="13"/>
  <c r="A505" i="13"/>
  <c r="F504" i="13"/>
  <c r="A504" i="13"/>
  <c r="F503" i="13"/>
  <c r="A503" i="13"/>
  <c r="F502" i="13"/>
  <c r="A502" i="13"/>
  <c r="F501" i="13"/>
  <c r="A501" i="13"/>
  <c r="F500" i="13"/>
  <c r="A500" i="13"/>
  <c r="F499" i="13"/>
  <c r="A499" i="13"/>
  <c r="F498" i="13"/>
  <c r="A498" i="13"/>
  <c r="F497" i="13"/>
  <c r="A497" i="13"/>
  <c r="F496" i="13"/>
  <c r="A496" i="13"/>
  <c r="F495" i="13"/>
  <c r="A495" i="13"/>
  <c r="J494" i="13"/>
  <c r="F494" i="13"/>
  <c r="A494" i="13"/>
  <c r="F493" i="13"/>
  <c r="A493" i="13"/>
  <c r="F492" i="13"/>
  <c r="A492" i="13"/>
  <c r="F491" i="13"/>
  <c r="A491" i="13"/>
  <c r="J490" i="13"/>
  <c r="F490" i="13"/>
  <c r="A490" i="13"/>
  <c r="J489" i="13"/>
  <c r="F489" i="13"/>
  <c r="A489" i="13"/>
  <c r="F488" i="13"/>
  <c r="A488" i="13"/>
  <c r="F487" i="13"/>
  <c r="A487" i="13"/>
  <c r="F486" i="13"/>
  <c r="A486" i="13"/>
  <c r="F485" i="13"/>
  <c r="A485" i="13"/>
  <c r="F484" i="13"/>
  <c r="F483" i="13"/>
  <c r="A483" i="13"/>
  <c r="F482" i="13"/>
  <c r="A482" i="13"/>
  <c r="F481" i="13"/>
  <c r="A481" i="13"/>
  <c r="F480" i="13"/>
  <c r="A480" i="13"/>
  <c r="F479" i="13"/>
  <c r="A479" i="13"/>
  <c r="F478" i="13"/>
  <c r="A478" i="13"/>
  <c r="F477" i="13"/>
  <c r="A477" i="13"/>
  <c r="F476" i="13"/>
  <c r="A476" i="13"/>
  <c r="F475" i="13"/>
  <c r="A475" i="13"/>
  <c r="F474" i="13"/>
  <c r="A474" i="13"/>
  <c r="F473" i="13"/>
  <c r="A473" i="13"/>
  <c r="F472" i="13"/>
  <c r="A472" i="13"/>
  <c r="F471" i="13"/>
  <c r="A471" i="13"/>
  <c r="F470" i="13"/>
  <c r="A470" i="13"/>
  <c r="F469" i="13"/>
  <c r="A469" i="13"/>
  <c r="F468" i="13"/>
  <c r="A468" i="13"/>
  <c r="F467" i="13"/>
  <c r="A467" i="13"/>
  <c r="F466" i="13"/>
  <c r="A466" i="13"/>
  <c r="F465" i="13"/>
  <c r="A465" i="13"/>
  <c r="F464" i="13"/>
  <c r="A464" i="13"/>
  <c r="F463" i="13"/>
  <c r="A463" i="13"/>
  <c r="F462" i="13"/>
  <c r="A462" i="13"/>
  <c r="F461" i="13"/>
  <c r="A461" i="13"/>
  <c r="F460" i="13"/>
  <c r="A460" i="13"/>
  <c r="F459" i="13"/>
  <c r="A459" i="13"/>
  <c r="F458" i="13"/>
  <c r="A458" i="13"/>
  <c r="F457" i="13"/>
  <c r="A457" i="13"/>
  <c r="F456" i="13"/>
  <c r="A456" i="13"/>
  <c r="F455" i="13"/>
  <c r="A455" i="13"/>
  <c r="F454" i="13"/>
  <c r="A454" i="13"/>
  <c r="F453" i="13"/>
  <c r="A453" i="13"/>
  <c r="F452" i="13"/>
  <c r="A452" i="13"/>
  <c r="F451" i="13"/>
  <c r="A451" i="13"/>
  <c r="F450" i="13"/>
  <c r="A450" i="13"/>
  <c r="F449" i="13"/>
  <c r="A449" i="13"/>
  <c r="F448" i="13"/>
  <c r="A448" i="13"/>
  <c r="F447" i="13"/>
  <c r="A447" i="13"/>
  <c r="F446" i="13"/>
  <c r="A446" i="13"/>
  <c r="F445" i="13"/>
  <c r="A445" i="13"/>
  <c r="J444" i="13"/>
  <c r="F444" i="13"/>
  <c r="A444" i="13"/>
  <c r="F443" i="13"/>
  <c r="A443" i="13"/>
  <c r="F442" i="13"/>
  <c r="A442" i="13"/>
  <c r="F441" i="13"/>
  <c r="A441" i="13"/>
  <c r="F440" i="13"/>
  <c r="A440" i="13"/>
  <c r="F439" i="13"/>
  <c r="A439" i="13"/>
  <c r="F438" i="13"/>
  <c r="A438" i="13"/>
  <c r="F437" i="13"/>
  <c r="A437" i="13"/>
  <c r="F436" i="13"/>
  <c r="A436" i="13"/>
  <c r="F435" i="13"/>
  <c r="A435" i="13"/>
  <c r="F434" i="13"/>
  <c r="A434" i="13"/>
  <c r="F433" i="13"/>
  <c r="A433" i="13"/>
  <c r="F432" i="13"/>
  <c r="A432" i="13"/>
  <c r="F431" i="13"/>
  <c r="A431" i="13"/>
  <c r="F430" i="13"/>
  <c r="A430" i="13"/>
  <c r="F429" i="13"/>
  <c r="A429" i="13"/>
  <c r="F428" i="13"/>
  <c r="A428" i="13"/>
  <c r="F427" i="13"/>
  <c r="A427" i="13"/>
  <c r="F426" i="13"/>
  <c r="A426" i="13"/>
  <c r="F425" i="13"/>
  <c r="A425" i="13"/>
  <c r="F424" i="13"/>
  <c r="A424" i="13"/>
  <c r="F423" i="13"/>
  <c r="A423" i="13"/>
  <c r="F422" i="13"/>
  <c r="A422" i="13"/>
  <c r="F421" i="13"/>
  <c r="A421" i="13"/>
  <c r="F420" i="13"/>
  <c r="A420" i="13"/>
  <c r="F419" i="13"/>
  <c r="A419" i="13"/>
  <c r="F418" i="13"/>
  <c r="A418" i="13"/>
  <c r="F417" i="13"/>
  <c r="A417" i="13"/>
  <c r="F416" i="13"/>
  <c r="A416" i="13"/>
  <c r="F415" i="13"/>
  <c r="A415" i="13"/>
  <c r="F414" i="13"/>
  <c r="A414" i="13"/>
  <c r="F413" i="13"/>
  <c r="A413" i="13"/>
  <c r="F412" i="13"/>
  <c r="A412" i="13"/>
  <c r="F411" i="13"/>
  <c r="A411" i="13"/>
  <c r="F410" i="13"/>
  <c r="A410" i="13"/>
  <c r="F409" i="13"/>
  <c r="A409" i="13"/>
  <c r="F408" i="13"/>
  <c r="A408" i="13"/>
  <c r="F407" i="13"/>
  <c r="A407" i="13"/>
  <c r="F406" i="13"/>
  <c r="A406" i="13"/>
  <c r="F405" i="13"/>
  <c r="A405" i="13"/>
  <c r="F404" i="13"/>
  <c r="A404" i="13"/>
  <c r="F403" i="13"/>
  <c r="A403" i="13"/>
  <c r="F402" i="13"/>
  <c r="A402" i="13"/>
  <c r="F401" i="13"/>
  <c r="F400" i="13"/>
  <c r="A400" i="13"/>
  <c r="F399" i="13"/>
  <c r="A399" i="13"/>
  <c r="F398" i="13"/>
  <c r="A398" i="13"/>
  <c r="F397" i="13"/>
  <c r="A397" i="13"/>
  <c r="F396" i="13"/>
  <c r="A396" i="13"/>
  <c r="F395" i="13"/>
  <c r="A395" i="13"/>
  <c r="F394" i="13"/>
  <c r="A394" i="13"/>
  <c r="F393" i="13"/>
  <c r="A393" i="13"/>
  <c r="F392" i="13"/>
  <c r="A392" i="13"/>
  <c r="F391" i="13"/>
  <c r="A391" i="13"/>
  <c r="F390" i="13"/>
  <c r="A390" i="13"/>
  <c r="F389" i="13"/>
  <c r="A389" i="13"/>
  <c r="F388" i="13"/>
  <c r="A388" i="13"/>
  <c r="F387" i="13"/>
  <c r="A387" i="13"/>
  <c r="J386" i="13"/>
  <c r="F386" i="13"/>
  <c r="A386" i="13"/>
  <c r="F385" i="13"/>
  <c r="A385" i="13"/>
  <c r="F384" i="13"/>
  <c r="A384" i="13"/>
  <c r="F383" i="13"/>
  <c r="A383" i="13"/>
  <c r="F382" i="13"/>
  <c r="A382" i="13"/>
  <c r="F381" i="13"/>
  <c r="A381" i="13"/>
  <c r="F380" i="13"/>
  <c r="A380" i="13"/>
  <c r="F379" i="13"/>
  <c r="A379" i="13"/>
  <c r="F378" i="13"/>
  <c r="A378" i="13"/>
  <c r="F377" i="13"/>
  <c r="A377" i="13"/>
  <c r="F376" i="13"/>
  <c r="A376" i="13"/>
  <c r="F375" i="13"/>
  <c r="A375" i="13"/>
  <c r="F374" i="13"/>
  <c r="A374" i="13"/>
  <c r="F373" i="13"/>
  <c r="A373" i="13"/>
  <c r="F372" i="13"/>
  <c r="A372" i="13"/>
  <c r="F371" i="13"/>
  <c r="A371" i="13"/>
  <c r="F370" i="13"/>
  <c r="A370" i="13"/>
  <c r="F369" i="13"/>
  <c r="A369" i="13"/>
  <c r="F368" i="13"/>
  <c r="A368" i="13"/>
  <c r="F367" i="13"/>
  <c r="A367" i="13"/>
  <c r="F366" i="13"/>
  <c r="A366" i="13"/>
  <c r="F365" i="13"/>
  <c r="A365" i="13"/>
  <c r="F364" i="13"/>
  <c r="A364" i="13"/>
  <c r="F363" i="13"/>
  <c r="A363" i="13"/>
  <c r="F362" i="13"/>
  <c r="A362" i="13"/>
  <c r="F361" i="13"/>
  <c r="A361" i="13"/>
  <c r="F360" i="13"/>
  <c r="A360" i="13"/>
  <c r="F359" i="13"/>
  <c r="A359" i="13"/>
  <c r="F358" i="13"/>
  <c r="F357" i="13"/>
  <c r="A357" i="13"/>
  <c r="F356" i="13"/>
  <c r="A356" i="13"/>
  <c r="F355" i="13"/>
  <c r="A355" i="13"/>
  <c r="F354" i="13"/>
  <c r="A354" i="13"/>
  <c r="F353" i="13"/>
  <c r="F352" i="13"/>
  <c r="A352" i="13"/>
  <c r="F351" i="13"/>
  <c r="A351" i="13"/>
  <c r="F350" i="13"/>
  <c r="A350" i="13"/>
  <c r="F349" i="13"/>
  <c r="F348" i="13"/>
  <c r="A348" i="13"/>
  <c r="F347" i="13"/>
  <c r="A347" i="13"/>
  <c r="F346" i="13"/>
  <c r="A346" i="13"/>
  <c r="F345" i="13"/>
  <c r="A345" i="13"/>
  <c r="F344" i="13"/>
  <c r="A344" i="13"/>
  <c r="F343" i="13"/>
  <c r="A343" i="13"/>
  <c r="F342" i="13"/>
  <c r="F341" i="13"/>
  <c r="A341" i="13"/>
  <c r="F340" i="13"/>
  <c r="A340" i="13"/>
  <c r="F339" i="13"/>
  <c r="F338" i="13"/>
  <c r="A338" i="13"/>
  <c r="F337" i="13"/>
  <c r="A337" i="13"/>
  <c r="F336" i="13"/>
  <c r="A336" i="13"/>
  <c r="F335" i="13"/>
  <c r="F334" i="13"/>
  <c r="A334" i="13"/>
  <c r="F333" i="13"/>
  <c r="A333" i="13"/>
  <c r="F332" i="13"/>
  <c r="A332" i="13"/>
  <c r="F331" i="13"/>
  <c r="A331" i="13"/>
  <c r="F330" i="13"/>
  <c r="A330" i="13"/>
  <c r="F329" i="13"/>
  <c r="A329" i="13"/>
  <c r="F328" i="13"/>
  <c r="A328" i="13"/>
  <c r="F327" i="13"/>
  <c r="A327" i="13"/>
  <c r="F326" i="13"/>
  <c r="A326" i="13"/>
  <c r="F325" i="13"/>
  <c r="A325" i="13"/>
  <c r="F324" i="13"/>
  <c r="A324" i="13"/>
  <c r="F323" i="13"/>
  <c r="A323" i="13"/>
  <c r="F322" i="13"/>
  <c r="A322" i="13"/>
  <c r="F321" i="13"/>
  <c r="A321" i="13"/>
  <c r="F320" i="13"/>
  <c r="A320" i="13"/>
  <c r="F319" i="13"/>
  <c r="A319" i="13"/>
  <c r="F318" i="13"/>
  <c r="A318" i="13"/>
  <c r="F317" i="13"/>
  <c r="F316" i="13"/>
  <c r="A316" i="13"/>
  <c r="F315" i="13"/>
  <c r="A315" i="13"/>
  <c r="F314" i="13"/>
  <c r="A314" i="13"/>
  <c r="F313" i="13"/>
  <c r="A313" i="13"/>
  <c r="F312" i="13"/>
  <c r="A312" i="13"/>
  <c r="F311" i="13"/>
  <c r="A311" i="13"/>
  <c r="F310" i="13"/>
  <c r="F309" i="13"/>
  <c r="A309" i="13"/>
  <c r="F308" i="13"/>
  <c r="A308" i="13"/>
  <c r="F307" i="13"/>
  <c r="F306" i="13"/>
  <c r="A306" i="13"/>
  <c r="F305" i="13"/>
  <c r="A305" i="13"/>
  <c r="F304" i="13"/>
  <c r="A304" i="13"/>
  <c r="F303" i="13"/>
  <c r="A303" i="13"/>
  <c r="F302" i="13"/>
  <c r="A302" i="13"/>
  <c r="F301" i="13"/>
  <c r="A301" i="13"/>
  <c r="F300" i="13"/>
  <c r="A300" i="13"/>
  <c r="F299" i="13"/>
  <c r="A299" i="13"/>
  <c r="F298" i="13"/>
  <c r="A298" i="13"/>
  <c r="F297" i="13"/>
  <c r="A297" i="13"/>
  <c r="F296" i="13"/>
  <c r="A296" i="13"/>
  <c r="F295" i="13"/>
  <c r="A295" i="13"/>
  <c r="F294" i="13"/>
  <c r="A294" i="13"/>
  <c r="F293" i="13"/>
  <c r="A293" i="13"/>
  <c r="F292" i="13"/>
  <c r="A292" i="13"/>
  <c r="F291" i="13"/>
  <c r="A291" i="13"/>
  <c r="F290" i="13"/>
  <c r="A290" i="13"/>
  <c r="F289" i="13"/>
  <c r="A289" i="13"/>
  <c r="F288" i="13"/>
  <c r="A288" i="13"/>
  <c r="F287" i="13"/>
  <c r="A287" i="13"/>
  <c r="F286" i="13"/>
  <c r="A286" i="13"/>
  <c r="F285" i="13"/>
  <c r="A285" i="13"/>
  <c r="F284" i="13"/>
  <c r="A284" i="13"/>
  <c r="F283" i="13"/>
  <c r="A283" i="13"/>
  <c r="F282" i="13"/>
  <c r="A282" i="13"/>
  <c r="F281" i="13"/>
  <c r="A281" i="13"/>
  <c r="F280" i="13"/>
  <c r="A280" i="13"/>
  <c r="F279" i="13"/>
  <c r="A279" i="13"/>
  <c r="F278" i="13"/>
  <c r="A278" i="13"/>
  <c r="F277" i="13"/>
  <c r="A277" i="13"/>
  <c r="F276" i="13"/>
  <c r="A276" i="13"/>
  <c r="F275" i="13"/>
  <c r="A275" i="13"/>
  <c r="F274" i="13"/>
  <c r="A274" i="13"/>
  <c r="F273" i="13"/>
  <c r="A273" i="13"/>
  <c r="F272" i="13"/>
  <c r="A272" i="13"/>
  <c r="F271" i="13"/>
  <c r="A271" i="13"/>
  <c r="F270" i="13"/>
  <c r="A270" i="13"/>
  <c r="F269" i="13"/>
  <c r="A269" i="13"/>
  <c r="F268" i="13"/>
  <c r="A268" i="13"/>
  <c r="F267" i="13"/>
  <c r="A267" i="13"/>
  <c r="F266" i="13"/>
  <c r="A266" i="13"/>
  <c r="F265" i="13"/>
  <c r="A265" i="13"/>
  <c r="F264" i="13"/>
  <c r="A264" i="13"/>
  <c r="F263" i="13"/>
  <c r="A263" i="13"/>
  <c r="F262" i="13"/>
  <c r="A262" i="13"/>
  <c r="F261" i="13"/>
  <c r="A261" i="13"/>
  <c r="F260" i="13"/>
  <c r="A260" i="13"/>
  <c r="F259" i="13"/>
  <c r="A259" i="13"/>
  <c r="F258" i="13"/>
  <c r="A258" i="13"/>
  <c r="F257" i="13"/>
  <c r="A257" i="13"/>
  <c r="F256" i="13"/>
  <c r="A256" i="13"/>
  <c r="F255" i="13"/>
  <c r="A255" i="13"/>
  <c r="F254" i="13"/>
  <c r="A254" i="13"/>
  <c r="F253" i="13"/>
  <c r="A253" i="13"/>
  <c r="F252" i="13"/>
  <c r="A252" i="13"/>
  <c r="F251" i="13"/>
  <c r="A251" i="13"/>
  <c r="F250" i="13"/>
  <c r="A250" i="13"/>
  <c r="F249" i="13"/>
  <c r="A249" i="13"/>
  <c r="F248" i="13"/>
  <c r="A248" i="13"/>
  <c r="F247" i="13"/>
  <c r="A247" i="13"/>
  <c r="F246" i="13"/>
  <c r="A246" i="13"/>
  <c r="F245" i="13"/>
  <c r="A245" i="13"/>
  <c r="F244" i="13"/>
  <c r="A244" i="13"/>
  <c r="F243" i="13"/>
  <c r="A243" i="13"/>
  <c r="F242" i="13"/>
  <c r="A242" i="13"/>
  <c r="F241" i="13"/>
  <c r="A241" i="13"/>
  <c r="F240" i="13"/>
  <c r="A240" i="13"/>
  <c r="F239" i="13"/>
  <c r="A239" i="13"/>
  <c r="F238" i="13"/>
  <c r="A238" i="13"/>
  <c r="F237" i="13"/>
  <c r="A237" i="13"/>
  <c r="F236" i="13"/>
  <c r="A236" i="13"/>
  <c r="F235" i="13"/>
  <c r="F234" i="13"/>
  <c r="A234" i="13"/>
  <c r="F233" i="13"/>
  <c r="A233" i="13"/>
  <c r="F232" i="13"/>
  <c r="A232" i="13"/>
  <c r="F231" i="13"/>
  <c r="A231" i="13"/>
  <c r="F230" i="13"/>
  <c r="A230" i="13"/>
  <c r="F229" i="13"/>
  <c r="A229" i="13"/>
  <c r="F228" i="13"/>
  <c r="A228" i="13"/>
  <c r="F227" i="13"/>
  <c r="A227" i="13"/>
  <c r="F226" i="13"/>
  <c r="A226" i="13"/>
  <c r="F225" i="13"/>
  <c r="F224" i="13"/>
  <c r="A224" i="13"/>
  <c r="F223" i="13"/>
  <c r="A223" i="13"/>
  <c r="F222" i="13"/>
  <c r="A222" i="13"/>
  <c r="F221" i="13"/>
  <c r="A221" i="13"/>
  <c r="F220" i="13"/>
  <c r="A220" i="13"/>
  <c r="F219" i="13"/>
  <c r="A219" i="13"/>
  <c r="F218" i="13"/>
  <c r="A218" i="13"/>
  <c r="F217" i="13"/>
  <c r="A217" i="13"/>
  <c r="F216" i="13"/>
  <c r="A216" i="13"/>
  <c r="F215" i="13"/>
  <c r="A215" i="13"/>
  <c r="F214" i="13"/>
  <c r="A214" i="13"/>
  <c r="F213" i="13"/>
  <c r="A213" i="13"/>
  <c r="F212" i="13"/>
  <c r="A212" i="13"/>
  <c r="F211" i="13"/>
  <c r="A211" i="13"/>
  <c r="F210" i="13"/>
  <c r="A210" i="13"/>
  <c r="F209" i="13"/>
  <c r="A209" i="13"/>
  <c r="F208" i="13"/>
  <c r="A208" i="13"/>
  <c r="F207" i="13"/>
  <c r="A207" i="13"/>
  <c r="F206" i="13"/>
  <c r="A206" i="13"/>
  <c r="F205" i="13"/>
  <c r="A205" i="13"/>
  <c r="F204" i="13"/>
  <c r="A204" i="13"/>
  <c r="F203" i="13"/>
  <c r="A203" i="13"/>
  <c r="F202" i="13"/>
  <c r="A202" i="13"/>
  <c r="F201" i="13"/>
  <c r="A201" i="13"/>
  <c r="F200" i="13"/>
  <c r="A200" i="13"/>
  <c r="F199" i="13"/>
  <c r="A199" i="13"/>
  <c r="F198" i="13"/>
  <c r="A198" i="13"/>
  <c r="F197" i="13"/>
  <c r="A197" i="13"/>
  <c r="F196" i="13"/>
  <c r="A196" i="13"/>
  <c r="F195" i="13"/>
  <c r="A195" i="13"/>
  <c r="F194" i="13"/>
  <c r="A194" i="13"/>
  <c r="F193" i="13"/>
  <c r="A193" i="13"/>
  <c r="F192" i="13"/>
  <c r="A192" i="13"/>
  <c r="F191" i="13"/>
  <c r="A191" i="13"/>
  <c r="F190" i="13"/>
  <c r="A190" i="13"/>
  <c r="F189" i="13"/>
  <c r="A189" i="13"/>
  <c r="F188" i="13"/>
  <c r="A188" i="13"/>
  <c r="F187" i="13"/>
  <c r="A187" i="13"/>
  <c r="F186" i="13"/>
  <c r="A186" i="13"/>
  <c r="F185" i="13"/>
  <c r="A185" i="13"/>
  <c r="F184" i="13"/>
  <c r="A184" i="13"/>
  <c r="F183" i="13"/>
  <c r="A183" i="13"/>
  <c r="F182" i="13"/>
  <c r="A182" i="13"/>
  <c r="F181" i="13"/>
  <c r="A181" i="13"/>
  <c r="F180" i="13"/>
  <c r="A180" i="13"/>
  <c r="F179" i="13"/>
  <c r="A179" i="13"/>
  <c r="F178" i="13"/>
  <c r="A178" i="13"/>
  <c r="F177" i="13"/>
  <c r="A177" i="13"/>
  <c r="F176" i="13"/>
  <c r="A176" i="13"/>
  <c r="F175" i="13"/>
  <c r="A175" i="13"/>
  <c r="F174" i="13"/>
  <c r="F173" i="13"/>
  <c r="A173" i="13"/>
  <c r="F172" i="13"/>
  <c r="A172" i="13"/>
  <c r="F171" i="13"/>
  <c r="A171" i="13"/>
  <c r="F170" i="13"/>
  <c r="A170" i="13"/>
  <c r="F169" i="13"/>
  <c r="A169" i="13"/>
  <c r="F168" i="13"/>
  <c r="A168" i="13"/>
  <c r="F167" i="13"/>
  <c r="A167" i="13"/>
  <c r="F166" i="13"/>
  <c r="A166" i="13"/>
  <c r="F165" i="13"/>
  <c r="A165" i="13"/>
  <c r="F164" i="13"/>
  <c r="A164" i="13"/>
  <c r="F163" i="13"/>
  <c r="A163" i="13"/>
  <c r="F162" i="13"/>
  <c r="A162" i="13"/>
  <c r="F161" i="13"/>
  <c r="A161" i="13"/>
  <c r="F160" i="13"/>
  <c r="A160" i="13"/>
  <c r="F159" i="13"/>
  <c r="A159" i="13"/>
  <c r="F158" i="13"/>
  <c r="A158" i="13"/>
  <c r="F157" i="13"/>
  <c r="A157" i="13"/>
  <c r="F156" i="13"/>
  <c r="A156" i="13"/>
  <c r="F155" i="13"/>
  <c r="A155" i="13"/>
  <c r="F154" i="13"/>
  <c r="A154" i="13"/>
  <c r="F153" i="13"/>
  <c r="A153" i="13"/>
  <c r="F152" i="13"/>
  <c r="A152" i="13"/>
  <c r="F151" i="13"/>
  <c r="A151" i="13"/>
  <c r="F150" i="13"/>
  <c r="A150" i="13"/>
  <c r="F149" i="13"/>
  <c r="A149" i="13"/>
  <c r="F148" i="13"/>
  <c r="A148" i="13"/>
  <c r="F147" i="13"/>
  <c r="A147" i="13"/>
  <c r="F146" i="13"/>
  <c r="A146" i="13"/>
  <c r="F145" i="13"/>
  <c r="A145" i="13"/>
  <c r="F144" i="13"/>
  <c r="F143" i="13"/>
  <c r="A143" i="13"/>
  <c r="F142" i="13"/>
  <c r="A142" i="13"/>
  <c r="F141" i="13"/>
  <c r="A141" i="13"/>
  <c r="F140" i="13"/>
  <c r="A140" i="13"/>
  <c r="F139" i="13"/>
  <c r="A139" i="13"/>
  <c r="F138" i="13"/>
  <c r="A138" i="13"/>
  <c r="F137" i="13"/>
  <c r="A137" i="13"/>
  <c r="F136" i="13"/>
  <c r="A136" i="13"/>
  <c r="F135" i="13"/>
  <c r="A135" i="13"/>
  <c r="F134" i="13"/>
  <c r="A134" i="13"/>
  <c r="F133" i="13"/>
  <c r="A133" i="13"/>
  <c r="F132" i="13"/>
  <c r="A132" i="13"/>
  <c r="F131" i="13"/>
  <c r="A131" i="13"/>
  <c r="F130" i="13"/>
  <c r="A130" i="13"/>
  <c r="F129" i="13"/>
  <c r="A129" i="13"/>
  <c r="F128" i="13"/>
  <c r="A128" i="13"/>
  <c r="F127" i="13"/>
  <c r="A127" i="13"/>
  <c r="F126" i="13"/>
  <c r="A126" i="13"/>
  <c r="F125" i="13"/>
  <c r="A125" i="13"/>
  <c r="F124" i="13"/>
  <c r="A124" i="13"/>
  <c r="F123" i="13"/>
  <c r="A123" i="13"/>
  <c r="F122" i="13"/>
  <c r="A122" i="13"/>
  <c r="F121" i="13"/>
  <c r="A121" i="13"/>
  <c r="F120" i="13"/>
  <c r="A120" i="13"/>
  <c r="F119" i="13"/>
  <c r="A119" i="13"/>
  <c r="F118" i="13"/>
  <c r="A118" i="13"/>
  <c r="F117" i="13"/>
  <c r="A117" i="13"/>
  <c r="F116" i="13"/>
  <c r="A116" i="13"/>
  <c r="F115" i="13"/>
  <c r="A115" i="13"/>
  <c r="F114" i="13"/>
  <c r="A114" i="13"/>
  <c r="F113" i="13"/>
  <c r="A113" i="13"/>
  <c r="F112" i="13"/>
  <c r="A112" i="13"/>
  <c r="F111" i="13"/>
  <c r="A111" i="13"/>
  <c r="F110" i="13"/>
  <c r="A110" i="13"/>
  <c r="F109" i="13"/>
  <c r="A109" i="13"/>
  <c r="F108" i="13"/>
  <c r="A108" i="13"/>
  <c r="F107" i="13"/>
  <c r="A107" i="13"/>
  <c r="F106" i="13"/>
  <c r="A106" i="13"/>
  <c r="F105" i="13"/>
  <c r="A105" i="13"/>
  <c r="F104" i="13"/>
  <c r="A104" i="13"/>
  <c r="F103" i="13"/>
  <c r="A103" i="13"/>
  <c r="F102" i="13"/>
  <c r="A102" i="13"/>
  <c r="F101" i="13"/>
  <c r="A101" i="13"/>
  <c r="F100" i="13"/>
  <c r="A100" i="13"/>
  <c r="F99" i="13"/>
  <c r="A99" i="13"/>
  <c r="F98" i="13"/>
  <c r="A98" i="13"/>
  <c r="F97" i="13"/>
  <c r="A97" i="13"/>
  <c r="F96" i="13"/>
  <c r="A96" i="13"/>
  <c r="F95" i="13"/>
  <c r="A95" i="13"/>
  <c r="F94" i="13"/>
  <c r="A94" i="13"/>
  <c r="F93" i="13"/>
  <c r="A93" i="13"/>
  <c r="F92" i="13"/>
  <c r="A92" i="13"/>
  <c r="F91" i="13"/>
  <c r="A91" i="13"/>
  <c r="F90" i="13"/>
  <c r="A90" i="13"/>
  <c r="F89" i="13"/>
  <c r="A89" i="13"/>
  <c r="F88" i="13"/>
  <c r="A88" i="13"/>
  <c r="F87" i="13"/>
  <c r="A87" i="13"/>
  <c r="F86" i="13"/>
  <c r="A86" i="13"/>
  <c r="F85" i="13"/>
  <c r="A85" i="13"/>
  <c r="F84" i="13"/>
  <c r="A84" i="13"/>
  <c r="F83" i="13"/>
  <c r="A83" i="13"/>
  <c r="F82" i="13"/>
  <c r="A82" i="13"/>
  <c r="F81" i="13"/>
  <c r="A81" i="13"/>
  <c r="F80" i="13"/>
  <c r="A80" i="13"/>
  <c r="F79" i="13"/>
  <c r="A79" i="13"/>
  <c r="F78" i="13"/>
  <c r="A78" i="13"/>
  <c r="F77" i="13"/>
  <c r="A77" i="13"/>
  <c r="F76" i="13"/>
  <c r="A76" i="13"/>
  <c r="F75" i="13"/>
  <c r="A75" i="13"/>
  <c r="F74" i="13"/>
  <c r="A74" i="13"/>
  <c r="F73" i="13"/>
  <c r="A73" i="13"/>
  <c r="F72" i="13"/>
  <c r="A72" i="13"/>
  <c r="F71" i="13"/>
  <c r="A71" i="13"/>
  <c r="F70" i="13"/>
  <c r="A70" i="13"/>
  <c r="F69" i="13"/>
  <c r="A69" i="13"/>
  <c r="F68" i="13"/>
  <c r="A68" i="13"/>
  <c r="F67" i="13"/>
  <c r="A67" i="13"/>
  <c r="F66" i="13"/>
  <c r="A66" i="13"/>
  <c r="F65" i="13"/>
  <c r="A65" i="13"/>
  <c r="F64" i="13"/>
  <c r="A64" i="13"/>
  <c r="F63" i="13"/>
  <c r="A63" i="13"/>
  <c r="F62" i="13"/>
  <c r="A62" i="13"/>
  <c r="F61" i="13"/>
  <c r="A61" i="13"/>
  <c r="F60" i="13"/>
  <c r="A60" i="13"/>
  <c r="F59" i="13"/>
  <c r="A59" i="13"/>
  <c r="F58" i="13"/>
  <c r="A58" i="13"/>
  <c r="F57" i="13"/>
  <c r="A57" i="13"/>
  <c r="F56" i="13"/>
  <c r="A56" i="13"/>
  <c r="F55" i="13"/>
  <c r="A55" i="13"/>
  <c r="F54" i="13"/>
  <c r="A54" i="13"/>
  <c r="F53" i="13"/>
  <c r="A53" i="13"/>
  <c r="F52" i="13"/>
  <c r="A52" i="13"/>
  <c r="F51" i="13"/>
  <c r="A51" i="13"/>
  <c r="F50" i="13"/>
  <c r="F49" i="13"/>
  <c r="A49" i="13"/>
  <c r="F48" i="13"/>
  <c r="A48" i="13"/>
  <c r="F47" i="13"/>
  <c r="A47" i="13"/>
  <c r="F46" i="13"/>
  <c r="A46" i="13"/>
  <c r="F45" i="13"/>
  <c r="A45" i="13"/>
  <c r="F44" i="13"/>
  <c r="A44" i="13"/>
  <c r="F43" i="13"/>
  <c r="A43" i="13"/>
  <c r="F42" i="13"/>
  <c r="A42" i="13"/>
  <c r="F41" i="13"/>
  <c r="A41" i="13"/>
  <c r="F40" i="13"/>
  <c r="A40" i="13"/>
  <c r="F39" i="13"/>
  <c r="A39" i="13"/>
  <c r="F38" i="13"/>
  <c r="A38" i="13"/>
  <c r="F37" i="13"/>
  <c r="A37" i="13"/>
  <c r="F36" i="13"/>
  <c r="A36" i="13"/>
  <c r="F35" i="13"/>
  <c r="A35" i="13"/>
  <c r="F34" i="13"/>
  <c r="A34" i="13"/>
  <c r="F33" i="13"/>
  <c r="A33" i="13"/>
  <c r="F32" i="13"/>
  <c r="A32" i="13"/>
  <c r="F31" i="13"/>
  <c r="A31" i="13"/>
  <c r="F30" i="13"/>
  <c r="A30" i="13"/>
  <c r="F29" i="13"/>
  <c r="A29" i="13"/>
  <c r="F28" i="13"/>
  <c r="A28" i="13"/>
  <c r="F27" i="13"/>
  <c r="A27" i="13"/>
  <c r="F26" i="13"/>
  <c r="A26" i="13"/>
  <c r="F25" i="13"/>
  <c r="A25" i="13"/>
  <c r="F24" i="13"/>
  <c r="A24" i="13"/>
  <c r="F23" i="13"/>
  <c r="A23" i="13"/>
  <c r="F22" i="13"/>
  <c r="A22" i="13"/>
  <c r="F21" i="13"/>
  <c r="A21" i="13"/>
  <c r="F20" i="13"/>
  <c r="A20" i="13"/>
  <c r="F19" i="13"/>
  <c r="F18" i="13"/>
  <c r="A18" i="13"/>
  <c r="F17" i="13"/>
  <c r="A17" i="13"/>
  <c r="F16" i="13"/>
  <c r="A16" i="13"/>
  <c r="F15" i="13"/>
  <c r="A15" i="13"/>
  <c r="F14" i="13"/>
  <c r="A14" i="13"/>
  <c r="F13" i="13"/>
  <c r="A13" i="13"/>
  <c r="F12" i="13"/>
  <c r="A12" i="13"/>
  <c r="F11" i="13"/>
  <c r="A11" i="13"/>
  <c r="F10" i="13"/>
  <c r="A10" i="13"/>
  <c r="F9" i="13"/>
  <c r="A9" i="13"/>
  <c r="F8" i="13"/>
  <c r="A8" i="13"/>
  <c r="F7" i="13"/>
  <c r="A7" i="13"/>
  <c r="F6" i="13"/>
  <c r="A6" i="13"/>
  <c r="F5" i="13"/>
  <c r="A5" i="13"/>
  <c r="F4" i="13"/>
  <c r="A4" i="13"/>
  <c r="F3" i="13"/>
  <c r="A3" i="13"/>
</calcChain>
</file>

<file path=xl/sharedStrings.xml><?xml version="1.0" encoding="utf-8"?>
<sst xmlns="http://schemas.openxmlformats.org/spreadsheetml/2006/main" count="152022" uniqueCount="22463">
  <si>
    <t>Текстовое поле</t>
  </si>
  <si>
    <t>Направление</t>
  </si>
  <si>
    <t>Форма публикации</t>
  </si>
  <si>
    <t>Регион поставки</t>
  </si>
  <si>
    <t>Источник</t>
  </si>
  <si>
    <t>ИНН</t>
  </si>
  <si>
    <t>*Публикация</t>
  </si>
  <si>
    <t xml:space="preserve">Найдено публикаций всего*: </t>
  </si>
  <si>
    <t>Стоимость, руб.</t>
  </si>
  <si>
    <t>Дата построения отчета:</t>
  </si>
  <si>
    <t>Победитель</t>
  </si>
  <si>
    <t>Наименование публикации</t>
  </si>
  <si>
    <t>Предложение</t>
  </si>
  <si>
    <t>Дата публикации</t>
  </si>
  <si>
    <t>Публикация</t>
  </si>
  <si>
    <t>Спрос</t>
  </si>
  <si>
    <t>Стоимость
(руб.)</t>
  </si>
  <si>
    <t xml:space="preserve">Выбрано публикаций: </t>
  </si>
  <si>
    <t>Снижение на торгах,%</t>
  </si>
  <si>
    <t>Параметры поиска в реестре Торгов:</t>
  </si>
  <si>
    <t>Размер обеспечения заявки, руб.</t>
  </si>
  <si>
    <t>Размер обеспечения контракта, руб.</t>
  </si>
  <si>
    <t>Торговые площадки</t>
  </si>
  <si>
    <t>Типы торгов</t>
  </si>
  <si>
    <t>Источник финансирования</t>
  </si>
  <si>
    <t>Дата начала</t>
  </si>
  <si>
    <t>Дата окончания</t>
  </si>
  <si>
    <t>Сфера деятельности</t>
  </si>
  <si>
    <t>Список торгов</t>
  </si>
  <si>
    <t>КБК</t>
  </si>
  <si>
    <t>Торговая процедура в разрезе лотов, контрактов или позиций плана-графика</t>
  </si>
  <si>
    <t>Город поставки</t>
  </si>
  <si>
    <t>По цвету</t>
  </si>
  <si>
    <t>Организатор</t>
  </si>
  <si>
    <t>Реестровый номер</t>
  </si>
  <si>
    <t>Поставщик</t>
  </si>
  <si>
    <t>Заказчик</t>
  </si>
  <si>
    <t>Все отмеченные заказчики в одной публикации</t>
  </si>
  <si>
    <t>Все отмеченные поставщики в одной публикации</t>
  </si>
  <si>
    <t>услуги питания</t>
  </si>
  <si>
    <t>c 01.01.2019 по 18.10.2019</t>
  </si>
  <si>
    <t>Весь период</t>
  </si>
  <si>
    <t>-</t>
  </si>
  <si>
    <t>Торговая процедура</t>
  </si>
  <si>
    <t>Нет</t>
  </si>
  <si>
    <t>Отчет формируется по первым 10 000 публикаций</t>
  </si>
  <si>
    <t>5021011250</t>
  </si>
  <si>
    <t>902555</t>
  </si>
  <si>
    <t>[ОКПД2 56.29] Услуги по обеспечению питанием прочие</t>
  </si>
  <si>
    <t>Московская область</t>
  </si>
  <si>
    <t>Подольск</t>
  </si>
  <si>
    <t/>
  </si>
  <si>
    <t>Неизвестно</t>
  </si>
  <si>
    <t>7703410980</t>
  </si>
  <si>
    <t>0173100003519000163</t>
  </si>
  <si>
    <t>[ОКПД2 82.30] Услуги по организации конференций и торговых выставок</t>
  </si>
  <si>
    <t>Москва</t>
  </si>
  <si>
    <t>1012012108</t>
  </si>
  <si>
    <t>0106100004719000007</t>
  </si>
  <si>
    <t>Республика Карелия</t>
  </si>
  <si>
    <t>2206000858</t>
  </si>
  <si>
    <t>0817200000319012538</t>
  </si>
  <si>
    <t>[ОКПД2 17.23] Принадлежности канцелярские бумажные</t>
  </si>
  <si>
    <t>Алтайский край</t>
  </si>
  <si>
    <t>Змеиногорский район</t>
  </si>
  <si>
    <t>7106030872</t>
  </si>
  <si>
    <t>0166300024719000934</t>
  </si>
  <si>
    <t>[ОКПД2 56.21] Услуги по поставке продукции общественного питания и обслуживанию торжественных мероприятий</t>
  </si>
  <si>
    <t>Тульская область</t>
  </si>
  <si>
    <t>Тула</t>
  </si>
  <si>
    <t>5805001920</t>
  </si>
  <si>
    <t>0355100004319000020</t>
  </si>
  <si>
    <t>Пензенская область</t>
  </si>
  <si>
    <t>Сердобский район</t>
  </si>
  <si>
    <t>5247006364</t>
  </si>
  <si>
    <t>100308311119000071</t>
  </si>
  <si>
    <t>Нижегородская область</t>
  </si>
  <si>
    <t>Выкса</t>
  </si>
  <si>
    <t>0355100004319000021</t>
  </si>
  <si>
    <t>3664038550</t>
  </si>
  <si>
    <t>0131200001019005745</t>
  </si>
  <si>
    <t>[ОКПД2 55.90] Услуги по предоставлению временного жилья прочие</t>
  </si>
  <si>
    <t>Воронежская область</t>
  </si>
  <si>
    <t>Воронеж</t>
  </si>
  <si>
    <t>0603015367</t>
  </si>
  <si>
    <t>0214100000119000074</t>
  </si>
  <si>
    <t>[ОКПД2 86.90] Услуги в области медицины прочие</t>
  </si>
  <si>
    <t>Ставропольский край</t>
  </si>
  <si>
    <t>Минеральные Воды</t>
  </si>
  <si>
    <t>1901132237</t>
  </si>
  <si>
    <t>0180400000119000045</t>
  </si>
  <si>
    <t>[ОКПД2 95.11] Услуги по ремонту компьютеров и периферийного оборудования</t>
  </si>
  <si>
    <t>Республика Хакасия</t>
  </si>
  <si>
    <t>Абакан</t>
  </si>
  <si>
    <t>8601010424</t>
  </si>
  <si>
    <t>0387100013019000007</t>
  </si>
  <si>
    <t>[ОКПД2 56.10] Услуги ресторанов и услуги по доставке продуктов питания</t>
  </si>
  <si>
    <t>Ханты-Мансийский автономный округ - Югра</t>
  </si>
  <si>
    <t>Ханты-Мансийск</t>
  </si>
  <si>
    <t>4826002979</t>
  </si>
  <si>
    <t>0246100000119000194</t>
  </si>
  <si>
    <t>Липецкая область</t>
  </si>
  <si>
    <t>2306021354</t>
  </si>
  <si>
    <t>0318200080919000058</t>
  </si>
  <si>
    <t>Краснодарский край</t>
  </si>
  <si>
    <t>Ейский район</t>
  </si>
  <si>
    <t>9104000072</t>
  </si>
  <si>
    <t>100147067119000020</t>
  </si>
  <si>
    <t>Республика Крым</t>
  </si>
  <si>
    <t>Бахчисарайский</t>
  </si>
  <si>
    <t>4009003282</t>
  </si>
  <si>
    <t>100076514119000091</t>
  </si>
  <si>
    <t>Калужская область</t>
  </si>
  <si>
    <t>Козельский район</t>
  </si>
  <si>
    <t>Совместные торги</t>
  </si>
  <si>
    <t>0172200004619000095</t>
  </si>
  <si>
    <t>7802147900</t>
  </si>
  <si>
    <t>Санкт-Петербург</t>
  </si>
  <si>
    <t>2312052583</t>
  </si>
  <si>
    <t>0318200041219000568</t>
  </si>
  <si>
    <t>Краснодар</t>
  </si>
  <si>
    <t>100076514119000090</t>
  </si>
  <si>
    <t>8609014910</t>
  </si>
  <si>
    <t>0187300007819000209</t>
  </si>
  <si>
    <t>0318200041219000567</t>
  </si>
  <si>
    <t>0318200041219000566</t>
  </si>
  <si>
    <t>6316140630</t>
  </si>
  <si>
    <t>0142200001319017286</t>
  </si>
  <si>
    <t>Самарская область</t>
  </si>
  <si>
    <t>Самара</t>
  </si>
  <si>
    <t>5603005311</t>
  </si>
  <si>
    <t>0353100004919000018</t>
  </si>
  <si>
    <t>Оренбургская область</t>
  </si>
  <si>
    <t>Бузулук</t>
  </si>
  <si>
    <t>6901067121</t>
  </si>
  <si>
    <t>0136100006619000096</t>
  </si>
  <si>
    <t>[ОКПД2 38.22] Услуги по переработке и утилизации опасных отходов, [ОКПД2 38.21] Услуги по переработке и утилизации отходов неопасных</t>
  </si>
  <si>
    <t>Тверская область</t>
  </si>
  <si>
    <t>Тверь</t>
  </si>
  <si>
    <t>3013000821</t>
  </si>
  <si>
    <t>100186065119000047</t>
  </si>
  <si>
    <t>Астраханская область</t>
  </si>
  <si>
    <t>Знаменск</t>
  </si>
  <si>
    <t>0261009640</t>
  </si>
  <si>
    <t>0101200002319000322</t>
  </si>
  <si>
    <t>Республика Башкортостан</t>
  </si>
  <si>
    <t>Ишимбай</t>
  </si>
  <si>
    <t>7007005917</t>
  </si>
  <si>
    <t>0165300003319000122</t>
  </si>
  <si>
    <t>Томская область</t>
  </si>
  <si>
    <t>5904077172</t>
  </si>
  <si>
    <t>1056500002919000067</t>
  </si>
  <si>
    <t>[ОКПД2 33.12] Услуги по ремонту оборудования</t>
  </si>
  <si>
    <t>Пермский край</t>
  </si>
  <si>
    <t>0261009590</t>
  </si>
  <si>
    <t>0101200002319000323</t>
  </si>
  <si>
    <t>3438200048</t>
  </si>
  <si>
    <t>0329100018719000005</t>
  </si>
  <si>
    <t>Волгоградская область</t>
  </si>
  <si>
    <t>Урюпинск</t>
  </si>
  <si>
    <t>4703010458</t>
  </si>
  <si>
    <t>0345200007219000069</t>
  </si>
  <si>
    <t>Ленинградская область</t>
  </si>
  <si>
    <t>Всеволожский район</t>
  </si>
  <si>
    <t>7701827320</t>
  </si>
  <si>
    <t>0373200041519002096</t>
  </si>
  <si>
    <t>7804041610</t>
  </si>
  <si>
    <t>100301235119000017</t>
  </si>
  <si>
    <t>3444198220</t>
  </si>
  <si>
    <t>0329200062219005266</t>
  </si>
  <si>
    <t>[ОКПД2 47.29] Услуги по розничной торговли прочими пищевыми продуктами в специализированных магазинах</t>
  </si>
  <si>
    <t>Волгоград</t>
  </si>
  <si>
    <t>6602007830</t>
  </si>
  <si>
    <t>0362300281719000003</t>
  </si>
  <si>
    <t>Свердловская область</t>
  </si>
  <si>
    <t>2225171626</t>
  </si>
  <si>
    <t>0817200000319012459</t>
  </si>
  <si>
    <t>Барнаул</t>
  </si>
  <si>
    <t>5022028190</t>
  </si>
  <si>
    <t>901856</t>
  </si>
  <si>
    <t>Коломна</t>
  </si>
  <si>
    <t>5049006080</t>
  </si>
  <si>
    <t>0348100091519000020</t>
  </si>
  <si>
    <t>7611006200</t>
  </si>
  <si>
    <t>0371100004319000006</t>
  </si>
  <si>
    <t>Ярославская область</t>
  </si>
  <si>
    <t>5826100150</t>
  </si>
  <si>
    <t>0155200002219000651</t>
  </si>
  <si>
    <t>Никольский район</t>
  </si>
  <si>
    <t>5045064645</t>
  </si>
  <si>
    <t>901838</t>
  </si>
  <si>
    <t>Ступино</t>
  </si>
  <si>
    <t>5404189512</t>
  </si>
  <si>
    <t>0351200015919000128</t>
  </si>
  <si>
    <t>[ОКПД2 96.09] Услуги персональные прочие, не включенные в другие группировки</t>
  </si>
  <si>
    <t>Новосибирская область</t>
  </si>
  <si>
    <t>Новосибирск</t>
  </si>
  <si>
    <t>0187300014719001165</t>
  </si>
  <si>
    <t>8617014801</t>
  </si>
  <si>
    <t>Сургутский район</t>
  </si>
  <si>
    <t>8617006208</t>
  </si>
  <si>
    <t>8617006374</t>
  </si>
  <si>
    <t>5044019375</t>
  </si>
  <si>
    <t>901689</t>
  </si>
  <si>
    <t>Солнечногорский район</t>
  </si>
  <si>
    <t>5013029341</t>
  </si>
  <si>
    <t>0848300060519000353</t>
  </si>
  <si>
    <t>Жуковский</t>
  </si>
  <si>
    <t>2808002355</t>
  </si>
  <si>
    <t>0123100005219000045</t>
  </si>
  <si>
    <t>Амурская область</t>
  </si>
  <si>
    <t>Тында</t>
  </si>
  <si>
    <t>2904009748</t>
  </si>
  <si>
    <t>0324100011719000123</t>
  </si>
  <si>
    <t>Архангельская область</t>
  </si>
  <si>
    <t>1651064944</t>
  </si>
  <si>
    <t>0711200012519000204</t>
  </si>
  <si>
    <t>Республика Татарстан</t>
  </si>
  <si>
    <t>Нижнекамск</t>
  </si>
  <si>
    <t>2628016101</t>
  </si>
  <si>
    <t>0321300150519000176</t>
  </si>
  <si>
    <t>Кисловодск</t>
  </si>
  <si>
    <t>4349005752</t>
  </si>
  <si>
    <t>0340200003319014355</t>
  </si>
  <si>
    <t>Кировская область</t>
  </si>
  <si>
    <t>Киров</t>
  </si>
  <si>
    <t>7523003520</t>
  </si>
  <si>
    <t>0191100008619000020</t>
  </si>
  <si>
    <t>Забайкальский край</t>
  </si>
  <si>
    <t>4825023510</t>
  </si>
  <si>
    <t>0146300035219000253</t>
  </si>
  <si>
    <t>5044019368</t>
  </si>
  <si>
    <t>901576</t>
  </si>
  <si>
    <t>4818001636</t>
  </si>
  <si>
    <t>0146100008919000005</t>
  </si>
  <si>
    <t>5078022249</t>
  </si>
  <si>
    <t>0848300060619000774</t>
  </si>
  <si>
    <t>5406558885</t>
  </si>
  <si>
    <t>0351200023719000069</t>
  </si>
  <si>
    <t>1435075860</t>
  </si>
  <si>
    <t>0816500000619015295</t>
  </si>
  <si>
    <t>Республика Саха</t>
  </si>
  <si>
    <t>Якутск</t>
  </si>
  <si>
    <t>4101183767</t>
  </si>
  <si>
    <t>31908408822</t>
  </si>
  <si>
    <t>[ОКПД2 82.99] Услуги вспомогательные, связанные с предпринимательской деятельностью, прочие, не включенные в другие группировки, [ОКВЭД2 82.99] Деятельность по предоставлению прочих вспомогательных услуг для бизнеса, не включенная в другие группировки</t>
  </si>
  <si>
    <t>Камчатский край</t>
  </si>
  <si>
    <t>Петропавловск-Камчатский</t>
  </si>
  <si>
    <t>5021011323</t>
  </si>
  <si>
    <t>901556</t>
  </si>
  <si>
    <t>5044019463</t>
  </si>
  <si>
    <t>901542</t>
  </si>
  <si>
    <t>7612047181</t>
  </si>
  <si>
    <t>0171100004419000011</t>
  </si>
  <si>
    <t>2315113570</t>
  </si>
  <si>
    <t>0318200017019000136</t>
  </si>
  <si>
    <t>5044019343</t>
  </si>
  <si>
    <t>901071</t>
  </si>
  <si>
    <t>6501025800</t>
  </si>
  <si>
    <t>0161100003819000069</t>
  </si>
  <si>
    <t>Сахалинская область</t>
  </si>
  <si>
    <t>3813100462</t>
  </si>
  <si>
    <t>0134100011119000004</t>
  </si>
  <si>
    <t>Иркутская область</t>
  </si>
  <si>
    <t>0134100011119000005</t>
  </si>
  <si>
    <t>6102006757</t>
  </si>
  <si>
    <t>0158100007319000004</t>
  </si>
  <si>
    <t>Ростовская область</t>
  </si>
  <si>
    <t>Аксайский район</t>
  </si>
  <si>
    <t>1101487022</t>
  </si>
  <si>
    <t>0307200030619001876</t>
  </si>
  <si>
    <t>Республика Коми</t>
  </si>
  <si>
    <t>5446004474</t>
  </si>
  <si>
    <t>0151300021519000058</t>
  </si>
  <si>
    <t>Искитим</t>
  </si>
  <si>
    <t>1327011500</t>
  </si>
  <si>
    <t>0809500000319002291</t>
  </si>
  <si>
    <t>Республика Мордовия</t>
  </si>
  <si>
    <t>Саранск</t>
  </si>
  <si>
    <t>8401010917</t>
  </si>
  <si>
    <t>0119200000119009534</t>
  </si>
  <si>
    <t>Красноярский край</t>
  </si>
  <si>
    <t>Таймырский Долгано-Ненецкий район - административно-территориальная единица с особым статусом</t>
  </si>
  <si>
    <t>0134100011119000002</t>
  </si>
  <si>
    <t>0158100007319000005</t>
  </si>
  <si>
    <t>9108000186</t>
  </si>
  <si>
    <t>100263095119000022</t>
  </si>
  <si>
    <t>Феодосия</t>
  </si>
  <si>
    <t>1103021452</t>
  </si>
  <si>
    <t>0307200030619001871</t>
  </si>
  <si>
    <t>4416001202</t>
  </si>
  <si>
    <t>0341300076419000036</t>
  </si>
  <si>
    <t>Костромская область</t>
  </si>
  <si>
    <t>5246012929</t>
  </si>
  <si>
    <t>100138668119000052</t>
  </si>
  <si>
    <t>Бор</t>
  </si>
  <si>
    <t>1660018020</t>
  </si>
  <si>
    <t>0711200014919000152</t>
  </si>
  <si>
    <t>Зеленодольск</t>
  </si>
  <si>
    <t>5054009295</t>
  </si>
  <si>
    <t>0848300058919000312</t>
  </si>
  <si>
    <t>Королев</t>
  </si>
  <si>
    <t>4215001548</t>
  </si>
  <si>
    <t>0339300096119000227</t>
  </si>
  <si>
    <t>Кемеровская область</t>
  </si>
  <si>
    <t>Мыски</t>
  </si>
  <si>
    <t>6325997533</t>
  </si>
  <si>
    <t>0342100040819000048</t>
  </si>
  <si>
    <t>Сызрань</t>
  </si>
  <si>
    <t>5048051901</t>
  </si>
  <si>
    <t>0348100069819000064</t>
  </si>
  <si>
    <t>Чехов</t>
  </si>
  <si>
    <t>1001046786</t>
  </si>
  <si>
    <t>0306200010219000711</t>
  </si>
  <si>
    <t>Петрозаводск</t>
  </si>
  <si>
    <t>2466228533</t>
  </si>
  <si>
    <t>0319100000219000428</t>
  </si>
  <si>
    <t>[ОКПД2 26.60] Оборудование для облучения, электрическое диагностическое и терапевтическое, применяемые в медицинских целях</t>
  </si>
  <si>
    <t>0348100069819000067</t>
  </si>
  <si>
    <t>0348100069819000066</t>
  </si>
  <si>
    <t>9204547976</t>
  </si>
  <si>
    <t>0374200020619000014</t>
  </si>
  <si>
    <t>Севастополь</t>
  </si>
  <si>
    <t>0348100091519000018</t>
  </si>
  <si>
    <t>0348100091519000019</t>
  </si>
  <si>
    <t>1701058459</t>
  </si>
  <si>
    <t>0112400000119000048</t>
  </si>
  <si>
    <t>Республика Тыва</t>
  </si>
  <si>
    <t>Кызыл</t>
  </si>
  <si>
    <t>0348100069819000065</t>
  </si>
  <si>
    <t>7708503727</t>
  </si>
  <si>
    <t>[ОКПД2 10.39] Фрукты, овощи и грибы переработанные и консервированные, не включенные в другие группировки, [ОКПД2 10.20] Рыба переработанная и консервированная, ракообразные и моллюски</t>
  </si>
  <si>
    <t>5036046030</t>
  </si>
  <si>
    <t>900525</t>
  </si>
  <si>
    <t>5944020101</t>
  </si>
  <si>
    <t>0356300118319000210</t>
  </si>
  <si>
    <t>[ОКПД2 10.86] Продукция детского питания и диетическая</t>
  </si>
  <si>
    <t>0306200010219000706</t>
  </si>
  <si>
    <t>5191501477</t>
  </si>
  <si>
    <t>0149200002319006505</t>
  </si>
  <si>
    <t>Мурманская область</t>
  </si>
  <si>
    <t>Мурманск</t>
  </si>
  <si>
    <t>9111007738</t>
  </si>
  <si>
    <t>100013938119000071</t>
  </si>
  <si>
    <t>Керчь</t>
  </si>
  <si>
    <t>5190908238</t>
  </si>
  <si>
    <t>0149100002119000027</t>
  </si>
  <si>
    <t>3448029713</t>
  </si>
  <si>
    <t>0129200005319004062</t>
  </si>
  <si>
    <t>6422010343</t>
  </si>
  <si>
    <t>100168682119000031</t>
  </si>
  <si>
    <t>Саратовская область</t>
  </si>
  <si>
    <t>Новоузенский район</t>
  </si>
  <si>
    <t>7734597400</t>
  </si>
  <si>
    <t>0373200006619000169</t>
  </si>
  <si>
    <t>[ОКПД2 33.14] Услуги по ремонту электрического оборудования</t>
  </si>
  <si>
    <t>1901006465</t>
  </si>
  <si>
    <t>0380200000119005829</t>
  </si>
  <si>
    <t>[ОКПД2 62.09] Услуги в области информационных технологий прочие и компьютерные услуги</t>
  </si>
  <si>
    <t>0306200010219000705</t>
  </si>
  <si>
    <t>8604035473</t>
  </si>
  <si>
    <t>31908405328</t>
  </si>
  <si>
    <t>[ОКПД2 56.29] Услуги по обеспечению питанием прочие, [ОКВЭД2 56.29] Деятельность предприятий общественного питания по прочим видам организации питания</t>
  </si>
  <si>
    <t>Нефтеюганск</t>
  </si>
  <si>
    <t>8603139198</t>
  </si>
  <si>
    <t>0387200028819000043</t>
  </si>
  <si>
    <t>Нижневартовск</t>
  </si>
  <si>
    <t>0373200041519002065</t>
  </si>
  <si>
    <t>5036028023</t>
  </si>
  <si>
    <t>0348300189519000040</t>
  </si>
  <si>
    <t>7725524660</t>
  </si>
  <si>
    <t>ATOM16101900137</t>
  </si>
  <si>
    <t>7838387006</t>
  </si>
  <si>
    <t>0372200242319000020</t>
  </si>
  <si>
    <t>[ОКПД2 93.19] Услуги в области спорта прочие</t>
  </si>
  <si>
    <t>Алушта</t>
  </si>
  <si>
    <t>5025014050</t>
  </si>
  <si>
    <t>899820</t>
  </si>
  <si>
    <t>Лобня</t>
  </si>
  <si>
    <t>7813008658</t>
  </si>
  <si>
    <t>0372200141819000085</t>
  </si>
  <si>
    <t>[ОКПД2 55.10] Услуги гостиниц и аналогичные услуги по предоставлению временного жилья, [ОКПД2 93.11] Услуги спортивных объектов</t>
  </si>
  <si>
    <t>1116003411</t>
  </si>
  <si>
    <t>0107100003519000462</t>
  </si>
  <si>
    <t>8604035226</t>
  </si>
  <si>
    <t>0387200014819000066</t>
  </si>
  <si>
    <t>4028022410</t>
  </si>
  <si>
    <t>0137200001219005278</t>
  </si>
  <si>
    <t>[ОКПД2 73.11] Услуги, предоставляемые рекламными агентствами</t>
  </si>
  <si>
    <t>Калуга</t>
  </si>
  <si>
    <t>5914210539</t>
  </si>
  <si>
    <t>0156300000419000178</t>
  </si>
  <si>
    <t>7524006073</t>
  </si>
  <si>
    <t>0891200000619011639</t>
  </si>
  <si>
    <t>Чита</t>
  </si>
  <si>
    <t>0891200000619011640</t>
  </si>
  <si>
    <t>РН91004673</t>
  </si>
  <si>
    <t>[ОКПД2 56.29] Услуги по обеспечению питанием прочие, [ОКВЭД2 55+] Деятельность по предоставлению мест для временного проживания</t>
  </si>
  <si>
    <t>3908010986</t>
  </si>
  <si>
    <t>0135200000519004393</t>
  </si>
  <si>
    <t>Калининградская область</t>
  </si>
  <si>
    <t>Калининград</t>
  </si>
  <si>
    <t>5019010026</t>
  </si>
  <si>
    <t>0148100000919000022</t>
  </si>
  <si>
    <t>Кашира</t>
  </si>
  <si>
    <t>3612004254</t>
  </si>
  <si>
    <t>100302931119000011</t>
  </si>
  <si>
    <t>Кантемировский район</t>
  </si>
  <si>
    <t>3601002329</t>
  </si>
  <si>
    <t>0331200011819000005</t>
  </si>
  <si>
    <t>Аннинский район</t>
  </si>
  <si>
    <t>5036034203</t>
  </si>
  <si>
    <t>899566</t>
  </si>
  <si>
    <t>6012003166</t>
  </si>
  <si>
    <t>0157000000419000007</t>
  </si>
  <si>
    <t>Псковская область</t>
  </si>
  <si>
    <t>6340000760</t>
  </si>
  <si>
    <t>0142200001319017065</t>
  </si>
  <si>
    <t>Отрадный</t>
  </si>
  <si>
    <t>6316023206</t>
  </si>
  <si>
    <t>0142200001319017058</t>
  </si>
  <si>
    <t>2426005072</t>
  </si>
  <si>
    <t>100178512119000061</t>
  </si>
  <si>
    <t>Мотыгинский район</t>
  </si>
  <si>
    <t>5039006483</t>
  </si>
  <si>
    <t>899482</t>
  </si>
  <si>
    <t>Пущино</t>
  </si>
  <si>
    <t>5835120152</t>
  </si>
  <si>
    <t>31908399368</t>
  </si>
  <si>
    <t>6604010482</t>
  </si>
  <si>
    <t>31908398387</t>
  </si>
  <si>
    <t>0323049187</t>
  </si>
  <si>
    <t>31908398324</t>
  </si>
  <si>
    <t>Республика Бурятия</t>
  </si>
  <si>
    <t>0274157821</t>
  </si>
  <si>
    <t>0801200000219000781</t>
  </si>
  <si>
    <t>Уфа</t>
  </si>
  <si>
    <t>[ОКПД2 71.20] Услуги в области технических испытаний, исследований, анализа и сертификации</t>
  </si>
  <si>
    <t>0111300005119000666</t>
  </si>
  <si>
    <t>1651028350</t>
  </si>
  <si>
    <t>1651028199</t>
  </si>
  <si>
    <t>1651085084</t>
  </si>
  <si>
    <t>1651085091</t>
  </si>
  <si>
    <t>7104007268</t>
  </si>
  <si>
    <t>0166300024719000914</t>
  </si>
  <si>
    <t>[ОКПД2 90.04] Услуги учреждений культуры и искусства</t>
  </si>
  <si>
    <t>3825001233</t>
  </si>
  <si>
    <t>0134100011419000008</t>
  </si>
  <si>
    <t>Заларинский район</t>
  </si>
  <si>
    <t>2301036639</t>
  </si>
  <si>
    <t>0318300537419000593</t>
  </si>
  <si>
    <t>Анапа</t>
  </si>
  <si>
    <t>0373200041519002060</t>
  </si>
  <si>
    <t>5036034161</t>
  </si>
  <si>
    <t>899273</t>
  </si>
  <si>
    <t>1119000401</t>
  </si>
  <si>
    <t>0307300066419000220</t>
  </si>
  <si>
    <t>Ижемский район</t>
  </si>
  <si>
    <t>6730009960</t>
  </si>
  <si>
    <t>0163200000319007551</t>
  </si>
  <si>
    <t>Смоленская область</t>
  </si>
  <si>
    <t>Смоленск</t>
  </si>
  <si>
    <t>8614005943</t>
  </si>
  <si>
    <t>0387200013219000059</t>
  </si>
  <si>
    <t>[ОКПД2 10.51] Молоко и молочная продукция</t>
  </si>
  <si>
    <t>Октябрьский район</t>
  </si>
  <si>
    <t>7446040638</t>
  </si>
  <si>
    <t>0169300000319002642</t>
  </si>
  <si>
    <t>[ОКПД2 49.41] Услуги по грузовым перевозкам автомобильным транспортом</t>
  </si>
  <si>
    <t>Челябинская область</t>
  </si>
  <si>
    <t>Магнитогорск</t>
  </si>
  <si>
    <t>899269</t>
  </si>
  <si>
    <t>3250057478</t>
  </si>
  <si>
    <t>0127100007419000079</t>
  </si>
  <si>
    <t>[ОКПД2 38.21] Услуги по переработке и утилизации отходов неопасных, [ОКПД2 71.20] Услуги в области технических испытаний, исследований, анализа и сертификации, [ОКПД2 38.22] Услуги по переработке и утилизации опасных отходов</t>
  </si>
  <si>
    <t>Брянская область</t>
  </si>
  <si>
    <t>Брянск</t>
  </si>
  <si>
    <t>0274089610</t>
  </si>
  <si>
    <t>РН91004485</t>
  </si>
  <si>
    <t>Усинск</t>
  </si>
  <si>
    <t>8613001960</t>
  </si>
  <si>
    <t>0387100009019000009</t>
  </si>
  <si>
    <t>Березовский район</t>
  </si>
  <si>
    <t>5036034348</t>
  </si>
  <si>
    <t>899170</t>
  </si>
  <si>
    <t>5507213615</t>
  </si>
  <si>
    <t>0352100001819000018</t>
  </si>
  <si>
    <t>Омская область</t>
  </si>
  <si>
    <t>Омск</t>
  </si>
  <si>
    <t>7453042876</t>
  </si>
  <si>
    <t>0369100043219000591</t>
  </si>
  <si>
    <t>Челябинск</t>
  </si>
  <si>
    <t>0306200010219000697</t>
  </si>
  <si>
    <t>[ОКПД2 20.59] Продукты химические прочие, не включенные в другие группировки</t>
  </si>
  <si>
    <t>7021044280</t>
  </si>
  <si>
    <t>0165300010519001065</t>
  </si>
  <si>
    <t>Томск</t>
  </si>
  <si>
    <t>5078022898</t>
  </si>
  <si>
    <t>898939</t>
  </si>
  <si>
    <t>5036034242</t>
  </si>
  <si>
    <t>898982</t>
  </si>
  <si>
    <t>3514004792</t>
  </si>
  <si>
    <t>0330300089619000015</t>
  </si>
  <si>
    <t>Вологодская область</t>
  </si>
  <si>
    <t>5028002575</t>
  </si>
  <si>
    <t>0348100065919000012</t>
  </si>
  <si>
    <t>Можайск</t>
  </si>
  <si>
    <t>5044019400</t>
  </si>
  <si>
    <t>898711</t>
  </si>
  <si>
    <t>7706729736</t>
  </si>
  <si>
    <t>2601666</t>
  </si>
  <si>
    <t>7826667721</t>
  </si>
  <si>
    <t>0372200147719000120</t>
  </si>
  <si>
    <t>[ОКПД2 58.29] Услуги по изданию прочего программного обеспечения</t>
  </si>
  <si>
    <t>0172200004619000094</t>
  </si>
  <si>
    <t>7802145444</t>
  </si>
  <si>
    <t>7802145370</t>
  </si>
  <si>
    <t>7802123680</t>
  </si>
  <si>
    <t>5643000951</t>
  </si>
  <si>
    <t>0853500000319011530</t>
  </si>
  <si>
    <t>Саракташский район</t>
  </si>
  <si>
    <t>7711027436</t>
  </si>
  <si>
    <t>0573100025919000200</t>
  </si>
  <si>
    <t>Архангельск</t>
  </si>
  <si>
    <t>5078004070</t>
  </si>
  <si>
    <t>0848300060619000730</t>
  </si>
  <si>
    <t>100168682119000030</t>
  </si>
  <si>
    <t>Александрово-Гайский район</t>
  </si>
  <si>
    <t>6664040146</t>
  </si>
  <si>
    <t>0362200063319000014</t>
  </si>
  <si>
    <t>Екатеринбург</t>
  </si>
  <si>
    <t>0817200000319012403</t>
  </si>
  <si>
    <t>5044019209</t>
  </si>
  <si>
    <t>898376</t>
  </si>
  <si>
    <t>5029175242</t>
  </si>
  <si>
    <t>0848300062719000624</t>
  </si>
  <si>
    <t>[ОКПД2 26.20] Компьютеры и периферийное оборудование, [ОКПД2 26.30] Оборудование коммуникационное</t>
  </si>
  <si>
    <t>Мытищи</t>
  </si>
  <si>
    <t>3801098402</t>
  </si>
  <si>
    <t>2601534</t>
  </si>
  <si>
    <t>Ангарский район</t>
  </si>
  <si>
    <t>2525007024</t>
  </si>
  <si>
    <t>100172248119000034</t>
  </si>
  <si>
    <t>Приморский край</t>
  </si>
  <si>
    <t>Пограничный район</t>
  </si>
  <si>
    <t>ATOM15101900029</t>
  </si>
  <si>
    <t>4909055639</t>
  </si>
  <si>
    <t>31908398518</t>
  </si>
  <si>
    <t>Магаданская область</t>
  </si>
  <si>
    <t>3809015990</t>
  </si>
  <si>
    <t>31908399108</t>
  </si>
  <si>
    <t>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</t>
  </si>
  <si>
    <t>7704243852</t>
  </si>
  <si>
    <t>31908401399</t>
  </si>
  <si>
    <t>[ОКПД2 82.30] Услуги по организации конференций и торговых выставок, [ОКВЭД2 82.30] Деятельность по организации конференций и выставок</t>
  </si>
  <si>
    <t>4218006431</t>
  </si>
  <si>
    <t>31908398911</t>
  </si>
  <si>
    <t>[ОКПД2 26.40] Техника бытовая электронная, [ОКПД2 26.20] Компьютеры и периферийное оборудование, [ОКПД2 25.94] Изделия крепежные и винты крепежные, [ОКПД2 27.12] Аппаратура распределительная и регулирующая электрическая, [ОКПД2 27.32] Провода и кабели электронные и электрические прочие, [ОКПД2 33.20] Услуги по монтажу промышленных машин и оборудования, [ОКПД2 26.30] Оборудование коммуникационное, [ОКПД2 27.33] Изделия электроустановочные, [ОКВЭД2 26.40] Производство бытовой электроники, [ОКВЭД2 26.20] Производство компьютеров и периферийного оборудования, [ОКВЭД2 26.30] Производство коммуникационного оборудования, [ОКВЭД2 25.94] Производство крепежных изделий, [ОКВЭД2 27.12] Производство электрической распределительной и регулирующей аппаратуры, [ОКВЭД2 27.32] Производство прочих проводов и кабелей для электронного и электрического оборудования, [ОКВЭД2 27.33] Производство электроустановочных изделий, [ОКВЭД2 33.20] Монтаж промышленных машин и оборудования</t>
  </si>
  <si>
    <t>6604009046</t>
  </si>
  <si>
    <t>31908398339</t>
  </si>
  <si>
    <t>7730050504</t>
  </si>
  <si>
    <t>31908402794</t>
  </si>
  <si>
    <t>[ОКПД2 56.21] Услуги по поставке продукции общественного питания и обслуживанию торжественных мероприятий, [ОКВЭД2 56.21] Деятельность предприятий общественного питания по обслуживанию торжественных мероприятий</t>
  </si>
  <si>
    <t>6660000255</t>
  </si>
  <si>
    <t>31908398296</t>
  </si>
  <si>
    <t>7705043493</t>
  </si>
  <si>
    <t>31908401334</t>
  </si>
  <si>
    <t>[ОКПД2 47.29] Услуги по розничной торговли прочими пищевыми продуктами в специализированных магазинах, [ОКВЭД2 47.29] Торговля розничная прочими пищевыми продуктами в специализированных магазинах</t>
  </si>
  <si>
    <t>7709919968</t>
  </si>
  <si>
    <t>31908403011</t>
  </si>
  <si>
    <t>[ОКПД2 71.12] Услуги в области инженерно-технического проектирования и связанные технические консультативные услуги,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</si>
  <si>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2456006179</t>
  </si>
  <si>
    <t>31908399532</t>
  </si>
  <si>
    <t>[ОКПД2 10+] Продукты пищевые, [ОКВЭД2 10+] Производство пищевых продуктов</t>
  </si>
  <si>
    <t>7704825628</t>
  </si>
  <si>
    <t>31908402634</t>
  </si>
  <si>
    <t>[ОКПД2 56.21] Услуги по поставке продукции общественного питания и обслуживанию торжественных мероприятий, [ОКВЭД2 56.29] Деятельность предприятий общественного питания по прочим видам организации питания</t>
  </si>
  <si>
    <t>Одинцовский район</t>
  </si>
  <si>
    <t>3666180947</t>
  </si>
  <si>
    <t>31908400178</t>
  </si>
  <si>
    <t>[ОКПД2 56.10] Услуги ресторанов и услуги по доставке продуктов питания, [ОКВЭД2 56.10] Деятельность ресторанов и услуги по доставке продуктов питания</t>
  </si>
  <si>
    <t>7721514326</t>
  </si>
  <si>
    <t>0373100077819000039</t>
  </si>
  <si>
    <t>[ОКПД2 33.13] Услуги по ремонту электронного и оптического оборудования</t>
  </si>
  <si>
    <t>5612017560</t>
  </si>
  <si>
    <t>0853500000319011485</t>
  </si>
  <si>
    <t>[ОКПД2 10.89] Продукты пищевые прочие, не включенные в другие группировки</t>
  </si>
  <si>
    <t>Оренбург</t>
  </si>
  <si>
    <t>6165023530</t>
  </si>
  <si>
    <t>0358200019719000272</t>
  </si>
  <si>
    <t>Ростов-на-Дону</t>
  </si>
  <si>
    <t>5013000381</t>
  </si>
  <si>
    <t>0848300060519000347</t>
  </si>
  <si>
    <t>5628002753</t>
  </si>
  <si>
    <t>0853500000319011513</t>
  </si>
  <si>
    <t>[ОКПД2 10.39] Фрукты, овощи и грибы переработанные и консервированные, не включенные в другие группировки</t>
  </si>
  <si>
    <t>Домбаровский район</t>
  </si>
  <si>
    <t>0348100065919000011</t>
  </si>
  <si>
    <t>0348100065919000009</t>
  </si>
  <si>
    <t>5021011348</t>
  </si>
  <si>
    <t>897853</t>
  </si>
  <si>
    <t>2626030421</t>
  </si>
  <si>
    <t>0321300041519000088</t>
  </si>
  <si>
    <t>[ОКПД2 71.12] Услуги в области инженерно-технического проектирования и связанные технические консультативные услуги</t>
  </si>
  <si>
    <t>Ессентуки</t>
  </si>
  <si>
    <t>0358200019719000271</t>
  </si>
  <si>
    <t>1322000198</t>
  </si>
  <si>
    <t>100050821119000048</t>
  </si>
  <si>
    <t>Чамзинский район</t>
  </si>
  <si>
    <t>100050821119000049</t>
  </si>
  <si>
    <t>0358200019719000273</t>
  </si>
  <si>
    <t>Азов</t>
  </si>
  <si>
    <t>5036034186</t>
  </si>
  <si>
    <t>897703</t>
  </si>
  <si>
    <t>1002000488</t>
  </si>
  <si>
    <t>0306300003919000140</t>
  </si>
  <si>
    <t>2129052584</t>
  </si>
  <si>
    <t>0115200001119002760</t>
  </si>
  <si>
    <t>Чувашская Республика - Чувашия</t>
  </si>
  <si>
    <t>2510003933</t>
  </si>
  <si>
    <t>0320300057119000143</t>
  </si>
  <si>
    <t>[ОКПД2 62.03] Услуги по управлению компьютерным оборудованием</t>
  </si>
  <si>
    <t>Спасский район</t>
  </si>
  <si>
    <t>6647002856</t>
  </si>
  <si>
    <t>0362300186319000007</t>
  </si>
  <si>
    <t>2310036385</t>
  </si>
  <si>
    <t>0318200020019000014</t>
  </si>
  <si>
    <t>7007006290</t>
  </si>
  <si>
    <t>0165300003319000119</t>
  </si>
  <si>
    <t>5047094187</t>
  </si>
  <si>
    <t>0848300044519000541</t>
  </si>
  <si>
    <t>Химки</t>
  </si>
  <si>
    <t>7804029740</t>
  </si>
  <si>
    <t>0372200275619000101</t>
  </si>
  <si>
    <t>5036034235</t>
  </si>
  <si>
    <t>897751</t>
  </si>
  <si>
    <t>5210001306</t>
  </si>
  <si>
    <t>0332300214719000051</t>
  </si>
  <si>
    <t>Вознесенский район</t>
  </si>
  <si>
    <t>0101200002319000321</t>
  </si>
  <si>
    <t>0261009583</t>
  </si>
  <si>
    <t>0261011092</t>
  </si>
  <si>
    <t>0261018122</t>
  </si>
  <si>
    <t>0261019648</t>
  </si>
  <si>
    <t>5651001733</t>
  </si>
  <si>
    <t>0853500000319011483</t>
  </si>
  <si>
    <t>Шарлыкский район</t>
  </si>
  <si>
    <t>2466000144</t>
  </si>
  <si>
    <t>0119100012619000096</t>
  </si>
  <si>
    <t>6149004427</t>
  </si>
  <si>
    <t>0158100017819000012</t>
  </si>
  <si>
    <t>Миллеровский район</t>
  </si>
  <si>
    <t>7130010429</t>
  </si>
  <si>
    <t>0366200035619007272</t>
  </si>
  <si>
    <t>Ленинский район</t>
  </si>
  <si>
    <t>2901061796</t>
  </si>
  <si>
    <t>0124200000619005434</t>
  </si>
  <si>
    <t>0848300062219001639</t>
  </si>
  <si>
    <t>5074019358</t>
  </si>
  <si>
    <t>5074019380</t>
  </si>
  <si>
    <t>5074019407</t>
  </si>
  <si>
    <t>3328441202</t>
  </si>
  <si>
    <t>0328100002719000273</t>
  </si>
  <si>
    <t>Владимирская область</t>
  </si>
  <si>
    <t>Владимир</t>
  </si>
  <si>
    <t>0119100012619000097</t>
  </si>
  <si>
    <t>5102050842</t>
  </si>
  <si>
    <t>0149300003519000248</t>
  </si>
  <si>
    <t>Кандалакшский</t>
  </si>
  <si>
    <t>0264005932</t>
  </si>
  <si>
    <t>0101500000319001788</t>
  </si>
  <si>
    <t>7536095695</t>
  </si>
  <si>
    <t>0891200000619011548</t>
  </si>
  <si>
    <t>5905253670</t>
  </si>
  <si>
    <t>0356300120319000138</t>
  </si>
  <si>
    <t>[ОКПД2 38.21] Услуги по переработке и утилизации отходов неопасных, [ОКПД2 38.22] Услуги по переработке и утилизации опасных отходов</t>
  </si>
  <si>
    <t>5044042889</t>
  </si>
  <si>
    <t>0848300066119000654</t>
  </si>
  <si>
    <t>5947001178</t>
  </si>
  <si>
    <t>0356300244219000037</t>
  </si>
  <si>
    <t>7114008038</t>
  </si>
  <si>
    <t>0366200035619007269</t>
  </si>
  <si>
    <t>Донской</t>
  </si>
  <si>
    <t>0330300089619000014</t>
  </si>
  <si>
    <t>2634044146</t>
  </si>
  <si>
    <t>0321200030019000094</t>
  </si>
  <si>
    <t>Ставрополь</t>
  </si>
  <si>
    <t>5617001412</t>
  </si>
  <si>
    <t>0853500000319011467</t>
  </si>
  <si>
    <t>Сорочинск</t>
  </si>
  <si>
    <t>3423019600</t>
  </si>
  <si>
    <t>0129200005319004018</t>
  </si>
  <si>
    <t>Палласовский район</t>
  </si>
  <si>
    <t>3126018026</t>
  </si>
  <si>
    <t>0126600003119000101</t>
  </si>
  <si>
    <t>[ОКПД2 45.20] Услуги по техническому обслуживанию и ремонту автотранспортных средств</t>
  </si>
  <si>
    <t>Белгородская область</t>
  </si>
  <si>
    <t>Валуйки</t>
  </si>
  <si>
    <t>8619009187</t>
  </si>
  <si>
    <t>0187300001719000589</t>
  </si>
  <si>
    <t>Нефтеюганский район</t>
  </si>
  <si>
    <t>5503078203</t>
  </si>
  <si>
    <t>0152200001419000033</t>
  </si>
  <si>
    <t>[ОКПД2 95.22] Услуги по ремонту бытовых приборов, домашнего и садового инвентаря</t>
  </si>
  <si>
    <t>7802010020</t>
  </si>
  <si>
    <t>0372100041319000411</t>
  </si>
  <si>
    <t>5018000184</t>
  </si>
  <si>
    <t>897143</t>
  </si>
  <si>
    <t>5408125252</t>
  </si>
  <si>
    <t>0151300031919000064</t>
  </si>
  <si>
    <t>7536032409</t>
  </si>
  <si>
    <t>0891200000619011504</t>
  </si>
  <si>
    <t>6904026927</t>
  </si>
  <si>
    <t>0136200003619006648</t>
  </si>
  <si>
    <t>6661003675</t>
  </si>
  <si>
    <t>0362100017919000013</t>
  </si>
  <si>
    <t>[ОКПД2 58.11] Услуги по изданию книг</t>
  </si>
  <si>
    <t>2531003388</t>
  </si>
  <si>
    <t>0320100031219000030</t>
  </si>
  <si>
    <t>5007042619</t>
  </si>
  <si>
    <t>897173</t>
  </si>
  <si>
    <t>Дмитровский район</t>
  </si>
  <si>
    <t>897097</t>
  </si>
  <si>
    <t>5036115460</t>
  </si>
  <si>
    <t>897015</t>
  </si>
  <si>
    <t>897045</t>
  </si>
  <si>
    <t>4826030285</t>
  </si>
  <si>
    <t>0346300005119000022</t>
  </si>
  <si>
    <t>Липецк</t>
  </si>
  <si>
    <t>1120000131</t>
  </si>
  <si>
    <t>0307300050719000237</t>
  </si>
  <si>
    <t>Усть-Цилемский район</t>
  </si>
  <si>
    <t>5078007593</t>
  </si>
  <si>
    <t>0848300060619000720</t>
  </si>
  <si>
    <t>5078009819</t>
  </si>
  <si>
    <t>0848300060619000713</t>
  </si>
  <si>
    <t>5044019382</t>
  </si>
  <si>
    <t>896980</t>
  </si>
  <si>
    <t>5078008460</t>
  </si>
  <si>
    <t>0848300060619000708</t>
  </si>
  <si>
    <t>5053006132</t>
  </si>
  <si>
    <t>0348300220619000202</t>
  </si>
  <si>
    <t>Электросталь</t>
  </si>
  <si>
    <t>1434017062</t>
  </si>
  <si>
    <t>0316100005219000014</t>
  </si>
  <si>
    <t>Нерюнгри</t>
  </si>
  <si>
    <t>4909114796</t>
  </si>
  <si>
    <t>0847100000619000129</t>
  </si>
  <si>
    <t>Магадан</t>
  </si>
  <si>
    <t>3907012388</t>
  </si>
  <si>
    <t>0135200000519004347</t>
  </si>
  <si>
    <t>5404167325</t>
  </si>
  <si>
    <t>0851200000619006321</t>
  </si>
  <si>
    <t>0847100000619000131</t>
  </si>
  <si>
    <t>7702361280</t>
  </si>
  <si>
    <t>0373200295619000020</t>
  </si>
  <si>
    <t>[ОКПД2 80.20] Услуги систем обеспечения безопасности</t>
  </si>
  <si>
    <t>1651057545</t>
  </si>
  <si>
    <t>0311300012419000108</t>
  </si>
  <si>
    <t>8603033106</t>
  </si>
  <si>
    <t>100080596119000025</t>
  </si>
  <si>
    <t>6658503780</t>
  </si>
  <si>
    <t>31908390610</t>
  </si>
  <si>
    <t>7203162698</t>
  </si>
  <si>
    <t>31908395374</t>
  </si>
  <si>
    <t>[ОКПД2 56.1+] Услуги ресторанов и услуги по доставке продуктов питания, [ОКВЭД2 56.1+] Деятельность ресторанов и услуги по доставке продуктов питания</t>
  </si>
  <si>
    <t>Тюменская область</t>
  </si>
  <si>
    <t>3016051817</t>
  </si>
  <si>
    <t>31908393971</t>
  </si>
  <si>
    <t>[ОКПД2 55.10] Услуги гостиниц и аналогичные услуги по предоставлению временного жилья, [ОКВЭД2 55.10] Деятельность гостиниц и прочих мест для временного проживания</t>
  </si>
  <si>
    <t>7604247525</t>
  </si>
  <si>
    <t>31908394857</t>
  </si>
  <si>
    <t>5407205145</t>
  </si>
  <si>
    <t>31908393967</t>
  </si>
  <si>
    <t>[ОКПД2 33.12] Услуги по ремонту оборудования, [ОКВЭД2 33.12] Ремонт машин и оборудования</t>
  </si>
  <si>
    <t>31908395021</t>
  </si>
  <si>
    <t>2464028666</t>
  </si>
  <si>
    <t>31908394024</t>
  </si>
  <si>
    <t>7719061340</t>
  </si>
  <si>
    <t>31908397815</t>
  </si>
  <si>
    <t>5073087108</t>
  </si>
  <si>
    <t>31908393849</t>
  </si>
  <si>
    <t>31908394021</t>
  </si>
  <si>
    <t>Республика Северная Осетия-Алания</t>
  </si>
  <si>
    <t>31908394415</t>
  </si>
  <si>
    <t>7810814522</t>
  </si>
  <si>
    <t>31908396527</t>
  </si>
  <si>
    <t>[ОКПД2 52+] Услуги по складированию и вспомогательные транспортные услуги, [ОКВЭД2 52.23] Деятельность вспомогательная, связанная с воздушным и космическим транспортом</t>
  </si>
  <si>
    <t>7215007707</t>
  </si>
  <si>
    <t>31908396461</t>
  </si>
  <si>
    <t>6621008148</t>
  </si>
  <si>
    <t>31908396119</t>
  </si>
  <si>
    <t>6606026953</t>
  </si>
  <si>
    <t>31908396040</t>
  </si>
  <si>
    <t>[ОКПД2 55.20] Услуги по предоставлению временного жилья в местах отдыха и прочих местах для краткосрочного проживания, [ОКВЭД2 55.20] Деятельность по предоставлению мест для краткосрочного проживания</t>
  </si>
  <si>
    <t>Верхняя Пышма</t>
  </si>
  <si>
    <t>8602002031</t>
  </si>
  <si>
    <t>31908396510</t>
  </si>
  <si>
    <t>5044019456</t>
  </si>
  <si>
    <t>896860</t>
  </si>
  <si>
    <t>6316112505</t>
  </si>
  <si>
    <t>0142200001319016867</t>
  </si>
  <si>
    <t>6501248726</t>
  </si>
  <si>
    <t>0861100000219000091</t>
  </si>
  <si>
    <t>Южно-Сахалинск</t>
  </si>
  <si>
    <t>5021011316</t>
  </si>
  <si>
    <t>876776</t>
  </si>
  <si>
    <t>5610128378</t>
  </si>
  <si>
    <t>0853500000319011379</t>
  </si>
  <si>
    <t>[ОКПД2 26.20] Компьютеры и периферийное оборудование</t>
  </si>
  <si>
    <t>5610033207</t>
  </si>
  <si>
    <t>0853500000319011368</t>
  </si>
  <si>
    <t>7724048948</t>
  </si>
  <si>
    <t>0373100082719000045</t>
  </si>
  <si>
    <t>0373100082719000044</t>
  </si>
  <si>
    <t>3327102101</t>
  </si>
  <si>
    <t>0128200000119006471</t>
  </si>
  <si>
    <t>6445907080</t>
  </si>
  <si>
    <t>0160100005719000025</t>
  </si>
  <si>
    <t>Пугачев</t>
  </si>
  <si>
    <t>0172200004619000091</t>
  </si>
  <si>
    <t>7802114830</t>
  </si>
  <si>
    <t>7802144169</t>
  </si>
  <si>
    <t>0172200004619000090</t>
  </si>
  <si>
    <t>7802143493</t>
  </si>
  <si>
    <t>7802141513</t>
  </si>
  <si>
    <t>7802146293</t>
  </si>
  <si>
    <t>3403301447</t>
  </si>
  <si>
    <t>0329100008719000010</t>
  </si>
  <si>
    <t>Городищенский район</t>
  </si>
  <si>
    <t>0187300001719000584</t>
  </si>
  <si>
    <t>7802144225</t>
  </si>
  <si>
    <t>0172200004619000089</t>
  </si>
  <si>
    <t>0172200004619000088</t>
  </si>
  <si>
    <t>7802143920</t>
  </si>
  <si>
    <t>7802146783</t>
  </si>
  <si>
    <t>7802144923</t>
  </si>
  <si>
    <t>6312023131</t>
  </si>
  <si>
    <t>0142200001319016844</t>
  </si>
  <si>
    <t>6668011146</t>
  </si>
  <si>
    <t>0162100013519000050</t>
  </si>
  <si>
    <t>Нижний Тагил</t>
  </si>
  <si>
    <t>5642000363</t>
  </si>
  <si>
    <t>0853500000319011387</t>
  </si>
  <si>
    <t>Сакмарский район</t>
  </si>
  <si>
    <t>5918214679</t>
  </si>
  <si>
    <t>0156200009919000816</t>
  </si>
  <si>
    <t>5321038855</t>
  </si>
  <si>
    <t>0350100000819000014</t>
  </si>
  <si>
    <t>Новгородская область</t>
  </si>
  <si>
    <t>1840010630</t>
  </si>
  <si>
    <t>0813100000319000196</t>
  </si>
  <si>
    <t>Удмуртская Республика</t>
  </si>
  <si>
    <t>3514004922</t>
  </si>
  <si>
    <t>0330300155119000009</t>
  </si>
  <si>
    <t>0350100000819000013</t>
  </si>
  <si>
    <t>0332100013719000007</t>
  </si>
  <si>
    <t>0332100013719000006</t>
  </si>
  <si>
    <t>2614019198</t>
  </si>
  <si>
    <t>29858</t>
  </si>
  <si>
    <t>[ОКПД2 46.17] Услуги по оптовой торговле пищевыми продуктами, напитками и табачными изделия ми за вознаграждение или на договорной основе, [ОКВЭД2 46.17] Деятельность агентов по оптовой торговле пищевыми продуктами, напитками и табачными изделиями</t>
  </si>
  <si>
    <t>Нефтекумский район</t>
  </si>
  <si>
    <t>4335000955</t>
  </si>
  <si>
    <t>0340200003319014171</t>
  </si>
  <si>
    <t>Фаленский район</t>
  </si>
  <si>
    <t>4345404435</t>
  </si>
  <si>
    <t>0340200003319014170</t>
  </si>
  <si>
    <t>4345393078</t>
  </si>
  <si>
    <t>0340200003319014173</t>
  </si>
  <si>
    <t>Советский район</t>
  </si>
  <si>
    <t>0172200004619000085</t>
  </si>
  <si>
    <t>7802281214</t>
  </si>
  <si>
    <t>7802142725</t>
  </si>
  <si>
    <t>5050015548</t>
  </si>
  <si>
    <t>0348100062619000012</t>
  </si>
  <si>
    <t>Лосино-Петровский</t>
  </si>
  <si>
    <t>0172200004619000087</t>
  </si>
  <si>
    <t>7802144151</t>
  </si>
  <si>
    <t>7802084713</t>
  </si>
  <si>
    <t>0172200004619000083</t>
  </si>
  <si>
    <t>7802151543</t>
  </si>
  <si>
    <t>7802123345</t>
  </si>
  <si>
    <t>7802144641</t>
  </si>
  <si>
    <t>7802141312</t>
  </si>
  <si>
    <t>0340200003319014162</t>
  </si>
  <si>
    <t>Котельнич</t>
  </si>
  <si>
    <t>7813125136</t>
  </si>
  <si>
    <t>0372200133319000046</t>
  </si>
  <si>
    <t>0172200004619000082</t>
  </si>
  <si>
    <t>7802112495</t>
  </si>
  <si>
    <t>7802147709</t>
  </si>
  <si>
    <t>7802145405</t>
  </si>
  <si>
    <t>0172200004619000086</t>
  </si>
  <si>
    <t>7802145814</t>
  </si>
  <si>
    <t>7802141190</t>
  </si>
  <si>
    <t>7802141070</t>
  </si>
  <si>
    <t>4028017474</t>
  </si>
  <si>
    <t>0137100001519000188</t>
  </si>
  <si>
    <t>[ОКПД2 33.20] Услуги по монтажу промышленных машин и оборудования</t>
  </si>
  <si>
    <t>0172200004619000084</t>
  </si>
  <si>
    <t>7802143260</t>
  </si>
  <si>
    <t>7802141224</t>
  </si>
  <si>
    <t>7802145606</t>
  </si>
  <si>
    <t>7802151462</t>
  </si>
  <si>
    <t>7802084079</t>
  </si>
  <si>
    <t>7802143567</t>
  </si>
  <si>
    <t>6163049363</t>
  </si>
  <si>
    <t>0358200003719000048</t>
  </si>
  <si>
    <t>7721632827</t>
  </si>
  <si>
    <t>2600702</t>
  </si>
  <si>
    <t>5074019439</t>
  </si>
  <si>
    <t>876324</t>
  </si>
  <si>
    <t>876329</t>
  </si>
  <si>
    <t>1402012431</t>
  </si>
  <si>
    <t>0316100008119000009</t>
  </si>
  <si>
    <t>Алданский улус</t>
  </si>
  <si>
    <t>7736619522</t>
  </si>
  <si>
    <t>РН91003517</t>
  </si>
  <si>
    <t>[ОКПД2 56.1+] Услуги ресторанов и услуги по доставке продуктов питания, [ОКВЭД2 56.29] Деятельность предприятий общественного питания по прочим видам организации питания</t>
  </si>
  <si>
    <t>3-50459-322-19</t>
  </si>
  <si>
    <t>7536076678</t>
  </si>
  <si>
    <t>4461596</t>
  </si>
  <si>
    <t>[ОКПД2 70+] Услуги головных офисов; услуги консультативные в области управления предприятием</t>
  </si>
  <si>
    <t>0105077610</t>
  </si>
  <si>
    <t>0176400000119000024</t>
  </si>
  <si>
    <t>Республика Адыгея</t>
  </si>
  <si>
    <t>Майкоп</t>
  </si>
  <si>
    <t>5904262062</t>
  </si>
  <si>
    <t>0156200009919000812</t>
  </si>
  <si>
    <t>7430016566</t>
  </si>
  <si>
    <t>100302939119000026</t>
  </si>
  <si>
    <t>3817025449</t>
  </si>
  <si>
    <t>31908391285</t>
  </si>
  <si>
    <t>3920004763</t>
  </si>
  <si>
    <t>31908388555</t>
  </si>
  <si>
    <t>1656019286</t>
  </si>
  <si>
    <t>31908392838</t>
  </si>
  <si>
    <t>Казань</t>
  </si>
  <si>
    <t>7701186067</t>
  </si>
  <si>
    <t>31908391021</t>
  </si>
  <si>
    <t>Нижний Новгород</t>
  </si>
  <si>
    <t>2801022360</t>
  </si>
  <si>
    <t>31908389618</t>
  </si>
  <si>
    <t>6604009039</t>
  </si>
  <si>
    <t>31908386744</t>
  </si>
  <si>
    <t>5921029429</t>
  </si>
  <si>
    <t>31908389808</t>
  </si>
  <si>
    <t>31908389831</t>
  </si>
  <si>
    <t>7706688991</t>
  </si>
  <si>
    <t>31908393376</t>
  </si>
  <si>
    <t>2221014125</t>
  </si>
  <si>
    <t>31908389787</t>
  </si>
  <si>
    <t>[ОКПД2 56.10] Услуги ресторанов и услуги по доставке продуктов питания, [ОКВЭД2 56.2+] Деятельность предприятий общественного питания по обслуживанию торжественных мероприятий и прочим видам организации питания</t>
  </si>
  <si>
    <t>7811459447</t>
  </si>
  <si>
    <t>31908392228</t>
  </si>
  <si>
    <t>7820308148</t>
  </si>
  <si>
    <t>8602001327</t>
  </si>
  <si>
    <t>31908392098</t>
  </si>
  <si>
    <t>[ОКПД2 71.20] Услуги в области технических испытаний, исследований, анализа и сертификации, [ОКВЭД2 71.20] Технические испытания, исследования, анализ и сертификация</t>
  </si>
  <si>
    <t>3525124121</t>
  </si>
  <si>
    <t>31908393357</t>
  </si>
  <si>
    <t>[ОКПД2 56.29] Услуги по обеспечению питанием прочие, [ОКПД2 55.20] Услуги по предоставлению временного жилья в местах отдыха и прочих местах для краткосрочного проживания, [ОКВЭД2 56.29] Деятельность предприятий общественного питания по прочим видам организации питания, [ОКВЭД2 55.20] Деятельность по предоставлению мест для краткосрочного проживания</t>
  </si>
  <si>
    <t>Вологда</t>
  </si>
  <si>
    <t>6501102710</t>
  </si>
  <si>
    <t>31908390489</t>
  </si>
  <si>
    <t>6164302805</t>
  </si>
  <si>
    <t>0858100000119000304</t>
  </si>
  <si>
    <t>2320037349</t>
  </si>
  <si>
    <t>100290242119000060</t>
  </si>
  <si>
    <t>Сочи</t>
  </si>
  <si>
    <t>6662022984</t>
  </si>
  <si>
    <t>0162200011819002860</t>
  </si>
  <si>
    <t>0323126674</t>
  </si>
  <si>
    <t>0102200001619004243</t>
  </si>
  <si>
    <t>Улан-Удэ</t>
  </si>
  <si>
    <t>0853500000319011326</t>
  </si>
  <si>
    <t>[ОКПД2 10.11] Мясо и прочие продукты убоя, включая мясо консервированное</t>
  </si>
  <si>
    <t>5406979072</t>
  </si>
  <si>
    <t>0151500000219000076</t>
  </si>
  <si>
    <t>1435022192</t>
  </si>
  <si>
    <t>0816500000619014847</t>
  </si>
  <si>
    <t>2420008060</t>
  </si>
  <si>
    <t>0819100001619000029</t>
  </si>
  <si>
    <t>Кежемский район</t>
  </si>
  <si>
    <t>0725005479</t>
  </si>
  <si>
    <t>0304200020819000031</t>
  </si>
  <si>
    <t>Кабардино-Балкарская Республика</t>
  </si>
  <si>
    <t>Нальчик</t>
  </si>
  <si>
    <t>3525073170</t>
  </si>
  <si>
    <t>0130200002419003521</t>
  </si>
  <si>
    <t>1829007183</t>
  </si>
  <si>
    <t>0813500000119013156</t>
  </si>
  <si>
    <t>Глазов</t>
  </si>
  <si>
    <t>0101200002319000320</t>
  </si>
  <si>
    <t>0261009520</t>
  </si>
  <si>
    <t>0261009576</t>
  </si>
  <si>
    <t>0261010490</t>
  </si>
  <si>
    <t>0261018852</t>
  </si>
  <si>
    <t>0813500000119013157</t>
  </si>
  <si>
    <t>7804009373</t>
  </si>
  <si>
    <t>0345200000219000411</t>
  </si>
  <si>
    <t>5036033898</t>
  </si>
  <si>
    <t>0348300018819000108</t>
  </si>
  <si>
    <t>3223004903</t>
  </si>
  <si>
    <t>0327300040919000005</t>
  </si>
  <si>
    <t>Погарский район</t>
  </si>
  <si>
    <t>5007023408</t>
  </si>
  <si>
    <t>0873200001719000402</t>
  </si>
  <si>
    <t>5018046326</t>
  </si>
  <si>
    <t>0848300058919000272</t>
  </si>
  <si>
    <t>3301009429</t>
  </si>
  <si>
    <t>0328100014419000006</t>
  </si>
  <si>
    <t>5006008301</t>
  </si>
  <si>
    <t>875836</t>
  </si>
  <si>
    <t>[ОКПД2 53.10] Услуги почтовой связи общего пользования</t>
  </si>
  <si>
    <t>Краснознаменск</t>
  </si>
  <si>
    <t>6658170299</t>
  </si>
  <si>
    <t>0162100022319000067</t>
  </si>
  <si>
    <t>[ОКПД2 74.90] Услуги профессиональные, научные и технические, прочие, не включенные в другие группировки</t>
  </si>
  <si>
    <t>1701058787</t>
  </si>
  <si>
    <t>0112200000819003349</t>
  </si>
  <si>
    <t>5036034323</t>
  </si>
  <si>
    <t>875788</t>
  </si>
  <si>
    <t>7022009828</t>
  </si>
  <si>
    <t>0365300044219000142</t>
  </si>
  <si>
    <t>Стрежевой</t>
  </si>
  <si>
    <t>7202119611</t>
  </si>
  <si>
    <t>0190200000319010553</t>
  </si>
  <si>
    <t>Тюмень</t>
  </si>
  <si>
    <t>0137200001219005141</t>
  </si>
  <si>
    <t>3918006731</t>
  </si>
  <si>
    <t>0135200000519004313</t>
  </si>
  <si>
    <t>Зеленоградский район</t>
  </si>
  <si>
    <t>2464036561</t>
  </si>
  <si>
    <t>РН91003190</t>
  </si>
  <si>
    <t>[ОКПД2 56.29] Услуги по обеспечению питанием прочие, [ОКВЭД2 55.90] Деятельность по предоставлению прочих мест для временного проживания</t>
  </si>
  <si>
    <t>Красноярск</t>
  </si>
  <si>
    <t>0165300003319000118</t>
  </si>
  <si>
    <t>0331200036919000037</t>
  </si>
  <si>
    <t>0331200036919000038</t>
  </si>
  <si>
    <t>5078002813</t>
  </si>
  <si>
    <t>0848300060619000682</t>
  </si>
  <si>
    <t>6908003960</t>
  </si>
  <si>
    <t>100147018119000060</t>
  </si>
  <si>
    <t>Вышний Волочек</t>
  </si>
  <si>
    <t>3720001758</t>
  </si>
  <si>
    <t>100261241119000113</t>
  </si>
  <si>
    <t>Ивановская область</t>
  </si>
  <si>
    <t>Пучежский район</t>
  </si>
  <si>
    <t>3-50454-322-19</t>
  </si>
  <si>
    <t>2511002241</t>
  </si>
  <si>
    <t>0320100025719000109</t>
  </si>
  <si>
    <t>Уссурийск</t>
  </si>
  <si>
    <t>100261241119000112</t>
  </si>
  <si>
    <t>8901003763</t>
  </si>
  <si>
    <t>0190200000319010550</t>
  </si>
  <si>
    <t>Ямало-Ненецкий автономный округ</t>
  </si>
  <si>
    <t>Салехард</t>
  </si>
  <si>
    <t>РН91003128</t>
  </si>
  <si>
    <t>8618006063</t>
  </si>
  <si>
    <t>3-50255-303-19</t>
  </si>
  <si>
    <t>2347006228</t>
  </si>
  <si>
    <t>0318100060119000020</t>
  </si>
  <si>
    <t>0318100060119000021</t>
  </si>
  <si>
    <t>5720010266</t>
  </si>
  <si>
    <t>0354300067619000152</t>
  </si>
  <si>
    <t>Орловская область</t>
  </si>
  <si>
    <t>Орловский район</t>
  </si>
  <si>
    <t>6319108225</t>
  </si>
  <si>
    <t>0142200001319016673</t>
  </si>
  <si>
    <t>7449005303</t>
  </si>
  <si>
    <t>0869200000219003183</t>
  </si>
  <si>
    <t>8603233401</t>
  </si>
  <si>
    <t>РН91003075</t>
  </si>
  <si>
    <t>7404038500</t>
  </si>
  <si>
    <t>31908388113</t>
  </si>
  <si>
    <t>Златоуст</t>
  </si>
  <si>
    <t>6670096267</t>
  </si>
  <si>
    <t>31908387789</t>
  </si>
  <si>
    <t>[ОКПД2 93.29] Услуги в области развлечений и отдыха прочие, [ОКВЭД2 93.29] Деятельность зрелищно-развлекательная прочая</t>
  </si>
  <si>
    <t>5073008723</t>
  </si>
  <si>
    <t>31908386592</t>
  </si>
  <si>
    <t>3446500743</t>
  </si>
  <si>
    <t>31908384063</t>
  </si>
  <si>
    <t>3812014066</t>
  </si>
  <si>
    <t>31908386437</t>
  </si>
  <si>
    <t>3849036394</t>
  </si>
  <si>
    <t>3123025917</t>
  </si>
  <si>
    <t>31908385065</t>
  </si>
  <si>
    <t>875519</t>
  </si>
  <si>
    <t>5036034387</t>
  </si>
  <si>
    <t>875487</t>
  </si>
  <si>
    <t>7719210793</t>
  </si>
  <si>
    <t>0873500000819004519</t>
  </si>
  <si>
    <t>2724139667</t>
  </si>
  <si>
    <t>0322100002519000418</t>
  </si>
  <si>
    <t>Хабаровский край</t>
  </si>
  <si>
    <t>Хабаровск</t>
  </si>
  <si>
    <t>0316100005219000013</t>
  </si>
  <si>
    <t>5646007585</t>
  </si>
  <si>
    <t>0853500000319011256</t>
  </si>
  <si>
    <t>Соль-Илецк</t>
  </si>
  <si>
    <t>3808172327</t>
  </si>
  <si>
    <t>0134200000119003517</t>
  </si>
  <si>
    <t>[ОКПД2 52.10] Услуги по складированию и хранению</t>
  </si>
  <si>
    <t>4100014283</t>
  </si>
  <si>
    <t>0138300000419000717</t>
  </si>
  <si>
    <t>8107004115</t>
  </si>
  <si>
    <t>0856600000719000155</t>
  </si>
  <si>
    <t>4629016683</t>
  </si>
  <si>
    <t>0144100005219000071</t>
  </si>
  <si>
    <t>Курская область</t>
  </si>
  <si>
    <t>Курск</t>
  </si>
  <si>
    <t>2410004436</t>
  </si>
  <si>
    <t>0119400000419000011</t>
  </si>
  <si>
    <t>Дзержинский район</t>
  </si>
  <si>
    <t>0118100009819000104</t>
  </si>
  <si>
    <t>6365001371</t>
  </si>
  <si>
    <t>0142200001319016627</t>
  </si>
  <si>
    <t>Большечерниговский район</t>
  </si>
  <si>
    <t>6023002809</t>
  </si>
  <si>
    <t>0357300041619000001</t>
  </si>
  <si>
    <t>Струго-Красненский район</t>
  </si>
  <si>
    <t>5257015696</t>
  </si>
  <si>
    <t>0332200040119000014</t>
  </si>
  <si>
    <t>8609012871</t>
  </si>
  <si>
    <t>0187300007819000206</t>
  </si>
  <si>
    <t>Радужный</t>
  </si>
  <si>
    <t>875405</t>
  </si>
  <si>
    <t>5041012879</t>
  </si>
  <si>
    <t>0848300044119000368</t>
  </si>
  <si>
    <t>Реутов</t>
  </si>
  <si>
    <t>1435077441</t>
  </si>
  <si>
    <t>0316100003919000030</t>
  </si>
  <si>
    <t>5940304060</t>
  </si>
  <si>
    <t>0156300057719000084</t>
  </si>
  <si>
    <t>0156300057719000085</t>
  </si>
  <si>
    <t>3514004841</t>
  </si>
  <si>
    <t>0330300166119000019</t>
  </si>
  <si>
    <t>0411100361</t>
  </si>
  <si>
    <t>0177200000919002744</t>
  </si>
  <si>
    <t>Республика Алтай</t>
  </si>
  <si>
    <t>Горно-Алтайск</t>
  </si>
  <si>
    <t>1615012443</t>
  </si>
  <si>
    <t>1011200001819000006</t>
  </si>
  <si>
    <t>Верхнеуслонский район</t>
  </si>
  <si>
    <t>4211004611</t>
  </si>
  <si>
    <t>0339100007419000052</t>
  </si>
  <si>
    <t>Киселевск</t>
  </si>
  <si>
    <t>7819314549</t>
  </si>
  <si>
    <t>0372200281919000032</t>
  </si>
  <si>
    <t>4205349664</t>
  </si>
  <si>
    <t>0139200000119007928</t>
  </si>
  <si>
    <t>[ОКПД2 88.99] Услуги социальные без обеспечения проживания прочие, не включенные в другие группировки</t>
  </si>
  <si>
    <t>Кемерово</t>
  </si>
  <si>
    <t>3528297651</t>
  </si>
  <si>
    <t>0130200002419003501</t>
  </si>
  <si>
    <t>Череповец</t>
  </si>
  <si>
    <t>5022087822</t>
  </si>
  <si>
    <t>875127</t>
  </si>
  <si>
    <t>Озеры</t>
  </si>
  <si>
    <t>3102004761</t>
  </si>
  <si>
    <t>0126100000419000017</t>
  </si>
  <si>
    <t>Белгород</t>
  </si>
  <si>
    <t>5047078160</t>
  </si>
  <si>
    <t>875088</t>
  </si>
  <si>
    <t>[ОКПД2 38.21] Услуги по переработке и утилизации отходов неопасных</t>
  </si>
  <si>
    <t>0126100000419000016</t>
  </si>
  <si>
    <t>0853500000319011238</t>
  </si>
  <si>
    <t>5044019223</t>
  </si>
  <si>
    <t>875083</t>
  </si>
  <si>
    <t>8911010030</t>
  </si>
  <si>
    <t>0390100004919000036</t>
  </si>
  <si>
    <t>Пуровский район</t>
  </si>
  <si>
    <t>7723001746</t>
  </si>
  <si>
    <t>0373200077819000043</t>
  </si>
  <si>
    <t>2902037475</t>
  </si>
  <si>
    <t>0124200000619005272</t>
  </si>
  <si>
    <t>Северодвинск</t>
  </si>
  <si>
    <t>0172200004619000081</t>
  </si>
  <si>
    <t>7802143711</t>
  </si>
  <si>
    <t>7802144507</t>
  </si>
  <si>
    <t>7802120520</t>
  </si>
  <si>
    <t>5042069532</t>
  </si>
  <si>
    <t>0848300051719000936</t>
  </si>
  <si>
    <t>Сергиево-Посадский район</t>
  </si>
  <si>
    <t>504213551910</t>
  </si>
  <si>
    <t>504216060927</t>
  </si>
  <si>
    <t>7802141400</t>
  </si>
  <si>
    <t>0172200004619000080</t>
  </si>
  <si>
    <t>8905000428</t>
  </si>
  <si>
    <t>3-50277-301-19</t>
  </si>
  <si>
    <t>Муравленко</t>
  </si>
  <si>
    <t>5042055628</t>
  </si>
  <si>
    <t>0848300051719000948</t>
  </si>
  <si>
    <t>7811312042</t>
  </si>
  <si>
    <t>0145100002819000052</t>
  </si>
  <si>
    <t>7842387432</t>
  </si>
  <si>
    <t>5025009614</t>
  </si>
  <si>
    <t>874827</t>
  </si>
  <si>
    <t>0711037537</t>
  </si>
  <si>
    <t>31908380891</t>
  </si>
  <si>
    <t>5404105174</t>
  </si>
  <si>
    <t>31908378178</t>
  </si>
  <si>
    <t>3015081505</t>
  </si>
  <si>
    <t>31908383182</t>
  </si>
  <si>
    <t>5911027895</t>
  </si>
  <si>
    <t>31908381602</t>
  </si>
  <si>
    <t>3459069073</t>
  </si>
  <si>
    <t>31908384828</t>
  </si>
  <si>
    <t>[ОКПД2 55.10] Услуги гостиниц и аналогичные услуги по предоставлению временного жилья, [ОКПД2 56.29] Услуги по обеспечению питанием прочие, [ОКВЭД2 55.10] Деятельность гостиниц и прочих мест для временного проживания, [ОКВЭД2 56.29] Деятельность предприятий общественного питания по прочим видам организации питания</t>
  </si>
  <si>
    <t>4825008103</t>
  </si>
  <si>
    <t>31908383670</t>
  </si>
  <si>
    <t>[ОКПД2 96.09] Услуги персональные прочие, не включенные в другие группировки, [ОКВЭД2 96.09] Предоставление прочих персональных услуг, не включенных в другие группировки</t>
  </si>
  <si>
    <t>5073087235</t>
  </si>
  <si>
    <t>31908384706</t>
  </si>
  <si>
    <t>9108004208</t>
  </si>
  <si>
    <t>31908384147</t>
  </si>
  <si>
    <t>5752015309</t>
  </si>
  <si>
    <t>31908382139</t>
  </si>
  <si>
    <t>2347007260</t>
  </si>
  <si>
    <t>31908384455</t>
  </si>
  <si>
    <t>2465206600</t>
  </si>
  <si>
    <t>31908383492</t>
  </si>
  <si>
    <t>5611020440</t>
  </si>
  <si>
    <t>31908382726</t>
  </si>
  <si>
    <t>5073008787</t>
  </si>
  <si>
    <t>31908384776</t>
  </si>
  <si>
    <t>7204119286</t>
  </si>
  <si>
    <t>31908384120</t>
  </si>
  <si>
    <t>5906052127</t>
  </si>
  <si>
    <t>31908379991</t>
  </si>
  <si>
    <t>5638010538</t>
  </si>
  <si>
    <t>31908382350</t>
  </si>
  <si>
    <t>[ОКПД2 46.33] Услуги по оптовой торговле молочными продуктами, яйцами, пищевыми маслами и жирами, [ОКВЭД2 46.33] Торговля оптовая молочными продуктами, яйцами и пищевыми маслами и жирами</t>
  </si>
  <si>
    <t>5073086961</t>
  </si>
  <si>
    <t>31908384645</t>
  </si>
  <si>
    <t>5917102387</t>
  </si>
  <si>
    <t>31908381352</t>
  </si>
  <si>
    <t>5073008850</t>
  </si>
  <si>
    <t>31908384701</t>
  </si>
  <si>
    <t>7447032774</t>
  </si>
  <si>
    <t>31908382207</t>
  </si>
  <si>
    <t>8610008559</t>
  </si>
  <si>
    <t>31908381899</t>
  </si>
  <si>
    <t>5073008226</t>
  </si>
  <si>
    <t>31908384177</t>
  </si>
  <si>
    <t>2466172249</t>
  </si>
  <si>
    <t>31908377461</t>
  </si>
  <si>
    <t>5041012822</t>
  </si>
  <si>
    <t>0848300044119000364</t>
  </si>
  <si>
    <t>5036034718</t>
  </si>
  <si>
    <t>874778</t>
  </si>
  <si>
    <t>6658006235</t>
  </si>
  <si>
    <t>0162200011819002829</t>
  </si>
  <si>
    <t>7728734000</t>
  </si>
  <si>
    <t>8905026842</t>
  </si>
  <si>
    <t>0190200000319010480</t>
  </si>
  <si>
    <t>Ноябрьск</t>
  </si>
  <si>
    <t>1434023891</t>
  </si>
  <si>
    <t>0816500000619014623</t>
  </si>
  <si>
    <t>5038111083</t>
  </si>
  <si>
    <t>874758</t>
  </si>
  <si>
    <t>Пушкинский район</t>
  </si>
  <si>
    <t>874764</t>
  </si>
  <si>
    <t>0847100000619000110</t>
  </si>
  <si>
    <t>7702352454</t>
  </si>
  <si>
    <t>29263</t>
  </si>
  <si>
    <t>[ОКПД2 95.11] Услуги по ремонту компьютеров и периферийного оборудования, [ОКВЭД2 95.11] Ремонт компьютеров и периферийного компьютерного оборудования</t>
  </si>
  <si>
    <t>Темрюкский район</t>
  </si>
  <si>
    <t>2320047989</t>
  </si>
  <si>
    <t>0818400001419000006</t>
  </si>
  <si>
    <t>2361010755</t>
  </si>
  <si>
    <t>5501072608</t>
  </si>
  <si>
    <t>3-50160-338-19</t>
  </si>
  <si>
    <t>0847100000619000109</t>
  </si>
  <si>
    <t>2462003962</t>
  </si>
  <si>
    <t>31908378722</t>
  </si>
  <si>
    <t>7229005925</t>
  </si>
  <si>
    <t>31908379674</t>
  </si>
  <si>
    <t>1121012274</t>
  </si>
  <si>
    <t>0307200008719000271</t>
  </si>
  <si>
    <t>Сыктывкар</t>
  </si>
  <si>
    <t>6449025724</t>
  </si>
  <si>
    <t>0360100004019000073</t>
  </si>
  <si>
    <t>Энгельсский район</t>
  </si>
  <si>
    <t>0144100005219000070</t>
  </si>
  <si>
    <t>3328900255</t>
  </si>
  <si>
    <t>0128200000119006411</t>
  </si>
  <si>
    <t>100201944119000022</t>
  </si>
  <si>
    <t>3447020676</t>
  </si>
  <si>
    <t>0129200005319003935</t>
  </si>
  <si>
    <t>2224017710</t>
  </si>
  <si>
    <t>0317100016819000025</t>
  </si>
  <si>
    <t>Бийск</t>
  </si>
  <si>
    <t>0848300051719000933</t>
  </si>
  <si>
    <t>0360100004019000072</t>
  </si>
  <si>
    <t>5036034179</t>
  </si>
  <si>
    <t>874656</t>
  </si>
  <si>
    <t>5074019069</t>
  </si>
  <si>
    <t>874629</t>
  </si>
  <si>
    <t>4804004122</t>
  </si>
  <si>
    <t>0346300078819000019</t>
  </si>
  <si>
    <t>Добринский район</t>
  </si>
  <si>
    <t>0380200000119005733</t>
  </si>
  <si>
    <t>7729040491</t>
  </si>
  <si>
    <t>31908380170</t>
  </si>
  <si>
    <t>[ОКПД2 79.11] Услуги туристических агентств, [ОКВЭД2 79.11] Деятельность туристических агентств</t>
  </si>
  <si>
    <t>4715008238</t>
  </si>
  <si>
    <t>0345100004019000005</t>
  </si>
  <si>
    <t>8603013501</t>
  </si>
  <si>
    <t>0187300022519000213</t>
  </si>
  <si>
    <t>7707253136</t>
  </si>
  <si>
    <t>0373200138219000988</t>
  </si>
  <si>
    <t>0271003051</t>
  </si>
  <si>
    <t>0301300451919000186</t>
  </si>
  <si>
    <t>Янаул</t>
  </si>
  <si>
    <t>8609014639</t>
  </si>
  <si>
    <t>0187300007819000204</t>
  </si>
  <si>
    <t>9103017644</t>
  </si>
  <si>
    <t>0875300039119000005</t>
  </si>
  <si>
    <t>Ялта</t>
  </si>
  <si>
    <t>8603010476</t>
  </si>
  <si>
    <t>0187300022519000212</t>
  </si>
  <si>
    <t>2435004290</t>
  </si>
  <si>
    <t>0119300032519000043</t>
  </si>
  <si>
    <t>Сухобузимский район</t>
  </si>
  <si>
    <t>246500884688</t>
  </si>
  <si>
    <t>5951002921</t>
  </si>
  <si>
    <t>0156100010319000011</t>
  </si>
  <si>
    <t>5951898480</t>
  </si>
  <si>
    <t>5044090530</t>
  </si>
  <si>
    <t>0848300066119000622</t>
  </si>
  <si>
    <t>[ОКПД2 26.20] Компьютеры и периферийное оборудование, [ОКПД2 27.11] Электродвигатели, генераторы и трансформаторы</t>
  </si>
  <si>
    <t>1911000857</t>
  </si>
  <si>
    <t>0380200000119005731</t>
  </si>
  <si>
    <t>Ширинский район</t>
  </si>
  <si>
    <t>874567</t>
  </si>
  <si>
    <t>5532003315</t>
  </si>
  <si>
    <t>0152200004719001554</t>
  </si>
  <si>
    <t>Саргатский район</t>
  </si>
  <si>
    <t>5407136445</t>
  </si>
  <si>
    <t>0351200016519000031</t>
  </si>
  <si>
    <t>5044019431</t>
  </si>
  <si>
    <t>874522</t>
  </si>
  <si>
    <t>4632125851</t>
  </si>
  <si>
    <t>0344200015419000042</t>
  </si>
  <si>
    <t>0277106840</t>
  </si>
  <si>
    <t>РН91002476</t>
  </si>
  <si>
    <t>5021011355</t>
  </si>
  <si>
    <t>874450</t>
  </si>
  <si>
    <t>5044019248</t>
  </si>
  <si>
    <t>874483</t>
  </si>
  <si>
    <t>9102068036</t>
  </si>
  <si>
    <t>0375200030419000133</t>
  </si>
  <si>
    <t>Симферополь</t>
  </si>
  <si>
    <t>9102225465</t>
  </si>
  <si>
    <t>7801002274</t>
  </si>
  <si>
    <t>0372100003419000841</t>
  </si>
  <si>
    <t>[ОКПД2 26.30] Оборудование коммуникационное, [ОКПД2 62.09] Услуги в области информационных технологий прочие и компьютерные услуги, [ОКПД2 26.20] Компьютеры и периферийное оборудование</t>
  </si>
  <si>
    <t>7810820879</t>
  </si>
  <si>
    <t>5044019495</t>
  </si>
  <si>
    <t>874345</t>
  </si>
  <si>
    <t>6139006376</t>
  </si>
  <si>
    <t>31908378338</t>
  </si>
  <si>
    <t>3301000899</t>
  </si>
  <si>
    <t>0128200000119006387</t>
  </si>
  <si>
    <t>Александровский район</t>
  </si>
  <si>
    <t>6805004898</t>
  </si>
  <si>
    <t>100283287119000061</t>
  </si>
  <si>
    <t>Тамбовская область</t>
  </si>
  <si>
    <t>Инжавинский район</t>
  </si>
  <si>
    <t>31908378362</t>
  </si>
  <si>
    <t>874305</t>
  </si>
  <si>
    <t>0144100005219000069</t>
  </si>
  <si>
    <t>7728095113</t>
  </si>
  <si>
    <t>31908378220</t>
  </si>
  <si>
    <t>[ОКПД2 81.21] Услуги по общей уборке зданий, [ОКВЭД2 81.21] Деятельность по общей уборке зданий</t>
  </si>
  <si>
    <t>3435902000</t>
  </si>
  <si>
    <t>0129300016719000332</t>
  </si>
  <si>
    <t>Волжский</t>
  </si>
  <si>
    <t>7459004080</t>
  </si>
  <si>
    <t>100039492119000023</t>
  </si>
  <si>
    <t>Нязепетровский район</t>
  </si>
  <si>
    <t>7720042247</t>
  </si>
  <si>
    <t>0373200138219000981</t>
  </si>
  <si>
    <t>6154061318</t>
  </si>
  <si>
    <t>0158100014519000012</t>
  </si>
  <si>
    <t>Таганрог</t>
  </si>
  <si>
    <t>874184</t>
  </si>
  <si>
    <t>2723011600</t>
  </si>
  <si>
    <t>100307657119000061</t>
  </si>
  <si>
    <t>8601016987</t>
  </si>
  <si>
    <t>31908376444</t>
  </si>
  <si>
    <t>5911021558</t>
  </si>
  <si>
    <t>31908380196</t>
  </si>
  <si>
    <t>5911029042</t>
  </si>
  <si>
    <t>0256008739</t>
  </si>
  <si>
    <t>31908378538</t>
  </si>
  <si>
    <t>025608045832</t>
  </si>
  <si>
    <t>31908379011</t>
  </si>
  <si>
    <t>4700000109</t>
  </si>
  <si>
    <t>31908380242</t>
  </si>
  <si>
    <t>[ОКПД2 33.14] Услуги по ремонту электрического оборудования, [ОКВЭД2 33.14] Ремонт электрического оборудования</t>
  </si>
  <si>
    <t>Ломоносовский район</t>
  </si>
  <si>
    <t>31908378908</t>
  </si>
  <si>
    <t>5408106490</t>
  </si>
  <si>
    <t>31908379117</t>
  </si>
  <si>
    <t>2302022685</t>
  </si>
  <si>
    <t>31908380877</t>
  </si>
  <si>
    <t>5612019857</t>
  </si>
  <si>
    <t>31908385916</t>
  </si>
  <si>
    <t>[ОКПД2 56+] Услуги общественного питания, [ОКВЭД2 56+] Деятельность по предоставлению продуктов питания и напитков</t>
  </si>
  <si>
    <t>31908380224</t>
  </si>
  <si>
    <t>РН91002239</t>
  </si>
  <si>
    <t>3-50199-372-19</t>
  </si>
  <si>
    <t>6501238125</t>
  </si>
  <si>
    <t>31908373645</t>
  </si>
  <si>
    <t>[ОКПД2 56.29] Услуги по обеспечению питанием прочие, [ОКПД2 55.10] Услуги гостиниц и аналогичные услуги по предоставлению временного жилья, [ОКВЭД2 56.29] Деятельность предприятий общественного питания по прочим видам организации питания, [ОКВЭД2 55.10] Деятельность гостиниц и прочих мест для временного проживания</t>
  </si>
  <si>
    <t>0355100004319000017</t>
  </si>
  <si>
    <t>6904008639</t>
  </si>
  <si>
    <t>0136200003619006483</t>
  </si>
  <si>
    <t>2356042663</t>
  </si>
  <si>
    <t>0318200077919000055</t>
  </si>
  <si>
    <t>Усть-Лабинский район</t>
  </si>
  <si>
    <t>2356036490</t>
  </si>
  <si>
    <t>0355100004319000018</t>
  </si>
  <si>
    <t>0187300007819000203</t>
  </si>
  <si>
    <t>8609018496</t>
  </si>
  <si>
    <t>6910008919</t>
  </si>
  <si>
    <t>0136300050519000091</t>
  </si>
  <si>
    <t>Кимры</t>
  </si>
  <si>
    <t>691008338904</t>
  </si>
  <si>
    <t>691005248385</t>
  </si>
  <si>
    <t>2446004670</t>
  </si>
  <si>
    <t>0119300004719000265</t>
  </si>
  <si>
    <t>Дивногорск</t>
  </si>
  <si>
    <t>2464214630</t>
  </si>
  <si>
    <t>2536254226</t>
  </si>
  <si>
    <t>0120100003719000013</t>
  </si>
  <si>
    <t>Владивосток</t>
  </si>
  <si>
    <t>2469012155</t>
  </si>
  <si>
    <t>0319100006519000087</t>
  </si>
  <si>
    <t>840102897034</t>
  </si>
  <si>
    <t>5054009312</t>
  </si>
  <si>
    <t>0848300058919000259</t>
  </si>
  <si>
    <t>2454010557</t>
  </si>
  <si>
    <t>0119100011219000030</t>
  </si>
  <si>
    <t>Лесосибирск</t>
  </si>
  <si>
    <t>2454006744</t>
  </si>
  <si>
    <t>2306013900</t>
  </si>
  <si>
    <t>0118100008719000029</t>
  </si>
  <si>
    <t>0136300050519000090</t>
  </si>
  <si>
    <t>691002880412</t>
  </si>
  <si>
    <t>3906039115</t>
  </si>
  <si>
    <t>0335200013319000006</t>
  </si>
  <si>
    <t>3908018865</t>
  </si>
  <si>
    <t>3904014891</t>
  </si>
  <si>
    <t>31908376629</t>
  </si>
  <si>
    <t>7133008932</t>
  </si>
  <si>
    <t>0366200035619007132</t>
  </si>
  <si>
    <t>Одоевский район</t>
  </si>
  <si>
    <t>713160338102</t>
  </si>
  <si>
    <t>5070010756</t>
  </si>
  <si>
    <t>0848600002719001386</t>
  </si>
  <si>
    <t>8603005067</t>
  </si>
  <si>
    <t>0187300022519000209</t>
  </si>
  <si>
    <t>8603227207</t>
  </si>
  <si>
    <t>8603223308</t>
  </si>
  <si>
    <t>8603010959</t>
  </si>
  <si>
    <t>0187300022519000207</t>
  </si>
  <si>
    <t>8603021990</t>
  </si>
  <si>
    <t>0187300022519000210</t>
  </si>
  <si>
    <t>0306200010219000680</t>
  </si>
  <si>
    <t>3525041644</t>
  </si>
  <si>
    <t>0130100005819000042</t>
  </si>
  <si>
    <t>6831012790</t>
  </si>
  <si>
    <t>31908375761</t>
  </si>
  <si>
    <t>5018103140</t>
  </si>
  <si>
    <t>0848300058919000258</t>
  </si>
  <si>
    <t>5044019350</t>
  </si>
  <si>
    <t>873944</t>
  </si>
  <si>
    <t>6319028890</t>
  </si>
  <si>
    <t>0142200001319016457</t>
  </si>
  <si>
    <t>0306200010219000678</t>
  </si>
  <si>
    <t>3522000390</t>
  </si>
  <si>
    <t>0130300006919000259</t>
  </si>
  <si>
    <t>Чагодощенский район</t>
  </si>
  <si>
    <t>352827469635</t>
  </si>
  <si>
    <t>0306200010219000679</t>
  </si>
  <si>
    <t>6904043545</t>
  </si>
  <si>
    <t>0136200003619006486</t>
  </si>
  <si>
    <t>[ОКПД2 93.29] Услуги в области развлечений и отдыха прочие</t>
  </si>
  <si>
    <t>6642001136</t>
  </si>
  <si>
    <t>0162300000419000154</t>
  </si>
  <si>
    <t>Ирбитский район</t>
  </si>
  <si>
    <t>6611007138</t>
  </si>
  <si>
    <t>7002016295</t>
  </si>
  <si>
    <t>0165100009319000015</t>
  </si>
  <si>
    <t>Асиновский район</t>
  </si>
  <si>
    <t>7017214606</t>
  </si>
  <si>
    <t>7424022040</t>
  </si>
  <si>
    <t>0169300009219000200</t>
  </si>
  <si>
    <t>Южноуральск</t>
  </si>
  <si>
    <t>7424030940</t>
  </si>
  <si>
    <t>8603044362</t>
  </si>
  <si>
    <t>0187300022519000208</t>
  </si>
  <si>
    <t>6423005201</t>
  </si>
  <si>
    <t>100724336119000010</t>
  </si>
  <si>
    <t>0144100005219000068</t>
  </si>
  <si>
    <t>31908375158</t>
  </si>
  <si>
    <t>31908375009</t>
  </si>
  <si>
    <t>100724336119000009</t>
  </si>
  <si>
    <t>6627011683</t>
  </si>
  <si>
    <t>0362300301919000016</t>
  </si>
  <si>
    <t>Ревда</t>
  </si>
  <si>
    <t>6679003789</t>
  </si>
  <si>
    <t>5049012180</t>
  </si>
  <si>
    <t>873707</t>
  </si>
  <si>
    <t>Шатурский район</t>
  </si>
  <si>
    <t>0130100005819000041</t>
  </si>
  <si>
    <t>3-50209-322-19</t>
  </si>
  <si>
    <t>Рязанская область</t>
  </si>
  <si>
    <t>Рязань</t>
  </si>
  <si>
    <t>6618001784</t>
  </si>
  <si>
    <t>0362300002719000257</t>
  </si>
  <si>
    <t>Красноуральск</t>
  </si>
  <si>
    <t>661800078838</t>
  </si>
  <si>
    <t>4302001030</t>
  </si>
  <si>
    <t>0340200003319013936</t>
  </si>
  <si>
    <t>Афанасьевский район</t>
  </si>
  <si>
    <t>0362300002719000258</t>
  </si>
  <si>
    <t>2540016993</t>
  </si>
  <si>
    <t>0320200009219000311</t>
  </si>
  <si>
    <t>2540015894</t>
  </si>
  <si>
    <t>0320300101319000215</t>
  </si>
  <si>
    <t>2536007594</t>
  </si>
  <si>
    <t>5078009784</t>
  </si>
  <si>
    <t>0848300060619000649</t>
  </si>
  <si>
    <t>5078013357</t>
  </si>
  <si>
    <t>0848300060619000650</t>
  </si>
  <si>
    <t>2224010337</t>
  </si>
  <si>
    <t>0817200000319012163</t>
  </si>
  <si>
    <t>4203003710</t>
  </si>
  <si>
    <t>0139100005919000005</t>
  </si>
  <si>
    <t>Березовский</t>
  </si>
  <si>
    <t>420303397380</t>
  </si>
  <si>
    <t>5911021269</t>
  </si>
  <si>
    <t>31908373331</t>
  </si>
  <si>
    <t>0139100005919000004</t>
  </si>
  <si>
    <t>0256012140</t>
  </si>
  <si>
    <t>31908375404</t>
  </si>
  <si>
    <t>31908375955</t>
  </si>
  <si>
    <t>8611005656</t>
  </si>
  <si>
    <t>31908373561</t>
  </si>
  <si>
    <t>7710889933</t>
  </si>
  <si>
    <t>31908374833</t>
  </si>
  <si>
    <t>2327011068</t>
  </si>
  <si>
    <t>31908370520</t>
  </si>
  <si>
    <t>2540009636</t>
  </si>
  <si>
    <t>31908380079</t>
  </si>
  <si>
    <t>[ОКПД2 56.21] Услуги по поставке продукции общественного питания и обслуживанию торжественных мероприятий, [ОКВЭД2 56+] Деятельность по предоставлению продуктов питания и напитков</t>
  </si>
  <si>
    <t>6228046074</t>
  </si>
  <si>
    <t>31908374801</t>
  </si>
  <si>
    <t>[ОКПД2 10.51] Молоко и молочная продукция, [ОКВЭД2 10.51] Производство молока (кроме сырого) и молочной продукции</t>
  </si>
  <si>
    <t>0275018683</t>
  </si>
  <si>
    <t>31908370921</t>
  </si>
  <si>
    <t>5053025720</t>
  </si>
  <si>
    <t>31908376358</t>
  </si>
  <si>
    <t>2464148120</t>
  </si>
  <si>
    <t>31908373333</t>
  </si>
  <si>
    <t>[ОКПД2 82.30] Услуги по организации конференций и торговых выставок, [ОКПД2 56.10] Услуги ресторанов и услуги по доставке продуктов питания, [ОКВЭД2 82.30] Деятельность по организации конференций и выставок, [ОКВЭД2 56.10] Деятельность ресторанов и услуги по доставке продуктов питания</t>
  </si>
  <si>
    <t>2466123241</t>
  </si>
  <si>
    <t>5049014162</t>
  </si>
  <si>
    <t>31908373600</t>
  </si>
  <si>
    <t>5044019336</t>
  </si>
  <si>
    <t>873443</t>
  </si>
  <si>
    <t>7730017296</t>
  </si>
  <si>
    <t>COM03101900114</t>
  </si>
  <si>
    <t>COM03101900112</t>
  </si>
  <si>
    <t>COM03101900104</t>
  </si>
  <si>
    <t>6832024163</t>
  </si>
  <si>
    <t>31908370474</t>
  </si>
  <si>
    <t>COM03101900118</t>
  </si>
  <si>
    <t>COM03101900109</t>
  </si>
  <si>
    <t>COM03101900106</t>
  </si>
  <si>
    <t>COM03101900103</t>
  </si>
  <si>
    <t>COM03101900108</t>
  </si>
  <si>
    <t>9701115609</t>
  </si>
  <si>
    <t>ГП910864</t>
  </si>
  <si>
    <t>[ОКПД2 56+] Услуги общественного питания</t>
  </si>
  <si>
    <t>1106022768</t>
  </si>
  <si>
    <t>РН91001759</t>
  </si>
  <si>
    <t>[ОКПД2 56.29] Услуги по обеспечению питанием прочие, [ОКВЭД2 56.2+] Деятельность предприятий общественного питания по обслуживанию торжественных мероприятий и прочим видам организации питания</t>
  </si>
  <si>
    <t>3123315292</t>
  </si>
  <si>
    <t>0126300035819001189</t>
  </si>
  <si>
    <t>3123453824</t>
  </si>
  <si>
    <t>0848300051719000912</t>
  </si>
  <si>
    <t>0261014223</t>
  </si>
  <si>
    <t>0801500000119001072</t>
  </si>
  <si>
    <t>Куюргазинский район</t>
  </si>
  <si>
    <t>0373200138219000978</t>
  </si>
  <si>
    <t>2356005608</t>
  </si>
  <si>
    <t>0318300170419000301</t>
  </si>
  <si>
    <t>0318300170419000300</t>
  </si>
  <si>
    <t>0561039363</t>
  </si>
  <si>
    <t>0103100017619000022</t>
  </si>
  <si>
    <t>Республика Дагестан</t>
  </si>
  <si>
    <t>Махачкала</t>
  </si>
  <si>
    <t>0571014382</t>
  </si>
  <si>
    <t>5024193671</t>
  </si>
  <si>
    <t>5022021620</t>
  </si>
  <si>
    <t>873173</t>
  </si>
  <si>
    <t>Егорьевский район</t>
  </si>
  <si>
    <t>7719108599</t>
  </si>
  <si>
    <t>0373100007919000031</t>
  </si>
  <si>
    <t>0853500000319011008</t>
  </si>
  <si>
    <t>[ОКПД2 10.13] Продукция мясная пищевая, в том числе из мяса птицы</t>
  </si>
  <si>
    <t>4714023385</t>
  </si>
  <si>
    <t>2598500</t>
  </si>
  <si>
    <t>Сосновый Бор</t>
  </si>
  <si>
    <t>ATOM04101900234</t>
  </si>
  <si>
    <t>8601009845</t>
  </si>
  <si>
    <t>0387200003319000018</t>
  </si>
  <si>
    <t>0142200001319015977</t>
  </si>
  <si>
    <t>4348030629</t>
  </si>
  <si>
    <t>0340200003319013915</t>
  </si>
  <si>
    <t>4337001270</t>
  </si>
  <si>
    <t>0340200003319013918</t>
  </si>
  <si>
    <t>Шабалинский район</t>
  </si>
  <si>
    <t>6163005373</t>
  </si>
  <si>
    <t>0358300354419000012</t>
  </si>
  <si>
    <t>[ОКПД2 55.10] Услуги гостиниц и аналогичные услуги по предоставлению временного жилья</t>
  </si>
  <si>
    <t>6123111953</t>
  </si>
  <si>
    <t>3661086820</t>
  </si>
  <si>
    <t>8603003711</t>
  </si>
  <si>
    <t>0187300022519000206</t>
  </si>
  <si>
    <t>8603105953</t>
  </si>
  <si>
    <t>8603019567</t>
  </si>
  <si>
    <t>0187300022519000205</t>
  </si>
  <si>
    <t>8603222689</t>
  </si>
  <si>
    <t>2456002093</t>
  </si>
  <si>
    <t>0119200000119009204</t>
  </si>
  <si>
    <t>Назарово</t>
  </si>
  <si>
    <t>5022036916</t>
  </si>
  <si>
    <t>0348200016219000020</t>
  </si>
  <si>
    <t>3316004889</t>
  </si>
  <si>
    <t>7733051270</t>
  </si>
  <si>
    <t>0373200016719000138</t>
  </si>
  <si>
    <t>5902290709</t>
  </si>
  <si>
    <t>0156200009919000775</t>
  </si>
  <si>
    <t>6910009260</t>
  </si>
  <si>
    <t>0136300050519000089</t>
  </si>
  <si>
    <t>7810240130</t>
  </si>
  <si>
    <t>0245100001419000156</t>
  </si>
  <si>
    <t>2443023561</t>
  </si>
  <si>
    <t>0319100024319000057</t>
  </si>
  <si>
    <t>Ачинск</t>
  </si>
  <si>
    <t>2443030103</t>
  </si>
  <si>
    <t>7130004947</t>
  </si>
  <si>
    <t>0366200035619007106</t>
  </si>
  <si>
    <t>4025450383</t>
  </si>
  <si>
    <t>2598352</t>
  </si>
  <si>
    <t>Обнинск</t>
  </si>
  <si>
    <t>ATOM04101900136</t>
  </si>
  <si>
    <t>7018016237</t>
  </si>
  <si>
    <t>100290832119000098</t>
  </si>
  <si>
    <t>0306200010219000667</t>
  </si>
  <si>
    <t>1001000742</t>
  </si>
  <si>
    <t>8601056281</t>
  </si>
  <si>
    <t>0187200001719000959</t>
  </si>
  <si>
    <t>8601050755</t>
  </si>
  <si>
    <t>8601034552</t>
  </si>
  <si>
    <t>4824021221</t>
  </si>
  <si>
    <t>0346300049219000008</t>
  </si>
  <si>
    <t>7733734245</t>
  </si>
  <si>
    <t>4701001923</t>
  </si>
  <si>
    <t>0145300013119000328</t>
  </si>
  <si>
    <t>[ОКПД2 87.30] Услуги по уходу с обеспечением проживания для престарелых и инвалидов</t>
  </si>
  <si>
    <t>Бокситогорск</t>
  </si>
  <si>
    <t>4719023526</t>
  </si>
  <si>
    <t>РН91001511</t>
  </si>
  <si>
    <t>0573100025919000194</t>
  </si>
  <si>
    <t>5191501766</t>
  </si>
  <si>
    <t>100307869119000041</t>
  </si>
  <si>
    <t>7444200011</t>
  </si>
  <si>
    <t>0869200000219003124</t>
  </si>
  <si>
    <t>2315052542</t>
  </si>
  <si>
    <t>0318300402419000062</t>
  </si>
  <si>
    <t>Новороссийск</t>
  </si>
  <si>
    <t>231501108820</t>
  </si>
  <si>
    <t>2301078420</t>
  </si>
  <si>
    <t>230210380353</t>
  </si>
  <si>
    <t>1901011698</t>
  </si>
  <si>
    <t>0380200000119005676</t>
  </si>
  <si>
    <t>0848300050819000997</t>
  </si>
  <si>
    <t>5073008635</t>
  </si>
  <si>
    <t>5073008681</t>
  </si>
  <si>
    <t>5073009205</t>
  </si>
  <si>
    <t>5073009237</t>
  </si>
  <si>
    <t>507300006930</t>
  </si>
  <si>
    <t>503400577754</t>
  </si>
  <si>
    <t>503400733114</t>
  </si>
  <si>
    <t>2901017998</t>
  </si>
  <si>
    <t>0124200000619005167</t>
  </si>
  <si>
    <t>2315067080</t>
  </si>
  <si>
    <t>100237126119000017</t>
  </si>
  <si>
    <t>5036120004</t>
  </si>
  <si>
    <t>872543</t>
  </si>
  <si>
    <t>8605011281</t>
  </si>
  <si>
    <t>0387200027819000161</t>
  </si>
  <si>
    <t>Мегион</t>
  </si>
  <si>
    <t>860500007526</t>
  </si>
  <si>
    <t>5078013371</t>
  </si>
  <si>
    <t>0848300060619000643</t>
  </si>
  <si>
    <t>5078003503</t>
  </si>
  <si>
    <t>0848300060619000648</t>
  </si>
  <si>
    <t>5050094155</t>
  </si>
  <si>
    <t>5012061800</t>
  </si>
  <si>
    <t>2365004417</t>
  </si>
  <si>
    <t>28681</t>
  </si>
  <si>
    <t>Туапсе</t>
  </si>
  <si>
    <t>5044019230</t>
  </si>
  <si>
    <t>872510</t>
  </si>
  <si>
    <t>7736046504</t>
  </si>
  <si>
    <t>31908372741</t>
  </si>
  <si>
    <t>[ОКПД2 52.23] Услуги вспомогательные, связанные с воздушным и космическим транспортом, [ОКВЭД2 52.23] Деятельность вспомогательная, связанная с воздушным и космическим транспортом</t>
  </si>
  <si>
    <t>3123386550</t>
  </si>
  <si>
    <t>31908369570</t>
  </si>
  <si>
    <t>31908372764</t>
  </si>
  <si>
    <t>7731403375</t>
  </si>
  <si>
    <t>31908369959</t>
  </si>
  <si>
    <t>7813610037</t>
  </si>
  <si>
    <t>5047021710</t>
  </si>
  <si>
    <t>31908372752</t>
  </si>
  <si>
    <t>2801061337</t>
  </si>
  <si>
    <t>31908371085</t>
  </si>
  <si>
    <t>4027098720</t>
  </si>
  <si>
    <t>31908372643</t>
  </si>
  <si>
    <t>[ОКПД2 56.29] Услуги по обеспечению питанием прочие, [ОКВЭД2 85.23] Подготовка кадров высшей квалификации</t>
  </si>
  <si>
    <t>0256011869</t>
  </si>
  <si>
    <t>31908370984</t>
  </si>
  <si>
    <t>5911027983</t>
  </si>
  <si>
    <t>31908371653</t>
  </si>
  <si>
    <t>7014004978</t>
  </si>
  <si>
    <t>31908370121</t>
  </si>
  <si>
    <t>701408001210</t>
  </si>
  <si>
    <t>6724008661</t>
  </si>
  <si>
    <t>191004/1590/077</t>
  </si>
  <si>
    <t>Десногорск</t>
  </si>
  <si>
    <t>31908372722</t>
  </si>
  <si>
    <t>31908371022</t>
  </si>
  <si>
    <t>Губаха</t>
  </si>
  <si>
    <t>31908372704</t>
  </si>
  <si>
    <t>0274070144</t>
  </si>
  <si>
    <t>31908369134</t>
  </si>
  <si>
    <t>[ОКПД2 94+] Услуги общественных организаций, [ОКВЭД2 94+] Деятельность общественных организаций</t>
  </si>
  <si>
    <t>31908372767</t>
  </si>
  <si>
    <t>7809018702</t>
  </si>
  <si>
    <t>31908371495</t>
  </si>
  <si>
    <t>7830002416</t>
  </si>
  <si>
    <t>31908369773</t>
  </si>
  <si>
    <t>7404006360</t>
  </si>
  <si>
    <t>31908369997</t>
  </si>
  <si>
    <t>[ОКПД2 56.29] Услуги по обеспечению питанием прочие, [ОКВЭД2 56+] Деятельность по предоставлению продуктов питания и напитков</t>
  </si>
  <si>
    <t>31908371674</t>
  </si>
  <si>
    <t>0276008991</t>
  </si>
  <si>
    <t>31908371193</t>
  </si>
  <si>
    <t>31908369482</t>
  </si>
  <si>
    <t>5038112383</t>
  </si>
  <si>
    <t>0348300380719000840</t>
  </si>
  <si>
    <t>5002003535</t>
  </si>
  <si>
    <t>872453</t>
  </si>
  <si>
    <t>Бронницы</t>
  </si>
  <si>
    <t>7713020820</t>
  </si>
  <si>
    <t>0373200138219000972</t>
  </si>
  <si>
    <t>7734099035</t>
  </si>
  <si>
    <t>0373200138219000971</t>
  </si>
  <si>
    <t>5610214323</t>
  </si>
  <si>
    <t>0853500000319010994</t>
  </si>
  <si>
    <t>[ОКПД2 26.20] Компьютеры и периферийное оборудование, [ОКПД2 26.40] Техника бытовая электронная, [ОКПД2 26.30] Оборудование коммуникационное, [ОКПД2 26.70] Приборы оптические и фотографическое оборудование</t>
  </si>
  <si>
    <t>7804504064</t>
  </si>
  <si>
    <t>5612077087</t>
  </si>
  <si>
    <t>5638070061</t>
  </si>
  <si>
    <t>2465235182</t>
  </si>
  <si>
    <t>0319200056819000176</t>
  </si>
  <si>
    <t>2465030876</t>
  </si>
  <si>
    <t>5035020374</t>
  </si>
  <si>
    <t>0848300048719000366</t>
  </si>
  <si>
    <t>Павловский Посад</t>
  </si>
  <si>
    <t>1655104997</t>
  </si>
  <si>
    <t>0311100016819000443</t>
  </si>
  <si>
    <t>165807642052</t>
  </si>
  <si>
    <t>1656104407</t>
  </si>
  <si>
    <t>1657240402</t>
  </si>
  <si>
    <t>872349</t>
  </si>
  <si>
    <t>5044019449</t>
  </si>
  <si>
    <t>872328</t>
  </si>
  <si>
    <t>5504018510</t>
  </si>
  <si>
    <t>0252100000119000118</t>
  </si>
  <si>
    <t>2203010600</t>
  </si>
  <si>
    <t>5044019255</t>
  </si>
  <si>
    <t>872321</t>
  </si>
  <si>
    <t>5044019304</t>
  </si>
  <si>
    <t>872299</t>
  </si>
  <si>
    <t>1651044874</t>
  </si>
  <si>
    <t>0111300005119000635</t>
  </si>
  <si>
    <t>[ОКПД2 18.12] Услуги печатные прочие</t>
  </si>
  <si>
    <t>9715305670</t>
  </si>
  <si>
    <t>7727636627</t>
  </si>
  <si>
    <t>6686053325</t>
  </si>
  <si>
    <t>666400293501</t>
  </si>
  <si>
    <t>1655241908</t>
  </si>
  <si>
    <t>1651012520</t>
  </si>
  <si>
    <t>3662242060</t>
  </si>
  <si>
    <t>1655213925</t>
  </si>
  <si>
    <t>5034083131</t>
  </si>
  <si>
    <t>0348100058419000019</t>
  </si>
  <si>
    <t>507300101165</t>
  </si>
  <si>
    <t>5042055610</t>
  </si>
  <si>
    <t>0848300051719000877</t>
  </si>
  <si>
    <t>7810133266</t>
  </si>
  <si>
    <t>0372200274019000088</t>
  </si>
  <si>
    <t>7714317863</t>
  </si>
  <si>
    <t>5036034490</t>
  </si>
  <si>
    <t>872112</t>
  </si>
  <si>
    <t>0848300050819000989</t>
  </si>
  <si>
    <t>5073008829</t>
  </si>
  <si>
    <t>5073008949</t>
  </si>
  <si>
    <t>5073009188</t>
  </si>
  <si>
    <t>5073008434</t>
  </si>
  <si>
    <t>5035020328</t>
  </si>
  <si>
    <t>0848300048719000361</t>
  </si>
  <si>
    <t>Павлово-Посадский район</t>
  </si>
  <si>
    <t>0848300050819000990</t>
  </si>
  <si>
    <t>5073009220</t>
  </si>
  <si>
    <t>5073008378</t>
  </si>
  <si>
    <t>5073008459</t>
  </si>
  <si>
    <t>5073009300</t>
  </si>
  <si>
    <t>5905061577</t>
  </si>
  <si>
    <t>0356500005319000022</t>
  </si>
  <si>
    <t>5905037694</t>
  </si>
  <si>
    <t>5035020494</t>
  </si>
  <si>
    <t>0848300048719000359</t>
  </si>
  <si>
    <t>0356500005319000021</t>
  </si>
  <si>
    <t>590302836755</t>
  </si>
  <si>
    <t>0268019510</t>
  </si>
  <si>
    <t>0101500000319001745</t>
  </si>
  <si>
    <t>5035020455</t>
  </si>
  <si>
    <t>0848300048719000362</t>
  </si>
  <si>
    <t>8603008082</t>
  </si>
  <si>
    <t>0187300001219000461</t>
  </si>
  <si>
    <t>5018155974</t>
  </si>
  <si>
    <t>0848300058919000253</t>
  </si>
  <si>
    <t>2225023610</t>
  </si>
  <si>
    <t>0217100000119000239</t>
  </si>
  <si>
    <t>5044019329</t>
  </si>
  <si>
    <t>872075</t>
  </si>
  <si>
    <t>0817200000319012026</t>
  </si>
  <si>
    <t>Рубцовск</t>
  </si>
  <si>
    <t>6513003713</t>
  </si>
  <si>
    <t>0861300006419000059</t>
  </si>
  <si>
    <t>[ОКПД2 38.22] Услуги по переработке и утилизации опасных отходов</t>
  </si>
  <si>
    <t>Ногликский район</t>
  </si>
  <si>
    <t>4027135186</t>
  </si>
  <si>
    <t>0848300050819000988</t>
  </si>
  <si>
    <t>5073008314</t>
  </si>
  <si>
    <t>Орехово-Зуево</t>
  </si>
  <si>
    <t>5073008258</t>
  </si>
  <si>
    <t>Орехово-Зуевский район</t>
  </si>
  <si>
    <t>5073008770</t>
  </si>
  <si>
    <t>5073008346</t>
  </si>
  <si>
    <t>5073008360</t>
  </si>
  <si>
    <t>5073008473</t>
  </si>
  <si>
    <t>5073087387</t>
  </si>
  <si>
    <t>5073008931</t>
  </si>
  <si>
    <t>6441004000</t>
  </si>
  <si>
    <t>0160100004219000008</t>
  </si>
  <si>
    <t>Вольск</t>
  </si>
  <si>
    <t>5035020293</t>
  </si>
  <si>
    <t>0848300048719000346</t>
  </si>
  <si>
    <t>5024130431</t>
  </si>
  <si>
    <t>871869</t>
  </si>
  <si>
    <t>Красногорский район</t>
  </si>
  <si>
    <t>6013003176</t>
  </si>
  <si>
    <t>0357100001519000006</t>
  </si>
  <si>
    <t>601303088919</t>
  </si>
  <si>
    <t>5406980769</t>
  </si>
  <si>
    <t>0851500000419000139</t>
  </si>
  <si>
    <t>5406307793</t>
  </si>
  <si>
    <t>5410071068</t>
  </si>
  <si>
    <t>6644002914</t>
  </si>
  <si>
    <t>0362100039819000069</t>
  </si>
  <si>
    <t>[ОКПД2 29.10] Средства автотранспортные</t>
  </si>
  <si>
    <t>Камышловский район</t>
  </si>
  <si>
    <t>7452127936</t>
  </si>
  <si>
    <t>7708330866</t>
  </si>
  <si>
    <t>6686017253</t>
  </si>
  <si>
    <t>5033008212</t>
  </si>
  <si>
    <t>871769</t>
  </si>
  <si>
    <t>5027241394</t>
  </si>
  <si>
    <t>2597710</t>
  </si>
  <si>
    <t>Лыткарино</t>
  </si>
  <si>
    <t>6500000680</t>
  </si>
  <si>
    <t>0161500000119000021</t>
  </si>
  <si>
    <t>651700048030</t>
  </si>
  <si>
    <t>ATOM03101900024</t>
  </si>
  <si>
    <t>7725114488</t>
  </si>
  <si>
    <t>31908365805</t>
  </si>
  <si>
    <t>5905058207</t>
  </si>
  <si>
    <t>31908366697</t>
  </si>
  <si>
    <t>3906020548</t>
  </si>
  <si>
    <t>31908366360</t>
  </si>
  <si>
    <t>2721202166</t>
  </si>
  <si>
    <t>31908364766</t>
  </si>
  <si>
    <t>[ОКПД2 56.21] Услуги по поставке продукции общественного питания и обслуживанию торжественных мероприятий, [ОКПД2 68.20] Услуги по сдаче в аренду (внаем) собственного или арендованного недвижимого имущества, [ОКВЭД2 56.21] Деятельность предприятий общественного питания по обслуживанию торжественных мероприятий, [ОКВЭД2 68.20] Аренда и управление собственным или арендованным недвижимым имуществом</t>
  </si>
  <si>
    <t>7325000052</t>
  </si>
  <si>
    <t>31908367836</t>
  </si>
  <si>
    <t>Ульяновская область</t>
  </si>
  <si>
    <t>1101483236</t>
  </si>
  <si>
    <t>31908368472</t>
  </si>
  <si>
    <t>[ОКПД2 55.90] Услуги по предоставлению временного жилья прочие, [ОКВЭД2 55.90] Деятельность по предоставлению прочих мест для временного проживания</t>
  </si>
  <si>
    <t>31908366949</t>
  </si>
  <si>
    <t>0269012940</t>
  </si>
  <si>
    <t>31908365851</t>
  </si>
  <si>
    <t>7714030726</t>
  </si>
  <si>
    <t>31908365745</t>
  </si>
  <si>
    <t>7721682722</t>
  </si>
  <si>
    <t>6603013508</t>
  </si>
  <si>
    <t>31908366183</t>
  </si>
  <si>
    <t>6603017238</t>
  </si>
  <si>
    <t>1660000344</t>
  </si>
  <si>
    <t>31908368082</t>
  </si>
  <si>
    <t>2634089605</t>
  </si>
  <si>
    <t>0321200039319000095</t>
  </si>
  <si>
    <t>0571007145</t>
  </si>
  <si>
    <t>7722092356</t>
  </si>
  <si>
    <t>0373200138219000965</t>
  </si>
  <si>
    <t>6503005849</t>
  </si>
  <si>
    <t>0161100001419000016</t>
  </si>
  <si>
    <t>Долинский район</t>
  </si>
  <si>
    <t>6501252088</t>
  </si>
  <si>
    <t>0160100004219000007</t>
  </si>
  <si>
    <t>5947000400</t>
  </si>
  <si>
    <t>0156100015019000009</t>
  </si>
  <si>
    <t>Частинский район</t>
  </si>
  <si>
    <t>5947016054</t>
  </si>
  <si>
    <t>6731020412</t>
  </si>
  <si>
    <t>0163200000319007178</t>
  </si>
  <si>
    <t>0187200001719000947</t>
  </si>
  <si>
    <t>8601057422</t>
  </si>
  <si>
    <t>3728023930</t>
  </si>
  <si>
    <t>0333300035619000090</t>
  </si>
  <si>
    <t>Иваново</t>
  </si>
  <si>
    <t>370251570129</t>
  </si>
  <si>
    <t>3702155730</t>
  </si>
  <si>
    <t>370240661617</t>
  </si>
  <si>
    <t>3702108106</t>
  </si>
  <si>
    <t>0165300003319000112</t>
  </si>
  <si>
    <t>0149200002319006118</t>
  </si>
  <si>
    <t>5190143028</t>
  </si>
  <si>
    <t>5981004210</t>
  </si>
  <si>
    <t>0856600000719000152</t>
  </si>
  <si>
    <t>598103699650</t>
  </si>
  <si>
    <t>810100020009</t>
  </si>
  <si>
    <t>7703766666</t>
  </si>
  <si>
    <t>0173500000419000128</t>
  </si>
  <si>
    <t>[ОКПД2 73.12] Услуги по представительству в средствах массовой информации</t>
  </si>
  <si>
    <t>0356500005319000020</t>
  </si>
  <si>
    <t>590299515043</t>
  </si>
  <si>
    <t>4501033614</t>
  </si>
  <si>
    <t>0143100003819000036</t>
  </si>
  <si>
    <t>Курганская область</t>
  </si>
  <si>
    <t>Курган</t>
  </si>
  <si>
    <t>450100192203</t>
  </si>
  <si>
    <t>4518018830</t>
  </si>
  <si>
    <t>5018045474</t>
  </si>
  <si>
    <t>0848300058919000252</t>
  </si>
  <si>
    <t>7717609102</t>
  </si>
  <si>
    <t>ATOM02101900101</t>
  </si>
  <si>
    <t>2597419</t>
  </si>
  <si>
    <t>2013003355</t>
  </si>
  <si>
    <t>0894400000219000101</t>
  </si>
  <si>
    <t>Чеченская Республика</t>
  </si>
  <si>
    <t>ATOM02101900113</t>
  </si>
  <si>
    <t>2597438</t>
  </si>
  <si>
    <t>0894400000219000100</t>
  </si>
  <si>
    <t>1435215275</t>
  </si>
  <si>
    <t>0816500000619014545</t>
  </si>
  <si>
    <t>0187200001719000942</t>
  </si>
  <si>
    <t>8601036895</t>
  </si>
  <si>
    <t>6452099772</t>
  </si>
  <si>
    <t>0860100001319000143</t>
  </si>
  <si>
    <t>645500146908</t>
  </si>
  <si>
    <t>7708119944</t>
  </si>
  <si>
    <t>0570-19-Т-ЦО-МЗ</t>
  </si>
  <si>
    <t>1650201838</t>
  </si>
  <si>
    <t>0711200024119000190</t>
  </si>
  <si>
    <t>Набережные Челны</t>
  </si>
  <si>
    <t>1650307489</t>
  </si>
  <si>
    <t>0187200001719000937</t>
  </si>
  <si>
    <t>0187200001719000931</t>
  </si>
  <si>
    <t>6654003829</t>
  </si>
  <si>
    <t>0162100011219000012</t>
  </si>
  <si>
    <t>665400034537</t>
  </si>
  <si>
    <t>0151300021519000053</t>
  </si>
  <si>
    <t>5446006030</t>
  </si>
  <si>
    <t>0162100011219000014</t>
  </si>
  <si>
    <t>6505007344</t>
  </si>
  <si>
    <t>0361100007819000031</t>
  </si>
  <si>
    <t>7116001060</t>
  </si>
  <si>
    <t>0366200035619007057</t>
  </si>
  <si>
    <t>Новомосковский район</t>
  </si>
  <si>
    <t>5407120318</t>
  </si>
  <si>
    <t>0851200000619006077</t>
  </si>
  <si>
    <t>5405023245</t>
  </si>
  <si>
    <t>0143100003819000035</t>
  </si>
  <si>
    <t>0162100011219000013</t>
  </si>
  <si>
    <t>0361100007819000032</t>
  </si>
  <si>
    <t>0848300060619000632</t>
  </si>
  <si>
    <t>3514008099</t>
  </si>
  <si>
    <t>0130100008819000009</t>
  </si>
  <si>
    <t>3514007458</t>
  </si>
  <si>
    <t>6829053090</t>
  </si>
  <si>
    <t>0164100008019000030</t>
  </si>
  <si>
    <t>Тамбов</t>
  </si>
  <si>
    <t>6829095414</t>
  </si>
  <si>
    <t>0411008616</t>
  </si>
  <si>
    <t>0377100008619000018</t>
  </si>
  <si>
    <t>041105419558</t>
  </si>
  <si>
    <t>0411002597</t>
  </si>
  <si>
    <t>5078021559</t>
  </si>
  <si>
    <t>0848300060619000631</t>
  </si>
  <si>
    <t>0377100008619000019</t>
  </si>
  <si>
    <t>31908362699</t>
  </si>
  <si>
    <t>2315666711</t>
  </si>
  <si>
    <t>31908363253</t>
  </si>
  <si>
    <t>0265017169</t>
  </si>
  <si>
    <t>31908362496</t>
  </si>
  <si>
    <t>0562039983</t>
  </si>
  <si>
    <t>31908363238</t>
  </si>
  <si>
    <t>5948013899</t>
  </si>
  <si>
    <t>31908362721</t>
  </si>
  <si>
    <t>594803306072</t>
  </si>
  <si>
    <t>6449016399</t>
  </si>
  <si>
    <t>31908363878</t>
  </si>
  <si>
    <t>Энгельс</t>
  </si>
  <si>
    <t>2311045431</t>
  </si>
  <si>
    <t>31908363091</t>
  </si>
  <si>
    <t>[ОКПД2 56.21] Услуги по поставке продукции общественного питания и обслуживанию торжественных мероприятий, [ОКВЭД2 56.1+] Деятельность ресторанов и услуги по доставке продуктов питания</t>
  </si>
  <si>
    <t>7021000043</t>
  </si>
  <si>
    <t>31908362303</t>
  </si>
  <si>
    <t>7017124328</t>
  </si>
  <si>
    <t>31908362413</t>
  </si>
  <si>
    <t>6656004218</t>
  </si>
  <si>
    <t>31908363191</t>
  </si>
  <si>
    <t>6312039565</t>
  </si>
  <si>
    <t>31908363122</t>
  </si>
  <si>
    <t>[ОКПД2 55.10] Услуги гостиниц и аналогичные услуги по предоставлению временного жилья, [ОКПД2 56.10] Услуги ресторанов и услуги по доставке продуктов питания, [ОКВЭД2 55.10] Деятельность гостиниц и прочих мест для временного проживания, [ОКВЭД2 56.10] Деятельность ресторанов и услуги по доставке продуктов питания</t>
  </si>
  <si>
    <t>5502013556</t>
  </si>
  <si>
    <t>31908361158</t>
  </si>
  <si>
    <t>6656003895</t>
  </si>
  <si>
    <t>31908362462</t>
  </si>
  <si>
    <t>6676006407</t>
  </si>
  <si>
    <t>7702706914</t>
  </si>
  <si>
    <t>31908364336</t>
  </si>
  <si>
    <t>5034083935</t>
  </si>
  <si>
    <t>31908361542</t>
  </si>
  <si>
    <t>6656004095</t>
  </si>
  <si>
    <t>31908361467</t>
  </si>
  <si>
    <t>5260230051</t>
  </si>
  <si>
    <t>31908361563</t>
  </si>
  <si>
    <t>6163038611</t>
  </si>
  <si>
    <t>31908363706</t>
  </si>
  <si>
    <t>31908361827</t>
  </si>
  <si>
    <t>8611005670</t>
  </si>
  <si>
    <t>31908359186</t>
  </si>
  <si>
    <t>31908364470</t>
  </si>
  <si>
    <t>[ОКПД2 56.10] Услуги ресторанов и услуги по доставке продуктов питания, [ОКВЭД2 85.23] Подготовка кадров высшей квалификации</t>
  </si>
  <si>
    <t>1001313939</t>
  </si>
  <si>
    <t>0306500000119000101</t>
  </si>
  <si>
    <t>5190080385</t>
  </si>
  <si>
    <t>0149200002319006139</t>
  </si>
  <si>
    <t>7810182150</t>
  </si>
  <si>
    <t>3434000680</t>
  </si>
  <si>
    <t>0129100008219000067</t>
  </si>
  <si>
    <t>[ОКПД2 95.12] Услуги по ремонту коммуникационного оборудования</t>
  </si>
  <si>
    <t>3444043266</t>
  </si>
  <si>
    <t>3459063057</t>
  </si>
  <si>
    <t>0171100004419000010</t>
  </si>
  <si>
    <t>0278173969</t>
  </si>
  <si>
    <t>0101200010519000043</t>
  </si>
  <si>
    <t>0278948983</t>
  </si>
  <si>
    <t>6319070606</t>
  </si>
  <si>
    <t>0306200010219000656</t>
  </si>
  <si>
    <t>7840434817</t>
  </si>
  <si>
    <t>2115002953</t>
  </si>
  <si>
    <t>0115100006319000021</t>
  </si>
  <si>
    <t>Цивильский район</t>
  </si>
  <si>
    <t>2115005376</t>
  </si>
  <si>
    <t>0111300006119000196</t>
  </si>
  <si>
    <t>1659183598</t>
  </si>
  <si>
    <t>1633005086</t>
  </si>
  <si>
    <t>Пестречинский район</t>
  </si>
  <si>
    <t>1633005047</t>
  </si>
  <si>
    <t>1633005061</t>
  </si>
  <si>
    <t>1633005030</t>
  </si>
  <si>
    <t>1633005022</t>
  </si>
  <si>
    <t>1633006121</t>
  </si>
  <si>
    <t>1633005199</t>
  </si>
  <si>
    <t>1633005142</t>
  </si>
  <si>
    <t>1633005174</t>
  </si>
  <si>
    <t>1633005135</t>
  </si>
  <si>
    <t>1633005103</t>
  </si>
  <si>
    <t>1633005008</t>
  </si>
  <si>
    <t>1633005150</t>
  </si>
  <si>
    <t>1633005054</t>
  </si>
  <si>
    <t>1633005015</t>
  </si>
  <si>
    <t>1633005167</t>
  </si>
  <si>
    <t>7612008633</t>
  </si>
  <si>
    <t>0171200001919001678</t>
  </si>
  <si>
    <t>Углич</t>
  </si>
  <si>
    <t>761200333246</t>
  </si>
  <si>
    <t>0373200041519001972</t>
  </si>
  <si>
    <t>5914011188</t>
  </si>
  <si>
    <t>0156100012819000013</t>
  </si>
  <si>
    <t>Добрянка</t>
  </si>
  <si>
    <t>591401854940</t>
  </si>
  <si>
    <t>0306200010219000654</t>
  </si>
  <si>
    <t>5017112368</t>
  </si>
  <si>
    <t>5603004967</t>
  </si>
  <si>
    <t>0153300000319000147</t>
  </si>
  <si>
    <t>5610123588</t>
  </si>
  <si>
    <t>5079009280</t>
  </si>
  <si>
    <t>860830</t>
  </si>
  <si>
    <t>[ОКПД2 26.60] Оборудование для облучения, электрическое диагностическое и терапевтическое, применяемые в медицинских целях, [ОКПД2 22.21] Плиты, листы, трубы и профили пластмассовые, [ОКПД2 25.94] Изделия крепежные и винты крепежные, [ОКПД2 27.33] Изделия электроустановочные, [ОКПД2 26.30] Оборудование коммуникационное, [ОКПД2 26.20] Компьютеры и периферийное оборудование, [ОКПД2 26.40] Техника бытовая электронная, [ОКПД2 27.32] Провода и кабели электронные и электрические прочие, [ОКПД2 27.11] Электродвигатели, генераторы и трансформаторы, [ОКПД2 33.20] Услуги по монтажу промышленных машин и оборудования, [ОКПД2 27.12] Аппаратура распределительная и регулирующая электрическая</t>
  </si>
  <si>
    <t>Шаховская рп</t>
  </si>
  <si>
    <t>2597089</t>
  </si>
  <si>
    <t>7325056619</t>
  </si>
  <si>
    <t>0168200002419008439</t>
  </si>
  <si>
    <t>Ульяновск</t>
  </si>
  <si>
    <t>2339006231</t>
  </si>
  <si>
    <t>100304404119000086</t>
  </si>
  <si>
    <t>Курганинский район</t>
  </si>
  <si>
    <t>1655032566</t>
  </si>
  <si>
    <t>0711200016819000206</t>
  </si>
  <si>
    <t>163900056267</t>
  </si>
  <si>
    <t>1650140543</t>
  </si>
  <si>
    <t>3436010669</t>
  </si>
  <si>
    <t>0329100016619000057</t>
  </si>
  <si>
    <t>[ОКПД2 52.29] Услуги транспортные вспомогательные прочие</t>
  </si>
  <si>
    <t>Камышин</t>
  </si>
  <si>
    <t>402900946846</t>
  </si>
  <si>
    <t>5036142287</t>
  </si>
  <si>
    <t>2130142070</t>
  </si>
  <si>
    <t>2312265408</t>
  </si>
  <si>
    <t>7204194660</t>
  </si>
  <si>
    <t>745202707741</t>
  </si>
  <si>
    <t>3436017368</t>
  </si>
  <si>
    <t>6148560020</t>
  </si>
  <si>
    <t>0158100025419000002</t>
  </si>
  <si>
    <t>614800230444</t>
  </si>
  <si>
    <t>6155075320</t>
  </si>
  <si>
    <t>0129100008219000065</t>
  </si>
  <si>
    <t>5028017042</t>
  </si>
  <si>
    <t>860571</t>
  </si>
  <si>
    <t>0158100025419000003</t>
  </si>
  <si>
    <t>0158100025419000005</t>
  </si>
  <si>
    <t>6144012537</t>
  </si>
  <si>
    <t>0158100025419000004</t>
  </si>
  <si>
    <t>0306200010219000652</t>
  </si>
  <si>
    <t>0306200010219000651</t>
  </si>
  <si>
    <t>7133028008</t>
  </si>
  <si>
    <t>7805718750</t>
  </si>
  <si>
    <t>0306200010219000653</t>
  </si>
  <si>
    <t>4706039014</t>
  </si>
  <si>
    <t>0306200010219000650</t>
  </si>
  <si>
    <t>7721281640</t>
  </si>
  <si>
    <t>7427004539</t>
  </si>
  <si>
    <t>0169300034119000066</t>
  </si>
  <si>
    <t>Брединский район</t>
  </si>
  <si>
    <t>744517255550</t>
  </si>
  <si>
    <t>5018044784</t>
  </si>
  <si>
    <t>0848300058919000250</t>
  </si>
  <si>
    <t>0306200010219000649</t>
  </si>
  <si>
    <t>1655303424</t>
  </si>
  <si>
    <t>0316100008119000008</t>
  </si>
  <si>
    <t>140201043933</t>
  </si>
  <si>
    <t>5410127176</t>
  </si>
  <si>
    <t>0851200000619006023</t>
  </si>
  <si>
    <t>0316100008119000007</t>
  </si>
  <si>
    <t>2721121647</t>
  </si>
  <si>
    <t>0122100003219000140</t>
  </si>
  <si>
    <t>272404615540</t>
  </si>
  <si>
    <t>272423591301</t>
  </si>
  <si>
    <t>2707001965</t>
  </si>
  <si>
    <t>0387100013019000006</t>
  </si>
  <si>
    <t>1117001907</t>
  </si>
  <si>
    <t>0107100003519000438</t>
  </si>
  <si>
    <t>3015099380</t>
  </si>
  <si>
    <t>0325200024519000027</t>
  </si>
  <si>
    <t>Астрахань</t>
  </si>
  <si>
    <t>3009015494</t>
  </si>
  <si>
    <t>1326134322</t>
  </si>
  <si>
    <t>0809500000319002202</t>
  </si>
  <si>
    <t>1328902001</t>
  </si>
  <si>
    <t>3703004692</t>
  </si>
  <si>
    <t>0333100000719000027</t>
  </si>
  <si>
    <t>Кинешма</t>
  </si>
  <si>
    <t>370306463619</t>
  </si>
  <si>
    <t>0333100000719000026</t>
  </si>
  <si>
    <t>5981006218</t>
  </si>
  <si>
    <t>0356200031919000103</t>
  </si>
  <si>
    <t>434548137062</t>
  </si>
  <si>
    <t>31908359959</t>
  </si>
  <si>
    <t>7736029594</t>
  </si>
  <si>
    <t>31908359125</t>
  </si>
  <si>
    <t>[ОКПД2 56.10] Услуги ресторанов и услуги по доставке продуктов питания, [ОКВЭД2 56.29] Деятельность предприятий общественного питания по прочим видам организации питания</t>
  </si>
  <si>
    <t>3435880250</t>
  </si>
  <si>
    <t>31908357719</t>
  </si>
  <si>
    <t>3435880620</t>
  </si>
  <si>
    <t>31908358011</t>
  </si>
  <si>
    <t>6628008997</t>
  </si>
  <si>
    <t>31908358453</t>
  </si>
  <si>
    <t>[ОКПД2 56.29] Услуги по обеспечению питанием прочие, [ОКВЭД2 85.1+] Образование общее</t>
  </si>
  <si>
    <t>2319055992</t>
  </si>
  <si>
    <t>31908360371</t>
  </si>
  <si>
    <t>[ОКПД2 68.20] Услуги по сдаче в аренду (внаем) собственного или арендованного недвижимого имущества, [ОКВЭД2 68.20] Аренда и управление собственным или арендованным недвижимым имуществом</t>
  </si>
  <si>
    <t>2807007135</t>
  </si>
  <si>
    <t>31908357792</t>
  </si>
  <si>
    <t>4214035897</t>
  </si>
  <si>
    <t>31908357837</t>
  </si>
  <si>
    <t>[ОКПД2 62.03] Услуги по управлению компьютерным оборудованием, [ОКВЭД2 46.51] Торговля оптовая компьютерами, периферийными устройствами к компьютерам и программным обеспечением</t>
  </si>
  <si>
    <t>Междуреченск</t>
  </si>
  <si>
    <t>4205285040</t>
  </si>
  <si>
    <t>7729050901</t>
  </si>
  <si>
    <t>31908359891</t>
  </si>
  <si>
    <t>3435880797</t>
  </si>
  <si>
    <t>31908358391</t>
  </si>
  <si>
    <t>1701010778</t>
  </si>
  <si>
    <t>31908358777</t>
  </si>
  <si>
    <t>170106319813</t>
  </si>
  <si>
    <t>6163213944</t>
  </si>
  <si>
    <t>31908360674</t>
  </si>
  <si>
    <t>31908359517</t>
  </si>
  <si>
    <t>7203211507</t>
  </si>
  <si>
    <t>31908359591</t>
  </si>
  <si>
    <t>6606036800</t>
  </si>
  <si>
    <t>31908357235</t>
  </si>
  <si>
    <t>3435880638</t>
  </si>
  <si>
    <t>31908357971</t>
  </si>
  <si>
    <t>3904021779</t>
  </si>
  <si>
    <t>31908364211</t>
  </si>
  <si>
    <t>31908360418</t>
  </si>
  <si>
    <t>6628008980</t>
  </si>
  <si>
    <t>31908358584</t>
  </si>
  <si>
    <t>31908359470</t>
  </si>
  <si>
    <t>7229005971</t>
  </si>
  <si>
    <t>31908358586</t>
  </si>
  <si>
    <t>6833006329</t>
  </si>
  <si>
    <t>31908353822</t>
  </si>
  <si>
    <t>8607006689</t>
  </si>
  <si>
    <t>31908359616</t>
  </si>
  <si>
    <t>191001/38236/274</t>
  </si>
  <si>
    <t>31908356792</t>
  </si>
  <si>
    <t>[ОКПД2 10.89] Продукты пищевые прочие, не включенные в другие группировки, [ОКВЭД2 10.89] Производство прочих пищевых продуктов, не включенных в другие группировки</t>
  </si>
  <si>
    <t>6165033136</t>
  </si>
  <si>
    <t>31908360325</t>
  </si>
  <si>
    <t>7702347870</t>
  </si>
  <si>
    <t>2302039135</t>
  </si>
  <si>
    <t>31908359264</t>
  </si>
  <si>
    <t>3445042160</t>
  </si>
  <si>
    <t>31908359126</t>
  </si>
  <si>
    <t>[ОКПД2 56.29] Услуги по обеспечению питанием прочие, [ОКВЭД2 56.10] Деятельность ресторанов и услуги по доставке продуктов питания</t>
  </si>
  <si>
    <t>5439000013</t>
  </si>
  <si>
    <t>0151300011319000105</t>
  </si>
  <si>
    <t>Убинский район</t>
  </si>
  <si>
    <t>3911001043</t>
  </si>
  <si>
    <t>0135200000519004137</t>
  </si>
  <si>
    <t>Советск</t>
  </si>
  <si>
    <t>5612042359</t>
  </si>
  <si>
    <t>0853500000319010879</t>
  </si>
  <si>
    <t>[ОКПД2 32.50] Инструменты и оборудование медицинские</t>
  </si>
  <si>
    <t>2317013362</t>
  </si>
  <si>
    <t>0118100010019000061</t>
  </si>
  <si>
    <t>6165193436</t>
  </si>
  <si>
    <t>231901064101</t>
  </si>
  <si>
    <t>5041015397</t>
  </si>
  <si>
    <t>0848300044119000355</t>
  </si>
  <si>
    <t>5612167767</t>
  </si>
  <si>
    <t>0853500000319010852</t>
  </si>
  <si>
    <t>0848300060519000317</t>
  </si>
  <si>
    <t>5013028080</t>
  </si>
  <si>
    <t>5013029775</t>
  </si>
  <si>
    <t>5041013431</t>
  </si>
  <si>
    <t>0848300044119000354</t>
  </si>
  <si>
    <t>5041012847</t>
  </si>
  <si>
    <t>0848300044119000356</t>
  </si>
  <si>
    <t>0172200002719000056</t>
  </si>
  <si>
    <t>7825426434</t>
  </si>
  <si>
    <t>7825426339</t>
  </si>
  <si>
    <t>7825430494</t>
  </si>
  <si>
    <t>7825426145</t>
  </si>
  <si>
    <t>7825426219</t>
  </si>
  <si>
    <t>7825431875</t>
  </si>
  <si>
    <t>7825335561</t>
  </si>
  <si>
    <t>7825426441</t>
  </si>
  <si>
    <t>7825425600</t>
  </si>
  <si>
    <t>7825424814</t>
  </si>
  <si>
    <t>7825426410</t>
  </si>
  <si>
    <t>5013029969</t>
  </si>
  <si>
    <t>0848300060519000316</t>
  </si>
  <si>
    <t>7708639622</t>
  </si>
  <si>
    <t>ЗП909498</t>
  </si>
  <si>
    <t>[ОКПД2 46.38] Услуги по оптовой торговле прочими пищевыми продуктами, включая рыбу, ракообразных и моллюсков, [ОКВЭД2 46.38] Торговля оптовая прочими пищевыми продуктами, включая рыбу, ракообразных и моллюсков</t>
  </si>
  <si>
    <t>7813045441</t>
  </si>
  <si>
    <t>0372100030619000589</t>
  </si>
  <si>
    <t>7838060057</t>
  </si>
  <si>
    <t>ЗП909495</t>
  </si>
  <si>
    <t>[ОКПД2 47.21] Услуги по розничной торговле фруктами и овощами в специализированных магазинах, [ОКВЭД2 47.21] Торговля розничная фруктами и овощами в специализированных магазинах</t>
  </si>
  <si>
    <t>5041012854</t>
  </si>
  <si>
    <t>0848300044119000346</t>
  </si>
  <si>
    <t>7806042802</t>
  </si>
  <si>
    <t>0372200240619000060</t>
  </si>
  <si>
    <t>7811635371</t>
  </si>
  <si>
    <t>7804196606</t>
  </si>
  <si>
    <t>2540065503</t>
  </si>
  <si>
    <t>7453044841</t>
  </si>
  <si>
    <t>0369100031319000097</t>
  </si>
  <si>
    <t>7452109140</t>
  </si>
  <si>
    <t>0318200041219000529</t>
  </si>
  <si>
    <t>230902560735</t>
  </si>
  <si>
    <t>0306200010219000644</t>
  </si>
  <si>
    <t>4340002355</t>
  </si>
  <si>
    <t>0140100010219000023</t>
  </si>
  <si>
    <t>Вятскополянский район</t>
  </si>
  <si>
    <t>4345298480</t>
  </si>
  <si>
    <t>0306200010219000643</t>
  </si>
  <si>
    <t>9731038990</t>
  </si>
  <si>
    <t>9102177780</t>
  </si>
  <si>
    <t>9701065838</t>
  </si>
  <si>
    <t>4705015998</t>
  </si>
  <si>
    <t>0145300008919000423</t>
  </si>
  <si>
    <t>Гатчина</t>
  </si>
  <si>
    <t>470500008476</t>
  </si>
  <si>
    <t>0142200001319016205</t>
  </si>
  <si>
    <t>5417104650</t>
  </si>
  <si>
    <t>0351300115519000041</t>
  </si>
  <si>
    <t>Баганский район</t>
  </si>
  <si>
    <t>541705504103</t>
  </si>
  <si>
    <t>0274065962</t>
  </si>
  <si>
    <t>0101500000319001723</t>
  </si>
  <si>
    <t>ЗП909482</t>
  </si>
  <si>
    <t>2506002944</t>
  </si>
  <si>
    <t>0320100000719000008</t>
  </si>
  <si>
    <t>Дальнереченск</t>
  </si>
  <si>
    <t>250611430614</t>
  </si>
  <si>
    <t>2901118072</t>
  </si>
  <si>
    <t>0124100003419000051</t>
  </si>
  <si>
    <t>2901119904</t>
  </si>
  <si>
    <t>2901111380</t>
  </si>
  <si>
    <t>5753019056</t>
  </si>
  <si>
    <t>0154100006019000223</t>
  </si>
  <si>
    <t>Ливны</t>
  </si>
  <si>
    <t>5702013056</t>
  </si>
  <si>
    <t>2608004891</t>
  </si>
  <si>
    <t>0121100004419000033</t>
  </si>
  <si>
    <t>Ипатовский район</t>
  </si>
  <si>
    <t>261705423716</t>
  </si>
  <si>
    <t>ЗП909479</t>
  </si>
  <si>
    <t>[ОКПД2 10.71] Изделия хлебобулочные; мучные кондитерские изделия, торты и пирожные недлительного хранения, [ОКВЭД2 10.71] Производство хлеба и мучных кондитерских изделий, тортов и пирожных недлительного хранения</t>
  </si>
  <si>
    <t>8603078548</t>
  </si>
  <si>
    <t>0387200002419000093</t>
  </si>
  <si>
    <t>8603186825</t>
  </si>
  <si>
    <t>2440002186</t>
  </si>
  <si>
    <t>0119100009119000038</t>
  </si>
  <si>
    <t>Уярский район</t>
  </si>
  <si>
    <t>2440000686</t>
  </si>
  <si>
    <t>0180400000119000039</t>
  </si>
  <si>
    <t>1660075068</t>
  </si>
  <si>
    <t>0111100005919000069</t>
  </si>
  <si>
    <t>166015013050</t>
  </si>
  <si>
    <t>1655372820</t>
  </si>
  <si>
    <t>1659158087</t>
  </si>
  <si>
    <t>1655384060</t>
  </si>
  <si>
    <t>0111100005919000070</t>
  </si>
  <si>
    <t>5018044978</t>
  </si>
  <si>
    <t>0848300058919000246</t>
  </si>
  <si>
    <t>0162100013519000044</t>
  </si>
  <si>
    <t>5054009288</t>
  </si>
  <si>
    <t>0848300058919000247</t>
  </si>
  <si>
    <t>5190131872</t>
  </si>
  <si>
    <t>0349100009219000055</t>
  </si>
  <si>
    <t>5190043898</t>
  </si>
  <si>
    <t>5018045121</t>
  </si>
  <si>
    <t>0848300058919000248</t>
  </si>
  <si>
    <t>5018045555</t>
  </si>
  <si>
    <t>0848300058919000249</t>
  </si>
  <si>
    <t>0101200002319000287</t>
  </si>
  <si>
    <t>0261009512</t>
  </si>
  <si>
    <t>0261009833</t>
  </si>
  <si>
    <t>0261009537</t>
  </si>
  <si>
    <t>0261009720</t>
  </si>
  <si>
    <t>7705596339</t>
  </si>
  <si>
    <t>0173100009519000200</t>
  </si>
  <si>
    <t>[ОКПД2 72.19] Услуги, связанные с научными исследованиями и экспериментальными разработками в области естественных и технических наук, прочие</t>
  </si>
  <si>
    <t>5018044431</t>
  </si>
  <si>
    <t>0848300058919000245</t>
  </si>
  <si>
    <t>5013024103</t>
  </si>
  <si>
    <t>0848300060519000313</t>
  </si>
  <si>
    <t>5013029790</t>
  </si>
  <si>
    <t>0848300060519000308</t>
  </si>
  <si>
    <t>0318200041219000525</t>
  </si>
  <si>
    <t>5013029888</t>
  </si>
  <si>
    <t>0848300060519000311</t>
  </si>
  <si>
    <t>5013029334</t>
  </si>
  <si>
    <t>0848300060519000312</t>
  </si>
  <si>
    <t>5013029800</t>
  </si>
  <si>
    <t>0848300060519000315</t>
  </si>
  <si>
    <t>ЗП909461</t>
  </si>
  <si>
    <t>[ОКПД2 46.32] Услуги по оптовой торговле мясом и мясными продуктами, [ОКВЭД2 46.32] Торговля оптовая мясом и мясными продуктами</t>
  </si>
  <si>
    <t>6661014613</t>
  </si>
  <si>
    <t>0362100023319000057</t>
  </si>
  <si>
    <t>241000002836</t>
  </si>
  <si>
    <t>0318200041219000527</t>
  </si>
  <si>
    <t>0318200041219000526</t>
  </si>
  <si>
    <t>5013029824</t>
  </si>
  <si>
    <t>0848300060519000314</t>
  </si>
  <si>
    <t>7201001092</t>
  </si>
  <si>
    <t>0167300000519001183</t>
  </si>
  <si>
    <t>7451300264</t>
  </si>
  <si>
    <t>7728044373</t>
  </si>
  <si>
    <t>0318200041219000522</t>
  </si>
  <si>
    <t>5013029831</t>
  </si>
  <si>
    <t>0848300060519000307</t>
  </si>
  <si>
    <t>1654011690</t>
  </si>
  <si>
    <t>0311300053319000010</t>
  </si>
  <si>
    <t>1649036890</t>
  </si>
  <si>
    <t>0306200010219000641</t>
  </si>
  <si>
    <t>0306200010219000640</t>
  </si>
  <si>
    <t>7718770714</t>
  </si>
  <si>
    <t>2807011893</t>
  </si>
  <si>
    <t>0123100004219000060</t>
  </si>
  <si>
    <t>Свободный</t>
  </si>
  <si>
    <t>0134200000119003457</t>
  </si>
  <si>
    <t>3810040374</t>
  </si>
  <si>
    <t>7407004428</t>
  </si>
  <si>
    <t>0169400001019000019</t>
  </si>
  <si>
    <t>740700171126</t>
  </si>
  <si>
    <t>3015032610</t>
  </si>
  <si>
    <t>0325100006319000093</t>
  </si>
  <si>
    <t>3025016103</t>
  </si>
  <si>
    <t>301809859886</t>
  </si>
  <si>
    <t>3015113179</t>
  </si>
  <si>
    <t>3234010426</t>
  </si>
  <si>
    <t>0227100000319000174</t>
  </si>
  <si>
    <t>3234032959</t>
  </si>
  <si>
    <t>0306200010219000642</t>
  </si>
  <si>
    <t>7726306383</t>
  </si>
  <si>
    <t>0373200041519001917</t>
  </si>
  <si>
    <t>7704193182</t>
  </si>
  <si>
    <t>0858100001719000034</t>
  </si>
  <si>
    <t>5047155986</t>
  </si>
  <si>
    <t>6161071204</t>
  </si>
  <si>
    <t>5503247275</t>
  </si>
  <si>
    <t>7708244416</t>
  </si>
  <si>
    <t>183002298110</t>
  </si>
  <si>
    <t>2636039303</t>
  </si>
  <si>
    <t>2722114949</t>
  </si>
  <si>
    <t>0822100000619000270</t>
  </si>
  <si>
    <t>2723181176</t>
  </si>
  <si>
    <t>3801009466</t>
  </si>
  <si>
    <t>РН90908345</t>
  </si>
  <si>
    <t>[ОКПД2 49.41] Услуги по грузовым перевозкам автомобильным транспортом, [ОКВЭД2 49.41] Деятельность автомобильного грузового транспорта</t>
  </si>
  <si>
    <t>0306200010219000639</t>
  </si>
  <si>
    <t>1831049039</t>
  </si>
  <si>
    <t>0813500000119012557</t>
  </si>
  <si>
    <t>Ижевск</t>
  </si>
  <si>
    <t>182700858634</t>
  </si>
  <si>
    <t>7806303878</t>
  </si>
  <si>
    <t>0372200129319000042</t>
  </si>
  <si>
    <t>[ОКПД2 79.11] Услуги туристических агентств</t>
  </si>
  <si>
    <t>4703144099</t>
  </si>
  <si>
    <t>7708768258</t>
  </si>
  <si>
    <t>616305895938</t>
  </si>
  <si>
    <t>0119100012619000087</t>
  </si>
  <si>
    <t>2466195849</t>
  </si>
  <si>
    <t>840102454240</t>
  </si>
  <si>
    <t>0372200129319000043</t>
  </si>
  <si>
    <t>2345004183</t>
  </si>
  <si>
    <t>0318100016319000017</t>
  </si>
  <si>
    <t>Отрадненский район</t>
  </si>
  <si>
    <t>2345011783</t>
  </si>
  <si>
    <t>5031001652</t>
  </si>
  <si>
    <t>0148300000619000709</t>
  </si>
  <si>
    <t>Ногинск</t>
  </si>
  <si>
    <t>7710349494</t>
  </si>
  <si>
    <t>0173100008619000066</t>
  </si>
  <si>
    <t>[ОКПД2 56.10] Услуги ресторанов и услуги по доставке продуктов питания, [ОКПД2 56.30] Услуги по подаче напитков</t>
  </si>
  <si>
    <t>9717059565</t>
  </si>
  <si>
    <t>7736247881</t>
  </si>
  <si>
    <t>5318004454</t>
  </si>
  <si>
    <t>100038499119000040</t>
  </si>
  <si>
    <t>Чудовский район</t>
  </si>
  <si>
    <t>5031024145</t>
  </si>
  <si>
    <t>0148300000619000710</t>
  </si>
  <si>
    <t>5031024593</t>
  </si>
  <si>
    <t>0148300000619000708</t>
  </si>
  <si>
    <t>Ногинский район</t>
  </si>
  <si>
    <t>0119100012619000088</t>
  </si>
  <si>
    <t>2466277428</t>
  </si>
  <si>
    <t>2465291973</t>
  </si>
  <si>
    <t>6164287579</t>
  </si>
  <si>
    <t>0158100006019000180</t>
  </si>
  <si>
    <t>6673209600</t>
  </si>
  <si>
    <t>7804126542</t>
  </si>
  <si>
    <t>3305009204</t>
  </si>
  <si>
    <t>0328100011919000026</t>
  </si>
  <si>
    <t>Ковров</t>
  </si>
  <si>
    <t>3305794233</t>
  </si>
  <si>
    <t>0325100006319000094</t>
  </si>
  <si>
    <t>301604672196</t>
  </si>
  <si>
    <t>0306200010219000638</t>
  </si>
  <si>
    <t>5032194206</t>
  </si>
  <si>
    <t>0119100012619000089</t>
  </si>
  <si>
    <t>5041017242</t>
  </si>
  <si>
    <t>0348100014119000042</t>
  </si>
  <si>
    <t>505300520910</t>
  </si>
  <si>
    <t>8613004200</t>
  </si>
  <si>
    <t>0187300012419000314</t>
  </si>
  <si>
    <t>8613005161</t>
  </si>
  <si>
    <t>6671380834</t>
  </si>
  <si>
    <t>0362200050719000734</t>
  </si>
  <si>
    <t>6671343046</t>
  </si>
  <si>
    <t>6671048749</t>
  </si>
  <si>
    <t>8613004217</t>
  </si>
  <si>
    <t>0187300012419000315</t>
  </si>
  <si>
    <t>861302124004</t>
  </si>
  <si>
    <t>6153000320</t>
  </si>
  <si>
    <t>0358200021119000010</t>
  </si>
  <si>
    <t>Сальский район</t>
  </si>
  <si>
    <t>6153002006</t>
  </si>
  <si>
    <t>7202161807</t>
  </si>
  <si>
    <t>0167200003419005242</t>
  </si>
  <si>
    <t>7202157342</t>
  </si>
  <si>
    <t>0362200050719000733</t>
  </si>
  <si>
    <t>6914002259</t>
  </si>
  <si>
    <t>0336100007919000007</t>
  </si>
  <si>
    <t>Ржев</t>
  </si>
  <si>
    <t>691400041832</t>
  </si>
  <si>
    <t>691406875009</t>
  </si>
  <si>
    <t>6112003586</t>
  </si>
  <si>
    <t>0158100014819000001</t>
  </si>
  <si>
    <t>Зимовниковский район</t>
  </si>
  <si>
    <t>6112915416</t>
  </si>
  <si>
    <t>6164026633</t>
  </si>
  <si>
    <t>0358200024819000095</t>
  </si>
  <si>
    <t>0711011320</t>
  </si>
  <si>
    <t>0304100010619000214</t>
  </si>
  <si>
    <t>072195471180</t>
  </si>
  <si>
    <t>5078013237</t>
  </si>
  <si>
    <t>0848300060619000615</t>
  </si>
  <si>
    <t>5078009921</t>
  </si>
  <si>
    <t>0848300060619000626</t>
  </si>
  <si>
    <t>5032036721</t>
  </si>
  <si>
    <t>839691</t>
  </si>
  <si>
    <t>5078009946</t>
  </si>
  <si>
    <t>0848300060619000619</t>
  </si>
  <si>
    <t>3901001157</t>
  </si>
  <si>
    <t>0135200000519004078</t>
  </si>
  <si>
    <t>Балтийск</t>
  </si>
  <si>
    <t>5078013364</t>
  </si>
  <si>
    <t>0848300060619000614</t>
  </si>
  <si>
    <t>7513000129</t>
  </si>
  <si>
    <t>0391100012819000010</t>
  </si>
  <si>
    <t>7513000217</t>
  </si>
  <si>
    <t>7709895509</t>
  </si>
  <si>
    <t>0872400000219000450</t>
  </si>
  <si>
    <t>7810703692</t>
  </si>
  <si>
    <t>5078009897</t>
  </si>
  <si>
    <t>0848300060619000618</t>
  </si>
  <si>
    <t>5946000220</t>
  </si>
  <si>
    <t>0356300049019000151</t>
  </si>
  <si>
    <t>5946005275</t>
  </si>
  <si>
    <t>5902293107</t>
  </si>
  <si>
    <t>0356200000119000173</t>
  </si>
  <si>
    <t>5904295075</t>
  </si>
  <si>
    <t>5903124912</t>
  </si>
  <si>
    <t>5905240907</t>
  </si>
  <si>
    <t>590601085507</t>
  </si>
  <si>
    <t>5906000591</t>
  </si>
  <si>
    <t>2221177627</t>
  </si>
  <si>
    <t>0817200000319011760</t>
  </si>
  <si>
    <t>[ОКПД2 95.11] Услуги по ремонту компьютеров и периферийного оборудования, [ОКПД2 71.20] Услуги в области технических испытаний, исследований, анализа и сертификации, [ОКПД2 26.20] Компьютеры и периферийное оборудование</t>
  </si>
  <si>
    <t>5403049600</t>
  </si>
  <si>
    <t>2224182336</t>
  </si>
  <si>
    <t>2223032088</t>
  </si>
  <si>
    <t>6506008213</t>
  </si>
  <si>
    <t>0361200010019000005</t>
  </si>
  <si>
    <t>[ОКПД2 85.42] Услуги по дополнительному профессиональному образованию</t>
  </si>
  <si>
    <t>Оха</t>
  </si>
  <si>
    <t>366520895482</t>
  </si>
  <si>
    <t>5911079090</t>
  </si>
  <si>
    <t>0356500002019000491</t>
  </si>
  <si>
    <t>2721171648</t>
  </si>
  <si>
    <t>0322200019319000056</t>
  </si>
  <si>
    <t>2723009714</t>
  </si>
  <si>
    <t>2801022320</t>
  </si>
  <si>
    <t>31908352307</t>
  </si>
  <si>
    <t>6667008550</t>
  </si>
  <si>
    <t>31908352004</t>
  </si>
  <si>
    <t>5911028426</t>
  </si>
  <si>
    <t>31908353229</t>
  </si>
  <si>
    <t>7724490000</t>
  </si>
  <si>
    <t>31908349739</t>
  </si>
  <si>
    <t>[ОКПД2 86.21] Услуги в области общей врачебной практики, [ОКВЭД2 86.21] Общая врачебная практика</t>
  </si>
  <si>
    <t>0269012436</t>
  </si>
  <si>
    <t>31908362798</t>
  </si>
  <si>
    <t>5948016762</t>
  </si>
  <si>
    <t>31908352694</t>
  </si>
  <si>
    <t>7207000313</t>
  </si>
  <si>
    <t>31908354023</t>
  </si>
  <si>
    <t>7717091519</t>
  </si>
  <si>
    <t>31908353580</t>
  </si>
  <si>
    <t>[ОКПД2 94.99] Услуги прочих общественных организаций, не включенных в другие группировки, [ОКВЭД2 94.99] Деятельность прочих общественных организаций, не включенных в другие группировки</t>
  </si>
  <si>
    <t>5101402410</t>
  </si>
  <si>
    <t>31908355134</t>
  </si>
  <si>
    <t>2356037399</t>
  </si>
  <si>
    <t>31908354597</t>
  </si>
  <si>
    <t>31908352992</t>
  </si>
  <si>
    <t>3435880758</t>
  </si>
  <si>
    <t>31908354746</t>
  </si>
  <si>
    <t>7702074366</t>
  </si>
  <si>
    <t>31908354111</t>
  </si>
  <si>
    <t>31908355734</t>
  </si>
  <si>
    <t>0269012242</t>
  </si>
  <si>
    <t>31908365363</t>
  </si>
  <si>
    <t>7229005033</t>
  </si>
  <si>
    <t>31908353630</t>
  </si>
  <si>
    <t>722900008978</t>
  </si>
  <si>
    <t>31908354079</t>
  </si>
  <si>
    <t>31908354358</t>
  </si>
  <si>
    <t>31908359746</t>
  </si>
  <si>
    <t>31908349726</t>
  </si>
  <si>
    <t>31908355524</t>
  </si>
  <si>
    <t>31908353886</t>
  </si>
  <si>
    <t>4824025829</t>
  </si>
  <si>
    <t>31908354691</t>
  </si>
  <si>
    <t>31908353501</t>
  </si>
  <si>
    <t>2511010651</t>
  </si>
  <si>
    <t>31908350118</t>
  </si>
  <si>
    <t>0265017240</t>
  </si>
  <si>
    <t>31908351692</t>
  </si>
  <si>
    <t>2527000049</t>
  </si>
  <si>
    <t>31908350313</t>
  </si>
  <si>
    <t>2510009854</t>
  </si>
  <si>
    <t>5003085851</t>
  </si>
  <si>
    <t>31908355766</t>
  </si>
  <si>
    <t>2456005954</t>
  </si>
  <si>
    <t>31908350180</t>
  </si>
  <si>
    <t>31908354068</t>
  </si>
  <si>
    <t>[ОКПД2 56.10] Услуги ресторанов и услуги по доставке продуктов питания, [ОКПД2 55.10] Услуги гостиниц и аналогичные услуги по предоставлению временного жилья, [ОКВЭД2 56.10] Деятельность ресторанов и услуги по доставке продуктов питания, [ОКВЭД2 55.10] Деятельность гостиниц и прочих мест для временного проживания</t>
  </si>
  <si>
    <t>3903009923</t>
  </si>
  <si>
    <t>31908346680</t>
  </si>
  <si>
    <t>7712038455</t>
  </si>
  <si>
    <t>31908355587</t>
  </si>
  <si>
    <t>7729583071</t>
  </si>
  <si>
    <t>5024080558</t>
  </si>
  <si>
    <t>31908355771</t>
  </si>
  <si>
    <t>[ОКПД2 58.29] Услуги по изданию прочего программного обеспечения, [ОКВЭД2 58.29] Издание прочих программных продуктов</t>
  </si>
  <si>
    <t>5044057719</t>
  </si>
  <si>
    <t>839595</t>
  </si>
  <si>
    <t>8709009424</t>
  </si>
  <si>
    <t>31908349849</t>
  </si>
  <si>
    <t>Чукотский автономный округ</t>
  </si>
  <si>
    <t>8709907450</t>
  </si>
  <si>
    <t>3435880540</t>
  </si>
  <si>
    <t>31908349900</t>
  </si>
  <si>
    <t>7703032947</t>
  </si>
  <si>
    <t>COM26091900088</t>
  </si>
  <si>
    <t>2460084660</t>
  </si>
  <si>
    <t>31908349630</t>
  </si>
  <si>
    <t>[ОКПД2 55.1+] Услуги гостиниц и аналогичные услуги по предоставлению временного жилья, [ОКВЭД2 55.1+] Деятельность гостиниц и прочих мест для временного проживания</t>
  </si>
  <si>
    <t>2465038635</t>
  </si>
  <si>
    <t>31908349715</t>
  </si>
  <si>
    <t>7721062736</t>
  </si>
  <si>
    <t>COM26091900094</t>
  </si>
  <si>
    <t>7730667350</t>
  </si>
  <si>
    <t>COM26091900077</t>
  </si>
  <si>
    <t>7733046665</t>
  </si>
  <si>
    <t>COM26091900084</t>
  </si>
  <si>
    <t>COM26091900079</t>
  </si>
  <si>
    <t>COM26091900080</t>
  </si>
  <si>
    <t>7701036840</t>
  </si>
  <si>
    <t>COM26091900086</t>
  </si>
  <si>
    <t>COM26091900078</t>
  </si>
  <si>
    <t>COM26091900076</t>
  </si>
  <si>
    <t>COM26091900083</t>
  </si>
  <si>
    <t>COM26091900087</t>
  </si>
  <si>
    <t>COM26091900089</t>
  </si>
  <si>
    <t>8903019007</t>
  </si>
  <si>
    <t>0190200000319010204</t>
  </si>
  <si>
    <t>Надым</t>
  </si>
  <si>
    <t>890304202713</t>
  </si>
  <si>
    <t>2334009655</t>
  </si>
  <si>
    <t>0118100002119000028</t>
  </si>
  <si>
    <t>Каневской район</t>
  </si>
  <si>
    <t>2334026040</t>
  </si>
  <si>
    <t>6509014550</t>
  </si>
  <si>
    <t>0161100007319000022</t>
  </si>
  <si>
    <t>Холмский район</t>
  </si>
  <si>
    <t>6509018795</t>
  </si>
  <si>
    <t>5610093090</t>
  </si>
  <si>
    <t>0353100005219000010</t>
  </si>
  <si>
    <t>5610150479</t>
  </si>
  <si>
    <t>5637003249</t>
  </si>
  <si>
    <t>100110749119000007</t>
  </si>
  <si>
    <t>7018016438</t>
  </si>
  <si>
    <t>0865200000319001851</t>
  </si>
  <si>
    <t>[ОКПД2 26.30] Оборудование коммуникационное, [ОКПД2 26.20] Компьютеры и периферийное оборудование</t>
  </si>
  <si>
    <t>7024041249</t>
  </si>
  <si>
    <t>7017219555</t>
  </si>
  <si>
    <t>6928000614</t>
  </si>
  <si>
    <t>100072237119000061</t>
  </si>
  <si>
    <t>Краснохолмский район</t>
  </si>
  <si>
    <t>5041012861</t>
  </si>
  <si>
    <t>0848300044119000340</t>
  </si>
  <si>
    <t>0373200041519001822</t>
  </si>
  <si>
    <t>5041012830</t>
  </si>
  <si>
    <t>0848300044119000345</t>
  </si>
  <si>
    <t>7413002683</t>
  </si>
  <si>
    <t>0369100011119000060</t>
  </si>
  <si>
    <t>Кыштым</t>
  </si>
  <si>
    <t>7413011127</t>
  </si>
  <si>
    <t>1109012599</t>
  </si>
  <si>
    <t>100167721119000094</t>
  </si>
  <si>
    <t>Корткеросский район</t>
  </si>
  <si>
    <t>0133200001719002780</t>
  </si>
  <si>
    <t>5078002404</t>
  </si>
  <si>
    <t>0848300060619000609</t>
  </si>
  <si>
    <t>5078012018</t>
  </si>
  <si>
    <t>0848300060619000610</t>
  </si>
  <si>
    <t>5022021028</t>
  </si>
  <si>
    <t>0348100082819000030</t>
  </si>
  <si>
    <t>7743041338</t>
  </si>
  <si>
    <t>7808043833</t>
  </si>
  <si>
    <t>0172200001919000348</t>
  </si>
  <si>
    <t>7838399555</t>
  </si>
  <si>
    <t>0118100009819000095</t>
  </si>
  <si>
    <t>2319023285</t>
  </si>
  <si>
    <t>231708018241</t>
  </si>
  <si>
    <t>4212031760</t>
  </si>
  <si>
    <t>0139100008119000029</t>
  </si>
  <si>
    <t>Полысаево</t>
  </si>
  <si>
    <t>420215290737</t>
  </si>
  <si>
    <t>2923002280</t>
  </si>
  <si>
    <t>0124100006119000001</t>
  </si>
  <si>
    <t>7303013280</t>
  </si>
  <si>
    <t>0168100006819000150</t>
  </si>
  <si>
    <t>7325142233</t>
  </si>
  <si>
    <t>6652011648</t>
  </si>
  <si>
    <t>0362300218019000004</t>
  </si>
  <si>
    <t>Сысертский район</t>
  </si>
  <si>
    <t>6685084426</t>
  </si>
  <si>
    <t>5031030332</t>
  </si>
  <si>
    <t>0148300000619000700</t>
  </si>
  <si>
    <t>3808017280</t>
  </si>
  <si>
    <t>0134100010019000053</t>
  </si>
  <si>
    <t>Иркутск</t>
  </si>
  <si>
    <t>381201292403</t>
  </si>
  <si>
    <t>0168100006819000149</t>
  </si>
  <si>
    <t>7021016597</t>
  </si>
  <si>
    <t>0165100003519000045</t>
  </si>
  <si>
    <t>7017270181</t>
  </si>
  <si>
    <t>7302011844</t>
  </si>
  <si>
    <t>0168100003419000030</t>
  </si>
  <si>
    <t>Новомалыклинский район</t>
  </si>
  <si>
    <t>731001116819</t>
  </si>
  <si>
    <t>5031026209</t>
  </si>
  <si>
    <t>0148300000619000699</t>
  </si>
  <si>
    <t>5604005593</t>
  </si>
  <si>
    <t>0353100009019000007</t>
  </si>
  <si>
    <t>Гай</t>
  </si>
  <si>
    <t>5604004818</t>
  </si>
  <si>
    <t>0372200240619000059</t>
  </si>
  <si>
    <t>5406301664</t>
  </si>
  <si>
    <t>0351200013219000348</t>
  </si>
  <si>
    <t>541551055800</t>
  </si>
  <si>
    <t>0351200013219000350</t>
  </si>
  <si>
    <t>5407974888</t>
  </si>
  <si>
    <t>1659013660</t>
  </si>
  <si>
    <t>0711200011019000153</t>
  </si>
  <si>
    <t>7707408894</t>
  </si>
  <si>
    <t>0351200013219000349</t>
  </si>
  <si>
    <t>5452004592</t>
  </si>
  <si>
    <t>0306200010219000636</t>
  </si>
  <si>
    <t>7726448684</t>
  </si>
  <si>
    <t>9709008782</t>
  </si>
  <si>
    <t>4625003098</t>
  </si>
  <si>
    <t>0344300070619000087</t>
  </si>
  <si>
    <t>462500417684</t>
  </si>
  <si>
    <t>0306200010219000630</t>
  </si>
  <si>
    <t>0351200013219000347</t>
  </si>
  <si>
    <t>542206464552</t>
  </si>
  <si>
    <t>5078009939</t>
  </si>
  <si>
    <t>0848300060619000606</t>
  </si>
  <si>
    <t>0306200010219000637</t>
  </si>
  <si>
    <t>5018044840</t>
  </si>
  <si>
    <t>0848300058919000240</t>
  </si>
  <si>
    <t>5902290473</t>
  </si>
  <si>
    <t>0356200002019000875</t>
  </si>
  <si>
    <t>[ОКПД2 33.13] Услуги по ремонту электронного и оптического оборудования, [ОКПД2 80.20] Услуги систем обеспечения безопасности, [ОКПД2 33.14] Услуги по ремонту электрического оборудования, [ОКПД2 33.12] Услуги по ремонту оборудования</t>
  </si>
  <si>
    <t>5906122776</t>
  </si>
  <si>
    <t>5906116910</t>
  </si>
  <si>
    <t>5904646380</t>
  </si>
  <si>
    <t>0306200010219000632</t>
  </si>
  <si>
    <t>6714034609</t>
  </si>
  <si>
    <t>6320006475</t>
  </si>
  <si>
    <t>0142200001319016074</t>
  </si>
  <si>
    <t>Тольятти</t>
  </si>
  <si>
    <t>5078003630</t>
  </si>
  <si>
    <t>0848300060619000604</t>
  </si>
  <si>
    <t>5018044801</t>
  </si>
  <si>
    <t>0848300058919000241</t>
  </si>
  <si>
    <t>5078009880</t>
  </si>
  <si>
    <t>0848300060619000603</t>
  </si>
  <si>
    <t>0306200010219000635</t>
  </si>
  <si>
    <t>5919028210</t>
  </si>
  <si>
    <t>0356500001119000440</t>
  </si>
  <si>
    <t>9202002504</t>
  </si>
  <si>
    <t>0174200002019000350</t>
  </si>
  <si>
    <t>0306200010219000634</t>
  </si>
  <si>
    <t>7608004273</t>
  </si>
  <si>
    <t>0371100014319000013</t>
  </si>
  <si>
    <t>Переславль-Залесский</t>
  </si>
  <si>
    <t>7608007740</t>
  </si>
  <si>
    <t>0306200010219000629</t>
  </si>
  <si>
    <t>0306200010219000628</t>
  </si>
  <si>
    <t>503503679910</t>
  </si>
  <si>
    <t>0371100014319000014</t>
  </si>
  <si>
    <t>2128020491</t>
  </si>
  <si>
    <t>0115100003319000045</t>
  </si>
  <si>
    <t>Чебоксары</t>
  </si>
  <si>
    <t>2130067095</t>
  </si>
  <si>
    <t>0306200010219000633</t>
  </si>
  <si>
    <t>0306200010219000631</t>
  </si>
  <si>
    <t>5018044791</t>
  </si>
  <si>
    <t>0848300058919000242</t>
  </si>
  <si>
    <t>0333100000719000024</t>
  </si>
  <si>
    <t>5038025564</t>
  </si>
  <si>
    <t>839090</t>
  </si>
  <si>
    <t>0333100000719000025</t>
  </si>
  <si>
    <t>3806009237</t>
  </si>
  <si>
    <t>100074612118000029</t>
  </si>
  <si>
    <t>Зима</t>
  </si>
  <si>
    <t>839092</t>
  </si>
  <si>
    <t>4616002066</t>
  </si>
  <si>
    <t>0144100013519000012</t>
  </si>
  <si>
    <t>6317053595</t>
  </si>
  <si>
    <t>0142100000819000100</t>
  </si>
  <si>
    <t>6317068351</t>
  </si>
  <si>
    <t>5054009256</t>
  </si>
  <si>
    <t>0848300058919000238</t>
  </si>
  <si>
    <t>0154100006019000215</t>
  </si>
  <si>
    <t>Орёл</t>
  </si>
  <si>
    <t>5753050909</t>
  </si>
  <si>
    <t>5054009263</t>
  </si>
  <si>
    <t>0848300058919000239</t>
  </si>
  <si>
    <t>100238334119000059</t>
  </si>
  <si>
    <t>7702211710</t>
  </si>
  <si>
    <t>114449</t>
  </si>
  <si>
    <t>0154100006019000214</t>
  </si>
  <si>
    <t>5075006256</t>
  </si>
  <si>
    <t>838999</t>
  </si>
  <si>
    <t>Руза</t>
  </si>
  <si>
    <t>1655373439</t>
  </si>
  <si>
    <t>0111400000219000056</t>
  </si>
  <si>
    <t>1660281455</t>
  </si>
  <si>
    <t>1661023633</t>
  </si>
  <si>
    <t>РН90907946</t>
  </si>
  <si>
    <t>1109000650</t>
  </si>
  <si>
    <t>0307300061819000150</t>
  </si>
  <si>
    <t>4714004270</t>
  </si>
  <si>
    <t>0573100002519001103</t>
  </si>
  <si>
    <t>5112092841</t>
  </si>
  <si>
    <t>7515002900</t>
  </si>
  <si>
    <t>0391100009319000014</t>
  </si>
  <si>
    <t>Оловяннинский</t>
  </si>
  <si>
    <t>2303010851</t>
  </si>
  <si>
    <t>0318300207019000218</t>
  </si>
  <si>
    <t>Белореченск</t>
  </si>
  <si>
    <t>230303126159</t>
  </si>
  <si>
    <t>3808052358</t>
  </si>
  <si>
    <t>0334100007019000029</t>
  </si>
  <si>
    <t>[ОКПД2 10.12] Мясо сельскохозяйственной птицы и прочие продукты убоя, включая консервированные</t>
  </si>
  <si>
    <t>0835400000219000082</t>
  </si>
  <si>
    <t>3906074906</t>
  </si>
  <si>
    <t>3906380452</t>
  </si>
  <si>
    <t>4821004725</t>
  </si>
  <si>
    <t>0846100001119000007</t>
  </si>
  <si>
    <t>Елец</t>
  </si>
  <si>
    <t>482111121768</t>
  </si>
  <si>
    <t>5078000534</t>
  </si>
  <si>
    <t>0848300060619000600</t>
  </si>
  <si>
    <t>0801300014319000210</t>
  </si>
  <si>
    <t>0265015193</t>
  </si>
  <si>
    <t>Октябрьский</t>
  </si>
  <si>
    <t>0265014810</t>
  </si>
  <si>
    <t>0265015740</t>
  </si>
  <si>
    <t>0265015820</t>
  </si>
  <si>
    <t>0265015806</t>
  </si>
  <si>
    <t>0265007587</t>
  </si>
  <si>
    <t>0265021214</t>
  </si>
  <si>
    <t>0265013573</t>
  </si>
  <si>
    <t>0265015764</t>
  </si>
  <si>
    <t>0265014834</t>
  </si>
  <si>
    <t>0265015228</t>
  </si>
  <si>
    <t>0265007650</t>
  </si>
  <si>
    <t>0265014721</t>
  </si>
  <si>
    <t>0265015179</t>
  </si>
  <si>
    <t>2127019687</t>
  </si>
  <si>
    <t>0115100001319000086</t>
  </si>
  <si>
    <t>2130069511</t>
  </si>
  <si>
    <t>110114398881</t>
  </si>
  <si>
    <t>5031050875</t>
  </si>
  <si>
    <t>0148300000619000690</t>
  </si>
  <si>
    <t>5031024219</t>
  </si>
  <si>
    <t>0148300000619000691</t>
  </si>
  <si>
    <t>2225068499</t>
  </si>
  <si>
    <t>0817200000319011571</t>
  </si>
  <si>
    <t>[ОКПД2 28.25] Оборудование промышленное холодильное и вентиляционное, [ОКПД2 29.32] Комплектующие и принадлежности для автотранспортных средств прочие, [ОКПД2 33.20] Услуги по монтажу промышленных машин и оборудования</t>
  </si>
  <si>
    <t>2221235318</t>
  </si>
  <si>
    <t>5031050610</t>
  </si>
  <si>
    <t>0148300000619000689</t>
  </si>
  <si>
    <t>4206022936</t>
  </si>
  <si>
    <t>0339200017219000221</t>
  </si>
  <si>
    <t>0851500000419000134</t>
  </si>
  <si>
    <t>5404396580</t>
  </si>
  <si>
    <t>3522004429</t>
  </si>
  <si>
    <t>0830100001819000012</t>
  </si>
  <si>
    <t>0387200027819000144</t>
  </si>
  <si>
    <t>7106003011</t>
  </si>
  <si>
    <t>31908347177</t>
  </si>
  <si>
    <t>9103006307</t>
  </si>
  <si>
    <t>31908348595</t>
  </si>
  <si>
    <t>7707083893</t>
  </si>
  <si>
    <t>31908340888</t>
  </si>
  <si>
    <t>7725539709</t>
  </si>
  <si>
    <t>31908349058</t>
  </si>
  <si>
    <t>6906005880</t>
  </si>
  <si>
    <t>31908349397</t>
  </si>
  <si>
    <t>7705013033</t>
  </si>
  <si>
    <t>31908346151</t>
  </si>
  <si>
    <t>[ОКПД2 94.11] Услуги, предоставляемые коммерческими и предпринимательскими членскими организациями, [ОКВЭД2 94+] Деятельность общественных организаций</t>
  </si>
  <si>
    <t>9723038972</t>
  </si>
  <si>
    <t>31908345621</t>
  </si>
  <si>
    <t>31908352308</t>
  </si>
  <si>
    <t>5838045231</t>
  </si>
  <si>
    <t>31908345943</t>
  </si>
  <si>
    <t>31908345437</t>
  </si>
  <si>
    <t>[ОКПД2 63.11] Услуги по обработке данных, размещению и взаимосвязанные услуги, [ОКВЭД2 63.11] Деятельность по обработке данных, предоставление услуг по размещению информации и связанная с этим деятельность</t>
  </si>
  <si>
    <t>2511008571</t>
  </si>
  <si>
    <t>31908344467</t>
  </si>
  <si>
    <t>2725006620</t>
  </si>
  <si>
    <t>31908345360</t>
  </si>
  <si>
    <t>[ОКПД2 55.90] Услуги по предоставлению временного жилья прочие, [ОКПД2 56.29] Услуги по обеспечению питанием прочие, [ОКВЭД2 56.29] Деятельность предприятий общественного питания по прочим видам организации питания, [ОКВЭД2 55.90] Деятельность по предоставлению прочих мест для временного проживания</t>
  </si>
  <si>
    <t>31908348015</t>
  </si>
  <si>
    <t>31908348620</t>
  </si>
  <si>
    <t>0253008096</t>
  </si>
  <si>
    <t>31908344173</t>
  </si>
  <si>
    <t>3123028509</t>
  </si>
  <si>
    <t>31908342727</t>
  </si>
  <si>
    <t>31908348946</t>
  </si>
  <si>
    <t>0253005602</t>
  </si>
  <si>
    <t>31908344327</t>
  </si>
  <si>
    <t>7423014550</t>
  </si>
  <si>
    <t>31908349350</t>
  </si>
  <si>
    <t>31908340892</t>
  </si>
  <si>
    <t>1660110241</t>
  </si>
  <si>
    <t>31908347394</t>
  </si>
  <si>
    <t>6453119615</t>
  </si>
  <si>
    <t>31908347916</t>
  </si>
  <si>
    <t>[ОКПД2 10.89] Продукты пищевые прочие, не включенные в другие группировки, [ОКВЭД2 10+] Производство пищевых продуктов</t>
  </si>
  <si>
    <t>Саратов</t>
  </si>
  <si>
    <t>0253005634</t>
  </si>
  <si>
    <t>31908344234</t>
  </si>
  <si>
    <t>2463034410</t>
  </si>
  <si>
    <t>31908340395</t>
  </si>
  <si>
    <t>31908348701</t>
  </si>
  <si>
    <t>[ОКПД2 78.30] Услуги в области трудовых ресурсов по обеспечению персоналом прочие, [ОКВЭД2 78.30] Деятельность по подбору персонала прочая</t>
  </si>
  <si>
    <t>31908348972</t>
  </si>
  <si>
    <t>3905026385</t>
  </si>
  <si>
    <t>31908345791</t>
  </si>
  <si>
    <t>5027277979</t>
  </si>
  <si>
    <t>838718</t>
  </si>
  <si>
    <t>Люберецкий район</t>
  </si>
  <si>
    <t>5504036333</t>
  </si>
  <si>
    <t>3-49904-115-19</t>
  </si>
  <si>
    <t>0853500000319010500</t>
  </si>
  <si>
    <t>0853500000319010559</t>
  </si>
  <si>
    <t>0306200010219000627</t>
  </si>
  <si>
    <t>7714359694</t>
  </si>
  <si>
    <t>773270791264</t>
  </si>
  <si>
    <t>0306200010219000626</t>
  </si>
  <si>
    <t>5046005868</t>
  </si>
  <si>
    <t>0348100043819000017</t>
  </si>
  <si>
    <t>7743855866</t>
  </si>
  <si>
    <t>0348100043819000016</t>
  </si>
  <si>
    <t>2308027369</t>
  </si>
  <si>
    <t>0818500000819001035</t>
  </si>
  <si>
    <t>2301057935</t>
  </si>
  <si>
    <t>7813446355</t>
  </si>
  <si>
    <t>0372200211919000026</t>
  </si>
  <si>
    <t>7814616585</t>
  </si>
  <si>
    <t>3203003490</t>
  </si>
  <si>
    <t>100264973119000023</t>
  </si>
  <si>
    <t>Клинцы</t>
  </si>
  <si>
    <t>0318100060119000018</t>
  </si>
  <si>
    <t>0318100060119000019</t>
  </si>
  <si>
    <t>7823004740</t>
  </si>
  <si>
    <t>0372100048119000011</t>
  </si>
  <si>
    <t>2595867</t>
  </si>
  <si>
    <t>2457002321</t>
  </si>
  <si>
    <t>0119200000119008918</t>
  </si>
  <si>
    <t>[ОКПД2 62.02] Услуги консультативные, связанные с компьютерной техникой</t>
  </si>
  <si>
    <t>Норильск</t>
  </si>
  <si>
    <t>2457058331</t>
  </si>
  <si>
    <t>2540015767</t>
  </si>
  <si>
    <t>0320100007619000084</t>
  </si>
  <si>
    <t>7453287210</t>
  </si>
  <si>
    <t>7720746451</t>
  </si>
  <si>
    <t>3426009294</t>
  </si>
  <si>
    <t>0129200005319003815</t>
  </si>
  <si>
    <t>Светлоярский район</t>
  </si>
  <si>
    <t>342600568699</t>
  </si>
  <si>
    <t>3435108661</t>
  </si>
  <si>
    <t>2595857</t>
  </si>
  <si>
    <t>3444059139</t>
  </si>
  <si>
    <t>0129300014919000295</t>
  </si>
  <si>
    <t>7702441231</t>
  </si>
  <si>
    <t>2304025829</t>
  </si>
  <si>
    <t>0118100007419000014</t>
  </si>
  <si>
    <t>Геленджик</t>
  </si>
  <si>
    <t>0306200010219000625</t>
  </si>
  <si>
    <t>6618001569</t>
  </si>
  <si>
    <t>0362300003219000022</t>
  </si>
  <si>
    <t>2469003062</t>
  </si>
  <si>
    <t>0119200000119008902</t>
  </si>
  <si>
    <t>3662168233</t>
  </si>
  <si>
    <t>2466260350</t>
  </si>
  <si>
    <t>2460066237</t>
  </si>
  <si>
    <t>2466002085</t>
  </si>
  <si>
    <t>7708186450</t>
  </si>
  <si>
    <t>0373200001919000281</t>
  </si>
  <si>
    <t>5249002485</t>
  </si>
  <si>
    <t>EX19092600024</t>
  </si>
  <si>
    <t>[ОКПД2 10.84] Приправы и пряности, [ОКВЭД2 10.84] Производство приправ и пряностей</t>
  </si>
  <si>
    <t>Дзержинск</t>
  </si>
  <si>
    <t>3008008720</t>
  </si>
  <si>
    <t>0825300005219000162</t>
  </si>
  <si>
    <t>Наримановский район</t>
  </si>
  <si>
    <t>0321200030019000093</t>
  </si>
  <si>
    <t>7801531045</t>
  </si>
  <si>
    <t>EX19092600023</t>
  </si>
  <si>
    <t>[ОКПД2 10.39] Фрукты, овощи и грибы переработанные и консервированные, не включенные в другие группировки, [ОКВЭД2 10.39] Прочие виды переработки и консервирования фруктов и овощей</t>
  </si>
  <si>
    <t>0306200010219000624</t>
  </si>
  <si>
    <t>7708813060</t>
  </si>
  <si>
    <t>6375002166</t>
  </si>
  <si>
    <t>100007627119000041</t>
  </si>
  <si>
    <t>Большеглушицкий район</t>
  </si>
  <si>
    <t>0321200039319000084</t>
  </si>
  <si>
    <t>2633001333</t>
  </si>
  <si>
    <t>5018044777</t>
  </si>
  <si>
    <t>0848300058919000235</t>
  </si>
  <si>
    <t>5031112070</t>
  </si>
  <si>
    <t>0148300000619000688</t>
  </si>
  <si>
    <t>2625022869</t>
  </si>
  <si>
    <t>0121100004319000073</t>
  </si>
  <si>
    <t>Георгиевск</t>
  </si>
  <si>
    <t>262401951314</t>
  </si>
  <si>
    <t>0306200010219000623</t>
  </si>
  <si>
    <t>5018044833</t>
  </si>
  <si>
    <t>0848300058919000236</t>
  </si>
  <si>
    <t>0306200010219000619</t>
  </si>
  <si>
    <t>5503033146</t>
  </si>
  <si>
    <t>0352300010519000106</t>
  </si>
  <si>
    <t>550602527336</t>
  </si>
  <si>
    <t>0306200010219000620</t>
  </si>
  <si>
    <t>5018045058</t>
  </si>
  <si>
    <t>0848300058919000237</t>
  </si>
  <si>
    <t>0306200010219000621</t>
  </si>
  <si>
    <t>5018048370</t>
  </si>
  <si>
    <t>0848300058919000234</t>
  </si>
  <si>
    <t>0356500002019000471</t>
  </si>
  <si>
    <t>5018020751</t>
  </si>
  <si>
    <t>0848300058919000233</t>
  </si>
  <si>
    <t>2455010905</t>
  </si>
  <si>
    <t>100271544119000047</t>
  </si>
  <si>
    <t>Минусинск</t>
  </si>
  <si>
    <t>0101200010519000039</t>
  </si>
  <si>
    <t>7719116857</t>
  </si>
  <si>
    <t>0373200608919000010</t>
  </si>
  <si>
    <t>7733334409</t>
  </si>
  <si>
    <t>7723909016</t>
  </si>
  <si>
    <t>5723002739</t>
  </si>
  <si>
    <t>100104330119000022</t>
  </si>
  <si>
    <t>Сосковский район</t>
  </si>
  <si>
    <t>114554</t>
  </si>
  <si>
    <t>3123130580</t>
  </si>
  <si>
    <t>0326100010519000099</t>
  </si>
  <si>
    <t>7710878000</t>
  </si>
  <si>
    <t>0173200023319000113</t>
  </si>
  <si>
    <t>[ОКПД2 27.90] Оборудование электрическое прочее</t>
  </si>
  <si>
    <t>7709719207</t>
  </si>
  <si>
    <t>1013005833</t>
  </si>
  <si>
    <t>100273595119000011</t>
  </si>
  <si>
    <t>Медвежьегорский район</t>
  </si>
  <si>
    <t>0318200041219000511</t>
  </si>
  <si>
    <t>0312002268</t>
  </si>
  <si>
    <t>0102200001619004069</t>
  </si>
  <si>
    <t>Кяхтинский район</t>
  </si>
  <si>
    <t>0146300035219000248</t>
  </si>
  <si>
    <t>4824020027</t>
  </si>
  <si>
    <t>4826031560</t>
  </si>
  <si>
    <t>4824021260</t>
  </si>
  <si>
    <t>4823015955</t>
  </si>
  <si>
    <t>Липецкая область
Тамбовская область</t>
  </si>
  <si>
    <t>Липецк
Моршанск</t>
  </si>
  <si>
    <t>4823017060</t>
  </si>
  <si>
    <t>4824019448</t>
  </si>
  <si>
    <t>4824018980</t>
  </si>
  <si>
    <t>4826042058</t>
  </si>
  <si>
    <t>4824021214</t>
  </si>
  <si>
    <t>Лебедянский район</t>
  </si>
  <si>
    <t>4826024556</t>
  </si>
  <si>
    <t>4824019416</t>
  </si>
  <si>
    <t>4826027892</t>
  </si>
  <si>
    <t>4826030119</t>
  </si>
  <si>
    <t>4825024377</t>
  </si>
  <si>
    <t>4825025317</t>
  </si>
  <si>
    <t>4826028737</t>
  </si>
  <si>
    <t>4825025596</t>
  </si>
  <si>
    <t>4825027314</t>
  </si>
  <si>
    <t>4825024539</t>
  </si>
  <si>
    <t>4826027740</t>
  </si>
  <si>
    <t>Липецкая область
Липецкая область</t>
  </si>
  <si>
    <t>Липецк
Липецк</t>
  </si>
  <si>
    <t>4824017923</t>
  </si>
  <si>
    <t>4826028141</t>
  </si>
  <si>
    <t>4824020316</t>
  </si>
  <si>
    <t>4823015112</t>
  </si>
  <si>
    <t>4826027733</t>
  </si>
  <si>
    <t>4825026737</t>
  </si>
  <si>
    <t>4825025282</t>
  </si>
  <si>
    <t>4824018003</t>
  </si>
  <si>
    <t>4825026166</t>
  </si>
  <si>
    <t>4824022634</t>
  </si>
  <si>
    <t>4826028600</t>
  </si>
  <si>
    <t>4824021119</t>
  </si>
  <si>
    <t>4824018571</t>
  </si>
  <si>
    <t>4824018074</t>
  </si>
  <si>
    <t>4823018145</t>
  </si>
  <si>
    <t>4826027807</t>
  </si>
  <si>
    <t>4824019007</t>
  </si>
  <si>
    <t>4824018652</t>
  </si>
  <si>
    <t>4824023451</t>
  </si>
  <si>
    <t>4826029530</t>
  </si>
  <si>
    <t>4824019769</t>
  </si>
  <si>
    <t>4826028374</t>
  </si>
  <si>
    <t>4823016290</t>
  </si>
  <si>
    <t>4823014951</t>
  </si>
  <si>
    <t>4826030158</t>
  </si>
  <si>
    <t>4826029748</t>
  </si>
  <si>
    <t>3910003400</t>
  </si>
  <si>
    <t>0135200000519004035</t>
  </si>
  <si>
    <t>Пионерский</t>
  </si>
  <si>
    <t>0326100010519000098</t>
  </si>
  <si>
    <t>0318200041219000512</t>
  </si>
  <si>
    <t>0318200041219000513</t>
  </si>
  <si>
    <t>27409</t>
  </si>
  <si>
    <t>2901070110</t>
  </si>
  <si>
    <t>0124100005219000011</t>
  </si>
  <si>
    <t>2901141233</t>
  </si>
  <si>
    <t>7806233758</t>
  </si>
  <si>
    <t>100147018119000059</t>
  </si>
  <si>
    <t>4322004920</t>
  </si>
  <si>
    <t>0340100012019000073</t>
  </si>
  <si>
    <t>4345100758</t>
  </si>
  <si>
    <t>0339300016119000135</t>
  </si>
  <si>
    <t>4220006125</t>
  </si>
  <si>
    <t>Новокузнецк</t>
  </si>
  <si>
    <t>4218004593</t>
  </si>
  <si>
    <t>0336100019019000022</t>
  </si>
  <si>
    <t>690800016684</t>
  </si>
  <si>
    <t>3525041718</t>
  </si>
  <si>
    <t>0130100007319000041</t>
  </si>
  <si>
    <t>3525286690</t>
  </si>
  <si>
    <t>0336100019019000023</t>
  </si>
  <si>
    <t>0362200050719000710</t>
  </si>
  <si>
    <t>2343008986</t>
  </si>
  <si>
    <t>0318100038519000015</t>
  </si>
  <si>
    <t>Новокубанский район</t>
  </si>
  <si>
    <t>234300210716</t>
  </si>
  <si>
    <t>3904040429</t>
  </si>
  <si>
    <t>0135200000519004028</t>
  </si>
  <si>
    <t>0322200019319000054</t>
  </si>
  <si>
    <t>2708001252</t>
  </si>
  <si>
    <t>0322200019319000053</t>
  </si>
  <si>
    <t>2708001196</t>
  </si>
  <si>
    <t>0322200019319000052</t>
  </si>
  <si>
    <t>2708001326</t>
  </si>
  <si>
    <t>4629026787</t>
  </si>
  <si>
    <t>0344100002719000004</t>
  </si>
  <si>
    <t>7725093735</t>
  </si>
  <si>
    <t>0348200077719000207</t>
  </si>
  <si>
    <t>5029102318</t>
  </si>
  <si>
    <t>6164228703</t>
  </si>
  <si>
    <t>0358100035819000065</t>
  </si>
  <si>
    <t>7203447485</t>
  </si>
  <si>
    <t>6167107048</t>
  </si>
  <si>
    <t>0322200019319000051</t>
  </si>
  <si>
    <t>2708001245</t>
  </si>
  <si>
    <t>5907034272</t>
  </si>
  <si>
    <t>0356300018419000155</t>
  </si>
  <si>
    <t>0135200000519004029</t>
  </si>
  <si>
    <t>1011011221</t>
  </si>
  <si>
    <t>0106100004019000013</t>
  </si>
  <si>
    <t>Беломорский район</t>
  </si>
  <si>
    <t>5702003139</t>
  </si>
  <si>
    <t>0354300084919000331</t>
  </si>
  <si>
    <t>5752000510</t>
  </si>
  <si>
    <t>6602003401</t>
  </si>
  <si>
    <t>100027905119000028</t>
  </si>
  <si>
    <t>Артемовский</t>
  </si>
  <si>
    <t>7431000985</t>
  </si>
  <si>
    <t>0169400001319000005</t>
  </si>
  <si>
    <t>Кизильский район</t>
  </si>
  <si>
    <t>743100730258</t>
  </si>
  <si>
    <t>5077010917</t>
  </si>
  <si>
    <t>837806</t>
  </si>
  <si>
    <t>Серпуховский район</t>
  </si>
  <si>
    <t>3838002058</t>
  </si>
  <si>
    <t>0134200000119003380</t>
  </si>
  <si>
    <t>Чунский район</t>
  </si>
  <si>
    <t>3815014113</t>
  </si>
  <si>
    <t>9111000690</t>
  </si>
  <si>
    <t>100137413119000026</t>
  </si>
  <si>
    <t>1200001123</t>
  </si>
  <si>
    <t>100262417119000024</t>
  </si>
  <si>
    <t>Республика Марий Эл</t>
  </si>
  <si>
    <t>Йошкар-Ола</t>
  </si>
  <si>
    <t>0169400001319000004</t>
  </si>
  <si>
    <t>1208002680</t>
  </si>
  <si>
    <t>100310279119000022</t>
  </si>
  <si>
    <t>Моркинский район</t>
  </si>
  <si>
    <t>2801123720</t>
  </si>
  <si>
    <t>0123200000319002918</t>
  </si>
  <si>
    <t>Благовещенск</t>
  </si>
  <si>
    <t>9731032950</t>
  </si>
  <si>
    <t>7743618382</t>
  </si>
  <si>
    <t>2208004390</t>
  </si>
  <si>
    <t>0317100022719000011</t>
  </si>
  <si>
    <t>Новоалтайск</t>
  </si>
  <si>
    <t>2223612956</t>
  </si>
  <si>
    <t>2409002297</t>
  </si>
  <si>
    <t>100279106119000040</t>
  </si>
  <si>
    <t>Большеулуйский район</t>
  </si>
  <si>
    <t>1905011843</t>
  </si>
  <si>
    <t>100018094119000017</t>
  </si>
  <si>
    <t>Абаза</t>
  </si>
  <si>
    <t>3801046700</t>
  </si>
  <si>
    <t>РН90907324</t>
  </si>
  <si>
    <t>31908340597</t>
  </si>
  <si>
    <t>7024013957</t>
  </si>
  <si>
    <t>31908338872</t>
  </si>
  <si>
    <t>2817003669</t>
  </si>
  <si>
    <t>31908339790</t>
  </si>
  <si>
    <t>3327103024</t>
  </si>
  <si>
    <t>31908342388</t>
  </si>
  <si>
    <t>3329013432</t>
  </si>
  <si>
    <t>31908342202</t>
  </si>
  <si>
    <t>[ОКПД2 56+] Услуги общественного питания, [ОКВЭД2 85.14] Образование среднее общее</t>
  </si>
  <si>
    <t>3302003074</t>
  </si>
  <si>
    <t>5017091830</t>
  </si>
  <si>
    <t>31908338033</t>
  </si>
  <si>
    <t>7530008819</t>
  </si>
  <si>
    <t>31908339607</t>
  </si>
  <si>
    <t>31908339824</t>
  </si>
  <si>
    <t>3016009269</t>
  </si>
  <si>
    <t>31908343058</t>
  </si>
  <si>
    <t>3525223281</t>
  </si>
  <si>
    <t>31908371746</t>
  </si>
  <si>
    <t>[ОКПД2 55.20] Услуги по предоставлению временного жилья в местах отдыха и прочих местах для краткосрочного проживания, [ОКПД2 56.10] Услуги ресторанов и услуги по доставке продуктов питания, [ОКВЭД2 55.20] Деятельность по предоставлению мест для краткосрочного проживания, [ОКВЭД2 56.10] Деятельность ресторанов и услуги по доставке продуктов питания</t>
  </si>
  <si>
    <t>3812007870</t>
  </si>
  <si>
    <t>31908340658</t>
  </si>
  <si>
    <t>2817000192</t>
  </si>
  <si>
    <t>31908340981</t>
  </si>
  <si>
    <t>5918007560</t>
  </si>
  <si>
    <t>31908339381</t>
  </si>
  <si>
    <t>0411091170</t>
  </si>
  <si>
    <t>31908341291</t>
  </si>
  <si>
    <t>3435880525</t>
  </si>
  <si>
    <t>31908339018</t>
  </si>
  <si>
    <t>3812083302</t>
  </si>
  <si>
    <t>31908338954</t>
  </si>
  <si>
    <t>6501067335</t>
  </si>
  <si>
    <t>31908339513</t>
  </si>
  <si>
    <t>7207000578</t>
  </si>
  <si>
    <t>31908353508</t>
  </si>
  <si>
    <t>7207010368</t>
  </si>
  <si>
    <t>7207000747</t>
  </si>
  <si>
    <t>31908350274</t>
  </si>
  <si>
    <t>7207000698</t>
  </si>
  <si>
    <t>31908350364</t>
  </si>
  <si>
    <t>0227100000319000172</t>
  </si>
  <si>
    <t>3250526578</t>
  </si>
  <si>
    <t>5030033027</t>
  </si>
  <si>
    <t>837695</t>
  </si>
  <si>
    <t>Наро-Фоминский район</t>
  </si>
  <si>
    <t>7830001998</t>
  </si>
  <si>
    <t>0372100006119000068</t>
  </si>
  <si>
    <t>[ОКПД2 26.30] Оборудование коммуникационное, [ОКПД2 26.20] Компьютеры и периферийное оборудование, [ОКПД2 26.12] Платы печатные смонтированные</t>
  </si>
  <si>
    <t>782064102259</t>
  </si>
  <si>
    <t>2311092752</t>
  </si>
  <si>
    <t>0318100007019000310</t>
  </si>
  <si>
    <t>[ОКПД2 38.11] Отходы неопасные; услуги по сбору неопасных отходов</t>
  </si>
  <si>
    <t>2308131994</t>
  </si>
  <si>
    <t>2312172143</t>
  </si>
  <si>
    <t>2309125087</t>
  </si>
  <si>
    <t>5036034500</t>
  </si>
  <si>
    <t>837639</t>
  </si>
  <si>
    <t>7114002396</t>
  </si>
  <si>
    <t>0166100007419000009</t>
  </si>
  <si>
    <t>7107543549</t>
  </si>
  <si>
    <t>7114020973</t>
  </si>
  <si>
    <t>4702001764</t>
  </si>
  <si>
    <t>0345100005819000014</t>
  </si>
  <si>
    <t>Волховский район</t>
  </si>
  <si>
    <t>4702014315</t>
  </si>
  <si>
    <t>5632005228</t>
  </si>
  <si>
    <t>0153100008919000011</t>
  </si>
  <si>
    <t>Кувандык</t>
  </si>
  <si>
    <t>560501878937</t>
  </si>
  <si>
    <t>2326004773</t>
  </si>
  <si>
    <t>0318100029819000003</t>
  </si>
  <si>
    <t>Белоглинский район</t>
  </si>
  <si>
    <t>236000680873</t>
  </si>
  <si>
    <t>0163200000319007021</t>
  </si>
  <si>
    <t>7706809300</t>
  </si>
  <si>
    <t>0875100000219000047</t>
  </si>
  <si>
    <t>837692</t>
  </si>
  <si>
    <t>1102008579</t>
  </si>
  <si>
    <t>0107100003519000414</t>
  </si>
  <si>
    <t>1102076787</t>
  </si>
  <si>
    <t>5803019167</t>
  </si>
  <si>
    <t>0855200000519002645</t>
  </si>
  <si>
    <t>Кузнецк</t>
  </si>
  <si>
    <t>580301967100</t>
  </si>
  <si>
    <t>5239004853</t>
  </si>
  <si>
    <t>0332100050019000021</t>
  </si>
  <si>
    <t>Шахунья</t>
  </si>
  <si>
    <t>5239011579</t>
  </si>
  <si>
    <t>100064921119000320</t>
  </si>
  <si>
    <t>7602060560</t>
  </si>
  <si>
    <t>0171200001919001604</t>
  </si>
  <si>
    <t>Ярославль</t>
  </si>
  <si>
    <t>7453205143</t>
  </si>
  <si>
    <t>7606101962</t>
  </si>
  <si>
    <t>6321358769</t>
  </si>
  <si>
    <t>7830001885</t>
  </si>
  <si>
    <t>0372100007619000034</t>
  </si>
  <si>
    <t>7736660270</t>
  </si>
  <si>
    <t>7804454141</t>
  </si>
  <si>
    <t>7806500072</t>
  </si>
  <si>
    <t>7816414560</t>
  </si>
  <si>
    <t>0360100004019000068</t>
  </si>
  <si>
    <t>643907668051</t>
  </si>
  <si>
    <t>7830002590</t>
  </si>
  <si>
    <t>0172200001019000066</t>
  </si>
  <si>
    <t>784808151760</t>
  </si>
  <si>
    <t>7810167674</t>
  </si>
  <si>
    <t>5054011696</t>
  </si>
  <si>
    <t>0848300058919000231</t>
  </si>
  <si>
    <t>5031037680</t>
  </si>
  <si>
    <t>0148300000619000686</t>
  </si>
  <si>
    <t>7202058817</t>
  </si>
  <si>
    <t>0367100012119000109</t>
  </si>
  <si>
    <t>7202262604</t>
  </si>
  <si>
    <t>7205026034</t>
  </si>
  <si>
    <t>5018044865</t>
  </si>
  <si>
    <t>0848300058919000230</t>
  </si>
  <si>
    <t>5018047947</t>
  </si>
  <si>
    <t>0848300058919000229</t>
  </si>
  <si>
    <t>0360100004019000069</t>
  </si>
  <si>
    <t>6731020765</t>
  </si>
  <si>
    <t>0163200000319007015</t>
  </si>
  <si>
    <t>[ОКПД2 33.17] Услуги по ремонту и техническому обслуживанию прочих транспортных средств и обо рудования</t>
  </si>
  <si>
    <t>6730068370</t>
  </si>
  <si>
    <t>2705021109</t>
  </si>
  <si>
    <t>0322200004619000041</t>
  </si>
  <si>
    <t>Николаевск-на-Амуре</t>
  </si>
  <si>
    <t>2705020867</t>
  </si>
  <si>
    <t>5031093244</t>
  </si>
  <si>
    <t>0148300000619000685</t>
  </si>
  <si>
    <t>6625007025</t>
  </si>
  <si>
    <t>0162300018019000435</t>
  </si>
  <si>
    <t>Первоуральск</t>
  </si>
  <si>
    <t>6625022270</t>
  </si>
  <si>
    <t>6501163102</t>
  </si>
  <si>
    <t>31908336826</t>
  </si>
  <si>
    <t>0322200004619000038</t>
  </si>
  <si>
    <t>2705150150</t>
  </si>
  <si>
    <t>4704019710</t>
  </si>
  <si>
    <t>0345100008819000086</t>
  </si>
  <si>
    <t>0322200004619000042</t>
  </si>
  <si>
    <t>Николаевский район</t>
  </si>
  <si>
    <t>2705150383</t>
  </si>
  <si>
    <t>0322200004619000043</t>
  </si>
  <si>
    <t>2705150489</t>
  </si>
  <si>
    <t>0322200004619000045</t>
  </si>
  <si>
    <t>2715005145</t>
  </si>
  <si>
    <t>0322200004619000040</t>
  </si>
  <si>
    <t>2705020850</t>
  </si>
  <si>
    <t>0322200004619000039</t>
  </si>
  <si>
    <t>2705150351</t>
  </si>
  <si>
    <t>0322200004619000047</t>
  </si>
  <si>
    <t>Охотский район</t>
  </si>
  <si>
    <t>2715004102</t>
  </si>
  <si>
    <t>6154035371</t>
  </si>
  <si>
    <t>0358300000519000180</t>
  </si>
  <si>
    <t>0322200004619000044</t>
  </si>
  <si>
    <t>2705150390</t>
  </si>
  <si>
    <t>5919001345</t>
  </si>
  <si>
    <t>100126548119000025</t>
  </si>
  <si>
    <t>Соликамск</t>
  </si>
  <si>
    <t>7106065000</t>
  </si>
  <si>
    <t>100086586119000024</t>
  </si>
  <si>
    <t>6317115040</t>
  </si>
  <si>
    <t>0342300000119001203</t>
  </si>
  <si>
    <t>6318015391</t>
  </si>
  <si>
    <t>6317700588</t>
  </si>
  <si>
    <t>9204007297</t>
  </si>
  <si>
    <t>100170045119000045</t>
  </si>
  <si>
    <t>7708671295</t>
  </si>
  <si>
    <t>2595240</t>
  </si>
  <si>
    <t>8617006303</t>
  </si>
  <si>
    <t>0187300014719001077</t>
  </si>
  <si>
    <t>0891200000619010776</t>
  </si>
  <si>
    <t>7536135524</t>
  </si>
  <si>
    <t>7706470787</t>
  </si>
  <si>
    <t>ATOM25091900136</t>
  </si>
  <si>
    <t>0306200010219000614</t>
  </si>
  <si>
    <t>2595209</t>
  </si>
  <si>
    <t>[ОКПД2 82.30] Услуги по организации конференций и торговых выставок, [ОКПД2 74.90] Услуги профессиональные, научные и технические, прочие, не включенные в другие группировки</t>
  </si>
  <si>
    <t>0261009181</t>
  </si>
  <si>
    <t>0301100007319000008</t>
  </si>
  <si>
    <t>Ишимбайский район</t>
  </si>
  <si>
    <t>0261021365</t>
  </si>
  <si>
    <t>6832021420</t>
  </si>
  <si>
    <t>0264100000119000141</t>
  </si>
  <si>
    <t>6831005390</t>
  </si>
  <si>
    <t>8622008793</t>
  </si>
  <si>
    <t>100148858119000039</t>
  </si>
  <si>
    <t>Югорск</t>
  </si>
  <si>
    <t>5031039790</t>
  </si>
  <si>
    <t>0148300000619000682</t>
  </si>
  <si>
    <t>5031034552</t>
  </si>
  <si>
    <t>0148300000619000684</t>
  </si>
  <si>
    <t>5031036768</t>
  </si>
  <si>
    <t>0148300000619000683</t>
  </si>
  <si>
    <t>5921022751</t>
  </si>
  <si>
    <t>0356200007919000016</t>
  </si>
  <si>
    <t>4632048580</t>
  </si>
  <si>
    <t>0144100005419000038</t>
  </si>
  <si>
    <t>4632253807</t>
  </si>
  <si>
    <t>4632036841</t>
  </si>
  <si>
    <t>0172200002719000055</t>
  </si>
  <si>
    <t>7825127850</t>
  </si>
  <si>
    <t>7825426226</t>
  </si>
  <si>
    <t>7825425342</t>
  </si>
  <si>
    <t>7825430663</t>
  </si>
  <si>
    <t>7825014590</t>
  </si>
  <si>
    <t>7825129801</t>
  </si>
  <si>
    <t>7825444994</t>
  </si>
  <si>
    <t>7825663139</t>
  </si>
  <si>
    <t>7825128734</t>
  </si>
  <si>
    <t>7825125204</t>
  </si>
  <si>
    <t>7841014974</t>
  </si>
  <si>
    <t>7825128389</t>
  </si>
  <si>
    <t>7803051453</t>
  </si>
  <si>
    <t>7825127882</t>
  </si>
  <si>
    <t>7825127794</t>
  </si>
  <si>
    <t>7825001463</t>
  </si>
  <si>
    <t>7825127804</t>
  </si>
  <si>
    <t>7704253064</t>
  </si>
  <si>
    <t>0173200000219000081</t>
  </si>
  <si>
    <t>7709479185</t>
  </si>
  <si>
    <t>7737513279</t>
  </si>
  <si>
    <t>2464009261</t>
  </si>
  <si>
    <t>0319200067919000086</t>
  </si>
  <si>
    <t>2466196602</t>
  </si>
  <si>
    <t>2466135857</t>
  </si>
  <si>
    <t>190116576266</t>
  </si>
  <si>
    <t>2466246973</t>
  </si>
  <si>
    <t>0342100040819000044</t>
  </si>
  <si>
    <t>5031030131</t>
  </si>
  <si>
    <t>0148300000619000681</t>
  </si>
  <si>
    <t>4401102328</t>
  </si>
  <si>
    <t>0141100008719000041</t>
  </si>
  <si>
    <t>4401164910</t>
  </si>
  <si>
    <t>440123500987</t>
  </si>
  <si>
    <t>6410900060</t>
  </si>
  <si>
    <t>100184296119000027</t>
  </si>
  <si>
    <t>Дергачевский район</t>
  </si>
  <si>
    <t>100184296119000028</t>
  </si>
  <si>
    <t>0342100040819000046</t>
  </si>
  <si>
    <t>0342100040819000045</t>
  </si>
  <si>
    <t>0869100001219000011</t>
  </si>
  <si>
    <t>7453065111</t>
  </si>
  <si>
    <t>0154100006019000207</t>
  </si>
  <si>
    <t>100184296119000024</t>
  </si>
  <si>
    <t>100184296119000025</t>
  </si>
  <si>
    <t>3102004715</t>
  </si>
  <si>
    <t>0126200000419003912</t>
  </si>
  <si>
    <t>[ОКПД2 28.23] Машины офисные и оборудование, кроме компьютеров и периферийного оборудования, [ОКПД2 95.11] Услуги по ремонту компьютеров и периферийного оборудования</t>
  </si>
  <si>
    <t>Белгородский район</t>
  </si>
  <si>
    <t>3123169637</t>
  </si>
  <si>
    <t>3123035094</t>
  </si>
  <si>
    <t>7323002625</t>
  </si>
  <si>
    <t>100094360119000011</t>
  </si>
  <si>
    <t>Чердаклинский район</t>
  </si>
  <si>
    <t>8601047520</t>
  </si>
  <si>
    <t>0887100000119000551</t>
  </si>
  <si>
    <t>Сургут</t>
  </si>
  <si>
    <t>5504249405</t>
  </si>
  <si>
    <t>6501075022</t>
  </si>
  <si>
    <t>0361200009319000024</t>
  </si>
  <si>
    <t>6501173950</t>
  </si>
  <si>
    <t>650100611442</t>
  </si>
  <si>
    <t>650108820913</t>
  </si>
  <si>
    <t>3818001747</t>
  </si>
  <si>
    <t>100141170119000030</t>
  </si>
  <si>
    <t>Усть-Кутский район</t>
  </si>
  <si>
    <t>100141170119000031</t>
  </si>
  <si>
    <t>31908337795</t>
  </si>
  <si>
    <t>6163022805</t>
  </si>
  <si>
    <t>31908338314</t>
  </si>
  <si>
    <t>31908335966</t>
  </si>
  <si>
    <t>4703160686</t>
  </si>
  <si>
    <t>31908338031</t>
  </si>
  <si>
    <t>4207012578</t>
  </si>
  <si>
    <t>31908335127</t>
  </si>
  <si>
    <t>31908335307</t>
  </si>
  <si>
    <t>7703715816</t>
  </si>
  <si>
    <t>31908337643</t>
  </si>
  <si>
    <t>3800000220</t>
  </si>
  <si>
    <t>31908335454</t>
  </si>
  <si>
    <t>5837003736</t>
  </si>
  <si>
    <t>31908336429</t>
  </si>
  <si>
    <t>5011034787</t>
  </si>
  <si>
    <t>31908330170</t>
  </si>
  <si>
    <t>[ОКПД2 86.90] Услуги в области медицины прочие, [ОКВЭД2 86.90] Деятельность в области медицины прочая</t>
  </si>
  <si>
    <t>Егорьевск</t>
  </si>
  <si>
    <t>2466084183</t>
  </si>
  <si>
    <t>31908334915</t>
  </si>
  <si>
    <t>[ОКПД2 56.29] Услуги по обеспечению питанием прочие, [ОКПД2 81.10] Услуги по комплексному обслуживанию помещений, [ОКВЭД2 56.29] Деятельность предприятий общественного питания по прочим видам организации питания, [ОКВЭД2 81.10] Деятельность по комплексному обслуживанию помещений</t>
  </si>
  <si>
    <t>3666029505</t>
  </si>
  <si>
    <t>31908336582</t>
  </si>
  <si>
    <t>3108002425</t>
  </si>
  <si>
    <t>100107932119000012</t>
  </si>
  <si>
    <t>Грайворонский район</t>
  </si>
  <si>
    <t>0373100007919000028</t>
  </si>
  <si>
    <t>9901000267</t>
  </si>
  <si>
    <t>0348100070619000188</t>
  </si>
  <si>
    <t>Байконур</t>
  </si>
  <si>
    <t>5611053132</t>
  </si>
  <si>
    <t>5025009710</t>
  </si>
  <si>
    <t>837114</t>
  </si>
  <si>
    <t>0348100070619000187</t>
  </si>
  <si>
    <t>1435227665</t>
  </si>
  <si>
    <t>0116300000119000990</t>
  </si>
  <si>
    <t>7808046224</t>
  </si>
  <si>
    <t>0372200000119000190</t>
  </si>
  <si>
    <t>7842400838</t>
  </si>
  <si>
    <t>0345100005819000011</t>
  </si>
  <si>
    <t>4713001558</t>
  </si>
  <si>
    <t>0345100004419000006</t>
  </si>
  <si>
    <t>4707039708</t>
  </si>
  <si>
    <t>2446004648</t>
  </si>
  <si>
    <t>0119300004719000261</t>
  </si>
  <si>
    <t>244601450838</t>
  </si>
  <si>
    <t>0172200002719000054</t>
  </si>
  <si>
    <t>7825425864</t>
  </si>
  <si>
    <t>7825427131</t>
  </si>
  <si>
    <t>7825431280</t>
  </si>
  <si>
    <t>7825441231</t>
  </si>
  <si>
    <t>7825422408</t>
  </si>
  <si>
    <t>7825468762</t>
  </si>
  <si>
    <t>7825426466</t>
  </si>
  <si>
    <t>7825432029</t>
  </si>
  <si>
    <t>7825439916</t>
  </si>
  <si>
    <t>7825424797</t>
  </si>
  <si>
    <t>7825427879</t>
  </si>
  <si>
    <t>7825404487</t>
  </si>
  <si>
    <t>7842006091</t>
  </si>
  <si>
    <t>7825425350</t>
  </si>
  <si>
    <t>4705015980</t>
  </si>
  <si>
    <t>0145300008919000404</t>
  </si>
  <si>
    <t>470206357698</t>
  </si>
  <si>
    <t>470501604249</t>
  </si>
  <si>
    <t>6830006169</t>
  </si>
  <si>
    <t>0164100009819000047</t>
  </si>
  <si>
    <t>Уварово</t>
  </si>
  <si>
    <t>6830004838</t>
  </si>
  <si>
    <t>0818400001419000001</t>
  </si>
  <si>
    <t>0164100009819000046</t>
  </si>
  <si>
    <t>6442002904</t>
  </si>
  <si>
    <t>0160100008119000003</t>
  </si>
  <si>
    <t>Красноармейск</t>
  </si>
  <si>
    <t>6442010207</t>
  </si>
  <si>
    <t>0130100008819000008</t>
  </si>
  <si>
    <t>5602003456</t>
  </si>
  <si>
    <t>0353100008119000006</t>
  </si>
  <si>
    <t>Бугуруслан</t>
  </si>
  <si>
    <t>5602006827</t>
  </si>
  <si>
    <t>3666016915</t>
  </si>
  <si>
    <t>0231100000219000235</t>
  </si>
  <si>
    <t>3614004933</t>
  </si>
  <si>
    <t>8619010256</t>
  </si>
  <si>
    <t>100217753119000007</t>
  </si>
  <si>
    <t>6658081401</t>
  </si>
  <si>
    <t>0362200037319000004</t>
  </si>
  <si>
    <t>6674341865</t>
  </si>
  <si>
    <t>4207023869</t>
  </si>
  <si>
    <t>0339300000119000839</t>
  </si>
  <si>
    <t>4205154739</t>
  </si>
  <si>
    <t>8603112823</t>
  </si>
  <si>
    <t>0387200004619000095</t>
  </si>
  <si>
    <t>0818400001019000003</t>
  </si>
  <si>
    <t>230409154290</t>
  </si>
  <si>
    <t>0108100003719000049</t>
  </si>
  <si>
    <t>2727000624</t>
  </si>
  <si>
    <t>0322100017519000080</t>
  </si>
  <si>
    <t>5018195293</t>
  </si>
  <si>
    <t>0848300058919000227</t>
  </si>
  <si>
    <t>0818400001019000002</t>
  </si>
  <si>
    <t>2352018229</t>
  </si>
  <si>
    <t>0818400001019000001</t>
  </si>
  <si>
    <t>233706334936</t>
  </si>
  <si>
    <t>0139100005919000003</t>
  </si>
  <si>
    <t>0139100005919000002</t>
  </si>
  <si>
    <t>3601002632</t>
  </si>
  <si>
    <t>100116437119000034</t>
  </si>
  <si>
    <t>0348200077719000184</t>
  </si>
  <si>
    <t>0348100091519000013</t>
  </si>
  <si>
    <t>5054009337</t>
  </si>
  <si>
    <t>0848300058919000226</t>
  </si>
  <si>
    <t>0573100002519001045</t>
  </si>
  <si>
    <t>0102200001619004060</t>
  </si>
  <si>
    <t>0348100091519000012</t>
  </si>
  <si>
    <t>6017008062</t>
  </si>
  <si>
    <t>100294252119000023</t>
  </si>
  <si>
    <t>Порховский район</t>
  </si>
  <si>
    <t>5033008244</t>
  </si>
  <si>
    <t>836876</t>
  </si>
  <si>
    <t>7107027505</t>
  </si>
  <si>
    <t>0166200000219000196</t>
  </si>
  <si>
    <t>7115022148</t>
  </si>
  <si>
    <t>100126548119000024</t>
  </si>
  <si>
    <t>0356300118319000190</t>
  </si>
  <si>
    <t>5944020341</t>
  </si>
  <si>
    <t>5031026343</t>
  </si>
  <si>
    <t>0148300000619000674</t>
  </si>
  <si>
    <t>5440102524</t>
  </si>
  <si>
    <t>0151100014719000021</t>
  </si>
  <si>
    <t>0151100014719000020</t>
  </si>
  <si>
    <t>5031024392</t>
  </si>
  <si>
    <t>0148300000619000671</t>
  </si>
  <si>
    <t>0869100001219000009</t>
  </si>
  <si>
    <t>5031036750</t>
  </si>
  <si>
    <t>0148300000619000673</t>
  </si>
  <si>
    <t>0818400001319000007</t>
  </si>
  <si>
    <t>232011681141</t>
  </si>
  <si>
    <t>0356300118319000192</t>
  </si>
  <si>
    <t>665910915780</t>
  </si>
  <si>
    <t>6623113148</t>
  </si>
  <si>
    <t>5031024410</t>
  </si>
  <si>
    <t>0148300000619000672</t>
  </si>
  <si>
    <t>4909044651</t>
  </si>
  <si>
    <t>0347100002519000021</t>
  </si>
  <si>
    <t>490903030879</t>
  </si>
  <si>
    <t>100072237119000054</t>
  </si>
  <si>
    <t>5074019140</t>
  </si>
  <si>
    <t>836747</t>
  </si>
  <si>
    <t>100082188119000022</t>
  </si>
  <si>
    <t>1433015489</t>
  </si>
  <si>
    <t>0116300000219000400</t>
  </si>
  <si>
    <t>Мирный</t>
  </si>
  <si>
    <t>143302180480</t>
  </si>
  <si>
    <t>1433027325</t>
  </si>
  <si>
    <t>0306200010219000608</t>
  </si>
  <si>
    <t>0306200010219000611</t>
  </si>
  <si>
    <t>0372200129319000040</t>
  </si>
  <si>
    <t>3231001656</t>
  </si>
  <si>
    <t>0127100006719000024</t>
  </si>
  <si>
    <t>3253000215</t>
  </si>
  <si>
    <t>0318200017019000125</t>
  </si>
  <si>
    <t>5009050380</t>
  </si>
  <si>
    <t>836595</t>
  </si>
  <si>
    <t>0306200010219000610</t>
  </si>
  <si>
    <t>Прионежский район</t>
  </si>
  <si>
    <t>9701017841</t>
  </si>
  <si>
    <t>0306200010219000609</t>
  </si>
  <si>
    <t>5943030731</t>
  </si>
  <si>
    <t>0156300036019000101</t>
  </si>
  <si>
    <t>594300028333</t>
  </si>
  <si>
    <t>5028017130</t>
  </si>
  <si>
    <t>836521</t>
  </si>
  <si>
    <t>Можайский район</t>
  </si>
  <si>
    <t>5948058427</t>
  </si>
  <si>
    <t>0356500003819000094</t>
  </si>
  <si>
    <t>5904375436</t>
  </si>
  <si>
    <t>3212001844</t>
  </si>
  <si>
    <t>100099360119000018</t>
  </si>
  <si>
    <t>Жуковский район</t>
  </si>
  <si>
    <t>5907053483</t>
  </si>
  <si>
    <t>0356300085019000118</t>
  </si>
  <si>
    <t>5905230465</t>
  </si>
  <si>
    <t>2321006390</t>
  </si>
  <si>
    <t>0118100002919000030</t>
  </si>
  <si>
    <t>2360006298</t>
  </si>
  <si>
    <t>4421001695</t>
  </si>
  <si>
    <t>0141100009719000013</t>
  </si>
  <si>
    <t>Островский район</t>
  </si>
  <si>
    <t>4421004872</t>
  </si>
  <si>
    <t>100099360119000017</t>
  </si>
  <si>
    <t>0887100000119000550</t>
  </si>
  <si>
    <t>2232010549</t>
  </si>
  <si>
    <t>860219284723</t>
  </si>
  <si>
    <t>7702443905</t>
  </si>
  <si>
    <t>8602222439</t>
  </si>
  <si>
    <t>0356300085019000119</t>
  </si>
  <si>
    <t>2705000162</t>
  </si>
  <si>
    <t>0122100014019000011</t>
  </si>
  <si>
    <t>4501033572</t>
  </si>
  <si>
    <t>0143300006919000596</t>
  </si>
  <si>
    <t>4501163081</t>
  </si>
  <si>
    <t>0122100014019000012</t>
  </si>
  <si>
    <t>РН90906600</t>
  </si>
  <si>
    <t>836499</t>
  </si>
  <si>
    <t>0119300019619000251</t>
  </si>
  <si>
    <t>2434001226</t>
  </si>
  <si>
    <t>2434500271</t>
  </si>
  <si>
    <t>2434500384</t>
  </si>
  <si>
    <t>2434500289</t>
  </si>
  <si>
    <t>1648041792</t>
  </si>
  <si>
    <t>31908325712</t>
  </si>
  <si>
    <t>4825025691</t>
  </si>
  <si>
    <t>31908327100</t>
  </si>
  <si>
    <t>8603231644</t>
  </si>
  <si>
    <t>31908331755</t>
  </si>
  <si>
    <t>31908335318</t>
  </si>
  <si>
    <t>31908333538</t>
  </si>
  <si>
    <t>8603231764</t>
  </si>
  <si>
    <t>31908331279</t>
  </si>
  <si>
    <t>1215021281</t>
  </si>
  <si>
    <t>31908328596</t>
  </si>
  <si>
    <t>4027047959</t>
  </si>
  <si>
    <t>31908331114</t>
  </si>
  <si>
    <t>[ОКПД2 82.3+] Услуги по организации конференций и торговых выставок, [ОКВЭД2 82.3+] Деятельность по организации конференций и выставок</t>
  </si>
  <si>
    <t>7104523449</t>
  </si>
  <si>
    <t>31908330456</t>
  </si>
  <si>
    <t>31908329855</t>
  </si>
  <si>
    <t>[ОКПД2 77.39] Услуги по аренде и лизингу прочих машин, оборудования и материальных средств, не включенных в другие группировки, [ОКВЭД2 77.39] Аренда и лизинг прочих видов транспорта, оборудования и материальных средств, не включенных в другие группировки</t>
  </si>
  <si>
    <t>31908329439</t>
  </si>
  <si>
    <t>4429001023</t>
  </si>
  <si>
    <t>100196074119000037</t>
  </si>
  <si>
    <t>Чухломский район</t>
  </si>
  <si>
    <t>3110002824</t>
  </si>
  <si>
    <t>100090005119000015</t>
  </si>
  <si>
    <t>Корочанский район</t>
  </si>
  <si>
    <t>100090005119000016</t>
  </si>
  <si>
    <t>100064921119000319</t>
  </si>
  <si>
    <t>2122002584</t>
  </si>
  <si>
    <t>100111562119000064</t>
  </si>
  <si>
    <t>Алатырь</t>
  </si>
  <si>
    <t>3605007871</t>
  </si>
  <si>
    <t>100175450119000016</t>
  </si>
  <si>
    <t>Бутурлиновский район</t>
  </si>
  <si>
    <t>7706641432</t>
  </si>
  <si>
    <t>ATOM23091900253</t>
  </si>
  <si>
    <t>0306200010219000606</t>
  </si>
  <si>
    <t>0573100002519001044</t>
  </si>
  <si>
    <t>5218005951</t>
  </si>
  <si>
    <t>3232000180</t>
  </si>
  <si>
    <t>100183747119000043</t>
  </si>
  <si>
    <t>100175450119000017</t>
  </si>
  <si>
    <t>0306200010219000605</t>
  </si>
  <si>
    <t>2302045040</t>
  </si>
  <si>
    <t>0318300552919000545</t>
  </si>
  <si>
    <t>Армавир</t>
  </si>
  <si>
    <t>6165218867</t>
  </si>
  <si>
    <t>235302716468</t>
  </si>
  <si>
    <t>331000461160</t>
  </si>
  <si>
    <t>7811711470</t>
  </si>
  <si>
    <t>2308100971</t>
  </si>
  <si>
    <t>2308241958</t>
  </si>
  <si>
    <t>100183747119000044</t>
  </si>
  <si>
    <t>2594506</t>
  </si>
  <si>
    <t>[ОКПД2 46.17] Услуги по оптовой торговле пищевыми продуктами, напитками и табачными изделия ми за вознаграждение или на договорной основе</t>
  </si>
  <si>
    <t>0711034840</t>
  </si>
  <si>
    <t>0304200004219000042</t>
  </si>
  <si>
    <t>071301876341</t>
  </si>
  <si>
    <t>5018047288</t>
  </si>
  <si>
    <t>0848300058919000225</t>
  </si>
  <si>
    <t>5623030926</t>
  </si>
  <si>
    <t>0153100012019000019</t>
  </si>
  <si>
    <t>Беляевский район</t>
  </si>
  <si>
    <t>562300119556</t>
  </si>
  <si>
    <t>0818400001319000001</t>
  </si>
  <si>
    <t>0818400001319000006</t>
  </si>
  <si>
    <t>5018045019</t>
  </si>
  <si>
    <t>0848300058919000223</t>
  </si>
  <si>
    <t>3444268848</t>
  </si>
  <si>
    <t>0129200005319003764</t>
  </si>
  <si>
    <t>[ОКПД2 26.20] Компьютеры и периферийное оборудование, [ОКПД2 26.30] Оборудование коммуникационное, [ОКПД2 58.29] Услуги по изданию прочего программного обеспечения, [ОКПД2 26.40] Техника бытовая электронная</t>
  </si>
  <si>
    <t>3444269320</t>
  </si>
  <si>
    <t>0818400001319000003</t>
  </si>
  <si>
    <t>3007004715</t>
  </si>
  <si>
    <t>100107483119000037</t>
  </si>
  <si>
    <t>Лиманский район</t>
  </si>
  <si>
    <t>0818400001319000005</t>
  </si>
  <si>
    <t>2317065297</t>
  </si>
  <si>
    <t>2317075217</t>
  </si>
  <si>
    <t>6149005484</t>
  </si>
  <si>
    <t>0158100011519000046</t>
  </si>
  <si>
    <t>615519242170</t>
  </si>
  <si>
    <t>0818400001319000002</t>
  </si>
  <si>
    <t>6025001590</t>
  </si>
  <si>
    <t>0357100003219000014</t>
  </si>
  <si>
    <t>Великие Луки</t>
  </si>
  <si>
    <t>602505608922</t>
  </si>
  <si>
    <t>6025026964</t>
  </si>
  <si>
    <t>5018044921</t>
  </si>
  <si>
    <t>0848300058919000224</t>
  </si>
  <si>
    <t>3453002298</t>
  </si>
  <si>
    <t>0129100010319000007</t>
  </si>
  <si>
    <t>0818400001319000004</t>
  </si>
  <si>
    <t>0306200010219000601</t>
  </si>
  <si>
    <t>5752079119</t>
  </si>
  <si>
    <t>0306200010219000600</t>
  </si>
  <si>
    <t>5018045072</t>
  </si>
  <si>
    <t>0848300058919000222</t>
  </si>
  <si>
    <t>0373200041519001846</t>
  </si>
  <si>
    <t>8905028293</t>
  </si>
  <si>
    <t>0190300003719000685</t>
  </si>
  <si>
    <t>890101897308</t>
  </si>
  <si>
    <t>2466212607</t>
  </si>
  <si>
    <t>0119200000119008697</t>
  </si>
  <si>
    <t>2466189073</t>
  </si>
  <si>
    <t>0306200010219000603</t>
  </si>
  <si>
    <t>5012074091</t>
  </si>
  <si>
    <t>0306200010219000599</t>
  </si>
  <si>
    <t>7720450824</t>
  </si>
  <si>
    <t>5911000678</t>
  </si>
  <si>
    <t>0156100007019000029</t>
  </si>
  <si>
    <t>Березники</t>
  </si>
  <si>
    <t>5018044819</t>
  </si>
  <si>
    <t>0848300058919000221</t>
  </si>
  <si>
    <t>0306200010219000604</t>
  </si>
  <si>
    <t>7839065516</t>
  </si>
  <si>
    <t>5018045065</t>
  </si>
  <si>
    <t>0848300058919000220</t>
  </si>
  <si>
    <t>0156100007019000027</t>
  </si>
  <si>
    <t>4205359550</t>
  </si>
  <si>
    <t>0139200000119007428</t>
  </si>
  <si>
    <t>420105576892</t>
  </si>
  <si>
    <t>7620002321</t>
  </si>
  <si>
    <t>100036724119000026</t>
  </si>
  <si>
    <t>Брейтовский район</t>
  </si>
  <si>
    <t>0139200000119007427</t>
  </si>
  <si>
    <t>422194748047</t>
  </si>
  <si>
    <t>4239004724</t>
  </si>
  <si>
    <t>5031026311</t>
  </si>
  <si>
    <t>0148300000619000667</t>
  </si>
  <si>
    <t>2983003898</t>
  </si>
  <si>
    <t>0384200000119000189</t>
  </si>
  <si>
    <t>Ненецкий автономный округ</t>
  </si>
  <si>
    <t>Нарьян-Мар</t>
  </si>
  <si>
    <t>2983997216</t>
  </si>
  <si>
    <t>2983997713</t>
  </si>
  <si>
    <t>5031035080</t>
  </si>
  <si>
    <t>0148300000619000668</t>
  </si>
  <si>
    <t>0818400001119000001</t>
  </si>
  <si>
    <t>230902770274</t>
  </si>
  <si>
    <t>0139200000119007436</t>
  </si>
  <si>
    <t>422201368240</t>
  </si>
  <si>
    <t>0139200000119007424</t>
  </si>
  <si>
    <t>4245001841</t>
  </si>
  <si>
    <t>3729010595</t>
  </si>
  <si>
    <t>0133200001719002741</t>
  </si>
  <si>
    <t>3729006253</t>
  </si>
  <si>
    <t>8609012416</t>
  </si>
  <si>
    <t>0387100017819000011</t>
  </si>
  <si>
    <t>8609019210</t>
  </si>
  <si>
    <t>3665013975</t>
  </si>
  <si>
    <t>0331100001219000073</t>
  </si>
  <si>
    <t>[ОКПД2 46.38] Услуги по оптовой торговле прочими пищевыми продуктами, включая рыбу, ракообразных и моллюсков</t>
  </si>
  <si>
    <t>4501029135</t>
  </si>
  <si>
    <t>0143100002719000131</t>
  </si>
  <si>
    <t>450132039014</t>
  </si>
  <si>
    <t>0319100006519000082</t>
  </si>
  <si>
    <t>2465231607</t>
  </si>
  <si>
    <t>7417008693</t>
  </si>
  <si>
    <t>100240641119000049</t>
  </si>
  <si>
    <t>Саткинский район</t>
  </si>
  <si>
    <t>4205009474</t>
  </si>
  <si>
    <t>0139100004619000060</t>
  </si>
  <si>
    <t>7714259315</t>
  </si>
  <si>
    <t>4205373850</t>
  </si>
  <si>
    <t>5031083447</t>
  </si>
  <si>
    <t>0148300000619000666</t>
  </si>
  <si>
    <t>5031027467</t>
  </si>
  <si>
    <t>0148300000619000665</t>
  </si>
  <si>
    <t>0129100010319000006</t>
  </si>
  <si>
    <t>5031026431</t>
  </si>
  <si>
    <t>0148300000619000663</t>
  </si>
  <si>
    <t>5031019770</t>
  </si>
  <si>
    <t>0148300000619000664</t>
  </si>
  <si>
    <t>5031043620</t>
  </si>
  <si>
    <t>0148300000619000662</t>
  </si>
  <si>
    <t>0411006231</t>
  </si>
  <si>
    <t>0177200000919002518</t>
  </si>
  <si>
    <t>0400009230</t>
  </si>
  <si>
    <t>0411151165</t>
  </si>
  <si>
    <t>0123200000319002874</t>
  </si>
  <si>
    <t>2801016937</t>
  </si>
  <si>
    <t>0165100002719000123</t>
  </si>
  <si>
    <t>7017332712</t>
  </si>
  <si>
    <t>7017309872</t>
  </si>
  <si>
    <t>5031026544</t>
  </si>
  <si>
    <t>0148300000619000659</t>
  </si>
  <si>
    <t>0348300189519000036</t>
  </si>
  <si>
    <t>0165100002719000122</t>
  </si>
  <si>
    <t>7432008232</t>
  </si>
  <si>
    <t>0369100016619000008</t>
  </si>
  <si>
    <t>Красноармейский район</t>
  </si>
  <si>
    <t>0876400000219000001</t>
  </si>
  <si>
    <t>010500648766</t>
  </si>
  <si>
    <t>010501109005</t>
  </si>
  <si>
    <t>1802000198</t>
  </si>
  <si>
    <t>100056167119000055</t>
  </si>
  <si>
    <t>Балезинский район</t>
  </si>
  <si>
    <t>7714097791</t>
  </si>
  <si>
    <t>0348200058519000006</t>
  </si>
  <si>
    <t>5009003220</t>
  </si>
  <si>
    <t>5031065529</t>
  </si>
  <si>
    <t>0148300000619000661</t>
  </si>
  <si>
    <t>5031046195</t>
  </si>
  <si>
    <t>0148300000619000658</t>
  </si>
  <si>
    <t>100200982119000029</t>
  </si>
  <si>
    <t>5031061404</t>
  </si>
  <si>
    <t>0148300000619000660</t>
  </si>
  <si>
    <t>2724049244</t>
  </si>
  <si>
    <t>0122200002519005846</t>
  </si>
  <si>
    <t>2721051950</t>
  </si>
  <si>
    <t>272099961702</t>
  </si>
  <si>
    <t>4003009369</t>
  </si>
  <si>
    <t>0137300039719000171</t>
  </si>
  <si>
    <t>4025421181</t>
  </si>
  <si>
    <t>0357100001519000004</t>
  </si>
  <si>
    <t>2700000786</t>
  </si>
  <si>
    <t>0122200001019000145</t>
  </si>
  <si>
    <t>0357100001519000003</t>
  </si>
  <si>
    <t>0139200000119007390</t>
  </si>
  <si>
    <t>4024000529</t>
  </si>
  <si>
    <t>100063376119000068</t>
  </si>
  <si>
    <t>Людиновский район</t>
  </si>
  <si>
    <t>0119300032519000038</t>
  </si>
  <si>
    <t>5948014860</t>
  </si>
  <si>
    <t>100304745119000028</t>
  </si>
  <si>
    <t>Пермь</t>
  </si>
  <si>
    <t>0107012457</t>
  </si>
  <si>
    <t>100318597119000019</t>
  </si>
  <si>
    <t>Тахтамукайский район</t>
  </si>
  <si>
    <t>5642008250</t>
  </si>
  <si>
    <t>100111169119000067</t>
  </si>
  <si>
    <t>100111169119000065</t>
  </si>
  <si>
    <t>100111169119000064</t>
  </si>
  <si>
    <t>100111169119000066</t>
  </si>
  <si>
    <t>100240641119000046</t>
  </si>
  <si>
    <t>2456002512</t>
  </si>
  <si>
    <t>100242751119000096</t>
  </si>
  <si>
    <t>2539007673</t>
  </si>
  <si>
    <t>31908325077</t>
  </si>
  <si>
    <t>[ОКПД2 52.22] Услуги, связанные с водным транспортом, [ОКВЭД2 52.22] Деятельность вспомогательная, связанная с водным транспортом</t>
  </si>
  <si>
    <t>31908328705</t>
  </si>
  <si>
    <t>[ОКПД2 01.13] Овощи и культуры бахчевые, корнеплоды и клубнеплоды, [ОКВЭД2 01.13] Выращивание овощей, бахчевых, корнеплодных и клубнеплодных культур, грибов и трюфелей</t>
  </si>
  <si>
    <t>6163024930</t>
  </si>
  <si>
    <t>31908325429</t>
  </si>
  <si>
    <t>0269012845</t>
  </si>
  <si>
    <t>31908327554</t>
  </si>
  <si>
    <t>5190123078</t>
  </si>
  <si>
    <t>31908325574</t>
  </si>
  <si>
    <t>31908328587</t>
  </si>
  <si>
    <t>5948027718</t>
  </si>
  <si>
    <t>31908326644</t>
  </si>
  <si>
    <t>6656003944</t>
  </si>
  <si>
    <t>31908325224</t>
  </si>
  <si>
    <t>31908327278</t>
  </si>
  <si>
    <t>5260047352</t>
  </si>
  <si>
    <t>31908327490</t>
  </si>
  <si>
    <t>7825334649</t>
  </si>
  <si>
    <t>31908329095</t>
  </si>
  <si>
    <t>6440004134</t>
  </si>
  <si>
    <t>31908323687</t>
  </si>
  <si>
    <t>7537011835</t>
  </si>
  <si>
    <t>31908325736</t>
  </si>
  <si>
    <t>6661001815</t>
  </si>
  <si>
    <t>31908328908</t>
  </si>
  <si>
    <t>7728262893</t>
  </si>
  <si>
    <t>31908328492</t>
  </si>
  <si>
    <t>31908321845</t>
  </si>
  <si>
    <t>[ОКПД2 56.29] Услуги по обеспечению питанием прочие, [ОКВЭД2 56.21] Деятельность предприятий общественного питания по обслуживанию торжественных мероприятий</t>
  </si>
  <si>
    <t>2462003320</t>
  </si>
  <si>
    <t>31908327005</t>
  </si>
  <si>
    <t>6164101880</t>
  </si>
  <si>
    <t>31908326788</t>
  </si>
  <si>
    <t>31908325119</t>
  </si>
  <si>
    <t>0274005071</t>
  </si>
  <si>
    <t>31908329061</t>
  </si>
  <si>
    <t>8901008031</t>
  </si>
  <si>
    <t>31908322138</t>
  </si>
  <si>
    <t>5036119665</t>
  </si>
  <si>
    <t>835833</t>
  </si>
  <si>
    <t>5047224421</t>
  </si>
  <si>
    <t>835762</t>
  </si>
  <si>
    <t>Долгопрудный</t>
  </si>
  <si>
    <t>3201002927</t>
  </si>
  <si>
    <t>100085606119000016</t>
  </si>
  <si>
    <t>[ОКПД2 58.19] Услуги в области издательской деятельности прочие, [ОКПД2 32.99] Изделия готовые прочие, не включенные в другие группировки, [ОКПД2 17.23] Принадлежности канцелярские бумажные, [ОКПД2 17.29] Изделия из бумаги и картона прочие, [ОКПД2 26.20] Компьютеры и периферийное оборудование, [ОКПД2 25.99] Металлоизделия готовые прочие, не включенные в другие группировки, [ОКПД2 15.12] Чемоданы, сумки дамские и аналогичные изделия; изделия шорно-седельные и упряжь, [ОКПД2 25.71] Изделия ножевые и столовые приборы, [ОКПД2 27.20] Батареи и аккумуляторы, [ОКПД2 20.41] Мыло и моющие средства, чистящие и полирующие средства, [ОКПД2 25.73] Инструмент, [ОКПД2 22.29] Изделия пластмассовые прочие, [ОКПД2 20.52] Клеи, [ОКПД2 17.21] Бумага и картон гофрированные и тара бумажная и картонная, [ОКПД2 20.30] Материалы лакокрасочные и аналогичные для нанесения покрытий, полиграфические краски и мастики, [ОКПД2 25.93] Проволока, цепи и пружины, [ОКПД2 13.94] Канаты, веревки, шпагат и сети, [ОКПД2 22.19] Изделия из резины прочие, [ОКПД2 26.51] Оборудование для измерения, испытаний и навигации, [ОКПД2 28.23] Машины офисные и оборудование, кроме компьютеров и периферийного оборудования, [ОКПД2 13.99] Изделия текстильные прочие, не включенные в другие группировки, [ОКПД2 22.22] Изделия пластмассовые упаковочные</t>
  </si>
  <si>
    <t>7702061938</t>
  </si>
  <si>
    <t>0873500000819004286</t>
  </si>
  <si>
    <t>7718261509</t>
  </si>
  <si>
    <t>5823005170</t>
  </si>
  <si>
    <t>100112689119000029</t>
  </si>
  <si>
    <t>Мокшанский район</t>
  </si>
  <si>
    <t>5250026811</t>
  </si>
  <si>
    <t>0332300330619000244</t>
  </si>
  <si>
    <t>4305002916</t>
  </si>
  <si>
    <t>0340100002719000081</t>
  </si>
  <si>
    <t>Верхнекамский район</t>
  </si>
  <si>
    <t>6144002779</t>
  </si>
  <si>
    <t>100206787119000010</t>
  </si>
  <si>
    <t>Гуково</t>
  </si>
  <si>
    <t>5616010189</t>
  </si>
  <si>
    <t>0853500000319010334</t>
  </si>
  <si>
    <t>Орск</t>
  </si>
  <si>
    <t>5614047761</t>
  </si>
  <si>
    <t>0311300012419000097</t>
  </si>
  <si>
    <t>1650146792</t>
  </si>
  <si>
    <t>100112689119000028</t>
  </si>
  <si>
    <t>8602024236</t>
  </si>
  <si>
    <t>0187300006519001876</t>
  </si>
  <si>
    <t>8602012985</t>
  </si>
  <si>
    <t>100168682119000019</t>
  </si>
  <si>
    <t>0373200041519001837</t>
  </si>
  <si>
    <t>4027022552</t>
  </si>
  <si>
    <t>0237100001419000285</t>
  </si>
  <si>
    <t>6003002180</t>
  </si>
  <si>
    <t>100043552119000024</t>
  </si>
  <si>
    <t>Гдовский район</t>
  </si>
  <si>
    <t>5807001354</t>
  </si>
  <si>
    <t>100153879119000021</t>
  </si>
  <si>
    <t>100086586119000020</t>
  </si>
  <si>
    <t>7825678417</t>
  </si>
  <si>
    <t>0145200002119000035</t>
  </si>
  <si>
    <t>[ОКПД2 56.10] Услуги ресторанов и услуги по доставке продуктов питания, [ОКПД2 55.20] Услуги по предоставлению временного жилья в местах отдыха и прочих местах для краткосрочного проживания</t>
  </si>
  <si>
    <t>7813010664</t>
  </si>
  <si>
    <t>113752</t>
  </si>
  <si>
    <t>7002006723</t>
  </si>
  <si>
    <t>0365300025419000167</t>
  </si>
  <si>
    <t>7017379799</t>
  </si>
  <si>
    <t>540696393880</t>
  </si>
  <si>
    <t>5033008188</t>
  </si>
  <si>
    <t>835579</t>
  </si>
  <si>
    <t>0164100008019000027</t>
  </si>
  <si>
    <t>0357100003219000013</t>
  </si>
  <si>
    <t>7702038150</t>
  </si>
  <si>
    <t>0373200082119000687</t>
  </si>
  <si>
    <t>0164100008019000029</t>
  </si>
  <si>
    <t>8903009513</t>
  </si>
  <si>
    <t>0390100001519000095</t>
  </si>
  <si>
    <t>8602160870</t>
  </si>
  <si>
    <t>7204093398</t>
  </si>
  <si>
    <t>2915000232</t>
  </si>
  <si>
    <t>0324300003219000015</t>
  </si>
  <si>
    <t>Ленский район</t>
  </si>
  <si>
    <t>291500753328</t>
  </si>
  <si>
    <t>2723117893</t>
  </si>
  <si>
    <t>0122100007119000026</t>
  </si>
  <si>
    <t>2724091711</t>
  </si>
  <si>
    <t>0357100003219000012</t>
  </si>
  <si>
    <t>0123100004219000054</t>
  </si>
  <si>
    <t>4716024666</t>
  </si>
  <si>
    <t>0145300014519000057</t>
  </si>
  <si>
    <t>Тосненский район</t>
  </si>
  <si>
    <t>0164100008019000028</t>
  </si>
  <si>
    <t>5249018774</t>
  </si>
  <si>
    <t>0132300001719000467</t>
  </si>
  <si>
    <t>6455067225</t>
  </si>
  <si>
    <t>5259082659</t>
  </si>
  <si>
    <t>3-49640-303-19</t>
  </si>
  <si>
    <t>7203234409</t>
  </si>
  <si>
    <t>0167200003419004888</t>
  </si>
  <si>
    <t>7203227190</t>
  </si>
  <si>
    <t>5018155999</t>
  </si>
  <si>
    <t>0848300058919000218</t>
  </si>
  <si>
    <t>0139200000119007381</t>
  </si>
  <si>
    <t>4206008120</t>
  </si>
  <si>
    <t>7204006892</t>
  </si>
  <si>
    <t>0167200003419004892</t>
  </si>
  <si>
    <t>720500639100</t>
  </si>
  <si>
    <t>0822100002819000641</t>
  </si>
  <si>
    <t>Черниговский район</t>
  </si>
  <si>
    <t>2536268109</t>
  </si>
  <si>
    <t>1327027563</t>
  </si>
  <si>
    <t>2723204666</t>
  </si>
  <si>
    <t>2722051054</t>
  </si>
  <si>
    <t>2358000500</t>
  </si>
  <si>
    <t>0318100056019000004</t>
  </si>
  <si>
    <t>Щербиновский район</t>
  </si>
  <si>
    <t>235803085887</t>
  </si>
  <si>
    <t>5910004260</t>
  </si>
  <si>
    <t>0356300025119000118</t>
  </si>
  <si>
    <t>5911062219</t>
  </si>
  <si>
    <t>0122100007119000025</t>
  </si>
  <si>
    <t>0356300025119000119</t>
  </si>
  <si>
    <t>5021002329</t>
  </si>
  <si>
    <t>0348300300119000080</t>
  </si>
  <si>
    <t>5036028633</t>
  </si>
  <si>
    <t>3801020533</t>
  </si>
  <si>
    <t>0134100006419000036</t>
  </si>
  <si>
    <t>3801116323</t>
  </si>
  <si>
    <t>5018156008</t>
  </si>
  <si>
    <t>0848300058919000217</t>
  </si>
  <si>
    <t>0822100002819000642</t>
  </si>
  <si>
    <t>2539090720</t>
  </si>
  <si>
    <t>7413008276</t>
  </si>
  <si>
    <t>0369100014319000193</t>
  </si>
  <si>
    <t>6670471711</t>
  </si>
  <si>
    <t>5031026336</t>
  </si>
  <si>
    <t>0148300000619000656</t>
  </si>
  <si>
    <t>5031035475</t>
  </si>
  <si>
    <t>0148300000619000655</t>
  </si>
  <si>
    <t>6662081901</t>
  </si>
  <si>
    <t>0362200026419000005</t>
  </si>
  <si>
    <t>6672138924</t>
  </si>
  <si>
    <t>9111008629</t>
  </si>
  <si>
    <t>0375200037419000155</t>
  </si>
  <si>
    <t>911100184971</t>
  </si>
  <si>
    <t>5031026368</t>
  </si>
  <si>
    <t>0148300000619000657</t>
  </si>
  <si>
    <t>0134100006419000035</t>
  </si>
  <si>
    <t>5003130720</t>
  </si>
  <si>
    <t>835271</t>
  </si>
  <si>
    <t>5031036743</t>
  </si>
  <si>
    <t>0148300000619000654</t>
  </si>
  <si>
    <t>0134200000119003326</t>
  </si>
  <si>
    <t>0106100004719000006</t>
  </si>
  <si>
    <t>5031026287</t>
  </si>
  <si>
    <t>0148300000619000653</t>
  </si>
  <si>
    <t>0134200000119003321</t>
  </si>
  <si>
    <t>2225022328</t>
  </si>
  <si>
    <t>0817200000319010897</t>
  </si>
  <si>
    <t>3808178463</t>
  </si>
  <si>
    <t>0164100008019000026</t>
  </si>
  <si>
    <t>5902041276</t>
  </si>
  <si>
    <t>0356500000219000169</t>
  </si>
  <si>
    <t>5003118779</t>
  </si>
  <si>
    <t>0848300048419000758</t>
  </si>
  <si>
    <t>5902292287</t>
  </si>
  <si>
    <t>0356200001819000239</t>
  </si>
  <si>
    <t>8602020390</t>
  </si>
  <si>
    <t>0387200016419000041</t>
  </si>
  <si>
    <t>8602198754</t>
  </si>
  <si>
    <t>3003003735</t>
  </si>
  <si>
    <t>100288012119000024</t>
  </si>
  <si>
    <t>Енотаевский район</t>
  </si>
  <si>
    <t>7329028362</t>
  </si>
  <si>
    <t>0368400000219000140</t>
  </si>
  <si>
    <t>6323080371</t>
  </si>
  <si>
    <t>5603045522</t>
  </si>
  <si>
    <t>РН90905770</t>
  </si>
  <si>
    <t>0156200009919000695</t>
  </si>
  <si>
    <t>31908320598</t>
  </si>
  <si>
    <t>31908320645</t>
  </si>
  <si>
    <t>3906025507</t>
  </si>
  <si>
    <t>31908324481</t>
  </si>
  <si>
    <t>1650073760</t>
  </si>
  <si>
    <t>31908323604</t>
  </si>
  <si>
    <t>31908320549</t>
  </si>
  <si>
    <t>8602182948</t>
  </si>
  <si>
    <t>31908323395</t>
  </si>
  <si>
    <t>[ОКПД2 55.10] Услуги гостиниц и аналогичные услуги по предоставлению временного жилья, [ОКПД2 56.29] Услуги по обеспечению питанием прочие, [ОКВЭД2 56.29] Деятельность предприятий общественного питания по прочим видам организации питания, [ОКВЭД2 55.10] Деятельность гостиниц и прочих мест для временного проживания</t>
  </si>
  <si>
    <t>31908320228</t>
  </si>
  <si>
    <t>BP00341387</t>
  </si>
  <si>
    <t>5024131315</t>
  </si>
  <si>
    <t>31908324429</t>
  </si>
  <si>
    <t>8605002449</t>
  </si>
  <si>
    <t>31908320863</t>
  </si>
  <si>
    <t>2920009216</t>
  </si>
  <si>
    <t>31908327863</t>
  </si>
  <si>
    <t>2705012263</t>
  </si>
  <si>
    <t>31908319951</t>
  </si>
  <si>
    <t>31908324409</t>
  </si>
  <si>
    <t>7703107663</t>
  </si>
  <si>
    <t>31908323525</t>
  </si>
  <si>
    <t>[ОКПД2 55.10] Услуги гостиниц и аналогичные услуги по предоставлению временного жилья, [ОКВЭД2 55.1+] Деятельность гостиниц и прочих мест для временного проживания</t>
  </si>
  <si>
    <t>6439036075</t>
  </si>
  <si>
    <t>31908323864</t>
  </si>
  <si>
    <t>Балаково</t>
  </si>
  <si>
    <t>7453041664</t>
  </si>
  <si>
    <t>31908321173</t>
  </si>
  <si>
    <t>[ОКПД2 71.12] Услуги в области инженерно-технического проектирования и связанные технические консультативные услуги, [ОКВЭД2 71.20] Технические испытания, исследования, анализ и сертификация</t>
  </si>
  <si>
    <t>8601037426</t>
  </si>
  <si>
    <t>31908323693</t>
  </si>
  <si>
    <t>BP00341039</t>
  </si>
  <si>
    <t>6660008631</t>
  </si>
  <si>
    <t>31908321261</t>
  </si>
  <si>
    <t>3444049170</t>
  </si>
  <si>
    <t>31908320804</t>
  </si>
  <si>
    <t>7708697977</t>
  </si>
  <si>
    <t>190920/0527/240</t>
  </si>
  <si>
    <t>6166035680</t>
  </si>
  <si>
    <t>31908321805</t>
  </si>
  <si>
    <t>5260072567</t>
  </si>
  <si>
    <t>31908324073</t>
  </si>
  <si>
    <t>5042068232</t>
  </si>
  <si>
    <t>835143</t>
  </si>
  <si>
    <t>2349010678</t>
  </si>
  <si>
    <t>100253952119000035</t>
  </si>
  <si>
    <t>Славянск-на-Кубани</t>
  </si>
  <si>
    <t>0123200000319002859</t>
  </si>
  <si>
    <t>113669</t>
  </si>
  <si>
    <t>2315162802</t>
  </si>
  <si>
    <t>0118300013319000916</t>
  </si>
  <si>
    <t>2315130984</t>
  </si>
  <si>
    <t>7728126530</t>
  </si>
  <si>
    <t>0373100056119000378</t>
  </si>
  <si>
    <t>6634002714</t>
  </si>
  <si>
    <t>0362100024819000005</t>
  </si>
  <si>
    <t>Тавда</t>
  </si>
  <si>
    <t>6634009029</t>
  </si>
  <si>
    <t>2310086146</t>
  </si>
  <si>
    <t>0318300510719000005</t>
  </si>
  <si>
    <t>2311004379</t>
  </si>
  <si>
    <t>0311100016819000437</t>
  </si>
  <si>
    <t>1834100340</t>
  </si>
  <si>
    <t>1657233941</t>
  </si>
  <si>
    <t>1660279022</t>
  </si>
  <si>
    <t>5031051149</t>
  </si>
  <si>
    <t>0148300000619000649</t>
  </si>
  <si>
    <t>5031024280</t>
  </si>
  <si>
    <t>0148300000619000647</t>
  </si>
  <si>
    <t>7727004530</t>
  </si>
  <si>
    <t>РН90905658</t>
  </si>
  <si>
    <t>Новый Уренгой</t>
  </si>
  <si>
    <t>5053013411</t>
  </si>
  <si>
    <t>835002</t>
  </si>
  <si>
    <t>0571002676</t>
  </si>
  <si>
    <t>0103200008419007548</t>
  </si>
  <si>
    <t>056104843833</t>
  </si>
  <si>
    <t>054400185517</t>
  </si>
  <si>
    <t>7021054271</t>
  </si>
  <si>
    <t>0165300010519000970</t>
  </si>
  <si>
    <t>[ОКПД2 01.70] Услуги, связанные с охотой, ловлей и разведением диких животных</t>
  </si>
  <si>
    <t>701900490207</t>
  </si>
  <si>
    <t>5031109014</t>
  </si>
  <si>
    <t>0148300000619000651</t>
  </si>
  <si>
    <t>2614010822</t>
  </si>
  <si>
    <t>0321100003619000029</t>
  </si>
  <si>
    <t>261400726265</t>
  </si>
  <si>
    <t>5021011450</t>
  </si>
  <si>
    <t>834932</t>
  </si>
  <si>
    <t>0311100016819000435</t>
  </si>
  <si>
    <t>1645032214</t>
  </si>
  <si>
    <t>0123200000319002849</t>
  </si>
  <si>
    <t>0311100016819000436</t>
  </si>
  <si>
    <t>7807029071</t>
  </si>
  <si>
    <t>0372100008619000143</t>
  </si>
  <si>
    <t>7814450121</t>
  </si>
  <si>
    <t>7806462010</t>
  </si>
  <si>
    <t>5031037730</t>
  </si>
  <si>
    <t>0148300000619000650</t>
  </si>
  <si>
    <t>5031026223</t>
  </si>
  <si>
    <t>0148300000619000648</t>
  </si>
  <si>
    <t>2703053306</t>
  </si>
  <si>
    <t>0322200009119000076</t>
  </si>
  <si>
    <t>Комсомольск-на-Амуре</t>
  </si>
  <si>
    <t>2726004471</t>
  </si>
  <si>
    <t>0167200003419004855</t>
  </si>
  <si>
    <t>5031026216</t>
  </si>
  <si>
    <t>0148300000619000646</t>
  </si>
  <si>
    <t>7415008480</t>
  </si>
  <si>
    <t>0869200000219002984</t>
  </si>
  <si>
    <t>[ОКПД2 26.60] Оборудование для облучения, электрическое диагностическое и терапевтическое, применяемые в медицинских целях, [ОКПД2 33.12] Услуги по ремонту оборудования</t>
  </si>
  <si>
    <t>1656025385</t>
  </si>
  <si>
    <t>4707011004</t>
  </si>
  <si>
    <t>0345100009319000047</t>
  </si>
  <si>
    <t>7816679492</t>
  </si>
  <si>
    <t>7804093216</t>
  </si>
  <si>
    <t>3811032111</t>
  </si>
  <si>
    <t>0134200000119003299</t>
  </si>
  <si>
    <t>3816006588</t>
  </si>
  <si>
    <t>5031053509</t>
  </si>
  <si>
    <t>0148300000619000644</t>
  </si>
  <si>
    <t>7703570430</t>
  </si>
  <si>
    <t>516311</t>
  </si>
  <si>
    <t>0148100000919000019</t>
  </si>
  <si>
    <t>501900613140</t>
  </si>
  <si>
    <t>0148100000919000018</t>
  </si>
  <si>
    <t>5031024339</t>
  </si>
  <si>
    <t>0148300000619000645</t>
  </si>
  <si>
    <t>6311027937</t>
  </si>
  <si>
    <t>0142200001319015335</t>
  </si>
  <si>
    <t>5031026390</t>
  </si>
  <si>
    <t>0148300000619000642</t>
  </si>
  <si>
    <t>5074037300</t>
  </si>
  <si>
    <t>834853</t>
  </si>
  <si>
    <t>4348004467</t>
  </si>
  <si>
    <t>0240100000219000181</t>
  </si>
  <si>
    <t>4345064387</t>
  </si>
  <si>
    <t>6601004201</t>
  </si>
  <si>
    <t>0162100013019000008</t>
  </si>
  <si>
    <t>Алапаевск</t>
  </si>
  <si>
    <t>660102467254</t>
  </si>
  <si>
    <t>660103951316</t>
  </si>
  <si>
    <t>0311100016819000430</t>
  </si>
  <si>
    <t>1648033456</t>
  </si>
  <si>
    <t>0240100000219000182</t>
  </si>
  <si>
    <t>4329000724</t>
  </si>
  <si>
    <t>0311100016819000431</t>
  </si>
  <si>
    <t>5031026375</t>
  </si>
  <si>
    <t>0148300000619000643</t>
  </si>
  <si>
    <t>0311100016819000433</t>
  </si>
  <si>
    <t>1656033379</t>
  </si>
  <si>
    <t>7205021942</t>
  </si>
  <si>
    <t>0367100021619000027</t>
  </si>
  <si>
    <t>Ишим</t>
  </si>
  <si>
    <t>720501342166</t>
  </si>
  <si>
    <t>720500630041</t>
  </si>
  <si>
    <t>0311100016819000432</t>
  </si>
  <si>
    <t>1835063210</t>
  </si>
  <si>
    <t>0313100015319000007</t>
  </si>
  <si>
    <t>1832149879</t>
  </si>
  <si>
    <t>183204076399</t>
  </si>
  <si>
    <t>7021049088</t>
  </si>
  <si>
    <t>26227</t>
  </si>
  <si>
    <t>5031044335</t>
  </si>
  <si>
    <t>0148300000619000640</t>
  </si>
  <si>
    <t>0119300032519000037</t>
  </si>
  <si>
    <t>0311100016819000428</t>
  </si>
  <si>
    <t>1659127160</t>
  </si>
  <si>
    <t>5031109832</t>
  </si>
  <si>
    <t>0148300000619000641</t>
  </si>
  <si>
    <t>7202170632</t>
  </si>
  <si>
    <t>РН90905511</t>
  </si>
  <si>
    <t>0861100000219000073</t>
  </si>
  <si>
    <t>5031024240</t>
  </si>
  <si>
    <t>0148300000619000639</t>
  </si>
  <si>
    <t>5031030340</t>
  </si>
  <si>
    <t>0148300000619000638</t>
  </si>
  <si>
    <t>5933009280</t>
  </si>
  <si>
    <t>100047535119000030</t>
  </si>
  <si>
    <t>Карагайский район</t>
  </si>
  <si>
    <t>0372200141819000079</t>
  </si>
  <si>
    <t>7806555794</t>
  </si>
  <si>
    <t>7214008994</t>
  </si>
  <si>
    <t>0367100017219000008</t>
  </si>
  <si>
    <t>Голышмановский район</t>
  </si>
  <si>
    <t>7214000096</t>
  </si>
  <si>
    <t>5031024297</t>
  </si>
  <si>
    <t>0148300000619000636</t>
  </si>
  <si>
    <t>5031065769</t>
  </si>
  <si>
    <t>0148300000619000637</t>
  </si>
  <si>
    <t>5802100489</t>
  </si>
  <si>
    <t>100268580119000006</t>
  </si>
  <si>
    <t>Каменский район</t>
  </si>
  <si>
    <t>100268580119000004</t>
  </si>
  <si>
    <t>5643006921</t>
  </si>
  <si>
    <t>0353100010219000003</t>
  </si>
  <si>
    <t>0353100010219000004</t>
  </si>
  <si>
    <t>0167200003419004826</t>
  </si>
  <si>
    <t>7226004909</t>
  </si>
  <si>
    <t>4338009339</t>
  </si>
  <si>
    <t>0340200003319012954</t>
  </si>
  <si>
    <t>Юрьянский район</t>
  </si>
  <si>
    <t>3615001660</t>
  </si>
  <si>
    <t>100032245119000021</t>
  </si>
  <si>
    <t>Нижнедевицкий район</t>
  </si>
  <si>
    <t>0830100001819000009</t>
  </si>
  <si>
    <t>4825002888</t>
  </si>
  <si>
    <t>0146100001019000184</t>
  </si>
  <si>
    <t>480209558590</t>
  </si>
  <si>
    <t>0146100001019000185</t>
  </si>
  <si>
    <t>0123200000319002830</t>
  </si>
  <si>
    <t>5050126400</t>
  </si>
  <si>
    <t>3459007454</t>
  </si>
  <si>
    <t>31908315906</t>
  </si>
  <si>
    <t>[ОКПД2 55.10] Услуги гостиниц и аналогичные услуги по предоставлению временного жилья, [ОКПД2 56.10] Услуги ресторанов и услуги по доставке продуктов питания, [ОКВЭД2 56.10] Деятельность ресторанов и услуги по доставке продуктов питания, [ОКВЭД2 55.10] Деятельность гостиниц и прочих мест для временного проживания</t>
  </si>
  <si>
    <t>6656004169</t>
  </si>
  <si>
    <t>31908317007</t>
  </si>
  <si>
    <t>6501016570</t>
  </si>
  <si>
    <t>31908315740</t>
  </si>
  <si>
    <t>4209013425</t>
  </si>
  <si>
    <t>31908317187</t>
  </si>
  <si>
    <t>31908315839</t>
  </si>
  <si>
    <t>9204546725</t>
  </si>
  <si>
    <t>31908318879</t>
  </si>
  <si>
    <t>5405035748</t>
  </si>
  <si>
    <t>31908316105</t>
  </si>
  <si>
    <t>31908317055</t>
  </si>
  <si>
    <t>7811406004</t>
  </si>
  <si>
    <t>31908318762</t>
  </si>
  <si>
    <t>31908318417</t>
  </si>
  <si>
    <t>6604009448</t>
  </si>
  <si>
    <t>31908310525</t>
  </si>
  <si>
    <t>31908316001</t>
  </si>
  <si>
    <t>6658021258</t>
  </si>
  <si>
    <t>31908316101</t>
  </si>
  <si>
    <t>[ОКПД2 56.2+] Услуги по поставке продукции общественного питания и обслуживанию торжественных мероприятий и прочие услуги по обеспечению питанием, [ОКВЭД2 56.2+] Деятельность предприятий общественного питания по обслуживанию торжественных мероприятий и прочим видам организации питания</t>
  </si>
  <si>
    <t>31908319519</t>
  </si>
  <si>
    <t>0268022791</t>
  </si>
  <si>
    <t>31908316878</t>
  </si>
  <si>
    <t>1433013731</t>
  </si>
  <si>
    <t>31908315864</t>
  </si>
  <si>
    <t>2466226303</t>
  </si>
  <si>
    <t>31908316085</t>
  </si>
  <si>
    <t>7204006483</t>
  </si>
  <si>
    <t>31908230514</t>
  </si>
  <si>
    <t>7447012841</t>
  </si>
  <si>
    <t>31908317427</t>
  </si>
  <si>
    <t>31908315932</t>
  </si>
  <si>
    <t>1655003950</t>
  </si>
  <si>
    <t>0211100000119000116</t>
  </si>
  <si>
    <t>1620000411</t>
  </si>
  <si>
    <t>1660009940</t>
  </si>
  <si>
    <t>1644089105</t>
  </si>
  <si>
    <t>7900001553</t>
  </si>
  <si>
    <t>0378100001019000021</t>
  </si>
  <si>
    <t>Еврейская автономная область</t>
  </si>
  <si>
    <t>Биробиджан</t>
  </si>
  <si>
    <t>2721056652</t>
  </si>
  <si>
    <t>0211100000119000117</t>
  </si>
  <si>
    <t>2322013216</t>
  </si>
  <si>
    <t>0118400000219000042</t>
  </si>
  <si>
    <t>Туапсинский район</t>
  </si>
  <si>
    <t>236501322036</t>
  </si>
  <si>
    <t>232202423007</t>
  </si>
  <si>
    <t>0373200041519001797</t>
  </si>
  <si>
    <t>2632033854</t>
  </si>
  <si>
    <t>0118400000219000043</t>
  </si>
  <si>
    <t>0306200010219000598</t>
  </si>
  <si>
    <t>3808027390</t>
  </si>
  <si>
    <t>0334200014119000109</t>
  </si>
  <si>
    <t>Эхирит-Булагатский район</t>
  </si>
  <si>
    <t>8506004660</t>
  </si>
  <si>
    <t>5240001695</t>
  </si>
  <si>
    <t>0332300110519000028</t>
  </si>
  <si>
    <t>5261087580</t>
  </si>
  <si>
    <t>5402557538</t>
  </si>
  <si>
    <t>0351300300719000085</t>
  </si>
  <si>
    <t>5402581379</t>
  </si>
  <si>
    <t>5406988775</t>
  </si>
  <si>
    <t>5403036792</t>
  </si>
  <si>
    <t>6321293536</t>
  </si>
  <si>
    <t>3849061418</t>
  </si>
  <si>
    <t>1413021413</t>
  </si>
  <si>
    <t>0316300027619000014</t>
  </si>
  <si>
    <t>Кобяйский улус</t>
  </si>
  <si>
    <t>143201547407</t>
  </si>
  <si>
    <t>0134200000119003274</t>
  </si>
  <si>
    <t>381711957091</t>
  </si>
  <si>
    <t>381700344801</t>
  </si>
  <si>
    <t>0131200001019005181</t>
  </si>
  <si>
    <t>3662191433</t>
  </si>
  <si>
    <t>5245020571</t>
  </si>
  <si>
    <t>4607001860</t>
  </si>
  <si>
    <t>0344300055119000069</t>
  </si>
  <si>
    <t>Золотухинский район</t>
  </si>
  <si>
    <t>4607003835</t>
  </si>
  <si>
    <t>1121001681</t>
  </si>
  <si>
    <t>0507300000119000075</t>
  </si>
  <si>
    <t>[ОКПД2 26.20] Компьютеры и периферийное оборудование, [ОКПД2 58.29] Услуги по изданию прочего программного обеспечения</t>
  </si>
  <si>
    <t>1121009000</t>
  </si>
  <si>
    <t>7410002484</t>
  </si>
  <si>
    <t>0369100014019000034</t>
  </si>
  <si>
    <t>7401014525</t>
  </si>
  <si>
    <t>5018046301</t>
  </si>
  <si>
    <t>0848300058919000211</t>
  </si>
  <si>
    <t>5053033376</t>
  </si>
  <si>
    <t>5001080495</t>
  </si>
  <si>
    <t>4100010151</t>
  </si>
  <si>
    <t>0138300000419000663</t>
  </si>
  <si>
    <t>7723543820</t>
  </si>
  <si>
    <t>410100213426</t>
  </si>
  <si>
    <t>5049003330</t>
  </si>
  <si>
    <t>834275</t>
  </si>
  <si>
    <t>Шатура</t>
  </si>
  <si>
    <t>0144100005219000059</t>
  </si>
  <si>
    <t>4632177708</t>
  </si>
  <si>
    <t>4632206677</t>
  </si>
  <si>
    <t>5022028344</t>
  </si>
  <si>
    <t>0848600002719001255</t>
  </si>
  <si>
    <t>1001021816</t>
  </si>
  <si>
    <t>0206100000319000111</t>
  </si>
  <si>
    <t>2318030924</t>
  </si>
  <si>
    <t>5018045315</t>
  </si>
  <si>
    <t>0848300058919000210</t>
  </si>
  <si>
    <t>0123200000319002832</t>
  </si>
  <si>
    <t>7715656026</t>
  </si>
  <si>
    <t>5018045361</t>
  </si>
  <si>
    <t>0848300058919000208</t>
  </si>
  <si>
    <t>0348100082819000028</t>
  </si>
  <si>
    <t>5029029442</t>
  </si>
  <si>
    <t>0373200197819000102</t>
  </si>
  <si>
    <t>9701107693</t>
  </si>
  <si>
    <t>7728860124</t>
  </si>
  <si>
    <t>5018045435</t>
  </si>
  <si>
    <t>0848300058919000206</t>
  </si>
  <si>
    <t>100064921119000306</t>
  </si>
  <si>
    <t>9108119505</t>
  </si>
  <si>
    <t>0375200012819000067</t>
  </si>
  <si>
    <t>Кировский</t>
  </si>
  <si>
    <t>911116224309</t>
  </si>
  <si>
    <t>5054009305</t>
  </si>
  <si>
    <t>0848300058919000207</t>
  </si>
  <si>
    <t>5018155967</t>
  </si>
  <si>
    <t>0848300058919000209</t>
  </si>
  <si>
    <t>6027022330</t>
  </si>
  <si>
    <t>0157200001819000145</t>
  </si>
  <si>
    <t>Псков</t>
  </si>
  <si>
    <t>6027177856</t>
  </si>
  <si>
    <t>6442000590</t>
  </si>
  <si>
    <t>0360100023719000018</t>
  </si>
  <si>
    <t>644200020606</t>
  </si>
  <si>
    <t>0157200001819000146</t>
  </si>
  <si>
    <t>7801242519</t>
  </si>
  <si>
    <t>5836012463</t>
  </si>
  <si>
    <t>0855200000519002539</t>
  </si>
  <si>
    <t>[ОКПД2 86.10] Услуги больничных организаций</t>
  </si>
  <si>
    <t>Пенза</t>
  </si>
  <si>
    <t>5836655859</t>
  </si>
  <si>
    <t>3629001692</t>
  </si>
  <si>
    <t>100001403119000030</t>
  </si>
  <si>
    <t>Таловский район</t>
  </si>
  <si>
    <t>0306200010219000593</t>
  </si>
  <si>
    <t>4825005085</t>
  </si>
  <si>
    <t>0146200000919000271</t>
  </si>
  <si>
    <t>4826022196</t>
  </si>
  <si>
    <t>0405000802</t>
  </si>
  <si>
    <t>0177200000919002474</t>
  </si>
  <si>
    <t>Шебалинский район</t>
  </si>
  <si>
    <t>0411174518</t>
  </si>
  <si>
    <t>0134100010019000048</t>
  </si>
  <si>
    <t>0306200010219000592</t>
  </si>
  <si>
    <t>7801206260</t>
  </si>
  <si>
    <t>3230005062</t>
  </si>
  <si>
    <t>100298217119000016</t>
  </si>
  <si>
    <t>Трубчевский район</t>
  </si>
  <si>
    <t>0144100005219000057</t>
  </si>
  <si>
    <t>2901052897</t>
  </si>
  <si>
    <t>0124200000619004767</t>
  </si>
  <si>
    <t>2901239670</t>
  </si>
  <si>
    <t>3309459733</t>
  </si>
  <si>
    <t>0128200000119005961</t>
  </si>
  <si>
    <t>7606087098</t>
  </si>
  <si>
    <t>4345334805</t>
  </si>
  <si>
    <t>0372200275619000098</t>
  </si>
  <si>
    <t>7802729640</t>
  </si>
  <si>
    <t>6949004634</t>
  </si>
  <si>
    <t>2613001590</t>
  </si>
  <si>
    <t>0121100006519000017</t>
  </si>
  <si>
    <t>Левокумский район</t>
  </si>
  <si>
    <t>5944160243</t>
  </si>
  <si>
    <t>0156300065419000108</t>
  </si>
  <si>
    <t>5944060369</t>
  </si>
  <si>
    <t>3528009720</t>
  </si>
  <si>
    <t>0130300000319000079</t>
  </si>
  <si>
    <t>3528142545</t>
  </si>
  <si>
    <t>9108116857</t>
  </si>
  <si>
    <t>0375300009519000006</t>
  </si>
  <si>
    <t>Судак</t>
  </si>
  <si>
    <t>910509430494</t>
  </si>
  <si>
    <t>3906992744</t>
  </si>
  <si>
    <t>910218320306</t>
  </si>
  <si>
    <t>1650045191</t>
  </si>
  <si>
    <t>0711200013919000076</t>
  </si>
  <si>
    <t>165037278193</t>
  </si>
  <si>
    <t>1308078876</t>
  </si>
  <si>
    <t>100069276119000059</t>
  </si>
  <si>
    <t>Зубово-Полянский район</t>
  </si>
  <si>
    <t>0320300101319000209</t>
  </si>
  <si>
    <t>100175681119000080</t>
  </si>
  <si>
    <t>0306200010219000591</t>
  </si>
  <si>
    <t>0121100006519000016</t>
  </si>
  <si>
    <t>515780</t>
  </si>
  <si>
    <t>7306041705</t>
  </si>
  <si>
    <t>100282915119000037</t>
  </si>
  <si>
    <t>Барышский район</t>
  </si>
  <si>
    <t>100282915119000039</t>
  </si>
  <si>
    <t>5902291212</t>
  </si>
  <si>
    <t>0156200002819000052</t>
  </si>
  <si>
    <t>590305674904</t>
  </si>
  <si>
    <t>5905051723</t>
  </si>
  <si>
    <t>5904653901</t>
  </si>
  <si>
    <t>2821000981</t>
  </si>
  <si>
    <t>100293998119000005</t>
  </si>
  <si>
    <t>31908311188</t>
  </si>
  <si>
    <t>7018012970</t>
  </si>
  <si>
    <t>31908307443</t>
  </si>
  <si>
    <t>[ОКПД2 96+] Услуги персональные прочие, [ОКВЭД2 96+] Деятельность по предоставлению прочих персональных услуг</t>
  </si>
  <si>
    <t>7708709686</t>
  </si>
  <si>
    <t>31908312707</t>
  </si>
  <si>
    <t>2462200030</t>
  </si>
  <si>
    <t>31908313066</t>
  </si>
  <si>
    <t>5032057070</t>
  </si>
  <si>
    <t>31908312523</t>
  </si>
  <si>
    <t>7725027605</t>
  </si>
  <si>
    <t>31908311730</t>
  </si>
  <si>
    <t>[ОКПД2 90.01] Услуги в области исполнительских искусств, [ОКВЭД2 90.01] Деятельность в области исполнительских искусств</t>
  </si>
  <si>
    <t>31908313437</t>
  </si>
  <si>
    <t>6611005973</t>
  </si>
  <si>
    <t>31908296136</t>
  </si>
  <si>
    <t>7702070139</t>
  </si>
  <si>
    <t>VTB18091900001</t>
  </si>
  <si>
    <t>31908313986</t>
  </si>
  <si>
    <t>6315800040</t>
  </si>
  <si>
    <t>31908313439</t>
  </si>
  <si>
    <t>4205227909</t>
  </si>
  <si>
    <t>31908310828</t>
  </si>
  <si>
    <t>5050031451</t>
  </si>
  <si>
    <t>31908312847</t>
  </si>
  <si>
    <t>Щелковский район</t>
  </si>
  <si>
    <t>31908313388</t>
  </si>
  <si>
    <t>31908314258</t>
  </si>
  <si>
    <t>5260001277</t>
  </si>
  <si>
    <t>31908310171</t>
  </si>
  <si>
    <t>5838004436</t>
  </si>
  <si>
    <t>31908314646</t>
  </si>
  <si>
    <t>3435880821</t>
  </si>
  <si>
    <t>31908311074</t>
  </si>
  <si>
    <t>9705001313</t>
  </si>
  <si>
    <t>31908312543</t>
  </si>
  <si>
    <t>[ОКПД2 55+] Услуги по предоставлению мест для временного проживания, [ОКВЭД2 55+] Деятельность по предоставлению мест для временного проживания</t>
  </si>
  <si>
    <t>7715679986</t>
  </si>
  <si>
    <t>7820066749</t>
  </si>
  <si>
    <t>3728012776</t>
  </si>
  <si>
    <t>31908311987</t>
  </si>
  <si>
    <t>31908312105</t>
  </si>
  <si>
    <t>0269013045</t>
  </si>
  <si>
    <t>31908325284</t>
  </si>
  <si>
    <t>1828021467</t>
  </si>
  <si>
    <t>100054864119000025</t>
  </si>
  <si>
    <t>Воткинск</t>
  </si>
  <si>
    <t>5048053553</t>
  </si>
  <si>
    <t>833740</t>
  </si>
  <si>
    <t>5044013302</t>
  </si>
  <si>
    <t>833695</t>
  </si>
  <si>
    <t>0146200000919000270</t>
  </si>
  <si>
    <t>9103017267</t>
  </si>
  <si>
    <t>0875300041819000003</t>
  </si>
  <si>
    <t>9103002888</t>
  </si>
  <si>
    <t>6439038146</t>
  </si>
  <si>
    <t>0360100010519000036</t>
  </si>
  <si>
    <t>643911699920</t>
  </si>
  <si>
    <t>643965142726</t>
  </si>
  <si>
    <t>0323055529</t>
  </si>
  <si>
    <t>0302100004519000115</t>
  </si>
  <si>
    <t>0323402853</t>
  </si>
  <si>
    <t>0323363918</t>
  </si>
  <si>
    <t>1660013417</t>
  </si>
  <si>
    <t>0711200005819000145</t>
  </si>
  <si>
    <t>1650265951</t>
  </si>
  <si>
    <t>0306200010219000590</t>
  </si>
  <si>
    <t>3623002072</t>
  </si>
  <si>
    <t>100259070119000005</t>
  </si>
  <si>
    <t>Поворинский район</t>
  </si>
  <si>
    <t>8602000806</t>
  </si>
  <si>
    <t>0387200000319000083</t>
  </si>
  <si>
    <t>8602002151</t>
  </si>
  <si>
    <t>100259070119000006</t>
  </si>
  <si>
    <t>РН90904819</t>
  </si>
  <si>
    <t>0306200010219000589</t>
  </si>
  <si>
    <t>3128001902</t>
  </si>
  <si>
    <t>0126100007419000019</t>
  </si>
  <si>
    <t>Старый Оскол</t>
  </si>
  <si>
    <t>3128068760</t>
  </si>
  <si>
    <t>5018053958</t>
  </si>
  <si>
    <t>0848300058919000204</t>
  </si>
  <si>
    <t>2465232270</t>
  </si>
  <si>
    <t>0119200000119008469</t>
  </si>
  <si>
    <t>2460251818</t>
  </si>
  <si>
    <t>246412389814</t>
  </si>
  <si>
    <t>0306200010219000587</t>
  </si>
  <si>
    <t>100122386119000035</t>
  </si>
  <si>
    <t>4338001812</t>
  </si>
  <si>
    <t>0340100013419000019</t>
  </si>
  <si>
    <t>433800699841</t>
  </si>
  <si>
    <t>7206044276</t>
  </si>
  <si>
    <t>0367100026119000021</t>
  </si>
  <si>
    <t>Тобольск</t>
  </si>
  <si>
    <t>7206028002</t>
  </si>
  <si>
    <t>0306200010219000588</t>
  </si>
  <si>
    <t>0306200010219000586</t>
  </si>
  <si>
    <t>0347100002519000020</t>
  </si>
  <si>
    <t>5050035897</t>
  </si>
  <si>
    <t>0848300041219000947</t>
  </si>
  <si>
    <t>2727026809</t>
  </si>
  <si>
    <t>0122200002519005747</t>
  </si>
  <si>
    <t>270304992163</t>
  </si>
  <si>
    <t>5018045403</t>
  </si>
  <si>
    <t>0848300058919000202</t>
  </si>
  <si>
    <t>5050032060</t>
  </si>
  <si>
    <t>0848300041219000944</t>
  </si>
  <si>
    <t>100064921119000304</t>
  </si>
  <si>
    <t>5018045354</t>
  </si>
  <si>
    <t>0848300058919000201</t>
  </si>
  <si>
    <t>5054009270</t>
  </si>
  <si>
    <t>0848300058919000203</t>
  </si>
  <si>
    <t>5047102078</t>
  </si>
  <si>
    <t>0348200065919000054</t>
  </si>
  <si>
    <t>7724432294</t>
  </si>
  <si>
    <t>7723716624</t>
  </si>
  <si>
    <t>7736243848</t>
  </si>
  <si>
    <t>5009003774</t>
  </si>
  <si>
    <t>0811100000119000017</t>
  </si>
  <si>
    <t>1650285316</t>
  </si>
  <si>
    <t>5503026780</t>
  </si>
  <si>
    <t>0152100006719000188</t>
  </si>
  <si>
    <t>5507270780</t>
  </si>
  <si>
    <t>7802144289</t>
  </si>
  <si>
    <t>0372200213719000010</t>
  </si>
  <si>
    <t>7803071594</t>
  </si>
  <si>
    <t>0361200015019006058</t>
  </si>
  <si>
    <t>0345100004019000004</t>
  </si>
  <si>
    <t>710707179446</t>
  </si>
  <si>
    <t>3120102521</t>
  </si>
  <si>
    <t>0826600006319000163</t>
  </si>
  <si>
    <t>Шебекино</t>
  </si>
  <si>
    <t>3123445862</t>
  </si>
  <si>
    <t>2720007130</t>
  </si>
  <si>
    <t>0322100009219000138</t>
  </si>
  <si>
    <t>490907505435</t>
  </si>
  <si>
    <t>2407007250</t>
  </si>
  <si>
    <t>100157050119000027</t>
  </si>
  <si>
    <t>[ОКПД2 10.84] Приправы и пряности, [ОКПД2 01.13] Овощи и культуры бахчевые, корнеплоды и клубнеплоды, [ОКПД2 10.73] Изделия макаронные, кускус и аналогичные мучные изделия, [ОКПД2 10.51] Молоко и молочная продукция, [ОКПД2 10.39] Фрукты, овощи и грибы переработанные и консервированные, не включенные в другие группировки, [ОКПД2 10.11] Мясо и прочие продукты убоя, включая мясо консервированное, [ОКПД2 10.81] Сахар, [ОКПД2 10.61] Продукция мукомольно-крупяного производства, [ОКПД2 10.62] Крахмалы и крахмалопродукты, [ОКПД2 10.20] Рыба переработанная и консервированная, ракообразные и моллюски, [ОКПД2 10.41] Масла и жиры, [ОКПД2 10.13] Продукция мясная пищевая, в том числе из мяса птицы, [ОКПД2 10.85] Продукты пищевые готовые и блюда, [ОКПД2 01.47] Птица сельскохозяйственная живая и яйца,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</si>
  <si>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Богучанский район</t>
  </si>
  <si>
    <t>7536096579</t>
  </si>
  <si>
    <t>100124404119000043</t>
  </si>
  <si>
    <t>3-49490-322-19</t>
  </si>
  <si>
    <t>1402011893</t>
  </si>
  <si>
    <t>0816300014519000253</t>
  </si>
  <si>
    <t>1402012456</t>
  </si>
  <si>
    <t>0571001506</t>
  </si>
  <si>
    <t>0803100000419000107</t>
  </si>
  <si>
    <t>056100570920</t>
  </si>
  <si>
    <t>0803100000419000108</t>
  </si>
  <si>
    <t>8506003804</t>
  </si>
  <si>
    <t>100071023119000029</t>
  </si>
  <si>
    <t>0311100016819000422</t>
  </si>
  <si>
    <t>1657025807</t>
  </si>
  <si>
    <t>0101200010519000036</t>
  </si>
  <si>
    <t>0274050067</t>
  </si>
  <si>
    <t>5050034491</t>
  </si>
  <si>
    <t>0848300041219000939</t>
  </si>
  <si>
    <t>6452020275</t>
  </si>
  <si>
    <t>0360100016419000034</t>
  </si>
  <si>
    <t>644904603139</t>
  </si>
  <si>
    <t>6652032454</t>
  </si>
  <si>
    <t>6441023965</t>
  </si>
  <si>
    <t>1101486244</t>
  </si>
  <si>
    <t>0107100006519000060</t>
  </si>
  <si>
    <t>110105439281</t>
  </si>
  <si>
    <t>1644064125</t>
  </si>
  <si>
    <t>5408124629</t>
  </si>
  <si>
    <t>0351300084419000005</t>
  </si>
  <si>
    <t>5403138064</t>
  </si>
  <si>
    <t>5408185205</t>
  </si>
  <si>
    <t>6501256318</t>
  </si>
  <si>
    <t>31908306414</t>
  </si>
  <si>
    <t>9204561071</t>
  </si>
  <si>
    <t>31908310353</t>
  </si>
  <si>
    <t>7707033405</t>
  </si>
  <si>
    <t>31908309006</t>
  </si>
  <si>
    <t>3812010086</t>
  </si>
  <si>
    <t>31908306576</t>
  </si>
  <si>
    <t>5409005840</t>
  </si>
  <si>
    <t>31908308135</t>
  </si>
  <si>
    <t>5911021364</t>
  </si>
  <si>
    <t>31908308023</t>
  </si>
  <si>
    <t>31908310688</t>
  </si>
  <si>
    <t>31908316875</t>
  </si>
  <si>
    <t>5834053619</t>
  </si>
  <si>
    <t>31908312520</t>
  </si>
  <si>
    <t>31908310495</t>
  </si>
  <si>
    <t>Оренбургский район</t>
  </si>
  <si>
    <t>31908308226</t>
  </si>
  <si>
    <t>5948014074</t>
  </si>
  <si>
    <t>31908323316</t>
  </si>
  <si>
    <t>31908322561</t>
  </si>
  <si>
    <t>31908307352</t>
  </si>
  <si>
    <t>3016060120</t>
  </si>
  <si>
    <t>31908309456</t>
  </si>
  <si>
    <t>6501102484</t>
  </si>
  <si>
    <t>31908306481</t>
  </si>
  <si>
    <t>5905257202</t>
  </si>
  <si>
    <t>31908305110</t>
  </si>
  <si>
    <t>31908309981</t>
  </si>
  <si>
    <t>Истра</t>
  </si>
  <si>
    <t>1657020090</t>
  </si>
  <si>
    <t>31908309853</t>
  </si>
  <si>
    <t>[ОКПД2 55.10] Услуги гостиниц и аналогичные услуги по предоставлению временного жилья, [ОКВЭД2 56.29] Деятельность предприятий общественного питания по прочим видам организации питания</t>
  </si>
  <si>
    <t>5050032053</t>
  </si>
  <si>
    <t>0848300041219000937</t>
  </si>
  <si>
    <t>5050031331</t>
  </si>
  <si>
    <t>0848300041219000935</t>
  </si>
  <si>
    <t>5050096339</t>
  </si>
  <si>
    <t>0848300041219000936</t>
  </si>
  <si>
    <t>5050031532</t>
  </si>
  <si>
    <t>0848300041219000933</t>
  </si>
  <si>
    <t>0123200000319002804</t>
  </si>
  <si>
    <t>7725285067</t>
  </si>
  <si>
    <t>7726349690</t>
  </si>
  <si>
    <t>0353100008119000005</t>
  </si>
  <si>
    <t>1001036450</t>
  </si>
  <si>
    <t>0106100002519000105</t>
  </si>
  <si>
    <t>2901243789</t>
  </si>
  <si>
    <t>6234012482</t>
  </si>
  <si>
    <t>100207147119000016</t>
  </si>
  <si>
    <t>5044043071</t>
  </si>
  <si>
    <t>0848300066119000575</t>
  </si>
  <si>
    <t>7735571170</t>
  </si>
  <si>
    <t>3-49423-322-19</t>
  </si>
  <si>
    <t>0160100005719000018</t>
  </si>
  <si>
    <t>644503742801</t>
  </si>
  <si>
    <t>0123200000319002818</t>
  </si>
  <si>
    <t>2722060980</t>
  </si>
  <si>
    <t>5027262517</t>
  </si>
  <si>
    <t>3459070488</t>
  </si>
  <si>
    <t>7724419198</t>
  </si>
  <si>
    <t>4501204877</t>
  </si>
  <si>
    <t>5610090928</t>
  </si>
  <si>
    <t>0853500000319010153</t>
  </si>
  <si>
    <t>5611071572</t>
  </si>
  <si>
    <t>1654014349</t>
  </si>
  <si>
    <t>0111200004119000077</t>
  </si>
  <si>
    <t>1655111384</t>
  </si>
  <si>
    <t>7704447278</t>
  </si>
  <si>
    <t>5050045800</t>
  </si>
  <si>
    <t>0848300041219000932</t>
  </si>
  <si>
    <t>7017027780</t>
  </si>
  <si>
    <t>0865200000319001776</t>
  </si>
  <si>
    <t>5407950132</t>
  </si>
  <si>
    <t>0160100005719000019</t>
  </si>
  <si>
    <t>Перелюбский район</t>
  </si>
  <si>
    <t>642400179661</t>
  </si>
  <si>
    <t>5050020185</t>
  </si>
  <si>
    <t>0848300041219000931</t>
  </si>
  <si>
    <t>5050032127</t>
  </si>
  <si>
    <t>0848300041219000934</t>
  </si>
  <si>
    <t>6155041191</t>
  </si>
  <si>
    <t>0158300045119000256</t>
  </si>
  <si>
    <t>Шахты</t>
  </si>
  <si>
    <t>6155923098</t>
  </si>
  <si>
    <t>0160100005719000020</t>
  </si>
  <si>
    <t>5050035907</t>
  </si>
  <si>
    <t>0848300041219000930</t>
  </si>
  <si>
    <t>1435158891</t>
  </si>
  <si>
    <t>0816500000619013582</t>
  </si>
  <si>
    <t>1435120584</t>
  </si>
  <si>
    <t>1435341657</t>
  </si>
  <si>
    <t>5036025664</t>
  </si>
  <si>
    <t>0348300016219000207</t>
  </si>
  <si>
    <t>6155036071</t>
  </si>
  <si>
    <t>0158300045119000255</t>
  </si>
  <si>
    <t>5050031282</t>
  </si>
  <si>
    <t>0848300041219000929</t>
  </si>
  <si>
    <t>0345300065819000038</t>
  </si>
  <si>
    <t>4710023271</t>
  </si>
  <si>
    <t>Лужский район</t>
  </si>
  <si>
    <t>4710023465</t>
  </si>
  <si>
    <t>4710023218</t>
  </si>
  <si>
    <t>4710023497</t>
  </si>
  <si>
    <t>4710006759</t>
  </si>
  <si>
    <t>4710023377</t>
  </si>
  <si>
    <t>4710023602</t>
  </si>
  <si>
    <t>4710023240</t>
  </si>
  <si>
    <t>Луга</t>
  </si>
  <si>
    <t>4710023592</t>
  </si>
  <si>
    <t>4710023264</t>
  </si>
  <si>
    <t>4710023320</t>
  </si>
  <si>
    <t>4710023641</t>
  </si>
  <si>
    <t>4710006131</t>
  </si>
  <si>
    <t>4710023225</t>
  </si>
  <si>
    <t>4710023306</t>
  </si>
  <si>
    <t>4710023190</t>
  </si>
  <si>
    <t>4710023056</t>
  </si>
  <si>
    <t>5050077618</t>
  </si>
  <si>
    <t>0348100073419000186</t>
  </si>
  <si>
    <t>5432100065</t>
  </si>
  <si>
    <t>0351300162119000282</t>
  </si>
  <si>
    <t>Мошковский район</t>
  </si>
  <si>
    <t>5401981180</t>
  </si>
  <si>
    <t>5452115743</t>
  </si>
  <si>
    <t>4205363524</t>
  </si>
  <si>
    <t>0306200010219000585</t>
  </si>
  <si>
    <t>5408177412</t>
  </si>
  <si>
    <t>0351200023819000161</t>
  </si>
  <si>
    <t>5446013782</t>
  </si>
  <si>
    <t>4716006339</t>
  </si>
  <si>
    <t>0345100004219000019</t>
  </si>
  <si>
    <t>5050031892</t>
  </si>
  <si>
    <t>0848300041219000928</t>
  </si>
  <si>
    <t>5050032021</t>
  </si>
  <si>
    <t>0848300041219000927</t>
  </si>
  <si>
    <t>4700001254</t>
  </si>
  <si>
    <t>0345200004019000297</t>
  </si>
  <si>
    <t>7804531558</t>
  </si>
  <si>
    <t>2313010410</t>
  </si>
  <si>
    <t>0118100004519000035</t>
  </si>
  <si>
    <t>231300615241</t>
  </si>
  <si>
    <t>0123200000319002805</t>
  </si>
  <si>
    <t>5050019768</t>
  </si>
  <si>
    <t>0848300041219000921</t>
  </si>
  <si>
    <t>0118100009819000091</t>
  </si>
  <si>
    <t>234300691544</t>
  </si>
  <si>
    <t>232000525334</t>
  </si>
  <si>
    <t>5921010724</t>
  </si>
  <si>
    <t>0356300213219000004</t>
  </si>
  <si>
    <t>592100085404</t>
  </si>
  <si>
    <t>5050031500</t>
  </si>
  <si>
    <t>0848300041219000924</t>
  </si>
  <si>
    <t>5018053940</t>
  </si>
  <si>
    <t>0848300058919000198</t>
  </si>
  <si>
    <t>7107535259</t>
  </si>
  <si>
    <t>0366200035619006585</t>
  </si>
  <si>
    <t>Кимовский район</t>
  </si>
  <si>
    <t>3123330364</t>
  </si>
  <si>
    <t>710708777939</t>
  </si>
  <si>
    <t>2328005074</t>
  </si>
  <si>
    <t>0318100045619000010</t>
  </si>
  <si>
    <t>Выселковский район</t>
  </si>
  <si>
    <t>301302490129</t>
  </si>
  <si>
    <t>5050031959</t>
  </si>
  <si>
    <t>0848300041219000925</t>
  </si>
  <si>
    <t>0318100045619000011</t>
  </si>
  <si>
    <t>5050031839</t>
  </si>
  <si>
    <t>0848300041219000923</t>
  </si>
  <si>
    <t>8503002087</t>
  </si>
  <si>
    <t>0134300073819000194</t>
  </si>
  <si>
    <t>Боханский район</t>
  </si>
  <si>
    <t>170100028631</t>
  </si>
  <si>
    <t>5050057428</t>
  </si>
  <si>
    <t>0848300041219000922</t>
  </si>
  <si>
    <t>0369100011119000055</t>
  </si>
  <si>
    <t>5018048404</t>
  </si>
  <si>
    <t>0848300058919000199</t>
  </si>
  <si>
    <t>5050034276</t>
  </si>
  <si>
    <t>0848300041219000926</t>
  </si>
  <si>
    <t>0152200004719001446</t>
  </si>
  <si>
    <t>5022030079</t>
  </si>
  <si>
    <t>0848600002719001233</t>
  </si>
  <si>
    <t>2466175698</t>
  </si>
  <si>
    <t>0119400000119000090</t>
  </si>
  <si>
    <t>242400090395</t>
  </si>
  <si>
    <t>0348200065919000053</t>
  </si>
  <si>
    <t>5022030110</t>
  </si>
  <si>
    <t>0848600002719001234</t>
  </si>
  <si>
    <t>0318100045619000009</t>
  </si>
  <si>
    <t>5018046372</t>
  </si>
  <si>
    <t>0848300058919000197</t>
  </si>
  <si>
    <t>5018048919</t>
  </si>
  <si>
    <t>0848300058919000195</t>
  </si>
  <si>
    <t>1433020320</t>
  </si>
  <si>
    <t>0116300011319000137</t>
  </si>
  <si>
    <t>Мирнинский улус</t>
  </si>
  <si>
    <t>1433002218</t>
  </si>
  <si>
    <t>5018045876</t>
  </si>
  <si>
    <t>0848300058919000196</t>
  </si>
  <si>
    <t>5018046319</t>
  </si>
  <si>
    <t>0848300058919000194</t>
  </si>
  <si>
    <t>6027028290</t>
  </si>
  <si>
    <t>100194133119000038</t>
  </si>
  <si>
    <t>5414100979</t>
  </si>
  <si>
    <t>0151100007319000010</t>
  </si>
  <si>
    <t>Татарский район</t>
  </si>
  <si>
    <t>545328935878</t>
  </si>
  <si>
    <t>5022028785</t>
  </si>
  <si>
    <t>0848600002719001223</t>
  </si>
  <si>
    <t>5022030086</t>
  </si>
  <si>
    <t>0848600002719001232</t>
  </si>
  <si>
    <t>5022030093</t>
  </si>
  <si>
    <t>0848600002719001229</t>
  </si>
  <si>
    <t>0848600002719001201</t>
  </si>
  <si>
    <t>5070010763</t>
  </si>
  <si>
    <t>0848600002719001200</t>
  </si>
  <si>
    <t>5022028619</t>
  </si>
  <si>
    <t>0848600002719001225</t>
  </si>
  <si>
    <t>5070010883</t>
  </si>
  <si>
    <t>0848600002719001221</t>
  </si>
  <si>
    <t>5070010587</t>
  </si>
  <si>
    <t>0848600002719001210</t>
  </si>
  <si>
    <t>5070010675</t>
  </si>
  <si>
    <t>0848600002719001202</t>
  </si>
  <si>
    <t>5070010629</t>
  </si>
  <si>
    <t>0848600002719001227</t>
  </si>
  <si>
    <t>1611003007</t>
  </si>
  <si>
    <t>100226589119000025</t>
  </si>
  <si>
    <t>Бавлы</t>
  </si>
  <si>
    <t>5022030135</t>
  </si>
  <si>
    <t>0848600002719001220</t>
  </si>
  <si>
    <t>5022030103</t>
  </si>
  <si>
    <t>0848600002719001204</t>
  </si>
  <si>
    <t>5022028827</t>
  </si>
  <si>
    <t>0848600002719001219</t>
  </si>
  <si>
    <t>5022029700</t>
  </si>
  <si>
    <t>0848600002719001203</t>
  </si>
  <si>
    <t>5050035294</t>
  </si>
  <si>
    <t>0848300041219000918</t>
  </si>
  <si>
    <t>5022028778</t>
  </si>
  <si>
    <t>0848600002719001222</t>
  </si>
  <si>
    <t>5022028601</t>
  </si>
  <si>
    <t>0848600002719001199</t>
  </si>
  <si>
    <t>0848300024919000082</t>
  </si>
  <si>
    <t>5040044116</t>
  </si>
  <si>
    <t>5040155320</t>
  </si>
  <si>
    <t>5002100610</t>
  </si>
  <si>
    <t>5022028792</t>
  </si>
  <si>
    <t>0848600002719001209</t>
  </si>
  <si>
    <t>5070010570</t>
  </si>
  <si>
    <t>0848600002719001231</t>
  </si>
  <si>
    <t>5070010604</t>
  </si>
  <si>
    <t>0848600002719001230</t>
  </si>
  <si>
    <t>5050032102</t>
  </si>
  <si>
    <t>0848300041219000919</t>
  </si>
  <si>
    <t>5070010837</t>
  </si>
  <si>
    <t>0848600002719001228</t>
  </si>
  <si>
    <t>0116300011319000139</t>
  </si>
  <si>
    <t>143312410006</t>
  </si>
  <si>
    <t>5022030128</t>
  </si>
  <si>
    <t>0848600002719001215</t>
  </si>
  <si>
    <t>5022028591</t>
  </si>
  <si>
    <t>0848600002719001214</t>
  </si>
  <si>
    <t>6151005481</t>
  </si>
  <si>
    <t>0358100000819000009</t>
  </si>
  <si>
    <t>Новошахтинск</t>
  </si>
  <si>
    <t>615103534510</t>
  </si>
  <si>
    <t>6141018530</t>
  </si>
  <si>
    <t>0858400000219000006</t>
  </si>
  <si>
    <t>616111529386</t>
  </si>
  <si>
    <t>7802626518</t>
  </si>
  <si>
    <t>2901018590</t>
  </si>
  <si>
    <t>0124200000619004700</t>
  </si>
  <si>
    <t>290123601276</t>
  </si>
  <si>
    <t>7704040281</t>
  </si>
  <si>
    <t>0373100108119000468</t>
  </si>
  <si>
    <t>5022028802</t>
  </si>
  <si>
    <t>0848600002719001216</t>
  </si>
  <si>
    <t>5070010717</t>
  </si>
  <si>
    <t>0848600002719001218</t>
  </si>
  <si>
    <t>5070013919</t>
  </si>
  <si>
    <t>0848600002719001205</t>
  </si>
  <si>
    <t>5022028626</t>
  </si>
  <si>
    <t>0848600002719001212</t>
  </si>
  <si>
    <t>5022028577</t>
  </si>
  <si>
    <t>0848600002719001217</t>
  </si>
  <si>
    <t>5070010731</t>
  </si>
  <si>
    <t>0848600002719001198</t>
  </si>
  <si>
    <t>0307008673</t>
  </si>
  <si>
    <t>0102200001619003920</t>
  </si>
  <si>
    <t>Закаменский район</t>
  </si>
  <si>
    <t>0307033133</t>
  </si>
  <si>
    <t>0375200030419000131</t>
  </si>
  <si>
    <t>5022028249</t>
  </si>
  <si>
    <t>0848600002719001195</t>
  </si>
  <si>
    <t>5022028200</t>
  </si>
  <si>
    <t>0848600002719001207</t>
  </si>
  <si>
    <t>5070010851</t>
  </si>
  <si>
    <t>0848600002719001208</t>
  </si>
  <si>
    <t>8610009062</t>
  </si>
  <si>
    <t>0387100008419000006</t>
  </si>
  <si>
    <t>Нягань</t>
  </si>
  <si>
    <t>861000877763</t>
  </si>
  <si>
    <t>8610017514</t>
  </si>
  <si>
    <t>5427100870</t>
  </si>
  <si>
    <t>0151100007719000020</t>
  </si>
  <si>
    <t>Краснозерский район</t>
  </si>
  <si>
    <t>5427106470</t>
  </si>
  <si>
    <t>5629003990</t>
  </si>
  <si>
    <t>100239377119000038</t>
  </si>
  <si>
    <t>Илекский район</t>
  </si>
  <si>
    <t>5070010594</t>
  </si>
  <si>
    <t>0848600002719001197</t>
  </si>
  <si>
    <t>5070010876</t>
  </si>
  <si>
    <t>0848600002719001196</t>
  </si>
  <si>
    <t>0151100007719000019</t>
  </si>
  <si>
    <t>5022028810</t>
  </si>
  <si>
    <t>0848600002719001193</t>
  </si>
  <si>
    <t>0134100010019000046</t>
  </si>
  <si>
    <t>0387100008419000007</t>
  </si>
  <si>
    <t>5070010869</t>
  </si>
  <si>
    <t>0848600002719001194</t>
  </si>
  <si>
    <t>100064921119000303</t>
  </si>
  <si>
    <t>5022028224</t>
  </si>
  <si>
    <t>0848600002719001192</t>
  </si>
  <si>
    <t>8605011429</t>
  </si>
  <si>
    <t>0387200027419000050</t>
  </si>
  <si>
    <t>8605017614</t>
  </si>
  <si>
    <t>8605019026</t>
  </si>
  <si>
    <t>6167072123</t>
  </si>
  <si>
    <t>ЗП909195</t>
  </si>
  <si>
    <t>[ОКПД2 56.29] Услуги по обеспечению питанием прочие, [ОКВЭД2 81+] Деятельность по обслуживанию зданий и территорий</t>
  </si>
  <si>
    <t>0122200001019000140</t>
  </si>
  <si>
    <t>2702090320</t>
  </si>
  <si>
    <t>6622002935</t>
  </si>
  <si>
    <t>31908302866</t>
  </si>
  <si>
    <t>[ОКПД2 56.29] Услуги по обеспечению питанием прочие, [ОКВЭД2 10.85] Производство готовых пищевых продуктов и блюд</t>
  </si>
  <si>
    <t>Нижняя Салда</t>
  </si>
  <si>
    <t>31908305936</t>
  </si>
  <si>
    <t>31908302317</t>
  </si>
  <si>
    <t>3906025793</t>
  </si>
  <si>
    <t>31908305744</t>
  </si>
  <si>
    <t>2536014986</t>
  </si>
  <si>
    <t>31908302981</t>
  </si>
  <si>
    <t>[ОКПД2 56.10] Услуги ресторанов и услуги по доставке продуктов питания, [ОКВЭД2 56.1+] Деятельность ресторанов и услуги по доставке продуктов питания</t>
  </si>
  <si>
    <t>31908304481</t>
  </si>
  <si>
    <t>[ОКПД2 56.10] Услуги ресторанов и услуги по доставке продуктов питания, [ОКПД2 55.10] Услуги гостиниц и аналогичные услуги по предоставлению временного жилья, [ОКВЭД2 55.10] Деятельность гостиниц и прочих мест для временного проживания, [ОКВЭД2 56.10] Деятельность ресторанов и услуги по доставке продуктов питания</t>
  </si>
  <si>
    <t>31908305793</t>
  </si>
  <si>
    <t>7805016119</t>
  </si>
  <si>
    <t>31908304538</t>
  </si>
  <si>
    <t>3811022096</t>
  </si>
  <si>
    <t>31908302422</t>
  </si>
  <si>
    <t>5018041166</t>
  </si>
  <si>
    <t>31908301152</t>
  </si>
  <si>
    <t>31908303599</t>
  </si>
  <si>
    <t>5911020716</t>
  </si>
  <si>
    <t>31908304254</t>
  </si>
  <si>
    <t>2724165642</t>
  </si>
  <si>
    <t>31908302765</t>
  </si>
  <si>
    <t>5003006930</t>
  </si>
  <si>
    <t>31908306228</t>
  </si>
  <si>
    <t>31908305131</t>
  </si>
  <si>
    <t>31908307483</t>
  </si>
  <si>
    <t>3202007290</t>
  </si>
  <si>
    <t>31908304429</t>
  </si>
  <si>
    <t>31908304297</t>
  </si>
  <si>
    <t>0259004972</t>
  </si>
  <si>
    <t>31908302673</t>
  </si>
  <si>
    <t>3255504497</t>
  </si>
  <si>
    <t>31908303221</t>
  </si>
  <si>
    <t>5911021036</t>
  </si>
  <si>
    <t>31908302160</t>
  </si>
  <si>
    <t>1701009363</t>
  </si>
  <si>
    <t>0112200000819003180</t>
  </si>
  <si>
    <t>1901109076</t>
  </si>
  <si>
    <t>420504677846</t>
  </si>
  <si>
    <t>1701060472</t>
  </si>
  <si>
    <t>041104025039</t>
  </si>
  <si>
    <t>6318143435</t>
  </si>
  <si>
    <t>7325000951</t>
  </si>
  <si>
    <t>0168200002419007865</t>
  </si>
  <si>
    <t>[ОКПД2 46.46] Услуги по оптовой торговле фармацевтической продукцией</t>
  </si>
  <si>
    <t>7326033364</t>
  </si>
  <si>
    <t>0168200002419007863</t>
  </si>
  <si>
    <t>0848300049019000682</t>
  </si>
  <si>
    <t>5073087813</t>
  </si>
  <si>
    <t>5034084230</t>
  </si>
  <si>
    <t>5034037181</t>
  </si>
  <si>
    <t>5050031564</t>
  </si>
  <si>
    <t>0848300041219000914</t>
  </si>
  <si>
    <t>5050041996</t>
  </si>
  <si>
    <t>0848300041219000915</t>
  </si>
  <si>
    <t>502912480055</t>
  </si>
  <si>
    <t>5031125697</t>
  </si>
  <si>
    <t>5050035375</t>
  </si>
  <si>
    <t>0848300041219000917</t>
  </si>
  <si>
    <t>2020000179</t>
  </si>
  <si>
    <t>0394100002319000140</t>
  </si>
  <si>
    <t>Грозный</t>
  </si>
  <si>
    <t>2626048034</t>
  </si>
  <si>
    <t>5050035350</t>
  </si>
  <si>
    <t>0848300041219000911</t>
  </si>
  <si>
    <t>5050017344</t>
  </si>
  <si>
    <t>0848300041219000916</t>
  </si>
  <si>
    <t>5031069717</t>
  </si>
  <si>
    <t>5050066341</t>
  </si>
  <si>
    <t>0848300041219000912</t>
  </si>
  <si>
    <t>5050066327</t>
  </si>
  <si>
    <t>0848300041219000913</t>
  </si>
  <si>
    <t>5050034477</t>
  </si>
  <si>
    <t>0848300041219000910</t>
  </si>
  <si>
    <t>0373100108119000467</t>
  </si>
  <si>
    <t>4401019334</t>
  </si>
  <si>
    <t>7730678627</t>
  </si>
  <si>
    <t>332903477902</t>
  </si>
  <si>
    <t>366300875226</t>
  </si>
  <si>
    <t>3662106090</t>
  </si>
  <si>
    <t>7113066005</t>
  </si>
  <si>
    <t>7722319328</t>
  </si>
  <si>
    <t>7709949602</t>
  </si>
  <si>
    <t>6732027121</t>
  </si>
  <si>
    <t>0101200010519000035</t>
  </si>
  <si>
    <t>1433028505</t>
  </si>
  <si>
    <t>0316100024819000045</t>
  </si>
  <si>
    <t>1433015023</t>
  </si>
  <si>
    <t>0573100002519001008</t>
  </si>
  <si>
    <t>381200497704</t>
  </si>
  <si>
    <t>5050096875</t>
  </si>
  <si>
    <t>0848300041219000907</t>
  </si>
  <si>
    <t>5050034251</t>
  </si>
  <si>
    <t>0848300041219000906</t>
  </si>
  <si>
    <t>5050031420</t>
  </si>
  <si>
    <t>0848300041219000908</t>
  </si>
  <si>
    <t>1216020900</t>
  </si>
  <si>
    <t>0308100009919000014</t>
  </si>
  <si>
    <t>Волжск</t>
  </si>
  <si>
    <t>121506971269</t>
  </si>
  <si>
    <t>5009035215</t>
  </si>
  <si>
    <t>0348200041619000017</t>
  </si>
  <si>
    <t>Домодедово</t>
  </si>
  <si>
    <t>0161100003819000058</t>
  </si>
  <si>
    <t>6501275840</t>
  </si>
  <si>
    <t>6501266115</t>
  </si>
  <si>
    <t>0319200056819000169</t>
  </si>
  <si>
    <t>5050037510</t>
  </si>
  <si>
    <t>0848300041219000909</t>
  </si>
  <si>
    <t>0851500000419000124</t>
  </si>
  <si>
    <t>6161024469</t>
  </si>
  <si>
    <t>0358300415519000012</t>
  </si>
  <si>
    <t>6161005882</t>
  </si>
  <si>
    <t>1421001731</t>
  </si>
  <si>
    <t>0816500000619013503</t>
  </si>
  <si>
    <t>Олекминский улус</t>
  </si>
  <si>
    <t>8602200675</t>
  </si>
  <si>
    <t>0387100008819000012</t>
  </si>
  <si>
    <t>8602283752</t>
  </si>
  <si>
    <t>6624007047</t>
  </si>
  <si>
    <t>0862300044019000068</t>
  </si>
  <si>
    <t>Нижняя Тура</t>
  </si>
  <si>
    <t>662400138450</t>
  </si>
  <si>
    <t>6632021180</t>
  </si>
  <si>
    <t>5940301334</t>
  </si>
  <si>
    <t>0156300057719000077</t>
  </si>
  <si>
    <t>591701166744</t>
  </si>
  <si>
    <t>591791995623</t>
  </si>
  <si>
    <t>594001030239</t>
  </si>
  <si>
    <t>591701486053</t>
  </si>
  <si>
    <t>5931003155</t>
  </si>
  <si>
    <t>591700718400</t>
  </si>
  <si>
    <t>0123200000319002793</t>
  </si>
  <si>
    <t>0853500000319010128</t>
  </si>
  <si>
    <t>100064921119000302</t>
  </si>
  <si>
    <t>0387100008819000013</t>
  </si>
  <si>
    <t>0306200010219000583</t>
  </si>
  <si>
    <t>5018045883</t>
  </si>
  <si>
    <t>0848300058919000193</t>
  </si>
  <si>
    <t>2129009300</t>
  </si>
  <si>
    <t>0115200001119002505</t>
  </si>
  <si>
    <t>2128004316</t>
  </si>
  <si>
    <t>0134100010019000044</t>
  </si>
  <si>
    <t>381250962918</t>
  </si>
  <si>
    <t>5902217177</t>
  </si>
  <si>
    <t>1056500004319000013</t>
  </si>
  <si>
    <t>5904093569</t>
  </si>
  <si>
    <t>5907043365</t>
  </si>
  <si>
    <t>0306200010219000582</t>
  </si>
  <si>
    <t>8604050714</t>
  </si>
  <si>
    <t>0187300012819000726</t>
  </si>
  <si>
    <t>8604050376</t>
  </si>
  <si>
    <t>5018045570</t>
  </si>
  <si>
    <t>0848300058919000191</t>
  </si>
  <si>
    <t>7017004447</t>
  </si>
  <si>
    <t>0865200000319001758</t>
  </si>
  <si>
    <t>7017166060</t>
  </si>
  <si>
    <t>1831034040</t>
  </si>
  <si>
    <t>РН90903910</t>
  </si>
  <si>
    <t>5039006589</t>
  </si>
  <si>
    <t>822093</t>
  </si>
  <si>
    <t>2457051103</t>
  </si>
  <si>
    <t>0319100012919000112</t>
  </si>
  <si>
    <t>[ОКПД2 10.84] Приправы и пряности</t>
  </si>
  <si>
    <t>245700011400</t>
  </si>
  <si>
    <t>5054009344</t>
  </si>
  <si>
    <t>0848300058919000190</t>
  </si>
  <si>
    <t>0373200041519001773</t>
  </si>
  <si>
    <t>2626027475</t>
  </si>
  <si>
    <t>0306200010219000581</t>
  </si>
  <si>
    <t>3428904510</t>
  </si>
  <si>
    <t>0329100005819000014</t>
  </si>
  <si>
    <t>Среднеахтубинский район</t>
  </si>
  <si>
    <t>344111910207</t>
  </si>
  <si>
    <t>0356200002019000828</t>
  </si>
  <si>
    <t>[ОКПД2 95.11] Услуги по ремонту компьютеров и периферийного оборудования, [ОКПД2 33.12] Услуги по ремонту оборудования</t>
  </si>
  <si>
    <t>590416265008</t>
  </si>
  <si>
    <t>5906154168</t>
  </si>
  <si>
    <t>5904292518</t>
  </si>
  <si>
    <t>5070010700</t>
  </si>
  <si>
    <t>0848600002719001186</t>
  </si>
  <si>
    <t>5022028376</t>
  </si>
  <si>
    <t>0848600002719001187</t>
  </si>
  <si>
    <t>5022026523</t>
  </si>
  <si>
    <t>0848600002719001176</t>
  </si>
  <si>
    <t>5070011260</t>
  </si>
  <si>
    <t>0848600002719001178</t>
  </si>
  <si>
    <t>5022028369</t>
  </si>
  <si>
    <t>0848600002719001188</t>
  </si>
  <si>
    <t>0122200002519005672</t>
  </si>
  <si>
    <t>272311493313</t>
  </si>
  <si>
    <t>5018156030</t>
  </si>
  <si>
    <t>0848300058919000187</t>
  </si>
  <si>
    <t>5022028496</t>
  </si>
  <si>
    <t>0848600002719001164</t>
  </si>
  <si>
    <t>5070011407</t>
  </si>
  <si>
    <t>0848600002719001179</t>
  </si>
  <si>
    <t>5030077391</t>
  </si>
  <si>
    <t>5049021427</t>
  </si>
  <si>
    <t>5070011460</t>
  </si>
  <si>
    <t>0848600002719001173</t>
  </si>
  <si>
    <t>0122200002519005669</t>
  </si>
  <si>
    <t>2702060156</t>
  </si>
  <si>
    <t>5022559641</t>
  </si>
  <si>
    <t>0848600002719001168</t>
  </si>
  <si>
    <t>0348200065919000052</t>
  </si>
  <si>
    <t>5040081164</t>
  </si>
  <si>
    <t>7604278690</t>
  </si>
  <si>
    <t>5022030255</t>
  </si>
  <si>
    <t>0848600002719001167</t>
  </si>
  <si>
    <t>5022028312</t>
  </si>
  <si>
    <t>0848600002719001189</t>
  </si>
  <si>
    <t>5018045386</t>
  </si>
  <si>
    <t>0848300058919000189</t>
  </si>
  <si>
    <t>0122200002519005670</t>
  </si>
  <si>
    <t>272416433569</t>
  </si>
  <si>
    <t>0803100000419000106</t>
  </si>
  <si>
    <t>[ОКПД2 33.11] Услуги по ремонту металлоизделий</t>
  </si>
  <si>
    <t>054501087266</t>
  </si>
  <si>
    <t>5070013901</t>
  </si>
  <si>
    <t>0848600002719001171</t>
  </si>
  <si>
    <t>5070011446</t>
  </si>
  <si>
    <t>0848600002719001158</t>
  </si>
  <si>
    <t>5022028383</t>
  </si>
  <si>
    <t>0848600002719001174</t>
  </si>
  <si>
    <t>5022026509</t>
  </si>
  <si>
    <t>0848600002719001183</t>
  </si>
  <si>
    <t>4906000960</t>
  </si>
  <si>
    <t>1094596</t>
  </si>
  <si>
    <t>[ОКПД2 26.30] Оборудование коммуникационное, [ОКВЭД2 26.30] Производство коммуникационного оборудования</t>
  </si>
  <si>
    <t>3609001510</t>
  </si>
  <si>
    <t>100070753119000061</t>
  </si>
  <si>
    <t>Грибановский район</t>
  </si>
  <si>
    <t>5022028288</t>
  </si>
  <si>
    <t>0848600002719001180</t>
  </si>
  <si>
    <t>3837045250</t>
  </si>
  <si>
    <t>0134100007719000006</t>
  </si>
  <si>
    <t>Слюдянский район</t>
  </si>
  <si>
    <t>3837000869</t>
  </si>
  <si>
    <t>5070011301</t>
  </si>
  <si>
    <t>0848600002719001177</t>
  </si>
  <si>
    <t>5070010562</t>
  </si>
  <si>
    <t>0848600002719001170</t>
  </si>
  <si>
    <t>5022028425</t>
  </si>
  <si>
    <t>0848600002719001169</t>
  </si>
  <si>
    <t>5070011277</t>
  </si>
  <si>
    <t>0848600002719001175</t>
  </si>
  <si>
    <t>5022026499</t>
  </si>
  <si>
    <t>0848600002719001181</t>
  </si>
  <si>
    <t>1653009096</t>
  </si>
  <si>
    <t>0711200020319000053</t>
  </si>
  <si>
    <t>1658183563</t>
  </si>
  <si>
    <t>4710026064</t>
  </si>
  <si>
    <t>0145300016519000131</t>
  </si>
  <si>
    <t>471005088542</t>
  </si>
  <si>
    <t>7806301091</t>
  </si>
  <si>
    <t>5018045393</t>
  </si>
  <si>
    <t>0848300058919000188</t>
  </si>
  <si>
    <t>5022092131</t>
  </si>
  <si>
    <t>0848600002719001172</t>
  </si>
  <si>
    <t>5070011414</t>
  </si>
  <si>
    <t>0848600002719001153</t>
  </si>
  <si>
    <t>5070011453</t>
  </si>
  <si>
    <t>0848600002719001162</t>
  </si>
  <si>
    <t>0306200010219000577</t>
  </si>
  <si>
    <t>5070011252</t>
  </si>
  <si>
    <t>0848600002719001163</t>
  </si>
  <si>
    <t>5036034443</t>
  </si>
  <si>
    <t>821976</t>
  </si>
  <si>
    <t>0362300186319000006</t>
  </si>
  <si>
    <t>664700665919</t>
  </si>
  <si>
    <t>0122200002519005668</t>
  </si>
  <si>
    <t>5070011372</t>
  </si>
  <si>
    <t>0848600002719001156</t>
  </si>
  <si>
    <t>0322200019319000047</t>
  </si>
  <si>
    <t>5022028489</t>
  </si>
  <si>
    <t>0848600002719001166</t>
  </si>
  <si>
    <t>0322200019319000048</t>
  </si>
  <si>
    <t>2718000699</t>
  </si>
  <si>
    <t>5610218014</t>
  </si>
  <si>
    <t>3-49385-343-19</t>
  </si>
  <si>
    <t>0322200019319000046</t>
  </si>
  <si>
    <t>5022028295</t>
  </si>
  <si>
    <t>0848600002719001160</t>
  </si>
  <si>
    <t>5022016973</t>
  </si>
  <si>
    <t>0848600002719001154</t>
  </si>
  <si>
    <t>5022042109</t>
  </si>
  <si>
    <t>0848600002719001165</t>
  </si>
  <si>
    <t>5022028418</t>
  </si>
  <si>
    <t>0848600002719001157</t>
  </si>
  <si>
    <t>5050126985</t>
  </si>
  <si>
    <t>5022042099</t>
  </si>
  <si>
    <t>0848600002719001161</t>
  </si>
  <si>
    <t>0322200019319000049</t>
  </si>
  <si>
    <t>2718000755</t>
  </si>
  <si>
    <t>5022066526</t>
  </si>
  <si>
    <t>0848600002719001155</t>
  </si>
  <si>
    <t>100027905119000026</t>
  </si>
  <si>
    <t>5022028432</t>
  </si>
  <si>
    <t>0848600002719001150</t>
  </si>
  <si>
    <t>0322200019319000043</t>
  </si>
  <si>
    <t>2718000674</t>
  </si>
  <si>
    <t>5070011380</t>
  </si>
  <si>
    <t>0848600002719001151</t>
  </si>
  <si>
    <t>0320200009219000273</t>
  </si>
  <si>
    <t>2536030064</t>
  </si>
  <si>
    <t>6502001432</t>
  </si>
  <si>
    <t>0361100008719000018</t>
  </si>
  <si>
    <t>Александровск-Сахалинский район</t>
  </si>
  <si>
    <t>650200785241</t>
  </si>
  <si>
    <t>5070010636</t>
  </si>
  <si>
    <t>0848600002719001146</t>
  </si>
  <si>
    <t>5914204581</t>
  </si>
  <si>
    <t>0356300028719000053</t>
  </si>
  <si>
    <t>5905220925</t>
  </si>
  <si>
    <t>7811414559</t>
  </si>
  <si>
    <t>0372200044719000042</t>
  </si>
  <si>
    <t>7811341830</t>
  </si>
  <si>
    <t>5954002172</t>
  </si>
  <si>
    <t>0856300008419000248</t>
  </si>
  <si>
    <t>5959003797</t>
  </si>
  <si>
    <t>592007237677</t>
  </si>
  <si>
    <t>5022028305</t>
  </si>
  <si>
    <t>0848600002719001145</t>
  </si>
  <si>
    <t>5036034556</t>
  </si>
  <si>
    <t>821922</t>
  </si>
  <si>
    <t>5022050950</t>
  </si>
  <si>
    <t>0848600002719001147</t>
  </si>
  <si>
    <t>0322200019319000045</t>
  </si>
  <si>
    <t>5022028471</t>
  </si>
  <si>
    <t>0848600002719001149</t>
  </si>
  <si>
    <t>0322200019319000044</t>
  </si>
  <si>
    <t>5070011319</t>
  </si>
  <si>
    <t>0848600002719001148</t>
  </si>
  <si>
    <t>5022026435</t>
  </si>
  <si>
    <t>0848600002719001143</t>
  </si>
  <si>
    <t>3625006971</t>
  </si>
  <si>
    <t>0331300062019000197</t>
  </si>
  <si>
    <t>Рамонский район</t>
  </si>
  <si>
    <t>3661053582</t>
  </si>
  <si>
    <t>361603782003</t>
  </si>
  <si>
    <t>0156200009919000666</t>
  </si>
  <si>
    <t>5407490510</t>
  </si>
  <si>
    <t>5022028256</t>
  </si>
  <si>
    <t>0848600002719001144</t>
  </si>
  <si>
    <t>5022028390</t>
  </si>
  <si>
    <t>0848600002719001142</t>
  </si>
  <si>
    <t>5022028834</t>
  </si>
  <si>
    <t>0848600002719001137</t>
  </si>
  <si>
    <t>5022026516</t>
  </si>
  <si>
    <t>0848600002719001133</t>
  </si>
  <si>
    <t>5070011439</t>
  </si>
  <si>
    <t>0848600002719001131</t>
  </si>
  <si>
    <t>5022028400</t>
  </si>
  <si>
    <t>0848600002719001138</t>
  </si>
  <si>
    <t>5022026530</t>
  </si>
  <si>
    <t>0848600002719001135</t>
  </si>
  <si>
    <t>5917004527</t>
  </si>
  <si>
    <t>0356500002319000311</t>
  </si>
  <si>
    <t>590610592711</t>
  </si>
  <si>
    <t>5022026410</t>
  </si>
  <si>
    <t>0848600002719001139</t>
  </si>
  <si>
    <t>5022028457</t>
  </si>
  <si>
    <t>0848600002719001136</t>
  </si>
  <si>
    <t>5022092124</t>
  </si>
  <si>
    <t>0848600002719001140</t>
  </si>
  <si>
    <t>5022028464</t>
  </si>
  <si>
    <t>0848600002719001141</t>
  </si>
  <si>
    <t>5920035980</t>
  </si>
  <si>
    <t>0356300277219000249</t>
  </si>
  <si>
    <t>2721191242</t>
  </si>
  <si>
    <t>100317515119000015</t>
  </si>
  <si>
    <t>0259004651</t>
  </si>
  <si>
    <t>31908299949</t>
  </si>
  <si>
    <t>0259005849</t>
  </si>
  <si>
    <t>31908298308</t>
  </si>
  <si>
    <t>0259004732</t>
  </si>
  <si>
    <t>31908299837</t>
  </si>
  <si>
    <t>31908301801</t>
  </si>
  <si>
    <t>[ОКПД2 56.29] Услуги по обеспечению питанием прочие, [ОКПД2 55.20] Услуги по предоставлению временного жилья в местах отдыха и прочих местах для краткосрочного проживания, [ОКВЭД2 55.20] Деятельность по предоставлению мест для краткосрочного проживания, [ОКВЭД2 56.29] Деятельность предприятий общественного питания по прочим видам организации питания</t>
  </si>
  <si>
    <t>7224022677</t>
  </si>
  <si>
    <t>31908300525</t>
  </si>
  <si>
    <t>8905026850</t>
  </si>
  <si>
    <t>31908300616</t>
  </si>
  <si>
    <t>5029081629</t>
  </si>
  <si>
    <t>31908297098</t>
  </si>
  <si>
    <t>[ОКПД2 85.31] Услуги по профессиональному обучению, [ОКВЭД2 85.30] Обучение профессиональное</t>
  </si>
  <si>
    <t>0259004637</t>
  </si>
  <si>
    <t>31908299532</t>
  </si>
  <si>
    <t>0259004700</t>
  </si>
  <si>
    <t>31908299649</t>
  </si>
  <si>
    <t>7704756043</t>
  </si>
  <si>
    <t>31908301839</t>
  </si>
  <si>
    <t>31908297515</t>
  </si>
  <si>
    <t>9103016834</t>
  </si>
  <si>
    <t>31908301586</t>
  </si>
  <si>
    <t>31908298173</t>
  </si>
  <si>
    <t>7736182930</t>
  </si>
  <si>
    <t>31908296587</t>
  </si>
  <si>
    <t>0259004740</t>
  </si>
  <si>
    <t>31908300044</t>
  </si>
  <si>
    <t>0259004789</t>
  </si>
  <si>
    <t>31908298202</t>
  </si>
  <si>
    <t>7202100152</t>
  </si>
  <si>
    <t>31908296392</t>
  </si>
  <si>
    <t>31908296213</t>
  </si>
  <si>
    <t>31908298985</t>
  </si>
  <si>
    <t>31908301753</t>
  </si>
  <si>
    <t>[ОКПД2 55.20] Услуги по предоставлению временного жилья в местах отдыха и прочих местах для краткосрочного проживания, [ОКПД2 56.29] Услуги по обеспечению питанием прочие, [ОКВЭД2 55.20] Деятельность по предоставлению мест для краткосрочного проживания, [ОКВЭД2 56.29] Деятельность предприятий общественного питания по прочим видам организации питания</t>
  </si>
  <si>
    <t>0259004644</t>
  </si>
  <si>
    <t>31908298747</t>
  </si>
  <si>
    <t>0373100077819000031</t>
  </si>
  <si>
    <t>3221003372</t>
  </si>
  <si>
    <t>100285751119000025</t>
  </si>
  <si>
    <t>Брасовский район</t>
  </si>
  <si>
    <t>0848300049019000677</t>
  </si>
  <si>
    <t>5034084311</t>
  </si>
  <si>
    <t>5034084449</t>
  </si>
  <si>
    <t>5073086834</t>
  </si>
  <si>
    <t>5034084047</t>
  </si>
  <si>
    <t>0848300049019000678</t>
  </si>
  <si>
    <t>507303988058</t>
  </si>
  <si>
    <t>100285751119000024</t>
  </si>
  <si>
    <t>Навлинский район</t>
  </si>
  <si>
    <t>0848300049019000666</t>
  </si>
  <si>
    <t>5073086841</t>
  </si>
  <si>
    <t>5034084463</t>
  </si>
  <si>
    <t>4704035543</t>
  </si>
  <si>
    <t>0845300015019000573</t>
  </si>
  <si>
    <t>Выборгский район</t>
  </si>
  <si>
    <t>470415883976</t>
  </si>
  <si>
    <t>1435109950</t>
  </si>
  <si>
    <t>0816500000619013456</t>
  </si>
  <si>
    <t>1435147642</t>
  </si>
  <si>
    <t>5034084350</t>
  </si>
  <si>
    <t>0848300049019000671</t>
  </si>
  <si>
    <t>1654002946</t>
  </si>
  <si>
    <t>0111100008319000130</t>
  </si>
  <si>
    <t>0848300049019000667</t>
  </si>
  <si>
    <t>5034083847</t>
  </si>
  <si>
    <t>5034084336</t>
  </si>
  <si>
    <t>0848300049019000665</t>
  </si>
  <si>
    <t>5034084270</t>
  </si>
  <si>
    <t>5034084431</t>
  </si>
  <si>
    <t>5034084390</t>
  </si>
  <si>
    <t>0848300049019000668</t>
  </si>
  <si>
    <t>5073087330</t>
  </si>
  <si>
    <t>5034084287</t>
  </si>
  <si>
    <t>0848300049019000673</t>
  </si>
  <si>
    <t>5034084304</t>
  </si>
  <si>
    <t>5034084199</t>
  </si>
  <si>
    <t>5018045428</t>
  </si>
  <si>
    <t>0848300058919000186</t>
  </si>
  <si>
    <t>0848300049019000672</t>
  </si>
  <si>
    <t>5073086753</t>
  </si>
  <si>
    <t>5034052912</t>
  </si>
  <si>
    <t>5034084216</t>
  </si>
  <si>
    <t>0848300049019000674</t>
  </si>
  <si>
    <t>0848300049019000669</t>
  </si>
  <si>
    <t>5034084456</t>
  </si>
  <si>
    <t>5073086827</t>
  </si>
  <si>
    <t>0848300049019000670</t>
  </si>
  <si>
    <t>5034084294</t>
  </si>
  <si>
    <t>5034084209</t>
  </si>
  <si>
    <t>100290265119000058</t>
  </si>
  <si>
    <t>0123200000319002783</t>
  </si>
  <si>
    <t>7731416945</t>
  </si>
  <si>
    <t>7727374731</t>
  </si>
  <si>
    <t>5018156047</t>
  </si>
  <si>
    <t>0848300058919000184</t>
  </si>
  <si>
    <t>0390100001519000092</t>
  </si>
  <si>
    <t>5018118274</t>
  </si>
  <si>
    <t>0848300058919000185</t>
  </si>
  <si>
    <t>1651029001</t>
  </si>
  <si>
    <t>0111300005119000566</t>
  </si>
  <si>
    <t>Нижнекамский район</t>
  </si>
  <si>
    <t>1660238322</t>
  </si>
  <si>
    <t>0134100007719000004</t>
  </si>
  <si>
    <t>0390100001519000093</t>
  </si>
  <si>
    <t>0151500000219000073</t>
  </si>
  <si>
    <t>5445115020</t>
  </si>
  <si>
    <t>8603112365</t>
  </si>
  <si>
    <t>0387100004219000005</t>
  </si>
  <si>
    <t>6829020497</t>
  </si>
  <si>
    <t>0864500000219003324</t>
  </si>
  <si>
    <t>0387100004219000003</t>
  </si>
  <si>
    <t>0151500000219000072</t>
  </si>
  <si>
    <t>5445109587</t>
  </si>
  <si>
    <t>5036067223</t>
  </si>
  <si>
    <t>811666</t>
  </si>
  <si>
    <t>0339300096119000184</t>
  </si>
  <si>
    <t>0123200000319002777</t>
  </si>
  <si>
    <t>5018045347</t>
  </si>
  <si>
    <t>0848300058919000183</t>
  </si>
  <si>
    <t>0123200000319002775</t>
  </si>
  <si>
    <t>0123200000319002779</t>
  </si>
  <si>
    <t>РН90903559</t>
  </si>
  <si>
    <t>4218010999</t>
  </si>
  <si>
    <t>0339300249519000268</t>
  </si>
  <si>
    <t>4217074647</t>
  </si>
  <si>
    <t>1838010055</t>
  </si>
  <si>
    <t>100140007119000036</t>
  </si>
  <si>
    <t>Сарапул</t>
  </si>
  <si>
    <t>100140007119000037</t>
  </si>
  <si>
    <t>4320000938</t>
  </si>
  <si>
    <t>0340200003319012634</t>
  </si>
  <si>
    <t>Немский район</t>
  </si>
  <si>
    <t>0828100000719000814</t>
  </si>
  <si>
    <t>710308787690</t>
  </si>
  <si>
    <t>7733091756</t>
  </si>
  <si>
    <t>7719867268</t>
  </si>
  <si>
    <t>441300069121</t>
  </si>
  <si>
    <t>0376100005319000001</t>
  </si>
  <si>
    <t>100064921119000298</t>
  </si>
  <si>
    <t>5406407981</t>
  </si>
  <si>
    <t>0151300034919000066</t>
  </si>
  <si>
    <t>5410152550</t>
  </si>
  <si>
    <t>5444102395</t>
  </si>
  <si>
    <t>100229317119000008</t>
  </si>
  <si>
    <t>Барабинск</t>
  </si>
  <si>
    <t>0348200065919000051</t>
  </si>
  <si>
    <t>7725243035</t>
  </si>
  <si>
    <t>0372200240619000054</t>
  </si>
  <si>
    <t>780426499741</t>
  </si>
  <si>
    <t>7720409907</t>
  </si>
  <si>
    <t>4345357915</t>
  </si>
  <si>
    <t>0840100001319000020</t>
  </si>
  <si>
    <t>4345461088</t>
  </si>
  <si>
    <t>2540015492</t>
  </si>
  <si>
    <t>100288023119000055</t>
  </si>
  <si>
    <t>4101153441</t>
  </si>
  <si>
    <t>0838100000619000113</t>
  </si>
  <si>
    <t>Мильковский район</t>
  </si>
  <si>
    <t>4106002083</t>
  </si>
  <si>
    <t>2502027627</t>
  </si>
  <si>
    <t>0320100006719000029</t>
  </si>
  <si>
    <t>Артем</t>
  </si>
  <si>
    <t>250200721649</t>
  </si>
  <si>
    <t>5018178139</t>
  </si>
  <si>
    <t>0848300058919000182</t>
  </si>
  <si>
    <t>0322200009119000072</t>
  </si>
  <si>
    <t>270314307145</t>
  </si>
  <si>
    <t>100086091119000052</t>
  </si>
  <si>
    <t>100086091119000051</t>
  </si>
  <si>
    <t>5054009249</t>
  </si>
  <si>
    <t>0848300058919000181</t>
  </si>
  <si>
    <t>100086091119000049</t>
  </si>
  <si>
    <t>100086091119000050</t>
  </si>
  <si>
    <t>0320100006719000030</t>
  </si>
  <si>
    <t>100288023119000054</t>
  </si>
  <si>
    <t>0161100001419000010</t>
  </si>
  <si>
    <t>5423101908</t>
  </si>
  <si>
    <t>100051806119000018</t>
  </si>
  <si>
    <t>0161100001419000011</t>
  </si>
  <si>
    <t>2315110836</t>
  </si>
  <si>
    <t>100190598119000007</t>
  </si>
  <si>
    <t>6311027197</t>
  </si>
  <si>
    <t>0342100019519000058</t>
  </si>
  <si>
    <t>6315656333</t>
  </si>
  <si>
    <t>5262280410</t>
  </si>
  <si>
    <t>0832100001319000186</t>
  </si>
  <si>
    <t>525004962558</t>
  </si>
  <si>
    <t>100086091119000046</t>
  </si>
  <si>
    <t>100317515119000012</t>
  </si>
  <si>
    <t>100317515119000011</t>
  </si>
  <si>
    <t>0259004757</t>
  </si>
  <si>
    <t>31908295015</t>
  </si>
  <si>
    <t>6439036533</t>
  </si>
  <si>
    <t>31908293984</t>
  </si>
  <si>
    <t>8700000018</t>
  </si>
  <si>
    <t>31908295215</t>
  </si>
  <si>
    <t>Анадырский район</t>
  </si>
  <si>
    <t>31908295259</t>
  </si>
  <si>
    <t>31908295305</t>
  </si>
  <si>
    <t>31908296270</t>
  </si>
  <si>
    <t>0259004620</t>
  </si>
  <si>
    <t>31908295485</t>
  </si>
  <si>
    <t>31908295912</t>
  </si>
  <si>
    <t>31908295122</t>
  </si>
  <si>
    <t>31908296472</t>
  </si>
  <si>
    <t>2466141843</t>
  </si>
  <si>
    <t>31908294730</t>
  </si>
  <si>
    <t>31908294840</t>
  </si>
  <si>
    <t>31908295166</t>
  </si>
  <si>
    <t>7206014916</t>
  </si>
  <si>
    <t>31908295097</t>
  </si>
  <si>
    <t>7715029346</t>
  </si>
  <si>
    <t>COM11091900040</t>
  </si>
  <si>
    <t>31908295955</t>
  </si>
  <si>
    <t>1435036477</t>
  </si>
  <si>
    <t>31908307912</t>
  </si>
  <si>
    <t>31908290168</t>
  </si>
  <si>
    <t>31908295066</t>
  </si>
  <si>
    <t>7704515009</t>
  </si>
  <si>
    <t>COM11091900045</t>
  </si>
  <si>
    <t>2801022553</t>
  </si>
  <si>
    <t>31908294026</t>
  </si>
  <si>
    <t>31908296200</t>
  </si>
  <si>
    <t>5836010064</t>
  </si>
  <si>
    <t>31908297097</t>
  </si>
  <si>
    <t>COM11091900039</t>
  </si>
  <si>
    <t>31908288816</t>
  </si>
  <si>
    <t>31908295083</t>
  </si>
  <si>
    <t>[ОКПД2 56.10] Услуги ресторанов и услуги по доставке продуктов питания, [ОКВЭД2 35.11] Производство электроэнергии</t>
  </si>
  <si>
    <t>31908294799</t>
  </si>
  <si>
    <t>31908295788</t>
  </si>
  <si>
    <t>7224028380</t>
  </si>
  <si>
    <t>31908294725</t>
  </si>
  <si>
    <t>31908294178</t>
  </si>
  <si>
    <t>31908294833</t>
  </si>
  <si>
    <t>111833</t>
  </si>
  <si>
    <t>1901022869</t>
  </si>
  <si>
    <t>0180100003819000136</t>
  </si>
  <si>
    <t>2464261084</t>
  </si>
  <si>
    <t>0133300026319000010</t>
  </si>
  <si>
    <t>372002445812</t>
  </si>
  <si>
    <t>3727004420</t>
  </si>
  <si>
    <t>3727003063</t>
  </si>
  <si>
    <t>3727003070</t>
  </si>
  <si>
    <t>3727003088</t>
  </si>
  <si>
    <t>0133300026319000011</t>
  </si>
  <si>
    <t>372700412006</t>
  </si>
  <si>
    <t>5018045481</t>
  </si>
  <si>
    <t>0848300058919000177</t>
  </si>
  <si>
    <t>5018048411</t>
  </si>
  <si>
    <t>0848300058919000179</t>
  </si>
  <si>
    <t>4630026189</t>
  </si>
  <si>
    <t>0144200002419001146</t>
  </si>
  <si>
    <t>460700526334</t>
  </si>
  <si>
    <t>7733797051</t>
  </si>
  <si>
    <t>5018065128</t>
  </si>
  <si>
    <t>0848300058919000178</t>
  </si>
  <si>
    <t>5018048387</t>
  </si>
  <si>
    <t>0848300058919000180</t>
  </si>
  <si>
    <t>0249000640</t>
  </si>
  <si>
    <t>0301100022619000010</t>
  </si>
  <si>
    <t>Чекмагушевский район</t>
  </si>
  <si>
    <t>0249005078</t>
  </si>
  <si>
    <t>5018115107</t>
  </si>
  <si>
    <t>0848300058919000176</t>
  </si>
  <si>
    <t>8619017318</t>
  </si>
  <si>
    <t>0187300001719000538</t>
  </si>
  <si>
    <t>8604007719</t>
  </si>
  <si>
    <t>6404002090</t>
  </si>
  <si>
    <t>0160100004119000022</t>
  </si>
  <si>
    <t>Новобурасский район</t>
  </si>
  <si>
    <t>6404001811</t>
  </si>
  <si>
    <t>5007025395</t>
  </si>
  <si>
    <t>811110</t>
  </si>
  <si>
    <t>0160100004119000024</t>
  </si>
  <si>
    <t>Базарно-Карабулакский район</t>
  </si>
  <si>
    <t>5018045594</t>
  </si>
  <si>
    <t>0848300058919000175</t>
  </si>
  <si>
    <t>0160100004119000021</t>
  </si>
  <si>
    <t>0160100004119000023</t>
  </si>
  <si>
    <t>Балтайский район</t>
  </si>
  <si>
    <t>0832100001319000185</t>
  </si>
  <si>
    <t>525808681780</t>
  </si>
  <si>
    <t>526308075905</t>
  </si>
  <si>
    <t>0306200010219000567</t>
  </si>
  <si>
    <t>6415002912</t>
  </si>
  <si>
    <t>0360100005519000010</t>
  </si>
  <si>
    <t>Калининский район</t>
  </si>
  <si>
    <t>645292171442</t>
  </si>
  <si>
    <t>2918004066</t>
  </si>
  <si>
    <t>0124100005919000029</t>
  </si>
  <si>
    <t>7602132656</t>
  </si>
  <si>
    <t>0258007554</t>
  </si>
  <si>
    <t>0301300202119000007</t>
  </si>
  <si>
    <t>0258007064</t>
  </si>
  <si>
    <t>0264063356</t>
  </si>
  <si>
    <t>0245025644</t>
  </si>
  <si>
    <t>0272906056</t>
  </si>
  <si>
    <t>0318100016319000013</t>
  </si>
  <si>
    <t>7401001283</t>
  </si>
  <si>
    <t>0369100013819000029</t>
  </si>
  <si>
    <t>0258007530</t>
  </si>
  <si>
    <t>0301300208819000013</t>
  </si>
  <si>
    <t>027104697536</t>
  </si>
  <si>
    <t>0301300208819000014</t>
  </si>
  <si>
    <t>5047015587</t>
  </si>
  <si>
    <t>0348100063119000030</t>
  </si>
  <si>
    <t>502406952209</t>
  </si>
  <si>
    <t>773301536690</t>
  </si>
  <si>
    <t>0348100063119000029</t>
  </si>
  <si>
    <t>0404005325</t>
  </si>
  <si>
    <t>0377100007419000011</t>
  </si>
  <si>
    <t>Онгудайский район</t>
  </si>
  <si>
    <t>040400795727</t>
  </si>
  <si>
    <t>040400523628</t>
  </si>
  <si>
    <t>2452000401</t>
  </si>
  <si>
    <t>ATOM11091900180</t>
  </si>
  <si>
    <t>Железногорск</t>
  </si>
  <si>
    <t>100271333119000033</t>
  </si>
  <si>
    <t>100064921119000295</t>
  </si>
  <si>
    <t>2632064595</t>
  </si>
  <si>
    <t>0321300054619000203</t>
  </si>
  <si>
    <t>Пятигорск</t>
  </si>
  <si>
    <t>6659178653</t>
  </si>
  <si>
    <t>740410196513</t>
  </si>
  <si>
    <t>7839399170</t>
  </si>
  <si>
    <t>6164122739</t>
  </si>
  <si>
    <t>0348200065919000049</t>
  </si>
  <si>
    <t>5916028596</t>
  </si>
  <si>
    <t>100145714119000087</t>
  </si>
  <si>
    <t>Краснокамск</t>
  </si>
  <si>
    <t>7706584456</t>
  </si>
  <si>
    <t>РН90903063</t>
  </si>
  <si>
    <t>[ОКПД2 49.39] Услуги сухопутного пассажирского транспорта прочие, не включенные в другие группировки, [ОКВЭД2 49.39] Деятельность прочего сухопутного пассажирского транспорта, не включенная в другие группировки</t>
  </si>
  <si>
    <t>4228012096</t>
  </si>
  <si>
    <t>0339300004519000244</t>
  </si>
  <si>
    <t>Таштагольский район</t>
  </si>
  <si>
    <t>4228001841</t>
  </si>
  <si>
    <t>100285751119000021</t>
  </si>
  <si>
    <t>100036724119000022</t>
  </si>
  <si>
    <t>1611003825</t>
  </si>
  <si>
    <t>0711200022819000017</t>
  </si>
  <si>
    <t>1649036481</t>
  </si>
  <si>
    <t>2301013864</t>
  </si>
  <si>
    <t>0318100049119000141</t>
  </si>
  <si>
    <t>2360009411</t>
  </si>
  <si>
    <t>9111000524</t>
  </si>
  <si>
    <t>100183038119000024</t>
  </si>
  <si>
    <t>Ленинский</t>
  </si>
  <si>
    <t>0373200001919000265</t>
  </si>
  <si>
    <t>7716048430</t>
  </si>
  <si>
    <t>7720328694</t>
  </si>
  <si>
    <t>РН90903057</t>
  </si>
  <si>
    <t>100237126119000013</t>
  </si>
  <si>
    <t>0329100008719000009</t>
  </si>
  <si>
    <t>344110654279</t>
  </si>
  <si>
    <t>100285751119000020</t>
  </si>
  <si>
    <t>4205037961</t>
  </si>
  <si>
    <t>0139200000119007116</t>
  </si>
  <si>
    <t>4205279978</t>
  </si>
  <si>
    <t>4205013590</t>
  </si>
  <si>
    <t>4205302916</t>
  </si>
  <si>
    <t>6231006522</t>
  </si>
  <si>
    <t>0159100006919000105</t>
  </si>
  <si>
    <t>6229043816</t>
  </si>
  <si>
    <t>6234184523</t>
  </si>
  <si>
    <t>2310195530</t>
  </si>
  <si>
    <t>0118400000319000073</t>
  </si>
  <si>
    <t>[ОКПД2 47.78] Услуги прочей розничной торговли в специализированных магазинах</t>
  </si>
  <si>
    <t>7707368465</t>
  </si>
  <si>
    <t>3443139127</t>
  </si>
  <si>
    <t>0322200019319000042</t>
  </si>
  <si>
    <t>272504500863</t>
  </si>
  <si>
    <t>2901070960</t>
  </si>
  <si>
    <t>100037121119000030</t>
  </si>
  <si>
    <t>4313009841</t>
  </si>
  <si>
    <t>0340200003319012472</t>
  </si>
  <si>
    <t>100037121119000028</t>
  </si>
  <si>
    <t>100037121119000029</t>
  </si>
  <si>
    <t>4011016962</t>
  </si>
  <si>
    <t>0137200001219004549</t>
  </si>
  <si>
    <t>Малоярославецкий район</t>
  </si>
  <si>
    <t>481501475633</t>
  </si>
  <si>
    <t>7104512373</t>
  </si>
  <si>
    <t>4345404957</t>
  </si>
  <si>
    <t>6630006718</t>
  </si>
  <si>
    <t>0362200033719000007</t>
  </si>
  <si>
    <t>Лесной</t>
  </si>
  <si>
    <t>6681009643</t>
  </si>
  <si>
    <t>0301300208819000012</t>
  </si>
  <si>
    <t>100086091119000044</t>
  </si>
  <si>
    <t>5907042643</t>
  </si>
  <si>
    <t>0156200009919000663</t>
  </si>
  <si>
    <t>100277405119000042</t>
  </si>
  <si>
    <t>100277405119000041</t>
  </si>
  <si>
    <t>5612063327</t>
  </si>
  <si>
    <t>31908290601</t>
  </si>
  <si>
    <t>2308038963</t>
  </si>
  <si>
    <t>31908290496</t>
  </si>
  <si>
    <t>31908288649</t>
  </si>
  <si>
    <t>31908286006</t>
  </si>
  <si>
    <t>8601003480</t>
  </si>
  <si>
    <t>31908291352</t>
  </si>
  <si>
    <t>3435881261</t>
  </si>
  <si>
    <t>31908290235</t>
  </si>
  <si>
    <t>2721216352</t>
  </si>
  <si>
    <t>31908311177</t>
  </si>
  <si>
    <t>31908290393</t>
  </si>
  <si>
    <t>7530008826</t>
  </si>
  <si>
    <t>31908288556</t>
  </si>
  <si>
    <t>31908289154</t>
  </si>
  <si>
    <t>[ОКПД2 56.29] Услуги по обеспечению питанием прочие, [ОКПД2 55.1+] Услуги гостиниц и аналогичные услуги по предоставлению временного жилья, [ОКВЭД2 56.29] Деятельность предприятий общественного питания по прочим видам организации питания, [ОКВЭД2 55.10] Деятельность гостиниц и прочих мест для временного проживания</t>
  </si>
  <si>
    <t>31908291618</t>
  </si>
  <si>
    <t>4703147124</t>
  </si>
  <si>
    <t>31908290641</t>
  </si>
  <si>
    <t>6027042111</t>
  </si>
  <si>
    <t>31908276381</t>
  </si>
  <si>
    <t>31908288419</t>
  </si>
  <si>
    <t>31908288681</t>
  </si>
  <si>
    <t>31908290211</t>
  </si>
  <si>
    <t>[ОКПД2 55+] Услуги по предоставлению мест для временного проживания, [ОКВЭД2 55.10] Деятельность гостиниц и прочих мест для временного проживания</t>
  </si>
  <si>
    <t>0123200000319002746</t>
  </si>
  <si>
    <t>5903134283</t>
  </si>
  <si>
    <t>2607013100</t>
  </si>
  <si>
    <t>0123200000319002747</t>
  </si>
  <si>
    <t>3662199513</t>
  </si>
  <si>
    <t>6910008958</t>
  </si>
  <si>
    <t>0136300050519000085</t>
  </si>
  <si>
    <t>0123200000319002748</t>
  </si>
  <si>
    <t>0123200000319002752</t>
  </si>
  <si>
    <t>0258007561</t>
  </si>
  <si>
    <t>0301300178119000010</t>
  </si>
  <si>
    <t>0301300202119000008</t>
  </si>
  <si>
    <t>0828100000719000803</t>
  </si>
  <si>
    <t>6731065572</t>
  </si>
  <si>
    <t>6731031492</t>
  </si>
  <si>
    <t>0301300208819000011</t>
  </si>
  <si>
    <t>7900001722</t>
  </si>
  <si>
    <t>0378200000819000055</t>
  </si>
  <si>
    <t>2720046362</t>
  </si>
  <si>
    <t>2724050377</t>
  </si>
  <si>
    <t>2703013582</t>
  </si>
  <si>
    <t>7901533871</t>
  </si>
  <si>
    <t>2720046309</t>
  </si>
  <si>
    <t>0348100069819000058</t>
  </si>
  <si>
    <t>Чеховский район</t>
  </si>
  <si>
    <t>2222029558</t>
  </si>
  <si>
    <t>0817200000319010496</t>
  </si>
  <si>
    <t>222202044860</t>
  </si>
  <si>
    <t>5422113393</t>
  </si>
  <si>
    <t>0258007667</t>
  </si>
  <si>
    <t>0301300155419000015</t>
  </si>
  <si>
    <t>0348100069819000056</t>
  </si>
  <si>
    <t>0258007603</t>
  </si>
  <si>
    <t>0301300188619000006</t>
  </si>
  <si>
    <t>7411013908</t>
  </si>
  <si>
    <t>0169300025319000615</t>
  </si>
  <si>
    <t>Копейск</t>
  </si>
  <si>
    <t>7447251913</t>
  </si>
  <si>
    <t>0301300178119000009</t>
  </si>
  <si>
    <t>0123200000319002741</t>
  </si>
  <si>
    <t>5904231307</t>
  </si>
  <si>
    <t>0348100069819000059</t>
  </si>
  <si>
    <t>504807373548</t>
  </si>
  <si>
    <t>0123200000319002739</t>
  </si>
  <si>
    <t>2721120700</t>
  </si>
  <si>
    <t>0122100002619000068</t>
  </si>
  <si>
    <t>0301300208819000010</t>
  </si>
  <si>
    <t>1432000338</t>
  </si>
  <si>
    <t>0816500000619013230</t>
  </si>
  <si>
    <t>Эвено-Бытантайский Национальный улус</t>
  </si>
  <si>
    <t>140900394444</t>
  </si>
  <si>
    <t>0348100069819000057</t>
  </si>
  <si>
    <t>0301300188619000005</t>
  </si>
  <si>
    <t>0301300155419000014</t>
  </si>
  <si>
    <t>1901022876</t>
  </si>
  <si>
    <t>0380100004719000044</t>
  </si>
  <si>
    <t>1901115915</t>
  </si>
  <si>
    <t>190300163077</t>
  </si>
  <si>
    <t>191000132217</t>
  </si>
  <si>
    <t>2704005601</t>
  </si>
  <si>
    <t>0122100008419000016</t>
  </si>
  <si>
    <t>Советская Гавань</t>
  </si>
  <si>
    <t>0122100008419000015</t>
  </si>
  <si>
    <t>0380100004719000043</t>
  </si>
  <si>
    <t>5024000168</t>
  </si>
  <si>
    <t>100308744119000017</t>
  </si>
  <si>
    <t>0387100017019000010</t>
  </si>
  <si>
    <t>2342010936</t>
  </si>
  <si>
    <t>0318100013019000027</t>
  </si>
  <si>
    <t>Мостовский район</t>
  </si>
  <si>
    <t>0123200000319002732</t>
  </si>
  <si>
    <t>1660120850</t>
  </si>
  <si>
    <t>0711200008319000241</t>
  </si>
  <si>
    <t>0387100017019000011</t>
  </si>
  <si>
    <t>0318100013019000028</t>
  </si>
  <si>
    <t>1114000503</t>
  </si>
  <si>
    <t>0307300050219000160</t>
  </si>
  <si>
    <t>Усть-Куломский район</t>
  </si>
  <si>
    <t>111400148122</t>
  </si>
  <si>
    <t>0348200065919000047</t>
  </si>
  <si>
    <t>2357002335</t>
  </si>
  <si>
    <t>0118100002219000011</t>
  </si>
  <si>
    <t>6636004241</t>
  </si>
  <si>
    <t>0162100019219000009</t>
  </si>
  <si>
    <t>Артинский район</t>
  </si>
  <si>
    <t>5920012503</t>
  </si>
  <si>
    <t>0856300008419000245</t>
  </si>
  <si>
    <t>5920038364</t>
  </si>
  <si>
    <t>592000037830</t>
  </si>
  <si>
    <t>0118100009819000089</t>
  </si>
  <si>
    <t>231800000768</t>
  </si>
  <si>
    <t>2284003373</t>
  </si>
  <si>
    <t>0117100015119000005</t>
  </si>
  <si>
    <t>Усть-Калманский район</t>
  </si>
  <si>
    <t>2284006582</t>
  </si>
  <si>
    <t>0157000000419000006</t>
  </si>
  <si>
    <t>Опочецкий район</t>
  </si>
  <si>
    <t>5192160036</t>
  </si>
  <si>
    <t>0349100003819000076</t>
  </si>
  <si>
    <t>519043834494</t>
  </si>
  <si>
    <t>7714435257</t>
  </si>
  <si>
    <t>5803005446</t>
  </si>
  <si>
    <t>0355100015219000017</t>
  </si>
  <si>
    <t>580315510507</t>
  </si>
  <si>
    <t>0117100015119000004</t>
  </si>
  <si>
    <t>100064921119000294</t>
  </si>
  <si>
    <t>0355100015219000016</t>
  </si>
  <si>
    <t>2308071696</t>
  </si>
  <si>
    <t>0318200072719000290</t>
  </si>
  <si>
    <t>0158100007319000002</t>
  </si>
  <si>
    <t>5028017050</t>
  </si>
  <si>
    <t>0848300046119000535</t>
  </si>
  <si>
    <t>502807583189</t>
  </si>
  <si>
    <t>0211005390</t>
  </si>
  <si>
    <t>0301300325219000037</t>
  </si>
  <si>
    <t>Белорецкий район</t>
  </si>
  <si>
    <t>0127100006719000023</t>
  </si>
  <si>
    <t>0318200041219000497</t>
  </si>
  <si>
    <t>[ОКПД2 49.32] Услуги такси</t>
  </si>
  <si>
    <t>7704377207</t>
  </si>
  <si>
    <t>232000561290</t>
  </si>
  <si>
    <t>231900525889</t>
  </si>
  <si>
    <t>0318200041219000498</t>
  </si>
  <si>
    <t>2322026649</t>
  </si>
  <si>
    <t>4025002173</t>
  </si>
  <si>
    <t>0337100018819000155</t>
  </si>
  <si>
    <t>4025065938</t>
  </si>
  <si>
    <t>0256023399</t>
  </si>
  <si>
    <t>0301300325219000038</t>
  </si>
  <si>
    <t>Белорецк</t>
  </si>
  <si>
    <t>111919</t>
  </si>
  <si>
    <t>Чайковский</t>
  </si>
  <si>
    <t>6226005107</t>
  </si>
  <si>
    <t>0159300012819000094</t>
  </si>
  <si>
    <t>Касимов</t>
  </si>
  <si>
    <t>622669282302</t>
  </si>
  <si>
    <t>0156200009919000662</t>
  </si>
  <si>
    <t>6439036646</t>
  </si>
  <si>
    <t>31908284437</t>
  </si>
  <si>
    <t>6832024406</t>
  </si>
  <si>
    <t>31908282347</t>
  </si>
  <si>
    <t>7708624200</t>
  </si>
  <si>
    <t>31908287134</t>
  </si>
  <si>
    <t>31908287868</t>
  </si>
  <si>
    <t>7813045650</t>
  </si>
  <si>
    <t>31908287272</t>
  </si>
  <si>
    <t>31908287150</t>
  </si>
  <si>
    <t>31908287130</t>
  </si>
  <si>
    <t>2801127387</t>
  </si>
  <si>
    <t>31908288644</t>
  </si>
  <si>
    <t>[ОКПД2 56.10] Услуги ресторанов и услуги по доставке продуктов питания, [ОКВЭД2 90.04] Деятельность учреждений культуры и искусства</t>
  </si>
  <si>
    <t>6439036438</t>
  </si>
  <si>
    <t>31908285761</t>
  </si>
  <si>
    <t>6154069042</t>
  </si>
  <si>
    <t>31908284382</t>
  </si>
  <si>
    <t>6439036685</t>
  </si>
  <si>
    <t>31908288075</t>
  </si>
  <si>
    <t>4826012416</t>
  </si>
  <si>
    <t>31908286793</t>
  </si>
  <si>
    <t>5948014606</t>
  </si>
  <si>
    <t>31908286837</t>
  </si>
  <si>
    <t>31908287138</t>
  </si>
  <si>
    <t>3123035312</t>
  </si>
  <si>
    <t>31908286756</t>
  </si>
  <si>
    <t>[ОКПД2 56.29] Услуги по обеспечению питанием прочие, [ОКВЭД2 56.1+] Деятельность ресторанов и услуги по доставке продуктов питания</t>
  </si>
  <si>
    <t>9204553257</t>
  </si>
  <si>
    <t>31908287969</t>
  </si>
  <si>
    <t>2905003876</t>
  </si>
  <si>
    <t>31908287266</t>
  </si>
  <si>
    <t>Коряжма</t>
  </si>
  <si>
    <t>6662091000</t>
  </si>
  <si>
    <t>31908284436</t>
  </si>
  <si>
    <t>31908287912</t>
  </si>
  <si>
    <t>31908287019</t>
  </si>
  <si>
    <t>31908287681</t>
  </si>
  <si>
    <t>5957005598</t>
  </si>
  <si>
    <t>31908287632</t>
  </si>
  <si>
    <t>7805004321</t>
  </si>
  <si>
    <t>31908284666</t>
  </si>
  <si>
    <t>6656004017</t>
  </si>
  <si>
    <t>31908287959</t>
  </si>
  <si>
    <t>7205005718</t>
  </si>
  <si>
    <t>31908282033</t>
  </si>
  <si>
    <t>5017099854</t>
  </si>
  <si>
    <t>810390</t>
  </si>
  <si>
    <t>810391</t>
  </si>
  <si>
    <t>3-49222-338-19</t>
  </si>
  <si>
    <t>1701052707</t>
  </si>
  <si>
    <t>0112200000819003153</t>
  </si>
  <si>
    <t>1701028662</t>
  </si>
  <si>
    <t>0541017682</t>
  </si>
  <si>
    <t>0203100000219000135</t>
  </si>
  <si>
    <t>0562056315</t>
  </si>
  <si>
    <t>0203100000219000136</t>
  </si>
  <si>
    <t>6027057365</t>
  </si>
  <si>
    <t>0157200000319000772</t>
  </si>
  <si>
    <t>6027023278</t>
  </si>
  <si>
    <t>0822100002819000619</t>
  </si>
  <si>
    <t>2538127953</t>
  </si>
  <si>
    <t>0320300111619000185</t>
  </si>
  <si>
    <t>2536067473</t>
  </si>
  <si>
    <t>1314001832</t>
  </si>
  <si>
    <t>0109100004919000028</t>
  </si>
  <si>
    <t>Ельниковский район</t>
  </si>
  <si>
    <t>1307000813</t>
  </si>
  <si>
    <t>3309002714</t>
  </si>
  <si>
    <t>0128100001619000022</t>
  </si>
  <si>
    <t>330971787698</t>
  </si>
  <si>
    <t>0109100004919000029</t>
  </si>
  <si>
    <t>3706003425</t>
  </si>
  <si>
    <t>0133100007619000021</t>
  </si>
  <si>
    <t>3706014219</t>
  </si>
  <si>
    <t>0306300003919000135</t>
  </si>
  <si>
    <t>4004006025</t>
  </si>
  <si>
    <t>0337100001419000012</t>
  </si>
  <si>
    <t>402708607005</t>
  </si>
  <si>
    <t>4004011762</t>
  </si>
  <si>
    <t>0133100007619000022</t>
  </si>
  <si>
    <t>0106100004019000012</t>
  </si>
  <si>
    <t>0109100004919000027</t>
  </si>
  <si>
    <t>Краснослободский район</t>
  </si>
  <si>
    <t>1314001889</t>
  </si>
  <si>
    <t>0109100004919000026</t>
  </si>
  <si>
    <t>0390100001519000091</t>
  </si>
  <si>
    <t>890300388344</t>
  </si>
  <si>
    <t>581801120673</t>
  </si>
  <si>
    <t>3444118546</t>
  </si>
  <si>
    <t>0329100003019000044</t>
  </si>
  <si>
    <t>3443142289</t>
  </si>
  <si>
    <t>2279002920</t>
  </si>
  <si>
    <t>0117100014219000007</t>
  </si>
  <si>
    <t>Топчихинский район</t>
  </si>
  <si>
    <t>2279004910</t>
  </si>
  <si>
    <t>6507005494</t>
  </si>
  <si>
    <t>0161100007819000012</t>
  </si>
  <si>
    <t>6507001122</t>
  </si>
  <si>
    <t>0337100001419000011</t>
  </si>
  <si>
    <t>5036115477</t>
  </si>
  <si>
    <t>810209</t>
  </si>
  <si>
    <t>0119100012619000069</t>
  </si>
  <si>
    <t>1435247728</t>
  </si>
  <si>
    <t>0116100001519000055</t>
  </si>
  <si>
    <t>РН90902285</t>
  </si>
  <si>
    <t>4803002884</t>
  </si>
  <si>
    <t>100038606119000025</t>
  </si>
  <si>
    <t>Данковский район</t>
  </si>
  <si>
    <t>0369100014019000032</t>
  </si>
  <si>
    <t>0390100001519000090</t>
  </si>
  <si>
    <t>0165300003319000093</t>
  </si>
  <si>
    <t>700700883008</t>
  </si>
  <si>
    <t>0373200041519001716</t>
  </si>
  <si>
    <t>9721067199</t>
  </si>
  <si>
    <t>7811450853</t>
  </si>
  <si>
    <t>0351200023819000157</t>
  </si>
  <si>
    <t>Бердск</t>
  </si>
  <si>
    <t>5445253534</t>
  </si>
  <si>
    <t>0256008633</t>
  </si>
  <si>
    <t>0301300325219000036</t>
  </si>
  <si>
    <t>0256014570</t>
  </si>
  <si>
    <t>5015006886</t>
  </si>
  <si>
    <t>0348200032519000048</t>
  </si>
  <si>
    <t>Звенигород</t>
  </si>
  <si>
    <t>5032230655</t>
  </si>
  <si>
    <t>5030094809</t>
  </si>
  <si>
    <t>0124200000619004605</t>
  </si>
  <si>
    <t>5002001224</t>
  </si>
  <si>
    <t>0348300017919000126</t>
  </si>
  <si>
    <t>6450039834</t>
  </si>
  <si>
    <t>3662276937</t>
  </si>
  <si>
    <t>366208828810</t>
  </si>
  <si>
    <t>3916003189</t>
  </si>
  <si>
    <t>0335300048219000070</t>
  </si>
  <si>
    <t>Гвардейский район</t>
  </si>
  <si>
    <t>3906134513</t>
  </si>
  <si>
    <t>5904345865</t>
  </si>
  <si>
    <t>1056500006519000284</t>
  </si>
  <si>
    <t>5917595527</t>
  </si>
  <si>
    <t>590601215900</t>
  </si>
  <si>
    <t>5933271463</t>
  </si>
  <si>
    <t>0278908589</t>
  </si>
  <si>
    <t>645307542170</t>
  </si>
  <si>
    <t>5903994320</t>
  </si>
  <si>
    <t>5904087318</t>
  </si>
  <si>
    <t>3662077280</t>
  </si>
  <si>
    <t>5921034637</t>
  </si>
  <si>
    <t>100064921119000291</t>
  </si>
  <si>
    <t>100290832119000077</t>
  </si>
  <si>
    <t>0256008665</t>
  </si>
  <si>
    <t>0301300325219000033</t>
  </si>
  <si>
    <t>0256011925</t>
  </si>
  <si>
    <t>0301300325219000034</t>
  </si>
  <si>
    <t>0256010329</t>
  </si>
  <si>
    <t>0301300325219000035</t>
  </si>
  <si>
    <t>0118100009819000087</t>
  </si>
  <si>
    <t>0256022980</t>
  </si>
  <si>
    <t>0301300325219000032</t>
  </si>
  <si>
    <t>5957000631</t>
  </si>
  <si>
    <t>0156300049619000098</t>
  </si>
  <si>
    <t>595706246408</t>
  </si>
  <si>
    <t>5957007965</t>
  </si>
  <si>
    <t>0127100006719000022</t>
  </si>
  <si>
    <t>Унечский район</t>
  </si>
  <si>
    <t>0118100009819000088</t>
  </si>
  <si>
    <t>0107100003519000378</t>
  </si>
  <si>
    <t>0256011844</t>
  </si>
  <si>
    <t>0301300325219000031</t>
  </si>
  <si>
    <t>2451000840</t>
  </si>
  <si>
    <t>0119300019819001462</t>
  </si>
  <si>
    <t>2463037160</t>
  </si>
  <si>
    <t>2464134738</t>
  </si>
  <si>
    <t>2463219876</t>
  </si>
  <si>
    <t>0162200011819002485</t>
  </si>
  <si>
    <t>1902025020</t>
  </si>
  <si>
    <t>0880100000319000012</t>
  </si>
  <si>
    <t>Саяногорск</t>
  </si>
  <si>
    <t>190206971503</t>
  </si>
  <si>
    <t>7811498076</t>
  </si>
  <si>
    <t>0372200280919000040</t>
  </si>
  <si>
    <t>[ОКПД2 79.11] Услуги туристических агентств, [ОКПД2 49.39] Услуги сухопутного пассажирского транспорта прочие, не включенные в другие группировки, [ОКПД2 55.20] Услуги по предоставлению временного жилья в местах отдыха и прочих местах для краткосрочного проживания, [ОКПД2 41.20] Здания и работы по возведению зданий, [ОКПД2 56.29] Услуги по обеспечению питанием прочие</t>
  </si>
  <si>
    <t>7838509173</t>
  </si>
  <si>
    <t>3328022265</t>
  </si>
  <si>
    <t>1901017523</t>
  </si>
  <si>
    <t>0380100000119000083</t>
  </si>
  <si>
    <t>190114322450</t>
  </si>
  <si>
    <t>5053003163</t>
  </si>
  <si>
    <t>0848600005319000332</t>
  </si>
  <si>
    <t>5035038477</t>
  </si>
  <si>
    <t>6804008258</t>
  </si>
  <si>
    <t>0164100010119000034</t>
  </si>
  <si>
    <t>Знаменский район</t>
  </si>
  <si>
    <t>680400816016</t>
  </si>
  <si>
    <t>4341009160</t>
  </si>
  <si>
    <t>0340100008519000017</t>
  </si>
  <si>
    <t>0340100008519000018</t>
  </si>
  <si>
    <t>100039492119000017</t>
  </si>
  <si>
    <t>0122200001019000132</t>
  </si>
  <si>
    <t>2722112772</t>
  </si>
  <si>
    <t>31908281396</t>
  </si>
  <si>
    <t>6627012888</t>
  </si>
  <si>
    <t>31908283232</t>
  </si>
  <si>
    <t>31908283596</t>
  </si>
  <si>
    <t>7715790751</t>
  </si>
  <si>
    <t>31908284451</t>
  </si>
  <si>
    <t>6439036702</t>
  </si>
  <si>
    <t>31908283366</t>
  </si>
  <si>
    <t>7404024088</t>
  </si>
  <si>
    <t>31908283527</t>
  </si>
  <si>
    <t>5409008350</t>
  </si>
  <si>
    <t>31908280111</t>
  </si>
  <si>
    <t>31908280868</t>
  </si>
  <si>
    <t>31908283593</t>
  </si>
  <si>
    <t>31908279628</t>
  </si>
  <si>
    <t>6154026024</t>
  </si>
  <si>
    <t>31908280883</t>
  </si>
  <si>
    <t>2536044388</t>
  </si>
  <si>
    <t>31908279681</t>
  </si>
  <si>
    <t>5911028056</t>
  </si>
  <si>
    <t>31908279361</t>
  </si>
  <si>
    <t>3666008174</t>
  </si>
  <si>
    <t>31908280355</t>
  </si>
  <si>
    <t>5951003900</t>
  </si>
  <si>
    <t>31908283487</t>
  </si>
  <si>
    <t>[ОКПД2 56+] Услуги общественного питания, [ОКВЭД2 56.2+] Деятельность предприятий общественного питания по обслуживанию торжественных мероприятий и прочим видам организации питания</t>
  </si>
  <si>
    <t>31908279728</t>
  </si>
  <si>
    <t>5009120140</t>
  </si>
  <si>
    <t>31908281548</t>
  </si>
  <si>
    <t>7703385195</t>
  </si>
  <si>
    <t>31908283338</t>
  </si>
  <si>
    <t>4704041900</t>
  </si>
  <si>
    <t>31908276960</t>
  </si>
  <si>
    <t>31908282764</t>
  </si>
  <si>
    <t>1651028375</t>
  </si>
  <si>
    <t>BP00336624</t>
  </si>
  <si>
    <t>31908283594</t>
  </si>
  <si>
    <t>5835055697</t>
  </si>
  <si>
    <t>31908280717</t>
  </si>
  <si>
    <t>0268020314</t>
  </si>
  <si>
    <t>31908279300</t>
  </si>
  <si>
    <t>5904101393</t>
  </si>
  <si>
    <t>31908277146</t>
  </si>
  <si>
    <t>GG-2019-0495</t>
  </si>
  <si>
    <t>6439036653</t>
  </si>
  <si>
    <t>31908279306</t>
  </si>
  <si>
    <t>5903004076</t>
  </si>
  <si>
    <t>0156200009919000657</t>
  </si>
  <si>
    <t>0321200039319000075</t>
  </si>
  <si>
    <t>263408218404</t>
  </si>
  <si>
    <t>261705650652</t>
  </si>
  <si>
    <t>3338004924</t>
  </si>
  <si>
    <t>0128200000119005769</t>
  </si>
  <si>
    <t>4612002026</t>
  </si>
  <si>
    <t>0344100009319000017</t>
  </si>
  <si>
    <t>Курчатов</t>
  </si>
  <si>
    <t>4028040392</t>
  </si>
  <si>
    <t>0137100000219000058</t>
  </si>
  <si>
    <t>5036119672</t>
  </si>
  <si>
    <t>809674</t>
  </si>
  <si>
    <t>0372100008619000144</t>
  </si>
  <si>
    <t>6802002758</t>
  </si>
  <si>
    <t>0364100011719000008</t>
  </si>
  <si>
    <t>Гавриловский район</t>
  </si>
  <si>
    <t>680200018098</t>
  </si>
  <si>
    <t>5415101005</t>
  </si>
  <si>
    <t>0151100002319000006</t>
  </si>
  <si>
    <t>Чановский район</t>
  </si>
  <si>
    <t>0340100008519000015</t>
  </si>
  <si>
    <t>0187300007819000195</t>
  </si>
  <si>
    <t>0151100002319000007</t>
  </si>
  <si>
    <t>0340100008519000016</t>
  </si>
  <si>
    <t>0137100000219000059</t>
  </si>
  <si>
    <t>8604035265</t>
  </si>
  <si>
    <t>РН90901862</t>
  </si>
  <si>
    <t>6027015573</t>
  </si>
  <si>
    <t>0357200022319000044</t>
  </si>
  <si>
    <t>6027150558</t>
  </si>
  <si>
    <t>0357200022319000045</t>
  </si>
  <si>
    <t>100209395119000050</t>
  </si>
  <si>
    <t>1659011711</t>
  </si>
  <si>
    <t>0711200015919000108</t>
  </si>
  <si>
    <t>5048053578</t>
  </si>
  <si>
    <t>809592</t>
  </si>
  <si>
    <t>1830011628</t>
  </si>
  <si>
    <t>0813500000119011163</t>
  </si>
  <si>
    <t>Можга</t>
  </si>
  <si>
    <t>1830003024</t>
  </si>
  <si>
    <t>1601003030</t>
  </si>
  <si>
    <t>6150010993</t>
  </si>
  <si>
    <t>0358100002719000011</t>
  </si>
  <si>
    <t>Новочеркасск</t>
  </si>
  <si>
    <t>1650381323</t>
  </si>
  <si>
    <t>0111300000819001121</t>
  </si>
  <si>
    <t>1650100830</t>
  </si>
  <si>
    <t>0348200065919000044</t>
  </si>
  <si>
    <t>2311220860</t>
  </si>
  <si>
    <t>7024029499</t>
  </si>
  <si>
    <t>ATOM06091900156</t>
  </si>
  <si>
    <t>Северск</t>
  </si>
  <si>
    <t>5036034683</t>
  </si>
  <si>
    <t>809477</t>
  </si>
  <si>
    <t>0348200065919000045</t>
  </si>
  <si>
    <t>5029106714</t>
  </si>
  <si>
    <t>2589145</t>
  </si>
  <si>
    <t>2430002236</t>
  </si>
  <si>
    <t>0319300009319000005</t>
  </si>
  <si>
    <t>[ОКПД2 10.89] Продукты пищевые прочие, не включенные в другие группировки, [ОКПД2 10.61] Продукция мукомольно-крупяного производства, [ОКПД2 01.23] Плоды цитрусовых культур, [ОКПД2 10.39] Фрукты, овощи и грибы переработанные и консервированные, не включенные в другие группировки, [ОКПД2 10.51] Молоко и молочная продукция, [ОКПД2 10.13] Продукция мясная пищевая, в том числе из мяса птицы, [ОКПД2 01.13] Овощи и культуры бахчевые, корнеплоды и клубнеплоды, [ОКПД2 10.84] Приправы и пряности, [ОКПД2 10.73] Изделия макаронные, кускус и аналогичные мучные изделия, [ОКПД2 01.24] Плоды семечковых и косточковых культур, [ОКПД2 10.82] Какао, шоколад и изделия кондитерские сахаристые, [ОКПД2 10.86] Продукция детского питания и диетическая, [ОКПД2 10.41] Масла и жиры, [ОКПД2 10.20] Рыба переработанная и консервированная, ракообразные и моллюски, [ОКПД2 10.81] Сахар, [ОКПД2 10.72] Изделия сухарные и печенье; мучные кондитерские изделия, торты и пирожные длительного хранения, [ОКПД2 01.47] Птица сельскохозяйственная живая и яйца, [ОКПД2 10.12] Мясо сельскохозяйственной птицы и прочие продукты убоя, включая консервированные, [ОКПД2 01.22] Фрукты тропические и субтропические, [ОКПД2 10.83] Чай и кофе обработанные, [ОКПД2 01.11] Культуры зерновые (кроме риса), зернобобовые, семена масличных культур</t>
  </si>
  <si>
    <t>Партизанский район</t>
  </si>
  <si>
    <t>244500002974</t>
  </si>
  <si>
    <t>2466218937</t>
  </si>
  <si>
    <t>ATOM06091900135</t>
  </si>
  <si>
    <t>0137100000219000057</t>
  </si>
  <si>
    <t>5029009950</t>
  </si>
  <si>
    <t>809475</t>
  </si>
  <si>
    <t>2589172</t>
  </si>
  <si>
    <t>6379002142</t>
  </si>
  <si>
    <t>0142200001319014481</t>
  </si>
  <si>
    <t>Похвистнево</t>
  </si>
  <si>
    <t>6350022308</t>
  </si>
  <si>
    <t>6315660731</t>
  </si>
  <si>
    <t>6315636626</t>
  </si>
  <si>
    <t>0318300402419000058</t>
  </si>
  <si>
    <t>6441002429</t>
  </si>
  <si>
    <t>0160300042119000052</t>
  </si>
  <si>
    <t>Шиханы</t>
  </si>
  <si>
    <t>6441023732</t>
  </si>
  <si>
    <t>3801131762</t>
  </si>
  <si>
    <t>0134300095619000256</t>
  </si>
  <si>
    <t>3801131635</t>
  </si>
  <si>
    <t>3801029582</t>
  </si>
  <si>
    <t>2633002827</t>
  </si>
  <si>
    <t>0321300009119000119</t>
  </si>
  <si>
    <t>2635224991</t>
  </si>
  <si>
    <t>261602327263</t>
  </si>
  <si>
    <t>2635830456</t>
  </si>
  <si>
    <t>2623803313</t>
  </si>
  <si>
    <t>6164284419</t>
  </si>
  <si>
    <t>100033157119000004</t>
  </si>
  <si>
    <t>[ОКПД2 26.20] Компьютеры и периферийное оборудование, [ОКПД2 27.20] Батареи и аккумуляторы</t>
  </si>
  <si>
    <t>5053004520</t>
  </si>
  <si>
    <t>0848600005319000318</t>
  </si>
  <si>
    <t>7107537930</t>
  </si>
  <si>
    <t>0866100000519000227</t>
  </si>
  <si>
    <t>7106085134</t>
  </si>
  <si>
    <t>5053003396</t>
  </si>
  <si>
    <t>0848600005319000326</t>
  </si>
  <si>
    <t>5053003082</t>
  </si>
  <si>
    <t>0848600005319000322</t>
  </si>
  <si>
    <t>5053003967</t>
  </si>
  <si>
    <t>0848600005319000319</t>
  </si>
  <si>
    <t>5053003847</t>
  </si>
  <si>
    <t>0848600005319000329</t>
  </si>
  <si>
    <t>5053003364</t>
  </si>
  <si>
    <t>0848600005319000312</t>
  </si>
  <si>
    <t>5031028654</t>
  </si>
  <si>
    <t>0848600005319000315</t>
  </si>
  <si>
    <t>5053002931</t>
  </si>
  <si>
    <t>0848600005319000311</t>
  </si>
  <si>
    <t>2589060</t>
  </si>
  <si>
    <t>[ОКПД2 68.20] Услуги по сдаче в аренду (внаем) собственного или арендованного недвижимого имущества</t>
  </si>
  <si>
    <t>5050011705</t>
  </si>
  <si>
    <t>0348100061319000038</t>
  </si>
  <si>
    <t>5018104433</t>
  </si>
  <si>
    <t>5018156382</t>
  </si>
  <si>
    <t>5053002995</t>
  </si>
  <si>
    <t>0848600005319000330</t>
  </si>
  <si>
    <t>5053003156</t>
  </si>
  <si>
    <t>0848600005319000317</t>
  </si>
  <si>
    <t>5053014849</t>
  </si>
  <si>
    <t>0848600005319000314</t>
  </si>
  <si>
    <t>5053002762</t>
  </si>
  <si>
    <t>0848600005319000309</t>
  </si>
  <si>
    <t>5053004086</t>
  </si>
  <si>
    <t>0848600005319000325</t>
  </si>
  <si>
    <t>5053012915</t>
  </si>
  <si>
    <t>0848600005319000321</t>
  </si>
  <si>
    <t>5053002970</t>
  </si>
  <si>
    <t>0848600005319000313</t>
  </si>
  <si>
    <t>5053003830</t>
  </si>
  <si>
    <t>0848600005319000310</t>
  </si>
  <si>
    <t>2813001910</t>
  </si>
  <si>
    <t>0123100007519000028</t>
  </si>
  <si>
    <t>2813004982</t>
  </si>
  <si>
    <t>5053003124</t>
  </si>
  <si>
    <t>0848600005319000328</t>
  </si>
  <si>
    <t>РН90901601</t>
  </si>
  <si>
    <t>5053003854</t>
  </si>
  <si>
    <t>0848600005319000324</t>
  </si>
  <si>
    <t>0323012571</t>
  </si>
  <si>
    <t>0302100013519000214</t>
  </si>
  <si>
    <t>0323000209</t>
  </si>
  <si>
    <t>5031033510</t>
  </si>
  <si>
    <t>0848600005319000316</t>
  </si>
  <si>
    <t>5053011460</t>
  </si>
  <si>
    <t>0848600005319000323</t>
  </si>
  <si>
    <t>5053014493</t>
  </si>
  <si>
    <t>0848600005319000320</t>
  </si>
  <si>
    <t>6686024620</t>
  </si>
  <si>
    <t>31908276928</t>
  </si>
  <si>
    <t>[ОКПД2 55.10] Услуги гостиниц и аналогичные услуги по предоставлению временного жилья, [ОКВЭД2 55.90] Деятельность по предоставлению прочих мест для временного проживания</t>
  </si>
  <si>
    <t>6916013425</t>
  </si>
  <si>
    <t>190906/2433/637</t>
  </si>
  <si>
    <t>31908277433</t>
  </si>
  <si>
    <t>31908278992</t>
  </si>
  <si>
    <t>COM03091900085</t>
  </si>
  <si>
    <t>7716105688</t>
  </si>
  <si>
    <t>COM03091900087</t>
  </si>
  <si>
    <t>2901212607</t>
  </si>
  <si>
    <t>31908279150</t>
  </si>
  <si>
    <t>7704047505</t>
  </si>
  <si>
    <t>31908273378</t>
  </si>
  <si>
    <t>6439036477</t>
  </si>
  <si>
    <t>31908277696</t>
  </si>
  <si>
    <t>31908270924</t>
  </si>
  <si>
    <t>31908278889</t>
  </si>
  <si>
    <t>6439036519</t>
  </si>
  <si>
    <t>31908278541</t>
  </si>
  <si>
    <t>6453068960</t>
  </si>
  <si>
    <t>31908275954</t>
  </si>
  <si>
    <t>COM03091900080</t>
  </si>
  <si>
    <t>31908278313</t>
  </si>
  <si>
    <t>7719455553</t>
  </si>
  <si>
    <t>31908278625</t>
  </si>
  <si>
    <t>[ОКПД2 10.83] Чай и кофе обработанные, [ОКПД2 56.29] Услуги по обеспечению питанием прочие, [ОКПД2 10.71] Изделия хлебобулочные; мучные кондитерские изделия, торты и пирожные недлительного хранения, [ОКПД2 10.81] Сахар, [ОКПД2 10.89] Продукты пищевые прочие, не включенные в другие группировки, [ОКПД2 10.51] Молоко и молочная продукция, [ОКПД2 10.72] Изделия сухарные и печенье; мучные кондитерские изделия, торты и пирожные длительного хранения, [ОКПД2 11.07] Напитки безалкогольные; минеральные воды и прочие питьевые воды в бутылках, [ОКВЭД2 10.83] Производство чая и кофе, [ОКВЭД2 10.89] Производство прочих пищевых продуктов, не включенных в другие группировки, [ОКВЭД2 11.07] Производство безалкогольных напитков; производство минеральных вод и прочих питьевых вод в бутылках,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10.51] Производство молока (кроме сырого) и молочной продукции, [ОКВЭД2 56.29] Деятельность предприятий общественного питания по прочим видам организации питания, [ОКВЭД2 10.81] Производство сахара, [ОКВЭД2 10.71] Производство хлеба и мучных кондитерских изделий, тортов и пирожных недлительного хранения</t>
  </si>
  <si>
    <t>6150010834</t>
  </si>
  <si>
    <t>31908277982</t>
  </si>
  <si>
    <t>5911027976</t>
  </si>
  <si>
    <t>31908276237</t>
  </si>
  <si>
    <t>6439036251</t>
  </si>
  <si>
    <t>31908271878</t>
  </si>
  <si>
    <t>[ОКПД2 46.3+] Услуги по оптовой торговле пищевыми продуктами, напитками и табачными изделиями, [ОКВЭД2 46.3+] Торговля оптовая пищевыми продуктами, напитками и табачными изделиями</t>
  </si>
  <si>
    <t>31908278108</t>
  </si>
  <si>
    <t>[ОКПД2 93.19] Услуги в области спорта прочие, [ОКВЭД2 93.19] Деятельность в области спорта прочая</t>
  </si>
  <si>
    <t>6453053795</t>
  </si>
  <si>
    <t>31908285822</t>
  </si>
  <si>
    <t>6439036621</t>
  </si>
  <si>
    <t>31908276179</t>
  </si>
  <si>
    <t>31908275803</t>
  </si>
  <si>
    <t>31908281965</t>
  </si>
  <si>
    <t>[ОКПД2 46.34] Услуги по оптовой торговле алкогольными и другими напитками, [ОКВЭД2 46.34] Торговля оптовая напитками</t>
  </si>
  <si>
    <t>5032072818</t>
  </si>
  <si>
    <t>31908275572</t>
  </si>
  <si>
    <t>[ОКПД2 55.90] Услуги по предоставлению временного жилья прочие, [ОКВЭД2 55.10] Деятельность гостиниц и прочих мест для временного проживания</t>
  </si>
  <si>
    <t>7210010689</t>
  </si>
  <si>
    <t>0167300012019000102</t>
  </si>
  <si>
    <t>[ОКПД2 84.25] Услуги по обеспечению безопасности в чрезвычайных ситуациях; услуги по обеспечению безопасности в области использования атомной энергии</t>
  </si>
  <si>
    <t>Аромашевский район</t>
  </si>
  <si>
    <t>7210010054</t>
  </si>
  <si>
    <t>721000906092</t>
  </si>
  <si>
    <t>525711442812</t>
  </si>
  <si>
    <t>3017022294</t>
  </si>
  <si>
    <t>BP00335699</t>
  </si>
  <si>
    <t>8609014614</t>
  </si>
  <si>
    <t>0187300007819000194</t>
  </si>
  <si>
    <t>7901540558</t>
  </si>
  <si>
    <t>0878100000419000051</t>
  </si>
  <si>
    <t>790101768081</t>
  </si>
  <si>
    <t>1101481581</t>
  </si>
  <si>
    <t>100266143119000093</t>
  </si>
  <si>
    <t>3528032704</t>
  </si>
  <si>
    <t>0330100001019000022</t>
  </si>
  <si>
    <t>3528269252</t>
  </si>
  <si>
    <t>ATOM05091900310</t>
  </si>
  <si>
    <t>3334020298</t>
  </si>
  <si>
    <t>0328200029719000007</t>
  </si>
  <si>
    <t>Муром</t>
  </si>
  <si>
    <t>330700170414</t>
  </si>
  <si>
    <t>6730002192</t>
  </si>
  <si>
    <t>0163200000319006486</t>
  </si>
  <si>
    <t>6731007186</t>
  </si>
  <si>
    <t>9731010353</t>
  </si>
  <si>
    <t>2588989</t>
  </si>
  <si>
    <t>2333007648</t>
  </si>
  <si>
    <t>0318300526219000126</t>
  </si>
  <si>
    <t>743803973208</t>
  </si>
  <si>
    <t>3444067813</t>
  </si>
  <si>
    <t>0329200062219004381</t>
  </si>
  <si>
    <t>3444125840</t>
  </si>
  <si>
    <t>5940306830</t>
  </si>
  <si>
    <t>0156300057719000075</t>
  </si>
  <si>
    <t>5709004702</t>
  </si>
  <si>
    <t>100021891119000011</t>
  </si>
  <si>
    <t>Залегощенский район</t>
  </si>
  <si>
    <t>100021891119000010</t>
  </si>
  <si>
    <t>100290242119000018</t>
  </si>
  <si>
    <t>0143100003819000032</t>
  </si>
  <si>
    <t>809153</t>
  </si>
  <si>
    <t>8902008517</t>
  </si>
  <si>
    <t>0190300000219000370</t>
  </si>
  <si>
    <t>8902009165</t>
  </si>
  <si>
    <t>3306003540</t>
  </si>
  <si>
    <t>0328100015319000007</t>
  </si>
  <si>
    <t>330600187446</t>
  </si>
  <si>
    <t>5916008303</t>
  </si>
  <si>
    <t>0856300009319000189</t>
  </si>
  <si>
    <t>5916000449</t>
  </si>
  <si>
    <t>0134100010019000043</t>
  </si>
  <si>
    <t>0168100003419000026</t>
  </si>
  <si>
    <t>5028017067</t>
  </si>
  <si>
    <t>0848300046119000533</t>
  </si>
  <si>
    <t>100249474119000051</t>
  </si>
  <si>
    <t>Суражский район</t>
  </si>
  <si>
    <t>0320100004019000055</t>
  </si>
  <si>
    <t>2536033273</t>
  </si>
  <si>
    <t>2543000670</t>
  </si>
  <si>
    <t>250211434678</t>
  </si>
  <si>
    <t>2538004373</t>
  </si>
  <si>
    <t>100290242119000017</t>
  </si>
  <si>
    <t>100290242119000016</t>
  </si>
  <si>
    <t>7411014549</t>
  </si>
  <si>
    <t>0169300025319000610</t>
  </si>
  <si>
    <t>5034084167</t>
  </si>
  <si>
    <t>0848300049019000652</t>
  </si>
  <si>
    <t>5034084368</t>
  </si>
  <si>
    <t>0848300049019000651</t>
  </si>
  <si>
    <t>5034084181</t>
  </si>
  <si>
    <t>0848300049019000647</t>
  </si>
  <si>
    <t>5034084015</t>
  </si>
  <si>
    <t>0848300049019000653</t>
  </si>
  <si>
    <t>6117000571</t>
  </si>
  <si>
    <t>0358300030519000056</t>
  </si>
  <si>
    <t>Куйбышевский район</t>
  </si>
  <si>
    <t>6168068546</t>
  </si>
  <si>
    <t>6163000840</t>
  </si>
  <si>
    <t>2588643</t>
  </si>
  <si>
    <t>2824001430</t>
  </si>
  <si>
    <t>0123100003919000017</t>
  </si>
  <si>
    <t>Серышевский район</t>
  </si>
  <si>
    <t>2824000838</t>
  </si>
  <si>
    <t>2210007782</t>
  </si>
  <si>
    <t>0817200000319010364</t>
  </si>
  <si>
    <t>Славгород</t>
  </si>
  <si>
    <t>222504490500</t>
  </si>
  <si>
    <t>5403167763</t>
  </si>
  <si>
    <t>2221137102</t>
  </si>
  <si>
    <t>772581405921</t>
  </si>
  <si>
    <t>665840164103</t>
  </si>
  <si>
    <t>2221172611</t>
  </si>
  <si>
    <t>615303846348</t>
  </si>
  <si>
    <t>5034084150</t>
  </si>
  <si>
    <t>0848300049019000649</t>
  </si>
  <si>
    <t>0123100003919000016</t>
  </si>
  <si>
    <t>5034084022</t>
  </si>
  <si>
    <t>0848300049019000648</t>
  </si>
  <si>
    <t>5034023598</t>
  </si>
  <si>
    <t>0848300049019000650</t>
  </si>
  <si>
    <t>5034084400</t>
  </si>
  <si>
    <t>0848300049019000654</t>
  </si>
  <si>
    <t>ATOM05091900164</t>
  </si>
  <si>
    <t>6824004702</t>
  </si>
  <si>
    <t>0164100009719000042</t>
  </si>
  <si>
    <t>Кирсанов</t>
  </si>
  <si>
    <t>6824003875</t>
  </si>
  <si>
    <t>0341300076419000032</t>
  </si>
  <si>
    <t>441600030340</t>
  </si>
  <si>
    <t>5036034531</t>
  </si>
  <si>
    <t>808924</t>
  </si>
  <si>
    <t>1501002730</t>
  </si>
  <si>
    <t>0210100000119000128</t>
  </si>
  <si>
    <t>Владикавказ</t>
  </si>
  <si>
    <t>0321200030019000085</t>
  </si>
  <si>
    <t>263201805710</t>
  </si>
  <si>
    <t>0164100009719000041</t>
  </si>
  <si>
    <t>5036034524</t>
  </si>
  <si>
    <t>808874</t>
  </si>
  <si>
    <t>0306200010219000555</t>
  </si>
  <si>
    <t>5245004266</t>
  </si>
  <si>
    <t>0332100036419000018</t>
  </si>
  <si>
    <t>Богородский район</t>
  </si>
  <si>
    <t>1001040696</t>
  </si>
  <si>
    <t>0806500000219000881</t>
  </si>
  <si>
    <t>1001296641</t>
  </si>
  <si>
    <t>0177200000919002348</t>
  </si>
  <si>
    <t>100282915119000036</t>
  </si>
  <si>
    <t>5957010238</t>
  </si>
  <si>
    <t>0356200015019000059</t>
  </si>
  <si>
    <t>595702578498</t>
  </si>
  <si>
    <t>0127100007319000011</t>
  </si>
  <si>
    <t>3241010699</t>
  </si>
  <si>
    <t>5535003458</t>
  </si>
  <si>
    <t>100302383119000009</t>
  </si>
  <si>
    <t>Тара</t>
  </si>
  <si>
    <t>6501296039</t>
  </si>
  <si>
    <t>0361500000719000030</t>
  </si>
  <si>
    <t>650901131705</t>
  </si>
  <si>
    <t>31908274097</t>
  </si>
  <si>
    <t>2365014221</t>
  </si>
  <si>
    <t>31908271586</t>
  </si>
  <si>
    <t>31908272385</t>
  </si>
  <si>
    <t>2464244890</t>
  </si>
  <si>
    <t>31908270671</t>
  </si>
  <si>
    <t>31908271632</t>
  </si>
  <si>
    <t>5905235985</t>
  </si>
  <si>
    <t>31908273719</t>
  </si>
  <si>
    <t>31908274134</t>
  </si>
  <si>
    <t>0268022865</t>
  </si>
  <si>
    <t>31908270986</t>
  </si>
  <si>
    <t>31908273924</t>
  </si>
  <si>
    <t>31908272554</t>
  </si>
  <si>
    <t>6449036412</t>
  </si>
  <si>
    <t>31908272656</t>
  </si>
  <si>
    <t>31908272848</t>
  </si>
  <si>
    <t>31908272529</t>
  </si>
  <si>
    <t>31908272381</t>
  </si>
  <si>
    <t>31908272614</t>
  </si>
  <si>
    <t>31908061533</t>
  </si>
  <si>
    <t>6439036614</t>
  </si>
  <si>
    <t>31908274722</t>
  </si>
  <si>
    <t>3904033196</t>
  </si>
  <si>
    <t>31908274228</t>
  </si>
  <si>
    <t>31908272584</t>
  </si>
  <si>
    <t>31908272658</t>
  </si>
  <si>
    <t>31908273407</t>
  </si>
  <si>
    <t>[ОКПД2 56.29] Услуги по обеспечению питанием прочие, [ОКПД2 55.10] Услуги гостиниц и аналогичные услуги по предоставлению временного жилья, [ОКВЭД2 55.10] Деятельность гостиниц и прочих мест для временного проживания, [ОКВЭД2 56.29] Деятельность предприятий общественного питания по прочим видам организации питания</t>
  </si>
  <si>
    <t>3525436924</t>
  </si>
  <si>
    <t>31908274857</t>
  </si>
  <si>
    <t>31908271037</t>
  </si>
  <si>
    <t>31908272397</t>
  </si>
  <si>
    <t>31908270987</t>
  </si>
  <si>
    <t>3435881078</t>
  </si>
  <si>
    <t>31908273613</t>
  </si>
  <si>
    <t>31908273866</t>
  </si>
  <si>
    <t>[ОКПД2 49.41] Услуги по грузовым перевозкам автомобильным транспортом, [ОКПД2 49.39] Услуги сухопутного пассажирского транспорта прочие, не включенные в другие группировки, [ОКВЭД2 49.41] Деятельность автомобильного грузового транспорта</t>
  </si>
  <si>
    <t>31908273133</t>
  </si>
  <si>
    <t>7202026036</t>
  </si>
  <si>
    <t>31908274692</t>
  </si>
  <si>
    <t>6440008114</t>
  </si>
  <si>
    <t>31908273717</t>
  </si>
  <si>
    <t>31908272544</t>
  </si>
  <si>
    <t>0306010341</t>
  </si>
  <si>
    <t>0302100009719000009</t>
  </si>
  <si>
    <t>Заиграевский район</t>
  </si>
  <si>
    <t>0323073581</t>
  </si>
  <si>
    <t>0873500000819004090</t>
  </si>
  <si>
    <t>100064921119000282</t>
  </si>
  <si>
    <t>0848300060619000512</t>
  </si>
  <si>
    <t>0348100043819000015</t>
  </si>
  <si>
    <t>100078831119000223</t>
  </si>
  <si>
    <t>0342100040819000036</t>
  </si>
  <si>
    <t>6325067760</t>
  </si>
  <si>
    <t>6325997438</t>
  </si>
  <si>
    <t>23934</t>
  </si>
  <si>
    <t>2315061385</t>
  </si>
  <si>
    <t>0318100000419000065</t>
  </si>
  <si>
    <t>6102072100</t>
  </si>
  <si>
    <t>5443106012</t>
  </si>
  <si>
    <t>0351200022619000005</t>
  </si>
  <si>
    <t>Искитимский район</t>
  </si>
  <si>
    <t>5445024630</t>
  </si>
  <si>
    <t>100078831119000224</t>
  </si>
  <si>
    <t>0351200022619000006</t>
  </si>
  <si>
    <t>2434001970</t>
  </si>
  <si>
    <t>0119100015919000005</t>
  </si>
  <si>
    <t>Северо-Енисейский район</t>
  </si>
  <si>
    <t>100078831119000226</t>
  </si>
  <si>
    <t>0187300007819000193</t>
  </si>
  <si>
    <t>7616001290</t>
  </si>
  <si>
    <t>0371100010019000003</t>
  </si>
  <si>
    <t>Гаврилов-Ямский район</t>
  </si>
  <si>
    <t>0318100000419000064</t>
  </si>
  <si>
    <t>613100693702</t>
  </si>
  <si>
    <t>6102070015</t>
  </si>
  <si>
    <t>4401005116</t>
  </si>
  <si>
    <t>0141100001019000044</t>
  </si>
  <si>
    <t>100207147119000013</t>
  </si>
  <si>
    <t>7403001264</t>
  </si>
  <si>
    <t>0369100013919000032</t>
  </si>
  <si>
    <t>Еманжелинский район</t>
  </si>
  <si>
    <t>7821006774</t>
  </si>
  <si>
    <t>0172200000619000140</t>
  </si>
  <si>
    <t>7804181470</t>
  </si>
  <si>
    <t>0342100040819000035</t>
  </si>
  <si>
    <t>0143100002719000117</t>
  </si>
  <si>
    <t>0332100036419000017</t>
  </si>
  <si>
    <t>2333007711</t>
  </si>
  <si>
    <t>0318300526219000125</t>
  </si>
  <si>
    <t>2333007824</t>
  </si>
  <si>
    <t>0318300526219000124</t>
  </si>
  <si>
    <t>5035040596</t>
  </si>
  <si>
    <t>808616</t>
  </si>
  <si>
    <t>0328100014419000005</t>
  </si>
  <si>
    <t>331104221370</t>
  </si>
  <si>
    <t>330103238161</t>
  </si>
  <si>
    <t>0342100040819000037</t>
  </si>
  <si>
    <t>0342100040819000039</t>
  </si>
  <si>
    <t>0342100040819000038</t>
  </si>
  <si>
    <t>5443106968</t>
  </si>
  <si>
    <t>0351100008719000009</t>
  </si>
  <si>
    <t>544314975090</t>
  </si>
  <si>
    <t>741300092464</t>
  </si>
  <si>
    <t>5026004859</t>
  </si>
  <si>
    <t>808472</t>
  </si>
  <si>
    <t>0306200010219000549</t>
  </si>
  <si>
    <t>100145714119000084</t>
  </si>
  <si>
    <t>0141100008719000039</t>
  </si>
  <si>
    <t>5007008801</t>
  </si>
  <si>
    <t>0348100006919000028</t>
  </si>
  <si>
    <t>100145714119000085</t>
  </si>
  <si>
    <t>0348100006919000029</t>
  </si>
  <si>
    <t>100290242119000015</t>
  </si>
  <si>
    <t>7536012385</t>
  </si>
  <si>
    <t>0291100000119000105</t>
  </si>
  <si>
    <t>7536112728</t>
  </si>
  <si>
    <t>3005003829</t>
  </si>
  <si>
    <t>100218562119000029</t>
  </si>
  <si>
    <t>Камызякский район</t>
  </si>
  <si>
    <t>7411011308</t>
  </si>
  <si>
    <t>0369100034819000016</t>
  </si>
  <si>
    <t>744916038283</t>
  </si>
  <si>
    <t>100218562119000028</t>
  </si>
  <si>
    <t>4816005000</t>
  </si>
  <si>
    <t>0346100000319000059</t>
  </si>
  <si>
    <t>Усманский район</t>
  </si>
  <si>
    <t>8903020098</t>
  </si>
  <si>
    <t>0190300001219000803</t>
  </si>
  <si>
    <t>9103017147</t>
  </si>
  <si>
    <t>0875300039319000004</t>
  </si>
  <si>
    <t>910300106792</t>
  </si>
  <si>
    <t>1650086790</t>
  </si>
  <si>
    <t>0111300000819001114</t>
  </si>
  <si>
    <t>8601002141</t>
  </si>
  <si>
    <t>0187200001719000822</t>
  </si>
  <si>
    <t>8603212112</t>
  </si>
  <si>
    <t>7811130613</t>
  </si>
  <si>
    <t>0372200081019000097</t>
  </si>
  <si>
    <t>6164233206</t>
  </si>
  <si>
    <t>222408731714</t>
  </si>
  <si>
    <t>7802195283</t>
  </si>
  <si>
    <t>0190300001219000801</t>
  </si>
  <si>
    <t>0301201367</t>
  </si>
  <si>
    <t>0102400000419000004</t>
  </si>
  <si>
    <t>Курумканский район</t>
  </si>
  <si>
    <t>0311002748</t>
  </si>
  <si>
    <t>2302027620</t>
  </si>
  <si>
    <t>0318100004619000019</t>
  </si>
  <si>
    <t>2308195010</t>
  </si>
  <si>
    <t>234303867958</t>
  </si>
  <si>
    <t>2372014790</t>
  </si>
  <si>
    <t>2588097</t>
  </si>
  <si>
    <t>[ОКДП 5520010] Услуги общественного питания, [ОКПД2 56.2+] Услуги по поставке продукции общественного питания и обслуживанию торжественных мероприятий и прочие услуги по обеспечению питанием</t>
  </si>
  <si>
    <t>4901004304</t>
  </si>
  <si>
    <t>100309242119000013</t>
  </si>
  <si>
    <t>Ольский район</t>
  </si>
  <si>
    <t>2327007417</t>
  </si>
  <si>
    <t>31908270004</t>
  </si>
  <si>
    <t>4201008582</t>
  </si>
  <si>
    <t>31908288373</t>
  </si>
  <si>
    <t>31908267433</t>
  </si>
  <si>
    <t>31908269329</t>
  </si>
  <si>
    <t>5320015020</t>
  </si>
  <si>
    <t>31908265543</t>
  </si>
  <si>
    <t>7736186950</t>
  </si>
  <si>
    <t>31908270492</t>
  </si>
  <si>
    <t>[ОКПД2 23.43] Изоляторы электрические и арматура изолирующая из керамики, [ОКПД2 27.40] Оборудование электрическое осветительное, [ОКПД2 27.33] Изделия электроустановочные, [ОКПД2 27.11] Электродвигатели, генераторы и трансформаторы, [ОКПД2 27.5+] Приборы бытовые, [ОКПД2 27.20] Батареи и аккумуляторы, [ОКПД2 27.12] Аппаратура распределительная и регулирующая электрическая, [ОКПД2 25.7+] Изделия ножевые, инструмент и универсальные скобяные изделия, [ОКПД2 27.9+] Оборудование электрическое прочее, [ОКПД2 49.41] Услуги по грузовым перевозкам автомобильным транспортом, [ОКПД2 26.20] Компьютеры и периферийное оборудование, [ОКПД2 26.5+] Оборудование для измерения, испытаний и навигации; часы всех видов, [ОКПД2 27.32] Провода и кабели электронные и электрические прочие, [ОКПД2 26.30] Оборудование коммуникационное, [ОКВЭД2 46.7+] Торговля оптовая специализированная прочая</t>
  </si>
  <si>
    <t>1435078075</t>
  </si>
  <si>
    <t>31908266727</t>
  </si>
  <si>
    <t>[ОКПД2 50.40] Услуги по перевозке грузов внутренним водным транспортом, [ОКВЭД2 50.40] Деятельность внутреннего водного грузового транспорта</t>
  </si>
  <si>
    <t>6439036452</t>
  </si>
  <si>
    <t>31908268671</t>
  </si>
  <si>
    <t>31908267241</t>
  </si>
  <si>
    <t>5920011154</t>
  </si>
  <si>
    <t>31908265918</t>
  </si>
  <si>
    <t>6617006035</t>
  </si>
  <si>
    <t>31908268428</t>
  </si>
  <si>
    <t>3913500440</t>
  </si>
  <si>
    <t>31908264129</t>
  </si>
  <si>
    <t>[ОКПД2 56.29] Услуги по обеспечению питанием прочие, [ОКВЭД2 10.8+] Производство прочих пищевых продуктов</t>
  </si>
  <si>
    <t>3327102542</t>
  </si>
  <si>
    <t>31908270506</t>
  </si>
  <si>
    <t>7014006870</t>
  </si>
  <si>
    <t>31908262815</t>
  </si>
  <si>
    <t>31908267619</t>
  </si>
  <si>
    <t>31908268143</t>
  </si>
  <si>
    <t>31908267215</t>
  </si>
  <si>
    <t>2801065211</t>
  </si>
  <si>
    <t>31908267468</t>
  </si>
  <si>
    <t>31908274694</t>
  </si>
  <si>
    <t>7225004021</t>
  </si>
  <si>
    <t>31908268538</t>
  </si>
  <si>
    <t>7704077771</t>
  </si>
  <si>
    <t>31908268156</t>
  </si>
  <si>
    <t>6449020941</t>
  </si>
  <si>
    <t>31908268619</t>
  </si>
  <si>
    <t>0268022801</t>
  </si>
  <si>
    <t>31908267325</t>
  </si>
  <si>
    <t>31908269611</t>
  </si>
  <si>
    <t>31908269729</t>
  </si>
  <si>
    <t>3123079454</t>
  </si>
  <si>
    <t>31908265050</t>
  </si>
  <si>
    <t>[ОКПД2 47.41] Услуги по розничной торговле компьютерами, периферийными устройствами к ним и программным обеспечением в специализированных магазинах, [ОКПД2 26.40] Техника бытовая электронная, [ОКПД2 33.20] Услуги по монтажу промышленных машин и оборудования, [ОКВЭД2 47.41] Торговля розничная компьютерами, периферийными устройствами к ним и программным обеспечением в специализированных магазинах, [ОКВЭД2 33.20] Монтаж промышленных машин и оборудования, [ОКВЭД2 26.40] Производство бытовой электроники</t>
  </si>
  <si>
    <t>31908267263</t>
  </si>
  <si>
    <t>31908267177</t>
  </si>
  <si>
    <t>4826026031</t>
  </si>
  <si>
    <t>31908265498</t>
  </si>
  <si>
    <t>31908269292</t>
  </si>
  <si>
    <t>31908288368</t>
  </si>
  <si>
    <t>7316002832</t>
  </si>
  <si>
    <t>100050084119000017</t>
  </si>
  <si>
    <t>Сенгилеевский район</t>
  </si>
  <si>
    <t>0318100004619000018</t>
  </si>
  <si>
    <t>0318100004619000017</t>
  </si>
  <si>
    <t>6439032553</t>
  </si>
  <si>
    <t>0860200000819009648</t>
  </si>
  <si>
    <t>643900550082</t>
  </si>
  <si>
    <t>7105506527</t>
  </si>
  <si>
    <t>0366100011619000040</t>
  </si>
  <si>
    <t>7103511715</t>
  </si>
  <si>
    <t>7130030400</t>
  </si>
  <si>
    <t>8609014318</t>
  </si>
  <si>
    <t>0187300007819000191</t>
  </si>
  <si>
    <t>0306200010219000544</t>
  </si>
  <si>
    <t>0306200010219000539</t>
  </si>
  <si>
    <t>3017003414</t>
  </si>
  <si>
    <t>0325100011419000072</t>
  </si>
  <si>
    <t>3025030299</t>
  </si>
  <si>
    <t>0187300007819000192</t>
  </si>
  <si>
    <t>0306200010219000538</t>
  </si>
  <si>
    <t>0264100000119000137</t>
  </si>
  <si>
    <t>5027012404</t>
  </si>
  <si>
    <t>808091</t>
  </si>
  <si>
    <t>Дзержинский</t>
  </si>
  <si>
    <t>3834008940</t>
  </si>
  <si>
    <t>0334300008819000143</t>
  </si>
  <si>
    <t>[ОКПД2 17.23] Принадлежности канцелярские бумажные, [ОКПД2 17.29] Изделия из бумаги и картона прочие</t>
  </si>
  <si>
    <t>Нижнеилимский район</t>
  </si>
  <si>
    <t>3849013559</t>
  </si>
  <si>
    <t>5504149626</t>
  </si>
  <si>
    <t>3814007988</t>
  </si>
  <si>
    <t>381201173004</t>
  </si>
  <si>
    <t>0387100009019000007</t>
  </si>
  <si>
    <t>861300110126</t>
  </si>
  <si>
    <t>2127018838</t>
  </si>
  <si>
    <t>0215100002419000190</t>
  </si>
  <si>
    <t>2128049998</t>
  </si>
  <si>
    <t>2129027450</t>
  </si>
  <si>
    <t>2127301549</t>
  </si>
  <si>
    <t>3607001280</t>
  </si>
  <si>
    <t>100264205119000008</t>
  </si>
  <si>
    <t>Верхнехавский район</t>
  </si>
  <si>
    <t>100264205119000009</t>
  </si>
  <si>
    <t>0215100002419000189</t>
  </si>
  <si>
    <t>0387100009019000006</t>
  </si>
  <si>
    <t>1211000629</t>
  </si>
  <si>
    <t>0308300016319000018</t>
  </si>
  <si>
    <t>Параньгинский район</t>
  </si>
  <si>
    <t>121603791617</t>
  </si>
  <si>
    <t>1211003394</t>
  </si>
  <si>
    <t>2721194589</t>
  </si>
  <si>
    <t>0122200002519005368</t>
  </si>
  <si>
    <t>0387100008819000010</t>
  </si>
  <si>
    <t>2310071982</t>
  </si>
  <si>
    <t>0318200061919000014</t>
  </si>
  <si>
    <t>[ОКПД2 56.29] Услуги по обеспечению питанием прочие, [ОКПД2 55.90] Услуги по предоставлению временного жилья прочие</t>
  </si>
  <si>
    <t>2304012594</t>
  </si>
  <si>
    <t>2301069320</t>
  </si>
  <si>
    <t>0318200017019000109</t>
  </si>
  <si>
    <t>5223002498</t>
  </si>
  <si>
    <t>0332100025719000011</t>
  </si>
  <si>
    <t>5223001624</t>
  </si>
  <si>
    <t>8609014660</t>
  </si>
  <si>
    <t>0187300007819000190</t>
  </si>
  <si>
    <t>31908264368</t>
  </si>
  <si>
    <t>3329015454</t>
  </si>
  <si>
    <t>0128100000819000248</t>
  </si>
  <si>
    <t>[ОКПД2 27.12] Аппаратура распределительная и регулирующая электрическая</t>
  </si>
  <si>
    <t>0314887591</t>
  </si>
  <si>
    <t>0102100007519000007</t>
  </si>
  <si>
    <t>5027108258</t>
  </si>
  <si>
    <t>807972</t>
  </si>
  <si>
    <t>0506003976</t>
  </si>
  <si>
    <t>0103300011419000005</t>
  </si>
  <si>
    <t>Ботлихский район</t>
  </si>
  <si>
    <t>050602181606</t>
  </si>
  <si>
    <t>0102100007519000006</t>
  </si>
  <si>
    <t>6661056998</t>
  </si>
  <si>
    <t>0362100023919000081</t>
  </si>
  <si>
    <t>6685054968</t>
  </si>
  <si>
    <t>5040040954</t>
  </si>
  <si>
    <t>0848300051619002276</t>
  </si>
  <si>
    <t>Раменский район</t>
  </si>
  <si>
    <t>5040000310</t>
  </si>
  <si>
    <t>504002198710</t>
  </si>
  <si>
    <t>5216001920</t>
  </si>
  <si>
    <t>0332100021019000009</t>
  </si>
  <si>
    <t>2225127377</t>
  </si>
  <si>
    <t>0817200000319010306</t>
  </si>
  <si>
    <t>[ОКПД2 55.20] Услуги по предоставлению временного жилья в местах отдыха и прочих местах для краткосрочного проживания</t>
  </si>
  <si>
    <t>2222036820</t>
  </si>
  <si>
    <t>1435038146</t>
  </si>
  <si>
    <t>0116300008019000136</t>
  </si>
  <si>
    <t>[ОКПД2 27.12] Аппаратура распределительная и регулирующая электрическая, [ОКПД2 26.20] Компьютеры и периферийное оборудование, [ОКПД2 74.90] Услуги профессиональные, научные и технические, прочие, не включенные в другие группировки</t>
  </si>
  <si>
    <t>2460070642</t>
  </si>
  <si>
    <t>9103063908</t>
  </si>
  <si>
    <t>0875300030519000006</t>
  </si>
  <si>
    <t>111497</t>
  </si>
  <si>
    <t>Ухта</t>
  </si>
  <si>
    <t>5042017478</t>
  </si>
  <si>
    <t>807794</t>
  </si>
  <si>
    <t>111488</t>
  </si>
  <si>
    <t>0387100008819000009</t>
  </si>
  <si>
    <t>111480</t>
  </si>
  <si>
    <t>111482</t>
  </si>
  <si>
    <t>111499</t>
  </si>
  <si>
    <t>111498</t>
  </si>
  <si>
    <t>Изобильненский район</t>
  </si>
  <si>
    <t>2505003871</t>
  </si>
  <si>
    <t>0320300125519000052</t>
  </si>
  <si>
    <t>Дальнегорск</t>
  </si>
  <si>
    <t>2505013816</t>
  </si>
  <si>
    <t>111485</t>
  </si>
  <si>
    <t>111487</t>
  </si>
  <si>
    <t>5021011370</t>
  </si>
  <si>
    <t>807765</t>
  </si>
  <si>
    <t>9105000195</t>
  </si>
  <si>
    <t>100267621119000047</t>
  </si>
  <si>
    <t>Нижнегорский</t>
  </si>
  <si>
    <t>0130300000319000078</t>
  </si>
  <si>
    <t>7604006689</t>
  </si>
  <si>
    <t>0271100000319000197</t>
  </si>
  <si>
    <t>7604042581</t>
  </si>
  <si>
    <t>7621006054</t>
  </si>
  <si>
    <t>7017329318</t>
  </si>
  <si>
    <t>0865100000619000035</t>
  </si>
  <si>
    <t>0348100070619000185</t>
  </si>
  <si>
    <t>0348100070619000184</t>
  </si>
  <si>
    <t>8902002635</t>
  </si>
  <si>
    <t>0190200000319009499</t>
  </si>
  <si>
    <t>Лабытнанги</t>
  </si>
  <si>
    <t>7203004003</t>
  </si>
  <si>
    <t>2635130373</t>
  </si>
  <si>
    <t>0321100001419000057</t>
  </si>
  <si>
    <t>262301920369</t>
  </si>
  <si>
    <t>0321100001419000053</t>
  </si>
  <si>
    <t>0321100001419000056</t>
  </si>
  <si>
    <t>0321100001419000055</t>
  </si>
  <si>
    <t>0321100001419000054</t>
  </si>
  <si>
    <t>0828100000719000789</t>
  </si>
  <si>
    <t>5321064380</t>
  </si>
  <si>
    <t>0850200000419001336</t>
  </si>
  <si>
    <t>Великий Новгород</t>
  </si>
  <si>
    <t>7734656920</t>
  </si>
  <si>
    <t>5321198538</t>
  </si>
  <si>
    <t>7727777787</t>
  </si>
  <si>
    <t>2452040108</t>
  </si>
  <si>
    <t>ATOM03091900023</t>
  </si>
  <si>
    <t>2587467</t>
  </si>
  <si>
    <t>6501156338</t>
  </si>
  <si>
    <t>0861200000119000120</t>
  </si>
  <si>
    <t>6501200756</t>
  </si>
  <si>
    <t>4314000464</t>
  </si>
  <si>
    <t>100164241119000060</t>
  </si>
  <si>
    <t>Куменский район</t>
  </si>
  <si>
    <t>31908264307</t>
  </si>
  <si>
    <t>31908266189</t>
  </si>
  <si>
    <t>31908264518</t>
  </si>
  <si>
    <t>2308139496</t>
  </si>
  <si>
    <t>31908265767</t>
  </si>
  <si>
    <t>31908263216</t>
  </si>
  <si>
    <t>31908265763</t>
  </si>
  <si>
    <t>[ОКПД2 10.13] Продукция мясная пищевая, в том числе из мяса птицы, [ОКВЭД2 10.1+] Переработка и консервирование мяса и мясной пищевой продукции</t>
  </si>
  <si>
    <t>3920004629</t>
  </si>
  <si>
    <t>31908278244</t>
  </si>
  <si>
    <t>2315013840</t>
  </si>
  <si>
    <t>31908263955</t>
  </si>
  <si>
    <t>31908261873</t>
  </si>
  <si>
    <t>0323094711</t>
  </si>
  <si>
    <t>31908266008</t>
  </si>
  <si>
    <t>31908263260</t>
  </si>
  <si>
    <t>1655265698</t>
  </si>
  <si>
    <t>31908277153</t>
  </si>
  <si>
    <t>[ОКПД2 10.13] Продукция мясная пищевая, в том числе из мяса птицы, [ОКВЭД2 10.13] Производство продукции из мяса убойных животных и мяса птицы</t>
  </si>
  <si>
    <t>31908266211</t>
  </si>
  <si>
    <t>[ОКПД2 46.36] Услуги по оптовой торговле сахаром, шоколадом и сахаристыми кондитерскими изделиями, [ОКВЭД2 46.36] Торговля оптовая сахаром, шоколадом и сахаристыми кондитерскими изделиями</t>
  </si>
  <si>
    <t>6449092350</t>
  </si>
  <si>
    <t>31908268370</t>
  </si>
  <si>
    <t>31908263568</t>
  </si>
  <si>
    <t>2465041660</t>
  </si>
  <si>
    <t>31908263452</t>
  </si>
  <si>
    <t>31908265122</t>
  </si>
  <si>
    <t>31908264557</t>
  </si>
  <si>
    <t>31908264570</t>
  </si>
  <si>
    <t>5031039494</t>
  </si>
  <si>
    <t>31908266036</t>
  </si>
  <si>
    <t>[ОКПД2 93.1+] Услуги в области спорта, [ОКВЭД2 93.1+] Деятельность в области спорта</t>
  </si>
  <si>
    <t>7404012597</t>
  </si>
  <si>
    <t>31908264529</t>
  </si>
  <si>
    <t>5260114601</t>
  </si>
  <si>
    <t>31908264937</t>
  </si>
  <si>
    <t>[ОКПД2 62.09] Услуги в области информационных технологий прочие и компьютерные услуги, [ОКВЭД2 62.09] Деятельность, связанная с использованием вычислительной техники и информационных технологий, прочая</t>
  </si>
  <si>
    <t>5053005918</t>
  </si>
  <si>
    <t>190903/2442/2433</t>
  </si>
  <si>
    <t>6454009319</t>
  </si>
  <si>
    <t>0260100000619000156</t>
  </si>
  <si>
    <t>6441009921</t>
  </si>
  <si>
    <t>0260100000619000155</t>
  </si>
  <si>
    <t>6455002010</t>
  </si>
  <si>
    <t>5027045329</t>
  </si>
  <si>
    <t>807640</t>
  </si>
  <si>
    <t>807636</t>
  </si>
  <si>
    <t>5027012411</t>
  </si>
  <si>
    <t>807634</t>
  </si>
  <si>
    <t>9109006864</t>
  </si>
  <si>
    <t>0375200026519000093</t>
  </si>
  <si>
    <t>280490891416</t>
  </si>
  <si>
    <t>0319200056819000162</t>
  </si>
  <si>
    <t>2801153732</t>
  </si>
  <si>
    <t>0123100006719000013</t>
  </si>
  <si>
    <t>2801165600</t>
  </si>
  <si>
    <t>2301027433</t>
  </si>
  <si>
    <t>0318100014719000038</t>
  </si>
  <si>
    <t>230103724546</t>
  </si>
  <si>
    <t>5834011778</t>
  </si>
  <si>
    <t>100227029119000168</t>
  </si>
  <si>
    <t>4510022993</t>
  </si>
  <si>
    <t>0843500000219002665</t>
  </si>
  <si>
    <t>[ОКПД2 55.90] Услуги по предоставлению временного жилья прочие, [ОКПД2 56.29] Услуги по обеспечению питанием прочие</t>
  </si>
  <si>
    <t>Кетовский район</t>
  </si>
  <si>
    <t>4501099069</t>
  </si>
  <si>
    <t>2631021662</t>
  </si>
  <si>
    <t>0321200037419000022</t>
  </si>
  <si>
    <t>[ОКПД2 85.31] Услуги по профессиональному обучению</t>
  </si>
  <si>
    <t>Невинномысск</t>
  </si>
  <si>
    <t>2631039268</t>
  </si>
  <si>
    <t>2625026165</t>
  </si>
  <si>
    <t>7706613770</t>
  </si>
  <si>
    <t>РН90900288</t>
  </si>
  <si>
    <t>2700000183</t>
  </si>
  <si>
    <t>0222100000219000275</t>
  </si>
  <si>
    <t>0711003224</t>
  </si>
  <si>
    <t>9101034034</t>
  </si>
  <si>
    <t>0151500000219000068</t>
  </si>
  <si>
    <t>5406249510</t>
  </si>
  <si>
    <t>5260001076</t>
  </si>
  <si>
    <t>0342100023519000010</t>
  </si>
  <si>
    <t>6311136630</t>
  </si>
  <si>
    <t>6315022231</t>
  </si>
  <si>
    <t>1435078406</t>
  </si>
  <si>
    <t>0816500000619012888</t>
  </si>
  <si>
    <t>1435289460</t>
  </si>
  <si>
    <t>1435247735</t>
  </si>
  <si>
    <t>8618004683</t>
  </si>
  <si>
    <t>0187300008419000325</t>
  </si>
  <si>
    <t>Ханты-Мансийский район</t>
  </si>
  <si>
    <t>720603020432</t>
  </si>
  <si>
    <t>0167200003419004554</t>
  </si>
  <si>
    <t>7202190406</t>
  </si>
  <si>
    <t>0180400000119000029</t>
  </si>
  <si>
    <t>1901136552</t>
  </si>
  <si>
    <t>807457</t>
  </si>
  <si>
    <t>0111300000819001107</t>
  </si>
  <si>
    <t>1650296188</t>
  </si>
  <si>
    <t>4207014720</t>
  </si>
  <si>
    <t>0139100004819000038</t>
  </si>
  <si>
    <t>4205016697</t>
  </si>
  <si>
    <t>807362</t>
  </si>
  <si>
    <t>0306200010219000535</t>
  </si>
  <si>
    <t>0306200010219000536</t>
  </si>
  <si>
    <t>5402560192</t>
  </si>
  <si>
    <t>7724354906</t>
  </si>
  <si>
    <t>0346300010019000013</t>
  </si>
  <si>
    <t>7621004233</t>
  </si>
  <si>
    <t>100246813119000015</t>
  </si>
  <si>
    <t>Некрасовский район</t>
  </si>
  <si>
    <t>7010001976</t>
  </si>
  <si>
    <t>0165300014419000022</t>
  </si>
  <si>
    <t>Молчановский район</t>
  </si>
  <si>
    <t>7710268372</t>
  </si>
  <si>
    <t>7703680144</t>
  </si>
  <si>
    <t>2306032557</t>
  </si>
  <si>
    <t>0318200066319000090</t>
  </si>
  <si>
    <t>Ейск</t>
  </si>
  <si>
    <t>2361014573</t>
  </si>
  <si>
    <t>100246813119000013</t>
  </si>
  <si>
    <t>4229001844</t>
  </si>
  <si>
    <t>0139100004919000016</t>
  </si>
  <si>
    <t>Топкинский район</t>
  </si>
  <si>
    <t>6164046076</t>
  </si>
  <si>
    <t>0158100011619000023</t>
  </si>
  <si>
    <t>6164101739</t>
  </si>
  <si>
    <t>5260050147</t>
  </si>
  <si>
    <t>0332200046219000034</t>
  </si>
  <si>
    <t>524900777675</t>
  </si>
  <si>
    <t>0721004763</t>
  </si>
  <si>
    <t>0304100000219000014</t>
  </si>
  <si>
    <t>0721018607</t>
  </si>
  <si>
    <t>5028017290</t>
  </si>
  <si>
    <t>807265</t>
  </si>
  <si>
    <t>100027905119000012</t>
  </si>
  <si>
    <t>7452022387</t>
  </si>
  <si>
    <t>0169300000119002126</t>
  </si>
  <si>
    <t>744700031461</t>
  </si>
  <si>
    <t>6906004750</t>
  </si>
  <si>
    <t>0136100012419000015</t>
  </si>
  <si>
    <t>Бежецкий район</t>
  </si>
  <si>
    <t>0136100012419000014</t>
  </si>
  <si>
    <t>6906011926</t>
  </si>
  <si>
    <t>7721033735</t>
  </si>
  <si>
    <t>0373200085419000106</t>
  </si>
  <si>
    <t>7724325609</t>
  </si>
  <si>
    <t>0887100000119000542</t>
  </si>
  <si>
    <t>6143039977</t>
  </si>
  <si>
    <t>0358300100919000108</t>
  </si>
  <si>
    <t>614318079450</t>
  </si>
  <si>
    <t>6163126233</t>
  </si>
  <si>
    <t>5920011316</t>
  </si>
  <si>
    <t>0356200010019000011</t>
  </si>
  <si>
    <t>592004454539</t>
  </si>
  <si>
    <t>7225002401</t>
  </si>
  <si>
    <t>100176905119000052</t>
  </si>
  <si>
    <t>Уватский район</t>
  </si>
  <si>
    <t>3664099722</t>
  </si>
  <si>
    <t>0131100012319000044</t>
  </si>
  <si>
    <t>362804610334</t>
  </si>
  <si>
    <t>6439036445</t>
  </si>
  <si>
    <t>31908260648</t>
  </si>
  <si>
    <t>6439036090</t>
  </si>
  <si>
    <t>31908260592</t>
  </si>
  <si>
    <t>Балаковский район</t>
  </si>
  <si>
    <t>0268022833</t>
  </si>
  <si>
    <t>31908260961</t>
  </si>
  <si>
    <t>5028017010</t>
  </si>
  <si>
    <t>31908257669</t>
  </si>
  <si>
    <t>0268022985</t>
  </si>
  <si>
    <t>31908260685</t>
  </si>
  <si>
    <t>6439036300</t>
  </si>
  <si>
    <t>31908261012</t>
  </si>
  <si>
    <t>31908259482</t>
  </si>
  <si>
    <t>31908260977</t>
  </si>
  <si>
    <t>3904014098</t>
  </si>
  <si>
    <t>31908273503</t>
  </si>
  <si>
    <t>3435880701</t>
  </si>
  <si>
    <t>31908274799</t>
  </si>
  <si>
    <t>6611002450</t>
  </si>
  <si>
    <t>31908261304</t>
  </si>
  <si>
    <t>6449936452</t>
  </si>
  <si>
    <t>31908265437</t>
  </si>
  <si>
    <t>31908259204</t>
  </si>
  <si>
    <t>0268046739</t>
  </si>
  <si>
    <t>31908260242</t>
  </si>
  <si>
    <t>6439036639</t>
  </si>
  <si>
    <t>31908251266</t>
  </si>
  <si>
    <t>6439036572</t>
  </si>
  <si>
    <t>31908265536</t>
  </si>
  <si>
    <t>[ОКПД2 56+] Услуги общественного питания, [ОКВЭД2 56.29] Деятельность предприятий общественного питания по прочим видам организации питания</t>
  </si>
  <si>
    <t>31908265026</t>
  </si>
  <si>
    <t>[ОКПД2 55.20] Услуги по предоставлению временного жилья в местах отдыха и прочих местах для краткосрочного проживания, [ОКВЭД2 55+] Деятельность по предоставлению мест для временного проживания</t>
  </si>
  <si>
    <t>31908259362</t>
  </si>
  <si>
    <t>7218002200</t>
  </si>
  <si>
    <t>31908261315</t>
  </si>
  <si>
    <t>31908262378</t>
  </si>
  <si>
    <t>5907013988</t>
  </si>
  <si>
    <t>31908261131</t>
  </si>
  <si>
    <t>3435880726</t>
  </si>
  <si>
    <t>31908261152</t>
  </si>
  <si>
    <t>31908260991</t>
  </si>
  <si>
    <t>7701012399</t>
  </si>
  <si>
    <t>31908261006</t>
  </si>
  <si>
    <t>3435881600</t>
  </si>
  <si>
    <t>31908260199</t>
  </si>
  <si>
    <t>7731569275</t>
  </si>
  <si>
    <t>31908261909</t>
  </si>
  <si>
    <t>6439036050</t>
  </si>
  <si>
    <t>31908250016</t>
  </si>
  <si>
    <t>3435880300</t>
  </si>
  <si>
    <t>31908260984</t>
  </si>
  <si>
    <t>31908260985</t>
  </si>
  <si>
    <t>31908262554</t>
  </si>
  <si>
    <t>0323092094</t>
  </si>
  <si>
    <t>31908259534</t>
  </si>
  <si>
    <t>3435881504</t>
  </si>
  <si>
    <t>31908259728</t>
  </si>
  <si>
    <t>3435880469</t>
  </si>
  <si>
    <t>31908260322</t>
  </si>
  <si>
    <t>3329001148</t>
  </si>
  <si>
    <t>31908261462</t>
  </si>
  <si>
    <t>7705035012</t>
  </si>
  <si>
    <t>31908261400</t>
  </si>
  <si>
    <t>[ОКПД2 27.90] Оборудование электрическое прочее, [ОКВЭД2 26.51] Производство инструментов и приборов для измерения, тестирования и навигации</t>
  </si>
  <si>
    <t>31908260050</t>
  </si>
  <si>
    <t>31908261479</t>
  </si>
  <si>
    <t>31908262448</t>
  </si>
  <si>
    <t>[ОКПД2 33.12] Услуги по ремонту оборудования, [ОКВЭД2 43.29] Производство прочих строительно-монтажных работ</t>
  </si>
  <si>
    <t>31908272611</t>
  </si>
  <si>
    <t>31908258923</t>
  </si>
  <si>
    <t>31908258925</t>
  </si>
  <si>
    <t>31908258926</t>
  </si>
  <si>
    <t>2903001619</t>
  </si>
  <si>
    <t>100301396119000026</t>
  </si>
  <si>
    <t>Новодвинск</t>
  </si>
  <si>
    <t>3525039187</t>
  </si>
  <si>
    <t>0230100000119000159</t>
  </si>
  <si>
    <t>7743945823</t>
  </si>
  <si>
    <t>100301396119000027</t>
  </si>
  <si>
    <t>100301396119000025</t>
  </si>
  <si>
    <t>100301396119000028</t>
  </si>
  <si>
    <t>100301396119000024</t>
  </si>
  <si>
    <t>100107932119000010</t>
  </si>
  <si>
    <t>1651020009</t>
  </si>
  <si>
    <t>0511600004919000009</t>
  </si>
  <si>
    <t>31908258735</t>
  </si>
  <si>
    <t>6439036413</t>
  </si>
  <si>
    <t>31908258620</t>
  </si>
  <si>
    <t>7411014193</t>
  </si>
  <si>
    <t>31908258782</t>
  </si>
  <si>
    <t>6439036526</t>
  </si>
  <si>
    <t>31908258679</t>
  </si>
  <si>
    <t>6656005229</t>
  </si>
  <si>
    <t>31908258714</t>
  </si>
  <si>
    <t>0268021974</t>
  </si>
  <si>
    <t>31908258624</t>
  </si>
  <si>
    <t>31908258628</t>
  </si>
  <si>
    <t>6656003905</t>
  </si>
  <si>
    <t>31908258595</t>
  </si>
  <si>
    <t>31908258695</t>
  </si>
  <si>
    <t>100107932119000009</t>
  </si>
  <si>
    <t>6440010441</t>
  </si>
  <si>
    <t>0860200000819009612</t>
  </si>
  <si>
    <t>Балашов</t>
  </si>
  <si>
    <t>644006634700</t>
  </si>
  <si>
    <t>5315005509</t>
  </si>
  <si>
    <t>100075750119000038</t>
  </si>
  <si>
    <t>Солецкий район</t>
  </si>
  <si>
    <t>0373200041519001635</t>
  </si>
  <si>
    <t>2317008436</t>
  </si>
  <si>
    <t>9101000606</t>
  </si>
  <si>
    <t>0373200041519001637</t>
  </si>
  <si>
    <t>2301047648</t>
  </si>
  <si>
    <t>2301012074</t>
  </si>
  <si>
    <t>2365016846</t>
  </si>
  <si>
    <t>0133200001719002639</t>
  </si>
  <si>
    <t>0133200001719002638</t>
  </si>
  <si>
    <t>0894400000219000072</t>
  </si>
  <si>
    <t>2013008459</t>
  </si>
  <si>
    <t>5042022397</t>
  </si>
  <si>
    <t>0848300051719000656</t>
  </si>
  <si>
    <t>[ОКПД2 84.22] Услуги в области обеспечения военной безопасности</t>
  </si>
  <si>
    <t>7810316238</t>
  </si>
  <si>
    <t>7704339843</t>
  </si>
  <si>
    <t>5835106327</t>
  </si>
  <si>
    <t>6907007714</t>
  </si>
  <si>
    <t>0136200003619005509</t>
  </si>
  <si>
    <t>Озерный</t>
  </si>
  <si>
    <t>6915001120</t>
  </si>
  <si>
    <t>6452113160</t>
  </si>
  <si>
    <t>631800585540</t>
  </si>
  <si>
    <t>1826000510</t>
  </si>
  <si>
    <t>0813500000119010785</t>
  </si>
  <si>
    <t>0265041884</t>
  </si>
  <si>
    <t>1841051975</t>
  </si>
  <si>
    <t>7709123968</t>
  </si>
  <si>
    <t>807087</t>
  </si>
  <si>
    <t>3808238352</t>
  </si>
  <si>
    <t>0834200001019000030</t>
  </si>
  <si>
    <t>2341004263</t>
  </si>
  <si>
    <t>0318100009219000014</t>
  </si>
  <si>
    <t>Ленинградский район</t>
  </si>
  <si>
    <t>234100003166</t>
  </si>
  <si>
    <t>6659042148</t>
  </si>
  <si>
    <t>0362200058519000005</t>
  </si>
  <si>
    <t>6673241522</t>
  </si>
  <si>
    <t>0318300170419000266</t>
  </si>
  <si>
    <t>0129200005319003494</t>
  </si>
  <si>
    <t>[ОКПД2 26.20] Компьютеры и периферийное оборудование, [ОКПД2 26.40] Техника бытовая электронная, [ОКПД2 26.30] Оборудование коммуникационное, [ОКПД2 58.29] Услуги по изданию прочего программного обеспечения</t>
  </si>
  <si>
    <t>1833029581</t>
  </si>
  <si>
    <t>0813500000119010783</t>
  </si>
  <si>
    <t>183300221306</t>
  </si>
  <si>
    <t>7106015458</t>
  </si>
  <si>
    <t>0266100000519000058</t>
  </si>
  <si>
    <t>9701012522</t>
  </si>
  <si>
    <t>7107085017</t>
  </si>
  <si>
    <t>0128200000119005664</t>
  </si>
  <si>
    <t>0276098314</t>
  </si>
  <si>
    <t>5078005719</t>
  </si>
  <si>
    <t>0348100077219000028</t>
  </si>
  <si>
    <t>507802585537</t>
  </si>
  <si>
    <t>2510007430</t>
  </si>
  <si>
    <t>0320300051219000022</t>
  </si>
  <si>
    <t>[ОКПД2 10.81] Сахар, [ОКПД2 10.41] Масла и жиры, [ОКПД2 10.89] Продукты пищевые прочие, не включенные в другие группировки, [ОКПД2 10.83] Чай и кофе обработанные, [ОКПД2 10.61] Продукция мукомольно-крупяного производства, [ОКПД2 10.84] Приправы и пряности, [ОКПД2 10.39] Фрукты, овощи и грибы переработанные и консервированные, не включенные в другие группировки, [ОКПД2 01.11] Культуры зерновые (кроме риса), зернобобовые, семена масличных культур, [ОКПД2 01.47] Птица сельскохозяйственная живая и яйца, [ОКПД2 10.85] Продукты пищевые готовые и блюда, [ОКПД2 10.73] Изделия макаронные, кускус и аналогичные мучные изделия, [ОКПД2 10.86] Продукция детского питания и диетическая</t>
  </si>
  <si>
    <t>2511073891</t>
  </si>
  <si>
    <t>251009749869</t>
  </si>
  <si>
    <t>2507012303</t>
  </si>
  <si>
    <t>0318300170419000267</t>
  </si>
  <si>
    <t>807092</t>
  </si>
  <si>
    <t>Люберцы</t>
  </si>
  <si>
    <t>0137100000219000052</t>
  </si>
  <si>
    <t>4027062570</t>
  </si>
  <si>
    <t>5031022363</t>
  </si>
  <si>
    <t>807025</t>
  </si>
  <si>
    <t>Черноголовка</t>
  </si>
  <si>
    <t>5508001003</t>
  </si>
  <si>
    <t>0152300011919001076</t>
  </si>
  <si>
    <t>5501140752</t>
  </si>
  <si>
    <t>1108022185</t>
  </si>
  <si>
    <t>0107100003519000359</t>
  </si>
  <si>
    <t>1108019055</t>
  </si>
  <si>
    <t>5904102830</t>
  </si>
  <si>
    <t>0356100001119000121</t>
  </si>
  <si>
    <t>5902227432</t>
  </si>
  <si>
    <t>0373200041519001625</t>
  </si>
  <si>
    <t>7726451253</t>
  </si>
  <si>
    <t>7717798160</t>
  </si>
  <si>
    <t>7723601454</t>
  </si>
  <si>
    <t>5612014915</t>
  </si>
  <si>
    <t>0853500000319009791</t>
  </si>
  <si>
    <t>1833048168</t>
  </si>
  <si>
    <t>0321200039319000070</t>
  </si>
  <si>
    <t>5406012253</t>
  </si>
  <si>
    <t>0151100004519000136</t>
  </si>
  <si>
    <t>540722611061</t>
  </si>
  <si>
    <t>5406691654</t>
  </si>
  <si>
    <t>5402009002</t>
  </si>
  <si>
    <t>0172200001019000060</t>
  </si>
  <si>
    <t>0137100000219000043</t>
  </si>
  <si>
    <t>5045062581</t>
  </si>
  <si>
    <t>806997</t>
  </si>
  <si>
    <t>0150100002519000014</t>
  </si>
  <si>
    <t>0153300089319000027</t>
  </si>
  <si>
    <t>5646011415</t>
  </si>
  <si>
    <t>5646010436</t>
  </si>
  <si>
    <t>5646010355</t>
  </si>
  <si>
    <t>0150100002519000013</t>
  </si>
  <si>
    <t>5609092078</t>
  </si>
  <si>
    <t>0853500000319009776</t>
  </si>
  <si>
    <t>[ОКПД2 27.20] Батареи и аккумуляторы</t>
  </si>
  <si>
    <t>5638050756</t>
  </si>
  <si>
    <t>7734403366</t>
  </si>
  <si>
    <t>4223712739</t>
  </si>
  <si>
    <t>4632203877</t>
  </si>
  <si>
    <t>5609063038</t>
  </si>
  <si>
    <t>6316203921</t>
  </si>
  <si>
    <t>5609045303</t>
  </si>
  <si>
    <t>7460039338</t>
  </si>
  <si>
    <t>7736000860</t>
  </si>
  <si>
    <t>2536276212</t>
  </si>
  <si>
    <t>0356100001119000122</t>
  </si>
  <si>
    <t>5036067248</t>
  </si>
  <si>
    <t>806933</t>
  </si>
  <si>
    <t>0162100019219000007</t>
  </si>
  <si>
    <t>7736064976</t>
  </si>
  <si>
    <t>0373100028819000057</t>
  </si>
  <si>
    <t>7734423965</t>
  </si>
  <si>
    <t>5046050268</t>
  </si>
  <si>
    <t>7736639663</t>
  </si>
  <si>
    <t>5053022800</t>
  </si>
  <si>
    <t>0848600005319000296</t>
  </si>
  <si>
    <t>0162100019219000006</t>
  </si>
  <si>
    <t>6619014419</t>
  </si>
  <si>
    <t>2124011217</t>
  </si>
  <si>
    <t>0115100008319000034</t>
  </si>
  <si>
    <t>Новочебоксарск</t>
  </si>
  <si>
    <t>2124024054</t>
  </si>
  <si>
    <t>2124036363</t>
  </si>
  <si>
    <t>212400799471</t>
  </si>
  <si>
    <t>0276006472</t>
  </si>
  <si>
    <t>0101500000319001556</t>
  </si>
  <si>
    <t>0275069215</t>
  </si>
  <si>
    <t>0273029270</t>
  </si>
  <si>
    <t>0263022389</t>
  </si>
  <si>
    <t>0348100077219000025</t>
  </si>
  <si>
    <t>0348100077219000027</t>
  </si>
  <si>
    <t>100078831119000211</t>
  </si>
  <si>
    <t>806886</t>
  </si>
  <si>
    <t>0342100040819000033</t>
  </si>
  <si>
    <t>0105033444</t>
  </si>
  <si>
    <t>0176200005519001708</t>
  </si>
  <si>
    <t>0105018213</t>
  </si>
  <si>
    <t>010501321001</t>
  </si>
  <si>
    <t>7707795160</t>
  </si>
  <si>
    <t>0873100004419000261</t>
  </si>
  <si>
    <t>[ОКПД2 27.20] Батареи и аккумуляторы, [ОКПД2 33.13] Услуги по ремонту электронного и оптического оборудования</t>
  </si>
  <si>
    <t>7727255565</t>
  </si>
  <si>
    <t>7715348511</t>
  </si>
  <si>
    <t>2721031150</t>
  </si>
  <si>
    <t>0122100003019000148</t>
  </si>
  <si>
    <t>5034083861</t>
  </si>
  <si>
    <t>0848300049019000635</t>
  </si>
  <si>
    <t>100145714119000082</t>
  </si>
  <si>
    <t>5001007706</t>
  </si>
  <si>
    <t>0348100084919000057</t>
  </si>
  <si>
    <t>Балашиха</t>
  </si>
  <si>
    <t>500107675698</t>
  </si>
  <si>
    <t>0122100007119000022</t>
  </si>
  <si>
    <t>2464222399</t>
  </si>
  <si>
    <t>100164241119000054</t>
  </si>
  <si>
    <t>0122100007119000021</t>
  </si>
  <si>
    <t>0348100077219000026</t>
  </si>
  <si>
    <t>0348100084919000059</t>
  </si>
  <si>
    <t>5027269978</t>
  </si>
  <si>
    <t>100145714119000083</t>
  </si>
  <si>
    <t>0137100000219000042</t>
  </si>
  <si>
    <t>100145714119000081</t>
  </si>
  <si>
    <t>2308040000</t>
  </si>
  <si>
    <t>0818500000819000497</t>
  </si>
  <si>
    <t>143409410708</t>
  </si>
  <si>
    <t>2309065769</t>
  </si>
  <si>
    <t>2310052669</t>
  </si>
  <si>
    <t>0337300032419000007</t>
  </si>
  <si>
    <t>4018004187</t>
  </si>
  <si>
    <t>4018004170</t>
  </si>
  <si>
    <t>5254021229</t>
  </si>
  <si>
    <t>0132300007219000168</t>
  </si>
  <si>
    <t>5254016885</t>
  </si>
  <si>
    <t>1106007375</t>
  </si>
  <si>
    <t>0107100003519000342</t>
  </si>
  <si>
    <t>1106021637</t>
  </si>
  <si>
    <t>0269003819</t>
  </si>
  <si>
    <t>0301100027619000013</t>
  </si>
  <si>
    <t>Туймазинский район</t>
  </si>
  <si>
    <t>0269030516</t>
  </si>
  <si>
    <t>1114001930</t>
  </si>
  <si>
    <t>0107100003519000343</t>
  </si>
  <si>
    <t>3911011965</t>
  </si>
  <si>
    <t>0135200000519003649</t>
  </si>
  <si>
    <t>3906236667</t>
  </si>
  <si>
    <t>0122100003019000147</t>
  </si>
  <si>
    <t>0132300007219000167</t>
  </si>
  <si>
    <t>7306003097</t>
  </si>
  <si>
    <t>100191979119000021</t>
  </si>
  <si>
    <t>Инзенский район</t>
  </si>
  <si>
    <t>2338007056</t>
  </si>
  <si>
    <t>0118100003819000005</t>
  </si>
  <si>
    <t>Крыловский район</t>
  </si>
  <si>
    <t>0107100003519000345</t>
  </si>
  <si>
    <t>2538033670</t>
  </si>
  <si>
    <t>0320100012519000019</t>
  </si>
  <si>
    <t>2543059723</t>
  </si>
  <si>
    <t>2537086133</t>
  </si>
  <si>
    <t>1118001890</t>
  </si>
  <si>
    <t>0107100003519000349</t>
  </si>
  <si>
    <t>111800037900</t>
  </si>
  <si>
    <t>0106100004719000005</t>
  </si>
  <si>
    <t>0107100003519000350</t>
  </si>
  <si>
    <t>100145714119000079</t>
  </si>
  <si>
    <t>3123101614</t>
  </si>
  <si>
    <t>0126200000419003307</t>
  </si>
  <si>
    <t>312302386581</t>
  </si>
  <si>
    <t>5101110400</t>
  </si>
  <si>
    <t>0349100005819000018</t>
  </si>
  <si>
    <t>Апатиты</t>
  </si>
  <si>
    <t>5101200365</t>
  </si>
  <si>
    <t>0373200041519001611</t>
  </si>
  <si>
    <t>5038036051</t>
  </si>
  <si>
    <t>5053022857</t>
  </si>
  <si>
    <t>0848600005319000295</t>
  </si>
  <si>
    <t>0320100012519000020</t>
  </si>
  <si>
    <t>7205026860</t>
  </si>
  <si>
    <t>100004234119000006</t>
  </si>
  <si>
    <t>Казанский район</t>
  </si>
  <si>
    <t>0149100003219000107</t>
  </si>
  <si>
    <t>100191979119000019</t>
  </si>
  <si>
    <t>0544009087</t>
  </si>
  <si>
    <t>0103200008419007091</t>
  </si>
  <si>
    <t>0544009263</t>
  </si>
  <si>
    <t>5252006930</t>
  </si>
  <si>
    <t>0132100004319000042</t>
  </si>
  <si>
    <t>Павловский район</t>
  </si>
  <si>
    <t>5257140464</t>
  </si>
  <si>
    <t>0149100003219000106</t>
  </si>
  <si>
    <t>100191979119000018</t>
  </si>
  <si>
    <t>4617002132</t>
  </si>
  <si>
    <t>0144100012119000011</t>
  </si>
  <si>
    <t>463218049947</t>
  </si>
  <si>
    <t>0373200041519001615</t>
  </si>
  <si>
    <t>7729071411</t>
  </si>
  <si>
    <t>0149100003219000118</t>
  </si>
  <si>
    <t>5190051419</t>
  </si>
  <si>
    <t>0349100005819000017</t>
  </si>
  <si>
    <t>0306200010219000523</t>
  </si>
  <si>
    <t>6908000616</t>
  </si>
  <si>
    <t>0136200003619005432</t>
  </si>
  <si>
    <t>0306200010219000524</t>
  </si>
  <si>
    <t>5053022871</t>
  </si>
  <si>
    <t>0848600005319000261</t>
  </si>
  <si>
    <t>2906003050</t>
  </si>
  <si>
    <t>0324100005519000008</t>
  </si>
  <si>
    <t>291201709987</t>
  </si>
  <si>
    <t>3721002296</t>
  </si>
  <si>
    <t>100013432119000030</t>
  </si>
  <si>
    <t>Родниковский район</t>
  </si>
  <si>
    <t>ЗП908465</t>
  </si>
  <si>
    <t>0375200030419000129</t>
  </si>
  <si>
    <t>5053022840</t>
  </si>
  <si>
    <t>0848600005319000293</t>
  </si>
  <si>
    <t>0129100010319000004</t>
  </si>
  <si>
    <t>7733137143</t>
  </si>
  <si>
    <t>0373200558119000054</t>
  </si>
  <si>
    <t>9705043120</t>
  </si>
  <si>
    <t>7734598193</t>
  </si>
  <si>
    <t>4401092983</t>
  </si>
  <si>
    <t>7715642168</t>
  </si>
  <si>
    <t>5050114370</t>
  </si>
  <si>
    <t>2204054840</t>
  </si>
  <si>
    <t>7709786186</t>
  </si>
  <si>
    <t>7709407790</t>
  </si>
  <si>
    <t>9725015191</t>
  </si>
  <si>
    <t>5053023106</t>
  </si>
  <si>
    <t>0848600005319000260</t>
  </si>
  <si>
    <t>0851100001919000733</t>
  </si>
  <si>
    <t>7804168052</t>
  </si>
  <si>
    <t>4706012446</t>
  </si>
  <si>
    <t>0145300005419000118</t>
  </si>
  <si>
    <t>Кировский район</t>
  </si>
  <si>
    <t>470600140380</t>
  </si>
  <si>
    <t>5053035239</t>
  </si>
  <si>
    <t>0848600005319000254</t>
  </si>
  <si>
    <t>5053022744</t>
  </si>
  <si>
    <t>0848600005319000292</t>
  </si>
  <si>
    <t>100013432119000031</t>
  </si>
  <si>
    <t>2920005483</t>
  </si>
  <si>
    <t>0324100009219000013</t>
  </si>
  <si>
    <t>0129100010319000005</t>
  </si>
  <si>
    <t>5053022906</t>
  </si>
  <si>
    <t>0848600005319000257</t>
  </si>
  <si>
    <t>5053002392</t>
  </si>
  <si>
    <t>0848600005319000278</t>
  </si>
  <si>
    <t>5053026548</t>
  </si>
  <si>
    <t>0848600005319000280</t>
  </si>
  <si>
    <t>5053022790</t>
  </si>
  <si>
    <t>0848600005319000281</t>
  </si>
  <si>
    <t>5053022712</t>
  </si>
  <si>
    <t>0848600005319000279</t>
  </si>
  <si>
    <t>5053002459</t>
  </si>
  <si>
    <t>0848600005319000273</t>
  </si>
  <si>
    <t>4346018062</t>
  </si>
  <si>
    <t>0140100005119000040</t>
  </si>
  <si>
    <t>4345349985</t>
  </si>
  <si>
    <t>5053022818</t>
  </si>
  <si>
    <t>0848600005319000268</t>
  </si>
  <si>
    <t>5053026570</t>
  </si>
  <si>
    <t>0848600005319000256</t>
  </si>
  <si>
    <t>5053026629</t>
  </si>
  <si>
    <t>0848600005319000290</t>
  </si>
  <si>
    <t>8616005184</t>
  </si>
  <si>
    <t>100047959119000009</t>
  </si>
  <si>
    <t>Кондинский район</t>
  </si>
  <si>
    <t>5902242818</t>
  </si>
  <si>
    <t>1056500003619000001</t>
  </si>
  <si>
    <t>[ОКПД2 85.41] Услуги по дополнительному образованию детей и взрослых</t>
  </si>
  <si>
    <t>5903065505</t>
  </si>
  <si>
    <t>5903114791</t>
  </si>
  <si>
    <t>5053026594</t>
  </si>
  <si>
    <t>0848600005319000272</t>
  </si>
  <si>
    <t>5053026555</t>
  </si>
  <si>
    <t>0848600005319000285</t>
  </si>
  <si>
    <t>5053022670</t>
  </si>
  <si>
    <t>0848600005319000274</t>
  </si>
  <si>
    <t>4309002579</t>
  </si>
  <si>
    <t>0340100004219000023</t>
  </si>
  <si>
    <t>Зуевский район</t>
  </si>
  <si>
    <t>0355100015219000015</t>
  </si>
  <si>
    <t>5053022776</t>
  </si>
  <si>
    <t>0848600005319000283</t>
  </si>
  <si>
    <t>5053002385</t>
  </si>
  <si>
    <t>0848600005319000271</t>
  </si>
  <si>
    <t>5053002427</t>
  </si>
  <si>
    <t>0848600005319000269</t>
  </si>
  <si>
    <t>5053022889</t>
  </si>
  <si>
    <t>0848600005319000265</t>
  </si>
  <si>
    <t>5031067830</t>
  </si>
  <si>
    <t>0848600005319000255</t>
  </si>
  <si>
    <t>0321100001419000052</t>
  </si>
  <si>
    <t>0355100015219000014</t>
  </si>
  <si>
    <t>5053022769</t>
  </si>
  <si>
    <t>0848600005319000286</t>
  </si>
  <si>
    <t>5053026523</t>
  </si>
  <si>
    <t>0848600005319000276</t>
  </si>
  <si>
    <t>5053022832</t>
  </si>
  <si>
    <t>0848600005319000267</t>
  </si>
  <si>
    <t>5053010273</t>
  </si>
  <si>
    <t>0848600005319000291</t>
  </si>
  <si>
    <t>5031099006</t>
  </si>
  <si>
    <t>0848600005319000289</t>
  </si>
  <si>
    <t>5053002434</t>
  </si>
  <si>
    <t>0848600005319000282</t>
  </si>
  <si>
    <t>5053022695</t>
  </si>
  <si>
    <t>0848600005319000275</t>
  </si>
  <si>
    <t>5053039233</t>
  </si>
  <si>
    <t>0848600005319000277</t>
  </si>
  <si>
    <t>5053026562</t>
  </si>
  <si>
    <t>0848600005319000266</t>
  </si>
  <si>
    <t>7328041360</t>
  </si>
  <si>
    <t>0368300000119000800</t>
  </si>
  <si>
    <t>7328058734</t>
  </si>
  <si>
    <t>2532003310</t>
  </si>
  <si>
    <t>100014561119000006</t>
  </si>
  <si>
    <t>Хорольский район</t>
  </si>
  <si>
    <t>6439036692</t>
  </si>
  <si>
    <t>31908257777</t>
  </si>
  <si>
    <t>31908253231</t>
  </si>
  <si>
    <t>6627009035</t>
  </si>
  <si>
    <t>31908256992</t>
  </si>
  <si>
    <t>0268017199</t>
  </si>
  <si>
    <t>31908255002</t>
  </si>
  <si>
    <t>5913002656</t>
  </si>
  <si>
    <t>31908255128</t>
  </si>
  <si>
    <t>5916007155</t>
  </si>
  <si>
    <t>31908255173</t>
  </si>
  <si>
    <t>31908254768</t>
  </si>
  <si>
    <t>0268022992</t>
  </si>
  <si>
    <t>31908255123</t>
  </si>
  <si>
    <t>5408105577</t>
  </si>
  <si>
    <t>31908254531</t>
  </si>
  <si>
    <t>31908255090</t>
  </si>
  <si>
    <t>6612002358</t>
  </si>
  <si>
    <t>31908255802</t>
  </si>
  <si>
    <t>Каменск-Уральский</t>
  </si>
  <si>
    <t>6670087833</t>
  </si>
  <si>
    <t>31908257043</t>
  </si>
  <si>
    <t>7732016788</t>
  </si>
  <si>
    <t>31908250627</t>
  </si>
  <si>
    <t>31908253223</t>
  </si>
  <si>
    <t>0268020480</t>
  </si>
  <si>
    <t>31908255281</t>
  </si>
  <si>
    <t>0268021660</t>
  </si>
  <si>
    <t>31908255628</t>
  </si>
  <si>
    <t>Стерлитамак</t>
  </si>
  <si>
    <t>3329022483</t>
  </si>
  <si>
    <t>31908255926</t>
  </si>
  <si>
    <t>2450018587</t>
  </si>
  <si>
    <t>31908252582</t>
  </si>
  <si>
    <t>5948019227</t>
  </si>
  <si>
    <t>31908255885</t>
  </si>
  <si>
    <t>31908252519</t>
  </si>
  <si>
    <t>0268023058</t>
  </si>
  <si>
    <t>31908255012</t>
  </si>
  <si>
    <t>2801089396</t>
  </si>
  <si>
    <t>31908252542</t>
  </si>
  <si>
    <t>3327102849</t>
  </si>
  <si>
    <t>31908254702</t>
  </si>
  <si>
    <t>2450005228</t>
  </si>
  <si>
    <t>31908252620</t>
  </si>
  <si>
    <t>5948016699</t>
  </si>
  <si>
    <t>31908253626</t>
  </si>
  <si>
    <t>4345197524</t>
  </si>
  <si>
    <t>31908254801</t>
  </si>
  <si>
    <t>0268045809</t>
  </si>
  <si>
    <t>31908256880</t>
  </si>
  <si>
    <t>6439036540</t>
  </si>
  <si>
    <t>31908256332</t>
  </si>
  <si>
    <t>31908255093</t>
  </si>
  <si>
    <t>3907011497</t>
  </si>
  <si>
    <t>31908255584</t>
  </si>
  <si>
    <t>31908253630</t>
  </si>
  <si>
    <t>31908253600</t>
  </si>
  <si>
    <t>31908251874</t>
  </si>
  <si>
    <t>31908256742</t>
  </si>
  <si>
    <t>31908254224</t>
  </si>
  <si>
    <t>31908254761</t>
  </si>
  <si>
    <t>4824005886</t>
  </si>
  <si>
    <t>31908257732</t>
  </si>
  <si>
    <t>2460104588</t>
  </si>
  <si>
    <t>31908255150</t>
  </si>
  <si>
    <t>6439036727</t>
  </si>
  <si>
    <t>31908257951</t>
  </si>
  <si>
    <t>31908254974</t>
  </si>
  <si>
    <t>31908257584</t>
  </si>
  <si>
    <t>0268022777</t>
  </si>
  <si>
    <t>31908255009</t>
  </si>
  <si>
    <t>6439017636</t>
  </si>
  <si>
    <t>31908257241</t>
  </si>
  <si>
    <t>7203422956</t>
  </si>
  <si>
    <t>31908250483</t>
  </si>
  <si>
    <t>[ОКПД2 85.42] Услуги по дополнительному профессиональному образованию, [ОКВЭД2 85.30] Обучение профессиональное</t>
  </si>
  <si>
    <t>5638057261</t>
  </si>
  <si>
    <t>31908253140</t>
  </si>
  <si>
    <t>0268023019</t>
  </si>
  <si>
    <t>31908257950</t>
  </si>
  <si>
    <t>31908254844</t>
  </si>
  <si>
    <t>5246020341</t>
  </si>
  <si>
    <t>31908253613</t>
  </si>
  <si>
    <t>0268021276</t>
  </si>
  <si>
    <t>31908255747</t>
  </si>
  <si>
    <t>6439036406</t>
  </si>
  <si>
    <t>31908256683</t>
  </si>
  <si>
    <t>31908257765</t>
  </si>
  <si>
    <t>3920004668</t>
  </si>
  <si>
    <t>31908257849</t>
  </si>
  <si>
    <t>31908255813</t>
  </si>
  <si>
    <t>2450008437</t>
  </si>
  <si>
    <t>31908252496</t>
  </si>
  <si>
    <t>5835120145</t>
  </si>
  <si>
    <t>31908253772</t>
  </si>
  <si>
    <t>3906047571</t>
  </si>
  <si>
    <t>31908255151</t>
  </si>
  <si>
    <t>7701660262</t>
  </si>
  <si>
    <t>31908257938</t>
  </si>
  <si>
    <t>31908253173</t>
  </si>
  <si>
    <t>5011006941</t>
  </si>
  <si>
    <t>31908256306</t>
  </si>
  <si>
    <t>[ОКПД2 10.82] Какао, шоколад и изделия кондитерские сахаристые, [ОКПД2 10.39] Фрукты, овощи и грибы переработанные и консервированные, не включенные в другие группировки, [ОКПД2 10.81] Сахар, [ОКПД2 11.07] Напитки безалкогольные; минеральные воды и прочие питьевые воды в бутылках, [ОКПД2 10.72] Изделия сухарные и печенье; мучные кондитерские изделия, торты и пирожные длительного хранения, [ОКПД2 10.20] Рыба переработанная и консервированная, ракообразные и моллюски, [ОКВЭД2 10.82] Производство какао, шоколада и сахаристых кондитерских изделий, [ОКВЭД2 10.81] Производство сахара, [ОКВЭД2 11.07] Производство безалкогольных напитков; производство минеральных вод и прочих питьевых вод в бутылках, [ОКВЭД2 10.39] Прочие виды переработки и консервирования фруктов и овощей,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10.20] Переработка и консервирование рыбы, ракообразных и моллюсков</t>
  </si>
  <si>
    <t>806636</t>
  </si>
  <si>
    <t>3006005667</t>
  </si>
  <si>
    <t>100298877119000026</t>
  </si>
  <si>
    <t>Красноярский район</t>
  </si>
  <si>
    <t>3811015807</t>
  </si>
  <si>
    <t>0334100002719000081</t>
  </si>
  <si>
    <t>[ОКПД2 28.99] Оборудование специального назначения прочее, не включенное в другие группировки</t>
  </si>
  <si>
    <t>3812132920</t>
  </si>
  <si>
    <t>100298877119000025</t>
  </si>
  <si>
    <t>7735059596</t>
  </si>
  <si>
    <t>0173100013219000035</t>
  </si>
  <si>
    <t>100298877119000027</t>
  </si>
  <si>
    <t>0129200005319003476</t>
  </si>
  <si>
    <t>[ОКПД2 47.73] Услуги по розничной торговле лекарственными средствами в специализированных магазинах</t>
  </si>
  <si>
    <t>3443012297</t>
  </si>
  <si>
    <t>4318001268</t>
  </si>
  <si>
    <t>0340200003319011976</t>
  </si>
  <si>
    <t>Мурашинский район</t>
  </si>
  <si>
    <t>4345405453</t>
  </si>
  <si>
    <t>0131300000619002795</t>
  </si>
  <si>
    <t>3665035288</t>
  </si>
  <si>
    <t>3665033386</t>
  </si>
  <si>
    <t>3665035200</t>
  </si>
  <si>
    <t>3665034774</t>
  </si>
  <si>
    <t>3665036186</t>
  </si>
  <si>
    <t>3665021359</t>
  </si>
  <si>
    <t>3665035369</t>
  </si>
  <si>
    <t>3665034904</t>
  </si>
  <si>
    <t>3665034693</t>
  </si>
  <si>
    <t>7325107253</t>
  </si>
  <si>
    <t>3662067524</t>
  </si>
  <si>
    <t>0129200005319003478</t>
  </si>
  <si>
    <t>100261241119000089</t>
  </si>
  <si>
    <t>4334002692</t>
  </si>
  <si>
    <t>100276439119000042</t>
  </si>
  <si>
    <t>Уржумский район</t>
  </si>
  <si>
    <t>100276439119000043</t>
  </si>
  <si>
    <t>2454003327</t>
  </si>
  <si>
    <t>0119200000119007943</t>
  </si>
  <si>
    <t>2454019895</t>
  </si>
  <si>
    <t>245400323743</t>
  </si>
  <si>
    <t>5018036102</t>
  </si>
  <si>
    <t>0348100051519000032</t>
  </si>
  <si>
    <t>501849055206</t>
  </si>
  <si>
    <t>0348100051519000031</t>
  </si>
  <si>
    <t>2308076609</t>
  </si>
  <si>
    <t>0318200068119000112</t>
  </si>
  <si>
    <t>2310175967</t>
  </si>
  <si>
    <t>2305011836</t>
  </si>
  <si>
    <t>0318100037719000019</t>
  </si>
  <si>
    <t>Горячий Ключ</t>
  </si>
  <si>
    <t>230500671509</t>
  </si>
  <si>
    <t>0131300000619002794</t>
  </si>
  <si>
    <t>3666050970</t>
  </si>
  <si>
    <t>3666050948</t>
  </si>
  <si>
    <t>3666050994</t>
  </si>
  <si>
    <t>3666050962</t>
  </si>
  <si>
    <t>3666050916</t>
  </si>
  <si>
    <t>3666050923</t>
  </si>
  <si>
    <t>3666050930</t>
  </si>
  <si>
    <t>3666050955</t>
  </si>
  <si>
    <t>3666050987</t>
  </si>
  <si>
    <t>3662137700</t>
  </si>
  <si>
    <t>100227030119000023</t>
  </si>
  <si>
    <t>2714000352</t>
  </si>
  <si>
    <t>0122100011619000011</t>
  </si>
  <si>
    <t>Нанайский район</t>
  </si>
  <si>
    <t>2714000264</t>
  </si>
  <si>
    <t>0149100002119000025</t>
  </si>
  <si>
    <t>0318100037719000018</t>
  </si>
  <si>
    <t>0149100002119000024</t>
  </si>
  <si>
    <t>2623012181</t>
  </si>
  <si>
    <t>0821600002219000144</t>
  </si>
  <si>
    <t>Шпаковский район</t>
  </si>
  <si>
    <t>2635123182</t>
  </si>
  <si>
    <t>0348100069819000055</t>
  </si>
  <si>
    <t>5503235880</t>
  </si>
  <si>
    <t>0852100000219000087</t>
  </si>
  <si>
    <t>551901582270</t>
  </si>
  <si>
    <t>5528023380</t>
  </si>
  <si>
    <t>7203404763</t>
  </si>
  <si>
    <t>0131300000619002790</t>
  </si>
  <si>
    <t>3664027277</t>
  </si>
  <si>
    <t>3664044177</t>
  </si>
  <si>
    <t>3664043938</t>
  </si>
  <si>
    <t>3664008115</t>
  </si>
  <si>
    <t>3664045117</t>
  </si>
  <si>
    <t>3664046128</t>
  </si>
  <si>
    <t>3663085540</t>
  </si>
  <si>
    <t>3313028641</t>
  </si>
  <si>
    <t>0128400000319000009</t>
  </si>
  <si>
    <t>3834004512</t>
  </si>
  <si>
    <t>0134100007819000007</t>
  </si>
  <si>
    <t>100032245119000015</t>
  </si>
  <si>
    <t>0348100051519000030</t>
  </si>
  <si>
    <t>0348100051519000028</t>
  </si>
  <si>
    <t>0348100051519000027</t>
  </si>
  <si>
    <t>6724002148</t>
  </si>
  <si>
    <t>0163100009419000011</t>
  </si>
  <si>
    <t>9204007307</t>
  </si>
  <si>
    <t>0174200000519000052</t>
  </si>
  <si>
    <t>232703418287</t>
  </si>
  <si>
    <t>920155582937</t>
  </si>
  <si>
    <t>5073008836</t>
  </si>
  <si>
    <t>0848300049019000626</t>
  </si>
  <si>
    <t>0852100000219000088</t>
  </si>
  <si>
    <t>1911008408</t>
  </si>
  <si>
    <t>0880100001019000013</t>
  </si>
  <si>
    <t>1911007997</t>
  </si>
  <si>
    <t>3817012190</t>
  </si>
  <si>
    <t>0134100008719000013</t>
  </si>
  <si>
    <t>Усть-Илимск</t>
  </si>
  <si>
    <t>0348100051519000029</t>
  </si>
  <si>
    <t>0131300000619002788</t>
  </si>
  <si>
    <t>3665031460</t>
  </si>
  <si>
    <t>3665035070</t>
  </si>
  <si>
    <t>3665034118</t>
  </si>
  <si>
    <t>3665033795</t>
  </si>
  <si>
    <t>3665025184</t>
  </si>
  <si>
    <t>0134100008719000012</t>
  </si>
  <si>
    <t>0134100007819000008</t>
  </si>
  <si>
    <t>100032245119000016</t>
  </si>
  <si>
    <t>5918011005</t>
  </si>
  <si>
    <t>0356300119719000009</t>
  </si>
  <si>
    <t>591800063429</t>
  </si>
  <si>
    <t>5904140498</t>
  </si>
  <si>
    <t>0156100007819000114</t>
  </si>
  <si>
    <t>5944001243</t>
  </si>
  <si>
    <t>5905237566</t>
  </si>
  <si>
    <t>4028063713</t>
  </si>
  <si>
    <t>0137200001219004337</t>
  </si>
  <si>
    <t>4028066295</t>
  </si>
  <si>
    <t>4028056272</t>
  </si>
  <si>
    <t>402800098416</t>
  </si>
  <si>
    <t>4027055131</t>
  </si>
  <si>
    <t>806371</t>
  </si>
  <si>
    <t>0122100011619000012</t>
  </si>
  <si>
    <t>0131300000619002784</t>
  </si>
  <si>
    <t>3664044339</t>
  </si>
  <si>
    <t>3664047080</t>
  </si>
  <si>
    <t>3664044346</t>
  </si>
  <si>
    <t>3664045100</t>
  </si>
  <si>
    <t>3664044258</t>
  </si>
  <si>
    <t>3664033094</t>
  </si>
  <si>
    <t>3664049545</t>
  </si>
  <si>
    <t>3664045967</t>
  </si>
  <si>
    <t>0137200001219004336</t>
  </si>
  <si>
    <t>1435255140</t>
  </si>
  <si>
    <t>0816100000419000210</t>
  </si>
  <si>
    <t>1435286903</t>
  </si>
  <si>
    <t>143523047663</t>
  </si>
  <si>
    <t>7813076400</t>
  </si>
  <si>
    <t>100265598119000025</t>
  </si>
  <si>
    <t>0159100006919000099</t>
  </si>
  <si>
    <t>0361200015019005776</t>
  </si>
  <si>
    <t>6501212624</t>
  </si>
  <si>
    <t>108273</t>
  </si>
  <si>
    <t>5933181210</t>
  </si>
  <si>
    <t>0156300044519000128</t>
  </si>
  <si>
    <t>5933200134</t>
  </si>
  <si>
    <t>0860100001319000110</t>
  </si>
  <si>
    <t>100265598119000026</t>
  </si>
  <si>
    <t>0360100005519000008</t>
  </si>
  <si>
    <t>0823300021519000017</t>
  </si>
  <si>
    <t>2818003894</t>
  </si>
  <si>
    <t>Магдагачинский район</t>
  </si>
  <si>
    <t>2818003904</t>
  </si>
  <si>
    <t>2818003887</t>
  </si>
  <si>
    <t>0111300000819001098</t>
  </si>
  <si>
    <t>0360100005519000009</t>
  </si>
  <si>
    <t>8102002160</t>
  </si>
  <si>
    <t>0356300135419000004</t>
  </si>
  <si>
    <t>7816099558</t>
  </si>
  <si>
    <t>0372200038319000075</t>
  </si>
  <si>
    <t>7806391419</t>
  </si>
  <si>
    <t>65875232958710020</t>
  </si>
  <si>
    <t>7740000076</t>
  </si>
  <si>
    <t>0325200024719000029</t>
  </si>
  <si>
    <t>7707758095</t>
  </si>
  <si>
    <t>3015101568</t>
  </si>
  <si>
    <t>3015098121</t>
  </si>
  <si>
    <t>0860100001319000109</t>
  </si>
  <si>
    <t>ЗП908433</t>
  </si>
  <si>
    <t>0848300049019000631</t>
  </si>
  <si>
    <t>5034084061</t>
  </si>
  <si>
    <t>5034083808</t>
  </si>
  <si>
    <t>5034083815</t>
  </si>
  <si>
    <t>0149200002319005494</t>
  </si>
  <si>
    <t>5190152921</t>
  </si>
  <si>
    <t>6121006270</t>
  </si>
  <si>
    <t>0358300357719000011</t>
  </si>
  <si>
    <t>7751131754</t>
  </si>
  <si>
    <t>6167140831</t>
  </si>
  <si>
    <t>0348100069819000053</t>
  </si>
  <si>
    <t>0848300049019000625</t>
  </si>
  <si>
    <t>5034083830</t>
  </si>
  <si>
    <t>5034083981</t>
  </si>
  <si>
    <t>5034084488</t>
  </si>
  <si>
    <t>5073087309</t>
  </si>
  <si>
    <t>5073087098</t>
  </si>
  <si>
    <t>0848300049019000628</t>
  </si>
  <si>
    <t>5034084093</t>
  </si>
  <si>
    <t>5073086915</t>
  </si>
  <si>
    <t>5073087549</t>
  </si>
  <si>
    <t>5445004880</t>
  </si>
  <si>
    <t>0851300000119000298</t>
  </si>
  <si>
    <t>5433965311</t>
  </si>
  <si>
    <t>0348100069819000052</t>
  </si>
  <si>
    <t>0848300049019000629</t>
  </si>
  <si>
    <t>5034083702</t>
  </si>
  <si>
    <t>5034084470</t>
  </si>
  <si>
    <t>5034083999</t>
  </si>
  <si>
    <t>0848300049019000632</t>
  </si>
  <si>
    <t>5034083950</t>
  </si>
  <si>
    <t>5034084745</t>
  </si>
  <si>
    <t>0816100000419000209</t>
  </si>
  <si>
    <t>0348100069819000054</t>
  </si>
  <si>
    <t>0144100012119000010</t>
  </si>
  <si>
    <t>0848300049019000630</t>
  </si>
  <si>
    <t>5034083910</t>
  </si>
  <si>
    <t>5034083967</t>
  </si>
  <si>
    <t>0912002848</t>
  </si>
  <si>
    <t>100315469119000019</t>
  </si>
  <si>
    <t>Карачаево-Черкесская Республика</t>
  </si>
  <si>
    <t>Зеленчукский район</t>
  </si>
  <si>
    <t>4318001363</t>
  </si>
  <si>
    <t>100303217119000075</t>
  </si>
  <si>
    <t>0172200001019000057</t>
  </si>
  <si>
    <t>7813490594</t>
  </si>
  <si>
    <t>7801017305</t>
  </si>
  <si>
    <t>7411013954</t>
  </si>
  <si>
    <t>0169300025319000590</t>
  </si>
  <si>
    <t>100315469119000021</t>
  </si>
  <si>
    <t>100303217119000073</t>
  </si>
  <si>
    <t>100315469119000020</t>
  </si>
  <si>
    <t>0172200001019000055</t>
  </si>
  <si>
    <t>5902293700</t>
  </si>
  <si>
    <t>1056500003819000166</t>
  </si>
  <si>
    <t>590410315421</t>
  </si>
  <si>
    <t>774396525390</t>
  </si>
  <si>
    <t>100315469119000018</t>
  </si>
  <si>
    <t>100303217119000076</t>
  </si>
  <si>
    <t>Опаринский район</t>
  </si>
  <si>
    <t>6629003416</t>
  </si>
  <si>
    <t>0162100020519000009</t>
  </si>
  <si>
    <t>Новоуральск</t>
  </si>
  <si>
    <t>662904380259</t>
  </si>
  <si>
    <t>100303217119000074</t>
  </si>
  <si>
    <t>4825035210</t>
  </si>
  <si>
    <t>100081433119000024</t>
  </si>
  <si>
    <t>7810130628</t>
  </si>
  <si>
    <t>0372200103119000007</t>
  </si>
  <si>
    <t>4705055285</t>
  </si>
  <si>
    <t>5078008100</t>
  </si>
  <si>
    <t>0848300060619000498</t>
  </si>
  <si>
    <t>5110003363</t>
  </si>
  <si>
    <t>0349100018519000021</t>
  </si>
  <si>
    <t>Североморск</t>
  </si>
  <si>
    <t>5110005603</t>
  </si>
  <si>
    <t>3828006039</t>
  </si>
  <si>
    <t>0334100025219000121</t>
  </si>
  <si>
    <t>4345095466</t>
  </si>
  <si>
    <t>0257002063</t>
  </si>
  <si>
    <t>0301200044619000010</t>
  </si>
  <si>
    <t>025702554844</t>
  </si>
  <si>
    <t>4802003532</t>
  </si>
  <si>
    <t>0346100003219000031</t>
  </si>
  <si>
    <t>Грязинский район</t>
  </si>
  <si>
    <t>100147018119000038</t>
  </si>
  <si>
    <t>5636005349</t>
  </si>
  <si>
    <t>100110616119000013</t>
  </si>
  <si>
    <t>100072237119000043</t>
  </si>
  <si>
    <t>100072237119000044</t>
  </si>
  <si>
    <t>100110616119000014</t>
  </si>
  <si>
    <t>2336014386</t>
  </si>
  <si>
    <t>0318300554419000287</t>
  </si>
  <si>
    <t>233608276901</t>
  </si>
  <si>
    <t>2210004020</t>
  </si>
  <si>
    <t>0117100015319000022</t>
  </si>
  <si>
    <t>Немецкий национальный район</t>
  </si>
  <si>
    <t>225900579733</t>
  </si>
  <si>
    <t>0117100015319000023</t>
  </si>
  <si>
    <t>100110616119000012</t>
  </si>
  <si>
    <t>5219001533</t>
  </si>
  <si>
    <t>0332100035719000019</t>
  </si>
  <si>
    <t>Краснобаковский район</t>
  </si>
  <si>
    <t>0318300554419000288</t>
  </si>
  <si>
    <t>2336022362</t>
  </si>
  <si>
    <t>7731202301</t>
  </si>
  <si>
    <t>0373200014219001342</t>
  </si>
  <si>
    <t>7733765500</t>
  </si>
  <si>
    <t>0111300005119000540</t>
  </si>
  <si>
    <t>[ОКПД2 56.10] Услуги ресторанов и услуги по доставке продуктов питания, [ОКПД2 56.29] Услуги по обеспечению питанием прочие</t>
  </si>
  <si>
    <t>1651027614</t>
  </si>
  <si>
    <t>1651028079</t>
  </si>
  <si>
    <t>1651027974</t>
  </si>
  <si>
    <t>1651028030</t>
  </si>
  <si>
    <t>1651028255</t>
  </si>
  <si>
    <t>1651028294</t>
  </si>
  <si>
    <t>1651028390</t>
  </si>
  <si>
    <t>1651028230</t>
  </si>
  <si>
    <t>1651027861</t>
  </si>
  <si>
    <t>1651028368</t>
  </si>
  <si>
    <t>1651027893</t>
  </si>
  <si>
    <t>1651027967</t>
  </si>
  <si>
    <t>1651028047</t>
  </si>
  <si>
    <t>1651028400</t>
  </si>
  <si>
    <t>1651028061</t>
  </si>
  <si>
    <t>1651027903</t>
  </si>
  <si>
    <t>1651028431</t>
  </si>
  <si>
    <t>1651028103</t>
  </si>
  <si>
    <t>1651050469</t>
  </si>
  <si>
    <t>1651027935</t>
  </si>
  <si>
    <t>1651027910</t>
  </si>
  <si>
    <t>1651027942</t>
  </si>
  <si>
    <t>1651028150</t>
  </si>
  <si>
    <t>1651028167</t>
  </si>
  <si>
    <t>1651028329</t>
  </si>
  <si>
    <t>1651028174</t>
  </si>
  <si>
    <t>1651028223</t>
  </si>
  <si>
    <t>1651028311</t>
  </si>
  <si>
    <t>1651028093</t>
  </si>
  <si>
    <t>1651028304</t>
  </si>
  <si>
    <t>1651027999</t>
  </si>
  <si>
    <t>1651035171</t>
  </si>
  <si>
    <t>1651028022</t>
  </si>
  <si>
    <t>1651028424</t>
  </si>
  <si>
    <t>1651027950</t>
  </si>
  <si>
    <t>1651028216</t>
  </si>
  <si>
    <t>1651028142</t>
  </si>
  <si>
    <t>1651028209</t>
  </si>
  <si>
    <t>1651028110</t>
  </si>
  <si>
    <t>1651027879</t>
  </si>
  <si>
    <t>1651028008</t>
  </si>
  <si>
    <t>1651041104</t>
  </si>
  <si>
    <t>1651028086</t>
  </si>
  <si>
    <t>1651028054</t>
  </si>
  <si>
    <t>1651028262</t>
  </si>
  <si>
    <t>1651027981</t>
  </si>
  <si>
    <t>1651028270</t>
  </si>
  <si>
    <t>1651028343</t>
  </si>
  <si>
    <t>1651028181</t>
  </si>
  <si>
    <t>1651063041</t>
  </si>
  <si>
    <t>1651028128</t>
  </si>
  <si>
    <t>1651028417</t>
  </si>
  <si>
    <t>1651046215</t>
  </si>
  <si>
    <t>1651064165</t>
  </si>
  <si>
    <t>1651028248</t>
  </si>
  <si>
    <t>1651028336</t>
  </si>
  <si>
    <t>1651035005</t>
  </si>
  <si>
    <t>1651028015</t>
  </si>
  <si>
    <t>1651028135</t>
  </si>
  <si>
    <t>1651027928</t>
  </si>
  <si>
    <t>1651028456</t>
  </si>
  <si>
    <t>1651028449</t>
  </si>
  <si>
    <t>1651072991</t>
  </si>
  <si>
    <t>1651028382</t>
  </si>
  <si>
    <t>1651075544</t>
  </si>
  <si>
    <t>1651072409</t>
  </si>
  <si>
    <t>1630001703</t>
  </si>
  <si>
    <t>1630001693</t>
  </si>
  <si>
    <t>1651028872</t>
  </si>
  <si>
    <t>1651028921</t>
  </si>
  <si>
    <t>1651028907</t>
  </si>
  <si>
    <t>1651027886</t>
  </si>
  <si>
    <t>1630001654</t>
  </si>
  <si>
    <t>1651029805</t>
  </si>
  <si>
    <t>1651028914</t>
  </si>
  <si>
    <t>1651029019</t>
  </si>
  <si>
    <t>1651029026</t>
  </si>
  <si>
    <t>1651028858</t>
  </si>
  <si>
    <t>1651028946</t>
  </si>
  <si>
    <t>1651028960</t>
  </si>
  <si>
    <t>1651028897</t>
  </si>
  <si>
    <t>1651028992</t>
  </si>
  <si>
    <t>1651029040</t>
  </si>
  <si>
    <t>1651028865</t>
  </si>
  <si>
    <t>1651028880</t>
  </si>
  <si>
    <t>1651028953</t>
  </si>
  <si>
    <t>1630001735</t>
  </si>
  <si>
    <t>1651082566</t>
  </si>
  <si>
    <t>0349100018519000020</t>
  </si>
  <si>
    <t>100314189119000025</t>
  </si>
  <si>
    <t>Надымский район</t>
  </si>
  <si>
    <t>100258075119000003</t>
  </si>
  <si>
    <t>31908251145</t>
  </si>
  <si>
    <t>7715027733</t>
  </si>
  <si>
    <t>31908250514</t>
  </si>
  <si>
    <t>6611005123</t>
  </si>
  <si>
    <t>31908248392</t>
  </si>
  <si>
    <t>31908249002</t>
  </si>
  <si>
    <t>31908249146</t>
  </si>
  <si>
    <t>7725618950</t>
  </si>
  <si>
    <t>31908250345</t>
  </si>
  <si>
    <t>7719127048</t>
  </si>
  <si>
    <t>31908250157</t>
  </si>
  <si>
    <t>[ОКПД2 56.29] Услуги по обеспечению питанием прочие, [ОКПД2 49.39] Услуги сухопутного пассажирского транспорта прочие, не включенные в другие группировки, [ОКВЭД2 56.29] Деятельность предприятий общественного питания по прочим видам организации питания, [ОКВЭД2 49.39] Деятельность прочего сухопутного пассажирского транспорта, не включенная в другие группировки</t>
  </si>
  <si>
    <t>31908251343</t>
  </si>
  <si>
    <t>7411014130</t>
  </si>
  <si>
    <t>31908246936</t>
  </si>
  <si>
    <t>0268022939</t>
  </si>
  <si>
    <t>31908251506</t>
  </si>
  <si>
    <t>0323087898</t>
  </si>
  <si>
    <t>31908247478</t>
  </si>
  <si>
    <t>[ОКПД2 56.29] Услуги по обеспечению питанием прочие, [ОКВЭД2 85.14] Образование среднее общее</t>
  </si>
  <si>
    <t>BP00332870</t>
  </si>
  <si>
    <t>31908249232</t>
  </si>
  <si>
    <t>31908249390</t>
  </si>
  <si>
    <t>31908250309</t>
  </si>
  <si>
    <t>3025009018</t>
  </si>
  <si>
    <t>31908250409</t>
  </si>
  <si>
    <t>2363000424</t>
  </si>
  <si>
    <t>31908249510</t>
  </si>
  <si>
    <t>[ОКПД2 96+] Услуги персональные прочие, [ОКВЭД2 96.0+] Деятельность по предоставлению прочих персональных услуг</t>
  </si>
  <si>
    <t>31908251315</t>
  </si>
  <si>
    <t>6154074010</t>
  </si>
  <si>
    <t>31908249948</t>
  </si>
  <si>
    <t>6611004909</t>
  </si>
  <si>
    <t>31908248749</t>
  </si>
  <si>
    <t>6627009028</t>
  </si>
  <si>
    <t>31908247591</t>
  </si>
  <si>
    <t>31908245316</t>
  </si>
  <si>
    <t>31908249572</t>
  </si>
  <si>
    <t>31908250726</t>
  </si>
  <si>
    <t>3666073790</t>
  </si>
  <si>
    <t>31908252068</t>
  </si>
  <si>
    <t>7736045557</t>
  </si>
  <si>
    <t>31908252262</t>
  </si>
  <si>
    <t>31908250236</t>
  </si>
  <si>
    <t>31908250548</t>
  </si>
  <si>
    <t>31908250361</t>
  </si>
  <si>
    <t>31908249009</t>
  </si>
  <si>
    <t>31908249405</t>
  </si>
  <si>
    <t>31908251137</t>
  </si>
  <si>
    <t>7610042325</t>
  </si>
  <si>
    <t>31908248918</t>
  </si>
  <si>
    <t>31908249004</t>
  </si>
  <si>
    <t>5948039745</t>
  </si>
  <si>
    <t>31908247002</t>
  </si>
  <si>
    <t>2461023652</t>
  </si>
  <si>
    <t>31908246886</t>
  </si>
  <si>
    <t>5427105300</t>
  </si>
  <si>
    <t>0151300046819000048</t>
  </si>
  <si>
    <t>7313001950</t>
  </si>
  <si>
    <t>100253533119000029</t>
  </si>
  <si>
    <t>Новоспасский район</t>
  </si>
  <si>
    <t>100253533119000028</t>
  </si>
  <si>
    <t>111024</t>
  </si>
  <si>
    <t>0853500000319009607</t>
  </si>
  <si>
    <t>0268032479</t>
  </si>
  <si>
    <t>6312028323</t>
  </si>
  <si>
    <t>0142200001319013897</t>
  </si>
  <si>
    <t>6319181761</t>
  </si>
  <si>
    <t>5753033773</t>
  </si>
  <si>
    <t>0154200000419000053</t>
  </si>
  <si>
    <t>7203475267</t>
  </si>
  <si>
    <t>0154200000419000052</t>
  </si>
  <si>
    <t>1638001342</t>
  </si>
  <si>
    <t>0311100016019000005</t>
  </si>
  <si>
    <t>Тетюшский район</t>
  </si>
  <si>
    <t>1007001975</t>
  </si>
  <si>
    <t>0306100005019000012</t>
  </si>
  <si>
    <t>3435111079</t>
  </si>
  <si>
    <t>0329100005619000052</t>
  </si>
  <si>
    <t>5053025706</t>
  </si>
  <si>
    <t>805986</t>
  </si>
  <si>
    <t>0311100016019000004</t>
  </si>
  <si>
    <t>0131300000619002773</t>
  </si>
  <si>
    <t>3666036728</t>
  </si>
  <si>
    <t>3666051003</t>
  </si>
  <si>
    <t>3666050909</t>
  </si>
  <si>
    <t>3666219249</t>
  </si>
  <si>
    <t>3666233733</t>
  </si>
  <si>
    <t>0822100002819000593</t>
  </si>
  <si>
    <t>5610044618</t>
  </si>
  <si>
    <t>0153100005919000047</t>
  </si>
  <si>
    <t>5043013204</t>
  </si>
  <si>
    <t>100276416119000031</t>
  </si>
  <si>
    <t>Серпухов</t>
  </si>
  <si>
    <t>0129300016719000291</t>
  </si>
  <si>
    <t>3435128668</t>
  </si>
  <si>
    <t>3442107468</t>
  </si>
  <si>
    <t>3441037610</t>
  </si>
  <si>
    <t>3802000339</t>
  </si>
  <si>
    <t>0134100005719000011</t>
  </si>
  <si>
    <t>Бодайбинский район</t>
  </si>
  <si>
    <t>3802017533</t>
  </si>
  <si>
    <t>0134100005719000010</t>
  </si>
  <si>
    <t>5321179260</t>
  </si>
  <si>
    <t>0150200003919000876</t>
  </si>
  <si>
    <t>532116078034</t>
  </si>
  <si>
    <t>5321190659</t>
  </si>
  <si>
    <t>7451039821</t>
  </si>
  <si>
    <t>0369100047419000102</t>
  </si>
  <si>
    <t>7451260389</t>
  </si>
  <si>
    <t>5107010184</t>
  </si>
  <si>
    <t>0149100003419000015</t>
  </si>
  <si>
    <t>Мончегорск</t>
  </si>
  <si>
    <t>510703269301</t>
  </si>
  <si>
    <t>100276416119000030</t>
  </si>
  <si>
    <t>5025009734</t>
  </si>
  <si>
    <t>805873</t>
  </si>
  <si>
    <t>0306200010219000518</t>
  </si>
  <si>
    <t>0164100010119000025</t>
  </si>
  <si>
    <t>0372200275619000093</t>
  </si>
  <si>
    <t>5222010866</t>
  </si>
  <si>
    <t>100037926119000019</t>
  </si>
  <si>
    <t>Лысковский район</t>
  </si>
  <si>
    <t>7103015403</t>
  </si>
  <si>
    <t>0366200025819000127</t>
  </si>
  <si>
    <t>7106064800</t>
  </si>
  <si>
    <t>1821010096</t>
  </si>
  <si>
    <t>100004013119000034</t>
  </si>
  <si>
    <t>Вавожский район</t>
  </si>
  <si>
    <t>1650086462</t>
  </si>
  <si>
    <t>0111300000819001090</t>
  </si>
  <si>
    <t>0306200010219000517</t>
  </si>
  <si>
    <t>3017043833</t>
  </si>
  <si>
    <t>0325200008419000008</t>
  </si>
  <si>
    <t>263403455352</t>
  </si>
  <si>
    <t>3016034321</t>
  </si>
  <si>
    <t>5406677441</t>
  </si>
  <si>
    <t>3661171201</t>
  </si>
  <si>
    <t>3016034032</t>
  </si>
  <si>
    <t>231500940915</t>
  </si>
  <si>
    <t>0164100010119000026</t>
  </si>
  <si>
    <t>0153100005919000046</t>
  </si>
  <si>
    <t>5406121140</t>
  </si>
  <si>
    <t>0151100011519000036</t>
  </si>
  <si>
    <t>540118996466</t>
  </si>
  <si>
    <t>0306200010219000519</t>
  </si>
  <si>
    <t>0160100004119000012</t>
  </si>
  <si>
    <t>0160100004119000014</t>
  </si>
  <si>
    <t>0122100007119000020</t>
  </si>
  <si>
    <t>3444012677</t>
  </si>
  <si>
    <t>0129100008119000070</t>
  </si>
  <si>
    <t>0160100004119000011</t>
  </si>
  <si>
    <t>2801123826</t>
  </si>
  <si>
    <t>0123200000319002595</t>
  </si>
  <si>
    <t>2801193132</t>
  </si>
  <si>
    <t>3123137466</t>
  </si>
  <si>
    <t>0126200000419003227</t>
  </si>
  <si>
    <t>2540051187</t>
  </si>
  <si>
    <t>0115100008319000028</t>
  </si>
  <si>
    <t>0134200000119003002</t>
  </si>
  <si>
    <t>2261003962</t>
  </si>
  <si>
    <t>0317100022819000016</t>
  </si>
  <si>
    <t>2261003049</t>
  </si>
  <si>
    <t>3123343148</t>
  </si>
  <si>
    <t>0126200000419003248</t>
  </si>
  <si>
    <t>[ОКПД2 28.23] Машины офисные и оборудование, кроме компьютеров и периферийного оборудования</t>
  </si>
  <si>
    <t>310611345243</t>
  </si>
  <si>
    <t>0160100004119000013</t>
  </si>
  <si>
    <t>0122100007119000019</t>
  </si>
  <si>
    <t>100253533119000026</t>
  </si>
  <si>
    <t>100253533119000027</t>
  </si>
  <si>
    <t>3004004347</t>
  </si>
  <si>
    <t>100071638119000022</t>
  </si>
  <si>
    <t>Икрянинский район</t>
  </si>
  <si>
    <t>100071638119000023</t>
  </si>
  <si>
    <t>7202023074</t>
  </si>
  <si>
    <t>0367100012019000021</t>
  </si>
  <si>
    <t>5034057290</t>
  </si>
  <si>
    <t>5904088008</t>
  </si>
  <si>
    <t>4204001987</t>
  </si>
  <si>
    <t>0339100026119000006</t>
  </si>
  <si>
    <t>0373200041519001576</t>
  </si>
  <si>
    <t>7427000559</t>
  </si>
  <si>
    <t>0369600036419000216</t>
  </si>
  <si>
    <t>7404050698</t>
  </si>
  <si>
    <t>6658491415</t>
  </si>
  <si>
    <t>740412559160</t>
  </si>
  <si>
    <t>0317100022819000015</t>
  </si>
  <si>
    <t>110938</t>
  </si>
  <si>
    <t>0340100004219000015</t>
  </si>
  <si>
    <t>1648003525</t>
  </si>
  <si>
    <t>0311100028919000025</t>
  </si>
  <si>
    <t>Зеленодольский район</t>
  </si>
  <si>
    <t>164800219907</t>
  </si>
  <si>
    <t>0894400000219000062</t>
  </si>
  <si>
    <t>3201004917</t>
  </si>
  <si>
    <t>0127200000219005254</t>
  </si>
  <si>
    <t>3201000327</t>
  </si>
  <si>
    <t>0311100028919000024</t>
  </si>
  <si>
    <t>3508002317</t>
  </si>
  <si>
    <t>100235528119000011</t>
  </si>
  <si>
    <t>Вытегорский район</t>
  </si>
  <si>
    <t>2819002195</t>
  </si>
  <si>
    <t>0123100004919000023</t>
  </si>
  <si>
    <t>Мазановский район</t>
  </si>
  <si>
    <t>281900204407</t>
  </si>
  <si>
    <t>0390100004919000031</t>
  </si>
  <si>
    <t>0387100010619000004</t>
  </si>
  <si>
    <t>861600307677</t>
  </si>
  <si>
    <t>2453004790</t>
  </si>
  <si>
    <t>100268338119000040</t>
  </si>
  <si>
    <t>Зеленогорск</t>
  </si>
  <si>
    <t>100186065119000040</t>
  </si>
  <si>
    <t>100282915119000014</t>
  </si>
  <si>
    <t>Кузоватовский район</t>
  </si>
  <si>
    <t>5504030483</t>
  </si>
  <si>
    <t>0152100004719000039</t>
  </si>
  <si>
    <t>5501240651</t>
  </si>
  <si>
    <t>2456010305</t>
  </si>
  <si>
    <t>7603062585</t>
  </si>
  <si>
    <t>5507223652</t>
  </si>
  <si>
    <t>6229056847</t>
  </si>
  <si>
    <t>5519008836</t>
  </si>
  <si>
    <t>540958336955</t>
  </si>
  <si>
    <t>5503213540</t>
  </si>
  <si>
    <t>110916</t>
  </si>
  <si>
    <t>110922</t>
  </si>
  <si>
    <t>4345257660</t>
  </si>
  <si>
    <t>0140100008219000045</t>
  </si>
  <si>
    <t>4345466752</t>
  </si>
  <si>
    <t>4345382220</t>
  </si>
  <si>
    <t>100282915119000017</t>
  </si>
  <si>
    <t>100282915119000016</t>
  </si>
  <si>
    <t>110918</t>
  </si>
  <si>
    <t>100282915119000015</t>
  </si>
  <si>
    <t>0140100008219000046</t>
  </si>
  <si>
    <t>0348200026719000005</t>
  </si>
  <si>
    <t>6025001409</t>
  </si>
  <si>
    <t>0157300002019000215</t>
  </si>
  <si>
    <t>7810694423</t>
  </si>
  <si>
    <t>0816500000619012715</t>
  </si>
  <si>
    <t>100311563119000044</t>
  </si>
  <si>
    <t>Еманжелинск</t>
  </si>
  <si>
    <t>3402006738</t>
  </si>
  <si>
    <t>0329100010419000002</t>
  </si>
  <si>
    <t>Быковский район</t>
  </si>
  <si>
    <t>9102065701</t>
  </si>
  <si>
    <t>0375200034819000032</t>
  </si>
  <si>
    <t>910219050243</t>
  </si>
  <si>
    <t>0154100006019000188</t>
  </si>
  <si>
    <t>2703003760</t>
  </si>
  <si>
    <t>100218471119000034</t>
  </si>
  <si>
    <t>6916006241</t>
  </si>
  <si>
    <t>100309983119000048</t>
  </si>
  <si>
    <t>Удомля</t>
  </si>
  <si>
    <t>100311563119000043</t>
  </si>
  <si>
    <t>3015064468</t>
  </si>
  <si>
    <t>0125500000219000452</t>
  </si>
  <si>
    <t>3015064034</t>
  </si>
  <si>
    <t>100311563119000039</t>
  </si>
  <si>
    <t>100311563119000040</t>
  </si>
  <si>
    <t>100311563119000041</t>
  </si>
  <si>
    <t>[ОКПД2 56.29] Услуги по обеспечению питанием прочие, [ОКПД2 56.10] Услуги ресторанов и услуги по доставке продуктов питания</t>
  </si>
  <si>
    <t>100311563119000042</t>
  </si>
  <si>
    <t>7529003492</t>
  </si>
  <si>
    <t>0191100006119000004</t>
  </si>
  <si>
    <t>Борзинский район</t>
  </si>
  <si>
    <t>0356200000119000156</t>
  </si>
  <si>
    <t>5981005888</t>
  </si>
  <si>
    <t>0356100021119000031</t>
  </si>
  <si>
    <t>Коми-Пермяцкий округ, входящий в состав Пермского края</t>
  </si>
  <si>
    <t>Кочевский район</t>
  </si>
  <si>
    <t>5981002340</t>
  </si>
  <si>
    <t>6639019528</t>
  </si>
  <si>
    <t>ATOM28081900047</t>
  </si>
  <si>
    <t>Заречный</t>
  </si>
  <si>
    <t>2585756</t>
  </si>
  <si>
    <t>0317100022719000009</t>
  </si>
  <si>
    <t>2585699</t>
  </si>
  <si>
    <t>31908242244</t>
  </si>
  <si>
    <t>31908249363</t>
  </si>
  <si>
    <t>7841312071</t>
  </si>
  <si>
    <t>31908245381</t>
  </si>
  <si>
    <t>[ОКПД2 47.1+] Услуги по розничной торговле в неспециализированных магазинах, [ОКВЭД2 47.1+] Торговля розничная в неспециализированных магазинах</t>
  </si>
  <si>
    <t>3202007251</t>
  </si>
  <si>
    <t>31908244862</t>
  </si>
  <si>
    <t>31908246320</t>
  </si>
  <si>
    <t>31908242319</t>
  </si>
  <si>
    <t>0411121178</t>
  </si>
  <si>
    <t>31908243167</t>
  </si>
  <si>
    <t>[ОКПД2 85.42] Услуги по дополнительному профессиональному образованию, [ОКВЭД2 85.42] Образование профессиональное дополнительное</t>
  </si>
  <si>
    <t>7729033871</t>
  </si>
  <si>
    <t>31908243334</t>
  </si>
  <si>
    <t>31908243733</t>
  </si>
  <si>
    <t>31908242221</t>
  </si>
  <si>
    <t>31908244099</t>
  </si>
  <si>
    <t>7208001084</t>
  </si>
  <si>
    <t>31908244623</t>
  </si>
  <si>
    <t>31908244122</t>
  </si>
  <si>
    <t>31908243415</t>
  </si>
  <si>
    <t>3906047194</t>
  </si>
  <si>
    <t>31908244069</t>
  </si>
  <si>
    <t>31908246363</t>
  </si>
  <si>
    <t>4714005058</t>
  </si>
  <si>
    <t>31908244920</t>
  </si>
  <si>
    <t>7705313252</t>
  </si>
  <si>
    <t>31908244495</t>
  </si>
  <si>
    <t>0210003368</t>
  </si>
  <si>
    <t>31908242261</t>
  </si>
  <si>
    <t>5836200202</t>
  </si>
  <si>
    <t>31908243833</t>
  </si>
  <si>
    <t>2464034170</t>
  </si>
  <si>
    <t>31908246548</t>
  </si>
  <si>
    <t>31908242405</t>
  </si>
  <si>
    <t>2302041127</t>
  </si>
  <si>
    <t>31908245362</t>
  </si>
  <si>
    <t>6667009063</t>
  </si>
  <si>
    <t>31908243771</t>
  </si>
  <si>
    <t>31908245587</t>
  </si>
  <si>
    <t>31908246495</t>
  </si>
  <si>
    <t>31908243877</t>
  </si>
  <si>
    <t>31908239216</t>
  </si>
  <si>
    <t>31908244580</t>
  </si>
  <si>
    <t>7725030284</t>
  </si>
  <si>
    <t>31908243440</t>
  </si>
  <si>
    <t>9204563216</t>
  </si>
  <si>
    <t>31908249037</t>
  </si>
  <si>
    <t>7814687586</t>
  </si>
  <si>
    <t>31908245755</t>
  </si>
  <si>
    <t>31908244823</t>
  </si>
  <si>
    <t>7411013993</t>
  </si>
  <si>
    <t>31908242973</t>
  </si>
  <si>
    <t>2302039287</t>
  </si>
  <si>
    <t>31908246614</t>
  </si>
  <si>
    <t>31908242156</t>
  </si>
  <si>
    <t>31908245206</t>
  </si>
  <si>
    <t>0348100043819000014</t>
  </si>
  <si>
    <t>2314007226</t>
  </si>
  <si>
    <t>0318100025019000027</t>
  </si>
  <si>
    <t>Лабинский район</t>
  </si>
  <si>
    <t>231403049848</t>
  </si>
  <si>
    <t>100203432119000026</t>
  </si>
  <si>
    <t>Рамешковский район</t>
  </si>
  <si>
    <t>5427105413</t>
  </si>
  <si>
    <t>0151300046819000047</t>
  </si>
  <si>
    <t>6501021852</t>
  </si>
  <si>
    <t>0361200015019005730</t>
  </si>
  <si>
    <t>[ОКПД2 55.90] Услуги по предоставлению временного жилья прочие, [ОКПД2 79.11] Услуги туристических агентств</t>
  </si>
  <si>
    <t>6501119350</t>
  </si>
  <si>
    <t>9111009277</t>
  </si>
  <si>
    <t>0375200009719000048</t>
  </si>
  <si>
    <t>911100097101</t>
  </si>
  <si>
    <t>911106316960</t>
  </si>
  <si>
    <t>100111562119000062</t>
  </si>
  <si>
    <t>0116100001519000053</t>
  </si>
  <si>
    <t>1435276574</t>
  </si>
  <si>
    <t>0128100001619000021</t>
  </si>
  <si>
    <t>0122100008419000009</t>
  </si>
  <si>
    <t>1200000881</t>
  </si>
  <si>
    <t>0108200000119000309</t>
  </si>
  <si>
    <t>1215055717</t>
  </si>
  <si>
    <t>5053052770</t>
  </si>
  <si>
    <t>805374</t>
  </si>
  <si>
    <t>0122100008419000010</t>
  </si>
  <si>
    <t>7411013873</t>
  </si>
  <si>
    <t>0169300025319000580</t>
  </si>
  <si>
    <t>0108200000119000308</t>
  </si>
  <si>
    <t>0318100021019000055</t>
  </si>
  <si>
    <t>231506871979</t>
  </si>
  <si>
    <t>0123100006719000012</t>
  </si>
  <si>
    <t>280105635780</t>
  </si>
  <si>
    <t>7411013866</t>
  </si>
  <si>
    <t>0169300025319000582</t>
  </si>
  <si>
    <t>0814033848</t>
  </si>
  <si>
    <t>0105100001319000099</t>
  </si>
  <si>
    <t>Республика Калмыкия</t>
  </si>
  <si>
    <t>Яшкульский район</t>
  </si>
  <si>
    <t>0157200000319000729</t>
  </si>
  <si>
    <t>5040031734</t>
  </si>
  <si>
    <t>0348100073319000038</t>
  </si>
  <si>
    <t>504007615090</t>
  </si>
  <si>
    <t>0910004448</t>
  </si>
  <si>
    <t>100301428119000015</t>
  </si>
  <si>
    <t>Хабезский район</t>
  </si>
  <si>
    <t>100003514119000061</t>
  </si>
  <si>
    <t>Топки</t>
  </si>
  <si>
    <t>100253533119000020</t>
  </si>
  <si>
    <t>0806500000219000831</t>
  </si>
  <si>
    <t>Костомукша</t>
  </si>
  <si>
    <t>2333006394</t>
  </si>
  <si>
    <t>0318100050419000004</t>
  </si>
  <si>
    <t>233001373326</t>
  </si>
  <si>
    <t>100301428119000016</t>
  </si>
  <si>
    <t>100253533119000021</t>
  </si>
  <si>
    <t>0105100001319000100</t>
  </si>
  <si>
    <t>0111200004119000067</t>
  </si>
  <si>
    <t>100276416119000027</t>
  </si>
  <si>
    <t>1103038287</t>
  </si>
  <si>
    <t>0107100003519000335</t>
  </si>
  <si>
    <t>1103013074</t>
  </si>
  <si>
    <t>1103015875</t>
  </si>
  <si>
    <t>6913005881</t>
  </si>
  <si>
    <t>0336100010619000024</t>
  </si>
  <si>
    <t>Осташков</t>
  </si>
  <si>
    <t>6913008900</t>
  </si>
  <si>
    <t>1837009000</t>
  </si>
  <si>
    <t>0113100005519000032</t>
  </si>
  <si>
    <t>1837003320</t>
  </si>
  <si>
    <t>0324100009219000012</t>
  </si>
  <si>
    <t>5515008031</t>
  </si>
  <si>
    <t>100309948119000022</t>
  </si>
  <si>
    <t>Калачинск</t>
  </si>
  <si>
    <t>100309948119000023</t>
  </si>
  <si>
    <t>0105100001319000097</t>
  </si>
  <si>
    <t>Целинный район</t>
  </si>
  <si>
    <t>0107100003519000336</t>
  </si>
  <si>
    <t>1203002686</t>
  </si>
  <si>
    <t>100307449119000023</t>
  </si>
  <si>
    <t>Звениговский район</t>
  </si>
  <si>
    <t>0105100001319000098</t>
  </si>
  <si>
    <t>100276416119000028</t>
  </si>
  <si>
    <t>1006003313</t>
  </si>
  <si>
    <t>0306100003319000017</t>
  </si>
  <si>
    <t>100309948119000020</t>
  </si>
  <si>
    <t>100307449119000022</t>
  </si>
  <si>
    <t>0113100005519000031</t>
  </si>
  <si>
    <t>4330002691</t>
  </si>
  <si>
    <t>0140100008719000009</t>
  </si>
  <si>
    <t>Пижанский район</t>
  </si>
  <si>
    <t>0140100010219000018</t>
  </si>
  <si>
    <t>100140007119000026</t>
  </si>
  <si>
    <t>Каракулинский район</t>
  </si>
  <si>
    <t>0140100008719000006</t>
  </si>
  <si>
    <t>0140100008719000007</t>
  </si>
  <si>
    <t>100071638119000021</t>
  </si>
  <si>
    <t>4508009307</t>
  </si>
  <si>
    <t>100207945119000037</t>
  </si>
  <si>
    <t>Каргапольский район</t>
  </si>
  <si>
    <t>ATOM27081900159</t>
  </si>
  <si>
    <t>0140100010219000019</t>
  </si>
  <si>
    <t>100207945119000038</t>
  </si>
  <si>
    <t>0140100010219000020</t>
  </si>
  <si>
    <t>0140100008719000008</t>
  </si>
  <si>
    <t>0306200010219000500</t>
  </si>
  <si>
    <t>0306200010219000502</t>
  </si>
  <si>
    <t>100001403119000028</t>
  </si>
  <si>
    <t>0105033490</t>
  </si>
  <si>
    <t>0176200005519001654</t>
  </si>
  <si>
    <t>010501108900</t>
  </si>
  <si>
    <t>0306200010219000501</t>
  </si>
  <si>
    <t>0336100010619000020</t>
  </si>
  <si>
    <t>6682008219</t>
  </si>
  <si>
    <t>100302242118000019</t>
  </si>
  <si>
    <t>Кировград</t>
  </si>
  <si>
    <t>100301428119000014</t>
  </si>
  <si>
    <t>6443010753</t>
  </si>
  <si>
    <t>0160100009119000014</t>
  </si>
  <si>
    <t>Маркс</t>
  </si>
  <si>
    <t>6443011834</t>
  </si>
  <si>
    <t>6443017854</t>
  </si>
  <si>
    <t>6443000794</t>
  </si>
  <si>
    <t>100001403119000027</t>
  </si>
  <si>
    <t>0306200010219000508</t>
  </si>
  <si>
    <t>0306200010219000505</t>
  </si>
  <si>
    <t>2232004168</t>
  </si>
  <si>
    <t>100292951119000027</t>
  </si>
  <si>
    <t>Алтайский район</t>
  </si>
  <si>
    <t>0851200000619005051</t>
  </si>
  <si>
    <t>[ОКПД2 94.99] Услуги прочих общественных организаций, не включенных в другие группировки</t>
  </si>
  <si>
    <t>5445256863</t>
  </si>
  <si>
    <t>0140100008219000044</t>
  </si>
  <si>
    <t>Кирово-Чепецкий район</t>
  </si>
  <si>
    <t>0140100008219000043</t>
  </si>
  <si>
    <t>ATOM27081900127</t>
  </si>
  <si>
    <t>5828000048</t>
  </si>
  <si>
    <t>100109771119000038</t>
  </si>
  <si>
    <t>Пачелмский район</t>
  </si>
  <si>
    <t>100186065119000035</t>
  </si>
  <si>
    <t>8610011738</t>
  </si>
  <si>
    <t>0387200011819000017</t>
  </si>
  <si>
    <t>100109771119000037</t>
  </si>
  <si>
    <t>3123072875</t>
  </si>
  <si>
    <t>0126200000419003153</t>
  </si>
  <si>
    <t>7725679431</t>
  </si>
  <si>
    <t>7719466749</t>
  </si>
  <si>
    <t>7727395266</t>
  </si>
  <si>
    <t>7804626922</t>
  </si>
  <si>
    <t>7722391525</t>
  </si>
  <si>
    <t>7721811015</t>
  </si>
  <si>
    <t>6625009784</t>
  </si>
  <si>
    <t>0362100002519000010</t>
  </si>
  <si>
    <t>6684027802</t>
  </si>
  <si>
    <t>7820020399</t>
  </si>
  <si>
    <t>0372200215119000023</t>
  </si>
  <si>
    <t>7816363890</t>
  </si>
  <si>
    <t>0387200011819000016</t>
  </si>
  <si>
    <t>4709007765</t>
  </si>
  <si>
    <t>0145300010019000200</t>
  </si>
  <si>
    <t>Лодейнопольский район</t>
  </si>
  <si>
    <t>4702017228</t>
  </si>
  <si>
    <t>2901071427</t>
  </si>
  <si>
    <t>0124100003919000046</t>
  </si>
  <si>
    <t>2901289367</t>
  </si>
  <si>
    <t>3-48996-322-19</t>
  </si>
  <si>
    <t>100071638119000020</t>
  </si>
  <si>
    <t>7826667249</t>
  </si>
  <si>
    <t>0372200190719000087</t>
  </si>
  <si>
    <t>7803037353</t>
  </si>
  <si>
    <t>6627011612</t>
  </si>
  <si>
    <t>0362300175019000015</t>
  </si>
  <si>
    <t>0241000889</t>
  </si>
  <si>
    <t>100210613119000038</t>
  </si>
  <si>
    <t>Стерлибашевский район</t>
  </si>
  <si>
    <t>100210613119000037</t>
  </si>
  <si>
    <t>0153100008919000006</t>
  </si>
  <si>
    <t>5605020932</t>
  </si>
  <si>
    <t>0154100006019000186</t>
  </si>
  <si>
    <t>6434007948</t>
  </si>
  <si>
    <t>100263124119000047</t>
  </si>
  <si>
    <t>Татищевский район</t>
  </si>
  <si>
    <t>0813100000319000146</t>
  </si>
  <si>
    <t>1840001033</t>
  </si>
  <si>
    <t>5903101915</t>
  </si>
  <si>
    <t>0154100006019000185</t>
  </si>
  <si>
    <t>5702007214</t>
  </si>
  <si>
    <t>5702007736</t>
  </si>
  <si>
    <t>2226007940</t>
  </si>
  <si>
    <t>0817200000319009371</t>
  </si>
  <si>
    <t>[ОКПД2 26.20] Компьютеры и периферийное оборудование, [ОКПД2 95.11] Услуги по ремонту компьютеров и периферийного оборудования</t>
  </si>
  <si>
    <t>2204044754</t>
  </si>
  <si>
    <t>2224197999</t>
  </si>
  <si>
    <t>7446053877</t>
  </si>
  <si>
    <t>0169300000319002114</t>
  </si>
  <si>
    <t>7456040274</t>
  </si>
  <si>
    <t>2717007564</t>
  </si>
  <si>
    <t>100291079119000055</t>
  </si>
  <si>
    <t>[ОКПД2 10.51] Молоко и молочная продукция, [ОКПД2 10.11] Мясо и прочие продукты убоя, включая мясо консервированное, [ОКПД2 10.41] Масла и жиры, [ОКПД2 10.20] Рыба переработанная и консервированная, ракообразные и моллюски, [ОКПД2 10.12] Мясо сельскохозяйственной птицы и прочие продукты убоя, включая консервированные, [ОКПД2 10.13] Продукция мясная пищевая, в том числе из мяса птицы, [ОКПД2 10.89] Продукты пищевые прочие, не включенные в другие группировки, [ОКПД2 01.47] Птица сельскохозяйственная живая и яйца</t>
  </si>
  <si>
    <t>Солнечный район</t>
  </si>
  <si>
    <t>31908238380</t>
  </si>
  <si>
    <t>5615016100</t>
  </si>
  <si>
    <t>31908239207</t>
  </si>
  <si>
    <t>5075012595</t>
  </si>
  <si>
    <t>31908238597</t>
  </si>
  <si>
    <t>31908237904</t>
  </si>
  <si>
    <t>31908238853</t>
  </si>
  <si>
    <t>31908239425</t>
  </si>
  <si>
    <t>6611005148</t>
  </si>
  <si>
    <t>31908240504</t>
  </si>
  <si>
    <t>2311040578</t>
  </si>
  <si>
    <t>31908239179</t>
  </si>
  <si>
    <t>8902008330</t>
  </si>
  <si>
    <t>31908239430</t>
  </si>
  <si>
    <t>6509006278</t>
  </si>
  <si>
    <t>31908237353</t>
  </si>
  <si>
    <t>31908241043</t>
  </si>
  <si>
    <t>31908241576</t>
  </si>
  <si>
    <t>3202007283</t>
  </si>
  <si>
    <t>31908241636</t>
  </si>
  <si>
    <t>5019011559</t>
  </si>
  <si>
    <t>31908238358</t>
  </si>
  <si>
    <t>31908240789</t>
  </si>
  <si>
    <t>3906047116</t>
  </si>
  <si>
    <t>31908240700</t>
  </si>
  <si>
    <t>2456005753</t>
  </si>
  <si>
    <t>31908237661</t>
  </si>
  <si>
    <t>4708007963</t>
  </si>
  <si>
    <t>31908251971</t>
  </si>
  <si>
    <t>31908237355</t>
  </si>
  <si>
    <t>31908237940</t>
  </si>
  <si>
    <t>5612020130</t>
  </si>
  <si>
    <t>31908236783</t>
  </si>
  <si>
    <t>3920004682</t>
  </si>
  <si>
    <t>31908256669</t>
  </si>
  <si>
    <t>31908238630</t>
  </si>
  <si>
    <t>5614016932</t>
  </si>
  <si>
    <t>31908239023</t>
  </si>
  <si>
    <t>31908240989</t>
  </si>
  <si>
    <t>7702744170</t>
  </si>
  <si>
    <t>31908239329</t>
  </si>
  <si>
    <t>[ОКПД2 80.20] Услуги систем обеспечения безопасности, [ОКВЭД2 80.20] Деятельность систем обеспечения безопасности</t>
  </si>
  <si>
    <t>6639019655</t>
  </si>
  <si>
    <t>31908239698</t>
  </si>
  <si>
    <t>6603000763</t>
  </si>
  <si>
    <t>31908238103</t>
  </si>
  <si>
    <t>[ОКПД2 56.1+] Услуги ресторанов и услуги по доставке продуктов питания, [ОКВЭД2 56.10] Деятельность ресторанов и услуги по доставке продуктов питания</t>
  </si>
  <si>
    <t>31908241773</t>
  </si>
  <si>
    <t>7705966318</t>
  </si>
  <si>
    <t>31908241377</t>
  </si>
  <si>
    <t>7706016340</t>
  </si>
  <si>
    <t>31908241756</t>
  </si>
  <si>
    <t>[ОКПД2 82.1+] Услуги в области административного и вспомогательного обслуживания, [ОКВЭД2 82+] Деятельность административно-хозяйственная, вспомогательная деятельность по обеспечению функционирования организации, деятельность по предоставлению прочих вспомогательных услуг для бизнеса</t>
  </si>
  <si>
    <t>6316000632</t>
  </si>
  <si>
    <t>31908238135</t>
  </si>
  <si>
    <t>5427105460</t>
  </si>
  <si>
    <t>0151300046819000046</t>
  </si>
  <si>
    <t>7809023300</t>
  </si>
  <si>
    <t>100298910119000040</t>
  </si>
  <si>
    <t>100298910119000038</t>
  </si>
  <si>
    <t>100298910119000039</t>
  </si>
  <si>
    <t>0853500000319009462</t>
  </si>
  <si>
    <t>0853500000319009445</t>
  </si>
  <si>
    <t>5501251043</t>
  </si>
  <si>
    <t>7203244630</t>
  </si>
  <si>
    <t>7411015493</t>
  </si>
  <si>
    <t>0169300025319000574</t>
  </si>
  <si>
    <t>7734241612</t>
  </si>
  <si>
    <t>0322100028019000039</t>
  </si>
  <si>
    <t>2724002616</t>
  </si>
  <si>
    <t>2310103994</t>
  </si>
  <si>
    <t>0318200068219000082</t>
  </si>
  <si>
    <t>235202818219</t>
  </si>
  <si>
    <t>230100870161</t>
  </si>
  <si>
    <t>2308103443</t>
  </si>
  <si>
    <t>0318300119419001107</t>
  </si>
  <si>
    <t>2308103436</t>
  </si>
  <si>
    <t>232906117447</t>
  </si>
  <si>
    <t>0122100003019000108</t>
  </si>
  <si>
    <t>0318200068219000080</t>
  </si>
  <si>
    <t>0318200068219000081</t>
  </si>
  <si>
    <t>1435067179</t>
  </si>
  <si>
    <t>0316100010619000063</t>
  </si>
  <si>
    <t>0105100001319000095</t>
  </si>
  <si>
    <t>Юстинский район</t>
  </si>
  <si>
    <t>0318200068219000077</t>
  </si>
  <si>
    <t>Славянский район</t>
  </si>
  <si>
    <t>2309158477</t>
  </si>
  <si>
    <t>0105100001319000096</t>
  </si>
  <si>
    <t>0818500000819000252</t>
  </si>
  <si>
    <t>0701011360</t>
  </si>
  <si>
    <t>0304100012319000009</t>
  </si>
  <si>
    <t>Баксан</t>
  </si>
  <si>
    <t>0726006108</t>
  </si>
  <si>
    <t>070108508281</t>
  </si>
  <si>
    <t>110663</t>
  </si>
  <si>
    <t>9103017098</t>
  </si>
  <si>
    <t>0875300023519000003</t>
  </si>
  <si>
    <t>804774</t>
  </si>
  <si>
    <t>6320005520</t>
  </si>
  <si>
    <t>0142200001319013607</t>
  </si>
  <si>
    <t>6321109466</t>
  </si>
  <si>
    <t>2201002964</t>
  </si>
  <si>
    <t>0117100017319000008</t>
  </si>
  <si>
    <t>Алейск</t>
  </si>
  <si>
    <t>2201008420</t>
  </si>
  <si>
    <t>100037121119000008</t>
  </si>
  <si>
    <t>100249474119000050</t>
  </si>
  <si>
    <t>100309948119000019</t>
  </si>
  <si>
    <t>0122100003019000107</t>
  </si>
  <si>
    <t>2633005994</t>
  </si>
  <si>
    <t>0121200004719001010</t>
  </si>
  <si>
    <t>[ОКПД2 84.12] Услуги государственного управления организаций, обеспечивающих услуги в области здравоохранения, образования, культуры, и прочие социальные услуги, кроме услуг в области социального обеспечения</t>
  </si>
  <si>
    <t>2636015253</t>
  </si>
  <si>
    <t>100037121119000009</t>
  </si>
  <si>
    <t>0116100001519000049</t>
  </si>
  <si>
    <t>100037121119000007</t>
  </si>
  <si>
    <t>0116100001519000050</t>
  </si>
  <si>
    <t>143524795333</t>
  </si>
  <si>
    <t>0133100007619000020</t>
  </si>
  <si>
    <t>0118100004519000026</t>
  </si>
  <si>
    <t>0351200023819000153</t>
  </si>
  <si>
    <t>5406512520</t>
  </si>
  <si>
    <t>0121200004719001008</t>
  </si>
  <si>
    <t>2469003552</t>
  </si>
  <si>
    <t>0319300003419000470</t>
  </si>
  <si>
    <t>2465186175</t>
  </si>
  <si>
    <t>5036064945</t>
  </si>
  <si>
    <t>0348100027019000012</t>
  </si>
  <si>
    <t>7724329843</t>
  </si>
  <si>
    <t>9901006910</t>
  </si>
  <si>
    <t>0348100062019000285</t>
  </si>
  <si>
    <t>9901000411</t>
  </si>
  <si>
    <t>0148100000919000012</t>
  </si>
  <si>
    <t>3334023531</t>
  </si>
  <si>
    <t>0128400000219000005</t>
  </si>
  <si>
    <t>Селивановский район</t>
  </si>
  <si>
    <t>0169300009219000167</t>
  </si>
  <si>
    <t>0169300009219000168</t>
  </si>
  <si>
    <t>9901006854</t>
  </si>
  <si>
    <t>0348100062019000284</t>
  </si>
  <si>
    <t>4442003213</t>
  </si>
  <si>
    <t>0841200000719001295</t>
  </si>
  <si>
    <t>4401077600</t>
  </si>
  <si>
    <t>643300053554</t>
  </si>
  <si>
    <t>7804576414</t>
  </si>
  <si>
    <t>0372500000419000006</t>
  </si>
  <si>
    <t>[ОКПД2 79.11] Услуги туристических агентств, [ОКПД2 79.90] Услуги по бронированию и взаимосвязанные услуги прочие, [ОКПД2 56.10] Услуги ресторанов и услуги по доставке продуктов питания</t>
  </si>
  <si>
    <t>6671176941</t>
  </si>
  <si>
    <t>7726643156</t>
  </si>
  <si>
    <t>0148100000919000011</t>
  </si>
  <si>
    <t>5078002010</t>
  </si>
  <si>
    <t>0848300060619000491</t>
  </si>
  <si>
    <t>3224003927</t>
  </si>
  <si>
    <t>0127100010019000035</t>
  </si>
  <si>
    <t>Почепский район</t>
  </si>
  <si>
    <t>325200356371</t>
  </si>
  <si>
    <t>3621001796</t>
  </si>
  <si>
    <t>100157003119000020</t>
  </si>
  <si>
    <t>Панинский район</t>
  </si>
  <si>
    <t>100157003119000019</t>
  </si>
  <si>
    <t>5005029034</t>
  </si>
  <si>
    <t>804552</t>
  </si>
  <si>
    <t>Воскресенский район</t>
  </si>
  <si>
    <t>0320200009219000248</t>
  </si>
  <si>
    <t>2320074735</t>
  </si>
  <si>
    <t>0318200080019000094</t>
  </si>
  <si>
    <t>2320033908</t>
  </si>
  <si>
    <t>2320078835</t>
  </si>
  <si>
    <t>0332100050019000020</t>
  </si>
  <si>
    <t>5239008223</t>
  </si>
  <si>
    <t>1513034328</t>
  </si>
  <si>
    <t>0810100000319000149</t>
  </si>
  <si>
    <t>0810100000319000148</t>
  </si>
  <si>
    <t>7326056234</t>
  </si>
  <si>
    <t>0168400000419000008</t>
  </si>
  <si>
    <t>0810100000319000147</t>
  </si>
  <si>
    <t>5074018770</t>
  </si>
  <si>
    <t>804546</t>
  </si>
  <si>
    <t>0168400000419000007</t>
  </si>
  <si>
    <t>732704215149</t>
  </si>
  <si>
    <t>3204002097</t>
  </si>
  <si>
    <t>0127100005619000026</t>
  </si>
  <si>
    <t>Новозыбков</t>
  </si>
  <si>
    <t>3204003485</t>
  </si>
  <si>
    <t>0307300001219000322</t>
  </si>
  <si>
    <t>1103004506</t>
  </si>
  <si>
    <t>1103024319</t>
  </si>
  <si>
    <t>Воркута</t>
  </si>
  <si>
    <t>1103024358</t>
  </si>
  <si>
    <t>1103024421</t>
  </si>
  <si>
    <t>6512004785</t>
  </si>
  <si>
    <t>0161100009919000015</t>
  </si>
  <si>
    <t>Макаровский район</t>
  </si>
  <si>
    <t>6512004217</t>
  </si>
  <si>
    <t>100012880119000024</t>
  </si>
  <si>
    <t>100276416119000025</t>
  </si>
  <si>
    <t>0161100009919000014</t>
  </si>
  <si>
    <t>1904001874</t>
  </si>
  <si>
    <t>0180100004019000014</t>
  </si>
  <si>
    <t>100297191119000018</t>
  </si>
  <si>
    <t>Талдомский район</t>
  </si>
  <si>
    <t>100276416119000024</t>
  </si>
  <si>
    <t>5038025324</t>
  </si>
  <si>
    <t>804445</t>
  </si>
  <si>
    <t>0332100050019000019</t>
  </si>
  <si>
    <t>100213637119000013</t>
  </si>
  <si>
    <t>5035010545</t>
  </si>
  <si>
    <t>0348100037619000031</t>
  </si>
  <si>
    <t>5027160466</t>
  </si>
  <si>
    <t>2508032415</t>
  </si>
  <si>
    <t>0120100005819000015</t>
  </si>
  <si>
    <t>Находка</t>
  </si>
  <si>
    <t>4501221907</t>
  </si>
  <si>
    <t>0348100037619000030</t>
  </si>
  <si>
    <t>100213637119000012</t>
  </si>
  <si>
    <t>2904007469</t>
  </si>
  <si>
    <t>0124200000619004369</t>
  </si>
  <si>
    <t>Котлас</t>
  </si>
  <si>
    <t>2901245426</t>
  </si>
  <si>
    <t>3310001955</t>
  </si>
  <si>
    <t>0328100018619000008</t>
  </si>
  <si>
    <t>Суздальский район</t>
  </si>
  <si>
    <t>330579166673</t>
  </si>
  <si>
    <t>2627025329</t>
  </si>
  <si>
    <t>0321100033019000057</t>
  </si>
  <si>
    <t>Железноводск</t>
  </si>
  <si>
    <t>262701899390</t>
  </si>
  <si>
    <t>5752071624</t>
  </si>
  <si>
    <t>0154300014619000601</t>
  </si>
  <si>
    <t>5751062842</t>
  </si>
  <si>
    <t>5244006648</t>
  </si>
  <si>
    <t>0332100014419000003</t>
  </si>
  <si>
    <t>Балахнинский район</t>
  </si>
  <si>
    <t>526209207011</t>
  </si>
  <si>
    <t>526221501274</t>
  </si>
  <si>
    <t>5919420378</t>
  </si>
  <si>
    <t>0156100003319000012</t>
  </si>
  <si>
    <t>1324123195</t>
  </si>
  <si>
    <t>100039373119000032</t>
  </si>
  <si>
    <t>Рузаевка</t>
  </si>
  <si>
    <t>РН90801095</t>
  </si>
  <si>
    <t>3316420078</t>
  </si>
  <si>
    <t>0128200000119005417</t>
  </si>
  <si>
    <t>Киржачский район</t>
  </si>
  <si>
    <t>331600170606</t>
  </si>
  <si>
    <t>100309948119000014</t>
  </si>
  <si>
    <t>100039373119000033</t>
  </si>
  <si>
    <t>0860100001319000104</t>
  </si>
  <si>
    <t>0367100026119000020</t>
  </si>
  <si>
    <t>0156100003319000011</t>
  </si>
  <si>
    <t>5753024063</t>
  </si>
  <si>
    <t>0154300014619000602</t>
  </si>
  <si>
    <t>0344200015419000029</t>
  </si>
  <si>
    <t>463001835529</t>
  </si>
  <si>
    <t>5753021721</t>
  </si>
  <si>
    <t>0154300014619000603</t>
  </si>
  <si>
    <t>7521004053</t>
  </si>
  <si>
    <t>0191400000219000014</t>
  </si>
  <si>
    <t>Тунгокоченский район</t>
  </si>
  <si>
    <t>752100539584</t>
  </si>
  <si>
    <t>5424950460</t>
  </si>
  <si>
    <t>100301337119000011</t>
  </si>
  <si>
    <t>Колыванский район</t>
  </si>
  <si>
    <t>8606003276</t>
  </si>
  <si>
    <t>100079490119000039</t>
  </si>
  <si>
    <t>Урай</t>
  </si>
  <si>
    <t>100079490119000040</t>
  </si>
  <si>
    <t>31908248490</t>
  </si>
  <si>
    <t>31908235184</t>
  </si>
  <si>
    <t>31908235614</t>
  </si>
  <si>
    <t>5913003184</t>
  </si>
  <si>
    <t>31908234457</t>
  </si>
  <si>
    <t>31908233460</t>
  </si>
  <si>
    <t>6662078810</t>
  </si>
  <si>
    <t>6662056052</t>
  </si>
  <si>
    <t>6662080175</t>
  </si>
  <si>
    <t>6662081884</t>
  </si>
  <si>
    <t>6662095679</t>
  </si>
  <si>
    <t>6662074196</t>
  </si>
  <si>
    <t>6662023530</t>
  </si>
  <si>
    <t>6662051350</t>
  </si>
  <si>
    <t>6662079363</t>
  </si>
  <si>
    <t>1902007292</t>
  </si>
  <si>
    <t>31908233100</t>
  </si>
  <si>
    <t>6647002704</t>
  </si>
  <si>
    <t>31908230276</t>
  </si>
  <si>
    <t>Новолялинский район</t>
  </si>
  <si>
    <t>9201012877</t>
  </si>
  <si>
    <t>31908235139</t>
  </si>
  <si>
    <t>31908237346</t>
  </si>
  <si>
    <t>31908233757</t>
  </si>
  <si>
    <t>7724068140</t>
  </si>
  <si>
    <t>31908235553</t>
  </si>
  <si>
    <t>31908235160</t>
  </si>
  <si>
    <t>31908231255</t>
  </si>
  <si>
    <t>5448100208</t>
  </si>
  <si>
    <t>31908234496</t>
  </si>
  <si>
    <t>31908234532</t>
  </si>
  <si>
    <t>31908234518</t>
  </si>
  <si>
    <t>31908233688</t>
  </si>
  <si>
    <t>31908234601</t>
  </si>
  <si>
    <t>31908236481</t>
  </si>
  <si>
    <t>[ОКПД2 82.30] Услуги по организации конференций и торговых выставок, [ОКВЭД2 82.99] Деятельность по предоставлению прочих вспомогательных услуг для бизнеса, не включенная в другие группировки</t>
  </si>
  <si>
    <t>7710142570</t>
  </si>
  <si>
    <t>31908236828</t>
  </si>
  <si>
    <t>BP00329815</t>
  </si>
  <si>
    <t>2505002691</t>
  </si>
  <si>
    <t>31908233465</t>
  </si>
  <si>
    <t>31908234573</t>
  </si>
  <si>
    <t>31908237144</t>
  </si>
  <si>
    <t>7223009345</t>
  </si>
  <si>
    <t>31908234768</t>
  </si>
  <si>
    <t>3015041037</t>
  </si>
  <si>
    <t>BP00330062</t>
  </si>
  <si>
    <t>1105022620</t>
  </si>
  <si>
    <t>100220958119000021</t>
  </si>
  <si>
    <t>100220958119000022</t>
  </si>
  <si>
    <t>7207005008</t>
  </si>
  <si>
    <t>31908350342</t>
  </si>
  <si>
    <t>0707011649</t>
  </si>
  <si>
    <t>0304300037119000003</t>
  </si>
  <si>
    <t>[ОКПД2 10.89] Продукты пищевые прочие, не включенные в другие группировки, [ОКПД2 10.61] Продукция мукомольно-крупяного производства, [ОКПД2 10.73] Изделия макаронные, кускус и аналогичные мучные изделия, [ОКПД2 10.81] Сахар, [ОКПД2 10.83] Чай и кофе обработанные</t>
  </si>
  <si>
    <t>Лескенский</t>
  </si>
  <si>
    <t>072198165304</t>
  </si>
  <si>
    <t>263601273273</t>
  </si>
  <si>
    <t>0707006127</t>
  </si>
  <si>
    <t>100062111119000021</t>
  </si>
  <si>
    <t>Урванский район</t>
  </si>
  <si>
    <t>100062111119000022</t>
  </si>
  <si>
    <t>3705003768</t>
  </si>
  <si>
    <t>100011210119000033</t>
  </si>
  <si>
    <t>Фурмановский район</t>
  </si>
  <si>
    <t>5522003370</t>
  </si>
  <si>
    <t>100092040119000033</t>
  </si>
  <si>
    <t>Муромцевский район</t>
  </si>
  <si>
    <t>100011210119000031</t>
  </si>
  <si>
    <t>100092040119000032</t>
  </si>
  <si>
    <t>100011210119000030</t>
  </si>
  <si>
    <t>7720024671</t>
  </si>
  <si>
    <t>0373100105419000080</t>
  </si>
  <si>
    <t>5024185536</t>
  </si>
  <si>
    <t>7453190835</t>
  </si>
  <si>
    <t>7733012419</t>
  </si>
  <si>
    <t>0373100102019000026</t>
  </si>
  <si>
    <t>7713345635</t>
  </si>
  <si>
    <t>0373100067819000004</t>
  </si>
  <si>
    <t>7720336617</t>
  </si>
  <si>
    <t>261704478582</t>
  </si>
  <si>
    <t>3128059910</t>
  </si>
  <si>
    <t>0274151354</t>
  </si>
  <si>
    <t>0101500000319001506</t>
  </si>
  <si>
    <t>2320095012</t>
  </si>
  <si>
    <t>0318100043119000091</t>
  </si>
  <si>
    <t>2319042464</t>
  </si>
  <si>
    <t>0105100001319000093</t>
  </si>
  <si>
    <t>Городовиковский район</t>
  </si>
  <si>
    <t>4623002846</t>
  </si>
  <si>
    <t>0144100012719000008</t>
  </si>
  <si>
    <t>4623002405</t>
  </si>
  <si>
    <t>0105100001319000090</t>
  </si>
  <si>
    <t>Лаганский район</t>
  </si>
  <si>
    <t>0329100005619000051</t>
  </si>
  <si>
    <t>0105100001319000091</t>
  </si>
  <si>
    <t>0105100001319000092</t>
  </si>
  <si>
    <t>0263002304</t>
  </si>
  <si>
    <t>0301100005519000023</t>
  </si>
  <si>
    <t>Мелеузовский район</t>
  </si>
  <si>
    <t>450206700471</t>
  </si>
  <si>
    <t>0111300000819001062</t>
  </si>
  <si>
    <t>1650144072</t>
  </si>
  <si>
    <t>1650085772</t>
  </si>
  <si>
    <t>1650086494</t>
  </si>
  <si>
    <t>1650085571</t>
  </si>
  <si>
    <t>1650085518</t>
  </si>
  <si>
    <t>1650086688</t>
  </si>
  <si>
    <t>0269037776</t>
  </si>
  <si>
    <t>0111300000819001060</t>
  </si>
  <si>
    <t>1650086166</t>
  </si>
  <si>
    <t>1650085998</t>
  </si>
  <si>
    <t>1650086871</t>
  </si>
  <si>
    <t>1650161134</t>
  </si>
  <si>
    <t>1650131919</t>
  </si>
  <si>
    <t>1650086127</t>
  </si>
  <si>
    <t>1650085959</t>
  </si>
  <si>
    <t>1650086102</t>
  </si>
  <si>
    <t>1650086141</t>
  </si>
  <si>
    <t>1650086303</t>
  </si>
  <si>
    <t>1650086328</t>
  </si>
  <si>
    <t>1650085437</t>
  </si>
  <si>
    <t>1650086695</t>
  </si>
  <si>
    <t>1650085684</t>
  </si>
  <si>
    <t>1650085420</t>
  </si>
  <si>
    <t>1650085733</t>
  </si>
  <si>
    <t>1650086712</t>
  </si>
  <si>
    <t>1650086840</t>
  </si>
  <si>
    <t>1650086705</t>
  </si>
  <si>
    <t>1650086590</t>
  </si>
  <si>
    <t>1650085606</t>
  </si>
  <si>
    <t>1650085701</t>
  </si>
  <si>
    <t>1650349168</t>
  </si>
  <si>
    <t>6827015830</t>
  </si>
  <si>
    <t>0864500000219003159</t>
  </si>
  <si>
    <t>Мичуринск</t>
  </si>
  <si>
    <t>6827003376</t>
  </si>
  <si>
    <t>0369100013919000031</t>
  </si>
  <si>
    <t>0107100003519000319</t>
  </si>
  <si>
    <t>1101142878</t>
  </si>
  <si>
    <t>4402003866</t>
  </si>
  <si>
    <t>0141100006519000011</t>
  </si>
  <si>
    <t>Буйский район</t>
  </si>
  <si>
    <t>0107100003519000326</t>
  </si>
  <si>
    <t>110204124275</t>
  </si>
  <si>
    <t>0133300026319000007</t>
  </si>
  <si>
    <t>3702636931</t>
  </si>
  <si>
    <t>0107100003519000325</t>
  </si>
  <si>
    <t>0111300000819001058</t>
  </si>
  <si>
    <t>1650230483</t>
  </si>
  <si>
    <t>1650272109</t>
  </si>
  <si>
    <t>1650289913</t>
  </si>
  <si>
    <t>1650284030</t>
  </si>
  <si>
    <t>1650226462</t>
  </si>
  <si>
    <t>1650227586</t>
  </si>
  <si>
    <t>1650086230</t>
  </si>
  <si>
    <t>1650097880</t>
  </si>
  <si>
    <t>1650240410</t>
  </si>
  <si>
    <t>1650223870</t>
  </si>
  <si>
    <t>1650213791</t>
  </si>
  <si>
    <t>1650231670</t>
  </si>
  <si>
    <t>1650210688</t>
  </si>
  <si>
    <t>6145002940</t>
  </si>
  <si>
    <t>100299174119000017</t>
  </si>
  <si>
    <t>Донецк</t>
  </si>
  <si>
    <t>100069276119000049</t>
  </si>
  <si>
    <t>6316044140</t>
  </si>
  <si>
    <t>0142200001319013502</t>
  </si>
  <si>
    <t>6315608643</t>
  </si>
  <si>
    <t>8611003360</t>
  </si>
  <si>
    <t>0387100014519000009</t>
  </si>
  <si>
    <t>Белоярский</t>
  </si>
  <si>
    <t>861100704299</t>
  </si>
  <si>
    <t>0164100009719000038</t>
  </si>
  <si>
    <t>0322100009219000132</t>
  </si>
  <si>
    <t>100069276119000052</t>
  </si>
  <si>
    <t>6450033600</t>
  </si>
  <si>
    <t>0860200000819009451</t>
  </si>
  <si>
    <t>6450062463</t>
  </si>
  <si>
    <t>6027054910</t>
  </si>
  <si>
    <t>0157200000319000716</t>
  </si>
  <si>
    <t>6027002366</t>
  </si>
  <si>
    <t>100288012119000022</t>
  </si>
  <si>
    <t>0371300027819000427</t>
  </si>
  <si>
    <t>7606078167</t>
  </si>
  <si>
    <t>7606035332</t>
  </si>
  <si>
    <t>7605014298</t>
  </si>
  <si>
    <t>100069276119000050</t>
  </si>
  <si>
    <t>100288012119000021</t>
  </si>
  <si>
    <t>0164100009719000037</t>
  </si>
  <si>
    <t>Умётский район</t>
  </si>
  <si>
    <t>3809019699</t>
  </si>
  <si>
    <t>0334100024719000042</t>
  </si>
  <si>
    <t>3808186697</t>
  </si>
  <si>
    <t>3811460773</t>
  </si>
  <si>
    <t>246301876548</t>
  </si>
  <si>
    <t>7610027849</t>
  </si>
  <si>
    <t>100183225119000042</t>
  </si>
  <si>
    <t>Рыбинск</t>
  </si>
  <si>
    <t>100069276119000054</t>
  </si>
  <si>
    <t>0355100004619000116</t>
  </si>
  <si>
    <t>5835096781</t>
  </si>
  <si>
    <t>100069276119000051</t>
  </si>
  <si>
    <t>100069276119000053</t>
  </si>
  <si>
    <t>2612009211</t>
  </si>
  <si>
    <t>0321100008819000039</t>
  </si>
  <si>
    <t>Курский район</t>
  </si>
  <si>
    <t>261200077493</t>
  </si>
  <si>
    <t>6450925430</t>
  </si>
  <si>
    <t>0360200041219000040</t>
  </si>
  <si>
    <t>645056405514</t>
  </si>
  <si>
    <t>645005996450</t>
  </si>
  <si>
    <t>0149200002319005381</t>
  </si>
  <si>
    <t>0149200002319005385</t>
  </si>
  <si>
    <t>5190151357</t>
  </si>
  <si>
    <t>0134200000119002947</t>
  </si>
  <si>
    <t>2209015193</t>
  </si>
  <si>
    <t>0817200000319009226</t>
  </si>
  <si>
    <t>2209002370</t>
  </si>
  <si>
    <t>0355100004619000115</t>
  </si>
  <si>
    <t>0140100008219000042</t>
  </si>
  <si>
    <t>0140100008219000041</t>
  </si>
  <si>
    <t>6641000186</t>
  </si>
  <si>
    <t>0362100038119000029</t>
  </si>
  <si>
    <t>Гаринский район</t>
  </si>
  <si>
    <t>6658525431</t>
  </si>
  <si>
    <t>100200982119000026</t>
  </si>
  <si>
    <t>3808115456</t>
  </si>
  <si>
    <t>0334100020519000096</t>
  </si>
  <si>
    <t>[ОКПД2 10.20] Рыба переработанная и консервированная, ракообразные и моллюски, [ОКПД2 10.12] Мясо сельскохозяйственной птицы и прочие продукты убоя, включая консервированные, [ОКПД2 10.11] Мясо и прочие продукты убоя, включая мясо консервированное</t>
  </si>
  <si>
    <t>3812130263</t>
  </si>
  <si>
    <t>1646010862</t>
  </si>
  <si>
    <t>0311300039419000152</t>
  </si>
  <si>
    <t>Елабуга</t>
  </si>
  <si>
    <t>1650254269</t>
  </si>
  <si>
    <t>6610002779</t>
  </si>
  <si>
    <t>0362300205419000010</t>
  </si>
  <si>
    <t>Ивдель</t>
  </si>
  <si>
    <t>6658516476</t>
  </si>
  <si>
    <t>0369100011119000049</t>
  </si>
  <si>
    <t>0134100006419000030</t>
  </si>
  <si>
    <t>100082188119000016</t>
  </si>
  <si>
    <t>5243009565</t>
  </si>
  <si>
    <t>100090984119000034</t>
  </si>
  <si>
    <t>Арзамас</t>
  </si>
  <si>
    <t>0372100030619000516</t>
  </si>
  <si>
    <t>7814331815</t>
  </si>
  <si>
    <t>0337100001419000006</t>
  </si>
  <si>
    <t>2636046075</t>
  </si>
  <si>
    <t>0321200026219000137</t>
  </si>
  <si>
    <t>2635098634</t>
  </si>
  <si>
    <t>7428004997</t>
  </si>
  <si>
    <t>0369100035019000040</t>
  </si>
  <si>
    <t>Варненский район</t>
  </si>
  <si>
    <t>742801069475</t>
  </si>
  <si>
    <t>1601001811</t>
  </si>
  <si>
    <t>0311100018219000016</t>
  </si>
  <si>
    <t>Агрызский район</t>
  </si>
  <si>
    <t>160111916110</t>
  </si>
  <si>
    <t>2223021150</t>
  </si>
  <si>
    <t>0817200000319009203</t>
  </si>
  <si>
    <t>[ОКПД2 17.23] Принадлежности канцелярские бумажные, [ОКПД2 13.96] Изделия текстильные технического назначения прочие</t>
  </si>
  <si>
    <t>2224003065</t>
  </si>
  <si>
    <t>9103017115</t>
  </si>
  <si>
    <t>0875300031819000003</t>
  </si>
  <si>
    <t>0369100035019000042</t>
  </si>
  <si>
    <t>100111562119000061</t>
  </si>
  <si>
    <t>0369100035019000043</t>
  </si>
  <si>
    <t>0369100035019000041</t>
  </si>
  <si>
    <t>5017003665</t>
  </si>
  <si>
    <t>0148100003019000031</t>
  </si>
  <si>
    <t>5036145714</t>
  </si>
  <si>
    <t>0348200082719000076</t>
  </si>
  <si>
    <t>[ОКПД2 26.20] Компьютеры и периферийное оборудование, [ОКПД2 62.01] Продукты программные и услуги по разработке и тестированию программного обеспечения, [ОКПД2 33.20] Услуги по монтажу промышленных машин и оборудования, [ОКПД2 27.11] Электродвигатели, генераторы и трансформаторы, [ОКПД2 26.30] Оборудование коммуникационное</t>
  </si>
  <si>
    <t>7715885403</t>
  </si>
  <si>
    <t>9108119992</t>
  </si>
  <si>
    <t>0375300012019000004</t>
  </si>
  <si>
    <t>0231100000219000210</t>
  </si>
  <si>
    <t>2460044160</t>
  </si>
  <si>
    <t>0119300019819001305</t>
  </si>
  <si>
    <t>1102049102</t>
  </si>
  <si>
    <t>0307200012719000005</t>
  </si>
  <si>
    <t>110202684063</t>
  </si>
  <si>
    <t>5753022348</t>
  </si>
  <si>
    <t>0154300014619000598</t>
  </si>
  <si>
    <t>0321100001419000048</t>
  </si>
  <si>
    <t>0154100006019000184</t>
  </si>
  <si>
    <t>5753022210</t>
  </si>
  <si>
    <t>0154300014619000599</t>
  </si>
  <si>
    <t>5751030417</t>
  </si>
  <si>
    <t>0816500000619012449</t>
  </si>
  <si>
    <t>1435090379</t>
  </si>
  <si>
    <t>4220006132</t>
  </si>
  <si>
    <t>0339300091119000108</t>
  </si>
  <si>
    <t>7704706388</t>
  </si>
  <si>
    <t>5751010393</t>
  </si>
  <si>
    <t>0154300014619000597</t>
  </si>
  <si>
    <t>5754020375</t>
  </si>
  <si>
    <t>2584650</t>
  </si>
  <si>
    <t>100107395119000006</t>
  </si>
  <si>
    <t>5751018434</t>
  </si>
  <si>
    <t>0154300014619000595</t>
  </si>
  <si>
    <t>5751015391</t>
  </si>
  <si>
    <t>4202040719</t>
  </si>
  <si>
    <t>0139100009019000031</t>
  </si>
  <si>
    <t>Белово</t>
  </si>
  <si>
    <t>6444004618</t>
  </si>
  <si>
    <t>0160100007919000022</t>
  </si>
  <si>
    <t>Петровск</t>
  </si>
  <si>
    <t>6444009542</t>
  </si>
  <si>
    <t>7718115064</t>
  </si>
  <si>
    <t>0373200059719000357</t>
  </si>
  <si>
    <t>7722385049</t>
  </si>
  <si>
    <t>0377100007419000007</t>
  </si>
  <si>
    <t>5415000141</t>
  </si>
  <si>
    <t>0151300049519000118</t>
  </si>
  <si>
    <t>5415000695</t>
  </si>
  <si>
    <t>6632014746</t>
  </si>
  <si>
    <t>0362300209119000004</t>
  </si>
  <si>
    <t>Серовский район</t>
  </si>
  <si>
    <t>0320100025719000084</t>
  </si>
  <si>
    <t>2511095976</t>
  </si>
  <si>
    <t>2511104719</t>
  </si>
  <si>
    <t>5829004091</t>
  </si>
  <si>
    <t>31908230457</t>
  </si>
  <si>
    <t>31908230195</t>
  </si>
  <si>
    <t>3435880998</t>
  </si>
  <si>
    <t>31908229853</t>
  </si>
  <si>
    <t>31908232028</t>
  </si>
  <si>
    <t>6501206204</t>
  </si>
  <si>
    <t>31908228490</t>
  </si>
  <si>
    <t>[ОКПД2 90+] Услуги в области творчества, искусства и развлечений, [ОКВЭД2 90+] Деятельность творческая, деятельность в области искусства и организации развлечений</t>
  </si>
  <si>
    <t>31908228397</t>
  </si>
  <si>
    <t>6623045402</t>
  </si>
  <si>
    <t>31908228636</t>
  </si>
  <si>
    <t>31908249105</t>
  </si>
  <si>
    <t>31908231335</t>
  </si>
  <si>
    <t>6027155309</t>
  </si>
  <si>
    <t>31908230937</t>
  </si>
  <si>
    <t>4715007604</t>
  </si>
  <si>
    <t>31908229845</t>
  </si>
  <si>
    <t>31908229925</t>
  </si>
  <si>
    <t>[ОКПД2 79.11] Услуги туристических агентств, [ОКВЭД2 79.12] Деятельность туроператоров</t>
  </si>
  <si>
    <t>1644020255</t>
  </si>
  <si>
    <t>BP00328863</t>
  </si>
  <si>
    <t>Альметьевск</t>
  </si>
  <si>
    <t>31908231178</t>
  </si>
  <si>
    <t>31908228500</t>
  </si>
  <si>
    <t>1644020382</t>
  </si>
  <si>
    <t>BP00329110</t>
  </si>
  <si>
    <t>Альметьевский район</t>
  </si>
  <si>
    <t>6154074028</t>
  </si>
  <si>
    <t>31908228931</t>
  </si>
  <si>
    <t>7839058780</t>
  </si>
  <si>
    <t>31908232340</t>
  </si>
  <si>
    <t>[ОКПД2 50.30] Услуги по перевозке пассажиров внутренним водным транспортом, [ОКВЭД2 50.10] Деятельность морского пассажирского транспорта</t>
  </si>
  <si>
    <t>31908230189</t>
  </si>
  <si>
    <t>31908228852</t>
  </si>
  <si>
    <t>31908242179</t>
  </si>
  <si>
    <t>2901248554</t>
  </si>
  <si>
    <t>31908230377</t>
  </si>
  <si>
    <t>5047046105</t>
  </si>
  <si>
    <t>31908230266</t>
  </si>
  <si>
    <t>[ОКПД2 56.10] Услуги ресторанов и услуги по доставке продуктов питания, [ОКПД2 81.29] Услуги по чистке и уборке прочие, [ОКВЭД2 81.29] Деятельность по чистке и уборке прочая, [ОКВЭД2 56.10] Деятельность ресторанов и услуги по доставке продуктов питания</t>
  </si>
  <si>
    <t>31908232308</t>
  </si>
  <si>
    <t>[ОКПД2 56.29] Услуги по обеспечению питанием прочие, [ОКПД2 55.2+] Услуги по предоставлению временного жилья в местах отдыха и прочих местах для краткосрочного проживания, [ОКВЭД2 56.29] Деятельность предприятий общественного питания по прочим видам организации питания, [ОКВЭД2 55.20] Деятельность по предоставлению мест для краткосрочного проживания</t>
  </si>
  <si>
    <t>31908228872</t>
  </si>
  <si>
    <t>31908232022</t>
  </si>
  <si>
    <t>31908242154</t>
  </si>
  <si>
    <t>31908231403</t>
  </si>
  <si>
    <t>31908229625</t>
  </si>
  <si>
    <t>31908229620</t>
  </si>
  <si>
    <t>7704853840</t>
  </si>
  <si>
    <t>31908227572</t>
  </si>
  <si>
    <t>7202172340</t>
  </si>
  <si>
    <t>31908230686</t>
  </si>
  <si>
    <t>[ОКПД2 93.11] Услуги спортивных объектов, [ОКПД2 55.20] Услуги по предоставлению временного жилья в местах отдыха и прочих местах для краткосрочного проживания, [ОКПД2 56.10] Услуги ресторанов и услуги по доставке продуктов питания, [ОКВЭД2 93.11] Деятельность спортивных объектов, [ОКВЭД2 56.10] Деятельность ресторанов и услуги по доставке продуктов питания, [ОКВЭД2 55.20] Деятельность по предоставлению мест для краткосрочного проживания</t>
  </si>
  <si>
    <t>31908235147</t>
  </si>
  <si>
    <t>2302022205</t>
  </si>
  <si>
    <t>31908230812</t>
  </si>
  <si>
    <t>31908229561</t>
  </si>
  <si>
    <t>31908230133</t>
  </si>
  <si>
    <t>0105100001319000087</t>
  </si>
  <si>
    <t>Приютненский район</t>
  </si>
  <si>
    <t>0105100001319000089</t>
  </si>
  <si>
    <t>Малодербетовский район</t>
  </si>
  <si>
    <t>0105100001319000084</t>
  </si>
  <si>
    <t>Черноземельский район</t>
  </si>
  <si>
    <t>0105100001319000085</t>
  </si>
  <si>
    <t>0105100001319000086</t>
  </si>
  <si>
    <t>0816500000619012402</t>
  </si>
  <si>
    <t>0105100001319000088</t>
  </si>
  <si>
    <t>0360100023719000017</t>
  </si>
  <si>
    <t>0148100003019000030</t>
  </si>
  <si>
    <t>4707013210</t>
  </si>
  <si>
    <t>0145300010319000217</t>
  </si>
  <si>
    <t>Кингисепп</t>
  </si>
  <si>
    <t>470708169151</t>
  </si>
  <si>
    <t>6140011860</t>
  </si>
  <si>
    <t>100295572119000013</t>
  </si>
  <si>
    <t>0231100000219000209</t>
  </si>
  <si>
    <t>2626027468</t>
  </si>
  <si>
    <t>100295572119000012</t>
  </si>
  <si>
    <t>8910001963</t>
  </si>
  <si>
    <t>0190300000719000788</t>
  </si>
  <si>
    <t>Тазовский район</t>
  </si>
  <si>
    <t>8910000328</t>
  </si>
  <si>
    <t>0167200003419004273</t>
  </si>
  <si>
    <t>2327004952</t>
  </si>
  <si>
    <t>0318100017519000022</t>
  </si>
  <si>
    <t>Брюховецкий район</t>
  </si>
  <si>
    <t>2327014372</t>
  </si>
  <si>
    <t>3436102623</t>
  </si>
  <si>
    <t>0129300000319000086</t>
  </si>
  <si>
    <t>3436017199</t>
  </si>
  <si>
    <t>3459073707</t>
  </si>
  <si>
    <t>0131200001019004594</t>
  </si>
  <si>
    <t>3601008384</t>
  </si>
  <si>
    <t>1435073969</t>
  </si>
  <si>
    <t>0216100000319000400</t>
  </si>
  <si>
    <t>2263000950</t>
  </si>
  <si>
    <t>4705008905</t>
  </si>
  <si>
    <t>0345100005219000003</t>
  </si>
  <si>
    <t>Гатчинский район</t>
  </si>
  <si>
    <t>4705017875</t>
  </si>
  <si>
    <t>5612001360</t>
  </si>
  <si>
    <t>0353100011719000041</t>
  </si>
  <si>
    <t>7718883436</t>
  </si>
  <si>
    <t>7731466713</t>
  </si>
  <si>
    <t>0131200001019004593</t>
  </si>
  <si>
    <t>0139100008119000025</t>
  </si>
  <si>
    <t>Ленинск-Кузнецкий</t>
  </si>
  <si>
    <t>7702421588</t>
  </si>
  <si>
    <t>0373200138219000746</t>
  </si>
  <si>
    <t>502714484932</t>
  </si>
  <si>
    <t>7733137288</t>
  </si>
  <si>
    <t>7718652862</t>
  </si>
  <si>
    <t>9710073360</t>
  </si>
  <si>
    <t>7709462304</t>
  </si>
  <si>
    <t>0123200000319002518</t>
  </si>
  <si>
    <t>7706016118</t>
  </si>
  <si>
    <t>0273100000119000080</t>
  </si>
  <si>
    <t>[ОКПД2 26.20] Компьютеры и периферийное оборудование, [ОКПД2 26.11] Компоненты электронные, [ОКПД2 62.02] Услуги консультативные, связанные с компьютерной техникой, [ОКПД2 26.30] Оборудование коммуникационное, [ОКПД2 17.23] Принадлежности канцелярские бумажные, [ОКПД2 62.09] Услуги в области информационных технологий прочие и компьютерные услуги</t>
  </si>
  <si>
    <t>7723719400</t>
  </si>
  <si>
    <t>6316020357</t>
  </si>
  <si>
    <t>0348300629419000098</t>
  </si>
  <si>
    <t>5055001250</t>
  </si>
  <si>
    <t>Рошаль</t>
  </si>
  <si>
    <t>5055001228</t>
  </si>
  <si>
    <t>5055001267</t>
  </si>
  <si>
    <t>5055001281</t>
  </si>
  <si>
    <t>5049021184</t>
  </si>
  <si>
    <t>5601002996</t>
  </si>
  <si>
    <t>0353100009719000011</t>
  </si>
  <si>
    <t>560100048255</t>
  </si>
  <si>
    <t>2333007743</t>
  </si>
  <si>
    <t>0318300526219000113</t>
  </si>
  <si>
    <t>5045011474</t>
  </si>
  <si>
    <t>0348100084319000015</t>
  </si>
  <si>
    <t>504507339095</t>
  </si>
  <si>
    <t>3015081689</t>
  </si>
  <si>
    <t>0325100016019000294</t>
  </si>
  <si>
    <t>0353100009719000012</t>
  </si>
  <si>
    <t>0348100084319000016</t>
  </si>
  <si>
    <t>8604022121</t>
  </si>
  <si>
    <t>0387100012219000007</t>
  </si>
  <si>
    <t>860405835449</t>
  </si>
  <si>
    <t>6516002027</t>
  </si>
  <si>
    <t>0161100007919000013</t>
  </si>
  <si>
    <t>5610138249</t>
  </si>
  <si>
    <t>0853500000319009341</t>
  </si>
  <si>
    <t>[ОКПД2 26.40] Техника бытовая электронная, [ОКПД2 26.20] Компьютеры и периферийное оборудование</t>
  </si>
  <si>
    <t>560204516927</t>
  </si>
  <si>
    <t>0149100003219000095</t>
  </si>
  <si>
    <t>РН992418</t>
  </si>
  <si>
    <t>9103017235</t>
  </si>
  <si>
    <t>0875300023419000003</t>
  </si>
  <si>
    <t>7017274845</t>
  </si>
  <si>
    <t>100089112119000033</t>
  </si>
  <si>
    <t>100250149119000013</t>
  </si>
  <si>
    <t>Красносулинский район</t>
  </si>
  <si>
    <t>0326007523</t>
  </si>
  <si>
    <t>0302100014919000047</t>
  </si>
  <si>
    <t>032301894837</t>
  </si>
  <si>
    <t>100250149119000012</t>
  </si>
  <si>
    <t>2221007858</t>
  </si>
  <si>
    <t>1047476</t>
  </si>
  <si>
    <t>1047531</t>
  </si>
  <si>
    <t>5512002176</t>
  </si>
  <si>
    <t>100292082119000020</t>
  </si>
  <si>
    <t>Горьковский район</t>
  </si>
  <si>
    <t>2226021052</t>
  </si>
  <si>
    <t>0317100003519000021</t>
  </si>
  <si>
    <t>220401624526</t>
  </si>
  <si>
    <t>4211013535</t>
  </si>
  <si>
    <t>0139200000119006620</t>
  </si>
  <si>
    <t>6916015990</t>
  </si>
  <si>
    <t>ATOM22081900180</t>
  </si>
  <si>
    <t>1047418</t>
  </si>
  <si>
    <t>100292082119000021</t>
  </si>
  <si>
    <t>1047438</t>
  </si>
  <si>
    <t>2584378</t>
  </si>
  <si>
    <t>3250063658</t>
  </si>
  <si>
    <t>1047033</t>
  </si>
  <si>
    <t>6375002134</t>
  </si>
  <si>
    <t>100222803119000018</t>
  </si>
  <si>
    <t>2352016535</t>
  </si>
  <si>
    <t>0318100006419000019</t>
  </si>
  <si>
    <t>235210866618</t>
  </si>
  <si>
    <t>0108100003719000043</t>
  </si>
  <si>
    <t>1215178660</t>
  </si>
  <si>
    <t>120703640970</t>
  </si>
  <si>
    <t>0157200001819000134</t>
  </si>
  <si>
    <t>2225029066</t>
  </si>
  <si>
    <t>1047076</t>
  </si>
  <si>
    <t>0369100014019000028</t>
  </si>
  <si>
    <t>0356300135419000003</t>
  </si>
  <si>
    <t>100292082119000019</t>
  </si>
  <si>
    <t>5509008210</t>
  </si>
  <si>
    <t>100294621119000040</t>
  </si>
  <si>
    <t>Азовский немецкий национальный район</t>
  </si>
  <si>
    <t>2248002159</t>
  </si>
  <si>
    <t>1046996</t>
  </si>
  <si>
    <t>Ключевский район</t>
  </si>
  <si>
    <t>8605014910</t>
  </si>
  <si>
    <t>1047017</t>
  </si>
  <si>
    <t>5957017360</t>
  </si>
  <si>
    <t>0356100006119000002</t>
  </si>
  <si>
    <t>Чернушинский район</t>
  </si>
  <si>
    <t>100222803119000019</t>
  </si>
  <si>
    <t>0126200000419002999</t>
  </si>
  <si>
    <t>5538004996</t>
  </si>
  <si>
    <t>100112707119000010</t>
  </si>
  <si>
    <t>Усть-Ишимский район</t>
  </si>
  <si>
    <t>0384200000119000179</t>
  </si>
  <si>
    <t>0321100001419000047</t>
  </si>
  <si>
    <t>0358200003719000040</t>
  </si>
  <si>
    <t>100292888119000025</t>
  </si>
  <si>
    <t>2265002705</t>
  </si>
  <si>
    <t>0117100016419000008</t>
  </si>
  <si>
    <t>Поспелихинский район</t>
  </si>
  <si>
    <t>6907011816</t>
  </si>
  <si>
    <t>0136300037619000061</t>
  </si>
  <si>
    <t>6908017698</t>
  </si>
  <si>
    <t>0140100008219000040</t>
  </si>
  <si>
    <t>8002003636</t>
  </si>
  <si>
    <t>0391300079019000002</t>
  </si>
  <si>
    <t>[ОКПД2 33.20] Услуги по монтажу промышленных машин и оборудования, [ОКПД2 28.99] Оборудование специального назначения прочее, не включенное в другие группировки, [ОКПД2 26.40] Техника бытовая электронная, [ОКПД2 26.30] Оборудование коммуникационное, [ОКПД2 31.09] Мебель прочая, [ОКПД2 26.20] Компьютеры и периферийное оборудование</t>
  </si>
  <si>
    <t>Дульдургинский</t>
  </si>
  <si>
    <t>7725276249</t>
  </si>
  <si>
    <t>0317100003519000020</t>
  </si>
  <si>
    <t>0367100021619000025</t>
  </si>
  <si>
    <t>3327101370</t>
  </si>
  <si>
    <t>0128200000119005319</t>
  </si>
  <si>
    <t>100111562119000060</t>
  </si>
  <si>
    <t>1301062281</t>
  </si>
  <si>
    <t>0309300016719000001</t>
  </si>
  <si>
    <t>Ардатовский район</t>
  </si>
  <si>
    <t>132709343638</t>
  </si>
  <si>
    <t>1301062010</t>
  </si>
  <si>
    <t>0309300016619000001</t>
  </si>
  <si>
    <t>7417003310</t>
  </si>
  <si>
    <t>0169400000519000037</t>
  </si>
  <si>
    <t>7404064161</t>
  </si>
  <si>
    <t>3808171041</t>
  </si>
  <si>
    <t>0134100007419000071</t>
  </si>
  <si>
    <t>3808231043</t>
  </si>
  <si>
    <t>1044459</t>
  </si>
  <si>
    <t>793244</t>
  </si>
  <si>
    <t>0158100011619000020</t>
  </si>
  <si>
    <t>3606002160</t>
  </si>
  <si>
    <t>100149769119000012</t>
  </si>
  <si>
    <t>Верхнемамонский район</t>
  </si>
  <si>
    <t>5044065621</t>
  </si>
  <si>
    <t>793262</t>
  </si>
  <si>
    <t>0191400000219000013</t>
  </si>
  <si>
    <t>0356200007919000014</t>
  </si>
  <si>
    <t>5921031410</t>
  </si>
  <si>
    <t>0356100005619000035</t>
  </si>
  <si>
    <t>5919025096</t>
  </si>
  <si>
    <t>0356300215719000223</t>
  </si>
  <si>
    <t>8107011970</t>
  </si>
  <si>
    <t>6623119076</t>
  </si>
  <si>
    <t>6321243045</t>
  </si>
  <si>
    <t>5904125203</t>
  </si>
  <si>
    <t>5404141373</t>
  </si>
  <si>
    <t>1044167</t>
  </si>
  <si>
    <t>100299959119000023</t>
  </si>
  <si>
    <t>7011006342</t>
  </si>
  <si>
    <t>100271295119000018</t>
  </si>
  <si>
    <t>Кедровый</t>
  </si>
  <si>
    <t>100271295119000019</t>
  </si>
  <si>
    <t>Парабельский район</t>
  </si>
  <si>
    <t>100271295119000017</t>
  </si>
  <si>
    <t>100282159119000035</t>
  </si>
  <si>
    <t>1045773</t>
  </si>
  <si>
    <t>[ОКПД2 21.20] Препараты лекарственные и материалы, применяемые в медицинских целях</t>
  </si>
  <si>
    <t>1045770</t>
  </si>
  <si>
    <t>31908223970</t>
  </si>
  <si>
    <t>2315018132</t>
  </si>
  <si>
    <t>31908224929</t>
  </si>
  <si>
    <t>6154082903</t>
  </si>
  <si>
    <t>31908217043</t>
  </si>
  <si>
    <t>6314018546</t>
  </si>
  <si>
    <t>31908233405</t>
  </si>
  <si>
    <t>31908225381</t>
  </si>
  <si>
    <t>6163020773</t>
  </si>
  <si>
    <t>31908227169</t>
  </si>
  <si>
    <t>8608041005</t>
  </si>
  <si>
    <t>31908225439</t>
  </si>
  <si>
    <t>6319038419</t>
  </si>
  <si>
    <t>31908228068</t>
  </si>
  <si>
    <t>31908225584</t>
  </si>
  <si>
    <t>31908224052</t>
  </si>
  <si>
    <t>2446001358</t>
  </si>
  <si>
    <t>31908225509</t>
  </si>
  <si>
    <t>31908227071</t>
  </si>
  <si>
    <t>31908225549</t>
  </si>
  <si>
    <t>5021011404</t>
  </si>
  <si>
    <t>31908224553</t>
  </si>
  <si>
    <t>7842461679</t>
  </si>
  <si>
    <t>31908228045</t>
  </si>
  <si>
    <t>6664033124</t>
  </si>
  <si>
    <t>31908224892</t>
  </si>
  <si>
    <t>31908223621</t>
  </si>
  <si>
    <t>6615008894</t>
  </si>
  <si>
    <t>31908224457</t>
  </si>
  <si>
    <t>Качканар</t>
  </si>
  <si>
    <t>4207023146</t>
  </si>
  <si>
    <t>31908226350</t>
  </si>
  <si>
    <t>7220003137</t>
  </si>
  <si>
    <t>31908237999</t>
  </si>
  <si>
    <t>31908223618</t>
  </si>
  <si>
    <t>31908238025</t>
  </si>
  <si>
    <t>31908224750</t>
  </si>
  <si>
    <t>31908222854</t>
  </si>
  <si>
    <t>2925005600</t>
  </si>
  <si>
    <t>31908228059</t>
  </si>
  <si>
    <t>[ОКПД2 38.22] Услуги по переработке и утилизации опасных отходов, [ОКВЭД2 38.22] Обработка и утилизация опасных отходов</t>
  </si>
  <si>
    <t>7814348015</t>
  </si>
  <si>
    <t>31908227654</t>
  </si>
  <si>
    <t>[ОКПД2 55.10] Услуги гостиниц и аналогичные услуги по предоставлению временного жилья, [ОКПД2 56.2+] Услуги по поставке продукции общественного питания и обслуживанию торжественных мероприятий и прочие услуги по обеспечению питанием, [ОКВЭД2 55.10] Деятельность гостиниц и прочих мест для временного проживания, [ОКВЭД2 56.29] Деятельность предприятий общественного питания по прочим видам организации питания</t>
  </si>
  <si>
    <t>31908223028</t>
  </si>
  <si>
    <t>7839395419</t>
  </si>
  <si>
    <t>31908226620</t>
  </si>
  <si>
    <t>[ОКПД2 27.12] Аппаратура распределительная и регулирующая электрическая, [ОКВЭД2 27.12] Производство электрической распределительной и регулирующей аппаратуры</t>
  </si>
  <si>
    <t>5007088910</t>
  </si>
  <si>
    <t>31908228191</t>
  </si>
  <si>
    <t>31908225317</t>
  </si>
  <si>
    <t>3016045958</t>
  </si>
  <si>
    <t>31908223144</t>
  </si>
  <si>
    <t>[ОКПД2 62.03] Услуги по управлению компьютерным оборудованием, [ОКВЭД2 62.03] Деятельность по управлению компьютерным оборудованием</t>
  </si>
  <si>
    <t>31908225953</t>
  </si>
  <si>
    <t>3016026480</t>
  </si>
  <si>
    <t>BP00327140</t>
  </si>
  <si>
    <t>7736051896</t>
  </si>
  <si>
    <t>0373100008819000020</t>
  </si>
  <si>
    <t>[ОКПД2 46.14] Услуги по оптовой торговле машинами, производственным оборудованием, судами и летательными аппаратами за вознаграждение или на договорной основе</t>
  </si>
  <si>
    <t>1200001187</t>
  </si>
  <si>
    <t>0308100002119000009</t>
  </si>
  <si>
    <t>0318100000419000049</t>
  </si>
  <si>
    <t>0301201374</t>
  </si>
  <si>
    <t>0102400000319000014</t>
  </si>
  <si>
    <t>Баргузинский район</t>
  </si>
  <si>
    <t>0373200041519001528</t>
  </si>
  <si>
    <t>7724757581</t>
  </si>
  <si>
    <t>5047162528</t>
  </si>
  <si>
    <t>4632071356</t>
  </si>
  <si>
    <t>1045588</t>
  </si>
  <si>
    <t>0318100000419000048</t>
  </si>
  <si>
    <t>6827002809</t>
  </si>
  <si>
    <t>0864500000219003115</t>
  </si>
  <si>
    <t>6827028042</t>
  </si>
  <si>
    <t>3816001364</t>
  </si>
  <si>
    <t>0134200000119002898</t>
  </si>
  <si>
    <t>Тулун</t>
  </si>
  <si>
    <t>0127100009019000028</t>
  </si>
  <si>
    <t>0127100009019000027</t>
  </si>
  <si>
    <t>2913003189</t>
  </si>
  <si>
    <t>0324100010919000016</t>
  </si>
  <si>
    <t>290503972870</t>
  </si>
  <si>
    <t>0102400000319000013</t>
  </si>
  <si>
    <t>7018003855</t>
  </si>
  <si>
    <t>0265100000419000199</t>
  </si>
  <si>
    <t>7014041634</t>
  </si>
  <si>
    <t>0848300060619000484</t>
  </si>
  <si>
    <t>0111100008319000102</t>
  </si>
  <si>
    <t>[ОКПД2 46.52] Услуги по оптовой торговле электронным и телекоммуникационным оборудованием и его частями, [ОКПД2 27.20] Батареи и аккумуляторы</t>
  </si>
  <si>
    <t>6312125239</t>
  </si>
  <si>
    <t>591800023232</t>
  </si>
  <si>
    <t>РН992137</t>
  </si>
  <si>
    <t>0111100008319000101</t>
  </si>
  <si>
    <t>[ОКПД2 27.20] Батареи и аккумуляторы, [ОКПД2 46.52] Услуги по оптовой торговле электронным и телекоммуникационным оборудованием и его частями</t>
  </si>
  <si>
    <t>9715241307</t>
  </si>
  <si>
    <t>7802016230</t>
  </si>
  <si>
    <t>0372100014819000025</t>
  </si>
  <si>
    <t>7802568707</t>
  </si>
  <si>
    <t>0864500000219003110</t>
  </si>
  <si>
    <t>100149769119000011</t>
  </si>
  <si>
    <t>6147012920</t>
  </si>
  <si>
    <t>0358200031219000019</t>
  </si>
  <si>
    <t>Каменск-Шахтинский</t>
  </si>
  <si>
    <t>0111300000819001044</t>
  </si>
  <si>
    <t>1650283206</t>
  </si>
  <si>
    <t>1650283157</t>
  </si>
  <si>
    <t>1650086180</t>
  </si>
  <si>
    <t>1650086783</t>
  </si>
  <si>
    <t>1650085980</t>
  </si>
  <si>
    <t>1650182663</t>
  </si>
  <si>
    <t>1650086720</t>
  </si>
  <si>
    <t>1650210600</t>
  </si>
  <si>
    <t>1650182656</t>
  </si>
  <si>
    <t>0562045881</t>
  </si>
  <si>
    <t>0103200008419006984</t>
  </si>
  <si>
    <t>0541018630</t>
  </si>
  <si>
    <t>100149769119000008</t>
  </si>
  <si>
    <t>0112200000819003003</t>
  </si>
  <si>
    <t>1714006761</t>
  </si>
  <si>
    <t>0112200000819003011</t>
  </si>
  <si>
    <t>5112000216</t>
  </si>
  <si>
    <t>100033268119000014</t>
  </si>
  <si>
    <t>Снежногорск</t>
  </si>
  <si>
    <t>1623000096</t>
  </si>
  <si>
    <t>0311300157919000063</t>
  </si>
  <si>
    <t>Кукморский район</t>
  </si>
  <si>
    <t>162303863177</t>
  </si>
  <si>
    <t>100149769119000009</t>
  </si>
  <si>
    <t>0112200000819003012</t>
  </si>
  <si>
    <t>3666029008</t>
  </si>
  <si>
    <t>0331300005719000053</t>
  </si>
  <si>
    <t>366500698670</t>
  </si>
  <si>
    <t>0156100007019000023</t>
  </si>
  <si>
    <t>6153908295</t>
  </si>
  <si>
    <t>1045163</t>
  </si>
  <si>
    <t>0156100007019000024</t>
  </si>
  <si>
    <t>1910008973</t>
  </si>
  <si>
    <t>0380200000119004708</t>
  </si>
  <si>
    <t>Усть-Абаканский район</t>
  </si>
  <si>
    <t>1901063953</t>
  </si>
  <si>
    <t>245500464402</t>
  </si>
  <si>
    <t>3728016604</t>
  </si>
  <si>
    <t>0133200001719002484</t>
  </si>
  <si>
    <t>7701272975</t>
  </si>
  <si>
    <t>100088048119000011</t>
  </si>
  <si>
    <t>0348100069819000050</t>
  </si>
  <si>
    <t>5004000748</t>
  </si>
  <si>
    <t>0348100076119000008</t>
  </si>
  <si>
    <t>5079009868</t>
  </si>
  <si>
    <t>0141100001019000040</t>
  </si>
  <si>
    <t>0348100069819000048</t>
  </si>
  <si>
    <t>5050089042</t>
  </si>
  <si>
    <t>0348100083519000042</t>
  </si>
  <si>
    <t>7720756883</t>
  </si>
  <si>
    <t>7726431017</t>
  </si>
  <si>
    <t>7729649621</t>
  </si>
  <si>
    <t>3906324472</t>
  </si>
  <si>
    <t>0348100069819000049</t>
  </si>
  <si>
    <t>0140100008219000039</t>
  </si>
  <si>
    <t>0306200010219000497</t>
  </si>
  <si>
    <t>3123030441</t>
  </si>
  <si>
    <t>1044873</t>
  </si>
  <si>
    <t>4704044202</t>
  </si>
  <si>
    <t>0845300015019000516</t>
  </si>
  <si>
    <t>0348100069819000051</t>
  </si>
  <si>
    <t>1611003800</t>
  </si>
  <si>
    <t>0711200011819000016</t>
  </si>
  <si>
    <t>Бавлинский район</t>
  </si>
  <si>
    <t>5305006694</t>
  </si>
  <si>
    <t>0350100006919000010</t>
  </si>
  <si>
    <t>Крестецкий район</t>
  </si>
  <si>
    <t>5305006207</t>
  </si>
  <si>
    <t>3809016338</t>
  </si>
  <si>
    <t>0134200000119002896</t>
  </si>
  <si>
    <t>381201267608</t>
  </si>
  <si>
    <t>792793</t>
  </si>
  <si>
    <t>РН980958</t>
  </si>
  <si>
    <t>0320001645</t>
  </si>
  <si>
    <t>0302100008619000009</t>
  </si>
  <si>
    <t>Тункинский район</t>
  </si>
  <si>
    <t>032601062124</t>
  </si>
  <si>
    <t>5250009862</t>
  </si>
  <si>
    <t>0332100049919000017</t>
  </si>
  <si>
    <t>3122007658</t>
  </si>
  <si>
    <t>1044546</t>
  </si>
  <si>
    <t>Алексеевка</t>
  </si>
  <si>
    <t>1044558</t>
  </si>
  <si>
    <t>0177200000919002181</t>
  </si>
  <si>
    <t>100038499119000031</t>
  </si>
  <si>
    <t>100038499119000030</t>
  </si>
  <si>
    <t>7107036186</t>
  </si>
  <si>
    <t>0166100000419000061</t>
  </si>
  <si>
    <t>7115022451</t>
  </si>
  <si>
    <t>4715001507</t>
  </si>
  <si>
    <t>0345300017219000236</t>
  </si>
  <si>
    <t>[ОКПД2 62.01] Продукты программные и услуги по разработке и тестированию программного обеспечения</t>
  </si>
  <si>
    <t>Тихвин</t>
  </si>
  <si>
    <t>4715012227</t>
  </si>
  <si>
    <t>7805703471</t>
  </si>
  <si>
    <t>7816321770</t>
  </si>
  <si>
    <t>0306200010219000493</t>
  </si>
  <si>
    <t>1901044125</t>
  </si>
  <si>
    <t>0180300000219000685</t>
  </si>
  <si>
    <t>1901110522</t>
  </si>
  <si>
    <t>0306200010219000494</t>
  </si>
  <si>
    <t>7118015011</t>
  </si>
  <si>
    <t>0366200035619005901</t>
  </si>
  <si>
    <t>Щекинский район</t>
  </si>
  <si>
    <t>7104045898</t>
  </si>
  <si>
    <t>1626002292</t>
  </si>
  <si>
    <t>0311100007819000007</t>
  </si>
  <si>
    <t>Мамадышский район</t>
  </si>
  <si>
    <t>162600140808</t>
  </si>
  <si>
    <t>5254023089</t>
  </si>
  <si>
    <t>0132300007219000150</t>
  </si>
  <si>
    <t>7411013979</t>
  </si>
  <si>
    <t>1044137</t>
  </si>
  <si>
    <t>9105006736</t>
  </si>
  <si>
    <t>0375200016119000147</t>
  </si>
  <si>
    <t>Джанкой</t>
  </si>
  <si>
    <t>9201511594</t>
  </si>
  <si>
    <t>0331300005719000052</t>
  </si>
  <si>
    <t>6672185480</t>
  </si>
  <si>
    <t>7733277782</t>
  </si>
  <si>
    <t>7445036678</t>
  </si>
  <si>
    <t>7712026844</t>
  </si>
  <si>
    <t>0108100003719000042</t>
  </si>
  <si>
    <t>2255001780</t>
  </si>
  <si>
    <t>0117100023119000009</t>
  </si>
  <si>
    <t>Кытмановский район</t>
  </si>
  <si>
    <t>0169400000519000036</t>
  </si>
  <si>
    <t>0345100004019000003</t>
  </si>
  <si>
    <t>5752011255</t>
  </si>
  <si>
    <t>0154300014619000587</t>
  </si>
  <si>
    <t>5752002395</t>
  </si>
  <si>
    <t>100250149119000007</t>
  </si>
  <si>
    <t>Зверево</t>
  </si>
  <si>
    <t>7328095479</t>
  </si>
  <si>
    <t>100213752119000024</t>
  </si>
  <si>
    <t>5072705263</t>
  </si>
  <si>
    <t>0348200001019000048</t>
  </si>
  <si>
    <t>Луховицы</t>
  </si>
  <si>
    <t>773708284133</t>
  </si>
  <si>
    <t>5752021662</t>
  </si>
  <si>
    <t>0154300014619000584</t>
  </si>
  <si>
    <t>5752022514</t>
  </si>
  <si>
    <t>0154300014619000590</t>
  </si>
  <si>
    <t>5751018547</t>
  </si>
  <si>
    <t>0154300014619000585</t>
  </si>
  <si>
    <t>5078003951</t>
  </si>
  <si>
    <t>0848300060619000483</t>
  </si>
  <si>
    <t>5752022747</t>
  </si>
  <si>
    <t>0154300014619000589</t>
  </si>
  <si>
    <t>2907003952</t>
  </si>
  <si>
    <t>0324100007219000008</t>
  </si>
  <si>
    <t>2907001458</t>
  </si>
  <si>
    <t>290700376844</t>
  </si>
  <si>
    <t>0117100023119000010</t>
  </si>
  <si>
    <t>100250149119000009</t>
  </si>
  <si>
    <t>100250149119000010</t>
  </si>
  <si>
    <t>0158100011619000018</t>
  </si>
  <si>
    <t>100250149119000008</t>
  </si>
  <si>
    <t>0321100001419000046</t>
  </si>
  <si>
    <t>5752023532</t>
  </si>
  <si>
    <t>0154300014619000588</t>
  </si>
  <si>
    <t>4717002129</t>
  </si>
  <si>
    <t>0345100001119000005</t>
  </si>
  <si>
    <t>Волосовский район</t>
  </si>
  <si>
    <t>471700219204</t>
  </si>
  <si>
    <t>2801025265</t>
  </si>
  <si>
    <t>0123200000319002477</t>
  </si>
  <si>
    <t>4706005696</t>
  </si>
  <si>
    <t>0345100003019000017</t>
  </si>
  <si>
    <t>0117100016419000007</t>
  </si>
  <si>
    <t>226500338742</t>
  </si>
  <si>
    <t>5425102664</t>
  </si>
  <si>
    <t>0151100017519000025</t>
  </si>
  <si>
    <t>Коченевский район</t>
  </si>
  <si>
    <t>5425001828</t>
  </si>
  <si>
    <t>5404141542</t>
  </si>
  <si>
    <t>1043564</t>
  </si>
  <si>
    <t>5981007596</t>
  </si>
  <si>
    <t>0356500003419000283</t>
  </si>
  <si>
    <t>5407163826</t>
  </si>
  <si>
    <t>1043536</t>
  </si>
  <si>
    <t>2522090916</t>
  </si>
  <si>
    <t>100021913119000021</t>
  </si>
  <si>
    <t>6439036205</t>
  </si>
  <si>
    <t>31908220124</t>
  </si>
  <si>
    <t>2466050508</t>
  </si>
  <si>
    <t>31908221161</t>
  </si>
  <si>
    <t>31908222432</t>
  </si>
  <si>
    <t>[ОКПД2 10.11] Мясо и прочие продукты убоя, включая мясо консервированное, [ОКВЭД2 10.11] Переработка и консервирование мяса</t>
  </si>
  <si>
    <t>7709057458</t>
  </si>
  <si>
    <t>31908223498</t>
  </si>
  <si>
    <t>31908155377</t>
  </si>
  <si>
    <t>31908219929</t>
  </si>
  <si>
    <t>[ОКПД2 79.9+] Услуги по бронированию и взаимосвязанные услуги прочие, [ОКВЭД2 79.90] Услуги по бронированию прочие и сопутствующая деятельность</t>
  </si>
  <si>
    <t>31908221635</t>
  </si>
  <si>
    <t>2128007116</t>
  </si>
  <si>
    <t>31908222646</t>
  </si>
  <si>
    <t>6634007342</t>
  </si>
  <si>
    <t>31908221234</t>
  </si>
  <si>
    <t>31908222911</t>
  </si>
  <si>
    <t>31908223419</t>
  </si>
  <si>
    <t>31908217454</t>
  </si>
  <si>
    <t>31908222182</t>
  </si>
  <si>
    <t>7704674312</t>
  </si>
  <si>
    <t>31908223141</t>
  </si>
  <si>
    <t>0277006179</t>
  </si>
  <si>
    <t>31908220282</t>
  </si>
  <si>
    <t>3445008673</t>
  </si>
  <si>
    <t>31908221739</t>
  </si>
  <si>
    <t>[ОКПД2 10.12] Мясо сельскохозяйственной птицы и прочие продукты убоя, включая консервированные, [ОКВЭД2 10.12] Производство и консервирование мяса птицы</t>
  </si>
  <si>
    <t>5321072542</t>
  </si>
  <si>
    <t>31908221494</t>
  </si>
  <si>
    <t>[ОКПД2 56.2+] Услуги по поставке продукции общественного питания и обслуживанию торжественных мероприятий и прочие услуги по обеспечению питанием, [ОКВЭД2 56.10] Деятельность ресторанов и услуги по доставке продуктов питания</t>
  </si>
  <si>
    <t>31908219487</t>
  </si>
  <si>
    <t>7812003110</t>
  </si>
  <si>
    <t>31908234426</t>
  </si>
  <si>
    <t>31908219600</t>
  </si>
  <si>
    <t>31908222243</t>
  </si>
  <si>
    <t>5934050072</t>
  </si>
  <si>
    <t>31908219805</t>
  </si>
  <si>
    <t>0112200000819002996</t>
  </si>
  <si>
    <t>0112200000819003001</t>
  </si>
  <si>
    <t>0112200000819003002</t>
  </si>
  <si>
    <t>3907012123</t>
  </si>
  <si>
    <t>0135200000519003409</t>
  </si>
  <si>
    <t>0358100011819000145</t>
  </si>
  <si>
    <t>616843362537</t>
  </si>
  <si>
    <t>6102020818</t>
  </si>
  <si>
    <t>0358100035619000091</t>
  </si>
  <si>
    <t>0157200001819000132</t>
  </si>
  <si>
    <t>0324100005519000007</t>
  </si>
  <si>
    <t>3911001156</t>
  </si>
  <si>
    <t>0135200000519003397</t>
  </si>
  <si>
    <t>4810000310</t>
  </si>
  <si>
    <t>0146300029719000154</t>
  </si>
  <si>
    <t>Краснинский район</t>
  </si>
  <si>
    <t>4810000655</t>
  </si>
  <si>
    <t>4810001553</t>
  </si>
  <si>
    <t>2319042827</t>
  </si>
  <si>
    <t>0318200084219000031</t>
  </si>
  <si>
    <t>7814752965</t>
  </si>
  <si>
    <t>6165175282</t>
  </si>
  <si>
    <t>0102100007519000004</t>
  </si>
  <si>
    <t>Мухоршибирский район</t>
  </si>
  <si>
    <t>5933009307</t>
  </si>
  <si>
    <t>0156100014719000013</t>
  </si>
  <si>
    <t>7730017480</t>
  </si>
  <si>
    <t>0373200174419000094</t>
  </si>
  <si>
    <t>6316210968</t>
  </si>
  <si>
    <t>7719724887</t>
  </si>
  <si>
    <t>0318200084219000030</t>
  </si>
  <si>
    <t>0102100007519000005</t>
  </si>
  <si>
    <t>0306200010219000491</t>
  </si>
  <si>
    <t>6027090203</t>
  </si>
  <si>
    <t>0357100009119000036</t>
  </si>
  <si>
    <t>6027086341</t>
  </si>
  <si>
    <t>0306200010219000492</t>
  </si>
  <si>
    <t>8601025290</t>
  </si>
  <si>
    <t>0387200006719000327</t>
  </si>
  <si>
    <t>8601051660</t>
  </si>
  <si>
    <t>100283287119000051</t>
  </si>
  <si>
    <t>107344</t>
  </si>
  <si>
    <t>0158100018519000008</t>
  </si>
  <si>
    <t>614000233703</t>
  </si>
  <si>
    <t>610107164283</t>
  </si>
  <si>
    <t>100283287119000050</t>
  </si>
  <si>
    <t>5002003542</t>
  </si>
  <si>
    <t>792236</t>
  </si>
  <si>
    <t>100283287119000052</t>
  </si>
  <si>
    <t>1831143730</t>
  </si>
  <si>
    <t>0813500000119009971</t>
  </si>
  <si>
    <t>1841082451</t>
  </si>
  <si>
    <t>5007007212</t>
  </si>
  <si>
    <t>792179</t>
  </si>
  <si>
    <t>7900001715</t>
  </si>
  <si>
    <t>0378200002919000219</t>
  </si>
  <si>
    <t>7901526218</t>
  </si>
  <si>
    <t>0132100004319000037</t>
  </si>
  <si>
    <t>525200217327</t>
  </si>
  <si>
    <t>2465012098</t>
  </si>
  <si>
    <t>0119200000119007556</t>
  </si>
  <si>
    <t>[ОКПД2 80.10] Услуги частных охранных служб</t>
  </si>
  <si>
    <t>7802439532</t>
  </si>
  <si>
    <t>7705874233</t>
  </si>
  <si>
    <t>2461030762</t>
  </si>
  <si>
    <t>2466151619</t>
  </si>
  <si>
    <t>2462041823</t>
  </si>
  <si>
    <t>2466139548</t>
  </si>
  <si>
    <t>2461206039</t>
  </si>
  <si>
    <t>2466268960</t>
  </si>
  <si>
    <t>0140100008219000038</t>
  </si>
  <si>
    <t>6440012181</t>
  </si>
  <si>
    <t>0360100011919000020</t>
  </si>
  <si>
    <t>6440003927</t>
  </si>
  <si>
    <t>0880100000319000011</t>
  </si>
  <si>
    <t>0360100011919000021</t>
  </si>
  <si>
    <t>0306200010219000490</t>
  </si>
  <si>
    <t>4633036361</t>
  </si>
  <si>
    <t>0140100008219000037</t>
  </si>
  <si>
    <t>7806049124</t>
  </si>
  <si>
    <t>0372200016619000009</t>
  </si>
  <si>
    <t>7811529091</t>
  </si>
  <si>
    <t>0306200010219000488</t>
  </si>
  <si>
    <t>0371100014519000025</t>
  </si>
  <si>
    <t>7610108777</t>
  </si>
  <si>
    <t>9201016688</t>
  </si>
  <si>
    <t>0374200006019000155</t>
  </si>
  <si>
    <t>9201502590</t>
  </si>
  <si>
    <t>0105045520</t>
  </si>
  <si>
    <t>0306200010219000489</t>
  </si>
  <si>
    <t>6155921132</t>
  </si>
  <si>
    <t>1041980</t>
  </si>
  <si>
    <t>0306200010219000487</t>
  </si>
  <si>
    <t>3902011158</t>
  </si>
  <si>
    <t>1041994</t>
  </si>
  <si>
    <t>Гусевский район</t>
  </si>
  <si>
    <t>0306200010219000486</t>
  </si>
  <si>
    <t>1042103</t>
  </si>
  <si>
    <t>1042109</t>
  </si>
  <si>
    <t>1041575</t>
  </si>
  <si>
    <t>1041903</t>
  </si>
  <si>
    <t>1041930</t>
  </si>
  <si>
    <t>0127100006719000018</t>
  </si>
  <si>
    <t>0838100000619000106</t>
  </si>
  <si>
    <t>Усть-Камчатский район</t>
  </si>
  <si>
    <t>4109005942</t>
  </si>
  <si>
    <t>0838100000619000107</t>
  </si>
  <si>
    <t>410900785101</t>
  </si>
  <si>
    <t>1041852</t>
  </si>
  <si>
    <t>0306200010219000485</t>
  </si>
  <si>
    <t>0822100002819000550</t>
  </si>
  <si>
    <t>270310277387</t>
  </si>
  <si>
    <t>1041824</t>
  </si>
  <si>
    <t>1644007550</t>
  </si>
  <si>
    <t>0311200022619000030</t>
  </si>
  <si>
    <t>0139100005919000001</t>
  </si>
  <si>
    <t>0851300000119000287</t>
  </si>
  <si>
    <t>6362003405</t>
  </si>
  <si>
    <t>100131241119000009</t>
  </si>
  <si>
    <t>0372200275619000087</t>
  </si>
  <si>
    <t>7811338379</t>
  </si>
  <si>
    <t>0372200275619000086</t>
  </si>
  <si>
    <t>2209016060</t>
  </si>
  <si>
    <t>0117100014719000020</t>
  </si>
  <si>
    <t>226901284413</t>
  </si>
  <si>
    <t>0117100014719000021</t>
  </si>
  <si>
    <t>0108100003719000041</t>
  </si>
  <si>
    <t>5036034612</t>
  </si>
  <si>
    <t>791958</t>
  </si>
  <si>
    <t>2205002700</t>
  </si>
  <si>
    <t>1041552</t>
  </si>
  <si>
    <t>[ОКПД2 10.20] Рыба переработанная и консервированная, ракообразные и моллюски, [ОКПД2 10.61] Продукция мукомольно-крупяного производства, [ОКПД2 10.73] Изделия макаронные, кускус и аналогичные мучные изделия, [ОКПД2 10.39] Фрукты, овощи и грибы переработанные и консервированные, не включенные в другие группировки, [ОКПД2 10.82] Какао, шоколад и изделия кондитерские сахаристые, [ОКПД2 08.93] Соль и хлорид натрия чистый, вода морская, [ОКПД2 10.89] Продукты пищевые прочие, не включенные в другие группировки, [ОКПД2 10.51] Молоко и молочная продукция, [ОКПД2 01.11] Культуры зерновые (кроме риса), зернобобовые, семена масличных культур, [ОКПД2 01.47] Птица сельскохозяйственная живая и яйца, [ОКПД2 10.81] Сахар, [ОКПД2 10.13] Продукция мясная пищевая, в том числе из мяса птицы, [ОКПД2 10.32] Продукция соковая из фруктов и овощей, [ОКПД2 10.83] Чай и кофе обработанные, [ОКПД2 01.27] Культуры для производства напитков, [ОКПД2 10.41] Масла и жиры</t>
  </si>
  <si>
    <t>Заринск</t>
  </si>
  <si>
    <t>100131241119000008</t>
  </si>
  <si>
    <t>0317100003519000019</t>
  </si>
  <si>
    <t>100131241119000007</t>
  </si>
  <si>
    <t>2225053069</t>
  </si>
  <si>
    <t>1041389</t>
  </si>
  <si>
    <t>[ОКПД2 10.12] Мясо сельскохозяйственной птицы и прочие продукты убоя, включая консервированные, [ОКПД2 03.11] Рыба и прочая продукция морского рыболовства; услуги, связанные с морским рыболовством</t>
  </si>
  <si>
    <t>6501167192</t>
  </si>
  <si>
    <t>0361100002319000005</t>
  </si>
  <si>
    <t>6501294747</t>
  </si>
  <si>
    <t>100131241119000010</t>
  </si>
  <si>
    <t>3305016071</t>
  </si>
  <si>
    <t>0128200000119005299</t>
  </si>
  <si>
    <t>3305798781</t>
  </si>
  <si>
    <t>0838100000619000104</t>
  </si>
  <si>
    <t>4105096829</t>
  </si>
  <si>
    <t>410503914520</t>
  </si>
  <si>
    <t>1041304</t>
  </si>
  <si>
    <t>0838100000619000105</t>
  </si>
  <si>
    <t>410106921640</t>
  </si>
  <si>
    <t>0127100006719000015</t>
  </si>
  <si>
    <t>0838100000619000103</t>
  </si>
  <si>
    <t>410104160831</t>
  </si>
  <si>
    <t>2251002293</t>
  </si>
  <si>
    <t>1041306</t>
  </si>
  <si>
    <t>Краснощёковский район</t>
  </si>
  <si>
    <t>1041294</t>
  </si>
  <si>
    <t>2901010199</t>
  </si>
  <si>
    <t>0124200000619004253</t>
  </si>
  <si>
    <t>2901237538</t>
  </si>
  <si>
    <t>3456001729</t>
  </si>
  <si>
    <t>0129100009319000017</t>
  </si>
  <si>
    <t>Михайловка</t>
  </si>
  <si>
    <t>692600441950</t>
  </si>
  <si>
    <t>344114042460</t>
  </si>
  <si>
    <t>3437013239</t>
  </si>
  <si>
    <t>3455050674</t>
  </si>
  <si>
    <t>4716003610</t>
  </si>
  <si>
    <t>0345100011219000028</t>
  </si>
  <si>
    <t>7814617571</t>
  </si>
  <si>
    <t>2209011865</t>
  </si>
  <si>
    <t>1041160</t>
  </si>
  <si>
    <t>[ОКПД2 26.30] Оборудование коммуникационное</t>
  </si>
  <si>
    <t>2407063431</t>
  </si>
  <si>
    <t>0319300200319000318</t>
  </si>
  <si>
    <t>[ОКПД2 46.39] Услуги по неспециализированной оптовой торговле пищевыми продуктами, напитками и табачными изделиями</t>
  </si>
  <si>
    <t>246517546327</t>
  </si>
  <si>
    <t>0142200001319012992</t>
  </si>
  <si>
    <t>631629497666</t>
  </si>
  <si>
    <t>0562058182</t>
  </si>
  <si>
    <t>100198437119000017</t>
  </si>
  <si>
    <t>3826003530</t>
  </si>
  <si>
    <t>0334100012819000065</t>
  </si>
  <si>
    <t>[ОКПД2 10.13] Продукция мясная пищевая, в том числе из мяса птицы, [ОКПД2 10.12] Мясо сельскохозяйственной птицы и прочие продукты убоя, включая консервированные</t>
  </si>
  <si>
    <t>Саянск</t>
  </si>
  <si>
    <t>380600332769</t>
  </si>
  <si>
    <t>0321100001419000045</t>
  </si>
  <si>
    <t>9103017034</t>
  </si>
  <si>
    <t>0875300031119000005</t>
  </si>
  <si>
    <t>1040895</t>
  </si>
  <si>
    <t>[ОКПД2 10.20] Рыба переработанная и консервированная, ракообразные и моллюски</t>
  </si>
  <si>
    <t>2208007190</t>
  </si>
  <si>
    <t>1040821</t>
  </si>
  <si>
    <t>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10.82] Какао, шоколад и изделия кондитерские сахаристые, [ОКПД2 10.73] Изделия макаронные, кускус и аналогичные мучные изделия, [ОКПД2 10.81] Сахар, [ОКПД2 10.89] Продукты пищевые прочие, не включенные в другие группировки, [ОКПД2 10.61] Продукция мукомольно-крупяного производства</t>
  </si>
  <si>
    <t>5752022433</t>
  </si>
  <si>
    <t>0154300014619000581</t>
  </si>
  <si>
    <t>5752006216</t>
  </si>
  <si>
    <t>0154300014619000582</t>
  </si>
  <si>
    <t>0356200000119000148</t>
  </si>
  <si>
    <t>6121008220</t>
  </si>
  <si>
    <t>0358300442419000011</t>
  </si>
  <si>
    <t>0356300049019000132</t>
  </si>
  <si>
    <t>1040641</t>
  </si>
  <si>
    <t>1040791</t>
  </si>
  <si>
    <t>0329100003019000043</t>
  </si>
  <si>
    <t>1040634</t>
  </si>
  <si>
    <t>[ОКПД2 01.13] Овощи и культуры бахчевые, корнеплоды и клубнеплоды</t>
  </si>
  <si>
    <t>1040492</t>
  </si>
  <si>
    <t>8604022890</t>
  </si>
  <si>
    <t>1040448</t>
  </si>
  <si>
    <t>1040455</t>
  </si>
  <si>
    <t>[ОКПД2 10.71] Изделия хлебобулочные; мучные кондитерские изделия, торты и пирожные недлительного хранения</t>
  </si>
  <si>
    <t>1040425</t>
  </si>
  <si>
    <t>2204008058</t>
  </si>
  <si>
    <t>1040435</t>
  </si>
  <si>
    <t>[ОКПД2 10.82] Какао, шоколад и изделия кондитерские сахаристые, [ОКПД2 10.89] Продукты пищевые прочие, не включенные в другие группировки, [ОКПД2 10.61] Продукция мукомольно-крупяного производства</t>
  </si>
  <si>
    <t>1040380</t>
  </si>
  <si>
    <t>5410125203</t>
  </si>
  <si>
    <t>1038345</t>
  </si>
  <si>
    <t>1038368</t>
  </si>
  <si>
    <t>1414015074</t>
  </si>
  <si>
    <t>0116300005619000365</t>
  </si>
  <si>
    <t>Ленский улус</t>
  </si>
  <si>
    <t>141400095504</t>
  </si>
  <si>
    <t>1040236</t>
  </si>
  <si>
    <t>[ОКПД2 10.12] Мясо сельскохозяйственной птицы и прочие продукты убоя, включая консервированные, [ОКПД2 10.13] Продукция мясная пищевая, в том числе из мяса птицы</t>
  </si>
  <si>
    <t>31908217401</t>
  </si>
  <si>
    <t>6629026340</t>
  </si>
  <si>
    <t>190819/3517/034</t>
  </si>
  <si>
    <t>[ОКДП 4527000] Здания и сооружения предприятий торговли, общественного питания, жилищно - коммунального хозяйства, окружающей среды и рационального природопользования охраны</t>
  </si>
  <si>
    <t>31908219421</t>
  </si>
  <si>
    <t>3922005748</t>
  </si>
  <si>
    <t>31908216583</t>
  </si>
  <si>
    <t>3444049187</t>
  </si>
  <si>
    <t>31908218354</t>
  </si>
  <si>
    <t>0323018510</t>
  </si>
  <si>
    <t>31908215834</t>
  </si>
  <si>
    <t>[ОКПД2 55.10] Услуги гостиниц и аналогичные услуги по предоставлению временного жилья, [ОКВЭД2 79.90] Услуги по бронированию прочие и сопутствующая деятельность</t>
  </si>
  <si>
    <t>9104001076</t>
  </si>
  <si>
    <t>31908218879</t>
  </si>
  <si>
    <t>2460205089</t>
  </si>
  <si>
    <t>31908214800</t>
  </si>
  <si>
    <t>7610040582</t>
  </si>
  <si>
    <t>31908216540</t>
  </si>
  <si>
    <t>BP00324610</t>
  </si>
  <si>
    <t>1644020047</t>
  </si>
  <si>
    <t>BP00324056</t>
  </si>
  <si>
    <t>6439036710</t>
  </si>
  <si>
    <t>31908216359</t>
  </si>
  <si>
    <t>31908215158</t>
  </si>
  <si>
    <t>31908217953</t>
  </si>
  <si>
    <t>791727</t>
  </si>
  <si>
    <t>1321117570</t>
  </si>
  <si>
    <t>100004189119000076</t>
  </si>
  <si>
    <t>Торбеевский район</t>
  </si>
  <si>
    <t>791697</t>
  </si>
  <si>
    <t>0274033103</t>
  </si>
  <si>
    <t>0101500000319001474</t>
  </si>
  <si>
    <t>0274123974</t>
  </si>
  <si>
    <t>0274154193</t>
  </si>
  <si>
    <t>0318200061919000013</t>
  </si>
  <si>
    <t>526010047100</t>
  </si>
  <si>
    <t>3906010388</t>
  </si>
  <si>
    <t>0235100000919000148</t>
  </si>
  <si>
    <t>5031010470</t>
  </si>
  <si>
    <t>0348100005119000022</t>
  </si>
  <si>
    <t>4704044876</t>
  </si>
  <si>
    <t>0845300015019000511</t>
  </si>
  <si>
    <t>Выборг</t>
  </si>
  <si>
    <t>0838100000619000102</t>
  </si>
  <si>
    <t>3015054935</t>
  </si>
  <si>
    <t>0325200018119000064</t>
  </si>
  <si>
    <t>3015110202</t>
  </si>
  <si>
    <t>3015065790</t>
  </si>
  <si>
    <t>3015067148</t>
  </si>
  <si>
    <t>100004189119000074</t>
  </si>
  <si>
    <t>ATOM19081900207</t>
  </si>
  <si>
    <t>2583228</t>
  </si>
  <si>
    <t>4402005180</t>
  </si>
  <si>
    <t>1039884</t>
  </si>
  <si>
    <t>6452027746</t>
  </si>
  <si>
    <t>0360100010919000071</t>
  </si>
  <si>
    <t>645293203506</t>
  </si>
  <si>
    <t>0129100009319000016</t>
  </si>
  <si>
    <t>0332100052919000007</t>
  </si>
  <si>
    <t>0330100001019000019</t>
  </si>
  <si>
    <t>1610003212</t>
  </si>
  <si>
    <t>100067873119000020</t>
  </si>
  <si>
    <t>Атнинский район</t>
  </si>
  <si>
    <t>100067873119000019</t>
  </si>
  <si>
    <t>7612008714</t>
  </si>
  <si>
    <t>0171200001919001424</t>
  </si>
  <si>
    <t>761200143213</t>
  </si>
  <si>
    <t>0816500000619012055</t>
  </si>
  <si>
    <t>6137006998</t>
  </si>
  <si>
    <t>1039881</t>
  </si>
  <si>
    <t>Цимлянский район</t>
  </si>
  <si>
    <t>0362100002519000008</t>
  </si>
  <si>
    <t>791570</t>
  </si>
  <si>
    <t>0816500000619012054</t>
  </si>
  <si>
    <t>5036034651</t>
  </si>
  <si>
    <t>791568</t>
  </si>
  <si>
    <t>100004189119000075</t>
  </si>
  <si>
    <t>0852100000219000073</t>
  </si>
  <si>
    <t>6150021642</t>
  </si>
  <si>
    <t>1039567</t>
  </si>
  <si>
    <t>7411014147</t>
  </si>
  <si>
    <t>1039594</t>
  </si>
  <si>
    <t>791520</t>
  </si>
  <si>
    <t>21572</t>
  </si>
  <si>
    <t>2902031748</t>
  </si>
  <si>
    <t>0124100003819000014</t>
  </si>
  <si>
    <t>2902076019</t>
  </si>
  <si>
    <t>9103019384</t>
  </si>
  <si>
    <t>0875300027119000003</t>
  </si>
  <si>
    <t>1213005703</t>
  </si>
  <si>
    <t>100264367119000015</t>
  </si>
  <si>
    <t>0865200000319001592</t>
  </si>
  <si>
    <t>5407240277</t>
  </si>
  <si>
    <t>0360200041219000038</t>
  </si>
  <si>
    <t>645390992285</t>
  </si>
  <si>
    <t>6450942429</t>
  </si>
  <si>
    <t>0306200010219000482</t>
  </si>
  <si>
    <t>2356013704</t>
  </si>
  <si>
    <t>0118100003019000018</t>
  </si>
  <si>
    <t>235600084341</t>
  </si>
  <si>
    <t>0129100008219000048</t>
  </si>
  <si>
    <t>0118100003019000017</t>
  </si>
  <si>
    <t>0371100014519000024</t>
  </si>
  <si>
    <t>6023002830</t>
  </si>
  <si>
    <t>0357100008319000008</t>
  </si>
  <si>
    <t>6023000618</t>
  </si>
  <si>
    <t>0306200010219000481</t>
  </si>
  <si>
    <t>4501160940</t>
  </si>
  <si>
    <t>0843500000219002393</t>
  </si>
  <si>
    <t>4510031067</t>
  </si>
  <si>
    <t>791440</t>
  </si>
  <si>
    <t>0151100003219000021</t>
  </si>
  <si>
    <t>545108754890</t>
  </si>
  <si>
    <t>5444102780</t>
  </si>
  <si>
    <t>0306200010219000478</t>
  </si>
  <si>
    <t>0306200010219000480</t>
  </si>
  <si>
    <t>0107100003519000302</t>
  </si>
  <si>
    <t>1114000260</t>
  </si>
  <si>
    <t>7458000686</t>
  </si>
  <si>
    <t>0169100001919000010</t>
  </si>
  <si>
    <t>Чесменский район</t>
  </si>
  <si>
    <t>7443004800</t>
  </si>
  <si>
    <t>791438</t>
  </si>
  <si>
    <t>0319200056819000155</t>
  </si>
  <si>
    <t>0332100042319000019</t>
  </si>
  <si>
    <t>5246035041</t>
  </si>
  <si>
    <t>0169100001919000011</t>
  </si>
  <si>
    <t>0169100001919000013</t>
  </si>
  <si>
    <t>0306200010219000477</t>
  </si>
  <si>
    <t>7017146561</t>
  </si>
  <si>
    <t>0365100015419000008</t>
  </si>
  <si>
    <t>3015025275</t>
  </si>
  <si>
    <t>0325200008219000066</t>
  </si>
  <si>
    <t>[ОКПД2 43.21] Работы электромонтажные</t>
  </si>
  <si>
    <t>2623026057</t>
  </si>
  <si>
    <t>0318300170419000253</t>
  </si>
  <si>
    <t>0356100005619000034</t>
  </si>
  <si>
    <t>0318300170419000252</t>
  </si>
  <si>
    <t>0306200010219000476</t>
  </si>
  <si>
    <t>100081433119000017</t>
  </si>
  <si>
    <t>0333100000719000020</t>
  </si>
  <si>
    <t>3729017713</t>
  </si>
  <si>
    <t>0133100007019000064</t>
  </si>
  <si>
    <t>3705065838</t>
  </si>
  <si>
    <t>0133100007019000062</t>
  </si>
  <si>
    <t>0348200077719000135</t>
  </si>
  <si>
    <t>2309047657</t>
  </si>
  <si>
    <t>0318200070219000092</t>
  </si>
  <si>
    <t>0134200000119002867</t>
  </si>
  <si>
    <t>3808172006</t>
  </si>
  <si>
    <t>0134200000119002866</t>
  </si>
  <si>
    <t>0129100008119000060</t>
  </si>
  <si>
    <t>6168104868</t>
  </si>
  <si>
    <t>0332100042319000018</t>
  </si>
  <si>
    <t>5649003130</t>
  </si>
  <si>
    <t>0353100010019000006</t>
  </si>
  <si>
    <t>Тоцкий район</t>
  </si>
  <si>
    <t>5649001285</t>
  </si>
  <si>
    <t>6011001840</t>
  </si>
  <si>
    <t>100096291119000023</t>
  </si>
  <si>
    <t>Локнянский район</t>
  </si>
  <si>
    <t>0118100004519000021</t>
  </si>
  <si>
    <t>7802057565</t>
  </si>
  <si>
    <t>0849400000219000120</t>
  </si>
  <si>
    <t>782701483423</t>
  </si>
  <si>
    <t>100096291119000022</t>
  </si>
  <si>
    <t>0353100010019000004</t>
  </si>
  <si>
    <t>9102068727</t>
  </si>
  <si>
    <t>0375200030019000163</t>
  </si>
  <si>
    <t>7810334974</t>
  </si>
  <si>
    <t>9102019800</t>
  </si>
  <si>
    <t>4345338750</t>
  </si>
  <si>
    <t>615424520608</t>
  </si>
  <si>
    <t>1004807171</t>
  </si>
  <si>
    <t>0306100003819000013</t>
  </si>
  <si>
    <t>101801709040</t>
  </si>
  <si>
    <t>0148100002919000051</t>
  </si>
  <si>
    <t>Красногорск</t>
  </si>
  <si>
    <t>0334100024719000039</t>
  </si>
  <si>
    <t>381298162797</t>
  </si>
  <si>
    <t>100192882119000019</t>
  </si>
  <si>
    <t>Самойловский район</t>
  </si>
  <si>
    <t>0894400000219000060</t>
  </si>
  <si>
    <t>200451385944</t>
  </si>
  <si>
    <t>1038329</t>
  </si>
  <si>
    <t>[ОКПД2 01.23] Плоды цитрусовых культур, [ОКПД2 01.24] Плоды семечковых и косточковых культур</t>
  </si>
  <si>
    <t>100192882119000018</t>
  </si>
  <si>
    <t>Романовский район</t>
  </si>
  <si>
    <t>0265100000419000181</t>
  </si>
  <si>
    <t>2301060590</t>
  </si>
  <si>
    <t>0318100011219000013</t>
  </si>
  <si>
    <t>233900863377</t>
  </si>
  <si>
    <t>0148100002919000052</t>
  </si>
  <si>
    <t>2407009554</t>
  </si>
  <si>
    <t>0319300200319000317</t>
  </si>
  <si>
    <t>[ОКПД2 47.11] Услуги по розничной торговле преимущественно пищевыми продуктами, включая напитки, и табачными изделиями в неспециализированных магазинах</t>
  </si>
  <si>
    <t>7411013859</t>
  </si>
  <si>
    <t>1038484</t>
  </si>
  <si>
    <t>0324100007219000007</t>
  </si>
  <si>
    <t>6803010279</t>
  </si>
  <si>
    <t>0164100004419000045</t>
  </si>
  <si>
    <t>6803628509</t>
  </si>
  <si>
    <t>1038102</t>
  </si>
  <si>
    <t>[ОКПД2 10.32] Продукция соковая из фруктов и овощей</t>
  </si>
  <si>
    <t>1018000035</t>
  </si>
  <si>
    <t>0106100004419000008</t>
  </si>
  <si>
    <t>108313</t>
  </si>
  <si>
    <t>5751018579</t>
  </si>
  <si>
    <t>0154300014619000557</t>
  </si>
  <si>
    <t>5751018508</t>
  </si>
  <si>
    <t>0154300014619000570</t>
  </si>
  <si>
    <t>0164100004419000046</t>
  </si>
  <si>
    <t>5751018522</t>
  </si>
  <si>
    <t>0154300014619000558</t>
  </si>
  <si>
    <t>5751018473</t>
  </si>
  <si>
    <t>0154300014619000559</t>
  </si>
  <si>
    <t>5752021743</t>
  </si>
  <si>
    <t>0154300014619000571</t>
  </si>
  <si>
    <t>2223014610</t>
  </si>
  <si>
    <t>1037991</t>
  </si>
  <si>
    <t>[ОКПД2 01.49] Животные живые прочие и продукты животного происхождения</t>
  </si>
  <si>
    <t>5752074343</t>
  </si>
  <si>
    <t>0154300014619000572</t>
  </si>
  <si>
    <t>4821048183</t>
  </si>
  <si>
    <t>0146300042719000076</t>
  </si>
  <si>
    <t>4821021343</t>
  </si>
  <si>
    <t>1037918</t>
  </si>
  <si>
    <t>[ОКПД2 01.11] Культуры зерновые (кроме риса), зернобобовые, семена масличных культур, [ОКПД2 10.61] Продукция мукомольно-крупяного производства, [ОКПД2 10.39] Фрукты, овощи и грибы переработанные и консервированные, не включенные в другие группировки, [ОКПД2 10.82] Какао, шоколад и изделия кондитерские сахаристые, [ОКПД2 10.89] Продукты пищевые прочие, не включенные в другие группировки, [ОКПД2 10.84] Приправы и пряности, [ОКПД2 10.41] Масла и жиры, [ОКПД2 10.51] Молоко и молочная продукция, [ОКПД2 20.13] Вещества химические неорганические основные прочие, [ОКПД2 01.47] Птица сельскохозяйственная живая и яйца, [ОКПД2 10.83] Чай и кофе обработанные</t>
  </si>
  <si>
    <t>5754000682</t>
  </si>
  <si>
    <t>0154300014619000573</t>
  </si>
  <si>
    <t>6685002568</t>
  </si>
  <si>
    <t>0362200069019000121</t>
  </si>
  <si>
    <t>6648020801</t>
  </si>
  <si>
    <t>7460018063</t>
  </si>
  <si>
    <t>2129009518</t>
  </si>
  <si>
    <t>0115200001119002272</t>
  </si>
  <si>
    <t>212700206901</t>
  </si>
  <si>
    <t>2130069938</t>
  </si>
  <si>
    <t>4521002519</t>
  </si>
  <si>
    <t>0343300027719000002</t>
  </si>
  <si>
    <t>Частоозерский район</t>
  </si>
  <si>
    <t>450101092410</t>
  </si>
  <si>
    <t>0318200084219000029</t>
  </si>
  <si>
    <t>7715986401</t>
  </si>
  <si>
    <t>1326214112</t>
  </si>
  <si>
    <t>0109100004319000018</t>
  </si>
  <si>
    <t>132898098001</t>
  </si>
  <si>
    <t>5754000410</t>
  </si>
  <si>
    <t>0154300014619000560</t>
  </si>
  <si>
    <t>1037807</t>
  </si>
  <si>
    <t>[ОКПД2 10.39] Фрукты, овощи и грибы переработанные и консервированные, не включенные в другие группировки, [ОКПД2 10.81] Сахар, [ОКПД2 10.72] Изделия сухарные и печенье; мучные кондитерские изделия, торты и пирожные длительного хранения</t>
  </si>
  <si>
    <t>1037762</t>
  </si>
  <si>
    <t>[ОКПД2 10.82] Какао, шоколад и изделия кондитерские сахаристые, [ОКПД2 10.39] Фрукты, овощи и грибы переработанные и консервированные, не включенные в другие группировки</t>
  </si>
  <si>
    <t>2225020440</t>
  </si>
  <si>
    <t>1037622</t>
  </si>
  <si>
    <t>1037659</t>
  </si>
  <si>
    <t>1037621</t>
  </si>
  <si>
    <t>[ОКПД2 10.82] Какао, шоколад и изделия кондитерские сахаристые</t>
  </si>
  <si>
    <t>31908215778</t>
  </si>
  <si>
    <t>31908206714</t>
  </si>
  <si>
    <t>6627011718</t>
  </si>
  <si>
    <t>6627011764</t>
  </si>
  <si>
    <t>6627011725</t>
  </si>
  <si>
    <t>6627011740</t>
  </si>
  <si>
    <t>7206048915</t>
  </si>
  <si>
    <t>31908212269</t>
  </si>
  <si>
    <t>5916007116</t>
  </si>
  <si>
    <t>31908210347</t>
  </si>
  <si>
    <t>31908210388</t>
  </si>
  <si>
    <t>3120001717</t>
  </si>
  <si>
    <t>31908207012</t>
  </si>
  <si>
    <t>[ОКПД2 29.32] Комплектующие и принадлежности для автотранспортных средств прочие, [ОКВЭД2 29.32] Производство прочих комплектующих и принадлежностей для автотранспортных средств</t>
  </si>
  <si>
    <t>2309001660</t>
  </si>
  <si>
    <t>31908212565</t>
  </si>
  <si>
    <t>31908210192</t>
  </si>
  <si>
    <t>31908211422</t>
  </si>
  <si>
    <t>7735128151</t>
  </si>
  <si>
    <t>31908212658</t>
  </si>
  <si>
    <t>1606003322</t>
  </si>
  <si>
    <t>BP00321902</t>
  </si>
  <si>
    <t>Алькеевский район</t>
  </si>
  <si>
    <t>31908214440</t>
  </si>
  <si>
    <t>8902008940</t>
  </si>
  <si>
    <t>31908212577</t>
  </si>
  <si>
    <t>31908214079</t>
  </si>
  <si>
    <t>31908214086</t>
  </si>
  <si>
    <t>7019035722</t>
  </si>
  <si>
    <t>31908211587</t>
  </si>
  <si>
    <t>1835031498</t>
  </si>
  <si>
    <t>31908213524</t>
  </si>
  <si>
    <t>[ОКПД2 62.01] Продукты программные и услуги по разработке и тестированию программного обеспечения, [ОКВЭД2 62.01] Разработка компьютерного программного обеспечения</t>
  </si>
  <si>
    <t>4703077727</t>
  </si>
  <si>
    <t>31908213120</t>
  </si>
  <si>
    <t>2327005025</t>
  </si>
  <si>
    <t>31908210012</t>
  </si>
  <si>
    <t>1634001983</t>
  </si>
  <si>
    <t>100158624119000024</t>
  </si>
  <si>
    <t>Рыбно-Слободский район</t>
  </si>
  <si>
    <t>100158624119000023</t>
  </si>
  <si>
    <t>COM14081900049</t>
  </si>
  <si>
    <t>COM14081900050</t>
  </si>
  <si>
    <t>COM14081900048</t>
  </si>
  <si>
    <t>5260343440</t>
  </si>
  <si>
    <t>31908209989</t>
  </si>
  <si>
    <t>[ОКПД2 90.02] Услуги по поддержке исполнительских искусств, [ОКВЭД2 93.29] Деятельность зрелищно-развлекательная прочая</t>
  </si>
  <si>
    <t>ГП932206</t>
  </si>
  <si>
    <t>1037286</t>
  </si>
  <si>
    <t>100043552119000023</t>
  </si>
  <si>
    <t>1034747</t>
  </si>
  <si>
    <t>7830002600</t>
  </si>
  <si>
    <t>0172100005919000017</t>
  </si>
  <si>
    <t>7839483859</t>
  </si>
  <si>
    <t>6130002105</t>
  </si>
  <si>
    <t>100084504119000016</t>
  </si>
  <si>
    <t>Родионово-Несветайский район</t>
  </si>
  <si>
    <t>790987</t>
  </si>
  <si>
    <t>2713005252</t>
  </si>
  <si>
    <t>0122100012719000030</t>
  </si>
  <si>
    <t>им Лазо район</t>
  </si>
  <si>
    <t>2713018974</t>
  </si>
  <si>
    <t>0133300004719000097</t>
  </si>
  <si>
    <t>3721004230</t>
  </si>
  <si>
    <t>3721006653</t>
  </si>
  <si>
    <t>3701045260</t>
  </si>
  <si>
    <t>3721004222</t>
  </si>
  <si>
    <t>3721005272</t>
  </si>
  <si>
    <t>3721004536</t>
  </si>
  <si>
    <t>3721004293</t>
  </si>
  <si>
    <t>3721003518</t>
  </si>
  <si>
    <t>3721004303</t>
  </si>
  <si>
    <t>3721004215</t>
  </si>
  <si>
    <t>3721004198</t>
  </si>
  <si>
    <t>3721005473</t>
  </si>
  <si>
    <t>3721005868</t>
  </si>
  <si>
    <t>3721005931</t>
  </si>
  <si>
    <t>3721004166</t>
  </si>
  <si>
    <t>3721005201</t>
  </si>
  <si>
    <t>3721005120</t>
  </si>
  <si>
    <t>3721005850</t>
  </si>
  <si>
    <t>3721005385</t>
  </si>
  <si>
    <t>3701045252</t>
  </si>
  <si>
    <t>3721005145</t>
  </si>
  <si>
    <t>3721006607</t>
  </si>
  <si>
    <t>2319056474</t>
  </si>
  <si>
    <t>3702566385</t>
  </si>
  <si>
    <t>370302319389</t>
  </si>
  <si>
    <t>3702530396</t>
  </si>
  <si>
    <t>5053005971</t>
  </si>
  <si>
    <t>0348100020219000017</t>
  </si>
  <si>
    <t>505300786395</t>
  </si>
  <si>
    <t>2129056028</t>
  </si>
  <si>
    <t>0115100000119000064</t>
  </si>
  <si>
    <t>212904453708</t>
  </si>
  <si>
    <t>0361200015019005402</t>
  </si>
  <si>
    <t>7404010938</t>
  </si>
  <si>
    <t>0369100026619000029</t>
  </si>
  <si>
    <t>3-48832-322-19</t>
  </si>
  <si>
    <t>0132100004319000034</t>
  </si>
  <si>
    <t>2124036853</t>
  </si>
  <si>
    <t>0315200026219000054</t>
  </si>
  <si>
    <t>2130057072</t>
  </si>
  <si>
    <t>0124100005919000025</t>
  </si>
  <si>
    <t>291101259251</t>
  </si>
  <si>
    <t>0112200000819002952</t>
  </si>
  <si>
    <t>0112200000819002954</t>
  </si>
  <si>
    <t>109474</t>
  </si>
  <si>
    <t>0360100010919000069</t>
  </si>
  <si>
    <t>643690869419</t>
  </si>
  <si>
    <t>0139200000119006445</t>
  </si>
  <si>
    <t>4205121934</t>
  </si>
  <si>
    <t>1036572</t>
  </si>
  <si>
    <t>[ОКПД2 08.93] Соль и хлорид натрия чистый, вода морская</t>
  </si>
  <si>
    <t>0112200000819002950</t>
  </si>
  <si>
    <t>0112200000819002951</t>
  </si>
  <si>
    <t>1036534</t>
  </si>
  <si>
    <t>0112200000819002953</t>
  </si>
  <si>
    <t>0360100010919000070</t>
  </si>
  <si>
    <t>0306200010219000473</t>
  </si>
  <si>
    <t>7842032486</t>
  </si>
  <si>
    <t>7721399835</t>
  </si>
  <si>
    <t>790785</t>
  </si>
  <si>
    <t>0369100026619000028</t>
  </si>
  <si>
    <t>4028003880</t>
  </si>
  <si>
    <t>0137100002519000120</t>
  </si>
  <si>
    <t>2103005999</t>
  </si>
  <si>
    <t>0315300159219000143</t>
  </si>
  <si>
    <t>Батыревский район</t>
  </si>
  <si>
    <t>2103000302</t>
  </si>
  <si>
    <t>0306200010219000475</t>
  </si>
  <si>
    <t>0107100003519000291</t>
  </si>
  <si>
    <t>0306200010219000474</t>
  </si>
  <si>
    <t>5005066100</t>
  </si>
  <si>
    <t>2103005910</t>
  </si>
  <si>
    <t>0315300159219000144</t>
  </si>
  <si>
    <t>0107100003519000293</t>
  </si>
  <si>
    <t>0107100003519000290</t>
  </si>
  <si>
    <t>0107100003519000292</t>
  </si>
  <si>
    <t>0306200010219000472</t>
  </si>
  <si>
    <t>1002001386</t>
  </si>
  <si>
    <t>0306100007419000007</t>
  </si>
  <si>
    <t>2103005893</t>
  </si>
  <si>
    <t>0315300159219000142</t>
  </si>
  <si>
    <t>1035946</t>
  </si>
  <si>
    <t>[ОКПД2 01.11] Культуры зерновые (кроме риса), зернобобовые, семена масличных культур, [ОКПД2 10.61] Продукция мукомольно-крупяного производства</t>
  </si>
  <si>
    <t>100298217119000015</t>
  </si>
  <si>
    <t>0336100019019000016</t>
  </si>
  <si>
    <t>6908016430</t>
  </si>
  <si>
    <t>1628002516</t>
  </si>
  <si>
    <t>0311100023319000015</t>
  </si>
  <si>
    <t>Мензелинский район</t>
  </si>
  <si>
    <t>1628009007</t>
  </si>
  <si>
    <t>0361100007819000021</t>
  </si>
  <si>
    <t>7537006095</t>
  </si>
  <si>
    <t>0891200000619009240</t>
  </si>
  <si>
    <t>7536133830</t>
  </si>
  <si>
    <t>0361100007819000022</t>
  </si>
  <si>
    <t>0127100010019000034</t>
  </si>
  <si>
    <t>4502002376</t>
  </si>
  <si>
    <t>0143100011319000006</t>
  </si>
  <si>
    <t>Шадринск</t>
  </si>
  <si>
    <t>4502010835</t>
  </si>
  <si>
    <t>4703012624</t>
  </si>
  <si>
    <t>0345100012119000008</t>
  </si>
  <si>
    <t>4703004091</t>
  </si>
  <si>
    <t>6661008786</t>
  </si>
  <si>
    <t>0362200059619000080</t>
  </si>
  <si>
    <t>6674136168</t>
  </si>
  <si>
    <t>0336100019019000015</t>
  </si>
  <si>
    <t>6013004846</t>
  </si>
  <si>
    <t>0357300059619000003</t>
  </si>
  <si>
    <t>0140100008219000035</t>
  </si>
  <si>
    <t>0306200010219000471</t>
  </si>
  <si>
    <t>0306200010219000470</t>
  </si>
  <si>
    <t>0140100008219000036</t>
  </si>
  <si>
    <t>5943030604</t>
  </si>
  <si>
    <t>0156300036019000087</t>
  </si>
  <si>
    <t>594300013961</t>
  </si>
  <si>
    <t>5908069165</t>
  </si>
  <si>
    <t>0306200010219000466</t>
  </si>
  <si>
    <t>0348100014119000041</t>
  </si>
  <si>
    <t>0816500000619011881</t>
  </si>
  <si>
    <t>0334100025219000115</t>
  </si>
  <si>
    <t>0153100005919000022</t>
  </si>
  <si>
    <t>3324001031</t>
  </si>
  <si>
    <t>0328100018719000014</t>
  </si>
  <si>
    <t>5751018480</t>
  </si>
  <si>
    <t>0154300014619000542</t>
  </si>
  <si>
    <t>0154300014619000546</t>
  </si>
  <si>
    <t>0348100061319000031</t>
  </si>
  <si>
    <t>0306200010219000469</t>
  </si>
  <si>
    <t>0306200010219000467</t>
  </si>
  <si>
    <t>5751017938</t>
  </si>
  <si>
    <t>0154300014619000544</t>
  </si>
  <si>
    <t>0153100005919000020</t>
  </si>
  <si>
    <t>5751018755</t>
  </si>
  <si>
    <t>0154300014619000543</t>
  </si>
  <si>
    <t>5751018441</t>
  </si>
  <si>
    <t>0154300014619000545</t>
  </si>
  <si>
    <t>0153100005919000021</t>
  </si>
  <si>
    <t>0306200010219000468</t>
  </si>
  <si>
    <t>2465034782</t>
  </si>
  <si>
    <t>0819100000119000068</t>
  </si>
  <si>
    <t>2461030843</t>
  </si>
  <si>
    <t>5751018530</t>
  </si>
  <si>
    <t>0154300014619000539</t>
  </si>
  <si>
    <t>5751018353</t>
  </si>
  <si>
    <t>0154300014619000540</t>
  </si>
  <si>
    <t>5753019994</t>
  </si>
  <si>
    <t>0154300014619000552</t>
  </si>
  <si>
    <t>5753005078</t>
  </si>
  <si>
    <t>0411091276</t>
  </si>
  <si>
    <t>0377300026619000003</t>
  </si>
  <si>
    <t>0411005774</t>
  </si>
  <si>
    <t>5753021915</t>
  </si>
  <si>
    <t>0154300014619000538</t>
  </si>
  <si>
    <t>5752022200</t>
  </si>
  <si>
    <t>0154300014619000554</t>
  </si>
  <si>
    <t>5422103772</t>
  </si>
  <si>
    <t>0151100012519000008</t>
  </si>
  <si>
    <t>0151100012519000009</t>
  </si>
  <si>
    <t>5753019987</t>
  </si>
  <si>
    <t>0154300014619000553</t>
  </si>
  <si>
    <t>5752023998</t>
  </si>
  <si>
    <t>0154300014619000531</t>
  </si>
  <si>
    <t>5402129959</t>
  </si>
  <si>
    <t>1035220</t>
  </si>
  <si>
    <t>1035213</t>
  </si>
  <si>
    <t>1035212</t>
  </si>
  <si>
    <t>1035183</t>
  </si>
  <si>
    <t>[ОКПД2 10.73] Изделия макаронные, кускус и аналогичные мучные изделия, [ОКПД2 10.61] Продукция мукомольно-крупяного производства</t>
  </si>
  <si>
    <t>5502031097</t>
  </si>
  <si>
    <t>1035081</t>
  </si>
  <si>
    <t>1035109</t>
  </si>
  <si>
    <t>1035025</t>
  </si>
  <si>
    <t>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</t>
  </si>
  <si>
    <t>1034927</t>
  </si>
  <si>
    <t>0278039018</t>
  </si>
  <si>
    <t>31908206338</t>
  </si>
  <si>
    <t>1901065679</t>
  </si>
  <si>
    <t>31908209069</t>
  </si>
  <si>
    <t>31908208065</t>
  </si>
  <si>
    <t>1644020424</t>
  </si>
  <si>
    <t>BP00322048</t>
  </si>
  <si>
    <t>4026008065</t>
  </si>
  <si>
    <t>31908209639</t>
  </si>
  <si>
    <t>2635050738</t>
  </si>
  <si>
    <t>31908207436</t>
  </si>
  <si>
    <t>31908209617</t>
  </si>
  <si>
    <t>31908208775</t>
  </si>
  <si>
    <t>2302024548</t>
  </si>
  <si>
    <t>31908209193</t>
  </si>
  <si>
    <t>31908206647</t>
  </si>
  <si>
    <t>6656004497</t>
  </si>
  <si>
    <t>31908205348</t>
  </si>
  <si>
    <t>6501161401</t>
  </si>
  <si>
    <t>31908201697</t>
  </si>
  <si>
    <t>5904103908</t>
  </si>
  <si>
    <t>31908206190</t>
  </si>
  <si>
    <t>31908210031</t>
  </si>
  <si>
    <t>31908208971</t>
  </si>
  <si>
    <t>31908204407</t>
  </si>
  <si>
    <t>31908208517</t>
  </si>
  <si>
    <t>31908208950</t>
  </si>
  <si>
    <t>6501104548</t>
  </si>
  <si>
    <t>31908205519</t>
  </si>
  <si>
    <t>6501109715</t>
  </si>
  <si>
    <t>31908206354</t>
  </si>
  <si>
    <t>31908209101</t>
  </si>
  <si>
    <t>[ОКПД2 73.11] Услуги, предоставляемые рекламными агентствами, [ОКВЭД2 73.11] Деятельность рекламных агентств</t>
  </si>
  <si>
    <t>31908209334</t>
  </si>
  <si>
    <t>31908209704</t>
  </si>
  <si>
    <t>31908210039</t>
  </si>
  <si>
    <t>BP00322114</t>
  </si>
  <si>
    <t>31908207834</t>
  </si>
  <si>
    <t>31908206711</t>
  </si>
  <si>
    <t>5610042441</t>
  </si>
  <si>
    <t>31908208337</t>
  </si>
  <si>
    <t>31908201508</t>
  </si>
  <si>
    <t>31908208033</t>
  </si>
  <si>
    <t>7204007166</t>
  </si>
  <si>
    <t>31908207506</t>
  </si>
  <si>
    <t>5408144424</t>
  </si>
  <si>
    <t>31908205545</t>
  </si>
  <si>
    <t>31908208333</t>
  </si>
  <si>
    <t>6132003351</t>
  </si>
  <si>
    <t>100030639119000043</t>
  </si>
  <si>
    <t>Семикаракорский район</t>
  </si>
  <si>
    <t>100030639119000044</t>
  </si>
  <si>
    <t>3663002583</t>
  </si>
  <si>
    <t>0131200001019004475</t>
  </si>
  <si>
    <t>0122100012719000027</t>
  </si>
  <si>
    <t>0122100012719000026</t>
  </si>
  <si>
    <t>0306200010219000464</t>
  </si>
  <si>
    <t>4501082058</t>
  </si>
  <si>
    <t>0143200000919000011</t>
  </si>
  <si>
    <t>Куртамышский район</t>
  </si>
  <si>
    <t>4511010020</t>
  </si>
  <si>
    <t>0814149850</t>
  </si>
  <si>
    <t>0305100004519000007</t>
  </si>
  <si>
    <t>0816023490</t>
  </si>
  <si>
    <t>3321010990</t>
  </si>
  <si>
    <t>0328100019119000003</t>
  </si>
  <si>
    <t>Петушинский район</t>
  </si>
  <si>
    <t>3321021946</t>
  </si>
  <si>
    <t>1603001454</t>
  </si>
  <si>
    <t>0311100009419000006</t>
  </si>
  <si>
    <t>Аксубаевский район</t>
  </si>
  <si>
    <t>0306200010219000465</t>
  </si>
  <si>
    <t>0118100007419000010</t>
  </si>
  <si>
    <t>503006614207</t>
  </si>
  <si>
    <t>5610091777</t>
  </si>
  <si>
    <t>0853500000319009174</t>
  </si>
  <si>
    <t>5610151560</t>
  </si>
  <si>
    <t>1435026510</t>
  </si>
  <si>
    <t>0816500000619011890</t>
  </si>
  <si>
    <t>1435296130</t>
  </si>
  <si>
    <t>1435307751</t>
  </si>
  <si>
    <t>0271005027</t>
  </si>
  <si>
    <t>0301300451919000168</t>
  </si>
  <si>
    <t>0271055275</t>
  </si>
  <si>
    <t>4214035350</t>
  </si>
  <si>
    <t>0139100008919000011</t>
  </si>
  <si>
    <t>421409249401</t>
  </si>
  <si>
    <t>0351300115519000033</t>
  </si>
  <si>
    <t>541750243220</t>
  </si>
  <si>
    <t>4715006030</t>
  </si>
  <si>
    <t>0345300018119000053</t>
  </si>
  <si>
    <t>Тихвинский район</t>
  </si>
  <si>
    <t>4715001176</t>
  </si>
  <si>
    <t>0318200084219000028</t>
  </si>
  <si>
    <t>2320134039</t>
  </si>
  <si>
    <t>0271005242</t>
  </si>
  <si>
    <t>0301300451919000165</t>
  </si>
  <si>
    <t>0271005041</t>
  </si>
  <si>
    <t>0301300451919000163</t>
  </si>
  <si>
    <t>Янаульский район</t>
  </si>
  <si>
    <t>0271002668</t>
  </si>
  <si>
    <t>0301300451919000167</t>
  </si>
  <si>
    <t>6027163620</t>
  </si>
  <si>
    <t>0157200000319000693</t>
  </si>
  <si>
    <t>6027121772</t>
  </si>
  <si>
    <t>0202003910</t>
  </si>
  <si>
    <t>0301300161719000004</t>
  </si>
  <si>
    <t>Альшеевский район</t>
  </si>
  <si>
    <t>020202580727</t>
  </si>
  <si>
    <t>020201942205</t>
  </si>
  <si>
    <t>1839004456</t>
  </si>
  <si>
    <t>0113100007619000013</t>
  </si>
  <si>
    <t>1839010072</t>
  </si>
  <si>
    <t>1809009104</t>
  </si>
  <si>
    <t>100004472119000021</t>
  </si>
  <si>
    <t>Игринский район</t>
  </si>
  <si>
    <t>0813100000319000116</t>
  </si>
  <si>
    <t>1827021619</t>
  </si>
  <si>
    <t>1828030214</t>
  </si>
  <si>
    <t>2619007206</t>
  </si>
  <si>
    <t>0321300206619000078</t>
  </si>
  <si>
    <t>261906466903</t>
  </si>
  <si>
    <t>100004472119000020</t>
  </si>
  <si>
    <t>6232003147</t>
  </si>
  <si>
    <t>0159100006219000028</t>
  </si>
  <si>
    <t>Сасово</t>
  </si>
  <si>
    <t>623204092678</t>
  </si>
  <si>
    <t>6731074577</t>
  </si>
  <si>
    <t>0163100006919000038</t>
  </si>
  <si>
    <t>0271005115</t>
  </si>
  <si>
    <t>0301300451919000169</t>
  </si>
  <si>
    <t>0305100004519000006</t>
  </si>
  <si>
    <t>8607005244</t>
  </si>
  <si>
    <t>0387100017119000003</t>
  </si>
  <si>
    <t>Лангепас</t>
  </si>
  <si>
    <t>860702221508</t>
  </si>
  <si>
    <t>0265100000419000179</t>
  </si>
  <si>
    <t>0387100017119000004</t>
  </si>
  <si>
    <t>0259001964</t>
  </si>
  <si>
    <t>0301100005919000004</t>
  </si>
  <si>
    <t>Давлекановский район</t>
  </si>
  <si>
    <t>025901084880</t>
  </si>
  <si>
    <t>0306100003819000012</t>
  </si>
  <si>
    <t>2619007171</t>
  </si>
  <si>
    <t>0321300206619000079</t>
  </si>
  <si>
    <t>261904976176</t>
  </si>
  <si>
    <t>0387100017119000005</t>
  </si>
  <si>
    <t>0271005228</t>
  </si>
  <si>
    <t>0301300451919000166</t>
  </si>
  <si>
    <t>0202002755</t>
  </si>
  <si>
    <t>0301300316719000011</t>
  </si>
  <si>
    <t>100004472119000019</t>
  </si>
  <si>
    <t>0271005203</t>
  </si>
  <si>
    <t>0301300451919000164</t>
  </si>
  <si>
    <t>0332100050019000016</t>
  </si>
  <si>
    <t>100004472119000018</t>
  </si>
  <si>
    <t>0233002191</t>
  </si>
  <si>
    <t>100073387119000060</t>
  </si>
  <si>
    <t>100073387119000059</t>
  </si>
  <si>
    <t>2582340</t>
  </si>
  <si>
    <t>0111300000819001003</t>
  </si>
  <si>
    <t>1650290034</t>
  </si>
  <si>
    <t>1650283990</t>
  </si>
  <si>
    <t>1650310971</t>
  </si>
  <si>
    <t>1650306365</t>
  </si>
  <si>
    <t>1650306340</t>
  </si>
  <si>
    <t>1650306446</t>
  </si>
  <si>
    <t>1650289920</t>
  </si>
  <si>
    <t>1650306333</t>
  </si>
  <si>
    <t>1650306372</t>
  </si>
  <si>
    <t>2437002570</t>
  </si>
  <si>
    <t>0119100014819000028</t>
  </si>
  <si>
    <t>0119100014819000027</t>
  </si>
  <si>
    <t>2302044600</t>
  </si>
  <si>
    <t>0318200054519000012</t>
  </si>
  <si>
    <t>[ОКПД2 93.19] Услуги в области спорта прочие, [ОКПД2 56.10] Услуги ресторанов и услуги по доставке продуктов питания</t>
  </si>
  <si>
    <t>231705731599</t>
  </si>
  <si>
    <t>0358300236219000004</t>
  </si>
  <si>
    <t>6153007371</t>
  </si>
  <si>
    <t>6128004352</t>
  </si>
  <si>
    <t>6128007378</t>
  </si>
  <si>
    <t>6128007716</t>
  </si>
  <si>
    <t>Пролетарский район</t>
  </si>
  <si>
    <t>6128005733</t>
  </si>
  <si>
    <t>6128007667</t>
  </si>
  <si>
    <t>6128007353</t>
  </si>
  <si>
    <t>6128007642</t>
  </si>
  <si>
    <t>6128007522</t>
  </si>
  <si>
    <t>6128007547</t>
  </si>
  <si>
    <t>6128007473</t>
  </si>
  <si>
    <t>6128007441</t>
  </si>
  <si>
    <t>6128006173</t>
  </si>
  <si>
    <t>6128007480</t>
  </si>
  <si>
    <t>6128007674</t>
  </si>
  <si>
    <t>6128007434</t>
  </si>
  <si>
    <t>6128007723</t>
  </si>
  <si>
    <t>6128007498</t>
  </si>
  <si>
    <t>6128007360</t>
  </si>
  <si>
    <t>100073387119000061</t>
  </si>
  <si>
    <t>3446031509</t>
  </si>
  <si>
    <t>ГП920864</t>
  </si>
  <si>
    <t>109342</t>
  </si>
  <si>
    <t>0318200084219000026</t>
  </si>
  <si>
    <t>3127504389</t>
  </si>
  <si>
    <t>1034100</t>
  </si>
  <si>
    <t>Губкин</t>
  </si>
  <si>
    <t>0318200084219000027</t>
  </si>
  <si>
    <t>7704159590</t>
  </si>
  <si>
    <t>0373200138219000721</t>
  </si>
  <si>
    <t>7735160290</t>
  </si>
  <si>
    <t>5043041459</t>
  </si>
  <si>
    <t>7743046079</t>
  </si>
  <si>
    <t>7717547255</t>
  </si>
  <si>
    <t>7725688147</t>
  </si>
  <si>
    <t>0332100036419000011</t>
  </si>
  <si>
    <t>0828100000719000747</t>
  </si>
  <si>
    <t>4401165896</t>
  </si>
  <si>
    <t>1612000457</t>
  </si>
  <si>
    <t>100294823119000031</t>
  </si>
  <si>
    <t>Балтасинский район</t>
  </si>
  <si>
    <t>6229019299</t>
  </si>
  <si>
    <t>0859200001119010172</t>
  </si>
  <si>
    <t>6230067201</t>
  </si>
  <si>
    <t>0351200023819000145</t>
  </si>
  <si>
    <t>5406194652</t>
  </si>
  <si>
    <t>8601009980</t>
  </si>
  <si>
    <t>0387200020319000003</t>
  </si>
  <si>
    <t>8601017701</t>
  </si>
  <si>
    <t>7606003563</t>
  </si>
  <si>
    <t>0171200001919001413</t>
  </si>
  <si>
    <t>7602088809</t>
  </si>
  <si>
    <t>0362300186319000005</t>
  </si>
  <si>
    <t>0391100012819000009</t>
  </si>
  <si>
    <t>Нерчинский район</t>
  </si>
  <si>
    <t>0332100050019000015</t>
  </si>
  <si>
    <t>0819100000119000067</t>
  </si>
  <si>
    <t>2460020458</t>
  </si>
  <si>
    <t>6732041503</t>
  </si>
  <si>
    <t>0863100000319000114</t>
  </si>
  <si>
    <t>6705000385</t>
  </si>
  <si>
    <t>0172200001019000053</t>
  </si>
  <si>
    <t>100294437119000024</t>
  </si>
  <si>
    <t>Верещагинский район</t>
  </si>
  <si>
    <t>0172200001019000052</t>
  </si>
  <si>
    <t>7816442408</t>
  </si>
  <si>
    <t>7701897416</t>
  </si>
  <si>
    <t>6646007770</t>
  </si>
  <si>
    <t>0362300330419000072</t>
  </si>
  <si>
    <t>664600060645</t>
  </si>
  <si>
    <t>0111400000219000043</t>
  </si>
  <si>
    <t>[ОКПД2 33.16] Услуги по ремонту и техническому обслуживанию летательных и космических аппаратов</t>
  </si>
  <si>
    <t>1656002652</t>
  </si>
  <si>
    <t>0819100000119000065</t>
  </si>
  <si>
    <t>100202713119000037</t>
  </si>
  <si>
    <t>Доволенский район</t>
  </si>
  <si>
    <t>0307300061819000125</t>
  </si>
  <si>
    <t>Сыктывдинский район</t>
  </si>
  <si>
    <t>790181</t>
  </si>
  <si>
    <t>2221013876</t>
  </si>
  <si>
    <t>1033641</t>
  </si>
  <si>
    <t>[ОКПД2 27.33] Изделия электроустановочные, [ОКПД2 27.90] Оборудование электрическое прочее, [ОКПД2 25.94] Изделия крепежные и винты крепежные, [ОКПД2 27.12] Аппаратура распределительная и регулирующая электрическая, [ОКПД2 28.22] Оборудование подъемно-транспортное, [ОКПД2 25.93] Проволока, цепи и пружины, [ОКПД2 27.40] Оборудование электрическое осветительное, [ОКПД2 26.30] Оборудование коммуникационное, [ОКПД2 27.20] Батареи и аккумуляторы, [ОКПД2 26.20] Компьютеры и периферийное оборудование</t>
  </si>
  <si>
    <t>100202713119000038</t>
  </si>
  <si>
    <t>0111300000819000997</t>
  </si>
  <si>
    <t>1650085765</t>
  </si>
  <si>
    <t>4343002762</t>
  </si>
  <si>
    <t>0340100010619000038</t>
  </si>
  <si>
    <t>4329013106</t>
  </si>
  <si>
    <t>0340100010619000039</t>
  </si>
  <si>
    <t>4303005140</t>
  </si>
  <si>
    <t>5025022333</t>
  </si>
  <si>
    <t>0848100000819000021</t>
  </si>
  <si>
    <t>1310046455</t>
  </si>
  <si>
    <t>0809500000319001775</t>
  </si>
  <si>
    <t>Ичалковский район</t>
  </si>
  <si>
    <t>1305037053</t>
  </si>
  <si>
    <t>0848100000819000022</t>
  </si>
  <si>
    <t>2303013299</t>
  </si>
  <si>
    <t>0118100009219000026</t>
  </si>
  <si>
    <t>0118100009219000025</t>
  </si>
  <si>
    <t>0340100010619000040</t>
  </si>
  <si>
    <t>1033392</t>
  </si>
  <si>
    <t>РН968349</t>
  </si>
  <si>
    <t>5032244520</t>
  </si>
  <si>
    <t>790109</t>
  </si>
  <si>
    <t>Власиха</t>
  </si>
  <si>
    <t>2103005886</t>
  </si>
  <si>
    <t>0315300159219000140</t>
  </si>
  <si>
    <t>0140100008219000033</t>
  </si>
  <si>
    <t>0140100008219000034</t>
  </si>
  <si>
    <t>0340200003319011182</t>
  </si>
  <si>
    <t>0111300000819000994</t>
  </si>
  <si>
    <t>1650085500</t>
  </si>
  <si>
    <t>2310016942</t>
  </si>
  <si>
    <t>0318200074519000145</t>
  </si>
  <si>
    <t>2309129204</t>
  </si>
  <si>
    <t>0107018498</t>
  </si>
  <si>
    <t>2103005967</t>
  </si>
  <si>
    <t>0315300159219000141</t>
  </si>
  <si>
    <t>5254013764</t>
  </si>
  <si>
    <t>0332100021419000024</t>
  </si>
  <si>
    <t>Саров</t>
  </si>
  <si>
    <t>0340100010619000037</t>
  </si>
  <si>
    <t>4329011483</t>
  </si>
  <si>
    <t>0332100021419000025</t>
  </si>
  <si>
    <t>6931004231</t>
  </si>
  <si>
    <t>0336100016219000012</t>
  </si>
  <si>
    <t>Лихославльский район</t>
  </si>
  <si>
    <t>611900135735</t>
  </si>
  <si>
    <t>5751015698</t>
  </si>
  <si>
    <t>0154300014619000535</t>
  </si>
  <si>
    <t>7224037176</t>
  </si>
  <si>
    <t>E101615</t>
  </si>
  <si>
    <t>Тюменский район</t>
  </si>
  <si>
    <t>8911016144</t>
  </si>
  <si>
    <t>0390100002719000029</t>
  </si>
  <si>
    <t>Губкинский</t>
  </si>
  <si>
    <t>665914195557</t>
  </si>
  <si>
    <t>0390100002719000030</t>
  </si>
  <si>
    <t>5751018427</t>
  </si>
  <si>
    <t>0154300014619000534</t>
  </si>
  <si>
    <t>РН968304</t>
  </si>
  <si>
    <t>6215006733</t>
  </si>
  <si>
    <t>100262132119000042</t>
  </si>
  <si>
    <t>5751018106</t>
  </si>
  <si>
    <t>0154300014619000533</t>
  </si>
  <si>
    <t>E101609</t>
  </si>
  <si>
    <t>100262132119000041</t>
  </si>
  <si>
    <t>7411014108</t>
  </si>
  <si>
    <t>1032455</t>
  </si>
  <si>
    <t>7817002417</t>
  </si>
  <si>
    <t>0372100049519000100</t>
  </si>
  <si>
    <t>7838081441</t>
  </si>
  <si>
    <t>7802759620</t>
  </si>
  <si>
    <t>780615906456</t>
  </si>
  <si>
    <t>0120300008819000050</t>
  </si>
  <si>
    <t>2507011660</t>
  </si>
  <si>
    <t>Лесозаводск</t>
  </si>
  <si>
    <t>2507006194</t>
  </si>
  <si>
    <t>2507006317</t>
  </si>
  <si>
    <t>2507006349</t>
  </si>
  <si>
    <t>2507006324</t>
  </si>
  <si>
    <t>2507006331</t>
  </si>
  <si>
    <t>2507227355</t>
  </si>
  <si>
    <t>2507006412</t>
  </si>
  <si>
    <t>8615010128</t>
  </si>
  <si>
    <t>0387200007919000019</t>
  </si>
  <si>
    <t>6658492867</t>
  </si>
  <si>
    <t>667004317246</t>
  </si>
  <si>
    <t>7411013915</t>
  </si>
  <si>
    <t>1032383</t>
  </si>
  <si>
    <t>1032410</t>
  </si>
  <si>
    <t>1032350</t>
  </si>
  <si>
    <t>1032373</t>
  </si>
  <si>
    <t>1032311</t>
  </si>
  <si>
    <t>1032231</t>
  </si>
  <si>
    <t>0134100010519000051</t>
  </si>
  <si>
    <t>Казачинско-Ленский район</t>
  </si>
  <si>
    <t>1032208</t>
  </si>
  <si>
    <t>[ОКПД2 10.39] Фрукты, овощи и грибы переработанные и консервированные, не включенные в другие группировки, [ОКПД2 10.31] Картофель переработанный и консервированный</t>
  </si>
  <si>
    <t>0134100010519000050</t>
  </si>
  <si>
    <t>1032120</t>
  </si>
  <si>
    <t>31908203918</t>
  </si>
  <si>
    <t>6439036290</t>
  </si>
  <si>
    <t>31908204288</t>
  </si>
  <si>
    <t>[ОКПД2 10.12] Мясо сельскохозяйственной птицы и прочие продукты убоя, включая консервированные, [ОКВЭД2 10.13] Производство продукции из мяса убойных животных и мяса птицы</t>
  </si>
  <si>
    <t>7610038657</t>
  </si>
  <si>
    <t>31908228257</t>
  </si>
  <si>
    <t>5502031146</t>
  </si>
  <si>
    <t>31908204442</t>
  </si>
  <si>
    <t>31908203292</t>
  </si>
  <si>
    <t>31908203342</t>
  </si>
  <si>
    <t>31908205216</t>
  </si>
  <si>
    <t>31908204547</t>
  </si>
  <si>
    <t>31908205041</t>
  </si>
  <si>
    <t>[ОКПД2 10.20] Рыба переработанная и консервированная, ракообразные и моллюски, [ОКВЭД2 10.20] Переработка и консервирование рыбы, ракообразных и моллюсков</t>
  </si>
  <si>
    <t>31908202216</t>
  </si>
  <si>
    <t>31908202526</t>
  </si>
  <si>
    <t>31908203977</t>
  </si>
  <si>
    <t>31908203383</t>
  </si>
  <si>
    <t>[ОКПД2 56.29] Услуги по обеспечению питанием прочие, [ОКПД2 55.10] Услуги гостиниц и аналогичные услуги по предоставлению временного жилья, [ОКВЭД2 56.2+] Деятельность предприятий общественного питания по обслуживанию торжественных мероприятий и прочим видам организации питания, [ОКВЭД2 55.10] Деятельность гостиниц и прочих мест для временного проживания</t>
  </si>
  <si>
    <t>2633003556</t>
  </si>
  <si>
    <t>31908204128</t>
  </si>
  <si>
    <t>5904106722</t>
  </si>
  <si>
    <t>31908205108</t>
  </si>
  <si>
    <t>31908204239</t>
  </si>
  <si>
    <t>31908198336</t>
  </si>
  <si>
    <t>31908205088</t>
  </si>
  <si>
    <t>3917041074</t>
  </si>
  <si>
    <t>31908204627</t>
  </si>
  <si>
    <t>31908228255</t>
  </si>
  <si>
    <t>5916006867</t>
  </si>
  <si>
    <t>31908201445</t>
  </si>
  <si>
    <t>4705078910</t>
  </si>
  <si>
    <t>31908204713</t>
  </si>
  <si>
    <t>[ОКПД2 55.20] Услуги по предоставлению временного жилья в местах отдыха и прочих местах для краткосрочного проживания, [ОКПД2 56.10] Услуги ресторанов и услуги по доставке продуктов питания, [ОКВЭД2 56.10] Деятельность ресторанов и услуги по доставке продуктов питания, [ОКВЭД2 55.20] Деятельность по предоставлению мест для краткосрочного проживания</t>
  </si>
  <si>
    <t>2315078029</t>
  </si>
  <si>
    <t>31908201262</t>
  </si>
  <si>
    <t>6634007470</t>
  </si>
  <si>
    <t>31908198247</t>
  </si>
  <si>
    <t>31908204809</t>
  </si>
  <si>
    <t>5032298036</t>
  </si>
  <si>
    <t>789919</t>
  </si>
  <si>
    <t>1627000869</t>
  </si>
  <si>
    <t>0311100020719000014</t>
  </si>
  <si>
    <t>Менделеевский район</t>
  </si>
  <si>
    <t>162711337888</t>
  </si>
  <si>
    <t>0311100020719000015</t>
  </si>
  <si>
    <t>7825661815</t>
  </si>
  <si>
    <t>0172100005619000013</t>
  </si>
  <si>
    <t>235204267704</t>
  </si>
  <si>
    <t>7605009611</t>
  </si>
  <si>
    <t>100291476119000043</t>
  </si>
  <si>
    <t>5001040936</t>
  </si>
  <si>
    <t>789888</t>
  </si>
  <si>
    <t>100111562119000059</t>
  </si>
  <si>
    <t>0271005250</t>
  </si>
  <si>
    <t>0301300451919000161</t>
  </si>
  <si>
    <t>0271005299</t>
  </si>
  <si>
    <t>0301300451919000162</t>
  </si>
  <si>
    <t>789848</t>
  </si>
  <si>
    <t>0111300000819000991</t>
  </si>
  <si>
    <t>1650086134</t>
  </si>
  <si>
    <t>1650181148</t>
  </si>
  <si>
    <t>1650086053</t>
  </si>
  <si>
    <t>1650085878</t>
  </si>
  <si>
    <t>1650086046</t>
  </si>
  <si>
    <t>1650182857</t>
  </si>
  <si>
    <t>1650086173</t>
  </si>
  <si>
    <t>1650086582</t>
  </si>
  <si>
    <t>1650085934</t>
  </si>
  <si>
    <t>1650086550</t>
  </si>
  <si>
    <t>1650086889</t>
  </si>
  <si>
    <t>1650086085</t>
  </si>
  <si>
    <t>1650086310</t>
  </si>
  <si>
    <t>0202005107</t>
  </si>
  <si>
    <t>0301300306819000011</t>
  </si>
  <si>
    <t>020204296599</t>
  </si>
  <si>
    <t>0711200016819000163</t>
  </si>
  <si>
    <t>Бугульма</t>
  </si>
  <si>
    <t>164500470845</t>
  </si>
  <si>
    <t>0136300000719000100</t>
  </si>
  <si>
    <t>6911020588</t>
  </si>
  <si>
    <t>6911016687</t>
  </si>
  <si>
    <t>6911016359</t>
  </si>
  <si>
    <t>6911016180</t>
  </si>
  <si>
    <t>Конаково</t>
  </si>
  <si>
    <t>6911016158</t>
  </si>
  <si>
    <t>6911016662</t>
  </si>
  <si>
    <t>6911016133</t>
  </si>
  <si>
    <t>6911017641</t>
  </si>
  <si>
    <t>6911016197</t>
  </si>
  <si>
    <t>6911016253</t>
  </si>
  <si>
    <t>6911016214</t>
  </si>
  <si>
    <t>6911016165</t>
  </si>
  <si>
    <t>6911016630</t>
  </si>
  <si>
    <t>6911016609</t>
  </si>
  <si>
    <t>6911016581</t>
  </si>
  <si>
    <t>6911016535</t>
  </si>
  <si>
    <t>6911016817</t>
  </si>
  <si>
    <t>6911016616</t>
  </si>
  <si>
    <t>6911016567</t>
  </si>
  <si>
    <t>6911017000</t>
  </si>
  <si>
    <t>6911016334</t>
  </si>
  <si>
    <t>6911016140</t>
  </si>
  <si>
    <t>7701031585</t>
  </si>
  <si>
    <t>0373100054619000220</t>
  </si>
  <si>
    <t>362802017584</t>
  </si>
  <si>
    <t>5248008011</t>
  </si>
  <si>
    <t>0332100051819000013</t>
  </si>
  <si>
    <t>Городецкий район</t>
  </si>
  <si>
    <t>524802991110</t>
  </si>
  <si>
    <t>0134200000119002823</t>
  </si>
  <si>
    <t>7714364856</t>
  </si>
  <si>
    <t>0373100135219000003</t>
  </si>
  <si>
    <t>7728677256</t>
  </si>
  <si>
    <t>7203444090</t>
  </si>
  <si>
    <t>0134200000119002822</t>
  </si>
  <si>
    <t>1031696</t>
  </si>
  <si>
    <t>0202004960</t>
  </si>
  <si>
    <t>0301300306919000006</t>
  </si>
  <si>
    <t>0133100007019000060</t>
  </si>
  <si>
    <t>0336100016219000011</t>
  </si>
  <si>
    <t>2632092923</t>
  </si>
  <si>
    <t>0321200008619000030</t>
  </si>
  <si>
    <t>263200656286</t>
  </si>
  <si>
    <t>0133100007019000059</t>
  </si>
  <si>
    <t>100176905119000048</t>
  </si>
  <si>
    <t>0360100010919000068</t>
  </si>
  <si>
    <t>5251002370</t>
  </si>
  <si>
    <t>0332100011919000018</t>
  </si>
  <si>
    <t>Кулебаки</t>
  </si>
  <si>
    <t>5251010317</t>
  </si>
  <si>
    <t>6155036547</t>
  </si>
  <si>
    <t>1031385</t>
  </si>
  <si>
    <t>0411168120</t>
  </si>
  <si>
    <t>0177200000919002130</t>
  </si>
  <si>
    <t>210402419202</t>
  </si>
  <si>
    <t>0128100001619000020</t>
  </si>
  <si>
    <t>5539009034</t>
  </si>
  <si>
    <t>100045960119000015</t>
  </si>
  <si>
    <t>Черлакский район</t>
  </si>
  <si>
    <t>100045960119000017</t>
  </si>
  <si>
    <t>100045960119000016</t>
  </si>
  <si>
    <t>0111300000819000987</t>
  </si>
  <si>
    <t>1650086670</t>
  </si>
  <si>
    <t>1650143417</t>
  </si>
  <si>
    <t>1650086776</t>
  </si>
  <si>
    <t>1650097908</t>
  </si>
  <si>
    <t>1650085719</t>
  </si>
  <si>
    <t>1650086663</t>
  </si>
  <si>
    <t>1650162890</t>
  </si>
  <si>
    <t>1650086864</t>
  </si>
  <si>
    <t>1650086448</t>
  </si>
  <si>
    <t>1650085370</t>
  </si>
  <si>
    <t>1650085564</t>
  </si>
  <si>
    <t>1650086896</t>
  </si>
  <si>
    <t>1650086430</t>
  </si>
  <si>
    <t>1650086092</t>
  </si>
  <si>
    <t>1650086335</t>
  </si>
  <si>
    <t>1650143390</t>
  </si>
  <si>
    <t>0187300012419000236</t>
  </si>
  <si>
    <t>0318100006419000018</t>
  </si>
  <si>
    <t>4222013417</t>
  </si>
  <si>
    <t>0139100008219000007</t>
  </si>
  <si>
    <t>Осинники</t>
  </si>
  <si>
    <t>0274053124</t>
  </si>
  <si>
    <t>0101200009319000024</t>
  </si>
  <si>
    <t>7446032965</t>
  </si>
  <si>
    <t>0169300000319001962</t>
  </si>
  <si>
    <t>0176400000119000016</t>
  </si>
  <si>
    <t>010104947770</t>
  </si>
  <si>
    <t>010503394573</t>
  </si>
  <si>
    <t>7725262013</t>
  </si>
  <si>
    <t>0373200650619000022</t>
  </si>
  <si>
    <t>253608927289</t>
  </si>
  <si>
    <t>0318100011219000010</t>
  </si>
  <si>
    <t>1910012761</t>
  </si>
  <si>
    <t>0180100004819000010</t>
  </si>
  <si>
    <t>ATOM14081900079</t>
  </si>
  <si>
    <t>7022018999</t>
  </si>
  <si>
    <t>0165100009619000010</t>
  </si>
  <si>
    <t>7022017530</t>
  </si>
  <si>
    <t>7022010809</t>
  </si>
  <si>
    <t>0190200000319008995</t>
  </si>
  <si>
    <t>2210001727</t>
  </si>
  <si>
    <t>1030437</t>
  </si>
  <si>
    <t>[ОКПД2 10.32] Продукция соковая из фруктов и овощей, [ОКПД2 20.13] Вещества химические неорганические основные прочие</t>
  </si>
  <si>
    <t>0318200017019000098</t>
  </si>
  <si>
    <t>0141100009719000012</t>
  </si>
  <si>
    <t>0332300330619000183</t>
  </si>
  <si>
    <t>0318200017019000100</t>
  </si>
  <si>
    <t>[ОКПД2 49.39] Услуги сухопутного пассажирского транспорта прочие, не включенные в другие группировки</t>
  </si>
  <si>
    <t>7723320326</t>
  </si>
  <si>
    <t>0173100009819000021</t>
  </si>
  <si>
    <t>771500300657</t>
  </si>
  <si>
    <t>0321100001419000041</t>
  </si>
  <si>
    <t>1030104</t>
  </si>
  <si>
    <t>0111300000819000984</t>
  </si>
  <si>
    <t>1650086624</t>
  </si>
  <si>
    <t>1650086511</t>
  </si>
  <si>
    <t>1650085814</t>
  </si>
  <si>
    <t>1650085821</t>
  </si>
  <si>
    <t>1650086159</t>
  </si>
  <si>
    <t>1650086744</t>
  </si>
  <si>
    <t>1650084419</t>
  </si>
  <si>
    <t>1650085726</t>
  </si>
  <si>
    <t>1650085490</t>
  </si>
  <si>
    <t>1650086293</t>
  </si>
  <si>
    <t>1650085807</t>
  </si>
  <si>
    <t>1650086857</t>
  </si>
  <si>
    <t>1650086737</t>
  </si>
  <si>
    <t>1650086504</t>
  </si>
  <si>
    <t>8602200379</t>
  </si>
  <si>
    <t>100081734119000004</t>
  </si>
  <si>
    <t>[ОКПД2 26.30] Оборудование коммуникационное, [ОКПД2 95.11] Услуги по ремонту компьютеров и периферийного оборудования</t>
  </si>
  <si>
    <t>5078009400</t>
  </si>
  <si>
    <t>0848300060619000474</t>
  </si>
  <si>
    <t>2344006526</t>
  </si>
  <si>
    <t>0318100012219000006</t>
  </si>
  <si>
    <t>Новопокровский район</t>
  </si>
  <si>
    <t>2360001691</t>
  </si>
  <si>
    <t>РН956927</t>
  </si>
  <si>
    <t>6657003400</t>
  </si>
  <si>
    <t>0362300248919000009</t>
  </si>
  <si>
    <t>Шалинский район</t>
  </si>
  <si>
    <t>665700986463</t>
  </si>
  <si>
    <t>665700032509</t>
  </si>
  <si>
    <t>5408148884</t>
  </si>
  <si>
    <t>1029889</t>
  </si>
  <si>
    <t>8618004789</t>
  </si>
  <si>
    <t>0187300008419000285</t>
  </si>
  <si>
    <t>720603020048</t>
  </si>
  <si>
    <t>0391100009319000009</t>
  </si>
  <si>
    <t>5752022722</t>
  </si>
  <si>
    <t>0154300014619000532</t>
  </si>
  <si>
    <t>100292951119000017</t>
  </si>
  <si>
    <t>1029653</t>
  </si>
  <si>
    <t>0203004924</t>
  </si>
  <si>
    <t>100107142119000026</t>
  </si>
  <si>
    <t>Архангельский район</t>
  </si>
  <si>
    <t>2222024045</t>
  </si>
  <si>
    <t>1029564</t>
  </si>
  <si>
    <t>1029435</t>
  </si>
  <si>
    <t>1029427</t>
  </si>
  <si>
    <t>1435101253</t>
  </si>
  <si>
    <t>0816500000619011791</t>
  </si>
  <si>
    <t>1435036759</t>
  </si>
  <si>
    <t>31908200493</t>
  </si>
  <si>
    <t>31908200703</t>
  </si>
  <si>
    <t>7723011906</t>
  </si>
  <si>
    <t>31908200740</t>
  </si>
  <si>
    <t>31908200443</t>
  </si>
  <si>
    <t>[ОКПД2 10.61] Продукция мукомольно-крупяного производства, [ОКВЭД2 10.61] Производство продуктов мукомольной и крупяной промышленности</t>
  </si>
  <si>
    <t>4202010136</t>
  </si>
  <si>
    <t>31908196564</t>
  </si>
  <si>
    <t>31908196953</t>
  </si>
  <si>
    <t>7709624788</t>
  </si>
  <si>
    <t>31908197989</t>
  </si>
  <si>
    <t>4720020946</t>
  </si>
  <si>
    <t>31908199756</t>
  </si>
  <si>
    <t>7734111035</t>
  </si>
  <si>
    <t>31908196115</t>
  </si>
  <si>
    <t>7710301140</t>
  </si>
  <si>
    <t>31908198820</t>
  </si>
  <si>
    <t>[ОКПД2 62.02] Услуги консультативные, связанные с компьютерной техникой, [ОКВЭД2 62.03] Деятельность по управлению компьютерным оборудованием</t>
  </si>
  <si>
    <t>2327007424</t>
  </si>
  <si>
    <t>31908200849</t>
  </si>
  <si>
    <t>5835120138</t>
  </si>
  <si>
    <t>31908197681</t>
  </si>
  <si>
    <t>31908198121</t>
  </si>
  <si>
    <t>8613004111</t>
  </si>
  <si>
    <t>31908197083</t>
  </si>
  <si>
    <t>31908201067</t>
  </si>
  <si>
    <t>31908198493</t>
  </si>
  <si>
    <t>2320051199</t>
  </si>
  <si>
    <t>31908197449</t>
  </si>
  <si>
    <t>6627012905</t>
  </si>
  <si>
    <t>31908196346</t>
  </si>
  <si>
    <t>7017203428</t>
  </si>
  <si>
    <t>31908197961</t>
  </si>
  <si>
    <t>31908200077</t>
  </si>
  <si>
    <t>31908199223</t>
  </si>
  <si>
    <t>7715047144</t>
  </si>
  <si>
    <t>0173100001819000046</t>
  </si>
  <si>
    <t>7714406930</t>
  </si>
  <si>
    <t>0227100000319000136</t>
  </si>
  <si>
    <t>0172200001019000050</t>
  </si>
  <si>
    <t>6807007943</t>
  </si>
  <si>
    <t>0164100010019000066</t>
  </si>
  <si>
    <t>Мичуринский район</t>
  </si>
  <si>
    <t>6827021657</t>
  </si>
  <si>
    <t>682008021959</t>
  </si>
  <si>
    <t>0366200035619005730</t>
  </si>
  <si>
    <t>0202004953</t>
  </si>
  <si>
    <t>0301300162819000011</t>
  </si>
  <si>
    <t>0202000349</t>
  </si>
  <si>
    <t>6730051143</t>
  </si>
  <si>
    <t>0163200000319005889</t>
  </si>
  <si>
    <t>5003112985</t>
  </si>
  <si>
    <t>7604320655</t>
  </si>
  <si>
    <t>5259069810</t>
  </si>
  <si>
    <t>616852380726</t>
  </si>
  <si>
    <t>6673200163</t>
  </si>
  <si>
    <t>0164100010019000067</t>
  </si>
  <si>
    <t>0271005154</t>
  </si>
  <si>
    <t>0301300451919000160</t>
  </si>
  <si>
    <t>7107031043</t>
  </si>
  <si>
    <t>0366200035619005729</t>
  </si>
  <si>
    <t>0271004707</t>
  </si>
  <si>
    <t>0301300451919000159</t>
  </si>
  <si>
    <t>0271005210</t>
  </si>
  <si>
    <t>0301300451919000156</t>
  </si>
  <si>
    <t>0316100024819000033</t>
  </si>
  <si>
    <t>3819005021</t>
  </si>
  <si>
    <t>0134100012919000015</t>
  </si>
  <si>
    <t>Усолье-Сибирское</t>
  </si>
  <si>
    <t>3819007614</t>
  </si>
  <si>
    <t>0134100012919000016</t>
  </si>
  <si>
    <t>7107113987</t>
  </si>
  <si>
    <t>0166300024719000780</t>
  </si>
  <si>
    <t>7126000308</t>
  </si>
  <si>
    <t>7118037978</t>
  </si>
  <si>
    <t>0316100024819000032</t>
  </si>
  <si>
    <t>7717038138</t>
  </si>
  <si>
    <t>0373200138219000708</t>
  </si>
  <si>
    <t>7733656491</t>
  </si>
  <si>
    <t>7728522527</t>
  </si>
  <si>
    <t>7701153569</t>
  </si>
  <si>
    <t>0373200082119000477</t>
  </si>
  <si>
    <t>6619019671</t>
  </si>
  <si>
    <t>7708254855</t>
  </si>
  <si>
    <t>0271005080</t>
  </si>
  <si>
    <t>0301300451919000155</t>
  </si>
  <si>
    <t>0111300000819000983</t>
  </si>
  <si>
    <t>1650086568</t>
  </si>
  <si>
    <t>1650085797</t>
  </si>
  <si>
    <t>1650086222</t>
  </si>
  <si>
    <t>1650085532</t>
  </si>
  <si>
    <t>1650085613</t>
  </si>
  <si>
    <t>1650085839</t>
  </si>
  <si>
    <t>1650086631</t>
  </si>
  <si>
    <t>1650086078</t>
  </si>
  <si>
    <t>1650086800</t>
  </si>
  <si>
    <t>1650086575</t>
  </si>
  <si>
    <t>1650085910</t>
  </si>
  <si>
    <t>1650085860</t>
  </si>
  <si>
    <t>1650085966</t>
  </si>
  <si>
    <t>7727656790</t>
  </si>
  <si>
    <t>0373200307319000344</t>
  </si>
  <si>
    <t>[ОКПД2 80.20] Услуги систем обеспечения безопасности, [ОКПД2 33.12] Услуги по ремонту оборудования</t>
  </si>
  <si>
    <t>7717699730</t>
  </si>
  <si>
    <t>7704321839</t>
  </si>
  <si>
    <t>7726485213</t>
  </si>
  <si>
    <t>3235003189</t>
  </si>
  <si>
    <t>1029140</t>
  </si>
  <si>
    <t>Брянский район</t>
  </si>
  <si>
    <t>3906131304</t>
  </si>
  <si>
    <t>0335100001319000038</t>
  </si>
  <si>
    <t>3917031260</t>
  </si>
  <si>
    <t>3906249063</t>
  </si>
  <si>
    <t>2103006030</t>
  </si>
  <si>
    <t>0315300159219000139</t>
  </si>
  <si>
    <t>6027034576</t>
  </si>
  <si>
    <t>0157000000119000010</t>
  </si>
  <si>
    <t>6027113370</t>
  </si>
  <si>
    <t>100273595119000010</t>
  </si>
  <si>
    <t>4414003290</t>
  </si>
  <si>
    <t>0141100007119000005</t>
  </si>
  <si>
    <t>Костромской район</t>
  </si>
  <si>
    <t>789182</t>
  </si>
  <si>
    <t>0157000000119000007</t>
  </si>
  <si>
    <t>0168100006819000127</t>
  </si>
  <si>
    <t>7329005968</t>
  </si>
  <si>
    <t>0157000000119000008</t>
  </si>
  <si>
    <t>9101006252</t>
  </si>
  <si>
    <t>0375300023519000005</t>
  </si>
  <si>
    <t>9101001952</t>
  </si>
  <si>
    <t>0164100010019000065</t>
  </si>
  <si>
    <t>6103005178</t>
  </si>
  <si>
    <t>1028977</t>
  </si>
  <si>
    <t>Багаевский район</t>
  </si>
  <si>
    <t>0318300170419000249</t>
  </si>
  <si>
    <t>0157000000119000009</t>
  </si>
  <si>
    <t>0164100010019000064</t>
  </si>
  <si>
    <t>0312002821</t>
  </si>
  <si>
    <t>0302100004619000007</t>
  </si>
  <si>
    <t>0312001313</t>
  </si>
  <si>
    <t>0332100051819000010</t>
  </si>
  <si>
    <t>7451213445</t>
  </si>
  <si>
    <t>0369100001019000016</t>
  </si>
  <si>
    <t>7451278033</t>
  </si>
  <si>
    <t>3809017268</t>
  </si>
  <si>
    <t>0134200000119002805</t>
  </si>
  <si>
    <t>3808103323</t>
  </si>
  <si>
    <t>100273595119000009</t>
  </si>
  <si>
    <t>0123200000319002374</t>
  </si>
  <si>
    <t>7726311464</t>
  </si>
  <si>
    <t>1830011635</t>
  </si>
  <si>
    <t>0813500000119009547</t>
  </si>
  <si>
    <t>2801008012</t>
  </si>
  <si>
    <t>0223100000219000103</t>
  </si>
  <si>
    <t>2539041191</t>
  </si>
  <si>
    <t>0311100007819000005</t>
  </si>
  <si>
    <t>0220003977</t>
  </si>
  <si>
    <t>0301200030319000009</t>
  </si>
  <si>
    <t>Дуванский район</t>
  </si>
  <si>
    <t>022002195168</t>
  </si>
  <si>
    <t>023015638901</t>
  </si>
  <si>
    <t>025002107865</t>
  </si>
  <si>
    <t>0276911882</t>
  </si>
  <si>
    <t>2333007863</t>
  </si>
  <si>
    <t>0318300526219000112</t>
  </si>
  <si>
    <t>2330036016</t>
  </si>
  <si>
    <t>100094103119000028</t>
  </si>
  <si>
    <t>2333007888</t>
  </si>
  <si>
    <t>0318300526219000111</t>
  </si>
  <si>
    <t>234100192820</t>
  </si>
  <si>
    <t>2333007944</t>
  </si>
  <si>
    <t>0318300526219000110</t>
  </si>
  <si>
    <t>0858300003419000001</t>
  </si>
  <si>
    <t>6130004261</t>
  </si>
  <si>
    <t>6130004286</t>
  </si>
  <si>
    <t>6130004342</t>
  </si>
  <si>
    <t>6130000250</t>
  </si>
  <si>
    <t>6130004230</t>
  </si>
  <si>
    <t>6130004293</t>
  </si>
  <si>
    <t>6130004014</t>
  </si>
  <si>
    <t>6130004222</t>
  </si>
  <si>
    <t>6130004328</t>
  </si>
  <si>
    <t>6130004303</t>
  </si>
  <si>
    <t>6130004335</t>
  </si>
  <si>
    <t>6130004166</t>
  </si>
  <si>
    <t>6130004102</t>
  </si>
  <si>
    <t>6130004279</t>
  </si>
  <si>
    <t>6130004021</t>
  </si>
  <si>
    <t>1028450</t>
  </si>
  <si>
    <t>0307005633</t>
  </si>
  <si>
    <t>0302100011519000007</t>
  </si>
  <si>
    <t>1028255</t>
  </si>
  <si>
    <t>3418100630</t>
  </si>
  <si>
    <t>0329100012819000012</t>
  </si>
  <si>
    <t>[ОКПД2 10.85] Продукты пищевые готовые и блюда</t>
  </si>
  <si>
    <t>3418009251</t>
  </si>
  <si>
    <t>0329100012819000013</t>
  </si>
  <si>
    <t>5036154846</t>
  </si>
  <si>
    <t>0848300062219001169</t>
  </si>
  <si>
    <t>5036070794</t>
  </si>
  <si>
    <t>5024002197</t>
  </si>
  <si>
    <t>0348100080819000029</t>
  </si>
  <si>
    <t>Рузский район</t>
  </si>
  <si>
    <t>770301102095</t>
  </si>
  <si>
    <t>774300703816</t>
  </si>
  <si>
    <t>500401408633</t>
  </si>
  <si>
    <t>0318100009219000013</t>
  </si>
  <si>
    <t>0316100024819000031</t>
  </si>
  <si>
    <t>1433027237</t>
  </si>
  <si>
    <t>3307010117</t>
  </si>
  <si>
    <t>0328100019019000006</t>
  </si>
  <si>
    <t>3017002523</t>
  </si>
  <si>
    <t>0325300002019000052</t>
  </si>
  <si>
    <t>3015004130</t>
  </si>
  <si>
    <t>3015086221</t>
  </si>
  <si>
    <t>2226021221</t>
  </si>
  <si>
    <t>1027981</t>
  </si>
  <si>
    <t>0348100080819000028</t>
  </si>
  <si>
    <t>500400026166</t>
  </si>
  <si>
    <t>6009001232</t>
  </si>
  <si>
    <t>0357100002519000020</t>
  </si>
  <si>
    <t>6009000648</t>
  </si>
  <si>
    <t>0316100024819000030</t>
  </si>
  <si>
    <t>0318100009219000012</t>
  </si>
  <si>
    <t>0369100035019000033</t>
  </si>
  <si>
    <t>6501269451</t>
  </si>
  <si>
    <t>0861100001219000026</t>
  </si>
  <si>
    <t>0369100035019000032</t>
  </si>
  <si>
    <t>0122100014019000007</t>
  </si>
  <si>
    <t>5108900020</t>
  </si>
  <si>
    <t>0149200002319005254</t>
  </si>
  <si>
    <t>Оленегорск</t>
  </si>
  <si>
    <t>519052205679</t>
  </si>
  <si>
    <t>5190927576</t>
  </si>
  <si>
    <t>2103005727</t>
  </si>
  <si>
    <t>0315300159219000138</t>
  </si>
  <si>
    <t>108875</t>
  </si>
  <si>
    <t>0276011698</t>
  </si>
  <si>
    <t>0301100004519000044</t>
  </si>
  <si>
    <t>0278917167</t>
  </si>
  <si>
    <t>0276908030</t>
  </si>
  <si>
    <t>1651020369</t>
  </si>
  <si>
    <t>0311100006219000027</t>
  </si>
  <si>
    <t>1651035767</t>
  </si>
  <si>
    <t>2103006343</t>
  </si>
  <si>
    <t>0315300159219000137</t>
  </si>
  <si>
    <t>0311100006219000028</t>
  </si>
  <si>
    <t>0139100004919000012</t>
  </si>
  <si>
    <t>4205275042</t>
  </si>
  <si>
    <t>0122100014019000008</t>
  </si>
  <si>
    <t>0311100018219000014</t>
  </si>
  <si>
    <t>1608001095</t>
  </si>
  <si>
    <t>0311100023119000014</t>
  </si>
  <si>
    <t>Апастовский район</t>
  </si>
  <si>
    <t>0875100003019000060</t>
  </si>
  <si>
    <t>9203005265</t>
  </si>
  <si>
    <t>0311100023119000015</t>
  </si>
  <si>
    <t>1835037387</t>
  </si>
  <si>
    <t>0813500000119009495</t>
  </si>
  <si>
    <t>1834049301</t>
  </si>
  <si>
    <t>9105008388</t>
  </si>
  <si>
    <t>0875300047619000071</t>
  </si>
  <si>
    <t>Красногвардейский</t>
  </si>
  <si>
    <t>0311100023119000013</t>
  </si>
  <si>
    <t>2809001805</t>
  </si>
  <si>
    <t>0123100004819000013</t>
  </si>
  <si>
    <t>Шимановск</t>
  </si>
  <si>
    <t>280920347666</t>
  </si>
  <si>
    <t>100210613119000035</t>
  </si>
  <si>
    <t>5752018839</t>
  </si>
  <si>
    <t>0154200000719001320</t>
  </si>
  <si>
    <t>0356100005619000031</t>
  </si>
  <si>
    <t>Кизел</t>
  </si>
  <si>
    <t>5921005227</t>
  </si>
  <si>
    <t>5921032100</t>
  </si>
  <si>
    <t>0356300005519000115</t>
  </si>
  <si>
    <t>593403676140</t>
  </si>
  <si>
    <t>5044015638</t>
  </si>
  <si>
    <t>0373200018119000152</t>
  </si>
  <si>
    <t>7707651916</t>
  </si>
  <si>
    <t>7743268346</t>
  </si>
  <si>
    <t>615519782834</t>
  </si>
  <si>
    <t>582937396455</t>
  </si>
  <si>
    <t>5638071474</t>
  </si>
  <si>
    <t>0349100005819000014</t>
  </si>
  <si>
    <t>5118002636</t>
  </si>
  <si>
    <t>1835016228</t>
  </si>
  <si>
    <t>0813500000119009464</t>
  </si>
  <si>
    <t>183111025352</t>
  </si>
  <si>
    <t>1835064729</t>
  </si>
  <si>
    <t>1831174512</t>
  </si>
  <si>
    <t>100148858119000023</t>
  </si>
  <si>
    <t>0323031768</t>
  </si>
  <si>
    <t>20626</t>
  </si>
  <si>
    <t>5905059183</t>
  </si>
  <si>
    <t>0356500003319000311</t>
  </si>
  <si>
    <t>5537005764</t>
  </si>
  <si>
    <t>100213459119000017</t>
  </si>
  <si>
    <t>Тюкалинск</t>
  </si>
  <si>
    <t>3808016102</t>
  </si>
  <si>
    <t>100248778119000052</t>
  </si>
  <si>
    <t>[ОКПД2 33.13] Услуги по ремонту электронного и оптического оборудования, [ОКПД2 95.11] Услуги по ремонту компьютеров и периферийного оборудования</t>
  </si>
  <si>
    <t>1026688</t>
  </si>
  <si>
    <t>20622</t>
  </si>
  <si>
    <t>31908193995</t>
  </si>
  <si>
    <t>31908194985</t>
  </si>
  <si>
    <t>2225003156</t>
  </si>
  <si>
    <t>31908192344</t>
  </si>
  <si>
    <t>31908195294</t>
  </si>
  <si>
    <t>2308034260</t>
  </si>
  <si>
    <t>31908194347</t>
  </si>
  <si>
    <t>31908196306</t>
  </si>
  <si>
    <t>31908195881</t>
  </si>
  <si>
    <t>3435901976</t>
  </si>
  <si>
    <t>31908195879</t>
  </si>
  <si>
    <t>31908194573</t>
  </si>
  <si>
    <t>6501102519</t>
  </si>
  <si>
    <t>31908194643</t>
  </si>
  <si>
    <t>5981000978</t>
  </si>
  <si>
    <t>31908193287</t>
  </si>
  <si>
    <t>31908190603</t>
  </si>
  <si>
    <t>7610038706</t>
  </si>
  <si>
    <t>31908192734</t>
  </si>
  <si>
    <t>5041014474</t>
  </si>
  <si>
    <t>31908193855</t>
  </si>
  <si>
    <t>2302038950</t>
  </si>
  <si>
    <t>31908193823</t>
  </si>
  <si>
    <t>5017048514</t>
  </si>
  <si>
    <t>788735</t>
  </si>
  <si>
    <t>1512008212</t>
  </si>
  <si>
    <t>100176852119000029</t>
  </si>
  <si>
    <t>[ОКПД2 01.13] Овощи и культуры бахчевые, корнеплоды и клубнеплоды, [ОКПД2 71.20] Услуги в области технических испытаний, исследований, анализа и сертификации, [ОКПД2 74.90] Услуги профессиональные, научные и технические, прочие, не включенные в другие группировки</t>
  </si>
  <si>
    <t>4705015973</t>
  </si>
  <si>
    <t>0145300008919000347</t>
  </si>
  <si>
    <t>5610054750</t>
  </si>
  <si>
    <t>0853500000319009072</t>
  </si>
  <si>
    <t>772023717352</t>
  </si>
  <si>
    <t>0864500000219002994</t>
  </si>
  <si>
    <t>0864500000219002995</t>
  </si>
  <si>
    <t>0164100010019000062</t>
  </si>
  <si>
    <t>Петровский район</t>
  </si>
  <si>
    <t>0372200240619000043</t>
  </si>
  <si>
    <t>0348100069819000047</t>
  </si>
  <si>
    <t>0369100035019000031</t>
  </si>
  <si>
    <t>0348100069819000044</t>
  </si>
  <si>
    <t>0380100004719000038</t>
  </si>
  <si>
    <t>190105303450</t>
  </si>
  <si>
    <t>0157000000419000003</t>
  </si>
  <si>
    <t>6012008301</t>
  </si>
  <si>
    <t>0348100069819000045</t>
  </si>
  <si>
    <t>0348100069819000046</t>
  </si>
  <si>
    <t>0164100010019000063</t>
  </si>
  <si>
    <t>2713016367</t>
  </si>
  <si>
    <t>0322200016419000028</t>
  </si>
  <si>
    <t>2713010340</t>
  </si>
  <si>
    <t>0322200016419000021</t>
  </si>
  <si>
    <t>2713010630</t>
  </si>
  <si>
    <t>2502017763</t>
  </si>
  <si>
    <t>0320300087919000012</t>
  </si>
  <si>
    <t>250200152304</t>
  </si>
  <si>
    <t>2536288433</t>
  </si>
  <si>
    <t>250201842607</t>
  </si>
  <si>
    <t>0322200016419000025</t>
  </si>
  <si>
    <t>2713010573</t>
  </si>
  <si>
    <t>0322200016419000023</t>
  </si>
  <si>
    <t>2713010439</t>
  </si>
  <si>
    <t>0322200016419000029</t>
  </si>
  <si>
    <t>2713010679</t>
  </si>
  <si>
    <t>0157000000419000002</t>
  </si>
  <si>
    <t>0322200016419000027</t>
  </si>
  <si>
    <t>2713010735</t>
  </si>
  <si>
    <t>6027113362</t>
  </si>
  <si>
    <t>0357200024119000025</t>
  </si>
  <si>
    <t>6020004685</t>
  </si>
  <si>
    <t>0322200016419000024</t>
  </si>
  <si>
    <t>2713010661</t>
  </si>
  <si>
    <t>0322200016419000019</t>
  </si>
  <si>
    <t>2713010478</t>
  </si>
  <si>
    <t>0322200016419000026</t>
  </si>
  <si>
    <t>2713012010</t>
  </si>
  <si>
    <t>0322200016419000022</t>
  </si>
  <si>
    <t>2713010372</t>
  </si>
  <si>
    <t>0369100035019000030</t>
  </si>
  <si>
    <t>100299174119000014</t>
  </si>
  <si>
    <t>100299174119000015</t>
  </si>
  <si>
    <t>2502018051</t>
  </si>
  <si>
    <t>0320300082819000005</t>
  </si>
  <si>
    <t>250200451600</t>
  </si>
  <si>
    <t>0322200016419000020</t>
  </si>
  <si>
    <t>2713010566</t>
  </si>
  <si>
    <t>0322200016419000017</t>
  </si>
  <si>
    <t>2713011707</t>
  </si>
  <si>
    <t>2901036165</t>
  </si>
  <si>
    <t>0324100007919000050</t>
  </si>
  <si>
    <t>ATOM12081900188</t>
  </si>
  <si>
    <t>0322200016419000016</t>
  </si>
  <si>
    <t>2713010326</t>
  </si>
  <si>
    <t>5024189330</t>
  </si>
  <si>
    <t>788484</t>
  </si>
  <si>
    <t>0322200016419000018</t>
  </si>
  <si>
    <t>2713010407</t>
  </si>
  <si>
    <t>2580859</t>
  </si>
  <si>
    <t>0316100008119000001</t>
  </si>
  <si>
    <t>2457042677</t>
  </si>
  <si>
    <t>0119200000119007282</t>
  </si>
  <si>
    <t>2457058300</t>
  </si>
  <si>
    <t>0369100047419000097</t>
  </si>
  <si>
    <t>0122100003019000085</t>
  </si>
  <si>
    <t>0316100008119000002</t>
  </si>
  <si>
    <t>0369100011119000037</t>
  </si>
  <si>
    <t>0322200016419000011</t>
  </si>
  <si>
    <t>2713010365</t>
  </si>
  <si>
    <t>5042025334</t>
  </si>
  <si>
    <t>0348100041219000063</t>
  </si>
  <si>
    <t>504201290090</t>
  </si>
  <si>
    <t>0322200016419000013</t>
  </si>
  <si>
    <t>2713010693</t>
  </si>
  <si>
    <t>0322200016419000015</t>
  </si>
  <si>
    <t>2713010319</t>
  </si>
  <si>
    <t>0322200016419000012</t>
  </si>
  <si>
    <t>2713010421</t>
  </si>
  <si>
    <t>0322200016419000014</t>
  </si>
  <si>
    <t>2713010485</t>
  </si>
  <si>
    <t>0308100002119000008</t>
  </si>
  <si>
    <t>788441</t>
  </si>
  <si>
    <t>0118100002219000010</t>
  </si>
  <si>
    <t>0369100014019000017</t>
  </si>
  <si>
    <t>5402155123</t>
  </si>
  <si>
    <t>0351200003319002267</t>
  </si>
  <si>
    <t>[ОКПД2 47.74] Услуги по розничной торговле изделиями, применяемыми в медицинских целях, ортопедическими изделиями в специализированных магазинах</t>
  </si>
  <si>
    <t>0351200003319002268</t>
  </si>
  <si>
    <t>1650082475</t>
  </si>
  <si>
    <t>0311200048719000005</t>
  </si>
  <si>
    <t>0349100005819000013</t>
  </si>
  <si>
    <t>Кировск</t>
  </si>
  <si>
    <t>5245009151</t>
  </si>
  <si>
    <t>0332200056919000061</t>
  </si>
  <si>
    <t>5257011268</t>
  </si>
  <si>
    <t>0803300084419000001</t>
  </si>
  <si>
    <t>0544001480</t>
  </si>
  <si>
    <t>Хасавюрт</t>
  </si>
  <si>
    <t>0544001539</t>
  </si>
  <si>
    <t>0544001659</t>
  </si>
  <si>
    <t>0544020475</t>
  </si>
  <si>
    <t>0544020563</t>
  </si>
  <si>
    <t>0544014009</t>
  </si>
  <si>
    <t>0544020588</t>
  </si>
  <si>
    <t>0544020531</t>
  </si>
  <si>
    <t>0544020468</t>
  </si>
  <si>
    <t>0544020482</t>
  </si>
  <si>
    <t>0544020612</t>
  </si>
  <si>
    <t>0544020436</t>
  </si>
  <si>
    <t>0544020595</t>
  </si>
  <si>
    <t>0544020524</t>
  </si>
  <si>
    <t>0544020429</t>
  </si>
  <si>
    <t>0544020549</t>
  </si>
  <si>
    <t>0544001930</t>
  </si>
  <si>
    <t>0544020490</t>
  </si>
  <si>
    <t>0544020570</t>
  </si>
  <si>
    <t>0544011255</t>
  </si>
  <si>
    <t>0544020443</t>
  </si>
  <si>
    <t>5022036426</t>
  </si>
  <si>
    <t>788432</t>
  </si>
  <si>
    <t>[ОКПД2 56.29] Услуги по обеспечению питанием прочие, [ОКПД2 55.10] Услуги гостиниц и аналогичные услуги по предоставлению временного жилья</t>
  </si>
  <si>
    <t>0351200003319002266</t>
  </si>
  <si>
    <t>0122100003019000084</t>
  </si>
  <si>
    <t>0118100002219000009</t>
  </si>
  <si>
    <t>0127100005619000021</t>
  </si>
  <si>
    <t>4100008900</t>
  </si>
  <si>
    <t>0338200010519000049</t>
  </si>
  <si>
    <t>410100605670</t>
  </si>
  <si>
    <t>246512289901</t>
  </si>
  <si>
    <t>280118152501</t>
  </si>
  <si>
    <t>6658511622</t>
  </si>
  <si>
    <t>4100021900</t>
  </si>
  <si>
    <t>7409001736</t>
  </si>
  <si>
    <t>100026667119000018</t>
  </si>
  <si>
    <t>Касли</t>
  </si>
  <si>
    <t>0319100006519000072</t>
  </si>
  <si>
    <t>100273595119000007</t>
  </si>
  <si>
    <t>5932000020</t>
  </si>
  <si>
    <t>0356300043519000047</t>
  </si>
  <si>
    <t>594701106660</t>
  </si>
  <si>
    <t>0319100006519000071</t>
  </si>
  <si>
    <t>100273595119000008</t>
  </si>
  <si>
    <t>100299174119000013</t>
  </si>
  <si>
    <t>4613002501</t>
  </si>
  <si>
    <t>100024124119000019</t>
  </si>
  <si>
    <t>Льгов</t>
  </si>
  <si>
    <t>5920004527</t>
  </si>
  <si>
    <t>0156100006419000011</t>
  </si>
  <si>
    <t>592001098530</t>
  </si>
  <si>
    <t>0127100005619000020</t>
  </si>
  <si>
    <t>100024124119000018</t>
  </si>
  <si>
    <t>2444002229</t>
  </si>
  <si>
    <t>0119200000119007269</t>
  </si>
  <si>
    <t>Боготол</t>
  </si>
  <si>
    <t>241800009774</t>
  </si>
  <si>
    <t>2901080887</t>
  </si>
  <si>
    <t>0124200000619004093</t>
  </si>
  <si>
    <t>2901264235</t>
  </si>
  <si>
    <t>5836010025</t>
  </si>
  <si>
    <t>0155100003519000023</t>
  </si>
  <si>
    <t>6319176105</t>
  </si>
  <si>
    <t>1658071193</t>
  </si>
  <si>
    <t>7713724182</t>
  </si>
  <si>
    <t>100063376119000038</t>
  </si>
  <si>
    <t>4022000837</t>
  </si>
  <si>
    <t>100153458119000018</t>
  </si>
  <si>
    <t>Юхновский район</t>
  </si>
  <si>
    <t>100063376119000037</t>
  </si>
  <si>
    <t>1829008035</t>
  </si>
  <si>
    <t>2580701</t>
  </si>
  <si>
    <t>100063376119000036</t>
  </si>
  <si>
    <t>ATOM12081900088</t>
  </si>
  <si>
    <t>2355004390</t>
  </si>
  <si>
    <t>0318100047919000099</t>
  </si>
  <si>
    <t>2312185801</t>
  </si>
  <si>
    <t>5503031124</t>
  </si>
  <si>
    <t>1024862</t>
  </si>
  <si>
    <t>0369100031319000076</t>
  </si>
  <si>
    <t>3915010257</t>
  </si>
  <si>
    <t>0135300000419000006</t>
  </si>
  <si>
    <t>2712009624</t>
  </si>
  <si>
    <t>0122200002519004964</t>
  </si>
  <si>
    <t>Комсомольский район</t>
  </si>
  <si>
    <t>100153458119000019</t>
  </si>
  <si>
    <t>0306100003319000014</t>
  </si>
  <si>
    <t>5918002755</t>
  </si>
  <si>
    <t>0356100012319000013</t>
  </si>
  <si>
    <t>Лысьва</t>
  </si>
  <si>
    <t>591878536374</t>
  </si>
  <si>
    <t>5918213717</t>
  </si>
  <si>
    <t>0820300000519000005</t>
  </si>
  <si>
    <t>2503020007</t>
  </si>
  <si>
    <t>Большой Камень</t>
  </si>
  <si>
    <t>2503021385</t>
  </si>
  <si>
    <t>2503020543</t>
  </si>
  <si>
    <t>2503020215</t>
  </si>
  <si>
    <t>2503020014</t>
  </si>
  <si>
    <t>2537120730</t>
  </si>
  <si>
    <t>5403131710</t>
  </si>
  <si>
    <t>1024601</t>
  </si>
  <si>
    <t>0122100014019000004</t>
  </si>
  <si>
    <t>2826002446</t>
  </si>
  <si>
    <t>0123100008019000017</t>
  </si>
  <si>
    <t>Сковородинский район</t>
  </si>
  <si>
    <t>788247</t>
  </si>
  <si>
    <t>1024583</t>
  </si>
  <si>
    <t>0140100008219000032</t>
  </si>
  <si>
    <t>0830100001819000007</t>
  </si>
  <si>
    <t>2446004623</t>
  </si>
  <si>
    <t>0119300004719000251</t>
  </si>
  <si>
    <t>0123100008019000018</t>
  </si>
  <si>
    <t>0356100012319000012</t>
  </si>
  <si>
    <t>1650083278</t>
  </si>
  <si>
    <t>0311200048419000004</t>
  </si>
  <si>
    <t>6153008181</t>
  </si>
  <si>
    <t>0158100013919000010</t>
  </si>
  <si>
    <t>615302072331</t>
  </si>
  <si>
    <t>7422000629</t>
  </si>
  <si>
    <t>100286706119000046</t>
  </si>
  <si>
    <t>Озерск</t>
  </si>
  <si>
    <t>1217002566</t>
  </si>
  <si>
    <t>0308100007119000016</t>
  </si>
  <si>
    <t>Козьмодемьянск</t>
  </si>
  <si>
    <t>1202000140</t>
  </si>
  <si>
    <t>7411013880</t>
  </si>
  <si>
    <t>31908189595</t>
  </si>
  <si>
    <t>5610077370</t>
  </si>
  <si>
    <t>31908190550</t>
  </si>
  <si>
    <t>31908190624</t>
  </si>
  <si>
    <t>2462024000</t>
  </si>
  <si>
    <t>31908188337</t>
  </si>
  <si>
    <t>9102028795</t>
  </si>
  <si>
    <t>31908188727</t>
  </si>
  <si>
    <t>31908191710</t>
  </si>
  <si>
    <t>Бежецк</t>
  </si>
  <si>
    <t>7216003180</t>
  </si>
  <si>
    <t>31908190044</t>
  </si>
  <si>
    <t>7320002585</t>
  </si>
  <si>
    <t>31908188788</t>
  </si>
  <si>
    <t>6634007455</t>
  </si>
  <si>
    <t>31908189399</t>
  </si>
  <si>
    <t>31908189552</t>
  </si>
  <si>
    <t>6660003190</t>
  </si>
  <si>
    <t>31908190861</t>
  </si>
  <si>
    <t>31908190499</t>
  </si>
  <si>
    <t>4826052440</t>
  </si>
  <si>
    <t>31908191727</t>
  </si>
  <si>
    <t>[ОКПД2 56.2+] Услуги по поставке продукции общественного питания и обслуживанию торжественных мероприятий и прочие услуги по обеспечению питанием, [ОКВЭД2 56.21] Деятельность предприятий общественного питания по обслуживанию торжественных мероприятий</t>
  </si>
  <si>
    <t>8614002452</t>
  </si>
  <si>
    <t>100304324119000006</t>
  </si>
  <si>
    <t>100304324119000005</t>
  </si>
  <si>
    <t>100304324119000004</t>
  </si>
  <si>
    <t>2724029135</t>
  </si>
  <si>
    <t>31908187987</t>
  </si>
  <si>
    <t>31908188003</t>
  </si>
  <si>
    <t>0354300041519000002</t>
  </si>
  <si>
    <t>2333007983</t>
  </si>
  <si>
    <t>31908187975</t>
  </si>
  <si>
    <t>2308065678</t>
  </si>
  <si>
    <t>31908187979</t>
  </si>
  <si>
    <t>4705016166</t>
  </si>
  <si>
    <t>0145300008919000346</t>
  </si>
  <si>
    <t>470501783809</t>
  </si>
  <si>
    <t>7709295766</t>
  </si>
  <si>
    <t>0373100104319000045</t>
  </si>
  <si>
    <t>5032232437</t>
  </si>
  <si>
    <t>4719016102</t>
  </si>
  <si>
    <t>0145300008919000345</t>
  </si>
  <si>
    <t>470505321298</t>
  </si>
  <si>
    <t>0387100017019000007</t>
  </si>
  <si>
    <t>0122200001019000125</t>
  </si>
  <si>
    <t>2721046693</t>
  </si>
  <si>
    <t>0348100070619000167</t>
  </si>
  <si>
    <t>0373200041519001449</t>
  </si>
  <si>
    <t>9110089390</t>
  </si>
  <si>
    <t>9103010511</t>
  </si>
  <si>
    <t>9103005053</t>
  </si>
  <si>
    <t>9108008361</t>
  </si>
  <si>
    <t>9101005900</t>
  </si>
  <si>
    <t>0319200015819000003</t>
  </si>
  <si>
    <t>0387100017019000008</t>
  </si>
  <si>
    <t>0853500000319008990</t>
  </si>
  <si>
    <t>0271005034</t>
  </si>
  <si>
    <t>0301300451919000153</t>
  </si>
  <si>
    <t>3512003063</t>
  </si>
  <si>
    <t>0330300028119000045</t>
  </si>
  <si>
    <t>Кичменгско-Городецкий район</t>
  </si>
  <si>
    <t>3512004959</t>
  </si>
  <si>
    <t>0348100041219000062</t>
  </si>
  <si>
    <t>0271004425</t>
  </si>
  <si>
    <t>0301300451919000152</t>
  </si>
  <si>
    <t>0348100070619000166</t>
  </si>
  <si>
    <t>7838318838</t>
  </si>
  <si>
    <t>0372100025419000015</t>
  </si>
  <si>
    <t>667109194087</t>
  </si>
  <si>
    <t>7802116115</t>
  </si>
  <si>
    <t>7802203463</t>
  </si>
  <si>
    <t>3512003480</t>
  </si>
  <si>
    <t>0330300028119000044</t>
  </si>
  <si>
    <t>0373200001919000240</t>
  </si>
  <si>
    <t>7733308631</t>
  </si>
  <si>
    <t>7705671018</t>
  </si>
  <si>
    <t>0373200041519001441</t>
  </si>
  <si>
    <t>2301006151</t>
  </si>
  <si>
    <t>2304061320</t>
  </si>
  <si>
    <t>2301010750</t>
  </si>
  <si>
    <t>2317008757</t>
  </si>
  <si>
    <t>6015004601</t>
  </si>
  <si>
    <t>0157100006719000004</t>
  </si>
  <si>
    <t>Печорский район</t>
  </si>
  <si>
    <t>601500625016</t>
  </si>
  <si>
    <t>3015088204</t>
  </si>
  <si>
    <t>0325100011319000026</t>
  </si>
  <si>
    <t>5947000417</t>
  </si>
  <si>
    <t>0356100009119000017</t>
  </si>
  <si>
    <t>0813500000119009407</t>
  </si>
  <si>
    <t>1837006592</t>
  </si>
  <si>
    <t>4345344715</t>
  </si>
  <si>
    <t>1609003190</t>
  </si>
  <si>
    <t>100134496119000013</t>
  </si>
  <si>
    <t>Арский район</t>
  </si>
  <si>
    <t>0111100008319000092</t>
  </si>
  <si>
    <t>[ОКПД2 27.33] Изделия электроустановочные</t>
  </si>
  <si>
    <t>1658181140</t>
  </si>
  <si>
    <t>1101465090</t>
  </si>
  <si>
    <t>0107100003519000276</t>
  </si>
  <si>
    <t>1121025259</t>
  </si>
  <si>
    <t>1101009957</t>
  </si>
  <si>
    <t>6229025341</t>
  </si>
  <si>
    <t>0859300019619000765</t>
  </si>
  <si>
    <t>100305560119000049</t>
  </si>
  <si>
    <t>Кстовский район</t>
  </si>
  <si>
    <t>6004002313</t>
  </si>
  <si>
    <t>0157100005319000020</t>
  </si>
  <si>
    <t>Дедовичский район</t>
  </si>
  <si>
    <t>6004003797</t>
  </si>
  <si>
    <t>0107100003519000275</t>
  </si>
  <si>
    <t>0107100003519000273</t>
  </si>
  <si>
    <t>1101076015</t>
  </si>
  <si>
    <t>1830011561</t>
  </si>
  <si>
    <t>0813500000119009420</t>
  </si>
  <si>
    <t>1103020314</t>
  </si>
  <si>
    <t>0307200003819000055</t>
  </si>
  <si>
    <t>1103012176</t>
  </si>
  <si>
    <t>110300174198</t>
  </si>
  <si>
    <t>6154061491</t>
  </si>
  <si>
    <t>0158300007819000927</t>
  </si>
  <si>
    <t>6154571703</t>
  </si>
  <si>
    <t>615401760949</t>
  </si>
  <si>
    <t>100252233119000014</t>
  </si>
  <si>
    <t>0157100005319000019</t>
  </si>
  <si>
    <t>0330300089619000013</t>
  </si>
  <si>
    <t>351400006721</t>
  </si>
  <si>
    <t>6143013506</t>
  </si>
  <si>
    <t>1023477</t>
  </si>
  <si>
    <t>Волгодонск</t>
  </si>
  <si>
    <t>100134496119000015</t>
  </si>
  <si>
    <t>0859300019619000763</t>
  </si>
  <si>
    <t>100252233119000013</t>
  </si>
  <si>
    <t>100134496119000014</t>
  </si>
  <si>
    <t>0129300016719000263</t>
  </si>
  <si>
    <t>3435106953</t>
  </si>
  <si>
    <t>343501548140</t>
  </si>
  <si>
    <t>100134496119000012</t>
  </si>
  <si>
    <t>5957017353</t>
  </si>
  <si>
    <t>0156100014519000005</t>
  </si>
  <si>
    <t>Куединский район</t>
  </si>
  <si>
    <t>5944002776</t>
  </si>
  <si>
    <t>100252233119000012</t>
  </si>
  <si>
    <t>0348100014119000040</t>
  </si>
  <si>
    <t>0325100011319000027</t>
  </si>
  <si>
    <t>2801032142</t>
  </si>
  <si>
    <t>0123200000319002358</t>
  </si>
  <si>
    <t>2723120776</t>
  </si>
  <si>
    <t>2801159565</t>
  </si>
  <si>
    <t>2801166065</t>
  </si>
  <si>
    <t>0369100013919000023</t>
  </si>
  <si>
    <t>0369100013919000024</t>
  </si>
  <si>
    <t>100252233119000009</t>
  </si>
  <si>
    <t>3514004859</t>
  </si>
  <si>
    <t>0330300148819000019</t>
  </si>
  <si>
    <t>3514006824</t>
  </si>
  <si>
    <t>0356100005619000030</t>
  </si>
  <si>
    <t>0187300007819000175</t>
  </si>
  <si>
    <t>5321101232</t>
  </si>
  <si>
    <t>0150200003919000793</t>
  </si>
  <si>
    <t>0148300040519000074</t>
  </si>
  <si>
    <t>5037002268</t>
  </si>
  <si>
    <t>Протвино</t>
  </si>
  <si>
    <t>5037001183</t>
  </si>
  <si>
    <t>5037001144</t>
  </si>
  <si>
    <t>5037002275</t>
  </si>
  <si>
    <t>5037001296</t>
  </si>
  <si>
    <t>5043028899</t>
  </si>
  <si>
    <t>7704132260</t>
  </si>
  <si>
    <t>504308346274</t>
  </si>
  <si>
    <t>4623001024</t>
  </si>
  <si>
    <t>0144100013019000054</t>
  </si>
  <si>
    <t>Суджанский район</t>
  </si>
  <si>
    <t>5908079068</t>
  </si>
  <si>
    <t>5904365678</t>
  </si>
  <si>
    <t>0255001730</t>
  </si>
  <si>
    <t>0301100004019000007</t>
  </si>
  <si>
    <t>Белебеевский район</t>
  </si>
  <si>
    <t>025507201588</t>
  </si>
  <si>
    <t>5011010507</t>
  </si>
  <si>
    <t>0148100001319000046</t>
  </si>
  <si>
    <t>501105735505</t>
  </si>
  <si>
    <t>0148100001319000045</t>
  </si>
  <si>
    <t>0168100006819000120</t>
  </si>
  <si>
    <t>0137200001219003917</t>
  </si>
  <si>
    <t>4027040488</t>
  </si>
  <si>
    <t>4029051189</t>
  </si>
  <si>
    <t>1022246</t>
  </si>
  <si>
    <t>0848300060619000468</t>
  </si>
  <si>
    <t>8601018945</t>
  </si>
  <si>
    <t>0387200003119000006</t>
  </si>
  <si>
    <t>1022298</t>
  </si>
  <si>
    <t>0140100008219000030</t>
  </si>
  <si>
    <t>0330300166119000018</t>
  </si>
  <si>
    <t>4247001727</t>
  </si>
  <si>
    <t>0339100015919000013</t>
  </si>
  <si>
    <t>Яшкинский район</t>
  </si>
  <si>
    <t>0271005098</t>
  </si>
  <si>
    <t>0301300451919000149</t>
  </si>
  <si>
    <t>0271005073</t>
  </si>
  <si>
    <t>0301300451919000150</t>
  </si>
  <si>
    <t>9111010160</t>
  </si>
  <si>
    <t>0375300036419000131</t>
  </si>
  <si>
    <t>910908277865</t>
  </si>
  <si>
    <t>9111001542</t>
  </si>
  <si>
    <t>1022182</t>
  </si>
  <si>
    <t>0140100008219000029</t>
  </si>
  <si>
    <t>0339100015919000014</t>
  </si>
  <si>
    <t>4247001325</t>
  </si>
  <si>
    <t>2723056425</t>
  </si>
  <si>
    <t>0122200002519004932</t>
  </si>
  <si>
    <t>3306000701</t>
  </si>
  <si>
    <t>0128200000119005094</t>
  </si>
  <si>
    <t>5506038921</t>
  </si>
  <si>
    <t>1021865</t>
  </si>
  <si>
    <t>[ОКПД2 81.29] Услуги по чистке и уборке прочие</t>
  </si>
  <si>
    <t>0137100002519000102</t>
  </si>
  <si>
    <t>0307300050719000230</t>
  </si>
  <si>
    <t>112001627830</t>
  </si>
  <si>
    <t>0137100002519000101</t>
  </si>
  <si>
    <t>0848300060619000466</t>
  </si>
  <si>
    <t>0301100005519000022</t>
  </si>
  <si>
    <t>2534003080</t>
  </si>
  <si>
    <t>0820300004619000004</t>
  </si>
  <si>
    <t>Чугуевский район</t>
  </si>
  <si>
    <t>253401332648</t>
  </si>
  <si>
    <t>31908187825</t>
  </si>
  <si>
    <t>3006006420</t>
  </si>
  <si>
    <t>31908185471</t>
  </si>
  <si>
    <t>5003028148</t>
  </si>
  <si>
    <t>31908187803</t>
  </si>
  <si>
    <t>31908187824</t>
  </si>
  <si>
    <t>3907013279</t>
  </si>
  <si>
    <t>31908187167</t>
  </si>
  <si>
    <t>2462024024</t>
  </si>
  <si>
    <t>31908184143</t>
  </si>
  <si>
    <t>7813045402</t>
  </si>
  <si>
    <t>31908185944</t>
  </si>
  <si>
    <t>31908184375</t>
  </si>
  <si>
    <t>31908185518</t>
  </si>
  <si>
    <t>31908184411</t>
  </si>
  <si>
    <t>31908186993</t>
  </si>
  <si>
    <t>31908187362</t>
  </si>
  <si>
    <t>31908185161</t>
  </si>
  <si>
    <t>7710404473</t>
  </si>
  <si>
    <t>31908187767</t>
  </si>
  <si>
    <t>4501032586</t>
  </si>
  <si>
    <t>31908183174</t>
  </si>
  <si>
    <t>31908187823</t>
  </si>
  <si>
    <t>31908184624</t>
  </si>
  <si>
    <t>31908183194</t>
  </si>
  <si>
    <t>31908194667</t>
  </si>
  <si>
    <t>31908184489</t>
  </si>
  <si>
    <t>31908183585</t>
  </si>
  <si>
    <t>0157000000119000004</t>
  </si>
  <si>
    <t>0120100005819000014</t>
  </si>
  <si>
    <t>6910008933</t>
  </si>
  <si>
    <t>0136300050519000080</t>
  </si>
  <si>
    <t>1654002978</t>
  </si>
  <si>
    <t>0111100009319000033</t>
  </si>
  <si>
    <t>1633006812</t>
  </si>
  <si>
    <t>6910009013</t>
  </si>
  <si>
    <t>0136300050519000081</t>
  </si>
  <si>
    <t>0205003309</t>
  </si>
  <si>
    <t>0301300003919000036</t>
  </si>
  <si>
    <t>Аургазинский район</t>
  </si>
  <si>
    <t>0205006395</t>
  </si>
  <si>
    <t>0111100009319000032</t>
  </si>
  <si>
    <t>РН944555</t>
  </si>
  <si>
    <t>0348100073319000031</t>
  </si>
  <si>
    <t>0205003228</t>
  </si>
  <si>
    <t>0301300003919000030</t>
  </si>
  <si>
    <t>0390100001519000078</t>
  </si>
  <si>
    <t>100301396119000014</t>
  </si>
  <si>
    <t>1832021685</t>
  </si>
  <si>
    <t>0813500000119009360</t>
  </si>
  <si>
    <t>1834015366</t>
  </si>
  <si>
    <t>5074019189</t>
  </si>
  <si>
    <t>787470</t>
  </si>
  <si>
    <t>0205003122</t>
  </si>
  <si>
    <t>0301300003919000032</t>
  </si>
  <si>
    <t>0205003041</t>
  </si>
  <si>
    <t>0301300003919000029</t>
  </si>
  <si>
    <t>0205003281</t>
  </si>
  <si>
    <t>0301300003919000035</t>
  </si>
  <si>
    <t>0205003348</t>
  </si>
  <si>
    <t>0301300003919000034</t>
  </si>
  <si>
    <t>1659005436</t>
  </si>
  <si>
    <t>0311100000919000002</t>
  </si>
  <si>
    <t>1655174634</t>
  </si>
  <si>
    <t>5646008684</t>
  </si>
  <si>
    <t>0853500000319008915</t>
  </si>
  <si>
    <t>5612068967</t>
  </si>
  <si>
    <t>0390100001519000080</t>
  </si>
  <si>
    <t>5505011483</t>
  </si>
  <si>
    <t>0352200011819000100</t>
  </si>
  <si>
    <t>551500220361</t>
  </si>
  <si>
    <t>0205003274</t>
  </si>
  <si>
    <t>0301300003919000028</t>
  </si>
  <si>
    <t>0205002873</t>
  </si>
  <si>
    <t>0301300003919000031</t>
  </si>
  <si>
    <t>0205003115</t>
  </si>
  <si>
    <t>0301300003919000033</t>
  </si>
  <si>
    <t>5610151539</t>
  </si>
  <si>
    <t>0853500000319008901</t>
  </si>
  <si>
    <t>[ОКПД2 26.20] Компьютеры и периферийное оборудование, [ОКПД2 26.40] Техника бытовая электронная</t>
  </si>
  <si>
    <t>0205003066</t>
  </si>
  <si>
    <t>0301300003919000027</t>
  </si>
  <si>
    <t>4322002867</t>
  </si>
  <si>
    <t>0340100015619000022</t>
  </si>
  <si>
    <t>4345317334</t>
  </si>
  <si>
    <t>0121100006519000009</t>
  </si>
  <si>
    <t>0164100010019000058</t>
  </si>
  <si>
    <t>0150200003919000787</t>
  </si>
  <si>
    <t>0164100010019000059</t>
  </si>
  <si>
    <t>2417001307</t>
  </si>
  <si>
    <t>0119100007519000040</t>
  </si>
  <si>
    <t>Большемуртинский район</t>
  </si>
  <si>
    <t>246200276907</t>
  </si>
  <si>
    <t>0164100010019000060</t>
  </si>
  <si>
    <t>0164100010019000061</t>
  </si>
  <si>
    <t>100047959119000008</t>
  </si>
  <si>
    <t>0187300008419000232</t>
  </si>
  <si>
    <t>6646003230</t>
  </si>
  <si>
    <t>0162100013319000003</t>
  </si>
  <si>
    <t>Нижнесергинский район</t>
  </si>
  <si>
    <t>0121100006519000010</t>
  </si>
  <si>
    <t>0340100015619000021</t>
  </si>
  <si>
    <t>0119100007519000041</t>
  </si>
  <si>
    <t>7838482852</t>
  </si>
  <si>
    <t>0172200006919000029</t>
  </si>
  <si>
    <t>7813591391</t>
  </si>
  <si>
    <t>7814357010</t>
  </si>
  <si>
    <t>5407470584</t>
  </si>
  <si>
    <t>7723586767</t>
  </si>
  <si>
    <t>7728467019</t>
  </si>
  <si>
    <t>2455028589</t>
  </si>
  <si>
    <t>0119200000119007194</t>
  </si>
  <si>
    <t>2465152151</t>
  </si>
  <si>
    <t>0256011322</t>
  </si>
  <si>
    <t>0301100021119000010</t>
  </si>
  <si>
    <t>5036034549</t>
  </si>
  <si>
    <t>787395</t>
  </si>
  <si>
    <t>0373200041519001413</t>
  </si>
  <si>
    <t>0140100008219000028</t>
  </si>
  <si>
    <t>0853500000319008890</t>
  </si>
  <si>
    <t>5638073009</t>
  </si>
  <si>
    <t>8610010727</t>
  </si>
  <si>
    <t>17842</t>
  </si>
  <si>
    <t>0140100008219000027</t>
  </si>
  <si>
    <t>РН944374</t>
  </si>
  <si>
    <t>0825300005219000141</t>
  </si>
  <si>
    <t>300800534779</t>
  </si>
  <si>
    <t>2428000351</t>
  </si>
  <si>
    <t>100274729119000043</t>
  </si>
  <si>
    <t>Нижнеингашский район</t>
  </si>
  <si>
    <t>РН944384</t>
  </si>
  <si>
    <t>0137200001219003894</t>
  </si>
  <si>
    <t>4027101540</t>
  </si>
  <si>
    <t>4719004259</t>
  </si>
  <si>
    <t>0145300008919000338</t>
  </si>
  <si>
    <t>165121546500</t>
  </si>
  <si>
    <t>4705016247</t>
  </si>
  <si>
    <t>0145300008919000341</t>
  </si>
  <si>
    <t>7841483750</t>
  </si>
  <si>
    <t>4705011538</t>
  </si>
  <si>
    <t>0145300008919000337</t>
  </si>
  <si>
    <t>4705016230</t>
  </si>
  <si>
    <t>0145300008919000336</t>
  </si>
  <si>
    <t>470521278561</t>
  </si>
  <si>
    <t>4719016085</t>
  </si>
  <si>
    <t>0145300008919000342</t>
  </si>
  <si>
    <t>470500180406</t>
  </si>
  <si>
    <t>ГП908857</t>
  </si>
  <si>
    <t>[ОКПД2 11.01] Напитки алкогольные дистиллированные и ректификованные</t>
  </si>
  <si>
    <t>4719016159</t>
  </si>
  <si>
    <t>0145300008919000339</t>
  </si>
  <si>
    <t>470500117362</t>
  </si>
  <si>
    <t>РН944346</t>
  </si>
  <si>
    <t>0351200013219000300</t>
  </si>
  <si>
    <t>544600244728</t>
  </si>
  <si>
    <t>4719015719</t>
  </si>
  <si>
    <t>0145300008919000340</t>
  </si>
  <si>
    <t>8910002188</t>
  </si>
  <si>
    <t>0190300000719000757</t>
  </si>
  <si>
    <t>8910000303</t>
  </si>
  <si>
    <t>4003005646</t>
  </si>
  <si>
    <t>0337100011119000012</t>
  </si>
  <si>
    <t>402500160624</t>
  </si>
  <si>
    <t>0875300031119000004</t>
  </si>
  <si>
    <t>0190300000719000758</t>
  </si>
  <si>
    <t>0301300451919000147</t>
  </si>
  <si>
    <t>6826000301</t>
  </si>
  <si>
    <t>0164100010219000025</t>
  </si>
  <si>
    <t>Моршанск</t>
  </si>
  <si>
    <t>6826001312</t>
  </si>
  <si>
    <t>100213752119000023</t>
  </si>
  <si>
    <t>8910002220</t>
  </si>
  <si>
    <t>0190300000719000756</t>
  </si>
  <si>
    <t>6167021288</t>
  </si>
  <si>
    <t>100314560119000123</t>
  </si>
  <si>
    <t>2227012935</t>
  </si>
  <si>
    <t>1019858</t>
  </si>
  <si>
    <t>0271005186</t>
  </si>
  <si>
    <t>0301300451919000146</t>
  </si>
  <si>
    <t>4709006592</t>
  </si>
  <si>
    <t>0145300010019000164</t>
  </si>
  <si>
    <t>470901049092</t>
  </si>
  <si>
    <t>6167063344</t>
  </si>
  <si>
    <t>0358100006219000370</t>
  </si>
  <si>
    <t>260805386135</t>
  </si>
  <si>
    <t>780525089979</t>
  </si>
  <si>
    <t>7751043265</t>
  </si>
  <si>
    <t>2635233234</t>
  </si>
  <si>
    <t>252502116480</t>
  </si>
  <si>
    <t>6164107667</t>
  </si>
  <si>
    <t>2605016916</t>
  </si>
  <si>
    <t>2304035601</t>
  </si>
  <si>
    <t>3227004358</t>
  </si>
  <si>
    <t>0327300122019000009</t>
  </si>
  <si>
    <t>Стародубский район</t>
  </si>
  <si>
    <t>3227004037</t>
  </si>
  <si>
    <t>0271005179</t>
  </si>
  <si>
    <t>0301300451919000148</t>
  </si>
  <si>
    <t>3227004510</t>
  </si>
  <si>
    <t>0327300122119000004</t>
  </si>
  <si>
    <t>2919001822</t>
  </si>
  <si>
    <t>0124100005719000007</t>
  </si>
  <si>
    <t>291900003190</t>
  </si>
  <si>
    <t>0164100009719000028</t>
  </si>
  <si>
    <t>0390100001519000077</t>
  </si>
  <si>
    <t>3227004333</t>
  </si>
  <si>
    <t>0327300122519000005</t>
  </si>
  <si>
    <t>0139100008119000024</t>
  </si>
  <si>
    <t>0358100000819000008</t>
  </si>
  <si>
    <t>6168001245</t>
  </si>
  <si>
    <t>0358100009119000072</t>
  </si>
  <si>
    <t>[ОКПД2 26.20] Компьютеры и периферийное оборудование, [ОКПД2 26.11] Компоненты электронные</t>
  </si>
  <si>
    <t>6165112300</t>
  </si>
  <si>
    <t>2225021067</t>
  </si>
  <si>
    <t>1019326</t>
  </si>
  <si>
    <t>2416001840</t>
  </si>
  <si>
    <t>0319100011919000042</t>
  </si>
  <si>
    <t>Ирбейский район</t>
  </si>
  <si>
    <t>245009966617</t>
  </si>
  <si>
    <t>5235002118</t>
  </si>
  <si>
    <t>0132100003919000034</t>
  </si>
  <si>
    <t>5237003565</t>
  </si>
  <si>
    <t>6224000978</t>
  </si>
  <si>
    <t>0859200001119009975</t>
  </si>
  <si>
    <t>Шацкий район</t>
  </si>
  <si>
    <t>6230004748</t>
  </si>
  <si>
    <t>0573009532</t>
  </si>
  <si>
    <t>0103200008419006564</t>
  </si>
  <si>
    <t>[ОКПД2 90.01] Услуги в области исполнительских искусств</t>
  </si>
  <si>
    <t>0390100001519000074</t>
  </si>
  <si>
    <t>0390100001519000076</t>
  </si>
  <si>
    <t>0390100001519000075</t>
  </si>
  <si>
    <t>0132100003919000035</t>
  </si>
  <si>
    <t>0356500002019000303</t>
  </si>
  <si>
    <t>100213752119000022</t>
  </si>
  <si>
    <t>6613002270</t>
  </si>
  <si>
    <t>100045604119000014</t>
  </si>
  <si>
    <t>Камышлов</t>
  </si>
  <si>
    <t>6829012746</t>
  </si>
  <si>
    <t>0864500000219002969</t>
  </si>
  <si>
    <t>6829033577</t>
  </si>
  <si>
    <t>100193308119000011</t>
  </si>
  <si>
    <t>1018710</t>
  </si>
  <si>
    <t>Черняховский район</t>
  </si>
  <si>
    <t>5047054473</t>
  </si>
  <si>
    <t>31908181344</t>
  </si>
  <si>
    <t>31908181022</t>
  </si>
  <si>
    <t>1655018018</t>
  </si>
  <si>
    <t>31908181567</t>
  </si>
  <si>
    <t>[ОКПД2 56.10] Услуги ресторанов и услуги по доставке продуктов питания, [ОКВЭД2 55.10] Деятельность гостиниц и прочих мест для временного проживания</t>
  </si>
  <si>
    <t>31908179925</t>
  </si>
  <si>
    <t>7710016640</t>
  </si>
  <si>
    <t>31908181775</t>
  </si>
  <si>
    <t>[ОКПД2 78.10] Услуги, предоставляемые агентствами по трудоустройству, [ОКПД2 56.29] Услуги по обеспечению питанием прочие, [ОКПД2 78.20] Услуги, предоставляемые агентствами по временному трудоустройству, [ОКВЭД2 78.10] Деятельность агентств по подбору персонала, [ОКВЭД2 56.2+] Деятельность предприятий общественного питания по обслуживанию торжественных мероприятий и прочим видам организации питания, [ОКВЭД2 78.2+] Деятельность агентств по временному трудоустройству</t>
  </si>
  <si>
    <t>7411013961</t>
  </si>
  <si>
    <t>31908179807</t>
  </si>
  <si>
    <t>31908180437</t>
  </si>
  <si>
    <t>6627008754</t>
  </si>
  <si>
    <t>31908181464</t>
  </si>
  <si>
    <t>7812022096</t>
  </si>
  <si>
    <t>31908181541</t>
  </si>
  <si>
    <t>31908180716</t>
  </si>
  <si>
    <t>7217007082</t>
  </si>
  <si>
    <t>31908181817</t>
  </si>
  <si>
    <t>31908181912</t>
  </si>
  <si>
    <t>31908182948</t>
  </si>
  <si>
    <t>31908182781</t>
  </si>
  <si>
    <t>6634007511</t>
  </si>
  <si>
    <t>31908181683</t>
  </si>
  <si>
    <t>31908180854</t>
  </si>
  <si>
    <t>6027010800</t>
  </si>
  <si>
    <t>31908180343</t>
  </si>
  <si>
    <t>6610002842</t>
  </si>
  <si>
    <t>31908180859</t>
  </si>
  <si>
    <t>[ОКПД2 03.12] Рыба и прочая продукция пресноводного рыболовства; услуги, связанные с пресноводным рыболовством, [ОКПД2 10.20] Рыба переработанная и консервированная, ракообразные и моллюски, [ОКВЭД2 10.20] Переработка и консервирование рыбы, ракообразных и моллюсков</t>
  </si>
  <si>
    <t>6832024484</t>
  </si>
  <si>
    <t>31908182695</t>
  </si>
  <si>
    <t>31908181979</t>
  </si>
  <si>
    <t>7701024933</t>
  </si>
  <si>
    <t>31908182787</t>
  </si>
  <si>
    <t>[ОКПД2 33+] Услуги по ремонту и монтажу машин и оборудования, [ОКВЭД2 33+] Ремонт и монтаж машин и оборудования</t>
  </si>
  <si>
    <t>31908179710</t>
  </si>
  <si>
    <t>31908181017</t>
  </si>
  <si>
    <t>31908181041</t>
  </si>
  <si>
    <t>[ОКПД2 56.29] Услуги по обеспечению питанием прочие, [ОКПД2 78.10] Услуги, предоставляемые агентствами по трудоустройству, [ОКПД2 78.20] Услуги, предоставляемые агентствами по временному трудоустройству, [ОКВЭД2 78.10] Деятельность агентств по подбору персонала, [ОКВЭД2 78.2+] Деятельность агентств по временному трудоустройству, [ОКВЭД2 56.2+] Деятельность предприятий общественного питания по обслуживанию торжественных мероприятий и прочим видам организации питания</t>
  </si>
  <si>
    <t>5838019312</t>
  </si>
  <si>
    <t>31908179809</t>
  </si>
  <si>
    <t>7714239823</t>
  </si>
  <si>
    <t>31908181877</t>
  </si>
  <si>
    <t>7536161884</t>
  </si>
  <si>
    <t>0191400000119000091</t>
  </si>
  <si>
    <t>7702181537</t>
  </si>
  <si>
    <t>0373200006019000041</t>
  </si>
  <si>
    <t>7729644246</t>
  </si>
  <si>
    <t>6163049814</t>
  </si>
  <si>
    <t>0158200001319000769</t>
  </si>
  <si>
    <t>6155031796</t>
  </si>
  <si>
    <t>6451124144</t>
  </si>
  <si>
    <t>0860200000819008882</t>
  </si>
  <si>
    <t>645103646990</t>
  </si>
  <si>
    <t>0346300143819000019</t>
  </si>
  <si>
    <t>4808004187</t>
  </si>
  <si>
    <t>4808002126</t>
  </si>
  <si>
    <t>4719016328</t>
  </si>
  <si>
    <t>0145300008919000331</t>
  </si>
  <si>
    <t>4719016198</t>
  </si>
  <si>
    <t>0145300008919000335</t>
  </si>
  <si>
    <t>0332100036419000008</t>
  </si>
  <si>
    <t>4719016173</t>
  </si>
  <si>
    <t>0145300008919000328</t>
  </si>
  <si>
    <t>4705016141</t>
  </si>
  <si>
    <t>0145300008919000314</t>
  </si>
  <si>
    <t>7802656086</t>
  </si>
  <si>
    <t>4719013246</t>
  </si>
  <si>
    <t>0145300008919000321</t>
  </si>
  <si>
    <t>471900245593</t>
  </si>
  <si>
    <t>2623013749</t>
  </si>
  <si>
    <t>0821600002219000130</t>
  </si>
  <si>
    <t>263508395196</t>
  </si>
  <si>
    <t>4719015691</t>
  </si>
  <si>
    <t>0145300008919000325</t>
  </si>
  <si>
    <t>4719022113</t>
  </si>
  <si>
    <t>0145300008919000323</t>
  </si>
  <si>
    <t>4704008606</t>
  </si>
  <si>
    <t>0845300015019000487</t>
  </si>
  <si>
    <t>4704084251</t>
  </si>
  <si>
    <t>4719016367</t>
  </si>
  <si>
    <t>0145300008919000316</t>
  </si>
  <si>
    <t>4719016247</t>
  </si>
  <si>
    <t>0145300008919000319</t>
  </si>
  <si>
    <t>6730079477</t>
  </si>
  <si>
    <t>0163300029419001081</t>
  </si>
  <si>
    <t>4719016134</t>
  </si>
  <si>
    <t>0145300008919000326</t>
  </si>
  <si>
    <t>4719013415</t>
  </si>
  <si>
    <t>0145300008919000322</t>
  </si>
  <si>
    <t>0845300015019000485</t>
  </si>
  <si>
    <t>4704045100</t>
  </si>
  <si>
    <t>4704040487</t>
  </si>
  <si>
    <t>4719016310</t>
  </si>
  <si>
    <t>0145300008919000334</t>
  </si>
  <si>
    <t>4719016127</t>
  </si>
  <si>
    <t>0145300008919000324</t>
  </si>
  <si>
    <t>6729008471</t>
  </si>
  <si>
    <t>0163300029419001080</t>
  </si>
  <si>
    <t>0813500000119009274</t>
  </si>
  <si>
    <t>4719022152</t>
  </si>
  <si>
    <t>0145300008919000333</t>
  </si>
  <si>
    <t>4719016141</t>
  </si>
  <si>
    <t>0145300008919000315</t>
  </si>
  <si>
    <t>471902321715</t>
  </si>
  <si>
    <t>4719016014</t>
  </si>
  <si>
    <t>0145300008919000318</t>
  </si>
  <si>
    <t>4719010414</t>
  </si>
  <si>
    <t>0145300008919000327</t>
  </si>
  <si>
    <t>471906258246</t>
  </si>
  <si>
    <t>4719004160</t>
  </si>
  <si>
    <t>0145300008919000330</t>
  </si>
  <si>
    <t>4719016744</t>
  </si>
  <si>
    <t>0145300008919000317</t>
  </si>
  <si>
    <t>4719016092</t>
  </si>
  <si>
    <t>0145300008919000320</t>
  </si>
  <si>
    <t>4719015437</t>
  </si>
  <si>
    <t>0145300008919000329</t>
  </si>
  <si>
    <t>470501771465</t>
  </si>
  <si>
    <t>0255006739</t>
  </si>
  <si>
    <t>0301300250419000016</t>
  </si>
  <si>
    <t>Белебей</t>
  </si>
  <si>
    <t>0255021092</t>
  </si>
  <si>
    <t>7536093338</t>
  </si>
  <si>
    <t>0391100018919000130</t>
  </si>
  <si>
    <t>2457022134</t>
  </si>
  <si>
    <t>0119200000119007174</t>
  </si>
  <si>
    <t>2609007983</t>
  </si>
  <si>
    <t>0321100001519000017</t>
  </si>
  <si>
    <t>260902794394</t>
  </si>
  <si>
    <t>6320004573</t>
  </si>
  <si>
    <t>0142200001319012337</t>
  </si>
  <si>
    <t>6321300649</t>
  </si>
  <si>
    <t>0145300008919000311</t>
  </si>
  <si>
    <t>1639059306</t>
  </si>
  <si>
    <t>0111300039719000070</t>
  </si>
  <si>
    <t>Тукаевский район</t>
  </si>
  <si>
    <t>4705016310</t>
  </si>
  <si>
    <t>0145300008919000313</t>
  </si>
  <si>
    <t>0848300047219000515</t>
  </si>
  <si>
    <t>5024008960</t>
  </si>
  <si>
    <t>5020074850</t>
  </si>
  <si>
    <t>5260368412</t>
  </si>
  <si>
    <t>0132300007519000590</t>
  </si>
  <si>
    <t>5250018306</t>
  </si>
  <si>
    <t>5005002160</t>
  </si>
  <si>
    <t>0348100064319000018</t>
  </si>
  <si>
    <t>5005013080</t>
  </si>
  <si>
    <t>5005037613</t>
  </si>
  <si>
    <t>4705016014</t>
  </si>
  <si>
    <t>0145300008919000312</t>
  </si>
  <si>
    <t>470501712325</t>
  </si>
  <si>
    <t>5921010756</t>
  </si>
  <si>
    <t>0356300197319000006</t>
  </si>
  <si>
    <t>592101581518</t>
  </si>
  <si>
    <t>4824032390</t>
  </si>
  <si>
    <t>0146100003819000037</t>
  </si>
  <si>
    <t>481306530577</t>
  </si>
  <si>
    <t>1834300370</t>
  </si>
  <si>
    <t>0813500000119009245</t>
  </si>
  <si>
    <t>6731031686</t>
  </si>
  <si>
    <t>0163300029419001079</t>
  </si>
  <si>
    <t>0145300008919000310</t>
  </si>
  <si>
    <t>0107100003519000264</t>
  </si>
  <si>
    <t>0164100010019000056</t>
  </si>
  <si>
    <t>2020003571</t>
  </si>
  <si>
    <t>31908177486</t>
  </si>
  <si>
    <t>6137002930</t>
  </si>
  <si>
    <t>1018355</t>
  </si>
  <si>
    <t>0240004778</t>
  </si>
  <si>
    <t>0301300406819000002</t>
  </si>
  <si>
    <t>Салаватский район</t>
  </si>
  <si>
    <t>5933180625</t>
  </si>
  <si>
    <t>0156300044519000115</t>
  </si>
  <si>
    <t>6729011604</t>
  </si>
  <si>
    <t>0163300029419001077</t>
  </si>
  <si>
    <t>2438300940</t>
  </si>
  <si>
    <t>0319300293719000006</t>
  </si>
  <si>
    <t>Тюхтетский район</t>
  </si>
  <si>
    <t>542206175039</t>
  </si>
  <si>
    <t>2461007153</t>
  </si>
  <si>
    <t>5078002732</t>
  </si>
  <si>
    <t>0848300060619000463</t>
  </si>
  <si>
    <t>100261702119000019</t>
  </si>
  <si>
    <t>Мелеуз</t>
  </si>
  <si>
    <t>6508004180</t>
  </si>
  <si>
    <t>0161100006819000032</t>
  </si>
  <si>
    <t>Углегорск</t>
  </si>
  <si>
    <t>650801033341</t>
  </si>
  <si>
    <t>0330100001019000012</t>
  </si>
  <si>
    <t>0326509435</t>
  </si>
  <si>
    <t>0102200001619003398</t>
  </si>
  <si>
    <t>0326508978</t>
  </si>
  <si>
    <t>0323366926</t>
  </si>
  <si>
    <t>3849058038</t>
  </si>
  <si>
    <t>2724137469</t>
  </si>
  <si>
    <t>6106002979</t>
  </si>
  <si>
    <t>100083112119000005</t>
  </si>
  <si>
    <t>Веселовский район</t>
  </si>
  <si>
    <t>100261702119000020</t>
  </si>
  <si>
    <t>0161100006819000031</t>
  </si>
  <si>
    <t>6730020850</t>
  </si>
  <si>
    <t>0163300029419001076</t>
  </si>
  <si>
    <t>0164100009719000027</t>
  </si>
  <si>
    <t>0330100001019000011</t>
  </si>
  <si>
    <t>0322200009119000068</t>
  </si>
  <si>
    <t>2703003880</t>
  </si>
  <si>
    <t>0107100003519000263</t>
  </si>
  <si>
    <t>0851200000619004529</t>
  </si>
  <si>
    <t>7723324105</t>
  </si>
  <si>
    <t>0373200041119001045</t>
  </si>
  <si>
    <t>503810947906</t>
  </si>
  <si>
    <t>7703727593</t>
  </si>
  <si>
    <t>344801071491</t>
  </si>
  <si>
    <t>4703135591</t>
  </si>
  <si>
    <t>0145300005219000409</t>
  </si>
  <si>
    <t>Сертолово</t>
  </si>
  <si>
    <t>0321200030019000081</t>
  </si>
  <si>
    <t>2636024339</t>
  </si>
  <si>
    <t>0849400000219000114</t>
  </si>
  <si>
    <t>5036128980</t>
  </si>
  <si>
    <t>786856</t>
  </si>
  <si>
    <t>0164100010019000055</t>
  </si>
  <si>
    <t>4346001911</t>
  </si>
  <si>
    <t>0340200003319010773</t>
  </si>
  <si>
    <t>4345407588</t>
  </si>
  <si>
    <t>4345028710</t>
  </si>
  <si>
    <t>0190200000319008877</t>
  </si>
  <si>
    <t>890103349949</t>
  </si>
  <si>
    <t>0849400000219000113</t>
  </si>
  <si>
    <t>5310021673</t>
  </si>
  <si>
    <t>100175450119000013</t>
  </si>
  <si>
    <t>2601003722</t>
  </si>
  <si>
    <t>0121100005119000035</t>
  </si>
  <si>
    <t>2601008174</t>
  </si>
  <si>
    <t>6730020804</t>
  </si>
  <si>
    <t>0163300029419001074</t>
  </si>
  <si>
    <t>6103005160</t>
  </si>
  <si>
    <t>0358300060319000006</t>
  </si>
  <si>
    <t>6102039015</t>
  </si>
  <si>
    <t>615015207948</t>
  </si>
  <si>
    <t>6731031870</t>
  </si>
  <si>
    <t>0163300029419001073</t>
  </si>
  <si>
    <t>0321100001519000016</t>
  </si>
  <si>
    <t>7723040720</t>
  </si>
  <si>
    <t>0373200094019000046</t>
  </si>
  <si>
    <t>7723653893</t>
  </si>
  <si>
    <t>7728888962</t>
  </si>
  <si>
    <t>7723875649</t>
  </si>
  <si>
    <t>9723068769</t>
  </si>
  <si>
    <t>7735151873</t>
  </si>
  <si>
    <t>7719475616</t>
  </si>
  <si>
    <t>7722464580</t>
  </si>
  <si>
    <t>7726760340</t>
  </si>
  <si>
    <t>5047217978</t>
  </si>
  <si>
    <t>771319589330</t>
  </si>
  <si>
    <t>7716725032</t>
  </si>
  <si>
    <t>7721559951</t>
  </si>
  <si>
    <t>7716909135</t>
  </si>
  <si>
    <t>7724686490</t>
  </si>
  <si>
    <t>0140100008219000026</t>
  </si>
  <si>
    <t>0121100005119000034</t>
  </si>
  <si>
    <t>2457023868</t>
  </si>
  <si>
    <t>0119200000119007164</t>
  </si>
  <si>
    <t>0311100023319000013</t>
  </si>
  <si>
    <t>7618002050</t>
  </si>
  <si>
    <t>0371300006219000007</t>
  </si>
  <si>
    <t>Любимский район</t>
  </si>
  <si>
    <t>7618000905</t>
  </si>
  <si>
    <t>1655242997</t>
  </si>
  <si>
    <t>0311200053819000006</t>
  </si>
  <si>
    <t>Анапский район</t>
  </si>
  <si>
    <t>165915533653</t>
  </si>
  <si>
    <t>0127100010019000033</t>
  </si>
  <si>
    <t>3436014247</t>
  </si>
  <si>
    <t>0329100014419000024</t>
  </si>
  <si>
    <t>0140100008219000025</t>
  </si>
  <si>
    <t>0251006128</t>
  </si>
  <si>
    <t>0801300011419000044</t>
  </si>
  <si>
    <t>Шаранский район</t>
  </si>
  <si>
    <t>860200421849</t>
  </si>
  <si>
    <t>0251004025</t>
  </si>
  <si>
    <t>0801300011419000043</t>
  </si>
  <si>
    <t>5940307294</t>
  </si>
  <si>
    <t>0156300057719000067</t>
  </si>
  <si>
    <t>591700001010</t>
  </si>
  <si>
    <t>0369100013819000023</t>
  </si>
  <si>
    <t>5838005006</t>
  </si>
  <si>
    <t>0355300131119000003</t>
  </si>
  <si>
    <t>5838000791</t>
  </si>
  <si>
    <t>0169300000119001825</t>
  </si>
  <si>
    <t>7453318570</t>
  </si>
  <si>
    <t>7453045436</t>
  </si>
  <si>
    <t>7449034463</t>
  </si>
  <si>
    <t>7447032750</t>
  </si>
  <si>
    <t>7451053985</t>
  </si>
  <si>
    <t>7448026886</t>
  </si>
  <si>
    <t>6729009059</t>
  </si>
  <si>
    <t>0163300029419001071</t>
  </si>
  <si>
    <t>100310279119000015</t>
  </si>
  <si>
    <t>100131620119000043</t>
  </si>
  <si>
    <t>0306200010219000452</t>
  </si>
  <si>
    <t>786619</t>
  </si>
  <si>
    <t>100310279119000014</t>
  </si>
  <si>
    <t>100175450119000012</t>
  </si>
  <si>
    <t>100131620119000042</t>
  </si>
  <si>
    <t>0127100010019000032</t>
  </si>
  <si>
    <t>322402544037</t>
  </si>
  <si>
    <t>6715001356</t>
  </si>
  <si>
    <t>0163200000319005693</t>
  </si>
  <si>
    <t>Сычевский район</t>
  </si>
  <si>
    <t>673101014581</t>
  </si>
  <si>
    <t>5904100537</t>
  </si>
  <si>
    <t>0256100000219000212</t>
  </si>
  <si>
    <t>2511038304</t>
  </si>
  <si>
    <t>0320300008819000002</t>
  </si>
  <si>
    <t>0891200000619008812</t>
  </si>
  <si>
    <t>752400484583</t>
  </si>
  <si>
    <t>0851200000619004509</t>
  </si>
  <si>
    <t>5433964357</t>
  </si>
  <si>
    <t>0158100011619000016</t>
  </si>
  <si>
    <t>0851200000619004508</t>
  </si>
  <si>
    <t>4305001239</t>
  </si>
  <si>
    <t>0340100013719000029</t>
  </si>
  <si>
    <t>4345114888</t>
  </si>
  <si>
    <t>0848300060619000461</t>
  </si>
  <si>
    <t>1016373</t>
  </si>
  <si>
    <t>1016296</t>
  </si>
  <si>
    <t>5950002291</t>
  </si>
  <si>
    <t>31908177000</t>
  </si>
  <si>
    <t>6501113006</t>
  </si>
  <si>
    <t>31908175620</t>
  </si>
  <si>
    <t>5032026138</t>
  </si>
  <si>
    <t>31908178456</t>
  </si>
  <si>
    <t>31908178231</t>
  </si>
  <si>
    <t>5950001146</t>
  </si>
  <si>
    <t>31908176746</t>
  </si>
  <si>
    <t>7208001253</t>
  </si>
  <si>
    <t>31908176000</t>
  </si>
  <si>
    <t>2128024506</t>
  </si>
  <si>
    <t>31908177499</t>
  </si>
  <si>
    <t>31908176004</t>
  </si>
  <si>
    <t>31908177723</t>
  </si>
  <si>
    <t>7816009843</t>
  </si>
  <si>
    <t>31908177869</t>
  </si>
  <si>
    <t>[ОКПД2 55.90] Услуги по предоставлению временного жилья прочие, [ОКПД2 56.29] Услуги по обеспечению питанием прочие, [ОКВЭД2 55.90] Деятельность по предоставлению прочих мест для временного проживания, [ОКВЭД2 56.29] Деятельность предприятий общественного питания по прочим видам организации питания</t>
  </si>
  <si>
    <t>7610040656</t>
  </si>
  <si>
    <t>31908174751</t>
  </si>
  <si>
    <t>31908177553</t>
  </si>
  <si>
    <t>6660018453</t>
  </si>
  <si>
    <t>31908176378</t>
  </si>
  <si>
    <t>31908177672</t>
  </si>
  <si>
    <t>31908174422</t>
  </si>
  <si>
    <t>31908175852</t>
  </si>
  <si>
    <t>3435124536</t>
  </si>
  <si>
    <t>31908176936</t>
  </si>
  <si>
    <t>31908176985</t>
  </si>
  <si>
    <t>5043013003</t>
  </si>
  <si>
    <t>31908175805</t>
  </si>
  <si>
    <t>7223009352</t>
  </si>
  <si>
    <t>31908177038</t>
  </si>
  <si>
    <t>31908178410</t>
  </si>
  <si>
    <t>[ОКПД2 85.41] Услуги по дополнительному образованию детей и взрослых, [ОКВЭД2 85.41] Образование дополнительное детей и взрослых</t>
  </si>
  <si>
    <t>31908175490</t>
  </si>
  <si>
    <t>31908176953</t>
  </si>
  <si>
    <t>7610040631</t>
  </si>
  <si>
    <t>31908174826</t>
  </si>
  <si>
    <t>7220003754</t>
  </si>
  <si>
    <t>31908174884</t>
  </si>
  <si>
    <t>31908175191</t>
  </si>
  <si>
    <t>31908176205</t>
  </si>
  <si>
    <t>0311100007819000003</t>
  </si>
  <si>
    <t>2610006173</t>
  </si>
  <si>
    <t>0121100003419000041</t>
  </si>
  <si>
    <t>Кочубеевский район</t>
  </si>
  <si>
    <t>261000092409</t>
  </si>
  <si>
    <t>0134100012919000013</t>
  </si>
  <si>
    <t>253401050668</t>
  </si>
  <si>
    <t>6455020996</t>
  </si>
  <si>
    <t>0860200000819008779</t>
  </si>
  <si>
    <t>6455025056</t>
  </si>
  <si>
    <t>0136100012519000049</t>
  </si>
  <si>
    <t>692800048993</t>
  </si>
  <si>
    <t>1326192116</t>
  </si>
  <si>
    <t>0109100007019000030</t>
  </si>
  <si>
    <t>1324135610</t>
  </si>
  <si>
    <t>0373200041519001382</t>
  </si>
  <si>
    <t>4704035180</t>
  </si>
  <si>
    <t>0845300015019000480</t>
  </si>
  <si>
    <t>3507009863</t>
  </si>
  <si>
    <t>0330300051919000077</t>
  </si>
  <si>
    <t>Вологодский район</t>
  </si>
  <si>
    <t>350701184606</t>
  </si>
  <si>
    <t>352502605606</t>
  </si>
  <si>
    <t>2711001076</t>
  </si>
  <si>
    <t>0122100012219000019</t>
  </si>
  <si>
    <t>272700077002</t>
  </si>
  <si>
    <t>8612009220</t>
  </si>
  <si>
    <t>0187300019419000109</t>
  </si>
  <si>
    <t>Пыть-Ях</t>
  </si>
  <si>
    <t>8612009639</t>
  </si>
  <si>
    <t>6625011945</t>
  </si>
  <si>
    <t>0162200011819002157</t>
  </si>
  <si>
    <t>6625004722</t>
  </si>
  <si>
    <t>1650085081</t>
  </si>
  <si>
    <t>0111300000819000953</t>
  </si>
  <si>
    <t>[ОКПД2 79.90] Услуги по бронированию и взаимосвязанные услуги прочие</t>
  </si>
  <si>
    <t>1650294945</t>
  </si>
  <si>
    <t>1646006591</t>
  </si>
  <si>
    <t>0311100009519000018</t>
  </si>
  <si>
    <t>Елабужский район</t>
  </si>
  <si>
    <t>1660300891</t>
  </si>
  <si>
    <t>6230099958</t>
  </si>
  <si>
    <t>100082437119000022</t>
  </si>
  <si>
    <t>0123200000319002324</t>
  </si>
  <si>
    <t>5036034732</t>
  </si>
  <si>
    <t>786324</t>
  </si>
  <si>
    <t>6729012527</t>
  </si>
  <si>
    <t>0163300029419001064</t>
  </si>
  <si>
    <t>0321100003619000026</t>
  </si>
  <si>
    <t>0132100004319000031</t>
  </si>
  <si>
    <t>3507009550</t>
  </si>
  <si>
    <t>0330300051919000078</t>
  </si>
  <si>
    <t>352513177568</t>
  </si>
  <si>
    <t>352505747045</t>
  </si>
  <si>
    <t>4101177322</t>
  </si>
  <si>
    <t>0138400000119000046</t>
  </si>
  <si>
    <t>0813500000119009174</t>
  </si>
  <si>
    <t>434600881189</t>
  </si>
  <si>
    <t>1841072630</t>
  </si>
  <si>
    <t>6731031848</t>
  </si>
  <si>
    <t>0163300029419001062</t>
  </si>
  <si>
    <t>7416001712</t>
  </si>
  <si>
    <t>0369100027819000009</t>
  </si>
  <si>
    <t>741600896265</t>
  </si>
  <si>
    <t>6147021473</t>
  </si>
  <si>
    <t>100005128119000037</t>
  </si>
  <si>
    <t>7327084587</t>
  </si>
  <si>
    <t>100213452119000019</t>
  </si>
  <si>
    <t>100213452119000021</t>
  </si>
  <si>
    <t>100005128119000036</t>
  </si>
  <si>
    <t>6729008520</t>
  </si>
  <si>
    <t>0163300029419001063</t>
  </si>
  <si>
    <t>100082437119000021</t>
  </si>
  <si>
    <t>0156100006419000010</t>
  </si>
  <si>
    <t>0369100027819000010</t>
  </si>
  <si>
    <t>0136200003619004778</t>
  </si>
  <si>
    <t>6950017821</t>
  </si>
  <si>
    <t>9111013097</t>
  </si>
  <si>
    <t>0375100002019000015</t>
  </si>
  <si>
    <t>0271000741</t>
  </si>
  <si>
    <t>100306304119000029</t>
  </si>
  <si>
    <t>6729008489</t>
  </si>
  <si>
    <t>0163300029419001061</t>
  </si>
  <si>
    <t>4025442583</t>
  </si>
  <si>
    <t>ATOM06081900180</t>
  </si>
  <si>
    <t>100306304119000026</t>
  </si>
  <si>
    <t>6731031661</t>
  </si>
  <si>
    <t>0163300029419001059</t>
  </si>
  <si>
    <t>0301300451919000142</t>
  </si>
  <si>
    <t>100306304119000028</t>
  </si>
  <si>
    <t>5050031846</t>
  </si>
  <si>
    <t>786194</t>
  </si>
  <si>
    <t>7701117909</t>
  </si>
  <si>
    <t>0373200138219000674</t>
  </si>
  <si>
    <t>0169300000119001818</t>
  </si>
  <si>
    <t>7449017429</t>
  </si>
  <si>
    <t>7450024710</t>
  </si>
  <si>
    <t>7017297271</t>
  </si>
  <si>
    <t>1015046</t>
  </si>
  <si>
    <t>4324003270</t>
  </si>
  <si>
    <t>0140100010719000039</t>
  </si>
  <si>
    <t>Оричевский район</t>
  </si>
  <si>
    <t>4324006176</t>
  </si>
  <si>
    <t>0318300402419000054</t>
  </si>
  <si>
    <t>6731032070</t>
  </si>
  <si>
    <t>0163300029419001057</t>
  </si>
  <si>
    <t>0318200077919000039</t>
  </si>
  <si>
    <t>6731019142</t>
  </si>
  <si>
    <t>0163300029419001056</t>
  </si>
  <si>
    <t>0126100007419000016</t>
  </si>
  <si>
    <t>0315300159219000132</t>
  </si>
  <si>
    <t>0311100015819000006</t>
  </si>
  <si>
    <t>1644014325</t>
  </si>
  <si>
    <t>0315300159219000133</t>
  </si>
  <si>
    <t>0117100023119000006</t>
  </si>
  <si>
    <t>4709004997</t>
  </si>
  <si>
    <t>0145300010019000163</t>
  </si>
  <si>
    <t>Лодейное Поле</t>
  </si>
  <si>
    <t>0869100000619000021</t>
  </si>
  <si>
    <t>745207907590</t>
  </si>
  <si>
    <t>4405001867</t>
  </si>
  <si>
    <t>0141100004419000001</t>
  </si>
  <si>
    <t>2511036466</t>
  </si>
  <si>
    <t>0320300010619000006</t>
  </si>
  <si>
    <t>251106633309</t>
  </si>
  <si>
    <t>0373200041519001377</t>
  </si>
  <si>
    <t>7111004275</t>
  </si>
  <si>
    <t>5019024477</t>
  </si>
  <si>
    <t>6231037506</t>
  </si>
  <si>
    <t>0391100018919000127</t>
  </si>
  <si>
    <t>3127012820</t>
  </si>
  <si>
    <t>0826300018019000005</t>
  </si>
  <si>
    <t>[ОКПД2 10.41] Масла и жиры, [ОКПД2 10.73] Изделия макаронные, кускус и аналогичные мучные изделия, [ОКПД2 10.51] Молоко и молочная продукция, [ОКПД2 08.93] Соль и хлорид натрия чистый, вода морская, [ОКПД2 10.13] Продукция мясная пищевая, в том числе из мяса птицы, [ОКПД2 10.20] Рыба переработанная и консервированная, ракообразные и моллюски, [ОКПД2 10.32] Продукция соковая из фруктов и овощей, [ОКПД2 10.71] Изделия хлебобулочные; мучные кондитерские изделия, торты и пирожные недлительного хранения, [ОКПД2 10.81] Сахар, [ОКПД2 10.61] Продукция мукомольно-крупяного производства, [ОКПД2 10.83] Чай и кофе обработанные</t>
  </si>
  <si>
    <t>3127507855</t>
  </si>
  <si>
    <t>3127505110</t>
  </si>
  <si>
    <t>4632084732</t>
  </si>
  <si>
    <t>0869100000619000020</t>
  </si>
  <si>
    <t>0362100002519000006</t>
  </si>
  <si>
    <t>ATOM06081900070</t>
  </si>
  <si>
    <t>0168100003419000021</t>
  </si>
  <si>
    <t>7329015148</t>
  </si>
  <si>
    <t>0348300016219000189</t>
  </si>
  <si>
    <t>0126100007419000015</t>
  </si>
  <si>
    <t>0329100014419000023</t>
  </si>
  <si>
    <t>0140100008219000024</t>
  </si>
  <si>
    <t>4816002419</t>
  </si>
  <si>
    <t>0146100000819000001</t>
  </si>
  <si>
    <t>4816000517</t>
  </si>
  <si>
    <t>0809500000319001698</t>
  </si>
  <si>
    <t>1303046750</t>
  </si>
  <si>
    <t>Атяшевский район</t>
  </si>
  <si>
    <t>1301060541</t>
  </si>
  <si>
    <t>1326043499</t>
  </si>
  <si>
    <t>332806026277</t>
  </si>
  <si>
    <t>1327011683</t>
  </si>
  <si>
    <t>1324003042</t>
  </si>
  <si>
    <t>0256007527</t>
  </si>
  <si>
    <t>0301200059519000005</t>
  </si>
  <si>
    <t>5014003138</t>
  </si>
  <si>
    <t>0348100088219000019</t>
  </si>
  <si>
    <t>503300061934</t>
  </si>
  <si>
    <t>0122100012219000017</t>
  </si>
  <si>
    <t>5940306879</t>
  </si>
  <si>
    <t>0156300057719000066</t>
  </si>
  <si>
    <t>0144100012119000009</t>
  </si>
  <si>
    <t>0122100012219000018</t>
  </si>
  <si>
    <t>4223715641</t>
  </si>
  <si>
    <t>0339100028419000024</t>
  </si>
  <si>
    <t>Прокопьевск</t>
  </si>
  <si>
    <t>4821021512</t>
  </si>
  <si>
    <t>0146300028319000008</t>
  </si>
  <si>
    <t>4821022851</t>
  </si>
  <si>
    <t>482103487896</t>
  </si>
  <si>
    <t>0827100000219000022</t>
  </si>
  <si>
    <t>3257047863</t>
  </si>
  <si>
    <t>2540019970</t>
  </si>
  <si>
    <t>0120100010319000085</t>
  </si>
  <si>
    <t>2509081800</t>
  </si>
  <si>
    <t>2340006934</t>
  </si>
  <si>
    <t>0318200071319000225</t>
  </si>
  <si>
    <t>Кущевский район</t>
  </si>
  <si>
    <t>2323021097</t>
  </si>
  <si>
    <t>7718752433</t>
  </si>
  <si>
    <t>5244012200</t>
  </si>
  <si>
    <t>0832200006619001200</t>
  </si>
  <si>
    <t>100073387119000004</t>
  </si>
  <si>
    <t>100073387119000003</t>
  </si>
  <si>
    <t>6501026071</t>
  </si>
  <si>
    <t>0361300026319000030</t>
  </si>
  <si>
    <t>6501038479</t>
  </si>
  <si>
    <t>2464035663</t>
  </si>
  <si>
    <t>31908170424</t>
  </si>
  <si>
    <t>31908172624</t>
  </si>
  <si>
    <t>7731644035</t>
  </si>
  <si>
    <t>31908171403</t>
  </si>
  <si>
    <t>31908172826</t>
  </si>
  <si>
    <t>31908173406</t>
  </si>
  <si>
    <t>31908171068</t>
  </si>
  <si>
    <t>31908170957</t>
  </si>
  <si>
    <t>31908170384</t>
  </si>
  <si>
    <t>31908172053</t>
  </si>
  <si>
    <t>31908174232</t>
  </si>
  <si>
    <t>31908171372</t>
  </si>
  <si>
    <t>31908173515</t>
  </si>
  <si>
    <t>Тобольский район</t>
  </si>
  <si>
    <t>31908172557</t>
  </si>
  <si>
    <t>5948045114</t>
  </si>
  <si>
    <t>31908172310</t>
  </si>
  <si>
    <t>31908170365</t>
  </si>
  <si>
    <t>31908173510</t>
  </si>
  <si>
    <t>31908172945</t>
  </si>
  <si>
    <t>2922005231</t>
  </si>
  <si>
    <t>31908171496</t>
  </si>
  <si>
    <t>2019-737108</t>
  </si>
  <si>
    <t>31908173266</t>
  </si>
  <si>
    <t>31908171044</t>
  </si>
  <si>
    <t>31908172727</t>
  </si>
  <si>
    <t>7203208335</t>
  </si>
  <si>
    <t>31908170833</t>
  </si>
  <si>
    <t>6832024653</t>
  </si>
  <si>
    <t>31908171499</t>
  </si>
  <si>
    <t>31908171511</t>
  </si>
  <si>
    <t>1805004095</t>
  </si>
  <si>
    <t>31908171096</t>
  </si>
  <si>
    <t>31908170915</t>
  </si>
  <si>
    <t>6647000922</t>
  </si>
  <si>
    <t>31908170967</t>
  </si>
  <si>
    <t>РН932275</t>
  </si>
  <si>
    <t>0156100007819000100</t>
  </si>
  <si>
    <t>785807</t>
  </si>
  <si>
    <t>0130100007319000031</t>
  </si>
  <si>
    <t>4501043651</t>
  </si>
  <si>
    <t>0843500000219002168</t>
  </si>
  <si>
    <t>0143200000919000009</t>
  </si>
  <si>
    <t>0169300000119001803</t>
  </si>
  <si>
    <t>7449023101</t>
  </si>
  <si>
    <t>7452018493</t>
  </si>
  <si>
    <t>7447039138</t>
  </si>
  <si>
    <t>7448022955</t>
  </si>
  <si>
    <t>7450013323</t>
  </si>
  <si>
    <t>0136300043719000141</t>
  </si>
  <si>
    <t>6907007383</t>
  </si>
  <si>
    <t>Бологовский район</t>
  </si>
  <si>
    <t>6907007023</t>
  </si>
  <si>
    <t>6907006943</t>
  </si>
  <si>
    <t>6907007175</t>
  </si>
  <si>
    <t>6907007136</t>
  </si>
  <si>
    <t>6907006990</t>
  </si>
  <si>
    <t>6907007400</t>
  </si>
  <si>
    <t>6907007390</t>
  </si>
  <si>
    <t>690706929060</t>
  </si>
  <si>
    <t>6908018042</t>
  </si>
  <si>
    <t>6441010645</t>
  </si>
  <si>
    <t>0860200000819008736</t>
  </si>
  <si>
    <t>644100061920</t>
  </si>
  <si>
    <t>0345200004019000251</t>
  </si>
  <si>
    <t>7604256872</t>
  </si>
  <si>
    <t>7839380606</t>
  </si>
  <si>
    <t>7839351700</t>
  </si>
  <si>
    <t>0361100007819000015</t>
  </si>
  <si>
    <t>650502188996</t>
  </si>
  <si>
    <t>5650001459</t>
  </si>
  <si>
    <t>0853500000319008691</t>
  </si>
  <si>
    <t>Тюльганский район</t>
  </si>
  <si>
    <t>5638057624</t>
  </si>
  <si>
    <t>0111300060619000111</t>
  </si>
  <si>
    <t>165022110737</t>
  </si>
  <si>
    <t>1628003936</t>
  </si>
  <si>
    <t>1628003654</t>
  </si>
  <si>
    <t>1628004513</t>
  </si>
  <si>
    <t>1628003870</t>
  </si>
  <si>
    <t>1628004288</t>
  </si>
  <si>
    <t>100265598119000016</t>
  </si>
  <si>
    <t>6226005072</t>
  </si>
  <si>
    <t>0159300012819000066</t>
  </si>
  <si>
    <t>622600527899</t>
  </si>
  <si>
    <t>100213752119000020</t>
  </si>
  <si>
    <t>2511008003</t>
  </si>
  <si>
    <t>0320300013219000003</t>
  </si>
  <si>
    <t>2511002562</t>
  </si>
  <si>
    <t>2540061756</t>
  </si>
  <si>
    <t>6164104049</t>
  </si>
  <si>
    <t>0358200011919000144</t>
  </si>
  <si>
    <t>0372200240619000037</t>
  </si>
  <si>
    <t>0127300013119000538</t>
  </si>
  <si>
    <t>3250512857</t>
  </si>
  <si>
    <t>3234042146</t>
  </si>
  <si>
    <t>3234033254</t>
  </si>
  <si>
    <t>3234038220</t>
  </si>
  <si>
    <t>3234033889</t>
  </si>
  <si>
    <t>3234038492</t>
  </si>
  <si>
    <t>3234038277</t>
  </si>
  <si>
    <t>3234037690</t>
  </si>
  <si>
    <t>3234036304</t>
  </si>
  <si>
    <t>3234038284</t>
  </si>
  <si>
    <t>3234034868</t>
  </si>
  <si>
    <t>3234042160</t>
  </si>
  <si>
    <t>3234036110</t>
  </si>
  <si>
    <t>3234034554</t>
  </si>
  <si>
    <t>3234038982</t>
  </si>
  <si>
    <t>3234036865</t>
  </si>
  <si>
    <t>0133200001719002346</t>
  </si>
  <si>
    <t>5105020765</t>
  </si>
  <si>
    <t>0349100009019000017</t>
  </si>
  <si>
    <t>Кольский район</t>
  </si>
  <si>
    <t>0349100009019000018</t>
  </si>
  <si>
    <t>0133200001719002347</t>
  </si>
  <si>
    <t>0133200001719002349</t>
  </si>
  <si>
    <t>4338006176</t>
  </si>
  <si>
    <t>0140300036319000059</t>
  </si>
  <si>
    <t>Первомайский</t>
  </si>
  <si>
    <t>4338009096</t>
  </si>
  <si>
    <t>19566</t>
  </si>
  <si>
    <t>6226005065</t>
  </si>
  <si>
    <t>0159300012819000065</t>
  </si>
  <si>
    <t>3445101143</t>
  </si>
  <si>
    <t>0329200062219003426</t>
  </si>
  <si>
    <t>3435122867</t>
  </si>
  <si>
    <t>2348014630</t>
  </si>
  <si>
    <t>0318100004319000019</t>
  </si>
  <si>
    <t>Северский район</t>
  </si>
  <si>
    <t>234808753825</t>
  </si>
  <si>
    <t>4604002840</t>
  </si>
  <si>
    <t>0344300108119000005</t>
  </si>
  <si>
    <t>Горшеченский район</t>
  </si>
  <si>
    <t>503110729483</t>
  </si>
  <si>
    <t>312301006100</t>
  </si>
  <si>
    <t>462900713991</t>
  </si>
  <si>
    <t>4632097499</t>
  </si>
  <si>
    <t>4629044225</t>
  </si>
  <si>
    <t>4629002391</t>
  </si>
  <si>
    <t>0318100004319000020</t>
  </si>
  <si>
    <t>0344300108119000004</t>
  </si>
  <si>
    <t>2511037004</t>
  </si>
  <si>
    <t>0320300012319000003</t>
  </si>
  <si>
    <t>0349100009019000016</t>
  </si>
  <si>
    <t>0358200024819000075</t>
  </si>
  <si>
    <t>1901099244</t>
  </si>
  <si>
    <t>0180300000219000651</t>
  </si>
  <si>
    <t>[ОКПД2 14.19] Одежда прочая и аксессуары, [ОКПД2 10.20] Рыба переработанная и консервированная, ракообразные и моллюски, [ОКПД2 10.81] Сахар, [ОКПД2 27.11] Электродвигатели, генераторы и трансформаторы, [ОКПД2 16.21] Листы для облицовки и плиты многослойные, [ОКПД2 14.13] Одежда верхняя прочая, [ОКПД2 14.31] Изделия чулочно-носочные трикотажные или вязаные, [ОКПД2 10.13] Продукция мясная пищевая, в том числе из мяса птицы, [ОКПД2 14.20] Изделия меховые, [ОКПД2 13.92] Изделия текстильные готовые (кроме одежды), [ОКПД2 25.30] Котлы паровые, кроме водогрейных котлов центрального отопления, [ОКПД2 25.71] Изделия ножевые и столовые приборы, [ОКПД2 25.73] Инструмент, [ОКПД2 16.10] Лесоматериалы, распиленные и строганые, [ОКПД2 10.32] Продукция соковая из фруктов и овощей, [ОКПД2 10.51] Молоко и молочная продукция, [ОКПД2 16.23] Изделия деревянные строительные и столярные прочие, [ОКПД2 21.20] Препараты лекарственные и материалы, применяемые в медицинских целях, [ОКПД2 22.29] Изделия пластмассовые прочие, [ОКПД2 31.03] Матрасы, [ОКПД2 02.20] Лесоматериалы необработанные, [ОКПД2 08.93] Соль и хлорид натрия чистый, вода морская, [ОКПД2 10.83] Чай и кофе обработанные, [ОКПД2 23.13] Стекло полое, [ОКПД2 15.20] Обувь, [ОКПД2 10.71] Изделия хлебобулочные; мучные кондитерские изделия, торты и пирожные недлительного хранения, [ОКПД2 10.73] Изделия макаронные, кускус и аналогичные мучные изделия, [ОКПД2 27.32] Провода и кабели электронные и электрические прочие, [ОКПД2 20.41] Мыло и моющие средства, чистящие и полирующие средства, [ОКПД2 28.29] Машины и оборудование общего назначения прочие, не включенные в другие группировки, [ОКПД2 45.20] Услуги по техническому обслуживанию и ремонту автотранспортных средств, [ОКПД2 10.61] Продукция мукомольно-крупяного производства, [ОКПД2 10.41] Масла и жиры, [ОКПД2 31.09] Мебель прочая, [ОКПД2 14.14] Белье нательное, [ОКПД2 10.89] Продукты пищевые прочие, не включенные в другие группировки</t>
  </si>
  <si>
    <t>1901004203</t>
  </si>
  <si>
    <t>0349100009019000015</t>
  </si>
  <si>
    <t>0315300159219000131</t>
  </si>
  <si>
    <t>4205248803</t>
  </si>
  <si>
    <t>100222186119000154</t>
  </si>
  <si>
    <t>[ОКПД2 25.94] Изделия крепежные и винты крепежные, [ОКПД2 27.32] Провода и кабели электронные и электрические прочие, [ОКПД2 25.99] Металлоизделия готовые прочие, не включенные в другие группировки, [ОКПД2 27.33] Изделия электроустановочные, [ОКПД2 32.30] Товары спортивные, [ОКПД2 95.21] Услуги по ремонту приборов бытовой электроники, [ОКПД2 22.23] Изделия пластмассовые строительные, [ОКПД2 26.20] Компьютеры и периферийное оборудование</t>
  </si>
  <si>
    <t>2633001686</t>
  </si>
  <si>
    <t>0321300003919000020</t>
  </si>
  <si>
    <t>[ОКПД2 33.12] Услуги по ремонту оборудования, [ОКПД2 27.90] Оборудование электрическое прочее</t>
  </si>
  <si>
    <t>3423016134</t>
  </si>
  <si>
    <t>0129200005319003054</t>
  </si>
  <si>
    <t>3423019819</t>
  </si>
  <si>
    <t>342300176228</t>
  </si>
  <si>
    <t>6624006974</t>
  </si>
  <si>
    <t>0862300044019000056</t>
  </si>
  <si>
    <t>662400935832</t>
  </si>
  <si>
    <t>6013005889</t>
  </si>
  <si>
    <t>0357300059719000001</t>
  </si>
  <si>
    <t>601300564045</t>
  </si>
  <si>
    <t>1012196</t>
  </si>
  <si>
    <t>7113009960</t>
  </si>
  <si>
    <t>0166300033619000113</t>
  </si>
  <si>
    <t>Ефремовский район</t>
  </si>
  <si>
    <t>711300243763</t>
  </si>
  <si>
    <t>1012175</t>
  </si>
  <si>
    <t>6013001940</t>
  </si>
  <si>
    <t>0357300000719000001</t>
  </si>
  <si>
    <t>601300025438</t>
  </si>
  <si>
    <t>0326022835</t>
  </si>
  <si>
    <t>100178397119000038</t>
  </si>
  <si>
    <t>[ОКПД2 74.90] Услуги профессиональные, научные и технические, прочие, не включенные в другие группировки, [ОКПД2 71.20] Услуги в области технических испытаний, исследований, анализа и сертификации</t>
  </si>
  <si>
    <t>0828100000719000704</t>
  </si>
  <si>
    <t>100294823119000020</t>
  </si>
  <si>
    <t>100294823119000019</t>
  </si>
  <si>
    <t>0136300050219000064</t>
  </si>
  <si>
    <t>6952032871</t>
  </si>
  <si>
    <t>6906005802</t>
  </si>
  <si>
    <t>6906005707</t>
  </si>
  <si>
    <t>6906005986</t>
  </si>
  <si>
    <t>6906008017</t>
  </si>
  <si>
    <t>6906005961</t>
  </si>
  <si>
    <t>0357300059619000002</t>
  </si>
  <si>
    <t>6013004853</t>
  </si>
  <si>
    <t>0357300060319000001</t>
  </si>
  <si>
    <t>4709005006</t>
  </si>
  <si>
    <t>0145300010019000161</t>
  </si>
  <si>
    <t>0111300001719000235</t>
  </si>
  <si>
    <t>1635001584</t>
  </si>
  <si>
    <t>Сабинский район</t>
  </si>
  <si>
    <t>1635002789</t>
  </si>
  <si>
    <t>1635003750</t>
  </si>
  <si>
    <t>1635009985</t>
  </si>
  <si>
    <t>1635001577</t>
  </si>
  <si>
    <t>1635002764</t>
  </si>
  <si>
    <t>1635002860</t>
  </si>
  <si>
    <t>1635003158</t>
  </si>
  <si>
    <t>1635003214</t>
  </si>
  <si>
    <t>1635003454</t>
  </si>
  <si>
    <t>1635003221</t>
  </si>
  <si>
    <t>1635003197</t>
  </si>
  <si>
    <t>1635002796</t>
  </si>
  <si>
    <t>1635003045</t>
  </si>
  <si>
    <t>1635003905</t>
  </si>
  <si>
    <t>1635003260</t>
  </si>
  <si>
    <t>1635003239</t>
  </si>
  <si>
    <t>1635002997</t>
  </si>
  <si>
    <t>1635003253</t>
  </si>
  <si>
    <t>1635003736</t>
  </si>
  <si>
    <t>1635003694</t>
  </si>
  <si>
    <t>1660218774</t>
  </si>
  <si>
    <t>1635012829</t>
  </si>
  <si>
    <t>8607004794</t>
  </si>
  <si>
    <t>0387200018419000045</t>
  </si>
  <si>
    <t>8621006987</t>
  </si>
  <si>
    <t>0387200018419000044</t>
  </si>
  <si>
    <t>8605030781</t>
  </si>
  <si>
    <t>8607007530</t>
  </si>
  <si>
    <t>0148100001319000044</t>
  </si>
  <si>
    <t>7702449872</t>
  </si>
  <si>
    <t>2511006510</t>
  </si>
  <si>
    <t>0320300030019000002</t>
  </si>
  <si>
    <t>6011004093</t>
  </si>
  <si>
    <t>0357300066519000009</t>
  </si>
  <si>
    <t>6011000236</t>
  </si>
  <si>
    <t>6013002006</t>
  </si>
  <si>
    <t>0357300000619000001</t>
  </si>
  <si>
    <t>1012034</t>
  </si>
  <si>
    <t>0301100021119000006</t>
  </si>
  <si>
    <t>2511037741</t>
  </si>
  <si>
    <t>0320300031219000004</t>
  </si>
  <si>
    <t>9108116945</t>
  </si>
  <si>
    <t>0375300008819000004</t>
  </si>
  <si>
    <t>4709005020</t>
  </si>
  <si>
    <t>0145300010019000160</t>
  </si>
  <si>
    <t>7733150754</t>
  </si>
  <si>
    <t>0373200017319000467</t>
  </si>
  <si>
    <t>7733277366</t>
  </si>
  <si>
    <t>0321003839</t>
  </si>
  <si>
    <t>0302100002119000015</t>
  </si>
  <si>
    <t>Хоринский район</t>
  </si>
  <si>
    <t>032615700578</t>
  </si>
  <si>
    <t>0302100002119000016</t>
  </si>
  <si>
    <t>1424005501</t>
  </si>
  <si>
    <t>0116300021819000450</t>
  </si>
  <si>
    <t>Сунтарский улус</t>
  </si>
  <si>
    <t>142401286648</t>
  </si>
  <si>
    <t>100070753119000041</t>
  </si>
  <si>
    <t>0851200000619004399</t>
  </si>
  <si>
    <t>5406320346</t>
  </si>
  <si>
    <t>0144100012119000008</t>
  </si>
  <si>
    <t>0169300009219000157</t>
  </si>
  <si>
    <t>2305015358</t>
  </si>
  <si>
    <t>0318300457619000191</t>
  </si>
  <si>
    <t>234913401565</t>
  </si>
  <si>
    <t>0169300009219000156</t>
  </si>
  <si>
    <t>6165118943</t>
  </si>
  <si>
    <t>0358100012119000095</t>
  </si>
  <si>
    <t>6154133805</t>
  </si>
  <si>
    <t>5429104790</t>
  </si>
  <si>
    <t>1011201</t>
  </si>
  <si>
    <t>Купинский район</t>
  </si>
  <si>
    <t>0334300059019000038</t>
  </si>
  <si>
    <t>7706757331</t>
  </si>
  <si>
    <t>2578365</t>
  </si>
  <si>
    <t>2465258101</t>
  </si>
  <si>
    <t>31908167111</t>
  </si>
  <si>
    <t>31908169400</t>
  </si>
  <si>
    <t>6025016525</t>
  </si>
  <si>
    <t>31908167468</t>
  </si>
  <si>
    <t>2703074105</t>
  </si>
  <si>
    <t>31908167434</t>
  </si>
  <si>
    <t>3911002248</t>
  </si>
  <si>
    <t>31908169623</t>
  </si>
  <si>
    <t>7610038424</t>
  </si>
  <si>
    <t>31908169503</t>
  </si>
  <si>
    <t>7530012491</t>
  </si>
  <si>
    <t>31908168857</t>
  </si>
  <si>
    <t>Краснокаменский район</t>
  </si>
  <si>
    <t>4348035641</t>
  </si>
  <si>
    <t>31908169821</t>
  </si>
  <si>
    <t>31908166990</t>
  </si>
  <si>
    <t>31908169462</t>
  </si>
  <si>
    <t>6501102371</t>
  </si>
  <si>
    <t>31908166922</t>
  </si>
  <si>
    <t>2539025440</t>
  </si>
  <si>
    <t>31908169815</t>
  </si>
  <si>
    <t>[ОКПД2 81.10] Услуги по комплексному обслуживанию помещений, [ОКВЭД2 81.10] Деятельность по комплексному обслуживанию помещений</t>
  </si>
  <si>
    <t>6027023648</t>
  </si>
  <si>
    <t>31908169993</t>
  </si>
  <si>
    <t>0863100000319000108</t>
  </si>
  <si>
    <t>6732065617</t>
  </si>
  <si>
    <t>COM04081900001</t>
  </si>
  <si>
    <t>2305020252</t>
  </si>
  <si>
    <t>0318300457619000190</t>
  </si>
  <si>
    <t>2305020157</t>
  </si>
  <si>
    <t>0318300457619000189</t>
  </si>
  <si>
    <t>31908166936</t>
  </si>
  <si>
    <t>31908166935</t>
  </si>
  <si>
    <t>6633006723</t>
  </si>
  <si>
    <t>31908164684</t>
  </si>
  <si>
    <t>0372200038319000066</t>
  </si>
  <si>
    <t>5610040758</t>
  </si>
  <si>
    <t>0853500000319008672</t>
  </si>
  <si>
    <t>[ОКПД2 20.41] Мыло и моющие средства, чистящие и полирующие средства, [ОКПД2 22.29] Изделия пластмассовые прочие, [ОКПД2 27.20] Батареи и аккумуляторы</t>
  </si>
  <si>
    <t>5610224226</t>
  </si>
  <si>
    <t>5610223783</t>
  </si>
  <si>
    <t>560900418378</t>
  </si>
  <si>
    <t>561605887857</t>
  </si>
  <si>
    <t>5609078732</t>
  </si>
  <si>
    <t>100244863119000052</t>
  </si>
  <si>
    <t>100244863119000053</t>
  </si>
  <si>
    <t>0164100004419000038</t>
  </si>
  <si>
    <t>2305020333</t>
  </si>
  <si>
    <t>0318300457619000187</t>
  </si>
  <si>
    <t>100244863119000051</t>
  </si>
  <si>
    <t>0164100004419000037</t>
  </si>
  <si>
    <t>0377300026619000002</t>
  </si>
  <si>
    <t>0273020704</t>
  </si>
  <si>
    <t>0301300247619001128</t>
  </si>
  <si>
    <t>2305020140</t>
  </si>
  <si>
    <t>0318300457619000185</t>
  </si>
  <si>
    <t>0171200001919001330</t>
  </si>
  <si>
    <t>7609013714</t>
  </si>
  <si>
    <t>Ростов</t>
  </si>
  <si>
    <t>7609013351</t>
  </si>
  <si>
    <t>7609013369</t>
  </si>
  <si>
    <t>7609013249</t>
  </si>
  <si>
    <t>7609037070</t>
  </si>
  <si>
    <t>7604350473</t>
  </si>
  <si>
    <t>0318200054519000010</t>
  </si>
  <si>
    <t>[ОКПД2 56.10] Услуги ресторанов и услуги по доставке продуктов питания, [ОКПД2 93.19] Услуги в области спорта прочие</t>
  </si>
  <si>
    <t>5918007792</t>
  </si>
  <si>
    <t>0356300078119000004</t>
  </si>
  <si>
    <t>591879396056</t>
  </si>
  <si>
    <t>0362100002519000005</t>
  </si>
  <si>
    <t>0318200054519000011</t>
  </si>
  <si>
    <t>0318200054519000009</t>
  </si>
  <si>
    <t>7721248385</t>
  </si>
  <si>
    <t>0373200041119001026</t>
  </si>
  <si>
    <t>7705604685</t>
  </si>
  <si>
    <t>7733294202</t>
  </si>
  <si>
    <t>0216100000319000334</t>
  </si>
  <si>
    <t>6828007221</t>
  </si>
  <si>
    <t>0164100009919000022</t>
  </si>
  <si>
    <t>Рассказово</t>
  </si>
  <si>
    <t>682800226632</t>
  </si>
  <si>
    <t>6729008552</t>
  </si>
  <si>
    <t>0163300029419001045</t>
  </si>
  <si>
    <t>0404002814</t>
  </si>
  <si>
    <t>0377300013919000014</t>
  </si>
  <si>
    <t>6731019248</t>
  </si>
  <si>
    <t>0163300029419001044</t>
  </si>
  <si>
    <t>2806008915</t>
  </si>
  <si>
    <t>0123100009219000019</t>
  </si>
  <si>
    <t>Райчихинск</t>
  </si>
  <si>
    <t>280604007485</t>
  </si>
  <si>
    <t>6729008513</t>
  </si>
  <si>
    <t>0163300029419001046</t>
  </si>
  <si>
    <t>0164100009919000021</t>
  </si>
  <si>
    <t>2225069132</t>
  </si>
  <si>
    <t>0817200000319008675</t>
  </si>
  <si>
    <t>[ОКПД2 51.10] Услуги по пассажирским перевозкам воздушным транспортом</t>
  </si>
  <si>
    <t>2222853317</t>
  </si>
  <si>
    <t>0711200016819000156</t>
  </si>
  <si>
    <t>0311100023119000011</t>
  </si>
  <si>
    <t>0311100023119000012</t>
  </si>
  <si>
    <t>4704046954</t>
  </si>
  <si>
    <t>0845300015019000474</t>
  </si>
  <si>
    <t>0845300015019000475</t>
  </si>
  <si>
    <t>100207147119000005</t>
  </si>
  <si>
    <t>0311100023119000010</t>
  </si>
  <si>
    <t>0533009832</t>
  </si>
  <si>
    <t>0303100019419000004</t>
  </si>
  <si>
    <t>Унцукульский район</t>
  </si>
  <si>
    <t>052601732445</t>
  </si>
  <si>
    <t>7816025500</t>
  </si>
  <si>
    <t>100227177119000021</t>
  </si>
  <si>
    <t>1101484261</t>
  </si>
  <si>
    <t>0307200030619001380</t>
  </si>
  <si>
    <t>1101110749</t>
  </si>
  <si>
    <t>6140018344</t>
  </si>
  <si>
    <t>0358200042319000008</t>
  </si>
  <si>
    <t>614000025566</t>
  </si>
  <si>
    <t>1650212950</t>
  </si>
  <si>
    <t>0711200007619000087</t>
  </si>
  <si>
    <t>1650137283</t>
  </si>
  <si>
    <t>0711200007619000090</t>
  </si>
  <si>
    <t>0159100006219000027</t>
  </si>
  <si>
    <t>0134200000119002729</t>
  </si>
  <si>
    <t>0711200007619000089</t>
  </si>
  <si>
    <t>0711200007619000088</t>
  </si>
  <si>
    <t>0315300159219000130</t>
  </si>
  <si>
    <t>0140100008219000022</t>
  </si>
  <si>
    <t>2801019254</t>
  </si>
  <si>
    <t>0322100000719000053</t>
  </si>
  <si>
    <t>2724078132</t>
  </si>
  <si>
    <t>0377100008619000010</t>
  </si>
  <si>
    <t>0411127701</t>
  </si>
  <si>
    <t>6514006001</t>
  </si>
  <si>
    <t>0161100003719000013</t>
  </si>
  <si>
    <t>Смирныховский район</t>
  </si>
  <si>
    <t>6514001998</t>
  </si>
  <si>
    <t>0377100008619000011</t>
  </si>
  <si>
    <t>0361100008719000013</t>
  </si>
  <si>
    <t>0319100011919000040</t>
  </si>
  <si>
    <t>2124017402</t>
  </si>
  <si>
    <t>100224746119000006</t>
  </si>
  <si>
    <t>[ОКПД2 95.11] Услуги по ремонту компьютеров и периферийного оборудования, [ОКПД2 95.21] Услуги по ремонту приборов бытовой электроники</t>
  </si>
  <si>
    <t>0151100017519000022</t>
  </si>
  <si>
    <t>0336100006119000004</t>
  </si>
  <si>
    <t>6916016680</t>
  </si>
  <si>
    <t>1009216</t>
  </si>
  <si>
    <t>0251004480</t>
  </si>
  <si>
    <t>0801300011419000041</t>
  </si>
  <si>
    <t>0251004547</t>
  </si>
  <si>
    <t>0801300011419000039</t>
  </si>
  <si>
    <t>0336100006119000003</t>
  </si>
  <si>
    <t>6731021021</t>
  </si>
  <si>
    <t>0163300029419001041</t>
  </si>
  <si>
    <t>0139100008219000005</t>
  </si>
  <si>
    <t>0315300159219000129</t>
  </si>
  <si>
    <t>0251003695</t>
  </si>
  <si>
    <t>0801300011419000038</t>
  </si>
  <si>
    <t>0251004593</t>
  </si>
  <si>
    <t>0801300011419000040</t>
  </si>
  <si>
    <t>5944160275</t>
  </si>
  <si>
    <t>0156300065419000093</t>
  </si>
  <si>
    <t>0223005323</t>
  </si>
  <si>
    <t>100273240119000008</t>
  </si>
  <si>
    <t>Зилаирский район</t>
  </si>
  <si>
    <t>100200982119000024</t>
  </si>
  <si>
    <t>2401002471</t>
  </si>
  <si>
    <t>0319100022019000011</t>
  </si>
  <si>
    <t>Абанский район</t>
  </si>
  <si>
    <t>0319100022019000012</t>
  </si>
  <si>
    <t>2224104465</t>
  </si>
  <si>
    <t>1008724</t>
  </si>
  <si>
    <t>РН920500</t>
  </si>
  <si>
    <t>0161500000119000018</t>
  </si>
  <si>
    <t>6634007688</t>
  </si>
  <si>
    <t>31908165202</t>
  </si>
  <si>
    <t>7719019638</t>
  </si>
  <si>
    <t>COM01081900055</t>
  </si>
  <si>
    <t>3525260163</t>
  </si>
  <si>
    <t>31908164695</t>
  </si>
  <si>
    <t>COM01081900059</t>
  </si>
  <si>
    <t>31908165916</t>
  </si>
  <si>
    <t>[ОКПД2 86.90] Услуги в области медицины прочие, [ОКПД2 21.20] Препараты лекарственные и материалы, применяемые в медицинских целях, [ОКПД2 85.14] Услуги в области общего среднего образования, [ОКВЭД2 86.90] Деятельность в области медицины прочая, [ОКВЭД2 21.20] Производство лекарственных препаратов и материалов, применяемых в медицинских целях, [ОКВЭД2 85.14] Образование среднее общее</t>
  </si>
  <si>
    <t>6833006304</t>
  </si>
  <si>
    <t>31908163955</t>
  </si>
  <si>
    <t>6627008786</t>
  </si>
  <si>
    <t>31908164211</t>
  </si>
  <si>
    <t>6501103858</t>
  </si>
  <si>
    <t>31908162959</t>
  </si>
  <si>
    <t>31908163563</t>
  </si>
  <si>
    <t>COM01081900030</t>
  </si>
  <si>
    <t>31908163356</t>
  </si>
  <si>
    <t>3911006891</t>
  </si>
  <si>
    <t>31908164634</t>
  </si>
  <si>
    <t>COM01081900050</t>
  </si>
  <si>
    <t>31908165945</t>
  </si>
  <si>
    <t>31908163159</t>
  </si>
  <si>
    <t>COM01081900042</t>
  </si>
  <si>
    <t>31908163138</t>
  </si>
  <si>
    <t>31908166326</t>
  </si>
  <si>
    <t>[ОКПД2 10.61] Продукция мукомольно-крупяного производства, [ОКПД2 01.11] Культуры зерновые (кроме риса), зернобобовые, семена масличных культур, [ОКВЭД2 01.11] Выращивание зерновых (кроме риса), зернобобовых культур и семян масличных культур, [ОКВЭД2 10.61] Производство продуктов мукомольной и крупяной промышленности</t>
  </si>
  <si>
    <t>31908166649</t>
  </si>
  <si>
    <t>[ОКПД2 79.11] Услуги туристических агентств, [ОКВЭД2 79.9+] Услуги по бронированию прочие и сопутствующая деятельность</t>
  </si>
  <si>
    <t>31908165937</t>
  </si>
  <si>
    <t>6614005298</t>
  </si>
  <si>
    <t>31908163476</t>
  </si>
  <si>
    <t>Карпинск</t>
  </si>
  <si>
    <t>31908164105</t>
  </si>
  <si>
    <t>COM01081900058</t>
  </si>
  <si>
    <t>31908165959</t>
  </si>
  <si>
    <t>[ОКПД2 86.90] Услуги в области медицины прочие, [ОКВЭД2 81.29] Деятельность по чистке и уборке прочая</t>
  </si>
  <si>
    <t>31908165903</t>
  </si>
  <si>
    <t>[ОКПД2 86.90] Услуги в области медицины прочие, [ОКВЭД2 86.9+] Деятельность в области медицины прочая</t>
  </si>
  <si>
    <t>8607012717</t>
  </si>
  <si>
    <t>31908165689</t>
  </si>
  <si>
    <t>31908166448</t>
  </si>
  <si>
    <t>7208000450</t>
  </si>
  <si>
    <t>31908163595</t>
  </si>
  <si>
    <t>Абатский район</t>
  </si>
  <si>
    <t>COM01081900052</t>
  </si>
  <si>
    <t>7224010199</t>
  </si>
  <si>
    <t>31908163268</t>
  </si>
  <si>
    <t>COM01081900044</t>
  </si>
  <si>
    <t>COM01081900049</t>
  </si>
  <si>
    <t>[ОКПД2 10.73] Изделия макаронные, кускус и аналогичные мучные изделия, [ОКВЭД2 10.73] Производство макаронных изделий кускуса и аналогичных мучных изделий</t>
  </si>
  <si>
    <t>COM01081900054</t>
  </si>
  <si>
    <t>COM01081900041</t>
  </si>
  <si>
    <t>COM01081900045</t>
  </si>
  <si>
    <t>7812024600</t>
  </si>
  <si>
    <t>31908162855</t>
  </si>
  <si>
    <t>31908164131</t>
  </si>
  <si>
    <t>31908166013</t>
  </si>
  <si>
    <t>31908164706</t>
  </si>
  <si>
    <t>31908166427</t>
  </si>
  <si>
    <t>0262016287</t>
  </si>
  <si>
    <t>31908165537</t>
  </si>
  <si>
    <t>Кумертау</t>
  </si>
  <si>
    <t>31908164372</t>
  </si>
  <si>
    <t>7206039519</t>
  </si>
  <si>
    <t>31908164264</t>
  </si>
  <si>
    <t>31908165889</t>
  </si>
  <si>
    <t>31908166533</t>
  </si>
  <si>
    <t>[ОКПД2 10.81] Сахар, [ОКВЭД2 10.81] Производство сахара</t>
  </si>
  <si>
    <t>COM01081900034</t>
  </si>
  <si>
    <t>31908163739</t>
  </si>
  <si>
    <t>31908165929</t>
  </si>
  <si>
    <t>BP00313788</t>
  </si>
  <si>
    <t>COM01081900046</t>
  </si>
  <si>
    <t>31908165875</t>
  </si>
  <si>
    <t>31908165808</t>
  </si>
  <si>
    <t>COM01081900035</t>
  </si>
  <si>
    <t>COM01081900023</t>
  </si>
  <si>
    <t>0403002882</t>
  </si>
  <si>
    <t>0377100007619000016</t>
  </si>
  <si>
    <t>Усть-Канский район</t>
  </si>
  <si>
    <t>040301023670</t>
  </si>
  <si>
    <t>0377100007619000015</t>
  </si>
  <si>
    <t>1647002511</t>
  </si>
  <si>
    <t>0311100017119000005</t>
  </si>
  <si>
    <t>Заинский район</t>
  </si>
  <si>
    <t>1647012083</t>
  </si>
  <si>
    <t>164700106071</t>
  </si>
  <si>
    <t>0311100017119000004</t>
  </si>
  <si>
    <t>0860200000819008716</t>
  </si>
  <si>
    <t>0318100004619000013</t>
  </si>
  <si>
    <t>0318100004619000012</t>
  </si>
  <si>
    <t>106449</t>
  </si>
  <si>
    <t>6023000953</t>
  </si>
  <si>
    <t>0357300026519000004</t>
  </si>
  <si>
    <t>0810100000319000118</t>
  </si>
  <si>
    <t>151300058230</t>
  </si>
  <si>
    <t>5806002274</t>
  </si>
  <si>
    <t>100294660119000026</t>
  </si>
  <si>
    <t>Башмаковский район</t>
  </si>
  <si>
    <t>5902000576</t>
  </si>
  <si>
    <t>0856200000519000017</t>
  </si>
  <si>
    <t>5903067277</t>
  </si>
  <si>
    <t>0810100000319000117</t>
  </si>
  <si>
    <t>2619006594</t>
  </si>
  <si>
    <t>0121100004819000002</t>
  </si>
  <si>
    <t>2619008320</t>
  </si>
  <si>
    <t>0810100000319000123</t>
  </si>
  <si>
    <t>0322200009119000067</t>
  </si>
  <si>
    <t>100294660119000025</t>
  </si>
  <si>
    <t>0311100009419000004</t>
  </si>
  <si>
    <t>0810100000319000122</t>
  </si>
  <si>
    <t>1650036824</t>
  </si>
  <si>
    <t>0311100002819000050</t>
  </si>
  <si>
    <t>0810100000319000121</t>
  </si>
  <si>
    <t>7813054968</t>
  </si>
  <si>
    <t>100272747119000018</t>
  </si>
  <si>
    <t>0121100004819000001</t>
  </si>
  <si>
    <t>0356300049019000126</t>
  </si>
  <si>
    <t>6729008496</t>
  </si>
  <si>
    <t>0163300029419001038</t>
  </si>
  <si>
    <t>100272747119000019</t>
  </si>
  <si>
    <t>2446004655</t>
  </si>
  <si>
    <t>0119300004719000248</t>
  </si>
  <si>
    <t>0158100018519000006</t>
  </si>
  <si>
    <t>0135200000519003250</t>
  </si>
  <si>
    <t>3666159529</t>
  </si>
  <si>
    <t>0131200002019000152</t>
  </si>
  <si>
    <t>[ОКПД2 59.11] Услуги по производству кинофильмов, видеофильмов и телевизионных программ</t>
  </si>
  <si>
    <t>3666182655</t>
  </si>
  <si>
    <t>3627007586</t>
  </si>
  <si>
    <t>0311100002819000049</t>
  </si>
  <si>
    <t>6730027408</t>
  </si>
  <si>
    <t>0163300029419001035</t>
  </si>
  <si>
    <t>0117100015319000017</t>
  </si>
  <si>
    <t>6730021170</t>
  </si>
  <si>
    <t>0163300029419001034</t>
  </si>
  <si>
    <t>0251006921</t>
  </si>
  <si>
    <t>0801300011419000037</t>
  </si>
  <si>
    <t>2924001049</t>
  </si>
  <si>
    <t>0124200000619003964</t>
  </si>
  <si>
    <t>Шенкурский район</t>
  </si>
  <si>
    <t>2924004561</t>
  </si>
  <si>
    <t>0251003631</t>
  </si>
  <si>
    <t>0801300011419000035</t>
  </si>
  <si>
    <t>0361200015019005171</t>
  </si>
  <si>
    <t>5036029073</t>
  </si>
  <si>
    <t>0348100029419000052</t>
  </si>
  <si>
    <t>0117100015319000018</t>
  </si>
  <si>
    <t>0251004360</t>
  </si>
  <si>
    <t>0801300011419000036</t>
  </si>
  <si>
    <t>6139002741</t>
  </si>
  <si>
    <t>100058874119000022</t>
  </si>
  <si>
    <t>Шолоховский район</t>
  </si>
  <si>
    <t>7906000877</t>
  </si>
  <si>
    <t>0378300001119000112</t>
  </si>
  <si>
    <t>Биробиджанский район</t>
  </si>
  <si>
    <t>2724005335</t>
  </si>
  <si>
    <t>100058874119000021</t>
  </si>
  <si>
    <t>0111300064719000044</t>
  </si>
  <si>
    <t>1645010732</t>
  </si>
  <si>
    <t>Бугульминский район</t>
  </si>
  <si>
    <t>1645010651</t>
  </si>
  <si>
    <t>1645028377</t>
  </si>
  <si>
    <t>1645010764</t>
  </si>
  <si>
    <t>1645010644</t>
  </si>
  <si>
    <t>1645011542</t>
  </si>
  <si>
    <t>1645010676</t>
  </si>
  <si>
    <t>1645010771</t>
  </si>
  <si>
    <t>1645010500</t>
  </si>
  <si>
    <t>1645010436</t>
  </si>
  <si>
    <t>1645010531</t>
  </si>
  <si>
    <t>1645010690</t>
  </si>
  <si>
    <t>1645008268</t>
  </si>
  <si>
    <t>1645010482</t>
  </si>
  <si>
    <t>1645028218</t>
  </si>
  <si>
    <t>1645010796</t>
  </si>
  <si>
    <t>1645010980</t>
  </si>
  <si>
    <t>1645010450</t>
  </si>
  <si>
    <t>1645010838</t>
  </si>
  <si>
    <t>1645010443</t>
  </si>
  <si>
    <t>1645010517</t>
  </si>
  <si>
    <t>1645010549</t>
  </si>
  <si>
    <t>1645028345</t>
  </si>
  <si>
    <t>1645010563</t>
  </si>
  <si>
    <t>1645010813</t>
  </si>
  <si>
    <t>1645010490</t>
  </si>
  <si>
    <t>1645027623</t>
  </si>
  <si>
    <t>1645028200</t>
  </si>
  <si>
    <t>1645010429</t>
  </si>
  <si>
    <t>1645010404</t>
  </si>
  <si>
    <t>1645010789</t>
  </si>
  <si>
    <t>1645010468</t>
  </si>
  <si>
    <t>1645033240</t>
  </si>
  <si>
    <t>1645033225</t>
  </si>
  <si>
    <t>1645033289</t>
  </si>
  <si>
    <t>0387200006719000304</t>
  </si>
  <si>
    <t>1834300028</t>
  </si>
  <si>
    <t>0813500000119008874</t>
  </si>
  <si>
    <t>1834101103</t>
  </si>
  <si>
    <t>6132008110</t>
  </si>
  <si>
    <t>1007625</t>
  </si>
  <si>
    <t>0318300170419000238</t>
  </si>
  <si>
    <t>0251004522</t>
  </si>
  <si>
    <t>0801300011419000034</t>
  </si>
  <si>
    <t>4029033542</t>
  </si>
  <si>
    <t>0137200001219003810</t>
  </si>
  <si>
    <t>7743207255</t>
  </si>
  <si>
    <t>7726523740</t>
  </si>
  <si>
    <t>0251004603</t>
  </si>
  <si>
    <t>0801300011419000033</t>
  </si>
  <si>
    <t>0127300013119000537</t>
  </si>
  <si>
    <t>3202012660</t>
  </si>
  <si>
    <t>3232014986</t>
  </si>
  <si>
    <t>3232014954</t>
  </si>
  <si>
    <t>3232035633</t>
  </si>
  <si>
    <t>3232015041</t>
  </si>
  <si>
    <t>3232014922</t>
  </si>
  <si>
    <t>3232014930</t>
  </si>
  <si>
    <t>3232014961</t>
  </si>
  <si>
    <t>3232014979</t>
  </si>
  <si>
    <t>3232014915</t>
  </si>
  <si>
    <t>3232015274</t>
  </si>
  <si>
    <t>3232015210</t>
  </si>
  <si>
    <t>3232015203</t>
  </si>
  <si>
    <t>3232015002</t>
  </si>
  <si>
    <t>3232015323</t>
  </si>
  <si>
    <t>3232015309</t>
  </si>
  <si>
    <t>3232015034</t>
  </si>
  <si>
    <t>3232015059</t>
  </si>
  <si>
    <t>3232015228</t>
  </si>
  <si>
    <t>3232014993</t>
  </si>
  <si>
    <t>3232015281</t>
  </si>
  <si>
    <t>3232014947</t>
  </si>
  <si>
    <t>3232015355</t>
  </si>
  <si>
    <t>3232015370</t>
  </si>
  <si>
    <t>3232015193</t>
  </si>
  <si>
    <t>0279000172</t>
  </si>
  <si>
    <t>100214979119000007</t>
  </si>
  <si>
    <t>Межгорье</t>
  </si>
  <si>
    <t>0251003751</t>
  </si>
  <si>
    <t>0801300011419000031</t>
  </si>
  <si>
    <t>0251003800</t>
  </si>
  <si>
    <t>0801300011419000032</t>
  </si>
  <si>
    <t>РН920290</t>
  </si>
  <si>
    <t>5409229127</t>
  </si>
  <si>
    <t>0351300203619000022</t>
  </si>
  <si>
    <t>5406500719</t>
  </si>
  <si>
    <t>5406757672</t>
  </si>
  <si>
    <t>2320218000</t>
  </si>
  <si>
    <t>5406368531</t>
  </si>
  <si>
    <t>100213752119000019</t>
  </si>
  <si>
    <t>0356300244219000031</t>
  </si>
  <si>
    <t>0156300065419000091</t>
  </si>
  <si>
    <t>0117100015319000012</t>
  </si>
  <si>
    <t>221001099391</t>
  </si>
  <si>
    <t>0251003790</t>
  </si>
  <si>
    <t>0801300011419000030</t>
  </si>
  <si>
    <t>6115000167</t>
  </si>
  <si>
    <t>100028793119000002</t>
  </si>
  <si>
    <t>Кашарский район</t>
  </si>
  <si>
    <t>100028793119000003</t>
  </si>
  <si>
    <t>7303012865</t>
  </si>
  <si>
    <t>0168200002419006172</t>
  </si>
  <si>
    <t>7326016739</t>
  </si>
  <si>
    <t>0148100002919000048</t>
  </si>
  <si>
    <t>100028793119000004</t>
  </si>
  <si>
    <t>Боковский район</t>
  </si>
  <si>
    <t>100028793119000005</t>
  </si>
  <si>
    <t>0318300170419000237</t>
  </si>
  <si>
    <t>3528011091</t>
  </si>
  <si>
    <t>0130200002419002678</t>
  </si>
  <si>
    <t>0251003720</t>
  </si>
  <si>
    <t>0801300011419000029</t>
  </si>
  <si>
    <t>0315300159219000126</t>
  </si>
  <si>
    <t>0711009240</t>
  </si>
  <si>
    <t>0304100006319000062</t>
  </si>
  <si>
    <t>0726004051</t>
  </si>
  <si>
    <t>071507219815</t>
  </si>
  <si>
    <t>0315300159219000127</t>
  </si>
  <si>
    <t>7825011824</t>
  </si>
  <si>
    <t>0372100017719000027</t>
  </si>
  <si>
    <t>7838069370</t>
  </si>
  <si>
    <t>9710020311</t>
  </si>
  <si>
    <t>3310006470</t>
  </si>
  <si>
    <t>0315300159219000128</t>
  </si>
  <si>
    <t>3514001329</t>
  </si>
  <si>
    <t>0130200002419002676</t>
  </si>
  <si>
    <t>7019026990</t>
  </si>
  <si>
    <t>1006824</t>
  </si>
  <si>
    <t>4421001790</t>
  </si>
  <si>
    <t>0341100007619000041</t>
  </si>
  <si>
    <t>8607013005</t>
  </si>
  <si>
    <t>6731031799</t>
  </si>
  <si>
    <t>0163300029419001030</t>
  </si>
  <si>
    <t>8603033473</t>
  </si>
  <si>
    <t>1006478</t>
  </si>
  <si>
    <t>1620004906</t>
  </si>
  <si>
    <t>0311300224019000010</t>
  </si>
  <si>
    <t>0851200000619004299</t>
  </si>
  <si>
    <t>5404001376</t>
  </si>
  <si>
    <t>2361013386</t>
  </si>
  <si>
    <t>0135300003919000145</t>
  </si>
  <si>
    <t>3906272440</t>
  </si>
  <si>
    <t>3911002216</t>
  </si>
  <si>
    <t>3911006884</t>
  </si>
  <si>
    <t>3911002270</t>
  </si>
  <si>
    <t>0356300025119000088</t>
  </si>
  <si>
    <t>1835062680</t>
  </si>
  <si>
    <t>0113100007019000083</t>
  </si>
  <si>
    <t>1650134148</t>
  </si>
  <si>
    <t>106286</t>
  </si>
  <si>
    <t>31908158817</t>
  </si>
  <si>
    <t>31908158838</t>
  </si>
  <si>
    <t>31908161626</t>
  </si>
  <si>
    <t>5190046539</t>
  </si>
  <si>
    <t>31908160441</t>
  </si>
  <si>
    <t>7706228218</t>
  </si>
  <si>
    <t>31908159826</t>
  </si>
  <si>
    <t>2019-735856</t>
  </si>
  <si>
    <t>31908160618</t>
  </si>
  <si>
    <t>31908158841</t>
  </si>
  <si>
    <t>31908158800</t>
  </si>
  <si>
    <t>5030031862</t>
  </si>
  <si>
    <t>31908160754</t>
  </si>
  <si>
    <t>31908161489</t>
  </si>
  <si>
    <t>6315000291</t>
  </si>
  <si>
    <t>31908159021</t>
  </si>
  <si>
    <t>31908162180</t>
  </si>
  <si>
    <t>31908162134</t>
  </si>
  <si>
    <t>5190117050</t>
  </si>
  <si>
    <t>31908161556</t>
  </si>
  <si>
    <t>31908162081</t>
  </si>
  <si>
    <t>6627008779</t>
  </si>
  <si>
    <t>31908160372</t>
  </si>
  <si>
    <t>6501103086</t>
  </si>
  <si>
    <t>31908160399</t>
  </si>
  <si>
    <t>5050114718</t>
  </si>
  <si>
    <t>31908159696</t>
  </si>
  <si>
    <t>2511002019</t>
  </si>
  <si>
    <t>31908158433</t>
  </si>
  <si>
    <t>0259006521</t>
  </si>
  <si>
    <t>31908159495</t>
  </si>
  <si>
    <t>6509006180</t>
  </si>
  <si>
    <t>31908158468</t>
  </si>
  <si>
    <t>5030032400</t>
  </si>
  <si>
    <t>31908160916</t>
  </si>
  <si>
    <t>31908160571</t>
  </si>
  <si>
    <t>1435263007</t>
  </si>
  <si>
    <t>31908158431</t>
  </si>
  <si>
    <t>31908159381</t>
  </si>
  <si>
    <t>31908162464</t>
  </si>
  <si>
    <t>31908158459</t>
  </si>
  <si>
    <t>31908159085</t>
  </si>
  <si>
    <t>5041013488</t>
  </si>
  <si>
    <t>31908159325</t>
  </si>
  <si>
    <t>7900000430</t>
  </si>
  <si>
    <t>31908158886</t>
  </si>
  <si>
    <t>6316000840</t>
  </si>
  <si>
    <t>31908160160</t>
  </si>
  <si>
    <t>31908159584</t>
  </si>
  <si>
    <t>3906047243</t>
  </si>
  <si>
    <t>31908161598</t>
  </si>
  <si>
    <t>6676000187</t>
  </si>
  <si>
    <t>31908162566</t>
  </si>
  <si>
    <t>31908161534</t>
  </si>
  <si>
    <t>0334300059019000037</t>
  </si>
  <si>
    <t>5040039941</t>
  </si>
  <si>
    <t>0848300051619001700</t>
  </si>
  <si>
    <t>7705934309</t>
  </si>
  <si>
    <t>5040130284</t>
  </si>
  <si>
    <t>0848300051619001698</t>
  </si>
  <si>
    <t>5040128990</t>
  </si>
  <si>
    <t>504000101962</t>
  </si>
  <si>
    <t>5040040665</t>
  </si>
  <si>
    <t>0848300051619001702</t>
  </si>
  <si>
    <t>7903526125</t>
  </si>
  <si>
    <t>0378300012819000015</t>
  </si>
  <si>
    <t>[ОКПД2 10.41] Масла и жиры, [ОКПД2 08.93] Соль и хлорид натрия чистый, вода морская, [ОКПД2 10.32] Продукция соковая из фруктов и овощей, [ОКПД2 10.13] Продукция мясная пищевая, в том числе из мяса птицы, [ОКПД2 10.71] Изделия хлебобулочные; мучные кондитерские изделия, торты и пирожные недлительного хранения, [ОКПД2 10.20] Рыба переработанная и консервированная, ракообразные и моллюски, [ОКПД2 10.51] Молоко и молочная продукция, [ОКПД2 10.81] Сахар, [ОКПД2 10.73] Изделия макаронные, кускус и аналогичные мучные изделия, [ОКПД2 10.83] Чай и кофе обработанные</t>
  </si>
  <si>
    <t>Смидовичский район</t>
  </si>
  <si>
    <t>0301200051919000375</t>
  </si>
  <si>
    <t>0277101390</t>
  </si>
  <si>
    <t>0275034276</t>
  </si>
  <si>
    <t>0848300051619001686</t>
  </si>
  <si>
    <t>5040012890</t>
  </si>
  <si>
    <t>0848300051619001679</t>
  </si>
  <si>
    <t>7814002112</t>
  </si>
  <si>
    <t>0172100006519000044</t>
  </si>
  <si>
    <t>7806466640</t>
  </si>
  <si>
    <t>784246</t>
  </si>
  <si>
    <t>0859300019619000741</t>
  </si>
  <si>
    <t>[ОКПД2 69.20] Услуги в области бухгалтерского учета; по проведению финансового аудита; по налоговому консультированию</t>
  </si>
  <si>
    <t>2130108898</t>
  </si>
  <si>
    <t>6230017465</t>
  </si>
  <si>
    <t>6234048104</t>
  </si>
  <si>
    <t>6229021202</t>
  </si>
  <si>
    <t>9102052220</t>
  </si>
  <si>
    <t>7717107568</t>
  </si>
  <si>
    <t>0848300051619001676</t>
  </si>
  <si>
    <t>6155074535</t>
  </si>
  <si>
    <t>1005704</t>
  </si>
  <si>
    <t>7107033629</t>
  </si>
  <si>
    <t>0266100000419000145</t>
  </si>
  <si>
    <t>0149100002119000020</t>
  </si>
  <si>
    <t>6629022962</t>
  </si>
  <si>
    <t>2577407</t>
  </si>
  <si>
    <t>7019028620</t>
  </si>
  <si>
    <t>0165200002519000039</t>
  </si>
  <si>
    <t>7017015199</t>
  </si>
  <si>
    <t>5648005008</t>
  </si>
  <si>
    <t>0853500000319008614</t>
  </si>
  <si>
    <t>Ташлинский район</t>
  </si>
  <si>
    <t>7743553167</t>
  </si>
  <si>
    <t>0278166457</t>
  </si>
  <si>
    <t>0149100002119000021</t>
  </si>
  <si>
    <t>0308100007119000015</t>
  </si>
  <si>
    <t>0119100012619000054</t>
  </si>
  <si>
    <t>2466172369</t>
  </si>
  <si>
    <t>5029025110</t>
  </si>
  <si>
    <t>784081</t>
  </si>
  <si>
    <t>0711200008319000223</t>
  </si>
  <si>
    <t>3804016398</t>
  </si>
  <si>
    <t>0134100013519000016</t>
  </si>
  <si>
    <t>Братск</t>
  </si>
  <si>
    <t>4629043359</t>
  </si>
  <si>
    <t>0144200002419000996</t>
  </si>
  <si>
    <t>4632119382</t>
  </si>
  <si>
    <t>0134100013519000017</t>
  </si>
  <si>
    <t>0332300214719000034</t>
  </si>
  <si>
    <t>5210002934</t>
  </si>
  <si>
    <t>5645000202</t>
  </si>
  <si>
    <t>0853500000319008536</t>
  </si>
  <si>
    <t>Северный район</t>
  </si>
  <si>
    <t>7719193890</t>
  </si>
  <si>
    <t>7703449995</t>
  </si>
  <si>
    <t>2461035305</t>
  </si>
  <si>
    <t>0119400000219000099</t>
  </si>
  <si>
    <t>2464134223</t>
  </si>
  <si>
    <t>245300177545</t>
  </si>
  <si>
    <t>1910010933</t>
  </si>
  <si>
    <t>2231004060</t>
  </si>
  <si>
    <t>2466219070</t>
  </si>
  <si>
    <t>0373200041519001337</t>
  </si>
  <si>
    <t>0134100013519000015</t>
  </si>
  <si>
    <t>0172100005919000015</t>
  </si>
  <si>
    <t>3827004751</t>
  </si>
  <si>
    <t>0334100024819000011</t>
  </si>
  <si>
    <t>3812014637</t>
  </si>
  <si>
    <t>5260019884</t>
  </si>
  <si>
    <t>0232000000119000126</t>
  </si>
  <si>
    <t>2301006345</t>
  </si>
  <si>
    <t>7444200607</t>
  </si>
  <si>
    <t>0369100050819000074</t>
  </si>
  <si>
    <t>7456030999</t>
  </si>
  <si>
    <t>0251003617</t>
  </si>
  <si>
    <t>0801300011419000025</t>
  </si>
  <si>
    <t>8609018055</t>
  </si>
  <si>
    <t>0387200021619000032</t>
  </si>
  <si>
    <t>0165100009319000011</t>
  </si>
  <si>
    <t>0251004681</t>
  </si>
  <si>
    <t>0801300011419000028</t>
  </si>
  <si>
    <t>3917513457</t>
  </si>
  <si>
    <t>0335100015619000225</t>
  </si>
  <si>
    <t>7813218373</t>
  </si>
  <si>
    <t>3906320090</t>
  </si>
  <si>
    <t>0335100015619000224</t>
  </si>
  <si>
    <t>7721248515</t>
  </si>
  <si>
    <t>0373200041119001011</t>
  </si>
  <si>
    <t>7723501837</t>
  </si>
  <si>
    <t>0251004040</t>
  </si>
  <si>
    <t>0801300011419000026</t>
  </si>
  <si>
    <t>0119100008619000029</t>
  </si>
  <si>
    <t>2341003774</t>
  </si>
  <si>
    <t>0318300428119000264</t>
  </si>
  <si>
    <t>2630047604</t>
  </si>
  <si>
    <t>234100125125</t>
  </si>
  <si>
    <t>0251003818</t>
  </si>
  <si>
    <t>0801300011419000027</t>
  </si>
  <si>
    <t>7324001303</t>
  </si>
  <si>
    <t>0168300002519000063</t>
  </si>
  <si>
    <t>7327088126</t>
  </si>
  <si>
    <t>7707089101</t>
  </si>
  <si>
    <t>0173100003219000065</t>
  </si>
  <si>
    <t>366318251941</t>
  </si>
  <si>
    <t>3433007072</t>
  </si>
  <si>
    <t>0329200062219003363</t>
  </si>
  <si>
    <t>Чернышковский район</t>
  </si>
  <si>
    <t>2454011230</t>
  </si>
  <si>
    <t>0819300031919000271</t>
  </si>
  <si>
    <t>0390100001519000072</t>
  </si>
  <si>
    <t>0165100009319000010</t>
  </si>
  <si>
    <t>0369100031319000068</t>
  </si>
  <si>
    <t>7701816262</t>
  </si>
  <si>
    <t>0373200138219000651</t>
  </si>
  <si>
    <t>7721739792</t>
  </si>
  <si>
    <t>7324001293</t>
  </si>
  <si>
    <t>0168300002519000062</t>
  </si>
  <si>
    <t>0390100001519000071</t>
  </si>
  <si>
    <t>0351300115519000032</t>
  </si>
  <si>
    <t>8602001729</t>
  </si>
  <si>
    <t>0387200025919000022</t>
  </si>
  <si>
    <t>8602194414</t>
  </si>
  <si>
    <t>7713128976</t>
  </si>
  <si>
    <t>3301003064</t>
  </si>
  <si>
    <t>0328300078719000057</t>
  </si>
  <si>
    <t>3328404610</t>
  </si>
  <si>
    <t>3301022412</t>
  </si>
  <si>
    <t>0240100000219000134</t>
  </si>
  <si>
    <t>0307300050219000141</t>
  </si>
  <si>
    <t>0107100003519000247</t>
  </si>
  <si>
    <t>18894</t>
  </si>
  <si>
    <t>7537007941</t>
  </si>
  <si>
    <t>0891200000619008501</t>
  </si>
  <si>
    <t>753706541784</t>
  </si>
  <si>
    <t>3527008339</t>
  </si>
  <si>
    <t>0830300000419000083</t>
  </si>
  <si>
    <t>352700173002</t>
  </si>
  <si>
    <t>0126300012919000065</t>
  </si>
  <si>
    <t>3117012765</t>
  </si>
  <si>
    <t>3117003256</t>
  </si>
  <si>
    <t>Ровеньский район</t>
  </si>
  <si>
    <t>3117003383</t>
  </si>
  <si>
    <t>3117003312</t>
  </si>
  <si>
    <t>3117003464</t>
  </si>
  <si>
    <t>3117003376</t>
  </si>
  <si>
    <t>3117003351</t>
  </si>
  <si>
    <t>3117003425</t>
  </si>
  <si>
    <t>3117003432</t>
  </si>
  <si>
    <t>3117003270</t>
  </si>
  <si>
    <t>0856600000719000133</t>
  </si>
  <si>
    <t>6603010137</t>
  </si>
  <si>
    <t>0362300157719000010</t>
  </si>
  <si>
    <t>Асбест</t>
  </si>
  <si>
    <t>660304448529</t>
  </si>
  <si>
    <t>6672349121</t>
  </si>
  <si>
    <t>2463060339</t>
  </si>
  <si>
    <t>0119300019819001071</t>
  </si>
  <si>
    <t>246606343706</t>
  </si>
  <si>
    <t>6155037501</t>
  </si>
  <si>
    <t>1004502</t>
  </si>
  <si>
    <t>0390100001519000070</t>
  </si>
  <si>
    <t>1215040598</t>
  </si>
  <si>
    <t>0308200006619000217</t>
  </si>
  <si>
    <t>[ОКПД2 77.39] Услуги по аренде и лизингу прочих машин, оборудования и материальных средств, не включенных в другие группировки</t>
  </si>
  <si>
    <t>1215190610</t>
  </si>
  <si>
    <t>2577196</t>
  </si>
  <si>
    <t>0157000000319000011</t>
  </si>
  <si>
    <t>7024027702</t>
  </si>
  <si>
    <t>0165300009019000416</t>
  </si>
  <si>
    <t>2232005757</t>
  </si>
  <si>
    <t>1004295</t>
  </si>
  <si>
    <t>0390100001519000069</t>
  </si>
  <si>
    <t>1903007802</t>
  </si>
  <si>
    <t>0380100003519000013</t>
  </si>
  <si>
    <t>Черногорск</t>
  </si>
  <si>
    <t>0329200062219003339</t>
  </si>
  <si>
    <t>3403300517</t>
  </si>
  <si>
    <t>3403300436</t>
  </si>
  <si>
    <t>3403300490</t>
  </si>
  <si>
    <t>3403301214</t>
  </si>
  <si>
    <t>3403300524</t>
  </si>
  <si>
    <t>3403300595</t>
  </si>
  <si>
    <t>3403300330</t>
  </si>
  <si>
    <t>3403301246</t>
  </si>
  <si>
    <t>3403300179</t>
  </si>
  <si>
    <t>3403300387</t>
  </si>
  <si>
    <t>3403016922</t>
  </si>
  <si>
    <t>3403300531</t>
  </si>
  <si>
    <t>3403300394</t>
  </si>
  <si>
    <t>3403300549</t>
  </si>
  <si>
    <t>3403301260</t>
  </si>
  <si>
    <t>3403300404</t>
  </si>
  <si>
    <t>3403300362</t>
  </si>
  <si>
    <t>3442075223</t>
  </si>
  <si>
    <t>100213459119000016</t>
  </si>
  <si>
    <t>0106100004019000011</t>
  </si>
  <si>
    <t>1004242</t>
  </si>
  <si>
    <t>2438300851</t>
  </si>
  <si>
    <t>0319300277519000002</t>
  </si>
  <si>
    <t>2577168</t>
  </si>
  <si>
    <t>0371100014519000020</t>
  </si>
  <si>
    <t>0410001390</t>
  </si>
  <si>
    <t>0177200000919001892</t>
  </si>
  <si>
    <t>Чемальский район</t>
  </si>
  <si>
    <t>6025015031</t>
  </si>
  <si>
    <t>0157300002019000191</t>
  </si>
  <si>
    <t>6025008330</t>
  </si>
  <si>
    <t>6025015722</t>
  </si>
  <si>
    <t>0157300002019000186</t>
  </si>
  <si>
    <t>8909000690</t>
  </si>
  <si>
    <t>0390100000719000013</t>
  </si>
  <si>
    <t>Ямальский район</t>
  </si>
  <si>
    <t>890900834791</t>
  </si>
  <si>
    <t>0126300012919000063</t>
  </si>
  <si>
    <t>3117003337</t>
  </si>
  <si>
    <t>3117003344</t>
  </si>
  <si>
    <t>3117003400</t>
  </si>
  <si>
    <t>3117003320</t>
  </si>
  <si>
    <t>3117003390</t>
  </si>
  <si>
    <t>3117003263</t>
  </si>
  <si>
    <t>3117003231</t>
  </si>
  <si>
    <t>3117003305</t>
  </si>
  <si>
    <t>3117003369</t>
  </si>
  <si>
    <t>3117003457</t>
  </si>
  <si>
    <t>3117003440</t>
  </si>
  <si>
    <t>3117003249</t>
  </si>
  <si>
    <t>7734252526</t>
  </si>
  <si>
    <t>0373200017319000454</t>
  </si>
  <si>
    <t>2464078843</t>
  </si>
  <si>
    <t>6025014944</t>
  </si>
  <si>
    <t>0157300002019000192</t>
  </si>
  <si>
    <t>1808700260</t>
  </si>
  <si>
    <t>0813500000119008801</t>
  </si>
  <si>
    <t>Завьяловский район</t>
  </si>
  <si>
    <t>1830011890</t>
  </si>
  <si>
    <t>0813500000119008810</t>
  </si>
  <si>
    <t>100265598119000010</t>
  </si>
  <si>
    <t>6025016483</t>
  </si>
  <si>
    <t>0157300002019000188</t>
  </si>
  <si>
    <t>5047202611</t>
  </si>
  <si>
    <t>0848300044519000401</t>
  </si>
  <si>
    <t>6025016469</t>
  </si>
  <si>
    <t>0157300002019000187</t>
  </si>
  <si>
    <t>0848300044519000403</t>
  </si>
  <si>
    <t>6025017159</t>
  </si>
  <si>
    <t>0157300002019000190</t>
  </si>
  <si>
    <t>1003689</t>
  </si>
  <si>
    <t>0156100012819000007</t>
  </si>
  <si>
    <t>0873500000819003601</t>
  </si>
  <si>
    <t>7725034088</t>
  </si>
  <si>
    <t>0373200025519000123</t>
  </si>
  <si>
    <t>7714757039</t>
  </si>
  <si>
    <t>9718142992</t>
  </si>
  <si>
    <t>644001624995</t>
  </si>
  <si>
    <t>7724451875</t>
  </si>
  <si>
    <t>7719480704</t>
  </si>
  <si>
    <t>9723040065</t>
  </si>
  <si>
    <t>7716666605</t>
  </si>
  <si>
    <t>0848300044519000402</t>
  </si>
  <si>
    <t>1408002849</t>
  </si>
  <si>
    <t>100009712119000008</t>
  </si>
  <si>
    <t>Верхнеколымский улус</t>
  </si>
  <si>
    <t>0190300001219000643</t>
  </si>
  <si>
    <t>6730021011</t>
  </si>
  <si>
    <t>0163300029419001020</t>
  </si>
  <si>
    <t>1003576</t>
  </si>
  <si>
    <t>5406337653</t>
  </si>
  <si>
    <t>1003701</t>
  </si>
  <si>
    <t>8903020500</t>
  </si>
  <si>
    <t>0190300001219000641</t>
  </si>
  <si>
    <t>6025016518</t>
  </si>
  <si>
    <t>0157300002019000185</t>
  </si>
  <si>
    <t>7729082090</t>
  </si>
  <si>
    <t>0373100040119000323</t>
  </si>
  <si>
    <t>0190300001219000638</t>
  </si>
  <si>
    <t>6729008898</t>
  </si>
  <si>
    <t>0163300029419001018</t>
  </si>
  <si>
    <t>0848300044519000400</t>
  </si>
  <si>
    <t>1003313</t>
  </si>
  <si>
    <t>0390100000719000010</t>
  </si>
  <si>
    <t>0157000000319000006</t>
  </si>
  <si>
    <t>0190300001219000639</t>
  </si>
  <si>
    <t>6731019103</t>
  </si>
  <si>
    <t>0163300029419001014</t>
  </si>
  <si>
    <t>6025016476</t>
  </si>
  <si>
    <t>0157300002019000189</t>
  </si>
  <si>
    <t>2631022722</t>
  </si>
  <si>
    <t>0121300003219000118</t>
  </si>
  <si>
    <t>2631000711</t>
  </si>
  <si>
    <t>2631008630</t>
  </si>
  <si>
    <t>1014003518</t>
  </si>
  <si>
    <t>0306100012519000011</t>
  </si>
  <si>
    <t>1014001694</t>
  </si>
  <si>
    <t>0346300078819000016</t>
  </si>
  <si>
    <t>4802009485</t>
  </si>
  <si>
    <t>4804006352</t>
  </si>
  <si>
    <t>100248778119000046</t>
  </si>
  <si>
    <t>[ОКПД2 95.11] Услуги по ремонту компьютеров и периферийного оборудования, [ОКПД2 33.13] Услуги по ремонту электронного и оптического оборудования</t>
  </si>
  <si>
    <t>31908156461</t>
  </si>
  <si>
    <t>31908154968</t>
  </si>
  <si>
    <t>4704022992</t>
  </si>
  <si>
    <t>31908157081</t>
  </si>
  <si>
    <t>31908157062</t>
  </si>
  <si>
    <t>31908153822</t>
  </si>
  <si>
    <t>5030032464</t>
  </si>
  <si>
    <t>31908155485</t>
  </si>
  <si>
    <t>[ОКПД2 56.10] Услуги ресторанов и услуги по доставке продуктов питания, [ОКВЭД2 56+] Деятельность по предоставлению продуктов питания и напитков</t>
  </si>
  <si>
    <t>31908157539</t>
  </si>
  <si>
    <t>31908157698</t>
  </si>
  <si>
    <t>[ОКПД2 10.83] Чай и кофе обработанные, [ОКПД2 10.71] Изделия хлебобулочные; мучные кондитерские изделия, торты и пирожные недлительного хранения, [ОКПД2 11.07] Напитки безалкогольные; минеральные воды и прочие питьевые воды в бутылках, [ОКПД2 10.81] Сахар, [ОКПД2 10.51] Молоко и молочная продукция, [ОКПД2 56.29] Услуги по обеспечению питанием прочие, [ОКПД2 10.72] Изделия сухарные и печенье; мучные кондитерские изделия, торты и пирожные длительного хранения, [ОКПД2 10.89] Продукты пищевые прочие, не включенные в другие группировки, [ОКВЭД2 10.83] Производство чая и кофе,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10.89] Производство прочих пищевых продуктов, не включенных в другие группировки, [ОКВЭД2 10.81] Производство сахара, [ОКВЭД2 10.71] Производство хлеба и мучных кондитерских изделий, тортов и пирожных недлительного хранения, [ОКВЭД2 56.29] Деятельность предприятий общественного питания по прочим видам организации питания, [ОКВЭД2 11.07] Производство безалкогольных напитков; производство минеральных вод и прочих питьевых вод в бутылках, [ОКВЭД2 10.51] Производство молока (кроме сырого) и молочной продукции</t>
  </si>
  <si>
    <t>31908153834</t>
  </si>
  <si>
    <t>[ОКПД2 33.14] Услуги по ремонту электрического оборудования, [ОКВЭД2 33.1+] Ремонт и монтаж металлических изделий, машин и оборудования</t>
  </si>
  <si>
    <t>6025015730</t>
  </si>
  <si>
    <t>31908154090</t>
  </si>
  <si>
    <t>1419005577</t>
  </si>
  <si>
    <t>31908153918</t>
  </si>
  <si>
    <t>31908155591</t>
  </si>
  <si>
    <t>31908154069</t>
  </si>
  <si>
    <t>31908157614</t>
  </si>
  <si>
    <t>6025014912</t>
  </si>
  <si>
    <t>31908152854</t>
  </si>
  <si>
    <t>31908157834</t>
  </si>
  <si>
    <t>7204660086</t>
  </si>
  <si>
    <t>31908153574</t>
  </si>
  <si>
    <t>31908155736</t>
  </si>
  <si>
    <t>6660008159</t>
  </si>
  <si>
    <t>31908153920</t>
  </si>
  <si>
    <t>[ОКПД2 33.1+] Услуги по ремонту металлоизделий, машин и оборудования, [ОКВЭД2 33.1+] Ремонт и монтаж металлических изделий, машин и оборудования</t>
  </si>
  <si>
    <t>2019-735745</t>
  </si>
  <si>
    <t>31908152467</t>
  </si>
  <si>
    <t>7206009850</t>
  </si>
  <si>
    <t>31908154815</t>
  </si>
  <si>
    <t>4824018892</t>
  </si>
  <si>
    <t>31908157956</t>
  </si>
  <si>
    <t>31908157157</t>
  </si>
  <si>
    <t>5020005207</t>
  </si>
  <si>
    <t>31908155481</t>
  </si>
  <si>
    <t>Клинский район</t>
  </si>
  <si>
    <t>31908153286</t>
  </si>
  <si>
    <t>5904123809</t>
  </si>
  <si>
    <t>31908153089</t>
  </si>
  <si>
    <t>[ОКПД2 33.20] Услуги по монтажу промышленных машин и оборудования, [ОКВЭД2 33.20] Монтаж промышленных машин и оборудования</t>
  </si>
  <si>
    <t>6501100078</t>
  </si>
  <si>
    <t>31908156424</t>
  </si>
  <si>
    <t>31908156645</t>
  </si>
  <si>
    <t>31908157039</t>
  </si>
  <si>
    <t>31908155326</t>
  </si>
  <si>
    <t>4824005269</t>
  </si>
  <si>
    <t>31908154246</t>
  </si>
  <si>
    <t>31908155492</t>
  </si>
  <si>
    <t>31908157096</t>
  </si>
  <si>
    <t>[ОКПД2 10.41] Масла и жиры, [ОКВЭД2 10.41] Производство масел и жиров</t>
  </si>
  <si>
    <t>31908157148</t>
  </si>
  <si>
    <t>31908155702</t>
  </si>
  <si>
    <t>5030032506</t>
  </si>
  <si>
    <t>31908154782</t>
  </si>
  <si>
    <t>5604004896</t>
  </si>
  <si>
    <t>0853500000319008421</t>
  </si>
  <si>
    <t>0373100077819000016</t>
  </si>
  <si>
    <t>5040040418</t>
  </si>
  <si>
    <t>0848300051619001584</t>
  </si>
  <si>
    <t>5902292745</t>
  </si>
  <si>
    <t>0156200000119000036</t>
  </si>
  <si>
    <t>7728434750</t>
  </si>
  <si>
    <t>0373400007719000049</t>
  </si>
  <si>
    <t>7701808550</t>
  </si>
  <si>
    <t>7736540833</t>
  </si>
  <si>
    <t>0853500000319008266</t>
  </si>
  <si>
    <t>6671057084</t>
  </si>
  <si>
    <t>7810733680</t>
  </si>
  <si>
    <t>0124100003819000011</t>
  </si>
  <si>
    <t>0124100003819000012</t>
  </si>
  <si>
    <t>0141100008719000030</t>
  </si>
  <si>
    <t>0304100006319000061</t>
  </si>
  <si>
    <t>5610221592</t>
  </si>
  <si>
    <t>0853500000319008282</t>
  </si>
  <si>
    <t>4029059396</t>
  </si>
  <si>
    <t>2305020372</t>
  </si>
  <si>
    <t>0318300457619000161</t>
  </si>
  <si>
    <t>0316100010619000060</t>
  </si>
  <si>
    <t>6155920499</t>
  </si>
  <si>
    <t>1002229</t>
  </si>
  <si>
    <t>0817200000319008551</t>
  </si>
  <si>
    <t>2209037694</t>
  </si>
  <si>
    <t>1002377</t>
  </si>
  <si>
    <t>0407001223</t>
  </si>
  <si>
    <t>0377100007019000008</t>
  </si>
  <si>
    <t>Турочакский район</t>
  </si>
  <si>
    <t>040700067800</t>
  </si>
  <si>
    <t>0377100007019000009</t>
  </si>
  <si>
    <t>040900115169</t>
  </si>
  <si>
    <t>6915001280</t>
  </si>
  <si>
    <t>0136200003619004536</t>
  </si>
  <si>
    <t>Торжок</t>
  </si>
  <si>
    <t>691506613896</t>
  </si>
  <si>
    <t>0848300051619001583</t>
  </si>
  <si>
    <t>5031127006</t>
  </si>
  <si>
    <t>1435024023</t>
  </si>
  <si>
    <t>0816500000619010926</t>
  </si>
  <si>
    <t>1435157979</t>
  </si>
  <si>
    <t>100072237119000031</t>
  </si>
  <si>
    <t>0111300063219001029</t>
  </si>
  <si>
    <t>1644019820</t>
  </si>
  <si>
    <t>1644019764</t>
  </si>
  <si>
    <t>1644020262</t>
  </si>
  <si>
    <t>1644019980</t>
  </si>
  <si>
    <t>1644020449</t>
  </si>
  <si>
    <t>1644068560</t>
  </si>
  <si>
    <t>1644021837</t>
  </si>
  <si>
    <t>1644024250</t>
  </si>
  <si>
    <t>1649016157</t>
  </si>
  <si>
    <t>1660278565</t>
  </si>
  <si>
    <t>100072237119000030</t>
  </si>
  <si>
    <t>2129039128</t>
  </si>
  <si>
    <t>1002076</t>
  </si>
  <si>
    <t>0111300063219001027</t>
  </si>
  <si>
    <t>1644021749</t>
  </si>
  <si>
    <t>1644020103</t>
  </si>
  <si>
    <t>1644019958</t>
  </si>
  <si>
    <t>1644020142</t>
  </si>
  <si>
    <t>1644020110</t>
  </si>
  <si>
    <t>1644019997</t>
  </si>
  <si>
    <t>1644061854</t>
  </si>
  <si>
    <t>1644020216</t>
  </si>
  <si>
    <t>1644021812</t>
  </si>
  <si>
    <t>1644022164</t>
  </si>
  <si>
    <t>1644019718</t>
  </si>
  <si>
    <t>1649014907</t>
  </si>
  <si>
    <t>0111300063219001026</t>
  </si>
  <si>
    <t>1644019732</t>
  </si>
  <si>
    <t>1644020167</t>
  </si>
  <si>
    <t>1644031673</t>
  </si>
  <si>
    <t>1644024740</t>
  </si>
  <si>
    <t>1644032483</t>
  </si>
  <si>
    <t>1644020086</t>
  </si>
  <si>
    <t>1644019901</t>
  </si>
  <si>
    <t>1644020128</t>
  </si>
  <si>
    <t>1644021587</t>
  </si>
  <si>
    <t>1644021869</t>
  </si>
  <si>
    <t>1644022118</t>
  </si>
  <si>
    <t>1644021971</t>
  </si>
  <si>
    <t>0111300063219001031</t>
  </si>
  <si>
    <t>1644021883</t>
  </si>
  <si>
    <t>1644019683</t>
  </si>
  <si>
    <t>1644019838</t>
  </si>
  <si>
    <t>1644020431</t>
  </si>
  <si>
    <t>1644020079</t>
  </si>
  <si>
    <t>1644019676</t>
  </si>
  <si>
    <t>1644019933</t>
  </si>
  <si>
    <t>1644020174</t>
  </si>
  <si>
    <t>1644020343</t>
  </si>
  <si>
    <t>1644020199</t>
  </si>
  <si>
    <t>1644020336</t>
  </si>
  <si>
    <t>1644019725</t>
  </si>
  <si>
    <t>1644019926</t>
  </si>
  <si>
    <t>1644019845</t>
  </si>
  <si>
    <t>1644022083</t>
  </si>
  <si>
    <t>1644022206</t>
  </si>
  <si>
    <t>1644021562</t>
  </si>
  <si>
    <t>1644021570</t>
  </si>
  <si>
    <t>1644020209</t>
  </si>
  <si>
    <t>1644021611</t>
  </si>
  <si>
    <t>5919017088</t>
  </si>
  <si>
    <t>0856400000119000060</t>
  </si>
  <si>
    <t>6685114416</t>
  </si>
  <si>
    <t>4704039562</t>
  </si>
  <si>
    <t>0845300015019000464</t>
  </si>
  <si>
    <t>0111300063219001030</t>
  </si>
  <si>
    <t>1644021604</t>
  </si>
  <si>
    <t>1644020008</t>
  </si>
  <si>
    <t>1644019877</t>
  </si>
  <si>
    <t>1644019860</t>
  </si>
  <si>
    <t>1644019789</t>
  </si>
  <si>
    <t>1644061942</t>
  </si>
  <si>
    <t>1644020368</t>
  </si>
  <si>
    <t>1644020311</t>
  </si>
  <si>
    <t>1644022125</t>
  </si>
  <si>
    <t>1644022140</t>
  </si>
  <si>
    <t>0111300063219001028</t>
  </si>
  <si>
    <t>1644020054</t>
  </si>
  <si>
    <t>1644019690</t>
  </si>
  <si>
    <t>1644036520</t>
  </si>
  <si>
    <t>1644019972</t>
  </si>
  <si>
    <t>1644020350</t>
  </si>
  <si>
    <t>1644019757</t>
  </si>
  <si>
    <t>1644020400</t>
  </si>
  <si>
    <t>1644020181</t>
  </si>
  <si>
    <t>1644020417</t>
  </si>
  <si>
    <t>1644020390</t>
  </si>
  <si>
    <t>1644019700</t>
  </si>
  <si>
    <t>1644019852</t>
  </si>
  <si>
    <t>1644021996</t>
  </si>
  <si>
    <t>1644021890</t>
  </si>
  <si>
    <t>1644022196</t>
  </si>
  <si>
    <t>1644021788</t>
  </si>
  <si>
    <t>1644021682</t>
  </si>
  <si>
    <t>1644021636</t>
  </si>
  <si>
    <t>1644021932</t>
  </si>
  <si>
    <t>1644021594</t>
  </si>
  <si>
    <t>1644021650</t>
  </si>
  <si>
    <t>0111300063219001032</t>
  </si>
  <si>
    <t>1644022157</t>
  </si>
  <si>
    <t>1644019919</t>
  </si>
  <si>
    <t>1644020030</t>
  </si>
  <si>
    <t>1644020230</t>
  </si>
  <si>
    <t>1644019965</t>
  </si>
  <si>
    <t>1644020223</t>
  </si>
  <si>
    <t>1644022020</t>
  </si>
  <si>
    <t>1644021690</t>
  </si>
  <si>
    <t>1644021805</t>
  </si>
  <si>
    <t>1644021925</t>
  </si>
  <si>
    <t>1644021668</t>
  </si>
  <si>
    <t>1644022044</t>
  </si>
  <si>
    <t>1644021940</t>
  </si>
  <si>
    <t>0313100004819000017</t>
  </si>
  <si>
    <t>1828029843</t>
  </si>
  <si>
    <t>0323082280</t>
  </si>
  <si>
    <t>0102200001619003280</t>
  </si>
  <si>
    <t>[ОКПД2 62.01] Продукты программные и услуги по разработке и тестированию программного обеспечения, [ОКПД2 26.20] Компьютеры и периферийное оборудование, [ОКПД2 26.40] Техника бытовая электронная</t>
  </si>
  <si>
    <t>0326009009</t>
  </si>
  <si>
    <t>0111300063219001033</t>
  </si>
  <si>
    <t>1644051359</t>
  </si>
  <si>
    <t>1644021675</t>
  </si>
  <si>
    <t>1644026578</t>
  </si>
  <si>
    <t>1644020093</t>
  </si>
  <si>
    <t>1644019940</t>
  </si>
  <si>
    <t>1644021918</t>
  </si>
  <si>
    <t>1644022069</t>
  </si>
  <si>
    <t>0137200001219003740</t>
  </si>
  <si>
    <t>4028066489</t>
  </si>
  <si>
    <t>3503002000</t>
  </si>
  <si>
    <t>0130200002419002612</t>
  </si>
  <si>
    <t>Белозерский район</t>
  </si>
  <si>
    <t>6345004007</t>
  </si>
  <si>
    <t>0342100010919000003</t>
  </si>
  <si>
    <t>Жигулевск</t>
  </si>
  <si>
    <t>6318235622</t>
  </si>
  <si>
    <t>6345020707</t>
  </si>
  <si>
    <t>0332100021419000017</t>
  </si>
  <si>
    <t>0151100018919000018</t>
  </si>
  <si>
    <t>5439000278</t>
  </si>
  <si>
    <t>0356300224019000001</t>
  </si>
  <si>
    <t>591800063813</t>
  </si>
  <si>
    <t>5918014711</t>
  </si>
  <si>
    <t>5918014670</t>
  </si>
  <si>
    <t>7007011325</t>
  </si>
  <si>
    <t>0165100009419000011</t>
  </si>
  <si>
    <t>Колпашевский район</t>
  </si>
  <si>
    <t>0373100131519000010</t>
  </si>
  <si>
    <t>[ОКПД2 81.21] Услуги по общей уборке зданий</t>
  </si>
  <si>
    <t>7726439880</t>
  </si>
  <si>
    <t>9701073162</t>
  </si>
  <si>
    <t>0119300006219000261</t>
  </si>
  <si>
    <t>245008988978</t>
  </si>
  <si>
    <t>2450013356</t>
  </si>
  <si>
    <t>Канск</t>
  </si>
  <si>
    <t>2450005203</t>
  </si>
  <si>
    <t>2450005193</t>
  </si>
  <si>
    <t>2450005210</t>
  </si>
  <si>
    <t>2450008317</t>
  </si>
  <si>
    <t>2450005161</t>
  </si>
  <si>
    <t>2450005316</t>
  </si>
  <si>
    <t>2450008780</t>
  </si>
  <si>
    <t>2450009800</t>
  </si>
  <si>
    <t>2450010588</t>
  </si>
  <si>
    <t>2450005179</t>
  </si>
  <si>
    <t>2450005154</t>
  </si>
  <si>
    <t>2450012183</t>
  </si>
  <si>
    <t>2450010718</t>
  </si>
  <si>
    <t>2450005186</t>
  </si>
  <si>
    <t>7723323623</t>
  </si>
  <si>
    <t>0373200041119001002</t>
  </si>
  <si>
    <t>7723471131</t>
  </si>
  <si>
    <t>5036130651</t>
  </si>
  <si>
    <t>783520</t>
  </si>
  <si>
    <t>0306300006319000002</t>
  </si>
  <si>
    <t>1012002131</t>
  </si>
  <si>
    <t>Лахденпохский район</t>
  </si>
  <si>
    <t>1012002170</t>
  </si>
  <si>
    <t>1012001963</t>
  </si>
  <si>
    <t>1012009480</t>
  </si>
  <si>
    <t>1012002149</t>
  </si>
  <si>
    <t>1012002519</t>
  </si>
  <si>
    <t>2721001815</t>
  </si>
  <si>
    <t>0122200002519004656</t>
  </si>
  <si>
    <t>7731470815</t>
  </si>
  <si>
    <t>2723052237</t>
  </si>
  <si>
    <t>6120004738</t>
  </si>
  <si>
    <t>0358300336719000004</t>
  </si>
  <si>
    <t>Милютинский район</t>
  </si>
  <si>
    <t>0373100105419000066</t>
  </si>
  <si>
    <t>7736518926</t>
  </si>
  <si>
    <t>7705830099</t>
  </si>
  <si>
    <t>7702826834</t>
  </si>
  <si>
    <t>3123029076</t>
  </si>
  <si>
    <t>0126300035819001049</t>
  </si>
  <si>
    <t>6120004537</t>
  </si>
  <si>
    <t>0358300384019000003</t>
  </si>
  <si>
    <t>6120004470</t>
  </si>
  <si>
    <t>0358300259519000003</t>
  </si>
  <si>
    <t>7814712962</t>
  </si>
  <si>
    <t>0372500001919000021</t>
  </si>
  <si>
    <t>7813037232</t>
  </si>
  <si>
    <t>6504017780</t>
  </si>
  <si>
    <t>0161100008019000013</t>
  </si>
  <si>
    <t>6504024548</t>
  </si>
  <si>
    <t>5030005816</t>
  </si>
  <si>
    <t>0348100057019000024</t>
  </si>
  <si>
    <t>5030093523</t>
  </si>
  <si>
    <t>0377300007119000034</t>
  </si>
  <si>
    <t>040100116808</t>
  </si>
  <si>
    <t>0401003778</t>
  </si>
  <si>
    <t>Кош-Агачский район</t>
  </si>
  <si>
    <t>0401003746</t>
  </si>
  <si>
    <t>0401004281</t>
  </si>
  <si>
    <t>0401003760</t>
  </si>
  <si>
    <t>0404010068</t>
  </si>
  <si>
    <t>0401003619</t>
  </si>
  <si>
    <t>0401003665</t>
  </si>
  <si>
    <t>0401003753</t>
  </si>
  <si>
    <t>0401003658</t>
  </si>
  <si>
    <t>0401003697</t>
  </si>
  <si>
    <t>0401003707</t>
  </si>
  <si>
    <t>0401003739</t>
  </si>
  <si>
    <t>0401003633</t>
  </si>
  <si>
    <t>0401003680</t>
  </si>
  <si>
    <t>0161100008019000014</t>
  </si>
  <si>
    <t>6120004640</t>
  </si>
  <si>
    <t>0358300383919000004</t>
  </si>
  <si>
    <t>7722830317</t>
  </si>
  <si>
    <t>0873100007319000132</t>
  </si>
  <si>
    <t>7717662628</t>
  </si>
  <si>
    <t>7734528855</t>
  </si>
  <si>
    <t>7743625799</t>
  </si>
  <si>
    <t>6120004512</t>
  </si>
  <si>
    <t>0358300383819000003</t>
  </si>
  <si>
    <t>5074013229</t>
  </si>
  <si>
    <t>0348200063719000015</t>
  </si>
  <si>
    <t>6120004569</t>
  </si>
  <si>
    <t>0358300152019000003</t>
  </si>
  <si>
    <t>6155036762</t>
  </si>
  <si>
    <t>1001367</t>
  </si>
  <si>
    <t>7405001573</t>
  </si>
  <si>
    <t>0169400001419000015</t>
  </si>
  <si>
    <t>Трехгорный</t>
  </si>
  <si>
    <t>7405011500</t>
  </si>
  <si>
    <t>2925002165</t>
  </si>
  <si>
    <t>100023467119000002</t>
  </si>
  <si>
    <t>6120004551</t>
  </si>
  <si>
    <t>0358300334519000003</t>
  </si>
  <si>
    <t>6120001511</t>
  </si>
  <si>
    <t>0169400001419000014</t>
  </si>
  <si>
    <t>5920013151</t>
  </si>
  <si>
    <t>0856300008419000198</t>
  </si>
  <si>
    <t>592009787806</t>
  </si>
  <si>
    <t>9109000478</t>
  </si>
  <si>
    <t>100171023119000015</t>
  </si>
  <si>
    <t>Белогорский</t>
  </si>
  <si>
    <t>6120004544</t>
  </si>
  <si>
    <t>0358300215919000005</t>
  </si>
  <si>
    <t>6120004431</t>
  </si>
  <si>
    <t>0358300215819000004</t>
  </si>
  <si>
    <t>4628003586</t>
  </si>
  <si>
    <t>100174284119000010</t>
  </si>
  <si>
    <t>Щигры</t>
  </si>
  <si>
    <t>1000967</t>
  </si>
  <si>
    <t>6120004449</t>
  </si>
  <si>
    <t>0358300274719000003</t>
  </si>
  <si>
    <t>6120004632</t>
  </si>
  <si>
    <t>0358300384119000003</t>
  </si>
  <si>
    <t>6155921189</t>
  </si>
  <si>
    <t>1000942</t>
  </si>
  <si>
    <t>2315084696</t>
  </si>
  <si>
    <t>0318200084019000009</t>
  </si>
  <si>
    <t>6729011636</t>
  </si>
  <si>
    <t>0163300029419001005</t>
  </si>
  <si>
    <t>0318200084019000007</t>
  </si>
  <si>
    <t>6120004664</t>
  </si>
  <si>
    <t>0358300278019000003</t>
  </si>
  <si>
    <t>7715107139</t>
  </si>
  <si>
    <t>0373100008719000135</t>
  </si>
  <si>
    <t>7701919892</t>
  </si>
  <si>
    <t>7714844108</t>
  </si>
  <si>
    <t>6120004505</t>
  </si>
  <si>
    <t>0358300173519000003</t>
  </si>
  <si>
    <t>6120004488</t>
  </si>
  <si>
    <t>0358300372219000004</t>
  </si>
  <si>
    <t>6120004576</t>
  </si>
  <si>
    <t>0358300278119000004</t>
  </si>
  <si>
    <t>0318200084019000008</t>
  </si>
  <si>
    <t>6731031862</t>
  </si>
  <si>
    <t>0163300029419001001</t>
  </si>
  <si>
    <t>6120004625</t>
  </si>
  <si>
    <t>0358300151919000003</t>
  </si>
  <si>
    <t>0172200004719000141</t>
  </si>
  <si>
    <t>7811044812</t>
  </si>
  <si>
    <t>7811022978</t>
  </si>
  <si>
    <t>6155921291</t>
  </si>
  <si>
    <t>1000501</t>
  </si>
  <si>
    <t>5920012976</t>
  </si>
  <si>
    <t>0856300008419000197</t>
  </si>
  <si>
    <t>592000308826</t>
  </si>
  <si>
    <t>6944003901</t>
  </si>
  <si>
    <t>0136200003619004501</t>
  </si>
  <si>
    <t>Торопецкий район</t>
  </si>
  <si>
    <t>0318200084019000006</t>
  </si>
  <si>
    <t>783156</t>
  </si>
  <si>
    <t>0366300027319000145</t>
  </si>
  <si>
    <t>106087</t>
  </si>
  <si>
    <t>1830011963</t>
  </si>
  <si>
    <t>0813500000119008628</t>
  </si>
  <si>
    <t>1000133</t>
  </si>
  <si>
    <t>4214010638</t>
  </si>
  <si>
    <t>0139300013019000610</t>
  </si>
  <si>
    <t>4214024990</t>
  </si>
  <si>
    <t>0342100010919000004</t>
  </si>
  <si>
    <t>4223017774</t>
  </si>
  <si>
    <t>0139200000119006035</t>
  </si>
  <si>
    <t>4202047993</t>
  </si>
  <si>
    <t>4223059284</t>
  </si>
  <si>
    <t>5921031844</t>
  </si>
  <si>
    <t>0156100013719000011</t>
  </si>
  <si>
    <t>Чусовой</t>
  </si>
  <si>
    <t>2232002650</t>
  </si>
  <si>
    <t>999717</t>
  </si>
  <si>
    <t>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</t>
  </si>
  <si>
    <t>2223013254</t>
  </si>
  <si>
    <t>999802</t>
  </si>
  <si>
    <t>3911002255</t>
  </si>
  <si>
    <t>31908148172</t>
  </si>
  <si>
    <t>6660127734</t>
  </si>
  <si>
    <t>31908151759</t>
  </si>
  <si>
    <t>31908151286</t>
  </si>
  <si>
    <t>2635027810</t>
  </si>
  <si>
    <t>31908150783</t>
  </si>
  <si>
    <t>7203001556</t>
  </si>
  <si>
    <t>31908149073</t>
  </si>
  <si>
    <t>2462023292</t>
  </si>
  <si>
    <t>31908148984</t>
  </si>
  <si>
    <t>31908148116</t>
  </si>
  <si>
    <t>5075010630</t>
  </si>
  <si>
    <t>31908150900</t>
  </si>
  <si>
    <t>6831013176</t>
  </si>
  <si>
    <t>31908151159</t>
  </si>
  <si>
    <t>7021020064</t>
  </si>
  <si>
    <t>31908148013</t>
  </si>
  <si>
    <t>6632016528</t>
  </si>
  <si>
    <t>31908148398</t>
  </si>
  <si>
    <t>31908151225</t>
  </si>
  <si>
    <t>7411013922</t>
  </si>
  <si>
    <t>31908147528</t>
  </si>
  <si>
    <t>31908151020</t>
  </si>
  <si>
    <t>[ОКПД2 10.83] Чай и кофе обработанные, [ОКПД2 10.82] Какао, шоколад и изделия кондитерские сахаристые, [ОКВЭД2 10.83] Производство чая и кофе, [ОКВЭД2 10.82] Производство какао, шоколада и сахаристых кондитерских изделий</t>
  </si>
  <si>
    <t>7202093106</t>
  </si>
  <si>
    <t>31908147285</t>
  </si>
  <si>
    <t>[ОКПД2 81.22] Услуги по чистке и уборке зданий и промышленной уборке прочие, [ОКВЭД2 81.22] Деятельность по чистке и уборке жилых зданий и нежилых помещений прочая</t>
  </si>
  <si>
    <t>7203346712</t>
  </si>
  <si>
    <t>31908149000</t>
  </si>
  <si>
    <t>0860200000819008561</t>
  </si>
  <si>
    <t>31908146282</t>
  </si>
  <si>
    <t>107131</t>
  </si>
  <si>
    <t>0373200041519001301</t>
  </si>
  <si>
    <t>5075023100</t>
  </si>
  <si>
    <t>5040054650</t>
  </si>
  <si>
    <t>7719261540</t>
  </si>
  <si>
    <t>0173200016319000009</t>
  </si>
  <si>
    <t>7720635790</t>
  </si>
  <si>
    <t>771707230364</t>
  </si>
  <si>
    <t>7729535247</t>
  </si>
  <si>
    <t>5038131668</t>
  </si>
  <si>
    <t>0806500000219000680</t>
  </si>
  <si>
    <t>6426003361</t>
  </si>
  <si>
    <t>0860200000819008546</t>
  </si>
  <si>
    <t>Питерский район</t>
  </si>
  <si>
    <t>6426004615</t>
  </si>
  <si>
    <t>5030032143</t>
  </si>
  <si>
    <t>31908146505</t>
  </si>
  <si>
    <t>5610112265</t>
  </si>
  <si>
    <t>0853500000319008157</t>
  </si>
  <si>
    <t>5609040217</t>
  </si>
  <si>
    <t>6729011611</t>
  </si>
  <si>
    <t>0163300029419000990</t>
  </si>
  <si>
    <t>0145300006319000261</t>
  </si>
  <si>
    <t>4716013791</t>
  </si>
  <si>
    <t>4716014361</t>
  </si>
  <si>
    <t>4716033325</t>
  </si>
  <si>
    <t>Тосно</t>
  </si>
  <si>
    <t>4716006868</t>
  </si>
  <si>
    <t>4716013819</t>
  </si>
  <si>
    <t>4716010078</t>
  </si>
  <si>
    <t>4716013713</t>
  </si>
  <si>
    <t>4716014080</t>
  </si>
  <si>
    <t>4716014210</t>
  </si>
  <si>
    <t>4716013760</t>
  </si>
  <si>
    <t>4716033300</t>
  </si>
  <si>
    <t>4716014160</t>
  </si>
  <si>
    <t>4716033332</t>
  </si>
  <si>
    <t>4716014393</t>
  </si>
  <si>
    <t>4716013777</t>
  </si>
  <si>
    <t>7718710585</t>
  </si>
  <si>
    <t>0373100117419000001</t>
  </si>
  <si>
    <t>0160100007919000019</t>
  </si>
  <si>
    <t>0137200001219003706</t>
  </si>
  <si>
    <t>4028062798</t>
  </si>
  <si>
    <t>7728437590</t>
  </si>
  <si>
    <t>0849400000219000108</t>
  </si>
  <si>
    <t>3511002405</t>
  </si>
  <si>
    <t>0137200001219003705</t>
  </si>
  <si>
    <t>4026009238</t>
  </si>
  <si>
    <t>3442051342</t>
  </si>
  <si>
    <t>0129200005319002963</t>
  </si>
  <si>
    <t>3461061226</t>
  </si>
  <si>
    <t>2632023775</t>
  </si>
  <si>
    <t>0121200004719000917</t>
  </si>
  <si>
    <t>2632106559</t>
  </si>
  <si>
    <t>2632806208</t>
  </si>
  <si>
    <t>1408000560</t>
  </si>
  <si>
    <t>0816500000619010830</t>
  </si>
  <si>
    <t>7017419321</t>
  </si>
  <si>
    <t>5029112443</t>
  </si>
  <si>
    <t>2576428</t>
  </si>
  <si>
    <t>0131200001019004072</t>
  </si>
  <si>
    <t>3444056709</t>
  </si>
  <si>
    <t>0129300015019000006</t>
  </si>
  <si>
    <t>0319200056819000153</t>
  </si>
  <si>
    <t>31908146007</t>
  </si>
  <si>
    <t>31908146068</t>
  </si>
  <si>
    <t>ATOM29071900259</t>
  </si>
  <si>
    <t>6013003049</t>
  </si>
  <si>
    <t>0357200000319000014</t>
  </si>
  <si>
    <t>4704055701</t>
  </si>
  <si>
    <t>0845300015019000456</t>
  </si>
  <si>
    <t>0111300063219001020</t>
  </si>
  <si>
    <t>1644022171</t>
  </si>
  <si>
    <t>1644020015</t>
  </si>
  <si>
    <t>1644019796</t>
  </si>
  <si>
    <t>1644062103</t>
  </si>
  <si>
    <t>1644020270</t>
  </si>
  <si>
    <t>1644046687</t>
  </si>
  <si>
    <t>1644019740</t>
  </si>
  <si>
    <t>1644020329</t>
  </si>
  <si>
    <t>1644020375</t>
  </si>
  <si>
    <t>1644024757</t>
  </si>
  <si>
    <t>1644020287</t>
  </si>
  <si>
    <t>1644019891</t>
  </si>
  <si>
    <t>1644020248</t>
  </si>
  <si>
    <t>1644020294</t>
  </si>
  <si>
    <t>1644019813</t>
  </si>
  <si>
    <t>1644022012</t>
  </si>
  <si>
    <t>1644022037</t>
  </si>
  <si>
    <t>1644022076</t>
  </si>
  <si>
    <t>1644021724</t>
  </si>
  <si>
    <t>1644021876</t>
  </si>
  <si>
    <t>1644021763</t>
  </si>
  <si>
    <t>1644022189</t>
  </si>
  <si>
    <t>1644021770</t>
  </si>
  <si>
    <t>1644022132</t>
  </si>
  <si>
    <t>2450000491</t>
  </si>
  <si>
    <t>0119200000119006804</t>
  </si>
  <si>
    <t>2635077144</t>
  </si>
  <si>
    <t>0321100017219000041</t>
  </si>
  <si>
    <t>2635089686</t>
  </si>
  <si>
    <t>0160100007919000018</t>
  </si>
  <si>
    <t>0111300063219001017</t>
  </si>
  <si>
    <t>1644052560</t>
  </si>
  <si>
    <t>1644020304</t>
  </si>
  <si>
    <t>1644071588</t>
  </si>
  <si>
    <t>1644071595</t>
  </si>
  <si>
    <t>1644019771</t>
  </si>
  <si>
    <t>1644020022</t>
  </si>
  <si>
    <t>1644020135</t>
  </si>
  <si>
    <t>1644022358</t>
  </si>
  <si>
    <t>1644071637</t>
  </si>
  <si>
    <t>3250506236</t>
  </si>
  <si>
    <t>31908145575</t>
  </si>
  <si>
    <t>6731031774</t>
  </si>
  <si>
    <t>0163300029419000987</t>
  </si>
  <si>
    <t>0716009710</t>
  </si>
  <si>
    <t>0804200000119000067</t>
  </si>
  <si>
    <t>Прохладный</t>
  </si>
  <si>
    <t>100250149119000006</t>
  </si>
  <si>
    <t>0804200000119000068</t>
  </si>
  <si>
    <t>0333100004019000030</t>
  </si>
  <si>
    <t>8605006250</t>
  </si>
  <si>
    <t>0187300004519000340</t>
  </si>
  <si>
    <t>0124100005919000022</t>
  </si>
  <si>
    <t>4712015131</t>
  </si>
  <si>
    <t>0345300022019000013</t>
  </si>
  <si>
    <t>Приозерский район</t>
  </si>
  <si>
    <t>471200905011</t>
  </si>
  <si>
    <t>1105009041</t>
  </si>
  <si>
    <t>0107100003519000233</t>
  </si>
  <si>
    <t>110514611744</t>
  </si>
  <si>
    <t>110500191641</t>
  </si>
  <si>
    <t>7811642467</t>
  </si>
  <si>
    <t>0106100004019000009</t>
  </si>
  <si>
    <t>9103017813</t>
  </si>
  <si>
    <t>0875300035619000005</t>
  </si>
  <si>
    <t>100066546119000019</t>
  </si>
  <si>
    <t>31908145768</t>
  </si>
  <si>
    <t>6345004536</t>
  </si>
  <si>
    <t>0142200001319011778</t>
  </si>
  <si>
    <t>6323055390</t>
  </si>
  <si>
    <t>6313536457</t>
  </si>
  <si>
    <t>0124100005919000021</t>
  </si>
  <si>
    <t>100250149119000005</t>
  </si>
  <si>
    <t>6155038872</t>
  </si>
  <si>
    <t>999064</t>
  </si>
  <si>
    <t>1011200001819000004</t>
  </si>
  <si>
    <t>1660294006</t>
  </si>
  <si>
    <t>2815001930</t>
  </si>
  <si>
    <t>0123100003019000018</t>
  </si>
  <si>
    <t>Зея</t>
  </si>
  <si>
    <t>281502500213</t>
  </si>
  <si>
    <t>6625024912</t>
  </si>
  <si>
    <t>0362200037619000007</t>
  </si>
  <si>
    <t>6155920996</t>
  </si>
  <si>
    <t>998706</t>
  </si>
  <si>
    <t>3311009756</t>
  </si>
  <si>
    <t>0328300017419000221</t>
  </si>
  <si>
    <t>3311015510</t>
  </si>
  <si>
    <t>3665024208</t>
  </si>
  <si>
    <t>31908144967</t>
  </si>
  <si>
    <t>31908144961</t>
  </si>
  <si>
    <t>0123100003019000019</t>
  </si>
  <si>
    <t>0820300011419000064</t>
  </si>
  <si>
    <t>250500274409</t>
  </si>
  <si>
    <t>2505004265</t>
  </si>
  <si>
    <t>2505004314</t>
  </si>
  <si>
    <t>2505004307</t>
  </si>
  <si>
    <t>2505004272</t>
  </si>
  <si>
    <t>2505007594</t>
  </si>
  <si>
    <t>2505004240</t>
  </si>
  <si>
    <t>2505007570</t>
  </si>
  <si>
    <t>2505005283</t>
  </si>
  <si>
    <t>2505004219</t>
  </si>
  <si>
    <t>2505005251</t>
  </si>
  <si>
    <t>2505009601</t>
  </si>
  <si>
    <t>2505007587</t>
  </si>
  <si>
    <t>7813088195</t>
  </si>
  <si>
    <t>0372200007119000065</t>
  </si>
  <si>
    <t>7816274834</t>
  </si>
  <si>
    <t>7804526766</t>
  </si>
  <si>
    <t>532109902701</t>
  </si>
  <si>
    <t>5029189703</t>
  </si>
  <si>
    <t>0132100003919000028</t>
  </si>
  <si>
    <t>5235006627</t>
  </si>
  <si>
    <t>0851100001919000598</t>
  </si>
  <si>
    <t>31908144022</t>
  </si>
  <si>
    <t>0229002417</t>
  </si>
  <si>
    <t>100310169119000012</t>
  </si>
  <si>
    <t>Кармаскалинский район</t>
  </si>
  <si>
    <t>7602023671</t>
  </si>
  <si>
    <t>31908144851</t>
  </si>
  <si>
    <t>0148100001319000042</t>
  </si>
  <si>
    <t>0355100000119000009</t>
  </si>
  <si>
    <t>580200510170</t>
  </si>
  <si>
    <t>0132100003919000029</t>
  </si>
  <si>
    <t>2466075372</t>
  </si>
  <si>
    <t>31908143411</t>
  </si>
  <si>
    <t>100310169119000011</t>
  </si>
  <si>
    <t>0148100001319000041</t>
  </si>
  <si>
    <t>0137200001219003680</t>
  </si>
  <si>
    <t>0126300035819001041</t>
  </si>
  <si>
    <t>3123028227</t>
  </si>
  <si>
    <t>3123027544</t>
  </si>
  <si>
    <t>3123027840</t>
  </si>
  <si>
    <t>3123025427</t>
  </si>
  <si>
    <t>3123027015</t>
  </si>
  <si>
    <t>3123030515</t>
  </si>
  <si>
    <t>3123026075</t>
  </si>
  <si>
    <t>3123056432</t>
  </si>
  <si>
    <t>3123021327</t>
  </si>
  <si>
    <t>3123025970</t>
  </si>
  <si>
    <t>3123027230</t>
  </si>
  <si>
    <t>3123029213</t>
  </si>
  <si>
    <t>3123026822</t>
  </si>
  <si>
    <t>3123029943</t>
  </si>
  <si>
    <t>3123028354</t>
  </si>
  <si>
    <t>3123028499</t>
  </si>
  <si>
    <t>3123028298</t>
  </si>
  <si>
    <t>3123029260</t>
  </si>
  <si>
    <t>3123026170</t>
  </si>
  <si>
    <t>3123027375</t>
  </si>
  <si>
    <t>3123025025</t>
  </si>
  <si>
    <t>3123026269</t>
  </si>
  <si>
    <t>31908143582</t>
  </si>
  <si>
    <t>0127100010019000027</t>
  </si>
  <si>
    <t>18586</t>
  </si>
  <si>
    <t>0137200001219003683</t>
  </si>
  <si>
    <t>5009020297</t>
  </si>
  <si>
    <t>0348100054019000021</t>
  </si>
  <si>
    <t>0127100010019000028</t>
  </si>
  <si>
    <t>5931000806</t>
  </si>
  <si>
    <t>0356300030719000074</t>
  </si>
  <si>
    <t>591701729500</t>
  </si>
  <si>
    <t>0348100054019000020</t>
  </si>
  <si>
    <t>31908144389</t>
  </si>
  <si>
    <t>6163132276</t>
  </si>
  <si>
    <t>31908144527</t>
  </si>
  <si>
    <t>0302100011519000005</t>
  </si>
  <si>
    <t>4029005954</t>
  </si>
  <si>
    <t>0137200001219003692</t>
  </si>
  <si>
    <t>7420002420</t>
  </si>
  <si>
    <t>0369100019119000022</t>
  </si>
  <si>
    <t>Чебаркуль</t>
  </si>
  <si>
    <t>7415101190</t>
  </si>
  <si>
    <t>7415088213</t>
  </si>
  <si>
    <t>0838100000619000100</t>
  </si>
  <si>
    <t>0362200059619000074</t>
  </si>
  <si>
    <t>0355100000119000008</t>
  </si>
  <si>
    <t>0369100019119000021</t>
  </si>
  <si>
    <t>4345362672</t>
  </si>
  <si>
    <t>0340200003319009995</t>
  </si>
  <si>
    <t>0361200001919000031</t>
  </si>
  <si>
    <t>272400812709</t>
  </si>
  <si>
    <t>650114093600</t>
  </si>
  <si>
    <t>5217001680</t>
  </si>
  <si>
    <t>0332100034219000011</t>
  </si>
  <si>
    <t>Княгининский район</t>
  </si>
  <si>
    <t>0157200001819000129</t>
  </si>
  <si>
    <t>6027138617</t>
  </si>
  <si>
    <t>0375200030019000152</t>
  </si>
  <si>
    <t>910204587437</t>
  </si>
  <si>
    <t>910206178599</t>
  </si>
  <si>
    <t>2315061988</t>
  </si>
  <si>
    <t>0118300013319000767</t>
  </si>
  <si>
    <t>246207938645</t>
  </si>
  <si>
    <t>4104003370</t>
  </si>
  <si>
    <t>0338300050619000041</t>
  </si>
  <si>
    <t>Быстринский район</t>
  </si>
  <si>
    <t>0119300019619000194</t>
  </si>
  <si>
    <t>5078001947</t>
  </si>
  <si>
    <t>0848300060619000436</t>
  </si>
  <si>
    <t>9108116960</t>
  </si>
  <si>
    <t>0375300010519000006</t>
  </si>
  <si>
    <t>0362200050719000564</t>
  </si>
  <si>
    <t>7202163770</t>
  </si>
  <si>
    <t>31908143159</t>
  </si>
  <si>
    <t>6730021364</t>
  </si>
  <si>
    <t>0163300029419000983</t>
  </si>
  <si>
    <t>0362200050719000563</t>
  </si>
  <si>
    <t>5957006224</t>
  </si>
  <si>
    <t>0156300049619000080</t>
  </si>
  <si>
    <t>0157200001819000128</t>
  </si>
  <si>
    <t>7814029114</t>
  </si>
  <si>
    <t>0372200059119000036</t>
  </si>
  <si>
    <t>7842154646</t>
  </si>
  <si>
    <t>7810937066</t>
  </si>
  <si>
    <t>2919007140</t>
  </si>
  <si>
    <t>0324300018419000048</t>
  </si>
  <si>
    <t>Пинежский район</t>
  </si>
  <si>
    <t>2919001981</t>
  </si>
  <si>
    <t>0211100000119000104</t>
  </si>
  <si>
    <t>1650307217</t>
  </si>
  <si>
    <t>2353006811</t>
  </si>
  <si>
    <t>0318100038619000011</t>
  </si>
  <si>
    <t>Тимашевский район</t>
  </si>
  <si>
    <t>235308247170</t>
  </si>
  <si>
    <t>0115100003319000034</t>
  </si>
  <si>
    <t>1015009336</t>
  </si>
  <si>
    <t>0106100004619000015</t>
  </si>
  <si>
    <t>Пудожский район</t>
  </si>
  <si>
    <t>1015009287</t>
  </si>
  <si>
    <t>1821002514</t>
  </si>
  <si>
    <t>0813500000119008575</t>
  </si>
  <si>
    <t>Увинский район</t>
  </si>
  <si>
    <t>182100070104</t>
  </si>
  <si>
    <t>1215165893</t>
  </si>
  <si>
    <t>0808100000219000169</t>
  </si>
  <si>
    <t>1215041697</t>
  </si>
  <si>
    <t>1215066719</t>
  </si>
  <si>
    <t>7411015260</t>
  </si>
  <si>
    <t>980526</t>
  </si>
  <si>
    <t>0813500000119008559</t>
  </si>
  <si>
    <t>0211100000119000102</t>
  </si>
  <si>
    <t>0211100000119000103</t>
  </si>
  <si>
    <t>8603043320</t>
  </si>
  <si>
    <t>997193</t>
  </si>
  <si>
    <t>2454011399</t>
  </si>
  <si>
    <t>0819300031919000260</t>
  </si>
  <si>
    <t>997102</t>
  </si>
  <si>
    <t>E100265</t>
  </si>
  <si>
    <t>5419000030</t>
  </si>
  <si>
    <t>996894</t>
  </si>
  <si>
    <t>[ОКПД2 27.32] Провода и кабели электронные и электрические прочие, [ОКПД2 27.33] Изделия электроустановочные, [ОКПД2 27.40] Оборудование электрическое осветительное</t>
  </si>
  <si>
    <t>Венгеровский район</t>
  </si>
  <si>
    <t>996825</t>
  </si>
  <si>
    <t>Светлогорск</t>
  </si>
  <si>
    <t>31908142699</t>
  </si>
  <si>
    <t>BP00311697</t>
  </si>
  <si>
    <t>2536017137</t>
  </si>
  <si>
    <t>31908143015</t>
  </si>
  <si>
    <t>31908142512</t>
  </si>
  <si>
    <t>31908142484</t>
  </si>
  <si>
    <t>0304002761</t>
  </si>
  <si>
    <t>0302100022119000005</t>
  </si>
  <si>
    <t>Джидинский район</t>
  </si>
  <si>
    <t>0304005040</t>
  </si>
  <si>
    <t>0302100022119000004</t>
  </si>
  <si>
    <t>COM25071900037</t>
  </si>
  <si>
    <t>7204124180</t>
  </si>
  <si>
    <t>31908142479</t>
  </si>
  <si>
    <t>COM25071900043</t>
  </si>
  <si>
    <t>COM25071900042</t>
  </si>
  <si>
    <t>COM25071900040</t>
  </si>
  <si>
    <t>COM25071900038</t>
  </si>
  <si>
    <t>0380100004719000030</t>
  </si>
  <si>
    <t>0380100004719000035</t>
  </si>
  <si>
    <t>0380100004719000033</t>
  </si>
  <si>
    <t>0853500000319008113</t>
  </si>
  <si>
    <t>5610227210</t>
  </si>
  <si>
    <t>1435123480</t>
  </si>
  <si>
    <t>0116300000119000783</t>
  </si>
  <si>
    <t>1435123786</t>
  </si>
  <si>
    <t>3906073606</t>
  </si>
  <si>
    <t>996546</t>
  </si>
  <si>
    <t>1435124437</t>
  </si>
  <si>
    <t>0116300000119000788</t>
  </si>
  <si>
    <t>1435128939</t>
  </si>
  <si>
    <t>3123211825</t>
  </si>
  <si>
    <t>0126300035819001038</t>
  </si>
  <si>
    <t>3123094614</t>
  </si>
  <si>
    <t>1435124701</t>
  </si>
  <si>
    <t>0116300000119000782</t>
  </si>
  <si>
    <t>1435323979</t>
  </si>
  <si>
    <t>996540</t>
  </si>
  <si>
    <t>3123026741</t>
  </si>
  <si>
    <t>0126300035819001039</t>
  </si>
  <si>
    <t>0321200039319000050</t>
  </si>
  <si>
    <t>6107004023</t>
  </si>
  <si>
    <t>0158300055619000030</t>
  </si>
  <si>
    <t>[ОКПД2 10.41] Масла и жиры, [ОКПД2 10.73] Изделия макаронные, кускус и аналогичные мучные изделия, [ОКПД2 10.83] Чай и кофе обработанные, [ОКПД2 08.93] Соль и хлорид натрия чистый, вода морская, [ОКПД2 10.13] Продукция мясная пищевая, в том числе из мяса птицы, [ОКПД2 10.61] Продукция мукомольно-крупяного производства</t>
  </si>
  <si>
    <t>Волгодонской район</t>
  </si>
  <si>
    <t>6107002107</t>
  </si>
  <si>
    <t>6107008003</t>
  </si>
  <si>
    <t>6731019079</t>
  </si>
  <si>
    <t>0163300029419000980</t>
  </si>
  <si>
    <t>4623003857</t>
  </si>
  <si>
    <t>0144200002419000962</t>
  </si>
  <si>
    <t>462902379365</t>
  </si>
  <si>
    <t>6022004313</t>
  </si>
  <si>
    <t>0357100007219000026</t>
  </si>
  <si>
    <t>6022000679</t>
  </si>
  <si>
    <t>2454011293</t>
  </si>
  <si>
    <t>0819300031919000259</t>
  </si>
  <si>
    <t>245402823678</t>
  </si>
  <si>
    <t>0357100007219000027</t>
  </si>
  <si>
    <t>100219167119000020</t>
  </si>
  <si>
    <t>РН991836</t>
  </si>
  <si>
    <t>0126300035819001034</t>
  </si>
  <si>
    <t>3123027801</t>
  </si>
  <si>
    <t>3123026815</t>
  </si>
  <si>
    <t>3123028259</t>
  </si>
  <si>
    <t>3123026460</t>
  </si>
  <si>
    <t>3123028347</t>
  </si>
  <si>
    <t>3123024984</t>
  </si>
  <si>
    <t>3123025307</t>
  </si>
  <si>
    <t>3125017823</t>
  </si>
  <si>
    <t>3123029206</t>
  </si>
  <si>
    <t>3123029220</t>
  </si>
  <si>
    <t>3123026452</t>
  </si>
  <si>
    <t>3123027858</t>
  </si>
  <si>
    <t>3123027047</t>
  </si>
  <si>
    <t>3123400068</t>
  </si>
  <si>
    <t>3123428730</t>
  </si>
  <si>
    <t>1830011650</t>
  </si>
  <si>
    <t>0813500000119008519</t>
  </si>
  <si>
    <t>7607008211</t>
  </si>
  <si>
    <t>0171200001919001213</t>
  </si>
  <si>
    <t>7604250895</t>
  </si>
  <si>
    <t>0355100000119000007</t>
  </si>
  <si>
    <t>3912002762</t>
  </si>
  <si>
    <t>1035200000119000001</t>
  </si>
  <si>
    <t>391788914322</t>
  </si>
  <si>
    <t>390608274890</t>
  </si>
  <si>
    <t>5036037211</t>
  </si>
  <si>
    <t>782444</t>
  </si>
  <si>
    <t>3446803530</t>
  </si>
  <si>
    <t>0129200005319002916</t>
  </si>
  <si>
    <t>7734423210</t>
  </si>
  <si>
    <t>ATOM26071900232</t>
  </si>
  <si>
    <t>2576025</t>
  </si>
  <si>
    <t>[ОКПД2 68.20] Услуги по сдаче в аренду (внаем) собственного или арендованного недвижимого имущества, [ОКПД2 56.21] Услуги по поставке продукции общественного питания и обслуживанию торжественных мероприятий</t>
  </si>
  <si>
    <t>0355100000119000006</t>
  </si>
  <si>
    <t>0164100009819000019</t>
  </si>
  <si>
    <t>100233152119000015</t>
  </si>
  <si>
    <t>Уренский район</t>
  </si>
  <si>
    <t>0164100009819000018</t>
  </si>
  <si>
    <t>5406297979</t>
  </si>
  <si>
    <t>0151300009919000121</t>
  </si>
  <si>
    <t>[ОКПД2 31.09] Мебель прочая</t>
  </si>
  <si>
    <t>220803993844</t>
  </si>
  <si>
    <t>5404031733</t>
  </si>
  <si>
    <t>0264076309</t>
  </si>
  <si>
    <t>6685087040</t>
  </si>
  <si>
    <t>0133200001719002191</t>
  </si>
  <si>
    <t>4011007929</t>
  </si>
  <si>
    <t>0137300017519000140</t>
  </si>
  <si>
    <t>401200258063</t>
  </si>
  <si>
    <t>4027113915</t>
  </si>
  <si>
    <t>4011005985</t>
  </si>
  <si>
    <t>0137300017519000138</t>
  </si>
  <si>
    <t>100306304119000016</t>
  </si>
  <si>
    <t>993587</t>
  </si>
  <si>
    <t>Кострома</t>
  </si>
  <si>
    <t>6729008506</t>
  </si>
  <si>
    <t>0163300029419000979</t>
  </si>
  <si>
    <t>4011006033</t>
  </si>
  <si>
    <t>0137300017519000137</t>
  </si>
  <si>
    <t>100306304119000015</t>
  </si>
  <si>
    <t>0372200129319000032</t>
  </si>
  <si>
    <t>7840039616</t>
  </si>
  <si>
    <t>0180100004019000012</t>
  </si>
  <si>
    <t>1904003173</t>
  </si>
  <si>
    <t>2615001997</t>
  </si>
  <si>
    <t>0321100003719000026</t>
  </si>
  <si>
    <t>Новоалександровский район</t>
  </si>
  <si>
    <t>2636215774</t>
  </si>
  <si>
    <t>0168200002419005909</t>
  </si>
  <si>
    <t>0345300092919000006</t>
  </si>
  <si>
    <t>4716014717</t>
  </si>
  <si>
    <t>4716016457</t>
  </si>
  <si>
    <t>4716013456</t>
  </si>
  <si>
    <t>4716006240</t>
  </si>
  <si>
    <t>4716014509</t>
  </si>
  <si>
    <t>4716011191</t>
  </si>
  <si>
    <t>4716013946</t>
  </si>
  <si>
    <t>4716004620</t>
  </si>
  <si>
    <t>0311100018219000012</t>
  </si>
  <si>
    <t>995751</t>
  </si>
  <si>
    <t>[ОКПД2 10.61] Продукция мукомольно-крупяного производства, [ОКПД2 10.39] Фрукты, овощи и грибы переработанные и консервированные, не включенные в другие группировки, [ОКПД2 10.82] Какао, шоколад и изделия кондитерские сахаристые, [ОКПД2 10.84] Приправы и пряности, [ОКПД2 10.32] Продукция соковая из фруктов и овощей,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10.81] Сахар, [ОКПД2 10.71] Изделия хлебобулочные; мучные кондитерские изделия, торты и пирожные недлительного хранения, [ОКПД2 10.83] Чай и кофе обработанные, [ОКПД2 10.41] Масла и жиры</t>
  </si>
  <si>
    <t>0111100008319000085</t>
  </si>
  <si>
    <t>2103003166</t>
  </si>
  <si>
    <t>100070115119000027</t>
  </si>
  <si>
    <t>6623003755</t>
  </si>
  <si>
    <t>0162300000819000425</t>
  </si>
  <si>
    <t>662336504988</t>
  </si>
  <si>
    <t>6623082066</t>
  </si>
  <si>
    <t>2626009620</t>
  </si>
  <si>
    <t>0321100006919000027</t>
  </si>
  <si>
    <t>262600267349</t>
  </si>
  <si>
    <t>0321100006919000028</t>
  </si>
  <si>
    <t>0115100003319000027</t>
  </si>
  <si>
    <t>100070115119000026</t>
  </si>
  <si>
    <t>0324100005519000004</t>
  </si>
  <si>
    <t>100070753119000040</t>
  </si>
  <si>
    <t>100070753119000039</t>
  </si>
  <si>
    <t>31908138767</t>
  </si>
  <si>
    <t>0372200275619000075</t>
  </si>
  <si>
    <t>7203075646</t>
  </si>
  <si>
    <t>31908139016</t>
  </si>
  <si>
    <t>0124100005919000018</t>
  </si>
  <si>
    <t>0156100014719000009</t>
  </si>
  <si>
    <t>0380200000119004200</t>
  </si>
  <si>
    <t>1901042978</t>
  </si>
  <si>
    <t>0168200002419005875</t>
  </si>
  <si>
    <t>5426102593</t>
  </si>
  <si>
    <t>995386</t>
  </si>
  <si>
    <t>Кочковский район</t>
  </si>
  <si>
    <t>7820026104</t>
  </si>
  <si>
    <t>0372200215519000036</t>
  </si>
  <si>
    <t>7810826775</t>
  </si>
  <si>
    <t>7840456360</t>
  </si>
  <si>
    <t>7422022990</t>
  </si>
  <si>
    <t>0169300044219000332</t>
  </si>
  <si>
    <t>7452023870</t>
  </si>
  <si>
    <t>742200756459</t>
  </si>
  <si>
    <t>0118100002119000019</t>
  </si>
  <si>
    <t>106904</t>
  </si>
  <si>
    <t>5042067983</t>
  </si>
  <si>
    <t>0848300051719000594</t>
  </si>
  <si>
    <t>504202776630</t>
  </si>
  <si>
    <t>0151300049519000103</t>
  </si>
  <si>
    <t>0169400001019000012</t>
  </si>
  <si>
    <t>0169400001019000013</t>
  </si>
  <si>
    <t>0118100002119000021</t>
  </si>
  <si>
    <t>0169400001019000014</t>
  </si>
  <si>
    <t>0169400001019000011</t>
  </si>
  <si>
    <t>6729008841</t>
  </si>
  <si>
    <t>0163300029419000976</t>
  </si>
  <si>
    <t>9103017066</t>
  </si>
  <si>
    <t>0875300038719000005</t>
  </si>
  <si>
    <t>5502044963</t>
  </si>
  <si>
    <t>0252100003819000131</t>
  </si>
  <si>
    <t>5505060811</t>
  </si>
  <si>
    <t>0123100005219000036</t>
  </si>
  <si>
    <t>6656019278</t>
  </si>
  <si>
    <t>31908138213</t>
  </si>
  <si>
    <t>5902290120</t>
  </si>
  <si>
    <t>0356100001419000104</t>
  </si>
  <si>
    <t>5902990676</t>
  </si>
  <si>
    <t>994771</t>
  </si>
  <si>
    <t>[ОКПД2 01.47] Птица сельскохозяйственная живая и яйца, [ОКПД2 10.12] Мясо сельскохозяйственной птицы и прочие продукты убоя, включая консервированные</t>
  </si>
  <si>
    <t>0362200037319000003</t>
  </si>
  <si>
    <t>7433003149</t>
  </si>
  <si>
    <t>0369100019219000003</t>
  </si>
  <si>
    <t>Кунашакский район</t>
  </si>
  <si>
    <t>7433000892</t>
  </si>
  <si>
    <t>6730021043</t>
  </si>
  <si>
    <t>0163300029419000974</t>
  </si>
  <si>
    <t>5038134940</t>
  </si>
  <si>
    <t>0848600003319000120</t>
  </si>
  <si>
    <t>Ивантеевка</t>
  </si>
  <si>
    <t>31908139025</t>
  </si>
  <si>
    <t>5078004024</t>
  </si>
  <si>
    <t>0848300060619000434</t>
  </si>
  <si>
    <t>0328100018719000012</t>
  </si>
  <si>
    <t>0838100000619000097</t>
  </si>
  <si>
    <t>0838100000619000095</t>
  </si>
  <si>
    <t>4704047958</t>
  </si>
  <si>
    <t>0845300015019000451</t>
  </si>
  <si>
    <t>0838100000619000096</t>
  </si>
  <si>
    <t>1645005852</t>
  </si>
  <si>
    <t>0311100004519000020</t>
  </si>
  <si>
    <t>164501513428</t>
  </si>
  <si>
    <t>2310018876</t>
  </si>
  <si>
    <t>0318100005819000005</t>
  </si>
  <si>
    <t>7731318722</t>
  </si>
  <si>
    <t>5919016905</t>
  </si>
  <si>
    <t>31908137870</t>
  </si>
  <si>
    <t>5916007349</t>
  </si>
  <si>
    <t>0856300009319000139</t>
  </si>
  <si>
    <t>ATOM26071900026</t>
  </si>
  <si>
    <t>7203058440</t>
  </si>
  <si>
    <t>31908137903</t>
  </si>
  <si>
    <t>2575745</t>
  </si>
  <si>
    <t>[ОКПД2 82.11] Услуги в области административного обслуживания комплексные</t>
  </si>
  <si>
    <t>7203208310</t>
  </si>
  <si>
    <t>31908140635</t>
  </si>
  <si>
    <t>31908139306</t>
  </si>
  <si>
    <t>7729485719</t>
  </si>
  <si>
    <t>31908142067</t>
  </si>
  <si>
    <t>7017068803</t>
  </si>
  <si>
    <t>31908139481</t>
  </si>
  <si>
    <t>[ОКПД2 93.19] Услуги в области спорта прочие, [ОКВЭД2 94.1+] Деятельность коммерческих, предпринимательских и профессиональных организаций</t>
  </si>
  <si>
    <t>5030032249</t>
  </si>
  <si>
    <t>31908141046</t>
  </si>
  <si>
    <t>6025015056</t>
  </si>
  <si>
    <t>31908141444</t>
  </si>
  <si>
    <t>123098869-O</t>
  </si>
  <si>
    <t>31908139699</t>
  </si>
  <si>
    <t>6833006248</t>
  </si>
  <si>
    <t>31908141309</t>
  </si>
  <si>
    <t>31908139376</t>
  </si>
  <si>
    <t>2636015197</t>
  </si>
  <si>
    <t>31908141802</t>
  </si>
  <si>
    <t>31908140578</t>
  </si>
  <si>
    <t>BP00311591</t>
  </si>
  <si>
    <t>7007005681</t>
  </si>
  <si>
    <t>31908140341</t>
  </si>
  <si>
    <t>6632014954</t>
  </si>
  <si>
    <t>31908140495</t>
  </si>
  <si>
    <t>1841085195</t>
  </si>
  <si>
    <t>31908140987</t>
  </si>
  <si>
    <t>31908139581</t>
  </si>
  <si>
    <t>31908139490</t>
  </si>
  <si>
    <t>31908141924</t>
  </si>
  <si>
    <t>31908139586</t>
  </si>
  <si>
    <t>31908139297</t>
  </si>
  <si>
    <t>31908141389</t>
  </si>
  <si>
    <t>100030639119000019</t>
  </si>
  <si>
    <t>100030639119000020</t>
  </si>
  <si>
    <t>100030639119000018</t>
  </si>
  <si>
    <t>100030639119000017</t>
  </si>
  <si>
    <t>31908137180</t>
  </si>
  <si>
    <t>31908137208</t>
  </si>
  <si>
    <t>31908134165</t>
  </si>
  <si>
    <t>3405002795</t>
  </si>
  <si>
    <t>0129200005319002903</t>
  </si>
  <si>
    <t>Дубовский район</t>
  </si>
  <si>
    <t>5838009089</t>
  </si>
  <si>
    <t>31908137125</t>
  </si>
  <si>
    <t>3728012818</t>
  </si>
  <si>
    <t>31908137032</t>
  </si>
  <si>
    <t>31908137002</t>
  </si>
  <si>
    <t>7718230483</t>
  </si>
  <si>
    <t>0373200006219001345</t>
  </si>
  <si>
    <t>1412000347</t>
  </si>
  <si>
    <t>0816500000619010584</t>
  </si>
  <si>
    <t>Жиганский улус</t>
  </si>
  <si>
    <t>1412262303</t>
  </si>
  <si>
    <t>0345300094719000047</t>
  </si>
  <si>
    <t>4717006170</t>
  </si>
  <si>
    <t>4717006204</t>
  </si>
  <si>
    <t>4717005708</t>
  </si>
  <si>
    <t>4717006268</t>
  </si>
  <si>
    <t>4717006324</t>
  </si>
  <si>
    <t>4717006331</t>
  </si>
  <si>
    <t>4717005313</t>
  </si>
  <si>
    <t>4717006282</t>
  </si>
  <si>
    <t>4717006155</t>
  </si>
  <si>
    <t>4717006356</t>
  </si>
  <si>
    <t>4717006275</t>
  </si>
  <si>
    <t>4717006162</t>
  </si>
  <si>
    <t>4717006290</t>
  </si>
  <si>
    <t>7816344136</t>
  </si>
  <si>
    <t>7842438119</t>
  </si>
  <si>
    <t>7603066702</t>
  </si>
  <si>
    <t>100178806119000026</t>
  </si>
  <si>
    <t>31908137036</t>
  </si>
  <si>
    <t>0151300009919000117</t>
  </si>
  <si>
    <t>540696344787</t>
  </si>
  <si>
    <t>246102533480</t>
  </si>
  <si>
    <t>7709125605</t>
  </si>
  <si>
    <t>0373100036519000009</t>
  </si>
  <si>
    <t>616710862072</t>
  </si>
  <si>
    <t>6155073186</t>
  </si>
  <si>
    <t>5078007699</t>
  </si>
  <si>
    <t>782050</t>
  </si>
  <si>
    <t>0156200009919000466</t>
  </si>
  <si>
    <t>5902027592</t>
  </si>
  <si>
    <t>5030031887</t>
  </si>
  <si>
    <t>31908137048</t>
  </si>
  <si>
    <t>7809022120</t>
  </si>
  <si>
    <t>31908136878</t>
  </si>
  <si>
    <t>0316100024819000027</t>
  </si>
  <si>
    <t>7733150352</t>
  </si>
  <si>
    <t>0373200017319000441</t>
  </si>
  <si>
    <t>773272488182</t>
  </si>
  <si>
    <t>332604525001</t>
  </si>
  <si>
    <t>5030032457</t>
  </si>
  <si>
    <t>31908137119</t>
  </si>
  <si>
    <t>4228004786</t>
  </si>
  <si>
    <t>0339100016219000013</t>
  </si>
  <si>
    <t>6902013070</t>
  </si>
  <si>
    <t>0136100011819000107</t>
  </si>
  <si>
    <t>31908135824</t>
  </si>
  <si>
    <t>100072323119000034</t>
  </si>
  <si>
    <t>31908136770</t>
  </si>
  <si>
    <t>31908136756</t>
  </si>
  <si>
    <t>0311100029319000040</t>
  </si>
  <si>
    <t>164444455061</t>
  </si>
  <si>
    <t>1657253987</t>
  </si>
  <si>
    <t>0118300018119000214</t>
  </si>
  <si>
    <t>2361010434</t>
  </si>
  <si>
    <t>2331012650</t>
  </si>
  <si>
    <t>2331012667</t>
  </si>
  <si>
    <t>2306021107</t>
  </si>
  <si>
    <t>2306020985</t>
  </si>
  <si>
    <t>2306020939</t>
  </si>
  <si>
    <t>2306021139</t>
  </si>
  <si>
    <t>2306020801</t>
  </si>
  <si>
    <t>2331012963</t>
  </si>
  <si>
    <t>2331012681</t>
  </si>
  <si>
    <t>2331012748</t>
  </si>
  <si>
    <t>2331012770</t>
  </si>
  <si>
    <t>2306021033</t>
  </si>
  <si>
    <t>2306021072</t>
  </si>
  <si>
    <t>2306020880</t>
  </si>
  <si>
    <t>2331012642</t>
  </si>
  <si>
    <t>2331012723</t>
  </si>
  <si>
    <t>2331012579</t>
  </si>
  <si>
    <t>2331012730</t>
  </si>
  <si>
    <t>2331012699</t>
  </si>
  <si>
    <t>2306020833</t>
  </si>
  <si>
    <t>2331012836</t>
  </si>
  <si>
    <t>2331012762</t>
  </si>
  <si>
    <t>2331012628</t>
  </si>
  <si>
    <t>2331012709</t>
  </si>
  <si>
    <t>0245100001419000121</t>
  </si>
  <si>
    <t>7830000970</t>
  </si>
  <si>
    <t>6518003273</t>
  </si>
  <si>
    <t>0361100009119000011</t>
  </si>
  <si>
    <t>Южно-Курильский район</t>
  </si>
  <si>
    <t>222300054802</t>
  </si>
  <si>
    <t>106825</t>
  </si>
  <si>
    <t>0301300394519000007</t>
  </si>
  <si>
    <t>0250146429</t>
  </si>
  <si>
    <t>0210003079</t>
  </si>
  <si>
    <t>Белокатайский район</t>
  </si>
  <si>
    <t>0210003030</t>
  </si>
  <si>
    <t>Республика Башкортостан
Республика Башкортостан
Республика Башкортостан
Республика Башкортостан
Республика Башкортостан
Республика Башкортостан</t>
  </si>
  <si>
    <t>Белокатайский район
Белокатайский район
Белокатайский район
Белокатайский район
Белокатайский район
Белокатайский район</t>
  </si>
  <si>
    <t>0210003142</t>
  </si>
  <si>
    <t>Республика Башкортостан
Республика Башкортостан</t>
  </si>
  <si>
    <t>Белокатайский район
Белокатайский район</t>
  </si>
  <si>
    <t>0210003054</t>
  </si>
  <si>
    <t>0210003576</t>
  </si>
  <si>
    <t>0210003150</t>
  </si>
  <si>
    <t>0210003294</t>
  </si>
  <si>
    <t>0210003103</t>
  </si>
  <si>
    <t>0210000367</t>
  </si>
  <si>
    <t>0210003047</t>
  </si>
  <si>
    <t>Республика Башкортостан
Республика Башкортостан
Республика Башкортостан
Республика Башкортостан</t>
  </si>
  <si>
    <t>Белокатайский район
Белокатайский район
Белокатайский район
Белокатайский район</t>
  </si>
  <si>
    <t>0210003255</t>
  </si>
  <si>
    <t>0210003086</t>
  </si>
  <si>
    <t>Республика Башкортостан
Республика Башкортостан
Республика Башкортостан</t>
  </si>
  <si>
    <t>Белокатайский район
Белокатайский район
Белокатайский район</t>
  </si>
  <si>
    <t>105225</t>
  </si>
  <si>
    <t>5920012790</t>
  </si>
  <si>
    <t>0856300008419000191</t>
  </si>
  <si>
    <t>0136100011819000108</t>
  </si>
  <si>
    <t>0816500000619010532</t>
  </si>
  <si>
    <t>1419008803</t>
  </si>
  <si>
    <t>0339100016219000014</t>
  </si>
  <si>
    <t>7734252639</t>
  </si>
  <si>
    <t>0373200017319000440</t>
  </si>
  <si>
    <t>6315705894</t>
  </si>
  <si>
    <t>31908135336</t>
  </si>
  <si>
    <t>0134100007419000058</t>
  </si>
  <si>
    <t>6639014336</t>
  </si>
  <si>
    <t>0862300039619000177</t>
  </si>
  <si>
    <t>6671357137</t>
  </si>
  <si>
    <t>31908134440</t>
  </si>
  <si>
    <t>0245100001419000120</t>
  </si>
  <si>
    <t>100070753119000033</t>
  </si>
  <si>
    <t>31908136260</t>
  </si>
  <si>
    <t>1435037142</t>
  </si>
  <si>
    <t>31908133338</t>
  </si>
  <si>
    <t>5904114160</t>
  </si>
  <si>
    <t>31908134835</t>
  </si>
  <si>
    <t>7020014815</t>
  </si>
  <si>
    <t>31908134466</t>
  </si>
  <si>
    <t>1003000480</t>
  </si>
  <si>
    <t>0306300014719000208</t>
  </si>
  <si>
    <t>1001258413</t>
  </si>
  <si>
    <t>7804633454</t>
  </si>
  <si>
    <t>1001129030</t>
  </si>
  <si>
    <t>31908132981</t>
  </si>
  <si>
    <t>0372200141819000054</t>
  </si>
  <si>
    <t>31908134789</t>
  </si>
  <si>
    <t>5020007532</t>
  </si>
  <si>
    <t>0348100063019000014</t>
  </si>
  <si>
    <t>502005272693</t>
  </si>
  <si>
    <t>5020079431</t>
  </si>
  <si>
    <t>31908133120</t>
  </si>
  <si>
    <t>100080596119000004</t>
  </si>
  <si>
    <t>2415001894</t>
  </si>
  <si>
    <t>0319100025219000006</t>
  </si>
  <si>
    <t>7536120581</t>
  </si>
  <si>
    <t>31908133368</t>
  </si>
  <si>
    <t>0127300013119000500</t>
  </si>
  <si>
    <t>3235003005</t>
  </si>
  <si>
    <t>3235002925</t>
  </si>
  <si>
    <t>3235002918</t>
  </si>
  <si>
    <t>3235003132</t>
  </si>
  <si>
    <t>3235002971</t>
  </si>
  <si>
    <t>3235002957</t>
  </si>
  <si>
    <t>3235002989</t>
  </si>
  <si>
    <t>3235003140</t>
  </si>
  <si>
    <t>3235002996</t>
  </si>
  <si>
    <t>3235002940</t>
  </si>
  <si>
    <t>3235002932</t>
  </si>
  <si>
    <t>3235002964</t>
  </si>
  <si>
    <t>4347024816</t>
  </si>
  <si>
    <t>0340200003319009805</t>
  </si>
  <si>
    <t>6731031809</t>
  </si>
  <si>
    <t>0163300029419000969</t>
  </si>
  <si>
    <t>7813047463</t>
  </si>
  <si>
    <t>0372100010619000449</t>
  </si>
  <si>
    <t>7805681651</t>
  </si>
  <si>
    <t>7810804154</t>
  </si>
  <si>
    <t>6833006287</t>
  </si>
  <si>
    <t>31908134649</t>
  </si>
  <si>
    <t>1905002670</t>
  </si>
  <si>
    <t>0380100008819000024</t>
  </si>
  <si>
    <t>Аскизский район</t>
  </si>
  <si>
    <t>8604013180</t>
  </si>
  <si>
    <t>0387200030519000107</t>
  </si>
  <si>
    <t>31908133228</t>
  </si>
  <si>
    <t>[ОКПД2 56.29] Услуги по обеспечению питанием прочие, [ОКПД2 55.90] Услуги по предоставлению временного жилья прочие, [ОКВЭД2 55.90] Деятельность по предоставлению прочих мест для временного проживания, [ОКВЭД2 56.29] Деятельность предприятий общественного питания по прочим видам организации питания</t>
  </si>
  <si>
    <t>0853500000319007992</t>
  </si>
  <si>
    <t>992710</t>
  </si>
  <si>
    <t>0853500000319007990</t>
  </si>
  <si>
    <t>5609081076</t>
  </si>
  <si>
    <t>0380100008819000023</t>
  </si>
  <si>
    <t>0131300000619002425</t>
  </si>
  <si>
    <t>3662053200</t>
  </si>
  <si>
    <t>3662050295</t>
  </si>
  <si>
    <t>3662070020</t>
  </si>
  <si>
    <t>3662064918</t>
  </si>
  <si>
    <t>3662069360</t>
  </si>
  <si>
    <t>3662050697</t>
  </si>
  <si>
    <t>3666204852</t>
  </si>
  <si>
    <t>0709005231</t>
  </si>
  <si>
    <t>0304100007119000016</t>
  </si>
  <si>
    <t>0716007342</t>
  </si>
  <si>
    <t>4629029428</t>
  </si>
  <si>
    <t>0144200002419000944</t>
  </si>
  <si>
    <t>463227350847</t>
  </si>
  <si>
    <t>0319100025219000005</t>
  </si>
  <si>
    <t>0302100014919000037</t>
  </si>
  <si>
    <t>100070753119000029</t>
  </si>
  <si>
    <t>31908133403</t>
  </si>
  <si>
    <t>[ОКПД2 26.20] Компьютеры и периферийное оборудование, [ОКВЭД2 26.20] Производство компьютеров и периферийного оборудования</t>
  </si>
  <si>
    <t>100080596119000003</t>
  </si>
  <si>
    <t>0127300013119000499</t>
  </si>
  <si>
    <t>3233005092</t>
  </si>
  <si>
    <t>3233004927</t>
  </si>
  <si>
    <t>3233003722</t>
  </si>
  <si>
    <t>3233003850</t>
  </si>
  <si>
    <t>3233004300</t>
  </si>
  <si>
    <t>3233003715</t>
  </si>
  <si>
    <t>3233004980</t>
  </si>
  <si>
    <t>3233003923</t>
  </si>
  <si>
    <t>3233003761</t>
  </si>
  <si>
    <t>3233004966</t>
  </si>
  <si>
    <t>5321037820</t>
  </si>
  <si>
    <t>31908134336</t>
  </si>
  <si>
    <t>4703159056</t>
  </si>
  <si>
    <t>0145300005219000365</t>
  </si>
  <si>
    <t>0345200004019000240</t>
  </si>
  <si>
    <t>7813636532</t>
  </si>
  <si>
    <t>7710914611</t>
  </si>
  <si>
    <t>1325127361</t>
  </si>
  <si>
    <t>0309300012319000109</t>
  </si>
  <si>
    <t>[ОКПД2 35.13] Услуги по распределению электроэнергии</t>
  </si>
  <si>
    <t>2534003072</t>
  </si>
  <si>
    <t>0820300004519000003</t>
  </si>
  <si>
    <t>253400382903</t>
  </si>
  <si>
    <t>0162100019219000004</t>
  </si>
  <si>
    <t>6025017141</t>
  </si>
  <si>
    <t>31908133816</t>
  </si>
  <si>
    <t>7203320591</t>
  </si>
  <si>
    <t>0167300000519000903</t>
  </si>
  <si>
    <t>7202164741</t>
  </si>
  <si>
    <t>661203156909</t>
  </si>
  <si>
    <t>540808002248</t>
  </si>
  <si>
    <t>4501172368</t>
  </si>
  <si>
    <t>0362200050719000562</t>
  </si>
  <si>
    <t>6731019128</t>
  </si>
  <si>
    <t>0163300029419000966</t>
  </si>
  <si>
    <t>4824030515</t>
  </si>
  <si>
    <t>0346200000619000014</t>
  </si>
  <si>
    <t>482613756602</t>
  </si>
  <si>
    <t>4826062985</t>
  </si>
  <si>
    <t>0348100057019000015</t>
  </si>
  <si>
    <t>6833006270</t>
  </si>
  <si>
    <t>31908134100</t>
  </si>
  <si>
    <t>6632015066</t>
  </si>
  <si>
    <t>31908133109</t>
  </si>
  <si>
    <t>7733150345</t>
  </si>
  <si>
    <t>0373200017319000435</t>
  </si>
  <si>
    <t>7723840043</t>
  </si>
  <si>
    <t>0301100005519000021</t>
  </si>
  <si>
    <t>0369100013919000019</t>
  </si>
  <si>
    <t>0372100052919000381</t>
  </si>
  <si>
    <t>[ОКПД2 58.14] Услуги по изданию журналов и периодических изданий</t>
  </si>
  <si>
    <t>6685071025</t>
  </si>
  <si>
    <t>3127050230</t>
  </si>
  <si>
    <t>0126100006319000008</t>
  </si>
  <si>
    <t>3127509500</t>
  </si>
  <si>
    <t>4347024781</t>
  </si>
  <si>
    <t>0340200003319009800</t>
  </si>
  <si>
    <t>100148858119000012</t>
  </si>
  <si>
    <t>5017073800</t>
  </si>
  <si>
    <t>781580</t>
  </si>
  <si>
    <t>Истринский район</t>
  </si>
  <si>
    <t>100148858119000014</t>
  </si>
  <si>
    <t>0301100005519000020</t>
  </si>
  <si>
    <t>100148858119000013</t>
  </si>
  <si>
    <t>5003015685</t>
  </si>
  <si>
    <t>0848300048419000493</t>
  </si>
  <si>
    <t>500602945010</t>
  </si>
  <si>
    <t>5003072203</t>
  </si>
  <si>
    <t>4345484670</t>
  </si>
  <si>
    <t>0340200003319009787</t>
  </si>
  <si>
    <t>4345266753</t>
  </si>
  <si>
    <t>4707014541</t>
  </si>
  <si>
    <t>0145300010319000196</t>
  </si>
  <si>
    <t>5004012140</t>
  </si>
  <si>
    <t>0848300057719000278</t>
  </si>
  <si>
    <t>Волоколамский район</t>
  </si>
  <si>
    <t>0369100013919000020</t>
  </si>
  <si>
    <t>991350</t>
  </si>
  <si>
    <t>[ОКПД2 01.24] Плоды семечковых и косточковых культур, [ОКПД2 01.13] Овощи и культуры бахчевые, корнеплоды и клубнеплоды, [ОКПД2 01.22] Фрукты тропические и субтропические, [ОКПД2 01.23] Плоды цитрусовых культур</t>
  </si>
  <si>
    <t>991349</t>
  </si>
  <si>
    <t>5404141366</t>
  </si>
  <si>
    <t>988980</t>
  </si>
  <si>
    <t>989247</t>
  </si>
  <si>
    <t>991205</t>
  </si>
  <si>
    <t>100013767119000011</t>
  </si>
  <si>
    <t>6449932120</t>
  </si>
  <si>
    <t>31908132903</t>
  </si>
  <si>
    <t>31908132901</t>
  </si>
  <si>
    <t>6626003898</t>
  </si>
  <si>
    <t>0162200011819002021</t>
  </si>
  <si>
    <t>Полевской</t>
  </si>
  <si>
    <t>7722019652</t>
  </si>
  <si>
    <t>31908132642</t>
  </si>
  <si>
    <t>0231100000219000187</t>
  </si>
  <si>
    <t>3625006160</t>
  </si>
  <si>
    <t>3250512737</t>
  </si>
  <si>
    <t>0127100005219000054</t>
  </si>
  <si>
    <t>323504449909</t>
  </si>
  <si>
    <t>3254514083</t>
  </si>
  <si>
    <t>0231100000219000186</t>
  </si>
  <si>
    <t>1649003623</t>
  </si>
  <si>
    <t>0311100007919000020</t>
  </si>
  <si>
    <t>2454011286</t>
  </si>
  <si>
    <t>0819300031919000258</t>
  </si>
  <si>
    <t>245400607664</t>
  </si>
  <si>
    <t>2454027279</t>
  </si>
  <si>
    <t>0115100008319000016</t>
  </si>
  <si>
    <t>2130034043</t>
  </si>
  <si>
    <t>2123008910</t>
  </si>
  <si>
    <t>2130212137</t>
  </si>
  <si>
    <t>583408489726</t>
  </si>
  <si>
    <t>0129200005319002889</t>
  </si>
  <si>
    <t>3443907731</t>
  </si>
  <si>
    <t>3442037972</t>
  </si>
  <si>
    <t>3448047864</t>
  </si>
  <si>
    <t>0849400000219000093</t>
  </si>
  <si>
    <t>352400723103</t>
  </si>
  <si>
    <t>0320200009219000200</t>
  </si>
  <si>
    <t>781453</t>
  </si>
  <si>
    <t>31908132482</t>
  </si>
  <si>
    <t>0187300012819000595</t>
  </si>
  <si>
    <t>8604026550</t>
  </si>
  <si>
    <t>8604025443</t>
  </si>
  <si>
    <t>8604026479</t>
  </si>
  <si>
    <t>8604026302</t>
  </si>
  <si>
    <t>8604025450</t>
  </si>
  <si>
    <t>8604026327</t>
  </si>
  <si>
    <t>8604044037</t>
  </si>
  <si>
    <t>8604025436</t>
  </si>
  <si>
    <t>0119200000119006665</t>
  </si>
  <si>
    <t>781452</t>
  </si>
  <si>
    <t>0311100007919000019</t>
  </si>
  <si>
    <t>3120009515</t>
  </si>
  <si>
    <t>990938</t>
  </si>
  <si>
    <t>[ОКПД2 26.30] Оборудование коммуникационное, [ОКПД2 27.32] Провода и кабели электронные и электрические прочие, [ОКПД2 22.21] Плиты, листы, трубы и профили пластмассовые</t>
  </si>
  <si>
    <t>3525135331</t>
  </si>
  <si>
    <t>31908131869</t>
  </si>
  <si>
    <t>0173100003219000062</t>
  </si>
  <si>
    <t>7736264534</t>
  </si>
  <si>
    <t>31908132040</t>
  </si>
  <si>
    <t>0187300012819000587</t>
  </si>
  <si>
    <t>8604026341</t>
  </si>
  <si>
    <t>8604025570</t>
  </si>
  <si>
    <t>8604026581</t>
  </si>
  <si>
    <t>8604025563</t>
  </si>
  <si>
    <t>8604027602</t>
  </si>
  <si>
    <t>8604026486</t>
  </si>
  <si>
    <t>0328100015319000005</t>
  </si>
  <si>
    <t>3459011972</t>
  </si>
  <si>
    <t>0129200005319002885</t>
  </si>
  <si>
    <t>31908131730</t>
  </si>
  <si>
    <t>5027106028</t>
  </si>
  <si>
    <t>31908131733</t>
  </si>
  <si>
    <t>[ОКПД2 27.11] Электродвигатели, генераторы и трансформаторы, [ОКВЭД2 27.11] Производство электродвигателей, электрогенераторов и трансформаторов</t>
  </si>
  <si>
    <t>0172200002819000061</t>
  </si>
  <si>
    <t>7818010925</t>
  </si>
  <si>
    <t>7818010900</t>
  </si>
  <si>
    <t>7818010971</t>
  </si>
  <si>
    <t>7810711622</t>
  </si>
  <si>
    <t>7842139461</t>
  </si>
  <si>
    <t>4803004680</t>
  </si>
  <si>
    <t>0346300039119000003</t>
  </si>
  <si>
    <t>4811009001</t>
  </si>
  <si>
    <t>0173100003219000059</t>
  </si>
  <si>
    <t>0173100003219000061</t>
  </si>
  <si>
    <t>7714388230</t>
  </si>
  <si>
    <t>6730019083</t>
  </si>
  <si>
    <t>0163300029419000961</t>
  </si>
  <si>
    <t>0173100003219000060</t>
  </si>
  <si>
    <t>7723324063</t>
  </si>
  <si>
    <t>0373200041119000962</t>
  </si>
  <si>
    <t>7723838630</t>
  </si>
  <si>
    <t>0375200030019000149</t>
  </si>
  <si>
    <t>0401000671</t>
  </si>
  <si>
    <t>0177200000919001823</t>
  </si>
  <si>
    <t>0400010331</t>
  </si>
  <si>
    <t>0172200002819000062</t>
  </si>
  <si>
    <t>7818010890</t>
  </si>
  <si>
    <t>7818010883</t>
  </si>
  <si>
    <t>7818010932</t>
  </si>
  <si>
    <t>6025011982</t>
  </si>
  <si>
    <t>0157200000319000621</t>
  </si>
  <si>
    <t>600202251846</t>
  </si>
  <si>
    <t>31908131188</t>
  </si>
  <si>
    <t>2575170</t>
  </si>
  <si>
    <t>0134100010519000045</t>
  </si>
  <si>
    <t>3818022426</t>
  </si>
  <si>
    <t>5028017412</t>
  </si>
  <si>
    <t>0848300046119000443</t>
  </si>
  <si>
    <t>5010038556</t>
  </si>
  <si>
    <t>5032230207</t>
  </si>
  <si>
    <t>0356300005519000103</t>
  </si>
  <si>
    <t>ATOM24071900153</t>
  </si>
  <si>
    <t>7453040734</t>
  </si>
  <si>
    <t>0369100004419000089</t>
  </si>
  <si>
    <t>745208874227</t>
  </si>
  <si>
    <t>31908130736</t>
  </si>
  <si>
    <t>31908128768</t>
  </si>
  <si>
    <t>0369100004419000088</t>
  </si>
  <si>
    <t>0322100002519000286</t>
  </si>
  <si>
    <t>0856600000719000125</t>
  </si>
  <si>
    <t>5262036613</t>
  </si>
  <si>
    <t>0332100006519000047</t>
  </si>
  <si>
    <t>5260374180</t>
  </si>
  <si>
    <t>5257162860</t>
  </si>
  <si>
    <t>5260140979</t>
  </si>
  <si>
    <t>5036037500</t>
  </si>
  <si>
    <t>781146</t>
  </si>
  <si>
    <t>3325005342</t>
  </si>
  <si>
    <t>0328100003919000036</t>
  </si>
  <si>
    <t>2315152829</t>
  </si>
  <si>
    <t>7713003222</t>
  </si>
  <si>
    <t>0373100068319000186</t>
  </si>
  <si>
    <t>9717068390</t>
  </si>
  <si>
    <t>0157100004419000041</t>
  </si>
  <si>
    <t>0323078879</t>
  </si>
  <si>
    <t>0302100005619000050</t>
  </si>
  <si>
    <t>6142005326</t>
  </si>
  <si>
    <t>0358200043919000009</t>
  </si>
  <si>
    <t>Белокалитвинский район</t>
  </si>
  <si>
    <t>616102164668</t>
  </si>
  <si>
    <t>614308188637</t>
  </si>
  <si>
    <t>989806</t>
  </si>
  <si>
    <t>[ОКПД2 01.24] Плоды семечковых и косточковых культур, [ОКПД2 01.13] Овощи и культуры бахчевые, корнеплоды и клубнеплоды, [ОКПД2 01.22] Фрукты тропические и субтропические</t>
  </si>
  <si>
    <t>31908130107</t>
  </si>
  <si>
    <t>989832</t>
  </si>
  <si>
    <t>989787</t>
  </si>
  <si>
    <t>[ОКПД2 10.61] Продукция мукомольно-крупяного производства, [ОКПД2 10.73] Изделия макаронные, кускус и аналогичные мучные изделия, [ОКПД2 10.81] Сахар, [ОКПД2 10.84] Приправы и пряности, [ОКПД2 10.82] Какао, шоколад и изделия кондитерские сахаристые, [ОКПД2 10.20] Рыба переработанная и консервированная, ракообразные и моллюски, [ОКПД2 10.83] Чай и кофе обработанные, [ОКПД2 10.39] Фрукты, овощи и грибы переработанные и консервированные, не включенные в другие группировки, [ОКПД2 01.11] Культуры зерновые (кроме риса), зернобобовые, семена масличных культур, [ОКПД2 10.72] Изделия сухарные и печенье; мучные кондитерские изделия, торты и пирожные длительного хранения, [ОКПД2 10.71] Изделия хлебобулочные; мучные кондитерские изделия, торты и пирожные недлительного хранения, [ОКПД2 10.32] Продукция соковая из фруктов и овощей, [ОКПД2 10.41] Масла и жиры, [ОКПД2 10.51] Молоко и молочная продукция, [ОКПД2 01.13] Овощи и культуры бахчевые, корнеплоды и клубнеплоды, [ОКПД2 10.13] Продукция мясная пищевая, в том числе из мяса птицы</t>
  </si>
  <si>
    <t>989889</t>
  </si>
  <si>
    <t>0134100010519000044</t>
  </si>
  <si>
    <t>0157100004419000042</t>
  </si>
  <si>
    <t>0369100001019000014</t>
  </si>
  <si>
    <t>989801</t>
  </si>
  <si>
    <t>100283287119000015</t>
  </si>
  <si>
    <t>7720270701</t>
  </si>
  <si>
    <t>0373200006219001330</t>
  </si>
  <si>
    <t>9710070150</t>
  </si>
  <si>
    <t>5013041420</t>
  </si>
  <si>
    <t>781061</t>
  </si>
  <si>
    <t>0338300050619000039</t>
  </si>
  <si>
    <t>РН979891</t>
  </si>
  <si>
    <t>0849400000219000092</t>
  </si>
  <si>
    <t>7610039121</t>
  </si>
  <si>
    <t>0171200001919001160</t>
  </si>
  <si>
    <t>7610051880</t>
  </si>
  <si>
    <t>0849400000219000091</t>
  </si>
  <si>
    <t>7802805299</t>
  </si>
  <si>
    <t>9108118935</t>
  </si>
  <si>
    <t>0375300011019000004</t>
  </si>
  <si>
    <t>7705002602</t>
  </si>
  <si>
    <t>0373200082119000304</t>
  </si>
  <si>
    <t>5902292103</t>
  </si>
  <si>
    <t>31908128663</t>
  </si>
  <si>
    <t>989405</t>
  </si>
  <si>
    <t>1901035681</t>
  </si>
  <si>
    <t>0180300000219000600</t>
  </si>
  <si>
    <t>190122948875</t>
  </si>
  <si>
    <t>0848300047119000394</t>
  </si>
  <si>
    <t>4101084163</t>
  </si>
  <si>
    <t>2312145943</t>
  </si>
  <si>
    <t>7729744770</t>
  </si>
  <si>
    <t>7720162544</t>
  </si>
  <si>
    <t>3620009288</t>
  </si>
  <si>
    <t>7705040076</t>
  </si>
  <si>
    <t>7720289653</t>
  </si>
  <si>
    <t>7805127323</t>
  </si>
  <si>
    <t>7602018230</t>
  </si>
  <si>
    <t>7717101527</t>
  </si>
  <si>
    <t>0849400000219000090</t>
  </si>
  <si>
    <t>9102223130</t>
  </si>
  <si>
    <t>3415006654</t>
  </si>
  <si>
    <t>0129200005319002862</t>
  </si>
  <si>
    <t>0849400000219000089</t>
  </si>
  <si>
    <t>7424017427</t>
  </si>
  <si>
    <t>0369100005619000015</t>
  </si>
  <si>
    <t>Увельский район</t>
  </si>
  <si>
    <t>745220312810</t>
  </si>
  <si>
    <t>7707098113</t>
  </si>
  <si>
    <t>31908129340</t>
  </si>
  <si>
    <t>2575018</t>
  </si>
  <si>
    <t>0187300001719000426</t>
  </si>
  <si>
    <t>0106100004619000011</t>
  </si>
  <si>
    <t>2634038760</t>
  </si>
  <si>
    <t>0121200003719000028</t>
  </si>
  <si>
    <t>2310084396</t>
  </si>
  <si>
    <t>0848300044519000391</t>
  </si>
  <si>
    <t>615516691723</t>
  </si>
  <si>
    <t>5047041763</t>
  </si>
  <si>
    <t>5079011779</t>
  </si>
  <si>
    <t>7427004426</t>
  </si>
  <si>
    <t>0369100034919000005</t>
  </si>
  <si>
    <t>5957007919</t>
  </si>
  <si>
    <t>0156300049619000077</t>
  </si>
  <si>
    <t>7412002120</t>
  </si>
  <si>
    <t>0369100016519000022</t>
  </si>
  <si>
    <t>7460031949</t>
  </si>
  <si>
    <t>0329100003019000030</t>
  </si>
  <si>
    <t>17950</t>
  </si>
  <si>
    <t>6232002312</t>
  </si>
  <si>
    <t>0859200001119009314</t>
  </si>
  <si>
    <t>623200938631</t>
  </si>
  <si>
    <t>100262417119000019</t>
  </si>
  <si>
    <t>0303005382</t>
  </si>
  <si>
    <t>0302100021619000013</t>
  </si>
  <si>
    <t>Бичурский район</t>
  </si>
  <si>
    <t>0303004974</t>
  </si>
  <si>
    <t>5075003287</t>
  </si>
  <si>
    <t>0848300059119000239</t>
  </si>
  <si>
    <t>5075029817</t>
  </si>
  <si>
    <t>988739</t>
  </si>
  <si>
    <t>[ОКПД2 26.30] Оборудование коммуникационное, [ОКПД2 27.33] Изделия электроустановочные, [ОКПД2 20.30] Материалы лакокрасочные и аналогичные для нанесения покрытий, полиграфические краски и мастики, [ОКПД2 27.40] Оборудование электрическое осветительное, [ОКПД2 26.20] Компьютеры и периферийное оборудование, [ОКПД2 27.32] Провода и кабели электронные и электрические прочие, [ОКПД2 25.92] Тара металлическая легкая</t>
  </si>
  <si>
    <t>2019-734143</t>
  </si>
  <si>
    <t>31908128097</t>
  </si>
  <si>
    <t>31908128095</t>
  </si>
  <si>
    <t>5071003906</t>
  </si>
  <si>
    <t>780881</t>
  </si>
  <si>
    <t>Лотошинский район</t>
  </si>
  <si>
    <t>3102040488</t>
  </si>
  <si>
    <t>31908128019</t>
  </si>
  <si>
    <t>6818001284</t>
  </si>
  <si>
    <t>0864500000219002804</t>
  </si>
  <si>
    <t>Сосновский район</t>
  </si>
  <si>
    <t>6829058846</t>
  </si>
  <si>
    <t>0873500000819003415</t>
  </si>
  <si>
    <t>5038115962</t>
  </si>
  <si>
    <t>780836</t>
  </si>
  <si>
    <t>0848300024919000062</t>
  </si>
  <si>
    <t>0301300394519000006</t>
  </si>
  <si>
    <t>0210026823</t>
  </si>
  <si>
    <t>6827019672</t>
  </si>
  <si>
    <t>0164200003019002017</t>
  </si>
  <si>
    <t>6827026260</t>
  </si>
  <si>
    <t>8107008350</t>
  </si>
  <si>
    <t>0856600000719000124</t>
  </si>
  <si>
    <t>7714447830</t>
  </si>
  <si>
    <t>0373100108219000705</t>
  </si>
  <si>
    <t>7705541594</t>
  </si>
  <si>
    <t>3663112610</t>
  </si>
  <si>
    <t>0119100015819000012</t>
  </si>
  <si>
    <t>242601450471</t>
  </si>
  <si>
    <t>0573100002519000723</t>
  </si>
  <si>
    <t>7204124198</t>
  </si>
  <si>
    <t>31908126698</t>
  </si>
  <si>
    <t>7522004426</t>
  </si>
  <si>
    <t>0191100010719000005</t>
  </si>
  <si>
    <t>Улётовский</t>
  </si>
  <si>
    <t>752200704305</t>
  </si>
  <si>
    <t>0187300012819000581</t>
  </si>
  <si>
    <t>0849400000219000086</t>
  </si>
  <si>
    <t>0373200001919000213</t>
  </si>
  <si>
    <t>7706283145</t>
  </si>
  <si>
    <t>6730023403</t>
  </si>
  <si>
    <t>0163300029419000953</t>
  </si>
  <si>
    <t>0119100015819000011</t>
  </si>
  <si>
    <t>6025012714</t>
  </si>
  <si>
    <t>0157300002019000177</t>
  </si>
  <si>
    <t>0849400000219000085</t>
  </si>
  <si>
    <t>510100018717</t>
  </si>
  <si>
    <t>6827019658</t>
  </si>
  <si>
    <t>0164200003019002018</t>
  </si>
  <si>
    <t>0123100009219000017</t>
  </si>
  <si>
    <t>7806105001</t>
  </si>
  <si>
    <t>0372200263319000030</t>
  </si>
  <si>
    <t>2454011279</t>
  </si>
  <si>
    <t>0819300031919000256</t>
  </si>
  <si>
    <t>31908127031</t>
  </si>
  <si>
    <t>5404131745</t>
  </si>
  <si>
    <t>0851200000619004006</t>
  </si>
  <si>
    <t>5402051854</t>
  </si>
  <si>
    <t>7807007582</t>
  </si>
  <si>
    <t>0372200005319000009</t>
  </si>
  <si>
    <t>7802428989</t>
  </si>
  <si>
    <t>5007041453</t>
  </si>
  <si>
    <t>780722</t>
  </si>
  <si>
    <t>2320224229</t>
  </si>
  <si>
    <t>0318200088119000005</t>
  </si>
  <si>
    <t>[ОКПД2 79.11] Услуги туристических агентств, [ОКПД2 56.29] Услуги по обеспечению питанием прочие</t>
  </si>
  <si>
    <t>0175300034119000153</t>
  </si>
  <si>
    <t>9108119110</t>
  </si>
  <si>
    <t>9108104202</t>
  </si>
  <si>
    <t>9108118766</t>
  </si>
  <si>
    <t>9108119142</t>
  </si>
  <si>
    <t>9108119390</t>
  </si>
  <si>
    <t>9108119368</t>
  </si>
  <si>
    <t>9108120109</t>
  </si>
  <si>
    <t>780716</t>
  </si>
  <si>
    <t>0134100010019000037</t>
  </si>
  <si>
    <t>381100286763</t>
  </si>
  <si>
    <t>7207010520</t>
  </si>
  <si>
    <t>31908126336</t>
  </si>
  <si>
    <t>780721</t>
  </si>
  <si>
    <t>0175300034119000152</t>
  </si>
  <si>
    <t>9108118893</t>
  </si>
  <si>
    <t>9108104139</t>
  </si>
  <si>
    <t>9108119382</t>
  </si>
  <si>
    <t>9108119456</t>
  </si>
  <si>
    <t>9108119590</t>
  </si>
  <si>
    <t>9108119103</t>
  </si>
  <si>
    <t>9108118808</t>
  </si>
  <si>
    <t>31908126473</t>
  </si>
  <si>
    <t>6027013840</t>
  </si>
  <si>
    <t>0157200000319000616</t>
  </si>
  <si>
    <t>6229069620</t>
  </si>
  <si>
    <t>5050111682</t>
  </si>
  <si>
    <t>7705004254</t>
  </si>
  <si>
    <t>0373100025719000096</t>
  </si>
  <si>
    <t>0816023933</t>
  </si>
  <si>
    <t>5034005736</t>
  </si>
  <si>
    <t>7718673950</t>
  </si>
  <si>
    <t>5027048633</t>
  </si>
  <si>
    <t>0134100010019000038</t>
  </si>
  <si>
    <t>0135300002419000043</t>
  </si>
  <si>
    <t>3905089681</t>
  </si>
  <si>
    <t>3924003030</t>
  </si>
  <si>
    <t>Славский район</t>
  </si>
  <si>
    <t>3924003249</t>
  </si>
  <si>
    <t>3924003231</t>
  </si>
  <si>
    <t>3924003295</t>
  </si>
  <si>
    <t>0328100018619000007</t>
  </si>
  <si>
    <t>31908127231</t>
  </si>
  <si>
    <t>0187300012819000580</t>
  </si>
  <si>
    <t>0157100004419000035</t>
  </si>
  <si>
    <t>7721248272</t>
  </si>
  <si>
    <t>0373200041119000955</t>
  </si>
  <si>
    <t>0322200009119000066</t>
  </si>
  <si>
    <t>0123200000319002177</t>
  </si>
  <si>
    <t>2722023674</t>
  </si>
  <si>
    <t>0322200009119000064</t>
  </si>
  <si>
    <t>2727026171</t>
  </si>
  <si>
    <t>0276020830</t>
  </si>
  <si>
    <t>0301100021419000078</t>
  </si>
  <si>
    <t>3460011110</t>
  </si>
  <si>
    <t>7743155462</t>
  </si>
  <si>
    <t>2454011222</t>
  </si>
  <si>
    <t>0819300031919000255</t>
  </si>
  <si>
    <t>31908125109</t>
  </si>
  <si>
    <t>0322200009119000065</t>
  </si>
  <si>
    <t>2727027810</t>
  </si>
  <si>
    <t>0157100004419000036</t>
  </si>
  <si>
    <t>31908124885</t>
  </si>
  <si>
    <t>0862300042019000130</t>
  </si>
  <si>
    <t>6607008160</t>
  </si>
  <si>
    <t>Верхнесалдинский район</t>
  </si>
  <si>
    <t>6607007992</t>
  </si>
  <si>
    <t>6607010226</t>
  </si>
  <si>
    <t>6607008467</t>
  </si>
  <si>
    <t>6607008435</t>
  </si>
  <si>
    <t>6607008308</t>
  </si>
  <si>
    <t>6607011572</t>
  </si>
  <si>
    <t>4713005312</t>
  </si>
  <si>
    <t>0145300001919000209</t>
  </si>
  <si>
    <t>Сланцы</t>
  </si>
  <si>
    <t>471300075597</t>
  </si>
  <si>
    <t>471304155589</t>
  </si>
  <si>
    <t>0131300000619002386</t>
  </si>
  <si>
    <t>3662054395</t>
  </si>
  <si>
    <t>3662159430</t>
  </si>
  <si>
    <t>3662050288</t>
  </si>
  <si>
    <t>3662050707</t>
  </si>
  <si>
    <t>3662171300</t>
  </si>
  <si>
    <t>3662054878</t>
  </si>
  <si>
    <t>1829011366</t>
  </si>
  <si>
    <t>0813500000119008221</t>
  </si>
  <si>
    <t>0334100020519000090</t>
  </si>
  <si>
    <t>[ОКПД2 10.39] Фрукты, овощи и грибы переработанные и консервированные, не включенные в другие группировки, [ОКПД2 01.26] Плоды масличных культур</t>
  </si>
  <si>
    <t>31908125352</t>
  </si>
  <si>
    <t>0131300000619002387</t>
  </si>
  <si>
    <t>3662050640</t>
  </si>
  <si>
    <t>3662041950</t>
  </si>
  <si>
    <t>3662033596</t>
  </si>
  <si>
    <t>3662070245</t>
  </si>
  <si>
    <t>3662050626</t>
  </si>
  <si>
    <t>31908125816</t>
  </si>
  <si>
    <t>0231000569</t>
  </si>
  <si>
    <t>100242300119000012</t>
  </si>
  <si>
    <t>Краснокамский район</t>
  </si>
  <si>
    <t>31908125079</t>
  </si>
  <si>
    <t>6103005403</t>
  </si>
  <si>
    <t>987197</t>
  </si>
  <si>
    <t>31908124939</t>
  </si>
  <si>
    <t>[ОКПД2 71.1+] Услуги в области архитектуры, инженерно-технического проектирования и связанные технические консультативные услуги, [ОКВЭД2 71.1+] Деятельность в области архитектуры, инженерных изысканий и предоставление технических консультаций в этих областях</t>
  </si>
  <si>
    <t>0148300062719000223</t>
  </si>
  <si>
    <t>5030032288</t>
  </si>
  <si>
    <t>Наро-Фоминск</t>
  </si>
  <si>
    <t>5030032231</t>
  </si>
  <si>
    <t>5030032094</t>
  </si>
  <si>
    <t>5030034006</t>
  </si>
  <si>
    <t>5030032263</t>
  </si>
  <si>
    <t>5030032224</t>
  </si>
  <si>
    <t>5030032270</t>
  </si>
  <si>
    <t>5031073304</t>
  </si>
  <si>
    <t>6668012460</t>
  </si>
  <si>
    <t>31908124717</t>
  </si>
  <si>
    <t>31908125547</t>
  </si>
  <si>
    <t>7536098181</t>
  </si>
  <si>
    <t>987024</t>
  </si>
  <si>
    <t>0127100010019000025</t>
  </si>
  <si>
    <t>4826024161</t>
  </si>
  <si>
    <t>0346200016319000002</t>
  </si>
  <si>
    <t>482411701047</t>
  </si>
  <si>
    <t>4826024108</t>
  </si>
  <si>
    <t>6103005354</t>
  </si>
  <si>
    <t>986849</t>
  </si>
  <si>
    <t>1016010133</t>
  </si>
  <si>
    <t>0306300009919000109</t>
  </si>
  <si>
    <t>Суоярвский район</t>
  </si>
  <si>
    <t>1016001570</t>
  </si>
  <si>
    <t>2211003565</t>
  </si>
  <si>
    <t>986856</t>
  </si>
  <si>
    <t>[ОКПД2 10.83] Чай и кофе обработанные, [ОКПД2 10.84] Приправы и пряности,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10.82] Какао, шоколад и изделия кондитерские сахаристые, [ОКПД2 01.11] Культуры зерновые (кроме риса), зернобобовые, семена масличных культур, [ОКПД2 10.51] Молоко и молочная продукция, [ОКПД2 10.61] Продукция мукомольно-крупяного производства, [ОКПД2 10.32] Продукция соковая из фруктов и овощей</t>
  </si>
  <si>
    <t>Яровое</t>
  </si>
  <si>
    <t>1644010183</t>
  </si>
  <si>
    <t>0311100023019000027</t>
  </si>
  <si>
    <t>986544</t>
  </si>
  <si>
    <t>РН979434</t>
  </si>
  <si>
    <t>РН979445</t>
  </si>
  <si>
    <t>0119100012819000026</t>
  </si>
  <si>
    <t>245600448500</t>
  </si>
  <si>
    <t>245605102760</t>
  </si>
  <si>
    <t>100084504119000012</t>
  </si>
  <si>
    <t>0119100012819000027</t>
  </si>
  <si>
    <t>6730030778</t>
  </si>
  <si>
    <t>0163300029419000947</t>
  </si>
  <si>
    <t>3447017987</t>
  </si>
  <si>
    <t>0329100021719000048</t>
  </si>
  <si>
    <t>2574526</t>
  </si>
  <si>
    <t>4634007035</t>
  </si>
  <si>
    <t>31908124232</t>
  </si>
  <si>
    <t>1621004850</t>
  </si>
  <si>
    <t>100084651119000017</t>
  </si>
  <si>
    <t>Кайбицкий район</t>
  </si>
  <si>
    <t>6402003838</t>
  </si>
  <si>
    <t>100167798119000018</t>
  </si>
  <si>
    <t>Аркадакский район</t>
  </si>
  <si>
    <t>100167798119000019</t>
  </si>
  <si>
    <t>31908124287</t>
  </si>
  <si>
    <t>100084651119000018</t>
  </si>
  <si>
    <t>1629000913</t>
  </si>
  <si>
    <t>0311300198519000011</t>
  </si>
  <si>
    <t>Муслюмовский район</t>
  </si>
  <si>
    <t>5422110610</t>
  </si>
  <si>
    <t>986051</t>
  </si>
  <si>
    <t>[ОКПД2 41.10] Документация проектная для строительства</t>
  </si>
  <si>
    <t>Карасукский район</t>
  </si>
  <si>
    <t>2223577194</t>
  </si>
  <si>
    <t>986004</t>
  </si>
  <si>
    <t>5033008364</t>
  </si>
  <si>
    <t>0848300041119000175</t>
  </si>
  <si>
    <t>Озерский район</t>
  </si>
  <si>
    <t>0848300048419000482</t>
  </si>
  <si>
    <t>5003050908</t>
  </si>
  <si>
    <t>5003132445</t>
  </si>
  <si>
    <t>17688</t>
  </si>
  <si>
    <t>0109300043019000041</t>
  </si>
  <si>
    <t>1326203167</t>
  </si>
  <si>
    <t>1327049359</t>
  </si>
  <si>
    <t>1327049430</t>
  </si>
  <si>
    <t>1327049341</t>
  </si>
  <si>
    <t>1327049398</t>
  </si>
  <si>
    <t>1327149410</t>
  </si>
  <si>
    <t>1327049415</t>
  </si>
  <si>
    <t>1327049373</t>
  </si>
  <si>
    <t>1327049454</t>
  </si>
  <si>
    <t>1327049486</t>
  </si>
  <si>
    <t>1327049493</t>
  </si>
  <si>
    <t>0109300043019000040</t>
  </si>
  <si>
    <t>1327013962</t>
  </si>
  <si>
    <t>1328159940</t>
  </si>
  <si>
    <t>1328159690</t>
  </si>
  <si>
    <t>1328159210</t>
  </si>
  <si>
    <t>1328048598</t>
  </si>
  <si>
    <t>1328159442</t>
  </si>
  <si>
    <t>1328160092</t>
  </si>
  <si>
    <t>1328160060</t>
  </si>
  <si>
    <t>1328159026</t>
  </si>
  <si>
    <t>1328159756</t>
  </si>
  <si>
    <t>1328159763</t>
  </si>
  <si>
    <t>1328160085</t>
  </si>
  <si>
    <t>1328159932</t>
  </si>
  <si>
    <t>1328160543</t>
  </si>
  <si>
    <t>1328048044</t>
  </si>
  <si>
    <t>1328160381</t>
  </si>
  <si>
    <t>1328160286</t>
  </si>
  <si>
    <t>1328049305</t>
  </si>
  <si>
    <t>1328049295</t>
  </si>
  <si>
    <t>1328159643</t>
  </si>
  <si>
    <t>1328014253</t>
  </si>
  <si>
    <t>0109300043019000042</t>
  </si>
  <si>
    <t>1326135319</t>
  </si>
  <si>
    <t>1326048105</t>
  </si>
  <si>
    <t>1326048176</t>
  </si>
  <si>
    <t>1326136023</t>
  </si>
  <si>
    <t>1326135196</t>
  </si>
  <si>
    <t>1326048169</t>
  </si>
  <si>
    <t>1326137612</t>
  </si>
  <si>
    <t>1326137154</t>
  </si>
  <si>
    <t>1326137080</t>
  </si>
  <si>
    <t>1326028934</t>
  </si>
  <si>
    <t>1326135767</t>
  </si>
  <si>
    <t>1326137370</t>
  </si>
  <si>
    <t>1326137436</t>
  </si>
  <si>
    <t>1326135735</t>
  </si>
  <si>
    <t>31908123787</t>
  </si>
  <si>
    <t>2226018660</t>
  </si>
  <si>
    <t>985565</t>
  </si>
  <si>
    <t>BP00310452</t>
  </si>
  <si>
    <t>BP00310474</t>
  </si>
  <si>
    <t>2019-733660</t>
  </si>
  <si>
    <t>6618002971</t>
  </si>
  <si>
    <t>0362300105219000010</t>
  </si>
  <si>
    <t>6620010560</t>
  </si>
  <si>
    <t>31908123667</t>
  </si>
  <si>
    <t>0367100012119000076</t>
  </si>
  <si>
    <t>2538076836</t>
  </si>
  <si>
    <t>31908120730</t>
  </si>
  <si>
    <t>0318200088119000004</t>
  </si>
  <si>
    <t>3415007658</t>
  </si>
  <si>
    <t>0129200005319002840</t>
  </si>
  <si>
    <t>6729008680</t>
  </si>
  <si>
    <t>0163300029419000946</t>
  </si>
  <si>
    <t>3447018500</t>
  </si>
  <si>
    <t>0129200005319002828</t>
  </si>
  <si>
    <t>0849400000219000078</t>
  </si>
  <si>
    <t>2901285411</t>
  </si>
  <si>
    <t>0853500000319007862</t>
  </si>
  <si>
    <t>5609192820</t>
  </si>
  <si>
    <t>0316300027619000012</t>
  </si>
  <si>
    <t>1413021420</t>
  </si>
  <si>
    <t>1413021438</t>
  </si>
  <si>
    <t>1413021396</t>
  </si>
  <si>
    <t>3435881448</t>
  </si>
  <si>
    <t>0129200005319002839</t>
  </si>
  <si>
    <t>0361300026319000025</t>
  </si>
  <si>
    <t>5612074128</t>
  </si>
  <si>
    <t>0853500000319007869</t>
  </si>
  <si>
    <t>1101484399</t>
  </si>
  <si>
    <t>0307200030619001266</t>
  </si>
  <si>
    <t>0139200000119005658</t>
  </si>
  <si>
    <t>423000344339</t>
  </si>
  <si>
    <t>2502027722</t>
  </si>
  <si>
    <t>0320200026919000068</t>
  </si>
  <si>
    <t>2509007958</t>
  </si>
  <si>
    <t>4709005165</t>
  </si>
  <si>
    <t>0145300010019000150</t>
  </si>
  <si>
    <t>0302100011519000001</t>
  </si>
  <si>
    <t>31908120085</t>
  </si>
  <si>
    <t>3441500034</t>
  </si>
  <si>
    <t>0129200005319002832</t>
  </si>
  <si>
    <t>106221</t>
  </si>
  <si>
    <t>2501009985</t>
  </si>
  <si>
    <t>0320300105619000008</t>
  </si>
  <si>
    <t>Анучинский район</t>
  </si>
  <si>
    <t>2513004220</t>
  </si>
  <si>
    <t>3438000747</t>
  </si>
  <si>
    <t>0129200005319002831</t>
  </si>
  <si>
    <t>2513002208</t>
  </si>
  <si>
    <t>0320300105419000018</t>
  </si>
  <si>
    <t>3437008013</t>
  </si>
  <si>
    <t>0129200005319002827</t>
  </si>
  <si>
    <t>2513003427</t>
  </si>
  <si>
    <t>0320300105519000009</t>
  </si>
  <si>
    <t>3445030622</t>
  </si>
  <si>
    <t>0129200005319002826</t>
  </si>
  <si>
    <t>0320300105419000019</t>
  </si>
  <si>
    <t>251301019188</t>
  </si>
  <si>
    <t>3446007055</t>
  </si>
  <si>
    <t>0129200005319002829</t>
  </si>
  <si>
    <t>31908120902</t>
  </si>
  <si>
    <t>[ОКПД2 79.90] Услуги по бронированию и взаимосвязанные услуги прочие, [ОКВЭД2 79.90] Услуги по бронированию прочие и сопутствующая деятельность</t>
  </si>
  <si>
    <t>2827006740</t>
  </si>
  <si>
    <t>31908120212</t>
  </si>
  <si>
    <t>106057</t>
  </si>
  <si>
    <t>31908121482</t>
  </si>
  <si>
    <t>5921010393</t>
  </si>
  <si>
    <t>0356300207619000016</t>
  </si>
  <si>
    <t>5429104775</t>
  </si>
  <si>
    <t>0351300140019000003</t>
  </si>
  <si>
    <t>5429108385</t>
  </si>
  <si>
    <t>0362200063319000013</t>
  </si>
  <si>
    <t>3435881166</t>
  </si>
  <si>
    <t>0129200005319002825</t>
  </si>
  <si>
    <t>2446004687</t>
  </si>
  <si>
    <t>0119300004719000240</t>
  </si>
  <si>
    <t>2526002332</t>
  </si>
  <si>
    <t>0320100028519000007</t>
  </si>
  <si>
    <t>Пожарский район</t>
  </si>
  <si>
    <t>2526006231</t>
  </si>
  <si>
    <t>31908121371</t>
  </si>
  <si>
    <t>2460213509</t>
  </si>
  <si>
    <t>31908120833</t>
  </si>
  <si>
    <t>31908121742</t>
  </si>
  <si>
    <t>3664000885</t>
  </si>
  <si>
    <t>31908122611</t>
  </si>
  <si>
    <t>0145200000419001404</t>
  </si>
  <si>
    <t>[ОКПД2 56.10] Услуги ресторанов и услуги по доставке продуктов питания, [ОКПД2 55.90] Услуги по предоставлению временного жилья прочие, [ОКПД2 93.29] Услуги в области развлечений и отдыха прочие</t>
  </si>
  <si>
    <t>7811593837</t>
  </si>
  <si>
    <t>0362200063319000012</t>
  </si>
  <si>
    <t>6664006593</t>
  </si>
  <si>
    <t>4608002150</t>
  </si>
  <si>
    <t>100044898119000045</t>
  </si>
  <si>
    <t>Касторенский район</t>
  </si>
  <si>
    <t>0261004313</t>
  </si>
  <si>
    <t>0301200029919000006</t>
  </si>
  <si>
    <t>026106359361</t>
  </si>
  <si>
    <t>5944207406</t>
  </si>
  <si>
    <t>0156300065419000085</t>
  </si>
  <si>
    <t>4011006428</t>
  </si>
  <si>
    <t>0137300017519000130</t>
  </si>
  <si>
    <t>3008008906</t>
  </si>
  <si>
    <t>0825300005219000137</t>
  </si>
  <si>
    <t>2924002980</t>
  </si>
  <si>
    <t>0124200000619003721</t>
  </si>
  <si>
    <t>3329022719</t>
  </si>
  <si>
    <t>0328300032819000511</t>
  </si>
  <si>
    <t>0332100049919000010</t>
  </si>
  <si>
    <t>524500814851</t>
  </si>
  <si>
    <t>1828020343</t>
  </si>
  <si>
    <t>0813500000119008108</t>
  </si>
  <si>
    <t>0808100000219000157</t>
  </si>
  <si>
    <t>121523739450</t>
  </si>
  <si>
    <t>6320009444</t>
  </si>
  <si>
    <t>0342100009419000068</t>
  </si>
  <si>
    <t>4704090209</t>
  </si>
  <si>
    <t>31908121608</t>
  </si>
  <si>
    <t>0161100007319000017</t>
  </si>
  <si>
    <t>7900000824</t>
  </si>
  <si>
    <t>0278100000219000087</t>
  </si>
  <si>
    <t>2516000664</t>
  </si>
  <si>
    <t>5609008654</t>
  </si>
  <si>
    <t>0853500000319007838</t>
  </si>
  <si>
    <t>2513003434</t>
  </si>
  <si>
    <t>0320300106319000008</t>
  </si>
  <si>
    <t>779869</t>
  </si>
  <si>
    <t>5921015472</t>
  </si>
  <si>
    <t>0356300124519000008</t>
  </si>
  <si>
    <t>0130200002419002469</t>
  </si>
  <si>
    <t>0307300050219000131</t>
  </si>
  <si>
    <t>1116004430</t>
  </si>
  <si>
    <t>0307100010419000178</t>
  </si>
  <si>
    <t>3525008894</t>
  </si>
  <si>
    <t>4345257950</t>
  </si>
  <si>
    <t>2905008472</t>
  </si>
  <si>
    <t>4011008873</t>
  </si>
  <si>
    <t>0137300017519000129</t>
  </si>
  <si>
    <t>5038004170</t>
  </si>
  <si>
    <t>0348100088019000011</t>
  </si>
  <si>
    <t>0853500000319007819</t>
  </si>
  <si>
    <t>7106035616</t>
  </si>
  <si>
    <t>7839075842</t>
  </si>
  <si>
    <t>564200328729</t>
  </si>
  <si>
    <t>5262356444</t>
  </si>
  <si>
    <t>4632154838</t>
  </si>
  <si>
    <t>984386</t>
  </si>
  <si>
    <t>[ОКПД2 26.40] Техника бытовая электронная, [ОКПД2 43.21] Работы электромонтажные, [ОКПД2 27.33] Изделия электроустановочные, [ОКПД2 59.20] Услуги звукозаписи и услуги по изданию музыкальных произведений, [ОКПД2 26.20] Компьютеры и периферийное оборудование, [ОКПД2 33.20] Услуги по монтажу промышленных машин и оборудования, [ОКПД2 27.12] Аппаратура распределительная и регулирующая электрическая</t>
  </si>
  <si>
    <t>779813</t>
  </si>
  <si>
    <t>2454011261</t>
  </si>
  <si>
    <t>0819300031919000254</t>
  </si>
  <si>
    <t>6501146467</t>
  </si>
  <si>
    <t>31908119410</t>
  </si>
  <si>
    <t>[ОКПД2 81+] Услуги по обслуживанию зданий и территорий, [ОКВЭД2 81.1+] Деятельность по комплексному обслуживанию помещений</t>
  </si>
  <si>
    <t>5193800627</t>
  </si>
  <si>
    <t>0849300004919000678</t>
  </si>
  <si>
    <t>5007085588</t>
  </si>
  <si>
    <t>0348100088019000012</t>
  </si>
  <si>
    <t>0134200000119002502</t>
  </si>
  <si>
    <t>4001003097</t>
  </si>
  <si>
    <t>0137300001119000054</t>
  </si>
  <si>
    <t>0369100034919000003</t>
  </si>
  <si>
    <t>2454009921</t>
  </si>
  <si>
    <t>0819300031919000253</t>
  </si>
  <si>
    <t>2574223</t>
  </si>
  <si>
    <t>0136100012519000037</t>
  </si>
  <si>
    <t>0157300002019000175</t>
  </si>
  <si>
    <t>8619008970</t>
  </si>
  <si>
    <t>0187300001719000421</t>
  </si>
  <si>
    <t>8604033910</t>
  </si>
  <si>
    <t>6330000271</t>
  </si>
  <si>
    <t>0342100006419000013</t>
  </si>
  <si>
    <t>Новокуйбышевск</t>
  </si>
  <si>
    <t>9102061383</t>
  </si>
  <si>
    <t>0375200001519000086</t>
  </si>
  <si>
    <t>5904199558</t>
  </si>
  <si>
    <t>0156200009919000443</t>
  </si>
  <si>
    <t>0809500000319001482</t>
  </si>
  <si>
    <t>0148300062719000218</t>
  </si>
  <si>
    <t>5030032150</t>
  </si>
  <si>
    <t>5030032217</t>
  </si>
  <si>
    <t>5030031894</t>
  </si>
  <si>
    <t>5030041652</t>
  </si>
  <si>
    <t>5030032136</t>
  </si>
  <si>
    <t>5030032030</t>
  </si>
  <si>
    <t>5030032062</t>
  </si>
  <si>
    <t>5030032312</t>
  </si>
  <si>
    <t>7024015827</t>
  </si>
  <si>
    <t>0165300009019000391</t>
  </si>
  <si>
    <t>7017460136</t>
  </si>
  <si>
    <t>983765</t>
  </si>
  <si>
    <t>31908120659</t>
  </si>
  <si>
    <t>0339100015919000011</t>
  </si>
  <si>
    <t>3904020768</t>
  </si>
  <si>
    <t>0335100010819000132</t>
  </si>
  <si>
    <t>3917508552</t>
  </si>
  <si>
    <t>1901044090</t>
  </si>
  <si>
    <t>0180300000219000579</t>
  </si>
  <si>
    <t>1901096170</t>
  </si>
  <si>
    <t>8619007221</t>
  </si>
  <si>
    <t>0187300001719000420</t>
  </si>
  <si>
    <t>0339100015919000009</t>
  </si>
  <si>
    <t>7024015760</t>
  </si>
  <si>
    <t>0165300009019000390</t>
  </si>
  <si>
    <t>7024032205</t>
  </si>
  <si>
    <t>0322200009119000060</t>
  </si>
  <si>
    <t>2703003827</t>
  </si>
  <si>
    <t>31908119873</t>
  </si>
  <si>
    <t>7810251630</t>
  </si>
  <si>
    <t>0345100004919000008</t>
  </si>
  <si>
    <t>2453004769</t>
  </si>
  <si>
    <t>0119200000119006552</t>
  </si>
  <si>
    <t>2453000556</t>
  </si>
  <si>
    <t>245303948806</t>
  </si>
  <si>
    <t>5433954944</t>
  </si>
  <si>
    <t>0107100003519000217</t>
  </si>
  <si>
    <t>Печора</t>
  </si>
  <si>
    <t>7804103143</t>
  </si>
  <si>
    <t>0372200283819000011</t>
  </si>
  <si>
    <t>[ОКПД2 56.29] Услуги по обеспечению питанием прочие, [ОКПД2 55.20] Услуги по предоставлению временного жилья в местах отдыха и прочих местах для краткосрочного проживания, [ОКПД2 41.20] Здания и работы по возведению зданий</t>
  </si>
  <si>
    <t>781626676862</t>
  </si>
  <si>
    <t>4704096673</t>
  </si>
  <si>
    <t>106098</t>
  </si>
  <si>
    <t>5431207383</t>
  </si>
  <si>
    <t>983169</t>
  </si>
  <si>
    <t>Маслянинский район</t>
  </si>
  <si>
    <t>0711200005819000100</t>
  </si>
  <si>
    <t>165000577711</t>
  </si>
  <si>
    <t>212701878127</t>
  </si>
  <si>
    <t>165051734296</t>
  </si>
  <si>
    <t>5017051210</t>
  </si>
  <si>
    <t>0348300302419000012</t>
  </si>
  <si>
    <t>Восход</t>
  </si>
  <si>
    <t>0111300000819000861</t>
  </si>
  <si>
    <t>1650378539</t>
  </si>
  <si>
    <t>1650378779</t>
  </si>
  <si>
    <t>1650378747</t>
  </si>
  <si>
    <t>1650378761</t>
  </si>
  <si>
    <t>1650378786</t>
  </si>
  <si>
    <t>7017002665</t>
  </si>
  <si>
    <t>983145</t>
  </si>
  <si>
    <t>0111300000819000860</t>
  </si>
  <si>
    <t>0319200057819000006</t>
  </si>
  <si>
    <t>0360100012719000018</t>
  </si>
  <si>
    <t>0172200004719000130</t>
  </si>
  <si>
    <t>7811022713</t>
  </si>
  <si>
    <t>7811023001</t>
  </si>
  <si>
    <t>7811022907</t>
  </si>
  <si>
    <t>0172200004719000131</t>
  </si>
  <si>
    <t>7811022777</t>
  </si>
  <si>
    <t>7811022745</t>
  </si>
  <si>
    <t>17497</t>
  </si>
  <si>
    <t>983041</t>
  </si>
  <si>
    <t>[ОКПД2 10.73] Изделия макаронные, кускус и аналогичные мучные изделия, [ОКПД2 10.61] Продукция мукомольно-крупяного производства, [ОКПД2 10.89] Продукты пищевые прочие, не включенные в другие группировки</t>
  </si>
  <si>
    <t>0360100012719000017</t>
  </si>
  <si>
    <t>0348200077719000121</t>
  </si>
  <si>
    <t>5447100029</t>
  </si>
  <si>
    <t>983052</t>
  </si>
  <si>
    <t>Куйбышев</t>
  </si>
  <si>
    <t>0326033690</t>
  </si>
  <si>
    <t>100180282119000008</t>
  </si>
  <si>
    <t>31908119952</t>
  </si>
  <si>
    <t>1701027475</t>
  </si>
  <si>
    <t>0112200000819002575</t>
  </si>
  <si>
    <t>1701046982</t>
  </si>
  <si>
    <t>0254002548</t>
  </si>
  <si>
    <t>0301100007719000007</t>
  </si>
  <si>
    <t>Баймакский район</t>
  </si>
  <si>
    <t>0254009215</t>
  </si>
  <si>
    <t>0131300000619002366</t>
  </si>
  <si>
    <t>3661021301</t>
  </si>
  <si>
    <t>3661016397</t>
  </si>
  <si>
    <t>3661022506</t>
  </si>
  <si>
    <t>3661011624</t>
  </si>
  <si>
    <t>3661016478</t>
  </si>
  <si>
    <t>3661016446</t>
  </si>
  <si>
    <t>3661018370</t>
  </si>
  <si>
    <t>3661014689</t>
  </si>
  <si>
    <t>3661016421</t>
  </si>
  <si>
    <t>3661022584</t>
  </si>
  <si>
    <t>3661022418</t>
  </si>
  <si>
    <t>3661016407</t>
  </si>
  <si>
    <t>3661022520</t>
  </si>
  <si>
    <t>3661171762</t>
  </si>
  <si>
    <t>7718230420</t>
  </si>
  <si>
    <t>0373200006219001304</t>
  </si>
  <si>
    <t>7718249942</t>
  </si>
  <si>
    <t>0380100004719000019</t>
  </si>
  <si>
    <t>6132001964</t>
  </si>
  <si>
    <t>0358300060619000105</t>
  </si>
  <si>
    <t>613201201065</t>
  </si>
  <si>
    <t>0380100004719000021</t>
  </si>
  <si>
    <t>8612009999</t>
  </si>
  <si>
    <t>0387100010519000010</t>
  </si>
  <si>
    <t>0380100004719000017</t>
  </si>
  <si>
    <t>0387100010519000011</t>
  </si>
  <si>
    <t>31908118901</t>
  </si>
  <si>
    <t>0274946336</t>
  </si>
  <si>
    <t>31908118164</t>
  </si>
  <si>
    <t>[ОКПД2 42.99] Сооружения и строительные работы по строительству прочих гражданских сооружений, не включенных в другие группировки, [ОКВЭД2 42.99] Строительство прочих инженерных сооружений, не включенных в другие группировки</t>
  </si>
  <si>
    <t>31908118124</t>
  </si>
  <si>
    <t>0853500000319007811</t>
  </si>
  <si>
    <t>2721217596</t>
  </si>
  <si>
    <t>31908115857</t>
  </si>
  <si>
    <t>6952033628</t>
  </si>
  <si>
    <t>0836100000419000165</t>
  </si>
  <si>
    <t>0378200002919000175</t>
  </si>
  <si>
    <t>6132008286</t>
  </si>
  <si>
    <t>982544</t>
  </si>
  <si>
    <t>0573100002519000703</t>
  </si>
  <si>
    <t>0172200004719000127</t>
  </si>
  <si>
    <t>7811022960</t>
  </si>
  <si>
    <t>7811022946</t>
  </si>
  <si>
    <t>0172200004719000129</t>
  </si>
  <si>
    <t>7811066929</t>
  </si>
  <si>
    <t>7811023065</t>
  </si>
  <si>
    <t>0172200004719000128</t>
  </si>
  <si>
    <t>7811117612</t>
  </si>
  <si>
    <t>7811022738</t>
  </si>
  <si>
    <t>7811609861</t>
  </si>
  <si>
    <t>0172200004719000126</t>
  </si>
  <si>
    <t>7811022939</t>
  </si>
  <si>
    <t>7811066855</t>
  </si>
  <si>
    <t>7811569383</t>
  </si>
  <si>
    <t>5030032344</t>
  </si>
  <si>
    <t>31908118659</t>
  </si>
  <si>
    <t>5914010064</t>
  </si>
  <si>
    <t>0156300000419000132</t>
  </si>
  <si>
    <t>591401142781</t>
  </si>
  <si>
    <t>0172200004719000117</t>
  </si>
  <si>
    <t>7811022858</t>
  </si>
  <si>
    <t>7811044393</t>
  </si>
  <si>
    <t>7811005683</t>
  </si>
  <si>
    <t>0172200004719000122</t>
  </si>
  <si>
    <t>7811022953</t>
  </si>
  <si>
    <t>7811023019</t>
  </si>
  <si>
    <t>7811022720</t>
  </si>
  <si>
    <t>7811022921</t>
  </si>
  <si>
    <t>0172200004719000118</t>
  </si>
  <si>
    <t>7811042477</t>
  </si>
  <si>
    <t>7811022992</t>
  </si>
  <si>
    <t>0172200004719000115</t>
  </si>
  <si>
    <t>7811022880</t>
  </si>
  <si>
    <t>7811022897</t>
  </si>
  <si>
    <t>7811022760</t>
  </si>
  <si>
    <t>2221114472</t>
  </si>
  <si>
    <t>0817200000319007675</t>
  </si>
  <si>
    <t>5406780544</t>
  </si>
  <si>
    <t>5407973002</t>
  </si>
  <si>
    <t>0335100010819000127</t>
  </si>
  <si>
    <t>3906982947</t>
  </si>
  <si>
    <t>3906278586</t>
  </si>
  <si>
    <t>0373200001919000206</t>
  </si>
  <si>
    <t>7733567756</t>
  </si>
  <si>
    <t>0163300029419000941</t>
  </si>
  <si>
    <t>0123200000319002147</t>
  </si>
  <si>
    <t>2636801680</t>
  </si>
  <si>
    <t>0131300000619002362</t>
  </si>
  <si>
    <t>0172200004719000125</t>
  </si>
  <si>
    <t>7811066848</t>
  </si>
  <si>
    <t>7811044019</t>
  </si>
  <si>
    <t>7811022706</t>
  </si>
  <si>
    <t>0172200004719000114</t>
  </si>
  <si>
    <t>7811066870</t>
  </si>
  <si>
    <t>7811023026</t>
  </si>
  <si>
    <t>7811022985</t>
  </si>
  <si>
    <t>4700000331</t>
  </si>
  <si>
    <t>0145200001019000043</t>
  </si>
  <si>
    <t>4700000620</t>
  </si>
  <si>
    <t>1435279920</t>
  </si>
  <si>
    <t>0172200004719000119</t>
  </si>
  <si>
    <t>7811022784</t>
  </si>
  <si>
    <t>7811022833</t>
  </si>
  <si>
    <t>7811022819</t>
  </si>
  <si>
    <t>3435881430</t>
  </si>
  <si>
    <t>0129200005319002811</t>
  </si>
  <si>
    <t>0172200004719000116</t>
  </si>
  <si>
    <t>7811022689</t>
  </si>
  <si>
    <t>7811022914</t>
  </si>
  <si>
    <t>0172200004719000123</t>
  </si>
  <si>
    <t>7811066887</t>
  </si>
  <si>
    <t>7811022752</t>
  </si>
  <si>
    <t>7811042332</t>
  </si>
  <si>
    <t>7811066862</t>
  </si>
  <si>
    <t>0131300000619002364</t>
  </si>
  <si>
    <t>0172200004719000120</t>
  </si>
  <si>
    <t>7811023040</t>
  </si>
  <si>
    <t>7811022696</t>
  </si>
  <si>
    <t>7811066904</t>
  </si>
  <si>
    <t>0172200004719000121</t>
  </si>
  <si>
    <t>7811090199</t>
  </si>
  <si>
    <t>7811022865</t>
  </si>
  <si>
    <t>7811088150</t>
  </si>
  <si>
    <t>0131300000619002365</t>
  </si>
  <si>
    <t>0172200004719000124</t>
  </si>
  <si>
    <t>7811022671</t>
  </si>
  <si>
    <t>7811023058</t>
  </si>
  <si>
    <t>7811022801</t>
  </si>
  <si>
    <t>0131300000619002361</t>
  </si>
  <si>
    <t>3663040370</t>
  </si>
  <si>
    <t>3663031753</t>
  </si>
  <si>
    <t>3663041367</t>
  </si>
  <si>
    <t>3663037265</t>
  </si>
  <si>
    <t>3663036800</t>
  </si>
  <si>
    <t>3663041381</t>
  </si>
  <si>
    <t>3663095066</t>
  </si>
  <si>
    <t>3663023022</t>
  </si>
  <si>
    <t>3663039745</t>
  </si>
  <si>
    <t>3663039583</t>
  </si>
  <si>
    <t>3665147217</t>
  </si>
  <si>
    <t>31908117916</t>
  </si>
  <si>
    <t>5957006270</t>
  </si>
  <si>
    <t>0156300049619000071</t>
  </si>
  <si>
    <t>2607100271</t>
  </si>
  <si>
    <t>0321100000419000021</t>
  </si>
  <si>
    <t>260702017489</t>
  </si>
  <si>
    <t>0131300000619002354</t>
  </si>
  <si>
    <t>3663039449</t>
  </si>
  <si>
    <t>3663037635</t>
  </si>
  <si>
    <t>3663039382</t>
  </si>
  <si>
    <t>3663039946</t>
  </si>
  <si>
    <t>3663037346</t>
  </si>
  <si>
    <t>3663037603</t>
  </si>
  <si>
    <t>3663019308</t>
  </si>
  <si>
    <t>3663041303</t>
  </si>
  <si>
    <t>3663037755</t>
  </si>
  <si>
    <t>3663019315</t>
  </si>
  <si>
    <t>3663037716</t>
  </si>
  <si>
    <t>3663023030</t>
  </si>
  <si>
    <t>3663036889</t>
  </si>
  <si>
    <t>3663036769</t>
  </si>
  <si>
    <t>3663139429</t>
  </si>
  <si>
    <t>0847100000619000084</t>
  </si>
  <si>
    <t>490909034083</t>
  </si>
  <si>
    <t>6501102808</t>
  </si>
  <si>
    <t>31908114572</t>
  </si>
  <si>
    <t>31908117896</t>
  </si>
  <si>
    <t>7808023241</t>
  </si>
  <si>
    <t>0372200108219000143</t>
  </si>
  <si>
    <t>7706222752</t>
  </si>
  <si>
    <t>0131300000619002358</t>
  </si>
  <si>
    <t>3662050263</t>
  </si>
  <si>
    <t>3662053560</t>
  </si>
  <si>
    <t>3662064668</t>
  </si>
  <si>
    <t>3661014671</t>
  </si>
  <si>
    <t>3661027078</t>
  </si>
  <si>
    <t>3662050665</t>
  </si>
  <si>
    <t>3662069754</t>
  </si>
  <si>
    <t>3662067002</t>
  </si>
  <si>
    <t>3662050672</t>
  </si>
  <si>
    <t>3662068510</t>
  </si>
  <si>
    <t>3662050658</t>
  </si>
  <si>
    <t>3662053828</t>
  </si>
  <si>
    <t>3662071707</t>
  </si>
  <si>
    <t>3662048881</t>
  </si>
  <si>
    <t>2312059363</t>
  </si>
  <si>
    <t>0318200030119000020</t>
  </si>
  <si>
    <t>5602001402</t>
  </si>
  <si>
    <t>0853500000319007764</t>
  </si>
  <si>
    <t>7722428976</t>
  </si>
  <si>
    <t>1655396813</t>
  </si>
  <si>
    <t>7726342960</t>
  </si>
  <si>
    <t>561803629946</t>
  </si>
  <si>
    <t>5622000887</t>
  </si>
  <si>
    <t>0853500000319007763</t>
  </si>
  <si>
    <t>Асекеевский район</t>
  </si>
  <si>
    <t>5610220711</t>
  </si>
  <si>
    <t>0342100040819000027</t>
  </si>
  <si>
    <t>6325064424</t>
  </si>
  <si>
    <t>8603009262</t>
  </si>
  <si>
    <t>0187300001219000342</t>
  </si>
  <si>
    <t>8603174570</t>
  </si>
  <si>
    <t>5957006552</t>
  </si>
  <si>
    <t>0156300049619000072</t>
  </si>
  <si>
    <t>0318200030119000021</t>
  </si>
  <si>
    <t>31908117888</t>
  </si>
  <si>
    <t>0131300000619002357</t>
  </si>
  <si>
    <t>31908118005</t>
  </si>
  <si>
    <t>7303012819</t>
  </si>
  <si>
    <t>0168100007019000027</t>
  </si>
  <si>
    <t>4704025577</t>
  </si>
  <si>
    <t>0845300015019000431</t>
  </si>
  <si>
    <t>0119100007519000034</t>
  </si>
  <si>
    <t>0119100007519000031</t>
  </si>
  <si>
    <t>Казачинский район</t>
  </si>
  <si>
    <t>241700573899</t>
  </si>
  <si>
    <t>3015110097</t>
  </si>
  <si>
    <t>0125400000219000083</t>
  </si>
  <si>
    <t>3025017280</t>
  </si>
  <si>
    <t>301725399801</t>
  </si>
  <si>
    <t>6220008888</t>
  </si>
  <si>
    <t>0159300019819000034</t>
  </si>
  <si>
    <t>622000915297</t>
  </si>
  <si>
    <t>0122200002519004461</t>
  </si>
  <si>
    <t>0387200013219000054</t>
  </si>
  <si>
    <t>[ОКПД2 10.72] Изделия сухарные и печенье; мучные кондитерские изделия, торты и пирожные длительного хранения, [ОКПД2 10.89] Продукты пищевые прочие, не включенные в другие группировки</t>
  </si>
  <si>
    <t>7816164461</t>
  </si>
  <si>
    <t>0372200243019000004</t>
  </si>
  <si>
    <t>3443043312</t>
  </si>
  <si>
    <t>0129200005319002797</t>
  </si>
  <si>
    <t>0119100007519000032</t>
  </si>
  <si>
    <t>0172200004719000112</t>
  </si>
  <si>
    <t>7811022826</t>
  </si>
  <si>
    <t>7811066830</t>
  </si>
  <si>
    <t>7811022840</t>
  </si>
  <si>
    <t>31908117423</t>
  </si>
  <si>
    <t>100240769119000036</t>
  </si>
  <si>
    <t>Абдулино</t>
  </si>
  <si>
    <t>3448022235</t>
  </si>
  <si>
    <t>0129200005319002791</t>
  </si>
  <si>
    <t>0148300062719000217</t>
  </si>
  <si>
    <t>5030031943</t>
  </si>
  <si>
    <t>5030031911</t>
  </si>
  <si>
    <t>5030031904</t>
  </si>
  <si>
    <t>5030031929</t>
  </si>
  <si>
    <t>31908116197</t>
  </si>
  <si>
    <t>0119100007519000033</t>
  </si>
  <si>
    <t>5948017501</t>
  </si>
  <si>
    <t>31908116433</t>
  </si>
  <si>
    <t>6155020459</t>
  </si>
  <si>
    <t>981862</t>
  </si>
  <si>
    <t>7721248508</t>
  </si>
  <si>
    <t>0373200041119000932</t>
  </si>
  <si>
    <t>7726300896</t>
  </si>
  <si>
    <t>0873200001719000288</t>
  </si>
  <si>
    <t>5249120680</t>
  </si>
  <si>
    <t>7719678260</t>
  </si>
  <si>
    <t>7723827740</t>
  </si>
  <si>
    <t>31908115137</t>
  </si>
  <si>
    <t>7816677880</t>
  </si>
  <si>
    <t>0172200002219000074</t>
  </si>
  <si>
    <t>7805120310</t>
  </si>
  <si>
    <t>0373100105419000059</t>
  </si>
  <si>
    <t>5262321748</t>
  </si>
  <si>
    <t>7801297571</t>
  </si>
  <si>
    <t>0803100000419000058</t>
  </si>
  <si>
    <t>0342100040819000025</t>
  </si>
  <si>
    <t>6831016466</t>
  </si>
  <si>
    <t>31908116210</t>
  </si>
  <si>
    <t>7019015927</t>
  </si>
  <si>
    <t>981751</t>
  </si>
  <si>
    <t>0803100000419000059</t>
  </si>
  <si>
    <t>0165100002719000091</t>
  </si>
  <si>
    <t>701738727313</t>
  </si>
  <si>
    <t>0387200013219000053</t>
  </si>
  <si>
    <t>[ОКПД2 10.61] Продукция мукомольно-крупяного производства, [ОКПД2 10.82] Какао, шоколад и изделия кондитерские сахаристые, [ОКПД2 10.84] Приправы и пряности</t>
  </si>
  <si>
    <t>4713005305</t>
  </si>
  <si>
    <t>0145300001919000206</t>
  </si>
  <si>
    <t>9108119287</t>
  </si>
  <si>
    <t>0175300034119000146</t>
  </si>
  <si>
    <t>31908115403</t>
  </si>
  <si>
    <t>0308100007119000012</t>
  </si>
  <si>
    <t>0165100002719000092</t>
  </si>
  <si>
    <t>0342100040819000026</t>
  </si>
  <si>
    <t>0344100009319000013</t>
  </si>
  <si>
    <t>РН967682</t>
  </si>
  <si>
    <t>5321148209</t>
  </si>
  <si>
    <t>31908116256</t>
  </si>
  <si>
    <t>0328100014419000003</t>
  </si>
  <si>
    <t>0372200129319000031</t>
  </si>
  <si>
    <t>779180</t>
  </si>
  <si>
    <t>31908116134</t>
  </si>
  <si>
    <t>[ОКПД2 81.29] Услуги по чистке и уборке прочие, [ОКПД2 56.10] Услуги ресторанов и услуги по доставке продуктов питания, [ОКВЭД2 81.29] Деятельность по чистке и уборке прочая, [ОКВЭД2 56.10] Деятельность ресторанов и услуги по доставке продуктов питания</t>
  </si>
  <si>
    <t>0156100011519000019</t>
  </si>
  <si>
    <t>590416822234</t>
  </si>
  <si>
    <t>0372200275619000074</t>
  </si>
  <si>
    <t>0122100012219000016</t>
  </si>
  <si>
    <t>4100014325</t>
  </si>
  <si>
    <t>0138300000419000487</t>
  </si>
  <si>
    <t>5957006489</t>
  </si>
  <si>
    <t>0156300049619000070</t>
  </si>
  <si>
    <t>0153100005919000016</t>
  </si>
  <si>
    <t>0318100029819000001</t>
  </si>
  <si>
    <t>2452012816</t>
  </si>
  <si>
    <t>100153838119000046</t>
  </si>
  <si>
    <t>100137413119000013</t>
  </si>
  <si>
    <t>5438318614</t>
  </si>
  <si>
    <t>981271</t>
  </si>
  <si>
    <t>Тогучинский район</t>
  </si>
  <si>
    <t>1215110573</t>
  </si>
  <si>
    <t>0308100003519000002</t>
  </si>
  <si>
    <t>1215158303</t>
  </si>
  <si>
    <t>0377100007019000007</t>
  </si>
  <si>
    <t>6730023410</t>
  </si>
  <si>
    <t>0163300029419000938</t>
  </si>
  <si>
    <t>100253533119000012</t>
  </si>
  <si>
    <t>31908114725</t>
  </si>
  <si>
    <t>5919025900</t>
  </si>
  <si>
    <t>31908114417</t>
  </si>
  <si>
    <t>31908114427</t>
  </si>
  <si>
    <t>7017002337</t>
  </si>
  <si>
    <t>980923</t>
  </si>
  <si>
    <t>31908115001</t>
  </si>
  <si>
    <t>5193800144</t>
  </si>
  <si>
    <t>0349100000119000031</t>
  </si>
  <si>
    <t>7810646740</t>
  </si>
  <si>
    <t>5190903110</t>
  </si>
  <si>
    <t>5190012988</t>
  </si>
  <si>
    <t>5190062876</t>
  </si>
  <si>
    <t>5190168047</t>
  </si>
  <si>
    <t>6603011388</t>
  </si>
  <si>
    <t>0362300332719000005</t>
  </si>
  <si>
    <t>980871</t>
  </si>
  <si>
    <t>105930</t>
  </si>
  <si>
    <t>1650081489</t>
  </si>
  <si>
    <t>0111300000819000850</t>
  </si>
  <si>
    <t>2573667</t>
  </si>
  <si>
    <t>0157100004419000034</t>
  </si>
  <si>
    <t>ATOM19071900036</t>
  </si>
  <si>
    <t>2019-732928</t>
  </si>
  <si>
    <t>2019-733153</t>
  </si>
  <si>
    <t>31908111307</t>
  </si>
  <si>
    <t>9102003230</t>
  </si>
  <si>
    <t>0175100004419000017</t>
  </si>
  <si>
    <t>9102220393</t>
  </si>
  <si>
    <t>0175100004419000016</t>
  </si>
  <si>
    <t>0853500000319007676</t>
  </si>
  <si>
    <t>[ОКПД2 27.32] Провода и кабели электронные и электрические прочие</t>
  </si>
  <si>
    <t>31908112183</t>
  </si>
  <si>
    <t>0853500000319007691</t>
  </si>
  <si>
    <t>5612165262</t>
  </si>
  <si>
    <t>0157200001819000118</t>
  </si>
  <si>
    <t>5610043580</t>
  </si>
  <si>
    <t>0853500000319007670</t>
  </si>
  <si>
    <t>5638056839</t>
  </si>
  <si>
    <t>5610152170</t>
  </si>
  <si>
    <t>0853500000319007687</t>
  </si>
  <si>
    <t>5609183166</t>
  </si>
  <si>
    <t>0803100000419000055</t>
  </si>
  <si>
    <t>0803100000419000054</t>
  </si>
  <si>
    <t>0853500000319007688</t>
  </si>
  <si>
    <t>5032239577</t>
  </si>
  <si>
    <t>31908113425</t>
  </si>
  <si>
    <t>0848600006619000061</t>
  </si>
  <si>
    <t>5027191827</t>
  </si>
  <si>
    <t>7721297336</t>
  </si>
  <si>
    <t>0848600006619000060</t>
  </si>
  <si>
    <t>5027195010</t>
  </si>
  <si>
    <t>31908113655</t>
  </si>
  <si>
    <t>2204001327</t>
  </si>
  <si>
    <t>0117300067819000112</t>
  </si>
  <si>
    <t>2204084411</t>
  </si>
  <si>
    <t>0816500000619010114</t>
  </si>
  <si>
    <t>0372200240619000033</t>
  </si>
  <si>
    <t>[ОКПД2 93.19] Услуги в области спорта прочие, [ОКПД2 49.31] Услуги по внутригородским и пригородным пассажирским перевозкам сухопутным транспортом</t>
  </si>
  <si>
    <t>0816500000619010115</t>
  </si>
  <si>
    <t>31908111977</t>
  </si>
  <si>
    <t>0859300019619000658</t>
  </si>
  <si>
    <t>6231041630</t>
  </si>
  <si>
    <t>6234110962</t>
  </si>
  <si>
    <t>6231040516</t>
  </si>
  <si>
    <t>6231036333</t>
  </si>
  <si>
    <t>6231040530</t>
  </si>
  <si>
    <t>6231040499</t>
  </si>
  <si>
    <t>6231040548</t>
  </si>
  <si>
    <t>6231040467</t>
  </si>
  <si>
    <t>6231041622</t>
  </si>
  <si>
    <t>6231040481</t>
  </si>
  <si>
    <t>6231025395</t>
  </si>
  <si>
    <t>0853500000319007645</t>
  </si>
  <si>
    <t>0859300019619000659</t>
  </si>
  <si>
    <t>6229025310</t>
  </si>
  <si>
    <t>6229025292</t>
  </si>
  <si>
    <t>6229025253</t>
  </si>
  <si>
    <t>6229025366</t>
  </si>
  <si>
    <t>6229025327</t>
  </si>
  <si>
    <t>6229025260</t>
  </si>
  <si>
    <t>6229019059</t>
  </si>
  <si>
    <t>6229025221</t>
  </si>
  <si>
    <t>6229022975</t>
  </si>
  <si>
    <t>6229025380</t>
  </si>
  <si>
    <t>6229016107</t>
  </si>
  <si>
    <t>6229021900</t>
  </si>
  <si>
    <t>6229025285</t>
  </si>
  <si>
    <t>6229016072</t>
  </si>
  <si>
    <t>6229025359</t>
  </si>
  <si>
    <t>6229025937</t>
  </si>
  <si>
    <t>6229025302</t>
  </si>
  <si>
    <t>7719261558</t>
  </si>
  <si>
    <t>0373200006219001277</t>
  </si>
  <si>
    <t>5001097467</t>
  </si>
  <si>
    <t>6155040335</t>
  </si>
  <si>
    <t>979791</t>
  </si>
  <si>
    <t>9105008719</t>
  </si>
  <si>
    <t>0875300047619000065</t>
  </si>
  <si>
    <t>910520245551</t>
  </si>
  <si>
    <t>0123100003019000012</t>
  </si>
  <si>
    <t>4027094606</t>
  </si>
  <si>
    <t>31908113274</t>
  </si>
  <si>
    <t>3808184080</t>
  </si>
  <si>
    <t>0134100009619000086</t>
  </si>
  <si>
    <t>3812097961</t>
  </si>
  <si>
    <t>3808216430</t>
  </si>
  <si>
    <t>0322200009119000056</t>
  </si>
  <si>
    <t>2703003841</t>
  </si>
  <si>
    <t>8603021372</t>
  </si>
  <si>
    <t>0187300001219000339</t>
  </si>
  <si>
    <t>6454016404</t>
  </si>
  <si>
    <t>0860200000819008253</t>
  </si>
  <si>
    <t>6439075236</t>
  </si>
  <si>
    <t>0329200062219003048</t>
  </si>
  <si>
    <t>3445079459</t>
  </si>
  <si>
    <t>3446501472</t>
  </si>
  <si>
    <t>3446501546</t>
  </si>
  <si>
    <t>3446501306</t>
  </si>
  <si>
    <t>3446501377</t>
  </si>
  <si>
    <t>0111300005119000462</t>
  </si>
  <si>
    <t>1651029570</t>
  </si>
  <si>
    <t>1651028784</t>
  </si>
  <si>
    <t>1651009848</t>
  </si>
  <si>
    <t>1651003187</t>
  </si>
  <si>
    <t>1651027519</t>
  </si>
  <si>
    <t>1651029604</t>
  </si>
  <si>
    <t>1651014982</t>
  </si>
  <si>
    <t>1651028826</t>
  </si>
  <si>
    <t>1651028819</t>
  </si>
  <si>
    <t>1651027090</t>
  </si>
  <si>
    <t>1651029330</t>
  </si>
  <si>
    <t>1630003620</t>
  </si>
  <si>
    <t>1651004430</t>
  </si>
  <si>
    <t>1651000210</t>
  </si>
  <si>
    <t>1651009510</t>
  </si>
  <si>
    <t>1651029812</t>
  </si>
  <si>
    <t>1651005226</t>
  </si>
  <si>
    <t>1651003370</t>
  </si>
  <si>
    <t>1651028657</t>
  </si>
  <si>
    <t>1651011678</t>
  </si>
  <si>
    <t>1651028777</t>
  </si>
  <si>
    <t>1651003532</t>
  </si>
  <si>
    <t>1651030769</t>
  </si>
  <si>
    <t>1651025166</t>
  </si>
  <si>
    <t>1651030695</t>
  </si>
  <si>
    <t>1651014816</t>
  </si>
  <si>
    <t>1651028760</t>
  </si>
  <si>
    <t>1651007618</t>
  </si>
  <si>
    <t>1651028791</t>
  </si>
  <si>
    <t>1651002271</t>
  </si>
  <si>
    <t>1651029241</t>
  </si>
  <si>
    <t>1651029259</t>
  </si>
  <si>
    <t>1651002610</t>
  </si>
  <si>
    <t>1651011660</t>
  </si>
  <si>
    <t>1651027237</t>
  </si>
  <si>
    <t>1651028801</t>
  </si>
  <si>
    <t>1651011685</t>
  </si>
  <si>
    <t>1651029837</t>
  </si>
  <si>
    <t>1651029932</t>
  </si>
  <si>
    <t>1651001750</t>
  </si>
  <si>
    <t>1651016757</t>
  </si>
  <si>
    <t>1651010787</t>
  </si>
  <si>
    <t>1651030783</t>
  </si>
  <si>
    <t>1651019148</t>
  </si>
  <si>
    <t>1651014083</t>
  </si>
  <si>
    <t>1651004920</t>
  </si>
  <si>
    <t>1630003637</t>
  </si>
  <si>
    <t>1651009206</t>
  </si>
  <si>
    <t>1651009326</t>
  </si>
  <si>
    <t>1651030705</t>
  </si>
  <si>
    <t>1651082164</t>
  </si>
  <si>
    <t>1651084443</t>
  </si>
  <si>
    <t>0319200056819000135</t>
  </si>
  <si>
    <t>2208007591</t>
  </si>
  <si>
    <t>0317100017019000025</t>
  </si>
  <si>
    <t>2225068322</t>
  </si>
  <si>
    <t>2907013929</t>
  </si>
  <si>
    <t>0124200000619003677</t>
  </si>
  <si>
    <t>Вельский район</t>
  </si>
  <si>
    <t>2901212269</t>
  </si>
  <si>
    <t>3444054388</t>
  </si>
  <si>
    <t>0129100008519000013</t>
  </si>
  <si>
    <t>0123100003019000011</t>
  </si>
  <si>
    <t>0168200002419005693</t>
  </si>
  <si>
    <t>7328096673</t>
  </si>
  <si>
    <t>0859300019619000656</t>
  </si>
  <si>
    <t>6228038323</t>
  </si>
  <si>
    <t>6228038429</t>
  </si>
  <si>
    <t>6228011811</t>
  </si>
  <si>
    <t>6228038242</t>
  </si>
  <si>
    <t>6228038281</t>
  </si>
  <si>
    <t>6228038517</t>
  </si>
  <si>
    <t>6228038411</t>
  </si>
  <si>
    <t>6228026960</t>
  </si>
  <si>
    <t>6228038210</t>
  </si>
  <si>
    <t>6228038267</t>
  </si>
  <si>
    <t>6228038147</t>
  </si>
  <si>
    <t>6228038387</t>
  </si>
  <si>
    <t>6228038235</t>
  </si>
  <si>
    <t>6228038348</t>
  </si>
  <si>
    <t>6228037224</t>
  </si>
  <si>
    <t>0859300019619000655</t>
  </si>
  <si>
    <t>6230030064</t>
  </si>
  <si>
    <t>6230030025</t>
  </si>
  <si>
    <t>6230030057</t>
  </si>
  <si>
    <t>6230030000</t>
  </si>
  <si>
    <t>6230005082</t>
  </si>
  <si>
    <t>6230030040</t>
  </si>
  <si>
    <t>6230029990</t>
  </si>
  <si>
    <t>6230008260</t>
  </si>
  <si>
    <t>6230029982</t>
  </si>
  <si>
    <t>6230030667</t>
  </si>
  <si>
    <t>6230018885</t>
  </si>
  <si>
    <t>6230030018</t>
  </si>
  <si>
    <t>6230030071</t>
  </si>
  <si>
    <t>6230030032</t>
  </si>
  <si>
    <t>6230005981</t>
  </si>
  <si>
    <t>6230101445</t>
  </si>
  <si>
    <t>0329200062219003034</t>
  </si>
  <si>
    <t>3448019761</t>
  </si>
  <si>
    <t>3448016062</t>
  </si>
  <si>
    <t>3448015735</t>
  </si>
  <si>
    <t>3448016993</t>
  </si>
  <si>
    <t>3448016986</t>
  </si>
  <si>
    <t>0240100000219000119</t>
  </si>
  <si>
    <t>31908112875</t>
  </si>
  <si>
    <t>[ОКПД2 56.21] Услуги по поставке продукции общественного питания и обслуживанию торжественных мероприятий, [ОКВЭД2 56.2+] Деятельность предприятий общественного питания по обслуживанию торжественных мероприятий и прочим видам организации питания</t>
  </si>
  <si>
    <t>0329200062219003035</t>
  </si>
  <si>
    <t>3446501842</t>
  </si>
  <si>
    <t>3446020419</t>
  </si>
  <si>
    <t>3460073116</t>
  </si>
  <si>
    <t>7325049308</t>
  </si>
  <si>
    <t>0137200001219003477</t>
  </si>
  <si>
    <t>4029017950</t>
  </si>
  <si>
    <t>4027042284</t>
  </si>
  <si>
    <t>4028020621</t>
  </si>
  <si>
    <t>4028023904</t>
  </si>
  <si>
    <t>4027041040</t>
  </si>
  <si>
    <t>4029018030</t>
  </si>
  <si>
    <t>4027053078</t>
  </si>
  <si>
    <t>4028022812</t>
  </si>
  <si>
    <t>4004005896</t>
  </si>
  <si>
    <t>4029023985</t>
  </si>
  <si>
    <t>4028021128</t>
  </si>
  <si>
    <t>4027053110</t>
  </si>
  <si>
    <t>4027047941</t>
  </si>
  <si>
    <t>4027065108</t>
  </si>
  <si>
    <t>4028023887</t>
  </si>
  <si>
    <t>4029017942</t>
  </si>
  <si>
    <t>4029018015</t>
  </si>
  <si>
    <t>4028024062</t>
  </si>
  <si>
    <t>4029017974</t>
  </si>
  <si>
    <t>402000016630</t>
  </si>
  <si>
    <t>0137200001219003478</t>
  </si>
  <si>
    <t>4027041717</t>
  </si>
  <si>
    <t>4027047998</t>
  </si>
  <si>
    <t>4027023852</t>
  </si>
  <si>
    <t>4027035262</t>
  </si>
  <si>
    <t>4027047719</t>
  </si>
  <si>
    <t>4029016138</t>
  </si>
  <si>
    <t>4027048840</t>
  </si>
  <si>
    <t>4027049025</t>
  </si>
  <si>
    <t>4027048448</t>
  </si>
  <si>
    <t>4027034195</t>
  </si>
  <si>
    <t>4027047726</t>
  </si>
  <si>
    <t>4029023488</t>
  </si>
  <si>
    <t>0322200009119000052</t>
  </si>
  <si>
    <t>2726003728</t>
  </si>
  <si>
    <t>8610013460</t>
  </si>
  <si>
    <t>31908111791</t>
  </si>
  <si>
    <t>0322200009119000051</t>
  </si>
  <si>
    <t>0329200062219003032</t>
  </si>
  <si>
    <t>3448015943</t>
  </si>
  <si>
    <t>3448016070</t>
  </si>
  <si>
    <t>3448015990</t>
  </si>
  <si>
    <t>3448015823</t>
  </si>
  <si>
    <t>3448902790</t>
  </si>
  <si>
    <t>3448015781</t>
  </si>
  <si>
    <t>8603009329</t>
  </si>
  <si>
    <t>0187300001219000337</t>
  </si>
  <si>
    <t>8603219069</t>
  </si>
  <si>
    <t>9108118999</t>
  </si>
  <si>
    <t>0175300034119000147</t>
  </si>
  <si>
    <t>0813500000119007955</t>
  </si>
  <si>
    <t>0329200062219003040</t>
  </si>
  <si>
    <t>3446501345</t>
  </si>
  <si>
    <t>3446501507</t>
  </si>
  <si>
    <t>3446501497</t>
  </si>
  <si>
    <t>0187300001219000338</t>
  </si>
  <si>
    <t>0329200062219003033</t>
  </si>
  <si>
    <t>3446501458</t>
  </si>
  <si>
    <t>3446501401</t>
  </si>
  <si>
    <t>0137200001219003476</t>
  </si>
  <si>
    <t>4028024305</t>
  </si>
  <si>
    <t>4028022837</t>
  </si>
  <si>
    <t>4028022555</t>
  </si>
  <si>
    <t>4028024190</t>
  </si>
  <si>
    <t>4029019643</t>
  </si>
  <si>
    <t>4029016836</t>
  </si>
  <si>
    <t>4029017420</t>
  </si>
  <si>
    <t>4028024320</t>
  </si>
  <si>
    <t>4028022516</t>
  </si>
  <si>
    <t>4028023735</t>
  </si>
  <si>
    <t>4029017558</t>
  </si>
  <si>
    <t>4029024516</t>
  </si>
  <si>
    <t>4028022820</t>
  </si>
  <si>
    <t>4029022526</t>
  </si>
  <si>
    <t>4026008428</t>
  </si>
  <si>
    <t>4029017999</t>
  </si>
  <si>
    <t>4028024030</t>
  </si>
  <si>
    <t>3447017916</t>
  </si>
  <si>
    <t>0129200005319002774</t>
  </si>
  <si>
    <t>8603004296</t>
  </si>
  <si>
    <t>0187300001219000335</t>
  </si>
  <si>
    <t>8603128365</t>
  </si>
  <si>
    <t>0275028748</t>
  </si>
  <si>
    <t>31908111803</t>
  </si>
  <si>
    <t>4027139832</t>
  </si>
  <si>
    <t>0137200001219003479</t>
  </si>
  <si>
    <t>Перемышльский район</t>
  </si>
  <si>
    <t>401500792607</t>
  </si>
  <si>
    <t>7530006709</t>
  </si>
  <si>
    <t>0191100002719000017</t>
  </si>
  <si>
    <t>7530008054</t>
  </si>
  <si>
    <t>5957006168</t>
  </si>
  <si>
    <t>0156300049619000068</t>
  </si>
  <si>
    <t>0111300000819000846</t>
  </si>
  <si>
    <t>1650078969</t>
  </si>
  <si>
    <t>1650083359</t>
  </si>
  <si>
    <t>1650077605</t>
  </si>
  <si>
    <t>1650084850</t>
  </si>
  <si>
    <t>1650079715</t>
  </si>
  <si>
    <t>1650076626</t>
  </si>
  <si>
    <t>1650079803</t>
  </si>
  <si>
    <t>1650085250</t>
  </si>
  <si>
    <t>1650081369</t>
  </si>
  <si>
    <t>1650076880</t>
  </si>
  <si>
    <t>1650077323</t>
  </si>
  <si>
    <t>1650083454</t>
  </si>
  <si>
    <t>1650084610</t>
  </si>
  <si>
    <t>1650076898</t>
  </si>
  <si>
    <t>1650078454</t>
  </si>
  <si>
    <t>1650076513</t>
  </si>
  <si>
    <t>1650084031</t>
  </si>
  <si>
    <t>1650084970</t>
  </si>
  <si>
    <t>1650077570</t>
  </si>
  <si>
    <t>1650084352</t>
  </si>
  <si>
    <t>1650138632</t>
  </si>
  <si>
    <t>1814000964</t>
  </si>
  <si>
    <t>0813500000119007912</t>
  </si>
  <si>
    <t>Киясовский район</t>
  </si>
  <si>
    <t>183107300863</t>
  </si>
  <si>
    <t>1831121609</t>
  </si>
  <si>
    <t>1835076354</t>
  </si>
  <si>
    <t>2904007525</t>
  </si>
  <si>
    <t>100102155119000057</t>
  </si>
  <si>
    <t>4342002431</t>
  </si>
  <si>
    <t>0140100011619000020</t>
  </si>
  <si>
    <t>431301314210</t>
  </si>
  <si>
    <t>0140100011619000019</t>
  </si>
  <si>
    <t>8603033804</t>
  </si>
  <si>
    <t>0187300001219000336</t>
  </si>
  <si>
    <t>7019029366</t>
  </si>
  <si>
    <t>31908110729</t>
  </si>
  <si>
    <t>1640000988</t>
  </si>
  <si>
    <t>0311100023919000005</t>
  </si>
  <si>
    <t>Черемшанский район</t>
  </si>
  <si>
    <t>7536128326</t>
  </si>
  <si>
    <t>0891100000419000162</t>
  </si>
  <si>
    <t>7536152640</t>
  </si>
  <si>
    <t>31908111872</t>
  </si>
  <si>
    <t>0329200062219003030</t>
  </si>
  <si>
    <t>3448015968</t>
  </si>
  <si>
    <t>3448015848</t>
  </si>
  <si>
    <t>3448015809</t>
  </si>
  <si>
    <t>3448015862</t>
  </si>
  <si>
    <t>3448015750</t>
  </si>
  <si>
    <t>5027083652</t>
  </si>
  <si>
    <t>778603</t>
  </si>
  <si>
    <t>0329200062219003028</t>
  </si>
  <si>
    <t>3444062999</t>
  </si>
  <si>
    <t>3444062773</t>
  </si>
  <si>
    <t>3444062702</t>
  </si>
  <si>
    <t>3444062910</t>
  </si>
  <si>
    <t>3444062815</t>
  </si>
  <si>
    <t>6832024491</t>
  </si>
  <si>
    <t>31908111915</t>
  </si>
  <si>
    <t>0329200062219003016</t>
  </si>
  <si>
    <t>3443905082</t>
  </si>
  <si>
    <t>3443052885</t>
  </si>
  <si>
    <t>3443905036</t>
  </si>
  <si>
    <t>3443905090</t>
  </si>
  <si>
    <t>31908111814</t>
  </si>
  <si>
    <t>1901045182</t>
  </si>
  <si>
    <t>0180300000219000571</t>
  </si>
  <si>
    <t>0329200062219003022</t>
  </si>
  <si>
    <t>3444062879</t>
  </si>
  <si>
    <t>3444062710</t>
  </si>
  <si>
    <t>3444062974</t>
  </si>
  <si>
    <t>3444062903</t>
  </si>
  <si>
    <t>3444062830</t>
  </si>
  <si>
    <t>3444062967</t>
  </si>
  <si>
    <t>31908111881</t>
  </si>
  <si>
    <t>0329200062219003021</t>
  </si>
  <si>
    <t>3448012491</t>
  </si>
  <si>
    <t>3448016136</t>
  </si>
  <si>
    <t>3448013142</t>
  </si>
  <si>
    <t>3448915006</t>
  </si>
  <si>
    <t>3448015975</t>
  </si>
  <si>
    <t>1901046852</t>
  </si>
  <si>
    <t>0180300000219000573</t>
  </si>
  <si>
    <t>1901010292</t>
  </si>
  <si>
    <t>0329200062219003027</t>
  </si>
  <si>
    <t>3448012639</t>
  </si>
  <si>
    <t>3448040234</t>
  </si>
  <si>
    <t>3448015982</t>
  </si>
  <si>
    <t>3448015799</t>
  </si>
  <si>
    <t>3448018084</t>
  </si>
  <si>
    <t>0163200000319005168</t>
  </si>
  <si>
    <t>0848300046119000429</t>
  </si>
  <si>
    <t>5028017500</t>
  </si>
  <si>
    <t>5028017444</t>
  </si>
  <si>
    <t>5028017331</t>
  </si>
  <si>
    <t>5028017229</t>
  </si>
  <si>
    <t>5028017317</t>
  </si>
  <si>
    <t>0322200009119000062</t>
  </si>
  <si>
    <t>2726004016</t>
  </si>
  <si>
    <t>5031034390</t>
  </si>
  <si>
    <t>0348100009619000163</t>
  </si>
  <si>
    <t>5053011140</t>
  </si>
  <si>
    <t>5243032067</t>
  </si>
  <si>
    <t>6321452144</t>
  </si>
  <si>
    <t>1101486357</t>
  </si>
  <si>
    <t>0307200030619001244</t>
  </si>
  <si>
    <t>1101141698</t>
  </si>
  <si>
    <t>0848300066119000447</t>
  </si>
  <si>
    <t>[ОКПД2 26.30] Оборудование коммуникационное, [ОКПД2 26.20] Компьютеры и периферийное оборудование, [ОКПД2 28.23] Машины офисные и оборудование, кроме компьютеров и периферийного оборудования</t>
  </si>
  <si>
    <t>7723826200</t>
  </si>
  <si>
    <t>0848300046119000428</t>
  </si>
  <si>
    <t>5028016948</t>
  </si>
  <si>
    <t>5028016881</t>
  </si>
  <si>
    <t>5028016923</t>
  </si>
  <si>
    <t>5028017035</t>
  </si>
  <si>
    <t>5028017123</t>
  </si>
  <si>
    <t>5028017099</t>
  </si>
  <si>
    <t>5028018247</t>
  </si>
  <si>
    <t>5028017081</t>
  </si>
  <si>
    <t>0322200009119000063</t>
  </si>
  <si>
    <t>3443045983</t>
  </si>
  <si>
    <t>0129100006319000051</t>
  </si>
  <si>
    <t>344109432842</t>
  </si>
  <si>
    <t>5073060522</t>
  </si>
  <si>
    <t>778562</t>
  </si>
  <si>
    <t>0122100012219000010</t>
  </si>
  <si>
    <t>1650081619</t>
  </si>
  <si>
    <t>0111300000819000843</t>
  </si>
  <si>
    <t>0351200003319002006</t>
  </si>
  <si>
    <t>31908110559</t>
  </si>
  <si>
    <t>0311100023919000004</t>
  </si>
  <si>
    <t>0351200003319002007</t>
  </si>
  <si>
    <t>0351200003319002008</t>
  </si>
  <si>
    <t>3906256007</t>
  </si>
  <si>
    <t>0335200015719000019</t>
  </si>
  <si>
    <t>7715983545</t>
  </si>
  <si>
    <t>6950151785</t>
  </si>
  <si>
    <t>6632002691</t>
  </si>
  <si>
    <t>100009516119000015</t>
  </si>
  <si>
    <t>31908111143</t>
  </si>
  <si>
    <t>0335200015719000020</t>
  </si>
  <si>
    <t>5028017236</t>
  </si>
  <si>
    <t>0848300046119000426</t>
  </si>
  <si>
    <t>978297</t>
  </si>
  <si>
    <t>100277405119000028</t>
  </si>
  <si>
    <t>0836600003319000515</t>
  </si>
  <si>
    <t>6905056226</t>
  </si>
  <si>
    <t>6905056385</t>
  </si>
  <si>
    <t>6905056184</t>
  </si>
  <si>
    <t>6905056233</t>
  </si>
  <si>
    <t>6905004556</t>
  </si>
  <si>
    <t>6901062934</t>
  </si>
  <si>
    <t>6952032014</t>
  </si>
  <si>
    <t>0329200062219003013</t>
  </si>
  <si>
    <t>3443905050</t>
  </si>
  <si>
    <t>3443040953</t>
  </si>
  <si>
    <t>3443902042</t>
  </si>
  <si>
    <t>3443905075</t>
  </si>
  <si>
    <t>1642000133</t>
  </si>
  <si>
    <t>0311100011919000005</t>
  </si>
  <si>
    <t>Ютазинский район</t>
  </si>
  <si>
    <t>0190200000319008038</t>
  </si>
  <si>
    <t>890503361309</t>
  </si>
  <si>
    <t>6902025950</t>
  </si>
  <si>
    <t>0836600003319000512</t>
  </si>
  <si>
    <t>6949008798</t>
  </si>
  <si>
    <t>8619009268</t>
  </si>
  <si>
    <t>0187300001719000417</t>
  </si>
  <si>
    <t>0311100009519000009</t>
  </si>
  <si>
    <t>0353100009719000010</t>
  </si>
  <si>
    <t>2723166330</t>
  </si>
  <si>
    <t>0322200030419000082</t>
  </si>
  <si>
    <t>2724105280</t>
  </si>
  <si>
    <t>2722110373</t>
  </si>
  <si>
    <t>0156100014319000005</t>
  </si>
  <si>
    <t>590617284120</t>
  </si>
  <si>
    <t>0826300021019000373</t>
  </si>
  <si>
    <t>3128137830</t>
  </si>
  <si>
    <t>3128137928</t>
  </si>
  <si>
    <t>3128030572</t>
  </si>
  <si>
    <t>Старооскольский район</t>
  </si>
  <si>
    <t>3128028206</t>
  </si>
  <si>
    <t>3128028245</t>
  </si>
  <si>
    <t>3128028051</t>
  </si>
  <si>
    <t>3128028132</t>
  </si>
  <si>
    <t>3128028005</t>
  </si>
  <si>
    <t>3128028164</t>
  </si>
  <si>
    <t>3128030396</t>
  </si>
  <si>
    <t>3128029859</t>
  </si>
  <si>
    <t>3128030011</t>
  </si>
  <si>
    <t>3128032548</t>
  </si>
  <si>
    <t>3128028213</t>
  </si>
  <si>
    <t>3128027989</t>
  </si>
  <si>
    <t>3128011570</t>
  </si>
  <si>
    <t>3128028037</t>
  </si>
  <si>
    <t>3128028076</t>
  </si>
  <si>
    <t>3128028044</t>
  </si>
  <si>
    <t>3128028189</t>
  </si>
  <si>
    <t>3128027996</t>
  </si>
  <si>
    <t>3128028020</t>
  </si>
  <si>
    <t>3128028118</t>
  </si>
  <si>
    <t>3128028140</t>
  </si>
  <si>
    <t>3128028083</t>
  </si>
  <si>
    <t>3128030526</t>
  </si>
  <si>
    <t>3128028125</t>
  </si>
  <si>
    <t>3128109085</t>
  </si>
  <si>
    <t>0311100009519000008</t>
  </si>
  <si>
    <t>0836600003319000511</t>
  </si>
  <si>
    <t>6903032438</t>
  </si>
  <si>
    <t>6903006251</t>
  </si>
  <si>
    <t>6903031829</t>
  </si>
  <si>
    <t>6903023987</t>
  </si>
  <si>
    <t>0163300029419000927</t>
  </si>
  <si>
    <t>8619009236</t>
  </si>
  <si>
    <t>0187300001719000415</t>
  </si>
  <si>
    <t>0329200062219003010</t>
  </si>
  <si>
    <t>3443905043</t>
  </si>
  <si>
    <t>3443905188</t>
  </si>
  <si>
    <t>3443031684</t>
  </si>
  <si>
    <t>0369100016519000020</t>
  </si>
  <si>
    <t>5010047110</t>
  </si>
  <si>
    <t>0848300058119000231</t>
  </si>
  <si>
    <t>Дубна</t>
  </si>
  <si>
    <t>0329200062219003009</t>
  </si>
  <si>
    <t>3443906368</t>
  </si>
  <si>
    <t>3443905029</t>
  </si>
  <si>
    <t>3443045430</t>
  </si>
  <si>
    <t>0311100011919000004</t>
  </si>
  <si>
    <t>0329200062219003008</t>
  </si>
  <si>
    <t>3443905100</t>
  </si>
  <si>
    <t>3443905068</t>
  </si>
  <si>
    <t>3443905131</t>
  </si>
  <si>
    <t>3443905163</t>
  </si>
  <si>
    <t>3443905124</t>
  </si>
  <si>
    <t>7447035292</t>
  </si>
  <si>
    <t>0369200011419000036</t>
  </si>
  <si>
    <t>7447056503</t>
  </si>
  <si>
    <t>6619015765</t>
  </si>
  <si>
    <t>31908109394</t>
  </si>
  <si>
    <t>0214000470</t>
  </si>
  <si>
    <t>100153557119000023</t>
  </si>
  <si>
    <t>Благоварский район</t>
  </si>
  <si>
    <t>100153557119000024</t>
  </si>
  <si>
    <t>31908108832</t>
  </si>
  <si>
    <t>1001304490</t>
  </si>
  <si>
    <t>0806500000219000602</t>
  </si>
  <si>
    <t>0806500000219000601</t>
  </si>
  <si>
    <t>778286</t>
  </si>
  <si>
    <t>0329200062219003007</t>
  </si>
  <si>
    <t>3441016810</t>
  </si>
  <si>
    <t>3441014404</t>
  </si>
  <si>
    <t>3441014450</t>
  </si>
  <si>
    <t>3441014475</t>
  </si>
  <si>
    <t>3441014429</t>
  </si>
  <si>
    <t>0329200062219003006</t>
  </si>
  <si>
    <t>3445047263</t>
  </si>
  <si>
    <t>3445030661</t>
  </si>
  <si>
    <t>3445030735</t>
  </si>
  <si>
    <t>3445910881</t>
  </si>
  <si>
    <t>0112200000819002496</t>
  </si>
  <si>
    <t>0329200062219003005</t>
  </si>
  <si>
    <t>3441014806</t>
  </si>
  <si>
    <t>3441014362</t>
  </si>
  <si>
    <t>3441014443</t>
  </si>
  <si>
    <t>3441014387</t>
  </si>
  <si>
    <t>3441014411</t>
  </si>
  <si>
    <t>31908108874</t>
  </si>
  <si>
    <t>0848300046119000424</t>
  </si>
  <si>
    <t>5028016899</t>
  </si>
  <si>
    <t>5028016970</t>
  </si>
  <si>
    <t>5028017170</t>
  </si>
  <si>
    <t>5028017074</t>
  </si>
  <si>
    <t>5028016909</t>
  </si>
  <si>
    <t>5028017109</t>
  </si>
  <si>
    <t>5028016916</t>
  </si>
  <si>
    <t>5028028936</t>
  </si>
  <si>
    <t>5028016994</t>
  </si>
  <si>
    <t>5406353824</t>
  </si>
  <si>
    <t>0351100006519000005</t>
  </si>
  <si>
    <t>5629002227</t>
  </si>
  <si>
    <t>0853500000319007591</t>
  </si>
  <si>
    <t>7751103059</t>
  </si>
  <si>
    <t>5644002239</t>
  </si>
  <si>
    <t>0853500000319007568</t>
  </si>
  <si>
    <t>Светлинский район</t>
  </si>
  <si>
    <t>0329200062219002999</t>
  </si>
  <si>
    <t>3448016048</t>
  </si>
  <si>
    <t>3447013887</t>
  </si>
  <si>
    <t>3447014150</t>
  </si>
  <si>
    <t>0163300029419000925</t>
  </si>
  <si>
    <t>9108119350</t>
  </si>
  <si>
    <t>0175300034119000145</t>
  </si>
  <si>
    <t>0372100030619000439</t>
  </si>
  <si>
    <t>7801091740</t>
  </si>
  <si>
    <t>0191100008619000015</t>
  </si>
  <si>
    <t>Хилокский район</t>
  </si>
  <si>
    <t>5003028028</t>
  </si>
  <si>
    <t>31908108892</t>
  </si>
  <si>
    <t>0187300001219000332</t>
  </si>
  <si>
    <t>0329200062219003004</t>
  </si>
  <si>
    <t>3445030750</t>
  </si>
  <si>
    <t>3445030559</t>
  </si>
  <si>
    <t>3445030742</t>
  </si>
  <si>
    <t>3445030679</t>
  </si>
  <si>
    <t>3445030767</t>
  </si>
  <si>
    <t>3445030710</t>
  </si>
  <si>
    <t>4704034243</t>
  </si>
  <si>
    <t>0845300015019000417</t>
  </si>
  <si>
    <t>0329200062219002997</t>
  </si>
  <si>
    <t>3447013968</t>
  </si>
  <si>
    <t>3447013894</t>
  </si>
  <si>
    <t>8603019863</t>
  </si>
  <si>
    <t>0187300001219000334</t>
  </si>
  <si>
    <t>0806500000219000600</t>
  </si>
  <si>
    <t>0307300001219000270</t>
  </si>
  <si>
    <t>1103024566</t>
  </si>
  <si>
    <t>1103024502</t>
  </si>
  <si>
    <t>1103024453</t>
  </si>
  <si>
    <t>1103024076</t>
  </si>
  <si>
    <t>2466073907</t>
  </si>
  <si>
    <t>0119200000119006459</t>
  </si>
  <si>
    <t>5405449202</t>
  </si>
  <si>
    <t>2224145278</t>
  </si>
  <si>
    <t>732711008344</t>
  </si>
  <si>
    <t>0322200009119000059</t>
  </si>
  <si>
    <t>2727080010</t>
  </si>
  <si>
    <t>0849400000219000074</t>
  </si>
  <si>
    <t>8603009907</t>
  </si>
  <si>
    <t>0187300001219000333</t>
  </si>
  <si>
    <t>0329200062219002998</t>
  </si>
  <si>
    <t>3442037838</t>
  </si>
  <si>
    <t>3442037370</t>
  </si>
  <si>
    <t>3442037852</t>
  </si>
  <si>
    <t>3442038359</t>
  </si>
  <si>
    <t>0322200009119000058</t>
  </si>
  <si>
    <t>2727005051</t>
  </si>
  <si>
    <t>6729014387</t>
  </si>
  <si>
    <t>0163300029419000924</t>
  </si>
  <si>
    <t>0307300001219000273</t>
  </si>
  <si>
    <t>1103001777</t>
  </si>
  <si>
    <t>1103024012</t>
  </si>
  <si>
    <t>1103024005</t>
  </si>
  <si>
    <t>1103024446</t>
  </si>
  <si>
    <t>1103045534</t>
  </si>
  <si>
    <t>0329200062219003002</t>
  </si>
  <si>
    <t>3445916153</t>
  </si>
  <si>
    <t>3445030654</t>
  </si>
  <si>
    <t>3445927388</t>
  </si>
  <si>
    <t>3445917823</t>
  </si>
  <si>
    <t>0266033830</t>
  </si>
  <si>
    <t>0801300011919000345</t>
  </si>
  <si>
    <t>Салават</t>
  </si>
  <si>
    <t>0266023599</t>
  </si>
  <si>
    <t>0329200062219003003</t>
  </si>
  <si>
    <t>3441014330</t>
  </si>
  <si>
    <t>3441014309</t>
  </si>
  <si>
    <t>3441014436</t>
  </si>
  <si>
    <t>3441014323</t>
  </si>
  <si>
    <t>3441014490</t>
  </si>
  <si>
    <t>3428982082</t>
  </si>
  <si>
    <t>0129200005319002761</t>
  </si>
  <si>
    <t>5612045840</t>
  </si>
  <si>
    <t>0853500000319007559</t>
  </si>
  <si>
    <t>0329200062219003001</t>
  </si>
  <si>
    <t>3441014316</t>
  </si>
  <si>
    <t>3441014732</t>
  </si>
  <si>
    <t>3441014394</t>
  </si>
  <si>
    <t>3441490019</t>
  </si>
  <si>
    <t>3441014370</t>
  </si>
  <si>
    <t>5610091505</t>
  </si>
  <si>
    <t>0853500000319007564</t>
  </si>
  <si>
    <t>5611054496</t>
  </si>
  <si>
    <t>0322200009119000057</t>
  </si>
  <si>
    <t>2703004080</t>
  </si>
  <si>
    <t>0322200009119000061</t>
  </si>
  <si>
    <t>2703003785</t>
  </si>
  <si>
    <t>4704040462</t>
  </si>
  <si>
    <t>0845300015019000418</t>
  </si>
  <si>
    <t>0151100007719000015</t>
  </si>
  <si>
    <t>1660158395</t>
  </si>
  <si>
    <t>0311200055519000023</t>
  </si>
  <si>
    <t>[ОКПД2 43.21] Работы электромонтажные, [ОКПД2 32.99] Изделия готовые прочие, не включенные в другие группировки</t>
  </si>
  <si>
    <t>1659164250</t>
  </si>
  <si>
    <t>166011849380</t>
  </si>
  <si>
    <t>1657125336</t>
  </si>
  <si>
    <t>165041080407</t>
  </si>
  <si>
    <t>1658193272</t>
  </si>
  <si>
    <t>1644091986</t>
  </si>
  <si>
    <t>1651054745</t>
  </si>
  <si>
    <t>6022004095</t>
  </si>
  <si>
    <t>0157300009819000109</t>
  </si>
  <si>
    <t>0187300001219000331</t>
  </si>
  <si>
    <t>8603005733</t>
  </si>
  <si>
    <t>0187300001219000330</t>
  </si>
  <si>
    <t>0329200062219002993</t>
  </si>
  <si>
    <t>3442037933</t>
  </si>
  <si>
    <t>3442037860</t>
  </si>
  <si>
    <t>3442037669</t>
  </si>
  <si>
    <t>3442037806</t>
  </si>
  <si>
    <t>0329200062219002995</t>
  </si>
  <si>
    <t>3447012435</t>
  </si>
  <si>
    <t>3447020468</t>
  </si>
  <si>
    <t>3447010967</t>
  </si>
  <si>
    <t>0329200062219002992</t>
  </si>
  <si>
    <t>3447014168</t>
  </si>
  <si>
    <t>3447013911</t>
  </si>
  <si>
    <t>3447020845</t>
  </si>
  <si>
    <t>0806500000219000598</t>
  </si>
  <si>
    <t>6501119978</t>
  </si>
  <si>
    <t>31908105382</t>
  </si>
  <si>
    <t>6658014910</t>
  </si>
  <si>
    <t>0262200000119000061</t>
  </si>
  <si>
    <t>660700656427</t>
  </si>
  <si>
    <t>6670410204</t>
  </si>
  <si>
    <t>0848300057719000271</t>
  </si>
  <si>
    <t>5004010841</t>
  </si>
  <si>
    <t>5004001653</t>
  </si>
  <si>
    <t>5004010859</t>
  </si>
  <si>
    <t>5004011563</t>
  </si>
  <si>
    <t>5004010810</t>
  </si>
  <si>
    <t>5004010792</t>
  </si>
  <si>
    <t>5004010866</t>
  </si>
  <si>
    <t>5004023255</t>
  </si>
  <si>
    <t>5004010873</t>
  </si>
  <si>
    <t>5004010880</t>
  </si>
  <si>
    <t>5004010908</t>
  </si>
  <si>
    <t>5004011620</t>
  </si>
  <si>
    <t>5004010986</t>
  </si>
  <si>
    <t>5004010961</t>
  </si>
  <si>
    <t>5004011002</t>
  </si>
  <si>
    <t>5004010915</t>
  </si>
  <si>
    <t>5004010834</t>
  </si>
  <si>
    <t>5004000709</t>
  </si>
  <si>
    <t>8603096674</t>
  </si>
  <si>
    <t>0187300001219000328</t>
  </si>
  <si>
    <t>0151100007719000016</t>
  </si>
  <si>
    <t>7527006297</t>
  </si>
  <si>
    <t>0191300014019000075</t>
  </si>
  <si>
    <t>752704436630</t>
  </si>
  <si>
    <t>0373200006619000134</t>
  </si>
  <si>
    <t>7726651037</t>
  </si>
  <si>
    <t>0163300029419000923</t>
  </si>
  <si>
    <t>31908108397</t>
  </si>
  <si>
    <t>8603012674</t>
  </si>
  <si>
    <t>0187300001219000326</t>
  </si>
  <si>
    <t>0329200062219002996</t>
  </si>
  <si>
    <t>3442037919</t>
  </si>
  <si>
    <t>3442037845</t>
  </si>
  <si>
    <t>3442037884</t>
  </si>
  <si>
    <t>3442038221</t>
  </si>
  <si>
    <t>8603081935</t>
  </si>
  <si>
    <t>0187300001219000325</t>
  </si>
  <si>
    <t>8603005807</t>
  </si>
  <si>
    <t>0187300001219000327</t>
  </si>
  <si>
    <t>0329200062219002990</t>
  </si>
  <si>
    <t>3442037926</t>
  </si>
  <si>
    <t>3442037820</t>
  </si>
  <si>
    <t>3442037997</t>
  </si>
  <si>
    <t>3442037965</t>
  </si>
  <si>
    <t>8603005395</t>
  </si>
  <si>
    <t>0187300001219000329</t>
  </si>
  <si>
    <t>0849400000219000072</t>
  </si>
  <si>
    <t>781902948130</t>
  </si>
  <si>
    <t>5002003550</t>
  </si>
  <si>
    <t>0848300024919000058</t>
  </si>
  <si>
    <t>8603082110</t>
  </si>
  <si>
    <t>0187300001219000323</t>
  </si>
  <si>
    <t>0319100022019000008</t>
  </si>
  <si>
    <t>2520007609</t>
  </si>
  <si>
    <t>0320300013919000001</t>
  </si>
  <si>
    <t>Михайловский район</t>
  </si>
  <si>
    <t>251134877258</t>
  </si>
  <si>
    <t>0322200009119000053</t>
  </si>
  <si>
    <t>2703003859</t>
  </si>
  <si>
    <t>0122100012219000008</t>
  </si>
  <si>
    <t>0849400000219000073</t>
  </si>
  <si>
    <t>1655004907</t>
  </si>
  <si>
    <t>0111200003919000114</t>
  </si>
  <si>
    <t>8603088680</t>
  </si>
  <si>
    <t>0187300001219000321</t>
  </si>
  <si>
    <t>6121009802</t>
  </si>
  <si>
    <t>0358300394519000003</t>
  </si>
  <si>
    <t>Морозовский район</t>
  </si>
  <si>
    <t>0322200009119000050</t>
  </si>
  <si>
    <t>2703004972</t>
  </si>
  <si>
    <t>8603019084</t>
  </si>
  <si>
    <t>0187300001219000324</t>
  </si>
  <si>
    <t>0329200062219002987</t>
  </si>
  <si>
    <t>3442037877</t>
  </si>
  <si>
    <t>3442037355</t>
  </si>
  <si>
    <t>3442033030</t>
  </si>
  <si>
    <t>0848300024919000057</t>
  </si>
  <si>
    <t>1328905789</t>
  </si>
  <si>
    <t>31908108258</t>
  </si>
  <si>
    <t>0372200129319000029</t>
  </si>
  <si>
    <t>Евпатория</t>
  </si>
  <si>
    <t>0372200129319000030</t>
  </si>
  <si>
    <t>0322200009119000054</t>
  </si>
  <si>
    <t>2703004041</t>
  </si>
  <si>
    <t>0322200009119000055</t>
  </si>
  <si>
    <t>2703004059</t>
  </si>
  <si>
    <t>31908106282</t>
  </si>
  <si>
    <t>8603005469</t>
  </si>
  <si>
    <t>0187300001219000318</t>
  </si>
  <si>
    <t>0319100022019000007</t>
  </si>
  <si>
    <t>7024013668</t>
  </si>
  <si>
    <t>0165300009019000381</t>
  </si>
  <si>
    <t>0162300000419000123</t>
  </si>
  <si>
    <t>6611010691</t>
  </si>
  <si>
    <t>0373200307319000274</t>
  </si>
  <si>
    <t>502731260298</t>
  </si>
  <si>
    <t>7724918013</t>
  </si>
  <si>
    <t>31908107784</t>
  </si>
  <si>
    <t>[ОКПД2 10.85] Продукты пищевые готовые и блюда, [ОКВЭД2 10.85] Производство готовых пищевых продуктов и блюд</t>
  </si>
  <si>
    <t>2301035890</t>
  </si>
  <si>
    <t>31908107416</t>
  </si>
  <si>
    <t>7612008665</t>
  </si>
  <si>
    <t>0171200001919001110</t>
  </si>
  <si>
    <t>0329100003019000029</t>
  </si>
  <si>
    <t>3505004972</t>
  </si>
  <si>
    <t>0130100008619000016</t>
  </si>
  <si>
    <t>Верховажский район</t>
  </si>
  <si>
    <t>3505004771</t>
  </si>
  <si>
    <t>7616002135</t>
  </si>
  <si>
    <t>0171200001919001107</t>
  </si>
  <si>
    <t>0318200084219000025</t>
  </si>
  <si>
    <t>0318200084219000024</t>
  </si>
  <si>
    <t>777956</t>
  </si>
  <si>
    <t>0119200000119006431</t>
  </si>
  <si>
    <t>7814427669</t>
  </si>
  <si>
    <t>2225100262</t>
  </si>
  <si>
    <t>0318200084219000022</t>
  </si>
  <si>
    <t>7118506771</t>
  </si>
  <si>
    <t>0366200035619004922</t>
  </si>
  <si>
    <t>0318200084219000023</t>
  </si>
  <si>
    <t>0318200084219000021</t>
  </si>
  <si>
    <t>777930</t>
  </si>
  <si>
    <t>105596</t>
  </si>
  <si>
    <t>0849400000219000069</t>
  </si>
  <si>
    <t>391500877044</t>
  </si>
  <si>
    <t>31908106339</t>
  </si>
  <si>
    <t>4100014170</t>
  </si>
  <si>
    <t>0138300000419000483</t>
  </si>
  <si>
    <t>4101117108</t>
  </si>
  <si>
    <t>1901043971</t>
  </si>
  <si>
    <t>0180300000219000564</t>
  </si>
  <si>
    <t>975813</t>
  </si>
  <si>
    <t>6907007672</t>
  </si>
  <si>
    <t>0136300037619000056</t>
  </si>
  <si>
    <t>6908017151</t>
  </si>
  <si>
    <t>0175300034119000144</t>
  </si>
  <si>
    <t>9108119181</t>
  </si>
  <si>
    <t>9108119583</t>
  </si>
  <si>
    <t>9108119008</t>
  </si>
  <si>
    <t>9108119488</t>
  </si>
  <si>
    <t>9202002818</t>
  </si>
  <si>
    <t>0374200006819000045</t>
  </si>
  <si>
    <t>31908106387</t>
  </si>
  <si>
    <t>[ОКПД2 10.82] Какао, шоколад и изделия кондитерские сахаристые, [ОКПД2 10.83] Чай и кофе обработанные, [ОКВЭД2 10.83] Производство чая и кофе, [ОКВЭД2 10.82] Производство какао, шоколада и сахаристых кондитерских изделий</t>
  </si>
  <si>
    <t>0135200000519002880</t>
  </si>
  <si>
    <t>6164285772</t>
  </si>
  <si>
    <t>0358300132719000054</t>
  </si>
  <si>
    <t>Азовский район</t>
  </si>
  <si>
    <t>6101923550</t>
  </si>
  <si>
    <t>105426</t>
  </si>
  <si>
    <t>8603018330</t>
  </si>
  <si>
    <t>0187300001219000322</t>
  </si>
  <si>
    <t>0135200000519002879</t>
  </si>
  <si>
    <t>6907007665</t>
  </si>
  <si>
    <t>0136300037619000055</t>
  </si>
  <si>
    <t>7426004984</t>
  </si>
  <si>
    <t>0369100023619000006</t>
  </si>
  <si>
    <t>Аргаяшский район</t>
  </si>
  <si>
    <t>742601044699</t>
  </si>
  <si>
    <t>100058874119000013</t>
  </si>
  <si>
    <t>0122200002519004410</t>
  </si>
  <si>
    <t>0122200002519004411</t>
  </si>
  <si>
    <t>100058874119000014</t>
  </si>
  <si>
    <t>4709000329</t>
  </si>
  <si>
    <t>0345300000119000092</t>
  </si>
  <si>
    <t>6671096358</t>
  </si>
  <si>
    <t>780600542968</t>
  </si>
  <si>
    <t>0187300001219000320</t>
  </si>
  <si>
    <t>100058874119000016</t>
  </si>
  <si>
    <t>100058874119000015</t>
  </si>
  <si>
    <t>100058874119000017</t>
  </si>
  <si>
    <t>100058874119000018</t>
  </si>
  <si>
    <t>0122200002519004412</t>
  </si>
  <si>
    <t>0356500001119000323</t>
  </si>
  <si>
    <t>5101740064</t>
  </si>
  <si>
    <t>0349300001719000168</t>
  </si>
  <si>
    <t>0264100000119000108</t>
  </si>
  <si>
    <t>31908105560</t>
  </si>
  <si>
    <t>8603012709</t>
  </si>
  <si>
    <t>0187300001219000319</t>
  </si>
  <si>
    <t>31908105607</t>
  </si>
  <si>
    <t>4406000721</t>
  </si>
  <si>
    <t>0141100003619000008</t>
  </si>
  <si>
    <t>4406004236</t>
  </si>
  <si>
    <t>31908105644</t>
  </si>
  <si>
    <t>0264100000119000109</t>
  </si>
  <si>
    <t>0134100005719000009</t>
  </si>
  <si>
    <t>380200026414</t>
  </si>
  <si>
    <t>7020014460</t>
  </si>
  <si>
    <t>31908105013</t>
  </si>
  <si>
    <t>0264100000119000107</t>
  </si>
  <si>
    <t>0311100002819000048</t>
  </si>
  <si>
    <t>6602007205</t>
  </si>
  <si>
    <t>0362300281019000009</t>
  </si>
  <si>
    <t>660200096287</t>
  </si>
  <si>
    <t>5036062137</t>
  </si>
  <si>
    <t>0348200020119000066</t>
  </si>
  <si>
    <t>773176840115</t>
  </si>
  <si>
    <t>2128015438</t>
  </si>
  <si>
    <t>0115200001119001903</t>
  </si>
  <si>
    <t>[ОКПД2 82.99] Услуги вспомогательные, связанные с предпринимательской деятельностью, прочие, не включенные в другие группировки</t>
  </si>
  <si>
    <t>2129017420</t>
  </si>
  <si>
    <t>100304324119000001</t>
  </si>
  <si>
    <t>1901072500</t>
  </si>
  <si>
    <t>100201219119000017</t>
  </si>
  <si>
    <t>31908108876</t>
  </si>
  <si>
    <t>2019-732242</t>
  </si>
  <si>
    <t>BP00307900</t>
  </si>
  <si>
    <t>7537003104</t>
  </si>
  <si>
    <t>0891200000619007791</t>
  </si>
  <si>
    <t>31908104708</t>
  </si>
  <si>
    <t>31908104715</t>
  </si>
  <si>
    <t>0180100004019000008</t>
  </si>
  <si>
    <t>0318200088119000003</t>
  </si>
  <si>
    <t>[ОКПД2 56.29] Услуги по обеспечению питанием прочие, [ОКПД2 79.11] Услуги туристических агентств</t>
  </si>
  <si>
    <t>2520007550</t>
  </si>
  <si>
    <t>0320300014019000002</t>
  </si>
  <si>
    <t>252002487870</t>
  </si>
  <si>
    <t>7716099554</t>
  </si>
  <si>
    <t>0373200087819000181</t>
  </si>
  <si>
    <t>5032283400</t>
  </si>
  <si>
    <t>7715629103</t>
  </si>
  <si>
    <t>7716683061</t>
  </si>
  <si>
    <t>7702444610</t>
  </si>
  <si>
    <t>7714908739</t>
  </si>
  <si>
    <t>7719765210</t>
  </si>
  <si>
    <t>5047209021</t>
  </si>
  <si>
    <t>5607006323</t>
  </si>
  <si>
    <t>0853500000319007524</t>
  </si>
  <si>
    <t>Новотроицк</t>
  </si>
  <si>
    <t>7733012151</t>
  </si>
  <si>
    <t>31908104385</t>
  </si>
  <si>
    <t>0150200003919000693</t>
  </si>
  <si>
    <t>31908104163</t>
  </si>
  <si>
    <t>[ОКПД2 79.1+] Услуги туристических агентств и туроператоров, [ОКВЭД2 79.1+] Деятельность туристических агентств и туроператоров</t>
  </si>
  <si>
    <t>8603018789</t>
  </si>
  <si>
    <t>0187300001219000316</t>
  </si>
  <si>
    <t>8603011705</t>
  </si>
  <si>
    <t>0187300001219000314</t>
  </si>
  <si>
    <t>31908104192</t>
  </si>
  <si>
    <t>1435150839</t>
  </si>
  <si>
    <t>0816500000619009955</t>
  </si>
  <si>
    <t>0187300001219000317</t>
  </si>
  <si>
    <t>3128043490</t>
  </si>
  <si>
    <t>974423</t>
  </si>
  <si>
    <t>[ОКПД2 95.11] Услуги по ремонту компьютеров и периферийного оборудования, [ОКПД2 96.09] Услуги персональные прочие, не включенные в другие группировки</t>
  </si>
  <si>
    <t>0356500003419000214</t>
  </si>
  <si>
    <t>0187300001219000308</t>
  </si>
  <si>
    <t>8603007755</t>
  </si>
  <si>
    <t>0187300001219000312</t>
  </si>
  <si>
    <t>0187300001219000311</t>
  </si>
  <si>
    <t>8603018605</t>
  </si>
  <si>
    <t>0187300001219000315</t>
  </si>
  <si>
    <t>31908104332</t>
  </si>
  <si>
    <t>8603018355</t>
  </si>
  <si>
    <t>0187300001219000313</t>
  </si>
  <si>
    <t>0187300001219000306</t>
  </si>
  <si>
    <t>0187300001219000307</t>
  </si>
  <si>
    <t>8603019662</t>
  </si>
  <si>
    <t>0187300001219000310</t>
  </si>
  <si>
    <t>5904082077</t>
  </si>
  <si>
    <t>31908102881</t>
  </si>
  <si>
    <t>1109006203</t>
  </si>
  <si>
    <t>0307200007619000015</t>
  </si>
  <si>
    <t>1101097174</t>
  </si>
  <si>
    <t>5079008800</t>
  </si>
  <si>
    <t>777549</t>
  </si>
  <si>
    <t>7719261572</t>
  </si>
  <si>
    <t>0373200006219001236</t>
  </si>
  <si>
    <t>7719199719</t>
  </si>
  <si>
    <t>7716693165</t>
  </si>
  <si>
    <t>2572606</t>
  </si>
  <si>
    <t>0163300029419000912</t>
  </si>
  <si>
    <t>2454011631</t>
  </si>
  <si>
    <t>0819300031919000248</t>
  </si>
  <si>
    <t>4027025401</t>
  </si>
  <si>
    <t>31908103807</t>
  </si>
  <si>
    <t>7216003984</t>
  </si>
  <si>
    <t>31908102984</t>
  </si>
  <si>
    <t>4219002461</t>
  </si>
  <si>
    <t>0139200000119005341</t>
  </si>
  <si>
    <t>4217159347</t>
  </si>
  <si>
    <t>5614014928</t>
  </si>
  <si>
    <t>0853500000319007468</t>
  </si>
  <si>
    <t>6671041944</t>
  </si>
  <si>
    <t>0117100014219000006</t>
  </si>
  <si>
    <t>0860100001319000078</t>
  </si>
  <si>
    <t>РН955597</t>
  </si>
  <si>
    <t>8606006887</t>
  </si>
  <si>
    <t>0187300001919000232</t>
  </si>
  <si>
    <t>860600500936</t>
  </si>
  <si>
    <t>31908102231</t>
  </si>
  <si>
    <t>5903006066</t>
  </si>
  <si>
    <t>31908103043</t>
  </si>
  <si>
    <t>0361200009319000016</t>
  </si>
  <si>
    <t>4416000590</t>
  </si>
  <si>
    <t>0141100006919000004</t>
  </si>
  <si>
    <t>Макарьевский район</t>
  </si>
  <si>
    <t>0853500000319007455</t>
  </si>
  <si>
    <t>8602007223</t>
  </si>
  <si>
    <t>0187300006519001456</t>
  </si>
  <si>
    <t>0307200007619000014</t>
  </si>
  <si>
    <t>110205078230</t>
  </si>
  <si>
    <t>7713333580</t>
  </si>
  <si>
    <t>0373200018819001048</t>
  </si>
  <si>
    <t>7743783883</t>
  </si>
  <si>
    <t>0843500000219001794</t>
  </si>
  <si>
    <t>7204003669</t>
  </si>
  <si>
    <t>0367100005319000116</t>
  </si>
  <si>
    <t>860902791304</t>
  </si>
  <si>
    <t>665800615409</t>
  </si>
  <si>
    <t>31908103330</t>
  </si>
  <si>
    <t>6602007580</t>
  </si>
  <si>
    <t>0362300281819000005</t>
  </si>
  <si>
    <t>660201978059</t>
  </si>
  <si>
    <t>0302100014919000025</t>
  </si>
  <si>
    <t>2626801233</t>
  </si>
  <si>
    <t>31908103647</t>
  </si>
  <si>
    <t>31908102561</t>
  </si>
  <si>
    <t>4024010301</t>
  </si>
  <si>
    <t>31908103524</t>
  </si>
  <si>
    <t>[ОКПД2 85.21] Услуги в области среднего профессионального образования, [ОКВЭД2 85.14] Образование среднее общее</t>
  </si>
  <si>
    <t>31908103266</t>
  </si>
  <si>
    <t>0307200007619000013</t>
  </si>
  <si>
    <t>0224003713</t>
  </si>
  <si>
    <t>0301300001119000040</t>
  </si>
  <si>
    <t>Иглинский район</t>
  </si>
  <si>
    <t>0224010781</t>
  </si>
  <si>
    <t>0387100018119000008</t>
  </si>
  <si>
    <t>860600823060</t>
  </si>
  <si>
    <t>0356500000219000130</t>
  </si>
  <si>
    <t>590604402120</t>
  </si>
  <si>
    <t>2308007718</t>
  </si>
  <si>
    <t>0218100003719000133</t>
  </si>
  <si>
    <t>0163300029419000905</t>
  </si>
  <si>
    <t>8606006799</t>
  </si>
  <si>
    <t>0187300001919000231</t>
  </si>
  <si>
    <t>7202238746</t>
  </si>
  <si>
    <t>2221021436</t>
  </si>
  <si>
    <t>973618</t>
  </si>
  <si>
    <t>4712017178</t>
  </si>
  <si>
    <t>0345300042819000013</t>
  </si>
  <si>
    <t>471201293001</t>
  </si>
  <si>
    <t>471200132322</t>
  </si>
  <si>
    <t>0322100009219000115</t>
  </si>
  <si>
    <t>5918013309</t>
  </si>
  <si>
    <t>0356300125919000006</t>
  </si>
  <si>
    <t>5918017582</t>
  </si>
  <si>
    <t>7606118356</t>
  </si>
  <si>
    <t>0171200001919001098</t>
  </si>
  <si>
    <t>7223009384</t>
  </si>
  <si>
    <t>31908101228</t>
  </si>
  <si>
    <t>0375300036419000128</t>
  </si>
  <si>
    <t>0116300021819000433</t>
  </si>
  <si>
    <t>7020016001</t>
  </si>
  <si>
    <t>31908100522</t>
  </si>
  <si>
    <t>8107007733</t>
  </si>
  <si>
    <t>0356100005719000031</t>
  </si>
  <si>
    <t>Юсьвинский район</t>
  </si>
  <si>
    <t>31908100936</t>
  </si>
  <si>
    <t>0318100038519000010</t>
  </si>
  <si>
    <t>3525080668</t>
  </si>
  <si>
    <t>0130200002419002416</t>
  </si>
  <si>
    <t>6952009590</t>
  </si>
  <si>
    <t>0136400000619000008</t>
  </si>
  <si>
    <t>690139764118</t>
  </si>
  <si>
    <t>5610010552</t>
  </si>
  <si>
    <t>31908100882</t>
  </si>
  <si>
    <t>0136400000619000009</t>
  </si>
  <si>
    <t>2223012765</t>
  </si>
  <si>
    <t>972694</t>
  </si>
  <si>
    <t>0372200129319000028</t>
  </si>
  <si>
    <t>105388</t>
  </si>
  <si>
    <t>0372200263319000028</t>
  </si>
  <si>
    <t>0372200129319000027</t>
  </si>
  <si>
    <t>105400</t>
  </si>
  <si>
    <t>0372200263319000029</t>
  </si>
  <si>
    <t>7825334039</t>
  </si>
  <si>
    <t>0348100029419000049</t>
  </si>
  <si>
    <t>7743227893</t>
  </si>
  <si>
    <t>2434000977</t>
  </si>
  <si>
    <t>0119200000119006374</t>
  </si>
  <si>
    <t>0362300006519000003</t>
  </si>
  <si>
    <t>6628009020</t>
  </si>
  <si>
    <t>Реж</t>
  </si>
  <si>
    <t>6628009013</t>
  </si>
  <si>
    <t>Режевский район</t>
  </si>
  <si>
    <t>6628009126</t>
  </si>
  <si>
    <t>6628009140</t>
  </si>
  <si>
    <t>6628009052</t>
  </si>
  <si>
    <t>6628008475</t>
  </si>
  <si>
    <t>6628009084</t>
  </si>
  <si>
    <t>6628009119</t>
  </si>
  <si>
    <t>6628009038</t>
  </si>
  <si>
    <t>6628009180</t>
  </si>
  <si>
    <t>6628009158</t>
  </si>
  <si>
    <t>2510007624</t>
  </si>
  <si>
    <t>0320300056919000009</t>
  </si>
  <si>
    <t>Спасск-Дальний</t>
  </si>
  <si>
    <t>0318200017019000089</t>
  </si>
  <si>
    <t>0132300001719000310</t>
  </si>
  <si>
    <t>5249054660</t>
  </si>
  <si>
    <t>5249054814</t>
  </si>
  <si>
    <t>5249054758</t>
  </si>
  <si>
    <t>5249054821</t>
  </si>
  <si>
    <t>5249054596</t>
  </si>
  <si>
    <t>5249055046</t>
  </si>
  <si>
    <t>5249054980</t>
  </si>
  <si>
    <t>5249055110</t>
  </si>
  <si>
    <t>5249054444</t>
  </si>
  <si>
    <t>5249055102</t>
  </si>
  <si>
    <t>5249055039</t>
  </si>
  <si>
    <t>5249054420</t>
  </si>
  <si>
    <t>5249054437</t>
  </si>
  <si>
    <t>5249054395</t>
  </si>
  <si>
    <t>5249054998</t>
  </si>
  <si>
    <t>5249055134</t>
  </si>
  <si>
    <t>5249055127</t>
  </si>
  <si>
    <t>5249055007</t>
  </si>
  <si>
    <t>5249054451</t>
  </si>
  <si>
    <t>5249055014</t>
  </si>
  <si>
    <t>5249054677</t>
  </si>
  <si>
    <t>5249054405</t>
  </si>
  <si>
    <t>5249055021</t>
  </si>
  <si>
    <t>5249054853</t>
  </si>
  <si>
    <t>5249055092</t>
  </si>
  <si>
    <t>5249054860</t>
  </si>
  <si>
    <t>5249054645</t>
  </si>
  <si>
    <t>5249054638</t>
  </si>
  <si>
    <t>5249054370</t>
  </si>
  <si>
    <t>5249055159</t>
  </si>
  <si>
    <t>5249054846</t>
  </si>
  <si>
    <t>5249054733</t>
  </si>
  <si>
    <t>5249054772</t>
  </si>
  <si>
    <t>5249054684</t>
  </si>
  <si>
    <t>5249054701</t>
  </si>
  <si>
    <t>5249054765</t>
  </si>
  <si>
    <t>5249054719</t>
  </si>
  <si>
    <t>5249054652</t>
  </si>
  <si>
    <t>5249054691</t>
  </si>
  <si>
    <t>5249059957</t>
  </si>
  <si>
    <t>5249054363</t>
  </si>
  <si>
    <t>5249054740</t>
  </si>
  <si>
    <t>5249054324</t>
  </si>
  <si>
    <t>5249054839</t>
  </si>
  <si>
    <t>5249055166</t>
  </si>
  <si>
    <t>5249055141</t>
  </si>
  <si>
    <t>5249055078</t>
  </si>
  <si>
    <t>5249054476</t>
  </si>
  <si>
    <t>5249054973</t>
  </si>
  <si>
    <t>5249054500</t>
  </si>
  <si>
    <t>5249054966</t>
  </si>
  <si>
    <t>5249055085</t>
  </si>
  <si>
    <t>5249054941</t>
  </si>
  <si>
    <t>5249055053</t>
  </si>
  <si>
    <t>5249055060</t>
  </si>
  <si>
    <t>5249054356</t>
  </si>
  <si>
    <t>5249054518</t>
  </si>
  <si>
    <t>5249054934</t>
  </si>
  <si>
    <t>5249054469</t>
  </si>
  <si>
    <t>5249054483</t>
  </si>
  <si>
    <t>5249054959</t>
  </si>
  <si>
    <t>5249054317</t>
  </si>
  <si>
    <t>5249054331</t>
  </si>
  <si>
    <t>5249055173</t>
  </si>
  <si>
    <t>5249054910</t>
  </si>
  <si>
    <t>5249054525</t>
  </si>
  <si>
    <t>5249054557</t>
  </si>
  <si>
    <t>5249054620</t>
  </si>
  <si>
    <t>5249054892</t>
  </si>
  <si>
    <t>5249054885</t>
  </si>
  <si>
    <t>5249054807</t>
  </si>
  <si>
    <t>5249054902</t>
  </si>
  <si>
    <t>5249054878</t>
  </si>
  <si>
    <t>5249054797</t>
  </si>
  <si>
    <t>5249054540</t>
  </si>
  <si>
    <t>5249054927</t>
  </si>
  <si>
    <t>5249073253</t>
  </si>
  <si>
    <t>5249141947</t>
  </si>
  <si>
    <t>5263094791</t>
  </si>
  <si>
    <t>31908100342</t>
  </si>
  <si>
    <t>[ОКПД2 56.10] Услуги ресторанов и услуги по доставке продуктов питания, [ОКПД2 55.90] Услуги по предоставлению временного жилья прочие, [ОКВЭД2 55.90] Деятельность по предоставлению прочих мест для временного проживания, [ОКВЭД2 56.10] Деятельность ресторанов и услуги по доставке продуктов питания</t>
  </si>
  <si>
    <t>0163300029419000898</t>
  </si>
  <si>
    <t>2221230454</t>
  </si>
  <si>
    <t>0117400000219000036</t>
  </si>
  <si>
    <t>222109522286</t>
  </si>
  <si>
    <t>0318300554419000237</t>
  </si>
  <si>
    <t>0848300041119000162</t>
  </si>
  <si>
    <t>5033008276</t>
  </si>
  <si>
    <t>5033008290</t>
  </si>
  <si>
    <t>0851200000619003829</t>
  </si>
  <si>
    <t>8619008909</t>
  </si>
  <si>
    <t>0187300001719000411</t>
  </si>
  <si>
    <t>0362300216719000005</t>
  </si>
  <si>
    <t>6632016246</t>
  </si>
  <si>
    <t>Серов</t>
  </si>
  <si>
    <t>6632010639</t>
  </si>
  <si>
    <t>6632015027</t>
  </si>
  <si>
    <t>6632014810</t>
  </si>
  <si>
    <t>6632015450</t>
  </si>
  <si>
    <t>7019027520</t>
  </si>
  <si>
    <t>100119971119000023</t>
  </si>
  <si>
    <t>100119971119000022</t>
  </si>
  <si>
    <t>2019-731987</t>
  </si>
  <si>
    <t>8709014311</t>
  </si>
  <si>
    <t>0888100000119000275</t>
  </si>
  <si>
    <t>Билибинский район</t>
  </si>
  <si>
    <t>081200018689</t>
  </si>
  <si>
    <t>31908100111</t>
  </si>
  <si>
    <t>777040</t>
  </si>
  <si>
    <t>0154100006019000159</t>
  </si>
  <si>
    <t>0324100003119000010</t>
  </si>
  <si>
    <t>105328</t>
  </si>
  <si>
    <t>7710030362</t>
  </si>
  <si>
    <t>0348100085019000049</t>
  </si>
  <si>
    <t>2355014649</t>
  </si>
  <si>
    <t>3128044085</t>
  </si>
  <si>
    <t>31908099833</t>
  </si>
  <si>
    <t>0154100006019000158</t>
  </si>
  <si>
    <t>3303036354</t>
  </si>
  <si>
    <t>0128400000419000011</t>
  </si>
  <si>
    <t>Вязниковский район</t>
  </si>
  <si>
    <t>3338004466</t>
  </si>
  <si>
    <t>4705016800</t>
  </si>
  <si>
    <t>31908099594</t>
  </si>
  <si>
    <t>[ОКПД2 56.2+] Услуги по поставке продукции общественного питания и обслуживанию торжественных мероприятий и прочие услуги по обеспечению питанием, [ОКВЭД2 56.29] Деятельность предприятий общественного питания по прочим видам организации питания</t>
  </si>
  <si>
    <t>0342100006419000012</t>
  </si>
  <si>
    <t>6330003032</t>
  </si>
  <si>
    <t>6316058992</t>
  </si>
  <si>
    <t>16338</t>
  </si>
  <si>
    <t>0136100012519000033</t>
  </si>
  <si>
    <t>0801300011919000339</t>
  </si>
  <si>
    <t>0266001524</t>
  </si>
  <si>
    <t>0266018743</t>
  </si>
  <si>
    <t>0266015904</t>
  </si>
  <si>
    <t>0266018870</t>
  </si>
  <si>
    <t>0266015911</t>
  </si>
  <si>
    <t>0266019225</t>
  </si>
  <si>
    <t>0266019426</t>
  </si>
  <si>
    <t>0266017940</t>
  </si>
  <si>
    <t>0266019137</t>
  </si>
  <si>
    <t>0266018736</t>
  </si>
  <si>
    <t>0266019169</t>
  </si>
  <si>
    <t>0266018863</t>
  </si>
  <si>
    <t>0266018246</t>
  </si>
  <si>
    <t>0266015781</t>
  </si>
  <si>
    <t>0266018944</t>
  </si>
  <si>
    <t>0266010737</t>
  </si>
  <si>
    <t>0266015439</t>
  </si>
  <si>
    <t>0266019433</t>
  </si>
  <si>
    <t>7206037448</t>
  </si>
  <si>
    <t>31908098605</t>
  </si>
  <si>
    <t>6620007110</t>
  </si>
  <si>
    <t>31908098230</t>
  </si>
  <si>
    <t>31908099183</t>
  </si>
  <si>
    <t>8606006823</t>
  </si>
  <si>
    <t>0187300001919000228</t>
  </si>
  <si>
    <t>0131200001019003644</t>
  </si>
  <si>
    <t>3666187533</t>
  </si>
  <si>
    <t>3661034734</t>
  </si>
  <si>
    <t>350601250340</t>
  </si>
  <si>
    <t>4633006110</t>
  </si>
  <si>
    <t>0344100002119000017</t>
  </si>
  <si>
    <t>4633017961</t>
  </si>
  <si>
    <t>8606004167</t>
  </si>
  <si>
    <t>0187300001919000227</t>
  </si>
  <si>
    <t>0888100000119000273</t>
  </si>
  <si>
    <t>8706006351</t>
  </si>
  <si>
    <t>0817200000319007436</t>
  </si>
  <si>
    <t>5408016327</t>
  </si>
  <si>
    <t>0131200001019003643</t>
  </si>
  <si>
    <t>0344100002119000018</t>
  </si>
  <si>
    <t>31908098804</t>
  </si>
  <si>
    <t>0836600003319000500</t>
  </si>
  <si>
    <t>6903007375</t>
  </si>
  <si>
    <t>6902025050</t>
  </si>
  <si>
    <t>6902025082</t>
  </si>
  <si>
    <t>4027024060</t>
  </si>
  <si>
    <t>0137200001219003409</t>
  </si>
  <si>
    <t>31908097017</t>
  </si>
  <si>
    <t>0836600003319000503</t>
  </si>
  <si>
    <t>6902025188</t>
  </si>
  <si>
    <t>6902024924</t>
  </si>
  <si>
    <t>6902025212</t>
  </si>
  <si>
    <t>6902025163</t>
  </si>
  <si>
    <t>31908097025</t>
  </si>
  <si>
    <t>5075009747</t>
  </si>
  <si>
    <t>776883</t>
  </si>
  <si>
    <t>0836600003319000502</t>
  </si>
  <si>
    <t>6903032004</t>
  </si>
  <si>
    <t>6903031850</t>
  </si>
  <si>
    <t>6903007689</t>
  </si>
  <si>
    <t>6903031949</t>
  </si>
  <si>
    <t>6903007230</t>
  </si>
  <si>
    <t>6903031770</t>
  </si>
  <si>
    <t>6904028836</t>
  </si>
  <si>
    <t>0836600003319000501</t>
  </si>
  <si>
    <t>6950121357</t>
  </si>
  <si>
    <t>3231007175</t>
  </si>
  <si>
    <t>0327300072819000003</t>
  </si>
  <si>
    <t>5029100720</t>
  </si>
  <si>
    <t>776792</t>
  </si>
  <si>
    <t>3231006904</t>
  </si>
  <si>
    <t>0327300072919000002</t>
  </si>
  <si>
    <t>6330017363</t>
  </si>
  <si>
    <t>РН955159</t>
  </si>
  <si>
    <t>[ОКПД2 56.30] Услуги по подаче напитков, [ОКВЭД2 56.10] Деятельность ресторанов и услуги по доставке продуктов питания</t>
  </si>
  <si>
    <t>3231006140</t>
  </si>
  <si>
    <t>0327300072619000002</t>
  </si>
  <si>
    <t>0853500000319007432</t>
  </si>
  <si>
    <t>[ОКПД2 27.12] Аппаратура распределительная и регулирующая электрическая, [ОКПД2 27.90] Оборудование электрическое прочее, [ОКПД2 27.32] Провода и кабели электронные и электрические прочие, [ОКПД2 32.99] Изделия готовые прочие, не включенные в другие группировки, [ОКПД2 27.20] Батареи и аккумуляторы, [ОКПД2 28.25] Оборудование промышленное холодильное и вентиляционное</t>
  </si>
  <si>
    <t>3810331060</t>
  </si>
  <si>
    <t>5049020335</t>
  </si>
  <si>
    <t>776751</t>
  </si>
  <si>
    <t>0156300057719000060</t>
  </si>
  <si>
    <t>3128028090</t>
  </si>
  <si>
    <t>31908097730</t>
  </si>
  <si>
    <t>8606003244</t>
  </si>
  <si>
    <t>0187300001919000226</t>
  </si>
  <si>
    <t>1637002287</t>
  </si>
  <si>
    <t>100133799119000013</t>
  </si>
  <si>
    <t>100133799119000012</t>
  </si>
  <si>
    <t>8606004216</t>
  </si>
  <si>
    <t>0187300001919000225</t>
  </si>
  <si>
    <t>6634007656</t>
  </si>
  <si>
    <t>31908097264</t>
  </si>
  <si>
    <t>3614001851</t>
  </si>
  <si>
    <t>0131100008919000015</t>
  </si>
  <si>
    <t>360200086964</t>
  </si>
  <si>
    <t>3128011530</t>
  </si>
  <si>
    <t>31908097624</t>
  </si>
  <si>
    <t>0163300029419000888</t>
  </si>
  <si>
    <t>0123100009219000012</t>
  </si>
  <si>
    <t>1117000879</t>
  </si>
  <si>
    <t>0307300058519000171</t>
  </si>
  <si>
    <t>Княжпогостский район</t>
  </si>
  <si>
    <t>1101486406</t>
  </si>
  <si>
    <t>105220</t>
  </si>
  <si>
    <t>1651029989</t>
  </si>
  <si>
    <t>0311200042919000001</t>
  </si>
  <si>
    <t>0163300029419000885</t>
  </si>
  <si>
    <t>31908095818</t>
  </si>
  <si>
    <t>0131100008919000014</t>
  </si>
  <si>
    <t>0163300029419000886</t>
  </si>
  <si>
    <t>0375200030019000140</t>
  </si>
  <si>
    <t>3528055726</t>
  </si>
  <si>
    <t>31908097103</t>
  </si>
  <si>
    <t>970581</t>
  </si>
  <si>
    <t>6632015838</t>
  </si>
  <si>
    <t>31908096604</t>
  </si>
  <si>
    <t>5075009754</t>
  </si>
  <si>
    <t>31908097199</t>
  </si>
  <si>
    <t>31908096886</t>
  </si>
  <si>
    <t>1101481905</t>
  </si>
  <si>
    <t>0307100013619000030</t>
  </si>
  <si>
    <t>110900413673</t>
  </si>
  <si>
    <t>1121012323</t>
  </si>
  <si>
    <t>0348100029419000047</t>
  </si>
  <si>
    <t>3128107970</t>
  </si>
  <si>
    <t>31908096708</t>
  </si>
  <si>
    <t>31908096807</t>
  </si>
  <si>
    <t>16228</t>
  </si>
  <si>
    <t>[ОКПД2 86.90] Услуги в области медицины прочие, [ОКВЭД2 71.20] Технические испытания, исследования, анализ и сертификация</t>
  </si>
  <si>
    <t>5101740145</t>
  </si>
  <si>
    <t>0349300001719000164</t>
  </si>
  <si>
    <t>4026001020</t>
  </si>
  <si>
    <t>0137200001219003395</t>
  </si>
  <si>
    <t>4029052425</t>
  </si>
  <si>
    <t>402700345284</t>
  </si>
  <si>
    <t>31908096913</t>
  </si>
  <si>
    <t>0372200274019000054</t>
  </si>
  <si>
    <t>0157000000319000003</t>
  </si>
  <si>
    <t>6017009683</t>
  </si>
  <si>
    <t>970107</t>
  </si>
  <si>
    <t>4325001702</t>
  </si>
  <si>
    <t>0340200003319009175</t>
  </si>
  <si>
    <t>4330005702</t>
  </si>
  <si>
    <t>4325003354</t>
  </si>
  <si>
    <t>100080141119000078</t>
  </si>
  <si>
    <t>Лысогорский район</t>
  </si>
  <si>
    <t>100080141119000079</t>
  </si>
  <si>
    <t>969628</t>
  </si>
  <si>
    <t>2225024357</t>
  </si>
  <si>
    <t>969426</t>
  </si>
  <si>
    <t>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01.27] Культуры для производства напитков, [ОКПД2 10.89] Продукты пищевые прочие, не включенные в другие группировки, [ОКПД2 20.59] Продукты химические прочие, не включенные в другие группировки, [ОКПД2 10.84] Приправы и пряности</t>
  </si>
  <si>
    <t>2019-731677</t>
  </si>
  <si>
    <t>31908095673</t>
  </si>
  <si>
    <t>31908095635</t>
  </si>
  <si>
    <t>3025004669</t>
  </si>
  <si>
    <t>100262358119000109</t>
  </si>
  <si>
    <t>Приволжский район</t>
  </si>
  <si>
    <t>7707074137</t>
  </si>
  <si>
    <t>190713/0469/987</t>
  </si>
  <si>
    <t>COM11071900043</t>
  </si>
  <si>
    <t>6632002765</t>
  </si>
  <si>
    <t>31908095407</t>
  </si>
  <si>
    <t>7702388027</t>
  </si>
  <si>
    <t>31908095357</t>
  </si>
  <si>
    <t>0853500000319007398</t>
  </si>
  <si>
    <t>3808061338</t>
  </si>
  <si>
    <t>6632010660</t>
  </si>
  <si>
    <t>31908094919</t>
  </si>
  <si>
    <t>31908095246</t>
  </si>
  <si>
    <t>7017115570</t>
  </si>
  <si>
    <t>0165300010519000706</t>
  </si>
  <si>
    <t>701900608674</t>
  </si>
  <si>
    <t>6910005298</t>
  </si>
  <si>
    <t>0136100011319000007</t>
  </si>
  <si>
    <t>6910002508</t>
  </si>
  <si>
    <t>0122200001019000111</t>
  </si>
  <si>
    <t>0131100008919000012</t>
  </si>
  <si>
    <t>7812014120</t>
  </si>
  <si>
    <t>0272100000119000241</t>
  </si>
  <si>
    <t>6671148983</t>
  </si>
  <si>
    <t>31908094494</t>
  </si>
  <si>
    <t>3128028012</t>
  </si>
  <si>
    <t>31908095046</t>
  </si>
  <si>
    <t>8616006734</t>
  </si>
  <si>
    <t>0387200010419000053</t>
  </si>
  <si>
    <t>8616010547</t>
  </si>
  <si>
    <t>31908095019</t>
  </si>
  <si>
    <t>0387200010419000052</t>
  </si>
  <si>
    <t>8606005925</t>
  </si>
  <si>
    <t>5609080058</t>
  </si>
  <si>
    <t>31908093827</t>
  </si>
  <si>
    <t>0137300037719000342</t>
  </si>
  <si>
    <t>4025023582</t>
  </si>
  <si>
    <t>4025022892</t>
  </si>
  <si>
    <t>4025022902</t>
  </si>
  <si>
    <t>4025024875</t>
  </si>
  <si>
    <t>4025023254</t>
  </si>
  <si>
    <t>4025021828</t>
  </si>
  <si>
    <t>4025022155</t>
  </si>
  <si>
    <t>4025022412</t>
  </si>
  <si>
    <t>4025090123</t>
  </si>
  <si>
    <t>4025002085</t>
  </si>
  <si>
    <t>4025075421</t>
  </si>
  <si>
    <t>4025023230</t>
  </si>
  <si>
    <t>4025435226</t>
  </si>
  <si>
    <t>4025023575</t>
  </si>
  <si>
    <t>4025023222</t>
  </si>
  <si>
    <t>4025023568</t>
  </si>
  <si>
    <t>4025418291</t>
  </si>
  <si>
    <t>0302100021619000011</t>
  </si>
  <si>
    <t>7429004460</t>
  </si>
  <si>
    <t>0369100011319000009</t>
  </si>
  <si>
    <t>7455035225</t>
  </si>
  <si>
    <t>0134100010019000036</t>
  </si>
  <si>
    <t>3128108532</t>
  </si>
  <si>
    <t>31908094569</t>
  </si>
  <si>
    <t>7453135827</t>
  </si>
  <si>
    <t>0169200001019001217</t>
  </si>
  <si>
    <t>7451344670</t>
  </si>
  <si>
    <t>0369100011319000010</t>
  </si>
  <si>
    <t>5257111625</t>
  </si>
  <si>
    <t>0332100011719000016</t>
  </si>
  <si>
    <t>0302100021619000012</t>
  </si>
  <si>
    <t>2710012332</t>
  </si>
  <si>
    <t>0322300034619000009</t>
  </si>
  <si>
    <t>[ОКПД2 28.23] Машины офисные и оборудование, кроме компьютеров и периферийного оборудования, [ОКПД2 26.20] Компьютеры и периферийное оборудование, [ОКПД2 62.01] Продукты программные и услуги по разработке и тестированию программного обеспечения, [ОКПД2 26.30] Оборудование коммуникационное, [ОКПД2 26.40] Техника бытовая электронная, [ОКПД2 26.70] Приборы оптические и фотографическое оборудование, [ОКПД2 26.51] Оборудование для измерения, испытаний и навигации, [ОКПД2 32.99] Изделия готовые прочие, не включенные в другие группировки, [ОКПД2 28.99] Оборудование специального назначения прочее, не включенное в другие группировки</t>
  </si>
  <si>
    <t>Верхнебуреинский район</t>
  </si>
  <si>
    <t>2724210101</t>
  </si>
  <si>
    <t>635007657174</t>
  </si>
  <si>
    <t>0119400000419000007</t>
  </si>
  <si>
    <t>241000789701</t>
  </si>
  <si>
    <t>241000367097</t>
  </si>
  <si>
    <t>0340100013719000028</t>
  </si>
  <si>
    <t>4305000274</t>
  </si>
  <si>
    <t>31908093943</t>
  </si>
  <si>
    <t>0158100013919000006</t>
  </si>
  <si>
    <t>0134100010019000035</t>
  </si>
  <si>
    <t>2466050868</t>
  </si>
  <si>
    <t>0119100010119000093</t>
  </si>
  <si>
    <t>245203483628</t>
  </si>
  <si>
    <t>2411003259</t>
  </si>
  <si>
    <t>0119100009319000043</t>
  </si>
  <si>
    <t>Емельяновский район</t>
  </si>
  <si>
    <t>0245100001419000115</t>
  </si>
  <si>
    <t>31908093503</t>
  </si>
  <si>
    <t>2453006237</t>
  </si>
  <si>
    <t>0319300002719000007</t>
  </si>
  <si>
    <t>31908093370</t>
  </si>
  <si>
    <t>0119100010119000092</t>
  </si>
  <si>
    <t>6350019175</t>
  </si>
  <si>
    <t>0142300007819000061</t>
  </si>
  <si>
    <t>Кинельский район</t>
  </si>
  <si>
    <t>6318242732</t>
  </si>
  <si>
    <t>16099</t>
  </si>
  <si>
    <t>0163300029419000875</t>
  </si>
  <si>
    <t>0119100009319000042</t>
  </si>
  <si>
    <t>6501025568</t>
  </si>
  <si>
    <t>0361200015019004518</t>
  </si>
  <si>
    <t>0122100008419000006</t>
  </si>
  <si>
    <t>270401939253</t>
  </si>
  <si>
    <t>16105</t>
  </si>
  <si>
    <t>0119400000419000006</t>
  </si>
  <si>
    <t>0306200010219000415</t>
  </si>
  <si>
    <t>7710566322</t>
  </si>
  <si>
    <t>0373100107719000045</t>
  </si>
  <si>
    <t>5027204995</t>
  </si>
  <si>
    <t>4909039203</t>
  </si>
  <si>
    <t>0347100011619000092</t>
  </si>
  <si>
    <t>4907004766</t>
  </si>
  <si>
    <t>100133799119000011</t>
  </si>
  <si>
    <t>7716224163</t>
  </si>
  <si>
    <t>0373200017519001001</t>
  </si>
  <si>
    <t>7729593714</t>
  </si>
  <si>
    <t>3446036257</t>
  </si>
  <si>
    <t>0329200062219002855</t>
  </si>
  <si>
    <t>3448043330</t>
  </si>
  <si>
    <t>3461055832</t>
  </si>
  <si>
    <t>2329010447</t>
  </si>
  <si>
    <t>0118100002719000016</t>
  </si>
  <si>
    <t>Гулькевичский район</t>
  </si>
  <si>
    <t>232907647260</t>
  </si>
  <si>
    <t>032383655890</t>
  </si>
  <si>
    <t>2363000784</t>
  </si>
  <si>
    <t>4403001533</t>
  </si>
  <si>
    <t>0141100004519000006</t>
  </si>
  <si>
    <t>4403004171</t>
  </si>
  <si>
    <t>4826068419</t>
  </si>
  <si>
    <t>0146100009419000015</t>
  </si>
  <si>
    <t>4826002182</t>
  </si>
  <si>
    <t>0163300029419000867</t>
  </si>
  <si>
    <t>0190300000219000305</t>
  </si>
  <si>
    <t>4501032522</t>
  </si>
  <si>
    <t>31908091500</t>
  </si>
  <si>
    <t>0306200010219000412</t>
  </si>
  <si>
    <t>540123954976</t>
  </si>
  <si>
    <t>0146100009419000016</t>
  </si>
  <si>
    <t>0372200263319000027</t>
  </si>
  <si>
    <t>0319100006519000055</t>
  </si>
  <si>
    <t>0127100010019000019</t>
  </si>
  <si>
    <t>0160100006519000006</t>
  </si>
  <si>
    <t>0346300005119000016</t>
  </si>
  <si>
    <t>0362300220919000003</t>
  </si>
  <si>
    <t>6632015524</t>
  </si>
  <si>
    <t>6632015490</t>
  </si>
  <si>
    <t>6632008358</t>
  </si>
  <si>
    <t>6632015482</t>
  </si>
  <si>
    <t>31908090769</t>
  </si>
  <si>
    <t>0319100006519000056</t>
  </si>
  <si>
    <t>8602002377</t>
  </si>
  <si>
    <t>0387200017419000015</t>
  </si>
  <si>
    <t>5920012422</t>
  </si>
  <si>
    <t>31908091020</t>
  </si>
  <si>
    <t>0339100007419000033</t>
  </si>
  <si>
    <t>0163300029419000866</t>
  </si>
  <si>
    <t>6335006742</t>
  </si>
  <si>
    <t>0342300119019000021</t>
  </si>
  <si>
    <t>Чапаевск</t>
  </si>
  <si>
    <t>6318032830</t>
  </si>
  <si>
    <t>3912011005</t>
  </si>
  <si>
    <t>31908092032</t>
  </si>
  <si>
    <t>7724848373</t>
  </si>
  <si>
    <t>0373200602519000002</t>
  </si>
  <si>
    <t>7728329080</t>
  </si>
  <si>
    <t>0257001528</t>
  </si>
  <si>
    <t>0301100005819000003</t>
  </si>
  <si>
    <t>Бирский район</t>
  </si>
  <si>
    <t>025702434258</t>
  </si>
  <si>
    <t>0362300002719000178</t>
  </si>
  <si>
    <t>4250003450</t>
  </si>
  <si>
    <t>31908090738</t>
  </si>
  <si>
    <t>8903019871</t>
  </si>
  <si>
    <t>31908090864</t>
  </si>
  <si>
    <t>[ОКПД2 21.20] Препараты лекарственные и материалы, применяемые в медицинских целях, [ОКВЭД2 21.20] Производство лекарственных препаратов и материалов, применяемых в медицинских целях</t>
  </si>
  <si>
    <t>0573100025919000167</t>
  </si>
  <si>
    <t>5503176151</t>
  </si>
  <si>
    <t>5908030009</t>
  </si>
  <si>
    <t>31908092916</t>
  </si>
  <si>
    <t>1658098188</t>
  </si>
  <si>
    <t>BP00307156</t>
  </si>
  <si>
    <t>1215026836</t>
  </si>
  <si>
    <t>31908090591</t>
  </si>
  <si>
    <t>31908090573</t>
  </si>
  <si>
    <t>31908090579</t>
  </si>
  <si>
    <t>0835100001219000046</t>
  </si>
  <si>
    <t>0835100001219000047</t>
  </si>
  <si>
    <t>0835100001219000045</t>
  </si>
  <si>
    <t>0162200011819001842</t>
  </si>
  <si>
    <t>6626003263</t>
  </si>
  <si>
    <t>6626009850</t>
  </si>
  <si>
    <t>6626009515</t>
  </si>
  <si>
    <t>6626009522</t>
  </si>
  <si>
    <t>6626009868</t>
  </si>
  <si>
    <t>6626009988</t>
  </si>
  <si>
    <t>6626009811</t>
  </si>
  <si>
    <t>6626009554</t>
  </si>
  <si>
    <t>31908090547</t>
  </si>
  <si>
    <t>0411112575</t>
  </si>
  <si>
    <t>0377300028719000056</t>
  </si>
  <si>
    <t>0411020726</t>
  </si>
  <si>
    <t>6409001519</t>
  </si>
  <si>
    <t>0860200000819008075</t>
  </si>
  <si>
    <t>6409905105</t>
  </si>
  <si>
    <t>31908090481</t>
  </si>
  <si>
    <t>31908090003</t>
  </si>
  <si>
    <t>7704009700</t>
  </si>
  <si>
    <t>31908090325</t>
  </si>
  <si>
    <t>0373200001919000175</t>
  </si>
  <si>
    <t>7714692688</t>
  </si>
  <si>
    <t>ATOM11071900362</t>
  </si>
  <si>
    <t>6633006699</t>
  </si>
  <si>
    <t>31908089544</t>
  </si>
  <si>
    <t>6453056179</t>
  </si>
  <si>
    <t>0860200000819008065</t>
  </si>
  <si>
    <t>645200349400</t>
  </si>
  <si>
    <t>6454085937</t>
  </si>
  <si>
    <t>1833017064</t>
  </si>
  <si>
    <t>0813500000119007561</t>
  </si>
  <si>
    <t>1831153840</t>
  </si>
  <si>
    <t>7805018099</t>
  </si>
  <si>
    <t>31908089987</t>
  </si>
  <si>
    <t>7733150673</t>
  </si>
  <si>
    <t>0373200017319000389</t>
  </si>
  <si>
    <t>6678089582</t>
  </si>
  <si>
    <t>31908089378</t>
  </si>
  <si>
    <t>3662006088</t>
  </si>
  <si>
    <t>0131200001019003583</t>
  </si>
  <si>
    <t>0104005701</t>
  </si>
  <si>
    <t>0376100005419000019</t>
  </si>
  <si>
    <t>Майкопский</t>
  </si>
  <si>
    <t>7021020508</t>
  </si>
  <si>
    <t>0165300010519000697</t>
  </si>
  <si>
    <t>0376100005419000018</t>
  </si>
  <si>
    <t>6632015475</t>
  </si>
  <si>
    <t>31908088578</t>
  </si>
  <si>
    <t>5908016244</t>
  </si>
  <si>
    <t>31908088491</t>
  </si>
  <si>
    <t>4704035744</t>
  </si>
  <si>
    <t>0845300015019000387</t>
  </si>
  <si>
    <t>2727001498</t>
  </si>
  <si>
    <t>0322100014519000032</t>
  </si>
  <si>
    <t>0369100013819000019</t>
  </si>
  <si>
    <t>Ашинский район</t>
  </si>
  <si>
    <t>0149200002319004548</t>
  </si>
  <si>
    <t>5193600138</t>
  </si>
  <si>
    <t>31908088714</t>
  </si>
  <si>
    <t>0187200001719000596</t>
  </si>
  <si>
    <t>3231006118</t>
  </si>
  <si>
    <t>0327300072719000002</t>
  </si>
  <si>
    <t>966148</t>
  </si>
  <si>
    <t>0372200240619000029</t>
  </si>
  <si>
    <t>0848300066119000432</t>
  </si>
  <si>
    <t>5044083677</t>
  </si>
  <si>
    <t>7841414193</t>
  </si>
  <si>
    <t>0372200000719000034</t>
  </si>
  <si>
    <t>7839355864</t>
  </si>
  <si>
    <t>0345100004919000007</t>
  </si>
  <si>
    <t>8619015247</t>
  </si>
  <si>
    <t>0187300001719000408</t>
  </si>
  <si>
    <t>5406228816</t>
  </si>
  <si>
    <t>31908087374</t>
  </si>
  <si>
    <t>4704049680</t>
  </si>
  <si>
    <t>0845300015019000393</t>
  </si>
  <si>
    <t>8107008215</t>
  </si>
  <si>
    <t>0856600000719000114</t>
  </si>
  <si>
    <t>6452006471</t>
  </si>
  <si>
    <t>0360100030519000581</t>
  </si>
  <si>
    <t>643301668102</t>
  </si>
  <si>
    <t>0158100013919000007</t>
  </si>
  <si>
    <t>3231006132</t>
  </si>
  <si>
    <t>0327300072319000003</t>
  </si>
  <si>
    <t>0372200141819000051</t>
  </si>
  <si>
    <t>0880100000319000005</t>
  </si>
  <si>
    <t>190206758790</t>
  </si>
  <si>
    <t>5031036207</t>
  </si>
  <si>
    <t>775451</t>
  </si>
  <si>
    <t>31908087651</t>
  </si>
  <si>
    <t>0369100047419000089</t>
  </si>
  <si>
    <t>740304540813</t>
  </si>
  <si>
    <t>0123100009219000011</t>
  </si>
  <si>
    <t>5751053076</t>
  </si>
  <si>
    <t>0154200000719001018</t>
  </si>
  <si>
    <t>5720010883</t>
  </si>
  <si>
    <t>0361100009119000010</t>
  </si>
  <si>
    <t>5008045309</t>
  </si>
  <si>
    <t>775476</t>
  </si>
  <si>
    <t>104883</t>
  </si>
  <si>
    <t>7203216992</t>
  </si>
  <si>
    <t>31908087621</t>
  </si>
  <si>
    <t>6154058393</t>
  </si>
  <si>
    <t>965959</t>
  </si>
  <si>
    <t>0319300002719000006</t>
  </si>
  <si>
    <t>2448005630</t>
  </si>
  <si>
    <t>8617014840</t>
  </si>
  <si>
    <t>965801</t>
  </si>
  <si>
    <t>775420</t>
  </si>
  <si>
    <t>0311000250</t>
  </si>
  <si>
    <t>0102200001619002899</t>
  </si>
  <si>
    <t>031100489001</t>
  </si>
  <si>
    <t>1413001368</t>
  </si>
  <si>
    <t>0816500000619009723</t>
  </si>
  <si>
    <t>141300060787</t>
  </si>
  <si>
    <t>7703020645</t>
  </si>
  <si>
    <t>0373100051319000043</t>
  </si>
  <si>
    <t>7727061249</t>
  </si>
  <si>
    <t>7716182210</t>
  </si>
  <si>
    <t>0162100019219000002</t>
  </si>
  <si>
    <t>3820008228</t>
  </si>
  <si>
    <t>0134100009819000008</t>
  </si>
  <si>
    <t>Черемхово</t>
  </si>
  <si>
    <t>3820014380</t>
  </si>
  <si>
    <t>6162019327</t>
  </si>
  <si>
    <t>100192267119000046</t>
  </si>
  <si>
    <t>2404012527</t>
  </si>
  <si>
    <t>0319100014819000037</t>
  </si>
  <si>
    <t>7712037564</t>
  </si>
  <si>
    <t>0173100007319000011</t>
  </si>
  <si>
    <t>0134100009819000007</t>
  </si>
  <si>
    <t>7805068269</t>
  </si>
  <si>
    <t>0372200272719000004</t>
  </si>
  <si>
    <t>5001106672</t>
  </si>
  <si>
    <t>0848300064119000294</t>
  </si>
  <si>
    <t>590200034569</t>
  </si>
  <si>
    <t>773708253706</t>
  </si>
  <si>
    <t>0380100008819000014</t>
  </si>
  <si>
    <t>0380100008819000012</t>
  </si>
  <si>
    <t>7205026316</t>
  </si>
  <si>
    <t>31908086596</t>
  </si>
  <si>
    <t>0318200017019000084</t>
  </si>
  <si>
    <t>31908087218</t>
  </si>
  <si>
    <t>0123200000319002076</t>
  </si>
  <si>
    <t>0320300105419000017</t>
  </si>
  <si>
    <t>0320300105419000016</t>
  </si>
  <si>
    <t>2463004140</t>
  </si>
  <si>
    <t>100293781119000091</t>
  </si>
  <si>
    <t>0320300105519000008</t>
  </si>
  <si>
    <t>0320300105619000007</t>
  </si>
  <si>
    <t>7724675770</t>
  </si>
  <si>
    <t>2571010</t>
  </si>
  <si>
    <t>[ОКПД2 10.51] Молоко и молочная продукция, [ОКПД2 56.29] Услуги по обеспечению питанием прочие</t>
  </si>
  <si>
    <t>3808115008</t>
  </si>
  <si>
    <t>0334100010819000073</t>
  </si>
  <si>
    <t>3812151908</t>
  </si>
  <si>
    <t>0320300106319000007</t>
  </si>
  <si>
    <t>0326100010519000078</t>
  </si>
  <si>
    <t>4217017039</t>
  </si>
  <si>
    <t>0139200000119005198</t>
  </si>
  <si>
    <t>0161100007319000014</t>
  </si>
  <si>
    <t>0356100005619000022</t>
  </si>
  <si>
    <t>100133799119000010</t>
  </si>
  <si>
    <t>4101000452</t>
  </si>
  <si>
    <t>31908085771</t>
  </si>
  <si>
    <t>5101700801</t>
  </si>
  <si>
    <t>0349300001719000161</t>
  </si>
  <si>
    <t>510100252481</t>
  </si>
  <si>
    <t>0146100001019000111</t>
  </si>
  <si>
    <t>7411006957</t>
  </si>
  <si>
    <t>0869200000219002159</t>
  </si>
  <si>
    <t>7451300289</t>
  </si>
  <si>
    <t>8910004481</t>
  </si>
  <si>
    <t>0190300000719000680</t>
  </si>
  <si>
    <t>8910005365</t>
  </si>
  <si>
    <t>0190300000719000679</t>
  </si>
  <si>
    <t>0191100010719000004</t>
  </si>
  <si>
    <t>0190300000719000678</t>
  </si>
  <si>
    <t>0278014912</t>
  </si>
  <si>
    <t>0301100001219000009</t>
  </si>
  <si>
    <t>6103005347</t>
  </si>
  <si>
    <t>962603</t>
  </si>
  <si>
    <t>5405442038</t>
  </si>
  <si>
    <t>964080</t>
  </si>
  <si>
    <t>BP00306789</t>
  </si>
  <si>
    <t>7708197861</t>
  </si>
  <si>
    <t>100313827119000022</t>
  </si>
  <si>
    <t>31908083899</t>
  </si>
  <si>
    <t>4611001767</t>
  </si>
  <si>
    <t>0344200022919000022</t>
  </si>
  <si>
    <t>Фатежский район</t>
  </si>
  <si>
    <t>462500039880</t>
  </si>
  <si>
    <t>31908085400</t>
  </si>
  <si>
    <t>0272100000119000228</t>
  </si>
  <si>
    <t>5322004369</t>
  </si>
  <si>
    <t>5720008940</t>
  </si>
  <si>
    <t>4611002070</t>
  </si>
  <si>
    <t>0144200002419000885</t>
  </si>
  <si>
    <t>4632161296</t>
  </si>
  <si>
    <t>0344200022919000020</t>
  </si>
  <si>
    <t>780224077835</t>
  </si>
  <si>
    <t>0348100070619000137</t>
  </si>
  <si>
    <t>0124200000619003510</t>
  </si>
  <si>
    <t>2915003353</t>
  </si>
  <si>
    <t>0865200000319001242</t>
  </si>
  <si>
    <t>0348100070619000136</t>
  </si>
  <si>
    <t>0123200000319002065</t>
  </si>
  <si>
    <t>2901237175</t>
  </si>
  <si>
    <t>31908085155</t>
  </si>
  <si>
    <t>0344200022919000021</t>
  </si>
  <si>
    <t>3302004871</t>
  </si>
  <si>
    <t>0328100015019000009</t>
  </si>
  <si>
    <t>332900398836</t>
  </si>
  <si>
    <t>332805554161</t>
  </si>
  <si>
    <t>6141013187</t>
  </si>
  <si>
    <t>0158300044819000097</t>
  </si>
  <si>
    <t>Батайск</t>
  </si>
  <si>
    <t>6141025961</t>
  </si>
  <si>
    <t>2465059770</t>
  </si>
  <si>
    <t>31908083487</t>
  </si>
  <si>
    <t>0119100008619000019</t>
  </si>
  <si>
    <t>2453001687</t>
  </si>
  <si>
    <t>775017</t>
  </si>
  <si>
    <t>0348100070619000138</t>
  </si>
  <si>
    <t>0319100014819000036</t>
  </si>
  <si>
    <t>0820300000519000004</t>
  </si>
  <si>
    <t>2503019964</t>
  </si>
  <si>
    <t>2503020423</t>
  </si>
  <si>
    <t>2503020462</t>
  </si>
  <si>
    <t>2503020293</t>
  </si>
  <si>
    <t>2503020430</t>
  </si>
  <si>
    <t>31908085178</t>
  </si>
  <si>
    <t>[ОКПД2 55.10] Услуги гостиниц и аналогичные услуги по предоставлению временного жилья, [ОКПД2 56.2+] Услуги по поставке продукции общественного питания и обслуживанию торжественных мероприятий и прочие услуги по обеспечению питанием, [ОКВЭД2 56.29] Деятельность предприятий общественного питания по прочим видам организации питания, [ОКВЭД2 55.10] Деятельность гостиниц и прочих мест для временного проживания</t>
  </si>
  <si>
    <t>0356300005519000091</t>
  </si>
  <si>
    <t>2337016636</t>
  </si>
  <si>
    <t>0318100018019000013</t>
  </si>
  <si>
    <t>301302991407</t>
  </si>
  <si>
    <t>0369100014019000014</t>
  </si>
  <si>
    <t>8102002386</t>
  </si>
  <si>
    <t>0356300127119000002</t>
  </si>
  <si>
    <t>5939000822</t>
  </si>
  <si>
    <t>0156300027519000029</t>
  </si>
  <si>
    <t>0141100006819000008</t>
  </si>
  <si>
    <t>9901006861</t>
  </si>
  <si>
    <t>0348100062019000222</t>
  </si>
  <si>
    <t>0836600003319000490</t>
  </si>
  <si>
    <t>6902027869</t>
  </si>
  <si>
    <t>6902027876</t>
  </si>
  <si>
    <t>6902027643</t>
  </si>
  <si>
    <t>31908085415</t>
  </si>
  <si>
    <t>3914011191</t>
  </si>
  <si>
    <t>3914010977</t>
  </si>
  <si>
    <t>3914011441</t>
  </si>
  <si>
    <t>3914011226</t>
  </si>
  <si>
    <t>3914011258</t>
  </si>
  <si>
    <t>3914011723</t>
  </si>
  <si>
    <t>3914011314</t>
  </si>
  <si>
    <t>3914011593</t>
  </si>
  <si>
    <t>3914011466</t>
  </si>
  <si>
    <t>3914012188</t>
  </si>
  <si>
    <t>3914021432</t>
  </si>
  <si>
    <t>4207019069</t>
  </si>
  <si>
    <t>31908083106</t>
  </si>
  <si>
    <t>5603013383</t>
  </si>
  <si>
    <t>31908083887</t>
  </si>
  <si>
    <t>0222100000219000212</t>
  </si>
  <si>
    <t>2540009788</t>
  </si>
  <si>
    <t>31908081418</t>
  </si>
  <si>
    <t>[ОКПД2 33.20] Услуги по монтажу промышленных машин и оборудования, [ОКПД2 28.93] Оборудование для производства пищевых продуктов, напитков и табачных изделий, [ОКВЭД2 33.2+] Монтаж промышленных машин и оборудования, [ОКВЭД2 46.15] Деятельность агентов по оптовой торговле мебелью, бытовыми товарами, скобяными, ножевыми и прочими металлическими изделиями</t>
  </si>
  <si>
    <t>6647002687</t>
  </si>
  <si>
    <t>0362300205519000003</t>
  </si>
  <si>
    <t>664700958030</t>
  </si>
  <si>
    <t>31908084587</t>
  </si>
  <si>
    <t>2423004296</t>
  </si>
  <si>
    <t>0319100015219000017</t>
  </si>
  <si>
    <t>Курагинский район</t>
  </si>
  <si>
    <t>2423000894</t>
  </si>
  <si>
    <t>1435123585</t>
  </si>
  <si>
    <t>0116300000119000694</t>
  </si>
  <si>
    <t>143500260554</t>
  </si>
  <si>
    <t>0334100007019000025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</si>
  <si>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10.12] Мясо сельскохозяйственной птицы и прочие продукты убоя, включая консервированные</t>
  </si>
  <si>
    <t>4715016140</t>
  </si>
  <si>
    <t>0145300009619000355</t>
  </si>
  <si>
    <t>7813187735</t>
  </si>
  <si>
    <t>31908084341</t>
  </si>
  <si>
    <t>6167013449</t>
  </si>
  <si>
    <t>0358200018819000007</t>
  </si>
  <si>
    <t>235001918661</t>
  </si>
  <si>
    <t>0820300000519000003</t>
  </si>
  <si>
    <t>2503019690</t>
  </si>
  <si>
    <t>2503020448</t>
  </si>
  <si>
    <t>2503020455</t>
  </si>
  <si>
    <t>7017021690</t>
  </si>
  <si>
    <t>31908082935</t>
  </si>
  <si>
    <t>1435123514</t>
  </si>
  <si>
    <t>0116300000119000695</t>
  </si>
  <si>
    <t>Т-184-19</t>
  </si>
  <si>
    <t>0319100015219000015</t>
  </si>
  <si>
    <t>7735574607</t>
  </si>
  <si>
    <t>31908083981</t>
  </si>
  <si>
    <t>[ОКПД2 10.86] Продукция детского питания и диетическая, [ОКВЭД2 10.86] Производство детского питания и диетических пищевых продуктов</t>
  </si>
  <si>
    <t>7727086772</t>
  </si>
  <si>
    <t>31908083930</t>
  </si>
  <si>
    <t>7536039588</t>
  </si>
  <si>
    <t>0391300029819000052</t>
  </si>
  <si>
    <t>7536046095</t>
  </si>
  <si>
    <t>0173100003219000056</t>
  </si>
  <si>
    <t>3803202497</t>
  </si>
  <si>
    <t>0134300025819000261</t>
  </si>
  <si>
    <t>3811437855</t>
  </si>
  <si>
    <t>0306300009919000105</t>
  </si>
  <si>
    <t>5036087156</t>
  </si>
  <si>
    <t>774735</t>
  </si>
  <si>
    <t>6832024621</t>
  </si>
  <si>
    <t>31908083392</t>
  </si>
  <si>
    <t>0107100003519000207</t>
  </si>
  <si>
    <t>0319100014819000035</t>
  </si>
  <si>
    <t>0148100002419000058</t>
  </si>
  <si>
    <t>2209021091</t>
  </si>
  <si>
    <t>0317100026719000028</t>
  </si>
  <si>
    <t>2223615844</t>
  </si>
  <si>
    <t>665803194607</t>
  </si>
  <si>
    <t>2208047770</t>
  </si>
  <si>
    <t>2465040850</t>
  </si>
  <si>
    <t>31908081615</t>
  </si>
  <si>
    <t>0222100000219000208</t>
  </si>
  <si>
    <t>0168200002419005308</t>
  </si>
  <si>
    <t>7325139390</t>
  </si>
  <si>
    <t>0820300000519000002</t>
  </si>
  <si>
    <t>2503020550</t>
  </si>
  <si>
    <t>2503020286</t>
  </si>
  <si>
    <t>2503020303</t>
  </si>
  <si>
    <t>0148100002419000060</t>
  </si>
  <si>
    <t>0260100000619000125</t>
  </si>
  <si>
    <t>2304003215</t>
  </si>
  <si>
    <t>0148100002419000059</t>
  </si>
  <si>
    <t>0148100002419000061</t>
  </si>
  <si>
    <t>5014003427</t>
  </si>
  <si>
    <t>0348300211719000151</t>
  </si>
  <si>
    <t>Зарайск</t>
  </si>
  <si>
    <t>5022057240</t>
  </si>
  <si>
    <t>5036129416</t>
  </si>
  <si>
    <t>774596</t>
  </si>
  <si>
    <t>962370</t>
  </si>
  <si>
    <t>[ОКПД2 10.61] Продукция мукомольно-крупяного производства, [ОКПД2 10.82] Какао, шоколад и изделия кондитерские сахаристые, [ОКПД2 10.73] Изделия макаронные, кускус и аналогичные мучные изделия, [ОКПД2 10.83] Чай и кофе обработанные, [ОКПД2 10.89] Продукты пищевые прочие, не включенные в другие группировки</t>
  </si>
  <si>
    <t>0107100003519000206</t>
  </si>
  <si>
    <t>0348300211719000150</t>
  </si>
  <si>
    <t>5011035710</t>
  </si>
  <si>
    <t>962075</t>
  </si>
  <si>
    <t>1325126625</t>
  </si>
  <si>
    <t>0809500000319001383</t>
  </si>
  <si>
    <t>7731345620</t>
  </si>
  <si>
    <t>0875300029419000321</t>
  </si>
  <si>
    <t>9102068131</t>
  </si>
  <si>
    <t>9102068050</t>
  </si>
  <si>
    <t>9102068607</t>
  </si>
  <si>
    <t>9102069030</t>
  </si>
  <si>
    <t>9102067963</t>
  </si>
  <si>
    <t>9102066737</t>
  </si>
  <si>
    <t>9102068741</t>
  </si>
  <si>
    <t>9102068597</t>
  </si>
  <si>
    <t>9102159981</t>
  </si>
  <si>
    <t>9102068477</t>
  </si>
  <si>
    <t>9102068526</t>
  </si>
  <si>
    <t>9102219599</t>
  </si>
  <si>
    <t>0875300029419000324</t>
  </si>
  <si>
    <t>9102068205</t>
  </si>
  <si>
    <t>9102162462</t>
  </si>
  <si>
    <t>9102160063</t>
  </si>
  <si>
    <t>9102158138</t>
  </si>
  <si>
    <t>9102066913</t>
  </si>
  <si>
    <t>9102070476</t>
  </si>
  <si>
    <t>9102068340</t>
  </si>
  <si>
    <t>9102070109</t>
  </si>
  <si>
    <t>9102068580</t>
  </si>
  <si>
    <t>9102068004</t>
  </si>
  <si>
    <t>9102070483</t>
  </si>
  <si>
    <t>9102068237</t>
  </si>
  <si>
    <t>0809500000319001384</t>
  </si>
  <si>
    <t>0875300029419000322</t>
  </si>
  <si>
    <t>9102069368</t>
  </si>
  <si>
    <t>9102066590</t>
  </si>
  <si>
    <t>9102067900</t>
  </si>
  <si>
    <t>9102157832</t>
  </si>
  <si>
    <t>9102068406</t>
  </si>
  <si>
    <t>9102067995</t>
  </si>
  <si>
    <t>9102070275</t>
  </si>
  <si>
    <t>9102068300</t>
  </si>
  <si>
    <t>9102159244</t>
  </si>
  <si>
    <t>0875300029419000323</t>
  </si>
  <si>
    <t>9102067956</t>
  </si>
  <si>
    <t>9102070035</t>
  </si>
  <si>
    <t>9102068011</t>
  </si>
  <si>
    <t>9102155183</t>
  </si>
  <si>
    <t>9102068653</t>
  </si>
  <si>
    <t>9102066582</t>
  </si>
  <si>
    <t>9102066720</t>
  </si>
  <si>
    <t>9102068621</t>
  </si>
  <si>
    <t>9102069181</t>
  </si>
  <si>
    <t>9102067882</t>
  </si>
  <si>
    <t>9102068678</t>
  </si>
  <si>
    <t>962185</t>
  </si>
  <si>
    <t>0318300170419000214</t>
  </si>
  <si>
    <t>0267002680</t>
  </si>
  <si>
    <t>0301100012919000005</t>
  </si>
  <si>
    <t>Сибай</t>
  </si>
  <si>
    <t>0270007455</t>
  </si>
  <si>
    <t>0318300170419000213</t>
  </si>
  <si>
    <t>961793</t>
  </si>
  <si>
    <t>0146100009419000013</t>
  </si>
  <si>
    <t>6335004520</t>
  </si>
  <si>
    <t>0142100004019000004</t>
  </si>
  <si>
    <t>633500176469</t>
  </si>
  <si>
    <t>6330030928</t>
  </si>
  <si>
    <t>5603044938</t>
  </si>
  <si>
    <t>0853500000319007309</t>
  </si>
  <si>
    <t>2377001749</t>
  </si>
  <si>
    <t>0142100004019000003</t>
  </si>
  <si>
    <t>961705</t>
  </si>
  <si>
    <t>0146100009419000012</t>
  </si>
  <si>
    <t>4826136838</t>
  </si>
  <si>
    <t>961580</t>
  </si>
  <si>
    <t>961619</t>
  </si>
  <si>
    <t>100284652119000005</t>
  </si>
  <si>
    <t>[ОКПД2 95.21] Услуги по ремонту приборов бытовой электроники</t>
  </si>
  <si>
    <t>100119971119000017</t>
  </si>
  <si>
    <t>2019-730612</t>
  </si>
  <si>
    <t>BP00305774</t>
  </si>
  <si>
    <t>BP00305770</t>
  </si>
  <si>
    <t>31908078822</t>
  </si>
  <si>
    <t>1215132224</t>
  </si>
  <si>
    <t>31908081205</t>
  </si>
  <si>
    <t>31908081137</t>
  </si>
  <si>
    <t>31908081032</t>
  </si>
  <si>
    <t>2462012678</t>
  </si>
  <si>
    <t>31908079549</t>
  </si>
  <si>
    <t>31908080991</t>
  </si>
  <si>
    <t>31908077191</t>
  </si>
  <si>
    <t>5624002417</t>
  </si>
  <si>
    <t>0853500000319007290</t>
  </si>
  <si>
    <t>Бугурусланский район</t>
  </si>
  <si>
    <t>7806084739</t>
  </si>
  <si>
    <t>7801517883</t>
  </si>
  <si>
    <t>5624021113</t>
  </si>
  <si>
    <t>7743046544</t>
  </si>
  <si>
    <t>7730710704</t>
  </si>
  <si>
    <t>0372200240619000028</t>
  </si>
  <si>
    <t>7604253720</t>
  </si>
  <si>
    <t>31908080995</t>
  </si>
  <si>
    <t>31908080926</t>
  </si>
  <si>
    <t>7718229520</t>
  </si>
  <si>
    <t>0373200006219001175</t>
  </si>
  <si>
    <t>0853500000319007265</t>
  </si>
  <si>
    <t>31908080835</t>
  </si>
  <si>
    <t>0365300032719000064</t>
  </si>
  <si>
    <t>31908080198</t>
  </si>
  <si>
    <t>31908080489</t>
  </si>
  <si>
    <t>104624</t>
  </si>
  <si>
    <t>0337100014719000010</t>
  </si>
  <si>
    <t>5957006383</t>
  </si>
  <si>
    <t>0156300049619000062</t>
  </si>
  <si>
    <t>0144100005719000005</t>
  </si>
  <si>
    <t>7204165518</t>
  </si>
  <si>
    <t>0367100025719000007</t>
  </si>
  <si>
    <t>Нижнетавдинский район</t>
  </si>
  <si>
    <t>890506823311</t>
  </si>
  <si>
    <t>0348100027019000011</t>
  </si>
  <si>
    <t>0272100000119000226</t>
  </si>
  <si>
    <t>0725003785</t>
  </si>
  <si>
    <t>3102004786</t>
  </si>
  <si>
    <t>0126300029119000517</t>
  </si>
  <si>
    <t>3123029196</t>
  </si>
  <si>
    <t>31908080139</t>
  </si>
  <si>
    <t>[ОКПД2 52.23] Услуги вспомогательные, связанные с воздушным и космическим транспортом, [ОКВЭД2 56.29] Деятельность предприятий общественного питания по прочим видам организации питания</t>
  </si>
  <si>
    <t>7712022913</t>
  </si>
  <si>
    <t>31908079976</t>
  </si>
  <si>
    <t>6732008094</t>
  </si>
  <si>
    <t>0163200000319004843</t>
  </si>
  <si>
    <t>6731079769</t>
  </si>
  <si>
    <t>673100918739</t>
  </si>
  <si>
    <t>870100333835</t>
  </si>
  <si>
    <t>1623002382</t>
  </si>
  <si>
    <t>0311100000719000011</t>
  </si>
  <si>
    <t>162300798522</t>
  </si>
  <si>
    <t>31908080078</t>
  </si>
  <si>
    <t>5918002628</t>
  </si>
  <si>
    <t>0156300034719000029</t>
  </si>
  <si>
    <t>591800029019</t>
  </si>
  <si>
    <t>0836600003319000486</t>
  </si>
  <si>
    <t>6905062484</t>
  </si>
  <si>
    <t>6905064259</t>
  </si>
  <si>
    <t>6376000683</t>
  </si>
  <si>
    <t>100056149119000010</t>
  </si>
  <si>
    <t>0311100000719000010</t>
  </si>
  <si>
    <t>97417</t>
  </si>
  <si>
    <t>15487</t>
  </si>
  <si>
    <t>100056149119000009</t>
  </si>
  <si>
    <t>6622002371</t>
  </si>
  <si>
    <t>0362300326219000061</t>
  </si>
  <si>
    <t>6623129701</t>
  </si>
  <si>
    <t>3201001909</t>
  </si>
  <si>
    <t>0127300013119000465</t>
  </si>
  <si>
    <t>3257034110</t>
  </si>
  <si>
    <t>3844002923</t>
  </si>
  <si>
    <t>0134400000119000009</t>
  </si>
  <si>
    <t>3815013720</t>
  </si>
  <si>
    <t>7328041466</t>
  </si>
  <si>
    <t>0368300000119000637</t>
  </si>
  <si>
    <t>0334100012819000050</t>
  </si>
  <si>
    <t>[ОКПД2 10.81] Сахар, [ОКПД2 20.13] Вещества химические неорганические основные прочие, [ОКПД2 10.51] Молоко и молочная продукция, [ОКПД2 10.41] Масла и жиры, [ОКПД2 10.61] Продукция мукомольно-крупяного производства, [ОКПД2 10.89] Продукты пищевые прочие, не включенные в другие группировки, [ОКПД2 10.84] Приправы и пряности</t>
  </si>
  <si>
    <t>7423003358</t>
  </si>
  <si>
    <t>0369100013419000013</t>
  </si>
  <si>
    <t>Снежинск</t>
  </si>
  <si>
    <t>742300434590</t>
  </si>
  <si>
    <t>2804009568</t>
  </si>
  <si>
    <t>31908076899</t>
  </si>
  <si>
    <t>[ОКПД2 96.04] Услуги в области физкультурно-оздоровительной деятельности, [ОКВЭД2 96.04] Деятельность физкультурно- оздоровительная</t>
  </si>
  <si>
    <t>0372100003419000516</t>
  </si>
  <si>
    <t>7804472253</t>
  </si>
  <si>
    <t>7842452561</t>
  </si>
  <si>
    <t>7726627740</t>
  </si>
  <si>
    <t>0119100014819000016</t>
  </si>
  <si>
    <t>0369100013419000012</t>
  </si>
  <si>
    <t>31908078055</t>
  </si>
  <si>
    <t>3329009147</t>
  </si>
  <si>
    <t>0328200001719000070</t>
  </si>
  <si>
    <t>0356100005619000021</t>
  </si>
  <si>
    <t>0119100014819000015</t>
  </si>
  <si>
    <t>2449002952</t>
  </si>
  <si>
    <t>8602000852</t>
  </si>
  <si>
    <t>0387200017819000026</t>
  </si>
  <si>
    <t>860235303660</t>
  </si>
  <si>
    <t>0119100014819000012</t>
  </si>
  <si>
    <t>2464206936</t>
  </si>
  <si>
    <t>5438103337</t>
  </si>
  <si>
    <t>100188833119000019</t>
  </si>
  <si>
    <t>3664063571</t>
  </si>
  <si>
    <t>100138576119000007</t>
  </si>
  <si>
    <t>2903004120</t>
  </si>
  <si>
    <t>0124200000619003450</t>
  </si>
  <si>
    <t>2901287747</t>
  </si>
  <si>
    <t>5612018444</t>
  </si>
  <si>
    <t>0853500000319007269</t>
  </si>
  <si>
    <t>7726665801</t>
  </si>
  <si>
    <t>100240769119000034</t>
  </si>
  <si>
    <t>5649000838</t>
  </si>
  <si>
    <t>0853500000319007253</t>
  </si>
  <si>
    <t>100148858119000005</t>
  </si>
  <si>
    <t>0136100011319000006</t>
  </si>
  <si>
    <t>5045026150</t>
  </si>
  <si>
    <t>773906</t>
  </si>
  <si>
    <t>Ступинский район</t>
  </si>
  <si>
    <t>0836600003319000484</t>
  </si>
  <si>
    <t>6902026801</t>
  </si>
  <si>
    <t>6902025149</t>
  </si>
  <si>
    <t>958648</t>
  </si>
  <si>
    <t>100185408119000032</t>
  </si>
  <si>
    <t>0408000198</t>
  </si>
  <si>
    <t>100281330119000006</t>
  </si>
  <si>
    <t>Майминский район</t>
  </si>
  <si>
    <t>5954001933</t>
  </si>
  <si>
    <t>31908076504</t>
  </si>
  <si>
    <t>773782</t>
  </si>
  <si>
    <t>31908074485</t>
  </si>
  <si>
    <t>0387100018119000005</t>
  </si>
  <si>
    <t>0372200000719000031</t>
  </si>
  <si>
    <t>0268020890</t>
  </si>
  <si>
    <t>0301200023019000005</t>
  </si>
  <si>
    <t>0268050333</t>
  </si>
  <si>
    <t>026806711980</t>
  </si>
  <si>
    <t>5033003006</t>
  </si>
  <si>
    <t>0148100000719000019</t>
  </si>
  <si>
    <t>0372200000719000033</t>
  </si>
  <si>
    <t>7840500636</t>
  </si>
  <si>
    <t>0122100002619000059</t>
  </si>
  <si>
    <t>0373200001919000158</t>
  </si>
  <si>
    <t>0119100014819000010</t>
  </si>
  <si>
    <t>0387100018119000004</t>
  </si>
  <si>
    <t>6658416070</t>
  </si>
  <si>
    <t>0862100000819000116</t>
  </si>
  <si>
    <t>0376100005419000017</t>
  </si>
  <si>
    <t>0119100014819000011</t>
  </si>
  <si>
    <t>0341300076419000024</t>
  </si>
  <si>
    <t>3618003514</t>
  </si>
  <si>
    <t>0131300043219000059</t>
  </si>
  <si>
    <t>Ольховатский район</t>
  </si>
  <si>
    <t>3627002771</t>
  </si>
  <si>
    <t>0376100005419000016</t>
  </si>
  <si>
    <t>0375300036419000110</t>
  </si>
  <si>
    <t>910810272934</t>
  </si>
  <si>
    <t>230104408102</t>
  </si>
  <si>
    <t>5032267863</t>
  </si>
  <si>
    <t>773641</t>
  </si>
  <si>
    <t>5012080105</t>
  </si>
  <si>
    <t>31908075354</t>
  </si>
  <si>
    <t>0373200085419000056</t>
  </si>
  <si>
    <t>7723670377</t>
  </si>
  <si>
    <t>7701270456</t>
  </si>
  <si>
    <t>7728212500</t>
  </si>
  <si>
    <t>7720417496</t>
  </si>
  <si>
    <t>0160100004119000008</t>
  </si>
  <si>
    <t>0151100003219000013</t>
  </si>
  <si>
    <t>540108754890</t>
  </si>
  <si>
    <t>31908074126</t>
  </si>
  <si>
    <t>957672</t>
  </si>
  <si>
    <t>9901006967</t>
  </si>
  <si>
    <t>0348100062019000218</t>
  </si>
  <si>
    <t>31908075373</t>
  </si>
  <si>
    <t>0160100004119000009</t>
  </si>
  <si>
    <t>6103005146</t>
  </si>
  <si>
    <t>957544</t>
  </si>
  <si>
    <t>31908075182</t>
  </si>
  <si>
    <t>2442003700</t>
  </si>
  <si>
    <t>0319100022419000022</t>
  </si>
  <si>
    <t>Шушенский район</t>
  </si>
  <si>
    <t>244203468515</t>
  </si>
  <si>
    <t>5609035979</t>
  </si>
  <si>
    <t>31908074268</t>
  </si>
  <si>
    <t>31908075206</t>
  </si>
  <si>
    <t>6315576582</t>
  </si>
  <si>
    <t>15299</t>
  </si>
  <si>
    <t>0319100022419000023</t>
  </si>
  <si>
    <t>957204</t>
  </si>
  <si>
    <t>[ОКПД2 78.10] Услуги, предоставляемые агентствами по трудоустройству, [ОКВЭД2 78.10] Деятельность агентств по подбору персонала</t>
  </si>
  <si>
    <t>0106100004019000006</t>
  </si>
  <si>
    <t>0342100040819000015</t>
  </si>
  <si>
    <t>0342100040819000013</t>
  </si>
  <si>
    <t>31908073338</t>
  </si>
  <si>
    <t>0307200007619000011</t>
  </si>
  <si>
    <t>31908073150</t>
  </si>
  <si>
    <t>5613000457</t>
  </si>
  <si>
    <t>0353100012919000015</t>
  </si>
  <si>
    <t>Первомайский район</t>
  </si>
  <si>
    <t>5614073440</t>
  </si>
  <si>
    <t>561408131363</t>
  </si>
  <si>
    <t>0711035699</t>
  </si>
  <si>
    <t>0304300013419000015</t>
  </si>
  <si>
    <t>0130100005819000022</t>
  </si>
  <si>
    <t>0307200007619000010</t>
  </si>
  <si>
    <t>0252100003819000112</t>
  </si>
  <si>
    <t>5506206887</t>
  </si>
  <si>
    <t>5504071730</t>
  </si>
  <si>
    <t>550209021819</t>
  </si>
  <si>
    <t>5507262411</t>
  </si>
  <si>
    <t>5050027945</t>
  </si>
  <si>
    <t>773398</t>
  </si>
  <si>
    <t>0123200000319002015</t>
  </si>
  <si>
    <t>0125500000219000344</t>
  </si>
  <si>
    <t>956597</t>
  </si>
  <si>
    <t>31908073167</t>
  </si>
  <si>
    <t>5040037729</t>
  </si>
  <si>
    <t>0348200009419000012</t>
  </si>
  <si>
    <t>7718230356</t>
  </si>
  <si>
    <t>0373200006219001151</t>
  </si>
  <si>
    <t>1327028006</t>
  </si>
  <si>
    <t>2238002632</t>
  </si>
  <si>
    <t>956457</t>
  </si>
  <si>
    <t>Волчихинский район</t>
  </si>
  <si>
    <t>5505022598</t>
  </si>
  <si>
    <t>956493</t>
  </si>
  <si>
    <t>31908073670</t>
  </si>
  <si>
    <t>0411008373</t>
  </si>
  <si>
    <t>0177200000919001595</t>
  </si>
  <si>
    <t>0411156540</t>
  </si>
  <si>
    <t>0121100003419000031</t>
  </si>
  <si>
    <t>956444</t>
  </si>
  <si>
    <t>956285</t>
  </si>
  <si>
    <t>0846100001119000006</t>
  </si>
  <si>
    <t>0123200000319002013</t>
  </si>
  <si>
    <t>7724922443</t>
  </si>
  <si>
    <t>2724069628</t>
  </si>
  <si>
    <t>8602001856</t>
  </si>
  <si>
    <t>0387200017319000010</t>
  </si>
  <si>
    <t>0120100010319000076</t>
  </si>
  <si>
    <t>2505002807</t>
  </si>
  <si>
    <t>31908072612</t>
  </si>
  <si>
    <t>0311100009519000007</t>
  </si>
  <si>
    <t>31908072660</t>
  </si>
  <si>
    <t>8615000049</t>
  </si>
  <si>
    <t>0387200008719000118</t>
  </si>
  <si>
    <t>1101482730</t>
  </si>
  <si>
    <t>0307200030619001187</t>
  </si>
  <si>
    <t>1101076897</t>
  </si>
  <si>
    <t>0358300060619000079</t>
  </si>
  <si>
    <t>31908073078</t>
  </si>
  <si>
    <t>0817200000319007350</t>
  </si>
  <si>
    <t>5403328273</t>
  </si>
  <si>
    <t>100284652119000004</t>
  </si>
  <si>
    <t>0562043933</t>
  </si>
  <si>
    <t>BP00305255</t>
  </si>
  <si>
    <t>BP00305258</t>
  </si>
  <si>
    <t>BP00305263</t>
  </si>
  <si>
    <t>BP00305227</t>
  </si>
  <si>
    <t>BP00305261</t>
  </si>
  <si>
    <t>BP00305241</t>
  </si>
  <si>
    <t>BP00305242</t>
  </si>
  <si>
    <t>BP00305211</t>
  </si>
  <si>
    <t>BP00305207</t>
  </si>
  <si>
    <t>BP00305224</t>
  </si>
  <si>
    <t>BP00305247</t>
  </si>
  <si>
    <t>BP00305238</t>
  </si>
  <si>
    <t>BP00305225</t>
  </si>
  <si>
    <t>BP00305220</t>
  </si>
  <si>
    <t>BP00305260</t>
  </si>
  <si>
    <t>BP00305209</t>
  </si>
  <si>
    <t>BP00305246</t>
  </si>
  <si>
    <t>BP00305218</t>
  </si>
  <si>
    <t>BP00305217</t>
  </si>
  <si>
    <t>BP00305259</t>
  </si>
  <si>
    <t>BP00305212</t>
  </si>
  <si>
    <t>BP00305213</t>
  </si>
  <si>
    <t>31908072556</t>
  </si>
  <si>
    <t>Клин</t>
  </si>
  <si>
    <t>8902012016</t>
  </si>
  <si>
    <t>31908072364</t>
  </si>
  <si>
    <t>6501102477</t>
  </si>
  <si>
    <t>31908070596</t>
  </si>
  <si>
    <t>31908069359</t>
  </si>
  <si>
    <t>7734252646</t>
  </si>
  <si>
    <t>0373200017319000367</t>
  </si>
  <si>
    <t>5047206422</t>
  </si>
  <si>
    <t>7720446472</t>
  </si>
  <si>
    <t>0378200002919000144</t>
  </si>
  <si>
    <t>0272100000119000222</t>
  </si>
  <si>
    <t>0311100009519000006</t>
  </si>
  <si>
    <t>31908071780</t>
  </si>
  <si>
    <t>31908068195</t>
  </si>
  <si>
    <t>773100</t>
  </si>
  <si>
    <t>ATOM05071900235</t>
  </si>
  <si>
    <t>31908069534</t>
  </si>
  <si>
    <t>31908067429</t>
  </si>
  <si>
    <t>2465297206</t>
  </si>
  <si>
    <t>31908069591</t>
  </si>
  <si>
    <t>2013800061</t>
  </si>
  <si>
    <t>0194200000519004884</t>
  </si>
  <si>
    <t>2014006750</t>
  </si>
  <si>
    <t>31908069566</t>
  </si>
  <si>
    <t>7825004658</t>
  </si>
  <si>
    <t>31908071466</t>
  </si>
  <si>
    <t>2365027728</t>
  </si>
  <si>
    <t>31908071294</t>
  </si>
  <si>
    <t>[ОКПД2 84.24] Услуги по обеспечению общественного порядка и безопасности, [ОКВЭД2 84.24] Деятельность по обеспечению общественного порядка и безопасности</t>
  </si>
  <si>
    <t>0826300021019000363</t>
  </si>
  <si>
    <t>31908070880</t>
  </si>
  <si>
    <t>31908070701</t>
  </si>
  <si>
    <t>31908070237</t>
  </si>
  <si>
    <t>2443005410</t>
  </si>
  <si>
    <t>0319200064319000075</t>
  </si>
  <si>
    <t>246514401073</t>
  </si>
  <si>
    <t>2466094304</t>
  </si>
  <si>
    <t>0119200000119006170</t>
  </si>
  <si>
    <t>2463003108</t>
  </si>
  <si>
    <t>246400011930</t>
  </si>
  <si>
    <t>31908071393</t>
  </si>
  <si>
    <t>31908069804</t>
  </si>
  <si>
    <t>3666179941</t>
  </si>
  <si>
    <t>0831100000319000121</t>
  </si>
  <si>
    <t>3628015276</t>
  </si>
  <si>
    <t>6027162680</t>
  </si>
  <si>
    <t>31908070620</t>
  </si>
  <si>
    <t>0831100000319000123</t>
  </si>
  <si>
    <t>31908070784</t>
  </si>
  <si>
    <t>0133100007019000042</t>
  </si>
  <si>
    <t>370212621115</t>
  </si>
  <si>
    <t>0342100040819000012</t>
  </si>
  <si>
    <t>31908067742</t>
  </si>
  <si>
    <t>31908069757</t>
  </si>
  <si>
    <t>31908069616</t>
  </si>
  <si>
    <t>7020014773</t>
  </si>
  <si>
    <t>31908067736</t>
  </si>
  <si>
    <t>5611024438</t>
  </si>
  <si>
    <t>31908068328</t>
  </si>
  <si>
    <t>2238004407</t>
  </si>
  <si>
    <t>954119</t>
  </si>
  <si>
    <t>[ОКПД2 47.19] Услуги по прочей розничной торговле в неспециализированных магазинах</t>
  </si>
  <si>
    <t>5911027937</t>
  </si>
  <si>
    <t>31908067145</t>
  </si>
  <si>
    <t>31908069139</t>
  </si>
  <si>
    <t>0366300027319000110</t>
  </si>
  <si>
    <t>0318300009619000129</t>
  </si>
  <si>
    <t>2334014870</t>
  </si>
  <si>
    <t>2334014616</t>
  </si>
  <si>
    <t>2334014694</t>
  </si>
  <si>
    <t>2334014800</t>
  </si>
  <si>
    <t>2334014743</t>
  </si>
  <si>
    <t>2334014662</t>
  </si>
  <si>
    <t>2334014888</t>
  </si>
  <si>
    <t>2334014574</t>
  </si>
  <si>
    <t>2334014648</t>
  </si>
  <si>
    <t>2334014581</t>
  </si>
  <si>
    <t>2334015955</t>
  </si>
  <si>
    <t>2334014704</t>
  </si>
  <si>
    <t>2334015017</t>
  </si>
  <si>
    <t>2334014849</t>
  </si>
  <si>
    <t>2334014912</t>
  </si>
  <si>
    <t>2334014831</t>
  </si>
  <si>
    <t>2334014528</t>
  </si>
  <si>
    <t>2334014711</t>
  </si>
  <si>
    <t>2334016490</t>
  </si>
  <si>
    <t>2334014493</t>
  </si>
  <si>
    <t>2334014729</t>
  </si>
  <si>
    <t>2439003523</t>
  </si>
  <si>
    <t>0319100011519000008</t>
  </si>
  <si>
    <t>2439005489</t>
  </si>
  <si>
    <t>1828005842</t>
  </si>
  <si>
    <t>31908068036</t>
  </si>
  <si>
    <t>31908068754</t>
  </si>
  <si>
    <t>0318300009619000130</t>
  </si>
  <si>
    <t>2334014856</t>
  </si>
  <si>
    <t>2334014630</t>
  </si>
  <si>
    <t>2334016483</t>
  </si>
  <si>
    <t>2334014750</t>
  </si>
  <si>
    <t>2334014486</t>
  </si>
  <si>
    <t>2334016130</t>
  </si>
  <si>
    <t>2334014550</t>
  </si>
  <si>
    <t>2334014609</t>
  </si>
  <si>
    <t>5020034776</t>
  </si>
  <si>
    <t>31908068690</t>
  </si>
  <si>
    <t>[ОКПД2 56.10] Услуги ресторанов и услуги по доставке продуктов питания, [ОКПД2 58.19] Услуги в области издательской деятельности прочие, [ОКПД2 47.78] Услуги прочей розничной торговли в специализированных магазинах, [ОКПД2 91.02] Услуги музеев, [ОКВЭД2 56.29] Деятельность предприятий общественного питания по прочим видам организации питания, [ОКВЭД2 18.1+] Деятельность полиграфическая и предоставление услуг в этой области, [ОКВЭД2 56.2+] Деятельность предприятий общественного питания по обслуживанию торжественных мероприятий и прочим видам организации питания, [ОКВЭД2 47.78] Торговля розничная прочая в специализированных магазинах, [ОКВЭД2 91.02] Деятельность музеев</t>
  </si>
  <si>
    <t>0371500000419000267</t>
  </si>
  <si>
    <t>5019017110</t>
  </si>
  <si>
    <t>772668</t>
  </si>
  <si>
    <t>0573100025919000165</t>
  </si>
  <si>
    <t>7452059482</t>
  </si>
  <si>
    <t>5011019806</t>
  </si>
  <si>
    <t>772657</t>
  </si>
  <si>
    <t>100291096119000017</t>
  </si>
  <si>
    <t>100290832119000026</t>
  </si>
  <si>
    <t>952694</t>
  </si>
  <si>
    <t>100290832119000028</t>
  </si>
  <si>
    <t>7709769582</t>
  </si>
  <si>
    <t>31908069498</t>
  </si>
  <si>
    <t>356686</t>
  </si>
  <si>
    <t>6500005167</t>
  </si>
  <si>
    <t>0261200000119000122</t>
  </si>
  <si>
    <t>0344200011319000070</t>
  </si>
  <si>
    <t>2129023230</t>
  </si>
  <si>
    <t>952348</t>
  </si>
  <si>
    <t>РН919459</t>
  </si>
  <si>
    <t>31908065848</t>
  </si>
  <si>
    <t>6379002110</t>
  </si>
  <si>
    <t>0342100010419000001</t>
  </si>
  <si>
    <t>0119100007219000004</t>
  </si>
  <si>
    <t>242800029780</t>
  </si>
  <si>
    <t>0342100010419000002</t>
  </si>
  <si>
    <t>6357030548</t>
  </si>
  <si>
    <t>31908065905</t>
  </si>
  <si>
    <t>31908065824</t>
  </si>
  <si>
    <t>7720270652</t>
  </si>
  <si>
    <t>0373200006219001126</t>
  </si>
  <si>
    <t>4100023023</t>
  </si>
  <si>
    <t>31908063958</t>
  </si>
  <si>
    <t>0861200000119000093</t>
  </si>
  <si>
    <t>31908065684</t>
  </si>
  <si>
    <t>31908065628</t>
  </si>
  <si>
    <t>31908064645</t>
  </si>
  <si>
    <t>2538143578</t>
  </si>
  <si>
    <t>0320100010919000044</t>
  </si>
  <si>
    <t>0390100001519000051</t>
  </si>
  <si>
    <t>3435880677</t>
  </si>
  <si>
    <t>31908064972</t>
  </si>
  <si>
    <t>31908065128</t>
  </si>
  <si>
    <t>0166300024719000587</t>
  </si>
  <si>
    <t>7105025573</t>
  </si>
  <si>
    <t>7130008927</t>
  </si>
  <si>
    <t>7105025647</t>
  </si>
  <si>
    <t>7105025679</t>
  </si>
  <si>
    <t>7105014571</t>
  </si>
  <si>
    <t>7103011470</t>
  </si>
  <si>
    <t>7105025566</t>
  </si>
  <si>
    <t>7103015234</t>
  </si>
  <si>
    <t>7105025414</t>
  </si>
  <si>
    <t>7105025380</t>
  </si>
  <si>
    <t>7105025132</t>
  </si>
  <si>
    <t>7105025661</t>
  </si>
  <si>
    <t>7130008910</t>
  </si>
  <si>
    <t>7105044382</t>
  </si>
  <si>
    <t>7130009014</t>
  </si>
  <si>
    <t>7130009007</t>
  </si>
  <si>
    <t>7103045503</t>
  </si>
  <si>
    <t>7103045415</t>
  </si>
  <si>
    <t>7130009021</t>
  </si>
  <si>
    <t>7130010309</t>
  </si>
  <si>
    <t>7130009328</t>
  </si>
  <si>
    <t>7130008853</t>
  </si>
  <si>
    <t>7130030175</t>
  </si>
  <si>
    <t>7105044696</t>
  </si>
  <si>
    <t>7130030168</t>
  </si>
  <si>
    <t>7105016988</t>
  </si>
  <si>
    <t>7105044907</t>
  </si>
  <si>
    <t>7105044914</t>
  </si>
  <si>
    <t>7103045888</t>
  </si>
  <si>
    <t>7103045920</t>
  </si>
  <si>
    <t>7103045567</t>
  </si>
  <si>
    <t>7105044720</t>
  </si>
  <si>
    <t>2804010203</t>
  </si>
  <si>
    <t>0123100004419000020</t>
  </si>
  <si>
    <t>Белогорск</t>
  </si>
  <si>
    <t>2409000638</t>
  </si>
  <si>
    <t>0319300168119000018</t>
  </si>
  <si>
    <t>[ОКПД2 26.20] Компьютеры и периферийное оборудование, [ОКПД2 26.30] Оборудование коммуникационное, [ОКПД2 28.23] Машины офисные и оборудование, кроме компьютеров и периферийного оборудования</t>
  </si>
  <si>
    <t>5001103294</t>
  </si>
  <si>
    <t>2443043409</t>
  </si>
  <si>
    <t>0832100001319000088</t>
  </si>
  <si>
    <t>7707274249</t>
  </si>
  <si>
    <t>31908065190</t>
  </si>
  <si>
    <t>31908064032</t>
  </si>
  <si>
    <t>31908065203</t>
  </si>
  <si>
    <t>5911021460</t>
  </si>
  <si>
    <t>31908064605</t>
  </si>
  <si>
    <t>0348300189519000027</t>
  </si>
  <si>
    <t>0349100009019000012</t>
  </si>
  <si>
    <t>0119100007219000003</t>
  </si>
  <si>
    <t>5948013377</t>
  </si>
  <si>
    <t>31908064227</t>
  </si>
  <si>
    <t>5052015230</t>
  </si>
  <si>
    <t>772228</t>
  </si>
  <si>
    <t>Фрязино</t>
  </si>
  <si>
    <t>0177200000919001577</t>
  </si>
  <si>
    <t>100303648119000012</t>
  </si>
  <si>
    <t>[ОКПД2 33.14] Услуги по ремонту электрического оборудования, [ОКПД2 25.94] Изделия крепежные и винты крепежные</t>
  </si>
  <si>
    <t>0156100011519000016</t>
  </si>
  <si>
    <t>100303648119000011</t>
  </si>
  <si>
    <t>950263</t>
  </si>
  <si>
    <t>0166300024719000588</t>
  </si>
  <si>
    <t>7107110129</t>
  </si>
  <si>
    <t>7130006648</t>
  </si>
  <si>
    <t>7104032909</t>
  </si>
  <si>
    <t>7107060260</t>
  </si>
  <si>
    <t>7107021165</t>
  </si>
  <si>
    <t>7107061104</t>
  </si>
  <si>
    <t>7104011899</t>
  </si>
  <si>
    <t>7107061457</t>
  </si>
  <si>
    <t>7107057919</t>
  </si>
  <si>
    <t>7107060333</t>
  </si>
  <si>
    <t>7107060446</t>
  </si>
  <si>
    <t>7130008998</t>
  </si>
  <si>
    <t>7107109780</t>
  </si>
  <si>
    <t>7130008860</t>
  </si>
  <si>
    <t>7104021819</t>
  </si>
  <si>
    <t>7107054266</t>
  </si>
  <si>
    <t>7130030094</t>
  </si>
  <si>
    <t>7104069730</t>
  </si>
  <si>
    <t>7104069578</t>
  </si>
  <si>
    <t>7104069673</t>
  </si>
  <si>
    <t>7106034637</t>
  </si>
  <si>
    <t>7106034980</t>
  </si>
  <si>
    <t>7130030150</t>
  </si>
  <si>
    <t>7106034468</t>
  </si>
  <si>
    <t>0101500000319001143</t>
  </si>
  <si>
    <t>0274036320</t>
  </si>
  <si>
    <t>0311100002819000034</t>
  </si>
  <si>
    <t>2568802</t>
  </si>
  <si>
    <t>2019-729298</t>
  </si>
  <si>
    <t>2019-729294</t>
  </si>
  <si>
    <t>2019-729297</t>
  </si>
  <si>
    <t>31908063606</t>
  </si>
  <si>
    <t>7203076470</t>
  </si>
  <si>
    <t>7203076706</t>
  </si>
  <si>
    <t>7203076840</t>
  </si>
  <si>
    <t>7203076520</t>
  </si>
  <si>
    <t>7203076350</t>
  </si>
  <si>
    <t>7204006677</t>
  </si>
  <si>
    <t>7204006074</t>
  </si>
  <si>
    <t>5609028844</t>
  </si>
  <si>
    <t>31908063664</t>
  </si>
  <si>
    <t>31908063296</t>
  </si>
  <si>
    <t>7203076270</t>
  </si>
  <si>
    <t>7202060340</t>
  </si>
  <si>
    <t>7204007208</t>
  </si>
  <si>
    <t>7204006324</t>
  </si>
  <si>
    <t>7202105129</t>
  </si>
  <si>
    <t>31908063581</t>
  </si>
  <si>
    <t>7024015721</t>
  </si>
  <si>
    <t>31908062114</t>
  </si>
  <si>
    <t>31908063565</t>
  </si>
  <si>
    <t>2457030142</t>
  </si>
  <si>
    <t>0319200064919000103</t>
  </si>
  <si>
    <t>245724137994</t>
  </si>
  <si>
    <t>31908063500</t>
  </si>
  <si>
    <t>31908063439</t>
  </si>
  <si>
    <t>31908063386</t>
  </si>
  <si>
    <t>3906010853</t>
  </si>
  <si>
    <t>949477</t>
  </si>
  <si>
    <t>31908061784</t>
  </si>
  <si>
    <t>31908061791</t>
  </si>
  <si>
    <t>31908061794</t>
  </si>
  <si>
    <t>31908063174</t>
  </si>
  <si>
    <t>31908063219</t>
  </si>
  <si>
    <t>31908062964</t>
  </si>
  <si>
    <t>0318200070219000061</t>
  </si>
  <si>
    <t>4401019782</t>
  </si>
  <si>
    <t>949191</t>
  </si>
  <si>
    <t>2568609</t>
  </si>
  <si>
    <t>31908062537</t>
  </si>
  <si>
    <t>949179</t>
  </si>
  <si>
    <t>31908062539</t>
  </si>
  <si>
    <t>5914011325</t>
  </si>
  <si>
    <t>0156300000419000113</t>
  </si>
  <si>
    <t>591401116301</t>
  </si>
  <si>
    <t>3004001272</t>
  </si>
  <si>
    <t>0325200023619000122</t>
  </si>
  <si>
    <t>100240641119000021</t>
  </si>
  <si>
    <t>0124100003819000004</t>
  </si>
  <si>
    <t>31908061625</t>
  </si>
  <si>
    <t>948732</t>
  </si>
  <si>
    <t>31908061755</t>
  </si>
  <si>
    <t>0131100008919000004</t>
  </si>
  <si>
    <t>7713004459</t>
  </si>
  <si>
    <t>0373200107319000035</t>
  </si>
  <si>
    <t>7702785271</t>
  </si>
  <si>
    <t>7720745722</t>
  </si>
  <si>
    <t>7709461195</t>
  </si>
  <si>
    <t>7728201322</t>
  </si>
  <si>
    <t>9723003923</t>
  </si>
  <si>
    <t>31908061719</t>
  </si>
  <si>
    <t>31908060036</t>
  </si>
  <si>
    <t>7731110210</t>
  </si>
  <si>
    <t>0373200588719000018</t>
  </si>
  <si>
    <t>7716723525</t>
  </si>
  <si>
    <t>7802837981</t>
  </si>
  <si>
    <t>7722466202</t>
  </si>
  <si>
    <t>5032236865</t>
  </si>
  <si>
    <t>6124002700</t>
  </si>
  <si>
    <t>0358300279719000014</t>
  </si>
  <si>
    <t>[ОКПД2 56.29] Услуги по обеспечению питанием прочие, [ОКПД2 01.22] Фрукты тропические и субтропические, [ОКПД2 01.24] Плоды семечковых и косточковых культур, [ОКПД2 10.39] Фрукты, овощи и грибы переработанные и консервированные, не включенные в другие группировки, [ОКПД2 01.23] Плоды цитрусовых культур</t>
  </si>
  <si>
    <t>0129100006319000049</t>
  </si>
  <si>
    <t>3446008612</t>
  </si>
  <si>
    <t>3443084661</t>
  </si>
  <si>
    <t>0351200023819000104</t>
  </si>
  <si>
    <t>5410131126</t>
  </si>
  <si>
    <t>7743942357</t>
  </si>
  <si>
    <t>0264100000119000092</t>
  </si>
  <si>
    <t>7825008042</t>
  </si>
  <si>
    <t>0372200097619000030</t>
  </si>
  <si>
    <t>[ОКПД2 79.11] Услуги туристических агентств, [ОКПД2 93.19] Услуги в области спорта прочие</t>
  </si>
  <si>
    <t>7017003764</t>
  </si>
  <si>
    <t>948502</t>
  </si>
  <si>
    <t>5406118595</t>
  </si>
  <si>
    <t>948483</t>
  </si>
  <si>
    <t>100318597119000002</t>
  </si>
  <si>
    <t>5032164000</t>
  </si>
  <si>
    <t>771860</t>
  </si>
  <si>
    <t>8902008370</t>
  </si>
  <si>
    <t>31908059727</t>
  </si>
  <si>
    <t>31908060328</t>
  </si>
  <si>
    <t>947850</t>
  </si>
  <si>
    <t>947739</t>
  </si>
  <si>
    <t>100318597119000001</t>
  </si>
  <si>
    <t>2224044128</t>
  </si>
  <si>
    <t>947706</t>
  </si>
  <si>
    <t>8601009644</t>
  </si>
  <si>
    <t>947535</t>
  </si>
  <si>
    <t>100027905119000008</t>
  </si>
  <si>
    <t>7523002220</t>
  </si>
  <si>
    <t>947233</t>
  </si>
  <si>
    <t>[ОКПД2 10.12] Мясо сельскохозяйственной птицы и прочие продукты убоя, включая консервированные, [ОКПД2 10.51] Молоко и молочная продукция, [ОКПД2 10.13] Продукция мясная пищевая, в том числе из мяса птицы, [ОКПД2 10.82] Какао, шоколад и изделия кондитерские сахаристые, [ОКПД2 10.20] Рыба переработанная и консервированная, ракообразные и моллюски, [ОКПД2 10.41] Масла и жиры, [ОКПД2 10.32] Продукция соковая из фруктов и овощей, [ОКПД2 10.61] Продукция мукомольно-крупяного производства, [ОКПД2 10.89] Продукты пищевые прочие, не включенные в другие группировки, [ОКПД2 10.39] Фрукты, овощи и грибы переработанные и консервированные, не включенные в другие группировки</t>
  </si>
  <si>
    <t>7534016828</t>
  </si>
  <si>
    <t>946966</t>
  </si>
  <si>
    <t>[ОКПД2 27.32] Провода и кабели электронные и электрические прочие, [ОКПД2 26.30] Оборудование коммуникационное</t>
  </si>
  <si>
    <t>0134100013519000011</t>
  </si>
  <si>
    <t>ГП907002</t>
  </si>
  <si>
    <t>0261009544</t>
  </si>
  <si>
    <t>31908059311</t>
  </si>
  <si>
    <t>31908059259</t>
  </si>
  <si>
    <t>0261019775</t>
  </si>
  <si>
    <t>31908059254</t>
  </si>
  <si>
    <t>31908059162</t>
  </si>
  <si>
    <t>31908058915</t>
  </si>
  <si>
    <t>31908058366</t>
  </si>
  <si>
    <t>31908059085</t>
  </si>
  <si>
    <t>31908058868</t>
  </si>
  <si>
    <t>7024015802</t>
  </si>
  <si>
    <t>31908057680</t>
  </si>
  <si>
    <t>7105049542</t>
  </si>
  <si>
    <t>31908059258</t>
  </si>
  <si>
    <t>31908058609</t>
  </si>
  <si>
    <t>31908059252</t>
  </si>
  <si>
    <t>[ОКПД2 96.01] Услуги по стирке и чистке (в том числе химической) изделий из тканей и меха, [ОКВЭД2 96.01] Стирка и химическая чистка текстильных и меховых изделий</t>
  </si>
  <si>
    <t>31908058126</t>
  </si>
  <si>
    <t>0261009569</t>
  </si>
  <si>
    <t>31908058291</t>
  </si>
  <si>
    <t>3435880356</t>
  </si>
  <si>
    <t>31908058664</t>
  </si>
  <si>
    <t>31908058899</t>
  </si>
  <si>
    <t>31908056626</t>
  </si>
  <si>
    <t>6155020836</t>
  </si>
  <si>
    <t>946150</t>
  </si>
  <si>
    <t>31908057487</t>
  </si>
  <si>
    <t>31908057624</t>
  </si>
  <si>
    <t>6167081833</t>
  </si>
  <si>
    <t>31908057771</t>
  </si>
  <si>
    <t>0261009551</t>
  </si>
  <si>
    <t>31908057224</t>
  </si>
  <si>
    <t>5507036469</t>
  </si>
  <si>
    <t>945822</t>
  </si>
  <si>
    <t>31908056601</t>
  </si>
  <si>
    <t>5836010280</t>
  </si>
  <si>
    <t>31908057404</t>
  </si>
  <si>
    <t>2238000554</t>
  </si>
  <si>
    <t>945726</t>
  </si>
  <si>
    <t>[ОКПД2 10.11] Мясо и прочие продукты убоя, включая мясо консервированное, [ОКПД2 10.13] Продукция мясная пищевая, в том числе из мяса птицы</t>
  </si>
  <si>
    <t>4825018775</t>
  </si>
  <si>
    <t>31908056868</t>
  </si>
  <si>
    <t>0319100000219000264</t>
  </si>
  <si>
    <t>[ОКПД2 25.71] Изделия ножевые и столовые приборы, [ОКПД2 22.29] Изделия пластмассовые прочие, [ОКПД2 32.99] Изделия готовые прочие, не включенные в другие группировки, [ОКПД2 17.23] Принадлежности канцелярские бумажные, [ОКПД2 20.52] Клеи, [ОКПД2 20.59] Продукты химические прочие, не включенные в другие группировки, [ОКПД2 28.23] Машины офисные и оборудование, кроме компьютеров и периферийного оборудования, [ОКПД2 17.12] Бумага и картон, [ОКПД2 26.51] Оборудование для измерения, испытаний и навигации</t>
  </si>
  <si>
    <t>2461029069</t>
  </si>
  <si>
    <t>2466168612</t>
  </si>
  <si>
    <t>2465059970</t>
  </si>
  <si>
    <t>246601510209</t>
  </si>
  <si>
    <t>5028017003</t>
  </si>
  <si>
    <t>31908056627</t>
  </si>
  <si>
    <t>РН907492</t>
  </si>
  <si>
    <t>РН907494</t>
  </si>
  <si>
    <t>31908056105</t>
  </si>
  <si>
    <t>3608003353</t>
  </si>
  <si>
    <t>0331300072919000027</t>
  </si>
  <si>
    <t>Воробьевский район</t>
  </si>
  <si>
    <t>3664132909</t>
  </si>
  <si>
    <t>3664123414</t>
  </si>
  <si>
    <t>944170</t>
  </si>
  <si>
    <t>2019-729033</t>
  </si>
  <si>
    <t>3920004788</t>
  </si>
  <si>
    <t>31908055611</t>
  </si>
  <si>
    <t>1828007920</t>
  </si>
  <si>
    <t>31908055395</t>
  </si>
  <si>
    <t>31908054454</t>
  </si>
  <si>
    <t>7204006081</t>
  </si>
  <si>
    <t>7203076576</t>
  </si>
  <si>
    <t>7203077308</t>
  </si>
  <si>
    <t>7203115056</t>
  </si>
  <si>
    <t>7204037065</t>
  </si>
  <si>
    <t>7203076551</t>
  </si>
  <si>
    <t>31908052524</t>
  </si>
  <si>
    <t>5610064734</t>
  </si>
  <si>
    <t>31908054503</t>
  </si>
  <si>
    <t>31908054439</t>
  </si>
  <si>
    <t>31908055011</t>
  </si>
  <si>
    <t>2465177981</t>
  </si>
  <si>
    <t>31908053261</t>
  </si>
  <si>
    <t>РН907337</t>
  </si>
  <si>
    <t>31908054332</t>
  </si>
  <si>
    <t>7709835066</t>
  </si>
  <si>
    <t>31908054903</t>
  </si>
  <si>
    <t>31908054013</t>
  </si>
  <si>
    <t>31908054231</t>
  </si>
  <si>
    <t>4709004115</t>
  </si>
  <si>
    <t>100290528119000000</t>
  </si>
  <si>
    <t>31908054340</t>
  </si>
  <si>
    <t>31908053702</t>
  </si>
  <si>
    <t>31908054151</t>
  </si>
  <si>
    <t>31908054880</t>
  </si>
  <si>
    <t>2466209072</t>
  </si>
  <si>
    <t>31908052922</t>
  </si>
  <si>
    <t>31908053559</t>
  </si>
  <si>
    <t>31908053859</t>
  </si>
  <si>
    <t>5948014028</t>
  </si>
  <si>
    <t>31908053110</t>
  </si>
  <si>
    <t>31908053873</t>
  </si>
  <si>
    <t>771128</t>
  </si>
  <si>
    <t>31908053690</t>
  </si>
  <si>
    <t>5001086137</t>
  </si>
  <si>
    <t>31908053847</t>
  </si>
  <si>
    <t>31908053593</t>
  </si>
  <si>
    <t>31908053455</t>
  </si>
  <si>
    <t>5524003880</t>
  </si>
  <si>
    <t>100141184119000017</t>
  </si>
  <si>
    <t>Нижнеомский район</t>
  </si>
  <si>
    <t>6315856452</t>
  </si>
  <si>
    <t>31908053094</t>
  </si>
  <si>
    <t>2333007729</t>
  </si>
  <si>
    <t>31908053719</t>
  </si>
  <si>
    <t>6376002095</t>
  </si>
  <si>
    <t>31908053257</t>
  </si>
  <si>
    <t>100141184119000016</t>
  </si>
  <si>
    <t>31908053914</t>
  </si>
  <si>
    <t>5407971950</t>
  </si>
  <si>
    <t>943061</t>
  </si>
  <si>
    <t>7728073720</t>
  </si>
  <si>
    <t>31908052861</t>
  </si>
  <si>
    <t>2224165147</t>
  </si>
  <si>
    <t>942902</t>
  </si>
  <si>
    <t>942811</t>
  </si>
  <si>
    <t>5609024247</t>
  </si>
  <si>
    <t>31908052577</t>
  </si>
  <si>
    <t>31908052699</t>
  </si>
  <si>
    <t>7444049924</t>
  </si>
  <si>
    <t>942944</t>
  </si>
  <si>
    <t>100240057119000049</t>
  </si>
  <si>
    <t>31908052796</t>
  </si>
  <si>
    <t>[ОКПД2 90.0+] Услуги в области творчества, искусства и развлечений, [ОКВЭД2 90.0+] Деятельность творческая, деятельность в области искусства и организации развлечений</t>
  </si>
  <si>
    <t>31908052471</t>
  </si>
  <si>
    <t>31908052685</t>
  </si>
  <si>
    <t>7017000026</t>
  </si>
  <si>
    <t>942640</t>
  </si>
  <si>
    <t>2263022840</t>
  </si>
  <si>
    <t>942735</t>
  </si>
  <si>
    <t>2224032676</t>
  </si>
  <si>
    <t>942704</t>
  </si>
  <si>
    <t>6234162368</t>
  </si>
  <si>
    <t>100252847119000023</t>
  </si>
  <si>
    <t>8902011358</t>
  </si>
  <si>
    <t>31908052262</t>
  </si>
  <si>
    <t>100252847119000024</t>
  </si>
  <si>
    <t>942316</t>
  </si>
  <si>
    <t>31908052526</t>
  </si>
  <si>
    <t>942117</t>
  </si>
  <si>
    <t>100107142119000006</t>
  </si>
  <si>
    <t>100107142119000000</t>
  </si>
  <si>
    <t>941968</t>
  </si>
  <si>
    <t>0387100010519000006</t>
  </si>
  <si>
    <t>2223021738</t>
  </si>
  <si>
    <t>941851</t>
  </si>
  <si>
    <t>3804028227</t>
  </si>
  <si>
    <t>ГП907007</t>
  </si>
  <si>
    <t>941633</t>
  </si>
  <si>
    <t>31908051705</t>
  </si>
  <si>
    <t>31908051703</t>
  </si>
  <si>
    <t>31908051617</t>
  </si>
  <si>
    <t>31908051469</t>
  </si>
  <si>
    <t>31908051470</t>
  </si>
  <si>
    <t>7706052148</t>
  </si>
  <si>
    <t>COM25061900079</t>
  </si>
  <si>
    <t>COM25061900080</t>
  </si>
  <si>
    <t>COM25061900069</t>
  </si>
  <si>
    <t>COM25061900061</t>
  </si>
  <si>
    <t>COM25061900068</t>
  </si>
  <si>
    <t>COM25061900072</t>
  </si>
  <si>
    <t>COM25061900063</t>
  </si>
  <si>
    <t>COM25061900074</t>
  </si>
  <si>
    <t>COM25061900076</t>
  </si>
  <si>
    <t>COM25061900077</t>
  </si>
  <si>
    <t>31908051407</t>
  </si>
  <si>
    <t>5036168038</t>
  </si>
  <si>
    <t>31908051280</t>
  </si>
  <si>
    <t>31908051302</t>
  </si>
  <si>
    <t>31908050300</t>
  </si>
  <si>
    <t>8902009542</t>
  </si>
  <si>
    <t>31908050457</t>
  </si>
  <si>
    <t>0318100011219000009</t>
  </si>
  <si>
    <t>2721055803</t>
  </si>
  <si>
    <t>31908046028</t>
  </si>
  <si>
    <t>31908049077</t>
  </si>
  <si>
    <t>7204033430</t>
  </si>
  <si>
    <t>7204006243</t>
  </si>
  <si>
    <t>7203076939</t>
  </si>
  <si>
    <t>31908048824</t>
  </si>
  <si>
    <t>3124013946</t>
  </si>
  <si>
    <t>0126200000419002351</t>
  </si>
  <si>
    <t>0116300000119000668</t>
  </si>
  <si>
    <t>941032</t>
  </si>
  <si>
    <t>6832028263</t>
  </si>
  <si>
    <t>31908050276</t>
  </si>
  <si>
    <t>31908049001</t>
  </si>
  <si>
    <t>7024015792</t>
  </si>
  <si>
    <t>31908047766</t>
  </si>
  <si>
    <t>6619019304</t>
  </si>
  <si>
    <t>31908047959</t>
  </si>
  <si>
    <t>7718230331</t>
  </si>
  <si>
    <t>0373200006219001090</t>
  </si>
  <si>
    <t>7720815017</t>
  </si>
  <si>
    <t>0227100000319000115</t>
  </si>
  <si>
    <t>31908044976</t>
  </si>
  <si>
    <t>0227100000319000114</t>
  </si>
  <si>
    <t>7722004092</t>
  </si>
  <si>
    <t>0375100002619000107</t>
  </si>
  <si>
    <t>[ОКПД2 43.99] Работы строительные специализированные, не включенные в другие группировки</t>
  </si>
  <si>
    <t>Саки</t>
  </si>
  <si>
    <t>5030011023</t>
  </si>
  <si>
    <t>0348300007419000179</t>
  </si>
  <si>
    <t>[ОКПД2 17.23] Принадлежности канцелярские бумажные, [ОКПД2 58.14] Услуги по изданию журналов и периодических изданий</t>
  </si>
  <si>
    <t>352806718182</t>
  </si>
  <si>
    <t>0348300016219000161</t>
  </si>
  <si>
    <t>0160100008119000002</t>
  </si>
  <si>
    <t>31908047910</t>
  </si>
  <si>
    <t>5047053381</t>
  </si>
  <si>
    <t>0348200077019000039</t>
  </si>
  <si>
    <t>5042104882</t>
  </si>
  <si>
    <t>0348100014119000033</t>
  </si>
  <si>
    <t>31908048652</t>
  </si>
  <si>
    <t>[ОКПД2 55.90] Услуги по предоставлению временного жилья прочие, [ОКПД2 68.20] Услуги по сдаче в аренду (внаем) собственного или арендованного недвижимого имущества, [ОКПД2 56.10] Услуги ресторанов и услуги по доставке продуктов питания, [ОКВЭД2 68.2+] Аренда и управление собственным или арендованным недвижимым имуществом, [ОКВЭД2 56.10] Деятельность ресторанов и услуги по доставке продуктов питания, [ОКВЭД2 55.90] Деятельность по предоставлению прочих мест для временного проживания</t>
  </si>
  <si>
    <t>31908048541</t>
  </si>
  <si>
    <t>0151100018919000011</t>
  </si>
  <si>
    <t>Каргатский район</t>
  </si>
  <si>
    <t>542300198097</t>
  </si>
  <si>
    <t>31908048193</t>
  </si>
  <si>
    <t>0318300402419000041</t>
  </si>
  <si>
    <t>6910008901</t>
  </si>
  <si>
    <t>0136300050519000072</t>
  </si>
  <si>
    <t>7720270691</t>
  </si>
  <si>
    <t>0373200006219001089</t>
  </si>
  <si>
    <t>31908050220</t>
  </si>
  <si>
    <t>2536014538</t>
  </si>
  <si>
    <t>31908044814</t>
  </si>
  <si>
    <t>[ОКПД2 33.13] Услуги по ремонту электронного и оптического оборудования, [ОКВЭД2 33+] Ремонт и монтаж машин и оборудования</t>
  </si>
  <si>
    <t>2309031505</t>
  </si>
  <si>
    <t>0118100000119000039</t>
  </si>
  <si>
    <t>231513092229</t>
  </si>
  <si>
    <t>6658428205</t>
  </si>
  <si>
    <t>31908049733</t>
  </si>
  <si>
    <t>31908048662</t>
  </si>
  <si>
    <t>31908049797</t>
  </si>
  <si>
    <t>31908045110</t>
  </si>
  <si>
    <t>31908045841</t>
  </si>
  <si>
    <t>5260047955</t>
  </si>
  <si>
    <t>31908048894</t>
  </si>
  <si>
    <t>[ОКПД2 55.10] Услуги гостиниц и аналогичные услуги по предоставлению временного жилья, [ОКПД2 56.21] Услуги по поставке продукции общественного питания и обслуживанию торжественных мероприятий, [ОКВЭД2 55.10] Деятельность гостиниц и прочих мест для временного проживания, [ОКВЭД2 56.21] Деятельность предприятий общественного питания по обслуживанию торжественных мероприятий</t>
  </si>
  <si>
    <t>31908049106</t>
  </si>
  <si>
    <t>5017015766</t>
  </si>
  <si>
    <t>0848300048219000185</t>
  </si>
  <si>
    <t>0311100018219000009</t>
  </si>
  <si>
    <t>5904100544</t>
  </si>
  <si>
    <t>31908047377</t>
  </si>
  <si>
    <t>31908049274</t>
  </si>
  <si>
    <t>[ОКПД2 46.31] Услуги по оптовой торговле фруктами и овощами, [ОКВЭД2 46.31] Торговля оптовая фруктами и овощами</t>
  </si>
  <si>
    <t>31908048765</t>
  </si>
  <si>
    <t>31908049329</t>
  </si>
  <si>
    <t>7838479881</t>
  </si>
  <si>
    <t>31908049390</t>
  </si>
  <si>
    <t>31908048307</t>
  </si>
  <si>
    <t>0361100007819000010</t>
  </si>
  <si>
    <t>4205119484</t>
  </si>
  <si>
    <t>0139200000119005122</t>
  </si>
  <si>
    <t>4205225651</t>
  </si>
  <si>
    <t>4205179290</t>
  </si>
  <si>
    <t>5038005487</t>
  </si>
  <si>
    <t>31908049193</t>
  </si>
  <si>
    <t>7706031317</t>
  </si>
  <si>
    <t>31908045690</t>
  </si>
  <si>
    <t>0149100003219000052</t>
  </si>
  <si>
    <t>0372200272719000002</t>
  </si>
  <si>
    <t>4707008058</t>
  </si>
  <si>
    <t>0345100012619000008</t>
  </si>
  <si>
    <t>470700123500</t>
  </si>
  <si>
    <t>6950103140</t>
  </si>
  <si>
    <t>0136100012019000010</t>
  </si>
  <si>
    <t>7810260698</t>
  </si>
  <si>
    <t>0372200028419000008</t>
  </si>
  <si>
    <t>7714024842</t>
  </si>
  <si>
    <t>31908048184</t>
  </si>
  <si>
    <t>3721001662</t>
  </si>
  <si>
    <t>0133200001719001933</t>
  </si>
  <si>
    <t>3721005480</t>
  </si>
  <si>
    <t>7704115177</t>
  </si>
  <si>
    <t>0373100113519000155</t>
  </si>
  <si>
    <t>7704741199</t>
  </si>
  <si>
    <t>31908048233</t>
  </si>
  <si>
    <t>31908048657</t>
  </si>
  <si>
    <t>2817003820</t>
  </si>
  <si>
    <t>31908044496</t>
  </si>
  <si>
    <t>2635221863</t>
  </si>
  <si>
    <t>0321500000219000107</t>
  </si>
  <si>
    <t>7020015463</t>
  </si>
  <si>
    <t>0865200000319001205</t>
  </si>
  <si>
    <t>[ОКПД2 43.39] Работы завершающие и отделочные в зданиях и сооружениях, прочие</t>
  </si>
  <si>
    <t>701734259417</t>
  </si>
  <si>
    <t>7018016244</t>
  </si>
  <si>
    <t>7017063026</t>
  </si>
  <si>
    <t>7024042041</t>
  </si>
  <si>
    <t>7017368356</t>
  </si>
  <si>
    <t>0136100012019000011</t>
  </si>
  <si>
    <t>31908047788</t>
  </si>
  <si>
    <t>2310039308</t>
  </si>
  <si>
    <t>0318200070419000078</t>
  </si>
  <si>
    <t>31908045901</t>
  </si>
  <si>
    <t>31908045779</t>
  </si>
  <si>
    <t>31908047518</t>
  </si>
  <si>
    <t>31908047565</t>
  </si>
  <si>
    <t>31908047278</t>
  </si>
  <si>
    <t>2311039678</t>
  </si>
  <si>
    <t>0318200063919002797</t>
  </si>
  <si>
    <t>237400442554</t>
  </si>
  <si>
    <t>2312208880</t>
  </si>
  <si>
    <t>2311258454</t>
  </si>
  <si>
    <t>2310184224</t>
  </si>
  <si>
    <t>0832100001319000083</t>
  </si>
  <si>
    <t>0302100005619000042</t>
  </si>
  <si>
    <t>[ОКПД2 75.00] Услуги ветеринарные, [ОКПД2 71.20] Услуги в области технических испытаний, исследований, анализа и сертификации</t>
  </si>
  <si>
    <t>0323120168</t>
  </si>
  <si>
    <t>1435047359</t>
  </si>
  <si>
    <t>31908044017</t>
  </si>
  <si>
    <t>0318100007019000164</t>
  </si>
  <si>
    <t>010801570136</t>
  </si>
  <si>
    <t>0107100003519000198</t>
  </si>
  <si>
    <t>0853500000319007148</t>
  </si>
  <si>
    <t>770103</t>
  </si>
  <si>
    <t>939655</t>
  </si>
  <si>
    <t>7459004066</t>
  </si>
  <si>
    <t>0169100002019000012</t>
  </si>
  <si>
    <t>Верхний Уфалей</t>
  </si>
  <si>
    <t>740200008900</t>
  </si>
  <si>
    <t>0853500000319007146</t>
  </si>
  <si>
    <t>0372200141819000049</t>
  </si>
  <si>
    <t>31908045340</t>
  </si>
  <si>
    <t>7808041829</t>
  </si>
  <si>
    <t>0372200240719000003</t>
  </si>
  <si>
    <t>[ОКПД2 49.39] Услуги сухопутного пассажирского транспорта прочие, не включенные в другие группировки, [ОКПД2 79.11] Услуги туристических агентств, [ОКПД2 79.90] Услуги по бронированию и взаимосвязанные услуги прочие, [ОКПД2 56.29] Услуги по обеспечению питанием прочие</t>
  </si>
  <si>
    <t>939548</t>
  </si>
  <si>
    <t>31908046017</t>
  </si>
  <si>
    <t>0377100007019000005</t>
  </si>
  <si>
    <t>0168100006819000104</t>
  </si>
  <si>
    <t>0129100008219000031</t>
  </si>
  <si>
    <t>31908046218</t>
  </si>
  <si>
    <t>0168100006819000103</t>
  </si>
  <si>
    <t>7326042263</t>
  </si>
  <si>
    <t>31908044748</t>
  </si>
  <si>
    <t>31908046088</t>
  </si>
  <si>
    <t>0836600003319000450</t>
  </si>
  <si>
    <t>6902027570</t>
  </si>
  <si>
    <t>6902027065</t>
  </si>
  <si>
    <t>6902027587</t>
  </si>
  <si>
    <t>6902027805</t>
  </si>
  <si>
    <t>6902027700</t>
  </si>
  <si>
    <t>0318300554419000229</t>
  </si>
  <si>
    <t>0134200000119002291</t>
  </si>
  <si>
    <t>Тайшетский район</t>
  </si>
  <si>
    <t>4618004260</t>
  </si>
  <si>
    <t>100030952119000003</t>
  </si>
  <si>
    <t>Поныровский район</t>
  </si>
  <si>
    <t>31908044543</t>
  </si>
  <si>
    <t>0136100012019000009</t>
  </si>
  <si>
    <t>938786</t>
  </si>
  <si>
    <t>[ОКПД2 43.21] Работы электромонтажные, [ОКПД2 26.30] Оборудование коммуникационное, [ОКПД2 27.32] Провода и кабели электронные и электрические прочие, [ОКПД2 27.33] Изделия электроустановочные, [ОКПД2 43.29] Работы строительно-монтажные прочие, [ОКПД2 27.12] Аппаратура распределительная и регулирующая электрическая</t>
  </si>
  <si>
    <t>6905056219</t>
  </si>
  <si>
    <t>0836600003319000442</t>
  </si>
  <si>
    <t>3008005768</t>
  </si>
  <si>
    <t>0725100000219000135</t>
  </si>
  <si>
    <t>3017042340</t>
  </si>
  <si>
    <t>7206019520</t>
  </si>
  <si>
    <t>31908044511</t>
  </si>
  <si>
    <t>0119300019819000903</t>
  </si>
  <si>
    <t>0862100000819000111</t>
  </si>
  <si>
    <t>4621001371</t>
  </si>
  <si>
    <t>0144100014319000006</t>
  </si>
  <si>
    <t>462100018893</t>
  </si>
  <si>
    <t>0836600003319000444</t>
  </si>
  <si>
    <t>6903035580</t>
  </si>
  <si>
    <t>6903034851</t>
  </si>
  <si>
    <t>6903035781</t>
  </si>
  <si>
    <t>6903034682</t>
  </si>
  <si>
    <t>6903034675</t>
  </si>
  <si>
    <t>4347004009</t>
  </si>
  <si>
    <t>0340200003319008935</t>
  </si>
  <si>
    <t>0836600003319000441</t>
  </si>
  <si>
    <t>6902027072</t>
  </si>
  <si>
    <t>6902026819</t>
  </si>
  <si>
    <t>6952035720</t>
  </si>
  <si>
    <t>6661059149</t>
  </si>
  <si>
    <t>31908044609</t>
  </si>
  <si>
    <t>0157000000319000002</t>
  </si>
  <si>
    <t>2460044113</t>
  </si>
  <si>
    <t>0119300019819000906</t>
  </si>
  <si>
    <t>0162100013019000004</t>
  </si>
  <si>
    <t>0836600003319000440</t>
  </si>
  <si>
    <t>6950160589</t>
  </si>
  <si>
    <t>6950160564</t>
  </si>
  <si>
    <t>0217100000119000153</t>
  </si>
  <si>
    <t>0136100012019000008</t>
  </si>
  <si>
    <t>6316027610</t>
  </si>
  <si>
    <t>0142200001319009965</t>
  </si>
  <si>
    <t>0372200277819000049</t>
  </si>
  <si>
    <t>[ОКПД2 46.90] Услуги по неспециализированной оптовой торговле</t>
  </si>
  <si>
    <t>7819017673</t>
  </si>
  <si>
    <t>7814133757</t>
  </si>
  <si>
    <t>7820012542</t>
  </si>
  <si>
    <t>7825129537</t>
  </si>
  <si>
    <t>7819026974</t>
  </si>
  <si>
    <t>7807018016</t>
  </si>
  <si>
    <t>7817032362</t>
  </si>
  <si>
    <t>7827661472</t>
  </si>
  <si>
    <t>7813162628</t>
  </si>
  <si>
    <t>7816156573</t>
  </si>
  <si>
    <t>7822004642</t>
  </si>
  <si>
    <t>7820018618</t>
  </si>
  <si>
    <t>7843312253</t>
  </si>
  <si>
    <t>7813054326</t>
  </si>
  <si>
    <t>7802066665</t>
  </si>
  <si>
    <t>7819013189</t>
  </si>
  <si>
    <t>7827661874</t>
  </si>
  <si>
    <t>7825065611</t>
  </si>
  <si>
    <t>7820338216</t>
  </si>
  <si>
    <t>7817032027</t>
  </si>
  <si>
    <t>7805145481</t>
  </si>
  <si>
    <t>7819026438</t>
  </si>
  <si>
    <t>7843308183</t>
  </si>
  <si>
    <t>7810280895</t>
  </si>
  <si>
    <t>7816040353</t>
  </si>
  <si>
    <t>7819018229</t>
  </si>
  <si>
    <t>7825681191</t>
  </si>
  <si>
    <t>7804087090</t>
  </si>
  <si>
    <t>7810214557</t>
  </si>
  <si>
    <t>7802145035</t>
  </si>
  <si>
    <t>7843004788</t>
  </si>
  <si>
    <t>7820306824</t>
  </si>
  <si>
    <t>7820020423</t>
  </si>
  <si>
    <t>7805434589</t>
  </si>
  <si>
    <t>7806103879</t>
  </si>
  <si>
    <t>7813045628</t>
  </si>
  <si>
    <t>7806526835</t>
  </si>
  <si>
    <t>7802777475</t>
  </si>
  <si>
    <t>782616798510</t>
  </si>
  <si>
    <t>0836600003319000434</t>
  </si>
  <si>
    <t>6903034481</t>
  </si>
  <si>
    <t>6903038380</t>
  </si>
  <si>
    <t>6903036584</t>
  </si>
  <si>
    <t>6950160860</t>
  </si>
  <si>
    <t>6903037066</t>
  </si>
  <si>
    <t>6903034474</t>
  </si>
  <si>
    <t>31908044232</t>
  </si>
  <si>
    <t>0848300048419000403</t>
  </si>
  <si>
    <t>500345467061</t>
  </si>
  <si>
    <t>100172248119000013</t>
  </si>
  <si>
    <t>0157100004419000024</t>
  </si>
  <si>
    <t>0836600003319000433</t>
  </si>
  <si>
    <t>6905062773</t>
  </si>
  <si>
    <t>6905063015</t>
  </si>
  <si>
    <t>6905062413</t>
  </si>
  <si>
    <t>6905062950</t>
  </si>
  <si>
    <t>6905062815</t>
  </si>
  <si>
    <t>6905062357</t>
  </si>
  <si>
    <t>0836600003319000432</t>
  </si>
  <si>
    <t>6904033307</t>
  </si>
  <si>
    <t>6904032279</t>
  </si>
  <si>
    <t>0318100047919000080</t>
  </si>
  <si>
    <t>0180100003819000080</t>
  </si>
  <si>
    <t>2464266621</t>
  </si>
  <si>
    <t>5751007930</t>
  </si>
  <si>
    <t>0154200000719000948</t>
  </si>
  <si>
    <t>938255</t>
  </si>
  <si>
    <t>0124100005919000010</t>
  </si>
  <si>
    <t>6375002173</t>
  </si>
  <si>
    <t>100004344119000004</t>
  </si>
  <si>
    <t>0157100004419000025</t>
  </si>
  <si>
    <t>0339100015919000008</t>
  </si>
  <si>
    <t>0124100005919000011</t>
  </si>
  <si>
    <t>Няндомский район</t>
  </si>
  <si>
    <t>0348200020119000064</t>
  </si>
  <si>
    <t>6829142569</t>
  </si>
  <si>
    <t>0164200003019001844</t>
  </si>
  <si>
    <t>5019011566</t>
  </si>
  <si>
    <t>769882</t>
  </si>
  <si>
    <t>3726001024</t>
  </si>
  <si>
    <t>0133300019219000019</t>
  </si>
  <si>
    <t>Южский район</t>
  </si>
  <si>
    <t>372601516526</t>
  </si>
  <si>
    <t>372600041823</t>
  </si>
  <si>
    <t>0862100000819000110</t>
  </si>
  <si>
    <t>100002703119000006</t>
  </si>
  <si>
    <t>0813100000319000095</t>
  </si>
  <si>
    <t>0813100000319000094</t>
  </si>
  <si>
    <t>7445016880</t>
  </si>
  <si>
    <t>31908043880</t>
  </si>
  <si>
    <t>100045960119000010</t>
  </si>
  <si>
    <t>938047</t>
  </si>
  <si>
    <t>4101107220</t>
  </si>
  <si>
    <t>100237074119000004</t>
  </si>
  <si>
    <t>2019-728110</t>
  </si>
  <si>
    <t>2019-728035</t>
  </si>
  <si>
    <t>937695</t>
  </si>
  <si>
    <t>1101485811</t>
  </si>
  <si>
    <t>31908043377</t>
  </si>
  <si>
    <t>7736093127</t>
  </si>
  <si>
    <t>31908043446</t>
  </si>
  <si>
    <t>31908043347</t>
  </si>
  <si>
    <t>3128138181</t>
  </si>
  <si>
    <t>0126200000419002331</t>
  </si>
  <si>
    <t>0320990170</t>
  </si>
  <si>
    <t>31908040410</t>
  </si>
  <si>
    <t>1701008190</t>
  </si>
  <si>
    <t>0312100005519000028</t>
  </si>
  <si>
    <t>170106463856</t>
  </si>
  <si>
    <t>1617001366</t>
  </si>
  <si>
    <t>100175856119000052</t>
  </si>
  <si>
    <t>Дрожжановский район</t>
  </si>
  <si>
    <t>0373100054619000154</t>
  </si>
  <si>
    <t>7734202620</t>
  </si>
  <si>
    <t>7713450100</t>
  </si>
  <si>
    <t>100175856119000051</t>
  </si>
  <si>
    <t>2624014689</t>
  </si>
  <si>
    <t>0321100003419000017</t>
  </si>
  <si>
    <t>262400568684</t>
  </si>
  <si>
    <t>2201002996</t>
  </si>
  <si>
    <t>0817200000319007237</t>
  </si>
  <si>
    <t>5401107857</t>
  </si>
  <si>
    <t>5406770592</t>
  </si>
  <si>
    <t>0144100014319000005</t>
  </si>
  <si>
    <t>0321100003419000019</t>
  </si>
  <si>
    <t>31908043033</t>
  </si>
  <si>
    <t>[ОКПД2 62.03] Услуги по управлению компьютерным оборудованием, [ОКВЭД2 63.11] Деятельность по обработке данных, предоставление услуг по размещению информации и связанная с этим деятельность</t>
  </si>
  <si>
    <t>1101486491</t>
  </si>
  <si>
    <t>0307200030619001160</t>
  </si>
  <si>
    <t>1101487569</t>
  </si>
  <si>
    <t>0172200002919000064</t>
  </si>
  <si>
    <t>7820337251</t>
  </si>
  <si>
    <t>7820020568</t>
  </si>
  <si>
    <t>7820020590</t>
  </si>
  <si>
    <t>7804054351</t>
  </si>
  <si>
    <t>7814078954</t>
  </si>
  <si>
    <t>937502</t>
  </si>
  <si>
    <t>0105100001319000042</t>
  </si>
  <si>
    <t>081100535926</t>
  </si>
  <si>
    <t>2635034197</t>
  </si>
  <si>
    <t>0321300001119000376</t>
  </si>
  <si>
    <t>3915004694</t>
  </si>
  <si>
    <t>0135200000519002637</t>
  </si>
  <si>
    <t>Багратионовский район</t>
  </si>
  <si>
    <t>100175856119000050</t>
  </si>
  <si>
    <t>100186065119000022</t>
  </si>
  <si>
    <t>6828002872</t>
  </si>
  <si>
    <t>0864500000219002460</t>
  </si>
  <si>
    <t>6828000843</t>
  </si>
  <si>
    <t>0853500000319007096</t>
  </si>
  <si>
    <t>5612087159</t>
  </si>
  <si>
    <t>5609040263</t>
  </si>
  <si>
    <t>561202897250</t>
  </si>
  <si>
    <t>5609079503</t>
  </si>
  <si>
    <t>100175856119000049</t>
  </si>
  <si>
    <t>31908042615</t>
  </si>
  <si>
    <t>[ОКПД2 58.11] Услуги по изданию книг, [ОКВЭД2 46.49] Торговля оптовая прочими бытовыми товарами</t>
  </si>
  <si>
    <t>2636018511</t>
  </si>
  <si>
    <t>0321300001119000374</t>
  </si>
  <si>
    <t>263500742352</t>
  </si>
  <si>
    <t>14051</t>
  </si>
  <si>
    <t>937250</t>
  </si>
  <si>
    <t>0864500000219002459</t>
  </si>
  <si>
    <t>6155037029</t>
  </si>
  <si>
    <t>937266</t>
  </si>
  <si>
    <t>0105100001319000043</t>
  </si>
  <si>
    <t>3809023871</t>
  </si>
  <si>
    <t>0134200000119002246</t>
  </si>
  <si>
    <t>381607201911</t>
  </si>
  <si>
    <t>7328051778</t>
  </si>
  <si>
    <t>0368300000119000625</t>
  </si>
  <si>
    <t>2460044057</t>
  </si>
  <si>
    <t>0119300019819000879</t>
  </si>
  <si>
    <t>5606001121</t>
  </si>
  <si>
    <t>0853500000319007024</t>
  </si>
  <si>
    <t>Медногорск</t>
  </si>
  <si>
    <t>3444180505</t>
  </si>
  <si>
    <t>4027133291</t>
  </si>
  <si>
    <t>4826047666</t>
  </si>
  <si>
    <t>0346200007919000039</t>
  </si>
  <si>
    <t>3815005165</t>
  </si>
  <si>
    <t>0334100001819000022</t>
  </si>
  <si>
    <t>[ОКПД2 10.39] Фрукты, овощи и грибы переработанные и консервированные, не включенные в другие группировки, [ОКПД2 10.83] Чай и кофе обработанные, [ОКПД2 10.61] Продукция мукомольно-крупяного производства, [ОКПД2 10.84] Приправы и пряности, [ОКПД2 01.11] Культуры зерновые (кроме риса), зернобобовые, семена масличных культур, [ОКПД2 10.51] Молоко и молочная продукция, [ОКПД2 10.41] Масла и жиры,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</si>
  <si>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2465143238</t>
  </si>
  <si>
    <t>0301300001119000038</t>
  </si>
  <si>
    <t>100058940119000023</t>
  </si>
  <si>
    <t>[ОКПД2 95.11] Услуги по ремонту компьютеров и периферийного оборудования, [ОКПД2 43.22] Работы по монтажу систем водопровода, канализации, отопления и кондиционирования воздуха, [ОКПД2 27.40] Оборудование электрическое осветительное, [ОКПД2 96.09] Услуги персональные прочие, не включенные в другие группировки</t>
  </si>
  <si>
    <t>0301300001119000037</t>
  </si>
  <si>
    <t>6127007209</t>
  </si>
  <si>
    <t>937022</t>
  </si>
  <si>
    <t>Песчанокопский район</t>
  </si>
  <si>
    <t>0151300009919000105</t>
  </si>
  <si>
    <t>6234118746</t>
  </si>
  <si>
    <t>5904290694</t>
  </si>
  <si>
    <t>31908041401</t>
  </si>
  <si>
    <t>936509</t>
  </si>
  <si>
    <t>0373200082119000210</t>
  </si>
  <si>
    <t>773607060602</t>
  </si>
  <si>
    <t>771610393809</t>
  </si>
  <si>
    <t>7203217080</t>
  </si>
  <si>
    <t>31908039248</t>
  </si>
  <si>
    <t>0320200009219000178</t>
  </si>
  <si>
    <t>2901011989</t>
  </si>
  <si>
    <t>0124200000619003234</t>
  </si>
  <si>
    <t>5046049382</t>
  </si>
  <si>
    <t>31908040276</t>
  </si>
  <si>
    <t>31908040268</t>
  </si>
  <si>
    <t>31908039449</t>
  </si>
  <si>
    <t>0372200240619000027</t>
  </si>
  <si>
    <t>0710056248</t>
  </si>
  <si>
    <t>5050068035</t>
  </si>
  <si>
    <t>769428</t>
  </si>
  <si>
    <t>2635231910</t>
  </si>
  <si>
    <t>0321300001119000377</t>
  </si>
  <si>
    <t>0123200000319001954</t>
  </si>
  <si>
    <t>6812006381</t>
  </si>
  <si>
    <t>0164200003019001802</t>
  </si>
  <si>
    <t>0888100000119000260</t>
  </si>
  <si>
    <t>Чаунский район</t>
  </si>
  <si>
    <t>5501039329</t>
  </si>
  <si>
    <t>935464</t>
  </si>
  <si>
    <t>0161300000119001111</t>
  </si>
  <si>
    <t>6501104097</t>
  </si>
  <si>
    <t>6501105608</t>
  </si>
  <si>
    <t>6501102501</t>
  </si>
  <si>
    <t>6501102597</t>
  </si>
  <si>
    <t>0161300000119001112</t>
  </si>
  <si>
    <t>6501067286</t>
  </si>
  <si>
    <t>6501102702</t>
  </si>
  <si>
    <t>6501099947</t>
  </si>
  <si>
    <t>6501102452</t>
  </si>
  <si>
    <t>6501255466</t>
  </si>
  <si>
    <t>0161300000119001110</t>
  </si>
  <si>
    <t>6501102460</t>
  </si>
  <si>
    <t>6501160479</t>
  </si>
  <si>
    <t>6501103223</t>
  </si>
  <si>
    <t>5191500265</t>
  </si>
  <si>
    <t>31908039479</t>
  </si>
  <si>
    <t>935724</t>
  </si>
  <si>
    <t>0342100009419000057</t>
  </si>
  <si>
    <t>6324062294</t>
  </si>
  <si>
    <t>0872400000219000239</t>
  </si>
  <si>
    <t>7105052351</t>
  </si>
  <si>
    <t>7839083297</t>
  </si>
  <si>
    <t>0888100000119000258</t>
  </si>
  <si>
    <t>0872400000219000240</t>
  </si>
  <si>
    <t>1655010393</t>
  </si>
  <si>
    <t>0311300293819000034</t>
  </si>
  <si>
    <t>0888100000119000259</t>
  </si>
  <si>
    <t>935162</t>
  </si>
  <si>
    <t>0836600003319000427</t>
  </si>
  <si>
    <t>6904031758</t>
  </si>
  <si>
    <t>6904031910</t>
  </si>
  <si>
    <t>5025032067</t>
  </si>
  <si>
    <t>0848300053819000145</t>
  </si>
  <si>
    <t>Сокольский район</t>
  </si>
  <si>
    <t>0836600003319000420</t>
  </si>
  <si>
    <t>6904022506</t>
  </si>
  <si>
    <t>6904028770</t>
  </si>
  <si>
    <t>6904028561</t>
  </si>
  <si>
    <t>6904032208</t>
  </si>
  <si>
    <t>6904029325</t>
  </si>
  <si>
    <t>6904028265</t>
  </si>
  <si>
    <t>0133300019219000015</t>
  </si>
  <si>
    <t>0836600003319000423</t>
  </si>
  <si>
    <t>6902036542</t>
  </si>
  <si>
    <t>6902026880</t>
  </si>
  <si>
    <t>0358300132719000049</t>
  </si>
  <si>
    <t>616700683719</t>
  </si>
  <si>
    <t>0836600003319000422</t>
  </si>
  <si>
    <t>6902027668</t>
  </si>
  <si>
    <t>6902027594</t>
  </si>
  <si>
    <t>5430000072</t>
  </si>
  <si>
    <t>935290</t>
  </si>
  <si>
    <t>Кыштовский район</t>
  </si>
  <si>
    <t>935255</t>
  </si>
  <si>
    <t>0836600003319000421</t>
  </si>
  <si>
    <t>6902028534</t>
  </si>
  <si>
    <t>6902027650</t>
  </si>
  <si>
    <t>0836600003319000428</t>
  </si>
  <si>
    <t>6903035686</t>
  </si>
  <si>
    <t>6903035319</t>
  </si>
  <si>
    <t>6903034717</t>
  </si>
  <si>
    <t>7806020975</t>
  </si>
  <si>
    <t>0372200085219000072</t>
  </si>
  <si>
    <t>1308084358</t>
  </si>
  <si>
    <t>7710357632</t>
  </si>
  <si>
    <t>7702788586</t>
  </si>
  <si>
    <t>0325200024519000018</t>
  </si>
  <si>
    <t>3009002417</t>
  </si>
  <si>
    <t>0836600003319000426</t>
  </si>
  <si>
    <t>6905062332</t>
  </si>
  <si>
    <t>6905062325</t>
  </si>
  <si>
    <t>6905062572</t>
  </si>
  <si>
    <t>6905062780</t>
  </si>
  <si>
    <t>0320100006719000028</t>
  </si>
  <si>
    <t>250209424104</t>
  </si>
  <si>
    <t>0836600003319000425</t>
  </si>
  <si>
    <t>6902025131</t>
  </si>
  <si>
    <t>6902025124</t>
  </si>
  <si>
    <t>6902019160</t>
  </si>
  <si>
    <t>6902025910</t>
  </si>
  <si>
    <t>6902025156</t>
  </si>
  <si>
    <t>РН978771</t>
  </si>
  <si>
    <t>0172200002519000123</t>
  </si>
  <si>
    <t>7820020631</t>
  </si>
  <si>
    <t>7820020261</t>
  </si>
  <si>
    <t>7820314159</t>
  </si>
  <si>
    <t>7820020600</t>
  </si>
  <si>
    <t>7820020617</t>
  </si>
  <si>
    <t>7820326242</t>
  </si>
  <si>
    <t>7820020550</t>
  </si>
  <si>
    <t>7820023689</t>
  </si>
  <si>
    <t>7822005653</t>
  </si>
  <si>
    <t>7820020705</t>
  </si>
  <si>
    <t>7820020543</t>
  </si>
  <si>
    <t>7820020582</t>
  </si>
  <si>
    <t>7820300910</t>
  </si>
  <si>
    <t>7820020744</t>
  </si>
  <si>
    <t>7820020575</t>
  </si>
  <si>
    <t>7820020720</t>
  </si>
  <si>
    <t>7820020649</t>
  </si>
  <si>
    <t>7820020624</t>
  </si>
  <si>
    <t>7820337205</t>
  </si>
  <si>
    <t>7820023657</t>
  </si>
  <si>
    <t>7820337212</t>
  </si>
  <si>
    <t>7820020751</t>
  </si>
  <si>
    <t>7820020712</t>
  </si>
  <si>
    <t>7820020737</t>
  </si>
  <si>
    <t>4707018546</t>
  </si>
  <si>
    <t>0145300010319000169</t>
  </si>
  <si>
    <t>0866300000719000034</t>
  </si>
  <si>
    <t>711606495447</t>
  </si>
  <si>
    <t>7116001239</t>
  </si>
  <si>
    <t>7116032660</t>
  </si>
  <si>
    <t>4804003168</t>
  </si>
  <si>
    <t>0146100009219000001</t>
  </si>
  <si>
    <t>103024</t>
  </si>
  <si>
    <t>0866300000719000033</t>
  </si>
  <si>
    <t>7116026441</t>
  </si>
  <si>
    <t>7116031498</t>
  </si>
  <si>
    <t>7116031586</t>
  </si>
  <si>
    <t>7116032124</t>
  </si>
  <si>
    <t>7116032607</t>
  </si>
  <si>
    <t>7116031770</t>
  </si>
  <si>
    <t>7116032283</t>
  </si>
  <si>
    <t>7116032580</t>
  </si>
  <si>
    <t>7116031508</t>
  </si>
  <si>
    <t>7116031900</t>
  </si>
  <si>
    <t>7116033015</t>
  </si>
  <si>
    <t>7842378830</t>
  </si>
  <si>
    <t>0145200000419001288</t>
  </si>
  <si>
    <t>4712018100</t>
  </si>
  <si>
    <t>5101700858</t>
  </si>
  <si>
    <t>0349300001719000156</t>
  </si>
  <si>
    <t>510100485341</t>
  </si>
  <si>
    <t>0346300066019000006</t>
  </si>
  <si>
    <t>100206787119000006</t>
  </si>
  <si>
    <t>31908037861</t>
  </si>
  <si>
    <t>100004344119000003</t>
  </si>
  <si>
    <t>100178512119000021</t>
  </si>
  <si>
    <t>100178512119000020</t>
  </si>
  <si>
    <t>934199</t>
  </si>
  <si>
    <t>2225107927</t>
  </si>
  <si>
    <t>934168</t>
  </si>
  <si>
    <t>31908037439</t>
  </si>
  <si>
    <t>347626</t>
  </si>
  <si>
    <t>5610065801</t>
  </si>
  <si>
    <t>31908037209</t>
  </si>
  <si>
    <t>5024189001</t>
  </si>
  <si>
    <t>769123</t>
  </si>
  <si>
    <t>3906091556</t>
  </si>
  <si>
    <t>31908037218</t>
  </si>
  <si>
    <t>7418009756</t>
  </si>
  <si>
    <t>31908036971</t>
  </si>
  <si>
    <t>100102662119000024</t>
  </si>
  <si>
    <t>5101100280</t>
  </si>
  <si>
    <t>31908037193</t>
  </si>
  <si>
    <t>5111002250</t>
  </si>
  <si>
    <t>5046051913</t>
  </si>
  <si>
    <t>31908037080</t>
  </si>
  <si>
    <t>31908036491</t>
  </si>
  <si>
    <t>7202021704</t>
  </si>
  <si>
    <t>7203082530</t>
  </si>
  <si>
    <t>7203076671</t>
  </si>
  <si>
    <t>7203084626</t>
  </si>
  <si>
    <t>7203076537</t>
  </si>
  <si>
    <t>7202060380</t>
  </si>
  <si>
    <t>7202060326</t>
  </si>
  <si>
    <t>7202060365</t>
  </si>
  <si>
    <t>7202076679</t>
  </si>
  <si>
    <t>1435073060</t>
  </si>
  <si>
    <t>31908034222</t>
  </si>
  <si>
    <t>5610223906</t>
  </si>
  <si>
    <t>31908035920</t>
  </si>
  <si>
    <t>0148100002419000053</t>
  </si>
  <si>
    <t>0373200001919000141</t>
  </si>
  <si>
    <t>8602200548</t>
  </si>
  <si>
    <t>0387200017219000059</t>
  </si>
  <si>
    <t>5505213112</t>
  </si>
  <si>
    <t>8603229420</t>
  </si>
  <si>
    <t>0145200000419001284</t>
  </si>
  <si>
    <t>7806378506</t>
  </si>
  <si>
    <t>0148100002419000052</t>
  </si>
  <si>
    <t>0148100002419000055</t>
  </si>
  <si>
    <t>0148100002419000054</t>
  </si>
  <si>
    <t>9108116889</t>
  </si>
  <si>
    <t>0375300013219000005</t>
  </si>
  <si>
    <t>0851100001919000513</t>
  </si>
  <si>
    <t>0348100029419000031</t>
  </si>
  <si>
    <t>[ОКПД2 81.10] Услуги по комплексному обслуживанию помещений</t>
  </si>
  <si>
    <t>500910219609</t>
  </si>
  <si>
    <t>100109771119000012</t>
  </si>
  <si>
    <t>3702083677</t>
  </si>
  <si>
    <t>31908036207</t>
  </si>
  <si>
    <t>0853500000319006960</t>
  </si>
  <si>
    <t>7722692667</t>
  </si>
  <si>
    <t>0141100008719000016</t>
  </si>
  <si>
    <t>121101481690</t>
  </si>
  <si>
    <t>0123200000319001943</t>
  </si>
  <si>
    <t>31908033963</t>
  </si>
  <si>
    <t>5610043438</t>
  </si>
  <si>
    <t>0853500000319006991</t>
  </si>
  <si>
    <t>31908036225</t>
  </si>
  <si>
    <t>0360100018919000002</t>
  </si>
  <si>
    <t>2224028905</t>
  </si>
  <si>
    <t>0117100008819000015</t>
  </si>
  <si>
    <t>222404516917</t>
  </si>
  <si>
    <t>100109771119000011</t>
  </si>
  <si>
    <t>2636015461</t>
  </si>
  <si>
    <t>0321300001119000370</t>
  </si>
  <si>
    <t>2636015447</t>
  </si>
  <si>
    <t>0321300001119000366</t>
  </si>
  <si>
    <t>0862100005119000655</t>
  </si>
  <si>
    <t>[ОКПД2 62.02] Услуги консультативные, связанные с компьютерной техникой, [ОКПД2 95.11] Услуги по ремонту компьютеров и периферийного оборудования</t>
  </si>
  <si>
    <t>4345394240</t>
  </si>
  <si>
    <t>9721031844</t>
  </si>
  <si>
    <t>8902009574</t>
  </si>
  <si>
    <t>933355</t>
  </si>
  <si>
    <t>5753003306</t>
  </si>
  <si>
    <t>0154200000719000921</t>
  </si>
  <si>
    <t>3216001330</t>
  </si>
  <si>
    <t>0121100004419000009</t>
  </si>
  <si>
    <t>7806024909</t>
  </si>
  <si>
    <t>0372100031019000011</t>
  </si>
  <si>
    <t>7802760150</t>
  </si>
  <si>
    <t>0372100003419000449</t>
  </si>
  <si>
    <t>[ОКПД2 26.30] Оборудование коммуникационное, [ОКПД2 26.20] Компьютеры и периферийное оборудование, [ОКПД2 62.09] Услуги в области информационных технологий прочие и компьютерные услуги</t>
  </si>
  <si>
    <t>7802876821</t>
  </si>
  <si>
    <t>7825408940</t>
  </si>
  <si>
    <t>6939001112</t>
  </si>
  <si>
    <t>0136300003119000067</t>
  </si>
  <si>
    <t>[ОКПД2 10.81] Сахар, [ОКПД2 10.83] Чай и кофе обработанные, [ОКПД2 10.20] Рыба переработанная и консервированная, ракообразные и моллюски, [ОКПД2 10.61] Продукция мукомольно-крупяного производства, [ОКПД2 08.93] Соль и хлорид натрия чистый, вода морская, [ОКПД2 10.73] Изделия макаронные, кускус и аналогичные мучные изделия, [ОКПД2 10.13] Продукция мясная пищевая, в том числе из мяса птицы</t>
  </si>
  <si>
    <t>Селижаровский район</t>
  </si>
  <si>
    <t>782510555807</t>
  </si>
  <si>
    <t>0348100088219000017</t>
  </si>
  <si>
    <t>7325001306</t>
  </si>
  <si>
    <t>0168200002419004881</t>
  </si>
  <si>
    <t>732716389365</t>
  </si>
  <si>
    <t>7328011800</t>
  </si>
  <si>
    <t>552502562073</t>
  </si>
  <si>
    <t>7325066021</t>
  </si>
  <si>
    <t>2130109517</t>
  </si>
  <si>
    <t>732500089190</t>
  </si>
  <si>
    <t>2634026108</t>
  </si>
  <si>
    <t>0321300001119000371</t>
  </si>
  <si>
    <t>100158624119000014</t>
  </si>
  <si>
    <t>100153879119000019</t>
  </si>
  <si>
    <t>102958</t>
  </si>
  <si>
    <t>3327101468</t>
  </si>
  <si>
    <t>0128200000119004182</t>
  </si>
  <si>
    <t>2635036451</t>
  </si>
  <si>
    <t>0321300001119000368</t>
  </si>
  <si>
    <t>768872</t>
  </si>
  <si>
    <t>2635220877</t>
  </si>
  <si>
    <t>0321300001119000365</t>
  </si>
  <si>
    <t>7702235133</t>
  </si>
  <si>
    <t>1516328</t>
  </si>
  <si>
    <t>31908034523</t>
  </si>
  <si>
    <t>2636025903</t>
  </si>
  <si>
    <t>0321300001119000367</t>
  </si>
  <si>
    <t>9701103096</t>
  </si>
  <si>
    <t>0373500002119000004</t>
  </si>
  <si>
    <t>7725399561</t>
  </si>
  <si>
    <t>7718676694</t>
  </si>
  <si>
    <t>771370505604</t>
  </si>
  <si>
    <t>31908035273</t>
  </si>
  <si>
    <t>31908035244</t>
  </si>
  <si>
    <t>7806524066</t>
  </si>
  <si>
    <t>0172200000719000100</t>
  </si>
  <si>
    <t>7806345814</t>
  </si>
  <si>
    <t>2309057824</t>
  </si>
  <si>
    <t>0318200032419000064</t>
  </si>
  <si>
    <t>31908035293</t>
  </si>
  <si>
    <t>6606005047</t>
  </si>
  <si>
    <t>31908034305</t>
  </si>
  <si>
    <t>7450006213</t>
  </si>
  <si>
    <t>932568</t>
  </si>
  <si>
    <t>7806042062</t>
  </si>
  <si>
    <t>0172200000719000099</t>
  </si>
  <si>
    <t>7806059034</t>
  </si>
  <si>
    <t>0172200000719000101</t>
  </si>
  <si>
    <t>7806443650</t>
  </si>
  <si>
    <t>0172200000719000102</t>
  </si>
  <si>
    <t>3123023081</t>
  </si>
  <si>
    <t>0126300035819000880</t>
  </si>
  <si>
    <t>3123346050</t>
  </si>
  <si>
    <t>2926002305</t>
  </si>
  <si>
    <t>0124200000619003166</t>
  </si>
  <si>
    <t>290117446992</t>
  </si>
  <si>
    <t>5504008590</t>
  </si>
  <si>
    <t>0152200004719001055</t>
  </si>
  <si>
    <t>5505221875</t>
  </si>
  <si>
    <t>0240100000219000110</t>
  </si>
  <si>
    <t>4445378</t>
  </si>
  <si>
    <t>[ОКПД2 35.23] Услуги по торговле газом, подаваемым по трубопроводам</t>
  </si>
  <si>
    <t>13852</t>
  </si>
  <si>
    <t>7725413350</t>
  </si>
  <si>
    <t>2566423</t>
  </si>
  <si>
    <t>7806029336</t>
  </si>
  <si>
    <t>0172200000719000098</t>
  </si>
  <si>
    <t>31908034448</t>
  </si>
  <si>
    <t>6905002904</t>
  </si>
  <si>
    <t>0136200003619003639</t>
  </si>
  <si>
    <t>690400193488</t>
  </si>
  <si>
    <t>0379100002919000015</t>
  </si>
  <si>
    <t>090100276401</t>
  </si>
  <si>
    <t>6632011343</t>
  </si>
  <si>
    <t>31908032830</t>
  </si>
  <si>
    <t>100309467119000022</t>
  </si>
  <si>
    <t>1615012965</t>
  </si>
  <si>
    <t>1011500001419000011</t>
  </si>
  <si>
    <t>6701002455</t>
  </si>
  <si>
    <t>0163100005619000014</t>
  </si>
  <si>
    <t>Велижский район</t>
  </si>
  <si>
    <t>0380200000119003594</t>
  </si>
  <si>
    <t>2464019742</t>
  </si>
  <si>
    <t>7810152614</t>
  </si>
  <si>
    <t>0372200191019000014</t>
  </si>
  <si>
    <t>0808100000219000134</t>
  </si>
  <si>
    <t>121501796535</t>
  </si>
  <si>
    <t>0335100010819000123</t>
  </si>
  <si>
    <t>3906967272</t>
  </si>
  <si>
    <t>2721024523</t>
  </si>
  <si>
    <t>0322100004719000165</t>
  </si>
  <si>
    <t>2724209836</t>
  </si>
  <si>
    <t>2725097674</t>
  </si>
  <si>
    <t>0335100010819000121</t>
  </si>
  <si>
    <t>0811400000119000519</t>
  </si>
  <si>
    <t>1659167652</t>
  </si>
  <si>
    <t>31908031835</t>
  </si>
  <si>
    <t>5047200244</t>
  </si>
  <si>
    <t>0848300053819000143</t>
  </si>
  <si>
    <t>5047159490</t>
  </si>
  <si>
    <t>5047180742</t>
  </si>
  <si>
    <t>0380100002519000004</t>
  </si>
  <si>
    <t>190105329459</t>
  </si>
  <si>
    <t>1909001638</t>
  </si>
  <si>
    <t>0180100004919000006</t>
  </si>
  <si>
    <t>Таштыпский район</t>
  </si>
  <si>
    <t>190901100226</t>
  </si>
  <si>
    <t>2721068961</t>
  </si>
  <si>
    <t>31908031816</t>
  </si>
  <si>
    <t>6234162336</t>
  </si>
  <si>
    <t>100252871119000014</t>
  </si>
  <si>
    <t>2723184410</t>
  </si>
  <si>
    <t>31908031769</t>
  </si>
  <si>
    <t>7610037710</t>
  </si>
  <si>
    <t>0171200001919001005</t>
  </si>
  <si>
    <t>761015267655</t>
  </si>
  <si>
    <t>2225014292</t>
  </si>
  <si>
    <t>931232</t>
  </si>
  <si>
    <t>100252871119000013</t>
  </si>
  <si>
    <t>8902009461</t>
  </si>
  <si>
    <t>31908032296</t>
  </si>
  <si>
    <t>3605005747</t>
  </si>
  <si>
    <t>0331300096119000005</t>
  </si>
  <si>
    <t>360500016020</t>
  </si>
  <si>
    <t>3604020492</t>
  </si>
  <si>
    <t>6902025406</t>
  </si>
  <si>
    <t>0836600003319000417</t>
  </si>
  <si>
    <t>0240100000219000109</t>
  </si>
  <si>
    <t>3823001534</t>
  </si>
  <si>
    <t>0334100022319000033</t>
  </si>
  <si>
    <t>[ОКПД2 26.40] Техника бытовая электронная, [ОКПД2 27.11] Электродвигатели, генераторы и трансформаторы</t>
  </si>
  <si>
    <t>Братский район</t>
  </si>
  <si>
    <t>931350</t>
  </si>
  <si>
    <t>4704046312</t>
  </si>
  <si>
    <t>0845300015019000352</t>
  </si>
  <si>
    <t>13806</t>
  </si>
  <si>
    <t>5050119667</t>
  </si>
  <si>
    <t>31908032433</t>
  </si>
  <si>
    <t>[ОКПД2 56.21] Услуги по поставке продукции общественного питания и обслуживанию торжественных мероприятий, [ОКПД2 93.19] Услуги в области спорта прочие, [ОКВЭД2 56.21] Деятельность предприятий общественного питания по обслуживанию торжественных мероприятий, [ОКВЭД2 93.19] Деятельность в области спорта прочая</t>
  </si>
  <si>
    <t>2291000623</t>
  </si>
  <si>
    <t>0817200000319006889</t>
  </si>
  <si>
    <t>Сибирский</t>
  </si>
  <si>
    <t>2291000486</t>
  </si>
  <si>
    <t>0121100004319000020</t>
  </si>
  <si>
    <t>0331300096119000004</t>
  </si>
  <si>
    <t>[ОКПД2 46.32] Услуги по оптовой торговле мясом и мясными продуктами</t>
  </si>
  <si>
    <t>360500185645</t>
  </si>
  <si>
    <t>3811054813</t>
  </si>
  <si>
    <t>0134200000119002213</t>
  </si>
  <si>
    <t>0121100004319000021</t>
  </si>
  <si>
    <t>0813100000319000089</t>
  </si>
  <si>
    <t>0813100000319000088</t>
  </si>
  <si>
    <t>0836600003319000416</t>
  </si>
  <si>
    <t>6904031733</t>
  </si>
  <si>
    <t>6904031469</t>
  </si>
  <si>
    <t>6904031740</t>
  </si>
  <si>
    <t>6904031620</t>
  </si>
  <si>
    <t>6950126764</t>
  </si>
  <si>
    <t>0156200009919000357</t>
  </si>
  <si>
    <t>5903132536</t>
  </si>
  <si>
    <t>930435</t>
  </si>
  <si>
    <t>31908031967</t>
  </si>
  <si>
    <t>2019-726639</t>
  </si>
  <si>
    <t>2019-726353</t>
  </si>
  <si>
    <t>2019-726684</t>
  </si>
  <si>
    <t>31908031482</t>
  </si>
  <si>
    <t>0158300044819000094</t>
  </si>
  <si>
    <t>31908031537</t>
  </si>
  <si>
    <t>100288012119000012</t>
  </si>
  <si>
    <t>7701058410</t>
  </si>
  <si>
    <t>ГП930363</t>
  </si>
  <si>
    <t>0348100070619000130</t>
  </si>
  <si>
    <t>0348100070619000129</t>
  </si>
  <si>
    <t>0348100070619000125</t>
  </si>
  <si>
    <t>0348100070619000128</t>
  </si>
  <si>
    <t>0348100070619000124</t>
  </si>
  <si>
    <t>4100013650</t>
  </si>
  <si>
    <t>0338200009119000033</t>
  </si>
  <si>
    <t>0348100070619000127</t>
  </si>
  <si>
    <t>0373100029519000075</t>
  </si>
  <si>
    <t>7714410132</t>
  </si>
  <si>
    <t>0348100070619000123</t>
  </si>
  <si>
    <t>31908031229</t>
  </si>
  <si>
    <t>0348100070619000122</t>
  </si>
  <si>
    <t>0224013045</t>
  </si>
  <si>
    <t>7714290474</t>
  </si>
  <si>
    <t>0373200018819000833</t>
  </si>
  <si>
    <t>771612974485</t>
  </si>
  <si>
    <t>0348100070619000126</t>
  </si>
  <si>
    <t>31908030319</t>
  </si>
  <si>
    <t>7203076400</t>
  </si>
  <si>
    <t>7204006356</t>
  </si>
  <si>
    <t>7203058376</t>
  </si>
  <si>
    <t>7204192511</t>
  </si>
  <si>
    <t>7203076544</t>
  </si>
  <si>
    <t>7202024737</t>
  </si>
  <si>
    <t>7202045134</t>
  </si>
  <si>
    <t>7204006010</t>
  </si>
  <si>
    <t>2312079360</t>
  </si>
  <si>
    <t>0318200063919002672</t>
  </si>
  <si>
    <t>2310044354</t>
  </si>
  <si>
    <t>1433016669</t>
  </si>
  <si>
    <t>0116300000219000241</t>
  </si>
  <si>
    <t>31908027035</t>
  </si>
  <si>
    <t>31908030857</t>
  </si>
  <si>
    <t>0274059951</t>
  </si>
  <si>
    <t>0101100000619000114</t>
  </si>
  <si>
    <t>7704308242</t>
  </si>
  <si>
    <t>0273089223</t>
  </si>
  <si>
    <t>3904020535</t>
  </si>
  <si>
    <t>0335100002319000011</t>
  </si>
  <si>
    <t>3906951836</t>
  </si>
  <si>
    <t>0131200001019003252</t>
  </si>
  <si>
    <t>5032004550</t>
  </si>
  <si>
    <t>0348100051619000021</t>
  </si>
  <si>
    <t>0362200050719000497</t>
  </si>
  <si>
    <t>744900825704</t>
  </si>
  <si>
    <t>7451193365</t>
  </si>
  <si>
    <t>860318853480</t>
  </si>
  <si>
    <t>6612001971</t>
  </si>
  <si>
    <t>6682014389</t>
  </si>
  <si>
    <t>6612045778</t>
  </si>
  <si>
    <t>31908031070</t>
  </si>
  <si>
    <t>0348100051619000020</t>
  </si>
  <si>
    <t>772140857392</t>
  </si>
  <si>
    <t>3316300616</t>
  </si>
  <si>
    <t>0328100015619000005</t>
  </si>
  <si>
    <t>3316012294</t>
  </si>
  <si>
    <t>31908031022</t>
  </si>
  <si>
    <t>6163022298</t>
  </si>
  <si>
    <t>0158200000719000065</t>
  </si>
  <si>
    <t>6163079248</t>
  </si>
  <si>
    <t>8608040594</t>
  </si>
  <si>
    <t>31908028987</t>
  </si>
  <si>
    <t>2635022145</t>
  </si>
  <si>
    <t>0321300001119000357</t>
  </si>
  <si>
    <t>2450020530</t>
  </si>
  <si>
    <t>0319100019719000025</t>
  </si>
  <si>
    <t>0853500000319006820</t>
  </si>
  <si>
    <t>2566099</t>
  </si>
  <si>
    <t>3123448020</t>
  </si>
  <si>
    <t>929361</t>
  </si>
  <si>
    <t>[ОКПД2 26.40] Техника бытовая электронная, [ОКПД2 26.20] Компьютеры и периферийное оборудование, [ОКПД2 33.20] Услуги по монтажу промышленных машин и оборудования, [ОКПД2 27.32] Провода и кабели электронные и электрические прочие, [ОКПД2 32.30] Товары спортивные</t>
  </si>
  <si>
    <t>6659209750</t>
  </si>
  <si>
    <t>0123200000319001916</t>
  </si>
  <si>
    <t>6229083181</t>
  </si>
  <si>
    <t>100252865119000032</t>
  </si>
  <si>
    <t>0303100008819000012</t>
  </si>
  <si>
    <t>0570008450</t>
  </si>
  <si>
    <t>0319100019719000023</t>
  </si>
  <si>
    <t>4217007312</t>
  </si>
  <si>
    <t>0139200000119004855</t>
  </si>
  <si>
    <t>421712377468</t>
  </si>
  <si>
    <t>0332100039819000005</t>
  </si>
  <si>
    <t>340800324103</t>
  </si>
  <si>
    <t>7842301428</t>
  </si>
  <si>
    <t>0372200212419000092</t>
  </si>
  <si>
    <t>5024184941</t>
  </si>
  <si>
    <t>7806098354</t>
  </si>
  <si>
    <t>781018302935</t>
  </si>
  <si>
    <t>7841423328</t>
  </si>
  <si>
    <t>7842154886</t>
  </si>
  <si>
    <t>7309006410</t>
  </si>
  <si>
    <t>7817065368</t>
  </si>
  <si>
    <t>2130167910</t>
  </si>
  <si>
    <t>2635036356</t>
  </si>
  <si>
    <t>0321300001119000362</t>
  </si>
  <si>
    <t>2635801159</t>
  </si>
  <si>
    <t>0321300001119000360</t>
  </si>
  <si>
    <t>0115100008319000014</t>
  </si>
  <si>
    <t>0319100019719000024</t>
  </si>
  <si>
    <t>2636027883</t>
  </si>
  <si>
    <t>0321300001119000359</t>
  </si>
  <si>
    <t>2709005203</t>
  </si>
  <si>
    <t>0122100009419000022</t>
  </si>
  <si>
    <t>Ванинский район</t>
  </si>
  <si>
    <t>270906442030</t>
  </si>
  <si>
    <t>0377100007619000012</t>
  </si>
  <si>
    <t>100252865119000031</t>
  </si>
  <si>
    <t>7203126481</t>
  </si>
  <si>
    <t>0367100015319000023</t>
  </si>
  <si>
    <t>100252865119000033</t>
  </si>
  <si>
    <t>3442028495</t>
  </si>
  <si>
    <t>0129200005319002385</t>
  </si>
  <si>
    <t>5610069429</t>
  </si>
  <si>
    <t>31908029354</t>
  </si>
  <si>
    <t>0123200000319001908</t>
  </si>
  <si>
    <t>2721233132</t>
  </si>
  <si>
    <t>2634026073</t>
  </si>
  <si>
    <t>0321300001119000354</t>
  </si>
  <si>
    <t>4026000669</t>
  </si>
  <si>
    <t>31908029985</t>
  </si>
  <si>
    <t>6660013279</t>
  </si>
  <si>
    <t>0262100002919000300</t>
  </si>
  <si>
    <t>6623023198</t>
  </si>
  <si>
    <t>5635008080</t>
  </si>
  <si>
    <t>31908029563</t>
  </si>
  <si>
    <t>0544014104</t>
  </si>
  <si>
    <t>0103200008419005111</t>
  </si>
  <si>
    <t>7215008010</t>
  </si>
  <si>
    <t>31908028891</t>
  </si>
  <si>
    <t>2635022353</t>
  </si>
  <si>
    <t>0321300001119000356</t>
  </si>
  <si>
    <t>5044011721</t>
  </si>
  <si>
    <t>0348100025819000018</t>
  </si>
  <si>
    <t>2635036331</t>
  </si>
  <si>
    <t>0321300001119000353</t>
  </si>
  <si>
    <t>2635058575</t>
  </si>
  <si>
    <t>0321300001119000358</t>
  </si>
  <si>
    <t>0321100008819000026</t>
  </si>
  <si>
    <t>31908029915</t>
  </si>
  <si>
    <t>0123200000319001907</t>
  </si>
  <si>
    <t>31908028916</t>
  </si>
  <si>
    <t>31908028857</t>
  </si>
  <si>
    <t>0348100025819000017</t>
  </si>
  <si>
    <t>31908028786</t>
  </si>
  <si>
    <t>31908028828</t>
  </si>
  <si>
    <t>31908027963</t>
  </si>
  <si>
    <t>0319100019719000022</t>
  </si>
  <si>
    <t>2635023043</t>
  </si>
  <si>
    <t>0321300001119000352</t>
  </si>
  <si>
    <t>5021011490</t>
  </si>
  <si>
    <t>768220</t>
  </si>
  <si>
    <t>31908028752</t>
  </si>
  <si>
    <t>31908028706</t>
  </si>
  <si>
    <t>[ОКПД2 35.11] Электроэнергия, [ОКВЭД2 35.11] Производство электроэнергии</t>
  </si>
  <si>
    <t>Заводоуковский район</t>
  </si>
  <si>
    <t>6620007247</t>
  </si>
  <si>
    <t>0162300014119000061</t>
  </si>
  <si>
    <t>6620014445</t>
  </si>
  <si>
    <t>2703003922</t>
  </si>
  <si>
    <t>0322200027419000133</t>
  </si>
  <si>
    <t>3117001756</t>
  </si>
  <si>
    <t>100091713119000005</t>
  </si>
  <si>
    <t>0711200016819000119</t>
  </si>
  <si>
    <t>Лениногорск</t>
  </si>
  <si>
    <t>0372200275619000066</t>
  </si>
  <si>
    <t>7804417630</t>
  </si>
  <si>
    <t>7531006589</t>
  </si>
  <si>
    <t>0891200000619006902</t>
  </si>
  <si>
    <t>[ОКПД2 17.29] Изделия из бумаги и картона прочие</t>
  </si>
  <si>
    <t>Петровск-Забайкальский район</t>
  </si>
  <si>
    <t>0323027708</t>
  </si>
  <si>
    <t>4823007778</t>
  </si>
  <si>
    <t>0346200000119000010</t>
  </si>
  <si>
    <t>482304455260</t>
  </si>
  <si>
    <t>4824067000</t>
  </si>
  <si>
    <t>0306300009919000101</t>
  </si>
  <si>
    <t>3665006760</t>
  </si>
  <si>
    <t>100267679119000055</t>
  </si>
  <si>
    <t>5904101731</t>
  </si>
  <si>
    <t>31908028311</t>
  </si>
  <si>
    <t>4720016315</t>
  </si>
  <si>
    <t>0145200000419001220</t>
  </si>
  <si>
    <t>7203220244</t>
  </si>
  <si>
    <t>0167100002719000015</t>
  </si>
  <si>
    <t>0356200015019000048</t>
  </si>
  <si>
    <t>100091713119000006</t>
  </si>
  <si>
    <t>0161500000119000015</t>
  </si>
  <si>
    <t>6501212254</t>
  </si>
  <si>
    <t>0128100000819000117</t>
  </si>
  <si>
    <t>31908028005</t>
  </si>
  <si>
    <t>0121100003419000019</t>
  </si>
  <si>
    <t>1903004248</t>
  </si>
  <si>
    <t>0380200000119003547</t>
  </si>
  <si>
    <t>2455013864</t>
  </si>
  <si>
    <t>190100411685</t>
  </si>
  <si>
    <t>190100238350</t>
  </si>
  <si>
    <t>1901136489</t>
  </si>
  <si>
    <t>0836600003319000407</t>
  </si>
  <si>
    <t>6903033368</t>
  </si>
  <si>
    <t>6903034210</t>
  </si>
  <si>
    <t>0836600003319000411</t>
  </si>
  <si>
    <t>6904028427</t>
  </si>
  <si>
    <t>6904029276</t>
  </si>
  <si>
    <t>100153458119000012</t>
  </si>
  <si>
    <t>31908028374</t>
  </si>
  <si>
    <t>0408000141</t>
  </si>
  <si>
    <t>0177200000919001430</t>
  </si>
  <si>
    <t>0836600003319000406</t>
  </si>
  <si>
    <t>6903035284</t>
  </si>
  <si>
    <t>6903038359</t>
  </si>
  <si>
    <t>767912</t>
  </si>
  <si>
    <t>5507035754</t>
  </si>
  <si>
    <t>927774</t>
  </si>
  <si>
    <t>0117100008819000014</t>
  </si>
  <si>
    <t>0353100009719000009</t>
  </si>
  <si>
    <t>0206100000319000076</t>
  </si>
  <si>
    <t>7424030731</t>
  </si>
  <si>
    <t>0369100008819000013</t>
  </si>
  <si>
    <t>Троицк</t>
  </si>
  <si>
    <t>741856934209</t>
  </si>
  <si>
    <t>2221029770</t>
  </si>
  <si>
    <t>927110</t>
  </si>
  <si>
    <t>Ребрихинский район</t>
  </si>
  <si>
    <t>5948016787</t>
  </si>
  <si>
    <t>31908026668</t>
  </si>
  <si>
    <t>5948023054</t>
  </si>
  <si>
    <t>927324</t>
  </si>
  <si>
    <t>0866300000719000032</t>
  </si>
  <si>
    <t>7116032318</t>
  </si>
  <si>
    <t>7116032734</t>
  </si>
  <si>
    <t>7116002056</t>
  </si>
  <si>
    <t>7116032886</t>
  </si>
  <si>
    <t>7116000309</t>
  </si>
  <si>
    <t>7116026434</t>
  </si>
  <si>
    <t>767830</t>
  </si>
  <si>
    <t>7438003030</t>
  </si>
  <si>
    <t>0369300014819000099</t>
  </si>
  <si>
    <t>[ОКПД2 29.32] Комплектующие и принадлежности для автотранспортных средств прочие, [ОКПД2 33.13] Услуги по ремонту электронного и оптического оборудования, [ОКПД2 19.20] Нефтепродукты, [ОКПД2 27.90] Оборудование электрическое прочее, [ОКПД2 27.33] Изделия электроустановочные, [ОКПД2 27.20] Батареи и аккумуляторы</t>
  </si>
  <si>
    <t>7736627820</t>
  </si>
  <si>
    <t>0146300035219000128</t>
  </si>
  <si>
    <t>1833053506</t>
  </si>
  <si>
    <t>0313100006519000011</t>
  </si>
  <si>
    <t>1840013695</t>
  </si>
  <si>
    <t>0146300035219000130</t>
  </si>
  <si>
    <t>0362200014419000309</t>
  </si>
  <si>
    <t>6685011227</t>
  </si>
  <si>
    <t>31908026098</t>
  </si>
  <si>
    <t>0146300035219000134</t>
  </si>
  <si>
    <t>0880100001019000007</t>
  </si>
  <si>
    <t>0356100005619000017</t>
  </si>
  <si>
    <t>5316000574</t>
  </si>
  <si>
    <t>0150300008019000042</t>
  </si>
  <si>
    <t>Хвойнинский район</t>
  </si>
  <si>
    <t>5316000126</t>
  </si>
  <si>
    <t>0373200138219000426</t>
  </si>
  <si>
    <t>0318200063919002678</t>
  </si>
  <si>
    <t>0191100002719000015</t>
  </si>
  <si>
    <t>0880100001019000008</t>
  </si>
  <si>
    <t>926394</t>
  </si>
  <si>
    <t>926326</t>
  </si>
  <si>
    <t>1606001734</t>
  </si>
  <si>
    <t>BP00299549</t>
  </si>
  <si>
    <t>7215005643</t>
  </si>
  <si>
    <t>31908025927</t>
  </si>
  <si>
    <t>31908025543</t>
  </si>
  <si>
    <t>7704083285</t>
  </si>
  <si>
    <t>0373100111919000005</t>
  </si>
  <si>
    <t>9718001247</t>
  </si>
  <si>
    <t>7706032102</t>
  </si>
  <si>
    <t>7736680750</t>
  </si>
  <si>
    <t>0134400000119000008</t>
  </si>
  <si>
    <t>384403433099</t>
  </si>
  <si>
    <t>0134100010019000033</t>
  </si>
  <si>
    <t>5040114973</t>
  </si>
  <si>
    <t>31908025676</t>
  </si>
  <si>
    <t>31908022891</t>
  </si>
  <si>
    <t>0134100010019000031</t>
  </si>
  <si>
    <t>0134100010019000032</t>
  </si>
  <si>
    <t>31908025690</t>
  </si>
  <si>
    <t>510100117500</t>
  </si>
  <si>
    <t>31908025286</t>
  </si>
  <si>
    <t>0172200001419000098</t>
  </si>
  <si>
    <t>7805396573</t>
  </si>
  <si>
    <t>7805149380</t>
  </si>
  <si>
    <t>7805149260</t>
  </si>
  <si>
    <t>7805149422</t>
  </si>
  <si>
    <t>0387100014519000002</t>
  </si>
  <si>
    <t>0172200001419000091</t>
  </si>
  <si>
    <t>7805011953</t>
  </si>
  <si>
    <t>7805149302</t>
  </si>
  <si>
    <t>7805146735</t>
  </si>
  <si>
    <t>7805146728</t>
  </si>
  <si>
    <t>0356100005719000025</t>
  </si>
  <si>
    <t>Кудымкар</t>
  </si>
  <si>
    <t>810700712940</t>
  </si>
  <si>
    <t>0319200056819000115</t>
  </si>
  <si>
    <t>5104004785</t>
  </si>
  <si>
    <t>0849300004519000069</t>
  </si>
  <si>
    <t>5104908653</t>
  </si>
  <si>
    <t>0172200001419000090</t>
  </si>
  <si>
    <t>7805149366</t>
  </si>
  <si>
    <t>7805149341</t>
  </si>
  <si>
    <t>7805149454</t>
  </si>
  <si>
    <t>31908025358</t>
  </si>
  <si>
    <t>31908025398</t>
  </si>
  <si>
    <t>0335200015719000016</t>
  </si>
  <si>
    <t>0172200001419000097</t>
  </si>
  <si>
    <t>7805149214</t>
  </si>
  <si>
    <t>7805145474</t>
  </si>
  <si>
    <t>7805146799</t>
  </si>
  <si>
    <t>7017115556</t>
  </si>
  <si>
    <t>0165300010519000649</t>
  </si>
  <si>
    <t>2340002658</t>
  </si>
  <si>
    <t>0318300053119000211</t>
  </si>
  <si>
    <t>6027014883</t>
  </si>
  <si>
    <t>0157300025219000287</t>
  </si>
  <si>
    <t>6027127044</t>
  </si>
  <si>
    <t>0162200011819001641</t>
  </si>
  <si>
    <t>0335200015719000017</t>
  </si>
  <si>
    <t>0172200001419000095</t>
  </si>
  <si>
    <t>7805149180</t>
  </si>
  <si>
    <t>7805149197</t>
  </si>
  <si>
    <t>7805149207</t>
  </si>
  <si>
    <t>7805146774</t>
  </si>
  <si>
    <t>0172200001419000093</t>
  </si>
  <si>
    <t>7805039638</t>
  </si>
  <si>
    <t>7805149285</t>
  </si>
  <si>
    <t>7805149486</t>
  </si>
  <si>
    <t>7805011569</t>
  </si>
  <si>
    <t>31908024208</t>
  </si>
  <si>
    <t>2628802360</t>
  </si>
  <si>
    <t>2635022385</t>
  </si>
  <si>
    <t>0321300001119000345</t>
  </si>
  <si>
    <t>0172200001419000094</t>
  </si>
  <si>
    <t>7805149310</t>
  </si>
  <si>
    <t>7805149430</t>
  </si>
  <si>
    <t>7805149479</t>
  </si>
  <si>
    <t>1435227834</t>
  </si>
  <si>
    <t>0116300000119000622</t>
  </si>
  <si>
    <t>[ОКПД2 32.99] Изделия готовые прочие, не включенные в другие группировки, [ОКПД2 56.29] Услуги по обеспечению питанием прочие, [ОКПД2 93.29] Услуги в области развлечений и отдыха прочие</t>
  </si>
  <si>
    <t>31908024627</t>
  </si>
  <si>
    <t>0172200001419000087</t>
  </si>
  <si>
    <t>7805149535</t>
  </si>
  <si>
    <t>7805146742</t>
  </si>
  <si>
    <t>7805149493</t>
  </si>
  <si>
    <t>0172200001419000096</t>
  </si>
  <si>
    <t>7805149408</t>
  </si>
  <si>
    <t>7805149373</t>
  </si>
  <si>
    <t>7805149461</t>
  </si>
  <si>
    <t>7805149447</t>
  </si>
  <si>
    <t>6027023870</t>
  </si>
  <si>
    <t>0157300025219000286</t>
  </si>
  <si>
    <t>6027138737</t>
  </si>
  <si>
    <t>2565674</t>
  </si>
  <si>
    <t>0335200015719000015</t>
  </si>
  <si>
    <t>6731003512</t>
  </si>
  <si>
    <t>0163200000319004331</t>
  </si>
  <si>
    <t>6731052439</t>
  </si>
  <si>
    <t>6730041089</t>
  </si>
  <si>
    <t>0172200001419000092</t>
  </si>
  <si>
    <t>7805149221</t>
  </si>
  <si>
    <t>7805149398</t>
  </si>
  <si>
    <t>7805149528</t>
  </si>
  <si>
    <t>7805149510</t>
  </si>
  <si>
    <t>0855200000519001618</t>
  </si>
  <si>
    <t>582610252600</t>
  </si>
  <si>
    <t>1324127601</t>
  </si>
  <si>
    <t>31908025039</t>
  </si>
  <si>
    <t>6658070336</t>
  </si>
  <si>
    <t>0362200046219000005</t>
  </si>
  <si>
    <t>666400204452</t>
  </si>
  <si>
    <t>8904042048</t>
  </si>
  <si>
    <t>31908023679</t>
  </si>
  <si>
    <t>890401482199</t>
  </si>
  <si>
    <t>6027012893</t>
  </si>
  <si>
    <t>0157300025219000285</t>
  </si>
  <si>
    <t>31908023798</t>
  </si>
  <si>
    <t>6027019955</t>
  </si>
  <si>
    <t>0157300025219000284</t>
  </si>
  <si>
    <t>0123100004819000009</t>
  </si>
  <si>
    <t>0342100009419000039</t>
  </si>
  <si>
    <t>2636025893</t>
  </si>
  <si>
    <t>0321300001119000350</t>
  </si>
  <si>
    <t>31908024281</t>
  </si>
  <si>
    <t>0817200000319006711</t>
  </si>
  <si>
    <t>2221029594</t>
  </si>
  <si>
    <t>6027009643</t>
  </si>
  <si>
    <t>0157300025219000283</t>
  </si>
  <si>
    <t>4712013705</t>
  </si>
  <si>
    <t>0345300098319000007</t>
  </si>
  <si>
    <t>5609024328</t>
  </si>
  <si>
    <t>31908023231</t>
  </si>
  <si>
    <t>6027009690</t>
  </si>
  <si>
    <t>0157300025219000282</t>
  </si>
  <si>
    <t>6027009820</t>
  </si>
  <si>
    <t>0157300025219000281</t>
  </si>
  <si>
    <t>0372200274019000052</t>
  </si>
  <si>
    <t>0308100009919000011</t>
  </si>
  <si>
    <t>2636015285</t>
  </si>
  <si>
    <t>0321300001119000349</t>
  </si>
  <si>
    <t>31908024485</t>
  </si>
  <si>
    <t>0372200274019000053</t>
  </si>
  <si>
    <t>2634023611</t>
  </si>
  <si>
    <t>0321300001119000348</t>
  </si>
  <si>
    <t>31908024246</t>
  </si>
  <si>
    <t>100133799119000004</t>
  </si>
  <si>
    <t>5429100795</t>
  </si>
  <si>
    <t>0151100007919000001</t>
  </si>
  <si>
    <t>542908556606</t>
  </si>
  <si>
    <t>542906038408</t>
  </si>
  <si>
    <t>0172200001419000089</t>
  </si>
  <si>
    <t>7805149292</t>
  </si>
  <si>
    <t>7805149246</t>
  </si>
  <si>
    <t>7805149253</t>
  </si>
  <si>
    <t>0307300050219000111</t>
  </si>
  <si>
    <t>0235100000919000131</t>
  </si>
  <si>
    <t>3912006703</t>
  </si>
  <si>
    <t>0356500003819000001</t>
  </si>
  <si>
    <t>590300828734</t>
  </si>
  <si>
    <t>31908024215</t>
  </si>
  <si>
    <t>31908024020</t>
  </si>
  <si>
    <t>1004003572</t>
  </si>
  <si>
    <t>0306200018819000247</t>
  </si>
  <si>
    <t>3525105231</t>
  </si>
  <si>
    <t>924764</t>
  </si>
  <si>
    <t>0306200010219000404</t>
  </si>
  <si>
    <t>0172200001419000086</t>
  </si>
  <si>
    <t>7805149327</t>
  </si>
  <si>
    <t>7805149334</t>
  </si>
  <si>
    <t>7805009961</t>
  </si>
  <si>
    <t>7805149503</t>
  </si>
  <si>
    <t>0119400000119000054</t>
  </si>
  <si>
    <t>1655018804</t>
  </si>
  <si>
    <t>31908024025</t>
  </si>
  <si>
    <t>0172200001419000088</t>
  </si>
  <si>
    <t>7805093057</t>
  </si>
  <si>
    <t>7805149239</t>
  </si>
  <si>
    <t>7805149542</t>
  </si>
  <si>
    <t>7805149359</t>
  </si>
  <si>
    <t>0165100002719000062</t>
  </si>
  <si>
    <t>0357200022319000035</t>
  </si>
  <si>
    <t>1402014460</t>
  </si>
  <si>
    <t>0816300014519000210</t>
  </si>
  <si>
    <t>1628001350</t>
  </si>
  <si>
    <t>0311200042219000005</t>
  </si>
  <si>
    <t>0165100002719000067</t>
  </si>
  <si>
    <t>0357200022319000036</t>
  </si>
  <si>
    <t>2325012073</t>
  </si>
  <si>
    <t>0818300022719000229</t>
  </si>
  <si>
    <t>Апшеронский район</t>
  </si>
  <si>
    <t>232503063037</t>
  </si>
  <si>
    <t>0165100002719000066</t>
  </si>
  <si>
    <t>0165100002719000064</t>
  </si>
  <si>
    <t>0165100002719000063</t>
  </si>
  <si>
    <t>0165100002719000065</t>
  </si>
  <si>
    <t>6665006821</t>
  </si>
  <si>
    <t>0362300054019000004</t>
  </si>
  <si>
    <t>6612027440</t>
  </si>
  <si>
    <t>5834046876</t>
  </si>
  <si>
    <t>0155100006119000032</t>
  </si>
  <si>
    <t>0326100010519000073</t>
  </si>
  <si>
    <t>0155100006119000030</t>
  </si>
  <si>
    <t>5837059136</t>
  </si>
  <si>
    <t>31908022385</t>
  </si>
  <si>
    <t>923854</t>
  </si>
  <si>
    <t>2635031742</t>
  </si>
  <si>
    <t>0321300001119000346</t>
  </si>
  <si>
    <t>6620007230</t>
  </si>
  <si>
    <t>0162300014119000059</t>
  </si>
  <si>
    <t>0155100006119000031</t>
  </si>
  <si>
    <t>0326100010519000075</t>
  </si>
  <si>
    <t>1434027896</t>
  </si>
  <si>
    <t>0316300055819000009</t>
  </si>
  <si>
    <t>1434042943</t>
  </si>
  <si>
    <t>0326100010519000072</t>
  </si>
  <si>
    <t>2524003563</t>
  </si>
  <si>
    <t>100191474119000008</t>
  </si>
  <si>
    <t>3508009707</t>
  </si>
  <si>
    <t>0830100001719000042</t>
  </si>
  <si>
    <t>3508000253</t>
  </si>
  <si>
    <t>0326100010519000074</t>
  </si>
  <si>
    <t>0326100010519000071</t>
  </si>
  <si>
    <t>31908020925</t>
  </si>
  <si>
    <t>6162013734</t>
  </si>
  <si>
    <t>31908022209</t>
  </si>
  <si>
    <t>3329025565</t>
  </si>
  <si>
    <t>0128200000119004074</t>
  </si>
  <si>
    <t>0851300000119000214</t>
  </si>
  <si>
    <t>8608010423</t>
  </si>
  <si>
    <t>31908021291</t>
  </si>
  <si>
    <t>5027187620</t>
  </si>
  <si>
    <t>767052</t>
  </si>
  <si>
    <t>Котельники</t>
  </si>
  <si>
    <t>0387100014519000001</t>
  </si>
  <si>
    <t>0171200001919000982</t>
  </si>
  <si>
    <t>31908020895</t>
  </si>
  <si>
    <t>6903031787</t>
  </si>
  <si>
    <t>0836600003319000382</t>
  </si>
  <si>
    <t>0349100009019000008</t>
  </si>
  <si>
    <t>1326135615</t>
  </si>
  <si>
    <t>0809500000319001256</t>
  </si>
  <si>
    <t>2449002720</t>
  </si>
  <si>
    <t>0119200000119005737</t>
  </si>
  <si>
    <t>Туруханский район</t>
  </si>
  <si>
    <t>2449002110</t>
  </si>
  <si>
    <t>6211001879</t>
  </si>
  <si>
    <t>0159300037719000041</t>
  </si>
  <si>
    <t>6211001808</t>
  </si>
  <si>
    <t>4825008209</t>
  </si>
  <si>
    <t>0346200006819000075</t>
  </si>
  <si>
    <t>Добровский район</t>
  </si>
  <si>
    <t>0349100009019000009</t>
  </si>
  <si>
    <t>0848300048419000390</t>
  </si>
  <si>
    <t>0809500000319001258</t>
  </si>
  <si>
    <t>0342100019519000040</t>
  </si>
  <si>
    <t>6658463168</t>
  </si>
  <si>
    <t>0362200071719000295</t>
  </si>
  <si>
    <t>6623115924</t>
  </si>
  <si>
    <t>31908021270</t>
  </si>
  <si>
    <t>0317100003519000011</t>
  </si>
  <si>
    <t>3235001230</t>
  </si>
  <si>
    <t>0127200000219003800</t>
  </si>
  <si>
    <t>6611006529</t>
  </si>
  <si>
    <t>0362300108819000003</t>
  </si>
  <si>
    <t>Ирбит</t>
  </si>
  <si>
    <t>6611001062</t>
  </si>
  <si>
    <t>РН966642</t>
  </si>
  <si>
    <t>2019-725411</t>
  </si>
  <si>
    <t>2019-725632</t>
  </si>
  <si>
    <t>2019-725685</t>
  </si>
  <si>
    <t>BP00298997</t>
  </si>
  <si>
    <t>6501112348</t>
  </si>
  <si>
    <t>31908020579</t>
  </si>
  <si>
    <t>31908020597</t>
  </si>
  <si>
    <t>5101310960</t>
  </si>
  <si>
    <t>31908020592</t>
  </si>
  <si>
    <t>753700003765</t>
  </si>
  <si>
    <t>5612018540</t>
  </si>
  <si>
    <t>31908020564</t>
  </si>
  <si>
    <t>31908020560</t>
  </si>
  <si>
    <t>5609038176</t>
  </si>
  <si>
    <t>31908020550</t>
  </si>
  <si>
    <t>5611024607</t>
  </si>
  <si>
    <t>31908020547</t>
  </si>
  <si>
    <t>COM20061900077</t>
  </si>
  <si>
    <t>31908020246</t>
  </si>
  <si>
    <t>2722118196</t>
  </si>
  <si>
    <t>31908017796</t>
  </si>
  <si>
    <t>31908019780</t>
  </si>
  <si>
    <t>7203108274</t>
  </si>
  <si>
    <t>7204006042</t>
  </si>
  <si>
    <t>7204006187</t>
  </si>
  <si>
    <t>7202033308</t>
  </si>
  <si>
    <t>7204006236</t>
  </si>
  <si>
    <t>7202041838</t>
  </si>
  <si>
    <t>7202033650</t>
  </si>
  <si>
    <t>7203076255</t>
  </si>
  <si>
    <t>0173100013219000021</t>
  </si>
  <si>
    <t>31908019998</t>
  </si>
  <si>
    <t>0248000750</t>
  </si>
  <si>
    <t>0301100042119000003</t>
  </si>
  <si>
    <t>Хайбуллинский район</t>
  </si>
  <si>
    <t>026701251292</t>
  </si>
  <si>
    <t>2401000178</t>
  </si>
  <si>
    <t>0119200000119005735</t>
  </si>
  <si>
    <t>2460110856</t>
  </si>
  <si>
    <t>2465046114</t>
  </si>
  <si>
    <t>ATOM21061900201</t>
  </si>
  <si>
    <t>2565309</t>
  </si>
  <si>
    <t>6027014749</t>
  </si>
  <si>
    <t>0157300025219000280</t>
  </si>
  <si>
    <t>6027123811</t>
  </si>
  <si>
    <t>31908019416</t>
  </si>
  <si>
    <t>0372200141819000046</t>
  </si>
  <si>
    <t>511006133182</t>
  </si>
  <si>
    <t>3123315285</t>
  </si>
  <si>
    <t>0126300035819000863</t>
  </si>
  <si>
    <t>3124012798</t>
  </si>
  <si>
    <t>312312906504</t>
  </si>
  <si>
    <t>0372200240619000026</t>
  </si>
  <si>
    <t>31908019443</t>
  </si>
  <si>
    <t>6501150632</t>
  </si>
  <si>
    <t>0361200015019004105</t>
  </si>
  <si>
    <t>6027011346</t>
  </si>
  <si>
    <t>0157300025219000277</t>
  </si>
  <si>
    <t>31908017861</t>
  </si>
  <si>
    <t>0348100020219000013</t>
  </si>
  <si>
    <t>0387200016419000036</t>
  </si>
  <si>
    <t>31908019052</t>
  </si>
  <si>
    <t>6027014890</t>
  </si>
  <si>
    <t>0157300025219000275</t>
  </si>
  <si>
    <t>0126300035819000862</t>
  </si>
  <si>
    <t>0321200030019000068</t>
  </si>
  <si>
    <t>6027024754</t>
  </si>
  <si>
    <t>0157300025219000273</t>
  </si>
  <si>
    <t>31908017099</t>
  </si>
  <si>
    <t>766592</t>
  </si>
  <si>
    <t>0122100009419000021</t>
  </si>
  <si>
    <t>31908017887</t>
  </si>
  <si>
    <t>5609024279</t>
  </si>
  <si>
    <t>31908017844</t>
  </si>
  <si>
    <t>31908018677</t>
  </si>
  <si>
    <t>0119100008619000013</t>
  </si>
  <si>
    <t>9102063782</t>
  </si>
  <si>
    <t>0375200004519000045</t>
  </si>
  <si>
    <t>0348100020219000012</t>
  </si>
  <si>
    <t>31908018128</t>
  </si>
  <si>
    <t>5610052030</t>
  </si>
  <si>
    <t>31908017650</t>
  </si>
  <si>
    <t>6027014756</t>
  </si>
  <si>
    <t>0157300025219000274</t>
  </si>
  <si>
    <t>6027014763</t>
  </si>
  <si>
    <t>0157300025219000276</t>
  </si>
  <si>
    <t>0245100001419000095</t>
  </si>
  <si>
    <t>0372200274019000050</t>
  </si>
  <si>
    <t>5049014130</t>
  </si>
  <si>
    <t>766590</t>
  </si>
  <si>
    <t>7813446362</t>
  </si>
  <si>
    <t>0372200211819000017</t>
  </si>
  <si>
    <t>7806410527</t>
  </si>
  <si>
    <t>6901066135</t>
  </si>
  <si>
    <t>0136100006919000062</t>
  </si>
  <si>
    <t>7730576872</t>
  </si>
  <si>
    <t>31908016363</t>
  </si>
  <si>
    <t>0372200274019000049</t>
  </si>
  <si>
    <t>31908018410</t>
  </si>
  <si>
    <t>0348100008919000014</t>
  </si>
  <si>
    <t>410505339642</t>
  </si>
  <si>
    <t>31908015300</t>
  </si>
  <si>
    <t>[ОКПД2 56.29] Услуги по обеспечению питанием прочие, [ОКВЭД2 55.20] Деятельность по предоставлению мест для краткосрочного проживания</t>
  </si>
  <si>
    <t>0373200006219000975</t>
  </si>
  <si>
    <t>772019736955</t>
  </si>
  <si>
    <t>0372200000719000026</t>
  </si>
  <si>
    <t>5610036350</t>
  </si>
  <si>
    <t>0853500000319006695</t>
  </si>
  <si>
    <t>4027139180</t>
  </si>
  <si>
    <t>0335100010819000117</t>
  </si>
  <si>
    <t>7415020430</t>
  </si>
  <si>
    <t>5074021090</t>
  </si>
  <si>
    <t>0352200011819000080</t>
  </si>
  <si>
    <t>31908015955</t>
  </si>
  <si>
    <t>31908015548</t>
  </si>
  <si>
    <t>5502033778</t>
  </si>
  <si>
    <t>920267</t>
  </si>
  <si>
    <t>0355100015219000005</t>
  </si>
  <si>
    <t>7813046011</t>
  </si>
  <si>
    <t>0372200211719000015</t>
  </si>
  <si>
    <t>5321086400</t>
  </si>
  <si>
    <t>7807386740</t>
  </si>
  <si>
    <t>7811631899</t>
  </si>
  <si>
    <t>0377100007619000011</t>
  </si>
  <si>
    <t>0324100010919000008</t>
  </si>
  <si>
    <t>0133200001719001851</t>
  </si>
  <si>
    <t>31908015514</t>
  </si>
  <si>
    <t>31908015545</t>
  </si>
  <si>
    <t>0848300046119000348</t>
  </si>
  <si>
    <t>5028017405</t>
  </si>
  <si>
    <t>5028017356</t>
  </si>
  <si>
    <t>5028017187</t>
  </si>
  <si>
    <t>5028017370</t>
  </si>
  <si>
    <t>5028017451</t>
  </si>
  <si>
    <t>5028017469</t>
  </si>
  <si>
    <t>5028017437</t>
  </si>
  <si>
    <t>5028017324</t>
  </si>
  <si>
    <t>0819100001719000015</t>
  </si>
  <si>
    <t>0819100001719000016</t>
  </si>
  <si>
    <t>0848300046119000349</t>
  </si>
  <si>
    <t>5028017349</t>
  </si>
  <si>
    <t>5028017395</t>
  </si>
  <si>
    <t>5028017483</t>
  </si>
  <si>
    <t>8603231740</t>
  </si>
  <si>
    <t>31908015799</t>
  </si>
  <si>
    <t>4025077436</t>
  </si>
  <si>
    <t>0137200001219003066</t>
  </si>
  <si>
    <t>400703671356</t>
  </si>
  <si>
    <t>920087</t>
  </si>
  <si>
    <t>919999</t>
  </si>
  <si>
    <t>5110002842</t>
  </si>
  <si>
    <t>РН966413</t>
  </si>
  <si>
    <t>6162021809</t>
  </si>
  <si>
    <t>0358200033619000005</t>
  </si>
  <si>
    <t>616400258216</t>
  </si>
  <si>
    <t>2263005796</t>
  </si>
  <si>
    <t>919484</t>
  </si>
  <si>
    <t>[ОКПД2 10.61] Продукция мукомольно-крупяного производства, [ОКПД2 01.13] Овощи и культуры бахчевые, корнеплоды и клубнеплоды, [ОКПД2 01.47] Птица сельскохозяйственная живая и яйца</t>
  </si>
  <si>
    <t>919545</t>
  </si>
  <si>
    <t>5914210458</t>
  </si>
  <si>
    <t>0156300000419000105</t>
  </si>
  <si>
    <t>591404243114</t>
  </si>
  <si>
    <t>8620001023</t>
  </si>
  <si>
    <t>31908015479</t>
  </si>
  <si>
    <t>31908016505</t>
  </si>
  <si>
    <t>0136300050519000071</t>
  </si>
  <si>
    <t>0387100013019000003</t>
  </si>
  <si>
    <t>8601065695</t>
  </si>
  <si>
    <t>5076000218</t>
  </si>
  <si>
    <t>0348300050119000087</t>
  </si>
  <si>
    <t>Серебряные Пруды рп</t>
  </si>
  <si>
    <t>0264100000119000091</t>
  </si>
  <si>
    <t>0319100023519000009</t>
  </si>
  <si>
    <t>2455009603</t>
  </si>
  <si>
    <t>7720080355</t>
  </si>
  <si>
    <t>0373200113419000154</t>
  </si>
  <si>
    <t>351200798117</t>
  </si>
  <si>
    <t>773102753235</t>
  </si>
  <si>
    <t>0319100023519000010</t>
  </si>
  <si>
    <t>31908014979</t>
  </si>
  <si>
    <t>6904028843</t>
  </si>
  <si>
    <t>0836600003319000378</t>
  </si>
  <si>
    <t>5502033760</t>
  </si>
  <si>
    <t>919293</t>
  </si>
  <si>
    <t>0319100023519000007</t>
  </si>
  <si>
    <t>0264100000119000090</t>
  </si>
  <si>
    <t>0319100023519000008</t>
  </si>
  <si>
    <t>8903020517</t>
  </si>
  <si>
    <t>0190300001219000520</t>
  </si>
  <si>
    <t>8903023148</t>
  </si>
  <si>
    <t>0351300203619000014</t>
  </si>
  <si>
    <t>5405195090</t>
  </si>
  <si>
    <t>5410013267</t>
  </si>
  <si>
    <t>1655249350</t>
  </si>
  <si>
    <t>0264100000119000089</t>
  </si>
  <si>
    <t>0140100010719000034</t>
  </si>
  <si>
    <t>4324003094</t>
  </si>
  <si>
    <t>31908015117</t>
  </si>
  <si>
    <t>0339300016919000069</t>
  </si>
  <si>
    <t>Юрга</t>
  </si>
  <si>
    <t>100291096119000016</t>
  </si>
  <si>
    <t>0358300325119000005</t>
  </si>
  <si>
    <t>6150927910</t>
  </si>
  <si>
    <t>6150928832</t>
  </si>
  <si>
    <t>6150929000</t>
  </si>
  <si>
    <t>6150929392</t>
  </si>
  <si>
    <t>6150927902</t>
  </si>
  <si>
    <t>6150928945</t>
  </si>
  <si>
    <t>6150928014</t>
  </si>
  <si>
    <t>6150021635</t>
  </si>
  <si>
    <t>6125030315</t>
  </si>
  <si>
    <t>3459068785</t>
  </si>
  <si>
    <t>6150092971</t>
  </si>
  <si>
    <t>5919017218</t>
  </si>
  <si>
    <t>31908382203</t>
  </si>
  <si>
    <t>BP00297910</t>
  </si>
  <si>
    <t>7602024040</t>
  </si>
  <si>
    <t>31908014793</t>
  </si>
  <si>
    <t>6027009837</t>
  </si>
  <si>
    <t>0157300025219000272</t>
  </si>
  <si>
    <t>6027027152</t>
  </si>
  <si>
    <t>100153879119000014</t>
  </si>
  <si>
    <t>0131200001019003041</t>
  </si>
  <si>
    <t>1433029266</t>
  </si>
  <si>
    <t>0116300000219000234</t>
  </si>
  <si>
    <t>1433031762</t>
  </si>
  <si>
    <t>6027041125</t>
  </si>
  <si>
    <t>0157300025219000271</t>
  </si>
  <si>
    <t>7734034550</t>
  </si>
  <si>
    <t>31908014189</t>
  </si>
  <si>
    <t>[ОКПД2 74+] Услуги профессиональные, научные и технические, прочие, [ОКВЭД2 56.10] Деятельность ресторанов и услуги по доставке продуктов питания</t>
  </si>
  <si>
    <t>772074175355</t>
  </si>
  <si>
    <t>31908014251</t>
  </si>
  <si>
    <t>6027018895</t>
  </si>
  <si>
    <t>0157300025219000268</t>
  </si>
  <si>
    <t>6027009682</t>
  </si>
  <si>
    <t>0157300025219000267</t>
  </si>
  <si>
    <t>6027127887</t>
  </si>
  <si>
    <t>0362200046219000004</t>
  </si>
  <si>
    <t>6027009675</t>
  </si>
  <si>
    <t>0157300025219000269</t>
  </si>
  <si>
    <t>РН966211</t>
  </si>
  <si>
    <t>31908009600</t>
  </si>
  <si>
    <t>[ОКПД2 55.10] Услуги гостиниц и аналогичные услуги по предоставлению временного жилья, [ОКВЭД2 56.10] Деятельность ресторанов и услуги по доставке продуктов питания</t>
  </si>
  <si>
    <t>6027024955</t>
  </si>
  <si>
    <t>0157300025219000270</t>
  </si>
  <si>
    <t>0836600003319000376</t>
  </si>
  <si>
    <t>6904031300</t>
  </si>
  <si>
    <t>6904024214</t>
  </si>
  <si>
    <t>31908013941</t>
  </si>
  <si>
    <t>5614006571</t>
  </si>
  <si>
    <t>0853500000319006680</t>
  </si>
  <si>
    <t>5604010000</t>
  </si>
  <si>
    <t>0853500000319006683</t>
  </si>
  <si>
    <t>5610065167</t>
  </si>
  <si>
    <t>31908012475</t>
  </si>
  <si>
    <t>5611020112</t>
  </si>
  <si>
    <t>31908012300</t>
  </si>
  <si>
    <t>2634026066</t>
  </si>
  <si>
    <t>0321300001119000326</t>
  </si>
  <si>
    <t>1832015850</t>
  </si>
  <si>
    <t>31908013344</t>
  </si>
  <si>
    <t>[ОКПД2 46.39] Услуги по неспециализированной оптовой торговле пищевыми продуктами, напитками и табачными изделиями, [ОКВЭД2 46.39] Торговля оптовая неспециализированная пищевыми продуктами, напитками и табачными изделиями</t>
  </si>
  <si>
    <t>3319003594</t>
  </si>
  <si>
    <t>0328100007619000001</t>
  </si>
  <si>
    <t>Меленковский район</t>
  </si>
  <si>
    <t>331902871848</t>
  </si>
  <si>
    <t>0369100050819000041</t>
  </si>
  <si>
    <t>744406391357</t>
  </si>
  <si>
    <t>744400345178</t>
  </si>
  <si>
    <t>6226003269</t>
  </si>
  <si>
    <t>0159100007419000025</t>
  </si>
  <si>
    <t>622683270267</t>
  </si>
  <si>
    <t>0235100000919000120</t>
  </si>
  <si>
    <t>0159100007419000024</t>
  </si>
  <si>
    <t>100200982119000013</t>
  </si>
  <si>
    <t>0369100050819000038</t>
  </si>
  <si>
    <t>0347100011619000083</t>
  </si>
  <si>
    <t>2626003731</t>
  </si>
  <si>
    <t>2635135300</t>
  </si>
  <si>
    <t>0321300001119000328</t>
  </si>
  <si>
    <t>2539009825</t>
  </si>
  <si>
    <t>31908009604</t>
  </si>
  <si>
    <t>2635022434</t>
  </si>
  <si>
    <t>0321300001119000327</t>
  </si>
  <si>
    <t>3460055950</t>
  </si>
  <si>
    <t>0329200062219002317</t>
  </si>
  <si>
    <t>9731013509</t>
  </si>
  <si>
    <t>0119100012819000013</t>
  </si>
  <si>
    <t>0339300004519000163</t>
  </si>
  <si>
    <t>1832150514</t>
  </si>
  <si>
    <t>31908012477</t>
  </si>
  <si>
    <t>[ОКПД2 56.10] Услуги ресторанов и услуги по доставке продуктов питания, [ОКВЭД2 46+] Торговля оптовая, кроме оптовой торговли автотранспортными средствами и мотоциклами</t>
  </si>
  <si>
    <t>0139100008119000010</t>
  </si>
  <si>
    <t>5408100233</t>
  </si>
  <si>
    <t>31908011348</t>
  </si>
  <si>
    <t>5408125196</t>
  </si>
  <si>
    <t>31908011927</t>
  </si>
  <si>
    <t>7456039938</t>
  </si>
  <si>
    <t>0369100050819000039</t>
  </si>
  <si>
    <t>0369100050819000040</t>
  </si>
  <si>
    <t>31908009662</t>
  </si>
  <si>
    <t>0119100012819000012</t>
  </si>
  <si>
    <t>7710152113</t>
  </si>
  <si>
    <t>0173200000119000019</t>
  </si>
  <si>
    <t>7701994547</t>
  </si>
  <si>
    <t>7704830280</t>
  </si>
  <si>
    <t>7731450270</t>
  </si>
  <si>
    <t>31908011970</t>
  </si>
  <si>
    <t>0276122493</t>
  </si>
  <si>
    <t>6150068224</t>
  </si>
  <si>
    <t>0158100025619000020</t>
  </si>
  <si>
    <t>615012414488</t>
  </si>
  <si>
    <t>31908012503</t>
  </si>
  <si>
    <t>100320550119000014</t>
  </si>
  <si>
    <t>7740000090</t>
  </si>
  <si>
    <t>31908012412</t>
  </si>
  <si>
    <t>6320003386</t>
  </si>
  <si>
    <t>0142200001319009330</t>
  </si>
  <si>
    <t>31908011575</t>
  </si>
  <si>
    <t>0158100025619000021</t>
  </si>
  <si>
    <t>6150076190</t>
  </si>
  <si>
    <t>31908009500</t>
  </si>
  <si>
    <t>3306003029</t>
  </si>
  <si>
    <t>0328100000819000047</t>
  </si>
  <si>
    <t>3327325549</t>
  </si>
  <si>
    <t>0329200062219002312</t>
  </si>
  <si>
    <t>1326136577</t>
  </si>
  <si>
    <t>0109100004419000057</t>
  </si>
  <si>
    <t>31908010472</t>
  </si>
  <si>
    <t>31908012191</t>
  </si>
  <si>
    <t>31908010805</t>
  </si>
  <si>
    <t>5025003588</t>
  </si>
  <si>
    <t>765645</t>
  </si>
  <si>
    <t>31908012243</t>
  </si>
  <si>
    <t>0121200004719000715</t>
  </si>
  <si>
    <t>262802182722</t>
  </si>
  <si>
    <t>31908009372</t>
  </si>
  <si>
    <t>6372022301</t>
  </si>
  <si>
    <t>0142100009519000002</t>
  </si>
  <si>
    <t>6340006963</t>
  </si>
  <si>
    <t>0142100009519000003</t>
  </si>
  <si>
    <t>0109100004419000054</t>
  </si>
  <si>
    <t>0309010170</t>
  </si>
  <si>
    <t>100072205119000043</t>
  </si>
  <si>
    <t>Кабанский район</t>
  </si>
  <si>
    <t>0357100009119000031</t>
  </si>
  <si>
    <t>6027043919</t>
  </si>
  <si>
    <t>3234011910</t>
  </si>
  <si>
    <t>31908011776</t>
  </si>
  <si>
    <t>8910002237</t>
  </si>
  <si>
    <t>0390100001219000033</t>
  </si>
  <si>
    <t>0348100082819000011</t>
  </si>
  <si>
    <t>0318100000419000029</t>
  </si>
  <si>
    <t>5021011235</t>
  </si>
  <si>
    <t>765481</t>
  </si>
  <si>
    <t>6317021970</t>
  </si>
  <si>
    <t>0342100015219000108</t>
  </si>
  <si>
    <t>6316239124</t>
  </si>
  <si>
    <t>6316026366</t>
  </si>
  <si>
    <t>0342100033819000040</t>
  </si>
  <si>
    <t>6316240296</t>
  </si>
  <si>
    <t>636704712498</t>
  </si>
  <si>
    <t>0190300000719000624</t>
  </si>
  <si>
    <t>31908009575</t>
  </si>
  <si>
    <t>0190300000719000622</t>
  </si>
  <si>
    <t>3419400820</t>
  </si>
  <si>
    <t>0329100014019000004</t>
  </si>
  <si>
    <t>Новоаннинский район</t>
  </si>
  <si>
    <t>341900326219</t>
  </si>
  <si>
    <t>0190300000719000623</t>
  </si>
  <si>
    <t>3455002166</t>
  </si>
  <si>
    <t>31908009901</t>
  </si>
  <si>
    <t>5009038400</t>
  </si>
  <si>
    <t>0848300047119000307</t>
  </si>
  <si>
    <t>7022000092</t>
  </si>
  <si>
    <t>0365300044219000126</t>
  </si>
  <si>
    <t>7022009024</t>
  </si>
  <si>
    <t>7203058175</t>
  </si>
  <si>
    <t>0167200003419003105</t>
  </si>
  <si>
    <t>7203211673</t>
  </si>
  <si>
    <t>7203323987</t>
  </si>
  <si>
    <t>6121008213</t>
  </si>
  <si>
    <t>0358300441819000007</t>
  </si>
  <si>
    <t>7812024833</t>
  </si>
  <si>
    <t>31908010102</t>
  </si>
  <si>
    <t>7022010238</t>
  </si>
  <si>
    <t>0365300044219000127</t>
  </si>
  <si>
    <t>7451018300</t>
  </si>
  <si>
    <t>0169100001319000028</t>
  </si>
  <si>
    <t>7451243471</t>
  </si>
  <si>
    <t>9201512735</t>
  </si>
  <si>
    <t>745012623902</t>
  </si>
  <si>
    <t>7022010140</t>
  </si>
  <si>
    <t>0365300044219000123</t>
  </si>
  <si>
    <t>7022010118</t>
  </si>
  <si>
    <t>0365300044219000125</t>
  </si>
  <si>
    <t>31908009338</t>
  </si>
  <si>
    <t>[ОКПД2 55.90] Услуги по предоставлению временного жилья прочие, [ОКПД2 56.10] Услуги ресторанов и услуги по доставке продуктов питания, [ОКВЭД2 55.90] Деятельность по предоставлению прочих мест для временного проживания, [ОКВЭД2 56.10] Деятельность ресторанов и услуги по доставке продуктов питания</t>
  </si>
  <si>
    <t>5528005944</t>
  </si>
  <si>
    <t>100111251119000007</t>
  </si>
  <si>
    <t>6904032582</t>
  </si>
  <si>
    <t>0836600003319000374</t>
  </si>
  <si>
    <t>0827100000219000012</t>
  </si>
  <si>
    <t>7022010083</t>
  </si>
  <si>
    <t>0365300044219000124</t>
  </si>
  <si>
    <t>7022010100</t>
  </si>
  <si>
    <t>0365300044219000120</t>
  </si>
  <si>
    <t>7022010076</t>
  </si>
  <si>
    <t>0365300044219000121</t>
  </si>
  <si>
    <t>7022010132</t>
  </si>
  <si>
    <t>0365300044219000122</t>
  </si>
  <si>
    <t>5918013210</t>
  </si>
  <si>
    <t>0356300224219000002</t>
  </si>
  <si>
    <t>591804517200</t>
  </si>
  <si>
    <t>7022010069</t>
  </si>
  <si>
    <t>0365300044219000119</t>
  </si>
  <si>
    <t>7022010090</t>
  </si>
  <si>
    <t>0365300044219000118</t>
  </si>
  <si>
    <t>914918</t>
  </si>
  <si>
    <t>6501156659</t>
  </si>
  <si>
    <t>РН954870</t>
  </si>
  <si>
    <t>[ОКПД2 78.20] Услуги, предоставляемые агентствами по временному трудоустройству, [ОКВЭД2 78+] Деятельность по трудоустройству и подбору персонала</t>
  </si>
  <si>
    <t>2564464</t>
  </si>
  <si>
    <t>2019-724620</t>
  </si>
  <si>
    <t>5321156320</t>
  </si>
  <si>
    <t>0850100000419000052</t>
  </si>
  <si>
    <t>Новгородский район</t>
  </si>
  <si>
    <t>5321170814</t>
  </si>
  <si>
    <t>5321103906</t>
  </si>
  <si>
    <t>5006007570</t>
  </si>
  <si>
    <t>765240</t>
  </si>
  <si>
    <t>31908009198</t>
  </si>
  <si>
    <t>[ОКПД2 56.1+] Услуги ресторанов и услуги по доставке продуктов питания, [ОКВЭД2 56+] Деятельность по предоставлению продуктов питания и напитков</t>
  </si>
  <si>
    <t>071003175728</t>
  </si>
  <si>
    <t>31908009055</t>
  </si>
  <si>
    <t>31908009145</t>
  </si>
  <si>
    <t>1502009030</t>
  </si>
  <si>
    <t>31908008878</t>
  </si>
  <si>
    <t>2466039624</t>
  </si>
  <si>
    <t>0219100000119000235</t>
  </si>
  <si>
    <t>2403001924</t>
  </si>
  <si>
    <t>6027011160</t>
  </si>
  <si>
    <t>0157300025219000264</t>
  </si>
  <si>
    <t>31908009002</t>
  </si>
  <si>
    <t>765167</t>
  </si>
  <si>
    <t>31908007242</t>
  </si>
  <si>
    <t>6027009844</t>
  </si>
  <si>
    <t>0157300025219000266</t>
  </si>
  <si>
    <t>6027011177</t>
  </si>
  <si>
    <t>0157300025219000265</t>
  </si>
  <si>
    <t>31908007180</t>
  </si>
  <si>
    <t>31908008127</t>
  </si>
  <si>
    <t>31908005244</t>
  </si>
  <si>
    <t>0373200059719000235</t>
  </si>
  <si>
    <t>7733089122</t>
  </si>
  <si>
    <t>31908006867</t>
  </si>
  <si>
    <t>6103005361</t>
  </si>
  <si>
    <t>0358300274519000003</t>
  </si>
  <si>
    <t>610314284846</t>
  </si>
  <si>
    <t>7725768875</t>
  </si>
  <si>
    <t>0373200601619000005</t>
  </si>
  <si>
    <t>7725045019</t>
  </si>
  <si>
    <t>5036034644</t>
  </si>
  <si>
    <t>765055</t>
  </si>
  <si>
    <t>5101700833</t>
  </si>
  <si>
    <t>0349300001719000146</t>
  </si>
  <si>
    <t>6924001335</t>
  </si>
  <si>
    <t>0136200003619003344</t>
  </si>
  <si>
    <t>690200278945</t>
  </si>
  <si>
    <t>7709006125</t>
  </si>
  <si>
    <t>31908008721</t>
  </si>
  <si>
    <t>0216100000319000285</t>
  </si>
  <si>
    <t>31908008390</t>
  </si>
  <si>
    <t>2635016751</t>
  </si>
  <si>
    <t>0321300001119000319</t>
  </si>
  <si>
    <t>5243015745</t>
  </si>
  <si>
    <t>0332300267019000083</t>
  </si>
  <si>
    <t>5243027469</t>
  </si>
  <si>
    <t>31908008106</t>
  </si>
  <si>
    <t>0853500000319006621</t>
  </si>
  <si>
    <t>31908006663</t>
  </si>
  <si>
    <t>31908006229</t>
  </si>
  <si>
    <t>2461203782</t>
  </si>
  <si>
    <t>2635032658</t>
  </si>
  <si>
    <t>0321300001119000324</t>
  </si>
  <si>
    <t>2635027898</t>
  </si>
  <si>
    <t>0321300001119000320</t>
  </si>
  <si>
    <t>31908004741</t>
  </si>
  <si>
    <t>31908007987</t>
  </si>
  <si>
    <t>2634051665</t>
  </si>
  <si>
    <t>0321300001119000321</t>
  </si>
  <si>
    <t>0329100005619000027</t>
  </si>
  <si>
    <t>3405010997</t>
  </si>
  <si>
    <t>7205010027</t>
  </si>
  <si>
    <t>31908006747</t>
  </si>
  <si>
    <t>764875</t>
  </si>
  <si>
    <t>2634026115</t>
  </si>
  <si>
    <t>0321300001119000318</t>
  </si>
  <si>
    <t>4826024073</t>
  </si>
  <si>
    <t>0146200000519000071</t>
  </si>
  <si>
    <t>4826058097</t>
  </si>
  <si>
    <t>5042137768</t>
  </si>
  <si>
    <t>4826085573</t>
  </si>
  <si>
    <t>7811603676</t>
  </si>
  <si>
    <t>480211146650</t>
  </si>
  <si>
    <t>482614844690</t>
  </si>
  <si>
    <t>0372200240619000024</t>
  </si>
  <si>
    <t>7128010742</t>
  </si>
  <si>
    <t>100315483119000026</t>
  </si>
  <si>
    <t>Киреевский район</t>
  </si>
  <si>
    <t>0394100000819000011</t>
  </si>
  <si>
    <t>0819100001619000013</t>
  </si>
  <si>
    <t>242022666134</t>
  </si>
  <si>
    <t>31908006014</t>
  </si>
  <si>
    <t>2801010653</t>
  </si>
  <si>
    <t>31908004801</t>
  </si>
  <si>
    <t>5612043169</t>
  </si>
  <si>
    <t>31908006552</t>
  </si>
  <si>
    <t>5610041254</t>
  </si>
  <si>
    <t>0853500000319006628</t>
  </si>
  <si>
    <t>7724764010</t>
  </si>
  <si>
    <t>5609192410</t>
  </si>
  <si>
    <t>7721129652</t>
  </si>
  <si>
    <t>ATOM19061900163</t>
  </si>
  <si>
    <t>4223047867</t>
  </si>
  <si>
    <t>0139300019719000187</t>
  </si>
  <si>
    <t>Прокопьевский район</t>
  </si>
  <si>
    <t>0380200000119003410</t>
  </si>
  <si>
    <t>0819100001619000012</t>
  </si>
  <si>
    <t>31908007821</t>
  </si>
  <si>
    <t>2634026041</t>
  </si>
  <si>
    <t>0321300001119000323</t>
  </si>
  <si>
    <t>0169400001419000004</t>
  </si>
  <si>
    <t>0825100001219000039</t>
  </si>
  <si>
    <t>3009005383</t>
  </si>
  <si>
    <t>100161129119000006</t>
  </si>
  <si>
    <t>0271004810</t>
  </si>
  <si>
    <t>0301300451919000093</t>
  </si>
  <si>
    <t>31908006398</t>
  </si>
  <si>
    <t>100201944119000012</t>
  </si>
  <si>
    <t>7704192823</t>
  </si>
  <si>
    <t>0373200106419000021</t>
  </si>
  <si>
    <t>[ОКПД2 94.11] Услуги, предоставляемые коммерческими и предпринимательскими членскими организациями</t>
  </si>
  <si>
    <t>7718113194</t>
  </si>
  <si>
    <t>0373200178119000122</t>
  </si>
  <si>
    <t>7708748942</t>
  </si>
  <si>
    <t>7726445860</t>
  </si>
  <si>
    <t>2628007890</t>
  </si>
  <si>
    <t>0321100000919000001</t>
  </si>
  <si>
    <t>2635036099</t>
  </si>
  <si>
    <t>0321300001119000317</t>
  </si>
  <si>
    <t>0119100009119000015</t>
  </si>
  <si>
    <t>4604000995</t>
  </si>
  <si>
    <t>0344300006919000026</t>
  </si>
  <si>
    <t>3661029981</t>
  </si>
  <si>
    <t>463205204602</t>
  </si>
  <si>
    <t>6665006733</t>
  </si>
  <si>
    <t>0362300040819000002</t>
  </si>
  <si>
    <t>0321100000919000002</t>
  </si>
  <si>
    <t>0123200000319001844</t>
  </si>
  <si>
    <t>5535003345</t>
  </si>
  <si>
    <t>0352300154119000039</t>
  </si>
  <si>
    <t>Тарский район</t>
  </si>
  <si>
    <t>553502961866</t>
  </si>
  <si>
    <t>31908007232</t>
  </si>
  <si>
    <t>7719017101</t>
  </si>
  <si>
    <t>100207147119000002</t>
  </si>
  <si>
    <t>31908007398</t>
  </si>
  <si>
    <t>31908006889</t>
  </si>
  <si>
    <t>0323065164</t>
  </si>
  <si>
    <t>31908004675</t>
  </si>
  <si>
    <t>0372200275619000061</t>
  </si>
  <si>
    <t>913486</t>
  </si>
  <si>
    <t>31908005696</t>
  </si>
  <si>
    <t>0334100012819000041</t>
  </si>
  <si>
    <t>101925</t>
  </si>
  <si>
    <t>7605005127</t>
  </si>
  <si>
    <t>0171200001919000947</t>
  </si>
  <si>
    <t>7606119977</t>
  </si>
  <si>
    <t>31908004902</t>
  </si>
  <si>
    <t>7022008775</t>
  </si>
  <si>
    <t>0365300044219000116</t>
  </si>
  <si>
    <t>100075750119000014</t>
  </si>
  <si>
    <t>4101152751</t>
  </si>
  <si>
    <t>0838100000219000018</t>
  </si>
  <si>
    <t>4101036000</t>
  </si>
  <si>
    <t>7022008655</t>
  </si>
  <si>
    <t>0365300044219000117</t>
  </si>
  <si>
    <t>31908006211</t>
  </si>
  <si>
    <t>3207004938</t>
  </si>
  <si>
    <t>100193712119000015</t>
  </si>
  <si>
    <t>Сельцо</t>
  </si>
  <si>
    <t>912729</t>
  </si>
  <si>
    <t>7022006947</t>
  </si>
  <si>
    <t>0365300044219000115</t>
  </si>
  <si>
    <t>РН954623</t>
  </si>
  <si>
    <t>912665</t>
  </si>
  <si>
    <t>0119200000119005493</t>
  </si>
  <si>
    <t>0220023807</t>
  </si>
  <si>
    <t>7022009874</t>
  </si>
  <si>
    <t>0365300044219000114</t>
  </si>
  <si>
    <t>0116300021819000410</t>
  </si>
  <si>
    <t>142402119865</t>
  </si>
  <si>
    <t>3702065325</t>
  </si>
  <si>
    <t>0133100001419000014</t>
  </si>
  <si>
    <t>7627021210</t>
  </si>
  <si>
    <t>3329033277</t>
  </si>
  <si>
    <t>440501235793</t>
  </si>
  <si>
    <t>912364</t>
  </si>
  <si>
    <t>[ОКПД2 10.61] Продукция мукомольно-крупяного производства</t>
  </si>
  <si>
    <t>912602</t>
  </si>
  <si>
    <t>100174284119000005</t>
  </si>
  <si>
    <t>5408106348</t>
  </si>
  <si>
    <t>0351100002919001042</t>
  </si>
  <si>
    <t>2221177352</t>
  </si>
  <si>
    <t>5404448164</t>
  </si>
  <si>
    <t>5406429826</t>
  </si>
  <si>
    <t>4325000850</t>
  </si>
  <si>
    <t>0340200003319008299</t>
  </si>
  <si>
    <t>7429000770</t>
  </si>
  <si>
    <t>0169300032619000384</t>
  </si>
  <si>
    <t>Верхнеуральский район</t>
  </si>
  <si>
    <t>742502561270</t>
  </si>
  <si>
    <t>764414</t>
  </si>
  <si>
    <t>0334100001819000016</t>
  </si>
  <si>
    <t>[ОКПД2 10.73] Изделия макаронные, кускус и аналогичные мучные изделия, [ОКПД2 10.61] Продукция мукомольно-крупяного производства, [ОКПД2 10.39] Фрукты, овощи и грибы переработанные и консервированные, не включенные в другие группировки</t>
  </si>
  <si>
    <t>31908005167</t>
  </si>
  <si>
    <t>0217100000119000144</t>
  </si>
  <si>
    <t>6121006706</t>
  </si>
  <si>
    <t>0358300356519000007</t>
  </si>
  <si>
    <t>0362200071719000290</t>
  </si>
  <si>
    <t>6904020097</t>
  </si>
  <si>
    <t>0836600003319000370</t>
  </si>
  <si>
    <t>912157</t>
  </si>
  <si>
    <t>5322014751</t>
  </si>
  <si>
    <t>0850200000419000830</t>
  </si>
  <si>
    <t>Старая Русса</t>
  </si>
  <si>
    <t>6027041904</t>
  </si>
  <si>
    <t>9103017059</t>
  </si>
  <si>
    <t>0875300045219000006</t>
  </si>
  <si>
    <t>9103014259</t>
  </si>
  <si>
    <t>7022008856</t>
  </si>
  <si>
    <t>0365300044219000113</t>
  </si>
  <si>
    <t>6828002880</t>
  </si>
  <si>
    <t>0864500000219002300</t>
  </si>
  <si>
    <t>911812</t>
  </si>
  <si>
    <t>911779</t>
  </si>
  <si>
    <t>6121007548</t>
  </si>
  <si>
    <t>0358300391619000002</t>
  </si>
  <si>
    <t>0864500000219002299</t>
  </si>
  <si>
    <t>911650</t>
  </si>
  <si>
    <t>911574</t>
  </si>
  <si>
    <t>911702</t>
  </si>
  <si>
    <t>5825001861</t>
  </si>
  <si>
    <t>100144704119000012</t>
  </si>
  <si>
    <t>Неверкинский район</t>
  </si>
  <si>
    <t>100144704119000013</t>
  </si>
  <si>
    <t>911441</t>
  </si>
  <si>
    <t>911513</t>
  </si>
  <si>
    <t>7536011127</t>
  </si>
  <si>
    <t>911434</t>
  </si>
  <si>
    <t>[ОКПД2 71.12] Услуги в области инженерно-технического проектирования и связанные технические консультативные услуги, [ОКПД2 33.20] Услуги по монтажу промышленных машин и оборудования</t>
  </si>
  <si>
    <t>911409</t>
  </si>
  <si>
    <t>911480</t>
  </si>
  <si>
    <t>[ОКПД2 27.20] Батареи и аккумуляторы, [ОКПД2 27.40] Оборудование электрическое осветительное, [ОКПД2 27.32] Провода и кабели электронные и электрические прочие, [ОКПД2 22.21] Плиты, листы, трубы и профили пластмассовые</t>
  </si>
  <si>
    <t>911469</t>
  </si>
  <si>
    <t>911316</t>
  </si>
  <si>
    <t>911371</t>
  </si>
  <si>
    <t>31908003332</t>
  </si>
  <si>
    <t>2019-724078</t>
  </si>
  <si>
    <t>2019-723887</t>
  </si>
  <si>
    <t>BP00296980</t>
  </si>
  <si>
    <t>31908005950</t>
  </si>
  <si>
    <t>[ОКПД2 81.29] Услуги по чистке и уборке прочие, [ОКВЭД2 81.29] Деятельность по чистке и уборке прочая</t>
  </si>
  <si>
    <t>31908002309</t>
  </si>
  <si>
    <t>31908003956</t>
  </si>
  <si>
    <t>1828002545</t>
  </si>
  <si>
    <t>31908001100</t>
  </si>
  <si>
    <t>31908001270</t>
  </si>
  <si>
    <t>31908001309</t>
  </si>
  <si>
    <t>31908000993</t>
  </si>
  <si>
    <t>31908000906</t>
  </si>
  <si>
    <t>31908003868</t>
  </si>
  <si>
    <t>2014004520</t>
  </si>
  <si>
    <t>31908003811</t>
  </si>
  <si>
    <t>31908003802</t>
  </si>
  <si>
    <t>5046051906</t>
  </si>
  <si>
    <t>31908003812</t>
  </si>
  <si>
    <t>5019010883</t>
  </si>
  <si>
    <t>764158</t>
  </si>
  <si>
    <t>31908003750</t>
  </si>
  <si>
    <t>31908003667</t>
  </si>
  <si>
    <t>0318100043119000062</t>
  </si>
  <si>
    <t>2319042457</t>
  </si>
  <si>
    <t>100204559119000016</t>
  </si>
  <si>
    <t>31908003257</t>
  </si>
  <si>
    <t>[ОКПД2 55.20] Услуги по предоставлению временного жилья в местах отдыха и прочих местах для краткосрочного проживания, [ОКПД2 56.10] Услуги ресторанов и услуги по доставке продуктов питания, [ОКПД2 85.41] Услуги по дополнительному образованию детей и взрослых, [ОКВЭД2 55.20] Деятельность по предоставлению мест для краткосрочного проживания, [ОКВЭД2 56.10] Деятельность ресторанов и услуги по доставке продуктов питания, [ОКВЭД2 85.13] Образование основное общее</t>
  </si>
  <si>
    <t>31908001297</t>
  </si>
  <si>
    <t>0131200001019002948</t>
  </si>
  <si>
    <t>100183038119000009</t>
  </si>
  <si>
    <t>4025062831</t>
  </si>
  <si>
    <t>0337100017719000140</t>
  </si>
  <si>
    <t>[ОКПД2 26.20] Компьютеры и периферийное оборудование, [ОКПД2 95.11] Услуги по ремонту компьютеров и периферийного оборудования, [ОКПД2 62.02] Услуги консультативные, связанные с компьютерной техникой, [ОКПД2 62.09] Услуги в области информационных технологий прочие и компьютерные услуги</t>
  </si>
  <si>
    <t>5249149784</t>
  </si>
  <si>
    <t>7706792625</t>
  </si>
  <si>
    <t>0131200001019002949</t>
  </si>
  <si>
    <t>0131200001019002950</t>
  </si>
  <si>
    <t>0873100007319000092</t>
  </si>
  <si>
    <t>7721602935</t>
  </si>
  <si>
    <t>7743541323</t>
  </si>
  <si>
    <t>7743219532</t>
  </si>
  <si>
    <t>100233113119000044</t>
  </si>
  <si>
    <t>7718084948</t>
  </si>
  <si>
    <t>0373200122119000165</t>
  </si>
  <si>
    <t>7727021870</t>
  </si>
  <si>
    <t>31908002745</t>
  </si>
  <si>
    <t>0157200000319000499</t>
  </si>
  <si>
    <t>0373100025719000065</t>
  </si>
  <si>
    <t>7733252040</t>
  </si>
  <si>
    <t>7716848901</t>
  </si>
  <si>
    <t>7709456124</t>
  </si>
  <si>
    <t>7714757938</t>
  </si>
  <si>
    <t>7714965889</t>
  </si>
  <si>
    <t>7328077141</t>
  </si>
  <si>
    <t>7743864966</t>
  </si>
  <si>
    <t>9718013965</t>
  </si>
  <si>
    <t>0387200030519000086</t>
  </si>
  <si>
    <t>8602026226</t>
  </si>
  <si>
    <t>590848253881</t>
  </si>
  <si>
    <t>5945001013</t>
  </si>
  <si>
    <t>0356300078719000102</t>
  </si>
  <si>
    <t>5945001359</t>
  </si>
  <si>
    <t>2226025868</t>
  </si>
  <si>
    <t>0817200000319006371</t>
  </si>
  <si>
    <t>[ОКПД2 33.13] Услуги по ремонту электронного и оптического оборудования, [ОКПД2 26.60] Оборудование для облучения, электрическое диагностическое и терапевтическое, применяемые в медицинских целях</t>
  </si>
  <si>
    <t>5408160218</t>
  </si>
  <si>
    <t>7728144963</t>
  </si>
  <si>
    <t>5402582132</t>
  </si>
  <si>
    <t>0853500000319006553</t>
  </si>
  <si>
    <t>7734223211</t>
  </si>
  <si>
    <t>0865200000319001154</t>
  </si>
  <si>
    <t>3702701877</t>
  </si>
  <si>
    <t>5405481090</t>
  </si>
  <si>
    <t>7017089151</t>
  </si>
  <si>
    <t>31908002904</t>
  </si>
  <si>
    <t>0278100000219000063</t>
  </si>
  <si>
    <t>0372200141819000045</t>
  </si>
  <si>
    <t>4703150335</t>
  </si>
  <si>
    <t>2636023769</t>
  </si>
  <si>
    <t>0321300001119000316</t>
  </si>
  <si>
    <t>5256033861</t>
  </si>
  <si>
    <t>0332300181119000037</t>
  </si>
  <si>
    <t>5258122958</t>
  </si>
  <si>
    <t>524900075838</t>
  </si>
  <si>
    <t>0348300018819000032</t>
  </si>
  <si>
    <t>2636021120</t>
  </si>
  <si>
    <t>0321300001119000314</t>
  </si>
  <si>
    <t>7727060703</t>
  </si>
  <si>
    <t>0373100010619000021</t>
  </si>
  <si>
    <t>0356100001119000061</t>
  </si>
  <si>
    <t>0123100005219000029</t>
  </si>
  <si>
    <t>280803837096</t>
  </si>
  <si>
    <t>0139100009019000022</t>
  </si>
  <si>
    <t>1659034290</t>
  </si>
  <si>
    <t>0711200005919000151</t>
  </si>
  <si>
    <t>[ОКПД2 17.29] Изделия из бумаги и картона прочие, [ОКПД2 22.29] Изделия пластмассовые прочие</t>
  </si>
  <si>
    <t>3102023549</t>
  </si>
  <si>
    <t>1656088709</t>
  </si>
  <si>
    <t>0136300050519000066</t>
  </si>
  <si>
    <t>0151100018919000010</t>
  </si>
  <si>
    <t>2621005742</t>
  </si>
  <si>
    <t>0321100001619000005</t>
  </si>
  <si>
    <t>Труновский район</t>
  </si>
  <si>
    <t>0271004721</t>
  </si>
  <si>
    <t>0301300451919000092</t>
  </si>
  <si>
    <t>0123100005219000030</t>
  </si>
  <si>
    <t>4629027340</t>
  </si>
  <si>
    <t>0144200002419000744</t>
  </si>
  <si>
    <t>31908002266</t>
  </si>
  <si>
    <t>2901097471</t>
  </si>
  <si>
    <t>0124200000619002863</t>
  </si>
  <si>
    <t>2919007574</t>
  </si>
  <si>
    <t>2634026098</t>
  </si>
  <si>
    <t>0321300001119000313</t>
  </si>
  <si>
    <t>2634026059</t>
  </si>
  <si>
    <t>0321300001119000315</t>
  </si>
  <si>
    <t>0836100000419000100</t>
  </si>
  <si>
    <t>31908002615</t>
  </si>
  <si>
    <t>31908001651</t>
  </si>
  <si>
    <t>2901034584</t>
  </si>
  <si>
    <t>31908002191</t>
  </si>
  <si>
    <t>0319100029619000015</t>
  </si>
  <si>
    <t>0311100016819000178</t>
  </si>
  <si>
    <t>910158</t>
  </si>
  <si>
    <t>0311100016819000177</t>
  </si>
  <si>
    <t>1650311140</t>
  </si>
  <si>
    <t>0319100029619000014</t>
  </si>
  <si>
    <t>0344100002719000003</t>
  </si>
  <si>
    <t>9105000117</t>
  </si>
  <si>
    <t>0175100004019000003</t>
  </si>
  <si>
    <t>910518360187</t>
  </si>
  <si>
    <t>0223100000219000083</t>
  </si>
  <si>
    <t>2445000810</t>
  </si>
  <si>
    <t>0319100020819000008</t>
  </si>
  <si>
    <t>Бородино</t>
  </si>
  <si>
    <t>244500020229</t>
  </si>
  <si>
    <t>2466244158</t>
  </si>
  <si>
    <t>31907999306</t>
  </si>
  <si>
    <t>0360100004019000032</t>
  </si>
  <si>
    <t>644920370869</t>
  </si>
  <si>
    <t>6317048228</t>
  </si>
  <si>
    <t>0342100002019000017</t>
  </si>
  <si>
    <t>6316096370</t>
  </si>
  <si>
    <t>6313536464</t>
  </si>
  <si>
    <t>3664091561</t>
  </si>
  <si>
    <t>0853300000519000070</t>
  </si>
  <si>
    <t>5639020899</t>
  </si>
  <si>
    <t>5639005763</t>
  </si>
  <si>
    <t>5639005604</t>
  </si>
  <si>
    <t>0360100004019000031</t>
  </si>
  <si>
    <t>0123200000319001829</t>
  </si>
  <si>
    <t>0853300000519000069</t>
  </si>
  <si>
    <t>5639005724</t>
  </si>
  <si>
    <t>5639020296</t>
  </si>
  <si>
    <t>31907999033</t>
  </si>
  <si>
    <t>910118</t>
  </si>
  <si>
    <t>5019011189</t>
  </si>
  <si>
    <t>763779</t>
  </si>
  <si>
    <t>910067</t>
  </si>
  <si>
    <t>0319100020819000011</t>
  </si>
  <si>
    <t>[ОКПД2 38.12] Отходы опасные; услуги по сбору опасных отходов</t>
  </si>
  <si>
    <t>3906033459</t>
  </si>
  <si>
    <t>31908002004</t>
  </si>
  <si>
    <t>3906995897</t>
  </si>
  <si>
    <t>763703</t>
  </si>
  <si>
    <t>909698</t>
  </si>
  <si>
    <t>0123200000319001826</t>
  </si>
  <si>
    <t>31908000690</t>
  </si>
  <si>
    <t>[ОКПД2 86.10] Услуги больничных организаций, [ОКВЭД2 86.10] Деятельность больничных организаций</t>
  </si>
  <si>
    <t>0157200001819000107</t>
  </si>
  <si>
    <t>763709</t>
  </si>
  <si>
    <t>0274920680</t>
  </si>
  <si>
    <t>0101400000119000036</t>
  </si>
  <si>
    <t>027713879887</t>
  </si>
  <si>
    <t>0274094018</t>
  </si>
  <si>
    <t>763708</t>
  </si>
  <si>
    <t>31908000606</t>
  </si>
  <si>
    <t>0373200059719000229</t>
  </si>
  <si>
    <t>7723552528</t>
  </si>
  <si>
    <t>31908000429</t>
  </si>
  <si>
    <t>4314005783</t>
  </si>
  <si>
    <t>0340200003319008209</t>
  </si>
  <si>
    <t>909586</t>
  </si>
  <si>
    <t>7022008817</t>
  </si>
  <si>
    <t>0365300044219000112</t>
  </si>
  <si>
    <t>0369100019219000002</t>
  </si>
  <si>
    <t>[ОКПД2 27.20] Батареи и аккумуляторы, [ОКПД2 49.41] Услуги по грузовым перевозкам автомобильным транспортом</t>
  </si>
  <si>
    <t>0233003847</t>
  </si>
  <si>
    <t>1001300023919000004</t>
  </si>
  <si>
    <t>0233004544</t>
  </si>
  <si>
    <t>0233007707</t>
  </si>
  <si>
    <t>0271004432</t>
  </si>
  <si>
    <t>0301300451919000091</t>
  </si>
  <si>
    <t>0271004746</t>
  </si>
  <si>
    <t>0301300451919000090</t>
  </si>
  <si>
    <t>2453003839</t>
  </si>
  <si>
    <t>0319300003619000004</t>
  </si>
  <si>
    <t>5037002324</t>
  </si>
  <si>
    <t>763569</t>
  </si>
  <si>
    <t>31907998923</t>
  </si>
  <si>
    <t>6451124257</t>
  </si>
  <si>
    <t>31907999971</t>
  </si>
  <si>
    <t>643900604316</t>
  </si>
  <si>
    <t>6902026777</t>
  </si>
  <si>
    <t>0836600003319000369</t>
  </si>
  <si>
    <t>5612031727</t>
  </si>
  <si>
    <t>31907999297</t>
  </si>
  <si>
    <t>100282915119000003</t>
  </si>
  <si>
    <t>0848300048219000165</t>
  </si>
  <si>
    <t>7715362805</t>
  </si>
  <si>
    <t>0373200017519000732</t>
  </si>
  <si>
    <t>1647011379</t>
  </si>
  <si>
    <t>0111300067819000083</t>
  </si>
  <si>
    <t>Заинск</t>
  </si>
  <si>
    <t>1647015180</t>
  </si>
  <si>
    <t>0321100032219000018</t>
  </si>
  <si>
    <t>263400576969</t>
  </si>
  <si>
    <t>763354</t>
  </si>
  <si>
    <t>0222100000219000188</t>
  </si>
  <si>
    <t>2724234166</t>
  </si>
  <si>
    <t>7604333559</t>
  </si>
  <si>
    <t>31907999275</t>
  </si>
  <si>
    <t>5019010851</t>
  </si>
  <si>
    <t>763308</t>
  </si>
  <si>
    <t>5001096382</t>
  </si>
  <si>
    <t>763311</t>
  </si>
  <si>
    <t>2266002200</t>
  </si>
  <si>
    <t>908045</t>
  </si>
  <si>
    <t>908038</t>
  </si>
  <si>
    <t>2019-723538</t>
  </si>
  <si>
    <t>31908001031</t>
  </si>
  <si>
    <t>100178806119000018</t>
  </si>
  <si>
    <t>31908003448</t>
  </si>
  <si>
    <t>31907997321</t>
  </si>
  <si>
    <t>6659029450</t>
  </si>
  <si>
    <t>100292906119000019</t>
  </si>
  <si>
    <t>0372100031019000010</t>
  </si>
  <si>
    <t>7719261565</t>
  </si>
  <si>
    <t>0373200006219000859</t>
  </si>
  <si>
    <t>9718086113</t>
  </si>
  <si>
    <t>7720270660</t>
  </si>
  <si>
    <t>0373200006219000862</t>
  </si>
  <si>
    <t>504300790431</t>
  </si>
  <si>
    <t>0853500000319006403</t>
  </si>
  <si>
    <t>5643022391</t>
  </si>
  <si>
    <t>0164100009719000019</t>
  </si>
  <si>
    <t>7017005289</t>
  </si>
  <si>
    <t>31907995838</t>
  </si>
  <si>
    <t>[ОКПД2 26.20] Компьютеры и периферийное оборудование, [ОКВЭД2 26.20] Производство компьютеров и периферийного оборудования, [ОКВЭД2 49.41] Деятельность автомобильного грузового транспорта</t>
  </si>
  <si>
    <t>0318300170419000189</t>
  </si>
  <si>
    <t>РН942978</t>
  </si>
  <si>
    <t>0853500000319006411</t>
  </si>
  <si>
    <t>6381010704</t>
  </si>
  <si>
    <t>0542600005019000017</t>
  </si>
  <si>
    <t>[ОКПД2 71.12] Услуги в области инженерно-технического проектирования и связанные технические консультативные услуги, [ОКПД2 27.20] Батареи и аккумуляторы</t>
  </si>
  <si>
    <t>Кошкинский район</t>
  </si>
  <si>
    <t>6317107018</t>
  </si>
  <si>
    <t>3017042903</t>
  </si>
  <si>
    <t>0123200000319001821</t>
  </si>
  <si>
    <t>31907998272</t>
  </si>
  <si>
    <t>0853500000319006490</t>
  </si>
  <si>
    <t>5610219064</t>
  </si>
  <si>
    <t>1648007110</t>
  </si>
  <si>
    <t>0111300095219000071</t>
  </si>
  <si>
    <t>1648036440</t>
  </si>
  <si>
    <t>0853500000319006409</t>
  </si>
  <si>
    <t>[ОКПД2 01.30] Материалы растительные: растения живые; луковицы, клубнелуковицы и корневища; отводки и черенки; грибницы</t>
  </si>
  <si>
    <t>744725532727</t>
  </si>
  <si>
    <t>0216100000319000270</t>
  </si>
  <si>
    <t>0318300170419000188</t>
  </si>
  <si>
    <t>763119</t>
  </si>
  <si>
    <t>0229008715</t>
  </si>
  <si>
    <t>31907996704</t>
  </si>
  <si>
    <t>100183038119000008</t>
  </si>
  <si>
    <t>0319100014819000017</t>
  </si>
  <si>
    <t>7734012806</t>
  </si>
  <si>
    <t>0373100091419000270</t>
  </si>
  <si>
    <t>0866100000519000101</t>
  </si>
  <si>
    <t>7106053051</t>
  </si>
  <si>
    <t>100183038119000007</t>
  </si>
  <si>
    <t>907649</t>
  </si>
  <si>
    <t>4238003340</t>
  </si>
  <si>
    <t>0139200000119004483</t>
  </si>
  <si>
    <t>Новокузнецкий район</t>
  </si>
  <si>
    <t>101362</t>
  </si>
  <si>
    <t>100183038119000006</t>
  </si>
  <si>
    <t>6450930656</t>
  </si>
  <si>
    <t>0360200048619000069</t>
  </si>
  <si>
    <t>6455041668</t>
  </si>
  <si>
    <t>6452085459</t>
  </si>
  <si>
    <t>6311137295</t>
  </si>
  <si>
    <t>6609006627</t>
  </si>
  <si>
    <t>0162100007919000010</t>
  </si>
  <si>
    <t>Белоярский район</t>
  </si>
  <si>
    <t>720319814648</t>
  </si>
  <si>
    <t>0866100000519000102</t>
  </si>
  <si>
    <t>6827017837</t>
  </si>
  <si>
    <t>0864500000219002283</t>
  </si>
  <si>
    <t>0240100000219000106</t>
  </si>
  <si>
    <t>0122200002519003905</t>
  </si>
  <si>
    <t>2727019907</t>
  </si>
  <si>
    <t>0229008271</t>
  </si>
  <si>
    <t>31907996337</t>
  </si>
  <si>
    <t>31907995935</t>
  </si>
  <si>
    <t>[ОКПД2 81.2+] Услуги по чистке и уборке, [ОКВЭД2 81.2+] Деятельность по чистке и уборке</t>
  </si>
  <si>
    <t>0122200002519003904</t>
  </si>
  <si>
    <t>6320007126</t>
  </si>
  <si>
    <t>0342300212919000035</t>
  </si>
  <si>
    <t>0308100007119000006</t>
  </si>
  <si>
    <t>31907996290</t>
  </si>
  <si>
    <t>0122200002519003902</t>
  </si>
  <si>
    <t>0122200002519003903</t>
  </si>
  <si>
    <t>2306025214</t>
  </si>
  <si>
    <t>0318200073119000043</t>
  </si>
  <si>
    <t>31907997293</t>
  </si>
  <si>
    <t>6606011548</t>
  </si>
  <si>
    <t>31907996358</t>
  </si>
  <si>
    <t>6606012661</t>
  </si>
  <si>
    <t>31907997172</t>
  </si>
  <si>
    <t>[ОКПД2 86.90] Услуги в области медицины прочие, [ОКВЭД2 86.10] Деятельность больничных организаций</t>
  </si>
  <si>
    <t>0813500000119006236</t>
  </si>
  <si>
    <t>0223100000219000081</t>
  </si>
  <si>
    <t>5253004340</t>
  </si>
  <si>
    <t>0832200006619000833</t>
  </si>
  <si>
    <t>5201004156</t>
  </si>
  <si>
    <t>31907996143</t>
  </si>
  <si>
    <t>Ялуторовск</t>
  </si>
  <si>
    <t>0351300203619000013</t>
  </si>
  <si>
    <t>540321150744</t>
  </si>
  <si>
    <t>0129200005319002189</t>
  </si>
  <si>
    <t>3444173120</t>
  </si>
  <si>
    <t>3419400757</t>
  </si>
  <si>
    <t>3421500685</t>
  </si>
  <si>
    <t>3415007898</t>
  </si>
  <si>
    <t>3448900426</t>
  </si>
  <si>
    <t>3404003524</t>
  </si>
  <si>
    <t>3411014566</t>
  </si>
  <si>
    <t>Киквидзенский район</t>
  </si>
  <si>
    <t>6362008668</t>
  </si>
  <si>
    <t>31907996035</t>
  </si>
  <si>
    <t>0105017467</t>
  </si>
  <si>
    <t>0176100002719000025</t>
  </si>
  <si>
    <t>0187300007819000140</t>
  </si>
  <si>
    <t>0122200002519003912</t>
  </si>
  <si>
    <t>5043008324</t>
  </si>
  <si>
    <t>762844</t>
  </si>
  <si>
    <t>0342300212919000037</t>
  </si>
  <si>
    <t>0260100000619000118</t>
  </si>
  <si>
    <t>0123200000319001802</t>
  </si>
  <si>
    <t>2724148742</t>
  </si>
  <si>
    <t>0356100021119000014</t>
  </si>
  <si>
    <t>0123200000319001803</t>
  </si>
  <si>
    <t>0360100023719000014</t>
  </si>
  <si>
    <t>0325200024519000015</t>
  </si>
  <si>
    <t>3801051877</t>
  </si>
  <si>
    <t>0334100006319000076</t>
  </si>
  <si>
    <t>3849019141</t>
  </si>
  <si>
    <t>3810076927</t>
  </si>
  <si>
    <t>0339300000119000546</t>
  </si>
  <si>
    <t>0891200000619006458</t>
  </si>
  <si>
    <t>100240769119000031</t>
  </si>
  <si>
    <t>6227000292</t>
  </si>
  <si>
    <t>0859300019619000539</t>
  </si>
  <si>
    <t>0859300019619000538</t>
  </si>
  <si>
    <t>623014841008</t>
  </si>
  <si>
    <t>0122200002519003913</t>
  </si>
  <si>
    <t>0372200263319000016</t>
  </si>
  <si>
    <t>0122200002519003896</t>
  </si>
  <si>
    <t>6674308709</t>
  </si>
  <si>
    <t>31907995698</t>
  </si>
  <si>
    <t>2333011274</t>
  </si>
  <si>
    <t>31907996812</t>
  </si>
  <si>
    <t>0122200002519003901</t>
  </si>
  <si>
    <t>0325200024519000014</t>
  </si>
  <si>
    <t>101396</t>
  </si>
  <si>
    <t>0342300212919000036</t>
  </si>
  <si>
    <t>0372100041319000247</t>
  </si>
  <si>
    <t>7802679862</t>
  </si>
  <si>
    <t>4703159994</t>
  </si>
  <si>
    <t>0122200002519003910</t>
  </si>
  <si>
    <t>1655250660</t>
  </si>
  <si>
    <t>31907996804</t>
  </si>
  <si>
    <t>100292951119000014</t>
  </si>
  <si>
    <t>0318200068119000075</t>
  </si>
  <si>
    <t>2537123794</t>
  </si>
  <si>
    <t>100240057119000044</t>
  </si>
  <si>
    <t>7020016160</t>
  </si>
  <si>
    <t>906409</t>
  </si>
  <si>
    <t>[ОКПД2 26.30] Оборудование коммуникационное, [ОКПД2 33.20] Услуги по монтажу промышленных машин и оборудования</t>
  </si>
  <si>
    <t>7604333566</t>
  </si>
  <si>
    <t>31907995454</t>
  </si>
  <si>
    <t>762693</t>
  </si>
  <si>
    <t>0373100070119000010</t>
  </si>
  <si>
    <t>5038134250</t>
  </si>
  <si>
    <t>5249163059</t>
  </si>
  <si>
    <t>0144200002419000734</t>
  </si>
  <si>
    <t>31907995621</t>
  </si>
  <si>
    <t>7724075162</t>
  </si>
  <si>
    <t>0373100094319000383</t>
  </si>
  <si>
    <t>2209011833</t>
  </si>
  <si>
    <t>906469</t>
  </si>
  <si>
    <t>31907994648</t>
  </si>
  <si>
    <t>301606887158</t>
  </si>
  <si>
    <t>31907994300</t>
  </si>
  <si>
    <t>7619006681</t>
  </si>
  <si>
    <t>100104338119000009</t>
  </si>
  <si>
    <t>Мышкинский район</t>
  </si>
  <si>
    <t>5225002101</t>
  </si>
  <si>
    <t>100240303119000011</t>
  </si>
  <si>
    <t>Перевозский район</t>
  </si>
  <si>
    <t>906183</t>
  </si>
  <si>
    <t>[ОКПД2 01.24] Плоды семечковых и косточковых культур, [ОКПД2 01.23] Плоды цитрусовых культур, [ОКПД2 01.25] Плоды прочих плодовых деревьев, кустарников и орехов, [ОКПД2 10.39] Фрукты, овощи и грибы переработанные и консервированные, не включенные в другие группировки, [ОКПД2 01.22] Фрукты тропические и субтропические, [ОКПД2 01.11] Культуры зерновые (кроме риса), зернобобовые, семена масличных культур</t>
  </si>
  <si>
    <t>100063376119000016</t>
  </si>
  <si>
    <t>906123</t>
  </si>
  <si>
    <t>6027164695</t>
  </si>
  <si>
    <t>0357200030019000188</t>
  </si>
  <si>
    <t>6027013713</t>
  </si>
  <si>
    <t>4027040590</t>
  </si>
  <si>
    <t>0137200001219002942</t>
  </si>
  <si>
    <t>100066546119000012</t>
  </si>
  <si>
    <t>0322200009119000040</t>
  </si>
  <si>
    <t>6501094191</t>
  </si>
  <si>
    <t>12725</t>
  </si>
  <si>
    <t>0331100013419000006</t>
  </si>
  <si>
    <t>3665145298</t>
  </si>
  <si>
    <t>0387200014819000046</t>
  </si>
  <si>
    <t>7203176789</t>
  </si>
  <si>
    <t>100213459119000014</t>
  </si>
  <si>
    <t>7810214564</t>
  </si>
  <si>
    <t>0372200175119000009</t>
  </si>
  <si>
    <t>1210001041</t>
  </si>
  <si>
    <t>0308300021219000048</t>
  </si>
  <si>
    <t>4345472121</t>
  </si>
  <si>
    <t>1215207568</t>
  </si>
  <si>
    <t>2130170092</t>
  </si>
  <si>
    <t>2623008900</t>
  </si>
  <si>
    <t>0321100004819000016</t>
  </si>
  <si>
    <t>2623019042</t>
  </si>
  <si>
    <t>0310100002219000016</t>
  </si>
  <si>
    <t>Алагирский район</t>
  </si>
  <si>
    <t>150203367023</t>
  </si>
  <si>
    <t>31907993884</t>
  </si>
  <si>
    <t>0321100004819000015</t>
  </si>
  <si>
    <t>0162100013519000028</t>
  </si>
  <si>
    <t>662329653900</t>
  </si>
  <si>
    <t>6623029538</t>
  </si>
  <si>
    <t>662319087519</t>
  </si>
  <si>
    <t>6682003429</t>
  </si>
  <si>
    <t>0362200070219000027</t>
  </si>
  <si>
    <t>661600009072</t>
  </si>
  <si>
    <t>100086091119000019</t>
  </si>
  <si>
    <t>100183193119000004</t>
  </si>
  <si>
    <t>5506024245</t>
  </si>
  <si>
    <t>905104</t>
  </si>
  <si>
    <t>5407121872</t>
  </si>
  <si>
    <t>905158</t>
  </si>
  <si>
    <t>2019-722639</t>
  </si>
  <si>
    <t>5003026493</t>
  </si>
  <si>
    <t>747/ЭТП/2019/ГБ</t>
  </si>
  <si>
    <t>BP00295211</t>
  </si>
  <si>
    <t>31907993445</t>
  </si>
  <si>
    <t>280400157235</t>
  </si>
  <si>
    <t>31907993444</t>
  </si>
  <si>
    <t>280405737102</t>
  </si>
  <si>
    <t>31907993435</t>
  </si>
  <si>
    <t>7450047957</t>
  </si>
  <si>
    <t>31907993436</t>
  </si>
  <si>
    <t>0145200000419001067</t>
  </si>
  <si>
    <t>7838367507</t>
  </si>
  <si>
    <t>0326513086</t>
  </si>
  <si>
    <t>31907992852</t>
  </si>
  <si>
    <t>[ОКПД2 56.29] Услуги по обеспечению питанием прочие, [ОКПД2 79.11] Услуги туристических агентств, [ОКВЭД2 56.29] Деятельность предприятий общественного питания по прочим видам организации питания, [ОКВЭД2 79.9+] Услуги по бронированию прочие и сопутствующая деятельность</t>
  </si>
  <si>
    <t>0394100002319000083</t>
  </si>
  <si>
    <t>0394100002319000088</t>
  </si>
  <si>
    <t>31907993163</t>
  </si>
  <si>
    <t>31907992669</t>
  </si>
  <si>
    <t>0711013543</t>
  </si>
  <si>
    <t>0229008352</t>
  </si>
  <si>
    <t>31907992130</t>
  </si>
  <si>
    <t>0144100005219000043</t>
  </si>
  <si>
    <t>0173200001419000794</t>
  </si>
  <si>
    <t>7706809572</t>
  </si>
  <si>
    <t>7704160892</t>
  </si>
  <si>
    <t>31907992737</t>
  </si>
  <si>
    <t>3459070199</t>
  </si>
  <si>
    <t>31907992617</t>
  </si>
  <si>
    <t>2315190278</t>
  </si>
  <si>
    <t>0230100000119000120</t>
  </si>
  <si>
    <t>7743763319</t>
  </si>
  <si>
    <t>7130033105</t>
  </si>
  <si>
    <t>0229008345</t>
  </si>
  <si>
    <t>31907991961</t>
  </si>
  <si>
    <t>31907992824</t>
  </si>
  <si>
    <t>0203100000219000077</t>
  </si>
  <si>
    <t>31907992930</t>
  </si>
  <si>
    <t>31907992826</t>
  </si>
  <si>
    <t>0229008539</t>
  </si>
  <si>
    <t>31907991790</t>
  </si>
  <si>
    <t>0229007630</t>
  </si>
  <si>
    <t>31907991643</t>
  </si>
  <si>
    <t>0148100000719000007</t>
  </si>
  <si>
    <t>0229012172</t>
  </si>
  <si>
    <t>31907990981</t>
  </si>
  <si>
    <t>31907992299</t>
  </si>
  <si>
    <t>0801600001419000016</t>
  </si>
  <si>
    <t>0227003172</t>
  </si>
  <si>
    <t>0227002490</t>
  </si>
  <si>
    <t>Калтасинский район
Калтасинский район
Калтасинский район</t>
  </si>
  <si>
    <t>0227002796</t>
  </si>
  <si>
    <t>0227002877</t>
  </si>
  <si>
    <t>Калтасинский район</t>
  </si>
  <si>
    <t>0227002482</t>
  </si>
  <si>
    <t>Калтасинский район
Калтасинский район</t>
  </si>
  <si>
    <t>0227002468</t>
  </si>
  <si>
    <t>0227002475</t>
  </si>
  <si>
    <t>0227038111</t>
  </si>
  <si>
    <t>0227007106</t>
  </si>
  <si>
    <t>752139</t>
  </si>
  <si>
    <t>5009105470</t>
  </si>
  <si>
    <t>752131</t>
  </si>
  <si>
    <t>31907988657</t>
  </si>
  <si>
    <t>0119200000119005346</t>
  </si>
  <si>
    <t>31907991539</t>
  </si>
  <si>
    <t>0801600001419000018</t>
  </si>
  <si>
    <t>0227000260</t>
  </si>
  <si>
    <t>0227002348</t>
  </si>
  <si>
    <t>0227002228</t>
  </si>
  <si>
    <t>0227002450</t>
  </si>
  <si>
    <t>0227002443</t>
  </si>
  <si>
    <t>0227002210</t>
  </si>
  <si>
    <t>0227002267</t>
  </si>
  <si>
    <t>0227002316</t>
  </si>
  <si>
    <t>0227001753</t>
  </si>
  <si>
    <t>0227002845</t>
  </si>
  <si>
    <t>0227002404</t>
  </si>
  <si>
    <t>0227002669</t>
  </si>
  <si>
    <t>0227002588</t>
  </si>
  <si>
    <t>0319100022419000015</t>
  </si>
  <si>
    <t>7202027216</t>
  </si>
  <si>
    <t>РН942549</t>
  </si>
  <si>
    <t>6658028937</t>
  </si>
  <si>
    <t>0162200011819001529</t>
  </si>
  <si>
    <t>100079490119000021</t>
  </si>
  <si>
    <t>0119300019819000796</t>
  </si>
  <si>
    <t>2463087500</t>
  </si>
  <si>
    <t>100079490119000019</t>
  </si>
  <si>
    <t>0813500000119006198</t>
  </si>
  <si>
    <t>7225005226</t>
  </si>
  <si>
    <t>31907990515</t>
  </si>
  <si>
    <t>[ОКПД2 56+] Услуги общественного питания, [ОКВЭД2 56.10] Деятельность ресторанов и услуги по доставке продуктов питания</t>
  </si>
  <si>
    <t>0801300011919000255</t>
  </si>
  <si>
    <t>0266018990</t>
  </si>
  <si>
    <t>0266031254</t>
  </si>
  <si>
    <t>0266028685</t>
  </si>
  <si>
    <t>0266037016</t>
  </si>
  <si>
    <t>0266043468</t>
  </si>
  <si>
    <t>8905017848</t>
  </si>
  <si>
    <t>0190300003719000462</t>
  </si>
  <si>
    <t>8905033670</t>
  </si>
  <si>
    <t>0803100000419000036</t>
  </si>
  <si>
    <t>0337100018819000068</t>
  </si>
  <si>
    <t>751929</t>
  </si>
  <si>
    <t>3920004770</t>
  </si>
  <si>
    <t>0135200000519002381</t>
  </si>
  <si>
    <t>Нестеровский район</t>
  </si>
  <si>
    <t>8617025970</t>
  </si>
  <si>
    <t>0187300014719000500</t>
  </si>
  <si>
    <t>8617012716</t>
  </si>
  <si>
    <t>7722016820</t>
  </si>
  <si>
    <t>31907991157</t>
  </si>
  <si>
    <t>7019014948</t>
  </si>
  <si>
    <t>31907988851</t>
  </si>
  <si>
    <t>101183</t>
  </si>
  <si>
    <t>0131200001019002847</t>
  </si>
  <si>
    <t>7017051366</t>
  </si>
  <si>
    <t>0165200001919000048</t>
  </si>
  <si>
    <t>7017369991</t>
  </si>
  <si>
    <t>4705030989</t>
  </si>
  <si>
    <t>0145300008919000200</t>
  </si>
  <si>
    <t>0373200001919000114</t>
  </si>
  <si>
    <t>2723013894</t>
  </si>
  <si>
    <t>0322200016919000076</t>
  </si>
  <si>
    <t>2720058181</t>
  </si>
  <si>
    <t>2724213960</t>
  </si>
  <si>
    <t>2724185582</t>
  </si>
  <si>
    <t>5003021569</t>
  </si>
  <si>
    <t>751846</t>
  </si>
  <si>
    <t>1206005396</t>
  </si>
  <si>
    <t>100128146119000022</t>
  </si>
  <si>
    <t>Мари-Турекский район</t>
  </si>
  <si>
    <t>5501038950</t>
  </si>
  <si>
    <t>903716</t>
  </si>
  <si>
    <t>2452012069</t>
  </si>
  <si>
    <t>0119300038919000044</t>
  </si>
  <si>
    <t>245209177634</t>
  </si>
  <si>
    <t>5003105956</t>
  </si>
  <si>
    <t>751806</t>
  </si>
  <si>
    <t>5415104447</t>
  </si>
  <si>
    <t>903611</t>
  </si>
  <si>
    <t>0352100001319000066</t>
  </si>
  <si>
    <t>5519504055</t>
  </si>
  <si>
    <t>7536118487</t>
  </si>
  <si>
    <t>0891200000619006358</t>
  </si>
  <si>
    <t>753701784720</t>
  </si>
  <si>
    <t>0348100070619000116</t>
  </si>
  <si>
    <t>027609285220</t>
  </si>
  <si>
    <t>990100643102</t>
  </si>
  <si>
    <t>0404009496</t>
  </si>
  <si>
    <t>0177100001619000003</t>
  </si>
  <si>
    <t>Улаганский район</t>
  </si>
  <si>
    <t>040200431835</t>
  </si>
  <si>
    <t>31907990249</t>
  </si>
  <si>
    <t>[ОКПД2 56.2+] Услуги по поставке продукции общественного питания и обслуживанию торжественных мероприятий и прочие услуги по обеспечению питанием, [ОКПД2 55.10] Услуги гостиниц и аналогичные услуги по предоставлению временного жилья, [ОКВЭД2 55.10] Деятельность гостиниц и прочих мест для временного проживания, [ОКВЭД2 56.29] Деятельность предприятий общественного питания по прочим видам организации питания</t>
  </si>
  <si>
    <t>0148100002419000038</t>
  </si>
  <si>
    <t>0148100002419000040</t>
  </si>
  <si>
    <t>1404005077</t>
  </si>
  <si>
    <t>0816300022119000044</t>
  </si>
  <si>
    <t>Амгинский улус</t>
  </si>
  <si>
    <t>140400574304</t>
  </si>
  <si>
    <t>140401621927</t>
  </si>
  <si>
    <t>0177100001619000002</t>
  </si>
  <si>
    <t>0148100002419000037</t>
  </si>
  <si>
    <t>5919019127</t>
  </si>
  <si>
    <t>31907989158</t>
  </si>
  <si>
    <t>6832024572</t>
  </si>
  <si>
    <t>31907990177</t>
  </si>
  <si>
    <t>100044898119000021</t>
  </si>
  <si>
    <t>0316100005219000005</t>
  </si>
  <si>
    <t>1434044161</t>
  </si>
  <si>
    <t>0318100006419000015</t>
  </si>
  <si>
    <t>0148100002419000039</t>
  </si>
  <si>
    <t>31907989088</t>
  </si>
  <si>
    <t>31907988464</t>
  </si>
  <si>
    <t>902918</t>
  </si>
  <si>
    <t>5444101730</t>
  </si>
  <si>
    <t>0351300020019000282</t>
  </si>
  <si>
    <t>5402002310</t>
  </si>
  <si>
    <t>0372200274019000045</t>
  </si>
  <si>
    <t>7842519784</t>
  </si>
  <si>
    <t>31907987762</t>
  </si>
  <si>
    <t>2617007401</t>
  </si>
  <si>
    <t>0321100006819000015</t>
  </si>
  <si>
    <t>2617000117</t>
  </si>
  <si>
    <t>31907988876</t>
  </si>
  <si>
    <t>0144100005219000042</t>
  </si>
  <si>
    <t>902720</t>
  </si>
  <si>
    <t>[ОКПД2 03.11] Рыба и прочая продукция морского рыболовства; услуги, связанные с морским рыболовством, [ОКПД2 10.12] Мясо сельскохозяйственной птицы и прочие продукты убоя, включая консервированные, [ОКПД2 01.47] Птица сельскохозяйственная живая и яйца</t>
  </si>
  <si>
    <t>902730</t>
  </si>
  <si>
    <t>5003021664</t>
  </si>
  <si>
    <t>751521</t>
  </si>
  <si>
    <t>0321100006819000016</t>
  </si>
  <si>
    <t>0123200000319001768</t>
  </si>
  <si>
    <t>7718599175</t>
  </si>
  <si>
    <t>0356300244219000021</t>
  </si>
  <si>
    <t>902453</t>
  </si>
  <si>
    <t>0334100024819000009</t>
  </si>
  <si>
    <t>0334100007019000022</t>
  </si>
  <si>
    <t>5009034910</t>
  </si>
  <si>
    <t>0848300047119000291</t>
  </si>
  <si>
    <t>4308004069</t>
  </si>
  <si>
    <t>0340200003319008001</t>
  </si>
  <si>
    <t>Даровской район</t>
  </si>
  <si>
    <t>0122100009419000020</t>
  </si>
  <si>
    <t>1215056446</t>
  </si>
  <si>
    <t>0308300016619000047</t>
  </si>
  <si>
    <t>1215085863</t>
  </si>
  <si>
    <t>121501921000</t>
  </si>
  <si>
    <t>121517125853</t>
  </si>
  <si>
    <t>433902449569</t>
  </si>
  <si>
    <t>7512001433</t>
  </si>
  <si>
    <t>0191100008019000013</t>
  </si>
  <si>
    <t>751200832746</t>
  </si>
  <si>
    <t>0400003817</t>
  </si>
  <si>
    <t>0177400000319000004</t>
  </si>
  <si>
    <t>040500447554</t>
  </si>
  <si>
    <t>7501001086</t>
  </si>
  <si>
    <t>0191100010319000023</t>
  </si>
  <si>
    <t>Кыринский район</t>
  </si>
  <si>
    <t>751000256206</t>
  </si>
  <si>
    <t>902194</t>
  </si>
  <si>
    <t>0191100010319000024</t>
  </si>
  <si>
    <t>Акшинский район</t>
  </si>
  <si>
    <t>753400062689</t>
  </si>
  <si>
    <t>5042078960</t>
  </si>
  <si>
    <t>0348200056319000025</t>
  </si>
  <si>
    <t>5042117200</t>
  </si>
  <si>
    <t>2282002430</t>
  </si>
  <si>
    <t>902010</t>
  </si>
  <si>
    <t>Тюменцевский район</t>
  </si>
  <si>
    <t>901999</t>
  </si>
  <si>
    <t>2226008213</t>
  </si>
  <si>
    <t>902035</t>
  </si>
  <si>
    <t>101110</t>
  </si>
  <si>
    <t>901936</t>
  </si>
  <si>
    <t>101109</t>
  </si>
  <si>
    <t>BP00294757</t>
  </si>
  <si>
    <t>COM13061900022</t>
  </si>
  <si>
    <t>6439071143</t>
  </si>
  <si>
    <t>190613/1497/049</t>
  </si>
  <si>
    <t>COM13061900019</t>
  </si>
  <si>
    <t>5009034780</t>
  </si>
  <si>
    <t>31907987617</t>
  </si>
  <si>
    <t>7444026677</t>
  </si>
  <si>
    <t>901641</t>
  </si>
  <si>
    <t>[ОКПД2 45.20] Услуги по техническому обслуживанию и ремонту автотранспортных средств, [ОКПД2 43.29] Работы строительно-монтажные прочие</t>
  </si>
  <si>
    <t>31907987380</t>
  </si>
  <si>
    <t>31907987395</t>
  </si>
  <si>
    <t>0260100000619000113</t>
  </si>
  <si>
    <t>0542009356</t>
  </si>
  <si>
    <t>0303300078219000068</t>
  </si>
  <si>
    <t>Дербент</t>
  </si>
  <si>
    <t>0542029240</t>
  </si>
  <si>
    <t>5018035349</t>
  </si>
  <si>
    <t>31907987238</t>
  </si>
  <si>
    <t>6914013187</t>
  </si>
  <si>
    <t>31907986799</t>
  </si>
  <si>
    <t>0372100010619000385</t>
  </si>
  <si>
    <t>7804597809</t>
  </si>
  <si>
    <t>2466228773</t>
  </si>
  <si>
    <t>0119200000119005278</t>
  </si>
  <si>
    <t>31907983693</t>
  </si>
  <si>
    <t>5833001921</t>
  </si>
  <si>
    <t>100237441119000014</t>
  </si>
  <si>
    <t>Шемышейский район</t>
  </si>
  <si>
    <t>0851200000619003142</t>
  </si>
  <si>
    <t>100237441119000012</t>
  </si>
  <si>
    <t>31907984807</t>
  </si>
  <si>
    <t>0123200000319001757</t>
  </si>
  <si>
    <t>31907986427</t>
  </si>
  <si>
    <t>[ОКПД2 56.10] Услуги ресторанов и услуги по доставке продуктов питания, [ОКПД2 55.10] Услуги гостиниц и аналогичные услуги по предоставлению временного жилья, [ОКПД2 49.39] Услуги сухопутного пассажирского транспорта прочие, не включенные в другие группировки, [ОКВЭД2 55.10] Деятельность гостиниц и прочих мест для временного проживания, [ОКВЭД2 56.10] Деятельность ресторанов и услуги по доставке продуктов питания, [ОКВЭД2 49.39] Деятельность прочего сухопутного пассажирского транспорта, не включенная в другие группировки</t>
  </si>
  <si>
    <t>5012069165</t>
  </si>
  <si>
    <t>0848300044119000136</t>
  </si>
  <si>
    <t>7722304258</t>
  </si>
  <si>
    <t>0119200000119005270</t>
  </si>
  <si>
    <t>31907985709</t>
  </si>
  <si>
    <t>745305763770</t>
  </si>
  <si>
    <t>6611003542</t>
  </si>
  <si>
    <t>0162100009019000016</t>
  </si>
  <si>
    <t>31907985662</t>
  </si>
  <si>
    <t>7453131452</t>
  </si>
  <si>
    <t>2635010990</t>
  </si>
  <si>
    <t>0321300001119000305</t>
  </si>
  <si>
    <t>7702162598</t>
  </si>
  <si>
    <t>0373100015219000030</t>
  </si>
  <si>
    <t>7720309613</t>
  </si>
  <si>
    <t>7203267806</t>
  </si>
  <si>
    <t>7716812694</t>
  </si>
  <si>
    <t>0888100000119000232</t>
  </si>
  <si>
    <t>Анадырь</t>
  </si>
  <si>
    <t>8705000815</t>
  </si>
  <si>
    <t>0888100000119000229</t>
  </si>
  <si>
    <t>6672206726</t>
  </si>
  <si>
    <t>0362100002819000031</t>
  </si>
  <si>
    <t>6674347916</t>
  </si>
  <si>
    <t>0321100001619000001</t>
  </si>
  <si>
    <t>0888100000119000234</t>
  </si>
  <si>
    <t>8709570319</t>
  </si>
  <si>
    <t>0373100107719000038</t>
  </si>
  <si>
    <t>0888100000119000233</t>
  </si>
  <si>
    <t>0130100007319000028</t>
  </si>
  <si>
    <t>0319100015219000006</t>
  </si>
  <si>
    <t>12554</t>
  </si>
  <si>
    <t>2403004114</t>
  </si>
  <si>
    <t>0119100014619000015</t>
  </si>
  <si>
    <t>Балахтинский район</t>
  </si>
  <si>
    <t>2403002685</t>
  </si>
  <si>
    <t>2635008221</t>
  </si>
  <si>
    <t>0321300001119000304</t>
  </si>
  <si>
    <t>0319100015219000005</t>
  </si>
  <si>
    <t>0888100000119000231</t>
  </si>
  <si>
    <t>6664036189</t>
  </si>
  <si>
    <t>31907985350</t>
  </si>
  <si>
    <t>0888100000119000230</t>
  </si>
  <si>
    <t>100066546119000011</t>
  </si>
  <si>
    <t>8617006342</t>
  </si>
  <si>
    <t>900918</t>
  </si>
  <si>
    <t>5042068384</t>
  </si>
  <si>
    <t>751037</t>
  </si>
  <si>
    <t>0231100000219000155</t>
  </si>
  <si>
    <t>31907983169</t>
  </si>
  <si>
    <t>31907982797</t>
  </si>
  <si>
    <t>2634096546</t>
  </si>
  <si>
    <t>0321300001119000306</t>
  </si>
  <si>
    <t>1830011603</t>
  </si>
  <si>
    <t>0813500000119006117</t>
  </si>
  <si>
    <t>5260214123</t>
  </si>
  <si>
    <t>31907986000</t>
  </si>
  <si>
    <t>6682001414</t>
  </si>
  <si>
    <t>31907984981</t>
  </si>
  <si>
    <t>31907985029</t>
  </si>
  <si>
    <t>31907985767</t>
  </si>
  <si>
    <t>[ОКПД2 56.2+] Услуги по поставке продукции общественного питания и обслуживанию торжественных мероприятий и прочие услуги по обеспечению питанием, [ОКПД2 55.10] Услуги гостиниц и аналогичные услуги по предоставлению временного жилья, [ОКВЭД2 56.29] Деятельность предприятий общественного питания по прочим видам организации питания, [ОКВЭД2 55.10] Деятельность гостиниц и прочих мест для временного проживания</t>
  </si>
  <si>
    <t>0177400000319000003</t>
  </si>
  <si>
    <t>7720270677</t>
  </si>
  <si>
    <t>0373200006219000802</t>
  </si>
  <si>
    <t>1435149030</t>
  </si>
  <si>
    <t>31907983341</t>
  </si>
  <si>
    <t>РН942102</t>
  </si>
  <si>
    <t>1632001240</t>
  </si>
  <si>
    <t>0311100011119000008</t>
  </si>
  <si>
    <t>1632005380</t>
  </si>
  <si>
    <t>1632005679</t>
  </si>
  <si>
    <t>4217027485</t>
  </si>
  <si>
    <t>0339100023719000015</t>
  </si>
  <si>
    <t>423800057566</t>
  </si>
  <si>
    <t>0851200000619003123</t>
  </si>
  <si>
    <t>2128017361</t>
  </si>
  <si>
    <t>0115100004819000140</t>
  </si>
  <si>
    <t>1215158342</t>
  </si>
  <si>
    <t>661221283353</t>
  </si>
  <si>
    <t>РН942048</t>
  </si>
  <si>
    <t>7116030670</t>
  </si>
  <si>
    <t>0366100010919000005</t>
  </si>
  <si>
    <t>4712006730</t>
  </si>
  <si>
    <t>31907985257</t>
  </si>
  <si>
    <t>2562560</t>
  </si>
  <si>
    <t>100223342119000008</t>
  </si>
  <si>
    <t>0311100011119000007</t>
  </si>
  <si>
    <t>0851200000619003129</t>
  </si>
  <si>
    <t>0851200000619003128</t>
  </si>
  <si>
    <t>0851200000619003126</t>
  </si>
  <si>
    <t>31907983470</t>
  </si>
  <si>
    <t>750908</t>
  </si>
  <si>
    <t>0318200017019000072</t>
  </si>
  <si>
    <t>7704032379</t>
  </si>
  <si>
    <t>31907984425</t>
  </si>
  <si>
    <t>7704007478</t>
  </si>
  <si>
    <t>0274149764</t>
  </si>
  <si>
    <t>31907983731</t>
  </si>
  <si>
    <t>31907983502</t>
  </si>
  <si>
    <t>[ОКПД2 56.29] Услуги по обеспечению питанием прочие, [ОКВЭД2 10.86] Производство детского питания и диетических пищевых продуктов</t>
  </si>
  <si>
    <t>0307300050719000161</t>
  </si>
  <si>
    <t>5035021201</t>
  </si>
  <si>
    <t>750731</t>
  </si>
  <si>
    <t>2452044014</t>
  </si>
  <si>
    <t>31907982741</t>
  </si>
  <si>
    <t>5753050137</t>
  </si>
  <si>
    <t>0354100001719000014</t>
  </si>
  <si>
    <t>31907982891</t>
  </si>
  <si>
    <t>5009035952</t>
  </si>
  <si>
    <t>750721</t>
  </si>
  <si>
    <t>0411171683</t>
  </si>
  <si>
    <t>0177200000919001269</t>
  </si>
  <si>
    <t>31907984339</t>
  </si>
  <si>
    <t>0851300000119000201</t>
  </si>
  <si>
    <t>5445034596</t>
  </si>
  <si>
    <t>5001018056</t>
  </si>
  <si>
    <t>0348100066819000023</t>
  </si>
  <si>
    <t>773265002210</t>
  </si>
  <si>
    <t>0304100016519000013</t>
  </si>
  <si>
    <t>0725005408</t>
  </si>
  <si>
    <t>0146100001019000083</t>
  </si>
  <si>
    <t>0134200000119002009</t>
  </si>
  <si>
    <t>РН930896</t>
  </si>
  <si>
    <t>1834021289</t>
  </si>
  <si>
    <t>РН930864</t>
  </si>
  <si>
    <t>0318100004619000010</t>
  </si>
  <si>
    <t>2308210830</t>
  </si>
  <si>
    <t>5249035956</t>
  </si>
  <si>
    <t>0832200006619000808</t>
  </si>
  <si>
    <t>524901005907</t>
  </si>
  <si>
    <t>0853500000319006269</t>
  </si>
  <si>
    <t>5610219970</t>
  </si>
  <si>
    <t>0109100004919000022</t>
  </si>
  <si>
    <t>5501039449</t>
  </si>
  <si>
    <t>898694</t>
  </si>
  <si>
    <t>2224048193</t>
  </si>
  <si>
    <t>898570</t>
  </si>
  <si>
    <t>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</t>
  </si>
  <si>
    <t>0571007025</t>
  </si>
  <si>
    <t>BP00294392</t>
  </si>
  <si>
    <t>7706548313</t>
  </si>
  <si>
    <t>COM13061900153</t>
  </si>
  <si>
    <t>6150014959</t>
  </si>
  <si>
    <t>0358300324819000013</t>
  </si>
  <si>
    <t>5826100590</t>
  </si>
  <si>
    <t>0355100003419000003</t>
  </si>
  <si>
    <t>6667008951</t>
  </si>
  <si>
    <t>31907982300</t>
  </si>
  <si>
    <t>31907982270</t>
  </si>
  <si>
    <t>7712045131</t>
  </si>
  <si>
    <t>2019-721332</t>
  </si>
  <si>
    <t>COM11061900049</t>
  </si>
  <si>
    <t>COM11061900048</t>
  </si>
  <si>
    <t>31907982137</t>
  </si>
  <si>
    <t>3808013278</t>
  </si>
  <si>
    <t>31907980476</t>
  </si>
  <si>
    <t>[ОКПД2 56.10] Услуги ресторанов и услуги по доставке продуктов питания, [ОКВЭД2 55.30] Деятельность по предоставлению мест для временного проживания в кемпингах, жилых автофургонах и туристических автоприцепах</t>
  </si>
  <si>
    <t>3015010960</t>
  </si>
  <si>
    <t>31907981995</t>
  </si>
  <si>
    <t>5074051432</t>
  </si>
  <si>
    <t>31907981969</t>
  </si>
  <si>
    <t>[ОКПД2 93.29] Услуги в области развлечений и отдыха прочие, [ОКВЭД2 93.2+] Деятельность в области отдыха и развлечений</t>
  </si>
  <si>
    <t>750221</t>
  </si>
  <si>
    <t>31907980947</t>
  </si>
  <si>
    <t>31907981738</t>
  </si>
  <si>
    <t>Ивановский район</t>
  </si>
  <si>
    <t>0373200041519000939</t>
  </si>
  <si>
    <t>5018151747</t>
  </si>
  <si>
    <t>7722807276</t>
  </si>
  <si>
    <t>7720776760</t>
  </si>
  <si>
    <t>7743280343</t>
  </si>
  <si>
    <t>0853500000319006245</t>
  </si>
  <si>
    <t>31907981823</t>
  </si>
  <si>
    <t>0348100062019000199</t>
  </si>
  <si>
    <t>9901006822</t>
  </si>
  <si>
    <t>9901006847</t>
  </si>
  <si>
    <t>0237100001419000190</t>
  </si>
  <si>
    <t>2626022942</t>
  </si>
  <si>
    <t>31907980723</t>
  </si>
  <si>
    <t>0373100015219000027</t>
  </si>
  <si>
    <t>3255055322</t>
  </si>
  <si>
    <t>9721057930</t>
  </si>
  <si>
    <t>7726406677</t>
  </si>
  <si>
    <t>0123200000319001747</t>
  </si>
  <si>
    <t>1829006060</t>
  </si>
  <si>
    <t>0813500000119006035</t>
  </si>
  <si>
    <t>31907981588</t>
  </si>
  <si>
    <t>4027124917</t>
  </si>
  <si>
    <t>31907981251</t>
  </si>
  <si>
    <t>31907980744</t>
  </si>
  <si>
    <t>0123200000319001745</t>
  </si>
  <si>
    <t>9718023681</t>
  </si>
  <si>
    <t>6950223535</t>
  </si>
  <si>
    <t>0123200000319001746</t>
  </si>
  <si>
    <t>7724776601</t>
  </si>
  <si>
    <t>0123200000319001744</t>
  </si>
  <si>
    <t>7729717511</t>
  </si>
  <si>
    <t>0158100011619000001</t>
  </si>
  <si>
    <t>0145200002119000023</t>
  </si>
  <si>
    <t>[ОКПД2 55.20] Услуги по предоставлению временного жилья в местах отдыха и прочих местах для краткосрочного проживания, [ОКПД2 56.10] Услуги ресторанов и услуги по доставке продуктов питания</t>
  </si>
  <si>
    <t>5003010694</t>
  </si>
  <si>
    <t>0348100087919000036</t>
  </si>
  <si>
    <t>0801300011919000251</t>
  </si>
  <si>
    <t>0266021150</t>
  </si>
  <si>
    <t>0266018670</t>
  </si>
  <si>
    <t>0266028692</t>
  </si>
  <si>
    <t>0266018768</t>
  </si>
  <si>
    <t>0266018817</t>
  </si>
  <si>
    <t>0266018711</t>
  </si>
  <si>
    <t>0266021094</t>
  </si>
  <si>
    <t>0266018704</t>
  </si>
  <si>
    <t>0266019056</t>
  </si>
  <si>
    <t>0266018630</t>
  </si>
  <si>
    <t>0266018831</t>
  </si>
  <si>
    <t>0266021087</t>
  </si>
  <si>
    <t>0348100087919000035</t>
  </si>
  <si>
    <t>0158100011619000002</t>
  </si>
  <si>
    <t>0328100002719000090</t>
  </si>
  <si>
    <t>3327121827</t>
  </si>
  <si>
    <t>2221020520</t>
  </si>
  <si>
    <t>0817200000319006064</t>
  </si>
  <si>
    <t>0123200000319001734</t>
  </si>
  <si>
    <t>7710316675</t>
  </si>
  <si>
    <t>0123200000319001733</t>
  </si>
  <si>
    <t>5406023745</t>
  </si>
  <si>
    <t>0251100003819000162</t>
  </si>
  <si>
    <t>0251100003819000158</t>
  </si>
  <si>
    <t>5420103992</t>
  </si>
  <si>
    <t>0355100003419000004</t>
  </si>
  <si>
    <t>0317002938</t>
  </si>
  <si>
    <t>0302200016119000023</t>
  </si>
  <si>
    <t>Северо-Байкальский район</t>
  </si>
  <si>
    <t>0317741520</t>
  </si>
  <si>
    <t>1434027046</t>
  </si>
  <si>
    <t>0816300017019000197</t>
  </si>
  <si>
    <t>1435235899</t>
  </si>
  <si>
    <t>1435319429</t>
  </si>
  <si>
    <t>141502219195</t>
  </si>
  <si>
    <t>3906256409</t>
  </si>
  <si>
    <t>31907980958</t>
  </si>
  <si>
    <t>0355100003419000001</t>
  </si>
  <si>
    <t>0340100004219000012</t>
  </si>
  <si>
    <t>0355100003419000002</t>
  </si>
  <si>
    <t>5020002630</t>
  </si>
  <si>
    <t>750038</t>
  </si>
  <si>
    <t>6027015358</t>
  </si>
  <si>
    <t>0157200000319000473</t>
  </si>
  <si>
    <t>0123200000319001737</t>
  </si>
  <si>
    <t>9718009253</t>
  </si>
  <si>
    <t>0144100005219000039</t>
  </si>
  <si>
    <t>0245100001419000084</t>
  </si>
  <si>
    <t>7604003720</t>
  </si>
  <si>
    <t>0171200001919000895</t>
  </si>
  <si>
    <t>7604115416</t>
  </si>
  <si>
    <t>31907978807</t>
  </si>
  <si>
    <t>2301040924</t>
  </si>
  <si>
    <t>0318100007919000087</t>
  </si>
  <si>
    <t>2311222151</t>
  </si>
  <si>
    <t>6125019745</t>
  </si>
  <si>
    <t>7203217001</t>
  </si>
  <si>
    <t>31907978917</t>
  </si>
  <si>
    <t>0145100004519000008</t>
  </si>
  <si>
    <t>5502030791</t>
  </si>
  <si>
    <t>0352100021519000045</t>
  </si>
  <si>
    <t>6685000056</t>
  </si>
  <si>
    <t>6501018708</t>
  </si>
  <si>
    <t>0361200015019003798</t>
  </si>
  <si>
    <t>2721157957</t>
  </si>
  <si>
    <t>0314100008119000006</t>
  </si>
  <si>
    <t>060604981989</t>
  </si>
  <si>
    <t>6501026762</t>
  </si>
  <si>
    <t>0161300000119000956</t>
  </si>
  <si>
    <t>650103772688</t>
  </si>
  <si>
    <t>6652016773</t>
  </si>
  <si>
    <t>31907979060</t>
  </si>
  <si>
    <t>0859200001119007013</t>
  </si>
  <si>
    <t>5010010374</t>
  </si>
  <si>
    <t>31907980608</t>
  </si>
  <si>
    <t>31907980501</t>
  </si>
  <si>
    <t>0335100010819000107</t>
  </si>
  <si>
    <t>0848600006619000049</t>
  </si>
  <si>
    <t>0274037250</t>
  </si>
  <si>
    <t>0301200079019000001</t>
  </si>
  <si>
    <t>0276068768</t>
  </si>
  <si>
    <t>0142200001319008769</t>
  </si>
  <si>
    <t>0251100003819000155</t>
  </si>
  <si>
    <t>2628037768</t>
  </si>
  <si>
    <t>0351200001919000129</t>
  </si>
  <si>
    <t>4629027029</t>
  </si>
  <si>
    <t>0244100000119000152</t>
  </si>
  <si>
    <t>5261077695</t>
  </si>
  <si>
    <t>0321100000419000011</t>
  </si>
  <si>
    <t>2607801615</t>
  </si>
  <si>
    <t>4334000134</t>
  </si>
  <si>
    <t>0340200003319007836</t>
  </si>
  <si>
    <t>0836100000419000086</t>
  </si>
  <si>
    <t>2365013637</t>
  </si>
  <si>
    <t>6949006374</t>
  </si>
  <si>
    <t>31907979342</t>
  </si>
  <si>
    <t>5101700791</t>
  </si>
  <si>
    <t>0349300001719000133</t>
  </si>
  <si>
    <t>4826006780</t>
  </si>
  <si>
    <t>0346200002919000009</t>
  </si>
  <si>
    <t>31907979240</t>
  </si>
  <si>
    <t>0321100000419000010</t>
  </si>
  <si>
    <t>31907976759</t>
  </si>
  <si>
    <t>5003021537</t>
  </si>
  <si>
    <t>31907979045</t>
  </si>
  <si>
    <t>0380100008819000006</t>
  </si>
  <si>
    <t>5503028481</t>
  </si>
  <si>
    <t>0152300011919000627</t>
  </si>
  <si>
    <t>0322100002519000222</t>
  </si>
  <si>
    <t>7729557233</t>
  </si>
  <si>
    <t>12362</t>
  </si>
  <si>
    <t>[ОКПД2 33.19] Услуги по ремонту прочего оборудования, [ОКВЭД2 33.19] Ремонт прочего оборудования</t>
  </si>
  <si>
    <t>31907976707</t>
  </si>
  <si>
    <t>5639004880</t>
  </si>
  <si>
    <t>0853300000519000062</t>
  </si>
  <si>
    <t>6671158830</t>
  </si>
  <si>
    <t>31907977776</t>
  </si>
  <si>
    <t>0380100008819000005</t>
  </si>
  <si>
    <t>0390100000719000007</t>
  </si>
  <si>
    <t>5012003573</t>
  </si>
  <si>
    <t>31907978684</t>
  </si>
  <si>
    <t>0848300037419000457</t>
  </si>
  <si>
    <t>5007069297</t>
  </si>
  <si>
    <t>461602098964</t>
  </si>
  <si>
    <t>4346038661</t>
  </si>
  <si>
    <t>31907978545</t>
  </si>
  <si>
    <t>4345207902</t>
  </si>
  <si>
    <t>5639005650</t>
  </si>
  <si>
    <t>0853300000519000065</t>
  </si>
  <si>
    <t>5639006622</t>
  </si>
  <si>
    <t>0853300000519000066</t>
  </si>
  <si>
    <t>5639004872</t>
  </si>
  <si>
    <t>0853300000519000064</t>
  </si>
  <si>
    <t>5639004840</t>
  </si>
  <si>
    <t>0853300000519000063</t>
  </si>
  <si>
    <t>31907976688</t>
  </si>
  <si>
    <t>5639004946</t>
  </si>
  <si>
    <t>0853300000519000067</t>
  </si>
  <si>
    <t>0150200003919000543</t>
  </si>
  <si>
    <t>532100087971</t>
  </si>
  <si>
    <t>0339100023719000014</t>
  </si>
  <si>
    <t>0119200000119005182</t>
  </si>
  <si>
    <t>Иланский район</t>
  </si>
  <si>
    <t>896145</t>
  </si>
  <si>
    <t>0161300000119000957</t>
  </si>
  <si>
    <t>896462</t>
  </si>
  <si>
    <t>896473</t>
  </si>
  <si>
    <t>0134100010519000017</t>
  </si>
  <si>
    <t>0134100010519000018</t>
  </si>
  <si>
    <t>896141</t>
  </si>
  <si>
    <t>896258</t>
  </si>
  <si>
    <t>0144100005219000036</t>
  </si>
  <si>
    <t>31907977374</t>
  </si>
  <si>
    <t>31907976916</t>
  </si>
  <si>
    <t>6163123680</t>
  </si>
  <si>
    <t>31907977558</t>
  </si>
  <si>
    <t>[ОКПД2 10.89] Продукты пищевые прочие, не включенные в другие группировки, [ОКВЭД2 56.29] Деятельность предприятий общественного питания по прочим видам организации питания</t>
  </si>
  <si>
    <t>2561915</t>
  </si>
  <si>
    <t>5027084293</t>
  </si>
  <si>
    <t>749460</t>
  </si>
  <si>
    <t>[ОКПД2 26.30] Оборудование коммуникационное, [ОКПД2 27.12] Аппаратура распределительная и регулирующая электрическая, [ОКПД2 25.11] Металлоконструкции строительные и их части, [ОКПД2 32.30] Товары спортивные, [ОКПД2 27.90] Оборудование электрическое прочее, [ОКПД2 28.15] Подшипники, зубчатые колеса, зубчатые передачи и элементы приводов, [ОКПД2 26.12] Платы печатные смонтированные, [ОКПД2 27.11] Электродвигатели, генераторы и трансформаторы, [ОКПД2 26.20] Компьютеры и периферийное оборудование</t>
  </si>
  <si>
    <t>0321100003719000005</t>
  </si>
  <si>
    <t>100063</t>
  </si>
  <si>
    <t>0573100025919000151</t>
  </si>
  <si>
    <t>1215037605</t>
  </si>
  <si>
    <t>0137200001219002861</t>
  </si>
  <si>
    <t>896026</t>
  </si>
  <si>
    <t>896000</t>
  </si>
  <si>
    <t>896037</t>
  </si>
  <si>
    <t>0321100003719000004</t>
  </si>
  <si>
    <t>896014</t>
  </si>
  <si>
    <t>896041</t>
  </si>
  <si>
    <t>ATOM11061900032</t>
  </si>
  <si>
    <t>0118100004519000011</t>
  </si>
  <si>
    <t>0372100052919000289</t>
  </si>
  <si>
    <t>5639005682</t>
  </si>
  <si>
    <t>0853300000519000061</t>
  </si>
  <si>
    <t>5639004833</t>
  </si>
  <si>
    <t>0853300000519000060</t>
  </si>
  <si>
    <t>5507036853</t>
  </si>
  <si>
    <t>895592</t>
  </si>
  <si>
    <t>1832016445</t>
  </si>
  <si>
    <t>0813500000119005973</t>
  </si>
  <si>
    <t>3525043715</t>
  </si>
  <si>
    <t>0130200002419002003</t>
  </si>
  <si>
    <t>2608012388</t>
  </si>
  <si>
    <t>0121600011719000001</t>
  </si>
  <si>
    <t>[ОКПД2 94.12] Услуги, предоставляемые профессиональными членскими организациями</t>
  </si>
  <si>
    <t>5639005636</t>
  </si>
  <si>
    <t>0853300000519000059</t>
  </si>
  <si>
    <t>РН930411</t>
  </si>
  <si>
    <t>895265</t>
  </si>
  <si>
    <t>2019-720369</t>
  </si>
  <si>
    <t>5258100129</t>
  </si>
  <si>
    <t>EX19061100042</t>
  </si>
  <si>
    <t>31907976480</t>
  </si>
  <si>
    <t>1435221600</t>
  </si>
  <si>
    <t>0116300000119000575</t>
  </si>
  <si>
    <t>0260100000619000104</t>
  </si>
  <si>
    <t>0202004030</t>
  </si>
  <si>
    <t>0301300316919000002</t>
  </si>
  <si>
    <t>0260100000619000103</t>
  </si>
  <si>
    <t>0251100003819000149</t>
  </si>
  <si>
    <t>100551</t>
  </si>
  <si>
    <t>0251100003819000151</t>
  </si>
  <si>
    <t>0255009190</t>
  </si>
  <si>
    <t>31907975068</t>
  </si>
  <si>
    <t>31907975396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</si>
</sst>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_р_._-;\-* #,##0.00_р_._-;_-* &quot;-&quot;??_р_._-;_-@_-"/>
  </numFmts>
  <fonts count="1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theme="0" tint="-0.499984740745262"/>
      <name val="Calibri"/>
      <family val="2"/>
      <charset val="204"/>
      <scheme val="minor"/>
    </font>
    <font>
      <sz val="11"/>
      <color theme="0" tint="-0.499984740745262"/>
      <name val="Calibri"/>
      <family val="2"/>
      <charset val="204"/>
      <scheme val="minor"/>
    </font>
    <font>
      <b/>
      <sz val="16"/>
      <color theme="8" tint="-0.2499465926084170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u/>
      <sz val="10"/>
      <color rgb="FF0070C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Tahoma"/>
      <family val="2"/>
      <charset val="204"/>
    </font>
    <font>
      <sz val="10"/>
      <color rgb="FF808080"/>
      <name val="Calibri"/>
      <family val="2"/>
      <charset val="204"/>
      <scheme val="minor"/>
    </font>
    <font>
      <b/>
      <sz val="10"/>
      <color rgb="FF000000"/>
      <name val="Calibri"/>
      <family val="2"/>
      <charset val="204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92CDDC"/>
        <bgColor rgb="FF000000"/>
      </patternFill>
    </fill>
    <fill>
      <patternFill patternType="none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1" fillId="5" borderId="0" applyNumberFormat="0" applyBorder="0" applyAlignment="0" applyProtection="0"/>
    <xf numFmtId="164" fontId="1" fillId="0" borderId="0" applyFont="0" applyFill="0" applyBorder="0" applyAlignment="0" applyProtection="0"/>
  </cellStyleXfs>
  <cellXfs count="36">
    <xf numFmtId="0" fontId="0" fillId="0" borderId="0" xfId="0"/>
    <xf numFmtId="0" fontId="3" fillId="3" borderId="1" xfId="1" applyFont="1" applyFill="1" applyBorder="1" applyAlignment="1">
      <alignment horizontal="center" vertical="center" wrapText="1"/>
    </xf>
    <xf numFmtId="0" fontId="0" fillId="4" borderId="0" xfId="0" applyFill="1" applyBorder="1"/>
    <xf numFmtId="0" fontId="0" fillId="4" borderId="0" xfId="0" applyFill="1" applyBorder="1" applyAlignment="1">
      <alignment wrapText="1"/>
    </xf>
    <xf numFmtId="0" fontId="4" fillId="4" borderId="0" xfId="0" applyFont="1" applyFill="1" applyBorder="1" applyAlignment="1">
      <alignment wrapText="1"/>
    </xf>
    <xf numFmtId="0" fontId="4" fillId="4" borderId="0" xfId="0" applyFont="1" applyFill="1" applyBorder="1"/>
    <xf numFmtId="0" fontId="5" fillId="4" borderId="0" xfId="0" applyFont="1" applyFill="1" applyBorder="1"/>
    <xf numFmtId="0" fontId="6" fillId="4" borderId="0" xfId="0" applyFont="1" applyFill="1" applyBorder="1"/>
    <xf numFmtId="0" fontId="11" fillId="0" borderId="0" xfId="0" applyFont="1"/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2" fillId="4" borderId="0" xfId="0" applyFont="1" applyFill="1"/>
    <xf numFmtId="0" fontId="13" fillId="6" borderId="1" xfId="1" applyFont="1" applyFill="1" applyBorder="1" applyAlignment="1">
      <alignment horizontal="center" vertical="center" wrapText="1"/>
    </xf>
    <xf numFmtId="0" fontId="10" fillId="4" borderId="7" xfId="0" applyFont="1" applyFill="1" applyBorder="1" applyAlignment="1">
      <alignment horizontal="left" vertical="top" wrapText="1"/>
    </xf>
    <xf numFmtId="14" fontId="10" fillId="4" borderId="7" xfId="2" applyNumberFormat="1" applyFont="1" applyFill="1" applyBorder="1" applyAlignment="1">
      <alignment horizontal="left" vertical="top" wrapText="1"/>
    </xf>
    <xf numFmtId="3" fontId="10" fillId="4" borderId="7" xfId="0" applyNumberFormat="1" applyFont="1" applyFill="1" applyBorder="1" applyAlignment="1">
      <alignment horizontal="left" vertical="top" wrapText="1"/>
    </xf>
    <xf numFmtId="0" fontId="14" fillId="4" borderId="7" xfId="1" applyFont="1" applyFill="1" applyBorder="1" applyAlignment="1">
      <alignment horizontal="left" vertical="top" wrapText="1"/>
    </xf>
    <xf numFmtId="0" fontId="15" fillId="4" borderId="7" xfId="0" applyFont="1" applyFill="1" applyBorder="1" applyAlignment="1">
      <alignment vertical="top" wrapText="1"/>
    </xf>
    <xf numFmtId="0" fontId="10" fillId="4" borderId="7" xfId="0" applyFont="1" applyFill="1" applyBorder="1"/>
    <xf numFmtId="14" fontId="16" fillId="4" borderId="7" xfId="3" applyNumberFormat="1" applyFont="1" applyFill="1" applyBorder="1" applyAlignment="1">
      <alignment horizontal="left" wrapText="1"/>
    </xf>
    <xf numFmtId="0" fontId="11" fillId="0" borderId="0" xfId="0" applyFont="1"/>
    <xf numFmtId="0" fontId="0" fillId="4" borderId="7" xfId="0" applyFont="1" applyFill="1" applyBorder="1" applyAlignment="1">
      <alignment vertical="top" wrapText="1"/>
    </xf>
    <xf numFmtId="49" fontId="8" fillId="7" borderId="1" xfId="2" applyNumberFormat="1" applyFont="1" applyFill="1" applyBorder="1" applyAlignment="1">
      <alignment horizontal="left" vertical="top"/>
    </xf>
    <xf numFmtId="1" fontId="9" fillId="7" borderId="1" xfId="2" applyNumberFormat="1" applyFont="1" applyFill="1" applyBorder="1" applyAlignment="1">
      <alignment horizontal="left" vertical="top"/>
    </xf>
    <xf numFmtId="1" fontId="8" fillId="7" borderId="1" xfId="2" applyNumberFormat="1" applyFont="1" applyFill="1" applyBorder="1" applyAlignment="1">
      <alignment horizontal="left" vertical="top"/>
    </xf>
    <xf numFmtId="4" fontId="8" fillId="7" borderId="1" xfId="2" applyNumberFormat="1" applyFont="1" applyFill="1" applyBorder="1" applyAlignment="1">
      <alignment horizontal="left" vertical="top"/>
    </xf>
    <xf numFmtId="14" fontId="8" fillId="7" borderId="1" xfId="2" applyNumberFormat="1" applyFont="1" applyFill="1" applyBorder="1" applyAlignment="1">
      <alignment horizontal="left" vertical="top"/>
    </xf>
    <xf numFmtId="10" fontId="8" fillId="7" borderId="1" xfId="2" applyNumberFormat="1" applyFont="1" applyFill="1" applyBorder="1" applyAlignment="1">
      <alignment horizontal="left"/>
    </xf>
    <xf numFmtId="0" fontId="0" fillId="7" borderId="1" xfId="0" applyFill="1" applyBorder="1" applyAlignment="1">
      <alignment horizontal="left" vertical="top"/>
    </xf>
    <xf numFmtId="0" fontId="7" fillId="4" borderId="8" xfId="0" applyFont="1" applyFill="1" applyBorder="1" applyAlignment="1"/>
    <xf numFmtId="0" fontId="0" fillId="0" borderId="8" xfId="0" applyBorder="1" applyAlignment="1"/>
    <xf numFmtId="0" fontId="3" fillId="3" borderId="2" xfId="1" applyFont="1" applyFill="1" applyBorder="1" applyAlignment="1">
      <alignment horizontal="center" vertical="center" wrapText="1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3" fillId="3" borderId="6" xfId="1" applyFont="1" applyFill="1" applyBorder="1" applyAlignment="1">
      <alignment horizontal="center" vertical="center" wrapText="1"/>
    </xf>
  </cellXfs>
  <cellStyles count="4">
    <cellStyle name="20% — акцент5" xfId="2" builtinId="46"/>
    <cellStyle name="Акцент5" xfId="1" builtinId="45"/>
    <cellStyle name="Обычный" xfId="0" builtinId="0"/>
    <cellStyle name="Финансовый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D31"/>
  <sheetViews>
    <sheetView workbookViewId="0"/>
  </sheetViews>
  <sheetFormatPr defaultRowHeight="15" x14ac:dyDescent="0.25"/>
  <cols>
    <col min="1" max="1" width="52.140625" style="2" customWidth="1"/>
    <col min="2" max="2" width="65.5703125" style="3" customWidth="1"/>
    <col min="3" max="3" width="32" style="7" customWidth="1"/>
    <col min="4" max="16384" width="9.140625" style="2"/>
  </cols>
  <sheetData>
    <row r="1" spans="1:4" ht="21" x14ac:dyDescent="0.35">
      <c r="A1" s="29" t="s">
        <v>19</v>
      </c>
      <c r="B1" s="30"/>
      <c r="C1" s="2"/>
    </row>
    <row r="2" spans="1:4" x14ac:dyDescent="0.25">
      <c r="A2" s="13" t="s">
        <v>9</v>
      </c>
      <c r="B2" s="14">
        <v>43756.726076388899</v>
      </c>
      <c r="C2" s="2"/>
    </row>
    <row r="3" spans="1:4" x14ac:dyDescent="0.25">
      <c r="A3" s="13" t="s">
        <v>7</v>
      </c>
      <c r="B3" s="15">
        <v>23427</v>
      </c>
      <c r="C3" s="2"/>
    </row>
    <row r="4" spans="1:4" x14ac:dyDescent="0.25">
      <c r="A4" s="13" t="s">
        <v>17</v>
      </c>
      <c r="B4" s="15">
        <v>10000</v>
      </c>
      <c r="C4" s="6"/>
    </row>
    <row r="5" spans="1:4" x14ac:dyDescent="0.25">
      <c r="C5" s="2"/>
    </row>
    <row r="6" spans="1:4" x14ac:dyDescent="0.25">
      <c r="A6" s="16" t="s">
        <v>0</v>
      </c>
      <c r="B6" s="17" t="s">
        <v>39</v>
      </c>
      <c r="C6" s="5"/>
      <c r="D6" s="4"/>
    </row>
    <row r="7" spans="1:4" x14ac:dyDescent="0.25">
      <c r="A7" s="16" t="s">
        <v>13</v>
      </c>
      <c r="B7" s="17" t="s">
        <v>40</v>
      </c>
      <c r="C7" s="5"/>
      <c r="D7" s="4"/>
    </row>
    <row r="8" spans="1:4" x14ac:dyDescent="0.25">
      <c r="A8" s="16" t="s">
        <v>25</v>
      </c>
      <c r="B8" s="17" t="s">
        <v>41</v>
      </c>
      <c r="C8" s="5"/>
      <c r="D8" s="5"/>
    </row>
    <row r="9" spans="1:4" x14ac:dyDescent="0.25">
      <c r="A9" s="16" t="s">
        <v>26</v>
      </c>
      <c r="B9" s="17" t="s">
        <v>41</v>
      </c>
      <c r="C9" s="5"/>
      <c r="D9" s="5"/>
    </row>
    <row r="10" spans="1:4" x14ac:dyDescent="0.25">
      <c r="A10" s="16" t="s">
        <v>8</v>
      </c>
      <c r="B10" s="17" t="s">
        <v>42</v>
      </c>
      <c r="C10" s="5"/>
      <c r="D10" s="5"/>
    </row>
    <row r="11" spans="1:4" x14ac:dyDescent="0.25">
      <c r="A11" s="16" t="s">
        <v>20</v>
      </c>
      <c r="B11" s="17" t="s">
        <v>42</v>
      </c>
      <c r="C11" s="2"/>
      <c r="D11" s="5"/>
    </row>
    <row r="12" spans="1:4" x14ac:dyDescent="0.25">
      <c r="A12" s="16" t="s">
        <v>21</v>
      </c>
      <c r="B12" s="17" t="s">
        <v>42</v>
      </c>
      <c r="C12" s="2"/>
      <c r="D12" s="5"/>
    </row>
    <row r="13" spans="1:4" x14ac:dyDescent="0.25">
      <c r="A13" s="16" t="s">
        <v>1</v>
      </c>
      <c r="B13" s="17" t="s">
        <v>42</v>
      </c>
      <c r="C13" s="2"/>
      <c r="D13" s="5"/>
    </row>
    <row r="14" spans="1:4" x14ac:dyDescent="0.25">
      <c r="A14" s="16" t="s">
        <v>2</v>
      </c>
      <c r="B14" s="17" t="s">
        <v>43</v>
      </c>
      <c r="C14" s="2"/>
      <c r="D14" s="5"/>
    </row>
    <row r="15" spans="1:4" x14ac:dyDescent="0.25">
      <c r="A15" s="16" t="s">
        <v>36</v>
      </c>
      <c r="B15" s="17" t="s">
        <v>42</v>
      </c>
      <c r="C15" s="2"/>
      <c r="D15" s="5"/>
    </row>
    <row r="16" spans="1:4" ht="15" customHeight="1" x14ac:dyDescent="0.25">
      <c r="A16" s="16" t="s">
        <v>37</v>
      </c>
      <c r="B16" s="21" t="s">
        <v>44</v>
      </c>
      <c r="C16" s="2"/>
      <c r="D16" s="5"/>
    </row>
    <row r="17" spans="1:4" x14ac:dyDescent="0.25">
      <c r="A17" s="16" t="s">
        <v>35</v>
      </c>
      <c r="B17" s="17" t="s">
        <v>42</v>
      </c>
      <c r="C17" s="2"/>
      <c r="D17" s="5"/>
    </row>
    <row r="18" spans="1:4" ht="15" customHeight="1" x14ac:dyDescent="0.25">
      <c r="A18" s="16" t="s">
        <v>38</v>
      </c>
      <c r="B18" s="21" t="s">
        <v>44</v>
      </c>
      <c r="C18" s="2"/>
      <c r="D18" s="5"/>
    </row>
    <row r="19" spans="1:4" x14ac:dyDescent="0.25">
      <c r="A19" s="16" t="s">
        <v>3</v>
      </c>
      <c r="B19" s="17" t="s">
        <v>42</v>
      </c>
      <c r="C19" s="2"/>
      <c r="D19" s="5"/>
    </row>
    <row r="20" spans="1:4" x14ac:dyDescent="0.25">
      <c r="A20" s="16" t="s">
        <v>23</v>
      </c>
      <c r="B20" s="17" t="s">
        <v>42</v>
      </c>
      <c r="C20" s="2"/>
    </row>
    <row r="21" spans="1:4" x14ac:dyDescent="0.25">
      <c r="A21" s="16" t="s">
        <v>22</v>
      </c>
      <c r="B21" s="17" t="s">
        <v>42</v>
      </c>
      <c r="C21" s="2"/>
    </row>
    <row r="22" spans="1:4" x14ac:dyDescent="0.25">
      <c r="A22" s="16" t="s">
        <v>4</v>
      </c>
      <c r="B22" s="17" t="s">
        <v>42</v>
      </c>
      <c r="C22" s="2"/>
    </row>
    <row r="23" spans="1:4" x14ac:dyDescent="0.25">
      <c r="A23" s="16" t="s">
        <v>27</v>
      </c>
      <c r="B23" s="17" t="s">
        <v>42</v>
      </c>
    </row>
    <row r="24" spans="1:4" x14ac:dyDescent="0.25">
      <c r="A24" s="18" t="s">
        <v>28</v>
      </c>
      <c r="B24" s="19" t="s">
        <v>42</v>
      </c>
    </row>
    <row r="25" spans="1:4" x14ac:dyDescent="0.25">
      <c r="A25" s="16" t="s">
        <v>29</v>
      </c>
      <c r="B25" s="17" t="s">
        <v>42</v>
      </c>
    </row>
    <row r="26" spans="1:4" x14ac:dyDescent="0.25">
      <c r="A26" s="18" t="s">
        <v>24</v>
      </c>
      <c r="B26" s="19" t="s">
        <v>42</v>
      </c>
    </row>
    <row r="27" spans="1:4" x14ac:dyDescent="0.25">
      <c r="A27" s="18" t="s">
        <v>32</v>
      </c>
      <c r="B27" s="19" t="s">
        <v>42</v>
      </c>
    </row>
    <row r="28" spans="1:4" x14ac:dyDescent="0.25">
      <c r="A28" s="18" t="s">
        <v>33</v>
      </c>
      <c r="B28" s="19" t="s">
        <v>42</v>
      </c>
    </row>
    <row r="30" spans="1:4" x14ac:dyDescent="0.25">
      <c r="A30" s="11" t="s">
        <v>6</v>
      </c>
      <c r="B30" s="11" t="s">
        <v>30</v>
      </c>
    </row>
    <row r="31" spans="1:4" x14ac:dyDescent="0.25">
      <c r="B31" s="11" t="s">
        <v>45</v>
      </c>
    </row>
  </sheetData>
  <mergeCells count="1">
    <mergeCell ref="A1:B1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7216"/>
  <sheetViews>
    <sheetView tabSelected="1" workbookViewId="0">
      <pane ySplit="2" topLeftCell="A12787" activePane="bottomLeft" state="frozen"/>
      <selection pane="bottomLeft" activeCell="O1" sqref="O1:O1048576"/>
    </sheetView>
  </sheetViews>
  <sheetFormatPr defaultRowHeight="15" customHeight="1" outlineLevelRow="1" x14ac:dyDescent="0.15"/>
  <cols>
    <col min="1" max="1" width="20.7109375" style="8" customWidth="1"/>
    <col min="2" max="2" width="12.7109375" style="8" customWidth="1"/>
    <col min="3" max="3" width="15.7109375" style="8" customWidth="1"/>
    <col min="4" max="4" width="20.7109375" style="8" customWidth="1"/>
    <col min="5" max="5" width="18.7109375" style="8" customWidth="1"/>
    <col min="6" max="6" width="30.7109375" style="8" customWidth="1"/>
    <col min="7" max="7" width="14.7109375" style="8" customWidth="1"/>
    <col min="8" max="8" width="14.7109375" style="20" customWidth="1"/>
    <col min="9" max="9" width="10.7109375" style="8" customWidth="1"/>
    <col min="10" max="10" width="20.7109375" style="8" customWidth="1"/>
    <col min="11" max="11" width="12.7109375" style="8" customWidth="1"/>
    <col min="12" max="12" width="14.7109375" style="8" customWidth="1"/>
    <col min="13" max="13" width="15.7109375" style="8" customWidth="1"/>
    <col min="14" max="14" width="16" style="8" bestFit="1" customWidth="1"/>
    <col min="15" max="15" width="38.5703125" style="20" customWidth="1"/>
    <col min="16" max="16" width="21.140625" style="20" customWidth="1"/>
    <col min="17" max="16384" width="9.140625" style="8"/>
  </cols>
  <sheetData>
    <row r="1" spans="1:15" s="10" customFormat="1" ht="30" customHeight="1" x14ac:dyDescent="0.25">
      <c r="A1" s="33" t="s">
        <v>15</v>
      </c>
      <c r="B1" s="34"/>
      <c r="C1" s="35"/>
      <c r="D1" s="33" t="s">
        <v>14</v>
      </c>
      <c r="E1" s="34"/>
      <c r="F1" s="35"/>
      <c r="G1" s="31" t="s">
        <v>3</v>
      </c>
      <c r="H1" s="31" t="s">
        <v>31</v>
      </c>
      <c r="I1" s="31" t="s">
        <v>13</v>
      </c>
      <c r="J1" s="33" t="s">
        <v>12</v>
      </c>
      <c r="K1" s="34"/>
      <c r="L1" s="34"/>
      <c r="M1" s="34"/>
      <c r="N1" s="35"/>
      <c r="O1" s="9"/>
    </row>
    <row r="2" spans="1:15" s="9" customFormat="1" ht="53.25" customHeight="1" x14ac:dyDescent="0.25">
      <c r="A2" s="1" t="s">
        <v>36</v>
      </c>
      <c r="B2" s="1" t="s">
        <v>5</v>
      </c>
      <c r="C2" s="1" t="s">
        <v>16</v>
      </c>
      <c r="D2" s="1" t="s">
        <v>34</v>
      </c>
      <c r="E2" s="1" t="s">
        <v>27</v>
      </c>
      <c r="F2" s="1" t="s">
        <v>11</v>
      </c>
      <c r="G2" s="32"/>
      <c r="H2" s="32"/>
      <c r="I2" s="32"/>
      <c r="J2" s="1" t="s">
        <v>35</v>
      </c>
      <c r="K2" s="1" t="s">
        <v>5</v>
      </c>
      <c r="L2" s="1" t="s">
        <v>10</v>
      </c>
      <c r="M2" s="1" t="s">
        <v>16</v>
      </c>
      <c r="N2" s="12" t="s">
        <v>18</v>
      </c>
    </row>
    <row r="3" spans="1:15" x14ac:dyDescent="0.15">
      <c r="A3" s="23" t="str">
        <f>HYPERLINK("https://www.spark-marketing.ru/Card/Person/55493", "МБОУ СОШ № 6 С УГЛУБЛЕННЫМ ИЗУЧЕНИЕМ ОТДЕЛЬНЫХ ПРЕДМЕТОВ")</f>
        <v>МБОУ СОШ № 6 С УГЛУБЛЕННЫМ ИЗУЧЕНИЕМ ОТДЕЛЬНЫХ ПРЕДМЕТОВ</v>
      </c>
      <c r="B3" s="24" t="s">
        <v>46</v>
      </c>
      <c r="C3" s="25">
        <v>580050</v>
      </c>
      <c r="D3" s="22" t="s">
        <v>47</v>
      </c>
      <c r="E3" s="22" t="s">
        <v>48</v>
      </c>
      <c r="F3" s="23" t="str">
        <f>HYPERLINK("https://www.spark-marketing.ru/Card/Lot/74410334",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3" s="22" t="s">
        <v>49</v>
      </c>
      <c r="H3" s="22" t="s">
        <v>50</v>
      </c>
      <c r="I3" s="26">
        <v>43755.794513888897</v>
      </c>
      <c r="J3" s="28" t="s">
        <v>51</v>
      </c>
      <c r="K3" s="28" t="s">
        <v>51</v>
      </c>
      <c r="L3" s="28" t="s">
        <v>51</v>
      </c>
      <c r="M3" s="28" t="s">
        <v>51</v>
      </c>
      <c r="N3" s="28" t="s">
        <v>51</v>
      </c>
    </row>
    <row r="4" spans="1:15" x14ac:dyDescent="0.15">
      <c r="A4" s="23" t="str">
        <f>HYPERLINK("https://www.spark-marketing.ru/Card/Person/4856449", "ФГБУ ""РОСДЕТЦЕНТР""")</f>
        <v>ФГБУ "РОСДЕТЦЕНТР"</v>
      </c>
      <c r="B4" s="24" t="s">
        <v>53</v>
      </c>
      <c r="C4" s="25">
        <v>11500000</v>
      </c>
      <c r="D4" s="22" t="s">
        <v>54</v>
      </c>
      <c r="E4" s="22" t="s">
        <v>55</v>
      </c>
      <c r="F4" s="23" t="str">
        <f>HYPERLINK("https://www.spark-marketing.ru/Card/Lot/74417341", "Оказание комплекса услуг по размещению участников очного (финального) этапа ""Всероссийского конкурса профессионального мастерства вожатых, учитываемого в процессе аттестации и направленного на выявление, анализ и трансляцию лучших педагогических пра...")</f>
        <v>Оказание комплекса услуг по размещению участников очного (финального) этапа "Всероссийского конкурса профессионального мастерства вожатых, учитываемого в процессе аттестации и направленного на выявление, анализ и трансляцию лучших педагогических пра...</v>
      </c>
      <c r="G4" s="22" t="s">
        <v>56</v>
      </c>
      <c r="H4" s="22" t="s">
        <v>56</v>
      </c>
      <c r="I4" s="26">
        <v>43755.812395833302</v>
      </c>
      <c r="J4" s="28" t="s">
        <v>51</v>
      </c>
      <c r="K4" s="28" t="s">
        <v>51</v>
      </c>
      <c r="L4" s="28" t="s">
        <v>51</v>
      </c>
      <c r="M4" s="28" t="s">
        <v>51</v>
      </c>
      <c r="N4" s="28" t="s">
        <v>51</v>
      </c>
    </row>
    <row r="5" spans="1:15" x14ac:dyDescent="0.15">
      <c r="A5" s="23" t="str">
        <f>HYPERLINK("https://www.spark-marketing.ru/Card/Person/253249", "ОМВД РОССИИ ПО ЛАХДЕНПОХСКОМУ РАЙОНУ")</f>
        <v>ОМВД РОССИИ ПО ЛАХДЕНПОХСКОМУ РАЙОНУ</v>
      </c>
      <c r="B5" s="24" t="s">
        <v>57</v>
      </c>
      <c r="C5" s="25">
        <v>560000</v>
      </c>
      <c r="D5" s="22" t="s">
        <v>58</v>
      </c>
      <c r="E5" s="22" t="s">
        <v>48</v>
      </c>
      <c r="F5" s="23" t="str">
        <f>HYPERLINK("https://www.spark-marketing.ru/Card/Lot/74413711", "Оказание услуг по организации ежедневного (включая выходные и праздничные дни) горячего питания")</f>
        <v>Оказание услуг по организации ежедневного (включая выходные и праздничные дни) горячего питания</v>
      </c>
      <c r="G5" s="22" t="s">
        <v>59</v>
      </c>
      <c r="H5" s="22" t="s">
        <v>59</v>
      </c>
      <c r="I5" s="26">
        <v>43755.727847222202</v>
      </c>
      <c r="J5" s="28" t="s">
        <v>51</v>
      </c>
      <c r="K5" s="28" t="s">
        <v>51</v>
      </c>
      <c r="L5" s="28" t="s">
        <v>51</v>
      </c>
      <c r="M5" s="28" t="s">
        <v>51</v>
      </c>
      <c r="N5" s="28" t="s">
        <v>51</v>
      </c>
    </row>
    <row r="6" spans="1:15" x14ac:dyDescent="0.15">
      <c r="A6" s="23" t="str">
        <f>HYPERLINK("https://www.spark-marketing.ru/Card/Person/58825", "КГБУЗ ""ЦРБ Г. ЗМЕИНОГОРСКА""")</f>
        <v>КГБУЗ "ЦРБ Г. ЗМЕИНОГОРСКА"</v>
      </c>
      <c r="B6" s="24" t="s">
        <v>60</v>
      </c>
      <c r="C6" s="25">
        <v>230637</v>
      </c>
      <c r="D6" s="22" t="s">
        <v>61</v>
      </c>
      <c r="E6" s="22" t="s">
        <v>62</v>
      </c>
      <c r="F6" s="23" t="str">
        <f>HYPERLINK("https://www.spark-marketing.ru/Card/Lot/74406420", "Поставка бланочной продукции в 2020 году для нужд КГБУЗ ""ЦРБ г. Змеиногорска""")</f>
        <v>Поставка бланочной продукции в 2020 году для нужд КГБУЗ "ЦРБ г. Змеиногорска"</v>
      </c>
      <c r="G6" s="22" t="s">
        <v>63</v>
      </c>
      <c r="H6" s="22" t="s">
        <v>64</v>
      </c>
      <c r="I6" s="26">
        <v>43755.551388888904</v>
      </c>
      <c r="J6" s="28" t="s">
        <v>51</v>
      </c>
      <c r="K6" s="28" t="s">
        <v>51</v>
      </c>
      <c r="L6" s="28" t="s">
        <v>51</v>
      </c>
      <c r="M6" s="28" t="s">
        <v>51</v>
      </c>
      <c r="N6" s="28" t="s">
        <v>51</v>
      </c>
    </row>
    <row r="7" spans="1:15" x14ac:dyDescent="0.15">
      <c r="A7" s="23" t="str">
        <f>HYPERLINK("https://www.spark-marketing.ru/Card/Person/126253", "МУ ""ЦГЗСР Г. ТУЛЫ""")</f>
        <v>МУ "ЦГЗСР Г. ТУЛЫ"</v>
      </c>
      <c r="B7" s="24" t="s">
        <v>65</v>
      </c>
      <c r="C7" s="25">
        <v>1131010</v>
      </c>
      <c r="D7" s="22" t="s">
        <v>66</v>
      </c>
      <c r="E7" s="22" t="s">
        <v>67</v>
      </c>
      <c r="F7" s="23" t="str">
        <f>HYPERLINK("https://www.spark-marketing.ru/Card/Lot/74414761", "Оказание услуг по питанию спасателей")</f>
        <v>Оказание услуг по питанию спасателей</v>
      </c>
      <c r="G7" s="22" t="s">
        <v>68</v>
      </c>
      <c r="H7" s="22" t="s">
        <v>69</v>
      </c>
      <c r="I7" s="26">
        <v>43755.747916666704</v>
      </c>
      <c r="J7" s="28" t="s">
        <v>51</v>
      </c>
      <c r="K7" s="28" t="s">
        <v>51</v>
      </c>
      <c r="L7" s="28" t="s">
        <v>51</v>
      </c>
      <c r="M7" s="28" t="s">
        <v>51</v>
      </c>
      <c r="N7" s="28" t="s">
        <v>51</v>
      </c>
    </row>
    <row r="8" spans="1:15" x14ac:dyDescent="0.15">
      <c r="A8" s="23" t="str">
        <f>HYPERLINK("https://www.spark-marketing.ru/Card/Person/1002074", "ОМВД РОССИИ ПО СЕРДОБСКОМУ РАЙОНУ")</f>
        <v>ОМВД РОССИИ ПО СЕРДОБСКОМУ РАЙОНУ</v>
      </c>
      <c r="B8" s="24" t="s">
        <v>70</v>
      </c>
      <c r="C8" s="25">
        <v>837500</v>
      </c>
      <c r="D8" s="22" t="s">
        <v>71</v>
      </c>
      <c r="E8" s="22" t="s">
        <v>48</v>
      </c>
      <c r="F8" s="23" t="str">
        <f>HYPERLINK("https://www.spark-marketing.ru/Card/Lot/74414209", "Услуги по обеспечению трехразовым горячим питанием лиц, подвергнутых административному аресту и находящихся в ИВС ОМВД России по Сердобскому  району, для субъектов малого предпринимательства или социально ориентированных некоммерческих организаций, з...")</f>
        <v>Услуги по обеспечению трехразовым горячим питанием лиц, подвергнутых административному аресту и находящихся в ИВС ОМВД России по Сердобскому  району, для субъектов малого предпринимательства или социально ориентированных некоммерческих организаций, з...</v>
      </c>
      <c r="G8" s="22" t="s">
        <v>72</v>
      </c>
      <c r="H8" s="22" t="s">
        <v>73</v>
      </c>
      <c r="I8" s="26">
        <v>43755.719444444403</v>
      </c>
      <c r="J8" s="28" t="s">
        <v>51</v>
      </c>
      <c r="K8" s="28" t="s">
        <v>51</v>
      </c>
      <c r="L8" s="28" t="s">
        <v>51</v>
      </c>
      <c r="M8" s="28" t="s">
        <v>51</v>
      </c>
      <c r="N8" s="28" t="s">
        <v>51</v>
      </c>
    </row>
    <row r="9" spans="1:15" x14ac:dyDescent="0.15">
      <c r="A9" s="23" t="str">
        <f>HYPERLINK("https://www.spark-marketing.ru/Card/Person/1001036", "ОТДЕЛ МВД РОССИИ ПО Г. ВЫКСА")</f>
        <v>ОТДЕЛ МВД РОССИИ ПО Г. ВЫКСА</v>
      </c>
      <c r="B9" s="24" t="s">
        <v>74</v>
      </c>
      <c r="C9" s="25">
        <v>300000</v>
      </c>
      <c r="D9" s="22" t="s">
        <v>75</v>
      </c>
      <c r="E9" s="22" t="s">
        <v>48</v>
      </c>
      <c r="F9" s="23" t="str">
        <f>HYPERLINK("https://www.spark-marketing.ru/Card/Lot/74406917", "Оказание услуг по организации питания (приготовлению и доставке) для ИВС, 1500 усл. ед")</f>
        <v>Оказание услуг по организации питания (приготовлению и доставке) для ИВС, 1500 усл. ед</v>
      </c>
      <c r="G9" s="22" t="s">
        <v>76</v>
      </c>
      <c r="H9" s="22" t="s">
        <v>77</v>
      </c>
      <c r="I9" s="26">
        <v>43755.708275463003</v>
      </c>
      <c r="J9" s="28" t="s">
        <v>51</v>
      </c>
      <c r="K9" s="28" t="s">
        <v>51</v>
      </c>
      <c r="L9" s="28" t="s">
        <v>51</v>
      </c>
      <c r="M9" s="28" t="s">
        <v>51</v>
      </c>
      <c r="N9" s="28" t="s">
        <v>51</v>
      </c>
    </row>
    <row r="10" spans="1:15" x14ac:dyDescent="0.15">
      <c r="A10" s="23" t="str">
        <f>HYPERLINK("https://www.spark-marketing.ru/Card/Person/1002074", "ОМВД РОССИИ ПО СЕРДОБСКОМУ РАЙОНУ")</f>
        <v>ОМВД РОССИИ ПО СЕРДОБСКОМУ РАЙОНУ</v>
      </c>
      <c r="B10" s="24" t="s">
        <v>70</v>
      </c>
      <c r="C10" s="25">
        <v>180620</v>
      </c>
      <c r="D10" s="22" t="s">
        <v>78</v>
      </c>
      <c r="E10" s="22" t="s">
        <v>48</v>
      </c>
      <c r="F10" s="23" t="str">
        <f>HYPERLINK("https://www.spark-marketing.ru/Card/Lot/74411823", "Услуги по обеспечению трехразовым горячим питанием подозреваемых и обвиняемых в совершении преступлений, осужденных к лишению свободы, находящихся в ИВС ОМВД России по Сердобскому району, для субъектов малого предпринимательства или социально ориенти...")</f>
        <v>Услуги по обеспечению трехразовым горячим питанием подозреваемых и обвиняемых в совершении преступлений, осужденных к лишению свободы, находящихся в ИВС ОМВД России по Сердобскому району, для субъектов малого предпринимательства или социально ориенти...</v>
      </c>
      <c r="G10" s="22" t="s">
        <v>72</v>
      </c>
      <c r="H10" s="22" t="s">
        <v>73</v>
      </c>
      <c r="I10" s="26">
        <v>43755.719444444403</v>
      </c>
      <c r="J10" s="28" t="s">
        <v>51</v>
      </c>
      <c r="K10" s="28" t="s">
        <v>51</v>
      </c>
      <c r="L10" s="28" t="s">
        <v>51</v>
      </c>
      <c r="M10" s="28" t="s">
        <v>51</v>
      </c>
      <c r="N10" s="28" t="s">
        <v>51</v>
      </c>
    </row>
    <row r="11" spans="1:15" x14ac:dyDescent="0.15">
      <c r="A11" s="23" t="str">
        <f>HYPERLINK("https://www.spark-marketing.ru/Card/Person/121861", "ГБУ ВО ""ОМЦ""")</f>
        <v>ГБУ ВО "ОМЦ"</v>
      </c>
      <c r="B11" s="24" t="s">
        <v>79</v>
      </c>
      <c r="C11" s="25">
        <v>184800</v>
      </c>
      <c r="D11" s="22" t="s">
        <v>80</v>
      </c>
      <c r="E11" s="22" t="s">
        <v>81</v>
      </c>
      <c r="F11" s="23" t="str">
        <f>HYPERLINK("https://www.spark-marketing.ru/Card/Lot/74411728", "2019-07209/ Оказание услуг по организации проживания с питанием участников и организаторов комплексного семинара с руководителями военно-патриотических клубов и объединений")</f>
        <v>2019-07209/ Оказание услуг по организации проживания с питанием участников и организаторов комплексного семинара с руководителями военно-патриотических клубов и объединений</v>
      </c>
      <c r="G11" s="22" t="s">
        <v>82</v>
      </c>
      <c r="H11" s="22" t="s">
        <v>83</v>
      </c>
      <c r="I11" s="26">
        <v>43755.730509259301</v>
      </c>
      <c r="J11" s="28" t="s">
        <v>51</v>
      </c>
      <c r="K11" s="28" t="s">
        <v>51</v>
      </c>
      <c r="L11" s="28" t="s">
        <v>51</v>
      </c>
      <c r="M11" s="28" t="s">
        <v>51</v>
      </c>
      <c r="N11" s="28" t="s">
        <v>51</v>
      </c>
    </row>
    <row r="12" spans="1:15" x14ac:dyDescent="0.15">
      <c r="A12" s="23" t="str">
        <f>HYPERLINK("https://www.spark-marketing.ru/Card/Person/36728", "ГУ-РО ФОНДА СОЦИАЛЬНОГО СТРАХОВАНИЯ РОССИЙСКОЙ ФЕДЕРАЦИИ ПО РЕСПУБЛИКЕ ИНГУШЕТИЯ")</f>
        <v>ГУ-РО ФОНДА СОЦИАЛЬНОГО СТРАХОВАНИЯ РОССИЙСКОЙ ФЕДЕРАЦИИ ПО РЕСПУБЛИКЕ ИНГУШЕТИЯ</v>
      </c>
      <c r="B12" s="24" t="s">
        <v>84</v>
      </c>
      <c r="C12" s="25">
        <v>672154.56</v>
      </c>
      <c r="D12" s="22" t="s">
        <v>85</v>
      </c>
      <c r="E12" s="22" t="s">
        <v>86</v>
      </c>
      <c r="F12" s="23" t="str">
        <f>HYPERLINK("https://www.spark-marketing.ru/Card/Lot/74413916", "Оказание услуг по санаторно-курортному лечению для медицинской реабилитации застрахованных лиц, получивших повреждение здоровья вследствие несчастных случаев на производстве и профессиональных заболеваний с заболеваниями по Классу XIX МКБ-10 «Травмы,...")</f>
        <v>Оказание услуг по санаторно-курортному лечению для медицинской реабилитации застрахованных лиц, получивших повреждение здоровья вследствие несчастных случаев на производстве и профессиональных заболеваний с заболеваниями по Классу XIX МКБ-10 «Травмы,...</v>
      </c>
      <c r="G12" s="22" t="s">
        <v>87</v>
      </c>
      <c r="H12" s="22" t="s">
        <v>88</v>
      </c>
      <c r="I12" s="26">
        <v>43755.676388888904</v>
      </c>
      <c r="J12" s="28" t="s">
        <v>51</v>
      </c>
      <c r="K12" s="28" t="s">
        <v>51</v>
      </c>
      <c r="L12" s="28" t="s">
        <v>51</v>
      </c>
      <c r="M12" s="28" t="s">
        <v>51</v>
      </c>
      <c r="N12" s="28" t="s">
        <v>51</v>
      </c>
    </row>
    <row r="13" spans="1:15" x14ac:dyDescent="0.15">
      <c r="A13" s="23" t="str">
        <f>HYPERLINK("https://www.spark-marketing.ru/Card/Person/5971208", "УПРАВЛЕНИЕ РОСГВАРДИИ ПО РЕСПУБЛИКЕ ХАКАСИЯ")</f>
        <v>УПРАВЛЕНИЕ РОСГВАРДИИ ПО РЕСПУБЛИКЕ ХАКАСИЯ</v>
      </c>
      <c r="B13" s="24" t="s">
        <v>89</v>
      </c>
      <c r="C13" s="25">
        <v>96000</v>
      </c>
      <c r="D13" s="22" t="s">
        <v>90</v>
      </c>
      <c r="E13" s="22" t="s">
        <v>91</v>
      </c>
      <c r="F13" s="23" t="str">
        <f>HYPERLINK("https://www.spark-marketing.ru/Card/Lot/74405348", "Услуги по ремонту устройств печатающих")</f>
        <v>Услуги по ремонту устройств печатающих</v>
      </c>
      <c r="G13" s="22" t="s">
        <v>92</v>
      </c>
      <c r="H13" s="22" t="s">
        <v>93</v>
      </c>
      <c r="I13" s="26">
        <v>43755.595138888901</v>
      </c>
      <c r="J13" s="28" t="s">
        <v>51</v>
      </c>
      <c r="K13" s="28" t="s">
        <v>51</v>
      </c>
      <c r="L13" s="28" t="s">
        <v>51</v>
      </c>
      <c r="M13" s="28" t="s">
        <v>51</v>
      </c>
      <c r="N13" s="28" t="s">
        <v>51</v>
      </c>
    </row>
    <row r="14" spans="1:15" x14ac:dyDescent="0.15">
      <c r="A14" s="23" t="str">
        <f>HYPERLINK("https://www.spark-marketing.ru/Card/Person/652030", "МОМВД РОССИИ ""ХАНТЫ-МАНСИЙСКИЙ""")</f>
        <v>МОМВД РОССИИ "ХАНТЫ-МАНСИЙСКИЙ"</v>
      </c>
      <c r="B14" s="24" t="s">
        <v>94</v>
      </c>
      <c r="C14" s="25">
        <v>4027500</v>
      </c>
      <c r="D14" s="22" t="s">
        <v>95</v>
      </c>
      <c r="E14" s="22" t="s">
        <v>96</v>
      </c>
      <c r="F14" s="23" t="str">
        <f>HYPERLINK("https://www.spark-marketing.ru/Card/Lot/74417098", "Оказание услуг по обеспечению ежедневным горячим питанием подозреваемых и обвиняемых в совершении преступлений, содержащихся в ИВС ПиО МОМВД России «Ханты-Мансийский», а также лиц, задержанных в административном порядке, содержащихся в комнате админи...")</f>
        <v>Оказание услуг по обеспечению ежедневным горячим питанием подозреваемых и обвиняемых в совершении преступлений, содержащихся в ИВС ПиО МОМВД России «Ханты-Мансийский», а также лиц, задержанных в административном порядке, содержащихся в комнате админи...</v>
      </c>
      <c r="G14" s="22" t="s">
        <v>97</v>
      </c>
      <c r="H14" s="22" t="s">
        <v>98</v>
      </c>
      <c r="I14" s="26">
        <v>43755.668263888903</v>
      </c>
      <c r="J14" s="28" t="s">
        <v>51</v>
      </c>
      <c r="K14" s="28" t="s">
        <v>51</v>
      </c>
      <c r="L14" s="28" t="s">
        <v>51</v>
      </c>
      <c r="M14" s="28" t="s">
        <v>51</v>
      </c>
      <c r="N14" s="28" t="s">
        <v>51</v>
      </c>
    </row>
    <row r="15" spans="1:15" x14ac:dyDescent="0.15">
      <c r="A15" s="23" t="str">
        <f>HYPERLINK("https://www.spark-marketing.ru/Card/Person/27006", "ГУ-ЛИПЕЦКОЕ РО ФОНДА СОЦИАЛЬНОГО СТРАХОВАНИЯ РОССИЙСКОЙ ФЕДЕРАЦИИ")</f>
        <v>ГУ-ЛИПЕЦКОЕ РО ФОНДА СОЦИАЛЬНОГО СТРАХОВАНИЯ РОССИЙСКОЙ ФЕДЕРАЦИИ</v>
      </c>
      <c r="B15" s="24" t="s">
        <v>99</v>
      </c>
      <c r="C15" s="25">
        <v>1709769.6</v>
      </c>
      <c r="D15" s="22" t="s">
        <v>100</v>
      </c>
      <c r="E15" s="22" t="s">
        <v>86</v>
      </c>
      <c r="F15" s="23" t="str">
        <f>HYPERLINK("https://www.spark-marketing.ru/Card/Lot/74416104", "Оказание услуг по санаторно - курортному лечению застрахованных лиц, пострадавших на производстве, в санаторно - курортных организациях")</f>
        <v>Оказание услуг по санаторно - курортному лечению застрахованных лиц, пострадавших на производстве, в санаторно - курортных организациях</v>
      </c>
      <c r="G15" s="22" t="s">
        <v>101</v>
      </c>
      <c r="H15" s="22" t="s">
        <v>101</v>
      </c>
      <c r="I15" s="26">
        <v>43755.678854166697</v>
      </c>
      <c r="J15" s="28" t="s">
        <v>51</v>
      </c>
      <c r="K15" s="28" t="s">
        <v>51</v>
      </c>
      <c r="L15" s="28" t="s">
        <v>51</v>
      </c>
      <c r="M15" s="28" t="s">
        <v>51</v>
      </c>
      <c r="N15" s="28" t="s">
        <v>51</v>
      </c>
    </row>
    <row r="16" spans="1:15" x14ac:dyDescent="0.15">
      <c r="A16" s="23" t="str">
        <f>HYPERLINK("https://www.spark-marketing.ru/Card/Person/127314", "ГБУЗ ""ЕПНД""")</f>
        <v>ГБУЗ "ЕПНД"</v>
      </c>
      <c r="B16" s="24" t="s">
        <v>102</v>
      </c>
      <c r="C16" s="25">
        <v>87177.09</v>
      </c>
      <c r="D16" s="22" t="s">
        <v>103</v>
      </c>
      <c r="E16" s="22" t="s">
        <v>62</v>
      </c>
      <c r="F16" s="23" t="str">
        <f>HYPERLINK("https://www.spark-marketing.ru/Card/Lot/74411416", "Поставка бланочной продукции")</f>
        <v>Поставка бланочной продукции</v>
      </c>
      <c r="G16" s="22" t="s">
        <v>104</v>
      </c>
      <c r="H16" s="22" t="s">
        <v>105</v>
      </c>
      <c r="I16" s="26">
        <v>43755.679699074099</v>
      </c>
      <c r="J16" s="28" t="s">
        <v>51</v>
      </c>
      <c r="K16" s="28" t="s">
        <v>51</v>
      </c>
      <c r="L16" s="28" t="s">
        <v>51</v>
      </c>
      <c r="M16" s="28" t="s">
        <v>51</v>
      </c>
      <c r="N16" s="28" t="s">
        <v>51</v>
      </c>
    </row>
    <row r="17" spans="1:14" x14ac:dyDescent="0.15">
      <c r="A17" s="23" t="str">
        <f>HYPERLINK("https://www.spark-marketing.ru/Card/Person/1065607", "ОМВД РОССИИ ПО БАХЧИСАРАЙСКОМУ РАЙОНУ")</f>
        <v>ОМВД РОССИИ ПО БАХЧИСАРАЙСКОМУ РАЙОНУ</v>
      </c>
      <c r="B17" s="24" t="s">
        <v>106</v>
      </c>
      <c r="C17" s="25">
        <v>200235.37</v>
      </c>
      <c r="D17" s="22" t="s">
        <v>107</v>
      </c>
      <c r="E17" s="22" t="s">
        <v>96</v>
      </c>
      <c r="F17" s="23" t="str">
        <f>HYPERLINK("https://www.spark-marketing.ru/Card/Lot/74405734",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7" s="22" t="s">
        <v>108</v>
      </c>
      <c r="H17" s="22" t="s">
        <v>109</v>
      </c>
      <c r="I17" s="26">
        <v>43755.678090277797</v>
      </c>
      <c r="J17" s="28" t="s">
        <v>51</v>
      </c>
      <c r="K17" s="28" t="s">
        <v>51</v>
      </c>
      <c r="L17" s="28" t="s">
        <v>51</v>
      </c>
      <c r="M17" s="28" t="s">
        <v>51</v>
      </c>
      <c r="N17" s="28" t="s">
        <v>51</v>
      </c>
    </row>
    <row r="18" spans="1:14" x14ac:dyDescent="0.15">
      <c r="A18" s="23" t="str">
        <f>HYPERLINK("https://www.spark-marketing.ru/Card/Person/75889", "МОМВД РОССИИ ""КОЗЕЛЬСКИЙ""")</f>
        <v>МОМВД РОССИИ "КОЗЕЛЬСКИЙ"</v>
      </c>
      <c r="B18" s="24" t="s">
        <v>110</v>
      </c>
      <c r="C18" s="25">
        <v>300000</v>
      </c>
      <c r="D18" s="22" t="s">
        <v>111</v>
      </c>
      <c r="E18" s="22" t="s">
        <v>96</v>
      </c>
      <c r="F18" s="23" t="str">
        <f>HYPERLINK("https://www.spark-marketing.ru/Card/Lot/74405188", "Оказание услуг по организации питания (приготовлению и доставке), 810 шт")</f>
        <v>Оказание услуг по организации питания (приготовлению и доставке), 810 шт</v>
      </c>
      <c r="G18" s="22" t="s">
        <v>112</v>
      </c>
      <c r="H18" s="22" t="s">
        <v>113</v>
      </c>
      <c r="I18" s="26">
        <v>43755.667754629598</v>
      </c>
      <c r="J18" s="28" t="s">
        <v>51</v>
      </c>
      <c r="K18" s="28" t="s">
        <v>51</v>
      </c>
      <c r="L18" s="28" t="s">
        <v>51</v>
      </c>
      <c r="M18" s="28" t="s">
        <v>51</v>
      </c>
      <c r="N18" s="28" t="s">
        <v>51</v>
      </c>
    </row>
    <row r="19" spans="1:14" collapsed="1" x14ac:dyDescent="0.15">
      <c r="A19" s="23" t="s">
        <v>114</v>
      </c>
      <c r="B19" s="28" t="s">
        <v>51</v>
      </c>
      <c r="C19" s="25">
        <v>37876373.700000003</v>
      </c>
      <c r="D19" s="22" t="s">
        <v>115</v>
      </c>
      <c r="E19" s="22" t="s">
        <v>96</v>
      </c>
      <c r="F19" s="23" t="str">
        <f>HYPERLINK("https://www.spark-marketing.ru/Card/Lot/74417489",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</v>
      </c>
      <c r="G19" s="22" t="s">
        <v>51</v>
      </c>
      <c r="H19" s="22" t="s">
        <v>51</v>
      </c>
      <c r="I19" s="26">
        <v>43755.818055555603</v>
      </c>
      <c r="J19" s="28" t="s">
        <v>51</v>
      </c>
      <c r="K19" s="28" t="s">
        <v>51</v>
      </c>
      <c r="L19" s="28" t="s">
        <v>51</v>
      </c>
      <c r="M19" s="28" t="s">
        <v>51</v>
      </c>
      <c r="N19" s="28" t="s">
        <v>51</v>
      </c>
    </row>
    <row r="20" spans="1:14" hidden="1" outlineLevel="1" x14ac:dyDescent="0.15">
      <c r="A20" s="23" t="str">
        <f>HYPERLINK("https://www.spark-marketing.ru/Card/Person/111643", "ГБОУ ШКОЛА № 483 ВЫБОРГСКОГО РАЙОНА САНКТ-ПЕТЕРБУРГА")</f>
        <v>ГБОУ ШКОЛА № 483 ВЫБОРГСКОГО РАЙОНА САНКТ-ПЕТЕРБУРГА</v>
      </c>
      <c r="B20" s="24" t="s">
        <v>116</v>
      </c>
      <c r="C20" s="25">
        <v>7374560.3099999996</v>
      </c>
      <c r="D20" s="22" t="s">
        <v>115</v>
      </c>
      <c r="E20" s="22" t="s">
        <v>96</v>
      </c>
      <c r="F20" s="23" t="str">
        <f>HYPERLINK("https://www.spark-marketing.ru/Card/Lot/74417489",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</v>
      </c>
      <c r="G20" s="22" t="s">
        <v>117</v>
      </c>
      <c r="H20" s="22" t="s">
        <v>117</v>
      </c>
      <c r="I20" s="26">
        <v>43755.818055555603</v>
      </c>
      <c r="J20" s="28" t="s">
        <v>51</v>
      </c>
      <c r="K20" s="28" t="s">
        <v>51</v>
      </c>
      <c r="L20" s="28" t="s">
        <v>51</v>
      </c>
      <c r="M20" s="28" t="s">
        <v>51</v>
      </c>
      <c r="N20" s="28" t="s">
        <v>51</v>
      </c>
    </row>
    <row r="21" spans="1:14" hidden="1" outlineLevel="1" x14ac:dyDescent="0.15">
      <c r="A21" s="23" t="str">
        <f>HYPERLINK("https://www.spark-marketing.ru/Card/Person/6208231", "ГБОУ СОШ 12 ВЫБОРГСКОГО РН САНКТ ПЕТЕРБУРГА")</f>
        <v>ГБОУ СОШ 12 ВЫБОРГСКОГО РН САНКТ ПЕТЕРБУРГА</v>
      </c>
      <c r="B21" s="28" t="s">
        <v>51</v>
      </c>
      <c r="C21" s="25">
        <v>5495305.9299999997</v>
      </c>
      <c r="D21" s="22" t="s">
        <v>115</v>
      </c>
      <c r="E21" s="22" t="s">
        <v>96</v>
      </c>
      <c r="F21" s="23" t="str">
        <f>HYPERLINK("https://www.spark-marketing.ru/Card/Lot/74417489",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</v>
      </c>
      <c r="G21" s="22" t="s">
        <v>51</v>
      </c>
      <c r="H21" s="22" t="s">
        <v>51</v>
      </c>
      <c r="I21" s="26">
        <v>43755.818055555603</v>
      </c>
      <c r="J21" s="28" t="s">
        <v>51</v>
      </c>
      <c r="K21" s="28" t="s">
        <v>51</v>
      </c>
      <c r="L21" s="28" t="s">
        <v>51</v>
      </c>
      <c r="M21" s="28" t="s">
        <v>51</v>
      </c>
      <c r="N21" s="28" t="s">
        <v>51</v>
      </c>
    </row>
    <row r="22" spans="1:14" hidden="1" outlineLevel="1" x14ac:dyDescent="0.15">
      <c r="A22" s="23" t="str">
        <f>HYPERLINK("https://www.spark-marketing.ru/Card/Person/6211299", "ГБОУ СОШ 14 ИМЕНИ ГЕРОЯ СОВЕТСКОГО СОЮЗА М С ХАРЧЕНКО ВЫБОРГСКОГО РН САНКТ ПЕТЕРБУРГА")</f>
        <v>ГБОУ СОШ 14 ИМЕНИ ГЕРОЯ СОВЕТСКОГО СОЮЗА М С ХАРЧЕНКО ВЫБОРГСКОГО РН САНКТ ПЕТЕРБУРГА</v>
      </c>
      <c r="B22" s="28" t="s">
        <v>51</v>
      </c>
      <c r="C22" s="25">
        <v>12598387.27</v>
      </c>
      <c r="D22" s="22" t="s">
        <v>115</v>
      </c>
      <c r="E22" s="22" t="s">
        <v>96</v>
      </c>
      <c r="F22" s="23" t="str">
        <f>HYPERLINK("https://www.spark-marketing.ru/Card/Lot/74417489",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</v>
      </c>
      <c r="G22" s="22" t="s">
        <v>51</v>
      </c>
      <c r="H22" s="22" t="s">
        <v>51</v>
      </c>
      <c r="I22" s="26">
        <v>43755.818055555603</v>
      </c>
      <c r="J22" s="28" t="s">
        <v>51</v>
      </c>
      <c r="K22" s="28" t="s">
        <v>51</v>
      </c>
      <c r="L22" s="28" t="s">
        <v>51</v>
      </c>
      <c r="M22" s="28" t="s">
        <v>51</v>
      </c>
      <c r="N22" s="28" t="s">
        <v>51</v>
      </c>
    </row>
    <row r="23" spans="1:14" hidden="1" outlineLevel="1" x14ac:dyDescent="0.15">
      <c r="A23" s="23" t="str">
        <f>HYPERLINK("https://www.spark-marketing.ru/Card/Person/6246050", "ГБОУ СОШ 11 ВЫБОРГСКОГО РН САНКТ ПЕТЕРБУРГА")</f>
        <v>ГБОУ СОШ 11 ВЫБОРГСКОГО РН САНКТ ПЕТЕРБУРГА</v>
      </c>
      <c r="B23" s="28" t="s">
        <v>51</v>
      </c>
      <c r="C23" s="25">
        <v>12408120.189999999</v>
      </c>
      <c r="D23" s="22" t="s">
        <v>115</v>
      </c>
      <c r="E23" s="22" t="s">
        <v>96</v>
      </c>
      <c r="F23" s="23" t="str">
        <f>HYPERLINK("https://www.spark-marketing.ru/Card/Lot/74417489",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</v>
      </c>
      <c r="G23" s="22" t="s">
        <v>51</v>
      </c>
      <c r="H23" s="22" t="s">
        <v>51</v>
      </c>
      <c r="I23" s="26">
        <v>43755.818055555603</v>
      </c>
      <c r="J23" s="28" t="s">
        <v>51</v>
      </c>
      <c r="K23" s="28" t="s">
        <v>51</v>
      </c>
      <c r="L23" s="28" t="s">
        <v>51</v>
      </c>
      <c r="M23" s="28" t="s">
        <v>51</v>
      </c>
      <c r="N23" s="28" t="s">
        <v>51</v>
      </c>
    </row>
    <row r="24" spans="1:14" x14ac:dyDescent="0.15">
      <c r="A24" s="23" t="str">
        <f>HYPERLINK("https://www.spark-marketing.ru/Card/Person/37828", "ГБУЗ НД")</f>
        <v>ГБУЗ НД</v>
      </c>
      <c r="B24" s="24" t="s">
        <v>118</v>
      </c>
      <c r="C24" s="25">
        <v>499800</v>
      </c>
      <c r="D24" s="22" t="s">
        <v>119</v>
      </c>
      <c r="E24" s="22" t="s">
        <v>96</v>
      </c>
      <c r="F24" s="23" t="str">
        <f>HYPERLINK("https://www.spark-marketing.ru/Card/Lot/74413640", "Оказание услуг по обеспечению питанием")</f>
        <v>Оказание услуг по обеспечению питанием</v>
      </c>
      <c r="G24" s="22" t="s">
        <v>104</v>
      </c>
      <c r="H24" s="22" t="s">
        <v>120</v>
      </c>
      <c r="I24" s="26">
        <v>43755.642847222203</v>
      </c>
      <c r="J24" s="28" t="s">
        <v>51</v>
      </c>
      <c r="K24" s="28" t="s">
        <v>51</v>
      </c>
      <c r="L24" s="28" t="s">
        <v>51</v>
      </c>
      <c r="M24" s="28" t="s">
        <v>51</v>
      </c>
      <c r="N24" s="28" t="s">
        <v>51</v>
      </c>
    </row>
    <row r="25" spans="1:14" x14ac:dyDescent="0.15">
      <c r="A25" s="23" t="str">
        <f>HYPERLINK("https://www.spark-marketing.ru/Card/Person/75889", "МОМВД РОССИИ ""КОЗЕЛЬСКИЙ""")</f>
        <v>МОМВД РОССИИ "КОЗЕЛЬСКИЙ"</v>
      </c>
      <c r="B25" s="24" t="s">
        <v>110</v>
      </c>
      <c r="C25" s="25">
        <v>300000</v>
      </c>
      <c r="D25" s="22" t="s">
        <v>121</v>
      </c>
      <c r="E25" s="22" t="s">
        <v>96</v>
      </c>
      <c r="F25" s="23" t="str">
        <f>HYPERLINK("https://www.spark-marketing.ru/Card/Lot/74404793", "Оказание услуг по организации питания (приготовлению и доставке), 810 шт")</f>
        <v>Оказание услуг по организации питания (приготовлению и доставке), 810 шт</v>
      </c>
      <c r="G25" s="22" t="s">
        <v>112</v>
      </c>
      <c r="H25" s="22" t="s">
        <v>113</v>
      </c>
      <c r="I25" s="26">
        <v>43755.664687500001</v>
      </c>
      <c r="J25" s="28" t="s">
        <v>51</v>
      </c>
      <c r="K25" s="28" t="s">
        <v>51</v>
      </c>
      <c r="L25" s="28" t="s">
        <v>51</v>
      </c>
      <c r="M25" s="28" t="s">
        <v>51</v>
      </c>
      <c r="N25" s="28" t="s">
        <v>51</v>
      </c>
    </row>
    <row r="26" spans="1:14" x14ac:dyDescent="0.15">
      <c r="A26" s="23" t="str">
        <f>HYPERLINK("https://www.spark-marketing.ru/Card/Person/1010515", "МБОУ СОШ № 8")</f>
        <v>МБОУ СОШ № 8</v>
      </c>
      <c r="B26" s="24" t="s">
        <v>122</v>
      </c>
      <c r="C26" s="25">
        <v>663828</v>
      </c>
      <c r="D26" s="22" t="s">
        <v>123</v>
      </c>
      <c r="E26" s="22" t="s">
        <v>48</v>
      </c>
      <c r="F26" s="23" t="str">
        <f>HYPERLINK("https://www.spark-marketing.ru/Card/Lot/74413912", "Оказание услуг по обеспечению питанием обучающихся")</f>
        <v>Оказание услуг по обеспечению питанием обучающихся</v>
      </c>
      <c r="G26" s="22" t="s">
        <v>97</v>
      </c>
      <c r="H26" s="22" t="s">
        <v>97</v>
      </c>
      <c r="I26" s="26">
        <v>43755.652824074103</v>
      </c>
      <c r="J26" s="28" t="s">
        <v>51</v>
      </c>
      <c r="K26" s="28" t="s">
        <v>51</v>
      </c>
      <c r="L26" s="28" t="s">
        <v>51</v>
      </c>
      <c r="M26" s="28" t="s">
        <v>51</v>
      </c>
      <c r="N26" s="28" t="s">
        <v>51</v>
      </c>
    </row>
    <row r="27" spans="1:14" x14ac:dyDescent="0.15">
      <c r="A27" s="23" t="str">
        <f>HYPERLINK("https://www.spark-marketing.ru/Card/Person/37828", "ГБУЗ НД")</f>
        <v>ГБУЗ НД</v>
      </c>
      <c r="B27" s="24" t="s">
        <v>118</v>
      </c>
      <c r="C27" s="25">
        <v>499800</v>
      </c>
      <c r="D27" s="22" t="s">
        <v>124</v>
      </c>
      <c r="E27" s="22" t="s">
        <v>96</v>
      </c>
      <c r="F27" s="23" t="str">
        <f>HYPERLINK("https://www.spark-marketing.ru/Card/Lot/74413641", "Оказание услуг по обеспечению питанием")</f>
        <v>Оказание услуг по обеспечению питанием</v>
      </c>
      <c r="G27" s="22" t="s">
        <v>104</v>
      </c>
      <c r="H27" s="22" t="s">
        <v>120</v>
      </c>
      <c r="I27" s="26">
        <v>43755.642361111102</v>
      </c>
      <c r="J27" s="28" t="s">
        <v>51</v>
      </c>
      <c r="K27" s="28" t="s">
        <v>51</v>
      </c>
      <c r="L27" s="28" t="s">
        <v>51</v>
      </c>
      <c r="M27" s="28" t="s">
        <v>51</v>
      </c>
      <c r="N27" s="28" t="s">
        <v>51</v>
      </c>
    </row>
    <row r="28" spans="1:14" x14ac:dyDescent="0.15">
      <c r="A28" s="23" t="str">
        <f>HYPERLINK("https://www.spark-marketing.ru/Card/Person/37828", "ГБУЗ НД")</f>
        <v>ГБУЗ НД</v>
      </c>
      <c r="B28" s="24" t="s">
        <v>118</v>
      </c>
      <c r="C28" s="25">
        <v>499800</v>
      </c>
      <c r="D28" s="22" t="s">
        <v>125</v>
      </c>
      <c r="E28" s="22" t="s">
        <v>96</v>
      </c>
      <c r="F28" s="23" t="str">
        <f>HYPERLINK("https://www.spark-marketing.ru/Card/Lot/74413639", "Оказание услуг по обеспечению питанием")</f>
        <v>Оказание услуг по обеспечению питанием</v>
      </c>
      <c r="G28" s="22" t="s">
        <v>104</v>
      </c>
      <c r="H28" s="22" t="s">
        <v>120</v>
      </c>
      <c r="I28" s="26">
        <v>43755.642361111102</v>
      </c>
      <c r="J28" s="28" t="s">
        <v>51</v>
      </c>
      <c r="K28" s="28" t="s">
        <v>51</v>
      </c>
      <c r="L28" s="28" t="s">
        <v>51</v>
      </c>
      <c r="M28" s="28" t="s">
        <v>51</v>
      </c>
      <c r="N28" s="28" t="s">
        <v>51</v>
      </c>
    </row>
    <row r="29" spans="1:14" x14ac:dyDescent="0.15">
      <c r="A29" s="23" t="str">
        <f>HYPERLINK("https://www.spark-marketing.ru/Card/Person/11780", "ГБУЗ СО ""СГБ № 4""")</f>
        <v>ГБУЗ СО "СГБ № 4"</v>
      </c>
      <c r="B29" s="24" t="s">
        <v>126</v>
      </c>
      <c r="C29" s="25">
        <v>21146375</v>
      </c>
      <c r="D29" s="22" t="s">
        <v>127</v>
      </c>
      <c r="E29" s="22" t="s">
        <v>48</v>
      </c>
      <c r="F29" s="23" t="str">
        <f>HYPERLINK("https://www.spark-marketing.ru/Card/Lot/74417738", "Оказание услуг по приготовлению диетического лечебного питания для Государственного бюджетного учреждения здравоохранения Самарской области ""Самарская городская больница № 4"" в 2020 году")</f>
        <v>Оказание услуг по приготовлению диетического лечебного питания для Государственного бюджетного учреждения здравоохранения Самарской области "Самарская городская больница № 4" в 2020 году</v>
      </c>
      <c r="G29" s="22" t="s">
        <v>128</v>
      </c>
      <c r="H29" s="22" t="s">
        <v>129</v>
      </c>
      <c r="I29" s="26">
        <v>43755.625694444403</v>
      </c>
      <c r="J29" s="28" t="s">
        <v>51</v>
      </c>
      <c r="K29" s="28" t="s">
        <v>51</v>
      </c>
      <c r="L29" s="28" t="s">
        <v>51</v>
      </c>
      <c r="M29" s="28" t="s">
        <v>51</v>
      </c>
      <c r="N29" s="28" t="s">
        <v>51</v>
      </c>
    </row>
    <row r="30" spans="1:14" x14ac:dyDescent="0.15">
      <c r="A30" s="23" t="str">
        <f>HYPERLINK("https://www.spark-marketing.ru/Card/Person/1085561", "МО МВД РОССИИ ""БУЗУЛУКСКИЙ""")</f>
        <v>МО МВД РОССИИ "БУЗУЛУКСКИЙ"</v>
      </c>
      <c r="B30" s="24" t="s">
        <v>130</v>
      </c>
      <c r="C30" s="25">
        <v>1737400</v>
      </c>
      <c r="D30" s="22" t="s">
        <v>131</v>
      </c>
      <c r="E30" s="22" t="s">
        <v>48</v>
      </c>
      <c r="F30" s="23" t="str">
        <f>HYPERLINK("https://www.spark-marketing.ru/Card/Lot/74416147", "Оказание услуг по предоставлению горячего готового трёхразового питания для лиц, содержащихся в ИВС подозреваемых и обвиняемых, а также Специальном приемнике для содержания лиц, подвергнутых административному аресту")</f>
        <v>Оказание услуг по предоставлению горячего готового трёхразового питания для лиц, содержащихся в ИВС подозреваемых и обвиняемых, а также Специальном приемнике для содержания лиц, подвергнутых административному аресту</v>
      </c>
      <c r="G30" s="22" t="s">
        <v>132</v>
      </c>
      <c r="H30" s="22" t="s">
        <v>133</v>
      </c>
      <c r="I30" s="26">
        <v>43755.556250000001</v>
      </c>
      <c r="J30" s="28" t="s">
        <v>51</v>
      </c>
      <c r="K30" s="28" t="s">
        <v>51</v>
      </c>
      <c r="L30" s="28" t="s">
        <v>51</v>
      </c>
      <c r="M30" s="28" t="s">
        <v>51</v>
      </c>
      <c r="N30" s="28" t="s">
        <v>51</v>
      </c>
    </row>
    <row r="31" spans="1:14" x14ac:dyDescent="0.15">
      <c r="A31" s="23" t="str">
        <f>HYPERLINK("https://www.spark-marketing.ru/Card/Person/18629", "УПРАВЛЕНИЕ РОСРЕЕСТРА ПО ТВЕРСКОЙ ОБЛАСТИ")</f>
        <v>УПРАВЛЕНИЕ РОСРЕЕСТРА ПО ТВЕРСКОЙ ОБЛАСТИ</v>
      </c>
      <c r="B31" s="24" t="s">
        <v>134</v>
      </c>
      <c r="C31" s="25">
        <v>49588.63</v>
      </c>
      <c r="D31" s="22" t="s">
        <v>135</v>
      </c>
      <c r="E31" s="22" t="s">
        <v>136</v>
      </c>
      <c r="F31" s="23" t="str">
        <f>HYPERLINK("https://www.spark-marketing.ru/Card/Lot/74408912", "Оказание услуг по утилизации средств печати и копирования данных, оборудования автоматизированных рабочих мест (АРМ), серверного оборудования для нужд Управления Федеральной службы государственной регистрации, кадастра и картографии  по Тверской обла...")</f>
        <v>Оказание услуг по утилизации средств печати и копирования данных, оборудования автоматизированных рабочих мест (АРМ), серверного оборудования для нужд Управления Федеральной службы государственной регистрации, кадастра и картографии  по Тверской обла...</v>
      </c>
      <c r="G31" s="22" t="s">
        <v>137</v>
      </c>
      <c r="H31" s="22" t="s">
        <v>138</v>
      </c>
      <c r="I31" s="26">
        <v>43755.65625</v>
      </c>
      <c r="J31" s="28" t="s">
        <v>51</v>
      </c>
      <c r="K31" s="28" t="s">
        <v>51</v>
      </c>
      <c r="L31" s="28" t="s">
        <v>51</v>
      </c>
      <c r="M31" s="28" t="s">
        <v>51</v>
      </c>
      <c r="N31" s="28" t="s">
        <v>51</v>
      </c>
    </row>
    <row r="32" spans="1:14" x14ac:dyDescent="0.15">
      <c r="A32" s="23" t="str">
        <f>HYPERLINK("https://www.spark-marketing.ru/Card/Person/1054175", "МОМВД РОССИИ ПО ЗАТО ЗНАМЕНСК")</f>
        <v>МОМВД РОССИИ ПО ЗАТО ЗНАМЕНСК</v>
      </c>
      <c r="B32" s="24" t="s">
        <v>139</v>
      </c>
      <c r="C32" s="25">
        <v>7528.45</v>
      </c>
      <c r="D32" s="22" t="s">
        <v>140</v>
      </c>
      <c r="E32" s="22" t="s">
        <v>48</v>
      </c>
      <c r="F32" s="23" t="str">
        <f>HYPERLINK("https://www.spark-marketing.ru/Card/Lot/74403763",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32" s="22" t="s">
        <v>141</v>
      </c>
      <c r="H32" s="22" t="s">
        <v>142</v>
      </c>
      <c r="I32" s="26">
        <v>43755.639178240701</v>
      </c>
      <c r="J32" s="28" t="s">
        <v>51</v>
      </c>
      <c r="K32" s="28" t="s">
        <v>51</v>
      </c>
      <c r="L32" s="28" t="s">
        <v>51</v>
      </c>
      <c r="M32" s="28" t="s">
        <v>51</v>
      </c>
      <c r="N32" s="28" t="s">
        <v>51</v>
      </c>
    </row>
    <row r="33" spans="1:14" x14ac:dyDescent="0.15">
      <c r="A33" s="23" t="str">
        <f>HYPERLINK("https://www.spark-marketing.ru/Card/Person/255949", "МБДОУ ДЕТСКИЙ САД № 21 ""СОЛНЫШКО"" КОМПЕНСИРУЮЩЕГО ВИДА Г.ИШИМБАЯ МР ИШИМБАЙСКИЙ РАЙОН РБ")</f>
        <v>МБДОУ ДЕТСКИЙ САД № 21 "СОЛНЫШКО" КОМПЕНСИРУЮЩЕГО ВИДА Г.ИШИМБАЯ МР ИШИМБАЙСКИЙ РАЙОН РБ</v>
      </c>
      <c r="B33" s="24" t="s">
        <v>143</v>
      </c>
      <c r="C33" s="25">
        <v>707280</v>
      </c>
      <c r="D33" s="22" t="s">
        <v>144</v>
      </c>
      <c r="E33" s="22" t="s">
        <v>48</v>
      </c>
      <c r="F33" s="23" t="str">
        <f>HYPERLINK("https://www.spark-marketing.ru/Card/Lot/74414142", "Оказание услуги по организации горячего питания")</f>
        <v>Оказание услуги по организации горячего питания</v>
      </c>
      <c r="G33" s="22" t="s">
        <v>145</v>
      </c>
      <c r="H33" s="22" t="s">
        <v>146</v>
      </c>
      <c r="I33" s="26">
        <v>43755.590972222199</v>
      </c>
      <c r="J33" s="28" t="s">
        <v>51</v>
      </c>
      <c r="K33" s="28" t="s">
        <v>51</v>
      </c>
      <c r="L33" s="28" t="s">
        <v>51</v>
      </c>
      <c r="M33" s="28" t="s">
        <v>51</v>
      </c>
      <c r="N33" s="28" t="s">
        <v>51</v>
      </c>
    </row>
    <row r="34" spans="1:14" x14ac:dyDescent="0.15">
      <c r="A34" s="23" t="str">
        <f>HYPERLINK("https://www.spark-marketing.ru/Card/Person/1058995", "МБОУ ""ТОГУРСКАЯ СОШ""")</f>
        <v>МБОУ "ТОГУРСКАЯ СОШ"</v>
      </c>
      <c r="B34" s="24" t="s">
        <v>147</v>
      </c>
      <c r="C34" s="25">
        <v>740667.72</v>
      </c>
      <c r="D34" s="22" t="s">
        <v>148</v>
      </c>
      <c r="E34" s="22" t="s">
        <v>48</v>
      </c>
      <c r="F34" s="23" t="str">
        <f>HYPERLINK("https://www.spark-marketing.ru/Card/Lot/74414116", "Услуги по организации питания в школьной столовой обучающихся детей в МБОУ ""Тогурская СОШ""")</f>
        <v>Услуги по организации питания в школьной столовой обучающихся детей в МБОУ "Тогурская СОШ"</v>
      </c>
      <c r="G34" s="22" t="s">
        <v>149</v>
      </c>
      <c r="H34" s="22" t="s">
        <v>149</v>
      </c>
      <c r="I34" s="26">
        <v>43755.435416666704</v>
      </c>
      <c r="J34" s="28" t="s">
        <v>51</v>
      </c>
      <c r="K34" s="28" t="s">
        <v>51</v>
      </c>
      <c r="L34" s="28" t="s">
        <v>51</v>
      </c>
      <c r="M34" s="28" t="s">
        <v>51</v>
      </c>
      <c r="N34" s="28" t="s">
        <v>51</v>
      </c>
    </row>
    <row r="35" spans="1:14" x14ac:dyDescent="0.15">
      <c r="A35" s="23" t="str">
        <f>HYPERLINK("https://www.spark-marketing.ru/Card/Person/394268", "ГБУ ПК ""ЦКРИ""")</f>
        <v>ГБУ ПК "ЦКРИ"</v>
      </c>
      <c r="B35" s="24" t="s">
        <v>150</v>
      </c>
      <c r="C35" s="25">
        <v>26649</v>
      </c>
      <c r="D35" s="22" t="s">
        <v>151</v>
      </c>
      <c r="E35" s="22" t="s">
        <v>152</v>
      </c>
      <c r="F35" s="23" t="str">
        <f>HYPERLINK("https://www.spark-marketing.ru/Card/Lot/74403335", "Услуги по замене преобразователя расходов для ОМСР Орджоникидзевского района")</f>
        <v>Услуги по замене преобразователя расходов для ОМСР Орджоникидзевского района</v>
      </c>
      <c r="G35" s="22" t="s">
        <v>153</v>
      </c>
      <c r="H35" s="22" t="s">
        <v>153</v>
      </c>
      <c r="I35" s="26">
        <v>43755.619421296302</v>
      </c>
      <c r="J35" s="28" t="s">
        <v>51</v>
      </c>
      <c r="K35" s="28" t="s">
        <v>51</v>
      </c>
      <c r="L35" s="28" t="s">
        <v>51</v>
      </c>
      <c r="M35" s="28" t="s">
        <v>51</v>
      </c>
      <c r="N35" s="28" t="s">
        <v>51</v>
      </c>
    </row>
    <row r="36" spans="1:14" x14ac:dyDescent="0.15">
      <c r="A36" s="23" t="str">
        <f>HYPERLINK("https://www.spark-marketing.ru/Card/Person/255973", "МБДОУ ДЕТСКИЙ САД № 7 ""ИСКОРКА"" Г. ИШИМБАЯ МР ИШИМБАЙСКИЙ РАЙОН РБ")</f>
        <v>МБДОУ ДЕТСКИЙ САД № 7 "ИСКОРКА" Г. ИШИМБАЯ МР ИШИМБАЙСКИЙ РАЙОН РБ</v>
      </c>
      <c r="B36" s="24" t="s">
        <v>154</v>
      </c>
      <c r="C36" s="25">
        <v>820889</v>
      </c>
      <c r="D36" s="22" t="s">
        <v>155</v>
      </c>
      <c r="E36" s="22" t="s">
        <v>48</v>
      </c>
      <c r="F36" s="23" t="str">
        <f>HYPERLINK("https://www.spark-marketing.ru/Card/Lot/74414336", "Оказание услуги по организации горячего питания")</f>
        <v>Оказание услуги по организации горячего питания</v>
      </c>
      <c r="G36" s="22" t="s">
        <v>145</v>
      </c>
      <c r="H36" s="22" t="s">
        <v>146</v>
      </c>
      <c r="I36" s="26">
        <v>43755.684745370403</v>
      </c>
      <c r="J36" s="28" t="s">
        <v>51</v>
      </c>
      <c r="K36" s="28" t="s">
        <v>51</v>
      </c>
      <c r="L36" s="28" t="s">
        <v>51</v>
      </c>
      <c r="M36" s="28" t="s">
        <v>51</v>
      </c>
      <c r="N36" s="28" t="s">
        <v>51</v>
      </c>
    </row>
    <row r="37" spans="1:14" x14ac:dyDescent="0.15">
      <c r="A37" s="23" t="str">
        <f>HYPERLINK("https://www.spark-marketing.ru/Card/Person/1037160", "МЕЖМУНИЦИПАЛЬНЫЙ ОТДЕЛ МВД РОССИИ ""УРЮПИНСКИЙ""")</f>
        <v>МЕЖМУНИЦИПАЛЬНЫЙ ОТДЕЛ МВД РОССИИ "УРЮПИНСКИЙ"</v>
      </c>
      <c r="B37" s="24" t="s">
        <v>156</v>
      </c>
      <c r="C37" s="25">
        <v>279694.21999999997</v>
      </c>
      <c r="D37" s="22" t="s">
        <v>157</v>
      </c>
      <c r="E37" s="22" t="s">
        <v>48</v>
      </c>
      <c r="F37" s="23" t="str">
        <f>HYPERLINK("https://www.spark-marketing.ru/Card/Lot/74412200", "питание лиц содержащихся в ИВС и КАЗ")</f>
        <v>питание лиц содержащихся в ИВС и КАЗ</v>
      </c>
      <c r="G37" s="22" t="s">
        <v>158</v>
      </c>
      <c r="H37" s="22" t="s">
        <v>159</v>
      </c>
      <c r="I37" s="26">
        <v>43755.563888888901</v>
      </c>
      <c r="J37" s="28" t="s">
        <v>51</v>
      </c>
      <c r="K37" s="28" t="s">
        <v>51</v>
      </c>
      <c r="L37" s="28" t="s">
        <v>51</v>
      </c>
      <c r="M37" s="28" t="s">
        <v>51</v>
      </c>
      <c r="N37" s="28" t="s">
        <v>51</v>
      </c>
    </row>
    <row r="38" spans="1:14" x14ac:dyDescent="0.15">
      <c r="A38" s="23" t="str">
        <f>HYPERLINK("https://www.spark-marketing.ru/Card/Person/15696", "ГБУЗ ЛОНД")</f>
        <v>ГБУЗ ЛОНД</v>
      </c>
      <c r="B38" s="24" t="s">
        <v>160</v>
      </c>
      <c r="C38" s="25">
        <v>110752.2</v>
      </c>
      <c r="D38" s="22" t="s">
        <v>161</v>
      </c>
      <c r="E38" s="22" t="s">
        <v>51</v>
      </c>
      <c r="F38" s="23" t="str">
        <f>HYPERLINK("https://www.spark-marketing.ru/Card/Lot/74409476", "Поставка витаминно-минерального комплекса для нужд ГБУЗ ЛОНД.")</f>
        <v>Поставка витаминно-минерального комплекса для нужд ГБУЗ ЛОНД.</v>
      </c>
      <c r="G38" s="22" t="s">
        <v>162</v>
      </c>
      <c r="H38" s="22" t="s">
        <v>163</v>
      </c>
      <c r="I38" s="26">
        <v>43755.600694444402</v>
      </c>
      <c r="J38" s="28" t="s">
        <v>51</v>
      </c>
      <c r="K38" s="28" t="s">
        <v>51</v>
      </c>
      <c r="L38" s="28" t="s">
        <v>51</v>
      </c>
      <c r="M38" s="28" t="s">
        <v>51</v>
      </c>
      <c r="N38" s="28" t="s">
        <v>51</v>
      </c>
    </row>
    <row r="39" spans="1:14" x14ac:dyDescent="0.15">
      <c r="A39" s="23" t="str">
        <f>HYPERLINK("https://www.spark-marketing.ru/Card/Person/6086", "ГКУ ""ДИРЕКЦИЯ ОДОТСЗН Г. МОСКВЫ""")</f>
        <v>ГКУ "ДИРЕКЦИЯ ОДОТСЗН Г. МОСКВЫ"</v>
      </c>
      <c r="B39" s="24" t="s">
        <v>164</v>
      </c>
      <c r="C39" s="25">
        <v>9432612</v>
      </c>
      <c r="D39" s="22" t="s">
        <v>165</v>
      </c>
      <c r="E39" s="22" t="s">
        <v>86</v>
      </c>
      <c r="F39" s="23" t="str">
        <f>HYPERLINK("https://www.spark-marketing.ru/Card/Lot/74417217", "Оказание услуг по предоставлению санаторно-курортного лечения (по путевкам) в 2020-2021 годах  отдельным льготным категориям граждан, проживающим в городе Москва в санатории для лечения болезни эндокринной системы, расстройства питания и нарушения об...")</f>
        <v>Оказание услуг по предоставлению санаторно-курортного лечения (по путевкам) в 2020-2021 годах  отдельным льготным категориям граждан, проживающим в городе Москва в санатории для лечения болезни эндокринной системы, расстройства питания и нарушения об...</v>
      </c>
      <c r="G39" s="22" t="s">
        <v>56</v>
      </c>
      <c r="H39" s="22" t="s">
        <v>56</v>
      </c>
      <c r="I39" s="26">
        <v>43755.667222222197</v>
      </c>
      <c r="J39" s="28" t="s">
        <v>51</v>
      </c>
      <c r="K39" s="28" t="s">
        <v>51</v>
      </c>
      <c r="L39" s="28" t="s">
        <v>51</v>
      </c>
      <c r="M39" s="28" t="s">
        <v>51</v>
      </c>
      <c r="N39" s="28" t="s">
        <v>51</v>
      </c>
    </row>
    <row r="40" spans="1:14" x14ac:dyDescent="0.15">
      <c r="A40" s="23" t="str">
        <f>HYPERLINK("https://www.spark-marketing.ru/Card/Person/75008", "УМВД РОССИИ ПО КАЛИНИНСКОМУ РАЙОНУ Г. СПБ")</f>
        <v>УМВД РОССИИ ПО КАЛИНИНСКОМУ РАЙОНУ Г. СПБ</v>
      </c>
      <c r="B40" s="24" t="s">
        <v>166</v>
      </c>
      <c r="C40" s="25">
        <v>30000</v>
      </c>
      <c r="D40" s="22" t="s">
        <v>167</v>
      </c>
      <c r="E40" s="22" t="s">
        <v>96</v>
      </c>
      <c r="F40" s="23" t="str">
        <f>HYPERLINK("https://www.spark-marketing.ru/Card/Lot/74398712",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40" s="22" t="s">
        <v>117</v>
      </c>
      <c r="H40" s="22" t="s">
        <v>117</v>
      </c>
      <c r="I40" s="26">
        <v>43755.514571759297</v>
      </c>
      <c r="J40" s="28" t="s">
        <v>51</v>
      </c>
      <c r="K40" s="28" t="s">
        <v>51</v>
      </c>
      <c r="L40" s="28" t="s">
        <v>51</v>
      </c>
      <c r="M40" s="28" t="s">
        <v>51</v>
      </c>
      <c r="N40" s="28" t="s">
        <v>51</v>
      </c>
    </row>
    <row r="41" spans="1:14" x14ac:dyDescent="0.15">
      <c r="A41" s="23" t="str">
        <f>HYPERLINK("https://www.spark-marketing.ru/Card/Person/45605", "ГКУ ДЗ ВО")</f>
        <v>ГКУ ДЗ ВО</v>
      </c>
      <c r="B41" s="24" t="s">
        <v>168</v>
      </c>
      <c r="C41" s="25">
        <v>373210</v>
      </c>
      <c r="D41" s="22" t="s">
        <v>169</v>
      </c>
      <c r="E41" s="22" t="s">
        <v>170</v>
      </c>
      <c r="F41" s="23" t="str">
        <f>HYPERLINK("https://www.spark-marketing.ru/Card/Lot/74402547", "Оказание в 2019 году услуг по хранению, учету, доставке и отпуску полноценного питания для обеспечения отдельных категорий граждан Волгоградской области в соответствии с Постановлением Правительства Волгоградской области от 29.12.2012 № 650-п «Об утв...")</f>
        <v>Оказание в 2019 году услуг по хранению, учету, доставке и отпуску полноценного питания для обеспечения отдельных категорий граждан Волгоградской области в соответствии с Постановлением Правительства Волгоградской области от 29.12.2012 № 650-п «Об утв...</v>
      </c>
      <c r="G41" s="22" t="s">
        <v>158</v>
      </c>
      <c r="H41" s="22" t="s">
        <v>171</v>
      </c>
      <c r="I41" s="26">
        <v>43755.502893518496</v>
      </c>
      <c r="J41" s="28" t="s">
        <v>51</v>
      </c>
      <c r="K41" s="28" t="s">
        <v>51</v>
      </c>
      <c r="L41" s="28" t="s">
        <v>51</v>
      </c>
      <c r="M41" s="28" t="s">
        <v>51</v>
      </c>
      <c r="N41" s="28" t="s">
        <v>51</v>
      </c>
    </row>
    <row r="42" spans="1:14" x14ac:dyDescent="0.15">
      <c r="A42" s="23" t="str">
        <f>HYPERLINK("https://www.spark-marketing.ru/Card/Person/38369", "МБОУ ""СОШ № 14""")</f>
        <v>МБОУ "СОШ № 14"</v>
      </c>
      <c r="B42" s="24" t="s">
        <v>172</v>
      </c>
      <c r="C42" s="25">
        <v>1352000</v>
      </c>
      <c r="D42" s="22" t="s">
        <v>173</v>
      </c>
      <c r="E42" s="22" t="s">
        <v>48</v>
      </c>
      <c r="F42" s="23" t="str">
        <f>HYPERLINK("https://www.spark-marketing.ru/Card/Lot/74414977", "Оказание услуг по организации школьного питания")</f>
        <v>Оказание услуг по организации школьного питания</v>
      </c>
      <c r="G42" s="22" t="s">
        <v>174</v>
      </c>
      <c r="H42" s="22" t="s">
        <v>174</v>
      </c>
      <c r="I42" s="26">
        <v>43755.417361111096</v>
      </c>
      <c r="J42" s="28" t="s">
        <v>51</v>
      </c>
      <c r="K42" s="28" t="s">
        <v>51</v>
      </c>
      <c r="L42" s="28" t="s">
        <v>51</v>
      </c>
      <c r="M42" s="28" t="s">
        <v>51</v>
      </c>
      <c r="N42" s="28" t="s">
        <v>51</v>
      </c>
    </row>
    <row r="43" spans="1:14" x14ac:dyDescent="0.15">
      <c r="A43" s="23" t="str">
        <f>HYPERLINK("https://www.spark-marketing.ru/Card/Person/4856154", "КГБУЗ ""АККПЦ""")</f>
        <v>КГБУЗ "АККПЦ"</v>
      </c>
      <c r="B43" s="24" t="s">
        <v>175</v>
      </c>
      <c r="C43" s="25">
        <v>23000000</v>
      </c>
      <c r="D43" s="22" t="s">
        <v>176</v>
      </c>
      <c r="E43" s="22" t="s">
        <v>48</v>
      </c>
      <c r="F43" s="23" t="str">
        <f>HYPERLINK("https://www.spark-marketing.ru/Card/Lot/74399152", "Оказание услуг по организации питания пациентов для нужд КГБУЗ ""АККПЦ в 2020 году")</f>
        <v>Оказание услуг по организации питания пациентов для нужд КГБУЗ "АККПЦ в 2020 году</v>
      </c>
      <c r="G43" s="22" t="s">
        <v>63</v>
      </c>
      <c r="H43" s="22" t="s">
        <v>177</v>
      </c>
      <c r="I43" s="26">
        <v>43755.352083333302</v>
      </c>
      <c r="J43" s="28" t="s">
        <v>51</v>
      </c>
      <c r="K43" s="28" t="s">
        <v>51</v>
      </c>
      <c r="L43" s="28" t="s">
        <v>51</v>
      </c>
      <c r="M43" s="28" t="s">
        <v>51</v>
      </c>
      <c r="N43" s="28" t="s">
        <v>51</v>
      </c>
    </row>
    <row r="44" spans="1:14" x14ac:dyDescent="0.15">
      <c r="A44" s="23" t="str">
        <f>HYPERLINK("https://www.spark-marketing.ru/Card/Person/64027", "МБОУ ""ГИМНАЗИЯ №9""")</f>
        <v>МБОУ "ГИМНАЗИЯ №9"</v>
      </c>
      <c r="B44" s="24" t="s">
        <v>178</v>
      </c>
      <c r="C44" s="25">
        <v>75000</v>
      </c>
      <c r="D44" s="22" t="s">
        <v>179</v>
      </c>
      <c r="E44" s="22" t="s">
        <v>48</v>
      </c>
      <c r="F44" s="23" t="str">
        <f>HYPERLINK("https://www.spark-marketing.ru/Card/Lot/74396650", "Услуги по организации питания учащихся общеобразовательной организации во время осенних каникул")</f>
        <v>Услуги по организации питания учащихся общеобразовательной организации во время осенних каникул</v>
      </c>
      <c r="G44" s="22" t="s">
        <v>49</v>
      </c>
      <c r="H44" s="22" t="s">
        <v>180</v>
      </c>
      <c r="I44" s="26">
        <v>43755.461678240703</v>
      </c>
      <c r="J44" s="28" t="s">
        <v>51</v>
      </c>
      <c r="K44" s="28" t="s">
        <v>51</v>
      </c>
      <c r="L44" s="28" t="s">
        <v>51</v>
      </c>
      <c r="M44" s="28" t="s">
        <v>51</v>
      </c>
      <c r="N44" s="28" t="s">
        <v>51</v>
      </c>
    </row>
    <row r="45" spans="1:14" x14ac:dyDescent="0.15">
      <c r="A45" s="23" t="str">
        <f>HYPERLINK("https://www.spark-marketing.ru/Card/Person/90330", "МО МВД РОССИИ ""ШАТУРСКИЙ""")</f>
        <v>МО МВД РОССИИ "ШАТУРСКИЙ"</v>
      </c>
      <c r="B45" s="24" t="s">
        <v>181</v>
      </c>
      <c r="C45" s="25">
        <v>440895</v>
      </c>
      <c r="D45" s="22" t="s">
        <v>182</v>
      </c>
      <c r="E45" s="22" t="s">
        <v>48</v>
      </c>
      <c r="F45" s="23" t="str">
        <f>HYPERLINK("https://www.spark-marketing.ru/Card/Lot/74406875", "Оказание услуг по питанию граждан,содержащихся в ИВС лиц, задержанных в административном порядке сроком более 3-х часов в КАЗ  2020 году")</f>
        <v>Оказание услуг по питанию граждан,содержащихся в ИВС лиц, задержанных в административном порядке сроком более 3-х часов в КАЗ  2020 году</v>
      </c>
      <c r="G45" s="22" t="s">
        <v>49</v>
      </c>
      <c r="H45" s="22" t="s">
        <v>49</v>
      </c>
      <c r="I45" s="26">
        <v>43755.470138888901</v>
      </c>
      <c r="J45" s="28" t="s">
        <v>51</v>
      </c>
      <c r="K45" s="28" t="s">
        <v>51</v>
      </c>
      <c r="L45" s="28" t="s">
        <v>51</v>
      </c>
      <c r="M45" s="28" t="s">
        <v>51</v>
      </c>
      <c r="N45" s="28" t="s">
        <v>51</v>
      </c>
    </row>
    <row r="46" spans="1:14" x14ac:dyDescent="0.15">
      <c r="A46" s="23" t="str">
        <f>HYPERLINK("https://www.spark-marketing.ru/Card/Person/1066551", "МО МВД РОССИИ ""ТУТАЕВСКИЙ""")</f>
        <v>МО МВД РОССИИ "ТУТАЕВСКИЙ"</v>
      </c>
      <c r="B46" s="24" t="s">
        <v>183</v>
      </c>
      <c r="C46" s="25">
        <v>499230</v>
      </c>
      <c r="D46" s="22" t="s">
        <v>184</v>
      </c>
      <c r="E46" s="22" t="s">
        <v>96</v>
      </c>
      <c r="F46" s="23" t="str">
        <f>HYPERLINK("https://www.spark-marketing.ru/Card/Lot/74406841", "Питание арестованных. (Оказание услуг по обеспечению трехразовым питанием лиц, находящихся в специальном приемнике для содержания, арестованных в административном порядке, изоляторе временного содержания и административно-задержанных на срок от 3 до ...")</f>
        <v>Питание арестованных. (Оказание услуг по обеспечению трехразовым питанием лиц, находящихся в специальном приемнике для содержания, арестованных в административном порядке, изоляторе временного содержания и административно-задержанных на срок от 3 до ...</v>
      </c>
      <c r="G46" s="22" t="s">
        <v>185</v>
      </c>
      <c r="H46" s="22" t="s">
        <v>185</v>
      </c>
      <c r="I46" s="26">
        <v>43755.491666666698</v>
      </c>
      <c r="J46" s="28" t="s">
        <v>51</v>
      </c>
      <c r="K46" s="28" t="s">
        <v>51</v>
      </c>
      <c r="L46" s="28" t="s">
        <v>51</v>
      </c>
      <c r="M46" s="28" t="s">
        <v>51</v>
      </c>
      <c r="N46" s="28" t="s">
        <v>51</v>
      </c>
    </row>
    <row r="47" spans="1:14" x14ac:dyDescent="0.15">
      <c r="A47" s="23" t="str">
        <f>HYPERLINK("https://www.spark-marketing.ru/Card/Person/104259", "ГБУЗ ""НИКОЛЬСКАЯ РБ""")</f>
        <v>ГБУЗ "НИКОЛЬСКАЯ РБ"</v>
      </c>
      <c r="B47" s="24" t="s">
        <v>186</v>
      </c>
      <c r="C47" s="25">
        <v>3209600</v>
      </c>
      <c r="D47" s="22" t="s">
        <v>187</v>
      </c>
      <c r="E47" s="22" t="s">
        <v>48</v>
      </c>
      <c r="F47" s="23" t="str">
        <f>HYPERLINK("https://www.spark-marketing.ru/Card/Lot/74416823", "Оказание услуг по организации и доставке лечебного питания в ГБУЗ «Никольская РБ» для пациентов, находящихся на лечении в круглосуточных стационарах, лиц находящихся по уходу за больным ребенком в стационарах на 1 полугодие 2020 года.")</f>
        <v>Оказание услуг по организации и доставке лечебного питания в ГБУЗ «Никольская РБ» для пациентов, находящихся на лечении в круглосуточных стационарах, лиц находящихся по уходу за больным ребенком в стационарах на 1 полугодие 2020 года.</v>
      </c>
      <c r="G47" s="22" t="s">
        <v>72</v>
      </c>
      <c r="H47" s="22" t="s">
        <v>188</v>
      </c>
      <c r="I47" s="26">
        <v>43755.475694444402</v>
      </c>
      <c r="J47" s="28" t="s">
        <v>51</v>
      </c>
      <c r="K47" s="28" t="s">
        <v>51</v>
      </c>
      <c r="L47" s="28" t="s">
        <v>51</v>
      </c>
      <c r="M47" s="28" t="s">
        <v>51</v>
      </c>
      <c r="N47" s="28" t="s">
        <v>51</v>
      </c>
    </row>
    <row r="48" spans="1:14" x14ac:dyDescent="0.15">
      <c r="A48" s="23" t="str">
        <f>HYPERLINK("https://www.spark-marketing.ru/Card/Person/6721592", "МБОУ ""ГИМНАЗИЯ №7""")</f>
        <v>МБОУ "ГИМНАЗИЯ №7"</v>
      </c>
      <c r="B48" s="24" t="s">
        <v>189</v>
      </c>
      <c r="C48" s="25">
        <v>445800</v>
      </c>
      <c r="D48" s="22" t="s">
        <v>190</v>
      </c>
      <c r="E48" s="22" t="s">
        <v>48</v>
      </c>
      <c r="F48" s="23" t="str">
        <f>HYPERLINK("https://www.spark-marketing.ru/Card/Lot/74396735", "Оказание услуг по организации школьного питания для отдельных категорий, обучающихся на 2019 год")</f>
        <v>Оказание услуг по организации школьного питания для отдельных категорий, обучающихся на 2019 год</v>
      </c>
      <c r="G48" s="22" t="s">
        <v>49</v>
      </c>
      <c r="H48" s="22" t="s">
        <v>191</v>
      </c>
      <c r="I48" s="26">
        <v>43755.461238425902</v>
      </c>
      <c r="J48" s="28" t="s">
        <v>51</v>
      </c>
      <c r="K48" s="28" t="s">
        <v>51</v>
      </c>
      <c r="L48" s="28" t="s">
        <v>51</v>
      </c>
      <c r="M48" s="28" t="s">
        <v>51</v>
      </c>
      <c r="N48" s="28" t="s">
        <v>51</v>
      </c>
    </row>
    <row r="49" spans="1:14" x14ac:dyDescent="0.15">
      <c r="A49" s="23" t="str">
        <f>HYPERLINK("https://www.spark-marketing.ru/Card/Person/1034082", "ГБУ НСО ""ДОМ МОЛОДЕЖИ""")</f>
        <v>ГБУ НСО "ДОМ МОЛОДЕЖИ"</v>
      </c>
      <c r="B49" s="24" t="s">
        <v>192</v>
      </c>
      <c r="C49" s="25">
        <v>360000</v>
      </c>
      <c r="D49" s="22" t="s">
        <v>193</v>
      </c>
      <c r="E49" s="22" t="s">
        <v>194</v>
      </c>
      <c r="F49" s="23" t="str">
        <f>HYPERLINK("https://www.spark-marketing.ru/Card/Lot/74394644", "Оказание услуг по сопровождению Профильной смены РДШ «Личностное развитие» (обеспечение питания и проживания участников, оснащение площадок) в целях выполнения ГБУ НСО «Дом молодежи» государственной программы")</f>
        <v>Оказание услуг по сопровождению Профильной смены РДШ «Личностное развитие» (обеспечение питания и проживания участников, оснащение площадок) в целях выполнения ГБУ НСО «Дом молодежи» государственной программы</v>
      </c>
      <c r="G49" s="22" t="s">
        <v>195</v>
      </c>
      <c r="H49" s="22" t="s">
        <v>196</v>
      </c>
      <c r="I49" s="26">
        <v>43755.3</v>
      </c>
      <c r="J49" s="28" t="s">
        <v>51</v>
      </c>
      <c r="K49" s="28" t="s">
        <v>51</v>
      </c>
      <c r="L49" s="28" t="s">
        <v>51</v>
      </c>
      <c r="M49" s="28" t="s">
        <v>51</v>
      </c>
      <c r="N49" s="28" t="s">
        <v>51</v>
      </c>
    </row>
    <row r="50" spans="1:14" collapsed="1" x14ac:dyDescent="0.15">
      <c r="A50" s="23" t="s">
        <v>114</v>
      </c>
      <c r="B50" s="28" t="s">
        <v>51</v>
      </c>
      <c r="C50" s="25">
        <v>47526822.399999999</v>
      </c>
      <c r="D50" s="22" t="s">
        <v>197</v>
      </c>
      <c r="E50" s="22" t="s">
        <v>48</v>
      </c>
      <c r="F50" s="23" t="str">
        <f>HYPERLINK("https://www.spark-marketing.ru/Card/Lot/74417414", "Оказание услуг по обеспечению питанием обучающихся")</f>
        <v>Оказание услуг по обеспечению питанием обучающихся</v>
      </c>
      <c r="G50" s="22" t="s">
        <v>51</v>
      </c>
      <c r="H50" s="22" t="s">
        <v>51</v>
      </c>
      <c r="I50" s="26">
        <v>43755.538622685199</v>
      </c>
      <c r="J50" s="28" t="s">
        <v>51</v>
      </c>
      <c r="K50" s="28" t="s">
        <v>51</v>
      </c>
      <c r="L50" s="28" t="s">
        <v>51</v>
      </c>
      <c r="M50" s="28" t="s">
        <v>51</v>
      </c>
      <c r="N50" s="28" t="s">
        <v>51</v>
      </c>
    </row>
    <row r="51" spans="1:14" hidden="1" outlineLevel="1" x14ac:dyDescent="0.15">
      <c r="A51" s="23" t="str">
        <f>HYPERLINK("https://www.spark-marketing.ru/Card/Person/74205", "МБОУ ""ФЕДОРОВСКАЯ СОШ № 5""")</f>
        <v>МБОУ "ФЕДОРОВСКАЯ СОШ № 5"</v>
      </c>
      <c r="B51" s="24" t="s">
        <v>198</v>
      </c>
      <c r="C51" s="25">
        <v>20640566.399999999</v>
      </c>
      <c r="D51" s="22" t="s">
        <v>197</v>
      </c>
      <c r="E51" s="22" t="s">
        <v>48</v>
      </c>
      <c r="F51" s="23" t="str">
        <f>HYPERLINK("https://www.spark-marketing.ru/Card/Lot/74417414", "Оказание услуг по обеспечению питанием обучающихся")</f>
        <v>Оказание услуг по обеспечению питанием обучающихся</v>
      </c>
      <c r="G51" s="22" t="s">
        <v>97</v>
      </c>
      <c r="H51" s="22" t="s">
        <v>199</v>
      </c>
      <c r="I51" s="26">
        <v>43755.538622685199</v>
      </c>
      <c r="J51" s="28" t="s">
        <v>51</v>
      </c>
      <c r="K51" s="28" t="s">
        <v>51</v>
      </c>
      <c r="L51" s="28" t="s">
        <v>51</v>
      </c>
      <c r="M51" s="28" t="s">
        <v>51</v>
      </c>
      <c r="N51" s="28" t="s">
        <v>51</v>
      </c>
    </row>
    <row r="52" spans="1:14" hidden="1" outlineLevel="1" x14ac:dyDescent="0.15">
      <c r="A52" s="23" t="str">
        <f>HYPERLINK("https://www.spark-marketing.ru/Card/Person/110886", "МБОУ ""ФЕДОРОВСКАЯ СОШ № 2 С УГЛУБЛЁННЫМ ИЗУЧЕНИЕМ ОТДЕЛЬНЫХ ПРЕДМЕТОВ""")</f>
        <v>МБОУ "ФЕДОРОВСКАЯ СОШ № 2 С УГЛУБЛЁННЫМ ИЗУЧЕНИЕМ ОТДЕЛЬНЫХ ПРЕДМЕТОВ"</v>
      </c>
      <c r="B52" s="24" t="s">
        <v>200</v>
      </c>
      <c r="C52" s="25">
        <v>13164256</v>
      </c>
      <c r="D52" s="22" t="s">
        <v>197</v>
      </c>
      <c r="E52" s="22" t="s">
        <v>48</v>
      </c>
      <c r="F52" s="23" t="str">
        <f>HYPERLINK("https://www.spark-marketing.ru/Card/Lot/74417414", "Оказание услуг по обеспечению питанием обучающихся")</f>
        <v>Оказание услуг по обеспечению питанием обучающихся</v>
      </c>
      <c r="G52" s="22" t="s">
        <v>97</v>
      </c>
      <c r="H52" s="22" t="s">
        <v>199</v>
      </c>
      <c r="I52" s="26">
        <v>43755.538622685199</v>
      </c>
      <c r="J52" s="28" t="s">
        <v>51</v>
      </c>
      <c r="K52" s="28" t="s">
        <v>51</v>
      </c>
      <c r="L52" s="28" t="s">
        <v>51</v>
      </c>
      <c r="M52" s="28" t="s">
        <v>51</v>
      </c>
      <c r="N52" s="28" t="s">
        <v>51</v>
      </c>
    </row>
    <row r="53" spans="1:14" hidden="1" outlineLevel="1" x14ac:dyDescent="0.15">
      <c r="A53" s="23" t="str">
        <f>HYPERLINK("https://www.spark-marketing.ru/Card/Person/1011728", "МБОУ ""ФЕДОРОВСКАЯ СОШ № 1""")</f>
        <v>МБОУ "ФЕДОРОВСКАЯ СОШ № 1"</v>
      </c>
      <c r="B53" s="24" t="s">
        <v>201</v>
      </c>
      <c r="C53" s="25">
        <v>13722000</v>
      </c>
      <c r="D53" s="22" t="s">
        <v>197</v>
      </c>
      <c r="E53" s="22" t="s">
        <v>48</v>
      </c>
      <c r="F53" s="23" t="str">
        <f>HYPERLINK("https://www.spark-marketing.ru/Card/Lot/74417414", "Оказание услуг по обеспечению питанием обучающихся")</f>
        <v>Оказание услуг по обеспечению питанием обучающихся</v>
      </c>
      <c r="G53" s="22" t="s">
        <v>97</v>
      </c>
      <c r="H53" s="22" t="s">
        <v>199</v>
      </c>
      <c r="I53" s="26">
        <v>43755.538622685199</v>
      </c>
      <c r="J53" s="28" t="s">
        <v>51</v>
      </c>
      <c r="K53" s="28" t="s">
        <v>51</v>
      </c>
      <c r="L53" s="28" t="s">
        <v>51</v>
      </c>
      <c r="M53" s="28" t="s">
        <v>51</v>
      </c>
      <c r="N53" s="28" t="s">
        <v>51</v>
      </c>
    </row>
    <row r="54" spans="1:14" x14ac:dyDescent="0.15">
      <c r="A54" s="23" t="str">
        <f>HYPERLINK("https://www.spark-marketing.ru/Card/Person/89458", "МБОУ СОШ № 5 С УИОП")</f>
        <v>МБОУ СОШ № 5 С УИОП</v>
      </c>
      <c r="B54" s="24" t="s">
        <v>202</v>
      </c>
      <c r="C54" s="25">
        <v>144000</v>
      </c>
      <c r="D54" s="22" t="s">
        <v>203</v>
      </c>
      <c r="E54" s="22" t="s">
        <v>48</v>
      </c>
      <c r="F54" s="23" t="str">
        <f>HYPERLINK("https://www.spark-marketing.ru/Card/Lot/74396517", "Оказание услуг по организации питания в лагере с дневным пребыванием в период осенних каникул 2019 года")</f>
        <v>Оказание услуг по организации питания в лагере с дневным пребыванием в период осенних каникул 2019 года</v>
      </c>
      <c r="G54" s="22" t="s">
        <v>49</v>
      </c>
      <c r="H54" s="22" t="s">
        <v>204</v>
      </c>
      <c r="I54" s="26">
        <v>43755.419537037</v>
      </c>
      <c r="J54" s="28" t="s">
        <v>51</v>
      </c>
      <c r="K54" s="28" t="s">
        <v>51</v>
      </c>
      <c r="L54" s="28" t="s">
        <v>51</v>
      </c>
      <c r="M54" s="28" t="s">
        <v>51</v>
      </c>
      <c r="N54" s="28" t="s">
        <v>51</v>
      </c>
    </row>
    <row r="55" spans="1:14" x14ac:dyDescent="0.15">
      <c r="A55" s="23" t="str">
        <f>HYPERLINK("https://www.spark-marketing.ru/Card/Person/78274", "МОУ ЛИЦЕЙ № 14")</f>
        <v>МОУ ЛИЦЕЙ № 14</v>
      </c>
      <c r="B55" s="24" t="s">
        <v>205</v>
      </c>
      <c r="C55" s="25">
        <v>10382800.6</v>
      </c>
      <c r="D55" s="22" t="s">
        <v>206</v>
      </c>
      <c r="E55" s="22" t="s">
        <v>48</v>
      </c>
      <c r="F55" s="23" t="str">
        <f>HYPERLINK("https://www.spark-marketing.ru/Card/Lot/74417303", "Услуги по организации питания для учащихся в 2020 - 2021 году.")</f>
        <v>Услуги по организации питания для учащихся в 2020 - 2021 году.</v>
      </c>
      <c r="G55" s="22" t="s">
        <v>49</v>
      </c>
      <c r="H55" s="22" t="s">
        <v>207</v>
      </c>
      <c r="I55" s="26">
        <v>43755.4304513889</v>
      </c>
      <c r="J55" s="28" t="s">
        <v>51</v>
      </c>
      <c r="K55" s="28" t="s">
        <v>51</v>
      </c>
      <c r="L55" s="28" t="s">
        <v>51</v>
      </c>
      <c r="M55" s="28" t="s">
        <v>51</v>
      </c>
      <c r="N55" s="28" t="s">
        <v>51</v>
      </c>
    </row>
    <row r="56" spans="1:14" x14ac:dyDescent="0.15">
      <c r="A56" s="23" t="str">
        <f>HYPERLINK("https://www.spark-marketing.ru/Card/Person/265244", "МО МВД РОССИИ ""ТЫНДИНСКИЙ""")</f>
        <v>МО МВД РОССИИ "ТЫНДИНСКИЙ"</v>
      </c>
      <c r="B56" s="24" t="s">
        <v>208</v>
      </c>
      <c r="C56" s="25">
        <v>700000</v>
      </c>
      <c r="D56" s="22" t="s">
        <v>209</v>
      </c>
      <c r="E56" s="22" t="s">
        <v>48</v>
      </c>
      <c r="F56" s="23" t="str">
        <f>HYPERLINK("https://www.spark-marketing.ru/Card/Lot/74392259", "оказание услуг по организации ежедневного трехразового горячего питания с услугой раздачи пищи лицам, содержащимся в ИВС МО МВД России «Тындинский» и оказание услуг по организации ежедневного трехразового горячего питания в индивидуальной одноразовой...")</f>
        <v>оказание услуг по организации ежедневного трехразового горячего питания с услугой раздачи пищи лицам, содержащимся в ИВС МО МВД России «Тындинский» и оказание услуг по организации ежедневного трехразового горячего питания в индивидуальной одноразовой...</v>
      </c>
      <c r="G56" s="22" t="s">
        <v>210</v>
      </c>
      <c r="H56" s="22" t="s">
        <v>211</v>
      </c>
      <c r="I56" s="26">
        <v>43755.4</v>
      </c>
      <c r="J56" s="28" t="s">
        <v>51</v>
      </c>
      <c r="K56" s="28" t="s">
        <v>51</v>
      </c>
      <c r="L56" s="28" t="s">
        <v>51</v>
      </c>
      <c r="M56" s="28" t="s">
        <v>51</v>
      </c>
      <c r="N56" s="28" t="s">
        <v>51</v>
      </c>
    </row>
    <row r="57" spans="1:14" x14ac:dyDescent="0.15">
      <c r="A57" s="23" t="str">
        <f>HYPERLINK("https://www.spark-marketing.ru/Card/Person/25746", "ФКУ ИК-4 УФСИН РОССИИ ПО АРХАНГЕЛЬСКОЙ ОБЛАСТИ")</f>
        <v>ФКУ ИК-4 УФСИН РОССИИ ПО АРХАНГЕЛЬСКОЙ ОБЛАСТИ</v>
      </c>
      <c r="B57" s="24" t="s">
        <v>212</v>
      </c>
      <c r="C57" s="25">
        <v>47783.32</v>
      </c>
      <c r="D57" s="22" t="s">
        <v>213</v>
      </c>
      <c r="E57" s="22" t="s">
        <v>91</v>
      </c>
      <c r="F57" s="23" t="str">
        <f>HYPERLINK("https://www.spark-marketing.ru/Card/Lot/74399974", "Оказание услуг по ремонту оргтехники в сфере ИКТ")</f>
        <v>Оказание услуг по ремонту оргтехники в сфере ИКТ</v>
      </c>
      <c r="G57" s="22" t="s">
        <v>214</v>
      </c>
      <c r="H57" s="22" t="s">
        <v>214</v>
      </c>
      <c r="I57" s="26">
        <v>43755.431944444397</v>
      </c>
      <c r="J57" s="28" t="s">
        <v>51</v>
      </c>
      <c r="K57" s="28" t="s">
        <v>51</v>
      </c>
      <c r="L57" s="28" t="s">
        <v>51</v>
      </c>
      <c r="M57" s="28" t="s">
        <v>51</v>
      </c>
      <c r="N57" s="28" t="s">
        <v>51</v>
      </c>
    </row>
    <row r="58" spans="1:14" x14ac:dyDescent="0.15">
      <c r="A58" s="23" t="str">
        <f>HYPERLINK("https://www.spark-marketing.ru/Card/Person/57837", "ГАУЗ ""НЦРМБ""")</f>
        <v>ГАУЗ "НЦРМБ"</v>
      </c>
      <c r="B58" s="24" t="s">
        <v>215</v>
      </c>
      <c r="C58" s="25">
        <v>9627932</v>
      </c>
      <c r="D58" s="22" t="s">
        <v>216</v>
      </c>
      <c r="E58" s="22" t="s">
        <v>96</v>
      </c>
      <c r="F58" s="23" t="str">
        <f>HYPERLINK("https://www.spark-marketing.ru/Card/Lot/74417120", "Оказание услуг по организации, обеспечению, приготовлению и доставке лечебного питания для пациентов, находящихся на излечении в стационаре ГАУЗ ""НЦРМБ""")</f>
        <v>Оказание услуг по организации, обеспечению, приготовлению и доставке лечебного питания для пациентов, находящихся на излечении в стационаре ГАУЗ "НЦРМБ"</v>
      </c>
      <c r="G58" s="22" t="s">
        <v>217</v>
      </c>
      <c r="H58" s="22" t="s">
        <v>218</v>
      </c>
      <c r="I58" s="26">
        <v>43755.412164351903</v>
      </c>
      <c r="J58" s="28" t="s">
        <v>51</v>
      </c>
      <c r="K58" s="28" t="s">
        <v>51</v>
      </c>
      <c r="L58" s="28" t="s">
        <v>51</v>
      </c>
      <c r="M58" s="28" t="s">
        <v>51</v>
      </c>
      <c r="N58" s="28" t="s">
        <v>51</v>
      </c>
    </row>
    <row r="59" spans="1:14" x14ac:dyDescent="0.15">
      <c r="A59" s="23" t="str">
        <f>HYPERLINK("https://www.spark-marketing.ru/Card/Person/52097", "ГБУЗ СК ""КИСЛОВОДСКИЙ МРД""")</f>
        <v>ГБУЗ СК "КИСЛОВОДСКИЙ МРД"</v>
      </c>
      <c r="B59" s="24" t="s">
        <v>219</v>
      </c>
      <c r="C59" s="25">
        <v>120000</v>
      </c>
      <c r="D59" s="22" t="s">
        <v>220</v>
      </c>
      <c r="E59" s="22" t="s">
        <v>91</v>
      </c>
      <c r="F59" s="23" t="str">
        <f>HYPERLINK("https://www.spark-marketing.ru/Card/Lot/74396097", "обслуживание, ремонт оргтехники, заправка и восстановление картриджей")</f>
        <v>обслуживание, ремонт оргтехники, заправка и восстановление картриджей</v>
      </c>
      <c r="G59" s="22" t="s">
        <v>87</v>
      </c>
      <c r="H59" s="22" t="s">
        <v>221</v>
      </c>
      <c r="I59" s="26">
        <v>43755.389583333301</v>
      </c>
      <c r="J59" s="28" t="s">
        <v>51</v>
      </c>
      <c r="K59" s="28" t="s">
        <v>51</v>
      </c>
      <c r="L59" s="28" t="s">
        <v>51</v>
      </c>
      <c r="M59" s="28" t="s">
        <v>51</v>
      </c>
      <c r="N59" s="28" t="s">
        <v>51</v>
      </c>
    </row>
    <row r="60" spans="1:14" x14ac:dyDescent="0.15">
      <c r="A60" s="23" t="str">
        <f>HYPERLINK("https://www.spark-marketing.ru/Card/Person/26643", "КОГБУЗ ""КИРОВСКАЯ ГОРОДСКАЯ БОЛЬНИЦА № 2""")</f>
        <v>КОГБУЗ "КИРОВСКАЯ ГОРОДСКАЯ БОЛЬНИЦА № 2"</v>
      </c>
      <c r="B60" s="24" t="s">
        <v>222</v>
      </c>
      <c r="C60" s="25">
        <v>25149600</v>
      </c>
      <c r="D60" s="22" t="s">
        <v>223</v>
      </c>
      <c r="E60" s="22" t="s">
        <v>96</v>
      </c>
      <c r="F60" s="23" t="str">
        <f>HYPERLINK("https://www.spark-marketing.ru/Card/Lot/74399225", "Оказание услуг по приготовлению и передаче ежедневного лечебного питания пациентам стационара КОГБУЗ «Кировская городская больница №2»")</f>
        <v>Оказание услуг по приготовлению и передаче ежедневного лечебного питания пациентам стационара КОГБУЗ «Кировская городская больница №2»</v>
      </c>
      <c r="G60" s="22" t="s">
        <v>224</v>
      </c>
      <c r="H60" s="22" t="s">
        <v>225</v>
      </c>
      <c r="I60" s="26">
        <v>43755.387395833299</v>
      </c>
      <c r="J60" s="28" t="s">
        <v>51</v>
      </c>
      <c r="K60" s="28" t="s">
        <v>51</v>
      </c>
      <c r="L60" s="28" t="s">
        <v>51</v>
      </c>
      <c r="M60" s="28" t="s">
        <v>51</v>
      </c>
      <c r="N60" s="28" t="s">
        <v>51</v>
      </c>
    </row>
    <row r="61" spans="1:14" x14ac:dyDescent="0.15">
      <c r="A61" s="23" t="str">
        <f>HYPERLINK("https://www.spark-marketing.ru/Card/Person/644399", "ОМВД РОССИИ ПО ХИЛОКСКОМУ РАЙОНУ")</f>
        <v>ОМВД РОССИИ ПО ХИЛОКСКОМУ РАЙОНУ</v>
      </c>
      <c r="B61" s="24" t="s">
        <v>226</v>
      </c>
      <c r="C61" s="25">
        <v>341366.66</v>
      </c>
      <c r="D61" s="22" t="s">
        <v>227</v>
      </c>
      <c r="E61" s="22" t="s">
        <v>96</v>
      </c>
      <c r="F61" s="23" t="str">
        <f>HYPERLINK("https://www.spark-marketing.ru/Card/Lot/74392382", "Приготовление и поставка горячего питания")</f>
        <v>Приготовление и поставка горячего питания</v>
      </c>
      <c r="G61" s="22" t="s">
        <v>228</v>
      </c>
      <c r="H61" s="22" t="s">
        <v>228</v>
      </c>
      <c r="I61" s="26">
        <v>43755.162499999999</v>
      </c>
      <c r="J61" s="28" t="s">
        <v>51</v>
      </c>
      <c r="K61" s="28" t="s">
        <v>51</v>
      </c>
      <c r="L61" s="28" t="s">
        <v>51</v>
      </c>
      <c r="M61" s="28" t="s">
        <v>51</v>
      </c>
      <c r="N61" s="28" t="s">
        <v>51</v>
      </c>
    </row>
    <row r="62" spans="1:14" x14ac:dyDescent="0.15">
      <c r="A62" s="23" t="str">
        <f>HYPERLINK("https://www.spark-marketing.ru/Card/Person/1001106", "МБОУ СШ № 28 Г. ЛИПЕЦКА")</f>
        <v>МБОУ СШ № 28 Г. ЛИПЕЦКА</v>
      </c>
      <c r="B62" s="24" t="s">
        <v>229</v>
      </c>
      <c r="C62" s="25">
        <v>435810</v>
      </c>
      <c r="D62" s="22" t="s">
        <v>230</v>
      </c>
      <c r="E62" s="22" t="s">
        <v>48</v>
      </c>
      <c r="F62" s="23" t="str">
        <f>HYPERLINK("https://www.spark-marketing.ru/Card/Lot/74397420", "оказание услуги по организации питания учащихся")</f>
        <v>оказание услуги по организации питания учащихся</v>
      </c>
      <c r="G62" s="22" t="s">
        <v>101</v>
      </c>
      <c r="H62" s="22" t="s">
        <v>101</v>
      </c>
      <c r="I62" s="26">
        <v>43755.392847222203</v>
      </c>
      <c r="J62" s="28" t="s">
        <v>51</v>
      </c>
      <c r="K62" s="28" t="s">
        <v>51</v>
      </c>
      <c r="L62" s="28" t="s">
        <v>51</v>
      </c>
      <c r="M62" s="28" t="s">
        <v>51</v>
      </c>
      <c r="N62" s="28" t="s">
        <v>51</v>
      </c>
    </row>
    <row r="63" spans="1:14" x14ac:dyDescent="0.15">
      <c r="A63" s="23" t="str">
        <f>HYPERLINK("https://www.spark-marketing.ru/Card/Person/86463", "МБОУ ПОВАРОВСКАЯ СОШ")</f>
        <v>МБОУ ПОВАРОВСКАЯ СОШ</v>
      </c>
      <c r="B63" s="24" t="s">
        <v>231</v>
      </c>
      <c r="C63" s="25">
        <v>72000</v>
      </c>
      <c r="D63" s="22" t="s">
        <v>232</v>
      </c>
      <c r="E63" s="22" t="s">
        <v>48</v>
      </c>
      <c r="F63" s="23" t="str">
        <f>HYPERLINK("https://www.spark-marketing.ru/Card/Lot/74393982", "Услуги питания детей в ОЛДП (осенний лагерь)")</f>
        <v>Услуги питания детей в ОЛДП (осенний лагерь)</v>
      </c>
      <c r="G63" s="22" t="s">
        <v>49</v>
      </c>
      <c r="H63" s="22" t="s">
        <v>204</v>
      </c>
      <c r="I63" s="26">
        <v>43755.357025463003</v>
      </c>
      <c r="J63" s="28" t="s">
        <v>51</v>
      </c>
      <c r="K63" s="28" t="s">
        <v>51</v>
      </c>
      <c r="L63" s="28" t="s">
        <v>51</v>
      </c>
      <c r="M63" s="28" t="s">
        <v>51</v>
      </c>
      <c r="N63" s="28" t="s">
        <v>51</v>
      </c>
    </row>
    <row r="64" spans="1:14" x14ac:dyDescent="0.15">
      <c r="A64" s="23" t="str">
        <f>HYPERLINK("https://www.spark-marketing.ru/Card/Person/153674", "МО МВД РОССИИ ""ЧАПЛЫГИНСКИЙ""")</f>
        <v>МО МВД РОССИИ "ЧАПЛЫГИНСКИЙ"</v>
      </c>
      <c r="B64" s="24" t="s">
        <v>233</v>
      </c>
      <c r="C64" s="25">
        <v>408200</v>
      </c>
      <c r="D64" s="22" t="s">
        <v>234</v>
      </c>
      <c r="E64" s="22" t="s">
        <v>48</v>
      </c>
      <c r="F64" s="23" t="str">
        <f>HYPERLINK("https://www.spark-marketing.ru/Card/Lot/74397488", "услуги по обеспечению ежедневным трехразовым горячим питанием подозреваемых и обвиняемых в совершении преступлений, содержащихся в изоляторе временного содержания МО МВД России ""Чаплыгинский"", лиц арестованных в административном порядке и лиц, заде...")</f>
        <v>услуги по обеспечению ежедневным трехразовым горячим питанием подозреваемых и обвиняемых в совершении преступлений, содержащихся в изоляторе временного содержания МО МВД России "Чаплыгинский", лиц арестованных в административном порядке и лиц, заде...</v>
      </c>
      <c r="G64" s="22" t="s">
        <v>101</v>
      </c>
      <c r="H64" s="22" t="s">
        <v>101</v>
      </c>
      <c r="I64" s="26">
        <v>43755.372916666704</v>
      </c>
      <c r="J64" s="28" t="s">
        <v>51</v>
      </c>
      <c r="K64" s="28" t="s">
        <v>51</v>
      </c>
      <c r="L64" s="28" t="s">
        <v>51</v>
      </c>
      <c r="M64" s="28" t="s">
        <v>51</v>
      </c>
      <c r="N64" s="28" t="s">
        <v>51</v>
      </c>
    </row>
    <row r="65" spans="1:14" x14ac:dyDescent="0.15">
      <c r="A65" s="23" t="str">
        <f>HYPERLINK("https://www.spark-marketing.ru/Card/Person/1080197", "МДОУ ДСКВ № 12 ""НЕПОСЕДЫ""")</f>
        <v>МДОУ ДСКВ № 12 "НЕПОСЕДЫ"</v>
      </c>
      <c r="B65" s="24" t="s">
        <v>235</v>
      </c>
      <c r="C65" s="25">
        <v>6931242</v>
      </c>
      <c r="D65" s="22" t="s">
        <v>236</v>
      </c>
      <c r="E65" s="22" t="s">
        <v>48</v>
      </c>
      <c r="F65" s="23" t="str">
        <f>HYPERLINK("https://www.spark-marketing.ru/Card/Lot/74399111", "Оказание услуги по приготовлению и организации рационального горячего питания воспитанников МДОУ ДСКВ №12 ""Непоседы"" в 2020-2021 годах")</f>
        <v>Оказание услуги по приготовлению и организации рационального горячего питания воспитанников МДОУ ДСКВ №12 "Непоседы" в 2020-2021 годах</v>
      </c>
      <c r="G65" s="22" t="s">
        <v>49</v>
      </c>
      <c r="H65" s="22" t="s">
        <v>49</v>
      </c>
      <c r="I65" s="26">
        <v>43755.368182870399</v>
      </c>
      <c r="J65" s="28" t="s">
        <v>51</v>
      </c>
      <c r="K65" s="28" t="s">
        <v>51</v>
      </c>
      <c r="L65" s="28" t="s">
        <v>51</v>
      </c>
      <c r="M65" s="28" t="s">
        <v>51</v>
      </c>
      <c r="N65" s="28" t="s">
        <v>51</v>
      </c>
    </row>
    <row r="66" spans="1:14" x14ac:dyDescent="0.15">
      <c r="A66" s="23" t="str">
        <f>HYPERLINK("https://www.spark-marketing.ru/Card/Person/242976", "ГБУ НСО ""АПМИ""")</f>
        <v>ГБУ НСО "АПМИ"</v>
      </c>
      <c r="B66" s="24" t="s">
        <v>237</v>
      </c>
      <c r="C66" s="25">
        <v>498852</v>
      </c>
      <c r="D66" s="22" t="s">
        <v>238</v>
      </c>
      <c r="E66" s="22" t="s">
        <v>81</v>
      </c>
      <c r="F66" s="23" t="str">
        <f>HYPERLINK("https://www.spark-marketing.ru/Card/Lot/74392467", "Оказание услуг по организации проживания и питания участников в рамках проведения тематической информационно-образовательной смены по предпринимательству")</f>
        <v>Оказание услуг по организации проживания и питания участников в рамках проведения тематической информационно-образовательной смены по предпринимательству</v>
      </c>
      <c r="G66" s="22" t="s">
        <v>195</v>
      </c>
      <c r="H66" s="22" t="s">
        <v>195</v>
      </c>
      <c r="I66" s="26">
        <v>43755.185416666704</v>
      </c>
      <c r="J66" s="28" t="s">
        <v>51</v>
      </c>
      <c r="K66" s="28" t="s">
        <v>51</v>
      </c>
      <c r="L66" s="28" t="s">
        <v>51</v>
      </c>
      <c r="M66" s="28" t="s">
        <v>51</v>
      </c>
      <c r="N66" s="28" t="s">
        <v>51</v>
      </c>
    </row>
    <row r="67" spans="1:14" x14ac:dyDescent="0.15">
      <c r="A67" s="23" t="str">
        <f>HYPERLINK("https://www.spark-marketing.ru/Card/Person/22823", "АППАРАТ ГОСУДАРСТВЕННОГО СОБРАНИЯ (ИЛ ТУМЭН) РЕСПУБЛИКИ САХА (ЯКУТИЯ)")</f>
        <v>АППАРАТ ГОСУДАРСТВЕННОГО СОБРАНИЯ (ИЛ ТУМЭН) РЕСПУБЛИКИ САХА (ЯКУТИЯ)</v>
      </c>
      <c r="B67" s="24" t="s">
        <v>239</v>
      </c>
      <c r="C67" s="25">
        <v>900000</v>
      </c>
      <c r="D67" s="22" t="s">
        <v>240</v>
      </c>
      <c r="E67" s="22" t="s">
        <v>67</v>
      </c>
      <c r="F67" s="23" t="str">
        <f>HYPERLINK("https://www.spark-marketing.ru/Card/Lot/74394512", "Оказание услуг по организации, обслуживанию и обеспечению питанием")</f>
        <v>Оказание услуг по организации, обслуживанию и обеспечению питанием</v>
      </c>
      <c r="G67" s="22" t="s">
        <v>241</v>
      </c>
      <c r="H67" s="22" t="s">
        <v>242</v>
      </c>
      <c r="I67" s="26">
        <v>43755.279861111099</v>
      </c>
      <c r="J67" s="28" t="s">
        <v>51</v>
      </c>
      <c r="K67" s="28" t="s">
        <v>51</v>
      </c>
      <c r="L67" s="28" t="s">
        <v>51</v>
      </c>
      <c r="M67" s="28" t="s">
        <v>51</v>
      </c>
      <c r="N67" s="28" t="s">
        <v>51</v>
      </c>
    </row>
    <row r="68" spans="1:14" x14ac:dyDescent="0.15">
      <c r="A68" s="23" t="str">
        <f>HYPERLINK("https://www.spark-marketing.ru/Card/Person/6441023", "АНО ""КВЦ ИНВЕСТ""")</f>
        <v>АНО "КВЦ ИНВЕСТ"</v>
      </c>
      <c r="B68" s="24" t="s">
        <v>243</v>
      </c>
      <c r="C68" s="25">
        <v>202200</v>
      </c>
      <c r="D68" s="22" t="s">
        <v>244</v>
      </c>
      <c r="E68" s="22" t="s">
        <v>245</v>
      </c>
      <c r="F68" s="23" t="str">
        <f>HYPERLINK("https://www.spark-marketing.ru/Card/Lot/74395751", "Услуги по организации питания, в рамках организации и проведения стратегической сессии «Развитие агропромышленного комплекса Камчатского края», проводимой 23 - 24 октября 2019 года")</f>
        <v>Услуги по организации питания, в рамках организации и проведения стратегической сессии «Развитие агропромышленного комплекса Камчатского края», проводимой 23 - 24 октября 2019 года</v>
      </c>
      <c r="G68" s="22" t="s">
        <v>246</v>
      </c>
      <c r="H68" s="22" t="s">
        <v>247</v>
      </c>
      <c r="I68" s="26">
        <v>43755</v>
      </c>
      <c r="J68" s="28" t="s">
        <v>51</v>
      </c>
      <c r="K68" s="28" t="s">
        <v>51</v>
      </c>
      <c r="L68" s="28" t="s">
        <v>51</v>
      </c>
      <c r="M68" s="28" t="s">
        <v>51</v>
      </c>
      <c r="N68" s="28" t="s">
        <v>51</v>
      </c>
    </row>
    <row r="69" spans="1:14" x14ac:dyDescent="0.15">
      <c r="A69" s="23" t="str">
        <f>HYPERLINK("https://www.spark-marketing.ru/Card/Person/55491", "МБОУ ""ГИМНАЗИЯ ИМЕНИ ПОДОЛЬСКИХ КУРСАНТОВ""")</f>
        <v>МБОУ "ГИМНАЗИЯ ИМЕНИ ПОДОЛЬСКИХ КУРСАНТОВ"</v>
      </c>
      <c r="B69" s="24" t="s">
        <v>248</v>
      </c>
      <c r="C69" s="25">
        <v>364050</v>
      </c>
      <c r="D69" s="22" t="s">
        <v>249</v>
      </c>
      <c r="E69" s="22" t="s">
        <v>48</v>
      </c>
      <c r="F69" s="23" t="str">
        <f>HYPERLINK("https://www.spark-marketing.ru/Card/Lot/74387865",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69" s="22" t="s">
        <v>49</v>
      </c>
      <c r="H69" s="22" t="s">
        <v>50</v>
      </c>
      <c r="I69" s="26">
        <v>43754.981956018499</v>
      </c>
      <c r="J69" s="28" t="s">
        <v>51</v>
      </c>
      <c r="K69" s="28" t="s">
        <v>51</v>
      </c>
      <c r="L69" s="28" t="s">
        <v>51</v>
      </c>
      <c r="M69" s="28" t="s">
        <v>51</v>
      </c>
      <c r="N69" s="28" t="s">
        <v>51</v>
      </c>
    </row>
    <row r="70" spans="1:14" x14ac:dyDescent="0.15">
      <c r="A70" s="23" t="str">
        <f>HYPERLINK("https://www.spark-marketing.ru/Card/Person/85303", "МБОУ ЛОЖКОВСКАЯ СОШ")</f>
        <v>МБОУ ЛОЖКОВСКАЯ СОШ</v>
      </c>
      <c r="B70" s="24" t="s">
        <v>250</v>
      </c>
      <c r="C70" s="25">
        <v>280000</v>
      </c>
      <c r="D70" s="22" t="s">
        <v>251</v>
      </c>
      <c r="E70" s="22" t="s">
        <v>48</v>
      </c>
      <c r="F70" s="23" t="str">
        <f>HYPERLINK("https://www.spark-marketing.ru/Card/Lot/74386485",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70" s="22" t="s">
        <v>49</v>
      </c>
      <c r="H70" s="22" t="s">
        <v>204</v>
      </c>
      <c r="I70" s="26">
        <v>43754.929861111101</v>
      </c>
      <c r="J70" s="28" t="s">
        <v>51</v>
      </c>
      <c r="K70" s="28" t="s">
        <v>51</v>
      </c>
      <c r="L70" s="28" t="s">
        <v>51</v>
      </c>
      <c r="M70" s="28" t="s">
        <v>51</v>
      </c>
      <c r="N70" s="28" t="s">
        <v>51</v>
      </c>
    </row>
    <row r="71" spans="1:14" x14ac:dyDescent="0.15">
      <c r="A71" s="23" t="str">
        <f>HYPERLINK("https://www.spark-marketing.ru/Card/Person/1086577", "ОМВД РОССИИ ПО УГЛИЧСКОМУ РАЙОНУ")</f>
        <v>ОМВД РОССИИ ПО УГЛИЧСКОМУ РАЙОНУ</v>
      </c>
      <c r="B71" s="24" t="s">
        <v>252</v>
      </c>
      <c r="C71" s="25">
        <v>103809.58</v>
      </c>
      <c r="D71" s="22" t="s">
        <v>253</v>
      </c>
      <c r="E71" s="22" t="s">
        <v>48</v>
      </c>
      <c r="F71" s="23" t="str">
        <f>HYPERLINK("https://www.spark-marketing.ru/Card/Lot/74384806", "услуги по обеспечению трехразовым питанием лиц, содержащихся в ИВС")</f>
        <v>услуги по обеспечению трехразовым питанием лиц, содержащихся в ИВС</v>
      </c>
      <c r="G71" s="22" t="s">
        <v>185</v>
      </c>
      <c r="H71" s="22" t="s">
        <v>185</v>
      </c>
      <c r="I71" s="26">
        <v>43754.761377314797</v>
      </c>
      <c r="J71" s="28" t="s">
        <v>51</v>
      </c>
      <c r="K71" s="28" t="s">
        <v>51</v>
      </c>
      <c r="L71" s="28" t="s">
        <v>51</v>
      </c>
      <c r="M71" s="28" t="s">
        <v>51</v>
      </c>
      <c r="N71" s="28" t="s">
        <v>51</v>
      </c>
    </row>
    <row r="72" spans="1:14" x14ac:dyDescent="0.15">
      <c r="A72" s="23" t="str">
        <f>HYPERLINK("https://www.spark-marketing.ru/Card/Person/56553", "ГБУЗ ИБ № 3")</f>
        <v>ГБУЗ ИБ № 3</v>
      </c>
      <c r="B72" s="24" t="s">
        <v>254</v>
      </c>
      <c r="C72" s="25">
        <v>499330</v>
      </c>
      <c r="D72" s="22" t="s">
        <v>255</v>
      </c>
      <c r="E72" s="22" t="s">
        <v>96</v>
      </c>
      <c r="F72" s="23" t="str">
        <f>HYPERLINK("https://www.spark-marketing.ru/Card/Lot/74388681", "Оказание услуг по обеспечению лечебным питанием")</f>
        <v>Оказание услуг по обеспечению лечебным питанием</v>
      </c>
      <c r="G72" s="22" t="s">
        <v>104</v>
      </c>
      <c r="H72" s="22" t="s">
        <v>104</v>
      </c>
      <c r="I72" s="26">
        <v>43754.727905092601</v>
      </c>
      <c r="J72" s="28" t="s">
        <v>51</v>
      </c>
      <c r="K72" s="28" t="s">
        <v>51</v>
      </c>
      <c r="L72" s="28" t="s">
        <v>51</v>
      </c>
      <c r="M72" s="28" t="s">
        <v>51</v>
      </c>
      <c r="N72" s="28" t="s">
        <v>51</v>
      </c>
    </row>
    <row r="73" spans="1:14" x14ac:dyDescent="0.15">
      <c r="A73" s="23" t="str">
        <f>HYPERLINK("https://www.spark-marketing.ru/Card/Person/57282", "МБОУ СОШ № 4")</f>
        <v>МБОУ СОШ № 4</v>
      </c>
      <c r="B73" s="24" t="s">
        <v>256</v>
      </c>
      <c r="C73" s="25">
        <v>144000</v>
      </c>
      <c r="D73" s="22" t="s">
        <v>257</v>
      </c>
      <c r="E73" s="22" t="s">
        <v>48</v>
      </c>
      <c r="F73" s="23" t="str">
        <f>HYPERLINK("https://www.spark-marketing.ru/Card/Lot/74381246", "Организация питания в оздоровительном лагере дневного пребывания в период осенних каникул 2019 года")</f>
        <v>Организация питания в оздоровительном лагере дневного пребывания в период осенних каникул 2019 года</v>
      </c>
      <c r="G73" s="22" t="s">
        <v>49</v>
      </c>
      <c r="H73" s="22" t="s">
        <v>204</v>
      </c>
      <c r="I73" s="26">
        <v>43754.743136574099</v>
      </c>
      <c r="J73" s="28" t="s">
        <v>51</v>
      </c>
      <c r="K73" s="28" t="s">
        <v>51</v>
      </c>
      <c r="L73" s="28" t="s">
        <v>51</v>
      </c>
      <c r="M73" s="28" t="s">
        <v>51</v>
      </c>
      <c r="N73" s="28" t="s">
        <v>51</v>
      </c>
    </row>
    <row r="74" spans="1:14" x14ac:dyDescent="0.15">
      <c r="A74" s="23" t="str">
        <f>HYPERLINK("https://www.spark-marketing.ru/Card/Person/1751876", "УМВД РОССИИ ПО САХАЛИНСКОЙ ОБЛАСТИ")</f>
        <v>УМВД РОССИИ ПО САХАЛИНСКОЙ ОБЛАСТИ</v>
      </c>
      <c r="B74" s="24" t="s">
        <v>258</v>
      </c>
      <c r="C74" s="25">
        <v>4880000</v>
      </c>
      <c r="D74" s="22" t="s">
        <v>259</v>
      </c>
      <c r="E74" s="22" t="s">
        <v>96</v>
      </c>
      <c r="F74" s="23" t="str">
        <f>HYPERLINK("https://www.spark-marketing.ru/Card/Lot/74374091", "Оказание услуг по обеспечению выездным комплексным горячим питанием иностранных граждан и лиц без гражданства, содержащихся в Центре временного содержания иностранных граждан УМВД России по Сахалинской области, осуществляющегося путем доставки готово...")</f>
        <v>Оказание услуг по обеспечению выездным комплексным горячим питанием иностранных граждан и лиц без гражданства, содержащихся в Центре временного содержания иностранных граждан УМВД России по Сахалинской области, осуществляющегося путем доставки готово...</v>
      </c>
      <c r="G74" s="22" t="s">
        <v>260</v>
      </c>
      <c r="H74" s="22" t="s">
        <v>260</v>
      </c>
      <c r="I74" s="26">
        <v>43754.554166666698</v>
      </c>
      <c r="J74" s="28" t="s">
        <v>51</v>
      </c>
      <c r="K74" s="28" t="s">
        <v>51</v>
      </c>
      <c r="L74" s="28" t="s">
        <v>51</v>
      </c>
      <c r="M74" s="28" t="s">
        <v>51</v>
      </c>
      <c r="N74" s="28" t="s">
        <v>51</v>
      </c>
    </row>
    <row r="75" spans="1:14" x14ac:dyDescent="0.15">
      <c r="A75" s="23" t="str">
        <f>HYPERLINK("https://www.spark-marketing.ru/Card/Person/265994", "ОМВД РОССИИ ПО НИЖНЕУДИНСКОМУ РАЙОНУ")</f>
        <v>ОМВД РОССИИ ПО НИЖНЕУДИНСКОМУ РАЙОНУ</v>
      </c>
      <c r="B75" s="24" t="s">
        <v>261</v>
      </c>
      <c r="C75" s="25">
        <v>1106000</v>
      </c>
      <c r="D75" s="22" t="s">
        <v>262</v>
      </c>
      <c r="E75" s="22" t="s">
        <v>48</v>
      </c>
      <c r="F75" s="23" t="str">
        <f>HYPERLINK("https://www.spark-marketing.ru/Card/Lot/74386508", "Прочая закупка услуг-услуги по обеспечению ежедневным трехразовым горячим питанием лиц содержащихся в ИВС, лиц, задержанных в административном порядке, содержащихся в ОМВД")</f>
        <v>Прочая закупка услуг-услуги по обеспечению ежедневным трехразовым горячим питанием лиц содержащихся в ИВС, лиц, задержанных в административном порядке, содержащихся в ОМВД</v>
      </c>
      <c r="G75" s="22" t="s">
        <v>263</v>
      </c>
      <c r="H75" s="22" t="s">
        <v>263</v>
      </c>
      <c r="I75" s="26">
        <v>43754.480555555601</v>
      </c>
      <c r="J75" s="28" t="s">
        <v>51</v>
      </c>
      <c r="K75" s="28" t="s">
        <v>51</v>
      </c>
      <c r="L75" s="28" t="s">
        <v>51</v>
      </c>
      <c r="M75" s="28" t="s">
        <v>51</v>
      </c>
      <c r="N75" s="28" t="s">
        <v>51</v>
      </c>
    </row>
    <row r="76" spans="1:14" x14ac:dyDescent="0.15">
      <c r="A76" s="23" t="str">
        <f>HYPERLINK("https://www.spark-marketing.ru/Card/Person/265994", "ОМВД РОССИИ ПО НИЖНЕУДИНСКОМУ РАЙОНУ")</f>
        <v>ОМВД РОССИИ ПО НИЖНЕУДИНСКОМУ РАЙОНУ</v>
      </c>
      <c r="B76" s="24" t="s">
        <v>261</v>
      </c>
      <c r="C76" s="25">
        <v>1106000</v>
      </c>
      <c r="D76" s="22" t="s">
        <v>264</v>
      </c>
      <c r="E76" s="22" t="s">
        <v>48</v>
      </c>
      <c r="F76" s="23" t="str">
        <f>HYPERLINK("https://www.spark-marketing.ru/Card/Lot/74386509", "Прочая закупка услуг-услуги по обеспечению ежедневным трехразовым горячим питанием лиц содержащихся в ИВС, лиц, задержанных в административном порядке, содержащихся в ОМВД")</f>
        <v>Прочая закупка услуг-услуги по обеспечению ежедневным трехразовым горячим питанием лиц содержащихся в ИВС, лиц, задержанных в административном порядке, содержащихся в ОМВД</v>
      </c>
      <c r="G76" s="22" t="s">
        <v>263</v>
      </c>
      <c r="H76" s="22" t="s">
        <v>263</v>
      </c>
      <c r="I76" s="26">
        <v>43754.648611111101</v>
      </c>
      <c r="J76" s="28" t="s">
        <v>51</v>
      </c>
      <c r="K76" s="28" t="s">
        <v>51</v>
      </c>
      <c r="L76" s="28" t="s">
        <v>51</v>
      </c>
      <c r="M76" s="28" t="s">
        <v>51</v>
      </c>
      <c r="N76" s="28" t="s">
        <v>51</v>
      </c>
    </row>
    <row r="77" spans="1:14" x14ac:dyDescent="0.15">
      <c r="A77" s="23" t="str">
        <f>HYPERLINK("https://www.spark-marketing.ru/Card/Person/357068", "ОТДЕЛ МВД РОССИИ ПО АКСАЙСКОМУ РАЙОНУ")</f>
        <v>ОТДЕЛ МВД РОССИИ ПО АКСАЙСКОМУ РАЙОНУ</v>
      </c>
      <c r="B77" s="24" t="s">
        <v>265</v>
      </c>
      <c r="C77" s="25">
        <v>798000</v>
      </c>
      <c r="D77" s="22" t="s">
        <v>266</v>
      </c>
      <c r="E77" s="22" t="s">
        <v>48</v>
      </c>
      <c r="F77" s="23" t="str">
        <f>HYPERLINK("https://www.spark-marketing.ru/Card/Lot/74386124", "Услуги по организации горячего питания для лиц, содержащихся в изоляторе временного содержания Отдела МВД России по Аксайскому району")</f>
        <v>Услуги по организации горячего питания для лиц, содержащихся в изоляторе временного содержания Отдела МВД России по Аксайскому району</v>
      </c>
      <c r="G77" s="22" t="s">
        <v>267</v>
      </c>
      <c r="H77" s="22" t="s">
        <v>268</v>
      </c>
      <c r="I77" s="26">
        <v>43754.679513888899</v>
      </c>
      <c r="J77" s="28" t="s">
        <v>51</v>
      </c>
      <c r="K77" s="28" t="s">
        <v>51</v>
      </c>
      <c r="L77" s="28" t="s">
        <v>51</v>
      </c>
      <c r="M77" s="28" t="s">
        <v>51</v>
      </c>
      <c r="N77" s="28" t="s">
        <v>51</v>
      </c>
    </row>
    <row r="78" spans="1:14" x14ac:dyDescent="0.15">
      <c r="A78" s="23" t="str">
        <f>HYPERLINK("https://www.spark-marketing.ru/Card/Person/13980", "ГБУЗ РК ""СГБ № 1""")</f>
        <v>ГБУЗ РК "СГБ № 1"</v>
      </c>
      <c r="B78" s="24" t="s">
        <v>269</v>
      </c>
      <c r="C78" s="25">
        <v>7200000</v>
      </c>
      <c r="D78" s="22" t="s">
        <v>270</v>
      </c>
      <c r="E78" s="22" t="s">
        <v>48</v>
      </c>
      <c r="F78" s="23" t="str">
        <f>HYPERLINK("https://www.spark-marketing.ru/Card/Lot/74389375", "Оказание услуг по организации лечебного питания пациентов ГБУЗ РК «Сыктывкарская городская больница № 1»")</f>
        <v>Оказание услуг по организации лечебного питания пациентов ГБУЗ РК «Сыктывкарская городская больница № 1»</v>
      </c>
      <c r="G78" s="22" t="s">
        <v>271</v>
      </c>
      <c r="H78" s="22" t="s">
        <v>271</v>
      </c>
      <c r="I78" s="26">
        <v>43754.7078819444</v>
      </c>
      <c r="J78" s="28" t="s">
        <v>51</v>
      </c>
      <c r="K78" s="28" t="s">
        <v>51</v>
      </c>
      <c r="L78" s="28" t="s">
        <v>51</v>
      </c>
      <c r="M78" s="28" t="s">
        <v>51</v>
      </c>
      <c r="N78" s="28" t="s">
        <v>51</v>
      </c>
    </row>
    <row r="79" spans="1:14" x14ac:dyDescent="0.15">
      <c r="A79" s="23" t="str">
        <f>HYPERLINK("https://www.spark-marketing.ru/Card/Person/99924", "АДМИНИСТРАЦИЯ ИСКИТИМСКОГО РАЙОНА НОВОСИБИРСКОЙ ОБЛАСТИ")</f>
        <v>АДМИНИСТРАЦИЯ ИСКИТИМСКОГО РАЙОНА НОВОСИБИРСКОЙ ОБЛАСТИ</v>
      </c>
      <c r="B79" s="24" t="s">
        <v>272</v>
      </c>
      <c r="C79" s="25">
        <v>158400</v>
      </c>
      <c r="D79" s="22" t="s">
        <v>273</v>
      </c>
      <c r="E79" s="22" t="s">
        <v>81</v>
      </c>
      <c r="F79" s="23" t="str">
        <f>HYPERLINK("https://www.spark-marketing.ru/Card/Lot/74376096", "Организация питания и проживания участников молодежных мероприятий")</f>
        <v>Организация питания и проживания участников молодежных мероприятий</v>
      </c>
      <c r="G79" s="22" t="s">
        <v>195</v>
      </c>
      <c r="H79" s="22" t="s">
        <v>274</v>
      </c>
      <c r="I79" s="26">
        <v>43754.668749999997</v>
      </c>
      <c r="J79" s="28" t="s">
        <v>51</v>
      </c>
      <c r="K79" s="28" t="s">
        <v>51</v>
      </c>
      <c r="L79" s="28" t="s">
        <v>51</v>
      </c>
      <c r="M79" s="28" t="s">
        <v>51</v>
      </c>
      <c r="N79" s="28" t="s">
        <v>51</v>
      </c>
    </row>
    <row r="80" spans="1:14" x14ac:dyDescent="0.15">
      <c r="A80" s="23" t="str">
        <f>HYPERLINK("https://www.spark-marketing.ru/Card/Person/88364", "ГБОУ РМ ""РЕСПУБЛИКАНСКИЙ ЛИЦЕЙ""")</f>
        <v>ГБОУ РМ "РЕСПУБЛИКАНСКИЙ ЛИЦЕЙ"</v>
      </c>
      <c r="B80" s="24" t="s">
        <v>275</v>
      </c>
      <c r="C80" s="25">
        <v>5028576</v>
      </c>
      <c r="D80" s="22" t="s">
        <v>276</v>
      </c>
      <c r="E80" s="22" t="s">
        <v>48</v>
      </c>
      <c r="F80" s="23" t="str">
        <f>HYPERLINK("https://www.spark-marketing.ru/Card/Lot/74389330", "оказание услуг по организации питания обучающихся школьного возраста в ГБОУ РМ ""Республиканский лицей""")</f>
        <v>оказание услуг по организации питания обучающихся школьного возраста в ГБОУ РМ "Республиканский лицей"</v>
      </c>
      <c r="G80" s="22" t="s">
        <v>277</v>
      </c>
      <c r="H80" s="22" t="s">
        <v>278</v>
      </c>
      <c r="I80" s="26">
        <v>43754.686053240701</v>
      </c>
      <c r="J80" s="28" t="s">
        <v>51</v>
      </c>
      <c r="K80" s="28" t="s">
        <v>51</v>
      </c>
      <c r="L80" s="28" t="s">
        <v>51</v>
      </c>
      <c r="M80" s="28" t="s">
        <v>51</v>
      </c>
      <c r="N80" s="28" t="s">
        <v>51</v>
      </c>
    </row>
    <row r="81" spans="1:14" x14ac:dyDescent="0.15">
      <c r="A81" s="23" t="str">
        <f>HYPERLINK("https://www.spark-marketing.ru/Card/Person/4352839", "КГБПОУ ""ТАЙМЫРСКИЙ КОЛЛЕДЖ""")</f>
        <v>КГБПОУ "ТАЙМЫРСКИЙ КОЛЛЕДЖ"</v>
      </c>
      <c r="B81" s="24" t="s">
        <v>279</v>
      </c>
      <c r="C81" s="25">
        <v>14003847.48</v>
      </c>
      <c r="D81" s="22" t="s">
        <v>280</v>
      </c>
      <c r="E81" s="22" t="s">
        <v>48</v>
      </c>
      <c r="F81" s="23" t="str">
        <f>HYPERLINK("https://www.spark-marketing.ru/Card/Lot/74389335", "ЭА № 48465/19 - ""Оказание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«Таймырский колледж»""")</f>
        <v>ЭА № 48465/19 - "Оказание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«Таймырский колледж»"</v>
      </c>
      <c r="G81" s="22" t="s">
        <v>281</v>
      </c>
      <c r="H81" s="22" t="s">
        <v>282</v>
      </c>
      <c r="I81" s="26">
        <v>43754.691446759301</v>
      </c>
      <c r="J81" s="28" t="s">
        <v>51</v>
      </c>
      <c r="K81" s="28" t="s">
        <v>51</v>
      </c>
      <c r="L81" s="28" t="s">
        <v>51</v>
      </c>
      <c r="M81" s="28" t="s">
        <v>51</v>
      </c>
      <c r="N81" s="28" t="s">
        <v>51</v>
      </c>
    </row>
    <row r="82" spans="1:14" x14ac:dyDescent="0.15">
      <c r="A82" s="23" t="str">
        <f>HYPERLINK("https://www.spark-marketing.ru/Card/Person/265994", "ОМВД РОССИИ ПО НИЖНЕУДИНСКОМУ РАЙОНУ")</f>
        <v>ОМВД РОССИИ ПО НИЖНЕУДИНСКОМУ РАЙОНУ</v>
      </c>
      <c r="B82" s="24" t="s">
        <v>261</v>
      </c>
      <c r="C82" s="25">
        <v>50000</v>
      </c>
      <c r="D82" s="22" t="s">
        <v>283</v>
      </c>
      <c r="E82" s="22" t="s">
        <v>48</v>
      </c>
      <c r="F82" s="23" t="str">
        <f>HYPERLINK("https://www.spark-marketing.ru/Card/Lot/74371061", "Прочая закупка услуг-услуги по обеспечению ежедневным трехразовым горячим питанием лиц содержащихся в ИВС, лиц, задержанных в административном порядке, содержащихся в ОМВД")</f>
        <v>Прочая закупка услуг-услуги по обеспечению ежедневным трехразовым горячим питанием лиц содержащихся в ИВС, лиц, задержанных в административном порядке, содержащихся в ОМВД</v>
      </c>
      <c r="G82" s="22" t="s">
        <v>263</v>
      </c>
      <c r="H82" s="22" t="s">
        <v>263</v>
      </c>
      <c r="I82" s="26">
        <v>43754.5625</v>
      </c>
      <c r="J82" s="28" t="s">
        <v>51</v>
      </c>
      <c r="K82" s="28" t="s">
        <v>51</v>
      </c>
      <c r="L82" s="28" t="s">
        <v>51</v>
      </c>
      <c r="M82" s="28" t="s">
        <v>51</v>
      </c>
      <c r="N82" s="28" t="s">
        <v>51</v>
      </c>
    </row>
    <row r="83" spans="1:14" x14ac:dyDescent="0.15">
      <c r="A83" s="23" t="str">
        <f>HYPERLINK("https://www.spark-marketing.ru/Card/Person/357068", "ОТДЕЛ МВД РОССИИ ПО АКСАЙСКОМУ РАЙОНУ")</f>
        <v>ОТДЕЛ МВД РОССИИ ПО АКСАЙСКОМУ РАЙОНУ</v>
      </c>
      <c r="B83" s="24" t="s">
        <v>265</v>
      </c>
      <c r="C83" s="25">
        <v>578740</v>
      </c>
      <c r="D83" s="22" t="s">
        <v>284</v>
      </c>
      <c r="E83" s="22" t="s">
        <v>48</v>
      </c>
      <c r="F83" s="23" t="str">
        <f>HYPERLINK("https://www.spark-marketing.ru/Card/Lot/74388830", "Услуги по организации горячего питания для лиц, доставленных и арестованных в административном порядке в Отделе МВД России по Аксайскому району")</f>
        <v>Услуги по организации горячего питания для лиц, доставленных и арестованных в административном порядке в Отделе МВД России по Аксайскому району</v>
      </c>
      <c r="G83" s="22" t="s">
        <v>267</v>
      </c>
      <c r="H83" s="22" t="s">
        <v>268</v>
      </c>
      <c r="I83" s="26">
        <v>43754.681944444397</v>
      </c>
      <c r="J83" s="28" t="s">
        <v>51</v>
      </c>
      <c r="K83" s="28" t="s">
        <v>51</v>
      </c>
      <c r="L83" s="28" t="s">
        <v>51</v>
      </c>
      <c r="M83" s="28" t="s">
        <v>51</v>
      </c>
      <c r="N83" s="28" t="s">
        <v>51</v>
      </c>
    </row>
    <row r="84" spans="1:14" x14ac:dyDescent="0.15">
      <c r="A84" s="23" t="str">
        <f>HYPERLINK("https://www.spark-marketing.ru/Card/Person/1014705", "ОМВД РОССИИ ПО Г. ФЕОДОСИИ")</f>
        <v>ОМВД РОССИИ ПО Г. ФЕОДОСИИ</v>
      </c>
      <c r="B84" s="24" t="s">
        <v>285</v>
      </c>
      <c r="C84" s="25">
        <v>36519.379999999997</v>
      </c>
      <c r="D84" s="22" t="s">
        <v>286</v>
      </c>
      <c r="E84" s="22" t="s">
        <v>48</v>
      </c>
      <c r="F84" s="23" t="str">
        <f>HYPERLINK("https://www.spark-marketing.ru/Card/Lot/74376672", "Оказание услуг по питанию граждан содержищихся в ИВС и СПСЗЛ, 1 усл. ед")</f>
        <v>Оказание услуг по питанию граждан содержищихся в ИВС и СПСЗЛ, 1 усл. ед</v>
      </c>
      <c r="G84" s="22" t="s">
        <v>108</v>
      </c>
      <c r="H84" s="22" t="s">
        <v>287</v>
      </c>
      <c r="I84" s="26">
        <v>43754.697395833296</v>
      </c>
      <c r="J84" s="28" t="s">
        <v>51</v>
      </c>
      <c r="K84" s="28" t="s">
        <v>51</v>
      </c>
      <c r="L84" s="28" t="s">
        <v>51</v>
      </c>
      <c r="M84" s="28" t="s">
        <v>51</v>
      </c>
      <c r="N84" s="28" t="s">
        <v>51</v>
      </c>
    </row>
    <row r="85" spans="1:14" x14ac:dyDescent="0.15">
      <c r="A85" s="23" t="str">
        <f>HYPERLINK("https://www.spark-marketing.ru/Card/Person/26277", "ГБУЗ РК ""ВДБ""")</f>
        <v>ГБУЗ РК "ВДБ"</v>
      </c>
      <c r="B85" s="24" t="s">
        <v>288</v>
      </c>
      <c r="C85" s="25">
        <v>2999224.8</v>
      </c>
      <c r="D85" s="22" t="s">
        <v>289</v>
      </c>
      <c r="E85" s="22" t="s">
        <v>48</v>
      </c>
      <c r="F85" s="23" t="str">
        <f>HYPERLINK("https://www.spark-marketing.ru/Card/Lot/74387974", "Оказание услуг по организации лечебного питания больным Государственного бюджетного учреждения здравоохранения Республики Коми «Воркутинская детская больница».")</f>
        <v>Оказание услуг по организации лечебного питания больным Государственного бюджетного учреждения здравоохранения Республики Коми «Воркутинская детская больница».</v>
      </c>
      <c r="G85" s="22" t="s">
        <v>271</v>
      </c>
      <c r="H85" s="22" t="s">
        <v>271</v>
      </c>
      <c r="I85" s="26">
        <v>43754.693055555603</v>
      </c>
      <c r="J85" s="28" t="s">
        <v>51</v>
      </c>
      <c r="K85" s="28" t="s">
        <v>51</v>
      </c>
      <c r="L85" s="28" t="s">
        <v>51</v>
      </c>
      <c r="M85" s="28" t="s">
        <v>51</v>
      </c>
      <c r="N85" s="28" t="s">
        <v>51</v>
      </c>
    </row>
    <row r="86" spans="1:14" x14ac:dyDescent="0.15">
      <c r="A86" s="23" t="str">
        <f>HYPERLINK("https://www.spark-marketing.ru/Card/Person/1038835", "ОГБУЗ МАКАРЬЕВСКАЯ РБ")</f>
        <v>ОГБУЗ МАКАРЬЕВСКАЯ РБ</v>
      </c>
      <c r="B86" s="24" t="s">
        <v>290</v>
      </c>
      <c r="C86" s="25">
        <v>250000</v>
      </c>
      <c r="D86" s="22" t="s">
        <v>291</v>
      </c>
      <c r="E86" s="22" t="s">
        <v>48</v>
      </c>
      <c r="F86" s="23" t="str">
        <f>HYPERLINK("https://www.spark-marketing.ru/Card/Lot/74383995", "Услуги по организации лечебного питания больных, находящихся на стационарном лечении")</f>
        <v>Услуги по организации лечебного питания больных, находящихся на стационарном лечении</v>
      </c>
      <c r="G86" s="22" t="s">
        <v>292</v>
      </c>
      <c r="H86" s="22" t="s">
        <v>292</v>
      </c>
      <c r="I86" s="26">
        <v>43754.697222222203</v>
      </c>
      <c r="J86" s="28" t="s">
        <v>51</v>
      </c>
      <c r="K86" s="28" t="s">
        <v>51</v>
      </c>
      <c r="L86" s="28" t="s">
        <v>51</v>
      </c>
      <c r="M86" s="28" t="s">
        <v>51</v>
      </c>
      <c r="N86" s="28" t="s">
        <v>51</v>
      </c>
    </row>
    <row r="87" spans="1:14" x14ac:dyDescent="0.15">
      <c r="A87" s="23" t="str">
        <f>HYPERLINK("https://www.spark-marketing.ru/Card/Person/135276", "ОТДЕЛ МВД РОССИИ ПО Г.БОР")</f>
        <v>ОТДЕЛ МВД РОССИИ ПО Г.БОР</v>
      </c>
      <c r="B87" s="24" t="s">
        <v>293</v>
      </c>
      <c r="C87" s="25">
        <v>100000</v>
      </c>
      <c r="D87" s="22" t="s">
        <v>294</v>
      </c>
      <c r="E87" s="22" t="s">
        <v>96</v>
      </c>
      <c r="F87" s="23" t="str">
        <f>HYPERLINK("https://www.spark-marketing.ru/Card/Lot/74376111",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87" s="22" t="s">
        <v>76</v>
      </c>
      <c r="H87" s="22" t="s">
        <v>295</v>
      </c>
      <c r="I87" s="26">
        <v>43754.689918981501</v>
      </c>
      <c r="J87" s="28" t="s">
        <v>51</v>
      </c>
      <c r="K87" s="28" t="s">
        <v>51</v>
      </c>
      <c r="L87" s="28" t="s">
        <v>51</v>
      </c>
      <c r="M87" s="28" t="s">
        <v>51</v>
      </c>
      <c r="N87" s="28" t="s">
        <v>51</v>
      </c>
    </row>
    <row r="88" spans="1:14" x14ac:dyDescent="0.15">
      <c r="A88" s="23" t="str">
        <f>HYPERLINK("https://www.spark-marketing.ru/Card/Person/54008", "ГАУЗ ""РКПБ ИМ. АКАД. В.М. БЕХТЕРЕВА""")</f>
        <v>ГАУЗ "РКПБ ИМ. АКАД. В.М. БЕХТЕРЕВА"</v>
      </c>
      <c r="B88" s="24" t="s">
        <v>296</v>
      </c>
      <c r="C88" s="25">
        <v>61339.8</v>
      </c>
      <c r="D88" s="22" t="s">
        <v>297</v>
      </c>
      <c r="E88" s="22" t="s">
        <v>62</v>
      </c>
      <c r="F88" s="23" t="str">
        <f>HYPERLINK("https://www.spark-marketing.ru/Card/Lot/74381632", "Поставка бланочной продукции в 2019 году для нужд «Зеленодольского ПНД» - филиала ГАУЗ «РКПБ им. акад. В.М.Бехтерева»")</f>
        <v>Поставка бланочной продукции в 2019 году для нужд «Зеленодольского ПНД» - филиала ГАУЗ «РКПБ им. акад. В.М.Бехтерева»</v>
      </c>
      <c r="G88" s="22" t="s">
        <v>217</v>
      </c>
      <c r="H88" s="22" t="s">
        <v>298</v>
      </c>
      <c r="I88" s="26">
        <v>43754.668055555601</v>
      </c>
      <c r="J88" s="28" t="s">
        <v>51</v>
      </c>
      <c r="K88" s="28" t="s">
        <v>51</v>
      </c>
      <c r="L88" s="28" t="s">
        <v>51</v>
      </c>
      <c r="M88" s="28" t="s">
        <v>51</v>
      </c>
      <c r="N88" s="28" t="s">
        <v>51</v>
      </c>
    </row>
    <row r="89" spans="1:14" x14ac:dyDescent="0.15">
      <c r="A89" s="23" t="str">
        <f>HYPERLINK("https://www.spark-marketing.ru/Card/Person/144100", "МБОУ СОШ № 14")</f>
        <v>МБОУ СОШ № 14</v>
      </c>
      <c r="B89" s="24" t="s">
        <v>299</v>
      </c>
      <c r="C89" s="25">
        <v>9445328</v>
      </c>
      <c r="D89" s="22" t="s">
        <v>300</v>
      </c>
      <c r="E89" s="22" t="s">
        <v>48</v>
      </c>
      <c r="F89" s="23" t="str">
        <f>HYPERLINK("https://www.spark-marketing.ru/Card/Lot/74389377", "на оказание услуг по организации горячего питания отдельным категориям обучающихся в МБОУ СОШ № 14")</f>
        <v>на оказание услуг по организации горячего питания отдельным категориям обучающихся в МБОУ СОШ № 14</v>
      </c>
      <c r="G89" s="22" t="s">
        <v>49</v>
      </c>
      <c r="H89" s="22" t="s">
        <v>301</v>
      </c>
      <c r="I89" s="26">
        <v>43754.704074074099</v>
      </c>
      <c r="J89" s="28" t="s">
        <v>51</v>
      </c>
      <c r="K89" s="28" t="s">
        <v>51</v>
      </c>
      <c r="L89" s="28" t="s">
        <v>51</v>
      </c>
      <c r="M89" s="28" t="s">
        <v>51</v>
      </c>
      <c r="N89" s="28" t="s">
        <v>51</v>
      </c>
    </row>
    <row r="90" spans="1:14" x14ac:dyDescent="0.15">
      <c r="A90" s="23" t="str">
        <f>HYPERLINK("https://www.spark-marketing.ru/Card/Person/85541", "ГБУЗ КО ""МЫСКОВСКАЯ ГОРОДСКАЯ БОЛЬНИЦА""")</f>
        <v>ГБУЗ КО "МЫСКОВСКАЯ ГОРОДСКАЯ БОЛЬНИЦА"</v>
      </c>
      <c r="B90" s="24" t="s">
        <v>302</v>
      </c>
      <c r="C90" s="25">
        <v>242859.4</v>
      </c>
      <c r="D90" s="22" t="s">
        <v>303</v>
      </c>
      <c r="E90" s="22" t="s">
        <v>91</v>
      </c>
      <c r="F90" s="23" t="str">
        <f>HYPERLINK("https://www.spark-marketing.ru/Card/Lot/74376836", "Оказание услуг ( по ремонту и техническому обслуживанию DEPO Sky 252F (DEPO Sky 251N)")</f>
        <v>Оказание услуг ( по ремонту и техническому обслуживанию DEPO Sky 252F (DEPO Sky 251N)</v>
      </c>
      <c r="G90" s="22" t="s">
        <v>304</v>
      </c>
      <c r="H90" s="22" t="s">
        <v>305</v>
      </c>
      <c r="I90" s="26">
        <v>43754.647916666698</v>
      </c>
      <c r="J90" s="28" t="s">
        <v>51</v>
      </c>
      <c r="K90" s="28" t="s">
        <v>51</v>
      </c>
      <c r="L90" s="28" t="s">
        <v>51</v>
      </c>
      <c r="M90" s="28" t="s">
        <v>51</v>
      </c>
      <c r="N90" s="28" t="s">
        <v>51</v>
      </c>
    </row>
    <row r="91" spans="1:14" x14ac:dyDescent="0.15">
      <c r="A91" s="23" t="str">
        <f>HYPERLINK("https://www.spark-marketing.ru/Card/Person/80341", "МУ МВД РОССИИ ""СЫЗРАНСКОЕ""")</f>
        <v>МУ МВД РОССИИ "СЫЗРАНСКОЕ"</v>
      </c>
      <c r="B91" s="24" t="s">
        <v>306</v>
      </c>
      <c r="C91" s="25">
        <v>146497.79999999999</v>
      </c>
      <c r="D91" s="22" t="s">
        <v>307</v>
      </c>
      <c r="E91" s="22" t="s">
        <v>48</v>
      </c>
      <c r="F91" s="23" t="str">
        <f>HYPERLINK("https://www.spark-marketing.ru/Card/Lot/74376928",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91" s="22" t="s">
        <v>128</v>
      </c>
      <c r="H91" s="22" t="s">
        <v>308</v>
      </c>
      <c r="I91" s="26">
        <v>43754.637175925898</v>
      </c>
      <c r="J91" s="28" t="s">
        <v>51</v>
      </c>
      <c r="K91" s="28" t="s">
        <v>51</v>
      </c>
      <c r="L91" s="28" t="s">
        <v>51</v>
      </c>
      <c r="M91" s="28" t="s">
        <v>51</v>
      </c>
      <c r="N91" s="28" t="s">
        <v>51</v>
      </c>
    </row>
    <row r="92" spans="1:14" x14ac:dyDescent="0.15">
      <c r="A92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92" s="24" t="s">
        <v>309</v>
      </c>
      <c r="C92" s="25">
        <v>498960</v>
      </c>
      <c r="D92" s="22" t="s">
        <v>310</v>
      </c>
      <c r="E92" s="22" t="s">
        <v>48</v>
      </c>
      <c r="F92" s="23" t="str">
        <f>HYPERLINK("https://www.spark-marketing.ru/Card/Lot/74388675", "Оказание услуг по питанию граждан, находящихся в спец. приемнике для содержания лиц, подвергнутых административному аресту")</f>
        <v>Оказание услуг по питанию граждан, находящихся в спец. приемнике для содержания лиц, подвергнутых административному аресту</v>
      </c>
      <c r="G92" s="22" t="s">
        <v>49</v>
      </c>
      <c r="H92" s="22" t="s">
        <v>311</v>
      </c>
      <c r="I92" s="26">
        <v>43754.633842592601</v>
      </c>
      <c r="J92" s="28" t="s">
        <v>51</v>
      </c>
      <c r="K92" s="28" t="s">
        <v>51</v>
      </c>
      <c r="L92" s="28" t="s">
        <v>51</v>
      </c>
      <c r="M92" s="28" t="s">
        <v>51</v>
      </c>
      <c r="N92" s="28" t="s">
        <v>51</v>
      </c>
    </row>
    <row r="93" spans="1:14" x14ac:dyDescent="0.15">
      <c r="A93" s="23" t="str">
        <f>HYPERLINK("https://www.spark-marketing.ru/Card/Person/737290", "ГКУ «ЦБЗ ПРИ МИНЗДРАВЕ КАРЕЛИИ»")</f>
        <v>ГКУ «ЦБЗ ПРИ МИНЗДРАВЕ КАРЕЛИИ»</v>
      </c>
      <c r="B93" s="24" t="s">
        <v>312</v>
      </c>
      <c r="C93" s="25">
        <v>255986.6</v>
      </c>
      <c r="D93" s="22" t="s">
        <v>313</v>
      </c>
      <c r="E93" s="22" t="s">
        <v>52</v>
      </c>
      <c r="F93" s="23" t="str">
        <f>HYPERLINK("https://www.spark-marketing.ru/Card/Lot/74383957", "Поставка лекарственных препаратов  разных фармацевтических групп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медицинским...")</f>
        <v>Поставка лекарственных препаратов  разных фармацевтических групп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медицинским...</v>
      </c>
      <c r="G93" s="22" t="s">
        <v>59</v>
      </c>
      <c r="H93" s="22" t="s">
        <v>314</v>
      </c>
      <c r="I93" s="26">
        <v>43754.662210648101</v>
      </c>
      <c r="J93" s="28" t="s">
        <v>51</v>
      </c>
      <c r="K93" s="28" t="s">
        <v>51</v>
      </c>
      <c r="L93" s="28" t="s">
        <v>51</v>
      </c>
      <c r="M93" s="28" t="s">
        <v>51</v>
      </c>
      <c r="N93" s="28" t="s">
        <v>51</v>
      </c>
    </row>
    <row r="94" spans="1:14" x14ac:dyDescent="0.15">
      <c r="A94" s="23" t="str">
        <f>HYPERLINK("https://www.spark-marketing.ru/Card/Person/3479", "ФГБУ ""ФЦССХ"" МИНЗДРАВА РОССИИ (Г. КРАСНОЯРСК)")</f>
        <v>ФГБУ "ФЦССХ" МИНЗДРАВА РОССИИ (Г. КРАСНОЯРСК)</v>
      </c>
      <c r="B94" s="24" t="s">
        <v>315</v>
      </c>
      <c r="C94" s="25">
        <v>3700000</v>
      </c>
      <c r="D94" s="22" t="s">
        <v>316</v>
      </c>
      <c r="E94" s="22" t="s">
        <v>317</v>
      </c>
      <c r="F94" s="23" t="str">
        <f>HYPERLINK("https://www.spark-marketing.ru/Card/Lot/74388514", "На право заключения контракта на поставку медицинских изделий - система инъекции контрастного вещества ангиографическая, с питанием от сети, стационарная, ввод в эксплуатацию медицинских изделий, обучение правилам эксплуатации специалистов, эксплуати...")</f>
        <v>На право заключения контракта на поставку медицинских изделий - система инъекции контрастного вещества ангиографическая, с питанием от сети, стационарная, ввод в эксплуатацию медицинских изделий, обучение правилам эксплуатации специалистов, эксплуати...</v>
      </c>
      <c r="G94" s="22" t="s">
        <v>281</v>
      </c>
      <c r="H94" s="22" t="s">
        <v>281</v>
      </c>
      <c r="I94" s="26">
        <v>43754.474305555603</v>
      </c>
      <c r="J94" s="28" t="s">
        <v>51</v>
      </c>
      <c r="K94" s="28" t="s">
        <v>51</v>
      </c>
      <c r="L94" s="28" t="s">
        <v>51</v>
      </c>
      <c r="M94" s="28" t="s">
        <v>51</v>
      </c>
      <c r="N94" s="28" t="s">
        <v>51</v>
      </c>
    </row>
    <row r="95" spans="1:14" x14ac:dyDescent="0.15">
      <c r="A95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95" s="24" t="s">
        <v>309</v>
      </c>
      <c r="C95" s="25">
        <v>498960</v>
      </c>
      <c r="D95" s="22" t="s">
        <v>318</v>
      </c>
      <c r="E95" s="22" t="s">
        <v>48</v>
      </c>
      <c r="F95" s="23" t="str">
        <f>HYPERLINK("https://www.spark-marketing.ru/Card/Lot/74388723", "Оказание услуг по питанию граждан, находящихся в спец. приемнике для содержания лиц, подвергнутых административному аресту")</f>
        <v>Оказание услуг по питанию граждан, находящихся в спец. приемнике для содержания лиц, подвергнутых административному аресту</v>
      </c>
      <c r="G95" s="22" t="s">
        <v>49</v>
      </c>
      <c r="H95" s="22" t="s">
        <v>49</v>
      </c>
      <c r="I95" s="26">
        <v>43754.634953703702</v>
      </c>
      <c r="J95" s="28" t="s">
        <v>51</v>
      </c>
      <c r="K95" s="28" t="s">
        <v>51</v>
      </c>
      <c r="L95" s="28" t="s">
        <v>51</v>
      </c>
      <c r="M95" s="28" t="s">
        <v>51</v>
      </c>
      <c r="N95" s="28" t="s">
        <v>51</v>
      </c>
    </row>
    <row r="96" spans="1:14" x14ac:dyDescent="0.15">
      <c r="A96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96" s="24" t="s">
        <v>309</v>
      </c>
      <c r="C96" s="25">
        <v>734440</v>
      </c>
      <c r="D96" s="22" t="s">
        <v>319</v>
      </c>
      <c r="E96" s="22" t="s">
        <v>48</v>
      </c>
      <c r="F96" s="23" t="str">
        <f>HYPERLINK("https://www.spark-marketing.ru/Card/Lot/74389253", "Оказание услуг по питанию граждан находящихся в ИВС")</f>
        <v>Оказание услуг по питанию граждан находящихся в ИВС</v>
      </c>
      <c r="G96" s="22" t="s">
        <v>49</v>
      </c>
      <c r="H96" s="22" t="s">
        <v>49</v>
      </c>
      <c r="I96" s="26">
        <v>43754.634606481501</v>
      </c>
      <c r="J96" s="28" t="s">
        <v>51</v>
      </c>
      <c r="K96" s="28" t="s">
        <v>51</v>
      </c>
      <c r="L96" s="28" t="s">
        <v>51</v>
      </c>
      <c r="M96" s="28" t="s">
        <v>51</v>
      </c>
      <c r="N96" s="28" t="s">
        <v>51</v>
      </c>
    </row>
    <row r="97" spans="1:14" x14ac:dyDescent="0.15">
      <c r="A97" s="23" t="str">
        <f>HYPERLINK("https://www.spark-marketing.ru/Card/Person/4374216", "ГБУ РЦИОКО")</f>
        <v>ГБУ РЦИОКО</v>
      </c>
      <c r="B97" s="24" t="s">
        <v>320</v>
      </c>
      <c r="C97" s="25">
        <v>190000</v>
      </c>
      <c r="D97" s="22" t="s">
        <v>321</v>
      </c>
      <c r="E97" s="22" t="s">
        <v>91</v>
      </c>
      <c r="F97" s="23" t="str">
        <f>HYPERLINK("https://www.spark-marketing.ru/Card/Lot/74382264", "ремонт и обслуживание офисной техники")</f>
        <v>ремонт и обслуживание офисной техники</v>
      </c>
      <c r="G97" s="22" t="s">
        <v>322</v>
      </c>
      <c r="H97" s="22" t="s">
        <v>322</v>
      </c>
      <c r="I97" s="26">
        <v>43754.636805555601</v>
      </c>
      <c r="J97" s="28" t="s">
        <v>51</v>
      </c>
      <c r="K97" s="28" t="s">
        <v>51</v>
      </c>
      <c r="L97" s="28" t="s">
        <v>51</v>
      </c>
      <c r="M97" s="28" t="s">
        <v>51</v>
      </c>
      <c r="N97" s="28" t="s">
        <v>51</v>
      </c>
    </row>
    <row r="98" spans="1:14" x14ac:dyDescent="0.15">
      <c r="A98" s="23" t="str">
        <f>HYPERLINK("https://www.spark-marketing.ru/Card/Person/90330", "МО МВД РОССИИ ""ШАТУРСКИЙ""")</f>
        <v>МО МВД РОССИИ "ШАТУРСКИЙ"</v>
      </c>
      <c r="B98" s="24" t="s">
        <v>181</v>
      </c>
      <c r="C98" s="25">
        <v>440895</v>
      </c>
      <c r="D98" s="22" t="s">
        <v>323</v>
      </c>
      <c r="E98" s="22" t="s">
        <v>48</v>
      </c>
      <c r="F98" s="23" t="str">
        <f>HYPERLINK("https://www.spark-marketing.ru/Card/Lot/74385737", "Оказание услуг по питанию граждан,содержащихся в ИВС лиц, задержанных в административном порядке сроком более 3-х часов в КАЗ  2020 году")</f>
        <v>Оказание услуг по питанию граждан,содержащихся в ИВС лиц, задержанных в административном порядке сроком более 3-х часов в КАЗ  2020 году</v>
      </c>
      <c r="G98" s="22" t="s">
        <v>49</v>
      </c>
      <c r="H98" s="22" t="s">
        <v>49</v>
      </c>
      <c r="I98" s="26">
        <v>43754.6337152778</v>
      </c>
      <c r="J98" s="28" t="s">
        <v>51</v>
      </c>
      <c r="K98" s="28" t="s">
        <v>51</v>
      </c>
      <c r="L98" s="28" t="s">
        <v>51</v>
      </c>
      <c r="M98" s="28" t="s">
        <v>51</v>
      </c>
      <c r="N98" s="28" t="s">
        <v>51</v>
      </c>
    </row>
    <row r="99" spans="1:14" x14ac:dyDescent="0.15">
      <c r="A99" s="23" t="str">
        <f>HYPERLINK("https://www.spark-marketing.ru/Card/Person/90330", "МО МВД РОССИИ ""ШАТУРСКИЙ""")</f>
        <v>МО МВД РОССИИ "ШАТУРСКИЙ"</v>
      </c>
      <c r="B99" s="24" t="s">
        <v>181</v>
      </c>
      <c r="C99" s="25">
        <v>440895</v>
      </c>
      <c r="D99" s="22" t="s">
        <v>324</v>
      </c>
      <c r="E99" s="22" t="s">
        <v>48</v>
      </c>
      <c r="F99" s="23" t="str">
        <f>HYPERLINK("https://www.spark-marketing.ru/Card/Lot/74385736", "Оказание услуг по питанию граждан,содержащихся в ИВС и лиц, задержанных в административном порядке сроком более 3-х часов в КАЗ 2021 году")</f>
        <v>Оказание услуг по питанию граждан,содержащихся в ИВС и лиц, задержанных в административном порядке сроком более 3-х часов в КАЗ 2021 году</v>
      </c>
      <c r="G99" s="22" t="s">
        <v>49</v>
      </c>
      <c r="H99" s="22" t="s">
        <v>49</v>
      </c>
      <c r="I99" s="26">
        <v>43754.656944444403</v>
      </c>
      <c r="J99" s="28" t="s">
        <v>51</v>
      </c>
      <c r="K99" s="28" t="s">
        <v>51</v>
      </c>
      <c r="L99" s="28" t="s">
        <v>51</v>
      </c>
      <c r="M99" s="28" t="s">
        <v>51</v>
      </c>
      <c r="N99" s="28" t="s">
        <v>51</v>
      </c>
    </row>
    <row r="100" spans="1:14" x14ac:dyDescent="0.15">
      <c r="A100" s="23" t="str">
        <f>HYPERLINK("https://www.spark-marketing.ru/Card/Person/6178170", "УПРАВЛЕНИЕ РОСГВАРДИИ ПО РЕСПУБЛИКЕ ТЫВА")</f>
        <v>УПРАВЛЕНИЕ РОСГВАРДИИ ПО РЕСПУБЛИКЕ ТЫВА</v>
      </c>
      <c r="B100" s="24" t="s">
        <v>325</v>
      </c>
      <c r="C100" s="25">
        <v>149060</v>
      </c>
      <c r="D100" s="22" t="s">
        <v>326</v>
      </c>
      <c r="E100" s="22" t="s">
        <v>48</v>
      </c>
      <c r="F100" s="23" t="str">
        <f>HYPERLINK("https://www.spark-marketing.ru/Card/Lot/74375287", "Питание в столовых")</f>
        <v>Питание в столовых</v>
      </c>
      <c r="G100" s="22" t="s">
        <v>327</v>
      </c>
      <c r="H100" s="22" t="s">
        <v>328</v>
      </c>
      <c r="I100" s="26">
        <v>43754.484027777798</v>
      </c>
      <c r="J100" s="28" t="s">
        <v>51</v>
      </c>
      <c r="K100" s="28" t="s">
        <v>51</v>
      </c>
      <c r="L100" s="28" t="s">
        <v>51</v>
      </c>
      <c r="M100" s="28" t="s">
        <v>51</v>
      </c>
      <c r="N100" s="28" t="s">
        <v>51</v>
      </c>
    </row>
    <row r="101" spans="1:14" x14ac:dyDescent="0.15">
      <c r="A101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101" s="24" t="s">
        <v>309</v>
      </c>
      <c r="C101" s="25">
        <v>734440</v>
      </c>
      <c r="D101" s="22" t="s">
        <v>329</v>
      </c>
      <c r="E101" s="22" t="s">
        <v>48</v>
      </c>
      <c r="F101" s="23" t="str">
        <f>HYPERLINK("https://www.spark-marketing.ru/Card/Lot/74389305", "Оказание услуг по питанию граждан находящихся в ИВС")</f>
        <v>Оказание услуг по питанию граждан находящихся в ИВС</v>
      </c>
      <c r="G101" s="22" t="s">
        <v>49</v>
      </c>
      <c r="H101" s="22" t="s">
        <v>49</v>
      </c>
      <c r="I101" s="26">
        <v>43754.634247685201</v>
      </c>
      <c r="J101" s="28" t="s">
        <v>51</v>
      </c>
      <c r="K101" s="28" t="s">
        <v>51</v>
      </c>
      <c r="L101" s="28" t="s">
        <v>51</v>
      </c>
      <c r="M101" s="28" t="s">
        <v>51</v>
      </c>
      <c r="N101" s="28" t="s">
        <v>51</v>
      </c>
    </row>
    <row r="102" spans="1:14" x14ac:dyDescent="0.15">
      <c r="A102" s="23" t="str">
        <f>HYPERLINK("https://www.spark-marketing.ru/Card/Person/95250", "ГВЦ ОАО ""РЖД""")</f>
        <v>ГВЦ ОАО "РЖД"</v>
      </c>
      <c r="B102" s="24" t="s">
        <v>330</v>
      </c>
      <c r="C102" s="25">
        <v>189806.15</v>
      </c>
      <c r="D102" s="28" t="s">
        <v>51</v>
      </c>
      <c r="E102" s="22" t="s">
        <v>331</v>
      </c>
      <c r="F102" s="23" t="str">
        <f>HYPERLINK("https://www.spark-marketing.ru/Card/Lot/74377399", "№30164 Поставка продуктов питания (консервы)для организации питания работников ОАО ""РЖД"" на предприятиях, оказывающих услуги питания исключительно работникам ОАО ""РЖД""")</f>
        <v>№30164 Поставка продуктов питания (консервы)для организации питания работников ОАО "РЖД" на предприятиях, оказывающих услуги питания исключительно работникам ОАО "РЖД"</v>
      </c>
      <c r="G102" s="22" t="s">
        <v>56</v>
      </c>
      <c r="H102" s="22" t="s">
        <v>56</v>
      </c>
      <c r="I102" s="26">
        <v>43754.659930555601</v>
      </c>
      <c r="J102" s="28" t="s">
        <v>51</v>
      </c>
      <c r="K102" s="28" t="s">
        <v>51</v>
      </c>
      <c r="L102" s="28" t="s">
        <v>51</v>
      </c>
      <c r="M102" s="28" t="s">
        <v>51</v>
      </c>
      <c r="N102" s="28" t="s">
        <v>51</v>
      </c>
    </row>
    <row r="103" spans="1:14" x14ac:dyDescent="0.15">
      <c r="A103" s="23" t="str">
        <f>HYPERLINK("https://www.spark-marketing.ru/Card/Person/51855", "МОУ СОШ №29")</f>
        <v>МОУ СОШ №29</v>
      </c>
      <c r="B103" s="24" t="s">
        <v>332</v>
      </c>
      <c r="C103" s="25">
        <v>447003.5</v>
      </c>
      <c r="D103" s="22" t="s">
        <v>333</v>
      </c>
      <c r="E103" s="22" t="s">
        <v>48</v>
      </c>
      <c r="F103" s="23" t="str">
        <f>HYPERLINK("https://www.spark-marketing.ru/Card/Lot/74373286",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103" s="22" t="s">
        <v>49</v>
      </c>
      <c r="H103" s="22" t="s">
        <v>50</v>
      </c>
      <c r="I103" s="26">
        <v>43754.628634259301</v>
      </c>
      <c r="J103" s="28" t="s">
        <v>51</v>
      </c>
      <c r="K103" s="28" t="s">
        <v>51</v>
      </c>
      <c r="L103" s="28" t="s">
        <v>51</v>
      </c>
      <c r="M103" s="28" t="s">
        <v>51</v>
      </c>
      <c r="N103" s="28" t="s">
        <v>51</v>
      </c>
    </row>
    <row r="104" spans="1:14" x14ac:dyDescent="0.15">
      <c r="A104" s="23" t="str">
        <f>HYPERLINK("https://www.spark-marketing.ru/Card/Person/22753", "ГБУЗ ПК ""ОСИНСКАЯ ЦРБ""")</f>
        <v>ГБУЗ ПК "ОСИНСКАЯ ЦРБ"</v>
      </c>
      <c r="B104" s="24" t="s">
        <v>334</v>
      </c>
      <c r="C104" s="25">
        <v>153255</v>
      </c>
      <c r="D104" s="22" t="s">
        <v>335</v>
      </c>
      <c r="E104" s="22" t="s">
        <v>336</v>
      </c>
      <c r="F104" s="23" t="str">
        <f>HYPERLINK("https://www.spark-marketing.ru/Card/Lot/74376989", "Оказание услуг по обеспечению специальными и молочными продуктами питания детей, прикрепленных к ГБУЗ ПК ""Осинская ЦРБ""")</f>
        <v>Оказание услуг по обеспечению специальными и молочными продуктами питания детей, прикрепленных к ГБУЗ ПК "Осинская ЦРБ"</v>
      </c>
      <c r="G104" s="22" t="s">
        <v>153</v>
      </c>
      <c r="H104" s="22" t="s">
        <v>153</v>
      </c>
      <c r="I104" s="26">
        <v>43754.615451388898</v>
      </c>
      <c r="J104" s="28" t="s">
        <v>51</v>
      </c>
      <c r="K104" s="28" t="s">
        <v>51</v>
      </c>
      <c r="L104" s="28" t="s">
        <v>51</v>
      </c>
      <c r="M104" s="28" t="s">
        <v>51</v>
      </c>
      <c r="N104" s="28" t="s">
        <v>51</v>
      </c>
    </row>
    <row r="105" spans="1:14" x14ac:dyDescent="0.15">
      <c r="A105" s="23" t="str">
        <f>HYPERLINK("https://www.spark-marketing.ru/Card/Person/737290", "ГКУ «ЦБЗ ПРИ МИНЗДРАВЕ КАРЕЛИИ»")</f>
        <v>ГКУ «ЦБЗ ПРИ МИНЗДРАВЕ КАРЕЛИИ»</v>
      </c>
      <c r="B105" s="24" t="s">
        <v>312</v>
      </c>
      <c r="C105" s="25">
        <v>53458.8</v>
      </c>
      <c r="D105" s="22" t="s">
        <v>337</v>
      </c>
      <c r="E105" s="22" t="s">
        <v>52</v>
      </c>
      <c r="F105" s="23" t="str">
        <f>HYPERLINK("https://www.spark-marketing.ru/Card/Lot/74381530", "Поставка лекарственных препаратов разных    фармацевтических групп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медицинск...")</f>
        <v>Поставка лекарственных препаратов разных    фармацевтических групп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медицинск...</v>
      </c>
      <c r="G105" s="22" t="s">
        <v>59</v>
      </c>
      <c r="H105" s="22" t="s">
        <v>314</v>
      </c>
      <c r="I105" s="26">
        <v>43754.609074074098</v>
      </c>
      <c r="J105" s="28" t="s">
        <v>51</v>
      </c>
      <c r="K105" s="28" t="s">
        <v>51</v>
      </c>
      <c r="L105" s="28" t="s">
        <v>51</v>
      </c>
      <c r="M105" s="28" t="s">
        <v>51</v>
      </c>
      <c r="N105" s="28" t="s">
        <v>51</v>
      </c>
    </row>
    <row r="106" spans="1:14" x14ac:dyDescent="0.15">
      <c r="A106" s="23" t="str">
        <f>HYPERLINK("https://www.spark-marketing.ru/Card/Person/4372366", "МУРМАНСКАЯ ОБЛАСТНАЯ ДУМА")</f>
        <v>МУРМАНСКАЯ ОБЛАСТНАЯ ДУМА</v>
      </c>
      <c r="B106" s="24" t="s">
        <v>338</v>
      </c>
      <c r="C106" s="25">
        <v>130000</v>
      </c>
      <c r="D106" s="22" t="s">
        <v>339</v>
      </c>
      <c r="E106" s="22" t="s">
        <v>96</v>
      </c>
      <c r="F106" s="23" t="str">
        <f>HYPERLINK("https://www.spark-marketing.ru/Card/Lot/74376092", "Оказание услуг общественного питания с культурным обслуживанием при проведении торжественного приема, посвященного 25-летию со дня образования Арктической группы пограничных войск России")</f>
        <v>Оказание услуг общественного питания с культурным обслуживанием при проведении торжественного приема, посвященного 25-летию со дня образования Арктической группы пограничных войск России</v>
      </c>
      <c r="G106" s="22" t="s">
        <v>340</v>
      </c>
      <c r="H106" s="22" t="s">
        <v>341</v>
      </c>
      <c r="I106" s="26">
        <v>43754.596157407403</v>
      </c>
      <c r="J106" s="28" t="s">
        <v>51</v>
      </c>
      <c r="K106" s="28" t="s">
        <v>51</v>
      </c>
      <c r="L106" s="28" t="s">
        <v>51</v>
      </c>
      <c r="M106" s="28" t="s">
        <v>51</v>
      </c>
      <c r="N106" s="28" t="s">
        <v>51</v>
      </c>
    </row>
    <row r="107" spans="1:14" x14ac:dyDescent="0.15">
      <c r="A107" s="23" t="str">
        <f>HYPERLINK("https://www.spark-marketing.ru/Card/Person/4372101", "ГБОУРК «КЕРЧЕНСКИЙ УЧЕБНО-ВОСПИТАТЕЛЬНЫЙ КОМПЛЕКС-ИНТЕРНАТ-ЛИЦЕЙ ИСКУССТВ»")</f>
        <v>ГБОУРК «КЕРЧЕНСКИЙ УЧЕБНО-ВОСПИТАТЕЛЬНЫЙ КОМПЛЕКС-ИНТЕРНАТ-ЛИЦЕЙ ИСКУССТВ»</v>
      </c>
      <c r="B107" s="24" t="s">
        <v>342</v>
      </c>
      <c r="C107" s="25">
        <v>27426.240000000002</v>
      </c>
      <c r="D107" s="22" t="s">
        <v>343</v>
      </c>
      <c r="E107" s="22" t="s">
        <v>48</v>
      </c>
      <c r="F107" s="23" t="str">
        <f>HYPERLINK("https://www.spark-marketing.ru/Card/Lot/74371239",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07" s="22" t="s">
        <v>108</v>
      </c>
      <c r="H107" s="22" t="s">
        <v>344</v>
      </c>
      <c r="I107" s="26">
        <v>43754.596284722204</v>
      </c>
      <c r="J107" s="28" t="s">
        <v>51</v>
      </c>
      <c r="K107" s="28" t="s">
        <v>51</v>
      </c>
      <c r="L107" s="28" t="s">
        <v>51</v>
      </c>
      <c r="M107" s="28" t="s">
        <v>51</v>
      </c>
      <c r="N107" s="28" t="s">
        <v>51</v>
      </c>
    </row>
    <row r="108" spans="1:14" x14ac:dyDescent="0.15">
      <c r="A108" s="23" t="str">
        <f>HYPERLINK("https://www.spark-marketing.ru/Card/Person/13859", "УМВД РОССИИ ПО Г. МУРМАНСКУ")</f>
        <v>УМВД РОССИИ ПО Г. МУРМАНСКУ</v>
      </c>
      <c r="B108" s="24" t="s">
        <v>345</v>
      </c>
      <c r="C108" s="25">
        <v>174996.74</v>
      </c>
      <c r="D108" s="22" t="s">
        <v>346</v>
      </c>
      <c r="E108" s="22" t="s">
        <v>48</v>
      </c>
      <c r="F108" s="23" t="str">
        <f>HYPERLINK("https://www.spark-marketing.ru/Card/Lot/74376091", "Оказание услуг по питанию административно задержанных")</f>
        <v>Оказание услуг по питанию административно задержанных</v>
      </c>
      <c r="G108" s="22" t="s">
        <v>340</v>
      </c>
      <c r="H108" s="22" t="s">
        <v>341</v>
      </c>
      <c r="I108" s="26">
        <v>43754.597916666702</v>
      </c>
      <c r="J108" s="28" t="s">
        <v>51</v>
      </c>
      <c r="K108" s="28" t="s">
        <v>51</v>
      </c>
      <c r="L108" s="28" t="s">
        <v>51</v>
      </c>
      <c r="M108" s="28" t="s">
        <v>51</v>
      </c>
      <c r="N108" s="28" t="s">
        <v>51</v>
      </c>
    </row>
    <row r="109" spans="1:14" x14ac:dyDescent="0.15">
      <c r="A109" s="23" t="str">
        <f>HYPERLINK("https://www.spark-marketing.ru/Card/Person/1012873", "ГКУ СО ""КРАСНОАРМЕЙСКИЙ ЦСОН""")</f>
        <v>ГКУ СО "КРАСНОАРМЕЙСКИЙ ЦСОН"</v>
      </c>
      <c r="B109" s="24" t="s">
        <v>347</v>
      </c>
      <c r="C109" s="25">
        <v>837165.75</v>
      </c>
      <c r="D109" s="22" t="s">
        <v>348</v>
      </c>
      <c r="E109" s="22" t="s">
        <v>48</v>
      </c>
      <c r="F109" s="23" t="str">
        <f>HYPERLINK("https://www.spark-marketing.ru/Card/Lot/74385985", "Оказание услуг по обеспечению двухразовым горячим питанием")</f>
        <v>Оказание услуг по обеспечению двухразовым горячим питанием</v>
      </c>
      <c r="G109" s="22" t="s">
        <v>158</v>
      </c>
      <c r="H109" s="22" t="s">
        <v>171</v>
      </c>
      <c r="I109" s="26">
        <v>43754.5534722222</v>
      </c>
      <c r="J109" s="28" t="s">
        <v>51</v>
      </c>
      <c r="K109" s="28" t="s">
        <v>51</v>
      </c>
      <c r="L109" s="28" t="s">
        <v>51</v>
      </c>
      <c r="M109" s="28" t="s">
        <v>51</v>
      </c>
      <c r="N109" s="28" t="s">
        <v>51</v>
      </c>
    </row>
    <row r="110" spans="1:14" x14ac:dyDescent="0.15">
      <c r="A110" s="23" t="str">
        <f>HYPERLINK("https://www.spark-marketing.ru/Card/Person/140088", "МО МВД РОССИИ ""НОВОУЗЕНСКИЙ"" САРАТОВСКОЙ ОБЛАСТИ")</f>
        <v>МО МВД РОССИИ "НОВОУЗЕНСКИЙ" САРАТОВСКОЙ ОБЛАСТИ</v>
      </c>
      <c r="B110" s="24" t="s">
        <v>349</v>
      </c>
      <c r="C110" s="25">
        <v>32200</v>
      </c>
      <c r="D110" s="22" t="s">
        <v>350</v>
      </c>
      <c r="E110" s="22" t="s">
        <v>48</v>
      </c>
      <c r="F110" s="23" t="str">
        <f>HYPERLINK("https://www.spark-marketing.ru/Card/Lot/74372123", "Оказание услуг по организации питания (приготовлению и доставке) для ИВС, 179 усл. ед")</f>
        <v>Оказание услуг по организации питания (приготовлению и доставке) для ИВС, 179 усл. ед</v>
      </c>
      <c r="G110" s="22" t="s">
        <v>351</v>
      </c>
      <c r="H110" s="22" t="s">
        <v>352</v>
      </c>
      <c r="I110" s="26">
        <v>43754.619444444397</v>
      </c>
      <c r="J110" s="28" t="s">
        <v>51</v>
      </c>
      <c r="K110" s="28" t="s">
        <v>51</v>
      </c>
      <c r="L110" s="28" t="s">
        <v>51</v>
      </c>
      <c r="M110" s="28" t="s">
        <v>51</v>
      </c>
      <c r="N110" s="28" t="s">
        <v>51</v>
      </c>
    </row>
    <row r="111" spans="1:14" x14ac:dyDescent="0.15">
      <c r="A111" s="23" t="str">
        <f>HYPERLINK("https://www.spark-marketing.ru/Card/Person/6565", "ГКУ ""ПСЦ""")</f>
        <v>ГКУ "ПСЦ"</v>
      </c>
      <c r="B111" s="24" t="s">
        <v>353</v>
      </c>
      <c r="C111" s="25">
        <v>250000</v>
      </c>
      <c r="D111" s="22" t="s">
        <v>354</v>
      </c>
      <c r="E111" s="22" t="s">
        <v>355</v>
      </c>
      <c r="F111" s="23" t="str">
        <f>HYPERLINK("https://www.spark-marketing.ru/Card/Lot/74380021", "Оказание услуг по техническому обслуживанию и (или) ремонту электропитающих установок для ОДС")</f>
        <v>Оказание услуг по техническому обслуживанию и (или) ремонту электропитающих установок для ОДС</v>
      </c>
      <c r="G111" s="22" t="s">
        <v>56</v>
      </c>
      <c r="H111" s="22" t="s">
        <v>56</v>
      </c>
      <c r="I111" s="26">
        <v>43754.563194444403</v>
      </c>
      <c r="J111" s="28" t="s">
        <v>51</v>
      </c>
      <c r="K111" s="28" t="s">
        <v>51</v>
      </c>
      <c r="L111" s="28" t="s">
        <v>51</v>
      </c>
      <c r="M111" s="28" t="s">
        <v>51</v>
      </c>
      <c r="N111" s="28" t="s">
        <v>51</v>
      </c>
    </row>
    <row r="112" spans="1:14" x14ac:dyDescent="0.15">
      <c r="A112" s="23" t="str">
        <f>HYPERLINK("https://www.spark-marketing.ru/Card/Person/5555", "ГБУЗ РХ ""РДКБ""")</f>
        <v>ГБУЗ РХ "РДКБ"</v>
      </c>
      <c r="B112" s="24" t="s">
        <v>356</v>
      </c>
      <c r="C112" s="25">
        <v>132000</v>
      </c>
      <c r="D112" s="22" t="s">
        <v>357</v>
      </c>
      <c r="E112" s="22" t="s">
        <v>358</v>
      </c>
      <c r="F112" s="23" t="str">
        <f>HYPERLINK("https://www.spark-marketing.ru/Card/Lot/74365597", "Оказание услуг по сопровождению программных продуктов «1С: Бухгалтерия государственного учреждения 8», «1С: Медицина. Федеральные регистры», «1С: Медицина. Больничная Аптека», «1С: Медицина. Диетическое питание»")</f>
        <v>Оказание услуг по сопровождению программных продуктов «1С: Бухгалтерия государственного учреждения 8», «1С: Медицина. Федеральные регистры», «1С: Медицина. Больничная Аптека», «1С: Медицина. Диетическое питание»</v>
      </c>
      <c r="G112" s="22" t="s">
        <v>92</v>
      </c>
      <c r="H112" s="22" t="s">
        <v>93</v>
      </c>
      <c r="I112" s="26">
        <v>43754.390277777798</v>
      </c>
      <c r="J112" s="28" t="s">
        <v>51</v>
      </c>
      <c r="K112" s="28" t="s">
        <v>51</v>
      </c>
      <c r="L112" s="28" t="s">
        <v>51</v>
      </c>
      <c r="M112" s="28" t="s">
        <v>51</v>
      </c>
      <c r="N112" s="28" t="s">
        <v>51</v>
      </c>
    </row>
    <row r="113" spans="1:14" x14ac:dyDescent="0.15">
      <c r="A113" s="23" t="str">
        <f>HYPERLINK("https://www.spark-marketing.ru/Card/Person/737290", "ГКУ «ЦБЗ ПРИ МИНЗДРАВЕ КАРЕЛИИ»")</f>
        <v>ГКУ «ЦБЗ ПРИ МИНЗДРАВЕ КАРЕЛИИ»</v>
      </c>
      <c r="B113" s="24" t="s">
        <v>312</v>
      </c>
      <c r="C113" s="25">
        <v>259427.6</v>
      </c>
      <c r="D113" s="22" t="s">
        <v>359</v>
      </c>
      <c r="E113" s="22" t="s">
        <v>52</v>
      </c>
      <c r="F113" s="23" t="str">
        <f>HYPERLINK("https://www.spark-marketing.ru/Card/Lot/74383958", "Поставка лекарственных препаратов  для лечения психических заболеваний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меди...")</f>
        <v>Поставка лекарственных препаратов  для лечения психических заболеваний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меди...</v>
      </c>
      <c r="G113" s="22" t="s">
        <v>59</v>
      </c>
      <c r="H113" s="22" t="s">
        <v>314</v>
      </c>
      <c r="I113" s="26">
        <v>43754.5756944444</v>
      </c>
      <c r="J113" s="28" t="s">
        <v>51</v>
      </c>
      <c r="K113" s="28" t="s">
        <v>51</v>
      </c>
      <c r="L113" s="28" t="s">
        <v>51</v>
      </c>
      <c r="M113" s="28" t="s">
        <v>51</v>
      </c>
      <c r="N113" s="28" t="s">
        <v>51</v>
      </c>
    </row>
    <row r="114" spans="1:14" x14ac:dyDescent="0.15">
      <c r="A114" s="23" t="str">
        <f>HYPERLINK("https://www.spark-marketing.ru/Card/Person/253407", "ООО ""РН-ЮГАНСКНЕФТЕГАЗ""")</f>
        <v>ООО "РН-ЮГАНСКНЕФТЕГАЗ"</v>
      </c>
      <c r="B114" s="24" t="s">
        <v>360</v>
      </c>
      <c r="C114" s="25">
        <v>38673723.170000002</v>
      </c>
      <c r="D114" s="22" t="s">
        <v>361</v>
      </c>
      <c r="E114" s="22" t="s">
        <v>362</v>
      </c>
      <c r="F114" s="23" t="str">
        <f>HYPERLINK("https://www.spark-marketing.ru/Card/Lot/74372806", "Оказание услуг по организации питания в столовых административных зданий ООО ""РН-Юганскнефтегаз""")</f>
        <v>Оказание услуг по организации питания в столовых административных зданий ООО "РН-Юганскнефтегаз"</v>
      </c>
      <c r="G114" s="22" t="s">
        <v>97</v>
      </c>
      <c r="H114" s="22" t="s">
        <v>363</v>
      </c>
      <c r="I114" s="26">
        <v>43754.543749999997</v>
      </c>
      <c r="J114" s="28" t="s">
        <v>51</v>
      </c>
      <c r="K114" s="28" t="s">
        <v>51</v>
      </c>
      <c r="L114" s="28" t="s">
        <v>51</v>
      </c>
      <c r="M114" s="28" t="s">
        <v>51</v>
      </c>
      <c r="N114" s="28" t="s">
        <v>51</v>
      </c>
    </row>
    <row r="115" spans="1:14" x14ac:dyDescent="0.15">
      <c r="A115" s="23" t="str">
        <f>HYPERLINK("https://www.spark-marketing.ru/Card/Person/31737", "БУ ""НИЖНЕВАРТОВСКАЯ ГОРОДСКАЯ БОЛЬНИЦА""")</f>
        <v>БУ "НИЖНЕВАРТОВСКАЯ ГОРОДСКАЯ БОЛЬНИЦА"</v>
      </c>
      <c r="B115" s="24" t="s">
        <v>364</v>
      </c>
      <c r="C115" s="25">
        <v>9265985.4000000004</v>
      </c>
      <c r="D115" s="22" t="s">
        <v>365</v>
      </c>
      <c r="E115" s="22" t="s">
        <v>48</v>
      </c>
      <c r="F115" s="23" t="str">
        <f>HYPERLINK("https://www.spark-marketing.ru/Card/Lot/74389525", "Оказание услуг по организации горячего питания для пациентов гинекологического отделения БУ ""Нижневартовская городская больница""")</f>
        <v>Оказание услуг по организации горячего питания для пациентов гинекологического отделения БУ "Нижневартовская городская больница"</v>
      </c>
      <c r="G115" s="22" t="s">
        <v>97</v>
      </c>
      <c r="H115" s="22" t="s">
        <v>366</v>
      </c>
      <c r="I115" s="26">
        <v>43754.5128819444</v>
      </c>
      <c r="J115" s="28" t="s">
        <v>51</v>
      </c>
      <c r="K115" s="28" t="s">
        <v>51</v>
      </c>
      <c r="L115" s="28" t="s">
        <v>51</v>
      </c>
      <c r="M115" s="28" t="s">
        <v>51</v>
      </c>
      <c r="N115" s="28" t="s">
        <v>51</v>
      </c>
    </row>
    <row r="116" spans="1:14" x14ac:dyDescent="0.15">
      <c r="A116" s="23" t="str">
        <f>HYPERLINK("https://www.spark-marketing.ru/Card/Person/6086", "ГКУ ""ДИРЕКЦИЯ ОДОТСЗН Г. МОСКВЫ""")</f>
        <v>ГКУ "ДИРЕКЦИЯ ОДОТСЗН Г. МОСКВЫ"</v>
      </c>
      <c r="B116" s="24" t="s">
        <v>164</v>
      </c>
      <c r="C116" s="25">
        <v>8874824.1199999992</v>
      </c>
      <c r="D116" s="22" t="s">
        <v>367</v>
      </c>
      <c r="E116" s="22" t="s">
        <v>96</v>
      </c>
      <c r="F116" s="23" t="str">
        <f>HYPERLINK("https://www.spark-marketing.ru/Card/Lot/74389563", "Организация горячего питания в ГБУ ПНИ № 4 в 2019 году (226-19-4-7)")</f>
        <v>Организация горячего питания в ГБУ ПНИ № 4 в 2019 году (226-19-4-7)</v>
      </c>
      <c r="G116" s="22" t="s">
        <v>56</v>
      </c>
      <c r="H116" s="22" t="s">
        <v>56</v>
      </c>
      <c r="I116" s="26">
        <v>43754.5003587963</v>
      </c>
      <c r="J116" s="28" t="s">
        <v>51</v>
      </c>
      <c r="K116" s="28" t="s">
        <v>51</v>
      </c>
      <c r="L116" s="28" t="s">
        <v>51</v>
      </c>
      <c r="M116" s="28" t="s">
        <v>51</v>
      </c>
      <c r="N116" s="28" t="s">
        <v>51</v>
      </c>
    </row>
    <row r="117" spans="1:14" x14ac:dyDescent="0.15">
      <c r="A117" s="23" t="str">
        <f>HYPERLINK("https://www.spark-marketing.ru/Card/Person/26294", "ГБУЗ МО ""ПГБ №2""")</f>
        <v>ГБУЗ МО "ПГБ №2"</v>
      </c>
      <c r="B117" s="24" t="s">
        <v>368</v>
      </c>
      <c r="C117" s="25">
        <v>2623485.7000000002</v>
      </c>
      <c r="D117" s="22" t="s">
        <v>369</v>
      </c>
      <c r="E117" s="22" t="s">
        <v>48</v>
      </c>
      <c r="F117" s="23" t="str">
        <f>HYPERLINK("https://www.spark-marketing.ru/Card/Lot/74387847",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117" s="22" t="s">
        <v>49</v>
      </c>
      <c r="H117" s="22" t="s">
        <v>50</v>
      </c>
      <c r="I117" s="26">
        <v>43754.529861111099</v>
      </c>
      <c r="J117" s="28" t="s">
        <v>51</v>
      </c>
      <c r="K117" s="28" t="s">
        <v>51</v>
      </c>
      <c r="L117" s="28" t="s">
        <v>51</v>
      </c>
      <c r="M117" s="28" t="s">
        <v>51</v>
      </c>
      <c r="N117" s="28" t="s">
        <v>51</v>
      </c>
    </row>
    <row r="118" spans="1:14" x14ac:dyDescent="0.15">
      <c r="A118" s="23" t="str">
        <f>HYPERLINK("https://www.spark-marketing.ru/Card/Person/1781080", "АО ""ПРОМЫШЛЕННЫЕ ИННОВАЦИИ""")</f>
        <v>АО "ПРОМЫШЛЕННЫЕ ИННОВАЦИИ"</v>
      </c>
      <c r="B118" s="24" t="s">
        <v>370</v>
      </c>
      <c r="C118" s="25">
        <v>60543666.75</v>
      </c>
      <c r="D118" s="22" t="s">
        <v>371</v>
      </c>
      <c r="E118" s="22" t="s">
        <v>52</v>
      </c>
      <c r="F118" s="23" t="str">
        <f>HYPERLINK("https://www.spark-marketing.ru/Card/Lot/74388186", "Право заключения договора на Оказание услуг по организации лечебно-профилактического питания работников заказчика по пластиковым идентификационным картам-пропускам")</f>
        <v>Право заключения договора на Оказание услуг по организации лечебно-профилактического питания работников заказчика по пластиковым идентификационным картам-пропускам</v>
      </c>
      <c r="G118" s="22" t="s">
        <v>56</v>
      </c>
      <c r="H118" s="22" t="s">
        <v>56</v>
      </c>
      <c r="I118" s="26">
        <v>43754.4589583333</v>
      </c>
      <c r="J118" s="28" t="s">
        <v>51</v>
      </c>
      <c r="K118" s="28" t="s">
        <v>51</v>
      </c>
      <c r="L118" s="28" t="s">
        <v>51</v>
      </c>
      <c r="M118" s="28" t="s">
        <v>51</v>
      </c>
      <c r="N118" s="28" t="s">
        <v>51</v>
      </c>
    </row>
    <row r="119" spans="1:14" x14ac:dyDescent="0.15">
      <c r="A119" s="23" t="str">
        <f>HYPERLINK("https://www.spark-marketing.ru/Card/Person/145239", "СПБ ГБУ СШОР ""ШВСМ ПО ВЕЛОСПОРТУ""")</f>
        <v>СПБ ГБУ СШОР "ШВСМ ПО ВЕЛОСПОРТУ"</v>
      </c>
      <c r="B119" s="24" t="s">
        <v>372</v>
      </c>
      <c r="C119" s="25">
        <v>3626780</v>
      </c>
      <c r="D119" s="22" t="s">
        <v>373</v>
      </c>
      <c r="E119" s="22" t="s">
        <v>374</v>
      </c>
      <c r="F119" s="23" t="str">
        <f>HYPERLINK("https://www.spark-marketing.ru/Card/Lot/74388509", "Оказание услуг по обеспечению участия занимающихся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предоставление спортивного сооружения")</f>
        <v>Оказание услуг по обеспечению участия занимающихся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предоставление спортивного сооружения</v>
      </c>
      <c r="G119" s="22" t="s">
        <v>108</v>
      </c>
      <c r="H119" s="22" t="s">
        <v>375</v>
      </c>
      <c r="I119" s="26">
        <v>43754.460416666698</v>
      </c>
      <c r="J119" s="28" t="s">
        <v>51</v>
      </c>
      <c r="K119" s="28" t="s">
        <v>51</v>
      </c>
      <c r="L119" s="28" t="s">
        <v>51</v>
      </c>
      <c r="M119" s="28" t="s">
        <v>51</v>
      </c>
      <c r="N119" s="28" t="s">
        <v>51</v>
      </c>
    </row>
    <row r="120" spans="1:14" x14ac:dyDescent="0.15">
      <c r="A120" s="23" t="str">
        <f>HYPERLINK("https://www.spark-marketing.ru/Card/Person/4349249", "МБОУ СОШ №4")</f>
        <v>МБОУ СОШ №4</v>
      </c>
      <c r="B120" s="24" t="s">
        <v>376</v>
      </c>
      <c r="C120" s="25">
        <v>339768</v>
      </c>
      <c r="D120" s="22" t="s">
        <v>377</v>
      </c>
      <c r="E120" s="22" t="s">
        <v>48</v>
      </c>
      <c r="F120" s="23" t="str">
        <f>HYPERLINK("https://www.spark-marketing.ru/Card/Lot/74367455", "Услуги по организации питания для учащихся")</f>
        <v>Услуги по организации питания для учащихся</v>
      </c>
      <c r="G120" s="22" t="s">
        <v>49</v>
      </c>
      <c r="H120" s="22" t="s">
        <v>378</v>
      </c>
      <c r="I120" s="26">
        <v>43754.472685185203</v>
      </c>
      <c r="J120" s="28" t="s">
        <v>51</v>
      </c>
      <c r="K120" s="28" t="s">
        <v>51</v>
      </c>
      <c r="L120" s="28" t="s">
        <v>51</v>
      </c>
      <c r="M120" s="28" t="s">
        <v>51</v>
      </c>
      <c r="N120" s="28" t="s">
        <v>51</v>
      </c>
    </row>
    <row r="121" spans="1:14" x14ac:dyDescent="0.15">
      <c r="A121" s="23" t="str">
        <f>HYPERLINK("https://www.spark-marketing.ru/Card/Person/10421", "СПБ ГБУ СШОР ""ШВСМ ПО ВВС""")</f>
        <v>СПБ ГБУ СШОР "ШВСМ ПО ВВС"</v>
      </c>
      <c r="B121" s="24" t="s">
        <v>379</v>
      </c>
      <c r="C121" s="25">
        <v>735900</v>
      </c>
      <c r="D121" s="22" t="s">
        <v>380</v>
      </c>
      <c r="E121" s="22" t="s">
        <v>381</v>
      </c>
      <c r="F121" s="23" t="str">
        <f>HYPERLINK("https://www.spark-marketing.ru/Card/Lot/74389010", "Оказание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предоставле...")</f>
        <v>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</v>
      </c>
      <c r="G121" s="22" t="s">
        <v>117</v>
      </c>
      <c r="H121" s="22" t="s">
        <v>117</v>
      </c>
      <c r="I121" s="26">
        <v>43754.499027777798</v>
      </c>
      <c r="J121" s="28" t="s">
        <v>51</v>
      </c>
      <c r="K121" s="28" t="s">
        <v>51</v>
      </c>
      <c r="L121" s="28" t="s">
        <v>51</v>
      </c>
      <c r="M121" s="28" t="s">
        <v>51</v>
      </c>
      <c r="N121" s="28" t="s">
        <v>51</v>
      </c>
    </row>
    <row r="122" spans="1:14" x14ac:dyDescent="0.15">
      <c r="A122" s="23" t="str">
        <f>HYPERLINK("https://www.spark-marketing.ru/Card/Person/114357", "ОМВД РОССИИ ПО УСТЬ-ВЫМСКОМУ РАЙОНУ")</f>
        <v>ОМВД РОССИИ ПО УСТЬ-ВЫМСКОМУ РАЙОНУ</v>
      </c>
      <c r="B122" s="24" t="s">
        <v>382</v>
      </c>
      <c r="C122" s="25">
        <v>250000</v>
      </c>
      <c r="D122" s="22" t="s">
        <v>383</v>
      </c>
      <c r="E122" s="22" t="s">
        <v>48</v>
      </c>
      <c r="F122" s="23" t="str">
        <f>HYPERLINK("https://www.spark-marketing.ru/Card/Lot/74375182", "Оказание услуг по организации трехразового питания (завтрак, обед, ужин) подозреваемых и обвиняемых в совершении преступлений, находящихся в изоляторе временного содержания подозреваемых и обвиняемых ОМВД России по Усть-Вымскому району")</f>
        <v>Оказание услуг по организации трехразового питания (завтрак, обед, ужин) подозреваемых и обвиняемых в совершении преступлений, находящихся в изоляторе временного содержания подозреваемых и обвиняемых ОМВД России по Усть-Вымскому району</v>
      </c>
      <c r="G122" s="22" t="s">
        <v>271</v>
      </c>
      <c r="H122" s="22" t="s">
        <v>271</v>
      </c>
      <c r="I122" s="26">
        <v>43754.476354166698</v>
      </c>
      <c r="J122" s="28" t="s">
        <v>51</v>
      </c>
      <c r="K122" s="28" t="s">
        <v>51</v>
      </c>
      <c r="L122" s="28" t="s">
        <v>51</v>
      </c>
      <c r="M122" s="28" t="s">
        <v>51</v>
      </c>
      <c r="N122" s="28" t="s">
        <v>51</v>
      </c>
    </row>
    <row r="123" spans="1:14" x14ac:dyDescent="0.15">
      <c r="A123" s="23" t="str">
        <f>HYPERLINK("https://www.spark-marketing.ru/Card/Person/31181", "БУ ""НЕФТЕЮГАНСКИЙ КОМПЛЕКСНЫЙ ЦЕНТР СОЦИАЛЬНОГО ОБСЛУЖИВАНИЯ НАСЕЛЕНИЯ""")</f>
        <v>БУ "НЕФТЕЮГАНСКИЙ КОМПЛЕКСНЫЙ ЦЕНТР СОЦИАЛЬНОГО ОБСЛУЖИВАНИЯ НАСЕЛЕНИЯ"</v>
      </c>
      <c r="B123" s="24" t="s">
        <v>384</v>
      </c>
      <c r="C123" s="25">
        <v>1439027.82</v>
      </c>
      <c r="D123" s="22" t="s">
        <v>385</v>
      </c>
      <c r="E123" s="22" t="s">
        <v>96</v>
      </c>
      <c r="F123" s="23" t="str">
        <f>HYPERLINK("https://www.spark-marketing.ru/Card/Lot/74387441", "Оказание услуг по организации и доставке горячего питания для получателей социальных услуг")</f>
        <v>Оказание услуг по организации и доставке горячего питания для получателей социальных услуг</v>
      </c>
      <c r="G123" s="22" t="s">
        <v>97</v>
      </c>
      <c r="H123" s="22" t="s">
        <v>363</v>
      </c>
      <c r="I123" s="26">
        <v>43754.534594907404</v>
      </c>
      <c r="J123" s="28" t="s">
        <v>51</v>
      </c>
      <c r="K123" s="28" t="s">
        <v>51</v>
      </c>
      <c r="L123" s="28" t="s">
        <v>51</v>
      </c>
      <c r="M123" s="28" t="s">
        <v>51</v>
      </c>
      <c r="N123" s="28" t="s">
        <v>51</v>
      </c>
    </row>
    <row r="124" spans="1:14" x14ac:dyDescent="0.15">
      <c r="A124" s="23" t="str">
        <f>HYPERLINK("https://www.spark-marketing.ru/Card/Person/74446", "ГБУЗ КО ""КО ЦМП""")</f>
        <v>ГБУЗ КО "КО ЦМП"</v>
      </c>
      <c r="B124" s="24" t="s">
        <v>386</v>
      </c>
      <c r="C124" s="25">
        <v>213120</v>
      </c>
      <c r="D124" s="22" t="s">
        <v>387</v>
      </c>
      <c r="E124" s="22" t="s">
        <v>388</v>
      </c>
      <c r="F124" s="23" t="str">
        <f>HYPERLINK("https://www.spark-marketing.ru/Card/Lot/74375348", "Оказание услуг по размещению видео материалов по здоровому образу жизни, включая здоровое питание и отказ от вредных привычек на экранах в торговых сетях Калужской области")</f>
        <v>Оказание услуг по размещению видео материалов по здоровому образу жизни, включая здоровое питание и отказ от вредных привычек на экранах в торговых сетях Калужской области</v>
      </c>
      <c r="G124" s="22" t="s">
        <v>112</v>
      </c>
      <c r="H124" s="22" t="s">
        <v>389</v>
      </c>
      <c r="I124" s="26">
        <v>43754.451296296298</v>
      </c>
      <c r="J124" s="28" t="s">
        <v>51</v>
      </c>
      <c r="K124" s="28" t="s">
        <v>51</v>
      </c>
      <c r="L124" s="28" t="s">
        <v>51</v>
      </c>
      <c r="M124" s="28" t="s">
        <v>51</v>
      </c>
      <c r="N124" s="28" t="s">
        <v>51</v>
      </c>
    </row>
    <row r="125" spans="1:14" x14ac:dyDescent="0.15">
      <c r="A125" s="23" t="str">
        <f>HYPERLINK("https://www.spark-marketing.ru/Card/Person/131704", "МБОУ ""ДООШ № 1 (КШ)""")</f>
        <v>МБОУ "ДООШ № 1 (КШ)"</v>
      </c>
      <c r="B125" s="24" t="s">
        <v>390</v>
      </c>
      <c r="C125" s="25">
        <v>1954338.1</v>
      </c>
      <c r="D125" s="22" t="s">
        <v>391</v>
      </c>
      <c r="E125" s="22" t="s">
        <v>96</v>
      </c>
      <c r="F125" s="23" t="str">
        <f>HYPERLINK("https://www.spark-marketing.ru/Card/Lot/74387484", "Услуги по организации питания")</f>
        <v>Услуги по организации питания</v>
      </c>
      <c r="G125" s="22" t="s">
        <v>153</v>
      </c>
      <c r="H125" s="22" t="s">
        <v>153</v>
      </c>
      <c r="I125" s="26">
        <v>43754.34375</v>
      </c>
      <c r="J125" s="28" t="s">
        <v>51</v>
      </c>
      <c r="K125" s="28" t="s">
        <v>51</v>
      </c>
      <c r="L125" s="28" t="s">
        <v>51</v>
      </c>
      <c r="M125" s="28" t="s">
        <v>51</v>
      </c>
      <c r="N125" s="28" t="s">
        <v>51</v>
      </c>
    </row>
    <row r="126" spans="1:14" x14ac:dyDescent="0.15">
      <c r="A126" s="23" t="str">
        <f>HYPERLINK("https://www.spark-marketing.ru/Card/Person/119925", "ГУЗ ""ЧИТИНСКАЯ ЦРБ""")</f>
        <v>ГУЗ "ЧИТИНСКАЯ ЦРБ"</v>
      </c>
      <c r="B126" s="24" t="s">
        <v>392</v>
      </c>
      <c r="C126" s="25">
        <v>480000</v>
      </c>
      <c r="D126" s="22" t="s">
        <v>393</v>
      </c>
      <c r="E126" s="22" t="s">
        <v>48</v>
      </c>
      <c r="F126" s="23" t="str">
        <f>HYPERLINK("https://www.spark-marketing.ru/Card/Lot/74385612", "Оказание услуг по организации лечебно-профилактического питания для пациентов в стационаре Новинской участковой больницы (12109-ЗКвЭФ)")</f>
        <v>Оказание услуг по организации лечебно-профилактического питания для пациентов в стационаре Новинской участковой больницы (12109-ЗКвЭФ)</v>
      </c>
      <c r="G126" s="22" t="s">
        <v>228</v>
      </c>
      <c r="H126" s="22" t="s">
        <v>394</v>
      </c>
      <c r="I126" s="26">
        <v>43754.595833333296</v>
      </c>
      <c r="J126" s="28" t="s">
        <v>51</v>
      </c>
      <c r="K126" s="28" t="s">
        <v>51</v>
      </c>
      <c r="L126" s="28" t="s">
        <v>51</v>
      </c>
      <c r="M126" s="28" t="s">
        <v>51</v>
      </c>
      <c r="N126" s="28" t="s">
        <v>51</v>
      </c>
    </row>
    <row r="127" spans="1:14" x14ac:dyDescent="0.15">
      <c r="A127" s="23" t="str">
        <f>HYPERLINK("https://www.spark-marketing.ru/Card/Person/119925", "ГУЗ ""ЧИТИНСКАЯ ЦРБ""")</f>
        <v>ГУЗ "ЧИТИНСКАЯ ЦРБ"</v>
      </c>
      <c r="B127" s="24" t="s">
        <v>392</v>
      </c>
      <c r="C127" s="25">
        <v>480000</v>
      </c>
      <c r="D127" s="22" t="s">
        <v>395</v>
      </c>
      <c r="E127" s="22" t="s">
        <v>48</v>
      </c>
      <c r="F127" s="23" t="str">
        <f>HYPERLINK("https://www.spark-marketing.ru/Card/Lot/74385613", "Оказание услуг по организации лечебно-профилактического питания для пациентов в стационаре Домнинской участковой больницы (12110-ЗКвЭФ)")</f>
        <v>Оказание услуг по организации лечебно-профилактического питания для пациентов в стационаре Домнинской участковой больницы (12110-ЗКвЭФ)</v>
      </c>
      <c r="G127" s="22" t="s">
        <v>228</v>
      </c>
      <c r="H127" s="22" t="s">
        <v>394</v>
      </c>
      <c r="I127" s="26">
        <v>43754.429166666698</v>
      </c>
      <c r="J127" s="28" t="s">
        <v>51</v>
      </c>
      <c r="K127" s="28" t="s">
        <v>51</v>
      </c>
      <c r="L127" s="28" t="s">
        <v>51</v>
      </c>
      <c r="M127" s="28" t="s">
        <v>51</v>
      </c>
      <c r="N127" s="28" t="s">
        <v>51</v>
      </c>
    </row>
    <row r="128" spans="1:14" x14ac:dyDescent="0.15">
      <c r="A128" s="23" t="str">
        <f>HYPERLINK("https://www.spark-marketing.ru/Card/Person/5898180", "ООО РН СЕРВИС")</f>
        <v>ООО РН СЕРВИС</v>
      </c>
      <c r="B128" s="28" t="s">
        <v>51</v>
      </c>
      <c r="C128" s="28" t="s">
        <v>51</v>
      </c>
      <c r="D128" s="22" t="s">
        <v>396</v>
      </c>
      <c r="E128" s="22" t="s">
        <v>397</v>
      </c>
      <c r="F128" s="23" t="str">
        <f>HYPERLINK("https://www.spark-marketing.ru/Card/Lot/74364676", "Оказание услуг по организации горячего питания и проживания в общежитиях, расположенных на нефтяных месторождениях им. Р.Требса и А. Титова Ненецкого автономного округа Архангельской области, инженерно-технических работников филиала ООО «РН-Сервис» в...")</f>
        <v>Оказание услуг по организации горячего питания и проживания в общежитиях, расположенных на нефтяных месторождениях им. Р.Требса и А. Титова Ненецкого автономного округа Архангельской области, инженерно-технических работников филиала ООО «РН-Сервис» в...</v>
      </c>
      <c r="G128" s="22" t="s">
        <v>51</v>
      </c>
      <c r="H128" s="22" t="s">
        <v>51</v>
      </c>
      <c r="I128" s="26">
        <v>43754.421527777798</v>
      </c>
      <c r="J128" s="28" t="s">
        <v>51</v>
      </c>
      <c r="K128" s="28" t="s">
        <v>51</v>
      </c>
      <c r="L128" s="28" t="s">
        <v>51</v>
      </c>
      <c r="M128" s="28" t="s">
        <v>51</v>
      </c>
      <c r="N128" s="28" t="s">
        <v>51</v>
      </c>
    </row>
    <row r="129" spans="1:14" x14ac:dyDescent="0.15">
      <c r="A129" s="23" t="str">
        <f>HYPERLINK("https://www.spark-marketing.ru/Card/Person/17483", "ЦГКБ")</f>
        <v>ЦГКБ</v>
      </c>
      <c r="B129" s="24" t="s">
        <v>398</v>
      </c>
      <c r="C129" s="25">
        <v>4898000</v>
      </c>
      <c r="D129" s="22" t="s">
        <v>399</v>
      </c>
      <c r="E129" s="22" t="s">
        <v>48</v>
      </c>
      <c r="F129" s="23" t="str">
        <f>HYPERLINK("https://www.spark-marketing.ru/Card/Lot/74389421", "Оказание услуг по организации питания пациентов для нужд Государственного бюджетного учреждения здравоохранения Калининградской области «Центральная городская клиническая больница»")</f>
        <v>Оказание услуг по организации питания пациентов для нужд Государственного бюджетного учреждения здравоохранения Калининградской области «Центральная городская клиническая больница»</v>
      </c>
      <c r="G129" s="22" t="s">
        <v>400</v>
      </c>
      <c r="H129" s="22" t="s">
        <v>401</v>
      </c>
      <c r="I129" s="26">
        <v>43754.408460648097</v>
      </c>
      <c r="J129" s="28" t="s">
        <v>51</v>
      </c>
      <c r="K129" s="28" t="s">
        <v>51</v>
      </c>
      <c r="L129" s="28" t="s">
        <v>51</v>
      </c>
      <c r="M129" s="28" t="s">
        <v>51</v>
      </c>
      <c r="N129" s="28" t="s">
        <v>51</v>
      </c>
    </row>
    <row r="130" spans="1:14" x14ac:dyDescent="0.15">
      <c r="A130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130" s="24" t="s">
        <v>402</v>
      </c>
      <c r="C130" s="25">
        <v>18924</v>
      </c>
      <c r="D130" s="22" t="s">
        <v>403</v>
      </c>
      <c r="E130" s="22" t="s">
        <v>48</v>
      </c>
      <c r="F130" s="23" t="str">
        <f>HYPERLINK("https://www.spark-marketing.ru/Card/Lot/74370300", "Оказание услуг по питанию граждан, содержащихся в ИВС, спецприемниках и камерах при дежурных частях")</f>
        <v>Оказание услуг по питанию граждан, содержащихся в ИВС, спецприемниках и камерах при дежурных частях</v>
      </c>
      <c r="G130" s="22" t="s">
        <v>49</v>
      </c>
      <c r="H130" s="22" t="s">
        <v>404</v>
      </c>
      <c r="I130" s="26">
        <v>43754.393750000003</v>
      </c>
      <c r="J130" s="28" t="s">
        <v>51</v>
      </c>
      <c r="K130" s="28" t="s">
        <v>51</v>
      </c>
      <c r="L130" s="28" t="s">
        <v>51</v>
      </c>
      <c r="M130" s="28" t="s">
        <v>51</v>
      </c>
      <c r="N130" s="28" t="s">
        <v>51</v>
      </c>
    </row>
    <row r="131" spans="1:14" x14ac:dyDescent="0.15">
      <c r="A131" s="23" t="str">
        <f>HYPERLINK("https://www.spark-marketing.ru/Card/Person/2703", "ОТДЕЛ МВД РОССИИ ПО КАНТЕМИРОВСКОМУ РАЙОНУ")</f>
        <v>ОТДЕЛ МВД РОССИИ ПО КАНТЕМИРОВСКОМУ РАЙОНУ</v>
      </c>
      <c r="B131" s="24" t="s">
        <v>405</v>
      </c>
      <c r="C131" s="25">
        <v>150000</v>
      </c>
      <c r="D131" s="22" t="s">
        <v>406</v>
      </c>
      <c r="E131" s="22" t="s">
        <v>48</v>
      </c>
      <c r="F131" s="23" t="str">
        <f>HYPERLINK("https://www.spark-marketing.ru/Card/Lot/74363030",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31" s="22" t="s">
        <v>82</v>
      </c>
      <c r="H131" s="22" t="s">
        <v>407</v>
      </c>
      <c r="I131" s="26">
        <v>43754.385752314804</v>
      </c>
      <c r="J131" s="28" t="s">
        <v>51</v>
      </c>
      <c r="K131" s="28" t="s">
        <v>51</v>
      </c>
      <c r="L131" s="28" t="s">
        <v>51</v>
      </c>
      <c r="M131" s="28" t="s">
        <v>51</v>
      </c>
      <c r="N131" s="28" t="s">
        <v>51</v>
      </c>
    </row>
    <row r="132" spans="1:14" x14ac:dyDescent="0.15">
      <c r="A132" s="23" t="str">
        <f>HYPERLINK("https://www.spark-marketing.ru/Card/Person/1018670", "ГБПОУ ВО ""ААПТ""")</f>
        <v>ГБПОУ ВО "ААПТ"</v>
      </c>
      <c r="B132" s="24" t="s">
        <v>408</v>
      </c>
      <c r="C132" s="25">
        <v>452466.67</v>
      </c>
      <c r="D132" s="22" t="s">
        <v>409</v>
      </c>
      <c r="E132" s="22" t="s">
        <v>48</v>
      </c>
      <c r="F132" s="23" t="str">
        <f>HYPERLINK("https://www.spark-marketing.ru/Card/Lot/74366827", "Услуги по организации горячего питания для обучающихся детей")</f>
        <v>Услуги по организации горячего питания для обучающихся детей</v>
      </c>
      <c r="G132" s="22" t="s">
        <v>82</v>
      </c>
      <c r="H132" s="22" t="s">
        <v>410</v>
      </c>
      <c r="I132" s="26">
        <v>43754.389733796299</v>
      </c>
      <c r="J132" s="28" t="s">
        <v>51</v>
      </c>
      <c r="K132" s="28" t="s">
        <v>51</v>
      </c>
      <c r="L132" s="28" t="s">
        <v>51</v>
      </c>
      <c r="M132" s="28" t="s">
        <v>51</v>
      </c>
      <c r="N132" s="28" t="s">
        <v>51</v>
      </c>
    </row>
    <row r="133" spans="1:14" x14ac:dyDescent="0.15">
      <c r="A133" s="23" t="str">
        <f>HYPERLINK("https://www.spark-marketing.ru/Card/Person/47894", "МОУ СОШ №13")</f>
        <v>МОУ СОШ №13</v>
      </c>
      <c r="B133" s="24" t="s">
        <v>411</v>
      </c>
      <c r="C133" s="25">
        <v>581495</v>
      </c>
      <c r="D133" s="22" t="s">
        <v>412</v>
      </c>
      <c r="E133" s="22" t="s">
        <v>48</v>
      </c>
      <c r="F133" s="23" t="str">
        <f>HYPERLINK("https://www.spark-marketing.ru/Card/Lot/74364286",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133" s="22" t="s">
        <v>49</v>
      </c>
      <c r="H133" s="22" t="s">
        <v>50</v>
      </c>
      <c r="I133" s="26">
        <v>43754.3987037037</v>
      </c>
      <c r="J133" s="28" t="s">
        <v>51</v>
      </c>
      <c r="K133" s="28" t="s">
        <v>51</v>
      </c>
      <c r="L133" s="28" t="s">
        <v>51</v>
      </c>
      <c r="M133" s="28" t="s">
        <v>51</v>
      </c>
      <c r="N133" s="28" t="s">
        <v>51</v>
      </c>
    </row>
    <row r="134" spans="1:14" x14ac:dyDescent="0.15">
      <c r="A134" s="23" t="str">
        <f>HYPERLINK("https://www.spark-marketing.ru/Card/Person/358649", "МО МВД РОССИИ ""ОПОЧЕЦКИЙ""")</f>
        <v>МО МВД РОССИИ "ОПОЧЕЦКИЙ"</v>
      </c>
      <c r="B134" s="24" t="s">
        <v>413</v>
      </c>
      <c r="C134" s="25">
        <v>70000</v>
      </c>
      <c r="D134" s="22" t="s">
        <v>414</v>
      </c>
      <c r="E134" s="22" t="s">
        <v>48</v>
      </c>
      <c r="F134" s="23" t="str">
        <f>HYPERLINK("https://www.spark-marketing.ru/Card/Lot/74371809", "Оказание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 в КСЗ более трех часов")</f>
        <v>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 в КСЗ более трех часов</v>
      </c>
      <c r="G134" s="22" t="s">
        <v>415</v>
      </c>
      <c r="H134" s="22" t="s">
        <v>415</v>
      </c>
      <c r="I134" s="26">
        <v>43754.409722222197</v>
      </c>
      <c r="J134" s="28" t="s">
        <v>51</v>
      </c>
      <c r="K134" s="28" t="s">
        <v>51</v>
      </c>
      <c r="L134" s="28" t="s">
        <v>51</v>
      </c>
      <c r="M134" s="28" t="s">
        <v>51</v>
      </c>
      <c r="N134" s="28" t="s">
        <v>51</v>
      </c>
    </row>
    <row r="135" spans="1:14" x14ac:dyDescent="0.15">
      <c r="A135" s="23" t="str">
        <f>HYPERLINK("https://www.spark-marketing.ru/Card/Person/24417", "ГБУЗ СО ""ОТРАДНЕНСКАЯ ГОРОДСКАЯ БОЛЬНИЦА""")</f>
        <v>ГБУЗ СО "ОТРАДНЕНСКАЯ ГОРОДСКАЯ БОЛЬНИЦА"</v>
      </c>
      <c r="B135" s="24" t="s">
        <v>416</v>
      </c>
      <c r="C135" s="25">
        <v>9235134</v>
      </c>
      <c r="D135" s="22" t="s">
        <v>417</v>
      </c>
      <c r="E135" s="22" t="s">
        <v>48</v>
      </c>
      <c r="F135" s="23" t="str">
        <f>HYPERLINK("https://www.spark-marketing.ru/Card/Lot/74366502",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""Отрадненская городская больница""")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"Отрадненская городская больница"</v>
      </c>
      <c r="G135" s="22" t="s">
        <v>128</v>
      </c>
      <c r="H135" s="22" t="s">
        <v>418</v>
      </c>
      <c r="I135" s="26">
        <v>43754.3125</v>
      </c>
      <c r="J135" s="28" t="s">
        <v>51</v>
      </c>
      <c r="K135" s="28" t="s">
        <v>51</v>
      </c>
      <c r="L135" s="28" t="s">
        <v>51</v>
      </c>
      <c r="M135" s="28" t="s">
        <v>51</v>
      </c>
      <c r="N135" s="28" t="s">
        <v>51</v>
      </c>
    </row>
    <row r="136" spans="1:14" x14ac:dyDescent="0.15">
      <c r="A136" s="23" t="str">
        <f>HYPERLINK("https://www.spark-marketing.ru/Card/Person/6669", "ГБУЗ СОДКБ ИМ. Н.Н.ИВАНОВОЙ")</f>
        <v>ГБУЗ СОДКБ ИМ. Н.Н.ИВАНОВОЙ</v>
      </c>
      <c r="B136" s="24" t="s">
        <v>419</v>
      </c>
      <c r="C136" s="25">
        <v>23023127.25</v>
      </c>
      <c r="D136" s="22" t="s">
        <v>420</v>
      </c>
      <c r="E136" s="22" t="s">
        <v>48</v>
      </c>
      <c r="F136" s="23" t="str">
        <f>HYPERLINK("https://www.spark-marketing.ru/Card/Lot/74366500", "Оказание услуг по организации диетического лечебного питания для нужд ГБУЗ СОДКБ им. Н.Н.Ивановой")</f>
        <v>Оказание услуг по организации диетического лечебного питания для нужд ГБУЗ СОДКБ им. Н.Н.Ивановой</v>
      </c>
      <c r="G136" s="22" t="s">
        <v>128</v>
      </c>
      <c r="H136" s="22" t="s">
        <v>129</v>
      </c>
      <c r="I136" s="26">
        <v>43754.356331018498</v>
      </c>
      <c r="J136" s="28" t="s">
        <v>51</v>
      </c>
      <c r="K136" s="28" t="s">
        <v>51</v>
      </c>
      <c r="L136" s="28" t="s">
        <v>51</v>
      </c>
      <c r="M136" s="28" t="s">
        <v>51</v>
      </c>
      <c r="N136" s="28" t="s">
        <v>51</v>
      </c>
    </row>
    <row r="137" spans="1:14" x14ac:dyDescent="0.15">
      <c r="A137" s="23" t="str">
        <f>HYPERLINK("https://www.spark-marketing.ru/Card/Person/170788", "ОТДЕЛЕНИЕ МВД РОССИИ ПО МОТЫГИНСКОМУ РАЙОНУ")</f>
        <v>ОТДЕЛЕНИЕ МВД РОССИИ ПО МОТЫГИНСКОМУ РАЙОНУ</v>
      </c>
      <c r="B137" s="24" t="s">
        <v>421</v>
      </c>
      <c r="C137" s="25">
        <v>350</v>
      </c>
      <c r="D137" s="22" t="s">
        <v>422</v>
      </c>
      <c r="E137" s="22" t="s">
        <v>48</v>
      </c>
      <c r="F137" s="23" t="str">
        <f>HYPERLINK("https://www.spark-marketing.ru/Card/Lot/74361452", "Услуга организации трехразового питания в г.Орел и Орловской области, 411 усл. ед")</f>
        <v>Услуга организации трехразового питания в г.Орел и Орловской области, 411 усл. ед</v>
      </c>
      <c r="G137" s="22" t="s">
        <v>281</v>
      </c>
      <c r="H137" s="22" t="s">
        <v>423</v>
      </c>
      <c r="I137" s="26">
        <v>43754.281365740702</v>
      </c>
      <c r="J137" s="28" t="s">
        <v>51</v>
      </c>
      <c r="K137" s="28" t="s">
        <v>51</v>
      </c>
      <c r="L137" s="28" t="s">
        <v>51</v>
      </c>
      <c r="M137" s="28" t="s">
        <v>51</v>
      </c>
      <c r="N137" s="28" t="s">
        <v>51</v>
      </c>
    </row>
    <row r="138" spans="1:14" x14ac:dyDescent="0.15">
      <c r="A138" s="23" t="str">
        <f>HYPERLINK("https://www.spark-marketing.ru/Card/Person/1025673", "МБОУ СОШ №1 Г.О. ПУЩИНО")</f>
        <v>МБОУ СОШ №1 Г.О. ПУЩИНО</v>
      </c>
      <c r="B138" s="24" t="s">
        <v>424</v>
      </c>
      <c r="C138" s="25">
        <v>61200</v>
      </c>
      <c r="D138" s="22" t="s">
        <v>425</v>
      </c>
      <c r="E138" s="22" t="s">
        <v>48</v>
      </c>
      <c r="F138" s="23" t="str">
        <f>HYPERLINK("https://www.spark-marketing.ru/Card/Lot/74360089", "оказание услуг по организации горячего питания в лагере ""Хочу все знать"" на базе МБОУ СОШ №1 г.о. Пущино Московской области")</f>
        <v>оказание услуг по организации горячего питания в лагере "Хочу все знать" на базе МБОУ СОШ №1 г.о. Пущино Московской области</v>
      </c>
      <c r="G138" s="22" t="s">
        <v>49</v>
      </c>
      <c r="H138" s="22" t="s">
        <v>426</v>
      </c>
      <c r="I138" s="26">
        <v>43754.128067129597</v>
      </c>
      <c r="J138" s="28" t="s">
        <v>51</v>
      </c>
      <c r="K138" s="28" t="s">
        <v>51</v>
      </c>
      <c r="L138" s="28" t="s">
        <v>51</v>
      </c>
      <c r="M138" s="28" t="s">
        <v>51</v>
      </c>
      <c r="N138" s="28" t="s">
        <v>51</v>
      </c>
    </row>
    <row r="139" spans="1:14" x14ac:dyDescent="0.15">
      <c r="A139" s="23" t="str">
        <f>HYPERLINK("https://www.spark-marketing.ru/Card/Person/4860083", "ГАПОУ ПО ПКСТПБ")</f>
        <v>ГАПОУ ПО ПКСТПБ</v>
      </c>
      <c r="B139" s="24" t="s">
        <v>427</v>
      </c>
      <c r="C139" s="25">
        <v>545229</v>
      </c>
      <c r="D139" s="22" t="s">
        <v>428</v>
      </c>
      <c r="E139" s="22" t="s">
        <v>362</v>
      </c>
      <c r="F139" s="23" t="str">
        <f>HYPERLINK("https://www.spark-marketing.ru/Card/Lot/74340477", "оказание услуг по организации горячего питания для обучающихся в ГАПОУ ПО ПКСТПБ в ноябре 2019 года")</f>
        <v>оказание услуг по организации горячего питания для обучающихся в ГАПОУ ПО ПКСТПБ в ноябре 2019 года</v>
      </c>
      <c r="G139" s="22" t="s">
        <v>72</v>
      </c>
      <c r="H139" s="22" t="s">
        <v>72</v>
      </c>
      <c r="I139" s="26">
        <v>43753</v>
      </c>
      <c r="J139" s="28" t="s">
        <v>51</v>
      </c>
      <c r="K139" s="28" t="s">
        <v>51</v>
      </c>
      <c r="L139" s="28" t="s">
        <v>51</v>
      </c>
      <c r="M139" s="28" t="s">
        <v>51</v>
      </c>
      <c r="N139" s="28" t="s">
        <v>51</v>
      </c>
    </row>
    <row r="140" spans="1:14" x14ac:dyDescent="0.15">
      <c r="A140" s="23" t="str">
        <f>HYPERLINK("https://www.spark-marketing.ru/Card/Person/999480", "БМАОУ СОШ №32")</f>
        <v>БМАОУ СОШ №32</v>
      </c>
      <c r="B140" s="24" t="s">
        <v>429</v>
      </c>
      <c r="C140" s="25">
        <v>534000</v>
      </c>
      <c r="D140" s="22" t="s">
        <v>430</v>
      </c>
      <c r="E140" s="22" t="s">
        <v>362</v>
      </c>
      <c r="F140" s="23" t="str">
        <f>HYPERLINK("https://www.spark-marketing.ru/Card/Lot/74336550", "Услуги по предоставлению горячего питания обучающимся в школе с ноября по декабрь 2019 года")</f>
        <v>Услуги по предоставлению горячего питания обучающимся в школе с ноября по декабрь 2019 года</v>
      </c>
      <c r="G140" s="22" t="s">
        <v>174</v>
      </c>
      <c r="H140" s="22" t="s">
        <v>174</v>
      </c>
      <c r="I140" s="26">
        <v>43753</v>
      </c>
      <c r="J140" s="28" t="s">
        <v>51</v>
      </c>
      <c r="K140" s="28" t="s">
        <v>51</v>
      </c>
      <c r="L140" s="28" t="s">
        <v>51</v>
      </c>
      <c r="M140" s="28" t="s">
        <v>51</v>
      </c>
      <c r="N140" s="28" t="s">
        <v>51</v>
      </c>
    </row>
    <row r="141" spans="1:14" x14ac:dyDescent="0.15">
      <c r="A141" s="23" t="str">
        <f>HYPERLINK("https://www.spark-marketing.ru/Card/Person/129285", "ГАУЗ ""РПЦ МЗ РБ""")</f>
        <v>ГАУЗ "РПЦ МЗ РБ"</v>
      </c>
      <c r="B141" s="24" t="s">
        <v>431</v>
      </c>
      <c r="C141" s="25">
        <v>2997897.5</v>
      </c>
      <c r="D141" s="22" t="s">
        <v>432</v>
      </c>
      <c r="E141" s="22" t="s">
        <v>362</v>
      </c>
      <c r="F141" s="23" t="str">
        <f>HYPERLINK("https://www.spark-marketing.ru/Card/Lot/74336742", "Оказание услуг по организации горячего лечебного питания пациентов")</f>
        <v>Оказание услуг по организации горячего лечебного питания пациентов</v>
      </c>
      <c r="G141" s="22" t="s">
        <v>433</v>
      </c>
      <c r="H141" s="22" t="s">
        <v>433</v>
      </c>
      <c r="I141" s="26">
        <v>43753</v>
      </c>
      <c r="J141" s="28" t="s">
        <v>51</v>
      </c>
      <c r="K141" s="28" t="s">
        <v>51</v>
      </c>
      <c r="L141" s="28" t="s">
        <v>51</v>
      </c>
      <c r="M141" s="28" t="s">
        <v>51</v>
      </c>
      <c r="N141" s="28" t="s">
        <v>51</v>
      </c>
    </row>
    <row r="142" spans="1:14" x14ac:dyDescent="0.15">
      <c r="A142" s="23" t="str">
        <f>HYPERLINK("https://www.spark-marketing.ru/Card/Person/597", "ГКУ ТЕХОБЕСПЕЧЕНИЕ МЗ РБ")</f>
        <v>ГКУ ТЕХОБЕСПЕЧЕНИЕ МЗ РБ</v>
      </c>
      <c r="B142" s="24" t="s">
        <v>434</v>
      </c>
      <c r="C142" s="25">
        <v>929740.65</v>
      </c>
      <c r="D142" s="22" t="s">
        <v>435</v>
      </c>
      <c r="E142" s="22" t="s">
        <v>336</v>
      </c>
      <c r="F142" s="23" t="str">
        <f>HYPERLINK("https://www.spark-marketing.ru/Card/Lot/74357014", "Поставка специализированного продукта лечебного питания (Ликвиджен плюс или эквивалент) для обеспечения отдельных категорий граждан, имеющих право на получение государственной социальной помощи в виде набора социальных услуг (субвенция ОНЛС) в 2019 г...")</f>
        <v>Поставка специализированного продукта лечебного питания (Ликвиджен плюс или эквивалент) для обеспечения отдельных категорий граждан, имеющих право на получение государственной социальной помощи в виде набора социальных услуг (субвенция ОНЛС) в 2019 г...</v>
      </c>
      <c r="G142" s="22" t="s">
        <v>145</v>
      </c>
      <c r="H142" s="22" t="s">
        <v>436</v>
      </c>
      <c r="I142" s="26">
        <v>43753.772083333301</v>
      </c>
      <c r="J142" s="28" t="s">
        <v>51</v>
      </c>
      <c r="K142" s="28" t="s">
        <v>51</v>
      </c>
      <c r="L142" s="28" t="s">
        <v>51</v>
      </c>
      <c r="M142" s="28" t="s">
        <v>51</v>
      </c>
      <c r="N142" s="28" t="s">
        <v>51</v>
      </c>
    </row>
    <row r="143" spans="1:14" x14ac:dyDescent="0.15">
      <c r="A143" s="23" t="str">
        <f>HYPERLINK("https://www.spark-marketing.ru/Card/Person/6624188", "СЛУЖБА ФИНАНСОВО ХОЗЯЙСТВЕННОГО УПРАВЛЕНИЯ СЕВЕРО КАВКАЗСКОЙ ЖЕЛЕЗНОЙ ДОРОГИ ФЛ ОАО РЖД")</f>
        <v>СЛУЖБА ФИНАНСОВО ХОЗЯЙСТВЕННОГО УПРАВЛЕНИЯ СЕВЕРО КАВКАЗСКОЙ ЖЕЛЕЗНОЙ ДОРОГИ ФЛ ОАО РЖД</v>
      </c>
      <c r="B143" s="24" t="s">
        <v>330</v>
      </c>
      <c r="C143" s="25">
        <v>88349</v>
      </c>
      <c r="D143" s="28" t="s">
        <v>51</v>
      </c>
      <c r="E143" s="22" t="s">
        <v>437</v>
      </c>
      <c r="F143" s="23" t="str">
        <f>HYPERLINK("https://www.spark-marketing.ru/Card/Lot/74353041", "№30013 Оказание услуг по лабораторному контролю качества питьевой воды и проведению лабораторно-инструментальных исследований, санитарно- эпидемиологической экспертизы по установлению соответствия характеристики испытуемого объекта")</f>
        <v>№30013 Оказание услуг по лабораторному контролю качества питьевой воды и проведению лабораторно-инструментальных исследований, санитарно- эпидемиологической экспертизы по установлению соответствия характеристики испытуемого объекта</v>
      </c>
      <c r="G143" s="22" t="s">
        <v>51</v>
      </c>
      <c r="H143" s="22" t="s">
        <v>51</v>
      </c>
      <c r="I143" s="26">
        <v>43753.788067129601</v>
      </c>
      <c r="J143" s="28" t="s">
        <v>51</v>
      </c>
      <c r="K143" s="28" t="s">
        <v>51</v>
      </c>
      <c r="L143" s="28" t="s">
        <v>51</v>
      </c>
      <c r="M143" s="28" t="s">
        <v>51</v>
      </c>
      <c r="N143" s="28" t="s">
        <v>51</v>
      </c>
    </row>
    <row r="144" spans="1:14" collapsed="1" x14ac:dyDescent="0.15">
      <c r="A144" s="23" t="s">
        <v>114</v>
      </c>
      <c r="B144" s="28" t="s">
        <v>51</v>
      </c>
      <c r="C144" s="25">
        <v>2515741.2999999998</v>
      </c>
      <c r="D144" s="22" t="s">
        <v>438</v>
      </c>
      <c r="E144" s="22" t="s">
        <v>96</v>
      </c>
      <c r="F144" s="23" t="str">
        <f>HYPERLINK("https://www.spark-marketing.ru/Card/Lot/74358123", "Право заключения муниципального контракта на оказание услуг по организации питания для ДОУ г. Нижнекамска (СМП и СОНО)")</f>
        <v>Право заключения муниципального контракта на оказание услуг по организации питания для ДОУ г. Нижнекамска (СМП и СОНО)</v>
      </c>
      <c r="G144" s="22" t="s">
        <v>51</v>
      </c>
      <c r="H144" s="22" t="s">
        <v>51</v>
      </c>
      <c r="I144" s="26">
        <v>43753.711111111101</v>
      </c>
      <c r="J144" s="28" t="s">
        <v>51</v>
      </c>
      <c r="K144" s="28" t="s">
        <v>51</v>
      </c>
      <c r="L144" s="28" t="s">
        <v>51</v>
      </c>
      <c r="M144" s="28" t="s">
        <v>51</v>
      </c>
      <c r="N144" s="28" t="s">
        <v>51</v>
      </c>
    </row>
    <row r="145" spans="1:14" hidden="1" outlineLevel="1" x14ac:dyDescent="0.15">
      <c r="A145" s="23" t="str">
        <f>HYPERLINK("https://www.spark-marketing.ru/Card/Person/149336", "МАДОУ ""ДЕТСКИЙ САД КОМБИНИРОВАННОГО ВИДА №17"" НМР РТ")</f>
        <v>МАДОУ "ДЕТСКИЙ САД КОМБИНИРОВАННОГО ВИДА №17" НМР РТ</v>
      </c>
      <c r="B145" s="24" t="s">
        <v>439</v>
      </c>
      <c r="C145" s="25">
        <v>609792</v>
      </c>
      <c r="D145" s="22" t="s">
        <v>438</v>
      </c>
      <c r="E145" s="22" t="s">
        <v>96</v>
      </c>
      <c r="F145" s="23" t="str">
        <f>HYPERLINK("https://www.spark-marketing.ru/Card/Lot/74358123", "Право заключения муниципального контракта на оказание услуг по организации питания для ДОУ г. Нижнекамска (СМП и СОНО)")</f>
        <v>Право заключения муниципального контракта на оказание услуг по организации питания для ДОУ г. Нижнекамска (СМП и СОНО)</v>
      </c>
      <c r="G145" s="22" t="s">
        <v>217</v>
      </c>
      <c r="H145" s="22" t="s">
        <v>218</v>
      </c>
      <c r="I145" s="26">
        <v>43753.711111111101</v>
      </c>
      <c r="J145" s="28" t="s">
        <v>51</v>
      </c>
      <c r="K145" s="28" t="s">
        <v>51</v>
      </c>
      <c r="L145" s="28" t="s">
        <v>51</v>
      </c>
      <c r="M145" s="28" t="s">
        <v>51</v>
      </c>
      <c r="N145" s="28" t="s">
        <v>51</v>
      </c>
    </row>
    <row r="146" spans="1:14" hidden="1" outlineLevel="1" x14ac:dyDescent="0.15">
      <c r="A146" s="23" t="str">
        <f>HYPERLINK("https://www.spark-marketing.ru/Card/Person/152469", "МБДОУ ""ДЕТСКИЙ САД ОБЩЕРАЗВИВАЮЩЕГО ВИДА №76"" НМР РТ")</f>
        <v>МБДОУ "ДЕТСКИЙ САД ОБЩЕРАЗВИВАЮЩЕГО ВИДА №76" НМР РТ</v>
      </c>
      <c r="B146" s="24" t="s">
        <v>440</v>
      </c>
      <c r="C146" s="25">
        <v>81377.34</v>
      </c>
      <c r="D146" s="22" t="s">
        <v>438</v>
      </c>
      <c r="E146" s="22" t="s">
        <v>96</v>
      </c>
      <c r="F146" s="23" t="str">
        <f>HYPERLINK("https://www.spark-marketing.ru/Card/Lot/74358123", "Право заключения муниципального контракта на оказание услуг по организации питания для ДОУ г. Нижнекамска (СМП и СОНО)")</f>
        <v>Право заключения муниципального контракта на оказание услуг по организации питания для ДОУ г. Нижнекамска (СМП и СОНО)</v>
      </c>
      <c r="G146" s="22" t="s">
        <v>217</v>
      </c>
      <c r="H146" s="22" t="s">
        <v>218</v>
      </c>
      <c r="I146" s="26">
        <v>43753.711111111101</v>
      </c>
      <c r="J146" s="28" t="s">
        <v>51</v>
      </c>
      <c r="K146" s="28" t="s">
        <v>51</v>
      </c>
      <c r="L146" s="28" t="s">
        <v>51</v>
      </c>
      <c r="M146" s="28" t="s">
        <v>51</v>
      </c>
      <c r="N146" s="28" t="s">
        <v>51</v>
      </c>
    </row>
    <row r="147" spans="1:14" hidden="1" outlineLevel="1" x14ac:dyDescent="0.15">
      <c r="A147" s="23" t="str">
        <f>HYPERLINK("https://www.spark-marketing.ru/Card/Person/6706879", "МБДОУ ""ЦЕНТР РАЗВИТИЯ РЕБЕНКА - ДЕТСКИЙ САД №96 ""ЕЛМАЮ"" НМР РТ")</f>
        <v>МБДОУ "ЦЕНТР РАЗВИТИЯ РЕБЕНКА - ДЕТСКИЙ САД №96 "ЕЛМАЮ" НМР РТ</v>
      </c>
      <c r="B147" s="24" t="s">
        <v>441</v>
      </c>
      <c r="C147" s="25">
        <v>886891.01</v>
      </c>
      <c r="D147" s="22" t="s">
        <v>438</v>
      </c>
      <c r="E147" s="22" t="s">
        <v>96</v>
      </c>
      <c r="F147" s="23" t="str">
        <f>HYPERLINK("https://www.spark-marketing.ru/Card/Lot/74358123", "Право заключения муниципального контракта на оказание услуг по организации питания для ДОУ г. Нижнекамска (СМП и СОНО)")</f>
        <v>Право заключения муниципального контракта на оказание услуг по организации питания для ДОУ г. Нижнекамска (СМП и СОНО)</v>
      </c>
      <c r="G147" s="22" t="s">
        <v>217</v>
      </c>
      <c r="H147" s="22" t="s">
        <v>218</v>
      </c>
      <c r="I147" s="26">
        <v>43753.711111111101</v>
      </c>
      <c r="J147" s="28" t="s">
        <v>51</v>
      </c>
      <c r="K147" s="28" t="s">
        <v>51</v>
      </c>
      <c r="L147" s="28" t="s">
        <v>51</v>
      </c>
      <c r="M147" s="28" t="s">
        <v>51</v>
      </c>
      <c r="N147" s="28" t="s">
        <v>51</v>
      </c>
    </row>
    <row r="148" spans="1:14" hidden="1" outlineLevel="1" x14ac:dyDescent="0.15">
      <c r="A148" s="23" t="str">
        <f>HYPERLINK("https://www.spark-marketing.ru/Card/Person/6706881", "МБДОУ ""ЦЕНТР РАЗВИТИЯ РЕБЕНКА - ДЕТСКИЙ САД №97 ""КУЧТЭНЭЧ"" НМР РТ")</f>
        <v>МБДОУ "ЦЕНТР РАЗВИТИЯ РЕБЕНКА - ДЕТСКИЙ САД №97 "КУЧТЭНЭЧ" НМР РТ</v>
      </c>
      <c r="B148" s="24" t="s">
        <v>442</v>
      </c>
      <c r="C148" s="25">
        <v>937680.95</v>
      </c>
      <c r="D148" s="22" t="s">
        <v>438</v>
      </c>
      <c r="E148" s="22" t="s">
        <v>96</v>
      </c>
      <c r="F148" s="23" t="str">
        <f>HYPERLINK("https://www.spark-marketing.ru/Card/Lot/74358123", "Право заключения муниципального контракта на оказание услуг по организации питания для ДОУ г. Нижнекамска (СМП и СОНО)")</f>
        <v>Право заключения муниципального контракта на оказание услуг по организации питания для ДОУ г. Нижнекамска (СМП и СОНО)</v>
      </c>
      <c r="G148" s="22" t="s">
        <v>217</v>
      </c>
      <c r="H148" s="22" t="s">
        <v>218</v>
      </c>
      <c r="I148" s="26">
        <v>43753.711111111101</v>
      </c>
      <c r="J148" s="28" t="s">
        <v>51</v>
      </c>
      <c r="K148" s="28" t="s">
        <v>51</v>
      </c>
      <c r="L148" s="28" t="s">
        <v>51</v>
      </c>
      <c r="M148" s="28" t="s">
        <v>51</v>
      </c>
      <c r="N148" s="28" t="s">
        <v>51</v>
      </c>
    </row>
    <row r="149" spans="1:14" x14ac:dyDescent="0.15">
      <c r="A149" s="23" t="str">
        <f>HYPERLINK("https://www.spark-marketing.ru/Card/Person/123595", "ГЛАВНОЕ УПРАВЛЕНИЕ АДМИНИСТРАЦИИ ГОРОДА ТУЛЫ ПО ПРИВОКЗАЛЬНОМУ ТЕРРИТОРИАЛЬНОМУ ОКРУГУ")</f>
        <v>ГЛАВНОЕ УПРАВЛЕНИЕ АДМИНИСТРАЦИИ ГОРОДА ТУЛЫ ПО ПРИВОКЗАЛЬНОМУ ТЕРРИТОРИАЛЬНОМУ ОКРУГУ</v>
      </c>
      <c r="B149" s="24" t="s">
        <v>443</v>
      </c>
      <c r="C149" s="25">
        <v>31000</v>
      </c>
      <c r="D149" s="22" t="s">
        <v>444</v>
      </c>
      <c r="E149" s="22" t="s">
        <v>445</v>
      </c>
      <c r="F149" s="23" t="str">
        <f>HYPERLINK("https://www.spark-marketing.ru/Card/Lot/74352482", "Оказание услуг по обеспечению питания в ходе торжественного приема")</f>
        <v>Оказание услуг по обеспечению питания в ходе торжественного приема</v>
      </c>
      <c r="G149" s="22" t="s">
        <v>68</v>
      </c>
      <c r="H149" s="22" t="s">
        <v>69</v>
      </c>
      <c r="I149" s="26">
        <v>43753.714583333298</v>
      </c>
      <c r="J149" s="28" t="s">
        <v>51</v>
      </c>
      <c r="K149" s="28" t="s">
        <v>51</v>
      </c>
      <c r="L149" s="28" t="s">
        <v>51</v>
      </c>
      <c r="M149" s="28" t="s">
        <v>51</v>
      </c>
      <c r="N149" s="28" t="s">
        <v>51</v>
      </c>
    </row>
    <row r="150" spans="1:14" x14ac:dyDescent="0.15">
      <c r="A150" s="23" t="str">
        <f>HYPERLINK("https://www.spark-marketing.ru/Card/Person/264311", "МО МВД РОССИИ ""ЗАЛАРИНСКИЙ""")</f>
        <v>МО МВД РОССИИ "ЗАЛАРИНСКИЙ"</v>
      </c>
      <c r="B150" s="24" t="s">
        <v>446</v>
      </c>
      <c r="C150" s="25">
        <v>143545.76999999999</v>
      </c>
      <c r="D150" s="22" t="s">
        <v>447</v>
      </c>
      <c r="E150" s="22" t="s">
        <v>96</v>
      </c>
      <c r="F150" s="23" t="str">
        <f>HYPERLINK("https://www.spark-marketing.ru/Card/Lot/74350838", "Оказание услуг по обеспечению ежедневным трехразовым горячим питанием подозреваемых и обвиняемых в совершении преступлений и лиц, задержанных за административные правонарушения, содержащихся в изоляторе временного содержания МО МВД России «Заларински...")</f>
        <v>Оказание услуг по обеспечению ежедневным трехразовым горячим питанием подозреваемых и обвиняемых в совершении преступлений и лиц, задержанных за административные правонарушения, содержащихся в изоляторе временного содержания МО МВД России «Заларински...</v>
      </c>
      <c r="G150" s="22" t="s">
        <v>263</v>
      </c>
      <c r="H150" s="22" t="s">
        <v>448</v>
      </c>
      <c r="I150" s="26">
        <v>43753.540972222203</v>
      </c>
      <c r="J150" s="28" t="s">
        <v>51</v>
      </c>
      <c r="K150" s="28" t="s">
        <v>51</v>
      </c>
      <c r="L150" s="28" t="s">
        <v>51</v>
      </c>
      <c r="M150" s="28" t="s">
        <v>51</v>
      </c>
      <c r="N150" s="28" t="s">
        <v>51</v>
      </c>
    </row>
    <row r="151" spans="1:14" x14ac:dyDescent="0.15">
      <c r="A151" s="23" t="str">
        <f>HYPERLINK("https://www.spark-marketing.ru/Card/Person/875357", "МБОУ СОШ №1 ИМ.Н.М.САМБУРОВА")</f>
        <v>МБОУ СОШ №1 ИМ.Н.М.САМБУРОВА</v>
      </c>
      <c r="B151" s="24" t="s">
        <v>449</v>
      </c>
      <c r="C151" s="25">
        <v>974610</v>
      </c>
      <c r="D151" s="22" t="s">
        <v>450</v>
      </c>
      <c r="E151" s="22" t="s">
        <v>48</v>
      </c>
      <c r="F151" s="23" t="str">
        <f>HYPERLINK("https://www.spark-marketing.ru/Card/Lot/74357369", "Оказание услуг общественного питания путем доставки готовых порций в помещение столовой")</f>
        <v>Оказание услуг общественного питания путем доставки готовых порций в помещение столовой</v>
      </c>
      <c r="G151" s="22" t="s">
        <v>104</v>
      </c>
      <c r="H151" s="22" t="s">
        <v>451</v>
      </c>
      <c r="I151" s="26">
        <v>43753.739861111098</v>
      </c>
      <c r="J151" s="28" t="s">
        <v>51</v>
      </c>
      <c r="K151" s="28" t="s">
        <v>51</v>
      </c>
      <c r="L151" s="28" t="s">
        <v>51</v>
      </c>
      <c r="M151" s="28" t="s">
        <v>51</v>
      </c>
      <c r="N151" s="28" t="s">
        <v>51</v>
      </c>
    </row>
    <row r="152" spans="1:14" x14ac:dyDescent="0.15">
      <c r="A152" s="23" t="str">
        <f>HYPERLINK("https://www.spark-marketing.ru/Card/Person/6086", "ГКУ ""ДИРЕКЦИЯ ОДОТСЗН Г. МОСКВЫ""")</f>
        <v>ГКУ "ДИРЕКЦИЯ ОДОТСЗН Г. МОСКВЫ"</v>
      </c>
      <c r="B152" s="24" t="s">
        <v>164</v>
      </c>
      <c r="C152" s="25">
        <v>8534268</v>
      </c>
      <c r="D152" s="22" t="s">
        <v>452</v>
      </c>
      <c r="E152" s="22" t="s">
        <v>86</v>
      </c>
      <c r="F152" s="23" t="str">
        <f>HYPERLINK("https://www.spark-marketing.ru/Card/Lot/74359455", "Оказание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артропатии, артрозов, других поражений суставов, болезней органов...")</f>
        <v>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артропатии, артрозов, других поражений суставов, болезней органов...</v>
      </c>
      <c r="G152" s="22" t="s">
        <v>56</v>
      </c>
      <c r="H152" s="22" t="s">
        <v>56</v>
      </c>
      <c r="I152" s="26">
        <v>43753.675335648099</v>
      </c>
      <c r="J152" s="28" t="s">
        <v>51</v>
      </c>
      <c r="K152" s="28" t="s">
        <v>51</v>
      </c>
      <c r="L152" s="28" t="s">
        <v>51</v>
      </c>
      <c r="M152" s="28" t="s">
        <v>51</v>
      </c>
      <c r="N152" s="28" t="s">
        <v>51</v>
      </c>
    </row>
    <row r="153" spans="1:14" x14ac:dyDescent="0.15">
      <c r="A153" s="23" t="str">
        <f>HYPERLINK("https://www.spark-marketing.ru/Card/Person/49656", "МОУ СОШ № 22")</f>
        <v>МОУ СОШ № 22</v>
      </c>
      <c r="B153" s="24" t="s">
        <v>453</v>
      </c>
      <c r="C153" s="25">
        <v>598268</v>
      </c>
      <c r="D153" s="22" t="s">
        <v>454</v>
      </c>
      <c r="E153" s="22" t="s">
        <v>48</v>
      </c>
      <c r="F153" s="23" t="str">
        <f>HYPERLINK("https://www.spark-marketing.ru/Card/Lot/74349994",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153" s="22" t="s">
        <v>49</v>
      </c>
      <c r="H153" s="22" t="s">
        <v>50</v>
      </c>
      <c r="I153" s="26">
        <v>43753.690810185202</v>
      </c>
      <c r="J153" s="28" t="s">
        <v>51</v>
      </c>
      <c r="K153" s="28" t="s">
        <v>51</v>
      </c>
      <c r="L153" s="28" t="s">
        <v>51</v>
      </c>
      <c r="M153" s="28" t="s">
        <v>51</v>
      </c>
      <c r="N153" s="28" t="s">
        <v>51</v>
      </c>
    </row>
    <row r="154" spans="1:14" x14ac:dyDescent="0.15">
      <c r="A154" s="23" t="str">
        <f>HYPERLINK("https://www.spark-marketing.ru/Card/Person/232082", "ГБУЗ РК ""ИЖЕМСКАЯ ЦРБ""")</f>
        <v>ГБУЗ РК "ИЖЕМСКАЯ ЦРБ"</v>
      </c>
      <c r="B154" s="24" t="s">
        <v>455</v>
      </c>
      <c r="C154" s="25">
        <v>108537.92</v>
      </c>
      <c r="D154" s="22" t="s">
        <v>456</v>
      </c>
      <c r="E154" s="22" t="s">
        <v>437</v>
      </c>
      <c r="F154" s="23" t="str">
        <f>HYPERLINK("https://www.spark-marketing.ru/Card/Lot/74352763", "Оказание услуг по проведению микробиологических исследований по программе производственного контроля")</f>
        <v>Оказание услуг по проведению микробиологических исследований по программе производственного контроля</v>
      </c>
      <c r="G154" s="22" t="s">
        <v>271</v>
      </c>
      <c r="H154" s="22" t="s">
        <v>457</v>
      </c>
      <c r="I154" s="26">
        <v>43753.676388888904</v>
      </c>
      <c r="J154" s="28" t="s">
        <v>51</v>
      </c>
      <c r="K154" s="28" t="s">
        <v>51</v>
      </c>
      <c r="L154" s="28" t="s">
        <v>51</v>
      </c>
      <c r="M154" s="28" t="s">
        <v>51</v>
      </c>
      <c r="N154" s="28" t="s">
        <v>51</v>
      </c>
    </row>
    <row r="155" spans="1:14" x14ac:dyDescent="0.15">
      <c r="A155" s="23" t="str">
        <f>HYPERLINK("https://www.spark-marketing.ru/Card/Person/4345935", "ДЕПАРТАМЕНТ СМОЛЕНСКОЙ ОБЛАСТИ ПО ЗДРАВООХРАНЕНИЮ")</f>
        <v>ДЕПАРТАМЕНТ СМОЛЕНСКОЙ ОБЛАСТИ ПО ЗДРАВООХРАНЕНИЮ</v>
      </c>
      <c r="B155" s="24" t="s">
        <v>458</v>
      </c>
      <c r="C155" s="25">
        <v>85170</v>
      </c>
      <c r="D155" s="22" t="s">
        <v>459</v>
      </c>
      <c r="E155" s="22" t="s">
        <v>336</v>
      </c>
      <c r="F155" s="23" t="str">
        <f>HYPERLINK("https://www.spark-marketing.ru/Card/Lot/74352749", "№ 4706-аэф//т Поставка специализированное лечебное питание (далее - товар) для обеспечения на территории Смоленской области граждан, имеющих право на получение государственной социальной помощи и не отказавшихся от получения социальной услуги, предус...")</f>
        <v>№ 4706-аэф//т Поставка специализированное лечебное питание (далее - товар) для обеспечения на территории Смоленской области граждан, имеющих право на получение государственной социальной помощи и не отказавшихся от получения социальной услуги, предус...</v>
      </c>
      <c r="G155" s="22" t="s">
        <v>460</v>
      </c>
      <c r="H155" s="22" t="s">
        <v>461</v>
      </c>
      <c r="I155" s="26">
        <v>43753.690277777801</v>
      </c>
      <c r="J155" s="28" t="s">
        <v>51</v>
      </c>
      <c r="K155" s="28" t="s">
        <v>51</v>
      </c>
      <c r="L155" s="28" t="s">
        <v>51</v>
      </c>
      <c r="M155" s="28" t="s">
        <v>51</v>
      </c>
      <c r="N155" s="28" t="s">
        <v>51</v>
      </c>
    </row>
    <row r="156" spans="1:14" x14ac:dyDescent="0.15">
      <c r="A156" s="23" t="str">
        <f>HYPERLINK("https://www.spark-marketing.ru/Card/Person/47122", "БУ ""ОКТЯБРЬСКИЙ РАЙОННЫЙ КОМПЛЕКСНЫЙ ЦЕНТР СОЦИАЛЬНОГО ОБСЛУЖИВАНИЯ НАСЕЛЕНИЯ""")</f>
        <v>БУ "ОКТЯБРЬСКИЙ РАЙОННЫЙ КОМПЛЕКСНЫЙ ЦЕНТР СОЦИАЛЬНОГО ОБСЛУЖИВАНИЯ НАСЕЛЕНИЯ"</v>
      </c>
      <c r="B156" s="24" t="s">
        <v>462</v>
      </c>
      <c r="C156" s="25">
        <v>112447.5</v>
      </c>
      <c r="D156" s="22" t="s">
        <v>463</v>
      </c>
      <c r="E156" s="22" t="s">
        <v>464</v>
      </c>
      <c r="F156" s="23" t="str">
        <f>HYPERLINK("https://www.spark-marketing.ru/Card/Lot/74350853", "Оказание услуг по поставке продуктов питания")</f>
        <v>Оказание услуг по поставке продуктов питания</v>
      </c>
      <c r="G156" s="22" t="s">
        <v>97</v>
      </c>
      <c r="H156" s="22" t="s">
        <v>465</v>
      </c>
      <c r="I156" s="26">
        <v>43753.617361111101</v>
      </c>
      <c r="J156" s="28" t="s">
        <v>51</v>
      </c>
      <c r="K156" s="28" t="s">
        <v>51</v>
      </c>
      <c r="L156" s="28" t="s">
        <v>51</v>
      </c>
      <c r="M156" s="28" t="s">
        <v>51</v>
      </c>
      <c r="N156" s="28" t="s">
        <v>51</v>
      </c>
    </row>
    <row r="157" spans="1:14" x14ac:dyDescent="0.15">
      <c r="A157" s="23" t="str">
        <f>HYPERLINK("https://www.spark-marketing.ru/Card/Person/2701", "МБУ ""ОТДЫХ"" Г. МАГНИТОГОРСКА")</f>
        <v>МБУ "ОТДЫХ" Г. МАГНИТОГОРСКА</v>
      </c>
      <c r="B157" s="24" t="s">
        <v>466</v>
      </c>
      <c r="C157" s="25">
        <v>385200</v>
      </c>
      <c r="D157" s="22" t="s">
        <v>467</v>
      </c>
      <c r="E157" s="22" t="s">
        <v>468</v>
      </c>
      <c r="F157" s="23" t="str">
        <f>HYPERLINK("https://www.spark-marketing.ru/Card/Lot/74354816", "№45418-2019-ЭА-2505 Услуги по перевозке грузовым специализированным автомобильным транспортом продуктов питания.")</f>
        <v>№45418-2019-ЭА-2505 Услуги по перевозке грузовым специализированным автомобильным транспортом продуктов питания.</v>
      </c>
      <c r="G157" s="22" t="s">
        <v>469</v>
      </c>
      <c r="H157" s="22" t="s">
        <v>470</v>
      </c>
      <c r="I157" s="26">
        <v>43753.698703703703</v>
      </c>
      <c r="J157" s="28" t="s">
        <v>51</v>
      </c>
      <c r="K157" s="28" t="s">
        <v>51</v>
      </c>
      <c r="L157" s="28" t="s">
        <v>51</v>
      </c>
      <c r="M157" s="28" t="s">
        <v>51</v>
      </c>
      <c r="N157" s="28" t="s">
        <v>51</v>
      </c>
    </row>
    <row r="158" spans="1:14" x14ac:dyDescent="0.15">
      <c r="A158" s="23" t="str">
        <f>HYPERLINK("https://www.spark-marketing.ru/Card/Person/49656", "МОУ СОШ № 22")</f>
        <v>МОУ СОШ № 22</v>
      </c>
      <c r="B158" s="24" t="s">
        <v>453</v>
      </c>
      <c r="C158" s="25">
        <v>217552</v>
      </c>
      <c r="D158" s="22" t="s">
        <v>471</v>
      </c>
      <c r="E158" s="22" t="s">
        <v>48</v>
      </c>
      <c r="F158" s="23" t="str">
        <f>HYPERLINK("https://www.spark-marketing.ru/Card/Lot/74349990",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158" s="22" t="s">
        <v>49</v>
      </c>
      <c r="H158" s="22" t="s">
        <v>50</v>
      </c>
      <c r="I158" s="26">
        <v>43753.690543981502</v>
      </c>
      <c r="J158" s="28" t="s">
        <v>51</v>
      </c>
      <c r="K158" s="28" t="s">
        <v>51</v>
      </c>
      <c r="L158" s="28" t="s">
        <v>51</v>
      </c>
      <c r="M158" s="28" t="s">
        <v>51</v>
      </c>
      <c r="N158" s="28" t="s">
        <v>51</v>
      </c>
    </row>
    <row r="159" spans="1:14" x14ac:dyDescent="0.15">
      <c r="A159" s="23" t="str">
        <f>HYPERLINK("https://www.spark-marketing.ru/Card/Person/44800", "УФНС РОССИИ ПО БРЯНСКОЙ ОБЛАСТИ")</f>
        <v>УФНС РОССИИ ПО БРЯНСКОЙ ОБЛАСТИ</v>
      </c>
      <c r="B159" s="24" t="s">
        <v>472</v>
      </c>
      <c r="C159" s="25">
        <v>183065.26</v>
      </c>
      <c r="D159" s="22" t="s">
        <v>473</v>
      </c>
      <c r="E159" s="22" t="s">
        <v>474</v>
      </c>
      <c r="F159" s="23" t="str">
        <f>HYPERLINK("https://www.spark-marketing.ru/Card/Lot/74352967", "Оказание услуг по проведению экспертизы технического состояния и утилизации оборудования не относящегося к сфере информационно-коммуникационных технологий")</f>
        <v>Оказание услуг по проведению экспертизы технического состояния и утилизации оборудования не относящегося к сфере информационно-коммуникационных технологий</v>
      </c>
      <c r="G159" s="22" t="s">
        <v>475</v>
      </c>
      <c r="H159" s="22" t="s">
        <v>476</v>
      </c>
      <c r="I159" s="26">
        <v>43753.649814814802</v>
      </c>
      <c r="J159" s="28" t="s">
        <v>51</v>
      </c>
      <c r="K159" s="28" t="s">
        <v>51</v>
      </c>
      <c r="L159" s="28" t="s">
        <v>51</v>
      </c>
      <c r="M159" s="28" t="s">
        <v>51</v>
      </c>
      <c r="N159" s="28" t="s">
        <v>51</v>
      </c>
    </row>
    <row r="160" spans="1:14" x14ac:dyDescent="0.15">
      <c r="A160" s="23" t="str">
        <f>HYPERLINK("https://www.spark-marketing.ru/Card/Person/180969", "ООО ""РН-ТРАНСПОРТ""")</f>
        <v>ООО "РН-ТРАНСПОРТ"</v>
      </c>
      <c r="B160" s="24" t="s">
        <v>477</v>
      </c>
      <c r="C160" s="28" t="s">
        <v>51</v>
      </c>
      <c r="D160" s="22" t="s">
        <v>478</v>
      </c>
      <c r="E160" s="22" t="s">
        <v>362</v>
      </c>
      <c r="F160" s="23" t="str">
        <f>HYPERLINK("https://www.spark-marketing.ru/Card/Lot/74347881", "Оказание услуг по предоставлению горячего питания в городе для работников филиала ООО «РН-Транспорт» в г. Усинск»")</f>
        <v>Оказание услуг по предоставлению горячего питания в городе для работников филиала ООО «РН-Транспорт» в г. Усинск»</v>
      </c>
      <c r="G160" s="22" t="s">
        <v>271</v>
      </c>
      <c r="H160" s="22" t="s">
        <v>479</v>
      </c>
      <c r="I160" s="26">
        <v>43753.658333333296</v>
      </c>
      <c r="J160" s="28" t="s">
        <v>51</v>
      </c>
      <c r="K160" s="28" t="s">
        <v>51</v>
      </c>
      <c r="L160" s="28" t="s">
        <v>51</v>
      </c>
      <c r="M160" s="28" t="s">
        <v>51</v>
      </c>
      <c r="N160" s="28" t="s">
        <v>51</v>
      </c>
    </row>
    <row r="161" spans="1:14" x14ac:dyDescent="0.15">
      <c r="A161" s="23" t="str">
        <f>HYPERLINK("https://www.spark-marketing.ru/Card/Person/134712", "ОМВД РОССИИ ПО БЕРЕЗОВСКОМУ РАЙОНУ")</f>
        <v>ОМВД РОССИИ ПО БЕРЕЗОВСКОМУ РАЙОНУ</v>
      </c>
      <c r="B161" s="24" t="s">
        <v>480</v>
      </c>
      <c r="C161" s="25">
        <v>1819946.25</v>
      </c>
      <c r="D161" s="22" t="s">
        <v>481</v>
      </c>
      <c r="E161" s="22" t="s">
        <v>96</v>
      </c>
      <c r="F161" s="23" t="str">
        <f>HYPERLINK("https://www.spark-marketing.ru/Card/Lot/74357743", "Оказание услуг по организации горячего трехразового питания лицам, содержащимся в ИВС ОМВД России по Березовскому району")</f>
        <v>Оказание услуг по организации горячего трехразового питания лицам, содержащимся в ИВС ОМВД России по Березовскому району</v>
      </c>
      <c r="G161" s="22" t="s">
        <v>97</v>
      </c>
      <c r="H161" s="22" t="s">
        <v>482</v>
      </c>
      <c r="I161" s="26">
        <v>43753.660891203697</v>
      </c>
      <c r="J161" s="28" t="s">
        <v>51</v>
      </c>
      <c r="K161" s="28" t="s">
        <v>51</v>
      </c>
      <c r="L161" s="28" t="s">
        <v>51</v>
      </c>
      <c r="M161" s="28" t="s">
        <v>51</v>
      </c>
      <c r="N161" s="28" t="s">
        <v>51</v>
      </c>
    </row>
    <row r="162" spans="1:14" x14ac:dyDescent="0.15">
      <c r="A162" s="23" t="str">
        <f>HYPERLINK("https://www.spark-marketing.ru/Card/Person/147273", "МОУ ""ЛИЦЕЙ №1""")</f>
        <v>МОУ "ЛИЦЕЙ №1"</v>
      </c>
      <c r="B162" s="24" t="s">
        <v>483</v>
      </c>
      <c r="C162" s="25">
        <v>535401</v>
      </c>
      <c r="D162" s="22" t="s">
        <v>484</v>
      </c>
      <c r="E162" s="22" t="s">
        <v>48</v>
      </c>
      <c r="F162" s="23" t="str">
        <f>HYPERLINK("https://www.spark-marketing.ru/Card/Lot/74347989",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162" s="22" t="s">
        <v>49</v>
      </c>
      <c r="H162" s="22" t="s">
        <v>50</v>
      </c>
      <c r="I162" s="26">
        <v>43753.638877314799</v>
      </c>
      <c r="J162" s="28" t="s">
        <v>51</v>
      </c>
      <c r="K162" s="28" t="s">
        <v>51</v>
      </c>
      <c r="L162" s="28" t="s">
        <v>51</v>
      </c>
      <c r="M162" s="28" t="s">
        <v>51</v>
      </c>
      <c r="N162" s="28" t="s">
        <v>51</v>
      </c>
    </row>
    <row r="163" spans="1:14" x14ac:dyDescent="0.15">
      <c r="A163" s="23" t="str">
        <f>HYPERLINK("https://www.spark-marketing.ru/Card/Person/90575", "УМВД РОССИИ ПО ГОРОДУ ОМСКУ")</f>
        <v>УМВД РОССИИ ПО ГОРОДУ ОМСКУ</v>
      </c>
      <c r="B163" s="24" t="s">
        <v>485</v>
      </c>
      <c r="C163" s="25">
        <v>8900000</v>
      </c>
      <c r="D163" s="22" t="s">
        <v>486</v>
      </c>
      <c r="E163" s="22" t="s">
        <v>48</v>
      </c>
      <c r="F163" s="23" t="str">
        <f>HYPERLINK("https://www.spark-marketing.ru/Card/Lot/74359330", "Оказание услуг по организации ежедневного трехразового питания лиц, содержащихся в служебных помещениях дежурных частей срок задержания которых превышает три часа, в изоляторе временного содержания и специальном приемнике УМВД России по городу Омску")</f>
        <v>Оказание услуг по организации ежедневного трехразового питания лиц, содержащихся в служебных помещениях дежурных частей срок задержания которых превышает три часа, в изоляторе временного содержания и специальном приемнике УМВД России по городу Омску</v>
      </c>
      <c r="G163" s="22" t="s">
        <v>487</v>
      </c>
      <c r="H163" s="22" t="s">
        <v>488</v>
      </c>
      <c r="I163" s="26">
        <v>43753.654062499998</v>
      </c>
      <c r="J163" s="28" t="s">
        <v>51</v>
      </c>
      <c r="K163" s="28" t="s">
        <v>51</v>
      </c>
      <c r="L163" s="28" t="s">
        <v>51</v>
      </c>
      <c r="M163" s="28" t="s">
        <v>51</v>
      </c>
      <c r="N163" s="28" t="s">
        <v>51</v>
      </c>
    </row>
    <row r="164" spans="1:14" x14ac:dyDescent="0.15">
      <c r="A164" s="23" t="str">
        <f>HYPERLINK("https://www.spark-marketing.ru/Card/Person/4343967", "ФГБОУ ВО ЮУГМУ МИНЗДРАВА РОССИИ")</f>
        <v>ФГБОУ ВО ЮУГМУ МИНЗДРАВА РОССИИ</v>
      </c>
      <c r="B164" s="24" t="s">
        <v>489</v>
      </c>
      <c r="C164" s="25">
        <v>48884400</v>
      </c>
      <c r="D164" s="22" t="s">
        <v>490</v>
      </c>
      <c r="E164" s="22" t="s">
        <v>48</v>
      </c>
      <c r="F164" s="23" t="str">
        <f>HYPERLINK("https://www.spark-marketing.ru/Card/Lot/74359258", "Оказание услуг по организации питания для пациентов, находящихся на стационарном лечении в Клинике ФГБОУ ВО ЮУГМУ Минздрава России")</f>
        <v>Оказание услуг по организации питания для пациентов, находящихся на стационарном лечении в Клинике ФГБОУ ВО ЮУГМУ Минздрава России</v>
      </c>
      <c r="G164" s="22" t="s">
        <v>469</v>
      </c>
      <c r="H164" s="22" t="s">
        <v>491</v>
      </c>
      <c r="I164" s="26">
        <v>43753.684976851902</v>
      </c>
      <c r="J164" s="28" t="s">
        <v>51</v>
      </c>
      <c r="K164" s="28" t="s">
        <v>51</v>
      </c>
      <c r="L164" s="28" t="s">
        <v>51</v>
      </c>
      <c r="M164" s="28" t="s">
        <v>51</v>
      </c>
      <c r="N164" s="28" t="s">
        <v>51</v>
      </c>
    </row>
    <row r="165" spans="1:14" x14ac:dyDescent="0.15">
      <c r="A165" s="23" t="str">
        <f>HYPERLINK("https://www.spark-marketing.ru/Card/Person/737290", "ГКУ «ЦБЗ ПРИ МИНЗДРАВЕ КАРЕЛИИ»")</f>
        <v>ГКУ «ЦБЗ ПРИ МИНЗДРАВЕ КАРЕЛИИ»</v>
      </c>
      <c r="B165" s="24" t="s">
        <v>312</v>
      </c>
      <c r="C165" s="25">
        <v>874595.88</v>
      </c>
      <c r="D165" s="22" t="s">
        <v>492</v>
      </c>
      <c r="E165" s="22" t="s">
        <v>493</v>
      </c>
      <c r="F165" s="23" t="str">
        <f>HYPERLINK("https://www.spark-marketing.ru/Card/Lot/74356998", "Поставка Тест-полосок к глюкометрам торговой марки «OneTouch Verio IQ»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медиц...")</f>
        <v>Поставка Тест-полосок к глюкометрам торговой марки «OneTouch Verio IQ»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медиц...</v>
      </c>
      <c r="G165" s="22" t="s">
        <v>59</v>
      </c>
      <c r="H165" s="22" t="s">
        <v>314</v>
      </c>
      <c r="I165" s="26">
        <v>43753.593055555597</v>
      </c>
      <c r="J165" s="28" t="s">
        <v>51</v>
      </c>
      <c r="K165" s="28" t="s">
        <v>51</v>
      </c>
      <c r="L165" s="28" t="s">
        <v>51</v>
      </c>
      <c r="M165" s="28" t="s">
        <v>51</v>
      </c>
      <c r="N165" s="28" t="s">
        <v>51</v>
      </c>
    </row>
    <row r="166" spans="1:14" x14ac:dyDescent="0.15">
      <c r="A166" s="23" t="str">
        <f>HYPERLINK("https://www.spark-marketing.ru/Card/Person/1013572", "МБОУ ООШИ № 22 Г.ТОМСКА")</f>
        <v>МБОУ ООШИ № 22 Г.ТОМСКА</v>
      </c>
      <c r="B166" s="24" t="s">
        <v>494</v>
      </c>
      <c r="C166" s="25">
        <v>3186026</v>
      </c>
      <c r="D166" s="22" t="s">
        <v>495</v>
      </c>
      <c r="E166" s="22" t="s">
        <v>48</v>
      </c>
      <c r="F166" s="23" t="str">
        <f>HYPERLINK("https://www.spark-marketing.ru/Card/Lot/74358962", "Оказание услуг по обеспечению двухразовым и пятиразовым питанием обучающихся муниципального бюджетного общеобразовательного учреждения основной общеобразовательной школы-интерната для учащихся с ограниченными возможностями здоровья № 22 г. Томска.")</f>
        <v>Оказание услуг по обеспечению двухразовым и пятиразовым питанием обучающихся муниципального бюджетного общеобразовательного учреждения основной общеобразовательной школы-интерната для учащихся с ограниченными возможностями здоровья № 22 г. Томска.</v>
      </c>
      <c r="G166" s="22" t="s">
        <v>149</v>
      </c>
      <c r="H166" s="22" t="s">
        <v>496</v>
      </c>
      <c r="I166" s="26">
        <v>43753.444444444402</v>
      </c>
      <c r="J166" s="28" t="s">
        <v>51</v>
      </c>
      <c r="K166" s="28" t="s">
        <v>51</v>
      </c>
      <c r="L166" s="28" t="s">
        <v>51</v>
      </c>
      <c r="M166" s="28" t="s">
        <v>51</v>
      </c>
      <c r="N166" s="28" t="s">
        <v>51</v>
      </c>
    </row>
    <row r="167" spans="1:14" x14ac:dyDescent="0.15">
      <c r="A167" s="23" t="str">
        <f>HYPERLINK("https://www.spark-marketing.ru/Card/Person/5770432", "МБУ ""МЦ ""ВЫБОР""")</f>
        <v>МБУ "МЦ "ВЫБОР"</v>
      </c>
      <c r="B167" s="24" t="s">
        <v>497</v>
      </c>
      <c r="C167" s="25">
        <v>136875.20000000001</v>
      </c>
      <c r="D167" s="22" t="s">
        <v>498</v>
      </c>
      <c r="E167" s="22" t="s">
        <v>48</v>
      </c>
      <c r="F167" s="23" t="str">
        <f>HYPERLINK("https://www.spark-marketing.ru/Card/Lot/74343220", "Оказание услуг по организации Молодежного форума ""Открытое пространство""")</f>
        <v>Оказание услуг по организации Молодежного форума "Открытое пространство"</v>
      </c>
      <c r="G167" s="22" t="s">
        <v>49</v>
      </c>
      <c r="H167" s="22" t="s">
        <v>49</v>
      </c>
      <c r="I167" s="26">
        <v>43753.5444444444</v>
      </c>
      <c r="J167" s="28" t="s">
        <v>51</v>
      </c>
      <c r="K167" s="28" t="s">
        <v>51</v>
      </c>
      <c r="L167" s="28" t="s">
        <v>51</v>
      </c>
      <c r="M167" s="28" t="s">
        <v>51</v>
      </c>
      <c r="N167" s="28" t="s">
        <v>51</v>
      </c>
    </row>
    <row r="168" spans="1:14" x14ac:dyDescent="0.15">
      <c r="A168" s="23" t="str">
        <f>HYPERLINK("https://www.spark-marketing.ru/Card/Person/49866", "МОУ ""ЛИЦЕЙ №23""")</f>
        <v>МОУ "ЛИЦЕЙ №23"</v>
      </c>
      <c r="B168" s="24" t="s">
        <v>499</v>
      </c>
      <c r="C168" s="25">
        <v>545233.5</v>
      </c>
      <c r="D168" s="22" t="s">
        <v>500</v>
      </c>
      <c r="E168" s="22" t="s">
        <v>48</v>
      </c>
      <c r="F168" s="23" t="str">
        <f>HYPERLINK("https://www.spark-marketing.ru/Card/Lot/74343351",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168" s="22" t="s">
        <v>49</v>
      </c>
      <c r="H168" s="22" t="s">
        <v>50</v>
      </c>
      <c r="I168" s="26">
        <v>43753.565694444398</v>
      </c>
      <c r="J168" s="28" t="s">
        <v>51</v>
      </c>
      <c r="K168" s="28" t="s">
        <v>51</v>
      </c>
      <c r="L168" s="28" t="s">
        <v>51</v>
      </c>
      <c r="M168" s="28" t="s">
        <v>51</v>
      </c>
      <c r="N168" s="28" t="s">
        <v>51</v>
      </c>
    </row>
    <row r="169" spans="1:14" x14ac:dyDescent="0.15">
      <c r="A169" s="23" t="str">
        <f>HYPERLINK("https://www.spark-marketing.ru/Card/Person/1008155", "МБОУ ""БОРКОВСКАЯ СОШ""")</f>
        <v>МБОУ "БОРКОВСКАЯ СОШ"</v>
      </c>
      <c r="B169" s="24" t="s">
        <v>501</v>
      </c>
      <c r="C169" s="25">
        <v>53600</v>
      </c>
      <c r="D169" s="22" t="s">
        <v>502</v>
      </c>
      <c r="E169" s="22" t="s">
        <v>48</v>
      </c>
      <c r="F169" s="23" t="str">
        <f>HYPERLINK("https://www.spark-marketing.ru/Card/Lot/74349599", "оказание услуг по организации горячего питания")</f>
        <v>оказание услуг по организации горячего питания</v>
      </c>
      <c r="G169" s="22" t="s">
        <v>503</v>
      </c>
      <c r="H169" s="22" t="s">
        <v>503</v>
      </c>
      <c r="I169" s="26">
        <v>43753.5090277778</v>
      </c>
      <c r="J169" s="28" t="s">
        <v>51</v>
      </c>
      <c r="K169" s="28" t="s">
        <v>51</v>
      </c>
      <c r="L169" s="28" t="s">
        <v>51</v>
      </c>
      <c r="M169" s="28" t="s">
        <v>51</v>
      </c>
      <c r="N169" s="28" t="s">
        <v>51</v>
      </c>
    </row>
    <row r="170" spans="1:14" x14ac:dyDescent="0.15">
      <c r="A170" s="23" t="str">
        <f>HYPERLINK("https://www.spark-marketing.ru/Card/Person/123360", "ОМВД РОССИИ ПО МОЖАЙСКОМУ ГОРОДСКОМУ ОКРУГУ")</f>
        <v>ОМВД РОССИИ ПО МОЖАЙСКОМУ ГОРОДСКОМУ ОКРУГУ</v>
      </c>
      <c r="B170" s="24" t="s">
        <v>504</v>
      </c>
      <c r="C170" s="25">
        <v>423115</v>
      </c>
      <c r="D170" s="22" t="s">
        <v>505</v>
      </c>
      <c r="E170" s="22" t="s">
        <v>48</v>
      </c>
      <c r="F170" s="23" t="str">
        <f>HYPERLINK("https://www.spark-marketing.ru/Card/Lot/74355105", "Оказание услуг по питанию граждан, содержащихся в ИВС ОМВД  России по Можайскому городскому округу в 2021 году")</f>
        <v>Оказание услуг по питанию граждан, содержащихся в ИВС ОМВД  России по Можайскому городскому округу в 2021 году</v>
      </c>
      <c r="G170" s="22" t="s">
        <v>49</v>
      </c>
      <c r="H170" s="22" t="s">
        <v>506</v>
      </c>
      <c r="I170" s="26">
        <v>43753.533333333296</v>
      </c>
      <c r="J170" s="28" t="s">
        <v>51</v>
      </c>
      <c r="K170" s="28" t="s">
        <v>51</v>
      </c>
      <c r="L170" s="28" t="s">
        <v>51</v>
      </c>
      <c r="M170" s="28" t="s">
        <v>51</v>
      </c>
      <c r="N170" s="28" t="s">
        <v>51</v>
      </c>
    </row>
    <row r="171" spans="1:14" x14ac:dyDescent="0.15">
      <c r="A171" s="23" t="str">
        <f>HYPERLINK("https://www.spark-marketing.ru/Card/Person/57833", "МБОУ АНДРЕЕВСКАЯ СОШ")</f>
        <v>МБОУ АНДРЕЕВСКАЯ СОШ</v>
      </c>
      <c r="B171" s="24" t="s">
        <v>507</v>
      </c>
      <c r="C171" s="25">
        <v>102000</v>
      </c>
      <c r="D171" s="22" t="s">
        <v>508</v>
      </c>
      <c r="E171" s="22" t="s">
        <v>48</v>
      </c>
      <c r="F171" s="23" t="str">
        <f>HYPERLINK("https://www.spark-marketing.ru/Card/Lot/74338247", "Услуги по организации питания в ОЛДП")</f>
        <v>Услуги по организации питания в ОЛДП</v>
      </c>
      <c r="G171" s="22" t="s">
        <v>49</v>
      </c>
      <c r="H171" s="22" t="s">
        <v>204</v>
      </c>
      <c r="I171" s="26">
        <v>43753.462337962999</v>
      </c>
      <c r="J171" s="28" t="s">
        <v>51</v>
      </c>
      <c r="K171" s="28" t="s">
        <v>51</v>
      </c>
      <c r="L171" s="28" t="s">
        <v>51</v>
      </c>
      <c r="M171" s="28" t="s">
        <v>51</v>
      </c>
      <c r="N171" s="28" t="s">
        <v>51</v>
      </c>
    </row>
    <row r="172" spans="1:14" x14ac:dyDescent="0.15">
      <c r="A172" s="23" t="str">
        <f>HYPERLINK("https://www.spark-marketing.ru/Card/Person/1752165", "АО ""ГРИНАТОМ""")</f>
        <v>АО "ГРИНАТОМ"</v>
      </c>
      <c r="B172" s="24" t="s">
        <v>509</v>
      </c>
      <c r="C172" s="28" t="s">
        <v>51</v>
      </c>
      <c r="D172" s="22" t="s">
        <v>510</v>
      </c>
      <c r="E172" s="22" t="s">
        <v>48</v>
      </c>
      <c r="F172" s="23" t="str">
        <f>HYPERLINK("https://www.spark-marketing.ru/Card/Lot/74340236", "Услуга по обеспечению лечебно-профилактическим питанием работников филиала АО ""Гринатом"" в г.Электростали")</f>
        <v>Услуга по обеспечению лечебно-профилактическим питанием работников филиала АО "Гринатом" в г.Электростали</v>
      </c>
      <c r="G172" s="22" t="s">
        <v>56</v>
      </c>
      <c r="H172" s="22" t="s">
        <v>56</v>
      </c>
      <c r="I172" s="26">
        <v>43753.465856481504</v>
      </c>
      <c r="J172" s="28" t="s">
        <v>51</v>
      </c>
      <c r="K172" s="28" t="s">
        <v>51</v>
      </c>
      <c r="L172" s="28" t="s">
        <v>51</v>
      </c>
      <c r="M172" s="28" t="s">
        <v>51</v>
      </c>
      <c r="N172" s="28" t="s">
        <v>51</v>
      </c>
    </row>
    <row r="173" spans="1:14" x14ac:dyDescent="0.15">
      <c r="A173" s="23" t="str">
        <f>HYPERLINK("https://www.spark-marketing.ru/Card/Person/27514", "СПБ ГБУЗ ""ГОРОДСКАЯ БОЛЬНИЦА № 28""")</f>
        <v>СПБ ГБУЗ "ГОРОДСКАЯ БОЛЬНИЦА № 28"</v>
      </c>
      <c r="B173" s="24" t="s">
        <v>511</v>
      </c>
      <c r="C173" s="25">
        <v>434478.8</v>
      </c>
      <c r="D173" s="22" t="s">
        <v>512</v>
      </c>
      <c r="E173" s="22" t="s">
        <v>513</v>
      </c>
      <c r="F173" s="23" t="str">
        <f>HYPERLINK("https://www.spark-marketing.ru/Card/Lot/74355019", "Оказание услуг по внедрению и передаче неисключительных прав на использование программных продуктов ""1С: Медицина. Больничная аптека"", ""1С: Медицина. Диетическое питание"" и дальнейшее сопровождение в 2019 году")</f>
        <v>Оказание услуг по внедрению и передаче неисключительных прав на использование программных продуктов "1С: Медицина. Больничная аптека", "1С: Медицина. Диетическое питание" и дальнейшее сопровождение в 2019 году</v>
      </c>
      <c r="G173" s="22" t="s">
        <v>117</v>
      </c>
      <c r="H173" s="22" t="s">
        <v>117</v>
      </c>
      <c r="I173" s="26">
        <v>43753.495497685202</v>
      </c>
      <c r="J173" s="28" t="s">
        <v>51</v>
      </c>
      <c r="K173" s="28" t="s">
        <v>51</v>
      </c>
      <c r="L173" s="28" t="s">
        <v>51</v>
      </c>
      <c r="M173" s="28" t="s">
        <v>51</v>
      </c>
      <c r="N173" s="28" t="s">
        <v>51</v>
      </c>
    </row>
    <row r="174" spans="1:14" x14ac:dyDescent="0.15">
      <c r="A174" s="23" t="s">
        <v>114</v>
      </c>
      <c r="B174" s="28" t="s">
        <v>51</v>
      </c>
      <c r="C174" s="25">
        <v>30849625.949999999</v>
      </c>
      <c r="D174" s="22" t="s">
        <v>514</v>
      </c>
      <c r="E174" s="22" t="s">
        <v>96</v>
      </c>
      <c r="F174" s="23" t="str">
        <f>HYPERLINK("https://www.spark-marketing.ru/Card/Lot/74359144",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лицей № 48...")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лицей № 48...</v>
      </c>
      <c r="G174" s="22" t="s">
        <v>51</v>
      </c>
      <c r="H174" s="22" t="s">
        <v>51</v>
      </c>
      <c r="I174" s="26">
        <v>43753.446111111101</v>
      </c>
      <c r="J174" s="28" t="s">
        <v>51</v>
      </c>
      <c r="K174" s="28" t="s">
        <v>51</v>
      </c>
      <c r="L174" s="28" t="s">
        <v>51</v>
      </c>
      <c r="M174" s="28" t="s">
        <v>51</v>
      </c>
      <c r="N174" s="28" t="s">
        <v>51</v>
      </c>
    </row>
    <row r="175" spans="1:14" hidden="1" outlineLevel="1" x14ac:dyDescent="0.15">
      <c r="A175" s="23" t="str">
        <f>HYPERLINK("https://www.spark-marketing.ru/Card/Person/29561", "ГБОУ ШКОЛА № 518 ВЫБОРГСКОГО РАЙОНА САНКТ-ПЕТЕРБУРГА")</f>
        <v>ГБОУ ШКОЛА № 518 ВЫБОРГСКОГО РАЙОНА САНКТ-ПЕТЕРБУРГА</v>
      </c>
      <c r="B175" s="24" t="s">
        <v>515</v>
      </c>
      <c r="C175" s="25">
        <v>10866573.470000001</v>
      </c>
      <c r="D175" s="22" t="s">
        <v>514</v>
      </c>
      <c r="E175" s="22" t="s">
        <v>96</v>
      </c>
      <c r="F175" s="23" t="str">
        <f>HYPERLINK("https://www.spark-marketing.ru/Card/Lot/74359144",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лицей № 48...")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лицей № 48...</v>
      </c>
      <c r="G175" s="22" t="s">
        <v>117</v>
      </c>
      <c r="H175" s="22" t="s">
        <v>117</v>
      </c>
      <c r="I175" s="26">
        <v>43753.446111111101</v>
      </c>
      <c r="J175" s="28" t="s">
        <v>51</v>
      </c>
      <c r="K175" s="28" t="s">
        <v>51</v>
      </c>
      <c r="L175" s="28" t="s">
        <v>51</v>
      </c>
      <c r="M175" s="28" t="s">
        <v>51</v>
      </c>
      <c r="N175" s="28" t="s">
        <v>51</v>
      </c>
    </row>
    <row r="176" spans="1:14" hidden="1" outlineLevel="1" x14ac:dyDescent="0.15">
      <c r="A176" s="23" t="str">
        <f>HYPERLINK("https://www.spark-marketing.ru/Card/Person/38118", "ГБОУ ЛИЦЕЙ № 623 ВЫБОРГСКОГО РАЙОНА САНКТ-ПЕТЕРБУРГА")</f>
        <v>ГБОУ ЛИЦЕЙ № 623 ВЫБОРГСКОГО РАЙОНА САНКТ-ПЕТЕРБУРГА</v>
      </c>
      <c r="B176" s="24" t="s">
        <v>516</v>
      </c>
      <c r="C176" s="25">
        <v>9484137.1899999995</v>
      </c>
      <c r="D176" s="22" t="s">
        <v>514</v>
      </c>
      <c r="E176" s="22" t="s">
        <v>96</v>
      </c>
      <c r="F176" s="23" t="str">
        <f>HYPERLINK("https://www.spark-marketing.ru/Card/Lot/74359144",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лицей № 48...")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лицей № 48...</v>
      </c>
      <c r="G176" s="22" t="s">
        <v>117</v>
      </c>
      <c r="H176" s="22" t="s">
        <v>117</v>
      </c>
      <c r="I176" s="26">
        <v>43753.446111111101</v>
      </c>
      <c r="J176" s="28" t="s">
        <v>51</v>
      </c>
      <c r="K176" s="28" t="s">
        <v>51</v>
      </c>
      <c r="L176" s="28" t="s">
        <v>51</v>
      </c>
      <c r="M176" s="28" t="s">
        <v>51</v>
      </c>
      <c r="N176" s="28" t="s">
        <v>51</v>
      </c>
    </row>
    <row r="177" spans="1:14" hidden="1" outlineLevel="1" x14ac:dyDescent="0.15">
      <c r="A177" s="23" t="str">
        <f>HYPERLINK("https://www.spark-marketing.ru/Card/Person/128435", "ГБОУ ЛИЦЕЙ № 488 ВЫБОРГСКОГО РАЙОНА")</f>
        <v>ГБОУ ЛИЦЕЙ № 488 ВЫБОРГСКОГО РАЙОНА</v>
      </c>
      <c r="B177" s="24" t="s">
        <v>517</v>
      </c>
      <c r="C177" s="25">
        <v>10498915.289999999</v>
      </c>
      <c r="D177" s="22" t="s">
        <v>514</v>
      </c>
      <c r="E177" s="22" t="s">
        <v>96</v>
      </c>
      <c r="F177" s="23" t="str">
        <f>HYPERLINK("https://www.spark-marketing.ru/Card/Lot/74359144",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лицей № 48...")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лицей № 48...</v>
      </c>
      <c r="G177" s="22" t="s">
        <v>117</v>
      </c>
      <c r="H177" s="22" t="s">
        <v>117</v>
      </c>
      <c r="I177" s="26">
        <v>43753.446111111101</v>
      </c>
      <c r="J177" s="28" t="s">
        <v>51</v>
      </c>
      <c r="K177" s="28" t="s">
        <v>51</v>
      </c>
      <c r="L177" s="28" t="s">
        <v>51</v>
      </c>
      <c r="M177" s="28" t="s">
        <v>51</v>
      </c>
      <c r="N177" s="28" t="s">
        <v>51</v>
      </c>
    </row>
    <row r="178" spans="1:14" x14ac:dyDescent="0.15">
      <c r="A178" s="23" t="str">
        <f>HYPERLINK("https://www.spark-marketing.ru/Card/Person/28327", "ГБУЗ ""САРАКТАШСКАЯ РБ""")</f>
        <v>ГБУЗ "САРАКТАШСКАЯ РБ"</v>
      </c>
      <c r="B178" s="24" t="s">
        <v>518</v>
      </c>
      <c r="C178" s="25">
        <v>59224.37</v>
      </c>
      <c r="D178" s="22" t="s">
        <v>519</v>
      </c>
      <c r="E178" s="22" t="s">
        <v>317</v>
      </c>
      <c r="F178" s="23" t="str">
        <f>HYPERLINK("https://www.spark-marketing.ru/Card/Lot/74343113", "на поставку медицинских изделий")</f>
        <v>на поставку медицинских изделий</v>
      </c>
      <c r="G178" s="22" t="s">
        <v>132</v>
      </c>
      <c r="H178" s="22" t="s">
        <v>520</v>
      </c>
      <c r="I178" s="26">
        <v>43753.354861111096</v>
      </c>
      <c r="J178" s="28" t="s">
        <v>51</v>
      </c>
      <c r="K178" s="28" t="s">
        <v>51</v>
      </c>
      <c r="L178" s="28" t="s">
        <v>51</v>
      </c>
      <c r="M178" s="28" t="s">
        <v>51</v>
      </c>
      <c r="N178" s="28" t="s">
        <v>51</v>
      </c>
    </row>
    <row r="179" spans="1:14" x14ac:dyDescent="0.15">
      <c r="A179" s="23" t="str">
        <f>HYPERLINK("https://www.spark-marketing.ru/Card/Person/38694", "ФГУП ""МОСКОВСКОЕ ПРОП"" МИНТРУДА РОССИИ")</f>
        <v>ФГУП "МОСКОВСКОЕ ПРОП" МИНТРУДА РОССИИ</v>
      </c>
      <c r="B179" s="24" t="s">
        <v>521</v>
      </c>
      <c r="C179" s="25">
        <v>53217</v>
      </c>
      <c r="D179" s="22" t="s">
        <v>522</v>
      </c>
      <c r="E179" s="22" t="s">
        <v>48</v>
      </c>
      <c r="F179" s="23" t="str">
        <f>HYPERLINK("https://www.spark-marketing.ru/Card/Lot/74347203", "Оказание услуг по обеспечению питанием лиц, находящихся на протезировании в «Архангельском» филиале ФГУП «Московское ПрОП» Минтруда России")</f>
        <v>Оказание услуг по обеспечению питанием лиц, находящихся на протезировании в «Архангельском» филиале ФГУП «Московское ПрОП» Минтруда России</v>
      </c>
      <c r="G179" s="22" t="s">
        <v>214</v>
      </c>
      <c r="H179" s="22" t="s">
        <v>523</v>
      </c>
      <c r="I179" s="26">
        <v>43753.430555555598</v>
      </c>
      <c r="J179" s="28" t="s">
        <v>51</v>
      </c>
      <c r="K179" s="28" t="s">
        <v>51</v>
      </c>
      <c r="L179" s="28" t="s">
        <v>51</v>
      </c>
      <c r="M179" s="28" t="s">
        <v>51</v>
      </c>
      <c r="N179" s="28" t="s">
        <v>51</v>
      </c>
    </row>
    <row r="180" spans="1:14" x14ac:dyDescent="0.15">
      <c r="A180" s="23" t="str">
        <f>HYPERLINK("https://www.spark-marketing.ru/Card/Person/123675", "МОУ КВАШЁНКОВСКАЯ СОШ")</f>
        <v>МОУ КВАШЁНКОВСКАЯ СОШ</v>
      </c>
      <c r="B180" s="24" t="s">
        <v>524</v>
      </c>
      <c r="C180" s="25">
        <v>300763.5</v>
      </c>
      <c r="D180" s="22" t="s">
        <v>525</v>
      </c>
      <c r="E180" s="22" t="s">
        <v>48</v>
      </c>
      <c r="F180" s="23" t="str">
        <f>HYPERLINK("https://www.spark-marketing.ru/Card/Lot/74343061", "Оказание услуг по организации горячего питания учащимся МОУ Квашенковская СОШ с 01.11.2019 по 31.12.2019 года")</f>
        <v>Оказание услуг по организации горячего питания учащимся МОУ Квашенковская СОШ с 01.11.2019 по 31.12.2019 года</v>
      </c>
      <c r="G180" s="22" t="s">
        <v>49</v>
      </c>
      <c r="H180" s="22" t="s">
        <v>49</v>
      </c>
      <c r="I180" s="26">
        <v>43753.381249999999</v>
      </c>
      <c r="J180" s="28" t="s">
        <v>51</v>
      </c>
      <c r="K180" s="28" t="s">
        <v>51</v>
      </c>
      <c r="L180" s="28" t="s">
        <v>51</v>
      </c>
      <c r="M180" s="28" t="s">
        <v>51</v>
      </c>
      <c r="N180" s="28" t="s">
        <v>51</v>
      </c>
    </row>
    <row r="181" spans="1:14" x14ac:dyDescent="0.15">
      <c r="A181" s="23" t="str">
        <f>HYPERLINK("https://www.spark-marketing.ru/Card/Person/140088", "МО МВД РОССИИ ""НОВОУЗЕНСКИЙ"" САРАТОВСКОЙ ОБЛАСТИ")</f>
        <v>МО МВД РОССИИ "НОВОУЗЕНСКИЙ" САРАТОВСКОЙ ОБЛАСТИ</v>
      </c>
      <c r="B181" s="24" t="s">
        <v>349</v>
      </c>
      <c r="C181" s="25">
        <v>36910</v>
      </c>
      <c r="D181" s="22" t="s">
        <v>526</v>
      </c>
      <c r="E181" s="22" t="s">
        <v>48</v>
      </c>
      <c r="F181" s="23" t="str">
        <f>HYPERLINK("https://www.spark-marketing.ru/Card/Lot/74336187", "Оказание услуг по организации питания (приготовлению и доставке) для ИВС, 217 усл. ед")</f>
        <v>Оказание услуг по организации питания (приготовлению и доставке) для ИВС, 217 усл. ед</v>
      </c>
      <c r="G181" s="22" t="s">
        <v>351</v>
      </c>
      <c r="H181" s="22" t="s">
        <v>527</v>
      </c>
      <c r="I181" s="26">
        <v>43753.393252314803</v>
      </c>
      <c r="J181" s="28" t="s">
        <v>51</v>
      </c>
      <c r="K181" s="28" t="s">
        <v>51</v>
      </c>
      <c r="L181" s="28" t="s">
        <v>51</v>
      </c>
      <c r="M181" s="28" t="s">
        <v>51</v>
      </c>
      <c r="N181" s="28" t="s">
        <v>51</v>
      </c>
    </row>
    <row r="182" spans="1:14" x14ac:dyDescent="0.15">
      <c r="A182" s="23" t="str">
        <f>HYPERLINK("https://www.spark-marketing.ru/Card/Person/1013618", "ГКОУ СО ""ЕКАТЕРИНБУРГСКАЯ ШКОЛА-ИНТЕРНАТ №6""")</f>
        <v>ГКОУ СО "ЕКАТЕРИНБУРГСКАЯ ШКОЛА-ИНТЕРНАТ №6"</v>
      </c>
      <c r="B182" s="24" t="s">
        <v>528</v>
      </c>
      <c r="C182" s="25">
        <v>982500</v>
      </c>
      <c r="D182" s="22" t="s">
        <v>529</v>
      </c>
      <c r="E182" s="22" t="s">
        <v>48</v>
      </c>
      <c r="F182" s="23" t="str">
        <f>HYPERLINK("https://www.spark-marketing.ru/Card/Lot/74337063", "Услуги по организации питания детей")</f>
        <v>Услуги по организации питания детей</v>
      </c>
      <c r="G182" s="22" t="s">
        <v>174</v>
      </c>
      <c r="H182" s="22" t="s">
        <v>530</v>
      </c>
      <c r="I182" s="26">
        <v>43753.380312499998</v>
      </c>
      <c r="J182" s="28" t="s">
        <v>51</v>
      </c>
      <c r="K182" s="28" t="s">
        <v>51</v>
      </c>
      <c r="L182" s="28" t="s">
        <v>51</v>
      </c>
      <c r="M182" s="28" t="s">
        <v>51</v>
      </c>
      <c r="N182" s="28" t="s">
        <v>51</v>
      </c>
    </row>
    <row r="183" spans="1:14" x14ac:dyDescent="0.15">
      <c r="A183" s="23" t="str">
        <f>HYPERLINK("https://www.spark-marketing.ru/Card/Person/4856154", "КГБУЗ ""АККПЦ""")</f>
        <v>КГБУЗ "АККПЦ"</v>
      </c>
      <c r="B183" s="24" t="s">
        <v>175</v>
      </c>
      <c r="C183" s="25">
        <v>4000000</v>
      </c>
      <c r="D183" s="22" t="s">
        <v>531</v>
      </c>
      <c r="E183" s="22" t="s">
        <v>48</v>
      </c>
      <c r="F183" s="23" t="str">
        <f>HYPERLINK("https://www.spark-marketing.ru/Card/Lot/74334953", "Оказание услуг по организации питания пациентов для нужд КГБУЗ ""АККПЦ в 2019 году")</f>
        <v>Оказание услуг по организации питания пациентов для нужд КГБУЗ "АККПЦ в 2019 году</v>
      </c>
      <c r="G183" s="22" t="s">
        <v>63</v>
      </c>
      <c r="H183" s="22" t="s">
        <v>177</v>
      </c>
      <c r="I183" s="26">
        <v>43753.240277777797</v>
      </c>
      <c r="J183" s="28" t="s">
        <v>51</v>
      </c>
      <c r="K183" s="28" t="s">
        <v>51</v>
      </c>
      <c r="L183" s="28" t="s">
        <v>51</v>
      </c>
      <c r="M183" s="28" t="s">
        <v>51</v>
      </c>
      <c r="N183" s="28" t="s">
        <v>51</v>
      </c>
    </row>
    <row r="184" spans="1:14" x14ac:dyDescent="0.15">
      <c r="A184" s="23" t="str">
        <f>HYPERLINK("https://www.spark-marketing.ru/Card/Person/86677", "МБОУ САВЕЛЬЕВСКАЯ СОШ")</f>
        <v>МБОУ САВЕЛЬЕВСКАЯ СОШ</v>
      </c>
      <c r="B184" s="24" t="s">
        <v>532</v>
      </c>
      <c r="C184" s="25">
        <v>72000</v>
      </c>
      <c r="D184" s="22" t="s">
        <v>533</v>
      </c>
      <c r="E184" s="22" t="s">
        <v>48</v>
      </c>
      <c r="F184" s="23" t="str">
        <f>HYPERLINK("https://www.spark-marketing.ru/Card/Lot/74335625", "Услуги питания в осенние каникулы 2019г.")</f>
        <v>Услуги питания в осенние каникулы 2019г.</v>
      </c>
      <c r="G184" s="22" t="s">
        <v>49</v>
      </c>
      <c r="H184" s="22" t="s">
        <v>204</v>
      </c>
      <c r="I184" s="26">
        <v>43753.378356481502</v>
      </c>
      <c r="J184" s="28" t="s">
        <v>51</v>
      </c>
      <c r="K184" s="28" t="s">
        <v>51</v>
      </c>
      <c r="L184" s="28" t="s">
        <v>51</v>
      </c>
      <c r="M184" s="28" t="s">
        <v>51</v>
      </c>
      <c r="N184" s="28" t="s">
        <v>51</v>
      </c>
    </row>
    <row r="185" spans="1:14" x14ac:dyDescent="0.15">
      <c r="A185" s="23" t="str">
        <f>HYPERLINK("https://www.spark-marketing.ru/Card/Person/112282", "МБУ ""МФЦ МЫТИЩИ""")</f>
        <v>МБУ "МФЦ МЫТИЩИ"</v>
      </c>
      <c r="B185" s="24" t="s">
        <v>534</v>
      </c>
      <c r="C185" s="25">
        <v>2360000</v>
      </c>
      <c r="D185" s="22" t="s">
        <v>535</v>
      </c>
      <c r="E185" s="22" t="s">
        <v>536</v>
      </c>
      <c r="F185" s="23" t="str">
        <f>HYPERLINK("https://www.spark-marketing.ru/Card/Lot/74343085", "Поставка оборудования для оснащения нового офиса для нужд муниципального бюджетного учреждения ""Многофункциональный центр предоставления государственных и муниципальных услуг городского округа Мытищи""")</f>
        <v>Поставка оборудования для оснащения нового офиса для нужд муниципального бюджетного учреждения "Многофункциональный центр предоставления государственных и муниципальных услуг городского округа Мытищи"</v>
      </c>
      <c r="G185" s="22" t="s">
        <v>49</v>
      </c>
      <c r="H185" s="22" t="s">
        <v>537</v>
      </c>
      <c r="I185" s="26">
        <v>43753.390277777798</v>
      </c>
      <c r="J185" s="28" t="s">
        <v>51</v>
      </c>
      <c r="K185" s="28" t="s">
        <v>51</v>
      </c>
      <c r="L185" s="28" t="s">
        <v>51</v>
      </c>
      <c r="M185" s="28" t="s">
        <v>51</v>
      </c>
      <c r="N185" s="28" t="s">
        <v>51</v>
      </c>
    </row>
    <row r="186" spans="1:14" x14ac:dyDescent="0.15">
      <c r="A186" s="23" t="str">
        <f>HYPERLINK("https://www.spark-marketing.ru/Card/Person/4348624", "АО ""АЭХК""")</f>
        <v>АО "АЭХК"</v>
      </c>
      <c r="B186" s="24" t="s">
        <v>538</v>
      </c>
      <c r="C186" s="28" t="s">
        <v>51</v>
      </c>
      <c r="D186" s="22" t="s">
        <v>539</v>
      </c>
      <c r="E186" s="22" t="s">
        <v>48</v>
      </c>
      <c r="F186" s="23" t="str">
        <f>HYPERLINK("https://www.spark-marketing.ru/Card/Lot/74340164", "оказание услуг по обеспечению лечебно-профилактическим питанием работников АО «АЭХК», занятых на работах с особо вредными условиями труда.")</f>
        <v>оказание услуг по обеспечению лечебно-профилактическим питанием работников АО «АЭХК», занятых на работах с особо вредными условиями труда.</v>
      </c>
      <c r="G186" s="22" t="s">
        <v>263</v>
      </c>
      <c r="H186" s="22" t="s">
        <v>540</v>
      </c>
      <c r="I186" s="26">
        <v>43753.3380555556</v>
      </c>
      <c r="J186" s="28" t="s">
        <v>51</v>
      </c>
      <c r="K186" s="28" t="s">
        <v>51</v>
      </c>
      <c r="L186" s="28" t="s">
        <v>51</v>
      </c>
      <c r="M186" s="28" t="s">
        <v>51</v>
      </c>
      <c r="N186" s="28" t="s">
        <v>51</v>
      </c>
    </row>
    <row r="187" spans="1:14" x14ac:dyDescent="0.15">
      <c r="A187" s="23" t="str">
        <f>HYPERLINK("https://www.spark-marketing.ru/Card/Person/949311", "ОМВД РОССИИ ПО ПОГРАНИЧНОМУ РАЙОНУ")</f>
        <v>ОМВД РОССИИ ПО ПОГРАНИЧНОМУ РАЙОНУ</v>
      </c>
      <c r="B187" s="24" t="s">
        <v>541</v>
      </c>
      <c r="C187" s="25">
        <v>165000</v>
      </c>
      <c r="D187" s="22" t="s">
        <v>542</v>
      </c>
      <c r="E187" s="22" t="s">
        <v>48</v>
      </c>
      <c r="F187" s="23" t="str">
        <f>HYPERLINK("https://www.spark-marketing.ru/Card/Lot/74335476",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87" s="22" t="s">
        <v>543</v>
      </c>
      <c r="H187" s="22" t="s">
        <v>544</v>
      </c>
      <c r="I187" s="26">
        <v>43753.371307870402</v>
      </c>
      <c r="J187" s="28" t="s">
        <v>51</v>
      </c>
      <c r="K187" s="28" t="s">
        <v>51</v>
      </c>
      <c r="L187" s="28" t="s">
        <v>51</v>
      </c>
      <c r="M187" s="28" t="s">
        <v>51</v>
      </c>
      <c r="N187" s="28" t="s">
        <v>51</v>
      </c>
    </row>
    <row r="188" spans="1:14" x14ac:dyDescent="0.15">
      <c r="A188" s="23" t="str">
        <f>HYPERLINK("https://www.spark-marketing.ru/Card/Person/4348624", "АО ""АЭХК""")</f>
        <v>АО "АЭХК"</v>
      </c>
      <c r="B188" s="24" t="s">
        <v>538</v>
      </c>
      <c r="C188" s="25">
        <v>0</v>
      </c>
      <c r="D188" s="22" t="s">
        <v>545</v>
      </c>
      <c r="E188" s="22" t="s">
        <v>52</v>
      </c>
      <c r="F188" s="23" t="str">
        <f>HYPERLINK("https://www.spark-marketing.ru/Card/Lot/74358805", "мониторинг цен в электронной форме на оказание услуг по обеспечению лечебно-профилактическим питанием работников АО «АЭХК», занятых на работах с особо вредными условиями труда.")</f>
        <v>мониторинг цен в электронной форме на оказание услуг по обеспечению лечебно-профилактическим питанием работников АО «АЭХК», занятых на работах с особо вредными условиями труда.</v>
      </c>
      <c r="G188" s="22" t="s">
        <v>263</v>
      </c>
      <c r="H188" s="22" t="s">
        <v>540</v>
      </c>
      <c r="I188" s="26">
        <v>43753.337731481501</v>
      </c>
      <c r="J188" s="28" t="s">
        <v>51</v>
      </c>
      <c r="K188" s="28" t="s">
        <v>51</v>
      </c>
      <c r="L188" s="28" t="s">
        <v>51</v>
      </c>
      <c r="M188" s="28" t="s">
        <v>51</v>
      </c>
      <c r="N188" s="28" t="s">
        <v>51</v>
      </c>
    </row>
    <row r="189" spans="1:14" x14ac:dyDescent="0.15">
      <c r="A189" s="23" t="str">
        <f>HYPERLINK("https://www.spark-marketing.ru/Card/Person/1275582", "МГАУ ""ЦСП СКМО""")</f>
        <v>МГАУ "ЦСП СКМО"</v>
      </c>
      <c r="B189" s="24" t="s">
        <v>546</v>
      </c>
      <c r="C189" s="25">
        <v>188500</v>
      </c>
      <c r="D189" s="22" t="s">
        <v>547</v>
      </c>
      <c r="E189" s="22" t="s">
        <v>362</v>
      </c>
      <c r="F189" s="23" t="str">
        <f>HYPERLINK("https://www.spark-marketing.ru/Card/Lot/74336408", "Услуга по организации питания спортсменов")</f>
        <v>Услуга по организации питания спортсменов</v>
      </c>
      <c r="G189" s="22" t="s">
        <v>548</v>
      </c>
      <c r="H189" s="22" t="s">
        <v>548</v>
      </c>
      <c r="I189" s="26">
        <v>43753</v>
      </c>
      <c r="J189" s="28" t="s">
        <v>51</v>
      </c>
      <c r="K189" s="28" t="s">
        <v>51</v>
      </c>
      <c r="L189" s="28" t="s">
        <v>51</v>
      </c>
      <c r="M189" s="28" t="s">
        <v>51</v>
      </c>
      <c r="N189" s="28" t="s">
        <v>51</v>
      </c>
    </row>
    <row r="190" spans="1:14" x14ac:dyDescent="0.15">
      <c r="A190" s="23" t="str">
        <f>HYPERLINK("https://www.spark-marketing.ru/Card/Person/236030", "ОГАУСО ""КЦСОН""")</f>
        <v>ОГАУСО "КЦСОН"</v>
      </c>
      <c r="B190" s="24" t="s">
        <v>549</v>
      </c>
      <c r="C190" s="25">
        <v>2000000</v>
      </c>
      <c r="D190" s="22" t="s">
        <v>550</v>
      </c>
      <c r="E190" s="22" t="s">
        <v>551</v>
      </c>
      <c r="F190" s="23" t="str">
        <f>HYPERLINK("https://www.spark-marketing.ru/Card/Lot/74339862", "Оказание услуг на поставку продуктов питания (плодоовощная продукция)")</f>
        <v>Оказание услуг на поставку продуктов питания (плодоовощная продукция)</v>
      </c>
      <c r="G190" s="22" t="s">
        <v>263</v>
      </c>
      <c r="H190" s="22" t="s">
        <v>263</v>
      </c>
      <c r="I190" s="26">
        <v>43753</v>
      </c>
      <c r="J190" s="28" t="s">
        <v>51</v>
      </c>
      <c r="K190" s="28" t="s">
        <v>51</v>
      </c>
      <c r="L190" s="28" t="s">
        <v>51</v>
      </c>
      <c r="M190" s="28" t="s">
        <v>51</v>
      </c>
      <c r="N190" s="28" t="s">
        <v>51</v>
      </c>
    </row>
    <row r="191" spans="1:14" x14ac:dyDescent="0.15">
      <c r="A191" s="23" t="str">
        <f>HYPERLINK("https://www.spark-marketing.ru/Card/Person/64988", "ГУП ""МЦМС""")</f>
        <v>ГУП "МЦМС"</v>
      </c>
      <c r="B191" s="24" t="s">
        <v>552</v>
      </c>
      <c r="C191" s="25">
        <v>1264700</v>
      </c>
      <c r="D191" s="22" t="s">
        <v>553</v>
      </c>
      <c r="E191" s="22" t="s">
        <v>554</v>
      </c>
      <c r="F191" s="23" t="str">
        <f>HYPERLINK("https://www.spark-marketing.ru/Card/Lot/74347671", "комплекс услуг по организации и проведению Семинара по повышению квалификации преподавателей русского языка в школах и учреждениях дополнительного образования стран ближнего и дальнего зарубежья, а также обеспечению транспортным обслуживанием и питан...")</f>
        <v>комплекс услуг по организации и проведению Семинара по повышению квалификации преподавателей русского языка в школах и учреждениях дополнительного образования стран ближнего и дальнего зарубежья, а также обеспечению транспортным обслуживанием и питан...</v>
      </c>
      <c r="G191" s="22" t="s">
        <v>56</v>
      </c>
      <c r="H191" s="22" t="s">
        <v>56</v>
      </c>
      <c r="I191" s="26">
        <v>43753</v>
      </c>
      <c r="J191" s="28" t="s">
        <v>51</v>
      </c>
      <c r="K191" s="28" t="s">
        <v>51</v>
      </c>
      <c r="L191" s="28" t="s">
        <v>51</v>
      </c>
      <c r="M191" s="28" t="s">
        <v>51</v>
      </c>
      <c r="N191" s="28" t="s">
        <v>51</v>
      </c>
    </row>
    <row r="192" spans="1:14" x14ac:dyDescent="0.15">
      <c r="A192" s="23" t="str">
        <f>HYPERLINK("https://www.spark-marketing.ru/Card/Person/72688", "ФГБУ ННПЦ МСЭ И РИ МИНТРУДА РОССИИ")</f>
        <v>ФГБУ ННПЦ МСЭ И РИ МИНТРУДА РОССИИ</v>
      </c>
      <c r="B192" s="24" t="s">
        <v>555</v>
      </c>
      <c r="C192" s="25">
        <v>392201.06</v>
      </c>
      <c r="D192" s="22" t="s">
        <v>556</v>
      </c>
      <c r="E192" s="22" t="s">
        <v>557</v>
      </c>
      <c r="F192" s="23" t="str">
        <f>HYPERLINK("https://www.spark-marketing.ru/Card/Lot/74339429", "Оказание услуги по поставке и монтажу системы видеонаблюдения")</f>
        <v>Оказание услуги по поставке и монтажу системы видеонаблюдения</v>
      </c>
      <c r="G192" s="22" t="s">
        <v>304</v>
      </c>
      <c r="H192" s="22" t="s">
        <v>304</v>
      </c>
      <c r="I192" s="26">
        <v>43753</v>
      </c>
      <c r="J192" s="28" t="s">
        <v>51</v>
      </c>
      <c r="K192" s="28" t="s">
        <v>51</v>
      </c>
      <c r="L192" s="28" t="s">
        <v>51</v>
      </c>
      <c r="M192" s="28" t="s">
        <v>51</v>
      </c>
      <c r="N192" s="28" t="s">
        <v>51</v>
      </c>
    </row>
    <row r="193" spans="1:14" x14ac:dyDescent="0.15">
      <c r="A193" s="23" t="str">
        <f>HYPERLINK("https://www.spark-marketing.ru/Card/Person/4434470", "БМАОУ СОШ №2")</f>
        <v>БМАОУ СОШ №2</v>
      </c>
      <c r="B193" s="24" t="s">
        <v>558</v>
      </c>
      <c r="C193" s="25">
        <v>750000</v>
      </c>
      <c r="D193" s="22" t="s">
        <v>559</v>
      </c>
      <c r="E193" s="22" t="s">
        <v>362</v>
      </c>
      <c r="F193" s="23" t="str">
        <f>HYPERLINK("https://www.spark-marketing.ru/Card/Lot/74336828", "на оказание услуг по организации питания обучающихся Березовского муниципального автономного общеобразовательного учреждения")</f>
        <v>на оказание услуг по организации питания обучающихся Березовского муниципального автономного общеобразовательного учреждения</v>
      </c>
      <c r="G193" s="22" t="s">
        <v>174</v>
      </c>
      <c r="H193" s="22" t="s">
        <v>174</v>
      </c>
      <c r="I193" s="26">
        <v>43753</v>
      </c>
      <c r="J193" s="28" t="s">
        <v>51</v>
      </c>
      <c r="K193" s="28" t="s">
        <v>51</v>
      </c>
      <c r="L193" s="28" t="s">
        <v>51</v>
      </c>
      <c r="M193" s="28" t="s">
        <v>51</v>
      </c>
      <c r="N193" s="28" t="s">
        <v>51</v>
      </c>
    </row>
    <row r="194" spans="1:14" x14ac:dyDescent="0.15">
      <c r="A194" s="23" t="str">
        <f>HYPERLINK("https://www.spark-marketing.ru/Card/Person/131670", "ФГУП ""ПРЕЗИДЕНТ-СЕРВИС""")</f>
        <v>ФГУП "ПРЕЗИДЕНТ-СЕРВИС"</v>
      </c>
      <c r="B194" s="24" t="s">
        <v>560</v>
      </c>
      <c r="C194" s="25">
        <v>309546</v>
      </c>
      <c r="D194" s="22" t="s">
        <v>561</v>
      </c>
      <c r="E194" s="22" t="s">
        <v>562</v>
      </c>
      <c r="F194" s="23" t="str">
        <f>HYPERLINK("https://www.spark-marketing.ru/Card/Lot/74353500", "Оказание услуг организации питания участников Форума пограничных ведомств/береговых охран государств серверной части Тихого океана")</f>
        <v>Оказание услуг организации питания участников Форума пограничных ведомств/береговых охран государств серверной части Тихого океана</v>
      </c>
      <c r="G194" s="22" t="s">
        <v>543</v>
      </c>
      <c r="H194" s="22" t="s">
        <v>543</v>
      </c>
      <c r="I194" s="26">
        <v>43753</v>
      </c>
      <c r="J194" s="28" t="s">
        <v>51</v>
      </c>
      <c r="K194" s="28" t="s">
        <v>51</v>
      </c>
      <c r="L194" s="28" t="s">
        <v>51</v>
      </c>
      <c r="M194" s="28" t="s">
        <v>51</v>
      </c>
      <c r="N194" s="28" t="s">
        <v>51</v>
      </c>
    </row>
    <row r="195" spans="1:14" x14ac:dyDescent="0.15">
      <c r="A195" s="23" t="str">
        <f>HYPERLINK("https://www.spark-marketing.ru/Card/Person/556350", "МАОУ - ГИМНАЗИЯ №47")</f>
        <v>МАОУ - ГИМНАЗИЯ №47</v>
      </c>
      <c r="B195" s="24" t="s">
        <v>563</v>
      </c>
      <c r="C195" s="25">
        <v>21279822.18</v>
      </c>
      <c r="D195" s="22" t="s">
        <v>564</v>
      </c>
      <c r="E195" s="22" t="s">
        <v>362</v>
      </c>
      <c r="F195" s="23" t="str">
        <f>HYPERLINK("https://www.spark-marketing.ru/Card/Lot/74335937", "Оказание услуги по организации питания детей в Муниципальном автономном общеобразовательном учреждении Гимназии № 47")</f>
        <v>Оказание услуги по организации питания детей в Муниципальном автономном общеобразовательном учреждении Гимназии № 47</v>
      </c>
      <c r="G195" s="22" t="s">
        <v>174</v>
      </c>
      <c r="H195" s="22" t="s">
        <v>174</v>
      </c>
      <c r="I195" s="26">
        <v>43753</v>
      </c>
      <c r="J195" s="28" t="s">
        <v>51</v>
      </c>
      <c r="K195" s="28" t="s">
        <v>51</v>
      </c>
      <c r="L195" s="28" t="s">
        <v>51</v>
      </c>
      <c r="M195" s="28" t="s">
        <v>51</v>
      </c>
      <c r="N195" s="28" t="s">
        <v>51</v>
      </c>
    </row>
    <row r="196" spans="1:14" x14ac:dyDescent="0.15">
      <c r="A196" s="23" t="str">
        <f>HYPERLINK("https://www.spark-marketing.ru/Card/Person/526355", "ФГБОУ ВО ""РЭУ ИМ. Г.В. ПЛЕХАНОВА"", РЭУ ИМ. Г.В. ПЛЕХАНОВА")</f>
        <v>ФГБОУ ВО "РЭУ ИМ. Г.В. ПЛЕХАНОВА", РЭУ ИМ. Г.В. ПЛЕХАНОВА</v>
      </c>
      <c r="B196" s="24" t="s">
        <v>565</v>
      </c>
      <c r="C196" s="25">
        <v>89304</v>
      </c>
      <c r="D196" s="22" t="s">
        <v>566</v>
      </c>
      <c r="E196" s="22" t="s">
        <v>567</v>
      </c>
      <c r="F196" s="23" t="str">
        <f>HYPERLINK("https://www.spark-marketing.ru/Card/Lot/74345785", "Оказание услуг по реализации готовой продукции комбината питания в торговой точке Саратовского социально-экономического института (филиала) РЭУ им. Г.В. Плеханова")</f>
        <v>Оказание услуг по реализации готовой продукции комбината питания в торговой точке Саратовского социально-экономического института (филиала) РЭУ им. Г.В. Плеханова</v>
      </c>
      <c r="G196" s="22" t="s">
        <v>351</v>
      </c>
      <c r="H196" s="22" t="s">
        <v>351</v>
      </c>
      <c r="I196" s="26">
        <v>43753</v>
      </c>
      <c r="J196" s="28" t="s">
        <v>51</v>
      </c>
      <c r="K196" s="28" t="s">
        <v>51</v>
      </c>
      <c r="L196" s="28" t="s">
        <v>51</v>
      </c>
      <c r="M196" s="28" t="s">
        <v>51</v>
      </c>
      <c r="N196" s="28" t="s">
        <v>51</v>
      </c>
    </row>
    <row r="197" spans="1:14" x14ac:dyDescent="0.15">
      <c r="A197" s="23" t="str">
        <f>HYPERLINK("https://www.spark-marketing.ru/Card/Person/56340", "АО ""МОСГАЗ""")</f>
        <v>АО "МОСГАЗ"</v>
      </c>
      <c r="B197" s="24" t="s">
        <v>568</v>
      </c>
      <c r="C197" s="25">
        <v>1946970.56</v>
      </c>
      <c r="D197" s="22" t="s">
        <v>569</v>
      </c>
      <c r="E197" s="22" t="s">
        <v>570</v>
      </c>
      <c r="F197" s="23" t="str">
        <f>HYPERLINK("https://www.spark-marketing.ru/Card/Lot/74354325", "Оказание услуг по поверке и калибровке средств измерений.")</f>
        <v>Оказание услуг по поверке и калибровке средств измерений.</v>
      </c>
      <c r="G197" s="22" t="s">
        <v>56</v>
      </c>
      <c r="H197" s="22" t="s">
        <v>56</v>
      </c>
      <c r="I197" s="26">
        <v>43753</v>
      </c>
      <c r="J197" s="28" t="s">
        <v>51</v>
      </c>
      <c r="K197" s="28" t="s">
        <v>51</v>
      </c>
      <c r="L197" s="28" t="s">
        <v>51</v>
      </c>
      <c r="M197" s="28" t="s">
        <v>51</v>
      </c>
      <c r="N197" s="28" t="s">
        <v>51</v>
      </c>
    </row>
    <row r="198" spans="1:14" x14ac:dyDescent="0.15">
      <c r="A198" s="23" t="str">
        <f>HYPERLINK("https://www.spark-marketing.ru/Card/Person/951084", "МУП ""КШП""")</f>
        <v>МУП "КШП"</v>
      </c>
      <c r="B198" s="24" t="s">
        <v>571</v>
      </c>
      <c r="C198" s="25">
        <v>400000</v>
      </c>
      <c r="D198" s="22" t="s">
        <v>572</v>
      </c>
      <c r="E198" s="22" t="s">
        <v>573</v>
      </c>
      <c r="F198" s="23" t="str">
        <f>HYPERLINK("https://www.spark-marketing.ru/Card/Lot/74340921", "услуга по поставке продуктов питания")</f>
        <v>услуга по поставке продуктов питания</v>
      </c>
      <c r="G198" s="22" t="s">
        <v>281</v>
      </c>
      <c r="H198" s="22" t="s">
        <v>281</v>
      </c>
      <c r="I198" s="26">
        <v>43753</v>
      </c>
      <c r="J198" s="28" t="s">
        <v>51</v>
      </c>
      <c r="K198" s="28" t="s">
        <v>51</v>
      </c>
      <c r="L198" s="28" t="s">
        <v>51</v>
      </c>
      <c r="M198" s="28" t="s">
        <v>51</v>
      </c>
      <c r="N198" s="28" t="s">
        <v>51</v>
      </c>
    </row>
    <row r="199" spans="1:14" x14ac:dyDescent="0.15">
      <c r="A199" s="23" t="str">
        <f>HYPERLINK("https://www.spark-marketing.ru/Card/Person/150161", "ФГБУ ""КОМБИНАТ ПИТАНИЯ ""КРЕМЛЕВСКИЙ""")</f>
        <v>ФГБУ "КОМБИНАТ ПИТАНИЯ "КРЕМЛЕВСКИЙ"</v>
      </c>
      <c r="B199" s="24" t="s">
        <v>574</v>
      </c>
      <c r="C199" s="25">
        <v>1892045.52</v>
      </c>
      <c r="D199" s="22" t="s">
        <v>575</v>
      </c>
      <c r="E199" s="22" t="s">
        <v>576</v>
      </c>
      <c r="F199" s="23" t="str">
        <f>HYPERLINK("https://www.spark-marketing.ru/Card/Lot/74351576", "Оказание услуг по организации питания и обслуживанию мероприятий")</f>
        <v>Оказание услуг по организации питания и обслуживанию мероприятий</v>
      </c>
      <c r="G199" s="22" t="s">
        <v>49</v>
      </c>
      <c r="H199" s="22" t="s">
        <v>577</v>
      </c>
      <c r="I199" s="26">
        <v>43753</v>
      </c>
      <c r="J199" s="28" t="s">
        <v>51</v>
      </c>
      <c r="K199" s="28" t="s">
        <v>51</v>
      </c>
      <c r="L199" s="28" t="s">
        <v>51</v>
      </c>
      <c r="M199" s="28" t="s">
        <v>51</v>
      </c>
      <c r="N199" s="28" t="s">
        <v>51</v>
      </c>
    </row>
    <row r="200" spans="1:14" x14ac:dyDescent="0.15">
      <c r="A200" s="23" t="str">
        <f>HYPERLINK("https://www.spark-marketing.ru/Card/Person/277689", "АУК ВО ""ВОРОНЕЖСКИЙ КОНЦЕРТНЫЙ ЗАЛ""")</f>
        <v>АУК ВО "ВОРОНЕЖСКИЙ КОНЦЕРТНЫЙ ЗАЛ"</v>
      </c>
      <c r="B200" s="24" t="s">
        <v>578</v>
      </c>
      <c r="C200" s="25">
        <v>161500</v>
      </c>
      <c r="D200" s="22" t="s">
        <v>579</v>
      </c>
      <c r="E200" s="22" t="s">
        <v>580</v>
      </c>
      <c r="F200" s="23" t="str">
        <f>HYPERLINK("https://www.spark-marketing.ru/Card/Lot/74341194", "Оказание услуг по организации питания")</f>
        <v>Оказание услуг по организации питания</v>
      </c>
      <c r="G200" s="22" t="s">
        <v>82</v>
      </c>
      <c r="H200" s="22" t="s">
        <v>83</v>
      </c>
      <c r="I200" s="26">
        <v>43753</v>
      </c>
      <c r="J200" s="28" t="s">
        <v>51</v>
      </c>
      <c r="K200" s="28" t="s">
        <v>51</v>
      </c>
      <c r="L200" s="28" t="s">
        <v>51</v>
      </c>
      <c r="M200" s="28" t="s">
        <v>51</v>
      </c>
      <c r="N200" s="28" t="s">
        <v>51</v>
      </c>
    </row>
    <row r="201" spans="1:14" x14ac:dyDescent="0.15">
      <c r="A201" s="23" t="str">
        <f>HYPERLINK("https://www.spark-marketing.ru/Card/Person/59218", "ФКУЗ ГКЦМСР ФСИН РОССИИ")</f>
        <v>ФКУЗ ГКЦМСР ФСИН РОССИИ</v>
      </c>
      <c r="B201" s="24" t="s">
        <v>581</v>
      </c>
      <c r="C201" s="25">
        <v>1030365</v>
      </c>
      <c r="D201" s="22" t="s">
        <v>582</v>
      </c>
      <c r="E201" s="22" t="s">
        <v>583</v>
      </c>
      <c r="F201" s="23" t="str">
        <f>HYPERLINK("https://www.spark-marketing.ru/Card/Lot/74329954", "Оказание услуг по ремонту медицинского оборудования в составе спирального компьютерного томографа Aquilion 16 производства Toshiba Medical Systems, источника бесперебойного питания JOVYSTAR delta 100кВА с/номер 103437 0001")</f>
        <v>Оказание услуг по ремонту медицинского оборудования в составе спирального компьютерного томографа Aquilion 16 производства Toshiba Medical Systems, источника бесперебойного питания JOVYSTAR delta 100кВА с/номер 103437 0001</v>
      </c>
      <c r="G201" s="22" t="s">
        <v>56</v>
      </c>
      <c r="H201" s="22" t="s">
        <v>56</v>
      </c>
      <c r="I201" s="26">
        <v>43752.754166666702</v>
      </c>
      <c r="J201" s="28" t="s">
        <v>51</v>
      </c>
      <c r="K201" s="28" t="s">
        <v>51</v>
      </c>
      <c r="L201" s="28" t="s">
        <v>51</v>
      </c>
      <c r="M201" s="28" t="s">
        <v>51</v>
      </c>
      <c r="N201" s="28" t="s">
        <v>51</v>
      </c>
    </row>
    <row r="202" spans="1:14" x14ac:dyDescent="0.15">
      <c r="A202" s="23" t="str">
        <f>HYPERLINK("https://www.spark-marketing.ru/Card/Person/28676", "ГБУЗ ""ООКПГВВ""")</f>
        <v>ГБУЗ "ООКПГВВ"</v>
      </c>
      <c r="B202" s="24" t="s">
        <v>584</v>
      </c>
      <c r="C202" s="25">
        <v>90620.04</v>
      </c>
      <c r="D202" s="22" t="s">
        <v>585</v>
      </c>
      <c r="E202" s="22" t="s">
        <v>586</v>
      </c>
      <c r="F202" s="23" t="str">
        <f>HYPERLINK("https://www.spark-marketing.ru/Card/Lot/74321701", "Специализированный продукт диетического (профилактического) питания при вредных условиях труда")</f>
        <v>Специализированный продукт диетического (профилактического) питания при вредных условиях труда</v>
      </c>
      <c r="G202" s="22" t="s">
        <v>132</v>
      </c>
      <c r="H202" s="22" t="s">
        <v>587</v>
      </c>
      <c r="I202" s="26">
        <v>43752.732314814799</v>
      </c>
      <c r="J202" s="28" t="s">
        <v>51</v>
      </c>
      <c r="K202" s="28" t="s">
        <v>51</v>
      </c>
      <c r="L202" s="28" t="s">
        <v>51</v>
      </c>
      <c r="M202" s="28" t="s">
        <v>51</v>
      </c>
      <c r="N202" s="28" t="s">
        <v>51</v>
      </c>
    </row>
    <row r="203" spans="1:14" x14ac:dyDescent="0.15">
      <c r="A203" s="23" t="str">
        <f>HYPERLINK("https://www.spark-marketing.ru/Card/Person/772", "ГБУ РО ""ОНКОДИСПАНСЕР""")</f>
        <v>ГБУ РО "ОНКОДИСПАНСЕР"</v>
      </c>
      <c r="B203" s="24" t="s">
        <v>588</v>
      </c>
      <c r="C203" s="25">
        <v>750000</v>
      </c>
      <c r="D203" s="22" t="s">
        <v>589</v>
      </c>
      <c r="E203" s="22" t="s">
        <v>48</v>
      </c>
      <c r="F203" s="23" t="str">
        <f>HYPERLINK("https://www.spark-marketing.ru/Card/Lot/74329283", "Определение исполнителя у субъектов малого предпринимательства, социально ориентированных некоммерческих организаций на оказание услуг по предоставлению лечебного питания для нужд государственного бюджетного учреждения Ростовской области «Онкологичес...")</f>
        <v>Определение исполнителя у субъектов малого предпринимательства, социально ориентированных некоммерческих организаций на оказание услуг по предоставлению лечебного питания для нужд государственного бюджетного учреждения Ростовской области «Онкологичес...</v>
      </c>
      <c r="G203" s="22" t="s">
        <v>267</v>
      </c>
      <c r="H203" s="22" t="s">
        <v>590</v>
      </c>
      <c r="I203" s="26">
        <v>43752.738842592596</v>
      </c>
      <c r="J203" s="28" t="s">
        <v>51</v>
      </c>
      <c r="K203" s="28" t="s">
        <v>51</v>
      </c>
      <c r="L203" s="28" t="s">
        <v>51</v>
      </c>
      <c r="M203" s="28" t="s">
        <v>51</v>
      </c>
      <c r="N203" s="28" t="s">
        <v>51</v>
      </c>
    </row>
    <row r="204" spans="1:14" x14ac:dyDescent="0.15">
      <c r="A204" s="23" t="str">
        <f>HYPERLINK("https://www.spark-marketing.ru/Card/Person/58848", "МОУ ГИМНАЗИЯ №1")</f>
        <v>МОУ ГИМНАЗИЯ №1</v>
      </c>
      <c r="B204" s="24" t="s">
        <v>591</v>
      </c>
      <c r="C204" s="25">
        <v>9800803.1999999993</v>
      </c>
      <c r="D204" s="22" t="s">
        <v>592</v>
      </c>
      <c r="E204" s="22" t="s">
        <v>48</v>
      </c>
      <c r="F204" s="23" t="str">
        <f>HYPERLINK("https://www.spark-marketing.ru/Card/Lot/74331489", "услуги по организации питания для учащихся общеобразовательной организации в 2020-2021 гг.")</f>
        <v>услуги по организации питания для учащихся общеобразовательной организации в 2020-2021 гг.</v>
      </c>
      <c r="G204" s="22" t="s">
        <v>49</v>
      </c>
      <c r="H204" s="22" t="s">
        <v>207</v>
      </c>
      <c r="I204" s="26">
        <v>43752.737951388903</v>
      </c>
      <c r="J204" s="28" t="s">
        <v>51</v>
      </c>
      <c r="K204" s="28" t="s">
        <v>51</v>
      </c>
      <c r="L204" s="28" t="s">
        <v>51</v>
      </c>
      <c r="M204" s="28" t="s">
        <v>51</v>
      </c>
      <c r="N204" s="28" t="s">
        <v>51</v>
      </c>
    </row>
    <row r="205" spans="1:14" x14ac:dyDescent="0.15">
      <c r="A205" s="23" t="str">
        <f>HYPERLINK("https://www.spark-marketing.ru/Card/Person/16737", "ГБУЗ ""ДОМБАРОВСКАЯ РБ""")</f>
        <v>ГБУЗ "ДОМБАРОВСКАЯ РБ"</v>
      </c>
      <c r="B205" s="24" t="s">
        <v>593</v>
      </c>
      <c r="C205" s="25">
        <v>12291.4</v>
      </c>
      <c r="D205" s="22" t="s">
        <v>594</v>
      </c>
      <c r="E205" s="22" t="s">
        <v>595</v>
      </c>
      <c r="F205" s="23" t="str">
        <f>HYPERLINK("https://www.spark-marketing.ru/Card/Lot/74323589", "На поставку продуктов питания (томатная паста, плоды шиповника)")</f>
        <v>На поставку продуктов питания (томатная паста, плоды шиповника)</v>
      </c>
      <c r="G205" s="22" t="s">
        <v>132</v>
      </c>
      <c r="H205" s="22" t="s">
        <v>596</v>
      </c>
      <c r="I205" s="26">
        <v>43752.745833333298</v>
      </c>
      <c r="J205" s="28" t="s">
        <v>51</v>
      </c>
      <c r="K205" s="28" t="s">
        <v>51</v>
      </c>
      <c r="L205" s="28" t="s">
        <v>51</v>
      </c>
      <c r="M205" s="28" t="s">
        <v>51</v>
      </c>
      <c r="N205" s="28" t="s">
        <v>51</v>
      </c>
    </row>
    <row r="206" spans="1:14" x14ac:dyDescent="0.15">
      <c r="A206" s="23" t="str">
        <f>HYPERLINK("https://www.spark-marketing.ru/Card/Person/123360", "ОМВД РОССИИ ПО МОЖАЙСКОМУ ГОРОДСКОМУ ОКРУГУ")</f>
        <v>ОМВД РОССИИ ПО МОЖАЙСКОМУ ГОРОДСКОМУ ОКРУГУ</v>
      </c>
      <c r="B206" s="24" t="s">
        <v>504</v>
      </c>
      <c r="C206" s="25">
        <v>423115</v>
      </c>
      <c r="D206" s="22" t="s">
        <v>597</v>
      </c>
      <c r="E206" s="22" t="s">
        <v>48</v>
      </c>
      <c r="F206" s="23" t="str">
        <f>HYPERLINK("https://www.spark-marketing.ru/Card/Lot/74327896", "Оказание услуг по питанию граждан, содержащихся в ИВС ОМВД России по Можайскому городскому округу в 2020 году")</f>
        <v>Оказание услуг по питанию граждан, содержащихся в ИВС ОМВД России по Можайскому городскому округу в 2020 году</v>
      </c>
      <c r="G206" s="22" t="s">
        <v>49</v>
      </c>
      <c r="H206" s="22" t="s">
        <v>506</v>
      </c>
      <c r="I206" s="26">
        <v>43752.7496412037</v>
      </c>
      <c r="J206" s="28" t="s">
        <v>51</v>
      </c>
      <c r="K206" s="28" t="s">
        <v>51</v>
      </c>
      <c r="L206" s="28" t="s">
        <v>51</v>
      </c>
      <c r="M206" s="28" t="s">
        <v>51</v>
      </c>
      <c r="N206" s="28" t="s">
        <v>51</v>
      </c>
    </row>
    <row r="207" spans="1:14" x14ac:dyDescent="0.15">
      <c r="A207" s="23" t="str">
        <f>HYPERLINK("https://www.spark-marketing.ru/Card/Person/123360", "ОМВД РОССИИ ПО МОЖАЙСКОМУ ГОРОДСКОМУ ОКРУГУ")</f>
        <v>ОМВД РОССИИ ПО МОЖАЙСКОМУ ГОРОДСКОМУ ОКРУГУ</v>
      </c>
      <c r="B207" s="24" t="s">
        <v>504</v>
      </c>
      <c r="C207" s="25">
        <v>1269835</v>
      </c>
      <c r="D207" s="22" t="s">
        <v>598</v>
      </c>
      <c r="E207" s="22" t="s">
        <v>48</v>
      </c>
      <c r="F207" s="23" t="str">
        <f>HYPERLINK("https://www.spark-marketing.ru/Card/Lot/74330136", "Оказание услуг по питанию граждан, находящихся в спецпремнике ОМВД России по Можайскому городскому округу в 2021 году")</f>
        <v>Оказание услуг по питанию граждан, находящихся в спецпремнике ОМВД России по Можайскому городскому округу в 2021 году</v>
      </c>
      <c r="G207" s="22" t="s">
        <v>49</v>
      </c>
      <c r="H207" s="22" t="s">
        <v>506</v>
      </c>
      <c r="I207" s="26">
        <v>43752.749305555597</v>
      </c>
      <c r="J207" s="28" t="s">
        <v>51</v>
      </c>
      <c r="K207" s="28" t="s">
        <v>51</v>
      </c>
      <c r="L207" s="28" t="s">
        <v>51</v>
      </c>
      <c r="M207" s="28" t="s">
        <v>51</v>
      </c>
      <c r="N207" s="28" t="s">
        <v>51</v>
      </c>
    </row>
    <row r="208" spans="1:14" x14ac:dyDescent="0.15">
      <c r="A208" s="23" t="str">
        <f>HYPERLINK("https://www.spark-marketing.ru/Card/Person/232614", "МБОУ СОШ №1")</f>
        <v>МБОУ СОШ №1</v>
      </c>
      <c r="B208" s="24" t="s">
        <v>599</v>
      </c>
      <c r="C208" s="25">
        <v>577800</v>
      </c>
      <c r="D208" s="22" t="s">
        <v>600</v>
      </c>
      <c r="E208" s="22" t="s">
        <v>48</v>
      </c>
      <c r="F208" s="23" t="str">
        <f>HYPERLINK("https://www.spark-marketing.ru/Card/Lot/74323149",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208" s="22" t="s">
        <v>49</v>
      </c>
      <c r="H208" s="22" t="s">
        <v>50</v>
      </c>
      <c r="I208" s="26">
        <v>43752.732025463003</v>
      </c>
      <c r="J208" s="28" t="s">
        <v>51</v>
      </c>
      <c r="K208" s="28" t="s">
        <v>51</v>
      </c>
      <c r="L208" s="28" t="s">
        <v>51</v>
      </c>
      <c r="M208" s="28" t="s">
        <v>51</v>
      </c>
      <c r="N208" s="28" t="s">
        <v>51</v>
      </c>
    </row>
    <row r="209" spans="1:14" x14ac:dyDescent="0.15">
      <c r="A209" s="23" t="str">
        <f>HYPERLINK("https://www.spark-marketing.ru/Card/Person/21440", "ГБУЗ СК ""ЕССЕНТУКСКАЯ ГОРОДСКАЯ ДЕТСКАЯ БОЛЬНИЦА""")</f>
        <v>ГБУЗ СК "ЕССЕНТУКСКАЯ ГОРОДСКАЯ ДЕТСКАЯ БОЛЬНИЦА"</v>
      </c>
      <c r="B209" s="24" t="s">
        <v>601</v>
      </c>
      <c r="C209" s="25">
        <v>177932.09</v>
      </c>
      <c r="D209" s="22" t="s">
        <v>602</v>
      </c>
      <c r="E209" s="22" t="s">
        <v>603</v>
      </c>
      <c r="F209" s="23" t="str">
        <f>HYPERLINK("https://www.spark-marketing.ru/Card/Lot/74326574", "Оказание услуг по поверке и калибровке средств измерений для обеспечения нужд Ставропольского края")</f>
        <v>Оказание услуг по поверке и калибровке средств измерений для обеспечения нужд Ставропольского края</v>
      </c>
      <c r="G209" s="22" t="s">
        <v>87</v>
      </c>
      <c r="H209" s="22" t="s">
        <v>604</v>
      </c>
      <c r="I209" s="26">
        <v>43752.740277777797</v>
      </c>
      <c r="J209" s="28" t="s">
        <v>51</v>
      </c>
      <c r="K209" s="28" t="s">
        <v>51</v>
      </c>
      <c r="L209" s="28" t="s">
        <v>51</v>
      </c>
      <c r="M209" s="28" t="s">
        <v>51</v>
      </c>
      <c r="N209" s="28" t="s">
        <v>51</v>
      </c>
    </row>
    <row r="210" spans="1:14" x14ac:dyDescent="0.15">
      <c r="A210" s="23" t="str">
        <f>HYPERLINK("https://www.spark-marketing.ru/Card/Person/772", "ГБУ РО ""ОНКОДИСПАНСЕР""")</f>
        <v>ГБУ РО "ОНКОДИСПАНСЕР"</v>
      </c>
      <c r="B210" s="24" t="s">
        <v>588</v>
      </c>
      <c r="C210" s="25">
        <v>926720</v>
      </c>
      <c r="D210" s="22" t="s">
        <v>605</v>
      </c>
      <c r="E210" s="22" t="s">
        <v>48</v>
      </c>
      <c r="F210" s="23" t="str">
        <f>HYPERLINK("https://www.spark-marketing.ru/Card/Lot/74331960", "Определение исполнителя на оказание услуг по предоставлению лечебного питания для нужд государственного бюджетного учреждения Ростовской области «Онкологический диспансер»")</f>
        <v>Определение исполнителя на оказание услуг по предоставлению лечебного питания для нужд государственного бюджетного учреждения Ростовской области «Онкологический диспансер»</v>
      </c>
      <c r="G210" s="22" t="s">
        <v>267</v>
      </c>
      <c r="H210" s="22" t="s">
        <v>267</v>
      </c>
      <c r="I210" s="26">
        <v>43752.738483796304</v>
      </c>
      <c r="J210" s="28" t="s">
        <v>51</v>
      </c>
      <c r="K210" s="28" t="s">
        <v>51</v>
      </c>
      <c r="L210" s="28" t="s">
        <v>51</v>
      </c>
      <c r="M210" s="28" t="s">
        <v>51</v>
      </c>
      <c r="N210" s="28" t="s">
        <v>51</v>
      </c>
    </row>
    <row r="211" spans="1:14" x14ac:dyDescent="0.15">
      <c r="A211" s="23" t="str">
        <f>HYPERLINK("https://www.spark-marketing.ru/Card/Person/226893", "ММО МВД РОССИИ ""ЧАМЗИНСКИЙ""")</f>
        <v>ММО МВД РОССИИ "ЧАМЗИНСКИЙ"</v>
      </c>
      <c r="B211" s="24" t="s">
        <v>606</v>
      </c>
      <c r="C211" s="25">
        <v>299000</v>
      </c>
      <c r="D211" s="22" t="s">
        <v>607</v>
      </c>
      <c r="E211" s="22" t="s">
        <v>48</v>
      </c>
      <c r="F211" s="23" t="str">
        <f>HYPERLINK("https://www.spark-marketing.ru/Card/Lot/74323963", "Оказание услуг по организации питания (приготовление и доставка) для несовершеннолетних лиц, 1495 усл. ед")</f>
        <v>Оказание услуг по организации питания (приготовление и доставка) для несовершеннолетних лиц, 1495 усл. ед</v>
      </c>
      <c r="G211" s="22" t="s">
        <v>277</v>
      </c>
      <c r="H211" s="22" t="s">
        <v>608</v>
      </c>
      <c r="I211" s="26">
        <v>43752.719895833303</v>
      </c>
      <c r="J211" s="28" t="s">
        <v>51</v>
      </c>
      <c r="K211" s="28" t="s">
        <v>51</v>
      </c>
      <c r="L211" s="28" t="s">
        <v>51</v>
      </c>
      <c r="M211" s="28" t="s">
        <v>51</v>
      </c>
      <c r="N211" s="28" t="s">
        <v>51</v>
      </c>
    </row>
    <row r="212" spans="1:14" x14ac:dyDescent="0.15">
      <c r="A212" s="23" t="str">
        <f>HYPERLINK("https://www.spark-marketing.ru/Card/Person/226893", "ММО МВД РОССИИ ""ЧАМЗИНСКИЙ""")</f>
        <v>ММО МВД РОССИИ "ЧАМЗИНСКИЙ"</v>
      </c>
      <c r="B212" s="24" t="s">
        <v>606</v>
      </c>
      <c r="C212" s="25">
        <v>299000</v>
      </c>
      <c r="D212" s="22" t="s">
        <v>609</v>
      </c>
      <c r="E212" s="22" t="s">
        <v>48</v>
      </c>
      <c r="F212" s="23" t="str">
        <f>HYPERLINK("https://www.spark-marketing.ru/Card/Lot/74320721", "Оказание услуг по организации питания (приготовление и доставка) для несовершеннолетних лиц, 1495 усл. ед")</f>
        <v>Оказание услуг по организации питания (приготовление и доставка) для несовершеннолетних лиц, 1495 усл. ед</v>
      </c>
      <c r="G212" s="22" t="s">
        <v>277</v>
      </c>
      <c r="H212" s="22" t="s">
        <v>608</v>
      </c>
      <c r="I212" s="26">
        <v>43752.721400463</v>
      </c>
      <c r="J212" s="28" t="s">
        <v>51</v>
      </c>
      <c r="K212" s="28" t="s">
        <v>51</v>
      </c>
      <c r="L212" s="28" t="s">
        <v>51</v>
      </c>
      <c r="M212" s="28" t="s">
        <v>51</v>
      </c>
      <c r="N212" s="28" t="s">
        <v>51</v>
      </c>
    </row>
    <row r="213" spans="1:14" x14ac:dyDescent="0.15">
      <c r="A213" s="23" t="str">
        <f>HYPERLINK("https://www.spark-marketing.ru/Card/Person/772", "ГБУ РО ""ОНКОДИСПАНСЕР""")</f>
        <v>ГБУ РО "ОНКОДИСПАНСЕР"</v>
      </c>
      <c r="B213" s="24" t="s">
        <v>588</v>
      </c>
      <c r="C213" s="25">
        <v>1501490</v>
      </c>
      <c r="D213" s="22" t="s">
        <v>610</v>
      </c>
      <c r="E213" s="22" t="s">
        <v>48</v>
      </c>
      <c r="F213" s="23" t="str">
        <f>HYPERLINK("https://www.spark-marketing.ru/Card/Lot/74331835", "Определение исполнителя у субъектов малого предпринимательства, социально ориентированных некоммерческих организаций на оказание услуг по предоставлению лечебного питания для нужд государственного бюджетного учреждения Ростовской области «Онкологичес...")</f>
        <v>Определение исполнителя у субъектов малого предпринимательства, социально ориентированных некоммерческих организаций на оказание услуг по предоставлению лечебного питания для нужд государственного бюджетного учреждения Ростовской области «Онкологичес...</v>
      </c>
      <c r="G213" s="22" t="s">
        <v>267</v>
      </c>
      <c r="H213" s="22" t="s">
        <v>611</v>
      </c>
      <c r="I213" s="26">
        <v>43752.739583333299</v>
      </c>
      <c r="J213" s="28" t="s">
        <v>51</v>
      </c>
      <c r="K213" s="28" t="s">
        <v>51</v>
      </c>
      <c r="L213" s="28" t="s">
        <v>51</v>
      </c>
      <c r="M213" s="28" t="s">
        <v>51</v>
      </c>
      <c r="N213" s="28" t="s">
        <v>51</v>
      </c>
    </row>
    <row r="214" spans="1:14" x14ac:dyDescent="0.15">
      <c r="A214" s="23" t="str">
        <f>HYPERLINK("https://www.spark-marketing.ru/Card/Person/50230", "МОУ СОШ №17")</f>
        <v>МОУ СОШ №17</v>
      </c>
      <c r="B214" s="24" t="s">
        <v>612</v>
      </c>
      <c r="C214" s="25">
        <v>517427</v>
      </c>
      <c r="D214" s="22" t="s">
        <v>613</v>
      </c>
      <c r="E214" s="22" t="s">
        <v>48</v>
      </c>
      <c r="F214" s="23" t="str">
        <f>HYPERLINK("https://www.spark-marketing.ru/Card/Lot/74318547", "Оказание услуг по организации льготного питания для учащихся общеобразовательной организации")</f>
        <v>Оказание услуг по организации льготного питания для учащихся общеобразовательной организации</v>
      </c>
      <c r="G214" s="22" t="s">
        <v>49</v>
      </c>
      <c r="H214" s="22" t="s">
        <v>50</v>
      </c>
      <c r="I214" s="26">
        <v>43752.6711574074</v>
      </c>
      <c r="J214" s="28" t="s">
        <v>51</v>
      </c>
      <c r="K214" s="28" t="s">
        <v>51</v>
      </c>
      <c r="L214" s="28" t="s">
        <v>51</v>
      </c>
      <c r="M214" s="28" t="s">
        <v>51</v>
      </c>
      <c r="N214" s="28" t="s">
        <v>51</v>
      </c>
    </row>
    <row r="215" spans="1:14" x14ac:dyDescent="0.15">
      <c r="A215" s="23" t="str">
        <f>HYPERLINK("https://www.spark-marketing.ru/Card/Person/37353", "ГБУЗ ""КЕМСКАЯ ЦРБ""")</f>
        <v>ГБУЗ "КЕМСКАЯ ЦРБ"</v>
      </c>
      <c r="B215" s="24" t="s">
        <v>614</v>
      </c>
      <c r="C215" s="25">
        <v>423888.69</v>
      </c>
      <c r="D215" s="22" t="s">
        <v>615</v>
      </c>
      <c r="E215" s="22" t="s">
        <v>603</v>
      </c>
      <c r="F215" s="23" t="str">
        <f>HYPERLINK("https://www.spark-marketing.ru/Card/Lot/74327898", "Выполнение работ по метрологическому обслуживанию (поверке) средств измерения медицинского назначения")</f>
        <v>Выполнение работ по метрологическому обслуживанию (поверке) средств измерения медицинского назначения</v>
      </c>
      <c r="G215" s="22" t="s">
        <v>59</v>
      </c>
      <c r="H215" s="22" t="s">
        <v>59</v>
      </c>
      <c r="I215" s="26">
        <v>43752.690277777801</v>
      </c>
      <c r="J215" s="28" t="s">
        <v>51</v>
      </c>
      <c r="K215" s="28" t="s">
        <v>51</v>
      </c>
      <c r="L215" s="28" t="s">
        <v>51</v>
      </c>
      <c r="M215" s="28" t="s">
        <v>51</v>
      </c>
      <c r="N215" s="28" t="s">
        <v>51</v>
      </c>
    </row>
    <row r="216" spans="1:14" x14ac:dyDescent="0.15">
      <c r="A216" s="23" t="str">
        <f>HYPERLINK("https://www.spark-marketing.ru/Card/Person/26366", "БУ ""ГОРОДСКОЙ КЛИНИЧЕСКИЙ ЦЕНТР"" МИНЗДРАВА ЧУВАШИИ")</f>
        <v>БУ "ГОРОДСКОЙ КЛИНИЧЕСКИЙ ЦЕНТР" МИНЗДРАВА ЧУВАШИИ</v>
      </c>
      <c r="B216" s="24" t="s">
        <v>616</v>
      </c>
      <c r="C216" s="25">
        <v>20247396</v>
      </c>
      <c r="D216" s="22" t="s">
        <v>617</v>
      </c>
      <c r="E216" s="22" t="s">
        <v>96</v>
      </c>
      <c r="F216" s="23" t="str">
        <f>HYPERLINK("https://www.spark-marketing.ru/Card/Lot/74330425", "оказание услуг по приготовлению готовой продукции для лечебного питания пациентов круглосуточного стационара и дневного стационара БУ «Городской клинический центр» Минздрава Чувашии")</f>
        <v>оказание услуг по приготовлению готовой продукции для лечебного питания пациентов круглосуточного стационара и дневного стационара БУ «Городской клинический центр» Минздрава Чувашии</v>
      </c>
      <c r="G216" s="22" t="s">
        <v>618</v>
      </c>
      <c r="H216" s="22" t="s">
        <v>618</v>
      </c>
      <c r="I216" s="26">
        <v>43752.706504629597</v>
      </c>
      <c r="J216" s="28" t="s">
        <v>51</v>
      </c>
      <c r="K216" s="28" t="s">
        <v>51</v>
      </c>
      <c r="L216" s="28" t="s">
        <v>51</v>
      </c>
      <c r="M216" s="28" t="s">
        <v>51</v>
      </c>
      <c r="N216" s="28" t="s">
        <v>51</v>
      </c>
    </row>
    <row r="217" spans="1:14" x14ac:dyDescent="0.15">
      <c r="A217" s="23" t="str">
        <f>HYPERLINK("https://www.spark-marketing.ru/Card/Person/18894", "КГБУЗ ""СПАССКАЯ ГБ""")</f>
        <v>КГБУЗ "СПАССКАЯ ГБ"</v>
      </c>
      <c r="B217" s="24" t="s">
        <v>619</v>
      </c>
      <c r="C217" s="25">
        <v>486000</v>
      </c>
      <c r="D217" s="22" t="s">
        <v>620</v>
      </c>
      <c r="E217" s="22" t="s">
        <v>621</v>
      </c>
      <c r="F217" s="23" t="str">
        <f>HYPERLINK("https://www.spark-marketing.ru/Card/Lot/74314958", "Оказание услуг по сопровождению прикладных программных средств для нужд краевого государственного бюджетного учреждения здравоохранения «Спасская городская больница» на первое полугодие 2020 года")</f>
        <v>Оказание услуг по сопровождению прикладных программных средств для нужд краевого государственного бюджетного учреждения здравоохранения «Спасская городская больница» на первое полугодие 2020 года</v>
      </c>
      <c r="G217" s="22" t="s">
        <v>543</v>
      </c>
      <c r="H217" s="22" t="s">
        <v>622</v>
      </c>
      <c r="I217" s="26">
        <v>43752.411805555603</v>
      </c>
      <c r="J217" s="28" t="s">
        <v>51</v>
      </c>
      <c r="K217" s="28" t="s">
        <v>51</v>
      </c>
      <c r="L217" s="28" t="s">
        <v>51</v>
      </c>
      <c r="M217" s="28" t="s">
        <v>51</v>
      </c>
      <c r="N217" s="28" t="s">
        <v>51</v>
      </c>
    </row>
    <row r="218" spans="1:14" x14ac:dyDescent="0.15">
      <c r="A218" s="23" t="str">
        <f>HYPERLINK("https://www.spark-marketing.ru/Card/Person/1006249", "МБОУ НГО ""СОШ № 2""")</f>
        <v>МБОУ НГО "СОШ № 2"</v>
      </c>
      <c r="B218" s="24" t="s">
        <v>623</v>
      </c>
      <c r="C218" s="25">
        <v>460790</v>
      </c>
      <c r="D218" s="22" t="s">
        <v>624</v>
      </c>
      <c r="E218" s="22" t="s">
        <v>48</v>
      </c>
      <c r="F218" s="23" t="str">
        <f>HYPERLINK("https://www.spark-marketing.ru/Card/Lot/74328218", "Услуга по организации питания учащихся МБОУ НГО ""СОШ №2""")</f>
        <v>Услуга по организации питания учащихся МБОУ НГО "СОШ №2"</v>
      </c>
      <c r="G218" s="22" t="s">
        <v>174</v>
      </c>
      <c r="H218" s="22" t="s">
        <v>174</v>
      </c>
      <c r="I218" s="26">
        <v>43752.699722222198</v>
      </c>
      <c r="J218" s="28" t="s">
        <v>51</v>
      </c>
      <c r="K218" s="28" t="s">
        <v>51</v>
      </c>
      <c r="L218" s="28" t="s">
        <v>51</v>
      </c>
      <c r="M218" s="28" t="s">
        <v>51</v>
      </c>
      <c r="N218" s="28" t="s">
        <v>51</v>
      </c>
    </row>
    <row r="219" spans="1:14" x14ac:dyDescent="0.15">
      <c r="A219" s="23" t="str">
        <f>HYPERLINK("https://www.spark-marketing.ru/Card/Person/883363", "ГБОУ ШКОЛА № 91 Г. КРАСНОДАРА")</f>
        <v>ГБОУ ШКОЛА № 91 Г. КРАСНОДАРА</v>
      </c>
      <c r="B219" s="24" t="s">
        <v>625</v>
      </c>
      <c r="C219" s="25">
        <v>266694</v>
      </c>
      <c r="D219" s="22" t="s">
        <v>626</v>
      </c>
      <c r="E219" s="22" t="s">
        <v>48</v>
      </c>
      <c r="F219" s="23" t="str">
        <f>HYPERLINK("https://www.spark-marketing.ru/Card/Lot/74327327", "Услуги по организации и обеспечению питанием обучающихся, воспитанников ГБОУ школы № 91 г. Краснодара")</f>
        <v>Услуги по организации и обеспечению питанием обучающихся, воспитанников ГБОУ школы № 91 г. Краснодара</v>
      </c>
      <c r="G219" s="22" t="s">
        <v>104</v>
      </c>
      <c r="H219" s="22" t="s">
        <v>120</v>
      </c>
      <c r="I219" s="26">
        <v>43752.668749999997</v>
      </c>
      <c r="J219" s="28" t="s">
        <v>51</v>
      </c>
      <c r="K219" s="28" t="s">
        <v>51</v>
      </c>
      <c r="L219" s="28" t="s">
        <v>51</v>
      </c>
      <c r="M219" s="28" t="s">
        <v>51</v>
      </c>
      <c r="N219" s="28" t="s">
        <v>51</v>
      </c>
    </row>
    <row r="220" spans="1:14" x14ac:dyDescent="0.15">
      <c r="A220" s="23" t="str">
        <f>HYPERLINK("https://www.spark-marketing.ru/Card/Person/999589", "МКОУ ""МАРАКСИНСКАЯ ООШ""")</f>
        <v>МКОУ "МАРАКСИНСКАЯ ООШ"</v>
      </c>
      <c r="B220" s="24" t="s">
        <v>627</v>
      </c>
      <c r="C220" s="25">
        <v>350268.74</v>
      </c>
      <c r="D220" s="22" t="s">
        <v>628</v>
      </c>
      <c r="E220" s="22" t="s">
        <v>48</v>
      </c>
      <c r="F220" s="23" t="str">
        <f>HYPERLINK("https://www.spark-marketing.ru/Card/Lot/74327685", "Услуги по организации питания в школьной столовой обучающихся детей льготных категорий в МКОУ «Мараксинская ООШ»")</f>
        <v>Услуги по организации питания в школьной столовой обучающихся детей льготных категорий в МКОУ «Мараксинская ООШ»</v>
      </c>
      <c r="G220" s="22" t="s">
        <v>149</v>
      </c>
      <c r="H220" s="22" t="s">
        <v>149</v>
      </c>
      <c r="I220" s="26">
        <v>43752.5180555556</v>
      </c>
      <c r="J220" s="28" t="s">
        <v>51</v>
      </c>
      <c r="K220" s="28" t="s">
        <v>51</v>
      </c>
      <c r="L220" s="28" t="s">
        <v>51</v>
      </c>
      <c r="M220" s="28" t="s">
        <v>51</v>
      </c>
      <c r="N220" s="28" t="s">
        <v>51</v>
      </c>
    </row>
    <row r="221" spans="1:14" x14ac:dyDescent="0.15">
      <c r="A221" s="23" t="str">
        <f>HYPERLINK("https://www.spark-marketing.ru/Card/Person/60343", "МБУ ""КШП""")</f>
        <v>МБУ "КШП"</v>
      </c>
      <c r="B221" s="24" t="s">
        <v>629</v>
      </c>
      <c r="C221" s="25">
        <v>200000</v>
      </c>
      <c r="D221" s="22" t="s">
        <v>630</v>
      </c>
      <c r="E221" s="22" t="s">
        <v>583</v>
      </c>
      <c r="F221" s="23" t="str">
        <f>HYPERLINK("https://www.spark-marketing.ru/Card/Lot/74325598", "Оказание услуг по поверке и техническому обслуживанию весового оборудования для нужд муниципального бюджетного учреждения «Комбинат школьного питания» в 2019 году.")</f>
        <v>Оказание услуг по поверке и техническому обслуживанию весового оборудования для нужд муниципального бюджетного учреждения «Комбинат школьного питания» в 2019 году.</v>
      </c>
      <c r="G221" s="22" t="s">
        <v>49</v>
      </c>
      <c r="H221" s="22" t="s">
        <v>631</v>
      </c>
      <c r="I221" s="26">
        <v>43752.672916666699</v>
      </c>
      <c r="J221" s="28" t="s">
        <v>51</v>
      </c>
      <c r="K221" s="28" t="s">
        <v>51</v>
      </c>
      <c r="L221" s="28" t="s">
        <v>51</v>
      </c>
      <c r="M221" s="28" t="s">
        <v>51</v>
      </c>
      <c r="N221" s="28" t="s">
        <v>51</v>
      </c>
    </row>
    <row r="222" spans="1:14" x14ac:dyDescent="0.15">
      <c r="A222" s="23" t="str">
        <f>HYPERLINK("https://www.spark-marketing.ru/Card/Person/34132", "СПБ ГБПОУ ""УОР № 1""")</f>
        <v>СПБ ГБПОУ "УОР № 1"</v>
      </c>
      <c r="B222" s="24" t="s">
        <v>632</v>
      </c>
      <c r="C222" s="25">
        <v>688000</v>
      </c>
      <c r="D222" s="22" t="s">
        <v>633</v>
      </c>
      <c r="E222" s="22" t="s">
        <v>374</v>
      </c>
      <c r="F222" s="23" t="str">
        <f>HYPERLINK("https://www.spark-marketing.ru/Card/Lot/74328993",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</v>
      </c>
      <c r="G222" s="22" t="s">
        <v>117</v>
      </c>
      <c r="H222" s="22" t="s">
        <v>117</v>
      </c>
      <c r="I222" s="26">
        <v>43752.668564814798</v>
      </c>
      <c r="J222" s="28" t="s">
        <v>51</v>
      </c>
      <c r="K222" s="28" t="s">
        <v>51</v>
      </c>
      <c r="L222" s="28" t="s">
        <v>51</v>
      </c>
      <c r="M222" s="28" t="s">
        <v>51</v>
      </c>
      <c r="N222" s="28" t="s">
        <v>51</v>
      </c>
    </row>
    <row r="223" spans="1:14" x14ac:dyDescent="0.15">
      <c r="A223" s="23" t="str">
        <f>HYPERLINK("https://www.spark-marketing.ru/Card/Person/52195", "МОУ СОШ № 25")</f>
        <v>МОУ СОШ № 25</v>
      </c>
      <c r="B223" s="24" t="s">
        <v>634</v>
      </c>
      <c r="C223" s="25">
        <v>355760</v>
      </c>
      <c r="D223" s="22" t="s">
        <v>635</v>
      </c>
      <c r="E223" s="22" t="s">
        <v>48</v>
      </c>
      <c r="F223" s="23" t="str">
        <f>HYPERLINK("https://www.spark-marketing.ru/Card/Lot/74320316",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223" s="22" t="s">
        <v>49</v>
      </c>
      <c r="H223" s="22" t="s">
        <v>50</v>
      </c>
      <c r="I223" s="26">
        <v>43752.681388888901</v>
      </c>
      <c r="J223" s="28" t="s">
        <v>51</v>
      </c>
      <c r="K223" s="28" t="s">
        <v>51</v>
      </c>
      <c r="L223" s="28" t="s">
        <v>51</v>
      </c>
      <c r="M223" s="28" t="s">
        <v>51</v>
      </c>
      <c r="N223" s="28" t="s">
        <v>51</v>
      </c>
    </row>
    <row r="224" spans="1:14" x14ac:dyDescent="0.15">
      <c r="A224" s="23" t="str">
        <f>HYPERLINK("https://www.spark-marketing.ru/Card/Person/1080508", "АДМИНИСТРАЦИЯ Р.П. ВОЗНЕСЕНСКОЕ")</f>
        <v>АДМИНИСТРАЦИЯ Р.П. ВОЗНЕСЕНСКОЕ</v>
      </c>
      <c r="B224" s="24" t="s">
        <v>636</v>
      </c>
      <c r="C224" s="25">
        <v>74689</v>
      </c>
      <c r="D224" s="22" t="s">
        <v>637</v>
      </c>
      <c r="E224" s="22" t="s">
        <v>96</v>
      </c>
      <c r="F224" s="23" t="str">
        <f>HYPERLINK("https://www.spark-marketing.ru/Card/Lot/74324308", "Услуги по обеспечению питанием")</f>
        <v>Услуги по обеспечению питанием</v>
      </c>
      <c r="G224" s="22" t="s">
        <v>76</v>
      </c>
      <c r="H224" s="22" t="s">
        <v>638</v>
      </c>
      <c r="I224" s="26">
        <v>43752.695138888899</v>
      </c>
      <c r="J224" s="28" t="s">
        <v>51</v>
      </c>
      <c r="K224" s="28" t="s">
        <v>51</v>
      </c>
      <c r="L224" s="28" t="s">
        <v>51</v>
      </c>
      <c r="M224" s="28" t="s">
        <v>51</v>
      </c>
      <c r="N224" s="28" t="s">
        <v>51</v>
      </c>
    </row>
    <row r="225" spans="1:14" x14ac:dyDescent="0.15">
      <c r="A225" s="23" t="s">
        <v>114</v>
      </c>
      <c r="B225" s="28" t="s">
        <v>51</v>
      </c>
      <c r="C225" s="25">
        <v>10176600</v>
      </c>
      <c r="D225" s="22" t="s">
        <v>639</v>
      </c>
      <c r="E225" s="22" t="s">
        <v>48</v>
      </c>
      <c r="F225" s="23" t="str">
        <f>HYPERLINK("https://www.spark-marketing.ru/Card/Lot/74331253", "Оказание услуги по организации горячего питания")</f>
        <v>Оказание услуги по организации горячего питания</v>
      </c>
      <c r="G225" s="22" t="s">
        <v>51</v>
      </c>
      <c r="H225" s="22" t="s">
        <v>51</v>
      </c>
      <c r="I225" s="26">
        <v>43752.738333333298</v>
      </c>
      <c r="J225" s="28" t="s">
        <v>51</v>
      </c>
      <c r="K225" s="28" t="s">
        <v>51</v>
      </c>
      <c r="L225" s="28" t="s">
        <v>51</v>
      </c>
      <c r="M225" s="28" t="s">
        <v>51</v>
      </c>
      <c r="N225" s="28" t="s">
        <v>51</v>
      </c>
    </row>
    <row r="226" spans="1:14" hidden="1" outlineLevel="1" x14ac:dyDescent="0.15">
      <c r="A226" s="23" t="str">
        <f>HYPERLINK("https://www.spark-marketing.ru/Card/Person/768985", "МАДОУ ДЕТСКИЙ САД № 23 ""СВЕТЛЯЧОК"" ОБЩЕРАЗВИВАЮЩЕГО ВИДА Г.ИШИМБАЯ МР ИШИМБАЙСКИЙ РАЙОН РБ")</f>
        <v>МАДОУ ДЕТСКИЙ САД № 23 "СВЕТЛЯЧОК" ОБЩЕРАЗВИВАЮЩЕГО ВИДА Г.ИШИМБАЯ МР ИШИМБАЙСКИЙ РАЙОН РБ</v>
      </c>
      <c r="B226" s="24" t="s">
        <v>640</v>
      </c>
      <c r="C226" s="25">
        <v>1487850</v>
      </c>
      <c r="D226" s="22" t="s">
        <v>639</v>
      </c>
      <c r="E226" s="22" t="s">
        <v>48</v>
      </c>
      <c r="F226" s="23" t="str">
        <f>HYPERLINK("https://www.spark-marketing.ru/Card/Lot/74331253", "Оказание услуги по организации горячего питания")</f>
        <v>Оказание услуги по организации горячего питания</v>
      </c>
      <c r="G226" s="22" t="s">
        <v>145</v>
      </c>
      <c r="H226" s="22" t="s">
        <v>145</v>
      </c>
      <c r="I226" s="26">
        <v>43752.738333333298</v>
      </c>
      <c r="J226" s="28" t="s">
        <v>51</v>
      </c>
      <c r="K226" s="28" t="s">
        <v>51</v>
      </c>
      <c r="L226" s="28" t="s">
        <v>51</v>
      </c>
      <c r="M226" s="28" t="s">
        <v>51</v>
      </c>
      <c r="N226" s="28" t="s">
        <v>51</v>
      </c>
    </row>
    <row r="227" spans="1:14" hidden="1" outlineLevel="1" x14ac:dyDescent="0.15">
      <c r="A227" s="23" t="str">
        <f>HYPERLINK("https://www.spark-marketing.ru/Card/Person/2255069", "МАДОУ ДЕТСКИЙ САД № 30 ""ЛЕСОВИЧОК"" КОМБИНИРОВАННОГО ВИДА Г.ИШИМБАЯ МР ИШИМБАЙСКИЙ РАЙОН РБ")</f>
        <v>МАДОУ ДЕТСКИЙ САД № 30 "ЛЕСОВИЧОК" КОМБИНИРОВАННОГО ВИДА Г.ИШИМБАЯ МР ИШИМБАЙСКИЙ РАЙОН РБ</v>
      </c>
      <c r="B227" s="24" t="s">
        <v>641</v>
      </c>
      <c r="C227" s="25">
        <v>2812110</v>
      </c>
      <c r="D227" s="22" t="s">
        <v>639</v>
      </c>
      <c r="E227" s="22" t="s">
        <v>48</v>
      </c>
      <c r="F227" s="23" t="str">
        <f>HYPERLINK("https://www.spark-marketing.ru/Card/Lot/74331253", "Оказание услуги по организации горячего питания")</f>
        <v>Оказание услуги по организации горячего питания</v>
      </c>
      <c r="G227" s="22" t="s">
        <v>145</v>
      </c>
      <c r="H227" s="22" t="s">
        <v>145</v>
      </c>
      <c r="I227" s="26">
        <v>43752.738333333298</v>
      </c>
      <c r="J227" s="28" t="s">
        <v>51</v>
      </c>
      <c r="K227" s="28" t="s">
        <v>51</v>
      </c>
      <c r="L227" s="28" t="s">
        <v>51</v>
      </c>
      <c r="M227" s="28" t="s">
        <v>51</v>
      </c>
      <c r="N227" s="28" t="s">
        <v>51</v>
      </c>
    </row>
    <row r="228" spans="1:14" hidden="1" outlineLevel="1" x14ac:dyDescent="0.15">
      <c r="A228" s="23" t="str">
        <f>HYPERLINK("https://www.spark-marketing.ru/Card/Person/2439514", "МАДОУ ДЕТСКИЙ САД № 27 ""РОСИНКА"" КОМБИНИРОВАННОГО ВИДА Г.ИШИМБАЯ МР ИШИМБАЙСКИЙ РАЙОН РБ")</f>
        <v>МАДОУ ДЕТСКИЙ САД № 27 "РОСИНКА" КОМБИНИРОВАННОГО ВИДА Г.ИШИМБАЯ МР ИШИМБАЙСКИЙ РАЙОН РБ</v>
      </c>
      <c r="B228" s="24" t="s">
        <v>642</v>
      </c>
      <c r="C228" s="25">
        <v>3258990</v>
      </c>
      <c r="D228" s="22" t="s">
        <v>639</v>
      </c>
      <c r="E228" s="22" t="s">
        <v>48</v>
      </c>
      <c r="F228" s="23" t="str">
        <f>HYPERLINK("https://www.spark-marketing.ru/Card/Lot/74331253", "Оказание услуги по организации горячего питания")</f>
        <v>Оказание услуги по организации горячего питания</v>
      </c>
      <c r="G228" s="22" t="s">
        <v>145</v>
      </c>
      <c r="H228" s="22" t="s">
        <v>145</v>
      </c>
      <c r="I228" s="26">
        <v>43752.738333333298</v>
      </c>
      <c r="J228" s="28" t="s">
        <v>51</v>
      </c>
      <c r="K228" s="28" t="s">
        <v>51</v>
      </c>
      <c r="L228" s="28" t="s">
        <v>51</v>
      </c>
      <c r="M228" s="28" t="s">
        <v>51</v>
      </c>
      <c r="N228" s="28" t="s">
        <v>51</v>
      </c>
    </row>
    <row r="229" spans="1:14" hidden="1" outlineLevel="1" x14ac:dyDescent="0.15">
      <c r="A229" s="23" t="str">
        <f>HYPERLINK("https://www.spark-marketing.ru/Card/Person/2485296", "МАДОУ ДЕТСКИЙ САД № 29 ""АИСТ"" КОМБИНИРОВАННОГО ВИДА Г.ИШИМБАЯ МР ИШИМБАЙСКИЙ РАЙОН РБ")</f>
        <v>МАДОУ ДЕТСКИЙ САД № 29 "АИСТ" КОМБИНИРОВАННОГО ВИДА Г.ИШИМБАЯ МР ИШИМБАЙСКИЙ РАЙОН РБ</v>
      </c>
      <c r="B229" s="24" t="s">
        <v>643</v>
      </c>
      <c r="C229" s="25">
        <v>2617650</v>
      </c>
      <c r="D229" s="22" t="s">
        <v>639</v>
      </c>
      <c r="E229" s="22" t="s">
        <v>48</v>
      </c>
      <c r="F229" s="23" t="str">
        <f>HYPERLINK("https://www.spark-marketing.ru/Card/Lot/74331253", "Оказание услуги по организации горячего питания")</f>
        <v>Оказание услуги по организации горячего питания</v>
      </c>
      <c r="G229" s="22" t="s">
        <v>145</v>
      </c>
      <c r="H229" s="22" t="s">
        <v>145</v>
      </c>
      <c r="I229" s="26">
        <v>43752.738333333298</v>
      </c>
      <c r="J229" s="28" t="s">
        <v>51</v>
      </c>
      <c r="K229" s="28" t="s">
        <v>51</v>
      </c>
      <c r="L229" s="28" t="s">
        <v>51</v>
      </c>
      <c r="M229" s="28" t="s">
        <v>51</v>
      </c>
      <c r="N229" s="28" t="s">
        <v>51</v>
      </c>
    </row>
    <row r="230" spans="1:14" x14ac:dyDescent="0.15">
      <c r="A230" s="23" t="str">
        <f>HYPERLINK("https://www.spark-marketing.ru/Card/Person/5465", "ГБУЗ ""ШАРЛЫКСКАЯ РБ""")</f>
        <v>ГБУЗ "ШАРЛЫКСКАЯ РБ"</v>
      </c>
      <c r="B230" s="24" t="s">
        <v>644</v>
      </c>
      <c r="C230" s="25">
        <v>39170</v>
      </c>
      <c r="D230" s="22" t="s">
        <v>645</v>
      </c>
      <c r="E230" s="22" t="s">
        <v>62</v>
      </c>
      <c r="F230" s="23" t="str">
        <f>HYPERLINK("https://www.spark-marketing.ru/Card/Lot/74321219", "на поставку печатной продукции")</f>
        <v>на поставку печатной продукции</v>
      </c>
      <c r="G230" s="22" t="s">
        <v>132</v>
      </c>
      <c r="H230" s="22" t="s">
        <v>646</v>
      </c>
      <c r="I230" s="26">
        <v>43752.564583333296</v>
      </c>
      <c r="J230" s="28" t="s">
        <v>51</v>
      </c>
      <c r="K230" s="28" t="s">
        <v>51</v>
      </c>
      <c r="L230" s="28" t="s">
        <v>51</v>
      </c>
      <c r="M230" s="28" t="s">
        <v>51</v>
      </c>
      <c r="N230" s="28" t="s">
        <v>51</v>
      </c>
    </row>
    <row r="231" spans="1:14" x14ac:dyDescent="0.15">
      <c r="A231" s="23" t="str">
        <f>HYPERLINK("https://www.spark-marketing.ru/Card/Person/41097", "МУ МВД РОССИИ ""КРАСНОЯРСКОЕ""")</f>
        <v>МУ МВД РОССИИ "КРАСНОЯРСКОЕ"</v>
      </c>
      <c r="B231" s="24" t="s">
        <v>647</v>
      </c>
      <c r="C231" s="25">
        <v>1224931</v>
      </c>
      <c r="D231" s="22" t="s">
        <v>648</v>
      </c>
      <c r="E231" s="22" t="s">
        <v>48</v>
      </c>
      <c r="F231" s="23" t="str">
        <f>HYPERLINK("https://www.spark-marketing.ru/Card/Lot/74330097", "Оказание услуг по организации готового горячего питания лиц, задержанных за административные правонарушения и содержащихся более трех часов в помещениях  для задержанных в отделах полиции №№ 1, 2, 3, 4, 5, 6, 7, 8, 9, 10 МУ МВД России  «Красноярское»...")</f>
        <v>Оказание услуг по организации готового горячего питания лиц, задержанных за административные правонарушения и содержащихся более трех часов в помещениях  для задержанных в отделах полиции №№ 1, 2, 3, 4, 5, 6, 7, 8, 9, 10 МУ МВД России  «Красноярское»...</v>
      </c>
      <c r="G231" s="22" t="s">
        <v>281</v>
      </c>
      <c r="H231" s="22" t="s">
        <v>281</v>
      </c>
      <c r="I231" s="26">
        <v>43752.4909722222</v>
      </c>
      <c r="J231" s="28" t="s">
        <v>51</v>
      </c>
      <c r="K231" s="28" t="s">
        <v>51</v>
      </c>
      <c r="L231" s="28" t="s">
        <v>51</v>
      </c>
      <c r="M231" s="28" t="s">
        <v>51</v>
      </c>
      <c r="N231" s="28" t="s">
        <v>51</v>
      </c>
    </row>
    <row r="232" spans="1:14" x14ac:dyDescent="0.15">
      <c r="A232" s="23" t="str">
        <f>HYPERLINK("https://www.spark-marketing.ru/Card/Person/363132", "ОТДЕЛ МВД РОССИИ ПО МИЛЛЕРОВСКОМУ РАЙОНУ")</f>
        <v>ОТДЕЛ МВД РОССИИ ПО МИЛЛЕРОВСКОМУ РАЙОНУ</v>
      </c>
      <c r="B232" s="24" t="s">
        <v>649</v>
      </c>
      <c r="C232" s="25">
        <v>997000</v>
      </c>
      <c r="D232" s="22" t="s">
        <v>650</v>
      </c>
      <c r="E232" s="22" t="s">
        <v>48</v>
      </c>
      <c r="F232" s="23" t="str">
        <f>HYPERLINK("https://www.spark-marketing.ru/Card/Lot/74329645", "Питание в ИВС")</f>
        <v>Питание в ИВС</v>
      </c>
      <c r="G232" s="22" t="s">
        <v>267</v>
      </c>
      <c r="H232" s="22" t="s">
        <v>651</v>
      </c>
      <c r="I232" s="26">
        <v>43752.657685185201</v>
      </c>
      <c r="J232" s="28" t="s">
        <v>51</v>
      </c>
      <c r="K232" s="28" t="s">
        <v>51</v>
      </c>
      <c r="L232" s="28" t="s">
        <v>51</v>
      </c>
      <c r="M232" s="28" t="s">
        <v>51</v>
      </c>
      <c r="N232" s="28" t="s">
        <v>51</v>
      </c>
    </row>
    <row r="233" spans="1:14" x14ac:dyDescent="0.15">
      <c r="A233" s="23" t="str">
        <f>HYPERLINK("https://www.spark-marketing.ru/Card/Person/50924", "ГУЗ ""ТО ДМС ""ИНШИНКА"" ИМ. СУПРУГОВ БАТАШЕВА И.С. И БАТАШЕВОЙ А.В.""")</f>
        <v>ГУЗ "ТО ДМС "ИНШИНКА" ИМ. СУПРУГОВ БАТАШЕВА И.С. И БАТАШЕВОЙ А.В."</v>
      </c>
      <c r="B233" s="24" t="s">
        <v>652</v>
      </c>
      <c r="C233" s="25">
        <v>2028780</v>
      </c>
      <c r="D233" s="22" t="s">
        <v>653</v>
      </c>
      <c r="E233" s="22" t="s">
        <v>48</v>
      </c>
      <c r="F233" s="23" t="str">
        <f>HYPERLINK("https://www.spark-marketing.ru/Card/Lot/74331947", "Оказание услуг по организации лечебного питания пациентов")</f>
        <v>Оказание услуг по организации лечебного питания пациентов</v>
      </c>
      <c r="G233" s="22" t="s">
        <v>68</v>
      </c>
      <c r="H233" s="22" t="s">
        <v>654</v>
      </c>
      <c r="I233" s="26">
        <v>43752.660578703697</v>
      </c>
      <c r="J233" s="28" t="s">
        <v>51</v>
      </c>
      <c r="K233" s="28" t="s">
        <v>51</v>
      </c>
      <c r="L233" s="28" t="s">
        <v>51</v>
      </c>
      <c r="M233" s="28" t="s">
        <v>51</v>
      </c>
      <c r="N233" s="28" t="s">
        <v>51</v>
      </c>
    </row>
    <row r="234" spans="1:14" x14ac:dyDescent="0.15">
      <c r="A234" s="23" t="str">
        <f>HYPERLINK("https://www.spark-marketing.ru/Card/Person/102667", "ГБПОУ АО ""ТСИГХ""")</f>
        <v>ГБПОУ АО "ТСИГХ"</v>
      </c>
      <c r="B234" s="24" t="s">
        <v>655</v>
      </c>
      <c r="C234" s="25">
        <v>2928506</v>
      </c>
      <c r="D234" s="22" t="s">
        <v>656</v>
      </c>
      <c r="E234" s="22" t="s">
        <v>48</v>
      </c>
      <c r="F234" s="23" t="str">
        <f>HYPERLINK("https://www.spark-marketing.ru/Card/Lot/74331134", "На оказание услуг по организации питания обучающихся  государственного бюджетного профессионального образовательного учреждения Архангельской области «Техникум строительства и городского хозяйства»")</f>
        <v>На оказание услуг по организации питания обучающихся  государственного бюджетного профессионального образовательного учреждения Архангельской области «Техникум строительства и городского хозяйства»</v>
      </c>
      <c r="G234" s="22" t="s">
        <v>214</v>
      </c>
      <c r="H234" s="22" t="s">
        <v>523</v>
      </c>
      <c r="I234" s="26">
        <v>43752.6652777778</v>
      </c>
      <c r="J234" s="28" t="s">
        <v>51</v>
      </c>
      <c r="K234" s="28" t="s">
        <v>51</v>
      </c>
      <c r="L234" s="28" t="s">
        <v>51</v>
      </c>
      <c r="M234" s="28" t="s">
        <v>51</v>
      </c>
      <c r="N234" s="28" t="s">
        <v>51</v>
      </c>
    </row>
    <row r="235" spans="1:14" x14ac:dyDescent="0.15">
      <c r="A235" s="23" t="s">
        <v>114</v>
      </c>
      <c r="B235" s="28" t="s">
        <v>51</v>
      </c>
      <c r="C235" s="25">
        <v>1778933.33</v>
      </c>
      <c r="D235" s="22" t="s">
        <v>657</v>
      </c>
      <c r="E235" s="22" t="s">
        <v>48</v>
      </c>
      <c r="F235" s="23" t="str">
        <f>HYPERLINK("https://www.spark-marketing.ru/Card/Lot/74331681",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235" s="22" t="s">
        <v>51</v>
      </c>
      <c r="H235" s="22" t="s">
        <v>51</v>
      </c>
      <c r="I235" s="26">
        <v>43752.634525463</v>
      </c>
      <c r="J235" s="28" t="s">
        <v>51</v>
      </c>
      <c r="K235" s="28" t="s">
        <v>51</v>
      </c>
      <c r="L235" s="28" t="s">
        <v>51</v>
      </c>
      <c r="M235" s="28" t="s">
        <v>51</v>
      </c>
      <c r="N235" s="28" t="s">
        <v>51</v>
      </c>
    </row>
    <row r="236" spans="1:14" hidden="1" outlineLevel="1" x14ac:dyDescent="0.15">
      <c r="A236" s="23" t="str">
        <f>HYPERLINK("https://www.spark-marketing.ru/Card/Person/104684", "МОУ ДУБРОВИЦКАЯ ШКОЛА")</f>
        <v>МОУ ДУБРОВИЦКАЯ ШКОЛА</v>
      </c>
      <c r="B236" s="24" t="s">
        <v>658</v>
      </c>
      <c r="C236" s="25">
        <v>614300.67000000004</v>
      </c>
      <c r="D236" s="22" t="s">
        <v>657</v>
      </c>
      <c r="E236" s="22" t="s">
        <v>48</v>
      </c>
      <c r="F236" s="23" t="str">
        <f>HYPERLINK("https://www.spark-marketing.ru/Card/Lot/74331681",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236" s="22" t="s">
        <v>49</v>
      </c>
      <c r="H236" s="22" t="s">
        <v>50</v>
      </c>
      <c r="I236" s="26">
        <v>43752.634525463</v>
      </c>
      <c r="J236" s="28" t="s">
        <v>51</v>
      </c>
      <c r="K236" s="28" t="s">
        <v>51</v>
      </c>
      <c r="L236" s="28" t="s">
        <v>51</v>
      </c>
      <c r="M236" s="28" t="s">
        <v>51</v>
      </c>
      <c r="N236" s="28" t="s">
        <v>51</v>
      </c>
    </row>
    <row r="237" spans="1:14" hidden="1" outlineLevel="1" x14ac:dyDescent="0.15">
      <c r="A237" s="23" t="str">
        <f>HYPERLINK("https://www.spark-marketing.ru/Card/Person/149584", "МОУ ЛЬВОВСКАЯ ШКОЛА № 4")</f>
        <v>МОУ ЛЬВОВСКАЯ ШКОЛА № 4</v>
      </c>
      <c r="B237" s="24" t="s">
        <v>659</v>
      </c>
      <c r="C237" s="25">
        <v>520352.13</v>
      </c>
      <c r="D237" s="22" t="s">
        <v>657</v>
      </c>
      <c r="E237" s="22" t="s">
        <v>48</v>
      </c>
      <c r="F237" s="23" t="str">
        <f>HYPERLINK("https://www.spark-marketing.ru/Card/Lot/74331681",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237" s="22" t="s">
        <v>49</v>
      </c>
      <c r="H237" s="22" t="s">
        <v>50</v>
      </c>
      <c r="I237" s="26">
        <v>43752.634525463</v>
      </c>
      <c r="J237" s="28" t="s">
        <v>51</v>
      </c>
      <c r="K237" s="28" t="s">
        <v>51</v>
      </c>
      <c r="L237" s="28" t="s">
        <v>51</v>
      </c>
      <c r="M237" s="28" t="s">
        <v>51</v>
      </c>
      <c r="N237" s="28" t="s">
        <v>51</v>
      </c>
    </row>
    <row r="238" spans="1:14" hidden="1" outlineLevel="1" x14ac:dyDescent="0.15">
      <c r="A238" s="23" t="str">
        <f>HYPERLINK("https://www.spark-marketing.ru/Card/Person/151305", "МОУ ""ЛИЦЕЙ № 1 ПОС. ЛЬВОВСКИЙ"".")</f>
        <v>МОУ "ЛИЦЕЙ № 1 ПОС. ЛЬВОВСКИЙ".</v>
      </c>
      <c r="B238" s="24" t="s">
        <v>660</v>
      </c>
      <c r="C238" s="25">
        <v>644280.53</v>
      </c>
      <c r="D238" s="22" t="s">
        <v>657</v>
      </c>
      <c r="E238" s="22" t="s">
        <v>48</v>
      </c>
      <c r="F238" s="23" t="str">
        <f>HYPERLINK("https://www.spark-marketing.ru/Card/Lot/74331681",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238" s="22" t="s">
        <v>49</v>
      </c>
      <c r="H238" s="22" t="s">
        <v>50</v>
      </c>
      <c r="I238" s="26">
        <v>43752.634525463</v>
      </c>
      <c r="J238" s="28" t="s">
        <v>51</v>
      </c>
      <c r="K238" s="28" t="s">
        <v>51</v>
      </c>
      <c r="L238" s="28" t="s">
        <v>51</v>
      </c>
      <c r="M238" s="28" t="s">
        <v>51</v>
      </c>
      <c r="N238" s="28" t="s">
        <v>51</v>
      </c>
    </row>
    <row r="239" spans="1:14" x14ac:dyDescent="0.15">
      <c r="A239" s="23" t="str">
        <f>HYPERLINK("https://www.spark-marketing.ru/Card/Person/8930", "ФКУЗ ""МСЧ МВД РОССИИ ПО ВЛАДИМИРСКОЙ ОБЛАСТИ""")</f>
        <v>ФКУЗ "МСЧ МВД РОССИИ ПО ВЛАДИМИРСКОЙ ОБЛАСТИ"</v>
      </c>
      <c r="B239" s="24" t="s">
        <v>661</v>
      </c>
      <c r="C239" s="25">
        <v>63433.37</v>
      </c>
      <c r="D239" s="22" t="s">
        <v>662</v>
      </c>
      <c r="E239" s="22" t="s">
        <v>317</v>
      </c>
      <c r="F239" s="23" t="str">
        <f>HYPERLINK("https://www.spark-marketing.ru/Card/Lot/74326368", "Прочая закупка товаров, работ и услуг (основные средства-медицинское оборудование) на 2020 год для нужд ФКУЗ ""МСЧ МВД России по Владимирской области""")</f>
        <v>Прочая закупка товаров, работ и услуг (основные средства-медицинское оборудование) на 2020 год для нужд ФКУЗ "МСЧ МВД России по Владимирской области"</v>
      </c>
      <c r="G239" s="22" t="s">
        <v>663</v>
      </c>
      <c r="H239" s="22" t="s">
        <v>664</v>
      </c>
      <c r="I239" s="26">
        <v>43752.654861111099</v>
      </c>
      <c r="J239" s="28" t="s">
        <v>51</v>
      </c>
      <c r="K239" s="28" t="s">
        <v>51</v>
      </c>
      <c r="L239" s="28" t="s">
        <v>51</v>
      </c>
      <c r="M239" s="28" t="s">
        <v>51</v>
      </c>
      <c r="N239" s="28" t="s">
        <v>51</v>
      </c>
    </row>
    <row r="240" spans="1:14" x14ac:dyDescent="0.15">
      <c r="A240" s="23" t="str">
        <f>HYPERLINK("https://www.spark-marketing.ru/Card/Person/41097", "МУ МВД РОССИИ ""КРАСНОЯРСКОЕ""")</f>
        <v>МУ МВД РОССИИ "КРАСНОЯРСКОЕ"</v>
      </c>
      <c r="B240" s="24" t="s">
        <v>647</v>
      </c>
      <c r="C240" s="25">
        <v>250000</v>
      </c>
      <c r="D240" s="22" t="s">
        <v>665</v>
      </c>
      <c r="E240" s="22" t="s">
        <v>48</v>
      </c>
      <c r="F240" s="23" t="str">
        <f>HYPERLINK("https://www.spark-marketing.ru/Card/Lot/74326786", "Оказание услуг по организации готового горячего питания лиц, задержанных за административные правонарушения и содержащихся более трех часов в помещениях  для задержанных в отделе полиции № 13 МУ МВД России  «Красноярское» (2020-2021 годы)")</f>
        <v>Оказание услуг по организации готового горячего питания лиц, задержанных за административные правонарушения и содержащихся более трех часов в помещениях  для задержанных в отделе полиции № 13 МУ МВД России  «Красноярское» (2020-2021 годы)</v>
      </c>
      <c r="G240" s="22" t="s">
        <v>281</v>
      </c>
      <c r="H240" s="22" t="s">
        <v>281</v>
      </c>
      <c r="I240" s="26">
        <v>43752.492361111101</v>
      </c>
      <c r="J240" s="28" t="s">
        <v>51</v>
      </c>
      <c r="K240" s="28" t="s">
        <v>51</v>
      </c>
      <c r="L240" s="28" t="s">
        <v>51</v>
      </c>
      <c r="M240" s="28" t="s">
        <v>51</v>
      </c>
      <c r="N240" s="28" t="s">
        <v>51</v>
      </c>
    </row>
    <row r="241" spans="1:14" x14ac:dyDescent="0.15">
      <c r="A241" s="23" t="str">
        <f>HYPERLINK("https://www.spark-marketing.ru/Card/Person/1015077", "МКУ ""МФЦ""")</f>
        <v>МКУ "МФЦ"</v>
      </c>
      <c r="B241" s="24" t="s">
        <v>666</v>
      </c>
      <c r="C241" s="25">
        <v>198093.02</v>
      </c>
      <c r="D241" s="22" t="s">
        <v>667</v>
      </c>
      <c r="E241" s="22" t="s">
        <v>536</v>
      </c>
      <c r="F241" s="23" t="str">
        <f>HYPERLINK("https://www.spark-marketing.ru/Card/Lot/74325666", "Поставка компьютерного оборудования и оргтехники для нужд муниципального казенного учреждения ""Многофункциональный центр по предоставлению государственных и муниципальных услуг""")</f>
        <v>Поставка компьютерного оборудования и оргтехники для нужд муниципального казенного учреждения "Многофункциональный центр по предоставлению государственных и муниципальных услуг"</v>
      </c>
      <c r="G241" s="22" t="s">
        <v>340</v>
      </c>
      <c r="H241" s="22" t="s">
        <v>668</v>
      </c>
      <c r="I241" s="26">
        <v>43752.635416666701</v>
      </c>
      <c r="J241" s="28" t="s">
        <v>51</v>
      </c>
      <c r="K241" s="28" t="s">
        <v>51</v>
      </c>
      <c r="L241" s="28" t="s">
        <v>51</v>
      </c>
      <c r="M241" s="28" t="s">
        <v>51</v>
      </c>
      <c r="N241" s="28" t="s">
        <v>51</v>
      </c>
    </row>
    <row r="242" spans="1:14" x14ac:dyDescent="0.15">
      <c r="A242" s="23" t="str">
        <f>HYPERLINK("https://www.spark-marketing.ru/Card/Person/28034", "ГБУЗ РБ ГБ Г. НЕФТЕКАМСК")</f>
        <v>ГБУЗ РБ ГБ Г. НЕФТЕКАМСК</v>
      </c>
      <c r="B242" s="24" t="s">
        <v>669</v>
      </c>
      <c r="C242" s="25">
        <v>49980000</v>
      </c>
      <c r="D242" s="22" t="s">
        <v>670</v>
      </c>
      <c r="E242" s="22" t="s">
        <v>86</v>
      </c>
      <c r="F242" s="23" t="str">
        <f>HYPERLINK("https://www.spark-marketing.ru/Card/Lot/74331194", "Оказание услуг по специализированной медицинской помощи по диетологии (организация диетического лечебного питания) пациентам ГБУЗ РБ ГБ г. Нефтекамск")</f>
        <v>Оказание услуг по специализированной медицинской помощи по диетологии (организация диетического лечебного питания) пациентам ГБУЗ РБ ГБ г. Нефтекамск</v>
      </c>
      <c r="G242" s="22" t="s">
        <v>145</v>
      </c>
      <c r="H242" s="22" t="s">
        <v>145</v>
      </c>
      <c r="I242" s="26">
        <v>43752.6703472222</v>
      </c>
      <c r="J242" s="28" t="s">
        <v>51</v>
      </c>
      <c r="K242" s="28" t="s">
        <v>51</v>
      </c>
      <c r="L242" s="28" t="s">
        <v>51</v>
      </c>
      <c r="M242" s="28" t="s">
        <v>51</v>
      </c>
      <c r="N242" s="28" t="s">
        <v>51</v>
      </c>
    </row>
    <row r="243" spans="1:14" x14ac:dyDescent="0.15">
      <c r="A243" s="23" t="str">
        <f>HYPERLINK("https://www.spark-marketing.ru/Card/Person/4345974", "МИНЗДРАВ ЗАБАЙКАЛЬСКОГО КРАЯ")</f>
        <v>МИНЗДРАВ ЗАБАЙКАЛЬСКОГО КРАЯ</v>
      </c>
      <c r="B243" s="24" t="s">
        <v>671</v>
      </c>
      <c r="C243" s="25">
        <v>29140101.91</v>
      </c>
      <c r="D243" s="22" t="s">
        <v>672</v>
      </c>
      <c r="E243" s="22" t="s">
        <v>86</v>
      </c>
      <c r="F243" s="23" t="str">
        <f>HYPERLINK("https://www.spark-marketing.ru/Card/Lot/74332356", "Оказание услуги по приемке и хранению лекарственных препаратов, медицинских изделий, а также специализированных продуктов лечебного питания, предназначенных для дальнейшего отпуска по рецептам льготным категориям граждан (12047-ЭА)")</f>
        <v>Оказание услуги по приемке и хранению лекарственных препаратов, медицинских изделий, а также специализированных продуктов лечебного питания, предназначенных для дальнейшего отпуска по рецептам льготным категориям граждан (12047-ЭА)</v>
      </c>
      <c r="G243" s="22" t="s">
        <v>228</v>
      </c>
      <c r="H243" s="22" t="s">
        <v>394</v>
      </c>
      <c r="I243" s="26">
        <v>43752.592291666697</v>
      </c>
      <c r="J243" s="28" t="s">
        <v>51</v>
      </c>
      <c r="K243" s="28" t="s">
        <v>51</v>
      </c>
      <c r="L243" s="28" t="s">
        <v>51</v>
      </c>
      <c r="M243" s="28" t="s">
        <v>51</v>
      </c>
      <c r="N243" s="28" t="s">
        <v>51</v>
      </c>
    </row>
    <row r="244" spans="1:14" x14ac:dyDescent="0.15">
      <c r="A244" s="23" t="str">
        <f>HYPERLINK("https://www.spark-marketing.ru/Card/Person/65253", "ГБУЗ ПК ""ГДКП № 5""")</f>
        <v>ГБУЗ ПК "ГДКП № 5"</v>
      </c>
      <c r="B244" s="24" t="s">
        <v>673</v>
      </c>
      <c r="C244" s="25">
        <v>32633.24</v>
      </c>
      <c r="D244" s="22" t="s">
        <v>674</v>
      </c>
      <c r="E244" s="22" t="s">
        <v>675</v>
      </c>
      <c r="F244" s="23" t="str">
        <f>HYPERLINK("https://www.spark-marketing.ru/Card/Lot/74317883", "Оказание услуг по вывозу списанного медицинского оборудования и оргтехники с последующей утилизацией")</f>
        <v>Оказание услуг по вывозу списанного медицинского оборудования и оргтехники с последующей утилизацией</v>
      </c>
      <c r="G244" s="22" t="s">
        <v>153</v>
      </c>
      <c r="H244" s="22" t="s">
        <v>153</v>
      </c>
      <c r="I244" s="26">
        <v>43752.520138888904</v>
      </c>
      <c r="J244" s="28" t="s">
        <v>51</v>
      </c>
      <c r="K244" s="28" t="s">
        <v>51</v>
      </c>
      <c r="L244" s="28" t="s">
        <v>51</v>
      </c>
      <c r="M244" s="28" t="s">
        <v>51</v>
      </c>
      <c r="N244" s="28" t="s">
        <v>51</v>
      </c>
    </row>
    <row r="245" spans="1:14" x14ac:dyDescent="0.15">
      <c r="A245" s="23" t="str">
        <f>HYPERLINK("https://www.spark-marketing.ru/Card/Person/1028831", "МБУ МЦ ""ВОЗРОЖДЕНИЕ""")</f>
        <v>МБУ МЦ "ВОЗРОЖДЕНИЕ"</v>
      </c>
      <c r="B245" s="24" t="s">
        <v>676</v>
      </c>
      <c r="C245" s="25">
        <v>493200</v>
      </c>
      <c r="D245" s="22" t="s">
        <v>677</v>
      </c>
      <c r="E245" s="22" t="s">
        <v>81</v>
      </c>
      <c r="F245" s="23" t="str">
        <f>HYPERLINK("https://www.spark-marketing.ru/Card/Lot/74328331", "Услуги по питанию/проживанию участников мероприятия")</f>
        <v>Услуги по питанию/проживанию участников мероприятия</v>
      </c>
      <c r="G245" s="22" t="s">
        <v>49</v>
      </c>
      <c r="H245" s="22" t="s">
        <v>204</v>
      </c>
      <c r="I245" s="26">
        <v>43752.615578703699</v>
      </c>
      <c r="J245" s="28" t="s">
        <v>51</v>
      </c>
      <c r="K245" s="28" t="s">
        <v>51</v>
      </c>
      <c r="L245" s="28" t="s">
        <v>51</v>
      </c>
      <c r="M245" s="28" t="s">
        <v>51</v>
      </c>
      <c r="N245" s="28" t="s">
        <v>51</v>
      </c>
    </row>
    <row r="246" spans="1:14" x14ac:dyDescent="0.15">
      <c r="A246" s="23" t="str">
        <f>HYPERLINK("https://www.spark-marketing.ru/Card/Person/25266", "ГБУЗ ПК ""ОЧЕРСКАЯ ЦРБ""")</f>
        <v>ГБУЗ ПК "ОЧЕРСКАЯ ЦРБ"</v>
      </c>
      <c r="B246" s="24" t="s">
        <v>678</v>
      </c>
      <c r="C246" s="25">
        <v>499847.81</v>
      </c>
      <c r="D246" s="22" t="s">
        <v>679</v>
      </c>
      <c r="E246" s="22" t="s">
        <v>96</v>
      </c>
      <c r="F246" s="23" t="str">
        <f>HYPERLINK("https://www.spark-marketing.ru/Card/Lot/74328547", "услуги по организации питания")</f>
        <v>услуги по организации питания</v>
      </c>
      <c r="G246" s="22" t="s">
        <v>153</v>
      </c>
      <c r="H246" s="22" t="s">
        <v>153</v>
      </c>
      <c r="I246" s="26">
        <v>43752.518750000003</v>
      </c>
      <c r="J246" s="28" t="s">
        <v>51</v>
      </c>
      <c r="K246" s="28" t="s">
        <v>51</v>
      </c>
      <c r="L246" s="28" t="s">
        <v>51</v>
      </c>
      <c r="M246" s="28" t="s">
        <v>51</v>
      </c>
      <c r="N246" s="28" t="s">
        <v>51</v>
      </c>
    </row>
    <row r="247" spans="1:14" x14ac:dyDescent="0.15">
      <c r="A247" s="23" t="str">
        <f>HYPERLINK("https://www.spark-marketing.ru/Card/Person/58003", "ГУЗ ""ДГБ №1""")</f>
        <v>ГУЗ "ДГБ №1"</v>
      </c>
      <c r="B247" s="24" t="s">
        <v>680</v>
      </c>
      <c r="C247" s="25">
        <v>15249816</v>
      </c>
      <c r="D247" s="22" t="s">
        <v>681</v>
      </c>
      <c r="E247" s="22" t="s">
        <v>48</v>
      </c>
      <c r="F247" s="23" t="str">
        <f>HYPERLINK("https://www.spark-marketing.ru/Card/Lot/74332248", "Оказание услуг по организации общественного питания")</f>
        <v>Оказание услуг по организации общественного питания</v>
      </c>
      <c r="G247" s="22" t="s">
        <v>68</v>
      </c>
      <c r="H247" s="22" t="s">
        <v>682</v>
      </c>
      <c r="I247" s="26">
        <v>43752.623414351903</v>
      </c>
      <c r="J247" s="28" t="s">
        <v>51</v>
      </c>
      <c r="K247" s="28" t="s">
        <v>51</v>
      </c>
      <c r="L247" s="28" t="s">
        <v>51</v>
      </c>
      <c r="M247" s="28" t="s">
        <v>51</v>
      </c>
      <c r="N247" s="28" t="s">
        <v>51</v>
      </c>
    </row>
    <row r="248" spans="1:14" x14ac:dyDescent="0.15">
      <c r="A248" s="23" t="str">
        <f>HYPERLINK("https://www.spark-marketing.ru/Card/Person/1008155", "МБОУ ""БОРКОВСКАЯ СОШ""")</f>
        <v>МБОУ "БОРКОВСКАЯ СОШ"</v>
      </c>
      <c r="B248" s="24" t="s">
        <v>501</v>
      </c>
      <c r="C248" s="25">
        <v>287024</v>
      </c>
      <c r="D248" s="22" t="s">
        <v>683</v>
      </c>
      <c r="E248" s="22" t="s">
        <v>48</v>
      </c>
      <c r="F248" s="23" t="str">
        <f>HYPERLINK("https://www.spark-marketing.ru/Card/Lot/74327262", "оказание услуг по организации горячего питания")</f>
        <v>оказание услуг по организации горячего питания</v>
      </c>
      <c r="G248" s="22" t="s">
        <v>503</v>
      </c>
      <c r="H248" s="22" t="s">
        <v>503</v>
      </c>
      <c r="I248" s="26">
        <v>43752.592361111099</v>
      </c>
      <c r="J248" s="28" t="s">
        <v>51</v>
      </c>
      <c r="K248" s="28" t="s">
        <v>51</v>
      </c>
      <c r="L248" s="28" t="s">
        <v>51</v>
      </c>
      <c r="M248" s="28" t="s">
        <v>51</v>
      </c>
      <c r="N248" s="28" t="s">
        <v>51</v>
      </c>
    </row>
    <row r="249" spans="1:14" x14ac:dyDescent="0.15">
      <c r="A249" s="23" t="str">
        <f>HYPERLINK("https://www.spark-marketing.ru/Card/Person/88455", "ГКУ ""УПРАВЛЕНИЕ ЗДАНИЯМИ ПСК""")</f>
        <v>ГКУ "УПРАВЛЕНИЕ ЗДАНИЯМИ ПСК"</v>
      </c>
      <c r="B249" s="24" t="s">
        <v>684</v>
      </c>
      <c r="C249" s="25">
        <v>500000</v>
      </c>
      <c r="D249" s="22" t="s">
        <v>685</v>
      </c>
      <c r="E249" s="22" t="s">
        <v>96</v>
      </c>
      <c r="F249" s="23" t="str">
        <f>HYPERLINK("https://www.spark-marketing.ru/Card/Lot/74331993", "Оказание услуг по организации питания и обслуживания приглашенных лиц и делегаций при проведении мероприятий (завтраки, обеды, ужины и другие аналогичные мероприятия), связанных с официальными приемами Губернатора Ставропольского края, Правительства ...")</f>
        <v>Оказание услуг по организации питания и обслуживания приглашенных лиц и делегаций при проведении мероприятий (завтраки, обеды, ужины и другие аналогичные мероприятия), связанных с официальными приемами Губернатора Ставропольского края, Правительства ...</v>
      </c>
      <c r="G249" s="22" t="s">
        <v>87</v>
      </c>
      <c r="H249" s="22" t="s">
        <v>686</v>
      </c>
      <c r="I249" s="26">
        <v>43752.6</v>
      </c>
      <c r="J249" s="28" t="s">
        <v>51</v>
      </c>
      <c r="K249" s="28" t="s">
        <v>51</v>
      </c>
      <c r="L249" s="28" t="s">
        <v>51</v>
      </c>
      <c r="M249" s="28" t="s">
        <v>51</v>
      </c>
      <c r="N249" s="28" t="s">
        <v>51</v>
      </c>
    </row>
    <row r="250" spans="1:14" x14ac:dyDescent="0.15">
      <c r="A250" s="23" t="str">
        <f>HYPERLINK("https://www.spark-marketing.ru/Card/Person/10512", "ГБУЗ ""ГБ"" Г. СОРОЧИНСКА")</f>
        <v>ГБУЗ "ГБ" Г. СОРОЧИНСКА</v>
      </c>
      <c r="B250" s="24" t="s">
        <v>687</v>
      </c>
      <c r="C250" s="25">
        <v>465835.26</v>
      </c>
      <c r="D250" s="22" t="s">
        <v>688</v>
      </c>
      <c r="E250" s="22" t="s">
        <v>62</v>
      </c>
      <c r="F250" s="23" t="str">
        <f>HYPERLINK("https://www.spark-marketing.ru/Card/Lot/74328246", "На поставку бланков и журналов")</f>
        <v>На поставку бланков и журналов</v>
      </c>
      <c r="G250" s="22" t="s">
        <v>132</v>
      </c>
      <c r="H250" s="22" t="s">
        <v>689</v>
      </c>
      <c r="I250" s="26">
        <v>43752.484027777798</v>
      </c>
      <c r="J250" s="28" t="s">
        <v>51</v>
      </c>
      <c r="K250" s="28" t="s">
        <v>51</v>
      </c>
      <c r="L250" s="28" t="s">
        <v>51</v>
      </c>
      <c r="M250" s="28" t="s">
        <v>51</v>
      </c>
      <c r="N250" s="28" t="s">
        <v>51</v>
      </c>
    </row>
    <row r="251" spans="1:14" x14ac:dyDescent="0.15">
      <c r="A251" s="23" t="str">
        <f>HYPERLINK("https://www.spark-marketing.ru/Card/Person/1011159", "ГКУ СО ""ПАЛЛАСОВСКИЙ ЦСОН""")</f>
        <v>ГКУ СО "ПАЛЛАСОВСКИЙ ЦСОН"</v>
      </c>
      <c r="B251" s="24" t="s">
        <v>690</v>
      </c>
      <c r="C251" s="25">
        <v>837165.75</v>
      </c>
      <c r="D251" s="22" t="s">
        <v>691</v>
      </c>
      <c r="E251" s="22" t="s">
        <v>48</v>
      </c>
      <c r="F251" s="23" t="str">
        <f>HYPERLINK("https://www.spark-marketing.ru/Card/Lot/74329337", "Оказание услуг по обеспечению двухразовым питанием граждан пожилого возраста и инвалидов для отделения дневного пребывания граждан пожилого возраста и инвалидов.")</f>
        <v>Оказание услуг по обеспечению двухразовым питанием граждан пожилого возраста и инвалидов для отделения дневного пребывания граждан пожилого возраста и инвалидов.</v>
      </c>
      <c r="G251" s="22" t="s">
        <v>158</v>
      </c>
      <c r="H251" s="22" t="s">
        <v>692</v>
      </c>
      <c r="I251" s="26">
        <v>43752.534027777801</v>
      </c>
      <c r="J251" s="28" t="s">
        <v>51</v>
      </c>
      <c r="K251" s="28" t="s">
        <v>51</v>
      </c>
      <c r="L251" s="28" t="s">
        <v>51</v>
      </c>
      <c r="M251" s="28" t="s">
        <v>51</v>
      </c>
      <c r="N251" s="28" t="s">
        <v>51</v>
      </c>
    </row>
    <row r="252" spans="1:14" x14ac:dyDescent="0.15">
      <c r="A252" s="23" t="str">
        <f>HYPERLINK("https://www.spark-marketing.ru/Card/Person/996646", "МКУ ""АДМИНИСТРАТИВНО-ХОЗЯЙСТВЕННЫЙ ЦЕНТР """)</f>
        <v>МКУ "АДМИНИСТРАТИВНО-ХОЗЯЙСТВЕННЫЙ ЦЕНТР "</v>
      </c>
      <c r="B252" s="24" t="s">
        <v>693</v>
      </c>
      <c r="C252" s="25">
        <v>685000</v>
      </c>
      <c r="D252" s="22" t="s">
        <v>694</v>
      </c>
      <c r="E252" s="22" t="s">
        <v>695</v>
      </c>
      <c r="F252" s="23" t="str">
        <f>HYPERLINK("https://www.spark-marketing.ru/Card/Lot/74328987", "Выполнение работ по установке комплекта газобаллонного оборудования для питания двигателей автомобилей компримированным природным газом")</f>
        <v>Выполнение работ по установке комплекта газобаллонного оборудования для питания двигателей автомобилей компримированным природным газом</v>
      </c>
      <c r="G252" s="22" t="s">
        <v>696</v>
      </c>
      <c r="H252" s="22" t="s">
        <v>697</v>
      </c>
      <c r="I252" s="26">
        <v>43752.5098842593</v>
      </c>
      <c r="J252" s="28" t="s">
        <v>51</v>
      </c>
      <c r="K252" s="28" t="s">
        <v>51</v>
      </c>
      <c r="L252" s="28" t="s">
        <v>51</v>
      </c>
      <c r="M252" s="28" t="s">
        <v>51</v>
      </c>
      <c r="N252" s="28" t="s">
        <v>51</v>
      </c>
    </row>
    <row r="253" spans="1:14" x14ac:dyDescent="0.15">
      <c r="A253" s="23" t="str">
        <f>HYPERLINK("https://www.spark-marketing.ru/Card/Person/1014693", "НРМОБУ ""ЧЕУСКИНСКАЯ СОШ""")</f>
        <v>НРМОБУ "ЧЕУСКИНСКАЯ СОШ"</v>
      </c>
      <c r="B253" s="24" t="s">
        <v>698</v>
      </c>
      <c r="C253" s="25">
        <v>1048356</v>
      </c>
      <c r="D253" s="22" t="s">
        <v>699</v>
      </c>
      <c r="E253" s="22" t="s">
        <v>48</v>
      </c>
      <c r="F253" s="23" t="str">
        <f>HYPERLINK("https://www.spark-marketing.ru/Card/Lot/74329846", "Оказание услуг по организации питания учащихся в столовой НРМОБУ «Чеускинская СОШ»")</f>
        <v>Оказание услуг по организации питания учащихся в столовой НРМОБУ «Чеускинская СОШ»</v>
      </c>
      <c r="G253" s="22" t="s">
        <v>97</v>
      </c>
      <c r="H253" s="22" t="s">
        <v>700</v>
      </c>
      <c r="I253" s="26">
        <v>43752.521041666703</v>
      </c>
      <c r="J253" s="28" t="s">
        <v>51</v>
      </c>
      <c r="K253" s="28" t="s">
        <v>51</v>
      </c>
      <c r="L253" s="28" t="s">
        <v>51</v>
      </c>
      <c r="M253" s="28" t="s">
        <v>51</v>
      </c>
      <c r="N253" s="28" t="s">
        <v>51</v>
      </c>
    </row>
    <row r="254" spans="1:14" x14ac:dyDescent="0.15">
      <c r="A254" s="23" t="str">
        <f>HYPERLINK("https://www.spark-marketing.ru/Card/Person/133921", "ГГПУ ОМСКОЙ ОБЛАСТИ")</f>
        <v>ГГПУ ОМСКОЙ ОБЛАСТИ</v>
      </c>
      <c r="B254" s="24" t="s">
        <v>701</v>
      </c>
      <c r="C254" s="25">
        <v>64788</v>
      </c>
      <c r="D254" s="22" t="s">
        <v>702</v>
      </c>
      <c r="E254" s="22" t="s">
        <v>703</v>
      </c>
      <c r="F254" s="23" t="str">
        <f>HYPERLINK("https://www.spark-marketing.ru/Card/Lot/74312334", "Оказание услуг по ремонту источников бесперебойного питания")</f>
        <v>Оказание услуг по ремонту источников бесперебойного питания</v>
      </c>
      <c r="G254" s="22" t="s">
        <v>487</v>
      </c>
      <c r="H254" s="22" t="s">
        <v>488</v>
      </c>
      <c r="I254" s="26">
        <v>43752.413888888899</v>
      </c>
      <c r="J254" s="28" t="s">
        <v>51</v>
      </c>
      <c r="K254" s="28" t="s">
        <v>51</v>
      </c>
      <c r="L254" s="28" t="s">
        <v>51</v>
      </c>
      <c r="M254" s="28" t="s">
        <v>51</v>
      </c>
      <c r="N254" s="28" t="s">
        <v>51</v>
      </c>
    </row>
    <row r="255" spans="1:14" x14ac:dyDescent="0.15">
      <c r="A255" s="23" t="str">
        <f>HYPERLINK("https://www.spark-marketing.ru/Card/Person/12977", "ФГБОУ ВО СПБГПМУ МИНЗДРАВА РОССИИ")</f>
        <v>ФГБОУ ВО СПБГПМУ МИНЗДРАВА РОССИИ</v>
      </c>
      <c r="B255" s="24" t="s">
        <v>704</v>
      </c>
      <c r="C255" s="25">
        <v>590226.66</v>
      </c>
      <c r="D255" s="22" t="s">
        <v>705</v>
      </c>
      <c r="E255" s="22" t="s">
        <v>355</v>
      </c>
      <c r="F255" s="23" t="str">
        <f>HYPERLINK("https://www.spark-marketing.ru/Card/Lot/74328710", "Оказание услуг по техническому обслуживанию, планово-предупредительному ремонту, диагностике и профилактике источников бесперебойного питания (ИБП), используемых для обеспечения надежности работы медицинского оборудования в 2019 году")</f>
        <v>Оказание услуг по техническому обслуживанию, планово-предупредительному ремонту, диагностике и профилактике источников бесперебойного питания (ИБП), используемых для обеспечения надежности работы медицинского оборудования в 2019 году</v>
      </c>
      <c r="G255" s="22" t="s">
        <v>117</v>
      </c>
      <c r="H255" s="22" t="s">
        <v>117</v>
      </c>
      <c r="I255" s="26">
        <v>43752.510416666701</v>
      </c>
      <c r="J255" s="28" t="s">
        <v>51</v>
      </c>
      <c r="K255" s="28" t="s">
        <v>51</v>
      </c>
      <c r="L255" s="28" t="s">
        <v>51</v>
      </c>
      <c r="M255" s="28" t="s">
        <v>51</v>
      </c>
      <c r="N255" s="28" t="s">
        <v>51</v>
      </c>
    </row>
    <row r="256" spans="1:14" x14ac:dyDescent="0.15">
      <c r="A256" s="23" t="str">
        <f>HYPERLINK("https://www.spark-marketing.ru/Card/Person/10414", "ГБУЗ МО ""КОРОЛЁВСКАЯ ГОРОДСКАЯ БОЛЬНИЦА""")</f>
        <v>ГБУЗ МО "КОРОЛЁВСКАЯ ГОРОДСКАЯ БОЛЬНИЦА"</v>
      </c>
      <c r="B256" s="24" t="s">
        <v>706</v>
      </c>
      <c r="C256" s="25">
        <v>299841.76</v>
      </c>
      <c r="D256" s="22" t="s">
        <v>707</v>
      </c>
      <c r="E256" s="22" t="s">
        <v>48</v>
      </c>
      <c r="F256" s="23" t="str">
        <f>HYPERLINK("https://www.spark-marketing.ru/Card/Lot/74310686", "Услуги по обеспечению питанием (Диета Д11-17)")</f>
        <v>Услуги по обеспечению питанием (Диета Д11-17)</v>
      </c>
      <c r="G256" s="22" t="s">
        <v>49</v>
      </c>
      <c r="H256" s="22" t="s">
        <v>301</v>
      </c>
      <c r="I256" s="26">
        <v>43752.471643518496</v>
      </c>
      <c r="J256" s="28" t="s">
        <v>51</v>
      </c>
      <c r="K256" s="28" t="s">
        <v>51</v>
      </c>
      <c r="L256" s="28" t="s">
        <v>51</v>
      </c>
      <c r="M256" s="28" t="s">
        <v>51</v>
      </c>
      <c r="N256" s="28" t="s">
        <v>51</v>
      </c>
    </row>
    <row r="257" spans="1:14" x14ac:dyDescent="0.15">
      <c r="A257" s="23" t="str">
        <f>HYPERLINK("https://www.spark-marketing.ru/Card/Person/363881", "АДМИНИСТРАЦИЯ СОВЕТСКОГО РАЙОНА ГОРОДА НОВОСИБИРСКА")</f>
        <v>АДМИНИСТРАЦИЯ СОВЕТСКОГО РАЙОНА ГОРОДА НОВОСИБИРСКА</v>
      </c>
      <c r="B257" s="24" t="s">
        <v>708</v>
      </c>
      <c r="C257" s="25">
        <v>178933.6</v>
      </c>
      <c r="D257" s="22" t="s">
        <v>709</v>
      </c>
      <c r="E257" s="22" t="s">
        <v>96</v>
      </c>
      <c r="F257" s="23" t="str">
        <f>HYPERLINK("https://www.spark-marketing.ru/Card/Lot/74305900", "Оказание услуг по организации питания при проведении мероприятий в Советском районе города Новосибирска, посвященных празднованию Дней урожая в 2019 году.")</f>
        <v>Оказание услуг по организации питания при проведении мероприятий в Советском районе города Новосибирска, посвященных празднованию Дней урожая в 2019 году.</v>
      </c>
      <c r="G257" s="22" t="s">
        <v>195</v>
      </c>
      <c r="H257" s="22" t="s">
        <v>196</v>
      </c>
      <c r="I257" s="26">
        <v>43752.2944444444</v>
      </c>
      <c r="J257" s="28" t="s">
        <v>51</v>
      </c>
      <c r="K257" s="28" t="s">
        <v>51</v>
      </c>
      <c r="L257" s="28" t="s">
        <v>51</v>
      </c>
      <c r="M257" s="28" t="s">
        <v>51</v>
      </c>
      <c r="N257" s="28" t="s">
        <v>51</v>
      </c>
    </row>
    <row r="258" spans="1:14" x14ac:dyDescent="0.15">
      <c r="A258" s="23" t="str">
        <f>HYPERLINK("https://www.spark-marketing.ru/Card/Person/1028733", "ГПОУ ""ЧТКУ""")</f>
        <v>ГПОУ "ЧТКУ"</v>
      </c>
      <c r="B258" s="24" t="s">
        <v>710</v>
      </c>
      <c r="C258" s="25">
        <v>772700</v>
      </c>
      <c r="D258" s="22" t="s">
        <v>711</v>
      </c>
      <c r="E258" s="22" t="s">
        <v>48</v>
      </c>
      <c r="F258" s="23" t="str">
        <f>HYPERLINK("https://www.spark-marketing.ru/Card/Lot/74304599", "Оказание услуг по организации питания (11966-ЭА)")</f>
        <v>Оказание услуг по организации питания (11966-ЭА)</v>
      </c>
      <c r="G258" s="22" t="s">
        <v>228</v>
      </c>
      <c r="H258" s="22" t="s">
        <v>394</v>
      </c>
      <c r="I258" s="26">
        <v>43752.235416666699</v>
      </c>
      <c r="J258" s="28" t="s">
        <v>51</v>
      </c>
      <c r="K258" s="28" t="s">
        <v>51</v>
      </c>
      <c r="L258" s="28" t="s">
        <v>51</v>
      </c>
      <c r="M258" s="28" t="s">
        <v>51</v>
      </c>
      <c r="N258" s="28" t="s">
        <v>51</v>
      </c>
    </row>
    <row r="259" spans="1:14" x14ac:dyDescent="0.15">
      <c r="A259" s="23" t="str">
        <f>HYPERLINK("https://www.spark-marketing.ru/Card/Person/4352538", "ГБУ ""ДОМ МИЛОСЕРДИЯ""")</f>
        <v>ГБУ "ДОМ МИЛОСЕРДИЯ"</v>
      </c>
      <c r="B259" s="24" t="s">
        <v>712</v>
      </c>
      <c r="C259" s="25">
        <v>1391180</v>
      </c>
      <c r="D259" s="22" t="s">
        <v>713</v>
      </c>
      <c r="E259" s="22" t="s">
        <v>48</v>
      </c>
      <c r="F259" s="23" t="str">
        <f>HYPERLINK("https://www.spark-marketing.ru/Card/Lot/74331791", "Оказание услуг по поставке горячего питания.")</f>
        <v>Оказание услуг по поставке горячего питания.</v>
      </c>
      <c r="G259" s="22" t="s">
        <v>137</v>
      </c>
      <c r="H259" s="22" t="s">
        <v>138</v>
      </c>
      <c r="I259" s="26">
        <v>43752.485601851899</v>
      </c>
      <c r="J259" s="28" t="s">
        <v>51</v>
      </c>
      <c r="K259" s="28" t="s">
        <v>51</v>
      </c>
      <c r="L259" s="28" t="s">
        <v>51</v>
      </c>
      <c r="M259" s="28" t="s">
        <v>51</v>
      </c>
      <c r="N259" s="28" t="s">
        <v>51</v>
      </c>
    </row>
    <row r="260" spans="1:14" x14ac:dyDescent="0.15">
      <c r="A260" s="23" t="str">
        <f>HYPERLINK("https://www.spark-marketing.ru/Card/Person/2151", "ФГБОУ ВО ""УРАЛЬСКИЙ ГОСУДАРСТВЕННЫЙ ЭКОНОМИЧЕСКИЙ УНИВЕРСИТЕТ"", УРАЛЬСКИЙ ГОСУДАРСТВЕННЫЙ ЭКОНОМИЧЕСКИЙ УНИВЕРСИТЕТ, УРГЭУ")</f>
        <v>ФГБОУ ВО "УРАЛЬСКИЙ ГОСУДАРСТВЕННЫЙ ЭКОНОМИЧЕСКИЙ УНИВЕРСИТЕТ", УРАЛЬСКИЙ ГОСУДАРСТВЕННЫЙ ЭКОНОМИЧЕСКИЙ УНИВЕРСИТЕТ, УРГЭУ</v>
      </c>
      <c r="B260" s="24" t="s">
        <v>714</v>
      </c>
      <c r="C260" s="25">
        <v>636128.19999999995</v>
      </c>
      <c r="D260" s="22" t="s">
        <v>715</v>
      </c>
      <c r="E260" s="22" t="s">
        <v>716</v>
      </c>
      <c r="F260" s="23" t="str">
        <f>HYPERLINK("https://www.spark-marketing.ru/Card/Lot/74329030", "Поставка литературы для нужд УрГЭУ")</f>
        <v>Поставка литературы для нужд УрГЭУ</v>
      </c>
      <c r="G260" s="22" t="s">
        <v>174</v>
      </c>
      <c r="H260" s="22" t="s">
        <v>530</v>
      </c>
      <c r="I260" s="26">
        <v>43752.494027777801</v>
      </c>
      <c r="J260" s="28" t="s">
        <v>51</v>
      </c>
      <c r="K260" s="28" t="s">
        <v>51</v>
      </c>
      <c r="L260" s="28" t="s">
        <v>51</v>
      </c>
      <c r="M260" s="28" t="s">
        <v>51</v>
      </c>
      <c r="N260" s="28" t="s">
        <v>51</v>
      </c>
    </row>
    <row r="261" spans="1:14" x14ac:dyDescent="0.15">
      <c r="A261" s="23" t="str">
        <f>HYPERLINK("https://www.spark-marketing.ru/Card/Person/34155", "ФГБУ ""ЗЕМЛЯ ЛЕОПАРДА""")</f>
        <v>ФГБУ "ЗЕМЛЯ ЛЕОПАРДА"</v>
      </c>
      <c r="B261" s="24" t="s">
        <v>717</v>
      </c>
      <c r="C261" s="25">
        <v>250000</v>
      </c>
      <c r="D261" s="22" t="s">
        <v>718</v>
      </c>
      <c r="E261" s="22" t="s">
        <v>91</v>
      </c>
      <c r="F261" s="23" t="str">
        <f>HYPERLINK("https://www.spark-marketing.ru/Card/Lot/74304136", "Оказание услуг по техническому обслуживанию и ремонту оргтехники ФГБУ ""Земля леопарда""")</f>
        <v>Оказание услуг по техническому обслуживанию и ремонту оргтехники ФГБУ "Земля леопарда"</v>
      </c>
      <c r="G261" s="22" t="s">
        <v>543</v>
      </c>
      <c r="H261" s="22" t="s">
        <v>543</v>
      </c>
      <c r="I261" s="26">
        <v>43752.172916666699</v>
      </c>
      <c r="J261" s="28" t="s">
        <v>51</v>
      </c>
      <c r="K261" s="28" t="s">
        <v>51</v>
      </c>
      <c r="L261" s="28" t="s">
        <v>51</v>
      </c>
      <c r="M261" s="28" t="s">
        <v>51</v>
      </c>
      <c r="N261" s="28" t="s">
        <v>51</v>
      </c>
    </row>
    <row r="262" spans="1:14" x14ac:dyDescent="0.15">
      <c r="A262" s="23" t="str">
        <f>HYPERLINK("https://www.spark-marketing.ru/Card/Person/1029866", "ГБУСО МО ""ДМИТРОВСКИЙ ЦСПСИД""")</f>
        <v>ГБУСО МО "ДМИТРОВСКИЙ ЦСПСИД"</v>
      </c>
      <c r="B262" s="24" t="s">
        <v>719</v>
      </c>
      <c r="C262" s="25">
        <v>115800</v>
      </c>
      <c r="D262" s="22" t="s">
        <v>720</v>
      </c>
      <c r="E262" s="22" t="s">
        <v>48</v>
      </c>
      <c r="F262" s="23" t="str">
        <f>HYPERLINK("https://www.spark-marketing.ru/Card/Lot/74310716", "Услуги по организации питания для организаций социального обслуживания (декабрь)")</f>
        <v>Услуги по организации питания для организаций социального обслуживания (декабрь)</v>
      </c>
      <c r="G262" s="22" t="s">
        <v>49</v>
      </c>
      <c r="H262" s="22" t="s">
        <v>721</v>
      </c>
      <c r="I262" s="26">
        <v>43752.482349537</v>
      </c>
      <c r="J262" s="28" t="s">
        <v>51</v>
      </c>
      <c r="K262" s="28" t="s">
        <v>51</v>
      </c>
      <c r="L262" s="28" t="s">
        <v>51</v>
      </c>
      <c r="M262" s="28" t="s">
        <v>51</v>
      </c>
      <c r="N262" s="28" t="s">
        <v>51</v>
      </c>
    </row>
    <row r="263" spans="1:14" x14ac:dyDescent="0.15">
      <c r="A263" s="23" t="str">
        <f>HYPERLINK("https://www.spark-marketing.ru/Card/Person/10414", "ГБУЗ МО ""КОРОЛЁВСКАЯ ГОРОДСКАЯ БОЛЬНИЦА""")</f>
        <v>ГБУЗ МО "КОРОЛЁВСКАЯ ГОРОДСКАЯ БОЛЬНИЦА"</v>
      </c>
      <c r="B263" s="24" t="s">
        <v>706</v>
      </c>
      <c r="C263" s="25">
        <v>207220.24</v>
      </c>
      <c r="D263" s="22" t="s">
        <v>722</v>
      </c>
      <c r="E263" s="22" t="s">
        <v>48</v>
      </c>
      <c r="F263" s="23" t="str">
        <f>HYPERLINK("https://www.spark-marketing.ru/Card/Lot/74308622", "Услуги по обеспечению питанием (Диета ОВД9 и Диета Д11-17)")</f>
        <v>Услуги по обеспечению питанием (Диета ОВД9 и Диета Д11-17)</v>
      </c>
      <c r="G263" s="22" t="s">
        <v>49</v>
      </c>
      <c r="H263" s="22" t="s">
        <v>301</v>
      </c>
      <c r="I263" s="26">
        <v>43752.462037037003</v>
      </c>
      <c r="J263" s="28" t="s">
        <v>51</v>
      </c>
      <c r="K263" s="28" t="s">
        <v>51</v>
      </c>
      <c r="L263" s="28" t="s">
        <v>51</v>
      </c>
      <c r="M263" s="28" t="s">
        <v>51</v>
      </c>
      <c r="N263" s="28" t="s">
        <v>51</v>
      </c>
    </row>
    <row r="264" spans="1:14" x14ac:dyDescent="0.15">
      <c r="A264" s="23" t="str">
        <f>HYPERLINK("https://www.spark-marketing.ru/Card/Person/51661", "МБОУ СОШ №30")</f>
        <v>МБОУ СОШ №30</v>
      </c>
      <c r="B264" s="24" t="s">
        <v>723</v>
      </c>
      <c r="C264" s="25">
        <v>456565</v>
      </c>
      <c r="D264" s="22" t="s">
        <v>724</v>
      </c>
      <c r="E264" s="22" t="s">
        <v>48</v>
      </c>
      <c r="F264" s="23" t="str">
        <f>HYPERLINK("https://www.spark-marketing.ru/Card/Lot/74307796",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264" s="22" t="s">
        <v>49</v>
      </c>
      <c r="H264" s="22" t="s">
        <v>50</v>
      </c>
      <c r="I264" s="26">
        <v>43752.430011574099</v>
      </c>
      <c r="J264" s="28" t="s">
        <v>51</v>
      </c>
      <c r="K264" s="28" t="s">
        <v>51</v>
      </c>
      <c r="L264" s="28" t="s">
        <v>51</v>
      </c>
      <c r="M264" s="28" t="s">
        <v>51</v>
      </c>
      <c r="N264" s="28" t="s">
        <v>51</v>
      </c>
    </row>
    <row r="265" spans="1:14" x14ac:dyDescent="0.15">
      <c r="A265" s="23" t="str">
        <f>HYPERLINK("https://www.spark-marketing.ru/Card/Person/151305", "МОУ ""ЛИЦЕЙ № 1 ПОС. ЛЬВОВСКИЙ"".")</f>
        <v>МОУ "ЛИЦЕЙ № 1 ПОС. ЛЬВОВСКИЙ".</v>
      </c>
      <c r="B265" s="24" t="s">
        <v>660</v>
      </c>
      <c r="C265" s="25">
        <v>581647</v>
      </c>
      <c r="D265" s="22" t="s">
        <v>725</v>
      </c>
      <c r="E265" s="22" t="s">
        <v>48</v>
      </c>
      <c r="F265" s="23" t="str">
        <f>HYPERLINK("https://www.spark-marketing.ru/Card/Lot/74307826",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265" s="22" t="s">
        <v>49</v>
      </c>
      <c r="H265" s="22" t="s">
        <v>50</v>
      </c>
      <c r="I265" s="26">
        <v>43752.440358796302</v>
      </c>
      <c r="J265" s="28" t="s">
        <v>51</v>
      </c>
      <c r="K265" s="28" t="s">
        <v>51</v>
      </c>
      <c r="L265" s="28" t="s">
        <v>51</v>
      </c>
      <c r="M265" s="28" t="s">
        <v>51</v>
      </c>
      <c r="N265" s="28" t="s">
        <v>51</v>
      </c>
    </row>
    <row r="266" spans="1:14" x14ac:dyDescent="0.15">
      <c r="A266" s="23" t="str">
        <f>HYPERLINK("https://www.spark-marketing.ru/Card/Person/1006591", "КАДЕТСКАЯ ШКОЛА ЛИПЕЦКОЙ ОБЛАСТИ")</f>
        <v>КАДЕТСКАЯ ШКОЛА ЛИПЕЦКОЙ ОБЛАСТИ</v>
      </c>
      <c r="B266" s="24" t="s">
        <v>726</v>
      </c>
      <c r="C266" s="25">
        <v>4361444.7</v>
      </c>
      <c r="D266" s="22" t="s">
        <v>727</v>
      </c>
      <c r="E266" s="22" t="s">
        <v>48</v>
      </c>
      <c r="F266" s="23" t="str">
        <f>HYPERLINK("https://www.spark-marketing.ru/Card/Lot/74330241", "Оказание услуг по организации питания учащихся")</f>
        <v>Оказание услуг по организации питания учащихся</v>
      </c>
      <c r="G266" s="22" t="s">
        <v>101</v>
      </c>
      <c r="H266" s="22" t="s">
        <v>728</v>
      </c>
      <c r="I266" s="26">
        <v>43752.442222222198</v>
      </c>
      <c r="J266" s="28" t="s">
        <v>51</v>
      </c>
      <c r="K266" s="28" t="s">
        <v>51</v>
      </c>
      <c r="L266" s="28" t="s">
        <v>51</v>
      </c>
      <c r="M266" s="28" t="s">
        <v>51</v>
      </c>
      <c r="N266" s="28" t="s">
        <v>51</v>
      </c>
    </row>
    <row r="267" spans="1:14" x14ac:dyDescent="0.15">
      <c r="A267" s="23" t="str">
        <f>HYPERLINK("https://www.spark-marketing.ru/Card/Person/14201", "ГБУЗ РК ""УСТЬ-ЦИЛЕМСКАЯ ЦРБ""")</f>
        <v>ГБУЗ РК "УСТЬ-ЦИЛЕМСКАЯ ЦРБ"</v>
      </c>
      <c r="B267" s="24" t="s">
        <v>729</v>
      </c>
      <c r="C267" s="25">
        <v>999922.5</v>
      </c>
      <c r="D267" s="22" t="s">
        <v>730</v>
      </c>
      <c r="E267" s="22" t="s">
        <v>48</v>
      </c>
      <c r="F267" s="23" t="str">
        <f>HYPERLINK("https://www.spark-marketing.ru/Card/Lot/74329675", "Оказание услуг по приготовлению диетического питания в стационарных отделениях ГБУЗ РК «Усть-Цилемская ЦРБ»")</f>
        <v>Оказание услуг по приготовлению диетического питания в стационарных отделениях ГБУЗ РК «Усть-Цилемская ЦРБ»</v>
      </c>
      <c r="G267" s="22" t="s">
        <v>271</v>
      </c>
      <c r="H267" s="22" t="s">
        <v>731</v>
      </c>
      <c r="I267" s="26">
        <v>43752.420833333301</v>
      </c>
      <c r="J267" s="28" t="s">
        <v>51</v>
      </c>
      <c r="K267" s="28" t="s">
        <v>51</v>
      </c>
      <c r="L267" s="28" t="s">
        <v>51</v>
      </c>
      <c r="M267" s="28" t="s">
        <v>51</v>
      </c>
      <c r="N267" s="28" t="s">
        <v>51</v>
      </c>
    </row>
    <row r="268" spans="1:14" x14ac:dyDescent="0.15">
      <c r="A268" s="23" t="str">
        <f>HYPERLINK("https://www.spark-marketing.ru/Card/Person/123626", "МОУ КОШЕЛЕВСКАЯ ООШ")</f>
        <v>МОУ КОШЕЛЕВСКАЯ ООШ</v>
      </c>
      <c r="B268" s="24" t="s">
        <v>732</v>
      </c>
      <c r="C268" s="25">
        <v>291707.09999999998</v>
      </c>
      <c r="D268" s="22" t="s">
        <v>733</v>
      </c>
      <c r="E268" s="22" t="s">
        <v>48</v>
      </c>
      <c r="F268" s="23" t="str">
        <f>HYPERLINK("https://www.spark-marketing.ru/Card/Lot/74313665", "Услуги по организации питания для учащихся МОУ Кошелевской ООШ на ноябрь-декабрь 2019 г.")</f>
        <v>Услуги по организации питания для учащихся МОУ Кошелевской ООШ на ноябрь-декабрь 2019 г.</v>
      </c>
      <c r="G268" s="22" t="s">
        <v>49</v>
      </c>
      <c r="H268" s="22" t="s">
        <v>49</v>
      </c>
      <c r="I268" s="26">
        <v>43752.400613425903</v>
      </c>
      <c r="J268" s="28" t="s">
        <v>51</v>
      </c>
      <c r="K268" s="28" t="s">
        <v>51</v>
      </c>
      <c r="L268" s="28" t="s">
        <v>51</v>
      </c>
      <c r="M268" s="28" t="s">
        <v>51</v>
      </c>
      <c r="N268" s="28" t="s">
        <v>51</v>
      </c>
    </row>
    <row r="269" spans="1:14" x14ac:dyDescent="0.15">
      <c r="A269" s="23" t="str">
        <f>HYPERLINK("https://www.spark-marketing.ru/Card/Person/123686", "МДОУ ДСКВ № 14 ""ЖУРАВУШКА""")</f>
        <v>МДОУ ДСКВ № 14 "ЖУРАВУШКА"</v>
      </c>
      <c r="B269" s="24" t="s">
        <v>734</v>
      </c>
      <c r="C269" s="25">
        <v>565630</v>
      </c>
      <c r="D269" s="22" t="s">
        <v>735</v>
      </c>
      <c r="E269" s="22" t="s">
        <v>48</v>
      </c>
      <c r="F269" s="23" t="str">
        <f>HYPERLINK("https://www.spark-marketing.ru/Card/Lot/74328670", "Оказание услуг по приготовлению и организации горячего питания воспитанников МДОУ ДСКВ №14 ""Журавушка"" на период с даты заключения контракта до 31.12.2019г.")</f>
        <v>Оказание услуг по приготовлению и организации горячего питания воспитанников МДОУ ДСКВ №14 "Журавушка" на период с даты заключения контракта до 31.12.2019г.</v>
      </c>
      <c r="G269" s="22" t="s">
        <v>49</v>
      </c>
      <c r="H269" s="22" t="s">
        <v>49</v>
      </c>
      <c r="I269" s="26">
        <v>43752.402083333298</v>
      </c>
      <c r="J269" s="28" t="s">
        <v>51</v>
      </c>
      <c r="K269" s="28" t="s">
        <v>51</v>
      </c>
      <c r="L269" s="28" t="s">
        <v>51</v>
      </c>
      <c r="M269" s="28" t="s">
        <v>51</v>
      </c>
      <c r="N269" s="28" t="s">
        <v>51</v>
      </c>
    </row>
    <row r="270" spans="1:14" x14ac:dyDescent="0.15">
      <c r="A270" s="23" t="str">
        <f>HYPERLINK("https://www.spark-marketing.ru/Card/Person/86685", "МБОУ ГИМНАЗИЯ № 6")</f>
        <v>МБОУ ГИМНАЗИЯ № 6</v>
      </c>
      <c r="B270" s="24" t="s">
        <v>736</v>
      </c>
      <c r="C270" s="25">
        <v>144000</v>
      </c>
      <c r="D270" s="22" t="s">
        <v>737</v>
      </c>
      <c r="E270" s="22" t="s">
        <v>48</v>
      </c>
      <c r="F270" s="23" t="str">
        <f>HYPERLINK("https://www.spark-marketing.ru/Card/Lot/74307727", "Оказание услуг по питанию в лагере на осенних каникулах")</f>
        <v>Оказание услуг по питанию в лагере на осенних каникулах</v>
      </c>
      <c r="G270" s="22" t="s">
        <v>49</v>
      </c>
      <c r="H270" s="22" t="s">
        <v>204</v>
      </c>
      <c r="I270" s="26">
        <v>43752.409247685202</v>
      </c>
      <c r="J270" s="28" t="s">
        <v>51</v>
      </c>
      <c r="K270" s="28" t="s">
        <v>51</v>
      </c>
      <c r="L270" s="28" t="s">
        <v>51</v>
      </c>
      <c r="M270" s="28" t="s">
        <v>51</v>
      </c>
      <c r="N270" s="28" t="s">
        <v>51</v>
      </c>
    </row>
    <row r="271" spans="1:14" x14ac:dyDescent="0.15">
      <c r="A271" s="23" t="str">
        <f>HYPERLINK("https://www.spark-marketing.ru/Card/Person/147137", "МСОУ ЗАПРУДНЕНСКАЯ ШКОЛА-ИНТЕРНАТ")</f>
        <v>МСОУ ЗАПРУДНЕНСКАЯ ШКОЛА-ИНТЕРНАТ</v>
      </c>
      <c r="B271" s="24" t="s">
        <v>738</v>
      </c>
      <c r="C271" s="25">
        <v>1492160</v>
      </c>
      <c r="D271" s="22" t="s">
        <v>739</v>
      </c>
      <c r="E271" s="22" t="s">
        <v>48</v>
      </c>
      <c r="F271" s="23" t="str">
        <f>HYPERLINK("https://www.spark-marketing.ru/Card/Lot/74331402", "Оказание услуги на приготовление и организацию горячего питания учащихся МСОУ Запрудненской школы-интернат")</f>
        <v>Оказание услуги на приготовление и организацию горячего питания учащихся МСОУ Запрудненской школы-интернат</v>
      </c>
      <c r="G271" s="22" t="s">
        <v>49</v>
      </c>
      <c r="H271" s="22" t="s">
        <v>49</v>
      </c>
      <c r="I271" s="26">
        <v>43752.408668981501</v>
      </c>
      <c r="J271" s="28" t="s">
        <v>51</v>
      </c>
      <c r="K271" s="28" t="s">
        <v>51</v>
      </c>
      <c r="L271" s="28" t="s">
        <v>51</v>
      </c>
      <c r="M271" s="28" t="s">
        <v>51</v>
      </c>
      <c r="N271" s="28" t="s">
        <v>51</v>
      </c>
    </row>
    <row r="272" spans="1:14" x14ac:dyDescent="0.15">
      <c r="A272" s="23" t="str">
        <f>HYPERLINK("https://www.spark-marketing.ru/Card/Person/6089", "ГБУЗ МО ""ЭЦГБ""")</f>
        <v>ГБУЗ МО "ЭЦГБ"</v>
      </c>
      <c r="B272" s="24" t="s">
        <v>740</v>
      </c>
      <c r="C272" s="25">
        <v>4746676</v>
      </c>
      <c r="D272" s="22" t="s">
        <v>741</v>
      </c>
      <c r="E272" s="22" t="s">
        <v>48</v>
      </c>
      <c r="F272" s="23" t="str">
        <f>HYPERLINK("https://www.spark-marketing.ru/Card/Lot/74331345", "Оказание услуг по организации питания пациентов государственного бюджетного учреждения здравоохранения Московской области ""Электростальская центральная городская больница"" в 2019 году (дозакупка)")</f>
        <v>Оказание услуг по организации питания пациентов государственного бюджетного учреждения здравоохранения Московской области "Электростальская центральная городская больница" в 2019 году (дозакупка)</v>
      </c>
      <c r="G272" s="22" t="s">
        <v>49</v>
      </c>
      <c r="H272" s="22" t="s">
        <v>742</v>
      </c>
      <c r="I272" s="26">
        <v>43752.3979861111</v>
      </c>
      <c r="J272" s="28" t="s">
        <v>51</v>
      </c>
      <c r="K272" s="28" t="s">
        <v>51</v>
      </c>
      <c r="L272" s="28" t="s">
        <v>51</v>
      </c>
      <c r="M272" s="28" t="s">
        <v>51</v>
      </c>
      <c r="N272" s="28" t="s">
        <v>51</v>
      </c>
    </row>
    <row r="273" spans="1:14" x14ac:dyDescent="0.15">
      <c r="A273" s="23" t="str">
        <f>HYPERLINK("https://www.spark-marketing.ru/Card/Person/115477", "ОМВД РОССИИ ПО НЕРЮНГРИНСКОМУ РАЙОНУ")</f>
        <v>ОМВД РОССИИ ПО НЕРЮНГРИНСКОМУ РАЙОНУ</v>
      </c>
      <c r="B273" s="24" t="s">
        <v>743</v>
      </c>
      <c r="C273" s="25">
        <v>880000</v>
      </c>
      <c r="D273" s="22" t="s">
        <v>744</v>
      </c>
      <c r="E273" s="22" t="s">
        <v>48</v>
      </c>
      <c r="F273" s="23" t="str">
        <f>HYPERLINK("https://www.spark-marketing.ru/Card/Lot/74303607", "Питание СП")</f>
        <v>Питание СП</v>
      </c>
      <c r="G273" s="22" t="s">
        <v>241</v>
      </c>
      <c r="H273" s="22" t="s">
        <v>745</v>
      </c>
      <c r="I273" s="26">
        <v>43752.159722222197</v>
      </c>
      <c r="J273" s="28" t="s">
        <v>51</v>
      </c>
      <c r="K273" s="28" t="s">
        <v>51</v>
      </c>
      <c r="L273" s="28" t="s">
        <v>51</v>
      </c>
      <c r="M273" s="28" t="s">
        <v>51</v>
      </c>
      <c r="N273" s="28" t="s">
        <v>51</v>
      </c>
    </row>
    <row r="274" spans="1:14" x14ac:dyDescent="0.15">
      <c r="A274" s="23" t="str">
        <f>HYPERLINK("https://www.spark-marketing.ru/Card/Person/27675", "ФКУ ""ЦХИСО УМВД РОССИИ ПО МАГАДАНСКОЙ ОБЛАСТИ""")</f>
        <v>ФКУ "ЦХИСО УМВД РОССИИ ПО МАГАДАНСКОЙ ОБЛАСТИ"</v>
      </c>
      <c r="B274" s="24" t="s">
        <v>746</v>
      </c>
      <c r="C274" s="25">
        <v>399524.18</v>
      </c>
      <c r="D274" s="22" t="s">
        <v>747</v>
      </c>
      <c r="E274" s="22" t="s">
        <v>96</v>
      </c>
      <c r="F274" s="23" t="str">
        <f>HYPERLINK("https://www.spark-marketing.ru/Card/Lot/74314566", "Оказание услуг по приготовлению готовых горячих блюд для обеспечения питанием в 2020 году несовершеннолетних, содержащихся в центре временного содержания несовершеннолетних правонарушителей УМВД России по Магаданской области для обеспечения государст...")</f>
        <v>Оказание услуг по приготовлению готовых горячих блюд для обеспечения питанием в 2020 году несовершеннолетних, содержащихся в центре временного содержания несовершеннолетних правонарушителей УМВД России по Магаданской области для обеспечения государст...</v>
      </c>
      <c r="G274" s="22" t="s">
        <v>548</v>
      </c>
      <c r="H274" s="22" t="s">
        <v>748</v>
      </c>
      <c r="I274" s="26">
        <v>43752.369444444397</v>
      </c>
      <c r="J274" s="28" t="s">
        <v>51</v>
      </c>
      <c r="K274" s="28" t="s">
        <v>51</v>
      </c>
      <c r="L274" s="28" t="s">
        <v>51</v>
      </c>
      <c r="M274" s="28" t="s">
        <v>51</v>
      </c>
      <c r="N274" s="28" t="s">
        <v>51</v>
      </c>
    </row>
    <row r="275" spans="1:14" x14ac:dyDescent="0.15">
      <c r="A275" s="23" t="str">
        <f>HYPERLINK("https://www.spark-marketing.ru/Card/Person/4347476", "РОДДОМ № 3")</f>
        <v>РОДДОМ № 3</v>
      </c>
      <c r="B275" s="24" t="s">
        <v>749</v>
      </c>
      <c r="C275" s="25">
        <v>5600000</v>
      </c>
      <c r="D275" s="22" t="s">
        <v>750</v>
      </c>
      <c r="E275" s="22" t="s">
        <v>48</v>
      </c>
      <c r="F275" s="23" t="str">
        <f>HYPERLINK("https://www.spark-marketing.ru/Card/Lot/74331512", "на оказание услуг по обеспечению питанием пациентов круглосуточного стационара Роддома №3 в 2020 году")</f>
        <v>на оказание услуг по обеспечению питанием пациентов круглосуточного стационара Роддома №3 в 2020 году</v>
      </c>
      <c r="G275" s="22" t="s">
        <v>400</v>
      </c>
      <c r="H275" s="22" t="s">
        <v>401</v>
      </c>
      <c r="I275" s="26">
        <v>43752.373749999999</v>
      </c>
      <c r="J275" s="28" t="s">
        <v>51</v>
      </c>
      <c r="K275" s="28" t="s">
        <v>51</v>
      </c>
      <c r="L275" s="28" t="s">
        <v>51</v>
      </c>
      <c r="M275" s="28" t="s">
        <v>51</v>
      </c>
      <c r="N275" s="28" t="s">
        <v>51</v>
      </c>
    </row>
    <row r="276" spans="1:14" x14ac:dyDescent="0.15">
      <c r="A276" s="23" t="str">
        <f>HYPERLINK("https://www.spark-marketing.ru/Card/Person/44992", "ГБУЗ НСО ""ГКБ №34""")</f>
        <v>ГБУЗ НСО "ГКБ №34"</v>
      </c>
      <c r="B276" s="24" t="s">
        <v>751</v>
      </c>
      <c r="C276" s="25">
        <v>74858322</v>
      </c>
      <c r="D276" s="22" t="s">
        <v>752</v>
      </c>
      <c r="E276" s="22" t="s">
        <v>96</v>
      </c>
      <c r="F276" s="23" t="str">
        <f>HYPERLINK("https://www.spark-marketing.ru/Card/Lot/74304401", "Оказание услуг по организации лечебного питания (№139)")</f>
        <v>Оказание услуг по организации лечебного питания (№139)</v>
      </c>
      <c r="G276" s="22" t="s">
        <v>195</v>
      </c>
      <c r="H276" s="22" t="s">
        <v>196</v>
      </c>
      <c r="I276" s="26">
        <v>43752.202083333301</v>
      </c>
      <c r="J276" s="28" t="s">
        <v>51</v>
      </c>
      <c r="K276" s="28" t="s">
        <v>51</v>
      </c>
      <c r="L276" s="28" t="s">
        <v>51</v>
      </c>
      <c r="M276" s="28" t="s">
        <v>51</v>
      </c>
      <c r="N276" s="28" t="s">
        <v>51</v>
      </c>
    </row>
    <row r="277" spans="1:14" x14ac:dyDescent="0.15">
      <c r="A277" s="23" t="str">
        <f>HYPERLINK("https://www.spark-marketing.ru/Card/Person/27675", "ФКУ ""ЦХИСО УМВД РОССИИ ПО МАГАДАНСКОЙ ОБЛАСТИ""")</f>
        <v>ФКУ "ЦХИСО УМВД РОССИИ ПО МАГАДАНСКОЙ ОБЛАСТИ"</v>
      </c>
      <c r="B277" s="24" t="s">
        <v>746</v>
      </c>
      <c r="C277" s="25">
        <v>399524.18</v>
      </c>
      <c r="D277" s="22" t="s">
        <v>753</v>
      </c>
      <c r="E277" s="22" t="s">
        <v>96</v>
      </c>
      <c r="F277" s="23" t="str">
        <f>HYPERLINK("https://www.spark-marketing.ru/Card/Lot/74314565", "Оказание услуг по приготовлению готовых горячих блюд для обеспечения питанием в 2021 году несовершеннолетних, содержащихся в центре временного содержания несовершеннолетних правонарушителей УМВД России по Магаданской области для обеспечения государст...")</f>
        <v>Оказание услуг по приготовлению готовых горячих блюд для обеспечения питанием в 2021 году несовершеннолетних, содержащихся в центре временного содержания несовершеннолетних правонарушителей УМВД России по Магаданской области для обеспечения государст...</v>
      </c>
      <c r="G277" s="22" t="s">
        <v>548</v>
      </c>
      <c r="H277" s="22" t="s">
        <v>748</v>
      </c>
      <c r="I277" s="26">
        <v>43752.369444444397</v>
      </c>
      <c r="J277" s="28" t="s">
        <v>51</v>
      </c>
      <c r="K277" s="28" t="s">
        <v>51</v>
      </c>
      <c r="L277" s="28" t="s">
        <v>51</v>
      </c>
      <c r="M277" s="28" t="s">
        <v>51</v>
      </c>
      <c r="N277" s="28" t="s">
        <v>51</v>
      </c>
    </row>
    <row r="278" spans="1:14" x14ac:dyDescent="0.15">
      <c r="A278" s="23" t="str">
        <f>HYPERLINK("https://www.spark-marketing.ru/Card/Person/9383", "ГКУ ""ГЦЖС""")</f>
        <v>ГКУ "ГЦЖС"</v>
      </c>
      <c r="B278" s="24" t="s">
        <v>754</v>
      </c>
      <c r="C278" s="25">
        <v>4986965.09</v>
      </c>
      <c r="D278" s="22" t="s">
        <v>755</v>
      </c>
      <c r="E278" s="22" t="s">
        <v>756</v>
      </c>
      <c r="F278" s="23" t="str">
        <f>HYPERLINK("https://www.spark-marketing.ru/Card/Lot/74330569", "Оказание услуг по техническому обслуживанию систем охранно-пожарных средств в помещениях ГКУ «ГЦЖС» в 2020 году (аукцион в электронной форме среди СМП и СОНО)")</f>
        <v>Оказание услуг по техническому обслуживанию систем охранно-пожарных средств в помещениях ГКУ «ГЦЖС» в 2020 году (аукцион в электронной форме среди СМП и СОНО)</v>
      </c>
      <c r="G278" s="22" t="s">
        <v>56</v>
      </c>
      <c r="H278" s="22" t="s">
        <v>56</v>
      </c>
      <c r="I278" s="26">
        <v>43752.365578703699</v>
      </c>
      <c r="J278" s="28" t="s">
        <v>51</v>
      </c>
      <c r="K278" s="28" t="s">
        <v>51</v>
      </c>
      <c r="L278" s="28" t="s">
        <v>51</v>
      </c>
      <c r="M278" s="28" t="s">
        <v>51</v>
      </c>
      <c r="N278" s="28" t="s">
        <v>51</v>
      </c>
    </row>
    <row r="279" spans="1:14" x14ac:dyDescent="0.15">
      <c r="A279" s="23" t="str">
        <f>HYPERLINK("https://www.spark-marketing.ru/Card/Person/2503", "ГАУЗ ДГБ С ПЦ")</f>
        <v>ГАУЗ ДГБ С ПЦ</v>
      </c>
      <c r="B279" s="24" t="s">
        <v>757</v>
      </c>
      <c r="C279" s="25">
        <v>1499880</v>
      </c>
      <c r="D279" s="22" t="s">
        <v>758</v>
      </c>
      <c r="E279" s="22" t="s">
        <v>96</v>
      </c>
      <c r="F279" s="23" t="str">
        <f>HYPERLINK("https://www.spark-marketing.ru/Card/Lot/74310501", "На оказание услуг по организации, обеспечению, приготовлению и доставке готового лечебного питания для Государственного автономного учреждения здравоохранения «Детская городская больница с перинатальным центром»")</f>
        <v>На оказание услуг по организации, обеспечению, приготовлению и доставке готового лечебного питания для Государственного автономного учреждения здравоохранения «Детская городская больница с перинатальным центром»</v>
      </c>
      <c r="G279" s="22" t="s">
        <v>217</v>
      </c>
      <c r="H279" s="22" t="s">
        <v>218</v>
      </c>
      <c r="I279" s="26">
        <v>43752.372222222199</v>
      </c>
      <c r="J279" s="28" t="s">
        <v>51</v>
      </c>
      <c r="K279" s="28" t="s">
        <v>51</v>
      </c>
      <c r="L279" s="28" t="s">
        <v>51</v>
      </c>
      <c r="M279" s="28" t="s">
        <v>51</v>
      </c>
      <c r="N279" s="28" t="s">
        <v>51</v>
      </c>
    </row>
    <row r="280" spans="1:14" x14ac:dyDescent="0.15">
      <c r="A280" s="23" t="str">
        <f>HYPERLINK("https://www.spark-marketing.ru/Card/Person/2937", "УМВД РОССИИ ПО Г. НИЖНЕВАРТОВСКУ")</f>
        <v>УМВД РОССИИ ПО Г. НИЖНЕВАРТОВСКУ</v>
      </c>
      <c r="B280" s="24" t="s">
        <v>759</v>
      </c>
      <c r="C280" s="25">
        <v>270998</v>
      </c>
      <c r="D280" s="22" t="s">
        <v>760</v>
      </c>
      <c r="E280" s="22" t="s">
        <v>96</v>
      </c>
      <c r="F280" s="23" t="str">
        <f>HYPERLINK("https://www.spark-marketing.ru/Card/Lot/74304920",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280" s="22" t="s">
        <v>97</v>
      </c>
      <c r="H280" s="22" t="s">
        <v>366</v>
      </c>
      <c r="I280" s="26">
        <v>43752.303981481498</v>
      </c>
      <c r="J280" s="28" t="s">
        <v>51</v>
      </c>
      <c r="K280" s="28" t="s">
        <v>51</v>
      </c>
      <c r="L280" s="28" t="s">
        <v>51</v>
      </c>
      <c r="M280" s="28" t="s">
        <v>51</v>
      </c>
      <c r="N280" s="28" t="s">
        <v>51</v>
      </c>
    </row>
    <row r="281" spans="1:14" x14ac:dyDescent="0.15">
      <c r="A281" s="23" t="str">
        <f>HYPERLINK("https://www.spark-marketing.ru/Card/Person/5912938", "ГАУЗ СО ""ОНБ""")</f>
        <v>ГАУЗ СО "ОНБ"</v>
      </c>
      <c r="B281" s="24" t="s">
        <v>761</v>
      </c>
      <c r="C281" s="25">
        <v>2386800</v>
      </c>
      <c r="D281" s="22" t="s">
        <v>762</v>
      </c>
      <c r="E281" s="22" t="s">
        <v>362</v>
      </c>
      <c r="F281" s="23" t="str">
        <f>HYPERLINK("https://www.spark-marketing.ru/Card/Lot/74282820", "Оказание услуг по централизованной организации питания пациентов по адресу: Свердловская область, г. Карпинск, ул. Советская, дом 23")</f>
        <v>Оказание услуг по централизованной организации питания пациентов по адресу: Свердловская область, г. Карпинск, ул. Советская, дом 23</v>
      </c>
      <c r="G281" s="22" t="s">
        <v>174</v>
      </c>
      <c r="H281" s="22" t="s">
        <v>530</v>
      </c>
      <c r="I281" s="26">
        <v>43749</v>
      </c>
      <c r="J281" s="28" t="s">
        <v>51</v>
      </c>
      <c r="K281" s="28" t="s">
        <v>51</v>
      </c>
      <c r="L281" s="28" t="s">
        <v>51</v>
      </c>
      <c r="M281" s="28" t="s">
        <v>51</v>
      </c>
      <c r="N281" s="28" t="s">
        <v>51</v>
      </c>
    </row>
    <row r="282" spans="1:14" x14ac:dyDescent="0.15">
      <c r="A282" s="23" t="str">
        <f>HYPERLINK("https://www.spark-marketing.ru/Card/Person/4358306", "ПАО ""ФОРТУМ""")</f>
        <v>ПАО "ФОРТУМ"</v>
      </c>
      <c r="B282" s="24" t="s">
        <v>763</v>
      </c>
      <c r="C282" s="25">
        <v>6170842.75</v>
      </c>
      <c r="D282" s="22" t="s">
        <v>764</v>
      </c>
      <c r="E282" s="22" t="s">
        <v>765</v>
      </c>
      <c r="F282" s="23" t="str">
        <f>HYPERLINK("https://www.spark-marketing.ru/Card/Lot/74315510", "Оказание услуг по организации питания для сотрудников филиала Энергосистема «Западная Сибирь» ПАО «Фортум»")</f>
        <v>Оказание услуг по организации питания для сотрудников филиала Энергосистема «Западная Сибирь» ПАО «Фортум»</v>
      </c>
      <c r="G282" s="22" t="s">
        <v>766</v>
      </c>
      <c r="H282" s="22" t="s">
        <v>766</v>
      </c>
      <c r="I282" s="26">
        <v>43752</v>
      </c>
      <c r="J282" s="28" t="s">
        <v>51</v>
      </c>
      <c r="K282" s="28" t="s">
        <v>51</v>
      </c>
      <c r="L282" s="28" t="s">
        <v>51</v>
      </c>
      <c r="M282" s="28" t="s">
        <v>51</v>
      </c>
      <c r="N282" s="28" t="s">
        <v>51</v>
      </c>
    </row>
    <row r="283" spans="1:14" x14ac:dyDescent="0.2">
      <c r="A283" s="23" t="str">
        <f>HYPERLINK("https://www.spark-marketing.ru/Card/Person/268823", "ГАУ АО ""РЦСП ""ВОЛГАРЬ""")</f>
        <v>ГАУ АО "РЦСП "ВОЛГАРЬ"</v>
      </c>
      <c r="B283" s="24" t="s">
        <v>767</v>
      </c>
      <c r="C283" s="25">
        <v>286000</v>
      </c>
      <c r="D283" s="22" t="s">
        <v>768</v>
      </c>
      <c r="E283" s="22" t="s">
        <v>769</v>
      </c>
      <c r="F283" s="23" t="str">
        <f>HYPERLINK("https://www.spark-marketing.ru/Card/Lot/74306153", "Оказание услуг по организации проживания и питания")</f>
        <v>Оказание услуг по организации проживания и питания</v>
      </c>
      <c r="G283" s="22" t="s">
        <v>158</v>
      </c>
      <c r="H283" s="22" t="s">
        <v>158</v>
      </c>
      <c r="I283" s="26">
        <v>43752</v>
      </c>
      <c r="J283" s="28" t="s">
        <v>51</v>
      </c>
      <c r="K283" s="28" t="s">
        <v>51</v>
      </c>
      <c r="L283" s="28" t="s">
        <v>51</v>
      </c>
      <c r="M283" s="25">
        <v>286000</v>
      </c>
      <c r="N283" s="27">
        <v>0</v>
      </c>
    </row>
    <row r="284" spans="1:14" x14ac:dyDescent="0.15">
      <c r="A284" s="23" t="str">
        <f>HYPERLINK("https://www.spark-marketing.ru/Card/Person/581805", "ГАУК ЯО ""КОНЦЕРТНО-ЗРЕЛИЩНЫЙ ЦЕНТР""")</f>
        <v>ГАУК ЯО "КОНЦЕРТНО-ЗРЕЛИЩНЫЙ ЦЕНТР"</v>
      </c>
      <c r="B284" s="24" t="s">
        <v>770</v>
      </c>
      <c r="C284" s="25">
        <v>209000</v>
      </c>
      <c r="D284" s="22" t="s">
        <v>771</v>
      </c>
      <c r="E284" s="22" t="s">
        <v>362</v>
      </c>
      <c r="F284" s="23" t="str">
        <f>HYPERLINK("https://www.spark-marketing.ru/Card/Lot/74310205", "оказание услуг по организации питания")</f>
        <v>оказание услуг по организации питания</v>
      </c>
      <c r="G284" s="22" t="s">
        <v>185</v>
      </c>
      <c r="H284" s="22" t="s">
        <v>185</v>
      </c>
      <c r="I284" s="26">
        <v>43752</v>
      </c>
      <c r="J284" s="28" t="s">
        <v>51</v>
      </c>
      <c r="K284" s="28" t="s">
        <v>51</v>
      </c>
      <c r="L284" s="28" t="s">
        <v>51</v>
      </c>
      <c r="M284" s="28" t="s">
        <v>51</v>
      </c>
      <c r="N284" s="28" t="s">
        <v>51</v>
      </c>
    </row>
    <row r="285" spans="1:14" x14ac:dyDescent="0.15">
      <c r="A285" s="23" t="str">
        <f>HYPERLINK("https://www.spark-marketing.ru/Card/Person/49650", "АО ""ЗАП-СИБТРАНСТЕЛЕКОМ""")</f>
        <v>АО "ЗАП-СИБТРАНСТЕЛЕКОМ"</v>
      </c>
      <c r="B285" s="24" t="s">
        <v>772</v>
      </c>
      <c r="C285" s="25">
        <v>748800</v>
      </c>
      <c r="D285" s="22" t="s">
        <v>773</v>
      </c>
      <c r="E285" s="22" t="s">
        <v>774</v>
      </c>
      <c r="F285" s="23" t="str">
        <f>HYPERLINK("https://www.spark-marketing.ru/Card/Lot/74305624", "На право заключения договора на оказание услуг по ремонту источников бесперебойного питания для нужд ЗАО «Зап-СибТранстелеком»")</f>
        <v>На право заключения договора на оказание услуг по ремонту источников бесперебойного питания для нужд ЗАО «Зап-СибТранстелеком»</v>
      </c>
      <c r="G285" s="22" t="s">
        <v>195</v>
      </c>
      <c r="H285" s="22" t="s">
        <v>195</v>
      </c>
      <c r="I285" s="26">
        <v>43752</v>
      </c>
      <c r="J285" s="28" t="s">
        <v>51</v>
      </c>
      <c r="K285" s="28" t="s">
        <v>51</v>
      </c>
      <c r="L285" s="28" t="s">
        <v>51</v>
      </c>
      <c r="M285" s="28" t="s">
        <v>51</v>
      </c>
      <c r="N285" s="28" t="s">
        <v>51</v>
      </c>
    </row>
    <row r="286" spans="1:14" x14ac:dyDescent="0.15">
      <c r="A286" s="23" t="str">
        <f>HYPERLINK("https://www.spark-marketing.ru/Card/Person/581805", "ГАУК ЯО ""КОНЦЕРТНО-ЗРЕЛИЩНЫЙ ЦЕНТР""")</f>
        <v>ГАУК ЯО "КОНЦЕРТНО-ЗРЕЛИЩНЫЙ ЦЕНТР"</v>
      </c>
      <c r="B286" s="24" t="s">
        <v>770</v>
      </c>
      <c r="C286" s="25">
        <v>209000</v>
      </c>
      <c r="D286" s="22" t="s">
        <v>775</v>
      </c>
      <c r="E286" s="22" t="s">
        <v>362</v>
      </c>
      <c r="F286" s="23" t="str">
        <f>HYPERLINK("https://www.spark-marketing.ru/Card/Lot/74311652", "оказание услуг по организации питания")</f>
        <v>оказание услуг по организации питания</v>
      </c>
      <c r="G286" s="22" t="s">
        <v>185</v>
      </c>
      <c r="H286" s="22" t="s">
        <v>185</v>
      </c>
      <c r="I286" s="26">
        <v>43752</v>
      </c>
      <c r="J286" s="28" t="s">
        <v>51</v>
      </c>
      <c r="K286" s="28" t="s">
        <v>51</v>
      </c>
      <c r="L286" s="28" t="s">
        <v>51</v>
      </c>
      <c r="M286" s="28" t="s">
        <v>51</v>
      </c>
      <c r="N286" s="28" t="s">
        <v>51</v>
      </c>
    </row>
    <row r="287" spans="1:14" x14ac:dyDescent="0.15">
      <c r="A287" s="23" t="str">
        <f>HYPERLINK("https://www.spark-marketing.ru/Card/Person/209449", "КРАСНОЯРСКИЙ КРАЕВОЙ ИНСТИТУТ ПОВЫШЕНИЯ КВАЛИФИКАЦИИ, (КК ИПК)")</f>
        <v>КРАСНОЯРСКИЙ КРАЕВОЙ ИНСТИТУТ ПОВЫШЕНИЯ КВАЛИФИКАЦИИ, (КК ИПК)</v>
      </c>
      <c r="B287" s="24" t="s">
        <v>776</v>
      </c>
      <c r="C287" s="25">
        <v>395500</v>
      </c>
      <c r="D287" s="22" t="s">
        <v>777</v>
      </c>
      <c r="E287" s="22" t="s">
        <v>769</v>
      </c>
      <c r="F287" s="23" t="str">
        <f>HYPERLINK("https://www.spark-marketing.ru/Card/Lot/74306001", "51э-19: услуги по организации проживания, питания и аренды помещений для участников и ведущих Краевых молодежных профессиональных педагогических игр")</f>
        <v>51э-19: услуги по организации проживания, питания и аренды помещений для участников и ведущих Краевых молодежных профессиональных педагогических игр</v>
      </c>
      <c r="G287" s="22" t="s">
        <v>281</v>
      </c>
      <c r="H287" s="22" t="s">
        <v>281</v>
      </c>
      <c r="I287" s="26">
        <v>43752</v>
      </c>
      <c r="J287" s="28" t="s">
        <v>51</v>
      </c>
      <c r="K287" s="28" t="s">
        <v>51</v>
      </c>
      <c r="L287" s="28" t="s">
        <v>51</v>
      </c>
      <c r="M287" s="28" t="s">
        <v>51</v>
      </c>
      <c r="N287" s="28" t="s">
        <v>51</v>
      </c>
    </row>
    <row r="288" spans="1:14" x14ac:dyDescent="0.2">
      <c r="A288" s="23" t="str">
        <f>HYPERLINK("https://www.spark-marketing.ru/Card/Person/53405", "ВГУЮ (РПА МИНЮСТА РОССИИ)")</f>
        <v>ВГУЮ (РПА МИНЮСТА РОССИИ)</v>
      </c>
      <c r="B288" s="24" t="s">
        <v>778</v>
      </c>
      <c r="C288" s="25">
        <v>156500</v>
      </c>
      <c r="D288" s="22" t="s">
        <v>779</v>
      </c>
      <c r="E288" s="22" t="s">
        <v>362</v>
      </c>
      <c r="F288" s="23" t="str">
        <f>HYPERLINK("https://www.spark-marketing.ru/Card/Lot/74328440", "Оказание услуг по организации питания участников XV Международной научно-практической конференции «Державинские чтения» в г. Казань")</f>
        <v>Оказание услуг по организации питания участников XV Международной научно-практической конференции «Державинские чтения» в г. Казань</v>
      </c>
      <c r="G288" s="22" t="s">
        <v>56</v>
      </c>
      <c r="H288" s="22" t="s">
        <v>56</v>
      </c>
      <c r="I288" s="26">
        <v>43752</v>
      </c>
      <c r="J288" s="28" t="s">
        <v>51</v>
      </c>
      <c r="K288" s="28" t="s">
        <v>51</v>
      </c>
      <c r="L288" s="28" t="s">
        <v>51</v>
      </c>
      <c r="M288" s="25">
        <v>156500</v>
      </c>
      <c r="N288" s="27">
        <v>0</v>
      </c>
    </row>
    <row r="289" spans="1:14" x14ac:dyDescent="0.15">
      <c r="A289" s="23" t="str">
        <f>HYPERLINK("https://www.spark-marketing.ru/Card/Person/1022282", "МОУ ""ДЕМИХОВСКИЙ ЛИЦЕЙ""")</f>
        <v>МОУ "ДЕМИХОВСКИЙ ЛИЦЕЙ"</v>
      </c>
      <c r="B289" s="24" t="s">
        <v>780</v>
      </c>
      <c r="C289" s="25">
        <v>2759485.68</v>
      </c>
      <c r="D289" s="22" t="s">
        <v>781</v>
      </c>
      <c r="E289" s="22" t="s">
        <v>362</v>
      </c>
      <c r="F289" s="23" t="str">
        <f>HYPERLINK("https://www.spark-marketing.ru/Card/Lot/74304618", "Оказание услуг по организации горячего питания обучающихся МОУ «Демиховский лицей» с 09 января 2020 года по 27 декабря 2020 года")</f>
        <v>Оказание услуг по организации горячего питания обучающихся МОУ «Демиховский лицей» с 09 января 2020 года по 27 декабря 2020 года</v>
      </c>
      <c r="G289" s="22" t="s">
        <v>49</v>
      </c>
      <c r="H289" s="22" t="s">
        <v>49</v>
      </c>
      <c r="I289" s="26">
        <v>43752</v>
      </c>
      <c r="J289" s="28" t="s">
        <v>51</v>
      </c>
      <c r="K289" s="28" t="s">
        <v>51</v>
      </c>
      <c r="L289" s="28" t="s">
        <v>51</v>
      </c>
      <c r="M289" s="28" t="s">
        <v>51</v>
      </c>
      <c r="N289" s="28" t="s">
        <v>51</v>
      </c>
    </row>
    <row r="290" spans="1:14" x14ac:dyDescent="0.2">
      <c r="A290" s="23" t="str">
        <f>HYPERLINK("https://www.spark-marketing.ru/Card/Person/268823", "ГАУ АО ""РЦСП ""ВОЛГАРЬ""")</f>
        <v>ГАУ АО "РЦСП "ВОЛГАРЬ"</v>
      </c>
      <c r="B290" s="24" t="s">
        <v>767</v>
      </c>
      <c r="C290" s="25">
        <v>240000</v>
      </c>
      <c r="D290" s="22" t="s">
        <v>782</v>
      </c>
      <c r="E290" s="22" t="s">
        <v>769</v>
      </c>
      <c r="F290" s="23" t="str">
        <f>HYPERLINK("https://www.spark-marketing.ru/Card/Lot/74306083", "оказание услуг по организации проживания и питания")</f>
        <v>оказание услуг по организации проживания и питания</v>
      </c>
      <c r="G290" s="22" t="s">
        <v>783</v>
      </c>
      <c r="H290" s="22" t="s">
        <v>783</v>
      </c>
      <c r="I290" s="26">
        <v>43752</v>
      </c>
      <c r="J290" s="28" t="s">
        <v>51</v>
      </c>
      <c r="K290" s="28" t="s">
        <v>51</v>
      </c>
      <c r="L290" s="28" t="s">
        <v>51</v>
      </c>
      <c r="M290" s="25">
        <v>240000</v>
      </c>
      <c r="N290" s="27">
        <v>0</v>
      </c>
    </row>
    <row r="291" spans="1:14" x14ac:dyDescent="0.15">
      <c r="A291" s="23" t="str">
        <f>HYPERLINK("https://www.spark-marketing.ru/Card/Person/581805", "ГАУК ЯО ""КОНЦЕРТНО-ЗРЕЛИЩНЫЙ ЦЕНТР""")</f>
        <v>ГАУК ЯО "КОНЦЕРТНО-ЗРЕЛИЩНЫЙ ЦЕНТР"</v>
      </c>
      <c r="B291" s="24" t="s">
        <v>770</v>
      </c>
      <c r="C291" s="25">
        <v>313500</v>
      </c>
      <c r="D291" s="22" t="s">
        <v>784</v>
      </c>
      <c r="E291" s="22" t="s">
        <v>362</v>
      </c>
      <c r="F291" s="23" t="str">
        <f>HYPERLINK("https://www.spark-marketing.ru/Card/Lot/74310453", "оказание услуг по организации питания")</f>
        <v>оказание услуг по организации питания</v>
      </c>
      <c r="G291" s="22" t="s">
        <v>185</v>
      </c>
      <c r="H291" s="22" t="s">
        <v>185</v>
      </c>
      <c r="I291" s="26">
        <v>43752</v>
      </c>
      <c r="J291" s="28" t="s">
        <v>51</v>
      </c>
      <c r="K291" s="28" t="s">
        <v>51</v>
      </c>
      <c r="L291" s="28" t="s">
        <v>51</v>
      </c>
      <c r="M291" s="28" t="s">
        <v>51</v>
      </c>
      <c r="N291" s="28" t="s">
        <v>51</v>
      </c>
    </row>
    <row r="292" spans="1:14" x14ac:dyDescent="0.15">
      <c r="A292" s="23" t="str">
        <f>HYPERLINK("https://www.spark-marketing.ru/Card/Person/4349872", "АО ""АВИАКОМПАНИЯ ""РОССИЯ""")</f>
        <v>АО "АВИАКОМПАНИЯ "РОССИЯ"</v>
      </c>
      <c r="B292" s="24" t="s">
        <v>785</v>
      </c>
      <c r="C292" s="25">
        <v>17884800</v>
      </c>
      <c r="D292" s="22" t="s">
        <v>786</v>
      </c>
      <c r="E292" s="22" t="s">
        <v>787</v>
      </c>
      <c r="F292" s="23" t="str">
        <f>HYPERLINK("https://www.spark-marketing.ru/Card/Lot/74318736", "Оказание услуг по организации питания экипажей АО ""Авиакомпания ""Россия"" находящихся в резерве в г. Санкт-Петербурге")</f>
        <v>Оказание услуг по организации питания экипажей АО "Авиакомпания "Россия" находящихся в резерве в г. Санкт-Петербурге</v>
      </c>
      <c r="G292" s="22" t="s">
        <v>117</v>
      </c>
      <c r="H292" s="22" t="s">
        <v>117</v>
      </c>
      <c r="I292" s="26">
        <v>43752</v>
      </c>
      <c r="J292" s="28" t="s">
        <v>51</v>
      </c>
      <c r="K292" s="28" t="s">
        <v>51</v>
      </c>
      <c r="L292" s="28" t="s">
        <v>51</v>
      </c>
      <c r="M292" s="28" t="s">
        <v>51</v>
      </c>
      <c r="N292" s="28" t="s">
        <v>51</v>
      </c>
    </row>
    <row r="293" spans="1:14" x14ac:dyDescent="0.15">
      <c r="A293" s="23" t="str">
        <f>HYPERLINK("https://www.spark-marketing.ru/Card/Person/4434736", "МАОУ ""НОВОЗАИМСКАЯ СОШ""")</f>
        <v>МАОУ "НОВОЗАИМСКАЯ СОШ"</v>
      </c>
      <c r="B293" s="24" t="s">
        <v>788</v>
      </c>
      <c r="C293" s="25">
        <v>1636365</v>
      </c>
      <c r="D293" s="22" t="s">
        <v>789</v>
      </c>
      <c r="E293" s="22" t="s">
        <v>362</v>
      </c>
      <c r="F293" s="23" t="str">
        <f>HYPERLINK("https://www.spark-marketing.ru/Card/Lot/74318619", "Оказание услуг по организации питания воспитанников отделения дошкольного образования.")</f>
        <v>Оказание услуг по организации питания воспитанников отделения дошкольного образования.</v>
      </c>
      <c r="G293" s="22" t="s">
        <v>766</v>
      </c>
      <c r="H293" s="22" t="s">
        <v>766</v>
      </c>
      <c r="I293" s="26">
        <v>43752</v>
      </c>
      <c r="J293" s="28" t="s">
        <v>51</v>
      </c>
      <c r="K293" s="28" t="s">
        <v>51</v>
      </c>
      <c r="L293" s="28" t="s">
        <v>51</v>
      </c>
      <c r="M293" s="28" t="s">
        <v>51</v>
      </c>
      <c r="N293" s="28" t="s">
        <v>51</v>
      </c>
    </row>
    <row r="294" spans="1:14" x14ac:dyDescent="0.2">
      <c r="A294" s="23" t="str">
        <f>HYPERLINK("https://www.spark-marketing.ru/Card/Person/4434632", "МАОУ СОШ № 2")</f>
        <v>МАОУ СОШ № 2</v>
      </c>
      <c r="B294" s="24" t="s">
        <v>790</v>
      </c>
      <c r="C294" s="25">
        <v>399000</v>
      </c>
      <c r="D294" s="22" t="s">
        <v>791</v>
      </c>
      <c r="E294" s="22" t="s">
        <v>362</v>
      </c>
      <c r="F294" s="23" t="str">
        <f>HYPERLINK("https://www.spark-marketing.ru/Card/Lot/74315014", "Услуги по организации горячего питания")</f>
        <v>Услуги по организации горячего питания</v>
      </c>
      <c r="G294" s="22" t="s">
        <v>174</v>
      </c>
      <c r="H294" s="22" t="s">
        <v>174</v>
      </c>
      <c r="I294" s="26">
        <v>43752</v>
      </c>
      <c r="J294" s="28" t="s">
        <v>51</v>
      </c>
      <c r="K294" s="28" t="s">
        <v>51</v>
      </c>
      <c r="L294" s="28" t="s">
        <v>51</v>
      </c>
      <c r="M294" s="25">
        <v>399000</v>
      </c>
      <c r="N294" s="27">
        <v>0</v>
      </c>
    </row>
    <row r="295" spans="1:14" x14ac:dyDescent="0.15">
      <c r="A295" s="23" t="str">
        <f>HYPERLINK("https://www.spark-marketing.ru/Card/Person/1525289", "МУНИЦИПАЛЬНОЕ АВТОНОМНОЕ УЧРЕЖДЕНИЕ ""СПОРТИВНАЯ ШКОЛА ""ЛИДЕР""")</f>
        <v>МУНИЦИПАЛЬНОЕ АВТОНОМНОЕ УЧРЕЖДЕНИЕ "СПОРТИВНАЯ ШКОЛА "ЛИДЕР"</v>
      </c>
      <c r="B295" s="24" t="s">
        <v>792</v>
      </c>
      <c r="C295" s="25">
        <v>249600</v>
      </c>
      <c r="D295" s="22" t="s">
        <v>793</v>
      </c>
      <c r="E295" s="22" t="s">
        <v>794</v>
      </c>
      <c r="F295" s="23" t="str">
        <f>HYPERLINK("https://www.spark-marketing.ru/Card/Lot/74315075", "Размещение, организация питания, предоставление услуг трансфера")</f>
        <v>Размещение, организация питания, предоставление услуг трансфера</v>
      </c>
      <c r="G295" s="22" t="s">
        <v>174</v>
      </c>
      <c r="H295" s="22" t="s">
        <v>795</v>
      </c>
      <c r="I295" s="26">
        <v>43752</v>
      </c>
      <c r="J295" s="28" t="s">
        <v>51</v>
      </c>
      <c r="K295" s="28" t="s">
        <v>51</v>
      </c>
      <c r="L295" s="28" t="s">
        <v>51</v>
      </c>
      <c r="M295" s="28" t="s">
        <v>51</v>
      </c>
      <c r="N295" s="28" t="s">
        <v>51</v>
      </c>
    </row>
    <row r="296" spans="1:14" x14ac:dyDescent="0.15">
      <c r="A296" s="23" t="str">
        <f>HYPERLINK("https://www.spark-marketing.ru/Card/Person/1028393", "МАОУ ДО ""ТЕХНОПОЛИС""")</f>
        <v>МАОУ ДО "ТЕХНОПОЛИС"</v>
      </c>
      <c r="B296" s="24" t="s">
        <v>796</v>
      </c>
      <c r="C296" s="25">
        <v>134142</v>
      </c>
      <c r="D296" s="22" t="s">
        <v>797</v>
      </c>
      <c r="E296" s="22" t="s">
        <v>362</v>
      </c>
      <c r="F296" s="23" t="str">
        <f>HYPERLINK("https://www.spark-marketing.ru/Card/Lot/74317620", "оказание услуг по организации 2-х разового питания в лагерях с дневным пребыванием детей на базе муниципального автономного образовательного учреждения в период школьных каникул")</f>
        <v>оказание услуг по организации 2-х разового питания в лагерях с дневным пребыванием детей на базе муниципального автономного образовательного учреждения в период школьных каникул</v>
      </c>
      <c r="G296" s="22" t="s">
        <v>97</v>
      </c>
      <c r="H296" s="22" t="s">
        <v>97</v>
      </c>
      <c r="I296" s="26">
        <v>43752</v>
      </c>
      <c r="J296" s="28" t="s">
        <v>51</v>
      </c>
      <c r="K296" s="28" t="s">
        <v>51</v>
      </c>
      <c r="L296" s="28" t="s">
        <v>51</v>
      </c>
      <c r="M296" s="28" t="s">
        <v>51</v>
      </c>
      <c r="N296" s="28" t="s">
        <v>51</v>
      </c>
    </row>
    <row r="297" spans="1:14" x14ac:dyDescent="0.15">
      <c r="A297" s="23" t="str">
        <f>HYPERLINK("https://www.spark-marketing.ru/Card/Person/86089", "МБОУ ТИМОНОВСКАЯ СОШ С УИОП")</f>
        <v>МБОУ ТИМОНОВСКАЯ СОШ С УИОП</v>
      </c>
      <c r="B297" s="24" t="s">
        <v>798</v>
      </c>
      <c r="C297" s="25">
        <v>280000</v>
      </c>
      <c r="D297" s="22" t="s">
        <v>799</v>
      </c>
      <c r="E297" s="22" t="s">
        <v>48</v>
      </c>
      <c r="F297" s="23" t="str">
        <f>HYPERLINK("https://www.spark-marketing.ru/Card/Lot/74303006", "Услуги по организации горячего питания учащихся 1-4 классов")</f>
        <v>Услуги по организации горячего питания учащихся 1-4 классов</v>
      </c>
      <c r="G297" s="22" t="s">
        <v>49</v>
      </c>
      <c r="H297" s="22" t="s">
        <v>204</v>
      </c>
      <c r="I297" s="26">
        <v>43751.742442129602</v>
      </c>
      <c r="J297" s="28" t="s">
        <v>51</v>
      </c>
      <c r="K297" s="28" t="s">
        <v>51</v>
      </c>
      <c r="L297" s="28" t="s">
        <v>51</v>
      </c>
      <c r="M297" s="28" t="s">
        <v>51</v>
      </c>
      <c r="N297" s="28" t="s">
        <v>51</v>
      </c>
    </row>
    <row r="298" spans="1:14" x14ac:dyDescent="0.15">
      <c r="A298" s="23" t="str">
        <f>HYPERLINK("https://www.spark-marketing.ru/Card/Person/106160", "ГБУЗ ""СОКГБ""")</f>
        <v>ГБУЗ "СОКГБ"</v>
      </c>
      <c r="B298" s="24" t="s">
        <v>800</v>
      </c>
      <c r="C298" s="25">
        <v>15104731.18</v>
      </c>
      <c r="D298" s="22" t="s">
        <v>801</v>
      </c>
      <c r="E298" s="22" t="s">
        <v>48</v>
      </c>
      <c r="F298" s="23" t="str">
        <f>HYPERLINK("https://www.spark-marketing.ru/Card/Lot/74301995", "Оказание услуг по приготовлению диетического лечебного питания для Государственного бюджетного учреждения здравоохранения «Самарская областная клиническая гериатрическая больница» в 2020 году.")</f>
        <v>Оказание услуг по приготовлению диетического лечебного питания для Государственного бюджетного учреждения здравоохранения «Самарская областная клиническая гериатрическая больница» в 2020 году.</v>
      </c>
      <c r="G298" s="22" t="s">
        <v>128</v>
      </c>
      <c r="H298" s="22" t="s">
        <v>129</v>
      </c>
      <c r="I298" s="26">
        <v>43750.454861111102</v>
      </c>
      <c r="J298" s="28" t="s">
        <v>51</v>
      </c>
      <c r="K298" s="28" t="s">
        <v>51</v>
      </c>
      <c r="L298" s="28" t="s">
        <v>51</v>
      </c>
      <c r="M298" s="28" t="s">
        <v>51</v>
      </c>
      <c r="N298" s="28" t="s">
        <v>51</v>
      </c>
    </row>
    <row r="299" spans="1:14" x14ac:dyDescent="0.15">
      <c r="A299" s="23" t="str">
        <f>HYPERLINK("https://www.spark-marketing.ru/Card/Person/26144", "ФКУ ""ЦХИСО УМВД РОССИИ ПО САХАЛИНСКОЙ ОБЛАСТИ""")</f>
        <v>ФКУ "ЦХИСО УМВД РОССИИ ПО САХАЛИНСКОЙ ОБЛАСТИ"</v>
      </c>
      <c r="B299" s="24" t="s">
        <v>802</v>
      </c>
      <c r="C299" s="25">
        <v>4210000</v>
      </c>
      <c r="D299" s="22" t="s">
        <v>803</v>
      </c>
      <c r="E299" s="22" t="s">
        <v>48</v>
      </c>
      <c r="F299" s="23" t="str">
        <f>HYPERLINK("https://www.spark-marketing.ru/Card/Lot/74299749", "Оказание услуг по организации комплексного горячего трехразового питания слушателей Центра профессиональной подготовки УМВД России по Сахалинской области, для нужд ФКУ ""ЦХиСО УМВД России по Сахалинской области""")</f>
        <v>Оказание услуг по организации комплексного горячего трехразового питания слушателей Центра профессиональной подготовки УМВД России по Сахалинской области, для нужд ФКУ "ЦХиСО УМВД России по Сахалинской области"</v>
      </c>
      <c r="G299" s="22" t="s">
        <v>260</v>
      </c>
      <c r="H299" s="22" t="s">
        <v>804</v>
      </c>
      <c r="I299" s="26">
        <v>43750.0625</v>
      </c>
      <c r="J299" s="28" t="s">
        <v>51</v>
      </c>
      <c r="K299" s="28" t="s">
        <v>51</v>
      </c>
      <c r="L299" s="28" t="s">
        <v>51</v>
      </c>
      <c r="M299" s="28" t="s">
        <v>51</v>
      </c>
      <c r="N299" s="28" t="s">
        <v>51</v>
      </c>
    </row>
    <row r="300" spans="1:14" x14ac:dyDescent="0.15">
      <c r="A300" s="23" t="str">
        <f>HYPERLINK("https://www.spark-marketing.ru/Card/Person/55488", "МБОУ СОШ № 5 С УГЛУБЛЕННЫМ ИЗУЧЕНИЕМ ОТДЕЛЬНЫХ ПРЕДМЕТОВ")</f>
        <v>МБОУ СОШ № 5 С УГЛУБЛЕННЫМ ИЗУЧЕНИЕМ ОТДЕЛЬНЫХ ПРЕДМЕТОВ</v>
      </c>
      <c r="B300" s="24" t="s">
        <v>805</v>
      </c>
      <c r="C300" s="25">
        <v>584098</v>
      </c>
      <c r="D300" s="22" t="s">
        <v>806</v>
      </c>
      <c r="E300" s="22" t="s">
        <v>48</v>
      </c>
      <c r="F300" s="23" t="str">
        <f>HYPERLINK("https://www.spark-marketing.ru/Card/Lot/74297609",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300" s="22" t="s">
        <v>49</v>
      </c>
      <c r="H300" s="22" t="s">
        <v>50</v>
      </c>
      <c r="I300" s="26">
        <v>43749.877847222197</v>
      </c>
      <c r="J300" s="28" t="s">
        <v>51</v>
      </c>
      <c r="K300" s="28" t="s">
        <v>51</v>
      </c>
      <c r="L300" s="28" t="s">
        <v>51</v>
      </c>
      <c r="M300" s="28" t="s">
        <v>51</v>
      </c>
      <c r="N300" s="28" t="s">
        <v>51</v>
      </c>
    </row>
    <row r="301" spans="1:14" x14ac:dyDescent="0.15">
      <c r="A301" s="23" t="str">
        <f>HYPERLINK("https://www.spark-marketing.ru/Card/Person/50330", "МПР ОРЕНБУРГСКОЙ ОБЛАСТИ")</f>
        <v>МПР ОРЕНБУРГСКОЙ ОБЛАСТИ</v>
      </c>
      <c r="B301" s="24" t="s">
        <v>807</v>
      </c>
      <c r="C301" s="25">
        <v>279635.71999999997</v>
      </c>
      <c r="D301" s="22" t="s">
        <v>808</v>
      </c>
      <c r="E301" s="22" t="s">
        <v>809</v>
      </c>
      <c r="F301" s="23" t="str">
        <f>HYPERLINK("https://www.spark-marketing.ru/Card/Lot/74297366", "на поставку комплектующих к компьютерной техники")</f>
        <v>на поставку комплектующих к компьютерной техники</v>
      </c>
      <c r="G301" s="22" t="s">
        <v>132</v>
      </c>
      <c r="H301" s="22" t="s">
        <v>587</v>
      </c>
      <c r="I301" s="26">
        <v>43749.776388888902</v>
      </c>
      <c r="J301" s="28" t="s">
        <v>51</v>
      </c>
      <c r="K301" s="28" t="s">
        <v>51</v>
      </c>
      <c r="L301" s="28" t="s">
        <v>51</v>
      </c>
      <c r="M301" s="28" t="s">
        <v>51</v>
      </c>
      <c r="N301" s="28" t="s">
        <v>51</v>
      </c>
    </row>
    <row r="302" spans="1:14" x14ac:dyDescent="0.15">
      <c r="A302" s="23" t="str">
        <f>HYPERLINK("https://www.spark-marketing.ru/Card/Person/9368", "ГБУЗ ""ООКОД""")</f>
        <v>ГБУЗ "ООКОД"</v>
      </c>
      <c r="B302" s="24" t="s">
        <v>810</v>
      </c>
      <c r="C302" s="25">
        <v>575520</v>
      </c>
      <c r="D302" s="22" t="s">
        <v>811</v>
      </c>
      <c r="E302" s="22" t="s">
        <v>464</v>
      </c>
      <c r="F302" s="23" t="str">
        <f>HYPERLINK("https://www.spark-marketing.ru/Card/Lot/74297776", "поставка продуктов питания (молоко питьевое)")</f>
        <v>поставка продуктов питания (молоко питьевое)</v>
      </c>
      <c r="G302" s="22" t="s">
        <v>132</v>
      </c>
      <c r="H302" s="22" t="s">
        <v>587</v>
      </c>
      <c r="I302" s="26">
        <v>43749.776388888902</v>
      </c>
      <c r="J302" s="28" t="s">
        <v>51</v>
      </c>
      <c r="K302" s="28" t="s">
        <v>51</v>
      </c>
      <c r="L302" s="28" t="s">
        <v>51</v>
      </c>
      <c r="M302" s="28" t="s">
        <v>51</v>
      </c>
      <c r="N302" s="28" t="s">
        <v>51</v>
      </c>
    </row>
    <row r="303" spans="1:14" x14ac:dyDescent="0.15">
      <c r="A303" s="23" t="str">
        <f>HYPERLINK("https://www.spark-marketing.ru/Card/Person/891", "УВД ПО ЮАО ГУ МВД РОССИИ ПО Г. МОСКВЕ")</f>
        <v>УВД ПО ЮАО ГУ МВД РОССИИ ПО Г. МОСКВЕ</v>
      </c>
      <c r="B303" s="24" t="s">
        <v>812</v>
      </c>
      <c r="C303" s="25">
        <v>1120294.5</v>
      </c>
      <c r="D303" s="22" t="s">
        <v>813</v>
      </c>
      <c r="E303" s="22" t="s">
        <v>96</v>
      </c>
      <c r="F303" s="23" t="str">
        <f>HYPERLINK("https://www.spark-marketing.ru/Card/Lot/74298412", "Услуги по обеспечению трехразовым питанием лиц, содержащихся в ИВС УВД по ЮАО ГУ МВД России по г. Москве")</f>
        <v>Услуги по обеспечению трехразовым питанием лиц, содержащихся в ИВС УВД по ЮАО ГУ МВД России по г. Москве</v>
      </c>
      <c r="G303" s="22" t="s">
        <v>56</v>
      </c>
      <c r="H303" s="22" t="s">
        <v>56</v>
      </c>
      <c r="I303" s="26">
        <v>43749.754502314798</v>
      </c>
      <c r="J303" s="28" t="s">
        <v>51</v>
      </c>
      <c r="K303" s="28" t="s">
        <v>51</v>
      </c>
      <c r="L303" s="28" t="s">
        <v>51</v>
      </c>
      <c r="M303" s="28" t="s">
        <v>51</v>
      </c>
      <c r="N303" s="28" t="s">
        <v>51</v>
      </c>
    </row>
    <row r="304" spans="1:14" x14ac:dyDescent="0.15">
      <c r="A304" s="23" t="str">
        <f>HYPERLINK("https://www.spark-marketing.ru/Card/Person/891", "УВД ПО ЮАО ГУ МВД РОССИИ ПО Г. МОСКВЕ")</f>
        <v>УВД ПО ЮАО ГУ МВД РОССИИ ПО Г. МОСКВЕ</v>
      </c>
      <c r="B304" s="24" t="s">
        <v>812</v>
      </c>
      <c r="C304" s="25">
        <v>1723530</v>
      </c>
      <c r="D304" s="22" t="s">
        <v>814</v>
      </c>
      <c r="E304" s="22" t="s">
        <v>96</v>
      </c>
      <c r="F304" s="23" t="str">
        <f>HYPERLINK("https://www.spark-marketing.ru/Card/Lot/74298428", "Оказание услуг по обеспечению трехразовым питанием лиц, содержащихся в Спецприемнике УВД по ЮАО ГУ МВД России по г. Москве")</f>
        <v>Оказание услуг по обеспечению трехразовым питанием лиц, содержащихся в Спецприемнике УВД по ЮАО ГУ МВД России по г. Москве</v>
      </c>
      <c r="G304" s="22" t="s">
        <v>56</v>
      </c>
      <c r="H304" s="22" t="s">
        <v>56</v>
      </c>
      <c r="I304" s="26">
        <v>43749.754618055602</v>
      </c>
      <c r="J304" s="28" t="s">
        <v>51</v>
      </c>
      <c r="K304" s="28" t="s">
        <v>51</v>
      </c>
      <c r="L304" s="28" t="s">
        <v>51</v>
      </c>
      <c r="M304" s="28" t="s">
        <v>51</v>
      </c>
      <c r="N304" s="28" t="s">
        <v>51</v>
      </c>
    </row>
    <row r="305" spans="1:14" x14ac:dyDescent="0.15">
      <c r="A305" s="23" t="str">
        <f>HYPERLINK("https://www.spark-marketing.ru/Card/Person/21220", "ГБУЗ ВО ЦСФП")</f>
        <v>ГБУЗ ВО ЦСФП</v>
      </c>
      <c r="B305" s="24" t="s">
        <v>815</v>
      </c>
      <c r="C305" s="25">
        <v>309562.03999999998</v>
      </c>
      <c r="D305" s="22" t="s">
        <v>816</v>
      </c>
      <c r="E305" s="22" t="s">
        <v>621</v>
      </c>
      <c r="F305" s="23" t="str">
        <f>HYPERLINK("https://www.spark-marketing.ru/Card/Lot/74297242", "Оказание услуг по обновлению справочно-информационных баз данных системы 1С:Предприятие 8")</f>
        <v>Оказание услуг по обновлению справочно-информационных баз данных системы 1С:Предприятие 8</v>
      </c>
      <c r="G305" s="22" t="s">
        <v>663</v>
      </c>
      <c r="H305" s="22" t="s">
        <v>663</v>
      </c>
      <c r="I305" s="26">
        <v>43749.740335648101</v>
      </c>
      <c r="J305" s="28" t="s">
        <v>51</v>
      </c>
      <c r="K305" s="28" t="s">
        <v>51</v>
      </c>
      <c r="L305" s="28" t="s">
        <v>51</v>
      </c>
      <c r="M305" s="28" t="s">
        <v>51</v>
      </c>
      <c r="N305" s="28" t="s">
        <v>51</v>
      </c>
    </row>
    <row r="306" spans="1:14" x14ac:dyDescent="0.15">
      <c r="A306" s="23" t="str">
        <f>HYPERLINK("https://www.spark-marketing.ru/Card/Person/65191", "МО МВД РОССИИ ""ПУГАЧЁВСКИЙ"" САРАТОВСКОЙ ОБЛАСТИ")</f>
        <v>МО МВД РОССИИ "ПУГАЧЁВСКИЙ" САРАТОВСКОЙ ОБЛАСТИ</v>
      </c>
      <c r="B306" s="24" t="s">
        <v>817</v>
      </c>
      <c r="C306" s="25">
        <v>67854.600000000006</v>
      </c>
      <c r="D306" s="22" t="s">
        <v>818</v>
      </c>
      <c r="E306" s="22" t="s">
        <v>48</v>
      </c>
      <c r="F306" s="23" t="str">
        <f>HYPERLINK("https://www.spark-marketing.ru/Card/Lot/74295141", "Оказание услуг по обеспечению бесперебойным ежедневным трехразовым горячим питанием лиц, задержанных за административные правонарушения на срок более трех часов и содержащихся в ПСЗ МО МВД России «Пугачевский» Саратовской области")</f>
        <v>Оказание услуг по обеспечению бесперебойным ежедневным трехразовым горячим питанием лиц, задержанных за административные правонарушения на срок более трех часов и содержащихся в ПСЗ МО МВД России «Пугачевский» Саратовской области</v>
      </c>
      <c r="G306" s="22" t="s">
        <v>351</v>
      </c>
      <c r="H306" s="22" t="s">
        <v>819</v>
      </c>
      <c r="I306" s="26">
        <v>43749.733437499999</v>
      </c>
      <c r="J306" s="28" t="s">
        <v>51</v>
      </c>
      <c r="K306" s="28" t="s">
        <v>51</v>
      </c>
      <c r="L306" s="28" t="s">
        <v>51</v>
      </c>
      <c r="M306" s="28" t="s">
        <v>51</v>
      </c>
      <c r="N306" s="28" t="s">
        <v>51</v>
      </c>
    </row>
    <row r="307" spans="1:14" x14ac:dyDescent="0.15">
      <c r="A307" s="23" t="s">
        <v>114</v>
      </c>
      <c r="B307" s="28" t="s">
        <v>51</v>
      </c>
      <c r="C307" s="25">
        <v>16293068.449999999</v>
      </c>
      <c r="D307" s="22" t="s">
        <v>820</v>
      </c>
      <c r="E307" s="22" t="s">
        <v>96</v>
      </c>
      <c r="F307" s="23" t="str">
        <f>HYPERLINK("https://www.spark-marketing.ru/Card/Lot/74299460",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общеобразовальное учреждение школа №584 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общеобразовальное учреждение школа №584 ...</v>
      </c>
      <c r="G307" s="22" t="s">
        <v>51</v>
      </c>
      <c r="H307" s="22" t="s">
        <v>51</v>
      </c>
      <c r="I307" s="26">
        <v>43749.708449074104</v>
      </c>
      <c r="J307" s="28" t="s">
        <v>51</v>
      </c>
      <c r="K307" s="28" t="s">
        <v>51</v>
      </c>
      <c r="L307" s="28" t="s">
        <v>51</v>
      </c>
      <c r="M307" s="28" t="s">
        <v>51</v>
      </c>
      <c r="N307" s="28" t="s">
        <v>51</v>
      </c>
    </row>
    <row r="308" spans="1:14" hidden="1" outlineLevel="1" x14ac:dyDescent="0.15">
      <c r="A308" s="23" t="str">
        <f>HYPERLINK("https://www.spark-marketing.ru/Card/Person/61425", "ГБОУ ШКОЛА № 584 ""ОЗЕРКИ"" ВЫБОРГСКОГО РАЙОНА САНКТ-ПЕТЕРБУРГА")</f>
        <v>ГБОУ ШКОЛА № 584 "ОЗЕРКИ" ВЫБОРГСКОГО РАЙОНА САНКТ-ПЕТЕРБУРГА</v>
      </c>
      <c r="B308" s="24" t="s">
        <v>821</v>
      </c>
      <c r="C308" s="25">
        <v>7727540.3300000001</v>
      </c>
      <c r="D308" s="22" t="s">
        <v>820</v>
      </c>
      <c r="E308" s="22" t="s">
        <v>96</v>
      </c>
      <c r="F308" s="23" t="str">
        <f>HYPERLINK("https://www.spark-marketing.ru/Card/Lot/74299460",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общеобразовальное учреждение школа №584 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общеобразовальное учреждение школа №584 ...</v>
      </c>
      <c r="G308" s="22" t="s">
        <v>117</v>
      </c>
      <c r="H308" s="22" t="s">
        <v>117</v>
      </c>
      <c r="I308" s="26">
        <v>43749.708449074104</v>
      </c>
      <c r="J308" s="28" t="s">
        <v>51</v>
      </c>
      <c r="K308" s="28" t="s">
        <v>51</v>
      </c>
      <c r="L308" s="28" t="s">
        <v>51</v>
      </c>
      <c r="M308" s="28" t="s">
        <v>51</v>
      </c>
      <c r="N308" s="28" t="s">
        <v>51</v>
      </c>
    </row>
    <row r="309" spans="1:14" hidden="1" outlineLevel="1" x14ac:dyDescent="0.15">
      <c r="A309" s="23" t="str">
        <f>HYPERLINK("https://www.spark-marketing.ru/Card/Person/119405", "ГБОУ ШКОЛА № 112 ВЫБОРГСКОГО РАЙОНА САНКТ-ПЕТЕРБУРГА")</f>
        <v>ГБОУ ШКОЛА № 112 ВЫБОРГСКОГО РАЙОНА САНКТ-ПЕТЕРБУРГА</v>
      </c>
      <c r="B309" s="24" t="s">
        <v>822</v>
      </c>
      <c r="C309" s="25">
        <v>8565528.1199999992</v>
      </c>
      <c r="D309" s="22" t="s">
        <v>820</v>
      </c>
      <c r="E309" s="22" t="s">
        <v>96</v>
      </c>
      <c r="F309" s="23" t="str">
        <f>HYPERLINK("https://www.spark-marketing.ru/Card/Lot/74299460",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общеобразовальное учреждение школа №584 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общеобразовальное учреждение школа №584 ...</v>
      </c>
      <c r="G309" s="22" t="s">
        <v>117</v>
      </c>
      <c r="H309" s="22" t="s">
        <v>117</v>
      </c>
      <c r="I309" s="26">
        <v>43749.708449074104</v>
      </c>
      <c r="J309" s="28" t="s">
        <v>51</v>
      </c>
      <c r="K309" s="28" t="s">
        <v>51</v>
      </c>
      <c r="L309" s="28" t="s">
        <v>51</v>
      </c>
      <c r="M309" s="28" t="s">
        <v>51</v>
      </c>
      <c r="N309" s="28" t="s">
        <v>51</v>
      </c>
    </row>
    <row r="310" spans="1:14" x14ac:dyDescent="0.15">
      <c r="A310" s="23" t="s">
        <v>114</v>
      </c>
      <c r="B310" s="28" t="s">
        <v>51</v>
      </c>
      <c r="C310" s="25">
        <v>29627897.390000001</v>
      </c>
      <c r="D310" s="22" t="s">
        <v>823</v>
      </c>
      <c r="E310" s="22" t="s">
        <v>96</v>
      </c>
      <c r="F310" s="23" t="str">
        <f>HYPERLINK("https://www.spark-marketing.ru/Card/Lot/74299550",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закупки:Государственное бюджетное общеобразовательное учреждение средняя общ...")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закупки:Государственное бюджетное общеобразовательное учреждение средняя общ...</v>
      </c>
      <c r="G310" s="22" t="s">
        <v>51</v>
      </c>
      <c r="H310" s="22" t="s">
        <v>51</v>
      </c>
      <c r="I310" s="26">
        <v>43749.697222222203</v>
      </c>
      <c r="J310" s="28" t="s">
        <v>51</v>
      </c>
      <c r="K310" s="28" t="s">
        <v>51</v>
      </c>
      <c r="L310" s="28" t="s">
        <v>51</v>
      </c>
      <c r="M310" s="28" t="s">
        <v>51</v>
      </c>
      <c r="N310" s="28" t="s">
        <v>51</v>
      </c>
    </row>
    <row r="311" spans="1:14" hidden="1" outlineLevel="1" x14ac:dyDescent="0.15">
      <c r="A311" s="23" t="str">
        <f>HYPERLINK("https://www.spark-marketing.ru/Card/Person/26695", "ГБОУ ШКОЛА № 453 ВЫБОРГСКОГО РАЙОНА САНКТ-ПЕТЕРБУРГА ИМЕНИ СЕРГЕЯ ЖУКОВА")</f>
        <v>ГБОУ ШКОЛА № 453 ВЫБОРГСКОГО РАЙОНА САНКТ-ПЕТЕРБУРГА ИМЕНИ СЕРГЕЯ ЖУКОВА</v>
      </c>
      <c r="B311" s="24" t="s">
        <v>824</v>
      </c>
      <c r="C311" s="25">
        <v>9867182.8300000001</v>
      </c>
      <c r="D311" s="22" t="s">
        <v>823</v>
      </c>
      <c r="E311" s="22" t="s">
        <v>96</v>
      </c>
      <c r="F311" s="23" t="str">
        <f>HYPERLINK("https://www.spark-marketing.ru/Card/Lot/74299550",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закупки:Государственное бюджетное общеобразовательное учреждение средняя общ...")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закупки:Государственное бюджетное общеобразовательное учреждение средняя общ...</v>
      </c>
      <c r="G311" s="22" t="s">
        <v>117</v>
      </c>
      <c r="H311" s="22" t="s">
        <v>117</v>
      </c>
      <c r="I311" s="26">
        <v>43749.697222222203</v>
      </c>
      <c r="J311" s="28" t="s">
        <v>51</v>
      </c>
      <c r="K311" s="28" t="s">
        <v>51</v>
      </c>
      <c r="L311" s="28" t="s">
        <v>51</v>
      </c>
      <c r="M311" s="28" t="s">
        <v>51</v>
      </c>
      <c r="N311" s="28" t="s">
        <v>51</v>
      </c>
    </row>
    <row r="312" spans="1:14" hidden="1" outlineLevel="1" x14ac:dyDescent="0.15">
      <c r="A312" s="23" t="str">
        <f>HYPERLINK("https://www.spark-marketing.ru/Card/Person/29324", "ГБОУ ШКОЛА № 94")</f>
        <v>ГБОУ ШКОЛА № 94</v>
      </c>
      <c r="B312" s="24" t="s">
        <v>825</v>
      </c>
      <c r="C312" s="25">
        <v>10198797.17</v>
      </c>
      <c r="D312" s="22" t="s">
        <v>823</v>
      </c>
      <c r="E312" s="22" t="s">
        <v>96</v>
      </c>
      <c r="F312" s="23" t="str">
        <f>HYPERLINK("https://www.spark-marketing.ru/Card/Lot/74299550",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закупки:Государственное бюджетное общеобразовательное учреждение средняя общ...")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закупки:Государственное бюджетное общеобразовательное учреждение средняя общ...</v>
      </c>
      <c r="G312" s="22" t="s">
        <v>117</v>
      </c>
      <c r="H312" s="22" t="s">
        <v>117</v>
      </c>
      <c r="I312" s="26">
        <v>43749.697222222203</v>
      </c>
      <c r="J312" s="28" t="s">
        <v>51</v>
      </c>
      <c r="K312" s="28" t="s">
        <v>51</v>
      </c>
      <c r="L312" s="28" t="s">
        <v>51</v>
      </c>
      <c r="M312" s="28" t="s">
        <v>51</v>
      </c>
      <c r="N312" s="28" t="s">
        <v>51</v>
      </c>
    </row>
    <row r="313" spans="1:14" hidden="1" outlineLevel="1" x14ac:dyDescent="0.15">
      <c r="A313" s="23" t="str">
        <f>HYPERLINK("https://www.spark-marketing.ru/Card/Person/1024469", "ГБОУ ШКОЛА № 558 ВЫБОРГСКОГО РАЙОНА САНКТ-ПЕТЕРБУРГА")</f>
        <v>ГБОУ ШКОЛА № 558 ВЫБОРГСКОГО РАЙОНА САНКТ-ПЕТЕРБУРГА</v>
      </c>
      <c r="B313" s="24" t="s">
        <v>826</v>
      </c>
      <c r="C313" s="25">
        <v>9561917.3900000006</v>
      </c>
      <c r="D313" s="22" t="s">
        <v>823</v>
      </c>
      <c r="E313" s="22" t="s">
        <v>96</v>
      </c>
      <c r="F313" s="23" t="str">
        <f>HYPERLINK("https://www.spark-marketing.ru/Card/Lot/74299550",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закупки:Государственное бюджетное общеобразовательное учреждение средняя общ...")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закупки:Государственное бюджетное общеобразовательное учреждение средняя общ...</v>
      </c>
      <c r="G313" s="22" t="s">
        <v>117</v>
      </c>
      <c r="H313" s="22" t="s">
        <v>117</v>
      </c>
      <c r="I313" s="26">
        <v>43749.697222222203</v>
      </c>
      <c r="J313" s="28" t="s">
        <v>51</v>
      </c>
      <c r="K313" s="28" t="s">
        <v>51</v>
      </c>
      <c r="L313" s="28" t="s">
        <v>51</v>
      </c>
      <c r="M313" s="28" t="s">
        <v>51</v>
      </c>
      <c r="N313" s="28" t="s">
        <v>51</v>
      </c>
    </row>
    <row r="314" spans="1:14" x14ac:dyDescent="0.15">
      <c r="A314" s="23" t="str">
        <f>HYPERLINK("https://www.spark-marketing.ru/Card/Person/78348", "ОТДЕЛ МВД РОССИИ ПО ГОРОДИЩЕНСКОМУ РАЙОНУ")</f>
        <v>ОТДЕЛ МВД РОССИИ ПО ГОРОДИЩЕНСКОМУ РАЙОНУ</v>
      </c>
      <c r="B314" s="24" t="s">
        <v>827</v>
      </c>
      <c r="C314" s="25">
        <v>370000</v>
      </c>
      <c r="D314" s="22" t="s">
        <v>828</v>
      </c>
      <c r="E314" s="22" t="s">
        <v>48</v>
      </c>
      <c r="F314" s="23" t="str">
        <f>HYPERLINK("https://www.spark-marketing.ru/Card/Lot/74297470", "Оказание услуг по обеспечению 3-х разовым горячим питание лиц содержащихся в ИВС подозреваемых и обвиняемых, КАЗ")</f>
        <v>Оказание услуг по обеспечению 3-х разовым горячим питание лиц содержащихся в ИВС подозреваемых и обвиняемых, КАЗ</v>
      </c>
      <c r="G314" s="22" t="s">
        <v>158</v>
      </c>
      <c r="H314" s="22" t="s">
        <v>829</v>
      </c>
      <c r="I314" s="26">
        <v>43749.627083333296</v>
      </c>
      <c r="J314" s="28" t="s">
        <v>51</v>
      </c>
      <c r="K314" s="28" t="s">
        <v>51</v>
      </c>
      <c r="L314" s="28" t="s">
        <v>51</v>
      </c>
      <c r="M314" s="28" t="s">
        <v>51</v>
      </c>
      <c r="N314" s="28" t="s">
        <v>51</v>
      </c>
    </row>
    <row r="315" spans="1:14" x14ac:dyDescent="0.15">
      <c r="A315" s="23" t="str">
        <f>HYPERLINK("https://www.spark-marketing.ru/Card/Person/1014693", "НРМОБУ ""ЧЕУСКИНСКАЯ СОШ""")</f>
        <v>НРМОБУ "ЧЕУСКИНСКАЯ СОШ"</v>
      </c>
      <c r="B315" s="24" t="s">
        <v>698</v>
      </c>
      <c r="C315" s="25">
        <v>1048356</v>
      </c>
      <c r="D315" s="22" t="s">
        <v>830</v>
      </c>
      <c r="E315" s="22" t="s">
        <v>48</v>
      </c>
      <c r="F315" s="23" t="str">
        <f>HYPERLINK("https://www.spark-marketing.ru/Card/Lot/74298167", "Оказание услуг по организации питания учащихся в столовой НРМОБУ «Чеускинская СОШ»")</f>
        <v>Оказание услуг по организации питания учащихся в столовой НРМОБУ «Чеускинская СОШ»</v>
      </c>
      <c r="G315" s="22" t="s">
        <v>97</v>
      </c>
      <c r="H315" s="22" t="s">
        <v>700</v>
      </c>
      <c r="I315" s="26">
        <v>43749.622222222199</v>
      </c>
      <c r="J315" s="28" t="s">
        <v>51</v>
      </c>
      <c r="K315" s="28" t="s">
        <v>51</v>
      </c>
      <c r="L315" s="28" t="s">
        <v>51</v>
      </c>
      <c r="M315" s="28" t="s">
        <v>51</v>
      </c>
      <c r="N315" s="28" t="s">
        <v>51</v>
      </c>
    </row>
    <row r="316" spans="1:14" x14ac:dyDescent="0.15">
      <c r="A316" s="23" t="str">
        <f>HYPERLINK("https://www.spark-marketing.ru/Card/Person/25692", "ГБОУ ЛИЦЕЙ № 486 ВЫБОРГСКОГО РАЙОНА")</f>
        <v>ГБОУ ЛИЦЕЙ № 486 ВЫБОРГСКОГО РАЙОНА</v>
      </c>
      <c r="B316" s="24" t="s">
        <v>831</v>
      </c>
      <c r="C316" s="25">
        <v>19348993.149999999</v>
      </c>
      <c r="D316" s="22" t="s">
        <v>832</v>
      </c>
      <c r="E316" s="22" t="s">
        <v>96</v>
      </c>
      <c r="F316" s="23" t="str">
        <f>HYPERLINK("https://www.spark-marketing.ru/Card/Lot/74299525", "Оказание услуг по организации питания в Государственном бюджетном общеобразовательном учреждении лицей № 486 Выборгского района Санкт-Петербурга в 2020-2021 г.г.")</f>
        <v>Оказание услуг по организации питания в Государственном бюджетном общеобразовательном учреждении лицей № 486 Выборгского района Санкт-Петербурга в 2020-2021 г.г.</v>
      </c>
      <c r="G316" s="22" t="s">
        <v>117</v>
      </c>
      <c r="H316" s="22" t="s">
        <v>117</v>
      </c>
      <c r="I316" s="26">
        <v>43749.683842592603</v>
      </c>
      <c r="J316" s="28" t="s">
        <v>51</v>
      </c>
      <c r="K316" s="28" t="s">
        <v>51</v>
      </c>
      <c r="L316" s="28" t="s">
        <v>51</v>
      </c>
      <c r="M316" s="28" t="s">
        <v>51</v>
      </c>
      <c r="N316" s="28" t="s">
        <v>51</v>
      </c>
    </row>
    <row r="317" spans="1:14" x14ac:dyDescent="0.15">
      <c r="A317" s="23" t="s">
        <v>114</v>
      </c>
      <c r="B317" s="28" t="s">
        <v>51</v>
      </c>
      <c r="C317" s="25">
        <v>19155989.469999999</v>
      </c>
      <c r="D317" s="22" t="s">
        <v>833</v>
      </c>
      <c r="E317" s="22" t="s">
        <v>96</v>
      </c>
      <c r="F317" s="23" t="str">
        <f>HYPERLINK("https://www.spark-marketing.ru/Card/Lot/74299524", "Оказание услуг по организации питания в государственных бюджетных общеобразовательных учреждениях Выборгского района Санкт-Петербурга в 2020-2021 гг.")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</v>
      </c>
      <c r="G317" s="22" t="s">
        <v>51</v>
      </c>
      <c r="H317" s="22" t="s">
        <v>51</v>
      </c>
      <c r="I317" s="26">
        <v>43749.667083333297</v>
      </c>
      <c r="J317" s="28" t="s">
        <v>51</v>
      </c>
      <c r="K317" s="28" t="s">
        <v>51</v>
      </c>
      <c r="L317" s="28" t="s">
        <v>51</v>
      </c>
      <c r="M317" s="28" t="s">
        <v>51</v>
      </c>
      <c r="N317" s="28" t="s">
        <v>51</v>
      </c>
    </row>
    <row r="318" spans="1:14" hidden="1" outlineLevel="1" x14ac:dyDescent="0.15">
      <c r="A318" s="23" t="str">
        <f>HYPERLINK("https://www.spark-marketing.ru/Card/Person/74142", "ГБОУ ШКОЛА № 123 ВЫБОРГСКОГО РАЙОНА САНКТ-ПЕТЕРБУРГА")</f>
        <v>ГБОУ ШКОЛА № 123 ВЫБОРГСКОГО РАЙОНА САНКТ-ПЕТЕРБУРГА</v>
      </c>
      <c r="B318" s="24" t="s">
        <v>834</v>
      </c>
      <c r="C318" s="25">
        <v>4684986.13</v>
      </c>
      <c r="D318" s="22" t="s">
        <v>833</v>
      </c>
      <c r="E318" s="22" t="s">
        <v>96</v>
      </c>
      <c r="F318" s="23" t="str">
        <f>HYPERLINK("https://www.spark-marketing.ru/Card/Lot/74299524", "Оказание услуг по организации питания в государственных бюджетных общеобразовательных учреждениях Выборгского района Санкт-Петербурга в 2020-2021 гг.")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</v>
      </c>
      <c r="G318" s="22" t="s">
        <v>117</v>
      </c>
      <c r="H318" s="22" t="s">
        <v>117</v>
      </c>
      <c r="I318" s="26">
        <v>43749.667083333297</v>
      </c>
      <c r="J318" s="28" t="s">
        <v>51</v>
      </c>
      <c r="K318" s="28" t="s">
        <v>51</v>
      </c>
      <c r="L318" s="28" t="s">
        <v>51</v>
      </c>
      <c r="M318" s="28" t="s">
        <v>51</v>
      </c>
      <c r="N318" s="28" t="s">
        <v>51</v>
      </c>
    </row>
    <row r="319" spans="1:14" hidden="1" outlineLevel="1" x14ac:dyDescent="0.15">
      <c r="A319" s="23" t="str">
        <f>HYPERLINK("https://www.spark-marketing.ru/Card/Person/1021763", "ГБОУ ШКОЛА № 560 ВЫБОРГСКОГО РАЙОНА САНКТ-ПЕТЕРБУРГА")</f>
        <v>ГБОУ ШКОЛА № 560 ВЫБОРГСКОГО РАЙОНА САНКТ-ПЕТЕРБУРГА</v>
      </c>
      <c r="B319" s="24" t="s">
        <v>835</v>
      </c>
      <c r="C319" s="25">
        <v>3640503.26</v>
      </c>
      <c r="D319" s="22" t="s">
        <v>833</v>
      </c>
      <c r="E319" s="22" t="s">
        <v>96</v>
      </c>
      <c r="F319" s="23" t="str">
        <f>HYPERLINK("https://www.spark-marketing.ru/Card/Lot/74299524", "Оказание услуг по организации питания в государственных бюджетных общеобразовательных учреждениях Выборгского района Санкт-Петербурга в 2020-2021 гг.")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</v>
      </c>
      <c r="G319" s="22" t="s">
        <v>117</v>
      </c>
      <c r="H319" s="22" t="s">
        <v>117</v>
      </c>
      <c r="I319" s="26">
        <v>43749.667083333297</v>
      </c>
      <c r="J319" s="28" t="s">
        <v>51</v>
      </c>
      <c r="K319" s="28" t="s">
        <v>51</v>
      </c>
      <c r="L319" s="28" t="s">
        <v>51</v>
      </c>
      <c r="M319" s="28" t="s">
        <v>51</v>
      </c>
      <c r="N319" s="28" t="s">
        <v>51</v>
      </c>
    </row>
    <row r="320" spans="1:14" hidden="1" outlineLevel="1" x14ac:dyDescent="0.15">
      <c r="A320" s="23" t="str">
        <f>HYPERLINK("https://www.spark-marketing.ru/Card/Person/1041715", "ГБОУ ГИМНАЗИЯ № 107")</f>
        <v>ГБОУ ГИМНАЗИЯ № 107</v>
      </c>
      <c r="B320" s="24" t="s">
        <v>836</v>
      </c>
      <c r="C320" s="25">
        <v>10830500.08</v>
      </c>
      <c r="D320" s="22" t="s">
        <v>833</v>
      </c>
      <c r="E320" s="22" t="s">
        <v>96</v>
      </c>
      <c r="F320" s="23" t="str">
        <f>HYPERLINK("https://www.spark-marketing.ru/Card/Lot/74299524", "Оказание услуг по организации питания в государственных бюджетных общеобразовательных учреждениях Выборгского района Санкт-Петербурга в 2020-2021 гг.")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</v>
      </c>
      <c r="G320" s="22" t="s">
        <v>117</v>
      </c>
      <c r="H320" s="22" t="s">
        <v>117</v>
      </c>
      <c r="I320" s="26">
        <v>43749.667083333297</v>
      </c>
      <c r="J320" s="28" t="s">
        <v>51</v>
      </c>
      <c r="K320" s="28" t="s">
        <v>51</v>
      </c>
      <c r="L320" s="28" t="s">
        <v>51</v>
      </c>
      <c r="M320" s="28" t="s">
        <v>51</v>
      </c>
      <c r="N320" s="28" t="s">
        <v>51</v>
      </c>
    </row>
    <row r="321" spans="1:14" x14ac:dyDescent="0.15">
      <c r="A321" s="23" t="str">
        <f>HYPERLINK("https://www.spark-marketing.ru/Card/Person/6307", "СОКБ")</f>
        <v>СОКБ</v>
      </c>
      <c r="B321" s="24" t="s">
        <v>837</v>
      </c>
      <c r="C321" s="25">
        <v>112682980.66</v>
      </c>
      <c r="D321" s="22" t="s">
        <v>838</v>
      </c>
      <c r="E321" s="22" t="s">
        <v>48</v>
      </c>
      <c r="F321" s="23" t="str">
        <f>HYPERLINK("https://www.spark-marketing.ru/Card/Lot/74299670", "Оказание услуг по организации диетического лечебного питания для Государственного бюджетного учреждения здравоохранения «Самарская областная клиническая больница им.В.Д.Середавина»")</f>
        <v>Оказание услуг по организации диетического лечебного питания для Государственного бюджетного учреждения здравоохранения «Самарская областная клиническая больница им.В.Д.Середавина»</v>
      </c>
      <c r="G321" s="22" t="s">
        <v>128</v>
      </c>
      <c r="H321" s="22" t="s">
        <v>129</v>
      </c>
      <c r="I321" s="26">
        <v>43749.673425925903</v>
      </c>
      <c r="J321" s="28" t="s">
        <v>51</v>
      </c>
      <c r="K321" s="28" t="s">
        <v>51</v>
      </c>
      <c r="L321" s="28" t="s">
        <v>51</v>
      </c>
      <c r="M321" s="28" t="s">
        <v>51</v>
      </c>
      <c r="N321" s="28" t="s">
        <v>51</v>
      </c>
    </row>
    <row r="322" spans="1:14" x14ac:dyDescent="0.15">
      <c r="A322" s="23" t="str">
        <f>HYPERLINK("https://www.spark-marketing.ru/Card/Person/15384", "МУ МВД РОССИИ ""НИЖНЕТАГИЛЬСКОЕ""")</f>
        <v>МУ МВД РОССИИ "НИЖНЕТАГИЛЬСКОЕ"</v>
      </c>
      <c r="B322" s="24" t="s">
        <v>839</v>
      </c>
      <c r="C322" s="25">
        <v>537503</v>
      </c>
      <c r="D322" s="22" t="s">
        <v>840</v>
      </c>
      <c r="E322" s="22" t="s">
        <v>48</v>
      </c>
      <c r="F322" s="23" t="str">
        <f>HYPERLINK("https://www.spark-marketing.ru/Card/Lot/74291428", "Оказание услуг по организации ежедневного трехразового горячего питания, лиц содержащихся в специальном приемнике МУ МВД России ""Нижнетагильское""")</f>
        <v>Оказание услуг по организации ежедневного трехразового горячего питания, лиц содержащихся в специальном приемнике МУ МВД России "Нижнетагильское"</v>
      </c>
      <c r="G322" s="22" t="s">
        <v>174</v>
      </c>
      <c r="H322" s="22" t="s">
        <v>841</v>
      </c>
      <c r="I322" s="26">
        <v>43749.599999999999</v>
      </c>
      <c r="J322" s="28" t="s">
        <v>51</v>
      </c>
      <c r="K322" s="28" t="s">
        <v>51</v>
      </c>
      <c r="L322" s="28" t="s">
        <v>51</v>
      </c>
      <c r="M322" s="28" t="s">
        <v>51</v>
      </c>
      <c r="N322" s="28" t="s">
        <v>51</v>
      </c>
    </row>
    <row r="323" spans="1:14" x14ac:dyDescent="0.15">
      <c r="A323" s="23" t="str">
        <f>HYPERLINK("https://www.spark-marketing.ru/Card/Person/22180", "ГБУЗ ""САКМАРСКАЯ РБ""")</f>
        <v>ГБУЗ "САКМАРСКАЯ РБ"</v>
      </c>
      <c r="B323" s="24" t="s">
        <v>842</v>
      </c>
      <c r="C323" s="25">
        <v>291861.67</v>
      </c>
      <c r="D323" s="22" t="s">
        <v>843</v>
      </c>
      <c r="E323" s="22" t="s">
        <v>809</v>
      </c>
      <c r="F323" s="23" t="str">
        <f>HYPERLINK("https://www.spark-marketing.ru/Card/Lot/74297368", "Поставка компьютерной техники")</f>
        <v>Поставка компьютерной техники</v>
      </c>
      <c r="G323" s="22" t="s">
        <v>132</v>
      </c>
      <c r="H323" s="22" t="s">
        <v>844</v>
      </c>
      <c r="I323" s="26">
        <v>43749.617361111101</v>
      </c>
      <c r="J323" s="28" t="s">
        <v>51</v>
      </c>
      <c r="K323" s="28" t="s">
        <v>51</v>
      </c>
      <c r="L323" s="28" t="s">
        <v>51</v>
      </c>
      <c r="M323" s="28" t="s">
        <v>51</v>
      </c>
      <c r="N323" s="28" t="s">
        <v>51</v>
      </c>
    </row>
    <row r="324" spans="1:14" x14ac:dyDescent="0.15">
      <c r="A324" s="23" t="str">
        <f>HYPERLINK("https://www.spark-marketing.ru/Card/Person/36094", "ГБУЗ ПК ""ГБ ЛГО""")</f>
        <v>ГБУЗ ПК "ГБ ЛГО"</v>
      </c>
      <c r="B324" s="24" t="s">
        <v>845</v>
      </c>
      <c r="C324" s="25">
        <v>9809738.75</v>
      </c>
      <c r="D324" s="22" t="s">
        <v>846</v>
      </c>
      <c r="E324" s="22" t="s">
        <v>96</v>
      </c>
      <c r="F324" s="23" t="str">
        <f>HYPERLINK("https://www.spark-marketing.ru/Card/Lot/74299497", "Оказание услуг по организации и приготовлению ежедневного горячего питания для больных")</f>
        <v>Оказание услуг по организации и приготовлению ежедневного горячего питания для больных</v>
      </c>
      <c r="G324" s="22" t="s">
        <v>153</v>
      </c>
      <c r="H324" s="22" t="s">
        <v>153</v>
      </c>
      <c r="I324" s="26">
        <v>43749.668749999997</v>
      </c>
      <c r="J324" s="28" t="s">
        <v>51</v>
      </c>
      <c r="K324" s="28" t="s">
        <v>51</v>
      </c>
      <c r="L324" s="28" t="s">
        <v>51</v>
      </c>
      <c r="M324" s="28" t="s">
        <v>51</v>
      </c>
      <c r="N324" s="28" t="s">
        <v>51</v>
      </c>
    </row>
    <row r="325" spans="1:14" x14ac:dyDescent="0.15">
      <c r="A325" s="23" t="str">
        <f>HYPERLINK("https://www.spark-marketing.ru/Card/Person/107579", "УМВД РОССИИ ПО Г. ВЕЛИКИЙ НОВГОРОД")</f>
        <v>УМВД РОССИИ ПО Г. ВЕЛИКИЙ НОВГОРОД</v>
      </c>
      <c r="B325" s="24" t="s">
        <v>847</v>
      </c>
      <c r="C325" s="25">
        <v>2102000</v>
      </c>
      <c r="D325" s="22" t="s">
        <v>848</v>
      </c>
      <c r="E325" s="22" t="s">
        <v>48</v>
      </c>
      <c r="F325" s="23" t="str">
        <f>HYPERLINK("https://www.spark-marketing.ru/Card/Lot/74299112", "питание ИВС (2021)")</f>
        <v>питание ИВС (2021)</v>
      </c>
      <c r="G325" s="22" t="s">
        <v>849</v>
      </c>
      <c r="H325" s="22" t="s">
        <v>849</v>
      </c>
      <c r="I325" s="26">
        <v>43749.632199074098</v>
      </c>
      <c r="J325" s="28" t="s">
        <v>51</v>
      </c>
      <c r="K325" s="28" t="s">
        <v>51</v>
      </c>
      <c r="L325" s="28" t="s">
        <v>51</v>
      </c>
      <c r="M325" s="28" t="s">
        <v>51</v>
      </c>
      <c r="N325" s="28" t="s">
        <v>51</v>
      </c>
    </row>
    <row r="326" spans="1:14" x14ac:dyDescent="0.15">
      <c r="A326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326" s="24" t="s">
        <v>850</v>
      </c>
      <c r="C326" s="25">
        <v>447692.15</v>
      </c>
      <c r="D326" s="22" t="s">
        <v>851</v>
      </c>
      <c r="E326" s="22" t="s">
        <v>48</v>
      </c>
      <c r="F326" s="23" t="str">
        <f>HYPERLINK("https://www.spark-marketing.ru/Card/Lot/74291409", "Оказание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МВД по Удмуртской Республике осуществляющегося путем доставки готовой продукции на...")</f>
        <v>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МВД по Удмуртской Республике осуществляющегося путем доставки готовой продукции на...</v>
      </c>
      <c r="G326" s="22" t="s">
        <v>852</v>
      </c>
      <c r="H326" s="22" t="s">
        <v>852</v>
      </c>
      <c r="I326" s="26">
        <v>43749.611111111102</v>
      </c>
      <c r="J326" s="28" t="s">
        <v>51</v>
      </c>
      <c r="K326" s="28" t="s">
        <v>51</v>
      </c>
      <c r="L326" s="28" t="s">
        <v>51</v>
      </c>
      <c r="M326" s="28" t="s">
        <v>51</v>
      </c>
      <c r="N326" s="28" t="s">
        <v>51</v>
      </c>
    </row>
    <row r="327" spans="1:14" x14ac:dyDescent="0.15">
      <c r="A327" s="23" t="str">
        <f>HYPERLINK("https://www.spark-marketing.ru/Card/Person/1019771", "МБОУ ""КОЖАЕВСКАЯ ООШ""")</f>
        <v>МБОУ "КОЖАЕВСКАЯ ООШ"</v>
      </c>
      <c r="B327" s="24" t="s">
        <v>853</v>
      </c>
      <c r="C327" s="25">
        <v>159900</v>
      </c>
      <c r="D327" s="22" t="s">
        <v>854</v>
      </c>
      <c r="E327" s="22" t="s">
        <v>48</v>
      </c>
      <c r="F327" s="23" t="str">
        <f>HYPERLINK("https://www.spark-marketing.ru/Card/Lot/74296620", "оказание услуг по организации горячего питания")</f>
        <v>оказание услуг по организации горячего питания</v>
      </c>
      <c r="G327" s="22" t="s">
        <v>503</v>
      </c>
      <c r="H327" s="22" t="s">
        <v>503</v>
      </c>
      <c r="I327" s="26">
        <v>43749.657638888901</v>
      </c>
      <c r="J327" s="28" t="s">
        <v>51</v>
      </c>
      <c r="K327" s="28" t="s">
        <v>51</v>
      </c>
      <c r="L327" s="28" t="s">
        <v>51</v>
      </c>
      <c r="M327" s="28" t="s">
        <v>51</v>
      </c>
      <c r="N327" s="28" t="s">
        <v>51</v>
      </c>
    </row>
    <row r="328" spans="1:14" x14ac:dyDescent="0.15">
      <c r="A328" s="23" t="str">
        <f>HYPERLINK("https://www.spark-marketing.ru/Card/Person/107579", "УМВД РОССИИ ПО Г. ВЕЛИКИЙ НОВГОРОД")</f>
        <v>УМВД РОССИИ ПО Г. ВЕЛИКИЙ НОВГОРОД</v>
      </c>
      <c r="B328" s="24" t="s">
        <v>847</v>
      </c>
      <c r="C328" s="25">
        <v>2102000</v>
      </c>
      <c r="D328" s="22" t="s">
        <v>855</v>
      </c>
      <c r="E328" s="22" t="s">
        <v>48</v>
      </c>
      <c r="F328" s="23" t="str">
        <f>HYPERLINK("https://www.spark-marketing.ru/Card/Lot/74299113", "питание ИВС (2020)")</f>
        <v>питание ИВС (2020)</v>
      </c>
      <c r="G328" s="22" t="s">
        <v>849</v>
      </c>
      <c r="H328" s="22" t="s">
        <v>849</v>
      </c>
      <c r="I328" s="26">
        <v>43749.629166666702</v>
      </c>
      <c r="J328" s="28" t="s">
        <v>51</v>
      </c>
      <c r="K328" s="28" t="s">
        <v>51</v>
      </c>
      <c r="L328" s="28" t="s">
        <v>51</v>
      </c>
      <c r="M328" s="28" t="s">
        <v>51</v>
      </c>
      <c r="N328" s="28" t="s">
        <v>51</v>
      </c>
    </row>
    <row r="329" spans="1:14" x14ac:dyDescent="0.15">
      <c r="A329" s="23" t="str">
        <f>HYPERLINK("https://www.spark-marketing.ru/Card/Person/1001036", "ОТДЕЛ МВД РОССИИ ПО Г. ВЫКСА")</f>
        <v>ОТДЕЛ МВД РОССИИ ПО Г. ВЫКСА</v>
      </c>
      <c r="B329" s="24" t="s">
        <v>74</v>
      </c>
      <c r="C329" s="25">
        <v>1950000</v>
      </c>
      <c r="D329" s="22" t="s">
        <v>856</v>
      </c>
      <c r="E329" s="22" t="s">
        <v>48</v>
      </c>
      <c r="F329" s="23" t="str">
        <f>HYPERLINK("https://www.spark-marketing.ru/Card/Lot/74298556", "Организация питания лиц, содержащихся в ИВС")</f>
        <v>Организация питания лиц, содержащихся в ИВС</v>
      </c>
      <c r="G329" s="22" t="s">
        <v>76</v>
      </c>
      <c r="H329" s="22" t="s">
        <v>77</v>
      </c>
      <c r="I329" s="26">
        <v>43749.661527777796</v>
      </c>
      <c r="J329" s="28" t="s">
        <v>51</v>
      </c>
      <c r="K329" s="28" t="s">
        <v>51</v>
      </c>
      <c r="L329" s="28" t="s">
        <v>51</v>
      </c>
      <c r="M329" s="28" t="s">
        <v>51</v>
      </c>
      <c r="N329" s="28" t="s">
        <v>51</v>
      </c>
    </row>
    <row r="330" spans="1:14" x14ac:dyDescent="0.15">
      <c r="A330" s="23" t="str">
        <f>HYPERLINK("https://www.spark-marketing.ru/Card/Person/1001036", "ОТДЕЛ МВД РОССИИ ПО Г. ВЫКСА")</f>
        <v>ОТДЕЛ МВД РОССИИ ПО Г. ВЫКСА</v>
      </c>
      <c r="B330" s="24" t="s">
        <v>74</v>
      </c>
      <c r="C330" s="25">
        <v>1790295</v>
      </c>
      <c r="D330" s="22" t="s">
        <v>857</v>
      </c>
      <c r="E330" s="22" t="s">
        <v>48</v>
      </c>
      <c r="F330" s="23" t="str">
        <f>HYPERLINK("https://www.spark-marketing.ru/Card/Lot/74298555", "Организация питания лиц, содержащихся в ИВС")</f>
        <v>Организация питания лиц, содержащихся в ИВС</v>
      </c>
      <c r="G330" s="22" t="s">
        <v>76</v>
      </c>
      <c r="H330" s="22" t="s">
        <v>77</v>
      </c>
      <c r="I330" s="26">
        <v>43749.665347222202</v>
      </c>
      <c r="J330" s="28" t="s">
        <v>51</v>
      </c>
      <c r="K330" s="28" t="s">
        <v>51</v>
      </c>
      <c r="L330" s="28" t="s">
        <v>51</v>
      </c>
      <c r="M330" s="28" t="s">
        <v>51</v>
      </c>
      <c r="N330" s="28" t="s">
        <v>51</v>
      </c>
    </row>
    <row r="331" spans="1:14" x14ac:dyDescent="0.15">
      <c r="A331" s="23" t="str">
        <f>HYPERLINK("https://www.spark-marketing.ru/Card/Person/397646", "ООО ""РН - СТАВРОПОЛЬНЕФТЕГАЗ""")</f>
        <v>ООО "РН - СТАВРОПОЛЬНЕФТЕГАЗ"</v>
      </c>
      <c r="B331" s="24" t="s">
        <v>858</v>
      </c>
      <c r="C331" s="28" t="s">
        <v>51</v>
      </c>
      <c r="D331" s="22" t="s">
        <v>859</v>
      </c>
      <c r="E331" s="22" t="s">
        <v>860</v>
      </c>
      <c r="F331" s="23" t="str">
        <f>HYPERLINK("https://www.spark-marketing.ru/Card/Lot/74286540", "организация питания участников корпоративного фестиваля «Роснефть зажигает звезды-2020» в январе-мае 2020 г.")</f>
        <v>организация питания участников корпоративного фестиваля «Роснефть зажигает звезды-2020» в январе-мае 2020 г.</v>
      </c>
      <c r="G331" s="22" t="s">
        <v>87</v>
      </c>
      <c r="H331" s="22" t="s">
        <v>861</v>
      </c>
      <c r="I331" s="26">
        <v>43749.604166666701</v>
      </c>
      <c r="J331" s="28" t="s">
        <v>51</v>
      </c>
      <c r="K331" s="28" t="s">
        <v>51</v>
      </c>
      <c r="L331" s="28" t="s">
        <v>51</v>
      </c>
      <c r="M331" s="28" t="s">
        <v>51</v>
      </c>
      <c r="N331" s="28" t="s">
        <v>51</v>
      </c>
    </row>
    <row r="332" spans="1:14" x14ac:dyDescent="0.15">
      <c r="A332" s="23" t="str">
        <f>HYPERLINK("https://www.spark-marketing.ru/Card/Person/79464", "КОГБУЗ ""ФАЛЕНСКАЯ ЦЕНТРАЛЬНАЯ РАЙОННАЯ БОЛЬНИЦА"", КОГБУЗ ""ФАЛЕНСКАЯ ЦРБ""")</f>
        <v>КОГБУЗ "ФАЛЕНСКАЯ ЦЕНТРАЛЬНАЯ РАЙОННАЯ БОЛЬНИЦА", КОГБУЗ "ФАЛЕНСКАЯ ЦРБ"</v>
      </c>
      <c r="B332" s="24" t="s">
        <v>862</v>
      </c>
      <c r="C332" s="25">
        <v>3500118.1</v>
      </c>
      <c r="D332" s="22" t="s">
        <v>863</v>
      </c>
      <c r="E332" s="22" t="s">
        <v>48</v>
      </c>
      <c r="F332" s="23" t="str">
        <f>HYPERLINK("https://www.spark-marketing.ru/Card/Lot/74296676", "Оказание услуг по приготовлению и передаче ежедневного лечебного горячего питания")</f>
        <v>Оказание услуг по приготовлению и передаче ежедневного лечебного горячего питания</v>
      </c>
      <c r="G332" s="22" t="s">
        <v>224</v>
      </c>
      <c r="H332" s="22" t="s">
        <v>864</v>
      </c>
      <c r="I332" s="26">
        <v>43749.609363425901</v>
      </c>
      <c r="J332" s="28" t="s">
        <v>51</v>
      </c>
      <c r="K332" s="28" t="s">
        <v>51</v>
      </c>
      <c r="L332" s="28" t="s">
        <v>51</v>
      </c>
      <c r="M332" s="28" t="s">
        <v>51</v>
      </c>
      <c r="N332" s="28" t="s">
        <v>51</v>
      </c>
    </row>
    <row r="333" spans="1:14" x14ac:dyDescent="0.15">
      <c r="A333" s="23" t="str">
        <f>HYPERLINK("https://www.spark-marketing.ru/Card/Person/58731", "КОГБУЗ ""КИРОВСКАЯ КЛИНИЧЕСКАЯ БОЛЬНИЦА №7 ""КОГБУЗ ""ККБ №7""")</f>
        <v>КОГБУЗ "КИРОВСКАЯ КЛИНИЧЕСКАЯ БОЛЬНИЦА №7 "КОГБУЗ "ККБ №7"</v>
      </c>
      <c r="B333" s="24" t="s">
        <v>865</v>
      </c>
      <c r="C333" s="25">
        <v>39330000</v>
      </c>
      <c r="D333" s="22" t="s">
        <v>866</v>
      </c>
      <c r="E333" s="22" t="s">
        <v>48</v>
      </c>
      <c r="F333" s="23" t="str">
        <f>HYPERLINK("https://www.spark-marketing.ru/Card/Lot/74299611", "Оказание услуг по приготовлению и передаче ежедневного лечебного горячего питания")</f>
        <v>Оказание услуг по приготовлению и передаче ежедневного лечебного горячего питания</v>
      </c>
      <c r="G333" s="22" t="s">
        <v>224</v>
      </c>
      <c r="H333" s="22" t="s">
        <v>225</v>
      </c>
      <c r="I333" s="26">
        <v>43749.624305555597</v>
      </c>
      <c r="J333" s="28" t="s">
        <v>51</v>
      </c>
      <c r="K333" s="28" t="s">
        <v>51</v>
      </c>
      <c r="L333" s="28" t="s">
        <v>51</v>
      </c>
      <c r="M333" s="28" t="s">
        <v>51</v>
      </c>
      <c r="N333" s="28" t="s">
        <v>51</v>
      </c>
    </row>
    <row r="334" spans="1:14" x14ac:dyDescent="0.15">
      <c r="A334" s="23" t="str">
        <f>HYPERLINK("https://www.spark-marketing.ru/Card/Person/33732", "КОГБУЗ ""КИРОВСКАЯ ОБЛАСТНАЯ КЛИНИЧЕСКАЯ ПСИХИАТРИЧЕСКАЯ БОЛЬНИЦА ИМ. АКАДЕМИКА В.М.БЕХТЕРЕВА"", КОГБУЗ ""КОКПБ""")</f>
        <v>КОГБУЗ "КИРОВСКАЯ ОБЛАСТНАЯ КЛИНИЧЕСКАЯ ПСИХИАТРИЧЕСКАЯ БОЛЬНИЦА ИМ. АКАДЕМИКА В.М.БЕХТЕРЕВА", КОГБУЗ "КОКПБ"</v>
      </c>
      <c r="B334" s="24" t="s">
        <v>867</v>
      </c>
      <c r="C334" s="25">
        <v>4165425</v>
      </c>
      <c r="D334" s="22" t="s">
        <v>868</v>
      </c>
      <c r="E334" s="22" t="s">
        <v>96</v>
      </c>
      <c r="F334" s="23" t="str">
        <f>HYPERLINK("https://www.spark-marketing.ru/Card/Lot/74293729", "Оказание услуг по приготовлению и передаче ежедневного лечебного питания")</f>
        <v>Оказание услуг по приготовлению и передаче ежедневного лечебного питания</v>
      </c>
      <c r="G334" s="22" t="s">
        <v>224</v>
      </c>
      <c r="H334" s="22" t="s">
        <v>869</v>
      </c>
      <c r="I334" s="26">
        <v>43749.610416666699</v>
      </c>
      <c r="J334" s="28" t="s">
        <v>51</v>
      </c>
      <c r="K334" s="28" t="s">
        <v>51</v>
      </c>
      <c r="L334" s="28" t="s">
        <v>51</v>
      </c>
      <c r="M334" s="28" t="s">
        <v>51</v>
      </c>
      <c r="N334" s="28" t="s">
        <v>51</v>
      </c>
    </row>
    <row r="335" spans="1:14" x14ac:dyDescent="0.15">
      <c r="A335" s="23" t="s">
        <v>114</v>
      </c>
      <c r="B335" s="28" t="s">
        <v>51</v>
      </c>
      <c r="C335" s="25">
        <v>36265905.759999998</v>
      </c>
      <c r="D335" s="22" t="s">
        <v>870</v>
      </c>
      <c r="E335" s="22" t="s">
        <v>96</v>
      </c>
      <c r="F335" s="23" t="str">
        <f>HYPERLINK("https://www.spark-marketing.ru/Card/Lot/74293978",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482 Выборгского района Санкт-Петербурга)")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482 Выборгского района Санкт-Петербурга)</v>
      </c>
      <c r="G335" s="22" t="s">
        <v>51</v>
      </c>
      <c r="H335" s="22" t="s">
        <v>51</v>
      </c>
      <c r="I335" s="26">
        <v>43749.612500000003</v>
      </c>
      <c r="J335" s="28" t="s">
        <v>51</v>
      </c>
      <c r="K335" s="28" t="s">
        <v>51</v>
      </c>
      <c r="L335" s="28" t="s">
        <v>51</v>
      </c>
      <c r="M335" s="28" t="s">
        <v>51</v>
      </c>
      <c r="N335" s="28" t="s">
        <v>51</v>
      </c>
    </row>
    <row r="336" spans="1:14" hidden="1" outlineLevel="1" x14ac:dyDescent="0.15">
      <c r="A336" s="23" t="str">
        <f>HYPERLINK("https://www.spark-marketing.ru/Card/Person/56995", "ГБОУ ШКОЛА № 482 ВЫБОРГСКОГО РАЙОНА САНКТ-ПЕТЕРБУРГА")</f>
        <v>ГБОУ ШКОЛА № 482 ВЫБОРГСКОГО РАЙОНА САНКТ-ПЕТЕРБУРГА</v>
      </c>
      <c r="B336" s="24" t="s">
        <v>871</v>
      </c>
      <c r="C336" s="25">
        <v>24653493.289999999</v>
      </c>
      <c r="D336" s="22" t="s">
        <v>870</v>
      </c>
      <c r="E336" s="22" t="s">
        <v>96</v>
      </c>
      <c r="F336" s="23" t="str">
        <f>HYPERLINK("https://www.spark-marketing.ru/Card/Lot/74293978",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482 Выборгского района Санкт-Петербурга)")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482 Выборгского района Санкт-Петербурга)</v>
      </c>
      <c r="G336" s="22" t="s">
        <v>117</v>
      </c>
      <c r="H336" s="22" t="s">
        <v>117</v>
      </c>
      <c r="I336" s="26">
        <v>43749.612500000003</v>
      </c>
      <c r="J336" s="28" t="s">
        <v>51</v>
      </c>
      <c r="K336" s="28" t="s">
        <v>51</v>
      </c>
      <c r="L336" s="28" t="s">
        <v>51</v>
      </c>
      <c r="M336" s="28" t="s">
        <v>51</v>
      </c>
      <c r="N336" s="28" t="s">
        <v>51</v>
      </c>
    </row>
    <row r="337" spans="1:14" hidden="1" outlineLevel="1" x14ac:dyDescent="0.15">
      <c r="A337" s="23" t="str">
        <f>HYPERLINK("https://www.spark-marketing.ru/Card/Person/1002391", "ГБОУ ЛИЦЕЙ № 101 ВЫБОРГСКОГО РАЙОНА")</f>
        <v>ГБОУ ЛИЦЕЙ № 101 ВЫБОРГСКОГО РАЙОНА</v>
      </c>
      <c r="B337" s="24" t="s">
        <v>872</v>
      </c>
      <c r="C337" s="25">
        <v>11612412.470000001</v>
      </c>
      <c r="D337" s="22" t="s">
        <v>870</v>
      </c>
      <c r="E337" s="22" t="s">
        <v>96</v>
      </c>
      <c r="F337" s="23" t="str">
        <f>HYPERLINK("https://www.spark-marketing.ru/Card/Lot/74293978",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482 Выборгского района Санкт-Петербурга)")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482 Выборгского района Санкт-Петербурга)</v>
      </c>
      <c r="G337" s="22" t="s">
        <v>117</v>
      </c>
      <c r="H337" s="22" t="s">
        <v>117</v>
      </c>
      <c r="I337" s="26">
        <v>43749.612500000003</v>
      </c>
      <c r="J337" s="28" t="s">
        <v>51</v>
      </c>
      <c r="K337" s="28" t="s">
        <v>51</v>
      </c>
      <c r="L337" s="28" t="s">
        <v>51</v>
      </c>
      <c r="M337" s="28" t="s">
        <v>51</v>
      </c>
      <c r="N337" s="28" t="s">
        <v>51</v>
      </c>
    </row>
    <row r="338" spans="1:14" x14ac:dyDescent="0.15">
      <c r="A338" s="23" t="str">
        <f>HYPERLINK("https://www.spark-marketing.ru/Card/Person/28945", "ФГБУ САНАТОРИЙ ИМ. ГОРЬКОГО МИНЗДРАВА РОССИИ")</f>
        <v>ФГБУ САНАТОРИЙ ИМ. ГОРЬКОГО МИНЗДРАВА РОССИИ</v>
      </c>
      <c r="B338" s="24" t="s">
        <v>873</v>
      </c>
      <c r="C338" s="25">
        <v>4100000</v>
      </c>
      <c r="D338" s="22" t="s">
        <v>874</v>
      </c>
      <c r="E338" s="22" t="s">
        <v>48</v>
      </c>
      <c r="F338" s="23" t="str">
        <f>HYPERLINK("https://www.spark-marketing.ru/Card/Lot/74296677", "оказание услуг по организации питания с поставкой продуктов и сервировкой столов при заказном меню")</f>
        <v>оказание услуг по организации питания с поставкой продуктов и сервировкой столов при заказном меню</v>
      </c>
      <c r="G338" s="22" t="s">
        <v>49</v>
      </c>
      <c r="H338" s="22" t="s">
        <v>875</v>
      </c>
      <c r="I338" s="26">
        <v>43749.604861111096</v>
      </c>
      <c r="J338" s="28" t="s">
        <v>51</v>
      </c>
      <c r="K338" s="28" t="s">
        <v>51</v>
      </c>
      <c r="L338" s="28" t="s">
        <v>51</v>
      </c>
      <c r="M338" s="28" t="s">
        <v>51</v>
      </c>
      <c r="N338" s="28" t="s">
        <v>51</v>
      </c>
    </row>
    <row r="339" spans="1:14" x14ac:dyDescent="0.15">
      <c r="A339" s="23" t="s">
        <v>114</v>
      </c>
      <c r="B339" s="28" t="s">
        <v>51</v>
      </c>
      <c r="C339" s="25">
        <v>31020845.609999999</v>
      </c>
      <c r="D339" s="22" t="s">
        <v>876</v>
      </c>
      <c r="E339" s="22" t="s">
        <v>96</v>
      </c>
      <c r="F339" s="23" t="str">
        <f>HYPERLINK("https://www.spark-marketing.ru/Card/Lot/74293953",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школа № 48...")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школа № 48...</v>
      </c>
      <c r="G339" s="22" t="s">
        <v>51</v>
      </c>
      <c r="H339" s="22" t="s">
        <v>51</v>
      </c>
      <c r="I339" s="26">
        <v>43749.593622685199</v>
      </c>
      <c r="J339" s="28" t="s">
        <v>51</v>
      </c>
      <c r="K339" s="28" t="s">
        <v>51</v>
      </c>
      <c r="L339" s="28" t="s">
        <v>51</v>
      </c>
      <c r="M339" s="28" t="s">
        <v>51</v>
      </c>
      <c r="N339" s="28" t="s">
        <v>51</v>
      </c>
    </row>
    <row r="340" spans="1:14" hidden="1" outlineLevel="1" x14ac:dyDescent="0.15">
      <c r="A340" s="23" t="str">
        <f>HYPERLINK("https://www.spark-marketing.ru/Card/Person/109540", "ГБОУ ШКОЛА № 494 ВЫБОРГСКОГО РАЙОНА САНКТ-ПЕТЕРБУРГА")</f>
        <v>ГБОУ ШКОЛА № 494 ВЫБОРГСКОГО РАЙОНА САНКТ-ПЕТЕРБУРГА</v>
      </c>
      <c r="B340" s="24" t="s">
        <v>877</v>
      </c>
      <c r="C340" s="25">
        <v>11429893.43</v>
      </c>
      <c r="D340" s="22" t="s">
        <v>876</v>
      </c>
      <c r="E340" s="22" t="s">
        <v>96</v>
      </c>
      <c r="F340" s="23" t="str">
        <f>HYPERLINK("https://www.spark-marketing.ru/Card/Lot/74293953",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школа № 48...")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школа № 48...</v>
      </c>
      <c r="G340" s="22" t="s">
        <v>117</v>
      </c>
      <c r="H340" s="22" t="s">
        <v>117</v>
      </c>
      <c r="I340" s="26">
        <v>43749.593622685199</v>
      </c>
      <c r="J340" s="28" t="s">
        <v>51</v>
      </c>
      <c r="K340" s="28" t="s">
        <v>51</v>
      </c>
      <c r="L340" s="28" t="s">
        <v>51</v>
      </c>
      <c r="M340" s="28" t="s">
        <v>51</v>
      </c>
      <c r="N340" s="28" t="s">
        <v>51</v>
      </c>
    </row>
    <row r="341" spans="1:14" hidden="1" outlineLevel="1" x14ac:dyDescent="0.15">
      <c r="A341" s="23" t="str">
        <f>HYPERLINK("https://www.spark-marketing.ru/Card/Person/135601", "ГБОУ ШКОЛА № 487 ВЫБОРГСКОГО РАЙОНА САНКТ-ПЕТЕРБУРГА")</f>
        <v>ГБОУ ШКОЛА № 487 ВЫБОРГСКОГО РАЙОНА САНКТ-ПЕТЕРБУРГА</v>
      </c>
      <c r="B341" s="24" t="s">
        <v>878</v>
      </c>
      <c r="C341" s="25">
        <v>19590952.18</v>
      </c>
      <c r="D341" s="22" t="s">
        <v>876</v>
      </c>
      <c r="E341" s="22" t="s">
        <v>96</v>
      </c>
      <c r="F341" s="23" t="str">
        <f>HYPERLINK("https://www.spark-marketing.ru/Card/Lot/74293953",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школа № 48...")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школа № 48...</v>
      </c>
      <c r="G341" s="22" t="s">
        <v>117</v>
      </c>
      <c r="H341" s="22" t="s">
        <v>117</v>
      </c>
      <c r="I341" s="26">
        <v>43749.593622685199</v>
      </c>
      <c r="J341" s="28" t="s">
        <v>51</v>
      </c>
      <c r="K341" s="28" t="s">
        <v>51</v>
      </c>
      <c r="L341" s="28" t="s">
        <v>51</v>
      </c>
      <c r="M341" s="28" t="s">
        <v>51</v>
      </c>
      <c r="N341" s="28" t="s">
        <v>51</v>
      </c>
    </row>
    <row r="342" spans="1:14" x14ac:dyDescent="0.15">
      <c r="A342" s="23" t="s">
        <v>114</v>
      </c>
      <c r="B342" s="28" t="s">
        <v>51</v>
      </c>
      <c r="C342" s="25">
        <v>39829226.659999996</v>
      </c>
      <c r="D342" s="22" t="s">
        <v>879</v>
      </c>
      <c r="E342" s="22" t="s">
        <v>96</v>
      </c>
      <c r="F342" s="23" t="str">
        <f>HYPERLINK("https://www.spark-marketing.ru/Card/Lot/74293981",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103 Выборгского района Санкт-Петербурга)")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103 Выборгского района Санкт-Петербурга)</v>
      </c>
      <c r="G342" s="22" t="s">
        <v>51</v>
      </c>
      <c r="H342" s="22" t="s">
        <v>51</v>
      </c>
      <c r="I342" s="26">
        <v>43749.577777777798</v>
      </c>
      <c r="J342" s="28" t="s">
        <v>51</v>
      </c>
      <c r="K342" s="28" t="s">
        <v>51</v>
      </c>
      <c r="L342" s="28" t="s">
        <v>51</v>
      </c>
      <c r="M342" s="28" t="s">
        <v>51</v>
      </c>
      <c r="N342" s="28" t="s">
        <v>51</v>
      </c>
    </row>
    <row r="343" spans="1:14" hidden="1" outlineLevel="1" x14ac:dyDescent="0.15">
      <c r="A343" s="23" t="str">
        <f>HYPERLINK("https://www.spark-marketing.ru/Card/Person/21952", "ГБОУ ШКОЛА № 468 ВЫБОРГСКОГО РАЙОНА САНКТ-ПЕТЕРБУРГА")</f>
        <v>ГБОУ ШКОЛА № 468 ВЫБОРГСКОГО РАЙОНА САНКТ-ПЕТЕРБУРГА</v>
      </c>
      <c r="B343" s="24" t="s">
        <v>880</v>
      </c>
      <c r="C343" s="25">
        <v>8793496.2200000007</v>
      </c>
      <c r="D343" s="22" t="s">
        <v>879</v>
      </c>
      <c r="E343" s="22" t="s">
        <v>96</v>
      </c>
      <c r="F343" s="23" t="str">
        <f>HYPERLINK("https://www.spark-marketing.ru/Card/Lot/74293981",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103 Выборгского района Санкт-Петербурга)")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103 Выборгского района Санкт-Петербурга)</v>
      </c>
      <c r="G343" s="22" t="s">
        <v>117</v>
      </c>
      <c r="H343" s="22" t="s">
        <v>117</v>
      </c>
      <c r="I343" s="26">
        <v>43749.577777777798</v>
      </c>
      <c r="J343" s="28" t="s">
        <v>51</v>
      </c>
      <c r="K343" s="28" t="s">
        <v>51</v>
      </c>
      <c r="L343" s="28" t="s">
        <v>51</v>
      </c>
      <c r="M343" s="28" t="s">
        <v>51</v>
      </c>
      <c r="N343" s="28" t="s">
        <v>51</v>
      </c>
    </row>
    <row r="344" spans="1:14" hidden="1" outlineLevel="1" x14ac:dyDescent="0.15">
      <c r="A344" s="23" t="str">
        <f>HYPERLINK("https://www.spark-marketing.ru/Card/Person/27711", "ГБОУ ШКОЛА № 103 ВЫБОРГСКОГО РАЙОНА САНКТ-ПЕТЕРБУРГА")</f>
        <v>ГБОУ ШКОЛА № 103 ВЫБОРГСКОГО РАЙОНА САНКТ-ПЕТЕРБУРГА</v>
      </c>
      <c r="B344" s="24" t="s">
        <v>881</v>
      </c>
      <c r="C344" s="25">
        <v>8925195.0899999999</v>
      </c>
      <c r="D344" s="22" t="s">
        <v>879</v>
      </c>
      <c r="E344" s="22" t="s">
        <v>96</v>
      </c>
      <c r="F344" s="23" t="str">
        <f>HYPERLINK("https://www.spark-marketing.ru/Card/Lot/74293981",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103 Выборгского района Санкт-Петербурга)")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103 Выборгского района Санкт-Петербурга)</v>
      </c>
      <c r="G344" s="22" t="s">
        <v>117</v>
      </c>
      <c r="H344" s="22" t="s">
        <v>117</v>
      </c>
      <c r="I344" s="26">
        <v>43749.577777777798</v>
      </c>
      <c r="J344" s="28" t="s">
        <v>51</v>
      </c>
      <c r="K344" s="28" t="s">
        <v>51</v>
      </c>
      <c r="L344" s="28" t="s">
        <v>51</v>
      </c>
      <c r="M344" s="28" t="s">
        <v>51</v>
      </c>
      <c r="N344" s="28" t="s">
        <v>51</v>
      </c>
    </row>
    <row r="345" spans="1:14" hidden="1" outlineLevel="1" x14ac:dyDescent="0.15">
      <c r="A345" s="23" t="str">
        <f>HYPERLINK("https://www.spark-marketing.ru/Card/Person/104035", "ГБОУ ШКОЛА № 60 ВЫБОРГСКОГО РАЙОНА САНКТ-ПЕТЕРБУРГА")</f>
        <v>ГБОУ ШКОЛА № 60 ВЫБОРГСКОГО РАЙОНА САНКТ-ПЕТЕРБУРГА</v>
      </c>
      <c r="B345" s="24" t="s">
        <v>882</v>
      </c>
      <c r="C345" s="25">
        <v>11516394.58</v>
      </c>
      <c r="D345" s="22" t="s">
        <v>879</v>
      </c>
      <c r="E345" s="22" t="s">
        <v>96</v>
      </c>
      <c r="F345" s="23" t="str">
        <f>HYPERLINK("https://www.spark-marketing.ru/Card/Lot/74293981",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103 Выборгского района Санкт-Петербурга)")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103 Выборгского района Санкт-Петербурга)</v>
      </c>
      <c r="G345" s="22" t="s">
        <v>117</v>
      </c>
      <c r="H345" s="22" t="s">
        <v>117</v>
      </c>
      <c r="I345" s="26">
        <v>43749.577777777798</v>
      </c>
      <c r="J345" s="28" t="s">
        <v>51</v>
      </c>
      <c r="K345" s="28" t="s">
        <v>51</v>
      </c>
      <c r="L345" s="28" t="s">
        <v>51</v>
      </c>
      <c r="M345" s="28" t="s">
        <v>51</v>
      </c>
      <c r="N345" s="28" t="s">
        <v>51</v>
      </c>
    </row>
    <row r="346" spans="1:14" hidden="1" outlineLevel="1" x14ac:dyDescent="0.15">
      <c r="A346" s="23" t="str">
        <f>HYPERLINK("https://www.spark-marketing.ru/Card/Person/4351465", "ГБОУ ШКОЛА № 90 ВЫБОРГСКОГО РАЙОНА САНКТ-ПЕТЕРБУРГА")</f>
        <v>ГБОУ ШКОЛА № 90 ВЫБОРГСКОГО РАЙОНА САНКТ-ПЕТЕРБУРГА</v>
      </c>
      <c r="B346" s="24" t="s">
        <v>883</v>
      </c>
      <c r="C346" s="25">
        <v>10594140.77</v>
      </c>
      <c r="D346" s="22" t="s">
        <v>879</v>
      </c>
      <c r="E346" s="22" t="s">
        <v>96</v>
      </c>
      <c r="F346" s="23" t="str">
        <f>HYPERLINK("https://www.spark-marketing.ru/Card/Lot/74293981",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103 Выборгского района Санкт-Петербурга)")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ГБОУ школа № 103 Выборгского района Санкт-Петербурга)</v>
      </c>
      <c r="G346" s="22" t="s">
        <v>117</v>
      </c>
      <c r="H346" s="22" t="s">
        <v>117</v>
      </c>
      <c r="I346" s="26">
        <v>43749.577777777798</v>
      </c>
      <c r="J346" s="28" t="s">
        <v>51</v>
      </c>
      <c r="K346" s="28" t="s">
        <v>51</v>
      </c>
      <c r="L346" s="28" t="s">
        <v>51</v>
      </c>
      <c r="M346" s="28" t="s">
        <v>51</v>
      </c>
      <c r="N346" s="28" t="s">
        <v>51</v>
      </c>
    </row>
    <row r="347" spans="1:14" x14ac:dyDescent="0.15">
      <c r="A347" s="23" t="str">
        <f>HYPERLINK("https://www.spark-marketing.ru/Card/Person/33732", "КОГБУЗ ""КИРОВСКАЯ ОБЛАСТНАЯ КЛИНИЧЕСКАЯ ПСИХИАТРИЧЕСКАЯ БОЛЬНИЦА ИМ. АКАДЕМИКА В.М.БЕХТЕРЕВА"", КОГБУЗ ""КОКПБ""")</f>
        <v>КОГБУЗ "КИРОВСКАЯ ОБЛАСТНАЯ КЛИНИЧЕСКАЯ ПСИХИАТРИЧЕСКАЯ БОЛЬНИЦА ИМ. АКАДЕМИКА В.М.БЕХТЕРЕВА", КОГБУЗ "КОКПБ"</v>
      </c>
      <c r="B347" s="24" t="s">
        <v>867</v>
      </c>
      <c r="C347" s="25">
        <v>130673293</v>
      </c>
      <c r="D347" s="22" t="s">
        <v>884</v>
      </c>
      <c r="E347" s="22" t="s">
        <v>96</v>
      </c>
      <c r="F347" s="23" t="str">
        <f>HYPERLINK("https://www.spark-marketing.ru/Card/Lot/74289750", "Оказание услуг по приготовлению и передаче ежедневного лечебного питания")</f>
        <v>Оказание услуг по приготовлению и передаче ежедневного лечебного питания</v>
      </c>
      <c r="G347" s="22" t="s">
        <v>224</v>
      </c>
      <c r="H347" s="22" t="s">
        <v>885</v>
      </c>
      <c r="I347" s="26">
        <v>43749.5625</v>
      </c>
      <c r="J347" s="28" t="s">
        <v>51</v>
      </c>
      <c r="K347" s="28" t="s">
        <v>51</v>
      </c>
      <c r="L347" s="28" t="s">
        <v>51</v>
      </c>
      <c r="M347" s="28" t="s">
        <v>51</v>
      </c>
      <c r="N347" s="28" t="s">
        <v>51</v>
      </c>
    </row>
    <row r="348" spans="1:14" x14ac:dyDescent="0.15">
      <c r="A348" s="23" t="str">
        <f>HYPERLINK("https://www.spark-marketing.ru/Card/Person/88874", "СПБ ГБУ ""ЦЕНТР СОДЕЙСТВИЯ СЕМЕЙНОМУ ВОСПИТАНИЮ № 12""")</f>
        <v>СПБ ГБУ "ЦЕНТР СОДЕЙСТВИЯ СЕМЕЙНОМУ ВОСПИТАНИЮ № 12"</v>
      </c>
      <c r="B348" s="24" t="s">
        <v>886</v>
      </c>
      <c r="C348" s="25">
        <v>275480.28000000003</v>
      </c>
      <c r="D348" s="22" t="s">
        <v>887</v>
      </c>
      <c r="E348" s="22" t="s">
        <v>152</v>
      </c>
      <c r="F348" s="23" t="str">
        <f>HYPERLINK("https://www.spark-marketing.ru/Card/Lot/74286125", "Выполнение работ по техническому обслуживанию вентиляционных установок")</f>
        <v>Выполнение работ по техническому обслуживанию вентиляционных установок</v>
      </c>
      <c r="G348" s="22" t="s">
        <v>117</v>
      </c>
      <c r="H348" s="22" t="s">
        <v>117</v>
      </c>
      <c r="I348" s="26">
        <v>43749.565972222197</v>
      </c>
      <c r="J348" s="28" t="s">
        <v>51</v>
      </c>
      <c r="K348" s="28" t="s">
        <v>51</v>
      </c>
      <c r="L348" s="28" t="s">
        <v>51</v>
      </c>
      <c r="M348" s="28" t="s">
        <v>51</v>
      </c>
      <c r="N348" s="28" t="s">
        <v>51</v>
      </c>
    </row>
    <row r="349" spans="1:14" x14ac:dyDescent="0.15">
      <c r="A349" s="23" t="s">
        <v>114</v>
      </c>
      <c r="B349" s="28" t="s">
        <v>51</v>
      </c>
      <c r="C349" s="25">
        <v>39168584.149999999</v>
      </c>
      <c r="D349" s="22" t="s">
        <v>888</v>
      </c>
      <c r="E349" s="22" t="s">
        <v>96</v>
      </c>
      <c r="F349" s="23" t="str">
        <f>HYPERLINK("https://www.spark-marketing.ru/Card/Lot/74289862",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</v>
      </c>
      <c r="G349" s="22" t="s">
        <v>51</v>
      </c>
      <c r="H349" s="22" t="s">
        <v>51</v>
      </c>
      <c r="I349" s="26">
        <v>43749.559722222199</v>
      </c>
      <c r="J349" s="28" t="s">
        <v>51</v>
      </c>
      <c r="K349" s="28" t="s">
        <v>51</v>
      </c>
      <c r="L349" s="28" t="s">
        <v>51</v>
      </c>
      <c r="M349" s="28" t="s">
        <v>51</v>
      </c>
      <c r="N349" s="28" t="s">
        <v>51</v>
      </c>
    </row>
    <row r="350" spans="1:14" hidden="1" outlineLevel="1" x14ac:dyDescent="0.15">
      <c r="A350" s="23" t="str">
        <f>HYPERLINK("https://www.spark-marketing.ru/Card/Person/19223", "ГБОУ ГИМНАЗИЯ №73 ""ЛОМОНОСОВСКАЯ ГИМНАЗИЯ"" ВЫБОРГСКОГО РАЙОНА САНКТ-ПЕТЕРБУРГА")</f>
        <v>ГБОУ ГИМНАЗИЯ №73 "ЛОМОНОСОВСКАЯ ГИМНАЗИЯ" ВЫБОРГСКОГО РАЙОНА САНКТ-ПЕТЕРБУРГА</v>
      </c>
      <c r="B350" s="24" t="s">
        <v>889</v>
      </c>
      <c r="C350" s="25">
        <v>16941549.359999999</v>
      </c>
      <c r="D350" s="22" t="s">
        <v>888</v>
      </c>
      <c r="E350" s="22" t="s">
        <v>96</v>
      </c>
      <c r="F350" s="23" t="str">
        <f>HYPERLINK("https://www.spark-marketing.ru/Card/Lot/74289862",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</v>
      </c>
      <c r="G350" s="22" t="s">
        <v>117</v>
      </c>
      <c r="H350" s="22" t="s">
        <v>117</v>
      </c>
      <c r="I350" s="26">
        <v>43749.559722222199</v>
      </c>
      <c r="J350" s="28" t="s">
        <v>51</v>
      </c>
      <c r="K350" s="28" t="s">
        <v>51</v>
      </c>
      <c r="L350" s="28" t="s">
        <v>51</v>
      </c>
      <c r="M350" s="28" t="s">
        <v>51</v>
      </c>
      <c r="N350" s="28" t="s">
        <v>51</v>
      </c>
    </row>
    <row r="351" spans="1:14" hidden="1" outlineLevel="1" x14ac:dyDescent="0.15">
      <c r="A351" s="23" t="str">
        <f>HYPERLINK("https://www.spark-marketing.ru/Card/Person/93470", "ГБОУ ШКОЛА № 65")</f>
        <v>ГБОУ ШКОЛА № 65</v>
      </c>
      <c r="B351" s="24" t="s">
        <v>890</v>
      </c>
      <c r="C351" s="25">
        <v>9221805.0700000003</v>
      </c>
      <c r="D351" s="22" t="s">
        <v>888</v>
      </c>
      <c r="E351" s="22" t="s">
        <v>96</v>
      </c>
      <c r="F351" s="23" t="str">
        <f>HYPERLINK("https://www.spark-marketing.ru/Card/Lot/74289862",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</v>
      </c>
      <c r="G351" s="22" t="s">
        <v>117</v>
      </c>
      <c r="H351" s="22" t="s">
        <v>117</v>
      </c>
      <c r="I351" s="26">
        <v>43749.559722222199</v>
      </c>
      <c r="J351" s="28" t="s">
        <v>51</v>
      </c>
      <c r="K351" s="28" t="s">
        <v>51</v>
      </c>
      <c r="L351" s="28" t="s">
        <v>51</v>
      </c>
      <c r="M351" s="28" t="s">
        <v>51</v>
      </c>
      <c r="N351" s="28" t="s">
        <v>51</v>
      </c>
    </row>
    <row r="352" spans="1:14" hidden="1" outlineLevel="1" x14ac:dyDescent="0.15">
      <c r="A352" s="23" t="str">
        <f>HYPERLINK("https://www.spark-marketing.ru/Card/Person/128226", "ГБОУ ШКОЛА № 135 ВЫБОРГСКОГО РАЙОНА САНКТ-ПЕТЕРБУРГА")</f>
        <v>ГБОУ ШКОЛА № 135 ВЫБОРГСКОГО РАЙОНА САНКТ-ПЕТЕРБУРГА</v>
      </c>
      <c r="B352" s="24" t="s">
        <v>891</v>
      </c>
      <c r="C352" s="25">
        <v>13005229.720000001</v>
      </c>
      <c r="D352" s="22" t="s">
        <v>888</v>
      </c>
      <c r="E352" s="22" t="s">
        <v>96</v>
      </c>
      <c r="F352" s="23" t="str">
        <f>HYPERLINK("https://www.spark-marketing.ru/Card/Lot/74289862",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</v>
      </c>
      <c r="G352" s="22" t="s">
        <v>117</v>
      </c>
      <c r="H352" s="22" t="s">
        <v>117</v>
      </c>
      <c r="I352" s="26">
        <v>43749.559722222199</v>
      </c>
      <c r="J352" s="28" t="s">
        <v>51</v>
      </c>
      <c r="K352" s="28" t="s">
        <v>51</v>
      </c>
      <c r="L352" s="28" t="s">
        <v>51</v>
      </c>
      <c r="M352" s="28" t="s">
        <v>51</v>
      </c>
      <c r="N352" s="28" t="s">
        <v>51</v>
      </c>
    </row>
    <row r="353" spans="1:14" x14ac:dyDescent="0.15">
      <c r="A353" s="23" t="s">
        <v>114</v>
      </c>
      <c r="B353" s="28" t="s">
        <v>51</v>
      </c>
      <c r="C353" s="25">
        <v>31947609.219999999</v>
      </c>
      <c r="D353" s="22" t="s">
        <v>892</v>
      </c>
      <c r="E353" s="22" t="s">
        <v>96</v>
      </c>
      <c r="F353" s="23" t="str">
        <f>HYPERLINK("https://www.spark-marketing.ru/Card/Lot/74289863", "Оказание услуг по организации питания в в Государственных бюджетных общеобразовательных учреждениях Выборгского района Санкт-Петербурга в 2020-2021 гг.(организатор совместной закупки: Государственное бюджетное общеобразовательное учреждение гимназия ...")</f>
        <v>Оказание услуг по организации питания в в Государственных бюджетных общеобразовательных учреждениях Выборгского района Санкт-Петербурга в 2020-2021 гг.(организатор совместной закупки: Государственное бюджетное общеобразовательное учреждение гимназия ...</v>
      </c>
      <c r="G353" s="22" t="s">
        <v>51</v>
      </c>
      <c r="H353" s="22" t="s">
        <v>51</v>
      </c>
      <c r="I353" s="26">
        <v>43749.572222222203</v>
      </c>
      <c r="J353" s="28" t="s">
        <v>51</v>
      </c>
      <c r="K353" s="28" t="s">
        <v>51</v>
      </c>
      <c r="L353" s="28" t="s">
        <v>51</v>
      </c>
      <c r="M353" s="28" t="s">
        <v>51</v>
      </c>
      <c r="N353" s="28" t="s">
        <v>51</v>
      </c>
    </row>
    <row r="354" spans="1:14" hidden="1" outlineLevel="1" x14ac:dyDescent="0.15">
      <c r="A354" s="23" t="str">
        <f>HYPERLINK("https://www.spark-marketing.ru/Card/Person/61416", "ГБОУ ШКОЛА № 457 ВЫБОРГСКОГО РАЙОНА САНКТ-ПЕТЕРБУРГА")</f>
        <v>ГБОУ ШКОЛА № 457 ВЫБОРГСКОГО РАЙОНА САНКТ-ПЕТЕРБУРГА</v>
      </c>
      <c r="B354" s="24" t="s">
        <v>893</v>
      </c>
      <c r="C354" s="25">
        <v>10045223.85</v>
      </c>
      <c r="D354" s="22" t="s">
        <v>892</v>
      </c>
      <c r="E354" s="22" t="s">
        <v>96</v>
      </c>
      <c r="F354" s="23" t="str">
        <f>HYPERLINK("https://www.spark-marketing.ru/Card/Lot/74289863", "Оказание услуг по организации питания в в Государственных бюджетных общеобразовательных учреждениях Выборгского района Санкт-Петербурга в 2020-2021 гг.(организатор совместной закупки: Государственное бюджетное общеобразовательное учреждение гимназия ...")</f>
        <v>Оказание услуг по организации питания в в Государственных бюджетных общеобразовательных учреждениях Выборгского района Санкт-Петербурга в 2020-2021 гг.(организатор совместной закупки: Государственное бюджетное общеобразовательное учреждение гимназия ...</v>
      </c>
      <c r="G354" s="22" t="s">
        <v>117</v>
      </c>
      <c r="H354" s="22" t="s">
        <v>117</v>
      </c>
      <c r="I354" s="26">
        <v>43749.572222222203</v>
      </c>
      <c r="J354" s="28" t="s">
        <v>51</v>
      </c>
      <c r="K354" s="28" t="s">
        <v>51</v>
      </c>
      <c r="L354" s="28" t="s">
        <v>51</v>
      </c>
      <c r="M354" s="28" t="s">
        <v>51</v>
      </c>
      <c r="N354" s="28" t="s">
        <v>51</v>
      </c>
    </row>
    <row r="355" spans="1:14" hidden="1" outlineLevel="1" x14ac:dyDescent="0.15">
      <c r="A355" s="23" t="str">
        <f>HYPERLINK("https://www.spark-marketing.ru/Card/Person/128659", "ГБОУ ШКОЛА № 463 ВЫБОРГСКОГО РАЙОНА САНКТ-ПЕТЕРБУРГА")</f>
        <v>ГБОУ ШКОЛА № 463 ВЫБОРГСКОГО РАЙОНА САНКТ-ПЕТЕРБУРГА</v>
      </c>
      <c r="B355" s="24" t="s">
        <v>894</v>
      </c>
      <c r="C355" s="25">
        <v>7015692.5099999998</v>
      </c>
      <c r="D355" s="22" t="s">
        <v>892</v>
      </c>
      <c r="E355" s="22" t="s">
        <v>96</v>
      </c>
      <c r="F355" s="23" t="str">
        <f>HYPERLINK("https://www.spark-marketing.ru/Card/Lot/74289863", "Оказание услуг по организации питания в в Государственных бюджетных общеобразовательных учреждениях Выборгского района Санкт-Петербурга в 2020-2021 гг.(организатор совместной закупки: Государственное бюджетное общеобразовательное учреждение гимназия ...")</f>
        <v>Оказание услуг по организации питания в в Государственных бюджетных общеобразовательных учреждениях Выборгского района Санкт-Петербурга в 2020-2021 гг.(организатор совместной закупки: Государственное бюджетное общеобразовательное учреждение гимназия ...</v>
      </c>
      <c r="G355" s="22" t="s">
        <v>117</v>
      </c>
      <c r="H355" s="22" t="s">
        <v>117</v>
      </c>
      <c r="I355" s="26">
        <v>43749.572222222203</v>
      </c>
      <c r="J355" s="28" t="s">
        <v>51</v>
      </c>
      <c r="K355" s="28" t="s">
        <v>51</v>
      </c>
      <c r="L355" s="28" t="s">
        <v>51</v>
      </c>
      <c r="M355" s="28" t="s">
        <v>51</v>
      </c>
      <c r="N355" s="28" t="s">
        <v>51</v>
      </c>
    </row>
    <row r="356" spans="1:14" hidden="1" outlineLevel="1" x14ac:dyDescent="0.15">
      <c r="A356" s="23" t="str">
        <f>HYPERLINK("https://www.spark-marketing.ru/Card/Person/150946", "ГБОУ ГИМНАЗИЯ № 622 ВЫБОРГСКОГО РАЙОНА САНКТ-ПЕТЕРБУРГА")</f>
        <v>ГБОУ ГИМНАЗИЯ № 622 ВЫБОРГСКОГО РАЙОНА САНКТ-ПЕТЕРБУРГА</v>
      </c>
      <c r="B356" s="24" t="s">
        <v>895</v>
      </c>
      <c r="C356" s="25">
        <v>14886692.859999999</v>
      </c>
      <c r="D356" s="22" t="s">
        <v>892</v>
      </c>
      <c r="E356" s="22" t="s">
        <v>96</v>
      </c>
      <c r="F356" s="23" t="str">
        <f>HYPERLINK("https://www.spark-marketing.ru/Card/Lot/74289863", "Оказание услуг по организации питания в в Государственных бюджетных общеобразовательных учреждениях Выборгского района Санкт-Петербурга в 2020-2021 гг.(организатор совместной закупки: Государственное бюджетное общеобразовательное учреждение гимназия ...")</f>
        <v>Оказание услуг по организации питания в в Государственных бюджетных общеобразовательных учреждениях Выборгского района Санкт-Петербурга в 2020-2021 гг.(организатор совместной закупки: Государственное бюджетное общеобразовательное учреждение гимназия ...</v>
      </c>
      <c r="G356" s="22" t="s">
        <v>117</v>
      </c>
      <c r="H356" s="22" t="s">
        <v>117</v>
      </c>
      <c r="I356" s="26">
        <v>43749.572222222203</v>
      </c>
      <c r="J356" s="28" t="s">
        <v>51</v>
      </c>
      <c r="K356" s="28" t="s">
        <v>51</v>
      </c>
      <c r="L356" s="28" t="s">
        <v>51</v>
      </c>
      <c r="M356" s="28" t="s">
        <v>51</v>
      </c>
      <c r="N356" s="28" t="s">
        <v>51</v>
      </c>
    </row>
    <row r="357" spans="1:14" x14ac:dyDescent="0.15">
      <c r="A357" s="23" t="str">
        <f>HYPERLINK("https://www.spark-marketing.ru/Card/Person/19979", "ПРИОКСКИЙ ТЫЛОВОЙ ТАМОЖЕННЫЙ ПОСТ")</f>
        <v>ПРИОКСКИЙ ТЫЛОВОЙ ТАМОЖЕННЫЙ ПОСТ</v>
      </c>
      <c r="B357" s="24" t="s">
        <v>896</v>
      </c>
      <c r="C357" s="25">
        <v>15546.3</v>
      </c>
      <c r="D357" s="22" t="s">
        <v>897</v>
      </c>
      <c r="E357" s="22" t="s">
        <v>898</v>
      </c>
      <c r="F357" s="23" t="str">
        <f>HYPERLINK("https://www.spark-marketing.ru/Card/Lot/74289735", "Оказание услуг по монтажу двух видеокамер и блока питания в административном здании №2 Смоленской таможни")</f>
        <v>Оказание услуг по монтажу двух видеокамер и блока питания в административном здании №2 Смоленской таможни</v>
      </c>
      <c r="G357" s="22" t="s">
        <v>460</v>
      </c>
      <c r="H357" s="22" t="s">
        <v>461</v>
      </c>
      <c r="I357" s="26">
        <v>43749.577777777798</v>
      </c>
      <c r="J357" s="28" t="s">
        <v>51</v>
      </c>
      <c r="K357" s="28" t="s">
        <v>51</v>
      </c>
      <c r="L357" s="28" t="s">
        <v>51</v>
      </c>
      <c r="M357" s="28" t="s">
        <v>51</v>
      </c>
      <c r="N357" s="28" t="s">
        <v>51</v>
      </c>
    </row>
    <row r="358" spans="1:14" x14ac:dyDescent="0.15">
      <c r="A358" s="23" t="s">
        <v>114</v>
      </c>
      <c r="B358" s="28" t="s">
        <v>51</v>
      </c>
      <c r="C358" s="25">
        <v>35907197.509999998</v>
      </c>
      <c r="D358" s="22" t="s">
        <v>899</v>
      </c>
      <c r="E358" s="22" t="s">
        <v>96</v>
      </c>
      <c r="F358" s="23" t="str">
        <f t="shared" ref="F358:F364" si="0">HYPERLINK("https://www.spark-marketing.ru/Card/Lot/74293977",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</v>
      </c>
      <c r="G358" s="22" t="s">
        <v>51</v>
      </c>
      <c r="H358" s="22" t="s">
        <v>51</v>
      </c>
      <c r="I358" s="26">
        <v>43749.581817129598</v>
      </c>
      <c r="J358" s="28" t="s">
        <v>51</v>
      </c>
      <c r="K358" s="28" t="s">
        <v>51</v>
      </c>
      <c r="L358" s="28" t="s">
        <v>51</v>
      </c>
      <c r="M358" s="28" t="s">
        <v>51</v>
      </c>
      <c r="N358" s="28" t="s">
        <v>51</v>
      </c>
    </row>
    <row r="359" spans="1:14" hidden="1" outlineLevel="1" x14ac:dyDescent="0.15">
      <c r="A359" s="23" t="str">
        <f>HYPERLINK("https://www.spark-marketing.ru/Card/Person/38638", "ГБОУ ГИМНАЗИЯ № 105 ВЫБОРГСКОГО РАЙОНА САНКТ-ПЕТЕРБУРГА")</f>
        <v>ГБОУ ГИМНАЗИЯ № 105 ВЫБОРГСКОГО РАЙОНА САНКТ-ПЕТЕРБУРГА</v>
      </c>
      <c r="B359" s="24" t="s">
        <v>900</v>
      </c>
      <c r="C359" s="25">
        <v>4583007.67</v>
      </c>
      <c r="D359" s="22" t="s">
        <v>899</v>
      </c>
      <c r="E359" s="22" t="s">
        <v>96</v>
      </c>
      <c r="F359" s="23" t="str">
        <f t="shared" si="0"/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</v>
      </c>
      <c r="G359" s="22" t="s">
        <v>117</v>
      </c>
      <c r="H359" s="22" t="s">
        <v>117</v>
      </c>
      <c r="I359" s="26">
        <v>43749.581817129598</v>
      </c>
      <c r="J359" s="28" t="s">
        <v>51</v>
      </c>
      <c r="K359" s="28" t="s">
        <v>51</v>
      </c>
      <c r="L359" s="28" t="s">
        <v>51</v>
      </c>
      <c r="M359" s="28" t="s">
        <v>51</v>
      </c>
      <c r="N359" s="28" t="s">
        <v>51</v>
      </c>
    </row>
    <row r="360" spans="1:14" hidden="1" outlineLevel="1" x14ac:dyDescent="0.15">
      <c r="A360" s="23" t="str">
        <f>HYPERLINK("https://www.spark-marketing.ru/Card/Person/63111", "ГБОУ ШКОЛА № 76 ВЫБОРГСКОГО РАЙОНА САНКТ-ПЕТЕРБУРГА")</f>
        <v>ГБОУ ШКОЛА № 76 ВЫБОРГСКОГО РАЙОНА САНКТ-ПЕТЕРБУРГА</v>
      </c>
      <c r="B360" s="24" t="s">
        <v>901</v>
      </c>
      <c r="C360" s="25">
        <v>4398843.7699999996</v>
      </c>
      <c r="D360" s="22" t="s">
        <v>899</v>
      </c>
      <c r="E360" s="22" t="s">
        <v>96</v>
      </c>
      <c r="F360" s="23" t="str">
        <f t="shared" si="0"/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</v>
      </c>
      <c r="G360" s="22" t="s">
        <v>117</v>
      </c>
      <c r="H360" s="22" t="s">
        <v>117</v>
      </c>
      <c r="I360" s="26">
        <v>43749.581817129598</v>
      </c>
      <c r="J360" s="28" t="s">
        <v>51</v>
      </c>
      <c r="K360" s="28" t="s">
        <v>51</v>
      </c>
      <c r="L360" s="28" t="s">
        <v>51</v>
      </c>
      <c r="M360" s="28" t="s">
        <v>51</v>
      </c>
      <c r="N360" s="28" t="s">
        <v>51</v>
      </c>
    </row>
    <row r="361" spans="1:14" hidden="1" outlineLevel="1" x14ac:dyDescent="0.15">
      <c r="A361" s="23" t="str">
        <f>HYPERLINK("https://www.spark-marketing.ru/Card/Person/119773", "ГБОУ ШКОЛА № 534 ВЫБОРГСКОГО РАЙОНА САНКТ-ПЕТЕРБУРГА")</f>
        <v>ГБОУ ШКОЛА № 534 ВЫБОРГСКОГО РАЙОНА САНКТ-ПЕТЕРБУРГА</v>
      </c>
      <c r="B361" s="24" t="s">
        <v>902</v>
      </c>
      <c r="C361" s="25">
        <v>9834829.6099999994</v>
      </c>
      <c r="D361" s="22" t="s">
        <v>899</v>
      </c>
      <c r="E361" s="22" t="s">
        <v>96</v>
      </c>
      <c r="F361" s="23" t="str">
        <f t="shared" si="0"/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</v>
      </c>
      <c r="G361" s="22" t="s">
        <v>117</v>
      </c>
      <c r="H361" s="22" t="s">
        <v>117</v>
      </c>
      <c r="I361" s="26">
        <v>43749.581817129598</v>
      </c>
      <c r="J361" s="28" t="s">
        <v>51</v>
      </c>
      <c r="K361" s="28" t="s">
        <v>51</v>
      </c>
      <c r="L361" s="28" t="s">
        <v>51</v>
      </c>
      <c r="M361" s="28" t="s">
        <v>51</v>
      </c>
      <c r="N361" s="28" t="s">
        <v>51</v>
      </c>
    </row>
    <row r="362" spans="1:14" hidden="1" outlineLevel="1" x14ac:dyDescent="0.15">
      <c r="A362" s="23" t="str">
        <f>HYPERLINK("https://www.spark-marketing.ru/Card/Person/139377", "ГБОУ ШКОЛА № 117 ВЫБОРГСКОГО РАЙОНА САНКТ-ПЕТЕРБУРГА")</f>
        <v>ГБОУ ШКОЛА № 117 ВЫБОРГСКОГО РАЙОНА САНКТ-ПЕТЕРБУРГА</v>
      </c>
      <c r="B362" s="24" t="s">
        <v>903</v>
      </c>
      <c r="C362" s="25">
        <v>6538365.4100000001</v>
      </c>
      <c r="D362" s="22" t="s">
        <v>899</v>
      </c>
      <c r="E362" s="22" t="s">
        <v>96</v>
      </c>
      <c r="F362" s="23" t="str">
        <f t="shared" si="0"/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</v>
      </c>
      <c r="G362" s="22" t="s">
        <v>117</v>
      </c>
      <c r="H362" s="22" t="s">
        <v>117</v>
      </c>
      <c r="I362" s="26">
        <v>43749.581817129598</v>
      </c>
      <c r="J362" s="28" t="s">
        <v>51</v>
      </c>
      <c r="K362" s="28" t="s">
        <v>51</v>
      </c>
      <c r="L362" s="28" t="s">
        <v>51</v>
      </c>
      <c r="M362" s="28" t="s">
        <v>51</v>
      </c>
      <c r="N362" s="28" t="s">
        <v>51</v>
      </c>
    </row>
    <row r="363" spans="1:14" hidden="1" outlineLevel="1" x14ac:dyDescent="0.15">
      <c r="A363" s="23" t="str">
        <f>HYPERLINK("https://www.spark-marketing.ru/Card/Person/1029685", "ГБОУ ШКОЛА № 517 ВЫБОРГСКОГО РАЙОНА САНКТ-ПЕТЕРБУРГА")</f>
        <v>ГБОУ ШКОЛА № 517 ВЫБОРГСКОГО РАЙОНА САНКТ-ПЕТЕРБУРГА</v>
      </c>
      <c r="B363" s="24" t="s">
        <v>904</v>
      </c>
      <c r="C363" s="25">
        <v>4512995.4000000004</v>
      </c>
      <c r="D363" s="22" t="s">
        <v>899</v>
      </c>
      <c r="E363" s="22" t="s">
        <v>96</v>
      </c>
      <c r="F363" s="23" t="str">
        <f t="shared" si="0"/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</v>
      </c>
      <c r="G363" s="22" t="s">
        <v>117</v>
      </c>
      <c r="H363" s="22" t="s">
        <v>117</v>
      </c>
      <c r="I363" s="26">
        <v>43749.581817129598</v>
      </c>
      <c r="J363" s="28" t="s">
        <v>51</v>
      </c>
      <c r="K363" s="28" t="s">
        <v>51</v>
      </c>
      <c r="L363" s="28" t="s">
        <v>51</v>
      </c>
      <c r="M363" s="28" t="s">
        <v>51</v>
      </c>
      <c r="N363" s="28" t="s">
        <v>51</v>
      </c>
    </row>
    <row r="364" spans="1:14" hidden="1" outlineLevel="1" x14ac:dyDescent="0.15">
      <c r="A364" s="23" t="str">
        <f>HYPERLINK("https://www.spark-marketing.ru/Card/Person/1039128", "ГБОУ ГИМНАЗИЯ №74 ВЫБОРГСКОГО РАЙОНА САНКТ-ПЕТЕРБУРГА")</f>
        <v>ГБОУ ГИМНАЗИЯ №74 ВЫБОРГСКОГО РАЙОНА САНКТ-ПЕТЕРБУРГА</v>
      </c>
      <c r="B364" s="24" t="s">
        <v>905</v>
      </c>
      <c r="C364" s="25">
        <v>6039155.6500000004</v>
      </c>
      <c r="D364" s="22" t="s">
        <v>899</v>
      </c>
      <c r="E364" s="22" t="s">
        <v>96</v>
      </c>
      <c r="F364" s="23" t="str">
        <f t="shared" si="0"/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средняя об...</v>
      </c>
      <c r="G364" s="22" t="s">
        <v>117</v>
      </c>
      <c r="H364" s="22" t="s">
        <v>117</v>
      </c>
      <c r="I364" s="26">
        <v>43749.581817129598</v>
      </c>
      <c r="J364" s="28" t="s">
        <v>51</v>
      </c>
      <c r="K364" s="28" t="s">
        <v>51</v>
      </c>
      <c r="L364" s="28" t="s">
        <v>51</v>
      </c>
      <c r="M364" s="28" t="s">
        <v>51</v>
      </c>
      <c r="N364" s="28" t="s">
        <v>51</v>
      </c>
    </row>
    <row r="365" spans="1:14" x14ac:dyDescent="0.15">
      <c r="A365" s="23" t="str">
        <f>HYPERLINK("https://www.spark-marketing.ru/Card/Person/16955", "ГБУ РО ""ЦСП СК РО""")</f>
        <v>ГБУ РО "ЦСП СК РО"</v>
      </c>
      <c r="B365" s="24" t="s">
        <v>906</v>
      </c>
      <c r="C365" s="25">
        <v>990180</v>
      </c>
      <c r="D365" s="22" t="s">
        <v>907</v>
      </c>
      <c r="E365" s="22" t="s">
        <v>374</v>
      </c>
      <c r="F365" s="23" t="str">
        <f>HYPERLINK("https://www.spark-marketing.ru/Card/Lot/74289683", "Закупка комплекса услуг по организации питания, проживания, оплаты работы судейской коллегии, предоставление спортивных сооружений, трансфера (доставка участников к местам проведения соревнования) и медицинского обслуживания на финальный этап региона...")</f>
        <v>Закупка комплекса услуг по организации питания, проживания, оплаты работы судейской коллегии, предоставление спортивных сооружений, трансфера (доставка участников к местам проведения соревнования) и медицинского обслуживания на финальный этап региона...</v>
      </c>
      <c r="G365" s="22" t="s">
        <v>267</v>
      </c>
      <c r="H365" s="22" t="s">
        <v>267</v>
      </c>
      <c r="I365" s="26">
        <v>43749.561111111099</v>
      </c>
      <c r="J365" s="28" t="s">
        <v>51</v>
      </c>
      <c r="K365" s="28" t="s">
        <v>51</v>
      </c>
      <c r="L365" s="28" t="s">
        <v>51</v>
      </c>
      <c r="M365" s="28" t="s">
        <v>51</v>
      </c>
      <c r="N365" s="28" t="s">
        <v>51</v>
      </c>
    </row>
    <row r="366" spans="1:14" x14ac:dyDescent="0.15">
      <c r="A366" s="23" t="str">
        <f>HYPERLINK("https://www.spark-marketing.ru/Card/Person/2097942", "АО ""КОНЦЕРН РОСЭНЕРГОАТОМ""")</f>
        <v>АО "КОНЦЕРН РОСЭНЕРГОАТОМ"</v>
      </c>
      <c r="B366" s="24" t="s">
        <v>908</v>
      </c>
      <c r="C366" s="28" t="s">
        <v>51</v>
      </c>
      <c r="D366" s="22" t="s">
        <v>909</v>
      </c>
      <c r="E366" s="22" t="s">
        <v>48</v>
      </c>
      <c r="F366" s="23" t="str">
        <f>HYPERLINK("https://www.spark-marketing.ru/Card/Lot/74290816", "«Оказание услуг спасательной службой продовольственного снабжения по обеспечению питанием и продовольствием формирований АС и производственного персонала АС, участвующих в ликвидации чрезвычайных ситуации, возникающих при ведении военных действий или...")</f>
        <v>«Оказание услуг спасательной службой продовольственного снабжения по обеспечению питанием и продовольствием формирований АС и производственного персонала АС, участвующих в ликвидации чрезвычайных ситуации, возникающих при ведении военных действий или...</v>
      </c>
      <c r="G366" s="22" t="s">
        <v>56</v>
      </c>
      <c r="H366" s="22" t="s">
        <v>56</v>
      </c>
      <c r="I366" s="26">
        <v>43749.509814814803</v>
      </c>
      <c r="J366" s="28" t="s">
        <v>51</v>
      </c>
      <c r="K366" s="28" t="s">
        <v>51</v>
      </c>
      <c r="L366" s="28" t="s">
        <v>51</v>
      </c>
      <c r="M366" s="28" t="s">
        <v>51</v>
      </c>
      <c r="N366" s="28" t="s">
        <v>51</v>
      </c>
    </row>
    <row r="367" spans="1:14" x14ac:dyDescent="0.15">
      <c r="A367" s="23" t="str">
        <f>HYPERLINK("https://www.spark-marketing.ru/Card/Person/104651", "МОУ СЫНКОВСКАЯ СОШ")</f>
        <v>МОУ СЫНКОВСКАЯ СОШ</v>
      </c>
      <c r="B367" s="24" t="s">
        <v>910</v>
      </c>
      <c r="C367" s="25">
        <v>587244</v>
      </c>
      <c r="D367" s="22" t="s">
        <v>911</v>
      </c>
      <c r="E367" s="22" t="s">
        <v>48</v>
      </c>
      <c r="F367" s="23" t="str">
        <f>HYPERLINK("https://www.spark-marketing.ru/Card/Lot/74282074",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367" s="22" t="s">
        <v>49</v>
      </c>
      <c r="H367" s="22" t="s">
        <v>50</v>
      </c>
      <c r="I367" s="26">
        <v>43749.504039351901</v>
      </c>
      <c r="J367" s="28" t="s">
        <v>51</v>
      </c>
      <c r="K367" s="28" t="s">
        <v>51</v>
      </c>
      <c r="L367" s="28" t="s">
        <v>51</v>
      </c>
      <c r="M367" s="28" t="s">
        <v>51</v>
      </c>
      <c r="N367" s="28" t="s">
        <v>51</v>
      </c>
    </row>
    <row r="368" spans="1:14" x14ac:dyDescent="0.15">
      <c r="A368" s="23" t="str">
        <f>HYPERLINK("https://www.spark-marketing.ru/Card/Person/104651", "МОУ СЫНКОВСКАЯ СОШ")</f>
        <v>МОУ СЫНКОВСКАЯ СОШ</v>
      </c>
      <c r="B368" s="24" t="s">
        <v>910</v>
      </c>
      <c r="C368" s="25">
        <v>356541</v>
      </c>
      <c r="D368" s="22" t="s">
        <v>912</v>
      </c>
      <c r="E368" s="22" t="s">
        <v>48</v>
      </c>
      <c r="F368" s="23" t="str">
        <f>HYPERLINK("https://www.spark-marketing.ru/Card/Lot/74282079",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368" s="22" t="s">
        <v>49</v>
      </c>
      <c r="H368" s="22" t="s">
        <v>50</v>
      </c>
      <c r="I368" s="26">
        <v>43749.504386574103</v>
      </c>
      <c r="J368" s="28" t="s">
        <v>51</v>
      </c>
      <c r="K368" s="28" t="s">
        <v>51</v>
      </c>
      <c r="L368" s="28" t="s">
        <v>51</v>
      </c>
      <c r="M368" s="28" t="s">
        <v>51</v>
      </c>
      <c r="N368" s="28" t="s">
        <v>51</v>
      </c>
    </row>
    <row r="369" spans="1:14" x14ac:dyDescent="0.15">
      <c r="A369" s="23" t="str">
        <f>HYPERLINK("https://www.spark-marketing.ru/Card/Person/817619", "ОМВД РОССИИ ПО АЛДАНСКОМУ РАЙОНУ")</f>
        <v>ОМВД РОССИИ ПО АЛДАНСКОМУ РАЙОНУ</v>
      </c>
      <c r="B369" s="24" t="s">
        <v>913</v>
      </c>
      <c r="C369" s="25">
        <v>1220269.5</v>
      </c>
      <c r="D369" s="22" t="s">
        <v>914</v>
      </c>
      <c r="E369" s="22" t="s">
        <v>48</v>
      </c>
      <c r="F369" s="23" t="str">
        <f>HYPERLINK("https://www.spark-marketing.ru/Card/Lot/74277976", "оказание услуг по приготовлению и обеспечению горячим питанием для  подозреваемых и обвиняемых в совершении преступлений, находящихся в изоляторе временного содержания отдела МВД России по Алданскому району")</f>
        <v>оказание услуг по приготовлению и обеспечению горячим питанием для  подозреваемых и обвиняемых в совершении преступлений, находящихся в изоляторе временного содержания отдела МВД России по Алданскому району</v>
      </c>
      <c r="G369" s="22" t="s">
        <v>241</v>
      </c>
      <c r="H369" s="22" t="s">
        <v>915</v>
      </c>
      <c r="I369" s="26">
        <v>43749.387499999997</v>
      </c>
      <c r="J369" s="28" t="s">
        <v>51</v>
      </c>
      <c r="K369" s="28" t="s">
        <v>51</v>
      </c>
      <c r="L369" s="28" t="s">
        <v>51</v>
      </c>
      <c r="M369" s="28" t="s">
        <v>51</v>
      </c>
      <c r="N369" s="28" t="s">
        <v>51</v>
      </c>
    </row>
    <row r="370" spans="1:14" x14ac:dyDescent="0.15">
      <c r="A370" s="23" t="str">
        <f>HYPERLINK("https://www.spark-marketing.ru/Card/Person/827513", "АО ""ИГИРГИ""")</f>
        <v>АО "ИГИРГИ"</v>
      </c>
      <c r="B370" s="24" t="s">
        <v>916</v>
      </c>
      <c r="C370" s="25">
        <v>1052945.06</v>
      </c>
      <c r="D370" s="22" t="s">
        <v>917</v>
      </c>
      <c r="E370" s="22" t="s">
        <v>918</v>
      </c>
      <c r="F370" s="23" t="str">
        <f>HYPERLINK("https://www.spark-marketing.ru/Card/Lot/74280681", "Оказание услуг по выездному обслуживанию и организации питания (кейтеринга) для планируемых мероприятий в здании АО ""ИГиРГИ"" в 2019 году")</f>
        <v>Оказание услуг по выездному обслуживанию и организации питания (кейтеринга) для планируемых мероприятий в здании АО "ИГиРГИ" в 2019 году</v>
      </c>
      <c r="G370" s="22" t="s">
        <v>56</v>
      </c>
      <c r="H370" s="22" t="s">
        <v>56</v>
      </c>
      <c r="I370" s="26">
        <v>43749.4284722222</v>
      </c>
      <c r="J370" s="28" t="s">
        <v>51</v>
      </c>
      <c r="K370" s="28" t="s">
        <v>51</v>
      </c>
      <c r="L370" s="28" t="s">
        <v>51</v>
      </c>
      <c r="M370" s="28" t="s">
        <v>51</v>
      </c>
      <c r="N370" s="28" t="s">
        <v>51</v>
      </c>
    </row>
    <row r="371" spans="1:14" x14ac:dyDescent="0.15">
      <c r="A371" s="23" t="str">
        <f>HYPERLINK("https://www.spark-marketing.ru/Card/Person/5862006", "ЗАО ГАЗПРОМНЕФТЬ АЭРО")</f>
        <v>ЗАО ГАЗПРОМНЕФТЬ АЭРО</v>
      </c>
      <c r="B371" s="28" t="s">
        <v>51</v>
      </c>
      <c r="C371" s="28" t="s">
        <v>51</v>
      </c>
      <c r="D371" s="22" t="s">
        <v>919</v>
      </c>
      <c r="E371" s="22" t="s">
        <v>52</v>
      </c>
      <c r="F371" s="23" t="str">
        <f>HYPERLINK("https://www.spark-marketing.ru/Card/Lot/74279916", "Отбор организации, способной оказывать услуги по организации питания работников ООО ""ТЗК Омск (Центральный)""")</f>
        <v>Отбор организации, способной оказывать услуги по организации питания работников ООО "ТЗК Омск (Центральный)"</v>
      </c>
      <c r="G371" s="22" t="s">
        <v>51</v>
      </c>
      <c r="H371" s="22" t="s">
        <v>51</v>
      </c>
      <c r="I371" s="26">
        <v>43749.416666666701</v>
      </c>
      <c r="J371" s="28" t="s">
        <v>51</v>
      </c>
      <c r="K371" s="28" t="s">
        <v>51</v>
      </c>
      <c r="L371" s="28" t="s">
        <v>51</v>
      </c>
      <c r="M371" s="28" t="s">
        <v>51</v>
      </c>
      <c r="N371" s="28" t="s">
        <v>51</v>
      </c>
    </row>
    <row r="372" spans="1:14" x14ac:dyDescent="0.15">
      <c r="A372" s="23" t="str">
        <f>HYPERLINK("https://www.spark-marketing.ru/Card/Person/663912", "ООО ""ВОСТОКГЕОЛОГИЯ""")</f>
        <v>ООО "ВОСТОКГЕОЛОГИЯ"</v>
      </c>
      <c r="B372" s="24" t="s">
        <v>920</v>
      </c>
      <c r="C372" s="28" t="s">
        <v>51</v>
      </c>
      <c r="D372" s="22" t="s">
        <v>921</v>
      </c>
      <c r="E372" s="22" t="s">
        <v>922</v>
      </c>
      <c r="F372" s="23" t="str">
        <f>HYPERLINK("https://www.spark-marketing.ru/Card/Lot/74278438", "Предварительный запрос технико-коммерческих предложений на оказание услуг по организации питания")</f>
        <v>Предварительный запрос технико-коммерческих предложений на оказание услуг по организации питания</v>
      </c>
      <c r="G372" s="22" t="s">
        <v>228</v>
      </c>
      <c r="H372" s="22" t="s">
        <v>394</v>
      </c>
      <c r="I372" s="26">
        <v>43749.088877314804</v>
      </c>
      <c r="J372" s="28" t="s">
        <v>51</v>
      </c>
      <c r="K372" s="28" t="s">
        <v>51</v>
      </c>
      <c r="L372" s="28" t="s">
        <v>51</v>
      </c>
      <c r="M372" s="28" t="s">
        <v>51</v>
      </c>
      <c r="N372" s="28" t="s">
        <v>51</v>
      </c>
    </row>
    <row r="373" spans="1:14" x14ac:dyDescent="0.15">
      <c r="A373" s="23" t="str">
        <f>HYPERLINK("https://www.spark-marketing.ru/Card/Person/5855083", "УПРАВЛЕНИЕ РОСГВАРДИИ ПО РЕСПУБЛИКЕ АДЫГЕЯ")</f>
        <v>УПРАВЛЕНИЕ РОСГВАРДИИ ПО РЕСПУБЛИКЕ АДЫГЕЯ</v>
      </c>
      <c r="B373" s="24" t="s">
        <v>923</v>
      </c>
      <c r="C373" s="25">
        <v>504000</v>
      </c>
      <c r="D373" s="22" t="s">
        <v>924</v>
      </c>
      <c r="E373" s="22" t="s">
        <v>48</v>
      </c>
      <c r="F373" s="23" t="str">
        <f>HYPERLINK("https://www.spark-marketing.ru/Card/Lot/74280791", "оказание услуг по обеспечению питанием военнослужащих для нужд Управления Федеральной службы войск национальной гвардии Российской Федерации по Республике Адыгея. Закупка у субъектов малого предпринимательства и социально ориентированных некоммерческ...")</f>
        <v>оказание услуг по обеспечению питанием военнослужащих для нужд Управления Федеральной службы войск национальной гвардии Российской Федерации по Республике Адыгея. Закупка у субъектов малого предпринимательства и социально ориентированных некоммерческ...</v>
      </c>
      <c r="G373" s="22" t="s">
        <v>925</v>
      </c>
      <c r="H373" s="22" t="s">
        <v>926</v>
      </c>
      <c r="I373" s="26">
        <v>43749.397476851896</v>
      </c>
      <c r="J373" s="28" t="s">
        <v>51</v>
      </c>
      <c r="K373" s="28" t="s">
        <v>51</v>
      </c>
      <c r="L373" s="28" t="s">
        <v>51</v>
      </c>
      <c r="M373" s="28" t="s">
        <v>51</v>
      </c>
      <c r="N373" s="28" t="s">
        <v>51</v>
      </c>
    </row>
    <row r="374" spans="1:14" x14ac:dyDescent="0.15">
      <c r="A374" s="23" t="str">
        <f>HYPERLINK("https://www.spark-marketing.ru/Card/Person/20821", "ГБУЗ ПК ""ПККИБ""")</f>
        <v>ГБУЗ ПК "ПККИБ"</v>
      </c>
      <c r="B374" s="24" t="s">
        <v>927</v>
      </c>
      <c r="C374" s="25">
        <v>29203111.5</v>
      </c>
      <c r="D374" s="22" t="s">
        <v>928</v>
      </c>
      <c r="E374" s="22" t="s">
        <v>96</v>
      </c>
      <c r="F374" s="23" t="str">
        <f>HYPERLINK("https://www.spark-marketing.ru/Card/Lot/74278672", "Оказание услуг по организации питания для пациентов, находящихся на стационарном лечении")</f>
        <v>Оказание услуг по организации питания для пациентов, находящихся на стационарном лечении</v>
      </c>
      <c r="G374" s="22" t="s">
        <v>153</v>
      </c>
      <c r="H374" s="22" t="s">
        <v>153</v>
      </c>
      <c r="I374" s="26">
        <v>43749.279861111099</v>
      </c>
      <c r="J374" s="28" t="s">
        <v>51</v>
      </c>
      <c r="K374" s="28" t="s">
        <v>51</v>
      </c>
      <c r="L374" s="28" t="s">
        <v>51</v>
      </c>
      <c r="M374" s="28" t="s">
        <v>51</v>
      </c>
      <c r="N374" s="28" t="s">
        <v>51</v>
      </c>
    </row>
    <row r="375" spans="1:14" x14ac:dyDescent="0.15">
      <c r="A375" s="23" t="str">
        <f>HYPERLINK("https://www.spark-marketing.ru/Card/Person/140049", "ОТДЕЛ МВД РОССИИ ПО ОКТЯБРЬСКОМУ РАЙОНУ ЧЕЛЯБИНСКОЙ ОБЛАСТИ")</f>
        <v>ОТДЕЛ МВД РОССИИ ПО ОКТЯБРЬСКОМУ РАЙОНУ ЧЕЛЯБИНСКОЙ ОБЛАСТИ</v>
      </c>
      <c r="B375" s="24" t="s">
        <v>929</v>
      </c>
      <c r="C375" s="25">
        <v>92936.55</v>
      </c>
      <c r="D375" s="22" t="s">
        <v>930</v>
      </c>
      <c r="E375" s="22" t="s">
        <v>48</v>
      </c>
      <c r="F375" s="23" t="str">
        <f>HYPERLINK("https://www.spark-marketing.ru/Card/Lot/74277779",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375" s="22" t="s">
        <v>469</v>
      </c>
      <c r="H375" s="22" t="s">
        <v>465</v>
      </c>
      <c r="I375" s="26">
        <v>43749.248969907399</v>
      </c>
      <c r="J375" s="28" t="s">
        <v>51</v>
      </c>
      <c r="K375" s="28" t="s">
        <v>51</v>
      </c>
      <c r="L375" s="28" t="s">
        <v>51</v>
      </c>
      <c r="M375" s="28" t="s">
        <v>51</v>
      </c>
      <c r="N375" s="28" t="s">
        <v>51</v>
      </c>
    </row>
    <row r="376" spans="1:14" x14ac:dyDescent="0.15">
      <c r="A376" s="23" t="str">
        <f>HYPERLINK("https://www.spark-marketing.ru/Card/Person/66234", "ОГБУСО ""УСТЬ-ИЛИМСКИЙ ДОМ-ИНТЕРНАТ ДЛЯ ПРЕСТАРЕЛЫХ И ИНВАЛИДОВ ""ЛИДЕР""")</f>
        <v>ОГБУСО "УСТЬ-ИЛИМСКИЙ ДОМ-ИНТЕРНАТ ДЛЯ ПРЕСТАРЕЛЫХ И ИНВАЛИДОВ "ЛИДЕР"</v>
      </c>
      <c r="B376" s="24" t="s">
        <v>931</v>
      </c>
      <c r="C376" s="25">
        <v>995056.92</v>
      </c>
      <c r="D376" s="22" t="s">
        <v>932</v>
      </c>
      <c r="E376" s="22" t="s">
        <v>362</v>
      </c>
      <c r="F376" s="23" t="str">
        <f>HYPERLINK("https://www.spark-marketing.ru/Card/Lot/74285620", "Оказание услуг по обеспечению питанием")</f>
        <v>Оказание услуг по обеспечению питанием</v>
      </c>
      <c r="G376" s="22" t="s">
        <v>263</v>
      </c>
      <c r="H376" s="22" t="s">
        <v>263</v>
      </c>
      <c r="I376" s="26">
        <v>43749</v>
      </c>
      <c r="J376" s="28" t="s">
        <v>51</v>
      </c>
      <c r="K376" s="28" t="s">
        <v>51</v>
      </c>
      <c r="L376" s="28" t="s">
        <v>51</v>
      </c>
      <c r="M376" s="28" t="s">
        <v>51</v>
      </c>
      <c r="N376" s="28" t="s">
        <v>51</v>
      </c>
    </row>
    <row r="377" spans="1:14" x14ac:dyDescent="0.15">
      <c r="A377" s="23" t="str">
        <f>HYPERLINK("https://www.spark-marketing.ru/Card/Person/1180395", "МАДОУ Д/С № 1")</f>
        <v>МАДОУ Д/С № 1</v>
      </c>
      <c r="B377" s="24" t="s">
        <v>933</v>
      </c>
      <c r="C377" s="25">
        <v>850000</v>
      </c>
      <c r="D377" s="22" t="s">
        <v>934</v>
      </c>
      <c r="E377" s="22" t="s">
        <v>362</v>
      </c>
      <c r="F377" s="23" t="str">
        <f>HYPERLINK("https://www.spark-marketing.ru/Card/Lot/74268083", "Оказание услуг по организации питания на базе пищеблока заказчика")</f>
        <v>Оказание услуг по организации питания на базе пищеблока заказчика</v>
      </c>
      <c r="G377" s="22" t="s">
        <v>400</v>
      </c>
      <c r="H377" s="22" t="s">
        <v>400</v>
      </c>
      <c r="I377" s="26">
        <v>43748</v>
      </c>
      <c r="J377" s="28" t="s">
        <v>51</v>
      </c>
      <c r="K377" s="28" t="s">
        <v>51</v>
      </c>
      <c r="L377" s="28" t="s">
        <v>51</v>
      </c>
      <c r="M377" s="28" t="s">
        <v>51</v>
      </c>
      <c r="N377" s="28" t="s">
        <v>51</v>
      </c>
    </row>
    <row r="378" spans="1:14" x14ac:dyDescent="0.15">
      <c r="A378" s="23" t="str">
        <f>HYPERLINK("https://www.spark-marketing.ru/Card/Person/34578", "ФГБОУ ВО ""КГЭУ"",КГЭУ,КАЗАНСКИЙ ГОСУДАРСТВЕННЫЙ ЭНЕРГЕТИЧЕСКИЙ УНИВЕРСИТЕТ""")</f>
        <v>ФГБОУ ВО "КГЭУ",КГЭУ,КАЗАНСКИЙ ГОСУДАРСТВЕННЫЙ ЭНЕРГЕТИЧЕСКИЙ УНИВЕРСИТЕТ"</v>
      </c>
      <c r="B378" s="24" t="s">
        <v>935</v>
      </c>
      <c r="C378" s="25">
        <v>869549.3</v>
      </c>
      <c r="D378" s="22" t="s">
        <v>936</v>
      </c>
      <c r="E378" s="22" t="s">
        <v>362</v>
      </c>
      <c r="F378" s="23" t="str">
        <f>HYPERLINK("https://www.spark-marketing.ru/Card/Lot/74292718", "Оказание услуг по организации проживания участников, экспертов, тренеров и организаторов мероприятия «Всероссийский форума общественных наблюдателей»")</f>
        <v>Оказание услуг по организации проживания участников, экспертов, тренеров и организаторов мероприятия «Всероссийский форума общественных наблюдателей»</v>
      </c>
      <c r="G378" s="22" t="s">
        <v>217</v>
      </c>
      <c r="H378" s="22" t="s">
        <v>937</v>
      </c>
      <c r="I378" s="26">
        <v>43749</v>
      </c>
      <c r="J378" s="28" t="s">
        <v>51</v>
      </c>
      <c r="K378" s="28" t="s">
        <v>51</v>
      </c>
      <c r="L378" s="28" t="s">
        <v>51</v>
      </c>
      <c r="M378" s="28" t="s">
        <v>51</v>
      </c>
      <c r="N378" s="28" t="s">
        <v>51</v>
      </c>
    </row>
    <row r="379" spans="1:14" x14ac:dyDescent="0.15">
      <c r="A379" s="23" t="str">
        <f>HYPERLINK("https://www.spark-marketing.ru/Card/Person/4348841", "АО АСЭ")</f>
        <v>АО АСЭ</v>
      </c>
      <c r="B379" s="24" t="s">
        <v>938</v>
      </c>
      <c r="C379" s="25">
        <v>5900000</v>
      </c>
      <c r="D379" s="22" t="s">
        <v>939</v>
      </c>
      <c r="E379" s="22" t="s">
        <v>362</v>
      </c>
      <c r="F379" s="23" t="str">
        <f>HYPERLINK("https://www.spark-marketing.ru/Card/Lot/74283199", "Право заключения договора на оказание услуг по организации питания работников на площадке строительства АЭС Эль-Дабаа для филиала АО АСЭ в Арабской Республике Египет (лот 833Пр/ЗП-019).")</f>
        <v>Право заключения договора на оказание услуг по организации питания работников на площадке строительства АЭС Эль-Дабаа для филиала АО АСЭ в Арабской Республике Египет (лот 833Пр/ЗП-019).</v>
      </c>
      <c r="G379" s="22" t="s">
        <v>76</v>
      </c>
      <c r="H379" s="22" t="s">
        <v>940</v>
      </c>
      <c r="I379" s="26">
        <v>43749</v>
      </c>
      <c r="J379" s="28" t="s">
        <v>51</v>
      </c>
      <c r="K379" s="28" t="s">
        <v>51</v>
      </c>
      <c r="L379" s="28" t="s">
        <v>51</v>
      </c>
      <c r="M379" s="28" t="s">
        <v>51</v>
      </c>
      <c r="N379" s="28" t="s">
        <v>51</v>
      </c>
    </row>
    <row r="380" spans="1:14" x14ac:dyDescent="0.2">
      <c r="A380" s="23" t="str">
        <f>HYPERLINK("https://www.spark-marketing.ru/Card/Person/897186", "МАОУ ""ШКОЛА № 13 Г. БЛАГОВЕЩЕНСКА""")</f>
        <v>МАОУ "ШКОЛА № 13 Г. БЛАГОВЕЩЕНСКА"</v>
      </c>
      <c r="B380" s="24" t="s">
        <v>941</v>
      </c>
      <c r="C380" s="25">
        <v>237600</v>
      </c>
      <c r="D380" s="22" t="s">
        <v>942</v>
      </c>
      <c r="E380" s="22" t="s">
        <v>362</v>
      </c>
      <c r="F380" s="23" t="str">
        <f>HYPERLINK("https://www.spark-marketing.ru/Card/Lot/74278731", "Оказание услуг по предоставлению питания детям начальных классов")</f>
        <v>Оказание услуг по предоставлению питания детям начальных классов</v>
      </c>
      <c r="G380" s="22" t="s">
        <v>210</v>
      </c>
      <c r="H380" s="22" t="s">
        <v>210</v>
      </c>
      <c r="I380" s="26">
        <v>43749</v>
      </c>
      <c r="J380" s="28" t="s">
        <v>51</v>
      </c>
      <c r="K380" s="28" t="s">
        <v>51</v>
      </c>
      <c r="L380" s="28" t="s">
        <v>51</v>
      </c>
      <c r="M380" s="25">
        <v>237600</v>
      </c>
      <c r="N380" s="27">
        <v>0</v>
      </c>
    </row>
    <row r="381" spans="1:14" x14ac:dyDescent="0.15">
      <c r="A381" s="23" t="str">
        <f>HYPERLINK("https://www.spark-marketing.ru/Card/Person/4377427", "БМАОУ СОШ №33")</f>
        <v>БМАОУ СОШ №33</v>
      </c>
      <c r="B381" s="24" t="s">
        <v>943</v>
      </c>
      <c r="C381" s="25">
        <v>750000</v>
      </c>
      <c r="D381" s="22" t="s">
        <v>944</v>
      </c>
      <c r="E381" s="22" t="s">
        <v>362</v>
      </c>
      <c r="F381" s="23" t="str">
        <f>HYPERLINK("https://www.spark-marketing.ru/Card/Lot/74258786", "Оказание услуг по организации питания обучающихся в ноябре 2019 г.")</f>
        <v>Оказание услуг по организации питания обучающихся в ноябре 2019 г.</v>
      </c>
      <c r="G381" s="22" t="s">
        <v>174</v>
      </c>
      <c r="H381" s="22" t="s">
        <v>174</v>
      </c>
      <c r="I381" s="26">
        <v>43748</v>
      </c>
      <c r="J381" s="28" t="s">
        <v>51</v>
      </c>
      <c r="K381" s="28" t="s">
        <v>51</v>
      </c>
      <c r="L381" s="28" t="s">
        <v>51</v>
      </c>
      <c r="M381" s="28" t="s">
        <v>51</v>
      </c>
      <c r="N381" s="28" t="s">
        <v>51</v>
      </c>
    </row>
    <row r="382" spans="1:14" x14ac:dyDescent="0.15">
      <c r="A382" s="23" t="str">
        <f>HYPERLINK("https://www.spark-marketing.ru/Card/Person/1758526", "МАОУ ""НОШ № 1""")</f>
        <v>МАОУ "НОШ № 1"</v>
      </c>
      <c r="B382" s="24" t="s">
        <v>945</v>
      </c>
      <c r="C382" s="25">
        <v>396800.04</v>
      </c>
      <c r="D382" s="22" t="s">
        <v>946</v>
      </c>
      <c r="E382" s="22" t="s">
        <v>362</v>
      </c>
      <c r="F382" s="23" t="str">
        <f>HYPERLINK("https://www.spark-marketing.ru/Card/Lot/74279212", "оказание услуг по организации питания льготной категории (малоимущие) учащихся муниципального автономного общеобразовательного учреждения «Начальная общеобразовательная школа №1»")</f>
        <v>оказание услуг по организации питания льготной категории (малоимущие) учащихся муниципального автономного общеобразовательного учреждения «Начальная общеобразовательная школа №1»</v>
      </c>
      <c r="G382" s="22" t="s">
        <v>153</v>
      </c>
      <c r="H382" s="22" t="s">
        <v>153</v>
      </c>
      <c r="I382" s="26">
        <v>43749</v>
      </c>
      <c r="J382" s="28" t="s">
        <v>51</v>
      </c>
      <c r="K382" s="28" t="s">
        <v>51</v>
      </c>
      <c r="L382" s="28" t="s">
        <v>51</v>
      </c>
      <c r="M382" s="28" t="s">
        <v>51</v>
      </c>
      <c r="N382" s="28" t="s">
        <v>51</v>
      </c>
    </row>
    <row r="383" spans="1:14" x14ac:dyDescent="0.15">
      <c r="A383" s="23" t="str">
        <f>HYPERLINK("https://www.spark-marketing.ru/Card/Person/1758526", "МАОУ ""НОШ № 1""")</f>
        <v>МАОУ "НОШ № 1"</v>
      </c>
      <c r="B383" s="24" t="s">
        <v>945</v>
      </c>
      <c r="C383" s="25">
        <v>239448.3</v>
      </c>
      <c r="D383" s="22" t="s">
        <v>947</v>
      </c>
      <c r="E383" s="22" t="s">
        <v>362</v>
      </c>
      <c r="F383" s="23" t="str">
        <f>HYPERLINK("https://www.spark-marketing.ru/Card/Lot/74279324", "оказание услуг по организации питания льготной категории (многодетные-малоимущие) учащихся муниципального автономного общеобразовательного учреждения «Начальная общеобразовательная школа №1»")</f>
        <v>оказание услуг по организации питания льготной категории (многодетные-малоимущие) учащихся муниципального автономного общеобразовательного учреждения «Начальная общеобразовательная школа №1»</v>
      </c>
      <c r="G383" s="22" t="s">
        <v>153</v>
      </c>
      <c r="H383" s="22" t="s">
        <v>153</v>
      </c>
      <c r="I383" s="26">
        <v>43749</v>
      </c>
      <c r="J383" s="28" t="s">
        <v>51</v>
      </c>
      <c r="K383" s="28" t="s">
        <v>51</v>
      </c>
      <c r="L383" s="28" t="s">
        <v>51</v>
      </c>
      <c r="M383" s="28" t="s">
        <v>51</v>
      </c>
      <c r="N383" s="28" t="s">
        <v>51</v>
      </c>
    </row>
    <row r="384" spans="1:14" x14ac:dyDescent="0.15">
      <c r="A384" s="23" t="str">
        <f>HYPERLINK("https://www.spark-marketing.ru/Card/Person/1678219", "АО ""НПК ""ХИМПРОМИНЖИНИРИНГ""")</f>
        <v>АО "НПК "ХИМПРОМИНЖИНИРИНГ"</v>
      </c>
      <c r="B384" s="24" t="s">
        <v>948</v>
      </c>
      <c r="C384" s="25">
        <v>254600</v>
      </c>
      <c r="D384" s="22" t="s">
        <v>949</v>
      </c>
      <c r="E384" s="22" t="s">
        <v>362</v>
      </c>
      <c r="F384" s="23" t="str">
        <f>HYPERLINK("https://www.spark-marketing.ru/Card/Lot/74295199", "Оказание услуг по организации питания в ходе проведения VII Форума «Композиты без границ».")</f>
        <v>Оказание услуг по организации питания в ходе проведения VII Форума «Композиты без границ».</v>
      </c>
      <c r="G384" s="22" t="s">
        <v>56</v>
      </c>
      <c r="H384" s="22" t="s">
        <v>56</v>
      </c>
      <c r="I384" s="26">
        <v>43749</v>
      </c>
      <c r="J384" s="28" t="s">
        <v>51</v>
      </c>
      <c r="K384" s="28" t="s">
        <v>51</v>
      </c>
      <c r="L384" s="28" t="s">
        <v>51</v>
      </c>
      <c r="M384" s="28" t="s">
        <v>51</v>
      </c>
      <c r="N384" s="28" t="s">
        <v>51</v>
      </c>
    </row>
    <row r="385" spans="1:14" x14ac:dyDescent="0.15">
      <c r="A385" s="23" t="str">
        <f>HYPERLINK("https://www.spark-marketing.ru/Card/Person/5820", "ФГБОУ ВО ""АЛТГПУ"", АЛТГПУ, АЛТАЙСКИЙ ГОСУДАРСТВЕННЫЙ ПЕДАГОГИЧЕСКИЙ УНИВЕРСИТЕТ")</f>
        <v>ФГБОУ ВО "АЛТГПУ", АЛТГПУ, АЛТАЙСКИЙ ГОСУДАРСТВЕННЫЙ ПЕДАГОГИЧЕСКИЙ УНИВЕРСИТЕТ</v>
      </c>
      <c r="B385" s="24" t="s">
        <v>950</v>
      </c>
      <c r="C385" s="25">
        <v>372000</v>
      </c>
      <c r="D385" s="22" t="s">
        <v>951</v>
      </c>
      <c r="E385" s="22" t="s">
        <v>952</v>
      </c>
      <c r="F385" s="23" t="str">
        <f>HYPERLINK("https://www.spark-marketing.ru/Card/Lot/74278484", "Услуги по обеспечению питанием участников, волонтеров, организаторов, экспертов, членов оргкомитета, а также организация кофе-брейка для всех участников хакатона, гостей и зрителей презентации с целью реализации проекта ""Историко-патриотический хака...")</f>
        <v>Услуги по обеспечению питанием участников, волонтеров, организаторов, экспертов, членов оргкомитета, а также организация кофе-брейка для всех участников хакатона, гостей и зрителей презентации с целью реализации проекта "Историко-патриотический хака...</v>
      </c>
      <c r="G385" s="22" t="s">
        <v>63</v>
      </c>
      <c r="H385" s="22" t="s">
        <v>63</v>
      </c>
      <c r="I385" s="26">
        <v>43749</v>
      </c>
      <c r="J385" s="28" t="s">
        <v>51</v>
      </c>
      <c r="K385" s="28" t="s">
        <v>51</v>
      </c>
      <c r="L385" s="28" t="s">
        <v>51</v>
      </c>
      <c r="M385" s="28" t="s">
        <v>51</v>
      </c>
      <c r="N385" s="28" t="s">
        <v>51</v>
      </c>
    </row>
    <row r="386" spans="1:14" x14ac:dyDescent="0.2">
      <c r="A386" s="23" t="str">
        <f>HYPERLINK("https://www.spark-marketing.ru/Card/Person/1752308", "СПБ ГАУЗ ""ХОСПИС (ДЕТСКИЙ)""")</f>
        <v>СПБ ГАУЗ "ХОСПИС (ДЕТСКИЙ)"</v>
      </c>
      <c r="B386" s="24" t="s">
        <v>953</v>
      </c>
      <c r="C386" s="25">
        <v>260404.56</v>
      </c>
      <c r="D386" s="22" t="s">
        <v>954</v>
      </c>
      <c r="E386" s="22" t="s">
        <v>580</v>
      </c>
      <c r="F386" s="23" t="str">
        <f>HYPERLINK("https://www.spark-marketing.ru/Card/Lot/74290256", "Оказание услуг по организации питания детей в стационарном отделении № 2 паллиативной медицинской помощи детям СПб ГАУЗ «Хоспис (детский)»")</f>
        <v>Оказание услуг по организации питания детей в стационарном отделении № 2 паллиативной медицинской помощи детям СПб ГАУЗ «Хоспис (детский)»</v>
      </c>
      <c r="G386" s="22" t="s">
        <v>117</v>
      </c>
      <c r="H386" s="22" t="s">
        <v>117</v>
      </c>
      <c r="I386" s="26">
        <v>43749</v>
      </c>
      <c r="J386" s="23" t="str">
        <f>HYPERLINK("https://www.spark-marketing.ru/Card/Person/90783", "АО ""КСП ПУШКИНСКОГО РАЙОНА""")</f>
        <v>АО "КСП ПУШКИНСКОГО РАЙОНА"</v>
      </c>
      <c r="K386" s="24" t="s">
        <v>955</v>
      </c>
      <c r="L386" s="28" t="s">
        <v>51</v>
      </c>
      <c r="M386" s="25">
        <v>257400</v>
      </c>
      <c r="N386" s="27">
        <v>1.1538046799180475E-2</v>
      </c>
    </row>
    <row r="387" spans="1:14" x14ac:dyDescent="0.15">
      <c r="A387" s="23" t="str">
        <f>HYPERLINK("https://www.spark-marketing.ru/Card/Person/91645", "СГМУП ""КШП""")</f>
        <v>СГМУП "КШП"</v>
      </c>
      <c r="B387" s="24" t="s">
        <v>956</v>
      </c>
      <c r="C387" s="25">
        <v>217500</v>
      </c>
      <c r="D387" s="22" t="s">
        <v>957</v>
      </c>
      <c r="E387" s="22" t="s">
        <v>958</v>
      </c>
      <c r="F387" s="23" t="str">
        <f>HYPERLINK("https://www.spark-marketing.ru/Card/Lot/74293591", "Оказание услуг по выдаче свидетельств о государственной регистрации на специализированную продукцию для деткого питания")</f>
        <v>Оказание услуг по выдаче свидетельств о государственной регистрации на специализированную продукцию для деткого питания</v>
      </c>
      <c r="G387" s="22" t="s">
        <v>97</v>
      </c>
      <c r="H387" s="22" t="s">
        <v>97</v>
      </c>
      <c r="I387" s="26">
        <v>43749</v>
      </c>
      <c r="J387" s="28" t="s">
        <v>51</v>
      </c>
      <c r="K387" s="28" t="s">
        <v>51</v>
      </c>
      <c r="L387" s="28" t="s">
        <v>51</v>
      </c>
      <c r="M387" s="28" t="s">
        <v>51</v>
      </c>
      <c r="N387" s="28" t="s">
        <v>51</v>
      </c>
    </row>
    <row r="388" spans="1:14" x14ac:dyDescent="0.15">
      <c r="A388" s="23" t="str">
        <f>HYPERLINK("https://www.spark-marketing.ru/Card/Person/18539", "АУ ВО ОЦМИГИ ""СОДРУЖЕСТВО""")</f>
        <v>АУ ВО ОЦМИГИ "СОДРУЖЕСТВО"</v>
      </c>
      <c r="B388" s="24" t="s">
        <v>959</v>
      </c>
      <c r="C388" s="25">
        <v>767240</v>
      </c>
      <c r="D388" s="22" t="s">
        <v>960</v>
      </c>
      <c r="E388" s="22" t="s">
        <v>961</v>
      </c>
      <c r="F388" s="23" t="str">
        <f>HYPERLINK("https://www.spark-marketing.ru/Card/Lot/74295220", "услуги по организации проживания, питания и предоставлению помещений и территорий для проведения открытого сбора студенческого актива Вологодской области «ОССА»")</f>
        <v>услуги по организации проживания, питания и предоставлению помещений и территорий для проведения открытого сбора студенческого актива Вологодской области «ОССА»</v>
      </c>
      <c r="G388" s="22" t="s">
        <v>503</v>
      </c>
      <c r="H388" s="22" t="s">
        <v>962</v>
      </c>
      <c r="I388" s="26">
        <v>43749</v>
      </c>
      <c r="J388" s="28" t="s">
        <v>51</v>
      </c>
      <c r="K388" s="28" t="s">
        <v>51</v>
      </c>
      <c r="L388" s="28" t="s">
        <v>51</v>
      </c>
      <c r="M388" s="28" t="s">
        <v>51</v>
      </c>
      <c r="N388" s="28" t="s">
        <v>51</v>
      </c>
    </row>
    <row r="389" spans="1:14" x14ac:dyDescent="0.2">
      <c r="A389" s="23" t="str">
        <f>HYPERLINK("https://www.spark-marketing.ru/Card/Person/142517", "МАОУ СОШ № 3 ИМЕНИ ГЕРОЯ РОССИИ СЕРГЕЯ РОМАШИНА Г. ЮЖНО-САХАЛИНСКА")</f>
        <v>МАОУ СОШ № 3 ИМЕНИ ГЕРОЯ РОССИИ СЕРГЕЯ РОМАШИНА Г. ЮЖНО-САХАЛИНСКА</v>
      </c>
      <c r="B389" s="24" t="s">
        <v>963</v>
      </c>
      <c r="C389" s="25">
        <v>1894416.13</v>
      </c>
      <c r="D389" s="22" t="s">
        <v>964</v>
      </c>
      <c r="E389" s="22" t="s">
        <v>580</v>
      </c>
      <c r="F389" s="23" t="str">
        <f>HYPERLINK("https://www.spark-marketing.ru/Card/Lot/74282530", "Услуги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и малочисленных народов Севера Сахалинск...")</f>
        <v>Услуги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и малочисленных народов Севера Сахалинск...</v>
      </c>
      <c r="G389" s="22" t="s">
        <v>260</v>
      </c>
      <c r="H389" s="22" t="s">
        <v>260</v>
      </c>
      <c r="I389" s="26">
        <v>43749</v>
      </c>
      <c r="J389" s="28" t="s">
        <v>51</v>
      </c>
      <c r="K389" s="28" t="s">
        <v>51</v>
      </c>
      <c r="L389" s="28" t="s">
        <v>51</v>
      </c>
      <c r="M389" s="25">
        <v>1894416.13</v>
      </c>
      <c r="N389" s="27">
        <v>0</v>
      </c>
    </row>
    <row r="390" spans="1:14" x14ac:dyDescent="0.15">
      <c r="A390" s="23" t="str">
        <f>HYPERLINK("https://www.spark-marketing.ru/Card/Person/8030", "ФКУ ""ОСК ЮЖНОГО ВОЕННОГО ОКРУГА""")</f>
        <v>ФКУ "ОСК ЮЖНОГО ВОЕННОГО ОКРУГА"</v>
      </c>
      <c r="B390" s="24" t="s">
        <v>965</v>
      </c>
      <c r="C390" s="25">
        <v>3700000</v>
      </c>
      <c r="D390" s="22" t="s">
        <v>966</v>
      </c>
      <c r="E390" s="22" t="s">
        <v>152</v>
      </c>
      <c r="F390" s="23" t="str">
        <f>HYPERLINK("https://www.spark-marketing.ru/Card/Lot/74265430", "Выполнение работ по техническому обслуживанию и ремонту комплектов оборудования Система контроля управления доступом и заказа питания в интересах продовольственной службы управления (ресурсного обеспечения) Южного военного округа для нужд федеральног...")</f>
        <v>Выполнение работ по техническому обслуживанию и ремонту комплектов оборудования Система контроля управления доступом и заказа питания в интересах продовольственной службы управления (ресурсного обеспечения) Южного военного округа для нужд федеральног...</v>
      </c>
      <c r="G390" s="22" t="s">
        <v>267</v>
      </c>
      <c r="H390" s="22" t="s">
        <v>590</v>
      </c>
      <c r="I390" s="26">
        <v>43748.363888888904</v>
      </c>
      <c r="J390" s="28" t="s">
        <v>51</v>
      </c>
      <c r="K390" s="28" t="s">
        <v>51</v>
      </c>
      <c r="L390" s="28" t="s">
        <v>51</v>
      </c>
      <c r="M390" s="28" t="s">
        <v>51</v>
      </c>
      <c r="N390" s="28" t="s">
        <v>51</v>
      </c>
    </row>
    <row r="391" spans="1:14" x14ac:dyDescent="0.15">
      <c r="A391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91" s="24" t="s">
        <v>967</v>
      </c>
      <c r="C391" s="25">
        <v>147551.04000000001</v>
      </c>
      <c r="D391" s="22" t="s">
        <v>968</v>
      </c>
      <c r="E391" s="22" t="s">
        <v>48</v>
      </c>
      <c r="F391" s="23" t="str">
        <f>HYPERLINK("https://www.spark-marketing.ru/Card/Lot/74267855", "Оказание услуг по организации питания (приготовлению и доставке) для ИВС, 672 усл. ед")</f>
        <v>Оказание услуг по организации питания (приготовлению и доставке) для ИВС, 672 усл. ед</v>
      </c>
      <c r="G391" s="22" t="s">
        <v>104</v>
      </c>
      <c r="H391" s="22" t="s">
        <v>969</v>
      </c>
      <c r="I391" s="26">
        <v>43748.736770833297</v>
      </c>
      <c r="J391" s="28" t="s">
        <v>51</v>
      </c>
      <c r="K391" s="28" t="s">
        <v>51</v>
      </c>
      <c r="L391" s="28" t="s">
        <v>51</v>
      </c>
      <c r="M391" s="28" t="s">
        <v>51</v>
      </c>
      <c r="N391" s="28" t="s">
        <v>51</v>
      </c>
    </row>
    <row r="392" spans="1:14" x14ac:dyDescent="0.15">
      <c r="A392" s="23" t="str">
        <f>HYPERLINK("https://www.spark-marketing.ru/Card/Person/4343853", "ГБУЗ СО ""СОКПБ""")</f>
        <v>ГБУЗ СО "СОКПБ"</v>
      </c>
      <c r="B392" s="24" t="s">
        <v>970</v>
      </c>
      <c r="C392" s="25">
        <v>30129540</v>
      </c>
      <c r="D392" s="22" t="s">
        <v>971</v>
      </c>
      <c r="E392" s="22" t="s">
        <v>51</v>
      </c>
      <c r="F392" s="23" t="str">
        <f>HYPERLINK("https://www.spark-marketing.ru/Card/Lot/74275954", "Услуги по организации питания пациентов")</f>
        <v>Услуги по организации питания пациентов</v>
      </c>
      <c r="G392" s="22" t="s">
        <v>174</v>
      </c>
      <c r="H392" s="22" t="s">
        <v>530</v>
      </c>
      <c r="I392" s="26">
        <v>43748.659027777801</v>
      </c>
      <c r="J392" s="28" t="s">
        <v>51</v>
      </c>
      <c r="K392" s="28" t="s">
        <v>51</v>
      </c>
      <c r="L392" s="28" t="s">
        <v>51</v>
      </c>
      <c r="M392" s="28" t="s">
        <v>51</v>
      </c>
      <c r="N392" s="28" t="s">
        <v>51</v>
      </c>
    </row>
    <row r="393" spans="1:14" x14ac:dyDescent="0.15">
      <c r="A393" s="23" t="str">
        <f>HYPERLINK("https://www.spark-marketing.ru/Card/Person/8244", "ГБУЗ ""РКИБ""")</f>
        <v>ГБУЗ "РКИБ"</v>
      </c>
      <c r="B393" s="24" t="s">
        <v>972</v>
      </c>
      <c r="C393" s="25">
        <v>233545.43</v>
      </c>
      <c r="D393" s="22" t="s">
        <v>973</v>
      </c>
      <c r="E393" s="22" t="s">
        <v>603</v>
      </c>
      <c r="F393" s="23" t="str">
        <f>HYPERLINK("https://www.spark-marketing.ru/Card/Lot/74271495", "Оказание услуг в сфере технического регулирования и обеспечения единства измерений (поверка, калибровка средств измерений)")</f>
        <v>Оказание услуг в сфере технического регулирования и обеспечения единства измерений (поверка, калибровка средств измерений)</v>
      </c>
      <c r="G393" s="22" t="s">
        <v>433</v>
      </c>
      <c r="H393" s="22" t="s">
        <v>974</v>
      </c>
      <c r="I393" s="26">
        <v>43748.486111111102</v>
      </c>
      <c r="J393" s="28" t="s">
        <v>51</v>
      </c>
      <c r="K393" s="28" t="s">
        <v>51</v>
      </c>
      <c r="L393" s="28" t="s">
        <v>51</v>
      </c>
      <c r="M393" s="28" t="s">
        <v>51</v>
      </c>
      <c r="N393" s="28" t="s">
        <v>51</v>
      </c>
    </row>
    <row r="394" spans="1:14" x14ac:dyDescent="0.15">
      <c r="A394" s="23" t="str">
        <f>HYPERLINK("https://www.spark-marketing.ru/Card/Person/9368", "ГБУЗ ""ООКОД""")</f>
        <v>ГБУЗ "ООКОД"</v>
      </c>
      <c r="B394" s="24" t="s">
        <v>810</v>
      </c>
      <c r="C394" s="25">
        <v>2155176</v>
      </c>
      <c r="D394" s="22" t="s">
        <v>975</v>
      </c>
      <c r="E394" s="22" t="s">
        <v>976</v>
      </c>
      <c r="F394" s="23" t="str">
        <f>HYPERLINK("https://www.spark-marketing.ru/Card/Lot/74275311", "на поставку продуктов питания (говядина)")</f>
        <v>на поставку продуктов питания (говядина)</v>
      </c>
      <c r="G394" s="22" t="s">
        <v>132</v>
      </c>
      <c r="H394" s="22" t="s">
        <v>587</v>
      </c>
      <c r="I394" s="26">
        <v>43748.592361111099</v>
      </c>
      <c r="J394" s="28" t="s">
        <v>51</v>
      </c>
      <c r="K394" s="28" t="s">
        <v>51</v>
      </c>
      <c r="L394" s="28" t="s">
        <v>51</v>
      </c>
      <c r="M394" s="28" t="s">
        <v>51</v>
      </c>
      <c r="N394" s="28" t="s">
        <v>51</v>
      </c>
    </row>
    <row r="395" spans="1:14" x14ac:dyDescent="0.15">
      <c r="A395" s="23" t="str">
        <f>HYPERLINK("https://www.spark-marketing.ru/Card/Person/6158145", "МИНТРУДА И СОЦРАЗВИТИЯ НСО")</f>
        <v>МИНТРУДА И СОЦРАЗВИТИЯ НСО</v>
      </c>
      <c r="B395" s="24" t="s">
        <v>977</v>
      </c>
      <c r="C395" s="25">
        <v>352625</v>
      </c>
      <c r="D395" s="22" t="s">
        <v>978</v>
      </c>
      <c r="E395" s="22" t="s">
        <v>51</v>
      </c>
      <c r="F395" s="23" t="str">
        <f>HYPERLINK("https://www.spark-marketing.ru/Card/Lot/74271952", "Оказание услуг по санаторно-курортному лечению работников бюджетной сферы, с заболеваниями опорно-двигательного аппарата, расстройством питания и нарушением обмена веществ, гинекологическими заболеваниями, количество путевок - 25 шт.")</f>
        <v>Оказание услуг по санаторно-курортному лечению работников бюджетной сферы, с заболеваниями опорно-двигательного аппарата, расстройством питания и нарушением обмена веществ, гинекологическими заболеваниями, количество путевок - 25 шт.</v>
      </c>
      <c r="G395" s="22" t="s">
        <v>195</v>
      </c>
      <c r="H395" s="22" t="s">
        <v>196</v>
      </c>
      <c r="I395" s="26">
        <v>43748.5180555556</v>
      </c>
      <c r="J395" s="28" t="s">
        <v>51</v>
      </c>
      <c r="K395" s="28" t="s">
        <v>51</v>
      </c>
      <c r="L395" s="28" t="s">
        <v>51</v>
      </c>
      <c r="M395" s="28" t="s">
        <v>51</v>
      </c>
      <c r="N395" s="28" t="s">
        <v>51</v>
      </c>
    </row>
    <row r="396" spans="1:14" x14ac:dyDescent="0.15">
      <c r="A396" s="23" t="str">
        <f>HYPERLINK("https://www.spark-marketing.ru/Card/Person/32666", "ГБУ РС(Я) ""ЯРПНД""")</f>
        <v>ГБУ РС(Я) "ЯРПНД"</v>
      </c>
      <c r="B396" s="24" t="s">
        <v>979</v>
      </c>
      <c r="C396" s="25">
        <v>1999801.65</v>
      </c>
      <c r="D396" s="22" t="s">
        <v>980</v>
      </c>
      <c r="E396" s="22" t="s">
        <v>48</v>
      </c>
      <c r="F396" s="23" t="str">
        <f>HYPERLINK("https://www.spark-marketing.ru/Card/Lot/74264199", "Оказание услуг по обеспечению лечебным питанием пациентов ГБУ РС(Я) ""ЯРПНД""")</f>
        <v>Оказание услуг по обеспечению лечебным питанием пациентов ГБУ РС(Я) "ЯРПНД"</v>
      </c>
      <c r="G396" s="22" t="s">
        <v>241</v>
      </c>
      <c r="H396" s="22" t="s">
        <v>242</v>
      </c>
      <c r="I396" s="26">
        <v>43748.524305555598</v>
      </c>
      <c r="J396" s="28" t="s">
        <v>51</v>
      </c>
      <c r="K396" s="28" t="s">
        <v>51</v>
      </c>
      <c r="L396" s="28" t="s">
        <v>51</v>
      </c>
      <c r="M396" s="28" t="s">
        <v>51</v>
      </c>
      <c r="N396" s="28" t="s">
        <v>51</v>
      </c>
    </row>
    <row r="397" spans="1:14" x14ac:dyDescent="0.15">
      <c r="A397" s="23" t="str">
        <f>HYPERLINK("https://www.spark-marketing.ru/Card/Person/35488", "ОТДЕЛЕНИЕ МВД РОССИИ ПО КЕЖЕМСКОМУ РАЙОНУ")</f>
        <v>ОТДЕЛЕНИЕ МВД РОССИИ ПО КЕЖЕМСКОМУ РАЙОНУ</v>
      </c>
      <c r="B397" s="24" t="s">
        <v>981</v>
      </c>
      <c r="C397" s="25">
        <v>170000</v>
      </c>
      <c r="D397" s="22" t="s">
        <v>982</v>
      </c>
      <c r="E397" s="22" t="s">
        <v>48</v>
      </c>
      <c r="F397" s="23" t="str">
        <f>HYPERLINK("https://www.spark-marketing.ru/Card/Lot/74270074", "Оплата услуг по организации горячего питания")</f>
        <v>Оплата услуг по организации горячего питания</v>
      </c>
      <c r="G397" s="22" t="s">
        <v>281</v>
      </c>
      <c r="H397" s="22" t="s">
        <v>983</v>
      </c>
      <c r="I397" s="26">
        <v>43748.599305555603</v>
      </c>
      <c r="J397" s="28" t="s">
        <v>51</v>
      </c>
      <c r="K397" s="28" t="s">
        <v>51</v>
      </c>
      <c r="L397" s="28" t="s">
        <v>51</v>
      </c>
      <c r="M397" s="28" t="s">
        <v>51</v>
      </c>
      <c r="N397" s="28" t="s">
        <v>51</v>
      </c>
    </row>
    <row r="398" spans="1:14" x14ac:dyDescent="0.15">
      <c r="A398" s="23" t="str">
        <f>HYPERLINK("https://www.spark-marketing.ru/Card/Person/13357", "ГБУ ""МФЦ КБР""")</f>
        <v>ГБУ "МФЦ КБР"</v>
      </c>
      <c r="B398" s="24" t="s">
        <v>984</v>
      </c>
      <c r="C398" s="25">
        <v>5115350</v>
      </c>
      <c r="D398" s="22" t="s">
        <v>985</v>
      </c>
      <c r="E398" s="22" t="s">
        <v>536</v>
      </c>
      <c r="F398" s="23" t="str">
        <f>HYPERLINK("https://www.spark-marketing.ru/Card/Lot/74275831", "Поставка компьютерной техники для нужд Государственного бюджетного учреждения ""Многофункциональный центр по предоставлению государственных и муниципальных услуг Кабардино-Балкарской Республики""")</f>
        <v>Поставка компьютерной техники для нужд Государственного бюджетного учреждения "Многофункциональный центр по предоставлению государственных и муниципальных услуг Кабардино-Балкарской Республики"</v>
      </c>
      <c r="G398" s="22" t="s">
        <v>986</v>
      </c>
      <c r="H398" s="22" t="s">
        <v>987</v>
      </c>
      <c r="I398" s="26">
        <v>43748.638888888898</v>
      </c>
      <c r="J398" s="28" t="s">
        <v>51</v>
      </c>
      <c r="K398" s="28" t="s">
        <v>51</v>
      </c>
      <c r="L398" s="28" t="s">
        <v>51</v>
      </c>
      <c r="M398" s="28" t="s">
        <v>51</v>
      </c>
      <c r="N398" s="28" t="s">
        <v>51</v>
      </c>
    </row>
    <row r="399" spans="1:14" x14ac:dyDescent="0.15">
      <c r="A399" s="23" t="str">
        <f>HYPERLINK("https://www.spark-marketing.ru/Card/Person/138729", "БУЗ ВО ""ВОЛОГОДСКИЙ ОБЛАСТНОЙ НАРКОЛОГИЧЕСКИЙ ДИСПАНСЕР № 1"", БУЗ ВО ""ВОНД № 1""")</f>
        <v>БУЗ ВО "ВОЛОГОДСКИЙ ОБЛАСТНОЙ НАРКОЛОГИЧЕСКИЙ ДИСПАНСЕР № 1", БУЗ ВО "ВОНД № 1"</v>
      </c>
      <c r="B399" s="24" t="s">
        <v>988</v>
      </c>
      <c r="C399" s="25">
        <v>3113400</v>
      </c>
      <c r="D399" s="22" t="s">
        <v>989</v>
      </c>
      <c r="E399" s="22" t="s">
        <v>48</v>
      </c>
      <c r="F399" s="23" t="str">
        <f>HYPERLINK("https://www.spark-marketing.ru/Card/Lot/74275566", "Оказание услуг по организации общественного (лечебного) питания пациентов")</f>
        <v>Оказание услуг по организации общественного (лечебного) питания пациентов</v>
      </c>
      <c r="G399" s="22" t="s">
        <v>503</v>
      </c>
      <c r="H399" s="22" t="s">
        <v>962</v>
      </c>
      <c r="I399" s="26">
        <v>43748.641666666699</v>
      </c>
      <c r="J399" s="28" t="s">
        <v>51</v>
      </c>
      <c r="K399" s="28" t="s">
        <v>51</v>
      </c>
      <c r="L399" s="28" t="s">
        <v>51</v>
      </c>
      <c r="M399" s="28" t="s">
        <v>51</v>
      </c>
      <c r="N399" s="28" t="s">
        <v>51</v>
      </c>
    </row>
    <row r="400" spans="1:14" x14ac:dyDescent="0.15">
      <c r="A400" s="23" t="str">
        <f>HYPERLINK("https://www.spark-marketing.ru/Card/Person/151015", "СРЦДН Г. ГЛАЗОВА «СЕМЬЯ»")</f>
        <v>СРЦДН Г. ГЛАЗОВА «СЕМЬЯ»</v>
      </c>
      <c r="B400" s="24" t="s">
        <v>990</v>
      </c>
      <c r="C400" s="25">
        <v>350800</v>
      </c>
      <c r="D400" s="22" t="s">
        <v>991</v>
      </c>
      <c r="E400" s="22" t="s">
        <v>48</v>
      </c>
      <c r="F400" s="23" t="str">
        <f>HYPERLINK("https://www.spark-marketing.ru/Card/Lot/74271853", "№ зз-33251-19 Оказание услуг по организации питания несовершеннолетних")</f>
        <v>№ зз-33251-19 Оказание услуг по организации питания несовершеннолетних</v>
      </c>
      <c r="G400" s="22" t="s">
        <v>852</v>
      </c>
      <c r="H400" s="22" t="s">
        <v>992</v>
      </c>
      <c r="I400" s="26">
        <v>43748.626388888901</v>
      </c>
      <c r="J400" s="28" t="s">
        <v>51</v>
      </c>
      <c r="K400" s="28" t="s">
        <v>51</v>
      </c>
      <c r="L400" s="28" t="s">
        <v>51</v>
      </c>
      <c r="M400" s="28" t="s">
        <v>51</v>
      </c>
      <c r="N400" s="28" t="s">
        <v>51</v>
      </c>
    </row>
    <row r="401" spans="1:14" x14ac:dyDescent="0.15">
      <c r="A401" s="23" t="s">
        <v>114</v>
      </c>
      <c r="B401" s="28" t="s">
        <v>51</v>
      </c>
      <c r="C401" s="25">
        <v>11966850</v>
      </c>
      <c r="D401" s="22" t="s">
        <v>993</v>
      </c>
      <c r="E401" s="22" t="s">
        <v>48</v>
      </c>
      <c r="F401" s="23" t="str">
        <f>HYPERLINK("https://www.spark-marketing.ru/Card/Lot/74275998", "Оказание услуги по организации горячего питания")</f>
        <v>Оказание услуги по организации горячего питания</v>
      </c>
      <c r="G401" s="22" t="s">
        <v>51</v>
      </c>
      <c r="H401" s="22" t="s">
        <v>51</v>
      </c>
      <c r="I401" s="26">
        <v>43748.598611111098</v>
      </c>
      <c r="J401" s="28" t="s">
        <v>51</v>
      </c>
      <c r="K401" s="28" t="s">
        <v>51</v>
      </c>
      <c r="L401" s="28" t="s">
        <v>51</v>
      </c>
      <c r="M401" s="28" t="s">
        <v>51</v>
      </c>
      <c r="N401" s="28" t="s">
        <v>51</v>
      </c>
    </row>
    <row r="402" spans="1:14" hidden="1" outlineLevel="1" x14ac:dyDescent="0.15">
      <c r="A402" s="23" t="str">
        <f>HYPERLINK("https://www.spark-marketing.ru/Card/Person/769389", "МАДОУ ЦРР - ДЕТСКИЙ САД № 32 ""РУСАЛОЧКА"" Г. ИШИМБАЯ МР ИШИМБАЙСКИЙ РАЙОН РБ")</f>
        <v>МАДОУ ЦРР - ДЕТСКИЙ САД № 32 "РУСАЛОЧКА" Г. ИШИМБАЯ МР ИШИМБАЙСКИЙ РАЙОН РБ</v>
      </c>
      <c r="B402" s="24" t="s">
        <v>994</v>
      </c>
      <c r="C402" s="25">
        <v>3139710</v>
      </c>
      <c r="D402" s="22" t="s">
        <v>993</v>
      </c>
      <c r="E402" s="22" t="s">
        <v>48</v>
      </c>
      <c r="F402" s="23" t="str">
        <f>HYPERLINK("https://www.spark-marketing.ru/Card/Lot/74275998", "Оказание услуги по организации горячего питания")</f>
        <v>Оказание услуги по организации горячего питания</v>
      </c>
      <c r="G402" s="22" t="s">
        <v>145</v>
      </c>
      <c r="H402" s="22" t="s">
        <v>145</v>
      </c>
      <c r="I402" s="26">
        <v>43748.598611111098</v>
      </c>
      <c r="J402" s="28" t="s">
        <v>51</v>
      </c>
      <c r="K402" s="28" t="s">
        <v>51</v>
      </c>
      <c r="L402" s="28" t="s">
        <v>51</v>
      </c>
      <c r="M402" s="28" t="s">
        <v>51</v>
      </c>
      <c r="N402" s="28" t="s">
        <v>51</v>
      </c>
    </row>
    <row r="403" spans="1:14" hidden="1" outlineLevel="1" x14ac:dyDescent="0.15">
      <c r="A403" s="23" t="str">
        <f>HYPERLINK("https://www.spark-marketing.ru/Card/Person/769437", "МАДОУ ДЕТСКИЙ САД № 25 ""СКАЗКА"" КОМБИНИРОВАННОГО ВИДА Г. ИШИМБАЯ МР ИШИМБАЙСКИЙ РАЙОН РБ")</f>
        <v>МАДОУ ДЕТСКИЙ САД № 25 "СКАЗКА" КОМБИНИРОВАННОГО ВИДА Г. ИШИМБАЯ МР ИШИМБАЙСКИЙ РАЙОН РБ</v>
      </c>
      <c r="B403" s="24" t="s">
        <v>995</v>
      </c>
      <c r="C403" s="25">
        <v>2672040</v>
      </c>
      <c r="D403" s="22" t="s">
        <v>993</v>
      </c>
      <c r="E403" s="22" t="s">
        <v>48</v>
      </c>
      <c r="F403" s="23" t="str">
        <f>HYPERLINK("https://www.spark-marketing.ru/Card/Lot/74275998", "Оказание услуги по организации горячего питания")</f>
        <v>Оказание услуги по организации горячего питания</v>
      </c>
      <c r="G403" s="22" t="s">
        <v>145</v>
      </c>
      <c r="H403" s="22" t="s">
        <v>145</v>
      </c>
      <c r="I403" s="26">
        <v>43748.598611111098</v>
      </c>
      <c r="J403" s="28" t="s">
        <v>51</v>
      </c>
      <c r="K403" s="28" t="s">
        <v>51</v>
      </c>
      <c r="L403" s="28" t="s">
        <v>51</v>
      </c>
      <c r="M403" s="28" t="s">
        <v>51</v>
      </c>
      <c r="N403" s="28" t="s">
        <v>51</v>
      </c>
    </row>
    <row r="404" spans="1:14" hidden="1" outlineLevel="1" x14ac:dyDescent="0.15">
      <c r="A404" s="23" t="str">
        <f>HYPERLINK("https://www.spark-marketing.ru/Card/Person/2255065", "МАДОУ ЦРР - ДЕТСКИЙ САД № 33 ""ЗОЛУШКА"", Г. ИШИМБАЯ МР ИШИМБАЙСКИЙ РАЙОН РБ")</f>
        <v>МАДОУ ЦРР - ДЕТСКИЙ САД № 33 "ЗОЛУШКА", Г. ИШИМБАЯ МР ИШИМБАЙСКИЙ РАЙОН РБ</v>
      </c>
      <c r="B404" s="24" t="s">
        <v>996</v>
      </c>
      <c r="C404" s="25">
        <v>2446920</v>
      </c>
      <c r="D404" s="22" t="s">
        <v>993</v>
      </c>
      <c r="E404" s="22" t="s">
        <v>48</v>
      </c>
      <c r="F404" s="23" t="str">
        <f>HYPERLINK("https://www.spark-marketing.ru/Card/Lot/74275998", "Оказание услуги по организации горячего питания")</f>
        <v>Оказание услуги по организации горячего питания</v>
      </c>
      <c r="G404" s="22" t="s">
        <v>145</v>
      </c>
      <c r="H404" s="22" t="s">
        <v>145</v>
      </c>
      <c r="I404" s="26">
        <v>43748.598611111098</v>
      </c>
      <c r="J404" s="28" t="s">
        <v>51</v>
      </c>
      <c r="K404" s="28" t="s">
        <v>51</v>
      </c>
      <c r="L404" s="28" t="s">
        <v>51</v>
      </c>
      <c r="M404" s="28" t="s">
        <v>51</v>
      </c>
      <c r="N404" s="28" t="s">
        <v>51</v>
      </c>
    </row>
    <row r="405" spans="1:14" hidden="1" outlineLevel="1" x14ac:dyDescent="0.15">
      <c r="A405" s="23" t="str">
        <f>HYPERLINK("https://www.spark-marketing.ru/Card/Person/2468127", "МАДОУ ДЕТСКИЙ САД №26 ""РЯБИНКА"" КОМБИНИРОВАННОГО ВИДА Г. ИШИМБАЯ МР ИШИМБАЙСКИЙ РАЙОН РБ")</f>
        <v>МАДОУ ДЕТСКИЙ САД №26 "РЯБИНКА" КОМБИНИРОВАННОГО ВИДА Г. ИШИМБАЯ МР ИШИМБАЙСКИЙ РАЙОН РБ</v>
      </c>
      <c r="B405" s="24" t="s">
        <v>997</v>
      </c>
      <c r="C405" s="25">
        <v>3708180</v>
      </c>
      <c r="D405" s="22" t="s">
        <v>993</v>
      </c>
      <c r="E405" s="22" t="s">
        <v>48</v>
      </c>
      <c r="F405" s="23" t="str">
        <f>HYPERLINK("https://www.spark-marketing.ru/Card/Lot/74275998", "Оказание услуги по организации горячего питания")</f>
        <v>Оказание услуги по организации горячего питания</v>
      </c>
      <c r="G405" s="22" t="s">
        <v>145</v>
      </c>
      <c r="H405" s="22" t="s">
        <v>145</v>
      </c>
      <c r="I405" s="26">
        <v>43748.598611111098</v>
      </c>
      <c r="J405" s="28" t="s">
        <v>51</v>
      </c>
      <c r="K405" s="28" t="s">
        <v>51</v>
      </c>
      <c r="L405" s="28" t="s">
        <v>51</v>
      </c>
      <c r="M405" s="28" t="s">
        <v>51</v>
      </c>
      <c r="N405" s="28" t="s">
        <v>51</v>
      </c>
    </row>
    <row r="406" spans="1:14" x14ac:dyDescent="0.15">
      <c r="A406" s="23" t="str">
        <f>HYPERLINK("https://www.spark-marketing.ru/Card/Person/151015", "СРЦДН Г. ГЛАЗОВА «СЕМЬЯ»")</f>
        <v>СРЦДН Г. ГЛАЗОВА «СЕМЬЯ»</v>
      </c>
      <c r="B406" s="24" t="s">
        <v>990</v>
      </c>
      <c r="C406" s="25">
        <v>366600</v>
      </c>
      <c r="D406" s="22" t="s">
        <v>998</v>
      </c>
      <c r="E406" s="22" t="s">
        <v>48</v>
      </c>
      <c r="F406" s="23" t="str">
        <f>HYPERLINK("https://www.spark-marketing.ru/Card/Lot/74271963", "№ зз-33281-19 Оказание услуг по организации питания несовершеннолетних")</f>
        <v>№ зз-33281-19 Оказание услуг по организации питания несовершеннолетних</v>
      </c>
      <c r="G406" s="22" t="s">
        <v>852</v>
      </c>
      <c r="H406" s="22" t="s">
        <v>992</v>
      </c>
      <c r="I406" s="26">
        <v>43748.587500000001</v>
      </c>
      <c r="J406" s="28" t="s">
        <v>51</v>
      </c>
      <c r="K406" s="28" t="s">
        <v>51</v>
      </c>
      <c r="L406" s="28" t="s">
        <v>51</v>
      </c>
      <c r="M406" s="28" t="s">
        <v>51</v>
      </c>
      <c r="N406" s="28" t="s">
        <v>51</v>
      </c>
    </row>
    <row r="407" spans="1:14" x14ac:dyDescent="0.15">
      <c r="A407" s="23" t="str">
        <f>HYPERLINK("https://www.spark-marketing.ru/Card/Person/21342", "ЛОГБУЗ ""ДКБ""")</f>
        <v>ЛОГБУЗ "ДКБ"</v>
      </c>
      <c r="B407" s="24" t="s">
        <v>999</v>
      </c>
      <c r="C407" s="25">
        <v>132408</v>
      </c>
      <c r="D407" s="22" t="s">
        <v>1000</v>
      </c>
      <c r="E407" s="22" t="s">
        <v>355</v>
      </c>
      <c r="F407" s="23" t="str">
        <f>HYPERLINK("https://www.spark-marketing.ru/Card/Lot/74269902", "Оказание услуг по техническому обслуживанию и ремонту источников бесперебойного питания и преобразователей для нужд ЛОГБУЗ ""ДКБ""")</f>
        <v>Оказание услуг по техническому обслуживанию и ремонту источников бесперебойного питания и преобразователей для нужд ЛОГБУЗ "ДКБ"</v>
      </c>
      <c r="G407" s="22" t="s">
        <v>117</v>
      </c>
      <c r="H407" s="22" t="s">
        <v>117</v>
      </c>
      <c r="I407" s="26">
        <v>43748.619606481501</v>
      </c>
      <c r="J407" s="28" t="s">
        <v>51</v>
      </c>
      <c r="K407" s="28" t="s">
        <v>51</v>
      </c>
      <c r="L407" s="28" t="s">
        <v>51</v>
      </c>
      <c r="M407" s="28" t="s">
        <v>51</v>
      </c>
      <c r="N407" s="28" t="s">
        <v>51</v>
      </c>
    </row>
    <row r="408" spans="1:14" x14ac:dyDescent="0.15">
      <c r="A408" s="23" t="str">
        <f>HYPERLINK("https://www.spark-marketing.ru/Card/Person/50467", "ГБУЗ МО ""ПДГБ""")</f>
        <v>ГБУЗ МО "ПДГБ"</v>
      </c>
      <c r="B408" s="24" t="s">
        <v>1001</v>
      </c>
      <c r="C408" s="25">
        <v>2992888.53</v>
      </c>
      <c r="D408" s="22" t="s">
        <v>1002</v>
      </c>
      <c r="E408" s="22" t="s">
        <v>48</v>
      </c>
      <c r="F408" s="23" t="str">
        <f>HYPERLINK("https://www.spark-marketing.ru/Card/Lot/74275624", "Оказание услуг по организации и доставке лечебного питания в 4-ом квартале для пациентов, находящихся на лечении в стационаре")</f>
        <v>Оказание услуг по организации и доставке лечебного питания в 4-ом квартале для пациентов, находящихся на лечении в стационаре</v>
      </c>
      <c r="G408" s="22" t="s">
        <v>49</v>
      </c>
      <c r="H408" s="22" t="s">
        <v>50</v>
      </c>
      <c r="I408" s="26">
        <v>43748.604166666701</v>
      </c>
      <c r="J408" s="28" t="s">
        <v>51</v>
      </c>
      <c r="K408" s="28" t="s">
        <v>51</v>
      </c>
      <c r="L408" s="28" t="s">
        <v>51</v>
      </c>
      <c r="M408" s="28" t="s">
        <v>51</v>
      </c>
      <c r="N408" s="28" t="s">
        <v>51</v>
      </c>
    </row>
    <row r="409" spans="1:14" x14ac:dyDescent="0.15">
      <c r="A409" s="23" t="str">
        <f>HYPERLINK("https://www.spark-marketing.ru/Card/Person/1049113", "МБОУ ПОГАРСКАЯ СОШ №1")</f>
        <v>МБОУ ПОГАРСКАЯ СОШ №1</v>
      </c>
      <c r="B409" s="24" t="s">
        <v>1003</v>
      </c>
      <c r="C409" s="25">
        <v>496660</v>
      </c>
      <c r="D409" s="22" t="s">
        <v>1004</v>
      </c>
      <c r="E409" s="22" t="s">
        <v>48</v>
      </c>
      <c r="F409" s="23" t="str">
        <f>HYPERLINK("https://www.spark-marketing.ru/Card/Lot/74273945", "Оказание услуг по организации питания учащихся в муниципальном бюджетном общеобразовательном учреждении МБОУ Погарская СОШ №1")</f>
        <v>Оказание услуг по организации питания учащихся в муниципальном бюджетном общеобразовательном учреждении МБОУ Погарская СОШ №1</v>
      </c>
      <c r="G409" s="22" t="s">
        <v>475</v>
      </c>
      <c r="H409" s="22" t="s">
        <v>1005</v>
      </c>
      <c r="I409" s="26">
        <v>43748.589976851901</v>
      </c>
      <c r="J409" s="28" t="s">
        <v>51</v>
      </c>
      <c r="K409" s="28" t="s">
        <v>51</v>
      </c>
      <c r="L409" s="28" t="s">
        <v>51</v>
      </c>
      <c r="M409" s="28" t="s">
        <v>51</v>
      </c>
      <c r="N409" s="28" t="s">
        <v>51</v>
      </c>
    </row>
    <row r="410" spans="1:14" x14ac:dyDescent="0.15">
      <c r="A410" s="23" t="str">
        <f>HYPERLINK("https://www.spark-marketing.ru/Card/Person/60405", "ГБУЗ ""ЦЕНТР ПАЛЛИАТИВНОЙ ПОМОЩИ ДЗМ""")</f>
        <v>ГБУЗ "ЦЕНТР ПАЛЛИАТИВНОЙ ПОМОЩИ ДЗМ"</v>
      </c>
      <c r="B410" s="24" t="s">
        <v>1006</v>
      </c>
      <c r="C410" s="25">
        <v>1632206.34</v>
      </c>
      <c r="D410" s="22" t="s">
        <v>1007</v>
      </c>
      <c r="E410" s="22" t="s">
        <v>756</v>
      </c>
      <c r="F410" s="23" t="str">
        <f>HYPERLINK("https://www.spark-marketing.ru/Card/Lot/74275004", "Аукцион в электронной форме на право заключения контракта на оказание услуг по техническому обслуживанию (содержанию) систем пожарной сигнализации, оповещения и управления эвакуацией в ГБУЗ ""Центр паллиативной помощи ДЗМ"" в 2020-2021 гг.")</f>
        <v>Аукцион в электронной форме на право заключения контракта на оказание услуг по техническому обслуживанию (содержанию) систем пожарной сигнализации, оповещения и управления эвакуацией в ГБУЗ "Центр паллиативной помощи ДЗМ" в 2020-2021 гг.</v>
      </c>
      <c r="G410" s="22" t="s">
        <v>56</v>
      </c>
      <c r="H410" s="22" t="s">
        <v>56</v>
      </c>
      <c r="I410" s="26">
        <v>43748.619444444397</v>
      </c>
      <c r="J410" s="28" t="s">
        <v>51</v>
      </c>
      <c r="K410" s="28" t="s">
        <v>51</v>
      </c>
      <c r="L410" s="28" t="s">
        <v>51</v>
      </c>
      <c r="M410" s="28" t="s">
        <v>51</v>
      </c>
      <c r="N410" s="28" t="s">
        <v>51</v>
      </c>
    </row>
    <row r="411" spans="1:14" x14ac:dyDescent="0.15">
      <c r="A411" s="23" t="str">
        <f>HYPERLINK("https://www.spark-marketing.ru/Card/Person/152397", "МБДОУ ""ДЕТСКИЙ САД № 24""")</f>
        <v>МБДОУ "ДЕТСКИЙ САД № 24"</v>
      </c>
      <c r="B411" s="24" t="s">
        <v>1008</v>
      </c>
      <c r="C411" s="25">
        <v>11198952</v>
      </c>
      <c r="D411" s="22" t="s">
        <v>1009</v>
      </c>
      <c r="E411" s="22" t="s">
        <v>48</v>
      </c>
      <c r="F411" s="23" t="str">
        <f>HYPERLINK("https://www.spark-marketing.ru/Card/Lot/74276193", "на оказание услуг по организации горячего питания в МБДОУ№24")</f>
        <v>на оказание услуг по организации горячего питания в МБДОУ№24</v>
      </c>
      <c r="G411" s="22" t="s">
        <v>49</v>
      </c>
      <c r="H411" s="22" t="s">
        <v>301</v>
      </c>
      <c r="I411" s="26">
        <v>43748.597523148099</v>
      </c>
      <c r="J411" s="28" t="s">
        <v>51</v>
      </c>
      <c r="K411" s="28" t="s">
        <v>51</v>
      </c>
      <c r="L411" s="28" t="s">
        <v>51</v>
      </c>
      <c r="M411" s="28" t="s">
        <v>51</v>
      </c>
      <c r="N411" s="28" t="s">
        <v>51</v>
      </c>
    </row>
    <row r="412" spans="1:14" x14ac:dyDescent="0.15">
      <c r="A412" s="23" t="str">
        <f>HYPERLINK("https://www.spark-marketing.ru/Card/Person/1069565", "ОМВД РОССИИ ПО АЛЕКСАНДРОВСКОМУ РАЙОНУ")</f>
        <v>ОМВД РОССИИ ПО АЛЕКСАНДРОВСКОМУ РАЙОНУ</v>
      </c>
      <c r="B412" s="24" t="s">
        <v>1010</v>
      </c>
      <c r="C412" s="25">
        <v>366104.31</v>
      </c>
      <c r="D412" s="22" t="s">
        <v>1011</v>
      </c>
      <c r="E412" s="22" t="s">
        <v>48</v>
      </c>
      <c r="F412" s="23" t="str">
        <f>HYPERLINK("https://www.spark-marketing.ru/Card/Lot/74272065", "Услуги по обеспечению питания лиц, содержащихся в ИВС")</f>
        <v>Услуги по обеспечению питания лиц, содержащихся в ИВС</v>
      </c>
      <c r="G412" s="22" t="s">
        <v>663</v>
      </c>
      <c r="H412" s="22" t="s">
        <v>663</v>
      </c>
      <c r="I412" s="26">
        <v>43748.564583333296</v>
      </c>
      <c r="J412" s="28" t="s">
        <v>51</v>
      </c>
      <c r="K412" s="28" t="s">
        <v>51</v>
      </c>
      <c r="L412" s="28" t="s">
        <v>51</v>
      </c>
      <c r="M412" s="28" t="s">
        <v>51</v>
      </c>
      <c r="N412" s="28" t="s">
        <v>51</v>
      </c>
    </row>
    <row r="413" spans="1:14" x14ac:dyDescent="0.15">
      <c r="A413" s="23" t="str">
        <f>HYPERLINK("https://www.spark-marketing.ru/Card/Person/147284", "МБДОУ № 2 ""СКАЗКА""")</f>
        <v>МБДОУ № 2 "СКАЗКА"</v>
      </c>
      <c r="B413" s="24" t="s">
        <v>1012</v>
      </c>
      <c r="C413" s="25">
        <v>42632</v>
      </c>
      <c r="D413" s="22" t="s">
        <v>1013</v>
      </c>
      <c r="E413" s="22" t="s">
        <v>1014</v>
      </c>
      <c r="F413" s="23" t="str">
        <f>HYPERLINK("https://www.spark-marketing.ru/Card/Lot/74261121", "Услуги по поставки периодических подписных изданий на 2020 год (журналы).")</f>
        <v>Услуги по поставки периодических подписных изданий на 2020 год (журналы).</v>
      </c>
      <c r="G413" s="22" t="s">
        <v>49</v>
      </c>
      <c r="H413" s="22" t="s">
        <v>1015</v>
      </c>
      <c r="I413" s="26">
        <v>43748.565416666701</v>
      </c>
      <c r="J413" s="28" t="s">
        <v>51</v>
      </c>
      <c r="K413" s="28" t="s">
        <v>51</v>
      </c>
      <c r="L413" s="28" t="s">
        <v>51</v>
      </c>
      <c r="M413" s="28" t="s">
        <v>51</v>
      </c>
      <c r="N413" s="28" t="s">
        <v>51</v>
      </c>
    </row>
    <row r="414" spans="1:14" x14ac:dyDescent="0.15">
      <c r="A414" s="23" t="str">
        <f>HYPERLINK("https://www.spark-marketing.ru/Card/Person/10954", "УПРАВЛЕНИЕ СПЕЦИАЛЬНОЙ СВЯЗИ И ИНФОРМАЦИИ ФЕДЕРАЛЬНОЙ СЛУЖБЫ ОХРАНЫ РОССИЙСКОЙ ФЕДЕРАЦИИ В УРАЛЬСКОМ ФЕДЕРАЛЬНОМ ОКРУГЕ")</f>
        <v>УПРАВЛЕНИЕ СПЕЦИАЛЬНОЙ СВЯЗИ И ИНФОРМАЦИИ ФЕДЕРАЛЬНОЙ СЛУЖБЫ ОХРАНЫ РОССИЙСКОЙ ФЕДЕРАЦИИ В УРАЛЬСКОМ ФЕДЕРАЛЬНОМ ОКРУГЕ</v>
      </c>
      <c r="B414" s="24" t="s">
        <v>1016</v>
      </c>
      <c r="C414" s="25">
        <v>136791.59</v>
      </c>
      <c r="D414" s="22" t="s">
        <v>1017</v>
      </c>
      <c r="E414" s="22" t="s">
        <v>1018</v>
      </c>
      <c r="F414" s="23" t="str">
        <f>HYPERLINK("https://www.spark-marketing.ru/Card/Lot/74260344", "Оказание услуг по проведению специальной проверки и специальных исследований методом ВЧО технических средств и комплектующих к ним")</f>
        <v>Оказание услуг по проведению специальной проверки и специальных исследований методом ВЧО технических средств и комплектующих к ним</v>
      </c>
      <c r="G414" s="22" t="s">
        <v>174</v>
      </c>
      <c r="H414" s="22" t="s">
        <v>174</v>
      </c>
      <c r="I414" s="26">
        <v>43748.440277777801</v>
      </c>
      <c r="J414" s="28" t="s">
        <v>51</v>
      </c>
      <c r="K414" s="28" t="s">
        <v>51</v>
      </c>
      <c r="L414" s="28" t="s">
        <v>51</v>
      </c>
      <c r="M414" s="28" t="s">
        <v>51</v>
      </c>
      <c r="N414" s="28" t="s">
        <v>51</v>
      </c>
    </row>
    <row r="415" spans="1:14" x14ac:dyDescent="0.15">
      <c r="A415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415" s="24" t="s">
        <v>1019</v>
      </c>
      <c r="C415" s="25">
        <v>812700</v>
      </c>
      <c r="D415" s="22" t="s">
        <v>1020</v>
      </c>
      <c r="E415" s="22" t="s">
        <v>48</v>
      </c>
      <c r="F415" s="23" t="str">
        <f>HYPERLINK("https://www.spark-marketing.ru/Card/Lot/74274209", "Услуги по организации горячего питания для воспитанников ГБОУ РШИ ""Тувинский кадетский корпус""")</f>
        <v>Услуги по организации горячего питания для воспитанников ГБОУ РШИ "Тувинский кадетский корпус"</v>
      </c>
      <c r="G415" s="22" t="s">
        <v>327</v>
      </c>
      <c r="H415" s="22" t="s">
        <v>328</v>
      </c>
      <c r="I415" s="26">
        <v>43748.53125</v>
      </c>
      <c r="J415" s="28" t="s">
        <v>51</v>
      </c>
      <c r="K415" s="28" t="s">
        <v>51</v>
      </c>
      <c r="L415" s="28" t="s">
        <v>51</v>
      </c>
      <c r="M415" s="28" t="s">
        <v>51</v>
      </c>
      <c r="N415" s="28" t="s">
        <v>51</v>
      </c>
    </row>
    <row r="416" spans="1:14" x14ac:dyDescent="0.15">
      <c r="A416" s="23" t="str">
        <f>HYPERLINK("https://www.spark-marketing.ru/Card/Person/4346188", "МОУ ""ЛИЦЕЙ №5""")</f>
        <v>МОУ "ЛИЦЕЙ №5"</v>
      </c>
      <c r="B416" s="24" t="s">
        <v>1021</v>
      </c>
      <c r="C416" s="25">
        <v>599697</v>
      </c>
      <c r="D416" s="22" t="s">
        <v>1022</v>
      </c>
      <c r="E416" s="22" t="s">
        <v>48</v>
      </c>
      <c r="F416" s="23" t="str">
        <f>HYPERLINK("https://www.spark-marketing.ru/Card/Lot/74259437", "Оказание услуг по организации питания для учащихся образовательной организации")</f>
        <v>Оказание услуг по организации питания для учащихся образовательной организации</v>
      </c>
      <c r="G416" s="22" t="s">
        <v>49</v>
      </c>
      <c r="H416" s="22" t="s">
        <v>50</v>
      </c>
      <c r="I416" s="26">
        <v>43748.524953703702</v>
      </c>
      <c r="J416" s="28" t="s">
        <v>51</v>
      </c>
      <c r="K416" s="28" t="s">
        <v>51</v>
      </c>
      <c r="L416" s="28" t="s">
        <v>51</v>
      </c>
      <c r="M416" s="28" t="s">
        <v>51</v>
      </c>
      <c r="N416" s="28" t="s">
        <v>51</v>
      </c>
    </row>
    <row r="417" spans="1:14" x14ac:dyDescent="0.15">
      <c r="A417" s="23" t="str">
        <f>HYPERLINK("https://www.spark-marketing.ru/Card/Person/1034285", "МОУДО ""ЦДОД""")</f>
        <v>МОУДО "ЦДОД"</v>
      </c>
      <c r="B417" s="24" t="s">
        <v>1023</v>
      </c>
      <c r="C417" s="25">
        <v>208050</v>
      </c>
      <c r="D417" s="22" t="s">
        <v>1024</v>
      </c>
      <c r="E417" s="22" t="s">
        <v>48</v>
      </c>
      <c r="F417" s="23" t="str">
        <f>HYPERLINK("https://www.spark-marketing.ru/Card/Lot/74255963", "Оказание услуг по организации питания  детей в лагере с дневным пребыванием в соответствии с техническим заданием Заказчика")</f>
        <v>Оказание услуг по организации питания  детей в лагере с дневным пребыванием в соответствии с техническим заданием Заказчика</v>
      </c>
      <c r="G417" s="22" t="s">
        <v>149</v>
      </c>
      <c r="H417" s="22" t="s">
        <v>1025</v>
      </c>
      <c r="I417" s="26">
        <v>43748.400694444397</v>
      </c>
      <c r="J417" s="28" t="s">
        <v>51</v>
      </c>
      <c r="K417" s="28" t="s">
        <v>51</v>
      </c>
      <c r="L417" s="28" t="s">
        <v>51</v>
      </c>
      <c r="M417" s="28" t="s">
        <v>51</v>
      </c>
      <c r="N417" s="28" t="s">
        <v>51</v>
      </c>
    </row>
    <row r="418" spans="1:14" x14ac:dyDescent="0.15">
      <c r="A418" s="23" t="str">
        <f>HYPERLINK("https://www.spark-marketing.ru/Card/Person/82830", "ГКУЗ ДОМ РЕБЕНКА")</f>
        <v>ГКУЗ ДОМ РЕБЕНКА</v>
      </c>
      <c r="B418" s="24" t="s">
        <v>1026</v>
      </c>
      <c r="C418" s="25">
        <v>184715</v>
      </c>
      <c r="D418" s="22" t="s">
        <v>1027</v>
      </c>
      <c r="E418" s="22" t="s">
        <v>152</v>
      </c>
      <c r="F418" s="23" t="str">
        <f>HYPERLINK("https://www.spark-marketing.ru/Card/Lot/74257415", "Оказание услуг по техническому обслуживанию и ремонту источника бесперебойного питания")</f>
        <v>Оказание услуг по техническому обслуживанию и ремонту источника бесперебойного питания</v>
      </c>
      <c r="G418" s="22" t="s">
        <v>766</v>
      </c>
      <c r="H418" s="22" t="s">
        <v>1028</v>
      </c>
      <c r="I418" s="26">
        <v>43748.4597222222</v>
      </c>
      <c r="J418" s="28" t="s">
        <v>51</v>
      </c>
      <c r="K418" s="28" t="s">
        <v>51</v>
      </c>
      <c r="L418" s="28" t="s">
        <v>51</v>
      </c>
      <c r="M418" s="28" t="s">
        <v>51</v>
      </c>
      <c r="N418" s="28" t="s">
        <v>51</v>
      </c>
    </row>
    <row r="419" spans="1:14" x14ac:dyDescent="0.15">
      <c r="A419" s="23" t="str">
        <f>HYPERLINK("https://www.spark-marketing.ru/Card/Person/74446", "ГБУЗ КО ""КО ЦМП""")</f>
        <v>ГБУЗ КО "КО ЦМП"</v>
      </c>
      <c r="B419" s="24" t="s">
        <v>386</v>
      </c>
      <c r="C419" s="25">
        <v>1860758.62</v>
      </c>
      <c r="D419" s="22" t="s">
        <v>1029</v>
      </c>
      <c r="E419" s="22" t="s">
        <v>388</v>
      </c>
      <c r="F419" s="23" t="str">
        <f>HYPERLINK("https://www.spark-marketing.ru/Card/Lot/74275106", "Оказание услуг по размещению материалов по здоровому образу жизни, включая здоровое питание и отказ от вредных привычек в эфире радиостанций")</f>
        <v>Оказание услуг по размещению материалов по здоровому образу жизни, включая здоровое питание и отказ от вредных привычек в эфире радиостанций</v>
      </c>
      <c r="G419" s="22" t="s">
        <v>112</v>
      </c>
      <c r="H419" s="22" t="s">
        <v>389</v>
      </c>
      <c r="I419" s="26">
        <v>43748.480555555601</v>
      </c>
      <c r="J419" s="28" t="s">
        <v>51</v>
      </c>
      <c r="K419" s="28" t="s">
        <v>51</v>
      </c>
      <c r="L419" s="28" t="s">
        <v>51</v>
      </c>
      <c r="M419" s="28" t="s">
        <v>51</v>
      </c>
      <c r="N419" s="28" t="s">
        <v>51</v>
      </c>
    </row>
    <row r="420" spans="1:14" x14ac:dyDescent="0.15">
      <c r="A420" s="23" t="str">
        <f>HYPERLINK("https://www.spark-marketing.ru/Card/Person/63857", "ЗЕЛЕНОГРАДСКАЯ ЦРБ")</f>
        <v>ЗЕЛЕНОГРАДСКАЯ ЦРБ</v>
      </c>
      <c r="B420" s="24" t="s">
        <v>1030</v>
      </c>
      <c r="C420" s="25">
        <v>8679750</v>
      </c>
      <c r="D420" s="22" t="s">
        <v>1031</v>
      </c>
      <c r="E420" s="22" t="s">
        <v>48</v>
      </c>
      <c r="F420" s="23" t="str">
        <f>HYPERLINK("https://www.spark-marketing.ru/Card/Lot/74275808", "Оказание услуг по организации питания пациентов")</f>
        <v>Оказание услуг по организации питания пациентов</v>
      </c>
      <c r="G420" s="22" t="s">
        <v>400</v>
      </c>
      <c r="H420" s="22" t="s">
        <v>1032</v>
      </c>
      <c r="I420" s="26">
        <v>43748.454965277801</v>
      </c>
      <c r="J420" s="28" t="s">
        <v>51</v>
      </c>
      <c r="K420" s="28" t="s">
        <v>51</v>
      </c>
      <c r="L420" s="28" t="s">
        <v>51</v>
      </c>
      <c r="M420" s="28" t="s">
        <v>51</v>
      </c>
      <c r="N420" s="28" t="s">
        <v>51</v>
      </c>
    </row>
    <row r="421" spans="1:14" x14ac:dyDescent="0.15">
      <c r="A421" s="23" t="str">
        <f>HYPERLINK("https://www.spark-marketing.ru/Card/Person/1719126", "ООО ""СЛАВНЕФТЬ-КРАСНОЯРСКНЕФТЕГАЗ""")</f>
        <v>ООО "СЛАВНЕФТЬ-КРАСНОЯРСКНЕФТЕГАЗ"</v>
      </c>
      <c r="B421" s="24" t="s">
        <v>1033</v>
      </c>
      <c r="C421" s="28" t="s">
        <v>51</v>
      </c>
      <c r="D421" s="22" t="s">
        <v>1034</v>
      </c>
      <c r="E421" s="22" t="s">
        <v>1035</v>
      </c>
      <c r="F421" s="23" t="str">
        <f>HYPERLINK("https://www.spark-marketing.ru/Card/Lot/74257039", "Услуги проживания, питания, стирки/химчистки, КСО на Куюмбинском лицензионном участке")</f>
        <v>Услуги проживания, питания, стирки/химчистки, КСО на Куюмбинском лицензионном участке</v>
      </c>
      <c r="G421" s="22" t="s">
        <v>281</v>
      </c>
      <c r="H421" s="22" t="s">
        <v>1036</v>
      </c>
      <c r="I421" s="26">
        <v>43748.469444444403</v>
      </c>
      <c r="J421" s="28" t="s">
        <v>51</v>
      </c>
      <c r="K421" s="28" t="s">
        <v>51</v>
      </c>
      <c r="L421" s="28" t="s">
        <v>51</v>
      </c>
      <c r="M421" s="28" t="s">
        <v>51</v>
      </c>
      <c r="N421" s="28" t="s">
        <v>51</v>
      </c>
    </row>
    <row r="422" spans="1:14" x14ac:dyDescent="0.15">
      <c r="A422" s="23" t="str">
        <f>HYPERLINK("https://www.spark-marketing.ru/Card/Person/1058995", "МБОУ ""ТОГУРСКАЯ СОШ""")</f>
        <v>МБОУ "ТОГУРСКАЯ СОШ"</v>
      </c>
      <c r="B422" s="24" t="s">
        <v>147</v>
      </c>
      <c r="C422" s="25">
        <v>500000</v>
      </c>
      <c r="D422" s="22" t="s">
        <v>1037</v>
      </c>
      <c r="E422" s="22" t="s">
        <v>48</v>
      </c>
      <c r="F422" s="23" t="str">
        <f>HYPERLINK("https://www.spark-marketing.ru/Card/Lot/74273990", "Услуги по организации питания в школьной столовой обучающихся детей льготных категорий в МБОУ ""Тогурская СОШ""")</f>
        <v>Услуги по организации питания в школьной столовой обучающихся детей льготных категорий в МБОУ "Тогурская СОШ"</v>
      </c>
      <c r="G422" s="22" t="s">
        <v>149</v>
      </c>
      <c r="H422" s="22" t="s">
        <v>149</v>
      </c>
      <c r="I422" s="26">
        <v>43748.652083333298</v>
      </c>
      <c r="J422" s="28" t="s">
        <v>51</v>
      </c>
      <c r="K422" s="28" t="s">
        <v>51</v>
      </c>
      <c r="L422" s="28" t="s">
        <v>51</v>
      </c>
      <c r="M422" s="28" t="s">
        <v>51</v>
      </c>
      <c r="N422" s="28" t="s">
        <v>51</v>
      </c>
    </row>
    <row r="423" spans="1:14" x14ac:dyDescent="0.15">
      <c r="A423" s="23" t="str">
        <f>HYPERLINK("https://www.spark-marketing.ru/Card/Person/121861", "ГБУ ВО ""ОМЦ""")</f>
        <v>ГБУ ВО "ОМЦ"</v>
      </c>
      <c r="B423" s="24" t="s">
        <v>79</v>
      </c>
      <c r="C423" s="25">
        <v>20000</v>
      </c>
      <c r="D423" s="22" t="s">
        <v>1038</v>
      </c>
      <c r="E423" s="22" t="s">
        <v>48</v>
      </c>
      <c r="F423" s="23" t="str">
        <f>HYPERLINK("https://www.spark-marketing.ru/Card/Lot/74266291", "Оказание услуг по организации питания для мероприятий")</f>
        <v>Оказание услуг по организации питания для мероприятий</v>
      </c>
      <c r="G423" s="22" t="s">
        <v>82</v>
      </c>
      <c r="H423" s="22" t="s">
        <v>83</v>
      </c>
      <c r="I423" s="26">
        <v>43748.468055555597</v>
      </c>
      <c r="J423" s="28" t="s">
        <v>51</v>
      </c>
      <c r="K423" s="28" t="s">
        <v>51</v>
      </c>
      <c r="L423" s="28" t="s">
        <v>51</v>
      </c>
      <c r="M423" s="28" t="s">
        <v>51</v>
      </c>
      <c r="N423" s="28" t="s">
        <v>51</v>
      </c>
    </row>
    <row r="424" spans="1:14" x14ac:dyDescent="0.15">
      <c r="A424" s="23" t="str">
        <f>HYPERLINK("https://www.spark-marketing.ru/Card/Person/121861", "ГБУ ВО ""ОМЦ""")</f>
        <v>ГБУ ВО "ОМЦ"</v>
      </c>
      <c r="B424" s="24" t="s">
        <v>79</v>
      </c>
      <c r="C424" s="25">
        <v>64750</v>
      </c>
      <c r="D424" s="22" t="s">
        <v>1039</v>
      </c>
      <c r="E424" s="22" t="s">
        <v>48</v>
      </c>
      <c r="F424" s="23" t="str">
        <f>HYPERLINK("https://www.spark-marketing.ru/Card/Lot/74268208", "Оказание услуг по организации питания для мероприятий")</f>
        <v>Оказание услуг по организации питания для мероприятий</v>
      </c>
      <c r="G424" s="22" t="s">
        <v>82</v>
      </c>
      <c r="H424" s="22" t="s">
        <v>83</v>
      </c>
      <c r="I424" s="26">
        <v>43748.466666666704</v>
      </c>
      <c r="J424" s="28" t="s">
        <v>51</v>
      </c>
      <c r="K424" s="28" t="s">
        <v>51</v>
      </c>
      <c r="L424" s="28" t="s">
        <v>51</v>
      </c>
      <c r="M424" s="28" t="s">
        <v>51</v>
      </c>
      <c r="N424" s="28" t="s">
        <v>51</v>
      </c>
    </row>
    <row r="425" spans="1:14" x14ac:dyDescent="0.15">
      <c r="A425" s="23" t="str">
        <f>HYPERLINK("https://www.spark-marketing.ru/Card/Person/123716", "МОУ ТЕМПОВСКАЯ ООШ")</f>
        <v>МОУ ТЕМПОВСКАЯ ООШ</v>
      </c>
      <c r="B425" s="24" t="s">
        <v>1040</v>
      </c>
      <c r="C425" s="25">
        <v>135242.79999999999</v>
      </c>
      <c r="D425" s="22" t="s">
        <v>1041</v>
      </c>
      <c r="E425" s="22" t="s">
        <v>48</v>
      </c>
      <c r="F425" s="23" t="str">
        <f>HYPERLINK("https://www.spark-marketing.ru/Card/Lot/74269904", "Оказание услуг по организации горячего питания учащимся МОУ Темповская ООШ в декабре 2019 г")</f>
        <v>Оказание услуг по организации горячего питания учащимся МОУ Темповская ООШ в декабре 2019 г</v>
      </c>
      <c r="G425" s="22" t="s">
        <v>49</v>
      </c>
      <c r="H425" s="22" t="s">
        <v>49</v>
      </c>
      <c r="I425" s="26">
        <v>43748.4866666667</v>
      </c>
      <c r="J425" s="28" t="s">
        <v>51</v>
      </c>
      <c r="K425" s="28" t="s">
        <v>51</v>
      </c>
      <c r="L425" s="28" t="s">
        <v>51</v>
      </c>
      <c r="M425" s="28" t="s">
        <v>51</v>
      </c>
      <c r="N425" s="28" t="s">
        <v>51</v>
      </c>
    </row>
    <row r="426" spans="1:14" x14ac:dyDescent="0.15">
      <c r="A426" s="23" t="str">
        <f>HYPERLINK("https://www.spark-marketing.ru/Card/Person/149202", "МО МВД РОССИИ ""ВЫШНЕВОЛОЦКИЙ""")</f>
        <v>МО МВД РОССИИ "ВЫШНЕВОЛОЦКИЙ"</v>
      </c>
      <c r="B426" s="24" t="s">
        <v>1042</v>
      </c>
      <c r="C426" s="25">
        <v>17130</v>
      </c>
      <c r="D426" s="22" t="s">
        <v>1043</v>
      </c>
      <c r="E426" s="22" t="s">
        <v>48</v>
      </c>
      <c r="F426" s="23" t="str">
        <f>HYPERLINK("https://www.spark-marketing.ru/Card/Lot/74256060", "Оказание услуг по организации питания (приготовлению и доставке) для ИВС, 75 усл. ед")</f>
        <v>Оказание услуг по организации питания (приготовлению и доставке) для ИВС, 75 усл. ед</v>
      </c>
      <c r="G426" s="22" t="s">
        <v>137</v>
      </c>
      <c r="H426" s="22" t="s">
        <v>1044</v>
      </c>
      <c r="I426" s="26">
        <v>43748.473541666703</v>
      </c>
      <c r="J426" s="28" t="s">
        <v>51</v>
      </c>
      <c r="K426" s="28" t="s">
        <v>51</v>
      </c>
      <c r="L426" s="28" t="s">
        <v>51</v>
      </c>
      <c r="M426" s="28" t="s">
        <v>51</v>
      </c>
      <c r="N426" s="28" t="s">
        <v>51</v>
      </c>
    </row>
    <row r="427" spans="1:14" x14ac:dyDescent="0.15">
      <c r="A427" s="23" t="str">
        <f>HYPERLINK("https://www.spark-marketing.ru/Card/Person/261033", "МО МВД РОССИИ ""ПУЧЕЖСКИЙ""")</f>
        <v>МО МВД РОССИИ "ПУЧЕЖСКИЙ"</v>
      </c>
      <c r="B427" s="24" t="s">
        <v>1045</v>
      </c>
      <c r="C427" s="25">
        <v>299950</v>
      </c>
      <c r="D427" s="22" t="s">
        <v>1046</v>
      </c>
      <c r="E427" s="22" t="s">
        <v>96</v>
      </c>
      <c r="F427" s="23" t="str">
        <f>HYPERLINK("https://www.spark-marketing.ru/Card/Lot/74255606", "Оказание услуг по организации питания (приготовлению и доставке), 857 шт")</f>
        <v>Оказание услуг по организации питания (приготовлению и доставке), 857 шт</v>
      </c>
      <c r="G427" s="22" t="s">
        <v>1047</v>
      </c>
      <c r="H427" s="22" t="s">
        <v>1048</v>
      </c>
      <c r="I427" s="26">
        <v>43748.447754629597</v>
      </c>
      <c r="J427" s="28" t="s">
        <v>51</v>
      </c>
      <c r="K427" s="28" t="s">
        <v>51</v>
      </c>
      <c r="L427" s="28" t="s">
        <v>51</v>
      </c>
      <c r="M427" s="28" t="s">
        <v>51</v>
      </c>
      <c r="N427" s="28" t="s">
        <v>51</v>
      </c>
    </row>
    <row r="428" spans="1:14" x14ac:dyDescent="0.15">
      <c r="A428" s="23" t="str">
        <f>HYPERLINK("https://www.spark-marketing.ru/Card/Person/5862006", "ЗАО ГАЗПРОМНЕФТЬ АЭРО")</f>
        <v>ЗАО ГАЗПРОМНЕФТЬ АЭРО</v>
      </c>
      <c r="B428" s="28" t="s">
        <v>51</v>
      </c>
      <c r="C428" s="28" t="s">
        <v>51</v>
      </c>
      <c r="D428" s="22" t="s">
        <v>1049</v>
      </c>
      <c r="E428" s="22" t="s">
        <v>52</v>
      </c>
      <c r="F428" s="23" t="str">
        <f>HYPERLINK("https://www.spark-marketing.ru/Card/Lot/74269058", "Отбор организации, способной оказывать услуги по обеспечению питанием работников ОсОО ""Газпромнефть-Аэро Кыргызстан""")</f>
        <v>Отбор организации, способной оказывать услуги по обеспечению питанием работников ОсОО "Газпромнефть-Аэро Кыргызстан"</v>
      </c>
      <c r="G428" s="22" t="s">
        <v>51</v>
      </c>
      <c r="H428" s="22" t="s">
        <v>51</v>
      </c>
      <c r="I428" s="26">
        <v>43748.416666666701</v>
      </c>
      <c r="J428" s="28" t="s">
        <v>51</v>
      </c>
      <c r="K428" s="28" t="s">
        <v>51</v>
      </c>
      <c r="L428" s="28" t="s">
        <v>51</v>
      </c>
      <c r="M428" s="28" t="s">
        <v>51</v>
      </c>
      <c r="N428" s="28" t="s">
        <v>51</v>
      </c>
    </row>
    <row r="429" spans="1:14" x14ac:dyDescent="0.15">
      <c r="A429" s="23" t="str">
        <f>HYPERLINK("https://www.spark-marketing.ru/Card/Person/28833", "ФКУ ИК-41 ГУФСИН РОССИИ ПО ПРИМОРСКОМУ КРАЮ")</f>
        <v>ФКУ ИК-41 ГУФСИН РОССИИ ПО ПРИМОРСКОМУ КРАЮ</v>
      </c>
      <c r="B429" s="24" t="s">
        <v>1050</v>
      </c>
      <c r="C429" s="25">
        <v>130000</v>
      </c>
      <c r="D429" s="22" t="s">
        <v>1051</v>
      </c>
      <c r="E429" s="22" t="s">
        <v>468</v>
      </c>
      <c r="F429" s="23" t="str">
        <f>HYPERLINK("https://www.spark-marketing.ru/Card/Lot/74260773", "оказание услуг по грузоперевозке продуктов питания")</f>
        <v>оказание услуг по грузоперевозке продуктов питания</v>
      </c>
      <c r="G429" s="22" t="s">
        <v>543</v>
      </c>
      <c r="H429" s="22" t="s">
        <v>1052</v>
      </c>
      <c r="I429" s="26">
        <v>43748.418055555601</v>
      </c>
      <c r="J429" s="28" t="s">
        <v>51</v>
      </c>
      <c r="K429" s="28" t="s">
        <v>51</v>
      </c>
      <c r="L429" s="28" t="s">
        <v>51</v>
      </c>
      <c r="M429" s="28" t="s">
        <v>51</v>
      </c>
      <c r="N429" s="28" t="s">
        <v>51</v>
      </c>
    </row>
    <row r="430" spans="1:14" x14ac:dyDescent="0.15">
      <c r="A430" s="23" t="str">
        <f>HYPERLINK("https://www.spark-marketing.ru/Card/Person/261033", "МО МВД РОССИИ ""ПУЧЕЖСКИЙ""")</f>
        <v>МО МВД РОССИИ "ПУЧЕЖСКИЙ"</v>
      </c>
      <c r="B430" s="24" t="s">
        <v>1045</v>
      </c>
      <c r="C430" s="25">
        <v>299859</v>
      </c>
      <c r="D430" s="22" t="s">
        <v>1053</v>
      </c>
      <c r="E430" s="22" t="s">
        <v>96</v>
      </c>
      <c r="F430" s="23" t="str">
        <f>HYPERLINK("https://www.spark-marketing.ru/Card/Lot/74255271", "оказание услуг по организации питания, 917 шт")</f>
        <v>оказание услуг по организации питания, 917 шт</v>
      </c>
      <c r="G430" s="22" t="s">
        <v>1047</v>
      </c>
      <c r="H430" s="22" t="s">
        <v>1048</v>
      </c>
      <c r="I430" s="26">
        <v>43748.4358796296</v>
      </c>
      <c r="J430" s="28" t="s">
        <v>51</v>
      </c>
      <c r="K430" s="28" t="s">
        <v>51</v>
      </c>
      <c r="L430" s="28" t="s">
        <v>51</v>
      </c>
      <c r="M430" s="28" t="s">
        <v>51</v>
      </c>
      <c r="N430" s="28" t="s">
        <v>51</v>
      </c>
    </row>
    <row r="431" spans="1:14" x14ac:dyDescent="0.15">
      <c r="A431" s="23" t="str">
        <f>HYPERLINK("https://www.spark-marketing.ru/Card/Person/60975", "ЗАКОНОДАТЕЛЬНОЕ СОБРАНИЕ ЯНАО")</f>
        <v>ЗАКОНОДАТЕЛЬНОЕ СОБРАНИЕ ЯНАО</v>
      </c>
      <c r="B431" s="24" t="s">
        <v>1054</v>
      </c>
      <c r="C431" s="25">
        <v>496200</v>
      </c>
      <c r="D431" s="22" t="s">
        <v>1055</v>
      </c>
      <c r="E431" s="22" t="s">
        <v>48</v>
      </c>
      <c r="F431" s="23" t="str">
        <f>HYPERLINK("https://www.spark-marketing.ru/Card/Lot/74256433", "Оказание услуг по организации питания участников мероприятий, проводимых Законодательным Собранием Ямало-Ненецкого автономного округа")</f>
        <v>Оказание услуг по организации питания участников мероприятий, проводимых Законодательным Собранием Ямало-Ненецкого автономного округа</v>
      </c>
      <c r="G431" s="22" t="s">
        <v>1056</v>
      </c>
      <c r="H431" s="22" t="s">
        <v>1057</v>
      </c>
      <c r="I431" s="26">
        <v>43748.316666666702</v>
      </c>
      <c r="J431" s="28" t="s">
        <v>51</v>
      </c>
      <c r="K431" s="28" t="s">
        <v>51</v>
      </c>
      <c r="L431" s="28" t="s">
        <v>51</v>
      </c>
      <c r="M431" s="28" t="s">
        <v>51</v>
      </c>
      <c r="N431" s="28" t="s">
        <v>51</v>
      </c>
    </row>
    <row r="432" spans="1:14" x14ac:dyDescent="0.15">
      <c r="A432" s="23" t="str">
        <f>HYPERLINK("https://www.spark-marketing.ru/Card/Person/5898180", "ООО РН СЕРВИС")</f>
        <v>ООО РН СЕРВИС</v>
      </c>
      <c r="B432" s="28" t="s">
        <v>51</v>
      </c>
      <c r="C432" s="28" t="s">
        <v>51</v>
      </c>
      <c r="D432" s="22" t="s">
        <v>1058</v>
      </c>
      <c r="E432" s="22" t="s">
        <v>362</v>
      </c>
      <c r="F432" s="23" t="str">
        <f>HYPERLINK("https://www.spark-marketing.ru/Card/Lot/74255189", "На оказание услуг по организации горячего питания на месторождениях имени Р. Требса и А. Титова для работников филиала ООО «РН-Сервис» в г. Усинск в 2019-2020 году.")</f>
        <v>На оказание услуг по организации горячего питания на месторождениях имени Р. Требса и А. Титова для работников филиала ООО «РН-Сервис» в г. Усинск в 2019-2020 году.</v>
      </c>
      <c r="G432" s="22" t="s">
        <v>51</v>
      </c>
      <c r="H432" s="22" t="s">
        <v>51</v>
      </c>
      <c r="I432" s="26">
        <v>43748.390277777798</v>
      </c>
      <c r="J432" s="28" t="s">
        <v>51</v>
      </c>
      <c r="K432" s="28" t="s">
        <v>51</v>
      </c>
      <c r="L432" s="28" t="s">
        <v>51</v>
      </c>
      <c r="M432" s="28" t="s">
        <v>51</v>
      </c>
      <c r="N432" s="28" t="s">
        <v>51</v>
      </c>
    </row>
    <row r="433" spans="1:14" x14ac:dyDescent="0.15">
      <c r="A433" s="23" t="str">
        <f>HYPERLINK("https://www.spark-marketing.ru/Card/Person/4382221", "ООО ""ГАЗПРОМНЕФТЬ-ХАНТОС""")</f>
        <v>ООО "ГАЗПРОМНЕФТЬ-ХАНТОС"</v>
      </c>
      <c r="B433" s="24" t="s">
        <v>1059</v>
      </c>
      <c r="C433" s="28" t="s">
        <v>51</v>
      </c>
      <c r="D433" s="22" t="s">
        <v>1060</v>
      </c>
      <c r="E433" s="22" t="s">
        <v>52</v>
      </c>
      <c r="F433" s="23" t="str">
        <f>HYPERLINK("https://www.spark-marketing.ru/Card/Lot/74254036", "Организация и предоставление горячего питания на Южной части Приобского месторождения")</f>
        <v>Организация и предоставление горячего питания на Южной части Приобского месторождения</v>
      </c>
      <c r="G433" s="22" t="s">
        <v>97</v>
      </c>
      <c r="H433" s="22" t="s">
        <v>98</v>
      </c>
      <c r="I433" s="26">
        <v>43748.375</v>
      </c>
      <c r="J433" s="28" t="s">
        <v>51</v>
      </c>
      <c r="K433" s="28" t="s">
        <v>51</v>
      </c>
      <c r="L433" s="28" t="s">
        <v>51</v>
      </c>
      <c r="M433" s="28" t="s">
        <v>51</v>
      </c>
      <c r="N433" s="28" t="s">
        <v>51</v>
      </c>
    </row>
    <row r="434" spans="1:14" x14ac:dyDescent="0.15">
      <c r="A434" s="23" t="str">
        <f>HYPERLINK("https://www.spark-marketing.ru/Card/Person/878902", "ОТДЕЛ МВД РОССИИ ПО ПРИМОРСКО-АХТАРСКОМУ РАЙОНУ")</f>
        <v>ОТДЕЛ МВД РОССИИ ПО ПРИМОРСКО-АХТАРСКОМУ РАЙОНУ</v>
      </c>
      <c r="B434" s="24" t="s">
        <v>1061</v>
      </c>
      <c r="C434" s="25">
        <v>802000</v>
      </c>
      <c r="D434" s="22" t="s">
        <v>1062</v>
      </c>
      <c r="E434" s="22" t="s">
        <v>48</v>
      </c>
      <c r="F434" s="23" t="str">
        <f>HYPERLINK("https://www.spark-marketing.ru/Card/Lot/74263484", "Питание ИВС")</f>
        <v>Питание ИВС</v>
      </c>
      <c r="G434" s="22" t="s">
        <v>104</v>
      </c>
      <c r="H434" s="22" t="s">
        <v>104</v>
      </c>
      <c r="I434" s="26">
        <v>43748.398784722202</v>
      </c>
      <c r="J434" s="28" t="s">
        <v>51</v>
      </c>
      <c r="K434" s="28" t="s">
        <v>51</v>
      </c>
      <c r="L434" s="28" t="s">
        <v>51</v>
      </c>
      <c r="M434" s="28" t="s">
        <v>51</v>
      </c>
      <c r="N434" s="28" t="s">
        <v>51</v>
      </c>
    </row>
    <row r="435" spans="1:14" x14ac:dyDescent="0.15">
      <c r="A435" s="23" t="str">
        <f>HYPERLINK("https://www.spark-marketing.ru/Card/Person/878902", "ОТДЕЛ МВД РОССИИ ПО ПРИМОРСКО-АХТАРСКОМУ РАЙОНУ")</f>
        <v>ОТДЕЛ МВД РОССИИ ПО ПРИМОРСКО-АХТАРСКОМУ РАЙОНУ</v>
      </c>
      <c r="B435" s="24" t="s">
        <v>1061</v>
      </c>
      <c r="C435" s="25">
        <v>802000</v>
      </c>
      <c r="D435" s="22" t="s">
        <v>1063</v>
      </c>
      <c r="E435" s="22" t="s">
        <v>48</v>
      </c>
      <c r="F435" s="23" t="str">
        <f>HYPERLINK("https://www.spark-marketing.ru/Card/Lot/74257228", "Питание ИВС")</f>
        <v>Питание ИВС</v>
      </c>
      <c r="G435" s="22" t="s">
        <v>104</v>
      </c>
      <c r="H435" s="22" t="s">
        <v>104</v>
      </c>
      <c r="I435" s="26">
        <v>43748.387199074103</v>
      </c>
      <c r="J435" s="28" t="s">
        <v>51</v>
      </c>
      <c r="K435" s="28" t="s">
        <v>51</v>
      </c>
      <c r="L435" s="28" t="s">
        <v>51</v>
      </c>
      <c r="M435" s="28" t="s">
        <v>51</v>
      </c>
      <c r="N435" s="28" t="s">
        <v>51</v>
      </c>
    </row>
    <row r="436" spans="1:14" x14ac:dyDescent="0.15">
      <c r="A436" s="23" t="str">
        <f>HYPERLINK("https://www.spark-marketing.ru/Card/Person/1050962", "МБОУ ""ЗНАМЕНСКАЯ СОШ"" ОРЛОВСКОГО РАЙОНА ОРЛОВСКОЙ ОБЛАСТИ")</f>
        <v>МБОУ "ЗНАМЕНСКАЯ СОШ" ОРЛОВСКОГО РАЙОНА ОРЛОВСКОЙ ОБЛАСТИ</v>
      </c>
      <c r="B436" s="24" t="s">
        <v>1064</v>
      </c>
      <c r="C436" s="25">
        <v>2134760</v>
      </c>
      <c r="D436" s="22" t="s">
        <v>1065</v>
      </c>
      <c r="E436" s="22" t="s">
        <v>48</v>
      </c>
      <c r="F436" s="23" t="str">
        <f>HYPERLINK("https://www.spark-marketing.ru/Card/Lot/74264374", "Оказание услуг по организации горячего питания учащихся МБОУ ""Знаменская СОШ"" Орловского района Орловской области")</f>
        <v>Оказание услуг по организации горячего питания учащихся МБОУ "Знаменская СОШ" Орловского района Орловской области</v>
      </c>
      <c r="G436" s="22" t="s">
        <v>1066</v>
      </c>
      <c r="H436" s="22" t="s">
        <v>1067</v>
      </c>
      <c r="I436" s="26">
        <v>43748.3769328704</v>
      </c>
      <c r="J436" s="28" t="s">
        <v>51</v>
      </c>
      <c r="K436" s="28" t="s">
        <v>51</v>
      </c>
      <c r="L436" s="28" t="s">
        <v>51</v>
      </c>
      <c r="M436" s="28" t="s">
        <v>51</v>
      </c>
      <c r="N436" s="28" t="s">
        <v>51</v>
      </c>
    </row>
    <row r="437" spans="1:14" x14ac:dyDescent="0.15">
      <c r="A437" s="23" t="str">
        <f>HYPERLINK("https://www.spark-marketing.ru/Card/Person/72812", "ГБУЗ ""СОДИБ""")</f>
        <v>ГБУЗ "СОДИБ"</v>
      </c>
      <c r="B437" s="24" t="s">
        <v>1068</v>
      </c>
      <c r="C437" s="25">
        <v>6343777</v>
      </c>
      <c r="D437" s="22" t="s">
        <v>1069</v>
      </c>
      <c r="E437" s="22" t="s">
        <v>48</v>
      </c>
      <c r="F437" s="23" t="str">
        <f>HYPERLINK("https://www.spark-marketing.ru/Card/Lot/74265235", "Оказание услуг по приготовлению диетического лечебного питания для пациентов, находящихся на стационарном лечении в отделениях Государственного бюджетного учреждения здравоохранения ""Самарская областная детская инфекционная больница"" в 2020 году.")</f>
        <v>Оказание услуг по приготовлению диетического лечебного питания для пациентов, находящихся на стационарном лечении в отделениях Государственного бюджетного учреждения здравоохранения "Самарская областная детская инфекционная больница" в 2020 году.</v>
      </c>
      <c r="G437" s="22" t="s">
        <v>128</v>
      </c>
      <c r="H437" s="22" t="s">
        <v>129</v>
      </c>
      <c r="I437" s="26">
        <v>43748.336805555598</v>
      </c>
      <c r="J437" s="28" t="s">
        <v>51</v>
      </c>
      <c r="K437" s="28" t="s">
        <v>51</v>
      </c>
      <c r="L437" s="28" t="s">
        <v>51</v>
      </c>
      <c r="M437" s="28" t="s">
        <v>51</v>
      </c>
      <c r="N437" s="28" t="s">
        <v>51</v>
      </c>
    </row>
    <row r="438" spans="1:14" x14ac:dyDescent="0.15">
      <c r="A438" s="23" t="str">
        <f>HYPERLINK("https://www.spark-marketing.ru/Card/Person/13983", "ГБУЗ ""ОКБ № 2""")</f>
        <v>ГБУЗ "ОКБ № 2"</v>
      </c>
      <c r="B438" s="24" t="s">
        <v>1070</v>
      </c>
      <c r="C438" s="25">
        <v>16253446</v>
      </c>
      <c r="D438" s="22" t="s">
        <v>1071</v>
      </c>
      <c r="E438" s="22" t="s">
        <v>48</v>
      </c>
      <c r="F438" s="23" t="str">
        <f>HYPERLINK("https://www.spark-marketing.ru/Card/Lot/74265515", "Оказание услуг по  организации лечебного питания для  пациентов,  находящихся  на  стационарном  лечении в ГБУЗ  «ОКБ № 2» в 2020 году")</f>
        <v>Оказание услуг по  организации лечебного питания для  пациентов,  находящихся  на  стационарном  лечении в ГБУЗ  «ОКБ № 2» в 2020 году</v>
      </c>
      <c r="G438" s="22" t="s">
        <v>469</v>
      </c>
      <c r="H438" s="22" t="s">
        <v>469</v>
      </c>
      <c r="I438" s="26">
        <v>43748.370138888902</v>
      </c>
      <c r="J438" s="28" t="s">
        <v>51</v>
      </c>
      <c r="K438" s="28" t="s">
        <v>51</v>
      </c>
      <c r="L438" s="28" t="s">
        <v>51</v>
      </c>
      <c r="M438" s="28" t="s">
        <v>51</v>
      </c>
      <c r="N438" s="28" t="s">
        <v>51</v>
      </c>
    </row>
    <row r="439" spans="1:14" x14ac:dyDescent="0.15">
      <c r="A439" s="23" t="str">
        <f>HYPERLINK("https://www.spark-marketing.ru/Card/Person/1956253", "ООО ""РН-СНАБЖЕНИЕ""")</f>
        <v>ООО "РН-СНАБЖЕНИЕ"</v>
      </c>
      <c r="B439" s="24" t="s">
        <v>1072</v>
      </c>
      <c r="C439" s="28" t="s">
        <v>51</v>
      </c>
      <c r="D439" s="22" t="s">
        <v>1073</v>
      </c>
      <c r="E439" s="22" t="s">
        <v>362</v>
      </c>
      <c r="F439" s="23" t="str">
        <f>HYPERLINK("https://www.spark-marketing.ru/Card/Lot/74254340", "Услуги по организации общественного питания")</f>
        <v>Услуги по организации общественного питания</v>
      </c>
      <c r="G439" s="22" t="s">
        <v>97</v>
      </c>
      <c r="H439" s="22" t="s">
        <v>366</v>
      </c>
      <c r="I439" s="26">
        <v>43748.304166666698</v>
      </c>
      <c r="J439" s="28" t="s">
        <v>51</v>
      </c>
      <c r="K439" s="28" t="s">
        <v>51</v>
      </c>
      <c r="L439" s="28" t="s">
        <v>51</v>
      </c>
      <c r="M439" s="28" t="s">
        <v>51</v>
      </c>
      <c r="N439" s="28" t="s">
        <v>51</v>
      </c>
    </row>
    <row r="440" spans="1:14" x14ac:dyDescent="0.15">
      <c r="A440" s="23" t="str">
        <f>HYPERLINK("https://www.spark-marketing.ru/Card/Person/1573122", "МАУ ""СШОР № 8""")</f>
        <v>МАУ "СШОР № 8"</v>
      </c>
      <c r="B440" s="24" t="s">
        <v>1074</v>
      </c>
      <c r="C440" s="25">
        <v>2299500</v>
      </c>
      <c r="D440" s="22" t="s">
        <v>1075</v>
      </c>
      <c r="E440" s="22" t="s">
        <v>362</v>
      </c>
      <c r="F440" s="23" t="str">
        <f>HYPERLINK("https://www.spark-marketing.ru/Card/Lot/74264580", "оказание услуг по обеспечению питанием спортсменов и других участников во время тренировочных сборов спортсменов, включенных в список кандидатов в спортивные сборные команды Российской Федерации (2019 год), для нужд Муниципального автономного учрежде...")</f>
        <v>оказание услуг по обеспечению питанием спортсменов и других участников во время тренировочных сборов спортсменов, включенных в список кандидатов в спортивные сборные команды Российской Федерации (2019 год), для нужд Муниципального автономного учрежде...</v>
      </c>
      <c r="G440" s="22" t="s">
        <v>469</v>
      </c>
      <c r="H440" s="22" t="s">
        <v>1076</v>
      </c>
      <c r="I440" s="26">
        <v>43748</v>
      </c>
      <c r="J440" s="28" t="s">
        <v>51</v>
      </c>
      <c r="K440" s="28" t="s">
        <v>51</v>
      </c>
      <c r="L440" s="28" t="s">
        <v>51</v>
      </c>
      <c r="M440" s="28" t="s">
        <v>51</v>
      </c>
      <c r="N440" s="28" t="s">
        <v>51</v>
      </c>
    </row>
    <row r="441" spans="1:14" x14ac:dyDescent="0.15">
      <c r="A441" s="23" t="str">
        <f>HYPERLINK("https://www.spark-marketing.ru/Card/Person/35358", "ФГБОУ ВО УРАЛЬСКИЙ ИНСТИТУТ ГПС МЧС РОССИИ")</f>
        <v>ФГБОУ ВО УРАЛЬСКИЙ ИНСТИТУТ ГПС МЧС РОССИИ</v>
      </c>
      <c r="B441" s="24" t="s">
        <v>1077</v>
      </c>
      <c r="C441" s="25">
        <v>2055904</v>
      </c>
      <c r="D441" s="22" t="s">
        <v>1078</v>
      </c>
      <c r="E441" s="22" t="s">
        <v>1079</v>
      </c>
      <c r="F441" s="23" t="str">
        <f>HYPERLINK("https://www.spark-marketing.ru/Card/Lot/74264573", "Оказание услуг по организации проживания, питания, и предоставлению помещений участникам II-го молодежного образовательного форума «Мы - будущее МЧС России»")</f>
        <v>Оказание услуг по организации проживания, питания, и предоставлению помещений участникам II-го молодежного образовательного форума «Мы - будущее МЧС России»</v>
      </c>
      <c r="G441" s="22" t="s">
        <v>174</v>
      </c>
      <c r="H441" s="22" t="s">
        <v>174</v>
      </c>
      <c r="I441" s="26">
        <v>43748</v>
      </c>
      <c r="J441" s="28" t="s">
        <v>51</v>
      </c>
      <c r="K441" s="28" t="s">
        <v>51</v>
      </c>
      <c r="L441" s="28" t="s">
        <v>51</v>
      </c>
      <c r="M441" s="28" t="s">
        <v>51</v>
      </c>
      <c r="N441" s="28" t="s">
        <v>51</v>
      </c>
    </row>
    <row r="442" spans="1:14" x14ac:dyDescent="0.15">
      <c r="A442" s="23" t="str">
        <f>HYPERLINK("https://www.spark-marketing.ru/Card/Person/1298096", "МАОУ ""ЛИКИНО-ДУЛЁВСКИЙ ЛИЦЕЙ""")</f>
        <v>МАОУ "ЛИКИНО-ДУЛЁВСКИЙ ЛИЦЕЙ"</v>
      </c>
      <c r="B442" s="24" t="s">
        <v>1080</v>
      </c>
      <c r="C442" s="25">
        <v>3927300</v>
      </c>
      <c r="D442" s="22" t="s">
        <v>1081</v>
      </c>
      <c r="E442" s="22" t="s">
        <v>362</v>
      </c>
      <c r="F442" s="23" t="str">
        <f>HYPERLINK("https://www.spark-marketing.ru/Card/Lot/74260613", "Оказание услуг по организации горячего питания обучающихся на 2020 год")</f>
        <v>Оказание услуг по организации горячего питания обучающихся на 2020 год</v>
      </c>
      <c r="G442" s="22" t="s">
        <v>49</v>
      </c>
      <c r="H442" s="22" t="s">
        <v>49</v>
      </c>
      <c r="I442" s="26">
        <v>43748</v>
      </c>
      <c r="J442" s="28" t="s">
        <v>51</v>
      </c>
      <c r="K442" s="28" t="s">
        <v>51</v>
      </c>
      <c r="L442" s="28" t="s">
        <v>51</v>
      </c>
      <c r="M442" s="28" t="s">
        <v>51</v>
      </c>
      <c r="N442" s="28" t="s">
        <v>51</v>
      </c>
    </row>
    <row r="443" spans="1:14" x14ac:dyDescent="0.15">
      <c r="A443" s="23" t="str">
        <f>HYPERLINK("https://www.spark-marketing.ru/Card/Person/292503", "ВОЛГУ, ФГАОУ ВО ""ВОЛГОГРАДСКИЙ ГОСУДАРСТВЕННЫЙ УНИВЕРСИТЕТ"", ВОЛГОГРАДСКИЙ ГОСУДАРСТВЕННЫЙ УНИВЕРСИТЕТ, ФГАОУ ВО ВОЛГУ")</f>
        <v>ВОЛГУ, ФГАОУ ВО "ВОЛГОГРАДСКИЙ ГОСУДАРСТВЕННЫЙ УНИВЕРСИТЕТ", ВОЛГОГРАДСКИЙ ГОСУДАРСТВЕННЫЙ УНИВЕРСИТЕТ, ФГАОУ ВО ВОЛГУ</v>
      </c>
      <c r="B443" s="24" t="s">
        <v>1082</v>
      </c>
      <c r="C443" s="25">
        <v>436500</v>
      </c>
      <c r="D443" s="22" t="s">
        <v>1083</v>
      </c>
      <c r="E443" s="22" t="s">
        <v>1079</v>
      </c>
      <c r="F443" s="23" t="str">
        <f>HYPERLINK("https://www.spark-marketing.ru/Card/Lot/74247712", "Оказание услуг по организации питания и проживания участников Всероссийского патриотического форума «Связь времен».")</f>
        <v>Оказание услуг по организации питания и проживания участников Всероссийского патриотического форума «Связь времен».</v>
      </c>
      <c r="G443" s="22" t="s">
        <v>158</v>
      </c>
      <c r="H443" s="22" t="s">
        <v>158</v>
      </c>
      <c r="I443" s="26">
        <v>43747</v>
      </c>
      <c r="J443" s="28" t="s">
        <v>51</v>
      </c>
      <c r="K443" s="28" t="s">
        <v>51</v>
      </c>
      <c r="L443" s="28" t="s">
        <v>51</v>
      </c>
      <c r="M443" s="28" t="s">
        <v>51</v>
      </c>
      <c r="N443" s="28" t="s">
        <v>51</v>
      </c>
    </row>
    <row r="444" spans="1:14" x14ac:dyDescent="0.2">
      <c r="A444" s="23" t="str">
        <f>HYPERLINK("https://www.spark-marketing.ru/Card/Person/5900", "ИРНИТУ, ФГБОУ ВО ""ИРНИТУ"", ""ИРКУТСКИЙ ПОЛИТЕХ""")</f>
        <v>ИРНИТУ, ФГБОУ ВО "ИРНИТУ", "ИРКУТСКИЙ ПОЛИТЕХ"</v>
      </c>
      <c r="B444" s="24" t="s">
        <v>1084</v>
      </c>
      <c r="C444" s="25">
        <v>591270</v>
      </c>
      <c r="D444" s="22" t="s">
        <v>1085</v>
      </c>
      <c r="E444" s="22" t="s">
        <v>554</v>
      </c>
      <c r="F444" s="23" t="str">
        <f>HYPERLINK("https://www.spark-marketing.ru/Card/Lot/74260436", "Оказание услуг по организации питания, проживания и конференц - услуг в рамках проведения выездной стратегической сессии сотрудникам ФГБОУ ВО «ИРНИТУ»")</f>
        <v>Оказание услуг по организации питания, проживания и конференц - услуг в рамках проведения выездной стратегической сессии сотрудникам ФГБОУ ВО «ИРНИТУ»</v>
      </c>
      <c r="G444" s="22" t="s">
        <v>263</v>
      </c>
      <c r="H444" s="22" t="s">
        <v>263</v>
      </c>
      <c r="I444" s="26">
        <v>43748</v>
      </c>
      <c r="J444" s="23" t="str">
        <f>HYPERLINK("https://www.spark-marketing.ru/Card/Person/264496", "ООО ""ЦТБ""")</f>
        <v>ООО "ЦТБ"</v>
      </c>
      <c r="K444" s="24" t="s">
        <v>1086</v>
      </c>
      <c r="L444" s="28" t="s">
        <v>51</v>
      </c>
      <c r="M444" s="25">
        <v>591270</v>
      </c>
      <c r="N444" s="27">
        <v>0</v>
      </c>
    </row>
    <row r="445" spans="1:14" x14ac:dyDescent="0.15">
      <c r="A445" s="23" t="str">
        <f>HYPERLINK("https://www.spark-marketing.ru/Card/Person/1759576", "МАОУ ""ЦО № 1""")</f>
        <v>МАОУ "ЦО № 1"</v>
      </c>
      <c r="B445" s="24" t="s">
        <v>1087</v>
      </c>
      <c r="C445" s="25">
        <v>1304550</v>
      </c>
      <c r="D445" s="22" t="s">
        <v>1088</v>
      </c>
      <c r="E445" s="22" t="s">
        <v>362</v>
      </c>
      <c r="F445" s="23" t="str">
        <f>HYPERLINK("https://www.spark-marketing.ru/Card/Lot/74247235", "Оказание услуг по организации питания обучающихся муниципального автономного общеобразовательного учреждения «Центр образования № 1» г. Белгорода по адресу г. Белгород, ул. Н.Чумичова, 53-а")</f>
        <v>Оказание услуг по организации питания обучающихся муниципального автономного общеобразовательного учреждения «Центр образования № 1» г. Белгорода по адресу г. Белгород, ул. Н.Чумичова, 53-а</v>
      </c>
      <c r="G445" s="22" t="s">
        <v>696</v>
      </c>
      <c r="H445" s="22" t="s">
        <v>696</v>
      </c>
      <c r="I445" s="26">
        <v>43747</v>
      </c>
      <c r="J445" s="28" t="s">
        <v>51</v>
      </c>
      <c r="K445" s="28" t="s">
        <v>51</v>
      </c>
      <c r="L445" s="28" t="s">
        <v>51</v>
      </c>
      <c r="M445" s="28" t="s">
        <v>51</v>
      </c>
      <c r="N445" s="28" t="s">
        <v>51</v>
      </c>
    </row>
    <row r="446" spans="1:14" x14ac:dyDescent="0.15">
      <c r="A446" s="23" t="str">
        <f>HYPERLINK("https://www.spark-marketing.ru/Card/Person/1025673", "МБОУ СОШ №1 Г.О. ПУЩИНО")</f>
        <v>МБОУ СОШ №1 Г.О. ПУЩИНО</v>
      </c>
      <c r="B446" s="24" t="s">
        <v>424</v>
      </c>
      <c r="C446" s="25">
        <v>599955</v>
      </c>
      <c r="D446" s="22" t="s">
        <v>1089</v>
      </c>
      <c r="E446" s="22" t="s">
        <v>48</v>
      </c>
      <c r="F446" s="23" t="str">
        <f>HYPERLINK("https://www.spark-marketing.ru/Card/Lot/74250155", "Оказание услуг по организации горячего питания и буфетного обслуживания учащихся в МБОУ СОШ №1 г.о. Пущино Московской области в 2019 году")</f>
        <v>Оказание услуг по организации горячего питания и буфетного обслуживания учащихся в МБОУ СОШ №1 г.о. Пущино Московской области в 2019 году</v>
      </c>
      <c r="G446" s="22" t="s">
        <v>49</v>
      </c>
      <c r="H446" s="22" t="s">
        <v>426</v>
      </c>
      <c r="I446" s="26">
        <v>43747.971840277802</v>
      </c>
      <c r="J446" s="28" t="s">
        <v>51</v>
      </c>
      <c r="K446" s="28" t="s">
        <v>51</v>
      </c>
      <c r="L446" s="28" t="s">
        <v>51</v>
      </c>
      <c r="M446" s="28" t="s">
        <v>51</v>
      </c>
      <c r="N446" s="28" t="s">
        <v>51</v>
      </c>
    </row>
    <row r="447" spans="1:14" x14ac:dyDescent="0.15">
      <c r="A447" s="23" t="str">
        <f>HYPERLINK("https://www.spark-marketing.ru/Card/Person/49532", "МОУ СОШ №16")</f>
        <v>МОУ СОШ №16</v>
      </c>
      <c r="B447" s="24" t="s">
        <v>1090</v>
      </c>
      <c r="C447" s="25">
        <v>370471.5</v>
      </c>
      <c r="D447" s="22" t="s">
        <v>1091</v>
      </c>
      <c r="E447" s="22" t="s">
        <v>48</v>
      </c>
      <c r="F447" s="23" t="str">
        <f>HYPERLINK("https://www.spark-marketing.ru/Card/Lot/74244776",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447" s="22" t="s">
        <v>49</v>
      </c>
      <c r="H447" s="22" t="s">
        <v>50</v>
      </c>
      <c r="I447" s="26">
        <v>43747.846886574102</v>
      </c>
      <c r="J447" s="28" t="s">
        <v>51</v>
      </c>
      <c r="K447" s="28" t="s">
        <v>51</v>
      </c>
      <c r="L447" s="28" t="s">
        <v>51</v>
      </c>
      <c r="M447" s="28" t="s">
        <v>51</v>
      </c>
      <c r="N447" s="28" t="s">
        <v>51</v>
      </c>
    </row>
    <row r="448" spans="1:14" x14ac:dyDescent="0.15">
      <c r="A448" s="23" t="str">
        <f>HYPERLINK("https://www.spark-marketing.ru/Card/Person/4346063", "ГБОУ ДПО ЦПВШС")</f>
        <v>ГБОУ ДПО ЦПВШС</v>
      </c>
      <c r="B448" s="24" t="s">
        <v>1092</v>
      </c>
      <c r="C448" s="25">
        <v>2881410.7</v>
      </c>
      <c r="D448" s="22" t="s">
        <v>1093</v>
      </c>
      <c r="E448" s="22" t="s">
        <v>96</v>
      </c>
      <c r="F448" s="23" t="str">
        <f>HYPERLINK("https://www.spark-marketing.ru/Card/Lot/74249193", "Оказание услуг по организации выездного питания, обслуживанию (кейтерингу) и сопровождению городских, региональных, федеральных и международных мероприятий, проводимых на базе ГБОУ ДПО ЦПВШС")</f>
        <v>Оказание услуг по организации выездного питания, обслуживанию (кейтерингу) и сопровождению городских, региональных, федеральных и международных мероприятий, проводимых на базе ГБОУ ДПО ЦПВШС</v>
      </c>
      <c r="G448" s="22" t="s">
        <v>56</v>
      </c>
      <c r="H448" s="22" t="s">
        <v>56</v>
      </c>
      <c r="I448" s="26">
        <v>43747.749224537001</v>
      </c>
      <c r="J448" s="28" t="s">
        <v>51</v>
      </c>
      <c r="K448" s="28" t="s">
        <v>51</v>
      </c>
      <c r="L448" s="28" t="s">
        <v>51</v>
      </c>
      <c r="M448" s="28" t="s">
        <v>51</v>
      </c>
      <c r="N448" s="28" t="s">
        <v>51</v>
      </c>
    </row>
    <row r="449" spans="1:14" x14ac:dyDescent="0.15">
      <c r="A449" s="23" t="str">
        <f>HYPERLINK("https://www.spark-marketing.ru/Card/Person/10194", "ФГБУ ""ФЦССХ"" МИНЗДРАВА РОССИИ (Г. ХАБАРОВСК)")</f>
        <v>ФГБУ "ФЦССХ" МИНЗДРАВА РОССИИ (Г. ХАБАРОВСК)</v>
      </c>
      <c r="B449" s="24" t="s">
        <v>1094</v>
      </c>
      <c r="C449" s="25">
        <v>280790</v>
      </c>
      <c r="D449" s="22" t="s">
        <v>1095</v>
      </c>
      <c r="E449" s="22" t="s">
        <v>91</v>
      </c>
      <c r="F449" s="23" t="str">
        <f>HYPERLINK("https://www.spark-marketing.ru/Card/Lot/74236389", "Оказание услуг по техническому обслуживанию и ремонту компьютерной техники и  оргтехники")</f>
        <v>Оказание услуг по техническому обслуживанию и ремонту компьютерной техники и  оргтехники</v>
      </c>
      <c r="G449" s="22" t="s">
        <v>1096</v>
      </c>
      <c r="H449" s="22" t="s">
        <v>1097</v>
      </c>
      <c r="I449" s="26">
        <v>43747.681944444397</v>
      </c>
      <c r="J449" s="28" t="s">
        <v>51</v>
      </c>
      <c r="K449" s="28" t="s">
        <v>51</v>
      </c>
      <c r="L449" s="28" t="s">
        <v>51</v>
      </c>
      <c r="M449" s="28" t="s">
        <v>51</v>
      </c>
      <c r="N449" s="28" t="s">
        <v>51</v>
      </c>
    </row>
    <row r="450" spans="1:14" x14ac:dyDescent="0.15">
      <c r="A450" s="23" t="str">
        <f>HYPERLINK("https://www.spark-marketing.ru/Card/Person/115477", "ОМВД РОССИИ ПО НЕРЮНГРИНСКОМУ РАЙОНУ")</f>
        <v>ОМВД РОССИИ ПО НЕРЮНГРИНСКОМУ РАЙОНУ</v>
      </c>
      <c r="B450" s="24" t="s">
        <v>743</v>
      </c>
      <c r="C450" s="25">
        <v>1348160</v>
      </c>
      <c r="D450" s="22" t="s">
        <v>1098</v>
      </c>
      <c r="E450" s="22" t="s">
        <v>48</v>
      </c>
      <c r="F450" s="23" t="str">
        <f>HYPERLINK("https://www.spark-marketing.ru/Card/Lot/74247581", "Питание ИВС")</f>
        <v>Питание ИВС</v>
      </c>
      <c r="G450" s="22" t="s">
        <v>241</v>
      </c>
      <c r="H450" s="22" t="s">
        <v>745</v>
      </c>
      <c r="I450" s="26">
        <v>43747.497916666704</v>
      </c>
      <c r="J450" s="28" t="s">
        <v>51</v>
      </c>
      <c r="K450" s="28" t="s">
        <v>51</v>
      </c>
      <c r="L450" s="28" t="s">
        <v>51</v>
      </c>
      <c r="M450" s="28" t="s">
        <v>51</v>
      </c>
      <c r="N450" s="28" t="s">
        <v>51</v>
      </c>
    </row>
    <row r="451" spans="1:14" x14ac:dyDescent="0.15">
      <c r="A451" s="23" t="str">
        <f>HYPERLINK("https://www.spark-marketing.ru/Card/Person/24080", "ГБУЗ ""ГБ"" Г.СОЛЬ-ИЛЕЦКА""")</f>
        <v>ГБУЗ "ГБ" Г.СОЛЬ-ИЛЕЦКА"</v>
      </c>
      <c r="B451" s="24" t="s">
        <v>1099</v>
      </c>
      <c r="C451" s="25">
        <v>648400.07999999996</v>
      </c>
      <c r="D451" s="22" t="s">
        <v>1100</v>
      </c>
      <c r="E451" s="22" t="s">
        <v>809</v>
      </c>
      <c r="F451" s="23" t="str">
        <f>HYPERLINK("https://www.spark-marketing.ru/Card/Lot/74245130", "на поставку автоматизированного рабочего места")</f>
        <v>на поставку автоматизированного рабочего места</v>
      </c>
      <c r="G451" s="22" t="s">
        <v>132</v>
      </c>
      <c r="H451" s="22" t="s">
        <v>1101</v>
      </c>
      <c r="I451" s="26">
        <v>43747.6381944444</v>
      </c>
      <c r="J451" s="28" t="s">
        <v>51</v>
      </c>
      <c r="K451" s="28" t="s">
        <v>51</v>
      </c>
      <c r="L451" s="28" t="s">
        <v>51</v>
      </c>
      <c r="M451" s="28" t="s">
        <v>51</v>
      </c>
      <c r="N451" s="28" t="s">
        <v>51</v>
      </c>
    </row>
    <row r="452" spans="1:14" x14ac:dyDescent="0.15">
      <c r="A452" s="23" t="str">
        <f>HYPERLINK("https://www.spark-marketing.ru/Card/Person/37622", "МИНИСТЕРСТВО ЗДРАВООХРАНЕНИЯ ИРКУТСКОЙ ОБЛАСТИ")</f>
        <v>МИНИСТЕРСТВО ЗДРАВООХРАНЕНИЯ ИРКУТСКОЙ ОБЛАСТИ</v>
      </c>
      <c r="B452" s="24" t="s">
        <v>1102</v>
      </c>
      <c r="C452" s="25">
        <v>22402014.899999999</v>
      </c>
      <c r="D452" s="22" t="s">
        <v>1103</v>
      </c>
      <c r="E452" s="22" t="s">
        <v>1104</v>
      </c>
      <c r="F452" s="23" t="str">
        <f>HYPERLINK("https://www.spark-marketing.ru/Card/Lot/74250951", "Оказание услуг по получению, хранению, учёту и доставке лекарственных препаратов медицинских изделий, а также специализированных продуктов лечебного питания в рамках реализации отдельных полномочий в области лекарственного обеспечения")</f>
        <v>Оказание услуг по получению, хранению, учёту и доставке лекарственных препаратов медицинских изделий, а также специализированных продуктов лечебного питания в рамках реализации отдельных полномочий в области лекарственного обеспечения</v>
      </c>
      <c r="G452" s="22" t="s">
        <v>263</v>
      </c>
      <c r="H452" s="22" t="s">
        <v>263</v>
      </c>
      <c r="I452" s="26">
        <v>43747.511111111096</v>
      </c>
      <c r="J452" s="28" t="s">
        <v>51</v>
      </c>
      <c r="K452" s="28" t="s">
        <v>51</v>
      </c>
      <c r="L452" s="28" t="s">
        <v>51</v>
      </c>
      <c r="M452" s="28" t="s">
        <v>51</v>
      </c>
      <c r="N452" s="28" t="s">
        <v>51</v>
      </c>
    </row>
    <row r="453" spans="1:14" x14ac:dyDescent="0.15">
      <c r="A453" s="23" t="str">
        <f>HYPERLINK("https://www.spark-marketing.ru/Card/Person/237446", "МБОУ ""ОСНОВНАЯ ШКОЛА № 6""")</f>
        <v>МБОУ "ОСНОВНАЯ ШКОЛА № 6"</v>
      </c>
      <c r="B453" s="24" t="s">
        <v>1105</v>
      </c>
      <c r="C453" s="25">
        <v>897219.6</v>
      </c>
      <c r="D453" s="22" t="s">
        <v>1106</v>
      </c>
      <c r="E453" s="22" t="s">
        <v>48</v>
      </c>
      <c r="F453" s="23" t="str">
        <f>HYPERLINK("https://www.spark-marketing.ru/Card/Lot/74230744", "Услуги по организации горячего питания")</f>
        <v>Услуги по организации горячего питания</v>
      </c>
      <c r="G453" s="22" t="s">
        <v>246</v>
      </c>
      <c r="H453" s="22" t="s">
        <v>246</v>
      </c>
      <c r="I453" s="26">
        <v>43747.372222222199</v>
      </c>
      <c r="J453" s="28" t="s">
        <v>51</v>
      </c>
      <c r="K453" s="28" t="s">
        <v>51</v>
      </c>
      <c r="L453" s="28" t="s">
        <v>51</v>
      </c>
      <c r="M453" s="28" t="s">
        <v>51</v>
      </c>
      <c r="N453" s="28" t="s">
        <v>51</v>
      </c>
    </row>
    <row r="454" spans="1:14" x14ac:dyDescent="0.15">
      <c r="A454" s="23" t="str">
        <f>HYPERLINK("https://www.spark-marketing.ru/Card/Person/49981", "МОБУ ""ГИМНАЗИЯ № 3""")</f>
        <v>МОБУ "ГИМНАЗИЯ № 3"</v>
      </c>
      <c r="B454" s="24" t="s">
        <v>1107</v>
      </c>
      <c r="C454" s="25">
        <v>6550727.6399999997</v>
      </c>
      <c r="D454" s="22" t="s">
        <v>1108</v>
      </c>
      <c r="E454" s="22" t="s">
        <v>96</v>
      </c>
      <c r="F454" s="23" t="str">
        <f>HYPERLINK("https://www.spark-marketing.ru/Card/Lot/74250618", "Услуги по организации горячего питания учащимся из малоимущих семей и многодетных малоимущих семей")</f>
        <v>Услуги по организации горячего питания учащимся из малоимущих семей и многодетных малоимущих семей</v>
      </c>
      <c r="G454" s="22" t="s">
        <v>153</v>
      </c>
      <c r="H454" s="22" t="s">
        <v>153</v>
      </c>
      <c r="I454" s="26">
        <v>43747.634722222203</v>
      </c>
      <c r="J454" s="28" t="s">
        <v>51</v>
      </c>
      <c r="K454" s="28" t="s">
        <v>51</v>
      </c>
      <c r="L454" s="28" t="s">
        <v>51</v>
      </c>
      <c r="M454" s="28" t="s">
        <v>51</v>
      </c>
      <c r="N454" s="28" t="s">
        <v>51</v>
      </c>
    </row>
    <row r="455" spans="1:14" x14ac:dyDescent="0.15">
      <c r="A455" s="23" t="str">
        <f>HYPERLINK("https://www.spark-marketing.ru/Card/Person/64935", "УМВД РОССИИ ПО Г. КУРСКУ")</f>
        <v>УМВД РОССИИ ПО Г. КУРСКУ</v>
      </c>
      <c r="B455" s="24" t="s">
        <v>1109</v>
      </c>
      <c r="C455" s="25">
        <v>1088360</v>
      </c>
      <c r="D455" s="22" t="s">
        <v>1110</v>
      </c>
      <c r="E455" s="22" t="s">
        <v>96</v>
      </c>
      <c r="F455" s="23" t="str">
        <f>HYPERLINK("https://www.spark-marketing.ru/Card/Lot/74247023", "Оказание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Курску")</f>
        <v>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</v>
      </c>
      <c r="G455" s="22" t="s">
        <v>1111</v>
      </c>
      <c r="H455" s="22" t="s">
        <v>1112</v>
      </c>
      <c r="I455" s="26">
        <v>43747.728472222203</v>
      </c>
      <c r="J455" s="28" t="s">
        <v>51</v>
      </c>
      <c r="K455" s="28" t="s">
        <v>51</v>
      </c>
      <c r="L455" s="28" t="s">
        <v>51</v>
      </c>
      <c r="M455" s="28" t="s">
        <v>51</v>
      </c>
      <c r="N455" s="28" t="s">
        <v>51</v>
      </c>
    </row>
    <row r="456" spans="1:14" x14ac:dyDescent="0.15">
      <c r="A456" s="23" t="str">
        <f>HYPERLINK("https://www.spark-marketing.ru/Card/Person/6454333", "МО МВД РОССИИ ""ДЗЕРЖИНСКИЙ""")</f>
        <v>МО МВД РОССИИ "ДЗЕРЖИНСКИЙ"</v>
      </c>
      <c r="B456" s="24" t="s">
        <v>1113</v>
      </c>
      <c r="C456" s="25">
        <v>686500</v>
      </c>
      <c r="D456" s="22" t="s">
        <v>1114</v>
      </c>
      <c r="E456" s="22" t="s">
        <v>48</v>
      </c>
      <c r="F456" s="23" t="str">
        <f>HYPERLINK("https://www.spark-marketing.ru/Card/Lot/74245274", "Услуги по обеспечению питанием")</f>
        <v>Услуги по обеспечению питанием</v>
      </c>
      <c r="G456" s="22" t="s">
        <v>281</v>
      </c>
      <c r="H456" s="22" t="s">
        <v>1115</v>
      </c>
      <c r="I456" s="26">
        <v>43747.559722222199</v>
      </c>
      <c r="J456" s="28" t="s">
        <v>51</v>
      </c>
      <c r="K456" s="28" t="s">
        <v>51</v>
      </c>
      <c r="L456" s="28" t="s">
        <v>51</v>
      </c>
      <c r="M456" s="28" t="s">
        <v>51</v>
      </c>
      <c r="N456" s="28" t="s">
        <v>51</v>
      </c>
    </row>
    <row r="457" spans="1:14" x14ac:dyDescent="0.15">
      <c r="A457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457" s="24" t="s">
        <v>967</v>
      </c>
      <c r="C457" s="25">
        <v>498528</v>
      </c>
      <c r="D457" s="22" t="s">
        <v>1116</v>
      </c>
      <c r="E457" s="22" t="s">
        <v>96</v>
      </c>
      <c r="F457" s="23" t="str">
        <f>HYPERLINK("https://www.spark-marketing.ru/Card/Lot/74244409", "питание ИВС, СП")</f>
        <v>питание ИВС, СП</v>
      </c>
      <c r="G457" s="22" t="s">
        <v>104</v>
      </c>
      <c r="H457" s="22" t="s">
        <v>969</v>
      </c>
      <c r="I457" s="26">
        <v>43747.703645833302</v>
      </c>
      <c r="J457" s="28" t="s">
        <v>51</v>
      </c>
      <c r="K457" s="28" t="s">
        <v>51</v>
      </c>
      <c r="L457" s="28" t="s">
        <v>51</v>
      </c>
      <c r="M457" s="28" t="s">
        <v>51</v>
      </c>
      <c r="N457" s="28" t="s">
        <v>51</v>
      </c>
    </row>
    <row r="458" spans="1:14" x14ac:dyDescent="0.15">
      <c r="A458" s="23" t="str">
        <f>HYPERLINK("https://www.spark-marketing.ru/Card/Person/67088", "ГБУЗ СО ""БОЛЬШЕЧЕРНИГОВСКАЯ ЦРБ""")</f>
        <v>ГБУЗ СО "БОЛЬШЕЧЕРНИГОВСКАЯ ЦРБ"</v>
      </c>
      <c r="B458" s="24" t="s">
        <v>1117</v>
      </c>
      <c r="C458" s="25">
        <v>2381250</v>
      </c>
      <c r="D458" s="22" t="s">
        <v>1118</v>
      </c>
      <c r="E458" s="22" t="s">
        <v>48</v>
      </c>
      <c r="F458" s="23" t="str">
        <f>HYPERLINK("https://www.spark-marketing.ru/Card/Lot/74249084", "Оказание услуг по организации готового диетического лечебного питания пациентов, находящихся на стационарном лечении в отделениях")</f>
        <v>Оказание услуг по организации готового диетического лечебного питания пациентов, находящихся на стационарном лечении в отделениях</v>
      </c>
      <c r="G458" s="22" t="s">
        <v>128</v>
      </c>
      <c r="H458" s="22" t="s">
        <v>1119</v>
      </c>
      <c r="I458" s="26">
        <v>43747.652083333298</v>
      </c>
      <c r="J458" s="28" t="s">
        <v>51</v>
      </c>
      <c r="K458" s="28" t="s">
        <v>51</v>
      </c>
      <c r="L458" s="28" t="s">
        <v>51</v>
      </c>
      <c r="M458" s="28" t="s">
        <v>51</v>
      </c>
      <c r="N458" s="28" t="s">
        <v>51</v>
      </c>
    </row>
    <row r="459" spans="1:14" x14ac:dyDescent="0.15">
      <c r="A459" s="23" t="str">
        <f>HYPERLINK("https://www.spark-marketing.ru/Card/Person/1311238", "МБОУ ""ВЛАДИМИРСКАЯ СОШ""")</f>
        <v>МБОУ "ВЛАДИМИРСКАЯ СОШ"</v>
      </c>
      <c r="B459" s="24" t="s">
        <v>1120</v>
      </c>
      <c r="C459" s="25">
        <v>316680</v>
      </c>
      <c r="D459" s="22" t="s">
        <v>1121</v>
      </c>
      <c r="E459" s="22" t="s">
        <v>51</v>
      </c>
      <c r="F459" s="23" t="str">
        <f>HYPERLINK("https://www.spark-marketing.ru/Card/Lot/74243879", "Услуги по обеспечению питанием детей, осуществляемые по договору")</f>
        <v>Услуги по обеспечению питанием детей, осуществляемые по договору</v>
      </c>
      <c r="G459" s="22" t="s">
        <v>415</v>
      </c>
      <c r="H459" s="22" t="s">
        <v>1122</v>
      </c>
      <c r="I459" s="26">
        <v>43747.668749999997</v>
      </c>
      <c r="J459" s="28" t="s">
        <v>51</v>
      </c>
      <c r="K459" s="28" t="s">
        <v>51</v>
      </c>
      <c r="L459" s="28" t="s">
        <v>51</v>
      </c>
      <c r="M459" s="28" t="s">
        <v>51</v>
      </c>
      <c r="N459" s="28" t="s">
        <v>51</v>
      </c>
    </row>
    <row r="460" spans="1:14" x14ac:dyDescent="0.15">
      <c r="A460" s="23" t="str">
        <f>HYPERLINK("https://www.spark-marketing.ru/Card/Person/152388", "ГКУ ""ОЦСТРГ""")</f>
        <v>ГКУ "ОЦСТРГ"</v>
      </c>
      <c r="B460" s="24" t="s">
        <v>1123</v>
      </c>
      <c r="C460" s="25">
        <v>187867.8</v>
      </c>
      <c r="D460" s="22" t="s">
        <v>1124</v>
      </c>
      <c r="E460" s="22" t="s">
        <v>48</v>
      </c>
      <c r="F460" s="23" t="str">
        <f>HYPERLINK("https://www.spark-marketing.ru/Card/Lot/74243305", "Услуги по организации питания")</f>
        <v>Услуги по организации питания</v>
      </c>
      <c r="G460" s="22" t="s">
        <v>76</v>
      </c>
      <c r="H460" s="22" t="s">
        <v>940</v>
      </c>
      <c r="I460" s="26">
        <v>43747.693055555603</v>
      </c>
      <c r="J460" s="28" t="s">
        <v>51</v>
      </c>
      <c r="K460" s="28" t="s">
        <v>51</v>
      </c>
      <c r="L460" s="28" t="s">
        <v>51</v>
      </c>
      <c r="M460" s="28" t="s">
        <v>51</v>
      </c>
      <c r="N460" s="28" t="s">
        <v>51</v>
      </c>
    </row>
    <row r="461" spans="1:14" x14ac:dyDescent="0.15">
      <c r="A461" s="23" t="str">
        <f>HYPERLINK("https://www.spark-marketing.ru/Card/Person/1016125", "МБОУ СОШ № 4")</f>
        <v>МБОУ СОШ № 4</v>
      </c>
      <c r="B461" s="24" t="s">
        <v>1125</v>
      </c>
      <c r="C461" s="25">
        <v>647284</v>
      </c>
      <c r="D461" s="22" t="s">
        <v>1126</v>
      </c>
      <c r="E461" s="22" t="s">
        <v>48</v>
      </c>
      <c r="F461" s="23" t="str">
        <f>HYPERLINK("https://www.spark-marketing.ru/Card/Lot/74245261", "Оказание услуг по организации питания обучающихся")</f>
        <v>Оказание услуг по организации питания обучающихся</v>
      </c>
      <c r="G461" s="22" t="s">
        <v>97</v>
      </c>
      <c r="H461" s="22" t="s">
        <v>1127</v>
      </c>
      <c r="I461" s="26">
        <v>43747.608333333301</v>
      </c>
      <c r="J461" s="28" t="s">
        <v>51</v>
      </c>
      <c r="K461" s="28" t="s">
        <v>51</v>
      </c>
      <c r="L461" s="28" t="s">
        <v>51</v>
      </c>
      <c r="M461" s="28" t="s">
        <v>51</v>
      </c>
      <c r="N461" s="28" t="s">
        <v>51</v>
      </c>
    </row>
    <row r="462" spans="1:14" x14ac:dyDescent="0.15">
      <c r="A462" s="23" t="str">
        <f>HYPERLINK("https://www.spark-marketing.ru/Card/Person/149584", "МОУ ЛЬВОВСКАЯ ШКОЛА № 4")</f>
        <v>МОУ ЛЬВОВСКАЯ ШКОЛА № 4</v>
      </c>
      <c r="B462" s="24" t="s">
        <v>659</v>
      </c>
      <c r="C462" s="25">
        <v>491026.5</v>
      </c>
      <c r="D462" s="22" t="s">
        <v>1128</v>
      </c>
      <c r="E462" s="22" t="s">
        <v>48</v>
      </c>
      <c r="F462" s="23" t="str">
        <f>HYPERLINK("https://www.spark-marketing.ru/Card/Lot/74238786",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462" s="22" t="s">
        <v>49</v>
      </c>
      <c r="H462" s="22" t="s">
        <v>50</v>
      </c>
      <c r="I462" s="26">
        <v>43747.701215277797</v>
      </c>
      <c r="J462" s="28" t="s">
        <v>51</v>
      </c>
      <c r="K462" s="28" t="s">
        <v>51</v>
      </c>
      <c r="L462" s="28" t="s">
        <v>51</v>
      </c>
      <c r="M462" s="28" t="s">
        <v>51</v>
      </c>
      <c r="N462" s="28" t="s">
        <v>51</v>
      </c>
    </row>
    <row r="463" spans="1:14" x14ac:dyDescent="0.15">
      <c r="A463" s="23" t="str">
        <f>HYPERLINK("https://www.spark-marketing.ru/Card/Person/104631", "МБОУ ""СОШ №1""")</f>
        <v>МБОУ "СОШ №1"</v>
      </c>
      <c r="B463" s="24" t="s">
        <v>1129</v>
      </c>
      <c r="C463" s="25">
        <v>8328812</v>
      </c>
      <c r="D463" s="22" t="s">
        <v>1130</v>
      </c>
      <c r="E463" s="22" t="s">
        <v>48</v>
      </c>
      <c r="F463" s="23" t="str">
        <f>HYPERLINK("https://www.spark-marketing.ru/Card/Lot/74250539", "Оказание услуг по организации питания для обучающихся общеобразовательного учреждения (2020-2021)")</f>
        <v>Оказание услуг по организации питания для обучающихся общеобразовательного учреждения (2020-2021)</v>
      </c>
      <c r="G463" s="22" t="s">
        <v>49</v>
      </c>
      <c r="H463" s="22" t="s">
        <v>1131</v>
      </c>
      <c r="I463" s="26">
        <v>43747.675694444399</v>
      </c>
      <c r="J463" s="28" t="s">
        <v>51</v>
      </c>
      <c r="K463" s="28" t="s">
        <v>51</v>
      </c>
      <c r="L463" s="28" t="s">
        <v>51</v>
      </c>
      <c r="M463" s="28" t="s">
        <v>51</v>
      </c>
      <c r="N463" s="28" t="s">
        <v>51</v>
      </c>
    </row>
    <row r="464" spans="1:14" x14ac:dyDescent="0.15">
      <c r="A464" s="23" t="str">
        <f>HYPERLINK("https://www.spark-marketing.ru/Card/Person/22369", "АРБИТРАЖНЫЙ СУД РЕСПУБЛИКИ САХА (ЯКУТИЯ)")</f>
        <v>АРБИТРАЖНЫЙ СУД РЕСПУБЛИКИ САХА (ЯКУТИЯ)</v>
      </c>
      <c r="B464" s="24" t="s">
        <v>1132</v>
      </c>
      <c r="C464" s="25">
        <v>150000</v>
      </c>
      <c r="D464" s="22" t="s">
        <v>1133</v>
      </c>
      <c r="E464" s="22" t="s">
        <v>91</v>
      </c>
      <c r="F464" s="23" t="str">
        <f>HYPERLINK("https://www.spark-marketing.ru/Card/Lot/74235188", "оказание услуг по техническому обслуживанию и  ремонту компьютерной техники в сфере ИКТ (для субъектов малого предпринимательства или СОНО)")</f>
        <v>оказание услуг по техническому обслуживанию и  ремонту компьютерной техники в сфере ИКТ (для субъектов малого предпринимательства или СОНО)</v>
      </c>
      <c r="G464" s="22" t="s">
        <v>241</v>
      </c>
      <c r="H464" s="22" t="s">
        <v>242</v>
      </c>
      <c r="I464" s="26">
        <v>43747.439583333296</v>
      </c>
      <c r="J464" s="28" t="s">
        <v>51</v>
      </c>
      <c r="K464" s="28" t="s">
        <v>51</v>
      </c>
      <c r="L464" s="28" t="s">
        <v>51</v>
      </c>
      <c r="M464" s="28" t="s">
        <v>51</v>
      </c>
      <c r="N464" s="28" t="s">
        <v>51</v>
      </c>
    </row>
    <row r="465" spans="1:14" x14ac:dyDescent="0.15">
      <c r="A465" s="23" t="str">
        <f>HYPERLINK("https://www.spark-marketing.ru/Card/Person/51736", "МБОУ ""ПЛЕХАНОВСКАЯ СОШ""")</f>
        <v>МБОУ "ПЛЕХАНОВСКАЯ СОШ"</v>
      </c>
      <c r="B465" s="24" t="s">
        <v>1134</v>
      </c>
      <c r="C465" s="25">
        <v>1660219.61</v>
      </c>
      <c r="D465" s="22" t="s">
        <v>1135</v>
      </c>
      <c r="E465" s="22" t="s">
        <v>96</v>
      </c>
      <c r="F465" s="23" t="str">
        <f>HYPERLINK("https://www.spark-marketing.ru/Card/Lot/74248805", "Услуги по организации питания воспитанников ДОУ")</f>
        <v>Услуги по организации питания воспитанников ДОУ</v>
      </c>
      <c r="G465" s="22" t="s">
        <v>153</v>
      </c>
      <c r="H465" s="22" t="s">
        <v>153</v>
      </c>
      <c r="I465" s="26">
        <v>43747.657638888901</v>
      </c>
      <c r="J465" s="28" t="s">
        <v>51</v>
      </c>
      <c r="K465" s="28" t="s">
        <v>51</v>
      </c>
      <c r="L465" s="28" t="s">
        <v>51</v>
      </c>
      <c r="M465" s="28" t="s">
        <v>51</v>
      </c>
      <c r="N465" s="28" t="s">
        <v>51</v>
      </c>
    </row>
    <row r="466" spans="1:14" x14ac:dyDescent="0.15">
      <c r="A466" s="23" t="str">
        <f>HYPERLINK("https://www.spark-marketing.ru/Card/Person/51736", "МБОУ ""ПЛЕХАНОВСКАЯ СОШ""")</f>
        <v>МБОУ "ПЛЕХАНОВСКАЯ СОШ"</v>
      </c>
      <c r="B466" s="24" t="s">
        <v>1134</v>
      </c>
      <c r="C466" s="25">
        <v>1250782.26</v>
      </c>
      <c r="D466" s="22" t="s">
        <v>1136</v>
      </c>
      <c r="E466" s="22" t="s">
        <v>96</v>
      </c>
      <c r="F466" s="23" t="str">
        <f>HYPERLINK("https://www.spark-marketing.ru/Card/Lot/74246947", "Оказание услуг по организации горячего питания учащихся из многодетных малоимущих, малоимущих семей и учащихся с ограниченными возможностями здоровья")</f>
        <v>Оказание услуг по организации горячего питания учащихся из многодетных малоимущих, малоимущих семей и учащихся с ограниченными возможностями здоровья</v>
      </c>
      <c r="G466" s="22" t="s">
        <v>153</v>
      </c>
      <c r="H466" s="22" t="s">
        <v>153</v>
      </c>
      <c r="I466" s="26">
        <v>43747.658333333296</v>
      </c>
      <c r="J466" s="28" t="s">
        <v>51</v>
      </c>
      <c r="K466" s="28" t="s">
        <v>51</v>
      </c>
      <c r="L466" s="28" t="s">
        <v>51</v>
      </c>
      <c r="M466" s="28" t="s">
        <v>51</v>
      </c>
      <c r="N466" s="28" t="s">
        <v>51</v>
      </c>
    </row>
    <row r="467" spans="1:14" x14ac:dyDescent="0.15">
      <c r="A467" s="23" t="str">
        <f>HYPERLINK("https://www.spark-marketing.ru/Card/Person/238985", "МБОУ ""СОШ №1 Г. НИКОЛЬСКА""")</f>
        <v>МБОУ "СОШ №1 Г. НИКОЛЬСКА"</v>
      </c>
      <c r="B467" s="24" t="s">
        <v>1137</v>
      </c>
      <c r="C467" s="25">
        <v>70000</v>
      </c>
      <c r="D467" s="22" t="s">
        <v>1138</v>
      </c>
      <c r="E467" s="22" t="s">
        <v>48</v>
      </c>
      <c r="F467" s="23" t="str">
        <f>HYPERLINK("https://www.spark-marketing.ru/Card/Lot/74241280", "оказание услуг по организации горячего питания")</f>
        <v>оказание услуг по организации горячего питания</v>
      </c>
      <c r="G467" s="22" t="s">
        <v>503</v>
      </c>
      <c r="H467" s="22" t="s">
        <v>503</v>
      </c>
      <c r="I467" s="26">
        <v>43747.652083333298</v>
      </c>
      <c r="J467" s="28" t="s">
        <v>51</v>
      </c>
      <c r="K467" s="28" t="s">
        <v>51</v>
      </c>
      <c r="L467" s="28" t="s">
        <v>51</v>
      </c>
      <c r="M467" s="28" t="s">
        <v>51</v>
      </c>
      <c r="N467" s="28" t="s">
        <v>51</v>
      </c>
    </row>
    <row r="468" spans="1:14" x14ac:dyDescent="0.15">
      <c r="A468" s="23" t="str">
        <f>HYPERLINK("https://www.spark-marketing.ru/Card/Person/28216", "БУЗ РА ""ПЦ""")</f>
        <v>БУЗ РА "ПЦ"</v>
      </c>
      <c r="B468" s="24" t="s">
        <v>1139</v>
      </c>
      <c r="C468" s="25">
        <v>8937500</v>
      </c>
      <c r="D468" s="22" t="s">
        <v>1140</v>
      </c>
      <c r="E468" s="22" t="s">
        <v>48</v>
      </c>
      <c r="F468" s="23" t="str">
        <f>HYPERLINK("https://www.spark-marketing.ru/Card/Lot/74251091", "Оказание услуг по организации лечебного питания для больных, находящихся на стационарном лечении в БУЗ РА «Перинатальный центр»")</f>
        <v>Оказание услуг по организации лечебного питания для больных, находящихся на стационарном лечении в БУЗ РА «Перинатальный центр»</v>
      </c>
      <c r="G468" s="22" t="s">
        <v>1141</v>
      </c>
      <c r="H468" s="22" t="s">
        <v>1142</v>
      </c>
      <c r="I468" s="26">
        <v>43747.497222222199</v>
      </c>
      <c r="J468" s="28" t="s">
        <v>51</v>
      </c>
      <c r="K468" s="28" t="s">
        <v>51</v>
      </c>
      <c r="L468" s="28" t="s">
        <v>51</v>
      </c>
      <c r="M468" s="28" t="s">
        <v>51</v>
      </c>
      <c r="N468" s="28" t="s">
        <v>51</v>
      </c>
    </row>
    <row r="469" spans="1:14" x14ac:dyDescent="0.15">
      <c r="A469" s="23" t="str">
        <f>HYPERLINK("https://www.spark-marketing.ru/Card/Person/2086234", "ГАОУ ""ЛИЦЕЙ ИННОПОЛИС""")</f>
        <v>ГАОУ "ЛИЦЕЙ ИННОПОЛИС"</v>
      </c>
      <c r="B469" s="24" t="s">
        <v>1143</v>
      </c>
      <c r="C469" s="25">
        <v>2504700</v>
      </c>
      <c r="D469" s="22" t="s">
        <v>1144</v>
      </c>
      <c r="E469" s="22" t="s">
        <v>48</v>
      </c>
      <c r="F469" s="23" t="str">
        <f>HYPERLINK("https://www.spark-marketing.ru/Card/Lot/74251177", "Оказание услуг по обеспечению горячим питанием учащихся")</f>
        <v>Оказание услуг по обеспечению горячим питанием учащихся</v>
      </c>
      <c r="G469" s="22" t="s">
        <v>217</v>
      </c>
      <c r="H469" s="22" t="s">
        <v>1145</v>
      </c>
      <c r="I469" s="26">
        <v>43747.656944444403</v>
      </c>
      <c r="J469" s="28" t="s">
        <v>51</v>
      </c>
      <c r="K469" s="28" t="s">
        <v>51</v>
      </c>
      <c r="L469" s="28" t="s">
        <v>51</v>
      </c>
      <c r="M469" s="28" t="s">
        <v>51</v>
      </c>
      <c r="N469" s="28" t="s">
        <v>51</v>
      </c>
    </row>
    <row r="470" spans="1:14" x14ac:dyDescent="0.15">
      <c r="A470" s="23" t="str">
        <f>HYPERLINK("https://www.spark-marketing.ru/Card/Person/15343", "ОТДЕЛ МВД РОССИИ ПО Г. КИСЕЛЕВСКУ")</f>
        <v>ОТДЕЛ МВД РОССИИ ПО Г. КИСЕЛЕВСКУ</v>
      </c>
      <c r="B470" s="24" t="s">
        <v>1146</v>
      </c>
      <c r="C470" s="25">
        <v>1635000</v>
      </c>
      <c r="D470" s="22" t="s">
        <v>1147</v>
      </c>
      <c r="E470" s="22" t="s">
        <v>48</v>
      </c>
      <c r="F470" s="23" t="str">
        <f>HYPERLINK("https://www.spark-marketing.ru/Card/Lot/74247978", "Оказание услуг по обеспечению горячим трехразовым питанием")</f>
        <v>Оказание услуг по обеспечению горячим трехразовым питанием</v>
      </c>
      <c r="G470" s="22" t="s">
        <v>304</v>
      </c>
      <c r="H470" s="22" t="s">
        <v>1148</v>
      </c>
      <c r="I470" s="26">
        <v>43747.420138888898</v>
      </c>
      <c r="J470" s="28" t="s">
        <v>51</v>
      </c>
      <c r="K470" s="28" t="s">
        <v>51</v>
      </c>
      <c r="L470" s="28" t="s">
        <v>51</v>
      </c>
      <c r="M470" s="28" t="s">
        <v>51</v>
      </c>
      <c r="N470" s="28" t="s">
        <v>51</v>
      </c>
    </row>
    <row r="471" spans="1:14" x14ac:dyDescent="0.15">
      <c r="A471" s="23" t="str">
        <f>HYPERLINK("https://www.spark-marketing.ru/Card/Person/114449", "ГБДОУ ДЕТСКИЙ САД № 21 КОМБИНИРОВАННОГО ВИДА ПЕТРОДВОРЦОВОГО РАЙОНА САНКТ-ПЕТЕРБУРГА")</f>
        <v>ГБДОУ ДЕТСКИЙ САД № 21 КОМБИНИРОВАННОГО ВИДА ПЕТРОДВОРЦОВОГО РАЙОНА САНКТ-ПЕТЕРБУРГА</v>
      </c>
      <c r="B471" s="24" t="s">
        <v>1149</v>
      </c>
      <c r="C471" s="25">
        <v>23116.67</v>
      </c>
      <c r="D471" s="22" t="s">
        <v>1150</v>
      </c>
      <c r="E471" s="22" t="s">
        <v>51</v>
      </c>
      <c r="F471" s="23" t="str">
        <f>HYPERLINK("https://www.spark-marketing.ru/Card/Lot/74240581", "Оказание услуг по исследованию продуктов питания")</f>
        <v>Оказание услуг по исследованию продуктов питания</v>
      </c>
      <c r="G471" s="22" t="s">
        <v>117</v>
      </c>
      <c r="H471" s="22" t="s">
        <v>117</v>
      </c>
      <c r="I471" s="26">
        <v>43747.602534722202</v>
      </c>
      <c r="J471" s="28" t="s">
        <v>51</v>
      </c>
      <c r="K471" s="28" t="s">
        <v>51</v>
      </c>
      <c r="L471" s="28" t="s">
        <v>51</v>
      </c>
      <c r="M471" s="28" t="s">
        <v>51</v>
      </c>
      <c r="N471" s="28" t="s">
        <v>51</v>
      </c>
    </row>
    <row r="472" spans="1:14" x14ac:dyDescent="0.15">
      <c r="A472" s="23" t="str">
        <f>HYPERLINK("https://www.spark-marketing.ru/Card/Person/6497198", "ГКУ ""АЗ СЗ""")</f>
        <v>ГКУ "АЗ СЗ"</v>
      </c>
      <c r="B472" s="24" t="s">
        <v>1151</v>
      </c>
      <c r="C472" s="25">
        <v>5500000</v>
      </c>
      <c r="D472" s="22" t="s">
        <v>1152</v>
      </c>
      <c r="E472" s="22" t="s">
        <v>1153</v>
      </c>
      <c r="F472" s="23" t="str">
        <f>HYPERLINK("https://www.spark-marketing.ru/Card/Lot/74250407", "Оказание услуг по приемке от поставщиков, хранению, учету, управлению товарными запасами, доставке и отпуску аптечными организациями закупленных лекарственных препаратов для медицинского применения, медицинских изделий и специализированных продуктов ...")</f>
        <v>Оказание услуг по приемке от поставщиков, хранению, учету, управлению товарными запасами, доставке и отпуску аптечными организациями закупленных лекарственных препаратов для медицинского применения, медицинских изделий и специализированных продуктов ...</v>
      </c>
      <c r="G472" s="22" t="s">
        <v>304</v>
      </c>
      <c r="H472" s="22" t="s">
        <v>1154</v>
      </c>
      <c r="I472" s="26">
        <v>43747.421527777798</v>
      </c>
      <c r="J472" s="28" t="s">
        <v>51</v>
      </c>
      <c r="K472" s="28" t="s">
        <v>51</v>
      </c>
      <c r="L472" s="28" t="s">
        <v>51</v>
      </c>
      <c r="M472" s="28" t="s">
        <v>51</v>
      </c>
      <c r="N472" s="28" t="s">
        <v>51</v>
      </c>
    </row>
    <row r="473" spans="1:14" x14ac:dyDescent="0.15">
      <c r="A473" s="23" t="str">
        <f>HYPERLINK("https://www.spark-marketing.ru/Card/Person/6491178", "БУЗ ВО ""ЧЕРЕПОВЕЦКАЯ ГОРОДСКАЯ БОЛЬНИЦА""")</f>
        <v>БУЗ ВО "ЧЕРЕПОВЕЦКАЯ ГОРОДСКАЯ БОЛЬНИЦА"</v>
      </c>
      <c r="B473" s="24" t="s">
        <v>1155</v>
      </c>
      <c r="C473" s="25">
        <v>9332847</v>
      </c>
      <c r="D473" s="22" t="s">
        <v>1156</v>
      </c>
      <c r="E473" s="22" t="s">
        <v>96</v>
      </c>
      <c r="F473" s="23" t="str">
        <f>HYPERLINK("https://www.spark-marketing.ru/Card/Lot/74250551", "Оказание услуг по организации лечебного питания для пациентов")</f>
        <v>Оказание услуг по организации лечебного питания для пациентов</v>
      </c>
      <c r="G473" s="22" t="s">
        <v>503</v>
      </c>
      <c r="H473" s="22" t="s">
        <v>1157</v>
      </c>
      <c r="I473" s="26">
        <v>43747.614583333299</v>
      </c>
      <c r="J473" s="28" t="s">
        <v>51</v>
      </c>
      <c r="K473" s="28" t="s">
        <v>51</v>
      </c>
      <c r="L473" s="28" t="s">
        <v>51</v>
      </c>
      <c r="M473" s="28" t="s">
        <v>51</v>
      </c>
      <c r="N473" s="28" t="s">
        <v>51</v>
      </c>
    </row>
    <row r="474" spans="1:14" x14ac:dyDescent="0.15">
      <c r="A474" s="23" t="str">
        <f>HYPERLINK("https://www.spark-marketing.ru/Card/Person/147987", "МУ ""СЦ ИМ.А.ГРИНИНА""")</f>
        <v>МУ "СЦ ИМ.А.ГРИНИНА"</v>
      </c>
      <c r="B474" s="24" t="s">
        <v>1158</v>
      </c>
      <c r="C474" s="25">
        <v>69000</v>
      </c>
      <c r="D474" s="22" t="s">
        <v>1159</v>
      </c>
      <c r="E474" s="22" t="s">
        <v>48</v>
      </c>
      <c r="F474" s="23" t="str">
        <f>HYPERLINK("https://www.spark-marketing.ru/Card/Lot/74234983", "Оказание услуги по организации двухразового питания для детей в 2019 г.")</f>
        <v>Оказание услуги по организации двухразового питания для детей в 2019 г.</v>
      </c>
      <c r="G474" s="22" t="s">
        <v>49</v>
      </c>
      <c r="H474" s="22" t="s">
        <v>1160</v>
      </c>
      <c r="I474" s="26">
        <v>43747.5550925926</v>
      </c>
      <c r="J474" s="28" t="s">
        <v>51</v>
      </c>
      <c r="K474" s="28" t="s">
        <v>51</v>
      </c>
      <c r="L474" s="28" t="s">
        <v>51</v>
      </c>
      <c r="M474" s="28" t="s">
        <v>51</v>
      </c>
      <c r="N474" s="28" t="s">
        <v>51</v>
      </c>
    </row>
    <row r="475" spans="1:14" x14ac:dyDescent="0.15">
      <c r="A475" s="23" t="str">
        <f>HYPERLINK("https://www.spark-marketing.ru/Card/Person/78134", "ОМВД РОССИИ ПО БЕЛГОРОДСКОМУ РАЙОНУ")</f>
        <v>ОМВД РОССИИ ПО БЕЛГОРОДСКОМУ РАЙОНУ</v>
      </c>
      <c r="B475" s="24" t="s">
        <v>1161</v>
      </c>
      <c r="C475" s="25">
        <v>1783888</v>
      </c>
      <c r="D475" s="22" t="s">
        <v>1162</v>
      </c>
      <c r="E475" s="22" t="s">
        <v>48</v>
      </c>
      <c r="F475" s="23" t="str">
        <f>HYPERLINK("https://www.spark-marketing.ru/Card/Lot/74248119", "оказание услуг по организации ежедневного 3-х разового питания для лиц, подозреваемых и обвиняемых в совершении преступлений, содержащихся в Изоляторе временного содержания подозреваемых и обвиняемых ОМВД России по Белгородскому району и арестованных...")</f>
        <v>оказание услуг по организации ежедневного 3-х разового питания для лиц, подозреваемых и обвиняемых в совершении преступлений, содержащихся в Изоляторе временного содержания подозреваемых и обвиняемых ОМВД России по Белгородскому району и арестованных...</v>
      </c>
      <c r="G475" s="22" t="s">
        <v>696</v>
      </c>
      <c r="H475" s="22" t="s">
        <v>1163</v>
      </c>
      <c r="I475" s="26">
        <v>43747.536805555603</v>
      </c>
      <c r="J475" s="28" t="s">
        <v>51</v>
      </c>
      <c r="K475" s="28" t="s">
        <v>51</v>
      </c>
      <c r="L475" s="28" t="s">
        <v>51</v>
      </c>
      <c r="M475" s="28" t="s">
        <v>51</v>
      </c>
      <c r="N475" s="28" t="s">
        <v>51</v>
      </c>
    </row>
    <row r="476" spans="1:14" x14ac:dyDescent="0.15">
      <c r="A476" s="23" t="str">
        <f>HYPERLINK("https://www.spark-marketing.ru/Card/Person/92453", "ГБПОУ МО ""УОР № 3""")</f>
        <v>ГБПОУ МО "УОР № 3"</v>
      </c>
      <c r="B476" s="24" t="s">
        <v>1164</v>
      </c>
      <c r="C476" s="25">
        <v>115200</v>
      </c>
      <c r="D476" s="22" t="s">
        <v>1165</v>
      </c>
      <c r="E476" s="22" t="s">
        <v>48</v>
      </c>
      <c r="F476" s="23" t="str">
        <f>HYPERLINK("https://www.spark-marketing.ru/Card/Lot/74233470", "Услуги по организации питания лиц, проходящих спортивную подготовку во время проведения тренировочных мероприятий (спортивная борьба) с октября по декабрь")</f>
        <v>Услуги по организации питания лиц, проходящих спортивную подготовку во время проведения тренировочных мероприятий (спортивная борьба) с октября по декабрь</v>
      </c>
      <c r="G476" s="22" t="s">
        <v>49</v>
      </c>
      <c r="H476" s="22" t="s">
        <v>631</v>
      </c>
      <c r="I476" s="26">
        <v>43747.5246990741</v>
      </c>
      <c r="J476" s="28" t="s">
        <v>51</v>
      </c>
      <c r="K476" s="28" t="s">
        <v>51</v>
      </c>
      <c r="L476" s="28" t="s">
        <v>51</v>
      </c>
      <c r="M476" s="28" t="s">
        <v>51</v>
      </c>
      <c r="N476" s="28" t="s">
        <v>51</v>
      </c>
    </row>
    <row r="477" spans="1:14" x14ac:dyDescent="0.15">
      <c r="A477" s="23" t="str">
        <f>HYPERLINK("https://www.spark-marketing.ru/Card/Person/6654503", "КРАСНОЯРСКАЯ ДИРЕКЦИЯ УПРАВЛЕНИЯ ДВИЖЕНИЕМ – СТРУКТУРНОЕ ПОДРАЗДЕЛЕНИЕ ЦЕНТРАЛЬНОЙ ДИРЕКЦИИ УПРАВЛЕНИЯ ДВИЖЕНИЕМ – ФЛ ОАО РЖД")</f>
        <v>КРАСНОЯРСКАЯ ДИРЕКЦИЯ УПРАВЛЕНИЯ ДВИЖЕНИЕМ – СТРУКТУРНОЕ ПОДРАЗДЕЛЕНИЕ ЦЕНТРАЛЬНОЙ ДИРЕКЦИИ УПРАВЛЕНИЯ ДВИЖЕНИЕМ – ФЛ ОАО РЖД</v>
      </c>
      <c r="B477" s="24" t="s">
        <v>330</v>
      </c>
      <c r="C477" s="25">
        <v>105890</v>
      </c>
      <c r="D477" s="28" t="s">
        <v>51</v>
      </c>
      <c r="E477" s="22" t="s">
        <v>1166</v>
      </c>
      <c r="F477" s="23" t="str">
        <f>HYPERLINK("https://www.spark-marketing.ru/Card/Lot/74233390", "№29046 Оказание услуг по утилизации оргтехники Красноярской дирекции управления движением")</f>
        <v>№29046 Оказание услуг по утилизации оргтехники Красноярской дирекции управления движением</v>
      </c>
      <c r="G477" s="22" t="s">
        <v>51</v>
      </c>
      <c r="H477" s="22" t="s">
        <v>51</v>
      </c>
      <c r="I477" s="26">
        <v>43747.538993055598</v>
      </c>
      <c r="J477" s="28" t="s">
        <v>51</v>
      </c>
      <c r="K477" s="28" t="s">
        <v>51</v>
      </c>
      <c r="L477" s="28" t="s">
        <v>51</v>
      </c>
      <c r="M477" s="28" t="s">
        <v>51</v>
      </c>
      <c r="N477" s="28" t="s">
        <v>51</v>
      </c>
    </row>
    <row r="478" spans="1:14" x14ac:dyDescent="0.15">
      <c r="A478" s="23" t="str">
        <f>HYPERLINK("https://www.spark-marketing.ru/Card/Person/78134", "ОМВД РОССИИ ПО БЕЛГОРОДСКОМУ РАЙОНУ")</f>
        <v>ОМВД РОССИИ ПО БЕЛГОРОДСКОМУ РАЙОНУ</v>
      </c>
      <c r="B478" s="24" t="s">
        <v>1161</v>
      </c>
      <c r="C478" s="25">
        <v>1783888</v>
      </c>
      <c r="D478" s="22" t="s">
        <v>1167</v>
      </c>
      <c r="E478" s="22" t="s">
        <v>48</v>
      </c>
      <c r="F478" s="23" t="str">
        <f>HYPERLINK("https://www.spark-marketing.ru/Card/Lot/74248120", "оказание услуг по организации ежедневного 3-х разового питания для лиц, подозреваемых и обвиняемых в совершении преступлений, содержащихся в Изоляторе временного содержания подозреваемых и обвиняемых ОМВД России по Белгородскому району и арестованных...")</f>
        <v>оказание услуг по организации ежедневного 3-х разового питания для лиц, подозреваемых и обвиняемых в совершении преступлений, содержащихся в Изоляторе временного содержания подозреваемых и обвиняемых ОМВД России по Белгородскому району и арестованных...</v>
      </c>
      <c r="G478" s="22" t="s">
        <v>696</v>
      </c>
      <c r="H478" s="22" t="s">
        <v>1163</v>
      </c>
      <c r="I478" s="26">
        <v>43747.509988425903</v>
      </c>
      <c r="J478" s="28" t="s">
        <v>51</v>
      </c>
      <c r="K478" s="28" t="s">
        <v>51</v>
      </c>
      <c r="L478" s="28" t="s">
        <v>51</v>
      </c>
      <c r="M478" s="28" t="s">
        <v>51</v>
      </c>
      <c r="N478" s="28" t="s">
        <v>51</v>
      </c>
    </row>
    <row r="479" spans="1:14" x14ac:dyDescent="0.15">
      <c r="A479" s="23" t="str">
        <f>HYPERLINK("https://www.spark-marketing.ru/Card/Person/24080", "ГБУЗ ""ГБ"" Г.СОЛЬ-ИЛЕЦКА""")</f>
        <v>ГБУЗ "ГБ" Г.СОЛЬ-ИЛЕЦКА"</v>
      </c>
      <c r="B479" s="24" t="s">
        <v>1099</v>
      </c>
      <c r="C479" s="25">
        <v>378233.38</v>
      </c>
      <c r="D479" s="22" t="s">
        <v>1168</v>
      </c>
      <c r="E479" s="22" t="s">
        <v>809</v>
      </c>
      <c r="F479" s="23" t="str">
        <f>HYPERLINK("https://www.spark-marketing.ru/Card/Lot/74239489", "на поставку автоматизированного рабочего места")</f>
        <v>на поставку автоматизированного рабочего места</v>
      </c>
      <c r="G479" s="22" t="s">
        <v>132</v>
      </c>
      <c r="H479" s="22" t="s">
        <v>1101</v>
      </c>
      <c r="I479" s="26">
        <v>43747.4465277778</v>
      </c>
      <c r="J479" s="28" t="s">
        <v>51</v>
      </c>
      <c r="K479" s="28" t="s">
        <v>51</v>
      </c>
      <c r="L479" s="28" t="s">
        <v>51</v>
      </c>
      <c r="M479" s="28" t="s">
        <v>51</v>
      </c>
      <c r="N479" s="28" t="s">
        <v>51</v>
      </c>
    </row>
    <row r="480" spans="1:14" x14ac:dyDescent="0.15">
      <c r="A480" s="23" t="str">
        <f>HYPERLINK("https://www.spark-marketing.ru/Card/Person/86509", "МБОУ РЖАВСКАЯ СОШ")</f>
        <v>МБОУ РЖАВСКАЯ СОШ</v>
      </c>
      <c r="B480" s="24" t="s">
        <v>1169</v>
      </c>
      <c r="C480" s="25">
        <v>72000</v>
      </c>
      <c r="D480" s="22" t="s">
        <v>1170</v>
      </c>
      <c r="E480" s="22" t="s">
        <v>48</v>
      </c>
      <c r="F480" s="23" t="str">
        <f>HYPERLINK("https://www.spark-marketing.ru/Card/Lot/74233465", "питание детей в осеннем лагере")</f>
        <v>питание детей в осеннем лагере</v>
      </c>
      <c r="G480" s="22" t="s">
        <v>49</v>
      </c>
      <c r="H480" s="22" t="s">
        <v>204</v>
      </c>
      <c r="I480" s="26">
        <v>43747.524571759299</v>
      </c>
      <c r="J480" s="28" t="s">
        <v>51</v>
      </c>
      <c r="K480" s="28" t="s">
        <v>51</v>
      </c>
      <c r="L480" s="28" t="s">
        <v>51</v>
      </c>
      <c r="M480" s="28" t="s">
        <v>51</v>
      </c>
      <c r="N480" s="28" t="s">
        <v>51</v>
      </c>
    </row>
    <row r="481" spans="1:14" x14ac:dyDescent="0.15">
      <c r="A481" s="23" t="str">
        <f>HYPERLINK("https://www.spark-marketing.ru/Card/Person/5169", "ОМВД РОССИИ ПО ПУРОВСКОМУ РАЙОНУ")</f>
        <v>ОМВД РОССИИ ПО ПУРОВСКОМУ РАЙОНУ</v>
      </c>
      <c r="B481" s="24" t="s">
        <v>1171</v>
      </c>
      <c r="C481" s="25">
        <v>1580000</v>
      </c>
      <c r="D481" s="22" t="s">
        <v>1172</v>
      </c>
      <c r="E481" s="22" t="s">
        <v>48</v>
      </c>
      <c r="F481" s="23" t="str">
        <f>HYPERLINK("https://www.spark-marketing.ru/Card/Lot/74247965", "Оказание услуг по организации (изготовлению и поставке) продукции горячего питания для лиц, содержащихся в ИВС и специальных помещениях ДЧ ОМВД России по Пуровскому району")</f>
        <v>Оказание услуг по организации (изготовлению и поставке) продукции горячего питания для лиц, содержащихся в ИВС и специальных помещениях ДЧ ОМВД России по Пуровскому району</v>
      </c>
      <c r="G481" s="22" t="s">
        <v>1056</v>
      </c>
      <c r="H481" s="22" t="s">
        <v>1173</v>
      </c>
      <c r="I481" s="26">
        <v>43747.477083333302</v>
      </c>
      <c r="J481" s="28" t="s">
        <v>51</v>
      </c>
      <c r="K481" s="28" t="s">
        <v>51</v>
      </c>
      <c r="L481" s="28" t="s">
        <v>51</v>
      </c>
      <c r="M481" s="28" t="s">
        <v>51</v>
      </c>
      <c r="N481" s="28" t="s">
        <v>51</v>
      </c>
    </row>
    <row r="482" spans="1:14" x14ac:dyDescent="0.15">
      <c r="A482" s="23" t="str">
        <f>HYPERLINK("https://www.spark-marketing.ru/Card/Person/61884", "ГБУЗ ""ДГП № 61 ДЗМ""")</f>
        <v>ГБУЗ "ДГП № 61 ДЗМ"</v>
      </c>
      <c r="B482" s="24" t="s">
        <v>1174</v>
      </c>
      <c r="C482" s="25">
        <v>764083.35</v>
      </c>
      <c r="D482" s="22" t="s">
        <v>1175</v>
      </c>
      <c r="E482" s="22" t="s">
        <v>756</v>
      </c>
      <c r="F482" s="23" t="str">
        <f>HYPERLINK("https://www.spark-marketing.ru/Card/Lot/74245623", "Оказание услуг по комплексному обслуживанию систем охранно-пожарной сигнализации в ГБУЗ «ДГП № 61 ДЗМ» за 12 мес. 2020 года")</f>
        <v>Оказание услуг по комплексному обслуживанию систем охранно-пожарной сигнализации в ГБУЗ «ДГП № 61 ДЗМ» за 12 мес. 2020 года</v>
      </c>
      <c r="G482" s="22" t="s">
        <v>56</v>
      </c>
      <c r="H482" s="22" t="s">
        <v>56</v>
      </c>
      <c r="I482" s="26">
        <v>43747.444479166697</v>
      </c>
      <c r="J482" s="28" t="s">
        <v>51</v>
      </c>
      <c r="K482" s="28" t="s">
        <v>51</v>
      </c>
      <c r="L482" s="28" t="s">
        <v>51</v>
      </c>
      <c r="M482" s="28" t="s">
        <v>51</v>
      </c>
      <c r="N482" s="28" t="s">
        <v>51</v>
      </c>
    </row>
    <row r="483" spans="1:14" x14ac:dyDescent="0.15">
      <c r="A483" s="23" t="str">
        <f>HYPERLINK("https://www.spark-marketing.ru/Card/Person/58043", "ГБУЗ АРХАНГЕЛЬСКОЙ ОБЛАСТИ ""СЕВЕРОДВИНСКИЙ РОДИЛЬНЫЙ ДОМ""")</f>
        <v>ГБУЗ АРХАНГЕЛЬСКОЙ ОБЛАСТИ "СЕВЕРОДВИНСКИЙ РОДИЛЬНЫЙ ДОМ"</v>
      </c>
      <c r="B483" s="24" t="s">
        <v>1176</v>
      </c>
      <c r="C483" s="25">
        <v>21900000</v>
      </c>
      <c r="D483" s="22" t="s">
        <v>1177</v>
      </c>
      <c r="E483" s="22" t="s">
        <v>48</v>
      </c>
      <c r="F483" s="23" t="str">
        <f>HYPERLINK("https://www.spark-marketing.ru/Card/Lot/74250970", "Оказание услуг по организации лечебного питания пациентов, находящихся в круглосуточном стационаре ГБУЗ Архангельской области «Северодвинский родильный дом»")</f>
        <v>Оказание услуг по организации лечебного питания пациентов, находящихся в круглосуточном стационаре ГБУЗ Архангельской области «Северодвинский родильный дом»</v>
      </c>
      <c r="G483" s="22" t="s">
        <v>214</v>
      </c>
      <c r="H483" s="22" t="s">
        <v>1178</v>
      </c>
      <c r="I483" s="26">
        <v>43747.418055555601</v>
      </c>
      <c r="J483" s="28" t="s">
        <v>51</v>
      </c>
      <c r="K483" s="28" t="s">
        <v>51</v>
      </c>
      <c r="L483" s="28" t="s">
        <v>51</v>
      </c>
      <c r="M483" s="28" t="s">
        <v>51</v>
      </c>
      <c r="N483" s="28" t="s">
        <v>51</v>
      </c>
    </row>
    <row r="484" spans="1:14" x14ac:dyDescent="0.15">
      <c r="A484" s="23" t="s">
        <v>114</v>
      </c>
      <c r="B484" s="28" t="s">
        <v>51</v>
      </c>
      <c r="C484" s="25">
        <v>35641191.350000001</v>
      </c>
      <c r="D484" s="22" t="s">
        <v>1179</v>
      </c>
      <c r="E484" s="22" t="s">
        <v>96</v>
      </c>
      <c r="F484" s="23" t="str">
        <f>HYPERLINK("https://www.spark-marketing.ru/Card/Lot/74250977",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</v>
      </c>
      <c r="G484" s="22" t="s">
        <v>51</v>
      </c>
      <c r="H484" s="22" t="s">
        <v>51</v>
      </c>
      <c r="I484" s="26">
        <v>43747.423437500001</v>
      </c>
      <c r="J484" s="28" t="s">
        <v>51</v>
      </c>
      <c r="K484" s="28" t="s">
        <v>51</v>
      </c>
      <c r="L484" s="28" t="s">
        <v>51</v>
      </c>
      <c r="M484" s="28" t="s">
        <v>51</v>
      </c>
      <c r="N484" s="28" t="s">
        <v>51</v>
      </c>
    </row>
    <row r="485" spans="1:14" hidden="1" outlineLevel="1" x14ac:dyDescent="0.15">
      <c r="A485" s="23" t="str">
        <f>HYPERLINK("https://www.spark-marketing.ru/Card/Person/31522", "ГБОУ ШКОЛА № 83 ВЫБОРГСКОГО РАЙОНА САНКТ-ПЕТЕРБУРГА")</f>
        <v>ГБОУ ШКОЛА № 83 ВЫБОРГСКОГО РАЙОНА САНКТ-ПЕТЕРБУРГА</v>
      </c>
      <c r="B485" s="24" t="s">
        <v>1180</v>
      </c>
      <c r="C485" s="25">
        <v>13311171.48</v>
      </c>
      <c r="D485" s="22" t="s">
        <v>1179</v>
      </c>
      <c r="E485" s="22" t="s">
        <v>96</v>
      </c>
      <c r="F485" s="23" t="str">
        <f>HYPERLINK("https://www.spark-marketing.ru/Card/Lot/74250977",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</v>
      </c>
      <c r="G485" s="22" t="s">
        <v>117</v>
      </c>
      <c r="H485" s="22" t="s">
        <v>117</v>
      </c>
      <c r="I485" s="26">
        <v>43747.423437500001</v>
      </c>
      <c r="J485" s="28" t="s">
        <v>51</v>
      </c>
      <c r="K485" s="28" t="s">
        <v>51</v>
      </c>
      <c r="L485" s="28" t="s">
        <v>51</v>
      </c>
      <c r="M485" s="28" t="s">
        <v>51</v>
      </c>
      <c r="N485" s="28" t="s">
        <v>51</v>
      </c>
    </row>
    <row r="486" spans="1:14" hidden="1" outlineLevel="1" x14ac:dyDescent="0.15">
      <c r="A486" s="23" t="str">
        <f>HYPERLINK("https://www.spark-marketing.ru/Card/Person/38175", "ГБОУ ШКОЛА № 559")</f>
        <v>ГБОУ ШКОЛА № 559</v>
      </c>
      <c r="B486" s="24" t="s">
        <v>1181</v>
      </c>
      <c r="C486" s="25">
        <v>9827302.1600000001</v>
      </c>
      <c r="D486" s="22" t="s">
        <v>1179</v>
      </c>
      <c r="E486" s="22" t="s">
        <v>96</v>
      </c>
      <c r="F486" s="23" t="str">
        <f>HYPERLINK("https://www.spark-marketing.ru/Card/Lot/74250977",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</v>
      </c>
      <c r="G486" s="22" t="s">
        <v>117</v>
      </c>
      <c r="H486" s="22" t="s">
        <v>117</v>
      </c>
      <c r="I486" s="26">
        <v>43747.423437500001</v>
      </c>
      <c r="J486" s="28" t="s">
        <v>51</v>
      </c>
      <c r="K486" s="28" t="s">
        <v>51</v>
      </c>
      <c r="L486" s="28" t="s">
        <v>51</v>
      </c>
      <c r="M486" s="28" t="s">
        <v>51</v>
      </c>
      <c r="N486" s="28" t="s">
        <v>51</v>
      </c>
    </row>
    <row r="487" spans="1:14" hidden="1" outlineLevel="1" x14ac:dyDescent="0.15">
      <c r="A487" s="23" t="str">
        <f>HYPERLINK("https://www.spark-marketing.ru/Card/Person/140465", "ГБОУ ГИМНАЗИЯ № 114 ВЫБОРГСКОГО РАЙОНА САНКТ-ПЕТЕРБУРГА")</f>
        <v>ГБОУ ГИМНАЗИЯ № 114 ВЫБОРГСКОГО РАЙОНА САНКТ-ПЕТЕРБУРГА</v>
      </c>
      <c r="B487" s="24" t="s">
        <v>1182</v>
      </c>
      <c r="C487" s="25">
        <v>12502717.710000001</v>
      </c>
      <c r="D487" s="22" t="s">
        <v>1179</v>
      </c>
      <c r="E487" s="22" t="s">
        <v>96</v>
      </c>
      <c r="F487" s="23" t="str">
        <f>HYPERLINK("https://www.spark-marketing.ru/Card/Lot/74250977", "Оказание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№...")</f>
        <v>Оказание услуг по организации питания в государственных бюджетных общеобразовательных учреждениях Выборгского района Санкт-Петербурга в 2020-2021 гг. (организатор совместной закупки: Государственное бюджетное общеобразовательное учреждение гимназия №...</v>
      </c>
      <c r="G487" s="22" t="s">
        <v>117</v>
      </c>
      <c r="H487" s="22" t="s">
        <v>117</v>
      </c>
      <c r="I487" s="26">
        <v>43747.423437500001</v>
      </c>
      <c r="J487" s="28" t="s">
        <v>51</v>
      </c>
      <c r="K487" s="28" t="s">
        <v>51</v>
      </c>
      <c r="L487" s="28" t="s">
        <v>51</v>
      </c>
      <c r="M487" s="28" t="s">
        <v>51</v>
      </c>
      <c r="N487" s="28" t="s">
        <v>51</v>
      </c>
    </row>
    <row r="488" spans="1:14" x14ac:dyDescent="0.15">
      <c r="A488" s="23" t="str">
        <f>HYPERLINK("https://www.spark-marketing.ru/Card/Person/111494", "МБОУ ""СОШ №11""")</f>
        <v>МБОУ "СОШ №11"</v>
      </c>
      <c r="B488" s="24" t="s">
        <v>1183</v>
      </c>
      <c r="C488" s="25">
        <v>499070.39</v>
      </c>
      <c r="D488" s="22" t="s">
        <v>1184</v>
      </c>
      <c r="E488" s="22" t="s">
        <v>48</v>
      </c>
      <c r="F488" s="23" t="str">
        <f>HYPERLINK("https://www.spark-marketing.ru/Card/Lot/74240068", "Оказание услуг по организации питания обучающихся в МБОУ ""Средняя общеобразовательная школа №11"" (12.11-28.11.2019 г.)")</f>
        <v>Оказание услуг по организации питания обучающихся в МБОУ "Средняя общеобразовательная школа №11" (12.11-28.11.2019 г.)</v>
      </c>
      <c r="G488" s="22" t="s">
        <v>49</v>
      </c>
      <c r="H488" s="22" t="s">
        <v>1185</v>
      </c>
      <c r="I488" s="26">
        <v>43747.4194444444</v>
      </c>
      <c r="J488" s="28" t="s">
        <v>51</v>
      </c>
      <c r="K488" s="28" t="s">
        <v>51</v>
      </c>
      <c r="L488" s="28" t="s">
        <v>51</v>
      </c>
      <c r="M488" s="28" t="s">
        <v>51</v>
      </c>
      <c r="N488" s="28" t="s">
        <v>51</v>
      </c>
    </row>
    <row r="489" spans="1:14" ht="12.75" hidden="1" outlineLevel="1" x14ac:dyDescent="0.2">
      <c r="A489" s="23" t="str">
        <f>HYPERLINK("https://www.spark-marketing.ru/Card/Person/111494", "МБОУ ""СОШ №11""")</f>
        <v>МБОУ "СОШ №11"</v>
      </c>
      <c r="B489" s="24" t="s">
        <v>1183</v>
      </c>
      <c r="C489" s="25">
        <v>499070.39</v>
      </c>
      <c r="D489" s="22" t="s">
        <v>1184</v>
      </c>
      <c r="E489" s="22" t="s">
        <v>48</v>
      </c>
      <c r="F489" s="23" t="str">
        <f>HYPERLINK("https://www.spark-marketing.ru/Card/Lot/74240068", "Оказание услуг по организации питания обучающихся в МБОУ ""Средняя общеобразовательная школа №11"" (12.11-28.11.2019 г.)")</f>
        <v>Оказание услуг по организации питания обучающихся в МБОУ "Средняя общеобразовательная школа №11" (12.11-28.11.2019 г.)</v>
      </c>
      <c r="G489" s="22" t="s">
        <v>49</v>
      </c>
      <c r="H489" s="22" t="s">
        <v>1185</v>
      </c>
      <c r="I489" s="26">
        <v>43747.4194444444</v>
      </c>
      <c r="J489" s="23" t="str">
        <f>HYPERLINK("https://www.spark-marketing.ru/Card/Person/4348093", "Филин Андрей Сергеевич")</f>
        <v>Филин Андрей Сергеевич</v>
      </c>
      <c r="K489" s="24" t="s">
        <v>1186</v>
      </c>
      <c r="L489" s="22" t="s">
        <v>10</v>
      </c>
      <c r="M489" s="25">
        <v>499000</v>
      </c>
      <c r="N489" s="27">
        <v>1.410422285321315E-4</v>
      </c>
    </row>
    <row r="490" spans="1:14" hidden="1" outlineLevel="1" x14ac:dyDescent="0.2">
      <c r="A490" s="23" t="str">
        <f>HYPERLINK("https://www.spark-marketing.ru/Card/Person/111494", "МБОУ ""СОШ №11""")</f>
        <v>МБОУ "СОШ №11"</v>
      </c>
      <c r="B490" s="24" t="s">
        <v>1183</v>
      </c>
      <c r="C490" s="25">
        <v>499070.39</v>
      </c>
      <c r="D490" s="22" t="s">
        <v>1184</v>
      </c>
      <c r="E490" s="22" t="s">
        <v>48</v>
      </c>
      <c r="F490" s="23" t="str">
        <f>HYPERLINK("https://www.spark-marketing.ru/Card/Lot/74240068", "Оказание услуг по организации питания обучающихся в МБОУ ""Средняя общеобразовательная школа №11"" (12.11-28.11.2019 г.)")</f>
        <v>Оказание услуг по организации питания обучающихся в МБОУ "Средняя общеобразовательная школа №11" (12.11-28.11.2019 г.)</v>
      </c>
      <c r="G490" s="22" t="s">
        <v>49</v>
      </c>
      <c r="H490" s="22" t="s">
        <v>1185</v>
      </c>
      <c r="I490" s="26">
        <v>43747.4194444444</v>
      </c>
      <c r="J490" s="23" t="str">
        <f>HYPERLINK("https://www.spark-marketing.ru/Card/Person/87749", "Рыжухин Сергей Александрович")</f>
        <v>Рыжухин Сергей Александрович</v>
      </c>
      <c r="K490" s="24" t="s">
        <v>1187</v>
      </c>
      <c r="L490" s="28" t="s">
        <v>51</v>
      </c>
      <c r="M490" s="25">
        <v>499070.39</v>
      </c>
      <c r="N490" s="27">
        <v>0</v>
      </c>
    </row>
    <row r="491" spans="1:14" x14ac:dyDescent="0.15">
      <c r="A491" s="23" t="str">
        <f>HYPERLINK("https://www.spark-marketing.ru/Card/Person/16067", "ГБОУ ШКОЛА №471 ВЫБОРГСКОГО РАЙОНА САНКТ-ПЕТЕРБУРГА")</f>
        <v>ГБОУ ШКОЛА №471 ВЫБОРГСКОГО РАЙОНА САНКТ-ПЕТЕРБУРГА</v>
      </c>
      <c r="B491" s="24" t="s">
        <v>1188</v>
      </c>
      <c r="C491" s="25">
        <v>30469822.91</v>
      </c>
      <c r="D491" s="22" t="s">
        <v>1189</v>
      </c>
      <c r="E491" s="22" t="s">
        <v>96</v>
      </c>
      <c r="F491" s="23" t="str">
        <f>HYPERLINK("https://www.spark-marketing.ru/Card/Lot/74251025", "Оказание услуг по организации питания в Государственном бюджетном общеобразовательном учреждении средняя общеобразовательная школа №471 Выборгского района Санкт-Петербурга в 2020-2021 гг.")</f>
        <v>Оказание услуг по организации питания в Государственном бюджетном общеобразовательном учреждении средняя общеобразовательная школа №471 Выборгского района Санкт-Петербурга в 2020-2021 гг.</v>
      </c>
      <c r="G491" s="22" t="s">
        <v>117</v>
      </c>
      <c r="H491" s="22" t="s">
        <v>117</v>
      </c>
      <c r="I491" s="26">
        <v>43747.419247685197</v>
      </c>
      <c r="J491" s="28" t="s">
        <v>51</v>
      </c>
      <c r="K491" s="28" t="s">
        <v>51</v>
      </c>
      <c r="L491" s="28" t="s">
        <v>51</v>
      </c>
      <c r="M491" s="28" t="s">
        <v>51</v>
      </c>
      <c r="N491" s="28" t="s">
        <v>51</v>
      </c>
    </row>
    <row r="492" spans="1:14" x14ac:dyDescent="0.15">
      <c r="A492" s="23" t="str">
        <f>HYPERLINK("https://www.spark-marketing.ru/Card/Person/979127", "АО ""ГАЗПРОМНЕФТЬ-ННГ""")</f>
        <v>АО "ГАЗПРОМНЕФТЬ-ННГ"</v>
      </c>
      <c r="B492" s="24" t="s">
        <v>1190</v>
      </c>
      <c r="C492" s="28" t="s">
        <v>51</v>
      </c>
      <c r="D492" s="22" t="s">
        <v>1191</v>
      </c>
      <c r="E492" s="22" t="s">
        <v>52</v>
      </c>
      <c r="F492" s="23" t="str">
        <f>HYPERLINK("https://www.spark-marketing.ru/Card/Lot/74232468", "Организация праздничного банкета, приуроченного к подведению итогов производственной деятельности за 2019 год")</f>
        <v>Организация праздничного банкета, приуроченного к подведению итогов производственной деятельности за 2019 год</v>
      </c>
      <c r="G492" s="22" t="s">
        <v>1056</v>
      </c>
      <c r="H492" s="22" t="s">
        <v>1192</v>
      </c>
      <c r="I492" s="26">
        <v>43747.440972222197</v>
      </c>
      <c r="J492" s="28" t="s">
        <v>51</v>
      </c>
      <c r="K492" s="28" t="s">
        <v>51</v>
      </c>
      <c r="L492" s="28" t="s">
        <v>51</v>
      </c>
      <c r="M492" s="28" t="s">
        <v>51</v>
      </c>
      <c r="N492" s="28" t="s">
        <v>51</v>
      </c>
    </row>
    <row r="493" spans="1:14" x14ac:dyDescent="0.15">
      <c r="A493" s="23" t="str">
        <f>HYPERLINK("https://www.spark-marketing.ru/Card/Person/112485", "МБОУ ""СРЕДНЯЯ ОБЩЕОБРАЗОВАТЕЛЬНАЯ ШКОЛА №4""")</f>
        <v>МБОУ "СРЕДНЯЯ ОБЩЕОБРАЗОВАТЕЛЬНАЯ ШКОЛА №4"</v>
      </c>
      <c r="B493" s="24" t="s">
        <v>1193</v>
      </c>
      <c r="C493" s="25">
        <v>499539.6</v>
      </c>
      <c r="D493" s="22" t="s">
        <v>1194</v>
      </c>
      <c r="E493" s="22" t="s">
        <v>48</v>
      </c>
      <c r="F493" s="23" t="str">
        <f>HYPERLINK("https://www.spark-marketing.ru/Card/Lot/74240069", "Оказание услуг по организации питания обучающихся")</f>
        <v>Оказание услуг по организации питания обучающихся</v>
      </c>
      <c r="G493" s="22" t="s">
        <v>49</v>
      </c>
      <c r="H493" s="22" t="s">
        <v>1185</v>
      </c>
      <c r="I493" s="26">
        <v>43747.451388888898</v>
      </c>
      <c r="J493" s="28" t="s">
        <v>51</v>
      </c>
      <c r="K493" s="28" t="s">
        <v>51</v>
      </c>
      <c r="L493" s="28" t="s">
        <v>51</v>
      </c>
      <c r="M493" s="28" t="s">
        <v>51</v>
      </c>
      <c r="N493" s="28" t="s">
        <v>51</v>
      </c>
    </row>
    <row r="494" spans="1:14" x14ac:dyDescent="0.15">
      <c r="A494" s="23" t="str">
        <f>HYPERLINK("https://www.spark-marketing.ru/Card/Person/59629", "УПРАВЛЕНИЕ РОСПОТРЕБНАДЗОРА ПО ЛЕНИНГРАДСКОЙ ОБЛАСТИ")</f>
        <v>УПРАВЛЕНИЕ РОСПОТРЕБНАДЗОРА ПО ЛЕНИНГРАДСКОЙ ОБЛАСТИ</v>
      </c>
      <c r="B494" s="24" t="s">
        <v>1195</v>
      </c>
      <c r="C494" s="25">
        <v>135230</v>
      </c>
      <c r="D494" s="22" t="s">
        <v>1196</v>
      </c>
      <c r="E494" s="22" t="s">
        <v>91</v>
      </c>
      <c r="F494" s="23" t="str">
        <f>HYPERLINK("https://www.spark-marketing.ru/Card/Lot/74234773", "Услуги по ремонту компьютеров и периферийного оборудования")</f>
        <v>Услуги по ремонту компьютеров и периферийного оборудования</v>
      </c>
      <c r="G494" s="22" t="s">
        <v>162</v>
      </c>
      <c r="H494" s="22" t="s">
        <v>162</v>
      </c>
      <c r="I494" s="26">
        <v>43747.390972222202</v>
      </c>
      <c r="J494" s="23" t="str">
        <f>HYPERLINK("https://www.spark-marketing.ru/Card/Person/50507", "ООО ""СКАЙБИ""")</f>
        <v>ООО "СКАЙБИ"</v>
      </c>
      <c r="K494" s="24" t="s">
        <v>1197</v>
      </c>
      <c r="L494" s="22" t="s">
        <v>10</v>
      </c>
      <c r="M494" s="28" t="s">
        <v>51</v>
      </c>
      <c r="N494" s="28" t="s">
        <v>51</v>
      </c>
    </row>
    <row r="495" spans="1:14" x14ac:dyDescent="0.15">
      <c r="A495" s="23" t="str">
        <f>HYPERLINK("https://www.spark-marketing.ru/Card/Person/1059237", "МБОУ СОШ № 8 ИМЕНИ ГЕРОЯ СОВЕТСКОГО СОЮЗА БУДНИКА Г.Д.")</f>
        <v>МБОУ СОШ № 8 ИМЕНИ ГЕРОЯ СОВЕТСКОГО СОЮЗА БУДНИКА Г.Д.</v>
      </c>
      <c r="B495" s="24" t="s">
        <v>1198</v>
      </c>
      <c r="C495" s="25">
        <v>473616</v>
      </c>
      <c r="D495" s="22" t="s">
        <v>1199</v>
      </c>
      <c r="E495" s="22" t="s">
        <v>48</v>
      </c>
      <c r="F495" s="23" t="str">
        <f>HYPERLINK("https://www.spark-marketing.ru/Card/Lot/74229501", "услуги по организации горячего питания для детей группы продленного дня")</f>
        <v>услуги по организации горячего питания для детей группы продленного дня</v>
      </c>
      <c r="G495" s="22" t="s">
        <v>49</v>
      </c>
      <c r="H495" s="22" t="s">
        <v>378</v>
      </c>
      <c r="I495" s="26">
        <v>43747.315439814804</v>
      </c>
      <c r="J495" s="28" t="s">
        <v>51</v>
      </c>
      <c r="K495" s="28" t="s">
        <v>51</v>
      </c>
      <c r="L495" s="28" t="s">
        <v>51</v>
      </c>
      <c r="M495" s="28" t="s">
        <v>51</v>
      </c>
      <c r="N495" s="28" t="s">
        <v>51</v>
      </c>
    </row>
    <row r="496" spans="1:14" x14ac:dyDescent="0.15">
      <c r="A496" s="23" t="str">
        <f>HYPERLINK("https://www.spark-marketing.ru/Card/Person/22935", "КБГУ, КАБАРДИНО-БАЛКАРСКИЙ ГОСУДАРСТВЕННЫЙ УНИВЕРСИТЕТ ИМ. Х. М. БЕРБЕКОВА")</f>
        <v>КБГУ, КАБАРДИНО-БАЛКАРСКИЙ ГОСУДАРСТВЕННЫЙ УНИВЕРСИТЕТ ИМ. Х. М. БЕРБЕКОВА</v>
      </c>
      <c r="B496" s="24" t="s">
        <v>1200</v>
      </c>
      <c r="C496" s="25">
        <v>129500</v>
      </c>
      <c r="D496" s="22" t="s">
        <v>1201</v>
      </c>
      <c r="E496" s="22" t="s">
        <v>362</v>
      </c>
      <c r="F496" s="23" t="str">
        <f>HYPERLINK("https://www.spark-marketing.ru/Card/Lot/74224206", "Организация питания Международной научной практической конференция ""Вершина Кавказа""""")</f>
        <v>Организация питания Международной научной практической конференция "Вершина Кавказа""</v>
      </c>
      <c r="G496" s="22" t="s">
        <v>986</v>
      </c>
      <c r="H496" s="22" t="s">
        <v>986</v>
      </c>
      <c r="I496" s="26">
        <v>43746.754583333299</v>
      </c>
      <c r="J496" s="28" t="s">
        <v>51</v>
      </c>
      <c r="K496" s="28" t="s">
        <v>51</v>
      </c>
      <c r="L496" s="28" t="s">
        <v>51</v>
      </c>
      <c r="M496" s="28" t="s">
        <v>51</v>
      </c>
      <c r="N496" s="28" t="s">
        <v>51</v>
      </c>
    </row>
    <row r="497" spans="1:14" x14ac:dyDescent="0.2">
      <c r="A497" s="23" t="str">
        <f>HYPERLINK("https://www.spark-marketing.ru/Card/Person/34191", "НГТУ, НОВОСИБИРСКИЙ ГОСУДАРСТВЕННЫЙ ТЕХНИЧЕСКИЙ УНИВЕРСИТЕТ, ФГБОУ ВО ""НОВОСИБИРСКИЙ ГОСУДАРСТВЕННЫЙ ТЕХНИЧЕСКИЙ УНИВЕРСИТЕТ"", ФГБОУ ВО ""НГТУ""")</f>
        <v>НГТУ, НОВОСИБИРСКИЙ ГОСУДАРСТВЕННЫЙ ТЕХНИЧЕСКИЙ УНИВЕРСИТЕТ, ФГБОУ ВО "НОВОСИБИРСКИЙ ГОСУДАРСТВЕННЫЙ ТЕХНИЧЕСКИЙ УНИВЕРСИТЕТ", ФГБОУ ВО "НГТУ"</v>
      </c>
      <c r="B497" s="24" t="s">
        <v>1202</v>
      </c>
      <c r="C497" s="25">
        <v>868045</v>
      </c>
      <c r="D497" s="22" t="s">
        <v>1203</v>
      </c>
      <c r="E497" s="22" t="s">
        <v>554</v>
      </c>
      <c r="F497" s="23" t="str">
        <f>HYPERLINK("https://www.spark-marketing.ru/Card/Lot/74227498", "Оказание услуг по организации проживания, питания, предоставлению конференц-залов со спец. оборудованием")</f>
        <v>Оказание услуг по организации проживания, питания, предоставлению конференц-залов со спец. оборудованием</v>
      </c>
      <c r="G497" s="22" t="s">
        <v>195</v>
      </c>
      <c r="H497" s="22" t="s">
        <v>195</v>
      </c>
      <c r="I497" s="26">
        <v>43746.618726851899</v>
      </c>
      <c r="J497" s="28" t="s">
        <v>51</v>
      </c>
      <c r="K497" s="28" t="s">
        <v>51</v>
      </c>
      <c r="L497" s="22" t="s">
        <v>10</v>
      </c>
      <c r="M497" s="25">
        <v>868045</v>
      </c>
      <c r="N497" s="27">
        <v>0</v>
      </c>
    </row>
    <row r="498" spans="1:14" x14ac:dyDescent="0.2">
      <c r="A498" s="23" t="str">
        <f>HYPERLINK("https://www.spark-marketing.ru/Card/Person/487684", "ГАУ АО ""РЦСП ""ЗВЁЗДНЫЙ""")</f>
        <v>ГАУ АО "РЦСП "ЗВЁЗДНЫЙ"</v>
      </c>
      <c r="B498" s="24" t="s">
        <v>1204</v>
      </c>
      <c r="C498" s="25">
        <v>192000</v>
      </c>
      <c r="D498" s="22" t="s">
        <v>1205</v>
      </c>
      <c r="E498" s="22" t="s">
        <v>769</v>
      </c>
      <c r="F498" s="23" t="str">
        <f>HYPERLINK("https://www.spark-marketing.ru/Card/Lot/74244092", "Гостиничные услуги в гостинице, проживание и питание команды с 7-11 окт 2019г")</f>
        <v>Гостиничные услуги в гостинице, проживание и питание команды с 7-11 окт 2019г</v>
      </c>
      <c r="G498" s="22" t="s">
        <v>141</v>
      </c>
      <c r="H498" s="22" t="s">
        <v>141</v>
      </c>
      <c r="I498" s="26">
        <v>43747</v>
      </c>
      <c r="J498" s="28" t="s">
        <v>51</v>
      </c>
      <c r="K498" s="28" t="s">
        <v>51</v>
      </c>
      <c r="L498" s="28" t="s">
        <v>51</v>
      </c>
      <c r="M498" s="25">
        <v>192000</v>
      </c>
      <c r="N498" s="27">
        <v>0</v>
      </c>
    </row>
    <row r="499" spans="1:14" x14ac:dyDescent="0.15">
      <c r="A499" s="23" t="str">
        <f>HYPERLINK("https://www.spark-marketing.ru/Card/Person/1311037", "МАОУ СОШ №2")</f>
        <v>МАОУ СОШ №2</v>
      </c>
      <c r="B499" s="24" t="s">
        <v>1206</v>
      </c>
      <c r="C499" s="25">
        <v>815280</v>
      </c>
      <c r="D499" s="22" t="s">
        <v>1207</v>
      </c>
      <c r="E499" s="22" t="s">
        <v>362</v>
      </c>
      <c r="F499" s="23" t="str">
        <f>HYPERLINK("https://www.spark-marketing.ru/Card/Lot/74249823", "Оказание услуг по организации горячего питания детей")</f>
        <v>Оказание услуг по организации горячего питания детей</v>
      </c>
      <c r="G499" s="22" t="s">
        <v>153</v>
      </c>
      <c r="H499" s="22" t="s">
        <v>153</v>
      </c>
      <c r="I499" s="26">
        <v>43747</v>
      </c>
      <c r="J499" s="28" t="s">
        <v>51</v>
      </c>
      <c r="K499" s="28" t="s">
        <v>51</v>
      </c>
      <c r="L499" s="28" t="s">
        <v>51</v>
      </c>
      <c r="M499" s="28" t="s">
        <v>51</v>
      </c>
      <c r="N499" s="28" t="s">
        <v>51</v>
      </c>
    </row>
    <row r="500" spans="1:14" x14ac:dyDescent="0.15">
      <c r="A500" s="23" t="str">
        <f>HYPERLINK("https://www.spark-marketing.ru/Card/Person/4874743", "ГАУ ВО ""СК ""РОТОР""")</f>
        <v>ГАУ ВО "СК "РОТОР"</v>
      </c>
      <c r="B500" s="24" t="s">
        <v>1208</v>
      </c>
      <c r="C500" s="25">
        <v>133800</v>
      </c>
      <c r="D500" s="22" t="s">
        <v>1209</v>
      </c>
      <c r="E500" s="22" t="s">
        <v>1210</v>
      </c>
      <c r="F500" s="23" t="str">
        <f>HYPERLINK("https://www.spark-marketing.ru/Card/Lot/74243932", "Услуги по организации проживания и питания в отеле « Лагуна» для футбольной команды «Ротор-2», в период с 11 октября 2019 года по 12 октября 2019 года в городе Липецк , Российской Федерации")</f>
        <v>Услуги по организации проживания и питания в отеле « Лагуна» для футбольной команды «Ротор-2», в период с 11 октября 2019 года по 12 октября 2019 года в городе Липецк , Российской Федерации</v>
      </c>
      <c r="G500" s="22" t="s">
        <v>101</v>
      </c>
      <c r="H500" s="22" t="s">
        <v>101</v>
      </c>
      <c r="I500" s="26">
        <v>43747</v>
      </c>
      <c r="J500" s="28" t="s">
        <v>51</v>
      </c>
      <c r="K500" s="28" t="s">
        <v>51</v>
      </c>
      <c r="L500" s="28" t="s">
        <v>51</v>
      </c>
      <c r="M500" s="28" t="s">
        <v>51</v>
      </c>
      <c r="N500" s="28" t="s">
        <v>51</v>
      </c>
    </row>
    <row r="501" spans="1:14" x14ac:dyDescent="0.15">
      <c r="A501" s="23" t="str">
        <f>HYPERLINK("https://www.spark-marketing.ru/Card/Person/70936", "ЛГПУ ИМЕНИ П.П.СЕМЕНОВА-ТЯН-ШАНСКОГО")</f>
        <v>ЛГПУ ИМЕНИ П.П.СЕМЕНОВА-ТЯН-ШАНСКОГО</v>
      </c>
      <c r="B501" s="24" t="s">
        <v>1211</v>
      </c>
      <c r="C501" s="25">
        <v>487000</v>
      </c>
      <c r="D501" s="22" t="s">
        <v>1212</v>
      </c>
      <c r="E501" s="22" t="s">
        <v>1213</v>
      </c>
      <c r="F501" s="23" t="str">
        <f>HYPERLINK("https://www.spark-marketing.ru/Card/Lot/74245878", "Оказание услуг по организации питания и проживания участников, волонтеров, экспертов и организаторов мероприятий по созданию молодежного клуба географического образования «Пик Победы»")</f>
        <v>Оказание услуг по организации питания и проживания участников, волонтеров, экспертов и организаторов мероприятий по созданию молодежного клуба географического образования «Пик Победы»</v>
      </c>
      <c r="G501" s="22" t="s">
        <v>101</v>
      </c>
      <c r="H501" s="22" t="s">
        <v>101</v>
      </c>
      <c r="I501" s="26">
        <v>43747</v>
      </c>
      <c r="J501" s="28" t="s">
        <v>51</v>
      </c>
      <c r="K501" s="28" t="s">
        <v>51</v>
      </c>
      <c r="L501" s="28" t="s">
        <v>51</v>
      </c>
      <c r="M501" s="28" t="s">
        <v>51</v>
      </c>
      <c r="N501" s="28" t="s">
        <v>51</v>
      </c>
    </row>
    <row r="502" spans="1:14" x14ac:dyDescent="0.15">
      <c r="A502" s="23" t="str">
        <f>HYPERLINK("https://www.spark-marketing.ru/Card/Person/4434571", "МАОУ ""КУРОВСКАЯ СОШ № 2""")</f>
        <v>МАОУ "КУРОВСКАЯ СОШ № 2"</v>
      </c>
      <c r="B502" s="24" t="s">
        <v>1214</v>
      </c>
      <c r="C502" s="25">
        <v>4075500</v>
      </c>
      <c r="D502" s="22" t="s">
        <v>1215</v>
      </c>
      <c r="E502" s="22" t="s">
        <v>362</v>
      </c>
      <c r="F502" s="23" t="str">
        <f>HYPERLINK("https://www.spark-marketing.ru/Card/Lot/74250929",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502" s="22" t="s">
        <v>49</v>
      </c>
      <c r="H502" s="22" t="s">
        <v>49</v>
      </c>
      <c r="I502" s="26">
        <v>43747</v>
      </c>
      <c r="J502" s="28" t="s">
        <v>51</v>
      </c>
      <c r="K502" s="28" t="s">
        <v>51</v>
      </c>
      <c r="L502" s="28" t="s">
        <v>51</v>
      </c>
      <c r="M502" s="28" t="s">
        <v>51</v>
      </c>
      <c r="N502" s="28" t="s">
        <v>51</v>
      </c>
    </row>
    <row r="503" spans="1:14" x14ac:dyDescent="0.15">
      <c r="A503" s="23" t="str">
        <f>HYPERLINK("https://www.spark-marketing.ru/Card/Person/150925", "ФГУП «СУДОСТРОИТЕЛЬНЫЙ ЗАВОД «МОРЕ»")</f>
        <v>ФГУП «СУДОСТРОИТЕЛЬНЫЙ ЗАВОД «МОРЕ»</v>
      </c>
      <c r="B503" s="24" t="s">
        <v>1216</v>
      </c>
      <c r="C503" s="25">
        <v>210123</v>
      </c>
      <c r="D503" s="22" t="s">
        <v>1217</v>
      </c>
      <c r="E503" s="22" t="s">
        <v>562</v>
      </c>
      <c r="F503" s="23" t="str">
        <f>HYPERLINK("https://www.spark-marketing.ru/Card/Lot/74244660", "Услуги кейтеринга (выездное обслуживание мероприятий) и поставки готовых продуктов питания для проведения мероприятия в рамках 81-летия ФГУП «Судостроительный завод «Море»")</f>
        <v>Услуги кейтеринга (выездное обслуживание мероприятий) и поставки готовых продуктов питания для проведения мероприятия в рамках 81-летия ФГУП «Судостроительный завод «Море»</v>
      </c>
      <c r="G503" s="22" t="s">
        <v>108</v>
      </c>
      <c r="H503" s="22" t="s">
        <v>108</v>
      </c>
      <c r="I503" s="26">
        <v>43747</v>
      </c>
      <c r="J503" s="28" t="s">
        <v>51</v>
      </c>
      <c r="K503" s="28" t="s">
        <v>51</v>
      </c>
      <c r="L503" s="28" t="s">
        <v>51</v>
      </c>
      <c r="M503" s="28" t="s">
        <v>51</v>
      </c>
      <c r="N503" s="28" t="s">
        <v>51</v>
      </c>
    </row>
    <row r="504" spans="1:14" x14ac:dyDescent="0.15">
      <c r="A504" s="23" t="str">
        <f>HYPERLINK("https://www.spark-marketing.ru/Card/Person/73338", "ОГУ ИМЕНИ И.С. ТУРГЕНЕВА, ФГБОУ ВО ""ОРЛОВСКИЙ ГОСУДАРСТВЕННЫЙ УНИВЕРСИТЕТ ИМЕНИ И.С. ТУРГЕНЕВА"", ОРЛОВСКИЙ ГОСУДАРСТВЕННЫЙ УНИВЕРСИТЕТ ИМЕНИ И.С. ТУРГЕНЕВА, ФГБОУ ВО ""ОГУ ИМ. И.С. ТУРГЕНЕВА"", ОГУ ИМ. И.С. ТУРГЕНЕВА")</f>
        <v>ОГУ ИМЕНИ И.С. ТУРГЕНЕВА, ФГБОУ ВО "ОРЛОВСКИЙ ГОСУДАРСТВЕННЫЙ УНИВЕРСИТЕТ ИМЕНИ И.С. ТУРГЕНЕВА", ОРЛОВСКИЙ ГОСУДАРСТВЕННЫЙ УНИВЕРСИТЕТ ИМЕНИ И.С. ТУРГЕНЕВА, ФГБОУ ВО "ОГУ ИМ. И.С. ТУРГЕНЕВА", ОГУ ИМ. И.С. ТУРГЕНЕВА</v>
      </c>
      <c r="B504" s="24" t="s">
        <v>1218</v>
      </c>
      <c r="C504" s="25">
        <v>280000</v>
      </c>
      <c r="D504" s="22" t="s">
        <v>1219</v>
      </c>
      <c r="E504" s="22" t="s">
        <v>580</v>
      </c>
      <c r="F504" s="23" t="str">
        <f>HYPERLINK("https://www.spark-marketing.ru/Card/Lot/74244604", "Оказание услуг по организации питания участников проекта «Система лагерных образовательных смен «Территория успеха»» с 23.09.2019г по 27.09.2019г")</f>
        <v>Оказание услуг по организации питания участников проекта «Система лагерных образовательных смен «Территория успеха»» с 23.09.2019г по 27.09.2019г</v>
      </c>
      <c r="G504" s="22" t="s">
        <v>1066</v>
      </c>
      <c r="H504" s="22" t="s">
        <v>1066</v>
      </c>
      <c r="I504" s="26">
        <v>43747</v>
      </c>
      <c r="J504" s="28" t="s">
        <v>51</v>
      </c>
      <c r="K504" s="28" t="s">
        <v>51</v>
      </c>
      <c r="L504" s="28" t="s">
        <v>51</v>
      </c>
      <c r="M504" s="28" t="s">
        <v>51</v>
      </c>
      <c r="N504" s="28" t="s">
        <v>51</v>
      </c>
    </row>
    <row r="505" spans="1:14" x14ac:dyDescent="0.15">
      <c r="A505" s="23" t="str">
        <f>HYPERLINK("https://www.spark-marketing.ru/Card/Person/1084088", "МАОУ СОШ №18 ИМЕНИ 30-ЛЕТИЯ ПОБЕДЫ")</f>
        <v>МАОУ СОШ №18 ИМЕНИ 30-ЛЕТИЯ ПОБЕДЫ</v>
      </c>
      <c r="B505" s="24" t="s">
        <v>1220</v>
      </c>
      <c r="C505" s="25">
        <v>725760</v>
      </c>
      <c r="D505" s="22" t="s">
        <v>1221</v>
      </c>
      <c r="E505" s="22" t="s">
        <v>362</v>
      </c>
      <c r="F505" s="23" t="str">
        <f>HYPERLINK("https://www.spark-marketing.ru/Card/Lot/74246722", "Оказание услуг по организации питания")</f>
        <v>Оказание услуг по организации питания</v>
      </c>
      <c r="G505" s="22" t="s">
        <v>104</v>
      </c>
      <c r="H505" s="22" t="s">
        <v>104</v>
      </c>
      <c r="I505" s="26">
        <v>43747</v>
      </c>
      <c r="J505" s="28" t="s">
        <v>51</v>
      </c>
      <c r="K505" s="28" t="s">
        <v>51</v>
      </c>
      <c r="L505" s="28" t="s">
        <v>51</v>
      </c>
      <c r="M505" s="28" t="s">
        <v>51</v>
      </c>
      <c r="N505" s="28" t="s">
        <v>51</v>
      </c>
    </row>
    <row r="506" spans="1:14" x14ac:dyDescent="0.15">
      <c r="A506" s="23" t="str">
        <f>HYPERLINK("https://www.spark-marketing.ru/Card/Person/244639", "МАОУ СШ № 150")</f>
        <v>МАОУ СШ № 150</v>
      </c>
      <c r="B506" s="24" t="s">
        <v>1222</v>
      </c>
      <c r="C506" s="25">
        <v>227933.88</v>
      </c>
      <c r="D506" s="22" t="s">
        <v>1223</v>
      </c>
      <c r="E506" s="22" t="s">
        <v>362</v>
      </c>
      <c r="F506" s="23" t="str">
        <f>HYPERLINK("https://www.spark-marketing.ru/Card/Lot/74248031", "Договор на оказание услуг по организации горячего питания учащихся")</f>
        <v>Договор на оказание услуг по организации горячего питания учащихся</v>
      </c>
      <c r="G506" s="22" t="s">
        <v>281</v>
      </c>
      <c r="H506" s="22" t="s">
        <v>281</v>
      </c>
      <c r="I506" s="26">
        <v>43747</v>
      </c>
      <c r="J506" s="28" t="s">
        <v>51</v>
      </c>
      <c r="K506" s="28" t="s">
        <v>51</v>
      </c>
      <c r="L506" s="28" t="s">
        <v>51</v>
      </c>
      <c r="M506" s="28" t="s">
        <v>51</v>
      </c>
      <c r="N506" s="28" t="s">
        <v>51</v>
      </c>
    </row>
    <row r="507" spans="1:14" x14ac:dyDescent="0.15">
      <c r="A507" s="23" t="str">
        <f>HYPERLINK("https://www.spark-marketing.ru/Card/Person/2959", "ГАУЗ ""ООКНД""")</f>
        <v>ГАУЗ "ООКНД"</v>
      </c>
      <c r="B507" s="24" t="s">
        <v>1224</v>
      </c>
      <c r="C507" s="25">
        <v>1916658.33</v>
      </c>
      <c r="D507" s="22" t="s">
        <v>1225</v>
      </c>
      <c r="E507" s="22" t="s">
        <v>580</v>
      </c>
      <c r="F507" s="23" t="str">
        <f>HYPERLINK("https://www.spark-marketing.ru/Card/Lot/74247681", "оказание услуги по организации питания для нужд филиала ГАУЗ ""ООКНД"" - ""БузНД""")</f>
        <v>оказание услуги по организации питания для нужд филиала ГАУЗ "ООКНД" - "БузНД"</v>
      </c>
      <c r="G507" s="22" t="s">
        <v>132</v>
      </c>
      <c r="H507" s="22" t="s">
        <v>132</v>
      </c>
      <c r="I507" s="26">
        <v>43747</v>
      </c>
      <c r="J507" s="28" t="s">
        <v>51</v>
      </c>
      <c r="K507" s="28" t="s">
        <v>51</v>
      </c>
      <c r="L507" s="28" t="s">
        <v>51</v>
      </c>
      <c r="M507" s="28" t="s">
        <v>51</v>
      </c>
      <c r="N507" s="28" t="s">
        <v>51</v>
      </c>
    </row>
    <row r="508" spans="1:14" x14ac:dyDescent="0.15">
      <c r="A508" s="23" t="str">
        <f>HYPERLINK("https://www.spark-marketing.ru/Card/Person/1329761", "МАОУ ""ДАВЫДОВСКАЯ ГИМНАЗИЯ""")</f>
        <v>МАОУ "ДАВЫДОВСКАЯ ГИМНАЗИЯ"</v>
      </c>
      <c r="B508" s="24" t="s">
        <v>1226</v>
      </c>
      <c r="C508" s="25">
        <v>3978240</v>
      </c>
      <c r="D508" s="22" t="s">
        <v>1227</v>
      </c>
      <c r="E508" s="22" t="s">
        <v>362</v>
      </c>
      <c r="F508" s="23" t="str">
        <f>HYPERLINK("https://www.spark-marketing.ru/Card/Lot/74250930",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508" s="22" t="s">
        <v>49</v>
      </c>
      <c r="H508" s="22" t="s">
        <v>49</v>
      </c>
      <c r="I508" s="26">
        <v>43747</v>
      </c>
      <c r="J508" s="28" t="s">
        <v>51</v>
      </c>
      <c r="K508" s="28" t="s">
        <v>51</v>
      </c>
      <c r="L508" s="28" t="s">
        <v>51</v>
      </c>
      <c r="M508" s="28" t="s">
        <v>51</v>
      </c>
      <c r="N508" s="28" t="s">
        <v>51</v>
      </c>
    </row>
    <row r="509" spans="1:14" x14ac:dyDescent="0.15">
      <c r="A509" s="23" t="str">
        <f>HYPERLINK("https://www.spark-marketing.ru/Card/Person/1762925", "ГАУ ДО ТО ""ДТИС""ПИОНЕР""")</f>
        <v>ГАУ ДО ТО "ДТИС"ПИОНЕР"</v>
      </c>
      <c r="B509" s="24" t="s">
        <v>1228</v>
      </c>
      <c r="C509" s="25">
        <v>336000</v>
      </c>
      <c r="D509" s="22" t="s">
        <v>1229</v>
      </c>
      <c r="E509" s="22" t="s">
        <v>1213</v>
      </c>
      <c r="F509" s="23" t="str">
        <f>HYPERLINK("https://www.spark-marketing.ru/Card/Lot/74245055", "Оказание услуг питания, проживания")</f>
        <v>Оказание услуг питания, проживания</v>
      </c>
      <c r="G509" s="22" t="s">
        <v>766</v>
      </c>
      <c r="H509" s="22" t="s">
        <v>766</v>
      </c>
      <c r="I509" s="26">
        <v>43747</v>
      </c>
      <c r="J509" s="28" t="s">
        <v>51</v>
      </c>
      <c r="K509" s="28" t="s">
        <v>51</v>
      </c>
      <c r="L509" s="28" t="s">
        <v>51</v>
      </c>
      <c r="M509" s="28" t="s">
        <v>51</v>
      </c>
      <c r="N509" s="28" t="s">
        <v>51</v>
      </c>
    </row>
    <row r="510" spans="1:14" x14ac:dyDescent="0.15">
      <c r="A510" s="23" t="str">
        <f>HYPERLINK("https://www.spark-marketing.ru/Card/Person/1760258", "МАДОУ ""ЭРУДИТ"" Г. ПЕРМИ")</f>
        <v>МАДОУ "ЭРУДИТ" Г. ПЕРМИ</v>
      </c>
      <c r="B510" s="24" t="s">
        <v>1230</v>
      </c>
      <c r="C510" s="25">
        <v>97817116.810000002</v>
      </c>
      <c r="D510" s="22" t="s">
        <v>1231</v>
      </c>
      <c r="E510" s="22" t="s">
        <v>362</v>
      </c>
      <c r="F510" s="23" t="str">
        <f>HYPERLINK("https://www.spark-marketing.ru/Card/Lot/74224079", "на оказание услуг по организации питания воспитанников")</f>
        <v>на оказание услуг по организации питания воспитанников</v>
      </c>
      <c r="G510" s="22" t="s">
        <v>153</v>
      </c>
      <c r="H510" s="22" t="s">
        <v>153</v>
      </c>
      <c r="I510" s="26">
        <v>43746.728217592601</v>
      </c>
      <c r="J510" s="28" t="s">
        <v>51</v>
      </c>
      <c r="K510" s="28" t="s">
        <v>51</v>
      </c>
      <c r="L510" s="28" t="s">
        <v>51</v>
      </c>
      <c r="M510" s="28" t="s">
        <v>51</v>
      </c>
      <c r="N510" s="28" t="s">
        <v>51</v>
      </c>
    </row>
    <row r="511" spans="1:14" x14ac:dyDescent="0.15">
      <c r="A511" s="23" t="str">
        <f>HYPERLINK("https://www.spark-marketing.ru/Card/Person/1766257", "МАОУ ""НЕЖИНСКИЙ ЛИЦЕЙ ОРЕНБУРГСКОГО РАЙОНА""")</f>
        <v>МАОУ "НЕЖИНСКИЙ ЛИЦЕЙ ОРЕНБУРГСКОГО РАЙОНА"</v>
      </c>
      <c r="B511" s="24" t="s">
        <v>1232</v>
      </c>
      <c r="C511" s="25">
        <v>227322.36</v>
      </c>
      <c r="D511" s="22" t="s">
        <v>1233</v>
      </c>
      <c r="E511" s="22" t="s">
        <v>1234</v>
      </c>
      <c r="F511" s="23" t="str">
        <f>HYPERLINK("https://www.spark-marketing.ru/Card/Lot/74244820", "Оказание услуг по поставке продуктов питания (молочная продукция)")</f>
        <v>Оказание услуг по поставке продуктов питания (молочная продукция)</v>
      </c>
      <c r="G511" s="22" t="s">
        <v>132</v>
      </c>
      <c r="H511" s="22" t="s">
        <v>132</v>
      </c>
      <c r="I511" s="26">
        <v>43747</v>
      </c>
      <c r="J511" s="28" t="s">
        <v>51</v>
      </c>
      <c r="K511" s="28" t="s">
        <v>51</v>
      </c>
      <c r="L511" s="28" t="s">
        <v>51</v>
      </c>
      <c r="M511" s="28" t="s">
        <v>51</v>
      </c>
      <c r="N511" s="28" t="s">
        <v>51</v>
      </c>
    </row>
    <row r="512" spans="1:14" x14ac:dyDescent="0.15">
      <c r="A512" s="23" t="str">
        <f>HYPERLINK("https://www.spark-marketing.ru/Card/Person/1298160", "МАОУ ""КУРОВСКАЯ СОШ № 6""")</f>
        <v>МАОУ "КУРОВСКАЯ СОШ № 6"</v>
      </c>
      <c r="B512" s="24" t="s">
        <v>1235</v>
      </c>
      <c r="C512" s="25">
        <v>4918300</v>
      </c>
      <c r="D512" s="22" t="s">
        <v>1236</v>
      </c>
      <c r="E512" s="22" t="s">
        <v>362</v>
      </c>
      <c r="F512" s="23" t="str">
        <f>HYPERLINK("https://www.spark-marketing.ru/Card/Lot/74248986",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512" s="22" t="s">
        <v>49</v>
      </c>
      <c r="H512" s="22" t="s">
        <v>49</v>
      </c>
      <c r="I512" s="26">
        <v>43747</v>
      </c>
      <c r="J512" s="28" t="s">
        <v>51</v>
      </c>
      <c r="K512" s="28" t="s">
        <v>51</v>
      </c>
      <c r="L512" s="28" t="s">
        <v>51</v>
      </c>
      <c r="M512" s="28" t="s">
        <v>51</v>
      </c>
      <c r="N512" s="28" t="s">
        <v>51</v>
      </c>
    </row>
    <row r="513" spans="1:14" x14ac:dyDescent="0.15">
      <c r="A513" s="23" t="str">
        <f>HYPERLINK("https://www.spark-marketing.ru/Card/Person/1311600", "МАОУ ""СОШ № 12 ИМ. В.Ф.МАРГЕЛОВА""")</f>
        <v>МАОУ "СОШ № 12 ИМ. В.Ф.МАРГЕЛОВА"</v>
      </c>
      <c r="B513" s="24" t="s">
        <v>1237</v>
      </c>
      <c r="C513" s="25">
        <v>755772.8</v>
      </c>
      <c r="D513" s="22" t="s">
        <v>1238</v>
      </c>
      <c r="E513" s="22" t="s">
        <v>362</v>
      </c>
      <c r="F513" s="23" t="str">
        <f>HYPERLINK("https://www.spark-marketing.ru/Card/Lot/74249850", "Услуги по организации и обеспечении горячего питания учащихся")</f>
        <v>Услуги по организации и обеспечении горячего питания учащихся</v>
      </c>
      <c r="G513" s="22" t="s">
        <v>153</v>
      </c>
      <c r="H513" s="22" t="s">
        <v>153</v>
      </c>
      <c r="I513" s="26">
        <v>43747</v>
      </c>
      <c r="J513" s="28" t="s">
        <v>51</v>
      </c>
      <c r="K513" s="28" t="s">
        <v>51</v>
      </c>
      <c r="L513" s="28" t="s">
        <v>51</v>
      </c>
      <c r="M513" s="28" t="s">
        <v>51</v>
      </c>
      <c r="N513" s="28" t="s">
        <v>51</v>
      </c>
    </row>
    <row r="514" spans="1:14" x14ac:dyDescent="0.15">
      <c r="A514" s="23" t="str">
        <f>HYPERLINK("https://www.spark-marketing.ru/Card/Person/1301233", "МАОУ ""ДАВЫДОВСКИЙ ЛИЦЕЙ""")</f>
        <v>МАОУ "ДАВЫДОВСКИЙ ЛИЦЕЙ"</v>
      </c>
      <c r="B514" s="24" t="s">
        <v>1239</v>
      </c>
      <c r="C514" s="25">
        <v>2499240</v>
      </c>
      <c r="D514" s="22" t="s">
        <v>1240</v>
      </c>
      <c r="E514" s="22" t="s">
        <v>362</v>
      </c>
      <c r="F514" s="23" t="str">
        <f>HYPERLINK("https://www.spark-marketing.ru/Card/Lot/74248585",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514" s="22" t="s">
        <v>49</v>
      </c>
      <c r="H514" s="22" t="s">
        <v>49</v>
      </c>
      <c r="I514" s="26">
        <v>43747</v>
      </c>
      <c r="J514" s="28" t="s">
        <v>51</v>
      </c>
      <c r="K514" s="28" t="s">
        <v>51</v>
      </c>
      <c r="L514" s="28" t="s">
        <v>51</v>
      </c>
      <c r="M514" s="28" t="s">
        <v>51</v>
      </c>
      <c r="N514" s="28" t="s">
        <v>51</v>
      </c>
    </row>
    <row r="515" spans="1:14" x14ac:dyDescent="0.15">
      <c r="A515" s="23" t="str">
        <f>HYPERLINK("https://www.spark-marketing.ru/Card/Person/1366743", "МАОУ ""СОШ № 21 Г. ЧЕЛЯБИНСКА""")</f>
        <v>МАОУ "СОШ № 21 Г. ЧЕЛЯБИНСКА"</v>
      </c>
      <c r="B515" s="24" t="s">
        <v>1241</v>
      </c>
      <c r="C515" s="25">
        <v>5027535</v>
      </c>
      <c r="D515" s="22" t="s">
        <v>1242</v>
      </c>
      <c r="E515" s="22" t="s">
        <v>362</v>
      </c>
      <c r="F515" s="23" t="str">
        <f>HYPERLINK("https://www.spark-marketing.ru/Card/Lot/74249047", "Закупка услуг по организации питания обучающихся МАОУ ""СОШ № 21 г. Челябинска")</f>
        <v>Закупка услуг по организации питания обучающихся МАОУ "СОШ № 21 г. Челябинска</v>
      </c>
      <c r="G515" s="22" t="s">
        <v>469</v>
      </c>
      <c r="H515" s="22" t="s">
        <v>469</v>
      </c>
      <c r="I515" s="26">
        <v>43747</v>
      </c>
      <c r="J515" s="28" t="s">
        <v>51</v>
      </c>
      <c r="K515" s="28" t="s">
        <v>51</v>
      </c>
      <c r="L515" s="28" t="s">
        <v>51</v>
      </c>
      <c r="M515" s="28" t="s">
        <v>51</v>
      </c>
      <c r="N515" s="28" t="s">
        <v>51</v>
      </c>
    </row>
    <row r="516" spans="1:14" x14ac:dyDescent="0.15">
      <c r="A516" s="23" t="str">
        <f>HYPERLINK("https://www.spark-marketing.ru/Card/Person/1025584", "МАОУ ""СОШ №1""")</f>
        <v>МАОУ "СОШ №1"</v>
      </c>
      <c r="B516" s="24" t="s">
        <v>1243</v>
      </c>
      <c r="C516" s="25">
        <v>167677.5</v>
      </c>
      <c r="D516" s="22" t="s">
        <v>1244</v>
      </c>
      <c r="E516" s="22" t="s">
        <v>362</v>
      </c>
      <c r="F516" s="23" t="str">
        <f>HYPERLINK("https://www.spark-marketing.ru/Card/Lot/74244013", "Оказание услуг по организации питания детей в лагерях с дневным пребыванием")</f>
        <v>Оказание услуг по организации питания детей в лагерях с дневным пребыванием</v>
      </c>
      <c r="G516" s="22" t="s">
        <v>97</v>
      </c>
      <c r="H516" s="22" t="s">
        <v>97</v>
      </c>
      <c r="I516" s="26">
        <v>43747</v>
      </c>
      <c r="J516" s="28" t="s">
        <v>51</v>
      </c>
      <c r="K516" s="28" t="s">
        <v>51</v>
      </c>
      <c r="L516" s="28" t="s">
        <v>51</v>
      </c>
      <c r="M516" s="28" t="s">
        <v>51</v>
      </c>
      <c r="N516" s="28" t="s">
        <v>51</v>
      </c>
    </row>
    <row r="517" spans="1:14" x14ac:dyDescent="0.15">
      <c r="A517" s="23" t="str">
        <f>HYPERLINK("https://www.spark-marketing.ru/Card/Person/1358450", "МАОУ ""КУРОВСКАЯ ГИМНАЗИЯ""")</f>
        <v>МАОУ "КУРОВСКАЯ ГИМНАЗИЯ"</v>
      </c>
      <c r="B517" s="24" t="s">
        <v>1245</v>
      </c>
      <c r="C517" s="25">
        <v>906100</v>
      </c>
      <c r="D517" s="22" t="s">
        <v>1246</v>
      </c>
      <c r="E517" s="22" t="s">
        <v>362</v>
      </c>
      <c r="F517" s="23" t="str">
        <f>HYPERLINK("https://www.spark-marketing.ru/Card/Lot/74247422", "Оказание услуг по организации горячего питания обучающихся")</f>
        <v>Оказание услуг по организации горячего питания обучающихся</v>
      </c>
      <c r="G517" s="22" t="s">
        <v>49</v>
      </c>
      <c r="H517" s="22" t="s">
        <v>49</v>
      </c>
      <c r="I517" s="26">
        <v>43747</v>
      </c>
      <c r="J517" s="28" t="s">
        <v>51</v>
      </c>
      <c r="K517" s="28" t="s">
        <v>51</v>
      </c>
      <c r="L517" s="28" t="s">
        <v>51</v>
      </c>
      <c r="M517" s="28" t="s">
        <v>51</v>
      </c>
      <c r="N517" s="28" t="s">
        <v>51</v>
      </c>
    </row>
    <row r="518" spans="1:14" x14ac:dyDescent="0.15">
      <c r="A518" s="23" t="str">
        <f>HYPERLINK("https://www.spark-marketing.ru/Card/Person/4924810", "ООО «ПЕСЧАНКА ЭНЕРГО»")</f>
        <v>ООО «ПЕСЧАНКА ЭНЕРГО»</v>
      </c>
      <c r="B518" s="24" t="s">
        <v>1247</v>
      </c>
      <c r="C518" s="25">
        <v>3972096</v>
      </c>
      <c r="D518" s="22" t="s">
        <v>1248</v>
      </c>
      <c r="E518" s="22" t="s">
        <v>362</v>
      </c>
      <c r="F518" s="23" t="str">
        <f>HYPERLINK("https://www.spark-marketing.ru/Card/Lot/74225286", "Оказание услуг по организации и доставке ежедневного трехразового горячего питания для работников Заказчика, работающих вахтовым методом в период их нахождения на вахте")</f>
        <v>Оказание услуг по организации и доставке ежедневного трехразового горячего питания для работников Заказчика, работающих вахтовым методом в период их нахождения на вахте</v>
      </c>
      <c r="G518" s="22" t="s">
        <v>281</v>
      </c>
      <c r="H518" s="22" t="s">
        <v>281</v>
      </c>
      <c r="I518" s="26">
        <v>43746.551458333299</v>
      </c>
      <c r="J518" s="28" t="s">
        <v>51</v>
      </c>
      <c r="K518" s="28" t="s">
        <v>51</v>
      </c>
      <c r="L518" s="28" t="s">
        <v>51</v>
      </c>
      <c r="M518" s="28" t="s">
        <v>51</v>
      </c>
      <c r="N518" s="28" t="s">
        <v>51</v>
      </c>
    </row>
    <row r="519" spans="1:14" x14ac:dyDescent="0.15">
      <c r="A519" s="23" t="str">
        <f>HYPERLINK("https://www.spark-marketing.ru/Card/Person/104531", "МБОУ ""СОШ №6""")</f>
        <v>МБОУ "СОШ №6"</v>
      </c>
      <c r="B519" s="24" t="s">
        <v>1249</v>
      </c>
      <c r="C519" s="25">
        <v>8561088</v>
      </c>
      <c r="D519" s="22" t="s">
        <v>1250</v>
      </c>
      <c r="E519" s="22" t="s">
        <v>48</v>
      </c>
      <c r="F519" s="23" t="str">
        <f>HYPERLINK("https://www.spark-marketing.ru/Card/Lot/74220502", "Оказание услуг по организации питания для обучающихся общеобразовательного учреждения (2020-2021)")</f>
        <v>Оказание услуг по организации питания для обучающихся общеобразовательного учреждения (2020-2021)</v>
      </c>
      <c r="G519" s="22" t="s">
        <v>49</v>
      </c>
      <c r="H519" s="22" t="s">
        <v>1131</v>
      </c>
      <c r="I519" s="26">
        <v>43746.753564814797</v>
      </c>
      <c r="J519" s="28" t="s">
        <v>51</v>
      </c>
      <c r="K519" s="28" t="s">
        <v>51</v>
      </c>
      <c r="L519" s="28" t="s">
        <v>51</v>
      </c>
      <c r="M519" s="28" t="s">
        <v>51</v>
      </c>
      <c r="N519" s="28" t="s">
        <v>51</v>
      </c>
    </row>
    <row r="520" spans="1:14" x14ac:dyDescent="0.15">
      <c r="A520" s="23" t="str">
        <f>HYPERLINK("https://www.spark-marketing.ru/Card/Person/1037424", "МДОУ ДЕТСКИЙ САД КОМБИНИРОВАННОГО ВИДА № 8 ""ТЕРЕМОК""")</f>
        <v>МДОУ ДЕТСКИЙ САД КОМБИНИРОВАННОГО ВИДА № 8 "ТЕРЕМОК"</v>
      </c>
      <c r="B520" s="24" t="s">
        <v>1251</v>
      </c>
      <c r="C520" s="25">
        <v>347424</v>
      </c>
      <c r="D520" s="22" t="s">
        <v>1252</v>
      </c>
      <c r="E520" s="22" t="s">
        <v>48</v>
      </c>
      <c r="F520" s="23" t="str">
        <f>HYPERLINK("https://www.spark-marketing.ru/Card/Lot/74214514",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520" s="22" t="s">
        <v>49</v>
      </c>
      <c r="H520" s="22" t="s">
        <v>50</v>
      </c>
      <c r="I520" s="26">
        <v>43746.763310185197</v>
      </c>
      <c r="J520" s="28" t="s">
        <v>51</v>
      </c>
      <c r="K520" s="28" t="s">
        <v>51</v>
      </c>
      <c r="L520" s="28" t="s">
        <v>51</v>
      </c>
      <c r="M520" s="28" t="s">
        <v>51</v>
      </c>
      <c r="N520" s="28" t="s">
        <v>51</v>
      </c>
    </row>
    <row r="521" spans="1:14" x14ac:dyDescent="0.15">
      <c r="A521" s="23" t="str">
        <f>HYPERLINK("https://www.spark-marketing.ru/Card/Person/1007484", "ГБУЗ СО ""МИАЦ""")</f>
        <v>ГБУЗ СО "МИАЦ"</v>
      </c>
      <c r="B521" s="24" t="s">
        <v>1253</v>
      </c>
      <c r="C521" s="25">
        <v>5326636.1500000004</v>
      </c>
      <c r="D521" s="22" t="s">
        <v>1254</v>
      </c>
      <c r="E521" s="22" t="s">
        <v>536</v>
      </c>
      <c r="F521" s="23" t="str">
        <f>HYPERLINK("https://www.spark-marketing.ru/Card/Lot/74217610", "Оказание услуг по техническому оснащению ситуационного центра на базе ГБУЗ СО ""ТЦМК""")</f>
        <v>Оказание услуг по техническому оснащению ситуационного центра на базе ГБУЗ СО "ТЦМК"</v>
      </c>
      <c r="G521" s="22" t="s">
        <v>174</v>
      </c>
      <c r="H521" s="22" t="s">
        <v>530</v>
      </c>
      <c r="I521" s="26">
        <v>43746.743796296301</v>
      </c>
      <c r="J521" s="23" t="str">
        <f>HYPERLINK("https://www.spark-marketing.ru/Card/Person/34555", "ООО ""СОФТЛАЙН ПРОЕКТЫ""")</f>
        <v>ООО "СОФТЛАЙН ПРОЕКТЫ"</v>
      </c>
      <c r="K521" s="24" t="s">
        <v>1255</v>
      </c>
      <c r="L521" s="22" t="s">
        <v>10</v>
      </c>
      <c r="M521" s="28" t="s">
        <v>51</v>
      </c>
      <c r="N521" s="28" t="s">
        <v>51</v>
      </c>
    </row>
    <row r="522" spans="1:14" x14ac:dyDescent="0.15">
      <c r="A522" s="23" t="str">
        <f>HYPERLINK("https://www.spark-marketing.ru/Card/Person/123659", "ГБУ ЯНАО ""ЦСО В МО Г. НОЯБРЬСК""")</f>
        <v>ГБУ ЯНАО "ЦСО В МО Г. НОЯБРЬСК"</v>
      </c>
      <c r="B522" s="24" t="s">
        <v>1256</v>
      </c>
      <c r="C522" s="25">
        <v>459894.24</v>
      </c>
      <c r="D522" s="22" t="s">
        <v>1257</v>
      </c>
      <c r="E522" s="22" t="s">
        <v>51</v>
      </c>
      <c r="F522" s="23" t="str">
        <f>HYPERLINK("https://www.spark-marketing.ru/Card/Lot/74222096", "Оказание услуг по общественному питанию")</f>
        <v>Оказание услуг по общественному питанию</v>
      </c>
      <c r="G522" s="22" t="s">
        <v>1056</v>
      </c>
      <c r="H522" s="22" t="s">
        <v>1258</v>
      </c>
      <c r="I522" s="26">
        <v>43746.748043981497</v>
      </c>
      <c r="J522" s="28" t="s">
        <v>51</v>
      </c>
      <c r="K522" s="28" t="s">
        <v>51</v>
      </c>
      <c r="L522" s="28" t="s">
        <v>51</v>
      </c>
      <c r="M522" s="28" t="s">
        <v>51</v>
      </c>
      <c r="N522" s="28" t="s">
        <v>51</v>
      </c>
    </row>
    <row r="523" spans="1:14" x14ac:dyDescent="0.15">
      <c r="A523" s="23" t="str">
        <f>HYPERLINK("https://www.spark-marketing.ru/Card/Person/826544", "ГКУ РС (Я) ""НСРЦН""")</f>
        <v>ГКУ РС (Я) "НСРЦН"</v>
      </c>
      <c r="B523" s="24" t="s">
        <v>1259</v>
      </c>
      <c r="C523" s="25">
        <v>770000</v>
      </c>
      <c r="D523" s="22" t="s">
        <v>1260</v>
      </c>
      <c r="E523" s="22" t="s">
        <v>48</v>
      </c>
      <c r="F523" s="23" t="str">
        <f>HYPERLINK("https://www.spark-marketing.ru/Card/Lot/74216881", "Оказание услуг по предоставлению горячего питания воспитанникам учреждения")</f>
        <v>Оказание услуг по предоставлению горячего питания воспитанникам учреждения</v>
      </c>
      <c r="G523" s="22" t="s">
        <v>241</v>
      </c>
      <c r="H523" s="22" t="s">
        <v>241</v>
      </c>
      <c r="I523" s="26">
        <v>43746.715682870403</v>
      </c>
      <c r="J523" s="28" t="s">
        <v>51</v>
      </c>
      <c r="K523" s="28" t="s">
        <v>51</v>
      </c>
      <c r="L523" s="28" t="s">
        <v>51</v>
      </c>
      <c r="M523" s="28" t="s">
        <v>51</v>
      </c>
      <c r="N523" s="28" t="s">
        <v>51</v>
      </c>
    </row>
    <row r="524" spans="1:14" x14ac:dyDescent="0.15">
      <c r="A524" s="23" t="str">
        <f>HYPERLINK("https://www.spark-marketing.ru/Card/Person/59627", "МБДОУ ДЕТСКИЙ САД №20 ""ЗОЛОТОЙ КЛЮЧИК""")</f>
        <v>МБДОУ ДЕТСКИЙ САД №20 "ЗОЛОТОЙ КЛЮЧИК"</v>
      </c>
      <c r="B524" s="24" t="s">
        <v>1261</v>
      </c>
      <c r="C524" s="25">
        <v>212795.04</v>
      </c>
      <c r="D524" s="22" t="s">
        <v>1262</v>
      </c>
      <c r="E524" s="22" t="s">
        <v>48</v>
      </c>
      <c r="F524" s="23" t="str">
        <f>HYPERLINK("https://www.spark-marketing.ru/Card/Lot/74214281", "Оказание услуг по организации рационального горячего питания детей до 3-х лет")</f>
        <v>Оказание услуг по организации рационального горячего питания детей до 3-х лет</v>
      </c>
      <c r="G524" s="22" t="s">
        <v>49</v>
      </c>
      <c r="H524" s="22" t="s">
        <v>1263</v>
      </c>
      <c r="I524" s="26">
        <v>43746.732268518499</v>
      </c>
      <c r="J524" s="28" t="s">
        <v>51</v>
      </c>
      <c r="K524" s="28" t="s">
        <v>51</v>
      </c>
      <c r="L524" s="28" t="s">
        <v>51</v>
      </c>
      <c r="M524" s="28" t="s">
        <v>51</v>
      </c>
      <c r="N524" s="28" t="s">
        <v>51</v>
      </c>
    </row>
    <row r="525" spans="1:14" x14ac:dyDescent="0.15">
      <c r="A525" s="23" t="str">
        <f>HYPERLINK("https://www.spark-marketing.ru/Card/Person/104684", "МОУ ДУБРОВИЦКАЯ ШКОЛА")</f>
        <v>МОУ ДУБРОВИЦКАЯ ШКОЛА</v>
      </c>
      <c r="B525" s="24" t="s">
        <v>658</v>
      </c>
      <c r="C525" s="25">
        <v>550145</v>
      </c>
      <c r="D525" s="22" t="s">
        <v>1264</v>
      </c>
      <c r="E525" s="22" t="s">
        <v>48</v>
      </c>
      <c r="F525" s="23" t="str">
        <f>HYPERLINK("https://www.spark-marketing.ru/Card/Lot/74214287",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525" s="22" t="s">
        <v>49</v>
      </c>
      <c r="H525" s="22" t="s">
        <v>50</v>
      </c>
      <c r="I525" s="26">
        <v>43746.732731481497</v>
      </c>
      <c r="J525" s="28" t="s">
        <v>51</v>
      </c>
      <c r="K525" s="28" t="s">
        <v>51</v>
      </c>
      <c r="L525" s="28" t="s">
        <v>51</v>
      </c>
      <c r="M525" s="28" t="s">
        <v>51</v>
      </c>
      <c r="N525" s="28" t="s">
        <v>51</v>
      </c>
    </row>
    <row r="526" spans="1:14" x14ac:dyDescent="0.15">
      <c r="A526" s="23" t="str">
        <f>HYPERLINK("https://www.spark-marketing.ru/Card/Person/27675", "ФКУ ""ЦХИСО УМВД РОССИИ ПО МАГАДАНСКОЙ ОБЛАСТИ""")</f>
        <v>ФКУ "ЦХИСО УМВД РОССИИ ПО МАГАДАНСКОЙ ОБЛАСТИ"</v>
      </c>
      <c r="B526" s="24" t="s">
        <v>746</v>
      </c>
      <c r="C526" s="25">
        <v>2854300</v>
      </c>
      <c r="D526" s="22" t="s">
        <v>1265</v>
      </c>
      <c r="E526" s="22" t="s">
        <v>96</v>
      </c>
      <c r="F526" s="23" t="str">
        <f>HYPERLINK("https://www.spark-marketing.ru/Card/Lot/74220058", "Оказание услуг по организации горячего питания для слушателей ЦПП УМВД России по Магаданской области в 2021 году")</f>
        <v>Оказание услуг по организации горячего питания для слушателей ЦПП УМВД России по Магаданской области в 2021 году</v>
      </c>
      <c r="G526" s="22" t="s">
        <v>548</v>
      </c>
      <c r="H526" s="22" t="s">
        <v>748</v>
      </c>
      <c r="I526" s="26">
        <v>43746.710462962998</v>
      </c>
      <c r="J526" s="28" t="s">
        <v>51</v>
      </c>
      <c r="K526" s="28" t="s">
        <v>51</v>
      </c>
      <c r="L526" s="28" t="s">
        <v>51</v>
      </c>
      <c r="M526" s="28" t="s">
        <v>51</v>
      </c>
      <c r="N526" s="28" t="s">
        <v>51</v>
      </c>
    </row>
    <row r="527" spans="1:14" x14ac:dyDescent="0.15">
      <c r="A527" s="23" t="str">
        <f>HYPERLINK("https://www.spark-marketing.ru/Card/Person/4365569", "ФГУП ""РОСМОРПОРТ""")</f>
        <v>ФГУП "РОСМОРПОРТ"</v>
      </c>
      <c r="B527" s="24" t="s">
        <v>1266</v>
      </c>
      <c r="C527" s="28" t="s">
        <v>51</v>
      </c>
      <c r="D527" s="22" t="s">
        <v>1267</v>
      </c>
      <c r="E527" s="22" t="s">
        <v>1268</v>
      </c>
      <c r="F527" s="23" t="str">
        <f>HYPERLINK("https://www.spark-marketing.ru/Card/Lot/74293508", "Оказание услуг по ремонту компьютерной, телекоммуникационной техники, ИБП, сотовых телефонов и смартфонов на период с 01 января 2020 года по 31 декабря 2020 года для нужд Таманского управления")</f>
        <v>Оказание услуг по ремонту компьютерной, телекоммуникационной техники, ИБП, сотовых телефонов и смартфонов на период с 01 января 2020 года по 31 декабря 2020 года для нужд Таманского управления</v>
      </c>
      <c r="G527" s="22" t="s">
        <v>104</v>
      </c>
      <c r="H527" s="22" t="s">
        <v>1269</v>
      </c>
      <c r="I527" s="26">
        <v>43746.743750000001</v>
      </c>
      <c r="J527" s="28" t="s">
        <v>51</v>
      </c>
      <c r="K527" s="28" t="s">
        <v>51</v>
      </c>
      <c r="L527" s="28" t="s">
        <v>51</v>
      </c>
      <c r="M527" s="28" t="s">
        <v>51</v>
      </c>
      <c r="N527" s="28" t="s">
        <v>51</v>
      </c>
    </row>
    <row r="528" spans="1:14" x14ac:dyDescent="0.15">
      <c r="A528" s="23" t="str">
        <f>HYPERLINK("https://www.spark-marketing.ru/Card/Person/4348005", "Адыгейский ПСО МЧС России (ФЛ ФГБУ ""ЮРПСО МЧС России"")")</f>
        <v>Адыгейский ПСО МЧС России (ФЛ ФГБУ "ЮРПСО МЧС России")</v>
      </c>
      <c r="B528" s="24" t="s">
        <v>1270</v>
      </c>
      <c r="C528" s="25">
        <v>475200</v>
      </c>
      <c r="D528" s="22" t="s">
        <v>1271</v>
      </c>
      <c r="E528" s="22" t="s">
        <v>48</v>
      </c>
      <c r="F528" s="23" t="str">
        <f>HYPERLINK("https://www.spark-marketing.ru/Card/Lot/74219889", "Услуги по обеспечению готовым питанием спасателей")</f>
        <v>Услуги по обеспечению готовым питанием спасателей</v>
      </c>
      <c r="G528" s="22" t="s">
        <v>104</v>
      </c>
      <c r="H528" s="22" t="s">
        <v>104</v>
      </c>
      <c r="I528" s="26">
        <v>43746.7112962963</v>
      </c>
      <c r="J528" s="23" t="str">
        <f>HYPERLINK("https://www.spark-marketing.ru/Card/Person/453470", "ООО ""ГЕПАРД""")</f>
        <v>ООО "ГЕПАРД"</v>
      </c>
      <c r="K528" s="24" t="s">
        <v>1272</v>
      </c>
      <c r="L528" s="22" t="s">
        <v>10</v>
      </c>
      <c r="M528" s="28" t="s">
        <v>51</v>
      </c>
      <c r="N528" s="28" t="s">
        <v>51</v>
      </c>
    </row>
    <row r="529" spans="1:14" x14ac:dyDescent="0.15">
      <c r="A529" s="23" t="str">
        <f>HYPERLINK("https://www.spark-marketing.ru/Card/Person/4354855", "ООО ""ГАЗПРОМНЕФТЬ - СНАБЖЕНИЕ""")</f>
        <v>ООО "ГАЗПРОМНЕФТЬ - СНАБЖЕНИЕ"</v>
      </c>
      <c r="B529" s="24" t="s">
        <v>1273</v>
      </c>
      <c r="C529" s="28" t="s">
        <v>51</v>
      </c>
      <c r="D529" s="22" t="s">
        <v>1274</v>
      </c>
      <c r="E529" s="22" t="s">
        <v>52</v>
      </c>
      <c r="F529" s="23" t="str">
        <f>HYPERLINK("https://www.spark-marketing.ru/Card/Lot/74213929", "Услуги по организации питания, обеспечению горячим питанием, спецпитанием, питьевой водой")</f>
        <v>Услуги по организации питания, обеспечению горячим питанием, спецпитанием, питьевой водой</v>
      </c>
      <c r="G529" s="22" t="s">
        <v>1056</v>
      </c>
      <c r="H529" s="22" t="s">
        <v>1056</v>
      </c>
      <c r="I529" s="26">
        <v>43746.708333333299</v>
      </c>
      <c r="J529" s="28" t="s">
        <v>51</v>
      </c>
      <c r="K529" s="28" t="s">
        <v>51</v>
      </c>
      <c r="L529" s="28" t="s">
        <v>51</v>
      </c>
      <c r="M529" s="28" t="s">
        <v>51</v>
      </c>
      <c r="N529" s="28" t="s">
        <v>51</v>
      </c>
    </row>
    <row r="530" spans="1:14" x14ac:dyDescent="0.15">
      <c r="A530" s="23" t="str">
        <f>HYPERLINK("https://www.spark-marketing.ru/Card/Person/27675", "ФКУ ""ЦХИСО УМВД РОССИИ ПО МАГАДАНСКОЙ ОБЛАСТИ""")</f>
        <v>ФКУ "ЦХИСО УМВД РОССИИ ПО МАГАДАНСКОЙ ОБЛАСТИ"</v>
      </c>
      <c r="B530" s="24" t="s">
        <v>746</v>
      </c>
      <c r="C530" s="25">
        <v>2854300</v>
      </c>
      <c r="D530" s="22" t="s">
        <v>1275</v>
      </c>
      <c r="E530" s="22" t="s">
        <v>96</v>
      </c>
      <c r="F530" s="23" t="str">
        <f>HYPERLINK("https://www.spark-marketing.ru/Card/Lot/74220027", "Оказание услуг по организации горячего питания для слушателей ЦПП УМВД России по Магаданской области"" в 2020 году")</f>
        <v>Оказание услуг по организации горячего питания для слушателей ЦПП УМВД России по Магаданской области" в 2020 году</v>
      </c>
      <c r="G530" s="22" t="s">
        <v>548</v>
      </c>
      <c r="H530" s="22" t="s">
        <v>748</v>
      </c>
      <c r="I530" s="26">
        <v>43746.710243055597</v>
      </c>
      <c r="J530" s="28" t="s">
        <v>51</v>
      </c>
      <c r="K530" s="28" t="s">
        <v>51</v>
      </c>
      <c r="L530" s="28" t="s">
        <v>51</v>
      </c>
      <c r="M530" s="28" t="s">
        <v>51</v>
      </c>
      <c r="N530" s="28" t="s">
        <v>51</v>
      </c>
    </row>
    <row r="531" spans="1:14" x14ac:dyDescent="0.15">
      <c r="A531" s="23" t="str">
        <f>HYPERLINK("https://www.spark-marketing.ru/Card/Person/10223", "ФГБУ ФСНКЦ ФМБА РОССИИ")</f>
        <v>ФГБУ ФСНКЦ ФМБА РОССИИ</v>
      </c>
      <c r="B531" s="24" t="s">
        <v>1276</v>
      </c>
      <c r="C531" s="25">
        <v>189754</v>
      </c>
      <c r="D531" s="22" t="s">
        <v>1277</v>
      </c>
      <c r="E531" s="22" t="s">
        <v>580</v>
      </c>
      <c r="F531" s="23" t="str">
        <f>HYPERLINK("https://www.spark-marketing.ru/Card/Lot/74225035", "№ 869-223/19 на оказание услуг по организации питания для нужд ФГБУ ФСНКЦ ФМБА России (для субъектов малого и среднего предпринимательства)")</f>
        <v>№ 869-223/19 на оказание услуг по организации питания для нужд ФГБУ ФСНКЦ ФМБА России (для субъектов малого и среднего предпринимательства)</v>
      </c>
      <c r="G531" s="22" t="s">
        <v>281</v>
      </c>
      <c r="H531" s="22" t="s">
        <v>281</v>
      </c>
      <c r="I531" s="26">
        <v>43746.668912036999</v>
      </c>
      <c r="J531" s="28" t="s">
        <v>51</v>
      </c>
      <c r="K531" s="28" t="s">
        <v>51</v>
      </c>
      <c r="L531" s="28" t="s">
        <v>51</v>
      </c>
      <c r="M531" s="28" t="s">
        <v>51</v>
      </c>
      <c r="N531" s="28" t="s">
        <v>51</v>
      </c>
    </row>
    <row r="532" spans="1:14" x14ac:dyDescent="0.15">
      <c r="A532" s="23" t="str">
        <f>HYPERLINK("https://www.spark-marketing.ru/Card/Person/4434811", "МАОУ ""АКСАРИНСКАЯ СОШ""")</f>
        <v>МАОУ "АКСАРИНСКАЯ СОШ"</v>
      </c>
      <c r="B532" s="24" t="s">
        <v>1278</v>
      </c>
      <c r="C532" s="25">
        <v>233766.5</v>
      </c>
      <c r="D532" s="22" t="s">
        <v>1279</v>
      </c>
      <c r="E532" s="22" t="s">
        <v>362</v>
      </c>
      <c r="F532" s="23" t="str">
        <f>HYPERLINK("https://www.spark-marketing.ru/Card/Lot/74226984", "Оказание услуг по организации питания")</f>
        <v>Оказание услуг по организации питания</v>
      </c>
      <c r="G532" s="22" t="s">
        <v>766</v>
      </c>
      <c r="H532" s="22" t="s">
        <v>766</v>
      </c>
      <c r="I532" s="26">
        <v>43746.692731481497</v>
      </c>
      <c r="J532" s="28" t="s">
        <v>51</v>
      </c>
      <c r="K532" s="28" t="s">
        <v>51</v>
      </c>
      <c r="L532" s="28" t="s">
        <v>51</v>
      </c>
      <c r="M532" s="28" t="s">
        <v>51</v>
      </c>
      <c r="N532" s="28" t="s">
        <v>51</v>
      </c>
    </row>
    <row r="533" spans="1:14" x14ac:dyDescent="0.15">
      <c r="A533" s="23" t="str">
        <f>HYPERLINK("https://www.spark-marketing.ru/Card/Person/38453", "ГБУЗ РК ""ГБЭР""")</f>
        <v>ГБУЗ РК "ГБЭР"</v>
      </c>
      <c r="B533" s="24" t="s">
        <v>1280</v>
      </c>
      <c r="C533" s="25">
        <v>338739</v>
      </c>
      <c r="D533" s="22" t="s">
        <v>1281</v>
      </c>
      <c r="E533" s="22" t="s">
        <v>62</v>
      </c>
      <c r="F533" s="23" t="str">
        <f>HYPERLINK("https://www.spark-marketing.ru/Card/Lot/74219471", "Поставка бланков")</f>
        <v>Поставка бланков</v>
      </c>
      <c r="G533" s="22" t="s">
        <v>271</v>
      </c>
      <c r="H533" s="22" t="s">
        <v>1282</v>
      </c>
      <c r="I533" s="26">
        <v>43746.706701388903</v>
      </c>
      <c r="J533" s="28" t="s">
        <v>51</v>
      </c>
      <c r="K533" s="28" t="s">
        <v>51</v>
      </c>
      <c r="L533" s="28" t="s">
        <v>51</v>
      </c>
      <c r="M533" s="28" t="s">
        <v>51</v>
      </c>
      <c r="N533" s="28" t="s">
        <v>51</v>
      </c>
    </row>
    <row r="534" spans="1:14" x14ac:dyDescent="0.15">
      <c r="A534" s="23" t="str">
        <f>HYPERLINK("https://www.spark-marketing.ru/Card/Person/14868", "МУ МВД РОССИИ ""ЭНГЕЛЬССКОЕ"" САРАТОВСКОЙ ОБЛАСТИ")</f>
        <v>МУ МВД РОССИИ "ЭНГЕЛЬССКОЕ" САРАТОВСКОЙ ОБЛАСТИ</v>
      </c>
      <c r="B534" s="24" t="s">
        <v>1283</v>
      </c>
      <c r="C534" s="25">
        <v>1561560</v>
      </c>
      <c r="D534" s="22" t="s">
        <v>1284</v>
      </c>
      <c r="E534" s="22" t="s">
        <v>48</v>
      </c>
      <c r="F534" s="23" t="str">
        <f>HYPERLINK("https://www.spark-marketing.ru/Card/Lot/74216911", "Оказание услуг по организации питания лиц, содержащихся в ИВС, Спец.приемнике и КСЗ территориальных отделов МУ МВД России «Энгельсское» Саратовской области")</f>
        <v>Оказание услуг по организации питания лиц, содержащихся в ИВС, Спец.приемнике и КСЗ территориальных отделов МУ МВД России «Энгельсское» Саратовской области</v>
      </c>
      <c r="G534" s="22" t="s">
        <v>351</v>
      </c>
      <c r="H534" s="22" t="s">
        <v>1285</v>
      </c>
      <c r="I534" s="26">
        <v>43746.669328703698</v>
      </c>
      <c r="J534" s="28" t="s">
        <v>51</v>
      </c>
      <c r="K534" s="28" t="s">
        <v>51</v>
      </c>
      <c r="L534" s="28" t="s">
        <v>51</v>
      </c>
      <c r="M534" s="28" t="s">
        <v>51</v>
      </c>
      <c r="N534" s="28" t="s">
        <v>51</v>
      </c>
    </row>
    <row r="535" spans="1:14" x14ac:dyDescent="0.15">
      <c r="A535" s="23" t="str">
        <f>HYPERLINK("https://www.spark-marketing.ru/Card/Person/64935", "УМВД РОССИИ ПО Г. КУРСКУ")</f>
        <v>УМВД РОССИИ ПО Г. КУРСКУ</v>
      </c>
      <c r="B535" s="24" t="s">
        <v>1109</v>
      </c>
      <c r="C535" s="25">
        <v>1100320</v>
      </c>
      <c r="D535" s="22" t="s">
        <v>1286</v>
      </c>
      <c r="E535" s="22" t="s">
        <v>96</v>
      </c>
      <c r="F535" s="23" t="str">
        <f>HYPERLINK("https://www.spark-marketing.ru/Card/Lot/74219704", "Оказание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Курску")</f>
        <v>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</v>
      </c>
      <c r="G535" s="22" t="s">
        <v>1111</v>
      </c>
      <c r="H535" s="22" t="s">
        <v>1112</v>
      </c>
      <c r="I535" s="26">
        <v>43746.672407407401</v>
      </c>
      <c r="J535" s="28" t="s">
        <v>51</v>
      </c>
      <c r="K535" s="28" t="s">
        <v>51</v>
      </c>
      <c r="L535" s="28" t="s">
        <v>51</v>
      </c>
      <c r="M535" s="28" t="s">
        <v>51</v>
      </c>
      <c r="N535" s="28" t="s">
        <v>51</v>
      </c>
    </row>
    <row r="536" spans="1:14" x14ac:dyDescent="0.15">
      <c r="A536" s="23" t="str">
        <f>HYPERLINK("https://www.spark-marketing.ru/Card/Person/2717", "ГБУЗ ВО ""ГКБ СМП""")</f>
        <v>ГБУЗ ВО "ГКБ СМП"</v>
      </c>
      <c r="B536" s="24" t="s">
        <v>1287</v>
      </c>
      <c r="C536" s="25">
        <v>72820576.700000003</v>
      </c>
      <c r="D536" s="22" t="s">
        <v>1288</v>
      </c>
      <c r="E536" s="22" t="s">
        <v>48</v>
      </c>
      <c r="F536" s="23" t="str">
        <f>HYPERLINK("https://www.spark-marketing.ru/Card/Lot/74218783", "Оказание услуг по организации горячего лечебного питания стационарным больным")</f>
        <v>Оказание услуг по организации горячего лечебного питания стационарным больным</v>
      </c>
      <c r="G536" s="22" t="s">
        <v>663</v>
      </c>
      <c r="H536" s="22" t="s">
        <v>663</v>
      </c>
      <c r="I536" s="26">
        <v>43746.671099537001</v>
      </c>
      <c r="J536" s="28" t="s">
        <v>51</v>
      </c>
      <c r="K536" s="28" t="s">
        <v>51</v>
      </c>
      <c r="L536" s="28" t="s">
        <v>51</v>
      </c>
      <c r="M536" s="28" t="s">
        <v>51</v>
      </c>
      <c r="N536" s="28" t="s">
        <v>51</v>
      </c>
    </row>
    <row r="537" spans="1:14" x14ac:dyDescent="0.15">
      <c r="A537" s="23" t="str">
        <f>HYPERLINK("https://www.spark-marketing.ru/Card/Person/13859", "УМВД РОССИИ ПО Г. МУРМАНСКУ")</f>
        <v>УМВД РОССИИ ПО Г. МУРМАНСКУ</v>
      </c>
      <c r="B537" s="24" t="s">
        <v>345</v>
      </c>
      <c r="C537" s="25">
        <v>156626.79</v>
      </c>
      <c r="D537" s="22" t="s">
        <v>1289</v>
      </c>
      <c r="E537" s="22" t="s">
        <v>48</v>
      </c>
      <c r="F537" s="23" t="str">
        <f>HYPERLINK("https://www.spark-marketing.ru/Card/Lot/74212252",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37" s="22" t="s">
        <v>340</v>
      </c>
      <c r="H537" s="22" t="s">
        <v>341</v>
      </c>
      <c r="I537" s="26">
        <v>43746.694826388899</v>
      </c>
      <c r="J537" s="28" t="s">
        <v>51</v>
      </c>
      <c r="K537" s="28" t="s">
        <v>51</v>
      </c>
      <c r="L537" s="28" t="s">
        <v>51</v>
      </c>
      <c r="M537" s="28" t="s">
        <v>51</v>
      </c>
      <c r="N537" s="28" t="s">
        <v>51</v>
      </c>
    </row>
    <row r="538" spans="1:14" x14ac:dyDescent="0.15">
      <c r="A538" s="23" t="str">
        <f>HYPERLINK("https://www.spark-marketing.ru/Card/Person/1046750", "ГКУ СО ""КИРОВСКИЙ ЦСОН""")</f>
        <v>ГКУ СО "КИРОВСКИЙ ЦСОН"</v>
      </c>
      <c r="B538" s="24" t="s">
        <v>1290</v>
      </c>
      <c r="C538" s="25">
        <v>567570</v>
      </c>
      <c r="D538" s="22" t="s">
        <v>1291</v>
      </c>
      <c r="E538" s="22" t="s">
        <v>48</v>
      </c>
      <c r="F538" s="23" t="str">
        <f>HYPERLINK("https://www.spark-marketing.ru/Card/Lot/74218984", "Оказание услуг по обеспечению двухразовым горячим питанием")</f>
        <v>Оказание услуг по обеспечению двухразовым горячим питанием</v>
      </c>
      <c r="G538" s="22" t="s">
        <v>158</v>
      </c>
      <c r="H538" s="22" t="s">
        <v>171</v>
      </c>
      <c r="I538" s="26">
        <v>43746.7008333333</v>
      </c>
      <c r="J538" s="28" t="s">
        <v>51</v>
      </c>
      <c r="K538" s="28" t="s">
        <v>51</v>
      </c>
      <c r="L538" s="28" t="s">
        <v>51</v>
      </c>
      <c r="M538" s="28" t="s">
        <v>51</v>
      </c>
      <c r="N538" s="28" t="s">
        <v>51</v>
      </c>
    </row>
    <row r="539" spans="1:14" x14ac:dyDescent="0.15">
      <c r="A539" s="23" t="str">
        <f>HYPERLINK("https://www.spark-marketing.ru/Card/Person/35562", "ФГБОУ ВО ""АЛТАЙСКИЙ ГОСУДАРСТВЕННЫЙ ТЕХНИЧЕСКИЙ УНИВЕРСИТЕТ ИМ. И.И. ПОЛЗУНОВА"", АЛТГТУ")</f>
        <v>ФГБОУ ВО "АЛТАЙСКИЙ ГОСУДАРСТВЕННЫЙ ТЕХНИЧЕСКИЙ УНИВЕРСИТЕТ ИМ. И.И. ПОЛЗУНОВА", АЛТГТУ</v>
      </c>
      <c r="B539" s="24" t="s">
        <v>1292</v>
      </c>
      <c r="C539" s="25">
        <v>118324.21</v>
      </c>
      <c r="D539" s="22" t="s">
        <v>1293</v>
      </c>
      <c r="E539" s="22" t="s">
        <v>1014</v>
      </c>
      <c r="F539" s="23" t="str">
        <f>HYPERLINK("https://www.spark-marketing.ru/Card/Lot/74216324", "Оказание услуг по подписке на периодические печатные издания для нужд БТИ АлтГТУ на 1-е полугодие 2020 г.")</f>
        <v>Оказание услуг по подписке на периодические печатные издания для нужд БТИ АлтГТУ на 1-е полугодие 2020 г.</v>
      </c>
      <c r="G539" s="22" t="s">
        <v>63</v>
      </c>
      <c r="H539" s="22" t="s">
        <v>1294</v>
      </c>
      <c r="I539" s="26">
        <v>43746.6797800926</v>
      </c>
      <c r="J539" s="28" t="s">
        <v>51</v>
      </c>
      <c r="K539" s="28" t="s">
        <v>51</v>
      </c>
      <c r="L539" s="28" t="s">
        <v>51</v>
      </c>
      <c r="M539" s="28" t="s">
        <v>51</v>
      </c>
      <c r="N539" s="28" t="s">
        <v>51</v>
      </c>
    </row>
    <row r="540" spans="1:14" x14ac:dyDescent="0.15">
      <c r="A540" s="23" t="str">
        <f>HYPERLINK("https://www.spark-marketing.ru/Card/Person/112485", "МБОУ ""СРЕДНЯЯ ОБЩЕОБРАЗОВАТЕЛЬНАЯ ШКОЛА №4""")</f>
        <v>МБОУ "СРЕДНЯЯ ОБЩЕОБРАЗОВАТЕЛЬНАЯ ШКОЛА №4"</v>
      </c>
      <c r="B540" s="24" t="s">
        <v>1193</v>
      </c>
      <c r="C540" s="25">
        <v>499539.6</v>
      </c>
      <c r="D540" s="22" t="s">
        <v>1295</v>
      </c>
      <c r="E540" s="22" t="s">
        <v>48</v>
      </c>
      <c r="F540" s="23" t="str">
        <f>HYPERLINK("https://www.spark-marketing.ru/Card/Lot/74219764", "Оказание услуг по организации питания обучающихся")</f>
        <v>Оказание услуг по организации питания обучающихся</v>
      </c>
      <c r="G540" s="22" t="s">
        <v>49</v>
      </c>
      <c r="H540" s="22" t="s">
        <v>1185</v>
      </c>
      <c r="I540" s="26">
        <v>43746.6791898148</v>
      </c>
      <c r="J540" s="28" t="s">
        <v>51</v>
      </c>
      <c r="K540" s="28" t="s">
        <v>51</v>
      </c>
      <c r="L540" s="28" t="s">
        <v>51</v>
      </c>
      <c r="M540" s="28" t="s">
        <v>51</v>
      </c>
      <c r="N540" s="28" t="s">
        <v>51</v>
      </c>
    </row>
    <row r="541" spans="1:14" ht="12.75" hidden="1" outlineLevel="1" x14ac:dyDescent="0.2">
      <c r="A541" s="23" t="str">
        <f>HYPERLINK("https://www.spark-marketing.ru/Card/Person/112485", "МБОУ ""СРЕДНЯЯ ОБЩЕОБРАЗОВАТЕЛЬНАЯ ШКОЛА №4""")</f>
        <v>МБОУ "СРЕДНЯЯ ОБЩЕОБРАЗОВАТЕЛЬНАЯ ШКОЛА №4"</v>
      </c>
      <c r="B541" s="24" t="s">
        <v>1193</v>
      </c>
      <c r="C541" s="25">
        <v>499539.6</v>
      </c>
      <c r="D541" s="22" t="s">
        <v>1295</v>
      </c>
      <c r="E541" s="22" t="s">
        <v>48</v>
      </c>
      <c r="F541" s="23" t="str">
        <f>HYPERLINK("https://www.spark-marketing.ru/Card/Lot/74219764", "Оказание услуг по организации питания обучающихся")</f>
        <v>Оказание услуг по организации питания обучающихся</v>
      </c>
      <c r="G541" s="22" t="s">
        <v>49</v>
      </c>
      <c r="H541" s="22" t="s">
        <v>1185</v>
      </c>
      <c r="I541" s="26">
        <v>43746.6791898148</v>
      </c>
      <c r="J541" s="23" t="str">
        <f>HYPERLINK("https://www.spark-marketing.ru/Card/Person/4348093", "Филин Андрей Сергеевич")</f>
        <v>Филин Андрей Сергеевич</v>
      </c>
      <c r="K541" s="24" t="s">
        <v>1186</v>
      </c>
      <c r="L541" s="22" t="s">
        <v>10</v>
      </c>
      <c r="M541" s="25">
        <v>499530</v>
      </c>
      <c r="N541" s="27">
        <v>1.9217695654158348E-5</v>
      </c>
    </row>
    <row r="542" spans="1:14" hidden="1" outlineLevel="1" x14ac:dyDescent="0.2">
      <c r="A542" s="23" t="str">
        <f>HYPERLINK("https://www.spark-marketing.ru/Card/Person/112485", "МБОУ ""СРЕДНЯЯ ОБЩЕОБРАЗОВАТЕЛЬНАЯ ШКОЛА №4""")</f>
        <v>МБОУ "СРЕДНЯЯ ОБЩЕОБРАЗОВАТЕЛЬНАЯ ШКОЛА №4"</v>
      </c>
      <c r="B542" s="24" t="s">
        <v>1193</v>
      </c>
      <c r="C542" s="25">
        <v>499539.6</v>
      </c>
      <c r="D542" s="22" t="s">
        <v>1295</v>
      </c>
      <c r="E542" s="22" t="s">
        <v>48</v>
      </c>
      <c r="F542" s="23" t="str">
        <f>HYPERLINK("https://www.spark-marketing.ru/Card/Lot/74219764", "Оказание услуг по организации питания обучающихся")</f>
        <v>Оказание услуг по организации питания обучающихся</v>
      </c>
      <c r="G542" s="22" t="s">
        <v>49</v>
      </c>
      <c r="H542" s="22" t="s">
        <v>1185</v>
      </c>
      <c r="I542" s="26">
        <v>43746.6791898148</v>
      </c>
      <c r="J542" s="23" t="str">
        <f>HYPERLINK("https://www.spark-marketing.ru/Card/Person/87749", "Рыжухин Сергей Александрович")</f>
        <v>Рыжухин Сергей Александрович</v>
      </c>
      <c r="K542" s="24" t="s">
        <v>1187</v>
      </c>
      <c r="L542" s="28" t="s">
        <v>51</v>
      </c>
      <c r="M542" s="25">
        <v>499539.6</v>
      </c>
      <c r="N542" s="27">
        <v>0</v>
      </c>
    </row>
    <row r="543" spans="1:14" x14ac:dyDescent="0.15">
      <c r="A543" s="23" t="str">
        <f>HYPERLINK("https://www.spark-marketing.ru/Card/Person/14868", "МУ МВД РОССИИ ""ЭНГЕЛЬССКОЕ"" САРАТОВСКОЙ ОБЛАСТИ")</f>
        <v>МУ МВД РОССИИ "ЭНГЕЛЬССКОЕ" САРАТОВСКОЙ ОБЛАСТИ</v>
      </c>
      <c r="B543" s="24" t="s">
        <v>1283</v>
      </c>
      <c r="C543" s="25">
        <v>2263100</v>
      </c>
      <c r="D543" s="22" t="s">
        <v>1296</v>
      </c>
      <c r="E543" s="22" t="s">
        <v>48</v>
      </c>
      <c r="F543" s="23" t="str">
        <f>HYPERLINK("https://www.spark-marketing.ru/Card/Lot/74216888", "Оказание услуг по организации питания иностранных граждан и лиц без гражданства, содержащихся в ЦВСИГ МУ МВД России «Энгельсское» Саратовской области по адресу: г. Энгельс ул. Красноярская д.5")</f>
        <v>Оказание услуг по организации питания иностранных граждан и лиц без гражданства, содержащихся в ЦВСИГ МУ МВД России «Энгельсское» Саратовской области по адресу: г. Энгельс ул. Красноярская д.5</v>
      </c>
      <c r="G543" s="22" t="s">
        <v>351</v>
      </c>
      <c r="H543" s="22" t="s">
        <v>1285</v>
      </c>
      <c r="I543" s="26">
        <v>43746.668587963002</v>
      </c>
      <c r="J543" s="28" t="s">
        <v>51</v>
      </c>
      <c r="K543" s="28" t="s">
        <v>51</v>
      </c>
      <c r="L543" s="28" t="s">
        <v>51</v>
      </c>
      <c r="M543" s="28" t="s">
        <v>51</v>
      </c>
      <c r="N543" s="28" t="s">
        <v>51</v>
      </c>
    </row>
    <row r="544" spans="1:14" x14ac:dyDescent="0.15">
      <c r="A544" s="23" t="str">
        <f>HYPERLINK("https://www.spark-marketing.ru/Card/Person/147053", "МОУ СОШ №20")</f>
        <v>МОУ СОШ №20</v>
      </c>
      <c r="B544" s="24" t="s">
        <v>1297</v>
      </c>
      <c r="C544" s="25">
        <v>325850</v>
      </c>
      <c r="D544" s="22" t="s">
        <v>1298</v>
      </c>
      <c r="E544" s="22" t="s">
        <v>48</v>
      </c>
      <c r="F544" s="23" t="str">
        <f>HYPERLINK("https://www.spark-marketing.ru/Card/Lot/74212188",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544" s="22" t="s">
        <v>49</v>
      </c>
      <c r="H544" s="22" t="s">
        <v>50</v>
      </c>
      <c r="I544" s="26">
        <v>43746.659143518496</v>
      </c>
      <c r="J544" s="28" t="s">
        <v>51</v>
      </c>
      <c r="K544" s="28" t="s">
        <v>51</v>
      </c>
      <c r="L544" s="28" t="s">
        <v>51</v>
      </c>
      <c r="M544" s="28" t="s">
        <v>51</v>
      </c>
      <c r="N544" s="28" t="s">
        <v>51</v>
      </c>
    </row>
    <row r="545" spans="1:14" x14ac:dyDescent="0.15">
      <c r="A545" s="23" t="str">
        <f>HYPERLINK("https://www.spark-marketing.ru/Card/Person/1058610", "МДОУ ДЕТСКИЙ САД КОМБИНИРОВАННОГО ВИДА № 9 ""РОМАШКА""")</f>
        <v>МДОУ ДЕТСКИЙ САД КОМБИНИРОВАННОГО ВИДА № 9 "РОМАШКА"</v>
      </c>
      <c r="B545" s="24" t="s">
        <v>1299</v>
      </c>
      <c r="C545" s="25">
        <v>256419</v>
      </c>
      <c r="D545" s="22" t="s">
        <v>1300</v>
      </c>
      <c r="E545" s="22" t="s">
        <v>48</v>
      </c>
      <c r="F545" s="23" t="str">
        <f>HYPERLINK("https://www.spark-marketing.ru/Card/Lot/74213010",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545" s="22" t="s">
        <v>49</v>
      </c>
      <c r="H545" s="22" t="s">
        <v>50</v>
      </c>
      <c r="I545" s="26">
        <v>43746.638599537</v>
      </c>
      <c r="J545" s="28" t="s">
        <v>51</v>
      </c>
      <c r="K545" s="28" t="s">
        <v>51</v>
      </c>
      <c r="L545" s="28" t="s">
        <v>51</v>
      </c>
      <c r="M545" s="28" t="s">
        <v>51</v>
      </c>
      <c r="N545" s="28" t="s">
        <v>51</v>
      </c>
    </row>
    <row r="546" spans="1:14" x14ac:dyDescent="0.15">
      <c r="A546" s="23" t="str">
        <f>HYPERLINK("https://www.spark-marketing.ru/Card/Person/1035634", "МБОУ ""ЛИЦЕЙ № 1"" П. ДОБРИНКА")</f>
        <v>МБОУ "ЛИЦЕЙ № 1" П. ДОБРИНКА</v>
      </c>
      <c r="B546" s="24" t="s">
        <v>1301</v>
      </c>
      <c r="C546" s="25">
        <v>125129.2</v>
      </c>
      <c r="D546" s="22" t="s">
        <v>1302</v>
      </c>
      <c r="E546" s="22" t="s">
        <v>48</v>
      </c>
      <c r="F546" s="23" t="str">
        <f>HYPERLINK("https://www.spark-marketing.ru/Card/Lot/74219344", "7-ПИТ  Обеспечение готовым питанием учащихся школы  (горячие завтраки, обеды) в осеннем лагере 2019 год")</f>
        <v>7-ПИТ  Обеспечение готовым питанием учащихся школы  (горячие завтраки, обеды) в осеннем лагере 2019 год</v>
      </c>
      <c r="G546" s="22" t="s">
        <v>101</v>
      </c>
      <c r="H546" s="22" t="s">
        <v>1303</v>
      </c>
      <c r="I546" s="26">
        <v>43746.629872685196</v>
      </c>
      <c r="J546" s="28" t="s">
        <v>51</v>
      </c>
      <c r="K546" s="28" t="s">
        <v>51</v>
      </c>
      <c r="L546" s="28" t="s">
        <v>51</v>
      </c>
      <c r="M546" s="28" t="s">
        <v>51</v>
      </c>
      <c r="N546" s="28" t="s">
        <v>51</v>
      </c>
    </row>
    <row r="547" spans="1:14" x14ac:dyDescent="0.15">
      <c r="A547" s="23" t="str">
        <f>HYPERLINK("https://www.spark-marketing.ru/Card/Person/5555", "ГБУЗ РХ ""РДКБ""")</f>
        <v>ГБУЗ РХ "РДКБ"</v>
      </c>
      <c r="B547" s="24" t="s">
        <v>356</v>
      </c>
      <c r="C547" s="25">
        <v>154093</v>
      </c>
      <c r="D547" s="22" t="s">
        <v>1304</v>
      </c>
      <c r="E547" s="22" t="s">
        <v>62</v>
      </c>
      <c r="F547" s="23" t="str">
        <f>HYPERLINK("https://www.spark-marketing.ru/Card/Lot/74222785", "Оказание услуг по изготовлению бланочной продукции")</f>
        <v>Оказание услуг по изготовлению бланочной продукции</v>
      </c>
      <c r="G547" s="22" t="s">
        <v>92</v>
      </c>
      <c r="H547" s="22" t="s">
        <v>93</v>
      </c>
      <c r="I547" s="26">
        <v>43746.638842592598</v>
      </c>
      <c r="J547" s="28" t="s">
        <v>51</v>
      </c>
      <c r="K547" s="28" t="s">
        <v>51</v>
      </c>
      <c r="L547" s="28" t="s">
        <v>51</v>
      </c>
      <c r="M547" s="28" t="s">
        <v>51</v>
      </c>
      <c r="N547" s="28" t="s">
        <v>51</v>
      </c>
    </row>
    <row r="548" spans="1:14" x14ac:dyDescent="0.15">
      <c r="A548" s="23" t="str">
        <f>HYPERLINK("https://www.spark-marketing.ru/Card/Person/11733", "РТУ МИРЭА")</f>
        <v>РТУ МИРЭА</v>
      </c>
      <c r="B548" s="24" t="s">
        <v>1305</v>
      </c>
      <c r="C548" s="25">
        <v>176384</v>
      </c>
      <c r="D548" s="22" t="s">
        <v>1306</v>
      </c>
      <c r="E548" s="22" t="s">
        <v>1307</v>
      </c>
      <c r="F548" s="23" t="str">
        <f>HYPERLINK("https://www.spark-marketing.ru/Card/Lot/74226811", "Оказание услуг по проживанию и питанию в гостинице")</f>
        <v>Оказание услуг по проживанию и питанию в гостинице</v>
      </c>
      <c r="G548" s="22" t="s">
        <v>986</v>
      </c>
      <c r="H548" s="22" t="s">
        <v>986</v>
      </c>
      <c r="I548" s="26">
        <v>43746.6644212963</v>
      </c>
      <c r="J548" s="28" t="s">
        <v>51</v>
      </c>
      <c r="K548" s="28" t="s">
        <v>51</v>
      </c>
      <c r="L548" s="28" t="s">
        <v>51</v>
      </c>
      <c r="M548" s="28" t="s">
        <v>51</v>
      </c>
      <c r="N548" s="28" t="s">
        <v>51</v>
      </c>
    </row>
    <row r="549" spans="1:14" x14ac:dyDescent="0.15">
      <c r="A549" s="23" t="str">
        <f>HYPERLINK("https://www.spark-marketing.ru/Card/Person/114258", "ОМВД РОССИИ ПО ТИХВИНСКОМУ РАЙОНУ ЛО")</f>
        <v>ОМВД РОССИИ ПО ТИХВИНСКОМУ РАЙОНУ ЛО</v>
      </c>
      <c r="B549" s="24" t="s">
        <v>1308</v>
      </c>
      <c r="C549" s="25">
        <v>860000</v>
      </c>
      <c r="D549" s="22" t="s">
        <v>1309</v>
      </c>
      <c r="E549" s="22" t="s">
        <v>48</v>
      </c>
      <c r="F549" s="23" t="str">
        <f>HYPERLINK("https://www.spark-marketing.ru/Card/Lot/74218257", "Оказание услуг по организации трехразового горячего питания в сутки лиц, содержащихся в изоляторе временного содержания подозреваемых и обвиняемых и специальном помещении для содержания задержанных лиц ОМВД России по Тихвинскому району ЛО")</f>
        <v>Оказание услуг по организации трехразового горячего питания в сутки лиц, содержащихся в изоляторе временного содержания подозреваемых и обвиняемых и специальном помещении для содержания задержанных лиц ОМВД России по Тихвинскому району ЛО</v>
      </c>
      <c r="G549" s="22" t="s">
        <v>162</v>
      </c>
      <c r="H549" s="22" t="s">
        <v>162</v>
      </c>
      <c r="I549" s="26">
        <v>43746.594317129602</v>
      </c>
      <c r="J549" s="28" t="s">
        <v>51</v>
      </c>
      <c r="K549" s="28" t="s">
        <v>51</v>
      </c>
      <c r="L549" s="28" t="s">
        <v>51</v>
      </c>
      <c r="M549" s="28" t="s">
        <v>51</v>
      </c>
      <c r="N549" s="28" t="s">
        <v>51</v>
      </c>
    </row>
    <row r="550" spans="1:14" x14ac:dyDescent="0.15">
      <c r="A550" s="23" t="str">
        <f>HYPERLINK("https://www.spark-marketing.ru/Card/Person/50629", "МБОУ ""СШ №6""")</f>
        <v>МБОУ "СШ №6"</v>
      </c>
      <c r="B550" s="24" t="s">
        <v>1310</v>
      </c>
      <c r="C550" s="25">
        <v>145975</v>
      </c>
      <c r="D550" s="22" t="s">
        <v>1311</v>
      </c>
      <c r="E550" s="22" t="s">
        <v>48</v>
      </c>
      <c r="F550" s="23" t="str">
        <f>HYPERLINK("https://www.spark-marketing.ru/Card/Lot/74219435",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550" s="22" t="s">
        <v>97</v>
      </c>
      <c r="H550" s="22" t="s">
        <v>366</v>
      </c>
      <c r="I550" s="26">
        <v>43746.698032407403</v>
      </c>
      <c r="J550" s="28" t="s">
        <v>51</v>
      </c>
      <c r="K550" s="28" t="s">
        <v>51</v>
      </c>
      <c r="L550" s="28" t="s">
        <v>51</v>
      </c>
      <c r="M550" s="28" t="s">
        <v>51</v>
      </c>
      <c r="N550" s="28" t="s">
        <v>51</v>
      </c>
    </row>
    <row r="551" spans="1:14" x14ac:dyDescent="0.15">
      <c r="A551" s="23" t="str">
        <f>HYPERLINK("https://www.spark-marketing.ru/Card/Person/91800", "ГБПОУ Г. МОСКВЫ ""МГКМИ ИМ. Ф.ШОПЕНА""")</f>
        <v>ГБПОУ Г. МОСКВЫ "МГКМИ ИМ. Ф.ШОПЕНА"</v>
      </c>
      <c r="B551" s="24" t="s">
        <v>1312</v>
      </c>
      <c r="C551" s="25">
        <v>5136360</v>
      </c>
      <c r="D551" s="22" t="s">
        <v>1313</v>
      </c>
      <c r="E551" s="22" t="s">
        <v>48</v>
      </c>
      <c r="F551" s="23" t="str">
        <f>HYPERLINK("https://www.spark-marketing.ru/Card/Lot/74220804", "Оказание услуг по организации питания и обеспечению питьевого режима обучающихся в ГБПОУ г. Москвы ""МГКМИ им. Ф.Шопена"" в 2020 году")</f>
        <v>Оказание услуг по организации питания и обеспечению питьевого режима обучающихся в ГБПОУ г. Москвы "МГКМИ им. Ф.Шопена" в 2020 году</v>
      </c>
      <c r="G551" s="22" t="s">
        <v>56</v>
      </c>
      <c r="H551" s="22" t="s">
        <v>56</v>
      </c>
      <c r="I551" s="26">
        <v>43746.617777777799</v>
      </c>
      <c r="J551" s="28" t="s">
        <v>51</v>
      </c>
      <c r="K551" s="28" t="s">
        <v>51</v>
      </c>
      <c r="L551" s="28" t="s">
        <v>51</v>
      </c>
      <c r="M551" s="28" t="s">
        <v>51</v>
      </c>
      <c r="N551" s="28" t="s">
        <v>51</v>
      </c>
    </row>
    <row r="552" spans="1:14" x14ac:dyDescent="0.15">
      <c r="A552" s="23" t="str">
        <f>HYPERLINK("https://www.spark-marketing.ru/Card/Person/152451", "МБОУ ЛИЦЕЙ Г. ЯНАУЛ")</f>
        <v>МБОУ ЛИЦЕЙ Г. ЯНАУЛ</v>
      </c>
      <c r="B552" s="24" t="s">
        <v>1314</v>
      </c>
      <c r="C552" s="25">
        <v>965522</v>
      </c>
      <c r="D552" s="22" t="s">
        <v>1315</v>
      </c>
      <c r="E552" s="22" t="s">
        <v>48</v>
      </c>
      <c r="F552" s="23" t="str">
        <f>HYPERLINK("https://www.spark-marketing.ru/Card/Lot/74216615", "Оказание услуг для организации горячего питания обучающихся")</f>
        <v>Оказание услуг для организации горячего питания обучающихся</v>
      </c>
      <c r="G552" s="22" t="s">
        <v>145</v>
      </c>
      <c r="H552" s="22" t="s">
        <v>1316</v>
      </c>
      <c r="I552" s="26">
        <v>43746.674814814804</v>
      </c>
      <c r="J552" s="28" t="s">
        <v>51</v>
      </c>
      <c r="K552" s="28" t="s">
        <v>51</v>
      </c>
      <c r="L552" s="28" t="s">
        <v>51</v>
      </c>
      <c r="M552" s="28" t="s">
        <v>51</v>
      </c>
      <c r="N552" s="28" t="s">
        <v>51</v>
      </c>
    </row>
    <row r="553" spans="1:14" x14ac:dyDescent="0.15">
      <c r="A553" s="23" t="str">
        <f>HYPERLINK("https://www.spark-marketing.ru/Card/Person/1010105", "МБОУ СОШ № 6")</f>
        <v>МБОУ СОШ № 6</v>
      </c>
      <c r="B553" s="24" t="s">
        <v>1317</v>
      </c>
      <c r="C553" s="25">
        <v>973148</v>
      </c>
      <c r="D553" s="22" t="s">
        <v>1318</v>
      </c>
      <c r="E553" s="22" t="s">
        <v>48</v>
      </c>
      <c r="F553" s="23" t="str">
        <f>HYPERLINK("https://www.spark-marketing.ru/Card/Lot/74223209", "Оказание услуг по организации питания")</f>
        <v>Оказание услуг по организации питания</v>
      </c>
      <c r="G553" s="22" t="s">
        <v>97</v>
      </c>
      <c r="H553" s="22" t="s">
        <v>97</v>
      </c>
      <c r="I553" s="26">
        <v>43746.5870138889</v>
      </c>
      <c r="J553" s="28" t="s">
        <v>51</v>
      </c>
      <c r="K553" s="28" t="s">
        <v>51</v>
      </c>
      <c r="L553" s="28" t="s">
        <v>51</v>
      </c>
      <c r="M553" s="28" t="s">
        <v>51</v>
      </c>
      <c r="N553" s="28" t="s">
        <v>51</v>
      </c>
    </row>
    <row r="554" spans="1:14" x14ac:dyDescent="0.15">
      <c r="A554" s="23" t="str">
        <f>HYPERLINK("https://www.spark-marketing.ru/Card/Person/4373778", "МБОУ ""ГАСПРИНСКАЯ СШ № 1""")</f>
        <v>МБОУ "ГАСПРИНСКАЯ СШ № 1"</v>
      </c>
      <c r="B554" s="24" t="s">
        <v>1319</v>
      </c>
      <c r="C554" s="25">
        <v>4986869</v>
      </c>
      <c r="D554" s="22" t="s">
        <v>1320</v>
      </c>
      <c r="E554" s="22" t="s">
        <v>48</v>
      </c>
      <c r="F554" s="23" t="str">
        <f>HYPERLINK("https://www.spark-marketing.ru/Card/Lot/74218287", "Услуги по организации горячего питания (завтраки и обеды) обучающихся")</f>
        <v>Услуги по организации горячего питания (завтраки и обеды) обучающихся</v>
      </c>
      <c r="G554" s="22" t="s">
        <v>108</v>
      </c>
      <c r="H554" s="22" t="s">
        <v>1321</v>
      </c>
      <c r="I554" s="26">
        <v>43746.606493055602</v>
      </c>
      <c r="J554" s="28" t="s">
        <v>51</v>
      </c>
      <c r="K554" s="28" t="s">
        <v>51</v>
      </c>
      <c r="L554" s="28" t="s">
        <v>51</v>
      </c>
      <c r="M554" s="28" t="s">
        <v>51</v>
      </c>
      <c r="N554" s="28" t="s">
        <v>51</v>
      </c>
    </row>
    <row r="555" spans="1:14" x14ac:dyDescent="0.15">
      <c r="A555" s="23" t="str">
        <f>HYPERLINK("https://www.spark-marketing.ru/Card/Person/51290", "МБОУ ""СШ №22""")</f>
        <v>МБОУ "СШ №22"</v>
      </c>
      <c r="B555" s="24" t="s">
        <v>1322</v>
      </c>
      <c r="C555" s="25">
        <v>145975</v>
      </c>
      <c r="D555" s="22" t="s">
        <v>1323</v>
      </c>
      <c r="E555" s="22" t="s">
        <v>48</v>
      </c>
      <c r="F555" s="23" t="str">
        <f>HYPERLINK("https://www.spark-marketing.ru/Card/Lot/74219485",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555" s="22" t="s">
        <v>97</v>
      </c>
      <c r="H555" s="22" t="s">
        <v>366</v>
      </c>
      <c r="I555" s="26">
        <v>43746.700266203698</v>
      </c>
      <c r="J555" s="28" t="s">
        <v>51</v>
      </c>
      <c r="K555" s="28" t="s">
        <v>51</v>
      </c>
      <c r="L555" s="28" t="s">
        <v>51</v>
      </c>
      <c r="M555" s="28" t="s">
        <v>51</v>
      </c>
      <c r="N555" s="28" t="s">
        <v>51</v>
      </c>
    </row>
    <row r="556" spans="1:14" x14ac:dyDescent="0.15">
      <c r="A556" s="23" t="str">
        <f>HYPERLINK("https://www.spark-marketing.ru/Card/Person/948081", "МБОУ ""ШИЛИНСКАЯ СШ""")</f>
        <v>МБОУ "ШИЛИНСКАЯ СШ"</v>
      </c>
      <c r="B556" s="24" t="s">
        <v>1324</v>
      </c>
      <c r="C556" s="25">
        <v>873600</v>
      </c>
      <c r="D556" s="22" t="s">
        <v>1325</v>
      </c>
      <c r="E556" s="22" t="s">
        <v>51</v>
      </c>
      <c r="F556" s="23" t="str">
        <f>HYPERLINK("https://www.spark-marketing.ru/Card/Lot/74222923", "Услуги по обеспечению питанием, осуществляемые по договору")</f>
        <v>Услуги по обеспечению питанием, осуществляемые по договору</v>
      </c>
      <c r="G556" s="22" t="s">
        <v>281</v>
      </c>
      <c r="H556" s="22" t="s">
        <v>1326</v>
      </c>
      <c r="I556" s="26">
        <v>43746.597175925897</v>
      </c>
      <c r="J556" s="23" t="str">
        <f>HYPERLINK("https://www.spark-marketing.ru/Card/Person/5853572", "Легрова Оксана Васильевна")</f>
        <v>Легрова Оксана Васильевна</v>
      </c>
      <c r="K556" s="24" t="s">
        <v>1327</v>
      </c>
      <c r="L556" s="22" t="s">
        <v>10</v>
      </c>
      <c r="M556" s="28" t="s">
        <v>51</v>
      </c>
      <c r="N556" s="28" t="s">
        <v>51</v>
      </c>
    </row>
    <row r="557" spans="1:14" x14ac:dyDescent="0.15">
      <c r="A557" s="23" t="str">
        <f>HYPERLINK("https://www.spark-marketing.ru/Card/Person/140832", "ОТДЕЛ МВД РОССИИ ПО ОКТЯБРЬСКОМУ РАЙОНУ")</f>
        <v>ОТДЕЛ МВД РОССИИ ПО ОКТЯБРЬСКОМУ РАЙОНУ</v>
      </c>
      <c r="B557" s="24" t="s">
        <v>1328</v>
      </c>
      <c r="C557" s="25">
        <v>525000</v>
      </c>
      <c r="D557" s="22" t="s">
        <v>1329</v>
      </c>
      <c r="E557" s="22" t="s">
        <v>48</v>
      </c>
      <c r="F557" s="23" t="str">
        <f>HYPERLINK("https://www.spark-marketing.ru/Card/Lot/74217378", "Оказание услуг по обеспечению питанием лиц, содержащихся в изоляторе временного содержания и специальном помещении для задержанных лиц")</f>
        <v>Оказание услуг по обеспечению питанием лиц, содержащихся в изоляторе временного содержания и специальном помещении для задержанных лиц</v>
      </c>
      <c r="G557" s="22" t="s">
        <v>153</v>
      </c>
      <c r="H557" s="22" t="s">
        <v>465</v>
      </c>
      <c r="I557" s="26">
        <v>43746.6094212963</v>
      </c>
      <c r="J557" s="23" t="str">
        <f>HYPERLINK("https://www.spark-marketing.ru/Card/Person/1855992", "ПО ""САРС""")</f>
        <v>ПО "САРС"</v>
      </c>
      <c r="K557" s="24" t="s">
        <v>1330</v>
      </c>
      <c r="L557" s="22" t="s">
        <v>10</v>
      </c>
      <c r="M557" s="28" t="s">
        <v>51</v>
      </c>
      <c r="N557" s="28" t="s">
        <v>51</v>
      </c>
    </row>
    <row r="558" spans="1:14" x14ac:dyDescent="0.15">
      <c r="A558" s="23" t="str">
        <f>HYPERLINK("https://www.spark-marketing.ru/Card/Person/130854", "МБУ ""МФЦ ГОРОДСКОГО ОКРУГА СОЛНЕЧНОГОРСК""")</f>
        <v>МБУ "МФЦ ГОРОДСКОГО ОКРУГА СОЛНЕЧНОГОРСК"</v>
      </c>
      <c r="B558" s="24" t="s">
        <v>1331</v>
      </c>
      <c r="C558" s="25">
        <v>1565556</v>
      </c>
      <c r="D558" s="22" t="s">
        <v>1332</v>
      </c>
      <c r="E558" s="22" t="s">
        <v>1333</v>
      </c>
      <c r="F558" s="23" t="str">
        <f>HYPERLINK("https://www.spark-marketing.ru/Card/Lot/74218708", "Поставка оборудования для нужд Муниципального бюджетного учреждения «Многофункциональный центр предоставления государственных и муниципальных услуг городского округа Солнечногорск Московской области»")</f>
        <v>Поставка оборудования для нужд Муниципального бюджетного учреждения «Многофункциональный центр предоставления государственных и муниципальных услуг городского округа Солнечногорск Московской области»</v>
      </c>
      <c r="G558" s="22" t="s">
        <v>49</v>
      </c>
      <c r="H558" s="22" t="s">
        <v>204</v>
      </c>
      <c r="I558" s="26">
        <v>43746.613773148201</v>
      </c>
      <c r="J558" s="28" t="s">
        <v>51</v>
      </c>
      <c r="K558" s="28" t="s">
        <v>51</v>
      </c>
      <c r="L558" s="28" t="s">
        <v>51</v>
      </c>
      <c r="M558" s="28" t="s">
        <v>51</v>
      </c>
      <c r="N558" s="28" t="s">
        <v>51</v>
      </c>
    </row>
    <row r="559" spans="1:14" x14ac:dyDescent="0.15">
      <c r="A559" s="23" t="str">
        <f>HYPERLINK("https://www.spark-marketing.ru/Card/Person/61323", "ГБУЗ РХ ""ШИРИНСКАЯ МБ""")</f>
        <v>ГБУЗ РХ "ШИРИНСКАЯ МБ"</v>
      </c>
      <c r="B559" s="24" t="s">
        <v>1334</v>
      </c>
      <c r="C559" s="25">
        <v>896216.43</v>
      </c>
      <c r="D559" s="22" t="s">
        <v>1335</v>
      </c>
      <c r="E559" s="22" t="s">
        <v>86</v>
      </c>
      <c r="F559" s="23" t="str">
        <f>HYPERLINK("https://www.spark-marketing.ru/Card/Lot/74220298", "Оказание услуг по проведению производственного контроля")</f>
        <v>Оказание услуг по проведению производственного контроля</v>
      </c>
      <c r="G559" s="22" t="s">
        <v>92</v>
      </c>
      <c r="H559" s="22" t="s">
        <v>1336</v>
      </c>
      <c r="I559" s="26">
        <v>43746.620821759301</v>
      </c>
      <c r="J559" s="28" t="s">
        <v>51</v>
      </c>
      <c r="K559" s="28" t="s">
        <v>51</v>
      </c>
      <c r="L559" s="28" t="s">
        <v>51</v>
      </c>
      <c r="M559" s="28" t="s">
        <v>51</v>
      </c>
      <c r="N559" s="28" t="s">
        <v>51</v>
      </c>
    </row>
    <row r="560" spans="1:14" x14ac:dyDescent="0.15">
      <c r="A560" s="23" t="str">
        <f>HYPERLINK("https://www.spark-marketing.ru/Card/Person/86089", "МБОУ ТИМОНОВСКАЯ СОШ С УИОП")</f>
        <v>МБОУ ТИМОНОВСКАЯ СОШ С УИОП</v>
      </c>
      <c r="B560" s="24" t="s">
        <v>798</v>
      </c>
      <c r="C560" s="25">
        <v>66000</v>
      </c>
      <c r="D560" s="22" t="s">
        <v>1337</v>
      </c>
      <c r="E560" s="22" t="s">
        <v>48</v>
      </c>
      <c r="F560" s="23" t="str">
        <f>HYPERLINK("https://www.spark-marketing.ru/Card/Lot/74210743", "Услуги по организации питания в лагере дневного прибывания")</f>
        <v>Услуги по организации питания в лагере дневного прибывания</v>
      </c>
      <c r="G560" s="22" t="s">
        <v>49</v>
      </c>
      <c r="H560" s="22" t="s">
        <v>204</v>
      </c>
      <c r="I560" s="26">
        <v>43746.607291666704</v>
      </c>
      <c r="J560" s="28" t="s">
        <v>51</v>
      </c>
      <c r="K560" s="28" t="s">
        <v>51</v>
      </c>
      <c r="L560" s="28" t="s">
        <v>51</v>
      </c>
      <c r="M560" s="28" t="s">
        <v>51</v>
      </c>
      <c r="N560" s="28" t="s">
        <v>51</v>
      </c>
    </row>
    <row r="561" spans="1:14" x14ac:dyDescent="0.15">
      <c r="A561" s="23" t="str">
        <f>HYPERLINK("https://www.spark-marketing.ru/Card/Person/19187", "БУЗОО ""САРГАТСКАЯ ЦРБ""")</f>
        <v>БУЗОО "САРГАТСКАЯ ЦРБ"</v>
      </c>
      <c r="B561" s="24" t="s">
        <v>1338</v>
      </c>
      <c r="C561" s="25">
        <v>1771000</v>
      </c>
      <c r="D561" s="22" t="s">
        <v>1339</v>
      </c>
      <c r="E561" s="22" t="s">
        <v>48</v>
      </c>
      <c r="F561" s="23" t="str">
        <f>HYPERLINK("https://www.spark-marketing.ru/Card/Lot/74217366", "Оказание услуг по организации питания пациентов стационара (Реестровый номер ""19.32.1671"")")</f>
        <v>Оказание услуг по организации питания пациентов стационара (Реестровый номер "19.32.1671")</v>
      </c>
      <c r="G561" s="22" t="s">
        <v>487</v>
      </c>
      <c r="H561" s="22" t="s">
        <v>1340</v>
      </c>
      <c r="I561" s="26">
        <v>43746.621134259301</v>
      </c>
      <c r="J561" s="28" t="s">
        <v>51</v>
      </c>
      <c r="K561" s="28" t="s">
        <v>51</v>
      </c>
      <c r="L561" s="28" t="s">
        <v>51</v>
      </c>
      <c r="M561" s="28" t="s">
        <v>51</v>
      </c>
      <c r="N561" s="28" t="s">
        <v>51</v>
      </c>
    </row>
    <row r="562" spans="1:14" x14ac:dyDescent="0.15">
      <c r="A562" s="23" t="str">
        <f>HYPERLINK("https://www.spark-marketing.ru/Card/Person/996273", "ГБУЗ НСО ""НОКНД""")</f>
        <v>ГБУЗ НСО "НОКНД"</v>
      </c>
      <c r="B562" s="24" t="s">
        <v>1341</v>
      </c>
      <c r="C562" s="25">
        <v>499472</v>
      </c>
      <c r="D562" s="22" t="s">
        <v>1342</v>
      </c>
      <c r="E562" s="22" t="s">
        <v>96</v>
      </c>
      <c r="F562" s="23" t="str">
        <f>HYPERLINK("https://www.spark-marketing.ru/Card/Lot/74217102", "Оказание услуг по организации готового лечебного питания")</f>
        <v>Оказание услуг по организации готового лечебного питания</v>
      </c>
      <c r="G562" s="22" t="s">
        <v>195</v>
      </c>
      <c r="H562" s="22" t="s">
        <v>196</v>
      </c>
      <c r="I562" s="26">
        <v>43746.619768518503</v>
      </c>
      <c r="J562" s="28" t="s">
        <v>51</v>
      </c>
      <c r="K562" s="28" t="s">
        <v>51</v>
      </c>
      <c r="L562" s="28" t="s">
        <v>51</v>
      </c>
      <c r="M562" s="28" t="s">
        <v>51</v>
      </c>
      <c r="N562" s="28" t="s">
        <v>51</v>
      </c>
    </row>
    <row r="563" spans="1:14" x14ac:dyDescent="0.15">
      <c r="A563" s="23" t="str">
        <f>HYPERLINK("https://www.spark-marketing.ru/Card/Person/85103", "МБОУ МЕНДЕЛЕЕВСКАЯ СОШ")</f>
        <v>МБОУ МЕНДЕЛЕЕВСКАЯ СОШ</v>
      </c>
      <c r="B563" s="24" t="s">
        <v>1343</v>
      </c>
      <c r="C563" s="25">
        <v>114000</v>
      </c>
      <c r="D563" s="22" t="s">
        <v>1344</v>
      </c>
      <c r="E563" s="22" t="s">
        <v>48</v>
      </c>
      <c r="F563" s="23" t="str">
        <f>HYPERLINK("https://www.spark-marketing.ru/Card/Lot/74210450", "Услуги по организации питания учащихся общеобразовательной организации во время осенних каникул")</f>
        <v>Услуги по организации питания учащихся общеобразовательной организации во время осенних каникул</v>
      </c>
      <c r="G563" s="22" t="s">
        <v>49</v>
      </c>
      <c r="H563" s="22" t="s">
        <v>204</v>
      </c>
      <c r="I563" s="26">
        <v>43746.5760532407</v>
      </c>
      <c r="J563" s="28" t="s">
        <v>51</v>
      </c>
      <c r="K563" s="28" t="s">
        <v>51</v>
      </c>
      <c r="L563" s="28" t="s">
        <v>51</v>
      </c>
      <c r="M563" s="28" t="s">
        <v>51</v>
      </c>
      <c r="N563" s="28" t="s">
        <v>51</v>
      </c>
    </row>
    <row r="564" spans="1:14" x14ac:dyDescent="0.15">
      <c r="A564" s="23" t="str">
        <f>HYPERLINK("https://www.spark-marketing.ru/Card/Person/73259", "ОБПОУ ""КАТК""")</f>
        <v>ОБПОУ "КАТК"</v>
      </c>
      <c r="B564" s="24" t="s">
        <v>1345</v>
      </c>
      <c r="C564" s="25">
        <v>469798.8</v>
      </c>
      <c r="D564" s="22" t="s">
        <v>1346</v>
      </c>
      <c r="E564" s="22" t="s">
        <v>48</v>
      </c>
      <c r="F564" s="23" t="str">
        <f>HYPERLINK("https://www.spark-marketing.ru/Card/Lot/74217723", "Оказание услуг по организации горячего питания детей с 12 лет и старше")</f>
        <v>Оказание услуг по организации горячего питания детей с 12 лет и старше</v>
      </c>
      <c r="G564" s="22" t="s">
        <v>1111</v>
      </c>
      <c r="H564" s="22" t="s">
        <v>1112</v>
      </c>
      <c r="I564" s="26">
        <v>43746.576828703699</v>
      </c>
      <c r="J564" s="28" t="s">
        <v>51</v>
      </c>
      <c r="K564" s="28" t="s">
        <v>51</v>
      </c>
      <c r="L564" s="28" t="s">
        <v>51</v>
      </c>
      <c r="M564" s="28" t="s">
        <v>51</v>
      </c>
      <c r="N564" s="28" t="s">
        <v>51</v>
      </c>
    </row>
    <row r="565" spans="1:14" x14ac:dyDescent="0.15">
      <c r="A565" s="23" t="str">
        <f>HYPERLINK("https://www.spark-marketing.ru/Card/Person/1765000", "ООО ""БАШНЕФТЬ-ДОБЫЧА""")</f>
        <v>ООО "БАШНЕФТЬ-ДОБЫЧА"</v>
      </c>
      <c r="B565" s="24" t="s">
        <v>1347</v>
      </c>
      <c r="C565" s="28" t="s">
        <v>51</v>
      </c>
      <c r="D565" s="22" t="s">
        <v>1348</v>
      </c>
      <c r="E565" s="22" t="s">
        <v>362</v>
      </c>
      <c r="F565" s="23" t="str">
        <f>HYPERLINK("https://www.spark-marketing.ru/Card/Lot/74211062", "Оказание услуг по организации питания работников буровых бригад ООО ""Башнефть-Добыча"" в 2020-2024гг.")</f>
        <v>Оказание услуг по организации питания работников буровых бригад ООО "Башнефть-Добыча" в 2020-2024гг.</v>
      </c>
      <c r="G565" s="22" t="s">
        <v>145</v>
      </c>
      <c r="H565" s="22" t="s">
        <v>436</v>
      </c>
      <c r="I565" s="26">
        <v>43746.53125</v>
      </c>
      <c r="J565" s="28" t="s">
        <v>51</v>
      </c>
      <c r="K565" s="28" t="s">
        <v>51</v>
      </c>
      <c r="L565" s="28" t="s">
        <v>51</v>
      </c>
      <c r="M565" s="28" t="s">
        <v>51</v>
      </c>
      <c r="N565" s="28" t="s">
        <v>51</v>
      </c>
    </row>
    <row r="566" spans="1:14" x14ac:dyDescent="0.15">
      <c r="A566" s="23" t="str">
        <f>HYPERLINK("https://www.spark-marketing.ru/Card/Person/232615", "МБОУ СОШ № 3")</f>
        <v>МБОУ СОШ № 3</v>
      </c>
      <c r="B566" s="24" t="s">
        <v>1349</v>
      </c>
      <c r="C566" s="25">
        <v>445168.5</v>
      </c>
      <c r="D566" s="22" t="s">
        <v>1350</v>
      </c>
      <c r="E566" s="22" t="s">
        <v>48</v>
      </c>
      <c r="F566" s="23" t="str">
        <f>HYPERLINK("https://www.spark-marketing.ru/Card/Lot/74210070", "Оказание услуг по организации питания для учащихся общеобразовательной организации")</f>
        <v>Оказание услуг по организации питания для учащихся общеобразовательной организации</v>
      </c>
      <c r="G566" s="22" t="s">
        <v>49</v>
      </c>
      <c r="H566" s="22" t="s">
        <v>50</v>
      </c>
      <c r="I566" s="26">
        <v>43746.523611111101</v>
      </c>
      <c r="J566" s="28" t="s">
        <v>51</v>
      </c>
      <c r="K566" s="28" t="s">
        <v>51</v>
      </c>
      <c r="L566" s="28" t="s">
        <v>51</v>
      </c>
      <c r="M566" s="28" t="s">
        <v>51</v>
      </c>
      <c r="N566" s="28" t="s">
        <v>51</v>
      </c>
    </row>
    <row r="567" spans="1:14" x14ac:dyDescent="0.15">
      <c r="A567" s="23" t="str">
        <f>HYPERLINK("https://www.spark-marketing.ru/Card/Person/1028671", "МБОУ ЧАШНИКОВСКАЯ СОШ")</f>
        <v>МБОУ ЧАШНИКОВСКАЯ СОШ</v>
      </c>
      <c r="B567" s="24" t="s">
        <v>1351</v>
      </c>
      <c r="C567" s="25">
        <v>54000</v>
      </c>
      <c r="D567" s="22" t="s">
        <v>1352</v>
      </c>
      <c r="E567" s="22" t="s">
        <v>48</v>
      </c>
      <c r="F567" s="23" t="str">
        <f>HYPERLINK("https://www.spark-marketing.ru/Card/Lot/74209650", "Услуги по организации питания в ОЛДП")</f>
        <v>Услуги по организации питания в ОЛДП</v>
      </c>
      <c r="G567" s="22" t="s">
        <v>49</v>
      </c>
      <c r="H567" s="22" t="s">
        <v>204</v>
      </c>
      <c r="I567" s="26">
        <v>43746.534571759301</v>
      </c>
      <c r="J567" s="28" t="s">
        <v>51</v>
      </c>
      <c r="K567" s="28" t="s">
        <v>51</v>
      </c>
      <c r="L567" s="28" t="s">
        <v>51</v>
      </c>
      <c r="M567" s="28" t="s">
        <v>51</v>
      </c>
      <c r="N567" s="28" t="s">
        <v>51</v>
      </c>
    </row>
    <row r="568" spans="1:14" x14ac:dyDescent="0.15">
      <c r="A568" s="23" t="str">
        <f>HYPERLINK("https://www.spark-marketing.ru/Card/Person/4347342", "ГБУЗРК ""КРКПБ № 1 ИМ. Н.И. БАЛАБАНА""")</f>
        <v>ГБУЗРК "КРКПБ № 1 ИМ. Н.И. БАЛАБАНА"</v>
      </c>
      <c r="B568" s="24" t="s">
        <v>1353</v>
      </c>
      <c r="C568" s="25">
        <v>1201221</v>
      </c>
      <c r="D568" s="22" t="s">
        <v>1354</v>
      </c>
      <c r="E568" s="22" t="s">
        <v>48</v>
      </c>
      <c r="F568" s="23" t="str">
        <f>HYPERLINK("https://www.spark-marketing.ru/Card/Lot/74217774", "Услуги по обеспечению питанием больных")</f>
        <v>Услуги по обеспечению питанием больных</v>
      </c>
      <c r="G568" s="22" t="s">
        <v>108</v>
      </c>
      <c r="H568" s="22" t="s">
        <v>1355</v>
      </c>
      <c r="I568" s="26">
        <v>43746.461145833302</v>
      </c>
      <c r="J568" s="23" t="str">
        <f>HYPERLINK("https://www.spark-marketing.ru/Card/Person/6074992", "ООО ""ОПДП""")</f>
        <v>ООО "ОПДП"</v>
      </c>
      <c r="K568" s="24" t="s">
        <v>1356</v>
      </c>
      <c r="L568" s="22" t="s">
        <v>10</v>
      </c>
      <c r="M568" s="28" t="s">
        <v>51</v>
      </c>
      <c r="N568" s="28" t="s">
        <v>51</v>
      </c>
    </row>
    <row r="569" spans="1:14" x14ac:dyDescent="0.15">
      <c r="A569" s="23" t="str">
        <f>HYPERLINK("https://www.spark-marketing.ru/Card/Person/9359", "САНКТ-ПЕТЕРБУРГСКИЙ ГОСУДАРСТВЕННЫЙ УНИВЕРСИТЕТ, САНКТ-ПЕТЕРБУРГСКИЙ УНИВЕРСИТЕТ ИЛИ СПБГУ")</f>
        <v>САНКТ-ПЕТЕРБУРГСКИЙ ГОСУДАРСТВЕННЫЙ УНИВЕРСИТЕТ, САНКТ-ПЕТЕРБУРГСКИЙ УНИВЕРСИТЕТ ИЛИ СПБГУ</v>
      </c>
      <c r="B569" s="24" t="s">
        <v>1357</v>
      </c>
      <c r="C569" s="25">
        <v>3530927.38</v>
      </c>
      <c r="D569" s="22" t="s">
        <v>1358</v>
      </c>
      <c r="E569" s="22" t="s">
        <v>1359</v>
      </c>
      <c r="F569" s="23" t="str">
        <f>HYPERLINK("https://www.spark-marketing.ru/Card/Lot/74221003", "Поставка комплекта мультимедийного оборудования и материалов для оснащения аудитории СПбГУ")</f>
        <v>Поставка комплекта мультимедийного оборудования и материалов для оснащения аудитории СПбГУ</v>
      </c>
      <c r="G569" s="22" t="s">
        <v>117</v>
      </c>
      <c r="H569" s="22" t="s">
        <v>117</v>
      </c>
      <c r="I569" s="26">
        <v>43746.494525463</v>
      </c>
      <c r="J569" s="23" t="str">
        <f>HYPERLINK("https://www.spark-marketing.ru/Card/Person/552273", "ООО ""ПЯТЫЙ ЭЛЕМЕНТ""")</f>
        <v>ООО "ПЯТЫЙ ЭЛЕМЕНТ"</v>
      </c>
      <c r="K569" s="24" t="s">
        <v>1360</v>
      </c>
      <c r="L569" s="22" t="s">
        <v>10</v>
      </c>
      <c r="M569" s="28" t="s">
        <v>51</v>
      </c>
      <c r="N569" s="28" t="s">
        <v>51</v>
      </c>
    </row>
    <row r="570" spans="1:14" x14ac:dyDescent="0.15">
      <c r="A570" s="23" t="str">
        <f>HYPERLINK("https://www.spark-marketing.ru/Card/Person/85263", "МБОУ ОБУХОВСКАЯ СОШ")</f>
        <v>МБОУ ОБУХОВСКАЯ СОШ</v>
      </c>
      <c r="B570" s="24" t="s">
        <v>1361</v>
      </c>
      <c r="C570" s="25">
        <v>78000</v>
      </c>
      <c r="D570" s="22" t="s">
        <v>1362</v>
      </c>
      <c r="E570" s="22" t="s">
        <v>48</v>
      </c>
      <c r="F570" s="23" t="str">
        <f>HYPERLINK("https://www.spark-marketing.ru/Card/Lot/74206556", "Питание в осеннем лагере")</f>
        <v>Питание в осеннем лагере</v>
      </c>
      <c r="G570" s="22" t="s">
        <v>49</v>
      </c>
      <c r="H570" s="22" t="s">
        <v>204</v>
      </c>
      <c r="I570" s="26">
        <v>43746.462280092601</v>
      </c>
      <c r="J570" s="28" t="s">
        <v>51</v>
      </c>
      <c r="K570" s="28" t="s">
        <v>51</v>
      </c>
      <c r="L570" s="28" t="s">
        <v>51</v>
      </c>
      <c r="M570" s="28" t="s">
        <v>51</v>
      </c>
      <c r="N570" s="28" t="s">
        <v>51</v>
      </c>
    </row>
    <row r="571" spans="1:14" x14ac:dyDescent="0.15">
      <c r="A571" s="23" t="str">
        <f>HYPERLINK("https://www.spark-marketing.ru/Card/Person/1058677", "МБДОУ ""ВЦРР - ДЕТСКИЙ САД № 1""")</f>
        <v>МБДОУ "ВЦРР - ДЕТСКИЙ САД № 1"</v>
      </c>
      <c r="B571" s="24" t="s">
        <v>1363</v>
      </c>
      <c r="C571" s="25">
        <v>286000</v>
      </c>
      <c r="D571" s="22" t="s">
        <v>1364</v>
      </c>
      <c r="E571" s="22" t="s">
        <v>362</v>
      </c>
      <c r="F571" s="23" t="str">
        <f>HYPERLINK("https://www.spark-marketing.ru/Card/Lot/74222988", "услуги питания")</f>
        <v>услуги питания</v>
      </c>
      <c r="G571" s="22" t="s">
        <v>267</v>
      </c>
      <c r="H571" s="22" t="s">
        <v>267</v>
      </c>
      <c r="I571" s="26">
        <v>43746.4671296296</v>
      </c>
      <c r="J571" s="28" t="s">
        <v>51</v>
      </c>
      <c r="K571" s="28" t="s">
        <v>51</v>
      </c>
      <c r="L571" s="28" t="s">
        <v>51</v>
      </c>
      <c r="M571" s="28" t="s">
        <v>51</v>
      </c>
      <c r="N571" s="28" t="s">
        <v>51</v>
      </c>
    </row>
    <row r="572" spans="1:14" x14ac:dyDescent="0.15">
      <c r="A572" s="23" t="str">
        <f>HYPERLINK("https://www.spark-marketing.ru/Card/Person/5897", "ГБУЗ ВО ""АРБ""")</f>
        <v>ГБУЗ ВО "АРБ"</v>
      </c>
      <c r="B572" s="24" t="s">
        <v>1365</v>
      </c>
      <c r="C572" s="25">
        <v>318268.2</v>
      </c>
      <c r="D572" s="22" t="s">
        <v>1366</v>
      </c>
      <c r="E572" s="22" t="s">
        <v>603</v>
      </c>
      <c r="F572" s="23" t="str">
        <f>HYPERLINK("https://www.spark-marketing.ru/Card/Lot/74217940", "Оказание услуг по метрологической поверке средств измерения для нужд ГБУЗ ВО ""АРБ"".")</f>
        <v>Оказание услуг по метрологической поверке средств измерения для нужд ГБУЗ ВО "АРБ".</v>
      </c>
      <c r="G572" s="22" t="s">
        <v>663</v>
      </c>
      <c r="H572" s="22" t="s">
        <v>1367</v>
      </c>
      <c r="I572" s="26">
        <v>43746.489340277803</v>
      </c>
      <c r="J572" s="28" t="s">
        <v>51</v>
      </c>
      <c r="K572" s="28" t="s">
        <v>51</v>
      </c>
      <c r="L572" s="28" t="s">
        <v>51</v>
      </c>
      <c r="M572" s="28" t="s">
        <v>51</v>
      </c>
      <c r="N572" s="28" t="s">
        <v>51</v>
      </c>
    </row>
    <row r="573" spans="1:14" x14ac:dyDescent="0.15">
      <c r="A573" s="23" t="str">
        <f>HYPERLINK("https://www.spark-marketing.ru/Card/Person/541412", "ОМВД РОССИИ ПО ИНЖАВИНСКОМУ РАЙОНУ")</f>
        <v>ОМВД РОССИИ ПО ИНЖАВИНСКОМУ РАЙОНУ</v>
      </c>
      <c r="B573" s="24" t="s">
        <v>1368</v>
      </c>
      <c r="C573" s="25">
        <v>175950</v>
      </c>
      <c r="D573" s="22" t="s">
        <v>1369</v>
      </c>
      <c r="E573" s="22" t="s">
        <v>48</v>
      </c>
      <c r="F573" s="23" t="str">
        <f>HYPERLINK("https://www.spark-marketing.ru/Card/Lot/74208096", "Услуги по обеспечению питанием, осуществляемые по договору, 765 усл. ед")</f>
        <v>Услуги по обеспечению питанием, осуществляемые по договору, 765 усл. ед</v>
      </c>
      <c r="G573" s="22" t="s">
        <v>1370</v>
      </c>
      <c r="H573" s="22" t="s">
        <v>1371</v>
      </c>
      <c r="I573" s="26">
        <v>43746.489791666703</v>
      </c>
      <c r="J573" s="28" t="s">
        <v>51</v>
      </c>
      <c r="K573" s="28" t="s">
        <v>51</v>
      </c>
      <c r="L573" s="28" t="s">
        <v>51</v>
      </c>
      <c r="M573" s="28" t="s">
        <v>51</v>
      </c>
      <c r="N573" s="28" t="s">
        <v>51</v>
      </c>
    </row>
    <row r="574" spans="1:14" x14ac:dyDescent="0.15">
      <c r="A574" s="23" t="str">
        <f>HYPERLINK("https://www.spark-marketing.ru/Card/Person/1058677", "МБДОУ ""ВЦРР - ДЕТСКИЙ САД № 1""")</f>
        <v>МБДОУ "ВЦРР - ДЕТСКИЙ САД № 1"</v>
      </c>
      <c r="B574" s="24" t="s">
        <v>1363</v>
      </c>
      <c r="C574" s="25">
        <v>255150</v>
      </c>
      <c r="D574" s="22" t="s">
        <v>1372</v>
      </c>
      <c r="E574" s="22" t="s">
        <v>362</v>
      </c>
      <c r="F574" s="23" t="str">
        <f>HYPERLINK("https://www.spark-marketing.ru/Card/Lot/74222989", "услуги питания")</f>
        <v>услуги питания</v>
      </c>
      <c r="G574" s="22" t="s">
        <v>267</v>
      </c>
      <c r="H574" s="22" t="s">
        <v>267</v>
      </c>
      <c r="I574" s="26">
        <v>43746.469270833302</v>
      </c>
      <c r="J574" s="28" t="s">
        <v>51</v>
      </c>
      <c r="K574" s="28" t="s">
        <v>51</v>
      </c>
      <c r="L574" s="28" t="s">
        <v>51</v>
      </c>
      <c r="M574" s="28" t="s">
        <v>51</v>
      </c>
      <c r="N574" s="28" t="s">
        <v>51</v>
      </c>
    </row>
    <row r="575" spans="1:14" x14ac:dyDescent="0.15">
      <c r="A575" s="23" t="str">
        <f>HYPERLINK("https://www.spark-marketing.ru/Card/Person/85303", "МБОУ ЛОЖКОВСКАЯ СОШ")</f>
        <v>МБОУ ЛОЖКОВСКАЯ СОШ</v>
      </c>
      <c r="B575" s="24" t="s">
        <v>250</v>
      </c>
      <c r="C575" s="25">
        <v>72000</v>
      </c>
      <c r="D575" s="22" t="s">
        <v>1373</v>
      </c>
      <c r="E575" s="22" t="s">
        <v>48</v>
      </c>
      <c r="F575" s="23" t="str">
        <f>HYPERLINK("https://www.spark-marketing.ru/Card/Lot/74206945", "Услуги по организации питания в лагере дневного прибывания")</f>
        <v>Услуги по организации питания в лагере дневного прибывания</v>
      </c>
      <c r="G575" s="22" t="s">
        <v>49</v>
      </c>
      <c r="H575" s="22" t="s">
        <v>204</v>
      </c>
      <c r="I575" s="26">
        <v>43746.440486111103</v>
      </c>
      <c r="J575" s="28" t="s">
        <v>51</v>
      </c>
      <c r="K575" s="28" t="s">
        <v>51</v>
      </c>
      <c r="L575" s="28" t="s">
        <v>51</v>
      </c>
      <c r="M575" s="28" t="s">
        <v>51</v>
      </c>
      <c r="N575" s="28" t="s">
        <v>51</v>
      </c>
    </row>
    <row r="576" spans="1:14" x14ac:dyDescent="0.15">
      <c r="A576" s="23" t="str">
        <f>HYPERLINK("https://www.spark-marketing.ru/Card/Person/64935", "УМВД РОССИИ ПО Г. КУРСКУ")</f>
        <v>УМВД РОССИИ ПО Г. КУРСКУ</v>
      </c>
      <c r="B576" s="24" t="s">
        <v>1109</v>
      </c>
      <c r="C576" s="25">
        <v>869440</v>
      </c>
      <c r="D576" s="22" t="s">
        <v>1374</v>
      </c>
      <c r="E576" s="22" t="s">
        <v>96</v>
      </c>
      <c r="F576" s="23" t="str">
        <f>HYPERLINK("https://www.spark-marketing.ru/Card/Lot/74217866", "Оказание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Курску")</f>
        <v>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</v>
      </c>
      <c r="G576" s="22" t="s">
        <v>1111</v>
      </c>
      <c r="H576" s="22" t="s">
        <v>1112</v>
      </c>
      <c r="I576" s="26">
        <v>43746.640393518501</v>
      </c>
      <c r="J576" s="28" t="s">
        <v>51</v>
      </c>
      <c r="K576" s="28" t="s">
        <v>51</v>
      </c>
      <c r="L576" s="28" t="s">
        <v>51</v>
      </c>
      <c r="M576" s="28" t="s">
        <v>51</v>
      </c>
      <c r="N576" s="28" t="s">
        <v>51</v>
      </c>
    </row>
    <row r="577" spans="1:14" x14ac:dyDescent="0.2">
      <c r="A577" s="23" t="str">
        <f>HYPERLINK("https://www.spark-marketing.ru/Card/Person/763", "ФГБОУ ВО РНИМУ ИМ. Н.И. ПИРОГОВА МИНЗДРАВА РОССИИ")</f>
        <v>ФГБОУ ВО РНИМУ ИМ. Н.И. ПИРОГОВА МИНЗДРАВА РОССИИ</v>
      </c>
      <c r="B577" s="24" t="s">
        <v>1375</v>
      </c>
      <c r="C577" s="25">
        <v>500000</v>
      </c>
      <c r="D577" s="22" t="s">
        <v>1376</v>
      </c>
      <c r="E577" s="22" t="s">
        <v>1377</v>
      </c>
      <c r="F577" s="23" t="str">
        <f>HYPERLINK("https://www.spark-marketing.ru/Card/Lot/74227005", "Оказание услуг по уборке помещений комбината питания и обслуживанию праздничных мероприятий (официант)")</f>
        <v>Оказание услуг по уборке помещений комбината питания и обслуживанию праздничных мероприятий (официант)</v>
      </c>
      <c r="G577" s="22" t="s">
        <v>56</v>
      </c>
      <c r="H577" s="22" t="s">
        <v>56</v>
      </c>
      <c r="I577" s="26">
        <v>43746.455949074101</v>
      </c>
      <c r="J577" s="28" t="s">
        <v>51</v>
      </c>
      <c r="K577" s="28" t="s">
        <v>51</v>
      </c>
      <c r="L577" s="28" t="s">
        <v>51</v>
      </c>
      <c r="M577" s="25">
        <v>500000</v>
      </c>
      <c r="N577" s="27">
        <v>0</v>
      </c>
    </row>
    <row r="578" spans="1:14" x14ac:dyDescent="0.15">
      <c r="A578" s="23" t="str">
        <f>HYPERLINK("https://www.spark-marketing.ru/Card/Person/22358", "МКУ ""АХС""")</f>
        <v>МКУ "АХС"</v>
      </c>
      <c r="B578" s="24" t="s">
        <v>1378</v>
      </c>
      <c r="C578" s="25">
        <v>16705.36</v>
      </c>
      <c r="D578" s="22" t="s">
        <v>1379</v>
      </c>
      <c r="E578" s="22" t="s">
        <v>1166</v>
      </c>
      <c r="F578" s="23" t="str">
        <f>HYPERLINK("https://www.spark-marketing.ru/Card/Lot/74216765", "Оказание услуг по утилизации офисной техники и оборудования")</f>
        <v>Оказание услуг по утилизации офисной техники и оборудования</v>
      </c>
      <c r="G578" s="22" t="s">
        <v>158</v>
      </c>
      <c r="H578" s="22" t="s">
        <v>1380</v>
      </c>
      <c r="I578" s="26">
        <v>43746.444247685198</v>
      </c>
      <c r="J578" s="28" t="s">
        <v>51</v>
      </c>
      <c r="K578" s="28" t="s">
        <v>51</v>
      </c>
      <c r="L578" s="28" t="s">
        <v>51</v>
      </c>
      <c r="M578" s="28" t="s">
        <v>51</v>
      </c>
      <c r="N578" s="28" t="s">
        <v>51</v>
      </c>
    </row>
    <row r="579" spans="1:14" x14ac:dyDescent="0.15">
      <c r="A579" s="23" t="str">
        <f>HYPERLINK("https://www.spark-marketing.ru/Card/Person/1069097", "ОТДЕЛЕНИЕ МВД РОССИИ ПО НЯЗЕПЕТРОВСКОМУ МУНИЦИПАЛЬНОМУ РАЙОНУ ЧЕЛЯБИНСКОЙ ОБЛАСТИ")</f>
        <v>ОТДЕЛЕНИЕ МВД РОССИИ ПО НЯЗЕПЕТРОВСКОМУ МУНИЦИПАЛЬНОМУ РАЙОНУ ЧЕЛЯБИНСКОЙ ОБЛАСТИ</v>
      </c>
      <c r="B579" s="24" t="s">
        <v>1381</v>
      </c>
      <c r="C579" s="25">
        <v>150000</v>
      </c>
      <c r="D579" s="22" t="s">
        <v>1382</v>
      </c>
      <c r="E579" s="22" t="s">
        <v>48</v>
      </c>
      <c r="F579" s="23" t="str">
        <f>HYPERLINK("https://www.spark-marketing.ru/Card/Lot/74203279", "Услуги по обеспечению питания лиц содержащихся в спец. помещениях задержанных лиц, 10000 усл. ед")</f>
        <v>Услуги по обеспечению питания лиц содержащихся в спец. помещениях задержанных лиц, 10000 усл. ед</v>
      </c>
      <c r="G579" s="22" t="s">
        <v>469</v>
      </c>
      <c r="H579" s="22" t="s">
        <v>1383</v>
      </c>
      <c r="I579" s="26">
        <v>43746.395787037</v>
      </c>
      <c r="J579" s="28" t="s">
        <v>51</v>
      </c>
      <c r="K579" s="28" t="s">
        <v>51</v>
      </c>
      <c r="L579" s="28" t="s">
        <v>51</v>
      </c>
      <c r="M579" s="28" t="s">
        <v>51</v>
      </c>
      <c r="N579" s="28" t="s">
        <v>51</v>
      </c>
    </row>
    <row r="580" spans="1:14" x14ac:dyDescent="0.15">
      <c r="A580" s="23" t="str">
        <f>HYPERLINK("https://www.spark-marketing.ru/Card/Person/92170", "ГБПОУ Г МОСКВЫ ""КМТИ ИМ. Г.П.ВИШНЕВСКОЙ""")</f>
        <v>ГБПОУ Г МОСКВЫ "КМТИ ИМ. Г.П.ВИШНЕВСКОЙ"</v>
      </c>
      <c r="B580" s="24" t="s">
        <v>1384</v>
      </c>
      <c r="C580" s="25">
        <v>6264864</v>
      </c>
      <c r="D580" s="22" t="s">
        <v>1385</v>
      </c>
      <c r="E580" s="22" t="s">
        <v>48</v>
      </c>
      <c r="F580" s="23" t="str">
        <f>HYPERLINK("https://www.spark-marketing.ru/Card/Lot/74217300", "Оказание услуг по организации питания обучающихся (студентов) и обеспечения питьевого режима в ГБПОУ г.Москвы ""КМТИ им. Г.П. Вишневской"" в 2020 году")</f>
        <v>Оказание услуг по организации питания обучающихся (студентов) и обеспечения питьевого режима в ГБПОУ г.Москвы "КМТИ им. Г.П. Вишневской" в 2020 году</v>
      </c>
      <c r="G580" s="22" t="s">
        <v>56</v>
      </c>
      <c r="H580" s="22" t="s">
        <v>56</v>
      </c>
      <c r="I580" s="26">
        <v>43746.395578703698</v>
      </c>
      <c r="J580" s="28" t="s">
        <v>51</v>
      </c>
      <c r="K580" s="28" t="s">
        <v>51</v>
      </c>
      <c r="L580" s="28" t="s">
        <v>51</v>
      </c>
      <c r="M580" s="28" t="s">
        <v>51</v>
      </c>
      <c r="N580" s="28" t="s">
        <v>51</v>
      </c>
    </row>
    <row r="581" spans="1:14" x14ac:dyDescent="0.15">
      <c r="A581" s="23" t="str">
        <f>HYPERLINK("https://www.spark-marketing.ru/Card/Person/54406", "УПРАВЛЕНИЕ МВД РОССИИ ПО Г. ТАГАНРОГУ")</f>
        <v>УПРАВЛЕНИЕ МВД РОССИИ ПО Г. ТАГАНРОГУ</v>
      </c>
      <c r="B581" s="24" t="s">
        <v>1386</v>
      </c>
      <c r="C581" s="25">
        <v>1936341.3</v>
      </c>
      <c r="D581" s="22" t="s">
        <v>1387</v>
      </c>
      <c r="E581" s="22" t="s">
        <v>48</v>
      </c>
      <c r="F581" s="23" t="str">
        <f>HYPERLINK("https://www.spark-marketing.ru/Card/Lot/74220597", "Оказание услуг по обеспечению ежедневным трёхразовым питанием лиц, содержащихся в ИВС, СП, а так же лиц задержанных за административное правонарушение на срок более 3-х часов в ОП-1,2,3 Управления МВД России по г.Таганрогу")</f>
        <v>Оказание услуг по обеспечению ежедневным трёхразовым питанием лиц, содержащихся в ИВС, СП, а так же лиц задержанных за административное правонарушение на срок более 3-х часов в ОП-1,2,3 Управления МВД России по г.Таганрогу</v>
      </c>
      <c r="G581" s="22" t="s">
        <v>267</v>
      </c>
      <c r="H581" s="22" t="s">
        <v>1388</v>
      </c>
      <c r="I581" s="26">
        <v>43746.403240740699</v>
      </c>
      <c r="J581" s="28" t="s">
        <v>51</v>
      </c>
      <c r="K581" s="28" t="s">
        <v>51</v>
      </c>
      <c r="L581" s="28" t="s">
        <v>51</v>
      </c>
      <c r="M581" s="28" t="s">
        <v>51</v>
      </c>
      <c r="N581" s="28" t="s">
        <v>51</v>
      </c>
    </row>
    <row r="582" spans="1:14" x14ac:dyDescent="0.15">
      <c r="A582" s="23" t="str">
        <f>HYPERLINK("https://www.spark-marketing.ru/Card/Person/112485", "МБОУ ""СРЕДНЯЯ ОБЩЕОБРАЗОВАТЕЛЬНАЯ ШКОЛА №4""")</f>
        <v>МБОУ "СРЕДНЯЯ ОБЩЕОБРАЗОВАТЕЛЬНАЯ ШКОЛА №4"</v>
      </c>
      <c r="B582" s="24" t="s">
        <v>1193</v>
      </c>
      <c r="C582" s="25">
        <v>499539.6</v>
      </c>
      <c r="D582" s="22" t="s">
        <v>1389</v>
      </c>
      <c r="E582" s="22" t="s">
        <v>48</v>
      </c>
      <c r="F582" s="23" t="str">
        <f>HYPERLINK("https://www.spark-marketing.ru/Card/Lot/74202946", "Оказание услуг по организации питания обучающихся")</f>
        <v>Оказание услуг по организации питания обучающихся</v>
      </c>
      <c r="G582" s="22" t="s">
        <v>49</v>
      </c>
      <c r="H582" s="22" t="s">
        <v>1185</v>
      </c>
      <c r="I582" s="26">
        <v>43746.357268518499</v>
      </c>
      <c r="J582" s="28" t="s">
        <v>51</v>
      </c>
      <c r="K582" s="28" t="s">
        <v>51</v>
      </c>
      <c r="L582" s="28" t="s">
        <v>51</v>
      </c>
      <c r="M582" s="28" t="s">
        <v>51</v>
      </c>
      <c r="N582" s="28" t="s">
        <v>51</v>
      </c>
    </row>
    <row r="583" spans="1:14" x14ac:dyDescent="0.15">
      <c r="A583" s="23" t="str">
        <f>HYPERLINK("https://www.spark-marketing.ru/Card/Person/62563", "ДВЮИ МВД РОССИИ, ДАЛЬНЕВОСТОЧНЫЙ ЮРИДИЧЕСКИЙ ИНСТИТУТ МВД РОССИИ, ФГКОУ ВО ДВЮИ МВД РОССИИ")</f>
        <v>ДВЮИ МВД РОССИИ, ДАЛЬНЕВОСТОЧНЫЙ ЮРИДИЧЕСКИЙ ИНСТИТУТ МВД РОССИИ, ФГКОУ ВО ДВЮИ МВД РОССИИ</v>
      </c>
      <c r="B583" s="24" t="s">
        <v>1390</v>
      </c>
      <c r="C583" s="25">
        <v>54300</v>
      </c>
      <c r="D583" s="22" t="s">
        <v>1391</v>
      </c>
      <c r="E583" s="22" t="s">
        <v>96</v>
      </c>
      <c r="F583" s="23" t="str">
        <f>HYPERLINK("https://www.spark-marketing.ru/Card/Lot/74198801", "Услуга по питанию, 1 шт")</f>
        <v>Услуга по питанию, 1 шт</v>
      </c>
      <c r="G583" s="22" t="s">
        <v>1096</v>
      </c>
      <c r="H583" s="22" t="s">
        <v>1097</v>
      </c>
      <c r="I583" s="26">
        <v>43746.065127314803</v>
      </c>
      <c r="J583" s="28" t="s">
        <v>51</v>
      </c>
      <c r="K583" s="28" t="s">
        <v>51</v>
      </c>
      <c r="L583" s="28" t="s">
        <v>51</v>
      </c>
      <c r="M583" s="28" t="s">
        <v>51</v>
      </c>
      <c r="N583" s="28" t="s">
        <v>51</v>
      </c>
    </row>
    <row r="584" spans="1:14" x14ac:dyDescent="0.15">
      <c r="A584" s="23" t="str">
        <f>HYPERLINK("https://www.spark-marketing.ru/Card/Person/3344", "ФГБОУ ВО ""ЮГУ"", ЮГОРСКИЙ ГОСУДАРСТВЕННЫЙ УНИВЕРСИТЕТ, ЮГУ, ФГБОУ ВО ""ЮГОРСКИЙ ГОСУДАРСТВЕННЫЙ УНИВЕРСИТЕТ""")</f>
        <v>ФГБОУ ВО "ЮГУ", ЮГОРСКИЙ ГОСУДАРСТВЕННЫЙ УНИВЕРСИТЕТ, ЮГУ, ФГБОУ ВО "ЮГОРСКИЙ ГОСУДАРСТВЕННЫЙ УНИВЕРСИТЕТ"</v>
      </c>
      <c r="B584" s="24" t="s">
        <v>1392</v>
      </c>
      <c r="C584" s="25">
        <v>572735</v>
      </c>
      <c r="D584" s="22" t="s">
        <v>1393</v>
      </c>
      <c r="E584" s="22" t="s">
        <v>362</v>
      </c>
      <c r="F584" s="23" t="str">
        <f>HYPERLINK("https://www.spark-marketing.ru/Card/Lot/74199111", "оказание услуг по организации питания участников мероприятий для нужд ФГБОУ ВО ""ЮГУ""")</f>
        <v>оказание услуг по организации питания участников мероприятий для нужд ФГБОУ ВО "ЮГУ"</v>
      </c>
      <c r="G584" s="22" t="s">
        <v>97</v>
      </c>
      <c r="H584" s="22" t="s">
        <v>97</v>
      </c>
      <c r="I584" s="26">
        <v>43745.783483796302</v>
      </c>
      <c r="J584" s="28" t="s">
        <v>51</v>
      </c>
      <c r="K584" s="28" t="s">
        <v>51</v>
      </c>
      <c r="L584" s="28" t="s">
        <v>51</v>
      </c>
      <c r="M584" s="28" t="s">
        <v>51</v>
      </c>
      <c r="N584" s="28" t="s">
        <v>51</v>
      </c>
    </row>
    <row r="585" spans="1:14" ht="12.75" x14ac:dyDescent="0.2">
      <c r="A585" s="23" t="str">
        <f>HYPERLINK("https://www.spark-marketing.ru/Card/Person/1310140", "МАОУ ""СОШ № 29""")</f>
        <v>МАОУ "СОШ № 29"</v>
      </c>
      <c r="B585" s="24" t="s">
        <v>1394</v>
      </c>
      <c r="C585" s="25">
        <v>821600</v>
      </c>
      <c r="D585" s="22" t="s">
        <v>1395</v>
      </c>
      <c r="E585" s="22" t="s">
        <v>362</v>
      </c>
      <c r="F585" s="23" t="str">
        <f>HYPERLINK("https://www.spark-marketing.ru/Card/Lot/74224200", "Оказание услуг по организации горячего питания")</f>
        <v>Оказание услуг по организации горячего питания</v>
      </c>
      <c r="G585" s="22" t="s">
        <v>153</v>
      </c>
      <c r="H585" s="22" t="s">
        <v>153</v>
      </c>
      <c r="I585" s="26">
        <v>43746.7507175926</v>
      </c>
      <c r="J585" s="23" t="str">
        <f>HYPERLINK("https://www.spark-marketing.ru/Card/Person/17160", "МКУП ""ЦСП Г.БЕРЕЗНИКИ""")</f>
        <v>МКУП "ЦСП Г.БЕРЕЗНИКИ"</v>
      </c>
      <c r="K585" s="24" t="s">
        <v>1396</v>
      </c>
      <c r="L585" s="22" t="s">
        <v>10</v>
      </c>
      <c r="M585" s="25">
        <v>821600</v>
      </c>
      <c r="N585" s="27">
        <v>0</v>
      </c>
    </row>
    <row r="586" spans="1:14" ht="12.75" x14ac:dyDescent="0.2">
      <c r="A586" s="23" t="str">
        <f>HYPERLINK("https://www.spark-marketing.ru/Card/Person/741795", "МАОУ ГИМНАЗИЯ № 17 Г.БЕЛОРЕЦК")</f>
        <v>МАОУ ГИМНАЗИЯ № 17 Г.БЕЛОРЕЦК</v>
      </c>
      <c r="B586" s="24" t="s">
        <v>1397</v>
      </c>
      <c r="C586" s="25">
        <v>292824</v>
      </c>
      <c r="D586" s="22" t="s">
        <v>1398</v>
      </c>
      <c r="E586" s="22" t="s">
        <v>362</v>
      </c>
      <c r="F586" s="23" t="str">
        <f>HYPERLINK("https://www.spark-marketing.ru/Card/Lot/74223577", "Оказание услуг горячего питания учащихся МАОУ Гимназия №17 г.Белорецк из многодетных, малообеспеченных семей и детей инвалидов.")</f>
        <v>Оказание услуг горячего питания учащихся МАОУ Гимназия №17 г.Белорецк из многодетных, малообеспеченных семей и детей инвалидов.</v>
      </c>
      <c r="G586" s="22" t="s">
        <v>145</v>
      </c>
      <c r="H586" s="22" t="s">
        <v>145</v>
      </c>
      <c r="I586" s="26">
        <v>43746.5678819444</v>
      </c>
      <c r="J586" s="23" t="str">
        <f>HYPERLINK("https://www.spark-marketing.ru/Card/Person/1990735", "Кваснина Татьяна Геннадьевна")</f>
        <v>Кваснина Татьяна Геннадьевна</v>
      </c>
      <c r="K586" s="24" t="s">
        <v>1399</v>
      </c>
      <c r="L586" s="22" t="s">
        <v>10</v>
      </c>
      <c r="M586" s="25">
        <v>292824</v>
      </c>
      <c r="N586" s="27">
        <v>0</v>
      </c>
    </row>
    <row r="587" spans="1:14" x14ac:dyDescent="0.15">
      <c r="A587" s="23" t="str">
        <f>HYPERLINK("https://www.spark-marketing.ru/Card/Person/4349872", "АО ""АВИАКОМПАНИЯ ""РОССИЯ""")</f>
        <v>АО "АВИАКОМПАНИЯ "РОССИЯ"</v>
      </c>
      <c r="B587" s="24" t="s">
        <v>785</v>
      </c>
      <c r="C587" s="25">
        <v>45569760</v>
      </c>
      <c r="D587" s="22" t="s">
        <v>1400</v>
      </c>
      <c r="E587" s="22" t="s">
        <v>362</v>
      </c>
      <c r="F587" s="23" t="str">
        <f>HYPERLINK("https://www.spark-marketing.ru/Card/Lot/74224933", "Оказание услуг питания и обеспечения напитками пассажиров и экипажей в сбойных ситуациях в аэропорту Шереметьево (терминалах D (МВЛ) или E, или F) в стерильной зоне.")</f>
        <v>Оказание услуг питания и обеспечения напитками пассажиров и экипажей в сбойных ситуациях в аэропорту Шереметьево (терминалах D (МВЛ) или E, или F) в стерильной зоне.</v>
      </c>
      <c r="G587" s="22" t="s">
        <v>117</v>
      </c>
      <c r="H587" s="22" t="s">
        <v>117</v>
      </c>
      <c r="I587" s="26">
        <v>43746.535624999997</v>
      </c>
      <c r="J587" s="28" t="s">
        <v>51</v>
      </c>
      <c r="K587" s="28" t="s">
        <v>51</v>
      </c>
      <c r="L587" s="28" t="s">
        <v>51</v>
      </c>
      <c r="M587" s="28" t="s">
        <v>51</v>
      </c>
      <c r="N587" s="28" t="s">
        <v>51</v>
      </c>
    </row>
    <row r="588" spans="1:14" x14ac:dyDescent="0.15">
      <c r="A588" s="23" t="str">
        <f>HYPERLINK("https://www.spark-marketing.ru/Card/Person/4345946", "АО ""ГАЗПРОМ ГАЗОРАСПРЕДЕЛЕНИЕ ЛЕНИНГРАДСКАЯ ОБЛАСТЬ""")</f>
        <v>АО "ГАЗПРОМ ГАЗОРАСПРЕДЕЛЕНИЕ ЛЕНИНГРАДСКАЯ ОБЛАСТЬ"</v>
      </c>
      <c r="B588" s="24" t="s">
        <v>1401</v>
      </c>
      <c r="C588" s="25">
        <v>493200</v>
      </c>
      <c r="D588" s="22" t="s">
        <v>1402</v>
      </c>
      <c r="E588" s="22" t="s">
        <v>1403</v>
      </c>
      <c r="F588" s="23" t="str">
        <f>HYPERLINK("https://www.spark-marketing.ru/Card/Lot/74224645", "Услуги по ремонту источников бесперебойного питания")</f>
        <v>Услуги по ремонту источников бесперебойного питания</v>
      </c>
      <c r="G588" s="22" t="s">
        <v>162</v>
      </c>
      <c r="H588" s="22" t="s">
        <v>1404</v>
      </c>
      <c r="I588" s="26">
        <v>43746.672800925902</v>
      </c>
      <c r="J588" s="28" t="s">
        <v>51</v>
      </c>
      <c r="K588" s="28" t="s">
        <v>51</v>
      </c>
      <c r="L588" s="28" t="s">
        <v>51</v>
      </c>
      <c r="M588" s="28" t="s">
        <v>51</v>
      </c>
      <c r="N588" s="28" t="s">
        <v>51</v>
      </c>
    </row>
    <row r="589" spans="1:14" x14ac:dyDescent="0.15">
      <c r="A589" s="23" t="str">
        <f>HYPERLINK("https://www.spark-marketing.ru/Card/Person/4434470", "БМАОУ СОШ №2")</f>
        <v>БМАОУ СОШ №2</v>
      </c>
      <c r="B589" s="24" t="s">
        <v>558</v>
      </c>
      <c r="C589" s="25">
        <v>750000</v>
      </c>
      <c r="D589" s="22" t="s">
        <v>1405</v>
      </c>
      <c r="E589" s="22" t="s">
        <v>362</v>
      </c>
      <c r="F589" s="23" t="str">
        <f>HYPERLINK("https://www.spark-marketing.ru/Card/Lot/74225490", "на оказание услуг по организации питания обучающихся Березовского муниципального автономного общеобразовательного учреждения")</f>
        <v>на оказание услуг по организации питания обучающихся Березовского муниципального автономного общеобразовательного учреждения</v>
      </c>
      <c r="G589" s="22" t="s">
        <v>174</v>
      </c>
      <c r="H589" s="22" t="s">
        <v>174</v>
      </c>
      <c r="I589" s="26">
        <v>43746.606921296298</v>
      </c>
      <c r="J589" s="28" t="s">
        <v>51</v>
      </c>
      <c r="K589" s="28" t="s">
        <v>51</v>
      </c>
      <c r="L589" s="28" t="s">
        <v>51</v>
      </c>
      <c r="M589" s="28" t="s">
        <v>51</v>
      </c>
      <c r="N589" s="28" t="s">
        <v>51</v>
      </c>
    </row>
    <row r="590" spans="1:14" x14ac:dyDescent="0.15">
      <c r="A590" s="23" t="str">
        <f>HYPERLINK("https://www.spark-marketing.ru/Card/Person/4349872", "АО ""АВИАКОМПАНИЯ ""РОССИЯ""")</f>
        <v>АО "АВИАКОМПАНИЯ "РОССИЯ"</v>
      </c>
      <c r="B590" s="24" t="s">
        <v>785</v>
      </c>
      <c r="C590" s="25">
        <v>42627720</v>
      </c>
      <c r="D590" s="22" t="s">
        <v>1400</v>
      </c>
      <c r="E590" s="22" t="s">
        <v>362</v>
      </c>
      <c r="F590" s="23" t="str">
        <f>HYPERLINK("https://www.spark-marketing.ru/Card/Lot/74224932", "Оказание услуг питания и обеспечения напитками пассажиров и экипажей в сбойных ситуациях в аэропорту Шереметьево (терминалах D или E, или F) в общей зоне.")</f>
        <v>Оказание услуг питания и обеспечения напитками пассажиров и экипажей в сбойных ситуациях в аэропорту Шереметьево (терминалах D или E, или F) в общей зоне.</v>
      </c>
      <c r="G590" s="22" t="s">
        <v>56</v>
      </c>
      <c r="H590" s="22" t="s">
        <v>56</v>
      </c>
      <c r="I590" s="26">
        <v>43746.535624999997</v>
      </c>
      <c r="J590" s="28" t="s">
        <v>51</v>
      </c>
      <c r="K590" s="28" t="s">
        <v>51</v>
      </c>
      <c r="L590" s="28" t="s">
        <v>51</v>
      </c>
      <c r="M590" s="28" t="s">
        <v>51</v>
      </c>
      <c r="N590" s="28" t="s">
        <v>51</v>
      </c>
    </row>
    <row r="591" spans="1:14" x14ac:dyDescent="0.15">
      <c r="A591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591" s="24" t="s">
        <v>1406</v>
      </c>
      <c r="C591" s="25">
        <v>350000</v>
      </c>
      <c r="D591" s="22" t="s">
        <v>1407</v>
      </c>
      <c r="E591" s="22" t="s">
        <v>580</v>
      </c>
      <c r="F591" s="23" t="str">
        <f>HYPERLINK("https://www.spark-marketing.ru/Card/Lot/74227089", "Оказание услуг по обеспечению питанием участников Международной конференции по геометрическому анализу в честь 90-летия академика Ю.Г.Решетняка")</f>
        <v>Оказание услуг по обеспечению питанием участников Международной конференции по геометрическому анализу в честь 90-летия академика Ю.Г.Решетняка</v>
      </c>
      <c r="G591" s="22" t="s">
        <v>195</v>
      </c>
      <c r="H591" s="22" t="s">
        <v>195</v>
      </c>
      <c r="I591" s="26">
        <v>43746.713912036997</v>
      </c>
      <c r="J591" s="28" t="s">
        <v>51</v>
      </c>
      <c r="K591" s="28" t="s">
        <v>51</v>
      </c>
      <c r="L591" s="28" t="s">
        <v>51</v>
      </c>
      <c r="M591" s="28" t="s">
        <v>51</v>
      </c>
      <c r="N591" s="28" t="s">
        <v>51</v>
      </c>
    </row>
    <row r="592" spans="1:14" x14ac:dyDescent="0.15">
      <c r="A592" s="23" t="str">
        <f>HYPERLINK("https://www.spark-marketing.ru/Card/Person/30876", "ФГБОУ ВО ""АГПУ""")</f>
        <v>ФГБОУ ВО "АГПУ"</v>
      </c>
      <c r="B592" s="24" t="s">
        <v>1408</v>
      </c>
      <c r="C592" s="25">
        <v>310000</v>
      </c>
      <c r="D592" s="22" t="s">
        <v>1409</v>
      </c>
      <c r="E592" s="22" t="s">
        <v>362</v>
      </c>
      <c r="F592" s="23" t="str">
        <f>HYPERLINK("https://www.spark-marketing.ru/Card/Lot/74223882", "«Оказание услуг по обеспечению питания участников и гостей II Всекубанского съезда учителей русского языка и литературы для нужд ФГБОУ ВО «АГПУ»")</f>
        <v>«Оказание услуг по обеспечению питания участников и гостей II Всекубанского съезда учителей русского языка и литературы для нужд ФГБОУ ВО «АГПУ»</v>
      </c>
      <c r="G592" s="22" t="s">
        <v>104</v>
      </c>
      <c r="H592" s="22" t="s">
        <v>104</v>
      </c>
      <c r="I592" s="26">
        <v>43746.752523148098</v>
      </c>
      <c r="J592" s="28" t="s">
        <v>51</v>
      </c>
      <c r="K592" s="28" t="s">
        <v>51</v>
      </c>
      <c r="L592" s="28" t="s">
        <v>51</v>
      </c>
      <c r="M592" s="28" t="s">
        <v>51</v>
      </c>
      <c r="N592" s="28" t="s">
        <v>51</v>
      </c>
    </row>
    <row r="593" spans="1:14" x14ac:dyDescent="0.15">
      <c r="A593" s="23" t="str">
        <f>HYPERLINK("https://www.spark-marketing.ru/Card/Person/429376", "ГАУК ""ОРЕНБУРГСКАЯ ОБЛАСТНАЯ ФИЛАРМОНИЯ"" ГАУК ""ООФ""")</f>
        <v>ГАУК "ОРЕНБУРГСКАЯ ОБЛАСТНАЯ ФИЛАРМОНИЯ" ГАУК "ООФ"</v>
      </c>
      <c r="B593" s="24" t="s">
        <v>1410</v>
      </c>
      <c r="C593" s="25">
        <v>165700</v>
      </c>
      <c r="D593" s="22" t="s">
        <v>1411</v>
      </c>
      <c r="E593" s="22" t="s">
        <v>1412</v>
      </c>
      <c r="F593" s="23" t="str">
        <f>HYPERLINK("https://www.spark-marketing.ru/Card/Lot/74255484", "Услуги по организации питания на выездном культурно-зрелищном мероприятии (далее - мероприятие) «Джем-сешн», в рамках XXIII Международного джаз-фестиваля «Евразия-2019» имени Юрия Саульского")</f>
        <v>Услуги по организации питания на выездном культурно-зрелищном мероприятии (далее - мероприятие) «Джем-сешн», в рамках XXIII Международного джаз-фестиваля «Евразия-2019» имени Юрия Саульского</v>
      </c>
      <c r="G593" s="22" t="s">
        <v>132</v>
      </c>
      <c r="H593" s="22" t="s">
        <v>132</v>
      </c>
      <c r="I593" s="26">
        <v>43748</v>
      </c>
      <c r="J593" s="28" t="s">
        <v>51</v>
      </c>
      <c r="K593" s="28" t="s">
        <v>51</v>
      </c>
      <c r="L593" s="28" t="s">
        <v>51</v>
      </c>
      <c r="M593" s="28" t="s">
        <v>51</v>
      </c>
      <c r="N593" s="28" t="s">
        <v>51</v>
      </c>
    </row>
    <row r="594" spans="1:14" x14ac:dyDescent="0.15">
      <c r="A594" s="23" t="str">
        <f>HYPERLINK("https://www.spark-marketing.ru/Card/Person/150161", "ФГБУ ""КОМБИНАТ ПИТАНИЯ ""КРЕМЛЕВСКИЙ""")</f>
        <v>ФГБУ "КОМБИНАТ ПИТАНИЯ "КРЕМЛЕВСКИЙ"</v>
      </c>
      <c r="B594" s="24" t="s">
        <v>574</v>
      </c>
      <c r="C594" s="25">
        <v>1500000</v>
      </c>
      <c r="D594" s="22" t="s">
        <v>1413</v>
      </c>
      <c r="E594" s="22" t="s">
        <v>576</v>
      </c>
      <c r="F594" s="23" t="str">
        <f>HYPERLINK("https://www.spark-marketing.ru/Card/Lot/74226501", "Услуги по организации питания и обслуживанию мероприятий")</f>
        <v>Услуги по организации питания и обслуживанию мероприятий</v>
      </c>
      <c r="G594" s="22" t="s">
        <v>56</v>
      </c>
      <c r="H594" s="22" t="s">
        <v>56</v>
      </c>
      <c r="I594" s="26">
        <v>43746.6715625</v>
      </c>
      <c r="J594" s="28" t="s">
        <v>51</v>
      </c>
      <c r="K594" s="28" t="s">
        <v>51</v>
      </c>
      <c r="L594" s="28" t="s">
        <v>51</v>
      </c>
      <c r="M594" s="28" t="s">
        <v>51</v>
      </c>
      <c r="N594" s="28" t="s">
        <v>51</v>
      </c>
    </row>
    <row r="595" spans="1:14" x14ac:dyDescent="0.15">
      <c r="A595" s="23" t="str">
        <f>HYPERLINK("https://www.spark-marketing.ru/Card/Person/5898166", "ПАО ПАО НК РОСНЕФТЬ СМОЛЕНСКНЕФТЕПРОДУКТ")</f>
        <v>ПАО ПАО НК РОСНЕФТЬ СМОЛЕНСКНЕФТЕПРОДУКТ</v>
      </c>
      <c r="B595" s="28" t="s">
        <v>51</v>
      </c>
      <c r="C595" s="28" t="s">
        <v>51</v>
      </c>
      <c r="D595" s="22" t="s">
        <v>1414</v>
      </c>
      <c r="E595" s="22" t="s">
        <v>1403</v>
      </c>
      <c r="F595" s="23" t="str">
        <f>HYPERLINK("https://www.spark-marketing.ru/Card/Lot/74195232", "Оказание услуг по ремонту источников бесперебойного питания (ИБП).")</f>
        <v>Оказание услуг по ремонту источников бесперебойного питания (ИБП).</v>
      </c>
      <c r="G595" s="22" t="s">
        <v>51</v>
      </c>
      <c r="H595" s="22" t="s">
        <v>51</v>
      </c>
      <c r="I595" s="26">
        <v>43746</v>
      </c>
      <c r="J595" s="28" t="s">
        <v>51</v>
      </c>
      <c r="K595" s="28" t="s">
        <v>51</v>
      </c>
      <c r="L595" s="28" t="s">
        <v>51</v>
      </c>
      <c r="M595" s="28" t="s">
        <v>51</v>
      </c>
      <c r="N595" s="28" t="s">
        <v>51</v>
      </c>
    </row>
    <row r="596" spans="1:14" x14ac:dyDescent="0.15">
      <c r="A596" s="23" t="str">
        <f>HYPERLINK("https://www.spark-marketing.ru/Card/Person/6654479", "СЕВЕРО–КАВКАЗСКАЯ ДИРЕКЦИЯ ПАССАЖИРСКИХ ОБУСТРОЙСТВ – СТРУКТУРНОЕ ПОДРАЗДЕЛЕНИЕ ЦЕНТРАЛЬНОЙ ДИРЕКЦИИ ПАССАЖИРСКИХ ОБУСТРОЙСТВ – ФЛ ОАО РЖД")</f>
        <v>СЕВЕРО–КАВКАЗСКАЯ ДИРЕКЦИЯ ПАССАЖИРСКИХ ОБУСТРОЙСТВ – СТРУКТУРНОЕ ПОДРАЗДЕЛЕНИЕ ЦЕНТРАЛЬНОЙ ДИРЕКЦИИ ПАССАЖИРСКИХ ОБУСТРОЙСТВ – ФЛ ОАО РЖД</v>
      </c>
      <c r="B596" s="24" t="s">
        <v>330</v>
      </c>
      <c r="C596" s="25">
        <v>259999.92</v>
      </c>
      <c r="D596" s="28" t="s">
        <v>51</v>
      </c>
      <c r="E596" s="22" t="s">
        <v>152</v>
      </c>
      <c r="F596" s="23" t="str">
        <f>HYPERLINK("https://www.spark-marketing.ru/Card/Lot/74194626", "№28671 Оказание услуг по обслуживанию источника бесперебойного питания")</f>
        <v>№28671 Оказание услуг по обслуживанию источника бесперебойного питания</v>
      </c>
      <c r="G596" s="22" t="s">
        <v>51</v>
      </c>
      <c r="H596" s="22" t="s">
        <v>51</v>
      </c>
      <c r="I596" s="26">
        <v>43745.816967592596</v>
      </c>
      <c r="J596" s="28" t="s">
        <v>51</v>
      </c>
      <c r="K596" s="28" t="s">
        <v>51</v>
      </c>
      <c r="L596" s="28" t="s">
        <v>51</v>
      </c>
      <c r="M596" s="28" t="s">
        <v>51</v>
      </c>
      <c r="N596" s="28" t="s">
        <v>51</v>
      </c>
    </row>
    <row r="597" spans="1:14" x14ac:dyDescent="0.15">
      <c r="A597" s="23" t="str">
        <f>HYPERLINK("https://www.spark-marketing.ru/Card/Person/6433291", "ООО ГАЗПРОМНЕФТЬ ГЕО")</f>
        <v>ООО ГАЗПРОМНЕФТЬ ГЕО</v>
      </c>
      <c r="B597" s="28" t="s">
        <v>51</v>
      </c>
      <c r="C597" s="28" t="s">
        <v>51</v>
      </c>
      <c r="D597" s="22" t="s">
        <v>1415</v>
      </c>
      <c r="E597" s="22" t="s">
        <v>52</v>
      </c>
      <c r="F597" s="23" t="str">
        <f>HYPERLINK("https://www.spark-marketing.ru/Card/Lot/74191682", "№ 90805 «Услуги по организации питания, обеспечению горячим питанием, спецпитанием, питьевой водой»")</f>
        <v>№ 90805 «Услуги по организации питания, обеспечению горячим питанием, спецпитанием, питьевой водой»</v>
      </c>
      <c r="G597" s="22" t="s">
        <v>51</v>
      </c>
      <c r="H597" s="22" t="s">
        <v>51</v>
      </c>
      <c r="I597" s="26">
        <v>43745.687974537002</v>
      </c>
      <c r="J597" s="28" t="s">
        <v>51</v>
      </c>
      <c r="K597" s="28" t="s">
        <v>51</v>
      </c>
      <c r="L597" s="28" t="s">
        <v>51</v>
      </c>
      <c r="M597" s="28" t="s">
        <v>51</v>
      </c>
      <c r="N597" s="28" t="s">
        <v>51</v>
      </c>
    </row>
    <row r="598" spans="1:14" x14ac:dyDescent="0.15">
      <c r="A598" s="23" t="str">
        <f>HYPERLINK("https://www.spark-marketing.ru/Card/Person/540172", "ОГАУ ""ФК ""САХАЛИН""")</f>
        <v>ОГАУ "ФК "САХАЛИН"</v>
      </c>
      <c r="B598" s="24" t="s">
        <v>1416</v>
      </c>
      <c r="C598" s="25">
        <v>791500</v>
      </c>
      <c r="D598" s="22" t="s">
        <v>1417</v>
      </c>
      <c r="E598" s="22" t="s">
        <v>1418</v>
      </c>
      <c r="F598" s="23" t="str">
        <f>HYPERLINK("https://www.spark-marketing.ru/Card/Lot/74208146", "Оказание услуг по организации проживания и питания участников, экспертов и организаторов семинара - совещания с общественными, образовательными организациями и иными учреждениями в сфере молодежной политики")</f>
        <v>Оказание услуг по организации проживания и питания участников, экспертов и организаторов семинара - совещания с общественными, образовательными организациями и иными учреждениями в сфере молодежной политики</v>
      </c>
      <c r="G598" s="22" t="s">
        <v>260</v>
      </c>
      <c r="H598" s="22" t="s">
        <v>260</v>
      </c>
      <c r="I598" s="26">
        <v>43745.712268518502</v>
      </c>
      <c r="J598" s="28" t="s">
        <v>51</v>
      </c>
      <c r="K598" s="28" t="s">
        <v>51</v>
      </c>
      <c r="L598" s="28" t="s">
        <v>51</v>
      </c>
      <c r="M598" s="28" t="s">
        <v>51</v>
      </c>
      <c r="N598" s="28" t="s">
        <v>51</v>
      </c>
    </row>
    <row r="599" spans="1:14" x14ac:dyDescent="0.15">
      <c r="A599" s="23" t="str">
        <f>HYPERLINK("https://www.spark-marketing.ru/Card/Person/1002074", "ОМВД РОССИИ ПО СЕРДОБСКОМУ РАЙОНУ")</f>
        <v>ОМВД РОССИИ ПО СЕРДОБСКОМУ РАЙОНУ</v>
      </c>
      <c r="B599" s="24" t="s">
        <v>70</v>
      </c>
      <c r="C599" s="25">
        <v>837500</v>
      </c>
      <c r="D599" s="22" t="s">
        <v>1419</v>
      </c>
      <c r="E599" s="22" t="s">
        <v>48</v>
      </c>
      <c r="F599" s="23" t="str">
        <f>HYPERLINK("https://www.spark-marketing.ru/Card/Lot/74204201", "Услуги по обеспечению трехразовым горячим питанием лиц, подвергнутых административному аресту и находящихся в ИВС ОМВД России по Сердобскому  району, для субъектов малого предпринимательства или социально ориентированных некоммерческих организаций, з...")</f>
        <v>Услуги по обеспечению трехразовым горячим питанием лиц, подвергнутых административному аресту и находящихся в ИВС ОМВД России по Сердобскому  району, для субъектов малого предпринимательства или социально ориентированных некоммерческих организаций, з...</v>
      </c>
      <c r="G599" s="22" t="s">
        <v>72</v>
      </c>
      <c r="H599" s="22" t="s">
        <v>73</v>
      </c>
      <c r="I599" s="26">
        <v>43745.715520833299</v>
      </c>
      <c r="J599" s="28" t="s">
        <v>51</v>
      </c>
      <c r="K599" s="28" t="s">
        <v>51</v>
      </c>
      <c r="L599" s="28" t="s">
        <v>51</v>
      </c>
      <c r="M599" s="28" t="s">
        <v>51</v>
      </c>
      <c r="N599" s="28" t="s">
        <v>51</v>
      </c>
    </row>
    <row r="600" spans="1:14" x14ac:dyDescent="0.15">
      <c r="A600" s="23" t="str">
        <f>HYPERLINK("https://www.spark-marketing.ru/Card/Person/54353", "ГБУЗ ""КДБ №2""")</f>
        <v>ГБУЗ "КДБ №2"</v>
      </c>
      <c r="B600" s="24" t="s">
        <v>1420</v>
      </c>
      <c r="C600" s="25">
        <v>6000000</v>
      </c>
      <c r="D600" s="22" t="s">
        <v>1421</v>
      </c>
      <c r="E600" s="22" t="s">
        <v>48</v>
      </c>
      <c r="F600" s="23" t="str">
        <f>HYPERLINK("https://www.spark-marketing.ru/Card/Lot/74205437", "Оказание услуг по организации диетического питания пациентов, находящихся на лечении в круглосуточном стационаре")</f>
        <v>Оказание услуг по организации диетического питания пациентов, находящихся на лечении в круглосуточном стационаре</v>
      </c>
      <c r="G600" s="22" t="s">
        <v>137</v>
      </c>
      <c r="H600" s="22" t="s">
        <v>138</v>
      </c>
      <c r="I600" s="26">
        <v>43745.735729166699</v>
      </c>
      <c r="J600" s="28" t="s">
        <v>51</v>
      </c>
      <c r="K600" s="28" t="s">
        <v>51</v>
      </c>
      <c r="L600" s="28" t="s">
        <v>51</v>
      </c>
      <c r="M600" s="28" t="s">
        <v>51</v>
      </c>
      <c r="N600" s="28" t="s">
        <v>51</v>
      </c>
    </row>
    <row r="601" spans="1:14" x14ac:dyDescent="0.15">
      <c r="A601" s="23" t="str">
        <f>HYPERLINK("https://www.spark-marketing.ru/Card/Person/113437", "ГКУЗ ""ДОМ РЕБЕНКА СПЕЦИАЛИЗИРОВАННЫЙ № 3""")</f>
        <v>ГКУЗ "ДОМ РЕБЕНКА СПЕЦИАЛИЗИРОВАННЫЙ № 3"</v>
      </c>
      <c r="B601" s="24" t="s">
        <v>1422</v>
      </c>
      <c r="C601" s="25">
        <v>200004.36</v>
      </c>
      <c r="D601" s="22" t="s">
        <v>1423</v>
      </c>
      <c r="E601" s="22" t="s">
        <v>96</v>
      </c>
      <c r="F601" s="23" t="str">
        <f>HYPERLINK("https://www.spark-marketing.ru/Card/Lot/74195480", "услуга по приготовлению питания")</f>
        <v>услуга по приготовлению питания</v>
      </c>
      <c r="G601" s="22" t="s">
        <v>104</v>
      </c>
      <c r="H601" s="22" t="s">
        <v>1424</v>
      </c>
      <c r="I601" s="26">
        <v>43745.736331018503</v>
      </c>
      <c r="J601" s="23" t="str">
        <f>HYPERLINK("https://www.spark-marketing.ru/Card/Person/878131", "ООО "" АГРОПРОМСЕРВИС """)</f>
        <v>ООО " АГРОПРОМСЕРВИС "</v>
      </c>
      <c r="K601" s="24" t="s">
        <v>1425</v>
      </c>
      <c r="L601" s="22" t="s">
        <v>10</v>
      </c>
      <c r="M601" s="28" t="s">
        <v>51</v>
      </c>
      <c r="N601" s="28" t="s">
        <v>51</v>
      </c>
    </row>
    <row r="602" spans="1:14" x14ac:dyDescent="0.15">
      <c r="A602" s="23" t="str">
        <f>HYPERLINK("https://www.spark-marketing.ru/Card/Person/1002074", "ОМВД РОССИИ ПО СЕРДОБСКОМУ РАЙОНУ")</f>
        <v>ОМВД РОССИИ ПО СЕРДОБСКОМУ РАЙОНУ</v>
      </c>
      <c r="B602" s="24" t="s">
        <v>70</v>
      </c>
      <c r="C602" s="25">
        <v>180620</v>
      </c>
      <c r="D602" s="22" t="s">
        <v>1426</v>
      </c>
      <c r="E602" s="22" t="s">
        <v>48</v>
      </c>
      <c r="F602" s="23" t="str">
        <f>HYPERLINK("https://www.spark-marketing.ru/Card/Lot/74204198", "Услуги по обеспечению трехразовым горячим питанием подозреваемых и обвиняемых в совершении преступлений, осужденных к лишению свободы, находящихся в ИВС ОМВД России по Сердобскому району, для субъектов малого предпринимательства или социально ориенти...")</f>
        <v>Услуги по обеспечению трехразовым горячим питанием подозреваемых и обвиняемых в совершении преступлений, осужденных к лишению свободы, находящихся в ИВС ОМВД России по Сердобскому району, для субъектов малого предпринимательства или социально ориенти...</v>
      </c>
      <c r="G602" s="22" t="s">
        <v>72</v>
      </c>
      <c r="H602" s="22" t="s">
        <v>73</v>
      </c>
      <c r="I602" s="26">
        <v>43745.727407407401</v>
      </c>
      <c r="J602" s="28" t="s">
        <v>51</v>
      </c>
      <c r="K602" s="28" t="s">
        <v>51</v>
      </c>
      <c r="L602" s="28" t="s">
        <v>51</v>
      </c>
      <c r="M602" s="28" t="s">
        <v>51</v>
      </c>
      <c r="N602" s="28" t="s">
        <v>51</v>
      </c>
    </row>
    <row r="603" spans="1:14" x14ac:dyDescent="0.15">
      <c r="A603" s="23" t="str">
        <f>HYPERLINK("https://www.spark-marketing.ru/Card/Person/1016125", "МБОУ СОШ № 4")</f>
        <v>МБОУ СОШ № 4</v>
      </c>
      <c r="B603" s="24" t="s">
        <v>1125</v>
      </c>
      <c r="C603" s="25">
        <v>273873.25</v>
      </c>
      <c r="D603" s="22" t="s">
        <v>1427</v>
      </c>
      <c r="E603" s="22" t="s">
        <v>48</v>
      </c>
      <c r="F603" s="23" t="str">
        <f>HYPERLINK("https://www.spark-marketing.ru/Card/Lot/74195439", "Оказание услуг по организации питания в лагере с дневным пребыванием детей во время осенних каникул")</f>
        <v>Оказание услуг по организации питания в лагере с дневным пребыванием детей во время осенних каникул</v>
      </c>
      <c r="G603" s="22" t="s">
        <v>97</v>
      </c>
      <c r="H603" s="22" t="s">
        <v>1127</v>
      </c>
      <c r="I603" s="26">
        <v>43745.730289351799</v>
      </c>
      <c r="J603" s="23" t="str">
        <f>HYPERLINK("https://www.spark-marketing.ru/Card/Person/930688", "УП ""КОМБИНАТ ОБЩЕСТВЕННОГО ПИТАНИЯ"" ГОРОДА РАДУЖНЫЙ")</f>
        <v>УП "КОМБИНАТ ОБЩЕСТВЕННОГО ПИТАНИЯ" ГОРОДА РАДУЖНЫЙ</v>
      </c>
      <c r="K603" s="24" t="s">
        <v>1428</v>
      </c>
      <c r="L603" s="22" t="s">
        <v>10</v>
      </c>
      <c r="M603" s="28" t="s">
        <v>51</v>
      </c>
      <c r="N603" s="28" t="s">
        <v>51</v>
      </c>
    </row>
    <row r="604" spans="1:14" x14ac:dyDescent="0.15">
      <c r="A604" s="23" t="str">
        <f>HYPERLINK("https://www.spark-marketing.ru/Card/Person/997620", "МОУ ""СРЕДНЯЯ ШКОЛА № 5""")</f>
        <v>МОУ "СРЕДНЯЯ ШКОЛА № 5"</v>
      </c>
      <c r="B604" s="24" t="s">
        <v>1429</v>
      </c>
      <c r="C604" s="25">
        <v>386100</v>
      </c>
      <c r="D604" s="22" t="s">
        <v>1430</v>
      </c>
      <c r="E604" s="22" t="s">
        <v>48</v>
      </c>
      <c r="F604" s="23" t="str">
        <f>HYPERLINK("https://www.spark-marketing.ru/Card/Lot/74205054", "Организация питания учащихся в МОУ ""Средняя школа №5"" города Кимры Тверской области")</f>
        <v>Организация питания учащихся в МОУ "Средняя школа №5" города Кимры Тверской области</v>
      </c>
      <c r="G604" s="22" t="s">
        <v>137</v>
      </c>
      <c r="H604" s="22" t="s">
        <v>1431</v>
      </c>
      <c r="I604" s="26">
        <v>43745.697395833296</v>
      </c>
      <c r="J604" s="28" t="s">
        <v>51</v>
      </c>
      <c r="K604" s="28" t="s">
        <v>51</v>
      </c>
      <c r="L604" s="28" t="s">
        <v>51</v>
      </c>
      <c r="M604" s="28" t="s">
        <v>51</v>
      </c>
      <c r="N604" s="28" t="s">
        <v>51</v>
      </c>
    </row>
    <row r="605" spans="1:14" ht="12.75" hidden="1" outlineLevel="1" x14ac:dyDescent="0.2">
      <c r="A605" s="23" t="str">
        <f>HYPERLINK("https://www.spark-marketing.ru/Card/Person/997620", "МОУ ""СРЕДНЯЯ ШКОЛА № 5""")</f>
        <v>МОУ "СРЕДНЯЯ ШКОЛА № 5"</v>
      </c>
      <c r="B605" s="24" t="s">
        <v>1429</v>
      </c>
      <c r="C605" s="25">
        <v>386100</v>
      </c>
      <c r="D605" s="22" t="s">
        <v>1430</v>
      </c>
      <c r="E605" s="22" t="s">
        <v>48</v>
      </c>
      <c r="F605" s="23" t="str">
        <f>HYPERLINK("https://www.spark-marketing.ru/Card/Lot/74205054", "Организация питания учащихся в МОУ ""Средняя школа №5"" города Кимры Тверской области")</f>
        <v>Организация питания учащихся в МОУ "Средняя школа №5" города Кимры Тверской области</v>
      </c>
      <c r="G605" s="22" t="s">
        <v>137</v>
      </c>
      <c r="H605" s="22" t="s">
        <v>1431</v>
      </c>
      <c r="I605" s="26">
        <v>43745.697395833296</v>
      </c>
      <c r="J605" s="23" t="str">
        <f>HYPERLINK("https://www.spark-marketing.ru/Card/Person/622548", "Лукьянова Мария Анатольевна")</f>
        <v>Лукьянова Мария Анатольевна</v>
      </c>
      <c r="K605" s="24" t="s">
        <v>1432</v>
      </c>
      <c r="L605" s="22" t="s">
        <v>10</v>
      </c>
      <c r="M605" s="25">
        <v>29677.16</v>
      </c>
      <c r="N605" s="27">
        <v>0.92313607873607872</v>
      </c>
    </row>
    <row r="606" spans="1:14" hidden="1" outlineLevel="1" x14ac:dyDescent="0.2">
      <c r="A606" s="23" t="str">
        <f>HYPERLINK("https://www.spark-marketing.ru/Card/Person/997620", "МОУ ""СРЕДНЯЯ ШКОЛА № 5""")</f>
        <v>МОУ "СРЕДНЯЯ ШКОЛА № 5"</v>
      </c>
      <c r="B606" s="24" t="s">
        <v>1429</v>
      </c>
      <c r="C606" s="25">
        <v>386100</v>
      </c>
      <c r="D606" s="22" t="s">
        <v>1430</v>
      </c>
      <c r="E606" s="22" t="s">
        <v>48</v>
      </c>
      <c r="F606" s="23" t="str">
        <f>HYPERLINK("https://www.spark-marketing.ru/Card/Lot/74205054", "Организация питания учащихся в МОУ ""Средняя школа №5"" города Кимры Тверской области")</f>
        <v>Организация питания учащихся в МОУ "Средняя школа №5" города Кимры Тверской области</v>
      </c>
      <c r="G606" s="22" t="s">
        <v>137</v>
      </c>
      <c r="H606" s="22" t="s">
        <v>1431</v>
      </c>
      <c r="I606" s="26">
        <v>43745.697395833296</v>
      </c>
      <c r="J606" s="23" t="str">
        <f>HYPERLINK("https://www.spark-marketing.ru/Card/Person/331373", "Платонова Елена Павловна")</f>
        <v>Платонова Елена Павловна</v>
      </c>
      <c r="K606" s="24" t="s">
        <v>1433</v>
      </c>
      <c r="L606" s="28" t="s">
        <v>51</v>
      </c>
      <c r="M606" s="25">
        <v>27746.66</v>
      </c>
      <c r="N606" s="27">
        <v>0.92813607873607873</v>
      </c>
    </row>
    <row r="607" spans="1:14" x14ac:dyDescent="0.15">
      <c r="A607" s="23" t="str">
        <f>HYPERLINK("https://www.spark-marketing.ru/Card/Person/948561", "МБОУ СОШ № 7 ИМ. В.П. АСТАФЬЕВА")</f>
        <v>МБОУ СОШ № 7 ИМ. В.П. АСТАФЬЕВА</v>
      </c>
      <c r="B607" s="24" t="s">
        <v>1434</v>
      </c>
      <c r="C607" s="25">
        <v>206268.35</v>
      </c>
      <c r="D607" s="22" t="s">
        <v>1435</v>
      </c>
      <c r="E607" s="22" t="s">
        <v>48</v>
      </c>
      <c r="F607" s="23" t="str">
        <f>HYPERLINK("https://www.spark-marketing.ru/Card/Lot/74198695", "оказание услуг по организации горячего питания для обучающихся муниципального бюджетного общеобразовательного учреждения средней общеобразовательной школы № 7 им. В.П. Астафьева в соответствии со Спецификацией (приложение № 1), утвержденной Заказчико...")</f>
        <v>оказание услуг по организации горячего питания для обучающихся муниципального бюджетного общеобразовательного учреждения средней общеобразовательной школы № 7 им. В.П. Астафьева в соответствии со Спецификацией (приложение № 1), утвержденной Заказчико...</v>
      </c>
      <c r="G607" s="22" t="s">
        <v>281</v>
      </c>
      <c r="H607" s="22" t="s">
        <v>1436</v>
      </c>
      <c r="I607" s="26">
        <v>43745.695300925901</v>
      </c>
      <c r="J607" s="23" t="str">
        <f>HYPERLINK("https://www.spark-marketing.ru/Card/Person/227190", "ООО ""РИЧ""")</f>
        <v>ООО "РИЧ"</v>
      </c>
      <c r="K607" s="24" t="s">
        <v>1437</v>
      </c>
      <c r="L607" s="22" t="s">
        <v>10</v>
      </c>
      <c r="M607" s="28" t="s">
        <v>51</v>
      </c>
      <c r="N607" s="28" t="s">
        <v>51</v>
      </c>
    </row>
    <row r="608" spans="1:14" x14ac:dyDescent="0.15">
      <c r="A608" s="23" t="str">
        <f>HYPERLINK("https://www.spark-marketing.ru/Card/Person/166583", "ПРЕДСТАВИТЕЛЬСТВО МИД РОССИИ В Г. ВЛАДИВОСТОКЕ")</f>
        <v>ПРЕДСТАВИТЕЛЬСТВО МИД РОССИИ В Г. ВЛАДИВОСТОКЕ</v>
      </c>
      <c r="B608" s="24" t="s">
        <v>1438</v>
      </c>
      <c r="C608" s="25">
        <v>300000</v>
      </c>
      <c r="D608" s="22" t="s">
        <v>1439</v>
      </c>
      <c r="E608" s="22" t="s">
        <v>96</v>
      </c>
      <c r="F608" s="23" t="str">
        <f>HYPERLINK("https://www.spark-marketing.ru/Card/Lot/74204150", "Представительские расходы")</f>
        <v>Представительские расходы</v>
      </c>
      <c r="G608" s="22" t="s">
        <v>543</v>
      </c>
      <c r="H608" s="22" t="s">
        <v>1440</v>
      </c>
      <c r="I608" s="26">
        <v>43745.691666666702</v>
      </c>
      <c r="J608" s="28" t="s">
        <v>51</v>
      </c>
      <c r="K608" s="28" t="s">
        <v>51</v>
      </c>
      <c r="L608" s="28" t="s">
        <v>51</v>
      </c>
      <c r="M608" s="28" t="s">
        <v>51</v>
      </c>
      <c r="N608" s="28" t="s">
        <v>51</v>
      </c>
    </row>
    <row r="609" spans="1:14" x14ac:dyDescent="0.15">
      <c r="A609" s="23" t="str">
        <f>HYPERLINK("https://www.spark-marketing.ru/Card/Person/100639", "ОТДЕЛ МВД РОССИИ ПО ТАЙМЫРСКОМУ ДОЛГАНО-НЕНЕЦКОМУ РАЙОНУ")</f>
        <v>ОТДЕЛ МВД РОССИИ ПО ТАЙМЫРСКОМУ ДОЛГАНО-НЕНЕЦКОМУ РАЙОНУ</v>
      </c>
      <c r="B609" s="24" t="s">
        <v>1441</v>
      </c>
      <c r="C609" s="25">
        <v>161814.85</v>
      </c>
      <c r="D609" s="22" t="s">
        <v>1442</v>
      </c>
      <c r="E609" s="22" t="s">
        <v>48</v>
      </c>
      <c r="F609" s="23" t="str">
        <f>HYPERLINK("https://www.spark-marketing.ru/Card/Lot/74195611", "Услуги по организации горячего питания")</f>
        <v>Услуги по организации горячего питания</v>
      </c>
      <c r="G609" s="22" t="s">
        <v>281</v>
      </c>
      <c r="H609" s="22" t="s">
        <v>281</v>
      </c>
      <c r="I609" s="26">
        <v>43745.707002314797</v>
      </c>
      <c r="J609" s="23" t="str">
        <f>HYPERLINK("https://www.spark-marketing.ru/Card/Person/475480", "Власенко Алёна Владимировна")</f>
        <v>Власенко Алёна Владимировна</v>
      </c>
      <c r="K609" s="24" t="s">
        <v>1443</v>
      </c>
      <c r="L609" s="22" t="s">
        <v>10</v>
      </c>
      <c r="M609" s="28" t="s">
        <v>51</v>
      </c>
      <c r="N609" s="28" t="s">
        <v>51</v>
      </c>
    </row>
    <row r="610" spans="1:14" x14ac:dyDescent="0.15">
      <c r="A610" s="23" t="str">
        <f>HYPERLINK("https://www.spark-marketing.ru/Card/Person/152769", "МБДОУ ""ДЕТСКИЙ САД №47""")</f>
        <v>МБДОУ "ДЕТСКИЙ САД №47"</v>
      </c>
      <c r="B610" s="24" t="s">
        <v>1444</v>
      </c>
      <c r="C610" s="25">
        <v>18500295</v>
      </c>
      <c r="D610" s="22" t="s">
        <v>1445</v>
      </c>
      <c r="E610" s="22" t="s">
        <v>48</v>
      </c>
      <c r="F610" s="23" t="str">
        <f>HYPERLINK("https://www.spark-marketing.ru/Card/Lot/74196816", "оказание услуг по организации горячего питания в МБДОУ ""Детский сад № 47""")</f>
        <v>оказание услуг по организации горячего питания в МБДОУ "Детский сад № 47"</v>
      </c>
      <c r="G610" s="22" t="s">
        <v>49</v>
      </c>
      <c r="H610" s="22" t="s">
        <v>301</v>
      </c>
      <c r="I610" s="26">
        <v>43745.695057870398</v>
      </c>
      <c r="J610" s="28" t="s">
        <v>51</v>
      </c>
      <c r="K610" s="28" t="s">
        <v>51</v>
      </c>
      <c r="L610" s="28" t="s">
        <v>51</v>
      </c>
      <c r="M610" s="28" t="s">
        <v>51</v>
      </c>
      <c r="N610" s="28" t="s">
        <v>51</v>
      </c>
    </row>
    <row r="611" spans="1:14" x14ac:dyDescent="0.15">
      <c r="A611" s="23" t="str">
        <f>HYPERLINK("https://www.spark-marketing.ru/Card/Person/24706", "ОТДЕЛ МВД РОССИИ ПО Г. ЛЕСОСИБИРСКУ")</f>
        <v>ОТДЕЛ МВД РОССИИ ПО Г. ЛЕСОСИБИРСКУ</v>
      </c>
      <c r="B611" s="24" t="s">
        <v>1446</v>
      </c>
      <c r="C611" s="25">
        <v>400000</v>
      </c>
      <c r="D611" s="22" t="s">
        <v>1447</v>
      </c>
      <c r="E611" s="22" t="s">
        <v>48</v>
      </c>
      <c r="F611" s="23" t="str">
        <f>HYPERLINK("https://www.spark-marketing.ru/Card/Lot/74198129", "Оказание услуг по организации 3-х разового горячего питания лиц, содержащихся в ИВС Отдела МВД России по г.Лесосибирску")</f>
        <v>Оказание услуг по организации 3-х разового горячего питания лиц, содержащихся в ИВС Отдела МВД России по г.Лесосибирску</v>
      </c>
      <c r="G611" s="22" t="s">
        <v>281</v>
      </c>
      <c r="H611" s="22" t="s">
        <v>1448</v>
      </c>
      <c r="I611" s="26">
        <v>43745.684814814798</v>
      </c>
      <c r="J611" s="23" t="str">
        <f>HYPERLINK("https://www.spark-marketing.ru/Card/Person/218344", "ООО ""ПОЛЕКС""")</f>
        <v>ООО "ПОЛЕКС"</v>
      </c>
      <c r="K611" s="24" t="s">
        <v>1449</v>
      </c>
      <c r="L611" s="22" t="s">
        <v>10</v>
      </c>
      <c r="M611" s="28" t="s">
        <v>51</v>
      </c>
      <c r="N611" s="28" t="s">
        <v>51</v>
      </c>
    </row>
    <row r="612" spans="1:14" x14ac:dyDescent="0.15">
      <c r="A612" s="23" t="str">
        <f>HYPERLINK("https://www.spark-marketing.ru/Card/Person/31549", "ОТДЕЛ МВД РОССИИ ПО ЕЙСКОМУ РАЙОНУ")</f>
        <v>ОТДЕЛ МВД РОССИИ ПО ЕЙСКОМУ РАЙОНУ</v>
      </c>
      <c r="B612" s="24" t="s">
        <v>1450</v>
      </c>
      <c r="C612" s="25">
        <v>1057046.75</v>
      </c>
      <c r="D612" s="22" t="s">
        <v>1451</v>
      </c>
      <c r="E612" s="22" t="s">
        <v>48</v>
      </c>
      <c r="F612" s="23" t="str">
        <f>HYPERLINK("https://www.spark-marketing.ru/Card/Lot/74198492",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612" s="22" t="s">
        <v>104</v>
      </c>
      <c r="H612" s="22" t="s">
        <v>104</v>
      </c>
      <c r="I612" s="26">
        <v>43745.683761574102</v>
      </c>
      <c r="J612" s="28" t="s">
        <v>51</v>
      </c>
      <c r="K612" s="28" t="s">
        <v>51</v>
      </c>
      <c r="L612" s="28" t="s">
        <v>51</v>
      </c>
      <c r="M612" s="28" t="s">
        <v>51</v>
      </c>
      <c r="N612" s="28" t="s">
        <v>51</v>
      </c>
    </row>
    <row r="613" spans="1:14" x14ac:dyDescent="0.15">
      <c r="A613" s="23" t="str">
        <f>HYPERLINK("https://www.spark-marketing.ru/Card/Person/997620", "МОУ ""СРЕДНЯЯ ШКОЛА № 5""")</f>
        <v>МОУ "СРЕДНЯЯ ШКОЛА № 5"</v>
      </c>
      <c r="B613" s="24" t="s">
        <v>1429</v>
      </c>
      <c r="C613" s="25">
        <v>114075</v>
      </c>
      <c r="D613" s="22" t="s">
        <v>1452</v>
      </c>
      <c r="E613" s="22" t="s">
        <v>48</v>
      </c>
      <c r="F613" s="23" t="str">
        <f>HYPERLINK("https://www.spark-marketing.ru/Card/Lot/74205053", "Организация питания учащихся в филиале МОУ ""Средняя школа №5"" города Кимры Тверской области")</f>
        <v>Организация питания учащихся в филиале МОУ "Средняя школа №5" города Кимры Тверской области</v>
      </c>
      <c r="G613" s="22" t="s">
        <v>137</v>
      </c>
      <c r="H613" s="22" t="s">
        <v>1431</v>
      </c>
      <c r="I613" s="26">
        <v>43745.697361111103</v>
      </c>
      <c r="J613" s="28" t="s">
        <v>51</v>
      </c>
      <c r="K613" s="28" t="s">
        <v>51</v>
      </c>
      <c r="L613" s="28" t="s">
        <v>51</v>
      </c>
      <c r="M613" s="28" t="s">
        <v>51</v>
      </c>
      <c r="N613" s="28" t="s">
        <v>51</v>
      </c>
    </row>
    <row r="614" spans="1:14" hidden="1" outlineLevel="1" x14ac:dyDescent="0.2">
      <c r="A614" s="23" t="str">
        <f>HYPERLINK("https://www.spark-marketing.ru/Card/Person/997620", "МОУ ""СРЕДНЯЯ ШКОЛА № 5""")</f>
        <v>МОУ "СРЕДНЯЯ ШКОЛА № 5"</v>
      </c>
      <c r="B614" s="24" t="s">
        <v>1429</v>
      </c>
      <c r="C614" s="25">
        <v>114075</v>
      </c>
      <c r="D614" s="22" t="s">
        <v>1452</v>
      </c>
      <c r="E614" s="22" t="s">
        <v>48</v>
      </c>
      <c r="F614" s="23" t="str">
        <f>HYPERLINK("https://www.spark-marketing.ru/Card/Lot/74205053", "Организация питания учащихся в филиале МОУ ""Средняя школа №5"" города Кимры Тверской области")</f>
        <v>Организация питания учащихся в филиале МОУ "Средняя школа №5" города Кимры Тверской области</v>
      </c>
      <c r="G614" s="22" t="s">
        <v>137</v>
      </c>
      <c r="H614" s="22" t="s">
        <v>1431</v>
      </c>
      <c r="I614" s="26">
        <v>43745.697361111103</v>
      </c>
      <c r="J614" s="23" t="str">
        <f>HYPERLINK("https://www.spark-marketing.ru/Card/Person/611607", "Коршунова Оксана Ивановна")</f>
        <v>Коршунова Оксана Ивановна</v>
      </c>
      <c r="K614" s="24" t="s">
        <v>1453</v>
      </c>
      <c r="L614" s="28" t="s">
        <v>51</v>
      </c>
      <c r="M614" s="25">
        <v>106660.06</v>
      </c>
      <c r="N614" s="27">
        <v>6.5000569800569799E-2</v>
      </c>
    </row>
    <row r="615" spans="1:14" ht="12.75" hidden="1" outlineLevel="1" x14ac:dyDescent="0.2">
      <c r="A615" s="23" t="str">
        <f>HYPERLINK("https://www.spark-marketing.ru/Card/Person/997620", "МОУ ""СРЕДНЯЯ ШКОЛА № 5""")</f>
        <v>МОУ "СРЕДНЯЯ ШКОЛА № 5"</v>
      </c>
      <c r="B615" s="24" t="s">
        <v>1429</v>
      </c>
      <c r="C615" s="25">
        <v>114075</v>
      </c>
      <c r="D615" s="22" t="s">
        <v>1452</v>
      </c>
      <c r="E615" s="22" t="s">
        <v>48</v>
      </c>
      <c r="F615" s="23" t="str">
        <f>HYPERLINK("https://www.spark-marketing.ru/Card/Lot/74205053", "Организация питания учащихся в филиале МОУ ""Средняя школа №5"" города Кимры Тверской области")</f>
        <v>Организация питания учащихся в филиале МОУ "Средняя школа №5" города Кимры Тверской области</v>
      </c>
      <c r="G615" s="22" t="s">
        <v>137</v>
      </c>
      <c r="H615" s="22" t="s">
        <v>1431</v>
      </c>
      <c r="I615" s="26">
        <v>43745.697361111103</v>
      </c>
      <c r="J615" s="23" t="str">
        <f>HYPERLINK("https://www.spark-marketing.ru/Card/Person/331373", "Платонова Елена Павловна")</f>
        <v>Платонова Елена Павловна</v>
      </c>
      <c r="K615" s="24" t="s">
        <v>1433</v>
      </c>
      <c r="L615" s="22" t="s">
        <v>10</v>
      </c>
      <c r="M615" s="25">
        <v>106660.06</v>
      </c>
      <c r="N615" s="27">
        <v>6.5000569800569799E-2</v>
      </c>
    </row>
    <row r="616" spans="1:14" x14ac:dyDescent="0.15">
      <c r="A616" s="23" t="str">
        <f>HYPERLINK("https://www.spark-marketing.ru/Card/Person/1019942", "ГБУСО КО ""ЦЕНТР ""ДЕТСТВО""")</f>
        <v>ГБУСО КО "ЦЕНТР "ДЕТСТВО"</v>
      </c>
      <c r="B616" s="24" t="s">
        <v>1454</v>
      </c>
      <c r="C616" s="25">
        <v>330000</v>
      </c>
      <c r="D616" s="22" t="s">
        <v>1455</v>
      </c>
      <c r="E616" s="22" t="s">
        <v>48</v>
      </c>
      <c r="F616" s="23" t="str">
        <f>HYPERLINK("https://www.spark-marketing.ru/Card/Lot/74197620", "Оказание услуг по организации питания (завтрак, обед, полдник, ужин) для нужд ГБУСО КО ""Реабилитационный центр для детей и подростков с ограниченными возможностями ""Детство""""")</f>
        <v>Оказание услуг по организации питания (завтрак, обед, полдник, ужин) для нужд ГБУСО КО "Реабилитационный центр для детей и подростков с ограниченными возможностями "Детство""</v>
      </c>
      <c r="G616" s="22" t="s">
        <v>400</v>
      </c>
      <c r="H616" s="22" t="s">
        <v>401</v>
      </c>
      <c r="I616" s="26">
        <v>43745.659340277802</v>
      </c>
      <c r="J616" s="23" t="str">
        <f>HYPERLINK("https://www.spark-marketing.ru/Card/Person/4397607", "ООО ""РЕГЕНТ-ШКОЛЬНОЕ ПИТАНИЕ""")</f>
        <v>ООО "РЕГЕНТ-ШКОЛЬНОЕ ПИТАНИЕ"</v>
      </c>
      <c r="K616" s="24" t="s">
        <v>1456</v>
      </c>
      <c r="L616" s="28" t="s">
        <v>51</v>
      </c>
      <c r="M616" s="28" t="s">
        <v>51</v>
      </c>
      <c r="N616" s="28" t="s">
        <v>51</v>
      </c>
    </row>
    <row r="617" spans="1:14" x14ac:dyDescent="0.2">
      <c r="A617" s="23" t="str">
        <f>HYPERLINK("https://www.spark-marketing.ru/Card/Person/4349000", "ФГБОУ ВО ""КГТУ""")</f>
        <v>ФГБОУ ВО "КГТУ"</v>
      </c>
      <c r="B617" s="24" t="s">
        <v>1457</v>
      </c>
      <c r="C617" s="25">
        <v>139250</v>
      </c>
      <c r="D617" s="22" t="s">
        <v>1458</v>
      </c>
      <c r="E617" s="22" t="s">
        <v>769</v>
      </c>
      <c r="F617" s="23" t="str">
        <f>HYPERLINK("https://www.spark-marketing.ru/Card/Lot/74199667", "Оказание услуг по организации проживания и питания участников, волонтеров и организаторов проекта «Фестиваль студенческих отрядов Северо-Западного федерального округа»")</f>
        <v>Оказание услуг по организации проживания и питания участников, волонтеров и организаторов проекта «Фестиваль студенческих отрядов Северо-Западного федерального округа»</v>
      </c>
      <c r="G617" s="22" t="s">
        <v>400</v>
      </c>
      <c r="H617" s="22" t="s">
        <v>400</v>
      </c>
      <c r="I617" s="26">
        <v>43745.6769907407</v>
      </c>
      <c r="J617" s="28" t="s">
        <v>51</v>
      </c>
      <c r="K617" s="28" t="s">
        <v>51</v>
      </c>
      <c r="L617" s="28" t="s">
        <v>51</v>
      </c>
      <c r="M617" s="25">
        <v>139250</v>
      </c>
      <c r="N617" s="27">
        <v>0</v>
      </c>
    </row>
    <row r="618" spans="1:14" x14ac:dyDescent="0.15">
      <c r="A618" s="23" t="str">
        <f>HYPERLINK("https://www.spark-marketing.ru/Card/Person/81474", "ГУТО ЦСО № 2")</f>
        <v>ГУТО ЦСО № 2</v>
      </c>
      <c r="B618" s="24" t="s">
        <v>1459</v>
      </c>
      <c r="C618" s="25">
        <v>2058201</v>
      </c>
      <c r="D618" s="22" t="s">
        <v>1460</v>
      </c>
      <c r="E618" s="22" t="s">
        <v>67</v>
      </c>
      <c r="F618" s="23" t="str">
        <f>HYPERLINK("https://www.spark-marketing.ru/Card/Lot/74205037", "Оказание услуг по организации питания")</f>
        <v>Оказание услуг по организации питания</v>
      </c>
      <c r="G618" s="22" t="s">
        <v>68</v>
      </c>
      <c r="H618" s="22" t="s">
        <v>1461</v>
      </c>
      <c r="I618" s="26">
        <v>43745.691388888903</v>
      </c>
      <c r="J618" s="23" t="str">
        <f>HYPERLINK("https://www.spark-marketing.ru/Card/Person/849517", "Клейменов Александр Геннадьевич")</f>
        <v>Клейменов Александр Геннадьевич</v>
      </c>
      <c r="K618" s="24" t="s">
        <v>1462</v>
      </c>
      <c r="L618" s="22" t="s">
        <v>10</v>
      </c>
      <c r="M618" s="28" t="s">
        <v>51</v>
      </c>
      <c r="N618" s="28" t="s">
        <v>51</v>
      </c>
    </row>
    <row r="619" spans="1:14" x14ac:dyDescent="0.15">
      <c r="A619" s="23" t="str">
        <f>HYPERLINK("https://www.spark-marketing.ru/Card/Person/109252", "МОУ МАЛИВСКАЯ СОШ")</f>
        <v>МОУ МАЛИВСКАЯ СОШ</v>
      </c>
      <c r="B619" s="24" t="s">
        <v>1463</v>
      </c>
      <c r="C619" s="25">
        <v>5073008</v>
      </c>
      <c r="D619" s="22" t="s">
        <v>1464</v>
      </c>
      <c r="E619" s="22" t="s">
        <v>48</v>
      </c>
      <c r="F619" s="23" t="str">
        <f>HYPERLINK("https://www.spark-marketing.ru/Card/Lot/74196818", "Оказание услуг по организации питания обучающихся")</f>
        <v>Оказание услуг по организации питания обучающихся</v>
      </c>
      <c r="G619" s="22" t="s">
        <v>49</v>
      </c>
      <c r="H619" s="22" t="s">
        <v>180</v>
      </c>
      <c r="I619" s="26">
        <v>43745.6960300926</v>
      </c>
      <c r="J619" s="28" t="s">
        <v>51</v>
      </c>
      <c r="K619" s="28" t="s">
        <v>51</v>
      </c>
      <c r="L619" s="28" t="s">
        <v>51</v>
      </c>
      <c r="M619" s="28" t="s">
        <v>51</v>
      </c>
      <c r="N619" s="28" t="s">
        <v>51</v>
      </c>
    </row>
    <row r="620" spans="1:14" x14ac:dyDescent="0.15">
      <c r="A620" s="23" t="str">
        <f>HYPERLINK("https://www.spark-marketing.ru/Card/Person/77925", "МБОУ ""СШ №19""")</f>
        <v>МБОУ "СШ №19"</v>
      </c>
      <c r="B620" s="24" t="s">
        <v>1465</v>
      </c>
      <c r="C620" s="25">
        <v>109481.25</v>
      </c>
      <c r="D620" s="22" t="s">
        <v>1466</v>
      </c>
      <c r="E620" s="22" t="s">
        <v>48</v>
      </c>
      <c r="F620" s="23" t="str">
        <f>HYPERLINK("https://www.spark-marketing.ru/Card/Lot/74195545",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620" s="22" t="s">
        <v>97</v>
      </c>
      <c r="H620" s="22" t="s">
        <v>366</v>
      </c>
      <c r="I620" s="26">
        <v>43745.747870370396</v>
      </c>
      <c r="J620" s="28" t="s">
        <v>51</v>
      </c>
      <c r="K620" s="28" t="s">
        <v>51</v>
      </c>
      <c r="L620" s="28" t="s">
        <v>51</v>
      </c>
      <c r="M620" s="28" t="s">
        <v>51</v>
      </c>
      <c r="N620" s="28" t="s">
        <v>51</v>
      </c>
    </row>
    <row r="621" spans="1:14" ht="12.75" hidden="1" outlineLevel="1" x14ac:dyDescent="0.2">
      <c r="A621" s="23" t="str">
        <f>HYPERLINK("https://www.spark-marketing.ru/Card/Person/77925", "МБОУ ""СШ №19""")</f>
        <v>МБОУ "СШ №19"</v>
      </c>
      <c r="B621" s="24" t="s">
        <v>1465</v>
      </c>
      <c r="C621" s="25">
        <v>109481.25</v>
      </c>
      <c r="D621" s="22" t="s">
        <v>1466</v>
      </c>
      <c r="E621" s="22" t="s">
        <v>48</v>
      </c>
      <c r="F621" s="23" t="str">
        <f>HYPERLINK("https://www.spark-marketing.ru/Card/Lot/74195545",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621" s="22" t="s">
        <v>97</v>
      </c>
      <c r="H621" s="22" t="s">
        <v>366</v>
      </c>
      <c r="I621" s="26">
        <v>43745.747870370396</v>
      </c>
      <c r="J621" s="23" t="str">
        <f>HYPERLINK("https://www.spark-marketing.ru/Card/Person/5846583", "ООО ""АБВГД""")</f>
        <v>ООО "АБВГД"</v>
      </c>
      <c r="K621" s="24" t="s">
        <v>1467</v>
      </c>
      <c r="L621" s="22" t="s">
        <v>10</v>
      </c>
      <c r="M621" s="25">
        <v>109481</v>
      </c>
      <c r="N621" s="27">
        <v>2.2834960324256436E-6</v>
      </c>
    </row>
    <row r="622" spans="1:14" hidden="1" outlineLevel="1" x14ac:dyDescent="0.2">
      <c r="A622" s="23" t="str">
        <f>HYPERLINK("https://www.spark-marketing.ru/Card/Person/77925", "МБОУ ""СШ №19""")</f>
        <v>МБОУ "СШ №19"</v>
      </c>
      <c r="B622" s="24" t="s">
        <v>1465</v>
      </c>
      <c r="C622" s="25">
        <v>109481.25</v>
      </c>
      <c r="D622" s="22" t="s">
        <v>1466</v>
      </c>
      <c r="E622" s="22" t="s">
        <v>48</v>
      </c>
      <c r="F622" s="23" t="str">
        <f>HYPERLINK("https://www.spark-marketing.ru/Card/Lot/74195545",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622" s="22" t="s">
        <v>97</v>
      </c>
      <c r="H622" s="22" t="s">
        <v>366</v>
      </c>
      <c r="I622" s="26">
        <v>43745.747870370396</v>
      </c>
      <c r="J622" s="23" t="str">
        <f>HYPERLINK("https://www.spark-marketing.ru/Card/Person/4865441", "ООО ""КШП-2""")</f>
        <v>ООО "КШП-2"</v>
      </c>
      <c r="K622" s="24" t="s">
        <v>1468</v>
      </c>
      <c r="L622" s="28" t="s">
        <v>51</v>
      </c>
      <c r="M622" s="25">
        <v>109481.25</v>
      </c>
      <c r="N622" s="27">
        <v>0</v>
      </c>
    </row>
    <row r="623" spans="1:14" x14ac:dyDescent="0.15">
      <c r="A623" s="23" t="str">
        <f>HYPERLINK("https://www.spark-marketing.ru/Card/Person/51085", "МБОУ ""СШ №12""")</f>
        <v>МБОУ "СШ №12"</v>
      </c>
      <c r="B623" s="24" t="s">
        <v>1469</v>
      </c>
      <c r="C623" s="25">
        <v>109481.25</v>
      </c>
      <c r="D623" s="22" t="s">
        <v>1470</v>
      </c>
      <c r="E623" s="22" t="s">
        <v>48</v>
      </c>
      <c r="F623" s="23" t="str">
        <f>HYPERLINK("https://www.spark-marketing.ru/Card/Lot/74195441",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623" s="22" t="s">
        <v>97</v>
      </c>
      <c r="H623" s="22" t="s">
        <v>366</v>
      </c>
      <c r="I623" s="26">
        <v>43745.731979166703</v>
      </c>
      <c r="J623" s="28" t="s">
        <v>51</v>
      </c>
      <c r="K623" s="28" t="s">
        <v>51</v>
      </c>
      <c r="L623" s="28" t="s">
        <v>51</v>
      </c>
      <c r="M623" s="28" t="s">
        <v>51</v>
      </c>
      <c r="N623" s="28" t="s">
        <v>51</v>
      </c>
    </row>
    <row r="624" spans="1:14" ht="12.75" hidden="1" outlineLevel="1" x14ac:dyDescent="0.2">
      <c r="A624" s="23" t="str">
        <f>HYPERLINK("https://www.spark-marketing.ru/Card/Person/51085", "МБОУ ""СШ №12""")</f>
        <v>МБОУ "СШ №12"</v>
      </c>
      <c r="B624" s="24" t="s">
        <v>1469</v>
      </c>
      <c r="C624" s="25">
        <v>109481.25</v>
      </c>
      <c r="D624" s="22" t="s">
        <v>1470</v>
      </c>
      <c r="E624" s="22" t="s">
        <v>48</v>
      </c>
      <c r="F624" s="23" t="str">
        <f>HYPERLINK("https://www.spark-marketing.ru/Card/Lot/74195441",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624" s="22" t="s">
        <v>97</v>
      </c>
      <c r="H624" s="22" t="s">
        <v>366</v>
      </c>
      <c r="I624" s="26">
        <v>43745.731979166703</v>
      </c>
      <c r="J624" s="23" t="str">
        <f>HYPERLINK("https://www.spark-marketing.ru/Card/Person/4865441", "ООО ""КШП-2""")</f>
        <v>ООО "КШП-2"</v>
      </c>
      <c r="K624" s="24" t="s">
        <v>1468</v>
      </c>
      <c r="L624" s="22" t="s">
        <v>10</v>
      </c>
      <c r="M624" s="25">
        <v>109481</v>
      </c>
      <c r="N624" s="27">
        <v>2.2834960324256436E-6</v>
      </c>
    </row>
    <row r="625" spans="1:14" hidden="1" outlineLevel="1" x14ac:dyDescent="0.2">
      <c r="A625" s="23" t="str">
        <f>HYPERLINK("https://www.spark-marketing.ru/Card/Person/51085", "МБОУ ""СШ №12""")</f>
        <v>МБОУ "СШ №12"</v>
      </c>
      <c r="B625" s="24" t="s">
        <v>1469</v>
      </c>
      <c r="C625" s="25">
        <v>109481.25</v>
      </c>
      <c r="D625" s="22" t="s">
        <v>1470</v>
      </c>
      <c r="E625" s="22" t="s">
        <v>48</v>
      </c>
      <c r="F625" s="23" t="str">
        <f>HYPERLINK("https://www.spark-marketing.ru/Card/Lot/74195441",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625" s="22" t="s">
        <v>97</v>
      </c>
      <c r="H625" s="22" t="s">
        <v>366</v>
      </c>
      <c r="I625" s="26">
        <v>43745.731979166703</v>
      </c>
      <c r="J625" s="23" t="str">
        <f>HYPERLINK("https://www.spark-marketing.ru/Card/Person/5846583", "ООО ""АБВГД""")</f>
        <v>ООО "АБВГД"</v>
      </c>
      <c r="K625" s="24" t="s">
        <v>1467</v>
      </c>
      <c r="L625" s="28" t="s">
        <v>51</v>
      </c>
      <c r="M625" s="25">
        <v>109481.25</v>
      </c>
      <c r="N625" s="27">
        <v>0</v>
      </c>
    </row>
    <row r="626" spans="1:14" x14ac:dyDescent="0.15">
      <c r="A626" s="23" t="str">
        <f>HYPERLINK("https://www.spark-marketing.ru/Card/Person/72512", "МБОУ ""ЛИЦЕЙ №2""")</f>
        <v>МБОУ "ЛИЦЕЙ №2"</v>
      </c>
      <c r="B626" s="24" t="s">
        <v>1471</v>
      </c>
      <c r="C626" s="25">
        <v>109481.25</v>
      </c>
      <c r="D626" s="22" t="s">
        <v>1472</v>
      </c>
      <c r="E626" s="22" t="s">
        <v>48</v>
      </c>
      <c r="F626" s="23" t="str">
        <f>HYPERLINK("https://www.spark-marketing.ru/Card/Lot/74195470",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626" s="22" t="s">
        <v>97</v>
      </c>
      <c r="H626" s="22" t="s">
        <v>366</v>
      </c>
      <c r="I626" s="26">
        <v>43745.7344675926</v>
      </c>
      <c r="J626" s="28" t="s">
        <v>51</v>
      </c>
      <c r="K626" s="28" t="s">
        <v>51</v>
      </c>
      <c r="L626" s="28" t="s">
        <v>51</v>
      </c>
      <c r="M626" s="28" t="s">
        <v>51</v>
      </c>
      <c r="N626" s="28" t="s">
        <v>51</v>
      </c>
    </row>
    <row r="627" spans="1:14" ht="12.75" hidden="1" outlineLevel="1" x14ac:dyDescent="0.2">
      <c r="A627" s="23" t="str">
        <f>HYPERLINK("https://www.spark-marketing.ru/Card/Person/72512", "МБОУ ""ЛИЦЕЙ №2""")</f>
        <v>МБОУ "ЛИЦЕЙ №2"</v>
      </c>
      <c r="B627" s="24" t="s">
        <v>1471</v>
      </c>
      <c r="C627" s="25">
        <v>109481.25</v>
      </c>
      <c r="D627" s="22" t="s">
        <v>1472</v>
      </c>
      <c r="E627" s="22" t="s">
        <v>48</v>
      </c>
      <c r="F627" s="23" t="str">
        <f>HYPERLINK("https://www.spark-marketing.ru/Card/Lot/74195470",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627" s="22" t="s">
        <v>97</v>
      </c>
      <c r="H627" s="22" t="s">
        <v>366</v>
      </c>
      <c r="I627" s="26">
        <v>43745.7344675926</v>
      </c>
      <c r="J627" s="23" t="str">
        <f>HYPERLINK("https://www.spark-marketing.ru/Card/Person/5846583", "ООО ""АБВГД""")</f>
        <v>ООО "АБВГД"</v>
      </c>
      <c r="K627" s="24" t="s">
        <v>1467</v>
      </c>
      <c r="L627" s="22" t="s">
        <v>10</v>
      </c>
      <c r="M627" s="25">
        <v>109481</v>
      </c>
      <c r="N627" s="27">
        <v>2.2834960324256436E-6</v>
      </c>
    </row>
    <row r="628" spans="1:14" hidden="1" outlineLevel="1" x14ac:dyDescent="0.2">
      <c r="A628" s="23" t="str">
        <f>HYPERLINK("https://www.spark-marketing.ru/Card/Person/72512", "МБОУ ""ЛИЦЕЙ №2""")</f>
        <v>МБОУ "ЛИЦЕЙ №2"</v>
      </c>
      <c r="B628" s="24" t="s">
        <v>1471</v>
      </c>
      <c r="C628" s="25">
        <v>109481.25</v>
      </c>
      <c r="D628" s="22" t="s">
        <v>1472</v>
      </c>
      <c r="E628" s="22" t="s">
        <v>48</v>
      </c>
      <c r="F628" s="23" t="str">
        <f>HYPERLINK("https://www.spark-marketing.ru/Card/Lot/74195470",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628" s="22" t="s">
        <v>97</v>
      </c>
      <c r="H628" s="22" t="s">
        <v>366</v>
      </c>
      <c r="I628" s="26">
        <v>43745.7344675926</v>
      </c>
      <c r="J628" s="23" t="str">
        <f>HYPERLINK("https://www.spark-marketing.ru/Card/Person/4865441", "ООО ""КШП-2""")</f>
        <v>ООО "КШП-2"</v>
      </c>
      <c r="K628" s="24" t="s">
        <v>1468</v>
      </c>
      <c r="L628" s="28" t="s">
        <v>51</v>
      </c>
      <c r="M628" s="25">
        <v>109481.25</v>
      </c>
      <c r="N628" s="27">
        <v>0</v>
      </c>
    </row>
    <row r="629" spans="1:14" x14ac:dyDescent="0.15">
      <c r="A629" s="23" t="str">
        <f>HYPERLINK("https://www.spark-marketing.ru/Card/Person/737290", "ГКУ «ЦБЗ ПРИ МИНЗДРАВЕ КАРЕЛИИ»")</f>
        <v>ГКУ «ЦБЗ ПРИ МИНЗДРАВЕ КАРЕЛИИ»</v>
      </c>
      <c r="B629" s="24" t="s">
        <v>312</v>
      </c>
      <c r="C629" s="25">
        <v>108160</v>
      </c>
      <c r="D629" s="22" t="s">
        <v>1473</v>
      </c>
      <c r="E629" s="22" t="s">
        <v>52</v>
      </c>
      <c r="F629" s="23" t="str">
        <f>HYPERLINK("https://www.spark-marketing.ru/Card/Lot/74196883", "Поставка лекарственного препарата Вальпроевая кислота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изделиями...")</f>
        <v>Поставка лекарственного препарата Вальпроевая кислота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изделиями...</v>
      </c>
      <c r="G629" s="22" t="s">
        <v>59</v>
      </c>
      <c r="H629" s="22" t="s">
        <v>314</v>
      </c>
      <c r="I629" s="26">
        <v>43745.644756944399</v>
      </c>
      <c r="J629" s="28" t="s">
        <v>51</v>
      </c>
      <c r="K629" s="28" t="s">
        <v>51</v>
      </c>
      <c r="L629" s="28" t="s">
        <v>51</v>
      </c>
      <c r="M629" s="28" t="s">
        <v>51</v>
      </c>
      <c r="N629" s="28" t="s">
        <v>51</v>
      </c>
    </row>
    <row r="630" spans="1:14" x14ac:dyDescent="0.15">
      <c r="A630" s="23" t="str">
        <f>HYPERLINK("https://www.spark-marketing.ru/Card/Person/32883", "УМВД РОССИИ ПО ВОЛОГОДСКОЙ ОБЛАСТИ")</f>
        <v>УМВД РОССИИ ПО ВОЛОГОДСКОЙ ОБЛАСТИ</v>
      </c>
      <c r="B630" s="24" t="s">
        <v>1474</v>
      </c>
      <c r="C630" s="25">
        <v>920000</v>
      </c>
      <c r="D630" s="22" t="s">
        <v>1475</v>
      </c>
      <c r="E630" s="22" t="s">
        <v>48</v>
      </c>
      <c r="F630" s="23" t="str">
        <f>HYPERLINK("https://www.spark-marketing.ru/Card/Lot/74205235", "Оказание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УМВД России по Вологодской области осуществляющегося путем доставки готовой продук...")</f>
        <v>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УМВД России по Вологодской области осуществляющегося путем доставки готовой продук...</v>
      </c>
      <c r="G630" s="22" t="s">
        <v>503</v>
      </c>
      <c r="H630" s="22" t="s">
        <v>503</v>
      </c>
      <c r="I630" s="26">
        <v>43745.628842592603</v>
      </c>
      <c r="J630" s="28" t="s">
        <v>51</v>
      </c>
      <c r="K630" s="28" t="s">
        <v>51</v>
      </c>
      <c r="L630" s="28" t="s">
        <v>51</v>
      </c>
      <c r="M630" s="28" t="s">
        <v>51</v>
      </c>
      <c r="N630" s="28" t="s">
        <v>51</v>
      </c>
    </row>
    <row r="631" spans="1:14" x14ac:dyDescent="0.15">
      <c r="A631" s="23" t="str">
        <f>HYPERLINK("https://www.spark-marketing.ru/Card/Person/58881", "ФГБОУ ВО ""ТАМБОВСКИЙ ГОСУДАРСТВЕННЫЙ УНИВЕРСИТЕТ ИМЕНИ Г.Р. ДЕРЖАВИНА"", ТГУ ИМ. Г.Р. ДЕРЖАВИНА")</f>
        <v>ФГБОУ ВО "ТАМБОВСКИЙ ГОСУДАРСТВЕННЫЙ УНИВЕРСИТЕТ ИМЕНИ Г.Р. ДЕРЖАВИНА", ТГУ ИМ. Г.Р. ДЕРЖАВИНА</v>
      </c>
      <c r="B631" s="24" t="s">
        <v>1476</v>
      </c>
      <c r="C631" s="25">
        <v>494500</v>
      </c>
      <c r="D631" s="22" t="s">
        <v>1477</v>
      </c>
      <c r="E631" s="22" t="s">
        <v>580</v>
      </c>
      <c r="F631" s="23" t="str">
        <f>HYPERLINK("https://www.spark-marketing.ru/Card/Lot/74208803", "Услуги по организации питания участников тематических смен по дискретной математике, информатике и цифровым технологиям в рамках проекта «От школьного образования к цифровой экономике» федерального проекта «Кадры для цифровой экономики» национальной ...")</f>
        <v>Услуги по организации питания участников тематических смен по дискретной математике, информатике и цифровым технологиям в рамках проекта «От школьного образования к цифровой экономике» федерального проекта «Кадры для цифровой экономики» национальной ...</v>
      </c>
      <c r="G631" s="22" t="s">
        <v>1370</v>
      </c>
      <c r="H631" s="22" t="s">
        <v>1370</v>
      </c>
      <c r="I631" s="26">
        <v>43745.638275463003</v>
      </c>
      <c r="J631" s="28" t="s">
        <v>51</v>
      </c>
      <c r="K631" s="28" t="s">
        <v>51</v>
      </c>
      <c r="L631" s="28" t="s">
        <v>51</v>
      </c>
      <c r="M631" s="28" t="s">
        <v>51</v>
      </c>
      <c r="N631" s="28" t="s">
        <v>51</v>
      </c>
    </row>
    <row r="632" spans="1:14" x14ac:dyDescent="0.15">
      <c r="A632" s="23" t="str">
        <f>HYPERLINK("https://www.spark-marketing.ru/Card/Person/1762228", "МАДОУ ""ДЕТСКИЙ САД № 35""")</f>
        <v>МАДОУ "ДЕТСКИЙ САД № 35"</v>
      </c>
      <c r="B632" s="24" t="s">
        <v>1478</v>
      </c>
      <c r="C632" s="25">
        <v>18369100</v>
      </c>
      <c r="D632" s="22" t="s">
        <v>1479</v>
      </c>
      <c r="E632" s="22" t="s">
        <v>48</v>
      </c>
      <c r="F632" s="23" t="str">
        <f>HYPERLINK("https://www.spark-marketing.ru/Card/Lot/74196474",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632" s="22" t="s">
        <v>49</v>
      </c>
      <c r="H632" s="22" t="s">
        <v>301</v>
      </c>
      <c r="I632" s="26">
        <v>43745.6561111111</v>
      </c>
      <c r="J632" s="28" t="s">
        <v>51</v>
      </c>
      <c r="K632" s="28" t="s">
        <v>51</v>
      </c>
      <c r="L632" s="28" t="s">
        <v>51</v>
      </c>
      <c r="M632" s="28" t="s">
        <v>51</v>
      </c>
      <c r="N632" s="28" t="s">
        <v>51</v>
      </c>
    </row>
    <row r="633" spans="1:14" x14ac:dyDescent="0.15">
      <c r="A633" s="23" t="str">
        <f>HYPERLINK("https://www.spark-marketing.ru/Card/Person/85921", "МБОУ ЛИЦЕЙ № 8")</f>
        <v>МБОУ ЛИЦЕЙ № 8</v>
      </c>
      <c r="B633" s="24" t="s">
        <v>1480</v>
      </c>
      <c r="C633" s="25">
        <v>102000</v>
      </c>
      <c r="D633" s="22" t="s">
        <v>1481</v>
      </c>
      <c r="E633" s="22" t="s">
        <v>48</v>
      </c>
      <c r="F633" s="23" t="str">
        <f>HYPERLINK("https://www.spark-marketing.ru/Card/Lot/74191463", "питание в осеннем лагере")</f>
        <v>питание в осеннем лагере</v>
      </c>
      <c r="G633" s="22" t="s">
        <v>49</v>
      </c>
      <c r="H633" s="22" t="s">
        <v>204</v>
      </c>
      <c r="I633" s="26">
        <v>43745.638263888897</v>
      </c>
      <c r="J633" s="28" t="s">
        <v>51</v>
      </c>
      <c r="K633" s="28" t="s">
        <v>51</v>
      </c>
      <c r="L633" s="28" t="s">
        <v>51</v>
      </c>
      <c r="M633" s="28" t="s">
        <v>51</v>
      </c>
      <c r="N633" s="28" t="s">
        <v>51</v>
      </c>
    </row>
    <row r="634" spans="1:14" x14ac:dyDescent="0.15">
      <c r="A634" s="23" t="str">
        <f>HYPERLINK("https://www.spark-marketing.ru/Card/Person/37337", "ГБУЗ СО ""СГКБ №2 ИМЕНИ Н.А.СЕМАШКО""")</f>
        <v>ГБУЗ СО "СГКБ №2 ИМЕНИ Н.А.СЕМАШКО"</v>
      </c>
      <c r="B634" s="24" t="s">
        <v>1482</v>
      </c>
      <c r="C634" s="25">
        <v>48008860</v>
      </c>
      <c r="D634" s="22" t="s">
        <v>1483</v>
      </c>
      <c r="E634" s="22" t="s">
        <v>48</v>
      </c>
      <c r="F634" s="23" t="str">
        <f>HYPERLINK("https://www.spark-marketing.ru/Card/Lot/74204496", "Оказание услуг по приготовлению диетического лечебного питания для пациентов ГБУЗ СО ""СГКБ №2 имени Н.А.Семашко"" на 2019-2020 гг.")</f>
        <v>Оказание услуг по приготовлению диетического лечебного питания для пациентов ГБУЗ СО "СГКБ №2 имени Н.А.Семашко" на 2019-2020 гг.</v>
      </c>
      <c r="G634" s="22" t="s">
        <v>128</v>
      </c>
      <c r="H634" s="22" t="s">
        <v>129</v>
      </c>
      <c r="I634" s="26">
        <v>43745.6965740741</v>
      </c>
      <c r="J634" s="28" t="s">
        <v>51</v>
      </c>
      <c r="K634" s="28" t="s">
        <v>51</v>
      </c>
      <c r="L634" s="28" t="s">
        <v>51</v>
      </c>
      <c r="M634" s="28" t="s">
        <v>51</v>
      </c>
      <c r="N634" s="28" t="s">
        <v>51</v>
      </c>
    </row>
    <row r="635" spans="1:14" x14ac:dyDescent="0.15">
      <c r="A635" s="23" t="str">
        <f>HYPERLINK("https://www.spark-marketing.ru/Card/Person/737290", "ГКУ «ЦБЗ ПРИ МИНЗДРАВЕ КАРЕЛИИ»")</f>
        <v>ГКУ «ЦБЗ ПРИ МИНЗДРАВЕ КАРЕЛИИ»</v>
      </c>
      <c r="B635" s="24" t="s">
        <v>312</v>
      </c>
      <c r="C635" s="25">
        <v>96090</v>
      </c>
      <c r="D635" s="22" t="s">
        <v>1484</v>
      </c>
      <c r="E635" s="22" t="s">
        <v>52</v>
      </c>
      <c r="F635" s="23" t="str">
        <f>HYPERLINK("https://www.spark-marketing.ru/Card/Lot/74196547", "Поставка лекарственного препарата Дорзоламид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рецеп...")</f>
        <v>Поставка лекарственного препарата Дорзоламид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</v>
      </c>
      <c r="G635" s="22" t="s">
        <v>59</v>
      </c>
      <c r="H635" s="22" t="s">
        <v>314</v>
      </c>
      <c r="I635" s="26">
        <v>43745.604652777802</v>
      </c>
      <c r="J635" s="28" t="s">
        <v>51</v>
      </c>
      <c r="K635" s="28" t="s">
        <v>51</v>
      </c>
      <c r="L635" s="28" t="s">
        <v>51</v>
      </c>
      <c r="M635" s="28" t="s">
        <v>51</v>
      </c>
      <c r="N635" s="28" t="s">
        <v>51</v>
      </c>
    </row>
    <row r="636" spans="1:14" x14ac:dyDescent="0.15">
      <c r="A636" s="23" t="str">
        <f>HYPERLINK("https://www.spark-marketing.ru/Card/Person/1081271", "МБОУ""ЧАГОДСКАЯ СРЕДНЯЯ ОБЩЕОБРАЗОВАТЕЛЬНАЯ ШКОЛА""")</f>
        <v>МБОУ"ЧАГОДСКАЯ СРЕДНЯЯ ОБЩЕОБРАЗОВАТЕЛЬНАЯ ШКОЛА"</v>
      </c>
      <c r="B636" s="24" t="s">
        <v>1485</v>
      </c>
      <c r="C636" s="25">
        <v>684355</v>
      </c>
      <c r="D636" s="22" t="s">
        <v>1486</v>
      </c>
      <c r="E636" s="22" t="s">
        <v>48</v>
      </c>
      <c r="F636" s="23" t="str">
        <f>HYPERLINK("https://www.spark-marketing.ru/Card/Lot/74205225", "услуги по организации горячего питания обучающихся")</f>
        <v>услуги по организации горячего питания обучающихся</v>
      </c>
      <c r="G636" s="22" t="s">
        <v>503</v>
      </c>
      <c r="H636" s="22" t="s">
        <v>1487</v>
      </c>
      <c r="I636" s="26">
        <v>43745.619548611103</v>
      </c>
      <c r="J636" s="23" t="str">
        <f>HYPERLINK("https://www.spark-marketing.ru/Card/Person/21429", "Никифорова Анна Юрьевна")</f>
        <v>Никифорова Анна Юрьевна</v>
      </c>
      <c r="K636" s="24" t="s">
        <v>1488</v>
      </c>
      <c r="L636" s="22" t="s">
        <v>10</v>
      </c>
      <c r="M636" s="28" t="s">
        <v>51</v>
      </c>
      <c r="N636" s="28" t="s">
        <v>51</v>
      </c>
    </row>
    <row r="637" spans="1:14" x14ac:dyDescent="0.15">
      <c r="A637" s="23" t="str">
        <f>HYPERLINK("https://www.spark-marketing.ru/Card/Person/737290", "ГКУ «ЦБЗ ПРИ МИНЗДРАВЕ КАРЕЛИИ»")</f>
        <v>ГКУ «ЦБЗ ПРИ МИНЗДРАВЕ КАРЕЛИИ»</v>
      </c>
      <c r="B637" s="24" t="s">
        <v>312</v>
      </c>
      <c r="C637" s="25">
        <v>43596</v>
      </c>
      <c r="D637" s="22" t="s">
        <v>1489</v>
      </c>
      <c r="E637" s="22" t="s">
        <v>52</v>
      </c>
      <c r="F637" s="23" t="str">
        <f>HYPERLINK("https://www.spark-marketing.ru/Card/Lot/74196714", "Поставка лекарственного препарата Прамипексол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Прамипексол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637" s="22" t="s">
        <v>59</v>
      </c>
      <c r="H637" s="22" t="s">
        <v>314</v>
      </c>
      <c r="I637" s="26">
        <v>43745.617812500001</v>
      </c>
      <c r="J637" s="28" t="s">
        <v>51</v>
      </c>
      <c r="K637" s="28" t="s">
        <v>51</v>
      </c>
      <c r="L637" s="28" t="s">
        <v>51</v>
      </c>
      <c r="M637" s="28" t="s">
        <v>51</v>
      </c>
      <c r="N637" s="28" t="s">
        <v>51</v>
      </c>
    </row>
    <row r="638" spans="1:14" x14ac:dyDescent="0.15">
      <c r="A638" s="23" t="str">
        <f>HYPERLINK("https://www.spark-marketing.ru/Card/Person/1001599", "ГБУ ДО ТОЦЮТ")</f>
        <v>ГБУ ДО ТОЦЮТ</v>
      </c>
      <c r="B638" s="24" t="s">
        <v>1490</v>
      </c>
      <c r="C638" s="25">
        <v>7726400</v>
      </c>
      <c r="D638" s="22" t="s">
        <v>1491</v>
      </c>
      <c r="E638" s="22" t="s">
        <v>1492</v>
      </c>
      <c r="F638" s="23" t="str">
        <f>HYPERLINK("https://www.spark-marketing.ru/Card/Lot/74206532", "Оказание услуг по организации проживания и питания участников смены ""Академия невероятных механизмов"" в рамках федерального проекта ""Кадры для цифровой экономики""")</f>
        <v>Оказание услуг по организации проживания и питания участников смены "Академия невероятных механизмов" в рамках федерального проекта "Кадры для цифровой экономики"</v>
      </c>
      <c r="G638" s="22" t="s">
        <v>137</v>
      </c>
      <c r="H638" s="22" t="s">
        <v>138</v>
      </c>
      <c r="I638" s="26">
        <v>43745.598368055602</v>
      </c>
      <c r="J638" s="28" t="s">
        <v>51</v>
      </c>
      <c r="K638" s="28" t="s">
        <v>51</v>
      </c>
      <c r="L638" s="28" t="s">
        <v>51</v>
      </c>
      <c r="M638" s="28" t="s">
        <v>51</v>
      </c>
      <c r="N638" s="28" t="s">
        <v>51</v>
      </c>
    </row>
    <row r="639" spans="1:14" x14ac:dyDescent="0.15">
      <c r="A639" s="23" t="str">
        <f>HYPERLINK("https://www.spark-marketing.ru/Card/Person/19841", "АДМИНИСТРАЦИЯ ИРБИТСКОГО МО")</f>
        <v>АДМИНИСТРАЦИЯ ИРБИТСКОГО МО</v>
      </c>
      <c r="B639" s="24" t="s">
        <v>1493</v>
      </c>
      <c r="C639" s="25">
        <v>260000</v>
      </c>
      <c r="D639" s="22" t="s">
        <v>1494</v>
      </c>
      <c r="E639" s="22" t="s">
        <v>96</v>
      </c>
      <c r="F639" s="23" t="str">
        <f>HYPERLINK("https://www.spark-marketing.ru/Card/Lot/74206574", "Услуги питания")</f>
        <v>Услуги питания</v>
      </c>
      <c r="G639" s="22" t="s">
        <v>174</v>
      </c>
      <c r="H639" s="22" t="s">
        <v>1495</v>
      </c>
      <c r="I639" s="26">
        <v>43745.616608796299</v>
      </c>
      <c r="J639" s="23" t="str">
        <f>HYPERLINK("https://www.spark-marketing.ru/Card/Person/2307224", "ИРБИТСКОЕ РАЙПО")</f>
        <v>ИРБИТСКОЕ РАЙПО</v>
      </c>
      <c r="K639" s="24" t="s">
        <v>1496</v>
      </c>
      <c r="L639" s="22" t="s">
        <v>10</v>
      </c>
      <c r="M639" s="28" t="s">
        <v>51</v>
      </c>
      <c r="N639" s="28" t="s">
        <v>51</v>
      </c>
    </row>
    <row r="640" spans="1:14" x14ac:dyDescent="0.15">
      <c r="A640" s="23" t="str">
        <f>HYPERLINK("https://www.spark-marketing.ru/Card/Person/4377863", "МО МВД РОССИИ ""АСИНОВСКИЙ"" УМВД РОССИИ ПО ТОМСКОЙ ОБЛАСТИ")</f>
        <v>МО МВД РОССИИ "АСИНОВСКИЙ" УМВД РОССИИ ПО ТОМСКОЙ ОБЛАСТИ</v>
      </c>
      <c r="B640" s="24" t="s">
        <v>1497</v>
      </c>
      <c r="C640" s="25">
        <v>299820</v>
      </c>
      <c r="D640" s="22" t="s">
        <v>1498</v>
      </c>
      <c r="E640" s="22" t="s">
        <v>96</v>
      </c>
      <c r="F640" s="23" t="str">
        <f>HYPERLINK("https://www.spark-marketing.ru/Card/Lot/74206276", "питание спецконтингента")</f>
        <v>питание спецконтингента</v>
      </c>
      <c r="G640" s="22" t="s">
        <v>149</v>
      </c>
      <c r="H640" s="22" t="s">
        <v>1499</v>
      </c>
      <c r="I640" s="26">
        <v>43745.612500000003</v>
      </c>
      <c r="J640" s="23" t="str">
        <f>HYPERLINK("https://www.spark-marketing.ru/Card/Person/563394", "ООО ""РЕГИОН-СЕРВИС""")</f>
        <v>ООО "РЕГИОН-СЕРВИС"</v>
      </c>
      <c r="K640" s="24" t="s">
        <v>1500</v>
      </c>
      <c r="L640" s="22" t="s">
        <v>10</v>
      </c>
      <c r="M640" s="28" t="s">
        <v>51</v>
      </c>
      <c r="N640" s="28" t="s">
        <v>51</v>
      </c>
    </row>
    <row r="641" spans="1:14" x14ac:dyDescent="0.15">
      <c r="A641" s="23" t="str">
        <f>HYPERLINK("https://www.spark-marketing.ru/Card/Person/1062754", "МУ ""КОМПЛЕКСНЫЙ ЦЕНТР""")</f>
        <v>МУ "КОМПЛЕКСНЫЙ ЦЕНТР"</v>
      </c>
      <c r="B641" s="24" t="s">
        <v>1501</v>
      </c>
      <c r="C641" s="25">
        <v>57593.56</v>
      </c>
      <c r="D641" s="22" t="s">
        <v>1502</v>
      </c>
      <c r="E641" s="22" t="s">
        <v>48</v>
      </c>
      <c r="F641" s="23" t="str">
        <f>HYPERLINK("https://www.spark-marketing.ru/Card/Lot/74196059", "Услуги по организации двухразового горячего питания для отделения дневного пребывания")</f>
        <v>Услуги по организации двухразового горячего питания для отделения дневного пребывания</v>
      </c>
      <c r="G641" s="22" t="s">
        <v>469</v>
      </c>
      <c r="H641" s="22" t="s">
        <v>1503</v>
      </c>
      <c r="I641" s="26">
        <v>43745.553275462997</v>
      </c>
      <c r="J641" s="23" t="str">
        <f>HYPERLINK("https://www.spark-marketing.ru/Card/Person/897145", "ООО ""МЕРКУРИЙ 13""")</f>
        <v>ООО "МЕРКУРИЙ 13"</v>
      </c>
      <c r="K641" s="24" t="s">
        <v>1504</v>
      </c>
      <c r="L641" s="22" t="s">
        <v>10</v>
      </c>
      <c r="M641" s="28" t="s">
        <v>51</v>
      </c>
      <c r="N641" s="28" t="s">
        <v>51</v>
      </c>
    </row>
    <row r="642" spans="1:14" x14ac:dyDescent="0.15">
      <c r="A642" s="23" t="str">
        <f>HYPERLINK("https://www.spark-marketing.ru/Card/Person/51116", "МБОУ ""СШ №34""")</f>
        <v>МБОУ "СШ №34"</v>
      </c>
      <c r="B642" s="24" t="s">
        <v>1505</v>
      </c>
      <c r="C642" s="25">
        <v>255456.25</v>
      </c>
      <c r="D642" s="22" t="s">
        <v>1506</v>
      </c>
      <c r="E642" s="22" t="s">
        <v>48</v>
      </c>
      <c r="F642" s="23" t="str">
        <f>HYPERLINK("https://www.spark-marketing.ru/Card/Lot/74198203", "Оказание в осенний период  2019 года услуг по организации питания детей в лагере дневного пребывания")</f>
        <v>Оказание в осенний период  2019 года услуг по организации питания детей в лагере дневного пребывания</v>
      </c>
      <c r="G642" s="22" t="s">
        <v>97</v>
      </c>
      <c r="H642" s="22" t="s">
        <v>366</v>
      </c>
      <c r="I642" s="26">
        <v>43745.660335648201</v>
      </c>
      <c r="J642" s="28" t="s">
        <v>51</v>
      </c>
      <c r="K642" s="28" t="s">
        <v>51</v>
      </c>
      <c r="L642" s="28" t="s">
        <v>51</v>
      </c>
      <c r="M642" s="28" t="s">
        <v>51</v>
      </c>
      <c r="N642" s="28" t="s">
        <v>51</v>
      </c>
    </row>
    <row r="643" spans="1:14" ht="12.75" hidden="1" outlineLevel="1" x14ac:dyDescent="0.2">
      <c r="A643" s="23" t="str">
        <f>HYPERLINK("https://www.spark-marketing.ru/Card/Person/51116", "МБОУ ""СШ №34""")</f>
        <v>МБОУ "СШ №34"</v>
      </c>
      <c r="B643" s="24" t="s">
        <v>1505</v>
      </c>
      <c r="C643" s="25">
        <v>255456.25</v>
      </c>
      <c r="D643" s="22" t="s">
        <v>1506</v>
      </c>
      <c r="E643" s="22" t="s">
        <v>48</v>
      </c>
      <c r="F643" s="23" t="str">
        <f>HYPERLINK("https://www.spark-marketing.ru/Card/Lot/74198203", "Оказание в осенний период  2019 года услуг по организации питания детей в лагере дневного пребывания")</f>
        <v>Оказание в осенний период  2019 года услуг по организации питания детей в лагере дневного пребывания</v>
      </c>
      <c r="G643" s="22" t="s">
        <v>97</v>
      </c>
      <c r="H643" s="22" t="s">
        <v>366</v>
      </c>
      <c r="I643" s="26">
        <v>43745.660335648201</v>
      </c>
      <c r="J643" s="23" t="str">
        <f>HYPERLINK("https://www.spark-marketing.ru/Card/Person/5846583", "ООО ""АБВГД""")</f>
        <v>ООО "АБВГД"</v>
      </c>
      <c r="K643" s="24" t="s">
        <v>1467</v>
      </c>
      <c r="L643" s="22" t="s">
        <v>10</v>
      </c>
      <c r="M643" s="25">
        <v>255456</v>
      </c>
      <c r="N643" s="27">
        <v>9.786411567538473E-7</v>
      </c>
    </row>
    <row r="644" spans="1:14" hidden="1" outlineLevel="1" x14ac:dyDescent="0.2">
      <c r="A644" s="23" t="str">
        <f>HYPERLINK("https://www.spark-marketing.ru/Card/Person/51116", "МБОУ ""СШ №34""")</f>
        <v>МБОУ "СШ №34"</v>
      </c>
      <c r="B644" s="24" t="s">
        <v>1505</v>
      </c>
      <c r="C644" s="25">
        <v>255456.25</v>
      </c>
      <c r="D644" s="22" t="s">
        <v>1506</v>
      </c>
      <c r="E644" s="22" t="s">
        <v>48</v>
      </c>
      <c r="F644" s="23" t="str">
        <f>HYPERLINK("https://www.spark-marketing.ru/Card/Lot/74198203", "Оказание в осенний период  2019 года услуг по организации питания детей в лагере дневного пребывания")</f>
        <v>Оказание в осенний период  2019 года услуг по организации питания детей в лагере дневного пребывания</v>
      </c>
      <c r="G644" s="22" t="s">
        <v>97</v>
      </c>
      <c r="H644" s="22" t="s">
        <v>366</v>
      </c>
      <c r="I644" s="26">
        <v>43745.660335648201</v>
      </c>
      <c r="J644" s="23" t="str">
        <f>HYPERLINK("https://www.spark-marketing.ru/Card/Person/4865441", "ООО ""КШП-2""")</f>
        <v>ООО "КШП-2"</v>
      </c>
      <c r="K644" s="24" t="s">
        <v>1468</v>
      </c>
      <c r="L644" s="28" t="s">
        <v>51</v>
      </c>
      <c r="M644" s="25">
        <v>255456.25</v>
      </c>
      <c r="N644" s="27">
        <v>0</v>
      </c>
    </row>
    <row r="645" spans="1:14" x14ac:dyDescent="0.15">
      <c r="A645" s="23" t="str">
        <f>HYPERLINK("https://www.spark-marketing.ru/Card/Person/6508338", "О МВД РОССИИ ПО ОЗИНСКОМУ РАЙОНУ САРАТОВСКОЙ ОБЛАСТИ")</f>
        <v>О МВД РОССИИ ПО ОЗИНСКОМУ РАЙОНУ САРАТОВСКОЙ ОБЛАСТИ</v>
      </c>
      <c r="B645" s="24" t="s">
        <v>1507</v>
      </c>
      <c r="C645" s="25">
        <v>210</v>
      </c>
      <c r="D645" s="22" t="s">
        <v>1508</v>
      </c>
      <c r="E645" s="22" t="s">
        <v>48</v>
      </c>
      <c r="F645" s="23" t="str">
        <f>HYPERLINK("https://www.spark-marketing.ru/Card/Lot/74188807",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45" s="22" t="s">
        <v>351</v>
      </c>
      <c r="H645" s="22" t="s">
        <v>351</v>
      </c>
      <c r="I645" s="26">
        <v>43745.542835648099</v>
      </c>
      <c r="J645" s="28" t="s">
        <v>51</v>
      </c>
      <c r="K645" s="28" t="s">
        <v>51</v>
      </c>
      <c r="L645" s="28" t="s">
        <v>51</v>
      </c>
      <c r="M645" s="28" t="s">
        <v>51</v>
      </c>
      <c r="N645" s="28" t="s">
        <v>51</v>
      </c>
    </row>
    <row r="646" spans="1:14" x14ac:dyDescent="0.15">
      <c r="A646" s="23" t="str">
        <f>HYPERLINK("https://www.spark-marketing.ru/Card/Person/64935", "УМВД РОССИИ ПО Г. КУРСКУ")</f>
        <v>УМВД РОССИИ ПО Г. КУРСКУ</v>
      </c>
      <c r="B646" s="24" t="s">
        <v>1109</v>
      </c>
      <c r="C646" s="25">
        <v>1072720</v>
      </c>
      <c r="D646" s="22" t="s">
        <v>1509</v>
      </c>
      <c r="E646" s="22" t="s">
        <v>96</v>
      </c>
      <c r="F646" s="23" t="str">
        <f>HYPERLINK("https://www.spark-marketing.ru/Card/Lot/74195863", "Оказание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Курску")</f>
        <v>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</v>
      </c>
      <c r="G646" s="22" t="s">
        <v>1111</v>
      </c>
      <c r="H646" s="22" t="s">
        <v>1112</v>
      </c>
      <c r="I646" s="26">
        <v>43745.520289351902</v>
      </c>
      <c r="J646" s="28" t="s">
        <v>51</v>
      </c>
      <c r="K646" s="28" t="s">
        <v>51</v>
      </c>
      <c r="L646" s="28" t="s">
        <v>51</v>
      </c>
      <c r="M646" s="28" t="s">
        <v>51</v>
      </c>
      <c r="N646" s="28" t="s">
        <v>51</v>
      </c>
    </row>
    <row r="647" spans="1:14" x14ac:dyDescent="0.2">
      <c r="A647" s="23" t="str">
        <f>HYPERLINK("https://www.spark-marketing.ru/Card/Person/4349000", "ФГБОУ ВО ""КГТУ""")</f>
        <v>ФГБОУ ВО "КГТУ"</v>
      </c>
      <c r="B647" s="24" t="s">
        <v>1457</v>
      </c>
      <c r="C647" s="25">
        <v>700650</v>
      </c>
      <c r="D647" s="22" t="s">
        <v>1510</v>
      </c>
      <c r="E647" s="22" t="s">
        <v>769</v>
      </c>
      <c r="F647" s="23" t="str">
        <f>HYPERLINK("https://www.spark-marketing.ru/Card/Lot/74199651", "Оказание услуг по организации проживания и питания участников, волонтеров и организаторов проекта «Фестиваль студенческих отрядов Северо-Западного федерального округа»")</f>
        <v>Оказание услуг по организации проживания и питания участников, волонтеров и организаторов проекта «Фестиваль студенческих отрядов Северо-Западного федерального округа»</v>
      </c>
      <c r="G647" s="22" t="s">
        <v>400</v>
      </c>
      <c r="H647" s="22" t="s">
        <v>400</v>
      </c>
      <c r="I647" s="26">
        <v>43745.529965277798</v>
      </c>
      <c r="J647" s="28" t="s">
        <v>51</v>
      </c>
      <c r="K647" s="28" t="s">
        <v>51</v>
      </c>
      <c r="L647" s="28" t="s">
        <v>51</v>
      </c>
      <c r="M647" s="25">
        <v>700650</v>
      </c>
      <c r="N647" s="27">
        <v>0</v>
      </c>
    </row>
    <row r="648" spans="1:14" x14ac:dyDescent="0.2">
      <c r="A648" s="23" t="str">
        <f>HYPERLINK("https://www.spark-marketing.ru/Card/Person/4349000", "ФГБОУ ВО ""КГТУ""")</f>
        <v>ФГБОУ ВО "КГТУ"</v>
      </c>
      <c r="B648" s="24" t="s">
        <v>1457</v>
      </c>
      <c r="C648" s="25">
        <v>672100</v>
      </c>
      <c r="D648" s="22" t="s">
        <v>1511</v>
      </c>
      <c r="E648" s="22" t="s">
        <v>769</v>
      </c>
      <c r="F648" s="23" t="str">
        <f>HYPERLINK("https://www.spark-marketing.ru/Card/Lot/74199517", "Оказание услуг по организации проживания и питания участников, волонтеров и организаторов проекта «Фестиваль студенческих отрядов Северо-Западного федерального округа»")</f>
        <v>Оказание услуг по организации проживания и питания участников, волонтеров и организаторов проекта «Фестиваль студенческих отрядов Северо-Западного федерального округа»</v>
      </c>
      <c r="G648" s="22" t="s">
        <v>400</v>
      </c>
      <c r="H648" s="22" t="s">
        <v>400</v>
      </c>
      <c r="I648" s="26">
        <v>43745.513217592597</v>
      </c>
      <c r="J648" s="28" t="s">
        <v>51</v>
      </c>
      <c r="K648" s="28" t="s">
        <v>51</v>
      </c>
      <c r="L648" s="28" t="s">
        <v>51</v>
      </c>
      <c r="M648" s="25">
        <v>672100</v>
      </c>
      <c r="N648" s="27">
        <v>0</v>
      </c>
    </row>
    <row r="649" spans="1:14" x14ac:dyDescent="0.15">
      <c r="A649" s="23" t="str">
        <f>HYPERLINK("https://www.spark-marketing.ru/Card/Person/6508338", "О МВД РОССИИ ПО ОЗИНСКОМУ РАЙОНУ САРАТОВСКОЙ ОБЛАСТИ")</f>
        <v>О МВД РОССИИ ПО ОЗИНСКОМУ РАЙОНУ САРАТОВСКОЙ ОБЛАСТИ</v>
      </c>
      <c r="B649" s="24" t="s">
        <v>1507</v>
      </c>
      <c r="C649" s="25">
        <v>200</v>
      </c>
      <c r="D649" s="22" t="s">
        <v>1512</v>
      </c>
      <c r="E649" s="22" t="s">
        <v>48</v>
      </c>
      <c r="F649" s="23" t="str">
        <f>HYPERLINK("https://www.spark-marketing.ru/Card/Lot/74188658",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49" s="22" t="s">
        <v>351</v>
      </c>
      <c r="H649" s="22" t="s">
        <v>351</v>
      </c>
      <c r="I649" s="26">
        <v>43745.539884259299</v>
      </c>
      <c r="J649" s="28" t="s">
        <v>51</v>
      </c>
      <c r="K649" s="28" t="s">
        <v>51</v>
      </c>
      <c r="L649" s="28" t="s">
        <v>51</v>
      </c>
      <c r="M649" s="28" t="s">
        <v>51</v>
      </c>
      <c r="N649" s="28" t="s">
        <v>51</v>
      </c>
    </row>
    <row r="650" spans="1:14" x14ac:dyDescent="0.2">
      <c r="A650" s="23" t="str">
        <f>HYPERLINK("https://www.spark-marketing.ru/Card/Person/4377532", "МБДОУ ДЕТСКИЙ САД № 17")</f>
        <v>МБДОУ ДЕТСКИЙ САД № 17</v>
      </c>
      <c r="B650" s="24" t="s">
        <v>1513</v>
      </c>
      <c r="C650" s="25">
        <v>17688349.199999999</v>
      </c>
      <c r="D650" s="22" t="s">
        <v>1514</v>
      </c>
      <c r="E650" s="22" t="s">
        <v>48</v>
      </c>
      <c r="F650" s="23" t="str">
        <f>HYPERLINK("https://www.spark-marketing.ru/Card/Lot/73066826", "Оказание услуг по организации питания детей в МБДОУ детский сад №17 в 2019-2020 годах")</f>
        <v>Оказание услуг по организации питания детей в МБДОУ детский сад №17 в 2019-2020 годах</v>
      </c>
      <c r="G650" s="22" t="s">
        <v>174</v>
      </c>
      <c r="H650" s="22" t="s">
        <v>1515</v>
      </c>
      <c r="I650" s="26">
        <v>43704.633148148103</v>
      </c>
      <c r="J650" s="23" t="str">
        <f>HYPERLINK("https://www.spark-marketing.ru/Card/Person/55369", "ООО ""КОМБИНАТ ОБЩЕСТВЕННОГО ПИТАНИЯ""")</f>
        <v>ООО "КОМБИНАТ ОБЩЕСТВЕННОГО ПИТАНИЯ"</v>
      </c>
      <c r="K650" s="24" t="s">
        <v>1516</v>
      </c>
      <c r="L650" s="28" t="s">
        <v>51</v>
      </c>
      <c r="M650" s="25">
        <v>17688349.199999999</v>
      </c>
      <c r="N650" s="27">
        <v>0</v>
      </c>
    </row>
    <row r="651" spans="1:14" x14ac:dyDescent="0.15">
      <c r="A651" s="23" t="str">
        <f>HYPERLINK("https://www.spark-marketing.ru/Card/Person/123354", "МБОУ ""ПЕТРОВСКАЯ ООШ""")</f>
        <v>МБОУ "ПЕТРОВСКАЯ ООШ"</v>
      </c>
      <c r="B651" s="24" t="s">
        <v>1517</v>
      </c>
      <c r="C651" s="25">
        <v>480837</v>
      </c>
      <c r="D651" s="22" t="s">
        <v>1518</v>
      </c>
      <c r="E651" s="22" t="s">
        <v>48</v>
      </c>
      <c r="F651" s="23" t="str">
        <f>HYPERLINK("https://www.spark-marketing.ru/Card/Lot/74188310", "Оказание услуг питания")</f>
        <v>Оказание услуг питания</v>
      </c>
      <c r="G651" s="22" t="s">
        <v>49</v>
      </c>
      <c r="H651" s="22" t="s">
        <v>1519</v>
      </c>
      <c r="I651" s="26">
        <v>43745.4832523148</v>
      </c>
      <c r="J651" s="28" t="s">
        <v>51</v>
      </c>
      <c r="K651" s="28" t="s">
        <v>51</v>
      </c>
      <c r="L651" s="28" t="s">
        <v>51</v>
      </c>
      <c r="M651" s="28" t="s">
        <v>51</v>
      </c>
      <c r="N651" s="28" t="s">
        <v>51</v>
      </c>
    </row>
    <row r="652" spans="1:14" x14ac:dyDescent="0.15">
      <c r="A652" s="23" t="str">
        <f>HYPERLINK("https://www.spark-marketing.ru/Card/Person/32883", "УМВД РОССИИ ПО ВОЛОГОДСКОЙ ОБЛАСТИ")</f>
        <v>УМВД РОССИИ ПО ВОЛОГОДСКОЙ ОБЛАСТИ</v>
      </c>
      <c r="B652" s="24" t="s">
        <v>1474</v>
      </c>
      <c r="C652" s="25">
        <v>920000</v>
      </c>
      <c r="D652" s="22" t="s">
        <v>1520</v>
      </c>
      <c r="E652" s="22" t="s">
        <v>48</v>
      </c>
      <c r="F652" s="23" t="str">
        <f>HYPERLINK("https://www.spark-marketing.ru/Card/Lot/74205208", "Оказание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УМВД России по Вологодской области осуществляющегося путем доставки готовой продук...")</f>
        <v>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УМВД России по Вологодской области осуществляющегося путем доставки готовой продук...</v>
      </c>
      <c r="G652" s="22" t="s">
        <v>503</v>
      </c>
      <c r="H652" s="22" t="s">
        <v>503</v>
      </c>
      <c r="I652" s="26">
        <v>43745.472187500003</v>
      </c>
      <c r="J652" s="28" t="s">
        <v>51</v>
      </c>
      <c r="K652" s="28" t="s">
        <v>51</v>
      </c>
      <c r="L652" s="28" t="s">
        <v>51</v>
      </c>
      <c r="M652" s="28" t="s">
        <v>51</v>
      </c>
      <c r="N652" s="28" t="s">
        <v>51</v>
      </c>
    </row>
    <row r="653" spans="1:14" x14ac:dyDescent="0.15">
      <c r="A653" s="23" t="str">
        <f>HYPERLINK("https://www.spark-marketing.ru/Card/Person/5862006", "ЗАО ГАЗПРОМНЕФТЬ АЭРО")</f>
        <v>ЗАО ГАЗПРОМНЕФТЬ АЭРО</v>
      </c>
      <c r="B653" s="28" t="s">
        <v>51</v>
      </c>
      <c r="C653" s="28" t="s">
        <v>51</v>
      </c>
      <c r="D653" s="22" t="s">
        <v>1521</v>
      </c>
      <c r="E653" s="22" t="s">
        <v>52</v>
      </c>
      <c r="F653" s="23" t="str">
        <f>HYPERLINK("https://www.spark-marketing.ru/Card/Lot/74189115", "Отбор организации, способной оказывать услуги по обеспечению питанием работников филиала ""Дягилево""")</f>
        <v>Отбор организации, способной оказывать услуги по обеспечению питанием работников филиала "Дягилево"</v>
      </c>
      <c r="G653" s="22" t="s">
        <v>1522</v>
      </c>
      <c r="H653" s="22" t="s">
        <v>1523</v>
      </c>
      <c r="I653" s="26">
        <v>43745.416666666701</v>
      </c>
      <c r="J653" s="28" t="s">
        <v>51</v>
      </c>
      <c r="K653" s="28" t="s">
        <v>51</v>
      </c>
      <c r="L653" s="28" t="s">
        <v>51</v>
      </c>
      <c r="M653" s="28" t="s">
        <v>51</v>
      </c>
      <c r="N653" s="28" t="s">
        <v>51</v>
      </c>
    </row>
    <row r="654" spans="1:14" x14ac:dyDescent="0.15">
      <c r="A654" s="23" t="str">
        <f>HYPERLINK("https://www.spark-marketing.ru/Card/Person/21947", "ГБУЗ СО ""КРАСНОУРАЛЬСКАЯ ГБ""")</f>
        <v>ГБУЗ СО "КРАСНОУРАЛЬСКАЯ ГБ"</v>
      </c>
      <c r="B654" s="24" t="s">
        <v>1524</v>
      </c>
      <c r="C654" s="25">
        <v>999500</v>
      </c>
      <c r="D654" s="22" t="s">
        <v>1525</v>
      </c>
      <c r="E654" s="22" t="s">
        <v>48</v>
      </c>
      <c r="F654" s="23" t="str">
        <f>HYPERLINK("https://www.spark-marketing.ru/Card/Lot/74206246", "Услуги по организации питания")</f>
        <v>Услуги по организации питания</v>
      </c>
      <c r="G654" s="22" t="s">
        <v>174</v>
      </c>
      <c r="H654" s="22" t="s">
        <v>1526</v>
      </c>
      <c r="I654" s="26">
        <v>43745.452777777798</v>
      </c>
      <c r="J654" s="23" t="str">
        <f>HYPERLINK("https://www.spark-marketing.ru/Card/Person/806698", "Леонов Виктор Владимирович")</f>
        <v>Леонов Виктор Владимирович</v>
      </c>
      <c r="K654" s="24" t="s">
        <v>1527</v>
      </c>
      <c r="L654" s="22" t="s">
        <v>10</v>
      </c>
      <c r="M654" s="28" t="s">
        <v>51</v>
      </c>
      <c r="N654" s="28" t="s">
        <v>51</v>
      </c>
    </row>
    <row r="655" spans="1:14" x14ac:dyDescent="0.15">
      <c r="A655" s="23" t="str">
        <f>HYPERLINK("https://www.spark-marketing.ru/Card/Person/12179", "КОГБУЗ ""АФАНАСЬЕВСКАЯ ЦРБ""")</f>
        <v>КОГБУЗ "АФАНАСЬЕВСКАЯ ЦРБ"</v>
      </c>
      <c r="B655" s="24" t="s">
        <v>1528</v>
      </c>
      <c r="C655" s="25">
        <v>10503770</v>
      </c>
      <c r="D655" s="22" t="s">
        <v>1529</v>
      </c>
      <c r="E655" s="22" t="s">
        <v>48</v>
      </c>
      <c r="F655" s="23" t="str">
        <f>HYPERLINK("https://www.spark-marketing.ru/Card/Lot/74197649", "Оказание услуг по приготовлению и передаче ежедневного лечебного питания пациентам стационара Кировского областного государственного бюджетного учреждения здравоохранения ""Афанасьевская центральная районная больница""")</f>
        <v>Оказание услуг по приготовлению и передаче ежедневного лечебного питания пациентам стационара Кировского областного государственного бюджетного учреждения здравоохранения "Афанасьевская центральная районная больница"</v>
      </c>
      <c r="G655" s="22" t="s">
        <v>224</v>
      </c>
      <c r="H655" s="22" t="s">
        <v>1530</v>
      </c>
      <c r="I655" s="26">
        <v>43745.436909722201</v>
      </c>
      <c r="J655" s="28" t="s">
        <v>51</v>
      </c>
      <c r="K655" s="28" t="s">
        <v>51</v>
      </c>
      <c r="L655" s="28" t="s">
        <v>51</v>
      </c>
      <c r="M655" s="28" t="s">
        <v>51</v>
      </c>
      <c r="N655" s="28" t="s">
        <v>51</v>
      </c>
    </row>
    <row r="656" spans="1:14" x14ac:dyDescent="0.15">
      <c r="A656" s="23" t="str">
        <f>HYPERLINK("https://www.spark-marketing.ru/Card/Person/21947", "ГБУЗ СО ""КРАСНОУРАЛЬСКАЯ ГБ""")</f>
        <v>ГБУЗ СО "КРАСНОУРАЛЬСКАЯ ГБ"</v>
      </c>
      <c r="B656" s="24" t="s">
        <v>1524</v>
      </c>
      <c r="C656" s="25">
        <v>999500</v>
      </c>
      <c r="D656" s="22" t="s">
        <v>1531</v>
      </c>
      <c r="E656" s="22" t="s">
        <v>48</v>
      </c>
      <c r="F656" s="23" t="str">
        <f>HYPERLINK("https://www.spark-marketing.ru/Card/Lot/74206245", "Услуги по организации питания пациентов в 2020 году")</f>
        <v>Услуги по организации питания пациентов в 2020 году</v>
      </c>
      <c r="G656" s="22" t="s">
        <v>174</v>
      </c>
      <c r="H656" s="22" t="s">
        <v>1526</v>
      </c>
      <c r="I656" s="26">
        <v>43745.4527199074</v>
      </c>
      <c r="J656" s="23" t="str">
        <f>HYPERLINK("https://www.spark-marketing.ru/Card/Person/806698", "Леонов Виктор Владимирович")</f>
        <v>Леонов Виктор Владимирович</v>
      </c>
      <c r="K656" s="24" t="s">
        <v>1527</v>
      </c>
      <c r="L656" s="22" t="s">
        <v>10</v>
      </c>
      <c r="M656" s="28" t="s">
        <v>51</v>
      </c>
      <c r="N656" s="28" t="s">
        <v>51</v>
      </c>
    </row>
    <row r="657" spans="1:14" x14ac:dyDescent="0.15">
      <c r="A657" s="23" t="str">
        <f>HYPERLINK("https://www.spark-marketing.ru/Card/Person/9849", "ГБУ ""ХОЗУ""")</f>
        <v>ГБУ "ХОЗУ"</v>
      </c>
      <c r="B657" s="24" t="s">
        <v>1532</v>
      </c>
      <c r="C657" s="25">
        <v>2204120</v>
      </c>
      <c r="D657" s="22" t="s">
        <v>1533</v>
      </c>
      <c r="E657" s="22" t="s">
        <v>51</v>
      </c>
      <c r="F657" s="23" t="str">
        <f>HYPERLINK("https://www.spark-marketing.ru/Card/Lot/74204631", "Оказание услуг по организации питания и обслуживанию мероприятий")</f>
        <v>Оказание услуг по организации питания и обслуживанию мероприятий</v>
      </c>
      <c r="G657" s="22" t="s">
        <v>543</v>
      </c>
      <c r="H657" s="22" t="s">
        <v>543</v>
      </c>
      <c r="I657" s="26">
        <v>43745.436111111099</v>
      </c>
      <c r="J657" s="28" t="s">
        <v>51</v>
      </c>
      <c r="K657" s="28" t="s">
        <v>51</v>
      </c>
      <c r="L657" s="28" t="s">
        <v>51</v>
      </c>
      <c r="M657" s="28" t="s">
        <v>51</v>
      </c>
      <c r="N657" s="28" t="s">
        <v>51</v>
      </c>
    </row>
    <row r="658" spans="1:14" x14ac:dyDescent="0.15">
      <c r="A658" s="23" t="str">
        <f>HYPERLINK("https://www.spark-marketing.ru/Card/Person/8383", "ГБУЗ ""КДКБ № 1""")</f>
        <v>ГБУЗ "КДКБ № 1"</v>
      </c>
      <c r="B658" s="24" t="s">
        <v>1534</v>
      </c>
      <c r="C658" s="25">
        <v>337223.67</v>
      </c>
      <c r="D658" s="22" t="s">
        <v>1535</v>
      </c>
      <c r="E658" s="22" t="s">
        <v>603</v>
      </c>
      <c r="F658" s="23" t="str">
        <f>HYPERLINK("https://www.spark-marketing.ru/Card/Lot/74204538", "Оказание услуг по  метрологической поверке и метрологического контроля состояния  средств измерений медицинского назначения для нужд ГБУЗ ""КДКБ №1""")</f>
        <v>Оказание услуг по  метрологической поверке и метрологического контроля состояния  средств измерений медицинского назначения для нужд ГБУЗ "КДКБ №1"</v>
      </c>
      <c r="G658" s="22" t="s">
        <v>543</v>
      </c>
      <c r="H658" s="22" t="s">
        <v>1440</v>
      </c>
      <c r="I658" s="26">
        <v>43745.407754629603</v>
      </c>
      <c r="J658" s="23" t="str">
        <f>HYPERLINK("https://www.spark-marketing.ru/Card/Person/170736", "ФБУ ""ПРИМОРСКИЙ ЦСМ""")</f>
        <v>ФБУ "ПРИМОРСКИЙ ЦСМ"</v>
      </c>
      <c r="K658" s="24" t="s">
        <v>1536</v>
      </c>
      <c r="L658" s="22" t="s">
        <v>10</v>
      </c>
      <c r="M658" s="28" t="s">
        <v>51</v>
      </c>
      <c r="N658" s="28" t="s">
        <v>51</v>
      </c>
    </row>
    <row r="659" spans="1:14" x14ac:dyDescent="0.15">
      <c r="A659" s="23" t="str">
        <f>HYPERLINK("https://www.spark-marketing.ru/Card/Person/123357", "МДОУ ДСКВ № 17 ""ОГОНЁК""")</f>
        <v>МДОУ ДСКВ № 17 "ОГОНЁК"</v>
      </c>
      <c r="B659" s="24" t="s">
        <v>1537</v>
      </c>
      <c r="C659" s="25">
        <v>1962210</v>
      </c>
      <c r="D659" s="22" t="s">
        <v>1538</v>
      </c>
      <c r="E659" s="22" t="s">
        <v>48</v>
      </c>
      <c r="F659" s="23" t="str">
        <f>HYPERLINK("https://www.spark-marketing.ru/Card/Lot/74197680", "Оказание услуг по приготовлению и организации рационального горячего питания воспитанников МДОУ ДСКВ №17 «Огонек» в 2020-2021 годах")</f>
        <v>Оказание услуг по приготовлению и организации рационального горячего питания воспитанников МДОУ ДСКВ №17 «Огонек» в 2020-2021 годах</v>
      </c>
      <c r="G659" s="22" t="s">
        <v>49</v>
      </c>
      <c r="H659" s="22" t="s">
        <v>49</v>
      </c>
      <c r="I659" s="26">
        <v>43745.379143518498</v>
      </c>
      <c r="J659" s="28" t="s">
        <v>51</v>
      </c>
      <c r="K659" s="28" t="s">
        <v>51</v>
      </c>
      <c r="L659" s="28" t="s">
        <v>51</v>
      </c>
      <c r="M659" s="28" t="s">
        <v>51</v>
      </c>
      <c r="N659" s="28" t="s">
        <v>51</v>
      </c>
    </row>
    <row r="660" spans="1:14" x14ac:dyDescent="0.15">
      <c r="A660" s="23" t="str">
        <f>HYPERLINK("https://www.spark-marketing.ru/Card/Person/123687", "МДОУ ДЕТСКИЙ САД №9 ""ВАСИЛЕК""")</f>
        <v>МДОУ ДЕТСКИЙ САД №9 "ВАСИЛЕК"</v>
      </c>
      <c r="B660" s="24" t="s">
        <v>1539</v>
      </c>
      <c r="C660" s="25">
        <v>1905032</v>
      </c>
      <c r="D660" s="22" t="s">
        <v>1540</v>
      </c>
      <c r="E660" s="22" t="s">
        <v>48</v>
      </c>
      <c r="F660" s="23" t="str">
        <f>HYPERLINK("https://www.spark-marketing.ru/Card/Lot/74197681", "Оказание услуги по приготовлению и организации рационального горячего питания воспитанников МДОУ детский сад № 9 ""Василек""в 2020-2021 годах")</f>
        <v>Оказание услуги по приготовлению и организации рационального горячего питания воспитанников МДОУ детский сад № 9 "Василек"в 2020-2021 годах</v>
      </c>
      <c r="G660" s="22" t="s">
        <v>49</v>
      </c>
      <c r="H660" s="22" t="s">
        <v>49</v>
      </c>
      <c r="I660" s="26">
        <v>43745.380011574103</v>
      </c>
      <c r="J660" s="28" t="s">
        <v>51</v>
      </c>
      <c r="K660" s="28" t="s">
        <v>51</v>
      </c>
      <c r="L660" s="28" t="s">
        <v>51</v>
      </c>
      <c r="M660" s="28" t="s">
        <v>51</v>
      </c>
      <c r="N660" s="28" t="s">
        <v>51</v>
      </c>
    </row>
    <row r="661" spans="1:14" x14ac:dyDescent="0.15">
      <c r="A661" s="23" t="str">
        <f>HYPERLINK("https://www.spark-marketing.ru/Card/Person/101664", "КГБУ АКУНБ")</f>
        <v>КГБУ АКУНБ</v>
      </c>
      <c r="B661" s="24" t="s">
        <v>1541</v>
      </c>
      <c r="C661" s="25">
        <v>250000</v>
      </c>
      <c r="D661" s="22" t="s">
        <v>1542</v>
      </c>
      <c r="E661" s="22" t="s">
        <v>716</v>
      </c>
      <c r="F661" s="23" t="str">
        <f>HYPERLINK("https://www.spark-marketing.ru/Card/Lot/74196025", "Поставка 339 экземпляров книжных изданий для комплектования библиотечного фонда КГБУ АКУНБ")</f>
        <v>Поставка 339 экземпляров книжных изданий для комплектования библиотечного фонда КГБУ АКУНБ</v>
      </c>
      <c r="G661" s="22" t="s">
        <v>63</v>
      </c>
      <c r="H661" s="22" t="s">
        <v>177</v>
      </c>
      <c r="I661" s="26">
        <v>43745.4077777778</v>
      </c>
      <c r="J661" s="28" t="s">
        <v>51</v>
      </c>
      <c r="K661" s="28" t="s">
        <v>51</v>
      </c>
      <c r="L661" s="28" t="s">
        <v>51</v>
      </c>
      <c r="M661" s="28" t="s">
        <v>51</v>
      </c>
      <c r="N661" s="28" t="s">
        <v>51</v>
      </c>
    </row>
    <row r="662" spans="1:14" x14ac:dyDescent="0.15">
      <c r="A662" s="23" t="str">
        <f>HYPERLINK("https://www.spark-marketing.ru/Card/Person/265510", "ОТДЕЛ МВД РОССИИ ПО Г. БЕРЕЗОВСКОМУ")</f>
        <v>ОТДЕЛ МВД РОССИИ ПО Г. БЕРЕЗОВСКОМУ</v>
      </c>
      <c r="B662" s="24" t="s">
        <v>1543</v>
      </c>
      <c r="C662" s="25">
        <v>570000</v>
      </c>
      <c r="D662" s="22" t="s">
        <v>1544</v>
      </c>
      <c r="E662" s="22" t="s">
        <v>48</v>
      </c>
      <c r="F662" s="23" t="str">
        <f>HYPERLINK("https://www.spark-marketing.ru/Card/Lot/74195402", "Услуги организации 3х разового горячего питания арестованных и задержанных в ИВС Отдела МВД России по г.Березовскому")</f>
        <v>Услуги организации 3х разового горячего питания арестованных и задержанных в ИВС Отдела МВД России по г.Березовскому</v>
      </c>
      <c r="G662" s="22" t="s">
        <v>304</v>
      </c>
      <c r="H662" s="22" t="s">
        <v>1545</v>
      </c>
      <c r="I662" s="26">
        <v>43745.366238425901</v>
      </c>
      <c r="J662" s="23" t="str">
        <f>HYPERLINK("https://www.spark-marketing.ru/Card/Person/4537617", "Назарова Нина Германовна")</f>
        <v>Назарова Нина Германовна</v>
      </c>
      <c r="K662" s="24" t="s">
        <v>1546</v>
      </c>
      <c r="L662" s="22" t="s">
        <v>10</v>
      </c>
      <c r="M662" s="28" t="s">
        <v>51</v>
      </c>
      <c r="N662" s="28" t="s">
        <v>51</v>
      </c>
    </row>
    <row r="663" spans="1:14" x14ac:dyDescent="0.15">
      <c r="A663" s="23" t="str">
        <f>HYPERLINK("https://www.spark-marketing.ru/Card/Person/1309298", "МАОУ ГИМНАЗИЯ №9")</f>
        <v>МАОУ ГИМНАЗИЯ №9</v>
      </c>
      <c r="B663" s="24" t="s">
        <v>1547</v>
      </c>
      <c r="C663" s="25">
        <v>227520</v>
      </c>
      <c r="D663" s="22" t="s">
        <v>1548</v>
      </c>
      <c r="E663" s="22" t="s">
        <v>362</v>
      </c>
      <c r="F663" s="23" t="str">
        <f>HYPERLINK("https://www.spark-marketing.ru/Card/Lot/74207295", "Услуги по обеспечению горячим питанием детей на период сентябрь-декабрь 2019г.")</f>
        <v>Услуги по обеспечению горячим питанием детей на период сентябрь-декабрь 2019г.</v>
      </c>
      <c r="G663" s="22" t="s">
        <v>153</v>
      </c>
      <c r="H663" s="22" t="s">
        <v>153</v>
      </c>
      <c r="I663" s="26">
        <v>43745.347650463002</v>
      </c>
      <c r="J663" s="28" t="s">
        <v>51</v>
      </c>
      <c r="K663" s="28" t="s">
        <v>51</v>
      </c>
      <c r="L663" s="28" t="s">
        <v>51</v>
      </c>
      <c r="M663" s="28" t="s">
        <v>51</v>
      </c>
      <c r="N663" s="28" t="s">
        <v>51</v>
      </c>
    </row>
    <row r="664" spans="1:14" x14ac:dyDescent="0.15">
      <c r="A664" s="23" t="str">
        <f>HYPERLINK("https://www.spark-marketing.ru/Card/Person/265510", "ОТДЕЛ МВД РОССИИ ПО Г. БЕРЕЗОВСКОМУ")</f>
        <v>ОТДЕЛ МВД РОССИИ ПО Г. БЕРЕЗОВСКОМУ</v>
      </c>
      <c r="B664" s="24" t="s">
        <v>1543</v>
      </c>
      <c r="C664" s="25">
        <v>570000</v>
      </c>
      <c r="D664" s="22" t="s">
        <v>1549</v>
      </c>
      <c r="E664" s="22" t="s">
        <v>48</v>
      </c>
      <c r="F664" s="23" t="str">
        <f>HYPERLINK("https://www.spark-marketing.ru/Card/Lot/74195363", "Услуги организации 3х разового горячего питания арестованных и задержанных в ИВС Отдела МВД России по г. Березовскому")</f>
        <v>Услуги организации 3х разового горячего питания арестованных и задержанных в ИВС Отдела МВД России по г. Березовскому</v>
      </c>
      <c r="G664" s="22" t="s">
        <v>304</v>
      </c>
      <c r="H664" s="22" t="s">
        <v>1545</v>
      </c>
      <c r="I664" s="26">
        <v>43745.362974536998</v>
      </c>
      <c r="J664" s="23" t="str">
        <f>HYPERLINK("https://www.spark-marketing.ru/Card/Person/4537617", "Назарова Нина Германовна")</f>
        <v>Назарова Нина Германовна</v>
      </c>
      <c r="K664" s="24" t="s">
        <v>1546</v>
      </c>
      <c r="L664" s="22" t="s">
        <v>10</v>
      </c>
      <c r="M664" s="28" t="s">
        <v>51</v>
      </c>
      <c r="N664" s="28" t="s">
        <v>51</v>
      </c>
    </row>
    <row r="665" spans="1:14" x14ac:dyDescent="0.2">
      <c r="A665" s="23" t="str">
        <f>HYPERLINK("https://www.spark-marketing.ru/Card/Person/1762432", "МА ДОУ ДЕТСКИЙ САД № 9 Г.БЕЛОРЕЦК")</f>
        <v>МА ДОУ ДЕТСКИЙ САД № 9 Г.БЕЛОРЕЦК</v>
      </c>
      <c r="B665" s="24" t="s">
        <v>1550</v>
      </c>
      <c r="C665" s="25">
        <v>799890</v>
      </c>
      <c r="D665" s="22" t="s">
        <v>1551</v>
      </c>
      <c r="E665" s="22" t="s">
        <v>362</v>
      </c>
      <c r="F665" s="23" t="str">
        <f>HYPERLINK("https://www.spark-marketing.ru/Card/Lot/74199747", "Услуга по организации горячего питания")</f>
        <v>Услуга по организации горячего питания</v>
      </c>
      <c r="G665" s="22" t="s">
        <v>145</v>
      </c>
      <c r="H665" s="22" t="s">
        <v>145</v>
      </c>
      <c r="I665" s="26">
        <v>43745.683761574102</v>
      </c>
      <c r="J665" s="28" t="s">
        <v>51</v>
      </c>
      <c r="K665" s="28" t="s">
        <v>51</v>
      </c>
      <c r="L665" s="22" t="s">
        <v>10</v>
      </c>
      <c r="M665" s="25">
        <v>799890</v>
      </c>
      <c r="N665" s="27">
        <v>0</v>
      </c>
    </row>
    <row r="666" spans="1:14" x14ac:dyDescent="0.15">
      <c r="A666" s="23" t="str">
        <f>HYPERLINK("https://www.spark-marketing.ru/Card/Person/1573122", "МАУ ""СШОР № 8""")</f>
        <v>МАУ "СШОР № 8"</v>
      </c>
      <c r="B666" s="24" t="s">
        <v>1074</v>
      </c>
      <c r="C666" s="25">
        <v>967500</v>
      </c>
      <c r="D666" s="22" t="s">
        <v>1552</v>
      </c>
      <c r="E666" s="22" t="s">
        <v>1418</v>
      </c>
      <c r="F666" s="23" t="str">
        <f>HYPERLINK("https://www.spark-marketing.ru/Card/Lot/74199991", "оказание услуг по организации питания и проживания во время проведения второго тура чемпионата России по водному поло среди женских команд сезона 2019-2020 для нужд Муниципального автономного учреждения «Спортивная школа олимпийского резерва № 8 «Ура...")</f>
        <v>оказание услуг по организации питания и проживания во время проведения второго тура чемпионата России по водному поло среди женских команд сезона 2019-2020 для нужд Муниципального автономного учреждения «Спортивная школа олимпийского резерва № 8 «Ура...</v>
      </c>
      <c r="G666" s="22" t="s">
        <v>97</v>
      </c>
      <c r="H666" s="22" t="s">
        <v>98</v>
      </c>
      <c r="I666" s="26">
        <v>43745.7399421296</v>
      </c>
      <c r="J666" s="28" t="s">
        <v>51</v>
      </c>
      <c r="K666" s="28" t="s">
        <v>51</v>
      </c>
      <c r="L666" s="28" t="s">
        <v>51</v>
      </c>
      <c r="M666" s="28" t="s">
        <v>51</v>
      </c>
      <c r="N666" s="28" t="s">
        <v>51</v>
      </c>
    </row>
    <row r="667" spans="1:14" x14ac:dyDescent="0.15">
      <c r="A667" s="23" t="str">
        <f>HYPERLINK("https://www.spark-marketing.ru/Card/Person/1384800", "СОШ № 3 Г. БЕЛОЯРСКИЙ")</f>
        <v>СОШ № 3 Г. БЕЛОЯРСКИЙ</v>
      </c>
      <c r="B667" s="24" t="s">
        <v>1553</v>
      </c>
      <c r="C667" s="25">
        <v>110610</v>
      </c>
      <c r="D667" s="22" t="s">
        <v>1554</v>
      </c>
      <c r="E667" s="22" t="s">
        <v>362</v>
      </c>
      <c r="F667" s="23" t="str">
        <f>HYPERLINK("https://www.spark-marketing.ru/Card/Lot/74200487", "Услуги по организации питания детей в период осенней оздоровительной кампании")</f>
        <v>Услуги по организации питания детей в период осенней оздоровительной кампании</v>
      </c>
      <c r="G667" s="22" t="s">
        <v>97</v>
      </c>
      <c r="H667" s="22" t="s">
        <v>97</v>
      </c>
      <c r="I667" s="26">
        <v>43745.445891203701</v>
      </c>
      <c r="J667" s="28" t="s">
        <v>51</v>
      </c>
      <c r="K667" s="28" t="s">
        <v>51</v>
      </c>
      <c r="L667" s="28" t="s">
        <v>51</v>
      </c>
      <c r="M667" s="28" t="s">
        <v>51</v>
      </c>
      <c r="N667" s="28" t="s">
        <v>51</v>
      </c>
    </row>
    <row r="668" spans="1:14" x14ac:dyDescent="0.15">
      <c r="A668" s="23" t="str">
        <f>HYPERLINK("https://www.spark-marketing.ru/Card/Person/2571928", "ООО ""КРОКУС НАНОЭЛЕКТРОНИКА""")</f>
        <v>ООО "КРОКУС НАНОЭЛЕКТРОНИКА"</v>
      </c>
      <c r="B668" s="24" t="s">
        <v>1555</v>
      </c>
      <c r="C668" s="25">
        <v>490437.5</v>
      </c>
      <c r="D668" s="22" t="s">
        <v>1556</v>
      </c>
      <c r="E668" s="22" t="s">
        <v>362</v>
      </c>
      <c r="F668" s="23" t="str">
        <f>HYPERLINK("https://www.spark-marketing.ru/Card/Lot/74200157", "Оказание услуг по организации питания за сентябрь 2019 г.")</f>
        <v>Оказание услуг по организации питания за сентябрь 2019 г.</v>
      </c>
      <c r="G668" s="22" t="s">
        <v>56</v>
      </c>
      <c r="H668" s="22" t="s">
        <v>56</v>
      </c>
      <c r="I668" s="26">
        <v>43745.534143518496</v>
      </c>
      <c r="J668" s="28" t="s">
        <v>51</v>
      </c>
      <c r="K668" s="28" t="s">
        <v>51</v>
      </c>
      <c r="L668" s="28" t="s">
        <v>51</v>
      </c>
      <c r="M668" s="28" t="s">
        <v>51</v>
      </c>
      <c r="N668" s="28" t="s">
        <v>51</v>
      </c>
    </row>
    <row r="669" spans="1:14" x14ac:dyDescent="0.2">
      <c r="A669" s="23" t="str">
        <f>HYPERLINK("https://www.spark-marketing.ru/Card/Person/883780", "МАДОУ ДС № 11 ""КОЛОКОЛЬЧИК""")</f>
        <v>МАДОУ ДС № 11 "КОЛОКОЛЬЧИК"</v>
      </c>
      <c r="B669" s="24" t="s">
        <v>1557</v>
      </c>
      <c r="C669" s="25">
        <v>1059892.3999999999</v>
      </c>
      <c r="D669" s="22" t="s">
        <v>1558</v>
      </c>
      <c r="E669" s="22" t="s">
        <v>362</v>
      </c>
      <c r="F669" s="23" t="str">
        <f>HYPERLINK("https://www.spark-marketing.ru/Card/Lot/74169410", "Оказание услуги по организации горячего питания")</f>
        <v>Оказание услуги по организации горячего питания</v>
      </c>
      <c r="G669" s="22" t="s">
        <v>104</v>
      </c>
      <c r="H669" s="22" t="s">
        <v>104</v>
      </c>
      <c r="I669" s="26">
        <v>43742</v>
      </c>
      <c r="J669" s="28" t="s">
        <v>51</v>
      </c>
      <c r="K669" s="28" t="s">
        <v>51</v>
      </c>
      <c r="L669" s="28" t="s">
        <v>51</v>
      </c>
      <c r="M669" s="25">
        <v>1047060</v>
      </c>
      <c r="N669" s="27">
        <v>1.2107266737642425E-2</v>
      </c>
    </row>
    <row r="670" spans="1:14" x14ac:dyDescent="0.15">
      <c r="A670" s="23" t="str">
        <f>HYPERLINK("https://www.spark-marketing.ru/Card/Person/951344", "КГАУ ""ЦСП ПК""")</f>
        <v>КГАУ "ЦСП ПК"</v>
      </c>
      <c r="B670" s="24" t="s">
        <v>1559</v>
      </c>
      <c r="C670" s="25">
        <v>814500</v>
      </c>
      <c r="D670" s="22" t="s">
        <v>1560</v>
      </c>
      <c r="E670" s="22" t="s">
        <v>1561</v>
      </c>
      <c r="F670" s="23" t="str">
        <f>HYPERLINK("https://www.spark-marketing.ru/Card/Lot/74224469", "Оказание услуг по питанию участников Краевой Спартакиады среди спортсменов с ограниченными возможностями для нужд КГАУ ""ЦСП ПК""")</f>
        <v>Оказание услуг по питанию участников Краевой Спартакиады среди спортсменов с ограниченными возможностями для нужд КГАУ "ЦСП ПК"</v>
      </c>
      <c r="G670" s="22" t="s">
        <v>543</v>
      </c>
      <c r="H670" s="22" t="s">
        <v>543</v>
      </c>
      <c r="I670" s="26">
        <v>43746.946365740703</v>
      </c>
      <c r="J670" s="28" t="s">
        <v>51</v>
      </c>
      <c r="K670" s="28" t="s">
        <v>51</v>
      </c>
      <c r="L670" s="28" t="s">
        <v>51</v>
      </c>
      <c r="M670" s="28" t="s">
        <v>51</v>
      </c>
      <c r="N670" s="28" t="s">
        <v>51</v>
      </c>
    </row>
    <row r="671" spans="1:14" x14ac:dyDescent="0.15">
      <c r="A671" s="23" t="str">
        <f>HYPERLINK("https://www.spark-marketing.ru/Card/Person/50743", "МП ""ДЕТСКОЕ ПИТАНИЕ""")</f>
        <v>МП "ДЕТСКОЕ ПИТАНИЕ"</v>
      </c>
      <c r="B671" s="24" t="s">
        <v>1562</v>
      </c>
      <c r="C671" s="25">
        <v>1498986</v>
      </c>
      <c r="D671" s="22" t="s">
        <v>1563</v>
      </c>
      <c r="E671" s="22" t="s">
        <v>1564</v>
      </c>
      <c r="F671" s="23" t="str">
        <f>HYPERLINK("https://www.spark-marketing.ru/Card/Lot/74223672", "Поставка молока ультрапастеризованного (для оказания услуг по предоставлению питания школьникам).")</f>
        <v>Поставка молока ультрапастеризованного (для оказания услуг по предоставлению питания школьникам).</v>
      </c>
      <c r="G671" s="22" t="s">
        <v>1522</v>
      </c>
      <c r="H671" s="22" t="s">
        <v>1522</v>
      </c>
      <c r="I671" s="26">
        <v>43745.529282407399</v>
      </c>
      <c r="J671" s="28" t="s">
        <v>51</v>
      </c>
      <c r="K671" s="28" t="s">
        <v>51</v>
      </c>
      <c r="L671" s="28" t="s">
        <v>51</v>
      </c>
      <c r="M671" s="28" t="s">
        <v>51</v>
      </c>
      <c r="N671" s="28" t="s">
        <v>51</v>
      </c>
    </row>
    <row r="672" spans="1:14" x14ac:dyDescent="0.15">
      <c r="A672" s="23" t="str">
        <f>HYPERLINK("https://www.spark-marketing.ru/Card/Person/171653", "ГАУЗ РКВД № 1")</f>
        <v>ГАУЗ РКВД № 1</v>
      </c>
      <c r="B672" s="24" t="s">
        <v>1565</v>
      </c>
      <c r="C672" s="25">
        <v>23473268</v>
      </c>
      <c r="D672" s="22" t="s">
        <v>1566</v>
      </c>
      <c r="E672" s="22" t="s">
        <v>362</v>
      </c>
      <c r="F672" s="23" t="str">
        <f>HYPERLINK("https://www.spark-marketing.ru/Card/Lot/74170664", "Оказание услуг по организации лечебного питания (с организацией выдачи готовых блюд больным ГАУЗ РКВД № 1 и с организацией выдачи специального питания сотрудникам ГАУЗ РКВД № 1)")</f>
        <v>Оказание услуг по организации лечебного питания (с организацией выдачи готовых блюд больным ГАУЗ РКВД № 1 и с организацией выдачи специального питания сотрудникам ГАУЗ РКВД № 1)</v>
      </c>
      <c r="G672" s="22" t="s">
        <v>145</v>
      </c>
      <c r="H672" s="22" t="s">
        <v>436</v>
      </c>
      <c r="I672" s="26">
        <v>43742</v>
      </c>
      <c r="J672" s="28" t="s">
        <v>51</v>
      </c>
      <c r="K672" s="28" t="s">
        <v>51</v>
      </c>
      <c r="L672" s="28" t="s">
        <v>51</v>
      </c>
      <c r="M672" s="28" t="s">
        <v>51</v>
      </c>
      <c r="N672" s="28" t="s">
        <v>51</v>
      </c>
    </row>
    <row r="673" spans="1:14" x14ac:dyDescent="0.15">
      <c r="A673" s="23" t="str">
        <f>HYPERLINK("https://www.spark-marketing.ru/Card/Person/1338315", "ГАУ МО ""ЦСП №8""")</f>
        <v>ГАУ МО "ЦСП №8"</v>
      </c>
      <c r="B673" s="24" t="s">
        <v>1567</v>
      </c>
      <c r="C673" s="25">
        <v>985800</v>
      </c>
      <c r="D673" s="22" t="s">
        <v>1568</v>
      </c>
      <c r="E673" s="22" t="s">
        <v>362</v>
      </c>
      <c r="F673" s="23" t="str">
        <f>HYPERLINK("https://www.spark-marketing.ru/Card/Lot/74199472", "Оказание услуг по организации питания команды «Атлант» (сезон 2019-2020)")</f>
        <v>Оказание услуг по организации питания команды «Атлант» (сезон 2019-2020)</v>
      </c>
      <c r="G673" s="22" t="s">
        <v>49</v>
      </c>
      <c r="H673" s="22" t="s">
        <v>49</v>
      </c>
      <c r="I673" s="26">
        <v>43745.694432870398</v>
      </c>
      <c r="J673" s="28" t="s">
        <v>51</v>
      </c>
      <c r="K673" s="28" t="s">
        <v>51</v>
      </c>
      <c r="L673" s="28" t="s">
        <v>51</v>
      </c>
      <c r="M673" s="28" t="s">
        <v>51</v>
      </c>
      <c r="N673" s="28" t="s">
        <v>51</v>
      </c>
    </row>
    <row r="674" spans="1:14" x14ac:dyDescent="0.2">
      <c r="A674" s="23" t="str">
        <f>HYPERLINK("https://www.spark-marketing.ru/Card/Person/6372894", "АО ""ПЛАТИНУМ АРЕНА""")</f>
        <v>АО "ПЛАТИНУМ АРЕНА"</v>
      </c>
      <c r="B674" s="24" t="s">
        <v>1569</v>
      </c>
      <c r="C674" s="25">
        <v>4936300</v>
      </c>
      <c r="D674" s="22" t="s">
        <v>1570</v>
      </c>
      <c r="E674" s="22" t="s">
        <v>1571</v>
      </c>
      <c r="F674" s="23" t="str">
        <f>HYPERLINK("https://www.spark-marketing.ru/Card/Lot/74199424", "Оказание услуг по организации мероприятий и питания")</f>
        <v>Оказание услуг по организации мероприятий и питания</v>
      </c>
      <c r="G674" s="22" t="s">
        <v>281</v>
      </c>
      <c r="H674" s="22" t="s">
        <v>281</v>
      </c>
      <c r="I674" s="26">
        <v>43745.432870370401</v>
      </c>
      <c r="J674" s="23" t="str">
        <f>HYPERLINK("https://www.spark-marketing.ru/Card/Person/55425", "ООО УСК ""СИБИРЯК""")</f>
        <v>ООО УСК "СИБИРЯК"</v>
      </c>
      <c r="K674" s="24" t="s">
        <v>1572</v>
      </c>
      <c r="L674" s="28" t="s">
        <v>51</v>
      </c>
      <c r="M674" s="25">
        <v>4936300</v>
      </c>
      <c r="N674" s="27">
        <v>0</v>
      </c>
    </row>
    <row r="675" spans="1:14" x14ac:dyDescent="0.2">
      <c r="A675" s="23" t="str">
        <f>HYPERLINK("https://www.spark-marketing.ru/Card/Person/105963", "МАУ ""СШ""")</f>
        <v>МАУ "СШ"</v>
      </c>
      <c r="B675" s="24" t="s">
        <v>1573</v>
      </c>
      <c r="C675" s="25">
        <v>677500</v>
      </c>
      <c r="D675" s="22" t="s">
        <v>1574</v>
      </c>
      <c r="E675" s="22" t="s">
        <v>362</v>
      </c>
      <c r="F675" s="23" t="str">
        <f>HYPERLINK("https://www.spark-marketing.ru/Card/Lot/74199097", "Оказание услуг по организации питания детей и подростков в оздоровительном лагере дневного пребывания спортивной направленности")</f>
        <v>Оказание услуг по организации питания детей и подростков в оздоровительном лагере дневного пребывания спортивной направленности</v>
      </c>
      <c r="G675" s="22" t="s">
        <v>49</v>
      </c>
      <c r="H675" s="22" t="s">
        <v>49</v>
      </c>
      <c r="I675" s="26">
        <v>43745.370208333297</v>
      </c>
      <c r="J675" s="28" t="s">
        <v>51</v>
      </c>
      <c r="K675" s="28" t="s">
        <v>51</v>
      </c>
      <c r="L675" s="22" t="s">
        <v>10</v>
      </c>
      <c r="M675" s="25">
        <v>677500</v>
      </c>
      <c r="N675" s="27">
        <v>0</v>
      </c>
    </row>
    <row r="676" spans="1:14" x14ac:dyDescent="0.15">
      <c r="A676" s="23" t="str">
        <f>HYPERLINK("https://www.spark-marketing.ru/Card/Person/87529", "МБОУ ЛИЦЕЙ № 1 ИМ. А. БЛОКА")</f>
        <v>МБОУ ЛИЦЕЙ № 1 ИМ. А. БЛОКА</v>
      </c>
      <c r="B676" s="24" t="s">
        <v>1575</v>
      </c>
      <c r="C676" s="25">
        <v>300000</v>
      </c>
      <c r="D676" s="22" t="s">
        <v>1576</v>
      </c>
      <c r="E676" s="22" t="s">
        <v>48</v>
      </c>
      <c r="F676" s="23" t="str">
        <f>HYPERLINK("https://www.spark-marketing.ru/Card/Lot/74184968", "Услуги по организации питания школьников")</f>
        <v>Услуги по организации питания школьников</v>
      </c>
      <c r="G676" s="22" t="s">
        <v>49</v>
      </c>
      <c r="H676" s="22" t="s">
        <v>204</v>
      </c>
      <c r="I676" s="26">
        <v>43744.7631944444</v>
      </c>
      <c r="J676" s="28" t="s">
        <v>51</v>
      </c>
      <c r="K676" s="28" t="s">
        <v>51</v>
      </c>
      <c r="L676" s="28" t="s">
        <v>51</v>
      </c>
      <c r="M676" s="28" t="s">
        <v>51</v>
      </c>
      <c r="N676" s="28" t="s">
        <v>51</v>
      </c>
    </row>
    <row r="677" spans="1:14" x14ac:dyDescent="0.15">
      <c r="A677" s="23" t="str">
        <f>HYPERLINK("https://www.spark-marketing.ru/Card/Person/136600", "ГАУК Г. МОСКВЫ ПКИО ""ФИЛИ""")</f>
        <v>ГАУК Г. МОСКВЫ ПКИО "ФИЛИ"</v>
      </c>
      <c r="B677" s="24" t="s">
        <v>1577</v>
      </c>
      <c r="C677" s="25">
        <v>56000</v>
      </c>
      <c r="D677" s="22" t="s">
        <v>1578</v>
      </c>
      <c r="E677" s="22" t="s">
        <v>52</v>
      </c>
      <c r="F677" s="23" t="str">
        <f>HYPERLINK("https://www.spark-marketing.ru/Card/Lot/74183455", "Право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пересечение ул. Барклая и ул. Б. Филёвская (в сторону ДК Горбунов...")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пересечение ул. Барклая и ул. Б. Филёвская (в сторону ДК Горбунов...</v>
      </c>
      <c r="G677" s="22" t="s">
        <v>56</v>
      </c>
      <c r="H677" s="22" t="s">
        <v>56</v>
      </c>
      <c r="I677" s="26">
        <v>43743</v>
      </c>
      <c r="J677" s="28" t="s">
        <v>51</v>
      </c>
      <c r="K677" s="28" t="s">
        <v>51</v>
      </c>
      <c r="L677" s="28" t="s">
        <v>51</v>
      </c>
      <c r="M677" s="28" t="s">
        <v>51</v>
      </c>
      <c r="N677" s="28" t="s">
        <v>51</v>
      </c>
    </row>
    <row r="678" spans="1:14" x14ac:dyDescent="0.15">
      <c r="A678" s="23" t="str">
        <f>HYPERLINK("https://www.spark-marketing.ru/Card/Person/136600", "ГАУК Г. МОСКВЫ ПКИО ""ФИЛИ""")</f>
        <v>ГАУК Г. МОСКВЫ ПКИО "ФИЛИ"</v>
      </c>
      <c r="B678" s="24" t="s">
        <v>1577</v>
      </c>
      <c r="C678" s="25">
        <v>52500</v>
      </c>
      <c r="D678" s="22" t="s">
        <v>1579</v>
      </c>
      <c r="E678" s="22" t="s">
        <v>52</v>
      </c>
      <c r="F678" s="23" t="str">
        <f>HYPERLINK("https://www.spark-marketing.ru/Card/Lot/74183473", "Право заключения договора на осуществление торговой деятельности (оказание услуг) в нестационарном торговом объекте «Киоск» по адресу: г. Москва, ГАУК г. Москвы ПКиО «Фили», Суворовский парк, вл. 32 (НТО 59),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ГАУК г. Москвы ПКиО «Фили», Суворовский парк, вл. 32 (НТО 59), специализация «Общественное питание»</v>
      </c>
      <c r="G678" s="22" t="s">
        <v>56</v>
      </c>
      <c r="H678" s="22" t="s">
        <v>56</v>
      </c>
      <c r="I678" s="26">
        <v>43743</v>
      </c>
      <c r="J678" s="28" t="s">
        <v>51</v>
      </c>
      <c r="K678" s="28" t="s">
        <v>51</v>
      </c>
      <c r="L678" s="28" t="s">
        <v>51</v>
      </c>
      <c r="M678" s="28" t="s">
        <v>51</v>
      </c>
      <c r="N678" s="28" t="s">
        <v>51</v>
      </c>
    </row>
    <row r="679" spans="1:14" x14ac:dyDescent="0.15">
      <c r="A679" s="23" t="str">
        <f>HYPERLINK("https://www.spark-marketing.ru/Card/Person/136600", "ГАУК Г. МОСКВЫ ПКИО ""ФИЛИ""")</f>
        <v>ГАУК Г. МОСКВЫ ПКИО "ФИЛИ"</v>
      </c>
      <c r="B679" s="24" t="s">
        <v>1577</v>
      </c>
      <c r="C679" s="25">
        <v>42525</v>
      </c>
      <c r="D679" s="22" t="s">
        <v>1580</v>
      </c>
      <c r="E679" s="22" t="s">
        <v>52</v>
      </c>
      <c r="F679" s="23" t="str">
        <f>HYPERLINK("https://www.spark-marketing.ru/Card/Lot/74183469", "Право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пересечение ул. Б. Филёвская и ул. Минская (НТО 44), специализаци...")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пересечение ул. Б. Филёвская и ул. Минская (НТО 44), специализаци...</v>
      </c>
      <c r="G679" s="22" t="s">
        <v>56</v>
      </c>
      <c r="H679" s="22" t="s">
        <v>56</v>
      </c>
      <c r="I679" s="26">
        <v>43743</v>
      </c>
      <c r="J679" s="28" t="s">
        <v>51</v>
      </c>
      <c r="K679" s="28" t="s">
        <v>51</v>
      </c>
      <c r="L679" s="28" t="s">
        <v>51</v>
      </c>
      <c r="M679" s="28" t="s">
        <v>51</v>
      </c>
      <c r="N679" s="28" t="s">
        <v>51</v>
      </c>
    </row>
    <row r="680" spans="1:14" x14ac:dyDescent="0.15">
      <c r="A680" s="23" t="str">
        <f>HYPERLINK("https://www.spark-marketing.ru/Card/Person/1324696", "МАОУ ""ЛИЦЕЙ № 28 ИМЕНИ Н.А.РЯБОВА""")</f>
        <v>МАОУ "ЛИЦЕЙ № 28 ИМЕНИ Н.А.РЯБОВА"</v>
      </c>
      <c r="B680" s="24" t="s">
        <v>1581</v>
      </c>
      <c r="C680" s="25">
        <v>1431280</v>
      </c>
      <c r="D680" s="22" t="s">
        <v>1582</v>
      </c>
      <c r="E680" s="22" t="s">
        <v>362</v>
      </c>
      <c r="F680" s="23" t="str">
        <f>HYPERLINK("https://www.spark-marketing.ru/Card/Lot/74169495", "оказание услуг по организации питания обучающихся в МАОУ «Лицей № 28 имени Н.А.Рябова»")</f>
        <v>оказание услуг по организации питания обучающихся в МАОУ «Лицей № 28 имени Н.А.Рябова»</v>
      </c>
      <c r="G680" s="22" t="s">
        <v>1370</v>
      </c>
      <c r="H680" s="22" t="s">
        <v>1370</v>
      </c>
      <c r="I680" s="26">
        <v>43742</v>
      </c>
      <c r="J680" s="28" t="s">
        <v>51</v>
      </c>
      <c r="K680" s="28" t="s">
        <v>51</v>
      </c>
      <c r="L680" s="28" t="s">
        <v>51</v>
      </c>
      <c r="M680" s="28" t="s">
        <v>51</v>
      </c>
      <c r="N680" s="28" t="s">
        <v>51</v>
      </c>
    </row>
    <row r="681" spans="1:14" x14ac:dyDescent="0.15">
      <c r="A681" s="23" t="str">
        <f>HYPERLINK("https://www.spark-marketing.ru/Card/Person/136600", "ГАУК Г. МОСКВЫ ПКИО ""ФИЛИ""")</f>
        <v>ГАУК Г. МОСКВЫ ПКИО "ФИЛИ"</v>
      </c>
      <c r="B681" s="24" t="s">
        <v>1577</v>
      </c>
      <c r="C681" s="25">
        <v>52500</v>
      </c>
      <c r="D681" s="22" t="s">
        <v>1583</v>
      </c>
      <c r="E681" s="22" t="s">
        <v>52</v>
      </c>
      <c r="F681" s="23" t="str">
        <f>HYPERLINK("https://www.spark-marketing.ru/Card/Lot/74183462", "Право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пересечение ул. Барклая и ул. Б. Филевская (в сторону ДК Горбунов...")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пересечение ул. Барклая и ул. Б. Филевская (в сторону ДК Горбунов...</v>
      </c>
      <c r="G681" s="22" t="s">
        <v>56</v>
      </c>
      <c r="H681" s="22" t="s">
        <v>56</v>
      </c>
      <c r="I681" s="26">
        <v>43743</v>
      </c>
      <c r="J681" s="28" t="s">
        <v>51</v>
      </c>
      <c r="K681" s="28" t="s">
        <v>51</v>
      </c>
      <c r="L681" s="28" t="s">
        <v>51</v>
      </c>
      <c r="M681" s="28" t="s">
        <v>51</v>
      </c>
      <c r="N681" s="28" t="s">
        <v>51</v>
      </c>
    </row>
    <row r="682" spans="1:14" x14ac:dyDescent="0.15">
      <c r="A682" s="23" t="str">
        <f>HYPERLINK("https://www.spark-marketing.ru/Card/Person/136600", "ГАУК Г. МОСКВЫ ПКИО ""ФИЛИ""")</f>
        <v>ГАУК Г. МОСКВЫ ПКИО "ФИЛИ"</v>
      </c>
      <c r="B682" s="24" t="s">
        <v>1577</v>
      </c>
      <c r="C682" s="25">
        <v>42525</v>
      </c>
      <c r="D682" s="22" t="s">
        <v>1584</v>
      </c>
      <c r="E682" s="22" t="s">
        <v>52</v>
      </c>
      <c r="F682" s="23" t="str">
        <f>HYPERLINK("https://www.spark-marketing.ru/Card/Lot/74183472", "Право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главная аллея, центральный вход (слева) (НТО 52), специализация «...")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главная аллея, центральный вход (слева) (НТО 52), специализация «...</v>
      </c>
      <c r="G682" s="22" t="s">
        <v>56</v>
      </c>
      <c r="H682" s="22" t="s">
        <v>56</v>
      </c>
      <c r="I682" s="26">
        <v>43743</v>
      </c>
      <c r="J682" s="28" t="s">
        <v>51</v>
      </c>
      <c r="K682" s="28" t="s">
        <v>51</v>
      </c>
      <c r="L682" s="28" t="s">
        <v>51</v>
      </c>
      <c r="M682" s="28" t="s">
        <v>51</v>
      </c>
      <c r="N682" s="28" t="s">
        <v>51</v>
      </c>
    </row>
    <row r="683" spans="1:14" x14ac:dyDescent="0.15">
      <c r="A683" s="23" t="str">
        <f>HYPERLINK("https://www.spark-marketing.ru/Card/Person/136600", "ГАУК Г. МОСКВЫ ПКИО ""ФИЛИ""")</f>
        <v>ГАУК Г. МОСКВЫ ПКИО "ФИЛИ"</v>
      </c>
      <c r="B683" s="24" t="s">
        <v>1577</v>
      </c>
      <c r="C683" s="25">
        <v>42525</v>
      </c>
      <c r="D683" s="22" t="s">
        <v>1585</v>
      </c>
      <c r="E683" s="22" t="s">
        <v>52</v>
      </c>
      <c r="F683" s="23" t="str">
        <f>HYPERLINK("https://www.spark-marketing.ru/Card/Lot/74183470", "Право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ул. Б. Филёвская, 22, стр. 13 (НТО 48), специализация «Общественн...")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ул. Б. Филёвская, 22, стр. 13 (НТО 48), специализация «Общественн...</v>
      </c>
      <c r="G683" s="22" t="s">
        <v>56</v>
      </c>
      <c r="H683" s="22" t="s">
        <v>56</v>
      </c>
      <c r="I683" s="26">
        <v>43743</v>
      </c>
      <c r="J683" s="28" t="s">
        <v>51</v>
      </c>
      <c r="K683" s="28" t="s">
        <v>51</v>
      </c>
      <c r="L683" s="28" t="s">
        <v>51</v>
      </c>
      <c r="M683" s="28" t="s">
        <v>51</v>
      </c>
      <c r="N683" s="28" t="s">
        <v>51</v>
      </c>
    </row>
    <row r="684" spans="1:14" x14ac:dyDescent="0.15">
      <c r="A684" s="23" t="str">
        <f>HYPERLINK("https://www.spark-marketing.ru/Card/Person/136600", "ГАУК Г. МОСКВЫ ПКИО ""ФИЛИ""")</f>
        <v>ГАУК Г. МОСКВЫ ПКИО "ФИЛИ"</v>
      </c>
      <c r="B684" s="24" t="s">
        <v>1577</v>
      </c>
      <c r="C684" s="25">
        <v>29160</v>
      </c>
      <c r="D684" s="22" t="s">
        <v>1586</v>
      </c>
      <c r="E684" s="22" t="s">
        <v>52</v>
      </c>
      <c r="F684" s="23" t="str">
        <f>HYPERLINK("https://www.spark-marketing.ru/Card/Lot/74183468", "Право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пересечение ул. Б. Филевская и ул. Минская (НТО 43), специализаци...")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пересечение ул. Б. Филевская и ул. Минская (НТО 43), специализаци...</v>
      </c>
      <c r="G684" s="22" t="s">
        <v>56</v>
      </c>
      <c r="H684" s="22" t="s">
        <v>56</v>
      </c>
      <c r="I684" s="26">
        <v>43743</v>
      </c>
      <c r="J684" s="28" t="s">
        <v>51</v>
      </c>
      <c r="K684" s="28" t="s">
        <v>51</v>
      </c>
      <c r="L684" s="28" t="s">
        <v>51</v>
      </c>
      <c r="M684" s="28" t="s">
        <v>51</v>
      </c>
      <c r="N684" s="28" t="s">
        <v>51</v>
      </c>
    </row>
    <row r="685" spans="1:14" x14ac:dyDescent="0.15">
      <c r="A685" s="23" t="str">
        <f>HYPERLINK("https://www.spark-marketing.ru/Card/Person/136600", "ГАУК Г. МОСКВЫ ПКИО ""ФИЛИ""")</f>
        <v>ГАУК Г. МОСКВЫ ПКИО "ФИЛИ"</v>
      </c>
      <c r="B685" s="24" t="s">
        <v>1577</v>
      </c>
      <c r="C685" s="25">
        <v>42525</v>
      </c>
      <c r="D685" s="22" t="s">
        <v>1587</v>
      </c>
      <c r="E685" s="22" t="s">
        <v>52</v>
      </c>
      <c r="F685" s="23" t="str">
        <f>HYPERLINK("https://www.spark-marketing.ru/Card/Lot/74183471", "Право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ул. Б. Филёвская, 22, стр. 13 (НТО 50), специализация «Общественн...")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территория ГАУК г. Москвы ПКиО «Фили», ул. Б. Филёвская, 22, стр. 13 (НТО 50), специализация «Общественн...</v>
      </c>
      <c r="G685" s="22" t="s">
        <v>56</v>
      </c>
      <c r="H685" s="22" t="s">
        <v>56</v>
      </c>
      <c r="I685" s="26">
        <v>43743</v>
      </c>
      <c r="J685" s="28" t="s">
        <v>51</v>
      </c>
      <c r="K685" s="28" t="s">
        <v>51</v>
      </c>
      <c r="L685" s="28" t="s">
        <v>51</v>
      </c>
      <c r="M685" s="28" t="s">
        <v>51</v>
      </c>
      <c r="N685" s="28" t="s">
        <v>51</v>
      </c>
    </row>
    <row r="686" spans="1:14" x14ac:dyDescent="0.15">
      <c r="A686" s="23" t="str">
        <f>HYPERLINK("https://www.spark-marketing.ru/Card/Person/161709", "ООО ""ШЕРЕМЕТЬЕВО ВИП""")</f>
        <v>ООО "ШЕРЕМЕТЬЕВО ВИП"</v>
      </c>
      <c r="B686" s="24" t="s">
        <v>1588</v>
      </c>
      <c r="C686" s="28" t="s">
        <v>51</v>
      </c>
      <c r="D686" s="22" t="s">
        <v>1589</v>
      </c>
      <c r="E686" s="22" t="s">
        <v>1590</v>
      </c>
      <c r="F686" s="23" t="str">
        <f>HYPERLINK("https://www.spark-marketing.ru/Card/Lot/74180541", "Оказание услуг по организации питания клиентов в пунктах питания Заказчика в Бизнес-залах «Малевич», «Шагал» и «Лисицкий» в Терминале С Международного аэропорта Шереметьево")</f>
        <v>Оказание услуг по организации питания клиентов в пунктах питания Заказчика в Бизнес-залах «Малевич», «Шагал» и «Лисицкий» в Терминале С Международного аэропорта Шереметьево</v>
      </c>
      <c r="G686" s="22" t="s">
        <v>49</v>
      </c>
      <c r="H686" s="22" t="s">
        <v>631</v>
      </c>
      <c r="I686" s="26">
        <v>43742.772916666698</v>
      </c>
      <c r="J686" s="28" t="s">
        <v>51</v>
      </c>
      <c r="K686" s="28" t="s">
        <v>51</v>
      </c>
      <c r="L686" s="28" t="s">
        <v>51</v>
      </c>
      <c r="M686" s="28" t="s">
        <v>51</v>
      </c>
      <c r="N686" s="28" t="s">
        <v>51</v>
      </c>
    </row>
    <row r="687" spans="1:14" x14ac:dyDescent="0.15">
      <c r="A687" s="23" t="str">
        <f>HYPERLINK("https://www.spark-marketing.ru/Card/Person/1834396", "ООО ""УСИНСК-СНАБСЕРВИС""")</f>
        <v>ООО "УСИНСК-СНАБСЕРВИС"</v>
      </c>
      <c r="B687" s="24" t="s">
        <v>1591</v>
      </c>
      <c r="C687" s="28" t="s">
        <v>51</v>
      </c>
      <c r="D687" s="22" t="s">
        <v>1592</v>
      </c>
      <c r="E687" s="22" t="s">
        <v>1593</v>
      </c>
      <c r="F687" s="23" t="str">
        <f>HYPERLINK("https://www.spark-marketing.ru/Card/Lot/74176958", "Оказание услуг по обеспечению питанием работников ООО «Усинск-Снабсервис» с января по декабрь 2020 г.")</f>
        <v>Оказание услуг по обеспечению питанием работников ООО «Усинск-Снабсервис» с января по декабрь 2020 г.</v>
      </c>
      <c r="G687" s="22" t="s">
        <v>271</v>
      </c>
      <c r="H687" s="22" t="s">
        <v>479</v>
      </c>
      <c r="I687" s="26">
        <v>43742.711111111101</v>
      </c>
      <c r="J687" s="28" t="s">
        <v>51</v>
      </c>
      <c r="K687" s="28" t="s">
        <v>51</v>
      </c>
      <c r="L687" s="28" t="s">
        <v>51</v>
      </c>
      <c r="M687" s="28" t="s">
        <v>51</v>
      </c>
      <c r="N687" s="28" t="s">
        <v>51</v>
      </c>
    </row>
    <row r="688" spans="1:14" x14ac:dyDescent="0.15">
      <c r="A688" s="23" t="str">
        <f>HYPERLINK("https://www.spark-marketing.ru/Card/Person/267702", "МБУ ДОЛ ""ЮНОСТЬ""")</f>
        <v>МБУ ДОЛ "ЮНОСТЬ"</v>
      </c>
      <c r="B688" s="24" t="s">
        <v>1594</v>
      </c>
      <c r="C688" s="25">
        <v>379120</v>
      </c>
      <c r="D688" s="22" t="s">
        <v>1595</v>
      </c>
      <c r="E688" s="22" t="s">
        <v>51</v>
      </c>
      <c r="F688" s="23" t="str">
        <f>HYPERLINK("https://www.spark-marketing.ru/Card/Lot/74182408", "Оказание услуг по организации питания профильной смены подростков ""группы риска"" ""Данко"" и сотрудников в детском оздоровительном лагере")</f>
        <v>Оказание услуг по организации питания профильной смены подростков "группы риска" "Данко" и сотрудников в детском оздоровительном лагере</v>
      </c>
      <c r="G688" s="22" t="s">
        <v>696</v>
      </c>
      <c r="H688" s="22" t="s">
        <v>1163</v>
      </c>
      <c r="I688" s="26">
        <v>43742.729861111096</v>
      </c>
      <c r="J688" s="23" t="str">
        <f>HYPERLINK("https://www.spark-marketing.ru/Card/Person/6635294", "ООО ""ФСП""")</f>
        <v>ООО "ФСП"</v>
      </c>
      <c r="K688" s="24" t="s">
        <v>1596</v>
      </c>
      <c r="L688" s="22" t="s">
        <v>10</v>
      </c>
      <c r="M688" s="28" t="s">
        <v>51</v>
      </c>
      <c r="N688" s="28" t="s">
        <v>51</v>
      </c>
    </row>
    <row r="689" spans="1:14" x14ac:dyDescent="0.15">
      <c r="A689" s="23" t="str">
        <f>HYPERLINK("https://www.spark-marketing.ru/Card/Person/111494", "МБОУ ""СОШ №11""")</f>
        <v>МБОУ "СОШ №11"</v>
      </c>
      <c r="B689" s="24" t="s">
        <v>1183</v>
      </c>
      <c r="C689" s="25">
        <v>499070.39</v>
      </c>
      <c r="D689" s="22" t="s">
        <v>1597</v>
      </c>
      <c r="E689" s="22" t="s">
        <v>48</v>
      </c>
      <c r="F689" s="23" t="str">
        <f>HYPERLINK("https://www.spark-marketing.ru/Card/Lot/74180356", "Оказание услуг по организации питания обучающихся в МБОУ ""Средняя общеобразовательная школа №11"" (16.10-11.11.2019 г.)")</f>
        <v>Оказание услуг по организации питания обучающихся в МБОУ "Средняя общеобразовательная школа №11" (16.10-11.11.2019 г.)</v>
      </c>
      <c r="G689" s="22" t="s">
        <v>49</v>
      </c>
      <c r="H689" s="22" t="s">
        <v>1185</v>
      </c>
      <c r="I689" s="26">
        <v>43742.670138888898</v>
      </c>
      <c r="J689" s="28" t="s">
        <v>51</v>
      </c>
      <c r="K689" s="28" t="s">
        <v>51</v>
      </c>
      <c r="L689" s="28" t="s">
        <v>51</v>
      </c>
      <c r="M689" s="28" t="s">
        <v>51</v>
      </c>
      <c r="N689" s="28" t="s">
        <v>51</v>
      </c>
    </row>
    <row r="690" spans="1:14" ht="12.75" hidden="1" outlineLevel="1" x14ac:dyDescent="0.2">
      <c r="A690" s="23" t="str">
        <f>HYPERLINK("https://www.spark-marketing.ru/Card/Person/111494", "МБОУ ""СОШ №11""")</f>
        <v>МБОУ "СОШ №11"</v>
      </c>
      <c r="B690" s="24" t="s">
        <v>1183</v>
      </c>
      <c r="C690" s="25">
        <v>499070.39</v>
      </c>
      <c r="D690" s="22" t="s">
        <v>1597</v>
      </c>
      <c r="E690" s="22" t="s">
        <v>48</v>
      </c>
      <c r="F690" s="23" t="str">
        <f>HYPERLINK("https://www.spark-marketing.ru/Card/Lot/74180356", "Оказание услуг по организации питания обучающихся в МБОУ ""Средняя общеобразовательная школа №11"" (16.10-11.11.2019 г.)")</f>
        <v>Оказание услуг по организации питания обучающихся в МБОУ "Средняя общеобразовательная школа №11" (16.10-11.11.2019 г.)</v>
      </c>
      <c r="G690" s="22" t="s">
        <v>49</v>
      </c>
      <c r="H690" s="22" t="s">
        <v>1185</v>
      </c>
      <c r="I690" s="26">
        <v>43742.670138888898</v>
      </c>
      <c r="J690" s="23" t="str">
        <f>HYPERLINK("https://www.spark-marketing.ru/Card/Person/4348093", "Филин Андрей Сергеевич")</f>
        <v>Филин Андрей Сергеевич</v>
      </c>
      <c r="K690" s="24" t="s">
        <v>1186</v>
      </c>
      <c r="L690" s="22" t="s">
        <v>10</v>
      </c>
      <c r="M690" s="25">
        <v>499000</v>
      </c>
      <c r="N690" s="27">
        <v>1.410422285321315E-4</v>
      </c>
    </row>
    <row r="691" spans="1:14" hidden="1" outlineLevel="1" x14ac:dyDescent="0.2">
      <c r="A691" s="23" t="str">
        <f>HYPERLINK("https://www.spark-marketing.ru/Card/Person/111494", "МБОУ ""СОШ №11""")</f>
        <v>МБОУ "СОШ №11"</v>
      </c>
      <c r="B691" s="24" t="s">
        <v>1183</v>
      </c>
      <c r="C691" s="25">
        <v>499070.39</v>
      </c>
      <c r="D691" s="22" t="s">
        <v>1597</v>
      </c>
      <c r="E691" s="22" t="s">
        <v>48</v>
      </c>
      <c r="F691" s="23" t="str">
        <f>HYPERLINK("https://www.spark-marketing.ru/Card/Lot/74180356", "Оказание услуг по организации питания обучающихся в МБОУ ""Средняя общеобразовательная школа №11"" (16.10-11.11.2019 г.)")</f>
        <v>Оказание услуг по организации питания обучающихся в МБОУ "Средняя общеобразовательная школа №11" (16.10-11.11.2019 г.)</v>
      </c>
      <c r="G691" s="22" t="s">
        <v>49</v>
      </c>
      <c r="H691" s="22" t="s">
        <v>1185</v>
      </c>
      <c r="I691" s="26">
        <v>43742.670138888898</v>
      </c>
      <c r="J691" s="23" t="str">
        <f>HYPERLINK("https://www.spark-marketing.ru/Card/Person/87749", "Рыжухин Сергей Александрович")</f>
        <v>Рыжухин Сергей Александрович</v>
      </c>
      <c r="K691" s="24" t="s">
        <v>1187</v>
      </c>
      <c r="L691" s="28" t="s">
        <v>51</v>
      </c>
      <c r="M691" s="25">
        <v>499070.39</v>
      </c>
      <c r="N691" s="27">
        <v>0</v>
      </c>
    </row>
    <row r="692" spans="1:14" x14ac:dyDescent="0.15">
      <c r="A692" s="23" t="str">
        <f>HYPERLINK("https://www.spark-marketing.ru/Card/Person/121807", "ГБУ РБ ЮЖНЫЙ МЦ ""СЕМЬЯ""")</f>
        <v>ГБУ РБ ЮЖНЫЙ МЦ "СЕМЬЯ"</v>
      </c>
      <c r="B692" s="24" t="s">
        <v>1598</v>
      </c>
      <c r="C692" s="25">
        <v>103857.23</v>
      </c>
      <c r="D692" s="22" t="s">
        <v>1599</v>
      </c>
      <c r="E692" s="22" t="s">
        <v>48</v>
      </c>
      <c r="F692" s="23" t="str">
        <f>HYPERLINK("https://www.spark-marketing.ru/Card/Lot/74176090", "Услуги по организации горячего питания для нужд группы социальной реабилитации на территории Куюргазинского района при отделении социальный приют для детей и подростков в г.Мелеуз ГБУ РБ Южный МЦ «Семья»")</f>
        <v>Услуги по организации горячего питания для нужд группы социальной реабилитации на территории Куюргазинского района при отделении социальный приют для детей и подростков в г.Мелеуз ГБУ РБ Южный МЦ «Семья»</v>
      </c>
      <c r="G692" s="22" t="s">
        <v>145</v>
      </c>
      <c r="H692" s="22" t="s">
        <v>1600</v>
      </c>
      <c r="I692" s="26">
        <v>43742.671527777798</v>
      </c>
      <c r="J692" s="28" t="s">
        <v>51</v>
      </c>
      <c r="K692" s="28" t="s">
        <v>51</v>
      </c>
      <c r="L692" s="28" t="s">
        <v>51</v>
      </c>
      <c r="M692" s="28" t="s">
        <v>51</v>
      </c>
      <c r="N692" s="28" t="s">
        <v>51</v>
      </c>
    </row>
    <row r="693" spans="1:14" x14ac:dyDescent="0.15">
      <c r="A693" s="23" t="str">
        <f>HYPERLINK("https://www.spark-marketing.ru/Card/Person/92170", "ГБПОУ Г МОСКВЫ ""КМТИ ИМ. Г.П.ВИШНЕВСКОЙ""")</f>
        <v>ГБПОУ Г МОСКВЫ "КМТИ ИМ. Г.П.ВИШНЕВСКОЙ"</v>
      </c>
      <c r="B693" s="24" t="s">
        <v>1384</v>
      </c>
      <c r="C693" s="25">
        <v>7923071</v>
      </c>
      <c r="D693" s="22" t="s">
        <v>1601</v>
      </c>
      <c r="E693" s="22" t="s">
        <v>48</v>
      </c>
      <c r="F693" s="23" t="str">
        <f>HYPERLINK("https://www.spark-marketing.ru/Card/Lot/74182596", "Оказание услуг по организации питания обучающихся в ГБПОУ г.Москвы ""КМТИ им. Г.П. Вишневской"" в 2020 году (школьники)")</f>
        <v>Оказание услуг по организации питания обучающихся в ГБПОУ г.Москвы "КМТИ им. Г.П. Вишневской" в 2020 году (школьники)</v>
      </c>
      <c r="G693" s="22" t="s">
        <v>56</v>
      </c>
      <c r="H693" s="22" t="s">
        <v>56</v>
      </c>
      <c r="I693" s="26">
        <v>43742.6875</v>
      </c>
      <c r="J693" s="28" t="s">
        <v>51</v>
      </c>
      <c r="K693" s="28" t="s">
        <v>51</v>
      </c>
      <c r="L693" s="28" t="s">
        <v>51</v>
      </c>
      <c r="M693" s="28" t="s">
        <v>51</v>
      </c>
      <c r="N693" s="28" t="s">
        <v>51</v>
      </c>
    </row>
    <row r="694" spans="1:14" x14ac:dyDescent="0.15">
      <c r="A694" s="23" t="str">
        <f>HYPERLINK("https://www.spark-marketing.ru/Card/Person/55899", "ГБУЗ ""УСТЬ-ЛАБИНСКАЯ ЦРБ"" МЗ КК")</f>
        <v>ГБУЗ "УСТЬ-ЛАБИНСКАЯ ЦРБ" МЗ КК</v>
      </c>
      <c r="B694" s="24" t="s">
        <v>1602</v>
      </c>
      <c r="C694" s="25">
        <v>497300</v>
      </c>
      <c r="D694" s="22" t="s">
        <v>1603</v>
      </c>
      <c r="E694" s="22" t="s">
        <v>48</v>
      </c>
      <c r="F694" s="23" t="str">
        <f>HYPERLINK("https://www.spark-marketing.ru/Card/Lot/74182418", "Оказание услуг по обеспечению лечебным питанием пациентов ГБУЗ ""Усть-Лабинская ЦРБ"" МЗ КК")</f>
        <v>Оказание услуг по обеспечению лечебным питанием пациентов ГБУЗ "Усть-Лабинская ЦРБ" МЗ КК</v>
      </c>
      <c r="G694" s="22" t="s">
        <v>104</v>
      </c>
      <c r="H694" s="22" t="s">
        <v>1424</v>
      </c>
      <c r="I694" s="26">
        <v>43742.702083333301</v>
      </c>
      <c r="J694" s="23" t="str">
        <f>HYPERLINK("https://www.spark-marketing.ru/Card/Person/878131", "ООО "" АГРОПРОМСЕРВИС """)</f>
        <v>ООО " АГРОПРОМСЕРВИС "</v>
      </c>
      <c r="K694" s="24" t="s">
        <v>1425</v>
      </c>
      <c r="L694" s="22" t="s">
        <v>10</v>
      </c>
      <c r="M694" s="28" t="s">
        <v>51</v>
      </c>
      <c r="N694" s="28" t="s">
        <v>51</v>
      </c>
    </row>
    <row r="695" spans="1:14" x14ac:dyDescent="0.15">
      <c r="A695" s="23" t="str">
        <f>HYPERLINK("https://www.spark-marketing.ru/Card/Person/55899", "ГБУЗ ""УСТЬ-ЛАБИНСКАЯ ЦРБ"" МЗ КК")</f>
        <v>ГБУЗ "УСТЬ-ЛАБИНСКАЯ ЦРБ" МЗ КК</v>
      </c>
      <c r="B695" s="24" t="s">
        <v>1602</v>
      </c>
      <c r="C695" s="25">
        <v>497300</v>
      </c>
      <c r="D695" s="22" t="s">
        <v>1604</v>
      </c>
      <c r="E695" s="22" t="s">
        <v>48</v>
      </c>
      <c r="F695" s="23" t="str">
        <f>HYPERLINK("https://www.spark-marketing.ru/Card/Lot/74182419", "Оказание услуг по обеспечению лечебным питанием пациентов ГБУЗ ""Усть-Лабинская ЦРБ"" МЗ КК")</f>
        <v>Оказание услуг по обеспечению лечебным питанием пациентов ГБУЗ "Усть-Лабинская ЦРБ" МЗ КК</v>
      </c>
      <c r="G695" s="22" t="s">
        <v>104</v>
      </c>
      <c r="H695" s="22" t="s">
        <v>1424</v>
      </c>
      <c r="I695" s="26">
        <v>43742.702083333301</v>
      </c>
      <c r="J695" s="23" t="str">
        <f>HYPERLINK("https://www.spark-marketing.ru/Card/Person/878131", "ООО "" АГРОПРОМСЕРВИС """)</f>
        <v>ООО " АГРОПРОМСЕРВИС "</v>
      </c>
      <c r="K695" s="24" t="s">
        <v>1425</v>
      </c>
      <c r="L695" s="22" t="s">
        <v>10</v>
      </c>
      <c r="M695" s="28" t="s">
        <v>51</v>
      </c>
      <c r="N695" s="28" t="s">
        <v>51</v>
      </c>
    </row>
    <row r="696" spans="1:14" x14ac:dyDescent="0.15">
      <c r="A696" s="23" t="str">
        <f>HYPERLINK("https://www.spark-marketing.ru/Card/Person/108077", "АРБИТРАЖНЫЙ СУД РЕСПУБЛИКИ ДАГЕСТАН")</f>
        <v>АРБИТРАЖНЫЙ СУД РЕСПУБЛИКИ ДАГЕСТАН</v>
      </c>
      <c r="B696" s="24" t="s">
        <v>1605</v>
      </c>
      <c r="C696" s="25">
        <v>346860</v>
      </c>
      <c r="D696" s="22" t="s">
        <v>1606</v>
      </c>
      <c r="E696" s="22" t="s">
        <v>152</v>
      </c>
      <c r="F696" s="23" t="str">
        <f>HYPERLINK("https://www.spark-marketing.ru/Card/Lot/74182335", "Оказание услуг по ремонту источника бесперебойного питания Арбитражного суда Республики Дагестан")</f>
        <v>Оказание услуг по ремонту источника бесперебойного питания Арбитражного суда Республики Дагестан</v>
      </c>
      <c r="G696" s="22" t="s">
        <v>1607</v>
      </c>
      <c r="H696" s="22" t="s">
        <v>1608</v>
      </c>
      <c r="I696" s="26">
        <v>43742.695833333302</v>
      </c>
      <c r="J696" s="28" t="s">
        <v>51</v>
      </c>
      <c r="K696" s="28" t="s">
        <v>51</v>
      </c>
      <c r="L696" s="28" t="s">
        <v>51</v>
      </c>
      <c r="M696" s="28" t="s">
        <v>51</v>
      </c>
      <c r="N696" s="28" t="s">
        <v>51</v>
      </c>
    </row>
    <row r="697" spans="1:14" hidden="1" outlineLevel="1" x14ac:dyDescent="0.2">
      <c r="A697" s="23" t="str">
        <f>HYPERLINK("https://www.spark-marketing.ru/Card/Person/108077", "АРБИТРАЖНЫЙ СУД РЕСПУБЛИКИ ДАГЕСТАН")</f>
        <v>АРБИТРАЖНЫЙ СУД РЕСПУБЛИКИ ДАГЕСТАН</v>
      </c>
      <c r="B697" s="24" t="s">
        <v>1605</v>
      </c>
      <c r="C697" s="25">
        <v>346860</v>
      </c>
      <c r="D697" s="22" t="s">
        <v>1606</v>
      </c>
      <c r="E697" s="22" t="s">
        <v>152</v>
      </c>
      <c r="F697" s="23" t="str">
        <f>HYPERLINK("https://www.spark-marketing.ru/Card/Lot/74182335", "Оказание услуг по ремонту источника бесперебойного питания Арбитражного суда Республики Дагестан")</f>
        <v>Оказание услуг по ремонту источника бесперебойного питания Арбитражного суда Республики Дагестан</v>
      </c>
      <c r="G697" s="22" t="s">
        <v>1607</v>
      </c>
      <c r="H697" s="22" t="s">
        <v>1608</v>
      </c>
      <c r="I697" s="26">
        <v>43742.695833333302</v>
      </c>
      <c r="J697" s="23" t="str">
        <f>HYPERLINK("https://www.spark-marketing.ru/Card/Person/6617415", "ООО ""ГАРАНТ""")</f>
        <v>ООО "ГАРАНТ"</v>
      </c>
      <c r="K697" s="24" t="s">
        <v>1609</v>
      </c>
      <c r="L697" s="28" t="s">
        <v>51</v>
      </c>
      <c r="M697" s="25">
        <v>343391.4</v>
      </c>
      <c r="N697" s="27">
        <v>0.01</v>
      </c>
    </row>
    <row r="698" spans="1:14" ht="12.75" hidden="1" outlineLevel="1" x14ac:dyDescent="0.2">
      <c r="A698" s="23" t="str">
        <f>HYPERLINK("https://www.spark-marketing.ru/Card/Person/108077", "АРБИТРАЖНЫЙ СУД РЕСПУБЛИКИ ДАГЕСТАН")</f>
        <v>АРБИТРАЖНЫЙ СУД РЕСПУБЛИКИ ДАГЕСТАН</v>
      </c>
      <c r="B698" s="24" t="s">
        <v>1605</v>
      </c>
      <c r="C698" s="25">
        <v>346860</v>
      </c>
      <c r="D698" s="22" t="s">
        <v>1606</v>
      </c>
      <c r="E698" s="22" t="s">
        <v>152</v>
      </c>
      <c r="F698" s="23" t="str">
        <f>HYPERLINK("https://www.spark-marketing.ru/Card/Lot/74182335", "Оказание услуг по ремонту источника бесперебойного питания Арбитражного суда Республики Дагестан")</f>
        <v>Оказание услуг по ремонту источника бесперебойного питания Арбитражного суда Республики Дагестан</v>
      </c>
      <c r="G698" s="22" t="s">
        <v>1607</v>
      </c>
      <c r="H698" s="22" t="s">
        <v>1608</v>
      </c>
      <c r="I698" s="26">
        <v>43742.695833333302</v>
      </c>
      <c r="J698" s="23" t="str">
        <f>HYPERLINK("https://www.spark-marketing.ru/Card/Person/6619491", "ООО ""ДЕЛЬТЕР ГРУПП""")</f>
        <v>ООО "ДЕЛЬТЕР ГРУПП"</v>
      </c>
      <c r="K698" s="24" t="s">
        <v>1610</v>
      </c>
      <c r="L698" s="22" t="s">
        <v>10</v>
      </c>
      <c r="M698" s="25">
        <v>341657.1</v>
      </c>
      <c r="N698" s="27">
        <v>1.4999999999999999E-2</v>
      </c>
    </row>
    <row r="699" spans="1:14" x14ac:dyDescent="0.15">
      <c r="A699" s="23" t="str">
        <f>HYPERLINK("https://www.spark-marketing.ru/Card/Person/4352055", "ГБПОУ МО ""КОЛОМЕНСКИЙ АГРАРНЫЙ КОЛЛЕДЖ""")</f>
        <v>ГБПОУ МО "КОЛОМЕНСКИЙ АГРАРНЫЙ КОЛЛЕДЖ"</v>
      </c>
      <c r="B699" s="24" t="s">
        <v>1611</v>
      </c>
      <c r="C699" s="25">
        <v>559655.07999999996</v>
      </c>
      <c r="D699" s="22" t="s">
        <v>1612</v>
      </c>
      <c r="E699" s="22" t="s">
        <v>48</v>
      </c>
      <c r="F699" s="23" t="str">
        <f>HYPERLINK("https://www.spark-marketing.ru/Card/Lot/74175081", "Услуги по организации питания для учащихся ЕОСП ГБПОУ МО ""Коломенский аграрный колледж""")</f>
        <v>Услуги по организации питания для учащихся ЕОСП ГБПОУ МО "Коломенский аграрный колледж"</v>
      </c>
      <c r="G699" s="22" t="s">
        <v>49</v>
      </c>
      <c r="H699" s="22" t="s">
        <v>1613</v>
      </c>
      <c r="I699" s="26">
        <v>43742.669780092598</v>
      </c>
      <c r="J699" s="28" t="s">
        <v>51</v>
      </c>
      <c r="K699" s="28" t="s">
        <v>51</v>
      </c>
      <c r="L699" s="28" t="s">
        <v>51</v>
      </c>
      <c r="M699" s="28" t="s">
        <v>51</v>
      </c>
      <c r="N699" s="28" t="s">
        <v>51</v>
      </c>
    </row>
    <row r="700" spans="1:14" x14ac:dyDescent="0.15">
      <c r="A700" s="23" t="str">
        <f>HYPERLINK("https://www.spark-marketing.ru/Card/Person/2639", "УВД ПО ВАО ГУ МВД РОССИИ ПО Г. МОСКВЕ")</f>
        <v>УВД ПО ВАО ГУ МВД РОССИИ ПО Г. МОСКВЕ</v>
      </c>
      <c r="B700" s="24" t="s">
        <v>1614</v>
      </c>
      <c r="C700" s="25">
        <v>1169992.2</v>
      </c>
      <c r="D700" s="22" t="s">
        <v>1615</v>
      </c>
      <c r="E700" s="22" t="s">
        <v>48</v>
      </c>
      <c r="F700" s="23" t="str">
        <f>HYPERLINK("https://www.spark-marketing.ru/Card/Lot/74180784", "Оказание услуг по организации 3-х разового горячего питания лиц, подозреваемых и обвиняемых в совершении преступлений, содержащихся в ИВС УВД по ВАО ГУ МВД России по г.Москве")</f>
        <v>Оказание услуг по организации 3-х разового горячего питания лиц, подозреваемых и обвиняемых в совершении преступлений, содержащихся в ИВС УВД по ВАО ГУ МВД России по г.Москве</v>
      </c>
      <c r="G700" s="22" t="s">
        <v>56</v>
      </c>
      <c r="H700" s="22" t="s">
        <v>56</v>
      </c>
      <c r="I700" s="26">
        <v>43742.646527777797</v>
      </c>
      <c r="J700" s="28" t="s">
        <v>51</v>
      </c>
      <c r="K700" s="28" t="s">
        <v>51</v>
      </c>
      <c r="L700" s="28" t="s">
        <v>51</v>
      </c>
      <c r="M700" s="28" t="s">
        <v>51</v>
      </c>
      <c r="N700" s="28" t="s">
        <v>51</v>
      </c>
    </row>
    <row r="701" spans="1:14" x14ac:dyDescent="0.15">
      <c r="A701" s="23" t="str">
        <f>HYPERLINK("https://www.spark-marketing.ru/Card/Person/9368", "ГБУЗ ""ООКОД""")</f>
        <v>ГБУЗ "ООКОД"</v>
      </c>
      <c r="B701" s="24" t="s">
        <v>810</v>
      </c>
      <c r="C701" s="25">
        <v>132212.5</v>
      </c>
      <c r="D701" s="22" t="s">
        <v>1616</v>
      </c>
      <c r="E701" s="22" t="s">
        <v>1617</v>
      </c>
      <c r="F701" s="23" t="str">
        <f>HYPERLINK("https://www.spark-marketing.ru/Card/Lot/74176198", "на поставку продуктов питания (консервы мясные)")</f>
        <v>на поставку продуктов питания (консервы мясные)</v>
      </c>
      <c r="G701" s="22" t="s">
        <v>132</v>
      </c>
      <c r="H701" s="22" t="s">
        <v>587</v>
      </c>
      <c r="I701" s="26">
        <v>43742.650694444397</v>
      </c>
      <c r="J701" s="28" t="s">
        <v>51</v>
      </c>
      <c r="K701" s="28" t="s">
        <v>51</v>
      </c>
      <c r="L701" s="28" t="s">
        <v>51</v>
      </c>
      <c r="M701" s="28" t="s">
        <v>51</v>
      </c>
      <c r="N701" s="28" t="s">
        <v>51</v>
      </c>
    </row>
    <row r="702" spans="1:14" x14ac:dyDescent="0.15">
      <c r="A702" s="23" t="str">
        <f>HYPERLINK("https://www.spark-marketing.ru/Card/Person/4358496", "ООО ""ЛЕНИНГРАДСКАЯ АЭС-АВТО""")</f>
        <v>ООО "ЛЕНИНГРАДСКАЯ АЭС-АВТО"</v>
      </c>
      <c r="B702" s="24" t="s">
        <v>1618</v>
      </c>
      <c r="C702" s="28" t="s">
        <v>51</v>
      </c>
      <c r="D702" s="22" t="s">
        <v>1619</v>
      </c>
      <c r="E702" s="22" t="s">
        <v>86</v>
      </c>
      <c r="F702" s="23" t="str">
        <f>HYPERLINK("https://www.spark-marketing.ru/Card/Lot/74175644", "Оказание услуг по проведению лабораторных исследований и инструментальных измерений пищевых продуктов и продовольственного сырья на предприятиях общественного питания.")</f>
        <v>Оказание услуг по проведению лабораторных исследований и инструментальных измерений пищевых продуктов и продовольственного сырья на предприятиях общественного питания.</v>
      </c>
      <c r="G702" s="22" t="s">
        <v>162</v>
      </c>
      <c r="H702" s="22" t="s">
        <v>1620</v>
      </c>
      <c r="I702" s="26">
        <v>43742.647708333301</v>
      </c>
      <c r="J702" s="28" t="s">
        <v>51</v>
      </c>
      <c r="K702" s="28" t="s">
        <v>51</v>
      </c>
      <c r="L702" s="28" t="s">
        <v>51</v>
      </c>
      <c r="M702" s="28" t="s">
        <v>51</v>
      </c>
      <c r="N702" s="28" t="s">
        <v>51</v>
      </c>
    </row>
    <row r="703" spans="1:14" x14ac:dyDescent="0.15">
      <c r="A703" s="23" t="str">
        <f>HYPERLINK("https://www.spark-marketing.ru/Card/Person/4358496", "ООО ""ЛЕНИНГРАДСКАЯ АЭС-АВТО""")</f>
        <v>ООО "ЛЕНИНГРАДСКАЯ АЭС-АВТО"</v>
      </c>
      <c r="B703" s="24" t="s">
        <v>1618</v>
      </c>
      <c r="C703" s="25">
        <v>0</v>
      </c>
      <c r="D703" s="22" t="s">
        <v>1621</v>
      </c>
      <c r="E703" s="22" t="s">
        <v>52</v>
      </c>
      <c r="F703" s="23" t="str">
        <f>HYPERLINK("https://www.spark-marketing.ru/Card/Lot/74180605", "мониторинг цен в электронной форме на Оказание услуг по проведению лабораторных исследований и инструментальных измерений пищевых продуктов и продовольственного сырья на предприятиях общественного питания.")</f>
        <v>мониторинг цен в электронной форме на Оказание услуг по проведению лабораторных исследований и инструментальных измерений пищевых продуктов и продовольственного сырья на предприятиях общественного питания.</v>
      </c>
      <c r="G703" s="22" t="s">
        <v>162</v>
      </c>
      <c r="H703" s="22" t="s">
        <v>1620</v>
      </c>
      <c r="I703" s="26">
        <v>43742.6476273148</v>
      </c>
      <c r="J703" s="28" t="s">
        <v>51</v>
      </c>
      <c r="K703" s="28" t="s">
        <v>51</v>
      </c>
      <c r="L703" s="28" t="s">
        <v>51</v>
      </c>
      <c r="M703" s="28" t="s">
        <v>51</v>
      </c>
      <c r="N703" s="28" t="s">
        <v>51</v>
      </c>
    </row>
    <row r="704" spans="1:14" x14ac:dyDescent="0.15">
      <c r="A704" s="23" t="str">
        <f>HYPERLINK("https://www.spark-marketing.ru/Card/Person/1284", "БУ ""ХАНТЫ-МАНСИЙСКИЙ КЛИНИЧЕСКИЙ КОЖНО-ВЕНЕРОЛОГИЧЕСКИЙ ДИСПАНСЕР""")</f>
        <v>БУ "ХАНТЫ-МАНСИЙСКИЙ КЛИНИЧЕСКИЙ КОЖНО-ВЕНЕРОЛОГИЧЕСКИЙ ДИСПАНСЕР"</v>
      </c>
      <c r="B704" s="24" t="s">
        <v>1622</v>
      </c>
      <c r="C704" s="25">
        <v>12113980.67</v>
      </c>
      <c r="D704" s="22" t="s">
        <v>1623</v>
      </c>
      <c r="E704" s="22" t="s">
        <v>48</v>
      </c>
      <c r="F704" s="23" t="str">
        <f>HYPERLINK("https://www.spark-marketing.ru/Card/Lot/74182927", "Оказание услуг по организации лечебного питания пациентов")</f>
        <v>Оказание услуг по организации лечебного питания пациентов</v>
      </c>
      <c r="G704" s="22" t="s">
        <v>97</v>
      </c>
      <c r="H704" s="22" t="s">
        <v>98</v>
      </c>
      <c r="I704" s="26">
        <v>43742.658333333296</v>
      </c>
      <c r="J704" s="28" t="s">
        <v>51</v>
      </c>
      <c r="K704" s="28" t="s">
        <v>51</v>
      </c>
      <c r="L704" s="28" t="s">
        <v>51</v>
      </c>
      <c r="M704" s="28" t="s">
        <v>51</v>
      </c>
      <c r="N704" s="28" t="s">
        <v>51</v>
      </c>
    </row>
    <row r="705" spans="1:14" x14ac:dyDescent="0.15">
      <c r="A705" s="23" t="str">
        <f>HYPERLINK("https://www.spark-marketing.ru/Card/Person/72812", "ГБУЗ ""СОДИБ""")</f>
        <v>ГБУЗ "СОДИБ"</v>
      </c>
      <c r="B705" s="24" t="s">
        <v>1068</v>
      </c>
      <c r="C705" s="25">
        <v>4616810</v>
      </c>
      <c r="D705" s="22" t="s">
        <v>1624</v>
      </c>
      <c r="E705" s="22" t="s">
        <v>48</v>
      </c>
      <c r="F705" s="23" t="str">
        <f>HYPERLINK("https://www.spark-marketing.ru/Card/Lot/73963748", "Оказание услуг по организации диетического лечебного питания для пациентов, находящихся на стационарном лечении в отделениях государственного бюджетного учреждения здравоохранения ""Самарская областная детская инфекционная больница""в 2020 году.")</f>
        <v>Оказание услуг по организации диетического лечебного питания для пациентов, находящихся на стационарном лечении в отделениях государственного бюджетного учреждения здравоохранения "Самарская областная детская инфекционная больница"в 2020 году.</v>
      </c>
      <c r="G705" s="22" t="s">
        <v>128</v>
      </c>
      <c r="H705" s="22" t="s">
        <v>129</v>
      </c>
      <c r="I705" s="26">
        <v>43735.449166666702</v>
      </c>
      <c r="J705" s="28" t="s">
        <v>51</v>
      </c>
      <c r="K705" s="28" t="s">
        <v>51</v>
      </c>
      <c r="L705" s="28" t="s">
        <v>51</v>
      </c>
      <c r="M705" s="28" t="s">
        <v>51</v>
      </c>
      <c r="N705" s="28" t="s">
        <v>51</v>
      </c>
    </row>
    <row r="706" spans="1:14" x14ac:dyDescent="0.15">
      <c r="A706" s="23" t="str">
        <f>HYPERLINK("https://www.spark-marketing.ru/Card/Person/79119", "КОГБУЗ ""КИРОВСКИЙ ОБЛАСТНОЙ ХОСПИС""")</f>
        <v>КОГБУЗ "КИРОВСКИЙ ОБЛАСТНОЙ ХОСПИС"</v>
      </c>
      <c r="B706" s="24" t="s">
        <v>1625</v>
      </c>
      <c r="C706" s="25">
        <v>4805164.8</v>
      </c>
      <c r="D706" s="22" t="s">
        <v>1626</v>
      </c>
      <c r="E706" s="22" t="s">
        <v>96</v>
      </c>
      <c r="F706" s="23" t="str">
        <f>HYPERLINK("https://www.spark-marketing.ru/Card/Lot/74182642", "Оказание услуг по приготовлению и передаче ежедневного лечебного горячего питания для снабжения пациентов стационара")</f>
        <v>Оказание услуг по приготовлению и передаче ежедневного лечебного горячего питания для снабжения пациентов стационара</v>
      </c>
      <c r="G706" s="22" t="s">
        <v>224</v>
      </c>
      <c r="H706" s="22" t="s">
        <v>225</v>
      </c>
      <c r="I706" s="26">
        <v>43742.598611111098</v>
      </c>
      <c r="J706" s="28" t="s">
        <v>51</v>
      </c>
      <c r="K706" s="28" t="s">
        <v>51</v>
      </c>
      <c r="L706" s="28" t="s">
        <v>51</v>
      </c>
      <c r="M706" s="28" t="s">
        <v>51</v>
      </c>
      <c r="N706" s="28" t="s">
        <v>51</v>
      </c>
    </row>
    <row r="707" spans="1:14" x14ac:dyDescent="0.15">
      <c r="A707" s="23" t="str">
        <f>HYPERLINK("https://www.spark-marketing.ru/Card/Person/69726", "КОГБУЗ ""ШАБАЛИНСКАЯ ЦЕНТРАЛЬНАЯ РАЙОННАЯ БОЛЬНИЦА"", КОГБУЗ ""ШАБАЛИНСКАЯ ЦРБ""")</f>
        <v>КОГБУЗ "ШАБАЛИНСКАЯ ЦЕНТРАЛЬНАЯ РАЙОННАЯ БОЛЬНИЦА", КОГБУЗ "ШАБАЛИНСКАЯ ЦРБ"</v>
      </c>
      <c r="B707" s="24" t="s">
        <v>1627</v>
      </c>
      <c r="C707" s="25">
        <v>6557548</v>
      </c>
      <c r="D707" s="22" t="s">
        <v>1628</v>
      </c>
      <c r="E707" s="22" t="s">
        <v>48</v>
      </c>
      <c r="F707" s="23" t="str">
        <f>HYPERLINK("https://www.spark-marketing.ru/Card/Lot/74182568", "Оказание услуг по приготовлению и передаче ежедневного лечебного горячего питания")</f>
        <v>Оказание услуг по приготовлению и передаче ежедневного лечебного горячего питания</v>
      </c>
      <c r="G707" s="22" t="s">
        <v>224</v>
      </c>
      <c r="H707" s="22" t="s">
        <v>1629</v>
      </c>
      <c r="I707" s="26">
        <v>43742.603472222203</v>
      </c>
      <c r="J707" s="28" t="s">
        <v>51</v>
      </c>
      <c r="K707" s="28" t="s">
        <v>51</v>
      </c>
      <c r="L707" s="28" t="s">
        <v>51</v>
      </c>
      <c r="M707" s="28" t="s">
        <v>51</v>
      </c>
      <c r="N707" s="28" t="s">
        <v>51</v>
      </c>
    </row>
    <row r="708" spans="1:14" x14ac:dyDescent="0.15">
      <c r="A708" s="23" t="str">
        <f>HYPERLINK("https://www.spark-marketing.ru/Card/Person/56087", "МБУ ""ГРЕБНОЙ КАНАЛ ""ДОН""")</f>
        <v>МБУ "ГРЕБНОЙ КАНАЛ "ДОН"</v>
      </c>
      <c r="B708" s="24" t="s">
        <v>1630</v>
      </c>
      <c r="C708" s="25">
        <v>749700</v>
      </c>
      <c r="D708" s="22" t="s">
        <v>1631</v>
      </c>
      <c r="E708" s="22" t="s">
        <v>1632</v>
      </c>
      <c r="F708" s="23" t="str">
        <f>HYPERLINK("https://www.spark-marketing.ru/Card/Lot/74179208", "Оказание услуг по организации проживания и питания спортсменов и тренеров МБУ ""Гребной канал ""Дон"" при проведении тренировочных сборов.")</f>
        <v>Оказание услуг по организации проживания и питания спортсменов и тренеров МБУ "Гребной канал "Дон" при проведении тренировочных сборов.</v>
      </c>
      <c r="G708" s="22" t="s">
        <v>267</v>
      </c>
      <c r="H708" s="22" t="s">
        <v>267</v>
      </c>
      <c r="I708" s="26">
        <v>43742.594444444403</v>
      </c>
      <c r="J708" s="28" t="s">
        <v>51</v>
      </c>
      <c r="K708" s="28" t="s">
        <v>51</v>
      </c>
      <c r="L708" s="28" t="s">
        <v>51</v>
      </c>
      <c r="M708" s="28" t="s">
        <v>51</v>
      </c>
      <c r="N708" s="28" t="s">
        <v>51</v>
      </c>
    </row>
    <row r="709" spans="1:14" ht="12.75" hidden="1" outlineLevel="1" x14ac:dyDescent="0.2">
      <c r="A709" s="23" t="str">
        <f>HYPERLINK("https://www.spark-marketing.ru/Card/Person/56087", "МБУ ""ГРЕБНОЙ КАНАЛ ""ДОН""")</f>
        <v>МБУ "ГРЕБНОЙ КАНАЛ "ДОН"</v>
      </c>
      <c r="B709" s="24" t="s">
        <v>1630</v>
      </c>
      <c r="C709" s="25">
        <v>749700</v>
      </c>
      <c r="D709" s="22" t="s">
        <v>1631</v>
      </c>
      <c r="E709" s="22" t="s">
        <v>1632</v>
      </c>
      <c r="F709" s="23" t="str">
        <f>HYPERLINK("https://www.spark-marketing.ru/Card/Lot/74179208", "Оказание услуг по организации проживания и питания спортсменов и тренеров МБУ ""Гребной канал ""Дон"" при проведении тренировочных сборов.")</f>
        <v>Оказание услуг по организации проживания и питания спортсменов и тренеров МБУ "Гребной канал "Дон" при проведении тренировочных сборов.</v>
      </c>
      <c r="G709" s="22" t="s">
        <v>267</v>
      </c>
      <c r="H709" s="22" t="s">
        <v>267</v>
      </c>
      <c r="I709" s="26">
        <v>43742.594444444403</v>
      </c>
      <c r="J709" s="23" t="str">
        <f>HYPERLINK("https://www.spark-marketing.ru/Card/Person/285431", "ООО ""ДОК ""СПУТНИК""")</f>
        <v>ООО "ДОК "СПУТНИК"</v>
      </c>
      <c r="K709" s="24" t="s">
        <v>1633</v>
      </c>
      <c r="L709" s="22" t="s">
        <v>10</v>
      </c>
      <c r="M709" s="25">
        <v>730957.5</v>
      </c>
      <c r="N709" s="27">
        <v>2.5000000000000001E-2</v>
      </c>
    </row>
    <row r="710" spans="1:14" hidden="1" outlineLevel="1" x14ac:dyDescent="0.2">
      <c r="A710" s="23" t="str">
        <f>HYPERLINK("https://www.spark-marketing.ru/Card/Person/56087", "МБУ ""ГРЕБНОЙ КАНАЛ ""ДОН""")</f>
        <v>МБУ "ГРЕБНОЙ КАНАЛ "ДОН"</v>
      </c>
      <c r="B710" s="24" t="s">
        <v>1630</v>
      </c>
      <c r="C710" s="25">
        <v>749700</v>
      </c>
      <c r="D710" s="22" t="s">
        <v>1631</v>
      </c>
      <c r="E710" s="22" t="s">
        <v>1632</v>
      </c>
      <c r="F710" s="23" t="str">
        <f>HYPERLINK("https://www.spark-marketing.ru/Card/Lot/74179208", "Оказание услуг по организации проживания и питания спортсменов и тренеров МБУ ""Гребной канал ""Дон"" при проведении тренировочных сборов.")</f>
        <v>Оказание услуг по организации проживания и питания спортсменов и тренеров МБУ "Гребной канал "Дон" при проведении тренировочных сборов.</v>
      </c>
      <c r="G710" s="22" t="s">
        <v>267</v>
      </c>
      <c r="H710" s="22" t="s">
        <v>267</v>
      </c>
      <c r="I710" s="26">
        <v>43742.594444444403</v>
      </c>
      <c r="J710" s="23" t="str">
        <f>HYPERLINK("https://www.spark-marketing.ru/Card/Person/6514967", "ООО ""АЛЬЯНС""")</f>
        <v>ООО "АЛЬЯНС"</v>
      </c>
      <c r="K710" s="24" t="s">
        <v>1634</v>
      </c>
      <c r="L710" s="28" t="s">
        <v>51</v>
      </c>
      <c r="M710" s="25">
        <v>730957.5</v>
      </c>
      <c r="N710" s="27">
        <v>2.5000000000000001E-2</v>
      </c>
    </row>
    <row r="711" spans="1:14" x14ac:dyDescent="0.15">
      <c r="A711" s="23" t="str">
        <f>HYPERLINK("https://www.spark-marketing.ru/Card/Person/149201", "МБОУ ""СШ №15""")</f>
        <v>МБОУ "СШ №15"</v>
      </c>
      <c r="B711" s="24" t="s">
        <v>1635</v>
      </c>
      <c r="C711" s="25">
        <v>140136</v>
      </c>
      <c r="D711" s="22" t="s">
        <v>1636</v>
      </c>
      <c r="E711" s="22" t="s">
        <v>48</v>
      </c>
      <c r="F711" s="23" t="str">
        <f>HYPERLINK("https://www.spark-marketing.ru/Card/Lot/74176264",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711" s="22" t="s">
        <v>97</v>
      </c>
      <c r="H711" s="22" t="s">
        <v>366</v>
      </c>
      <c r="I711" s="26">
        <v>43742.666666666701</v>
      </c>
      <c r="J711" s="28" t="s">
        <v>51</v>
      </c>
      <c r="K711" s="28" t="s">
        <v>51</v>
      </c>
      <c r="L711" s="28" t="s">
        <v>51</v>
      </c>
      <c r="M711" s="28" t="s">
        <v>51</v>
      </c>
      <c r="N711" s="28" t="s">
        <v>51</v>
      </c>
    </row>
    <row r="712" spans="1:14" ht="12.75" hidden="1" outlineLevel="1" x14ac:dyDescent="0.2">
      <c r="A712" s="23" t="str">
        <f>HYPERLINK("https://www.spark-marketing.ru/Card/Person/149201", "МБОУ ""СШ №15""")</f>
        <v>МБОУ "СШ №15"</v>
      </c>
      <c r="B712" s="24" t="s">
        <v>1635</v>
      </c>
      <c r="C712" s="25">
        <v>140136</v>
      </c>
      <c r="D712" s="22" t="s">
        <v>1636</v>
      </c>
      <c r="E712" s="22" t="s">
        <v>48</v>
      </c>
      <c r="F712" s="23" t="str">
        <f>HYPERLINK("https://www.spark-marketing.ru/Card/Lot/74176264",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712" s="22" t="s">
        <v>97</v>
      </c>
      <c r="H712" s="22" t="s">
        <v>366</v>
      </c>
      <c r="I712" s="26">
        <v>43742.666666666701</v>
      </c>
      <c r="J712" s="23" t="str">
        <f>HYPERLINK("https://www.spark-marketing.ru/Card/Person/45523", "ООО ""САМОТЛОР""")</f>
        <v>ООО "САМОТЛОР"</v>
      </c>
      <c r="K712" s="24" t="s">
        <v>1637</v>
      </c>
      <c r="L712" s="22" t="s">
        <v>10</v>
      </c>
      <c r="M712" s="25">
        <v>140130</v>
      </c>
      <c r="N712" s="27">
        <v>4.2815550607980816E-5</v>
      </c>
    </row>
    <row r="713" spans="1:14" hidden="1" outlineLevel="1" x14ac:dyDescent="0.2">
      <c r="A713" s="23" t="str">
        <f>HYPERLINK("https://www.spark-marketing.ru/Card/Person/149201", "МБОУ ""СШ №15""")</f>
        <v>МБОУ "СШ №15"</v>
      </c>
      <c r="B713" s="24" t="s">
        <v>1635</v>
      </c>
      <c r="C713" s="25">
        <v>140136</v>
      </c>
      <c r="D713" s="22" t="s">
        <v>1636</v>
      </c>
      <c r="E713" s="22" t="s">
        <v>48</v>
      </c>
      <c r="F713" s="23" t="str">
        <f>HYPERLINK("https://www.spark-marketing.ru/Card/Lot/74176264", "Оказание в осенний период 2019 года услуг по организации питания детей в лагере дневного пребывания")</f>
        <v>Оказание в осенний период 2019 года услуг по организации питания детей в лагере дневного пребывания</v>
      </c>
      <c r="G713" s="22" t="s">
        <v>97</v>
      </c>
      <c r="H713" s="22" t="s">
        <v>366</v>
      </c>
      <c r="I713" s="26">
        <v>43742.666666666701</v>
      </c>
      <c r="J713" s="23" t="str">
        <f>HYPERLINK("https://www.spark-marketing.ru/Card/Person/5846583", "ООО ""АБВГД""")</f>
        <v>ООО "АБВГД"</v>
      </c>
      <c r="K713" s="24" t="s">
        <v>1467</v>
      </c>
      <c r="L713" s="28" t="s">
        <v>51</v>
      </c>
      <c r="M713" s="25">
        <v>140136</v>
      </c>
      <c r="N713" s="27">
        <v>0</v>
      </c>
    </row>
    <row r="714" spans="1:14" x14ac:dyDescent="0.15">
      <c r="A714" s="23" t="str">
        <f>HYPERLINK("https://www.spark-marketing.ru/Card/Person/72026", "МБОУ ""СШ №23 С УИИЯ""")</f>
        <v>МБОУ "СШ №23 С УИИЯ"</v>
      </c>
      <c r="B714" s="24" t="s">
        <v>1638</v>
      </c>
      <c r="C714" s="25">
        <v>109481.25</v>
      </c>
      <c r="D714" s="22" t="s">
        <v>1639</v>
      </c>
      <c r="E714" s="22" t="s">
        <v>48</v>
      </c>
      <c r="F714" s="23" t="str">
        <f>HYPERLINK("https://www.spark-marketing.ru/Card/Lot/74180105", "Оказание в осенний период 2019 года услуг по организации питания детей в лагере дневного пребывания при муниципальном бюджетном общеобразовательном учреждении ""Средняя школа №23 с УИИЯ"".")</f>
        <v>Оказание в осенний период 2019 года услуг по организации питания детей в лагере дневного пребывания при муниципальном бюджетном общеобразовательном учреждении "Средняя школа №23 с УИИЯ".</v>
      </c>
      <c r="G714" s="22" t="s">
        <v>97</v>
      </c>
      <c r="H714" s="22" t="s">
        <v>366</v>
      </c>
      <c r="I714" s="26">
        <v>43742.693749999999</v>
      </c>
      <c r="J714" s="28" t="s">
        <v>51</v>
      </c>
      <c r="K714" s="28" t="s">
        <v>51</v>
      </c>
      <c r="L714" s="28" t="s">
        <v>51</v>
      </c>
      <c r="M714" s="28" t="s">
        <v>51</v>
      </c>
      <c r="N714" s="28" t="s">
        <v>51</v>
      </c>
    </row>
    <row r="715" spans="1:14" ht="12.75" hidden="1" outlineLevel="1" x14ac:dyDescent="0.2">
      <c r="A715" s="23" t="str">
        <f>HYPERLINK("https://www.spark-marketing.ru/Card/Person/72026", "МБОУ ""СШ №23 С УИИЯ""")</f>
        <v>МБОУ "СШ №23 С УИИЯ"</v>
      </c>
      <c r="B715" s="24" t="s">
        <v>1638</v>
      </c>
      <c r="C715" s="25">
        <v>109481.25</v>
      </c>
      <c r="D715" s="22" t="s">
        <v>1639</v>
      </c>
      <c r="E715" s="22" t="s">
        <v>48</v>
      </c>
      <c r="F715" s="23" t="str">
        <f>HYPERLINK("https://www.spark-marketing.ru/Card/Lot/74180105", "Оказание в осенний период 2019 года услуг по организации питания детей в лагере дневного пребывания при муниципальном бюджетном общеобразовательном учреждении ""Средняя школа №23 с УИИЯ"".")</f>
        <v>Оказание в осенний период 2019 года услуг по организации питания детей в лагере дневного пребывания при муниципальном бюджетном общеобразовательном учреждении "Средняя школа №23 с УИИЯ".</v>
      </c>
      <c r="G715" s="22" t="s">
        <v>97</v>
      </c>
      <c r="H715" s="22" t="s">
        <v>366</v>
      </c>
      <c r="I715" s="26">
        <v>43742.693749999999</v>
      </c>
      <c r="J715" s="23" t="str">
        <f>HYPERLINK("https://www.spark-marketing.ru/Card/Person/4873794", "ООО ""КШП-1""")</f>
        <v>ООО "КШП-1"</v>
      </c>
      <c r="K715" s="24" t="s">
        <v>1640</v>
      </c>
      <c r="L715" s="22" t="s">
        <v>10</v>
      </c>
      <c r="M715" s="25">
        <v>109481</v>
      </c>
      <c r="N715" s="27">
        <v>2.2834960324256436E-6</v>
      </c>
    </row>
    <row r="716" spans="1:14" hidden="1" outlineLevel="1" x14ac:dyDescent="0.2">
      <c r="A716" s="23" t="str">
        <f>HYPERLINK("https://www.spark-marketing.ru/Card/Person/72026", "МБОУ ""СШ №23 С УИИЯ""")</f>
        <v>МБОУ "СШ №23 С УИИЯ"</v>
      </c>
      <c r="B716" s="24" t="s">
        <v>1638</v>
      </c>
      <c r="C716" s="25">
        <v>109481.25</v>
      </c>
      <c r="D716" s="22" t="s">
        <v>1639</v>
      </c>
      <c r="E716" s="22" t="s">
        <v>48</v>
      </c>
      <c r="F716" s="23" t="str">
        <f>HYPERLINK("https://www.spark-marketing.ru/Card/Lot/74180105", "Оказание в осенний период 2019 года услуг по организации питания детей в лагере дневного пребывания при муниципальном бюджетном общеобразовательном учреждении ""Средняя школа №23 с УИИЯ"".")</f>
        <v>Оказание в осенний период 2019 года услуг по организации питания детей в лагере дневного пребывания при муниципальном бюджетном общеобразовательном учреждении "Средняя школа №23 с УИИЯ".</v>
      </c>
      <c r="G716" s="22" t="s">
        <v>97</v>
      </c>
      <c r="H716" s="22" t="s">
        <v>366</v>
      </c>
      <c r="I716" s="26">
        <v>43742.693749999999</v>
      </c>
      <c r="J716" s="23" t="str">
        <f>HYPERLINK("https://www.spark-marketing.ru/Card/Person/5846583", "ООО ""АБВГД""")</f>
        <v>ООО "АБВГД"</v>
      </c>
      <c r="K716" s="24" t="s">
        <v>1467</v>
      </c>
      <c r="L716" s="28" t="s">
        <v>51</v>
      </c>
      <c r="M716" s="25">
        <v>109481.25</v>
      </c>
      <c r="N716" s="27">
        <v>0</v>
      </c>
    </row>
    <row r="717" spans="1:14" x14ac:dyDescent="0.15">
      <c r="A717" s="23" t="str">
        <f>HYPERLINK("https://www.spark-marketing.ru/Card/Person/4348397", "КГБПОУ ""НАЗАРОВСКИЙ ЭНЕРГОСТРОИТЕЛЬНЫЙ ТЕХНИКУМ""")</f>
        <v>КГБПОУ "НАЗАРОВСКИЙ ЭНЕРГОСТРОИТЕЛЬНЫЙ ТЕХНИКУМ"</v>
      </c>
      <c r="B717" s="24" t="s">
        <v>1641</v>
      </c>
      <c r="C717" s="25">
        <v>1974542.3</v>
      </c>
      <c r="D717" s="22" t="s">
        <v>1642</v>
      </c>
      <c r="E717" s="22" t="s">
        <v>48</v>
      </c>
      <c r="F717" s="23" t="str">
        <f>HYPERLINK("https://www.spark-marketing.ru/Card/Lot/74167396", "ЭА № 47709/19 - Услуги по организации готового горячего питания")</f>
        <v>ЭА № 47709/19 - Услуги по организации готового горячего питания</v>
      </c>
      <c r="G717" s="22" t="s">
        <v>281</v>
      </c>
      <c r="H717" s="22" t="s">
        <v>1643</v>
      </c>
      <c r="I717" s="26">
        <v>43742.619444444397</v>
      </c>
      <c r="J717" s="28" t="s">
        <v>51</v>
      </c>
      <c r="K717" s="28" t="s">
        <v>51</v>
      </c>
      <c r="L717" s="28" t="s">
        <v>51</v>
      </c>
      <c r="M717" s="28" t="s">
        <v>51</v>
      </c>
      <c r="N717" s="28" t="s">
        <v>51</v>
      </c>
    </row>
    <row r="718" spans="1:14" x14ac:dyDescent="0.15">
      <c r="A718" s="23" t="str">
        <f>HYPERLINK("https://www.spark-marketing.ru/Card/Person/103684", "ГБУЗ МО КПТД")</f>
        <v>ГБУЗ МО КПТД</v>
      </c>
      <c r="B718" s="24" t="s">
        <v>1644</v>
      </c>
      <c r="C718" s="25">
        <v>2130448</v>
      </c>
      <c r="D718" s="22" t="s">
        <v>1645</v>
      </c>
      <c r="E718" s="22" t="s">
        <v>48</v>
      </c>
      <c r="F718" s="23" t="str">
        <f>HYPERLINK("https://www.spark-marketing.ru/Card/Lot/74180745", "Оказание услуг по организации питания пациентов противотуберкулезного диспансера")</f>
        <v>Оказание услуг по организации питания пациентов противотуберкулезного диспансера</v>
      </c>
      <c r="G718" s="22" t="s">
        <v>49</v>
      </c>
      <c r="H718" s="22" t="s">
        <v>180</v>
      </c>
      <c r="I718" s="26">
        <v>43742.621527777803</v>
      </c>
      <c r="J718" s="23" t="str">
        <f>HYPERLINK("https://www.spark-marketing.ru/Card/Person/74825", "ООО ""ИНСТИТУТ ПИТАНИЯ""")</f>
        <v>ООО "ИНСТИТУТ ПИТАНИЯ"</v>
      </c>
      <c r="K718" s="24" t="s">
        <v>1646</v>
      </c>
      <c r="L718" s="22" t="s">
        <v>10</v>
      </c>
      <c r="M718" s="28" t="s">
        <v>51</v>
      </c>
      <c r="N718" s="28" t="s">
        <v>51</v>
      </c>
    </row>
    <row r="719" spans="1:14" x14ac:dyDescent="0.15">
      <c r="A719" s="23" t="str">
        <f>HYPERLINK("https://www.spark-marketing.ru/Card/Person/5355", "ГБУЗ ""ИКБ № 1 ДЗМ""")</f>
        <v>ГБУЗ "ИКБ № 1 ДЗМ"</v>
      </c>
      <c r="B719" s="24" t="s">
        <v>1647</v>
      </c>
      <c r="C719" s="25">
        <v>2689249.17</v>
      </c>
      <c r="D719" s="22" t="s">
        <v>1648</v>
      </c>
      <c r="E719" s="22" t="s">
        <v>756</v>
      </c>
      <c r="F719" s="23" t="str">
        <f>HYPERLINK("https://www.spark-marketing.ru/Card/Lot/74181026", "Оказание услуг по техническому обслуживанию и текущему ремонту систем автоматической противопожарной защиты зданий ГБУЗ «ИКБ №1 ДЗМ» в 2020 году")</f>
        <v>Оказание услуг по техническому обслуживанию и текущему ремонту систем автоматической противопожарной защиты зданий ГБУЗ «ИКБ №1 ДЗМ» в 2020 году</v>
      </c>
      <c r="G719" s="22" t="s">
        <v>56</v>
      </c>
      <c r="H719" s="22" t="s">
        <v>56</v>
      </c>
      <c r="I719" s="26">
        <v>43742.598611111098</v>
      </c>
      <c r="J719" s="28" t="s">
        <v>51</v>
      </c>
      <c r="K719" s="28" t="s">
        <v>51</v>
      </c>
      <c r="L719" s="28" t="s">
        <v>51</v>
      </c>
      <c r="M719" s="28" t="s">
        <v>51</v>
      </c>
      <c r="N719" s="28" t="s">
        <v>51</v>
      </c>
    </row>
    <row r="720" spans="1:14" x14ac:dyDescent="0.15">
      <c r="A720" s="23" t="str">
        <f>HYPERLINK("https://www.spark-marketing.ru/Card/Person/51537", "АППАРАТ ПРАВИТЕЛЬСТВА ПЕРМСКОГО КРАЯ")</f>
        <v>АППАРАТ ПРАВИТЕЛЬСТВА ПЕРМСКОГО КРАЯ</v>
      </c>
      <c r="B720" s="24" t="s">
        <v>1649</v>
      </c>
      <c r="C720" s="25">
        <v>3033333.33</v>
      </c>
      <c r="D720" s="22" t="s">
        <v>1650</v>
      </c>
      <c r="E720" s="22" t="s">
        <v>96</v>
      </c>
      <c r="F720" s="23" t="str">
        <f>HYPERLINK("https://www.spark-marketing.ru/Card/Lot/74182449", "Оказание услуг по организации обслуживания мероприятий с участием федеральных и международных гостей региона.")</f>
        <v>Оказание услуг по организации обслуживания мероприятий с участием федеральных и международных гостей региона.</v>
      </c>
      <c r="G720" s="22" t="s">
        <v>153</v>
      </c>
      <c r="H720" s="22" t="s">
        <v>153</v>
      </c>
      <c r="I720" s="26">
        <v>43742.583333333299</v>
      </c>
      <c r="J720" s="28" t="s">
        <v>51</v>
      </c>
      <c r="K720" s="28" t="s">
        <v>51</v>
      </c>
      <c r="L720" s="28" t="s">
        <v>51</v>
      </c>
      <c r="M720" s="28" t="s">
        <v>51</v>
      </c>
      <c r="N720" s="28" t="s">
        <v>51</v>
      </c>
    </row>
    <row r="721" spans="1:14" x14ac:dyDescent="0.15">
      <c r="A721" s="23" t="str">
        <f>HYPERLINK("https://www.spark-marketing.ru/Card/Person/1007586", "МОУ ""ГИМНАЗИЯ ""ЛОГОС""")</f>
        <v>МОУ "ГИМНАЗИЯ "ЛОГОС"</v>
      </c>
      <c r="B721" s="24" t="s">
        <v>1651</v>
      </c>
      <c r="C721" s="25">
        <v>109395</v>
      </c>
      <c r="D721" s="22" t="s">
        <v>1652</v>
      </c>
      <c r="E721" s="22" t="s">
        <v>48</v>
      </c>
      <c r="F721" s="23" t="str">
        <f>HYPERLINK("https://www.spark-marketing.ru/Card/Lot/74176097", "Оказание услуг по организации горячего питания учащихся МОУ ""Гимназия ""Логос"" города Кимры Тверской области")</f>
        <v>Оказание услуг по организации горячего питания учащихся МОУ "Гимназия "Логос" города Кимры Тверской области</v>
      </c>
      <c r="G721" s="22" t="s">
        <v>137</v>
      </c>
      <c r="H721" s="22" t="s">
        <v>1431</v>
      </c>
      <c r="I721" s="26">
        <v>43742.596527777801</v>
      </c>
      <c r="J721" s="28" t="s">
        <v>51</v>
      </c>
      <c r="K721" s="28" t="s">
        <v>51</v>
      </c>
      <c r="L721" s="28" t="s">
        <v>51</v>
      </c>
      <c r="M721" s="28" t="s">
        <v>51</v>
      </c>
      <c r="N721" s="28" t="s">
        <v>51</v>
      </c>
    </row>
    <row r="722" spans="1:14" ht="12.75" hidden="1" outlineLevel="1" x14ac:dyDescent="0.2">
      <c r="A722" s="23" t="str">
        <f>HYPERLINK("https://www.spark-marketing.ru/Card/Person/1007586", "МОУ ""ГИМНАЗИЯ ""ЛОГОС""")</f>
        <v>МОУ "ГИМНАЗИЯ "ЛОГОС"</v>
      </c>
      <c r="B722" s="24" t="s">
        <v>1651</v>
      </c>
      <c r="C722" s="25">
        <v>109395</v>
      </c>
      <c r="D722" s="22" t="s">
        <v>1652</v>
      </c>
      <c r="E722" s="22" t="s">
        <v>48</v>
      </c>
      <c r="F722" s="23" t="str">
        <f>HYPERLINK("https://www.spark-marketing.ru/Card/Lot/74176097", "Оказание услуг по организации горячего питания учащихся МОУ ""Гимназия ""Логос"" города Кимры Тверской области")</f>
        <v>Оказание услуг по организации горячего питания учащихся МОУ "Гимназия "Логос" города Кимры Тверской области</v>
      </c>
      <c r="G722" s="22" t="s">
        <v>137</v>
      </c>
      <c r="H722" s="22" t="s">
        <v>1431</v>
      </c>
      <c r="I722" s="26">
        <v>43742.596527777801</v>
      </c>
      <c r="J722" s="23" t="str">
        <f>HYPERLINK("https://www.spark-marketing.ru/Card/Person/622548", "Лукьянова Мария Анатольевна")</f>
        <v>Лукьянова Мария Анатольевна</v>
      </c>
      <c r="K722" s="24" t="s">
        <v>1432</v>
      </c>
      <c r="L722" s="22" t="s">
        <v>10</v>
      </c>
      <c r="M722" s="25">
        <v>65769.3</v>
      </c>
      <c r="N722" s="27">
        <v>0.39879062114356234</v>
      </c>
    </row>
    <row r="723" spans="1:14" hidden="1" outlineLevel="1" x14ac:dyDescent="0.2">
      <c r="A723" s="23" t="str">
        <f>HYPERLINK("https://www.spark-marketing.ru/Card/Person/1007586", "МОУ ""ГИМНАЗИЯ ""ЛОГОС""")</f>
        <v>МОУ "ГИМНАЗИЯ "ЛОГОС"</v>
      </c>
      <c r="B723" s="24" t="s">
        <v>1651</v>
      </c>
      <c r="C723" s="25">
        <v>109395</v>
      </c>
      <c r="D723" s="22" t="s">
        <v>1652</v>
      </c>
      <c r="E723" s="22" t="s">
        <v>48</v>
      </c>
      <c r="F723" s="23" t="str">
        <f>HYPERLINK("https://www.spark-marketing.ru/Card/Lot/74176097", "Оказание услуг по организации горячего питания учащихся МОУ ""Гимназия ""Логос"" города Кимры Тверской области")</f>
        <v>Оказание услуг по организации горячего питания учащихся МОУ "Гимназия "Логос" города Кимры Тверской области</v>
      </c>
      <c r="G723" s="22" t="s">
        <v>137</v>
      </c>
      <c r="H723" s="22" t="s">
        <v>1431</v>
      </c>
      <c r="I723" s="26">
        <v>43742.596527777801</v>
      </c>
      <c r="J723" s="23" t="str">
        <f>HYPERLINK("https://www.spark-marketing.ru/Card/Person/331373", "Платонова Елена Павловна")</f>
        <v>Платонова Елена Павловна</v>
      </c>
      <c r="K723" s="24" t="s">
        <v>1433</v>
      </c>
      <c r="L723" s="28" t="s">
        <v>51</v>
      </c>
      <c r="M723" s="25">
        <v>66316.28</v>
      </c>
      <c r="N723" s="27">
        <v>0.39379057543763424</v>
      </c>
    </row>
    <row r="724" spans="1:14" x14ac:dyDescent="0.15">
      <c r="A724" s="23" t="str">
        <f>HYPERLINK("https://www.spark-marketing.ru/Card/Person/29292", "ГУ-ЛЕНИНГРАДСКОЕ РО ФОНДА СОЦИАЛЬНОГО СТРАХОВАНИЯ РОССИЙСКОЙ ФЕДЕРАЦИИ")</f>
        <v>ГУ-ЛЕНИНГРАДСКОЕ РО ФОНДА СОЦИАЛЬНОГО СТРАХОВАНИЯ РОССИЙСКОЙ ФЕДЕРАЦИИ</v>
      </c>
      <c r="B724" s="24" t="s">
        <v>1653</v>
      </c>
      <c r="C724" s="25">
        <v>3367500</v>
      </c>
      <c r="D724" s="22" t="s">
        <v>1654</v>
      </c>
      <c r="E724" s="22" t="s">
        <v>317</v>
      </c>
      <c r="F724" s="23" t="str">
        <f>HYPERLINK("https://www.spark-marketing.ru/Card/Lot/74182478", "Слуховые аппараты")</f>
        <v>Слуховые аппараты</v>
      </c>
      <c r="G724" s="22" t="s">
        <v>117</v>
      </c>
      <c r="H724" s="22" t="s">
        <v>117</v>
      </c>
      <c r="I724" s="26">
        <v>43742.616666666698</v>
      </c>
      <c r="J724" s="28" t="s">
        <v>51</v>
      </c>
      <c r="K724" s="28" t="s">
        <v>51</v>
      </c>
      <c r="L724" s="28" t="s">
        <v>51</v>
      </c>
      <c r="M724" s="28" t="s">
        <v>51</v>
      </c>
      <c r="N724" s="28" t="s">
        <v>51</v>
      </c>
    </row>
    <row r="725" spans="1:14" x14ac:dyDescent="0.15">
      <c r="A725" s="23" t="str">
        <f>HYPERLINK("https://www.spark-marketing.ru/Card/Person/24769", "МЕЖМУНИЦИПАЛЬНЫЙ ОТДЕЛ МВД РОССИИ ""АЧИНСКИЙ""")</f>
        <v>МЕЖМУНИЦИПАЛЬНЫЙ ОТДЕЛ МВД РОССИИ "АЧИНСКИЙ"</v>
      </c>
      <c r="B725" s="24" t="s">
        <v>1655</v>
      </c>
      <c r="C725" s="25">
        <v>500000</v>
      </c>
      <c r="D725" s="22" t="s">
        <v>1656</v>
      </c>
      <c r="E725" s="22" t="s">
        <v>48</v>
      </c>
      <c r="F725" s="23" t="str">
        <f>HYPERLINK("https://www.spark-marketing.ru/Card/Lot/74165189", "Услуги по организации питания лиц, содержащихся в изоляторе временного содержания подозреваемых и обвиняемых и специальном приемнике для содержания лиц, подвергнутых административному аресту Межмуниципального отдела МВД России «Ачинский")</f>
        <v>Услуги по организации питания лиц, содержащихся в изоляторе временного содержания подозреваемых и обвиняемых и специальном приемнике для содержания лиц, подвергнутых административному аресту Межмуниципального отдела МВД России «Ачинский</v>
      </c>
      <c r="G725" s="22" t="s">
        <v>281</v>
      </c>
      <c r="H725" s="22" t="s">
        <v>1657</v>
      </c>
      <c r="I725" s="26">
        <v>43742.579166666699</v>
      </c>
      <c r="J725" s="23" t="str">
        <f>HYPERLINK("https://www.spark-marketing.ru/Card/Person/6410581", "ООО ""ПЕЛЬМЕННАЯ""")</f>
        <v>ООО "ПЕЛЬМЕННАЯ"</v>
      </c>
      <c r="K725" s="24" t="s">
        <v>1658</v>
      </c>
      <c r="L725" s="22" t="s">
        <v>10</v>
      </c>
      <c r="M725" s="28" t="s">
        <v>51</v>
      </c>
      <c r="N725" s="28" t="s">
        <v>51</v>
      </c>
    </row>
    <row r="726" spans="1:14" x14ac:dyDescent="0.15">
      <c r="A726" s="23" t="str">
        <f>HYPERLINK("https://www.spark-marketing.ru/Card/Person/26945", "ГУЗ ""ТОКПБ №1 ИМ. Н.П. КАМЕНЕВА""")</f>
        <v>ГУЗ "ТОКПБ №1 ИМ. Н.П. КАМЕНЕВА"</v>
      </c>
      <c r="B726" s="24" t="s">
        <v>1659</v>
      </c>
      <c r="C726" s="25">
        <v>247156140</v>
      </c>
      <c r="D726" s="22" t="s">
        <v>1660</v>
      </c>
      <c r="E726" s="22" t="s">
        <v>67</v>
      </c>
      <c r="F726" s="23" t="str">
        <f>HYPERLINK("https://www.spark-marketing.ru/Card/Lot/74182838", "Услуги по организации питания")</f>
        <v>Услуги по организации питания</v>
      </c>
      <c r="G726" s="22" t="s">
        <v>68</v>
      </c>
      <c r="H726" s="22" t="s">
        <v>68</v>
      </c>
      <c r="I726" s="26">
        <v>43742.577777777798</v>
      </c>
      <c r="J726" s="28" t="s">
        <v>51</v>
      </c>
      <c r="K726" s="28" t="s">
        <v>51</v>
      </c>
      <c r="L726" s="28" t="s">
        <v>51</v>
      </c>
      <c r="M726" s="28" t="s">
        <v>51</v>
      </c>
      <c r="N726" s="28" t="s">
        <v>51</v>
      </c>
    </row>
    <row r="727" spans="1:14" x14ac:dyDescent="0.15">
      <c r="A727" s="23" t="str">
        <f>HYPERLINK("https://www.spark-marketing.ru/Card/Person/6217322", "АНО ДПО ""ТЕХНИЧЕСКАЯ АКАДЕМИЯ РОСАТОМА""")</f>
        <v>АНО ДПО "ТЕХНИЧЕСКАЯ АКАДЕМИЯ РОСАТОМА"</v>
      </c>
      <c r="B727" s="24" t="s">
        <v>1661</v>
      </c>
      <c r="C727" s="28" t="s">
        <v>51</v>
      </c>
      <c r="D727" s="22" t="s">
        <v>1662</v>
      </c>
      <c r="E727" s="22" t="s">
        <v>48</v>
      </c>
      <c r="F727" s="23" t="str">
        <f>HYPERLINK("https://www.spark-marketing.ru/Card/Lot/74175489", "Оказание услуг по организации питания в Санкт-Петербургском филиале АНО ДПО «Техническая академия Росатома»")</f>
        <v>Оказание услуг по организации питания в Санкт-Петербургском филиале АНО ДПО «Техническая академия Росатома»</v>
      </c>
      <c r="G727" s="22" t="s">
        <v>112</v>
      </c>
      <c r="H727" s="22" t="s">
        <v>1663</v>
      </c>
      <c r="I727" s="26">
        <v>43742.534074074101</v>
      </c>
      <c r="J727" s="28" t="s">
        <v>51</v>
      </c>
      <c r="K727" s="28" t="s">
        <v>51</v>
      </c>
      <c r="L727" s="28" t="s">
        <v>51</v>
      </c>
      <c r="M727" s="28" t="s">
        <v>51</v>
      </c>
      <c r="N727" s="28" t="s">
        <v>51</v>
      </c>
    </row>
    <row r="728" spans="1:14" x14ac:dyDescent="0.15">
      <c r="A728" s="23" t="str">
        <f>HYPERLINK("https://www.spark-marketing.ru/Card/Person/6217322", "АНО ДПО ""ТЕХНИЧЕСКАЯ АКАДЕМИЯ РОСАТОМА""")</f>
        <v>АНО ДПО "ТЕХНИЧЕСКАЯ АКАДЕМИЯ РОСАТОМА"</v>
      </c>
      <c r="B728" s="24" t="s">
        <v>1661</v>
      </c>
      <c r="C728" s="25">
        <v>0</v>
      </c>
      <c r="D728" s="22" t="s">
        <v>1664</v>
      </c>
      <c r="E728" s="22" t="s">
        <v>52</v>
      </c>
      <c r="F728" s="23" t="str">
        <f>HYPERLINK("https://www.spark-marketing.ru/Card/Lot/74171599", "мониторинг цен в электронной форме на Оказание услуг по организации питания в Санкт-Петербургском филиале АНО ДПО «Техническая академия Росатома»")</f>
        <v>мониторинг цен в электронной форме на Оказание услуг по организации питания в Санкт-Петербургском филиале АНО ДПО «Техническая академия Росатома»</v>
      </c>
      <c r="G728" s="22" t="s">
        <v>112</v>
      </c>
      <c r="H728" s="22" t="s">
        <v>1663</v>
      </c>
      <c r="I728" s="26">
        <v>43742.533564814803</v>
      </c>
      <c r="J728" s="28" t="s">
        <v>51</v>
      </c>
      <c r="K728" s="28" t="s">
        <v>51</v>
      </c>
      <c r="L728" s="28" t="s">
        <v>51</v>
      </c>
      <c r="M728" s="28" t="s">
        <v>51</v>
      </c>
      <c r="N728" s="28" t="s">
        <v>51</v>
      </c>
    </row>
    <row r="729" spans="1:14" x14ac:dyDescent="0.15">
      <c r="A729" s="23" t="str">
        <f>HYPERLINK("https://www.spark-marketing.ru/Card/Person/1751878", "УМВД РОССИИ ПО ТОМСКОЙ ОБЛАСТИ")</f>
        <v>УМВД РОССИИ ПО ТОМСКОЙ ОБЛАСТИ</v>
      </c>
      <c r="B729" s="24" t="s">
        <v>1665</v>
      </c>
      <c r="C729" s="25">
        <v>135000</v>
      </c>
      <c r="D729" s="22" t="s">
        <v>1666</v>
      </c>
      <c r="E729" s="22" t="s">
        <v>48</v>
      </c>
      <c r="F729" s="23" t="str">
        <f>HYPERLINK("https://www.spark-marketing.ru/Card/Lot/74167214", "Услуги по обеспечению питанием, осуществляемые по договору, 7 усл. ед")</f>
        <v>Услуги по обеспечению питанием, осуществляемые по договору, 7 усл. ед</v>
      </c>
      <c r="G729" s="22" t="s">
        <v>149</v>
      </c>
      <c r="H729" s="22" t="s">
        <v>496</v>
      </c>
      <c r="I729" s="26">
        <v>43742.5327314815</v>
      </c>
      <c r="J729" s="28" t="s">
        <v>51</v>
      </c>
      <c r="K729" s="28" t="s">
        <v>51</v>
      </c>
      <c r="L729" s="28" t="s">
        <v>51</v>
      </c>
      <c r="M729" s="28" t="s">
        <v>51</v>
      </c>
      <c r="N729" s="28" t="s">
        <v>51</v>
      </c>
    </row>
    <row r="730" spans="1:14" x14ac:dyDescent="0.15">
      <c r="A730" s="23" t="str">
        <f>HYPERLINK("https://www.spark-marketing.ru/Card/Person/737290", "ГКУ «ЦБЗ ПРИ МИНЗДРАВЕ КАРЕЛИИ»")</f>
        <v>ГКУ «ЦБЗ ПРИ МИНЗДРАВЕ КАРЕЛИИ»</v>
      </c>
      <c r="B730" s="24" t="s">
        <v>312</v>
      </c>
      <c r="C730" s="25">
        <v>56212.2</v>
      </c>
      <c r="D730" s="22" t="s">
        <v>1667</v>
      </c>
      <c r="E730" s="22" t="s">
        <v>52</v>
      </c>
      <c r="F730" s="23" t="str">
        <f>HYPERLINK("https://www.spark-marketing.ru/Card/Lot/74171144", "Поставка лекарственных препаратов  Амиодарон,  Алфузозин,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изделиями...")</f>
        <v>Поставка лекарственных препаратов  Амиодарон,  Алфузозин,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изделиями...</v>
      </c>
      <c r="G730" s="22" t="s">
        <v>59</v>
      </c>
      <c r="H730" s="22" t="s">
        <v>314</v>
      </c>
      <c r="I730" s="26">
        <v>43742.520833333299</v>
      </c>
      <c r="J730" s="23" t="str">
        <f>HYPERLINK("https://www.spark-marketing.ru/Card/Person/72890", "ГУП РК ""КАРЕЛФАРМ""")</f>
        <v>ГУП РК "КАРЕЛФАРМ"</v>
      </c>
      <c r="K730" s="24" t="s">
        <v>1668</v>
      </c>
      <c r="L730" s="22" t="s">
        <v>10</v>
      </c>
      <c r="M730" s="28" t="s">
        <v>51</v>
      </c>
      <c r="N730" s="28" t="s">
        <v>51</v>
      </c>
    </row>
    <row r="731" spans="1:14" x14ac:dyDescent="0.15">
      <c r="A731" s="23" t="str">
        <f>HYPERLINK("https://www.spark-marketing.ru/Card/Person/638852", "АППАРАТ ГУБЕРНАТОРА ЮГРЫ")</f>
        <v>АППАРАТ ГУБЕРНАТОРА ЮГРЫ</v>
      </c>
      <c r="B731" s="24" t="s">
        <v>1669</v>
      </c>
      <c r="C731" s="25">
        <v>2798640</v>
      </c>
      <c r="D731" s="22" t="s">
        <v>1670</v>
      </c>
      <c r="E731" s="22" t="s">
        <v>96</v>
      </c>
      <c r="F731" s="23" t="str">
        <f>HYPERLINK("https://www.spark-marketing.ru/Card/Lot/74167422", "Оказание услуг общественного питания")</f>
        <v>Оказание услуг общественного питания</v>
      </c>
      <c r="G731" s="22" t="s">
        <v>97</v>
      </c>
      <c r="H731" s="22" t="s">
        <v>98</v>
      </c>
      <c r="I731" s="26">
        <v>43742.506249999999</v>
      </c>
      <c r="J731" s="28" t="s">
        <v>51</v>
      </c>
      <c r="K731" s="28" t="s">
        <v>51</v>
      </c>
      <c r="L731" s="28" t="s">
        <v>51</v>
      </c>
      <c r="M731" s="28" t="s">
        <v>51</v>
      </c>
      <c r="N731" s="28" t="s">
        <v>51</v>
      </c>
    </row>
    <row r="732" spans="1:14" ht="12.75" hidden="1" outlineLevel="1" x14ac:dyDescent="0.2">
      <c r="A732" s="23" t="str">
        <f>HYPERLINK("https://www.spark-marketing.ru/Card/Person/638852", "АППАРАТ ГУБЕРНАТОРА ЮГРЫ")</f>
        <v>АППАРАТ ГУБЕРНАТОРА ЮГРЫ</v>
      </c>
      <c r="B732" s="24" t="s">
        <v>1669</v>
      </c>
      <c r="C732" s="25">
        <v>2798640</v>
      </c>
      <c r="D732" s="22" t="s">
        <v>1670</v>
      </c>
      <c r="E732" s="22" t="s">
        <v>96</v>
      </c>
      <c r="F732" s="23" t="str">
        <f>HYPERLINK("https://www.spark-marketing.ru/Card/Lot/74167422", "Оказание услуг общественного питания")</f>
        <v>Оказание услуг общественного питания</v>
      </c>
      <c r="G732" s="22" t="s">
        <v>97</v>
      </c>
      <c r="H732" s="22" t="s">
        <v>98</v>
      </c>
      <c r="I732" s="26">
        <v>43742.506249999999</v>
      </c>
      <c r="J732" s="23" t="str">
        <f>HYPERLINK("https://www.spark-marketing.ru/Card/Person/935294", "ООО ""ПАРК ОТЕЛЬ""")</f>
        <v>ООО "ПАРК ОТЕЛЬ"</v>
      </c>
      <c r="K732" s="24" t="s">
        <v>1671</v>
      </c>
      <c r="L732" s="22" t="s">
        <v>10</v>
      </c>
      <c r="M732" s="25">
        <v>2700687.6</v>
      </c>
      <c r="N732" s="27">
        <v>3.5000000000000003E-2</v>
      </c>
    </row>
    <row r="733" spans="1:14" hidden="1" outlineLevel="1" x14ac:dyDescent="0.2">
      <c r="A733" s="23" t="str">
        <f>HYPERLINK("https://www.spark-marketing.ru/Card/Person/638852", "АППАРАТ ГУБЕРНАТОРА ЮГРЫ")</f>
        <v>АППАРАТ ГУБЕРНАТОРА ЮГРЫ</v>
      </c>
      <c r="B733" s="24" t="s">
        <v>1669</v>
      </c>
      <c r="C733" s="25">
        <v>2798640</v>
      </c>
      <c r="D733" s="22" t="s">
        <v>1670</v>
      </c>
      <c r="E733" s="22" t="s">
        <v>96</v>
      </c>
      <c r="F733" s="23" t="str">
        <f>HYPERLINK("https://www.spark-marketing.ru/Card/Lot/74167422", "Оказание услуг общественного питания")</f>
        <v>Оказание услуг общественного питания</v>
      </c>
      <c r="G733" s="22" t="s">
        <v>97</v>
      </c>
      <c r="H733" s="22" t="s">
        <v>98</v>
      </c>
      <c r="I733" s="26">
        <v>43742.506249999999</v>
      </c>
      <c r="J733" s="23" t="str">
        <f>HYPERLINK("https://www.spark-marketing.ru/Card/Person/974812", "ООО ""АВТОТРЕЙД""")</f>
        <v>ООО "АВТОТРЕЙД"</v>
      </c>
      <c r="K733" s="24" t="s">
        <v>1672</v>
      </c>
      <c r="L733" s="28" t="s">
        <v>51</v>
      </c>
      <c r="M733" s="25">
        <v>2714680.8</v>
      </c>
      <c r="N733" s="27">
        <v>0.03</v>
      </c>
    </row>
    <row r="734" spans="1:14" x14ac:dyDescent="0.15">
      <c r="A734" s="23" t="str">
        <f>HYPERLINK("https://www.spark-marketing.ru/Card/Person/1001090", "МБОУ ""ГИМНАЗИЯ №64"" ГОРОДА ЛИПЕЦКА")</f>
        <v>МБОУ "ГИМНАЗИЯ №64" ГОРОДА ЛИПЕЦКА</v>
      </c>
      <c r="B734" s="24" t="s">
        <v>1673</v>
      </c>
      <c r="C734" s="25">
        <v>1142400</v>
      </c>
      <c r="D734" s="22" t="s">
        <v>1674</v>
      </c>
      <c r="E734" s="22" t="s">
        <v>48</v>
      </c>
      <c r="F734" s="23" t="str">
        <f>HYPERLINK("https://www.spark-marketing.ru/Card/Lot/74169885", "Оказание услуги по организации питания учащихся")</f>
        <v>Оказание услуги по организации питания учащихся</v>
      </c>
      <c r="G734" s="22" t="s">
        <v>101</v>
      </c>
      <c r="H734" s="22" t="s">
        <v>728</v>
      </c>
      <c r="I734" s="26">
        <v>43742.485416666699</v>
      </c>
      <c r="J734" s="23" t="str">
        <f>HYPERLINK("https://www.spark-marketing.ru/Card/Person/16210", "ООО ""ГК ФЬЮЖЕН МЕНЕДЖМЕНТ""")</f>
        <v>ООО "ГК ФЬЮЖЕН МЕНЕДЖМЕНТ"</v>
      </c>
      <c r="K734" s="24" t="s">
        <v>1675</v>
      </c>
      <c r="L734" s="22" t="s">
        <v>10</v>
      </c>
      <c r="M734" s="28" t="s">
        <v>51</v>
      </c>
      <c r="N734" s="28" t="s">
        <v>51</v>
      </c>
    </row>
    <row r="735" spans="1:14" x14ac:dyDescent="0.15">
      <c r="A735" s="23" t="str">
        <f>HYPERLINK("https://www.spark-marketing.ru/Card/Person/47319", "КО")</f>
        <v>КО</v>
      </c>
      <c r="B735" s="24" t="s">
        <v>1676</v>
      </c>
      <c r="C735" s="25">
        <v>108000</v>
      </c>
      <c r="D735" s="22" t="s">
        <v>1677</v>
      </c>
      <c r="E735" s="22" t="s">
        <v>1678</v>
      </c>
      <c r="F735" s="23" t="str">
        <f>HYPERLINK("https://www.spark-marketing.ru/Card/Lot/74169127", "Оказание услуг по проведению оздоровительной кампании детей-инвалидов (приобретение путевок для детей в организации отдыха детей и их оздоровления, включающие питание), в 2019 году в загородных стационарных учреждениях отдыха и оздоровления детей в Л...")</f>
        <v>Оказание услуг по проведению оздоровительной кампании детей-инвалидов (приобретение путевок для детей в организации отдыха детей и их оздоровления, включающие питание), в 2019 году в загородных стационарных учреждениях отдыха и оздоровления детей в Л...</v>
      </c>
      <c r="G735" s="22" t="s">
        <v>162</v>
      </c>
      <c r="H735" s="22" t="s">
        <v>1679</v>
      </c>
      <c r="I735" s="26">
        <v>43742.488194444399</v>
      </c>
      <c r="J735" s="23" t="str">
        <f>HYPERLINK("https://www.spark-marketing.ru/Card/Person/75250", "ГБУ ДО ДООЦ ""МАЯК""")</f>
        <v>ГБУ ДО ДООЦ "МАЯК"</v>
      </c>
      <c r="K735" s="24" t="s">
        <v>1680</v>
      </c>
      <c r="L735" s="28" t="s">
        <v>51</v>
      </c>
      <c r="M735" s="28" t="s">
        <v>51</v>
      </c>
      <c r="N735" s="28" t="s">
        <v>51</v>
      </c>
    </row>
    <row r="736" spans="1:14" x14ac:dyDescent="0.15">
      <c r="A736" s="23" t="str">
        <f>HYPERLINK("https://www.spark-marketing.ru/Card/Person/1719126", "ООО ""СЛАВНЕФТЬ-КРАСНОЯРСКНЕФТЕГАЗ""")</f>
        <v>ООО "СЛАВНЕФТЬ-КРАСНОЯРСКНЕФТЕГАЗ"</v>
      </c>
      <c r="B736" s="24" t="s">
        <v>1033</v>
      </c>
      <c r="C736" s="28" t="s">
        <v>51</v>
      </c>
      <c r="D736" s="22" t="s">
        <v>1681</v>
      </c>
      <c r="E736" s="22" t="s">
        <v>1035</v>
      </c>
      <c r="F736" s="23" t="str">
        <f>HYPERLINK("https://www.spark-marketing.ru/Card/Lot/74166542", "«Оказание комплексных услуг по организации питания и проживания работников в Вахтовом поселке»")</f>
        <v>«Оказание комплексных услуг по организации питания и проживания работников в Вахтовом поселке»</v>
      </c>
      <c r="G736" s="22" t="s">
        <v>281</v>
      </c>
      <c r="H736" s="22" t="s">
        <v>1036</v>
      </c>
      <c r="I736" s="26">
        <v>43742.468055555597</v>
      </c>
      <c r="J736" s="28" t="s">
        <v>51</v>
      </c>
      <c r="K736" s="28" t="s">
        <v>51</v>
      </c>
      <c r="L736" s="28" t="s">
        <v>51</v>
      </c>
      <c r="M736" s="28" t="s">
        <v>51</v>
      </c>
      <c r="N736" s="28" t="s">
        <v>51</v>
      </c>
    </row>
    <row r="737" spans="1:14" x14ac:dyDescent="0.15">
      <c r="A737" s="23" t="str">
        <f>HYPERLINK("https://www.spark-marketing.ru/Card/Person/38694", "ФГУП ""МОСКОВСКОЕ ПРОП"" МИНТРУДА РОССИИ")</f>
        <v>ФГУП "МОСКОВСКОЕ ПРОП" МИНТРУДА РОССИИ</v>
      </c>
      <c r="B737" s="24" t="s">
        <v>521</v>
      </c>
      <c r="C737" s="25">
        <v>53217</v>
      </c>
      <c r="D737" s="22" t="s">
        <v>1682</v>
      </c>
      <c r="E737" s="22" t="s">
        <v>48</v>
      </c>
      <c r="F737" s="23" t="str">
        <f>HYPERLINK("https://www.spark-marketing.ru/Card/Lot/74168300", "Оказание услуг по обеспечению питанием лиц, находящихся на протезировании в «Архангельском» филиале ФГУП «Московское ПрОП» Минтруда России")</f>
        <v>Оказание услуг по обеспечению питанием лиц, находящихся на протезировании в «Архангельском» филиале ФГУП «Московское ПрОП» Минтруда России</v>
      </c>
      <c r="G737" s="22" t="s">
        <v>214</v>
      </c>
      <c r="H737" s="22" t="s">
        <v>523</v>
      </c>
      <c r="I737" s="26">
        <v>43742.4555555556</v>
      </c>
      <c r="J737" s="28" t="s">
        <v>51</v>
      </c>
      <c r="K737" s="28" t="s">
        <v>51</v>
      </c>
      <c r="L737" s="28" t="s">
        <v>51</v>
      </c>
      <c r="M737" s="28" t="s">
        <v>51</v>
      </c>
      <c r="N737" s="28" t="s">
        <v>51</v>
      </c>
    </row>
    <row r="738" spans="1:14" x14ac:dyDescent="0.15">
      <c r="A738" s="23" t="str">
        <f>HYPERLINK("https://www.spark-marketing.ru/Card/Person/5003", "УМВД РОССИИ ПО МУРМАНСКОЙ ОБЛАСТИ")</f>
        <v>УМВД РОССИИ ПО МУРМАНСКОЙ ОБЛАСТИ</v>
      </c>
      <c r="B738" s="24" t="s">
        <v>1683</v>
      </c>
      <c r="C738" s="25">
        <v>6960</v>
      </c>
      <c r="D738" s="22" t="s">
        <v>1684</v>
      </c>
      <c r="E738" s="22" t="s">
        <v>48</v>
      </c>
      <c r="F738" s="23" t="str">
        <f>HYPERLINK("https://www.spark-marketing.ru/Card/Lot/74164182", "Услуги по обеспечению питания лиц содержащихся в спец. помещениях задержанных лиц, 12 усл. ед")</f>
        <v>Услуги по обеспечению питания лиц содержащихся в спец. помещениях задержанных лиц, 12 усл. ед</v>
      </c>
      <c r="G738" s="22" t="s">
        <v>340</v>
      </c>
      <c r="H738" s="22" t="s">
        <v>341</v>
      </c>
      <c r="I738" s="26">
        <v>43742.448923611097</v>
      </c>
      <c r="J738" s="28" t="s">
        <v>51</v>
      </c>
      <c r="K738" s="28" t="s">
        <v>51</v>
      </c>
      <c r="L738" s="28" t="s">
        <v>51</v>
      </c>
      <c r="M738" s="28" t="s">
        <v>51</v>
      </c>
      <c r="N738" s="28" t="s">
        <v>51</v>
      </c>
    </row>
    <row r="739" spans="1:14" x14ac:dyDescent="0.15">
      <c r="A739" s="23" t="str">
        <f>HYPERLINK("https://www.spark-marketing.ru/Card/Person/4347251", "ГБУЗ ""ОКВД № 4""")</f>
        <v>ГБУЗ "ОКВД № 4"</v>
      </c>
      <c r="B739" s="24" t="s">
        <v>1685</v>
      </c>
      <c r="C739" s="25">
        <v>1899975</v>
      </c>
      <c r="D739" s="22" t="s">
        <v>1686</v>
      </c>
      <c r="E739" s="22" t="s">
        <v>96</v>
      </c>
      <c r="F739" s="23" t="str">
        <f>HYPERLINK("https://www.spark-marketing.ru/Card/Lot/74163849", "Оказание услуг по организации питания пациентов")</f>
        <v>Оказание услуг по организации питания пациентов</v>
      </c>
      <c r="G739" s="22" t="s">
        <v>469</v>
      </c>
      <c r="H739" s="22" t="s">
        <v>469</v>
      </c>
      <c r="I739" s="26">
        <v>43742.4555555556</v>
      </c>
      <c r="J739" s="28" t="s">
        <v>51</v>
      </c>
      <c r="K739" s="28" t="s">
        <v>51</v>
      </c>
      <c r="L739" s="28" t="s">
        <v>51</v>
      </c>
      <c r="M739" s="28" t="s">
        <v>51</v>
      </c>
      <c r="N739" s="28" t="s">
        <v>51</v>
      </c>
    </row>
    <row r="740" spans="1:14" x14ac:dyDescent="0.15">
      <c r="A740" s="23" t="str">
        <f>HYPERLINK("https://www.spark-marketing.ru/Card/Person/88541", "ГБУЗ ""ДГБ Г. НОВОРОССИЙСКА"" МЗ КК")</f>
        <v>ГБУЗ "ДГБ Г. НОВОРОССИЙСКА" МЗ КК</v>
      </c>
      <c r="B740" s="24" t="s">
        <v>1687</v>
      </c>
      <c r="C740" s="25">
        <v>499800</v>
      </c>
      <c r="D740" s="22" t="s">
        <v>1688</v>
      </c>
      <c r="E740" s="22" t="s">
        <v>96</v>
      </c>
      <c r="F740" s="23" t="str">
        <f>HYPERLINK("https://www.spark-marketing.ru/Card/Lot/74167248", "Оказание услуг по обеспечению лечебным горячим питанием пациентов, находящихся на стационарном лечении")</f>
        <v>Оказание услуг по обеспечению лечебным горячим питанием пациентов, находящихся на стационарном лечении</v>
      </c>
      <c r="G740" s="22" t="s">
        <v>104</v>
      </c>
      <c r="H740" s="22" t="s">
        <v>1689</v>
      </c>
      <c r="I740" s="26">
        <v>43742.456944444399</v>
      </c>
      <c r="J740" s="28" t="s">
        <v>51</v>
      </c>
      <c r="K740" s="28" t="s">
        <v>51</v>
      </c>
      <c r="L740" s="28" t="s">
        <v>51</v>
      </c>
      <c r="M740" s="28" t="s">
        <v>51</v>
      </c>
      <c r="N740" s="28" t="s">
        <v>51</v>
      </c>
    </row>
    <row r="741" spans="1:14" hidden="1" outlineLevel="1" x14ac:dyDescent="0.2">
      <c r="A741" s="23" t="str">
        <f>HYPERLINK("https://www.spark-marketing.ru/Card/Person/88541", "ГБУЗ ""ДГБ Г. НОВОРОССИЙСКА"" МЗ КК")</f>
        <v>ГБУЗ "ДГБ Г. НОВОРОССИЙСКА" МЗ КК</v>
      </c>
      <c r="B741" s="24" t="s">
        <v>1687</v>
      </c>
      <c r="C741" s="25">
        <v>499800</v>
      </c>
      <c r="D741" s="22" t="s">
        <v>1688</v>
      </c>
      <c r="E741" s="22" t="s">
        <v>96</v>
      </c>
      <c r="F741" s="23" t="str">
        <f>HYPERLINK("https://www.spark-marketing.ru/Card/Lot/74167248", "Оказание услуг по обеспечению лечебным горячим питанием пациентов, находящихся на стационарном лечении")</f>
        <v>Оказание услуг по обеспечению лечебным горячим питанием пациентов, находящихся на стационарном лечении</v>
      </c>
      <c r="G741" s="22" t="s">
        <v>104</v>
      </c>
      <c r="H741" s="22" t="s">
        <v>1689</v>
      </c>
      <c r="I741" s="26">
        <v>43742.456944444399</v>
      </c>
      <c r="J741" s="23" t="str">
        <f>HYPERLINK("https://www.spark-marketing.ru/Card/Person/54395", "Третьяков Вячеслав Викторович")</f>
        <v>Третьяков Вячеслав Викторович</v>
      </c>
      <c r="K741" s="24" t="s">
        <v>1690</v>
      </c>
      <c r="L741" s="28" t="s">
        <v>51</v>
      </c>
      <c r="M741" s="25">
        <v>232407</v>
      </c>
      <c r="N741" s="27">
        <v>0.53500000000000003</v>
      </c>
    </row>
    <row r="742" spans="1:14" hidden="1" outlineLevel="1" x14ac:dyDescent="0.2">
      <c r="A742" s="23" t="str">
        <f>HYPERLINK("https://www.spark-marketing.ru/Card/Person/88541", "ГБУЗ ""ДГБ Г. НОВОРОССИЙСКА"" МЗ КК")</f>
        <v>ГБУЗ "ДГБ Г. НОВОРОССИЙСКА" МЗ КК</v>
      </c>
      <c r="B742" s="24" t="s">
        <v>1687</v>
      </c>
      <c r="C742" s="25">
        <v>499800</v>
      </c>
      <c r="D742" s="22" t="s">
        <v>1688</v>
      </c>
      <c r="E742" s="22" t="s">
        <v>96</v>
      </c>
      <c r="F742" s="23" t="str">
        <f>HYPERLINK("https://www.spark-marketing.ru/Card/Lot/74167248", "Оказание услуг по обеспечению лечебным горячим питанием пациентов, находящихся на стационарном лечении")</f>
        <v>Оказание услуг по обеспечению лечебным горячим питанием пациентов, находящихся на стационарном лечении</v>
      </c>
      <c r="G742" s="22" t="s">
        <v>104</v>
      </c>
      <c r="H742" s="22" t="s">
        <v>1689</v>
      </c>
      <c r="I742" s="26">
        <v>43742.456944444399</v>
      </c>
      <c r="J742" s="23" t="str">
        <f>HYPERLINK("https://www.spark-marketing.ru/Card/Person/2461569", "ООО ""КОНСТАНТИНОВ""")</f>
        <v>ООО "КОНСТАНТИНОВ"</v>
      </c>
      <c r="K742" s="24" t="s">
        <v>1691</v>
      </c>
      <c r="L742" s="28" t="s">
        <v>51</v>
      </c>
      <c r="M742" s="25">
        <v>267393</v>
      </c>
      <c r="N742" s="27">
        <v>0.46500000000000002</v>
      </c>
    </row>
    <row r="743" spans="1:14" ht="12.75" hidden="1" outlineLevel="1" x14ac:dyDescent="0.2">
      <c r="A743" s="23" t="str">
        <f>HYPERLINK("https://www.spark-marketing.ru/Card/Person/88541", "ГБУЗ ""ДГБ Г. НОВОРОССИЙСКА"" МЗ КК")</f>
        <v>ГБУЗ "ДГБ Г. НОВОРОССИЙСКА" МЗ КК</v>
      </c>
      <c r="B743" s="24" t="s">
        <v>1687</v>
      </c>
      <c r="C743" s="25">
        <v>499800</v>
      </c>
      <c r="D743" s="22" t="s">
        <v>1688</v>
      </c>
      <c r="E743" s="22" t="s">
        <v>96</v>
      </c>
      <c r="F743" s="23" t="str">
        <f>HYPERLINK("https://www.spark-marketing.ru/Card/Lot/74167248", "Оказание услуг по обеспечению лечебным горячим питанием пациентов, находящихся на стационарном лечении")</f>
        <v>Оказание услуг по обеспечению лечебным горячим питанием пациентов, находящихся на стационарном лечении</v>
      </c>
      <c r="G743" s="22" t="s">
        <v>104</v>
      </c>
      <c r="H743" s="22" t="s">
        <v>1689</v>
      </c>
      <c r="I743" s="26">
        <v>43742.456944444399</v>
      </c>
      <c r="J743" s="23" t="str">
        <f>HYPERLINK("https://www.spark-marketing.ru/Card/Person/6717569", "Щерба Юлия Вячеславовна")</f>
        <v>Щерба Юлия Вячеславовна</v>
      </c>
      <c r="K743" s="24" t="s">
        <v>1692</v>
      </c>
      <c r="L743" s="22" t="s">
        <v>10</v>
      </c>
      <c r="M743" s="25">
        <v>229908</v>
      </c>
      <c r="N743" s="27">
        <v>0.54</v>
      </c>
    </row>
    <row r="744" spans="1:14" x14ac:dyDescent="0.15">
      <c r="A744" s="23" t="str">
        <f>HYPERLINK("https://www.spark-marketing.ru/Card/Person/93349", "ГБУЗ РХ ""РККВД""")</f>
        <v>ГБУЗ РХ "РККВД"</v>
      </c>
      <c r="B744" s="24" t="s">
        <v>1693</v>
      </c>
      <c r="C744" s="25">
        <v>5409747</v>
      </c>
      <c r="D744" s="22" t="s">
        <v>1694</v>
      </c>
      <c r="E744" s="22" t="s">
        <v>48</v>
      </c>
      <c r="F744" s="23" t="str">
        <f>HYPERLINK("https://www.spark-marketing.ru/Card/Lot/74161400", "Услуги по обеспечению лечебным питанием пациентов стационарного отделения")</f>
        <v>Услуги по обеспечению лечебным питанием пациентов стационарного отделения</v>
      </c>
      <c r="G744" s="22" t="s">
        <v>92</v>
      </c>
      <c r="H744" s="22" t="s">
        <v>93</v>
      </c>
      <c r="I744" s="26">
        <v>43742.456944444399</v>
      </c>
      <c r="J744" s="28" t="s">
        <v>51</v>
      </c>
      <c r="K744" s="28" t="s">
        <v>51</v>
      </c>
      <c r="L744" s="28" t="s">
        <v>51</v>
      </c>
      <c r="M744" s="28" t="s">
        <v>51</v>
      </c>
      <c r="N744" s="28" t="s">
        <v>51</v>
      </c>
    </row>
    <row r="745" spans="1:14" x14ac:dyDescent="0.15">
      <c r="A745" s="23" t="s">
        <v>114</v>
      </c>
      <c r="B745" s="28" t="s">
        <v>51</v>
      </c>
      <c r="C745" s="25">
        <v>8677690</v>
      </c>
      <c r="D745" s="22" t="s">
        <v>1695</v>
      </c>
      <c r="E745" s="22" t="s">
        <v>48</v>
      </c>
      <c r="F745" s="23" t="str">
        <f t="shared" ref="F745:F752" si="1">HYPERLINK("https://www.spark-marketing.ru/Card/Lot/74167716",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745" s="22" t="s">
        <v>51</v>
      </c>
      <c r="H745" s="22" t="s">
        <v>51</v>
      </c>
      <c r="I745" s="26">
        <v>43742.438888888901</v>
      </c>
      <c r="J745" s="28" t="s">
        <v>51</v>
      </c>
      <c r="K745" s="28" t="s">
        <v>51</v>
      </c>
      <c r="L745" s="28" t="s">
        <v>51</v>
      </c>
      <c r="M745" s="28" t="s">
        <v>51</v>
      </c>
      <c r="N745" s="28" t="s">
        <v>51</v>
      </c>
    </row>
    <row r="746" spans="1:14" hidden="1" outlineLevel="1" x14ac:dyDescent="0.15">
      <c r="A746" s="23" t="str">
        <f>HYPERLINK("https://www.spark-marketing.ru/Card/Person/4349405", "МБОУ ""ДРЕЗНЕНСКАЯ ГИМНАЗИЯ""")</f>
        <v>МБОУ "ДРЕЗНЕНСКАЯ ГИМНАЗИЯ"</v>
      </c>
      <c r="B746" s="24" t="s">
        <v>1696</v>
      </c>
      <c r="C746" s="25">
        <v>2658110</v>
      </c>
      <c r="D746" s="22" t="s">
        <v>1695</v>
      </c>
      <c r="E746" s="22" t="s">
        <v>48</v>
      </c>
      <c r="F746" s="23" t="str">
        <f t="shared" si="1"/>
        <v>Услуги по организации питания для учащихся общеобразовательной организации</v>
      </c>
      <c r="G746" s="22" t="s">
        <v>49</v>
      </c>
      <c r="H746" s="22" t="s">
        <v>49</v>
      </c>
      <c r="I746" s="26">
        <v>43742.438888888901</v>
      </c>
      <c r="J746" s="28" t="s">
        <v>51</v>
      </c>
      <c r="K746" s="28" t="s">
        <v>51</v>
      </c>
      <c r="L746" s="28" t="s">
        <v>51</v>
      </c>
      <c r="M746" s="28" t="s">
        <v>51</v>
      </c>
      <c r="N746" s="28" t="s">
        <v>51</v>
      </c>
    </row>
    <row r="747" spans="1:14" hidden="1" outlineLevel="1" x14ac:dyDescent="0.15">
      <c r="A747" s="23" t="str">
        <f>HYPERLINK("https://www.spark-marketing.ru/Card/Person/90889", "МБОУ ""ДРЕЗНЕНСКАЯ СОШ № 1""")</f>
        <v>МБОУ "ДРЕЗНЕНСКАЯ СОШ № 1"</v>
      </c>
      <c r="B747" s="24" t="s">
        <v>1697</v>
      </c>
      <c r="C747" s="25">
        <v>4110330</v>
      </c>
      <c r="D747" s="22" t="s">
        <v>1695</v>
      </c>
      <c r="E747" s="22" t="s">
        <v>48</v>
      </c>
      <c r="F747" s="23" t="str">
        <f t="shared" si="1"/>
        <v>Услуги по организации питания для учащихся общеобразовательной организации</v>
      </c>
      <c r="G747" s="22" t="s">
        <v>49</v>
      </c>
      <c r="H747" s="22" t="s">
        <v>49</v>
      </c>
      <c r="I747" s="26">
        <v>43742.438888888901</v>
      </c>
      <c r="J747" s="28" t="s">
        <v>51</v>
      </c>
      <c r="K747" s="28" t="s">
        <v>51</v>
      </c>
      <c r="L747" s="28" t="s">
        <v>51</v>
      </c>
      <c r="M747" s="28" t="s">
        <v>51</v>
      </c>
      <c r="N747" s="28" t="s">
        <v>51</v>
      </c>
    </row>
    <row r="748" spans="1:14" hidden="1" outlineLevel="1" x14ac:dyDescent="0.15">
      <c r="A748" s="23" t="str">
        <f>HYPERLINK("https://www.spark-marketing.ru/Card/Person/1005524", "МБОУ ""ЮРКИНСКАЯ ООШ""")</f>
        <v>МБОУ "ЮРКИНСКАЯ ООШ"</v>
      </c>
      <c r="B748" s="24" t="s">
        <v>1698</v>
      </c>
      <c r="C748" s="25">
        <v>416000</v>
      </c>
      <c r="D748" s="22" t="s">
        <v>1695</v>
      </c>
      <c r="E748" s="22" t="s">
        <v>48</v>
      </c>
      <c r="F748" s="23" t="str">
        <f t="shared" si="1"/>
        <v>Услуги по организации питания для учащихся общеобразовательной организации</v>
      </c>
      <c r="G748" s="22" t="s">
        <v>49</v>
      </c>
      <c r="H748" s="22" t="s">
        <v>49</v>
      </c>
      <c r="I748" s="26">
        <v>43742.438888888901</v>
      </c>
      <c r="J748" s="28" t="s">
        <v>51</v>
      </c>
      <c r="K748" s="28" t="s">
        <v>51</v>
      </c>
      <c r="L748" s="28" t="s">
        <v>51</v>
      </c>
      <c r="M748" s="28" t="s">
        <v>51</v>
      </c>
      <c r="N748" s="28" t="s">
        <v>51</v>
      </c>
    </row>
    <row r="749" spans="1:14" hidden="1" outlineLevel="1" x14ac:dyDescent="0.15">
      <c r="A749" s="23" t="str">
        <f>HYPERLINK("https://www.spark-marketing.ru/Card/Person/1080995", "МБОУ ""КАБАНОВСКАЯ СОШ""")</f>
        <v>МБОУ "КАБАНОВСКАЯ СОШ"</v>
      </c>
      <c r="B749" s="24" t="s">
        <v>1699</v>
      </c>
      <c r="C749" s="25">
        <v>1493250</v>
      </c>
      <c r="D749" s="22" t="s">
        <v>1695</v>
      </c>
      <c r="E749" s="22" t="s">
        <v>48</v>
      </c>
      <c r="F749" s="23" t="str">
        <f t="shared" si="1"/>
        <v>Услуги по организации питания для учащихся общеобразовательной организации</v>
      </c>
      <c r="G749" s="22" t="s">
        <v>49</v>
      </c>
      <c r="H749" s="22" t="s">
        <v>49</v>
      </c>
      <c r="I749" s="26">
        <v>43742.438888888901</v>
      </c>
      <c r="J749" s="28" t="s">
        <v>51</v>
      </c>
      <c r="K749" s="28" t="s">
        <v>51</v>
      </c>
      <c r="L749" s="28" t="s">
        <v>51</v>
      </c>
      <c r="M749" s="28" t="s">
        <v>51</v>
      </c>
      <c r="N749" s="28" t="s">
        <v>51</v>
      </c>
    </row>
    <row r="750" spans="1:14" hidden="1" outlineLevel="1" x14ac:dyDescent="0.2">
      <c r="A750" s="28" t="s">
        <v>51</v>
      </c>
      <c r="B750" s="28" t="s">
        <v>51</v>
      </c>
      <c r="C750" s="28" t="s">
        <v>51</v>
      </c>
      <c r="D750" s="22" t="s">
        <v>1695</v>
      </c>
      <c r="E750" s="22" t="s">
        <v>48</v>
      </c>
      <c r="F750" s="23" t="str">
        <f t="shared" si="1"/>
        <v>Услуги по организации питания для учащихся общеобразовательной организации</v>
      </c>
      <c r="G750" s="22" t="s">
        <v>51</v>
      </c>
      <c r="H750" s="22" t="s">
        <v>51</v>
      </c>
      <c r="I750" s="26">
        <v>43742.438888888901</v>
      </c>
      <c r="J750" s="23" t="str">
        <f>HYPERLINK("https://www.spark-marketing.ru/Card/Person/4351169", "Русаков Анатолий Сидорович")</f>
        <v>Русаков Анатолий Сидорович</v>
      </c>
      <c r="K750" s="24" t="s">
        <v>1700</v>
      </c>
      <c r="L750" s="22" t="s">
        <v>10</v>
      </c>
      <c r="M750" s="25">
        <v>8220375</v>
      </c>
      <c r="N750" s="27">
        <v>5.2700084930436555E-2</v>
      </c>
    </row>
    <row r="751" spans="1:14" hidden="1" outlineLevel="1" x14ac:dyDescent="0.2">
      <c r="A751" s="28" t="s">
        <v>51</v>
      </c>
      <c r="B751" s="28" t="s">
        <v>51</v>
      </c>
      <c r="C751" s="28" t="s">
        <v>51</v>
      </c>
      <c r="D751" s="22" t="s">
        <v>1695</v>
      </c>
      <c r="E751" s="22" t="s">
        <v>48</v>
      </c>
      <c r="F751" s="23" t="str">
        <f t="shared" si="1"/>
        <v>Услуги по организации питания для учащихся общеобразовательной организации</v>
      </c>
      <c r="G751" s="22" t="s">
        <v>51</v>
      </c>
      <c r="H751" s="22" t="s">
        <v>51</v>
      </c>
      <c r="I751" s="26">
        <v>43742.438888888901</v>
      </c>
      <c r="J751" s="23" t="str">
        <f>HYPERLINK("https://www.spark-marketing.ru/Card/Person/6458516", "Хахалина Ирина Юрьевна")</f>
        <v>Хахалина Ирина Юрьевна</v>
      </c>
      <c r="K751" s="24" t="s">
        <v>1701</v>
      </c>
      <c r="L751" s="28" t="s">
        <v>51</v>
      </c>
      <c r="M751" s="25">
        <v>8330582.25</v>
      </c>
      <c r="N751" s="27">
        <v>4.0000017285706221E-2</v>
      </c>
    </row>
    <row r="752" spans="1:14" hidden="1" outlineLevel="1" x14ac:dyDescent="0.2">
      <c r="A752" s="28" t="s">
        <v>51</v>
      </c>
      <c r="B752" s="28" t="s">
        <v>51</v>
      </c>
      <c r="C752" s="28" t="s">
        <v>51</v>
      </c>
      <c r="D752" s="22" t="s">
        <v>1695</v>
      </c>
      <c r="E752" s="22" t="s">
        <v>48</v>
      </c>
      <c r="F752" s="23" t="str">
        <f t="shared" si="1"/>
        <v>Услуги по организации питания для учащихся общеобразовательной организации</v>
      </c>
      <c r="G752" s="22" t="s">
        <v>51</v>
      </c>
      <c r="H752" s="22" t="s">
        <v>51</v>
      </c>
      <c r="I752" s="26">
        <v>43742.438888888901</v>
      </c>
      <c r="J752" s="23" t="str">
        <f>HYPERLINK("https://www.spark-marketing.ru/Card/Person/1335068", "Кулешова Светлана Владимировна")</f>
        <v>Кулешова Светлана Владимировна</v>
      </c>
      <c r="K752" s="24" t="s">
        <v>1702</v>
      </c>
      <c r="L752" s="28" t="s">
        <v>51</v>
      </c>
      <c r="M752" s="25">
        <v>8482441.9000000004</v>
      </c>
      <c r="N752" s="27">
        <v>2.2500008642853109E-2</v>
      </c>
    </row>
    <row r="753" spans="1:14" x14ac:dyDescent="0.15">
      <c r="A753" s="23" t="str">
        <f>HYPERLINK("https://www.spark-marketing.ru/Card/Person/54656", "ГБУЗ АО ""АОДКБ""")</f>
        <v>ГБУЗ АО "АОДКБ"</v>
      </c>
      <c r="B753" s="24" t="s">
        <v>1703</v>
      </c>
      <c r="C753" s="25">
        <v>61100000</v>
      </c>
      <c r="D753" s="22" t="s">
        <v>1704</v>
      </c>
      <c r="E753" s="22" t="s">
        <v>48</v>
      </c>
      <c r="F753" s="23" t="str">
        <f>HYPERLINK("https://www.spark-marketing.ru/Card/Lot/74165733", "Оказание услуг по организации готового лечебного питания")</f>
        <v>Оказание услуг по организации готового лечебного питания</v>
      </c>
      <c r="G753" s="22" t="s">
        <v>214</v>
      </c>
      <c r="H753" s="22" t="s">
        <v>523</v>
      </c>
      <c r="I753" s="26">
        <v>43742.390972222202</v>
      </c>
      <c r="J753" s="28" t="s">
        <v>51</v>
      </c>
      <c r="K753" s="28" t="s">
        <v>51</v>
      </c>
      <c r="L753" s="28" t="s">
        <v>51</v>
      </c>
      <c r="M753" s="28" t="s">
        <v>51</v>
      </c>
      <c r="N753" s="28" t="s">
        <v>51</v>
      </c>
    </row>
    <row r="754" spans="1:14" x14ac:dyDescent="0.15">
      <c r="A754" s="23" t="str">
        <f>HYPERLINK("https://www.spark-marketing.ru/Card/Person/155591", "АДМИНИСТРАЦИЯ ЦЕНТРАЛЬНОГО ВНУТРИГОРОДСКОГО РАЙОНА Г. НОВОРОССИЙСКА")</f>
        <v>АДМИНИСТРАЦИЯ ЦЕНТРАЛЬНОГО ВНУТРИГОРОДСКОГО РАЙОНА Г. НОВОРОССИЙСКА</v>
      </c>
      <c r="B754" s="24" t="s">
        <v>1705</v>
      </c>
      <c r="C754" s="25">
        <v>27000</v>
      </c>
      <c r="D754" s="22" t="s">
        <v>1706</v>
      </c>
      <c r="E754" s="22" t="s">
        <v>48</v>
      </c>
      <c r="F754" s="23" t="str">
        <f>HYPERLINK("https://www.spark-marketing.ru/Card/Lot/74161535", "Оказание услуг по обеспечению питанием с использованием средств передвижения при проведении крестного хода в 2019 году")</f>
        <v>Оказание услуг по обеспечению питанием с использованием средств передвижения при проведении крестного хода в 2019 году</v>
      </c>
      <c r="G754" s="22" t="s">
        <v>104</v>
      </c>
      <c r="H754" s="22" t="s">
        <v>1689</v>
      </c>
      <c r="I754" s="26">
        <v>43742.3772453704</v>
      </c>
      <c r="J754" s="28" t="s">
        <v>51</v>
      </c>
      <c r="K754" s="28" t="s">
        <v>51</v>
      </c>
      <c r="L754" s="28" t="s">
        <v>51</v>
      </c>
      <c r="M754" s="28" t="s">
        <v>51</v>
      </c>
      <c r="N754" s="28" t="s">
        <v>51</v>
      </c>
    </row>
    <row r="755" spans="1:14" x14ac:dyDescent="0.15">
      <c r="A755" s="23" t="str">
        <f>HYPERLINK("https://www.spark-marketing.ru/Card/Person/1033635", "МДОУ ДЕТСКИЙ САД ОБЩЕРАЗВИВАЮЩЕГО ВИДА №31 ""АЛЫЕ ПАРУСА""")</f>
        <v>МДОУ ДЕТСКИЙ САД ОБЩЕРАЗВИВАЮЩЕГО ВИДА №31 "АЛЫЕ ПАРУСА"</v>
      </c>
      <c r="B755" s="24" t="s">
        <v>1707</v>
      </c>
      <c r="C755" s="25">
        <v>215644</v>
      </c>
      <c r="D755" s="22" t="s">
        <v>1708</v>
      </c>
      <c r="E755" s="22" t="s">
        <v>48</v>
      </c>
      <c r="F755" s="23" t="str">
        <f>HYPERLINK("https://www.spark-marketing.ru/Card/Lot/74161850",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755" s="22" t="s">
        <v>49</v>
      </c>
      <c r="H755" s="22" t="s">
        <v>50</v>
      </c>
      <c r="I755" s="26">
        <v>43742.378043981502</v>
      </c>
      <c r="J755" s="28" t="s">
        <v>51</v>
      </c>
      <c r="K755" s="28" t="s">
        <v>51</v>
      </c>
      <c r="L755" s="28" t="s">
        <v>51</v>
      </c>
      <c r="M755" s="28" t="s">
        <v>51</v>
      </c>
      <c r="N755" s="28" t="s">
        <v>51</v>
      </c>
    </row>
    <row r="756" spans="1:14" x14ac:dyDescent="0.15">
      <c r="A756" s="23" t="str">
        <f>HYPERLINK("https://www.spark-marketing.ru/Card/Person/14209", "БУ ""МЕГИОНСКАЯ ГОРОДСКАЯ БОЛЬНИЦА""")</f>
        <v>БУ "МЕГИОНСКАЯ ГОРОДСКАЯ БОЛЬНИЦА"</v>
      </c>
      <c r="B756" s="24" t="s">
        <v>1709</v>
      </c>
      <c r="C756" s="25">
        <v>150950.01999999999</v>
      </c>
      <c r="D756" s="22" t="s">
        <v>1710</v>
      </c>
      <c r="E756" s="22" t="s">
        <v>91</v>
      </c>
      <c r="F756" s="23" t="str">
        <f>HYPERLINK("https://www.spark-marketing.ru/Card/Lot/74161191", "Оказание услуг по ремонту компьютерной техники (с заменой запасных частей)")</f>
        <v>Оказание услуг по ремонту компьютерной техники (с заменой запасных частей)</v>
      </c>
      <c r="G756" s="22" t="s">
        <v>97</v>
      </c>
      <c r="H756" s="22" t="s">
        <v>1711</v>
      </c>
      <c r="I756" s="26">
        <v>43742.386805555601</v>
      </c>
      <c r="J756" s="23" t="str">
        <f>HYPERLINK("https://www.spark-marketing.ru/Card/Person/665661", "Лутошкин Алексей Аркадьевич")</f>
        <v>Лутошкин Алексей Аркадьевич</v>
      </c>
      <c r="K756" s="24" t="s">
        <v>1712</v>
      </c>
      <c r="L756" s="22" t="s">
        <v>10</v>
      </c>
      <c r="M756" s="28" t="s">
        <v>51</v>
      </c>
      <c r="N756" s="28" t="s">
        <v>51</v>
      </c>
    </row>
    <row r="757" spans="1:14" x14ac:dyDescent="0.15">
      <c r="A757" s="23" t="str">
        <f>HYPERLINK("https://www.spark-marketing.ru/Card/Person/123729", "МДОУ ДЕТСКИЙ САД № 10 ""СВЕТЛЯЧОК""")</f>
        <v>МДОУ ДЕТСКИЙ САД № 10 "СВЕТЛЯЧОК"</v>
      </c>
      <c r="B757" s="24" t="s">
        <v>1713</v>
      </c>
      <c r="C757" s="25">
        <v>3871344</v>
      </c>
      <c r="D757" s="22" t="s">
        <v>1714</v>
      </c>
      <c r="E757" s="22" t="s">
        <v>48</v>
      </c>
      <c r="F757" s="23" t="str">
        <f>HYPERLINK("https://www.spark-marketing.ru/Card/Lot/74165725", "Оказание услуг по приготовлению и организации рационального горячего питания воспитанников МДОУ д/с №10 ""Светлячок"" в 2020-2021 годах")</f>
        <v>Оказание услуг по приготовлению и организации рационального горячего питания воспитанников МДОУ д/с №10 "Светлячок" в 2020-2021 годах</v>
      </c>
      <c r="G757" s="22" t="s">
        <v>49</v>
      </c>
      <c r="H757" s="22" t="s">
        <v>49</v>
      </c>
      <c r="I757" s="26">
        <v>43742.3881944444</v>
      </c>
      <c r="J757" s="28" t="s">
        <v>51</v>
      </c>
      <c r="K757" s="28" t="s">
        <v>51</v>
      </c>
      <c r="L757" s="28" t="s">
        <v>51</v>
      </c>
      <c r="M757" s="28" t="s">
        <v>51</v>
      </c>
      <c r="N757" s="28" t="s">
        <v>51</v>
      </c>
    </row>
    <row r="758" spans="1:14" x14ac:dyDescent="0.15">
      <c r="A758" s="23" t="str">
        <f>HYPERLINK("https://www.spark-marketing.ru/Card/Person/131441", "МОУ ЗСОШ №1")</f>
        <v>МОУ ЗСОШ №1</v>
      </c>
      <c r="B758" s="24" t="s">
        <v>1715</v>
      </c>
      <c r="C758" s="25">
        <v>1393484.5</v>
      </c>
      <c r="D758" s="22" t="s">
        <v>1716</v>
      </c>
      <c r="E758" s="22" t="s">
        <v>48</v>
      </c>
      <c r="F758" s="23" t="str">
        <f>HYPERLINK("https://www.spark-marketing.ru/Card/Lot/74165635", "Услуги по приготовлению и организации  горячего питания детей во втором полугодии 2019 года МОУ Запрудненская СОШ № 1")</f>
        <v>Услуги по приготовлению и организации  горячего питания детей во втором полугодии 2019 года МОУ Запрудненская СОШ № 1</v>
      </c>
      <c r="G758" s="22" t="s">
        <v>49</v>
      </c>
      <c r="H758" s="22" t="s">
        <v>49</v>
      </c>
      <c r="I758" s="26">
        <v>43742.3881944444</v>
      </c>
      <c r="J758" s="28" t="s">
        <v>51</v>
      </c>
      <c r="K758" s="28" t="s">
        <v>51</v>
      </c>
      <c r="L758" s="28" t="s">
        <v>51</v>
      </c>
      <c r="M758" s="28" t="s">
        <v>51</v>
      </c>
      <c r="N758" s="28" t="s">
        <v>51</v>
      </c>
    </row>
    <row r="759" spans="1:14" ht="12.75" hidden="1" outlineLevel="1" x14ac:dyDescent="0.2">
      <c r="A759" s="23" t="str">
        <f>HYPERLINK("https://www.spark-marketing.ru/Card/Person/131441", "МОУ ЗСОШ №1")</f>
        <v>МОУ ЗСОШ №1</v>
      </c>
      <c r="B759" s="24" t="s">
        <v>1715</v>
      </c>
      <c r="C759" s="25">
        <v>1393484.5</v>
      </c>
      <c r="D759" s="22" t="s">
        <v>1716</v>
      </c>
      <c r="E759" s="22" t="s">
        <v>48</v>
      </c>
      <c r="F759" s="23" t="str">
        <f>HYPERLINK("https://www.spark-marketing.ru/Card/Lot/74165635", "Услуги по приготовлению и организации  горячего питания детей во втором полугодии 2019 года МОУ Запрудненская СОШ № 1")</f>
        <v>Услуги по приготовлению и организации  горячего питания детей во втором полугодии 2019 года МОУ Запрудненская СОШ № 1</v>
      </c>
      <c r="G759" s="22" t="s">
        <v>49</v>
      </c>
      <c r="H759" s="22" t="s">
        <v>49</v>
      </c>
      <c r="I759" s="26">
        <v>43742.3881944444</v>
      </c>
      <c r="J759" s="23" t="str">
        <f>HYPERLINK("https://www.spark-marketing.ru/Card/Person/75516", "ООО ""КОНЦЕПТ""")</f>
        <v>ООО "КОНЦЕПТ"</v>
      </c>
      <c r="K759" s="24" t="s">
        <v>1717</v>
      </c>
      <c r="L759" s="22" t="s">
        <v>10</v>
      </c>
      <c r="M759" s="25">
        <v>1314608</v>
      </c>
      <c r="N759" s="27">
        <v>5.6603787125009283E-2</v>
      </c>
    </row>
    <row r="760" spans="1:14" hidden="1" outlineLevel="1" x14ac:dyDescent="0.2">
      <c r="A760" s="23" t="str">
        <f>HYPERLINK("https://www.spark-marketing.ru/Card/Person/131441", "МОУ ЗСОШ №1")</f>
        <v>МОУ ЗСОШ №1</v>
      </c>
      <c r="B760" s="24" t="s">
        <v>1715</v>
      </c>
      <c r="C760" s="25">
        <v>1393484.5</v>
      </c>
      <c r="D760" s="22" t="s">
        <v>1716</v>
      </c>
      <c r="E760" s="22" t="s">
        <v>48</v>
      </c>
      <c r="F760" s="23" t="str">
        <f>HYPERLINK("https://www.spark-marketing.ru/Card/Lot/74165635", "Услуги по приготовлению и организации  горячего питания детей во втором полугодии 2019 года МОУ Запрудненская СОШ № 1")</f>
        <v>Услуги по приготовлению и организации  горячего питания детей во втором полугодии 2019 года МОУ Запрудненская СОШ № 1</v>
      </c>
      <c r="G760" s="22" t="s">
        <v>49</v>
      </c>
      <c r="H760" s="22" t="s">
        <v>49</v>
      </c>
      <c r="I760" s="26">
        <v>43742.3881944444</v>
      </c>
      <c r="J760" s="23" t="str">
        <f>HYPERLINK("https://www.spark-marketing.ru/Card/Person/31262", "ООО ""АЛЬЯНС""")</f>
        <v>ООО "АЛЬЯНС"</v>
      </c>
      <c r="K760" s="24" t="s">
        <v>1718</v>
      </c>
      <c r="L760" s="28" t="s">
        <v>51</v>
      </c>
      <c r="M760" s="25">
        <v>1330777.6299999999</v>
      </c>
      <c r="N760" s="27">
        <v>4.5000048439720712E-2</v>
      </c>
    </row>
    <row r="761" spans="1:14" x14ac:dyDescent="0.15">
      <c r="A761" s="23" t="str">
        <f>HYPERLINK("https://www.spark-marketing.ru/Card/Person/231074", "ООО ""РН-МОРСКОЙ ТЕРМИНАЛ ТУАПСЕ""")</f>
        <v>ООО "РН-МОРСКОЙ ТЕРМИНАЛ ТУАПСЕ"</v>
      </c>
      <c r="B761" s="24" t="s">
        <v>1719</v>
      </c>
      <c r="C761" s="28" t="s">
        <v>51</v>
      </c>
      <c r="D761" s="22" t="s">
        <v>1720</v>
      </c>
      <c r="E761" s="22" t="s">
        <v>774</v>
      </c>
      <c r="F761" s="23" t="str">
        <f>HYPERLINK("https://www.spark-marketing.ru/Card/Lot/74161929", "Оказание услуг по техническому обслуживанию и текущему ремонту оборудования участка рабочего питания и участка по стирке и ремонту одежды")</f>
        <v>Оказание услуг по техническому обслуживанию и текущему ремонту оборудования участка рабочего питания и участка по стирке и ремонту одежды</v>
      </c>
      <c r="G761" s="22" t="s">
        <v>104</v>
      </c>
      <c r="H761" s="22" t="s">
        <v>1721</v>
      </c>
      <c r="I761" s="26">
        <v>43742.3659722222</v>
      </c>
      <c r="J761" s="28" t="s">
        <v>51</v>
      </c>
      <c r="K761" s="28" t="s">
        <v>51</v>
      </c>
      <c r="L761" s="28" t="s">
        <v>51</v>
      </c>
      <c r="M761" s="28" t="s">
        <v>51</v>
      </c>
      <c r="N761" s="28" t="s">
        <v>51</v>
      </c>
    </row>
    <row r="762" spans="1:14" x14ac:dyDescent="0.15">
      <c r="A762" s="23" t="str">
        <f>HYPERLINK("https://www.spark-marketing.ru/Card/Person/86511", "МАОУ РЛИ")</f>
        <v>МАОУ РЛИ</v>
      </c>
      <c r="B762" s="24" t="s">
        <v>1722</v>
      </c>
      <c r="C762" s="25">
        <v>30000</v>
      </c>
      <c r="D762" s="22" t="s">
        <v>1723</v>
      </c>
      <c r="E762" s="22" t="s">
        <v>48</v>
      </c>
      <c r="F762" s="23" t="str">
        <f>HYPERLINK("https://www.spark-marketing.ru/Card/Lot/74161816", "Услуги по организации питания")</f>
        <v>Услуги по организации питания</v>
      </c>
      <c r="G762" s="22" t="s">
        <v>49</v>
      </c>
      <c r="H762" s="22" t="s">
        <v>204</v>
      </c>
      <c r="I762" s="26">
        <v>43742.346921296303</v>
      </c>
      <c r="J762" s="28" t="s">
        <v>51</v>
      </c>
      <c r="K762" s="28" t="s">
        <v>51</v>
      </c>
      <c r="L762" s="28" t="s">
        <v>51</v>
      </c>
      <c r="M762" s="28" t="s">
        <v>51</v>
      </c>
      <c r="N762" s="28" t="s">
        <v>51</v>
      </c>
    </row>
    <row r="763" spans="1:14" x14ac:dyDescent="0.15">
      <c r="A763" s="23" t="str">
        <f>HYPERLINK("https://www.spark-marketing.ru/Card/Person/4369400", "ООО АВИАПРЕДПРИЯТИЕ ""ГАЗПРОМ АВИА""")</f>
        <v>ООО АВИАПРЕДПРИЯТИЕ "ГАЗПРОМ АВИА"</v>
      </c>
      <c r="B763" s="24" t="s">
        <v>1724</v>
      </c>
      <c r="C763" s="25">
        <v>94522</v>
      </c>
      <c r="D763" s="22" t="s">
        <v>1725</v>
      </c>
      <c r="E763" s="22" t="s">
        <v>1726</v>
      </c>
      <c r="F763" s="23" t="str">
        <f>HYPERLINK("https://www.spark-marketing.ru/Card/Lot/74179163", "оплата по счету№141 за услуги по обеспечению бортовым питанием в а/п г. Астрахань")</f>
        <v>оплата по счету№141 за услуги по обеспечению бортовым питанием в а/п г. Астрахань</v>
      </c>
      <c r="G763" s="22" t="s">
        <v>56</v>
      </c>
      <c r="H763" s="22" t="s">
        <v>56</v>
      </c>
      <c r="I763" s="26">
        <v>43742</v>
      </c>
      <c r="J763" s="28" t="s">
        <v>51</v>
      </c>
      <c r="K763" s="28" t="s">
        <v>51</v>
      </c>
      <c r="L763" s="28" t="s">
        <v>51</v>
      </c>
      <c r="M763" s="28" t="s">
        <v>51</v>
      </c>
      <c r="N763" s="28" t="s">
        <v>51</v>
      </c>
    </row>
    <row r="764" spans="1:14" x14ac:dyDescent="0.2">
      <c r="A764" s="23" t="str">
        <f>HYPERLINK("https://www.spark-marketing.ru/Card/Person/4755393", "ООО ""МЕЖДУНАРОДНЫЙ АЭРОПОРТ БЕЛГОРОД""")</f>
        <v>ООО "МЕЖДУНАРОДНЫЙ АЭРОПОРТ БЕЛГОРОД"</v>
      </c>
      <c r="B764" s="24" t="s">
        <v>1727</v>
      </c>
      <c r="C764" s="25">
        <v>700000</v>
      </c>
      <c r="D764" s="22" t="s">
        <v>1728</v>
      </c>
      <c r="E764" s="22" t="s">
        <v>580</v>
      </c>
      <c r="F764" s="23" t="str">
        <f>HYPERLINK("https://www.spark-marketing.ru/Card/Lot/74163642", "Оказание услуг организации питания пассажиров -владельцев карт программ лояльности Priority Pass и Diners Club в VIP-зале аэропорта Белгород")</f>
        <v>Оказание услуг организации питания пассажиров -владельцев карт программ лояльности Priority Pass и Diners Club в VIP-зале аэропорта Белгород</v>
      </c>
      <c r="G764" s="22" t="s">
        <v>696</v>
      </c>
      <c r="H764" s="22" t="s">
        <v>696</v>
      </c>
      <c r="I764" s="26">
        <v>43742</v>
      </c>
      <c r="J764" s="28" t="s">
        <v>51</v>
      </c>
      <c r="K764" s="28" t="s">
        <v>51</v>
      </c>
      <c r="L764" s="28" t="s">
        <v>51</v>
      </c>
      <c r="M764" s="25">
        <v>700000</v>
      </c>
      <c r="N764" s="27">
        <v>0</v>
      </c>
    </row>
    <row r="765" spans="1:14" x14ac:dyDescent="0.15">
      <c r="A765" s="23" t="str">
        <f>HYPERLINK("https://www.spark-marketing.ru/Card/Person/4369400", "ООО АВИАПРЕДПРИЯТИЕ ""ГАЗПРОМ АВИА""")</f>
        <v>ООО АВИАПРЕДПРИЯТИЕ "ГАЗПРОМ АВИА"</v>
      </c>
      <c r="B765" s="24" t="s">
        <v>1724</v>
      </c>
      <c r="C765" s="25">
        <v>28921</v>
      </c>
      <c r="D765" s="22" t="s">
        <v>1729</v>
      </c>
      <c r="E765" s="22" t="s">
        <v>1726</v>
      </c>
      <c r="F765" s="23" t="str">
        <f>HYPERLINK("https://www.spark-marketing.ru/Card/Lot/74177831", "оплата по счету№УУ0000002540 за услуги по обеспечению бортовым питанием в а/п г. Мурманск")</f>
        <v>оплата по счету№УУ0000002540 за услуги по обеспечению бортовым питанием в а/п г. Мурманск</v>
      </c>
      <c r="G765" s="22" t="s">
        <v>56</v>
      </c>
      <c r="H765" s="22" t="s">
        <v>56</v>
      </c>
      <c r="I765" s="26">
        <v>43742</v>
      </c>
      <c r="J765" s="28" t="s">
        <v>51</v>
      </c>
      <c r="K765" s="28" t="s">
        <v>51</v>
      </c>
      <c r="L765" s="28" t="s">
        <v>51</v>
      </c>
      <c r="M765" s="28" t="s">
        <v>51</v>
      </c>
      <c r="N765" s="28" t="s">
        <v>51</v>
      </c>
    </row>
    <row r="766" spans="1:14" ht="12.75" x14ac:dyDescent="0.2">
      <c r="A766" s="23" t="str">
        <f>HYPERLINK("https://www.spark-marketing.ru/Card/Person/1755980", "ООО ""НТС""")</f>
        <v>ООО "НТС"</v>
      </c>
      <c r="B766" s="24" t="s">
        <v>1730</v>
      </c>
      <c r="C766" s="25">
        <v>2000000</v>
      </c>
      <c r="D766" s="22" t="s">
        <v>1731</v>
      </c>
      <c r="E766" s="22" t="s">
        <v>562</v>
      </c>
      <c r="F766" s="23" t="str">
        <f>HYPERLINK("https://www.spark-marketing.ru/Card/Lot/74165868", "Оказание услуг по организации питания (ФУРШЕТА")</f>
        <v>Оказание услуг по организации питания (ФУРШЕТА</v>
      </c>
      <c r="G766" s="22" t="s">
        <v>56</v>
      </c>
      <c r="H766" s="22" t="s">
        <v>56</v>
      </c>
      <c r="I766" s="26">
        <v>43742</v>
      </c>
      <c r="J766" s="23" t="str">
        <f>HYPERLINK("https://www.spark-marketing.ru/Card/Person/6661710", "ООО ""МАНУФАКТУРА АСЕ И КОМПАНИЯ""")</f>
        <v>ООО "МАНУФАКТУРА АСЕ И КОМПАНИЯ"</v>
      </c>
      <c r="K766" s="24" t="s">
        <v>1732</v>
      </c>
      <c r="L766" s="22" t="s">
        <v>10</v>
      </c>
      <c r="M766" s="25">
        <v>2000000</v>
      </c>
      <c r="N766" s="27">
        <v>0</v>
      </c>
    </row>
    <row r="767" spans="1:14" x14ac:dyDescent="0.15">
      <c r="A767" s="23" t="str">
        <f>HYPERLINK("https://www.spark-marketing.ru/Card/Person/1760646", "ГАОУ МО ""ХИМКИНСКИЙ ЛИЦЕЙ""")</f>
        <v>ГАОУ МО "ХИМКИНСКИЙ ЛИЦЕЙ"</v>
      </c>
      <c r="B767" s="24" t="s">
        <v>1733</v>
      </c>
      <c r="C767" s="25">
        <v>399714</v>
      </c>
      <c r="D767" s="22" t="s">
        <v>1734</v>
      </c>
      <c r="E767" s="22" t="s">
        <v>362</v>
      </c>
      <c r="F767" s="23" t="str">
        <f>HYPERLINK("https://www.spark-marketing.ru/Card/Lot/74177823", "Оказание услуг по организации питания в октябре для нужд ГАОУ МО ""Химкинский лицей"" в 2019 году")</f>
        <v>Оказание услуг по организации питания в октябре для нужд ГАОУ МО "Химкинский лицей" в 2019 году</v>
      </c>
      <c r="G767" s="22" t="s">
        <v>49</v>
      </c>
      <c r="H767" s="22" t="s">
        <v>631</v>
      </c>
      <c r="I767" s="26">
        <v>43742</v>
      </c>
      <c r="J767" s="28" t="s">
        <v>51</v>
      </c>
      <c r="K767" s="28" t="s">
        <v>51</v>
      </c>
      <c r="L767" s="28" t="s">
        <v>51</v>
      </c>
      <c r="M767" s="28" t="s">
        <v>51</v>
      </c>
      <c r="N767" s="28" t="s">
        <v>51</v>
      </c>
    </row>
    <row r="768" spans="1:14" x14ac:dyDescent="0.15">
      <c r="A768" s="23" t="str">
        <f>HYPERLINK("https://www.spark-marketing.ru/Card/Person/99838", "МАОУ ""ШКОЛА № 5 Г.БЛАГОВЕЩЕНСКА""")</f>
        <v>МАОУ "ШКОЛА № 5 Г.БЛАГОВЕЩЕНСКА"</v>
      </c>
      <c r="B768" s="24" t="s">
        <v>1735</v>
      </c>
      <c r="C768" s="25">
        <v>223920</v>
      </c>
      <c r="D768" s="22" t="s">
        <v>1736</v>
      </c>
      <c r="E768" s="22" t="s">
        <v>362</v>
      </c>
      <c r="F768" s="23" t="str">
        <f>HYPERLINK("https://www.spark-marketing.ru/Card/Lot/74170477", "Оказание услуг по предоставлению питания обучающимся по образовательным программам начального общего образования в муниципальных общеобразовательных организациях г. Благовещенска")</f>
        <v>Оказание услуг по предоставлению питания обучающимся по образовательным программам начального общего образования в муниципальных общеобразовательных организациях г. Благовещенска</v>
      </c>
      <c r="G768" s="22" t="s">
        <v>210</v>
      </c>
      <c r="H768" s="22" t="s">
        <v>210</v>
      </c>
      <c r="I768" s="26">
        <v>43742</v>
      </c>
      <c r="J768" s="28" t="s">
        <v>51</v>
      </c>
      <c r="K768" s="28" t="s">
        <v>51</v>
      </c>
      <c r="L768" s="28" t="s">
        <v>51</v>
      </c>
      <c r="M768" s="28" t="s">
        <v>51</v>
      </c>
      <c r="N768" s="28" t="s">
        <v>51</v>
      </c>
    </row>
    <row r="769" spans="1:14" x14ac:dyDescent="0.15">
      <c r="A769" s="23" t="str">
        <f>HYPERLINK("https://www.spark-marketing.ru/Card/Person/338263", "ГАОУ ДПО ""КГИРО""")</f>
        <v>ГАОУ ДПО "КГИРО"</v>
      </c>
      <c r="B769" s="24" t="s">
        <v>1737</v>
      </c>
      <c r="C769" s="25">
        <v>175500</v>
      </c>
      <c r="D769" s="22" t="s">
        <v>1738</v>
      </c>
      <c r="E769" s="22" t="s">
        <v>1739</v>
      </c>
      <c r="F769" s="23" t="str">
        <f>HYPERLINK("https://www.spark-marketing.ru/Card/Lot/74177454", "Услуги по организации питания")</f>
        <v>Услуги по организации питания</v>
      </c>
      <c r="G769" s="22" t="s">
        <v>112</v>
      </c>
      <c r="H769" s="22" t="s">
        <v>389</v>
      </c>
      <c r="I769" s="26">
        <v>43742</v>
      </c>
      <c r="J769" s="28" t="s">
        <v>51</v>
      </c>
      <c r="K769" s="28" t="s">
        <v>51</v>
      </c>
      <c r="L769" s="28" t="s">
        <v>51</v>
      </c>
      <c r="M769" s="28" t="s">
        <v>51</v>
      </c>
      <c r="N769" s="28" t="s">
        <v>51</v>
      </c>
    </row>
    <row r="770" spans="1:14" x14ac:dyDescent="0.2">
      <c r="A770" s="23" t="str">
        <f>HYPERLINK("https://www.spark-marketing.ru/Card/Person/1761905", "МА ДОУ № 44 Г.БЕЛОРЕЦК")</f>
        <v>МА ДОУ № 44 Г.БЕЛОРЕЦК</v>
      </c>
      <c r="B770" s="24" t="s">
        <v>1740</v>
      </c>
      <c r="C770" s="25">
        <v>789880</v>
      </c>
      <c r="D770" s="22" t="s">
        <v>1741</v>
      </c>
      <c r="E770" s="22" t="s">
        <v>362</v>
      </c>
      <c r="F770" s="23" t="str">
        <f>HYPERLINK("https://www.spark-marketing.ru/Card/Lot/74169758", "Услуга по организации горячего питания")</f>
        <v>Услуга по организации горячего питания</v>
      </c>
      <c r="G770" s="22" t="s">
        <v>145</v>
      </c>
      <c r="H770" s="22" t="s">
        <v>145</v>
      </c>
      <c r="I770" s="26">
        <v>43742</v>
      </c>
      <c r="J770" s="28" t="s">
        <v>51</v>
      </c>
      <c r="K770" s="28" t="s">
        <v>51</v>
      </c>
      <c r="L770" s="22" t="s">
        <v>10</v>
      </c>
      <c r="M770" s="25">
        <v>789880</v>
      </c>
      <c r="N770" s="27">
        <v>0</v>
      </c>
    </row>
    <row r="771" spans="1:14" x14ac:dyDescent="0.15">
      <c r="A771" s="23" t="str">
        <f>HYPERLINK("https://www.spark-marketing.ru/Card/Person/1311957", "МАОУ СОШ № 24")</f>
        <v>МАОУ СОШ № 24</v>
      </c>
      <c r="B771" s="24" t="s">
        <v>1742</v>
      </c>
      <c r="C771" s="25">
        <v>695200</v>
      </c>
      <c r="D771" s="22" t="s">
        <v>1743</v>
      </c>
      <c r="E771" s="22" t="s">
        <v>362</v>
      </c>
      <c r="F771" s="23" t="str">
        <f>HYPERLINK("https://www.spark-marketing.ru/Card/Lot/74174559", "Оказание услуг по организации питания")</f>
        <v>Оказание услуг по организации питания</v>
      </c>
      <c r="G771" s="22" t="s">
        <v>153</v>
      </c>
      <c r="H771" s="22" t="s">
        <v>153</v>
      </c>
      <c r="I771" s="26">
        <v>43742</v>
      </c>
      <c r="J771" s="28" t="s">
        <v>51</v>
      </c>
      <c r="K771" s="28" t="s">
        <v>51</v>
      </c>
      <c r="L771" s="28" t="s">
        <v>51</v>
      </c>
      <c r="M771" s="28" t="s">
        <v>51</v>
      </c>
      <c r="N771" s="28" t="s">
        <v>51</v>
      </c>
    </row>
    <row r="772" spans="1:14" ht="12.75" x14ac:dyDescent="0.2">
      <c r="A772" s="23" t="str">
        <f>HYPERLINK("https://www.spark-marketing.ru/Card/Person/1367931", "МАОУ ""КАЛТАЙСКАЯ СОШ"" ТОМСКОГО РАЙОНА")</f>
        <v>МАОУ "КАЛТАЙСКАЯ СОШ" ТОМСКОГО РАЙОНА</v>
      </c>
      <c r="B772" s="24" t="s">
        <v>1744</v>
      </c>
      <c r="C772" s="25">
        <v>131840</v>
      </c>
      <c r="D772" s="22" t="s">
        <v>1745</v>
      </c>
      <c r="E772" s="22" t="s">
        <v>362</v>
      </c>
      <c r="F772" s="23" t="str">
        <f>HYPERLINK("https://www.spark-marketing.ru/Card/Lot/74165971", "Оказание услуг по организации питания отдельных категорий обучающихся для нужд МАОУ «Калтайская СОШ» Томского района")</f>
        <v>Оказание услуг по организации питания отдельных категорий обучающихся для нужд МАОУ «Калтайская СОШ» Томского района</v>
      </c>
      <c r="G772" s="22" t="s">
        <v>149</v>
      </c>
      <c r="H772" s="22" t="s">
        <v>149</v>
      </c>
      <c r="I772" s="26">
        <v>43742</v>
      </c>
      <c r="J772" s="23" t="str">
        <f>HYPERLINK("https://www.spark-marketing.ru/Card/Person/6498078", "Никифоренко Ирина Владимировна")</f>
        <v>Никифоренко Ирина Владимировна</v>
      </c>
      <c r="K772" s="24" t="s">
        <v>1746</v>
      </c>
      <c r="L772" s="22" t="s">
        <v>10</v>
      </c>
      <c r="M772" s="25">
        <v>131840</v>
      </c>
      <c r="N772" s="27">
        <v>0</v>
      </c>
    </row>
    <row r="773" spans="1:14" x14ac:dyDescent="0.15">
      <c r="A773" s="23" t="str">
        <f>HYPERLINK("https://www.spark-marketing.ru/Card/Person/571422", "ООО ""СМОЛЕНСКАЯ АЭС-СЕРВИС""")</f>
        <v>ООО "СМОЛЕНСКАЯ АЭС-СЕРВИС"</v>
      </c>
      <c r="B773" s="24" t="s">
        <v>1747</v>
      </c>
      <c r="C773" s="25">
        <v>4622390.59</v>
      </c>
      <c r="D773" s="22" t="s">
        <v>1748</v>
      </c>
      <c r="E773" s="22" t="s">
        <v>52</v>
      </c>
      <c r="F773" s="23" t="str">
        <f>HYPERLINK("https://www.spark-marketing.ru/Card/Lot/74166286", "Право заключения договора на Аренда нежилых помещений для оказания услуг по организации лечебно-профилактического и общественного питания работников Смоленской АЭС")</f>
        <v>Право заключения договора на Аренда нежилых помещений для оказания услуг по организации лечебно-профилактического и общественного питания работников Смоленской АЭС</v>
      </c>
      <c r="G773" s="22" t="s">
        <v>460</v>
      </c>
      <c r="H773" s="22" t="s">
        <v>1749</v>
      </c>
      <c r="I773" s="26">
        <v>43742</v>
      </c>
      <c r="J773" s="28" t="s">
        <v>51</v>
      </c>
      <c r="K773" s="28" t="s">
        <v>51</v>
      </c>
      <c r="L773" s="28" t="s">
        <v>51</v>
      </c>
      <c r="M773" s="28" t="s">
        <v>51</v>
      </c>
      <c r="N773" s="28" t="s">
        <v>51</v>
      </c>
    </row>
    <row r="774" spans="1:14" x14ac:dyDescent="0.15">
      <c r="A774" s="23" t="str">
        <f>HYPERLINK("https://www.spark-marketing.ru/Card/Person/4369400", "ООО АВИАПРЕДПРИЯТИЕ ""ГАЗПРОМ АВИА""")</f>
        <v>ООО АВИАПРЕДПРИЯТИЕ "ГАЗПРОМ АВИА"</v>
      </c>
      <c r="B774" s="24" t="s">
        <v>1724</v>
      </c>
      <c r="C774" s="25">
        <v>59305</v>
      </c>
      <c r="D774" s="22" t="s">
        <v>1750</v>
      </c>
      <c r="E774" s="22" t="s">
        <v>1726</v>
      </c>
      <c r="F774" s="23" t="str">
        <f>HYPERLINK("https://www.spark-marketing.ru/Card/Lot/74179122", "оплата по счету№122 за услуги по обеспечению бортовым питанием в а/п г. Стрежевой")</f>
        <v>оплата по счету№122 за услуги по обеспечению бортовым питанием в а/п г. Стрежевой</v>
      </c>
      <c r="G774" s="22" t="s">
        <v>56</v>
      </c>
      <c r="H774" s="22" t="s">
        <v>56</v>
      </c>
      <c r="I774" s="26">
        <v>43742</v>
      </c>
      <c r="J774" s="28" t="s">
        <v>51</v>
      </c>
      <c r="K774" s="28" t="s">
        <v>51</v>
      </c>
      <c r="L774" s="28" t="s">
        <v>51</v>
      </c>
      <c r="M774" s="28" t="s">
        <v>51</v>
      </c>
      <c r="N774" s="28" t="s">
        <v>51</v>
      </c>
    </row>
    <row r="775" spans="1:14" x14ac:dyDescent="0.15">
      <c r="A775" s="23" t="str">
        <f>HYPERLINK("https://www.spark-marketing.ru/Card/Person/1758526", "МАОУ ""НОШ № 1""")</f>
        <v>МАОУ "НОШ № 1"</v>
      </c>
      <c r="B775" s="24" t="s">
        <v>945</v>
      </c>
      <c r="C775" s="25">
        <v>110180</v>
      </c>
      <c r="D775" s="22" t="s">
        <v>1751</v>
      </c>
      <c r="E775" s="22" t="s">
        <v>362</v>
      </c>
      <c r="F775" s="23" t="str">
        <f>HYPERLINK("https://www.spark-marketing.ru/Card/Lot/74169473", "об оказании услуг общественного питания в лагере дневного пребывания, организованного на базе муниципального автономного общеобразовательного учреждения «Начальная общеобразовательная школа № 1»")</f>
        <v>об оказании услуг общественного питания в лагере дневного пребывания, организованного на базе муниципального автономного общеобразовательного учреждения «Начальная общеобразовательная школа № 1»</v>
      </c>
      <c r="G775" s="22" t="s">
        <v>153</v>
      </c>
      <c r="H775" s="22" t="s">
        <v>1752</v>
      </c>
      <c r="I775" s="26">
        <v>43742</v>
      </c>
      <c r="J775" s="28" t="s">
        <v>51</v>
      </c>
      <c r="K775" s="28" t="s">
        <v>51</v>
      </c>
      <c r="L775" s="28" t="s">
        <v>51</v>
      </c>
      <c r="M775" s="28" t="s">
        <v>51</v>
      </c>
      <c r="N775" s="28" t="s">
        <v>51</v>
      </c>
    </row>
    <row r="776" spans="1:14" x14ac:dyDescent="0.15">
      <c r="A776" s="23" t="str">
        <f>HYPERLINK("https://www.spark-marketing.ru/Card/Person/4369400", "ООО АВИАПРЕДПРИЯТИЕ ""ГАЗПРОМ АВИА""")</f>
        <v>ООО АВИАПРЕДПРИЯТИЕ "ГАЗПРОМ АВИА"</v>
      </c>
      <c r="B776" s="24" t="s">
        <v>1724</v>
      </c>
      <c r="C776" s="25">
        <v>10962</v>
      </c>
      <c r="D776" s="22" t="s">
        <v>1753</v>
      </c>
      <c r="E776" s="22" t="s">
        <v>1726</v>
      </c>
      <c r="F776" s="23" t="str">
        <f>HYPERLINK("https://www.spark-marketing.ru/Card/Lot/74179126", "оплата по счету№113 за услуги по обеспечению бортовым питанием в а/п г. Грозный")</f>
        <v>оплата по счету№113 за услуги по обеспечению бортовым питанием в а/п г. Грозный</v>
      </c>
      <c r="G776" s="22" t="s">
        <v>56</v>
      </c>
      <c r="H776" s="22" t="s">
        <v>56</v>
      </c>
      <c r="I776" s="26">
        <v>43742</v>
      </c>
      <c r="J776" s="28" t="s">
        <v>51</v>
      </c>
      <c r="K776" s="28" t="s">
        <v>51</v>
      </c>
      <c r="L776" s="28" t="s">
        <v>51</v>
      </c>
      <c r="M776" s="28" t="s">
        <v>51</v>
      </c>
      <c r="N776" s="28" t="s">
        <v>51</v>
      </c>
    </row>
    <row r="777" spans="1:14" x14ac:dyDescent="0.15">
      <c r="A777" s="23" t="str">
        <f>HYPERLINK("https://www.spark-marketing.ru/Card/Person/1755261", "ГАУ РЦВДПМИ")</f>
        <v>ГАУ РЦВДПМИ</v>
      </c>
      <c r="B777" s="24" t="s">
        <v>1754</v>
      </c>
      <c r="C777" s="25">
        <v>850000</v>
      </c>
      <c r="D777" s="22" t="s">
        <v>1755</v>
      </c>
      <c r="E777" s="22" t="s">
        <v>1756</v>
      </c>
      <c r="F777" s="23" t="str">
        <f>HYPERLINK("https://www.spark-marketing.ru/Card/Lot/74161276", "Оказание услуг по проведению публичных мероприятий (итоговый Конгресс, обеспечение участников помещением и питанием) для участников федерального проекта «Популяризация предпринимательства» в рамках реализации регионального проекта «Популяризация пред...")</f>
        <v>Оказание услуг по проведению публичных мероприятий (итоговый Конгресс, обеспечение участников помещением и питанием) для участников федерального проекта «Популяризация предпринимательства» в рамках реализации регионального проекта «Популяризация пред...</v>
      </c>
      <c r="G777" s="22" t="s">
        <v>145</v>
      </c>
      <c r="H777" s="22" t="s">
        <v>145</v>
      </c>
      <c r="I777" s="26">
        <v>43742</v>
      </c>
      <c r="J777" s="28" t="s">
        <v>51</v>
      </c>
      <c r="K777" s="28" t="s">
        <v>51</v>
      </c>
      <c r="L777" s="28" t="s">
        <v>51</v>
      </c>
      <c r="M777" s="28" t="s">
        <v>51</v>
      </c>
      <c r="N777" s="28" t="s">
        <v>51</v>
      </c>
    </row>
    <row r="778" spans="1:14" x14ac:dyDescent="0.15">
      <c r="A778" s="23" t="str">
        <f>HYPERLINK("https://www.spark-marketing.ru/Card/Person/4369400", "ООО АВИАПРЕДПРИЯТИЕ ""ГАЗПРОМ АВИА""")</f>
        <v>ООО АВИАПРЕДПРИЯТИЕ "ГАЗПРОМ АВИА"</v>
      </c>
      <c r="B778" s="24" t="s">
        <v>1724</v>
      </c>
      <c r="C778" s="25">
        <v>71183.820000000007</v>
      </c>
      <c r="D778" s="22" t="s">
        <v>1757</v>
      </c>
      <c r="E778" s="22" t="s">
        <v>1726</v>
      </c>
      <c r="F778" s="23" t="str">
        <f>HYPERLINK("https://www.spark-marketing.ru/Card/Lot/74178981", "оплата по счету№232 за услуги по обеспечению бортовым питанием в а/п г. Южно-Сахалинск")</f>
        <v>оплата по счету№232 за услуги по обеспечению бортовым питанием в а/п г. Южно-Сахалинск</v>
      </c>
      <c r="G778" s="22" t="s">
        <v>56</v>
      </c>
      <c r="H778" s="22" t="s">
        <v>56</v>
      </c>
      <c r="I778" s="26">
        <v>43742</v>
      </c>
      <c r="J778" s="28" t="s">
        <v>51</v>
      </c>
      <c r="K778" s="28" t="s">
        <v>51</v>
      </c>
      <c r="L778" s="28" t="s">
        <v>51</v>
      </c>
      <c r="M778" s="28" t="s">
        <v>51</v>
      </c>
      <c r="N778" s="28" t="s">
        <v>51</v>
      </c>
    </row>
    <row r="779" spans="1:14" x14ac:dyDescent="0.2">
      <c r="A779" s="23" t="str">
        <f>HYPERLINK("https://www.spark-marketing.ru/Card/Person/303971", "ФБУ ""ТЕСТ-С.-ПЕТЕРБУРГ""")</f>
        <v>ФБУ "ТЕСТ-С.-ПЕТЕРБУРГ"</v>
      </c>
      <c r="B779" s="24" t="s">
        <v>1758</v>
      </c>
      <c r="C779" s="25">
        <v>295900</v>
      </c>
      <c r="D779" s="22" t="s">
        <v>1759</v>
      </c>
      <c r="E779" s="22" t="s">
        <v>562</v>
      </c>
      <c r="F779" s="23" t="str">
        <f>HYPERLINK("https://www.spark-marketing.ru/Card/Lot/74174049", "Услуги по организации питания при проведении Форума «Стандартизация - 2019» в г. Санкт-Петербурге 10-11 октября 2019 года")</f>
        <v>Услуги по организации питания при проведении Форума «Стандартизация - 2019» в г. Санкт-Петербурге 10-11 октября 2019 года</v>
      </c>
      <c r="G779" s="22" t="s">
        <v>117</v>
      </c>
      <c r="H779" s="22" t="s">
        <v>117</v>
      </c>
      <c r="I779" s="26">
        <v>43742</v>
      </c>
      <c r="J779" s="28" t="s">
        <v>51</v>
      </c>
      <c r="K779" s="28" t="s">
        <v>51</v>
      </c>
      <c r="L779" s="28" t="s">
        <v>51</v>
      </c>
      <c r="M779" s="25">
        <v>295900</v>
      </c>
      <c r="N779" s="27">
        <v>0</v>
      </c>
    </row>
    <row r="780" spans="1:14" x14ac:dyDescent="0.2">
      <c r="A780" s="23" t="str">
        <f>HYPERLINK("https://www.spark-marketing.ru/Card/Person/7675", "ГОСУДАРСТВЕННЫЙ ЭРМИТАЖ, ФГБУК ""ГОСУДАРСТВЕННЫЙ ЭРМИТАЖ""")</f>
        <v>ГОСУДАРСТВЕННЫЙ ЭРМИТАЖ, ФГБУК "ГОСУДАРСТВЕННЫЙ ЭРМИТАЖ"</v>
      </c>
      <c r="B780" s="24" t="s">
        <v>1760</v>
      </c>
      <c r="C780" s="25">
        <v>380000</v>
      </c>
      <c r="D780" s="22" t="s">
        <v>1761</v>
      </c>
      <c r="E780" s="22" t="s">
        <v>1403</v>
      </c>
      <c r="F780" s="23" t="str">
        <f>HYPERLINK("https://www.spark-marketing.ru/Card/Lot/74164958", "Оказание услуг по техническому обслуживанию и ремонту источника бесперебойного питания (ИБП) PitON ХТдв-Серии ХТ0200.040.000, установленного в здании Дворца А.Д. Меншикова по адресу: Санкт-Петербург, Университетская наб., д.15 лит. А.")</f>
        <v>Оказание услуг по техническому обслуживанию и ремонту источника бесперебойного питания (ИБП) PitON ХТдв-Серии ХТ0200.040.000, установленного в здании Дворца А.Д. Меншикова по адресу: Санкт-Петербург, Университетская наб., д.15 лит. А.</v>
      </c>
      <c r="G780" s="22" t="s">
        <v>117</v>
      </c>
      <c r="H780" s="22" t="s">
        <v>117</v>
      </c>
      <c r="I780" s="26">
        <v>43742</v>
      </c>
      <c r="J780" s="28" t="s">
        <v>51</v>
      </c>
      <c r="K780" s="28" t="s">
        <v>51</v>
      </c>
      <c r="L780" s="28" t="s">
        <v>51</v>
      </c>
      <c r="M780" s="25">
        <v>380000</v>
      </c>
      <c r="N780" s="27">
        <v>0</v>
      </c>
    </row>
    <row r="781" spans="1:14" x14ac:dyDescent="0.15">
      <c r="A781" s="23" t="str">
        <f>HYPERLINK("https://www.spark-marketing.ru/Card/Person/1066132", "МАДОУ ""ДЕТСКИЙ САД № 76""")</f>
        <v>МАДОУ "ДЕТСКИЙ САД № 76"</v>
      </c>
      <c r="B781" s="24" t="s">
        <v>1762</v>
      </c>
      <c r="C781" s="25">
        <v>1749377.57</v>
      </c>
      <c r="D781" s="22" t="s">
        <v>1763</v>
      </c>
      <c r="E781" s="22" t="s">
        <v>1764</v>
      </c>
      <c r="F781" s="23" t="str">
        <f>HYPERLINK("https://www.spark-marketing.ru/Card/Lot/74165864", "услуги по организации питания")</f>
        <v>услуги по организации питания</v>
      </c>
      <c r="G781" s="22" t="s">
        <v>469</v>
      </c>
      <c r="H781" s="22" t="s">
        <v>469</v>
      </c>
      <c r="I781" s="26">
        <v>43742</v>
      </c>
      <c r="J781" s="28" t="s">
        <v>51</v>
      </c>
      <c r="K781" s="28" t="s">
        <v>51</v>
      </c>
      <c r="L781" s="28" t="s">
        <v>51</v>
      </c>
      <c r="M781" s="28" t="s">
        <v>51</v>
      </c>
      <c r="N781" s="28" t="s">
        <v>51</v>
      </c>
    </row>
    <row r="782" spans="1:14" x14ac:dyDescent="0.15">
      <c r="A782" s="23" t="str">
        <f>HYPERLINK("https://www.spark-marketing.ru/Card/Person/1311957", "МАОУ СОШ № 24")</f>
        <v>МАОУ СОШ № 24</v>
      </c>
      <c r="B782" s="24" t="s">
        <v>1742</v>
      </c>
      <c r="C782" s="25">
        <v>191180</v>
      </c>
      <c r="D782" s="22" t="s">
        <v>1765</v>
      </c>
      <c r="E782" s="22" t="s">
        <v>362</v>
      </c>
      <c r="F782" s="23" t="str">
        <f>HYPERLINK("https://www.spark-marketing.ru/Card/Lot/74174019", "Оказание услуг по организации 2-х разового питания обучающихся с ОВЗ")</f>
        <v>Оказание услуг по организации 2-х разового питания обучающихся с ОВЗ</v>
      </c>
      <c r="G782" s="22" t="s">
        <v>153</v>
      </c>
      <c r="H782" s="22" t="s">
        <v>153</v>
      </c>
      <c r="I782" s="26">
        <v>43742</v>
      </c>
      <c r="J782" s="28" t="s">
        <v>51</v>
      </c>
      <c r="K782" s="28" t="s">
        <v>51</v>
      </c>
      <c r="L782" s="28" t="s">
        <v>51</v>
      </c>
      <c r="M782" s="28" t="s">
        <v>51</v>
      </c>
      <c r="N782" s="28" t="s">
        <v>51</v>
      </c>
    </row>
    <row r="783" spans="1:14" x14ac:dyDescent="0.15">
      <c r="A783" s="23" t="str">
        <f>HYPERLINK("https://www.spark-marketing.ru/Card/Person/5129", "ГАУЗ РКОД МИНЗДРАВА РБ")</f>
        <v>ГАУЗ РКОД МИНЗДРАВА РБ</v>
      </c>
      <c r="B783" s="24" t="s">
        <v>1766</v>
      </c>
      <c r="C783" s="25">
        <v>464688</v>
      </c>
      <c r="D783" s="22" t="s">
        <v>1767</v>
      </c>
      <c r="E783" s="22" t="s">
        <v>1403</v>
      </c>
      <c r="F783" s="23" t="str">
        <f>HYPERLINK("https://www.spark-marketing.ru/Card/Lot/74171119", "Оказание услуг по техническому обслуживанию источников бесперебойного питания в 2020г.")</f>
        <v>Оказание услуг по техническому обслуживанию источников бесперебойного питания в 2020г.</v>
      </c>
      <c r="G783" s="22" t="s">
        <v>145</v>
      </c>
      <c r="H783" s="22" t="s">
        <v>436</v>
      </c>
      <c r="I783" s="26">
        <v>43742</v>
      </c>
      <c r="J783" s="28" t="s">
        <v>51</v>
      </c>
      <c r="K783" s="28" t="s">
        <v>51</v>
      </c>
      <c r="L783" s="28" t="s">
        <v>51</v>
      </c>
      <c r="M783" s="28" t="s">
        <v>51</v>
      </c>
      <c r="N783" s="28" t="s">
        <v>51</v>
      </c>
    </row>
    <row r="784" spans="1:14" x14ac:dyDescent="0.2">
      <c r="A784" s="23" t="str">
        <f>HYPERLINK("https://www.spark-marketing.ru/Card/Person/4755393", "ООО ""МЕЖДУНАРОДНЫЙ АЭРОПОРТ БЕЛГОРОД""")</f>
        <v>ООО "МЕЖДУНАРОДНЫЙ АЭРОПОРТ БЕЛГОРОД"</v>
      </c>
      <c r="B784" s="24" t="s">
        <v>1727</v>
      </c>
      <c r="C784" s="25">
        <v>700000</v>
      </c>
      <c r="D784" s="22" t="s">
        <v>1768</v>
      </c>
      <c r="E784" s="22" t="s">
        <v>580</v>
      </c>
      <c r="F784" s="23" t="str">
        <f>HYPERLINK("https://www.spark-marketing.ru/Card/Lot/74163973", "Оказание услуг по организации питания пассажиров бизнес-класса аэропорта г. Белгорода")</f>
        <v>Оказание услуг по организации питания пассажиров бизнес-класса аэропорта г. Белгорода</v>
      </c>
      <c r="G784" s="22" t="s">
        <v>696</v>
      </c>
      <c r="H784" s="22" t="s">
        <v>696</v>
      </c>
      <c r="I784" s="26">
        <v>43742</v>
      </c>
      <c r="J784" s="28" t="s">
        <v>51</v>
      </c>
      <c r="K784" s="28" t="s">
        <v>51</v>
      </c>
      <c r="L784" s="28" t="s">
        <v>51</v>
      </c>
      <c r="M784" s="25">
        <v>700000</v>
      </c>
      <c r="N784" s="27">
        <v>0</v>
      </c>
    </row>
    <row r="785" spans="1:14" x14ac:dyDescent="0.15">
      <c r="A785" s="23" t="str">
        <f>HYPERLINK("https://www.spark-marketing.ru/Card/Person/59490", "МБДОУ ДЕТСКИЙ САД №29 ""СКАЗКА""")</f>
        <v>МБДОУ ДЕТСКИЙ САД №29 "СКАЗКА"</v>
      </c>
      <c r="B785" s="24" t="s">
        <v>1769</v>
      </c>
      <c r="C785" s="25">
        <v>9960234.2400000002</v>
      </c>
      <c r="D785" s="22" t="s">
        <v>1770</v>
      </c>
      <c r="E785" s="22" t="s">
        <v>48</v>
      </c>
      <c r="F785" s="23" t="str">
        <f>HYPERLINK("https://www.spark-marketing.ru/Card/Lot/74158111", "Оказание услуг по организации рационального горячего питания")</f>
        <v>Оказание услуг по организации рационального горячего питания</v>
      </c>
      <c r="G785" s="22" t="s">
        <v>49</v>
      </c>
      <c r="H785" s="22" t="s">
        <v>1263</v>
      </c>
      <c r="I785" s="26">
        <v>43741.914583333302</v>
      </c>
      <c r="J785" s="28" t="s">
        <v>51</v>
      </c>
      <c r="K785" s="28" t="s">
        <v>51</v>
      </c>
      <c r="L785" s="28" t="s">
        <v>51</v>
      </c>
      <c r="M785" s="28" t="s">
        <v>51</v>
      </c>
      <c r="N785" s="28" t="s">
        <v>51</v>
      </c>
    </row>
    <row r="786" spans="1:14" x14ac:dyDescent="0.15">
      <c r="A786" s="23" t="str">
        <f>HYPERLINK("https://www.spark-marketing.ru/Card/Person/20366", "МАОУ ГИМНАЗИЯ ИМЕНИ А.А.ПУШКИНА Г.О. БРОННИЦЫ")</f>
        <v>МАОУ ГИМНАЗИЯ ИМЕНИ А.А.ПУШКИНА Г.О. БРОННИЦЫ</v>
      </c>
      <c r="B786" s="24" t="s">
        <v>1771</v>
      </c>
      <c r="C786" s="25">
        <v>317100</v>
      </c>
      <c r="D786" s="22" t="s">
        <v>1772</v>
      </c>
      <c r="E786" s="22" t="s">
        <v>48</v>
      </c>
      <c r="F786" s="23" t="str">
        <f>HYPERLINK("https://www.spark-marketing.ru/Card/Lot/74157046", "Услуги организации питания 1 классов")</f>
        <v>Услуги организации питания 1 классов</v>
      </c>
      <c r="G786" s="22" t="s">
        <v>49</v>
      </c>
      <c r="H786" s="22" t="s">
        <v>1773</v>
      </c>
      <c r="I786" s="26">
        <v>43741.825868055603</v>
      </c>
      <c r="J786" s="28" t="s">
        <v>51</v>
      </c>
      <c r="K786" s="28" t="s">
        <v>51</v>
      </c>
      <c r="L786" s="28" t="s">
        <v>51</v>
      </c>
      <c r="M786" s="28" t="s">
        <v>51</v>
      </c>
      <c r="N786" s="28" t="s">
        <v>51</v>
      </c>
    </row>
    <row r="787" spans="1:14" x14ac:dyDescent="0.15">
      <c r="A787" s="23" t="str">
        <f>HYPERLINK("https://www.spark-marketing.ru/Card/Person/128762", "ГБУСОШДО Г. МОСКВЫ ""КЛАСС-ЦЕНТР""")</f>
        <v>ГБУСОШДО Г. МОСКВЫ "КЛАСС-ЦЕНТР"</v>
      </c>
      <c r="B787" s="24" t="s">
        <v>1774</v>
      </c>
      <c r="C787" s="25">
        <v>7338540</v>
      </c>
      <c r="D787" s="22" t="s">
        <v>1775</v>
      </c>
      <c r="E787" s="22" t="s">
        <v>48</v>
      </c>
      <c r="F787" s="23" t="str">
        <f>HYPERLINK("https://www.spark-marketing.ru/Card/Lot/74157203", "Оказание услуг по организации питания и обеспечению питьевого режима обучающихся в ГБУСОШДО г.Москвы ""Класс-центр"" в 2020 году")</f>
        <v>Оказание услуг по организации питания и обеспечению питьевого режима обучающихся в ГБУСОШДО г.Москвы "Класс-центр" в 2020 году</v>
      </c>
      <c r="G787" s="22" t="s">
        <v>56</v>
      </c>
      <c r="H787" s="22" t="s">
        <v>56</v>
      </c>
      <c r="I787" s="26">
        <v>43741.7590277778</v>
      </c>
      <c r="J787" s="28" t="s">
        <v>51</v>
      </c>
      <c r="K787" s="28" t="s">
        <v>51</v>
      </c>
      <c r="L787" s="28" t="s">
        <v>51</v>
      </c>
      <c r="M787" s="28" t="s">
        <v>51</v>
      </c>
      <c r="N787" s="28" t="s">
        <v>51</v>
      </c>
    </row>
    <row r="788" spans="1:14" x14ac:dyDescent="0.15">
      <c r="A788" s="23" t="str">
        <f>HYPERLINK("https://www.spark-marketing.ru/Card/Person/32475", "ГБОУ ВО МГИМ ИМ. А.Г. ШНИТКЕ, МГИМ ИМ. А.Г. ШНИТКЕ")</f>
        <v>ГБОУ ВО МГИМ ИМ. А.Г. ШНИТКЕ, МГИМ ИМ. А.Г. ШНИТКЕ</v>
      </c>
      <c r="B788" s="24" t="s">
        <v>1776</v>
      </c>
      <c r="C788" s="25">
        <v>8330544</v>
      </c>
      <c r="D788" s="22" t="s">
        <v>1777</v>
      </c>
      <c r="E788" s="22" t="s">
        <v>48</v>
      </c>
      <c r="F788" s="23" t="str">
        <f>HYPERLINK("https://www.spark-marketing.ru/Card/Lot/74157400", "Оказание услуг по организации питания обучающихся ГБОУ ВО МГИМ им. А.Г. Шнитке в 2020 году")</f>
        <v>Оказание услуг по организации питания обучающихся ГБОУ ВО МГИМ им. А.Г. Шнитке в 2020 году</v>
      </c>
      <c r="G788" s="22" t="s">
        <v>56</v>
      </c>
      <c r="H788" s="22" t="s">
        <v>56</v>
      </c>
      <c r="I788" s="26">
        <v>43741.751388888901</v>
      </c>
      <c r="J788" s="28" t="s">
        <v>51</v>
      </c>
      <c r="K788" s="28" t="s">
        <v>51</v>
      </c>
      <c r="L788" s="28" t="s">
        <v>51</v>
      </c>
      <c r="M788" s="28" t="s">
        <v>51</v>
      </c>
      <c r="N788" s="28" t="s">
        <v>51</v>
      </c>
    </row>
    <row r="789" spans="1:14" x14ac:dyDescent="0.15">
      <c r="A789" s="23" t="str">
        <f>HYPERLINK("https://www.spark-marketing.ru/Card/Person/127192", "ГКУ ""ЦЕНТР ПО МАТЕРИАЛЬНО-ТЕХНИЧЕСКОМУ И ХОЗЯЙСТВЕННОМУ ОБЕСПЕЧЕНИЮ ДЕЯТЕЛЬНОСТИ МИРОВЫХ СУДЕЙ ОРЕНБУРГСКОЙ ОБЛАСТИ""")</f>
        <v>ГКУ "ЦЕНТР ПО МАТЕРИАЛЬНО-ТЕХНИЧЕСКОМУ И ХОЗЯЙСТВЕННОМУ ОБЕСПЕЧЕНИЮ ДЕЯТЕЛЬНОСТИ МИРОВЫХ СУДЕЙ ОРЕНБУРГСКОЙ ОБЛАСТИ"</v>
      </c>
      <c r="B789" s="24" t="s">
        <v>1778</v>
      </c>
      <c r="C789" s="25">
        <v>6900000</v>
      </c>
      <c r="D789" s="22" t="s">
        <v>1779</v>
      </c>
      <c r="E789" s="22" t="s">
        <v>1780</v>
      </c>
      <c r="F789" s="23" t="str">
        <f>HYPERLINK("https://www.spark-marketing.ru/Card/Lot/74157221", "на поставку и внедрение комплекса технических средств аудио-видео записи судебных заседаний на участках мировых судей")</f>
        <v>на поставку и внедрение комплекса технических средств аудио-видео записи судебных заседаний на участках мировых судей</v>
      </c>
      <c r="G789" s="22" t="s">
        <v>132</v>
      </c>
      <c r="H789" s="22" t="s">
        <v>587</v>
      </c>
      <c r="I789" s="26">
        <v>43741.747916666704</v>
      </c>
      <c r="J789" s="28" t="s">
        <v>51</v>
      </c>
      <c r="K789" s="28" t="s">
        <v>51</v>
      </c>
      <c r="L789" s="28" t="s">
        <v>51</v>
      </c>
      <c r="M789" s="28" t="s">
        <v>51</v>
      </c>
      <c r="N789" s="28" t="s">
        <v>51</v>
      </c>
    </row>
    <row r="790" spans="1:14" hidden="1" outlineLevel="1" x14ac:dyDescent="0.2">
      <c r="A790" s="23" t="str">
        <f>HYPERLINK("https://www.spark-marketing.ru/Card/Person/127192", "ГКУ ""ЦЕНТР ПО МАТЕРИАЛЬНО-ТЕХНИЧЕСКОМУ И ХОЗЯЙСТВЕННОМУ ОБЕСПЕЧЕНИЮ ДЕЯТЕЛЬНОСТИ МИРОВЫХ СУДЕЙ ОРЕНБУРГСКОЙ ОБЛАСТИ""")</f>
        <v>ГКУ "ЦЕНТР ПО МАТЕРИАЛЬНО-ТЕХНИЧЕСКОМУ И ХОЗЯЙСТВЕННОМУ ОБЕСПЕЧЕНИЮ ДЕЯТЕЛЬНОСТИ МИРОВЫХ СУДЕЙ ОРЕНБУРГСКОЙ ОБЛАСТИ"</v>
      </c>
      <c r="B790" s="24" t="s">
        <v>1778</v>
      </c>
      <c r="C790" s="25">
        <v>6900000</v>
      </c>
      <c r="D790" s="22" t="s">
        <v>1779</v>
      </c>
      <c r="E790" s="22" t="s">
        <v>1780</v>
      </c>
      <c r="F790" s="23" t="str">
        <f>HYPERLINK("https://www.spark-marketing.ru/Card/Lot/74157221", "на поставку и внедрение комплекса технических средств аудио-видео записи судебных заседаний на участках мировых судей")</f>
        <v>на поставку и внедрение комплекса технических средств аудио-видео записи судебных заседаний на участках мировых судей</v>
      </c>
      <c r="G790" s="22" t="s">
        <v>132</v>
      </c>
      <c r="H790" s="22" t="s">
        <v>587</v>
      </c>
      <c r="I790" s="26">
        <v>43741.747916666704</v>
      </c>
      <c r="J790" s="23" t="str">
        <f>HYPERLINK("https://www.spark-marketing.ru/Card/Person/151548", "ООО ""АЛЬТАИР""")</f>
        <v>ООО "АЛЬТАИР"</v>
      </c>
      <c r="K790" s="24" t="s">
        <v>1781</v>
      </c>
      <c r="L790" s="28" t="s">
        <v>51</v>
      </c>
      <c r="M790" s="25">
        <v>6865500</v>
      </c>
      <c r="N790" s="27">
        <v>5.0000000000000001E-3</v>
      </c>
    </row>
    <row r="791" spans="1:14" ht="12.75" hidden="1" outlineLevel="1" x14ac:dyDescent="0.2">
      <c r="A791" s="23" t="str">
        <f>HYPERLINK("https://www.spark-marketing.ru/Card/Person/127192", "ГКУ ""ЦЕНТР ПО МАТЕРИАЛЬНО-ТЕХНИЧЕСКОМУ И ХОЗЯЙСТВЕННОМУ ОБЕСПЕЧЕНИЮ ДЕЯТЕЛЬНОСТИ МИРОВЫХ СУДЕЙ ОРЕНБУРГСКОЙ ОБЛАСТИ""")</f>
        <v>ГКУ "ЦЕНТР ПО МАТЕРИАЛЬНО-ТЕХНИЧЕСКОМУ И ХОЗЯЙСТВЕННОМУ ОБЕСПЕЧЕНИЮ ДЕЯТЕЛЬНОСТИ МИРОВЫХ СУДЕЙ ОРЕНБУРГСКОЙ ОБЛАСТИ"</v>
      </c>
      <c r="B791" s="24" t="s">
        <v>1778</v>
      </c>
      <c r="C791" s="25">
        <v>6900000</v>
      </c>
      <c r="D791" s="22" t="s">
        <v>1779</v>
      </c>
      <c r="E791" s="22" t="s">
        <v>1780</v>
      </c>
      <c r="F791" s="23" t="str">
        <f>HYPERLINK("https://www.spark-marketing.ru/Card/Lot/74157221", "на поставку и внедрение комплекса технических средств аудио-видео записи судебных заседаний на участках мировых судей")</f>
        <v>на поставку и внедрение комплекса технических средств аудио-видео записи судебных заседаний на участках мировых судей</v>
      </c>
      <c r="G791" s="22" t="s">
        <v>132</v>
      </c>
      <c r="H791" s="22" t="s">
        <v>587</v>
      </c>
      <c r="I791" s="26">
        <v>43741.747916666704</v>
      </c>
      <c r="J791" s="23" t="str">
        <f>HYPERLINK("https://www.spark-marketing.ru/Card/Person/4425931", "ООО ""АЛТИОР""")</f>
        <v>ООО "АЛТИОР"</v>
      </c>
      <c r="K791" s="24" t="s">
        <v>1782</v>
      </c>
      <c r="L791" s="22" t="s">
        <v>10</v>
      </c>
      <c r="M791" s="25">
        <v>6796500</v>
      </c>
      <c r="N791" s="27">
        <v>1.4999999999999999E-2</v>
      </c>
    </row>
    <row r="792" spans="1:14" hidden="1" outlineLevel="1" x14ac:dyDescent="0.2">
      <c r="A792" s="23" t="str">
        <f>HYPERLINK("https://www.spark-marketing.ru/Card/Person/127192", "ГКУ ""ЦЕНТР ПО МАТЕРИАЛЬНО-ТЕХНИЧЕСКОМУ И ХОЗЯЙСТВЕННОМУ ОБЕСПЕЧЕНИЮ ДЕЯТЕЛЬНОСТИ МИРОВЫХ СУДЕЙ ОРЕНБУРГСКОЙ ОБЛАСТИ""")</f>
        <v>ГКУ "ЦЕНТР ПО МАТЕРИАЛЬНО-ТЕХНИЧЕСКОМУ И ХОЗЯЙСТВЕННОМУ ОБЕСПЕЧЕНИЮ ДЕЯТЕЛЬНОСТИ МИРОВЫХ СУДЕЙ ОРЕНБУРГСКОЙ ОБЛАСТИ"</v>
      </c>
      <c r="B792" s="24" t="s">
        <v>1778</v>
      </c>
      <c r="C792" s="25">
        <v>6900000</v>
      </c>
      <c r="D792" s="22" t="s">
        <v>1779</v>
      </c>
      <c r="E792" s="22" t="s">
        <v>1780</v>
      </c>
      <c r="F792" s="23" t="str">
        <f>HYPERLINK("https://www.spark-marketing.ru/Card/Lot/74157221", "на поставку и внедрение комплекса технических средств аудио-видео записи судебных заседаний на участках мировых судей")</f>
        <v>на поставку и внедрение комплекса технических средств аудио-видео записи судебных заседаний на участках мировых судей</v>
      </c>
      <c r="G792" s="22" t="s">
        <v>132</v>
      </c>
      <c r="H792" s="22" t="s">
        <v>587</v>
      </c>
      <c r="I792" s="26">
        <v>43741.747916666704</v>
      </c>
      <c r="J792" s="23" t="str">
        <f>HYPERLINK("https://www.spark-marketing.ru/Card/Person/4879297", "ООО ""СТРУКТУРА МОМЕНТА""")</f>
        <v>ООО "СТРУКТУРА МОМЕНТА"</v>
      </c>
      <c r="K792" s="24" t="s">
        <v>1783</v>
      </c>
      <c r="L792" s="28" t="s">
        <v>51</v>
      </c>
      <c r="M792" s="25">
        <v>6831000</v>
      </c>
      <c r="N792" s="27">
        <v>0.01</v>
      </c>
    </row>
    <row r="793" spans="1:14" x14ac:dyDescent="0.15">
      <c r="A793" s="23" t="str">
        <f>HYPERLINK("https://www.spark-marketing.ru/Card/Person/20208", "КГБУЗ ККОКБ ИМ. ПРОФЕССОРА П.Г.МАКАРОВА")</f>
        <v>КГБУЗ ККОКБ ИМ. ПРОФЕССОРА П.Г.МАКАРОВА</v>
      </c>
      <c r="B793" s="24" t="s">
        <v>1784</v>
      </c>
      <c r="C793" s="25">
        <v>499961.25</v>
      </c>
      <c r="D793" s="22" t="s">
        <v>1785</v>
      </c>
      <c r="E793" s="22" t="s">
        <v>48</v>
      </c>
      <c r="F793" s="23" t="str">
        <f>HYPERLINK("https://www.spark-marketing.ru/Card/Lot/74149568", "Оказание услуг по организации и обеспечению лечебным питанием пациентов стационара (взрослых и детей)")</f>
        <v>Оказание услуг по организации и обеспечению лечебным питанием пациентов стационара (взрослых и детей)</v>
      </c>
      <c r="G793" s="22" t="s">
        <v>281</v>
      </c>
      <c r="H793" s="22" t="s">
        <v>1036</v>
      </c>
      <c r="I793" s="26">
        <v>43741.722916666702</v>
      </c>
      <c r="J793" s="23" t="str">
        <f>HYPERLINK("https://www.spark-marketing.ru/Card/Person/10897", "КГБУЗ ККБ")</f>
        <v>КГБУЗ ККБ</v>
      </c>
      <c r="K793" s="24" t="s">
        <v>1786</v>
      </c>
      <c r="L793" s="22" t="s">
        <v>10</v>
      </c>
      <c r="M793" s="28" t="s">
        <v>51</v>
      </c>
      <c r="N793" s="28" t="s">
        <v>51</v>
      </c>
    </row>
    <row r="794" spans="1:14" x14ac:dyDescent="0.15">
      <c r="A794" s="23" t="str">
        <f>HYPERLINK("https://www.spark-marketing.ru/Card/Person/111542", "МОУ СОШ №11")</f>
        <v>МОУ СОШ №11</v>
      </c>
      <c r="B794" s="24" t="s">
        <v>1787</v>
      </c>
      <c r="C794" s="25">
        <v>5352764.04</v>
      </c>
      <c r="D794" s="22" t="s">
        <v>1788</v>
      </c>
      <c r="E794" s="22" t="s">
        <v>48</v>
      </c>
      <c r="F794" s="23" t="str">
        <f>HYPERLINK("https://www.spark-marketing.ru/Card/Lot/74157194", "Организация горячего питания")</f>
        <v>Организация горячего питания</v>
      </c>
      <c r="G794" s="22" t="s">
        <v>49</v>
      </c>
      <c r="H794" s="22" t="s">
        <v>1789</v>
      </c>
      <c r="I794" s="26">
        <v>43741.713194444397</v>
      </c>
      <c r="J794" s="28" t="s">
        <v>51</v>
      </c>
      <c r="K794" s="28" t="s">
        <v>51</v>
      </c>
      <c r="L794" s="28" t="s">
        <v>51</v>
      </c>
      <c r="M794" s="28" t="s">
        <v>51</v>
      </c>
      <c r="N794" s="28" t="s">
        <v>51</v>
      </c>
    </row>
    <row r="795" spans="1:14" x14ac:dyDescent="0.15">
      <c r="A795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795" s="24" t="s">
        <v>1790</v>
      </c>
      <c r="C795" s="25">
        <v>99763</v>
      </c>
      <c r="D795" s="22" t="s">
        <v>1791</v>
      </c>
      <c r="E795" s="22" t="s">
        <v>809</v>
      </c>
      <c r="F795" s="23" t="str">
        <f>HYPERLINK("https://www.spark-marketing.ru/Card/Lot/74156803", "Закупка товаров, работ, услуг в сфере информационно-коммуникационных технологий. Поставка запасных частей к оргтехнике")</f>
        <v>Закупка товаров, работ, услуг в сфере информационно-коммуникационных технологий. Поставка запасных частей к оргтехнике</v>
      </c>
      <c r="G795" s="22" t="s">
        <v>217</v>
      </c>
      <c r="H795" s="22" t="s">
        <v>937</v>
      </c>
      <c r="I795" s="26">
        <v>43741.738194444399</v>
      </c>
      <c r="J795" s="28" t="s">
        <v>51</v>
      </c>
      <c r="K795" s="28" t="s">
        <v>51</v>
      </c>
      <c r="L795" s="28" t="s">
        <v>51</v>
      </c>
      <c r="M795" s="28" t="s">
        <v>51</v>
      </c>
      <c r="N795" s="28" t="s">
        <v>51</v>
      </c>
    </row>
    <row r="796" spans="1:14" ht="12.75" hidden="1" outlineLevel="1" x14ac:dyDescent="0.2">
      <c r="A796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796" s="24" t="s">
        <v>1790</v>
      </c>
      <c r="C796" s="25">
        <v>99763</v>
      </c>
      <c r="D796" s="22" t="s">
        <v>1791</v>
      </c>
      <c r="E796" s="22" t="s">
        <v>809</v>
      </c>
      <c r="F796" s="23" t="str">
        <f>HYPERLINK("https://www.spark-marketing.ru/Card/Lot/74156803", "Закупка товаров, работ, услуг в сфере информационно-коммуникационных технологий. Поставка запасных частей к оргтехнике")</f>
        <v>Закупка товаров, работ, услуг в сфере информационно-коммуникационных технологий. Поставка запасных частей к оргтехнике</v>
      </c>
      <c r="G796" s="22" t="s">
        <v>217</v>
      </c>
      <c r="H796" s="22" t="s">
        <v>937</v>
      </c>
      <c r="I796" s="26">
        <v>43741.738194444399</v>
      </c>
      <c r="J796" s="23" t="str">
        <f>HYPERLINK("https://www.spark-marketing.ru/Card/Person/6676630", "Шмуленков Иван Георгиевич")</f>
        <v>Шмуленков Иван Георгиевич</v>
      </c>
      <c r="K796" s="24" t="s">
        <v>1792</v>
      </c>
      <c r="L796" s="22" t="s">
        <v>10</v>
      </c>
      <c r="M796" s="25">
        <v>72327.899999999994</v>
      </c>
      <c r="N796" s="27">
        <v>0.27500275653298317</v>
      </c>
    </row>
    <row r="797" spans="1:14" hidden="1" outlineLevel="1" x14ac:dyDescent="0.2">
      <c r="A797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797" s="24" t="s">
        <v>1790</v>
      </c>
      <c r="C797" s="25">
        <v>99763</v>
      </c>
      <c r="D797" s="22" t="s">
        <v>1791</v>
      </c>
      <c r="E797" s="22" t="s">
        <v>809</v>
      </c>
      <c r="F797" s="23" t="str">
        <f>HYPERLINK("https://www.spark-marketing.ru/Card/Lot/74156803", "Закупка товаров, работ, услуг в сфере информационно-коммуникационных технологий. Поставка запасных частей к оргтехнике")</f>
        <v>Закупка товаров, работ, услуг в сфере информационно-коммуникационных технологий. Поставка запасных частей к оргтехнике</v>
      </c>
      <c r="G797" s="22" t="s">
        <v>217</v>
      </c>
      <c r="H797" s="22" t="s">
        <v>937</v>
      </c>
      <c r="I797" s="26">
        <v>43741.738194444399</v>
      </c>
      <c r="J797" s="23" t="str">
        <f>HYPERLINK("https://www.spark-marketing.ru/Card/Person/6418133", "ООО ""КУАНТА СЕРВИС""")</f>
        <v>ООО "КУАНТА СЕРВИС"</v>
      </c>
      <c r="K797" s="24" t="s">
        <v>1793</v>
      </c>
      <c r="L797" s="28" t="s">
        <v>51</v>
      </c>
      <c r="M797" s="25">
        <v>79311.38</v>
      </c>
      <c r="N797" s="27">
        <v>0.205002054870042</v>
      </c>
    </row>
    <row r="798" spans="1:14" hidden="1" outlineLevel="1" x14ac:dyDescent="0.2">
      <c r="A798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798" s="24" t="s">
        <v>1790</v>
      </c>
      <c r="C798" s="25">
        <v>99763</v>
      </c>
      <c r="D798" s="22" t="s">
        <v>1791</v>
      </c>
      <c r="E798" s="22" t="s">
        <v>809</v>
      </c>
      <c r="F798" s="23" t="str">
        <f>HYPERLINK("https://www.spark-marketing.ru/Card/Lot/74156803", "Закупка товаров, работ, услуг в сфере информационно-коммуникационных технологий. Поставка запасных частей к оргтехнике")</f>
        <v>Закупка товаров, работ, услуг в сфере информационно-коммуникационных технологий. Поставка запасных частей к оргтехнике</v>
      </c>
      <c r="G798" s="22" t="s">
        <v>217</v>
      </c>
      <c r="H798" s="22" t="s">
        <v>937</v>
      </c>
      <c r="I798" s="26">
        <v>43741.738194444399</v>
      </c>
      <c r="J798" s="23" t="str">
        <f>HYPERLINK("https://www.spark-marketing.ru/Card/Person/6220446", "ООО ""ПРОФЕССИОНАЛЬНЫЕ ИНТЕРНЕТ ТЕХНОЛОГИИ""")</f>
        <v>ООО "ПРОФЕССИОНАЛЬНЫЕ ИНТЕРНЕТ ТЕХНОЛОГИИ"</v>
      </c>
      <c r="K798" s="24" t="s">
        <v>1794</v>
      </c>
      <c r="L798" s="28" t="s">
        <v>51</v>
      </c>
      <c r="M798" s="25">
        <v>72826.720000000001</v>
      </c>
      <c r="N798" s="27">
        <v>0.27000270641420165</v>
      </c>
    </row>
    <row r="799" spans="1:14" x14ac:dyDescent="0.15">
      <c r="A799" s="23" t="str">
        <f>HYPERLINK("https://www.spark-marketing.ru/Card/Person/1029866", "ГБУСО МО ""ДМИТРОВСКИЙ ЦСПСИД""")</f>
        <v>ГБУСО МО "ДМИТРОВСКИЙ ЦСПСИД"</v>
      </c>
      <c r="B799" s="24" t="s">
        <v>719</v>
      </c>
      <c r="C799" s="25">
        <v>231600</v>
      </c>
      <c r="D799" s="22" t="s">
        <v>1795</v>
      </c>
      <c r="E799" s="22" t="s">
        <v>48</v>
      </c>
      <c r="F799" s="23" t="str">
        <f>HYPERLINK("https://www.spark-marketing.ru/Card/Lot/74152762", "Услуги по организации питания для организаций социального обслуживания (октябрь,ноябрь)")</f>
        <v>Услуги по организации питания для организаций социального обслуживания (октябрь,ноябрь)</v>
      </c>
      <c r="G799" s="22" t="s">
        <v>49</v>
      </c>
      <c r="H799" s="22" t="s">
        <v>721</v>
      </c>
      <c r="I799" s="26">
        <v>43741.7116550926</v>
      </c>
      <c r="J799" s="28" t="s">
        <v>51</v>
      </c>
      <c r="K799" s="28" t="s">
        <v>51</v>
      </c>
      <c r="L799" s="28" t="s">
        <v>51</v>
      </c>
      <c r="M799" s="28" t="s">
        <v>51</v>
      </c>
      <c r="N799" s="28" t="s">
        <v>51</v>
      </c>
    </row>
    <row r="800" spans="1:14" x14ac:dyDescent="0.15">
      <c r="A800" s="23" t="str">
        <f>HYPERLINK("https://www.spark-marketing.ru/Card/Person/85301", "МБОУ СОШ ""ЛЕСНЫЕ ОЗЕРА""")</f>
        <v>МБОУ СОШ "ЛЕСНЫЕ ОЗЕРА"</v>
      </c>
      <c r="B800" s="24" t="s">
        <v>1796</v>
      </c>
      <c r="C800" s="25">
        <v>54000</v>
      </c>
      <c r="D800" s="22" t="s">
        <v>1797</v>
      </c>
      <c r="E800" s="22" t="s">
        <v>48</v>
      </c>
      <c r="F800" s="23" t="str">
        <f>HYPERLINK("https://www.spark-marketing.ru/Card/Lot/74152736", "Услуги по организации питания для учащихся в осеннем лагере")</f>
        <v>Услуги по организации питания для учащихся в осеннем лагере</v>
      </c>
      <c r="G800" s="22" t="s">
        <v>49</v>
      </c>
      <c r="H800" s="22" t="s">
        <v>204</v>
      </c>
      <c r="I800" s="26">
        <v>43741.711087962998</v>
      </c>
      <c r="J800" s="28" t="s">
        <v>51</v>
      </c>
      <c r="K800" s="28" t="s">
        <v>51</v>
      </c>
      <c r="L800" s="28" t="s">
        <v>51</v>
      </c>
      <c r="M800" s="28" t="s">
        <v>51</v>
      </c>
      <c r="N800" s="28" t="s">
        <v>51</v>
      </c>
    </row>
    <row r="801" spans="1:14" x14ac:dyDescent="0.15">
      <c r="A801" s="23" t="str">
        <f>HYPERLINK("https://www.spark-marketing.ru/Card/Person/3004", "ГУ-ОМСКОЕ РО ФОНДА СОЦИАЛЬНОГО СТРАХОВАНИЯ РОССИЙСКОЙ ФЕДЕРАЦИИ")</f>
        <v>ГУ-ОМСКОЕ РО ФОНДА СОЦИАЛЬНОГО СТРАХОВАНИЯ РОССИЙСКОЙ ФЕДЕРАЦИИ</v>
      </c>
      <c r="B801" s="24" t="s">
        <v>1798</v>
      </c>
      <c r="C801" s="25">
        <v>1116102.75</v>
      </c>
      <c r="D801" s="22" t="s">
        <v>1799</v>
      </c>
      <c r="E801" s="22" t="s">
        <v>86</v>
      </c>
      <c r="F801" s="23" t="str">
        <f>HYPERLINK("https://www.spark-marketing.ru/Card/Lot/74153707", "оказание услуг по санаторно-курортному лечению застрахованных лиц, пострадавших вследствие несчастных случаев на производстве и профессиональных заболеваний в 2019")</f>
        <v>оказание услуг по санаторно-курортному лечению застрахованных лиц, пострадавших вследствие несчастных случаев на производстве и профессиональных заболеваний в 2019</v>
      </c>
      <c r="G801" s="22" t="s">
        <v>487</v>
      </c>
      <c r="H801" s="22" t="s">
        <v>488</v>
      </c>
      <c r="I801" s="26">
        <v>43741.736111111102</v>
      </c>
      <c r="J801" s="23" t="str">
        <f>HYPERLINK("https://www.spark-marketing.ru/Card/Person/310891", "ООО САНАТОРИЙ ""АЛТАЙСКИЙ ЗАМОК""")</f>
        <v>ООО САНАТОРИЙ "АЛТАЙСКИЙ ЗАМОК"</v>
      </c>
      <c r="K801" s="24" t="s">
        <v>1800</v>
      </c>
      <c r="L801" s="22" t="s">
        <v>10</v>
      </c>
      <c r="M801" s="28" t="s">
        <v>51</v>
      </c>
      <c r="N801" s="28" t="s">
        <v>51</v>
      </c>
    </row>
    <row r="802" spans="1:14" x14ac:dyDescent="0.15">
      <c r="A802" s="23" t="str">
        <f>HYPERLINK("https://www.spark-marketing.ru/Card/Person/86679", "МБОУ СОШ ""СОЛНЕЧНАЯ""")</f>
        <v>МБОУ СОШ "СОЛНЕЧНАЯ"</v>
      </c>
      <c r="B802" s="24" t="s">
        <v>1801</v>
      </c>
      <c r="C802" s="25">
        <v>60000</v>
      </c>
      <c r="D802" s="22" t="s">
        <v>1802</v>
      </c>
      <c r="E802" s="22" t="s">
        <v>48</v>
      </c>
      <c r="F802" s="23" t="str">
        <f>HYPERLINK("https://www.spark-marketing.ru/Card/Lot/74152729", "Организация питания в оздоровительном лагере дневного пребывания в период осенних каникул 2019 года")</f>
        <v>Организация питания в оздоровительном лагере дневного пребывания в период осенних каникул 2019 года</v>
      </c>
      <c r="G802" s="22" t="s">
        <v>49</v>
      </c>
      <c r="H802" s="22" t="s">
        <v>204</v>
      </c>
      <c r="I802" s="26">
        <v>43741.700891203698</v>
      </c>
      <c r="J802" s="28" t="s">
        <v>51</v>
      </c>
      <c r="K802" s="28" t="s">
        <v>51</v>
      </c>
      <c r="L802" s="28" t="s">
        <v>51</v>
      </c>
      <c r="M802" s="28" t="s">
        <v>51</v>
      </c>
      <c r="N802" s="28" t="s">
        <v>51</v>
      </c>
    </row>
    <row r="803" spans="1:14" x14ac:dyDescent="0.15">
      <c r="A803" s="23" t="str">
        <f>HYPERLINK("https://www.spark-marketing.ru/Card/Person/85924", "МБОУ СОШ ИМ. 8 МАРТА")</f>
        <v>МБОУ СОШ ИМ. 8 МАРТА</v>
      </c>
      <c r="B803" s="24" t="s">
        <v>1803</v>
      </c>
      <c r="C803" s="25">
        <v>84000</v>
      </c>
      <c r="D803" s="22" t="s">
        <v>1804</v>
      </c>
      <c r="E803" s="22" t="s">
        <v>48</v>
      </c>
      <c r="F803" s="23" t="str">
        <f>HYPERLINK("https://www.spark-marketing.ru/Card/Lot/74152699", "Услуга организации питания в лагере дневного пребывания на период осенних каникул 2019 г. для нужд МБОУ СОШ им 8 Марта.")</f>
        <v>Услуга организации питания в лагере дневного пребывания на период осенних каникул 2019 г. для нужд МБОУ СОШ им 8 Марта.</v>
      </c>
      <c r="G803" s="22" t="s">
        <v>49</v>
      </c>
      <c r="H803" s="22" t="s">
        <v>204</v>
      </c>
      <c r="I803" s="26">
        <v>43741.690879629597</v>
      </c>
      <c r="J803" s="28" t="s">
        <v>51</v>
      </c>
      <c r="K803" s="28" t="s">
        <v>51</v>
      </c>
      <c r="L803" s="28" t="s">
        <v>51</v>
      </c>
      <c r="M803" s="28" t="s">
        <v>51</v>
      </c>
      <c r="N803" s="28" t="s">
        <v>51</v>
      </c>
    </row>
    <row r="804" spans="1:14" x14ac:dyDescent="0.15">
      <c r="A804" s="23" t="str">
        <f t="shared" ref="A804:A812" si="2">HYPERLINK("https://www.spark-marketing.ru/Card/Person/51808", "ИСПОЛНИТЕЛЬНЫЙ КОМИТЕТ НИЖНЕКАМСКОГО МУНИЦИПАЛЬНОГО РАЙОНА")</f>
        <v>ИСПОЛНИТЕЛЬНЫЙ КОМИТЕТ НИЖНЕКАМСКОГО МУНИЦИПАЛЬНОГО РАЙОНА</v>
      </c>
      <c r="B804" s="24" t="s">
        <v>1805</v>
      </c>
      <c r="C804" s="25">
        <v>226000</v>
      </c>
      <c r="D804" s="22" t="s">
        <v>1806</v>
      </c>
      <c r="E804" s="22" t="s">
        <v>1807</v>
      </c>
      <c r="F804" s="23" t="str">
        <f t="shared" ref="F804:F812" si="3">HYPERLINK("https://www.spark-marketing.ru/Card/Lot/74155257", "Оказание услуг по печати и доставки бланочной (полиграфической) продукции для МКУ ""Исполнительный комитет Нижнекамского муниципального района"" (СМП и СОНО)")</f>
        <v>Оказание услуг по печати и доставки бланочной (полиграфической) продукции для МКУ "Исполнительный комитет Нижнекамского муниципального района" (СМП и СОНО)</v>
      </c>
      <c r="G804" s="22" t="s">
        <v>217</v>
      </c>
      <c r="H804" s="22" t="s">
        <v>218</v>
      </c>
      <c r="I804" s="26">
        <v>43741.704166666699</v>
      </c>
      <c r="J804" s="28" t="s">
        <v>51</v>
      </c>
      <c r="K804" s="28" t="s">
        <v>51</v>
      </c>
      <c r="L804" s="28" t="s">
        <v>51</v>
      </c>
      <c r="M804" s="28" t="s">
        <v>51</v>
      </c>
      <c r="N804" s="28" t="s">
        <v>51</v>
      </c>
    </row>
    <row r="805" spans="1:14" hidden="1" outlineLevel="1" x14ac:dyDescent="0.2">
      <c r="A805" s="23" t="str">
        <f t="shared" si="2"/>
        <v>ИСПОЛНИТЕЛЬНЫЙ КОМИТЕТ НИЖНЕКАМСКОГО МУНИЦИПАЛЬНОГО РАЙОНА</v>
      </c>
      <c r="B805" s="24" t="s">
        <v>1805</v>
      </c>
      <c r="C805" s="25">
        <v>226000</v>
      </c>
      <c r="D805" s="22" t="s">
        <v>1806</v>
      </c>
      <c r="E805" s="22" t="s">
        <v>1807</v>
      </c>
      <c r="F805" s="23" t="str">
        <f t="shared" si="3"/>
        <v>Оказание услуг по печати и доставки бланочной (полиграфической) продукции для МКУ "Исполнительный комитет Нижнекамского муниципального района" (СМП и СОНО)</v>
      </c>
      <c r="G805" s="22" t="s">
        <v>217</v>
      </c>
      <c r="H805" s="22" t="s">
        <v>218</v>
      </c>
      <c r="I805" s="26">
        <v>43741.704166666699</v>
      </c>
      <c r="J805" s="23" t="str">
        <f>HYPERLINK("https://www.spark-marketing.ru/Card/Person/6084801", "ООО ""МЕДИА ДЕПАРТМЕНТ""")</f>
        <v>ООО "МЕДИА ДЕПАРТМЕНТ"</v>
      </c>
      <c r="K805" s="24" t="s">
        <v>1808</v>
      </c>
      <c r="L805" s="28" t="s">
        <v>51</v>
      </c>
      <c r="M805" s="25">
        <v>212440</v>
      </c>
      <c r="N805" s="27">
        <v>0.06</v>
      </c>
    </row>
    <row r="806" spans="1:14" ht="12.75" hidden="1" outlineLevel="1" x14ac:dyDescent="0.2">
      <c r="A806" s="23" t="str">
        <f t="shared" si="2"/>
        <v>ИСПОЛНИТЕЛЬНЫЙ КОМИТЕТ НИЖНЕКАМСКОГО МУНИЦИПАЛЬНОГО РАЙОНА</v>
      </c>
      <c r="B806" s="24" t="s">
        <v>1805</v>
      </c>
      <c r="C806" s="25">
        <v>226000</v>
      </c>
      <c r="D806" s="22" t="s">
        <v>1806</v>
      </c>
      <c r="E806" s="22" t="s">
        <v>1807</v>
      </c>
      <c r="F806" s="23" t="str">
        <f t="shared" si="3"/>
        <v>Оказание услуг по печати и доставки бланочной (полиграфической) продукции для МКУ "Исполнительный комитет Нижнекамского муниципального района" (СМП и СОНО)</v>
      </c>
      <c r="G806" s="22" t="s">
        <v>217</v>
      </c>
      <c r="H806" s="22" t="s">
        <v>218</v>
      </c>
      <c r="I806" s="26">
        <v>43741.704166666699</v>
      </c>
      <c r="J806" s="23" t="str">
        <f>HYPERLINK("https://www.spark-marketing.ru/Card/Person/6490797", "ООО ""КОНТУР""")</f>
        <v>ООО "КОНТУР"</v>
      </c>
      <c r="K806" s="24" t="s">
        <v>1809</v>
      </c>
      <c r="L806" s="22" t="s">
        <v>10</v>
      </c>
      <c r="M806" s="25">
        <v>129350</v>
      </c>
      <c r="N806" s="27">
        <v>0.42765486725663715</v>
      </c>
    </row>
    <row r="807" spans="1:14" hidden="1" outlineLevel="1" x14ac:dyDescent="0.2">
      <c r="A807" s="23" t="str">
        <f t="shared" si="2"/>
        <v>ИСПОЛНИТЕЛЬНЫЙ КОМИТЕТ НИЖНЕКАМСКОГО МУНИЦИПАЛЬНОГО РАЙОНА</v>
      </c>
      <c r="B807" s="24" t="s">
        <v>1805</v>
      </c>
      <c r="C807" s="25">
        <v>226000</v>
      </c>
      <c r="D807" s="22" t="s">
        <v>1806</v>
      </c>
      <c r="E807" s="22" t="s">
        <v>1807</v>
      </c>
      <c r="F807" s="23" t="str">
        <f t="shared" si="3"/>
        <v>Оказание услуг по печати и доставки бланочной (полиграфической) продукции для МКУ "Исполнительный комитет Нижнекамского муниципального района" (СМП и СОНО)</v>
      </c>
      <c r="G807" s="22" t="s">
        <v>217</v>
      </c>
      <c r="H807" s="22" t="s">
        <v>218</v>
      </c>
      <c r="I807" s="26">
        <v>43741.704166666699</v>
      </c>
      <c r="J807" s="23" t="str">
        <f>HYPERLINK("https://www.spark-marketing.ru/Card/Person/4494616", "ООО ""АТГРУПП""")</f>
        <v>ООО "АТГРУПП"</v>
      </c>
      <c r="K807" s="24" t="s">
        <v>1810</v>
      </c>
      <c r="L807" s="28" t="s">
        <v>51</v>
      </c>
      <c r="M807" s="25">
        <v>163870</v>
      </c>
      <c r="N807" s="27">
        <v>0.27491150442477874</v>
      </c>
    </row>
    <row r="808" spans="1:14" hidden="1" outlineLevel="1" x14ac:dyDescent="0.2">
      <c r="A808" s="23" t="str">
        <f t="shared" si="2"/>
        <v>ИСПОЛНИТЕЛЬНЫЙ КОМИТЕТ НИЖНЕКАМСКОГО МУНИЦИПАЛЬНОГО РАЙОНА</v>
      </c>
      <c r="B808" s="24" t="s">
        <v>1805</v>
      </c>
      <c r="C808" s="25">
        <v>226000</v>
      </c>
      <c r="D808" s="22" t="s">
        <v>1806</v>
      </c>
      <c r="E808" s="22" t="s">
        <v>1807</v>
      </c>
      <c r="F808" s="23" t="str">
        <f t="shared" si="3"/>
        <v>Оказание услуг по печати и доставки бланочной (полиграфической) продукции для МКУ "Исполнительный комитет Нижнекамского муниципального района" (СМП и СОНО)</v>
      </c>
      <c r="G808" s="22" t="s">
        <v>217</v>
      </c>
      <c r="H808" s="22" t="s">
        <v>218</v>
      </c>
      <c r="I808" s="26">
        <v>43741.704166666699</v>
      </c>
      <c r="J808" s="23" t="str">
        <f>HYPERLINK("https://www.spark-marketing.ru/Card/Person/6497437", "Русских Алексей Владимирович")</f>
        <v>Русских Алексей Владимирович</v>
      </c>
      <c r="K808" s="24" t="s">
        <v>1811</v>
      </c>
      <c r="L808" s="28" t="s">
        <v>51</v>
      </c>
      <c r="M808" s="25">
        <v>161610</v>
      </c>
      <c r="N808" s="27">
        <v>0.28491150442477875</v>
      </c>
    </row>
    <row r="809" spans="1:14" hidden="1" outlineLevel="1" x14ac:dyDescent="0.2">
      <c r="A809" s="23" t="str">
        <f t="shared" si="2"/>
        <v>ИСПОЛНИТЕЛЬНЫЙ КОМИТЕТ НИЖНЕКАМСКОГО МУНИЦИПАЛЬНОГО РАЙОНА</v>
      </c>
      <c r="B809" s="24" t="s">
        <v>1805</v>
      </c>
      <c r="C809" s="25">
        <v>226000</v>
      </c>
      <c r="D809" s="22" t="s">
        <v>1806</v>
      </c>
      <c r="E809" s="22" t="s">
        <v>1807</v>
      </c>
      <c r="F809" s="23" t="str">
        <f t="shared" si="3"/>
        <v>Оказание услуг по печати и доставки бланочной (полиграфической) продукции для МКУ "Исполнительный комитет Нижнекамского муниципального района" (СМП и СОНО)</v>
      </c>
      <c r="G809" s="22" t="s">
        <v>217</v>
      </c>
      <c r="H809" s="22" t="s">
        <v>218</v>
      </c>
      <c r="I809" s="26">
        <v>43741.704166666699</v>
      </c>
      <c r="J809" s="23" t="str">
        <f>HYPERLINK("https://www.spark-marketing.ru/Card/Person/152028", "ООО ""МЕДИА ПРИНТ""")</f>
        <v>ООО "МЕДИА ПРИНТ"</v>
      </c>
      <c r="K809" s="24" t="s">
        <v>1812</v>
      </c>
      <c r="L809" s="28" t="s">
        <v>51</v>
      </c>
      <c r="M809" s="25">
        <v>130480</v>
      </c>
      <c r="N809" s="27">
        <v>0.42265486725663715</v>
      </c>
    </row>
    <row r="810" spans="1:14" hidden="1" outlineLevel="1" x14ac:dyDescent="0.2">
      <c r="A810" s="23" t="str">
        <f t="shared" si="2"/>
        <v>ИСПОЛНИТЕЛЬНЫЙ КОМИТЕТ НИЖНЕКАМСКОГО МУНИЦИПАЛЬНОГО РАЙОНА</v>
      </c>
      <c r="B810" s="24" t="s">
        <v>1805</v>
      </c>
      <c r="C810" s="25">
        <v>226000</v>
      </c>
      <c r="D810" s="22" t="s">
        <v>1806</v>
      </c>
      <c r="E810" s="22" t="s">
        <v>1807</v>
      </c>
      <c r="F810" s="23" t="str">
        <f t="shared" si="3"/>
        <v>Оказание услуг по печати и доставки бланочной (полиграфической) продукции для МКУ "Исполнительный комитет Нижнекамского муниципального района" (СМП и СОНО)</v>
      </c>
      <c r="G810" s="22" t="s">
        <v>217</v>
      </c>
      <c r="H810" s="22" t="s">
        <v>218</v>
      </c>
      <c r="I810" s="26">
        <v>43741.704166666699</v>
      </c>
      <c r="J810" s="23" t="str">
        <f>HYPERLINK("https://www.spark-marketing.ru/Card/Person/15402", "ООО ""ИПЦ ""ГУЗЕЛЬ""")</f>
        <v>ООО "ИПЦ "ГУЗЕЛЬ"</v>
      </c>
      <c r="K810" s="24" t="s">
        <v>1813</v>
      </c>
      <c r="L810" s="28" t="s">
        <v>51</v>
      </c>
      <c r="M810" s="25">
        <v>170000</v>
      </c>
      <c r="N810" s="27">
        <v>0.24778761061946902</v>
      </c>
    </row>
    <row r="811" spans="1:14" hidden="1" outlineLevel="1" x14ac:dyDescent="0.2">
      <c r="A811" s="23" t="str">
        <f t="shared" si="2"/>
        <v>ИСПОЛНИТЕЛЬНЫЙ КОМИТЕТ НИЖНЕКАМСКОГО МУНИЦИПАЛЬНОГО РАЙОНА</v>
      </c>
      <c r="B811" s="24" t="s">
        <v>1805</v>
      </c>
      <c r="C811" s="25">
        <v>226000</v>
      </c>
      <c r="D811" s="22" t="s">
        <v>1806</v>
      </c>
      <c r="E811" s="22" t="s">
        <v>1807</v>
      </c>
      <c r="F811" s="23" t="str">
        <f t="shared" si="3"/>
        <v>Оказание услуг по печати и доставки бланочной (полиграфической) продукции для МКУ "Исполнительный комитет Нижнекамского муниципального района" (СМП и СОНО)</v>
      </c>
      <c r="G811" s="22" t="s">
        <v>217</v>
      </c>
      <c r="H811" s="22" t="s">
        <v>218</v>
      </c>
      <c r="I811" s="26">
        <v>43741.704166666699</v>
      </c>
      <c r="J811" s="23" t="str">
        <f>HYPERLINK("https://www.spark-marketing.ru/Card/Person/5773961", "ООО ""СЛАВЯНСКАЯ ТИПОГРАФИЯ""")</f>
        <v>ООО "СЛАВЯНСКАЯ ТИПОГРАФИЯ"</v>
      </c>
      <c r="K811" s="24" t="s">
        <v>1814</v>
      </c>
      <c r="L811" s="28" t="s">
        <v>51</v>
      </c>
      <c r="M811" s="25">
        <v>138740</v>
      </c>
      <c r="N811" s="27">
        <v>0.38610619469026547</v>
      </c>
    </row>
    <row r="812" spans="1:14" hidden="1" outlineLevel="1" x14ac:dyDescent="0.2">
      <c r="A812" s="23" t="str">
        <f t="shared" si="2"/>
        <v>ИСПОЛНИТЕЛЬНЫЙ КОМИТЕТ НИЖНЕКАМСКОГО МУНИЦИПАЛЬНОГО РАЙОНА</v>
      </c>
      <c r="B812" s="24" t="s">
        <v>1805</v>
      </c>
      <c r="C812" s="25">
        <v>226000</v>
      </c>
      <c r="D812" s="22" t="s">
        <v>1806</v>
      </c>
      <c r="E812" s="22" t="s">
        <v>1807</v>
      </c>
      <c r="F812" s="23" t="str">
        <f t="shared" si="3"/>
        <v>Оказание услуг по печати и доставки бланочной (полиграфической) продукции для МКУ "Исполнительный комитет Нижнекамского муниципального района" (СМП и СОНО)</v>
      </c>
      <c r="G812" s="22" t="s">
        <v>217</v>
      </c>
      <c r="H812" s="22" t="s">
        <v>218</v>
      </c>
      <c r="I812" s="26">
        <v>43741.704166666699</v>
      </c>
      <c r="J812" s="23" t="str">
        <f>HYPERLINK("https://www.spark-marketing.ru/Card/Person/163688", "ООО ""ФОЛИАНТ""")</f>
        <v>ООО "ФОЛИАНТ"</v>
      </c>
      <c r="K812" s="24" t="s">
        <v>1815</v>
      </c>
      <c r="L812" s="28" t="s">
        <v>51</v>
      </c>
      <c r="M812" s="25">
        <v>223740</v>
      </c>
      <c r="N812" s="27">
        <v>0.01</v>
      </c>
    </row>
    <row r="813" spans="1:14" x14ac:dyDescent="0.15">
      <c r="A813" s="23" t="str">
        <f>HYPERLINK("https://www.spark-marketing.ru/Card/Person/52407", "МУ МВД РОССИИ ""ОРЕХОВО-ЗУЕВСКОЕ""")</f>
        <v>МУ МВД РОССИИ "ОРЕХОВО-ЗУЕВСКОЕ"</v>
      </c>
      <c r="B813" s="24" t="s">
        <v>1816</v>
      </c>
      <c r="C813" s="25">
        <v>1494000</v>
      </c>
      <c r="D813" s="22" t="s">
        <v>1817</v>
      </c>
      <c r="E813" s="22" t="s">
        <v>48</v>
      </c>
      <c r="F813" s="23" t="str">
        <f>HYPERLINK("https://www.spark-marketing.ru/Card/Lot/74153731", "«Оказание услуг по питанию лиц, содержащихся в ИВС МУ МВД России «Орехово-Зуевское»; лиц, задержанных за административное правонарушение на срок более 3 часов»")</f>
        <v>«Оказание услуг по питанию лиц, содержащихся в ИВС МУ МВД России «Орехово-Зуевское»; лиц, задержанных за административное правонарушение на срок более 3 часов»</v>
      </c>
      <c r="G813" s="22" t="s">
        <v>49</v>
      </c>
      <c r="H813" s="22" t="s">
        <v>49</v>
      </c>
      <c r="I813" s="26">
        <v>43741.625</v>
      </c>
      <c r="J813" s="28" t="s">
        <v>51</v>
      </c>
      <c r="K813" s="28" t="s">
        <v>51</v>
      </c>
      <c r="L813" s="28" t="s">
        <v>51</v>
      </c>
      <c r="M813" s="28" t="s">
        <v>51</v>
      </c>
      <c r="N813" s="28" t="s">
        <v>51</v>
      </c>
    </row>
    <row r="814" spans="1:14" ht="12.75" hidden="1" outlineLevel="1" x14ac:dyDescent="0.2">
      <c r="A814" s="23" t="str">
        <f>HYPERLINK("https://www.spark-marketing.ru/Card/Person/52407", "МУ МВД РОССИИ ""ОРЕХОВО-ЗУЕВСКОЕ""")</f>
        <v>МУ МВД РОССИИ "ОРЕХОВО-ЗУЕВСКОЕ"</v>
      </c>
      <c r="B814" s="24" t="s">
        <v>1816</v>
      </c>
      <c r="C814" s="25">
        <v>1494000</v>
      </c>
      <c r="D814" s="22" t="s">
        <v>1817</v>
      </c>
      <c r="E814" s="22" t="s">
        <v>48</v>
      </c>
      <c r="F814" s="23" t="str">
        <f>HYPERLINK("https://www.spark-marketing.ru/Card/Lot/74153731", "«Оказание услуг по питанию лиц, содержащихся в ИВС МУ МВД России «Орехово-Зуевское»; лиц, задержанных за административное правонарушение на срок более 3 часов»")</f>
        <v>«Оказание услуг по питанию лиц, содержащихся в ИВС МУ МВД России «Орехово-Зуевское»; лиц, задержанных за административное правонарушение на срок более 3 часов»</v>
      </c>
      <c r="G814" s="22" t="s">
        <v>49</v>
      </c>
      <c r="H814" s="22" t="s">
        <v>49</v>
      </c>
      <c r="I814" s="26">
        <v>43741.625</v>
      </c>
      <c r="J814" s="23" t="str">
        <f>HYPERLINK("https://www.spark-marketing.ru/Card/Person/706197", "Русакова Нина Ивановна")</f>
        <v>Русакова Нина Ивановна</v>
      </c>
      <c r="K814" s="24" t="s">
        <v>1818</v>
      </c>
      <c r="L814" s="22" t="s">
        <v>10</v>
      </c>
      <c r="M814" s="25">
        <v>269.27999999999997</v>
      </c>
      <c r="N814" s="27">
        <v>0.99981975903614462</v>
      </c>
    </row>
    <row r="815" spans="1:14" hidden="1" outlineLevel="1" x14ac:dyDescent="0.2">
      <c r="A815" s="23" t="str">
        <f>HYPERLINK("https://www.spark-marketing.ru/Card/Person/52407", "МУ МВД РОССИИ ""ОРЕХОВО-ЗУЕВСКОЕ""")</f>
        <v>МУ МВД РОССИИ "ОРЕХОВО-ЗУЕВСКОЕ"</v>
      </c>
      <c r="B815" s="24" t="s">
        <v>1816</v>
      </c>
      <c r="C815" s="25">
        <v>1494000</v>
      </c>
      <c r="D815" s="22" t="s">
        <v>1817</v>
      </c>
      <c r="E815" s="22" t="s">
        <v>48</v>
      </c>
      <c r="F815" s="23" t="str">
        <f>HYPERLINK("https://www.spark-marketing.ru/Card/Lot/74153731", "«Оказание услуг по питанию лиц, содержащихся в ИВС МУ МВД России «Орехово-Зуевское»; лиц, задержанных за административное правонарушение на срок более 3 часов»")</f>
        <v>«Оказание услуг по питанию лиц, содержащихся в ИВС МУ МВД России «Орехово-Зуевское»; лиц, задержанных за административное правонарушение на срок более 3 часов»</v>
      </c>
      <c r="G815" s="22" t="s">
        <v>49</v>
      </c>
      <c r="H815" s="22" t="s">
        <v>49</v>
      </c>
      <c r="I815" s="26">
        <v>43741.625</v>
      </c>
      <c r="J815" s="23" t="str">
        <f>HYPERLINK("https://www.spark-marketing.ru/Card/Person/6458516", "Хахалина Ирина Юрьевна")</f>
        <v>Хахалина Ирина Юрьевна</v>
      </c>
      <c r="K815" s="24" t="s">
        <v>1701</v>
      </c>
      <c r="L815" s="28" t="s">
        <v>51</v>
      </c>
      <c r="M815" s="25">
        <v>270.64</v>
      </c>
      <c r="N815" s="27">
        <v>0.99981884872824633</v>
      </c>
    </row>
    <row r="816" spans="1:14" x14ac:dyDescent="0.15">
      <c r="A816" s="23" t="str">
        <f>HYPERLINK("https://www.spark-marketing.ru/Card/Person/66890", "МБОУ ""СОШ №22""")</f>
        <v>МБОУ "СОШ №22"</v>
      </c>
      <c r="B816" s="24" t="s">
        <v>1819</v>
      </c>
      <c r="C816" s="25">
        <v>116914.48</v>
      </c>
      <c r="D816" s="22" t="s">
        <v>1820</v>
      </c>
      <c r="E816" s="22" t="s">
        <v>48</v>
      </c>
      <c r="F816" s="23" t="str">
        <f>HYPERLINK("https://www.spark-marketing.ru/Card/Lot/74155209", "Услуги по организации питания для учащихся МБОУ "" Средняя общеобразовательная школа № 22""")</f>
        <v>Услуги по организации питания для учащихся МБОУ " Средняя общеобразовательная школа № 22"</v>
      </c>
      <c r="G816" s="22" t="s">
        <v>49</v>
      </c>
      <c r="H816" s="22" t="s">
        <v>1185</v>
      </c>
      <c r="I816" s="26">
        <v>43741.662499999999</v>
      </c>
      <c r="J816" s="28" t="s">
        <v>51</v>
      </c>
      <c r="K816" s="28" t="s">
        <v>51</v>
      </c>
      <c r="L816" s="28" t="s">
        <v>51</v>
      </c>
      <c r="M816" s="28" t="s">
        <v>51</v>
      </c>
      <c r="N816" s="28" t="s">
        <v>51</v>
      </c>
    </row>
    <row r="817" spans="1:14" ht="12.75" hidden="1" outlineLevel="1" x14ac:dyDescent="0.2">
      <c r="A817" s="23" t="str">
        <f>HYPERLINK("https://www.spark-marketing.ru/Card/Person/66890", "МБОУ ""СОШ №22""")</f>
        <v>МБОУ "СОШ №22"</v>
      </c>
      <c r="B817" s="24" t="s">
        <v>1819</v>
      </c>
      <c r="C817" s="25">
        <v>116914.48</v>
      </c>
      <c r="D817" s="22" t="s">
        <v>1820</v>
      </c>
      <c r="E817" s="22" t="s">
        <v>48</v>
      </c>
      <c r="F817" s="23" t="str">
        <f>HYPERLINK("https://www.spark-marketing.ru/Card/Lot/74155209", "Услуги по организации питания для учащихся МБОУ "" Средняя общеобразовательная школа № 22""")</f>
        <v>Услуги по организации питания для учащихся МБОУ " Средняя общеобразовательная школа № 22"</v>
      </c>
      <c r="G817" s="22" t="s">
        <v>49</v>
      </c>
      <c r="H817" s="22" t="s">
        <v>1185</v>
      </c>
      <c r="I817" s="26">
        <v>43741.662499999999</v>
      </c>
      <c r="J817" s="23" t="str">
        <f>HYPERLINK("https://www.spark-marketing.ru/Card/Person/4348093", "Филин Андрей Сергеевич")</f>
        <v>Филин Андрей Сергеевич</v>
      </c>
      <c r="K817" s="24" t="s">
        <v>1186</v>
      </c>
      <c r="L817" s="22" t="s">
        <v>10</v>
      </c>
      <c r="M817" s="25">
        <v>116910</v>
      </c>
      <c r="N817" s="27">
        <v>3.8318606899675726E-5</v>
      </c>
    </row>
    <row r="818" spans="1:14" hidden="1" outlineLevel="1" x14ac:dyDescent="0.2">
      <c r="A818" s="23" t="str">
        <f>HYPERLINK("https://www.spark-marketing.ru/Card/Person/66890", "МБОУ ""СОШ №22""")</f>
        <v>МБОУ "СОШ №22"</v>
      </c>
      <c r="B818" s="24" t="s">
        <v>1819</v>
      </c>
      <c r="C818" s="25">
        <v>116914.48</v>
      </c>
      <c r="D818" s="22" t="s">
        <v>1820</v>
      </c>
      <c r="E818" s="22" t="s">
        <v>48</v>
      </c>
      <c r="F818" s="23" t="str">
        <f>HYPERLINK("https://www.spark-marketing.ru/Card/Lot/74155209", "Услуги по организации питания для учащихся МБОУ "" Средняя общеобразовательная школа № 22""")</f>
        <v>Услуги по организации питания для учащихся МБОУ " Средняя общеобразовательная школа № 22"</v>
      </c>
      <c r="G818" s="22" t="s">
        <v>49</v>
      </c>
      <c r="H818" s="22" t="s">
        <v>1185</v>
      </c>
      <c r="I818" s="26">
        <v>43741.662499999999</v>
      </c>
      <c r="J818" s="23" t="str">
        <f>HYPERLINK("https://www.spark-marketing.ru/Card/Person/87749", "Рыжухин Сергей Александрович")</f>
        <v>Рыжухин Сергей Александрович</v>
      </c>
      <c r="K818" s="24" t="s">
        <v>1187</v>
      </c>
      <c r="L818" s="28" t="s">
        <v>51</v>
      </c>
      <c r="M818" s="25">
        <v>116914.48</v>
      </c>
      <c r="N818" s="27">
        <v>0</v>
      </c>
    </row>
    <row r="819" spans="1:14" x14ac:dyDescent="0.15">
      <c r="A819" s="23" t="str">
        <f>HYPERLINK("https://www.spark-marketing.ru/Card/Person/135606", "ГБУ СШОР № 1 МОСКОВСКОГО РАЙОНА")</f>
        <v>ГБУ СШОР № 1 МОСКОВСКОГО РАЙОНА</v>
      </c>
      <c r="B819" s="24" t="s">
        <v>1821</v>
      </c>
      <c r="C819" s="25">
        <v>213000</v>
      </c>
      <c r="D819" s="22" t="s">
        <v>1822</v>
      </c>
      <c r="E819" s="22" t="s">
        <v>374</v>
      </c>
      <c r="F819" s="23" t="str">
        <f>HYPERLINK("https://www.spark-marketing.ru/Card/Lot/74155430", "Оказание услуг по обеспечению участия занимающихся государственных бюджетных учреждений в тренировочных сборах (тренировочных мероприятиях) за пределами Санкт-Петербурга и Ленинградской области с учетом затрат на организацию питания, проживания и пре...")</f>
        <v>Оказание услуг по обеспечению участия занимающихся государственных бюджетных учреждений в тренировочных сборах (тренировочных мероприятиях) за пределами Санкт-Петербурга и Ленинградской области с учетом затрат на организацию питания, проживания и пре...</v>
      </c>
      <c r="G819" s="22" t="s">
        <v>117</v>
      </c>
      <c r="H819" s="22" t="s">
        <v>117</v>
      </c>
      <c r="I819" s="26">
        <v>43741.662499999999</v>
      </c>
      <c r="J819" s="23" t="str">
        <f>HYPERLINK("https://www.spark-marketing.ru/Card/Person/4366626", "СКА, г. Санкт-Петербург")</f>
        <v>СКА, г. Санкт-Петербург</v>
      </c>
      <c r="K819" s="24" t="s">
        <v>1823</v>
      </c>
      <c r="L819" s="22" t="s">
        <v>10</v>
      </c>
      <c r="M819" s="28" t="s">
        <v>51</v>
      </c>
      <c r="N819" s="28" t="s">
        <v>51</v>
      </c>
    </row>
    <row r="820" spans="1:14" x14ac:dyDescent="0.15">
      <c r="A820" s="23" t="str">
        <f>HYPERLINK("https://www.spark-marketing.ru/Card/Person/151706", "МДОУ ДЕТСКИЙ САД КОМБИНИРОВАННОГО ВИДА № 5")</f>
        <v>МДОУ ДЕТСКИЙ САД КОМБИНИРОВАННОГО ВИДА № 5</v>
      </c>
      <c r="B820" s="24" t="s">
        <v>1824</v>
      </c>
      <c r="C820" s="25">
        <v>162662.5</v>
      </c>
      <c r="D820" s="22" t="s">
        <v>1825</v>
      </c>
      <c r="E820" s="22" t="s">
        <v>48</v>
      </c>
      <c r="F820" s="23" t="str">
        <f>HYPERLINK("https://www.spark-marketing.ru/Card/Lot/74146250",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820" s="22" t="s">
        <v>49</v>
      </c>
      <c r="H820" s="22" t="s">
        <v>50</v>
      </c>
      <c r="I820" s="26">
        <v>43741.586423611101</v>
      </c>
      <c r="J820" s="28" t="s">
        <v>51</v>
      </c>
      <c r="K820" s="28" t="s">
        <v>51</v>
      </c>
      <c r="L820" s="28" t="s">
        <v>51</v>
      </c>
      <c r="M820" s="28" t="s">
        <v>51</v>
      </c>
      <c r="N820" s="28" t="s">
        <v>51</v>
      </c>
    </row>
    <row r="821" spans="1:14" x14ac:dyDescent="0.15">
      <c r="A821" s="23" t="s">
        <v>114</v>
      </c>
      <c r="B821" s="28" t="s">
        <v>51</v>
      </c>
      <c r="C821" s="25">
        <v>7722760</v>
      </c>
      <c r="D821" s="22" t="s">
        <v>1826</v>
      </c>
      <c r="E821" s="22" t="s">
        <v>48</v>
      </c>
      <c r="F821" s="23" t="str">
        <f t="shared" ref="F821:F828" si="4">HYPERLINK("https://www.spark-marketing.ru/Card/Lot/74154359",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821" s="22" t="s">
        <v>51</v>
      </c>
      <c r="H821" s="22" t="s">
        <v>51</v>
      </c>
      <c r="I821" s="26">
        <v>43741.595833333296</v>
      </c>
      <c r="J821" s="28" t="s">
        <v>51</v>
      </c>
      <c r="K821" s="28" t="s">
        <v>51</v>
      </c>
      <c r="L821" s="28" t="s">
        <v>51</v>
      </c>
      <c r="M821" s="28" t="s">
        <v>51</v>
      </c>
      <c r="N821" s="28" t="s">
        <v>51</v>
      </c>
    </row>
    <row r="822" spans="1:14" hidden="1" outlineLevel="1" x14ac:dyDescent="0.15">
      <c r="A822" s="23" t="str">
        <f>HYPERLINK("https://www.spark-marketing.ru/Card/Person/80553", "МБОУ ""ГУБИНСКАЯ СОШ""")</f>
        <v>МБОУ "ГУБИНСКАЯ СОШ"</v>
      </c>
      <c r="B822" s="24" t="s">
        <v>1827</v>
      </c>
      <c r="C822" s="25">
        <v>1410360</v>
      </c>
      <c r="D822" s="22" t="s">
        <v>1826</v>
      </c>
      <c r="E822" s="22" t="s">
        <v>48</v>
      </c>
      <c r="F822" s="23" t="str">
        <f t="shared" si="4"/>
        <v>Услуги по организации питания для учащихся общеобразовательной организации</v>
      </c>
      <c r="G822" s="22" t="s">
        <v>49</v>
      </c>
      <c r="H822" s="22" t="s">
        <v>49</v>
      </c>
      <c r="I822" s="26">
        <v>43741.595833333296</v>
      </c>
      <c r="J822" s="28" t="s">
        <v>51</v>
      </c>
      <c r="K822" s="28" t="s">
        <v>51</v>
      </c>
      <c r="L822" s="28" t="s">
        <v>51</v>
      </c>
      <c r="M822" s="28" t="s">
        <v>51</v>
      </c>
      <c r="N822" s="28" t="s">
        <v>51</v>
      </c>
    </row>
    <row r="823" spans="1:14" hidden="1" outlineLevel="1" x14ac:dyDescent="0.15">
      <c r="A823" s="23" t="str">
        <f>HYPERLINK("https://www.spark-marketing.ru/Card/Person/90558", "МБОУ ""ЛИКИНО-ДУЛЁВСКАЯ СОШ № 5""")</f>
        <v>МБОУ "ЛИКИНО-ДУЛЁВСКАЯ СОШ № 5"</v>
      </c>
      <c r="B823" s="24" t="s">
        <v>1828</v>
      </c>
      <c r="C823" s="25">
        <v>3450600</v>
      </c>
      <c r="D823" s="22" t="s">
        <v>1826</v>
      </c>
      <c r="E823" s="22" t="s">
        <v>48</v>
      </c>
      <c r="F823" s="23" t="str">
        <f t="shared" si="4"/>
        <v>Услуги по организации питания для учащихся общеобразовательной организации</v>
      </c>
      <c r="G823" s="22" t="s">
        <v>49</v>
      </c>
      <c r="H823" s="22" t="s">
        <v>49</v>
      </c>
      <c r="I823" s="26">
        <v>43741.595833333296</v>
      </c>
      <c r="J823" s="28" t="s">
        <v>51</v>
      </c>
      <c r="K823" s="28" t="s">
        <v>51</v>
      </c>
      <c r="L823" s="28" t="s">
        <v>51</v>
      </c>
      <c r="M823" s="28" t="s">
        <v>51</v>
      </c>
      <c r="N823" s="28" t="s">
        <v>51</v>
      </c>
    </row>
    <row r="824" spans="1:14" hidden="1" outlineLevel="1" x14ac:dyDescent="0.15">
      <c r="A824" s="23" t="str">
        <f>HYPERLINK("https://www.spark-marketing.ru/Card/Person/1028833", "МБОУ ""ЩЕТИНОВСКАЯ СОШ""")</f>
        <v>МБОУ "ЩЕТИНОВСКАЯ СОШ"</v>
      </c>
      <c r="B824" s="24" t="s">
        <v>1829</v>
      </c>
      <c r="C824" s="25">
        <v>1348080</v>
      </c>
      <c r="D824" s="22" t="s">
        <v>1826</v>
      </c>
      <c r="E824" s="22" t="s">
        <v>48</v>
      </c>
      <c r="F824" s="23" t="str">
        <f t="shared" si="4"/>
        <v>Услуги по организации питания для учащихся общеобразовательной организации</v>
      </c>
      <c r="G824" s="22" t="s">
        <v>49</v>
      </c>
      <c r="H824" s="22" t="s">
        <v>49</v>
      </c>
      <c r="I824" s="26">
        <v>43741.595833333296</v>
      </c>
      <c r="J824" s="28" t="s">
        <v>51</v>
      </c>
      <c r="K824" s="28" t="s">
        <v>51</v>
      </c>
      <c r="L824" s="28" t="s">
        <v>51</v>
      </c>
      <c r="M824" s="28" t="s">
        <v>51</v>
      </c>
      <c r="N824" s="28" t="s">
        <v>51</v>
      </c>
    </row>
    <row r="825" spans="1:14" hidden="1" outlineLevel="1" x14ac:dyDescent="0.15">
      <c r="A825" s="23" t="str">
        <f>HYPERLINK("https://www.spark-marketing.ru/Card/Person/1033638", "МБОУ ""ЛИКИНО-ДУЛЁВСКАЯ ООШ № 3""")</f>
        <v>МБОУ "ЛИКИНО-ДУЛЁВСКАЯ ООШ № 3"</v>
      </c>
      <c r="B825" s="24" t="s">
        <v>1830</v>
      </c>
      <c r="C825" s="25">
        <v>1513720</v>
      </c>
      <c r="D825" s="22" t="s">
        <v>1826</v>
      </c>
      <c r="E825" s="22" t="s">
        <v>48</v>
      </c>
      <c r="F825" s="23" t="str">
        <f t="shared" si="4"/>
        <v>Услуги по организации питания для учащихся общеобразовательной организации</v>
      </c>
      <c r="G825" s="22" t="s">
        <v>49</v>
      </c>
      <c r="H825" s="22" t="s">
        <v>49</v>
      </c>
      <c r="I825" s="26">
        <v>43741.595833333296</v>
      </c>
      <c r="J825" s="28" t="s">
        <v>51</v>
      </c>
      <c r="K825" s="28" t="s">
        <v>51</v>
      </c>
      <c r="L825" s="28" t="s">
        <v>51</v>
      </c>
      <c r="M825" s="28" t="s">
        <v>51</v>
      </c>
      <c r="N825" s="28" t="s">
        <v>51</v>
      </c>
    </row>
    <row r="826" spans="1:14" hidden="1" outlineLevel="1" x14ac:dyDescent="0.2">
      <c r="A826" s="28" t="s">
        <v>51</v>
      </c>
      <c r="B826" s="28" t="s">
        <v>51</v>
      </c>
      <c r="C826" s="28" t="s">
        <v>51</v>
      </c>
      <c r="D826" s="22" t="s">
        <v>1826</v>
      </c>
      <c r="E826" s="22" t="s">
        <v>48</v>
      </c>
      <c r="F826" s="23" t="str">
        <f t="shared" si="4"/>
        <v>Услуги по организации питания для учащихся общеобразовательной организации</v>
      </c>
      <c r="G826" s="22" t="s">
        <v>51</v>
      </c>
      <c r="H826" s="22" t="s">
        <v>51</v>
      </c>
      <c r="I826" s="26">
        <v>43741.595833333296</v>
      </c>
      <c r="J826" s="23" t="str">
        <f>HYPERLINK("https://www.spark-marketing.ru/Card/Person/4351169", "Русаков Анатолий Сидорович")</f>
        <v>Русаков Анатолий Сидорович</v>
      </c>
      <c r="K826" s="24" t="s">
        <v>1700</v>
      </c>
      <c r="L826" s="22" t="s">
        <v>10</v>
      </c>
      <c r="M826" s="25">
        <v>7336600</v>
      </c>
      <c r="N826" s="27">
        <v>5.0002848722477455E-2</v>
      </c>
    </row>
    <row r="827" spans="1:14" hidden="1" outlineLevel="1" x14ac:dyDescent="0.2">
      <c r="A827" s="28" t="s">
        <v>51</v>
      </c>
      <c r="B827" s="28" t="s">
        <v>51</v>
      </c>
      <c r="C827" s="28" t="s">
        <v>51</v>
      </c>
      <c r="D827" s="22" t="s">
        <v>1826</v>
      </c>
      <c r="E827" s="22" t="s">
        <v>48</v>
      </c>
      <c r="F827" s="23" t="str">
        <f t="shared" si="4"/>
        <v>Услуги по организации питания для учащихся общеобразовательной организации</v>
      </c>
      <c r="G827" s="22" t="s">
        <v>51</v>
      </c>
      <c r="H827" s="22" t="s">
        <v>51</v>
      </c>
      <c r="I827" s="26">
        <v>43741.595833333296</v>
      </c>
      <c r="J827" s="23" t="str">
        <f>HYPERLINK("https://www.spark-marketing.ru/Card/Person/6458516", "Хахалина Ирина Юрьевна")</f>
        <v>Хахалина Ирина Юрьевна</v>
      </c>
      <c r="K827" s="24" t="s">
        <v>1701</v>
      </c>
      <c r="L827" s="28" t="s">
        <v>51</v>
      </c>
      <c r="M827" s="25">
        <v>7491077.2000000002</v>
      </c>
      <c r="N827" s="27">
        <v>0.03</v>
      </c>
    </row>
    <row r="828" spans="1:14" hidden="1" outlineLevel="1" x14ac:dyDescent="0.2">
      <c r="A828" s="28" t="s">
        <v>51</v>
      </c>
      <c r="B828" s="28" t="s">
        <v>51</v>
      </c>
      <c r="C828" s="28" t="s">
        <v>51</v>
      </c>
      <c r="D828" s="22" t="s">
        <v>1826</v>
      </c>
      <c r="E828" s="22" t="s">
        <v>48</v>
      </c>
      <c r="F828" s="23" t="str">
        <f t="shared" si="4"/>
        <v>Услуги по организации питания для учащихся общеобразовательной организации</v>
      </c>
      <c r="G828" s="22" t="s">
        <v>51</v>
      </c>
      <c r="H828" s="22" t="s">
        <v>51</v>
      </c>
      <c r="I828" s="26">
        <v>43741.595833333296</v>
      </c>
      <c r="J828" s="23" t="str">
        <f>HYPERLINK("https://www.spark-marketing.ru/Card/Person/1335068", "Кулешова Светлана Владимировна")</f>
        <v>Кулешова Светлана Владимировна</v>
      </c>
      <c r="K828" s="24" t="s">
        <v>1702</v>
      </c>
      <c r="L828" s="28" t="s">
        <v>51</v>
      </c>
      <c r="M828" s="25">
        <v>7606918.5999999996</v>
      </c>
      <c r="N828" s="27">
        <v>1.4999999999999999E-2</v>
      </c>
    </row>
    <row r="829" spans="1:14" x14ac:dyDescent="0.15">
      <c r="A829" s="23" t="str">
        <f>HYPERLINK("https://www.spark-marketing.ru/Card/Person/111466", "МБОУ СОШ №2")</f>
        <v>МБОУ СОШ №2</v>
      </c>
      <c r="B829" s="24" t="s">
        <v>1831</v>
      </c>
      <c r="C829" s="25">
        <v>8495940.9600000009</v>
      </c>
      <c r="D829" s="22" t="s">
        <v>1832</v>
      </c>
      <c r="E829" s="22" t="s">
        <v>48</v>
      </c>
      <c r="F829" s="23" t="str">
        <f>HYPERLINK("https://www.spark-marketing.ru/Card/Lot/74154275", "Организация горячего питания")</f>
        <v>Организация горячего питания</v>
      </c>
      <c r="G829" s="22" t="s">
        <v>49</v>
      </c>
      <c r="H829" s="22" t="s">
        <v>1833</v>
      </c>
      <c r="I829" s="26">
        <v>43741.595138888901</v>
      </c>
      <c r="J829" s="28" t="s">
        <v>51</v>
      </c>
      <c r="K829" s="28" t="s">
        <v>51</v>
      </c>
      <c r="L829" s="28" t="s">
        <v>51</v>
      </c>
      <c r="M829" s="28" t="s">
        <v>51</v>
      </c>
      <c r="N829" s="28" t="s">
        <v>51</v>
      </c>
    </row>
    <row r="830" spans="1:14" x14ac:dyDescent="0.15">
      <c r="A830" s="23" t="s">
        <v>114</v>
      </c>
      <c r="B830" s="28" t="s">
        <v>51</v>
      </c>
      <c r="C830" s="25">
        <v>7046900</v>
      </c>
      <c r="D830" s="22" t="s">
        <v>1834</v>
      </c>
      <c r="E830" s="22" t="s">
        <v>48</v>
      </c>
      <c r="F830" s="23" t="str">
        <f t="shared" ref="F830:F837" si="5">HYPERLINK("https://www.spark-marketing.ru/Card/Lot/74154299",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830" s="22" t="s">
        <v>51</v>
      </c>
      <c r="H830" s="22" t="s">
        <v>51</v>
      </c>
      <c r="I830" s="26">
        <v>43741.609027777798</v>
      </c>
      <c r="J830" s="28" t="s">
        <v>51</v>
      </c>
      <c r="K830" s="28" t="s">
        <v>51</v>
      </c>
      <c r="L830" s="28" t="s">
        <v>51</v>
      </c>
      <c r="M830" s="28" t="s">
        <v>51</v>
      </c>
      <c r="N830" s="28" t="s">
        <v>51</v>
      </c>
    </row>
    <row r="831" spans="1:14" hidden="1" outlineLevel="1" x14ac:dyDescent="0.15">
      <c r="A831" s="23" t="str">
        <f>HYPERLINK("https://www.spark-marketing.ru/Card/Person/1022650", "МБОУ ""ЛИКИНО-ДУЛЁВСКАЯ ГИМНАЗИЯ""")</f>
        <v>МБОУ "ЛИКИНО-ДУЛЁВСКАЯ ГИМНАЗИЯ"</v>
      </c>
      <c r="B831" s="24" t="s">
        <v>1835</v>
      </c>
      <c r="C831" s="25">
        <v>2555100</v>
      </c>
      <c r="D831" s="22" t="s">
        <v>1834</v>
      </c>
      <c r="E831" s="22" t="s">
        <v>48</v>
      </c>
      <c r="F831" s="23" t="str">
        <f t="shared" si="5"/>
        <v>Услуги по организации питания для учащихся общеобразовательной организации</v>
      </c>
      <c r="G831" s="22" t="s">
        <v>49</v>
      </c>
      <c r="H831" s="22" t="s">
        <v>49</v>
      </c>
      <c r="I831" s="26">
        <v>43741.609027777798</v>
      </c>
      <c r="J831" s="28" t="s">
        <v>51</v>
      </c>
      <c r="K831" s="28" t="s">
        <v>51</v>
      </c>
      <c r="L831" s="28" t="s">
        <v>51</v>
      </c>
      <c r="M831" s="28" t="s">
        <v>51</v>
      </c>
      <c r="N831" s="28" t="s">
        <v>51</v>
      </c>
    </row>
    <row r="832" spans="1:14" hidden="1" outlineLevel="1" x14ac:dyDescent="0.15">
      <c r="A832" s="23" t="str">
        <f>HYPERLINK("https://www.spark-marketing.ru/Card/Person/1034153", "МБОУ ""ЛИКИНО-ДУЛЁВСКАЯ ООШ № 2""")</f>
        <v>МБОУ "ЛИКИНО-ДУЛЁВСКАЯ ООШ № 2"</v>
      </c>
      <c r="B832" s="24" t="s">
        <v>1836</v>
      </c>
      <c r="C832" s="25">
        <v>1943400</v>
      </c>
      <c r="D832" s="22" t="s">
        <v>1834</v>
      </c>
      <c r="E832" s="22" t="s">
        <v>48</v>
      </c>
      <c r="F832" s="23" t="str">
        <f t="shared" si="5"/>
        <v>Услуги по организации питания для учащихся общеобразовательной организации</v>
      </c>
      <c r="G832" s="22" t="s">
        <v>49</v>
      </c>
      <c r="H832" s="22" t="s">
        <v>49</v>
      </c>
      <c r="I832" s="26">
        <v>43741.609027777798</v>
      </c>
      <c r="J832" s="28" t="s">
        <v>51</v>
      </c>
      <c r="K832" s="28" t="s">
        <v>51</v>
      </c>
      <c r="L832" s="28" t="s">
        <v>51</v>
      </c>
      <c r="M832" s="28" t="s">
        <v>51</v>
      </c>
      <c r="N832" s="28" t="s">
        <v>51</v>
      </c>
    </row>
    <row r="833" spans="1:14" hidden="1" outlineLevel="1" x14ac:dyDescent="0.15">
      <c r="A833" s="23" t="str">
        <f>HYPERLINK("https://www.spark-marketing.ru/Card/Person/4371764", "МБОУ ""ЛИКИНО-ДУЛЁВСКАЯ ООШ № 4""")</f>
        <v>МБОУ "ЛИКИНО-ДУЛЁВСКАЯ ООШ № 4"</v>
      </c>
      <c r="B833" s="24" t="s">
        <v>1837</v>
      </c>
      <c r="C833" s="25">
        <v>2082800</v>
      </c>
      <c r="D833" s="22" t="s">
        <v>1834</v>
      </c>
      <c r="E833" s="22" t="s">
        <v>48</v>
      </c>
      <c r="F833" s="23" t="str">
        <f t="shared" si="5"/>
        <v>Услуги по организации питания для учащихся общеобразовательной организации</v>
      </c>
      <c r="G833" s="22" t="s">
        <v>49</v>
      </c>
      <c r="H833" s="22" t="s">
        <v>49</v>
      </c>
      <c r="I833" s="26">
        <v>43741.609027777798</v>
      </c>
      <c r="J833" s="28" t="s">
        <v>51</v>
      </c>
      <c r="K833" s="28" t="s">
        <v>51</v>
      </c>
      <c r="L833" s="28" t="s">
        <v>51</v>
      </c>
      <c r="M833" s="28" t="s">
        <v>51</v>
      </c>
      <c r="N833" s="28" t="s">
        <v>51</v>
      </c>
    </row>
    <row r="834" spans="1:14" hidden="1" outlineLevel="1" x14ac:dyDescent="0.15">
      <c r="A834" s="23" t="str">
        <f>HYPERLINK("https://www.spark-marketing.ru/Card/Person/4374325", "МБОУ ""ГОРСКАЯ ООШ""")</f>
        <v>МБОУ "ГОРСКАЯ ООШ"</v>
      </c>
      <c r="B834" s="24" t="s">
        <v>1838</v>
      </c>
      <c r="C834" s="25">
        <v>465600</v>
      </c>
      <c r="D834" s="22" t="s">
        <v>1834</v>
      </c>
      <c r="E834" s="22" t="s">
        <v>48</v>
      </c>
      <c r="F834" s="23" t="str">
        <f t="shared" si="5"/>
        <v>Услуги по организации питания для учащихся общеобразовательной организации</v>
      </c>
      <c r="G834" s="22" t="s">
        <v>49</v>
      </c>
      <c r="H834" s="22" t="s">
        <v>49</v>
      </c>
      <c r="I834" s="26">
        <v>43741.609027777798</v>
      </c>
      <c r="J834" s="28" t="s">
        <v>51</v>
      </c>
      <c r="K834" s="28" t="s">
        <v>51</v>
      </c>
      <c r="L834" s="28" t="s">
        <v>51</v>
      </c>
      <c r="M834" s="28" t="s">
        <v>51</v>
      </c>
      <c r="N834" s="28" t="s">
        <v>51</v>
      </c>
    </row>
    <row r="835" spans="1:14" hidden="1" outlineLevel="1" x14ac:dyDescent="0.2">
      <c r="A835" s="28" t="s">
        <v>51</v>
      </c>
      <c r="B835" s="28" t="s">
        <v>51</v>
      </c>
      <c r="C835" s="28" t="s">
        <v>51</v>
      </c>
      <c r="D835" s="22" t="s">
        <v>1834</v>
      </c>
      <c r="E835" s="22" t="s">
        <v>48</v>
      </c>
      <c r="F835" s="23" t="str">
        <f t="shared" si="5"/>
        <v>Услуги по организации питания для учащихся общеобразовательной организации</v>
      </c>
      <c r="G835" s="22" t="s">
        <v>51</v>
      </c>
      <c r="H835" s="22" t="s">
        <v>51</v>
      </c>
      <c r="I835" s="26">
        <v>43741.609027777798</v>
      </c>
      <c r="J835" s="23" t="str">
        <f>HYPERLINK("https://www.spark-marketing.ru/Card/Person/4351169", "Русаков Анатолий Сидорович")</f>
        <v>Русаков Анатолий Сидорович</v>
      </c>
      <c r="K835" s="24" t="s">
        <v>1700</v>
      </c>
      <c r="L835" s="22" t="s">
        <v>10</v>
      </c>
      <c r="M835" s="25">
        <v>6669890</v>
      </c>
      <c r="N835" s="27">
        <v>5.3500120620414648E-2</v>
      </c>
    </row>
    <row r="836" spans="1:14" hidden="1" outlineLevel="1" x14ac:dyDescent="0.2">
      <c r="A836" s="28" t="s">
        <v>51</v>
      </c>
      <c r="B836" s="28" t="s">
        <v>51</v>
      </c>
      <c r="C836" s="28" t="s">
        <v>51</v>
      </c>
      <c r="D836" s="22" t="s">
        <v>1834</v>
      </c>
      <c r="E836" s="22" t="s">
        <v>48</v>
      </c>
      <c r="F836" s="23" t="str">
        <f t="shared" si="5"/>
        <v>Услуги по организации питания для учащихся общеобразовательной организации</v>
      </c>
      <c r="G836" s="22" t="s">
        <v>51</v>
      </c>
      <c r="H836" s="22" t="s">
        <v>51</v>
      </c>
      <c r="I836" s="26">
        <v>43741.609027777798</v>
      </c>
      <c r="J836" s="23" t="str">
        <f>HYPERLINK("https://www.spark-marketing.ru/Card/Person/6458516", "Хахалина Ирина Юрьевна")</f>
        <v>Хахалина Ирина Юрьевна</v>
      </c>
      <c r="K836" s="24" t="s">
        <v>1701</v>
      </c>
      <c r="L836" s="28" t="s">
        <v>51</v>
      </c>
      <c r="M836" s="25">
        <v>6765024</v>
      </c>
      <c r="N836" s="27">
        <v>0.04</v>
      </c>
    </row>
    <row r="837" spans="1:14" hidden="1" outlineLevel="1" x14ac:dyDescent="0.2">
      <c r="A837" s="28" t="s">
        <v>51</v>
      </c>
      <c r="B837" s="28" t="s">
        <v>51</v>
      </c>
      <c r="C837" s="28" t="s">
        <v>51</v>
      </c>
      <c r="D837" s="22" t="s">
        <v>1834</v>
      </c>
      <c r="E837" s="22" t="s">
        <v>48</v>
      </c>
      <c r="F837" s="23" t="str">
        <f t="shared" si="5"/>
        <v>Услуги по организации питания для учащихся общеобразовательной организации</v>
      </c>
      <c r="G837" s="22" t="s">
        <v>51</v>
      </c>
      <c r="H837" s="22" t="s">
        <v>51</v>
      </c>
      <c r="I837" s="26">
        <v>43741.609027777798</v>
      </c>
      <c r="J837" s="23" t="str">
        <f>HYPERLINK("https://www.spark-marketing.ru/Card/Person/1335068", "Кулешова Светлана Владимировна")</f>
        <v>Кулешова Светлана Владимировна</v>
      </c>
      <c r="K837" s="24" t="s">
        <v>1702</v>
      </c>
      <c r="L837" s="28" t="s">
        <v>51</v>
      </c>
      <c r="M837" s="25">
        <v>6994048.25</v>
      </c>
      <c r="N837" s="27">
        <v>7.4999999999999997E-3</v>
      </c>
    </row>
    <row r="838" spans="1:14" x14ac:dyDescent="0.15">
      <c r="A838" s="23" t="str">
        <f>HYPERLINK("https://www.spark-marketing.ru/Card/Person/6701618", "ГБУЗ ПК ""КФМЦ""")</f>
        <v>ГБУЗ ПК "КФМЦ"</v>
      </c>
      <c r="B838" s="24" t="s">
        <v>1839</v>
      </c>
      <c r="C838" s="25">
        <v>499840</v>
      </c>
      <c r="D838" s="22" t="s">
        <v>1840</v>
      </c>
      <c r="E838" s="22" t="s">
        <v>96</v>
      </c>
      <c r="F838" s="23" t="str">
        <f>HYPERLINK("https://www.spark-marketing.ru/Card/Lot/74149537", "Оказание услуг по организации лечебного питания (г. Губаха)")</f>
        <v>Оказание услуг по организации лечебного питания (г. Губаха)</v>
      </c>
      <c r="G838" s="22" t="s">
        <v>153</v>
      </c>
      <c r="H838" s="22" t="s">
        <v>153</v>
      </c>
      <c r="I838" s="26">
        <v>43741.593055555597</v>
      </c>
      <c r="J838" s="23" t="str">
        <f>HYPERLINK("https://www.spark-marketing.ru/Card/Person/245836", "ООО ""АМЕГА""")</f>
        <v>ООО "АМЕГА"</v>
      </c>
      <c r="K838" s="24" t="s">
        <v>1841</v>
      </c>
      <c r="L838" s="22" t="s">
        <v>10</v>
      </c>
      <c r="M838" s="28" t="s">
        <v>51</v>
      </c>
      <c r="N838" s="28" t="s">
        <v>51</v>
      </c>
    </row>
    <row r="839" spans="1:14" x14ac:dyDescent="0.15">
      <c r="A839" s="23" t="str">
        <f>HYPERLINK("https://www.spark-marketing.ru/Card/Person/1006017", "МОУ ЕФИМОВСКАЯ ООШ")</f>
        <v>МОУ ЕФИМОВСКАЯ ООШ</v>
      </c>
      <c r="B839" s="24" t="s">
        <v>1842</v>
      </c>
      <c r="C839" s="25">
        <v>1390072.32</v>
      </c>
      <c r="D839" s="22" t="s">
        <v>1843</v>
      </c>
      <c r="E839" s="22" t="s">
        <v>48</v>
      </c>
      <c r="F839" s="23" t="str">
        <f>HYPERLINK("https://www.spark-marketing.ru/Card/Lot/74150267", "Организация горячего питания")</f>
        <v>Организация горячего питания</v>
      </c>
      <c r="G839" s="22" t="s">
        <v>49</v>
      </c>
      <c r="H839" s="22" t="s">
        <v>1789</v>
      </c>
      <c r="I839" s="26">
        <v>43741.585416666698</v>
      </c>
      <c r="J839" s="28" t="s">
        <v>51</v>
      </c>
      <c r="K839" s="28" t="s">
        <v>51</v>
      </c>
      <c r="L839" s="28" t="s">
        <v>51</v>
      </c>
      <c r="M839" s="28" t="s">
        <v>51</v>
      </c>
      <c r="N839" s="28" t="s">
        <v>51</v>
      </c>
    </row>
    <row r="840" spans="1:14" x14ac:dyDescent="0.15">
      <c r="A840" s="23" t="str">
        <f>HYPERLINK("https://www.spark-marketing.ru/Card/Person/6701618", "ГБУЗ ПК ""КФМЦ""")</f>
        <v>ГБУЗ ПК "КФМЦ"</v>
      </c>
      <c r="B840" s="24" t="s">
        <v>1839</v>
      </c>
      <c r="C840" s="25">
        <v>499884</v>
      </c>
      <c r="D840" s="22" t="s">
        <v>1844</v>
      </c>
      <c r="E840" s="22" t="s">
        <v>96</v>
      </c>
      <c r="F840" s="23" t="str">
        <f>HYPERLINK("https://www.spark-marketing.ru/Card/Lot/74149567", "Оказание услуг по организации лечебного питания (д. Шалаши)")</f>
        <v>Оказание услуг по организации лечебного питания (д. Шалаши)</v>
      </c>
      <c r="G840" s="22" t="s">
        <v>153</v>
      </c>
      <c r="H840" s="22" t="s">
        <v>153</v>
      </c>
      <c r="I840" s="26">
        <v>43741.593055555597</v>
      </c>
      <c r="J840" s="23" t="str">
        <f>HYPERLINK("https://www.spark-marketing.ru/Card/Person/52326", "Токарева Оксана Вячеславовна")</f>
        <v>Токарева Оксана Вячеславовна</v>
      </c>
      <c r="K840" s="24" t="s">
        <v>1845</v>
      </c>
      <c r="L840" s="22" t="s">
        <v>10</v>
      </c>
      <c r="M840" s="28" t="s">
        <v>51</v>
      </c>
      <c r="N840" s="28" t="s">
        <v>51</v>
      </c>
    </row>
    <row r="841" spans="1:14" x14ac:dyDescent="0.15">
      <c r="A841" s="23" t="str">
        <f>HYPERLINK("https://www.spark-marketing.ru/Card/Person/8393", "ГБУЗ РБ СПБ")</f>
        <v>ГБУЗ РБ СПБ</v>
      </c>
      <c r="B841" s="24" t="s">
        <v>1846</v>
      </c>
      <c r="C841" s="25">
        <v>23592742.5</v>
      </c>
      <c r="D841" s="22" t="s">
        <v>1847</v>
      </c>
      <c r="E841" s="22" t="s">
        <v>48</v>
      </c>
      <c r="F841" s="23" t="str">
        <f>HYPERLINK("https://www.spark-marketing.ru/Card/Lot/74154334", "Оказание услуг по организации горячего питания пациентам ГБУЗ РБ СПБ")</f>
        <v>Оказание услуг по организации горячего питания пациентам ГБУЗ РБ СПБ</v>
      </c>
      <c r="G841" s="22" t="s">
        <v>145</v>
      </c>
      <c r="H841" s="22" t="s">
        <v>145</v>
      </c>
      <c r="I841" s="26">
        <v>43741.688888888901</v>
      </c>
      <c r="J841" s="28" t="s">
        <v>51</v>
      </c>
      <c r="K841" s="28" t="s">
        <v>51</v>
      </c>
      <c r="L841" s="28" t="s">
        <v>51</v>
      </c>
      <c r="M841" s="28" t="s">
        <v>51</v>
      </c>
      <c r="N841" s="28" t="s">
        <v>51</v>
      </c>
    </row>
    <row r="842" spans="1:14" x14ac:dyDescent="0.15">
      <c r="A842" s="23" t="str">
        <f>HYPERLINK("https://www.spark-marketing.ru/Card/Person/996155", "МОУ СОШ №5")</f>
        <v>МОУ СОШ №5</v>
      </c>
      <c r="B842" s="24" t="s">
        <v>1848</v>
      </c>
      <c r="C842" s="25">
        <v>5140128.24</v>
      </c>
      <c r="D842" s="22" t="s">
        <v>1849</v>
      </c>
      <c r="E842" s="22" t="s">
        <v>48</v>
      </c>
      <c r="F842" s="23" t="str">
        <f>HYPERLINK("https://www.spark-marketing.ru/Card/Lot/74153888", "Организация горячего питания")</f>
        <v>Организация горячего питания</v>
      </c>
      <c r="G842" s="22" t="s">
        <v>49</v>
      </c>
      <c r="H842" s="22" t="s">
        <v>1833</v>
      </c>
      <c r="I842" s="26">
        <v>43741.596527777801</v>
      </c>
      <c r="J842" s="28" t="s">
        <v>51</v>
      </c>
      <c r="K842" s="28" t="s">
        <v>51</v>
      </c>
      <c r="L842" s="28" t="s">
        <v>51</v>
      </c>
      <c r="M842" s="28" t="s">
        <v>51</v>
      </c>
      <c r="N842" s="28" t="s">
        <v>51</v>
      </c>
    </row>
    <row r="843" spans="1:14" x14ac:dyDescent="0.15">
      <c r="A843" s="23" t="str">
        <f>HYPERLINK("https://www.spark-marketing.ru/Card/Person/47729", "МБОУ ""СШ №5""")</f>
        <v>МБОУ "СШ №5"</v>
      </c>
      <c r="B843" s="24" t="s">
        <v>1850</v>
      </c>
      <c r="C843" s="25">
        <v>8725392</v>
      </c>
      <c r="D843" s="22" t="s">
        <v>1851</v>
      </c>
      <c r="E843" s="22" t="s">
        <v>48</v>
      </c>
      <c r="F843" s="23" t="str">
        <f>HYPERLINK("https://www.spark-marketing.ru/Card/Lot/74150831", "Оказание услуг по организации в 2019-2020 учебном году питания обучающихся муниципального бюджетного общеобразовательного учреждения ""Средняя школа №5""")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№5"</v>
      </c>
      <c r="G843" s="22" t="s">
        <v>97</v>
      </c>
      <c r="H843" s="22" t="s">
        <v>97</v>
      </c>
      <c r="I843" s="26">
        <v>43741.639583333301</v>
      </c>
      <c r="J843" s="28" t="s">
        <v>51</v>
      </c>
      <c r="K843" s="28" t="s">
        <v>51</v>
      </c>
      <c r="L843" s="28" t="s">
        <v>51</v>
      </c>
      <c r="M843" s="28" t="s">
        <v>51</v>
      </c>
      <c r="N843" s="28" t="s">
        <v>51</v>
      </c>
    </row>
    <row r="844" spans="1:14" x14ac:dyDescent="0.15">
      <c r="A844" s="23" t="str">
        <f>HYPERLINK("https://www.spark-marketing.ru/Card/Person/1763393", "МАДОУ ""ДЕТСКИЙ САД № 41""")</f>
        <v>МАДОУ "ДЕТСКИЙ САД № 41"</v>
      </c>
      <c r="B844" s="24" t="s">
        <v>1852</v>
      </c>
      <c r="C844" s="25">
        <v>16975914</v>
      </c>
      <c r="D844" s="22" t="s">
        <v>1853</v>
      </c>
      <c r="E844" s="22" t="s">
        <v>48</v>
      </c>
      <c r="F844" s="23" t="str">
        <f>HYPERLINK("https://www.spark-marketing.ru/Card/Lot/74154332",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844" s="22" t="s">
        <v>49</v>
      </c>
      <c r="H844" s="22" t="s">
        <v>301</v>
      </c>
      <c r="I844" s="26">
        <v>43741.573611111096</v>
      </c>
      <c r="J844" s="28" t="s">
        <v>51</v>
      </c>
      <c r="K844" s="28" t="s">
        <v>51</v>
      </c>
      <c r="L844" s="28" t="s">
        <v>51</v>
      </c>
      <c r="M844" s="28" t="s">
        <v>51</v>
      </c>
      <c r="N844" s="28" t="s">
        <v>51</v>
      </c>
    </row>
    <row r="845" spans="1:14" x14ac:dyDescent="0.15">
      <c r="A845" s="23" t="str">
        <f>HYPERLINK("https://www.spark-marketing.ru/Card/Person/4597", "ГУ-АЛТАЙСКОЕ РО ФОНДА СОЦИАЛЬНОГО СТРАХОВАНИЯ РОССИЙСКОЙ ФЕДЕРАЦИИ")</f>
        <v>ГУ-АЛТАЙСКОЕ РО ФОНДА СОЦИАЛЬНОГО СТРАХОВАНИЯ РОССИЙСКОЙ ФЕДЕРАЦИИ</v>
      </c>
      <c r="B845" s="24" t="s">
        <v>1854</v>
      </c>
      <c r="C845" s="25">
        <v>5136141.3600000003</v>
      </c>
      <c r="D845" s="22" t="s">
        <v>1855</v>
      </c>
      <c r="E845" s="22" t="s">
        <v>86</v>
      </c>
      <c r="F845" s="23" t="str">
        <f>HYPERLINK("https://www.spark-marketing.ru/Card/Lot/74150846", "Оказание услуг по санаторно-курортному лечению застрахованных лиц, пострадавших на производстве, с заболеваниями по Классу XIX -МКБ-10 «Травмы, отравления и некоторые другие последствия воздействия внешних причин», питанию и проживанию лиц, сопровожд...")</f>
        <v>Оказание услуг по санаторно-курортному лечению застрахованных лиц, пострадавших на производстве, с заболеваниями по Классу XIX -МКБ-10 «Травмы, отравления и некоторые другие последствия воздействия внешних причин», питанию и проживанию лиц, сопровожд...</v>
      </c>
      <c r="G845" s="22" t="s">
        <v>63</v>
      </c>
      <c r="H845" s="22" t="s">
        <v>63</v>
      </c>
      <c r="I845" s="26">
        <v>43741.71875</v>
      </c>
      <c r="J845" s="28" t="s">
        <v>51</v>
      </c>
      <c r="K845" s="28" t="s">
        <v>51</v>
      </c>
      <c r="L845" s="28" t="s">
        <v>51</v>
      </c>
      <c r="M845" s="28" t="s">
        <v>51</v>
      </c>
      <c r="N845" s="28" t="s">
        <v>51</v>
      </c>
    </row>
    <row r="846" spans="1:14" x14ac:dyDescent="0.15">
      <c r="A846" s="23" t="str">
        <f>HYPERLINK("https://www.spark-marketing.ru/Card/Person/87337", "МБОУ СОШ № 2 Г. СОЛНЕЧНОГОРСКА")</f>
        <v>МБОУ СОШ № 2 Г. СОЛНЕЧНОГОРСКА</v>
      </c>
      <c r="B846" s="24" t="s">
        <v>1856</v>
      </c>
      <c r="C846" s="25">
        <v>90000</v>
      </c>
      <c r="D846" s="22" t="s">
        <v>1857</v>
      </c>
      <c r="E846" s="22" t="s">
        <v>48</v>
      </c>
      <c r="F846" s="23" t="str">
        <f>HYPERLINK("https://www.spark-marketing.ru/Card/Lot/74145676", "Услуга организации питания в лагере дневного преибывания на период осенних каникул 2019 г. для нужд МБОУ СОШ № 2 г. Солнечногорска.")</f>
        <v>Услуга организации питания в лагере дневного преибывания на период осенних каникул 2019 г. для нужд МБОУ СОШ № 2 г. Солнечногорска.</v>
      </c>
      <c r="G846" s="22" t="s">
        <v>49</v>
      </c>
      <c r="H846" s="22" t="s">
        <v>204</v>
      </c>
      <c r="I846" s="26">
        <v>43741.5550925926</v>
      </c>
      <c r="J846" s="28" t="s">
        <v>51</v>
      </c>
      <c r="K846" s="28" t="s">
        <v>51</v>
      </c>
      <c r="L846" s="28" t="s">
        <v>51</v>
      </c>
      <c r="M846" s="28" t="s">
        <v>51</v>
      </c>
      <c r="N846" s="28" t="s">
        <v>51</v>
      </c>
    </row>
    <row r="847" spans="1:14" x14ac:dyDescent="0.15">
      <c r="A847" s="23" t="str">
        <f>HYPERLINK("https://www.spark-marketing.ru/Card/Person/101664", "КГБУ АКУНБ")</f>
        <v>КГБУ АКУНБ</v>
      </c>
      <c r="B847" s="24" t="s">
        <v>1541</v>
      </c>
      <c r="C847" s="25">
        <v>482831.5</v>
      </c>
      <c r="D847" s="22" t="s">
        <v>1858</v>
      </c>
      <c r="E847" s="22" t="s">
        <v>716</v>
      </c>
      <c r="F847" s="23" t="str">
        <f>HYPERLINK("https://www.spark-marketing.ru/Card/Lot/74139426", "Поставка книг для комплектования книжного фонда муниципального бюджетного учреждения культуры «Библиотечная информационная система» г. Рубцовска")</f>
        <v>Поставка книг для комплектования книжного фонда муниципального бюджетного учреждения культуры «Библиотечная информационная система» г. Рубцовска</v>
      </c>
      <c r="G847" s="22" t="s">
        <v>63</v>
      </c>
      <c r="H847" s="22" t="s">
        <v>1859</v>
      </c>
      <c r="I847" s="26">
        <v>43741.510416666701</v>
      </c>
      <c r="J847" s="28" t="s">
        <v>51</v>
      </c>
      <c r="K847" s="28" t="s">
        <v>51</v>
      </c>
      <c r="L847" s="28" t="s">
        <v>51</v>
      </c>
      <c r="M847" s="28" t="s">
        <v>51</v>
      </c>
      <c r="N847" s="28" t="s">
        <v>51</v>
      </c>
    </row>
    <row r="848" spans="1:14" x14ac:dyDescent="0.15">
      <c r="A848" s="23" t="str">
        <f>HYPERLINK("https://www.spark-marketing.ru/Card/Person/4378122", "МКУ ""ЦСО""")</f>
        <v>МКУ "ЦСО"</v>
      </c>
      <c r="B848" s="24" t="s">
        <v>1860</v>
      </c>
      <c r="C848" s="25">
        <v>19369.939999999999</v>
      </c>
      <c r="D848" s="22" t="s">
        <v>1861</v>
      </c>
      <c r="E848" s="22" t="s">
        <v>1862</v>
      </c>
      <c r="F848" s="23" t="str">
        <f>HYPERLINK("https://www.spark-marketing.ru/Card/Lot/74136963", "Оказание услуг по сбору, транспортированию, обработке, утилизации, обезвреживанию и размещению списанной компьютерной техники.")</f>
        <v>Оказание услуг по сбору, транспортированию, обработке, утилизации, обезвреживанию и размещению списанной компьютерной техники.</v>
      </c>
      <c r="G848" s="22" t="s">
        <v>260</v>
      </c>
      <c r="H848" s="22" t="s">
        <v>1863</v>
      </c>
      <c r="I848" s="26">
        <v>43741.517361111102</v>
      </c>
      <c r="J848" s="23" t="str">
        <f>HYPERLINK("https://www.spark-marketing.ru/Card/Person/6337928", "ООО ""СМУ-21""")</f>
        <v>ООО "СМУ-21"</v>
      </c>
      <c r="K848" s="24" t="s">
        <v>1864</v>
      </c>
      <c r="L848" s="28" t="s">
        <v>51</v>
      </c>
      <c r="M848" s="28" t="s">
        <v>51</v>
      </c>
      <c r="N848" s="28" t="s">
        <v>51</v>
      </c>
    </row>
    <row r="849" spans="1:14" x14ac:dyDescent="0.15">
      <c r="A849" s="23" t="s">
        <v>114</v>
      </c>
      <c r="B849" s="28" t="s">
        <v>51</v>
      </c>
      <c r="C849" s="25">
        <v>6089050</v>
      </c>
      <c r="D849" s="22" t="s">
        <v>1865</v>
      </c>
      <c r="E849" s="22" t="s">
        <v>48</v>
      </c>
      <c r="F849" s="23" t="str">
        <f t="shared" ref="F849:F860" si="6">HYPERLINK("https://www.spark-marketing.ru/Card/Lot/74150826",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849" s="22" t="s">
        <v>51</v>
      </c>
      <c r="H849" s="22" t="s">
        <v>51</v>
      </c>
      <c r="I849" s="26">
        <v>43741.511805555601</v>
      </c>
      <c r="J849" s="28" t="s">
        <v>51</v>
      </c>
      <c r="K849" s="28" t="s">
        <v>51</v>
      </c>
      <c r="L849" s="28" t="s">
        <v>51</v>
      </c>
      <c r="M849" s="28" t="s">
        <v>51</v>
      </c>
      <c r="N849" s="28" t="s">
        <v>51</v>
      </c>
    </row>
    <row r="850" spans="1:14" hidden="1" outlineLevel="1" x14ac:dyDescent="0.15">
      <c r="A850" s="23" t="str">
        <f>HYPERLINK("https://www.spark-marketing.ru/Card/Person/91410", "МБОУ ""СОБОЛЕВСКАЯ СОШ""")</f>
        <v>МБОУ "СОБОЛЕВСКАЯ СОШ"</v>
      </c>
      <c r="B850" s="24" t="s">
        <v>1866</v>
      </c>
      <c r="C850" s="25">
        <v>792120</v>
      </c>
      <c r="D850" s="22" t="s">
        <v>1865</v>
      </c>
      <c r="E850" s="22" t="s">
        <v>48</v>
      </c>
      <c r="F850" s="23" t="str">
        <f t="shared" si="6"/>
        <v>Услуги по организации питания для учащихся общеобразовательной организации</v>
      </c>
      <c r="G850" s="22" t="s">
        <v>49</v>
      </c>
      <c r="H850" s="22" t="s">
        <v>1867</v>
      </c>
      <c r="I850" s="26">
        <v>43741.511805555601</v>
      </c>
      <c r="J850" s="28" t="s">
        <v>51</v>
      </c>
      <c r="K850" s="28" t="s">
        <v>51</v>
      </c>
      <c r="L850" s="28" t="s">
        <v>51</v>
      </c>
      <c r="M850" s="28" t="s">
        <v>51</v>
      </c>
      <c r="N850" s="28" t="s">
        <v>51</v>
      </c>
    </row>
    <row r="851" spans="1:14" hidden="1" outlineLevel="1" x14ac:dyDescent="0.15">
      <c r="A851" s="23" t="str">
        <f>HYPERLINK("https://www.spark-marketing.ru/Card/Person/996117", "МБОУ ""ЗАВОЛЕНСКАЯ ООШ""")</f>
        <v>МБОУ "ЗАВОЛЕНСКАЯ ООШ"</v>
      </c>
      <c r="B851" s="24" t="s">
        <v>1868</v>
      </c>
      <c r="C851" s="25">
        <v>296660</v>
      </c>
      <c r="D851" s="22" t="s">
        <v>1865</v>
      </c>
      <c r="E851" s="22" t="s">
        <v>48</v>
      </c>
      <c r="F851" s="23" t="str">
        <f t="shared" si="6"/>
        <v>Услуги по организации питания для учащихся общеобразовательной организации</v>
      </c>
      <c r="G851" s="22" t="s">
        <v>49</v>
      </c>
      <c r="H851" s="22" t="s">
        <v>1869</v>
      </c>
      <c r="I851" s="26">
        <v>43741.511805555601</v>
      </c>
      <c r="J851" s="28" t="s">
        <v>51</v>
      </c>
      <c r="K851" s="28" t="s">
        <v>51</v>
      </c>
      <c r="L851" s="28" t="s">
        <v>51</v>
      </c>
      <c r="M851" s="28" t="s">
        <v>51</v>
      </c>
      <c r="N851" s="28" t="s">
        <v>51</v>
      </c>
    </row>
    <row r="852" spans="1:14" hidden="1" outlineLevel="1" x14ac:dyDescent="0.15">
      <c r="A852" s="23" t="str">
        <f>HYPERLINK("https://www.spark-marketing.ru/Card/Person/1028553", "МБОУ ""АНЦИФЕРОВСКАЯ ООШ""")</f>
        <v>МБОУ "АНЦИФЕРОВСКАЯ ООШ"</v>
      </c>
      <c r="B852" s="24" t="s">
        <v>1870</v>
      </c>
      <c r="C852" s="25">
        <v>275560</v>
      </c>
      <c r="D852" s="22" t="s">
        <v>1865</v>
      </c>
      <c r="E852" s="22" t="s">
        <v>48</v>
      </c>
      <c r="F852" s="23" t="str">
        <f t="shared" si="6"/>
        <v>Услуги по организации питания для учащихся общеобразовательной организации</v>
      </c>
      <c r="G852" s="22" t="s">
        <v>51</v>
      </c>
      <c r="H852" s="22" t="s">
        <v>51</v>
      </c>
      <c r="I852" s="26">
        <v>43741.511805555601</v>
      </c>
      <c r="J852" s="28" t="s">
        <v>51</v>
      </c>
      <c r="K852" s="28" t="s">
        <v>51</v>
      </c>
      <c r="L852" s="28" t="s">
        <v>51</v>
      </c>
      <c r="M852" s="28" t="s">
        <v>51</v>
      </c>
      <c r="N852" s="28" t="s">
        <v>51</v>
      </c>
    </row>
    <row r="853" spans="1:14" hidden="1" outlineLevel="1" x14ac:dyDescent="0.15">
      <c r="A853" s="23" t="str">
        <f>HYPERLINK("https://www.spark-marketing.ru/Card/Person/1029076", "МБОУ ""НОВИНСКАЯ СОШ""")</f>
        <v>МБОУ "НОВИНСКАЯ СОШ"</v>
      </c>
      <c r="B853" s="24" t="s">
        <v>1871</v>
      </c>
      <c r="C853" s="25">
        <v>1171970</v>
      </c>
      <c r="D853" s="22" t="s">
        <v>1865</v>
      </c>
      <c r="E853" s="22" t="s">
        <v>48</v>
      </c>
      <c r="F853" s="23" t="str">
        <f t="shared" si="6"/>
        <v>Услуги по организации питания для учащихся общеобразовательной организации</v>
      </c>
      <c r="G853" s="22" t="s">
        <v>49</v>
      </c>
      <c r="H853" s="22" t="s">
        <v>1869</v>
      </c>
      <c r="I853" s="26">
        <v>43741.511805555601</v>
      </c>
      <c r="J853" s="28" t="s">
        <v>51</v>
      </c>
      <c r="K853" s="28" t="s">
        <v>51</v>
      </c>
      <c r="L853" s="28" t="s">
        <v>51</v>
      </c>
      <c r="M853" s="28" t="s">
        <v>51</v>
      </c>
      <c r="N853" s="28" t="s">
        <v>51</v>
      </c>
    </row>
    <row r="854" spans="1:14" hidden="1" outlineLevel="1" x14ac:dyDescent="0.15">
      <c r="A854" s="23" t="str">
        <f>HYPERLINK("https://www.spark-marketing.ru/Card/Person/1044977", "МБОУ ""ЗАПУТНОВСКАЯ СОШ""")</f>
        <v>МБОУ "ЗАПУТНОВСКАЯ СОШ"</v>
      </c>
      <c r="B854" s="24" t="s">
        <v>1872</v>
      </c>
      <c r="C854" s="25">
        <v>214270</v>
      </c>
      <c r="D854" s="22" t="s">
        <v>1865</v>
      </c>
      <c r="E854" s="22" t="s">
        <v>48</v>
      </c>
      <c r="F854" s="23" t="str">
        <f t="shared" si="6"/>
        <v>Услуги по организации питания для учащихся общеобразовательной организации</v>
      </c>
      <c r="G854" s="22" t="s">
        <v>49</v>
      </c>
      <c r="H854" s="22" t="s">
        <v>1867</v>
      </c>
      <c r="I854" s="26">
        <v>43741.511805555601</v>
      </c>
      <c r="J854" s="28" t="s">
        <v>51</v>
      </c>
      <c r="K854" s="28" t="s">
        <v>51</v>
      </c>
      <c r="L854" s="28" t="s">
        <v>51</v>
      </c>
      <c r="M854" s="28" t="s">
        <v>51</v>
      </c>
      <c r="N854" s="28" t="s">
        <v>51</v>
      </c>
    </row>
    <row r="855" spans="1:14" hidden="1" outlineLevel="1" x14ac:dyDescent="0.15">
      <c r="A855" s="23" t="str">
        <f>HYPERLINK("https://www.spark-marketing.ru/Card/Person/1045192", "МБОУ ""МИСЦЕВСКАЯ ООШ № 2""")</f>
        <v>МБОУ "МИСЦЕВСКАЯ ООШ № 2"</v>
      </c>
      <c r="B855" s="24" t="s">
        <v>1873</v>
      </c>
      <c r="C855" s="25">
        <v>591690</v>
      </c>
      <c r="D855" s="22" t="s">
        <v>1865</v>
      </c>
      <c r="E855" s="22" t="s">
        <v>48</v>
      </c>
      <c r="F855" s="23" t="str">
        <f t="shared" si="6"/>
        <v>Услуги по организации питания для учащихся общеобразовательной организации</v>
      </c>
      <c r="G855" s="22" t="s">
        <v>49</v>
      </c>
      <c r="H855" s="22" t="s">
        <v>1867</v>
      </c>
      <c r="I855" s="26">
        <v>43741.511805555601</v>
      </c>
      <c r="J855" s="28" t="s">
        <v>51</v>
      </c>
      <c r="K855" s="28" t="s">
        <v>51</v>
      </c>
      <c r="L855" s="28" t="s">
        <v>51</v>
      </c>
      <c r="M855" s="28" t="s">
        <v>51</v>
      </c>
      <c r="N855" s="28" t="s">
        <v>51</v>
      </c>
    </row>
    <row r="856" spans="1:14" hidden="1" outlineLevel="1" x14ac:dyDescent="0.15">
      <c r="A856" s="23" t="str">
        <f>HYPERLINK("https://www.spark-marketing.ru/Card/Person/1046003", "МБОУ ""МИСЦЕВСКАЯ ООШ № 1""")</f>
        <v>МБОУ "МИСЦЕВСКАЯ ООШ № 1"</v>
      </c>
      <c r="B856" s="24" t="s">
        <v>1874</v>
      </c>
      <c r="C856" s="25">
        <v>431600</v>
      </c>
      <c r="D856" s="22" t="s">
        <v>1865</v>
      </c>
      <c r="E856" s="22" t="s">
        <v>48</v>
      </c>
      <c r="F856" s="23" t="str">
        <f t="shared" si="6"/>
        <v>Услуги по организации питания для учащихся общеобразовательной организации</v>
      </c>
      <c r="G856" s="22" t="s">
        <v>49</v>
      </c>
      <c r="H856" s="22" t="s">
        <v>1867</v>
      </c>
      <c r="I856" s="26">
        <v>43741.511805555601</v>
      </c>
      <c r="J856" s="28" t="s">
        <v>51</v>
      </c>
      <c r="K856" s="28" t="s">
        <v>51</v>
      </c>
      <c r="L856" s="28" t="s">
        <v>51</v>
      </c>
      <c r="M856" s="28" t="s">
        <v>51</v>
      </c>
      <c r="N856" s="28" t="s">
        <v>51</v>
      </c>
    </row>
    <row r="857" spans="1:14" hidden="1" outlineLevel="1" x14ac:dyDescent="0.15">
      <c r="A857" s="23" t="str">
        <f>HYPERLINK("https://www.spark-marketing.ru/Card/Person/1892136", "МБОУ ""АВСЮНИНСКАЯ СОШ""")</f>
        <v>МБОУ "АВСЮНИНСКАЯ СОШ"</v>
      </c>
      <c r="B857" s="24" t="s">
        <v>1875</v>
      </c>
      <c r="C857" s="25">
        <v>2315180</v>
      </c>
      <c r="D857" s="22" t="s">
        <v>1865</v>
      </c>
      <c r="E857" s="22" t="s">
        <v>48</v>
      </c>
      <c r="F857" s="23" t="str">
        <f t="shared" si="6"/>
        <v>Услуги по организации питания для учащихся общеобразовательной организации</v>
      </c>
      <c r="G857" s="22" t="s">
        <v>49</v>
      </c>
      <c r="H857" s="22" t="s">
        <v>1869</v>
      </c>
      <c r="I857" s="26">
        <v>43741.511805555601</v>
      </c>
      <c r="J857" s="28" t="s">
        <v>51</v>
      </c>
      <c r="K857" s="28" t="s">
        <v>51</v>
      </c>
      <c r="L857" s="28" t="s">
        <v>51</v>
      </c>
      <c r="M857" s="28" t="s">
        <v>51</v>
      </c>
      <c r="N857" s="28" t="s">
        <v>51</v>
      </c>
    </row>
    <row r="858" spans="1:14" hidden="1" outlineLevel="1" x14ac:dyDescent="0.2">
      <c r="A858" s="28" t="s">
        <v>51</v>
      </c>
      <c r="B858" s="28" t="s">
        <v>51</v>
      </c>
      <c r="C858" s="28" t="s">
        <v>51</v>
      </c>
      <c r="D858" s="22" t="s">
        <v>1865</v>
      </c>
      <c r="E858" s="22" t="s">
        <v>48</v>
      </c>
      <c r="F858" s="23" t="str">
        <f t="shared" si="6"/>
        <v>Услуги по организации питания для учащихся общеобразовательной организации</v>
      </c>
      <c r="G858" s="22" t="s">
        <v>51</v>
      </c>
      <c r="H858" s="22" t="s">
        <v>51</v>
      </c>
      <c r="I858" s="26">
        <v>43741.511805555601</v>
      </c>
      <c r="J858" s="23" t="str">
        <f>HYPERLINK("https://www.spark-marketing.ru/Card/Person/4351169", "Русаков Анатолий Сидорович")</f>
        <v>Русаков Анатолий Сидорович</v>
      </c>
      <c r="K858" s="24" t="s">
        <v>1700</v>
      </c>
      <c r="L858" s="22" t="s">
        <v>10</v>
      </c>
      <c r="M858" s="25">
        <v>5723700</v>
      </c>
      <c r="N858" s="27">
        <v>6.0001149604618123E-2</v>
      </c>
    </row>
    <row r="859" spans="1:14" hidden="1" outlineLevel="1" x14ac:dyDescent="0.2">
      <c r="A859" s="28" t="s">
        <v>51</v>
      </c>
      <c r="B859" s="28" t="s">
        <v>51</v>
      </c>
      <c r="C859" s="28" t="s">
        <v>51</v>
      </c>
      <c r="D859" s="22" t="s">
        <v>1865</v>
      </c>
      <c r="E859" s="22" t="s">
        <v>48</v>
      </c>
      <c r="F859" s="23" t="str">
        <f t="shared" si="6"/>
        <v>Услуги по организации питания для учащихся общеобразовательной организации</v>
      </c>
      <c r="G859" s="22" t="s">
        <v>51</v>
      </c>
      <c r="H859" s="22" t="s">
        <v>51</v>
      </c>
      <c r="I859" s="26">
        <v>43741.511805555601</v>
      </c>
      <c r="J859" s="23" t="str">
        <f>HYPERLINK("https://www.spark-marketing.ru/Card/Person/6458516", "Хахалина Ирина Юрьевна")</f>
        <v>Хахалина Ирина Юрьевна</v>
      </c>
      <c r="K859" s="24" t="s">
        <v>1701</v>
      </c>
      <c r="L859" s="28" t="s">
        <v>51</v>
      </c>
      <c r="M859" s="25">
        <v>5845487.9800000004</v>
      </c>
      <c r="N859" s="27">
        <v>4.0000003284584626E-2</v>
      </c>
    </row>
    <row r="860" spans="1:14" hidden="1" outlineLevel="1" x14ac:dyDescent="0.2">
      <c r="A860" s="28" t="s">
        <v>51</v>
      </c>
      <c r="B860" s="28" t="s">
        <v>51</v>
      </c>
      <c r="C860" s="28" t="s">
        <v>51</v>
      </c>
      <c r="D860" s="22" t="s">
        <v>1865</v>
      </c>
      <c r="E860" s="22" t="s">
        <v>48</v>
      </c>
      <c r="F860" s="23" t="str">
        <f t="shared" si="6"/>
        <v>Услуги по организации питания для учащихся общеобразовательной организации</v>
      </c>
      <c r="G860" s="22" t="s">
        <v>51</v>
      </c>
      <c r="H860" s="22" t="s">
        <v>51</v>
      </c>
      <c r="I860" s="26">
        <v>43741.511805555601</v>
      </c>
      <c r="J860" s="23" t="str">
        <f>HYPERLINK("https://www.spark-marketing.ru/Card/Person/1335068", "Кулешова Светлана Владимировна")</f>
        <v>Кулешова Светлана Владимировна</v>
      </c>
      <c r="K860" s="24" t="s">
        <v>1702</v>
      </c>
      <c r="L860" s="28" t="s">
        <v>51</v>
      </c>
      <c r="M860" s="25">
        <v>5952046.3700000001</v>
      </c>
      <c r="N860" s="27">
        <v>2.2500000821146157E-2</v>
      </c>
    </row>
    <row r="861" spans="1:14" x14ac:dyDescent="0.15">
      <c r="A861" s="23" t="str">
        <f>HYPERLINK("https://www.spark-marketing.ru/Card/Person/6800", "МО МВД РОССИИ ""ВОЛЬСКИЙ"" САРАТОВСКОЙ ОБЛАСТИ")</f>
        <v>МО МВД РОССИИ "ВОЛЬСКИЙ" САРАТОВСКОЙ ОБЛАСТИ</v>
      </c>
      <c r="B861" s="24" t="s">
        <v>1876</v>
      </c>
      <c r="C861" s="25">
        <v>839500</v>
      </c>
      <c r="D861" s="22" t="s">
        <v>1877</v>
      </c>
      <c r="E861" s="22" t="s">
        <v>48</v>
      </c>
      <c r="F861" s="23" t="str">
        <f>HYPERLINK("https://www.spark-marketing.ru/Card/Lot/74146183", "Оказание услуг по организации питания лиц, находящихся в изоляторе временного содержания МО МВД России «Вольский» Саратовской области")</f>
        <v>Оказание услуг по организации питания лиц, находящихся в изоляторе временного содержания МО МВД России «Вольский» Саратовской области</v>
      </c>
      <c r="G861" s="22" t="s">
        <v>351</v>
      </c>
      <c r="H861" s="22" t="s">
        <v>1878</v>
      </c>
      <c r="I861" s="26">
        <v>43741.519444444399</v>
      </c>
      <c r="J861" s="28" t="s">
        <v>51</v>
      </c>
      <c r="K861" s="28" t="s">
        <v>51</v>
      </c>
      <c r="L861" s="28" t="s">
        <v>51</v>
      </c>
      <c r="M861" s="28" t="s">
        <v>51</v>
      </c>
      <c r="N861" s="28" t="s">
        <v>51</v>
      </c>
    </row>
    <row r="862" spans="1:14" x14ac:dyDescent="0.15">
      <c r="A862" s="23" t="str">
        <f>HYPERLINK("https://www.spark-marketing.ru/Card/Person/116967", "МДОУ ДЕТСКИЙ САД № 4 ""ЗОЛОТОЙ КЛЮЧИК""")</f>
        <v>МДОУ ДЕТСКИЙ САД № 4 "ЗОЛОТОЙ КЛЮЧИК"</v>
      </c>
      <c r="B862" s="24" t="s">
        <v>1879</v>
      </c>
      <c r="C862" s="25">
        <v>6028224.3600000003</v>
      </c>
      <c r="D862" s="22" t="s">
        <v>1880</v>
      </c>
      <c r="E862" s="22" t="s">
        <v>48</v>
      </c>
      <c r="F862" s="23" t="str">
        <f>HYPERLINK("https://www.spark-marketing.ru/Card/Lot/74144368", "Организация рационального горячего питания")</f>
        <v>Организация рационального горячего питания</v>
      </c>
      <c r="G862" s="22" t="s">
        <v>49</v>
      </c>
      <c r="H862" s="22" t="s">
        <v>1833</v>
      </c>
      <c r="I862" s="26">
        <v>43741.443749999999</v>
      </c>
      <c r="J862" s="28" t="s">
        <v>51</v>
      </c>
      <c r="K862" s="28" t="s">
        <v>51</v>
      </c>
      <c r="L862" s="28" t="s">
        <v>51</v>
      </c>
      <c r="M862" s="28" t="s">
        <v>51</v>
      </c>
      <c r="N862" s="28" t="s">
        <v>51</v>
      </c>
    </row>
    <row r="863" spans="1:14" x14ac:dyDescent="0.15">
      <c r="A863" s="23" t="str">
        <f>HYPERLINK("https://www.spark-marketing.ru/Card/Person/94316", "МБОУ НОШ № 17")</f>
        <v>МБОУ НОШ № 17</v>
      </c>
      <c r="B863" s="24" t="s">
        <v>1881</v>
      </c>
      <c r="C863" s="25">
        <v>599776.80000000005</v>
      </c>
      <c r="D863" s="22" t="s">
        <v>1882</v>
      </c>
      <c r="E863" s="22" t="s">
        <v>48</v>
      </c>
      <c r="F863" s="23" t="str">
        <f>HYPERLINK("https://www.spark-marketing.ru/Card/Lot/74141332", "Услуги по обеспечению питанием воспитанников МБОУ НОШ № 17 (с доставкой продуктов питания в школьную столовую и приготовление горячих завтраков, обедов, полдников и ужинов на месте в столовой МБОУ НОШ № 17)")</f>
        <v>Услуги по обеспечению питанием воспитанников МБОУ НОШ № 17 (с доставкой продуктов питания в школьную столовую и приготовление горячих завтраков, обедов, полдников и ужинов на месте в столовой МБОУ НОШ № 17)</v>
      </c>
      <c r="G863" s="22" t="s">
        <v>49</v>
      </c>
      <c r="H863" s="22" t="s">
        <v>1883</v>
      </c>
      <c r="I863" s="26">
        <v>43741.430312500001</v>
      </c>
      <c r="J863" s="28" t="s">
        <v>51</v>
      </c>
      <c r="K863" s="28" t="s">
        <v>51</v>
      </c>
      <c r="L863" s="28" t="s">
        <v>51</v>
      </c>
      <c r="M863" s="28" t="s">
        <v>51</v>
      </c>
      <c r="N863" s="28" t="s">
        <v>51</v>
      </c>
    </row>
    <row r="864" spans="1:14" x14ac:dyDescent="0.15">
      <c r="A864" s="23" t="str">
        <f>HYPERLINK("https://www.spark-marketing.ru/Card/Person/1040624", "ОМВД РОССИИ ПО ОСТРОВСКОМУ РАЙОНУ")</f>
        <v>ОМВД РОССИИ ПО ОСТРОВСКОМУ РАЙОНУ</v>
      </c>
      <c r="B864" s="24" t="s">
        <v>1884</v>
      </c>
      <c r="C864" s="25">
        <v>173375</v>
      </c>
      <c r="D864" s="22" t="s">
        <v>1885</v>
      </c>
      <c r="E864" s="22" t="s">
        <v>48</v>
      </c>
      <c r="F864" s="23" t="str">
        <f>HYPERLINK("https://www.spark-marketing.ru/Card/Lot/74141286", "Услуги по организации питания арестованных")</f>
        <v>Услуги по организации питания арестованных</v>
      </c>
      <c r="G864" s="22" t="s">
        <v>415</v>
      </c>
      <c r="H864" s="22" t="s">
        <v>415</v>
      </c>
      <c r="I864" s="26">
        <v>43741.4</v>
      </c>
      <c r="J864" s="23" t="str">
        <f>HYPERLINK("https://www.spark-marketing.ru/Card/Person/5900555", "Романов Эдуард Владимирович")</f>
        <v>Романов Эдуард Владимирович</v>
      </c>
      <c r="K864" s="24" t="s">
        <v>1886</v>
      </c>
      <c r="L864" s="22" t="s">
        <v>10</v>
      </c>
      <c r="M864" s="28" t="s">
        <v>51</v>
      </c>
      <c r="N864" s="28" t="s">
        <v>51</v>
      </c>
    </row>
    <row r="865" spans="1:14" x14ac:dyDescent="0.15">
      <c r="A865" s="23" t="str">
        <f>HYPERLINK("https://www.spark-marketing.ru/Card/Person/6220059", "ГКУ НСО ""ЦЕНТР ПАТРИОТИЧЕСКОГО ВОСПИТАНИЯ""")</f>
        <v>ГКУ НСО "ЦЕНТР ПАТРИОТИЧЕСКОГО ВОСПИТАНИЯ"</v>
      </c>
      <c r="B865" s="24" t="s">
        <v>1887</v>
      </c>
      <c r="C865" s="25">
        <v>41000</v>
      </c>
      <c r="D865" s="22" t="s">
        <v>1888</v>
      </c>
      <c r="E865" s="22" t="s">
        <v>48</v>
      </c>
      <c r="F865" s="23" t="str">
        <f>HYPERLINK("https://www.spark-marketing.ru/Card/Lot/74137272", "Оказание услуг по организации питания для участников расширенного Пленарного заседания Общественной палаты Новосибирской области")</f>
        <v>Оказание услуг по организации питания для участников расширенного Пленарного заседания Общественной палаты Новосибирской области</v>
      </c>
      <c r="G865" s="22" t="s">
        <v>195</v>
      </c>
      <c r="H865" s="22" t="s">
        <v>196</v>
      </c>
      <c r="I865" s="26">
        <v>43741.394444444399</v>
      </c>
      <c r="J865" s="28" t="s">
        <v>51</v>
      </c>
      <c r="K865" s="28" t="s">
        <v>51</v>
      </c>
      <c r="L865" s="28" t="s">
        <v>51</v>
      </c>
      <c r="M865" s="28" t="s">
        <v>51</v>
      </c>
      <c r="N865" s="28" t="s">
        <v>51</v>
      </c>
    </row>
    <row r="866" spans="1:14" hidden="1" outlineLevel="1" x14ac:dyDescent="0.2">
      <c r="A866" s="23" t="str">
        <f>HYPERLINK("https://www.spark-marketing.ru/Card/Person/6220059", "ГКУ НСО ""ЦЕНТР ПАТРИОТИЧЕСКОГО ВОСПИТАНИЯ""")</f>
        <v>ГКУ НСО "ЦЕНТР ПАТРИОТИЧЕСКОГО ВОСПИТАНИЯ"</v>
      </c>
      <c r="B866" s="24" t="s">
        <v>1887</v>
      </c>
      <c r="C866" s="25">
        <v>41000</v>
      </c>
      <c r="D866" s="22" t="s">
        <v>1888</v>
      </c>
      <c r="E866" s="22" t="s">
        <v>48</v>
      </c>
      <c r="F866" s="23" t="str">
        <f>HYPERLINK("https://www.spark-marketing.ru/Card/Lot/74137272", "Оказание услуг по организации питания для участников расширенного Пленарного заседания Общественной палаты Новосибирской области")</f>
        <v>Оказание услуг по организации питания для участников расширенного Пленарного заседания Общественной палаты Новосибирской области</v>
      </c>
      <c r="G866" s="22" t="s">
        <v>195</v>
      </c>
      <c r="H866" s="22" t="s">
        <v>196</v>
      </c>
      <c r="I866" s="26">
        <v>43741.394444444399</v>
      </c>
      <c r="J866" s="23" t="str">
        <f>HYPERLINK("https://www.spark-marketing.ru/Card/Person/75989", "ООО ""СБК""")</f>
        <v>ООО "СБК"</v>
      </c>
      <c r="K866" s="24" t="s">
        <v>1889</v>
      </c>
      <c r="L866" s="28" t="s">
        <v>51</v>
      </c>
      <c r="M866" s="25">
        <v>40795</v>
      </c>
      <c r="N866" s="27">
        <v>5.0000000000000001E-3</v>
      </c>
    </row>
    <row r="867" spans="1:14" ht="12.75" hidden="1" outlineLevel="1" x14ac:dyDescent="0.2">
      <c r="A867" s="23" t="str">
        <f>HYPERLINK("https://www.spark-marketing.ru/Card/Person/6220059", "ГКУ НСО ""ЦЕНТР ПАТРИОТИЧЕСКОГО ВОСПИТАНИЯ""")</f>
        <v>ГКУ НСО "ЦЕНТР ПАТРИОТИЧЕСКОГО ВОСПИТАНИЯ"</v>
      </c>
      <c r="B867" s="24" t="s">
        <v>1887</v>
      </c>
      <c r="C867" s="25">
        <v>41000</v>
      </c>
      <c r="D867" s="22" t="s">
        <v>1888</v>
      </c>
      <c r="E867" s="22" t="s">
        <v>48</v>
      </c>
      <c r="F867" s="23" t="str">
        <f>HYPERLINK("https://www.spark-marketing.ru/Card/Lot/74137272", "Оказание услуг по организации питания для участников расширенного Пленарного заседания Общественной палаты Новосибирской области")</f>
        <v>Оказание услуг по организации питания для участников расширенного Пленарного заседания Общественной палаты Новосибирской области</v>
      </c>
      <c r="G867" s="22" t="s">
        <v>195</v>
      </c>
      <c r="H867" s="22" t="s">
        <v>196</v>
      </c>
      <c r="I867" s="26">
        <v>43741.394444444399</v>
      </c>
      <c r="J867" s="23" t="str">
        <f>HYPERLINK("https://www.spark-marketing.ru/Card/Person/6277350", "ООО ""СОСНОВЫЙ БОР""")</f>
        <v>ООО "СОСНОВЫЙ БОР"</v>
      </c>
      <c r="K867" s="24" t="s">
        <v>1890</v>
      </c>
      <c r="L867" s="22" t="s">
        <v>10</v>
      </c>
      <c r="M867" s="25">
        <v>40795</v>
      </c>
      <c r="N867" s="27">
        <v>5.0000000000000001E-3</v>
      </c>
    </row>
    <row r="868" spans="1:14" x14ac:dyDescent="0.15">
      <c r="A868" s="23" t="str">
        <f>HYPERLINK("https://www.spark-marketing.ru/Card/Person/4355032", "ФКУ КП-45 ГУФСИН РОССИИ ПО СВЕРДЛОВСКОЙ ОБЛАСТИ")</f>
        <v>ФКУ КП-45 ГУФСИН РОССИИ ПО СВЕРДЛОВСКОЙ ОБЛАСТИ</v>
      </c>
      <c r="B868" s="24" t="s">
        <v>1891</v>
      </c>
      <c r="C868" s="25">
        <v>252000</v>
      </c>
      <c r="D868" s="22" t="s">
        <v>1892</v>
      </c>
      <c r="E868" s="22" t="s">
        <v>1893</v>
      </c>
      <c r="F868" s="23" t="str">
        <f>HYPERLINK("https://www.spark-marketing.ru/Card/Lot/74141188", "услуги по доставке продуктов питания (маргарина)")</f>
        <v>услуги по доставке продуктов питания (маргарина)</v>
      </c>
      <c r="G868" s="22" t="s">
        <v>174</v>
      </c>
      <c r="H868" s="22" t="s">
        <v>1894</v>
      </c>
      <c r="I868" s="26">
        <v>43741.489583333299</v>
      </c>
      <c r="J868" s="28" t="s">
        <v>51</v>
      </c>
      <c r="K868" s="28" t="s">
        <v>51</v>
      </c>
      <c r="L868" s="28" t="s">
        <v>51</v>
      </c>
      <c r="M868" s="28" t="s">
        <v>51</v>
      </c>
      <c r="N868" s="28" t="s">
        <v>51</v>
      </c>
    </row>
    <row r="869" spans="1:14" ht="12.75" hidden="1" outlineLevel="1" x14ac:dyDescent="0.2">
      <c r="A869" s="23" t="str">
        <f>HYPERLINK("https://www.spark-marketing.ru/Card/Person/4355032", "ФКУ КП-45 ГУФСИН РОССИИ ПО СВЕРДЛОВСКОЙ ОБЛАСТИ")</f>
        <v>ФКУ КП-45 ГУФСИН РОССИИ ПО СВЕРДЛОВСКОЙ ОБЛАСТИ</v>
      </c>
      <c r="B869" s="24" t="s">
        <v>1891</v>
      </c>
      <c r="C869" s="25">
        <v>252000</v>
      </c>
      <c r="D869" s="22" t="s">
        <v>1892</v>
      </c>
      <c r="E869" s="22" t="s">
        <v>1893</v>
      </c>
      <c r="F869" s="23" t="str">
        <f>HYPERLINK("https://www.spark-marketing.ru/Card/Lot/74141188", "услуги по доставке продуктов питания (маргарина)")</f>
        <v>услуги по доставке продуктов питания (маргарина)</v>
      </c>
      <c r="G869" s="22" t="s">
        <v>174</v>
      </c>
      <c r="H869" s="22" t="s">
        <v>1894</v>
      </c>
      <c r="I869" s="26">
        <v>43741.489583333299</v>
      </c>
      <c r="J869" s="23" t="str">
        <f>HYPERLINK("https://www.spark-marketing.ru/Card/Person/4889926", "ООО ""АТО""")</f>
        <v>ООО "АТО"</v>
      </c>
      <c r="K869" s="24" t="s">
        <v>1895</v>
      </c>
      <c r="L869" s="22" t="s">
        <v>10</v>
      </c>
      <c r="M869" s="25">
        <v>228800</v>
      </c>
      <c r="N869" s="27">
        <v>9.2063492063492069E-2</v>
      </c>
    </row>
    <row r="870" spans="1:14" hidden="1" outlineLevel="1" x14ac:dyDescent="0.2">
      <c r="A870" s="23" t="str">
        <f>HYPERLINK("https://www.spark-marketing.ru/Card/Person/4355032", "ФКУ КП-45 ГУФСИН РОССИИ ПО СВЕРДЛОВСКОЙ ОБЛАСТИ")</f>
        <v>ФКУ КП-45 ГУФСИН РОССИИ ПО СВЕРДЛОВСКОЙ ОБЛАСТИ</v>
      </c>
      <c r="B870" s="24" t="s">
        <v>1891</v>
      </c>
      <c r="C870" s="25">
        <v>252000</v>
      </c>
      <c r="D870" s="22" t="s">
        <v>1892</v>
      </c>
      <c r="E870" s="22" t="s">
        <v>1893</v>
      </c>
      <c r="F870" s="23" t="str">
        <f>HYPERLINK("https://www.spark-marketing.ru/Card/Lot/74141188", "услуги по доставке продуктов питания (маргарина)")</f>
        <v>услуги по доставке продуктов питания (маргарина)</v>
      </c>
      <c r="G870" s="22" t="s">
        <v>174</v>
      </c>
      <c r="H870" s="22" t="s">
        <v>1894</v>
      </c>
      <c r="I870" s="26">
        <v>43741.489583333299</v>
      </c>
      <c r="J870" s="23" t="str">
        <f>HYPERLINK("https://www.spark-marketing.ru/Card/Person/6619263", "ООО ""ОЛИМП""")</f>
        <v>ООО "ОЛИМП"</v>
      </c>
      <c r="K870" s="24" t="s">
        <v>1896</v>
      </c>
      <c r="L870" s="28" t="s">
        <v>51</v>
      </c>
      <c r="M870" s="25">
        <v>239000</v>
      </c>
      <c r="N870" s="27">
        <v>5.1587301587301584E-2</v>
      </c>
    </row>
    <row r="871" spans="1:14" hidden="1" outlineLevel="1" x14ac:dyDescent="0.2">
      <c r="A871" s="23" t="str">
        <f>HYPERLINK("https://www.spark-marketing.ru/Card/Person/4355032", "ФКУ КП-45 ГУФСИН РОССИИ ПО СВЕРДЛОВСКОЙ ОБЛАСТИ")</f>
        <v>ФКУ КП-45 ГУФСИН РОССИИ ПО СВЕРДЛОВСКОЙ ОБЛАСТИ</v>
      </c>
      <c r="B871" s="24" t="s">
        <v>1891</v>
      </c>
      <c r="C871" s="25">
        <v>252000</v>
      </c>
      <c r="D871" s="22" t="s">
        <v>1892</v>
      </c>
      <c r="E871" s="22" t="s">
        <v>1893</v>
      </c>
      <c r="F871" s="23" t="str">
        <f>HYPERLINK("https://www.spark-marketing.ru/Card/Lot/74141188", "услуги по доставке продуктов питания (маргарина)")</f>
        <v>услуги по доставке продуктов питания (маргарина)</v>
      </c>
      <c r="G871" s="22" t="s">
        <v>174</v>
      </c>
      <c r="H871" s="22" t="s">
        <v>1894</v>
      </c>
      <c r="I871" s="26">
        <v>43741.489583333299</v>
      </c>
      <c r="J871" s="23" t="str">
        <f>HYPERLINK("https://www.spark-marketing.ru/Card/Person/7773", "ООО ""ПОРТОУРАЛ""")</f>
        <v>ООО "ПОРТОУРАЛ"</v>
      </c>
      <c r="K871" s="24" t="s">
        <v>1897</v>
      </c>
      <c r="L871" s="28" t="s">
        <v>51</v>
      </c>
      <c r="M871" s="25">
        <v>244000</v>
      </c>
      <c r="N871" s="27">
        <v>3.1746031746031744E-2</v>
      </c>
    </row>
    <row r="872" spans="1:14" x14ac:dyDescent="0.15">
      <c r="A872" s="23" t="str">
        <f>HYPERLINK("https://www.spark-marketing.ru/Card/Person/132127", "МБОУ ЕСОШ")</f>
        <v>МБОУ ЕСОШ</v>
      </c>
      <c r="B872" s="24" t="s">
        <v>1898</v>
      </c>
      <c r="C872" s="25">
        <v>171052</v>
      </c>
      <c r="D872" s="22" t="s">
        <v>1899</v>
      </c>
      <c r="E872" s="22" t="s">
        <v>48</v>
      </c>
      <c r="F872" s="23" t="str">
        <f>HYPERLINK("https://www.spark-marketing.ru/Card/Lot/74138724", "Оказание услуг по организации питания для учащихся (полдник для кадетского класса)")</f>
        <v>Оказание услуг по организации питания для учащихся (полдник для кадетского класса)</v>
      </c>
      <c r="G872" s="22" t="s">
        <v>49</v>
      </c>
      <c r="H872" s="22" t="s">
        <v>1160</v>
      </c>
      <c r="I872" s="26">
        <v>43741.357523148101</v>
      </c>
      <c r="J872" s="28" t="s">
        <v>51</v>
      </c>
      <c r="K872" s="28" t="s">
        <v>51</v>
      </c>
      <c r="L872" s="28" t="s">
        <v>51</v>
      </c>
      <c r="M872" s="28" t="s">
        <v>51</v>
      </c>
      <c r="N872" s="28" t="s">
        <v>51</v>
      </c>
    </row>
    <row r="873" spans="1:14" x14ac:dyDescent="0.15">
      <c r="A873" s="23" t="str">
        <f>HYPERLINK("https://www.spark-marketing.ru/Card/Person/135372", "АО ""НИИП""")</f>
        <v>АО "НИИП"</v>
      </c>
      <c r="B873" s="24" t="s">
        <v>1900</v>
      </c>
      <c r="C873" s="28" t="s">
        <v>51</v>
      </c>
      <c r="D873" s="22" t="s">
        <v>1901</v>
      </c>
      <c r="E873" s="22" t="s">
        <v>48</v>
      </c>
      <c r="F873" s="23" t="str">
        <f>HYPERLINK("https://www.spark-marketing.ru/Card/Lot/74143451", "Оказание услуг по обеспечению лечебно-профилактическим питанием и выдаче молока сотрудникам АО «НИИП»")</f>
        <v>Оказание услуг по обеспечению лечебно-профилактическим питанием и выдаче молока сотрудникам АО «НИИП»</v>
      </c>
      <c r="G873" s="22" t="s">
        <v>49</v>
      </c>
      <c r="H873" s="22" t="s">
        <v>1902</v>
      </c>
      <c r="I873" s="26">
        <v>43741.369976851798</v>
      </c>
      <c r="J873" s="28" t="s">
        <v>51</v>
      </c>
      <c r="K873" s="28" t="s">
        <v>51</v>
      </c>
      <c r="L873" s="28" t="s">
        <v>51</v>
      </c>
      <c r="M873" s="28" t="s">
        <v>51</v>
      </c>
      <c r="N873" s="28" t="s">
        <v>51</v>
      </c>
    </row>
    <row r="874" spans="1:14" x14ac:dyDescent="0.15">
      <c r="A874" s="23" t="str">
        <f>HYPERLINK("https://www.spark-marketing.ru/Card/Person/4761681", "ПРАВИТЕЛЬСТВО САХАЛИНСКОЙ ОБЛАСТИ")</f>
        <v>ПРАВИТЕЛЬСТВО САХАЛИНСКОЙ ОБЛАСТИ</v>
      </c>
      <c r="B874" s="24" t="s">
        <v>1903</v>
      </c>
      <c r="C874" s="25">
        <v>70000</v>
      </c>
      <c r="D874" s="22" t="s">
        <v>1904</v>
      </c>
      <c r="E874" s="22" t="s">
        <v>96</v>
      </c>
      <c r="F874" s="23" t="str">
        <f>HYPERLINK("https://www.spark-marketing.ru/Card/Lot/74139357", "Оказание услуг по организации питания участников мероприятия посвященного Дню пямяти жертв политических репрессий в пгт. Тымовское.")</f>
        <v>Оказание услуг по организации питания участников мероприятия посвященного Дню пямяти жертв политических репрессий в пгт. Тымовское.</v>
      </c>
      <c r="G874" s="22" t="s">
        <v>260</v>
      </c>
      <c r="H874" s="22" t="s">
        <v>804</v>
      </c>
      <c r="I874" s="26">
        <v>43741.686805555597</v>
      </c>
      <c r="J874" s="23" t="str">
        <f>HYPERLINK("https://www.spark-marketing.ru/Card/Person/604977", "Козловская Тамара Санчуровна")</f>
        <v>Козловская Тамара Санчуровна</v>
      </c>
      <c r="K874" s="24" t="s">
        <v>1905</v>
      </c>
      <c r="L874" s="28" t="s">
        <v>51</v>
      </c>
      <c r="M874" s="28" t="s">
        <v>51</v>
      </c>
      <c r="N874" s="28" t="s">
        <v>51</v>
      </c>
    </row>
    <row r="875" spans="1:14" x14ac:dyDescent="0.15">
      <c r="A875" s="23" t="str">
        <f>HYPERLINK("https://www.spark-marketing.ru/Card/Person/135372", "АО ""НИИП""")</f>
        <v>АО "НИИП"</v>
      </c>
      <c r="B875" s="24" t="s">
        <v>1900</v>
      </c>
      <c r="C875" s="25">
        <v>0</v>
      </c>
      <c r="D875" s="22" t="s">
        <v>1906</v>
      </c>
      <c r="E875" s="22" t="s">
        <v>52</v>
      </c>
      <c r="F875" s="23" t="str">
        <f>HYPERLINK("https://www.spark-marketing.ru/Card/Lot/74141233", "мониторинг цен в электронной форме на Оказание услуг по обеспечению лечебно-профилактическим питанием и выдаче молока сотрудникам АО «НИИП»")</f>
        <v>мониторинг цен в электронной форме на Оказание услуг по обеспечению лечебно-профилактическим питанием и выдаче молока сотрудникам АО «НИИП»</v>
      </c>
      <c r="G875" s="22" t="s">
        <v>49</v>
      </c>
      <c r="H875" s="22" t="s">
        <v>1902</v>
      </c>
      <c r="I875" s="26">
        <v>43741.345081018502</v>
      </c>
      <c r="J875" s="28" t="s">
        <v>51</v>
      </c>
      <c r="K875" s="28" t="s">
        <v>51</v>
      </c>
      <c r="L875" s="28" t="s">
        <v>51</v>
      </c>
      <c r="M875" s="28" t="s">
        <v>51</v>
      </c>
      <c r="N875" s="28" t="s">
        <v>51</v>
      </c>
    </row>
    <row r="876" spans="1:14" x14ac:dyDescent="0.15">
      <c r="A876" s="23" t="str">
        <f>HYPERLINK("https://www.spark-marketing.ru/Card/Person/42758", "АО ""РОССЕЛЬХОЗБАНК""")</f>
        <v>АО "РОССЕЛЬХОЗБАНК"</v>
      </c>
      <c r="B876" s="24" t="s">
        <v>1907</v>
      </c>
      <c r="C876" s="25">
        <v>54280.46</v>
      </c>
      <c r="D876" s="22" t="s">
        <v>1908</v>
      </c>
      <c r="E876" s="22" t="s">
        <v>362</v>
      </c>
      <c r="F876" s="23" t="str">
        <f>HYPERLINK("https://www.spark-marketing.ru/Card/Lot/74141985", "Оказание услуг питания на выездном обслуживании для нужд Рязанского РФ АО «Россельхозбанк»")</f>
        <v>Оказание услуг питания на выездном обслуживании для нужд Рязанского РФ АО «Россельхозбанк»</v>
      </c>
      <c r="G876" s="22" t="s">
        <v>56</v>
      </c>
      <c r="H876" s="22" t="s">
        <v>56</v>
      </c>
      <c r="I876" s="26">
        <v>43741</v>
      </c>
      <c r="J876" s="28" t="s">
        <v>51</v>
      </c>
      <c r="K876" s="28" t="s">
        <v>51</v>
      </c>
      <c r="L876" s="28" t="s">
        <v>51</v>
      </c>
      <c r="M876" s="28" t="s">
        <v>51</v>
      </c>
      <c r="N876" s="28" t="s">
        <v>51</v>
      </c>
    </row>
    <row r="877" spans="1:14" x14ac:dyDescent="0.15">
      <c r="A877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877" s="24" t="s">
        <v>1909</v>
      </c>
      <c r="C877" s="25">
        <v>307300</v>
      </c>
      <c r="D877" s="22" t="s">
        <v>1910</v>
      </c>
      <c r="E877" s="22" t="s">
        <v>580</v>
      </c>
      <c r="F877" s="23" t="str">
        <f>HYPERLINK("https://www.spark-marketing.ru/Card/Lot/74146717", "Услуги по обеспечению питанием спортсменов и тренеров Заказчика")</f>
        <v>Услуги по обеспечению питанием спортсменов и тренеров Заказчика</v>
      </c>
      <c r="G877" s="22" t="s">
        <v>153</v>
      </c>
      <c r="H877" s="22" t="s">
        <v>153</v>
      </c>
      <c r="I877" s="26">
        <v>43741</v>
      </c>
      <c r="J877" s="28" t="s">
        <v>51</v>
      </c>
      <c r="K877" s="28" t="s">
        <v>51</v>
      </c>
      <c r="L877" s="28" t="s">
        <v>51</v>
      </c>
      <c r="M877" s="28" t="s">
        <v>51</v>
      </c>
      <c r="N877" s="28" t="s">
        <v>51</v>
      </c>
    </row>
    <row r="878" spans="1:14" x14ac:dyDescent="0.15">
      <c r="A878" s="23" t="str">
        <f>HYPERLINK("https://www.spark-marketing.ru/Card/Person/291431", "КАЛИНИНГРАДСКИЙ ОБЛАСТНОЙ ИНСТИТУТ РАЗВИТИЯ ОБРАЗОВАНИЯ")</f>
        <v>КАЛИНИНГРАДСКИЙ ОБЛАСТНОЙ ИНСТИТУТ РАЗВИТИЯ ОБРАЗОВАНИЯ</v>
      </c>
      <c r="B878" s="24" t="s">
        <v>1911</v>
      </c>
      <c r="C878" s="25">
        <v>177000</v>
      </c>
      <c r="D878" s="22" t="s">
        <v>1912</v>
      </c>
      <c r="E878" s="22" t="s">
        <v>580</v>
      </c>
      <c r="F878" s="23" t="str">
        <f>HYPERLINK("https://www.spark-marketing.ru/Card/Lot/74146060", "Оказание услуг по организации и обеспечению питания участников образовательной стажировки")</f>
        <v>Оказание услуг по организации и обеспечению питания участников образовательной стажировки</v>
      </c>
      <c r="G878" s="22" t="s">
        <v>400</v>
      </c>
      <c r="H878" s="22" t="s">
        <v>400</v>
      </c>
      <c r="I878" s="26">
        <v>43741</v>
      </c>
      <c r="J878" s="28" t="s">
        <v>51</v>
      </c>
      <c r="K878" s="28" t="s">
        <v>51</v>
      </c>
      <c r="L878" s="28" t="s">
        <v>51</v>
      </c>
      <c r="M878" s="28" t="s">
        <v>51</v>
      </c>
      <c r="N878" s="28" t="s">
        <v>51</v>
      </c>
    </row>
    <row r="879" spans="1:14" x14ac:dyDescent="0.2">
      <c r="A879" s="23" t="str">
        <f>HYPERLINK("https://www.spark-marketing.ru/Card/Person/133827", "КГАУ КЦМИ")</f>
        <v>КГАУ КЦМИ</v>
      </c>
      <c r="B879" s="24" t="s">
        <v>1913</v>
      </c>
      <c r="C879" s="25">
        <v>356000</v>
      </c>
      <c r="D879" s="22" t="s">
        <v>1914</v>
      </c>
      <c r="E879" s="22" t="s">
        <v>1915</v>
      </c>
      <c r="F879" s="23" t="str">
        <f>HYPERLINK("https://www.spark-marketing.ru/Card/Lot/74135185", "Оказание услуг по организации питания участников мероприятия и предоставление во временное пользование конференц-залов в рамках организации и проведения Фестиваля ДМОО: конкурса «Лидер XXI века»")</f>
        <v>Оказание услуг по организации питания участников мероприятия и предоставление во временное пользование конференц-залов в рамках организации и проведения Фестиваля ДМОО: конкурса «Лидер XXI века»</v>
      </c>
      <c r="G879" s="22" t="s">
        <v>1096</v>
      </c>
      <c r="H879" s="22" t="s">
        <v>1096</v>
      </c>
      <c r="I879" s="26">
        <v>43741</v>
      </c>
      <c r="J879" s="28" t="s">
        <v>51</v>
      </c>
      <c r="K879" s="28" t="s">
        <v>51</v>
      </c>
      <c r="L879" s="28" t="s">
        <v>51</v>
      </c>
      <c r="M879" s="25">
        <v>356000</v>
      </c>
      <c r="N879" s="27">
        <v>0</v>
      </c>
    </row>
    <row r="880" spans="1:14" x14ac:dyDescent="0.15">
      <c r="A880" s="23" t="str">
        <f>HYPERLINK("https://www.spark-marketing.ru/Card/Person/6665", "УЛГТУ, УЛЬЯНОВСКИЙ ГОСУДАРСТВЕННЫЙ ТЕХНИЧЕСКИЙ УНИВЕРСИТЕТ")</f>
        <v>УЛГТУ, УЛЬЯНОВСКИЙ ГОСУДАРСТВЕННЫЙ ТЕХНИЧЕСКИЙ УНИВЕРСИТЕТ</v>
      </c>
      <c r="B880" s="24" t="s">
        <v>1916</v>
      </c>
      <c r="C880" s="25">
        <v>248669.35</v>
      </c>
      <c r="D880" s="22" t="s">
        <v>1917</v>
      </c>
      <c r="E880" s="22" t="s">
        <v>362</v>
      </c>
      <c r="F880" s="23" t="str">
        <f>HYPERLINK("https://www.spark-marketing.ru/Card/Lot/74152934", "Оказание услуг по организации питания в рамках Международной летней школы УлГТУ")</f>
        <v>Оказание услуг по организации питания в рамках Международной летней школы УлГТУ</v>
      </c>
      <c r="G880" s="22" t="s">
        <v>1918</v>
      </c>
      <c r="H880" s="22" t="s">
        <v>1918</v>
      </c>
      <c r="I880" s="26">
        <v>43741</v>
      </c>
      <c r="J880" s="28" t="s">
        <v>51</v>
      </c>
      <c r="K880" s="28" t="s">
        <v>51</v>
      </c>
      <c r="L880" s="28" t="s">
        <v>51</v>
      </c>
      <c r="M880" s="28" t="s">
        <v>51</v>
      </c>
      <c r="N880" s="28" t="s">
        <v>51</v>
      </c>
    </row>
    <row r="881" spans="1:14" x14ac:dyDescent="0.15">
      <c r="A881" s="23" t="str">
        <f>HYPERLINK("https://www.spark-marketing.ru/Card/Person/8783", "ФГБОУ ВО ""СГУ ИМ. ПИТИРИМА СОРОКИНА""")</f>
        <v>ФГБОУ ВО "СГУ ИМ. ПИТИРИМА СОРОКИНА"</v>
      </c>
      <c r="B881" s="24" t="s">
        <v>1919</v>
      </c>
      <c r="C881" s="25">
        <v>441000</v>
      </c>
      <c r="D881" s="22" t="s">
        <v>1920</v>
      </c>
      <c r="E881" s="22" t="s">
        <v>1921</v>
      </c>
      <c r="F881" s="23" t="str">
        <f>HYPERLINK("https://www.spark-marketing.ru/Card/Lot/74155574", "Оказание услуг по организации проживания и питания участников образовательного проекта «Студенческие наставники и тьюторы»")</f>
        <v>Оказание услуг по организации проживания и питания участников образовательного проекта «Студенческие наставники и тьюторы»</v>
      </c>
      <c r="G881" s="22" t="s">
        <v>271</v>
      </c>
      <c r="H881" s="22" t="s">
        <v>271</v>
      </c>
      <c r="I881" s="26">
        <v>43741</v>
      </c>
      <c r="J881" s="28" t="s">
        <v>51</v>
      </c>
      <c r="K881" s="28" t="s">
        <v>51</v>
      </c>
      <c r="L881" s="28" t="s">
        <v>51</v>
      </c>
      <c r="M881" s="28" t="s">
        <v>51</v>
      </c>
      <c r="N881" s="28" t="s">
        <v>51</v>
      </c>
    </row>
    <row r="882" spans="1:14" x14ac:dyDescent="0.15">
      <c r="A882" s="23" t="str">
        <f>HYPERLINK("https://www.spark-marketing.ru/Card/Person/1758526", "МАОУ ""НОШ № 1""")</f>
        <v>МАОУ "НОШ № 1"</v>
      </c>
      <c r="B882" s="24" t="s">
        <v>945</v>
      </c>
      <c r="C882" s="25">
        <v>104671</v>
      </c>
      <c r="D882" s="22" t="s">
        <v>1922</v>
      </c>
      <c r="E882" s="22" t="s">
        <v>362</v>
      </c>
      <c r="F882" s="23" t="str">
        <f>HYPERLINK("https://www.spark-marketing.ru/Card/Lot/74147063", "Оказание услуг общественного питания в лагере дневного пребывания, организованного на базе МАОУ ""НОШ № 1""")</f>
        <v>Оказание услуг общественного питания в лагере дневного пребывания, организованного на базе МАОУ "НОШ № 1"</v>
      </c>
      <c r="G882" s="22" t="s">
        <v>153</v>
      </c>
      <c r="H882" s="22" t="s">
        <v>153</v>
      </c>
      <c r="I882" s="26">
        <v>43741</v>
      </c>
      <c r="J882" s="28" t="s">
        <v>51</v>
      </c>
      <c r="K882" s="28" t="s">
        <v>51</v>
      </c>
      <c r="L882" s="28" t="s">
        <v>51</v>
      </c>
      <c r="M882" s="28" t="s">
        <v>51</v>
      </c>
      <c r="N882" s="28" t="s">
        <v>51</v>
      </c>
    </row>
    <row r="883" spans="1:14" x14ac:dyDescent="0.15">
      <c r="A883" s="23" t="str">
        <f>HYPERLINK("https://www.spark-marketing.ru/Card/Person/738700", "МАДОУ ДЕТСКИЙ САД С.КАРАМАЛЫ-ГУБЕЕВО")</f>
        <v>МАДОУ ДЕТСКИЙ САД С.КАРАМАЛЫ-ГУБЕЕВО</v>
      </c>
      <c r="B883" s="24" t="s">
        <v>1923</v>
      </c>
      <c r="C883" s="25">
        <v>212436</v>
      </c>
      <c r="D883" s="22" t="s">
        <v>1924</v>
      </c>
      <c r="E883" s="22" t="s">
        <v>362</v>
      </c>
      <c r="F883" s="23" t="str">
        <f>HYPERLINK("https://www.spark-marketing.ru/Card/Lot/74143887", "оказание услуги непрофильной функции по питанию")</f>
        <v>оказание услуги непрофильной функции по питанию</v>
      </c>
      <c r="G883" s="22" t="s">
        <v>145</v>
      </c>
      <c r="H883" s="22" t="s">
        <v>145</v>
      </c>
      <c r="I883" s="26">
        <v>43741</v>
      </c>
      <c r="J883" s="28" t="s">
        <v>51</v>
      </c>
      <c r="K883" s="28" t="s">
        <v>51</v>
      </c>
      <c r="L883" s="28" t="s">
        <v>51</v>
      </c>
      <c r="M883" s="28" t="s">
        <v>51</v>
      </c>
      <c r="N883" s="28" t="s">
        <v>51</v>
      </c>
    </row>
    <row r="884" spans="1:14" ht="12.75" x14ac:dyDescent="0.2">
      <c r="A884" s="23" t="str">
        <f>HYPERLINK("https://www.spark-marketing.ru/Card/Person/44377", "НАЦИОНАЛЬНЫЙ ИССЛЕДОВАТЕЛЬСКИЙ УНИВЕРСИТЕТ ""ВЫСШАЯ ШКОЛА ЭКОНОМИКИ"";ВЫСШАЯ ШКОЛА ЭКОНОМИКИ;НИУ ВШЭ;ВШЭ")</f>
        <v>НАЦИОНАЛЬНЫЙ ИССЛЕДОВАТЕЛЬСКИЙ УНИВЕРСИТЕТ "ВЫСШАЯ ШКОЛА ЭКОНОМИКИ";ВЫСШАЯ ШКОЛА ЭКОНОМИКИ;НИУ ВШЭ;ВШЭ</v>
      </c>
      <c r="B884" s="24" t="s">
        <v>1925</v>
      </c>
      <c r="C884" s="25">
        <v>630000</v>
      </c>
      <c r="D884" s="22" t="s">
        <v>1926</v>
      </c>
      <c r="E884" s="22" t="s">
        <v>362</v>
      </c>
      <c r="F884" s="23" t="str">
        <f>HYPERLINK("https://www.spark-marketing.ru/Card/Lot/74143413", "Оказание услуг питания для участников X Международной российской конференции исследователей высшего образования (конференция ИВО) «Вклад высшего образования в развитие общества и экономики: глобальные, национальные и региональные вызовы», проводимой ...")</f>
        <v>Оказание услуг питания для участников X Международной российской конференции исследователей высшего образования (конференция ИВО) «Вклад высшего образования в развитие общества и экономики: глобальные, национальные и региональные вызовы», проводимой ...</v>
      </c>
      <c r="G884" s="22" t="s">
        <v>56</v>
      </c>
      <c r="H884" s="22" t="s">
        <v>56</v>
      </c>
      <c r="I884" s="26">
        <v>43741</v>
      </c>
      <c r="J884" s="23" t="str">
        <f>HYPERLINK("https://www.spark-marketing.ru/Card/Person/6720842", "ООО КАФЕ ""УДАЧА""")</f>
        <v>ООО КАФЕ "УДАЧА"</v>
      </c>
      <c r="K884" s="24" t="s">
        <v>1927</v>
      </c>
      <c r="L884" s="22" t="s">
        <v>10</v>
      </c>
      <c r="M884" s="25">
        <v>630000</v>
      </c>
      <c r="N884" s="27">
        <v>0</v>
      </c>
    </row>
    <row r="885" spans="1:14" ht="12.75" x14ac:dyDescent="0.2">
      <c r="A885" s="23" t="str">
        <f>HYPERLINK("https://www.spark-marketing.ru/Card/Person/561604", "МАУ ""ДЗОЛ ""ЗАРЯ""")</f>
        <v>МАУ "ДЗОЛ "ЗАРЯ"</v>
      </c>
      <c r="B885" s="24" t="s">
        <v>1928</v>
      </c>
      <c r="C885" s="25">
        <v>1910100</v>
      </c>
      <c r="D885" s="22" t="s">
        <v>1929</v>
      </c>
      <c r="E885" s="22" t="s">
        <v>362</v>
      </c>
      <c r="F885" s="23" t="str">
        <f>HYPERLINK("https://www.spark-marketing.ru/Card/Lot/74145002", "Оказание услуг по организации питания в период осенней оздоровительной компании 2019 г. с заключением договора аренды помещений и возмещения коммунальных услуг.")</f>
        <v>Оказание услуг по организации питания в период осенней оздоровительной компании 2019 г. с заключением договора аренды помещений и возмещения коммунальных услуг.</v>
      </c>
      <c r="G885" s="22" t="s">
        <v>174</v>
      </c>
      <c r="H885" s="22" t="s">
        <v>174</v>
      </c>
      <c r="I885" s="26">
        <v>43741</v>
      </c>
      <c r="J885" s="23" t="str">
        <f>HYPERLINK("https://www.spark-marketing.ru/Card/Person/842907", "ООО ""КОП""")</f>
        <v>ООО "КОП"</v>
      </c>
      <c r="K885" s="24" t="s">
        <v>1930</v>
      </c>
      <c r="L885" s="22" t="s">
        <v>10</v>
      </c>
      <c r="M885" s="25">
        <v>1910100</v>
      </c>
      <c r="N885" s="27">
        <v>0</v>
      </c>
    </row>
    <row r="886" spans="1:14" x14ac:dyDescent="0.2">
      <c r="A886" s="23" t="str">
        <f>HYPERLINK("https://www.spark-marketing.ru/Card/Person/168797", "АО ""МЕЖДУНАРОДНЫЙ АЭРОПОРТ ""КАЗАНЬ""")</f>
        <v>АО "МЕЖДУНАРОДНЫЙ АЭРОПОРТ "КАЗАНЬ"</v>
      </c>
      <c r="B886" s="24" t="s">
        <v>1931</v>
      </c>
      <c r="C886" s="25">
        <v>480</v>
      </c>
      <c r="D886" s="22" t="s">
        <v>1932</v>
      </c>
      <c r="E886" s="22" t="s">
        <v>362</v>
      </c>
      <c r="F886" s="23" t="str">
        <f>HYPERLINK("https://www.spark-marketing.ru/Card/Lot/74153665", "Оказание услуг по предоставлению питания для пассажиров ЗПК Терминала 2 (согласно талонам и утвержденного меню)")</f>
        <v>Оказание услуг по предоставлению питания для пассажиров ЗПК Терминала 2 (согласно талонам и утвержденного меню)</v>
      </c>
      <c r="G886" s="22" t="s">
        <v>217</v>
      </c>
      <c r="H886" s="22" t="s">
        <v>217</v>
      </c>
      <c r="I886" s="26">
        <v>43741</v>
      </c>
      <c r="J886" s="28" t="s">
        <v>51</v>
      </c>
      <c r="K886" s="28" t="s">
        <v>51</v>
      </c>
      <c r="L886" s="28" t="s">
        <v>51</v>
      </c>
      <c r="M886" s="25">
        <v>480</v>
      </c>
      <c r="N886" s="27">
        <v>0</v>
      </c>
    </row>
    <row r="887" spans="1:14" x14ac:dyDescent="0.15">
      <c r="A887" s="23" t="str">
        <f>HYPERLINK("https://www.spark-marketing.ru/Card/Person/21172", "ГБУ СК ""ЦМП""")</f>
        <v>ГБУ СК "ЦМП"</v>
      </c>
      <c r="B887" s="24" t="s">
        <v>1933</v>
      </c>
      <c r="C887" s="25">
        <v>43980</v>
      </c>
      <c r="D887" s="22" t="s">
        <v>1934</v>
      </c>
      <c r="E887" s="22" t="s">
        <v>48</v>
      </c>
      <c r="F887" s="23" t="str">
        <f>HYPERLINK("https://www.spark-marketing.ru/Card/Lot/74131065", "Оказание услуг по организации питания участников и организаторов для краевого фестиваля «Я+Я = молодая» для обеспечения государственных нужд Ставропольского края")</f>
        <v>Оказание услуг по организации питания участников и организаторов для краевого фестиваля «Я+Я = молодая» для обеспечения государственных нужд Ставропольского края</v>
      </c>
      <c r="G887" s="22" t="s">
        <v>87</v>
      </c>
      <c r="H887" s="22" t="s">
        <v>686</v>
      </c>
      <c r="I887" s="26">
        <v>43740.712500000001</v>
      </c>
      <c r="J887" s="23" t="str">
        <f>HYPERLINK("https://www.spark-marketing.ru/Card/Person/6335309", "ООО ""АФМ КОНСАЛТИНГ""")</f>
        <v>ООО "АФМ КОНСАЛТИНГ"</v>
      </c>
      <c r="K887" s="24" t="s">
        <v>1935</v>
      </c>
      <c r="L887" s="28" t="s">
        <v>51</v>
      </c>
      <c r="M887" s="28" t="s">
        <v>51</v>
      </c>
      <c r="N887" s="28" t="s">
        <v>51</v>
      </c>
    </row>
    <row r="888" spans="1:14" ht="12.75" hidden="1" outlineLevel="1" x14ac:dyDescent="0.2">
      <c r="A888" s="23" t="str">
        <f>HYPERLINK("https://www.spark-marketing.ru/Card/Person/21172", "ГБУ СК ""ЦМП""")</f>
        <v>ГБУ СК "ЦМП"</v>
      </c>
      <c r="B888" s="24" t="s">
        <v>1933</v>
      </c>
      <c r="C888" s="25">
        <v>43980</v>
      </c>
      <c r="D888" s="22" t="s">
        <v>1934</v>
      </c>
      <c r="E888" s="22" t="s">
        <v>48</v>
      </c>
      <c r="F888" s="23" t="str">
        <f>HYPERLINK("https://www.spark-marketing.ru/Card/Lot/74131065", "Оказание услуг по организации питания участников и организаторов для краевого фестиваля «Я+Я = молодая» для обеспечения государственных нужд Ставропольского края")</f>
        <v>Оказание услуг по организации питания участников и организаторов для краевого фестиваля «Я+Я = молодая» для обеспечения государственных нужд Ставропольского края</v>
      </c>
      <c r="G888" s="22" t="s">
        <v>87</v>
      </c>
      <c r="H888" s="22" t="s">
        <v>686</v>
      </c>
      <c r="I888" s="26">
        <v>43740.712500000001</v>
      </c>
      <c r="J888" s="23" t="str">
        <f>HYPERLINK("https://www.spark-marketing.ru/Card/Person/6335309", "ООО ""АФМ КОНСАЛТИНГ""")</f>
        <v>ООО "АФМ КОНСАЛТИНГ"</v>
      </c>
      <c r="K888" s="24" t="s">
        <v>1935</v>
      </c>
      <c r="L888" s="22" t="s">
        <v>10</v>
      </c>
      <c r="M888" s="25">
        <v>43760.1</v>
      </c>
      <c r="N888" s="27">
        <v>5.0000000000000001E-3</v>
      </c>
    </row>
    <row r="889" spans="1:14" x14ac:dyDescent="0.15">
      <c r="A889" s="23" t="str">
        <f>HYPERLINK("https://www.spark-marketing.ru/Card/Person/60786", "ГБПОУ Г. МОСКВЫ ""МОСКОВСКИЙ МУЗЫКАЛЬНО-ПЕДАГОГИЧЕСКИЙ КОЛЛЕДЖ""")</f>
        <v>ГБПОУ Г. МОСКВЫ "МОСКОВСКИЙ МУЗЫКАЛЬНО-ПЕДАГОГИЧЕСКИЙ КОЛЛЕДЖ"</v>
      </c>
      <c r="B889" s="24" t="s">
        <v>1936</v>
      </c>
      <c r="C889" s="25">
        <v>7298323.7999999998</v>
      </c>
      <c r="D889" s="22" t="s">
        <v>1937</v>
      </c>
      <c r="E889" s="22" t="s">
        <v>48</v>
      </c>
      <c r="F889" s="23" t="str">
        <f>HYPERLINK("https://www.spark-marketing.ru/Card/Lot/74134542", "Оказание услуг по организации питания и обеспечению питьевого режима обучающихся в ГБПОУ г. Москвы ""Московский музыкально-педагогический колледж"" в 2020 году.")</f>
        <v>Оказание услуг по организации питания и обеспечению питьевого режима обучающихся в ГБПОУ г. Москвы "Московский музыкально-педагогический колледж" в 2020 году.</v>
      </c>
      <c r="G889" s="22" t="s">
        <v>56</v>
      </c>
      <c r="H889" s="22" t="s">
        <v>56</v>
      </c>
      <c r="I889" s="26">
        <v>43740.711805555598</v>
      </c>
      <c r="J889" s="28" t="s">
        <v>51</v>
      </c>
      <c r="K889" s="28" t="s">
        <v>51</v>
      </c>
      <c r="L889" s="28" t="s">
        <v>51</v>
      </c>
      <c r="M889" s="28" t="s">
        <v>51</v>
      </c>
      <c r="N889" s="28" t="s">
        <v>51</v>
      </c>
    </row>
    <row r="890" spans="1:14" x14ac:dyDescent="0.15">
      <c r="A890" s="23" t="str">
        <f>HYPERLINK("https://www.spark-marketing.ru/Card/Person/539565", "ОМВД РОССИИ ПО ГОРОДСКОМУ ОКРУГУ ""ДОЛИНСКИЙ""")</f>
        <v>ОМВД РОССИИ ПО ГОРОДСКОМУ ОКРУГУ "ДОЛИНСКИЙ"</v>
      </c>
      <c r="B890" s="24" t="s">
        <v>1938</v>
      </c>
      <c r="C890" s="25">
        <v>232075</v>
      </c>
      <c r="D890" s="22" t="s">
        <v>1939</v>
      </c>
      <c r="E890" s="22" t="s">
        <v>48</v>
      </c>
      <c r="F890" s="23" t="str">
        <f>HYPERLINK("https://www.spark-marketing.ru/Card/Lot/74125979", "Оказание услуг по организации комплексного горячего трехразового питания в интересах ОМВД России по городскому округу ""Долинский"" в 2019 году")</f>
        <v>Оказание услуг по организации комплексного горячего трехразового питания в интересах ОМВД России по городскому округу "Долинский" в 2019 году</v>
      </c>
      <c r="G890" s="22" t="s">
        <v>260</v>
      </c>
      <c r="H890" s="22" t="s">
        <v>1940</v>
      </c>
      <c r="I890" s="26">
        <v>43740.686805555597</v>
      </c>
      <c r="J890" s="23" t="str">
        <f>HYPERLINK("https://www.spark-marketing.ru/Card/Person/564068", "ООО ""САХАЛИН-МОНТАЖ+""")</f>
        <v>ООО "САХАЛИН-МОНТАЖ+"</v>
      </c>
      <c r="K890" s="24" t="s">
        <v>1941</v>
      </c>
      <c r="L890" s="22" t="s">
        <v>10</v>
      </c>
      <c r="M890" s="28" t="s">
        <v>51</v>
      </c>
      <c r="N890" s="28" t="s">
        <v>51</v>
      </c>
    </row>
    <row r="891" spans="1:14" x14ac:dyDescent="0.15">
      <c r="A891" s="23" t="str">
        <f>HYPERLINK("https://www.spark-marketing.ru/Card/Person/6800", "МО МВД РОССИИ ""ВОЛЬСКИЙ"" САРАТОВСКОЙ ОБЛАСТИ")</f>
        <v>МО МВД РОССИИ "ВОЛЬСКИЙ" САРАТОВСКОЙ ОБЛАСТИ</v>
      </c>
      <c r="B891" s="24" t="s">
        <v>1876</v>
      </c>
      <c r="C891" s="25">
        <v>841800</v>
      </c>
      <c r="D891" s="22" t="s">
        <v>1942</v>
      </c>
      <c r="E891" s="22" t="s">
        <v>48</v>
      </c>
      <c r="F891" s="23" t="str">
        <f>HYPERLINK("https://www.spark-marketing.ru/Card/Lot/74132946", "Оказание услуг по организации питания лиц, находящихся в изоляторе временного содержания МО МВД России «Вольский» Саратовской области")</f>
        <v>Оказание услуг по организации питания лиц, находящихся в изоляторе временного содержания МО МВД России «Вольский» Саратовской области</v>
      </c>
      <c r="G891" s="22" t="s">
        <v>351</v>
      </c>
      <c r="H891" s="22" t="s">
        <v>1878</v>
      </c>
      <c r="I891" s="26">
        <v>43740.702777777798</v>
      </c>
      <c r="J891" s="28" t="s">
        <v>51</v>
      </c>
      <c r="K891" s="28" t="s">
        <v>51</v>
      </c>
      <c r="L891" s="28" t="s">
        <v>51</v>
      </c>
      <c r="M891" s="28" t="s">
        <v>51</v>
      </c>
      <c r="N891" s="28" t="s">
        <v>51</v>
      </c>
    </row>
    <row r="892" spans="1:14" x14ac:dyDescent="0.15">
      <c r="A892" s="23" t="str">
        <f>HYPERLINK("https://www.spark-marketing.ru/Card/Person/1085101", "ОТДЕЛЕНИЕ МВД РОССИИ ПО ЧАСТИНСКОМУ РАЙОНУ")</f>
        <v>ОТДЕЛЕНИЕ МВД РОССИИ ПО ЧАСТИНСКОМУ РАЙОНУ</v>
      </c>
      <c r="B892" s="24" t="s">
        <v>1943</v>
      </c>
      <c r="C892" s="25">
        <v>580000</v>
      </c>
      <c r="D892" s="22" t="s">
        <v>1944</v>
      </c>
      <c r="E892" s="22" t="s">
        <v>48</v>
      </c>
      <c r="F892" s="23" t="str">
        <f>HYPERLINK("https://www.spark-marketing.ru/Card/Lot/74131935", "Услуги по организации (обеспечению) ежедневным горячим питанием лиц содержащихся в изоляторе временного содержания")</f>
        <v>Услуги по организации (обеспечению) ежедневным горячим питанием лиц содержащихся в изоляторе временного содержания</v>
      </c>
      <c r="G892" s="22" t="s">
        <v>153</v>
      </c>
      <c r="H892" s="22" t="s">
        <v>1945</v>
      </c>
      <c r="I892" s="26">
        <v>43740.6694444444</v>
      </c>
      <c r="J892" s="23" t="str">
        <f>HYPERLINK("https://www.spark-marketing.ru/Card/Person/1403318", "ООО ""АГИДЕЛЬ""")</f>
        <v>ООО "АГИДЕЛЬ"</v>
      </c>
      <c r="K892" s="24" t="s">
        <v>1946</v>
      </c>
      <c r="L892" s="22" t="s">
        <v>10</v>
      </c>
      <c r="M892" s="28" t="s">
        <v>51</v>
      </c>
      <c r="N892" s="28" t="s">
        <v>51</v>
      </c>
    </row>
    <row r="893" spans="1:14" x14ac:dyDescent="0.15">
      <c r="A893" s="23" t="str">
        <f>HYPERLINK("https://www.spark-marketing.ru/Card/Person/19534", "ОГБУЗ ""СМОЛЕНСКИЙ ОБЛАСТНОЙ ОНКОЛОГИЧЕСКИЙ КЛИНИЧЕСКИЙ ДИСПАНСЕР""")</f>
        <v>ОГБУЗ "СМОЛЕНСКИЙ ОБЛАСТНОЙ ОНКОЛОГИЧЕСКИЙ КЛИНИЧЕСКИЙ ДИСПАНСЕР"</v>
      </c>
      <c r="B893" s="24" t="s">
        <v>1947</v>
      </c>
      <c r="C893" s="25">
        <v>2199600</v>
      </c>
      <c r="D893" s="22" t="s">
        <v>1948</v>
      </c>
      <c r="E893" s="22" t="s">
        <v>48</v>
      </c>
      <c r="F893" s="23" t="str">
        <f>HYPERLINK("https://www.spark-marketing.ru/Card/Lot/74134071", "1212-аэф/у Оказание услуг по обеспечению готовым лечебным питанием для нужд ОГБУЗ «Смоленский областной онкологический клинический диспансер»")</f>
        <v>1212-аэф/у Оказание услуг по обеспечению готовым лечебным питанием для нужд ОГБУЗ «Смоленский областной онкологический клинический диспансер»</v>
      </c>
      <c r="G893" s="22" t="s">
        <v>460</v>
      </c>
      <c r="H893" s="22" t="s">
        <v>461</v>
      </c>
      <c r="I893" s="26">
        <v>43740.643750000003</v>
      </c>
      <c r="J893" s="28" t="s">
        <v>51</v>
      </c>
      <c r="K893" s="28" t="s">
        <v>51</v>
      </c>
      <c r="L893" s="28" t="s">
        <v>51</v>
      </c>
      <c r="M893" s="28" t="s">
        <v>51</v>
      </c>
      <c r="N893" s="28" t="s">
        <v>51</v>
      </c>
    </row>
    <row r="894" spans="1:14" x14ac:dyDescent="0.15">
      <c r="A894" s="23" t="str">
        <f>HYPERLINK("https://www.spark-marketing.ru/Card/Person/638852", "АППАРАТ ГУБЕРНАТОРА ЮГРЫ")</f>
        <v>АППАРАТ ГУБЕРНАТОРА ЮГРЫ</v>
      </c>
      <c r="B894" s="24" t="s">
        <v>1669</v>
      </c>
      <c r="C894" s="25">
        <v>2900000</v>
      </c>
      <c r="D894" s="22" t="s">
        <v>1949</v>
      </c>
      <c r="E894" s="22" t="s">
        <v>96</v>
      </c>
      <c r="F894" s="23" t="str">
        <f>HYPERLINK("https://www.spark-marketing.ru/Card/Lot/74133931", "Оказание услуг общественного питания")</f>
        <v>Оказание услуг общественного питания</v>
      </c>
      <c r="G894" s="22" t="s">
        <v>97</v>
      </c>
      <c r="H894" s="22" t="s">
        <v>98</v>
      </c>
      <c r="I894" s="26">
        <v>43740.629166666702</v>
      </c>
      <c r="J894" s="23" t="str">
        <f>HYPERLINK("https://www.spark-marketing.ru/Card/Person/4917688", "ООО ""КОРС""")</f>
        <v>ООО "КОРС"</v>
      </c>
      <c r="K894" s="24" t="s">
        <v>1950</v>
      </c>
      <c r="L894" s="22" t="s">
        <v>10</v>
      </c>
      <c r="M894" s="28" t="s">
        <v>51</v>
      </c>
      <c r="N894" s="28" t="s">
        <v>51</v>
      </c>
    </row>
    <row r="895" spans="1:14" x14ac:dyDescent="0.15">
      <c r="A895" s="23" t="str">
        <f>HYPERLINK("https://www.spark-marketing.ru/Card/Person/10751", "ОБУЗ ""ГКБ №3 Г.ИВАНОВА""")</f>
        <v>ОБУЗ "ГКБ №3 Г.ИВАНОВА"</v>
      </c>
      <c r="B895" s="24" t="s">
        <v>1951</v>
      </c>
      <c r="C895" s="25">
        <v>595825</v>
      </c>
      <c r="D895" s="22" t="s">
        <v>1952</v>
      </c>
      <c r="E895" s="22" t="s">
        <v>96</v>
      </c>
      <c r="F895" s="23" t="str">
        <f>HYPERLINK("https://www.spark-marketing.ru/Card/Lot/74132014", "Оказание услуг по организации лечебного питания для ОБУЗ ГКБ №3 г.Иванова")</f>
        <v>Оказание услуг по организации лечебного питания для ОБУЗ ГКБ №3 г.Иванова</v>
      </c>
      <c r="G895" s="22" t="s">
        <v>1047</v>
      </c>
      <c r="H895" s="22" t="s">
        <v>1953</v>
      </c>
      <c r="I895" s="26">
        <v>43740.649305555598</v>
      </c>
      <c r="J895" s="28" t="s">
        <v>51</v>
      </c>
      <c r="K895" s="28" t="s">
        <v>51</v>
      </c>
      <c r="L895" s="28" t="s">
        <v>51</v>
      </c>
      <c r="M895" s="28" t="s">
        <v>51</v>
      </c>
      <c r="N895" s="28" t="s">
        <v>51</v>
      </c>
    </row>
    <row r="896" spans="1:14" ht="12.75" hidden="1" outlineLevel="1" x14ac:dyDescent="0.2">
      <c r="A896" s="23" t="str">
        <f>HYPERLINK("https://www.spark-marketing.ru/Card/Person/10751", "ОБУЗ ""ГКБ №3 Г.ИВАНОВА""")</f>
        <v>ОБУЗ "ГКБ №3 Г.ИВАНОВА"</v>
      </c>
      <c r="B896" s="24" t="s">
        <v>1951</v>
      </c>
      <c r="C896" s="25">
        <v>595825</v>
      </c>
      <c r="D896" s="22" t="s">
        <v>1952</v>
      </c>
      <c r="E896" s="22" t="s">
        <v>96</v>
      </c>
      <c r="F896" s="23" t="str">
        <f>HYPERLINK("https://www.spark-marketing.ru/Card/Lot/74132014", "Оказание услуг по организации лечебного питания для ОБУЗ ГКБ №3 г.Иванова")</f>
        <v>Оказание услуг по организации лечебного питания для ОБУЗ ГКБ №3 г.Иванова</v>
      </c>
      <c r="G896" s="22" t="s">
        <v>1047</v>
      </c>
      <c r="H896" s="22" t="s">
        <v>1953</v>
      </c>
      <c r="I896" s="26">
        <v>43740.649305555598</v>
      </c>
      <c r="J896" s="23" t="str">
        <f>HYPERLINK("https://www.spark-marketing.ru/Card/Person/236610", "Пискарев Владимир Евгеньевич")</f>
        <v>Пискарев Владимир Евгеньевич</v>
      </c>
      <c r="K896" s="24" t="s">
        <v>1954</v>
      </c>
      <c r="L896" s="22" t="s">
        <v>10</v>
      </c>
      <c r="M896" s="25">
        <v>500739.69</v>
      </c>
      <c r="N896" s="27">
        <v>0.15958596903453195</v>
      </c>
    </row>
    <row r="897" spans="1:14" hidden="1" outlineLevel="1" x14ac:dyDescent="0.2">
      <c r="A897" s="23" t="str">
        <f>HYPERLINK("https://www.spark-marketing.ru/Card/Person/10751", "ОБУЗ ""ГКБ №3 Г.ИВАНОВА""")</f>
        <v>ОБУЗ "ГКБ №3 Г.ИВАНОВА"</v>
      </c>
      <c r="B897" s="24" t="s">
        <v>1951</v>
      </c>
      <c r="C897" s="25">
        <v>595825</v>
      </c>
      <c r="D897" s="22" t="s">
        <v>1952</v>
      </c>
      <c r="E897" s="22" t="s">
        <v>96</v>
      </c>
      <c r="F897" s="23" t="str">
        <f>HYPERLINK("https://www.spark-marketing.ru/Card/Lot/74132014", "Оказание услуг по организации лечебного питания для ОБУЗ ГКБ №3 г.Иванова")</f>
        <v>Оказание услуг по организации лечебного питания для ОБУЗ ГКБ №3 г.Иванова</v>
      </c>
      <c r="G897" s="22" t="s">
        <v>1047</v>
      </c>
      <c r="H897" s="22" t="s">
        <v>1953</v>
      </c>
      <c r="I897" s="26">
        <v>43740.649305555598</v>
      </c>
      <c r="J897" s="23" t="str">
        <f>HYPERLINK("https://www.spark-marketing.ru/Card/Person/4872314", "ООО ""ФОРТУНА""")</f>
        <v>ООО "ФОРТУНА"</v>
      </c>
      <c r="K897" s="24" t="s">
        <v>1955</v>
      </c>
      <c r="L897" s="28" t="s">
        <v>51</v>
      </c>
      <c r="M897" s="25">
        <v>551138.1</v>
      </c>
      <c r="N897" s="27">
        <v>7.5000041958628791E-2</v>
      </c>
    </row>
    <row r="898" spans="1:14" hidden="1" outlineLevel="1" x14ac:dyDescent="0.2">
      <c r="A898" s="23" t="str">
        <f>HYPERLINK("https://www.spark-marketing.ru/Card/Person/10751", "ОБУЗ ""ГКБ №3 Г.ИВАНОВА""")</f>
        <v>ОБУЗ "ГКБ №3 Г.ИВАНОВА"</v>
      </c>
      <c r="B898" s="24" t="s">
        <v>1951</v>
      </c>
      <c r="C898" s="25">
        <v>595825</v>
      </c>
      <c r="D898" s="22" t="s">
        <v>1952</v>
      </c>
      <c r="E898" s="22" t="s">
        <v>96</v>
      </c>
      <c r="F898" s="23" t="str">
        <f>HYPERLINK("https://www.spark-marketing.ru/Card/Lot/74132014", "Оказание услуг по организации лечебного питания для ОБУЗ ГКБ №3 г.Иванова")</f>
        <v>Оказание услуг по организации лечебного питания для ОБУЗ ГКБ №3 г.Иванова</v>
      </c>
      <c r="G898" s="22" t="s">
        <v>1047</v>
      </c>
      <c r="H898" s="22" t="s">
        <v>1953</v>
      </c>
      <c r="I898" s="26">
        <v>43740.649305555598</v>
      </c>
      <c r="J898" s="23" t="str">
        <f>HYPERLINK("https://www.spark-marketing.ru/Card/Person/580887", "Федосеева Елена Юрьевна")</f>
        <v>Федосеева Елена Юрьевна</v>
      </c>
      <c r="K898" s="24" t="s">
        <v>1956</v>
      </c>
      <c r="L898" s="28" t="s">
        <v>51</v>
      </c>
      <c r="M898" s="25">
        <v>589866.74</v>
      </c>
      <c r="N898" s="27">
        <v>1.0000016783451518E-2</v>
      </c>
    </row>
    <row r="899" spans="1:14" hidden="1" outlineLevel="1" x14ac:dyDescent="0.2">
      <c r="A899" s="23" t="str">
        <f>HYPERLINK("https://www.spark-marketing.ru/Card/Person/10751", "ОБУЗ ""ГКБ №3 Г.ИВАНОВА""")</f>
        <v>ОБУЗ "ГКБ №3 Г.ИВАНОВА"</v>
      </c>
      <c r="B899" s="24" t="s">
        <v>1951</v>
      </c>
      <c r="C899" s="25">
        <v>595825</v>
      </c>
      <c r="D899" s="22" t="s">
        <v>1952</v>
      </c>
      <c r="E899" s="22" t="s">
        <v>96</v>
      </c>
      <c r="F899" s="23" t="str">
        <f>HYPERLINK("https://www.spark-marketing.ru/Card/Lot/74132014", "Оказание услуг по организации лечебного питания для ОБУЗ ГКБ №3 г.Иванова")</f>
        <v>Оказание услуг по организации лечебного питания для ОБУЗ ГКБ №3 г.Иванова</v>
      </c>
      <c r="G899" s="22" t="s">
        <v>1047</v>
      </c>
      <c r="H899" s="22" t="s">
        <v>1953</v>
      </c>
      <c r="I899" s="26">
        <v>43740.649305555598</v>
      </c>
      <c r="J899" s="23" t="str">
        <f>HYPERLINK("https://www.spark-marketing.ru/Card/Person/511897", "ООО ""СНАБЖЕНИЕ""")</f>
        <v>ООО "СНАБЖЕНИЕ"</v>
      </c>
      <c r="K899" s="24" t="s">
        <v>1957</v>
      </c>
      <c r="L899" s="28" t="s">
        <v>51</v>
      </c>
      <c r="M899" s="25">
        <v>503718.82</v>
      </c>
      <c r="N899" s="27">
        <v>0.15458596064280619</v>
      </c>
    </row>
    <row r="900" spans="1:14" x14ac:dyDescent="0.15">
      <c r="A900" s="23" t="str">
        <f>HYPERLINK("https://www.spark-marketing.ru/Card/Person/999589", "МКОУ ""МАРАКСИНСКАЯ ООШ""")</f>
        <v>МКОУ "МАРАКСИНСКАЯ ООШ"</v>
      </c>
      <c r="B900" s="24" t="s">
        <v>627</v>
      </c>
      <c r="C900" s="25">
        <v>560996.80000000005</v>
      </c>
      <c r="D900" s="22" t="s">
        <v>1958</v>
      </c>
      <c r="E900" s="22" t="s">
        <v>48</v>
      </c>
      <c r="F900" s="23" t="str">
        <f>HYPERLINK("https://www.spark-marketing.ru/Card/Lot/74131878", "Услуги по организации питания в школьной столовой обучающихся детей льготных категорий в МКОУ «Мараксинская ООШ»")</f>
        <v>Услуги по организации питания в школьной столовой обучающихся детей льготных категорий в МКОУ «Мараксинская ООШ»</v>
      </c>
      <c r="G900" s="22" t="s">
        <v>149</v>
      </c>
      <c r="H900" s="22" t="s">
        <v>149</v>
      </c>
      <c r="I900" s="26">
        <v>43740.609722222202</v>
      </c>
      <c r="J900" s="28" t="s">
        <v>51</v>
      </c>
      <c r="K900" s="28" t="s">
        <v>51</v>
      </c>
      <c r="L900" s="28" t="s">
        <v>51</v>
      </c>
      <c r="M900" s="28" t="s">
        <v>51</v>
      </c>
      <c r="N900" s="28" t="s">
        <v>51</v>
      </c>
    </row>
    <row r="901" spans="1:14" x14ac:dyDescent="0.15">
      <c r="A901" s="23" t="str">
        <f>HYPERLINK("https://www.spark-marketing.ru/Card/Person/4372366", "МУРМАНСКАЯ ОБЛАСТНАЯ ДУМА")</f>
        <v>МУРМАНСКАЯ ОБЛАСТНАЯ ДУМА</v>
      </c>
      <c r="B901" s="24" t="s">
        <v>338</v>
      </c>
      <c r="C901" s="25">
        <v>130000</v>
      </c>
      <c r="D901" s="22" t="s">
        <v>1959</v>
      </c>
      <c r="E901" s="22" t="s">
        <v>96</v>
      </c>
      <c r="F901" s="23" t="str">
        <f>HYPERLINK("https://www.spark-marketing.ru/Card/Lot/74128774", "Оказание услуг общественного питания с культурным обслуживанием при проведении торжественного приема, посвященного 25-летию со дня образования Арктической группы пограничных войск России")</f>
        <v>Оказание услуг общественного питания с культурным обслуживанием при проведении торжественного приема, посвященного 25-летию со дня образования Арктической группы пограничных войск России</v>
      </c>
      <c r="G901" s="22" t="s">
        <v>340</v>
      </c>
      <c r="H901" s="22" t="s">
        <v>341</v>
      </c>
      <c r="I901" s="26">
        <v>43740.596527777801</v>
      </c>
      <c r="J901" s="23" t="str">
        <f>HYPERLINK("https://www.spark-marketing.ru/Card/Person/373464", "АО ""ОТЕЛЬ ГУБЕРНСКИЙ""")</f>
        <v>АО "ОТЕЛЬ ГУБЕРНСКИЙ"</v>
      </c>
      <c r="K901" s="24" t="s">
        <v>1960</v>
      </c>
      <c r="L901" s="28" t="s">
        <v>51</v>
      </c>
      <c r="M901" s="28" t="s">
        <v>51</v>
      </c>
      <c r="N901" s="28" t="s">
        <v>51</v>
      </c>
    </row>
    <row r="902" spans="1:14" x14ac:dyDescent="0.15">
      <c r="A902" s="23" t="str">
        <f>HYPERLINK("https://www.spark-marketing.ru/Card/Person/1010014", "МОБУ ""СОШ № 1""")</f>
        <v>МОБУ "СОШ № 1"</v>
      </c>
      <c r="B902" s="24" t="s">
        <v>1961</v>
      </c>
      <c r="C902" s="25">
        <v>5422840.7199999997</v>
      </c>
      <c r="D902" s="22" t="s">
        <v>1962</v>
      </c>
      <c r="E902" s="22" t="s">
        <v>96</v>
      </c>
      <c r="F902" s="23" t="str">
        <f>HYPERLINK("https://www.spark-marketing.ru/Card/Lot/74134424", "ОКАЗАНИЕ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""СРЕДНЯЯ ОБЩЕОБРАЗОВАТЕЛЬНАЯ ШКОЛА № 1"" Г. КУДЫМКАРА НА БАЗЕ ШКОЛ...")</f>
        <v>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"СРЕДНЯЯ ОБЩЕОБРАЗОВАТЕЛЬНАЯ ШКОЛА № 1" Г. КУДЫМКАРА НА БАЗЕ ШКОЛ...</v>
      </c>
      <c r="G902" s="22" t="s">
        <v>153</v>
      </c>
      <c r="H902" s="22" t="s">
        <v>153</v>
      </c>
      <c r="I902" s="26">
        <v>43740.616666666698</v>
      </c>
      <c r="J902" s="28" t="s">
        <v>51</v>
      </c>
      <c r="K902" s="28" t="s">
        <v>51</v>
      </c>
      <c r="L902" s="28" t="s">
        <v>51</v>
      </c>
      <c r="M902" s="28" t="s">
        <v>51</v>
      </c>
      <c r="N902" s="28" t="s">
        <v>51</v>
      </c>
    </row>
    <row r="903" spans="1:14" ht="12.75" hidden="1" outlineLevel="1" x14ac:dyDescent="0.2">
      <c r="A903" s="23" t="str">
        <f>HYPERLINK("https://www.spark-marketing.ru/Card/Person/1010014", "МОБУ ""СОШ № 1""")</f>
        <v>МОБУ "СОШ № 1"</v>
      </c>
      <c r="B903" s="24" t="s">
        <v>1961</v>
      </c>
      <c r="C903" s="25">
        <v>5422840.7199999997</v>
      </c>
      <c r="D903" s="22" t="s">
        <v>1962</v>
      </c>
      <c r="E903" s="22" t="s">
        <v>96</v>
      </c>
      <c r="F903" s="23" t="str">
        <f>HYPERLINK("https://www.spark-marketing.ru/Card/Lot/74134424", "ОКАЗАНИЕ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""СРЕДНЯЯ ОБЩЕОБРАЗОВАТЕЛЬНАЯ ШКОЛА № 1"" Г. КУДЫМКАРА НА БАЗЕ ШКОЛ...")</f>
        <v>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"СРЕДНЯЯ ОБЩЕОБРАЗОВАТЕЛЬНАЯ ШКОЛА № 1" Г. КУДЫМКАРА НА БАЗЕ ШКОЛ...</v>
      </c>
      <c r="G903" s="22" t="s">
        <v>153</v>
      </c>
      <c r="H903" s="22" t="s">
        <v>153</v>
      </c>
      <c r="I903" s="26">
        <v>43740.616666666698</v>
      </c>
      <c r="J903" s="23" t="str">
        <f>HYPERLINK("https://www.spark-marketing.ru/Card/Person/61115", "Петрова Ирина Алексеевна")</f>
        <v>Петрова Ирина Алексеевна</v>
      </c>
      <c r="K903" s="24" t="s">
        <v>1963</v>
      </c>
      <c r="L903" s="22" t="s">
        <v>10</v>
      </c>
      <c r="M903" s="25">
        <v>3795988.72</v>
      </c>
      <c r="N903" s="27">
        <v>0.29999996016847791</v>
      </c>
    </row>
    <row r="904" spans="1:14" hidden="1" outlineLevel="1" x14ac:dyDescent="0.2">
      <c r="A904" s="23" t="str">
        <f>HYPERLINK("https://www.spark-marketing.ru/Card/Person/1010014", "МОБУ ""СОШ № 1""")</f>
        <v>МОБУ "СОШ № 1"</v>
      </c>
      <c r="B904" s="24" t="s">
        <v>1961</v>
      </c>
      <c r="C904" s="25">
        <v>5422840.7199999997</v>
      </c>
      <c r="D904" s="22" t="s">
        <v>1962</v>
      </c>
      <c r="E904" s="22" t="s">
        <v>96</v>
      </c>
      <c r="F904" s="23" t="str">
        <f>HYPERLINK("https://www.spark-marketing.ru/Card/Lot/74134424", "ОКАЗАНИЕ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""СРЕДНЯЯ ОБЩЕОБРАЗОВАТЕЛЬНАЯ ШКОЛА № 1"" Г. КУДЫМКАРА НА БАЗЕ ШКОЛ...")</f>
        <v>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"СРЕДНЯЯ ОБЩЕОБРАЗОВАТЕЛЬНАЯ ШКОЛА № 1" Г. КУДЫМКАРА НА БАЗЕ ШКОЛ...</v>
      </c>
      <c r="G904" s="22" t="s">
        <v>153</v>
      </c>
      <c r="H904" s="22" t="s">
        <v>153</v>
      </c>
      <c r="I904" s="26">
        <v>43740.616666666698</v>
      </c>
      <c r="J904" s="23" t="str">
        <f>HYPERLINK("https://www.spark-marketing.ru/Card/Person/2025480", "Четин Анатолий Николаевич")</f>
        <v>Четин Анатолий Николаевич</v>
      </c>
      <c r="K904" s="24" t="s">
        <v>1964</v>
      </c>
      <c r="L904" s="28" t="s">
        <v>51</v>
      </c>
      <c r="M904" s="25">
        <v>3823102.92</v>
      </c>
      <c r="N904" s="27">
        <v>0.29499996083233659</v>
      </c>
    </row>
    <row r="905" spans="1:14" x14ac:dyDescent="0.15">
      <c r="A905" s="23" t="str">
        <f>HYPERLINK("https://www.spark-marketing.ru/Card/Person/4903", "ГБУ ""МАЛЫЙ БИЗНЕС МОСКВЫ""")</f>
        <v>ГБУ "МАЛЫЙ БИЗНЕС МОСКВЫ"</v>
      </c>
      <c r="B905" s="24" t="s">
        <v>1965</v>
      </c>
      <c r="C905" s="25">
        <v>1663114.41</v>
      </c>
      <c r="D905" s="22" t="s">
        <v>1966</v>
      </c>
      <c r="E905" s="22" t="s">
        <v>1967</v>
      </c>
      <c r="F905" s="23" t="str">
        <f>HYPERLINK("https://www.spark-marketing.ru/Card/Lot/74133746", "Оказание услуг по размещению информационных материалов в сети точек общественного питания для нужд ГБУ ""Малый бизнес Москвы"" (среди СМП и СОНО)")</f>
        <v>Оказание услуг по размещению информационных материалов в сети точек общественного питания для нужд ГБУ "Малый бизнес Москвы" (среди СМП и СОНО)</v>
      </c>
      <c r="G905" s="22" t="s">
        <v>56</v>
      </c>
      <c r="H905" s="22" t="s">
        <v>56</v>
      </c>
      <c r="I905" s="26">
        <v>43740.59375</v>
      </c>
      <c r="J905" s="28" t="s">
        <v>51</v>
      </c>
      <c r="K905" s="28" t="s">
        <v>51</v>
      </c>
      <c r="L905" s="28" t="s">
        <v>51</v>
      </c>
      <c r="M905" s="28" t="s">
        <v>51</v>
      </c>
      <c r="N905" s="28" t="s">
        <v>51</v>
      </c>
    </row>
    <row r="906" spans="1:14" x14ac:dyDescent="0.15">
      <c r="A906" s="23" t="str">
        <f>HYPERLINK("https://www.spark-marketing.ru/Card/Person/6701618", "ГБУЗ ПК ""КФМЦ""")</f>
        <v>ГБУЗ ПК "КФМЦ"</v>
      </c>
      <c r="B906" s="24" t="s">
        <v>1839</v>
      </c>
      <c r="C906" s="25">
        <v>499840</v>
      </c>
      <c r="D906" s="22" t="s">
        <v>1968</v>
      </c>
      <c r="E906" s="22" t="s">
        <v>96</v>
      </c>
      <c r="F906" s="23" t="str">
        <f>HYPERLINK("https://www.spark-marketing.ru/Card/Lot/74130881", "Оказание услуг по организации лечебного питания (г. Краснокамск)")</f>
        <v>Оказание услуг по организации лечебного питания (г. Краснокамск)</v>
      </c>
      <c r="G906" s="22" t="s">
        <v>153</v>
      </c>
      <c r="H906" s="22" t="s">
        <v>153</v>
      </c>
      <c r="I906" s="26">
        <v>43740.582638888904</v>
      </c>
      <c r="J906" s="28" t="s">
        <v>51</v>
      </c>
      <c r="K906" s="28" t="s">
        <v>51</v>
      </c>
      <c r="L906" s="28" t="s">
        <v>51</v>
      </c>
      <c r="M906" s="28" t="s">
        <v>51</v>
      </c>
      <c r="N906" s="28" t="s">
        <v>51</v>
      </c>
    </row>
    <row r="907" spans="1:14" ht="12.75" hidden="1" outlineLevel="1" x14ac:dyDescent="0.2">
      <c r="A907" s="23" t="str">
        <f>HYPERLINK("https://www.spark-marketing.ru/Card/Person/6701618", "ГБУЗ ПК ""КФМЦ""")</f>
        <v>ГБУЗ ПК "КФМЦ"</v>
      </c>
      <c r="B907" s="24" t="s">
        <v>1839</v>
      </c>
      <c r="C907" s="25">
        <v>499840</v>
      </c>
      <c r="D907" s="22" t="s">
        <v>1968</v>
      </c>
      <c r="E907" s="22" t="s">
        <v>96</v>
      </c>
      <c r="F907" s="23" t="str">
        <f>HYPERLINK("https://www.spark-marketing.ru/Card/Lot/74130881", "Оказание услуг по организации лечебного питания (г. Краснокамск)")</f>
        <v>Оказание услуг по организации лечебного питания (г. Краснокамск)</v>
      </c>
      <c r="G907" s="22" t="s">
        <v>153</v>
      </c>
      <c r="H907" s="22" t="s">
        <v>153</v>
      </c>
      <c r="I907" s="26">
        <v>43740.582638888904</v>
      </c>
      <c r="J907" s="23" t="str">
        <f>HYPERLINK("https://www.spark-marketing.ru/Card/Person/245836", "ООО ""АМЕГА""")</f>
        <v>ООО "АМЕГА"</v>
      </c>
      <c r="K907" s="24" t="s">
        <v>1841</v>
      </c>
      <c r="L907" s="22" t="s">
        <v>10</v>
      </c>
      <c r="M907" s="25">
        <v>239242.95</v>
      </c>
      <c r="N907" s="27">
        <v>0.5213609354993598</v>
      </c>
    </row>
    <row r="908" spans="1:14" hidden="1" outlineLevel="1" x14ac:dyDescent="0.2">
      <c r="A908" s="23" t="str">
        <f>HYPERLINK("https://www.spark-marketing.ru/Card/Person/6701618", "ГБУЗ ПК ""КФМЦ""")</f>
        <v>ГБУЗ ПК "КФМЦ"</v>
      </c>
      <c r="B908" s="24" t="s">
        <v>1839</v>
      </c>
      <c r="C908" s="25">
        <v>499840</v>
      </c>
      <c r="D908" s="22" t="s">
        <v>1968</v>
      </c>
      <c r="E908" s="22" t="s">
        <v>96</v>
      </c>
      <c r="F908" s="23" t="str">
        <f>HYPERLINK("https://www.spark-marketing.ru/Card/Lot/74130881", "Оказание услуг по организации лечебного питания (г. Краснокамск)")</f>
        <v>Оказание услуг по организации лечебного питания (г. Краснокамск)</v>
      </c>
      <c r="G908" s="22" t="s">
        <v>153</v>
      </c>
      <c r="H908" s="22" t="s">
        <v>153</v>
      </c>
      <c r="I908" s="26">
        <v>43740.582638888904</v>
      </c>
      <c r="J908" s="23" t="str">
        <f>HYPERLINK("https://www.spark-marketing.ru/Card/Person/104060", "Маринкина Светлана Алексеевна")</f>
        <v>Маринкина Светлана Алексеевна</v>
      </c>
      <c r="K908" s="24" t="s">
        <v>1969</v>
      </c>
      <c r="L908" s="28" t="s">
        <v>51</v>
      </c>
      <c r="M908" s="25">
        <v>241742.15</v>
      </c>
      <c r="N908" s="27">
        <v>0.5163609354993598</v>
      </c>
    </row>
    <row r="909" spans="1:14" x14ac:dyDescent="0.15">
      <c r="A909" s="23" t="str">
        <f>HYPERLINK("https://www.spark-marketing.ru/Card/Person/24968", "УМВД РОССИИ ПО Г. КУРГАНУ")</f>
        <v>УМВД РОССИИ ПО Г. КУРГАНУ</v>
      </c>
      <c r="B909" s="24" t="s">
        <v>1970</v>
      </c>
      <c r="C909" s="25">
        <v>4255686.57</v>
      </c>
      <c r="D909" s="22" t="s">
        <v>1971</v>
      </c>
      <c r="E909" s="22" t="s">
        <v>96</v>
      </c>
      <c r="F909" s="23" t="str">
        <f>HYPERLINK("https://www.spark-marketing.ru/Card/Lot/74134168", "Оказание услуг по организации трёхразового горячего питания для спецконтингента, содержащегося в ИВС и СПСЛПАА УМВД России по г. Кургану")</f>
        <v>Оказание услуг по организации трёхразового горячего питания для спецконтингента, содержащегося в ИВС и СПСЛПАА УМВД России по г. Кургану</v>
      </c>
      <c r="G909" s="22" t="s">
        <v>1972</v>
      </c>
      <c r="H909" s="22" t="s">
        <v>1973</v>
      </c>
      <c r="I909" s="26">
        <v>43740.561805555597</v>
      </c>
      <c r="J909" s="28" t="s">
        <v>51</v>
      </c>
      <c r="K909" s="28" t="s">
        <v>51</v>
      </c>
      <c r="L909" s="28" t="s">
        <v>51</v>
      </c>
      <c r="M909" s="28" t="s">
        <v>51</v>
      </c>
      <c r="N909" s="28" t="s">
        <v>51</v>
      </c>
    </row>
    <row r="910" spans="1:14" hidden="1" outlineLevel="1" x14ac:dyDescent="0.2">
      <c r="A910" s="23" t="str">
        <f>HYPERLINK("https://www.spark-marketing.ru/Card/Person/24968", "УМВД РОССИИ ПО Г. КУРГАНУ")</f>
        <v>УМВД РОССИИ ПО Г. КУРГАНУ</v>
      </c>
      <c r="B910" s="24" t="s">
        <v>1970</v>
      </c>
      <c r="C910" s="25">
        <v>4255686.57</v>
      </c>
      <c r="D910" s="22" t="s">
        <v>1971</v>
      </c>
      <c r="E910" s="22" t="s">
        <v>96</v>
      </c>
      <c r="F910" s="23" t="str">
        <f>HYPERLINK("https://www.spark-marketing.ru/Card/Lot/74134168", "Оказание услуг по организации трёхразового горячего питания для спецконтингента, содержащегося в ИВС и СПСЛПАА УМВД России по г. Кургану")</f>
        <v>Оказание услуг по организации трёхразового горячего питания для спецконтингента, содержащегося в ИВС и СПСЛПАА УМВД России по г. Кургану</v>
      </c>
      <c r="G910" s="22" t="s">
        <v>1972</v>
      </c>
      <c r="H910" s="22" t="s">
        <v>1973</v>
      </c>
      <c r="I910" s="26">
        <v>43740.561805555597</v>
      </c>
      <c r="J910" s="23" t="str">
        <f>HYPERLINK("https://www.spark-marketing.ru/Card/Person/394857", "Даурцева Нина Александровна")</f>
        <v>Даурцева Нина Александровна</v>
      </c>
      <c r="K910" s="24" t="s">
        <v>1974</v>
      </c>
      <c r="L910" s="28" t="s">
        <v>51</v>
      </c>
      <c r="M910" s="25">
        <v>2872588.53</v>
      </c>
      <c r="N910" s="27">
        <v>0.32499997761818256</v>
      </c>
    </row>
    <row r="911" spans="1:14" ht="12.75" hidden="1" outlineLevel="1" x14ac:dyDescent="0.2">
      <c r="A911" s="23" t="str">
        <f>HYPERLINK("https://www.spark-marketing.ru/Card/Person/24968", "УМВД РОССИИ ПО Г. КУРГАНУ")</f>
        <v>УМВД РОССИИ ПО Г. КУРГАНУ</v>
      </c>
      <c r="B911" s="24" t="s">
        <v>1970</v>
      </c>
      <c r="C911" s="25">
        <v>4255686.57</v>
      </c>
      <c r="D911" s="22" t="s">
        <v>1971</v>
      </c>
      <c r="E911" s="22" t="s">
        <v>96</v>
      </c>
      <c r="F911" s="23" t="str">
        <f>HYPERLINK("https://www.spark-marketing.ru/Card/Lot/74134168", "Оказание услуг по организации трёхразового горячего питания для спецконтингента, содержащегося в ИВС и СПСЛПАА УМВД России по г. Кургану")</f>
        <v>Оказание услуг по организации трёхразового горячего питания для спецконтингента, содержащегося в ИВС и СПСЛПАА УМВД России по г. Кургану</v>
      </c>
      <c r="G911" s="22" t="s">
        <v>1972</v>
      </c>
      <c r="H911" s="22" t="s">
        <v>1973</v>
      </c>
      <c r="I911" s="26">
        <v>43740.561805555597</v>
      </c>
      <c r="J911" s="23" t="str">
        <f>HYPERLINK("https://www.spark-marketing.ru/Card/Person/4354246", "ООО ""ПТК ""НОВАЯ ЭРА""""")</f>
        <v>ООО "ПТК "НОВАЯ ЭРА""</v>
      </c>
      <c r="K911" s="24" t="s">
        <v>1975</v>
      </c>
      <c r="L911" s="22" t="s">
        <v>10</v>
      </c>
      <c r="M911" s="25">
        <v>2851310.1</v>
      </c>
      <c r="N911" s="27">
        <v>0.32999997694849037</v>
      </c>
    </row>
    <row r="912" spans="1:14" x14ac:dyDescent="0.15">
      <c r="A912" s="23" t="str">
        <f>HYPERLINK("https://www.spark-marketing.ru/Card/Person/134223", "МБДОУ ""ДЕТСКИЙ САД №8""")</f>
        <v>МБДОУ "ДЕТСКИЙ САД №8"</v>
      </c>
      <c r="B912" s="24" t="s">
        <v>1976</v>
      </c>
      <c r="C912" s="25">
        <v>16471474</v>
      </c>
      <c r="D912" s="22" t="s">
        <v>1977</v>
      </c>
      <c r="E912" s="22" t="s">
        <v>48</v>
      </c>
      <c r="F912" s="23" t="str">
        <f>HYPERLINK("https://www.spark-marketing.ru/Card/Lot/74134493",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12" s="22" t="s">
        <v>49</v>
      </c>
      <c r="H912" s="22" t="s">
        <v>301</v>
      </c>
      <c r="I912" s="26">
        <v>43740.558333333298</v>
      </c>
      <c r="J912" s="28" t="s">
        <v>51</v>
      </c>
      <c r="K912" s="28" t="s">
        <v>51</v>
      </c>
      <c r="L912" s="28" t="s">
        <v>51</v>
      </c>
      <c r="M912" s="28" t="s">
        <v>51</v>
      </c>
      <c r="N912" s="28" t="s">
        <v>51</v>
      </c>
    </row>
    <row r="913" spans="1:14" x14ac:dyDescent="0.15">
      <c r="A913" s="23" t="str">
        <f>HYPERLINK("https://www.spark-marketing.ru/Card/Person/1597485", "АО ""АТОМСПЕЦТРАНС""")</f>
        <v>АО "АТОМСПЕЦТРАНС"</v>
      </c>
      <c r="B913" s="24" t="s">
        <v>1978</v>
      </c>
      <c r="C913" s="25">
        <v>0</v>
      </c>
      <c r="D913" s="22" t="s">
        <v>1979</v>
      </c>
      <c r="E913" s="22" t="s">
        <v>52</v>
      </c>
      <c r="F913" s="23" t="str">
        <f>HYPERLINK("https://www.spark-marketing.ru/Card/Lot/74121876", "мониторинг цен в электронной форме на Оказание услуг по обеспечению работников Сибирского филиала лечебно-профилактическим питанием (ЛПП)")</f>
        <v>мониторинг цен в электронной форме на Оказание услуг по обеспечению работников Сибирского филиала лечебно-профилактическим питанием (ЛПП)</v>
      </c>
      <c r="G913" s="22" t="s">
        <v>56</v>
      </c>
      <c r="H913" s="22" t="s">
        <v>56</v>
      </c>
      <c r="I913" s="26">
        <v>43740.5015277778</v>
      </c>
      <c r="J913" s="28" t="s">
        <v>51</v>
      </c>
      <c r="K913" s="28" t="s">
        <v>51</v>
      </c>
      <c r="L913" s="28" t="s">
        <v>51</v>
      </c>
      <c r="M913" s="28" t="s">
        <v>51</v>
      </c>
      <c r="N913" s="28" t="s">
        <v>51</v>
      </c>
    </row>
    <row r="914" spans="1:14" x14ac:dyDescent="0.15">
      <c r="A914" s="23" t="str">
        <f>HYPERLINK("https://www.spark-marketing.ru/Card/Person/1597485", "АО ""АТОМСПЕЦТРАНС""")</f>
        <v>АО "АТОМСПЕЦТРАНС"</v>
      </c>
      <c r="B914" s="24" t="s">
        <v>1978</v>
      </c>
      <c r="C914" s="28" t="s">
        <v>51</v>
      </c>
      <c r="D914" s="22" t="s">
        <v>1980</v>
      </c>
      <c r="E914" s="22" t="s">
        <v>48</v>
      </c>
      <c r="F914" s="23" t="str">
        <f>HYPERLINK("https://www.spark-marketing.ru/Card/Lot/74125554", "Оказание услуг по обеспечению работников Сибирского филиала лечебно-профилактическим питанием (ЛПП)")</f>
        <v>Оказание услуг по обеспечению работников Сибирского филиала лечебно-профилактическим питанием (ЛПП)</v>
      </c>
      <c r="G914" s="22" t="s">
        <v>56</v>
      </c>
      <c r="H914" s="22" t="s">
        <v>56</v>
      </c>
      <c r="I914" s="26">
        <v>43740.501631944397</v>
      </c>
      <c r="J914" s="28" t="s">
        <v>51</v>
      </c>
      <c r="K914" s="28" t="s">
        <v>51</v>
      </c>
      <c r="L914" s="28" t="s">
        <v>51</v>
      </c>
      <c r="M914" s="28" t="s">
        <v>51</v>
      </c>
      <c r="N914" s="28" t="s">
        <v>51</v>
      </c>
    </row>
    <row r="915" spans="1:14" x14ac:dyDescent="0.15">
      <c r="A915" s="23" t="str">
        <f>HYPERLINK("https://www.spark-marketing.ru/Card/Person/4346304", "ФКУ ""ЦХИСО МВД ПО ЧЕЧЕНСКОЙ РЕСПУБЛИКЕ""")</f>
        <v>ФКУ "ЦХИСО МВД ПО ЧЕЧЕНСКОЙ РЕСПУБЛИКЕ"</v>
      </c>
      <c r="B915" s="24" t="s">
        <v>1981</v>
      </c>
      <c r="C915" s="25">
        <v>2255000</v>
      </c>
      <c r="D915" s="22" t="s">
        <v>1982</v>
      </c>
      <c r="E915" s="22" t="s">
        <v>96</v>
      </c>
      <c r="F915" s="23" t="str">
        <f>HYPERLINK("https://www.spark-marketing.ru/Card/Lot/74133978", "Организация ежедневного горячего питания, в том числе в выходные и праздничные дни, лиц содержащихся в Центре временного содержания иностранных граждан при МВД по Чеченской Республике")</f>
        <v>Организация ежедневного горячего питания, в том числе в выходные и праздничные дни, лиц содержащихся в Центре временного содержания иностранных граждан при МВД по Чеченской Республике</v>
      </c>
      <c r="G915" s="22" t="s">
        <v>1983</v>
      </c>
      <c r="H915" s="22" t="s">
        <v>1983</v>
      </c>
      <c r="I915" s="26">
        <v>43740.508333333302</v>
      </c>
      <c r="J915" s="28" t="s">
        <v>51</v>
      </c>
      <c r="K915" s="28" t="s">
        <v>51</v>
      </c>
      <c r="L915" s="28" t="s">
        <v>51</v>
      </c>
      <c r="M915" s="28" t="s">
        <v>51</v>
      </c>
      <c r="N915" s="28" t="s">
        <v>51</v>
      </c>
    </row>
    <row r="916" spans="1:14" x14ac:dyDescent="0.15">
      <c r="A916" s="23" t="str">
        <f>HYPERLINK("https://www.spark-marketing.ru/Card/Person/1597485", "АО ""АТОМСПЕЦТРАНС""")</f>
        <v>АО "АТОМСПЕЦТРАНС"</v>
      </c>
      <c r="B916" s="24" t="s">
        <v>1978</v>
      </c>
      <c r="C916" s="25">
        <v>0</v>
      </c>
      <c r="D916" s="22" t="s">
        <v>1984</v>
      </c>
      <c r="E916" s="22" t="s">
        <v>52</v>
      </c>
      <c r="F916" s="23" t="str">
        <f>HYPERLINK("https://www.spark-marketing.ru/Card/Lot/74121819", "мониторинг цен в электронной форме на Оказание услуг по обеспечению работников Сибирского филиала Автомобильной колонны №3 лечебно-профилактическим питанием (ЛПП)")</f>
        <v>мониторинг цен в электронной форме на Оказание услуг по обеспечению работников Сибирского филиала Автомобильной колонны №3 лечебно-профилактическим питанием (ЛПП)</v>
      </c>
      <c r="G916" s="22" t="s">
        <v>56</v>
      </c>
      <c r="H916" s="22" t="s">
        <v>56</v>
      </c>
      <c r="I916" s="26">
        <v>43740.522557870398</v>
      </c>
      <c r="J916" s="28" t="s">
        <v>51</v>
      </c>
      <c r="K916" s="28" t="s">
        <v>51</v>
      </c>
      <c r="L916" s="28" t="s">
        <v>51</v>
      </c>
      <c r="M916" s="28" t="s">
        <v>51</v>
      </c>
      <c r="N916" s="28" t="s">
        <v>51</v>
      </c>
    </row>
    <row r="917" spans="1:14" x14ac:dyDescent="0.15">
      <c r="A917" s="23" t="str">
        <f>HYPERLINK("https://www.spark-marketing.ru/Card/Person/1597485", "АО ""АТОМСПЕЦТРАНС""")</f>
        <v>АО "АТОМСПЕЦТРАНС"</v>
      </c>
      <c r="B917" s="24" t="s">
        <v>1978</v>
      </c>
      <c r="C917" s="28" t="s">
        <v>51</v>
      </c>
      <c r="D917" s="22" t="s">
        <v>1985</v>
      </c>
      <c r="E917" s="22" t="s">
        <v>48</v>
      </c>
      <c r="F917" s="23" t="str">
        <f>HYPERLINK("https://www.spark-marketing.ru/Card/Lot/74125591", "Оказание услуг по обеспечению работников Сибирского филиала Автомобильной колонны №3 лечебно-профилактическим питанием (ЛПП)")</f>
        <v>Оказание услуг по обеспечению работников Сибирского филиала Автомобильной колонны №3 лечебно-профилактическим питанием (ЛПП)</v>
      </c>
      <c r="G917" s="22" t="s">
        <v>56</v>
      </c>
      <c r="H917" s="22" t="s">
        <v>56</v>
      </c>
      <c r="I917" s="26">
        <v>43740.522650462997</v>
      </c>
      <c r="J917" s="28" t="s">
        <v>51</v>
      </c>
      <c r="K917" s="28" t="s">
        <v>51</v>
      </c>
      <c r="L917" s="28" t="s">
        <v>51</v>
      </c>
      <c r="M917" s="28" t="s">
        <v>51</v>
      </c>
      <c r="N917" s="28" t="s">
        <v>51</v>
      </c>
    </row>
    <row r="918" spans="1:14" x14ac:dyDescent="0.15">
      <c r="A918" s="23" t="str">
        <f>HYPERLINK("https://www.spark-marketing.ru/Card/Person/4346304", "ФКУ ""ЦХИСО МВД ПО ЧЕЧЕНСКОЙ РЕСПУБЛИКЕ""")</f>
        <v>ФКУ "ЦХИСО МВД ПО ЧЕЧЕНСКОЙ РЕСПУБЛИКЕ"</v>
      </c>
      <c r="B918" s="24" t="s">
        <v>1981</v>
      </c>
      <c r="C918" s="25">
        <v>980000</v>
      </c>
      <c r="D918" s="22" t="s">
        <v>1986</v>
      </c>
      <c r="E918" s="22" t="s">
        <v>96</v>
      </c>
      <c r="F918" s="23" t="str">
        <f>HYPERLINK("https://www.spark-marketing.ru/Card/Lot/74133039", "Организация ежедневного горячего питания, в том числе в выходные и праздничные дни, лиц содержащихся в специальном приемнике для содержания лиц арестованных в административном порядке при МВД по Чеченской Республике")</f>
        <v>Организация ежедневного горячего питания, в том числе в выходные и праздничные дни, лиц содержащихся в специальном приемнике для содержания лиц арестованных в административном порядке при МВД по Чеченской Республике</v>
      </c>
      <c r="G918" s="22" t="s">
        <v>1983</v>
      </c>
      <c r="H918" s="22" t="s">
        <v>1983</v>
      </c>
      <c r="I918" s="26">
        <v>43740.480555555601</v>
      </c>
      <c r="J918" s="28" t="s">
        <v>51</v>
      </c>
      <c r="K918" s="28" t="s">
        <v>51</v>
      </c>
      <c r="L918" s="28" t="s">
        <v>51</v>
      </c>
      <c r="M918" s="28" t="s">
        <v>51</v>
      </c>
      <c r="N918" s="28" t="s">
        <v>51</v>
      </c>
    </row>
    <row r="919" spans="1:14" x14ac:dyDescent="0.15">
      <c r="A919" s="23" t="str">
        <f>HYPERLINK("https://www.spark-marketing.ru/Card/Person/1760056", "ГКУ РС(Я) ""ЦИКОСХ""")</f>
        <v>ГКУ РС(Я) "ЦИКОСХ"</v>
      </c>
      <c r="B919" s="24" t="s">
        <v>1987</v>
      </c>
      <c r="C919" s="25">
        <v>50600</v>
      </c>
      <c r="D919" s="22" t="s">
        <v>1988</v>
      </c>
      <c r="E919" s="22" t="s">
        <v>96</v>
      </c>
      <c r="F919" s="23" t="str">
        <f>HYPERLINK("https://www.spark-marketing.ru/Card/Lot/74122174", "оказание услуги организации питания участников семинаров, совещаний, круглых столов")</f>
        <v>оказание услуги организации питания участников семинаров, совещаний, круглых столов</v>
      </c>
      <c r="G919" s="22" t="s">
        <v>241</v>
      </c>
      <c r="H919" s="22" t="s">
        <v>242</v>
      </c>
      <c r="I919" s="26">
        <v>43740.717361111099</v>
      </c>
      <c r="J919" s="28" t="s">
        <v>51</v>
      </c>
      <c r="K919" s="28" t="s">
        <v>51</v>
      </c>
      <c r="L919" s="28" t="s">
        <v>51</v>
      </c>
      <c r="M919" s="28" t="s">
        <v>51</v>
      </c>
      <c r="N919" s="28" t="s">
        <v>51</v>
      </c>
    </row>
    <row r="920" spans="1:14" x14ac:dyDescent="0.15">
      <c r="A920" s="23" t="str">
        <f>HYPERLINK("https://www.spark-marketing.ru/Card/Person/638852", "АППАРАТ ГУБЕРНАТОРА ЮГРЫ")</f>
        <v>АППАРАТ ГУБЕРНАТОРА ЮГРЫ</v>
      </c>
      <c r="B920" s="24" t="s">
        <v>1669</v>
      </c>
      <c r="C920" s="25">
        <v>495000</v>
      </c>
      <c r="D920" s="22" t="s">
        <v>1989</v>
      </c>
      <c r="E920" s="22" t="s">
        <v>96</v>
      </c>
      <c r="F920" s="23" t="str">
        <f>HYPERLINK("https://www.spark-marketing.ru/Card/Lot/74130918", "Оказание услуг общественного питания")</f>
        <v>Оказание услуг общественного питания</v>
      </c>
      <c r="G920" s="22" t="s">
        <v>97</v>
      </c>
      <c r="H920" s="22" t="s">
        <v>98</v>
      </c>
      <c r="I920" s="26">
        <v>43740.497222222199</v>
      </c>
      <c r="J920" s="28" t="s">
        <v>51</v>
      </c>
      <c r="K920" s="28" t="s">
        <v>51</v>
      </c>
      <c r="L920" s="28" t="s">
        <v>51</v>
      </c>
      <c r="M920" s="28" t="s">
        <v>51</v>
      </c>
      <c r="N920" s="28" t="s">
        <v>51</v>
      </c>
    </row>
    <row r="921" spans="1:14" hidden="1" outlineLevel="1" x14ac:dyDescent="0.2">
      <c r="A921" s="23" t="str">
        <f>HYPERLINK("https://www.spark-marketing.ru/Card/Person/638852", "АППАРАТ ГУБЕРНАТОРА ЮГРЫ")</f>
        <v>АППАРАТ ГУБЕРНАТОРА ЮГРЫ</v>
      </c>
      <c r="B921" s="24" t="s">
        <v>1669</v>
      </c>
      <c r="C921" s="25">
        <v>495000</v>
      </c>
      <c r="D921" s="22" t="s">
        <v>1989</v>
      </c>
      <c r="E921" s="22" t="s">
        <v>96</v>
      </c>
      <c r="F921" s="23" t="str">
        <f>HYPERLINK("https://www.spark-marketing.ru/Card/Lot/74130918", "Оказание услуг общественного питания")</f>
        <v>Оказание услуг общественного питания</v>
      </c>
      <c r="G921" s="22" t="s">
        <v>97</v>
      </c>
      <c r="H921" s="22" t="s">
        <v>98</v>
      </c>
      <c r="I921" s="26">
        <v>43740.497222222199</v>
      </c>
      <c r="J921" s="23" t="str">
        <f>HYPERLINK("https://www.spark-marketing.ru/Card/Person/935294", "ООО ""ПАРК ОТЕЛЬ""")</f>
        <v>ООО "ПАРК ОТЕЛЬ"</v>
      </c>
      <c r="K921" s="24" t="s">
        <v>1671</v>
      </c>
      <c r="L921" s="28" t="s">
        <v>51</v>
      </c>
      <c r="M921" s="25">
        <v>482625</v>
      </c>
      <c r="N921" s="27">
        <v>2.5000000000000001E-2</v>
      </c>
    </row>
    <row r="922" spans="1:14" ht="12.75" hidden="1" outlineLevel="1" x14ac:dyDescent="0.2">
      <c r="A922" s="23" t="str">
        <f>HYPERLINK("https://www.spark-marketing.ru/Card/Person/638852", "АППАРАТ ГУБЕРНАТОРА ЮГРЫ")</f>
        <v>АППАРАТ ГУБЕРНАТОРА ЮГРЫ</v>
      </c>
      <c r="B922" s="24" t="s">
        <v>1669</v>
      </c>
      <c r="C922" s="25">
        <v>495000</v>
      </c>
      <c r="D922" s="22" t="s">
        <v>1989</v>
      </c>
      <c r="E922" s="22" t="s">
        <v>96</v>
      </c>
      <c r="F922" s="23" t="str">
        <f>HYPERLINK("https://www.spark-marketing.ru/Card/Lot/74130918", "Оказание услуг общественного питания")</f>
        <v>Оказание услуг общественного питания</v>
      </c>
      <c r="G922" s="22" t="s">
        <v>97</v>
      </c>
      <c r="H922" s="22" t="s">
        <v>98</v>
      </c>
      <c r="I922" s="26">
        <v>43740.497222222199</v>
      </c>
      <c r="J922" s="23" t="str">
        <f>HYPERLINK("https://www.spark-marketing.ru/Card/Person/1663543", "ООО ""РЕСТОРАН ""НА СЕМИ ХОЛМАХ""")</f>
        <v>ООО "РЕСТОРАН "НА СЕМИ ХОЛМАХ"</v>
      </c>
      <c r="K922" s="24" t="s">
        <v>1990</v>
      </c>
      <c r="L922" s="22" t="s">
        <v>10</v>
      </c>
      <c r="M922" s="25">
        <v>480150</v>
      </c>
      <c r="N922" s="27">
        <v>0.03</v>
      </c>
    </row>
    <row r="923" spans="1:14" x14ac:dyDescent="0.15">
      <c r="A923" s="23" t="str">
        <f>HYPERLINK("https://www.spark-marketing.ru/Card/Person/21039", "ФКУ ""ЦХИСО ГУ МВД РОССИИ ПО САРАТОВСКОЙ ОБЛАСТИ""")</f>
        <v>ФКУ "ЦХИСО ГУ МВД РОССИИ ПО САРАТОВСКОЙ ОБЛАСТИ"</v>
      </c>
      <c r="B923" s="24" t="s">
        <v>1991</v>
      </c>
      <c r="C923" s="25">
        <v>1456565.03</v>
      </c>
      <c r="D923" s="22" t="s">
        <v>1992</v>
      </c>
      <c r="E923" s="22" t="s">
        <v>48</v>
      </c>
      <c r="F923" s="23" t="str">
        <f>HYPERLINK("https://www.spark-marketing.ru/Card/Lot/74133632", "Оказание услуг по организации общественного питания")</f>
        <v>Оказание услуг по организации общественного питания</v>
      </c>
      <c r="G923" s="22" t="s">
        <v>351</v>
      </c>
      <c r="H923" s="22" t="s">
        <v>351</v>
      </c>
      <c r="I923" s="26">
        <v>43740.497222222199</v>
      </c>
      <c r="J923" s="23" t="str">
        <f>HYPERLINK("https://www.spark-marketing.ru/Card/Person/104393", "Максимов Александр Владимирович")</f>
        <v>Максимов Александр Владимирович</v>
      </c>
      <c r="K923" s="24" t="s">
        <v>1993</v>
      </c>
      <c r="L923" s="22" t="s">
        <v>10</v>
      </c>
      <c r="M923" s="28" t="s">
        <v>51</v>
      </c>
      <c r="N923" s="28" t="s">
        <v>51</v>
      </c>
    </row>
    <row r="924" spans="1:14" x14ac:dyDescent="0.15">
      <c r="A924" s="23" t="str">
        <f>HYPERLINK("https://www.spark-marketing.ru/Card/Person/4348477", "ООО ИК ""СИБИНТЕК""")</f>
        <v>ООО ИК "СИБИНТЕК"</v>
      </c>
      <c r="B924" s="24" t="s">
        <v>1994</v>
      </c>
      <c r="C924" s="25">
        <v>1104220</v>
      </c>
      <c r="D924" s="22" t="s">
        <v>1995</v>
      </c>
      <c r="E924" s="22" t="s">
        <v>52</v>
      </c>
      <c r="F924" s="23" t="str">
        <f>HYPERLINK("https://www.spark-marketing.ru/Card/Lot/74117033", "Оказание услуг по ремонту источников бесперебойного питания")</f>
        <v>Оказание услуг по ремонту источников бесперебойного питания</v>
      </c>
      <c r="G924" s="22" t="s">
        <v>56</v>
      </c>
      <c r="H924" s="22" t="s">
        <v>56</v>
      </c>
      <c r="I924" s="26">
        <v>43740.491666666698</v>
      </c>
      <c r="J924" s="28" t="s">
        <v>51</v>
      </c>
      <c r="K924" s="28" t="s">
        <v>51</v>
      </c>
      <c r="L924" s="28" t="s">
        <v>51</v>
      </c>
      <c r="M924" s="28" t="s">
        <v>51</v>
      </c>
      <c r="N924" s="28" t="s">
        <v>51</v>
      </c>
    </row>
    <row r="925" spans="1:14" x14ac:dyDescent="0.15">
      <c r="A925" s="23" t="str">
        <f>HYPERLINK("https://www.spark-marketing.ru/Card/Person/45928", "ГАУЗ РТ ""БСМП""")</f>
        <v>ГАУЗ РТ "БСМП"</v>
      </c>
      <c r="B925" s="24" t="s">
        <v>1996</v>
      </c>
      <c r="C925" s="25">
        <v>4476630</v>
      </c>
      <c r="D925" s="22" t="s">
        <v>1997</v>
      </c>
      <c r="E925" s="22" t="s">
        <v>48</v>
      </c>
      <c r="F925" s="23" t="str">
        <f>HYPERLINK("https://www.spark-marketing.ru/Card/Lot/74134205", "Оказание услуг по организации готового лечебного питания для стационарных больных ГАУЗ РТ «Больница скорой медицинской помощи» в 2019 году.")</f>
        <v>Оказание услуг по организации готового лечебного питания для стационарных больных ГАУЗ РТ «Больница скорой медицинской помощи» в 2019 году.</v>
      </c>
      <c r="G925" s="22" t="s">
        <v>217</v>
      </c>
      <c r="H925" s="22" t="s">
        <v>1998</v>
      </c>
      <c r="I925" s="26">
        <v>43740.457638888904</v>
      </c>
      <c r="J925" s="23" t="str">
        <f>HYPERLINK("https://www.spark-marketing.ru/Card/Person/234213", "ООО ""НИГМА""")</f>
        <v>ООО "НИГМА"</v>
      </c>
      <c r="K925" s="24" t="s">
        <v>1999</v>
      </c>
      <c r="L925" s="22" t="s">
        <v>10</v>
      </c>
      <c r="M925" s="28" t="s">
        <v>51</v>
      </c>
      <c r="N925" s="28" t="s">
        <v>51</v>
      </c>
    </row>
    <row r="926" spans="1:14" x14ac:dyDescent="0.15">
      <c r="A926" s="23" t="str">
        <f>HYPERLINK("https://www.spark-marketing.ru/Card/Person/638852", "АППАРАТ ГУБЕРНАТОРА ЮГРЫ")</f>
        <v>АППАРАТ ГУБЕРНАТОРА ЮГРЫ</v>
      </c>
      <c r="B926" s="24" t="s">
        <v>1669</v>
      </c>
      <c r="C926" s="25">
        <v>494010</v>
      </c>
      <c r="D926" s="22" t="s">
        <v>2000</v>
      </c>
      <c r="E926" s="22" t="s">
        <v>96</v>
      </c>
      <c r="F926" s="23" t="str">
        <f>HYPERLINK("https://www.spark-marketing.ru/Card/Lot/74130909", "Оказание услуг общественного питания")</f>
        <v>Оказание услуг общественного питания</v>
      </c>
      <c r="G926" s="22" t="s">
        <v>97</v>
      </c>
      <c r="H926" s="22" t="s">
        <v>98</v>
      </c>
      <c r="I926" s="26">
        <v>43740.4506944444</v>
      </c>
      <c r="J926" s="28" t="s">
        <v>51</v>
      </c>
      <c r="K926" s="28" t="s">
        <v>51</v>
      </c>
      <c r="L926" s="28" t="s">
        <v>51</v>
      </c>
      <c r="M926" s="28" t="s">
        <v>51</v>
      </c>
      <c r="N926" s="28" t="s">
        <v>51</v>
      </c>
    </row>
    <row r="927" spans="1:14" x14ac:dyDescent="0.15">
      <c r="A927" s="23" t="str">
        <f>HYPERLINK("https://www.spark-marketing.ru/Card/Person/638852", "АППАРАТ ГУБЕРНАТОРА ЮГРЫ")</f>
        <v>АППАРАТ ГУБЕРНАТОРА ЮГРЫ</v>
      </c>
      <c r="B927" s="24" t="s">
        <v>1669</v>
      </c>
      <c r="C927" s="25">
        <v>495000</v>
      </c>
      <c r="D927" s="22" t="s">
        <v>2001</v>
      </c>
      <c r="E927" s="22" t="s">
        <v>96</v>
      </c>
      <c r="F927" s="23" t="str">
        <f>HYPERLINK("https://www.spark-marketing.ru/Card/Lot/74130919", "Оказание услуг общественного питания")</f>
        <v>Оказание услуг общественного питания</v>
      </c>
      <c r="G927" s="22" t="s">
        <v>97</v>
      </c>
      <c r="H927" s="22" t="s">
        <v>98</v>
      </c>
      <c r="I927" s="26">
        <v>43740.423611111102</v>
      </c>
      <c r="J927" s="28" t="s">
        <v>51</v>
      </c>
      <c r="K927" s="28" t="s">
        <v>51</v>
      </c>
      <c r="L927" s="28" t="s">
        <v>51</v>
      </c>
      <c r="M927" s="28" t="s">
        <v>51</v>
      </c>
      <c r="N927" s="28" t="s">
        <v>51</v>
      </c>
    </row>
    <row r="928" spans="1:14" x14ac:dyDescent="0.15">
      <c r="A928" s="23" t="str">
        <f>HYPERLINK("https://www.spark-marketing.ru/Card/Person/120349", "ОМВД РОССИИ ПО ТАЛИЦКОМУ РАЙОНУ")</f>
        <v>ОМВД РОССИИ ПО ТАЛИЦКОМУ РАЙОНУ</v>
      </c>
      <c r="B928" s="24" t="s">
        <v>2002</v>
      </c>
      <c r="C928" s="25">
        <v>376000</v>
      </c>
      <c r="D928" s="22" t="s">
        <v>2003</v>
      </c>
      <c r="E928" s="22" t="s">
        <v>48</v>
      </c>
      <c r="F928" s="23" t="str">
        <f>HYPERLINK("https://www.spark-marketing.ru/Card/Lot/74129743", "организация питания лиц, содержащихся в ИВС")</f>
        <v>организация питания лиц, содержащихся в ИВС</v>
      </c>
      <c r="G928" s="22" t="s">
        <v>174</v>
      </c>
      <c r="H928" s="22" t="s">
        <v>174</v>
      </c>
      <c r="I928" s="26">
        <v>43740.410416666702</v>
      </c>
      <c r="J928" s="23" t="str">
        <f>HYPERLINK("https://www.spark-marketing.ru/Card/Person/568204", "Бирюкова Елена Геннадьевна")</f>
        <v>Бирюкова Елена Геннадьевна</v>
      </c>
      <c r="K928" s="24" t="s">
        <v>2004</v>
      </c>
      <c r="L928" s="22" t="s">
        <v>10</v>
      </c>
      <c r="M928" s="28" t="s">
        <v>51</v>
      </c>
      <c r="N928" s="28" t="s">
        <v>51</v>
      </c>
    </row>
    <row r="929" spans="1:14" x14ac:dyDescent="0.15">
      <c r="A929" s="23" t="str">
        <f>HYPERLINK("https://www.spark-marketing.ru/Card/Person/99924", "АДМИНИСТРАЦИЯ ИСКИТИМСКОГО РАЙОНА НОВОСИБИРСКОЙ ОБЛАСТИ")</f>
        <v>АДМИНИСТРАЦИЯ ИСКИТИМСКОГО РАЙОНА НОВОСИБИРСКОЙ ОБЛАСТИ</v>
      </c>
      <c r="B929" s="24" t="s">
        <v>272</v>
      </c>
      <c r="C929" s="25">
        <v>254405</v>
      </c>
      <c r="D929" s="22" t="s">
        <v>2005</v>
      </c>
      <c r="E929" s="22" t="s">
        <v>48</v>
      </c>
      <c r="F929" s="23" t="str">
        <f>HYPERLINK("https://www.spark-marketing.ru/Card/Lot/74128999", "Оказание услуг по организации питания участников праздника "" День работника сельского хозяйства и перерабатывающей промышленности""")</f>
        <v>Оказание услуг по организации питания участников праздника " День работника сельского хозяйства и перерабатывающей промышленности"</v>
      </c>
      <c r="G929" s="22" t="s">
        <v>195</v>
      </c>
      <c r="H929" s="22" t="s">
        <v>274</v>
      </c>
      <c r="I929" s="26">
        <v>43740.402083333298</v>
      </c>
      <c r="J929" s="23" t="str">
        <f>HYPERLINK("https://www.spark-marketing.ru/Card/Person/413289", "ООО ""АВТОФУД""")</f>
        <v>ООО "АВТОФУД"</v>
      </c>
      <c r="K929" s="24" t="s">
        <v>2006</v>
      </c>
      <c r="L929" s="22" t="s">
        <v>10</v>
      </c>
      <c r="M929" s="28" t="s">
        <v>51</v>
      </c>
      <c r="N929" s="28" t="s">
        <v>51</v>
      </c>
    </row>
    <row r="930" spans="1:14" x14ac:dyDescent="0.15">
      <c r="A930" s="23" t="str">
        <f>HYPERLINK("https://www.spark-marketing.ru/Card/Person/120349", "ОМВД РОССИИ ПО ТАЛИЦКОМУ РАЙОНУ")</f>
        <v>ОМВД РОССИИ ПО ТАЛИЦКОМУ РАЙОНУ</v>
      </c>
      <c r="B930" s="24" t="s">
        <v>2002</v>
      </c>
      <c r="C930" s="25">
        <v>700000</v>
      </c>
      <c r="D930" s="22" t="s">
        <v>2007</v>
      </c>
      <c r="E930" s="22" t="s">
        <v>48</v>
      </c>
      <c r="F930" s="23" t="str">
        <f>HYPERLINK("https://www.spark-marketing.ru/Card/Lot/74132816", "услуги по обеспечению питанием лиц, находящихся в ИВС")</f>
        <v>услуги по обеспечению питанием лиц, находящихся в ИВС</v>
      </c>
      <c r="G930" s="22" t="s">
        <v>174</v>
      </c>
      <c r="H930" s="22" t="s">
        <v>174</v>
      </c>
      <c r="I930" s="26">
        <v>43740.411805555603</v>
      </c>
      <c r="J930" s="23" t="str">
        <f>HYPERLINK("https://www.spark-marketing.ru/Card/Person/568204", "Бирюкова Елена Геннадьевна")</f>
        <v>Бирюкова Елена Геннадьевна</v>
      </c>
      <c r="K930" s="24" t="s">
        <v>2004</v>
      </c>
      <c r="L930" s="22" t="s">
        <v>10</v>
      </c>
      <c r="M930" s="28" t="s">
        <v>51</v>
      </c>
      <c r="N930" s="28" t="s">
        <v>51</v>
      </c>
    </row>
    <row r="931" spans="1:14" x14ac:dyDescent="0.15">
      <c r="A931" s="23" t="str">
        <f>HYPERLINK("https://www.spark-marketing.ru/Card/Person/1013194", "ОМВД РОССИИ ПО НЕВЕЛЬСКОМУ ГОРОДСКОМУ ОКРУГУ")</f>
        <v>ОМВД РОССИИ ПО НЕВЕЛЬСКОМУ ГОРОДСКОМУ ОКРУГУ</v>
      </c>
      <c r="B931" s="24" t="s">
        <v>2008</v>
      </c>
      <c r="C931" s="25">
        <v>956000</v>
      </c>
      <c r="D931" s="22" t="s">
        <v>2009</v>
      </c>
      <c r="E931" s="22" t="s">
        <v>48</v>
      </c>
      <c r="F931" s="23" t="str">
        <f>HYPERLINK("https://www.spark-marketing.ru/Card/Lot/74133186", "оказание услуг по организации питания лиц содержащихся в ИВС и СПЗЛ")</f>
        <v>оказание услуг по организации питания лиц содержащихся в ИВС и СПЗЛ</v>
      </c>
      <c r="G931" s="22" t="s">
        <v>260</v>
      </c>
      <c r="H931" s="22" t="s">
        <v>260</v>
      </c>
      <c r="I931" s="26">
        <v>43740.387499999997</v>
      </c>
      <c r="J931" s="28" t="s">
        <v>51</v>
      </c>
      <c r="K931" s="28" t="s">
        <v>51</v>
      </c>
      <c r="L931" s="28" t="s">
        <v>51</v>
      </c>
      <c r="M931" s="28" t="s">
        <v>51</v>
      </c>
      <c r="N931" s="28" t="s">
        <v>51</v>
      </c>
    </row>
    <row r="932" spans="1:14" x14ac:dyDescent="0.15">
      <c r="A932" s="23" t="str">
        <f>HYPERLINK("https://www.spark-marketing.ru/Card/Person/2964", "ГУЗ ""НГКБ""")</f>
        <v>ГУЗ "НГКБ"</v>
      </c>
      <c r="B932" s="24" t="s">
        <v>2010</v>
      </c>
      <c r="C932" s="25">
        <v>71408071</v>
      </c>
      <c r="D932" s="22" t="s">
        <v>2011</v>
      </c>
      <c r="E932" s="22" t="s">
        <v>48</v>
      </c>
      <c r="F932" s="23" t="str">
        <f>HYPERLINK("https://www.spark-marketing.ru/Card/Lot/74134754", "Оказание услуг по организации общественного питания в ГУЗ «Новомосковская городская клиническая больница»")</f>
        <v>Оказание услуг по организации общественного питания в ГУЗ «Новомосковская городская клиническая больница»</v>
      </c>
      <c r="G932" s="22" t="s">
        <v>68</v>
      </c>
      <c r="H932" s="22" t="s">
        <v>2012</v>
      </c>
      <c r="I932" s="26">
        <v>43740.399305555598</v>
      </c>
      <c r="J932" s="28" t="s">
        <v>51</v>
      </c>
      <c r="K932" s="28" t="s">
        <v>51</v>
      </c>
      <c r="L932" s="28" t="s">
        <v>51</v>
      </c>
      <c r="M932" s="28" t="s">
        <v>51</v>
      </c>
      <c r="N932" s="28" t="s">
        <v>51</v>
      </c>
    </row>
    <row r="933" spans="1:14" x14ac:dyDescent="0.15">
      <c r="A933" s="23" t="str">
        <f>HYPERLINK("https://www.spark-marketing.ru/Card/Person/4654", "ГБУЗ НСО ГНКПБ №3")</f>
        <v>ГБУЗ НСО ГНКПБ №3</v>
      </c>
      <c r="B933" s="24" t="s">
        <v>2013</v>
      </c>
      <c r="C933" s="25">
        <v>191666.67</v>
      </c>
      <c r="D933" s="22" t="s">
        <v>2014</v>
      </c>
      <c r="E933" s="22" t="s">
        <v>603</v>
      </c>
      <c r="F933" s="23" t="str">
        <f>HYPERLINK("https://www.spark-marketing.ru/Card/Lot/74125961", "Оказание услуг по подготовке проектной документации на подключение резервного питания группы электроприемников к существующей ДГУ 75 кВт ГБУЗ НСО ГНКПБ № 3")</f>
        <v>Оказание услуг по подготовке проектной документации на подключение резервного питания группы электроприемников к существующей ДГУ 75 кВт ГБУЗ НСО ГНКПБ № 3</v>
      </c>
      <c r="G933" s="22" t="s">
        <v>195</v>
      </c>
      <c r="H933" s="22" t="s">
        <v>196</v>
      </c>
      <c r="I933" s="26">
        <v>43740.403472222199</v>
      </c>
      <c r="J933" s="23" t="str">
        <f>HYPERLINK("https://www.spark-marketing.ru/Card/Person/6452162", "ООО ""ПРОЕКТ-М""")</f>
        <v>ООО "ПРОЕКТ-М"</v>
      </c>
      <c r="K933" s="24" t="s">
        <v>2015</v>
      </c>
      <c r="L933" s="28" t="s">
        <v>51</v>
      </c>
      <c r="M933" s="28" t="s">
        <v>51</v>
      </c>
      <c r="N933" s="28" t="s">
        <v>51</v>
      </c>
    </row>
    <row r="934" spans="1:14" ht="12.75" hidden="1" outlineLevel="1" x14ac:dyDescent="0.2">
      <c r="A934" s="23" t="str">
        <f>HYPERLINK("https://www.spark-marketing.ru/Card/Person/4654", "ГБУЗ НСО ГНКПБ №3")</f>
        <v>ГБУЗ НСО ГНКПБ №3</v>
      </c>
      <c r="B934" s="24" t="s">
        <v>2013</v>
      </c>
      <c r="C934" s="25">
        <v>191666.67</v>
      </c>
      <c r="D934" s="22" t="s">
        <v>2014</v>
      </c>
      <c r="E934" s="22" t="s">
        <v>603</v>
      </c>
      <c r="F934" s="23" t="str">
        <f>HYPERLINK("https://www.spark-marketing.ru/Card/Lot/74125961", "Оказание услуг по подготовке проектной документации на подключение резервного питания группы электроприемников к существующей ДГУ 75 кВт ГБУЗ НСО ГНКПБ № 3")</f>
        <v>Оказание услуг по подготовке проектной документации на подключение резервного питания группы электроприемников к существующей ДГУ 75 кВт ГБУЗ НСО ГНКПБ № 3</v>
      </c>
      <c r="G934" s="22" t="s">
        <v>195</v>
      </c>
      <c r="H934" s="22" t="s">
        <v>196</v>
      </c>
      <c r="I934" s="26">
        <v>43740.403472222199</v>
      </c>
      <c r="J934" s="23" t="str">
        <f>HYPERLINK("https://www.spark-marketing.ru/Card/Person/6452162", "ООО ""ПРОЕКТ-М""")</f>
        <v>ООО "ПРОЕКТ-М"</v>
      </c>
      <c r="K934" s="24" t="s">
        <v>2015</v>
      </c>
      <c r="L934" s="22" t="s">
        <v>10</v>
      </c>
      <c r="M934" s="25">
        <v>190708.33</v>
      </c>
      <c r="N934" s="27">
        <v>5.0000346956515706E-3</v>
      </c>
    </row>
    <row r="935" spans="1:14" x14ac:dyDescent="0.15">
      <c r="A935" s="23" t="str">
        <f>HYPERLINK("https://www.spark-marketing.ru/Card/Person/24968", "УМВД РОССИИ ПО Г. КУРГАНУ")</f>
        <v>УМВД РОССИИ ПО Г. КУРГАНУ</v>
      </c>
      <c r="B935" s="24" t="s">
        <v>1970</v>
      </c>
      <c r="C935" s="25">
        <v>952765.65</v>
      </c>
      <c r="D935" s="22" t="s">
        <v>2016</v>
      </c>
      <c r="E935" s="22" t="s">
        <v>96</v>
      </c>
      <c r="F935" s="23" t="str">
        <f>HYPERLINK("https://www.spark-marketing.ru/Card/Lot/74133184", "Оказание услуг по организации трехразового горячего питания для спецконтингента содержащихся в СПСЛПАА и ИВС УМВД России по г. Кургану.")</f>
        <v>Оказание услуг по организации трехразового горячего питания для спецконтингента содержащихся в СПСЛПАА и ИВС УМВД России по г. Кургану.</v>
      </c>
      <c r="G935" s="22" t="s">
        <v>1972</v>
      </c>
      <c r="H935" s="22" t="s">
        <v>1973</v>
      </c>
      <c r="I935" s="26">
        <v>43740.405555555597</v>
      </c>
      <c r="J935" s="28" t="s">
        <v>51</v>
      </c>
      <c r="K935" s="28" t="s">
        <v>51</v>
      </c>
      <c r="L935" s="28" t="s">
        <v>51</v>
      </c>
      <c r="M935" s="28" t="s">
        <v>51</v>
      </c>
      <c r="N935" s="28" t="s">
        <v>51</v>
      </c>
    </row>
    <row r="936" spans="1:14" hidden="1" outlineLevel="1" x14ac:dyDescent="0.2">
      <c r="A936" s="23" t="str">
        <f>HYPERLINK("https://www.spark-marketing.ru/Card/Person/24968", "УМВД РОССИИ ПО Г. КУРГАНУ")</f>
        <v>УМВД РОССИИ ПО Г. КУРГАНУ</v>
      </c>
      <c r="B936" s="24" t="s">
        <v>1970</v>
      </c>
      <c r="C936" s="25">
        <v>952765.65</v>
      </c>
      <c r="D936" s="22" t="s">
        <v>2016</v>
      </c>
      <c r="E936" s="22" t="s">
        <v>96</v>
      </c>
      <c r="F936" s="23" t="str">
        <f>HYPERLINK("https://www.spark-marketing.ru/Card/Lot/74133184", "Оказание услуг по организации трехразового горячего питания для спецконтингента содержащихся в СПСЛПАА и ИВС УМВД России по г. Кургану.")</f>
        <v>Оказание услуг по организации трехразового горячего питания для спецконтингента содержащихся в СПСЛПАА и ИВС УМВД России по г. Кургану.</v>
      </c>
      <c r="G936" s="22" t="s">
        <v>1972</v>
      </c>
      <c r="H936" s="22" t="s">
        <v>1973</v>
      </c>
      <c r="I936" s="26">
        <v>43740.405555555597</v>
      </c>
      <c r="J936" s="23" t="str">
        <f>HYPERLINK("https://www.spark-marketing.ru/Card/Person/394857", "Даурцева Нина Александровна")</f>
        <v>Даурцева Нина Александровна</v>
      </c>
      <c r="K936" s="24" t="s">
        <v>1974</v>
      </c>
      <c r="L936" s="28" t="s">
        <v>51</v>
      </c>
      <c r="M936" s="25">
        <v>490476.96</v>
      </c>
      <c r="N936" s="27">
        <v>0.48520713356951944</v>
      </c>
    </row>
    <row r="937" spans="1:14" ht="12.75" hidden="1" outlineLevel="1" x14ac:dyDescent="0.2">
      <c r="A937" s="23" t="str">
        <f>HYPERLINK("https://www.spark-marketing.ru/Card/Person/24968", "УМВД РОССИИ ПО Г. КУРГАНУ")</f>
        <v>УМВД РОССИИ ПО Г. КУРГАНУ</v>
      </c>
      <c r="B937" s="24" t="s">
        <v>1970</v>
      </c>
      <c r="C937" s="25">
        <v>952765.65</v>
      </c>
      <c r="D937" s="22" t="s">
        <v>2016</v>
      </c>
      <c r="E937" s="22" t="s">
        <v>96</v>
      </c>
      <c r="F937" s="23" t="str">
        <f>HYPERLINK("https://www.spark-marketing.ru/Card/Lot/74133184", "Оказание услуг по организации трехразового горячего питания для спецконтингента содержащихся в СПСЛПАА и ИВС УМВД России по г. Кургану.")</f>
        <v>Оказание услуг по организации трехразового горячего питания для спецконтингента содержащихся в СПСЛПАА и ИВС УМВД России по г. Кургану.</v>
      </c>
      <c r="G937" s="22" t="s">
        <v>1972</v>
      </c>
      <c r="H937" s="22" t="s">
        <v>1973</v>
      </c>
      <c r="I937" s="26">
        <v>43740.405555555597</v>
      </c>
      <c r="J937" s="23" t="str">
        <f>HYPERLINK("https://www.spark-marketing.ru/Card/Person/4354246", "ООО ""ПТК ""НОВАЯ ЭРА""""")</f>
        <v>ООО "ПТК "НОВАЯ ЭРА""</v>
      </c>
      <c r="K937" s="24" t="s">
        <v>1975</v>
      </c>
      <c r="L937" s="22" t="s">
        <v>10</v>
      </c>
      <c r="M937" s="25">
        <v>485713.13</v>
      </c>
      <c r="N937" s="27">
        <v>0.49020713540627753</v>
      </c>
    </row>
    <row r="938" spans="1:14" x14ac:dyDescent="0.15">
      <c r="A938" s="23" t="str">
        <f>HYPERLINK("https://www.spark-marketing.ru/Card/Person/120349", "ОМВД РОССИИ ПО ТАЛИЦКОМУ РАЙОНУ")</f>
        <v>ОМВД РОССИИ ПО ТАЛИЦКОМУ РАЙОНУ</v>
      </c>
      <c r="B938" s="24" t="s">
        <v>2002</v>
      </c>
      <c r="C938" s="25">
        <v>700000</v>
      </c>
      <c r="D938" s="22" t="s">
        <v>2017</v>
      </c>
      <c r="E938" s="22" t="s">
        <v>48</v>
      </c>
      <c r="F938" s="23" t="str">
        <f>HYPERLINK("https://www.spark-marketing.ru/Card/Lot/74132815", "услуги по обеспечению питанием лиц, находящихся в ИВС")</f>
        <v>услуги по обеспечению питанием лиц, находящихся в ИВС</v>
      </c>
      <c r="G938" s="22" t="s">
        <v>174</v>
      </c>
      <c r="H938" s="22" t="s">
        <v>174</v>
      </c>
      <c r="I938" s="26">
        <v>43740.411111111098</v>
      </c>
      <c r="J938" s="23" t="str">
        <f>HYPERLINK("https://www.spark-marketing.ru/Card/Person/568204", "Бирюкова Елена Геннадьевна")</f>
        <v>Бирюкова Елена Геннадьевна</v>
      </c>
      <c r="K938" s="24" t="s">
        <v>2004</v>
      </c>
      <c r="L938" s="22" t="s">
        <v>10</v>
      </c>
      <c r="M938" s="28" t="s">
        <v>51</v>
      </c>
      <c r="N938" s="28" t="s">
        <v>51</v>
      </c>
    </row>
    <row r="939" spans="1:14" x14ac:dyDescent="0.15">
      <c r="A939" s="23" t="str">
        <f>HYPERLINK("https://www.spark-marketing.ru/Card/Person/1013194", "ОМВД РОССИИ ПО НЕВЕЛЬСКОМУ ГОРОДСКОМУ ОКРУГУ")</f>
        <v>ОМВД РОССИИ ПО НЕВЕЛЬСКОМУ ГОРОДСКОМУ ОКРУГУ</v>
      </c>
      <c r="B939" s="24" t="s">
        <v>2008</v>
      </c>
      <c r="C939" s="25">
        <v>956000</v>
      </c>
      <c r="D939" s="22" t="s">
        <v>2018</v>
      </c>
      <c r="E939" s="22" t="s">
        <v>48</v>
      </c>
      <c r="F939" s="23" t="str">
        <f>HYPERLINK("https://www.spark-marketing.ru/Card/Lot/74133185", "оказание услуг по организации питания лиц содержащихся в ИВС и СПЗЛ")</f>
        <v>оказание услуг по организации питания лиц содержащихся в ИВС и СПЗЛ</v>
      </c>
      <c r="G939" s="22" t="s">
        <v>260</v>
      </c>
      <c r="H939" s="22" t="s">
        <v>260</v>
      </c>
      <c r="I939" s="26">
        <v>43740.3881944444</v>
      </c>
      <c r="J939" s="28" t="s">
        <v>51</v>
      </c>
      <c r="K939" s="28" t="s">
        <v>51</v>
      </c>
      <c r="L939" s="28" t="s">
        <v>51</v>
      </c>
      <c r="M939" s="28" t="s">
        <v>51</v>
      </c>
      <c r="N939" s="28" t="s">
        <v>51</v>
      </c>
    </row>
    <row r="940" spans="1:14" x14ac:dyDescent="0.15">
      <c r="A940" s="23" t="str">
        <f>HYPERLINK("https://www.spark-marketing.ru/Card/Person/123686", "МДОУ ДСКВ № 14 ""ЖУРАВУШКА""")</f>
        <v>МДОУ ДСКВ № 14 "ЖУРАВУШКА"</v>
      </c>
      <c r="B940" s="24" t="s">
        <v>734</v>
      </c>
      <c r="C940" s="25">
        <v>3756538</v>
      </c>
      <c r="D940" s="22" t="s">
        <v>2019</v>
      </c>
      <c r="E940" s="22" t="s">
        <v>48</v>
      </c>
      <c r="F940" s="23" t="str">
        <f>HYPERLINK("https://www.spark-marketing.ru/Card/Lot/74134144", "Оказание услуги по приготовлению и организации рационального горячего питания воспитанников МДОУ ДСКВ №14 Журавушка"" в 2020-2021 годах")</f>
        <v>Оказание услуги по приготовлению и организации рационального горячего питания воспитанников МДОУ ДСКВ №14 Журавушка" в 2020-2021 годах</v>
      </c>
      <c r="G940" s="22" t="s">
        <v>49</v>
      </c>
      <c r="H940" s="22" t="s">
        <v>49</v>
      </c>
      <c r="I940" s="26">
        <v>43740.371527777803</v>
      </c>
      <c r="J940" s="28" t="s">
        <v>51</v>
      </c>
      <c r="K940" s="28" t="s">
        <v>51</v>
      </c>
      <c r="L940" s="28" t="s">
        <v>51</v>
      </c>
      <c r="M940" s="28" t="s">
        <v>51</v>
      </c>
      <c r="N940" s="28" t="s">
        <v>51</v>
      </c>
    </row>
    <row r="941" spans="1:14" x14ac:dyDescent="0.15">
      <c r="A941" s="23" t="str">
        <f>HYPERLINK("https://www.spark-marketing.ru/Card/Person/1072105", "ОМВД РОССИИ ПО НИКОЛЬСКОМУ РАЙОНУ")</f>
        <v>ОМВД РОССИИ ПО НИКОЛЬСКОМУ РАЙОНУ</v>
      </c>
      <c r="B941" s="24" t="s">
        <v>2020</v>
      </c>
      <c r="C941" s="25">
        <v>649980</v>
      </c>
      <c r="D941" s="22" t="s">
        <v>2021</v>
      </c>
      <c r="E941" s="22" t="s">
        <v>96</v>
      </c>
      <c r="F941" s="23" t="str">
        <f>HYPERLINK("https://www.spark-marketing.ru/Card/Lot/74132103", "Оказание услуг по организации трехразового горячего питания для лиц, находящихся в ИВС")</f>
        <v>Оказание услуг по организации трехразового горячего питания для лиц, находящихся в ИВС</v>
      </c>
      <c r="G941" s="22" t="s">
        <v>503</v>
      </c>
      <c r="H941" s="22" t="s">
        <v>188</v>
      </c>
      <c r="I941" s="26">
        <v>43740.353472222203</v>
      </c>
      <c r="J941" s="23" t="str">
        <f>HYPERLINK("https://www.spark-marketing.ru/Card/Person/522826", "ПО ""ОБЩЕПИТ""")</f>
        <v>ПО "ОБЩЕПИТ"</v>
      </c>
      <c r="K941" s="24" t="s">
        <v>2022</v>
      </c>
      <c r="L941" s="22" t="s">
        <v>10</v>
      </c>
      <c r="M941" s="28" t="s">
        <v>51</v>
      </c>
      <c r="N941" s="28" t="s">
        <v>51</v>
      </c>
    </row>
    <row r="942" spans="1:14" x14ac:dyDescent="0.15">
      <c r="A942" s="23" t="str">
        <f>HYPERLINK("https://www.spark-marketing.ru/Card/Person/145680", "УМВД РОССИИ ПО Г. ТАМБОВУ")</f>
        <v>УМВД РОССИИ ПО Г. ТАМБОВУ</v>
      </c>
      <c r="B942" s="24" t="s">
        <v>2023</v>
      </c>
      <c r="C942" s="25">
        <v>588318.35</v>
      </c>
      <c r="D942" s="22" t="s">
        <v>2024</v>
      </c>
      <c r="E942" s="22" t="s">
        <v>48</v>
      </c>
      <c r="F942" s="23" t="str">
        <f>HYPERLINK("https://www.spark-marketing.ru/Card/Lot/74131997", "Оказание услуг по питанию лиц, содержащихся в ИВС, спецприемнике и камерах административных задержанных УМВД России по г. Тамбову")</f>
        <v>Оказание услуг по питанию лиц, содержащихся в ИВС, спецприемнике и камерах административных задержанных УМВД России по г. Тамбову</v>
      </c>
      <c r="G942" s="22" t="s">
        <v>1370</v>
      </c>
      <c r="H942" s="22" t="s">
        <v>2025</v>
      </c>
      <c r="I942" s="26">
        <v>43740.363194444399</v>
      </c>
      <c r="J942" s="23" t="str">
        <f>HYPERLINK("https://www.spark-marketing.ru/Card/Person/146147", "ООО ""КОБАЛЬТ""")</f>
        <v>ООО "КОБАЛЬТ"</v>
      </c>
      <c r="K942" s="24" t="s">
        <v>2026</v>
      </c>
      <c r="L942" s="22" t="s">
        <v>10</v>
      </c>
      <c r="M942" s="28" t="s">
        <v>51</v>
      </c>
      <c r="N942" s="28" t="s">
        <v>51</v>
      </c>
    </row>
    <row r="943" spans="1:14" x14ac:dyDescent="0.15">
      <c r="A943" s="23" t="str">
        <f>HYPERLINK("https://www.spark-marketing.ru/Card/Person/56959", "ОТДЕЛ МВД РОССИИ ПО Г. ГОРНО-АЛТАЙСКУ")</f>
        <v>ОТДЕЛ МВД РОССИИ ПО Г. ГОРНО-АЛТАЙСКУ</v>
      </c>
      <c r="B943" s="24" t="s">
        <v>2027</v>
      </c>
      <c r="C943" s="25">
        <v>1124500</v>
      </c>
      <c r="D943" s="22" t="s">
        <v>2028</v>
      </c>
      <c r="E943" s="22" t="s">
        <v>96</v>
      </c>
      <c r="F943" s="23" t="str">
        <f>HYPERLINK("https://www.spark-marketing.ru/Card/Lot/74133517", "Оказание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Горно-Алтайску")</f>
        <v>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</v>
      </c>
      <c r="G943" s="22" t="s">
        <v>1141</v>
      </c>
      <c r="H943" s="22" t="s">
        <v>1142</v>
      </c>
      <c r="I943" s="26">
        <v>43740.354166666701</v>
      </c>
      <c r="J943" s="28" t="s">
        <v>51</v>
      </c>
      <c r="K943" s="28" t="s">
        <v>51</v>
      </c>
      <c r="L943" s="28" t="s">
        <v>51</v>
      </c>
      <c r="M943" s="28" t="s">
        <v>51</v>
      </c>
      <c r="N943" s="28" t="s">
        <v>51</v>
      </c>
    </row>
    <row r="944" spans="1:14" hidden="1" outlineLevel="1" x14ac:dyDescent="0.2">
      <c r="A944" s="23" t="str">
        <f>HYPERLINK("https://www.spark-marketing.ru/Card/Person/56959", "ОТДЕЛ МВД РОССИИ ПО Г. ГОРНО-АЛТАЙСКУ")</f>
        <v>ОТДЕЛ МВД РОССИИ ПО Г. ГОРНО-АЛТАЙСКУ</v>
      </c>
      <c r="B944" s="24" t="s">
        <v>2027</v>
      </c>
      <c r="C944" s="25">
        <v>1124500</v>
      </c>
      <c r="D944" s="22" t="s">
        <v>2028</v>
      </c>
      <c r="E944" s="22" t="s">
        <v>96</v>
      </c>
      <c r="F944" s="23" t="str">
        <f>HYPERLINK("https://www.spark-marketing.ru/Card/Lot/74133517", "Оказание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Горно-Алтайску")</f>
        <v>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</v>
      </c>
      <c r="G944" s="22" t="s">
        <v>1141</v>
      </c>
      <c r="H944" s="22" t="s">
        <v>1142</v>
      </c>
      <c r="I944" s="26">
        <v>43740.354166666701</v>
      </c>
      <c r="J944" s="23" t="str">
        <f>HYPERLINK("https://www.spark-marketing.ru/Card/Person/4952148", "Тектиев Эрбол Байрамович")</f>
        <v>Тектиев Эрбол Байрамович</v>
      </c>
      <c r="K944" s="24" t="s">
        <v>2029</v>
      </c>
      <c r="L944" s="28" t="s">
        <v>51</v>
      </c>
      <c r="M944" s="25">
        <v>449800</v>
      </c>
      <c r="N944" s="27">
        <v>0.6</v>
      </c>
    </row>
    <row r="945" spans="1:14" ht="12.75" hidden="1" outlineLevel="1" x14ac:dyDescent="0.2">
      <c r="A945" s="23" t="str">
        <f>HYPERLINK("https://www.spark-marketing.ru/Card/Person/56959", "ОТДЕЛ МВД РОССИИ ПО Г. ГОРНО-АЛТАЙСКУ")</f>
        <v>ОТДЕЛ МВД РОССИИ ПО Г. ГОРНО-АЛТАЙСКУ</v>
      </c>
      <c r="B945" s="24" t="s">
        <v>2027</v>
      </c>
      <c r="C945" s="25">
        <v>1124500</v>
      </c>
      <c r="D945" s="22" t="s">
        <v>2028</v>
      </c>
      <c r="E945" s="22" t="s">
        <v>96</v>
      </c>
      <c r="F945" s="23" t="str">
        <f>HYPERLINK("https://www.spark-marketing.ru/Card/Lot/74133517", "Оказание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Горно-Алтайску")</f>
        <v>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</v>
      </c>
      <c r="G945" s="22" t="s">
        <v>1141</v>
      </c>
      <c r="H945" s="22" t="s">
        <v>1142</v>
      </c>
      <c r="I945" s="26">
        <v>43740.354166666701</v>
      </c>
      <c r="J945" s="23" t="str">
        <f>HYPERLINK("https://www.spark-marketing.ru/Card/Person/1646238", "ООО ""ЧЕЙНЕ""")</f>
        <v>ООО "ЧЕЙНЕ"</v>
      </c>
      <c r="K945" s="24" t="s">
        <v>2030</v>
      </c>
      <c r="L945" s="22" t="s">
        <v>10</v>
      </c>
      <c r="M945" s="25">
        <v>449800</v>
      </c>
      <c r="N945" s="27">
        <v>0.6</v>
      </c>
    </row>
    <row r="946" spans="1:14" x14ac:dyDescent="0.15">
      <c r="A946" s="23" t="str">
        <f>HYPERLINK("https://www.spark-marketing.ru/Card/Person/1059682", "МДОУ ДСКВ № 11 ""УЛЫБКА""")</f>
        <v>МДОУ ДСКВ № 11 "УЛЫБКА"</v>
      </c>
      <c r="B946" s="24" t="s">
        <v>2031</v>
      </c>
      <c r="C946" s="25">
        <v>7829746</v>
      </c>
      <c r="D946" s="22" t="s">
        <v>2032</v>
      </c>
      <c r="E946" s="22" t="s">
        <v>48</v>
      </c>
      <c r="F946" s="23" t="str">
        <f>HYPERLINK("https://www.spark-marketing.ru/Card/Lot/74134578", "Оказание услуги по приготовлению и организации рационального горячего питания воспитанников МДОУ ДСКВ №11 ""Улыбка"" в 2020-2021 годах")</f>
        <v>Оказание услуги по приготовлению и организации рационального горячего питания воспитанников МДОУ ДСКВ №11 "Улыбка" в 2020-2021 годах</v>
      </c>
      <c r="G946" s="22" t="s">
        <v>49</v>
      </c>
      <c r="H946" s="22" t="s">
        <v>49</v>
      </c>
      <c r="I946" s="26">
        <v>43740.371527777803</v>
      </c>
      <c r="J946" s="28" t="s">
        <v>51</v>
      </c>
      <c r="K946" s="28" t="s">
        <v>51</v>
      </c>
      <c r="L946" s="28" t="s">
        <v>51</v>
      </c>
      <c r="M946" s="28" t="s">
        <v>51</v>
      </c>
      <c r="N946" s="28" t="s">
        <v>51</v>
      </c>
    </row>
    <row r="947" spans="1:14" x14ac:dyDescent="0.15">
      <c r="A947" s="23" t="str">
        <f>HYPERLINK("https://www.spark-marketing.ru/Card/Person/56959", "ОТДЕЛ МВД РОССИИ ПО Г. ГОРНО-АЛТАЙСКУ")</f>
        <v>ОТДЕЛ МВД РОССИИ ПО Г. ГОРНО-АЛТАЙСКУ</v>
      </c>
      <c r="B947" s="24" t="s">
        <v>2027</v>
      </c>
      <c r="C947" s="25">
        <v>957000</v>
      </c>
      <c r="D947" s="22" t="s">
        <v>2033</v>
      </c>
      <c r="E947" s="22" t="s">
        <v>96</v>
      </c>
      <c r="F947" s="23" t="str">
        <f>HYPERLINK("https://www.spark-marketing.ru/Card/Lot/74133210", "Оказание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Горно-Алтайску")</f>
        <v>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</v>
      </c>
      <c r="G947" s="22" t="s">
        <v>1141</v>
      </c>
      <c r="H947" s="22" t="s">
        <v>1142</v>
      </c>
      <c r="I947" s="26">
        <v>43740.354166666701</v>
      </c>
      <c r="J947" s="28" t="s">
        <v>51</v>
      </c>
      <c r="K947" s="28" t="s">
        <v>51</v>
      </c>
      <c r="L947" s="28" t="s">
        <v>51</v>
      </c>
      <c r="M947" s="28" t="s">
        <v>51</v>
      </c>
      <c r="N947" s="28" t="s">
        <v>51</v>
      </c>
    </row>
    <row r="948" spans="1:14" hidden="1" outlineLevel="1" x14ac:dyDescent="0.2">
      <c r="A948" s="23" t="str">
        <f>HYPERLINK("https://www.spark-marketing.ru/Card/Person/56959", "ОТДЕЛ МВД РОССИИ ПО Г. ГОРНО-АЛТАЙСКУ")</f>
        <v>ОТДЕЛ МВД РОССИИ ПО Г. ГОРНО-АЛТАЙСКУ</v>
      </c>
      <c r="B948" s="24" t="s">
        <v>2027</v>
      </c>
      <c r="C948" s="25">
        <v>957000</v>
      </c>
      <c r="D948" s="22" t="s">
        <v>2033</v>
      </c>
      <c r="E948" s="22" t="s">
        <v>96</v>
      </c>
      <c r="F948" s="23" t="str">
        <f>HYPERLINK("https://www.spark-marketing.ru/Card/Lot/74133210", "Оказание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Горно-Алтайску")</f>
        <v>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</v>
      </c>
      <c r="G948" s="22" t="s">
        <v>1141</v>
      </c>
      <c r="H948" s="22" t="s">
        <v>1142</v>
      </c>
      <c r="I948" s="26">
        <v>43740.354166666701</v>
      </c>
      <c r="J948" s="23" t="str">
        <f>HYPERLINK("https://www.spark-marketing.ru/Card/Person/4952148", "Тектиев Эрбол Байрамович")</f>
        <v>Тектиев Эрбол Байрамович</v>
      </c>
      <c r="K948" s="24" t="s">
        <v>2029</v>
      </c>
      <c r="L948" s="28" t="s">
        <v>51</v>
      </c>
      <c r="M948" s="25">
        <v>478500</v>
      </c>
      <c r="N948" s="27">
        <v>0.5</v>
      </c>
    </row>
    <row r="949" spans="1:14" ht="12.75" hidden="1" outlineLevel="1" x14ac:dyDescent="0.2">
      <c r="A949" s="23" t="str">
        <f>HYPERLINK("https://www.spark-marketing.ru/Card/Person/56959", "ОТДЕЛ МВД РОССИИ ПО Г. ГОРНО-АЛТАЙСКУ")</f>
        <v>ОТДЕЛ МВД РОССИИ ПО Г. ГОРНО-АЛТАЙСКУ</v>
      </c>
      <c r="B949" s="24" t="s">
        <v>2027</v>
      </c>
      <c r="C949" s="25">
        <v>957000</v>
      </c>
      <c r="D949" s="22" t="s">
        <v>2033</v>
      </c>
      <c r="E949" s="22" t="s">
        <v>96</v>
      </c>
      <c r="F949" s="23" t="str">
        <f>HYPERLINK("https://www.spark-marketing.ru/Card/Lot/74133210", "Оказание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Горно-Алтайску")</f>
        <v>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</v>
      </c>
      <c r="G949" s="22" t="s">
        <v>1141</v>
      </c>
      <c r="H949" s="22" t="s">
        <v>1142</v>
      </c>
      <c r="I949" s="26">
        <v>43740.354166666701</v>
      </c>
      <c r="J949" s="23" t="str">
        <f>HYPERLINK("https://www.spark-marketing.ru/Card/Person/1646238", "ООО ""ЧЕЙНЕ""")</f>
        <v>ООО "ЧЕЙНЕ"</v>
      </c>
      <c r="K949" s="24" t="s">
        <v>2030</v>
      </c>
      <c r="L949" s="22" t="s">
        <v>10</v>
      </c>
      <c r="M949" s="25">
        <v>478500</v>
      </c>
      <c r="N949" s="27">
        <v>0.5</v>
      </c>
    </row>
    <row r="950" spans="1:14" x14ac:dyDescent="0.15">
      <c r="A950" s="23" t="str">
        <f>HYPERLINK("https://www.spark-marketing.ru/Card/Person/4434470", "БМАОУ СОШ №2")</f>
        <v>БМАОУ СОШ №2</v>
      </c>
      <c r="B950" s="24" t="s">
        <v>558</v>
      </c>
      <c r="C950" s="25">
        <v>750000</v>
      </c>
      <c r="D950" s="22" t="s">
        <v>2034</v>
      </c>
      <c r="E950" s="22" t="s">
        <v>362</v>
      </c>
      <c r="F950" s="23" t="str">
        <f>HYPERLINK("https://www.spark-marketing.ru/Card/Lot/74120741", "на оказание услуг по организации питания обучающихся Березовского муниципального автономного общеобразовательного учреждения «Средняя общеобразовательная школа № 2»")</f>
        <v>на оказание услуг по организации питания обучающихся Березовского муниципального автономного общеобразовательного учреждения «Средняя общеобразовательная школа № 2»</v>
      </c>
      <c r="G950" s="22" t="s">
        <v>174</v>
      </c>
      <c r="H950" s="22" t="s">
        <v>174</v>
      </c>
      <c r="I950" s="26">
        <v>43740</v>
      </c>
      <c r="J950" s="28" t="s">
        <v>51</v>
      </c>
      <c r="K950" s="28" t="s">
        <v>51</v>
      </c>
      <c r="L950" s="28" t="s">
        <v>51</v>
      </c>
      <c r="M950" s="28" t="s">
        <v>51</v>
      </c>
      <c r="N950" s="28" t="s">
        <v>51</v>
      </c>
    </row>
    <row r="951" spans="1:14" x14ac:dyDescent="0.2">
      <c r="A951" s="23" t="str">
        <f>HYPERLINK("https://www.spark-marketing.ru/Card/Person/6441551", "МАОУ СОШ № 34")</f>
        <v>МАОУ СОШ № 34</v>
      </c>
      <c r="B951" s="24" t="s">
        <v>2035</v>
      </c>
      <c r="C951" s="25">
        <v>734960</v>
      </c>
      <c r="D951" s="22" t="s">
        <v>2036</v>
      </c>
      <c r="E951" s="22" t="s">
        <v>362</v>
      </c>
      <c r="F951" s="23" t="str">
        <f>HYPERLINK("https://www.spark-marketing.ru/Card/Lot/74121514", "Услуги по организации горячего питания учащихся")</f>
        <v>Услуги по организации горячего питания учащихся</v>
      </c>
      <c r="G951" s="22" t="s">
        <v>104</v>
      </c>
      <c r="H951" s="22" t="s">
        <v>1689</v>
      </c>
      <c r="I951" s="26">
        <v>43740</v>
      </c>
      <c r="J951" s="28" t="s">
        <v>51</v>
      </c>
      <c r="K951" s="28" t="s">
        <v>51</v>
      </c>
      <c r="L951" s="22" t="s">
        <v>10</v>
      </c>
      <c r="M951" s="25">
        <v>734960</v>
      </c>
      <c r="N951" s="27">
        <v>0</v>
      </c>
    </row>
    <row r="952" spans="1:14" x14ac:dyDescent="0.15">
      <c r="A952" s="23" t="str">
        <f>HYPERLINK("https://www.spark-marketing.ru/Card/Person/1759562", "МАДОУ ДЕТСКИЙ САД № 37")</f>
        <v>МАДОУ ДЕТСКИЙ САД № 37</v>
      </c>
      <c r="B952" s="24" t="s">
        <v>2037</v>
      </c>
      <c r="C952" s="25">
        <v>218328</v>
      </c>
      <c r="D952" s="22" t="s">
        <v>2038</v>
      </c>
      <c r="E952" s="22" t="s">
        <v>1412</v>
      </c>
      <c r="F952" s="23" t="str">
        <f>HYPERLINK("https://www.spark-marketing.ru/Card/Lot/74120603", "Услуги организации питания")</f>
        <v>Услуги организации питания</v>
      </c>
      <c r="G952" s="22" t="s">
        <v>145</v>
      </c>
      <c r="H952" s="22" t="s">
        <v>145</v>
      </c>
      <c r="I952" s="26">
        <v>43740</v>
      </c>
      <c r="J952" s="28" t="s">
        <v>51</v>
      </c>
      <c r="K952" s="28" t="s">
        <v>51</v>
      </c>
      <c r="L952" s="28" t="s">
        <v>51</v>
      </c>
      <c r="M952" s="28" t="s">
        <v>51</v>
      </c>
      <c r="N952" s="28" t="s">
        <v>51</v>
      </c>
    </row>
    <row r="953" spans="1:14" x14ac:dyDescent="0.15">
      <c r="A953" s="23" t="str">
        <f>HYPERLINK("https://www.spark-marketing.ru/Card/Person/4348615", "ФГБОУ ВО ""ДАГЕСТАНСКИЙ ГОСУДАРСТВЕННЫЙ УНИВЕРСИТЕТ"", ФГБОУ ВО ""ДГУ"", ДАГЕСТАНСКИЙ ГОСУДАРСТВЕННЫЙ УНИВЕРСИТЕТ,ДГУ")</f>
        <v>ФГБОУ ВО "ДАГЕСТАНСКИЙ ГОСУДАРСТВЕННЫЙ УНИВЕРСИТЕТ", ФГБОУ ВО "ДГУ", ДАГЕСТАНСКИЙ ГОСУДАРСТВЕННЫЙ УНИВЕРСИТЕТ,ДГУ</v>
      </c>
      <c r="B953" s="24" t="s">
        <v>2039</v>
      </c>
      <c r="C953" s="25">
        <v>840000</v>
      </c>
      <c r="D953" s="22" t="s">
        <v>2040</v>
      </c>
      <c r="E953" s="22" t="s">
        <v>562</v>
      </c>
      <c r="F953" s="23" t="str">
        <f>HYPERLINK("https://www.spark-marketing.ru/Card/Lot/74121561", "Услуги по организации питания для участников фестиваля студенческих спортивных игр")</f>
        <v>Услуги по организации питания для участников фестиваля студенческих спортивных игр</v>
      </c>
      <c r="G953" s="22" t="s">
        <v>1607</v>
      </c>
      <c r="H953" s="22" t="s">
        <v>1607</v>
      </c>
      <c r="I953" s="26">
        <v>43740</v>
      </c>
      <c r="J953" s="28" t="s">
        <v>51</v>
      </c>
      <c r="K953" s="28" t="s">
        <v>51</v>
      </c>
      <c r="L953" s="28" t="s">
        <v>51</v>
      </c>
      <c r="M953" s="28" t="s">
        <v>51</v>
      </c>
      <c r="N953" s="28" t="s">
        <v>51</v>
      </c>
    </row>
    <row r="954" spans="1:14" ht="12.75" x14ac:dyDescent="0.2">
      <c r="A954" s="23" t="str">
        <f>HYPERLINK("https://www.spark-marketing.ru/Card/Person/444947", "МАОУ ""УСТЬ-КАЧКИНСКАЯ СРЕДНЯЯ ШКОЛА""")</f>
        <v>МАОУ "УСТЬ-КАЧКИНСКАЯ СРЕДНЯЯ ШКОЛА"</v>
      </c>
      <c r="B954" s="24" t="s">
        <v>2041</v>
      </c>
      <c r="C954" s="25">
        <v>630000</v>
      </c>
      <c r="D954" s="22" t="s">
        <v>2042</v>
      </c>
      <c r="E954" s="22" t="s">
        <v>362</v>
      </c>
      <c r="F954" s="23" t="str">
        <f>HYPERLINK("https://www.spark-marketing.ru/Card/Lot/74121054", "Оказание услуг по организации горячего питания детей дошкольного возраста и льготных категорий учащихся")</f>
        <v>Оказание услуг по организации горячего питания детей дошкольного возраста и льготных категорий учащихся</v>
      </c>
      <c r="G954" s="22" t="s">
        <v>153</v>
      </c>
      <c r="H954" s="22" t="s">
        <v>153</v>
      </c>
      <c r="I954" s="26">
        <v>43740</v>
      </c>
      <c r="J954" s="23" t="str">
        <f>HYPERLINK("https://www.spark-marketing.ru/Card/Person/2136425", "Лопухова Ирина Александровна")</f>
        <v>Лопухова Ирина Александровна</v>
      </c>
      <c r="K954" s="24" t="s">
        <v>2043</v>
      </c>
      <c r="L954" s="22" t="s">
        <v>10</v>
      </c>
      <c r="M954" s="25">
        <v>630000</v>
      </c>
      <c r="N954" s="27">
        <v>0</v>
      </c>
    </row>
    <row r="955" spans="1:14" x14ac:dyDescent="0.15">
      <c r="A955" s="23" t="str">
        <f>HYPERLINK("https://www.spark-marketing.ru/Card/Person/796945", "ГАУЗ ""ЭГКБ № 1""")</f>
        <v>ГАУЗ "ЭГКБ № 1"</v>
      </c>
      <c r="B955" s="24" t="s">
        <v>2044</v>
      </c>
      <c r="C955" s="25">
        <v>1961070</v>
      </c>
      <c r="D955" s="22" t="s">
        <v>2045</v>
      </c>
      <c r="E955" s="22" t="s">
        <v>765</v>
      </c>
      <c r="F955" s="23" t="str">
        <f>HYPERLINK("https://www.spark-marketing.ru/Card/Lot/74126152", "Оказание услуг по приготовлению и доставке питания для пациентов государственного автономного учреждения здравоохранения «Энгельсская городская клиническая больница № 1»")</f>
        <v>Оказание услуг по приготовлению и доставке питания для пациентов государственного автономного учреждения здравоохранения «Энгельсская городская клиническая больница № 1»</v>
      </c>
      <c r="G955" s="22" t="s">
        <v>351</v>
      </c>
      <c r="H955" s="22" t="s">
        <v>2046</v>
      </c>
      <c r="I955" s="26">
        <v>43740</v>
      </c>
      <c r="J955" s="28" t="s">
        <v>51</v>
      </c>
      <c r="K955" s="28" t="s">
        <v>51</v>
      </c>
      <c r="L955" s="28" t="s">
        <v>51</v>
      </c>
      <c r="M955" s="28" t="s">
        <v>51</v>
      </c>
      <c r="N955" s="28" t="s">
        <v>51</v>
      </c>
    </row>
    <row r="956" spans="1:14" x14ac:dyDescent="0.15">
      <c r="A956" s="23" t="str">
        <f>HYPERLINK("https://www.spark-marketing.ru/Card/Person/874768", "МАДОУ МО Г.КРАСНОДАР ""ДЕТСКИЙ САД № 136 ""ТОПОЛЁК""")</f>
        <v>МАДОУ МО Г.КРАСНОДАР "ДЕТСКИЙ САД № 136 "ТОПОЛЁК"</v>
      </c>
      <c r="B956" s="24" t="s">
        <v>2047</v>
      </c>
      <c r="C956" s="25">
        <v>1666489.65</v>
      </c>
      <c r="D956" s="22" t="s">
        <v>2048</v>
      </c>
      <c r="E956" s="22" t="s">
        <v>2049</v>
      </c>
      <c r="F956" s="23" t="str">
        <f>HYPERLINK("https://www.spark-marketing.ru/Card/Lot/74122393", "Оказание услуг по организации горячего питания воспитанников (10)")</f>
        <v>Оказание услуг по организации горячего питания воспитанников (10)</v>
      </c>
      <c r="G956" s="22" t="s">
        <v>104</v>
      </c>
      <c r="H956" s="22" t="s">
        <v>104</v>
      </c>
      <c r="I956" s="26">
        <v>43740</v>
      </c>
      <c r="J956" s="28" t="s">
        <v>51</v>
      </c>
      <c r="K956" s="28" t="s">
        <v>51</v>
      </c>
      <c r="L956" s="28" t="s">
        <v>51</v>
      </c>
      <c r="M956" s="28" t="s">
        <v>51</v>
      </c>
      <c r="N956" s="28" t="s">
        <v>51</v>
      </c>
    </row>
    <row r="957" spans="1:14" ht="12.75" x14ac:dyDescent="0.2">
      <c r="A957" s="23" t="str">
        <f>HYPERLINK("https://www.spark-marketing.ru/Card/Person/10767", "ТУСУР, ФГБОУ ВО ""ТУСУР"", ФГБОУ ВО ""ТОМСКИЙ ГОСУДАРСТВЕННЫЙ УНИВЕРСИТЕТ СИСТЕМ УПРАВЛЕНИЯ И РАДИОЭЛЕКТРОНИКИ"", ТОМСКИЙ ГОСУДАРСТВЕННЫЙ УНИВЕРСИТЕТ СИСТЕМ УПРАВЛЕНИЯ И РАДИОЭЛЕКТРОНИКИ")</f>
        <v>ТУСУР, ФГБОУ ВО "ТУСУР", ФГБОУ ВО "ТОМСКИЙ ГОСУДАРСТВЕННЫЙ УНИВЕРСИТЕТ СИСТЕМ УПРАВЛЕНИЯ И РАДИОЭЛЕКТРОНИКИ", ТОМСКИЙ ГОСУДАРСТВЕННЫЙ УНИВЕРСИТЕТ СИСТЕМ УПРАВЛЕНИЯ И РАДИОЭЛЕКТРОНИКИ</v>
      </c>
      <c r="B957" s="24" t="s">
        <v>2050</v>
      </c>
      <c r="C957" s="25">
        <v>500000</v>
      </c>
      <c r="D957" s="22" t="s">
        <v>2051</v>
      </c>
      <c r="E957" s="22" t="s">
        <v>362</v>
      </c>
      <c r="F957" s="23" t="str">
        <f>HYPERLINK("https://www.spark-marketing.ru/Card/Lot/74118431", "Оказание услуг по организации питания")</f>
        <v>Оказание услуг по организации питания</v>
      </c>
      <c r="G957" s="22" t="s">
        <v>149</v>
      </c>
      <c r="H957" s="22" t="s">
        <v>149</v>
      </c>
      <c r="I957" s="26">
        <v>43740</v>
      </c>
      <c r="J957" s="23" t="str">
        <f>HYPERLINK("https://www.spark-marketing.ru/Card/Person/550289", "ООО ""ГОРОД-70""")</f>
        <v>ООО "ГОРОД-70"</v>
      </c>
      <c r="K957" s="24" t="s">
        <v>2052</v>
      </c>
      <c r="L957" s="22" t="s">
        <v>10</v>
      </c>
      <c r="M957" s="25">
        <v>500000</v>
      </c>
      <c r="N957" s="27">
        <v>0</v>
      </c>
    </row>
    <row r="958" spans="1:14" x14ac:dyDescent="0.15">
      <c r="A958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958" s="24" t="s">
        <v>1406</v>
      </c>
      <c r="C958" s="25">
        <v>150000</v>
      </c>
      <c r="D958" s="22" t="s">
        <v>2053</v>
      </c>
      <c r="E958" s="22" t="s">
        <v>580</v>
      </c>
      <c r="F958" s="23" t="str">
        <f>HYPERLINK("https://www.spark-marketing.ru/Card/Lot/74118942", "Оказание услуг по обеспечению питанием участников Международной конференции по геометрическому анализу в честь 90-летия академика Ю.Г.Решетняка")</f>
        <v>Оказание услуг по обеспечению питанием участников Международной конференции по геометрическому анализу в честь 90-летия академика Ю.Г.Решетняка</v>
      </c>
      <c r="G958" s="22" t="s">
        <v>195</v>
      </c>
      <c r="H958" s="22" t="s">
        <v>195</v>
      </c>
      <c r="I958" s="26">
        <v>43740</v>
      </c>
      <c r="J958" s="28" t="s">
        <v>51</v>
      </c>
      <c r="K958" s="28" t="s">
        <v>51</v>
      </c>
      <c r="L958" s="28" t="s">
        <v>51</v>
      </c>
      <c r="M958" s="28" t="s">
        <v>51</v>
      </c>
      <c r="N958" s="28" t="s">
        <v>51</v>
      </c>
    </row>
    <row r="959" spans="1:14" x14ac:dyDescent="0.15">
      <c r="A959" s="23" t="str">
        <f>HYPERLINK("https://www.spark-marketing.ru/Card/Person/4414981", "МАОУ СОШ №1 Г. ТУРИНСКА")</f>
        <v>МАОУ СОШ №1 Г. ТУРИНСКА</v>
      </c>
      <c r="B959" s="24" t="s">
        <v>2054</v>
      </c>
      <c r="C959" s="25">
        <v>950038</v>
      </c>
      <c r="D959" s="22" t="s">
        <v>2055</v>
      </c>
      <c r="E959" s="22" t="s">
        <v>362</v>
      </c>
      <c r="F959" s="23" t="str">
        <f>HYPERLINK("https://www.spark-marketing.ru/Card/Lot/74121558", "оказание услуг по организации питания учащихся")</f>
        <v>оказание услуг по организации питания учащихся</v>
      </c>
      <c r="G959" s="22" t="s">
        <v>174</v>
      </c>
      <c r="H959" s="22" t="s">
        <v>174</v>
      </c>
      <c r="I959" s="26">
        <v>43740</v>
      </c>
      <c r="J959" s="28" t="s">
        <v>51</v>
      </c>
      <c r="K959" s="28" t="s">
        <v>51</v>
      </c>
      <c r="L959" s="28" t="s">
        <v>51</v>
      </c>
      <c r="M959" s="28" t="s">
        <v>51</v>
      </c>
      <c r="N959" s="28" t="s">
        <v>51</v>
      </c>
    </row>
    <row r="960" spans="1:14" x14ac:dyDescent="0.15">
      <c r="A960" s="23" t="str">
        <f>HYPERLINK("https://www.spark-marketing.ru/Card/Person/1760026", "ЗАО ""ПФК ""КРЫЛЬЯ СОВЕТОВ""")</f>
        <v>ЗАО "ПФК "КРЫЛЬЯ СОВЕТОВ"</v>
      </c>
      <c r="B960" s="24" t="s">
        <v>2056</v>
      </c>
      <c r="C960" s="25">
        <v>109600</v>
      </c>
      <c r="D960" s="22" t="s">
        <v>2057</v>
      </c>
      <c r="E960" s="22" t="s">
        <v>2058</v>
      </c>
      <c r="F960" s="23" t="str">
        <f>HYPERLINK("https://www.spark-marketing.ru/Card/Lot/74121554", "«Комплекс услуг, связанных с организацией питания, проживания команды Центра подготовки футболистов ЗАО «ПФК «Крылья Советов» 2004 г.р. в рамках участия в областном юношеском турнире по футболу, посвященном памяти Л.Яшина в 2019 г")</f>
        <v>«Комплекс услуг, связанных с организацией питания, проживания команды Центра подготовки футболистов ЗАО «ПФК «Крылья Советов» 2004 г.р. в рамках участия в областном юношеском турнире по футболу, посвященном памяти Л.Яшина в 2019 г</v>
      </c>
      <c r="G960" s="22" t="s">
        <v>128</v>
      </c>
      <c r="H960" s="22" t="s">
        <v>128</v>
      </c>
      <c r="I960" s="26">
        <v>43740</v>
      </c>
      <c r="J960" s="28" t="s">
        <v>51</v>
      </c>
      <c r="K960" s="28" t="s">
        <v>51</v>
      </c>
      <c r="L960" s="28" t="s">
        <v>51</v>
      </c>
      <c r="M960" s="28" t="s">
        <v>51</v>
      </c>
      <c r="N960" s="28" t="s">
        <v>51</v>
      </c>
    </row>
    <row r="961" spans="1:14" x14ac:dyDescent="0.2">
      <c r="A961" s="23" t="str">
        <f>HYPERLINK("https://www.spark-marketing.ru/Card/Person/20286", "ФГБОУ ВО ""ОМСКИЙ ГОСУДАРСТВЕННЫЙ ТЕХНИЧЕСКИЙ УНИВЕРСИТЕТ"", ОМГТУ, ОМСКИЙ ГОСУДАРСТВЕННЫЙ ТЕХНИЧЕСКИЙ УНИВЕРСИТЕТ")</f>
        <v>ФГБОУ ВО "ОМСКИЙ ГОСУДАРСТВЕННЫЙ ТЕХНИЧЕСКИЙ УНИВЕРСИТЕТ", ОМГТУ, ОМСКИЙ ГОСУДАРСТВЕННЫЙ ТЕХНИЧЕСКИЙ УНИВЕРСИТЕТ</v>
      </c>
      <c r="B961" s="24" t="s">
        <v>2059</v>
      </c>
      <c r="C961" s="25">
        <v>494700</v>
      </c>
      <c r="D961" s="22" t="s">
        <v>2060</v>
      </c>
      <c r="E961" s="22" t="s">
        <v>362</v>
      </c>
      <c r="F961" s="23" t="str">
        <f>HYPERLINK("https://www.spark-marketing.ru/Card/Lot/74113878", "Услуга по организации птитания и кофе-брейков для участников и экспертов проекта «Школа-тренинг карьерного и личностного роста «Лифт UP»")</f>
        <v>Услуга по организации птитания и кофе-брейков для участников и экспертов проекта «Школа-тренинг карьерного и личностного роста «Лифт UP»</v>
      </c>
      <c r="G961" s="22" t="s">
        <v>487</v>
      </c>
      <c r="H961" s="22" t="s">
        <v>487</v>
      </c>
      <c r="I961" s="26">
        <v>43740</v>
      </c>
      <c r="J961" s="28" t="s">
        <v>51</v>
      </c>
      <c r="K961" s="28" t="s">
        <v>51</v>
      </c>
      <c r="L961" s="28" t="s">
        <v>51</v>
      </c>
      <c r="M961" s="25">
        <v>494700</v>
      </c>
      <c r="N961" s="27">
        <v>0</v>
      </c>
    </row>
    <row r="962" spans="1:14" x14ac:dyDescent="0.2">
      <c r="A962" s="23" t="str">
        <f>HYPERLINK("https://www.spark-marketing.ru/Card/Person/4377985", "МАОУ СОШ № 2")</f>
        <v>МАОУ СОШ № 2</v>
      </c>
      <c r="B962" s="24" t="s">
        <v>2061</v>
      </c>
      <c r="C962" s="25">
        <v>995074</v>
      </c>
      <c r="D962" s="22" t="s">
        <v>2062</v>
      </c>
      <c r="E962" s="22" t="s">
        <v>362</v>
      </c>
      <c r="F962" s="23" t="str">
        <f>HYPERLINK("https://www.spark-marketing.ru/Card/Lot/74119994", "Оказание услуг по организации питания обучающихся")</f>
        <v>Оказание услуг по организации питания обучающихся</v>
      </c>
      <c r="G962" s="22" t="s">
        <v>174</v>
      </c>
      <c r="H962" s="22" t="s">
        <v>174</v>
      </c>
      <c r="I962" s="26">
        <v>43740</v>
      </c>
      <c r="J962" s="23" t="str">
        <f>HYPERLINK("https://www.spark-marketing.ru/Card/Person/1489943", "ООО""КОМБИНАТ ШКОЛЬНОГО ПИТАНИЯ""")</f>
        <v>ООО"КОМБИНАТ ШКОЛЬНОГО ПИТАНИЯ"</v>
      </c>
      <c r="K962" s="24" t="s">
        <v>2063</v>
      </c>
      <c r="L962" s="28" t="s">
        <v>51</v>
      </c>
      <c r="M962" s="25">
        <v>995074</v>
      </c>
      <c r="N962" s="27">
        <v>0</v>
      </c>
    </row>
    <row r="963" spans="1:14" x14ac:dyDescent="0.2">
      <c r="A963" s="23" t="str">
        <f>HYPERLINK("https://www.spark-marketing.ru/Card/Person/171890", "АО ""ГОСТИНИЧНЫЙ КОМПЛЕКС ""СЛАВЯНКА""")</f>
        <v>АО "ГОСТИНИЧНЫЙ КОМПЛЕКС "СЛАВЯНКА"</v>
      </c>
      <c r="B963" s="24" t="s">
        <v>2064</v>
      </c>
      <c r="C963" s="25">
        <v>479000</v>
      </c>
      <c r="D963" s="22" t="s">
        <v>2065</v>
      </c>
      <c r="E963" s="22" t="s">
        <v>573</v>
      </c>
      <c r="F963" s="23" t="str">
        <f>HYPERLINK("https://www.spark-marketing.ru/Card/Lot/74129056", "Оказание комплекса услуг по организации питания для нужд «Гостиница «Золотой якорь» - филиал акционерного общества «Гостиничный комплекс «Славянка»")</f>
        <v>Оказание комплекса услуг по организации питания для нужд «Гостиница «Золотой якорь» - филиал акционерного общества «Гостиничный комплекс «Славянка»</v>
      </c>
      <c r="G963" s="22" t="s">
        <v>56</v>
      </c>
      <c r="H963" s="22" t="s">
        <v>56</v>
      </c>
      <c r="I963" s="26">
        <v>43740</v>
      </c>
      <c r="J963" s="28" t="s">
        <v>51</v>
      </c>
      <c r="K963" s="28" t="s">
        <v>51</v>
      </c>
      <c r="L963" s="22" t="s">
        <v>10</v>
      </c>
      <c r="M963" s="25">
        <v>479000</v>
      </c>
      <c r="N963" s="27">
        <v>0</v>
      </c>
    </row>
    <row r="964" spans="1:14" x14ac:dyDescent="0.15">
      <c r="A964" s="23" t="str">
        <f>HYPERLINK("https://www.spark-marketing.ru/Card/Person/1300080", "МОУ ГИМНАЗИЯ №14")</f>
        <v>МОУ ГИМНАЗИЯ №14</v>
      </c>
      <c r="B964" s="24" t="s">
        <v>2066</v>
      </c>
      <c r="C964" s="25">
        <v>1799334.4</v>
      </c>
      <c r="D964" s="22" t="s">
        <v>2067</v>
      </c>
      <c r="E964" s="22" t="s">
        <v>362</v>
      </c>
      <c r="F964" s="23" t="str">
        <f>HYPERLINK("https://www.spark-marketing.ru/Card/Lot/74114542", "Оказание услуг по организации питания учащихся")</f>
        <v>Оказание услуг по организации питания учащихся</v>
      </c>
      <c r="G964" s="22" t="s">
        <v>49</v>
      </c>
      <c r="H964" s="22" t="s">
        <v>49</v>
      </c>
      <c r="I964" s="26">
        <v>43740</v>
      </c>
      <c r="J964" s="28" t="s">
        <v>51</v>
      </c>
      <c r="K964" s="28" t="s">
        <v>51</v>
      </c>
      <c r="L964" s="28" t="s">
        <v>51</v>
      </c>
      <c r="M964" s="28" t="s">
        <v>51</v>
      </c>
      <c r="N964" s="28" t="s">
        <v>51</v>
      </c>
    </row>
    <row r="965" spans="1:14" x14ac:dyDescent="0.15">
      <c r="A965" s="23" t="str">
        <f>HYPERLINK("https://www.spark-marketing.ru/Card/Person/1322608", "МАОУ СОШ № 3")</f>
        <v>МАОУ СОШ № 3</v>
      </c>
      <c r="B965" s="24" t="s">
        <v>2068</v>
      </c>
      <c r="C965" s="25">
        <v>992646</v>
      </c>
      <c r="D965" s="22" t="s">
        <v>2069</v>
      </c>
      <c r="E965" s="22" t="s">
        <v>362</v>
      </c>
      <c r="F965" s="23" t="str">
        <f>HYPERLINK("https://www.spark-marketing.ru/Card/Lot/74114025", "Услуги по организации горячего питания обучающихся школы")</f>
        <v>Услуги по организации горячего питания обучающихся школы</v>
      </c>
      <c r="G965" s="22" t="s">
        <v>174</v>
      </c>
      <c r="H965" s="22" t="s">
        <v>174</v>
      </c>
      <c r="I965" s="26">
        <v>43740</v>
      </c>
      <c r="J965" s="28" t="s">
        <v>51</v>
      </c>
      <c r="K965" s="28" t="s">
        <v>51</v>
      </c>
      <c r="L965" s="28" t="s">
        <v>51</v>
      </c>
      <c r="M965" s="28" t="s">
        <v>51</v>
      </c>
      <c r="N965" s="28" t="s">
        <v>51</v>
      </c>
    </row>
    <row r="966" spans="1:14" x14ac:dyDescent="0.15">
      <c r="A966" s="23" t="str">
        <f>HYPERLINK("https://www.spark-marketing.ru/Card/Person/4348579", "ООО ""ЛУКОЙЛ-ЭНЕРГОСЕТИ""")</f>
        <v>ООО "ЛУКОЙЛ-ЭНЕРГОСЕТИ"</v>
      </c>
      <c r="B966" s="24" t="s">
        <v>2070</v>
      </c>
      <c r="C966" s="25">
        <v>10923993.960000001</v>
      </c>
      <c r="D966" s="22" t="s">
        <v>2071</v>
      </c>
      <c r="E966" s="22" t="s">
        <v>1921</v>
      </c>
      <c r="F966" s="23" t="str">
        <f>HYPERLINK("https://www.spark-marketing.ru/Card/Lot/74114690", "Оказание услуг по организации питания и проживания работников СЦ ""Ярегаэнергонефть""")</f>
        <v>Оказание услуг по организации питания и проживания работников СЦ "Ярегаэнергонефть"</v>
      </c>
      <c r="G966" s="22" t="s">
        <v>271</v>
      </c>
      <c r="H966" s="22" t="s">
        <v>271</v>
      </c>
      <c r="I966" s="26">
        <v>43740</v>
      </c>
      <c r="J966" s="28" t="s">
        <v>51</v>
      </c>
      <c r="K966" s="28" t="s">
        <v>51</v>
      </c>
      <c r="L966" s="28" t="s">
        <v>51</v>
      </c>
      <c r="M966" s="28" t="s">
        <v>51</v>
      </c>
      <c r="N966" s="28" t="s">
        <v>51</v>
      </c>
    </row>
    <row r="967" spans="1:14" x14ac:dyDescent="0.15">
      <c r="A967" s="23" t="str">
        <f>HYPERLINK("https://www.spark-marketing.ru/Card/Person/1440208", "ГАПОУ РО ""РКРСТ ""СОКРАТ""")</f>
        <v>ГАПОУ РО "РКРСТ "СОКРАТ"</v>
      </c>
      <c r="B967" s="24" t="s">
        <v>2072</v>
      </c>
      <c r="C967" s="25">
        <v>243984</v>
      </c>
      <c r="D967" s="22" t="s">
        <v>2073</v>
      </c>
      <c r="E967" s="22" t="s">
        <v>362</v>
      </c>
      <c r="F967" s="23" t="str">
        <f>HYPERLINK("https://www.spark-marketing.ru/Card/Lot/74126243", "Услуги по горячему питанию обучающихся")</f>
        <v>Услуги по горячему питанию обучающихся</v>
      </c>
      <c r="G967" s="22" t="s">
        <v>267</v>
      </c>
      <c r="H967" s="22" t="s">
        <v>267</v>
      </c>
      <c r="I967" s="26">
        <v>43740</v>
      </c>
      <c r="J967" s="28" t="s">
        <v>51</v>
      </c>
      <c r="K967" s="28" t="s">
        <v>51</v>
      </c>
      <c r="L967" s="28" t="s">
        <v>51</v>
      </c>
      <c r="M967" s="28" t="s">
        <v>51</v>
      </c>
      <c r="N967" s="28" t="s">
        <v>51</v>
      </c>
    </row>
    <row r="968" spans="1:14" x14ac:dyDescent="0.2">
      <c r="A968" s="23" t="str">
        <f>HYPERLINK("https://www.spark-marketing.ru/Card/Person/4874743", "ГАУ ВО ""СК ""РОТОР""")</f>
        <v>ГАУ ВО "СК "РОТОР"</v>
      </c>
      <c r="B968" s="24" t="s">
        <v>1208</v>
      </c>
      <c r="C968" s="25">
        <v>333000</v>
      </c>
      <c r="D968" s="22" t="s">
        <v>2074</v>
      </c>
      <c r="E968" s="22" t="s">
        <v>769</v>
      </c>
      <c r="F968" s="23" t="str">
        <f>HYPERLINK("https://www.spark-marketing.ru/Card/Lot/74115200", "Оказание услуг по организации проживания и питания в отеле «Mercure» для футбольной команды «Ротор», в период с 04 октября 2019 года по 05 октября 2019 года в городе Саранск, Республика Мордовия")</f>
        <v>Оказание услуг по организации проживания и питания в отеле «Mercure» для футбольной команды «Ротор», в период с 04 октября 2019 года по 05 октября 2019 года в городе Саранск, Республика Мордовия</v>
      </c>
      <c r="G968" s="22" t="s">
        <v>277</v>
      </c>
      <c r="H968" s="22" t="s">
        <v>277</v>
      </c>
      <c r="I968" s="26">
        <v>43740</v>
      </c>
      <c r="J968" s="28" t="s">
        <v>51</v>
      </c>
      <c r="K968" s="28" t="s">
        <v>51</v>
      </c>
      <c r="L968" s="28" t="s">
        <v>51</v>
      </c>
      <c r="M968" s="25">
        <v>333000</v>
      </c>
      <c r="N968" s="27">
        <v>0</v>
      </c>
    </row>
    <row r="969" spans="1:14" x14ac:dyDescent="0.15">
      <c r="A969" s="23" t="str">
        <f>HYPERLINK("https://www.spark-marketing.ru/Card/Person/1387789", "ДДЮТ Г. БЕЛОЯРСКИЙ")</f>
        <v>ДДЮТ Г. БЕЛОЯРСКИЙ</v>
      </c>
      <c r="B969" s="24" t="s">
        <v>2075</v>
      </c>
      <c r="C969" s="25">
        <v>110610</v>
      </c>
      <c r="D969" s="22" t="s">
        <v>2076</v>
      </c>
      <c r="E969" s="22" t="s">
        <v>362</v>
      </c>
      <c r="F969" s="23" t="str">
        <f>HYPERLINK("https://www.spark-marketing.ru/Card/Lot/74093753", "Организация питания детей школьного возраста в оздоровительном лагере с дневным пребыванием детей")</f>
        <v>Организация питания детей школьного возраста в оздоровительном лагере с дневным пребыванием детей</v>
      </c>
      <c r="G969" s="22" t="s">
        <v>97</v>
      </c>
      <c r="H969" s="22" t="s">
        <v>97</v>
      </c>
      <c r="I969" s="26">
        <v>43739</v>
      </c>
      <c r="J969" s="28" t="s">
        <v>51</v>
      </c>
      <c r="K969" s="28" t="s">
        <v>51</v>
      </c>
      <c r="L969" s="28" t="s">
        <v>51</v>
      </c>
      <c r="M969" s="28" t="s">
        <v>51</v>
      </c>
      <c r="N969" s="28" t="s">
        <v>51</v>
      </c>
    </row>
    <row r="970" spans="1:14" x14ac:dyDescent="0.15">
      <c r="A970" s="23" t="str">
        <f>HYPERLINK("https://www.spark-marketing.ru/Card/Person/338263", "ГАОУ ДПО ""КГИРО""")</f>
        <v>ГАОУ ДПО "КГИРО"</v>
      </c>
      <c r="B970" s="24" t="s">
        <v>1737</v>
      </c>
      <c r="C970" s="25">
        <v>444500</v>
      </c>
      <c r="D970" s="22" t="s">
        <v>2077</v>
      </c>
      <c r="E970" s="22" t="s">
        <v>2078</v>
      </c>
      <c r="F970" s="23" t="str">
        <f>HYPERLINK("https://www.spark-marketing.ru/Card/Lot/74129046", "Услуги по организации питания")</f>
        <v>Услуги по организации питания</v>
      </c>
      <c r="G970" s="22" t="s">
        <v>112</v>
      </c>
      <c r="H970" s="22" t="s">
        <v>389</v>
      </c>
      <c r="I970" s="26">
        <v>43740</v>
      </c>
      <c r="J970" s="28" t="s">
        <v>51</v>
      </c>
      <c r="K970" s="28" t="s">
        <v>51</v>
      </c>
      <c r="L970" s="28" t="s">
        <v>51</v>
      </c>
      <c r="M970" s="28" t="s">
        <v>51</v>
      </c>
      <c r="N970" s="28" t="s">
        <v>51</v>
      </c>
    </row>
    <row r="971" spans="1:14" x14ac:dyDescent="0.15">
      <c r="A971" s="23" t="str">
        <f>HYPERLINK("https://www.spark-marketing.ru/Card/Person/4858201", "ГБУЗ ""РИБ""")</f>
        <v>ГБУЗ "РИБ"</v>
      </c>
      <c r="B971" s="24" t="s">
        <v>2079</v>
      </c>
      <c r="C971" s="25">
        <v>15708600.67</v>
      </c>
      <c r="D971" s="22" t="s">
        <v>2080</v>
      </c>
      <c r="E971" s="22" t="s">
        <v>67</v>
      </c>
      <c r="F971" s="23" t="str">
        <f>HYPERLINK("https://www.spark-marketing.ru/Card/Lot/74108249", "Услуги по организации лечебного питания пациентов, и родителей по уходу за детьми, на территории  ГБУЗ ""РИБ"" на 2020 год (с правом предоставления в аренду помещений и оборудования для организации и предоставления услуги)")</f>
        <v>Услуги по организации лечебного питания пациентов, и родителей по уходу за детьми, на территории  ГБУЗ "РИБ" на 2020 год (с правом предоставления в аренду помещений и оборудования для организации и предоставления услуги)</v>
      </c>
      <c r="G971" s="22" t="s">
        <v>59</v>
      </c>
      <c r="H971" s="22" t="s">
        <v>314</v>
      </c>
      <c r="I971" s="26">
        <v>43739.715405092596</v>
      </c>
      <c r="J971" s="28" t="s">
        <v>51</v>
      </c>
      <c r="K971" s="28" t="s">
        <v>51</v>
      </c>
      <c r="L971" s="28" t="s">
        <v>51</v>
      </c>
      <c r="M971" s="28" t="s">
        <v>51</v>
      </c>
      <c r="N971" s="28" t="s">
        <v>51</v>
      </c>
    </row>
    <row r="972" spans="1:14" x14ac:dyDescent="0.15">
      <c r="A972" s="23" t="str">
        <f>HYPERLINK("https://www.spark-marketing.ru/Card/Person/6620470", "ГОБУЗ МОКМЦ")</f>
        <v>ГОБУЗ МОКМЦ</v>
      </c>
      <c r="B972" s="24" t="s">
        <v>2081</v>
      </c>
      <c r="C972" s="25">
        <v>294368.59999999998</v>
      </c>
      <c r="D972" s="22" t="s">
        <v>2082</v>
      </c>
      <c r="E972" s="22" t="s">
        <v>1862</v>
      </c>
      <c r="F972" s="23" t="str">
        <f>HYPERLINK("https://www.spark-marketing.ru/Card/Lot/74108613", "Оказание услуг по сбору, транспортированию, обработке и обезвреживанию опасных отходов")</f>
        <v>Оказание услуг по сбору, транспортированию, обработке и обезвреживанию опасных отходов</v>
      </c>
      <c r="G972" s="22" t="s">
        <v>51</v>
      </c>
      <c r="H972" s="22" t="s">
        <v>51</v>
      </c>
      <c r="I972" s="26">
        <v>43739.747222222199</v>
      </c>
      <c r="J972" s="23" t="str">
        <f>HYPERLINK("https://www.spark-marketing.ru/Card/Person/250406", "ООО ""ЭП ""МЕРКУРИЙ""")</f>
        <v>ООО "ЭП "МЕРКУРИЙ"</v>
      </c>
      <c r="K972" s="24" t="s">
        <v>2083</v>
      </c>
      <c r="L972" s="22" t="s">
        <v>10</v>
      </c>
      <c r="M972" s="28" t="s">
        <v>51</v>
      </c>
      <c r="N972" s="28" t="s">
        <v>51</v>
      </c>
    </row>
    <row r="973" spans="1:14" x14ac:dyDescent="0.15">
      <c r="A973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973" s="24" t="s">
        <v>2084</v>
      </c>
      <c r="C973" s="25">
        <v>150000</v>
      </c>
      <c r="D973" s="22" t="s">
        <v>2085</v>
      </c>
      <c r="E973" s="22" t="s">
        <v>2086</v>
      </c>
      <c r="F973" s="23" t="str">
        <f>HYPERLINK("https://www.spark-marketing.ru/Card/Lot/74106978", "выполнение работ по техническому обслуживанию и ремонту источников бесперебойного питания оборудования узлов связи ИМТС для нужд Управления МВД России по городу Волгограду в 2021 году, в рамках государственного оборонного заказа")</f>
        <v>выполнение работ по техническому обслуживанию и ремонту источников бесперебойного питания оборудования узлов связи ИМТС для нужд Управления МВД России по городу Волгограду в 2021 году, в рамках государственного оборонного заказа</v>
      </c>
      <c r="G973" s="22" t="s">
        <v>158</v>
      </c>
      <c r="H973" s="22" t="s">
        <v>171</v>
      </c>
      <c r="I973" s="26">
        <v>43739.710416666698</v>
      </c>
      <c r="J973" s="28" t="s">
        <v>51</v>
      </c>
      <c r="K973" s="28" t="s">
        <v>51</v>
      </c>
      <c r="L973" s="28" t="s">
        <v>51</v>
      </c>
      <c r="M973" s="28" t="s">
        <v>51</v>
      </c>
      <c r="N973" s="28" t="s">
        <v>51</v>
      </c>
    </row>
    <row r="974" spans="1:14" hidden="1" outlineLevel="1" x14ac:dyDescent="0.2">
      <c r="A974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974" s="24" t="s">
        <v>2084</v>
      </c>
      <c r="C974" s="25">
        <v>150000</v>
      </c>
      <c r="D974" s="22" t="s">
        <v>2085</v>
      </c>
      <c r="E974" s="22" t="s">
        <v>2086</v>
      </c>
      <c r="F974" s="23" t="str">
        <f>HYPERLINK("https://www.spark-marketing.ru/Card/Lot/74106978", "выполнение работ по техническому обслуживанию и ремонту источников бесперебойного питания оборудования узлов связи ИМТС для нужд Управления МВД России по городу Волгограду в 2021 году, в рамках государственного оборонного заказа")</f>
        <v>выполнение работ по техническому обслуживанию и ремонту источников бесперебойного питания оборудования узлов связи ИМТС для нужд Управления МВД России по городу Волгограду в 2021 году, в рамках государственного оборонного заказа</v>
      </c>
      <c r="G974" s="22" t="s">
        <v>158</v>
      </c>
      <c r="H974" s="22" t="s">
        <v>171</v>
      </c>
      <c r="I974" s="26">
        <v>43739.710416666698</v>
      </c>
      <c r="J974" s="23" t="str">
        <f>HYPERLINK("https://www.spark-marketing.ru/Card/Person/72365", "ООО ""АПРЕЛЬ""")</f>
        <v>ООО "АПРЕЛЬ"</v>
      </c>
      <c r="K974" s="24" t="s">
        <v>2087</v>
      </c>
      <c r="L974" s="28" t="s">
        <v>51</v>
      </c>
      <c r="M974" s="25">
        <v>143454.32</v>
      </c>
      <c r="N974" s="27">
        <v>4.3637866666666664E-2</v>
      </c>
    </row>
    <row r="975" spans="1:14" ht="12.75" hidden="1" outlineLevel="1" x14ac:dyDescent="0.2">
      <c r="A975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975" s="24" t="s">
        <v>2084</v>
      </c>
      <c r="C975" s="25">
        <v>150000</v>
      </c>
      <c r="D975" s="22" t="s">
        <v>2085</v>
      </c>
      <c r="E975" s="22" t="s">
        <v>2086</v>
      </c>
      <c r="F975" s="23" t="str">
        <f>HYPERLINK("https://www.spark-marketing.ru/Card/Lot/74106978", "выполнение работ по техническому обслуживанию и ремонту источников бесперебойного питания оборудования узлов связи ИМТС для нужд Управления МВД России по городу Волгограду в 2021 году, в рамках государственного оборонного заказа")</f>
        <v>выполнение работ по техническому обслуживанию и ремонту источников бесперебойного питания оборудования узлов связи ИМТС для нужд Управления МВД России по городу Волгограду в 2021 году, в рамках государственного оборонного заказа</v>
      </c>
      <c r="G975" s="22" t="s">
        <v>158</v>
      </c>
      <c r="H975" s="22" t="s">
        <v>171</v>
      </c>
      <c r="I975" s="26">
        <v>43739.710416666698</v>
      </c>
      <c r="J975" s="23" t="str">
        <f>HYPERLINK("https://www.spark-marketing.ru/Card/Person/500776", "ООО ""МКТРЕЙД""")</f>
        <v>ООО "МКТРЕЙД"</v>
      </c>
      <c r="K975" s="24" t="s">
        <v>2088</v>
      </c>
      <c r="L975" s="22" t="s">
        <v>10</v>
      </c>
      <c r="M975" s="25">
        <v>142497.96</v>
      </c>
      <c r="N975" s="27">
        <v>5.0013599999999998E-2</v>
      </c>
    </row>
    <row r="976" spans="1:14" x14ac:dyDescent="0.15">
      <c r="A976" s="23" t="str">
        <f>HYPERLINK("https://www.spark-marketing.ru/Card/Person/1086577", "ОМВД РОССИИ ПО УГЛИЧСКОМУ РАЙОНУ")</f>
        <v>ОМВД РОССИИ ПО УГЛИЧСКОМУ РАЙОНУ</v>
      </c>
      <c r="B976" s="24" t="s">
        <v>252</v>
      </c>
      <c r="C976" s="25">
        <v>354810.93</v>
      </c>
      <c r="D976" s="22" t="s">
        <v>2089</v>
      </c>
      <c r="E976" s="22" t="s">
        <v>48</v>
      </c>
      <c r="F976" s="23" t="str">
        <f>HYPERLINK("https://www.spark-marketing.ru/Card/Lot/73931377", "оказание услуг общественного питания для нужд  ИВС ОМВД России по Угличскому району")</f>
        <v>оказание услуг общественного питания для нужд  ИВС ОМВД России по Угличскому району</v>
      </c>
      <c r="G976" s="22" t="s">
        <v>185</v>
      </c>
      <c r="H976" s="22" t="s">
        <v>185</v>
      </c>
      <c r="I976" s="26">
        <v>43734.4284722222</v>
      </c>
      <c r="J976" s="28" t="s">
        <v>51</v>
      </c>
      <c r="K976" s="28" t="s">
        <v>51</v>
      </c>
      <c r="L976" s="28" t="s">
        <v>51</v>
      </c>
      <c r="M976" s="28" t="s">
        <v>51</v>
      </c>
      <c r="N976" s="28" t="s">
        <v>51</v>
      </c>
    </row>
    <row r="977" spans="1:14" x14ac:dyDescent="0.15">
      <c r="A977" s="23" t="str">
        <f>HYPERLINK("https://www.spark-marketing.ru/Card/Person/4348836", "ГОСКОМИТЕТ РБ ПО ТОРГОВЛЕ")</f>
        <v>ГОСКОМИТЕТ РБ ПО ТОРГОВЛЕ</v>
      </c>
      <c r="B977" s="24" t="s">
        <v>2090</v>
      </c>
      <c r="C977" s="25">
        <v>540000</v>
      </c>
      <c r="D977" s="22" t="s">
        <v>2091</v>
      </c>
      <c r="E977" s="22" t="s">
        <v>67</v>
      </c>
      <c r="F977" s="23" t="str">
        <f>HYPERLINK("https://www.spark-marketing.ru/Card/Lot/74106475", "Оказание услуг по организации питания участников торжественного собрания, посвященного Дню работника сельского хозяйства и перерабатывающей промышленности")</f>
        <v>Оказание услуг по организации питания участников торжественного собрания, посвященного Дню работника сельского хозяйства и перерабатывающей промышленности</v>
      </c>
      <c r="G977" s="22" t="s">
        <v>145</v>
      </c>
      <c r="H977" s="22" t="s">
        <v>436</v>
      </c>
      <c r="I977" s="26">
        <v>43739.735868055599</v>
      </c>
      <c r="J977" s="28" t="s">
        <v>51</v>
      </c>
      <c r="K977" s="28" t="s">
        <v>51</v>
      </c>
      <c r="L977" s="28" t="s">
        <v>51</v>
      </c>
      <c r="M977" s="28" t="s">
        <v>51</v>
      </c>
      <c r="N977" s="28" t="s">
        <v>51</v>
      </c>
    </row>
    <row r="978" spans="1:14" hidden="1" outlineLevel="1" x14ac:dyDescent="0.2">
      <c r="A978" s="23" t="str">
        <f>HYPERLINK("https://www.spark-marketing.ru/Card/Person/4348836", "ГОСКОМИТЕТ РБ ПО ТОРГОВЛЕ")</f>
        <v>ГОСКОМИТЕТ РБ ПО ТОРГОВЛЕ</v>
      </c>
      <c r="B978" s="24" t="s">
        <v>2090</v>
      </c>
      <c r="C978" s="25">
        <v>540000</v>
      </c>
      <c r="D978" s="22" t="s">
        <v>2091</v>
      </c>
      <c r="E978" s="22" t="s">
        <v>67</v>
      </c>
      <c r="F978" s="23" t="str">
        <f>HYPERLINK("https://www.spark-marketing.ru/Card/Lot/74106475", "Оказание услуг по организации питания участников торжественного собрания, посвященного Дню работника сельского хозяйства и перерабатывающей промышленности")</f>
        <v>Оказание услуг по организации питания участников торжественного собрания, посвященного Дню работника сельского хозяйства и перерабатывающей промышленности</v>
      </c>
      <c r="G978" s="22" t="s">
        <v>145</v>
      </c>
      <c r="H978" s="22" t="s">
        <v>436</v>
      </c>
      <c r="I978" s="26">
        <v>43739.735868055599</v>
      </c>
      <c r="J978" s="23" t="str">
        <f>HYPERLINK("https://www.spark-marketing.ru/Card/Person/6620192", "ООО ""КОМБИНАТ ПИТАНИЯ""")</f>
        <v>ООО "КОМБИНАТ ПИТАНИЯ"</v>
      </c>
      <c r="K978" s="24" t="s">
        <v>2092</v>
      </c>
      <c r="L978" s="28" t="s">
        <v>51</v>
      </c>
      <c r="M978" s="25">
        <v>502200</v>
      </c>
      <c r="N978" s="27">
        <v>7.0000000000000007E-2</v>
      </c>
    </row>
    <row r="979" spans="1:14" ht="12.75" hidden="1" outlineLevel="1" x14ac:dyDescent="0.2">
      <c r="A979" s="23" t="str">
        <f>HYPERLINK("https://www.spark-marketing.ru/Card/Person/4348836", "ГОСКОМИТЕТ РБ ПО ТОРГОВЛЕ")</f>
        <v>ГОСКОМИТЕТ РБ ПО ТОРГОВЛЕ</v>
      </c>
      <c r="B979" s="24" t="s">
        <v>2090</v>
      </c>
      <c r="C979" s="25">
        <v>540000</v>
      </c>
      <c r="D979" s="22" t="s">
        <v>2091</v>
      </c>
      <c r="E979" s="22" t="s">
        <v>67</v>
      </c>
      <c r="F979" s="23" t="str">
        <f>HYPERLINK("https://www.spark-marketing.ru/Card/Lot/74106475", "Оказание услуг по организации питания участников торжественного собрания, посвященного Дню работника сельского хозяйства и перерабатывающей промышленности")</f>
        <v>Оказание услуг по организации питания участников торжественного собрания, посвященного Дню работника сельского хозяйства и перерабатывающей промышленности</v>
      </c>
      <c r="G979" s="22" t="s">
        <v>145</v>
      </c>
      <c r="H979" s="22" t="s">
        <v>436</v>
      </c>
      <c r="I979" s="26">
        <v>43739.735868055599</v>
      </c>
      <c r="J979" s="23" t="str">
        <f>HYPERLINK("https://www.spark-marketing.ru/Card/Person/2395558", "ООО ""РЕСТОРИЯ""")</f>
        <v>ООО "РЕСТОРИЯ"</v>
      </c>
      <c r="K979" s="24" t="s">
        <v>2093</v>
      </c>
      <c r="L979" s="22" t="s">
        <v>10</v>
      </c>
      <c r="M979" s="25">
        <v>502200</v>
      </c>
      <c r="N979" s="27">
        <v>7.0000000000000007E-2</v>
      </c>
    </row>
    <row r="980" spans="1:14" x14ac:dyDescent="0.15">
      <c r="A980" s="23" t="str">
        <f>HYPERLINK("https://www.spark-marketing.ru/Card/Person/737290", "ГКУ «ЦБЗ ПРИ МИНЗДРАВЕ КАРЕЛИИ»")</f>
        <v>ГКУ «ЦБЗ ПРИ МИНЗДРАВЕ КАРЕЛИИ»</v>
      </c>
      <c r="B980" s="24" t="s">
        <v>312</v>
      </c>
      <c r="C980" s="25">
        <v>69084</v>
      </c>
      <c r="D980" s="22" t="s">
        <v>2094</v>
      </c>
      <c r="E980" s="22" t="s">
        <v>52</v>
      </c>
      <c r="F980" s="23" t="str">
        <f>HYPERLINK("https://www.spark-marketing.ru/Card/Lot/74105024", "Поставка лекарственного препарата       Вилантерол +Умеклидиния бромид,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препара...")</f>
        <v>Поставка лекарственного препарата       Вилантерол +Умеклидиния бромид,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препара...</v>
      </c>
      <c r="G980" s="22" t="s">
        <v>59</v>
      </c>
      <c r="H980" s="22" t="s">
        <v>314</v>
      </c>
      <c r="I980" s="26">
        <v>43739.681944444397</v>
      </c>
      <c r="J980" s="23" t="str">
        <f>HYPERLINK("https://www.spark-marketing.ru/Card/Person/44169", "ООО ""СИГОР""")</f>
        <v>ООО "СИГОР"</v>
      </c>
      <c r="K980" s="24" t="s">
        <v>2095</v>
      </c>
      <c r="L980" s="22" t="s">
        <v>10</v>
      </c>
      <c r="M980" s="28" t="s">
        <v>51</v>
      </c>
      <c r="N980" s="28" t="s">
        <v>51</v>
      </c>
    </row>
    <row r="981" spans="1:14" x14ac:dyDescent="0.15">
      <c r="A981" s="23" t="str">
        <f>HYPERLINK("https://www.spark-marketing.ru/Card/Person/218322", "МО МВД РОССИИ ""ЦИВИЛЬСКИЙ""")</f>
        <v>МО МВД РОССИИ "ЦИВИЛЬСКИЙ"</v>
      </c>
      <c r="B981" s="24" t="s">
        <v>2096</v>
      </c>
      <c r="C981" s="25">
        <v>150000</v>
      </c>
      <c r="D981" s="22" t="s">
        <v>2097</v>
      </c>
      <c r="E981" s="22" t="s">
        <v>48</v>
      </c>
      <c r="F981" s="23" t="str">
        <f>HYPERLINK("https://www.spark-marketing.ru/Card/Lot/74106455", "питание арестованных")</f>
        <v>питание арестованных</v>
      </c>
      <c r="G981" s="22" t="s">
        <v>618</v>
      </c>
      <c r="H981" s="22" t="s">
        <v>2098</v>
      </c>
      <c r="I981" s="26">
        <v>43739.688194444403</v>
      </c>
      <c r="J981" s="23" t="str">
        <f>HYPERLINK("https://www.spark-marketing.ru/Card/Person/6717771", "ООО ""ЕСМЬ""")</f>
        <v>ООО "ЕСМЬ"</v>
      </c>
      <c r="K981" s="24" t="s">
        <v>2099</v>
      </c>
      <c r="L981" s="22" t="s">
        <v>10</v>
      </c>
      <c r="M981" s="28" t="s">
        <v>51</v>
      </c>
      <c r="N981" s="28" t="s">
        <v>51</v>
      </c>
    </row>
    <row r="982" spans="1:14" x14ac:dyDescent="0.15">
      <c r="A982" s="23" t="s">
        <v>114</v>
      </c>
      <c r="B982" s="28" t="s">
        <v>51</v>
      </c>
      <c r="C982" s="25">
        <v>3962710.7</v>
      </c>
      <c r="D982" s="22" t="s">
        <v>2100</v>
      </c>
      <c r="E982" s="22" t="s">
        <v>96</v>
      </c>
      <c r="F982" s="23" t="str">
        <f t="shared" ref="F982:F998" si="7">HYPERLINK("https://www.spark-marketing.ru/Card/Lot/74119873", "Оказание услуг по организации питания для школ Пестречинского муниципального района РТ")</f>
        <v>Оказание услуг по организации питания для школ Пестречинского муниципального района РТ</v>
      </c>
      <c r="G982" s="22" t="s">
        <v>51</v>
      </c>
      <c r="H982" s="22" t="s">
        <v>51</v>
      </c>
      <c r="I982" s="26">
        <v>43739.702083333301</v>
      </c>
      <c r="J982" s="23" t="str">
        <f t="shared" ref="J982:J998" si="8">HYPERLINK("https://www.spark-marketing.ru/Card/Person/49008", "АО ""ДЕПАРТАМЕНТ ПРОДОВОЛЬСТВИЯ""")</f>
        <v>АО "ДЕПАРТАМЕНТ ПРОДОВОЛЬСТВИЯ"</v>
      </c>
      <c r="K982" s="24" t="s">
        <v>2101</v>
      </c>
      <c r="L982" s="22" t="s">
        <v>10</v>
      </c>
      <c r="M982" s="28" t="s">
        <v>51</v>
      </c>
      <c r="N982" s="28" t="s">
        <v>51</v>
      </c>
    </row>
    <row r="983" spans="1:14" hidden="1" outlineLevel="1" x14ac:dyDescent="0.15">
      <c r="A983" s="23" t="str">
        <f>HYPERLINK("https://www.spark-marketing.ru/Card/Person/256014", "МБОУ "" ЛЕНИНО-КОКУШКИНСКАЯ СОШ """)</f>
        <v>МБОУ " ЛЕНИНО-КОКУШКИНСКАЯ СОШ "</v>
      </c>
      <c r="B983" s="24" t="s">
        <v>2102</v>
      </c>
      <c r="C983" s="25">
        <v>264772.8</v>
      </c>
      <c r="D983" s="22" t="s">
        <v>2100</v>
      </c>
      <c r="E983" s="22" t="s">
        <v>96</v>
      </c>
      <c r="F983" s="23" t="str">
        <f t="shared" si="7"/>
        <v>Оказание услуг по организации питания для школ Пестречинского муниципального района РТ</v>
      </c>
      <c r="G983" s="22" t="s">
        <v>217</v>
      </c>
      <c r="H983" s="22" t="s">
        <v>2103</v>
      </c>
      <c r="I983" s="26">
        <v>43739.702083333301</v>
      </c>
      <c r="J983" s="23" t="str">
        <f t="shared" si="8"/>
        <v>АО "ДЕПАРТАМЕНТ ПРОДОВОЛЬСТВИЯ"</v>
      </c>
      <c r="K983" s="24" t="s">
        <v>2101</v>
      </c>
      <c r="L983" s="22" t="s">
        <v>10</v>
      </c>
      <c r="M983" s="28" t="s">
        <v>51</v>
      </c>
      <c r="N983" s="28" t="s">
        <v>51</v>
      </c>
    </row>
    <row r="984" spans="1:14" hidden="1" outlineLevel="1" x14ac:dyDescent="0.15">
      <c r="A984" s="23" t="str">
        <f>HYPERLINK("https://www.spark-marketing.ru/Card/Person/171278", "МБОУ ""КОЩАКОВСКАЯ СРЕДНЯЯ ОБЩЕОБРАЗОВАТЕЛЬНАЯ ШКОЛА""")</f>
        <v>МБОУ "КОЩАКОВСКАЯ СРЕДНЯЯ ОБЩЕОБРАЗОВАТЕЛЬНАЯ ШКОЛА"</v>
      </c>
      <c r="B984" s="24" t="s">
        <v>2104</v>
      </c>
      <c r="C984" s="25">
        <v>700553.2</v>
      </c>
      <c r="D984" s="22" t="s">
        <v>2100</v>
      </c>
      <c r="E984" s="22" t="s">
        <v>96</v>
      </c>
      <c r="F984" s="23" t="str">
        <f t="shared" si="7"/>
        <v>Оказание услуг по организации питания для школ Пестречинского муниципального района РТ</v>
      </c>
      <c r="G984" s="22" t="s">
        <v>217</v>
      </c>
      <c r="H984" s="22" t="s">
        <v>2103</v>
      </c>
      <c r="I984" s="26">
        <v>43739.702083333301</v>
      </c>
      <c r="J984" s="23" t="str">
        <f t="shared" si="8"/>
        <v>АО "ДЕПАРТАМЕНТ ПРОДОВОЛЬСТВИЯ"</v>
      </c>
      <c r="K984" s="24" t="s">
        <v>2101</v>
      </c>
      <c r="L984" s="22" t="s">
        <v>10</v>
      </c>
      <c r="M984" s="28" t="s">
        <v>51</v>
      </c>
      <c r="N984" s="28" t="s">
        <v>51</v>
      </c>
    </row>
    <row r="985" spans="1:14" hidden="1" outlineLevel="1" x14ac:dyDescent="0.15">
      <c r="A985" s="23" t="str">
        <f>HYPERLINK("https://www.spark-marketing.ru/Card/Person/206595", "МБОУ ""ПАНОВСКАЯ ООШ""")</f>
        <v>МБОУ "ПАНОВСКАЯ ООШ"</v>
      </c>
      <c r="B985" s="24" t="s">
        <v>2105</v>
      </c>
      <c r="C985" s="25">
        <v>89616.2</v>
      </c>
      <c r="D985" s="22" t="s">
        <v>2100</v>
      </c>
      <c r="E985" s="22" t="s">
        <v>96</v>
      </c>
      <c r="F985" s="23" t="str">
        <f t="shared" si="7"/>
        <v>Оказание услуг по организации питания для школ Пестречинского муниципального района РТ</v>
      </c>
      <c r="G985" s="22" t="s">
        <v>217</v>
      </c>
      <c r="H985" s="22" t="s">
        <v>2103</v>
      </c>
      <c r="I985" s="26">
        <v>43739.702083333301</v>
      </c>
      <c r="J985" s="23" t="str">
        <f t="shared" si="8"/>
        <v>АО "ДЕПАРТАМЕНТ ПРОДОВОЛЬСТВИЯ"</v>
      </c>
      <c r="K985" s="24" t="s">
        <v>2101</v>
      </c>
      <c r="L985" s="22" t="s">
        <v>10</v>
      </c>
      <c r="M985" s="28" t="s">
        <v>51</v>
      </c>
      <c r="N985" s="28" t="s">
        <v>51</v>
      </c>
    </row>
    <row r="986" spans="1:14" hidden="1" outlineLevel="1" x14ac:dyDescent="0.15">
      <c r="A986" s="23" t="str">
        <f>HYPERLINK("https://www.spark-marketing.ru/Card/Person/255739", "МБОУ ""НАДЕЖДИНСКАЯ ООШ""")</f>
        <v>МБОУ "НАДЕЖДИНСКАЯ ООШ"</v>
      </c>
      <c r="B986" s="24" t="s">
        <v>2106</v>
      </c>
      <c r="C986" s="25">
        <v>42486.400000000001</v>
      </c>
      <c r="D986" s="22" t="s">
        <v>2100</v>
      </c>
      <c r="E986" s="22" t="s">
        <v>96</v>
      </c>
      <c r="F986" s="23" t="str">
        <f t="shared" si="7"/>
        <v>Оказание услуг по организации питания для школ Пестречинского муниципального района РТ</v>
      </c>
      <c r="G986" s="22" t="s">
        <v>217</v>
      </c>
      <c r="H986" s="22" t="s">
        <v>2103</v>
      </c>
      <c r="I986" s="26">
        <v>43739.702083333301</v>
      </c>
      <c r="J986" s="23" t="str">
        <f t="shared" si="8"/>
        <v>АО "ДЕПАРТАМЕНТ ПРОДОВОЛЬСТВИЯ"</v>
      </c>
      <c r="K986" s="24" t="s">
        <v>2101</v>
      </c>
      <c r="L986" s="22" t="s">
        <v>10</v>
      </c>
      <c r="M986" s="28" t="s">
        <v>51</v>
      </c>
      <c r="N986" s="28" t="s">
        <v>51</v>
      </c>
    </row>
    <row r="987" spans="1:14" hidden="1" outlineLevel="1" x14ac:dyDescent="0.15">
      <c r="A987" s="23" t="str">
        <f>HYPERLINK("https://www.spark-marketing.ru/Card/Person/255744", "МБОУ ""КОНСКАЯ ООШ""")</f>
        <v>МБОУ "КОНСКАЯ ООШ"</v>
      </c>
      <c r="B987" s="24" t="s">
        <v>2107</v>
      </c>
      <c r="C987" s="25">
        <v>50577.4</v>
      </c>
      <c r="D987" s="22" t="s">
        <v>2100</v>
      </c>
      <c r="E987" s="22" t="s">
        <v>96</v>
      </c>
      <c r="F987" s="23" t="str">
        <f t="shared" si="7"/>
        <v>Оказание услуг по организации питания для школ Пестречинского муниципального района РТ</v>
      </c>
      <c r="G987" s="22" t="s">
        <v>217</v>
      </c>
      <c r="H987" s="22" t="s">
        <v>2103</v>
      </c>
      <c r="I987" s="26">
        <v>43739.702083333301</v>
      </c>
      <c r="J987" s="23" t="str">
        <f t="shared" si="8"/>
        <v>АО "ДЕПАРТАМЕНТ ПРОДОВОЛЬСТВИЯ"</v>
      </c>
      <c r="K987" s="24" t="s">
        <v>2101</v>
      </c>
      <c r="L987" s="22" t="s">
        <v>10</v>
      </c>
      <c r="M987" s="28" t="s">
        <v>51</v>
      </c>
      <c r="N987" s="28" t="s">
        <v>51</v>
      </c>
    </row>
    <row r="988" spans="1:14" hidden="1" outlineLevel="1" x14ac:dyDescent="0.15">
      <c r="A988" s="23" t="str">
        <f>HYPERLINK("https://www.spark-marketing.ru/Card/Person/256016", "МБОУ ""ТАТ.ХОДЯШЕВСКАЯ СОШ""")</f>
        <v>МБОУ "ТАТ.ХОДЯШЕВСКАЯ СОШ"</v>
      </c>
      <c r="B988" s="24" t="s">
        <v>2108</v>
      </c>
      <c r="C988" s="25">
        <v>129504</v>
      </c>
      <c r="D988" s="22" t="s">
        <v>2100</v>
      </c>
      <c r="E988" s="22" t="s">
        <v>96</v>
      </c>
      <c r="F988" s="23" t="str">
        <f t="shared" si="7"/>
        <v>Оказание услуг по организации питания для школ Пестречинского муниципального района РТ</v>
      </c>
      <c r="G988" s="22" t="s">
        <v>217</v>
      </c>
      <c r="H988" s="22" t="s">
        <v>2103</v>
      </c>
      <c r="I988" s="26">
        <v>43739.702083333301</v>
      </c>
      <c r="J988" s="23" t="str">
        <f t="shared" si="8"/>
        <v>АО "ДЕПАРТАМЕНТ ПРОДОВОЛЬСТВИЯ"</v>
      </c>
      <c r="K988" s="24" t="s">
        <v>2101</v>
      </c>
      <c r="L988" s="22" t="s">
        <v>10</v>
      </c>
      <c r="M988" s="28" t="s">
        <v>51</v>
      </c>
      <c r="N988" s="28" t="s">
        <v>51</v>
      </c>
    </row>
    <row r="989" spans="1:14" hidden="1" outlineLevel="1" x14ac:dyDescent="0.15">
      <c r="A989" s="23" t="str">
        <f>HYPERLINK("https://www.spark-marketing.ru/Card/Person/256019", "МБОУ ""СТАРО-ШИГАЛЕЕВСКАЯ СОШ""")</f>
        <v>МБОУ "СТАРО-ШИГАЛЕЕВСКАЯ СОШ"</v>
      </c>
      <c r="B989" s="24" t="s">
        <v>2109</v>
      </c>
      <c r="C989" s="25">
        <v>382655.6</v>
      </c>
      <c r="D989" s="22" t="s">
        <v>2100</v>
      </c>
      <c r="E989" s="22" t="s">
        <v>96</v>
      </c>
      <c r="F989" s="23" t="str">
        <f t="shared" si="7"/>
        <v>Оказание услуг по организации питания для школ Пестречинского муниципального района РТ</v>
      </c>
      <c r="G989" s="22" t="s">
        <v>217</v>
      </c>
      <c r="H989" s="22" t="s">
        <v>2103</v>
      </c>
      <c r="I989" s="26">
        <v>43739.702083333301</v>
      </c>
      <c r="J989" s="23" t="str">
        <f t="shared" si="8"/>
        <v>АО "ДЕПАРТАМЕНТ ПРОДОВОЛЬСТВИЯ"</v>
      </c>
      <c r="K989" s="24" t="s">
        <v>2101</v>
      </c>
      <c r="L989" s="22" t="s">
        <v>10</v>
      </c>
      <c r="M989" s="28" t="s">
        <v>51</v>
      </c>
      <c r="N989" s="28" t="s">
        <v>51</v>
      </c>
    </row>
    <row r="990" spans="1:14" hidden="1" outlineLevel="1" x14ac:dyDescent="0.15">
      <c r="A990" s="23" t="str">
        <f>HYPERLINK("https://www.spark-marketing.ru/Card/Person/256021", "МБОУ ""ОТАР-ДУБРОВСКАЯ СОШ""")</f>
        <v>МБОУ "ОТАР-ДУБРОВСКАЯ СОШ"</v>
      </c>
      <c r="B990" s="24" t="s">
        <v>2110</v>
      </c>
      <c r="C990" s="25">
        <v>70863.7</v>
      </c>
      <c r="D990" s="22" t="s">
        <v>2100</v>
      </c>
      <c r="E990" s="22" t="s">
        <v>96</v>
      </c>
      <c r="F990" s="23" t="str">
        <f t="shared" si="7"/>
        <v>Оказание услуг по организации питания для школ Пестречинского муниципального района РТ</v>
      </c>
      <c r="G990" s="22" t="s">
        <v>217</v>
      </c>
      <c r="H990" s="22" t="s">
        <v>2103</v>
      </c>
      <c r="I990" s="26">
        <v>43739.702083333301</v>
      </c>
      <c r="J990" s="23" t="str">
        <f t="shared" si="8"/>
        <v>АО "ДЕПАРТАМЕНТ ПРОДОВОЛЬСТВИЯ"</v>
      </c>
      <c r="K990" s="24" t="s">
        <v>2101</v>
      </c>
      <c r="L990" s="22" t="s">
        <v>10</v>
      </c>
      <c r="M990" s="28" t="s">
        <v>51</v>
      </c>
      <c r="N990" s="28" t="s">
        <v>51</v>
      </c>
    </row>
    <row r="991" spans="1:14" hidden="1" outlineLevel="1" x14ac:dyDescent="0.15">
      <c r="A991" s="23" t="str">
        <f>HYPERLINK("https://www.spark-marketing.ru/Card/Person/256028", "МБОУ КУЛАЕВСКАЯ СОШ")</f>
        <v>МБОУ КУЛАЕВСКАЯ СОШ</v>
      </c>
      <c r="B991" s="24" t="s">
        <v>2111</v>
      </c>
      <c r="C991" s="25">
        <v>103608.8</v>
      </c>
      <c r="D991" s="22" t="s">
        <v>2100</v>
      </c>
      <c r="E991" s="22" t="s">
        <v>96</v>
      </c>
      <c r="F991" s="23" t="str">
        <f t="shared" si="7"/>
        <v>Оказание услуг по организации питания для школ Пестречинского муниципального района РТ</v>
      </c>
      <c r="G991" s="22" t="s">
        <v>217</v>
      </c>
      <c r="H991" s="22" t="s">
        <v>2103</v>
      </c>
      <c r="I991" s="26">
        <v>43739.702083333301</v>
      </c>
      <c r="J991" s="23" t="str">
        <f t="shared" si="8"/>
        <v>АО "ДЕПАРТАМЕНТ ПРОДОВОЛЬСТВИЯ"</v>
      </c>
      <c r="K991" s="24" t="s">
        <v>2101</v>
      </c>
      <c r="L991" s="22" t="s">
        <v>10</v>
      </c>
      <c r="M991" s="28" t="s">
        <v>51</v>
      </c>
      <c r="N991" s="28" t="s">
        <v>51</v>
      </c>
    </row>
    <row r="992" spans="1:14" hidden="1" outlineLevel="1" x14ac:dyDescent="0.15">
      <c r="A992" s="23" t="str">
        <f>HYPERLINK("https://www.spark-marketing.ru/Card/Person/256031", "МБОУ ""КРЯШ-СЕРДИНСКАЯ ООШ""")</f>
        <v>МБОУ "КРЯШ-СЕРДИНСКАЯ ООШ"</v>
      </c>
      <c r="B992" s="24" t="s">
        <v>2112</v>
      </c>
      <c r="C992" s="25">
        <v>44261.4</v>
      </c>
      <c r="D992" s="22" t="s">
        <v>2100</v>
      </c>
      <c r="E992" s="22" t="s">
        <v>96</v>
      </c>
      <c r="F992" s="23" t="str">
        <f t="shared" si="7"/>
        <v>Оказание услуг по организации питания для школ Пестречинского муниципального района РТ</v>
      </c>
      <c r="G992" s="22" t="s">
        <v>217</v>
      </c>
      <c r="H992" s="22" t="s">
        <v>2103</v>
      </c>
      <c r="I992" s="26">
        <v>43739.702083333301</v>
      </c>
      <c r="J992" s="23" t="str">
        <f t="shared" si="8"/>
        <v>АО "ДЕПАРТАМЕНТ ПРОДОВОЛЬСТВИЯ"</v>
      </c>
      <c r="K992" s="24" t="s">
        <v>2101</v>
      </c>
      <c r="L992" s="22" t="s">
        <v>10</v>
      </c>
      <c r="M992" s="28" t="s">
        <v>51</v>
      </c>
      <c r="N992" s="28" t="s">
        <v>51</v>
      </c>
    </row>
    <row r="993" spans="1:14" hidden="1" outlineLevel="1" x14ac:dyDescent="0.15">
      <c r="A993" s="23" t="str">
        <f>HYPERLINK("https://www.spark-marketing.ru/Card/Person/256033", "МБОУ ""ПЕСТРЕЧИНСКАЯ СОШ №1""""")</f>
        <v>МБОУ "ПЕСТРЕЧИНСКАЯ СОШ №1""</v>
      </c>
      <c r="B993" s="24" t="s">
        <v>2113</v>
      </c>
      <c r="C993" s="25">
        <v>1180076.3999999999</v>
      </c>
      <c r="D993" s="22" t="s">
        <v>2100</v>
      </c>
      <c r="E993" s="22" t="s">
        <v>96</v>
      </c>
      <c r="F993" s="23" t="str">
        <f t="shared" si="7"/>
        <v>Оказание услуг по организации питания для школ Пестречинского муниципального района РТ</v>
      </c>
      <c r="G993" s="22" t="s">
        <v>217</v>
      </c>
      <c r="H993" s="22" t="s">
        <v>2103</v>
      </c>
      <c r="I993" s="26">
        <v>43739.702083333301</v>
      </c>
      <c r="J993" s="23" t="str">
        <f t="shared" si="8"/>
        <v>АО "ДЕПАРТАМЕНТ ПРОДОВОЛЬСТВИЯ"</v>
      </c>
      <c r="K993" s="24" t="s">
        <v>2101</v>
      </c>
      <c r="L993" s="22" t="s">
        <v>10</v>
      </c>
      <c r="M993" s="28" t="s">
        <v>51</v>
      </c>
      <c r="N993" s="28" t="s">
        <v>51</v>
      </c>
    </row>
    <row r="994" spans="1:14" hidden="1" outlineLevel="1" x14ac:dyDescent="0.15">
      <c r="A994" s="23" t="str">
        <f>HYPERLINK("https://www.spark-marketing.ru/Card/Person/256035", "МБОУ ""ШАЛИНСКАЯ СОШ ИМЕНИ САФИНА Ф.А.""")</f>
        <v>МБОУ "ШАЛИНСКАЯ СОШ ИМЕНИ САФИНА Ф.А."</v>
      </c>
      <c r="B994" s="24" t="s">
        <v>2114</v>
      </c>
      <c r="C994" s="25">
        <v>113894.9</v>
      </c>
      <c r="D994" s="22" t="s">
        <v>2100</v>
      </c>
      <c r="E994" s="22" t="s">
        <v>96</v>
      </c>
      <c r="F994" s="23" t="str">
        <f t="shared" si="7"/>
        <v>Оказание услуг по организации питания для школ Пестречинского муниципального района РТ</v>
      </c>
      <c r="G994" s="22" t="s">
        <v>217</v>
      </c>
      <c r="H994" s="22" t="s">
        <v>2103</v>
      </c>
      <c r="I994" s="26">
        <v>43739.702083333301</v>
      </c>
      <c r="J994" s="23" t="str">
        <f t="shared" si="8"/>
        <v>АО "ДЕПАРТАМЕНТ ПРОДОВОЛЬСТВИЯ"</v>
      </c>
      <c r="K994" s="24" t="s">
        <v>2101</v>
      </c>
      <c r="L994" s="22" t="s">
        <v>10</v>
      </c>
      <c r="M994" s="28" t="s">
        <v>51</v>
      </c>
      <c r="N994" s="28" t="s">
        <v>51</v>
      </c>
    </row>
    <row r="995" spans="1:14" hidden="1" outlineLevel="1" x14ac:dyDescent="0.15">
      <c r="A995" s="23" t="str">
        <f>HYPERLINK("https://www.spark-marketing.ru/Card/Person/256036", "МБОУ ""ЧИТИНСКАЯ ООШ""")</f>
        <v>МБОУ "ЧИТИНСКАЯ ООШ"</v>
      </c>
      <c r="B995" s="24" t="s">
        <v>2115</v>
      </c>
      <c r="C995" s="25">
        <v>39170.699999999997</v>
      </c>
      <c r="D995" s="22" t="s">
        <v>2100</v>
      </c>
      <c r="E995" s="22" t="s">
        <v>96</v>
      </c>
      <c r="F995" s="23" t="str">
        <f t="shared" si="7"/>
        <v>Оказание услуг по организации питания для школ Пестречинского муниципального района РТ</v>
      </c>
      <c r="G995" s="22" t="s">
        <v>217</v>
      </c>
      <c r="H995" s="22" t="s">
        <v>2103</v>
      </c>
      <c r="I995" s="26">
        <v>43739.702083333301</v>
      </c>
      <c r="J995" s="23" t="str">
        <f t="shared" si="8"/>
        <v>АО "ДЕПАРТАМЕНТ ПРОДОВОЛЬСТВИЯ"</v>
      </c>
      <c r="K995" s="24" t="s">
        <v>2101</v>
      </c>
      <c r="L995" s="22" t="s">
        <v>10</v>
      </c>
      <c r="M995" s="28" t="s">
        <v>51</v>
      </c>
      <c r="N995" s="28" t="s">
        <v>51</v>
      </c>
    </row>
    <row r="996" spans="1:14" hidden="1" outlineLevel="1" x14ac:dyDescent="0.15">
      <c r="A996" s="23" t="str">
        <f>HYPERLINK("https://www.spark-marketing.ru/Card/Person/256042", "МБОУ ""КИБЯЧИНСКАЯ ООШ""")</f>
        <v>МБОУ "КИБЯЧИНСКАЯ ООШ"</v>
      </c>
      <c r="B996" s="24" t="s">
        <v>2116</v>
      </c>
      <c r="C996" s="25">
        <v>25453.5</v>
      </c>
      <c r="D996" s="22" t="s">
        <v>2100</v>
      </c>
      <c r="E996" s="22" t="s">
        <v>96</v>
      </c>
      <c r="F996" s="23" t="str">
        <f t="shared" si="7"/>
        <v>Оказание услуг по организации питания для школ Пестречинского муниципального района РТ</v>
      </c>
      <c r="G996" s="22" t="s">
        <v>217</v>
      </c>
      <c r="H996" s="22" t="s">
        <v>2103</v>
      </c>
      <c r="I996" s="26">
        <v>43739.702083333301</v>
      </c>
      <c r="J996" s="23" t="str">
        <f t="shared" si="8"/>
        <v>АО "ДЕПАРТАМЕНТ ПРОДОВОЛЬСТВИЯ"</v>
      </c>
      <c r="K996" s="24" t="s">
        <v>2101</v>
      </c>
      <c r="L996" s="22" t="s">
        <v>10</v>
      </c>
      <c r="M996" s="28" t="s">
        <v>51</v>
      </c>
      <c r="N996" s="28" t="s">
        <v>51</v>
      </c>
    </row>
    <row r="997" spans="1:14" hidden="1" outlineLevel="1" x14ac:dyDescent="0.15">
      <c r="A997" s="23" t="str">
        <f>HYPERLINK("https://www.spark-marketing.ru/Card/Person/256043", "МБОУ ""ПЕСТРЕЧИНСКАЯ СОШ №2""")</f>
        <v>МБОУ "ПЕСТРЕЧИНСКАЯ СОШ №2"</v>
      </c>
      <c r="B997" s="24" t="s">
        <v>2117</v>
      </c>
      <c r="C997" s="25">
        <v>357137.1</v>
      </c>
      <c r="D997" s="22" t="s">
        <v>2100</v>
      </c>
      <c r="E997" s="22" t="s">
        <v>96</v>
      </c>
      <c r="F997" s="23" t="str">
        <f t="shared" si="7"/>
        <v>Оказание услуг по организации питания для школ Пестречинского муниципального района РТ</v>
      </c>
      <c r="G997" s="22" t="s">
        <v>217</v>
      </c>
      <c r="H997" s="22" t="s">
        <v>2103</v>
      </c>
      <c r="I997" s="26">
        <v>43739.702083333301</v>
      </c>
      <c r="J997" s="23" t="str">
        <f t="shared" si="8"/>
        <v>АО "ДЕПАРТАМЕНТ ПРОДОВОЛЬСТВИЯ"</v>
      </c>
      <c r="K997" s="24" t="s">
        <v>2101</v>
      </c>
      <c r="L997" s="22" t="s">
        <v>10</v>
      </c>
      <c r="M997" s="28" t="s">
        <v>51</v>
      </c>
      <c r="N997" s="28" t="s">
        <v>51</v>
      </c>
    </row>
    <row r="998" spans="1:14" hidden="1" outlineLevel="1" x14ac:dyDescent="0.15">
      <c r="A998" s="23" t="str">
        <f>HYPERLINK("https://www.spark-marketing.ru/Card/Person/256045", "МБОУ БОГОРОДСКАЯ СОШ")</f>
        <v>МБОУ БОГОРОДСКАЯ СОШ</v>
      </c>
      <c r="B998" s="24" t="s">
        <v>2118</v>
      </c>
      <c r="C998" s="25">
        <v>368078.6</v>
      </c>
      <c r="D998" s="22" t="s">
        <v>2100</v>
      </c>
      <c r="E998" s="22" t="s">
        <v>96</v>
      </c>
      <c r="F998" s="23" t="str">
        <f t="shared" si="7"/>
        <v>Оказание услуг по организации питания для школ Пестречинского муниципального района РТ</v>
      </c>
      <c r="G998" s="22" t="s">
        <v>217</v>
      </c>
      <c r="H998" s="22" t="s">
        <v>2103</v>
      </c>
      <c r="I998" s="26">
        <v>43739.702083333301</v>
      </c>
      <c r="J998" s="23" t="str">
        <f t="shared" si="8"/>
        <v>АО "ДЕПАРТАМЕНТ ПРОДОВОЛЬСТВИЯ"</v>
      </c>
      <c r="K998" s="24" t="s">
        <v>2101</v>
      </c>
      <c r="L998" s="22" t="s">
        <v>10</v>
      </c>
      <c r="M998" s="28" t="s">
        <v>51</v>
      </c>
      <c r="N998" s="28" t="s">
        <v>51</v>
      </c>
    </row>
    <row r="999" spans="1:14" x14ac:dyDescent="0.15">
      <c r="A999" s="23" t="str">
        <f>HYPERLINK("https://www.spark-marketing.ru/Card/Person/1056565", "МОУ СОШ №3")</f>
        <v>МОУ СОШ №3</v>
      </c>
      <c r="B999" s="24" t="s">
        <v>2119</v>
      </c>
      <c r="C999" s="25">
        <v>2128750</v>
      </c>
      <c r="D999" s="22" t="s">
        <v>2120</v>
      </c>
      <c r="E999" s="22" t="s">
        <v>48</v>
      </c>
      <c r="F999" s="23" t="str">
        <f>HYPERLINK("https://www.spark-marketing.ru/Card/Lot/74106130", "Оказание услуг по организации питания для категорий, обучающихся из многодетных, малообеспеченных, опекаемых семей, детей-инвалидов, начальных классов МОУ СОШ №3")</f>
        <v>Оказание услуг по организации питания для категорий, обучающихся из многодетных, малообеспеченных, опекаемых семей, детей-инвалидов, начальных классов МОУ СОШ №3</v>
      </c>
      <c r="G999" s="22" t="s">
        <v>185</v>
      </c>
      <c r="H999" s="22" t="s">
        <v>2121</v>
      </c>
      <c r="I999" s="26">
        <v>43739.682916666701</v>
      </c>
      <c r="J999" s="23" t="str">
        <f>HYPERLINK("https://www.spark-marketing.ru/Card/Person/1514224", "Воробьева Тамара Петровна")</f>
        <v>Воробьева Тамара Петровна</v>
      </c>
      <c r="K999" s="24" t="s">
        <v>2122</v>
      </c>
      <c r="L999" s="22" t="s">
        <v>10</v>
      </c>
      <c r="M999" s="28" t="s">
        <v>51</v>
      </c>
      <c r="N999" s="28" t="s">
        <v>51</v>
      </c>
    </row>
    <row r="1000" spans="1:14" x14ac:dyDescent="0.15">
      <c r="A1000" s="23" t="str">
        <f>HYPERLINK("https://www.spark-marketing.ru/Card/Person/6086", "ГКУ ""ДИРЕКЦИЯ ОДОТСЗН Г. МОСКВЫ""")</f>
        <v>ГКУ "ДИРЕКЦИЯ ОДОТСЗН Г. МОСКВЫ"</v>
      </c>
      <c r="B1000" s="24" t="s">
        <v>164</v>
      </c>
      <c r="C1000" s="25">
        <v>2534742.4500000002</v>
      </c>
      <c r="D1000" s="22" t="s">
        <v>2123</v>
      </c>
      <c r="E1000" s="22" t="s">
        <v>96</v>
      </c>
      <c r="F1000" s="23" t="str">
        <f>HYPERLINK("https://www.spark-marketing.ru/Card/Lot/74111716", "Организация горячего питания в ГБУ ПНИ № 4 в 2019 году (226-19-4-6)")</f>
        <v>Организация горячего питания в ГБУ ПНИ № 4 в 2019 году (226-19-4-6)</v>
      </c>
      <c r="G1000" s="22" t="s">
        <v>56</v>
      </c>
      <c r="H1000" s="22" t="s">
        <v>56</v>
      </c>
      <c r="I1000" s="26">
        <v>43739.696689814802</v>
      </c>
      <c r="J1000" s="28" t="s">
        <v>51</v>
      </c>
      <c r="K1000" s="28" t="s">
        <v>51</v>
      </c>
      <c r="L1000" s="28" t="s">
        <v>51</v>
      </c>
      <c r="M1000" s="28" t="s">
        <v>51</v>
      </c>
      <c r="N1000" s="28" t="s">
        <v>51</v>
      </c>
    </row>
    <row r="1001" spans="1:14" x14ac:dyDescent="0.15">
      <c r="A1001" s="23" t="str">
        <f>HYPERLINK("https://www.spark-marketing.ru/Card/Person/140520", "ОТДЕЛ МВД РОССИИ ПО ДОБРЯНСКОМУ РАЙОНУ")</f>
        <v>ОТДЕЛ МВД РОССИИ ПО ДОБРЯНСКОМУ РАЙОНУ</v>
      </c>
      <c r="B1001" s="24" t="s">
        <v>2124</v>
      </c>
      <c r="C1001" s="25">
        <v>246019.89</v>
      </c>
      <c r="D1001" s="22" t="s">
        <v>2125</v>
      </c>
      <c r="E1001" s="22" t="s">
        <v>48</v>
      </c>
      <c r="F1001" s="23" t="str">
        <f>HYPERLINK("https://www.spark-marketing.ru/Card/Lot/74108445", "оказание услуг по обеспечению горячим питанием")</f>
        <v>оказание услуг по обеспечению горячим питанием</v>
      </c>
      <c r="G1001" s="22" t="s">
        <v>153</v>
      </c>
      <c r="H1001" s="22" t="s">
        <v>2126</v>
      </c>
      <c r="I1001" s="26">
        <v>43739.671527777798</v>
      </c>
      <c r="J1001" s="23" t="str">
        <f>HYPERLINK("https://www.spark-marketing.ru/Card/Person/5877378", "Цигвинцева Ольга Валентиновна")</f>
        <v>Цигвинцева Ольга Валентиновна</v>
      </c>
      <c r="K1001" s="24" t="s">
        <v>2127</v>
      </c>
      <c r="L1001" s="22" t="s">
        <v>10</v>
      </c>
      <c r="M1001" s="28" t="s">
        <v>51</v>
      </c>
      <c r="N1001" s="28" t="s">
        <v>51</v>
      </c>
    </row>
    <row r="1002" spans="1:14" x14ac:dyDescent="0.15">
      <c r="A1002" s="23" t="str">
        <f>HYPERLINK("https://www.spark-marketing.ru/Card/Person/737290", "ГКУ «ЦБЗ ПРИ МИНЗДРАВЕ КАРЕЛИИ»")</f>
        <v>ГКУ «ЦБЗ ПРИ МИНЗДРАВЕ КАРЕЛИИ»</v>
      </c>
      <c r="B1002" s="24" t="s">
        <v>312</v>
      </c>
      <c r="C1002" s="25">
        <v>283880</v>
      </c>
      <c r="D1002" s="22" t="s">
        <v>2128</v>
      </c>
      <c r="E1002" s="22" t="s">
        <v>52</v>
      </c>
      <c r="F1002" s="23" t="str">
        <f>HYPERLINK("https://www.spark-marketing.ru/Card/Lot/74108423", "Поставка лекарственного препарата Ипратропия бромид+Фенотерол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и...")</f>
        <v>Поставка лекарственного препарата Ипратропия бромид+Фенотерол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</v>
      </c>
      <c r="G1002" s="22" t="s">
        <v>59</v>
      </c>
      <c r="H1002" s="22" t="s">
        <v>314</v>
      </c>
      <c r="I1002" s="26">
        <v>43739.681909722203</v>
      </c>
      <c r="J1002" s="23" t="str">
        <f>HYPERLINK("https://www.spark-marketing.ru/Card/Person/5887470", "ООО ""ВИТАЛОН""")</f>
        <v>ООО "ВИТАЛОН"</v>
      </c>
      <c r="K1002" s="24" t="s">
        <v>2129</v>
      </c>
      <c r="L1002" s="28" t="s">
        <v>51</v>
      </c>
      <c r="M1002" s="28" t="s">
        <v>51</v>
      </c>
      <c r="N1002" s="28" t="s">
        <v>51</v>
      </c>
    </row>
    <row r="1003" spans="1:14" ht="12.75" hidden="1" outlineLevel="1" x14ac:dyDescent="0.2">
      <c r="A1003" s="23" t="str">
        <f>HYPERLINK("https://www.spark-marketing.ru/Card/Person/737290", "ГКУ «ЦБЗ ПРИ МИНЗДРАВЕ КАРЕЛИИ»")</f>
        <v>ГКУ «ЦБЗ ПРИ МИНЗДРАВЕ КАРЕЛИИ»</v>
      </c>
      <c r="B1003" s="24" t="s">
        <v>312</v>
      </c>
      <c r="C1003" s="25">
        <v>283880</v>
      </c>
      <c r="D1003" s="22" t="s">
        <v>2128</v>
      </c>
      <c r="E1003" s="22" t="s">
        <v>52</v>
      </c>
      <c r="F1003" s="23" t="str">
        <f>HYPERLINK("https://www.spark-marketing.ru/Card/Lot/74108423", "Поставка лекарственного препарата Ипратропия бромид+Фенотерол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и...")</f>
        <v>Поставка лекарственного препарата Ипратропия бромид+Фенотерол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</v>
      </c>
      <c r="G1003" s="22" t="s">
        <v>59</v>
      </c>
      <c r="H1003" s="22" t="s">
        <v>314</v>
      </c>
      <c r="I1003" s="26">
        <v>43739.681909722203</v>
      </c>
      <c r="J1003" s="23" t="str">
        <f>HYPERLINK("https://www.spark-marketing.ru/Card/Person/5887470", "ООО ""ВИТАЛОН""")</f>
        <v>ООО "ВИТАЛОН"</v>
      </c>
      <c r="K1003" s="24" t="s">
        <v>2129</v>
      </c>
      <c r="L1003" s="22" t="s">
        <v>10</v>
      </c>
      <c r="M1003" s="25">
        <v>282460</v>
      </c>
      <c r="N1003" s="27">
        <v>5.00211356911371E-3</v>
      </c>
    </row>
    <row r="1004" spans="1:14" x14ac:dyDescent="0.15">
      <c r="A1004" s="23" t="str">
        <f>HYPERLINK("https://www.spark-marketing.ru/Card/Person/4353225", "УО")</f>
        <v>УО</v>
      </c>
      <c r="B1004" s="24" t="s">
        <v>2130</v>
      </c>
      <c r="C1004" s="25">
        <v>1452200</v>
      </c>
      <c r="D1004" s="22" t="s">
        <v>2131</v>
      </c>
      <c r="E1004" s="22" t="s">
        <v>48</v>
      </c>
      <c r="F1004" s="23" t="str">
        <f>HYPERLINK("https://www.spark-marketing.ru/Card/Lot/74111247", "Оказание услуг по организации общественного питания детей в лагерях дневного пребывания, созданных на базе муниципальных образовательных учреждений")</f>
        <v>Оказание услуг по организации общественного питания детей в лагерях дневного пребывания, созданных на базе муниципальных образовательных учреждений</v>
      </c>
      <c r="G1004" s="22" t="s">
        <v>132</v>
      </c>
      <c r="H1004" s="22" t="s">
        <v>133</v>
      </c>
      <c r="I1004" s="26">
        <v>43739.638217592597</v>
      </c>
      <c r="J1004" s="23" t="str">
        <f>HYPERLINK("https://www.spark-marketing.ru/Card/Person/54973", "ООО ""КШП ""ПОДРОСТОК""")</f>
        <v>ООО "КШП "ПОДРОСТОК"</v>
      </c>
      <c r="K1004" s="24" t="s">
        <v>2132</v>
      </c>
      <c r="L1004" s="22" t="s">
        <v>10</v>
      </c>
      <c r="M1004" s="28" t="s">
        <v>51</v>
      </c>
      <c r="N1004" s="28" t="s">
        <v>51</v>
      </c>
    </row>
    <row r="1005" spans="1:14" x14ac:dyDescent="0.15">
      <c r="A1005" s="23" t="str">
        <f>HYPERLINK("https://www.spark-marketing.ru/Card/Person/1031602", "МБУК ""ИВАШКОВСКИЙ СДК""")</f>
        <v>МБУК "ИВАШКОВСКИЙ СДК"</v>
      </c>
      <c r="B1005" s="24" t="s">
        <v>2133</v>
      </c>
      <c r="C1005" s="25">
        <v>199394.8</v>
      </c>
      <c r="D1005" s="22" t="s">
        <v>2134</v>
      </c>
      <c r="E1005" s="22" t="s">
        <v>2135</v>
      </c>
      <c r="F1005" s="23" t="str">
        <f>HYPERLINK("https://www.spark-marketing.ru/Card/Lot/74097319", "Оказание услуг по подключению системы ""Безопасный регион""")</f>
        <v>Оказание услуг по подключению системы "Безопасный регион"</v>
      </c>
      <c r="G1005" s="22" t="s">
        <v>49</v>
      </c>
      <c r="H1005" s="22" t="s">
        <v>2136</v>
      </c>
      <c r="I1005" s="26">
        <v>43739.659201388902</v>
      </c>
      <c r="J1005" s="28" t="s">
        <v>51</v>
      </c>
      <c r="K1005" s="28" t="s">
        <v>51</v>
      </c>
      <c r="L1005" s="28" t="s">
        <v>51</v>
      </c>
      <c r="M1005" s="28" t="s">
        <v>51</v>
      </c>
      <c r="N1005" s="28" t="s">
        <v>51</v>
      </c>
    </row>
    <row r="1006" spans="1:14" x14ac:dyDescent="0.15">
      <c r="A1006" s="23" t="str">
        <f>HYPERLINK("https://www.spark-marketing.ru/Card/Person/1752165", "АО ""ГРИНАТОМ""")</f>
        <v>АО "ГРИНАТОМ"</v>
      </c>
      <c r="B1006" s="24" t="s">
        <v>509</v>
      </c>
      <c r="C1006" s="28" t="s">
        <v>51</v>
      </c>
      <c r="D1006" s="22" t="s">
        <v>2137</v>
      </c>
      <c r="E1006" s="22" t="s">
        <v>48</v>
      </c>
      <c r="F1006" s="23" t="str">
        <f>HYPERLINK("https://www.spark-marketing.ru/Card/Lot/74097498", "Оказание услуг кейтеринга на представительских мероприятиях и услуг по обеспечению продуктами питания филиала АО «Гринатом» в г. Н. Новгороде")</f>
        <v>Оказание услуг кейтеринга на представительских мероприятиях и услуг по обеспечению продуктами питания филиала АО «Гринатом» в г. Н. Новгороде</v>
      </c>
      <c r="G1006" s="22" t="s">
        <v>56</v>
      </c>
      <c r="H1006" s="22" t="s">
        <v>56</v>
      </c>
      <c r="I1006" s="26">
        <v>43739.595509259299</v>
      </c>
      <c r="J1006" s="28" t="s">
        <v>51</v>
      </c>
      <c r="K1006" s="28" t="s">
        <v>51</v>
      </c>
      <c r="L1006" s="28" t="s">
        <v>51</v>
      </c>
      <c r="M1006" s="28" t="s">
        <v>51</v>
      </c>
      <c r="N1006" s="28" t="s">
        <v>51</v>
      </c>
    </row>
    <row r="1007" spans="1:14" x14ac:dyDescent="0.15">
      <c r="A1007" s="23" t="str">
        <f>HYPERLINK("https://www.spark-marketing.ru/Card/Person/3494", "ОГКУ ""УПРАВЛЕНИЕ ДЕЛАМИ УЛЬЯНОВСКОЙ ОБЛАСТИ""")</f>
        <v>ОГКУ "УПРАВЛЕНИЕ ДЕЛАМИ УЛЬЯНОВСКОЙ ОБЛАСТИ"</v>
      </c>
      <c r="B1007" s="24" t="s">
        <v>2138</v>
      </c>
      <c r="C1007" s="25">
        <v>181570.33</v>
      </c>
      <c r="D1007" s="22" t="s">
        <v>2139</v>
      </c>
      <c r="E1007" s="22" t="s">
        <v>152</v>
      </c>
      <c r="F1007" s="23" t="str">
        <f>HYPERLINK("https://www.spark-marketing.ru/Card/Lot/74107148", "Услуги по техническому обслуживанию и ремонту кондиционеров и сплит-систем")</f>
        <v>Услуги по техническому обслуживанию и ремонту кондиционеров и сплит-систем</v>
      </c>
      <c r="G1007" s="22" t="s">
        <v>1918</v>
      </c>
      <c r="H1007" s="22" t="s">
        <v>2140</v>
      </c>
      <c r="I1007" s="26">
        <v>43739.610416666699</v>
      </c>
      <c r="J1007" s="28" t="s">
        <v>51</v>
      </c>
      <c r="K1007" s="28" t="s">
        <v>51</v>
      </c>
      <c r="L1007" s="28" t="s">
        <v>51</v>
      </c>
      <c r="M1007" s="28" t="s">
        <v>51</v>
      </c>
      <c r="N1007" s="28" t="s">
        <v>51</v>
      </c>
    </row>
    <row r="1008" spans="1:14" x14ac:dyDescent="0.15">
      <c r="A1008" s="23" t="str">
        <f>HYPERLINK("https://www.spark-marketing.ru/Card/Person/879104", "ОТДЕЛ МВД РОССИИ ПО КУРГАНИНСКОМУ РАЙОНУ")</f>
        <v>ОТДЕЛ МВД РОССИИ ПО КУРГАНИНСКОМУ РАЙОНУ</v>
      </c>
      <c r="B1008" s="24" t="s">
        <v>2141</v>
      </c>
      <c r="C1008" s="25">
        <v>83</v>
      </c>
      <c r="D1008" s="22" t="s">
        <v>2142</v>
      </c>
      <c r="E1008" s="22" t="s">
        <v>48</v>
      </c>
      <c r="F1008" s="23" t="str">
        <f>HYPERLINK("https://www.spark-marketing.ru/Card/Lot/74093784",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008" s="22" t="s">
        <v>104</v>
      </c>
      <c r="H1008" s="22" t="s">
        <v>2143</v>
      </c>
      <c r="I1008" s="26">
        <v>43739.611122685201</v>
      </c>
      <c r="J1008" s="28" t="s">
        <v>51</v>
      </c>
      <c r="K1008" s="28" t="s">
        <v>51</v>
      </c>
      <c r="L1008" s="28" t="s">
        <v>51</v>
      </c>
      <c r="M1008" s="28" t="s">
        <v>51</v>
      </c>
      <c r="N1008" s="28" t="s">
        <v>51</v>
      </c>
    </row>
    <row r="1009" spans="1:14" x14ac:dyDescent="0.15">
      <c r="A1009" s="23" t="str">
        <f>HYPERLINK("https://www.spark-marketing.ru/Card/Person/88607", "ГАУЗ ""РККВД""")</f>
        <v>ГАУЗ "РККВД"</v>
      </c>
      <c r="B1009" s="24" t="s">
        <v>2144</v>
      </c>
      <c r="C1009" s="25">
        <v>744198.72</v>
      </c>
      <c r="D1009" s="22" t="s">
        <v>2145</v>
      </c>
      <c r="E1009" s="22" t="s">
        <v>48</v>
      </c>
      <c r="F1009" s="23" t="str">
        <f>HYPERLINK("https://www.spark-marketing.ru/Card/Lot/74112532", "Оказание услуг по организации готового лечебного питания для больных, находящихся на стационарном лечении в «Набережночелнинском КВД"" - филиале ГАУЗ «РККВД» по адресу: г.Набережные Челны, ул. Комарова,22")</f>
        <v>Оказание услуг по организации готового лечебного питания для больных, находящихся на стационарном лечении в «Набережночелнинском КВД" - филиале ГАУЗ «РККВД» по адресу: г.Набережные Челны, ул. Комарова,22</v>
      </c>
      <c r="G1009" s="22" t="s">
        <v>217</v>
      </c>
      <c r="H1009" s="22" t="s">
        <v>1998</v>
      </c>
      <c r="I1009" s="26">
        <v>43739.588888888902</v>
      </c>
      <c r="J1009" s="28" t="s">
        <v>51</v>
      </c>
      <c r="K1009" s="28" t="s">
        <v>51</v>
      </c>
      <c r="L1009" s="28" t="s">
        <v>51</v>
      </c>
      <c r="M1009" s="28" t="s">
        <v>51</v>
      </c>
      <c r="N1009" s="28" t="s">
        <v>51</v>
      </c>
    </row>
    <row r="1010" spans="1:14" ht="12.75" hidden="1" outlineLevel="1" x14ac:dyDescent="0.2">
      <c r="A1010" s="23" t="str">
        <f>HYPERLINK("https://www.spark-marketing.ru/Card/Person/88607", "ГАУЗ ""РККВД""")</f>
        <v>ГАУЗ "РККВД"</v>
      </c>
      <c r="B1010" s="24" t="s">
        <v>2144</v>
      </c>
      <c r="C1010" s="25">
        <v>744198.72</v>
      </c>
      <c r="D1010" s="22" t="s">
        <v>2145</v>
      </c>
      <c r="E1010" s="22" t="s">
        <v>48</v>
      </c>
      <c r="F1010" s="23" t="str">
        <f>HYPERLINK("https://www.spark-marketing.ru/Card/Lot/74112532", "Оказание услуг по организации готового лечебного питания для больных, находящихся на стационарном лечении в «Набережночелнинском КВД"" - филиале ГАУЗ «РККВД» по адресу: г.Набережные Челны, ул. Комарова,22")</f>
        <v>Оказание услуг по организации готового лечебного питания для больных, находящихся на стационарном лечении в «Набережночелнинском КВД" - филиале ГАУЗ «РККВД» по адресу: г.Набережные Челны, ул. Комарова,22</v>
      </c>
      <c r="G1010" s="22" t="s">
        <v>217</v>
      </c>
      <c r="H1010" s="22" t="s">
        <v>1998</v>
      </c>
      <c r="I1010" s="26">
        <v>43739.588888888902</v>
      </c>
      <c r="J1010" s="23" t="str">
        <f>HYPERLINK("https://www.spark-marketing.ru/Card/Person/364224", "Гильманов Марат Ульфатович")</f>
        <v>Гильманов Марат Ульфатович</v>
      </c>
      <c r="K1010" s="24" t="s">
        <v>2146</v>
      </c>
      <c r="L1010" s="22" t="s">
        <v>10</v>
      </c>
      <c r="M1010" s="25">
        <v>736756.01</v>
      </c>
      <c r="N1010" s="27">
        <v>1.0000971245959681E-2</v>
      </c>
    </row>
    <row r="1011" spans="1:14" hidden="1" outlineLevel="1" x14ac:dyDescent="0.2">
      <c r="A1011" s="23" t="str">
        <f>HYPERLINK("https://www.spark-marketing.ru/Card/Person/88607", "ГАУЗ ""РККВД""")</f>
        <v>ГАУЗ "РККВД"</v>
      </c>
      <c r="B1011" s="24" t="s">
        <v>2144</v>
      </c>
      <c r="C1011" s="25">
        <v>744198.72</v>
      </c>
      <c r="D1011" s="22" t="s">
        <v>2145</v>
      </c>
      <c r="E1011" s="22" t="s">
        <v>48</v>
      </c>
      <c r="F1011" s="23" t="str">
        <f>HYPERLINK("https://www.spark-marketing.ru/Card/Lot/74112532", "Оказание услуг по организации готового лечебного питания для больных, находящихся на стационарном лечении в «Набережночелнинском КВД"" - филиале ГАУЗ «РККВД» по адресу: г.Набережные Челны, ул. Комарова,22")</f>
        <v>Оказание услуг по организации готового лечебного питания для больных, находящихся на стационарном лечении в «Набережночелнинском КВД" - филиале ГАУЗ «РККВД» по адресу: г.Набережные Челны, ул. Комарова,22</v>
      </c>
      <c r="G1011" s="22" t="s">
        <v>217</v>
      </c>
      <c r="H1011" s="22" t="s">
        <v>1998</v>
      </c>
      <c r="I1011" s="26">
        <v>43739.588888888902</v>
      </c>
      <c r="J1011" s="23" t="str">
        <f>HYPERLINK("https://www.spark-marketing.ru/Card/Person/987329", "ООО ""ДРУЖБА""")</f>
        <v>ООО "ДРУЖБА"</v>
      </c>
      <c r="K1011" s="24" t="s">
        <v>2147</v>
      </c>
      <c r="L1011" s="28" t="s">
        <v>51</v>
      </c>
      <c r="M1011" s="25">
        <v>740477</v>
      </c>
      <c r="N1011" s="27">
        <v>5.0009760833772997E-3</v>
      </c>
    </row>
    <row r="1012" spans="1:14" x14ac:dyDescent="0.15">
      <c r="A1012" s="23" t="str">
        <f t="shared" ref="A1012:A1022" si="9">HYPERLINK("https://www.spark-marketing.ru/Card/Person/88249", "ФКУ ИК-5 УФСИН РОССИИ ПО ВОЛГОГРАДСКОЙ ОБЛАСТИ")</f>
        <v>ФКУ ИК-5 УФСИН РОССИИ ПО ВОЛГОГРАДСКОЙ ОБЛАСТИ</v>
      </c>
      <c r="B1012" s="24" t="s">
        <v>2148</v>
      </c>
      <c r="C1012" s="25">
        <v>219033.3</v>
      </c>
      <c r="D1012" s="22" t="s">
        <v>2149</v>
      </c>
      <c r="E1012" s="22" t="s">
        <v>2150</v>
      </c>
      <c r="F1012" s="23" t="str">
        <f t="shared" ref="F1012:F1022" si="10">HYPERLINK("https://www.spark-marketing.ru/Card/Lot/74107404", "Транспортно-экспедиционные услуги по перевозке груза (продукты питания)")</f>
        <v>Транспортно-экспедиционные услуги по перевозке груза (продукты питания)</v>
      </c>
      <c r="G1012" s="22" t="s">
        <v>158</v>
      </c>
      <c r="H1012" s="22" t="s">
        <v>2151</v>
      </c>
      <c r="I1012" s="26">
        <v>43739.663888888899</v>
      </c>
      <c r="J1012" s="28" t="s">
        <v>51</v>
      </c>
      <c r="K1012" s="28" t="s">
        <v>51</v>
      </c>
      <c r="L1012" s="28" t="s">
        <v>51</v>
      </c>
      <c r="M1012" s="28" t="s">
        <v>51</v>
      </c>
      <c r="N1012" s="28" t="s">
        <v>51</v>
      </c>
    </row>
    <row r="1013" spans="1:14" ht="12.75" hidden="1" outlineLevel="1" x14ac:dyDescent="0.2">
      <c r="A1013" s="23" t="str">
        <f t="shared" si="9"/>
        <v>ФКУ ИК-5 УФСИН РОССИИ ПО ВОЛГОГРАДСКОЙ ОБЛАСТИ</v>
      </c>
      <c r="B1013" s="24" t="s">
        <v>2148</v>
      </c>
      <c r="C1013" s="25">
        <v>219033.3</v>
      </c>
      <c r="D1013" s="22" t="s">
        <v>2149</v>
      </c>
      <c r="E1013" s="22" t="s">
        <v>2150</v>
      </c>
      <c r="F1013" s="23" t="str">
        <f t="shared" si="10"/>
        <v>Транспортно-экспедиционные услуги по перевозке груза (продукты питания)</v>
      </c>
      <c r="G1013" s="22" t="s">
        <v>158</v>
      </c>
      <c r="H1013" s="22" t="s">
        <v>2151</v>
      </c>
      <c r="I1013" s="26">
        <v>43739.663888888899</v>
      </c>
      <c r="J1013" s="23" t="str">
        <f>HYPERLINK("https://www.spark-marketing.ru/Card/Person/6220196", "Пинчук Татьяна Анатольевна")</f>
        <v>Пинчук Татьяна Анатольевна</v>
      </c>
      <c r="K1013" s="24" t="s">
        <v>2152</v>
      </c>
      <c r="L1013" s="22" t="s">
        <v>10</v>
      </c>
      <c r="M1013" s="25">
        <v>177600</v>
      </c>
      <c r="N1013" s="27">
        <v>0.18916438733288499</v>
      </c>
    </row>
    <row r="1014" spans="1:14" hidden="1" outlineLevel="1" x14ac:dyDescent="0.2">
      <c r="A1014" s="23" t="str">
        <f t="shared" si="9"/>
        <v>ФКУ ИК-5 УФСИН РОССИИ ПО ВОЛГОГРАДСКОЙ ОБЛАСТИ</v>
      </c>
      <c r="B1014" s="24" t="s">
        <v>2148</v>
      </c>
      <c r="C1014" s="25">
        <v>219033.3</v>
      </c>
      <c r="D1014" s="22" t="s">
        <v>2149</v>
      </c>
      <c r="E1014" s="22" t="s">
        <v>2150</v>
      </c>
      <c r="F1014" s="23" t="str">
        <f t="shared" si="10"/>
        <v>Транспортно-экспедиционные услуги по перевозке груза (продукты питания)</v>
      </c>
      <c r="G1014" s="22" t="s">
        <v>158</v>
      </c>
      <c r="H1014" s="22" t="s">
        <v>2151</v>
      </c>
      <c r="I1014" s="26">
        <v>43739.663888888899</v>
      </c>
      <c r="J1014" s="23" t="str">
        <f>HYPERLINK("https://www.spark-marketing.ru/Card/Person/6619263", "ООО ""ОЛИМП""")</f>
        <v>ООО "ОЛИМП"</v>
      </c>
      <c r="K1014" s="24" t="s">
        <v>1896</v>
      </c>
      <c r="L1014" s="28" t="s">
        <v>51</v>
      </c>
      <c r="M1014" s="25">
        <v>179000</v>
      </c>
      <c r="N1014" s="27">
        <v>0.18277266516095955</v>
      </c>
    </row>
    <row r="1015" spans="1:14" hidden="1" outlineLevel="1" x14ac:dyDescent="0.2">
      <c r="A1015" s="23" t="str">
        <f t="shared" si="9"/>
        <v>ФКУ ИК-5 УФСИН РОССИИ ПО ВОЛГОГРАДСКОЙ ОБЛАСТИ</v>
      </c>
      <c r="B1015" s="24" t="s">
        <v>2148</v>
      </c>
      <c r="C1015" s="25">
        <v>219033.3</v>
      </c>
      <c r="D1015" s="22" t="s">
        <v>2149</v>
      </c>
      <c r="E1015" s="22" t="s">
        <v>2150</v>
      </c>
      <c r="F1015" s="23" t="str">
        <f t="shared" si="10"/>
        <v>Транспортно-экспедиционные услуги по перевозке груза (продукты питания)</v>
      </c>
      <c r="G1015" s="22" t="s">
        <v>158</v>
      </c>
      <c r="H1015" s="22" t="s">
        <v>2151</v>
      </c>
      <c r="I1015" s="26">
        <v>43739.663888888899</v>
      </c>
      <c r="J1015" s="23" t="str">
        <f>HYPERLINK("https://www.spark-marketing.ru/Card/Person/6703401", "ООО ""ТРАНС ЛОГИСТИК""")</f>
        <v>ООО "ТРАНС ЛОГИСТИК"</v>
      </c>
      <c r="K1015" s="24" t="s">
        <v>2153</v>
      </c>
      <c r="L1015" s="28" t="s">
        <v>51</v>
      </c>
      <c r="M1015" s="25">
        <v>180000</v>
      </c>
      <c r="N1015" s="27">
        <v>0.17820714932386994</v>
      </c>
    </row>
    <row r="1016" spans="1:14" hidden="1" outlineLevel="1" x14ac:dyDescent="0.2">
      <c r="A1016" s="23" t="str">
        <f t="shared" si="9"/>
        <v>ФКУ ИК-5 УФСИН РОССИИ ПО ВОЛГОГРАДСКОЙ ОБЛАСТИ</v>
      </c>
      <c r="B1016" s="24" t="s">
        <v>2148</v>
      </c>
      <c r="C1016" s="25">
        <v>219033.3</v>
      </c>
      <c r="D1016" s="22" t="s">
        <v>2149</v>
      </c>
      <c r="E1016" s="22" t="s">
        <v>2150</v>
      </c>
      <c r="F1016" s="23" t="str">
        <f t="shared" si="10"/>
        <v>Транспортно-экспедиционные услуги по перевозке груза (продукты питания)</v>
      </c>
      <c r="G1016" s="22" t="s">
        <v>158</v>
      </c>
      <c r="H1016" s="22" t="s">
        <v>2151</v>
      </c>
      <c r="I1016" s="26">
        <v>43739.663888888899</v>
      </c>
      <c r="J1016" s="23" t="str">
        <f>HYPERLINK("https://www.spark-marketing.ru/Card/Person/6051368", "ООО ""КОМПАНИЯ ""ТРАНСЛАЙН""")</f>
        <v>ООО "КОМПАНИЯ "ТРАНСЛАЙН"</v>
      </c>
      <c r="K1016" s="24" t="s">
        <v>2154</v>
      </c>
      <c r="L1016" s="28" t="s">
        <v>51</v>
      </c>
      <c r="M1016" s="25">
        <v>187000</v>
      </c>
      <c r="N1016" s="27">
        <v>0.14624853846424266</v>
      </c>
    </row>
    <row r="1017" spans="1:14" hidden="1" outlineLevel="1" x14ac:dyDescent="0.2">
      <c r="A1017" s="23" t="str">
        <f t="shared" si="9"/>
        <v>ФКУ ИК-5 УФСИН РОССИИ ПО ВОЛГОГРАДСКОЙ ОБЛАСТИ</v>
      </c>
      <c r="B1017" s="24" t="s">
        <v>2148</v>
      </c>
      <c r="C1017" s="25">
        <v>219033.3</v>
      </c>
      <c r="D1017" s="22" t="s">
        <v>2149</v>
      </c>
      <c r="E1017" s="22" t="s">
        <v>2150</v>
      </c>
      <c r="F1017" s="23" t="str">
        <f t="shared" si="10"/>
        <v>Транспортно-экспедиционные услуги по перевозке груза (продукты питания)</v>
      </c>
      <c r="G1017" s="22" t="s">
        <v>158</v>
      </c>
      <c r="H1017" s="22" t="s">
        <v>2151</v>
      </c>
      <c r="I1017" s="26">
        <v>43739.663888888899</v>
      </c>
      <c r="J1017" s="23" t="str">
        <f>HYPERLINK("https://www.spark-marketing.ru/Card/Person/4889926", "ООО ""АТО""")</f>
        <v>ООО "АТО"</v>
      </c>
      <c r="K1017" s="24" t="s">
        <v>1895</v>
      </c>
      <c r="L1017" s="28" t="s">
        <v>51</v>
      </c>
      <c r="M1017" s="25">
        <v>199000</v>
      </c>
      <c r="N1017" s="27">
        <v>9.1462348419167311E-2</v>
      </c>
    </row>
    <row r="1018" spans="1:14" hidden="1" outlineLevel="1" x14ac:dyDescent="0.2">
      <c r="A1018" s="23" t="str">
        <f t="shared" si="9"/>
        <v>ФКУ ИК-5 УФСИН РОССИИ ПО ВОЛГОГРАДСКОЙ ОБЛАСТИ</v>
      </c>
      <c r="B1018" s="24" t="s">
        <v>2148</v>
      </c>
      <c r="C1018" s="25">
        <v>219033.3</v>
      </c>
      <c r="D1018" s="22" t="s">
        <v>2149</v>
      </c>
      <c r="E1018" s="22" t="s">
        <v>2150</v>
      </c>
      <c r="F1018" s="23" t="str">
        <f t="shared" si="10"/>
        <v>Транспортно-экспедиционные услуги по перевозке груза (продукты питания)</v>
      </c>
      <c r="G1018" s="22" t="s">
        <v>158</v>
      </c>
      <c r="H1018" s="22" t="s">
        <v>2151</v>
      </c>
      <c r="I1018" s="26">
        <v>43739.663888888899</v>
      </c>
      <c r="J1018" s="23" t="str">
        <f>HYPERLINK("https://www.spark-marketing.ru/Card/Person/6238269", "ООО ""ЕВРАЗИЯ""")</f>
        <v>ООО "ЕВРАЗИЯ"</v>
      </c>
      <c r="K1018" s="24" t="s">
        <v>2155</v>
      </c>
      <c r="L1018" s="28" t="s">
        <v>51</v>
      </c>
      <c r="M1018" s="25">
        <v>208300</v>
      </c>
      <c r="N1018" s="27">
        <v>4.9003051134233928E-2</v>
      </c>
    </row>
    <row r="1019" spans="1:14" hidden="1" outlineLevel="1" x14ac:dyDescent="0.2">
      <c r="A1019" s="23" t="str">
        <f t="shared" si="9"/>
        <v>ФКУ ИК-5 УФСИН РОССИИ ПО ВОЛГОГРАДСКОЙ ОБЛАСТИ</v>
      </c>
      <c r="B1019" s="24" t="s">
        <v>2148</v>
      </c>
      <c r="C1019" s="25">
        <v>219033.3</v>
      </c>
      <c r="D1019" s="22" t="s">
        <v>2149</v>
      </c>
      <c r="E1019" s="22" t="s">
        <v>2150</v>
      </c>
      <c r="F1019" s="23" t="str">
        <f t="shared" si="10"/>
        <v>Транспортно-экспедиционные услуги по перевозке груза (продукты питания)</v>
      </c>
      <c r="G1019" s="22" t="s">
        <v>158</v>
      </c>
      <c r="H1019" s="22" t="s">
        <v>2151</v>
      </c>
      <c r="I1019" s="26">
        <v>43739.663888888899</v>
      </c>
      <c r="J1019" s="23" t="str">
        <f>HYPERLINK("https://www.spark-marketing.ru/Card/Person/4675618", "ООО ""ТАТ""")</f>
        <v>ООО "ТАТ"</v>
      </c>
      <c r="K1019" s="24" t="s">
        <v>2156</v>
      </c>
      <c r="L1019" s="28" t="s">
        <v>51</v>
      </c>
      <c r="M1019" s="25">
        <v>209999</v>
      </c>
      <c r="N1019" s="27">
        <v>4.1246239727018678E-2</v>
      </c>
    </row>
    <row r="1020" spans="1:14" hidden="1" outlineLevel="1" x14ac:dyDescent="0.2">
      <c r="A1020" s="23" t="str">
        <f t="shared" si="9"/>
        <v>ФКУ ИК-5 УФСИН РОССИИ ПО ВОЛГОГРАДСКОЙ ОБЛАСТИ</v>
      </c>
      <c r="B1020" s="24" t="s">
        <v>2148</v>
      </c>
      <c r="C1020" s="25">
        <v>219033.3</v>
      </c>
      <c r="D1020" s="22" t="s">
        <v>2149</v>
      </c>
      <c r="E1020" s="22" t="s">
        <v>2150</v>
      </c>
      <c r="F1020" s="23" t="str">
        <f t="shared" si="10"/>
        <v>Транспортно-экспедиционные услуги по перевозке груза (продукты питания)</v>
      </c>
      <c r="G1020" s="22" t="s">
        <v>158</v>
      </c>
      <c r="H1020" s="22" t="s">
        <v>2151</v>
      </c>
      <c r="I1020" s="26">
        <v>43739.663888888899</v>
      </c>
      <c r="J1020" s="23" t="str">
        <f>HYPERLINK("https://www.spark-marketing.ru/Card/Person/7773", "ООО ""ПОРТОУРАЛ""")</f>
        <v>ООО "ПОРТОУРАЛ"</v>
      </c>
      <c r="K1020" s="24" t="s">
        <v>1897</v>
      </c>
      <c r="L1020" s="28" t="s">
        <v>51</v>
      </c>
      <c r="M1020" s="25">
        <v>218800</v>
      </c>
      <c r="N1020" s="27">
        <v>1.0651348447930063E-3</v>
      </c>
    </row>
    <row r="1021" spans="1:14" hidden="1" outlineLevel="1" x14ac:dyDescent="0.2">
      <c r="A1021" s="23" t="str">
        <f t="shared" si="9"/>
        <v>ФКУ ИК-5 УФСИН РОССИИ ПО ВОЛГОГРАДСКОЙ ОБЛАСТИ</v>
      </c>
      <c r="B1021" s="24" t="s">
        <v>2148</v>
      </c>
      <c r="C1021" s="25">
        <v>219033.3</v>
      </c>
      <c r="D1021" s="22" t="s">
        <v>2149</v>
      </c>
      <c r="E1021" s="22" t="s">
        <v>2150</v>
      </c>
      <c r="F1021" s="23" t="str">
        <f t="shared" si="10"/>
        <v>Транспортно-экспедиционные услуги по перевозке груза (продукты питания)</v>
      </c>
      <c r="G1021" s="22" t="s">
        <v>158</v>
      </c>
      <c r="H1021" s="22" t="s">
        <v>2151</v>
      </c>
      <c r="I1021" s="26">
        <v>43739.663888888899</v>
      </c>
      <c r="J1021" s="23" t="str">
        <f>HYPERLINK("https://www.spark-marketing.ru/Card/Person/4469499", "Дерябин Александр Анатольевич")</f>
        <v>Дерябин Александр Анатольевич</v>
      </c>
      <c r="K1021" s="24" t="s">
        <v>2157</v>
      </c>
      <c r="L1021" s="28" t="s">
        <v>51</v>
      </c>
      <c r="M1021" s="25">
        <v>219000</v>
      </c>
      <c r="N1021" s="27">
        <v>1.5203167737508407E-4</v>
      </c>
    </row>
    <row r="1022" spans="1:14" hidden="1" outlineLevel="1" x14ac:dyDescent="0.2">
      <c r="A1022" s="23" t="str">
        <f t="shared" si="9"/>
        <v>ФКУ ИК-5 УФСИН РОССИИ ПО ВОЛГОГРАДСКОЙ ОБЛАСТИ</v>
      </c>
      <c r="B1022" s="24" t="s">
        <v>2148</v>
      </c>
      <c r="C1022" s="25">
        <v>219033.3</v>
      </c>
      <c r="D1022" s="22" t="s">
        <v>2149</v>
      </c>
      <c r="E1022" s="22" t="s">
        <v>2150</v>
      </c>
      <c r="F1022" s="23" t="str">
        <f t="shared" si="10"/>
        <v>Транспортно-экспедиционные услуги по перевозке груза (продукты питания)</v>
      </c>
      <c r="G1022" s="22" t="s">
        <v>158</v>
      </c>
      <c r="H1022" s="22" t="s">
        <v>2151</v>
      </c>
      <c r="I1022" s="26">
        <v>43739.663888888899</v>
      </c>
      <c r="J1022" s="23" t="str">
        <f>HYPERLINK("https://www.spark-marketing.ru/Card/Person/115471", "ООО ""АС-КАМЫШИН""")</f>
        <v>ООО "АС-КАМЫШИН"</v>
      </c>
      <c r="K1022" s="24" t="s">
        <v>2158</v>
      </c>
      <c r="L1022" s="28" t="s">
        <v>51</v>
      </c>
      <c r="M1022" s="25">
        <v>219033</v>
      </c>
      <c r="N1022" s="27">
        <v>1.3696547511268835E-6</v>
      </c>
    </row>
    <row r="1023" spans="1:14" x14ac:dyDescent="0.15">
      <c r="A1023" s="23" t="str">
        <f>HYPERLINK("https://www.spark-marketing.ru/Card/Person/356943", "МЕЖМУНИЦИПАЛЬНЫЙ ОТДЕЛ МВД РОССИИ ""КРАСНОСУЛИНСКИЙ""")</f>
        <v>МЕЖМУНИЦИПАЛЬНЫЙ ОТДЕЛ МВД РОССИИ "КРАСНОСУЛИНСКИЙ"</v>
      </c>
      <c r="B1023" s="24" t="s">
        <v>2159</v>
      </c>
      <c r="C1023" s="25">
        <v>1215751.67</v>
      </c>
      <c r="D1023" s="22" t="s">
        <v>2160</v>
      </c>
      <c r="E1023" s="22" t="s">
        <v>48</v>
      </c>
      <c r="F1023" s="23" t="str">
        <f>HYPERLINK("https://www.spark-marketing.ru/Card/Lot/74114424", "Услуги по питанию лиц содержащихся в ИВС")</f>
        <v>Услуги по питанию лиц содержащихся в ИВС</v>
      </c>
      <c r="G1023" s="22" t="s">
        <v>267</v>
      </c>
      <c r="H1023" s="22" t="s">
        <v>267</v>
      </c>
      <c r="I1023" s="26">
        <v>43739.567361111098</v>
      </c>
      <c r="J1023" s="28" t="s">
        <v>51</v>
      </c>
      <c r="K1023" s="28" t="s">
        <v>51</v>
      </c>
      <c r="L1023" s="28" t="s">
        <v>51</v>
      </c>
      <c r="M1023" s="28" t="s">
        <v>51</v>
      </c>
      <c r="N1023" s="28" t="s">
        <v>51</v>
      </c>
    </row>
    <row r="1024" spans="1:14" hidden="1" outlineLevel="1" x14ac:dyDescent="0.2">
      <c r="A1024" s="23" t="str">
        <f>HYPERLINK("https://www.spark-marketing.ru/Card/Person/356943", "МЕЖМУНИЦИПАЛЬНЫЙ ОТДЕЛ МВД РОССИИ ""КРАСНОСУЛИНСКИЙ""")</f>
        <v>МЕЖМУНИЦИПАЛЬНЫЙ ОТДЕЛ МВД РОССИИ "КРАСНОСУЛИНСКИЙ"</v>
      </c>
      <c r="B1024" s="24" t="s">
        <v>2159</v>
      </c>
      <c r="C1024" s="25">
        <v>1215751.67</v>
      </c>
      <c r="D1024" s="22" t="s">
        <v>2160</v>
      </c>
      <c r="E1024" s="22" t="s">
        <v>48</v>
      </c>
      <c r="F1024" s="23" t="str">
        <f>HYPERLINK("https://www.spark-marketing.ru/Card/Lot/74114424", "Услуги по питанию лиц содержащихся в ИВС")</f>
        <v>Услуги по питанию лиц содержащихся в ИВС</v>
      </c>
      <c r="G1024" s="22" t="s">
        <v>267</v>
      </c>
      <c r="H1024" s="22" t="s">
        <v>267</v>
      </c>
      <c r="I1024" s="26">
        <v>43739.567361111098</v>
      </c>
      <c r="J1024" s="23" t="str">
        <f>HYPERLINK("https://www.spark-marketing.ru/Card/Person/153449", "Педанов Виталий Александрович")</f>
        <v>Педанов Виталий Александрович</v>
      </c>
      <c r="K1024" s="24" t="s">
        <v>2161</v>
      </c>
      <c r="L1024" s="28" t="s">
        <v>51</v>
      </c>
      <c r="M1024" s="25">
        <v>954041.16</v>
      </c>
      <c r="N1024" s="27">
        <v>0.21526642032085386</v>
      </c>
    </row>
    <row r="1025" spans="1:14" ht="12.75" hidden="1" outlineLevel="1" x14ac:dyDescent="0.2">
      <c r="A1025" s="23" t="str">
        <f>HYPERLINK("https://www.spark-marketing.ru/Card/Person/356943", "МЕЖМУНИЦИПАЛЬНЫЙ ОТДЕЛ МВД РОССИИ ""КРАСНОСУЛИНСКИЙ""")</f>
        <v>МЕЖМУНИЦИПАЛЬНЫЙ ОТДЕЛ МВД РОССИИ "КРАСНОСУЛИНСКИЙ"</v>
      </c>
      <c r="B1025" s="24" t="s">
        <v>2159</v>
      </c>
      <c r="C1025" s="25">
        <v>1215751.67</v>
      </c>
      <c r="D1025" s="22" t="s">
        <v>2160</v>
      </c>
      <c r="E1025" s="22" t="s">
        <v>48</v>
      </c>
      <c r="F1025" s="23" t="str">
        <f>HYPERLINK("https://www.spark-marketing.ru/Card/Lot/74114424", "Услуги по питанию лиц содержащихся в ИВС")</f>
        <v>Услуги по питанию лиц содержащихся в ИВС</v>
      </c>
      <c r="G1025" s="22" t="s">
        <v>267</v>
      </c>
      <c r="H1025" s="22" t="s">
        <v>267</v>
      </c>
      <c r="I1025" s="26">
        <v>43739.567361111098</v>
      </c>
      <c r="J1025" s="23" t="str">
        <f>HYPERLINK("https://www.spark-marketing.ru/Card/Person/4852527", "ООО ""ВИКТОРИЯ""")</f>
        <v>ООО "ВИКТОРИЯ"</v>
      </c>
      <c r="K1025" s="24" t="s">
        <v>2162</v>
      </c>
      <c r="L1025" s="22" t="s">
        <v>10</v>
      </c>
      <c r="M1025" s="25">
        <v>947962.4</v>
      </c>
      <c r="N1025" s="27">
        <v>0.22026642167803889</v>
      </c>
    </row>
    <row r="1026" spans="1:14" x14ac:dyDescent="0.15">
      <c r="A1026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1026" s="24" t="s">
        <v>2084</v>
      </c>
      <c r="C1026" s="25">
        <v>200000</v>
      </c>
      <c r="D1026" s="22" t="s">
        <v>2163</v>
      </c>
      <c r="E1026" s="22" t="s">
        <v>2086</v>
      </c>
      <c r="F1026" s="23" t="str">
        <f>HYPERLINK("https://www.spark-marketing.ru/Card/Lot/74107274", "выполнение работ по техническому обслуживанию и ремонту источников бесперебойного питания оборудования узлов связи ИМТС для нужд Управления МВД России по городу Волгограду в 2020 году, в рамках государственного оборонного заказа")</f>
        <v>выполнение работ по техническому обслуживанию и ремонту источников бесперебойного питания оборудования узлов связи ИМТС для нужд Управления МВД России по городу Волгограду в 2020 году, в рамках государственного оборонного заказа</v>
      </c>
      <c r="G1026" s="22" t="s">
        <v>158</v>
      </c>
      <c r="H1026" s="22" t="s">
        <v>171</v>
      </c>
      <c r="I1026" s="26">
        <v>43739.546527777798</v>
      </c>
      <c r="J1026" s="28" t="s">
        <v>51</v>
      </c>
      <c r="K1026" s="28" t="s">
        <v>51</v>
      </c>
      <c r="L1026" s="28" t="s">
        <v>51</v>
      </c>
      <c r="M1026" s="28" t="s">
        <v>51</v>
      </c>
      <c r="N1026" s="28" t="s">
        <v>51</v>
      </c>
    </row>
    <row r="1027" spans="1:14" hidden="1" outlineLevel="1" x14ac:dyDescent="0.2">
      <c r="A1027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1027" s="24" t="s">
        <v>2084</v>
      </c>
      <c r="C1027" s="25">
        <v>200000</v>
      </c>
      <c r="D1027" s="22" t="s">
        <v>2163</v>
      </c>
      <c r="E1027" s="22" t="s">
        <v>2086</v>
      </c>
      <c r="F1027" s="23" t="str">
        <f>HYPERLINK("https://www.spark-marketing.ru/Card/Lot/74107274", "выполнение работ по техническому обслуживанию и ремонту источников бесперебойного питания оборудования узлов связи ИМТС для нужд Управления МВД России по городу Волгограду в 2020 году, в рамках государственного оборонного заказа")</f>
        <v>выполнение работ по техническому обслуживанию и ремонту источников бесперебойного питания оборудования узлов связи ИМТС для нужд Управления МВД России по городу Волгограду в 2020 году, в рамках государственного оборонного заказа</v>
      </c>
      <c r="G1027" s="22" t="s">
        <v>158</v>
      </c>
      <c r="H1027" s="22" t="s">
        <v>171</v>
      </c>
      <c r="I1027" s="26">
        <v>43739.546527777798</v>
      </c>
      <c r="J1027" s="23" t="str">
        <f>HYPERLINK("https://www.spark-marketing.ru/Card/Person/72365", "ООО ""АПРЕЛЬ""")</f>
        <v>ООО "АПРЕЛЬ"</v>
      </c>
      <c r="K1027" s="24" t="s">
        <v>2087</v>
      </c>
      <c r="L1027" s="28" t="s">
        <v>51</v>
      </c>
      <c r="M1027" s="25">
        <v>128706.19</v>
      </c>
      <c r="N1027" s="27">
        <v>0.35646905000000001</v>
      </c>
    </row>
    <row r="1028" spans="1:14" ht="12.75" hidden="1" outlineLevel="1" x14ac:dyDescent="0.2">
      <c r="A1028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1028" s="24" t="s">
        <v>2084</v>
      </c>
      <c r="C1028" s="25">
        <v>200000</v>
      </c>
      <c r="D1028" s="22" t="s">
        <v>2163</v>
      </c>
      <c r="E1028" s="22" t="s">
        <v>2086</v>
      </c>
      <c r="F1028" s="23" t="str">
        <f>HYPERLINK("https://www.spark-marketing.ru/Card/Lot/74107274", "выполнение работ по техническому обслуживанию и ремонту источников бесперебойного питания оборудования узлов связи ИМТС для нужд Управления МВД России по городу Волгограду в 2020 году, в рамках государственного оборонного заказа")</f>
        <v>выполнение работ по техническому обслуживанию и ремонту источников бесперебойного питания оборудования узлов связи ИМТС для нужд Управления МВД России по городу Волгограду в 2020 году, в рамках государственного оборонного заказа</v>
      </c>
      <c r="G1028" s="22" t="s">
        <v>158</v>
      </c>
      <c r="H1028" s="22" t="s">
        <v>171</v>
      </c>
      <c r="I1028" s="26">
        <v>43739.546527777798</v>
      </c>
      <c r="J1028" s="23" t="str">
        <f>HYPERLINK("https://www.spark-marketing.ru/Card/Person/500776", "ООО ""МКТРЕЙД""")</f>
        <v>ООО "МКТРЕЙД"</v>
      </c>
      <c r="K1028" s="24" t="s">
        <v>2088</v>
      </c>
      <c r="L1028" s="22" t="s">
        <v>10</v>
      </c>
      <c r="M1028" s="25">
        <v>127792.69</v>
      </c>
      <c r="N1028" s="27">
        <v>0.36103655000000001</v>
      </c>
    </row>
    <row r="1029" spans="1:14" x14ac:dyDescent="0.15">
      <c r="A1029" s="23" t="str">
        <f>HYPERLINK("https://www.spark-marketing.ru/Card/Person/1024498", "СЕМЕНОВСКАЯ СРЕДНЯЯ ШКОЛА")</f>
        <v>СЕМЕНОВСКАЯ СРЕДНЯЯ ШКОЛА</v>
      </c>
      <c r="B1029" s="24" t="s">
        <v>2164</v>
      </c>
      <c r="C1029" s="25">
        <v>218484</v>
      </c>
      <c r="D1029" s="22" t="s">
        <v>2165</v>
      </c>
      <c r="E1029" s="22" t="s">
        <v>48</v>
      </c>
      <c r="F1029" s="23" t="str">
        <f>HYPERLINK("https://www.spark-marketing.ru/Card/Lot/74093467", "Оказание услуг по организации питания отдельным категориям обучающихся во 2 полугодии 2019")</f>
        <v>Оказание услуг по организации питания отдельным категориям обучающихся во 2 полугодии 2019</v>
      </c>
      <c r="G1029" s="22" t="s">
        <v>49</v>
      </c>
      <c r="H1029" s="22" t="s">
        <v>506</v>
      </c>
      <c r="I1029" s="26">
        <v>43739.555439814802</v>
      </c>
      <c r="J1029" s="28" t="s">
        <v>51</v>
      </c>
      <c r="K1029" s="28" t="s">
        <v>51</v>
      </c>
      <c r="L1029" s="28" t="s">
        <v>51</v>
      </c>
      <c r="M1029" s="28" t="s">
        <v>51</v>
      </c>
      <c r="N1029" s="28" t="s">
        <v>51</v>
      </c>
    </row>
    <row r="1030" spans="1:14" x14ac:dyDescent="0.15">
      <c r="A1030" s="23" t="str">
        <f t="shared" ref="A1030:A1038" si="11">HYPERLINK("https://www.spark-marketing.ru/Card/Person/356943", "МЕЖМУНИЦИПАЛЬНЫЙ ОТДЕЛ МВД РОССИИ ""КРАСНОСУЛИНСКИЙ""")</f>
        <v>МЕЖМУНИЦИПАЛЬНЫЙ ОТДЕЛ МВД РОССИИ "КРАСНОСУЛИНСКИЙ"</v>
      </c>
      <c r="B1030" s="24" t="s">
        <v>2159</v>
      </c>
      <c r="C1030" s="25">
        <v>1215751.67</v>
      </c>
      <c r="D1030" s="22" t="s">
        <v>2166</v>
      </c>
      <c r="E1030" s="22" t="s">
        <v>48</v>
      </c>
      <c r="F1030" s="23" t="str">
        <f>HYPERLINK("https://www.spark-marketing.ru/Card/Lot/74114425", "Услуги по питанию лиц содержащихся в ИВС")</f>
        <v>Услуги по питанию лиц содержащихся в ИВС</v>
      </c>
      <c r="G1030" s="22" t="s">
        <v>267</v>
      </c>
      <c r="H1030" s="22" t="s">
        <v>267</v>
      </c>
      <c r="I1030" s="26">
        <v>43739.568055555603</v>
      </c>
      <c r="J1030" s="28" t="s">
        <v>51</v>
      </c>
      <c r="K1030" s="28" t="s">
        <v>51</v>
      </c>
      <c r="L1030" s="28" t="s">
        <v>51</v>
      </c>
      <c r="M1030" s="28" t="s">
        <v>51</v>
      </c>
      <c r="N1030" s="28" t="s">
        <v>51</v>
      </c>
    </row>
    <row r="1031" spans="1:14" hidden="1" outlineLevel="1" x14ac:dyDescent="0.2">
      <c r="A1031" s="23" t="str">
        <f t="shared" si="11"/>
        <v>МЕЖМУНИЦИПАЛЬНЫЙ ОТДЕЛ МВД РОССИИ "КРАСНОСУЛИНСКИЙ"</v>
      </c>
      <c r="B1031" s="24" t="s">
        <v>2159</v>
      </c>
      <c r="C1031" s="25">
        <v>1215751.67</v>
      </c>
      <c r="D1031" s="22" t="s">
        <v>2166</v>
      </c>
      <c r="E1031" s="22" t="s">
        <v>48</v>
      </c>
      <c r="F1031" s="23" t="str">
        <f>HYPERLINK("https://www.spark-marketing.ru/Card/Lot/74114425", "Услуги по питанию лиц содержащихся в ИВС")</f>
        <v>Услуги по питанию лиц содержащихся в ИВС</v>
      </c>
      <c r="G1031" s="22" t="s">
        <v>267</v>
      </c>
      <c r="H1031" s="22" t="s">
        <v>267</v>
      </c>
      <c r="I1031" s="26">
        <v>43739.568055555603</v>
      </c>
      <c r="J1031" s="23" t="str">
        <f>HYPERLINK("https://www.spark-marketing.ru/Card/Person/153449", "Педанов Виталий Александрович")</f>
        <v>Педанов Виталий Александрович</v>
      </c>
      <c r="K1031" s="24" t="s">
        <v>2161</v>
      </c>
      <c r="L1031" s="28" t="s">
        <v>51</v>
      </c>
      <c r="M1031" s="25">
        <v>1209672.9099999999</v>
      </c>
      <c r="N1031" s="27">
        <v>5.0000013571850572E-3</v>
      </c>
    </row>
    <row r="1032" spans="1:14" ht="12.75" hidden="1" outlineLevel="1" x14ac:dyDescent="0.2">
      <c r="A1032" s="23" t="str">
        <f t="shared" si="11"/>
        <v>МЕЖМУНИЦИПАЛЬНЫЙ ОТДЕЛ МВД РОССИИ "КРАСНОСУЛИНСКИЙ"</v>
      </c>
      <c r="B1032" s="24" t="s">
        <v>2159</v>
      </c>
      <c r="C1032" s="25">
        <v>1215751.67</v>
      </c>
      <c r="D1032" s="22" t="s">
        <v>2166</v>
      </c>
      <c r="E1032" s="22" t="s">
        <v>48</v>
      </c>
      <c r="F1032" s="23" t="str">
        <f>HYPERLINK("https://www.spark-marketing.ru/Card/Lot/74114425", "Услуги по питанию лиц содержащихся в ИВС")</f>
        <v>Услуги по питанию лиц содержащихся в ИВС</v>
      </c>
      <c r="G1032" s="22" t="s">
        <v>267</v>
      </c>
      <c r="H1032" s="22" t="s">
        <v>267</v>
      </c>
      <c r="I1032" s="26">
        <v>43739.568055555603</v>
      </c>
      <c r="J1032" s="23" t="str">
        <f>HYPERLINK("https://www.spark-marketing.ru/Card/Person/4852527", "ООО ""ВИКТОРИЯ""")</f>
        <v>ООО "ВИКТОРИЯ"</v>
      </c>
      <c r="K1032" s="24" t="s">
        <v>2162</v>
      </c>
      <c r="L1032" s="22" t="s">
        <v>10</v>
      </c>
      <c r="M1032" s="25">
        <v>1209672.9099999999</v>
      </c>
      <c r="N1032" s="27">
        <v>5.0000013571850572E-3</v>
      </c>
    </row>
    <row r="1033" spans="1:14" x14ac:dyDescent="0.15">
      <c r="A1033" s="23" t="str">
        <f t="shared" si="11"/>
        <v>МЕЖМУНИЦИПАЛЬНЫЙ ОТДЕЛ МВД РОССИИ "КРАСНОСУЛИНСКИЙ"</v>
      </c>
      <c r="B1033" s="24" t="s">
        <v>2159</v>
      </c>
      <c r="C1033" s="25">
        <v>1347704.77</v>
      </c>
      <c r="D1033" s="22" t="s">
        <v>2167</v>
      </c>
      <c r="E1033" s="22" t="s">
        <v>48</v>
      </c>
      <c r="F1033" s="23" t="str">
        <f>HYPERLINK("https://www.spark-marketing.ru/Card/Lot/74114412", "Услуги по питанию лиц содержащихся в СП")</f>
        <v>Услуги по питанию лиц содержащихся в СП</v>
      </c>
      <c r="G1033" s="22" t="s">
        <v>267</v>
      </c>
      <c r="H1033" s="22" t="s">
        <v>267</v>
      </c>
      <c r="I1033" s="26">
        <v>43739.568749999999</v>
      </c>
      <c r="J1033" s="28" t="s">
        <v>51</v>
      </c>
      <c r="K1033" s="28" t="s">
        <v>51</v>
      </c>
      <c r="L1033" s="28" t="s">
        <v>51</v>
      </c>
      <c r="M1033" s="28" t="s">
        <v>51</v>
      </c>
      <c r="N1033" s="28" t="s">
        <v>51</v>
      </c>
    </row>
    <row r="1034" spans="1:14" hidden="1" outlineLevel="1" x14ac:dyDescent="0.2">
      <c r="A1034" s="23" t="str">
        <f t="shared" si="11"/>
        <v>МЕЖМУНИЦИПАЛЬНЫЙ ОТДЕЛ МВД РОССИИ "КРАСНОСУЛИНСКИЙ"</v>
      </c>
      <c r="B1034" s="24" t="s">
        <v>2159</v>
      </c>
      <c r="C1034" s="25">
        <v>1347704.77</v>
      </c>
      <c r="D1034" s="22" t="s">
        <v>2167</v>
      </c>
      <c r="E1034" s="22" t="s">
        <v>48</v>
      </c>
      <c r="F1034" s="23" t="str">
        <f>HYPERLINK("https://www.spark-marketing.ru/Card/Lot/74114412", "Услуги по питанию лиц содержащихся в СП")</f>
        <v>Услуги по питанию лиц содержащихся в СП</v>
      </c>
      <c r="G1034" s="22" t="s">
        <v>267</v>
      </c>
      <c r="H1034" s="22" t="s">
        <v>267</v>
      </c>
      <c r="I1034" s="26">
        <v>43739.568749999999</v>
      </c>
      <c r="J1034" s="23" t="str">
        <f>HYPERLINK("https://www.spark-marketing.ru/Card/Person/402779", "ООО ""БАСТИОН""")</f>
        <v>ООО "БАСТИОН"</v>
      </c>
      <c r="K1034" s="24" t="s">
        <v>2168</v>
      </c>
      <c r="L1034" s="28" t="s">
        <v>51</v>
      </c>
      <c r="M1034" s="25">
        <v>667113.91</v>
      </c>
      <c r="N1034" s="27">
        <v>0.50499996375318901</v>
      </c>
    </row>
    <row r="1035" spans="1:14" ht="12.75" hidden="1" outlineLevel="1" x14ac:dyDescent="0.2">
      <c r="A1035" s="23" t="str">
        <f t="shared" si="11"/>
        <v>МЕЖМУНИЦИПАЛЬНЫЙ ОТДЕЛ МВД РОССИИ "КРАСНОСУЛИНСКИЙ"</v>
      </c>
      <c r="B1035" s="24" t="s">
        <v>2159</v>
      </c>
      <c r="C1035" s="25">
        <v>1347704.77</v>
      </c>
      <c r="D1035" s="22" t="s">
        <v>2167</v>
      </c>
      <c r="E1035" s="22" t="s">
        <v>48</v>
      </c>
      <c r="F1035" s="23" t="str">
        <f>HYPERLINK("https://www.spark-marketing.ru/Card/Lot/74114412", "Услуги по питанию лиц содержащихся в СП")</f>
        <v>Услуги по питанию лиц содержащихся в СП</v>
      </c>
      <c r="G1035" s="22" t="s">
        <v>267</v>
      </c>
      <c r="H1035" s="22" t="s">
        <v>267</v>
      </c>
      <c r="I1035" s="26">
        <v>43739.568749999999</v>
      </c>
      <c r="J1035" s="23" t="str">
        <f>HYPERLINK("https://www.spark-marketing.ru/Card/Person/4852527", "ООО ""ВИКТОРИЯ""")</f>
        <v>ООО "ВИКТОРИЯ"</v>
      </c>
      <c r="K1035" s="24" t="s">
        <v>2162</v>
      </c>
      <c r="L1035" s="22" t="s">
        <v>10</v>
      </c>
      <c r="M1035" s="25">
        <v>673852.45</v>
      </c>
      <c r="N1035" s="27">
        <v>0.4999999517698524</v>
      </c>
    </row>
    <row r="1036" spans="1:14" x14ac:dyDescent="0.15">
      <c r="A1036" s="23" t="str">
        <f t="shared" si="11"/>
        <v>МЕЖМУНИЦИПАЛЬНЫЙ ОТДЕЛ МВД РОССИИ "КРАСНОСУЛИНСКИЙ"</v>
      </c>
      <c r="B1036" s="24" t="s">
        <v>2159</v>
      </c>
      <c r="C1036" s="25">
        <v>1347704.77</v>
      </c>
      <c r="D1036" s="22" t="s">
        <v>2169</v>
      </c>
      <c r="E1036" s="22" t="s">
        <v>48</v>
      </c>
      <c r="F1036" s="23" t="str">
        <f>HYPERLINK("https://www.spark-marketing.ru/Card/Lot/74114411", "Услуги по питанию лиц содержащихся в СП")</f>
        <v>Услуги по питанию лиц содержащихся в СП</v>
      </c>
      <c r="G1036" s="22" t="s">
        <v>267</v>
      </c>
      <c r="H1036" s="22" t="s">
        <v>267</v>
      </c>
      <c r="I1036" s="26">
        <v>43739.568749999999</v>
      </c>
      <c r="J1036" s="28" t="s">
        <v>51</v>
      </c>
      <c r="K1036" s="28" t="s">
        <v>51</v>
      </c>
      <c r="L1036" s="28" t="s">
        <v>51</v>
      </c>
      <c r="M1036" s="28" t="s">
        <v>51</v>
      </c>
      <c r="N1036" s="28" t="s">
        <v>51</v>
      </c>
    </row>
    <row r="1037" spans="1:14" hidden="1" outlineLevel="1" x14ac:dyDescent="0.2">
      <c r="A1037" s="23" t="str">
        <f t="shared" si="11"/>
        <v>МЕЖМУНИЦИПАЛЬНЫЙ ОТДЕЛ МВД РОССИИ "КРАСНОСУЛИНСКИЙ"</v>
      </c>
      <c r="B1037" s="24" t="s">
        <v>2159</v>
      </c>
      <c r="C1037" s="25">
        <v>1347704.77</v>
      </c>
      <c r="D1037" s="22" t="s">
        <v>2169</v>
      </c>
      <c r="E1037" s="22" t="s">
        <v>48</v>
      </c>
      <c r="F1037" s="23" t="str">
        <f>HYPERLINK("https://www.spark-marketing.ru/Card/Lot/74114411", "Услуги по питанию лиц содержащихся в СП")</f>
        <v>Услуги по питанию лиц содержащихся в СП</v>
      </c>
      <c r="G1037" s="22" t="s">
        <v>267</v>
      </c>
      <c r="H1037" s="22" t="s">
        <v>267</v>
      </c>
      <c r="I1037" s="26">
        <v>43739.568749999999</v>
      </c>
      <c r="J1037" s="23" t="str">
        <f>HYPERLINK("https://www.spark-marketing.ru/Card/Person/402779", "ООО ""БАСТИОН""")</f>
        <v>ООО "БАСТИОН"</v>
      </c>
      <c r="K1037" s="24" t="s">
        <v>2168</v>
      </c>
      <c r="L1037" s="28" t="s">
        <v>51</v>
      </c>
      <c r="M1037" s="25">
        <v>650486.9</v>
      </c>
      <c r="N1037" s="27">
        <v>0.51733724293340599</v>
      </c>
    </row>
    <row r="1038" spans="1:14" ht="12.75" hidden="1" outlineLevel="1" x14ac:dyDescent="0.2">
      <c r="A1038" s="23" t="str">
        <f t="shared" si="11"/>
        <v>МЕЖМУНИЦИПАЛЬНЫЙ ОТДЕЛ МВД РОССИИ "КРАСНОСУЛИНСКИЙ"</v>
      </c>
      <c r="B1038" s="24" t="s">
        <v>2159</v>
      </c>
      <c r="C1038" s="25">
        <v>1347704.77</v>
      </c>
      <c r="D1038" s="22" t="s">
        <v>2169</v>
      </c>
      <c r="E1038" s="22" t="s">
        <v>48</v>
      </c>
      <c r="F1038" s="23" t="str">
        <f>HYPERLINK("https://www.spark-marketing.ru/Card/Lot/74114411", "Услуги по питанию лиц содержащихся в СП")</f>
        <v>Услуги по питанию лиц содержащихся в СП</v>
      </c>
      <c r="G1038" s="22" t="s">
        <v>267</v>
      </c>
      <c r="H1038" s="22" t="s">
        <v>267</v>
      </c>
      <c r="I1038" s="26">
        <v>43739.568749999999</v>
      </c>
      <c r="J1038" s="23" t="str">
        <f>HYPERLINK("https://www.spark-marketing.ru/Card/Person/4852527", "ООО ""ВИКТОРИЯ""")</f>
        <v>ООО "ВИКТОРИЯ"</v>
      </c>
      <c r="K1038" s="24" t="s">
        <v>2162</v>
      </c>
      <c r="L1038" s="22" t="s">
        <v>10</v>
      </c>
      <c r="M1038" s="25">
        <v>695981.9</v>
      </c>
      <c r="N1038" s="27">
        <v>0.48357984961350253</v>
      </c>
    </row>
    <row r="1039" spans="1:14" x14ac:dyDescent="0.15">
      <c r="A1039" s="23" t="str">
        <f t="shared" ref="A1039:A1045" si="12">HYPERLINK("https://www.spark-marketing.ru/Card/Person/737290", "ГКУ «ЦБЗ ПРИ МИНЗДРАВЕ КАРЕЛИИ»")</f>
        <v>ГКУ «ЦБЗ ПРИ МИНЗДРАВЕ КАРЕЛИИ»</v>
      </c>
      <c r="B1039" s="24" t="s">
        <v>312</v>
      </c>
      <c r="C1039" s="25">
        <v>795090.84</v>
      </c>
      <c r="D1039" s="22" t="s">
        <v>2170</v>
      </c>
      <c r="E1039" s="22" t="s">
        <v>493</v>
      </c>
      <c r="F1039" s="23" t="str">
        <f>HYPERLINK("https://www.spark-marketing.ru/Card/Lot/74108078", "Поставка Тест-полосок к глюкометрам торговой марки «OneTouch Verio IQ»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медиц...")</f>
        <v>Поставка Тест-полосок к глюкометрам торговой марки «OneTouch Verio IQ»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медиц...</v>
      </c>
      <c r="G1039" s="22" t="s">
        <v>59</v>
      </c>
      <c r="H1039" s="22" t="s">
        <v>314</v>
      </c>
      <c r="I1039" s="26">
        <v>43739.5386574074</v>
      </c>
      <c r="J1039" s="28" t="s">
        <v>51</v>
      </c>
      <c r="K1039" s="28" t="s">
        <v>51</v>
      </c>
      <c r="L1039" s="28" t="s">
        <v>51</v>
      </c>
      <c r="M1039" s="28" t="s">
        <v>51</v>
      </c>
      <c r="N1039" s="28" t="s">
        <v>51</v>
      </c>
    </row>
    <row r="1040" spans="1:14" x14ac:dyDescent="0.15">
      <c r="A1040" s="23" t="str">
        <f t="shared" si="12"/>
        <v>ГКУ «ЦБЗ ПРИ МИНЗДРАВЕ КАРЕЛИИ»</v>
      </c>
      <c r="B1040" s="24" t="s">
        <v>312</v>
      </c>
      <c r="C1040" s="25">
        <v>1193702.3999999999</v>
      </c>
      <c r="D1040" s="22" t="s">
        <v>2171</v>
      </c>
      <c r="E1040" s="22" t="s">
        <v>52</v>
      </c>
      <c r="F1040" s="23" t="str">
        <f>HYPERLINK("https://www.spark-marketing.ru/Card/Lot/74108077", "Поставка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1040" s="22" t="s">
        <v>59</v>
      </c>
      <c r="H1040" s="22" t="s">
        <v>314</v>
      </c>
      <c r="I1040" s="26">
        <v>43739.538634259297</v>
      </c>
      <c r="J1040" s="28" t="s">
        <v>51</v>
      </c>
      <c r="K1040" s="28" t="s">
        <v>51</v>
      </c>
      <c r="L1040" s="28" t="s">
        <v>51</v>
      </c>
      <c r="M1040" s="28" t="s">
        <v>51</v>
      </c>
      <c r="N1040" s="28" t="s">
        <v>51</v>
      </c>
    </row>
    <row r="1041" spans="1:14" hidden="1" outlineLevel="1" x14ac:dyDescent="0.2">
      <c r="A1041" s="23" t="str">
        <f t="shared" si="12"/>
        <v>ГКУ «ЦБЗ ПРИ МИНЗДРАВЕ КАРЕЛИИ»</v>
      </c>
      <c r="B1041" s="24" t="s">
        <v>312</v>
      </c>
      <c r="C1041" s="25">
        <v>1193702.3999999999</v>
      </c>
      <c r="D1041" s="22" t="s">
        <v>2171</v>
      </c>
      <c r="E1041" s="22" t="s">
        <v>52</v>
      </c>
      <c r="F1041" s="23" t="str">
        <f>HYPERLINK("https://www.spark-marketing.ru/Card/Lot/74108077", "Поставка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1041" s="22" t="s">
        <v>59</v>
      </c>
      <c r="H1041" s="22" t="s">
        <v>314</v>
      </c>
      <c r="I1041" s="26">
        <v>43739.538634259297</v>
      </c>
      <c r="J1041" s="23" t="str">
        <f>HYPERLINK("https://www.spark-marketing.ru/Card/Person/6355351", "ООО ""РЕДФАРМ""")</f>
        <v>ООО "РЕДФАРМ"</v>
      </c>
      <c r="K1041" s="24" t="s">
        <v>2172</v>
      </c>
      <c r="L1041" s="28" t="s">
        <v>51</v>
      </c>
      <c r="M1041" s="25">
        <v>561040.24</v>
      </c>
      <c r="N1041" s="27">
        <v>0.52999990617426929</v>
      </c>
    </row>
    <row r="1042" spans="1:14" ht="12.75" hidden="1" outlineLevel="1" x14ac:dyDescent="0.2">
      <c r="A1042" s="23" t="str">
        <f t="shared" si="12"/>
        <v>ГКУ «ЦБЗ ПРИ МИНЗДРАВЕ КАРЕЛИИ»</v>
      </c>
      <c r="B1042" s="24" t="s">
        <v>312</v>
      </c>
      <c r="C1042" s="25">
        <v>1193702.3999999999</v>
      </c>
      <c r="D1042" s="22" t="s">
        <v>2171</v>
      </c>
      <c r="E1042" s="22" t="s">
        <v>52</v>
      </c>
      <c r="F1042" s="23" t="str">
        <f>HYPERLINK("https://www.spark-marketing.ru/Card/Lot/74108077", "Поставка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1042" s="22" t="s">
        <v>59</v>
      </c>
      <c r="H1042" s="22" t="s">
        <v>314</v>
      </c>
      <c r="I1042" s="26">
        <v>43739.538634259297</v>
      </c>
      <c r="J1042" s="23" t="str">
        <f>HYPERLINK("https://www.spark-marketing.ru/Card/Person/6492462", "ООО ""ОН.К""")</f>
        <v>ООО "ОН.К"</v>
      </c>
      <c r="K1042" s="24" t="s">
        <v>2173</v>
      </c>
      <c r="L1042" s="22" t="s">
        <v>10</v>
      </c>
      <c r="M1042" s="25">
        <v>555071.73</v>
      </c>
      <c r="N1042" s="27">
        <v>0.53499990449880974</v>
      </c>
    </row>
    <row r="1043" spans="1:14" x14ac:dyDescent="0.15">
      <c r="A1043" s="23" t="str">
        <f t="shared" si="12"/>
        <v>ГКУ «ЦБЗ ПРИ МИНЗДРАВЕ КАРЕЛИИ»</v>
      </c>
      <c r="B1043" s="24" t="s">
        <v>312</v>
      </c>
      <c r="C1043" s="25">
        <v>3561023.34</v>
      </c>
      <c r="D1043" s="22" t="s">
        <v>2174</v>
      </c>
      <c r="E1043" s="22" t="s">
        <v>493</v>
      </c>
      <c r="F1043" s="23" t="str">
        <f>HYPERLINK("https://www.spark-marketing.ru/Card/Lot/74108090", "Поставка Тест-полосок к глюкометрам торговой марки «Уан Тач Селект Плюс»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мед...")</f>
        <v>Поставка Тест-полосок к глюкометрам торговой марки «Уан Тач Селект Плюс»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мед...</v>
      </c>
      <c r="G1043" s="22" t="s">
        <v>59</v>
      </c>
      <c r="H1043" s="22" t="s">
        <v>314</v>
      </c>
      <c r="I1043" s="26">
        <v>43739.538668981499</v>
      </c>
      <c r="J1043" s="23" t="str">
        <f>HYPERLINK("https://www.spark-marketing.ru/Card/Person/6231467", "ООО ""ОБЛФАРМ АЛЬЯНС""")</f>
        <v>ООО "ОБЛФАРМ АЛЬЯНС"</v>
      </c>
      <c r="K1043" s="24" t="s">
        <v>2175</v>
      </c>
      <c r="L1043" s="22" t="s">
        <v>10</v>
      </c>
      <c r="M1043" s="28" t="s">
        <v>51</v>
      </c>
      <c r="N1043" s="28" t="s">
        <v>51</v>
      </c>
    </row>
    <row r="1044" spans="1:14" x14ac:dyDescent="0.15">
      <c r="A1044" s="23" t="str">
        <f t="shared" si="12"/>
        <v>ГКУ «ЦБЗ ПРИ МИНЗДРАВЕ КАРЕЛИИ»</v>
      </c>
      <c r="B1044" s="24" t="s">
        <v>312</v>
      </c>
      <c r="C1044" s="25">
        <v>643843.19999999995</v>
      </c>
      <c r="D1044" s="22" t="s">
        <v>2176</v>
      </c>
      <c r="E1044" s="22" t="s">
        <v>52</v>
      </c>
      <c r="F1044" s="23" t="str">
        <f>HYPERLINK("https://www.spark-marketing.ru/Card/Lot/74108076", "Поставка лекарственного препарата Беклометазон+Формотерол,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медицинск...")</f>
        <v>Поставка лекарственного препарата Беклометазон+Формотерол,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медицинск...</v>
      </c>
      <c r="G1044" s="22" t="s">
        <v>59</v>
      </c>
      <c r="H1044" s="22" t="s">
        <v>314</v>
      </c>
      <c r="I1044" s="26">
        <v>43739.538634259297</v>
      </c>
      <c r="J1044" s="23" t="str">
        <f>HYPERLINK("https://www.spark-marketing.ru/Card/Person/1577513", "ООО ""ФАРМПРОЕКТ""")</f>
        <v>ООО "ФАРМПРОЕКТ"</v>
      </c>
      <c r="K1044" s="24" t="s">
        <v>2177</v>
      </c>
      <c r="L1044" s="28" t="s">
        <v>51</v>
      </c>
      <c r="M1044" s="28" t="s">
        <v>51</v>
      </c>
      <c r="N1044" s="28" t="s">
        <v>51</v>
      </c>
    </row>
    <row r="1045" spans="1:14" hidden="1" outlineLevel="1" x14ac:dyDescent="0.15">
      <c r="A1045" s="23" t="str">
        <f t="shared" si="12"/>
        <v>ГКУ «ЦБЗ ПРИ МИНЗДРАВЕ КАРЕЛИИ»</v>
      </c>
      <c r="B1045" s="24" t="s">
        <v>312</v>
      </c>
      <c r="C1045" s="25">
        <v>643843.19999999995</v>
      </c>
      <c r="D1045" s="22" t="s">
        <v>2176</v>
      </c>
      <c r="E1045" s="22" t="s">
        <v>52</v>
      </c>
      <c r="F1045" s="23" t="str">
        <f>HYPERLINK("https://www.spark-marketing.ru/Card/Lot/74108076", "Поставка лекарственного препарата Беклометазон+Формотерол,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медицинск...")</f>
        <v>Поставка лекарственного препарата Беклометазон+Формотерол,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медицинск...</v>
      </c>
      <c r="G1045" s="22" t="s">
        <v>59</v>
      </c>
      <c r="H1045" s="22" t="s">
        <v>314</v>
      </c>
      <c r="I1045" s="26">
        <v>43739.538634259297</v>
      </c>
      <c r="J1045" s="23" t="str">
        <f>HYPERLINK("https://www.spark-marketing.ru/Card/Person/1577513", "ООО ""ФАРМПРОЕКТ""")</f>
        <v>ООО "ФАРМПРОЕКТ"</v>
      </c>
      <c r="K1045" s="24" t="s">
        <v>2177</v>
      </c>
      <c r="L1045" s="22" t="s">
        <v>10</v>
      </c>
      <c r="M1045" s="28" t="s">
        <v>51</v>
      </c>
      <c r="N1045" s="28" t="s">
        <v>51</v>
      </c>
    </row>
    <row r="1046" spans="1:14" x14ac:dyDescent="0.15">
      <c r="A1046" s="23" t="str">
        <f>HYPERLINK("https://www.spark-marketing.ru/Card/Person/62304", "АДМИНИСТРАЦИЯ БРЕДИНСКОГО МУНИЦИПАЛЬНОГО РАЙОНА ЧЕЛЯБИНСКОЙ ОБЛАСТИ")</f>
        <v>АДМИНИСТРАЦИЯ БРЕДИНСКОГО МУНИЦИПАЛЬНОГО РАЙОНА ЧЕЛЯБИНСКОЙ ОБЛАСТИ</v>
      </c>
      <c r="B1046" s="24" t="s">
        <v>2178</v>
      </c>
      <c r="C1046" s="25">
        <v>88234.54</v>
      </c>
      <c r="D1046" s="22" t="s">
        <v>2179</v>
      </c>
      <c r="E1046" s="22" t="s">
        <v>67</v>
      </c>
      <c r="F1046" s="23" t="str">
        <f>HYPERLINK("https://www.spark-marketing.ru/Card/Lot/74105300", "Оказание услуг по проведению представительских мероприятий, связанных с приемом и обслуживанием официальных представителей")</f>
        <v>Оказание услуг по проведению представительских мероприятий, связанных с приемом и обслуживанием официальных представителей</v>
      </c>
      <c r="G1046" s="22" t="s">
        <v>469</v>
      </c>
      <c r="H1046" s="22" t="s">
        <v>2180</v>
      </c>
      <c r="I1046" s="26">
        <v>43739.529166666704</v>
      </c>
      <c r="J1046" s="23" t="str">
        <f>HYPERLINK("https://www.spark-marketing.ru/Card/Person/4945904", "Грязева Наталья Викторовна")</f>
        <v>Грязева Наталья Викторовна</v>
      </c>
      <c r="K1046" s="24" t="s">
        <v>2181</v>
      </c>
      <c r="L1046" s="22" t="s">
        <v>10</v>
      </c>
      <c r="M1046" s="28" t="s">
        <v>51</v>
      </c>
      <c r="N1046" s="28" t="s">
        <v>51</v>
      </c>
    </row>
    <row r="1047" spans="1:14" x14ac:dyDescent="0.15">
      <c r="A1047" s="23" t="str">
        <f>HYPERLINK("https://www.spark-marketing.ru/Card/Person/120972", "МБОУ СОШ № 5")</f>
        <v>МБОУ СОШ № 5</v>
      </c>
      <c r="B1047" s="24" t="s">
        <v>2182</v>
      </c>
      <c r="C1047" s="25">
        <v>7844874</v>
      </c>
      <c r="D1047" s="22" t="s">
        <v>2183</v>
      </c>
      <c r="E1047" s="22" t="s">
        <v>48</v>
      </c>
      <c r="F1047" s="23" t="str">
        <f>HYPERLINK("https://www.spark-marketing.ru/Card/Lot/74111241", "на оказание услуг по организации горячего питания отдельным категориям обучающихся в МБОУ «СОШ № 5»")</f>
        <v>на оказание услуг по организации горячего питания отдельным категориям обучающихся в МБОУ «СОШ № 5»</v>
      </c>
      <c r="G1047" s="22" t="s">
        <v>49</v>
      </c>
      <c r="H1047" s="22" t="s">
        <v>301</v>
      </c>
      <c r="I1047" s="26">
        <v>43739.525937500002</v>
      </c>
      <c r="J1047" s="28" t="s">
        <v>51</v>
      </c>
      <c r="K1047" s="28" t="s">
        <v>51</v>
      </c>
      <c r="L1047" s="28" t="s">
        <v>51</v>
      </c>
      <c r="M1047" s="28" t="s">
        <v>51</v>
      </c>
      <c r="N1047" s="28" t="s">
        <v>51</v>
      </c>
    </row>
    <row r="1048" spans="1:14" x14ac:dyDescent="0.15">
      <c r="A1048" s="23" t="str">
        <f>HYPERLINK("https://www.spark-marketing.ru/Card/Person/737290", "ГКУ «ЦБЗ ПРИ МИНЗДРАВЕ КАРЕЛИИ»")</f>
        <v>ГКУ «ЦБЗ ПРИ МИНЗДРАВЕ КАРЕЛИИ»</v>
      </c>
      <c r="B1048" s="24" t="s">
        <v>312</v>
      </c>
      <c r="C1048" s="25">
        <v>610982.40000000002</v>
      </c>
      <c r="D1048" s="22" t="s">
        <v>2184</v>
      </c>
      <c r="E1048" s="22" t="s">
        <v>52</v>
      </c>
      <c r="F1048" s="23" t="str">
        <f>HYPERLINK("https://www.spark-marketing.ru/Card/Lot/74108073", "Поставка лекарственного препарата Галантамин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Галантамин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1048" s="22" t="s">
        <v>59</v>
      </c>
      <c r="H1048" s="22" t="s">
        <v>314</v>
      </c>
      <c r="I1048" s="26">
        <v>43739.538622685199</v>
      </c>
      <c r="J1048" s="23" t="str">
        <f>HYPERLINK("https://www.spark-marketing.ru/Card/Person/2561407", "ООО ""ЕТМ""")</f>
        <v>ООО "ЕТМ"</v>
      </c>
      <c r="K1048" s="24" t="s">
        <v>2185</v>
      </c>
      <c r="L1048" s="22" t="s">
        <v>10</v>
      </c>
      <c r="M1048" s="28" t="s">
        <v>51</v>
      </c>
      <c r="N1048" s="28" t="s">
        <v>51</v>
      </c>
    </row>
    <row r="1049" spans="1:14" x14ac:dyDescent="0.15">
      <c r="A1049" s="23" t="str">
        <f>HYPERLINK("https://www.spark-marketing.ru/Card/Person/817619", "ОМВД РОССИИ ПО АЛДАНСКОМУ РАЙОНУ")</f>
        <v>ОМВД РОССИИ ПО АЛДАНСКОМУ РАЙОНУ</v>
      </c>
      <c r="B1049" s="24" t="s">
        <v>913</v>
      </c>
      <c r="C1049" s="25">
        <v>898998</v>
      </c>
      <c r="D1049" s="22" t="s">
        <v>2186</v>
      </c>
      <c r="E1049" s="22" t="s">
        <v>48</v>
      </c>
      <c r="F1049" s="23" t="str">
        <f>HYPERLINK("https://www.spark-marketing.ru/Card/Lot/74113491", "оказание услуг по приготовлению и обеспечению горячим питанием лиц, подвергнутых административному аресту находящихся в спец. приемнике отдела МВД России по Алданскому району")</f>
        <v>оказание услуг по приготовлению и обеспечению горячим питанием лиц, подвергнутых административному аресту находящихся в спец. приемнике отдела МВД России по Алданскому району</v>
      </c>
      <c r="G1049" s="22" t="s">
        <v>241</v>
      </c>
      <c r="H1049" s="22" t="s">
        <v>915</v>
      </c>
      <c r="I1049" s="26">
        <v>43739.4777777778</v>
      </c>
      <c r="J1049" s="23" t="str">
        <f>HYPERLINK("https://www.spark-marketing.ru/Card/Person/5825712", "Грекова Елена Алексеевна")</f>
        <v>Грекова Елена Алексеевна</v>
      </c>
      <c r="K1049" s="24" t="s">
        <v>2187</v>
      </c>
      <c r="L1049" s="22" t="s">
        <v>10</v>
      </c>
      <c r="M1049" s="28" t="s">
        <v>51</v>
      </c>
      <c r="N1049" s="28" t="s">
        <v>51</v>
      </c>
    </row>
    <row r="1050" spans="1:14" x14ac:dyDescent="0.15">
      <c r="A1050" s="23" t="str">
        <f>HYPERLINK("https://www.spark-marketing.ru/Card/Person/52992", "ГБУЗ НСО ""ГКБ № 25""")</f>
        <v>ГБУЗ НСО "ГКБ № 25"</v>
      </c>
      <c r="B1050" s="24" t="s">
        <v>2188</v>
      </c>
      <c r="C1050" s="25">
        <v>86160104.939999998</v>
      </c>
      <c r="D1050" s="22" t="s">
        <v>2189</v>
      </c>
      <c r="E1050" s="22" t="s">
        <v>96</v>
      </c>
      <c r="F1050" s="23" t="str">
        <f>HYPERLINK("https://www.spark-marketing.ru/Card/Lot/74110826", "Оказание услуг по приготовлению лечебного питания")</f>
        <v>Оказание услуг по приготовлению лечебного питания</v>
      </c>
      <c r="G1050" s="22" t="s">
        <v>195</v>
      </c>
      <c r="H1050" s="22" t="s">
        <v>196</v>
      </c>
      <c r="I1050" s="26">
        <v>43739.4846875</v>
      </c>
      <c r="J1050" s="28" t="s">
        <v>51</v>
      </c>
      <c r="K1050" s="28" t="s">
        <v>51</v>
      </c>
      <c r="L1050" s="28" t="s">
        <v>51</v>
      </c>
      <c r="M1050" s="28" t="s">
        <v>51</v>
      </c>
      <c r="N1050" s="28" t="s">
        <v>51</v>
      </c>
    </row>
    <row r="1051" spans="1:14" x14ac:dyDescent="0.15">
      <c r="A1051" s="23" t="str">
        <f>HYPERLINK("https://www.spark-marketing.ru/Card/Person/817619", "ОМВД РОССИИ ПО АЛДАНСКОМУ РАЙОНУ")</f>
        <v>ОМВД РОССИИ ПО АЛДАНСКОМУ РАЙОНУ</v>
      </c>
      <c r="B1051" s="24" t="s">
        <v>913</v>
      </c>
      <c r="C1051" s="25">
        <v>1220269.5</v>
      </c>
      <c r="D1051" s="22" t="s">
        <v>2190</v>
      </c>
      <c r="E1051" s="22" t="s">
        <v>48</v>
      </c>
      <c r="F1051" s="23" t="str">
        <f>HYPERLINK("https://www.spark-marketing.ru/Card/Lot/74114434", "оказание услуг по приготовлению и обеспечению горячим питанием для  подозреваемых и обвиняемых в совершении преступлений, находящихся в изоляторе временного содержания отдела МВД России по Алданскому району")</f>
        <v>оказание услуг по приготовлению и обеспечению горячим питанием для  подозреваемых и обвиняемых в совершении преступлений, находящихся в изоляторе временного содержания отдела МВД России по Алданскому району</v>
      </c>
      <c r="G1051" s="22" t="s">
        <v>241</v>
      </c>
      <c r="H1051" s="22" t="s">
        <v>915</v>
      </c>
      <c r="I1051" s="26">
        <v>43739.476388888899</v>
      </c>
      <c r="J1051" s="28" t="s">
        <v>51</v>
      </c>
      <c r="K1051" s="28" t="s">
        <v>51</v>
      </c>
      <c r="L1051" s="28" t="s">
        <v>51</v>
      </c>
      <c r="M1051" s="28" t="s">
        <v>51</v>
      </c>
      <c r="N1051" s="28" t="s">
        <v>51</v>
      </c>
    </row>
    <row r="1052" spans="1:14" x14ac:dyDescent="0.15">
      <c r="A1052" s="23" t="str">
        <f>HYPERLINK("https://www.spark-marketing.ru/Card/Person/145131", "УФССП РОССИИ ПО ХАБАРОВСКОМУ КРАЮ И ЕВРЕЙСКОЙ АВТОНОМНОЙ ОБЛАСТИ")</f>
        <v>УФССП РОССИИ ПО ХАБАРОВСКОМУ КРАЮ И ЕВРЕЙСКОЙ АВТОНОМНОЙ ОБЛАСТИ</v>
      </c>
      <c r="B1052" s="24" t="s">
        <v>2191</v>
      </c>
      <c r="C1052" s="25">
        <v>463670.5</v>
      </c>
      <c r="D1052" s="22" t="s">
        <v>2192</v>
      </c>
      <c r="E1052" s="22" t="s">
        <v>91</v>
      </c>
      <c r="F1052" s="23" t="str">
        <f>HYPERLINK("https://www.spark-marketing.ru/Card/Lot/74107764", "Ремонт копировально-множительной техники")</f>
        <v>Ремонт копировально-множительной техники</v>
      </c>
      <c r="G1052" s="22" t="s">
        <v>1096</v>
      </c>
      <c r="H1052" s="22" t="s">
        <v>1097</v>
      </c>
      <c r="I1052" s="26">
        <v>43739.465092592603</v>
      </c>
      <c r="J1052" s="28" t="s">
        <v>51</v>
      </c>
      <c r="K1052" s="28" t="s">
        <v>51</v>
      </c>
      <c r="L1052" s="28" t="s">
        <v>51</v>
      </c>
      <c r="M1052" s="28" t="s">
        <v>51</v>
      </c>
      <c r="N1052" s="28" t="s">
        <v>51</v>
      </c>
    </row>
    <row r="1053" spans="1:14" ht="12.75" hidden="1" outlineLevel="1" x14ac:dyDescent="0.2">
      <c r="A1053" s="23" t="str">
        <f>HYPERLINK("https://www.spark-marketing.ru/Card/Person/145131", "УФССП РОССИИ ПО ХАБАРОВСКОМУ КРАЮ И ЕВРЕЙСКОЙ АВТОНОМНОЙ ОБЛАСТИ")</f>
        <v>УФССП РОССИИ ПО ХАБАРОВСКОМУ КРАЮ И ЕВРЕЙСКОЙ АВТОНОМНОЙ ОБЛАСТИ</v>
      </c>
      <c r="B1053" s="24" t="s">
        <v>2191</v>
      </c>
      <c r="C1053" s="25">
        <v>463670.5</v>
      </c>
      <c r="D1053" s="22" t="s">
        <v>2192</v>
      </c>
      <c r="E1053" s="22" t="s">
        <v>91</v>
      </c>
      <c r="F1053" s="23" t="str">
        <f>HYPERLINK("https://www.spark-marketing.ru/Card/Lot/74107764", "Ремонт копировально-множительной техники")</f>
        <v>Ремонт копировально-множительной техники</v>
      </c>
      <c r="G1053" s="22" t="s">
        <v>1096</v>
      </c>
      <c r="H1053" s="22" t="s">
        <v>1097</v>
      </c>
      <c r="I1053" s="26">
        <v>43739.465092592603</v>
      </c>
      <c r="J1053" s="23" t="str">
        <f>HYPERLINK("https://www.spark-marketing.ru/Card/Person/160987", "Даренский Сергей Федорович")</f>
        <v>Даренский Сергей Федорович</v>
      </c>
      <c r="K1053" s="24" t="s">
        <v>2193</v>
      </c>
      <c r="L1053" s="22" t="s">
        <v>10</v>
      </c>
      <c r="M1053" s="25">
        <v>1640449</v>
      </c>
      <c r="N1053" s="27">
        <v>-2.5379628421476026</v>
      </c>
    </row>
    <row r="1054" spans="1:14" hidden="1" outlineLevel="1" x14ac:dyDescent="0.2">
      <c r="A1054" s="23" t="str">
        <f>HYPERLINK("https://www.spark-marketing.ru/Card/Person/145131", "УФССП РОССИИ ПО ХАБАРОВСКОМУ КРАЮ И ЕВРЕЙСКОЙ АВТОНОМНОЙ ОБЛАСТИ")</f>
        <v>УФССП РОССИИ ПО ХАБАРОВСКОМУ КРАЮ И ЕВРЕЙСКОЙ АВТОНОМНОЙ ОБЛАСТИ</v>
      </c>
      <c r="B1054" s="24" t="s">
        <v>2191</v>
      </c>
      <c r="C1054" s="25">
        <v>463670.5</v>
      </c>
      <c r="D1054" s="22" t="s">
        <v>2192</v>
      </c>
      <c r="E1054" s="22" t="s">
        <v>91</v>
      </c>
      <c r="F1054" s="23" t="str">
        <f>HYPERLINK("https://www.spark-marketing.ru/Card/Lot/74107764", "Ремонт копировально-множительной техники")</f>
        <v>Ремонт копировально-множительной техники</v>
      </c>
      <c r="G1054" s="22" t="s">
        <v>1096</v>
      </c>
      <c r="H1054" s="22" t="s">
        <v>1097</v>
      </c>
      <c r="I1054" s="26">
        <v>43739.465092592603</v>
      </c>
      <c r="J1054" s="23" t="str">
        <f>HYPERLINK("https://www.spark-marketing.ru/Card/Person/4873953", "Бочаров Роман Сергеевич")</f>
        <v>Бочаров Роман Сергеевич</v>
      </c>
      <c r="K1054" s="24" t="s">
        <v>2194</v>
      </c>
      <c r="L1054" s="28" t="s">
        <v>51</v>
      </c>
      <c r="M1054" s="25">
        <v>1640449</v>
      </c>
      <c r="N1054" s="27">
        <v>-2.5379628421476026</v>
      </c>
    </row>
    <row r="1055" spans="1:14" hidden="1" outlineLevel="1" x14ac:dyDescent="0.2">
      <c r="A1055" s="23" t="str">
        <f>HYPERLINK("https://www.spark-marketing.ru/Card/Person/145131", "УФССП РОССИИ ПО ХАБАРОВСКОМУ КРАЮ И ЕВРЕЙСКОЙ АВТОНОМНОЙ ОБЛАСТИ")</f>
        <v>УФССП РОССИИ ПО ХАБАРОВСКОМУ КРАЮ И ЕВРЕЙСКОЙ АВТОНОМНОЙ ОБЛАСТИ</v>
      </c>
      <c r="B1055" s="24" t="s">
        <v>2191</v>
      </c>
      <c r="C1055" s="25">
        <v>463670.5</v>
      </c>
      <c r="D1055" s="22" t="s">
        <v>2192</v>
      </c>
      <c r="E1055" s="22" t="s">
        <v>91</v>
      </c>
      <c r="F1055" s="23" t="str">
        <f>HYPERLINK("https://www.spark-marketing.ru/Card/Lot/74107764", "Ремонт копировально-множительной техники")</f>
        <v>Ремонт копировально-множительной техники</v>
      </c>
      <c r="G1055" s="22" t="s">
        <v>1096</v>
      </c>
      <c r="H1055" s="22" t="s">
        <v>1097</v>
      </c>
      <c r="I1055" s="26">
        <v>43739.465092592603</v>
      </c>
      <c r="J1055" s="23" t="str">
        <f>HYPERLINK("https://www.spark-marketing.ru/Card/Person/65310", "ООО ""ХАБЭКО-ПАРТНЕР""")</f>
        <v>ООО "ХАБЭКО-ПАРТНЕР"</v>
      </c>
      <c r="K1055" s="24" t="s">
        <v>2195</v>
      </c>
      <c r="L1055" s="28" t="s">
        <v>51</v>
      </c>
      <c r="M1055" s="25">
        <v>1640449</v>
      </c>
      <c r="N1055" s="27">
        <v>-2.5379628421476026</v>
      </c>
    </row>
    <row r="1056" spans="1:14" x14ac:dyDescent="0.15">
      <c r="A1056" s="23" t="str">
        <f>HYPERLINK("https://www.spark-marketing.ru/Card/Person/652030", "МОМВД РОССИИ ""ХАНТЫ-МАНСИЙСКИЙ""")</f>
        <v>МОМВД РОССИИ "ХАНТЫ-МАНСИЙСКИЙ"</v>
      </c>
      <c r="B1056" s="24" t="s">
        <v>94</v>
      </c>
      <c r="C1056" s="25">
        <v>1878240</v>
      </c>
      <c r="D1056" s="22" t="s">
        <v>2196</v>
      </c>
      <c r="E1056" s="22" t="s">
        <v>96</v>
      </c>
      <c r="F1056" s="23" t="str">
        <f>HYPERLINK("https://www.spark-marketing.ru/Card/Lot/74107869", "Оказание услуг по обеспечению ежедневным горячим питанием подозреваемых и обвиняемых в совершении преступлений, содержащихся в ИВС МОМВД России «Ханты-Мансийский», а также лиц, задержанных в административном порядке, содержащихся в комнате администра...")</f>
        <v>Оказание услуг по обеспечению ежедневным горячим питанием подозреваемых и обвиняемых в совершении преступлений, содержащихся в ИВС МОМВД России «Ханты-Мансийский», а также лиц, задержанных в административном порядке, содержащихся в комнате администра...</v>
      </c>
      <c r="G1056" s="22" t="s">
        <v>97</v>
      </c>
      <c r="H1056" s="22" t="s">
        <v>97</v>
      </c>
      <c r="I1056" s="26">
        <v>43739.424699074101</v>
      </c>
      <c r="J1056" s="28" t="s">
        <v>51</v>
      </c>
      <c r="K1056" s="28" t="s">
        <v>51</v>
      </c>
      <c r="L1056" s="28" t="s">
        <v>51</v>
      </c>
      <c r="M1056" s="28" t="s">
        <v>51</v>
      </c>
      <c r="N1056" s="28" t="s">
        <v>51</v>
      </c>
    </row>
    <row r="1057" spans="1:14" x14ac:dyDescent="0.15">
      <c r="A1057" s="23" t="str">
        <f>HYPERLINK("https://www.spark-marketing.ru/Card/Person/60686", "ОМВД РОССИИ ПО КНЯЖПОГОСТСКОМУ РАЙОНУ")</f>
        <v>ОМВД РОССИИ ПО КНЯЖПОГОСТСКОМУ РАЙОНУ</v>
      </c>
      <c r="B1057" s="24" t="s">
        <v>2197</v>
      </c>
      <c r="C1057" s="25">
        <v>850000</v>
      </c>
      <c r="D1057" s="22" t="s">
        <v>2198</v>
      </c>
      <c r="E1057" s="22" t="s">
        <v>48</v>
      </c>
      <c r="F1057" s="23" t="str">
        <f>HYPERLINK("https://www.spark-marketing.ru/Card/Lot/74107707", "Услуги по организации трехразового  питания(приготовление холодной и горячей пищи) для лиц содержащихся  в ИВС,КАЗ ОМВД России по Княжпогостскому району")</f>
        <v>Услуги по организации трехразового  питания(приготовление холодной и горячей пищи) для лиц содержащихся  в ИВС,КАЗ ОМВД России по Княжпогостскому району</v>
      </c>
      <c r="G1057" s="22" t="s">
        <v>271</v>
      </c>
      <c r="H1057" s="22" t="s">
        <v>271</v>
      </c>
      <c r="I1057" s="26">
        <v>43739.397881944402</v>
      </c>
      <c r="J1057" s="28" t="s">
        <v>51</v>
      </c>
      <c r="K1057" s="28" t="s">
        <v>51</v>
      </c>
      <c r="L1057" s="28" t="s">
        <v>51</v>
      </c>
      <c r="M1057" s="28" t="s">
        <v>51</v>
      </c>
      <c r="N1057" s="28" t="s">
        <v>51</v>
      </c>
    </row>
    <row r="1058" spans="1:14" x14ac:dyDescent="0.15">
      <c r="A1058" s="23" t="str">
        <f>HYPERLINK("https://www.spark-marketing.ru/Card/Person/137794", "ГБУ АО ""ЦВКП""")</f>
        <v>ГБУ АО "ЦВКП"</v>
      </c>
      <c r="B1058" s="24" t="s">
        <v>2199</v>
      </c>
      <c r="C1058" s="25">
        <v>200000</v>
      </c>
      <c r="D1058" s="22" t="s">
        <v>2200</v>
      </c>
      <c r="E1058" s="22" t="s">
        <v>1632</v>
      </c>
      <c r="F1058" s="23" t="str">
        <f>HYPERLINK("https://www.spark-marketing.ru/Card/Lot/74106232", "Оказание услуг по обеспечению проживания и питания участников мероприятия «Осенние военно-полевые сборы членов казачьих обществ Астраханской области».")</f>
        <v>Оказание услуг по обеспечению проживания и питания участников мероприятия «Осенние военно-полевые сборы членов казачьих обществ Астраханской области».</v>
      </c>
      <c r="G1058" s="22" t="s">
        <v>141</v>
      </c>
      <c r="H1058" s="22" t="s">
        <v>2201</v>
      </c>
      <c r="I1058" s="26">
        <v>43739.4164930556</v>
      </c>
      <c r="J1058" s="23" t="str">
        <f>HYPERLINK("https://www.spark-marketing.ru/Card/Person/1103126", "ООО ""КАСПИЙСКИЕ ЗОРИ""")</f>
        <v>ООО "КАСПИЙСКИЕ ЗОРИ"</v>
      </c>
      <c r="K1058" s="24" t="s">
        <v>2202</v>
      </c>
      <c r="L1058" s="22" t="s">
        <v>10</v>
      </c>
      <c r="M1058" s="28" t="s">
        <v>51</v>
      </c>
      <c r="N1058" s="28" t="s">
        <v>51</v>
      </c>
    </row>
    <row r="1059" spans="1:14" x14ac:dyDescent="0.15">
      <c r="A1059" s="23" t="str">
        <f>HYPERLINK("https://www.spark-marketing.ru/Card/Person/4349843", "МИНСЕЛЬХОЗПРОД РЕСПУБЛИКИ МОРДОВИЯ")</f>
        <v>МИНСЕЛЬХОЗПРОД РЕСПУБЛИКИ МОРДОВИЯ</v>
      </c>
      <c r="B1059" s="24" t="s">
        <v>2203</v>
      </c>
      <c r="C1059" s="25">
        <v>3693367.3</v>
      </c>
      <c r="D1059" s="22" t="s">
        <v>2204</v>
      </c>
      <c r="E1059" s="22" t="s">
        <v>67</v>
      </c>
      <c r="F1059" s="23" t="str">
        <f>HYPERLINK("https://www.spark-marketing.ru/Card/Lot/74110932", "организация и оказание услуг общественного питания при проведении Дня работника сельского хозяйства и перерабатывающей промышленности в Республике Мордовия")</f>
        <v>организация и оказание услуг общественного питания при проведении Дня работника сельского хозяйства и перерабатывающей промышленности в Республике Мордовия</v>
      </c>
      <c r="G1059" s="22" t="s">
        <v>277</v>
      </c>
      <c r="H1059" s="22" t="s">
        <v>278</v>
      </c>
      <c r="I1059" s="26">
        <v>43739.382997685199</v>
      </c>
      <c r="J1059" s="28" t="s">
        <v>51</v>
      </c>
      <c r="K1059" s="28" t="s">
        <v>51</v>
      </c>
      <c r="L1059" s="28" t="s">
        <v>51</v>
      </c>
      <c r="M1059" s="28" t="s">
        <v>51</v>
      </c>
      <c r="N1059" s="28" t="s">
        <v>51</v>
      </c>
    </row>
    <row r="1060" spans="1:14" ht="12.75" hidden="1" outlineLevel="1" x14ac:dyDescent="0.2">
      <c r="A1060" s="23" t="str">
        <f>HYPERLINK("https://www.spark-marketing.ru/Card/Person/4349843", "МИНСЕЛЬХОЗПРОД РЕСПУБЛИКИ МОРДОВИЯ")</f>
        <v>МИНСЕЛЬХОЗПРОД РЕСПУБЛИКИ МОРДОВИЯ</v>
      </c>
      <c r="B1060" s="24" t="s">
        <v>2203</v>
      </c>
      <c r="C1060" s="25">
        <v>3693367.3</v>
      </c>
      <c r="D1060" s="22" t="s">
        <v>2204</v>
      </c>
      <c r="E1060" s="22" t="s">
        <v>67</v>
      </c>
      <c r="F1060" s="23" t="str">
        <f>HYPERLINK("https://www.spark-marketing.ru/Card/Lot/74110932", "организация и оказание услуг общественного питания при проведении Дня работника сельского хозяйства и перерабатывающей промышленности в Республике Мордовия")</f>
        <v>организация и оказание услуг общественного питания при проведении Дня работника сельского хозяйства и перерабатывающей промышленности в Республике Мордовия</v>
      </c>
      <c r="G1060" s="22" t="s">
        <v>277</v>
      </c>
      <c r="H1060" s="22" t="s">
        <v>278</v>
      </c>
      <c r="I1060" s="26">
        <v>43739.382997685199</v>
      </c>
      <c r="J1060" s="23" t="str">
        <f>HYPERLINK("https://www.spark-marketing.ru/Card/Person/408191", "ПООА ""ЦПО""")</f>
        <v>ПООА "ЦПО"</v>
      </c>
      <c r="K1060" s="24" t="s">
        <v>2205</v>
      </c>
      <c r="L1060" s="22" t="s">
        <v>10</v>
      </c>
      <c r="M1060" s="25">
        <v>2991627.38</v>
      </c>
      <c r="N1060" s="27">
        <v>0.19000003601049914</v>
      </c>
    </row>
    <row r="1061" spans="1:14" hidden="1" outlineLevel="1" x14ac:dyDescent="0.2">
      <c r="A1061" s="23" t="str">
        <f>HYPERLINK("https://www.spark-marketing.ru/Card/Person/4349843", "МИНСЕЛЬХОЗПРОД РЕСПУБЛИКИ МОРДОВИЯ")</f>
        <v>МИНСЕЛЬХОЗПРОД РЕСПУБЛИКИ МОРДОВИЯ</v>
      </c>
      <c r="B1061" s="24" t="s">
        <v>2203</v>
      </c>
      <c r="C1061" s="25">
        <v>3693367.3</v>
      </c>
      <c r="D1061" s="22" t="s">
        <v>2204</v>
      </c>
      <c r="E1061" s="22" t="s">
        <v>67</v>
      </c>
      <c r="F1061" s="23" t="str">
        <f>HYPERLINK("https://www.spark-marketing.ru/Card/Lot/74110932", "организация и оказание услуг общественного питания при проведении Дня работника сельского хозяйства и перерабатывающей промышленности в Республике Мордовия")</f>
        <v>организация и оказание услуг общественного питания при проведении Дня работника сельского хозяйства и перерабатывающей промышленности в Республике Мордовия</v>
      </c>
      <c r="G1061" s="22" t="s">
        <v>277</v>
      </c>
      <c r="H1061" s="22" t="s">
        <v>278</v>
      </c>
      <c r="I1061" s="26">
        <v>43739.382997685199</v>
      </c>
      <c r="J1061" s="23" t="str">
        <f>HYPERLINK("https://www.spark-marketing.ru/Card/Person/2395558", "ООО ""РЕСТОРИЯ""")</f>
        <v>ООО "РЕСТОРИЯ"</v>
      </c>
      <c r="K1061" s="24" t="s">
        <v>2093</v>
      </c>
      <c r="L1061" s="28" t="s">
        <v>51</v>
      </c>
      <c r="M1061" s="25">
        <v>3010094.22</v>
      </c>
      <c r="N1061" s="27">
        <v>0.18500003506285442</v>
      </c>
    </row>
    <row r="1062" spans="1:14" x14ac:dyDescent="0.15">
      <c r="A1062" s="23" t="str">
        <f>HYPERLINK("https://www.spark-marketing.ru/Card/Person/49399", "МО МВД РОССИИ ""КИНЕШЕМСКИЙ""")</f>
        <v>МО МВД РОССИИ "КИНЕШЕМСКИЙ"</v>
      </c>
      <c r="B1062" s="24" t="s">
        <v>2206</v>
      </c>
      <c r="C1062" s="25">
        <v>915500</v>
      </c>
      <c r="D1062" s="22" t="s">
        <v>2207</v>
      </c>
      <c r="E1062" s="22" t="s">
        <v>48</v>
      </c>
      <c r="F1062" s="23" t="str">
        <f>HYPERLINK("https://www.spark-marketing.ru/Card/Lot/74105996", "Оказание услуг по организации питания лиц, содержащихся в специальном приемнике для лиц, арестованных в административном порядке МО МВД России «Кинешемский».")</f>
        <v>Оказание услуг по организации питания лиц, содержащихся в специальном приемнике для лиц, арестованных в административном порядке МО МВД России «Кинешемский».</v>
      </c>
      <c r="G1062" s="22" t="s">
        <v>1047</v>
      </c>
      <c r="H1062" s="22" t="s">
        <v>2208</v>
      </c>
      <c r="I1062" s="26">
        <v>43739.358055555596</v>
      </c>
      <c r="J1062" s="23" t="str">
        <f>HYPERLINK("https://www.spark-marketing.ru/Card/Person/582836", "Ярославцева Татьяна Сергеевна")</f>
        <v>Ярославцева Татьяна Сергеевна</v>
      </c>
      <c r="K1062" s="24" t="s">
        <v>2209</v>
      </c>
      <c r="L1062" s="22" t="s">
        <v>10</v>
      </c>
      <c r="M1062" s="28" t="s">
        <v>51</v>
      </c>
      <c r="N1062" s="28" t="s">
        <v>51</v>
      </c>
    </row>
    <row r="1063" spans="1:14" x14ac:dyDescent="0.15">
      <c r="A1063" s="23" t="str">
        <f>HYPERLINK("https://www.spark-marketing.ru/Card/Person/49399", "МО МВД РОССИИ ""КИНЕШЕМСКИЙ""")</f>
        <v>МО МВД РОССИИ "КИНЕШЕМСКИЙ"</v>
      </c>
      <c r="B1063" s="24" t="s">
        <v>2206</v>
      </c>
      <c r="C1063" s="25">
        <v>915500</v>
      </c>
      <c r="D1063" s="22" t="s">
        <v>2210</v>
      </c>
      <c r="E1063" s="22" t="s">
        <v>48</v>
      </c>
      <c r="F1063" s="23" t="str">
        <f>HYPERLINK("https://www.spark-marketing.ru/Card/Lot/74106028", "Оказание услуг по организации питания лиц, содержащихся в специальном приемнике для лиц, арестованных в административном порядке МО МВД России «Кинешемский».")</f>
        <v>Оказание услуг по организации питания лиц, содержащихся в специальном приемнике для лиц, арестованных в административном порядке МО МВД России «Кинешемский».</v>
      </c>
      <c r="G1063" s="22" t="s">
        <v>1047</v>
      </c>
      <c r="H1063" s="22" t="s">
        <v>2208</v>
      </c>
      <c r="I1063" s="26">
        <v>43739.3591087963</v>
      </c>
      <c r="J1063" s="23" t="str">
        <f>HYPERLINK("https://www.spark-marketing.ru/Card/Person/582836", "Ярославцева Татьяна Сергеевна")</f>
        <v>Ярославцева Татьяна Сергеевна</v>
      </c>
      <c r="K1063" s="24" t="s">
        <v>2209</v>
      </c>
      <c r="L1063" s="22" t="s">
        <v>10</v>
      </c>
      <c r="M1063" s="28" t="s">
        <v>51</v>
      </c>
      <c r="N1063" s="28" t="s">
        <v>51</v>
      </c>
    </row>
    <row r="1064" spans="1:14" x14ac:dyDescent="0.15">
      <c r="A1064" s="23" t="str">
        <f>HYPERLINK("https://www.spark-marketing.ru/Card/Person/1005996", "ГБУЗ ПК ""ЮСЬВИНСКАЯ РБ""")</f>
        <v>ГБУЗ ПК "ЮСЬВИНСКАЯ РБ"</v>
      </c>
      <c r="B1064" s="24" t="s">
        <v>2211</v>
      </c>
      <c r="C1064" s="25">
        <v>387192</v>
      </c>
      <c r="D1064" s="22" t="s">
        <v>2212</v>
      </c>
      <c r="E1064" s="22" t="s">
        <v>96</v>
      </c>
      <c r="F1064" s="23" t="str">
        <f>HYPERLINK("https://www.spark-marketing.ru/Card/Lot/74112744", "Услуги горячего питания")</f>
        <v>Услуги горячего питания</v>
      </c>
      <c r="G1064" s="22" t="s">
        <v>153</v>
      </c>
      <c r="H1064" s="22" t="s">
        <v>153</v>
      </c>
      <c r="I1064" s="26">
        <v>43739.349305555603</v>
      </c>
      <c r="J1064" s="28" t="s">
        <v>51</v>
      </c>
      <c r="K1064" s="28" t="s">
        <v>51</v>
      </c>
      <c r="L1064" s="28" t="s">
        <v>51</v>
      </c>
      <c r="M1064" s="28" t="s">
        <v>51</v>
      </c>
      <c r="N1064" s="28" t="s">
        <v>51</v>
      </c>
    </row>
    <row r="1065" spans="1:14" ht="12.75" hidden="1" outlineLevel="1" x14ac:dyDescent="0.2">
      <c r="A1065" s="23" t="str">
        <f>HYPERLINK("https://www.spark-marketing.ru/Card/Person/1005996", "ГБУЗ ПК ""ЮСЬВИНСКАЯ РБ""")</f>
        <v>ГБУЗ ПК "ЮСЬВИНСКАЯ РБ"</v>
      </c>
      <c r="B1065" s="24" t="s">
        <v>2211</v>
      </c>
      <c r="C1065" s="25">
        <v>387192</v>
      </c>
      <c r="D1065" s="22" t="s">
        <v>2212</v>
      </c>
      <c r="E1065" s="22" t="s">
        <v>96</v>
      </c>
      <c r="F1065" s="23" t="str">
        <f>HYPERLINK("https://www.spark-marketing.ru/Card/Lot/74112744", "Услуги горячего питания")</f>
        <v>Услуги горячего питания</v>
      </c>
      <c r="G1065" s="22" t="s">
        <v>153</v>
      </c>
      <c r="H1065" s="22" t="s">
        <v>153</v>
      </c>
      <c r="I1065" s="26">
        <v>43739.349305555603</v>
      </c>
      <c r="J1065" s="23" t="str">
        <f>HYPERLINK("https://www.spark-marketing.ru/Card/Person/2025480", "Четин Анатолий Николаевич")</f>
        <v>Четин Анатолий Николаевич</v>
      </c>
      <c r="K1065" s="24" t="s">
        <v>1964</v>
      </c>
      <c r="L1065" s="22" t="s">
        <v>10</v>
      </c>
      <c r="M1065" s="25">
        <v>209083.68</v>
      </c>
      <c r="N1065" s="27">
        <v>0.46</v>
      </c>
    </row>
    <row r="1066" spans="1:14" hidden="1" outlineLevel="1" x14ac:dyDescent="0.2">
      <c r="A1066" s="23" t="str">
        <f>HYPERLINK("https://www.spark-marketing.ru/Card/Person/1005996", "ГБУЗ ПК ""ЮСЬВИНСКАЯ РБ""")</f>
        <v>ГБУЗ ПК "ЮСЬВИНСКАЯ РБ"</v>
      </c>
      <c r="B1066" s="24" t="s">
        <v>2211</v>
      </c>
      <c r="C1066" s="25">
        <v>387192</v>
      </c>
      <c r="D1066" s="22" t="s">
        <v>2212</v>
      </c>
      <c r="E1066" s="22" t="s">
        <v>96</v>
      </c>
      <c r="F1066" s="23" t="str">
        <f>HYPERLINK("https://www.spark-marketing.ru/Card/Lot/74112744", "Услуги горячего питания")</f>
        <v>Услуги горячего питания</v>
      </c>
      <c r="G1066" s="22" t="s">
        <v>153</v>
      </c>
      <c r="H1066" s="22" t="s">
        <v>153</v>
      </c>
      <c r="I1066" s="26">
        <v>43739.349305555603</v>
      </c>
      <c r="J1066" s="23" t="str">
        <f>HYPERLINK("https://www.spark-marketing.ru/Card/Person/791680", "Власова Александра Михайловна")</f>
        <v>Власова Александра Михайловна</v>
      </c>
      <c r="K1066" s="24" t="s">
        <v>2213</v>
      </c>
      <c r="L1066" s="28" t="s">
        <v>51</v>
      </c>
      <c r="M1066" s="25">
        <v>211019.64</v>
      </c>
      <c r="N1066" s="27">
        <v>0.45500000000000002</v>
      </c>
    </row>
    <row r="1067" spans="1:14" x14ac:dyDescent="0.15">
      <c r="A1067" s="23" t="str">
        <f>HYPERLINK("https://www.spark-marketing.ru/Card/Person/73338", "ОГУ ИМЕНИ И.С. ТУРГЕНЕВА, ФГБОУ ВО ""ОРЛОВСКИЙ ГОСУДАРСТВЕННЫЙ УНИВЕРСИТЕТ ИМЕНИ И.С. ТУРГЕНЕВА"", ОРЛОВСКИЙ ГОСУДАРСТВЕННЫЙ УНИВЕРСИТЕТ ИМЕНИ И.С. ТУРГЕНЕВА, ФГБОУ ВО ""ОГУ ИМ. И.С. ТУРГЕНЕВА"", ОГУ ИМ. И.С. ТУРГЕНЕВА")</f>
        <v>ОГУ ИМЕНИ И.С. ТУРГЕНЕВА, ФГБОУ ВО "ОРЛОВСКИЙ ГОСУДАРСТВЕННЫЙ УНИВЕРСИТЕТ ИМЕНИ И.С. ТУРГЕНЕВА", ОРЛОВСКИЙ ГОСУДАРСТВЕННЫЙ УНИВЕРСИТЕТ ИМЕНИ И.С. ТУРГЕНЕВА, ФГБОУ ВО "ОГУ ИМ. И.С. ТУРГЕНЕВА", ОГУ ИМ. И.С. ТУРГЕНЕВА</v>
      </c>
      <c r="B1067" s="24" t="s">
        <v>1218</v>
      </c>
      <c r="C1067" s="25">
        <v>280000</v>
      </c>
      <c r="D1067" s="22" t="s">
        <v>2214</v>
      </c>
      <c r="E1067" s="22" t="s">
        <v>580</v>
      </c>
      <c r="F1067" s="23" t="str">
        <f>HYPERLINK("https://www.spark-marketing.ru/Card/Lot/74098152", "Оказание услуг по организации питания участников проекта «Система лагерных образовательных смен «Территория успеха»»")</f>
        <v>Оказание услуг по организации питания участников проекта «Система лагерных образовательных смен «Территория успеха»»</v>
      </c>
      <c r="G1067" s="22" t="s">
        <v>1066</v>
      </c>
      <c r="H1067" s="22" t="s">
        <v>1066</v>
      </c>
      <c r="I1067" s="26">
        <v>43739</v>
      </c>
      <c r="J1067" s="28" t="s">
        <v>51</v>
      </c>
      <c r="K1067" s="28" t="s">
        <v>51</v>
      </c>
      <c r="L1067" s="28" t="s">
        <v>51</v>
      </c>
      <c r="M1067" s="28" t="s">
        <v>51</v>
      </c>
      <c r="N1067" s="28" t="s">
        <v>51</v>
      </c>
    </row>
    <row r="1068" spans="1:14" x14ac:dyDescent="0.15">
      <c r="A1068" s="23" t="str">
        <f>HYPERLINK("https://www.spark-marketing.ru/Card/Person/3591", "МИАН")</f>
        <v>МИАН</v>
      </c>
      <c r="B1068" s="24" t="s">
        <v>2215</v>
      </c>
      <c r="C1068" s="25">
        <v>146800</v>
      </c>
      <c r="D1068" s="22" t="s">
        <v>2216</v>
      </c>
      <c r="E1068" s="22" t="s">
        <v>2217</v>
      </c>
      <c r="F1068" s="23" t="str">
        <f>HYPERLINK("https://www.spark-marketing.ru/Card/Lot/74093759", "Оказание услуг по организации питания участников мероприятия «Международная конференция по комплексному анализу памяти А. А. Гончара и А. Г. Витушкина»")</f>
        <v>Оказание услуг по организации питания участников мероприятия «Международная конференция по комплексному анализу памяти А. А. Гончара и А. Г. Витушкина»</v>
      </c>
      <c r="G1068" s="22" t="s">
        <v>56</v>
      </c>
      <c r="H1068" s="22" t="s">
        <v>56</v>
      </c>
      <c r="I1068" s="26">
        <v>43739</v>
      </c>
      <c r="J1068" s="28" t="s">
        <v>51</v>
      </c>
      <c r="K1068" s="28" t="s">
        <v>51</v>
      </c>
      <c r="L1068" s="28" t="s">
        <v>51</v>
      </c>
      <c r="M1068" s="28" t="s">
        <v>51</v>
      </c>
      <c r="N1068" s="28" t="s">
        <v>51</v>
      </c>
    </row>
    <row r="1069" spans="1:14" x14ac:dyDescent="0.2">
      <c r="A1069" s="23" t="str">
        <f>HYPERLINK("https://www.spark-marketing.ru/Card/Person/234820", "МДОУ Д/С № 98")</f>
        <v>МДОУ Д/С № 98</v>
      </c>
      <c r="B1069" s="24" t="s">
        <v>2218</v>
      </c>
      <c r="C1069" s="25">
        <v>1274521.8</v>
      </c>
      <c r="D1069" s="22" t="s">
        <v>2219</v>
      </c>
      <c r="E1069" s="22" t="s">
        <v>362</v>
      </c>
      <c r="F1069" s="23" t="str">
        <f>HYPERLINK("https://www.spark-marketing.ru/Card/Lot/74089097", "Оказание услуг по организации питания детей")</f>
        <v>Оказание услуг по организации питания детей</v>
      </c>
      <c r="G1069" s="22" t="s">
        <v>158</v>
      </c>
      <c r="H1069" s="22" t="s">
        <v>158</v>
      </c>
      <c r="I1069" s="26">
        <v>43739</v>
      </c>
      <c r="J1069" s="28" t="s">
        <v>51</v>
      </c>
      <c r="K1069" s="28" t="s">
        <v>51</v>
      </c>
      <c r="L1069" s="22" t="s">
        <v>10</v>
      </c>
      <c r="M1069" s="25">
        <v>1274521.8</v>
      </c>
      <c r="N1069" s="27">
        <v>0</v>
      </c>
    </row>
    <row r="1070" spans="1:14" x14ac:dyDescent="0.2">
      <c r="A1070" s="23" t="str">
        <f>HYPERLINK("https://www.spark-marketing.ru/Card/Person/234778", "МДОУ Д/С № 90")</f>
        <v>МДОУ Д/С № 90</v>
      </c>
      <c r="B1070" s="24" t="s">
        <v>2220</v>
      </c>
      <c r="C1070" s="25">
        <v>374778.93</v>
      </c>
      <c r="D1070" s="22" t="s">
        <v>2221</v>
      </c>
      <c r="E1070" s="22" t="s">
        <v>362</v>
      </c>
      <c r="F1070" s="23" t="str">
        <f>HYPERLINK("https://www.spark-marketing.ru/Card/Lot/74089872", "Оказание услуг по организации питания детей")</f>
        <v>Оказание услуг по организации питания детей</v>
      </c>
      <c r="G1070" s="22" t="s">
        <v>158</v>
      </c>
      <c r="H1070" s="22" t="s">
        <v>158</v>
      </c>
      <c r="I1070" s="26">
        <v>43739</v>
      </c>
      <c r="J1070" s="28" t="s">
        <v>51</v>
      </c>
      <c r="K1070" s="28" t="s">
        <v>51</v>
      </c>
      <c r="L1070" s="28" t="s">
        <v>51</v>
      </c>
      <c r="M1070" s="25">
        <v>374778.93</v>
      </c>
      <c r="N1070" s="27">
        <v>0</v>
      </c>
    </row>
    <row r="1071" spans="1:14" x14ac:dyDescent="0.15">
      <c r="A1071" s="23" t="str">
        <f>HYPERLINK("https://www.spark-marketing.ru/Card/Person/4414833", "МАОУ СОШ №2")</f>
        <v>МАОУ СОШ №2</v>
      </c>
      <c r="B1071" s="24" t="s">
        <v>2222</v>
      </c>
      <c r="C1071" s="25">
        <v>481268.4</v>
      </c>
      <c r="D1071" s="22" t="s">
        <v>2223</v>
      </c>
      <c r="E1071" s="22" t="s">
        <v>2224</v>
      </c>
      <c r="F1071" s="23" t="str">
        <f>HYPERLINK("https://www.spark-marketing.ru/Card/Lot/74091288", "оказание услуг по организации питания обучающихся в Муниципальном автономном общеобразовательном учреждении «Средняя общеобразовательная школа № 2» в 2019 году")</f>
        <v>оказание услуг по организации питания обучающихся в Муниципальном автономном общеобразовательном учреждении «Средняя общеобразовательная школа № 2» в 2019 году</v>
      </c>
      <c r="G1071" s="22" t="s">
        <v>174</v>
      </c>
      <c r="H1071" s="22" t="s">
        <v>174</v>
      </c>
      <c r="I1071" s="26">
        <v>43739</v>
      </c>
      <c r="J1071" s="28" t="s">
        <v>51</v>
      </c>
      <c r="K1071" s="28" t="s">
        <v>51</v>
      </c>
      <c r="L1071" s="28" t="s">
        <v>51</v>
      </c>
      <c r="M1071" s="28" t="s">
        <v>51</v>
      </c>
      <c r="N1071" s="28" t="s">
        <v>51</v>
      </c>
    </row>
    <row r="1072" spans="1:14" x14ac:dyDescent="0.2">
      <c r="A1072" s="23" t="str">
        <f>HYPERLINK("https://www.spark-marketing.ru/Card/Person/4346656", "ФГБУ ""ТЦСКР ""КРЫМСКИЙ""")</f>
        <v>ФГБУ "ТЦСКР "КРЫМСКИЙ"</v>
      </c>
      <c r="B1072" s="24" t="s">
        <v>2225</v>
      </c>
      <c r="C1072" s="25">
        <v>100000</v>
      </c>
      <c r="D1072" s="22" t="s">
        <v>2226</v>
      </c>
      <c r="E1072" s="22" t="s">
        <v>2227</v>
      </c>
      <c r="F1072" s="23" t="str">
        <f>HYPERLINK("https://www.spark-marketing.ru/Card/Lot/74099886", "Временное владение и пользование (операционная аренда) нежилым помещением кафе, расположенным по адресу: Республика Крым, г. Алушта, ул. Красноармейская, д. 38")</f>
        <v>Временное владение и пользование (операционная аренда) нежилым помещением кафе, расположенным по адресу: Республика Крым, г. Алушта, ул. Красноармейская, д. 38</v>
      </c>
      <c r="G1072" s="22" t="s">
        <v>108</v>
      </c>
      <c r="H1072" s="22" t="s">
        <v>108</v>
      </c>
      <c r="I1072" s="26">
        <v>43739</v>
      </c>
      <c r="J1072" s="28" t="s">
        <v>51</v>
      </c>
      <c r="K1072" s="28" t="s">
        <v>51</v>
      </c>
      <c r="L1072" s="28" t="s">
        <v>51</v>
      </c>
      <c r="M1072" s="25">
        <v>100000</v>
      </c>
      <c r="N1072" s="27">
        <v>0</v>
      </c>
    </row>
    <row r="1073" spans="1:14" x14ac:dyDescent="0.2">
      <c r="A1073" s="23" t="str">
        <f>HYPERLINK("https://www.spark-marketing.ru/Card/Person/240535", "ГПОАУ АТК")</f>
        <v>ГПОАУ АТК</v>
      </c>
      <c r="B1073" s="24" t="s">
        <v>2228</v>
      </c>
      <c r="C1073" s="25">
        <v>476480</v>
      </c>
      <c r="D1073" s="22" t="s">
        <v>2229</v>
      </c>
      <c r="E1073" s="22" t="s">
        <v>362</v>
      </c>
      <c r="F1073" s="23" t="str">
        <f>HYPERLINK("https://www.spark-marketing.ru/Card/Lot/74089264", "Оказание услуг по организации горячего питания г. Свободный")</f>
        <v>Оказание услуг по организации горячего питания г. Свободный</v>
      </c>
      <c r="G1073" s="22" t="s">
        <v>210</v>
      </c>
      <c r="H1073" s="22" t="s">
        <v>210</v>
      </c>
      <c r="I1073" s="26">
        <v>43739</v>
      </c>
      <c r="J1073" s="28" t="s">
        <v>51</v>
      </c>
      <c r="K1073" s="28" t="s">
        <v>51</v>
      </c>
      <c r="L1073" s="28" t="s">
        <v>51</v>
      </c>
      <c r="M1073" s="25">
        <v>476480</v>
      </c>
      <c r="N1073" s="27">
        <v>0</v>
      </c>
    </row>
    <row r="1074" spans="1:14" ht="12.75" x14ac:dyDescent="0.2">
      <c r="A1074" s="23" t="str">
        <f>HYPERLINK("https://www.spark-marketing.ru/Card/Person/89159", "МБУ КП")</f>
        <v>МБУ КП</v>
      </c>
      <c r="B1074" s="24" t="s">
        <v>2230</v>
      </c>
      <c r="C1074" s="25">
        <v>640000</v>
      </c>
      <c r="D1074" s="22" t="s">
        <v>2231</v>
      </c>
      <c r="E1074" s="22" t="s">
        <v>2232</v>
      </c>
      <c r="F1074" s="23" t="str">
        <f>HYPERLINK("https://www.spark-marketing.ru/Card/Lot/74089070", "услуги по обеспечению бесперебойной работы программно-аппаратного комплекса")</f>
        <v>услуги по обеспечению бесперебойной работы программно-аппаратного комплекса</v>
      </c>
      <c r="G1074" s="22" t="s">
        <v>304</v>
      </c>
      <c r="H1074" s="22" t="s">
        <v>2233</v>
      </c>
      <c r="I1074" s="26">
        <v>43739</v>
      </c>
      <c r="J1074" s="23" t="str">
        <f>HYPERLINK("https://www.spark-marketing.ru/Card/Person/615341", "ООО ""КОНСТАНТА""")</f>
        <v>ООО "КОНСТАНТА"</v>
      </c>
      <c r="K1074" s="24" t="s">
        <v>2234</v>
      </c>
      <c r="L1074" s="22" t="s">
        <v>10</v>
      </c>
      <c r="M1074" s="25">
        <v>640000</v>
      </c>
      <c r="N1074" s="27">
        <v>0</v>
      </c>
    </row>
    <row r="1075" spans="1:14" x14ac:dyDescent="0.15">
      <c r="A1075" s="23" t="str">
        <f>HYPERLINK("https://www.spark-marketing.ru/Card/Person/2049498", "РОССИЙСКАЯ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""РОССИЙСКАЯ АКАДЕМИЯ НАРОДНОГО ХОЗЯЙСТВА И ГОСУДАРСТВЕННОЙ ...")</f>
        <v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...</v>
      </c>
      <c r="B1075" s="24" t="s">
        <v>2235</v>
      </c>
      <c r="C1075" s="25">
        <v>551250</v>
      </c>
      <c r="D1075" s="22" t="s">
        <v>2236</v>
      </c>
      <c r="E1075" s="22" t="s">
        <v>362</v>
      </c>
      <c r="F1075" s="23" t="str">
        <f>HYPERLINK("https://www.spark-marketing.ru/Card/Lot/74098041", "Оказание услуг по предоставлению питания участникам программы «Основы цифровой трансформации и цифровой экономики: технологии и компетенции» на базе Центра деловых связей Административно-хозяйственного центра - структурного подразделения Октябрьской ...")</f>
        <v>Оказание услуг по предоставлению питания участникам программы «Основы цифровой трансформации и цифровой экономики: технологии и компетенции» на базе Центра деловых связей Административно-хозяйственного центра - структурного подразделения Октябрьской ...</v>
      </c>
      <c r="G1075" s="22" t="s">
        <v>117</v>
      </c>
      <c r="H1075" s="22" t="s">
        <v>117</v>
      </c>
      <c r="I1075" s="26">
        <v>43739</v>
      </c>
      <c r="J1075" s="28" t="s">
        <v>51</v>
      </c>
      <c r="K1075" s="28" t="s">
        <v>51</v>
      </c>
      <c r="L1075" s="28" t="s">
        <v>51</v>
      </c>
      <c r="M1075" s="28" t="s">
        <v>51</v>
      </c>
      <c r="N1075" s="28" t="s">
        <v>51</v>
      </c>
    </row>
    <row r="1076" spans="1:14" x14ac:dyDescent="0.2">
      <c r="A1076" s="23" t="str">
        <f>HYPERLINK("https://www.spark-marketing.ru/Card/Person/1046254", "МДОУ Д/С № 102")</f>
        <v>МДОУ Д/С № 102</v>
      </c>
      <c r="B1076" s="24" t="s">
        <v>2237</v>
      </c>
      <c r="C1076" s="25">
        <v>992008.76</v>
      </c>
      <c r="D1076" s="22" t="s">
        <v>2238</v>
      </c>
      <c r="E1076" s="22" t="s">
        <v>362</v>
      </c>
      <c r="F1076" s="23" t="str">
        <f>HYPERLINK("https://www.spark-marketing.ru/Card/Lot/74091793", "Оказание услуг по организации питания детей")</f>
        <v>Оказание услуг по организации питания детей</v>
      </c>
      <c r="G1076" s="22" t="s">
        <v>158</v>
      </c>
      <c r="H1076" s="22" t="s">
        <v>158</v>
      </c>
      <c r="I1076" s="26">
        <v>43739</v>
      </c>
      <c r="J1076" s="28" t="s">
        <v>51</v>
      </c>
      <c r="K1076" s="28" t="s">
        <v>51</v>
      </c>
      <c r="L1076" s="22" t="s">
        <v>10</v>
      </c>
      <c r="M1076" s="25">
        <v>992008.76</v>
      </c>
      <c r="N1076" s="27">
        <v>0</v>
      </c>
    </row>
    <row r="1077" spans="1:14" ht="12.75" x14ac:dyDescent="0.2">
      <c r="A1077" s="23" t="str">
        <f>HYPERLINK("https://www.spark-marketing.ru/Card/Person/25144", "ТУВИНСКИЙ ГОСУДАРСТВЕННЫЙ УНИВЕРСИТЕТ, ТУВГУ")</f>
        <v>ТУВИНСКИЙ ГОСУДАРСТВЕННЫЙ УНИВЕРСИТЕТ, ТУВГУ</v>
      </c>
      <c r="B1077" s="24" t="s">
        <v>2239</v>
      </c>
      <c r="C1077" s="25">
        <v>258237.4</v>
      </c>
      <c r="D1077" s="22" t="s">
        <v>2240</v>
      </c>
      <c r="E1077" s="22" t="s">
        <v>362</v>
      </c>
      <c r="F1077" s="23" t="str">
        <f>HYPERLINK("https://www.spark-marketing.ru/Card/Lot/74092820", "Оказание услуг по организации питания в Центре раннего развития")</f>
        <v>Оказание услуг по организации питания в Центре раннего развития</v>
      </c>
      <c r="G1077" s="22" t="s">
        <v>327</v>
      </c>
      <c r="H1077" s="22" t="s">
        <v>327</v>
      </c>
      <c r="I1077" s="26">
        <v>43739</v>
      </c>
      <c r="J1077" s="23" t="str">
        <f>HYPERLINK("https://www.spark-marketing.ru/Card/Person/6572602", "Маадыр Ирина Чолдак-Коковна")</f>
        <v>Маадыр Ирина Чолдак-Коковна</v>
      </c>
      <c r="K1077" s="24" t="s">
        <v>2241</v>
      </c>
      <c r="L1077" s="22" t="s">
        <v>10</v>
      </c>
      <c r="M1077" s="25">
        <v>258237.4</v>
      </c>
      <c r="N1077" s="27">
        <v>0</v>
      </c>
    </row>
    <row r="1078" spans="1:14" x14ac:dyDescent="0.15">
      <c r="A1078" s="23" t="str">
        <f>HYPERLINK("https://www.spark-marketing.ru/Card/Person/6529864", "ГАУ РО ""ДОНВОЛОНТЕР""")</f>
        <v>ГАУ РО "ДОНВОЛОНТЕР"</v>
      </c>
      <c r="B1078" s="24" t="s">
        <v>2242</v>
      </c>
      <c r="C1078" s="25">
        <v>101300</v>
      </c>
      <c r="D1078" s="22" t="s">
        <v>2243</v>
      </c>
      <c r="E1078" s="22" t="s">
        <v>580</v>
      </c>
      <c r="F1078" s="23" t="str">
        <f>HYPERLINK("https://www.spark-marketing.ru/Card/Lot/74103072", "оказание услуги по обеспечению питанием участников проекта «#Узнай Россию. Информационные волонтеры Земли: через новые знания и сотрудничество - к народной дипломатии», проводимого в рамках Всероссийского конкурса лучших региональных практик поддержк...")</f>
        <v>оказание услуги по обеспечению питанием участников проекта «#Узнай Россию. Информационные волонтеры Земли: через новые знания и сотрудничество - к народной дипломатии», проводимого в рамках Всероссийского конкурса лучших региональных практик поддержк...</v>
      </c>
      <c r="G1078" s="22" t="s">
        <v>267</v>
      </c>
      <c r="H1078" s="22" t="s">
        <v>267</v>
      </c>
      <c r="I1078" s="26">
        <v>43739</v>
      </c>
      <c r="J1078" s="28" t="s">
        <v>51</v>
      </c>
      <c r="K1078" s="28" t="s">
        <v>51</v>
      </c>
      <c r="L1078" s="28" t="s">
        <v>51</v>
      </c>
      <c r="M1078" s="28" t="s">
        <v>51</v>
      </c>
      <c r="N1078" s="28" t="s">
        <v>51</v>
      </c>
    </row>
    <row r="1079" spans="1:14" x14ac:dyDescent="0.15">
      <c r="A1079" s="23" t="str">
        <f>HYPERLINK("https://www.spark-marketing.ru/Card/Person/73338", "ОГУ ИМЕНИ И.С. ТУРГЕНЕВА, ФГБОУ ВО ""ОРЛОВСКИЙ ГОСУДАРСТВЕННЫЙ УНИВЕРСИТЕТ ИМЕНИ И.С. ТУРГЕНЕВА"", ОРЛОВСКИЙ ГОСУДАРСТВЕННЫЙ УНИВЕРСИТЕТ ИМЕНИ И.С. ТУРГЕНЕВА, ФГБОУ ВО ""ОГУ ИМ. И.С. ТУРГЕНЕВА"", ОГУ ИМ. И.С. ТУРГЕНЕВА")</f>
        <v>ОГУ ИМЕНИ И.С. ТУРГЕНЕВА, ФГБОУ ВО "ОРЛОВСКИЙ ГОСУДАРСТВЕННЫЙ УНИВЕРСИТЕТ ИМЕНИ И.С. ТУРГЕНЕВА", ОРЛОВСКИЙ ГОСУДАРСТВЕННЫЙ УНИВЕРСИТЕТ ИМЕНИ И.С. ТУРГЕНЕВА, ФГБОУ ВО "ОГУ ИМ. И.С. ТУРГЕНЕВА", ОГУ ИМ. И.С. ТУРГЕНЕВА</v>
      </c>
      <c r="B1079" s="24" t="s">
        <v>1218</v>
      </c>
      <c r="C1079" s="25">
        <v>112000</v>
      </c>
      <c r="D1079" s="22" t="s">
        <v>2244</v>
      </c>
      <c r="E1079" s="22" t="s">
        <v>580</v>
      </c>
      <c r="F1079" s="23" t="str">
        <f>HYPERLINK("https://www.spark-marketing.ru/Card/Lot/74096307", "Оказание услуг по организации питания участников проекта «Система лагерных образовательных смен «Территория успеха»»")</f>
        <v>Оказание услуг по организации питания участников проекта «Система лагерных образовательных смен «Территория успеха»»</v>
      </c>
      <c r="G1079" s="22" t="s">
        <v>1066</v>
      </c>
      <c r="H1079" s="22" t="s">
        <v>1066</v>
      </c>
      <c r="I1079" s="26">
        <v>43739</v>
      </c>
      <c r="J1079" s="28" t="s">
        <v>51</v>
      </c>
      <c r="K1079" s="28" t="s">
        <v>51</v>
      </c>
      <c r="L1079" s="28" t="s">
        <v>51</v>
      </c>
      <c r="M1079" s="28" t="s">
        <v>51</v>
      </c>
      <c r="N1079" s="28" t="s">
        <v>51</v>
      </c>
    </row>
    <row r="1080" spans="1:14" x14ac:dyDescent="0.15">
      <c r="A1080" s="23" t="str">
        <f>HYPERLINK("https://www.spark-marketing.ru/Card/Person/1546926", "ГАУК ТО ""ДНК ""СТРОИТЕЛЬ""")</f>
        <v>ГАУК ТО "ДНК "СТРОИТЕЛЬ"</v>
      </c>
      <c r="B1080" s="24" t="s">
        <v>2245</v>
      </c>
      <c r="C1080" s="25">
        <v>160175</v>
      </c>
      <c r="D1080" s="22" t="s">
        <v>2246</v>
      </c>
      <c r="E1080" s="22" t="s">
        <v>769</v>
      </c>
      <c r="F1080" s="23" t="str">
        <f>HYPERLINK("https://www.spark-marketing.ru/Card/Lot/74097461", "услуги по обеспечению проживания и питания корейской творческой делегации")</f>
        <v>услуги по обеспечению проживания и питания корейской творческой делегации</v>
      </c>
      <c r="G1080" s="22" t="s">
        <v>766</v>
      </c>
      <c r="H1080" s="22" t="s">
        <v>766</v>
      </c>
      <c r="I1080" s="26">
        <v>43739</v>
      </c>
      <c r="J1080" s="28" t="s">
        <v>51</v>
      </c>
      <c r="K1080" s="28" t="s">
        <v>51</v>
      </c>
      <c r="L1080" s="28" t="s">
        <v>51</v>
      </c>
      <c r="M1080" s="28" t="s">
        <v>51</v>
      </c>
      <c r="N1080" s="28" t="s">
        <v>51</v>
      </c>
    </row>
    <row r="1081" spans="1:14" x14ac:dyDescent="0.15">
      <c r="A1081" s="23" t="str">
        <f>HYPERLINK("https://www.spark-marketing.ru/Card/Person/4372058", "МАДОУ - ДЕТСКИЙ САД №3 ""ТРЕТЬЕ КОРОЛЕВСТВО""")</f>
        <v>МАДОУ - ДЕТСКИЙ САД №3 "ТРЕТЬЕ КОРОЛЕВСТВО"</v>
      </c>
      <c r="B1081" s="24" t="s">
        <v>2247</v>
      </c>
      <c r="C1081" s="25">
        <v>570000</v>
      </c>
      <c r="D1081" s="22" t="s">
        <v>2248</v>
      </c>
      <c r="E1081" s="22" t="s">
        <v>362</v>
      </c>
      <c r="F1081" s="23" t="str">
        <f>HYPERLINK("https://www.spark-marketing.ru/Card/Lot/74088288", "Услуги по организации детского питания")</f>
        <v>Услуги по организации детского питания</v>
      </c>
      <c r="G1081" s="22" t="s">
        <v>174</v>
      </c>
      <c r="H1081" s="22" t="s">
        <v>174</v>
      </c>
      <c r="I1081" s="26">
        <v>43739</v>
      </c>
      <c r="J1081" s="28" t="s">
        <v>51</v>
      </c>
      <c r="K1081" s="28" t="s">
        <v>51</v>
      </c>
      <c r="L1081" s="28" t="s">
        <v>51</v>
      </c>
      <c r="M1081" s="28" t="s">
        <v>51</v>
      </c>
      <c r="N1081" s="28" t="s">
        <v>51</v>
      </c>
    </row>
    <row r="1082" spans="1:14" x14ac:dyDescent="0.2">
      <c r="A1082" s="23" t="str">
        <f>HYPERLINK("https://www.spark-marketing.ru/Card/Person/1008058", "МДОУ Д/С № 105")</f>
        <v>МДОУ Д/С № 105</v>
      </c>
      <c r="B1082" s="24" t="s">
        <v>2249</v>
      </c>
      <c r="C1082" s="25">
        <v>1451056.1</v>
      </c>
      <c r="D1082" s="22" t="s">
        <v>2250</v>
      </c>
      <c r="E1082" s="22" t="s">
        <v>362</v>
      </c>
      <c r="F1082" s="23" t="str">
        <f>HYPERLINK("https://www.spark-marketing.ru/Card/Lot/74090766", "Оказание услуг по организации питания детей")</f>
        <v>Оказание услуг по организации питания детей</v>
      </c>
      <c r="G1082" s="22" t="s">
        <v>158</v>
      </c>
      <c r="H1082" s="22" t="s">
        <v>158</v>
      </c>
      <c r="I1082" s="26">
        <v>43739</v>
      </c>
      <c r="J1082" s="28" t="s">
        <v>51</v>
      </c>
      <c r="K1082" s="28" t="s">
        <v>51</v>
      </c>
      <c r="L1082" s="22" t="s">
        <v>10</v>
      </c>
      <c r="M1082" s="25">
        <v>1451056.1</v>
      </c>
      <c r="N1082" s="27">
        <v>0</v>
      </c>
    </row>
    <row r="1083" spans="1:14" x14ac:dyDescent="0.2">
      <c r="A1083" s="23" t="str">
        <f>HYPERLINK("https://www.spark-marketing.ru/Card/Person/240535", "ГПОАУ АТК")</f>
        <v>ГПОАУ АТК</v>
      </c>
      <c r="B1083" s="24" t="s">
        <v>2228</v>
      </c>
      <c r="C1083" s="25">
        <v>411032</v>
      </c>
      <c r="D1083" s="22" t="s">
        <v>2229</v>
      </c>
      <c r="E1083" s="22" t="s">
        <v>362</v>
      </c>
      <c r="F1083" s="23" t="str">
        <f>HYPERLINK("https://www.spark-marketing.ru/Card/Lot/74089265", "Оказание услуг по организации горячего питания г. Шимановск")</f>
        <v>Оказание услуг по организации горячего питания г. Шимановск</v>
      </c>
      <c r="G1083" s="22" t="s">
        <v>210</v>
      </c>
      <c r="H1083" s="22" t="s">
        <v>210</v>
      </c>
      <c r="I1083" s="26">
        <v>43739</v>
      </c>
      <c r="J1083" s="28" t="s">
        <v>51</v>
      </c>
      <c r="K1083" s="28" t="s">
        <v>51</v>
      </c>
      <c r="L1083" s="28" t="s">
        <v>51</v>
      </c>
      <c r="M1083" s="25">
        <v>411032</v>
      </c>
      <c r="N1083" s="27">
        <v>0</v>
      </c>
    </row>
    <row r="1084" spans="1:14" x14ac:dyDescent="0.15">
      <c r="A1084" s="23" t="str">
        <f>HYPERLINK("https://www.spark-marketing.ru/Card/Person/4469602", "МАОУ ЛИЦЕЙ № 18")</f>
        <v>МАОУ ЛИЦЕЙ № 18</v>
      </c>
      <c r="B1084" s="24" t="s">
        <v>2251</v>
      </c>
      <c r="C1084" s="25">
        <v>456125.46</v>
      </c>
      <c r="D1084" s="22" t="s">
        <v>2252</v>
      </c>
      <c r="E1084" s="22" t="s">
        <v>362</v>
      </c>
      <c r="F1084" s="23" t="str">
        <f>HYPERLINK("https://www.spark-marketing.ru/Card/Lot/74129121", "Оказание услуги по обеспечению бесплатным питанием отдельных категорий обучающихся в МАОУ лицее №18 в октябре - декабре 2019 года")</f>
        <v>Оказание услуги по обеспечению бесплатным питанием отдельных категорий обучающихся в МАОУ лицее №18 в октябре - декабре 2019 года</v>
      </c>
      <c r="G1084" s="22" t="s">
        <v>400</v>
      </c>
      <c r="H1084" s="22" t="s">
        <v>400</v>
      </c>
      <c r="I1084" s="26">
        <v>43740</v>
      </c>
      <c r="J1084" s="28" t="s">
        <v>51</v>
      </c>
      <c r="K1084" s="28" t="s">
        <v>51</v>
      </c>
      <c r="L1084" s="28" t="s">
        <v>51</v>
      </c>
      <c r="M1084" s="28" t="s">
        <v>51</v>
      </c>
      <c r="N1084" s="28" t="s">
        <v>51</v>
      </c>
    </row>
    <row r="1085" spans="1:14" x14ac:dyDescent="0.15">
      <c r="A1085" s="23" t="str">
        <f>HYPERLINK("https://www.spark-marketing.ru/Card/Person/1084088", "МАОУ СОШ №18 ИМЕНИ 30-ЛЕТИЯ ПОБЕДЫ")</f>
        <v>МАОУ СОШ №18 ИМЕНИ 30-ЛЕТИЯ ПОБЕДЫ</v>
      </c>
      <c r="B1085" s="24" t="s">
        <v>1220</v>
      </c>
      <c r="C1085" s="25">
        <v>294140</v>
      </c>
      <c r="D1085" s="22" t="s">
        <v>2253</v>
      </c>
      <c r="E1085" s="22" t="s">
        <v>362</v>
      </c>
      <c r="F1085" s="23" t="str">
        <f>HYPERLINK("https://www.spark-marketing.ru/Card/Lot/74100282", "Услуги по организации и обеспечению питанием учащихся")</f>
        <v>Услуги по организации и обеспечению питанием учащихся</v>
      </c>
      <c r="G1085" s="22" t="s">
        <v>104</v>
      </c>
      <c r="H1085" s="22" t="s">
        <v>104</v>
      </c>
      <c r="I1085" s="26">
        <v>43739</v>
      </c>
      <c r="J1085" s="28" t="s">
        <v>51</v>
      </c>
      <c r="K1085" s="28" t="s">
        <v>51</v>
      </c>
      <c r="L1085" s="28" t="s">
        <v>51</v>
      </c>
      <c r="M1085" s="28" t="s">
        <v>51</v>
      </c>
      <c r="N1085" s="28" t="s">
        <v>51</v>
      </c>
    </row>
    <row r="1086" spans="1:14" x14ac:dyDescent="0.15">
      <c r="A1086" s="23" t="str">
        <f>HYPERLINK("https://www.spark-marketing.ru/Card/Person/4414338", "МАОУ СОШ № 10")</f>
        <v>МАОУ СОШ № 10</v>
      </c>
      <c r="B1086" s="24" t="s">
        <v>2254</v>
      </c>
      <c r="C1086" s="25">
        <v>519949.72</v>
      </c>
      <c r="D1086" s="22" t="s">
        <v>2255</v>
      </c>
      <c r="E1086" s="22" t="s">
        <v>362</v>
      </c>
      <c r="F1086" s="23" t="str">
        <f>HYPERLINK("https://www.spark-marketing.ru/Card/Lot/74091829", "Оказание услуг по организации питания обучающихся в Муниципальном автономном общеобразовательном учреждении «Средняя общеобразовательная школа № 10» имени Героя Российской Федерации Дмитрия Леонидовича Рычкова")</f>
        <v>Оказание услуг по организации питания обучающихся в Муниципальном автономном общеобразовательном учреждении «Средняя общеобразовательная школа № 10» имени Героя Российской Федерации Дмитрия Леонидовича Рычкова</v>
      </c>
      <c r="G1086" s="22" t="s">
        <v>174</v>
      </c>
      <c r="H1086" s="22" t="s">
        <v>174</v>
      </c>
      <c r="I1086" s="26">
        <v>43739</v>
      </c>
      <c r="J1086" s="28" t="s">
        <v>51</v>
      </c>
      <c r="K1086" s="28" t="s">
        <v>51</v>
      </c>
      <c r="L1086" s="28" t="s">
        <v>51</v>
      </c>
      <c r="M1086" s="28" t="s">
        <v>51</v>
      </c>
      <c r="N1086" s="28" t="s">
        <v>51</v>
      </c>
    </row>
    <row r="1087" spans="1:14" x14ac:dyDescent="0.15">
      <c r="A1087" s="23" t="str">
        <f>HYPERLINK("https://www.spark-marketing.ru/Card/Person/73338", "ОГУ ИМЕНИ И.С. ТУРГЕНЕВА, ФГБОУ ВО ""ОРЛОВСКИЙ ГОСУДАРСТВЕННЫЙ УНИВЕРСИТЕТ ИМЕНИ И.С. ТУРГЕНЕВА"", ОРЛОВСКИЙ ГОСУДАРСТВЕННЫЙ УНИВЕРСИТЕТ ИМЕНИ И.С. ТУРГЕНЕВА, ФГБОУ ВО ""ОГУ ИМ. И.С. ТУРГЕНЕВА"", ОГУ ИМ. И.С. ТУРГЕНЕВА")</f>
        <v>ОГУ ИМЕНИ И.С. ТУРГЕНЕВА, ФГБОУ ВО "ОРЛОВСКИЙ ГОСУДАРСТВЕННЫЙ УНИВЕРСИТЕТ ИМЕНИ И.С. ТУРГЕНЕВА", ОРЛОВСКИЙ ГОСУДАРСТВЕННЫЙ УНИВЕРСИТЕТ ИМЕНИ И.С. ТУРГЕНЕВА, ФГБОУ ВО "ОГУ ИМ. И.С. ТУРГЕНЕВА", ОГУ ИМ. И.С. ТУРГЕНЕВА</v>
      </c>
      <c r="B1087" s="24" t="s">
        <v>1218</v>
      </c>
      <c r="C1087" s="25">
        <v>448000</v>
      </c>
      <c r="D1087" s="22" t="s">
        <v>2256</v>
      </c>
      <c r="E1087" s="22" t="s">
        <v>580</v>
      </c>
      <c r="F1087" s="23" t="str">
        <f>HYPERLINK("https://www.spark-marketing.ru/Card/Lot/74096053", "Оказание услуг по организации питания участников проекта «Система лагерных образовательных смен «Территория успеха»»")</f>
        <v>Оказание услуг по организации питания участников проекта «Система лагерных образовательных смен «Территория успеха»»</v>
      </c>
      <c r="G1087" s="22" t="s">
        <v>1066</v>
      </c>
      <c r="H1087" s="22" t="s">
        <v>1066</v>
      </c>
      <c r="I1087" s="26">
        <v>43739</v>
      </c>
      <c r="J1087" s="28" t="s">
        <v>51</v>
      </c>
      <c r="K1087" s="28" t="s">
        <v>51</v>
      </c>
      <c r="L1087" s="28" t="s">
        <v>51</v>
      </c>
      <c r="M1087" s="28" t="s">
        <v>51</v>
      </c>
      <c r="N1087" s="28" t="s">
        <v>51</v>
      </c>
    </row>
    <row r="1088" spans="1:14" x14ac:dyDescent="0.15">
      <c r="A1088" s="23" t="str">
        <f>HYPERLINK("https://www.spark-marketing.ru/Card/Person/4375909", "МАОУ ""СТАРОАЛЕКСАНДРОВСКАЯ СОШ ИМ. КАЛИЕВА А.М.""")</f>
        <v>МАОУ "СТАРОАЛЕКСАНДРОВСКАЯ СОШ ИМ. КАЛИЕВА А.М."</v>
      </c>
      <c r="B1088" s="24" t="s">
        <v>2257</v>
      </c>
      <c r="C1088" s="25">
        <v>294630</v>
      </c>
      <c r="D1088" s="22" t="s">
        <v>2258</v>
      </c>
      <c r="E1088" s="22" t="s">
        <v>362</v>
      </c>
      <c r="F1088" s="23" t="str">
        <f>HYPERLINK("https://www.spark-marketing.ru/Card/Lot/74092858", "Оказание услуг по организации питания учащихся")</f>
        <v>Оказание услуг по организации питания учащихся</v>
      </c>
      <c r="G1088" s="22" t="s">
        <v>766</v>
      </c>
      <c r="H1088" s="22" t="s">
        <v>766</v>
      </c>
      <c r="I1088" s="26">
        <v>43739</v>
      </c>
      <c r="J1088" s="28" t="s">
        <v>51</v>
      </c>
      <c r="K1088" s="28" t="s">
        <v>51</v>
      </c>
      <c r="L1088" s="28" t="s">
        <v>51</v>
      </c>
      <c r="M1088" s="28" t="s">
        <v>51</v>
      </c>
      <c r="N1088" s="28" t="s">
        <v>51</v>
      </c>
    </row>
    <row r="1089" spans="1:14" x14ac:dyDescent="0.15">
      <c r="A1089" s="23" t="str">
        <f>HYPERLINK("https://www.spark-marketing.ru/Card/Person/1323094", "МАОУ СОШ №30")</f>
        <v>МАОУ СОШ №30</v>
      </c>
      <c r="B1089" s="24" t="s">
        <v>2259</v>
      </c>
      <c r="C1089" s="25">
        <v>770400</v>
      </c>
      <c r="D1089" s="22" t="s">
        <v>2260</v>
      </c>
      <c r="E1089" s="22" t="s">
        <v>362</v>
      </c>
      <c r="F1089" s="23" t="str">
        <f>HYPERLINK("https://www.spark-marketing.ru/Card/Lot/74060786", "Оказание услуг по организации питания обучающихся в МАОУ СОШ №30")</f>
        <v>Оказание услуг по организации питания обучающихся в МАОУ СОШ №30</v>
      </c>
      <c r="G1089" s="22" t="s">
        <v>1370</v>
      </c>
      <c r="H1089" s="22" t="s">
        <v>1370</v>
      </c>
      <c r="I1089" s="26">
        <v>43738</v>
      </c>
      <c r="J1089" s="28" t="s">
        <v>51</v>
      </c>
      <c r="K1089" s="28" t="s">
        <v>51</v>
      </c>
      <c r="L1089" s="28" t="s">
        <v>51</v>
      </c>
      <c r="M1089" s="28" t="s">
        <v>51</v>
      </c>
      <c r="N1089" s="28" t="s">
        <v>51</v>
      </c>
    </row>
    <row r="1090" spans="1:14" x14ac:dyDescent="0.15">
      <c r="A1090" s="23" t="str">
        <f>HYPERLINK("https://www.spark-marketing.ru/Card/Person/123377", "ЛГ МАОУ ""СОШ № 5""")</f>
        <v>ЛГ МАОУ "СОШ № 5"</v>
      </c>
      <c r="B1090" s="24" t="s">
        <v>2261</v>
      </c>
      <c r="C1090" s="25">
        <v>6069937.2000000002</v>
      </c>
      <c r="D1090" s="22" t="s">
        <v>2262</v>
      </c>
      <c r="E1090" s="22" t="s">
        <v>362</v>
      </c>
      <c r="F1090" s="23" t="str">
        <f>HYPERLINK("https://www.spark-marketing.ru/Card/Lot/74096911", "Оказание услуги питания обучающихся на базе ЛГ МАОУ ""СОШ № 5""")</f>
        <v>Оказание услуги питания обучающихся на базе ЛГ МАОУ "СОШ № 5"</v>
      </c>
      <c r="G1090" s="22" t="s">
        <v>97</v>
      </c>
      <c r="H1090" s="22" t="s">
        <v>97</v>
      </c>
      <c r="I1090" s="26">
        <v>43739</v>
      </c>
      <c r="J1090" s="28" t="s">
        <v>51</v>
      </c>
      <c r="K1090" s="28" t="s">
        <v>51</v>
      </c>
      <c r="L1090" s="28" t="s">
        <v>51</v>
      </c>
      <c r="M1090" s="28" t="s">
        <v>51</v>
      </c>
      <c r="N1090" s="28" t="s">
        <v>51</v>
      </c>
    </row>
    <row r="1091" spans="1:14" x14ac:dyDescent="0.15">
      <c r="A1091" s="23" t="str">
        <f>HYPERLINK("https://www.spark-marketing.ru/Card/Person/6217322", "АНО ДПО ""ТЕХНИЧЕСКАЯ АКАДЕМИЯ РОСАТОМА""")</f>
        <v>АНО ДПО "ТЕХНИЧЕСКАЯ АКАДЕМИЯ РОСАТОМА"</v>
      </c>
      <c r="B1091" s="24" t="s">
        <v>1661</v>
      </c>
      <c r="C1091" s="25">
        <v>993125</v>
      </c>
      <c r="D1091" s="22" t="s">
        <v>2263</v>
      </c>
      <c r="E1091" s="22" t="s">
        <v>52</v>
      </c>
      <c r="F1091" s="23" t="str">
        <f>HYPERLINK("https://www.spark-marketing.ru/Card/Lot/74090190", "Право заключения договора на Оказание услуг питания и обслуживания в рамках мероприятия «XIV Международный ядерный форум «Безопасность ядерных технологий: культура безопасности» для Санкт-Петербургского филиала АНО ДПО «Техническая академия Росатома»...")</f>
        <v>Право заключения договора на Оказание услуг питания и обслуживания в рамках мероприятия «XIV Международный ядерный форум «Безопасность ядерных технологий: культура безопасности» для Санкт-Петербургского филиала АНО ДПО «Техническая академия Росатома»...</v>
      </c>
      <c r="G1091" s="22" t="s">
        <v>112</v>
      </c>
      <c r="H1091" s="22" t="s">
        <v>1663</v>
      </c>
      <c r="I1091" s="26">
        <v>43739</v>
      </c>
      <c r="J1091" s="28" t="s">
        <v>51</v>
      </c>
      <c r="K1091" s="28" t="s">
        <v>51</v>
      </c>
      <c r="L1091" s="28" t="s">
        <v>51</v>
      </c>
      <c r="M1091" s="28" t="s">
        <v>51</v>
      </c>
      <c r="N1091" s="28" t="s">
        <v>51</v>
      </c>
    </row>
    <row r="1092" spans="1:14" x14ac:dyDescent="0.15">
      <c r="A1092" s="23" t="str">
        <f>HYPERLINK("https://www.spark-marketing.ru/Card/Person/236030", "ОГАУСО ""КЦСОН""")</f>
        <v>ОГАУСО "КЦСОН"</v>
      </c>
      <c r="B1092" s="24" t="s">
        <v>549</v>
      </c>
      <c r="C1092" s="25">
        <v>664680</v>
      </c>
      <c r="D1092" s="22" t="s">
        <v>2264</v>
      </c>
      <c r="E1092" s="22" t="s">
        <v>2265</v>
      </c>
      <c r="F1092" s="23" t="str">
        <f>HYPERLINK("https://www.spark-marketing.ru/Card/Lot/74082668", "Оказание услуг на поставку продуктов питания")</f>
        <v>Оказание услуг на поставку продуктов питания</v>
      </c>
      <c r="G1092" s="22" t="s">
        <v>263</v>
      </c>
      <c r="H1092" s="22" t="s">
        <v>263</v>
      </c>
      <c r="I1092" s="26">
        <v>43739</v>
      </c>
      <c r="J1092" s="28" t="s">
        <v>51</v>
      </c>
      <c r="K1092" s="28" t="s">
        <v>51</v>
      </c>
      <c r="L1092" s="28" t="s">
        <v>51</v>
      </c>
      <c r="M1092" s="28" t="s">
        <v>51</v>
      </c>
      <c r="N1092" s="28" t="s">
        <v>51</v>
      </c>
    </row>
    <row r="1093" spans="1:14" x14ac:dyDescent="0.2">
      <c r="A1093" s="23" t="str">
        <f>HYPERLINK("https://www.spark-marketing.ru/Card/Person/30851", "ДОНСКОЙ ГОСУДАРСТВЕННЫЙ ТЕХНИЧЕСКИЙ УНИВЕРСИТЕТ; ДГТУ")</f>
        <v>ДОНСКОЙ ГОСУДАРСТВЕННЫЙ ТЕХНИЧЕСКИЙ УНИВЕРСИТЕТ; ДГТУ</v>
      </c>
      <c r="B1093" s="24" t="s">
        <v>2266</v>
      </c>
      <c r="C1093" s="25">
        <v>171700</v>
      </c>
      <c r="D1093" s="22" t="s">
        <v>2267</v>
      </c>
      <c r="E1093" s="22" t="s">
        <v>580</v>
      </c>
      <c r="F1093" s="23" t="str">
        <f>HYPERLINK("https://www.spark-marketing.ru/Card/Lot/74099911", "Оказание услуг работникам и обучающимся ИСОиП (филиала) ДГТУ в г. Шахты по питанию в ресторане гостиницы")</f>
        <v>Оказание услуг работникам и обучающимся ИСОиП (филиала) ДГТУ в г. Шахты по питанию в ресторане гостиницы</v>
      </c>
      <c r="G1093" s="22" t="s">
        <v>267</v>
      </c>
      <c r="H1093" s="22" t="s">
        <v>267</v>
      </c>
      <c r="I1093" s="26">
        <v>43739</v>
      </c>
      <c r="J1093" s="23" t="str">
        <f>HYPERLINK("https://www.spark-marketing.ru/Card/Person/4435296", "ООО ""РОЗА ХУТОР""")</f>
        <v>ООО "РОЗА ХУТОР"</v>
      </c>
      <c r="K1093" s="24" t="s">
        <v>2268</v>
      </c>
      <c r="L1093" s="28" t="s">
        <v>51</v>
      </c>
      <c r="M1093" s="25">
        <v>171700</v>
      </c>
      <c r="N1093" s="27">
        <v>0</v>
      </c>
    </row>
    <row r="1094" spans="1:14" x14ac:dyDescent="0.15">
      <c r="A1094" s="23" t="str">
        <f>HYPERLINK("https://www.spark-marketing.ru/Card/Person/149929", "МАОУ - СОШ № 20")</f>
        <v>МАОУ - СОШ № 20</v>
      </c>
      <c r="B1094" s="24" t="s">
        <v>2269</v>
      </c>
      <c r="C1094" s="25">
        <v>307000</v>
      </c>
      <c r="D1094" s="22" t="s">
        <v>2270</v>
      </c>
      <c r="E1094" s="22" t="s">
        <v>362</v>
      </c>
      <c r="F1094" s="23" t="str">
        <f>HYPERLINK("https://www.spark-marketing.ru/Card/Lot/74095946", "Оказание услуг по организации питания учащихся")</f>
        <v>Оказание услуг по организации питания учащихся</v>
      </c>
      <c r="G1094" s="22" t="s">
        <v>104</v>
      </c>
      <c r="H1094" s="22" t="s">
        <v>104</v>
      </c>
      <c r="I1094" s="26">
        <v>43739</v>
      </c>
      <c r="J1094" s="28" t="s">
        <v>51</v>
      </c>
      <c r="K1094" s="28" t="s">
        <v>51</v>
      </c>
      <c r="L1094" s="28" t="s">
        <v>51</v>
      </c>
      <c r="M1094" s="28" t="s">
        <v>51</v>
      </c>
      <c r="N1094" s="28" t="s">
        <v>51</v>
      </c>
    </row>
    <row r="1095" spans="1:14" x14ac:dyDescent="0.15">
      <c r="A1095" s="23" t="str">
        <f>HYPERLINK("https://www.spark-marketing.ru/Card/Person/4397861", "ООО ""ГАЗПРОМ ТРАНСГАЗ ВОЛГОГРАД""")</f>
        <v>ООО "ГАЗПРОМ ТРАНСГАЗ ВОЛГОГРАД"</v>
      </c>
      <c r="B1095" s="24" t="s">
        <v>2271</v>
      </c>
      <c r="C1095" s="25">
        <v>400000</v>
      </c>
      <c r="D1095" s="22" t="s">
        <v>2272</v>
      </c>
      <c r="E1095" s="22" t="s">
        <v>2273</v>
      </c>
      <c r="F1095" s="23" t="str">
        <f>HYPERLINK("https://www.spark-marketing.ru/Card/Lot/74093823", "Услуги по организации питания на территории международного аэропорта Волгоград участников совещаний, конференций и иных мероприятий, проводимых ООО «Газпром трансгаз Волгоград»")</f>
        <v>Услуги по организации питания на территории международного аэропорта Волгоград участников совещаний, конференций и иных мероприятий, проводимых ООО «Газпром трансгаз Волгоград»</v>
      </c>
      <c r="G1095" s="22" t="s">
        <v>158</v>
      </c>
      <c r="H1095" s="22" t="s">
        <v>171</v>
      </c>
      <c r="I1095" s="26">
        <v>43739</v>
      </c>
      <c r="J1095" s="28" t="s">
        <v>51</v>
      </c>
      <c r="K1095" s="28" t="s">
        <v>51</v>
      </c>
      <c r="L1095" s="28" t="s">
        <v>51</v>
      </c>
      <c r="M1095" s="28" t="s">
        <v>51</v>
      </c>
      <c r="N1095" s="28" t="s">
        <v>51</v>
      </c>
    </row>
    <row r="1096" spans="1:14" x14ac:dyDescent="0.15">
      <c r="A1096" s="23" t="str">
        <f>HYPERLINK("https://www.spark-marketing.ru/Card/Person/66372", "АДМИНИСТРАЦИЯ УБИНСКОГО РАЙОНА НОВОСИБИРСКОЙ ОБЛАСТИ")</f>
        <v>АДМИНИСТРАЦИЯ УБИНСКОГО РАЙОНА НОВОСИБИРСКОЙ ОБЛАСТИ</v>
      </c>
      <c r="B1096" s="24" t="s">
        <v>2274</v>
      </c>
      <c r="C1096" s="25">
        <v>28000</v>
      </c>
      <c r="D1096" s="22" t="s">
        <v>2275</v>
      </c>
      <c r="E1096" s="22" t="s">
        <v>96</v>
      </c>
      <c r="F1096" s="23" t="str">
        <f>HYPERLINK("https://www.spark-marketing.ru/Card/Lot/74070406", "Оказание услуг питания по организации и проведению мероприятия, посвященного декаде пожилого человека")</f>
        <v>Оказание услуг питания по организации и проведению мероприятия, посвященного декаде пожилого человека</v>
      </c>
      <c r="G1096" s="22" t="s">
        <v>195</v>
      </c>
      <c r="H1096" s="22" t="s">
        <v>2276</v>
      </c>
      <c r="I1096" s="26">
        <v>43738.912499999999</v>
      </c>
      <c r="J1096" s="28" t="s">
        <v>51</v>
      </c>
      <c r="K1096" s="28" t="s">
        <v>51</v>
      </c>
      <c r="L1096" s="28" t="s">
        <v>51</v>
      </c>
      <c r="M1096" s="28" t="s">
        <v>51</v>
      </c>
      <c r="N1096" s="28" t="s">
        <v>51</v>
      </c>
    </row>
    <row r="1097" spans="1:14" x14ac:dyDescent="0.15">
      <c r="A1097" s="23" t="str">
        <f>HYPERLINK("https://www.spark-marketing.ru/Card/Person/107208", "ГБСУ КО ПОО ""СОВЕТСКИЙ ТЕХНИКУМ-ИНТЕРНАТ"", ГБСУ КО ПОО ""СТИ""")</f>
        <v>ГБСУ КО ПОО "СОВЕТСКИЙ ТЕХНИКУМ-ИНТЕРНАТ", ГБСУ КО ПОО "СТИ"</v>
      </c>
      <c r="B1097" s="24" t="s">
        <v>2277</v>
      </c>
      <c r="C1097" s="25">
        <v>3185460</v>
      </c>
      <c r="D1097" s="22" t="s">
        <v>2278</v>
      </c>
      <c r="E1097" s="22" t="s">
        <v>48</v>
      </c>
      <c r="F1097" s="23" t="str">
        <f>HYPERLINK("https://www.spark-marketing.ru/Card/Lot/74077424", "Оказание услуг по организации питания для обучающихся инвалидов, детей-сирот и детей, оставшихся без попечительства родителей, лиц из числа детей-сирот и детей, оставшихся без попечения родителей")</f>
        <v>Оказание услуг по организации питания для обучающихся инвалидов, детей-сирот и детей, оставшихся без попечительства родителей, лиц из числа детей-сирот и детей, оставшихся без попечения родителей</v>
      </c>
      <c r="G1097" s="22" t="s">
        <v>400</v>
      </c>
      <c r="H1097" s="22" t="s">
        <v>2279</v>
      </c>
      <c r="I1097" s="26">
        <v>43738.783263888901</v>
      </c>
      <c r="J1097" s="28" t="s">
        <v>51</v>
      </c>
      <c r="K1097" s="28" t="s">
        <v>51</v>
      </c>
      <c r="L1097" s="28" t="s">
        <v>51</v>
      </c>
      <c r="M1097" s="28" t="s">
        <v>51</v>
      </c>
      <c r="N1097" s="28" t="s">
        <v>51</v>
      </c>
    </row>
    <row r="1098" spans="1:14" x14ac:dyDescent="0.15">
      <c r="A1098" s="23" t="str">
        <f>HYPERLINK("https://www.spark-marketing.ru/Card/Person/15348", "ГБУ ""УКС ОРЕНБУРГСКОЙ ОБЛАСТИ""")</f>
        <v>ГБУ "УКС ОРЕНБУРГСКОЙ ОБЛАСТИ"</v>
      </c>
      <c r="B1098" s="24" t="s">
        <v>2280</v>
      </c>
      <c r="C1098" s="25">
        <v>4024513.64</v>
      </c>
      <c r="D1098" s="22" t="s">
        <v>2281</v>
      </c>
      <c r="E1098" s="22" t="s">
        <v>2282</v>
      </c>
      <c r="F1098" s="23" t="str">
        <f>HYPERLINK("https://www.spark-marketing.ru/Card/Lot/74085376", "Поставка медицинских изделий (медицинского оборудования) для оснащения второго этапа объекта капитального строительства «Онкологический диспансер на 180 коек в г.Орске» технологическим оборудованием")</f>
        <v>Поставка медицинских изделий (медицинского оборудования) для оснащения второго этапа объекта капитального строительства «Онкологический диспансер на 180 коек в г.Орске» технологическим оборудованием</v>
      </c>
      <c r="G1098" s="22" t="s">
        <v>132</v>
      </c>
      <c r="H1098" s="22" t="s">
        <v>587</v>
      </c>
      <c r="I1098" s="26">
        <v>43738.762118055602</v>
      </c>
      <c r="J1098" s="28" t="s">
        <v>51</v>
      </c>
      <c r="K1098" s="28" t="s">
        <v>51</v>
      </c>
      <c r="L1098" s="28" t="s">
        <v>51</v>
      </c>
      <c r="M1098" s="28" t="s">
        <v>51</v>
      </c>
      <c r="N1098" s="28" t="s">
        <v>51</v>
      </c>
    </row>
    <row r="1099" spans="1:14" x14ac:dyDescent="0.15">
      <c r="A1099" s="23" t="str">
        <f>HYPERLINK("https://www.spark-marketing.ru/Card/Person/18138", "СОЧИНСКАЯ ТАМОЖНЯ")</f>
        <v>СОЧИНСКАЯ ТАМОЖНЯ</v>
      </c>
      <c r="B1099" s="24" t="s">
        <v>2283</v>
      </c>
      <c r="C1099" s="25">
        <v>276466.67</v>
      </c>
      <c r="D1099" s="22" t="s">
        <v>2284</v>
      </c>
      <c r="E1099" s="22" t="s">
        <v>355</v>
      </c>
      <c r="F1099" s="23" t="str">
        <f>HYPERLINK("https://www.spark-marketing.ru/Card/Lot/74078321", "Оказание услуг по замене 80 аккумуляторных батарей в источнике бесперебойного питания «NeuHaus PS 120P» расположенном в служебно-производственном здании Сочинской таможни по адресу: Краснодарский край, г. Сочи, Хостинский район, ул. Гагринская.12., с...")</f>
        <v>Оказание услуг по замене 80 аккумуляторных батарей в источнике бесперебойного питания «NeuHaus PS 120P» расположенном в служебно-производственном здании Сочинской таможни по адресу: Краснодарский край, г. Сочи, Хостинский район, ул. Гагринская.12., с...</v>
      </c>
      <c r="G1099" s="22" t="s">
        <v>104</v>
      </c>
      <c r="H1099" s="22" t="s">
        <v>104</v>
      </c>
      <c r="I1099" s="26">
        <v>43738.756944444402</v>
      </c>
      <c r="J1099" s="28" t="s">
        <v>51</v>
      </c>
      <c r="K1099" s="28" t="s">
        <v>51</v>
      </c>
      <c r="L1099" s="28" t="s">
        <v>51</v>
      </c>
      <c r="M1099" s="28" t="s">
        <v>51</v>
      </c>
      <c r="N1099" s="28" t="s">
        <v>51</v>
      </c>
    </row>
    <row r="1100" spans="1:14" hidden="1" outlineLevel="1" x14ac:dyDescent="0.2">
      <c r="A1100" s="23" t="str">
        <f>HYPERLINK("https://www.spark-marketing.ru/Card/Person/18138", "СОЧИНСКАЯ ТАМОЖНЯ")</f>
        <v>СОЧИНСКАЯ ТАМОЖНЯ</v>
      </c>
      <c r="B1100" s="24" t="s">
        <v>2283</v>
      </c>
      <c r="C1100" s="25">
        <v>276466.67</v>
      </c>
      <c r="D1100" s="22" t="s">
        <v>2284</v>
      </c>
      <c r="E1100" s="22" t="s">
        <v>355</v>
      </c>
      <c r="F1100" s="23" t="str">
        <f>HYPERLINK("https://www.spark-marketing.ru/Card/Lot/74078321", "Оказание услуг по замене 80 аккумуляторных батарей в источнике бесперебойного питания «NeuHaus PS 120P» расположенном в служебно-производственном здании Сочинской таможни по адресу: Краснодарский край, г. Сочи, Хостинский район, ул. Гагринская.12., с...")</f>
        <v>Оказание услуг по замене 80 аккумуляторных батарей в источнике бесперебойного питания «NeuHaus PS 120P» расположенном в служебно-производственном здании Сочинской таможни по адресу: Краснодарский край, г. Сочи, Хостинский район, ул. Гагринская.12., с...</v>
      </c>
      <c r="G1100" s="22" t="s">
        <v>104</v>
      </c>
      <c r="H1100" s="22" t="s">
        <v>104</v>
      </c>
      <c r="I1100" s="26">
        <v>43738.756944444402</v>
      </c>
      <c r="J1100" s="23" t="str">
        <f>HYPERLINK("https://www.spark-marketing.ru/Card/Person/247359", "ООО ""РЕШИФТ""")</f>
        <v>ООО "РЕШИФТ"</v>
      </c>
      <c r="K1100" s="24" t="s">
        <v>2285</v>
      </c>
      <c r="L1100" s="28" t="s">
        <v>51</v>
      </c>
      <c r="M1100" s="25">
        <v>248124.85</v>
      </c>
      <c r="N1100" s="27">
        <v>0.10251441882668895</v>
      </c>
    </row>
    <row r="1101" spans="1:14" ht="12.75" hidden="1" outlineLevel="1" x14ac:dyDescent="0.2">
      <c r="A1101" s="23" t="str">
        <f>HYPERLINK("https://www.spark-marketing.ru/Card/Person/18138", "СОЧИНСКАЯ ТАМОЖНЯ")</f>
        <v>СОЧИНСКАЯ ТАМОЖНЯ</v>
      </c>
      <c r="B1101" s="24" t="s">
        <v>2283</v>
      </c>
      <c r="C1101" s="25">
        <v>276466.67</v>
      </c>
      <c r="D1101" s="22" t="s">
        <v>2284</v>
      </c>
      <c r="E1101" s="22" t="s">
        <v>355</v>
      </c>
      <c r="F1101" s="23" t="str">
        <f>HYPERLINK("https://www.spark-marketing.ru/Card/Lot/74078321", "Оказание услуг по замене 80 аккумуляторных батарей в источнике бесперебойного питания «NeuHaus PS 120P» расположенном в служебно-производственном здании Сочинской таможни по адресу: Краснодарский край, г. Сочи, Хостинский район, ул. Гагринская.12., с...")</f>
        <v>Оказание услуг по замене 80 аккумуляторных батарей в источнике бесперебойного питания «NeuHaus PS 120P» расположенном в служебно-производственном здании Сочинской таможни по адресу: Краснодарский край, г. Сочи, Хостинский район, ул. Гагринская.12., с...</v>
      </c>
      <c r="G1101" s="22" t="s">
        <v>104</v>
      </c>
      <c r="H1101" s="22" t="s">
        <v>104</v>
      </c>
      <c r="I1101" s="26">
        <v>43738.756944444402</v>
      </c>
      <c r="J1101" s="23" t="str">
        <f>HYPERLINK("https://www.spark-marketing.ru/Card/Person/1156622", "Байбакова Татьяна Федоровна")</f>
        <v>Байбакова Татьяна Федоровна</v>
      </c>
      <c r="K1101" s="24" t="s">
        <v>2286</v>
      </c>
      <c r="L1101" s="22" t="s">
        <v>10</v>
      </c>
      <c r="M1101" s="25">
        <v>248124.85</v>
      </c>
      <c r="N1101" s="27">
        <v>0.10251441882668895</v>
      </c>
    </row>
    <row r="1102" spans="1:14" x14ac:dyDescent="0.15">
      <c r="A1102" s="23" t="str">
        <f>HYPERLINK("https://www.spark-marketing.ru/Card/Person/89002", "МБОУ ""НАЧАЛЬНАЯ ШКОЛА-ДЕТСКИЙ САД ""ЛУЧИК""")</f>
        <v>МБОУ "НАЧАЛЬНАЯ ШКОЛА-ДЕТСКИЙ САД "ЛУЧИК"</v>
      </c>
      <c r="B1102" s="24" t="s">
        <v>2287</v>
      </c>
      <c r="C1102" s="25">
        <v>7548000</v>
      </c>
      <c r="D1102" s="22" t="s">
        <v>2288</v>
      </c>
      <c r="E1102" s="22" t="s">
        <v>48</v>
      </c>
      <c r="F1102" s="23" t="str">
        <f>HYPERLINK("https://www.spark-marketing.ru/Card/Lot/74085455", "Оказание услуг по организации горячего питания для обучающихся общеобразовательного учреждения (2020-2021)")</f>
        <v>Оказание услуг по организации горячего питания для обучающихся общеобразовательного учреждения (2020-2021)</v>
      </c>
      <c r="G1102" s="22" t="s">
        <v>49</v>
      </c>
      <c r="H1102" s="22" t="s">
        <v>1131</v>
      </c>
      <c r="I1102" s="26">
        <v>43738.730393518497</v>
      </c>
      <c r="J1102" s="28" t="s">
        <v>51</v>
      </c>
      <c r="K1102" s="28" t="s">
        <v>51</v>
      </c>
      <c r="L1102" s="28" t="s">
        <v>51</v>
      </c>
      <c r="M1102" s="28" t="s">
        <v>51</v>
      </c>
      <c r="N1102" s="28" t="s">
        <v>51</v>
      </c>
    </row>
    <row r="1103" spans="1:14" x14ac:dyDescent="0.15">
      <c r="A1103" s="23" t="str">
        <f>HYPERLINK("https://www.spark-marketing.ru/Card/Person/5904504", "ГБУЗ ""ОДКБ""")</f>
        <v>ГБУЗ "ОДКБ"</v>
      </c>
      <c r="B1103" s="24" t="s">
        <v>2289</v>
      </c>
      <c r="C1103" s="25">
        <v>48635.24</v>
      </c>
      <c r="D1103" s="22" t="s">
        <v>2290</v>
      </c>
      <c r="E1103" s="22" t="s">
        <v>336</v>
      </c>
      <c r="F1103" s="23" t="str">
        <f>HYPERLINK("https://www.spark-marketing.ru/Card/Lot/74066910", "на поставку детского питания")</f>
        <v>на поставку детского питания</v>
      </c>
      <c r="G1103" s="22" t="s">
        <v>132</v>
      </c>
      <c r="H1103" s="22" t="s">
        <v>587</v>
      </c>
      <c r="I1103" s="26">
        <v>43738.734722222202</v>
      </c>
      <c r="J1103" s="28" t="s">
        <v>51</v>
      </c>
      <c r="K1103" s="28" t="s">
        <v>51</v>
      </c>
      <c r="L1103" s="28" t="s">
        <v>51</v>
      </c>
      <c r="M1103" s="28" t="s">
        <v>51</v>
      </c>
      <c r="N1103" s="28" t="s">
        <v>51</v>
      </c>
    </row>
    <row r="1104" spans="1:14" x14ac:dyDescent="0.15">
      <c r="A1104" s="23" t="s">
        <v>114</v>
      </c>
      <c r="B1104" s="28" t="s">
        <v>51</v>
      </c>
      <c r="C1104" s="25">
        <v>6416225.5999999996</v>
      </c>
      <c r="D1104" s="22" t="s">
        <v>2291</v>
      </c>
      <c r="E1104" s="22" t="s">
        <v>48</v>
      </c>
      <c r="F1104" s="23" t="str">
        <f>HYPERLINK("https://www.spark-marketing.ru/Card/Lot/74083533", "Услуги по организации питания для учащихся в 2020 - 2021 году.")</f>
        <v>Услуги по организации питания для учащихся в 2020 - 2021 году.</v>
      </c>
      <c r="G1104" s="22" t="s">
        <v>51</v>
      </c>
      <c r="H1104" s="22" t="s">
        <v>51</v>
      </c>
      <c r="I1104" s="26">
        <v>43738.713032407402</v>
      </c>
      <c r="J1104" s="28" t="s">
        <v>51</v>
      </c>
      <c r="K1104" s="28" t="s">
        <v>51</v>
      </c>
      <c r="L1104" s="28" t="s">
        <v>51</v>
      </c>
      <c r="M1104" s="28" t="s">
        <v>51</v>
      </c>
      <c r="N1104" s="28" t="s">
        <v>51</v>
      </c>
    </row>
    <row r="1105" spans="1:14" hidden="1" outlineLevel="1" x14ac:dyDescent="0.15">
      <c r="A1105" s="23" t="str">
        <f>HYPERLINK("https://www.spark-marketing.ru/Card/Person/106294", "МОУ СРЕДНЯЯ ШКОЛА №4")</f>
        <v>МОУ СРЕДНЯЯ ШКОЛА №4</v>
      </c>
      <c r="B1105" s="24" t="s">
        <v>2292</v>
      </c>
      <c r="C1105" s="25">
        <v>3670929.6</v>
      </c>
      <c r="D1105" s="22" t="s">
        <v>2291</v>
      </c>
      <c r="E1105" s="22" t="s">
        <v>48</v>
      </c>
      <c r="F1105" s="23" t="str">
        <f>HYPERLINK("https://www.spark-marketing.ru/Card/Lot/74083533", "Услуги по организации питания для учащихся в 2020 - 2021 году.")</f>
        <v>Услуги по организации питания для учащихся в 2020 - 2021 году.</v>
      </c>
      <c r="G1105" s="22" t="s">
        <v>49</v>
      </c>
      <c r="H1105" s="22" t="s">
        <v>207</v>
      </c>
      <c r="I1105" s="26">
        <v>43738.713032407402</v>
      </c>
      <c r="J1105" s="28" t="s">
        <v>51</v>
      </c>
      <c r="K1105" s="28" t="s">
        <v>51</v>
      </c>
      <c r="L1105" s="28" t="s">
        <v>51</v>
      </c>
      <c r="M1105" s="28" t="s">
        <v>51</v>
      </c>
      <c r="N1105" s="28" t="s">
        <v>51</v>
      </c>
    </row>
    <row r="1106" spans="1:14" hidden="1" outlineLevel="1" x14ac:dyDescent="0.15">
      <c r="A1106" s="23" t="str">
        <f>HYPERLINK("https://www.spark-marketing.ru/Card/Person/143292", "МОУ ШКОЛА № 2")</f>
        <v>МОУ ШКОЛА № 2</v>
      </c>
      <c r="B1106" s="24" t="s">
        <v>2293</v>
      </c>
      <c r="C1106" s="25">
        <v>2745296</v>
      </c>
      <c r="D1106" s="22" t="s">
        <v>2291</v>
      </c>
      <c r="E1106" s="22" t="s">
        <v>48</v>
      </c>
      <c r="F1106" s="23" t="str">
        <f>HYPERLINK("https://www.spark-marketing.ru/Card/Lot/74083533", "Услуги по организации питания для учащихся в 2020 - 2021 году.")</f>
        <v>Услуги по организации питания для учащихся в 2020 - 2021 году.</v>
      </c>
      <c r="G1106" s="22" t="s">
        <v>49</v>
      </c>
      <c r="H1106" s="22" t="s">
        <v>207</v>
      </c>
      <c r="I1106" s="26">
        <v>43738.713032407402</v>
      </c>
      <c r="J1106" s="28" t="s">
        <v>51</v>
      </c>
      <c r="K1106" s="28" t="s">
        <v>51</v>
      </c>
      <c r="L1106" s="28" t="s">
        <v>51</v>
      </c>
      <c r="M1106" s="28" t="s">
        <v>51</v>
      </c>
      <c r="N1106" s="28" t="s">
        <v>51</v>
      </c>
    </row>
    <row r="1107" spans="1:14" x14ac:dyDescent="0.15">
      <c r="A1107" s="23" t="str">
        <f>HYPERLINK("https://www.spark-marketing.ru/Card/Person/71334", "МБДОУ №3 ""РОМАШКА""")</f>
        <v>МБДОУ №3 "РОМАШКА"</v>
      </c>
      <c r="B1107" s="24" t="s">
        <v>2294</v>
      </c>
      <c r="C1107" s="25">
        <v>33696728</v>
      </c>
      <c r="D1107" s="22" t="s">
        <v>2295</v>
      </c>
      <c r="E1107" s="22" t="s">
        <v>48</v>
      </c>
      <c r="F1107" s="23" t="str">
        <f>HYPERLINK("https://www.spark-marketing.ru/Card/Lot/74085146", "Оказание услуг по организации горячего питания для воспитанников дошкольного образовательного учреждения (2020-2021)")</f>
        <v>Оказание услуг по организации горячего питания для воспитанников дошкольного образовательного учреждения (2020-2021)</v>
      </c>
      <c r="G1107" s="22" t="s">
        <v>49</v>
      </c>
      <c r="H1107" s="22" t="s">
        <v>1131</v>
      </c>
      <c r="I1107" s="26">
        <v>43738.725312499999</v>
      </c>
      <c r="J1107" s="28" t="s">
        <v>51</v>
      </c>
      <c r="K1107" s="28" t="s">
        <v>51</v>
      </c>
      <c r="L1107" s="28" t="s">
        <v>51</v>
      </c>
      <c r="M1107" s="28" t="s">
        <v>51</v>
      </c>
      <c r="N1107" s="28" t="s">
        <v>51</v>
      </c>
    </row>
    <row r="1108" spans="1:14" x14ac:dyDescent="0.15">
      <c r="A1108" s="23" t="str">
        <f>HYPERLINK("https://www.spark-marketing.ru/Card/Person/105262", "МБОУ ""СОШ №4""")</f>
        <v>МБОУ "СОШ №4"</v>
      </c>
      <c r="B1108" s="24" t="s">
        <v>2296</v>
      </c>
      <c r="C1108" s="25">
        <v>9412120</v>
      </c>
      <c r="D1108" s="22" t="s">
        <v>2297</v>
      </c>
      <c r="E1108" s="22" t="s">
        <v>48</v>
      </c>
      <c r="F1108" s="23" t="str">
        <f>HYPERLINK("https://www.spark-marketing.ru/Card/Lot/74085386", "Оказание услуг по организации горячего питания для обучающихся общеобразовательных учреждений")</f>
        <v>Оказание услуг по организации горячего питания для обучающихся общеобразовательных учреждений</v>
      </c>
      <c r="G1108" s="22" t="s">
        <v>49</v>
      </c>
      <c r="H1108" s="22" t="s">
        <v>1131</v>
      </c>
      <c r="I1108" s="26">
        <v>43738.734409722201</v>
      </c>
      <c r="J1108" s="28" t="s">
        <v>51</v>
      </c>
      <c r="K1108" s="28" t="s">
        <v>51</v>
      </c>
      <c r="L1108" s="28" t="s">
        <v>51</v>
      </c>
      <c r="M1108" s="28" t="s">
        <v>51</v>
      </c>
      <c r="N1108" s="28" t="s">
        <v>51</v>
      </c>
    </row>
    <row r="1109" spans="1:14" x14ac:dyDescent="0.15">
      <c r="A1109" s="23" t="s">
        <v>114</v>
      </c>
      <c r="B1109" s="28" t="s">
        <v>51</v>
      </c>
      <c r="C1109" s="25">
        <v>31124797.550000001</v>
      </c>
      <c r="D1109" s="22" t="s">
        <v>2298</v>
      </c>
      <c r="E1109" s="22" t="s">
        <v>48</v>
      </c>
      <c r="F1109" s="23" t="str">
        <f t="shared" ref="F1109:F1120" si="13">HYPERLINK("https://www.spark-marketing.ru/Card/Lot/73937701", "ОКАЗАНИЕ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31.05.2020")</f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109" s="22" t="s">
        <v>51</v>
      </c>
      <c r="H1109" s="22" t="s">
        <v>51</v>
      </c>
      <c r="I1109" s="26">
        <v>43733.4533912037</v>
      </c>
      <c r="J1109" s="28" t="s">
        <v>51</v>
      </c>
      <c r="K1109" s="28" t="s">
        <v>51</v>
      </c>
      <c r="L1109" s="28" t="s">
        <v>51</v>
      </c>
      <c r="M1109" s="28" t="s">
        <v>51</v>
      </c>
      <c r="N1109" s="28" t="s">
        <v>51</v>
      </c>
    </row>
    <row r="1110" spans="1:14" hidden="1" outlineLevel="1" x14ac:dyDescent="0.15">
      <c r="A1110" s="23" t="str">
        <f>HYPERLINK("https://www.spark-marketing.ru/Card/Person/9561", "ГБОУ СОШ № 309 ЦЕНТРАЛЬНОГО РАЙОНА СПБ")</f>
        <v>ГБОУ СОШ № 309 ЦЕНТРАЛЬНОГО РАЙОНА СПБ</v>
      </c>
      <c r="B1110" s="24" t="s">
        <v>2299</v>
      </c>
      <c r="C1110" s="25">
        <v>2367560.2000000002</v>
      </c>
      <c r="D1110" s="22" t="s">
        <v>2298</v>
      </c>
      <c r="E1110" s="22" t="s">
        <v>48</v>
      </c>
      <c r="F1110" s="23" t="str">
        <f t="shared" si="13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110" s="22" t="s">
        <v>117</v>
      </c>
      <c r="H1110" s="22" t="s">
        <v>117</v>
      </c>
      <c r="I1110" s="26">
        <v>43733.4533912037</v>
      </c>
      <c r="J1110" s="28" t="s">
        <v>51</v>
      </c>
      <c r="K1110" s="28" t="s">
        <v>51</v>
      </c>
      <c r="L1110" s="28" t="s">
        <v>51</v>
      </c>
      <c r="M1110" s="28" t="s">
        <v>51</v>
      </c>
      <c r="N1110" s="28" t="s">
        <v>51</v>
      </c>
    </row>
    <row r="1111" spans="1:14" hidden="1" outlineLevel="1" x14ac:dyDescent="0.15">
      <c r="A1111" s="23" t="str">
        <f>HYPERLINK("https://www.spark-marketing.ru/Card/Person/15181", "ГБОУ ШКОЛА № 294 ЦЕНТРАЛЬНОГО РАЙОНА САНКТ-ПЕТЕРБУРГА")</f>
        <v>ГБОУ ШКОЛА № 294 ЦЕНТРАЛЬНОГО РАЙОНА САНКТ-ПЕТЕРБУРГА</v>
      </c>
      <c r="B1111" s="24" t="s">
        <v>2300</v>
      </c>
      <c r="C1111" s="25">
        <v>778183.7</v>
      </c>
      <c r="D1111" s="22" t="s">
        <v>2298</v>
      </c>
      <c r="E1111" s="22" t="s">
        <v>48</v>
      </c>
      <c r="F1111" s="23" t="str">
        <f t="shared" si="13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111" s="22" t="s">
        <v>117</v>
      </c>
      <c r="H1111" s="22" t="s">
        <v>117</v>
      </c>
      <c r="I1111" s="26">
        <v>43733.4533912037</v>
      </c>
      <c r="J1111" s="28" t="s">
        <v>51</v>
      </c>
      <c r="K1111" s="28" t="s">
        <v>51</v>
      </c>
      <c r="L1111" s="28" t="s">
        <v>51</v>
      </c>
      <c r="M1111" s="28" t="s">
        <v>51</v>
      </c>
      <c r="N1111" s="28" t="s">
        <v>51</v>
      </c>
    </row>
    <row r="1112" spans="1:14" hidden="1" outlineLevel="1" x14ac:dyDescent="0.15">
      <c r="A1112" s="23" t="str">
        <f>HYPERLINK("https://www.spark-marketing.ru/Card/Person/20233", "ГБОУ ШКОЛА № 612 ЦЕНТРАЛЬНОГО РАЙОНА СПБ")</f>
        <v>ГБОУ ШКОЛА № 612 ЦЕНТРАЛЬНОГО РАЙОНА СПБ</v>
      </c>
      <c r="B1112" s="24" t="s">
        <v>2301</v>
      </c>
      <c r="C1112" s="25">
        <v>1734896.97</v>
      </c>
      <c r="D1112" s="22" t="s">
        <v>2298</v>
      </c>
      <c r="E1112" s="22" t="s">
        <v>48</v>
      </c>
      <c r="F1112" s="23" t="str">
        <f t="shared" si="13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112" s="22" t="s">
        <v>117</v>
      </c>
      <c r="H1112" s="22" t="s">
        <v>117</v>
      </c>
      <c r="I1112" s="26">
        <v>43733.4533912037</v>
      </c>
      <c r="J1112" s="28" t="s">
        <v>51</v>
      </c>
      <c r="K1112" s="28" t="s">
        <v>51</v>
      </c>
      <c r="L1112" s="28" t="s">
        <v>51</v>
      </c>
      <c r="M1112" s="28" t="s">
        <v>51</v>
      </c>
      <c r="N1112" s="28" t="s">
        <v>51</v>
      </c>
    </row>
    <row r="1113" spans="1:14" hidden="1" outlineLevel="1" x14ac:dyDescent="0.15">
      <c r="A1113" s="23" t="str">
        <f>HYPERLINK("https://www.spark-marketing.ru/Card/Person/25231", "ГБОУ ШКОЛА № 308 ЦЕНТРАЛЬНОГО РАЙОНА САНКТ-ПЕТЕРБУРГА")</f>
        <v>ГБОУ ШКОЛА № 308 ЦЕНТРАЛЬНОГО РАЙОНА САНКТ-ПЕТЕРБУРГА</v>
      </c>
      <c r="B1113" s="24" t="s">
        <v>2302</v>
      </c>
      <c r="C1113" s="25">
        <v>1349665.43</v>
      </c>
      <c r="D1113" s="22" t="s">
        <v>2298</v>
      </c>
      <c r="E1113" s="22" t="s">
        <v>48</v>
      </c>
      <c r="F1113" s="23" t="str">
        <f t="shared" si="13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113" s="22" t="s">
        <v>117</v>
      </c>
      <c r="H1113" s="22" t="s">
        <v>117</v>
      </c>
      <c r="I1113" s="26">
        <v>43733.4533912037</v>
      </c>
      <c r="J1113" s="28" t="s">
        <v>51</v>
      </c>
      <c r="K1113" s="28" t="s">
        <v>51</v>
      </c>
      <c r="L1113" s="28" t="s">
        <v>51</v>
      </c>
      <c r="M1113" s="28" t="s">
        <v>51</v>
      </c>
      <c r="N1113" s="28" t="s">
        <v>51</v>
      </c>
    </row>
    <row r="1114" spans="1:14" hidden="1" outlineLevel="1" x14ac:dyDescent="0.15">
      <c r="A1114" s="23" t="str">
        <f>HYPERLINK("https://www.spark-marketing.ru/Card/Person/31563", "ГБОУ ШКОЛА № 321 ЦЕНТРАЛЬНОГО РАЙОНА СПБ")</f>
        <v>ГБОУ ШКОЛА № 321 ЦЕНТРАЛЬНОГО РАЙОНА СПБ</v>
      </c>
      <c r="B1114" s="24" t="s">
        <v>2303</v>
      </c>
      <c r="C1114" s="25">
        <v>2181668.36</v>
      </c>
      <c r="D1114" s="22" t="s">
        <v>2298</v>
      </c>
      <c r="E1114" s="22" t="s">
        <v>48</v>
      </c>
      <c r="F1114" s="23" t="str">
        <f t="shared" si="13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114" s="22" t="s">
        <v>117</v>
      </c>
      <c r="H1114" s="22" t="s">
        <v>117</v>
      </c>
      <c r="I1114" s="26">
        <v>43733.4533912037</v>
      </c>
      <c r="J1114" s="28" t="s">
        <v>51</v>
      </c>
      <c r="K1114" s="28" t="s">
        <v>51</v>
      </c>
      <c r="L1114" s="28" t="s">
        <v>51</v>
      </c>
      <c r="M1114" s="28" t="s">
        <v>51</v>
      </c>
      <c r="N1114" s="28" t="s">
        <v>51</v>
      </c>
    </row>
    <row r="1115" spans="1:14" hidden="1" outlineLevel="1" x14ac:dyDescent="0.15">
      <c r="A1115" s="23" t="str">
        <f>HYPERLINK("https://www.spark-marketing.ru/Card/Person/86757", "ГБОУ СОШ № 304 ЦЕНТРАЛЬНОГО РАЙОНА СПБ")</f>
        <v>ГБОУ СОШ № 304 ЦЕНТРАЛЬНОГО РАЙОНА СПБ</v>
      </c>
      <c r="B1115" s="24" t="s">
        <v>2304</v>
      </c>
      <c r="C1115" s="25">
        <v>8199657.5099999998</v>
      </c>
      <c r="D1115" s="22" t="s">
        <v>2298</v>
      </c>
      <c r="E1115" s="22" t="s">
        <v>48</v>
      </c>
      <c r="F1115" s="23" t="str">
        <f t="shared" si="13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115" s="22" t="s">
        <v>117</v>
      </c>
      <c r="H1115" s="22" t="s">
        <v>117</v>
      </c>
      <c r="I1115" s="26">
        <v>43733.4533912037</v>
      </c>
      <c r="J1115" s="28" t="s">
        <v>51</v>
      </c>
      <c r="K1115" s="28" t="s">
        <v>51</v>
      </c>
      <c r="L1115" s="28" t="s">
        <v>51</v>
      </c>
      <c r="M1115" s="28" t="s">
        <v>51</v>
      </c>
      <c r="N1115" s="28" t="s">
        <v>51</v>
      </c>
    </row>
    <row r="1116" spans="1:14" hidden="1" outlineLevel="1" x14ac:dyDescent="0.15">
      <c r="A1116" s="23" t="str">
        <f>HYPERLINK("https://www.spark-marketing.ru/Card/Person/88748", "ГБОУ СОШ № 550 ЦЕНТРАЛЬНОГО РАЙОНА САНКТ-ПЕТЕРБУРГА")</f>
        <v>ГБОУ СОШ № 550 ЦЕНТРАЛЬНОГО РАЙОНА САНКТ-ПЕТЕРБУРГА</v>
      </c>
      <c r="B1116" s="24" t="s">
        <v>2305</v>
      </c>
      <c r="C1116" s="25">
        <v>1383762.09</v>
      </c>
      <c r="D1116" s="22" t="s">
        <v>2298</v>
      </c>
      <c r="E1116" s="22" t="s">
        <v>48</v>
      </c>
      <c r="F1116" s="23" t="str">
        <f t="shared" si="13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116" s="22" t="s">
        <v>117</v>
      </c>
      <c r="H1116" s="22" t="s">
        <v>117</v>
      </c>
      <c r="I1116" s="26">
        <v>43733.4533912037</v>
      </c>
      <c r="J1116" s="28" t="s">
        <v>51</v>
      </c>
      <c r="K1116" s="28" t="s">
        <v>51</v>
      </c>
      <c r="L1116" s="28" t="s">
        <v>51</v>
      </c>
      <c r="M1116" s="28" t="s">
        <v>51</v>
      </c>
      <c r="N1116" s="28" t="s">
        <v>51</v>
      </c>
    </row>
    <row r="1117" spans="1:14" hidden="1" outlineLevel="1" x14ac:dyDescent="0.15">
      <c r="A1117" s="23" t="str">
        <f>HYPERLINK("https://www.spark-marketing.ru/Card/Person/146131", "ГБОУ ЛИЦЕЙ № 211 ИМЕНИ ПЬЕРА ДЕ КУБЕРТЕНА")</f>
        <v>ГБОУ ЛИЦЕЙ № 211 ИМЕНИ ПЬЕРА ДЕ КУБЕРТЕНА</v>
      </c>
      <c r="B1117" s="24" t="s">
        <v>2306</v>
      </c>
      <c r="C1117" s="25">
        <v>1546278.59</v>
      </c>
      <c r="D1117" s="22" t="s">
        <v>2298</v>
      </c>
      <c r="E1117" s="22" t="s">
        <v>48</v>
      </c>
      <c r="F1117" s="23" t="str">
        <f t="shared" si="13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117" s="22" t="s">
        <v>117</v>
      </c>
      <c r="H1117" s="22" t="s">
        <v>117</v>
      </c>
      <c r="I1117" s="26">
        <v>43733.4533912037</v>
      </c>
      <c r="J1117" s="28" t="s">
        <v>51</v>
      </c>
      <c r="K1117" s="28" t="s">
        <v>51</v>
      </c>
      <c r="L1117" s="28" t="s">
        <v>51</v>
      </c>
      <c r="M1117" s="28" t="s">
        <v>51</v>
      </c>
      <c r="N1117" s="28" t="s">
        <v>51</v>
      </c>
    </row>
    <row r="1118" spans="1:14" hidden="1" outlineLevel="1" x14ac:dyDescent="0.15">
      <c r="A1118" s="23" t="str">
        <f>HYPERLINK("https://www.spark-marketing.ru/Card/Person/241226", "ГБОУ СОШ № 122 ЦЕНТРАЛЬНОГО РАЙОНА СПБ")</f>
        <v>ГБОУ СОШ № 122 ЦЕНТРАЛЬНОГО РАЙОНА СПБ</v>
      </c>
      <c r="B1118" s="24" t="s">
        <v>2307</v>
      </c>
      <c r="C1118" s="25">
        <v>984649.01</v>
      </c>
      <c r="D1118" s="22" t="s">
        <v>2298</v>
      </c>
      <c r="E1118" s="22" t="s">
        <v>48</v>
      </c>
      <c r="F1118" s="23" t="str">
        <f t="shared" si="13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118" s="22" t="s">
        <v>117</v>
      </c>
      <c r="H1118" s="22" t="s">
        <v>117</v>
      </c>
      <c r="I1118" s="26">
        <v>43733.4533912037</v>
      </c>
      <c r="J1118" s="28" t="s">
        <v>51</v>
      </c>
      <c r="K1118" s="28" t="s">
        <v>51</v>
      </c>
      <c r="L1118" s="28" t="s">
        <v>51</v>
      </c>
      <c r="M1118" s="28" t="s">
        <v>51</v>
      </c>
      <c r="N1118" s="28" t="s">
        <v>51</v>
      </c>
    </row>
    <row r="1119" spans="1:14" hidden="1" outlineLevel="1" x14ac:dyDescent="0.15">
      <c r="A1119" s="23" t="str">
        <f>HYPERLINK("https://www.spark-marketing.ru/Card/Person/4347984", "ГБОУ ШКОЛА № 300 ЦЕНТРАЛЬНОГО РАЙОНА САНКТ-ПЕТЕРБУРГА")</f>
        <v>ГБОУ ШКОЛА № 300 ЦЕНТРАЛЬНОГО РАЙОНА САНКТ-ПЕТЕРБУРГА</v>
      </c>
      <c r="B1119" s="24" t="s">
        <v>2308</v>
      </c>
      <c r="C1119" s="25">
        <v>4422468.22</v>
      </c>
      <c r="D1119" s="22" t="s">
        <v>2298</v>
      </c>
      <c r="E1119" s="22" t="s">
        <v>48</v>
      </c>
      <c r="F1119" s="23" t="str">
        <f t="shared" si="13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119" s="22" t="s">
        <v>117</v>
      </c>
      <c r="H1119" s="22" t="s">
        <v>117</v>
      </c>
      <c r="I1119" s="26">
        <v>43733.4533912037</v>
      </c>
      <c r="J1119" s="28" t="s">
        <v>51</v>
      </c>
      <c r="K1119" s="28" t="s">
        <v>51</v>
      </c>
      <c r="L1119" s="28" t="s">
        <v>51</v>
      </c>
      <c r="M1119" s="28" t="s">
        <v>51</v>
      </c>
      <c r="N1119" s="28" t="s">
        <v>51</v>
      </c>
    </row>
    <row r="1120" spans="1:14" hidden="1" outlineLevel="1" x14ac:dyDescent="0.15">
      <c r="A1120" s="23" t="str">
        <f>HYPERLINK("https://www.spark-marketing.ru/Card/Person/4350298", "ГБОУ СОШ № 206 ЦЕНТРАЛЬНОГО РАЙОНА САНКТ-ПЕТЕРБУРГА")</f>
        <v>ГБОУ СОШ № 206 ЦЕНТРАЛЬНОГО РАЙОНА САНКТ-ПЕТЕРБУРГА</v>
      </c>
      <c r="B1120" s="24" t="s">
        <v>2309</v>
      </c>
      <c r="C1120" s="25">
        <v>6176007.4699999997</v>
      </c>
      <c r="D1120" s="22" t="s">
        <v>2298</v>
      </c>
      <c r="E1120" s="22" t="s">
        <v>48</v>
      </c>
      <c r="F1120" s="23" t="str">
        <f t="shared" si="13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120" s="22" t="s">
        <v>117</v>
      </c>
      <c r="H1120" s="22" t="s">
        <v>117</v>
      </c>
      <c r="I1120" s="26">
        <v>43733.4533912037</v>
      </c>
      <c r="J1120" s="28" t="s">
        <v>51</v>
      </c>
      <c r="K1120" s="28" t="s">
        <v>51</v>
      </c>
      <c r="L1120" s="28" t="s">
        <v>51</v>
      </c>
      <c r="M1120" s="28" t="s">
        <v>51</v>
      </c>
      <c r="N1120" s="28" t="s">
        <v>51</v>
      </c>
    </row>
    <row r="1121" spans="1:14" x14ac:dyDescent="0.15">
      <c r="A1121" s="23" t="str">
        <f>HYPERLINK("https://www.spark-marketing.ru/Card/Person/78262", "МОУ СРЕДНЯЯ ШКОЛА № 10")</f>
        <v>МОУ СРЕДНЯЯ ШКОЛА № 10</v>
      </c>
      <c r="B1121" s="24" t="s">
        <v>2310</v>
      </c>
      <c r="C1121" s="25">
        <v>9769435.5</v>
      </c>
      <c r="D1121" s="22" t="s">
        <v>2311</v>
      </c>
      <c r="E1121" s="22" t="s">
        <v>48</v>
      </c>
      <c r="F1121" s="23" t="str">
        <f>HYPERLINK("https://www.spark-marketing.ru/Card/Lot/74083534", "Услуги по организации питания для учащихся в 2020 - 2021 году.")</f>
        <v>Услуги по организации питания для учащихся в 2020 - 2021 году.</v>
      </c>
      <c r="G1121" s="22" t="s">
        <v>49</v>
      </c>
      <c r="H1121" s="22" t="s">
        <v>207</v>
      </c>
      <c r="I1121" s="26">
        <v>43738.713032407402</v>
      </c>
      <c r="J1121" s="28" t="s">
        <v>51</v>
      </c>
      <c r="K1121" s="28" t="s">
        <v>51</v>
      </c>
      <c r="L1121" s="28" t="s">
        <v>51</v>
      </c>
      <c r="M1121" s="28" t="s">
        <v>51</v>
      </c>
      <c r="N1121" s="28" t="s">
        <v>51</v>
      </c>
    </row>
    <row r="1122" spans="1:14" x14ac:dyDescent="0.15">
      <c r="A1122" s="23" t="str">
        <f>HYPERLINK("https://www.spark-marketing.ru/Card/Person/4348376", "АО ""ЖТК""")</f>
        <v>АО "ЖТК"</v>
      </c>
      <c r="B1122" s="24" t="s">
        <v>2312</v>
      </c>
      <c r="C1122" s="25">
        <v>5294585</v>
      </c>
      <c r="D1122" s="22" t="s">
        <v>2313</v>
      </c>
      <c r="E1122" s="22" t="s">
        <v>2314</v>
      </c>
      <c r="F1122" s="23" t="str">
        <f>HYPERLINK("https://www.spark-marketing.ru/Card/Lot/74067436", "Поставка бакалейной продукции для предприятий общественного питания Шилкинского ТПО, оказывающих услуги питания работникам ОАО ""РЖД""")</f>
        <v>Поставка бакалейной продукции для предприятий общественного питания Шилкинского ТПО, оказывающих услуги питания работникам ОАО "РЖД"</v>
      </c>
      <c r="G1122" s="22" t="s">
        <v>56</v>
      </c>
      <c r="H1122" s="22" t="s">
        <v>56</v>
      </c>
      <c r="I1122" s="26">
        <v>43738.747916666704</v>
      </c>
      <c r="J1122" s="28" t="s">
        <v>51</v>
      </c>
      <c r="K1122" s="28" t="s">
        <v>51</v>
      </c>
      <c r="L1122" s="28" t="s">
        <v>51</v>
      </c>
      <c r="M1122" s="28" t="s">
        <v>51</v>
      </c>
      <c r="N1122" s="28" t="s">
        <v>51</v>
      </c>
    </row>
    <row r="1123" spans="1:14" x14ac:dyDescent="0.15">
      <c r="A1123" s="23" t="str">
        <f>HYPERLINK("https://www.spark-marketing.ru/Card/Person/8833", "ФГБУ ""РНИИТО ИМ. Р.Р. ВРЕДЕНА"" МИНЗДРАВА РОССИИ")</f>
        <v>ФГБУ "РНИИТО ИМ. Р.Р. ВРЕДЕНА" МИНЗДРАВА РОССИИ</v>
      </c>
      <c r="B1123" s="24" t="s">
        <v>2315</v>
      </c>
      <c r="C1123" s="25">
        <v>351000</v>
      </c>
      <c r="D1123" s="22" t="s">
        <v>2316</v>
      </c>
      <c r="E1123" s="22" t="s">
        <v>152</v>
      </c>
      <c r="F1123" s="23" t="str">
        <f>HYPERLINK("https://www.spark-marketing.ru/Card/Lot/74079831", "Оказание услуг по комплексному  техническому обслуживанию автоматической установки пожарной сигнализации и системы оповещения управления эвакуацией (АУПС) (СОУЭ); внутреннего противопожарного водопровода (ВППВ); системы водяного пожаротушения (СВПТ);...")</f>
        <v>Оказание услуг по комплексному  техническому обслуживанию автоматической установки пожарной сигнализации и системы оповещения управления эвакуацией (АУПС) (СОУЭ); внутреннего противопожарного водопровода (ВППВ); системы водяного пожаротушения (СВПТ);...</v>
      </c>
      <c r="G1123" s="22" t="s">
        <v>117</v>
      </c>
      <c r="H1123" s="22" t="s">
        <v>117</v>
      </c>
      <c r="I1123" s="26">
        <v>43738.708333333299</v>
      </c>
      <c r="J1123" s="23" t="str">
        <f>HYPERLINK("https://www.spark-marketing.ru/Card/Person/5941498", "ООО ""ИНВЕСТСТРОЙ""")</f>
        <v>ООО "ИНВЕСТСТРОЙ"</v>
      </c>
      <c r="K1123" s="24" t="s">
        <v>2317</v>
      </c>
      <c r="L1123" s="28" t="s">
        <v>51</v>
      </c>
      <c r="M1123" s="28" t="s">
        <v>51</v>
      </c>
      <c r="N1123" s="28" t="s">
        <v>51</v>
      </c>
    </row>
    <row r="1124" spans="1:14" hidden="1" outlineLevel="1" x14ac:dyDescent="0.15">
      <c r="A1124" s="23" t="str">
        <f>HYPERLINK("https://www.spark-marketing.ru/Card/Person/8833", "ФГБУ ""РНИИТО ИМ. Р.Р. ВРЕДЕНА"" МИНЗДРАВА РОССИИ")</f>
        <v>ФГБУ "РНИИТО ИМ. Р.Р. ВРЕДЕНА" МИНЗДРАВА РОССИИ</v>
      </c>
      <c r="B1124" s="24" t="s">
        <v>2315</v>
      </c>
      <c r="C1124" s="25">
        <v>351000</v>
      </c>
      <c r="D1124" s="22" t="s">
        <v>2316</v>
      </c>
      <c r="E1124" s="22" t="s">
        <v>152</v>
      </c>
      <c r="F1124" s="23" t="str">
        <f>HYPERLINK("https://www.spark-marketing.ru/Card/Lot/74079831", "Оказание услуг по комплексному  техническому обслуживанию автоматической установки пожарной сигнализации и системы оповещения управления эвакуацией (АУПС) (СОУЭ); внутреннего противопожарного водопровода (ВППВ); системы водяного пожаротушения (СВПТ);...")</f>
        <v>Оказание услуг по комплексному  техническому обслуживанию автоматической установки пожарной сигнализации и системы оповещения управления эвакуацией (АУПС) (СОУЭ); внутреннего противопожарного водопровода (ВППВ); системы водяного пожаротушения (СВПТ);...</v>
      </c>
      <c r="G1124" s="22" t="s">
        <v>117</v>
      </c>
      <c r="H1124" s="22" t="s">
        <v>117</v>
      </c>
      <c r="I1124" s="26">
        <v>43738.708333333299</v>
      </c>
      <c r="J1124" s="23" t="str">
        <f>HYPERLINK("https://www.spark-marketing.ru/Card/Person/5941498", "ООО ""ИНВЕСТСТРОЙ""")</f>
        <v>ООО "ИНВЕСТСТРОЙ"</v>
      </c>
      <c r="K1124" s="24" t="s">
        <v>2317</v>
      </c>
      <c r="L1124" s="22" t="s">
        <v>10</v>
      </c>
      <c r="M1124" s="28" t="s">
        <v>51</v>
      </c>
      <c r="N1124" s="28" t="s">
        <v>51</v>
      </c>
    </row>
    <row r="1125" spans="1:14" x14ac:dyDescent="0.15">
      <c r="A1125" s="23" t="str">
        <f>HYPERLINK("https://www.spark-marketing.ru/Card/Person/4348376", "АО ""ЖТК""")</f>
        <v>АО "ЖТК"</v>
      </c>
      <c r="B1125" s="24" t="s">
        <v>2312</v>
      </c>
      <c r="C1125" s="25">
        <v>2161700</v>
      </c>
      <c r="D1125" s="22" t="s">
        <v>2318</v>
      </c>
      <c r="E1125" s="22" t="s">
        <v>2319</v>
      </c>
      <c r="F1125" s="23" t="str">
        <f>HYPERLINK("https://www.spark-marketing.ru/Card/Lot/74065508", "Поставка овощей и фруктов свежих для предприятий общественного питания Читинского ТПО, оказывающих услуги питания работникам ОАО ""РЖД""")</f>
        <v>Поставка овощей и фруктов свежих для предприятий общественного питания Читинского ТПО, оказывающих услуги питания работникам ОАО "РЖД"</v>
      </c>
      <c r="G1125" s="22" t="s">
        <v>56</v>
      </c>
      <c r="H1125" s="22" t="s">
        <v>56</v>
      </c>
      <c r="I1125" s="26">
        <v>43738.730555555601</v>
      </c>
      <c r="J1125" s="28" t="s">
        <v>51</v>
      </c>
      <c r="K1125" s="28" t="s">
        <v>51</v>
      </c>
      <c r="L1125" s="28" t="s">
        <v>51</v>
      </c>
      <c r="M1125" s="28" t="s">
        <v>51</v>
      </c>
      <c r="N1125" s="28" t="s">
        <v>51</v>
      </c>
    </row>
    <row r="1126" spans="1:14" x14ac:dyDescent="0.15">
      <c r="A1126" s="23" t="str">
        <f>HYPERLINK("https://www.spark-marketing.ru/Card/Person/104551", "МБОУ ""СОШ №3""")</f>
        <v>МБОУ "СОШ №3"</v>
      </c>
      <c r="B1126" s="24" t="s">
        <v>2320</v>
      </c>
      <c r="C1126" s="25">
        <v>5271188</v>
      </c>
      <c r="D1126" s="22" t="s">
        <v>2321</v>
      </c>
      <c r="E1126" s="22" t="s">
        <v>48</v>
      </c>
      <c r="F1126" s="23" t="str">
        <f>HYPERLINK("https://www.spark-marketing.ru/Card/Lot/74085112", "Оказание услуг по организации питания для обучающихся общеобразовательного учреждения (2020-2021)")</f>
        <v>Оказание услуг по организации питания для обучающихся общеобразовательного учреждения (2020-2021)</v>
      </c>
      <c r="G1126" s="22" t="s">
        <v>49</v>
      </c>
      <c r="H1126" s="22" t="s">
        <v>1131</v>
      </c>
      <c r="I1126" s="26">
        <v>43738.693009259303</v>
      </c>
      <c r="J1126" s="28" t="s">
        <v>51</v>
      </c>
      <c r="K1126" s="28" t="s">
        <v>51</v>
      </c>
      <c r="L1126" s="28" t="s">
        <v>51</v>
      </c>
      <c r="M1126" s="28" t="s">
        <v>51</v>
      </c>
      <c r="N1126" s="28" t="s">
        <v>51</v>
      </c>
    </row>
    <row r="1127" spans="1:14" x14ac:dyDescent="0.15">
      <c r="A1127" s="23" t="str">
        <f>HYPERLINK("https://www.spark-marketing.ru/Card/Person/53933", "СПБ ГБПОУ ""УОР № 2 (ТЕХНИКУМ)""")</f>
        <v>СПБ ГБПОУ "УОР № 2 (ТЕХНИКУМ)"</v>
      </c>
      <c r="B1127" s="24" t="s">
        <v>2322</v>
      </c>
      <c r="C1127" s="25">
        <v>571300</v>
      </c>
      <c r="D1127" s="22" t="s">
        <v>2323</v>
      </c>
      <c r="E1127" s="22" t="s">
        <v>51</v>
      </c>
      <c r="F1127" s="23" t="str">
        <f>HYPERLINK("https://www.spark-marketing.ru/Card/Lot/74088370", "Оказание услуг по предоставлению питания, проживания и спортивных сооружений при проведении тренировочного мероприятия к предсезонной подготовке для занимающихся отделения ""Биатлон"" СПб ГБПОУ ""УОР № 2 (техникум)"" в 2019 году")</f>
        <v>Оказание услуг по предоставлению питания, проживания и спортивных сооружений при проведении тренировочного мероприятия к предсезонной подготовке для занимающихся отделения "Биатлон" СПб ГБПОУ "УОР № 2 (техникум)" в 2019 году</v>
      </c>
      <c r="G1127" s="22" t="s">
        <v>117</v>
      </c>
      <c r="H1127" s="22" t="s">
        <v>117</v>
      </c>
      <c r="I1127" s="26">
        <v>43738.684722222199</v>
      </c>
      <c r="J1127" s="28" t="s">
        <v>51</v>
      </c>
      <c r="K1127" s="28" t="s">
        <v>51</v>
      </c>
      <c r="L1127" s="28" t="s">
        <v>51</v>
      </c>
      <c r="M1127" s="28" t="s">
        <v>51</v>
      </c>
      <c r="N1127" s="28" t="s">
        <v>51</v>
      </c>
    </row>
    <row r="1128" spans="1:14" ht="12.75" hidden="1" outlineLevel="1" x14ac:dyDescent="0.2">
      <c r="A1128" s="23" t="str">
        <f>HYPERLINK("https://www.spark-marketing.ru/Card/Person/53933", "СПБ ГБПОУ ""УОР № 2 (ТЕХНИКУМ)""")</f>
        <v>СПБ ГБПОУ "УОР № 2 (ТЕХНИКУМ)"</v>
      </c>
      <c r="B1128" s="24" t="s">
        <v>2322</v>
      </c>
      <c r="C1128" s="25">
        <v>571300</v>
      </c>
      <c r="D1128" s="22" t="s">
        <v>2323</v>
      </c>
      <c r="E1128" s="22" t="s">
        <v>51</v>
      </c>
      <c r="F1128" s="23" t="str">
        <f>HYPERLINK("https://www.spark-marketing.ru/Card/Lot/74088370", "Оказание услуг по предоставлению питания, проживания и спортивных сооружений при проведении тренировочного мероприятия к предсезонной подготовке для занимающихся отделения ""Биатлон"" СПб ГБПОУ ""УОР № 2 (техникум)"" в 2019 году")</f>
        <v>Оказание услуг по предоставлению питания, проживания и спортивных сооружений при проведении тренировочного мероприятия к предсезонной подготовке для занимающихся отделения "Биатлон" СПб ГБПОУ "УОР № 2 (техникум)" в 2019 году</v>
      </c>
      <c r="G1128" s="22" t="s">
        <v>117</v>
      </c>
      <c r="H1128" s="22" t="s">
        <v>117</v>
      </c>
      <c r="I1128" s="26">
        <v>43738.684722222199</v>
      </c>
      <c r="J1128" s="23" t="str">
        <f>HYPERLINK("https://www.spark-marketing.ru/Card/Person/4953167", "ООО ""ЮПИТЕР""")</f>
        <v>ООО "ЮПИТЕР"</v>
      </c>
      <c r="K1128" s="24" t="s">
        <v>2324</v>
      </c>
      <c r="L1128" s="22" t="s">
        <v>10</v>
      </c>
      <c r="M1128" s="25">
        <v>519883</v>
      </c>
      <c r="N1128" s="27">
        <v>0.09</v>
      </c>
    </row>
    <row r="1129" spans="1:14" hidden="1" outlineLevel="1" x14ac:dyDescent="0.2">
      <c r="A1129" s="23" t="str">
        <f>HYPERLINK("https://www.spark-marketing.ru/Card/Person/53933", "СПБ ГБПОУ ""УОР № 2 (ТЕХНИКУМ)""")</f>
        <v>СПБ ГБПОУ "УОР № 2 (ТЕХНИКУМ)"</v>
      </c>
      <c r="B1129" s="24" t="s">
        <v>2322</v>
      </c>
      <c r="C1129" s="25">
        <v>571300</v>
      </c>
      <c r="D1129" s="22" t="s">
        <v>2323</v>
      </c>
      <c r="E1129" s="22" t="s">
        <v>51</v>
      </c>
      <c r="F1129" s="23" t="str">
        <f>HYPERLINK("https://www.spark-marketing.ru/Card/Lot/74088370", "Оказание услуг по предоставлению питания, проживания и спортивных сооружений при проведении тренировочного мероприятия к предсезонной подготовке для занимающихся отделения ""Биатлон"" СПб ГБПОУ ""УОР № 2 (техникум)"" в 2019 году")</f>
        <v>Оказание услуг по предоставлению питания, проживания и спортивных сооружений при проведении тренировочного мероприятия к предсезонной подготовке для занимающихся отделения "Биатлон" СПб ГБПОУ "УОР № 2 (техникум)" в 2019 году</v>
      </c>
      <c r="G1129" s="22" t="s">
        <v>117</v>
      </c>
      <c r="H1129" s="22" t="s">
        <v>117</v>
      </c>
      <c r="I1129" s="26">
        <v>43738.684722222199</v>
      </c>
      <c r="J1129" s="23" t="str">
        <f>HYPERLINK("https://www.spark-marketing.ru/Card/Person/4570741", "ООО ""ПЛАНЕТА""")</f>
        <v>ООО "ПЛАНЕТА"</v>
      </c>
      <c r="K1129" s="24" t="s">
        <v>2325</v>
      </c>
      <c r="L1129" s="28" t="s">
        <v>51</v>
      </c>
      <c r="M1129" s="25">
        <v>522739.5</v>
      </c>
      <c r="N1129" s="27">
        <v>8.5000000000000006E-2</v>
      </c>
    </row>
    <row r="1130" spans="1:14" hidden="1" outlineLevel="1" x14ac:dyDescent="0.2">
      <c r="A1130" s="23" t="str">
        <f>HYPERLINK("https://www.spark-marketing.ru/Card/Person/53933", "СПБ ГБПОУ ""УОР № 2 (ТЕХНИКУМ)""")</f>
        <v>СПБ ГБПОУ "УОР № 2 (ТЕХНИКУМ)"</v>
      </c>
      <c r="B1130" s="24" t="s">
        <v>2322</v>
      </c>
      <c r="C1130" s="25">
        <v>571300</v>
      </c>
      <c r="D1130" s="22" t="s">
        <v>2323</v>
      </c>
      <c r="E1130" s="22" t="s">
        <v>51</v>
      </c>
      <c r="F1130" s="23" t="str">
        <f>HYPERLINK("https://www.spark-marketing.ru/Card/Lot/74088370", "Оказание услуг по предоставлению питания, проживания и спортивных сооружений при проведении тренировочного мероприятия к предсезонной подготовке для занимающихся отделения ""Биатлон"" СПб ГБПОУ ""УОР № 2 (техникум)"" в 2019 году")</f>
        <v>Оказание услуг по предоставлению питания, проживания и спортивных сооружений при проведении тренировочного мероприятия к предсезонной подготовке для занимающихся отделения "Биатлон" СПб ГБПОУ "УОР № 2 (техникум)" в 2019 году</v>
      </c>
      <c r="G1130" s="22" t="s">
        <v>117</v>
      </c>
      <c r="H1130" s="22" t="s">
        <v>117</v>
      </c>
      <c r="I1130" s="26">
        <v>43738.684722222199</v>
      </c>
      <c r="J1130" s="23" t="str">
        <f>HYPERLINK("https://www.spark-marketing.ru/Card/Person/139386", "ООО ""АВИАМИР""")</f>
        <v>ООО "АВИАМИР"</v>
      </c>
      <c r="K1130" s="24" t="s">
        <v>2326</v>
      </c>
      <c r="L1130" s="28" t="s">
        <v>51</v>
      </c>
      <c r="M1130" s="25">
        <v>528452.5</v>
      </c>
      <c r="N1130" s="27">
        <v>7.4999999999999997E-2</v>
      </c>
    </row>
    <row r="1131" spans="1:14" x14ac:dyDescent="0.15">
      <c r="A1131" s="23" t="str">
        <f>HYPERLINK("https://www.spark-marketing.ru/Card/Person/59768", "УМВД РОССИИ ПО Г. ЧЕЛЯБИНСКУ")</f>
        <v>УМВД РОССИИ ПО Г. ЧЕЛЯБИНСКУ</v>
      </c>
      <c r="B1131" s="24" t="s">
        <v>2327</v>
      </c>
      <c r="C1131" s="25">
        <v>816308.81</v>
      </c>
      <c r="D1131" s="22" t="s">
        <v>2328</v>
      </c>
      <c r="E1131" s="22" t="s">
        <v>48</v>
      </c>
      <c r="F1131" s="23" t="str">
        <f>HYPERLINK("https://www.spark-marketing.ru/Card/Lot/74076921", "Оказание услуг по обеспечению ежедневным трёх разовым горячим питанием лиц, содержащихся в ИВС и специальных приемниках УМВД России по г. Челябинску.")</f>
        <v>Оказание услуг по обеспечению ежедневным трёх разовым горячим питанием лиц, содержащихся в ИВС и специальных приемниках УМВД России по г. Челябинску.</v>
      </c>
      <c r="G1131" s="22" t="s">
        <v>469</v>
      </c>
      <c r="H1131" s="22" t="s">
        <v>491</v>
      </c>
      <c r="I1131" s="26">
        <v>43738.682928240698</v>
      </c>
      <c r="J1131" s="23" t="str">
        <f>HYPERLINK("https://www.spark-marketing.ru/Card/Person/134890", "ООО ""МИРОСЛАВА""")</f>
        <v>ООО "МИРОСЛАВА"</v>
      </c>
      <c r="K1131" s="24" t="s">
        <v>2329</v>
      </c>
      <c r="L1131" s="22" t="s">
        <v>10</v>
      </c>
      <c r="M1131" s="28" t="s">
        <v>51</v>
      </c>
      <c r="N1131" s="28" t="s">
        <v>51</v>
      </c>
    </row>
    <row r="1132" spans="1:14" x14ac:dyDescent="0.15">
      <c r="A1132" s="23" t="str">
        <f>HYPERLINK("https://www.spark-marketing.ru/Card/Person/37828", "ГБУЗ НД")</f>
        <v>ГБУЗ НД</v>
      </c>
      <c r="B1132" s="24" t="s">
        <v>118</v>
      </c>
      <c r="C1132" s="25">
        <v>499800</v>
      </c>
      <c r="D1132" s="22" t="s">
        <v>2330</v>
      </c>
      <c r="E1132" s="22" t="s">
        <v>96</v>
      </c>
      <c r="F1132" s="23" t="str">
        <f>HYPERLINK("https://www.spark-marketing.ru/Card/Lot/74078552", "Оказание услуг по обеспечению питанием")</f>
        <v>Оказание услуг по обеспечению питанием</v>
      </c>
      <c r="G1132" s="22" t="s">
        <v>104</v>
      </c>
      <c r="H1132" s="22" t="s">
        <v>120</v>
      </c>
      <c r="I1132" s="26">
        <v>43738.6742592593</v>
      </c>
      <c r="J1132" s="23" t="str">
        <f>HYPERLINK("https://www.spark-marketing.ru/Card/Person/1170194", "Соколова Виктория Сергеевна")</f>
        <v>Соколова Виктория Сергеевна</v>
      </c>
      <c r="K1132" s="24" t="s">
        <v>2331</v>
      </c>
      <c r="L1132" s="22" t="s">
        <v>10</v>
      </c>
      <c r="M1132" s="28" t="s">
        <v>51</v>
      </c>
      <c r="N1132" s="28" t="s">
        <v>51</v>
      </c>
    </row>
    <row r="1133" spans="1:14" x14ac:dyDescent="0.15">
      <c r="A1133" s="23" t="str">
        <f>HYPERLINK("https://www.spark-marketing.ru/Card/Person/737290", "ГКУ «ЦБЗ ПРИ МИНЗДРАВЕ КАРЕЛИИ»")</f>
        <v>ГКУ «ЦБЗ ПРИ МИНЗДРАВЕ КАРЕЛИИ»</v>
      </c>
      <c r="B1133" s="24" t="s">
        <v>312</v>
      </c>
      <c r="C1133" s="25">
        <v>354096.12</v>
      </c>
      <c r="D1133" s="22" t="s">
        <v>2332</v>
      </c>
      <c r="E1133" s="22" t="s">
        <v>52</v>
      </c>
      <c r="F1133" s="23" t="str">
        <f>HYPERLINK("https://www.spark-marketing.ru/Card/Lot/74078107", "Поставка лекарственного препарата Лакосамид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рецепт...")</f>
        <v>Поставка лекарственного препарата Лакосамид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</v>
      </c>
      <c r="G1133" s="22" t="s">
        <v>59</v>
      </c>
      <c r="H1133" s="22" t="s">
        <v>314</v>
      </c>
      <c r="I1133" s="26">
        <v>43738.674097222203</v>
      </c>
      <c r="J1133" s="23" t="str">
        <f>HYPERLINK("https://www.spark-marketing.ru/Card/Person/44169", "ООО ""СИГОР""")</f>
        <v>ООО "СИГОР"</v>
      </c>
      <c r="K1133" s="24" t="s">
        <v>2095</v>
      </c>
      <c r="L1133" s="22" t="s">
        <v>10</v>
      </c>
      <c r="M1133" s="28" t="s">
        <v>51</v>
      </c>
      <c r="N1133" s="28" t="s">
        <v>51</v>
      </c>
    </row>
    <row r="1134" spans="1:14" x14ac:dyDescent="0.15">
      <c r="A1134" s="23" t="str">
        <f>HYPERLINK("https://www.spark-marketing.ru/Card/Person/261831", "МО МВД РОССИИ ""ВЯТСКОПОЛЯНСКИЙ""")</f>
        <v>МО МВД РОССИИ "ВЯТСКОПОЛЯНСКИЙ"</v>
      </c>
      <c r="B1134" s="24" t="s">
        <v>2333</v>
      </c>
      <c r="C1134" s="25">
        <v>150939.45000000001</v>
      </c>
      <c r="D1134" s="22" t="s">
        <v>2334</v>
      </c>
      <c r="E1134" s="22" t="s">
        <v>48</v>
      </c>
      <c r="F1134" s="23" t="str">
        <f>HYPERLINK("https://www.spark-marketing.ru/Card/Lot/74074621", "услуги по организации ежедневного трехразового горячего питания лиц, содержащихся в изоляторе временного содержания и специальных помещениях для содержания задержанных лиц: мужчин, женщин, несовершеннолетних для обеспечения государственных нужд МО МВ...")</f>
        <v>услуги по организации ежедневного трехразового горячего питания лиц, содержащихся в изоляторе временного содержания и специальных помещениях для содержания задержанных лиц: мужчин, женщин, несовершеннолетних для обеспечения государственных нужд МО МВ...</v>
      </c>
      <c r="G1134" s="22" t="s">
        <v>224</v>
      </c>
      <c r="H1134" s="22" t="s">
        <v>2335</v>
      </c>
      <c r="I1134" s="26">
        <v>43738.6784722222</v>
      </c>
      <c r="J1134" s="23" t="str">
        <f>HYPERLINK("https://www.spark-marketing.ru/Card/Person/51950", "ООО ""ЗДОРОВОЕ ПИТАНИЕ""")</f>
        <v>ООО "ЗДОРОВОЕ ПИТАНИЕ"</v>
      </c>
      <c r="K1134" s="24" t="s">
        <v>2336</v>
      </c>
      <c r="L1134" s="22" t="s">
        <v>10</v>
      </c>
      <c r="M1134" s="28" t="s">
        <v>51</v>
      </c>
      <c r="N1134" s="28" t="s">
        <v>51</v>
      </c>
    </row>
    <row r="1135" spans="1:14" x14ac:dyDescent="0.15">
      <c r="A1135" s="23" t="str">
        <f>HYPERLINK("https://www.spark-marketing.ru/Card/Person/737290", "ГКУ «ЦБЗ ПРИ МИНЗДРАВЕ КАРЕЛИИ»")</f>
        <v>ГКУ «ЦБЗ ПРИ МИНЗДРАВЕ КАРЕЛИИ»</v>
      </c>
      <c r="B1135" s="24" t="s">
        <v>312</v>
      </c>
      <c r="C1135" s="25">
        <v>310500</v>
      </c>
      <c r="D1135" s="22" t="s">
        <v>2337</v>
      </c>
      <c r="E1135" s="22" t="s">
        <v>52</v>
      </c>
      <c r="F1135" s="23" t="str">
        <f>HYPERLINK("https://www.spark-marketing.ru/Card/Lot/74078108", "Поставка лекарственного препарата Темозоломид,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изделиям...")</f>
        <v>Поставка лекарственного препарата Темозоломид,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</v>
      </c>
      <c r="G1135" s="22" t="s">
        <v>59</v>
      </c>
      <c r="H1135" s="22" t="s">
        <v>314</v>
      </c>
      <c r="I1135" s="26">
        <v>43738.674108796302</v>
      </c>
      <c r="J1135" s="28" t="s">
        <v>51</v>
      </c>
      <c r="K1135" s="28" t="s">
        <v>51</v>
      </c>
      <c r="L1135" s="28" t="s">
        <v>51</v>
      </c>
      <c r="M1135" s="28" t="s">
        <v>51</v>
      </c>
      <c r="N1135" s="28" t="s">
        <v>51</v>
      </c>
    </row>
    <row r="1136" spans="1:14" hidden="1" outlineLevel="1" x14ac:dyDescent="0.2">
      <c r="A1136" s="23" t="str">
        <f>HYPERLINK("https://www.spark-marketing.ru/Card/Person/737290", "ГКУ «ЦБЗ ПРИ МИНЗДРАВЕ КАРЕЛИИ»")</f>
        <v>ГКУ «ЦБЗ ПРИ МИНЗДРАВЕ КАРЕЛИИ»</v>
      </c>
      <c r="B1136" s="24" t="s">
        <v>312</v>
      </c>
      <c r="C1136" s="25">
        <v>310500</v>
      </c>
      <c r="D1136" s="22" t="s">
        <v>2337</v>
      </c>
      <c r="E1136" s="22" t="s">
        <v>52</v>
      </c>
      <c r="F1136" s="23" t="str">
        <f>HYPERLINK("https://www.spark-marketing.ru/Card/Lot/74078108", "Поставка лекарственного препарата Темозоломид,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изделиям...")</f>
        <v>Поставка лекарственного препарата Темозоломид,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</v>
      </c>
      <c r="G1136" s="22" t="s">
        <v>59</v>
      </c>
      <c r="H1136" s="22" t="s">
        <v>314</v>
      </c>
      <c r="I1136" s="26">
        <v>43738.674108796302</v>
      </c>
      <c r="J1136" s="23" t="str">
        <f>HYPERLINK("https://www.spark-marketing.ru/Card/Person/6695730", "ООО ""ПРИМАФАРМ""")</f>
        <v>ООО "ПРИМАФАРМ"</v>
      </c>
      <c r="K1136" s="24" t="s">
        <v>2338</v>
      </c>
      <c r="L1136" s="28" t="s">
        <v>51</v>
      </c>
      <c r="M1136" s="25">
        <v>217350</v>
      </c>
      <c r="N1136" s="27">
        <v>0.3</v>
      </c>
    </row>
    <row r="1137" spans="1:14" hidden="1" outlineLevel="1" x14ac:dyDescent="0.2">
      <c r="A1137" s="23" t="str">
        <f>HYPERLINK("https://www.spark-marketing.ru/Card/Person/737290", "ГКУ «ЦБЗ ПРИ МИНЗДРАВЕ КАРЕЛИИ»")</f>
        <v>ГКУ «ЦБЗ ПРИ МИНЗДРАВЕ КАРЕЛИИ»</v>
      </c>
      <c r="B1137" s="24" t="s">
        <v>312</v>
      </c>
      <c r="C1137" s="25">
        <v>310500</v>
      </c>
      <c r="D1137" s="22" t="s">
        <v>2337</v>
      </c>
      <c r="E1137" s="22" t="s">
        <v>52</v>
      </c>
      <c r="F1137" s="23" t="str">
        <f>HYPERLINK("https://www.spark-marketing.ru/Card/Lot/74078108", "Поставка лекарственного препарата Темозоломид,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изделиям...")</f>
        <v>Поставка лекарственного препарата Темозоломид,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</v>
      </c>
      <c r="G1137" s="22" t="s">
        <v>59</v>
      </c>
      <c r="H1137" s="22" t="s">
        <v>314</v>
      </c>
      <c r="I1137" s="26">
        <v>43738.674108796302</v>
      </c>
      <c r="J1137" s="23" t="str">
        <f>HYPERLINK("https://www.spark-marketing.ru/Card/Person/1645502", "ООО ""ТД ""ВИАЛ""")</f>
        <v>ООО "ТД "ВИАЛ"</v>
      </c>
      <c r="K1137" s="24" t="s">
        <v>2339</v>
      </c>
      <c r="L1137" s="28" t="s">
        <v>51</v>
      </c>
      <c r="M1137" s="25">
        <v>270135</v>
      </c>
      <c r="N1137" s="27">
        <v>0.13</v>
      </c>
    </row>
    <row r="1138" spans="1:14" ht="12.75" hidden="1" outlineLevel="1" x14ac:dyDescent="0.2">
      <c r="A1138" s="23" t="str">
        <f>HYPERLINK("https://www.spark-marketing.ru/Card/Person/737290", "ГКУ «ЦБЗ ПРИ МИНЗДРАВЕ КАРЕЛИИ»")</f>
        <v>ГКУ «ЦБЗ ПРИ МИНЗДРАВЕ КАРЕЛИИ»</v>
      </c>
      <c r="B1138" s="24" t="s">
        <v>312</v>
      </c>
      <c r="C1138" s="25">
        <v>310500</v>
      </c>
      <c r="D1138" s="22" t="s">
        <v>2337</v>
      </c>
      <c r="E1138" s="22" t="s">
        <v>52</v>
      </c>
      <c r="F1138" s="23" t="str">
        <f>HYPERLINK("https://www.spark-marketing.ru/Card/Lot/74078108", "Поставка лекарственного препарата Темозоломид,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изделиям...")</f>
        <v>Поставка лекарственного препарата Темозоломид,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</v>
      </c>
      <c r="G1138" s="22" t="s">
        <v>59</v>
      </c>
      <c r="H1138" s="22" t="s">
        <v>314</v>
      </c>
      <c r="I1138" s="26">
        <v>43738.674108796302</v>
      </c>
      <c r="J1138" s="23" t="str">
        <f>HYPERLINK("https://www.spark-marketing.ru/Card/Person/5915525", "ООО ""МЕДФАРМ""")</f>
        <v>ООО "МЕДФАРМ"</v>
      </c>
      <c r="K1138" s="24" t="s">
        <v>2340</v>
      </c>
      <c r="L1138" s="22" t="s">
        <v>10</v>
      </c>
      <c r="M1138" s="25">
        <v>215797.5</v>
      </c>
      <c r="N1138" s="27">
        <v>0.30499999999999999</v>
      </c>
    </row>
    <row r="1139" spans="1:14" x14ac:dyDescent="0.15">
      <c r="A1139" s="23" t="str">
        <f>HYPERLINK("https://www.spark-marketing.ru/Card/Person/127054", "МБОУ ""ГАТЧИНСКАЯ СОШ № 4 С УГЛУБЛЕННЫМ ИЗУЧЕНИЕМ ОТДЕЛЬНЫХ ПРЕДМЕТОВ""")</f>
        <v>МБОУ "ГАТЧИНСКАЯ СОШ № 4 С УГЛУБЛЕННЫМ ИЗУЧЕНИЕМ ОТДЕЛЬНЫХ ПРЕДМЕТОВ"</v>
      </c>
      <c r="B1139" s="24" t="s">
        <v>2341</v>
      </c>
      <c r="C1139" s="25">
        <v>1629368</v>
      </c>
      <c r="D1139" s="22" t="s">
        <v>2342</v>
      </c>
      <c r="E1139" s="22" t="s">
        <v>48</v>
      </c>
      <c r="F1139" s="23" t="str">
        <f>HYPERLINK("https://www.spark-marketing.ru/Card/Lot/74085111",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гг.")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гг.</v>
      </c>
      <c r="G1139" s="22" t="s">
        <v>162</v>
      </c>
      <c r="H1139" s="22" t="s">
        <v>2343</v>
      </c>
      <c r="I1139" s="26">
        <v>43738.692280092597</v>
      </c>
      <c r="J1139" s="23" t="str">
        <f>HYPERLINK("https://www.spark-marketing.ru/Card/Person/127078", "Васильева Ирина Эдуардовна")</f>
        <v>Васильева Ирина Эдуардовна</v>
      </c>
      <c r="K1139" s="24" t="s">
        <v>2344</v>
      </c>
      <c r="L1139" s="22" t="s">
        <v>10</v>
      </c>
      <c r="M1139" s="28" t="s">
        <v>51</v>
      </c>
      <c r="N1139" s="28" t="s">
        <v>51</v>
      </c>
    </row>
    <row r="1140" spans="1:14" x14ac:dyDescent="0.15">
      <c r="A1140" s="23" t="str">
        <f>HYPERLINK("https://www.spark-marketing.ru/Card/Person/72812", "ГБУЗ ""СОДИБ""")</f>
        <v>ГБУЗ "СОДИБ"</v>
      </c>
      <c r="B1140" s="24" t="s">
        <v>1068</v>
      </c>
      <c r="C1140" s="25">
        <v>5696713</v>
      </c>
      <c r="D1140" s="22" t="s">
        <v>2345</v>
      </c>
      <c r="E1140" s="22" t="s">
        <v>48</v>
      </c>
      <c r="F1140" s="23" t="str">
        <f>HYPERLINK("https://www.spark-marketing.ru/Card/Lot/74102040", "Оказание услуг по приготовлению диетического лечебного питания для пациентов, находящихся на стационарном лечении в отделениях Государственного бюджетного учреждения здравоохранения ""Самарская областная детская инфекционная больница"" в 2020 году.")</f>
        <v>Оказание услуг по приготовлению диетического лечебного питания для пациентов, находящихся на стационарном лечении в отделениях Государственного бюджетного учреждения здравоохранения "Самарская областная детская инфекционная больница" в 2020 году.</v>
      </c>
      <c r="G1140" s="22" t="s">
        <v>128</v>
      </c>
      <c r="H1140" s="22" t="s">
        <v>129</v>
      </c>
      <c r="I1140" s="26">
        <v>43738.740277777797</v>
      </c>
      <c r="J1140" s="28" t="s">
        <v>51</v>
      </c>
      <c r="K1140" s="28" t="s">
        <v>51</v>
      </c>
      <c r="L1140" s="28" t="s">
        <v>51</v>
      </c>
      <c r="M1140" s="28" t="s">
        <v>51</v>
      </c>
      <c r="N1140" s="28" t="s">
        <v>51</v>
      </c>
    </row>
    <row r="1141" spans="1:14" x14ac:dyDescent="0.15">
      <c r="A1141" s="23" t="str">
        <f>HYPERLINK("https://www.spark-marketing.ru/Card/Person/137643", "АДМИНИСТРАЦИЯ БАГАНСКОГО РАЙОНА НОВОСИБИРСКОЙ ОБЛАСТИ")</f>
        <v>АДМИНИСТРАЦИЯ БАГАНСКОГО РАЙОНА НОВОСИБИРСКОЙ ОБЛАСТИ</v>
      </c>
      <c r="B1141" s="24" t="s">
        <v>2346</v>
      </c>
      <c r="C1141" s="25">
        <v>89230</v>
      </c>
      <c r="D1141" s="22" t="s">
        <v>2347</v>
      </c>
      <c r="E1141" s="22" t="s">
        <v>96</v>
      </c>
      <c r="F1141" s="23" t="str">
        <f>HYPERLINK("https://www.spark-marketing.ru/Card/Lot/74072772", "Оказание услуг по организации питания в рамках проведения приемов официальных лиц и делегаций, торжественных мероприятий, конференций, совещаний.")</f>
        <v>Оказание услуг по организации питания в рамках проведения приемов официальных лиц и делегаций, торжественных мероприятий, конференций, совещаний.</v>
      </c>
      <c r="G1141" s="22" t="s">
        <v>195</v>
      </c>
      <c r="H1141" s="22" t="s">
        <v>2348</v>
      </c>
      <c r="I1141" s="26">
        <v>43738.694444444402</v>
      </c>
      <c r="J1141" s="23" t="str">
        <f>HYPERLINK("https://www.spark-marketing.ru/Card/Person/1392116", "Туркеева Любовь Александровна")</f>
        <v>Туркеева Любовь Александровна</v>
      </c>
      <c r="K1141" s="24" t="s">
        <v>2349</v>
      </c>
      <c r="L1141" s="22" t="s">
        <v>10</v>
      </c>
      <c r="M1141" s="28" t="s">
        <v>51</v>
      </c>
      <c r="N1141" s="28" t="s">
        <v>51</v>
      </c>
    </row>
    <row r="1142" spans="1:14" x14ac:dyDescent="0.15">
      <c r="A1142" s="23" t="str">
        <f>HYPERLINK("https://www.spark-marketing.ru/Card/Person/28817", "ГБУЗ РКПЦ МЗ РБ")</f>
        <v>ГБУЗ РКПЦ МЗ РБ</v>
      </c>
      <c r="B1142" s="24" t="s">
        <v>2350</v>
      </c>
      <c r="C1142" s="25">
        <v>30900000</v>
      </c>
      <c r="D1142" s="22" t="s">
        <v>2351</v>
      </c>
      <c r="E1142" s="22" t="s">
        <v>48</v>
      </c>
      <c r="F1142" s="23" t="str">
        <f>HYPERLINK("https://www.spark-marketing.ru/Card/Lot/74076375", "Оказание услуг по организации и обеспечению лечебным питанием пациентов ГБУЗ РКПЦ МЗ РБ в 2020г.")</f>
        <v>Оказание услуг по организации и обеспечению лечебным питанием пациентов ГБУЗ РКПЦ МЗ РБ в 2020г.</v>
      </c>
      <c r="G1142" s="22" t="s">
        <v>145</v>
      </c>
      <c r="H1142" s="22" t="s">
        <v>145</v>
      </c>
      <c r="I1142" s="26">
        <v>43738.647592592599</v>
      </c>
      <c r="J1142" s="28" t="s">
        <v>51</v>
      </c>
      <c r="K1142" s="28" t="s">
        <v>51</v>
      </c>
      <c r="L1142" s="28" t="s">
        <v>51</v>
      </c>
      <c r="M1142" s="28" t="s">
        <v>51</v>
      </c>
      <c r="N1142" s="28" t="s">
        <v>51</v>
      </c>
    </row>
    <row r="1143" spans="1:14" x14ac:dyDescent="0.15">
      <c r="A1143" s="23" t="str">
        <f>HYPERLINK("https://www.spark-marketing.ru/Card/Person/4348376", "АО ""ЖТК""")</f>
        <v>АО "ЖТК"</v>
      </c>
      <c r="B1143" s="24" t="s">
        <v>2312</v>
      </c>
      <c r="C1143" s="25">
        <v>3968487.42</v>
      </c>
      <c r="D1143" s="22" t="s">
        <v>2352</v>
      </c>
      <c r="E1143" s="22" t="s">
        <v>2314</v>
      </c>
      <c r="F1143" s="23" t="str">
        <f>HYPERLINK("https://www.spark-marketing.ru/Card/Lot/74061176", "Поставка бакалейной продукции для предприятий общественного питания Шилкинского ТПО, оказывающих услуги питания работникам ОАО ""РЖД""")</f>
        <v>Поставка бакалейной продукции для предприятий общественного питания Шилкинского ТПО, оказывающих услуги питания работникам ОАО "РЖД"</v>
      </c>
      <c r="G1143" s="22" t="s">
        <v>56</v>
      </c>
      <c r="H1143" s="22" t="s">
        <v>56</v>
      </c>
      <c r="I1143" s="26">
        <v>43738.657638888901</v>
      </c>
      <c r="J1143" s="28" t="s">
        <v>51</v>
      </c>
      <c r="K1143" s="28" t="s">
        <v>51</v>
      </c>
      <c r="L1143" s="28" t="s">
        <v>51</v>
      </c>
      <c r="M1143" s="28" t="s">
        <v>51</v>
      </c>
      <c r="N1143" s="28" t="s">
        <v>51</v>
      </c>
    </row>
    <row r="1144" spans="1:14" x14ac:dyDescent="0.15">
      <c r="A1144" s="23" t="str">
        <f>HYPERLINK("https://www.spark-marketing.ru/Card/Person/3565", "МО МВД РОССИИ ""ДАЛЬНЕРЕЧЕНСКИЙ""")</f>
        <v>МО МВД РОССИИ "ДАЛЬНЕРЕЧЕНСКИЙ"</v>
      </c>
      <c r="B1144" s="24" t="s">
        <v>2353</v>
      </c>
      <c r="C1144" s="25">
        <v>700000</v>
      </c>
      <c r="D1144" s="22" t="s">
        <v>2354</v>
      </c>
      <c r="E1144" s="22" t="s">
        <v>48</v>
      </c>
      <c r="F1144" s="23" t="str">
        <f>HYPERLINK("https://www.spark-marketing.ru/Card/Lot/74090071", "Оказание услуг по приготовлению горячего питания для лиц, содержащихся в ИВС МО МВД России ""Дальнереченский""")</f>
        <v>Оказание услуг по приготовлению горячего питания для лиц, содержащихся в ИВС МО МВД России "Дальнереченский"</v>
      </c>
      <c r="G1144" s="22" t="s">
        <v>543</v>
      </c>
      <c r="H1144" s="22" t="s">
        <v>2355</v>
      </c>
      <c r="I1144" s="26">
        <v>43738.638888888898</v>
      </c>
      <c r="J1144" s="23" t="str">
        <f>HYPERLINK("https://www.spark-marketing.ru/Card/Person/1208062", "Стельмах Роман Сергеевич")</f>
        <v>Стельмах Роман Сергеевич</v>
      </c>
      <c r="K1144" s="24" t="s">
        <v>2356</v>
      </c>
      <c r="L1144" s="22" t="s">
        <v>10</v>
      </c>
      <c r="M1144" s="28" t="s">
        <v>51</v>
      </c>
      <c r="N1144" s="28" t="s">
        <v>51</v>
      </c>
    </row>
    <row r="1145" spans="1:14" x14ac:dyDescent="0.15">
      <c r="A1145" s="23" t="str">
        <f>HYPERLINK("https://www.spark-marketing.ru/Card/Person/104763", "ЦЕНТР СПЕЦИАЛЬНОЙ СВЯЗИ И ИНФОРМАЦИИ ФЕДЕРАЛЬНОЙ СЛУЖБЫ ОХРАНЫ РОССИЙСКОЙ ФЕДЕРАЦИИ В АРХАНГЕЛЬСКОЙ ОБЛАСТИ")</f>
        <v>ЦЕНТР СПЕЦИАЛЬНОЙ СВЯЗИ И ИНФОРМАЦИИ ФЕДЕРАЛЬНОЙ СЛУЖБЫ ОХРАНЫ РОССИЙСКОЙ ФЕДЕРАЦИИ В АРХАНГЕЛЬСКОЙ ОБЛАСТИ</v>
      </c>
      <c r="B1145" s="24" t="s">
        <v>2357</v>
      </c>
      <c r="C1145" s="25">
        <v>17583.98</v>
      </c>
      <c r="D1145" s="22" t="s">
        <v>2358</v>
      </c>
      <c r="E1145" s="22" t="s">
        <v>91</v>
      </c>
      <c r="F1145" s="23" t="str">
        <f>HYPERLINK("https://www.spark-marketing.ru/Card/Lot/74068937", "Услуги по ремонту компьютерного оборудования и источников бесперебойного питания в сфере информационно-коммуникационных технологий")</f>
        <v>Услуги по ремонту компьютерного оборудования и источников бесперебойного питания в сфере информационно-коммуникационных технологий</v>
      </c>
      <c r="G1145" s="22" t="s">
        <v>214</v>
      </c>
      <c r="H1145" s="22" t="s">
        <v>523</v>
      </c>
      <c r="I1145" s="26">
        <v>43738.651388888902</v>
      </c>
      <c r="J1145" s="28" t="s">
        <v>51</v>
      </c>
      <c r="K1145" s="28" t="s">
        <v>51</v>
      </c>
      <c r="L1145" s="28" t="s">
        <v>51</v>
      </c>
      <c r="M1145" s="28" t="s">
        <v>51</v>
      </c>
      <c r="N1145" s="28" t="s">
        <v>51</v>
      </c>
    </row>
    <row r="1146" spans="1:14" ht="12.75" hidden="1" outlineLevel="1" x14ac:dyDescent="0.2">
      <c r="A1146" s="23" t="str">
        <f>HYPERLINK("https://www.spark-marketing.ru/Card/Person/104763", "ЦЕНТР СПЕЦИАЛЬНОЙ СВЯЗИ И ИНФОРМАЦИИ ФЕДЕРАЛЬНОЙ СЛУЖБЫ ОХРАНЫ РОССИЙСКОЙ ФЕДЕРАЦИИ В АРХАНГЕЛЬСКОЙ ОБЛАСТИ")</f>
        <v>ЦЕНТР СПЕЦИАЛЬНОЙ СВЯЗИ И ИНФОРМАЦИИ ФЕДЕРАЛЬНОЙ СЛУЖБЫ ОХРАНЫ РОССИЙСКОЙ ФЕДЕРАЦИИ В АРХАНГЕЛЬСКОЙ ОБЛАСТИ</v>
      </c>
      <c r="B1146" s="24" t="s">
        <v>2357</v>
      </c>
      <c r="C1146" s="25">
        <v>17583.98</v>
      </c>
      <c r="D1146" s="22" t="s">
        <v>2358</v>
      </c>
      <c r="E1146" s="22" t="s">
        <v>91</v>
      </c>
      <c r="F1146" s="23" t="str">
        <f>HYPERLINK("https://www.spark-marketing.ru/Card/Lot/74068937", "Услуги по ремонту компьютерного оборудования и источников бесперебойного питания в сфере информационно-коммуникационных технологий")</f>
        <v>Услуги по ремонту компьютерного оборудования и источников бесперебойного питания в сфере информационно-коммуникационных технологий</v>
      </c>
      <c r="G1146" s="22" t="s">
        <v>214</v>
      </c>
      <c r="H1146" s="22" t="s">
        <v>523</v>
      </c>
      <c r="I1146" s="26">
        <v>43738.651388888902</v>
      </c>
      <c r="J1146" s="23" t="str">
        <f>HYPERLINK("https://www.spark-marketing.ru/Card/Person/268276", "ООО СЦ ""СЕВЕРНАЯ КОРОНА""")</f>
        <v>ООО СЦ "СЕВЕРНАЯ КОРОНА"</v>
      </c>
      <c r="K1146" s="24" t="s">
        <v>2359</v>
      </c>
      <c r="L1146" s="22" t="s">
        <v>10</v>
      </c>
      <c r="M1146" s="25">
        <v>14594.7</v>
      </c>
      <c r="N1146" s="27">
        <v>0.17000019335781774</v>
      </c>
    </row>
    <row r="1147" spans="1:14" hidden="1" outlineLevel="1" x14ac:dyDescent="0.2">
      <c r="A1147" s="23" t="str">
        <f>HYPERLINK("https://www.spark-marketing.ru/Card/Person/104763", "ЦЕНТР СПЕЦИАЛЬНОЙ СВЯЗИ И ИНФОРМАЦИИ ФЕДЕРАЛЬНОЙ СЛУЖБЫ ОХРАНЫ РОССИЙСКОЙ ФЕДЕРАЦИИ В АРХАНГЕЛЬСКОЙ ОБЛАСТИ")</f>
        <v>ЦЕНТР СПЕЦИАЛЬНОЙ СВЯЗИ И ИНФОРМАЦИИ ФЕДЕРАЛЬНОЙ СЛУЖБЫ ОХРАНЫ РОССИЙСКОЙ ФЕДЕРАЦИИ В АРХАНГЕЛЬСКОЙ ОБЛАСТИ</v>
      </c>
      <c r="B1147" s="24" t="s">
        <v>2357</v>
      </c>
      <c r="C1147" s="25">
        <v>17583.98</v>
      </c>
      <c r="D1147" s="22" t="s">
        <v>2358</v>
      </c>
      <c r="E1147" s="22" t="s">
        <v>91</v>
      </c>
      <c r="F1147" s="23" t="str">
        <f>HYPERLINK("https://www.spark-marketing.ru/Card/Lot/74068937", "Услуги по ремонту компьютерного оборудования и источников бесперебойного питания в сфере информационно-коммуникационных технологий")</f>
        <v>Услуги по ремонту компьютерного оборудования и источников бесперебойного питания в сфере информационно-коммуникационных технологий</v>
      </c>
      <c r="G1147" s="22" t="s">
        <v>214</v>
      </c>
      <c r="H1147" s="22" t="s">
        <v>523</v>
      </c>
      <c r="I1147" s="26">
        <v>43738.651388888902</v>
      </c>
      <c r="J1147" s="23" t="str">
        <f>HYPERLINK("https://www.spark-marketing.ru/Card/Person/268666", "ООО ""АРГО""")</f>
        <v>ООО "АРГО"</v>
      </c>
      <c r="K1147" s="24" t="s">
        <v>2360</v>
      </c>
      <c r="L1147" s="28" t="s">
        <v>51</v>
      </c>
      <c r="M1147" s="25">
        <v>14682.62</v>
      </c>
      <c r="N1147" s="27">
        <v>0.16500018767082311</v>
      </c>
    </row>
    <row r="1148" spans="1:14" x14ac:dyDescent="0.15">
      <c r="A1148" s="23" t="str">
        <f>HYPERLINK("https://www.spark-marketing.ru/Card/Person/10941", "УМВД РОССИИ ПО ОРЛОВСКОЙ ОБЛАСТИ")</f>
        <v>УМВД РОССИИ ПО ОРЛОВСКОЙ ОБЛАСТИ</v>
      </c>
      <c r="B1148" s="24" t="s">
        <v>2361</v>
      </c>
      <c r="C1148" s="25">
        <v>330024.24</v>
      </c>
      <c r="D1148" s="22" t="s">
        <v>2362</v>
      </c>
      <c r="E1148" s="22" t="s">
        <v>48</v>
      </c>
      <c r="F1148" s="23" t="str">
        <f>HYPERLINK("https://www.spark-marketing.ru/Card/Lot/74079728", "Оказание услуг по обеспечению ежедневным трехразовым горячим питанием лиц, содержащихся в ИВС и КАЗ МО МВД России ""Ливенский""")</f>
        <v>Оказание услуг по обеспечению ежедневным трехразовым горячим питанием лиц, содержащихся в ИВС и КАЗ МО МВД России "Ливенский"</v>
      </c>
      <c r="G1148" s="22" t="s">
        <v>1066</v>
      </c>
      <c r="H1148" s="22" t="s">
        <v>2363</v>
      </c>
      <c r="I1148" s="26">
        <v>43738.642361111102</v>
      </c>
      <c r="J1148" s="23" t="str">
        <f>HYPERLINK("https://www.spark-marketing.ru/Card/Person/1419756", "ООО ТД ""АКВАМАРИН""")</f>
        <v>ООО ТД "АКВАМАРИН"</v>
      </c>
      <c r="K1148" s="24" t="s">
        <v>2364</v>
      </c>
      <c r="L1148" s="22" t="s">
        <v>10</v>
      </c>
      <c r="M1148" s="28" t="s">
        <v>51</v>
      </c>
      <c r="N1148" s="28" t="s">
        <v>51</v>
      </c>
    </row>
    <row r="1149" spans="1:14" x14ac:dyDescent="0.15">
      <c r="A1149" s="23" t="str">
        <f>HYPERLINK("https://www.spark-marketing.ru/Card/Person/162155", "ОТДЕЛ МВД РОССИИ ПО ИПАТОВСКОМУ ГОРОДСКОМУ ОКРУГУ")</f>
        <v>ОТДЕЛ МВД РОССИИ ПО ИПАТОВСКОМУ ГОРОДСКОМУ ОКРУГУ</v>
      </c>
      <c r="B1149" s="24" t="s">
        <v>2365</v>
      </c>
      <c r="C1149" s="25">
        <v>200000</v>
      </c>
      <c r="D1149" s="22" t="s">
        <v>2366</v>
      </c>
      <c r="E1149" s="22" t="s">
        <v>48</v>
      </c>
      <c r="F1149" s="23" t="str">
        <f>HYPERLINK("https://www.spark-marketing.ru/Card/Lot/74075481", "Услуги по приготовлению и поставке трехразового горячего питания согласно норм суточного довольствия для лиц, содержащихся в специальном приемнике Отдела МВД России по Ипатовскому городскому округу")</f>
        <v>Услуги по приготовлению и поставке трехразового горячего питания согласно норм суточного довольствия для лиц, содержащихся в специальном приемнике Отдела МВД России по Ипатовскому городскому округу</v>
      </c>
      <c r="G1149" s="22" t="s">
        <v>87</v>
      </c>
      <c r="H1149" s="22" t="s">
        <v>2367</v>
      </c>
      <c r="I1149" s="26">
        <v>43738.627083333296</v>
      </c>
      <c r="J1149" s="23" t="str">
        <f>HYPERLINK("https://www.spark-marketing.ru/Card/Person/227619", "Мелеш Сергей Алексеевич")</f>
        <v>Мелеш Сергей Алексеевич</v>
      </c>
      <c r="K1149" s="24" t="s">
        <v>2368</v>
      </c>
      <c r="L1149" s="22" t="s">
        <v>10</v>
      </c>
      <c r="M1149" s="28" t="s">
        <v>51</v>
      </c>
      <c r="N1149" s="28" t="s">
        <v>51</v>
      </c>
    </row>
    <row r="1150" spans="1:14" x14ac:dyDescent="0.15">
      <c r="A1150" s="23" t="str">
        <f>HYPERLINK("https://www.spark-marketing.ru/Card/Person/4348376", "АО ""ЖТК""")</f>
        <v>АО "ЖТК"</v>
      </c>
      <c r="B1150" s="24" t="s">
        <v>2312</v>
      </c>
      <c r="C1150" s="25">
        <v>506000</v>
      </c>
      <c r="D1150" s="22" t="s">
        <v>2369</v>
      </c>
      <c r="E1150" s="22" t="s">
        <v>2370</v>
      </c>
      <c r="F1150" s="23" t="str">
        <f>HYPERLINK("https://www.spark-marketing.ru/Card/Lot/74061112", "Поставка хлеба для предприятий общественного питания (столовая ст. Ерофей Павлович), оказывающих услуги питания работникам ОАО ""РЖД""")</f>
        <v>Поставка хлеба для предприятий общественного питания (столовая ст. Ерофей Павлович), оказывающих услуги питания работникам ОАО "РЖД"</v>
      </c>
      <c r="G1150" s="22" t="s">
        <v>56</v>
      </c>
      <c r="H1150" s="22" t="s">
        <v>56</v>
      </c>
      <c r="I1150" s="26">
        <v>43738.641666666699</v>
      </c>
      <c r="J1150" s="28" t="s">
        <v>51</v>
      </c>
      <c r="K1150" s="28" t="s">
        <v>51</v>
      </c>
      <c r="L1150" s="28" t="s">
        <v>51</v>
      </c>
      <c r="M1150" s="28" t="s">
        <v>51</v>
      </c>
      <c r="N1150" s="28" t="s">
        <v>51</v>
      </c>
    </row>
    <row r="1151" spans="1:14" x14ac:dyDescent="0.15">
      <c r="A1151" s="23" t="str">
        <f>HYPERLINK("https://www.spark-marketing.ru/Card/Person/13291", "БУ ""НИЖНЕВАРТОВСКИЙ ОНКОЛОГИЧЕСКИЙ ДИСПАНСЕР""")</f>
        <v>БУ "НИЖНЕВАРТОВСКИЙ ОНКОЛОГИЧЕСКИЙ ДИСПАНСЕР"</v>
      </c>
      <c r="B1151" s="24" t="s">
        <v>2371</v>
      </c>
      <c r="C1151" s="25">
        <v>14427220</v>
      </c>
      <c r="D1151" s="22" t="s">
        <v>2372</v>
      </c>
      <c r="E1151" s="22" t="s">
        <v>96</v>
      </c>
      <c r="F1151" s="23" t="str">
        <f>HYPERLINK("https://www.spark-marketing.ru/Card/Lot/74078752", "Оказание услуг по организации лечебного питания для пациентов БУ «Нижневартовский онкологический диспансер»")</f>
        <v>Оказание услуг по организации лечебного питания для пациентов БУ «Нижневартовский онкологический диспансер»</v>
      </c>
      <c r="G1151" s="22" t="s">
        <v>97</v>
      </c>
      <c r="H1151" s="22" t="s">
        <v>366</v>
      </c>
      <c r="I1151" s="26">
        <v>43738.636782407397</v>
      </c>
      <c r="J1151" s="23" t="str">
        <f>HYPERLINK("https://www.spark-marketing.ru/Card/Person/53572", "ООО ""КАРАВАН""")</f>
        <v>ООО "КАРАВАН"</v>
      </c>
      <c r="K1151" s="24" t="s">
        <v>2373</v>
      </c>
      <c r="L1151" s="22" t="s">
        <v>10</v>
      </c>
      <c r="M1151" s="28" t="s">
        <v>51</v>
      </c>
      <c r="N1151" s="28" t="s">
        <v>51</v>
      </c>
    </row>
    <row r="1152" spans="1:14" x14ac:dyDescent="0.15">
      <c r="A1152" s="23" t="str">
        <f>HYPERLINK("https://www.spark-marketing.ru/Card/Person/45185", "МО МВД РОССИИ ""УЯРСКИЙ""")</f>
        <v>МО МВД РОССИИ "УЯРСКИЙ"</v>
      </c>
      <c r="B1152" s="24" t="s">
        <v>2374</v>
      </c>
      <c r="C1152" s="25">
        <v>360000</v>
      </c>
      <c r="D1152" s="22" t="s">
        <v>2375</v>
      </c>
      <c r="E1152" s="22" t="s">
        <v>96</v>
      </c>
      <c r="F1152" s="23" t="str">
        <f>HYPERLINK("https://www.spark-marketing.ru/Card/Lot/74082391", "Оказание услугу по обеспечению горячим питанием лиц, содержащихся под стражей, и административно-арестованных лиц содержащихся в ИВС, а также лиц, задержанных на срок более трех часов, содержащихся в специальных помещениях дежурной части")</f>
        <v>Оказание услугу по обеспечению горячим питанием лиц, содержащихся под стражей, и административно-арестованных лиц содержащихся в ИВС, а также лиц, задержанных на срок более трех часов, содержащихся в специальных помещениях дежурной части</v>
      </c>
      <c r="G1152" s="22" t="s">
        <v>281</v>
      </c>
      <c r="H1152" s="22" t="s">
        <v>2376</v>
      </c>
      <c r="I1152" s="26">
        <v>43738.638888888898</v>
      </c>
      <c r="J1152" s="23" t="str">
        <f>HYPERLINK("https://www.spark-marketing.ru/Card/Person/81366", "КГБПОУ ""УЯРСКИЙ СЕЛЬСКОХОЗЯЙСТВЕННЫЙ ТЕХНИКУМ""")</f>
        <v>КГБПОУ "УЯРСКИЙ СЕЛЬСКОХОЗЯЙСТВЕННЫЙ ТЕХНИКУМ"</v>
      </c>
      <c r="K1152" s="24" t="s">
        <v>2377</v>
      </c>
      <c r="L1152" s="22" t="s">
        <v>10</v>
      </c>
      <c r="M1152" s="28" t="s">
        <v>51</v>
      </c>
      <c r="N1152" s="28" t="s">
        <v>51</v>
      </c>
    </row>
    <row r="1153" spans="1:14" x14ac:dyDescent="0.15">
      <c r="A1153" s="23" t="str">
        <f>HYPERLINK("https://www.spark-marketing.ru/Card/Person/5971208", "УПРАВЛЕНИЕ РОСГВАРДИИ ПО РЕСПУБЛИКЕ ХАКАСИЯ")</f>
        <v>УПРАВЛЕНИЕ РОСГВАРДИИ ПО РЕСПУБЛИКЕ ХАКАСИЯ</v>
      </c>
      <c r="B1153" s="24" t="s">
        <v>89</v>
      </c>
      <c r="C1153" s="25">
        <v>96000</v>
      </c>
      <c r="D1153" s="22" t="s">
        <v>2378</v>
      </c>
      <c r="E1153" s="22" t="s">
        <v>91</v>
      </c>
      <c r="F1153" s="23" t="str">
        <f>HYPERLINK("https://www.spark-marketing.ru/Card/Lot/74072942", "Услуги по ремонту устройств печатающих")</f>
        <v>Услуги по ремонту устройств печатающих</v>
      </c>
      <c r="G1153" s="22" t="s">
        <v>92</v>
      </c>
      <c r="H1153" s="22" t="s">
        <v>93</v>
      </c>
      <c r="I1153" s="26">
        <v>43738.650694444397</v>
      </c>
      <c r="J1153" s="28" t="s">
        <v>51</v>
      </c>
      <c r="K1153" s="28" t="s">
        <v>51</v>
      </c>
      <c r="L1153" s="28" t="s">
        <v>51</v>
      </c>
      <c r="M1153" s="28" t="s">
        <v>51</v>
      </c>
      <c r="N1153" s="28" t="s">
        <v>51</v>
      </c>
    </row>
    <row r="1154" spans="1:14" x14ac:dyDescent="0.15">
      <c r="A1154" s="23" t="str">
        <f t="shared" ref="A1154:A1163" si="14">HYPERLINK("https://www.spark-marketing.ru/Card/Person/4348395", "ГЛАВНОЕ УПРАВЛЕНИЕ МЧС РОССИИ ПО РЕСПУБЛИКЕ ТАТАРСТАН")</f>
        <v>ГЛАВНОЕ УПРАВЛЕНИЕ МЧС РОССИИ ПО РЕСПУБЛИКЕ ТАТАРСТАН</v>
      </c>
      <c r="B1154" s="24" t="s">
        <v>2379</v>
      </c>
      <c r="C1154" s="25">
        <v>163400</v>
      </c>
      <c r="D1154" s="22" t="s">
        <v>2380</v>
      </c>
      <c r="E1154" s="22" t="s">
        <v>809</v>
      </c>
      <c r="F1154" s="23" t="str">
        <f t="shared" ref="F1154:F1159" si="15">HYPERLINK("https://www.spark-marketing.ru/Card/Lot/74075059", "Закупка товаров, работ, услуг в сфере ИКТ (Поставка расходных материалов в сфере информационно-коммуникационных технологий)")</f>
        <v>Закупка товаров, работ, услуг в сфере ИКТ (Поставка расходных материалов в сфере информационно-коммуникационных технологий)</v>
      </c>
      <c r="G1154" s="22" t="s">
        <v>217</v>
      </c>
      <c r="H1154" s="22" t="s">
        <v>217</v>
      </c>
      <c r="I1154" s="26">
        <v>43738.664583333302</v>
      </c>
      <c r="J1154" s="28" t="s">
        <v>51</v>
      </c>
      <c r="K1154" s="28" t="s">
        <v>51</v>
      </c>
      <c r="L1154" s="28" t="s">
        <v>51</v>
      </c>
      <c r="M1154" s="28" t="s">
        <v>51</v>
      </c>
      <c r="N1154" s="28" t="s">
        <v>51</v>
      </c>
    </row>
    <row r="1155" spans="1:14" hidden="1" outlineLevel="1" x14ac:dyDescent="0.2">
      <c r="A1155" s="23" t="str">
        <f t="shared" si="14"/>
        <v>ГЛАВНОЕ УПРАВЛЕНИЕ МЧС РОССИИ ПО РЕСПУБЛИКЕ ТАТАРСТАН</v>
      </c>
      <c r="B1155" s="24" t="s">
        <v>2379</v>
      </c>
      <c r="C1155" s="25">
        <v>163400</v>
      </c>
      <c r="D1155" s="22" t="s">
        <v>2380</v>
      </c>
      <c r="E1155" s="22" t="s">
        <v>809</v>
      </c>
      <c r="F1155" s="23" t="str">
        <f t="shared" si="15"/>
        <v>Закупка товаров, работ, услуг в сфере ИКТ (Поставка расходных материалов в сфере информационно-коммуникационных технологий)</v>
      </c>
      <c r="G1155" s="22" t="s">
        <v>217</v>
      </c>
      <c r="H1155" s="22" t="s">
        <v>217</v>
      </c>
      <c r="I1155" s="26">
        <v>43738.664583333302</v>
      </c>
      <c r="J1155" s="23" t="str">
        <f>HYPERLINK("https://www.spark-marketing.ru/Card/Person/6464676", "Хакимов Айвар Камилевич")</f>
        <v>Хакимов Айвар Камилевич</v>
      </c>
      <c r="K1155" s="24" t="s">
        <v>2381</v>
      </c>
      <c r="L1155" s="28" t="s">
        <v>51</v>
      </c>
      <c r="M1155" s="25">
        <v>160949</v>
      </c>
      <c r="N1155" s="27">
        <v>1.4999999999999999E-2</v>
      </c>
    </row>
    <row r="1156" spans="1:14" ht="12.75" hidden="1" outlineLevel="1" x14ac:dyDescent="0.2">
      <c r="A1156" s="23" t="str">
        <f t="shared" si="14"/>
        <v>ГЛАВНОЕ УПРАВЛЕНИЕ МЧС РОССИИ ПО РЕСПУБЛИКЕ ТАТАРСТАН</v>
      </c>
      <c r="B1156" s="24" t="s">
        <v>2379</v>
      </c>
      <c r="C1156" s="25">
        <v>163400</v>
      </c>
      <c r="D1156" s="22" t="s">
        <v>2380</v>
      </c>
      <c r="E1156" s="22" t="s">
        <v>809</v>
      </c>
      <c r="F1156" s="23" t="str">
        <f t="shared" si="15"/>
        <v>Закупка товаров, работ, услуг в сфере ИКТ (Поставка расходных материалов в сфере информационно-коммуникационных технологий)</v>
      </c>
      <c r="G1156" s="22" t="s">
        <v>217</v>
      </c>
      <c r="H1156" s="22" t="s">
        <v>217</v>
      </c>
      <c r="I1156" s="26">
        <v>43738.664583333302</v>
      </c>
      <c r="J1156" s="23" t="str">
        <f>HYPERLINK("https://www.spark-marketing.ru/Card/Person/159671", "ООО ""ТАТИНКОМ-КОМПЬЮТЕРС""")</f>
        <v>ООО "ТАТИНКОМ-КОМПЬЮТЕРС"</v>
      </c>
      <c r="K1156" s="24" t="s">
        <v>2382</v>
      </c>
      <c r="L1156" s="22" t="s">
        <v>10</v>
      </c>
      <c r="M1156" s="25">
        <v>111929</v>
      </c>
      <c r="N1156" s="27">
        <v>0.315</v>
      </c>
    </row>
    <row r="1157" spans="1:14" hidden="1" outlineLevel="1" x14ac:dyDescent="0.2">
      <c r="A1157" s="23" t="str">
        <f t="shared" si="14"/>
        <v>ГЛАВНОЕ УПРАВЛЕНИЕ МЧС РОССИИ ПО РЕСПУБЛИКЕ ТАТАРСТАН</v>
      </c>
      <c r="B1157" s="24" t="s">
        <v>2379</v>
      </c>
      <c r="C1157" s="25">
        <v>163400</v>
      </c>
      <c r="D1157" s="22" t="s">
        <v>2380</v>
      </c>
      <c r="E1157" s="22" t="s">
        <v>809</v>
      </c>
      <c r="F1157" s="23" t="str">
        <f t="shared" si="15"/>
        <v>Закупка товаров, работ, услуг в сфере ИКТ (Поставка расходных материалов в сфере информационно-коммуникационных технологий)</v>
      </c>
      <c r="G1157" s="22" t="s">
        <v>217</v>
      </c>
      <c r="H1157" s="22" t="s">
        <v>217</v>
      </c>
      <c r="I1157" s="26">
        <v>43738.664583333302</v>
      </c>
      <c r="J1157" s="23" t="str">
        <f>HYPERLINK("https://www.spark-marketing.ru/Card/Person/395847", "ООО ""К1""")</f>
        <v>ООО "К1"</v>
      </c>
      <c r="K1157" s="24" t="s">
        <v>2383</v>
      </c>
      <c r="L1157" s="28" t="s">
        <v>51</v>
      </c>
      <c r="M1157" s="25">
        <v>119282</v>
      </c>
      <c r="N1157" s="27">
        <v>0.27</v>
      </c>
    </row>
    <row r="1158" spans="1:14" hidden="1" outlineLevel="1" x14ac:dyDescent="0.2">
      <c r="A1158" s="23" t="str">
        <f t="shared" si="14"/>
        <v>ГЛАВНОЕ УПРАВЛЕНИЕ МЧС РОССИИ ПО РЕСПУБЛИКЕ ТАТАРСТАН</v>
      </c>
      <c r="B1158" s="24" t="s">
        <v>2379</v>
      </c>
      <c r="C1158" s="25">
        <v>163400</v>
      </c>
      <c r="D1158" s="22" t="s">
        <v>2380</v>
      </c>
      <c r="E1158" s="22" t="s">
        <v>809</v>
      </c>
      <c r="F1158" s="23" t="str">
        <f t="shared" si="15"/>
        <v>Закупка товаров, работ, услуг в сфере ИКТ (Поставка расходных материалов в сфере информационно-коммуникационных технологий)</v>
      </c>
      <c r="G1158" s="22" t="s">
        <v>217</v>
      </c>
      <c r="H1158" s="22" t="s">
        <v>217</v>
      </c>
      <c r="I1158" s="26">
        <v>43738.664583333302</v>
      </c>
      <c r="J1158" s="23" t="str">
        <f>HYPERLINK("https://www.spark-marketing.ru/Card/Person/5791863", "ООО ""ТОП-СЕРВИС""")</f>
        <v>ООО "ТОП-СЕРВИС"</v>
      </c>
      <c r="K1158" s="24" t="s">
        <v>2384</v>
      </c>
      <c r="L1158" s="28" t="s">
        <v>51</v>
      </c>
      <c r="M1158" s="25">
        <v>112746</v>
      </c>
      <c r="N1158" s="27">
        <v>0.31</v>
      </c>
    </row>
    <row r="1159" spans="1:14" hidden="1" outlineLevel="1" x14ac:dyDescent="0.2">
      <c r="A1159" s="23" t="str">
        <f t="shared" si="14"/>
        <v>ГЛАВНОЕ УПРАВЛЕНИЕ МЧС РОССИИ ПО РЕСПУБЛИКЕ ТАТАРСТАН</v>
      </c>
      <c r="B1159" s="24" t="s">
        <v>2379</v>
      </c>
      <c r="C1159" s="25">
        <v>163400</v>
      </c>
      <c r="D1159" s="22" t="s">
        <v>2380</v>
      </c>
      <c r="E1159" s="22" t="s">
        <v>809</v>
      </c>
      <c r="F1159" s="23" t="str">
        <f t="shared" si="15"/>
        <v>Закупка товаров, работ, услуг в сфере ИКТ (Поставка расходных материалов в сфере информационно-коммуникационных технологий)</v>
      </c>
      <c r="G1159" s="22" t="s">
        <v>217</v>
      </c>
      <c r="H1159" s="22" t="s">
        <v>217</v>
      </c>
      <c r="I1159" s="26">
        <v>43738.664583333302</v>
      </c>
      <c r="J1159" s="23" t="str">
        <f>HYPERLINK("https://www.spark-marketing.ru/Card/Person/6418133", "ООО ""КУАНТА СЕРВИС""")</f>
        <v>ООО "КУАНТА СЕРВИС"</v>
      </c>
      <c r="K1159" s="24" t="s">
        <v>1793</v>
      </c>
      <c r="L1159" s="28" t="s">
        <v>51</v>
      </c>
      <c r="M1159" s="25">
        <v>129903</v>
      </c>
      <c r="N1159" s="27">
        <v>0.20499999999999999</v>
      </c>
    </row>
    <row r="1160" spans="1:14" x14ac:dyDescent="0.15">
      <c r="A1160" s="23" t="str">
        <f t="shared" si="14"/>
        <v>ГЛАВНОЕ УПРАВЛЕНИЕ МЧС РОССИИ ПО РЕСПУБЛИКЕ ТАТАРСТАН</v>
      </c>
      <c r="B1160" s="24" t="s">
        <v>2379</v>
      </c>
      <c r="C1160" s="25">
        <v>27400</v>
      </c>
      <c r="D1160" s="22" t="s">
        <v>2385</v>
      </c>
      <c r="E1160" s="22" t="s">
        <v>809</v>
      </c>
      <c r="F1160" s="23" t="str">
        <f>HYPERLINK("https://www.spark-marketing.ru/Card/Lot/74070156", "Закупка товаров, работ, услуг в сфере ИКТ (Поставка расходных материалов в сфере информационно-коммуникационных технологий)")</f>
        <v>Закупка товаров, работ, услуг в сфере ИКТ (Поставка расходных материалов в сфере информационно-коммуникационных технологий)</v>
      </c>
      <c r="G1160" s="22" t="s">
        <v>217</v>
      </c>
      <c r="H1160" s="22" t="s">
        <v>217</v>
      </c>
      <c r="I1160" s="26">
        <v>43738.664583333302</v>
      </c>
      <c r="J1160" s="28" t="s">
        <v>51</v>
      </c>
      <c r="K1160" s="28" t="s">
        <v>51</v>
      </c>
      <c r="L1160" s="28" t="s">
        <v>51</v>
      </c>
      <c r="M1160" s="28" t="s">
        <v>51</v>
      </c>
      <c r="N1160" s="28" t="s">
        <v>51</v>
      </c>
    </row>
    <row r="1161" spans="1:14" hidden="1" outlineLevel="1" x14ac:dyDescent="0.2">
      <c r="A1161" s="23" t="str">
        <f t="shared" si="14"/>
        <v>ГЛАВНОЕ УПРАВЛЕНИЕ МЧС РОССИИ ПО РЕСПУБЛИКЕ ТАТАРСТАН</v>
      </c>
      <c r="B1161" s="24" t="s">
        <v>2379</v>
      </c>
      <c r="C1161" s="25">
        <v>27400</v>
      </c>
      <c r="D1161" s="22" t="s">
        <v>2385</v>
      </c>
      <c r="E1161" s="22" t="s">
        <v>809</v>
      </c>
      <c r="F1161" s="23" t="str">
        <f>HYPERLINK("https://www.spark-marketing.ru/Card/Lot/74070156", "Закупка товаров, работ, услуг в сфере ИКТ (Поставка расходных материалов в сфере информационно-коммуникационных технологий)")</f>
        <v>Закупка товаров, работ, услуг в сфере ИКТ (Поставка расходных материалов в сфере информационно-коммуникационных технологий)</v>
      </c>
      <c r="G1161" s="22" t="s">
        <v>217</v>
      </c>
      <c r="H1161" s="22" t="s">
        <v>217</v>
      </c>
      <c r="I1161" s="26">
        <v>43738.664583333302</v>
      </c>
      <c r="J1161" s="23" t="str">
        <f>HYPERLINK("https://www.spark-marketing.ru/Card/Person/6464676", "Хакимов Айвар Камилевич")</f>
        <v>Хакимов Айвар Камилевич</v>
      </c>
      <c r="K1161" s="24" t="s">
        <v>2381</v>
      </c>
      <c r="L1161" s="28" t="s">
        <v>51</v>
      </c>
      <c r="M1161" s="25">
        <v>25893</v>
      </c>
      <c r="N1161" s="27">
        <v>5.5E-2</v>
      </c>
    </row>
    <row r="1162" spans="1:14" hidden="1" outlineLevel="1" x14ac:dyDescent="0.2">
      <c r="A1162" s="23" t="str">
        <f t="shared" si="14"/>
        <v>ГЛАВНОЕ УПРАВЛЕНИЕ МЧС РОССИИ ПО РЕСПУБЛИКЕ ТАТАРСТАН</v>
      </c>
      <c r="B1162" s="24" t="s">
        <v>2379</v>
      </c>
      <c r="C1162" s="25">
        <v>27400</v>
      </c>
      <c r="D1162" s="22" t="s">
        <v>2385</v>
      </c>
      <c r="E1162" s="22" t="s">
        <v>809</v>
      </c>
      <c r="F1162" s="23" t="str">
        <f>HYPERLINK("https://www.spark-marketing.ru/Card/Lot/74070156", "Закупка товаров, работ, услуг в сфере ИКТ (Поставка расходных материалов в сфере информационно-коммуникационных технологий)")</f>
        <v>Закупка товаров, работ, услуг в сфере ИКТ (Поставка расходных материалов в сфере информационно-коммуникационных технологий)</v>
      </c>
      <c r="G1162" s="22" t="s">
        <v>217</v>
      </c>
      <c r="H1162" s="22" t="s">
        <v>217</v>
      </c>
      <c r="I1162" s="26">
        <v>43738.664583333302</v>
      </c>
      <c r="J1162" s="23" t="str">
        <f>HYPERLINK("https://www.spark-marketing.ru/Card/Person/5791863", "ООО ""ТОП-СЕРВИС""")</f>
        <v>ООО "ТОП-СЕРВИС"</v>
      </c>
      <c r="K1162" s="24" t="s">
        <v>2384</v>
      </c>
      <c r="L1162" s="28" t="s">
        <v>51</v>
      </c>
      <c r="M1162" s="25">
        <v>26715</v>
      </c>
      <c r="N1162" s="27">
        <v>2.5000000000000001E-2</v>
      </c>
    </row>
    <row r="1163" spans="1:14" ht="12.75" hidden="1" outlineLevel="1" x14ac:dyDescent="0.2">
      <c r="A1163" s="23" t="str">
        <f t="shared" si="14"/>
        <v>ГЛАВНОЕ УПРАВЛЕНИЕ МЧС РОССИИ ПО РЕСПУБЛИКЕ ТАТАРСТАН</v>
      </c>
      <c r="B1163" s="24" t="s">
        <v>2379</v>
      </c>
      <c r="C1163" s="25">
        <v>27400</v>
      </c>
      <c r="D1163" s="22" t="s">
        <v>2385</v>
      </c>
      <c r="E1163" s="22" t="s">
        <v>809</v>
      </c>
      <c r="F1163" s="23" t="str">
        <f>HYPERLINK("https://www.spark-marketing.ru/Card/Lot/74070156", "Закупка товаров, работ, услуг в сфере ИКТ (Поставка расходных материалов в сфере информационно-коммуникационных технологий)")</f>
        <v>Закупка товаров, работ, услуг в сфере ИКТ (Поставка расходных материалов в сфере информационно-коммуникационных технологий)</v>
      </c>
      <c r="G1163" s="22" t="s">
        <v>217</v>
      </c>
      <c r="H1163" s="22" t="s">
        <v>217</v>
      </c>
      <c r="I1163" s="26">
        <v>43738.664583333302</v>
      </c>
      <c r="J1163" s="23" t="str">
        <f>HYPERLINK("https://www.spark-marketing.ru/Card/Person/6418133", "ООО ""КУАНТА СЕРВИС""")</f>
        <v>ООО "КУАНТА СЕРВИС"</v>
      </c>
      <c r="K1163" s="24" t="s">
        <v>1793</v>
      </c>
      <c r="L1163" s="22" t="s">
        <v>10</v>
      </c>
      <c r="M1163" s="25">
        <v>25756</v>
      </c>
      <c r="N1163" s="27">
        <v>0.06</v>
      </c>
    </row>
    <row r="1164" spans="1:14" x14ac:dyDescent="0.15">
      <c r="A1164" s="23" t="str">
        <f>HYPERLINK("https://www.spark-marketing.ru/Card/Person/89441", "МБОУ СОШ № 13")</f>
        <v>МБОУ СОШ № 13</v>
      </c>
      <c r="B1164" s="24" t="s">
        <v>2386</v>
      </c>
      <c r="C1164" s="25">
        <v>7536716</v>
      </c>
      <c r="D1164" s="22" t="s">
        <v>2387</v>
      </c>
      <c r="E1164" s="22" t="s">
        <v>48</v>
      </c>
      <c r="F1164" s="23" t="str">
        <f>HYPERLINK("https://www.spark-marketing.ru/Card/Lot/74083492", "на оказание услуг по организации питания в общеобразовательных учреждениях")</f>
        <v>на оказание услуг по организации питания в общеобразовательных учреждениях</v>
      </c>
      <c r="G1164" s="22" t="s">
        <v>49</v>
      </c>
      <c r="H1164" s="22" t="s">
        <v>301</v>
      </c>
      <c r="I1164" s="26">
        <v>43738.619328703702</v>
      </c>
      <c r="J1164" s="28" t="s">
        <v>51</v>
      </c>
      <c r="K1164" s="28" t="s">
        <v>51</v>
      </c>
      <c r="L1164" s="28" t="s">
        <v>51</v>
      </c>
      <c r="M1164" s="28" t="s">
        <v>51</v>
      </c>
      <c r="N1164" s="28" t="s">
        <v>51</v>
      </c>
    </row>
    <row r="1165" spans="1:14" x14ac:dyDescent="0.15">
      <c r="A1165" s="23" t="str">
        <f>HYPERLINK("https://www.spark-marketing.ru/Card/Person/15384", "МУ МВД РОССИИ ""НИЖНЕТАГИЛЬСКОЕ""")</f>
        <v>МУ МВД РОССИИ "НИЖНЕТАГИЛЬСКОЕ"</v>
      </c>
      <c r="B1165" s="24" t="s">
        <v>839</v>
      </c>
      <c r="C1165" s="25">
        <v>3000000</v>
      </c>
      <c r="D1165" s="22" t="s">
        <v>2388</v>
      </c>
      <c r="E1165" s="22" t="s">
        <v>48</v>
      </c>
      <c r="F1165" s="23" t="str">
        <f>HYPERLINK("https://www.spark-marketing.ru/Card/Lot/74099481", "Оказание услуг по организации ежедневного трехразового горячего питания лиц, содержащихся в изоляторе временного содержания и специальном приемнике МУ МВД России ""Нижнетагильское""")</f>
        <v>Оказание услуг по организации ежедневного трехразового горячего питания лиц, содержащихся в изоляторе временного содержания и специальном приемнике МУ МВД России "Нижнетагильское"</v>
      </c>
      <c r="G1165" s="22" t="s">
        <v>174</v>
      </c>
      <c r="H1165" s="22" t="s">
        <v>841</v>
      </c>
      <c r="I1165" s="26">
        <v>43738.6027777778</v>
      </c>
      <c r="J1165" s="28" t="s">
        <v>51</v>
      </c>
      <c r="K1165" s="28" t="s">
        <v>51</v>
      </c>
      <c r="L1165" s="28" t="s">
        <v>51</v>
      </c>
      <c r="M1165" s="28" t="s">
        <v>51</v>
      </c>
      <c r="N1165" s="28" t="s">
        <v>51</v>
      </c>
    </row>
    <row r="1166" spans="1:14" x14ac:dyDescent="0.15">
      <c r="A1166" s="23" t="str">
        <f>HYPERLINK("https://www.spark-marketing.ru/Card/Person/94212", "МБОУ ""ЛИЦЕЙ № 4""")</f>
        <v>МБОУ "ЛИЦЕЙ № 4"</v>
      </c>
      <c r="B1166" s="24" t="s">
        <v>2389</v>
      </c>
      <c r="C1166" s="25">
        <v>6148770</v>
      </c>
      <c r="D1166" s="22" t="s">
        <v>2390</v>
      </c>
      <c r="E1166" s="22" t="s">
        <v>48</v>
      </c>
      <c r="F1166" s="23" t="str">
        <f>HYPERLINK("https://www.spark-marketing.ru/Card/Lot/74083490", "на оказание услуг по организации горячего питания в МБОУ Лицей№ 4")</f>
        <v>на оказание услуг по организации горячего питания в МБОУ Лицей№ 4</v>
      </c>
      <c r="G1166" s="22" t="s">
        <v>49</v>
      </c>
      <c r="H1166" s="22" t="s">
        <v>301</v>
      </c>
      <c r="I1166" s="26">
        <v>43738.619317129604</v>
      </c>
      <c r="J1166" s="28" t="s">
        <v>51</v>
      </c>
      <c r="K1166" s="28" t="s">
        <v>51</v>
      </c>
      <c r="L1166" s="28" t="s">
        <v>51</v>
      </c>
      <c r="M1166" s="28" t="s">
        <v>51</v>
      </c>
      <c r="N1166" s="28" t="s">
        <v>51</v>
      </c>
    </row>
    <row r="1167" spans="1:14" x14ac:dyDescent="0.15">
      <c r="A1167" s="23" t="str">
        <f>HYPERLINK("https://www.spark-marketing.ru/Card/Person/26418", "ГЛАВНОЕ УПРАВЛЕНИЕ МЧС РОССИИ ПО МУРМАНСКОЙ ОБЛАСТИ")</f>
        <v>ГЛАВНОЕ УПРАВЛЕНИЕ МЧС РОССИИ ПО МУРМАНСКОЙ ОБЛАСТИ</v>
      </c>
      <c r="B1167" s="24" t="s">
        <v>2391</v>
      </c>
      <c r="C1167" s="25">
        <v>440125.75</v>
      </c>
      <c r="D1167" s="22" t="s">
        <v>2392</v>
      </c>
      <c r="E1167" s="22" t="s">
        <v>48</v>
      </c>
      <c r="F1167" s="23" t="str">
        <f>HYPERLINK("https://www.spark-marketing.ru/Card/Lot/74082718", "Услуги по формированию, хранению и выдаче продовольственного пайка военнослужащим")</f>
        <v>Услуги по формированию, хранению и выдаче продовольственного пайка военнослужащим</v>
      </c>
      <c r="G1167" s="22" t="s">
        <v>340</v>
      </c>
      <c r="H1167" s="22" t="s">
        <v>340</v>
      </c>
      <c r="I1167" s="26">
        <v>43738.610416666699</v>
      </c>
      <c r="J1167" s="23" t="str">
        <f>HYPERLINK("https://www.spark-marketing.ru/Card/Person/718805", "ООО ""СМАК""")</f>
        <v>ООО "СМАК"</v>
      </c>
      <c r="K1167" s="24" t="s">
        <v>2393</v>
      </c>
      <c r="L1167" s="22" t="s">
        <v>10</v>
      </c>
      <c r="M1167" s="28" t="s">
        <v>51</v>
      </c>
      <c r="N1167" s="28" t="s">
        <v>51</v>
      </c>
    </row>
    <row r="1168" spans="1:14" x14ac:dyDescent="0.15">
      <c r="A1168" s="23" t="str">
        <f>HYPERLINK("https://www.spark-marketing.ru/Card/Person/100868", "МБОУ СОШ № 3")</f>
        <v>МБОУ СОШ № 3</v>
      </c>
      <c r="B1168" s="24" t="s">
        <v>2394</v>
      </c>
      <c r="C1168" s="25">
        <v>7456926</v>
      </c>
      <c r="D1168" s="22" t="s">
        <v>2395</v>
      </c>
      <c r="E1168" s="22" t="s">
        <v>48</v>
      </c>
      <c r="F1168" s="23" t="str">
        <f>HYPERLINK("https://www.spark-marketing.ru/Card/Lot/74083488", "Оказание услуг по организации горячего питания отдельным категориям обучающихся в МБОУ СОШ № 3")</f>
        <v>Оказание услуг по организации горячего питания отдельным категориям обучающихся в МБОУ СОШ № 3</v>
      </c>
      <c r="G1168" s="22" t="s">
        <v>49</v>
      </c>
      <c r="H1168" s="22" t="s">
        <v>301</v>
      </c>
      <c r="I1168" s="26">
        <v>43738.6193055556</v>
      </c>
      <c r="J1168" s="28" t="s">
        <v>51</v>
      </c>
      <c r="K1168" s="28" t="s">
        <v>51</v>
      </c>
      <c r="L1168" s="28" t="s">
        <v>51</v>
      </c>
      <c r="M1168" s="28" t="s">
        <v>51</v>
      </c>
      <c r="N1168" s="28" t="s">
        <v>51</v>
      </c>
    </row>
    <row r="1169" spans="1:14" x14ac:dyDescent="0.15">
      <c r="A1169" s="23" t="str">
        <f>HYPERLINK("https://www.spark-marketing.ru/Card/Person/82442", "МБДОУ ""ДЕТСКИЙ САД №2""")</f>
        <v>МБДОУ "ДЕТСКИЙ САД №2"</v>
      </c>
      <c r="B1169" s="24" t="s">
        <v>2396</v>
      </c>
      <c r="C1169" s="25">
        <v>9764094</v>
      </c>
      <c r="D1169" s="22" t="s">
        <v>2397</v>
      </c>
      <c r="E1169" s="22" t="s">
        <v>48</v>
      </c>
      <c r="F1169" s="23" t="str">
        <f>HYPERLINK("https://www.spark-marketing.ru/Card/Lot/74083489", "на оказание услуг по организации горячего питания в МБДОУ№2")</f>
        <v>на оказание услуг по организации горячего питания в МБДОУ№2</v>
      </c>
      <c r="G1169" s="22" t="s">
        <v>49</v>
      </c>
      <c r="H1169" s="22" t="s">
        <v>301</v>
      </c>
      <c r="I1169" s="26">
        <v>43738.619317129604</v>
      </c>
      <c r="J1169" s="28" t="s">
        <v>51</v>
      </c>
      <c r="K1169" s="28" t="s">
        <v>51</v>
      </c>
      <c r="L1169" s="28" t="s">
        <v>51</v>
      </c>
      <c r="M1169" s="28" t="s">
        <v>51</v>
      </c>
      <c r="N1169" s="28" t="s">
        <v>51</v>
      </c>
    </row>
    <row r="1170" spans="1:14" x14ac:dyDescent="0.15">
      <c r="A1170" s="23" t="s">
        <v>114</v>
      </c>
      <c r="B1170" s="28" t="s">
        <v>51</v>
      </c>
      <c r="C1170" s="25">
        <v>9613800</v>
      </c>
      <c r="D1170" s="22" t="s">
        <v>2398</v>
      </c>
      <c r="E1170" s="22" t="s">
        <v>48</v>
      </c>
      <c r="F1170" s="23" t="str">
        <f>HYPERLINK("https://www.spark-marketing.ru/Card/Lot/74076575", "Оказание услуг по организации горячего питания")</f>
        <v>Оказание услуг по организации горячего питания</v>
      </c>
      <c r="G1170" s="22" t="s">
        <v>51</v>
      </c>
      <c r="H1170" s="22" t="s">
        <v>51</v>
      </c>
      <c r="I1170" s="26">
        <v>43738.701030092598</v>
      </c>
      <c r="J1170" s="28" t="s">
        <v>51</v>
      </c>
      <c r="K1170" s="28" t="s">
        <v>51</v>
      </c>
      <c r="L1170" s="28" t="s">
        <v>51</v>
      </c>
      <c r="M1170" s="28" t="s">
        <v>51</v>
      </c>
      <c r="N1170" s="28" t="s">
        <v>51</v>
      </c>
    </row>
    <row r="1171" spans="1:14" hidden="1" outlineLevel="1" x14ac:dyDescent="0.15">
      <c r="A1171" s="23" t="str">
        <f>HYPERLINK("https://www.spark-marketing.ru/Card/Person/2255061", "МАДОУ ДЕТСКИЙ САД № 9 ""БЕЛОСНЕЖКА"", ОБЩЕРАЗВИВАЮЩЕГО ВИДА Г. ИШИМБАЯ МР ИШИМБАЙСКИЙ РАЙОН, РБ")</f>
        <v>МАДОУ ДЕТСКИЙ САД № 9 "БЕЛОСНЕЖКА", ОБЩЕРАЗВИВАЮЩЕГО ВИДА Г. ИШИМБАЯ МР ИШИМБАЙСКИЙ РАЙОН, РБ</v>
      </c>
      <c r="B1171" s="24" t="s">
        <v>2399</v>
      </c>
      <c r="C1171" s="25">
        <v>2281440</v>
      </c>
      <c r="D1171" s="22" t="s">
        <v>2398</v>
      </c>
      <c r="E1171" s="22" t="s">
        <v>48</v>
      </c>
      <c r="F1171" s="23" t="str">
        <f>HYPERLINK("https://www.spark-marketing.ru/Card/Lot/74076575", "Оказание услуг по организации горячего питания")</f>
        <v>Оказание услуг по организации горячего питания</v>
      </c>
      <c r="G1171" s="22" t="s">
        <v>145</v>
      </c>
      <c r="H1171" s="22" t="s">
        <v>145</v>
      </c>
      <c r="I1171" s="26">
        <v>43738.701030092598</v>
      </c>
      <c r="J1171" s="28" t="s">
        <v>51</v>
      </c>
      <c r="K1171" s="28" t="s">
        <v>51</v>
      </c>
      <c r="L1171" s="28" t="s">
        <v>51</v>
      </c>
      <c r="M1171" s="28" t="s">
        <v>51</v>
      </c>
      <c r="N1171" s="28" t="s">
        <v>51</v>
      </c>
    </row>
    <row r="1172" spans="1:14" hidden="1" outlineLevel="1" x14ac:dyDescent="0.15">
      <c r="A1172" s="23" t="str">
        <f>HYPERLINK("https://www.spark-marketing.ru/Card/Person/768941", "МАДОУ ДЕТСКИЙ САД № 16 ""ВАСИЛЕК"" ОБЩЕРАЗВИВАЮЩЕГО ВИДА Г.ИШИМБАЯ МР ИШИМБАЙСКИЙ РАЙОН РБ")</f>
        <v>МАДОУ ДЕТСКИЙ САД № 16 "ВАСИЛЕК" ОБЩЕРАЗВИВАЮЩЕГО ВИДА Г.ИШИМБАЯ МР ИШИМБАЙСКИЙ РАЙОН РБ</v>
      </c>
      <c r="B1172" s="24" t="s">
        <v>2400</v>
      </c>
      <c r="C1172" s="25">
        <v>1562400</v>
      </c>
      <c r="D1172" s="22" t="s">
        <v>2398</v>
      </c>
      <c r="E1172" s="22" t="s">
        <v>48</v>
      </c>
      <c r="F1172" s="23" t="str">
        <f>HYPERLINK("https://www.spark-marketing.ru/Card/Lot/74076575", "Оказание услуг по организации горячего питания")</f>
        <v>Оказание услуг по организации горячего питания</v>
      </c>
      <c r="G1172" s="22" t="s">
        <v>145</v>
      </c>
      <c r="H1172" s="22" t="s">
        <v>145</v>
      </c>
      <c r="I1172" s="26">
        <v>43738.701030092598</v>
      </c>
      <c r="J1172" s="28" t="s">
        <v>51</v>
      </c>
      <c r="K1172" s="28" t="s">
        <v>51</v>
      </c>
      <c r="L1172" s="28" t="s">
        <v>51</v>
      </c>
      <c r="M1172" s="28" t="s">
        <v>51</v>
      </c>
      <c r="N1172" s="28" t="s">
        <v>51</v>
      </c>
    </row>
    <row r="1173" spans="1:14" hidden="1" outlineLevel="1" x14ac:dyDescent="0.15">
      <c r="A1173" s="23" t="str">
        <f>HYPERLINK("https://www.spark-marketing.ru/Card/Person/769026", "МАДОУ ДЕТСКИЙ САД №14 ""ТЕРЕМОК"" КОМБИНИРОВАННОГО ВИДА Г. ИШИМБАЯ МР ИШИМБАЙСКИЙ РАЙОН РБ")</f>
        <v>МАДОУ ДЕТСКИЙ САД №14 "ТЕРЕМОК" КОМБИНИРОВАННОГО ВИДА Г. ИШИМБАЯ МР ИШИМБАЙСКИЙ РАЙОН РБ</v>
      </c>
      <c r="B1173" s="24" t="s">
        <v>2401</v>
      </c>
      <c r="C1173" s="25">
        <v>3732960</v>
      </c>
      <c r="D1173" s="22" t="s">
        <v>2398</v>
      </c>
      <c r="E1173" s="22" t="s">
        <v>48</v>
      </c>
      <c r="F1173" s="23" t="str">
        <f>HYPERLINK("https://www.spark-marketing.ru/Card/Lot/74076575", "Оказание услуг по организации горячего питания")</f>
        <v>Оказание услуг по организации горячего питания</v>
      </c>
      <c r="G1173" s="22" t="s">
        <v>145</v>
      </c>
      <c r="H1173" s="22" t="s">
        <v>145</v>
      </c>
      <c r="I1173" s="26">
        <v>43738.701030092598</v>
      </c>
      <c r="J1173" s="28" t="s">
        <v>51</v>
      </c>
      <c r="K1173" s="28" t="s">
        <v>51</v>
      </c>
      <c r="L1173" s="28" t="s">
        <v>51</v>
      </c>
      <c r="M1173" s="28" t="s">
        <v>51</v>
      </c>
      <c r="N1173" s="28" t="s">
        <v>51</v>
      </c>
    </row>
    <row r="1174" spans="1:14" hidden="1" outlineLevel="1" x14ac:dyDescent="0.15">
      <c r="A1174" s="23" t="str">
        <f>HYPERLINK("https://www.spark-marketing.ru/Card/Person/769746", "МАДОУ ДЕТСКИЙ САД № 18 ""РОМАШКА"" ОБЩЕРАЗВИВАЮЩЕГО ВИДА Г. ИШИМБАЯ МР ИШИМБАЙСКИЙ РАЙОН РБ")</f>
        <v>МАДОУ ДЕТСКИЙ САД № 18 "РОМАШКА" ОБЩЕРАЗВИВАЮЩЕГО ВИДА Г. ИШИМБАЯ МР ИШИМБАЙСКИЙ РАЙОН РБ</v>
      </c>
      <c r="B1174" s="24" t="s">
        <v>2402</v>
      </c>
      <c r="C1174" s="25">
        <v>2037000</v>
      </c>
      <c r="D1174" s="22" t="s">
        <v>2398</v>
      </c>
      <c r="E1174" s="22" t="s">
        <v>48</v>
      </c>
      <c r="F1174" s="23" t="str">
        <f>HYPERLINK("https://www.spark-marketing.ru/Card/Lot/74076575", "Оказание услуг по организации горячего питания")</f>
        <v>Оказание услуг по организации горячего питания</v>
      </c>
      <c r="G1174" s="22" t="s">
        <v>145</v>
      </c>
      <c r="H1174" s="22" t="s">
        <v>145</v>
      </c>
      <c r="I1174" s="26">
        <v>43738.701030092598</v>
      </c>
      <c r="J1174" s="28" t="s">
        <v>51</v>
      </c>
      <c r="K1174" s="28" t="s">
        <v>51</v>
      </c>
      <c r="L1174" s="28" t="s">
        <v>51</v>
      </c>
      <c r="M1174" s="28" t="s">
        <v>51</v>
      </c>
      <c r="N1174" s="28" t="s">
        <v>51</v>
      </c>
    </row>
    <row r="1175" spans="1:14" x14ac:dyDescent="0.15">
      <c r="A1175" s="23" t="str">
        <f>HYPERLINK("https://www.spark-marketing.ru/Card/Person/4343659", "МИНПРОМТОРГ РОССИИ")</f>
        <v>МИНПРОМТОРГ РОССИИ</v>
      </c>
      <c r="B1175" s="24" t="s">
        <v>2403</v>
      </c>
      <c r="C1175" s="25">
        <v>3500000</v>
      </c>
      <c r="D1175" s="22" t="s">
        <v>2404</v>
      </c>
      <c r="E1175" s="22" t="s">
        <v>2405</v>
      </c>
      <c r="F1175" s="23" t="str">
        <f>HYPERLINK("https://www.spark-marketing.ru/Card/Lot/74084883", "НИР «Мониторинг и анализ рынка и производителей лечебного и диетического питания для детей и взрослых с целью обеспечения пациентов доступным лечебным питанием и развития производства лечебного питания на территории Российской Федерации» Шифр «Питани...")</f>
        <v>НИР «Мониторинг и анализ рынка и производителей лечебного и диетического питания для детей и взрослых с целью обеспечения пациентов доступным лечебным питанием и развития производства лечебного питания на территории Российской Федерации» Шифр «Питани...</v>
      </c>
      <c r="G1175" s="22" t="s">
        <v>56</v>
      </c>
      <c r="H1175" s="22" t="s">
        <v>56</v>
      </c>
      <c r="I1175" s="26">
        <v>43738.5858449074</v>
      </c>
      <c r="J1175" s="28" t="s">
        <v>51</v>
      </c>
      <c r="K1175" s="28" t="s">
        <v>51</v>
      </c>
      <c r="L1175" s="28" t="s">
        <v>51</v>
      </c>
      <c r="M1175" s="28" t="s">
        <v>51</v>
      </c>
      <c r="N1175" s="28" t="s">
        <v>51</v>
      </c>
    </row>
    <row r="1176" spans="1:14" x14ac:dyDescent="0.15">
      <c r="A1176" s="23" t="str">
        <f>HYPERLINK("https://www.spark-marketing.ru/Card/Person/88718", "МБОУ СОШ № 15")</f>
        <v>МБОУ СОШ № 15</v>
      </c>
      <c r="B1176" s="24" t="s">
        <v>2406</v>
      </c>
      <c r="C1176" s="25">
        <v>8001678</v>
      </c>
      <c r="D1176" s="22" t="s">
        <v>2407</v>
      </c>
      <c r="E1176" s="22" t="s">
        <v>48</v>
      </c>
      <c r="F1176" s="23" t="str">
        <f>HYPERLINK("https://www.spark-marketing.ru/Card/Lot/74083491", "на оказание услуг по организации горячего питания отдельным категориям обучающихся в МБОУ СОШ № 15")</f>
        <v>на оказание услуг по организации горячего питания отдельным категориям обучающихся в МБОУ СОШ № 15</v>
      </c>
      <c r="G1176" s="22" t="s">
        <v>49</v>
      </c>
      <c r="H1176" s="22" t="s">
        <v>301</v>
      </c>
      <c r="I1176" s="26">
        <v>43738.619317129604</v>
      </c>
      <c r="J1176" s="28" t="s">
        <v>51</v>
      </c>
      <c r="K1176" s="28" t="s">
        <v>51</v>
      </c>
      <c r="L1176" s="28" t="s">
        <v>51</v>
      </c>
      <c r="M1176" s="28" t="s">
        <v>51</v>
      </c>
      <c r="N1176" s="28" t="s">
        <v>51</v>
      </c>
    </row>
    <row r="1177" spans="1:14" x14ac:dyDescent="0.15">
      <c r="A1177" s="23" t="str">
        <f>HYPERLINK("https://www.spark-marketing.ru/Card/Person/78275", "МОУ ШКОЛА № 7")</f>
        <v>МОУ ШКОЛА № 7</v>
      </c>
      <c r="B1177" s="24" t="s">
        <v>2408</v>
      </c>
      <c r="C1177" s="25">
        <v>6952195.5</v>
      </c>
      <c r="D1177" s="22" t="s">
        <v>2409</v>
      </c>
      <c r="E1177" s="22" t="s">
        <v>48</v>
      </c>
      <c r="F1177" s="23" t="str">
        <f>HYPERLINK("https://www.spark-marketing.ru/Card/Lot/74083170", "услуги по организации питания для учащихся общеобразовательной организации в 2020-2021 гг.")</f>
        <v>услуги по организации питания для учащихся общеобразовательной организации в 2020-2021 гг.</v>
      </c>
      <c r="G1177" s="22" t="s">
        <v>49</v>
      </c>
      <c r="H1177" s="22" t="s">
        <v>207</v>
      </c>
      <c r="I1177" s="26">
        <v>43738.566782407397</v>
      </c>
      <c r="J1177" s="28" t="s">
        <v>51</v>
      </c>
      <c r="K1177" s="28" t="s">
        <v>51</v>
      </c>
      <c r="L1177" s="28" t="s">
        <v>51</v>
      </c>
      <c r="M1177" s="28" t="s">
        <v>51</v>
      </c>
      <c r="N1177" s="28" t="s">
        <v>51</v>
      </c>
    </row>
    <row r="1178" spans="1:14" x14ac:dyDescent="0.15">
      <c r="A1178" s="23" t="str">
        <f>HYPERLINK("https://www.spark-marketing.ru/Card/Person/243291", "МОУ ШКОЛА № 3")</f>
        <v>МОУ ШКОЛА № 3</v>
      </c>
      <c r="B1178" s="24" t="s">
        <v>2410</v>
      </c>
      <c r="C1178" s="25">
        <v>5740552.7999999998</v>
      </c>
      <c r="D1178" s="22" t="s">
        <v>2411</v>
      </c>
      <c r="E1178" s="22" t="s">
        <v>48</v>
      </c>
      <c r="F1178" s="23" t="str">
        <f>HYPERLINK("https://www.spark-marketing.ru/Card/Lot/74083158", "Услуги по организации питания для учащихся в 2020 - 2021 году")</f>
        <v>Услуги по организации питания для учащихся в 2020 - 2021 году</v>
      </c>
      <c r="G1178" s="22" t="s">
        <v>49</v>
      </c>
      <c r="H1178" s="22" t="s">
        <v>207</v>
      </c>
      <c r="I1178" s="26">
        <v>43738.5594444444</v>
      </c>
      <c r="J1178" s="28" t="s">
        <v>51</v>
      </c>
      <c r="K1178" s="28" t="s">
        <v>51</v>
      </c>
      <c r="L1178" s="28" t="s">
        <v>51</v>
      </c>
      <c r="M1178" s="28" t="s">
        <v>51</v>
      </c>
      <c r="N1178" s="28" t="s">
        <v>51</v>
      </c>
    </row>
    <row r="1179" spans="1:14" x14ac:dyDescent="0.15">
      <c r="A1179" s="23" t="str">
        <f>HYPERLINK("https://www.spark-marketing.ru/Card/Person/37828", "ГБУЗ НД")</f>
        <v>ГБУЗ НД</v>
      </c>
      <c r="B1179" s="24" t="s">
        <v>118</v>
      </c>
      <c r="C1179" s="25">
        <v>499800</v>
      </c>
      <c r="D1179" s="22" t="s">
        <v>2412</v>
      </c>
      <c r="E1179" s="22" t="s">
        <v>96</v>
      </c>
      <c r="F1179" s="23" t="str">
        <f>HYPERLINK("https://www.spark-marketing.ru/Card/Lot/74079160", "Оказание услуг по обеспечению питанием")</f>
        <v>Оказание услуг по обеспечению питанием</v>
      </c>
      <c r="G1179" s="22" t="s">
        <v>104</v>
      </c>
      <c r="H1179" s="22" t="s">
        <v>120</v>
      </c>
      <c r="I1179" s="26">
        <v>43738.562928240703</v>
      </c>
      <c r="J1179" s="28" t="s">
        <v>51</v>
      </c>
      <c r="K1179" s="28" t="s">
        <v>51</v>
      </c>
      <c r="L1179" s="28" t="s">
        <v>51</v>
      </c>
      <c r="M1179" s="28" t="s">
        <v>51</v>
      </c>
      <c r="N1179" s="28" t="s">
        <v>51</v>
      </c>
    </row>
    <row r="1180" spans="1:14" x14ac:dyDescent="0.15">
      <c r="A1180" s="23" t="str">
        <f>HYPERLINK("https://www.spark-marketing.ru/Card/Person/78261", "МОУ ШКОЛА № 5 ИМ. Ю.А. ГАРНАЕВА")</f>
        <v>МОУ ШКОЛА № 5 ИМ. Ю.А. ГАРНАЕВА</v>
      </c>
      <c r="B1180" s="24" t="s">
        <v>2413</v>
      </c>
      <c r="C1180" s="25">
        <v>8376570</v>
      </c>
      <c r="D1180" s="22" t="s">
        <v>2414</v>
      </c>
      <c r="E1180" s="22" t="s">
        <v>48</v>
      </c>
      <c r="F1180" s="23" t="str">
        <f>HYPERLINK("https://www.spark-marketing.ru/Card/Lot/74083164", "Услуги по организации питания для учащихся в 2020 - 2021 году.")</f>
        <v>Услуги по организации питания для учащихся в 2020 - 2021 году.</v>
      </c>
      <c r="G1180" s="22" t="s">
        <v>49</v>
      </c>
      <c r="H1180" s="22" t="s">
        <v>207</v>
      </c>
      <c r="I1180" s="26">
        <v>43738.565370370401</v>
      </c>
      <c r="J1180" s="28" t="s">
        <v>51</v>
      </c>
      <c r="K1180" s="28" t="s">
        <v>51</v>
      </c>
      <c r="L1180" s="28" t="s">
        <v>51</v>
      </c>
      <c r="M1180" s="28" t="s">
        <v>51</v>
      </c>
      <c r="N1180" s="28" t="s">
        <v>51</v>
      </c>
    </row>
    <row r="1181" spans="1:14" x14ac:dyDescent="0.15">
      <c r="A1181" s="23" t="str">
        <f>HYPERLINK("https://www.spark-marketing.ru/Card/Person/67684", "МОУ ШКОЛА №8")</f>
        <v>МОУ ШКОЛА №8</v>
      </c>
      <c r="B1181" s="24" t="s">
        <v>2415</v>
      </c>
      <c r="C1181" s="25">
        <v>7473496.7999999998</v>
      </c>
      <c r="D1181" s="22" t="s">
        <v>2416</v>
      </c>
      <c r="E1181" s="22" t="s">
        <v>48</v>
      </c>
      <c r="F1181" s="23" t="str">
        <f>HYPERLINK("https://www.spark-marketing.ru/Card/Lot/74082914", "Услуги по организации питания для учащихся в 2020 - 2021 году.")</f>
        <v>Услуги по организации питания для учащихся в 2020 - 2021 году.</v>
      </c>
      <c r="G1181" s="22" t="s">
        <v>49</v>
      </c>
      <c r="H1181" s="22" t="s">
        <v>207</v>
      </c>
      <c r="I1181" s="26">
        <v>43738.567708333299</v>
      </c>
      <c r="J1181" s="28" t="s">
        <v>51</v>
      </c>
      <c r="K1181" s="28" t="s">
        <v>51</v>
      </c>
      <c r="L1181" s="28" t="s">
        <v>51</v>
      </c>
      <c r="M1181" s="28" t="s">
        <v>51</v>
      </c>
      <c r="N1181" s="28" t="s">
        <v>51</v>
      </c>
    </row>
    <row r="1182" spans="1:14" x14ac:dyDescent="0.15">
      <c r="A1182" s="23" t="str">
        <f>HYPERLINK("https://www.spark-marketing.ru/Card/Person/49039", "МОУ ШКОЛА № 6")</f>
        <v>МОУ ШКОЛА № 6</v>
      </c>
      <c r="B1182" s="24" t="s">
        <v>2417</v>
      </c>
      <c r="C1182" s="25">
        <v>4899616.8</v>
      </c>
      <c r="D1182" s="22" t="s">
        <v>2418</v>
      </c>
      <c r="E1182" s="22" t="s">
        <v>48</v>
      </c>
      <c r="F1182" s="23" t="str">
        <f>HYPERLINK("https://www.spark-marketing.ru/Card/Lot/74083121", "Услуги по организации питания для учащихся в 2020 - 2021 году.")</f>
        <v>Услуги по организации питания для учащихся в 2020 - 2021 году.</v>
      </c>
      <c r="G1182" s="22" t="s">
        <v>49</v>
      </c>
      <c r="H1182" s="22" t="s">
        <v>207</v>
      </c>
      <c r="I1182" s="26">
        <v>43738.562199074098</v>
      </c>
      <c r="J1182" s="28" t="s">
        <v>51</v>
      </c>
      <c r="K1182" s="28" t="s">
        <v>51</v>
      </c>
      <c r="L1182" s="28" t="s">
        <v>51</v>
      </c>
      <c r="M1182" s="28" t="s">
        <v>51</v>
      </c>
      <c r="N1182" s="28" t="s">
        <v>51</v>
      </c>
    </row>
    <row r="1183" spans="1:14" x14ac:dyDescent="0.15">
      <c r="A1183" s="23" t="str">
        <f>HYPERLINK("https://www.spark-marketing.ru/Card/Person/4348376", "АО ""ЖТК""")</f>
        <v>АО "ЖТК"</v>
      </c>
      <c r="B1183" s="24" t="s">
        <v>2312</v>
      </c>
      <c r="C1183" s="25">
        <v>1084402</v>
      </c>
      <c r="D1183" s="22" t="s">
        <v>2419</v>
      </c>
      <c r="E1183" s="22" t="s">
        <v>2420</v>
      </c>
      <c r="F1183" s="23" t="str">
        <f>HYPERLINK("https://www.spark-marketing.ru/Card/Lot/74058154", "Поставка колбасных изделий для предприятий общественного питания Борзинского участка, оказывающих услуги питания работникам ОАО ""РЖД""")</f>
        <v>Поставка колбасных изделий для предприятий общественного питания Борзинского участка, оказывающих услуги питания работникам ОАО "РЖД"</v>
      </c>
      <c r="G1183" s="22" t="s">
        <v>56</v>
      </c>
      <c r="H1183" s="22" t="s">
        <v>56</v>
      </c>
      <c r="I1183" s="26">
        <v>43738.574305555601</v>
      </c>
      <c r="J1183" s="28" t="s">
        <v>51</v>
      </c>
      <c r="K1183" s="28" t="s">
        <v>51</v>
      </c>
      <c r="L1183" s="28" t="s">
        <v>51</v>
      </c>
      <c r="M1183" s="28" t="s">
        <v>51</v>
      </c>
      <c r="N1183" s="28" t="s">
        <v>51</v>
      </c>
    </row>
    <row r="1184" spans="1:14" x14ac:dyDescent="0.15">
      <c r="A1184" s="23" t="str">
        <f>HYPERLINK("https://www.spark-marketing.ru/Card/Person/36547", "УМВД РОССИИ ПО Г. ЕКАТЕРИНБУРГУ")</f>
        <v>УМВД РОССИИ ПО Г. ЕКАТЕРИНБУРГУ</v>
      </c>
      <c r="B1184" s="24" t="s">
        <v>2421</v>
      </c>
      <c r="C1184" s="25">
        <v>2800000</v>
      </c>
      <c r="D1184" s="22" t="s">
        <v>2422</v>
      </c>
      <c r="E1184" s="22" t="s">
        <v>48</v>
      </c>
      <c r="F1184" s="23" t="str">
        <f>HYPERLINK("https://www.spark-marketing.ru/Card/Lot/74100573", "Услуги по обеспечению 3-х разовым горячим питанием лиц подвергнутых административному аресту,  содержащихся в спецприемнике УМВД России по г. Екатеринбургу")</f>
        <v>Услуги по обеспечению 3-х разовым горячим питанием лиц подвергнутых административному аресту,  содержащихся в спецприемнике УМВД России по г. Екатеринбургу</v>
      </c>
      <c r="G1184" s="22" t="s">
        <v>174</v>
      </c>
      <c r="H1184" s="22" t="s">
        <v>530</v>
      </c>
      <c r="I1184" s="26">
        <v>43738.574999999997</v>
      </c>
      <c r="J1184" s="23" t="str">
        <f>HYPERLINK("https://www.spark-marketing.ru/Card/Person/6419450", "Нечаева Мария Александровна")</f>
        <v>Нечаева Мария Александровна</v>
      </c>
      <c r="K1184" s="24" t="s">
        <v>2423</v>
      </c>
      <c r="L1184" s="22" t="s">
        <v>10</v>
      </c>
      <c r="M1184" s="28" t="s">
        <v>51</v>
      </c>
      <c r="N1184" s="28" t="s">
        <v>51</v>
      </c>
    </row>
    <row r="1185" spans="1:14" x14ac:dyDescent="0.15">
      <c r="A1185" s="23" t="str">
        <f>HYPERLINK("https://www.spark-marketing.ru/Card/Person/37828", "ГБУЗ НД")</f>
        <v>ГБУЗ НД</v>
      </c>
      <c r="B1185" s="24" t="s">
        <v>118</v>
      </c>
      <c r="C1185" s="25">
        <v>499800</v>
      </c>
      <c r="D1185" s="22" t="s">
        <v>2424</v>
      </c>
      <c r="E1185" s="22" t="s">
        <v>96</v>
      </c>
      <c r="F1185" s="23" t="str">
        <f>HYPERLINK("https://www.spark-marketing.ru/Card/Lot/74079162", "Оказание услуг по обеспечению питанием")</f>
        <v>Оказание услуг по обеспечению питанием</v>
      </c>
      <c r="G1185" s="22" t="s">
        <v>104</v>
      </c>
      <c r="H1185" s="22" t="s">
        <v>120</v>
      </c>
      <c r="I1185" s="26">
        <v>43738.5629513889</v>
      </c>
      <c r="J1185" s="28" t="s">
        <v>51</v>
      </c>
      <c r="K1185" s="28" t="s">
        <v>51</v>
      </c>
      <c r="L1185" s="28" t="s">
        <v>51</v>
      </c>
      <c r="M1185" s="28" t="s">
        <v>51</v>
      </c>
      <c r="N1185" s="28" t="s">
        <v>51</v>
      </c>
    </row>
    <row r="1186" spans="1:14" x14ac:dyDescent="0.15">
      <c r="A1186" s="23" t="str">
        <f>HYPERLINK("https://www.spark-marketing.ru/Card/Person/37828", "ГБУЗ НД")</f>
        <v>ГБУЗ НД</v>
      </c>
      <c r="B1186" s="24" t="s">
        <v>118</v>
      </c>
      <c r="C1186" s="25">
        <v>499800</v>
      </c>
      <c r="D1186" s="22" t="s">
        <v>2425</v>
      </c>
      <c r="E1186" s="22" t="s">
        <v>96</v>
      </c>
      <c r="F1186" s="23" t="str">
        <f>HYPERLINK("https://www.spark-marketing.ru/Card/Lot/74079168", "Оказание услуг по обеспечению питанием")</f>
        <v>Оказание услуг по обеспечению питанием</v>
      </c>
      <c r="G1186" s="22" t="s">
        <v>104</v>
      </c>
      <c r="H1186" s="22" t="s">
        <v>120</v>
      </c>
      <c r="I1186" s="26">
        <v>43738.562962962998</v>
      </c>
      <c r="J1186" s="28" t="s">
        <v>51</v>
      </c>
      <c r="K1186" s="28" t="s">
        <v>51</v>
      </c>
      <c r="L1186" s="28" t="s">
        <v>51</v>
      </c>
      <c r="M1186" s="28" t="s">
        <v>51</v>
      </c>
      <c r="N1186" s="28" t="s">
        <v>51</v>
      </c>
    </row>
    <row r="1187" spans="1:14" x14ac:dyDescent="0.15">
      <c r="A1187" s="23" t="str">
        <f>HYPERLINK("https://www.spark-marketing.ru/Card/Person/78260", "МОУ ШКОЛА № 13 С УИОП")</f>
        <v>МОУ ШКОЛА № 13 С УИОП</v>
      </c>
      <c r="B1187" s="24" t="s">
        <v>2426</v>
      </c>
      <c r="C1187" s="25">
        <v>11381458.5</v>
      </c>
      <c r="D1187" s="22" t="s">
        <v>2427</v>
      </c>
      <c r="E1187" s="22" t="s">
        <v>48</v>
      </c>
      <c r="F1187" s="23" t="str">
        <f>HYPERLINK("https://www.spark-marketing.ru/Card/Lot/74083139", "Услуги по организации питания для учащихся в 2020 - 2021 году")</f>
        <v>Услуги по организации питания для учащихся в 2020 - 2021 году</v>
      </c>
      <c r="G1187" s="22" t="s">
        <v>49</v>
      </c>
      <c r="H1187" s="22" t="s">
        <v>207</v>
      </c>
      <c r="I1187" s="26">
        <v>43738.564652777801</v>
      </c>
      <c r="J1187" s="28" t="s">
        <v>51</v>
      </c>
      <c r="K1187" s="28" t="s">
        <v>51</v>
      </c>
      <c r="L1187" s="28" t="s">
        <v>51</v>
      </c>
      <c r="M1187" s="28" t="s">
        <v>51</v>
      </c>
      <c r="N1187" s="28" t="s">
        <v>51</v>
      </c>
    </row>
    <row r="1188" spans="1:14" x14ac:dyDescent="0.15">
      <c r="A1188" s="23" t="str">
        <f>HYPERLINK("https://www.spark-marketing.ru/Card/Person/127841", "АДМИНИСТРАЦИЯ ГОРОДА ТЮМЕНИ")</f>
        <v>АДМИНИСТРАЦИЯ ГОРОДА ТЮМЕНИ</v>
      </c>
      <c r="B1188" s="24" t="s">
        <v>2428</v>
      </c>
      <c r="C1188" s="25">
        <v>338966.81</v>
      </c>
      <c r="D1188" s="22" t="s">
        <v>2429</v>
      </c>
      <c r="E1188" s="22" t="s">
        <v>1018</v>
      </c>
      <c r="F1188" s="23" t="str">
        <f>HYPERLINK("https://www.spark-marketing.ru/Card/Lot/74079553", "АЭ-1061/19 Оказание услуг по специальной проверке технических средств иностранного производства на отсутствие в их составе возможно внедренных электронных устройств перехвата информации")</f>
        <v>АЭ-1061/19 Оказание услуг по специальной проверке технических средств иностранного производства на отсутствие в их составе возможно внедренных электронных устройств перехвата информации</v>
      </c>
      <c r="G1188" s="22" t="s">
        <v>766</v>
      </c>
      <c r="H1188" s="22" t="s">
        <v>1028</v>
      </c>
      <c r="I1188" s="26">
        <v>43738.552083333299</v>
      </c>
      <c r="J1188" s="28" t="s">
        <v>51</v>
      </c>
      <c r="K1188" s="28" t="s">
        <v>51</v>
      </c>
      <c r="L1188" s="28" t="s">
        <v>51</v>
      </c>
      <c r="M1188" s="28" t="s">
        <v>51</v>
      </c>
      <c r="N1188" s="28" t="s">
        <v>51</v>
      </c>
    </row>
    <row r="1189" spans="1:14" hidden="1" outlineLevel="1" x14ac:dyDescent="0.2">
      <c r="A1189" s="23" t="str">
        <f>HYPERLINK("https://www.spark-marketing.ru/Card/Person/127841", "АДМИНИСТРАЦИЯ ГОРОДА ТЮМЕНИ")</f>
        <v>АДМИНИСТРАЦИЯ ГОРОДА ТЮМЕНИ</v>
      </c>
      <c r="B1189" s="24" t="s">
        <v>2428</v>
      </c>
      <c r="C1189" s="25">
        <v>338966.81</v>
      </c>
      <c r="D1189" s="22" t="s">
        <v>2429</v>
      </c>
      <c r="E1189" s="22" t="s">
        <v>1018</v>
      </c>
      <c r="F1189" s="23" t="str">
        <f>HYPERLINK("https://www.spark-marketing.ru/Card/Lot/74079553", "АЭ-1061/19 Оказание услуг по специальной проверке технических средств иностранного производства на отсутствие в их составе возможно внедренных электронных устройств перехвата информации")</f>
        <v>АЭ-1061/19 Оказание услуг по специальной проверке технических средств иностранного производства на отсутствие в их составе возможно внедренных электронных устройств перехвата информации</v>
      </c>
      <c r="G1189" s="22" t="s">
        <v>766</v>
      </c>
      <c r="H1189" s="22" t="s">
        <v>1028</v>
      </c>
      <c r="I1189" s="26">
        <v>43738.552083333299</v>
      </c>
      <c r="J1189" s="23" t="str">
        <f>HYPERLINK("https://www.spark-marketing.ru/Card/Person/58301", "ООО ЧОО ""АРГУМЕНТ""")</f>
        <v>ООО ЧОО "АРГУМЕНТ"</v>
      </c>
      <c r="K1189" s="24" t="s">
        <v>2430</v>
      </c>
      <c r="L1189" s="28" t="s">
        <v>51</v>
      </c>
      <c r="M1189" s="25">
        <v>240395.86</v>
      </c>
      <c r="N1189" s="27">
        <v>0.29079823478882783</v>
      </c>
    </row>
    <row r="1190" spans="1:14" ht="12.75" hidden="1" outlineLevel="1" x14ac:dyDescent="0.2">
      <c r="A1190" s="23" t="str">
        <f>HYPERLINK("https://www.spark-marketing.ru/Card/Person/127841", "АДМИНИСТРАЦИЯ ГОРОДА ТЮМЕНИ")</f>
        <v>АДМИНИСТРАЦИЯ ГОРОДА ТЮМЕНИ</v>
      </c>
      <c r="B1190" s="24" t="s">
        <v>2428</v>
      </c>
      <c r="C1190" s="25">
        <v>338966.81</v>
      </c>
      <c r="D1190" s="22" t="s">
        <v>2429</v>
      </c>
      <c r="E1190" s="22" t="s">
        <v>1018</v>
      </c>
      <c r="F1190" s="23" t="str">
        <f>HYPERLINK("https://www.spark-marketing.ru/Card/Lot/74079553", "АЭ-1061/19 Оказание услуг по специальной проверке технических средств иностранного производства на отсутствие в их составе возможно внедренных электронных устройств перехвата информации")</f>
        <v>АЭ-1061/19 Оказание услуг по специальной проверке технических средств иностранного производства на отсутствие в их составе возможно внедренных электронных устройств перехвата информации</v>
      </c>
      <c r="G1190" s="22" t="s">
        <v>766</v>
      </c>
      <c r="H1190" s="22" t="s">
        <v>1028</v>
      </c>
      <c r="I1190" s="26">
        <v>43738.552083333299</v>
      </c>
      <c r="J1190" s="23" t="str">
        <f>HYPERLINK("https://www.spark-marketing.ru/Card/Person/4406400", "Санкт-Петербургский НТЦ ФГУП ""НПП ""ГАММА""")</f>
        <v>Санкт-Петербургский НТЦ ФГУП "НПП "ГАММА"</v>
      </c>
      <c r="K1190" s="24" t="s">
        <v>2431</v>
      </c>
      <c r="L1190" s="22" t="s">
        <v>10</v>
      </c>
      <c r="M1190" s="25">
        <v>240395.86</v>
      </c>
      <c r="N1190" s="27">
        <v>0.29079823478882783</v>
      </c>
    </row>
    <row r="1191" spans="1:14" x14ac:dyDescent="0.15">
      <c r="A1191" s="23" t="str">
        <f>HYPERLINK("https://www.spark-marketing.ru/Card/Person/37828", "ГБУЗ НД")</f>
        <v>ГБУЗ НД</v>
      </c>
      <c r="B1191" s="24" t="s">
        <v>118</v>
      </c>
      <c r="C1191" s="25">
        <v>499800</v>
      </c>
      <c r="D1191" s="22" t="s">
        <v>2432</v>
      </c>
      <c r="E1191" s="22" t="s">
        <v>96</v>
      </c>
      <c r="F1191" s="23" t="str">
        <f>HYPERLINK("https://www.spark-marketing.ru/Card/Lot/74079169", "Оказание услуг по обеспечению питанием")</f>
        <v>Оказание услуг по обеспечению питанием</v>
      </c>
      <c r="G1191" s="22" t="s">
        <v>104</v>
      </c>
      <c r="H1191" s="22" t="s">
        <v>120</v>
      </c>
      <c r="I1191" s="26">
        <v>43738.563125000001</v>
      </c>
      <c r="J1191" s="23" t="str">
        <f>HYPERLINK("https://www.spark-marketing.ru/Card/Person/1170194", "Соколова Виктория Сергеевна")</f>
        <v>Соколова Виктория Сергеевна</v>
      </c>
      <c r="K1191" s="24" t="s">
        <v>2331</v>
      </c>
      <c r="L1191" s="22" t="s">
        <v>10</v>
      </c>
      <c r="M1191" s="28" t="s">
        <v>51</v>
      </c>
      <c r="N1191" s="28" t="s">
        <v>51</v>
      </c>
    </row>
    <row r="1192" spans="1:14" x14ac:dyDescent="0.15">
      <c r="A1192" s="23" t="str">
        <f>HYPERLINK("https://www.spark-marketing.ru/Card/Person/67683", "МОУ СРЕДНЯЯ ШКОЛА № 12")</f>
        <v>МОУ СРЕДНЯЯ ШКОЛА № 12</v>
      </c>
      <c r="B1192" s="24" t="s">
        <v>2433</v>
      </c>
      <c r="C1192" s="25">
        <v>10708364.800000001</v>
      </c>
      <c r="D1192" s="22" t="s">
        <v>2434</v>
      </c>
      <c r="E1192" s="22" t="s">
        <v>48</v>
      </c>
      <c r="F1192" s="23" t="str">
        <f>HYPERLINK("https://www.spark-marketing.ru/Card/Lot/74082904", "Услуги по организации питания для учащихся в 2020 - 2021 году.")</f>
        <v>Услуги по организации питания для учащихся в 2020 - 2021 году.</v>
      </c>
      <c r="G1192" s="22" t="s">
        <v>49</v>
      </c>
      <c r="H1192" s="22" t="s">
        <v>207</v>
      </c>
      <c r="I1192" s="26">
        <v>43738.560243055603</v>
      </c>
      <c r="J1192" s="28" t="s">
        <v>51</v>
      </c>
      <c r="K1192" s="28" t="s">
        <v>51</v>
      </c>
      <c r="L1192" s="28" t="s">
        <v>51</v>
      </c>
      <c r="M1192" s="28" t="s">
        <v>51</v>
      </c>
      <c r="N1192" s="28" t="s">
        <v>51</v>
      </c>
    </row>
    <row r="1193" spans="1:14" x14ac:dyDescent="0.15">
      <c r="A1193" s="23" t="str">
        <f>HYPERLINK("https://www.spark-marketing.ru/Card/Person/257458", "ГБОУ ""КАЗАНСКАЯ КАДЕТСКАЯ ШКОЛА - ИНТЕРНАТ ИМ. Б.К. КУЗНЕЦОВА""")</f>
        <v>ГБОУ "КАЗАНСКАЯ КАДЕТСКАЯ ШКОЛА - ИНТЕРНАТ ИМ. Б.К. КУЗНЕЦОВА"</v>
      </c>
      <c r="B1193" s="24" t="s">
        <v>2435</v>
      </c>
      <c r="C1193" s="25">
        <v>3438468</v>
      </c>
      <c r="D1193" s="22" t="s">
        <v>2436</v>
      </c>
      <c r="E1193" s="22" t="s">
        <v>48</v>
      </c>
      <c r="F1193" s="23" t="str">
        <f>HYPERLINK("https://www.spark-marketing.ru/Card/Lot/74101679", "Оказание услуг по организации питания")</f>
        <v>Оказание услуг по организации питания</v>
      </c>
      <c r="G1193" s="22" t="s">
        <v>217</v>
      </c>
      <c r="H1193" s="22" t="s">
        <v>937</v>
      </c>
      <c r="I1193" s="26">
        <v>43738.504861111098</v>
      </c>
      <c r="J1193" s="28" t="s">
        <v>51</v>
      </c>
      <c r="K1193" s="28" t="s">
        <v>51</v>
      </c>
      <c r="L1193" s="28" t="s">
        <v>51</v>
      </c>
      <c r="M1193" s="28" t="s">
        <v>51</v>
      </c>
      <c r="N1193" s="28" t="s">
        <v>51</v>
      </c>
    </row>
    <row r="1194" spans="1:14" hidden="1" outlineLevel="1" x14ac:dyDescent="0.2">
      <c r="A1194" s="23" t="str">
        <f>HYPERLINK("https://www.spark-marketing.ru/Card/Person/257458", "ГБОУ ""КАЗАНСКАЯ КАДЕТСКАЯ ШКОЛА - ИНТЕРНАТ ИМ. Б.К. КУЗНЕЦОВА""")</f>
        <v>ГБОУ "КАЗАНСКАЯ КАДЕТСКАЯ ШКОЛА - ИНТЕРНАТ ИМ. Б.К. КУЗНЕЦОВА"</v>
      </c>
      <c r="B1194" s="24" t="s">
        <v>2435</v>
      </c>
      <c r="C1194" s="25">
        <v>3438468</v>
      </c>
      <c r="D1194" s="22" t="s">
        <v>2436</v>
      </c>
      <c r="E1194" s="22" t="s">
        <v>48</v>
      </c>
      <c r="F1194" s="23" t="str">
        <f>HYPERLINK("https://www.spark-marketing.ru/Card/Lot/74101679", "Оказание услуг по организации питания")</f>
        <v>Оказание услуг по организации питания</v>
      </c>
      <c r="G1194" s="22" t="s">
        <v>217</v>
      </c>
      <c r="H1194" s="22" t="s">
        <v>937</v>
      </c>
      <c r="I1194" s="26">
        <v>43738.504861111098</v>
      </c>
      <c r="J1194" s="23" t="str">
        <f>HYPERLINK("https://www.spark-marketing.ru/Card/Person/49008", "АО ""ДЕПАРТАМЕНТ ПРОДОВОЛЬСТВИЯ""")</f>
        <v>АО "ДЕПАРТАМЕНТ ПРОДОВОЛЬСТВИЯ"</v>
      </c>
      <c r="K1194" s="24" t="s">
        <v>2101</v>
      </c>
      <c r="L1194" s="28" t="s">
        <v>51</v>
      </c>
      <c r="M1194" s="25">
        <v>3335313.96</v>
      </c>
      <c r="N1194" s="27">
        <v>0.03</v>
      </c>
    </row>
    <row r="1195" spans="1:14" ht="12.75" hidden="1" outlineLevel="1" x14ac:dyDescent="0.2">
      <c r="A1195" s="23" t="str">
        <f>HYPERLINK("https://www.spark-marketing.ru/Card/Person/257458", "ГБОУ ""КАЗАНСКАЯ КАДЕТСКАЯ ШКОЛА - ИНТЕРНАТ ИМ. Б.К. КУЗНЕЦОВА""")</f>
        <v>ГБОУ "КАЗАНСКАЯ КАДЕТСКАЯ ШКОЛА - ИНТЕРНАТ ИМ. Б.К. КУЗНЕЦОВА"</v>
      </c>
      <c r="B1195" s="24" t="s">
        <v>2435</v>
      </c>
      <c r="C1195" s="25">
        <v>3438468</v>
      </c>
      <c r="D1195" s="22" t="s">
        <v>2436</v>
      </c>
      <c r="E1195" s="22" t="s">
        <v>48</v>
      </c>
      <c r="F1195" s="23" t="str">
        <f>HYPERLINK("https://www.spark-marketing.ru/Card/Lot/74101679", "Оказание услуг по организации питания")</f>
        <v>Оказание услуг по организации питания</v>
      </c>
      <c r="G1195" s="22" t="s">
        <v>217</v>
      </c>
      <c r="H1195" s="22" t="s">
        <v>937</v>
      </c>
      <c r="I1195" s="26">
        <v>43738.504861111098</v>
      </c>
      <c r="J1195" s="23" t="str">
        <f>HYPERLINK("https://www.spark-marketing.ru/Card/Person/6084653", "ООО ""ВИТАРА""")</f>
        <v>ООО "ВИТАРА"</v>
      </c>
      <c r="K1195" s="24" t="s">
        <v>2437</v>
      </c>
      <c r="L1195" s="22" t="s">
        <v>10</v>
      </c>
      <c r="M1195" s="25">
        <v>3318121.62</v>
      </c>
      <c r="N1195" s="27">
        <v>3.5000000000000003E-2</v>
      </c>
    </row>
    <row r="1196" spans="1:14" x14ac:dyDescent="0.15">
      <c r="A1196" s="23" t="str">
        <f>HYPERLINK("https://www.spark-marketing.ru/Card/Person/737290", "ГКУ «ЦБЗ ПРИ МИНЗДРАВЕ КАРЕЛИИ»")</f>
        <v>ГКУ «ЦБЗ ПРИ МИНЗДРАВЕ КАРЕЛИИ»</v>
      </c>
      <c r="B1196" s="24" t="s">
        <v>312</v>
      </c>
      <c r="C1196" s="25">
        <v>394325.88</v>
      </c>
      <c r="D1196" s="22" t="s">
        <v>2438</v>
      </c>
      <c r="E1196" s="22" t="s">
        <v>52</v>
      </c>
      <c r="F1196" s="23" t="str">
        <f>HYPERLINK("https://www.spark-marketing.ru/Card/Lot/74078055", "Поставка лекарственного препарата Соматропин,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изделиями...")</f>
        <v>Поставка лекарственного препарата Соматропин,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изделиями...</v>
      </c>
      <c r="G1196" s="22" t="s">
        <v>59</v>
      </c>
      <c r="H1196" s="22" t="s">
        <v>314</v>
      </c>
      <c r="I1196" s="26">
        <v>43738.529293981497</v>
      </c>
      <c r="J1196" s="28" t="s">
        <v>51</v>
      </c>
      <c r="K1196" s="28" t="s">
        <v>51</v>
      </c>
      <c r="L1196" s="28" t="s">
        <v>51</v>
      </c>
      <c r="M1196" s="28" t="s">
        <v>51</v>
      </c>
      <c r="N1196" s="28" t="s">
        <v>51</v>
      </c>
    </row>
    <row r="1197" spans="1:14" x14ac:dyDescent="0.15">
      <c r="A1197" s="23" t="str">
        <f>HYPERLINK("https://www.spark-marketing.ru/Card/Person/737290", "ГКУ «ЦБЗ ПРИ МИНЗДРАВЕ КАРЕЛИИ»")</f>
        <v>ГКУ «ЦБЗ ПРИ МИНЗДРАВЕ КАРЕЛИИ»</v>
      </c>
      <c r="B1197" s="24" t="s">
        <v>312</v>
      </c>
      <c r="C1197" s="25">
        <v>365998.22</v>
      </c>
      <c r="D1197" s="22" t="s">
        <v>2439</v>
      </c>
      <c r="E1197" s="22" t="s">
        <v>52</v>
      </c>
      <c r="F1197" s="23" t="str">
        <f>HYPERLINK("https://www.spark-marketing.ru/Card/Lot/74078060", "Поставка лекарственного препарата Моксонидин,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Моксонидин,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1197" s="22" t="s">
        <v>59</v>
      </c>
      <c r="H1197" s="22" t="s">
        <v>314</v>
      </c>
      <c r="I1197" s="26">
        <v>43738.529328703698</v>
      </c>
      <c r="J1197" s="28" t="s">
        <v>51</v>
      </c>
      <c r="K1197" s="28" t="s">
        <v>51</v>
      </c>
      <c r="L1197" s="28" t="s">
        <v>51</v>
      </c>
      <c r="M1197" s="28" t="s">
        <v>51</v>
      </c>
      <c r="N1197" s="28" t="s">
        <v>51</v>
      </c>
    </row>
    <row r="1198" spans="1:14" ht="12.75" hidden="1" outlineLevel="1" x14ac:dyDescent="0.2">
      <c r="A1198" s="23" t="str">
        <f>HYPERLINK("https://www.spark-marketing.ru/Card/Person/737290", "ГКУ «ЦБЗ ПРИ МИНЗДРАВЕ КАРЕЛИИ»")</f>
        <v>ГКУ «ЦБЗ ПРИ МИНЗДРАВЕ КАРЕЛИИ»</v>
      </c>
      <c r="B1198" s="24" t="s">
        <v>312</v>
      </c>
      <c r="C1198" s="25">
        <v>365998.22</v>
      </c>
      <c r="D1198" s="22" t="s">
        <v>2439</v>
      </c>
      <c r="E1198" s="22" t="s">
        <v>52</v>
      </c>
      <c r="F1198" s="23" t="str">
        <f>HYPERLINK("https://www.spark-marketing.ru/Card/Lot/74078060", "Поставка лекарственного препарата Моксонидин,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Моксонидин,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1198" s="22" t="s">
        <v>59</v>
      </c>
      <c r="H1198" s="22" t="s">
        <v>314</v>
      </c>
      <c r="I1198" s="26">
        <v>43738.529328703698</v>
      </c>
      <c r="J1198" s="23" t="str">
        <f>HYPERLINK("https://www.spark-marketing.ru/Card/Person/5887470", "ООО ""ВИТАЛОН""")</f>
        <v>ООО "ВИТАЛОН"</v>
      </c>
      <c r="K1198" s="24" t="s">
        <v>2129</v>
      </c>
      <c r="L1198" s="22" t="s">
        <v>10</v>
      </c>
      <c r="M1198" s="25">
        <v>289138.64</v>
      </c>
      <c r="N1198" s="27">
        <v>0.20999987376987789</v>
      </c>
    </row>
    <row r="1199" spans="1:14" hidden="1" outlineLevel="1" x14ac:dyDescent="0.2">
      <c r="A1199" s="23" t="str">
        <f>HYPERLINK("https://www.spark-marketing.ru/Card/Person/737290", "ГКУ «ЦБЗ ПРИ МИНЗДРАВЕ КАРЕЛИИ»")</f>
        <v>ГКУ «ЦБЗ ПРИ МИНЗДРАВЕ КАРЕЛИИ»</v>
      </c>
      <c r="B1199" s="24" t="s">
        <v>312</v>
      </c>
      <c r="C1199" s="25">
        <v>365998.22</v>
      </c>
      <c r="D1199" s="22" t="s">
        <v>2439</v>
      </c>
      <c r="E1199" s="22" t="s">
        <v>52</v>
      </c>
      <c r="F1199" s="23" t="str">
        <f>HYPERLINK("https://www.spark-marketing.ru/Card/Lot/74078060", "Поставка лекарственного препарата Моксонидин,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Моксонидин,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1199" s="22" t="s">
        <v>59</v>
      </c>
      <c r="H1199" s="22" t="s">
        <v>314</v>
      </c>
      <c r="I1199" s="26">
        <v>43738.529328703698</v>
      </c>
      <c r="J1199" s="23" t="str">
        <f>HYPERLINK("https://www.spark-marketing.ru/Card/Person/59672", "ООО ""РИФАРМ М""")</f>
        <v>ООО "РИФАРМ М"</v>
      </c>
      <c r="K1199" s="24" t="s">
        <v>2440</v>
      </c>
      <c r="L1199" s="28" t="s">
        <v>51</v>
      </c>
      <c r="M1199" s="25">
        <v>290968.63</v>
      </c>
      <c r="N1199" s="27">
        <v>0.204999876775357</v>
      </c>
    </row>
    <row r="1200" spans="1:14" x14ac:dyDescent="0.15">
      <c r="A1200" s="23" t="str">
        <f>HYPERLINK("https://www.spark-marketing.ru/Card/Person/5642", "МО МВД РОССИИ ""СВОБОДНЕНСКИЙ""")</f>
        <v>МО МВД РОССИИ "СВОБОДНЕНСКИЙ"</v>
      </c>
      <c r="B1200" s="24" t="s">
        <v>2441</v>
      </c>
      <c r="C1200" s="25">
        <v>651000</v>
      </c>
      <c r="D1200" s="22" t="s">
        <v>2442</v>
      </c>
      <c r="E1200" s="22" t="s">
        <v>48</v>
      </c>
      <c r="F1200" s="23" t="str">
        <f>HYPERLINK("https://www.spark-marketing.ru/Card/Lot/74047116", "Прочая закупка товаров, работ и услуг (Услуги по обеспечению горячим питанием лиц, содержащихся в ИВС)")</f>
        <v>Прочая закупка товаров, работ и услуг (Услуги по обеспечению горячим питанием лиц, содержащихся в ИВС)</v>
      </c>
      <c r="G1200" s="22" t="s">
        <v>210</v>
      </c>
      <c r="H1200" s="22" t="s">
        <v>2443</v>
      </c>
      <c r="I1200" s="26">
        <v>43738.5180555556</v>
      </c>
      <c r="J1200" s="28" t="s">
        <v>51</v>
      </c>
      <c r="K1200" s="28" t="s">
        <v>51</v>
      </c>
      <c r="L1200" s="28" t="s">
        <v>51</v>
      </c>
      <c r="M1200" s="28" t="s">
        <v>51</v>
      </c>
      <c r="N1200" s="28" t="s">
        <v>51</v>
      </c>
    </row>
    <row r="1201" spans="1:14" x14ac:dyDescent="0.15">
      <c r="A1201" s="23" t="str">
        <f>HYPERLINK("https://www.spark-marketing.ru/Card/Person/37622", "МИНИСТЕРСТВО ЗДРАВООХРАНЕНИЯ ИРКУТСКОЙ ОБЛАСТИ")</f>
        <v>МИНИСТЕРСТВО ЗДРАВООХРАНЕНИЯ ИРКУТСКОЙ ОБЛАСТИ</v>
      </c>
      <c r="B1201" s="24" t="s">
        <v>1102</v>
      </c>
      <c r="C1201" s="25">
        <v>96682422.659999996</v>
      </c>
      <c r="D1201" s="22" t="s">
        <v>2444</v>
      </c>
      <c r="E1201" s="22" t="s">
        <v>1104</v>
      </c>
      <c r="F1201" s="23" t="str">
        <f>HYPERLINK("https://www.spark-marketing.ru/Card/Lot/74050680", "Оказание услуг по получению, хранению, учёту и доставке лекарственных препаратов для организации обеспечения отдельных категорий граждан дополнительной бесплатной медицинской помощью в части обеспечения необходимыми лекарственными препаратами, медици...")</f>
        <v>Оказание услуг по получению, хранению, учёту и доставке лекарственных препаратов для организации обеспечения отдельных категорий граждан дополнительной бесплатной медицинской помощью в части обеспечения необходимыми лекарственными препаратами, медици...</v>
      </c>
      <c r="G1201" s="22" t="s">
        <v>263</v>
      </c>
      <c r="H1201" s="22" t="s">
        <v>263</v>
      </c>
      <c r="I1201" s="26">
        <v>43738.506944444402</v>
      </c>
      <c r="J1201" s="23" t="str">
        <f>HYPERLINK("https://www.spark-marketing.ru/Card/Person/53085", "АО ""ИООСАБ""")</f>
        <v>АО "ИООСАБ"</v>
      </c>
      <c r="K1201" s="24" t="s">
        <v>2445</v>
      </c>
      <c r="L1201" s="22" t="s">
        <v>10</v>
      </c>
      <c r="M1201" s="28" t="s">
        <v>51</v>
      </c>
      <c r="N1201" s="28" t="s">
        <v>51</v>
      </c>
    </row>
    <row r="1202" spans="1:14" x14ac:dyDescent="0.15">
      <c r="A1202" s="23" t="str">
        <f>HYPERLINK("https://www.spark-marketing.ru/Card/Person/55306", "МЕЖМУНИЦИПАЛЬНЫЙ ОТДЕЛ МВД РОССИИ ""КАРТАЛИНСКИЙ"" ЧЕЛЯБИНСКОЙ ОБЛАСТИ")</f>
        <v>МЕЖМУНИЦИПАЛЬНЫЙ ОТДЕЛ МВД РОССИИ "КАРТАЛИНСКИЙ" ЧЕЛЯБИНСКОЙ ОБЛАСТИ</v>
      </c>
      <c r="B1202" s="24" t="s">
        <v>2446</v>
      </c>
      <c r="C1202" s="25">
        <v>100000</v>
      </c>
      <c r="D1202" s="22" t="s">
        <v>2447</v>
      </c>
      <c r="E1202" s="22" t="s">
        <v>48</v>
      </c>
      <c r="F1202" s="23" t="str">
        <f>HYPERLINK("https://www.spark-marketing.ru/Card/Lot/74073372", "Оказание услуг по обеспечению питанием в спецприемниках")</f>
        <v>Оказание услуг по обеспечению питанием в спецприемниках</v>
      </c>
      <c r="G1202" s="22" t="s">
        <v>469</v>
      </c>
      <c r="H1202" s="22" t="s">
        <v>469</v>
      </c>
      <c r="I1202" s="26">
        <v>43738.537499999999</v>
      </c>
      <c r="J1202" s="23" t="str">
        <f>HYPERLINK("https://www.spark-marketing.ru/Card/Person/871358", "Угличина Ольга Анатольевна")</f>
        <v>Угличина Ольга Анатольевна</v>
      </c>
      <c r="K1202" s="24" t="s">
        <v>2448</v>
      </c>
      <c r="L1202" s="22" t="s">
        <v>10</v>
      </c>
      <c r="M1202" s="28" t="s">
        <v>51</v>
      </c>
      <c r="N1202" s="28" t="s">
        <v>51</v>
      </c>
    </row>
    <row r="1203" spans="1:14" x14ac:dyDescent="0.15">
      <c r="A1203" s="23" t="str">
        <f>HYPERLINK("https://www.spark-marketing.ru/Card/Person/25650", "УМВД РОССИИ ПО АСТРАХАНСКОЙ ОБЛАСТИ")</f>
        <v>УМВД РОССИИ ПО АСТРАХАНСКОЙ ОБЛАСТИ</v>
      </c>
      <c r="B1203" s="24" t="s">
        <v>2449</v>
      </c>
      <c r="C1203" s="25">
        <v>2769990.48</v>
      </c>
      <c r="D1203" s="22" t="s">
        <v>2450</v>
      </c>
      <c r="E1203" s="22" t="s">
        <v>48</v>
      </c>
      <c r="F1203" s="23" t="str">
        <f>HYPERLINK("https://www.spark-marketing.ru/Card/Lot/74076277", "Оказание услуг по организации ежедневного трехразового питания иностранных граждан содержащихся в ЦВСИГ УМВД России по Астраханской области")</f>
        <v>Оказание услуг по организации ежедневного трехразового питания иностранных граждан содержащихся в ЦВСИГ УМВД России по Астраханской области</v>
      </c>
      <c r="G1203" s="22" t="s">
        <v>141</v>
      </c>
      <c r="H1203" s="22" t="s">
        <v>141</v>
      </c>
      <c r="I1203" s="26">
        <v>43738.516203703701</v>
      </c>
      <c r="J1203" s="28" t="s">
        <v>51</v>
      </c>
      <c r="K1203" s="28" t="s">
        <v>51</v>
      </c>
      <c r="L1203" s="28" t="s">
        <v>51</v>
      </c>
      <c r="M1203" s="28" t="s">
        <v>51</v>
      </c>
      <c r="N1203" s="28" t="s">
        <v>51</v>
      </c>
    </row>
    <row r="1204" spans="1:14" hidden="1" outlineLevel="1" x14ac:dyDescent="0.2">
      <c r="A1204" s="23" t="str">
        <f>HYPERLINK("https://www.spark-marketing.ru/Card/Person/25650", "УМВД РОССИИ ПО АСТРАХАНСКОЙ ОБЛАСТИ")</f>
        <v>УМВД РОССИИ ПО АСТРАХАНСКОЙ ОБЛАСТИ</v>
      </c>
      <c r="B1204" s="24" t="s">
        <v>2449</v>
      </c>
      <c r="C1204" s="25">
        <v>2769990.48</v>
      </c>
      <c r="D1204" s="22" t="s">
        <v>2450</v>
      </c>
      <c r="E1204" s="22" t="s">
        <v>48</v>
      </c>
      <c r="F1204" s="23" t="str">
        <f>HYPERLINK("https://www.spark-marketing.ru/Card/Lot/74076277", "Оказание услуг по организации ежедневного трехразового питания иностранных граждан содержащихся в ЦВСИГ УМВД России по Астраханской области")</f>
        <v>Оказание услуг по организации ежедневного трехразового питания иностранных граждан содержащихся в ЦВСИГ УМВД России по Астраханской области</v>
      </c>
      <c r="G1204" s="22" t="s">
        <v>141</v>
      </c>
      <c r="H1204" s="22" t="s">
        <v>141</v>
      </c>
      <c r="I1204" s="26">
        <v>43738.516203703701</v>
      </c>
      <c r="J1204" s="23" t="str">
        <f>HYPERLINK("https://www.spark-marketing.ru/Card/Person/242503", "ООО ""ФЕНИКС""")</f>
        <v>ООО "ФЕНИКС"</v>
      </c>
      <c r="K1204" s="24" t="s">
        <v>2451</v>
      </c>
      <c r="L1204" s="28" t="s">
        <v>51</v>
      </c>
      <c r="M1204" s="25">
        <v>429.84</v>
      </c>
      <c r="N1204" s="27">
        <v>0.99984482257137575</v>
      </c>
    </row>
    <row r="1205" spans="1:14" ht="12.75" hidden="1" outlineLevel="1" x14ac:dyDescent="0.2">
      <c r="A1205" s="23" t="str">
        <f>HYPERLINK("https://www.spark-marketing.ru/Card/Person/25650", "УМВД РОССИИ ПО АСТРАХАНСКОЙ ОБЛАСТИ")</f>
        <v>УМВД РОССИИ ПО АСТРАХАНСКОЙ ОБЛАСТИ</v>
      </c>
      <c r="B1205" s="24" t="s">
        <v>2449</v>
      </c>
      <c r="C1205" s="25">
        <v>2769990.48</v>
      </c>
      <c r="D1205" s="22" t="s">
        <v>2450</v>
      </c>
      <c r="E1205" s="22" t="s">
        <v>48</v>
      </c>
      <c r="F1205" s="23" t="str">
        <f>HYPERLINK("https://www.spark-marketing.ru/Card/Lot/74076277", "Оказание услуг по организации ежедневного трехразового питания иностранных граждан содержащихся в ЦВСИГ УМВД России по Астраханской области")</f>
        <v>Оказание услуг по организации ежедневного трехразового питания иностранных граждан содержащихся в ЦВСИГ УМВД России по Астраханской области</v>
      </c>
      <c r="G1205" s="22" t="s">
        <v>141</v>
      </c>
      <c r="H1205" s="22" t="s">
        <v>141</v>
      </c>
      <c r="I1205" s="26">
        <v>43738.516203703701</v>
      </c>
      <c r="J1205" s="23" t="str">
        <f>HYPERLINK("https://www.spark-marketing.ru/Card/Person/6618416", "Мамедов Заур Эльдар Оглы")</f>
        <v>Мамедов Заур Эльдар Оглы</v>
      </c>
      <c r="K1205" s="24" t="s">
        <v>2452</v>
      </c>
      <c r="L1205" s="22" t="s">
        <v>10</v>
      </c>
      <c r="M1205" s="25">
        <v>426.2</v>
      </c>
      <c r="N1205" s="27">
        <v>0.99984613665531441</v>
      </c>
    </row>
    <row r="1206" spans="1:14" hidden="1" outlineLevel="1" x14ac:dyDescent="0.2">
      <c r="A1206" s="23" t="str">
        <f>HYPERLINK("https://www.spark-marketing.ru/Card/Person/25650", "УМВД РОССИИ ПО АСТРАХАНСКОЙ ОБЛАСТИ")</f>
        <v>УМВД РОССИИ ПО АСТРАХАНСКОЙ ОБЛАСТИ</v>
      </c>
      <c r="B1206" s="24" t="s">
        <v>2449</v>
      </c>
      <c r="C1206" s="25">
        <v>2769990.48</v>
      </c>
      <c r="D1206" s="22" t="s">
        <v>2450</v>
      </c>
      <c r="E1206" s="22" t="s">
        <v>48</v>
      </c>
      <c r="F1206" s="23" t="str">
        <f>HYPERLINK("https://www.spark-marketing.ru/Card/Lot/74076277", "Оказание услуг по организации ежедневного трехразового питания иностранных граждан содержащихся в ЦВСИГ УМВД России по Астраханской области")</f>
        <v>Оказание услуг по организации ежедневного трехразового питания иностранных граждан содержащихся в ЦВСИГ УМВД России по Астраханской области</v>
      </c>
      <c r="G1206" s="22" t="s">
        <v>141</v>
      </c>
      <c r="H1206" s="22" t="s">
        <v>141</v>
      </c>
      <c r="I1206" s="26">
        <v>43738.516203703701</v>
      </c>
      <c r="J1206" s="23" t="str">
        <f>HYPERLINK("https://www.spark-marketing.ru/Card/Person/6498825", "ООО ""АСТРА КОМПАНИ""")</f>
        <v>ООО "АСТРА КОМПАНИ"</v>
      </c>
      <c r="K1206" s="24" t="s">
        <v>2453</v>
      </c>
      <c r="L1206" s="28" t="s">
        <v>51</v>
      </c>
      <c r="M1206" s="25">
        <v>451.68</v>
      </c>
      <c r="N1206" s="27">
        <v>0.99983693806774387</v>
      </c>
    </row>
    <row r="1207" spans="1:14" x14ac:dyDescent="0.15">
      <c r="A1207" s="23" t="str">
        <f>HYPERLINK("https://www.spark-marketing.ru/Card/Person/1476", "ГУ-БРЯНСКОЕ РО ФОНДА СОЦИАЛЬНОГО СТРАХОВАНИЯ РОССИЙСКОЙ ФЕДЕРАЦИИ")</f>
        <v>ГУ-БРЯНСКОЕ РО ФОНДА СОЦИАЛЬНОГО СТРАХОВАНИЯ РОССИЙСКОЙ ФЕДЕРАЦИИ</v>
      </c>
      <c r="B1207" s="24" t="s">
        <v>2454</v>
      </c>
      <c r="C1207" s="25">
        <v>1841605.2</v>
      </c>
      <c r="D1207" s="22" t="s">
        <v>2455</v>
      </c>
      <c r="E1207" s="22" t="s">
        <v>86</v>
      </c>
      <c r="F1207" s="23" t="str">
        <f>HYPERLINK("https://www.spark-marketing.ru/Card/Lot/74076223", "Оказание услуг по санаторно-курортному лечению граждан-получателей набора социальных услуг в организациях, оказывающих санаторно-курортные услуги по профилям заболеваний: заболевания по Классу IX МКБ-10 «Болезни системы кровообращения», заболевания п...")</f>
        <v>Оказание услуг по санаторно-курортному лечению граждан-получателей набора социальных услуг в организациях, оказывающих санаторно-курортные услуги по профилям заболеваний: заболевания по Классу IX МКБ-10 «Болезни системы кровообращения», заболевания п...</v>
      </c>
      <c r="G1207" s="22" t="s">
        <v>475</v>
      </c>
      <c r="H1207" s="22" t="s">
        <v>475</v>
      </c>
      <c r="I1207" s="26">
        <v>43738.5222222222</v>
      </c>
      <c r="J1207" s="23" t="str">
        <f>HYPERLINK("https://www.spark-marketing.ru/Card/Person/132681", "АО ""БРЯНСКАГРОЗДРАВНИЦА""")</f>
        <v>АО "БРЯНСКАГРОЗДРАВНИЦА"</v>
      </c>
      <c r="K1207" s="24" t="s">
        <v>2456</v>
      </c>
      <c r="L1207" s="28" t="s">
        <v>51</v>
      </c>
      <c r="M1207" s="28" t="s">
        <v>51</v>
      </c>
      <c r="N1207" s="28" t="s">
        <v>51</v>
      </c>
    </row>
    <row r="1208" spans="1:14" ht="12.75" hidden="1" outlineLevel="1" x14ac:dyDescent="0.2">
      <c r="A1208" s="23" t="str">
        <f>HYPERLINK("https://www.spark-marketing.ru/Card/Person/1476", "ГУ-БРЯНСКОЕ РО ФОНДА СОЦИАЛЬНОГО СТРАХОВАНИЯ РОССИЙСКОЙ ФЕДЕРАЦИИ")</f>
        <v>ГУ-БРЯНСКОЕ РО ФОНДА СОЦИАЛЬНОГО СТРАХОВАНИЯ РОССИЙСКОЙ ФЕДЕРАЦИИ</v>
      </c>
      <c r="B1208" s="24" t="s">
        <v>2454</v>
      </c>
      <c r="C1208" s="25">
        <v>1841605.2</v>
      </c>
      <c r="D1208" s="22" t="s">
        <v>2455</v>
      </c>
      <c r="E1208" s="22" t="s">
        <v>86</v>
      </c>
      <c r="F1208" s="23" t="str">
        <f>HYPERLINK("https://www.spark-marketing.ru/Card/Lot/74076223", "Оказание услуг по санаторно-курортному лечению граждан-получателей набора социальных услуг в организациях, оказывающих санаторно-курортные услуги по профилям заболеваний: заболевания по Классу IX МКБ-10 «Болезни системы кровообращения», заболевания п...")</f>
        <v>Оказание услуг по санаторно-курортному лечению граждан-получателей набора социальных услуг в организациях, оказывающих санаторно-курортные услуги по профилям заболеваний: заболевания по Классу IX МКБ-10 «Болезни системы кровообращения», заболевания п...</v>
      </c>
      <c r="G1208" s="22" t="s">
        <v>475</v>
      </c>
      <c r="H1208" s="22" t="s">
        <v>475</v>
      </c>
      <c r="I1208" s="26">
        <v>43738.5222222222</v>
      </c>
      <c r="J1208" s="23" t="str">
        <f>HYPERLINK("https://www.spark-marketing.ru/Card/Person/132681", "АО ""БРЯНСКАГРОЗДРАВНИЦА""")</f>
        <v>АО "БРЯНСКАГРОЗДРАВНИЦА"</v>
      </c>
      <c r="K1208" s="24" t="s">
        <v>2456</v>
      </c>
      <c r="L1208" s="22" t="s">
        <v>10</v>
      </c>
      <c r="M1208" s="25">
        <v>1832397.17</v>
      </c>
      <c r="N1208" s="27">
        <v>5.0000021720181939E-3</v>
      </c>
    </row>
    <row r="1209" spans="1:14" x14ac:dyDescent="0.15">
      <c r="A1209" s="23" t="str">
        <f>HYPERLINK("https://www.spark-marketing.ru/Card/Person/737290", "ГКУ «ЦБЗ ПРИ МИНЗДРАВЕ КАРЕЛИИ»")</f>
        <v>ГКУ «ЦБЗ ПРИ МИНЗДРАВЕ КАРЕЛИИ»</v>
      </c>
      <c r="B1209" s="24" t="s">
        <v>312</v>
      </c>
      <c r="C1209" s="25">
        <v>184518</v>
      </c>
      <c r="D1209" s="22" t="s">
        <v>2457</v>
      </c>
      <c r="E1209" s="22" t="s">
        <v>52</v>
      </c>
      <c r="F1209" s="23" t="str">
        <f>HYPERLINK("https://www.spark-marketing.ru/Card/Lot/74075169", "Поставка лекарственного препарата     Валганцикловир,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и...")</f>
        <v>Поставка лекарственного препарата     Валганцикловир,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</v>
      </c>
      <c r="G1209" s="22" t="s">
        <v>59</v>
      </c>
      <c r="H1209" s="22" t="s">
        <v>314</v>
      </c>
      <c r="I1209" s="26">
        <v>43738.529166666704</v>
      </c>
      <c r="J1209" s="28" t="s">
        <v>51</v>
      </c>
      <c r="K1209" s="28" t="s">
        <v>51</v>
      </c>
      <c r="L1209" s="28" t="s">
        <v>51</v>
      </c>
      <c r="M1209" s="28" t="s">
        <v>51</v>
      </c>
      <c r="N1209" s="28" t="s">
        <v>51</v>
      </c>
    </row>
    <row r="1210" spans="1:14" hidden="1" outlineLevel="1" x14ac:dyDescent="0.2">
      <c r="A1210" s="23" t="str">
        <f>HYPERLINK("https://www.spark-marketing.ru/Card/Person/737290", "ГКУ «ЦБЗ ПРИ МИНЗДРАВЕ КАРЕЛИИ»")</f>
        <v>ГКУ «ЦБЗ ПРИ МИНЗДРАВЕ КАРЕЛИИ»</v>
      </c>
      <c r="B1210" s="24" t="s">
        <v>312</v>
      </c>
      <c r="C1210" s="25">
        <v>184518</v>
      </c>
      <c r="D1210" s="22" t="s">
        <v>2457</v>
      </c>
      <c r="E1210" s="22" t="s">
        <v>52</v>
      </c>
      <c r="F1210" s="23" t="str">
        <f>HYPERLINK("https://www.spark-marketing.ru/Card/Lot/74075169", "Поставка лекарственного препарата     Валганцикловир,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и...")</f>
        <v>Поставка лекарственного препарата     Валганцикловир,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</v>
      </c>
      <c r="G1210" s="22" t="s">
        <v>59</v>
      </c>
      <c r="H1210" s="22" t="s">
        <v>314</v>
      </c>
      <c r="I1210" s="26">
        <v>43738.529166666704</v>
      </c>
      <c r="J1210" s="23" t="str">
        <f>HYPERLINK("https://www.spark-marketing.ru/Card/Person/2561407", "ООО ""ЕТМ""")</f>
        <v>ООО "ЕТМ"</v>
      </c>
      <c r="K1210" s="24" t="s">
        <v>2185</v>
      </c>
      <c r="L1210" s="28" t="s">
        <v>51</v>
      </c>
      <c r="M1210" s="25">
        <v>183595.41</v>
      </c>
      <c r="N1210" s="27">
        <v>5.0000000000000001E-3</v>
      </c>
    </row>
    <row r="1211" spans="1:14" hidden="1" outlineLevel="1" x14ac:dyDescent="0.2">
      <c r="A1211" s="23" t="str">
        <f>HYPERLINK("https://www.spark-marketing.ru/Card/Person/737290", "ГКУ «ЦБЗ ПРИ МИНЗДРАВЕ КАРЕЛИИ»")</f>
        <v>ГКУ «ЦБЗ ПРИ МИНЗДРАВЕ КАРЕЛИИ»</v>
      </c>
      <c r="B1211" s="24" t="s">
        <v>312</v>
      </c>
      <c r="C1211" s="25">
        <v>184518</v>
      </c>
      <c r="D1211" s="22" t="s">
        <v>2457</v>
      </c>
      <c r="E1211" s="22" t="s">
        <v>52</v>
      </c>
      <c r="F1211" s="23" t="str">
        <f>HYPERLINK("https://www.spark-marketing.ru/Card/Lot/74075169", "Поставка лекарственного препарата     Валганцикловир,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и...")</f>
        <v>Поставка лекарственного препарата     Валганцикловир,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</v>
      </c>
      <c r="G1211" s="22" t="s">
        <v>59</v>
      </c>
      <c r="H1211" s="22" t="s">
        <v>314</v>
      </c>
      <c r="I1211" s="26">
        <v>43738.529166666704</v>
      </c>
      <c r="J1211" s="23" t="str">
        <f>HYPERLINK("https://www.spark-marketing.ru/Card/Person/6695730", "ООО ""ПРИМАФАРМ""")</f>
        <v>ООО "ПРИМАФАРМ"</v>
      </c>
      <c r="K1211" s="24" t="s">
        <v>2338</v>
      </c>
      <c r="L1211" s="28" t="s">
        <v>51</v>
      </c>
      <c r="M1211" s="25">
        <v>182672.82</v>
      </c>
      <c r="N1211" s="27">
        <v>0.01</v>
      </c>
    </row>
    <row r="1212" spans="1:14" ht="12.75" hidden="1" outlineLevel="1" x14ac:dyDescent="0.2">
      <c r="A1212" s="23" t="str">
        <f>HYPERLINK("https://www.spark-marketing.ru/Card/Person/737290", "ГКУ «ЦБЗ ПРИ МИНЗДРАВЕ КАРЕЛИИ»")</f>
        <v>ГКУ «ЦБЗ ПРИ МИНЗДРАВЕ КАРЕЛИИ»</v>
      </c>
      <c r="B1212" s="24" t="s">
        <v>312</v>
      </c>
      <c r="C1212" s="25">
        <v>184518</v>
      </c>
      <c r="D1212" s="22" t="s">
        <v>2457</v>
      </c>
      <c r="E1212" s="22" t="s">
        <v>52</v>
      </c>
      <c r="F1212" s="23" t="str">
        <f>HYPERLINK("https://www.spark-marketing.ru/Card/Lot/74075169", "Поставка лекарственного препарата     Валганцикловир,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и...")</f>
        <v>Поставка лекарственного препарата     Валганцикловир,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</v>
      </c>
      <c r="G1212" s="22" t="s">
        <v>59</v>
      </c>
      <c r="H1212" s="22" t="s">
        <v>314</v>
      </c>
      <c r="I1212" s="26">
        <v>43738.529166666704</v>
      </c>
      <c r="J1212" s="23" t="str">
        <f>HYPERLINK("https://www.spark-marketing.ru/Card/Person/2584515", "ООО ""ЛЕГЕ АРТИС ФАРМ""")</f>
        <v>ООО "ЛЕГЕ АРТИС ФАРМ"</v>
      </c>
      <c r="K1212" s="24" t="s">
        <v>2458</v>
      </c>
      <c r="L1212" s="22" t="s">
        <v>10</v>
      </c>
      <c r="M1212" s="25">
        <v>181750.23</v>
      </c>
      <c r="N1212" s="27">
        <v>1.4999999999999999E-2</v>
      </c>
    </row>
    <row r="1213" spans="1:14" x14ac:dyDescent="0.15">
      <c r="A1213" s="23" t="str">
        <f>HYPERLINK("https://www.spark-marketing.ru/Card/Person/6086", "ГКУ ""ДИРЕКЦИЯ ОДОТСЗН Г. МОСКВЫ""")</f>
        <v>ГКУ "ДИРЕКЦИЯ ОДОТСЗН Г. МОСКВЫ"</v>
      </c>
      <c r="B1213" s="24" t="s">
        <v>164</v>
      </c>
      <c r="C1213" s="25">
        <v>13138281</v>
      </c>
      <c r="D1213" s="22" t="s">
        <v>2459</v>
      </c>
      <c r="E1213" s="22" t="s">
        <v>86</v>
      </c>
      <c r="F1213" s="23" t="str">
        <f>HYPERLINK("https://www.spark-marketing.ru/Card/Lot/74083003", "Оказание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болезни эндокринной системы, расстройства питания и нарушения обм...")</f>
        <v>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болезни эндокринной системы, расстройства питания и нарушения обм...</v>
      </c>
      <c r="G1213" s="22" t="s">
        <v>56</v>
      </c>
      <c r="H1213" s="22" t="s">
        <v>56</v>
      </c>
      <c r="I1213" s="26">
        <v>43738.512384259302</v>
      </c>
      <c r="J1213" s="28" t="s">
        <v>51</v>
      </c>
      <c r="K1213" s="28" t="s">
        <v>51</v>
      </c>
      <c r="L1213" s="28" t="s">
        <v>51</v>
      </c>
      <c r="M1213" s="28" t="s">
        <v>51</v>
      </c>
      <c r="N1213" s="28" t="s">
        <v>51</v>
      </c>
    </row>
    <row r="1214" spans="1:14" x14ac:dyDescent="0.15">
      <c r="A1214" s="23" t="str">
        <f t="shared" ref="A1214:A1220" si="16">HYPERLINK("https://www.spark-marketing.ru/Card/Person/4347173", "ОПС - филиал РОПУ (г. Ростов-на-Дону)")</f>
        <v>ОПС - филиал РОПУ (г. Ростов-на-Дону)</v>
      </c>
      <c r="B1214" s="24" t="s">
        <v>2460</v>
      </c>
      <c r="C1214" s="25">
        <v>33073</v>
      </c>
      <c r="D1214" s="22" t="s">
        <v>2461</v>
      </c>
      <c r="E1214" s="22" t="s">
        <v>1862</v>
      </c>
      <c r="F1214" s="23" t="str">
        <f t="shared" ref="F1214:F1220" si="17">HYPERLINK("https://www.spark-marketing.ru/Card/Lot/74065940", "Оказание услуг по переработке и утилизации списанных средств.")</f>
        <v>Оказание услуг по переработке и утилизации списанных средств.</v>
      </c>
      <c r="G1214" s="22" t="s">
        <v>267</v>
      </c>
      <c r="H1214" s="22" t="s">
        <v>267</v>
      </c>
      <c r="I1214" s="26">
        <v>43738.504861111098</v>
      </c>
      <c r="J1214" s="28" t="s">
        <v>51</v>
      </c>
      <c r="K1214" s="28" t="s">
        <v>51</v>
      </c>
      <c r="L1214" s="28" t="s">
        <v>51</v>
      </c>
      <c r="M1214" s="28" t="s">
        <v>51</v>
      </c>
      <c r="N1214" s="28" t="s">
        <v>51</v>
      </c>
    </row>
    <row r="1215" spans="1:14" hidden="1" outlineLevel="1" x14ac:dyDescent="0.2">
      <c r="A1215" s="23" t="str">
        <f t="shared" si="16"/>
        <v>ОПС - филиал РОПУ (г. Ростов-на-Дону)</v>
      </c>
      <c r="B1215" s="24" t="s">
        <v>2460</v>
      </c>
      <c r="C1215" s="25">
        <v>33073</v>
      </c>
      <c r="D1215" s="22" t="s">
        <v>2461</v>
      </c>
      <c r="E1215" s="22" t="s">
        <v>1862</v>
      </c>
      <c r="F1215" s="23" t="str">
        <f t="shared" si="17"/>
        <v>Оказание услуг по переработке и утилизации списанных средств.</v>
      </c>
      <c r="G1215" s="22" t="s">
        <v>267</v>
      </c>
      <c r="H1215" s="22" t="s">
        <v>267</v>
      </c>
      <c r="I1215" s="26">
        <v>43738.504861111098</v>
      </c>
      <c r="J1215" s="23" t="str">
        <f>HYPERLINK("https://www.spark-marketing.ru/Card/Person/671509", "ООО ""МОСКОВСКАЯ УТИЛИЗИРУЮЩАЯ КОМПАНИЯ""")</f>
        <v>ООО "МОСКОВСКАЯ УТИЛИЗИРУЮЩАЯ КОМПАНИЯ"</v>
      </c>
      <c r="K1215" s="24" t="s">
        <v>2462</v>
      </c>
      <c r="L1215" s="28" t="s">
        <v>51</v>
      </c>
      <c r="M1215" s="25">
        <v>17695.88</v>
      </c>
      <c r="N1215" s="27">
        <v>0.46494481903667645</v>
      </c>
    </row>
    <row r="1216" spans="1:14" hidden="1" outlineLevel="1" x14ac:dyDescent="0.2">
      <c r="A1216" s="23" t="str">
        <f t="shared" si="16"/>
        <v>ОПС - филиал РОПУ (г. Ростов-на-Дону)</v>
      </c>
      <c r="B1216" s="24" t="s">
        <v>2460</v>
      </c>
      <c r="C1216" s="25">
        <v>33073</v>
      </c>
      <c r="D1216" s="22" t="s">
        <v>2461</v>
      </c>
      <c r="E1216" s="22" t="s">
        <v>1862</v>
      </c>
      <c r="F1216" s="23" t="str">
        <f t="shared" si="17"/>
        <v>Оказание услуг по переработке и утилизации списанных средств.</v>
      </c>
      <c r="G1216" s="22" t="s">
        <v>267</v>
      </c>
      <c r="H1216" s="22" t="s">
        <v>267</v>
      </c>
      <c r="I1216" s="26">
        <v>43738.504861111098</v>
      </c>
      <c r="J1216" s="23" t="str">
        <f>HYPERLINK("https://www.spark-marketing.ru/Card/Person/849919", "ООО ""ЮЖНАЯ УТИЛИЗИРУЮЩАЯ КОМПАНИЯ""")</f>
        <v>ООО "ЮЖНАЯ УТИЛИЗИРУЮЩАЯ КОМПАНИЯ"</v>
      </c>
      <c r="K1216" s="24" t="s">
        <v>2463</v>
      </c>
      <c r="L1216" s="28" t="s">
        <v>51</v>
      </c>
      <c r="M1216" s="25">
        <v>17695.88</v>
      </c>
      <c r="N1216" s="27">
        <v>0.46494481903667645</v>
      </c>
    </row>
    <row r="1217" spans="1:14" hidden="1" outlineLevel="1" x14ac:dyDescent="0.2">
      <c r="A1217" s="23" t="str">
        <f t="shared" si="16"/>
        <v>ОПС - филиал РОПУ (г. Ростов-на-Дону)</v>
      </c>
      <c r="B1217" s="24" t="s">
        <v>2460</v>
      </c>
      <c r="C1217" s="25">
        <v>33073</v>
      </c>
      <c r="D1217" s="22" t="s">
        <v>2461</v>
      </c>
      <c r="E1217" s="22" t="s">
        <v>1862</v>
      </c>
      <c r="F1217" s="23" t="str">
        <f t="shared" si="17"/>
        <v>Оказание услуг по переработке и утилизации списанных средств.</v>
      </c>
      <c r="G1217" s="22" t="s">
        <v>267</v>
      </c>
      <c r="H1217" s="22" t="s">
        <v>267</v>
      </c>
      <c r="I1217" s="26">
        <v>43738.504861111098</v>
      </c>
      <c r="J1217" s="23" t="str">
        <f>HYPERLINK("https://www.spark-marketing.ru/Card/Person/140695", "ООО ""ЭКОЛОГИЧЕСКАЯ БЕЗОПАСНОСТЬ""")</f>
        <v>ООО "ЭКОЛОГИЧЕСКАЯ БЕЗОПАСНОСТЬ"</v>
      </c>
      <c r="K1217" s="24" t="s">
        <v>2464</v>
      </c>
      <c r="L1217" s="28" t="s">
        <v>51</v>
      </c>
      <c r="M1217" s="25">
        <v>28000</v>
      </c>
      <c r="N1217" s="27">
        <v>0.15338795996734497</v>
      </c>
    </row>
    <row r="1218" spans="1:14" hidden="1" outlineLevel="1" x14ac:dyDescent="0.2">
      <c r="A1218" s="23" t="str">
        <f t="shared" si="16"/>
        <v>ОПС - филиал РОПУ (г. Ростов-на-Дону)</v>
      </c>
      <c r="B1218" s="24" t="s">
        <v>2460</v>
      </c>
      <c r="C1218" s="25">
        <v>33073</v>
      </c>
      <c r="D1218" s="22" t="s">
        <v>2461</v>
      </c>
      <c r="E1218" s="22" t="s">
        <v>1862</v>
      </c>
      <c r="F1218" s="23" t="str">
        <f t="shared" si="17"/>
        <v>Оказание услуг по переработке и утилизации списанных средств.</v>
      </c>
      <c r="G1218" s="22" t="s">
        <v>267</v>
      </c>
      <c r="H1218" s="22" t="s">
        <v>267</v>
      </c>
      <c r="I1218" s="26">
        <v>43738.504861111098</v>
      </c>
      <c r="J1218" s="23" t="str">
        <f>HYPERLINK("https://www.spark-marketing.ru/Card/Person/4719465", "ООО ""ПК ""ЭКОВТОР""")</f>
        <v>ООО "ПК "ЭКОВТОР"</v>
      </c>
      <c r="K1218" s="24" t="s">
        <v>2465</v>
      </c>
      <c r="L1218" s="28" t="s">
        <v>51</v>
      </c>
      <c r="M1218" s="25">
        <v>28773.48</v>
      </c>
      <c r="N1218" s="27">
        <v>0.1300009070843286</v>
      </c>
    </row>
    <row r="1219" spans="1:14" ht="12.75" hidden="1" outlineLevel="1" x14ac:dyDescent="0.2">
      <c r="A1219" s="23" t="str">
        <f t="shared" si="16"/>
        <v>ОПС - филиал РОПУ (г. Ростов-на-Дону)</v>
      </c>
      <c r="B1219" s="24" t="s">
        <v>2460</v>
      </c>
      <c r="C1219" s="25">
        <v>33073</v>
      </c>
      <c r="D1219" s="22" t="s">
        <v>2461</v>
      </c>
      <c r="E1219" s="22" t="s">
        <v>1862</v>
      </c>
      <c r="F1219" s="23" t="str">
        <f t="shared" si="17"/>
        <v>Оказание услуг по переработке и утилизации списанных средств.</v>
      </c>
      <c r="G1219" s="22" t="s">
        <v>267</v>
      </c>
      <c r="H1219" s="22" t="s">
        <v>267</v>
      </c>
      <c r="I1219" s="26">
        <v>43738.504861111098</v>
      </c>
      <c r="J1219" s="23" t="str">
        <f>HYPERLINK("https://www.spark-marketing.ru/Card/Person/825879", "Закиров Рустем Рифкатович")</f>
        <v>Закиров Рустем Рифкатович</v>
      </c>
      <c r="K1219" s="24" t="s">
        <v>2466</v>
      </c>
      <c r="L1219" s="22" t="s">
        <v>10</v>
      </c>
      <c r="M1219" s="25">
        <v>21993.41</v>
      </c>
      <c r="N1219" s="27">
        <v>0.33500408187947872</v>
      </c>
    </row>
    <row r="1220" spans="1:14" hidden="1" outlineLevel="1" x14ac:dyDescent="0.2">
      <c r="A1220" s="23" t="str">
        <f t="shared" si="16"/>
        <v>ОПС - филиал РОПУ (г. Ростов-на-Дону)</v>
      </c>
      <c r="B1220" s="24" t="s">
        <v>2460</v>
      </c>
      <c r="C1220" s="25">
        <v>33073</v>
      </c>
      <c r="D1220" s="22" t="s">
        <v>2461</v>
      </c>
      <c r="E1220" s="22" t="s">
        <v>1862</v>
      </c>
      <c r="F1220" s="23" t="str">
        <f t="shared" si="17"/>
        <v>Оказание услуг по переработке и утилизации списанных средств.</v>
      </c>
      <c r="G1220" s="22" t="s">
        <v>267</v>
      </c>
      <c r="H1220" s="22" t="s">
        <v>267</v>
      </c>
      <c r="I1220" s="26">
        <v>43738.504861111098</v>
      </c>
      <c r="J1220" s="23" t="str">
        <f>HYPERLINK("https://www.spark-marketing.ru/Card/Person/963962", "ООО ""СТАВСТРОЙКОМПЛЕКТ""")</f>
        <v>ООО "СТАВСТРОЙКОМПЛЕКТ"</v>
      </c>
      <c r="K1220" s="24" t="s">
        <v>2467</v>
      </c>
      <c r="L1220" s="28" t="s">
        <v>51</v>
      </c>
      <c r="M1220" s="25">
        <v>17695.88</v>
      </c>
      <c r="N1220" s="27">
        <v>0.46494481903667645</v>
      </c>
    </row>
    <row r="1221" spans="1:14" x14ac:dyDescent="0.15">
      <c r="A1221" s="23" t="str">
        <f>HYPERLINK("https://www.spark-marketing.ru/Card/Person/206110", "ФКУ ""ЦХИСО УМВД РОССИИ ПО ХАБАРОВСКОМУ КРАЮ""")</f>
        <v>ФКУ "ЦХИСО УМВД РОССИИ ПО ХАБАРОВСКОМУ КРАЮ"</v>
      </c>
      <c r="B1221" s="24" t="s">
        <v>2468</v>
      </c>
      <c r="C1221" s="25">
        <v>129466</v>
      </c>
      <c r="D1221" s="22" t="s">
        <v>2469</v>
      </c>
      <c r="E1221" s="22" t="s">
        <v>1862</v>
      </c>
      <c r="F1221" s="23" t="str">
        <f>HYPERLINK("https://www.spark-marketing.ru/Card/Lot/74045727", "Оказание услуг по утилизации компьютерной, организационной техники, средств связи утративших потребительские свойства")</f>
        <v>Оказание услуг по утилизации компьютерной, организационной техники, средств связи утративших потребительские свойства</v>
      </c>
      <c r="G1221" s="22" t="s">
        <v>1096</v>
      </c>
      <c r="H1221" s="22" t="s">
        <v>1096</v>
      </c>
      <c r="I1221" s="26">
        <v>43738.502083333296</v>
      </c>
      <c r="J1221" s="28" t="s">
        <v>51</v>
      </c>
      <c r="K1221" s="28" t="s">
        <v>51</v>
      </c>
      <c r="L1221" s="28" t="s">
        <v>51</v>
      </c>
      <c r="M1221" s="28" t="s">
        <v>51</v>
      </c>
      <c r="N1221" s="28" t="s">
        <v>51</v>
      </c>
    </row>
    <row r="1222" spans="1:14" ht="12.75" hidden="1" outlineLevel="1" x14ac:dyDescent="0.2">
      <c r="A1222" s="23" t="str">
        <f>HYPERLINK("https://www.spark-marketing.ru/Card/Person/206110", "ФКУ ""ЦХИСО УМВД РОССИИ ПО ХАБАРОВСКОМУ КРАЮ""")</f>
        <v>ФКУ "ЦХИСО УМВД РОССИИ ПО ХАБАРОВСКОМУ КРАЮ"</v>
      </c>
      <c r="B1222" s="24" t="s">
        <v>2468</v>
      </c>
      <c r="C1222" s="25">
        <v>129466</v>
      </c>
      <c r="D1222" s="22" t="s">
        <v>2469</v>
      </c>
      <c r="E1222" s="22" t="s">
        <v>1862</v>
      </c>
      <c r="F1222" s="23" t="str">
        <f>HYPERLINK("https://www.spark-marketing.ru/Card/Lot/74045727", "Оказание услуг по утилизации компьютерной, организационной техники, средств связи утративших потребительские свойства")</f>
        <v>Оказание услуг по утилизации компьютерной, организационной техники, средств связи утративших потребительские свойства</v>
      </c>
      <c r="G1222" s="22" t="s">
        <v>1096</v>
      </c>
      <c r="H1222" s="22" t="s">
        <v>1096</v>
      </c>
      <c r="I1222" s="26">
        <v>43738.502083333296</v>
      </c>
      <c r="J1222" s="23" t="str">
        <f>HYPERLINK("https://www.spark-marketing.ru/Card/Person/449148", "ООО ""ЦУТО""")</f>
        <v>ООО "ЦУТО"</v>
      </c>
      <c r="K1222" s="24" t="s">
        <v>2470</v>
      </c>
      <c r="L1222" s="22" t="s">
        <v>10</v>
      </c>
      <c r="M1222" s="25">
        <v>128500</v>
      </c>
      <c r="N1222" s="27">
        <v>7.461418441907528E-3</v>
      </c>
    </row>
    <row r="1223" spans="1:14" hidden="1" outlineLevel="1" x14ac:dyDescent="0.2">
      <c r="A1223" s="23" t="str">
        <f>HYPERLINK("https://www.spark-marketing.ru/Card/Person/206110", "ФКУ ""ЦХИСО УМВД РОССИИ ПО ХАБАРОВСКОМУ КРАЮ""")</f>
        <v>ФКУ "ЦХИСО УМВД РОССИИ ПО ХАБАРОВСКОМУ КРАЮ"</v>
      </c>
      <c r="B1223" s="24" t="s">
        <v>2468</v>
      </c>
      <c r="C1223" s="25">
        <v>129466</v>
      </c>
      <c r="D1223" s="22" t="s">
        <v>2469</v>
      </c>
      <c r="E1223" s="22" t="s">
        <v>1862</v>
      </c>
      <c r="F1223" s="23" t="str">
        <f>HYPERLINK("https://www.spark-marketing.ru/Card/Lot/74045727", "Оказание услуг по утилизации компьютерной, организационной техники, средств связи утративших потребительские свойства")</f>
        <v>Оказание услуг по утилизации компьютерной, организационной техники, средств связи утративших потребительские свойства</v>
      </c>
      <c r="G1223" s="22" t="s">
        <v>1096</v>
      </c>
      <c r="H1223" s="22" t="s">
        <v>1096</v>
      </c>
      <c r="I1223" s="26">
        <v>43738.502083333296</v>
      </c>
      <c r="J1223" s="23" t="str">
        <f>HYPERLINK("https://www.spark-marketing.ru/Card/Person/4719465", "ООО ""ПК ""ЭКОВТОР""")</f>
        <v>ООО "ПК "ЭКОВТОР"</v>
      </c>
      <c r="K1223" s="24" t="s">
        <v>2465</v>
      </c>
      <c r="L1223" s="28" t="s">
        <v>51</v>
      </c>
      <c r="M1223" s="25">
        <v>128171.34</v>
      </c>
      <c r="N1223" s="27">
        <v>0.01</v>
      </c>
    </row>
    <row r="1224" spans="1:14" x14ac:dyDescent="0.15">
      <c r="A1224" s="23" t="str">
        <f>HYPERLINK("https://www.spark-marketing.ru/Card/Person/4393223", "АО ""АНХК""")</f>
        <v>АО "АНХК"</v>
      </c>
      <c r="B1224" s="24" t="s">
        <v>2471</v>
      </c>
      <c r="C1224" s="28" t="s">
        <v>51</v>
      </c>
      <c r="D1224" s="22" t="s">
        <v>2472</v>
      </c>
      <c r="E1224" s="22" t="s">
        <v>2473</v>
      </c>
      <c r="F1224" s="23" t="str">
        <f>HYPERLINK("https://www.spark-marketing.ru/Card/Lot/74053188", "Аенда транспортных средств (двух машин-рефрижераторов) с предоставлением услуги по управлению и технической эксплуатации для обеспечения перевозки продуктов питания на объекты АО «АНХК»")</f>
        <v>Аенда транспортных средств (двух машин-рефрижераторов) с предоставлением услуги по управлению и технической эксплуатации для обеспечения перевозки продуктов питания на объекты АО «АНХК»</v>
      </c>
      <c r="G1224" s="22" t="s">
        <v>263</v>
      </c>
      <c r="H1224" s="22" t="s">
        <v>540</v>
      </c>
      <c r="I1224" s="26">
        <v>43738.499305555597</v>
      </c>
      <c r="J1224" s="28" t="s">
        <v>51</v>
      </c>
      <c r="K1224" s="28" t="s">
        <v>51</v>
      </c>
      <c r="L1224" s="28" t="s">
        <v>51</v>
      </c>
      <c r="M1224" s="28" t="s">
        <v>51</v>
      </c>
      <c r="N1224" s="28" t="s">
        <v>51</v>
      </c>
    </row>
    <row r="1225" spans="1:14" x14ac:dyDescent="0.15">
      <c r="A1225" s="23" t="str">
        <f>HYPERLINK("https://www.spark-marketing.ru/Card/Person/737290", "ГКУ «ЦБЗ ПРИ МИНЗДРАВЕ КАРЕЛИИ»")</f>
        <v>ГКУ «ЦБЗ ПРИ МИНЗДРАВЕ КАРЕЛИИ»</v>
      </c>
      <c r="B1225" s="24" t="s">
        <v>312</v>
      </c>
      <c r="C1225" s="25">
        <v>323092.8</v>
      </c>
      <c r="D1225" s="22" t="s">
        <v>2474</v>
      </c>
      <c r="E1225" s="22" t="s">
        <v>52</v>
      </c>
      <c r="F1225" s="23" t="str">
        <f>HYPERLINK("https://www.spark-marketing.ru/Card/Lot/74077889", "Поставка лекарственного препарата Альфакальцидол ,в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...")</f>
        <v>Поставка лекарственного препарата Альфакальцидол ,в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...</v>
      </c>
      <c r="G1225" s="22" t="s">
        <v>59</v>
      </c>
      <c r="H1225" s="22" t="s">
        <v>314</v>
      </c>
      <c r="I1225" s="26">
        <v>43738.471250000002</v>
      </c>
      <c r="J1225" s="23" t="str">
        <f>HYPERLINK("https://www.spark-marketing.ru/Card/Person/6492462", "ООО ""ОН.К""")</f>
        <v>ООО "ОН.К"</v>
      </c>
      <c r="K1225" s="24" t="s">
        <v>2173</v>
      </c>
      <c r="L1225" s="28" t="s">
        <v>51</v>
      </c>
      <c r="M1225" s="28" t="s">
        <v>51</v>
      </c>
      <c r="N1225" s="28" t="s">
        <v>51</v>
      </c>
    </row>
    <row r="1226" spans="1:14" hidden="1" outlineLevel="1" x14ac:dyDescent="0.15">
      <c r="A1226" s="23" t="str">
        <f>HYPERLINK("https://www.spark-marketing.ru/Card/Person/737290", "ГКУ «ЦБЗ ПРИ МИНЗДРАВЕ КАРЕЛИИ»")</f>
        <v>ГКУ «ЦБЗ ПРИ МИНЗДРАВЕ КАРЕЛИИ»</v>
      </c>
      <c r="B1226" s="24" t="s">
        <v>312</v>
      </c>
      <c r="C1226" s="25">
        <v>323092.8</v>
      </c>
      <c r="D1226" s="22" t="s">
        <v>2474</v>
      </c>
      <c r="E1226" s="22" t="s">
        <v>52</v>
      </c>
      <c r="F1226" s="23" t="str">
        <f>HYPERLINK("https://www.spark-marketing.ru/Card/Lot/74077889", "Поставка лекарственного препарата Альфакальцидол ,в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...")</f>
        <v>Поставка лекарственного препарата Альфакальцидол ,в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...</v>
      </c>
      <c r="G1226" s="22" t="s">
        <v>59</v>
      </c>
      <c r="H1226" s="22" t="s">
        <v>314</v>
      </c>
      <c r="I1226" s="26">
        <v>43738.471250000002</v>
      </c>
      <c r="J1226" s="23" t="str">
        <f>HYPERLINK("https://www.spark-marketing.ru/Card/Person/6492462", "ООО ""ОН.К""")</f>
        <v>ООО "ОН.К"</v>
      </c>
      <c r="K1226" s="24" t="s">
        <v>2173</v>
      </c>
      <c r="L1226" s="22" t="s">
        <v>10</v>
      </c>
      <c r="M1226" s="28" t="s">
        <v>51</v>
      </c>
      <c r="N1226" s="28" t="s">
        <v>51</v>
      </c>
    </row>
    <row r="1227" spans="1:14" x14ac:dyDescent="0.15">
      <c r="A1227" s="23" t="str">
        <f>HYPERLINK("https://www.spark-marketing.ru/Card/Person/31030", "БУЗ И СПЭ УР ""РЕСПУБЛИКАНСКАЯ КЛИНИЧЕСКАЯ ПСИХИАТРИЧЕСКАЯ БОЛЬНИЦА МЗ УР""")</f>
        <v>БУЗ И СПЭ УР "РЕСПУБЛИКАНСКАЯ КЛИНИЧЕСКАЯ ПСИХИАТРИЧЕСКАЯ БОЛЬНИЦА МЗ УР"</v>
      </c>
      <c r="B1227" s="24" t="s">
        <v>2475</v>
      </c>
      <c r="C1227" s="25">
        <v>473000</v>
      </c>
      <c r="D1227" s="22" t="s">
        <v>2476</v>
      </c>
      <c r="E1227" s="22" t="s">
        <v>48</v>
      </c>
      <c r="F1227" s="23" t="str">
        <f>HYPERLINK("https://www.spark-marketing.ru/Card/Lot/74086460", "№ зз-30856-19 Услуги по организации готового лечебного питания")</f>
        <v>№ зз-30856-19 Услуги по организации готового лечебного питания</v>
      </c>
      <c r="G1227" s="22" t="s">
        <v>852</v>
      </c>
      <c r="H1227" s="22" t="s">
        <v>2477</v>
      </c>
      <c r="I1227" s="26">
        <v>43738.485416666699</v>
      </c>
      <c r="J1227" s="23" t="str">
        <f>HYPERLINK("https://www.spark-marketing.ru/Card/Person/812562", "Чухланцева Ирина Вячеславовна")</f>
        <v>Чухланцева Ирина Вячеславовна</v>
      </c>
      <c r="K1227" s="24" t="s">
        <v>2478</v>
      </c>
      <c r="L1227" s="22" t="s">
        <v>10</v>
      </c>
      <c r="M1227" s="28" t="s">
        <v>51</v>
      </c>
      <c r="N1227" s="28" t="s">
        <v>51</v>
      </c>
    </row>
    <row r="1228" spans="1:14" x14ac:dyDescent="0.15">
      <c r="A1228" s="23" t="str">
        <f>HYPERLINK("https://www.spark-marketing.ru/Card/Person/57217", "ГБУ СШ № 2 КРАСНОГВАРДЕЙСКОГО РАЙОНА")</f>
        <v>ГБУ СШ № 2 КРАСНОГВАРДЕЙСКОГО РАЙОНА</v>
      </c>
      <c r="B1228" s="24" t="s">
        <v>2479</v>
      </c>
      <c r="C1228" s="25">
        <v>325260</v>
      </c>
      <c r="D1228" s="22" t="s">
        <v>2480</v>
      </c>
      <c r="E1228" s="22" t="s">
        <v>2481</v>
      </c>
      <c r="F1228" s="23" t="str">
        <f>HYPERLINK("https://www.spark-marketing.ru/Card/Lot/74079577", "Оказание услуг по организации проезда, проживания и питания для участия занимающихся отделения ""Художественная гимнастика"" для Государственного бюджетного учреждения спортивная школа № 2 Красногвардейского района, для нужд Санкт-Петербурга в 2019 г...")</f>
        <v>Оказание услуг по организации проезда, проживания и питания для участия занимающихся отделения "Художественная гимнастика" для Государственного бюджетного учреждения спортивная школа № 2 Красногвардейского района, для нужд Санкт-Петербурга в 2019 г...</v>
      </c>
      <c r="G1228" s="22" t="s">
        <v>141</v>
      </c>
      <c r="H1228" s="22" t="s">
        <v>2201</v>
      </c>
      <c r="I1228" s="26">
        <v>43738.466666666704</v>
      </c>
      <c r="J1228" s="28" t="s">
        <v>51</v>
      </c>
      <c r="K1228" s="28" t="s">
        <v>51</v>
      </c>
      <c r="L1228" s="28" t="s">
        <v>51</v>
      </c>
      <c r="M1228" s="28" t="s">
        <v>51</v>
      </c>
      <c r="N1228" s="28" t="s">
        <v>51</v>
      </c>
    </row>
    <row r="1229" spans="1:14" ht="12.75" hidden="1" outlineLevel="1" x14ac:dyDescent="0.2">
      <c r="A1229" s="23" t="str">
        <f>HYPERLINK("https://www.spark-marketing.ru/Card/Person/57217", "ГБУ СШ № 2 КРАСНОГВАРДЕЙСКОГО РАЙОНА")</f>
        <v>ГБУ СШ № 2 КРАСНОГВАРДЕЙСКОГО РАЙОНА</v>
      </c>
      <c r="B1229" s="24" t="s">
        <v>2479</v>
      </c>
      <c r="C1229" s="25">
        <v>325260</v>
      </c>
      <c r="D1229" s="22" t="s">
        <v>2480</v>
      </c>
      <c r="E1229" s="22" t="s">
        <v>2481</v>
      </c>
      <c r="F1229" s="23" t="str">
        <f>HYPERLINK("https://www.spark-marketing.ru/Card/Lot/74079577", "Оказание услуг по организации проезда, проживания и питания для участия занимающихся отделения ""Художественная гимнастика"" для Государственного бюджетного учреждения спортивная школа № 2 Красногвардейского района, для нужд Санкт-Петербурга в 2019 г...")</f>
        <v>Оказание услуг по организации проезда, проживания и питания для участия занимающихся отделения "Художественная гимнастика" для Государственного бюджетного учреждения спортивная школа № 2 Красногвардейского района, для нужд Санкт-Петербурга в 2019 г...</v>
      </c>
      <c r="G1229" s="22" t="s">
        <v>141</v>
      </c>
      <c r="H1229" s="22" t="s">
        <v>2201</v>
      </c>
      <c r="I1229" s="26">
        <v>43738.466666666704</v>
      </c>
      <c r="J1229" s="23" t="str">
        <f>HYPERLINK("https://www.spark-marketing.ru/Card/Person/6639867", "ООО ""СТГ""")</f>
        <v>ООО "СТГ"</v>
      </c>
      <c r="K1229" s="24" t="s">
        <v>2482</v>
      </c>
      <c r="L1229" s="22" t="s">
        <v>10</v>
      </c>
      <c r="M1229" s="25">
        <v>260208</v>
      </c>
      <c r="N1229" s="27">
        <v>0.2</v>
      </c>
    </row>
    <row r="1230" spans="1:14" hidden="1" outlineLevel="1" x14ac:dyDescent="0.2">
      <c r="A1230" s="23" t="str">
        <f>HYPERLINK("https://www.spark-marketing.ru/Card/Person/57217", "ГБУ СШ № 2 КРАСНОГВАРДЕЙСКОГО РАЙОНА")</f>
        <v>ГБУ СШ № 2 КРАСНОГВАРДЕЙСКОГО РАЙОНА</v>
      </c>
      <c r="B1230" s="24" t="s">
        <v>2479</v>
      </c>
      <c r="C1230" s="25">
        <v>325260</v>
      </c>
      <c r="D1230" s="22" t="s">
        <v>2480</v>
      </c>
      <c r="E1230" s="22" t="s">
        <v>2481</v>
      </c>
      <c r="F1230" s="23" t="str">
        <f>HYPERLINK("https://www.spark-marketing.ru/Card/Lot/74079577", "Оказание услуг по организации проезда, проживания и питания для участия занимающихся отделения ""Художественная гимнастика"" для Государственного бюджетного учреждения спортивная школа № 2 Красногвардейского района, для нужд Санкт-Петербурга в 2019 г...")</f>
        <v>Оказание услуг по организации проезда, проживания и питания для участия занимающихся отделения "Художественная гимнастика" для Государственного бюджетного учреждения спортивная школа № 2 Красногвардейского района, для нужд Санкт-Петербурга в 2019 г...</v>
      </c>
      <c r="G1230" s="22" t="s">
        <v>141</v>
      </c>
      <c r="H1230" s="22" t="s">
        <v>2201</v>
      </c>
      <c r="I1230" s="26">
        <v>43738.466666666704</v>
      </c>
      <c r="J1230" s="23" t="str">
        <f>HYPERLINK("https://www.spark-marketing.ru/Card/Person/4358897", "ООО ""ТРИНИТИ ТРЕВЕЛ""")</f>
        <v>ООО "ТРИНИТИ ТРЕВЕЛ"</v>
      </c>
      <c r="K1230" s="24" t="s">
        <v>2483</v>
      </c>
      <c r="L1230" s="28" t="s">
        <v>51</v>
      </c>
      <c r="M1230" s="25">
        <v>312249.59999999998</v>
      </c>
      <c r="N1230" s="27">
        <v>0.04</v>
      </c>
    </row>
    <row r="1231" spans="1:14" hidden="1" outlineLevel="1" x14ac:dyDescent="0.2">
      <c r="A1231" s="23" t="str">
        <f>HYPERLINK("https://www.spark-marketing.ru/Card/Person/57217", "ГБУ СШ № 2 КРАСНОГВАРДЕЙСКОГО РАЙОНА")</f>
        <v>ГБУ СШ № 2 КРАСНОГВАРДЕЙСКОГО РАЙОНА</v>
      </c>
      <c r="B1231" s="24" t="s">
        <v>2479</v>
      </c>
      <c r="C1231" s="25">
        <v>325260</v>
      </c>
      <c r="D1231" s="22" t="s">
        <v>2480</v>
      </c>
      <c r="E1231" s="22" t="s">
        <v>2481</v>
      </c>
      <c r="F1231" s="23" t="str">
        <f>HYPERLINK("https://www.spark-marketing.ru/Card/Lot/74079577", "Оказание услуг по организации проезда, проживания и питания для участия занимающихся отделения ""Художественная гимнастика"" для Государственного бюджетного учреждения спортивная школа № 2 Красногвардейского района, для нужд Санкт-Петербурга в 2019 г...")</f>
        <v>Оказание услуг по организации проезда, проживания и питания для участия занимающихся отделения "Художественная гимнастика" для Государственного бюджетного учреждения спортивная школа № 2 Красногвардейского района, для нужд Санкт-Петербурга в 2019 г...</v>
      </c>
      <c r="G1231" s="22" t="s">
        <v>141</v>
      </c>
      <c r="H1231" s="22" t="s">
        <v>2201</v>
      </c>
      <c r="I1231" s="26">
        <v>43738.466666666704</v>
      </c>
      <c r="J1231" s="23" t="str">
        <f>HYPERLINK("https://www.spark-marketing.ru/Card/Person/4570741", "ООО ""ПЛАНЕТА""")</f>
        <v>ООО "ПЛАНЕТА"</v>
      </c>
      <c r="K1231" s="24" t="s">
        <v>2325</v>
      </c>
      <c r="L1231" s="28" t="s">
        <v>51</v>
      </c>
      <c r="M1231" s="25">
        <v>261834.3</v>
      </c>
      <c r="N1231" s="27">
        <v>0.19500000000000001</v>
      </c>
    </row>
    <row r="1232" spans="1:14" hidden="1" outlineLevel="1" x14ac:dyDescent="0.2">
      <c r="A1232" s="23" t="str">
        <f>HYPERLINK("https://www.spark-marketing.ru/Card/Person/57217", "ГБУ СШ № 2 КРАСНОГВАРДЕЙСКОГО РАЙОНА")</f>
        <v>ГБУ СШ № 2 КРАСНОГВАРДЕЙСКОГО РАЙОНА</v>
      </c>
      <c r="B1232" s="24" t="s">
        <v>2479</v>
      </c>
      <c r="C1232" s="25">
        <v>325260</v>
      </c>
      <c r="D1232" s="22" t="s">
        <v>2480</v>
      </c>
      <c r="E1232" s="22" t="s">
        <v>2481</v>
      </c>
      <c r="F1232" s="23" t="str">
        <f>HYPERLINK("https://www.spark-marketing.ru/Card/Lot/74079577", "Оказание услуг по организации проезда, проживания и питания для участия занимающихся отделения ""Художественная гимнастика"" для Государственного бюджетного учреждения спортивная школа № 2 Красногвардейского района, для нужд Санкт-Петербурга в 2019 г...")</f>
        <v>Оказание услуг по организации проезда, проживания и питания для участия занимающихся отделения "Художественная гимнастика" для Государственного бюджетного учреждения спортивная школа № 2 Красногвардейского района, для нужд Санкт-Петербурга в 2019 г...</v>
      </c>
      <c r="G1232" s="22" t="s">
        <v>141</v>
      </c>
      <c r="H1232" s="22" t="s">
        <v>2201</v>
      </c>
      <c r="I1232" s="26">
        <v>43738.466666666704</v>
      </c>
      <c r="J1232" s="23" t="str">
        <f>HYPERLINK("https://www.spark-marketing.ru/Card/Person/6199231", "Полочанская Ольга Геннадьевна")</f>
        <v>Полочанская Ольга Геннадьевна</v>
      </c>
      <c r="K1232" s="24" t="s">
        <v>2484</v>
      </c>
      <c r="L1232" s="28" t="s">
        <v>51</v>
      </c>
      <c r="M1232" s="25">
        <v>294360.3</v>
      </c>
      <c r="N1232" s="27">
        <v>9.5000000000000001E-2</v>
      </c>
    </row>
    <row r="1233" spans="1:14" x14ac:dyDescent="0.15">
      <c r="A1233" s="23" t="str">
        <f>HYPERLINK("https://www.spark-marketing.ru/Card/Person/41097", "МУ МВД РОССИИ ""КРАСНОЯРСКОЕ""")</f>
        <v>МУ МВД РОССИИ "КРАСНОЯРСКОЕ"</v>
      </c>
      <c r="B1233" s="24" t="s">
        <v>647</v>
      </c>
      <c r="C1233" s="25">
        <v>5252571</v>
      </c>
      <c r="D1233" s="22" t="s">
        <v>2485</v>
      </c>
      <c r="E1233" s="22" t="s">
        <v>48</v>
      </c>
      <c r="F1233" s="23" t="str">
        <f>HYPERLINK("https://www.spark-marketing.ru/Card/Lot/74050628", "Оказание услуг по организации готового горячего питания лиц, подозреваемых и обвиняемых в совершении преступлений, находящихся в ИВС отделов полиции №№ 2, 3, 5 МУ МВД России «Красноярское» (2020 - 2021 годы)")</f>
        <v>Оказание услуг по организации готового горячего питания лиц, подозреваемых и обвиняемых в совершении преступлений, находящихся в ИВС отделов полиции №№ 2, 3, 5 МУ МВД России «Красноярское» (2020 - 2021 годы)</v>
      </c>
      <c r="G1233" s="22" t="s">
        <v>281</v>
      </c>
      <c r="H1233" s="22" t="s">
        <v>281</v>
      </c>
      <c r="I1233" s="26">
        <v>43738.493750000001</v>
      </c>
      <c r="J1233" s="28" t="s">
        <v>51</v>
      </c>
      <c r="K1233" s="28" t="s">
        <v>51</v>
      </c>
      <c r="L1233" s="28" t="s">
        <v>51</v>
      </c>
      <c r="M1233" s="28" t="s">
        <v>51</v>
      </c>
      <c r="N1233" s="28" t="s">
        <v>51</v>
      </c>
    </row>
    <row r="1234" spans="1:14" ht="12.75" hidden="1" outlineLevel="1" x14ac:dyDescent="0.2">
      <c r="A1234" s="23" t="str">
        <f>HYPERLINK("https://www.spark-marketing.ru/Card/Person/41097", "МУ МВД РОССИИ ""КРАСНОЯРСКОЕ""")</f>
        <v>МУ МВД РОССИИ "КРАСНОЯРСКОЕ"</v>
      </c>
      <c r="B1234" s="24" t="s">
        <v>647</v>
      </c>
      <c r="C1234" s="25">
        <v>5252571</v>
      </c>
      <c r="D1234" s="22" t="s">
        <v>2485</v>
      </c>
      <c r="E1234" s="22" t="s">
        <v>48</v>
      </c>
      <c r="F1234" s="23" t="str">
        <f>HYPERLINK("https://www.spark-marketing.ru/Card/Lot/74050628", "Оказание услуг по организации готового горячего питания лиц, подозреваемых и обвиняемых в совершении преступлений, находящихся в ИВС отделов полиции №№ 2, 3, 5 МУ МВД России «Красноярское» (2020 - 2021 годы)")</f>
        <v>Оказание услуг по организации готового горячего питания лиц, подозреваемых и обвиняемых в совершении преступлений, находящихся в ИВС отделов полиции №№ 2, 3, 5 МУ МВД России «Красноярское» (2020 - 2021 годы)</v>
      </c>
      <c r="G1234" s="22" t="s">
        <v>281</v>
      </c>
      <c r="H1234" s="22" t="s">
        <v>281</v>
      </c>
      <c r="I1234" s="26">
        <v>43738.493750000001</v>
      </c>
      <c r="J1234" s="23" t="str">
        <f>HYPERLINK("https://www.spark-marketing.ru/Card/Person/6456373", "ООО ""ТЭКО""")</f>
        <v>ООО "ТЭКО"</v>
      </c>
      <c r="K1234" s="24" t="s">
        <v>2486</v>
      </c>
      <c r="L1234" s="22" t="s">
        <v>10</v>
      </c>
      <c r="M1234" s="25">
        <v>739</v>
      </c>
      <c r="N1234" s="27">
        <v>0.99985930699461278</v>
      </c>
    </row>
    <row r="1235" spans="1:14" hidden="1" outlineLevel="1" x14ac:dyDescent="0.2">
      <c r="A1235" s="23" t="str">
        <f>HYPERLINK("https://www.spark-marketing.ru/Card/Person/41097", "МУ МВД РОССИИ ""КРАСНОЯРСКОЕ""")</f>
        <v>МУ МВД РОССИИ "КРАСНОЯРСКОЕ"</v>
      </c>
      <c r="B1235" s="24" t="s">
        <v>647</v>
      </c>
      <c r="C1235" s="25">
        <v>5252571</v>
      </c>
      <c r="D1235" s="22" t="s">
        <v>2485</v>
      </c>
      <c r="E1235" s="22" t="s">
        <v>48</v>
      </c>
      <c r="F1235" s="23" t="str">
        <f>HYPERLINK("https://www.spark-marketing.ru/Card/Lot/74050628", "Оказание услуг по организации готового горячего питания лиц, подозреваемых и обвиняемых в совершении преступлений, находящихся в ИВС отделов полиции №№ 2, 3, 5 МУ МВД России «Красноярское» (2020 - 2021 годы)")</f>
        <v>Оказание услуг по организации готового горячего питания лиц, подозреваемых и обвиняемых в совершении преступлений, находящихся в ИВС отделов полиции №№ 2, 3, 5 МУ МВД России «Красноярское» (2020 - 2021 годы)</v>
      </c>
      <c r="G1235" s="22" t="s">
        <v>281</v>
      </c>
      <c r="H1235" s="22" t="s">
        <v>281</v>
      </c>
      <c r="I1235" s="26">
        <v>43738.493750000001</v>
      </c>
      <c r="J1235" s="23" t="str">
        <f>HYPERLINK("https://www.spark-marketing.ru/Card/Person/5910323", "Федорова Елена Владимировна")</f>
        <v>Федорова Елена Владимировна</v>
      </c>
      <c r="K1235" s="24" t="s">
        <v>2487</v>
      </c>
      <c r="L1235" s="28" t="s">
        <v>51</v>
      </c>
      <c r="M1235" s="25">
        <v>743</v>
      </c>
      <c r="N1235" s="27">
        <v>0.99985854546278385</v>
      </c>
    </row>
    <row r="1236" spans="1:14" x14ac:dyDescent="0.15">
      <c r="A1236" s="23" t="str">
        <f>HYPERLINK("https://www.spark-marketing.ru/Card/Person/57217", "ГБУ СШ № 2 КРАСНОГВАРДЕЙСКОГО РАЙОНА")</f>
        <v>ГБУ СШ № 2 КРАСНОГВАРДЕЙСКОГО РАЙОНА</v>
      </c>
      <c r="B1236" s="24" t="s">
        <v>2479</v>
      </c>
      <c r="C1236" s="25">
        <v>170970</v>
      </c>
      <c r="D1236" s="22" t="s">
        <v>2488</v>
      </c>
      <c r="E1236" s="22" t="s">
        <v>2481</v>
      </c>
      <c r="F1236" s="23" t="str">
        <f>HYPERLINK("https://www.spark-marketing.ru/Card/Lot/74075000", "Оказание услуг по организации проезда, проживания и питания для участия занимающихся отделения ""Художественная гимнастика"" во Всероссийских соревнованиях ""Памяти ЗТ СССР Н.Г. Толкачевой"" для Государственного бюджетного учреждения спортивная школа...")</f>
        <v>Оказание услуг по организации проезда, проживания и питания для участия занимающихся отделения "Художественная гимнастика" во Всероссийских соревнованиях "Памяти ЗТ СССР Н.Г. Толкачевой" для Государственного бюджетного учреждения спортивная школа...</v>
      </c>
      <c r="G1236" s="22" t="s">
        <v>663</v>
      </c>
      <c r="H1236" s="22" t="s">
        <v>664</v>
      </c>
      <c r="I1236" s="26">
        <v>43738.466666666704</v>
      </c>
      <c r="J1236" s="28" t="s">
        <v>51</v>
      </c>
      <c r="K1236" s="28" t="s">
        <v>51</v>
      </c>
      <c r="L1236" s="28" t="s">
        <v>51</v>
      </c>
      <c r="M1236" s="28" t="s">
        <v>51</v>
      </c>
      <c r="N1236" s="28" t="s">
        <v>51</v>
      </c>
    </row>
    <row r="1237" spans="1:14" ht="12.75" hidden="1" outlineLevel="1" x14ac:dyDescent="0.2">
      <c r="A1237" s="23" t="str">
        <f>HYPERLINK("https://www.spark-marketing.ru/Card/Person/57217", "ГБУ СШ № 2 КРАСНОГВАРДЕЙСКОГО РАЙОНА")</f>
        <v>ГБУ СШ № 2 КРАСНОГВАРДЕЙСКОГО РАЙОНА</v>
      </c>
      <c r="B1237" s="24" t="s">
        <v>2479</v>
      </c>
      <c r="C1237" s="25">
        <v>170970</v>
      </c>
      <c r="D1237" s="22" t="s">
        <v>2488</v>
      </c>
      <c r="E1237" s="22" t="s">
        <v>2481</v>
      </c>
      <c r="F1237" s="23" t="str">
        <f>HYPERLINK("https://www.spark-marketing.ru/Card/Lot/74075000", "Оказание услуг по организации проезда, проживания и питания для участия занимающихся отделения ""Художественная гимнастика"" во Всероссийских соревнованиях ""Памяти ЗТ СССР Н.Г. Толкачевой"" для Государственного бюджетного учреждения спортивная школа...")</f>
        <v>Оказание услуг по организации проезда, проживания и питания для участия занимающихся отделения "Художественная гимнастика" во Всероссийских соревнованиях "Памяти ЗТ СССР Н.Г. Толкачевой" для Государственного бюджетного учреждения спортивная школа...</v>
      </c>
      <c r="G1237" s="22" t="s">
        <v>663</v>
      </c>
      <c r="H1237" s="22" t="s">
        <v>664</v>
      </c>
      <c r="I1237" s="26">
        <v>43738.466666666704</v>
      </c>
      <c r="J1237" s="23" t="str">
        <f>HYPERLINK("https://www.spark-marketing.ru/Card/Person/6639867", "ООО ""СТГ""")</f>
        <v>ООО "СТГ"</v>
      </c>
      <c r="K1237" s="24" t="s">
        <v>2482</v>
      </c>
      <c r="L1237" s="22" t="s">
        <v>10</v>
      </c>
      <c r="M1237" s="25">
        <v>138485.70000000001</v>
      </c>
      <c r="N1237" s="27">
        <v>0.19</v>
      </c>
    </row>
    <row r="1238" spans="1:14" hidden="1" outlineLevel="1" x14ac:dyDescent="0.2">
      <c r="A1238" s="23" t="str">
        <f>HYPERLINK("https://www.spark-marketing.ru/Card/Person/57217", "ГБУ СШ № 2 КРАСНОГВАРДЕЙСКОГО РАЙОНА")</f>
        <v>ГБУ СШ № 2 КРАСНОГВАРДЕЙСКОГО РАЙОНА</v>
      </c>
      <c r="B1238" s="24" t="s">
        <v>2479</v>
      </c>
      <c r="C1238" s="25">
        <v>170970</v>
      </c>
      <c r="D1238" s="22" t="s">
        <v>2488</v>
      </c>
      <c r="E1238" s="22" t="s">
        <v>2481</v>
      </c>
      <c r="F1238" s="23" t="str">
        <f>HYPERLINK("https://www.spark-marketing.ru/Card/Lot/74075000", "Оказание услуг по организации проезда, проживания и питания для участия занимающихся отделения ""Художественная гимнастика"" во Всероссийских соревнованиях ""Памяти ЗТ СССР Н.Г. Толкачевой"" для Государственного бюджетного учреждения спортивная школа...")</f>
        <v>Оказание услуг по организации проезда, проживания и питания для участия занимающихся отделения "Художественная гимнастика" во Всероссийских соревнованиях "Памяти ЗТ СССР Н.Г. Толкачевой" для Государственного бюджетного учреждения спортивная школа...</v>
      </c>
      <c r="G1238" s="22" t="s">
        <v>663</v>
      </c>
      <c r="H1238" s="22" t="s">
        <v>664</v>
      </c>
      <c r="I1238" s="26">
        <v>43738.466666666704</v>
      </c>
      <c r="J1238" s="23" t="str">
        <f>HYPERLINK("https://www.spark-marketing.ru/Card/Person/4953167", "ООО ""ЮПИТЕР""")</f>
        <v>ООО "ЮПИТЕР"</v>
      </c>
      <c r="K1238" s="24" t="s">
        <v>2324</v>
      </c>
      <c r="L1238" s="28" t="s">
        <v>51</v>
      </c>
      <c r="M1238" s="25">
        <v>139340.54999999999</v>
      </c>
      <c r="N1238" s="27">
        <v>0.185</v>
      </c>
    </row>
    <row r="1239" spans="1:14" hidden="1" outlineLevel="1" x14ac:dyDescent="0.2">
      <c r="A1239" s="23" t="str">
        <f>HYPERLINK("https://www.spark-marketing.ru/Card/Person/57217", "ГБУ СШ № 2 КРАСНОГВАРДЕЙСКОГО РАЙОНА")</f>
        <v>ГБУ СШ № 2 КРАСНОГВАРДЕЙСКОГО РАЙОНА</v>
      </c>
      <c r="B1239" s="24" t="s">
        <v>2479</v>
      </c>
      <c r="C1239" s="25">
        <v>170970</v>
      </c>
      <c r="D1239" s="22" t="s">
        <v>2488</v>
      </c>
      <c r="E1239" s="22" t="s">
        <v>2481</v>
      </c>
      <c r="F1239" s="23" t="str">
        <f>HYPERLINK("https://www.spark-marketing.ru/Card/Lot/74075000", "Оказание услуг по организации проезда, проживания и питания для участия занимающихся отделения ""Художественная гимнастика"" во Всероссийских соревнованиях ""Памяти ЗТ СССР Н.Г. Толкачевой"" для Государственного бюджетного учреждения спортивная школа...")</f>
        <v>Оказание услуг по организации проезда, проживания и питания для участия занимающихся отделения "Художественная гимнастика" во Всероссийских соревнованиях "Памяти ЗТ СССР Н.Г. Толкачевой" для Государственного бюджетного учреждения спортивная школа...</v>
      </c>
      <c r="G1239" s="22" t="s">
        <v>663</v>
      </c>
      <c r="H1239" s="22" t="s">
        <v>664</v>
      </c>
      <c r="I1239" s="26">
        <v>43738.466666666704</v>
      </c>
      <c r="J1239" s="23" t="str">
        <f>HYPERLINK("https://www.spark-marketing.ru/Card/Person/4570741", "ООО ""ПЛАНЕТА""")</f>
        <v>ООО "ПЛАНЕТА"</v>
      </c>
      <c r="K1239" s="24" t="s">
        <v>2325</v>
      </c>
      <c r="L1239" s="28" t="s">
        <v>51</v>
      </c>
      <c r="M1239" s="25">
        <v>141050.25</v>
      </c>
      <c r="N1239" s="27">
        <v>0.17499999999999999</v>
      </c>
    </row>
    <row r="1240" spans="1:14" hidden="1" outlineLevel="1" x14ac:dyDescent="0.2">
      <c r="A1240" s="23" t="str">
        <f>HYPERLINK("https://www.spark-marketing.ru/Card/Person/57217", "ГБУ СШ № 2 КРАСНОГВАРДЕЙСКОГО РАЙОНА")</f>
        <v>ГБУ СШ № 2 КРАСНОГВАРДЕЙСКОГО РАЙОНА</v>
      </c>
      <c r="B1240" s="24" t="s">
        <v>2479</v>
      </c>
      <c r="C1240" s="25">
        <v>170970</v>
      </c>
      <c r="D1240" s="22" t="s">
        <v>2488</v>
      </c>
      <c r="E1240" s="22" t="s">
        <v>2481</v>
      </c>
      <c r="F1240" s="23" t="str">
        <f>HYPERLINK("https://www.spark-marketing.ru/Card/Lot/74075000", "Оказание услуг по организации проезда, проживания и питания для участия занимающихся отделения ""Художественная гимнастика"" во Всероссийских соревнованиях ""Памяти ЗТ СССР Н.Г. Толкачевой"" для Государственного бюджетного учреждения спортивная школа...")</f>
        <v>Оказание услуг по организации проезда, проживания и питания для участия занимающихся отделения "Художественная гимнастика" во Всероссийских соревнованиях "Памяти ЗТ СССР Н.Г. Толкачевой" для Государственного бюджетного учреждения спортивная школа...</v>
      </c>
      <c r="G1240" s="22" t="s">
        <v>663</v>
      </c>
      <c r="H1240" s="22" t="s">
        <v>664</v>
      </c>
      <c r="I1240" s="26">
        <v>43738.466666666704</v>
      </c>
      <c r="J1240" s="23" t="str">
        <f>HYPERLINK("https://www.spark-marketing.ru/Card/Person/6199231", "Полочанская Ольга Геннадьевна")</f>
        <v>Полочанская Ольга Геннадьевна</v>
      </c>
      <c r="K1240" s="24" t="s">
        <v>2484</v>
      </c>
      <c r="L1240" s="28" t="s">
        <v>51</v>
      </c>
      <c r="M1240" s="25">
        <v>153018.15</v>
      </c>
      <c r="N1240" s="27">
        <v>0.105</v>
      </c>
    </row>
    <row r="1241" spans="1:14" x14ac:dyDescent="0.15">
      <c r="A1241" s="23" t="str">
        <f>HYPERLINK("https://www.spark-marketing.ru/Card/Person/879335", "ОТДЕЛ МВД РОССИИ ПО ОТРАДНЕНСКОМУ РАЙОНУ")</f>
        <v>ОТДЕЛ МВД РОССИИ ПО ОТРАДНЕНСКОМУ РАЙОНУ</v>
      </c>
      <c r="B1241" s="24" t="s">
        <v>2489</v>
      </c>
      <c r="C1241" s="25">
        <v>430000</v>
      </c>
      <c r="D1241" s="22" t="s">
        <v>2490</v>
      </c>
      <c r="E1241" s="22" t="s">
        <v>48</v>
      </c>
      <c r="F1241" s="23" t="str">
        <f>HYPERLINK("https://www.spark-marketing.ru/Card/Lot/74079009", "Оказание услуг по обеспечению 3-х разовым ежедневным горячим питанием лиц, содержащихся в ИВС ПиО и КСЗЛ дежурной части Отдела МВД России по Отрадненскому району")</f>
        <v>Оказание услуг по обеспечению 3-х разовым ежедневным горячим питанием лиц, содержащихся в ИВС ПиО и КСЗЛ дежурной части Отдела МВД России по Отрадненскому району</v>
      </c>
      <c r="G1241" s="22" t="s">
        <v>104</v>
      </c>
      <c r="H1241" s="22" t="s">
        <v>2491</v>
      </c>
      <c r="I1241" s="26">
        <v>43738.4607986111</v>
      </c>
      <c r="J1241" s="23" t="str">
        <f>HYPERLINK("https://www.spark-marketing.ru/Card/Person/891591", "ООО""ДОРОЖНОЕ""")</f>
        <v>ООО"ДОРОЖНОЕ"</v>
      </c>
      <c r="K1241" s="24" t="s">
        <v>2492</v>
      </c>
      <c r="L1241" s="22" t="s">
        <v>10</v>
      </c>
      <c r="M1241" s="28" t="s">
        <v>51</v>
      </c>
      <c r="N1241" s="28" t="s">
        <v>51</v>
      </c>
    </row>
    <row r="1242" spans="1:14" x14ac:dyDescent="0.15">
      <c r="A1242" s="23" t="str">
        <f>HYPERLINK("https://www.spark-marketing.ru/Card/Person/87882", "МБОУ ""НОГИНСКАЯ СПЕЦИАЛЬНАЯ (КОРРЕКЦИОННАЯ) ШКОЛА-ИНТЕРНАТ ДЛЯ ОБУЧАЮЩИХСЯ С ОГРАНИЧЕННЫМИ ВОЗМОЖНОСТЯМИ ЗДОРОВЬЯ""")</f>
        <v>МБОУ "НОГИНСКАЯ СПЕЦИАЛЬНАЯ (КОРРЕКЦИОННАЯ) ШКОЛА-ИНТЕРНАТ ДЛЯ ОБУЧАЮЩИХСЯ С ОГРАНИЧЕННЫМИ ВОЗМОЖНОСТЯМИ ЗДОРОВЬЯ"</v>
      </c>
      <c r="B1242" s="24" t="s">
        <v>2493</v>
      </c>
      <c r="C1242" s="25">
        <v>13001543.550000001</v>
      </c>
      <c r="D1242" s="22" t="s">
        <v>2494</v>
      </c>
      <c r="E1242" s="22" t="s">
        <v>48</v>
      </c>
      <c r="F1242" s="23" t="str">
        <f>HYPERLINK("https://www.spark-marketing.ru/Card/Lot/74084234", "Оказание услуг по организации рационального горячего питания в 2020 году")</f>
        <v>Оказание услуг по организации рационального горячего питания в 2020 году</v>
      </c>
      <c r="G1242" s="22" t="s">
        <v>49</v>
      </c>
      <c r="H1242" s="22" t="s">
        <v>2495</v>
      </c>
      <c r="I1242" s="26">
        <v>43738.463611111103</v>
      </c>
      <c r="J1242" s="28" t="s">
        <v>51</v>
      </c>
      <c r="K1242" s="28" t="s">
        <v>51</v>
      </c>
      <c r="L1242" s="28" t="s">
        <v>51</v>
      </c>
      <c r="M1242" s="28" t="s">
        <v>51</v>
      </c>
      <c r="N1242" s="28" t="s">
        <v>51</v>
      </c>
    </row>
    <row r="1243" spans="1:14" x14ac:dyDescent="0.15">
      <c r="A1243" s="23" t="str">
        <f>HYPERLINK("https://www.spark-marketing.ru/Card/Person/4344246", "МИНЭКОНОМРАЗВИТИЯ РОССИИ")</f>
        <v>МИНЭКОНОМРАЗВИТИЯ РОССИИ</v>
      </c>
      <c r="B1243" s="24" t="s">
        <v>2496</v>
      </c>
      <c r="C1243" s="25">
        <v>1500000</v>
      </c>
      <c r="D1243" s="22" t="s">
        <v>2497</v>
      </c>
      <c r="E1243" s="22" t="s">
        <v>2498</v>
      </c>
      <c r="F1243" s="23" t="str">
        <f>HYPERLINK("https://www.spark-marketing.ru/Card/Lot/74084675", "Оказание услуг по обеспечению питанием при проведении протокольных мероприятий для нужд Минэкономразвития России в 2019 году.")</f>
        <v>Оказание услуг по обеспечению питанием при проведении протокольных мероприятий для нужд Минэкономразвития России в 2019 году.</v>
      </c>
      <c r="G1243" s="22" t="s">
        <v>56</v>
      </c>
      <c r="H1243" s="22" t="s">
        <v>56</v>
      </c>
      <c r="I1243" s="26">
        <v>43738.492708333302</v>
      </c>
      <c r="J1243" s="28" t="s">
        <v>51</v>
      </c>
      <c r="K1243" s="28" t="s">
        <v>51</v>
      </c>
      <c r="L1243" s="28" t="s">
        <v>51</v>
      </c>
      <c r="M1243" s="28" t="s">
        <v>51</v>
      </c>
      <c r="N1243" s="28" t="s">
        <v>51</v>
      </c>
    </row>
    <row r="1244" spans="1:14" ht="12.75" hidden="1" outlineLevel="1" x14ac:dyDescent="0.2">
      <c r="A1244" s="23" t="str">
        <f>HYPERLINK("https://www.spark-marketing.ru/Card/Person/4344246", "МИНЭКОНОМРАЗВИТИЯ РОССИИ")</f>
        <v>МИНЭКОНОМРАЗВИТИЯ РОССИИ</v>
      </c>
      <c r="B1244" s="24" t="s">
        <v>2496</v>
      </c>
      <c r="C1244" s="25">
        <v>1500000</v>
      </c>
      <c r="D1244" s="22" t="s">
        <v>2497</v>
      </c>
      <c r="E1244" s="22" t="s">
        <v>2498</v>
      </c>
      <c r="F1244" s="23" t="str">
        <f>HYPERLINK("https://www.spark-marketing.ru/Card/Lot/74084675", "Оказание услуг по обеспечению питанием при проведении протокольных мероприятий для нужд Минэкономразвития России в 2019 году.")</f>
        <v>Оказание услуг по обеспечению питанием при проведении протокольных мероприятий для нужд Минэкономразвития России в 2019 году.</v>
      </c>
      <c r="G1244" s="22" t="s">
        <v>56</v>
      </c>
      <c r="H1244" s="22" t="s">
        <v>56</v>
      </c>
      <c r="I1244" s="26">
        <v>43738.492708333302</v>
      </c>
      <c r="J1244" s="23" t="str">
        <f>HYPERLINK("https://www.spark-marketing.ru/Card/Person/6391853", "ООО ""АЛЬДЖЕНСА""")</f>
        <v>ООО "АЛЬДЖЕНСА"</v>
      </c>
      <c r="K1244" s="24" t="s">
        <v>2499</v>
      </c>
      <c r="L1244" s="22" t="s">
        <v>10</v>
      </c>
      <c r="M1244" s="25">
        <v>80945.740000000005</v>
      </c>
      <c r="N1244" s="27">
        <v>0.94603617333333334</v>
      </c>
    </row>
    <row r="1245" spans="1:14" hidden="1" outlineLevel="1" x14ac:dyDescent="0.2">
      <c r="A1245" s="23" t="str">
        <f>HYPERLINK("https://www.spark-marketing.ru/Card/Person/4344246", "МИНЭКОНОМРАЗВИТИЯ РОССИИ")</f>
        <v>МИНЭКОНОМРАЗВИТИЯ РОССИИ</v>
      </c>
      <c r="B1245" s="24" t="s">
        <v>2496</v>
      </c>
      <c r="C1245" s="25">
        <v>1500000</v>
      </c>
      <c r="D1245" s="22" t="s">
        <v>2497</v>
      </c>
      <c r="E1245" s="22" t="s">
        <v>2498</v>
      </c>
      <c r="F1245" s="23" t="str">
        <f>HYPERLINK("https://www.spark-marketing.ru/Card/Lot/74084675", "Оказание услуг по обеспечению питанием при проведении протокольных мероприятий для нужд Минэкономразвития России в 2019 году.")</f>
        <v>Оказание услуг по обеспечению питанием при проведении протокольных мероприятий для нужд Минэкономразвития России в 2019 году.</v>
      </c>
      <c r="G1245" s="22" t="s">
        <v>56</v>
      </c>
      <c r="H1245" s="22" t="s">
        <v>56</v>
      </c>
      <c r="I1245" s="26">
        <v>43738.492708333302</v>
      </c>
      <c r="J1245" s="23" t="str">
        <f>HYPERLINK("https://www.spark-marketing.ru/Card/Person/6526819", "ООО ""ПАЛИТРА""")</f>
        <v>ООО "ПАЛИТРА"</v>
      </c>
      <c r="K1245" s="24" t="s">
        <v>2500</v>
      </c>
      <c r="L1245" s="28" t="s">
        <v>51</v>
      </c>
      <c r="M1245" s="25">
        <v>81458.05</v>
      </c>
      <c r="N1245" s="27">
        <v>0.94569463333333337</v>
      </c>
    </row>
    <row r="1246" spans="1:14" x14ac:dyDescent="0.15">
      <c r="A1246" s="23" t="str">
        <f>HYPERLINK("https://www.spark-marketing.ru/Card/Person/112654", "ОМВД РОССИИ ПО ЧУДОВСКОМУ РАЙОНУ")</f>
        <v>ОМВД РОССИИ ПО ЧУДОВСКОМУ РАЙОНУ</v>
      </c>
      <c r="B1246" s="24" t="s">
        <v>2501</v>
      </c>
      <c r="C1246" s="25">
        <v>100000</v>
      </c>
      <c r="D1246" s="22" t="s">
        <v>2502</v>
      </c>
      <c r="E1246" s="22" t="s">
        <v>96</v>
      </c>
      <c r="F1246" s="23" t="str">
        <f>HYPERLINK("https://www.spark-marketing.ru/Card/Lot/74052019", "Услуга по питанию, 250 шт")</f>
        <v>Услуга по питанию, 250 шт</v>
      </c>
      <c r="G1246" s="22" t="s">
        <v>849</v>
      </c>
      <c r="H1246" s="22" t="s">
        <v>2503</v>
      </c>
      <c r="I1246" s="26">
        <v>43738.495173611103</v>
      </c>
      <c r="J1246" s="28" t="s">
        <v>51</v>
      </c>
      <c r="K1246" s="28" t="s">
        <v>51</v>
      </c>
      <c r="L1246" s="28" t="s">
        <v>51</v>
      </c>
      <c r="M1246" s="28" t="s">
        <v>51</v>
      </c>
      <c r="N1246" s="28" t="s">
        <v>51</v>
      </c>
    </row>
    <row r="1247" spans="1:14" x14ac:dyDescent="0.15">
      <c r="A1247" s="23" t="str">
        <f>HYPERLINK("https://www.spark-marketing.ru/Card/Person/114838", "МБОУ ГШИ №2")</f>
        <v>МБОУ ГШИ №2</v>
      </c>
      <c r="B1247" s="24" t="s">
        <v>2504</v>
      </c>
      <c r="C1247" s="25">
        <v>11009573.91</v>
      </c>
      <c r="D1247" s="22" t="s">
        <v>2505</v>
      </c>
      <c r="E1247" s="22" t="s">
        <v>48</v>
      </c>
      <c r="F1247" s="23" t="str">
        <f>HYPERLINK("https://www.spark-marketing.ru/Card/Lot/74084508", "Оказание услуг по организации рационального горячего питания в 2020 году")</f>
        <v>Оказание услуг по организации рационального горячего питания в 2020 году</v>
      </c>
      <c r="G1247" s="22" t="s">
        <v>49</v>
      </c>
      <c r="H1247" s="22" t="s">
        <v>2495</v>
      </c>
      <c r="I1247" s="26">
        <v>43738.463854166701</v>
      </c>
      <c r="J1247" s="28" t="s">
        <v>51</v>
      </c>
      <c r="K1247" s="28" t="s">
        <v>51</v>
      </c>
      <c r="L1247" s="28" t="s">
        <v>51</v>
      </c>
      <c r="M1247" s="28" t="s">
        <v>51</v>
      </c>
      <c r="N1247" s="28" t="s">
        <v>51</v>
      </c>
    </row>
    <row r="1248" spans="1:14" x14ac:dyDescent="0.15">
      <c r="A1248" s="23" t="str">
        <f>HYPERLINK("https://www.spark-marketing.ru/Card/Person/112185", "МБДОУ ""ДЕТСКИЙ САД № 28 ""СКАЗКА""")</f>
        <v>МБДОУ "ДЕТСКИЙ САД № 28 "СКАЗКА"</v>
      </c>
      <c r="B1248" s="24" t="s">
        <v>2506</v>
      </c>
      <c r="C1248" s="25">
        <v>24396104</v>
      </c>
      <c r="D1248" s="22" t="s">
        <v>2507</v>
      </c>
      <c r="E1248" s="22" t="s">
        <v>48</v>
      </c>
      <c r="F1248" s="23" t="str">
        <f>HYPERLINK("https://www.spark-marketing.ru/Card/Lot/74084233",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</v>
      </c>
      <c r="G1248" s="22" t="s">
        <v>49</v>
      </c>
      <c r="H1248" s="22" t="s">
        <v>2508</v>
      </c>
      <c r="I1248" s="26">
        <v>43738.463333333297</v>
      </c>
      <c r="J1248" s="28" t="s">
        <v>51</v>
      </c>
      <c r="K1248" s="28" t="s">
        <v>51</v>
      </c>
      <c r="L1248" s="28" t="s">
        <v>51</v>
      </c>
      <c r="M1248" s="28" t="s">
        <v>51</v>
      </c>
      <c r="N1248" s="28" t="s">
        <v>51</v>
      </c>
    </row>
    <row r="1249" spans="1:14" x14ac:dyDescent="0.15">
      <c r="A1249" s="23" t="str">
        <f>HYPERLINK("https://www.spark-marketing.ru/Card/Person/41097", "МУ МВД РОССИИ ""КРАСНОЯРСКОЕ""")</f>
        <v>МУ МВД РОССИИ "КРАСНОЯРСКОЕ"</v>
      </c>
      <c r="B1249" s="24" t="s">
        <v>647</v>
      </c>
      <c r="C1249" s="25">
        <v>4747429</v>
      </c>
      <c r="D1249" s="22" t="s">
        <v>2509</v>
      </c>
      <c r="E1249" s="22" t="s">
        <v>48</v>
      </c>
      <c r="F1249" s="23" t="str">
        <f>HYPERLINK("https://www.spark-marketing.ru/Card/Lot/74050541", "Оказание услуг по организации готового горячего питания лиц, подозреваемых и обвиняемых в совершении преступлений, находящихся в ИВС МУ МВД России «Красноярское» (2020-2021 годы)")</f>
        <v>Оказание услуг по организации готового горячего питания лиц, подозреваемых и обвиняемых в совершении преступлений, находящихся в ИВС МУ МВД России «Красноярское» (2020-2021 годы)</v>
      </c>
      <c r="G1249" s="22" t="s">
        <v>281</v>
      </c>
      <c r="H1249" s="22" t="s">
        <v>281</v>
      </c>
      <c r="I1249" s="26">
        <v>43738.493750000001</v>
      </c>
      <c r="J1249" s="28" t="s">
        <v>51</v>
      </c>
      <c r="K1249" s="28" t="s">
        <v>51</v>
      </c>
      <c r="L1249" s="28" t="s">
        <v>51</v>
      </c>
      <c r="M1249" s="28" t="s">
        <v>51</v>
      </c>
      <c r="N1249" s="28" t="s">
        <v>51</v>
      </c>
    </row>
    <row r="1250" spans="1:14" ht="12.75" hidden="1" outlineLevel="1" x14ac:dyDescent="0.2">
      <c r="A1250" s="23" t="str">
        <f>HYPERLINK("https://www.spark-marketing.ru/Card/Person/41097", "МУ МВД РОССИИ ""КРАСНОЯРСКОЕ""")</f>
        <v>МУ МВД РОССИИ "КРАСНОЯРСКОЕ"</v>
      </c>
      <c r="B1250" s="24" t="s">
        <v>647</v>
      </c>
      <c r="C1250" s="25">
        <v>4747429</v>
      </c>
      <c r="D1250" s="22" t="s">
        <v>2509</v>
      </c>
      <c r="E1250" s="22" t="s">
        <v>48</v>
      </c>
      <c r="F1250" s="23" t="str">
        <f>HYPERLINK("https://www.spark-marketing.ru/Card/Lot/74050541", "Оказание услуг по организации готового горячего питания лиц, подозреваемых и обвиняемых в совершении преступлений, находящихся в ИВС МУ МВД России «Красноярское» (2020-2021 годы)")</f>
        <v>Оказание услуг по организации готового горячего питания лиц, подозреваемых и обвиняемых в совершении преступлений, находящихся в ИВС МУ МВД России «Красноярское» (2020-2021 годы)</v>
      </c>
      <c r="G1250" s="22" t="s">
        <v>281</v>
      </c>
      <c r="H1250" s="22" t="s">
        <v>281</v>
      </c>
      <c r="I1250" s="26">
        <v>43738.493750000001</v>
      </c>
      <c r="J1250" s="23" t="str">
        <f>HYPERLINK("https://www.spark-marketing.ru/Card/Person/6456373", "ООО ""ТЭКО""")</f>
        <v>ООО "ТЭКО"</v>
      </c>
      <c r="K1250" s="24" t="s">
        <v>2486</v>
      </c>
      <c r="L1250" s="22" t="s">
        <v>10</v>
      </c>
      <c r="M1250" s="25">
        <v>482</v>
      </c>
      <c r="N1250" s="27">
        <v>0.99989847136207832</v>
      </c>
    </row>
    <row r="1251" spans="1:14" hidden="1" outlineLevel="1" x14ac:dyDescent="0.2">
      <c r="A1251" s="23" t="str">
        <f>HYPERLINK("https://www.spark-marketing.ru/Card/Person/41097", "МУ МВД РОССИИ ""КРАСНОЯРСКОЕ""")</f>
        <v>МУ МВД РОССИИ "КРАСНОЯРСКОЕ"</v>
      </c>
      <c r="B1251" s="24" t="s">
        <v>647</v>
      </c>
      <c r="C1251" s="25">
        <v>4747429</v>
      </c>
      <c r="D1251" s="22" t="s">
        <v>2509</v>
      </c>
      <c r="E1251" s="22" t="s">
        <v>48</v>
      </c>
      <c r="F1251" s="23" t="str">
        <f>HYPERLINK("https://www.spark-marketing.ru/Card/Lot/74050541", "Оказание услуг по организации готового горячего питания лиц, подозреваемых и обвиняемых в совершении преступлений, находящихся в ИВС МУ МВД России «Красноярское» (2020-2021 годы)")</f>
        <v>Оказание услуг по организации готового горячего питания лиц, подозреваемых и обвиняемых в совершении преступлений, находящихся в ИВС МУ МВД России «Красноярское» (2020-2021 годы)</v>
      </c>
      <c r="G1251" s="22" t="s">
        <v>281</v>
      </c>
      <c r="H1251" s="22" t="s">
        <v>281</v>
      </c>
      <c r="I1251" s="26">
        <v>43738.493750000001</v>
      </c>
      <c r="J1251" s="23" t="str">
        <f>HYPERLINK("https://www.spark-marketing.ru/Card/Person/90829", "ООО ""КОМБИНАТ ПИТАНИЯ ""ВЕТЕРАН""")</f>
        <v>ООО "КОМБИНАТ ПИТАНИЯ "ВЕТЕРАН"</v>
      </c>
      <c r="K1251" s="24" t="s">
        <v>2510</v>
      </c>
      <c r="L1251" s="28" t="s">
        <v>51</v>
      </c>
      <c r="M1251" s="25">
        <v>545.84</v>
      </c>
      <c r="N1251" s="27">
        <v>0.99988502408356184</v>
      </c>
    </row>
    <row r="1252" spans="1:14" hidden="1" outlineLevel="1" x14ac:dyDescent="0.2">
      <c r="A1252" s="23" t="str">
        <f>HYPERLINK("https://www.spark-marketing.ru/Card/Person/41097", "МУ МВД РОССИИ ""КРАСНОЯРСКОЕ""")</f>
        <v>МУ МВД РОССИИ "КРАСНОЯРСКОЕ"</v>
      </c>
      <c r="B1252" s="24" t="s">
        <v>647</v>
      </c>
      <c r="C1252" s="25">
        <v>4747429</v>
      </c>
      <c r="D1252" s="22" t="s">
        <v>2509</v>
      </c>
      <c r="E1252" s="22" t="s">
        <v>48</v>
      </c>
      <c r="F1252" s="23" t="str">
        <f>HYPERLINK("https://www.spark-marketing.ru/Card/Lot/74050541", "Оказание услуг по организации готового горячего питания лиц, подозреваемых и обвиняемых в совершении преступлений, находящихся в ИВС МУ МВД России «Красноярское» (2020-2021 годы)")</f>
        <v>Оказание услуг по организации готового горячего питания лиц, подозреваемых и обвиняемых в совершении преступлений, находящихся в ИВС МУ МВД России «Красноярское» (2020-2021 годы)</v>
      </c>
      <c r="G1252" s="22" t="s">
        <v>281</v>
      </c>
      <c r="H1252" s="22" t="s">
        <v>281</v>
      </c>
      <c r="I1252" s="26">
        <v>43738.493750000001</v>
      </c>
      <c r="J1252" s="23" t="str">
        <f>HYPERLINK("https://www.spark-marketing.ru/Card/Person/6352910", "ООО ""РЕСПЕКТ""")</f>
        <v>ООО "РЕСПЕКТ"</v>
      </c>
      <c r="K1252" s="24" t="s">
        <v>2511</v>
      </c>
      <c r="L1252" s="28" t="s">
        <v>51</v>
      </c>
      <c r="M1252" s="25">
        <v>482</v>
      </c>
      <c r="N1252" s="27">
        <v>0.99989847136207832</v>
      </c>
    </row>
    <row r="1253" spans="1:14" x14ac:dyDescent="0.15">
      <c r="A1253" s="23" t="str">
        <f t="shared" ref="A1253:A1258" si="18">HYPERLINK("https://www.spark-marketing.ru/Card/Person/19803", "АЗОВО-ЧЕРНОМОРСКОЕ ТУ РОСРЫБОЛОВСТВА")</f>
        <v>АЗОВО-ЧЕРНОМОРСКОЕ ТУ РОСРЫБОЛОВСТВА</v>
      </c>
      <c r="B1253" s="24" t="s">
        <v>2512</v>
      </c>
      <c r="C1253" s="25">
        <v>54799.31</v>
      </c>
      <c r="D1253" s="22" t="s">
        <v>2513</v>
      </c>
      <c r="E1253" s="22" t="s">
        <v>1166</v>
      </c>
      <c r="F1253" s="23" t="str">
        <f t="shared" ref="F1253:F1258" si="19">HYPERLINK("https://www.spark-marketing.ru/Card/Lot/74070796", "Утилизация имущества Азово-Черноморского территориального управления Федерального агентства по рыболовству")</f>
        <v>Утилизация имущества Азово-Черноморского территориального управления Федерального агентства по рыболовству</v>
      </c>
      <c r="G1253" s="22" t="s">
        <v>267</v>
      </c>
      <c r="H1253" s="22" t="s">
        <v>267</v>
      </c>
      <c r="I1253" s="26">
        <v>43738.497916666704</v>
      </c>
      <c r="J1253" s="28" t="s">
        <v>51</v>
      </c>
      <c r="K1253" s="28" t="s">
        <v>51</v>
      </c>
      <c r="L1253" s="28" t="s">
        <v>51</v>
      </c>
      <c r="M1253" s="28" t="s">
        <v>51</v>
      </c>
      <c r="N1253" s="28" t="s">
        <v>51</v>
      </c>
    </row>
    <row r="1254" spans="1:14" hidden="1" outlineLevel="1" x14ac:dyDescent="0.2">
      <c r="A1254" s="23" t="str">
        <f t="shared" si="18"/>
        <v>АЗОВО-ЧЕРНОМОРСКОЕ ТУ РОСРЫБОЛОВСТВА</v>
      </c>
      <c r="B1254" s="24" t="s">
        <v>2512</v>
      </c>
      <c r="C1254" s="25">
        <v>54799.31</v>
      </c>
      <c r="D1254" s="22" t="s">
        <v>2513</v>
      </c>
      <c r="E1254" s="22" t="s">
        <v>1166</v>
      </c>
      <c r="F1254" s="23" t="str">
        <f t="shared" si="19"/>
        <v>Утилизация имущества Азово-Черноморского территориального управления Федерального агентства по рыболовству</v>
      </c>
      <c r="G1254" s="22" t="s">
        <v>267</v>
      </c>
      <c r="H1254" s="22" t="s">
        <v>267</v>
      </c>
      <c r="I1254" s="26">
        <v>43738.497916666704</v>
      </c>
      <c r="J1254" s="23" t="str">
        <f>HYPERLINK("https://www.spark-marketing.ru/Card/Person/849919", "ООО ""ЮЖНАЯ УТИЛИЗИРУЮЩАЯ КОМПАНИЯ""")</f>
        <v>ООО "ЮЖНАЯ УТИЛИЗИРУЮЩАЯ КОМПАНИЯ"</v>
      </c>
      <c r="K1254" s="24" t="s">
        <v>2463</v>
      </c>
      <c r="L1254" s="28" t="s">
        <v>51</v>
      </c>
      <c r="M1254" s="25">
        <v>14245.97</v>
      </c>
      <c r="N1254" s="27">
        <v>0.74003377049820518</v>
      </c>
    </row>
    <row r="1255" spans="1:14" hidden="1" outlineLevel="1" x14ac:dyDescent="0.2">
      <c r="A1255" s="23" t="str">
        <f t="shared" si="18"/>
        <v>АЗОВО-ЧЕРНОМОРСКОЕ ТУ РОСРЫБОЛОВСТВА</v>
      </c>
      <c r="B1255" s="24" t="s">
        <v>2512</v>
      </c>
      <c r="C1255" s="25">
        <v>54799.31</v>
      </c>
      <c r="D1255" s="22" t="s">
        <v>2513</v>
      </c>
      <c r="E1255" s="22" t="s">
        <v>1166</v>
      </c>
      <c r="F1255" s="23" t="str">
        <f t="shared" si="19"/>
        <v>Утилизация имущества Азово-Черноморского территориального управления Федерального агентства по рыболовству</v>
      </c>
      <c r="G1255" s="22" t="s">
        <v>267</v>
      </c>
      <c r="H1255" s="22" t="s">
        <v>267</v>
      </c>
      <c r="I1255" s="26">
        <v>43738.497916666704</v>
      </c>
      <c r="J1255" s="23" t="str">
        <f>HYPERLINK("https://www.spark-marketing.ru/Card/Person/1927857", "ООО ""УТК-С""")</f>
        <v>ООО "УТК-С"</v>
      </c>
      <c r="K1255" s="24" t="s">
        <v>2514</v>
      </c>
      <c r="L1255" s="28" t="s">
        <v>51</v>
      </c>
      <c r="M1255" s="25">
        <v>10085.799999999999</v>
      </c>
      <c r="N1255" s="27">
        <v>0.81595023732963057</v>
      </c>
    </row>
    <row r="1256" spans="1:14" hidden="1" outlineLevel="1" x14ac:dyDescent="0.2">
      <c r="A1256" s="23" t="str">
        <f t="shared" si="18"/>
        <v>АЗОВО-ЧЕРНОМОРСКОЕ ТУ РОСРЫБОЛОВСТВА</v>
      </c>
      <c r="B1256" s="24" t="s">
        <v>2512</v>
      </c>
      <c r="C1256" s="25">
        <v>54799.31</v>
      </c>
      <c r="D1256" s="22" t="s">
        <v>2513</v>
      </c>
      <c r="E1256" s="22" t="s">
        <v>1166</v>
      </c>
      <c r="F1256" s="23" t="str">
        <f t="shared" si="19"/>
        <v>Утилизация имущества Азово-Черноморского территориального управления Федерального агентства по рыболовству</v>
      </c>
      <c r="G1256" s="22" t="s">
        <v>267</v>
      </c>
      <c r="H1256" s="22" t="s">
        <v>267</v>
      </c>
      <c r="I1256" s="26">
        <v>43738.497916666704</v>
      </c>
      <c r="J1256" s="23" t="str">
        <f>HYPERLINK("https://www.spark-marketing.ru/Card/Person/825879", "Закиров Рустем Рифкатович")</f>
        <v>Закиров Рустем Рифкатович</v>
      </c>
      <c r="K1256" s="24" t="s">
        <v>2466</v>
      </c>
      <c r="L1256" s="28" t="s">
        <v>51</v>
      </c>
      <c r="M1256" s="25">
        <v>19300</v>
      </c>
      <c r="N1256" s="27">
        <v>0.64780578441589864</v>
      </c>
    </row>
    <row r="1257" spans="1:14" hidden="1" outlineLevel="1" x14ac:dyDescent="0.2">
      <c r="A1257" s="23" t="str">
        <f t="shared" si="18"/>
        <v>АЗОВО-ЧЕРНОМОРСКОЕ ТУ РОСРЫБОЛОВСТВА</v>
      </c>
      <c r="B1257" s="24" t="s">
        <v>2512</v>
      </c>
      <c r="C1257" s="25">
        <v>54799.31</v>
      </c>
      <c r="D1257" s="22" t="s">
        <v>2513</v>
      </c>
      <c r="E1257" s="22" t="s">
        <v>1166</v>
      </c>
      <c r="F1257" s="23" t="str">
        <f t="shared" si="19"/>
        <v>Утилизация имущества Азово-Черноморского территориального управления Федерального агентства по рыболовству</v>
      </c>
      <c r="G1257" s="22" t="s">
        <v>267</v>
      </c>
      <c r="H1257" s="22" t="s">
        <v>267</v>
      </c>
      <c r="I1257" s="26">
        <v>43738.497916666704</v>
      </c>
      <c r="J1257" s="23" t="str">
        <f>HYPERLINK("https://www.spark-marketing.ru/Card/Person/963962", "ООО ""СТАВСТРОЙКОМПЛЕКТ""")</f>
        <v>ООО "СТАВСТРОЙКОМПЛЕКТ"</v>
      </c>
      <c r="K1257" s="24" t="s">
        <v>2467</v>
      </c>
      <c r="L1257" s="28" t="s">
        <v>51</v>
      </c>
      <c r="M1257" s="25">
        <v>18630</v>
      </c>
      <c r="N1257" s="27">
        <v>0.6600322157341032</v>
      </c>
    </row>
    <row r="1258" spans="1:14" ht="12.75" hidden="1" outlineLevel="1" x14ac:dyDescent="0.2">
      <c r="A1258" s="23" t="str">
        <f t="shared" si="18"/>
        <v>АЗОВО-ЧЕРНОМОРСКОЕ ТУ РОСРЫБОЛОВСТВА</v>
      </c>
      <c r="B1258" s="24" t="s">
        <v>2512</v>
      </c>
      <c r="C1258" s="25">
        <v>54799.31</v>
      </c>
      <c r="D1258" s="22" t="s">
        <v>2513</v>
      </c>
      <c r="E1258" s="22" t="s">
        <v>1166</v>
      </c>
      <c r="F1258" s="23" t="str">
        <f t="shared" si="19"/>
        <v>Утилизация имущества Азово-Черноморского территориального управления Федерального агентства по рыболовству</v>
      </c>
      <c r="G1258" s="22" t="s">
        <v>267</v>
      </c>
      <c r="H1258" s="22" t="s">
        <v>267</v>
      </c>
      <c r="I1258" s="26">
        <v>43738.497916666704</v>
      </c>
      <c r="J1258" s="23" t="str">
        <f>HYPERLINK("https://www.spark-marketing.ru/Card/Person/153456", "ООО ""ПЭБ""")</f>
        <v>ООО "ПЭБ"</v>
      </c>
      <c r="K1258" s="24" t="s">
        <v>2515</v>
      </c>
      <c r="L1258" s="22" t="s">
        <v>10</v>
      </c>
      <c r="M1258" s="25">
        <v>9811.7999999999993</v>
      </c>
      <c r="N1258" s="27">
        <v>0.82095030028662774</v>
      </c>
    </row>
    <row r="1259" spans="1:14" x14ac:dyDescent="0.15">
      <c r="A1259" s="23" t="str">
        <f>HYPERLINK("https://www.spark-marketing.ru/Card/Person/1063681", "МО МВД РОССИИ ""КОВРОВСКИЙ""")</f>
        <v>МО МВД РОССИИ "КОВРОВСКИЙ"</v>
      </c>
      <c r="B1259" s="24" t="s">
        <v>2516</v>
      </c>
      <c r="C1259" s="25">
        <v>718000</v>
      </c>
      <c r="D1259" s="22" t="s">
        <v>2517</v>
      </c>
      <c r="E1259" s="22" t="s">
        <v>96</v>
      </c>
      <c r="F1259" s="23" t="str">
        <f>HYPERLINK("https://www.spark-marketing.ru/Card/Lot/74090141", "Оказание услуг по обеспечению ежедневным трехразовым горячим питанием лиц, содержащихся в изоляторе временного содержания, специальном приемнике и камерах административного содержания в МО МВД России «Ковровский»")</f>
        <v>Оказание услуг по обеспечению ежедневным трехразовым горячим питанием лиц, содержащихся в изоляторе временного содержания, специальном приемнике и камерах административного содержания в МО МВД России «Ковровский»</v>
      </c>
      <c r="G1259" s="22" t="s">
        <v>663</v>
      </c>
      <c r="H1259" s="22" t="s">
        <v>2518</v>
      </c>
      <c r="I1259" s="26">
        <v>43738.477083333302</v>
      </c>
      <c r="J1259" s="23" t="str">
        <f>HYPERLINK("https://www.spark-marketing.ru/Card/Person/1252859", "ООО ""ГРАНД""")</f>
        <v>ООО "ГРАНД"</v>
      </c>
      <c r="K1259" s="24" t="s">
        <v>2519</v>
      </c>
      <c r="L1259" s="28" t="s">
        <v>51</v>
      </c>
      <c r="M1259" s="28" t="s">
        <v>51</v>
      </c>
      <c r="N1259" s="28" t="s">
        <v>51</v>
      </c>
    </row>
    <row r="1260" spans="1:14" ht="12.75" hidden="1" outlineLevel="1" x14ac:dyDescent="0.2">
      <c r="A1260" s="23" t="str">
        <f>HYPERLINK("https://www.spark-marketing.ru/Card/Person/1063681", "МО МВД РОССИИ ""КОВРОВСКИЙ""")</f>
        <v>МО МВД РОССИИ "КОВРОВСКИЙ"</v>
      </c>
      <c r="B1260" s="24" t="s">
        <v>2516</v>
      </c>
      <c r="C1260" s="25">
        <v>718000</v>
      </c>
      <c r="D1260" s="22" t="s">
        <v>2517</v>
      </c>
      <c r="E1260" s="22" t="s">
        <v>96</v>
      </c>
      <c r="F1260" s="23" t="str">
        <f>HYPERLINK("https://www.spark-marketing.ru/Card/Lot/74090141", "Оказание услуг по обеспечению ежедневным трехразовым горячим питанием лиц, содержащихся в изоляторе временного содержания, специальном приемнике и камерах административного содержания в МО МВД России «Ковровский»")</f>
        <v>Оказание услуг по обеспечению ежедневным трехразовым горячим питанием лиц, содержащихся в изоляторе временного содержания, специальном приемнике и камерах административного содержания в МО МВД России «Ковровский»</v>
      </c>
      <c r="G1260" s="22" t="s">
        <v>663</v>
      </c>
      <c r="H1260" s="22" t="s">
        <v>2518</v>
      </c>
      <c r="I1260" s="26">
        <v>43738.477083333302</v>
      </c>
      <c r="J1260" s="23" t="str">
        <f>HYPERLINK("https://www.spark-marketing.ru/Card/Person/1252859", "ООО ""ГРАНД""")</f>
        <v>ООО "ГРАНД"</v>
      </c>
      <c r="K1260" s="24" t="s">
        <v>2519</v>
      </c>
      <c r="L1260" s="22" t="s">
        <v>10</v>
      </c>
      <c r="M1260" s="25">
        <v>2018.53</v>
      </c>
      <c r="N1260" s="27">
        <v>0.99718867688022284</v>
      </c>
    </row>
    <row r="1261" spans="1:14" x14ac:dyDescent="0.15">
      <c r="A1261" s="23" t="str">
        <f>HYPERLINK("https://www.spark-marketing.ru/Card/Person/25650", "УМВД РОССИИ ПО АСТРАХАНСКОЙ ОБЛАСТИ")</f>
        <v>УМВД РОССИИ ПО АСТРАХАНСКОЙ ОБЛАСТИ</v>
      </c>
      <c r="B1261" s="24" t="s">
        <v>2449</v>
      </c>
      <c r="C1261" s="25">
        <v>2762422.2</v>
      </c>
      <c r="D1261" s="22" t="s">
        <v>2520</v>
      </c>
      <c r="E1261" s="22" t="s">
        <v>48</v>
      </c>
      <c r="F1261" s="23" t="str">
        <f>HYPERLINK("https://www.spark-marketing.ru/Card/Lot/74076230", "Оказание услуг по организации ежедневного трехразового питания иностранных граждан содержащихся в ЦВСИГ УМВД России по Астраханской области")</f>
        <v>Оказание услуг по организации ежедневного трехразового питания иностранных граждан содержащихся в ЦВСИГ УМВД России по Астраханской области</v>
      </c>
      <c r="G1261" s="22" t="s">
        <v>141</v>
      </c>
      <c r="H1261" s="22" t="s">
        <v>141</v>
      </c>
      <c r="I1261" s="26">
        <v>43738.474965277797</v>
      </c>
      <c r="J1261" s="28" t="s">
        <v>51</v>
      </c>
      <c r="K1261" s="28" t="s">
        <v>51</v>
      </c>
      <c r="L1261" s="28" t="s">
        <v>51</v>
      </c>
      <c r="M1261" s="28" t="s">
        <v>51</v>
      </c>
      <c r="N1261" s="28" t="s">
        <v>51</v>
      </c>
    </row>
    <row r="1262" spans="1:14" hidden="1" outlineLevel="1" x14ac:dyDescent="0.2">
      <c r="A1262" s="23" t="str">
        <f>HYPERLINK("https://www.spark-marketing.ru/Card/Person/25650", "УМВД РОССИИ ПО АСТРАХАНСКОЙ ОБЛАСТИ")</f>
        <v>УМВД РОССИИ ПО АСТРАХАНСКОЙ ОБЛАСТИ</v>
      </c>
      <c r="B1262" s="24" t="s">
        <v>2449</v>
      </c>
      <c r="C1262" s="25">
        <v>2762422.2</v>
      </c>
      <c r="D1262" s="22" t="s">
        <v>2520</v>
      </c>
      <c r="E1262" s="22" t="s">
        <v>48</v>
      </c>
      <c r="F1262" s="23" t="str">
        <f>HYPERLINK("https://www.spark-marketing.ru/Card/Lot/74076230", "Оказание услуг по организации ежедневного трехразового питания иностранных граждан содержащихся в ЦВСИГ УМВД России по Астраханской области")</f>
        <v>Оказание услуг по организации ежедневного трехразового питания иностранных граждан содержащихся в ЦВСИГ УМВД России по Астраханской области</v>
      </c>
      <c r="G1262" s="22" t="s">
        <v>141</v>
      </c>
      <c r="H1262" s="22" t="s">
        <v>141</v>
      </c>
      <c r="I1262" s="26">
        <v>43738.474965277797</v>
      </c>
      <c r="J1262" s="23" t="str">
        <f>HYPERLINK("https://www.spark-marketing.ru/Card/Person/242503", "ООО ""ФЕНИКС""")</f>
        <v>ООО "ФЕНИКС"</v>
      </c>
      <c r="K1262" s="24" t="s">
        <v>2451</v>
      </c>
      <c r="L1262" s="28" t="s">
        <v>51</v>
      </c>
      <c r="M1262" s="25">
        <v>455.32</v>
      </c>
      <c r="N1262" s="27">
        <v>0.99983517363855534</v>
      </c>
    </row>
    <row r="1263" spans="1:14" ht="12.75" hidden="1" outlineLevel="1" x14ac:dyDescent="0.2">
      <c r="A1263" s="23" t="str">
        <f>HYPERLINK("https://www.spark-marketing.ru/Card/Person/25650", "УМВД РОССИИ ПО АСТРАХАНСКОЙ ОБЛАСТИ")</f>
        <v>УМВД РОССИИ ПО АСТРАХАНСКОЙ ОБЛАСТИ</v>
      </c>
      <c r="B1263" s="24" t="s">
        <v>2449</v>
      </c>
      <c r="C1263" s="25">
        <v>2762422.2</v>
      </c>
      <c r="D1263" s="22" t="s">
        <v>2520</v>
      </c>
      <c r="E1263" s="22" t="s">
        <v>48</v>
      </c>
      <c r="F1263" s="23" t="str">
        <f>HYPERLINK("https://www.spark-marketing.ru/Card/Lot/74076230", "Оказание услуг по организации ежедневного трехразового питания иностранных граждан содержащихся в ЦВСИГ УМВД России по Астраханской области")</f>
        <v>Оказание услуг по организации ежедневного трехразового питания иностранных граждан содержащихся в ЦВСИГ УМВД России по Астраханской области</v>
      </c>
      <c r="G1263" s="22" t="s">
        <v>141</v>
      </c>
      <c r="H1263" s="22" t="s">
        <v>141</v>
      </c>
      <c r="I1263" s="26">
        <v>43738.474965277797</v>
      </c>
      <c r="J1263" s="23" t="str">
        <f>HYPERLINK("https://www.spark-marketing.ru/Card/Person/6618416", "Мамедов Заур Эльдар Оглы")</f>
        <v>Мамедов Заур Эльдар Оглы</v>
      </c>
      <c r="K1263" s="24" t="s">
        <v>2452</v>
      </c>
      <c r="L1263" s="22" t="s">
        <v>10</v>
      </c>
      <c r="M1263" s="25">
        <v>451.68</v>
      </c>
      <c r="N1263" s="27">
        <v>0.9998364913227239</v>
      </c>
    </row>
    <row r="1264" spans="1:14" hidden="1" outlineLevel="1" x14ac:dyDescent="0.2">
      <c r="A1264" s="23" t="str">
        <f>HYPERLINK("https://www.spark-marketing.ru/Card/Person/25650", "УМВД РОССИИ ПО АСТРАХАНСКОЙ ОБЛАСТИ")</f>
        <v>УМВД РОССИИ ПО АСТРАХАНСКОЙ ОБЛАСТИ</v>
      </c>
      <c r="B1264" s="24" t="s">
        <v>2449</v>
      </c>
      <c r="C1264" s="25">
        <v>2762422.2</v>
      </c>
      <c r="D1264" s="22" t="s">
        <v>2520</v>
      </c>
      <c r="E1264" s="22" t="s">
        <v>48</v>
      </c>
      <c r="F1264" s="23" t="str">
        <f>HYPERLINK("https://www.spark-marketing.ru/Card/Lot/74076230", "Оказание услуг по организации ежедневного трехразового питания иностранных граждан содержащихся в ЦВСИГ УМВД России по Астраханской области")</f>
        <v>Оказание услуг по организации ежедневного трехразового питания иностранных граждан содержащихся в ЦВСИГ УМВД России по Астраханской области</v>
      </c>
      <c r="G1264" s="22" t="s">
        <v>141</v>
      </c>
      <c r="H1264" s="22" t="s">
        <v>141</v>
      </c>
      <c r="I1264" s="26">
        <v>43738.474965277797</v>
      </c>
      <c r="J1264" s="23" t="str">
        <f>HYPERLINK("https://www.spark-marketing.ru/Card/Person/6515218", "Хамзина Нагима Ризабековна")</f>
        <v>Хамзина Нагима Ризабековна</v>
      </c>
      <c r="K1264" s="24" t="s">
        <v>2521</v>
      </c>
      <c r="L1264" s="28" t="s">
        <v>51</v>
      </c>
      <c r="M1264" s="25">
        <v>491.72</v>
      </c>
      <c r="N1264" s="27">
        <v>0.99982199679686912</v>
      </c>
    </row>
    <row r="1265" spans="1:14" hidden="1" outlineLevel="1" x14ac:dyDescent="0.2">
      <c r="A1265" s="23" t="str">
        <f>HYPERLINK("https://www.spark-marketing.ru/Card/Person/25650", "УМВД РОССИИ ПО АСТРАХАНСКОЙ ОБЛАСТИ")</f>
        <v>УМВД РОССИИ ПО АСТРАХАНСКОЙ ОБЛАСТИ</v>
      </c>
      <c r="B1265" s="24" t="s">
        <v>2449</v>
      </c>
      <c r="C1265" s="25">
        <v>2762422.2</v>
      </c>
      <c r="D1265" s="22" t="s">
        <v>2520</v>
      </c>
      <c r="E1265" s="22" t="s">
        <v>48</v>
      </c>
      <c r="F1265" s="23" t="str">
        <f>HYPERLINK("https://www.spark-marketing.ru/Card/Lot/74076230", "Оказание услуг по организации ежедневного трехразового питания иностранных граждан содержащихся в ЦВСИГ УМВД России по Астраханской области")</f>
        <v>Оказание услуг по организации ежедневного трехразового питания иностранных граждан содержащихся в ЦВСИГ УМВД России по Астраханской области</v>
      </c>
      <c r="G1265" s="22" t="s">
        <v>141</v>
      </c>
      <c r="H1265" s="22" t="s">
        <v>141</v>
      </c>
      <c r="I1265" s="26">
        <v>43738.474965277797</v>
      </c>
      <c r="J1265" s="23" t="str">
        <f>HYPERLINK("https://www.spark-marketing.ru/Card/Person/6498825", "ООО ""АСТРА КОМПАНИ""")</f>
        <v>ООО "АСТРА КОМПАНИ"</v>
      </c>
      <c r="K1265" s="24" t="s">
        <v>2453</v>
      </c>
      <c r="L1265" s="28" t="s">
        <v>51</v>
      </c>
      <c r="M1265" s="25">
        <v>549.96</v>
      </c>
      <c r="N1265" s="27">
        <v>0.999800913850171</v>
      </c>
    </row>
    <row r="1266" spans="1:14" x14ac:dyDescent="0.15">
      <c r="A1266" s="23" t="str">
        <f>HYPERLINK("https://www.spark-marketing.ru/Card/Person/737290", "ГКУ «ЦБЗ ПРИ МИНЗДРАВЕ КАРЕЛИИ»")</f>
        <v>ГКУ «ЦБЗ ПРИ МИНЗДРАВЕ КАРЕЛИИ»</v>
      </c>
      <c r="B1266" s="24" t="s">
        <v>312</v>
      </c>
      <c r="C1266" s="25">
        <v>1985249.7</v>
      </c>
      <c r="D1266" s="22" t="s">
        <v>2522</v>
      </c>
      <c r="E1266" s="22" t="s">
        <v>52</v>
      </c>
      <c r="F1266" s="23" t="str">
        <f>HYPERLINK("https://www.spark-marketing.ru/Card/Lot/74077888", "Поставка лекарственного препарата Аторвастатин,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Аторвастатин,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1266" s="22" t="s">
        <v>59</v>
      </c>
      <c r="H1266" s="22" t="s">
        <v>314</v>
      </c>
      <c r="I1266" s="26">
        <v>43738.471238425896</v>
      </c>
      <c r="J1266" s="28" t="s">
        <v>51</v>
      </c>
      <c r="K1266" s="28" t="s">
        <v>51</v>
      </c>
      <c r="L1266" s="28" t="s">
        <v>51</v>
      </c>
      <c r="M1266" s="28" t="s">
        <v>51</v>
      </c>
      <c r="N1266" s="28" t="s">
        <v>51</v>
      </c>
    </row>
    <row r="1267" spans="1:14" hidden="1" outlineLevel="1" x14ac:dyDescent="0.2">
      <c r="A1267" s="23" t="str">
        <f>HYPERLINK("https://www.spark-marketing.ru/Card/Person/737290", "ГКУ «ЦБЗ ПРИ МИНЗДРАВЕ КАРЕЛИИ»")</f>
        <v>ГКУ «ЦБЗ ПРИ МИНЗДРАВЕ КАРЕЛИИ»</v>
      </c>
      <c r="B1267" s="24" t="s">
        <v>312</v>
      </c>
      <c r="C1267" s="25">
        <v>1985249.7</v>
      </c>
      <c r="D1267" s="22" t="s">
        <v>2522</v>
      </c>
      <c r="E1267" s="22" t="s">
        <v>52</v>
      </c>
      <c r="F1267" s="23" t="str">
        <f>HYPERLINK("https://www.spark-marketing.ru/Card/Lot/74077888", "Поставка лекарственного препарата Аторвастатин,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Аторвастатин,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1267" s="22" t="s">
        <v>59</v>
      </c>
      <c r="H1267" s="22" t="s">
        <v>314</v>
      </c>
      <c r="I1267" s="26">
        <v>43738.471238425896</v>
      </c>
      <c r="J1267" s="23" t="str">
        <f>HYPERLINK("https://www.spark-marketing.ru/Card/Person/1607891", "ООО ""МОСОБЛФАРМ""")</f>
        <v>ООО "МОСОБЛФАРМ"</v>
      </c>
      <c r="K1267" s="24" t="s">
        <v>2523</v>
      </c>
      <c r="L1267" s="28" t="s">
        <v>51</v>
      </c>
      <c r="M1267" s="25">
        <v>1925692.2</v>
      </c>
      <c r="N1267" s="27">
        <v>3.0000004533434762E-2</v>
      </c>
    </row>
    <row r="1268" spans="1:14" ht="12.75" hidden="1" outlineLevel="1" x14ac:dyDescent="0.2">
      <c r="A1268" s="23" t="str">
        <f>HYPERLINK("https://www.spark-marketing.ru/Card/Person/737290", "ГКУ «ЦБЗ ПРИ МИНЗДРАВЕ КАРЕЛИИ»")</f>
        <v>ГКУ «ЦБЗ ПРИ МИНЗДРАВЕ КАРЕЛИИ»</v>
      </c>
      <c r="B1268" s="24" t="s">
        <v>312</v>
      </c>
      <c r="C1268" s="25">
        <v>1985249.7</v>
      </c>
      <c r="D1268" s="22" t="s">
        <v>2522</v>
      </c>
      <c r="E1268" s="22" t="s">
        <v>52</v>
      </c>
      <c r="F1268" s="23" t="str">
        <f>HYPERLINK("https://www.spark-marketing.ru/Card/Lot/74077888", "Поставка лекарственного препарата Аторвастатин,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Аторвастатин,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1268" s="22" t="s">
        <v>59</v>
      </c>
      <c r="H1268" s="22" t="s">
        <v>314</v>
      </c>
      <c r="I1268" s="26">
        <v>43738.471238425896</v>
      </c>
      <c r="J1268" s="23" t="str">
        <f>HYPERLINK("https://www.spark-marketing.ru/Card/Person/6231467", "ООО ""ОБЛФАРМ АЛЬЯНС""")</f>
        <v>ООО "ОБЛФАРМ АЛЬЯНС"</v>
      </c>
      <c r="K1268" s="24" t="s">
        <v>2175</v>
      </c>
      <c r="L1268" s="22" t="s">
        <v>10</v>
      </c>
      <c r="M1268" s="25">
        <v>1915765.95</v>
      </c>
      <c r="N1268" s="27">
        <v>3.5000005289007222E-2</v>
      </c>
    </row>
    <row r="1269" spans="1:14" x14ac:dyDescent="0.15">
      <c r="A1269" s="23" t="str">
        <f>HYPERLINK("https://www.spark-marketing.ru/Card/Person/41097", "МУ МВД РОССИИ ""КРАСНОЯРСКОЕ""")</f>
        <v>МУ МВД РОССИИ "КРАСНОЯРСКОЕ"</v>
      </c>
      <c r="B1269" s="24" t="s">
        <v>647</v>
      </c>
      <c r="C1269" s="25">
        <v>2000000</v>
      </c>
      <c r="D1269" s="22" t="s">
        <v>2524</v>
      </c>
      <c r="E1269" s="22" t="s">
        <v>48</v>
      </c>
      <c r="F1269" s="23" t="str">
        <f>HYPERLINK("https://www.spark-marketing.ru/Card/Lot/74049964", "Оказание услуг по организации готового горячего питания лиц, подозреваемых и обвиняемых в совершении преступлений, находящихся в ИВС отдела полиции № 13 МУ МВД России «Красноярское» (2020 - 2021 годы)")</f>
        <v>Оказание услуг по организации готового горячего питания лиц, подозреваемых и обвиняемых в совершении преступлений, находящихся в ИВС отдела полиции № 13 МУ МВД России «Красноярское» (2020 - 2021 годы)</v>
      </c>
      <c r="G1269" s="22" t="s">
        <v>281</v>
      </c>
      <c r="H1269" s="22" t="s">
        <v>281</v>
      </c>
      <c r="I1269" s="26">
        <v>43738.494444444397</v>
      </c>
      <c r="J1269" s="28" t="s">
        <v>51</v>
      </c>
      <c r="K1269" s="28" t="s">
        <v>51</v>
      </c>
      <c r="L1269" s="28" t="s">
        <v>51</v>
      </c>
      <c r="M1269" s="28" t="s">
        <v>51</v>
      </c>
      <c r="N1269" s="28" t="s">
        <v>51</v>
      </c>
    </row>
    <row r="1270" spans="1:14" x14ac:dyDescent="0.15">
      <c r="A1270" s="23" t="str">
        <f>HYPERLINK("https://www.spark-marketing.ru/Card/Person/32254", "ФКУ ДПО МУЦ УФСИН РОССИИ ПО МОСКОВСКОЙ ОБЛАСТИ")</f>
        <v>ФКУ ДПО МУЦ УФСИН РОССИИ ПО МОСКОВСКОЙ ОБЛАСТИ</v>
      </c>
      <c r="B1270" s="24" t="s">
        <v>2525</v>
      </c>
      <c r="C1270" s="25">
        <v>499875</v>
      </c>
      <c r="D1270" s="22" t="s">
        <v>2526</v>
      </c>
      <c r="E1270" s="22" t="s">
        <v>48</v>
      </c>
      <c r="F1270" s="23" t="str">
        <f>HYPERLINK("https://www.spark-marketing.ru/Card/Lot/74082842", "услуги по организации питания слушателей, прибывающих на специальное первоначальное обучение")</f>
        <v>услуги по организации питания слушателей, прибывающих на специальное первоначальное обучение</v>
      </c>
      <c r="G1270" s="22" t="s">
        <v>49</v>
      </c>
      <c r="H1270" s="22" t="s">
        <v>742</v>
      </c>
      <c r="I1270" s="26">
        <v>43738.432673611103</v>
      </c>
      <c r="J1270" s="23" t="str">
        <f>HYPERLINK("https://www.spark-marketing.ru/Card/Person/5909954", "Кан Юрий Иннокентьевич")</f>
        <v>Кан Юрий Иннокентьевич</v>
      </c>
      <c r="K1270" s="24" t="s">
        <v>2527</v>
      </c>
      <c r="L1270" s="22" t="s">
        <v>10</v>
      </c>
      <c r="M1270" s="28" t="s">
        <v>51</v>
      </c>
      <c r="N1270" s="28" t="s">
        <v>51</v>
      </c>
    </row>
    <row r="1271" spans="1:14" x14ac:dyDescent="0.15">
      <c r="A1271" s="23" t="str">
        <f>HYPERLINK("https://www.spark-marketing.ru/Card/Person/45243", "МБОУ ""БЕРЕЗОВСКАЯ СОШ""")</f>
        <v>МБОУ "БЕРЕЗОВСКАЯ СОШ"</v>
      </c>
      <c r="B1271" s="24" t="s">
        <v>2528</v>
      </c>
      <c r="C1271" s="25">
        <v>2650690.4</v>
      </c>
      <c r="D1271" s="22" t="s">
        <v>2529</v>
      </c>
      <c r="E1271" s="22" t="s">
        <v>48</v>
      </c>
      <c r="F1271" s="23" t="str">
        <f>HYPERLINK("https://www.spark-marketing.ru/Card/Lot/74050161", "Оказание услуг по организации горячего питания обучающихся МБОУ «Березовская СОШ»")</f>
        <v>Оказание услуг по организации горячего питания обучающихся МБОУ «Березовская СОШ»</v>
      </c>
      <c r="G1271" s="22" t="s">
        <v>97</v>
      </c>
      <c r="H1271" s="22" t="s">
        <v>482</v>
      </c>
      <c r="I1271" s="26">
        <v>43738.4194444444</v>
      </c>
      <c r="J1271" s="23" t="str">
        <f>HYPERLINK("https://www.spark-marketing.ru/Card/Person/45078", "ООО "" ПЕРЕКРЕСТОК""")</f>
        <v>ООО " ПЕРЕКРЕСТОК"</v>
      </c>
      <c r="K1271" s="24" t="s">
        <v>2530</v>
      </c>
      <c r="L1271" s="22" t="s">
        <v>10</v>
      </c>
      <c r="M1271" s="28" t="s">
        <v>51</v>
      </c>
      <c r="N1271" s="28" t="s">
        <v>51</v>
      </c>
    </row>
    <row r="1272" spans="1:14" x14ac:dyDescent="0.15">
      <c r="A1272" s="23" t="str">
        <f>HYPERLINK("https://www.spark-marketing.ru/Card/Person/16469", "ГБУЗ СО ""ПТД""")</f>
        <v>ГБУЗ СО "ПТД"</v>
      </c>
      <c r="B1272" s="24" t="s">
        <v>2531</v>
      </c>
      <c r="C1272" s="25">
        <v>545217.19999999995</v>
      </c>
      <c r="D1272" s="22" t="s">
        <v>2532</v>
      </c>
      <c r="E1272" s="22" t="s">
        <v>96</v>
      </c>
      <c r="F1272" s="23" t="str">
        <f>HYPERLINK("https://www.spark-marketing.ru/Card/Lot/74088201", "Оказание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(декабрь).")</f>
        <v>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(декабрь).</v>
      </c>
      <c r="G1272" s="22" t="s">
        <v>174</v>
      </c>
      <c r="H1272" s="22" t="s">
        <v>530</v>
      </c>
      <c r="I1272" s="26">
        <v>43738.451388888898</v>
      </c>
      <c r="J1272" s="28" t="s">
        <v>51</v>
      </c>
      <c r="K1272" s="28" t="s">
        <v>51</v>
      </c>
      <c r="L1272" s="28" t="s">
        <v>51</v>
      </c>
      <c r="M1272" s="28" t="s">
        <v>51</v>
      </c>
      <c r="N1272" s="28" t="s">
        <v>51</v>
      </c>
    </row>
    <row r="1273" spans="1:14" ht="12.75" hidden="1" outlineLevel="1" x14ac:dyDescent="0.2">
      <c r="A1273" s="23" t="str">
        <f>HYPERLINK("https://www.spark-marketing.ru/Card/Person/16469", "ГБУЗ СО ""ПТД""")</f>
        <v>ГБУЗ СО "ПТД"</v>
      </c>
      <c r="B1273" s="24" t="s">
        <v>2531</v>
      </c>
      <c r="C1273" s="25">
        <v>545217.19999999995</v>
      </c>
      <c r="D1273" s="22" t="s">
        <v>2532</v>
      </c>
      <c r="E1273" s="22" t="s">
        <v>96</v>
      </c>
      <c r="F1273" s="23" t="str">
        <f>HYPERLINK("https://www.spark-marketing.ru/Card/Lot/74088201", "Оказание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(декабрь).")</f>
        <v>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(декабрь).</v>
      </c>
      <c r="G1273" s="22" t="s">
        <v>174</v>
      </c>
      <c r="H1273" s="22" t="s">
        <v>530</v>
      </c>
      <c r="I1273" s="26">
        <v>43738.451388888898</v>
      </c>
      <c r="J1273" s="23" t="str">
        <f>HYPERLINK("https://www.spark-marketing.ru/Card/Person/142277", "ООО ""ОКЕЙТЕРИНГ""")</f>
        <v>ООО "ОКЕЙТЕРИНГ"</v>
      </c>
      <c r="K1273" s="24" t="s">
        <v>2533</v>
      </c>
      <c r="L1273" s="22" t="s">
        <v>10</v>
      </c>
      <c r="M1273" s="25">
        <v>493421.49</v>
      </c>
      <c r="N1273" s="27">
        <v>9.5000139393988298E-2</v>
      </c>
    </row>
    <row r="1274" spans="1:14" hidden="1" outlineLevel="1" x14ac:dyDescent="0.2">
      <c r="A1274" s="23" t="str">
        <f>HYPERLINK("https://www.spark-marketing.ru/Card/Person/16469", "ГБУЗ СО ""ПТД""")</f>
        <v>ГБУЗ СО "ПТД"</v>
      </c>
      <c r="B1274" s="24" t="s">
        <v>2531</v>
      </c>
      <c r="C1274" s="25">
        <v>545217.19999999995</v>
      </c>
      <c r="D1274" s="22" t="s">
        <v>2532</v>
      </c>
      <c r="E1274" s="22" t="s">
        <v>96</v>
      </c>
      <c r="F1274" s="23" t="str">
        <f>HYPERLINK("https://www.spark-marketing.ru/Card/Lot/74088201", "Оказание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(декабрь).")</f>
        <v>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(декабрь).</v>
      </c>
      <c r="G1274" s="22" t="s">
        <v>174</v>
      </c>
      <c r="H1274" s="22" t="s">
        <v>530</v>
      </c>
      <c r="I1274" s="26">
        <v>43738.451388888898</v>
      </c>
      <c r="J1274" s="23" t="str">
        <f>HYPERLINK("https://www.spark-marketing.ru/Card/Person/4868934", "ООО ""АЗБУКА ПИТАНИЯ""")</f>
        <v>ООО "АЗБУКА ПИТАНИЯ"</v>
      </c>
      <c r="K1274" s="24" t="s">
        <v>2534</v>
      </c>
      <c r="L1274" s="28" t="s">
        <v>51</v>
      </c>
      <c r="M1274" s="25">
        <v>496147.58</v>
      </c>
      <c r="N1274" s="27">
        <v>9.0000132057462601E-2</v>
      </c>
    </row>
    <row r="1275" spans="1:14" x14ac:dyDescent="0.15">
      <c r="A1275" s="23" t="str">
        <f>HYPERLINK("https://www.spark-marketing.ru/Card/Person/1031284", "МБОУ ""САРАНПАУЛЬСКАЯ ШКОЛА""")</f>
        <v>МБОУ "САРАНПАУЛЬСКАЯ ШКОЛА"</v>
      </c>
      <c r="B1275" s="24" t="s">
        <v>2535</v>
      </c>
      <c r="C1275" s="25">
        <v>2324212.7999999998</v>
      </c>
      <c r="D1275" s="22" t="s">
        <v>2536</v>
      </c>
      <c r="E1275" s="22" t="s">
        <v>48</v>
      </c>
      <c r="F1275" s="23" t="str">
        <f>HYPERLINK("https://www.spark-marketing.ru/Card/Lot/74078643", "Оказание услуг по организации горячего питания обучающихся МБОУ ""Саранпаульской СОШ""")</f>
        <v>Оказание услуг по организации горячего питания обучающихся МБОУ "Саранпаульской СОШ"</v>
      </c>
      <c r="G1275" s="22" t="s">
        <v>97</v>
      </c>
      <c r="H1275" s="22" t="s">
        <v>482</v>
      </c>
      <c r="I1275" s="26">
        <v>43738.456793981502</v>
      </c>
      <c r="J1275" s="23" t="str">
        <f>HYPERLINK("https://www.spark-marketing.ru/Card/Person/973842", "Политова Александра Петровна")</f>
        <v>Политова Александра Петровна</v>
      </c>
      <c r="K1275" s="24" t="s">
        <v>2537</v>
      </c>
      <c r="L1275" s="22" t="s">
        <v>10</v>
      </c>
      <c r="M1275" s="28" t="s">
        <v>51</v>
      </c>
      <c r="N1275" s="28" t="s">
        <v>51</v>
      </c>
    </row>
    <row r="1276" spans="1:14" x14ac:dyDescent="0.15">
      <c r="A1276" s="23" t="str">
        <f>HYPERLINK("https://www.spark-marketing.ru/Card/Person/145850", "ГБПОУ РО ""СИТ""")</f>
        <v>ГБПОУ РО "СИТ"</v>
      </c>
      <c r="B1276" s="24" t="s">
        <v>2538</v>
      </c>
      <c r="C1276" s="25">
        <v>850000</v>
      </c>
      <c r="D1276" s="22" t="s">
        <v>2539</v>
      </c>
      <c r="E1276" s="22" t="s">
        <v>48</v>
      </c>
      <c r="F1276" s="23" t="str">
        <f>HYPERLINK("https://www.spark-marketing.ru/Card/Lot/74092049", "Оказание услуг по организации горячего питания для обучающихся ГБПОУ РО ""СИТ""")</f>
        <v>Оказание услуг по организации горячего питания для обучающихся ГБПОУ РО "СИТ"</v>
      </c>
      <c r="G1276" s="22" t="s">
        <v>267</v>
      </c>
      <c r="H1276" s="22" t="s">
        <v>2540</v>
      </c>
      <c r="I1276" s="26">
        <v>43738.447916666701</v>
      </c>
      <c r="J1276" s="23" t="str">
        <f>HYPERLINK("https://www.spark-marketing.ru/Card/Person/278021", "ООО ""МЕГА-ТОРГ""")</f>
        <v>ООО "МЕГА-ТОРГ"</v>
      </c>
      <c r="K1276" s="24" t="s">
        <v>2541</v>
      </c>
      <c r="L1276" s="22" t="s">
        <v>10</v>
      </c>
      <c r="M1276" s="28" t="s">
        <v>51</v>
      </c>
      <c r="N1276" s="28" t="s">
        <v>51</v>
      </c>
    </row>
    <row r="1277" spans="1:14" x14ac:dyDescent="0.15">
      <c r="A1277" s="23" t="str">
        <f>HYPERLINK("https://www.spark-marketing.ru/Card/Person/4346129", "ДЕПАРТАМЕНТ ЗДРАВООХРАНЕНИЯ ТЮМЕНСКОЙ ОБЛАСТИ")</f>
        <v>ДЕПАРТАМЕНТ ЗДРАВООХРАНЕНИЯ ТЮМЕНСКОЙ ОБЛАСТИ</v>
      </c>
      <c r="B1277" s="24" t="s">
        <v>2542</v>
      </c>
      <c r="C1277" s="25">
        <v>126000000</v>
      </c>
      <c r="D1277" s="22" t="s">
        <v>2543</v>
      </c>
      <c r="E1277" s="22" t="s">
        <v>1153</v>
      </c>
      <c r="F1277" s="23" t="str">
        <f>HYPERLINK("https://www.spark-marketing.ru/Card/Lot/74104132", "Оказание услуг по приему на склад, хранению, учету и отчетности, транспортировке и отпуску лекарственных препаратов, медицинских изделий и специализированных продуктов лечебного питания по рецептам врачей (фельдшеров), персонифицированному учету отпу...")</f>
        <v>Оказание услуг по приему на склад, хранению, учету и отчетности, транспортировке и отпуску лекарственных препаратов, медицинских изделий и специализированных продуктов лечебного питания по рецептам врачей (фельдшеров), персонифицированному учету отпу...</v>
      </c>
      <c r="G1277" s="22" t="s">
        <v>766</v>
      </c>
      <c r="H1277" s="22" t="s">
        <v>1028</v>
      </c>
      <c r="I1277" s="26">
        <v>43738.433333333298</v>
      </c>
      <c r="J1277" s="23" t="str">
        <f>HYPERLINK("https://www.spark-marketing.ru/Card/Person/4350779", "АО ""ФАРМАЦИЯ""")</f>
        <v>АО "ФАРМАЦИЯ"</v>
      </c>
      <c r="K1277" s="24" t="s">
        <v>2544</v>
      </c>
      <c r="L1277" s="22" t="s">
        <v>10</v>
      </c>
      <c r="M1277" s="28" t="s">
        <v>51</v>
      </c>
      <c r="N1277" s="28" t="s">
        <v>51</v>
      </c>
    </row>
    <row r="1278" spans="1:14" x14ac:dyDescent="0.15">
      <c r="A1278" s="23" t="str">
        <f>HYPERLINK("https://www.spark-marketing.ru/Card/Person/16469", "ГБУЗ СО ""ПТД""")</f>
        <v>ГБУЗ СО "ПТД"</v>
      </c>
      <c r="B1278" s="24" t="s">
        <v>2531</v>
      </c>
      <c r="C1278" s="25">
        <v>503750</v>
      </c>
      <c r="D1278" s="22" t="s">
        <v>2545</v>
      </c>
      <c r="E1278" s="22" t="s">
        <v>96</v>
      </c>
      <c r="F1278" s="23" t="str">
        <f>HYPERLINK("https://www.spark-marketing.ru/Card/Lot/74087193", "Оказание услуг по приготовлению диетических блюд (горячего питания) для пациентов Противотуберкулезного диспансера г. Екатеринбург, ул. Камская, 37 в 2019 г. (декабрь).")</f>
        <v>Оказание услуг по приготовлению диетических блюд (горячего питания) для пациентов Противотуберкулезного диспансера г. Екатеринбург, ул. Камская, 37 в 2019 г. (декабрь).</v>
      </c>
      <c r="G1278" s="22" t="s">
        <v>174</v>
      </c>
      <c r="H1278" s="22" t="s">
        <v>530</v>
      </c>
      <c r="I1278" s="26">
        <v>43738.451388888898</v>
      </c>
      <c r="J1278" s="23" t="str">
        <f>HYPERLINK("https://www.spark-marketing.ru/Card/Person/4868934", "ООО ""АЗБУКА ПИТАНИЯ""")</f>
        <v>ООО "АЗБУКА ПИТАНИЯ"</v>
      </c>
      <c r="K1278" s="24" t="s">
        <v>2534</v>
      </c>
      <c r="L1278" s="28" t="s">
        <v>51</v>
      </c>
      <c r="M1278" s="28" t="s">
        <v>51</v>
      </c>
      <c r="N1278" s="28" t="s">
        <v>51</v>
      </c>
    </row>
    <row r="1279" spans="1:14" ht="12.75" hidden="1" outlineLevel="1" x14ac:dyDescent="0.2">
      <c r="A1279" s="23" t="str">
        <f>HYPERLINK("https://www.spark-marketing.ru/Card/Person/16469", "ГБУЗ СО ""ПТД""")</f>
        <v>ГБУЗ СО "ПТД"</v>
      </c>
      <c r="B1279" s="24" t="s">
        <v>2531</v>
      </c>
      <c r="C1279" s="25">
        <v>503750</v>
      </c>
      <c r="D1279" s="22" t="s">
        <v>2545</v>
      </c>
      <c r="E1279" s="22" t="s">
        <v>96</v>
      </c>
      <c r="F1279" s="23" t="str">
        <f>HYPERLINK("https://www.spark-marketing.ru/Card/Lot/74087193", "Оказание услуг по приготовлению диетических блюд (горячего питания) для пациентов Противотуберкулезного диспансера г. Екатеринбург, ул. Камская, 37 в 2019 г. (декабрь).")</f>
        <v>Оказание услуг по приготовлению диетических блюд (горячего питания) для пациентов Противотуберкулезного диспансера г. Екатеринбург, ул. Камская, 37 в 2019 г. (декабрь).</v>
      </c>
      <c r="G1279" s="22" t="s">
        <v>174</v>
      </c>
      <c r="H1279" s="22" t="s">
        <v>530</v>
      </c>
      <c r="I1279" s="26">
        <v>43738.451388888898</v>
      </c>
      <c r="J1279" s="23" t="str">
        <f>HYPERLINK("https://www.spark-marketing.ru/Card/Person/4868934", "ООО ""АЗБУКА ПИТАНИЯ""")</f>
        <v>ООО "АЗБУКА ПИТАНИЯ"</v>
      </c>
      <c r="K1279" s="24" t="s">
        <v>2534</v>
      </c>
      <c r="L1279" s="22" t="s">
        <v>10</v>
      </c>
      <c r="M1279" s="25">
        <v>501231.25</v>
      </c>
      <c r="N1279" s="27">
        <v>5.0000000000000001E-3</v>
      </c>
    </row>
    <row r="1280" spans="1:14" x14ac:dyDescent="0.15">
      <c r="A1280" s="23" t="str">
        <f>HYPERLINK("https://www.spark-marketing.ru/Card/Person/7854", "МО МВД РОССИИ ""РЖЕВСКИЙ""")</f>
        <v>МО МВД РОССИИ "РЖЕВСКИЙ"</v>
      </c>
      <c r="B1280" s="24" t="s">
        <v>2546</v>
      </c>
      <c r="C1280" s="25">
        <v>463030</v>
      </c>
      <c r="D1280" s="22" t="s">
        <v>2547</v>
      </c>
      <c r="E1280" s="22" t="s">
        <v>48</v>
      </c>
      <c r="F1280" s="23" t="str">
        <f>HYPERLINK("https://www.spark-marketing.ru/Card/Lot/74086397", "оказание услуг по организации трехразового горячего питания для лиц, содержащихся в изоляторе временного содержания подозреваемых и обвиняемых МО МВД России ""Ржевский"" и лиц административно задержанных")</f>
        <v>оказание услуг по организации трехразового горячего питания для лиц, содержащихся в изоляторе временного содержания подозреваемых и обвиняемых МО МВД России "Ржевский" и лиц административно задержанных</v>
      </c>
      <c r="G1280" s="22" t="s">
        <v>137</v>
      </c>
      <c r="H1280" s="22" t="s">
        <v>2548</v>
      </c>
      <c r="I1280" s="26">
        <v>43738.422916666699</v>
      </c>
      <c r="J1280" s="28" t="s">
        <v>51</v>
      </c>
      <c r="K1280" s="28" t="s">
        <v>51</v>
      </c>
      <c r="L1280" s="28" t="s">
        <v>51</v>
      </c>
      <c r="M1280" s="28" t="s">
        <v>51</v>
      </c>
      <c r="N1280" s="28" t="s">
        <v>51</v>
      </c>
    </row>
    <row r="1281" spans="1:14" ht="12.75" hidden="1" outlineLevel="1" x14ac:dyDescent="0.2">
      <c r="A1281" s="23" t="str">
        <f>HYPERLINK("https://www.spark-marketing.ru/Card/Person/7854", "МО МВД РОССИИ ""РЖЕВСКИЙ""")</f>
        <v>МО МВД РОССИИ "РЖЕВСКИЙ"</v>
      </c>
      <c r="B1281" s="24" t="s">
        <v>2546</v>
      </c>
      <c r="C1281" s="25">
        <v>463030</v>
      </c>
      <c r="D1281" s="22" t="s">
        <v>2547</v>
      </c>
      <c r="E1281" s="22" t="s">
        <v>48</v>
      </c>
      <c r="F1281" s="23" t="str">
        <f>HYPERLINK("https://www.spark-marketing.ru/Card/Lot/74086397", "оказание услуг по организации трехразового горячего питания для лиц, содержащихся в изоляторе временного содержания подозреваемых и обвиняемых МО МВД России ""Ржевский"" и лиц административно задержанных")</f>
        <v>оказание услуг по организации трехразового горячего питания для лиц, содержащихся в изоляторе временного содержания подозреваемых и обвиняемых МО МВД России "Ржевский" и лиц административно задержанных</v>
      </c>
      <c r="G1281" s="22" t="s">
        <v>137</v>
      </c>
      <c r="H1281" s="22" t="s">
        <v>2548</v>
      </c>
      <c r="I1281" s="26">
        <v>43738.422916666699</v>
      </c>
      <c r="J1281" s="23" t="str">
        <f>HYPERLINK("https://www.spark-marketing.ru/Card/Person/6311731", "Ковальчук Светлана Львовна")</f>
        <v>Ковальчук Светлана Львовна</v>
      </c>
      <c r="K1281" s="24" t="s">
        <v>2549</v>
      </c>
      <c r="L1281" s="22" t="s">
        <v>10</v>
      </c>
      <c r="M1281" s="25">
        <v>460714.85</v>
      </c>
      <c r="N1281" s="27">
        <v>5.0000000000000001E-3</v>
      </c>
    </row>
    <row r="1282" spans="1:14" hidden="1" outlineLevel="1" x14ac:dyDescent="0.2">
      <c r="A1282" s="23" t="str">
        <f>HYPERLINK("https://www.spark-marketing.ru/Card/Person/7854", "МО МВД РОССИИ ""РЖЕВСКИЙ""")</f>
        <v>МО МВД РОССИИ "РЖЕВСКИЙ"</v>
      </c>
      <c r="B1282" s="24" t="s">
        <v>2546</v>
      </c>
      <c r="C1282" s="25">
        <v>463030</v>
      </c>
      <c r="D1282" s="22" t="s">
        <v>2547</v>
      </c>
      <c r="E1282" s="22" t="s">
        <v>48</v>
      </c>
      <c r="F1282" s="23" t="str">
        <f>HYPERLINK("https://www.spark-marketing.ru/Card/Lot/74086397", "оказание услуг по организации трехразового горячего питания для лиц, содержащихся в изоляторе временного содержания подозреваемых и обвиняемых МО МВД России ""Ржевский"" и лиц административно задержанных")</f>
        <v>оказание услуг по организации трехразового горячего питания для лиц, содержащихся в изоляторе временного содержания подозреваемых и обвиняемых МО МВД России "Ржевский" и лиц административно задержанных</v>
      </c>
      <c r="G1282" s="22" t="s">
        <v>137</v>
      </c>
      <c r="H1282" s="22" t="s">
        <v>2548</v>
      </c>
      <c r="I1282" s="26">
        <v>43738.422916666699</v>
      </c>
      <c r="J1282" s="23" t="str">
        <f>HYPERLINK("https://www.spark-marketing.ru/Card/Person/137879", "Стукаленко Ирина Валерьевна")</f>
        <v>Стукаленко Ирина Валерьевна</v>
      </c>
      <c r="K1282" s="24" t="s">
        <v>2550</v>
      </c>
      <c r="L1282" s="28" t="s">
        <v>51</v>
      </c>
      <c r="M1282" s="25">
        <v>463029.99</v>
      </c>
      <c r="N1282" s="27">
        <v>2.1596872772822495E-8</v>
      </c>
    </row>
    <row r="1283" spans="1:14" x14ac:dyDescent="0.15">
      <c r="A1283" s="23" t="str">
        <f>HYPERLINK("https://www.spark-marketing.ru/Card/Person/443628", "ОТДЕЛ МВД РОССИИ ПО ЗИМОВНИКОВСКОМУ РАЙОНУ")</f>
        <v>ОТДЕЛ МВД РОССИИ ПО ЗИМОВНИКОВСКОМУ РАЙОНУ</v>
      </c>
      <c r="B1283" s="24" t="s">
        <v>2551</v>
      </c>
      <c r="C1283" s="25">
        <v>99674.28</v>
      </c>
      <c r="D1283" s="22" t="s">
        <v>2552</v>
      </c>
      <c r="E1283" s="22" t="s">
        <v>96</v>
      </c>
      <c r="F1283" s="23" t="str">
        <f>HYPERLINK("https://www.spark-marketing.ru/Card/Lot/74073086", "Услуги по организации ежедневного питания лиц, содержащихся в изоляторе временного содержания, а также лиц задержанных в административном порядке Отдела МВД России по Зимовниковскому району")</f>
        <v>Услуги по организации ежедневного питания лиц, содержащихся в изоляторе временного содержания, а также лиц задержанных в административном порядке Отдела МВД России по Зимовниковскому району</v>
      </c>
      <c r="G1283" s="22" t="s">
        <v>267</v>
      </c>
      <c r="H1283" s="22" t="s">
        <v>2553</v>
      </c>
      <c r="I1283" s="26">
        <v>43738.454861111102</v>
      </c>
      <c r="J1283" s="23" t="str">
        <f>HYPERLINK("https://www.spark-marketing.ru/Card/Person/6717991", "ПК ""ОБЩЕПИТ-СЕРВИС""")</f>
        <v>ПК "ОБЩЕПИТ-СЕРВИС"</v>
      </c>
      <c r="K1283" s="24" t="s">
        <v>2554</v>
      </c>
      <c r="L1283" s="22" t="s">
        <v>10</v>
      </c>
      <c r="M1283" s="28" t="s">
        <v>51</v>
      </c>
      <c r="N1283" s="28" t="s">
        <v>51</v>
      </c>
    </row>
    <row r="1284" spans="1:14" x14ac:dyDescent="0.15">
      <c r="A1284" s="23" t="str">
        <f>HYPERLINK("https://www.spark-marketing.ru/Card/Person/74030", "ГБУСОН РО ""СРЦ Г. РОСТОВА-НА-ДОНУ""")</f>
        <v>ГБУСОН РО "СРЦ Г. РОСТОВА-НА-ДОНУ"</v>
      </c>
      <c r="B1284" s="24" t="s">
        <v>2555</v>
      </c>
      <c r="C1284" s="25">
        <v>123528.4</v>
      </c>
      <c r="D1284" s="22" t="s">
        <v>2556</v>
      </c>
      <c r="E1284" s="22" t="s">
        <v>48</v>
      </c>
      <c r="F1284" s="23" t="str">
        <f>HYPERLINK("https://www.spark-marketing.ru/Card/Lot/74056679", "Оказание услуг по организации питания")</f>
        <v>Оказание услуг по организации питания</v>
      </c>
      <c r="G1284" s="22" t="s">
        <v>267</v>
      </c>
      <c r="H1284" s="22" t="s">
        <v>590</v>
      </c>
      <c r="I1284" s="26">
        <v>43738.3881944444</v>
      </c>
      <c r="J1284" s="28" t="s">
        <v>51</v>
      </c>
      <c r="K1284" s="28" t="s">
        <v>51</v>
      </c>
      <c r="L1284" s="28" t="s">
        <v>51</v>
      </c>
      <c r="M1284" s="28" t="s">
        <v>51</v>
      </c>
      <c r="N1284" s="28" t="s">
        <v>51</v>
      </c>
    </row>
    <row r="1285" spans="1:14" x14ac:dyDescent="0.15">
      <c r="A1285" s="23" t="str">
        <f>HYPERLINK("https://www.spark-marketing.ru/Card/Person/58896", "ФКУЗ САНАТОРИЙ ИМ. С.М. КИРОВА ФСИН РОССИИ")</f>
        <v>ФКУЗ САНАТОРИЙ ИМ. С.М. КИРОВА ФСИН РОССИИ</v>
      </c>
      <c r="B1285" s="24" t="s">
        <v>2557</v>
      </c>
      <c r="C1285" s="25">
        <v>62090</v>
      </c>
      <c r="D1285" s="22" t="s">
        <v>2558</v>
      </c>
      <c r="E1285" s="22" t="s">
        <v>91</v>
      </c>
      <c r="F1285" s="23" t="str">
        <f>HYPERLINK("https://www.spark-marketing.ru/Card/Lot/74071840", "Оказание услуг по ремонту компьютерной техники")</f>
        <v>Оказание услуг по ремонту компьютерной техники</v>
      </c>
      <c r="G1285" s="22" t="s">
        <v>986</v>
      </c>
      <c r="H1285" s="22" t="s">
        <v>987</v>
      </c>
      <c r="I1285" s="26">
        <v>43738.411805555603</v>
      </c>
      <c r="J1285" s="23" t="str">
        <f>HYPERLINK("https://www.spark-marketing.ru/Card/Person/62619", "Танашев Тимур Маратович")</f>
        <v>Танашев Тимур Маратович</v>
      </c>
      <c r="K1285" s="24" t="s">
        <v>2559</v>
      </c>
      <c r="L1285" s="22" t="s">
        <v>10</v>
      </c>
      <c r="M1285" s="28" t="s">
        <v>51</v>
      </c>
      <c r="N1285" s="28" t="s">
        <v>51</v>
      </c>
    </row>
    <row r="1286" spans="1:14" x14ac:dyDescent="0.15">
      <c r="A1286" s="23" t="str">
        <f>HYPERLINK("https://www.spark-marketing.ru/Card/Person/123688", "МДОУ ДЕТСКИЙ САД № 5 ""КОРАБЛИК""")</f>
        <v>МДОУ ДЕТСКИЙ САД № 5 "КОРАБЛИК"</v>
      </c>
      <c r="B1286" s="24" t="s">
        <v>2560</v>
      </c>
      <c r="C1286" s="25">
        <v>1060000</v>
      </c>
      <c r="D1286" s="22" t="s">
        <v>2561</v>
      </c>
      <c r="E1286" s="22" t="s">
        <v>48</v>
      </c>
      <c r="F1286" s="23" t="str">
        <f>HYPERLINK("https://www.spark-marketing.ru/Card/Lot/74083672", "Оказание услуги по приготовлению и организации рационального горячего питания воспитанников МДОУ детский сад № 5 ""Кораблик в 2020-2021 годах")</f>
        <v>Оказание услуги по приготовлению и организации рационального горячего питания воспитанников МДОУ детский сад № 5 "Кораблик в 2020-2021 годах</v>
      </c>
      <c r="G1286" s="22" t="s">
        <v>49</v>
      </c>
      <c r="H1286" s="22" t="s">
        <v>49</v>
      </c>
      <c r="I1286" s="26">
        <v>43738.384537037004</v>
      </c>
      <c r="J1286" s="28" t="s">
        <v>51</v>
      </c>
      <c r="K1286" s="28" t="s">
        <v>51</v>
      </c>
      <c r="L1286" s="28" t="s">
        <v>51</v>
      </c>
      <c r="M1286" s="28" t="s">
        <v>51</v>
      </c>
      <c r="N1286" s="28" t="s">
        <v>51</v>
      </c>
    </row>
    <row r="1287" spans="1:14" x14ac:dyDescent="0.15">
      <c r="A1287" s="23" t="str">
        <f>HYPERLINK("https://www.spark-marketing.ru/Card/Person/92922", "МДОУ Д/С №23 ""МИШУТКА""")</f>
        <v>МДОУ Д/С №23 "МИШУТКА"</v>
      </c>
      <c r="B1287" s="24" t="s">
        <v>2562</v>
      </c>
      <c r="C1287" s="25">
        <v>6432168</v>
      </c>
      <c r="D1287" s="22" t="s">
        <v>2563</v>
      </c>
      <c r="E1287" s="22" t="s">
        <v>48</v>
      </c>
      <c r="F1287" s="23" t="str">
        <f>HYPERLINK("https://www.spark-marketing.ru/Card/Lot/74082749", "Оказание услуги по приготовлению и организации рационального горячего питания воспитанников МДОУ детский сад компенсирующего вида № 23 «Мишутка» в 2020-2021 годах")</f>
        <v>Оказание услуги по приготовлению и организации рационального горячего питания воспитанников МДОУ детский сад компенсирующего вида № 23 «Мишутка» в 2020-2021 годах</v>
      </c>
      <c r="G1287" s="22" t="s">
        <v>49</v>
      </c>
      <c r="H1287" s="22" t="s">
        <v>49</v>
      </c>
      <c r="I1287" s="26">
        <v>43738.3973611111</v>
      </c>
      <c r="J1287" s="28" t="s">
        <v>51</v>
      </c>
      <c r="K1287" s="28" t="s">
        <v>51</v>
      </c>
      <c r="L1287" s="28" t="s">
        <v>51</v>
      </c>
      <c r="M1287" s="28" t="s">
        <v>51</v>
      </c>
      <c r="N1287" s="28" t="s">
        <v>51</v>
      </c>
    </row>
    <row r="1288" spans="1:14" x14ac:dyDescent="0.15">
      <c r="A1288" s="23" t="str">
        <f>HYPERLINK("https://www.spark-marketing.ru/Card/Person/75695", "ГБОУ МО ""ОДИНЦОВСКИЙ ""ДЕСЯТЫЙ ЛИЦЕЙ""")</f>
        <v>ГБОУ МО "ОДИНЦОВСКИЙ "ДЕСЯТЫЙ ЛИЦЕЙ"</v>
      </c>
      <c r="B1288" s="24" t="s">
        <v>2564</v>
      </c>
      <c r="C1288" s="25">
        <v>336466.66</v>
      </c>
      <c r="D1288" s="22" t="s">
        <v>2565</v>
      </c>
      <c r="E1288" s="22" t="s">
        <v>48</v>
      </c>
      <c r="F1288" s="23" t="str">
        <f>HYPERLINK("https://www.spark-marketing.ru/Card/Lot/74050789", "Закупка в 2019 году услуги на осуществление полноценного питания в октябре 2019 г. для нужд ГБОУ МО ""Одинцовский ""Десятый лицей""")</f>
        <v>Закупка в 2019 году услуги на осуществление полноценного питания в октябре 2019 г. для нужд ГБОУ МО "Одинцовский "Десятый лицей"</v>
      </c>
      <c r="G1288" s="22" t="s">
        <v>49</v>
      </c>
      <c r="H1288" s="22" t="s">
        <v>577</v>
      </c>
      <c r="I1288" s="26">
        <v>43738.410451388903</v>
      </c>
      <c r="J1288" s="28" t="s">
        <v>51</v>
      </c>
      <c r="K1288" s="28" t="s">
        <v>51</v>
      </c>
      <c r="L1288" s="28" t="s">
        <v>51</v>
      </c>
      <c r="M1288" s="28" t="s">
        <v>51</v>
      </c>
      <c r="N1288" s="28" t="s">
        <v>51</v>
      </c>
    </row>
    <row r="1289" spans="1:14" x14ac:dyDescent="0.15">
      <c r="A1289" s="23" t="str">
        <f>HYPERLINK("https://www.spark-marketing.ru/Card/Person/131492", "МДОУ ДСКВ № 20 ""ЛАСТОЧКА""")</f>
        <v>МДОУ ДСКВ № 20 "ЛАСТОЧКА"</v>
      </c>
      <c r="B1289" s="24" t="s">
        <v>2566</v>
      </c>
      <c r="C1289" s="25">
        <v>9833890</v>
      </c>
      <c r="D1289" s="22" t="s">
        <v>2567</v>
      </c>
      <c r="E1289" s="22" t="s">
        <v>48</v>
      </c>
      <c r="F1289" s="23" t="str">
        <f>HYPERLINK("https://www.spark-marketing.ru/Card/Lot/74083673", "Оказание услуг по приготовлению и организации рационального горячего питания воспитанников МДОУ ДСКВ №20 ""Ласточка"" в 2020-2021 годах")</f>
        <v>Оказание услуг по приготовлению и организации рационального горячего питания воспитанников МДОУ ДСКВ №20 "Ласточка" в 2020-2021 годах</v>
      </c>
      <c r="G1289" s="22" t="s">
        <v>49</v>
      </c>
      <c r="H1289" s="22" t="s">
        <v>49</v>
      </c>
      <c r="I1289" s="26">
        <v>43738.384537037004</v>
      </c>
      <c r="J1289" s="28" t="s">
        <v>51</v>
      </c>
      <c r="K1289" s="28" t="s">
        <v>51</v>
      </c>
      <c r="L1289" s="28" t="s">
        <v>51</v>
      </c>
      <c r="M1289" s="28" t="s">
        <v>51</v>
      </c>
      <c r="N1289" s="28" t="s">
        <v>51</v>
      </c>
    </row>
    <row r="1290" spans="1:14" x14ac:dyDescent="0.15">
      <c r="A1290" s="23" t="str">
        <f>HYPERLINK("https://www.spark-marketing.ru/Card/Person/28708", "БАЛТИЙСКАЯ ЦРБ")</f>
        <v>БАЛТИЙСКАЯ ЦРБ</v>
      </c>
      <c r="B1290" s="24" t="s">
        <v>2568</v>
      </c>
      <c r="C1290" s="25">
        <v>4612880</v>
      </c>
      <c r="D1290" s="22" t="s">
        <v>2569</v>
      </c>
      <c r="E1290" s="22" t="s">
        <v>48</v>
      </c>
      <c r="F1290" s="23" t="str">
        <f>HYPERLINK("https://www.spark-marketing.ru/Card/Lot/74077355", "Оказание услуг по организации питания")</f>
        <v>Оказание услуг по организации питания</v>
      </c>
      <c r="G1290" s="22" t="s">
        <v>400</v>
      </c>
      <c r="H1290" s="22" t="s">
        <v>2570</v>
      </c>
      <c r="I1290" s="26">
        <v>43738.394999999997</v>
      </c>
      <c r="J1290" s="28" t="s">
        <v>51</v>
      </c>
      <c r="K1290" s="28" t="s">
        <v>51</v>
      </c>
      <c r="L1290" s="28" t="s">
        <v>51</v>
      </c>
      <c r="M1290" s="28" t="s">
        <v>51</v>
      </c>
      <c r="N1290" s="28" t="s">
        <v>51</v>
      </c>
    </row>
    <row r="1291" spans="1:14" x14ac:dyDescent="0.15">
      <c r="A1291" s="23" t="str">
        <f>HYPERLINK("https://www.spark-marketing.ru/Card/Person/123358", "МДОУ ДЕТСКИЙ САД №7 ""ТОПОЛЁК""")</f>
        <v>МДОУ ДЕТСКИЙ САД №7 "ТОПОЛЁК"</v>
      </c>
      <c r="B1291" s="24" t="s">
        <v>2571</v>
      </c>
      <c r="C1291" s="25">
        <v>1501384</v>
      </c>
      <c r="D1291" s="22" t="s">
        <v>2572</v>
      </c>
      <c r="E1291" s="22" t="s">
        <v>48</v>
      </c>
      <c r="F1291" s="23" t="str">
        <f>HYPERLINK("https://www.spark-marketing.ru/Card/Lot/74083535", "Оказание услуги по приготовлению и организации рационального горячего питания воспитанников МДОУ детский сад № 7 ""Тополек"" в 2020-2021 годах")</f>
        <v>Оказание услуги по приготовлению и организации рационального горячего питания воспитанников МДОУ детский сад № 7 "Тополек" в 2020-2021 годах</v>
      </c>
      <c r="G1291" s="22" t="s">
        <v>49</v>
      </c>
      <c r="H1291" s="22" t="s">
        <v>49</v>
      </c>
      <c r="I1291" s="26">
        <v>43738.397245370397</v>
      </c>
      <c r="J1291" s="28" t="s">
        <v>51</v>
      </c>
      <c r="K1291" s="28" t="s">
        <v>51</v>
      </c>
      <c r="L1291" s="28" t="s">
        <v>51</v>
      </c>
      <c r="M1291" s="28" t="s">
        <v>51</v>
      </c>
      <c r="N1291" s="28" t="s">
        <v>51</v>
      </c>
    </row>
    <row r="1292" spans="1:14" x14ac:dyDescent="0.15">
      <c r="A1292" s="23" t="str">
        <f>HYPERLINK("https://www.spark-marketing.ru/Card/Person/995791", "ОМВД РОССИИ ПО НЕРЧИНСКОМУ РАЙОНУ")</f>
        <v>ОМВД РОССИИ ПО НЕРЧИНСКОМУ РАЙОНУ</v>
      </c>
      <c r="B1292" s="24" t="s">
        <v>2573</v>
      </c>
      <c r="C1292" s="25">
        <v>1630000</v>
      </c>
      <c r="D1292" s="22" t="s">
        <v>2574</v>
      </c>
      <c r="E1292" s="22" t="s">
        <v>48</v>
      </c>
      <c r="F1292" s="23" t="str">
        <f>HYPERLINK("https://www.spark-marketing.ru/Card/Lot/74042967", "оказание услуг по приготовлению и доставке трехразового горячего питания для лиц, содержащихся в ИВС ОМВД России по Нерчинскому району")</f>
        <v>оказание услуг по приготовлению и доставке трехразового горячего питания для лиц, содержащихся в ИВС ОМВД России по Нерчинскому району</v>
      </c>
      <c r="G1292" s="22" t="s">
        <v>228</v>
      </c>
      <c r="H1292" s="22" t="s">
        <v>228</v>
      </c>
      <c r="I1292" s="26">
        <v>43738.375694444403</v>
      </c>
      <c r="J1292" s="23" t="str">
        <f>HYPERLINK("https://www.spark-marketing.ru/Card/Person/58952", "ФКУ ИК-11 УФСИН РОССИИ ПО ЗАБАЙКАЛЬСКОМУ КРАЮ")</f>
        <v>ФКУ ИК-11 УФСИН РОССИИ ПО ЗАБАЙКАЛЬСКОМУ КРАЮ</v>
      </c>
      <c r="K1292" s="24" t="s">
        <v>2575</v>
      </c>
      <c r="L1292" s="22" t="s">
        <v>10</v>
      </c>
      <c r="M1292" s="28" t="s">
        <v>51</v>
      </c>
      <c r="N1292" s="28" t="s">
        <v>51</v>
      </c>
    </row>
    <row r="1293" spans="1:14" x14ac:dyDescent="0.15">
      <c r="A1293" s="23" t="str">
        <f>HYPERLINK("https://www.spark-marketing.ru/Card/Person/4863124", "Межрегиональный филиал ФКУ ""ЦОКР"" в г. Санкт-Петербурге")</f>
        <v>Межрегиональный филиал ФКУ "ЦОКР" в г. Санкт-Петербурге</v>
      </c>
      <c r="B1293" s="24" t="s">
        <v>2576</v>
      </c>
      <c r="C1293" s="25">
        <v>416904.24</v>
      </c>
      <c r="D1293" s="22" t="s">
        <v>2577</v>
      </c>
      <c r="E1293" s="22" t="s">
        <v>91</v>
      </c>
      <c r="F1293" s="23" t="str">
        <f>HYPERLINK("https://www.spark-marketing.ru/Card/Lot/74086165", "Оказание услуг по регламентно-профилактическому ремонту источника бесперебойного питания для обеспечения нужд Управления Федерального казначейства по Вологодской области")</f>
        <v>Оказание услуг по регламентно-профилактическому ремонту источника бесперебойного питания для обеспечения нужд Управления Федерального казначейства по Вологодской области</v>
      </c>
      <c r="G1293" s="22" t="s">
        <v>503</v>
      </c>
      <c r="H1293" s="22" t="s">
        <v>503</v>
      </c>
      <c r="I1293" s="26">
        <v>43738.4152777778</v>
      </c>
      <c r="J1293" s="23" t="str">
        <f>HYPERLINK("https://www.spark-marketing.ru/Card/Person/6057539", "ООО ""БАЗИС""")</f>
        <v>ООО "БАЗИС"</v>
      </c>
      <c r="K1293" s="24" t="s">
        <v>2578</v>
      </c>
      <c r="L1293" s="22" t="s">
        <v>10</v>
      </c>
      <c r="M1293" s="28" t="s">
        <v>51</v>
      </c>
      <c r="N1293" s="28" t="s">
        <v>51</v>
      </c>
    </row>
    <row r="1294" spans="1:14" x14ac:dyDescent="0.15">
      <c r="A1294" s="23" t="str">
        <f>HYPERLINK("https://www.spark-marketing.ru/Card/Person/123731", "МДОУ ДСКВ № 8 ""ТЕРЕМОК""")</f>
        <v>МДОУ ДСКВ № 8 "ТЕРЕМОК"</v>
      </c>
      <c r="B1294" s="24" t="s">
        <v>2579</v>
      </c>
      <c r="C1294" s="25">
        <v>5000862</v>
      </c>
      <c r="D1294" s="22" t="s">
        <v>2580</v>
      </c>
      <c r="E1294" s="22" t="s">
        <v>48</v>
      </c>
      <c r="F1294" s="23" t="str">
        <f>HYPERLINK("https://www.spark-marketing.ru/Card/Lot/74082750", "Оказание услуги по приготовлению и организации рационального горячего питания воспитанников МДОУ детский сад комбинированного вида № 8 «Теремок» в 2020-2021 годах")</f>
        <v>Оказание услуги по приготовлению и организации рационального горячего питания воспитанников МДОУ детский сад комбинированного вида № 8 «Теремок» в 2020-2021 годах</v>
      </c>
      <c r="G1294" s="22" t="s">
        <v>49</v>
      </c>
      <c r="H1294" s="22" t="s">
        <v>49</v>
      </c>
      <c r="I1294" s="26">
        <v>43738.397418981498</v>
      </c>
      <c r="J1294" s="28" t="s">
        <v>51</v>
      </c>
      <c r="K1294" s="28" t="s">
        <v>51</v>
      </c>
      <c r="L1294" s="28" t="s">
        <v>51</v>
      </c>
      <c r="M1294" s="28" t="s">
        <v>51</v>
      </c>
      <c r="N1294" s="28" t="s">
        <v>51</v>
      </c>
    </row>
    <row r="1295" spans="1:14" x14ac:dyDescent="0.15">
      <c r="A1295" s="23" t="str">
        <f>HYPERLINK("https://www.spark-marketing.ru/Card/Person/15359", "ГБУЗ ПК ""ОХАНСКАЯ ЦРБ""")</f>
        <v>ГБУЗ ПК "ОХАНСКАЯ ЦРБ"</v>
      </c>
      <c r="B1295" s="24" t="s">
        <v>2581</v>
      </c>
      <c r="C1295" s="25">
        <v>360000</v>
      </c>
      <c r="D1295" s="22" t="s">
        <v>2582</v>
      </c>
      <c r="E1295" s="22" t="s">
        <v>96</v>
      </c>
      <c r="F1295" s="23" t="str">
        <f>HYPERLINK("https://www.spark-marketing.ru/Card/Lot/74047289", "Услуги по предоставлению горячего питания для пациентов круглосуточных стационаров")</f>
        <v>Услуги по предоставлению горячего питания для пациентов круглосуточных стационаров</v>
      </c>
      <c r="G1295" s="22" t="s">
        <v>153</v>
      </c>
      <c r="H1295" s="22" t="s">
        <v>153</v>
      </c>
      <c r="I1295" s="26">
        <v>43738.34375</v>
      </c>
      <c r="J1295" s="23" t="str">
        <f>HYPERLINK("https://www.spark-marketing.ru/Card/Person/1427242", "ОХАНСКОЕ ГОРПО")</f>
        <v>ОХАНСКОЕ ГОРПО</v>
      </c>
      <c r="K1295" s="24" t="s">
        <v>2583</v>
      </c>
      <c r="L1295" s="22" t="s">
        <v>10</v>
      </c>
      <c r="M1295" s="28" t="s">
        <v>51</v>
      </c>
      <c r="N1295" s="28" t="s">
        <v>51</v>
      </c>
    </row>
    <row r="1296" spans="1:14" x14ac:dyDescent="0.15">
      <c r="A1296" s="23" t="str">
        <f t="shared" ref="A1296:A1301" si="20">HYPERLINK("https://www.spark-marketing.ru/Card/Person/6162", "ГКБУ ""УЭАЗ""")</f>
        <v>ГКБУ "УЭАЗ"</v>
      </c>
      <c r="B1296" s="24" t="s">
        <v>2584</v>
      </c>
      <c r="C1296" s="25">
        <v>816673.18</v>
      </c>
      <c r="D1296" s="22" t="s">
        <v>2585</v>
      </c>
      <c r="E1296" s="22" t="s">
        <v>152</v>
      </c>
      <c r="F1296" s="23" t="str">
        <f t="shared" ref="F1296:F1301" si="21">HYPERLINK("https://www.spark-marketing.ru/Card/Lot/74046458", "Оказание услуг по техническому обслуживанию и текущему ремонту оборудования систем автоматики тепло-водоснабжения административных зданий")</f>
        <v>Оказание услуг по техническому обслуживанию и текущему ремонту оборудования систем автоматики тепло-водоснабжения административных зданий</v>
      </c>
      <c r="G1296" s="22" t="s">
        <v>153</v>
      </c>
      <c r="H1296" s="22" t="s">
        <v>153</v>
      </c>
      <c r="I1296" s="26">
        <v>43738.339583333298</v>
      </c>
      <c r="J1296" s="28" t="s">
        <v>51</v>
      </c>
      <c r="K1296" s="28" t="s">
        <v>51</v>
      </c>
      <c r="L1296" s="28" t="s">
        <v>51</v>
      </c>
      <c r="M1296" s="28" t="s">
        <v>51</v>
      </c>
      <c r="N1296" s="28" t="s">
        <v>51</v>
      </c>
    </row>
    <row r="1297" spans="1:14" hidden="1" outlineLevel="1" x14ac:dyDescent="0.2">
      <c r="A1297" s="23" t="str">
        <f t="shared" si="20"/>
        <v>ГКБУ "УЭАЗ"</v>
      </c>
      <c r="B1297" s="24" t="s">
        <v>2584</v>
      </c>
      <c r="C1297" s="25">
        <v>816673.18</v>
      </c>
      <c r="D1297" s="22" t="s">
        <v>2585</v>
      </c>
      <c r="E1297" s="22" t="s">
        <v>152</v>
      </c>
      <c r="F1297" s="23" t="str">
        <f t="shared" si="21"/>
        <v>Оказание услуг по техническому обслуживанию и текущему ремонту оборудования систем автоматики тепло-водоснабжения административных зданий</v>
      </c>
      <c r="G1297" s="22" t="s">
        <v>153</v>
      </c>
      <c r="H1297" s="22" t="s">
        <v>153</v>
      </c>
      <c r="I1297" s="26">
        <v>43738.339583333298</v>
      </c>
      <c r="J1297" s="23" t="str">
        <f>HYPERLINK("https://www.spark-marketing.ru/Card/Person/783272", "ООО ""ПРИКАМСКАЯ КОМПАНИЯ""")</f>
        <v>ООО "ПРИКАМСКАЯ КОМПАНИЯ"</v>
      </c>
      <c r="K1297" s="24" t="s">
        <v>2586</v>
      </c>
      <c r="L1297" s="28" t="s">
        <v>51</v>
      </c>
      <c r="M1297" s="25">
        <v>812589.81</v>
      </c>
      <c r="N1297" s="27">
        <v>5.0000050203681231E-3</v>
      </c>
    </row>
    <row r="1298" spans="1:14" hidden="1" outlineLevel="1" x14ac:dyDescent="0.2">
      <c r="A1298" s="23" t="str">
        <f t="shared" si="20"/>
        <v>ГКБУ "УЭАЗ"</v>
      </c>
      <c r="B1298" s="24" t="s">
        <v>2584</v>
      </c>
      <c r="C1298" s="25">
        <v>816673.18</v>
      </c>
      <c r="D1298" s="22" t="s">
        <v>2585</v>
      </c>
      <c r="E1298" s="22" t="s">
        <v>152</v>
      </c>
      <c r="F1298" s="23" t="str">
        <f t="shared" si="21"/>
        <v>Оказание услуг по техническому обслуживанию и текущему ремонту оборудования систем автоматики тепло-водоснабжения административных зданий</v>
      </c>
      <c r="G1298" s="22" t="s">
        <v>153</v>
      </c>
      <c r="H1298" s="22" t="s">
        <v>153</v>
      </c>
      <c r="I1298" s="26">
        <v>43738.339583333298</v>
      </c>
      <c r="J1298" s="23" t="str">
        <f>HYPERLINK("https://www.spark-marketing.ru/Card/Person/4881420", "ООО ""АСУ-ТЕРРА""")</f>
        <v>ООО "АСУ-ТЕРРА"</v>
      </c>
      <c r="K1298" s="24" t="s">
        <v>2587</v>
      </c>
      <c r="L1298" s="28" t="s">
        <v>51</v>
      </c>
      <c r="M1298" s="25">
        <v>596171.31999999995</v>
      </c>
      <c r="N1298" s="27">
        <v>0.27000012416227503</v>
      </c>
    </row>
    <row r="1299" spans="1:14" hidden="1" outlineLevel="1" x14ac:dyDescent="0.2">
      <c r="A1299" s="23" t="str">
        <f t="shared" si="20"/>
        <v>ГКБУ "УЭАЗ"</v>
      </c>
      <c r="B1299" s="24" t="s">
        <v>2584</v>
      </c>
      <c r="C1299" s="25">
        <v>816673.18</v>
      </c>
      <c r="D1299" s="22" t="s">
        <v>2585</v>
      </c>
      <c r="E1299" s="22" t="s">
        <v>152</v>
      </c>
      <c r="F1299" s="23" t="str">
        <f t="shared" si="21"/>
        <v>Оказание услуг по техническому обслуживанию и текущему ремонту оборудования систем автоматики тепло-водоснабжения административных зданий</v>
      </c>
      <c r="G1299" s="22" t="s">
        <v>153</v>
      </c>
      <c r="H1299" s="22" t="s">
        <v>153</v>
      </c>
      <c r="I1299" s="26">
        <v>43738.339583333298</v>
      </c>
      <c r="J1299" s="23" t="str">
        <f>HYPERLINK("https://www.spark-marketing.ru/Card/Person/358405", "ООО ""ЛИДЕР-ИНЖИНИРИНГ""")</f>
        <v>ООО "ЛИДЕР-ИНЖИНИРИНГ"</v>
      </c>
      <c r="K1299" s="24" t="s">
        <v>2588</v>
      </c>
      <c r="L1299" s="28" t="s">
        <v>51</v>
      </c>
      <c r="M1299" s="25">
        <v>760000</v>
      </c>
      <c r="N1299" s="27">
        <v>6.9395177150301426E-2</v>
      </c>
    </row>
    <row r="1300" spans="1:14" ht="12.75" hidden="1" outlineLevel="1" x14ac:dyDescent="0.2">
      <c r="A1300" s="23" t="str">
        <f t="shared" si="20"/>
        <v>ГКБУ "УЭАЗ"</v>
      </c>
      <c r="B1300" s="24" t="s">
        <v>2584</v>
      </c>
      <c r="C1300" s="25">
        <v>816673.18</v>
      </c>
      <c r="D1300" s="22" t="s">
        <v>2585</v>
      </c>
      <c r="E1300" s="22" t="s">
        <v>152</v>
      </c>
      <c r="F1300" s="23" t="str">
        <f t="shared" si="21"/>
        <v>Оказание услуг по техническому обслуживанию и текущему ремонту оборудования систем автоматики тепло-водоснабжения административных зданий</v>
      </c>
      <c r="G1300" s="22" t="s">
        <v>153</v>
      </c>
      <c r="H1300" s="22" t="s">
        <v>153</v>
      </c>
      <c r="I1300" s="26">
        <v>43738.339583333298</v>
      </c>
      <c r="J1300" s="23" t="str">
        <f>HYPERLINK("https://www.spark-marketing.ru/Card/Person/6374028", "Чернушенко Юрий Александрович")</f>
        <v>Чернушенко Юрий Александрович</v>
      </c>
      <c r="K1300" s="24" t="s">
        <v>2589</v>
      </c>
      <c r="L1300" s="22" t="s">
        <v>10</v>
      </c>
      <c r="M1300" s="25">
        <v>592087.94999999995</v>
      </c>
      <c r="N1300" s="27">
        <v>0.27500012918264316</v>
      </c>
    </row>
    <row r="1301" spans="1:14" hidden="1" outlineLevel="1" x14ac:dyDescent="0.2">
      <c r="A1301" s="23" t="str">
        <f t="shared" si="20"/>
        <v>ГКБУ "УЭАЗ"</v>
      </c>
      <c r="B1301" s="24" t="s">
        <v>2584</v>
      </c>
      <c r="C1301" s="25">
        <v>816673.18</v>
      </c>
      <c r="D1301" s="22" t="s">
        <v>2585</v>
      </c>
      <c r="E1301" s="22" t="s">
        <v>152</v>
      </c>
      <c r="F1301" s="23" t="str">
        <f t="shared" si="21"/>
        <v>Оказание услуг по техническому обслуживанию и текущему ремонту оборудования систем автоматики тепло-водоснабжения административных зданий</v>
      </c>
      <c r="G1301" s="22" t="s">
        <v>153</v>
      </c>
      <c r="H1301" s="22" t="s">
        <v>153</v>
      </c>
      <c r="I1301" s="26">
        <v>43738.339583333298</v>
      </c>
      <c r="J1301" s="23" t="str">
        <f>HYPERLINK("https://www.spark-marketing.ru/Card/Person/366766", "ООО ""БАРЬЕР""")</f>
        <v>ООО "БАРЬЕР"</v>
      </c>
      <c r="K1301" s="24" t="s">
        <v>2590</v>
      </c>
      <c r="L1301" s="28" t="s">
        <v>51</v>
      </c>
      <c r="M1301" s="25">
        <v>592087.94999999995</v>
      </c>
      <c r="N1301" s="27">
        <v>0.27500012918264316</v>
      </c>
    </row>
    <row r="1302" spans="1:14" x14ac:dyDescent="0.15">
      <c r="A1302" s="23" t="str">
        <f>HYPERLINK("https://www.spark-marketing.ru/Card/Person/8033", "УПРАВЛЕНИЕ ПО ТАРИФАМ")</f>
        <v>УПРАВЛЕНИЕ ПО ТАРИФАМ</v>
      </c>
      <c r="B1302" s="24" t="s">
        <v>2591</v>
      </c>
      <c r="C1302" s="25">
        <v>530000</v>
      </c>
      <c r="D1302" s="22" t="s">
        <v>2592</v>
      </c>
      <c r="E1302" s="22" t="s">
        <v>2593</v>
      </c>
      <c r="F1302" s="23" t="str">
        <f>HYPERLINK("https://www.spark-marketing.ru/Card/Lot/74045766", "Оказание услуг по ремонту и техническому обслуживанию оргтехники, средств вычислительной техники для нужд управления Алтайского края по государственному регулированию цен и тарифов")</f>
        <v>Оказание услуг по ремонту и техническому обслуживанию оргтехники, средств вычислительной техники для нужд управления Алтайского края по государственному регулированию цен и тарифов</v>
      </c>
      <c r="G1302" s="22" t="s">
        <v>63</v>
      </c>
      <c r="H1302" s="22" t="s">
        <v>177</v>
      </c>
      <c r="I1302" s="26">
        <v>43738.371527777803</v>
      </c>
      <c r="J1302" s="28" t="s">
        <v>51</v>
      </c>
      <c r="K1302" s="28" t="s">
        <v>51</v>
      </c>
      <c r="L1302" s="28" t="s">
        <v>51</v>
      </c>
      <c r="M1302" s="28" t="s">
        <v>51</v>
      </c>
      <c r="N1302" s="28" t="s">
        <v>51</v>
      </c>
    </row>
    <row r="1303" spans="1:14" hidden="1" outlineLevel="1" x14ac:dyDescent="0.2">
      <c r="A1303" s="23" t="str">
        <f>HYPERLINK("https://www.spark-marketing.ru/Card/Person/8033", "УПРАВЛЕНИЕ ПО ТАРИФАМ")</f>
        <v>УПРАВЛЕНИЕ ПО ТАРИФАМ</v>
      </c>
      <c r="B1303" s="24" t="s">
        <v>2591</v>
      </c>
      <c r="C1303" s="25">
        <v>530000</v>
      </c>
      <c r="D1303" s="22" t="s">
        <v>2592</v>
      </c>
      <c r="E1303" s="22" t="s">
        <v>2593</v>
      </c>
      <c r="F1303" s="23" t="str">
        <f>HYPERLINK("https://www.spark-marketing.ru/Card/Lot/74045766", "Оказание услуг по ремонту и техническому обслуживанию оргтехники, средств вычислительной техники для нужд управления Алтайского края по государственному регулированию цен и тарифов")</f>
        <v>Оказание услуг по ремонту и техническому обслуживанию оргтехники, средств вычислительной техники для нужд управления Алтайского края по государственному регулированию цен и тарифов</v>
      </c>
      <c r="G1303" s="22" t="s">
        <v>63</v>
      </c>
      <c r="H1303" s="22" t="s">
        <v>177</v>
      </c>
      <c r="I1303" s="26">
        <v>43738.371527777803</v>
      </c>
      <c r="J1303" s="23" t="str">
        <f>HYPERLINK("https://www.spark-marketing.ru/Card/Person/6578092", "ООО ""АСП ТРЕЙД""")</f>
        <v>ООО "АСП ТРЕЙД"</v>
      </c>
      <c r="K1303" s="24" t="s">
        <v>2594</v>
      </c>
      <c r="L1303" s="28" t="s">
        <v>51</v>
      </c>
      <c r="M1303" s="25">
        <v>755454</v>
      </c>
      <c r="N1303" s="27">
        <v>-0.42538490566037734</v>
      </c>
    </row>
    <row r="1304" spans="1:14" ht="12.75" hidden="1" outlineLevel="1" x14ac:dyDescent="0.2">
      <c r="A1304" s="23" t="str">
        <f>HYPERLINK("https://www.spark-marketing.ru/Card/Person/8033", "УПРАВЛЕНИЕ ПО ТАРИФАМ")</f>
        <v>УПРАВЛЕНИЕ ПО ТАРИФАМ</v>
      </c>
      <c r="B1304" s="24" t="s">
        <v>2591</v>
      </c>
      <c r="C1304" s="25">
        <v>530000</v>
      </c>
      <c r="D1304" s="22" t="s">
        <v>2592</v>
      </c>
      <c r="E1304" s="22" t="s">
        <v>2593</v>
      </c>
      <c r="F1304" s="23" t="str">
        <f>HYPERLINK("https://www.spark-marketing.ru/Card/Lot/74045766", "Оказание услуг по ремонту и техническому обслуживанию оргтехники, средств вычислительной техники для нужд управления Алтайского края по государственному регулированию цен и тарифов")</f>
        <v>Оказание услуг по ремонту и техническому обслуживанию оргтехники, средств вычислительной техники для нужд управления Алтайского края по государственному регулированию цен и тарифов</v>
      </c>
      <c r="G1304" s="22" t="s">
        <v>63</v>
      </c>
      <c r="H1304" s="22" t="s">
        <v>177</v>
      </c>
      <c r="I1304" s="26">
        <v>43738.371527777803</v>
      </c>
      <c r="J1304" s="23" t="str">
        <f>HYPERLINK("https://www.spark-marketing.ru/Card/Person/4877894", "ООО ""ГАЛЭКС СЕРВИС""")</f>
        <v>ООО "ГАЛЭКС СЕРВИС"</v>
      </c>
      <c r="K1304" s="24" t="s">
        <v>2595</v>
      </c>
      <c r="L1304" s="22" t="s">
        <v>10</v>
      </c>
      <c r="M1304" s="25">
        <v>593571</v>
      </c>
      <c r="N1304" s="27">
        <v>-0.11994528301886792</v>
      </c>
    </row>
    <row r="1305" spans="1:14" hidden="1" outlineLevel="1" x14ac:dyDescent="0.2">
      <c r="A1305" s="23" t="str">
        <f>HYPERLINK("https://www.spark-marketing.ru/Card/Person/8033", "УПРАВЛЕНИЕ ПО ТАРИФАМ")</f>
        <v>УПРАВЛЕНИЕ ПО ТАРИФАМ</v>
      </c>
      <c r="B1305" s="24" t="s">
        <v>2591</v>
      </c>
      <c r="C1305" s="25">
        <v>530000</v>
      </c>
      <c r="D1305" s="22" t="s">
        <v>2592</v>
      </c>
      <c r="E1305" s="22" t="s">
        <v>2593</v>
      </c>
      <c r="F1305" s="23" t="str">
        <f>HYPERLINK("https://www.spark-marketing.ru/Card/Lot/74045766", "Оказание услуг по ремонту и техническому обслуживанию оргтехники, средств вычислительной техники для нужд управления Алтайского края по государственному регулированию цен и тарифов")</f>
        <v>Оказание услуг по ремонту и техническому обслуживанию оргтехники, средств вычислительной техники для нужд управления Алтайского края по государственному регулированию цен и тарифов</v>
      </c>
      <c r="G1305" s="22" t="s">
        <v>63</v>
      </c>
      <c r="H1305" s="22" t="s">
        <v>177</v>
      </c>
      <c r="I1305" s="26">
        <v>43738.371527777803</v>
      </c>
      <c r="J1305" s="23" t="str">
        <f>HYPERLINK("https://www.spark-marketing.ru/Card/Person/2399797", "ООО ""БАЙТ""")</f>
        <v>ООО "БАЙТ"</v>
      </c>
      <c r="K1305" s="24" t="s">
        <v>2596</v>
      </c>
      <c r="L1305" s="28" t="s">
        <v>51</v>
      </c>
      <c r="M1305" s="25">
        <v>638538.5</v>
      </c>
      <c r="N1305" s="27">
        <v>-0.20478962264150943</v>
      </c>
    </row>
    <row r="1306" spans="1:14" x14ac:dyDescent="0.15">
      <c r="A1306" s="23" t="str">
        <f>HYPERLINK("https://www.spark-marketing.ru/Card/Person/1044653", "ОКУ ОХИНСКИЙ ЦЗН")</f>
        <v>ОКУ ОХИНСКИЙ ЦЗН</v>
      </c>
      <c r="B1306" s="24" t="s">
        <v>2597</v>
      </c>
      <c r="C1306" s="25">
        <v>6140</v>
      </c>
      <c r="D1306" s="22" t="s">
        <v>2598</v>
      </c>
      <c r="E1306" s="22" t="s">
        <v>2599</v>
      </c>
      <c r="F1306" s="23" t="str">
        <f>HYPERLINK("https://www.spark-marketing.ru/Card/Lot/74052132", "Оказание услуг по профессиональному обучению граждан по программе: ""Организация питания в дошкольных образовательных учреждениях"".")</f>
        <v>Оказание услуг по профессиональному обучению граждан по программе: "Организация питания в дошкольных образовательных учреждениях".</v>
      </c>
      <c r="G1306" s="22" t="s">
        <v>260</v>
      </c>
      <c r="H1306" s="22" t="s">
        <v>2600</v>
      </c>
      <c r="I1306" s="26">
        <v>43738.707638888904</v>
      </c>
      <c r="J1306" s="23" t="str">
        <f>HYPERLINK("https://www.spark-marketing.ru/Card/Person/6577300", "Пигарев Николай Егорович")</f>
        <v>Пигарев Николай Егорович</v>
      </c>
      <c r="K1306" s="24" t="s">
        <v>2601</v>
      </c>
      <c r="L1306" s="28" t="s">
        <v>51</v>
      </c>
      <c r="M1306" s="28" t="s">
        <v>51</v>
      </c>
      <c r="N1306" s="28" t="s">
        <v>51</v>
      </c>
    </row>
    <row r="1307" spans="1:14" x14ac:dyDescent="0.15">
      <c r="A1307" s="23" t="str">
        <f>HYPERLINK("https://www.spark-marketing.ru/Card/Person/6441001", "ГБУЗ ПК ""КБ ИМ. ВАГНЕРА Е.А."" Г. БЕРЕЗНИКИ")</f>
        <v>ГБУЗ ПК "КБ ИМ. ВАГНЕРА Е.А." Г. БЕРЕЗНИКИ</v>
      </c>
      <c r="B1307" s="24" t="s">
        <v>2602</v>
      </c>
      <c r="C1307" s="25">
        <v>2000528.98</v>
      </c>
      <c r="D1307" s="22" t="s">
        <v>2603</v>
      </c>
      <c r="E1307" s="22" t="s">
        <v>96</v>
      </c>
      <c r="F1307" s="23" t="str">
        <f>HYPERLINK("https://www.spark-marketing.ru/Card/Lot/74046484", "На оказание услуг по приготовлению и доставке ежедневного горячего питания для пациентов (КРУГЛОСУТОЧНЫХ СТАЦИОНАРОВ) ГБУЗ ПК ""КБ им. Вагнера Е.А."" г.Березники""")</f>
        <v>На оказание услуг по приготовлению и доставке ежедневного горячего питания для пациентов (КРУГЛОСУТОЧНЫХ СТАЦИОНАРОВ) ГБУЗ ПК "КБ им. Вагнера Е.А." г.Березники"</v>
      </c>
      <c r="G1307" s="22" t="s">
        <v>153</v>
      </c>
      <c r="H1307" s="22" t="s">
        <v>153</v>
      </c>
      <c r="I1307" s="26">
        <v>43738.340972222199</v>
      </c>
      <c r="J1307" s="28" t="s">
        <v>51</v>
      </c>
      <c r="K1307" s="28" t="s">
        <v>51</v>
      </c>
      <c r="L1307" s="28" t="s">
        <v>51</v>
      </c>
      <c r="M1307" s="28" t="s">
        <v>51</v>
      </c>
      <c r="N1307" s="28" t="s">
        <v>51</v>
      </c>
    </row>
    <row r="1308" spans="1:14" x14ac:dyDescent="0.15">
      <c r="A1308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1308" s="24" t="s">
        <v>2604</v>
      </c>
      <c r="C1308" s="25">
        <v>207072</v>
      </c>
      <c r="D1308" s="22" t="s">
        <v>2605</v>
      </c>
      <c r="E1308" s="22" t="s">
        <v>48</v>
      </c>
      <c r="F1308" s="23" t="str">
        <f>HYPERLINK("https://www.spark-marketing.ru/Card/Lot/74042898",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1308" s="22" t="s">
        <v>1096</v>
      </c>
      <c r="H1308" s="22" t="s">
        <v>1097</v>
      </c>
      <c r="I1308" s="26">
        <v>43738.403472222199</v>
      </c>
      <c r="J1308" s="23" t="str">
        <f>HYPERLINK("https://www.spark-marketing.ru/Card/Person/233106", "АО ""КОМБИНАТ ПИТАНИЯ""")</f>
        <v>АО "КОМБИНАТ ПИТАНИЯ"</v>
      </c>
      <c r="K1308" s="24" t="s">
        <v>2606</v>
      </c>
      <c r="L1308" s="28" t="s">
        <v>51</v>
      </c>
      <c r="M1308" s="28" t="s">
        <v>51</v>
      </c>
      <c r="N1308" s="28" t="s">
        <v>51</v>
      </c>
    </row>
    <row r="1309" spans="1:14" x14ac:dyDescent="0.15">
      <c r="A1309" s="23" t="str">
        <f>HYPERLINK("https://www.spark-marketing.ru/Card/Person/1094121", "МАОУ ""ЛИЦЕЙ № 11 Г. БЛАГОВЕЩЕНСКА""")</f>
        <v>МАОУ "ЛИЦЕЙ № 11 Г. БЛАГОВЕЩЕНСКА"</v>
      </c>
      <c r="B1309" s="24" t="s">
        <v>2607</v>
      </c>
      <c r="C1309" s="25">
        <v>240480</v>
      </c>
      <c r="D1309" s="22" t="s">
        <v>2608</v>
      </c>
      <c r="E1309" s="22" t="s">
        <v>362</v>
      </c>
      <c r="F1309" s="23" t="str">
        <f>HYPERLINK("https://www.spark-marketing.ru/Card/Lot/74056805", "Оказание услуг по предоставлению питания обучающихся по образовательным программам начального общего образования в муниципальной общеобразовательной организации")</f>
        <v>Оказание услуг по предоставлению питания обучающихся по образовательным программам начального общего образования в муниципальной общеобразовательной организации</v>
      </c>
      <c r="G1309" s="22" t="s">
        <v>210</v>
      </c>
      <c r="H1309" s="22" t="s">
        <v>210</v>
      </c>
      <c r="I1309" s="26">
        <v>43738</v>
      </c>
      <c r="J1309" s="28" t="s">
        <v>51</v>
      </c>
      <c r="K1309" s="28" t="s">
        <v>51</v>
      </c>
      <c r="L1309" s="28" t="s">
        <v>51</v>
      </c>
      <c r="M1309" s="28" t="s">
        <v>51</v>
      </c>
      <c r="N1309" s="28" t="s">
        <v>51</v>
      </c>
    </row>
    <row r="1310" spans="1:14" x14ac:dyDescent="0.15">
      <c r="A1310" s="23" t="str">
        <f>HYPERLINK("https://www.spark-marketing.ru/Card/Person/1320368", "ГАУ ""КЦСОН ""ЗОЛОТАЯ ОСЕНЬ"" ГОРОДА НИЖНИЙ ТАГИЛ""")</f>
        <v>ГАУ "КЦСОН "ЗОЛОТАЯ ОСЕНЬ" ГОРОДА НИЖНИЙ ТАГИЛ"</v>
      </c>
      <c r="B1310" s="24" t="s">
        <v>2609</v>
      </c>
      <c r="C1310" s="25">
        <v>217500</v>
      </c>
      <c r="D1310" s="22" t="s">
        <v>2610</v>
      </c>
      <c r="E1310" s="22" t="s">
        <v>362</v>
      </c>
      <c r="F1310" s="23" t="str">
        <f>HYPERLINK("https://www.spark-marketing.ru/Card/Lot/74053689", "Оказание услуг по приготовлению и поставке горячего питания для получателей социальных услуг в отделении дневного пребывания ГАУ ""КЦСОН «Золотая осень» города Нижний Тагил""")</f>
        <v>Оказание услуг по приготовлению и поставке горячего питания для получателей социальных услуг в отделении дневного пребывания ГАУ "КЦСОН «Золотая осень» города Нижний Тагил"</v>
      </c>
      <c r="G1310" s="22" t="s">
        <v>174</v>
      </c>
      <c r="H1310" s="22" t="s">
        <v>174</v>
      </c>
      <c r="I1310" s="26">
        <v>43738</v>
      </c>
      <c r="J1310" s="28" t="s">
        <v>51</v>
      </c>
      <c r="K1310" s="28" t="s">
        <v>51</v>
      </c>
      <c r="L1310" s="28" t="s">
        <v>51</v>
      </c>
      <c r="M1310" s="28" t="s">
        <v>51</v>
      </c>
      <c r="N1310" s="28" t="s">
        <v>51</v>
      </c>
    </row>
    <row r="1311" spans="1:14" x14ac:dyDescent="0.15">
      <c r="A1311" s="23" t="str">
        <f>HYPERLINK("https://www.spark-marketing.ru/Card/Person/662926", "МАУК ""БДТ""")</f>
        <v>МАУК "БДТ"</v>
      </c>
      <c r="B1311" s="24" t="s">
        <v>2611</v>
      </c>
      <c r="C1311" s="25">
        <v>151000</v>
      </c>
      <c r="D1311" s="22" t="s">
        <v>2612</v>
      </c>
      <c r="E1311" s="22" t="s">
        <v>2217</v>
      </c>
      <c r="F1311" s="23" t="str">
        <f>HYPERLINK("https://www.spark-marketing.ru/Card/Lot/74058938", "Услуги по организации питания участников регионального театрального фестиваля ""КаМский""")</f>
        <v>Услуги по организации питания участников регионального театрального фестиваля "КаМский"</v>
      </c>
      <c r="G1311" s="22" t="s">
        <v>153</v>
      </c>
      <c r="H1311" s="22" t="s">
        <v>153</v>
      </c>
      <c r="I1311" s="26">
        <v>43738</v>
      </c>
      <c r="J1311" s="28" t="s">
        <v>51</v>
      </c>
      <c r="K1311" s="28" t="s">
        <v>51</v>
      </c>
      <c r="L1311" s="28" t="s">
        <v>51</v>
      </c>
      <c r="M1311" s="28" t="s">
        <v>51</v>
      </c>
      <c r="N1311" s="28" t="s">
        <v>51</v>
      </c>
    </row>
    <row r="1312" spans="1:14" x14ac:dyDescent="0.15">
      <c r="A1312" s="23" t="str">
        <f>HYPERLINK("https://www.spark-marketing.ru/Card/Person/77706", "АО ""ПОЧТА РОССИИ""")</f>
        <v>АО "ПОЧТА РОССИИ"</v>
      </c>
      <c r="B1312" s="24" t="s">
        <v>2613</v>
      </c>
      <c r="C1312" s="25">
        <v>1648500</v>
      </c>
      <c r="D1312" s="22" t="s">
        <v>2614</v>
      </c>
      <c r="E1312" s="22" t="s">
        <v>2615</v>
      </c>
      <c r="F1312" s="23" t="str">
        <f>HYPERLINK("https://www.spark-marketing.ru/Card/Lot/74008126", "Оказание услуг по проведению периодического медицинского осмотра для работников торговли продуктами питания для нужд УФПС Республики Северная Осетия-Алания - филиала ФГУП ""Почта России""")</f>
        <v>Оказание услуг по проведению периодического медицинского осмотра для работников торговли продуктами питания для нужд УФПС Республики Северная Осетия-Алания - филиала ФГУП "Почта России"</v>
      </c>
      <c r="G1312" s="22" t="s">
        <v>56</v>
      </c>
      <c r="H1312" s="22" t="s">
        <v>56</v>
      </c>
      <c r="I1312" s="26">
        <v>43736</v>
      </c>
      <c r="J1312" s="28" t="s">
        <v>51</v>
      </c>
      <c r="K1312" s="28" t="s">
        <v>51</v>
      </c>
      <c r="L1312" s="28" t="s">
        <v>51</v>
      </c>
      <c r="M1312" s="28" t="s">
        <v>51</v>
      </c>
      <c r="N1312" s="28" t="s">
        <v>51</v>
      </c>
    </row>
    <row r="1313" spans="1:14" x14ac:dyDescent="0.15">
      <c r="A1313" s="23" t="str">
        <f>HYPERLINK("https://www.spark-marketing.ru/Card/Person/4443304", "МАДОУ ДЕТСКИЙ САД №15 Г.ТУЙМАЗЫ")</f>
        <v>МАДОУ ДЕТСКИЙ САД №15 Г.ТУЙМАЗЫ</v>
      </c>
      <c r="B1313" s="24" t="s">
        <v>2616</v>
      </c>
      <c r="C1313" s="25">
        <v>453875</v>
      </c>
      <c r="D1313" s="22" t="s">
        <v>2617</v>
      </c>
      <c r="E1313" s="22" t="s">
        <v>362</v>
      </c>
      <c r="F1313" s="23" t="str">
        <f>HYPERLINK("https://www.spark-marketing.ru/Card/Lot/74120868", "услуги непрофильной функции по питанию")</f>
        <v>услуги непрофильной функции по питанию</v>
      </c>
      <c r="G1313" s="22" t="s">
        <v>145</v>
      </c>
      <c r="H1313" s="22" t="s">
        <v>145</v>
      </c>
      <c r="I1313" s="26">
        <v>43740</v>
      </c>
      <c r="J1313" s="28" t="s">
        <v>51</v>
      </c>
      <c r="K1313" s="28" t="s">
        <v>51</v>
      </c>
      <c r="L1313" s="28" t="s">
        <v>51</v>
      </c>
      <c r="M1313" s="28" t="s">
        <v>51</v>
      </c>
      <c r="N1313" s="28" t="s">
        <v>51</v>
      </c>
    </row>
    <row r="1314" spans="1:14" x14ac:dyDescent="0.15">
      <c r="A1314" s="23" t="str">
        <f>HYPERLINK("https://www.spark-marketing.ru/Card/Person/1454587", "МАОУ ""БЕРШЕТСКАЯ СРЕДНЯЯ ШКОЛА""")</f>
        <v>МАОУ "БЕРШЕТСКАЯ СРЕДНЯЯ ШКОЛА"</v>
      </c>
      <c r="B1314" s="24" t="s">
        <v>2618</v>
      </c>
      <c r="C1314" s="25">
        <v>310960</v>
      </c>
      <c r="D1314" s="22" t="s">
        <v>2619</v>
      </c>
      <c r="E1314" s="22" t="s">
        <v>362</v>
      </c>
      <c r="F1314" s="23" t="str">
        <f>HYPERLINK("https://www.spark-marketing.ru/Card/Lot/74058941", "Оказание услуги по обеспечению горячим питанием обучающихся в группах продленного дня в образовательном учреждении Заказчика МАОУ «Бершетская средняя школа с 01.10.2019 по 31.12.2019 г.")</f>
        <v>Оказание услуги по обеспечению горячим питанием обучающихся в группах продленного дня в образовательном учреждении Заказчика МАОУ «Бершетская средняя школа с 01.10.2019 по 31.12.2019 г.</v>
      </c>
      <c r="G1314" s="22" t="s">
        <v>153</v>
      </c>
      <c r="H1314" s="22" t="s">
        <v>153</v>
      </c>
      <c r="I1314" s="26">
        <v>43738</v>
      </c>
      <c r="J1314" s="28" t="s">
        <v>51</v>
      </c>
      <c r="K1314" s="28" t="s">
        <v>51</v>
      </c>
      <c r="L1314" s="28" t="s">
        <v>51</v>
      </c>
      <c r="M1314" s="28" t="s">
        <v>51</v>
      </c>
      <c r="N1314" s="28" t="s">
        <v>51</v>
      </c>
    </row>
    <row r="1315" spans="1:14" x14ac:dyDescent="0.15">
      <c r="A1315" s="23" t="str">
        <f>HYPERLINK("https://www.spark-marketing.ru/Card/Person/4392817", "МАОУ ДЛЯ ОБУЧАЮЩИХСЯ С ОВЗ СОШ-ИНТЕРНАТ № 6 Г.ЯЛУТОРОВСКА")</f>
        <v>МАОУ ДЛЯ ОБУЧАЮЩИХСЯ С ОВЗ СОШ-ИНТЕРНАТ № 6 Г.ЯЛУТОРОВСКА</v>
      </c>
      <c r="B1315" s="24" t="s">
        <v>2620</v>
      </c>
      <c r="C1315" s="25">
        <v>2300000</v>
      </c>
      <c r="D1315" s="22" t="s">
        <v>2621</v>
      </c>
      <c r="E1315" s="22" t="s">
        <v>362</v>
      </c>
      <c r="F1315" s="23" t="str">
        <f>HYPERLINK("https://www.spark-marketing.ru/Card/Lot/74065669", "Услуги по организации питания")</f>
        <v>Услуги по организации питания</v>
      </c>
      <c r="G1315" s="22" t="s">
        <v>766</v>
      </c>
      <c r="H1315" s="22" t="s">
        <v>766</v>
      </c>
      <c r="I1315" s="26">
        <v>43738</v>
      </c>
      <c r="J1315" s="28" t="s">
        <v>51</v>
      </c>
      <c r="K1315" s="28" t="s">
        <v>51</v>
      </c>
      <c r="L1315" s="28" t="s">
        <v>51</v>
      </c>
      <c r="M1315" s="28" t="s">
        <v>51</v>
      </c>
      <c r="N1315" s="28" t="s">
        <v>51</v>
      </c>
    </row>
    <row r="1316" spans="1:14" x14ac:dyDescent="0.2">
      <c r="A1316" s="23" t="str">
        <f>HYPERLINK("https://www.spark-marketing.ru/Card/Person/4365810", "АО ""ТВ ЦЕНТР""")</f>
        <v>АО "ТВ ЦЕНТР"</v>
      </c>
      <c r="B1316" s="24" t="s">
        <v>2622</v>
      </c>
      <c r="C1316" s="25">
        <v>260136</v>
      </c>
      <c r="D1316" s="22" t="s">
        <v>2623</v>
      </c>
      <c r="E1316" s="22" t="s">
        <v>2624</v>
      </c>
      <c r="F1316" s="23" t="str">
        <f>HYPERLINK("https://www.spark-marketing.ru/Card/Lot/74059590", "Оказание услуг по обеспечению питанием сотрудников Заказчика при организации мероприятия «К Дню государственного флага России. Праздничный концерт на Поклонной Горе»")</f>
        <v>Оказание услуг по обеспечению питанием сотрудников Заказчика при организации мероприятия «К Дню государственного флага России. Праздничный концерт на Поклонной Горе»</v>
      </c>
      <c r="G1316" s="22" t="s">
        <v>56</v>
      </c>
      <c r="H1316" s="22" t="s">
        <v>56</v>
      </c>
      <c r="I1316" s="26">
        <v>43738</v>
      </c>
      <c r="J1316" s="28" t="s">
        <v>51</v>
      </c>
      <c r="K1316" s="28" t="s">
        <v>51</v>
      </c>
      <c r="L1316" s="28" t="s">
        <v>51</v>
      </c>
      <c r="M1316" s="25">
        <v>260136</v>
      </c>
      <c r="N1316" s="27">
        <v>0</v>
      </c>
    </row>
    <row r="1317" spans="1:14" x14ac:dyDescent="0.15">
      <c r="A1317" s="23" t="str">
        <f>HYPERLINK("https://www.spark-marketing.ru/Card/Person/4852466", "ГОАУСОН ""АПАТИТСКИЙ КЦСОН""")</f>
        <v>ГОАУСОН "АПАТИТСКИЙ КЦСОН"</v>
      </c>
      <c r="B1317" s="24" t="s">
        <v>2625</v>
      </c>
      <c r="C1317" s="25">
        <v>1866600</v>
      </c>
      <c r="D1317" s="22" t="s">
        <v>2626</v>
      </c>
      <c r="E1317" s="22" t="s">
        <v>2473</v>
      </c>
      <c r="F1317" s="23" t="str">
        <f>HYPERLINK("https://www.spark-marketing.ru/Card/Lot/74066979", "Оказание автотранспортных услуг по перевозке готового питания с 01.01.2020 г. по 31.12.2020 г.")</f>
        <v>Оказание автотранспортных услуг по перевозке готового питания с 01.01.2020 г. по 31.12.2020 г.</v>
      </c>
      <c r="G1317" s="22" t="s">
        <v>340</v>
      </c>
      <c r="H1317" s="22" t="s">
        <v>340</v>
      </c>
      <c r="I1317" s="26">
        <v>43738</v>
      </c>
      <c r="J1317" s="28" t="s">
        <v>51</v>
      </c>
      <c r="K1317" s="28" t="s">
        <v>51</v>
      </c>
      <c r="L1317" s="28" t="s">
        <v>51</v>
      </c>
      <c r="M1317" s="28" t="s">
        <v>51</v>
      </c>
      <c r="N1317" s="28" t="s">
        <v>51</v>
      </c>
    </row>
    <row r="1318" spans="1:14" x14ac:dyDescent="0.15">
      <c r="A1318" s="23" t="str">
        <f>HYPERLINK("https://www.spark-marketing.ru/Card/Person/1447245", "МАОУ СОШ №2")</f>
        <v>МАОУ СОШ №2</v>
      </c>
      <c r="B1318" s="24" t="s">
        <v>2627</v>
      </c>
      <c r="C1318" s="25">
        <v>426792.5</v>
      </c>
      <c r="D1318" s="22" t="s">
        <v>2628</v>
      </c>
      <c r="E1318" s="22" t="s">
        <v>362</v>
      </c>
      <c r="F1318" s="23" t="str">
        <f>HYPERLINK("https://www.spark-marketing.ru/Card/Lot/74067492", "Организация горячего питания")</f>
        <v>Организация горячего питания</v>
      </c>
      <c r="G1318" s="22" t="s">
        <v>104</v>
      </c>
      <c r="H1318" s="22" t="s">
        <v>104</v>
      </c>
      <c r="I1318" s="26">
        <v>43738</v>
      </c>
      <c r="J1318" s="28" t="s">
        <v>51</v>
      </c>
      <c r="K1318" s="28" t="s">
        <v>51</v>
      </c>
      <c r="L1318" s="28" t="s">
        <v>51</v>
      </c>
      <c r="M1318" s="28" t="s">
        <v>51</v>
      </c>
      <c r="N1318" s="28" t="s">
        <v>51</v>
      </c>
    </row>
    <row r="1319" spans="1:14" x14ac:dyDescent="0.15">
      <c r="A1319" s="23" t="str">
        <f>HYPERLINK("https://www.spark-marketing.ru/Card/Person/4348376", "АО ""ЖТК""")</f>
        <v>АО "ЖТК"</v>
      </c>
      <c r="B1319" s="24" t="s">
        <v>2312</v>
      </c>
      <c r="C1319" s="25">
        <v>1084402</v>
      </c>
      <c r="D1319" s="22" t="s">
        <v>2629</v>
      </c>
      <c r="E1319" s="22" t="s">
        <v>2420</v>
      </c>
      <c r="F1319" s="23" t="str">
        <f>HYPERLINK("https://www.spark-marketing.ru/Card/Lot/74058923", "Поставка колбасных изделий для предприятий общественного питания Борзинского участка, оказывающих услуги питания работникам ОАО ""РЖД""")</f>
        <v>Поставка колбасных изделий для предприятий общественного питания Борзинского участка, оказывающих услуги питания работникам ОАО "РЖД"</v>
      </c>
      <c r="G1319" s="22" t="s">
        <v>228</v>
      </c>
      <c r="H1319" s="22" t="s">
        <v>228</v>
      </c>
      <c r="I1319" s="26">
        <v>43738</v>
      </c>
      <c r="J1319" s="28" t="s">
        <v>51</v>
      </c>
      <c r="K1319" s="28" t="s">
        <v>51</v>
      </c>
      <c r="L1319" s="28" t="s">
        <v>51</v>
      </c>
      <c r="M1319" s="28" t="s">
        <v>51</v>
      </c>
      <c r="N1319" s="28" t="s">
        <v>51</v>
      </c>
    </row>
    <row r="1320" spans="1:14" x14ac:dyDescent="0.2">
      <c r="A1320" s="23" t="str">
        <f>HYPERLINK("https://www.spark-marketing.ru/Card/Person/1064033", "МДОУ Д/С № 104")</f>
        <v>МДОУ Д/С № 104</v>
      </c>
      <c r="B1320" s="24" t="s">
        <v>2630</v>
      </c>
      <c r="C1320" s="25">
        <v>1279140.44</v>
      </c>
      <c r="D1320" s="22" t="s">
        <v>2631</v>
      </c>
      <c r="E1320" s="22" t="s">
        <v>362</v>
      </c>
      <c r="F1320" s="23" t="str">
        <f>HYPERLINK("https://www.spark-marketing.ru/Card/Lot/74065227", "оказание услуг по организации питания детей")</f>
        <v>оказание услуг по организации питания детей</v>
      </c>
      <c r="G1320" s="22" t="s">
        <v>158</v>
      </c>
      <c r="H1320" s="22" t="s">
        <v>158</v>
      </c>
      <c r="I1320" s="26">
        <v>43738</v>
      </c>
      <c r="J1320" s="23" t="str">
        <f>HYPERLINK("https://www.spark-marketing.ru/Card/Person/4305069", "ООО ВЕСТА")</f>
        <v>ООО ВЕСТА</v>
      </c>
      <c r="K1320" s="28" t="s">
        <v>51</v>
      </c>
      <c r="L1320" s="22" t="s">
        <v>10</v>
      </c>
      <c r="M1320" s="25">
        <v>1279140.44</v>
      </c>
      <c r="N1320" s="27">
        <v>0</v>
      </c>
    </row>
    <row r="1321" spans="1:14" x14ac:dyDescent="0.15">
      <c r="A1321" s="23" t="str">
        <f>HYPERLINK("https://www.spark-marketing.ru/Card/Person/1390375", "ФГАУ ""УПРАВЛЕНИЕ СПОРТМЕРОПРИЯТИЙ""")</f>
        <v>ФГАУ "УПРАВЛЕНИЕ СПОРТМЕРОПРИЯТИЙ"</v>
      </c>
      <c r="B1321" s="24" t="s">
        <v>2632</v>
      </c>
      <c r="C1321" s="25">
        <v>1960000</v>
      </c>
      <c r="D1321" s="22" t="s">
        <v>2633</v>
      </c>
      <c r="E1321" s="22" t="s">
        <v>769</v>
      </c>
      <c r="F1321" s="23" t="str">
        <f>HYPERLINK("https://www.spark-marketing.ru/Card/Lot/74062567", "Оказание услуг по организации проживания и питания сборной команды России при проведении чемпионата мира по боксу среди женщин")</f>
        <v>Оказание услуг по организации проживания и питания сборной команды России при проведении чемпионата мира по боксу среди женщин</v>
      </c>
      <c r="G1321" s="22" t="s">
        <v>433</v>
      </c>
      <c r="H1321" s="22" t="s">
        <v>433</v>
      </c>
      <c r="I1321" s="26">
        <v>43738</v>
      </c>
      <c r="J1321" s="28" t="s">
        <v>51</v>
      </c>
      <c r="K1321" s="28" t="s">
        <v>51</v>
      </c>
      <c r="L1321" s="28" t="s">
        <v>51</v>
      </c>
      <c r="M1321" s="28" t="s">
        <v>51</v>
      </c>
      <c r="N1321" s="28" t="s">
        <v>51</v>
      </c>
    </row>
    <row r="1322" spans="1:14" x14ac:dyDescent="0.15">
      <c r="A1322" s="23" t="str">
        <f>HYPERLINK("https://www.spark-marketing.ru/Card/Person/4348376", "АО ""ЖТК""")</f>
        <v>АО "ЖТК"</v>
      </c>
      <c r="B1322" s="24" t="s">
        <v>2312</v>
      </c>
      <c r="C1322" s="25">
        <v>5294585</v>
      </c>
      <c r="D1322" s="22" t="s">
        <v>2634</v>
      </c>
      <c r="E1322" s="22" t="s">
        <v>2314</v>
      </c>
      <c r="F1322" s="23" t="str">
        <f>HYPERLINK("https://www.spark-marketing.ru/Card/Lot/74067061", "Поставка бакалейной продукции для предприятий общественного питания Шилкинского ТПО, оказывающих услуги питания работникам ОАО ""РЖД""")</f>
        <v>Поставка бакалейной продукции для предприятий общественного питания Шилкинского ТПО, оказывающих услуги питания работникам ОАО "РЖД"</v>
      </c>
      <c r="G1322" s="22" t="s">
        <v>210</v>
      </c>
      <c r="H1322" s="22" t="s">
        <v>210</v>
      </c>
      <c r="I1322" s="26">
        <v>43738</v>
      </c>
      <c r="J1322" s="28" t="s">
        <v>51</v>
      </c>
      <c r="K1322" s="28" t="s">
        <v>51</v>
      </c>
      <c r="L1322" s="28" t="s">
        <v>51</v>
      </c>
      <c r="M1322" s="28" t="s">
        <v>51</v>
      </c>
      <c r="N1322" s="28" t="s">
        <v>51</v>
      </c>
    </row>
    <row r="1323" spans="1:14" x14ac:dyDescent="0.15">
      <c r="A1323" s="23" t="str">
        <f>HYPERLINK("https://www.spark-marketing.ru/Card/Person/741907", "МАДОУ ДЕТСКИЙ САД № 25 Г. ТУЙМАЗЫ")</f>
        <v>МАДОУ ДЕТСКИЙ САД № 25 Г. ТУЙМАЗЫ</v>
      </c>
      <c r="B1323" s="24" t="s">
        <v>2635</v>
      </c>
      <c r="C1323" s="25">
        <v>435500</v>
      </c>
      <c r="D1323" s="22" t="s">
        <v>2636</v>
      </c>
      <c r="E1323" s="22" t="s">
        <v>362</v>
      </c>
      <c r="F1323" s="23" t="str">
        <f>HYPERLINK("https://www.spark-marketing.ru/Card/Lot/74140855", "услуги непрофильной функции по питанию в филиале МАДОУ детский сад №25 г.Туймазы «ДОУ №2 г.Туймазы»")</f>
        <v>услуги непрофильной функции по питанию в филиале МАДОУ детский сад №25 г.Туймазы «ДОУ №2 г.Туймазы»</v>
      </c>
      <c r="G1323" s="22" t="s">
        <v>145</v>
      </c>
      <c r="H1323" s="22" t="s">
        <v>145</v>
      </c>
      <c r="I1323" s="26">
        <v>43741</v>
      </c>
      <c r="J1323" s="28" t="s">
        <v>51</v>
      </c>
      <c r="K1323" s="28" t="s">
        <v>51</v>
      </c>
      <c r="L1323" s="28" t="s">
        <v>51</v>
      </c>
      <c r="M1323" s="28" t="s">
        <v>51</v>
      </c>
      <c r="N1323" s="28" t="s">
        <v>51</v>
      </c>
    </row>
    <row r="1324" spans="1:14" ht="12.75" x14ac:dyDescent="0.2">
      <c r="A1324" s="23" t="str">
        <f>HYPERLINK("https://www.spark-marketing.ru/Card/Person/4371011", "МАОУ ""ЯРКОВСКАЯ СОШ""")</f>
        <v>МАОУ "ЯРКОВСКАЯ СОШ"</v>
      </c>
      <c r="B1324" s="24" t="s">
        <v>2637</v>
      </c>
      <c r="C1324" s="25">
        <v>853003</v>
      </c>
      <c r="D1324" s="22" t="s">
        <v>2638</v>
      </c>
      <c r="E1324" s="22" t="s">
        <v>362</v>
      </c>
      <c r="F1324" s="23" t="str">
        <f>HYPERLINK("https://www.spark-marketing.ru/Card/Lot/74059182", "Оказание услуг по организации горячего питания учащихся.")</f>
        <v>Оказание услуг по организации горячего питания учащихся.</v>
      </c>
      <c r="G1324" s="22" t="s">
        <v>766</v>
      </c>
      <c r="H1324" s="22" t="s">
        <v>766</v>
      </c>
      <c r="I1324" s="26">
        <v>43738</v>
      </c>
      <c r="J1324" s="23" t="str">
        <f>HYPERLINK("https://www.spark-marketing.ru/Card/Person/6329414", "Иванов Сергей Михайлович")</f>
        <v>Иванов Сергей Михайлович</v>
      </c>
      <c r="K1324" s="24" t="s">
        <v>2639</v>
      </c>
      <c r="L1324" s="22" t="s">
        <v>10</v>
      </c>
      <c r="M1324" s="25">
        <v>853003</v>
      </c>
      <c r="N1324" s="27">
        <v>0</v>
      </c>
    </row>
    <row r="1325" spans="1:14" x14ac:dyDescent="0.15">
      <c r="A1325" s="23" t="str">
        <f>HYPERLINK("https://www.spark-marketing.ru/Card/Person/4348376", "АО ""ЖТК""")</f>
        <v>АО "ЖТК"</v>
      </c>
      <c r="B1325" s="24" t="s">
        <v>2312</v>
      </c>
      <c r="C1325" s="25">
        <v>506000</v>
      </c>
      <c r="D1325" s="22" t="s">
        <v>2640</v>
      </c>
      <c r="E1325" s="22" t="s">
        <v>2370</v>
      </c>
      <c r="F1325" s="23" t="str">
        <f>HYPERLINK("https://www.spark-marketing.ru/Card/Lot/74064614", "Поставка хлеба для предприятий общественного питания (столовая ст. Ерофей Павлович), оказывающих услуги питания работникам ОАО ""РЖД""")</f>
        <v>Поставка хлеба для предприятий общественного питания (столовая ст. Ерофей Павлович), оказывающих услуги питания работникам ОАО "РЖД"</v>
      </c>
      <c r="G1325" s="22" t="s">
        <v>228</v>
      </c>
      <c r="H1325" s="22" t="s">
        <v>228</v>
      </c>
      <c r="I1325" s="26">
        <v>43738</v>
      </c>
      <c r="J1325" s="28" t="s">
        <v>51</v>
      </c>
      <c r="K1325" s="28" t="s">
        <v>51</v>
      </c>
      <c r="L1325" s="28" t="s">
        <v>51</v>
      </c>
      <c r="M1325" s="28" t="s">
        <v>51</v>
      </c>
      <c r="N1325" s="28" t="s">
        <v>51</v>
      </c>
    </row>
    <row r="1326" spans="1:14" x14ac:dyDescent="0.15">
      <c r="A1326" s="23" t="str">
        <f>HYPERLINK("https://www.spark-marketing.ru/Card/Person/4348376", "АО ""ЖТК""")</f>
        <v>АО "ЖТК"</v>
      </c>
      <c r="B1326" s="24" t="s">
        <v>2312</v>
      </c>
      <c r="C1326" s="25">
        <v>3968487.42</v>
      </c>
      <c r="D1326" s="22" t="s">
        <v>2641</v>
      </c>
      <c r="E1326" s="22" t="s">
        <v>2314</v>
      </c>
      <c r="F1326" s="23" t="str">
        <f>HYPERLINK("https://www.spark-marketing.ru/Card/Lot/74068275", "Поставка бакалейной продукции для предприятий общественного питания Шилкинского ТПО, оказывающих услуги питания работникам ОАО ""РЖД""")</f>
        <v>Поставка бакалейной продукции для предприятий общественного питания Шилкинского ТПО, оказывающих услуги питания работникам ОАО "РЖД"</v>
      </c>
      <c r="G1326" s="22" t="s">
        <v>228</v>
      </c>
      <c r="H1326" s="22" t="s">
        <v>228</v>
      </c>
      <c r="I1326" s="26">
        <v>43738</v>
      </c>
      <c r="J1326" s="28" t="s">
        <v>51</v>
      </c>
      <c r="K1326" s="28" t="s">
        <v>51</v>
      </c>
      <c r="L1326" s="28" t="s">
        <v>51</v>
      </c>
      <c r="M1326" s="28" t="s">
        <v>51</v>
      </c>
      <c r="N1326" s="28" t="s">
        <v>51</v>
      </c>
    </row>
    <row r="1327" spans="1:14" x14ac:dyDescent="0.2">
      <c r="A1327" s="23" t="str">
        <f>HYPERLINK("https://www.spark-marketing.ru/Card/Person/268823", "ГАУ АО ""РЦСП ""ВОЛГАРЬ""")</f>
        <v>ГАУ АО "РЦСП "ВОЛГАРЬ"</v>
      </c>
      <c r="B1327" s="24" t="s">
        <v>767</v>
      </c>
      <c r="C1327" s="25">
        <v>955500</v>
      </c>
      <c r="D1327" s="22" t="s">
        <v>2642</v>
      </c>
      <c r="E1327" s="22" t="s">
        <v>362</v>
      </c>
      <c r="F1327" s="23" t="str">
        <f>HYPERLINK("https://www.spark-marketing.ru/Card/Lot/74097736", "оказание услуг по организации питания")</f>
        <v>оказание услуг по организации питания</v>
      </c>
      <c r="G1327" s="22" t="s">
        <v>141</v>
      </c>
      <c r="H1327" s="22" t="s">
        <v>141</v>
      </c>
      <c r="I1327" s="26">
        <v>43739</v>
      </c>
      <c r="J1327" s="28" t="s">
        <v>51</v>
      </c>
      <c r="K1327" s="28" t="s">
        <v>51</v>
      </c>
      <c r="L1327" s="28" t="s">
        <v>51</v>
      </c>
      <c r="M1327" s="25">
        <v>955500</v>
      </c>
      <c r="N1327" s="27">
        <v>0</v>
      </c>
    </row>
    <row r="1328" spans="1:14" x14ac:dyDescent="0.15">
      <c r="A1328" s="23" t="str">
        <f>HYPERLINK("https://www.spark-marketing.ru/Card/Person/77706", "АО ""ПОЧТА РОССИИ""")</f>
        <v>АО "ПОЧТА РОССИИ"</v>
      </c>
      <c r="B1328" s="24" t="s">
        <v>2613</v>
      </c>
      <c r="C1328" s="25">
        <v>596400</v>
      </c>
      <c r="D1328" s="22" t="s">
        <v>2643</v>
      </c>
      <c r="E1328" s="22" t="s">
        <v>2615</v>
      </c>
      <c r="F1328" s="23" t="str">
        <f>HYPERLINK("https://www.spark-marketing.ru/Card/Lot/74008119", "Оказание услуг на проведение периодических медицинских осмотров с выдачей личных медицинских книжек для персонала осуществляющего торговлю продуктами питания для нужд УФПС Карачаево-Черкесской Республики- филиала ФГУП ""Почта России""")</f>
        <v>Оказание услуг на проведение периодических медицинских осмотров с выдачей личных медицинских книжек для персонала осуществляющего торговлю продуктами питания для нужд УФПС Карачаево-Черкесской Республики- филиала ФГУП "Почта России"</v>
      </c>
      <c r="G1328" s="22" t="s">
        <v>56</v>
      </c>
      <c r="H1328" s="22" t="s">
        <v>56</v>
      </c>
      <c r="I1328" s="26">
        <v>43736</v>
      </c>
      <c r="J1328" s="28" t="s">
        <v>51</v>
      </c>
      <c r="K1328" s="28" t="s">
        <v>51</v>
      </c>
      <c r="L1328" s="28" t="s">
        <v>51</v>
      </c>
      <c r="M1328" s="28" t="s">
        <v>51</v>
      </c>
      <c r="N1328" s="28" t="s">
        <v>51</v>
      </c>
    </row>
    <row r="1329" spans="1:14" x14ac:dyDescent="0.15">
      <c r="A1329" s="23" t="str">
        <f>HYPERLINK("https://www.spark-marketing.ru/Card/Person/4348376", "АО ""ЖТК""")</f>
        <v>АО "ЖТК"</v>
      </c>
      <c r="B1329" s="24" t="s">
        <v>2312</v>
      </c>
      <c r="C1329" s="25">
        <v>2161700</v>
      </c>
      <c r="D1329" s="22" t="s">
        <v>2644</v>
      </c>
      <c r="E1329" s="22" t="s">
        <v>2319</v>
      </c>
      <c r="F1329" s="23" t="str">
        <f>HYPERLINK("https://www.spark-marketing.ru/Card/Lot/74066944", "Поставка овощей и фруктов свежих для предприятий общественного питания Читинского ТПО, оказывающих услуги питания работникам ОАО ""РЖД""")</f>
        <v>Поставка овощей и фруктов свежих для предприятий общественного питания Читинского ТПО, оказывающих услуги питания работникам ОАО "РЖД"</v>
      </c>
      <c r="G1329" s="22" t="s">
        <v>228</v>
      </c>
      <c r="H1329" s="22" t="s">
        <v>228</v>
      </c>
      <c r="I1329" s="26">
        <v>43738</v>
      </c>
      <c r="J1329" s="28" t="s">
        <v>51</v>
      </c>
      <c r="K1329" s="28" t="s">
        <v>51</v>
      </c>
      <c r="L1329" s="28" t="s">
        <v>51</v>
      </c>
      <c r="M1329" s="28" t="s">
        <v>51</v>
      </c>
      <c r="N1329" s="28" t="s">
        <v>51</v>
      </c>
    </row>
    <row r="1330" spans="1:14" x14ac:dyDescent="0.15">
      <c r="A1330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1330" s="24" t="s">
        <v>1909</v>
      </c>
      <c r="C1330" s="25">
        <v>647160</v>
      </c>
      <c r="D1330" s="22" t="s">
        <v>2645</v>
      </c>
      <c r="E1330" s="22" t="s">
        <v>769</v>
      </c>
      <c r="F1330" s="23" t="str">
        <f>HYPERLINK("https://www.spark-marketing.ru/Card/Lot/74060732", "Услуги по бронированию мест размещения (проживание), питания и транспортного обслуживания для Молодежной хоккейной команды ""АК-59""")</f>
        <v>Услуги по бронированию мест размещения (проживание), питания и транспортного обслуживания для Молодежной хоккейной команды "АК-59"</v>
      </c>
      <c r="G1330" s="22" t="s">
        <v>475</v>
      </c>
      <c r="H1330" s="22" t="s">
        <v>476</v>
      </c>
      <c r="I1330" s="26">
        <v>43738</v>
      </c>
      <c r="J1330" s="28" t="s">
        <v>51</v>
      </c>
      <c r="K1330" s="28" t="s">
        <v>51</v>
      </c>
      <c r="L1330" s="28" t="s">
        <v>51</v>
      </c>
      <c r="M1330" s="28" t="s">
        <v>51</v>
      </c>
      <c r="N1330" s="28" t="s">
        <v>51</v>
      </c>
    </row>
    <row r="1331" spans="1:14" x14ac:dyDescent="0.2">
      <c r="A1331" s="23" t="str">
        <f>HYPERLINK("https://www.spark-marketing.ru/Card/Person/1284409", "ГОАПОУ ""ЛИСК""")</f>
        <v>ГОАПОУ "ЛИСК"</v>
      </c>
      <c r="B1331" s="24" t="s">
        <v>2646</v>
      </c>
      <c r="C1331" s="25">
        <v>1079760</v>
      </c>
      <c r="D1331" s="22" t="s">
        <v>2647</v>
      </c>
      <c r="E1331" s="22" t="s">
        <v>362</v>
      </c>
      <c r="F1331" s="23" t="str">
        <f>HYPERLINK("https://www.spark-marketing.ru/Card/Lot/74065075", "Оказание услуг по обеспечению студентов горячим питанием в 4 квартале 2019 года")</f>
        <v>Оказание услуг по обеспечению студентов горячим питанием в 4 квартале 2019 года</v>
      </c>
      <c r="G1331" s="22" t="s">
        <v>101</v>
      </c>
      <c r="H1331" s="22" t="s">
        <v>101</v>
      </c>
      <c r="I1331" s="26">
        <v>43738</v>
      </c>
      <c r="J1331" s="28" t="s">
        <v>51</v>
      </c>
      <c r="K1331" s="28" t="s">
        <v>51</v>
      </c>
      <c r="L1331" s="28" t="s">
        <v>51</v>
      </c>
      <c r="M1331" s="25">
        <v>1079760</v>
      </c>
      <c r="N1331" s="27">
        <v>0</v>
      </c>
    </row>
    <row r="1332" spans="1:14" ht="12.75" x14ac:dyDescent="0.2">
      <c r="A1332" s="23" t="str">
        <f>HYPERLINK("https://www.spark-marketing.ru/Card/Person/4371011", "МАОУ ""ЯРКОВСКАЯ СОШ""")</f>
        <v>МАОУ "ЯРКОВСКАЯ СОШ"</v>
      </c>
      <c r="B1332" s="24" t="s">
        <v>2637</v>
      </c>
      <c r="C1332" s="25">
        <v>708430.2</v>
      </c>
      <c r="D1332" s="22" t="s">
        <v>2648</v>
      </c>
      <c r="E1332" s="22" t="s">
        <v>362</v>
      </c>
      <c r="F1332" s="23" t="str">
        <f>HYPERLINK("https://www.spark-marketing.ru/Card/Lot/74059166", "Оказание услуг по организации горячего питания учащихся.")</f>
        <v>Оказание услуг по организации горячего питания учащихся.</v>
      </c>
      <c r="G1332" s="22" t="s">
        <v>766</v>
      </c>
      <c r="H1332" s="22" t="s">
        <v>766</v>
      </c>
      <c r="I1332" s="26">
        <v>43738</v>
      </c>
      <c r="J1332" s="23" t="str">
        <f>HYPERLINK("https://www.spark-marketing.ru/Card/Person/6329414", "Иванов Сергей Михайлович")</f>
        <v>Иванов Сергей Михайлович</v>
      </c>
      <c r="K1332" s="24" t="s">
        <v>2639</v>
      </c>
      <c r="L1332" s="22" t="s">
        <v>10</v>
      </c>
      <c r="M1332" s="25">
        <v>708430.2</v>
      </c>
      <c r="N1332" s="27">
        <v>0</v>
      </c>
    </row>
    <row r="1333" spans="1:14" x14ac:dyDescent="0.15">
      <c r="A1333" s="23" t="str">
        <f>HYPERLINK("https://www.spark-marketing.ru/Card/Person/951582", "КГА ПОУ ""УКТУ""")</f>
        <v>КГА ПОУ "УКТУ"</v>
      </c>
      <c r="B1333" s="24" t="s">
        <v>2649</v>
      </c>
      <c r="C1333" s="25">
        <v>370500</v>
      </c>
      <c r="D1333" s="22" t="s">
        <v>2650</v>
      </c>
      <c r="E1333" s="22" t="s">
        <v>362</v>
      </c>
      <c r="F1333" s="23" t="str">
        <f>HYPERLINK("https://www.spark-marketing.ru/Card/Lot/74044534", "оказание услуг по организации питания обучающихся по очной форме обучения, проживающих в общежитии")</f>
        <v>оказание услуг по организации питания обучающихся по очной форме обучения, проживающих в общежитии</v>
      </c>
      <c r="G1333" s="22" t="s">
        <v>543</v>
      </c>
      <c r="H1333" s="22" t="s">
        <v>543</v>
      </c>
      <c r="I1333" s="26">
        <v>43738</v>
      </c>
      <c r="J1333" s="28" t="s">
        <v>51</v>
      </c>
      <c r="K1333" s="28" t="s">
        <v>51</v>
      </c>
      <c r="L1333" s="28" t="s">
        <v>51</v>
      </c>
      <c r="M1333" s="28" t="s">
        <v>51</v>
      </c>
      <c r="N1333" s="28" t="s">
        <v>51</v>
      </c>
    </row>
    <row r="1334" spans="1:14" x14ac:dyDescent="0.15">
      <c r="A1334" s="23" t="str">
        <f>HYPERLINK("https://www.spark-marketing.ru/Card/Person/1759340", "МАДОУ ЦРР - ДЕТСКИЙ САД № 14")</f>
        <v>МАДОУ ЦРР - ДЕТСКИЙ САД № 14</v>
      </c>
      <c r="B1334" s="24" t="s">
        <v>2651</v>
      </c>
      <c r="C1334" s="25">
        <v>200596</v>
      </c>
      <c r="D1334" s="22" t="s">
        <v>2652</v>
      </c>
      <c r="E1334" s="22" t="s">
        <v>362</v>
      </c>
      <c r="F1334" s="23" t="str">
        <f>HYPERLINK("https://www.spark-marketing.ru/Card/Lot/74053457", "Услуги по обеспечению питанием")</f>
        <v>Услуги по обеспечению питанием</v>
      </c>
      <c r="G1334" s="22" t="s">
        <v>145</v>
      </c>
      <c r="H1334" s="22" t="s">
        <v>145</v>
      </c>
      <c r="I1334" s="26">
        <v>43738</v>
      </c>
      <c r="J1334" s="28" t="s">
        <v>51</v>
      </c>
      <c r="K1334" s="28" t="s">
        <v>51</v>
      </c>
      <c r="L1334" s="28" t="s">
        <v>51</v>
      </c>
      <c r="M1334" s="28" t="s">
        <v>51</v>
      </c>
      <c r="N1334" s="28" t="s">
        <v>51</v>
      </c>
    </row>
    <row r="1335" spans="1:14" ht="12.75" x14ac:dyDescent="0.2">
      <c r="A1335" s="23" t="str">
        <f>HYPERLINK("https://www.spark-marketing.ru/Card/Person/216912", "КГА ПОУ ""СПК""")</f>
        <v>КГА ПОУ "СПК"</v>
      </c>
      <c r="B1335" s="24" t="s">
        <v>2653</v>
      </c>
      <c r="C1335" s="25">
        <v>610200</v>
      </c>
      <c r="D1335" s="22" t="s">
        <v>2654</v>
      </c>
      <c r="E1335" s="22" t="s">
        <v>362</v>
      </c>
      <c r="F1335" s="23" t="str">
        <f>HYPERLINK("https://www.spark-marketing.ru/Card/Lot/74047860", "Оказание услуг по организации питания")</f>
        <v>Оказание услуг по организации питания</v>
      </c>
      <c r="G1335" s="22" t="s">
        <v>543</v>
      </c>
      <c r="H1335" s="22" t="s">
        <v>622</v>
      </c>
      <c r="I1335" s="26">
        <v>43738</v>
      </c>
      <c r="J1335" s="23" t="str">
        <f>HYPERLINK("https://www.spark-marketing.ru/Card/Person/6398576", "ООО ""ВЕТЕР ВОСТОКА""")</f>
        <v>ООО "ВЕТЕР ВОСТОКА"</v>
      </c>
      <c r="K1335" s="24" t="s">
        <v>2655</v>
      </c>
      <c r="L1335" s="22" t="s">
        <v>10</v>
      </c>
      <c r="M1335" s="25">
        <v>610200</v>
      </c>
      <c r="N1335" s="27">
        <v>0</v>
      </c>
    </row>
    <row r="1336" spans="1:14" x14ac:dyDescent="0.15">
      <c r="A1336" s="23" t="str">
        <f>HYPERLINK("https://www.spark-marketing.ru/Card/Person/1359237", "МАДОУ ""Д/С № 15 ""ЗОЛОТАЯ РЫБКА""")</f>
        <v>МАДОУ "Д/С № 15 "ЗОЛОТАЯ РЫБКА"</v>
      </c>
      <c r="B1336" s="24" t="s">
        <v>2656</v>
      </c>
      <c r="C1336" s="25">
        <v>4266864</v>
      </c>
      <c r="D1336" s="22" t="s">
        <v>2657</v>
      </c>
      <c r="E1336" s="22" t="s">
        <v>362</v>
      </c>
      <c r="F1336" s="23" t="str">
        <f>HYPERLINK("https://www.spark-marketing.ru/Card/Lot/74067125", "Оказание услуг по организации горячего питания для воспитанников")</f>
        <v>Оказание услуг по организации горячего питания для воспитанников</v>
      </c>
      <c r="G1336" s="22" t="s">
        <v>49</v>
      </c>
      <c r="H1336" s="22" t="s">
        <v>49</v>
      </c>
      <c r="I1336" s="26">
        <v>43738</v>
      </c>
      <c r="J1336" s="28" t="s">
        <v>51</v>
      </c>
      <c r="K1336" s="28" t="s">
        <v>51</v>
      </c>
      <c r="L1336" s="28" t="s">
        <v>51</v>
      </c>
      <c r="M1336" s="28" t="s">
        <v>51</v>
      </c>
      <c r="N1336" s="28" t="s">
        <v>51</v>
      </c>
    </row>
    <row r="1337" spans="1:14" x14ac:dyDescent="0.15">
      <c r="A1337" s="23" t="str">
        <f>HYPERLINK("https://www.spark-marketing.ru/Card/Person/947663", "МАОУ ""СОШ № 7""")</f>
        <v>МАОУ "СОШ № 7"</v>
      </c>
      <c r="B1337" s="24" t="s">
        <v>2658</v>
      </c>
      <c r="C1337" s="25">
        <v>246723.05</v>
      </c>
      <c r="D1337" s="22" t="s">
        <v>2659</v>
      </c>
      <c r="E1337" s="22" t="s">
        <v>362</v>
      </c>
      <c r="F1337" s="23" t="str">
        <f>HYPERLINK("https://www.spark-marketing.ru/Card/Lot/74046011", "оказание услуг по организации горячего питания учащихся из малообеспеченных семей")</f>
        <v>оказание услуг по организации горячего питания учащихся из малообеспеченных семей</v>
      </c>
      <c r="G1337" s="22" t="s">
        <v>281</v>
      </c>
      <c r="H1337" s="22" t="s">
        <v>281</v>
      </c>
      <c r="I1337" s="26">
        <v>43738</v>
      </c>
      <c r="J1337" s="28" t="s">
        <v>51</v>
      </c>
      <c r="K1337" s="28" t="s">
        <v>51</v>
      </c>
      <c r="L1337" s="28" t="s">
        <v>51</v>
      </c>
      <c r="M1337" s="28" t="s">
        <v>51</v>
      </c>
      <c r="N1337" s="28" t="s">
        <v>51</v>
      </c>
    </row>
    <row r="1338" spans="1:14" x14ac:dyDescent="0.15">
      <c r="A1338" s="23" t="str">
        <f>HYPERLINK("https://www.spark-marketing.ru/Card/Person/1760026", "ЗАО ""ПФК ""КРЫЛЬЯ СОВЕТОВ""")</f>
        <v>ЗАО "ПФК "КРЫЛЬЯ СОВЕТОВ"</v>
      </c>
      <c r="B1338" s="24" t="s">
        <v>2056</v>
      </c>
      <c r="C1338" s="25">
        <v>404250</v>
      </c>
      <c r="D1338" s="22" t="s">
        <v>2660</v>
      </c>
      <c r="E1338" s="22" t="s">
        <v>2661</v>
      </c>
      <c r="F1338" s="23" t="str">
        <f>HYPERLINK("https://www.spark-marketing.ru/Card/Lot/74062991", "Комплекс услуг, связанных с организацией питания, проживания команды 2005 г.р. ЗАО «ПФК «Крылья Советов» 2005 г.р. в рамках участия в зональном турнире Первенства России по футболу среди команд спортивных школ Зона «Приволжье» в сезоне 2019/2020 гг")</f>
        <v>Комплекс услуг, связанных с организацией питания, проживания команды 2005 г.р. ЗАО «ПФК «Крылья Советов» 2005 г.р. в рамках участия в зональном турнире Первенства России по футболу среди команд спортивных школ Зона «Приволжье» в сезоне 2019/2020 гг</v>
      </c>
      <c r="G1338" s="22" t="s">
        <v>277</v>
      </c>
      <c r="H1338" s="22" t="s">
        <v>277</v>
      </c>
      <c r="I1338" s="26">
        <v>43738</v>
      </c>
      <c r="J1338" s="28" t="s">
        <v>51</v>
      </c>
      <c r="K1338" s="28" t="s">
        <v>51</v>
      </c>
      <c r="L1338" s="28" t="s">
        <v>51</v>
      </c>
      <c r="M1338" s="28" t="s">
        <v>51</v>
      </c>
      <c r="N1338" s="28" t="s">
        <v>51</v>
      </c>
    </row>
    <row r="1339" spans="1:14" x14ac:dyDescent="0.15">
      <c r="A1339" s="23" t="str">
        <f>HYPERLINK("https://www.spark-marketing.ru/Card/Person/127316", "МП КХ ""ВОДОКАНАЛ""")</f>
        <v>МП КХ "ВОДОКАНАЛ"</v>
      </c>
      <c r="B1339" s="24" t="s">
        <v>2662</v>
      </c>
      <c r="C1339" s="25">
        <v>3981194</v>
      </c>
      <c r="D1339" s="22" t="s">
        <v>2663</v>
      </c>
      <c r="E1339" s="22" t="s">
        <v>362</v>
      </c>
      <c r="F1339" s="23" t="str">
        <f>HYPERLINK("https://www.spark-marketing.ru/Card/Lot/73957841", "Оказание услуг по организации горячего питания")</f>
        <v>Оказание услуг по организации горячего питания</v>
      </c>
      <c r="G1339" s="22" t="s">
        <v>400</v>
      </c>
      <c r="H1339" s="22" t="s">
        <v>400</v>
      </c>
      <c r="I1339" s="26">
        <v>43735</v>
      </c>
      <c r="J1339" s="28" t="s">
        <v>51</v>
      </c>
      <c r="K1339" s="28" t="s">
        <v>51</v>
      </c>
      <c r="L1339" s="28" t="s">
        <v>51</v>
      </c>
      <c r="M1339" s="28" t="s">
        <v>51</v>
      </c>
      <c r="N1339" s="28" t="s">
        <v>51</v>
      </c>
    </row>
    <row r="1340" spans="1:14" ht="12.75" x14ac:dyDescent="0.2">
      <c r="A1340" s="23" t="str">
        <f>HYPERLINK("https://www.spark-marketing.ru/Card/Person/1607788", "МАИ")</f>
        <v>МАИ</v>
      </c>
      <c r="B1340" s="24" t="s">
        <v>2664</v>
      </c>
      <c r="C1340" s="25">
        <v>500000</v>
      </c>
      <c r="D1340" s="22" t="s">
        <v>2665</v>
      </c>
      <c r="E1340" s="22" t="s">
        <v>362</v>
      </c>
      <c r="F1340" s="23" t="str">
        <f>HYPERLINK("https://www.spark-marketing.ru/Card/Lot/74068456", "Оказание услуг по организации питания")</f>
        <v>Оказание услуг по организации питания</v>
      </c>
      <c r="G1340" s="22" t="s">
        <v>56</v>
      </c>
      <c r="H1340" s="22" t="s">
        <v>56</v>
      </c>
      <c r="I1340" s="26">
        <v>43738</v>
      </c>
      <c r="J1340" s="23" t="str">
        <f>HYPERLINK("https://www.spark-marketing.ru/Card/Person/143086", "ООО ""РУССОЦКАПИТАЛ""")</f>
        <v>ООО "РУССОЦКАПИТАЛ"</v>
      </c>
      <c r="K1340" s="24" t="s">
        <v>2666</v>
      </c>
      <c r="L1340" s="22" t="s">
        <v>10</v>
      </c>
      <c r="M1340" s="25">
        <v>500000</v>
      </c>
      <c r="N1340" s="27">
        <v>0</v>
      </c>
    </row>
    <row r="1341" spans="1:14" x14ac:dyDescent="0.15">
      <c r="A1341" s="23" t="str">
        <f>HYPERLINK("https://www.spark-marketing.ru/Card/Person/7287", "ГБУ УПРАВЛЕНИЕ МТСО")</f>
        <v>ГБУ УПРАВЛЕНИЕ МТСО</v>
      </c>
      <c r="B1341" s="24" t="s">
        <v>2667</v>
      </c>
      <c r="C1341" s="25">
        <v>120350</v>
      </c>
      <c r="D1341" s="22" t="s">
        <v>2668</v>
      </c>
      <c r="E1341" s="22" t="s">
        <v>2669</v>
      </c>
      <c r="F1341" s="23" t="str">
        <f>HYPERLINK("https://www.spark-marketing.ru/Card/Lot/74069408", "Оказание услуг по предоставлению неисключительных прав на программное обеспечение для аппаратно-программного комплекса пунктов питания")</f>
        <v>Оказание услуг по предоставлению неисключительных прав на программное обеспечение для аппаратно-программного комплекса пунктов питания</v>
      </c>
      <c r="G1341" s="22" t="s">
        <v>49</v>
      </c>
      <c r="H1341" s="22" t="s">
        <v>49</v>
      </c>
      <c r="I1341" s="26">
        <v>43738</v>
      </c>
      <c r="J1341" s="28" t="s">
        <v>51</v>
      </c>
      <c r="K1341" s="28" t="s">
        <v>51</v>
      </c>
      <c r="L1341" s="28" t="s">
        <v>51</v>
      </c>
      <c r="M1341" s="28" t="s">
        <v>51</v>
      </c>
      <c r="N1341" s="28" t="s">
        <v>51</v>
      </c>
    </row>
    <row r="1342" spans="1:14" x14ac:dyDescent="0.15">
      <c r="A1342" s="23" t="str">
        <f>HYPERLINK("https://www.spark-marketing.ru/Card/Person/1027066", "УПРАВЛЕНИЕ ФКС АДМИНИСТРАЦИИ ГОРОДСКОГО ОКРУГА СОЛНЕЧНОГОРСК")</f>
        <v>УПРАВЛЕНИЕ ФКС АДМИНИСТРАЦИИ ГОРОДСКОГО ОКРУГА СОЛНЕЧНОГОРСК</v>
      </c>
      <c r="B1342" s="24" t="s">
        <v>2670</v>
      </c>
      <c r="C1342" s="25">
        <v>98500</v>
      </c>
      <c r="D1342" s="22" t="s">
        <v>2671</v>
      </c>
      <c r="E1342" s="22" t="s">
        <v>48</v>
      </c>
      <c r="F1342" s="23" t="str">
        <f>HYPERLINK("https://www.spark-marketing.ru/Card/Lot/74038933", "Оказание услуг по организации питания")</f>
        <v>Оказание услуг по организации питания</v>
      </c>
      <c r="G1342" s="22" t="s">
        <v>49</v>
      </c>
      <c r="H1342" s="22" t="s">
        <v>204</v>
      </c>
      <c r="I1342" s="26">
        <v>43737.972094907404</v>
      </c>
      <c r="J1342" s="28" t="s">
        <v>51</v>
      </c>
      <c r="K1342" s="28" t="s">
        <v>51</v>
      </c>
      <c r="L1342" s="28" t="s">
        <v>51</v>
      </c>
      <c r="M1342" s="28" t="s">
        <v>51</v>
      </c>
      <c r="N1342" s="28" t="s">
        <v>51</v>
      </c>
    </row>
    <row r="1343" spans="1:14" ht="12.75" x14ac:dyDescent="0.2">
      <c r="A1343" s="23" t="str">
        <f>HYPERLINK("https://www.spark-marketing.ru/Card/Person/973257", "ГАОУ ДО ЧУКОТСКОГО АО ""ОДЮСШ""")</f>
        <v>ГАОУ ДО ЧУКОТСКОГО АО "ОДЮСШ"</v>
      </c>
      <c r="B1343" s="24" t="s">
        <v>2672</v>
      </c>
      <c r="C1343" s="25">
        <v>342000</v>
      </c>
      <c r="D1343" s="22" t="s">
        <v>2673</v>
      </c>
      <c r="E1343" s="22" t="s">
        <v>580</v>
      </c>
      <c r="F1343" s="23" t="str">
        <f>HYPERLINK("https://www.spark-marketing.ru/Card/Lot/74030762", "Услуги по организации питания участников Чемпионата и Первенства Чукотки по Северному многоборью")</f>
        <v>Услуги по организации питания участников Чемпионата и Первенства Чукотки по Северному многоборью</v>
      </c>
      <c r="G1343" s="22" t="s">
        <v>2674</v>
      </c>
      <c r="H1343" s="22" t="s">
        <v>2674</v>
      </c>
      <c r="I1343" s="26">
        <v>43737</v>
      </c>
      <c r="J1343" s="23" t="str">
        <f>HYPERLINK("https://www.spark-marketing.ru/Card/Person/6215164", "ООО ""ХОСТЕЛ""")</f>
        <v>ООО "ХОСТЕЛ"</v>
      </c>
      <c r="K1343" s="24" t="s">
        <v>2675</v>
      </c>
      <c r="L1343" s="22" t="s">
        <v>10</v>
      </c>
      <c r="M1343" s="25">
        <v>342000</v>
      </c>
      <c r="N1343" s="27">
        <v>0</v>
      </c>
    </row>
    <row r="1344" spans="1:14" x14ac:dyDescent="0.15">
      <c r="A1344" s="23" t="str">
        <f>HYPERLINK("https://www.spark-marketing.ru/Card/Person/1073865", "МДОУ Д/С № 113")</f>
        <v>МДОУ Д/С № 113</v>
      </c>
      <c r="B1344" s="24" t="s">
        <v>2676</v>
      </c>
      <c r="C1344" s="25">
        <v>1492837.22</v>
      </c>
      <c r="D1344" s="22" t="s">
        <v>2677</v>
      </c>
      <c r="E1344" s="22" t="s">
        <v>362</v>
      </c>
      <c r="F1344" s="23" t="str">
        <f>HYPERLINK("https://www.spark-marketing.ru/Card/Lot/74032704", "Оказание услуг по организации питания")</f>
        <v>Оказание услуг по организации питания</v>
      </c>
      <c r="G1344" s="22" t="s">
        <v>158</v>
      </c>
      <c r="H1344" s="22" t="s">
        <v>158</v>
      </c>
      <c r="I1344" s="26">
        <v>43737</v>
      </c>
      <c r="J1344" s="28" t="s">
        <v>51</v>
      </c>
      <c r="K1344" s="28" t="s">
        <v>51</v>
      </c>
      <c r="L1344" s="28" t="s">
        <v>51</v>
      </c>
      <c r="M1344" s="28" t="s">
        <v>51</v>
      </c>
      <c r="N1344" s="28" t="s">
        <v>51</v>
      </c>
    </row>
    <row r="1345" spans="1:14" x14ac:dyDescent="0.15">
      <c r="A1345" s="23" t="str">
        <f>HYPERLINK("https://www.spark-marketing.ru/Card/Person/1659453", "ГАУК Г. МОСКВЫ ПКИО ""КРАСНАЯ ПРЕСНЯ""")</f>
        <v>ГАУК Г. МОСКВЫ ПКИО "КРАСНАЯ ПРЕСНЯ"</v>
      </c>
      <c r="B1345" s="24" t="s">
        <v>2678</v>
      </c>
      <c r="C1345" s="25">
        <v>124740</v>
      </c>
      <c r="D1345" s="22" t="s">
        <v>2679</v>
      </c>
      <c r="E1345" s="22" t="s">
        <v>52</v>
      </c>
      <c r="F1345" s="23" t="str">
        <f>HYPERLINK("https://www.spark-marketing.ru/Card/Lot/73974561",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Мантулинская, владение 5 (основная территория ГАУК г. Москвы ПКиО «Красная Пресня») (НТО 23) спец...")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Мантулинская, владение 5 (основная территория ГАУК г. Москвы ПКиО «Красная Пресня») (НТО 23) спец...</v>
      </c>
      <c r="G1345" s="22" t="s">
        <v>56</v>
      </c>
      <c r="H1345" s="22" t="s">
        <v>56</v>
      </c>
      <c r="I1345" s="26">
        <v>43736</v>
      </c>
      <c r="J1345" s="28" t="s">
        <v>51</v>
      </c>
      <c r="K1345" s="28" t="s">
        <v>51</v>
      </c>
      <c r="L1345" s="28" t="s">
        <v>51</v>
      </c>
      <c r="M1345" s="28" t="s">
        <v>51</v>
      </c>
      <c r="N1345" s="28" t="s">
        <v>51</v>
      </c>
    </row>
    <row r="1346" spans="1:14" x14ac:dyDescent="0.15">
      <c r="A1346" s="23" t="str">
        <f>HYPERLINK("https://www.spark-marketing.ru/Card/Person/1758508", "МАУ ""СШОР ""КРАСНЫЙ ЯР""")</f>
        <v>МАУ "СШОР "КРАСНЫЙ ЯР"</v>
      </c>
      <c r="B1346" s="24" t="s">
        <v>2680</v>
      </c>
      <c r="C1346" s="25">
        <v>229600</v>
      </c>
      <c r="D1346" s="22" t="s">
        <v>2681</v>
      </c>
      <c r="E1346" s="22" t="s">
        <v>2682</v>
      </c>
      <c r="F1346" s="23" t="str">
        <f>HYPERLINK("https://www.spark-marketing.ru/Card/Lot/73975613", "Оказание услуг по организации проживания спортсменов МАУ ""СШОР ""Красный Яр""")</f>
        <v>Оказание услуг по организации проживания спортсменов МАУ "СШОР "Красный Яр"</v>
      </c>
      <c r="G1346" s="22" t="s">
        <v>56</v>
      </c>
      <c r="H1346" s="22" t="s">
        <v>56</v>
      </c>
      <c r="I1346" s="26">
        <v>43736</v>
      </c>
      <c r="J1346" s="28" t="s">
        <v>51</v>
      </c>
      <c r="K1346" s="28" t="s">
        <v>51</v>
      </c>
      <c r="L1346" s="28" t="s">
        <v>51</v>
      </c>
      <c r="M1346" s="28" t="s">
        <v>51</v>
      </c>
      <c r="N1346" s="28" t="s">
        <v>51</v>
      </c>
    </row>
    <row r="1347" spans="1:14" x14ac:dyDescent="0.15">
      <c r="A1347" s="23" t="str">
        <f>HYPERLINK("https://www.spark-marketing.ru/Card/Person/1758657", "КГАУ ""СШ ОЛИМПИЙСКОГО РЕЗЕРВА ПО БАСКЕТБОЛУ ""ЕНИСЕЙ""")</f>
        <v>КГАУ "СШ ОЛИМПИЙСКОГО РЕЗЕРВА ПО БАСКЕТБОЛУ "ЕНИСЕЙ"</v>
      </c>
      <c r="B1347" s="24" t="s">
        <v>2683</v>
      </c>
      <c r="C1347" s="25">
        <v>672000</v>
      </c>
      <c r="D1347" s="22" t="s">
        <v>2684</v>
      </c>
      <c r="E1347" s="22" t="s">
        <v>362</v>
      </c>
      <c r="F1347" s="23" t="str">
        <f>HYPERLINK("https://www.spark-marketing.ru/Card/Lot/74008122", "заключение договора на оказание услуг по питанию спортсменов в месте проведения спортивных мероприятий среди детских спортивных школ Красноярского края по игровым видам спорта ""Звезды Красноярья"" вид спорта :баскетбол")</f>
        <v>заключение договора на оказание услуг по питанию спортсменов в месте проведения спортивных мероприятий среди детских спортивных школ Красноярского края по игровым видам спорта "Звезды Красноярья" вид спорта :баскетбол</v>
      </c>
      <c r="G1347" s="22" t="s">
        <v>281</v>
      </c>
      <c r="H1347" s="22" t="s">
        <v>281</v>
      </c>
      <c r="I1347" s="26">
        <v>43736</v>
      </c>
      <c r="J1347" s="28" t="s">
        <v>51</v>
      </c>
      <c r="K1347" s="28" t="s">
        <v>51</v>
      </c>
      <c r="L1347" s="28" t="s">
        <v>51</v>
      </c>
      <c r="M1347" s="28" t="s">
        <v>51</v>
      </c>
      <c r="N1347" s="28" t="s">
        <v>51</v>
      </c>
    </row>
    <row r="1348" spans="1:14" x14ac:dyDescent="0.15">
      <c r="A1348" s="23" t="str">
        <f>HYPERLINK("https://www.spark-marketing.ru/Card/Person/1747814", "ГАУК Г. МОСКВЫ ""ГМЗ ""КУЗЬМИНКИ-ЛЮБЛИНО""")</f>
        <v>ГАУК Г. МОСКВЫ "ГМЗ "КУЗЬМИНКИ-ЛЮБЛИНО"</v>
      </c>
      <c r="B1348" s="24" t="s">
        <v>2685</v>
      </c>
      <c r="C1348" s="25">
        <v>246951.18</v>
      </c>
      <c r="D1348" s="22" t="s">
        <v>2686</v>
      </c>
      <c r="E1348" s="22" t="s">
        <v>52</v>
      </c>
      <c r="F1348" s="23" t="str">
        <f>HYPERLINK("https://www.spark-marketing.ru/Card/Lot/73974566",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территория ГАУК г. Москвы «ГМЗ «Кузьминки-Люблино», около конного двора (НТО 13) специализация «Общес...")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территория ГАУК г. Москвы «ГМЗ «Кузьминки-Люблино», около конного двора (НТО 13) специализация «Общес...</v>
      </c>
      <c r="G1348" s="22" t="s">
        <v>56</v>
      </c>
      <c r="H1348" s="22" t="s">
        <v>56</v>
      </c>
      <c r="I1348" s="26">
        <v>43736</v>
      </c>
      <c r="J1348" s="28" t="s">
        <v>51</v>
      </c>
      <c r="K1348" s="28" t="s">
        <v>51</v>
      </c>
      <c r="L1348" s="28" t="s">
        <v>51</v>
      </c>
      <c r="M1348" s="28" t="s">
        <v>51</v>
      </c>
      <c r="N1348" s="28" t="s">
        <v>51</v>
      </c>
    </row>
    <row r="1349" spans="1:14" x14ac:dyDescent="0.15">
      <c r="A1349" s="23" t="str">
        <f>HYPERLINK("https://www.spark-marketing.ru/Card/Person/689750", "ГАУК Г. МОСКВЫ ""ПОКЛОННАЯ ГОРА""")</f>
        <v>ГАУК Г. МОСКВЫ "ПОКЛОННАЯ ГОРА"</v>
      </c>
      <c r="B1349" s="24" t="s">
        <v>2687</v>
      </c>
      <c r="C1349" s="25">
        <v>75600</v>
      </c>
      <c r="D1349" s="22" t="s">
        <v>2688</v>
      </c>
      <c r="E1349" s="22" t="s">
        <v>52</v>
      </c>
      <c r="F1349" s="23" t="str">
        <f>HYPERLINK("https://www.spark-marketing.ru/Card/Lot/73974572", "Право заключения договора на осуществление торговой деятельности (оказание услуг) в нестационарном торговом объекте «Павильон» по адресу: г. Москва, Поклонная гора, з/у.1 (территория ГАУК г. Москвы ""Поклонная гора"") (НТО 117) специализация «Обществ...")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Поклонная гора, з/у.1 (территория ГАУК г. Москвы "Поклонная гора") (НТО 117) специализация «Обществ...</v>
      </c>
      <c r="G1349" s="22" t="s">
        <v>56</v>
      </c>
      <c r="H1349" s="22" t="s">
        <v>56</v>
      </c>
      <c r="I1349" s="26">
        <v>43736</v>
      </c>
      <c r="J1349" s="28" t="s">
        <v>51</v>
      </c>
      <c r="K1349" s="28" t="s">
        <v>51</v>
      </c>
      <c r="L1349" s="28" t="s">
        <v>51</v>
      </c>
      <c r="M1349" s="28" t="s">
        <v>51</v>
      </c>
      <c r="N1349" s="28" t="s">
        <v>51</v>
      </c>
    </row>
    <row r="1350" spans="1:14" x14ac:dyDescent="0.15">
      <c r="A1350" s="23" t="str">
        <f>HYPERLINK("https://www.spark-marketing.ru/Card/Person/4413858", "ГАУК Г. МОСКВЫ ""МПК ""СЕВЕРНОЕ ТУШИНО""")</f>
        <v>ГАУК Г. МОСКВЫ "МПК "СЕВЕРНОЕ ТУШИНО"</v>
      </c>
      <c r="B1350" s="24" t="s">
        <v>2689</v>
      </c>
      <c r="C1350" s="25">
        <v>59500</v>
      </c>
      <c r="D1350" s="22" t="s">
        <v>2690</v>
      </c>
      <c r="E1350" s="22" t="s">
        <v>52</v>
      </c>
      <c r="F1350" s="23" t="str">
        <f>HYPERLINK("https://www.spark-marketing.ru/Card/Lot/73974577", "Право заключения договора на осуществление торговой деятельности (оказание услуг) в нестационарном торговом объекте «Павильон» по адресу: г. Москва, ГАУК г. Москвы «МПК» Северное Тушино» (парк между каналом им. Москвы и Левобережной улицей), ул. Лево...")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ГАУК г. Москвы «МПК» Северное Тушино» (парк между каналом им. Москвы и Левобережной улицей), ул. Лево...</v>
      </c>
      <c r="G1350" s="22" t="s">
        <v>56</v>
      </c>
      <c r="H1350" s="22" t="s">
        <v>56</v>
      </c>
      <c r="I1350" s="26">
        <v>43736</v>
      </c>
      <c r="J1350" s="28" t="s">
        <v>51</v>
      </c>
      <c r="K1350" s="28" t="s">
        <v>51</v>
      </c>
      <c r="L1350" s="28" t="s">
        <v>51</v>
      </c>
      <c r="M1350" s="28" t="s">
        <v>51</v>
      </c>
      <c r="N1350" s="28" t="s">
        <v>51</v>
      </c>
    </row>
    <row r="1351" spans="1:14" x14ac:dyDescent="0.15">
      <c r="A1351" s="23" t="str">
        <f>HYPERLINK("https://www.spark-marketing.ru/Card/Person/689750", "ГАУК Г. МОСКВЫ ""ПОКЛОННАЯ ГОРА""")</f>
        <v>ГАУК Г. МОСКВЫ "ПОКЛОННАЯ ГОРА"</v>
      </c>
      <c r="B1351" s="24" t="s">
        <v>2687</v>
      </c>
      <c r="C1351" s="25">
        <v>75600</v>
      </c>
      <c r="D1351" s="22" t="s">
        <v>2691</v>
      </c>
      <c r="E1351" s="22" t="s">
        <v>52</v>
      </c>
      <c r="F1351" s="23" t="str">
        <f>HYPERLINK("https://www.spark-marketing.ru/Card/Lot/73974574", "Право заключения договора на осуществление торговой деятельности (оказание услуг) в нестационарном торговом объекте «Павильон» по адресу: г. Москва, Поклонная гора, з/у.1 (территория ГАУК г. Москвы ""Поклонная гора"") (НТО 162) специализация «Обществ...")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Поклонная гора, з/у.1 (территория ГАУК г. Москвы "Поклонная гора") (НТО 162) специализация «Обществ...</v>
      </c>
      <c r="G1351" s="22" t="s">
        <v>56</v>
      </c>
      <c r="H1351" s="22" t="s">
        <v>56</v>
      </c>
      <c r="I1351" s="26">
        <v>43736</v>
      </c>
      <c r="J1351" s="28" t="s">
        <v>51</v>
      </c>
      <c r="K1351" s="28" t="s">
        <v>51</v>
      </c>
      <c r="L1351" s="28" t="s">
        <v>51</v>
      </c>
      <c r="M1351" s="28" t="s">
        <v>51</v>
      </c>
      <c r="N1351" s="28" t="s">
        <v>51</v>
      </c>
    </row>
    <row r="1352" spans="1:14" x14ac:dyDescent="0.15">
      <c r="A1352" s="23" t="str">
        <f>HYPERLINK("https://www.spark-marketing.ru/Card/Person/689750", "ГАУК Г. МОСКВЫ ""ПОКЛОННАЯ ГОРА""")</f>
        <v>ГАУК Г. МОСКВЫ "ПОКЛОННАЯ ГОРА"</v>
      </c>
      <c r="B1352" s="24" t="s">
        <v>2687</v>
      </c>
      <c r="C1352" s="25">
        <v>75600</v>
      </c>
      <c r="D1352" s="22" t="s">
        <v>2692</v>
      </c>
      <c r="E1352" s="22" t="s">
        <v>52</v>
      </c>
      <c r="F1352" s="23" t="str">
        <f>HYPERLINK("https://www.spark-marketing.ru/Card/Lot/73974575", "Право заключения договора на осуществление торговой деятельности (оказание услуг) в нестационарном торговом объекте «Павильон» по адресу: г. Москва, Поклонная гора, з/у.1 (территория ГАУК г. Москвы ""Поклонная гора"") (НТО 163) специализация «Обществ...")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Поклонная гора, з/у.1 (территория ГАУК г. Москвы "Поклонная гора") (НТО 163) специализация «Обществ...</v>
      </c>
      <c r="G1352" s="22" t="s">
        <v>56</v>
      </c>
      <c r="H1352" s="22" t="s">
        <v>56</v>
      </c>
      <c r="I1352" s="26">
        <v>43736</v>
      </c>
      <c r="J1352" s="28" t="s">
        <v>51</v>
      </c>
      <c r="K1352" s="28" t="s">
        <v>51</v>
      </c>
      <c r="L1352" s="28" t="s">
        <v>51</v>
      </c>
      <c r="M1352" s="28" t="s">
        <v>51</v>
      </c>
      <c r="N1352" s="28" t="s">
        <v>51</v>
      </c>
    </row>
    <row r="1353" spans="1:14" x14ac:dyDescent="0.15">
      <c r="A1353" s="23" t="str">
        <f>HYPERLINK("https://www.spark-marketing.ru/Card/Person/1660862", "ГАУК Г. МОСКВЫ ""САД КИО ИМ. Н. Э. БАУМАНА""")</f>
        <v>ГАУК Г. МОСКВЫ "САД КИО ИМ. Н. Э. БАУМАНА"</v>
      </c>
      <c r="B1353" s="24" t="s">
        <v>2693</v>
      </c>
      <c r="C1353" s="25">
        <v>33679.800000000003</v>
      </c>
      <c r="D1353" s="22" t="s">
        <v>2694</v>
      </c>
      <c r="E1353" s="22" t="s">
        <v>52</v>
      </c>
      <c r="F1353" s="23" t="str">
        <f>HYPERLINK("https://www.spark-marketing.ru/Card/Lot/73974578", "Право заключения договора на осуществление торговой деятельности (оказание услуг) в нестационарном торговом объекте «Киоск» по адресу: г. Москва, ул. Старая Басманная, ул. Новая Басманная, вл. 15, «Сад им. Баумана», слева от входа в парк со стороны у...")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ул. Старая Басманная, ул. Новая Басманная, вл. 15, «Сад им. Баумана», слева от входа в парк со стороны у...</v>
      </c>
      <c r="G1353" s="22" t="s">
        <v>56</v>
      </c>
      <c r="H1353" s="22" t="s">
        <v>56</v>
      </c>
      <c r="I1353" s="26">
        <v>43736</v>
      </c>
      <c r="J1353" s="28" t="s">
        <v>51</v>
      </c>
      <c r="K1353" s="28" t="s">
        <v>51</v>
      </c>
      <c r="L1353" s="28" t="s">
        <v>51</v>
      </c>
      <c r="M1353" s="28" t="s">
        <v>51</v>
      </c>
      <c r="N1353" s="28" t="s">
        <v>51</v>
      </c>
    </row>
    <row r="1354" spans="1:14" x14ac:dyDescent="0.15">
      <c r="A1354" s="23" t="str">
        <f>HYPERLINK("https://www.spark-marketing.ru/Card/Person/689750", "ГАУК Г. МОСКВЫ ""ПОКЛОННАЯ ГОРА""")</f>
        <v>ГАУК Г. МОСКВЫ "ПОКЛОННАЯ ГОРА"</v>
      </c>
      <c r="B1354" s="24" t="s">
        <v>2687</v>
      </c>
      <c r="C1354" s="25">
        <v>75600</v>
      </c>
      <c r="D1354" s="22" t="s">
        <v>2695</v>
      </c>
      <c r="E1354" s="22" t="s">
        <v>52</v>
      </c>
      <c r="F1354" s="23" t="str">
        <f>HYPERLINK("https://www.spark-marketing.ru/Card/Lot/73974573", "Право заключения договора на осуществление торговой деятельности (оказание услуг) в нестационарном торговом объекте «Павильон» по адресу: г. Москва, Поклонная гора, з/у.1 (территория ГАУК г. Москвы ""Поклонная гора"") (НТО 161) специализация «Обществ...")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Поклонная гора, з/у.1 (территория ГАУК г. Москвы "Поклонная гора") (НТО 161) специализация «Обществ...</v>
      </c>
      <c r="G1354" s="22" t="s">
        <v>56</v>
      </c>
      <c r="H1354" s="22" t="s">
        <v>56</v>
      </c>
      <c r="I1354" s="26">
        <v>43736</v>
      </c>
      <c r="J1354" s="28" t="s">
        <v>51</v>
      </c>
      <c r="K1354" s="28" t="s">
        <v>51</v>
      </c>
      <c r="L1354" s="28" t="s">
        <v>51</v>
      </c>
      <c r="M1354" s="28" t="s">
        <v>51</v>
      </c>
      <c r="N1354" s="28" t="s">
        <v>51</v>
      </c>
    </row>
    <row r="1355" spans="1:14" x14ac:dyDescent="0.15">
      <c r="A1355" s="23" t="str">
        <f>HYPERLINK("https://www.spark-marketing.ru/Card/Person/689750", "ГАУК Г. МОСКВЫ ""ПОКЛОННАЯ ГОРА""")</f>
        <v>ГАУК Г. МОСКВЫ "ПОКЛОННАЯ ГОРА"</v>
      </c>
      <c r="B1355" s="24" t="s">
        <v>2687</v>
      </c>
      <c r="C1355" s="25">
        <v>75600</v>
      </c>
      <c r="D1355" s="22" t="s">
        <v>2696</v>
      </c>
      <c r="E1355" s="22" t="s">
        <v>52</v>
      </c>
      <c r="F1355" s="23" t="str">
        <f>HYPERLINK("https://www.spark-marketing.ru/Card/Lot/73974571", "Право заключения договора на осуществление торговой деятельности (оказание услуг) в нестационарном торговом объекте «Павильон» по адресу: г. Москва, Поклонная гора, з/у.1 (территория ГАУК г. Москвы ""Поклонная гора"") (НТО 96) специализация «Обществе...")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Поклонная гора, з/у.1 (территория ГАУК г. Москвы "Поклонная гора") (НТО 96) специализация «Обществе...</v>
      </c>
      <c r="G1355" s="22" t="s">
        <v>56</v>
      </c>
      <c r="H1355" s="22" t="s">
        <v>56</v>
      </c>
      <c r="I1355" s="26">
        <v>43736</v>
      </c>
      <c r="J1355" s="28" t="s">
        <v>51</v>
      </c>
      <c r="K1355" s="28" t="s">
        <v>51</v>
      </c>
      <c r="L1355" s="28" t="s">
        <v>51</v>
      </c>
      <c r="M1355" s="28" t="s">
        <v>51</v>
      </c>
      <c r="N1355" s="28" t="s">
        <v>51</v>
      </c>
    </row>
    <row r="1356" spans="1:14" x14ac:dyDescent="0.15">
      <c r="A1356" s="23" t="str">
        <f>HYPERLINK("https://www.spark-marketing.ru/Card/Person/4413858", "ГАУК Г. МОСКВЫ ""МПК ""СЕВЕРНОЕ ТУШИНО""")</f>
        <v>ГАУК Г. МОСКВЫ "МПК "СЕВЕРНОЕ ТУШИНО"</v>
      </c>
      <c r="B1356" s="24" t="s">
        <v>2689</v>
      </c>
      <c r="C1356" s="25">
        <v>42000</v>
      </c>
      <c r="D1356" s="22" t="s">
        <v>2697</v>
      </c>
      <c r="E1356" s="22" t="s">
        <v>52</v>
      </c>
      <c r="F1356" s="23" t="str">
        <f>HYPERLINK("https://www.spark-marketing.ru/Card/Lot/73974576", "Право заключения договора на осуществление торговой деятельности (оказание услуг) в нестационарном торговом объекте «Павильон» по адресу: г. Москва, ГАУК г. Москвы «МПК» Северное Тушино» (парк между каналом им. Москвы и Левобережной улицей), ул. Лево...")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ГАУК г. Москвы «МПК» Северное Тушино» (парк между каналом им. Москвы и Левобережной улицей), ул. Лево...</v>
      </c>
      <c r="G1356" s="22" t="s">
        <v>56</v>
      </c>
      <c r="H1356" s="22" t="s">
        <v>56</v>
      </c>
      <c r="I1356" s="26">
        <v>43736</v>
      </c>
      <c r="J1356" s="28" t="s">
        <v>51</v>
      </c>
      <c r="K1356" s="28" t="s">
        <v>51</v>
      </c>
      <c r="L1356" s="28" t="s">
        <v>51</v>
      </c>
      <c r="M1356" s="28" t="s">
        <v>51</v>
      </c>
      <c r="N1356" s="28" t="s">
        <v>51</v>
      </c>
    </row>
    <row r="1357" spans="1:14" x14ac:dyDescent="0.15">
      <c r="A1357" s="23" t="str">
        <f>HYPERLINK("https://www.spark-marketing.ru/Card/Person/1660862", "ГАУК Г. МОСКВЫ ""САД КИО ИМ. Н. Э. БАУМАНА""")</f>
        <v>ГАУК Г. МОСКВЫ "САД КИО ИМ. Н. Э. БАУМАНА"</v>
      </c>
      <c r="B1357" s="24" t="s">
        <v>2693</v>
      </c>
      <c r="C1357" s="25">
        <v>46777.5</v>
      </c>
      <c r="D1357" s="22" t="s">
        <v>2698</v>
      </c>
      <c r="E1357" s="22" t="s">
        <v>52</v>
      </c>
      <c r="F1357" s="23" t="str">
        <f>HYPERLINK("https://www.spark-marketing.ru/Card/Lot/73974560", "Право заключения договора на осуществление торговой деятельности (оказание услуг) в нестационарном торговом объекте «Павильон» по адресу: г. Москва, «Сад культуры и отдыха им. Н.Э. Баумана», слева от входа в парк со стороны ул. Старая Басманная (НТО 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«Сад культуры и отдыха им. Н.Э. Баумана», слева от входа в парк со стороны ул. Старая Басманная (НТО ...</v>
      </c>
      <c r="G1357" s="22" t="s">
        <v>56</v>
      </c>
      <c r="H1357" s="22" t="s">
        <v>56</v>
      </c>
      <c r="I1357" s="26">
        <v>43736</v>
      </c>
      <c r="J1357" s="28" t="s">
        <v>51</v>
      </c>
      <c r="K1357" s="28" t="s">
        <v>51</v>
      </c>
      <c r="L1357" s="28" t="s">
        <v>51</v>
      </c>
      <c r="M1357" s="28" t="s">
        <v>51</v>
      </c>
      <c r="N1357" s="28" t="s">
        <v>51</v>
      </c>
    </row>
    <row r="1358" spans="1:14" x14ac:dyDescent="0.15">
      <c r="A1358" s="23" t="str">
        <f>HYPERLINK("https://www.spark-marketing.ru/Card/Person/1659453", "ГАУК Г. МОСКВЫ ПКИО ""КРАСНАЯ ПРЕСНЯ""")</f>
        <v>ГАУК Г. МОСКВЫ ПКИО "КРАСНАЯ ПРЕСНЯ"</v>
      </c>
      <c r="B1358" s="24" t="s">
        <v>2678</v>
      </c>
      <c r="C1358" s="25">
        <v>124740</v>
      </c>
      <c r="D1358" s="22" t="s">
        <v>2699</v>
      </c>
      <c r="E1358" s="22" t="s">
        <v>52</v>
      </c>
      <c r="F1358" s="23" t="str">
        <f>HYPERLINK("https://www.spark-marketing.ru/Card/Lot/73974562",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Мантулинская, 5с2,Зона центральной аллеи (основная территория ГАУК г. Москвы ПКиО «Красная Пресня...")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Мантулинская, 5с2,Зона центральной аллеи (основная территория ГАУК г. Москвы ПКиО «Красная Пресня...</v>
      </c>
      <c r="G1358" s="22" t="s">
        <v>56</v>
      </c>
      <c r="H1358" s="22" t="s">
        <v>56</v>
      </c>
      <c r="I1358" s="26">
        <v>43736</v>
      </c>
      <c r="J1358" s="28" t="s">
        <v>51</v>
      </c>
      <c r="K1358" s="28" t="s">
        <v>51</v>
      </c>
      <c r="L1358" s="28" t="s">
        <v>51</v>
      </c>
      <c r="M1358" s="28" t="s">
        <v>51</v>
      </c>
      <c r="N1358" s="28" t="s">
        <v>51</v>
      </c>
    </row>
    <row r="1359" spans="1:14" x14ac:dyDescent="0.15">
      <c r="A1359" s="23" t="str">
        <f>HYPERLINK("https://www.spark-marketing.ru/Card/Person/62388", "ГБУ ЯНАО ""ЦЕНТР ""ДОМАШНИЙ ОЧАГ"" В МО НАДЫМСКИЙ Р-Н""")</f>
        <v>ГБУ ЯНАО "ЦЕНТР "ДОМАШНИЙ ОЧАГ" В МО НАДЫМСКИЙ Р-Н"</v>
      </c>
      <c r="B1359" s="24" t="s">
        <v>2700</v>
      </c>
      <c r="C1359" s="25">
        <v>800000</v>
      </c>
      <c r="D1359" s="22" t="s">
        <v>2701</v>
      </c>
      <c r="E1359" s="22" t="s">
        <v>48</v>
      </c>
      <c r="F1359" s="23" t="str">
        <f>HYPERLINK("https://www.spark-marketing.ru/Card/Lot/73966262", "Оказание услуг по организации питания несовершеннолетних")</f>
        <v>Оказание услуг по организации питания несовершеннолетних</v>
      </c>
      <c r="G1359" s="22" t="s">
        <v>1056</v>
      </c>
      <c r="H1359" s="22" t="s">
        <v>2702</v>
      </c>
      <c r="I1359" s="26">
        <v>43735.764895833301</v>
      </c>
      <c r="J1359" s="23" t="str">
        <f>HYPERLINK("https://www.spark-marketing.ru/Card/Person/124407", "Глушкова Рузиля Рашитовна")</f>
        <v>Глушкова Рузиля Рашитовна</v>
      </c>
      <c r="K1359" s="24" t="s">
        <v>2703</v>
      </c>
      <c r="L1359" s="22" t="s">
        <v>10</v>
      </c>
      <c r="M1359" s="28" t="s">
        <v>51</v>
      </c>
      <c r="N1359" s="28" t="s">
        <v>51</v>
      </c>
    </row>
    <row r="1360" spans="1:14" x14ac:dyDescent="0.15">
      <c r="A1360" s="23" t="str">
        <f>HYPERLINK("https://www.spark-marketing.ru/Card/Person/171778", "ОТДЕЛ МВД РОССИИ ПО КАНЕВСКОМУ РАЙОНУ")</f>
        <v>ОТДЕЛ МВД РОССИИ ПО КАНЕВСКОМУ РАЙОНУ</v>
      </c>
      <c r="B1360" s="24" t="s">
        <v>2704</v>
      </c>
      <c r="C1360" s="25">
        <v>1625000</v>
      </c>
      <c r="D1360" s="22" t="s">
        <v>2705</v>
      </c>
      <c r="E1360" s="22" t="s">
        <v>96</v>
      </c>
      <c r="F1360" s="23" t="str">
        <f>HYPERLINK("https://www.spark-marketing.ru/Card/Lot/73966421", "обеспечение ежедневным трехразовым, горячим питанием лиц, содержащихся в ИВС ПиО, в спецприемнике, в КСЗЛ дежурной части Отдела МВД России по Каневскому району")</f>
        <v>обеспечение ежедневным трехразовым, горячим питанием лиц, содержащихся в ИВС ПиО, в спецприемнике, в КСЗЛ дежурной части Отдела МВД России по Каневскому району</v>
      </c>
      <c r="G1360" s="22" t="s">
        <v>104</v>
      </c>
      <c r="H1360" s="22" t="s">
        <v>2706</v>
      </c>
      <c r="I1360" s="26">
        <v>43735.7246296296</v>
      </c>
      <c r="J1360" s="23" t="str">
        <f>HYPERLINK("https://www.spark-marketing.ru/Card/Person/79336", "ООО ""ТД КАЛОРИЯ""")</f>
        <v>ООО "ТД КАЛОРИЯ"</v>
      </c>
      <c r="K1360" s="24" t="s">
        <v>2707</v>
      </c>
      <c r="L1360" s="22" t="s">
        <v>10</v>
      </c>
      <c r="M1360" s="28" t="s">
        <v>51</v>
      </c>
      <c r="N1360" s="28" t="s">
        <v>51</v>
      </c>
    </row>
    <row r="1361" spans="1:14" x14ac:dyDescent="0.15">
      <c r="A1361" s="23" t="str">
        <f>HYPERLINK("https://www.spark-marketing.ru/Card/Person/539393", "ОМВД РОССИИ ПО ХОЛМСКОМУ ГОРОДСКОМУ ОКРУГУ")</f>
        <v>ОМВД РОССИИ ПО ХОЛМСКОМУ ГОРОДСКОМУ ОКРУГУ</v>
      </c>
      <c r="B1361" s="24" t="s">
        <v>2708</v>
      </c>
      <c r="C1361" s="25">
        <v>554400</v>
      </c>
      <c r="D1361" s="22" t="s">
        <v>2709</v>
      </c>
      <c r="E1361" s="22" t="s">
        <v>48</v>
      </c>
      <c r="F1361" s="23" t="str">
        <f>HYPERLINK("https://www.spark-marketing.ru/Card/Lot/73965025", "Оказание услуг по организации трехразового горячего питания спецконтингента")</f>
        <v>Оказание услуг по организации трехразового горячего питания спецконтингента</v>
      </c>
      <c r="G1361" s="22" t="s">
        <v>260</v>
      </c>
      <c r="H1361" s="22" t="s">
        <v>2710</v>
      </c>
      <c r="I1361" s="26">
        <v>43735.711423611101</v>
      </c>
      <c r="J1361" s="23" t="str">
        <f>HYPERLINK("https://www.spark-marketing.ru/Card/Person/540001", "ООО ""ОБЩЕПИТ""")</f>
        <v>ООО "ОБЩЕПИТ"</v>
      </c>
      <c r="K1361" s="24" t="s">
        <v>2711</v>
      </c>
      <c r="L1361" s="22" t="s">
        <v>10</v>
      </c>
      <c r="M1361" s="28" t="s">
        <v>51</v>
      </c>
      <c r="N1361" s="28" t="s">
        <v>51</v>
      </c>
    </row>
    <row r="1362" spans="1:14" x14ac:dyDescent="0.15">
      <c r="A1362" s="23" t="str">
        <f>HYPERLINK("https://www.spark-marketing.ru/Card/Person/1007928", "ФКУ ""ЦУКС ГУ МЧС РОССИИ ПО ОРЕНБУРГСКОЙ ОБЛАСТИ""")</f>
        <v>ФКУ "ЦУКС ГУ МЧС РОССИИ ПО ОРЕНБУРГСКОЙ ОБЛАСТИ"</v>
      </c>
      <c r="B1362" s="24" t="s">
        <v>2712</v>
      </c>
      <c r="C1362" s="25">
        <v>573150</v>
      </c>
      <c r="D1362" s="22" t="s">
        <v>2713</v>
      </c>
      <c r="E1362" s="22" t="s">
        <v>48</v>
      </c>
      <c r="F1362" s="23" t="str">
        <f>HYPERLINK("https://www.spark-marketing.ru/Card/Lot/73969521", "Оказание услуг по организации питания")</f>
        <v>Оказание услуг по организации питания</v>
      </c>
      <c r="G1362" s="22" t="s">
        <v>132</v>
      </c>
      <c r="H1362" s="22" t="s">
        <v>587</v>
      </c>
      <c r="I1362" s="26">
        <v>43735.7171296296</v>
      </c>
      <c r="J1362" s="28" t="s">
        <v>51</v>
      </c>
      <c r="K1362" s="28" t="s">
        <v>51</v>
      </c>
      <c r="L1362" s="28" t="s">
        <v>51</v>
      </c>
      <c r="M1362" s="28" t="s">
        <v>51</v>
      </c>
      <c r="N1362" s="28" t="s">
        <v>51</v>
      </c>
    </row>
    <row r="1363" spans="1:14" hidden="1" outlineLevel="1" x14ac:dyDescent="0.2">
      <c r="A1363" s="23" t="str">
        <f>HYPERLINK("https://www.spark-marketing.ru/Card/Person/1007928", "ФКУ ""ЦУКС ГУ МЧС РОССИИ ПО ОРЕНБУРГСКОЙ ОБЛАСТИ""")</f>
        <v>ФКУ "ЦУКС ГУ МЧС РОССИИ ПО ОРЕНБУРГСКОЙ ОБЛАСТИ"</v>
      </c>
      <c r="B1363" s="24" t="s">
        <v>2712</v>
      </c>
      <c r="C1363" s="28" t="s">
        <v>51</v>
      </c>
      <c r="D1363" s="22" t="s">
        <v>2713</v>
      </c>
      <c r="E1363" s="22" t="s">
        <v>48</v>
      </c>
      <c r="F1363" s="23" t="str">
        <f>HYPERLINK("https://www.spark-marketing.ru/Card/Lot/73969521", "Оказание услуг по организации питания")</f>
        <v>Оказание услуг по организации питания</v>
      </c>
      <c r="G1363" s="22" t="s">
        <v>132</v>
      </c>
      <c r="H1363" s="22" t="s">
        <v>587</v>
      </c>
      <c r="I1363" s="26">
        <v>43735.7171296296</v>
      </c>
      <c r="J1363" s="23" t="str">
        <f>HYPERLINK("https://www.spark-marketing.ru/Card/Person/415003", "ООО ""ПИТАНИЕ""")</f>
        <v>ООО "ПИТАНИЕ"</v>
      </c>
      <c r="K1363" s="24" t="s">
        <v>2714</v>
      </c>
      <c r="L1363" s="22" t="s">
        <v>10</v>
      </c>
      <c r="M1363" s="25">
        <v>475714.5</v>
      </c>
      <c r="N1363" s="27">
        <v>0.17</v>
      </c>
    </row>
    <row r="1364" spans="1:14" hidden="1" outlineLevel="1" x14ac:dyDescent="0.2">
      <c r="A1364" s="23" t="str">
        <f>HYPERLINK("https://www.spark-marketing.ru/Card/Person/1007928", "ФКУ ""ЦУКС ГУ МЧС РОССИИ ПО ОРЕНБУРГСКОЙ ОБЛАСТИ""")</f>
        <v>ФКУ "ЦУКС ГУ МЧС РОССИИ ПО ОРЕНБУРГСКОЙ ОБЛАСТИ"</v>
      </c>
      <c r="B1364" s="24" t="s">
        <v>2712</v>
      </c>
      <c r="C1364" s="28" t="s">
        <v>51</v>
      </c>
      <c r="D1364" s="22" t="s">
        <v>2713</v>
      </c>
      <c r="E1364" s="22" t="s">
        <v>48</v>
      </c>
      <c r="F1364" s="23" t="str">
        <f>HYPERLINK("https://www.spark-marketing.ru/Card/Lot/73969521", "Оказание услуг по организации питания")</f>
        <v>Оказание услуг по организации питания</v>
      </c>
      <c r="G1364" s="22" t="s">
        <v>132</v>
      </c>
      <c r="H1364" s="22" t="s">
        <v>587</v>
      </c>
      <c r="I1364" s="26">
        <v>43735.7171296296</v>
      </c>
      <c r="J1364" s="23" t="str">
        <f>HYPERLINK("https://www.spark-marketing.ru/Card/Person/2395558", "ООО ""РЕСТОРИЯ""")</f>
        <v>ООО "РЕСТОРИЯ"</v>
      </c>
      <c r="K1364" s="24" t="s">
        <v>2093</v>
      </c>
      <c r="L1364" s="28" t="s">
        <v>51</v>
      </c>
      <c r="M1364" s="25">
        <v>478580.25</v>
      </c>
      <c r="N1364" s="27">
        <v>0.16500000000000001</v>
      </c>
    </row>
    <row r="1365" spans="1:14" x14ac:dyDescent="0.15">
      <c r="A1365" s="23" t="str">
        <f>HYPERLINK("https://www.spark-marketing.ru/Card/Person/106260", "ОТД МВД РОССИИ ПО ОКТЯБРЬСКОМУ РАЙОНУ")</f>
        <v>ОТД МВД РОССИИ ПО ОКТЯБРЬСКОМУ РАЙОНУ</v>
      </c>
      <c r="B1365" s="24" t="s">
        <v>2715</v>
      </c>
      <c r="C1365" s="25">
        <v>95767</v>
      </c>
      <c r="D1365" s="22" t="s">
        <v>2716</v>
      </c>
      <c r="E1365" s="22" t="s">
        <v>48</v>
      </c>
      <c r="F1365" s="23" t="str">
        <f>HYPERLINK("https://www.spark-marketing.ru/Card/Lot/73956320", "Оказание услуг по питанию граждан содержищихся в ИВС и СПСЗЛ, 1 усл. ед")</f>
        <v>Оказание услуг по питанию граждан содержищихся в ИВС и СПСЗЛ, 1 усл. ед</v>
      </c>
      <c r="G1365" s="22" t="s">
        <v>132</v>
      </c>
      <c r="H1365" s="22" t="s">
        <v>465</v>
      </c>
      <c r="I1365" s="26">
        <v>43735.721678240698</v>
      </c>
      <c r="J1365" s="28" t="s">
        <v>51</v>
      </c>
      <c r="K1365" s="28" t="s">
        <v>51</v>
      </c>
      <c r="L1365" s="28" t="s">
        <v>51</v>
      </c>
      <c r="M1365" s="28" t="s">
        <v>51</v>
      </c>
      <c r="N1365" s="28" t="s">
        <v>51</v>
      </c>
    </row>
    <row r="1366" spans="1:14" x14ac:dyDescent="0.15">
      <c r="A1366" s="23" t="str">
        <f>HYPERLINK("https://www.spark-marketing.ru/Card/Person/4348091", "ОГБПОУ ""ТОМСКИЙ ТЕХНИКУМ ИНФОРМАЦИОННЫХ ТЕХНОЛОГИЙ"", ОГБПОУ ""ТТИТ""")</f>
        <v>ОГБПОУ "ТОМСКИЙ ТЕХНИКУМ ИНФОРМАЦИОННЫХ ТЕХНОЛОГИЙ", ОГБПОУ "ТТИТ"</v>
      </c>
      <c r="B1366" s="24" t="s">
        <v>2717</v>
      </c>
      <c r="C1366" s="25">
        <v>508660</v>
      </c>
      <c r="D1366" s="22" t="s">
        <v>2718</v>
      </c>
      <c r="E1366" s="22" t="s">
        <v>2719</v>
      </c>
      <c r="F1366" s="23" t="str">
        <f>HYPERLINK("https://www.spark-marketing.ru/Card/Lot/73972994", "Поставка источников бесперебойного питания и телекоммуникационных шкафов с оказанием услуг по монтажу, установке в рамках реализации мероприятия «Разработка и распространение в системе среднего профессионального образования новых образовательных техн...")</f>
        <v>Поставка источников бесперебойного питания и телекоммуникационных шкафов с оказанием услуг по монтажу, установке в рамках реализации мероприятия «Разработка и распространение в системе среднего профессионального образования новых образовательных техн...</v>
      </c>
      <c r="G1366" s="22" t="s">
        <v>149</v>
      </c>
      <c r="H1366" s="22" t="s">
        <v>496</v>
      </c>
      <c r="I1366" s="26">
        <v>43735.7182523148</v>
      </c>
      <c r="J1366" s="28" t="s">
        <v>51</v>
      </c>
      <c r="K1366" s="28" t="s">
        <v>51</v>
      </c>
      <c r="L1366" s="28" t="s">
        <v>51</v>
      </c>
      <c r="M1366" s="28" t="s">
        <v>51</v>
      </c>
      <c r="N1366" s="28" t="s">
        <v>51</v>
      </c>
    </row>
    <row r="1367" spans="1:14" ht="12.75" hidden="1" outlineLevel="1" x14ac:dyDescent="0.2">
      <c r="A1367" s="23" t="str">
        <f>HYPERLINK("https://www.spark-marketing.ru/Card/Person/4348091", "ОГБПОУ ""ТОМСКИЙ ТЕХНИКУМ ИНФОРМАЦИОННЫХ ТЕХНОЛОГИЙ"", ОГБПОУ ""ТТИТ""")</f>
        <v>ОГБПОУ "ТОМСКИЙ ТЕХНИКУМ ИНФОРМАЦИОННЫХ ТЕХНОЛОГИЙ", ОГБПОУ "ТТИТ"</v>
      </c>
      <c r="B1367" s="24" t="s">
        <v>2717</v>
      </c>
      <c r="C1367" s="25">
        <v>508660</v>
      </c>
      <c r="D1367" s="22" t="s">
        <v>2718</v>
      </c>
      <c r="E1367" s="22" t="s">
        <v>2719</v>
      </c>
      <c r="F1367" s="23" t="str">
        <f>HYPERLINK("https://www.spark-marketing.ru/Card/Lot/73972994", "Поставка источников бесперебойного питания и телекоммуникационных шкафов с оказанием услуг по монтажу, установке в рамках реализации мероприятия «Разработка и распространение в системе среднего профессионального образования новых образовательных техн...")</f>
        <v>Поставка источников бесперебойного питания и телекоммуникационных шкафов с оказанием услуг по монтажу, установке в рамках реализации мероприятия «Разработка и распространение в системе среднего профессионального образования новых образовательных техн...</v>
      </c>
      <c r="G1367" s="22" t="s">
        <v>149</v>
      </c>
      <c r="H1367" s="22" t="s">
        <v>496</v>
      </c>
      <c r="I1367" s="26">
        <v>43735.7182523148</v>
      </c>
      <c r="J1367" s="23" t="str">
        <f>HYPERLINK("https://www.spark-marketing.ru/Card/Person/6455366", "ООО ""АЙТИ АЛЬФА""")</f>
        <v>ООО "АЙТИ АЛЬФА"</v>
      </c>
      <c r="K1367" s="24" t="s">
        <v>2720</v>
      </c>
      <c r="L1367" s="22" t="s">
        <v>10</v>
      </c>
      <c r="M1367" s="25">
        <v>506116.7</v>
      </c>
      <c r="N1367" s="27">
        <v>5.0000000000000001E-3</v>
      </c>
    </row>
    <row r="1368" spans="1:14" hidden="1" outlineLevel="1" x14ac:dyDescent="0.2">
      <c r="A1368" s="23" t="str">
        <f>HYPERLINK("https://www.spark-marketing.ru/Card/Person/4348091", "ОГБПОУ ""ТОМСКИЙ ТЕХНИКУМ ИНФОРМАЦИОННЫХ ТЕХНОЛОГИЙ"", ОГБПОУ ""ТТИТ""")</f>
        <v>ОГБПОУ "ТОМСКИЙ ТЕХНИКУМ ИНФОРМАЦИОННЫХ ТЕХНОЛОГИЙ", ОГБПОУ "ТТИТ"</v>
      </c>
      <c r="B1368" s="24" t="s">
        <v>2717</v>
      </c>
      <c r="C1368" s="25">
        <v>508660</v>
      </c>
      <c r="D1368" s="22" t="s">
        <v>2718</v>
      </c>
      <c r="E1368" s="22" t="s">
        <v>2719</v>
      </c>
      <c r="F1368" s="23" t="str">
        <f>HYPERLINK("https://www.spark-marketing.ru/Card/Lot/73972994", "Поставка источников бесперебойного питания и телекоммуникационных шкафов с оказанием услуг по монтажу, установке в рамках реализации мероприятия «Разработка и распространение в системе среднего профессионального образования новых образовательных техн...")</f>
        <v>Поставка источников бесперебойного питания и телекоммуникационных шкафов с оказанием услуг по монтажу, установке в рамках реализации мероприятия «Разработка и распространение в системе среднего профессионального образования новых образовательных техн...</v>
      </c>
      <c r="G1368" s="22" t="s">
        <v>149</v>
      </c>
      <c r="H1368" s="22" t="s">
        <v>496</v>
      </c>
      <c r="I1368" s="26">
        <v>43735.7182523148</v>
      </c>
      <c r="J1368" s="23" t="str">
        <f>HYPERLINK("https://www.spark-marketing.ru/Card/Person/210759", "ООО ""ДЕМАР-ЦЕНТР""")</f>
        <v>ООО "ДЕМАР-ЦЕНТР"</v>
      </c>
      <c r="K1368" s="24" t="s">
        <v>2721</v>
      </c>
      <c r="L1368" s="28" t="s">
        <v>51</v>
      </c>
      <c r="M1368" s="25">
        <v>508659.99</v>
      </c>
      <c r="N1368" s="27">
        <v>1.9659497503243818E-8</v>
      </c>
    </row>
    <row r="1369" spans="1:14" x14ac:dyDescent="0.15">
      <c r="A1369" s="23" t="str">
        <f>HYPERLINK("https://www.spark-marketing.ru/Card/Person/259820", "МО МВД РОССИИ ""КРАСНОХОЛМСКИЙ""")</f>
        <v>МО МВД РОССИИ "КРАСНОХОЛМСКИЙ"</v>
      </c>
      <c r="B1369" s="24" t="s">
        <v>2722</v>
      </c>
      <c r="C1369" s="25">
        <v>50000</v>
      </c>
      <c r="D1369" s="22" t="s">
        <v>2723</v>
      </c>
      <c r="E1369" s="22" t="s">
        <v>96</v>
      </c>
      <c r="F1369" s="23" t="str">
        <f>HYPERLINK("https://www.spark-marketing.ru/Card/Lot/73957050", "оказание услуг по организации питания, 185 шт")</f>
        <v>оказание услуг по организации питания, 185 шт</v>
      </c>
      <c r="G1369" s="22" t="s">
        <v>137</v>
      </c>
      <c r="H1369" s="22" t="s">
        <v>2724</v>
      </c>
      <c r="I1369" s="26">
        <v>43735.714027777802</v>
      </c>
      <c r="J1369" s="28" t="s">
        <v>51</v>
      </c>
      <c r="K1369" s="28" t="s">
        <v>51</v>
      </c>
      <c r="L1369" s="28" t="s">
        <v>51</v>
      </c>
      <c r="M1369" s="28" t="s">
        <v>51</v>
      </c>
      <c r="N1369" s="28" t="s">
        <v>51</v>
      </c>
    </row>
    <row r="1370" spans="1:14" x14ac:dyDescent="0.15">
      <c r="A1370" s="23" t="str">
        <f>HYPERLINK("https://www.spark-marketing.ru/Card/Person/104435", "МБОУ ""СОШ №2""")</f>
        <v>МБОУ "СОШ №2"</v>
      </c>
      <c r="B1370" s="24" t="s">
        <v>2725</v>
      </c>
      <c r="C1370" s="25">
        <v>6508992</v>
      </c>
      <c r="D1370" s="22" t="s">
        <v>2726</v>
      </c>
      <c r="E1370" s="22" t="s">
        <v>48</v>
      </c>
      <c r="F1370" s="23" t="str">
        <f>HYPERLINK("https://www.spark-marketing.ru/Card/Lot/73967410", "Оказание услуг по организации питания для обучающихся общеобразовательного учреждения")</f>
        <v>Оказание услуг по организации питания для обучающихся общеобразовательного учреждения</v>
      </c>
      <c r="G1370" s="22" t="s">
        <v>49</v>
      </c>
      <c r="H1370" s="22" t="s">
        <v>1131</v>
      </c>
      <c r="I1370" s="26">
        <v>43735.727488425902</v>
      </c>
      <c r="J1370" s="28" t="s">
        <v>51</v>
      </c>
      <c r="K1370" s="28" t="s">
        <v>51</v>
      </c>
      <c r="L1370" s="28" t="s">
        <v>51</v>
      </c>
      <c r="M1370" s="28" t="s">
        <v>51</v>
      </c>
      <c r="N1370" s="28" t="s">
        <v>51</v>
      </c>
    </row>
    <row r="1371" spans="1:14" x14ac:dyDescent="0.15">
      <c r="A1371" s="23" t="str">
        <f>HYPERLINK("https://www.spark-marketing.ru/Card/Person/6086", "ГКУ ""ДИРЕКЦИЯ ОДОТСЗН Г. МОСКВЫ""")</f>
        <v>ГКУ "ДИРЕКЦИЯ ОДОТСЗН Г. МОСКВЫ"</v>
      </c>
      <c r="B1371" s="24" t="s">
        <v>164</v>
      </c>
      <c r="C1371" s="25">
        <v>12756484.800000001</v>
      </c>
      <c r="D1371" s="22" t="s">
        <v>2727</v>
      </c>
      <c r="E1371" s="22" t="s">
        <v>86</v>
      </c>
      <c r="F1371" s="23" t="str">
        <f>HYPERLINK("https://www.spark-marketing.ru/Card/Lot/73763915", "Оказание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болезни эндокринной системы, расстройства питания и нарушения обм...")</f>
        <v>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болезни эндокринной системы, расстройства питания и нарушения обм...</v>
      </c>
      <c r="G1371" s="22" t="s">
        <v>56</v>
      </c>
      <c r="H1371" s="22" t="s">
        <v>56</v>
      </c>
      <c r="I1371" s="26">
        <v>43728.462500000001</v>
      </c>
      <c r="J1371" s="28" t="s">
        <v>51</v>
      </c>
      <c r="K1371" s="28" t="s">
        <v>51</v>
      </c>
      <c r="L1371" s="28" t="s">
        <v>51</v>
      </c>
      <c r="M1371" s="28" t="s">
        <v>51</v>
      </c>
      <c r="N1371" s="28" t="s">
        <v>51</v>
      </c>
    </row>
    <row r="1372" spans="1:14" x14ac:dyDescent="0.15">
      <c r="A1372" s="23" t="str">
        <f>HYPERLINK("https://www.spark-marketing.ru/Card/Person/104546", "МБОУ СОШ №5")</f>
        <v>МБОУ СОШ №5</v>
      </c>
      <c r="B1372" s="24" t="s">
        <v>2728</v>
      </c>
      <c r="C1372" s="25">
        <v>10103500</v>
      </c>
      <c r="D1372" s="22" t="s">
        <v>2729</v>
      </c>
      <c r="E1372" s="22" t="s">
        <v>48</v>
      </c>
      <c r="F1372" s="23" t="str">
        <f>HYPERLINK("https://www.spark-marketing.ru/Card/Lot/73967413", "Оказание услуг по организации питания для обучающихся общеобразовательного учреждения (2020-2021)")</f>
        <v>Оказание услуг по организации питания для обучающихся общеобразовательного учреждения (2020-2021)</v>
      </c>
      <c r="G1372" s="22" t="s">
        <v>49</v>
      </c>
      <c r="H1372" s="22" t="s">
        <v>1131</v>
      </c>
      <c r="I1372" s="26">
        <v>43735.731585648202</v>
      </c>
      <c r="J1372" s="28" t="s">
        <v>51</v>
      </c>
      <c r="K1372" s="28" t="s">
        <v>51</v>
      </c>
      <c r="L1372" s="28" t="s">
        <v>51</v>
      </c>
      <c r="M1372" s="28" t="s">
        <v>51</v>
      </c>
      <c r="N1372" s="28" t="s">
        <v>51</v>
      </c>
    </row>
    <row r="1373" spans="1:14" x14ac:dyDescent="0.15">
      <c r="A1373" s="23" t="str">
        <f>HYPERLINK("https://www.spark-marketing.ru/Card/Person/120059", "МЕЖМУНИЦИПАЛЬНЫЙ ОТДЕЛ МВД РОССИИ ""КЫШТЫМСКИЙ"" ЧЕЛЯБИНСКОЙ ОБЛАСТИ")</f>
        <v>МЕЖМУНИЦИПАЛЬНЫЙ ОТДЕЛ МВД РОССИИ "КЫШТЫМСКИЙ" ЧЕЛЯБИНСКОЙ ОБЛАСТИ</v>
      </c>
      <c r="B1373" s="24" t="s">
        <v>2730</v>
      </c>
      <c r="C1373" s="25">
        <v>1500000</v>
      </c>
      <c r="D1373" s="22" t="s">
        <v>2731</v>
      </c>
      <c r="E1373" s="22" t="s">
        <v>96</v>
      </c>
      <c r="F1373" s="23" t="str">
        <f>HYPERLINK("https://www.spark-marketing.ru/Card/Lot/73966959", "услуги по обеспечению горячим трёхразовым питанием лиц, содержащихся в ИВС")</f>
        <v>услуги по обеспечению горячим трёхразовым питанием лиц, содержащихся в ИВС</v>
      </c>
      <c r="G1373" s="22" t="s">
        <v>469</v>
      </c>
      <c r="H1373" s="22" t="s">
        <v>2732</v>
      </c>
      <c r="I1373" s="26">
        <v>43735.709467592598</v>
      </c>
      <c r="J1373" s="23" t="str">
        <f>HYPERLINK("https://www.spark-marketing.ru/Card/Person/870391", "ООО ""УРС""")</f>
        <v>ООО "УРС"</v>
      </c>
      <c r="K1373" s="24" t="s">
        <v>2733</v>
      </c>
      <c r="L1373" s="22" t="s">
        <v>10</v>
      </c>
      <c r="M1373" s="28" t="s">
        <v>51</v>
      </c>
      <c r="N1373" s="28" t="s">
        <v>51</v>
      </c>
    </row>
    <row r="1374" spans="1:14" x14ac:dyDescent="0.15">
      <c r="A1374" s="23" t="str">
        <f>HYPERLINK("https://www.spark-marketing.ru/Card/Person/255992", "ОМВД РОССИИ ПО КОРТКЕРОССКОМУ РАЙОНУ")</f>
        <v>ОМВД РОССИИ ПО КОРТКЕРОССКОМУ РАЙОНУ</v>
      </c>
      <c r="B1374" s="24" t="s">
        <v>2734</v>
      </c>
      <c r="C1374" s="25">
        <v>30000</v>
      </c>
      <c r="D1374" s="22" t="s">
        <v>2735</v>
      </c>
      <c r="E1374" s="22" t="s">
        <v>96</v>
      </c>
      <c r="F1374" s="23" t="str">
        <f>HYPERLINK("https://www.spark-marketing.ru/Card/Lot/73956772", "Оказание услуг по организации питания (приготовлению и доставке), 100 шт")</f>
        <v>Оказание услуг по организации питания (приготовлению и доставке), 100 шт</v>
      </c>
      <c r="G1374" s="22" t="s">
        <v>271</v>
      </c>
      <c r="H1374" s="22" t="s">
        <v>2736</v>
      </c>
      <c r="I1374" s="26">
        <v>43735.671493055597</v>
      </c>
      <c r="J1374" s="28" t="s">
        <v>51</v>
      </c>
      <c r="K1374" s="28" t="s">
        <v>51</v>
      </c>
      <c r="L1374" s="28" t="s">
        <v>51</v>
      </c>
      <c r="M1374" s="28" t="s">
        <v>51</v>
      </c>
      <c r="N1374" s="28" t="s">
        <v>51</v>
      </c>
    </row>
    <row r="1375" spans="1:14" x14ac:dyDescent="0.15">
      <c r="A1375" s="23" t="str">
        <f>HYPERLINK("https://www.spark-marketing.ru/Card/Person/10751", "ОБУЗ ""ГКБ №3 Г.ИВАНОВА""")</f>
        <v>ОБУЗ "ГКБ №3 Г.ИВАНОВА"</v>
      </c>
      <c r="B1375" s="24" t="s">
        <v>1951</v>
      </c>
      <c r="C1375" s="25">
        <v>19989928.75</v>
      </c>
      <c r="D1375" s="22" t="s">
        <v>2737</v>
      </c>
      <c r="E1375" s="22" t="s">
        <v>96</v>
      </c>
      <c r="F1375" s="23" t="str">
        <f>HYPERLINK("https://www.spark-marketing.ru/Card/Lot/73965062", "Оказание услуг по организации лечебного питания для ОБУЗ ""ГКБ №3 г.Иванова""")</f>
        <v>Оказание услуг по организации лечебного питания для ОБУЗ "ГКБ №3 г.Иванова"</v>
      </c>
      <c r="G1375" s="22" t="s">
        <v>1047</v>
      </c>
      <c r="H1375" s="22" t="s">
        <v>1953</v>
      </c>
      <c r="I1375" s="26">
        <v>43735.677233796298</v>
      </c>
      <c r="J1375" s="28" t="s">
        <v>51</v>
      </c>
      <c r="K1375" s="28" t="s">
        <v>51</v>
      </c>
      <c r="L1375" s="28" t="s">
        <v>51</v>
      </c>
      <c r="M1375" s="28" t="s">
        <v>51</v>
      </c>
      <c r="N1375" s="28" t="s">
        <v>51</v>
      </c>
    </row>
    <row r="1376" spans="1:14" x14ac:dyDescent="0.15">
      <c r="A1376" s="23" t="str">
        <f>HYPERLINK("https://www.spark-marketing.ru/Card/Person/131487", "МДОУ Д/С № 1 ""АЛЕНКА""")</f>
        <v>МДОУ Д/С № 1 "АЛЕНКА"</v>
      </c>
      <c r="B1376" s="24" t="s">
        <v>2738</v>
      </c>
      <c r="C1376" s="25">
        <v>11128826</v>
      </c>
      <c r="D1376" s="22" t="s">
        <v>2739</v>
      </c>
      <c r="E1376" s="22" t="s">
        <v>48</v>
      </c>
      <c r="F1376" s="23" t="str">
        <f>HYPERLINK("https://www.spark-marketing.ru/Card/Lot/73967603", "Оказание услуги по приготовлению и организации рационального горячего питания воспитанников МДОУ ДСКВ № 1 ""Аленка"" в 2020-2021 годах")</f>
        <v>Оказание услуги по приготовлению и организации рационального горячего питания воспитанников МДОУ ДСКВ № 1 "Аленка" в 2020-2021 годах</v>
      </c>
      <c r="G1376" s="22" t="s">
        <v>49</v>
      </c>
      <c r="H1376" s="22" t="s">
        <v>49</v>
      </c>
      <c r="I1376" s="26">
        <v>43735.684664351902</v>
      </c>
      <c r="J1376" s="28" t="s">
        <v>51</v>
      </c>
      <c r="K1376" s="28" t="s">
        <v>51</v>
      </c>
      <c r="L1376" s="28" t="s">
        <v>51</v>
      </c>
      <c r="M1376" s="28" t="s">
        <v>51</v>
      </c>
      <c r="N1376" s="28" t="s">
        <v>51</v>
      </c>
    </row>
    <row r="1377" spans="1:14" x14ac:dyDescent="0.15">
      <c r="A1377" s="23" t="str">
        <f>HYPERLINK("https://www.spark-marketing.ru/Card/Person/123625", "МДОУ ДСКВ №2 ""РОМАШКА""")</f>
        <v>МДОУ ДСКВ №2 "РОМАШКА"</v>
      </c>
      <c r="B1377" s="24" t="s">
        <v>2740</v>
      </c>
      <c r="C1377" s="25">
        <v>16285418</v>
      </c>
      <c r="D1377" s="22" t="s">
        <v>2741</v>
      </c>
      <c r="E1377" s="22" t="s">
        <v>48</v>
      </c>
      <c r="F1377" s="23" t="str">
        <f>HYPERLINK("https://www.spark-marketing.ru/Card/Lot/73967604", "Оказание услуги по приготовлению и организации рационального горячего питания воспитанников МДОУ ДСКВ № 2 ""Ромашка"" в 2020-2021 годах")</f>
        <v>Оказание услуги по приготовлению и организации рационального горячего питания воспитанников МДОУ ДСКВ № 2 "Ромашка" в 2020-2021 годах</v>
      </c>
      <c r="G1377" s="22" t="s">
        <v>49</v>
      </c>
      <c r="H1377" s="22" t="s">
        <v>49</v>
      </c>
      <c r="I1377" s="26">
        <v>43735.684687499997</v>
      </c>
      <c r="J1377" s="28" t="s">
        <v>51</v>
      </c>
      <c r="K1377" s="28" t="s">
        <v>51</v>
      </c>
      <c r="L1377" s="28" t="s">
        <v>51</v>
      </c>
      <c r="M1377" s="28" t="s">
        <v>51</v>
      </c>
      <c r="N1377" s="28" t="s">
        <v>51</v>
      </c>
    </row>
    <row r="1378" spans="1:14" ht="12.75" x14ac:dyDescent="0.2">
      <c r="A1378" s="23" t="str">
        <f>HYPERLINK("https://www.spark-marketing.ru/Card/Person/66401", "УМВД РОССИИ ПО КОЛОМЕНСКОМУ ГОРОДСКОМУ ОКРУГУ")</f>
        <v>УМВД РОССИИ ПО КОЛОМЕНСКОМУ ГОРОДСКОМУ ОКРУГУ</v>
      </c>
      <c r="B1378" s="24" t="s">
        <v>2742</v>
      </c>
      <c r="C1378" s="25">
        <v>405870</v>
      </c>
      <c r="D1378" s="22" t="s">
        <v>2743</v>
      </c>
      <c r="E1378" s="22" t="s">
        <v>96</v>
      </c>
      <c r="F1378" s="23" t="str">
        <f>HYPERLINK("https://www.spark-marketing.ru/Card/Lot/73967275", "Услуги по предоставлению питания лицам, содержащимся в ИВС Управления")</f>
        <v>Услуги по предоставлению питания лицам, содержащимся в ИВС Управления</v>
      </c>
      <c r="G1378" s="22" t="s">
        <v>49</v>
      </c>
      <c r="H1378" s="22" t="s">
        <v>180</v>
      </c>
      <c r="I1378" s="26">
        <v>43735.691909722198</v>
      </c>
      <c r="J1378" s="23" t="str">
        <f>HYPERLINK("https://www.spark-marketing.ru/Card/Person/2520469", "ООО ""ГРАНРИДЖ-ГРУП""")</f>
        <v>ООО "ГРАНРИДЖ-ГРУП"</v>
      </c>
      <c r="K1378" s="24" t="s">
        <v>2744</v>
      </c>
      <c r="L1378" s="22" t="s">
        <v>10</v>
      </c>
      <c r="M1378" s="25">
        <v>405870</v>
      </c>
      <c r="N1378" s="27">
        <v>0</v>
      </c>
    </row>
    <row r="1379" spans="1:14" x14ac:dyDescent="0.15">
      <c r="A1379" s="23" t="str">
        <f>HYPERLINK("https://www.spark-marketing.ru/Card/Person/4345931", "КОМИТЕТ ПО ЗДРАВООХРАНЕНИЮ")</f>
        <v>КОМИТЕТ ПО ЗДРАВООХРАНЕНИЮ</v>
      </c>
      <c r="B1379" s="24" t="s">
        <v>2745</v>
      </c>
      <c r="C1379" s="25">
        <v>12164060.33</v>
      </c>
      <c r="D1379" s="22" t="s">
        <v>2746</v>
      </c>
      <c r="E1379" s="22" t="s">
        <v>1153</v>
      </c>
      <c r="F1379" s="23" t="str">
        <f>HYPERLINK("https://www.spark-marketing.ru/Card/Lot/73963247", "Оказание услуги по обеспечению специализированными продуктами лечебного питания детей-инвалидов, страдающих муковисцидозом, в 2019 году")</f>
        <v>Оказание услуги по обеспечению специализированными продуктами лечебного питания детей-инвалидов, страдающих муковисцидозом, в 2019 году</v>
      </c>
      <c r="G1379" s="22" t="s">
        <v>117</v>
      </c>
      <c r="H1379" s="22" t="s">
        <v>117</v>
      </c>
      <c r="I1379" s="26">
        <v>43735.680821759299</v>
      </c>
      <c r="J1379" s="23" t="str">
        <f>HYPERLINK("https://www.spark-marketing.ru/Card/Person/63267", "ООО ""ТЕНДЕРФУД""")</f>
        <v>ООО "ТЕНДЕРФУД"</v>
      </c>
      <c r="K1379" s="24" t="s">
        <v>2747</v>
      </c>
      <c r="L1379" s="22" t="s">
        <v>10</v>
      </c>
      <c r="M1379" s="28" t="s">
        <v>51</v>
      </c>
      <c r="N1379" s="28" t="s">
        <v>51</v>
      </c>
    </row>
    <row r="1380" spans="1:14" x14ac:dyDescent="0.15">
      <c r="A1380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1380" s="24" t="s">
        <v>967</v>
      </c>
      <c r="C1380" s="25">
        <v>498528</v>
      </c>
      <c r="D1380" s="22" t="s">
        <v>2748</v>
      </c>
      <c r="E1380" s="22" t="s">
        <v>96</v>
      </c>
      <c r="F1380" s="23" t="str">
        <f>HYPERLINK("https://www.spark-marketing.ru/Card/Lot/73966168", "питание ИВС, СП")</f>
        <v>питание ИВС, СП</v>
      </c>
      <c r="G1380" s="22" t="s">
        <v>104</v>
      </c>
      <c r="H1380" s="22" t="s">
        <v>969</v>
      </c>
      <c r="I1380" s="26">
        <v>43735.689953703702</v>
      </c>
      <c r="J1380" s="28" t="s">
        <v>51</v>
      </c>
      <c r="K1380" s="28" t="s">
        <v>51</v>
      </c>
      <c r="L1380" s="28" t="s">
        <v>51</v>
      </c>
      <c r="M1380" s="28" t="s">
        <v>51</v>
      </c>
      <c r="N1380" s="28" t="s">
        <v>51</v>
      </c>
    </row>
    <row r="1381" spans="1:14" ht="12.75" hidden="1" outlineLevel="1" x14ac:dyDescent="0.2">
      <c r="A1381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1381" s="24" t="s">
        <v>967</v>
      </c>
      <c r="C1381" s="25">
        <v>498528</v>
      </c>
      <c r="D1381" s="22" t="s">
        <v>2748</v>
      </c>
      <c r="E1381" s="22" t="s">
        <v>96</v>
      </c>
      <c r="F1381" s="23" t="str">
        <f>HYPERLINK("https://www.spark-marketing.ru/Card/Lot/73966168", "питание ИВС, СП")</f>
        <v>питание ИВС, СП</v>
      </c>
      <c r="G1381" s="22" t="s">
        <v>104</v>
      </c>
      <c r="H1381" s="22" t="s">
        <v>969</v>
      </c>
      <c r="I1381" s="26">
        <v>43735.689953703702</v>
      </c>
      <c r="J1381" s="23" t="str">
        <f>HYPERLINK("https://www.spark-marketing.ru/Card/Person/130915", "ООО ""НАДЕЖДА Д.""")</f>
        <v>ООО "НАДЕЖДА Д."</v>
      </c>
      <c r="K1381" s="24" t="s">
        <v>2749</v>
      </c>
      <c r="L1381" s="22" t="s">
        <v>10</v>
      </c>
      <c r="M1381" s="25">
        <v>367200</v>
      </c>
      <c r="N1381" s="27">
        <v>0.2634315424610052</v>
      </c>
    </row>
    <row r="1382" spans="1:14" hidden="1" outlineLevel="1" x14ac:dyDescent="0.2">
      <c r="A1382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1382" s="24" t="s">
        <v>967</v>
      </c>
      <c r="C1382" s="25">
        <v>498528</v>
      </c>
      <c r="D1382" s="22" t="s">
        <v>2748</v>
      </c>
      <c r="E1382" s="22" t="s">
        <v>96</v>
      </c>
      <c r="F1382" s="23" t="str">
        <f>HYPERLINK("https://www.spark-marketing.ru/Card/Lot/73966168", "питание ИВС, СП")</f>
        <v>питание ИВС, СП</v>
      </c>
      <c r="G1382" s="22" t="s">
        <v>104</v>
      </c>
      <c r="H1382" s="22" t="s">
        <v>969</v>
      </c>
      <c r="I1382" s="26">
        <v>43735.689953703702</v>
      </c>
      <c r="J1382" s="23" t="str">
        <f>HYPERLINK("https://www.spark-marketing.ru/Card/Person/6703409", "Северов Михаил Карпович")</f>
        <v>Северов Михаил Карпович</v>
      </c>
      <c r="K1382" s="24" t="s">
        <v>2750</v>
      </c>
      <c r="L1382" s="28" t="s">
        <v>51</v>
      </c>
      <c r="M1382" s="25">
        <v>375000</v>
      </c>
      <c r="N1382" s="27">
        <v>0.24778548045445792</v>
      </c>
    </row>
    <row r="1383" spans="1:14" x14ac:dyDescent="0.15">
      <c r="A1383" s="23" t="str">
        <f>HYPERLINK("https://www.spark-marketing.ru/Card/Person/143510", "МЕЖМУНИЦИПАЛЬНЫЙ ОТДЕЛ МВД РОССИИ ""ЛЕНИНСК-КУЗНЕЦКИЙ""")</f>
        <v>МЕЖМУНИЦИПАЛЬНЫЙ ОТДЕЛ МВД РОССИИ "ЛЕНИНСК-КУЗНЕЦКИЙ"</v>
      </c>
      <c r="B1383" s="24" t="s">
        <v>2751</v>
      </c>
      <c r="C1383" s="25">
        <v>501000</v>
      </c>
      <c r="D1383" s="22" t="s">
        <v>2752</v>
      </c>
      <c r="E1383" s="22" t="s">
        <v>48</v>
      </c>
      <c r="F1383" s="23" t="str">
        <f>HYPERLINK("https://www.spark-marketing.ru/Card/Lot/73972081", "Оказание услуг по организации ежедневного горячего питания для подозреваемых и обвиняемых в совершении преступлений лиц, арестованных в административном порядке, содержащихся в изоляторе временного содержания и в специальном помещение для содержания ...")</f>
        <v>Оказание услуг по организации ежедневного горячего питания для подозреваемых и обвиняемых в совершении преступлений лиц, арестованных в административном порядке, содержащихся в изоляторе временного содержания и в специальном помещение для содержания ...</v>
      </c>
      <c r="G1383" s="22" t="s">
        <v>304</v>
      </c>
      <c r="H1383" s="22" t="s">
        <v>2753</v>
      </c>
      <c r="I1383" s="26">
        <v>43735.701076388897</v>
      </c>
      <c r="J1383" s="23" t="str">
        <f>HYPERLINK("https://www.spark-marketing.ru/Card/Person/153415", "Пригаров Денис Владимирович")</f>
        <v>Пригаров Денис Владимирович</v>
      </c>
      <c r="K1383" s="24" t="s">
        <v>2754</v>
      </c>
      <c r="L1383" s="22" t="s">
        <v>10</v>
      </c>
      <c r="M1383" s="28" t="s">
        <v>51</v>
      </c>
      <c r="N1383" s="28" t="s">
        <v>51</v>
      </c>
    </row>
    <row r="1384" spans="1:14" x14ac:dyDescent="0.15">
      <c r="A1384" s="23" t="str">
        <f>HYPERLINK("https://www.spark-marketing.ru/Card/Person/267830", "ОМВД РОССИИ ПО ХОЛМОГОРСКОМУ РАЙОНУ")</f>
        <v>ОМВД РОССИИ ПО ХОЛМОГОРСКОМУ РАЙОНУ</v>
      </c>
      <c r="B1384" s="24" t="s">
        <v>2755</v>
      </c>
      <c r="C1384" s="25">
        <v>1200000</v>
      </c>
      <c r="D1384" s="22" t="s">
        <v>2756</v>
      </c>
      <c r="E1384" s="22" t="s">
        <v>96</v>
      </c>
      <c r="F1384" s="23" t="str">
        <f>HYPERLINK("https://www.spark-marketing.ru/Card/Lot/73967967", "Оказание услуг по организации питания ИВС")</f>
        <v>Оказание услуг по организации питания ИВС</v>
      </c>
      <c r="G1384" s="22" t="s">
        <v>214</v>
      </c>
      <c r="H1384" s="22" t="s">
        <v>214</v>
      </c>
      <c r="I1384" s="26">
        <v>43735.660902777803</v>
      </c>
      <c r="J1384" s="28" t="s">
        <v>51</v>
      </c>
      <c r="K1384" s="28" t="s">
        <v>51</v>
      </c>
      <c r="L1384" s="28" t="s">
        <v>51</v>
      </c>
      <c r="M1384" s="28" t="s">
        <v>51</v>
      </c>
      <c r="N1384" s="28" t="s">
        <v>51</v>
      </c>
    </row>
    <row r="1385" spans="1:14" x14ac:dyDescent="0.15">
      <c r="A1385" s="23" t="str">
        <f>HYPERLINK("https://www.spark-marketing.ru/Card/Person/49629", "УМВД РОССИИ ПО УЛЬЯНОВСКОЙ ОБЛАСТИ")</f>
        <v>УМВД РОССИИ ПО УЛЬЯНОВСКОЙ ОБЛАСТИ</v>
      </c>
      <c r="B1385" s="24" t="s">
        <v>2757</v>
      </c>
      <c r="C1385" s="25">
        <v>100000</v>
      </c>
      <c r="D1385" s="22" t="s">
        <v>2758</v>
      </c>
      <c r="E1385" s="22" t="s">
        <v>48</v>
      </c>
      <c r="F1385" s="23" t="str">
        <f>HYPERLINK("https://www.spark-marketing.ru/Card/Lot/73969581", "Оказание услуг по организации питания несовершеннолетних, содержащихся в ЦВСНП УМВД России по Ульяновской области")</f>
        <v>Оказание услуг по организации питания несовершеннолетних, содержащихся в ЦВСНП УМВД России по Ульяновской области</v>
      </c>
      <c r="G1385" s="22" t="s">
        <v>1918</v>
      </c>
      <c r="H1385" s="22" t="s">
        <v>1918</v>
      </c>
      <c r="I1385" s="26">
        <v>43735.663819444402</v>
      </c>
      <c r="J1385" s="23" t="str">
        <f>HYPERLINK("https://www.spark-marketing.ru/Card/Person/4894819", "ООО ""УСПЕХ""")</f>
        <v>ООО "УСПЕХ"</v>
      </c>
      <c r="K1385" s="24" t="s">
        <v>2759</v>
      </c>
      <c r="L1385" s="22" t="s">
        <v>10</v>
      </c>
      <c r="M1385" s="28" t="s">
        <v>51</v>
      </c>
      <c r="N1385" s="28" t="s">
        <v>51</v>
      </c>
    </row>
    <row r="1386" spans="1:14" x14ac:dyDescent="0.15">
      <c r="A1386" s="23" t="str">
        <f>HYPERLINK("https://www.spark-marketing.ru/Card/Person/1076473", "МАОУ СОШ № 16")</f>
        <v>МАОУ СОШ № 16</v>
      </c>
      <c r="B1386" s="24" t="s">
        <v>2760</v>
      </c>
      <c r="C1386" s="25">
        <v>468485</v>
      </c>
      <c r="D1386" s="22" t="s">
        <v>2761</v>
      </c>
      <c r="E1386" s="22" t="s">
        <v>51</v>
      </c>
      <c r="F1386" s="23" t="str">
        <f>HYPERLINK("https://www.spark-marketing.ru/Card/Lot/73968848", "Услуги по обеспечению питанием, осуществляемые по договору")</f>
        <v>Услуги по обеспечению питанием, осуществляемые по договору</v>
      </c>
      <c r="G1386" s="22" t="s">
        <v>174</v>
      </c>
      <c r="H1386" s="22" t="s">
        <v>2762</v>
      </c>
      <c r="I1386" s="26">
        <v>43735.660752314798</v>
      </c>
      <c r="J1386" s="23" t="str">
        <f>HYPERLINK("https://www.spark-marketing.ru/Card/Person/4961465", "ООО ""ГАРАНТ""")</f>
        <v>ООО "ГАРАНТ"</v>
      </c>
      <c r="K1386" s="24" t="s">
        <v>2763</v>
      </c>
      <c r="L1386" s="22" t="s">
        <v>10</v>
      </c>
      <c r="M1386" s="28" t="s">
        <v>51</v>
      </c>
      <c r="N1386" s="28" t="s">
        <v>51</v>
      </c>
    </row>
    <row r="1387" spans="1:14" x14ac:dyDescent="0.15">
      <c r="A1387" s="23" t="str">
        <f>HYPERLINK("https://www.spark-marketing.ru/Card/Person/84220", "МБДОУ "" ДЕТСКИЙ САД № 65 РЯБИНУШКА """)</f>
        <v>МБДОУ " ДЕТСКИЙ САД № 65 РЯБИНУШКА "</v>
      </c>
      <c r="B1387" s="24" t="s">
        <v>2764</v>
      </c>
      <c r="C1387" s="25">
        <v>20938896</v>
      </c>
      <c r="D1387" s="22" t="s">
        <v>2765</v>
      </c>
      <c r="E1387" s="22" t="s">
        <v>48</v>
      </c>
      <c r="F1387" s="23" t="str">
        <f>HYPERLINK("https://www.spark-marketing.ru/Card/Lot/73967330",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1387" s="22" t="s">
        <v>49</v>
      </c>
      <c r="H1387" s="22" t="s">
        <v>2508</v>
      </c>
      <c r="I1387" s="26">
        <v>43735.636712963002</v>
      </c>
      <c r="J1387" s="28" t="s">
        <v>51</v>
      </c>
      <c r="K1387" s="28" t="s">
        <v>51</v>
      </c>
      <c r="L1387" s="28" t="s">
        <v>51</v>
      </c>
      <c r="M1387" s="28" t="s">
        <v>51</v>
      </c>
      <c r="N1387" s="28" t="s">
        <v>51</v>
      </c>
    </row>
    <row r="1388" spans="1:14" x14ac:dyDescent="0.15">
      <c r="A1388" s="23" t="str">
        <f>HYPERLINK("https://www.spark-marketing.ru/Card/Person/102694", "МУ МВД РОССИИ ""ИРКУТСКОЕ""")</f>
        <v>МУ МВД РОССИИ "ИРКУТСКОЕ"</v>
      </c>
      <c r="B1388" s="24" t="s">
        <v>2766</v>
      </c>
      <c r="C1388" s="25">
        <v>1330052</v>
      </c>
      <c r="D1388" s="22" t="s">
        <v>2767</v>
      </c>
      <c r="E1388" s="22" t="s">
        <v>48</v>
      </c>
      <c r="F1388" s="23" t="str">
        <f>HYPERLINK("https://www.spark-marketing.ru/Card/Lot/73965034", "Прочая закупка товаров, работ и услуг (оказание услуг по организации комплексного питания для лиц, содержащихся в специальном приемнике для содержания лиц, подвергнутых административному аресту МУ МВД России «Иркутское»)")</f>
        <v>Прочая закупка товаров, работ и услуг (оказание услуг по организации комплексного питания для лиц, содержащихся в специальном приемнике для содержания лиц, подвергнутых административному аресту МУ МВД России «Иркутское»)</v>
      </c>
      <c r="G1388" s="22" t="s">
        <v>263</v>
      </c>
      <c r="H1388" s="22" t="s">
        <v>2768</v>
      </c>
      <c r="I1388" s="26">
        <v>43735.630798611099</v>
      </c>
      <c r="J1388" s="23" t="str">
        <f>HYPERLINK("https://www.spark-marketing.ru/Card/Person/582241", "Журавель Алексей Сергеевич")</f>
        <v>Журавель Алексей Сергеевич</v>
      </c>
      <c r="K1388" s="24" t="s">
        <v>2769</v>
      </c>
      <c r="L1388" s="22" t="s">
        <v>10</v>
      </c>
      <c r="M1388" s="28" t="s">
        <v>51</v>
      </c>
      <c r="N1388" s="28" t="s">
        <v>51</v>
      </c>
    </row>
    <row r="1389" spans="1:14" x14ac:dyDescent="0.15">
      <c r="A1389" s="23" t="str">
        <f>HYPERLINK("https://www.spark-marketing.ru/Card/Person/49629", "УМВД РОССИИ ПО УЛЬЯНОВСКОЙ ОБЛАСТИ")</f>
        <v>УМВД РОССИИ ПО УЛЬЯНОВСКОЙ ОБЛАСТИ</v>
      </c>
      <c r="B1389" s="24" t="s">
        <v>2757</v>
      </c>
      <c r="C1389" s="25">
        <v>100000</v>
      </c>
      <c r="D1389" s="22" t="s">
        <v>2770</v>
      </c>
      <c r="E1389" s="22" t="s">
        <v>48</v>
      </c>
      <c r="F1389" s="23" t="str">
        <f>HYPERLINK("https://www.spark-marketing.ru/Card/Lot/73969579", "Оказание услуг по организации питания несовершеннолетних, содержащихся в ЦВСНП УМВД России по Ульяновской области")</f>
        <v>Оказание услуг по организации питания несовершеннолетних, содержащихся в ЦВСНП УМВД России по Ульяновской области</v>
      </c>
      <c r="G1389" s="22" t="s">
        <v>1918</v>
      </c>
      <c r="H1389" s="22" t="s">
        <v>1918</v>
      </c>
      <c r="I1389" s="26">
        <v>43735.663240740701</v>
      </c>
      <c r="J1389" s="23" t="str">
        <f>HYPERLINK("https://www.spark-marketing.ru/Card/Person/4894819", "ООО ""УСПЕХ""")</f>
        <v>ООО "УСПЕХ"</v>
      </c>
      <c r="K1389" s="24" t="s">
        <v>2759</v>
      </c>
      <c r="L1389" s="22" t="s">
        <v>10</v>
      </c>
      <c r="M1389" s="28" t="s">
        <v>51</v>
      </c>
      <c r="N1389" s="28" t="s">
        <v>51</v>
      </c>
    </row>
    <row r="1390" spans="1:14" x14ac:dyDescent="0.15">
      <c r="A1390" s="23" t="str">
        <f>HYPERLINK("https://www.spark-marketing.ru/Card/Person/31275", "УФНС РОССИИ ПО ТОМСКОЙ ОБЛАСТИ")</f>
        <v>УФНС РОССИИ ПО ТОМСКОЙ ОБЛАСТИ</v>
      </c>
      <c r="B1390" s="24" t="s">
        <v>2771</v>
      </c>
      <c r="C1390" s="25">
        <v>263526.7</v>
      </c>
      <c r="D1390" s="22" t="s">
        <v>2772</v>
      </c>
      <c r="E1390" s="22" t="s">
        <v>91</v>
      </c>
      <c r="F1390" s="23" t="str">
        <f>HYPERLINK("https://www.spark-marketing.ru/Card/Lot/73971888", "Оказание услуг по техническому обслуживанию источников бесперебойного питания")</f>
        <v>Оказание услуг по техническому обслуживанию источников бесперебойного питания</v>
      </c>
      <c r="G1390" s="22" t="s">
        <v>149</v>
      </c>
      <c r="H1390" s="22" t="s">
        <v>496</v>
      </c>
      <c r="I1390" s="26">
        <v>43735.629120370402</v>
      </c>
      <c r="J1390" s="23" t="str">
        <f>HYPERLINK("https://www.spark-marketing.ru/Card/Person/459135", "ООО ""ПЛАНЕТА БИЗНЕСА""")</f>
        <v>ООО "ПЛАНЕТА БИЗНЕСА"</v>
      </c>
      <c r="K1390" s="24" t="s">
        <v>2773</v>
      </c>
      <c r="L1390" s="22" t="s">
        <v>10</v>
      </c>
      <c r="M1390" s="28" t="s">
        <v>51</v>
      </c>
      <c r="N1390" s="28" t="s">
        <v>51</v>
      </c>
    </row>
    <row r="1391" spans="1:14" x14ac:dyDescent="0.15">
      <c r="A1391" s="23" t="str">
        <f>HYPERLINK("https://www.spark-marketing.ru/Card/Person/109531", "МО МВД РОССИИ ""ДИМИТРОВГРАДСКИЙ""")</f>
        <v>МО МВД РОССИИ "ДИМИТРОВГРАДСКИЙ"</v>
      </c>
      <c r="B1391" s="24" t="s">
        <v>2774</v>
      </c>
      <c r="C1391" s="25">
        <v>510000</v>
      </c>
      <c r="D1391" s="22" t="s">
        <v>2775</v>
      </c>
      <c r="E1391" s="22" t="s">
        <v>48</v>
      </c>
      <c r="F1391" s="23" t="str">
        <f>HYPERLINK("https://www.spark-marketing.ru/Card/Lot/73969021", "Оказание услуг по организации, доставке ежедневного трехразового горячего питания для лиц, содержащихся в центре временного содержания иностранных граждан МО МВД России «Димитровградский»")</f>
        <v>Оказание услуг по организации, доставке ежедневного трехразового горячего питания для лиц, содержащихся в центре временного содержания иностранных граждан МО МВД России «Димитровградский»</v>
      </c>
      <c r="G1391" s="22" t="s">
        <v>1918</v>
      </c>
      <c r="H1391" s="22" t="s">
        <v>2776</v>
      </c>
      <c r="I1391" s="26">
        <v>43735.627268518503</v>
      </c>
      <c r="J1391" s="23" t="str">
        <f>HYPERLINK("https://www.spark-marketing.ru/Card/Person/5873566", "Игнашкина Ирина Николаевна")</f>
        <v>Игнашкина Ирина Николаевна</v>
      </c>
      <c r="K1391" s="24" t="s">
        <v>2777</v>
      </c>
      <c r="L1391" s="22" t="s">
        <v>10</v>
      </c>
      <c r="M1391" s="28" t="s">
        <v>51</v>
      </c>
      <c r="N1391" s="28" t="s">
        <v>51</v>
      </c>
    </row>
    <row r="1392" spans="1:14" x14ac:dyDescent="0.15">
      <c r="A1392" s="23" t="str">
        <f>HYPERLINK("https://www.spark-marketing.ru/Card/Person/84363", "МБДОУ ""ДЕТСКИЙ САД № 4 ЗВЕЗДОЧКА""")</f>
        <v>МБДОУ "ДЕТСКИЙ САД № 4 ЗВЕЗДОЧКА"</v>
      </c>
      <c r="B1392" s="24" t="s">
        <v>2778</v>
      </c>
      <c r="C1392" s="25">
        <v>20757116</v>
      </c>
      <c r="D1392" s="22" t="s">
        <v>2779</v>
      </c>
      <c r="E1392" s="22" t="s">
        <v>48</v>
      </c>
      <c r="F1392" s="23" t="str">
        <f>HYPERLINK("https://www.spark-marketing.ru/Card/Lot/73967323",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1392" s="22" t="s">
        <v>49</v>
      </c>
      <c r="H1392" s="22" t="s">
        <v>2495</v>
      </c>
      <c r="I1392" s="26">
        <v>43735.636481481502</v>
      </c>
      <c r="J1392" s="28" t="s">
        <v>51</v>
      </c>
      <c r="K1392" s="28" t="s">
        <v>51</v>
      </c>
      <c r="L1392" s="28" t="s">
        <v>51</v>
      </c>
      <c r="M1392" s="28" t="s">
        <v>51</v>
      </c>
      <c r="N1392" s="28" t="s">
        <v>51</v>
      </c>
    </row>
    <row r="1393" spans="1:14" x14ac:dyDescent="0.15">
      <c r="A1393" s="23" t="str">
        <f>HYPERLINK("https://www.spark-marketing.ru/Card/Person/102503", "ОТД МВД РОССИИ ПО ГАЙСКОМУ ГОРОДСКОМУ ОКРУГУ")</f>
        <v>ОТД МВД РОССИИ ПО ГАЙСКОМУ ГОРОДСКОМУ ОКРУГУ</v>
      </c>
      <c r="B1393" s="24" t="s">
        <v>2780</v>
      </c>
      <c r="C1393" s="25">
        <v>467896.29</v>
      </c>
      <c r="D1393" s="22" t="s">
        <v>2781</v>
      </c>
      <c r="E1393" s="22" t="s">
        <v>48</v>
      </c>
      <c r="F1393" s="23" t="str">
        <f>HYPERLINK("https://www.spark-marketing.ru/Card/Lot/73969299", "Оказание услуг по организации ежедневного горячего питания лиц содержащихся в изоляторе временного содержания подозреваемых и обвиняемых в Отд МВД России по Гайскому городскому округу")</f>
        <v>Оказание услуг по организации ежедневного горячего питания лиц содержащихся в изоляторе временного содержания подозреваемых и обвиняемых в Отд МВД России по Гайскому городскому округу</v>
      </c>
      <c r="G1393" s="22" t="s">
        <v>132</v>
      </c>
      <c r="H1393" s="22" t="s">
        <v>2782</v>
      </c>
      <c r="I1393" s="26">
        <v>43735.636597222197</v>
      </c>
      <c r="J1393" s="23" t="str">
        <f>HYPERLINK("https://www.spark-marketing.ru/Card/Person/59368", "ЛОУ САНАТОРИЙ ""ГАЙ""")</f>
        <v>ЛОУ САНАТОРИЙ "ГАЙ"</v>
      </c>
      <c r="K1393" s="24" t="s">
        <v>2783</v>
      </c>
      <c r="L1393" s="22" t="s">
        <v>10</v>
      </c>
      <c r="M1393" s="28" t="s">
        <v>51</v>
      </c>
      <c r="N1393" s="28" t="s">
        <v>51</v>
      </c>
    </row>
    <row r="1394" spans="1:14" x14ac:dyDescent="0.15">
      <c r="A1394" s="23" t="str">
        <f>HYPERLINK("https://www.spark-marketing.ru/Card/Person/53933", "СПБ ГБПОУ ""УОР № 2 (ТЕХНИКУМ)""")</f>
        <v>СПБ ГБПОУ "УОР № 2 (ТЕХНИКУМ)"</v>
      </c>
      <c r="B1394" s="24" t="s">
        <v>2322</v>
      </c>
      <c r="C1394" s="25">
        <v>368720</v>
      </c>
      <c r="D1394" s="22" t="s">
        <v>2784</v>
      </c>
      <c r="E1394" s="22" t="s">
        <v>51</v>
      </c>
      <c r="F1394" s="23" t="str">
        <f>HYPERLINK("https://www.spark-marketing.ru/Card/Lot/73972385", "Оказание услуг по предоставлению питания, проживания и спортивных сооружений при проведении тренировочного мероприятия по специальной физической подготовке для занимающихся отделения ""Спортивная борьба"" (греко-римская борьба) СПб ГБПОУ ""УОР № 2 (т...")</f>
        <v>Оказание услуг по предоставлению питания, проживания и спортивных сооружений при проведении тренировочного мероприятия по специальной физической подготовке для занимающихся отделения "Спортивная борьба" (греко-римская борьба) СПб ГБПОУ "УОР № 2 (т...</v>
      </c>
      <c r="G1394" s="22" t="s">
        <v>117</v>
      </c>
      <c r="H1394" s="22" t="s">
        <v>117</v>
      </c>
      <c r="I1394" s="26">
        <v>43735.639236111099</v>
      </c>
      <c r="J1394" s="23" t="str">
        <f>HYPERLINK("https://www.spark-marketing.ru/Card/Person/4953167", "ООО ""ЮПИТЕР""")</f>
        <v>ООО "ЮПИТЕР"</v>
      </c>
      <c r="K1394" s="24" t="s">
        <v>2324</v>
      </c>
      <c r="L1394" s="22" t="s">
        <v>10</v>
      </c>
      <c r="M1394" s="28" t="s">
        <v>51</v>
      </c>
      <c r="N1394" s="28" t="s">
        <v>51</v>
      </c>
    </row>
    <row r="1395" spans="1:14" x14ac:dyDescent="0.15">
      <c r="A1395" s="23" t="str">
        <f>HYPERLINK("https://www.spark-marketing.ru/Card/Person/21346", "ГКУ НСО ""ЦЕНТР ГО, ЧС И ПБ НОВОСИБИРСКОЙ ОБЛАСТИ""")</f>
        <v>ГКУ НСО "ЦЕНТР ГО, ЧС И ПБ НОВОСИБИРСКОЙ ОБЛАСТИ"</v>
      </c>
      <c r="B1395" s="24" t="s">
        <v>2785</v>
      </c>
      <c r="C1395" s="25">
        <v>96380</v>
      </c>
      <c r="D1395" s="22" t="s">
        <v>2786</v>
      </c>
      <c r="E1395" s="22" t="s">
        <v>96</v>
      </c>
      <c r="F1395" s="23" t="str">
        <f>HYPERLINK("https://www.spark-marketing.ru/Card/Lot/73969279", "Оказание услуг по организации питания спасателей Чановского ПСО")</f>
        <v>Оказание услуг по организации питания спасателей Чановского ПСО</v>
      </c>
      <c r="G1395" s="22" t="s">
        <v>195</v>
      </c>
      <c r="H1395" s="22" t="s">
        <v>196</v>
      </c>
      <c r="I1395" s="26">
        <v>43735.633726851898</v>
      </c>
      <c r="J1395" s="23" t="str">
        <f>HYPERLINK("https://www.spark-marketing.ru/Card/Person/1367337", "Мелкозерова Ольга Сергеевна")</f>
        <v>Мелкозерова Ольга Сергеевна</v>
      </c>
      <c r="K1395" s="24" t="s">
        <v>2787</v>
      </c>
      <c r="L1395" s="22" t="s">
        <v>10</v>
      </c>
      <c r="M1395" s="28" t="s">
        <v>51</v>
      </c>
      <c r="N1395" s="28" t="s">
        <v>51</v>
      </c>
    </row>
    <row r="1396" spans="1:14" x14ac:dyDescent="0.15">
      <c r="A1396" s="23" t="str">
        <f>HYPERLINK("https://www.spark-marketing.ru/Card/Person/21346", "ГКУ НСО ""ЦЕНТР ГО, ЧС И ПБ НОВОСИБИРСКОЙ ОБЛАСТИ""")</f>
        <v>ГКУ НСО "ЦЕНТР ГО, ЧС И ПБ НОВОСИБИРСКОЙ ОБЛАСТИ"</v>
      </c>
      <c r="B1396" s="24" t="s">
        <v>2785</v>
      </c>
      <c r="C1396" s="25">
        <v>90280</v>
      </c>
      <c r="D1396" s="22" t="s">
        <v>2788</v>
      </c>
      <c r="E1396" s="22" t="s">
        <v>96</v>
      </c>
      <c r="F1396" s="23" t="str">
        <f>HYPERLINK("https://www.spark-marketing.ru/Card/Lot/73962903", "Оказание услуг по организации питания спасателей Новосибирского ПСО")</f>
        <v>Оказание услуг по организации питания спасателей Новосибирского ПСО</v>
      </c>
      <c r="G1396" s="22" t="s">
        <v>195</v>
      </c>
      <c r="H1396" s="22" t="s">
        <v>196</v>
      </c>
      <c r="I1396" s="26">
        <v>43735.658333333296</v>
      </c>
      <c r="J1396" s="23" t="str">
        <f>HYPERLINK("https://www.spark-marketing.ru/Card/Person/6715462", "ООО ""ПИРОЖЕНКИ""")</f>
        <v>ООО "ПИРОЖЕНКИ"</v>
      </c>
      <c r="K1396" s="24" t="s">
        <v>2789</v>
      </c>
      <c r="L1396" s="22" t="s">
        <v>10</v>
      </c>
      <c r="M1396" s="28" t="s">
        <v>51</v>
      </c>
      <c r="N1396" s="28" t="s">
        <v>51</v>
      </c>
    </row>
    <row r="1397" spans="1:14" x14ac:dyDescent="0.15">
      <c r="A1397" s="23" t="str">
        <f>HYPERLINK("https://www.spark-marketing.ru/Card/Person/54908", "ГАУЗ ""РКБ МЗ РТ""")</f>
        <v>ГАУЗ "РКБ МЗ РТ"</v>
      </c>
      <c r="B1397" s="24" t="s">
        <v>2790</v>
      </c>
      <c r="C1397" s="25">
        <v>21126672.710000001</v>
      </c>
      <c r="D1397" s="22" t="s">
        <v>2791</v>
      </c>
      <c r="E1397" s="22" t="s">
        <v>96</v>
      </c>
      <c r="F1397" s="23" t="str">
        <f>HYPERLINK("https://www.spark-marketing.ru/Card/Lot/73972534", "Оказание услуг по организации лечебного питания пациентов, в том числе новорожденных детей, находящихся на лечении, и ухаживающих в ГАУЗ ""РКБ МЗ РТ""")</f>
        <v>Оказание услуг по организации лечебного питания пациентов, в том числе новорожденных детей, находящихся на лечении, и ухаживающих в ГАУЗ "РКБ МЗ РТ"</v>
      </c>
      <c r="G1397" s="22" t="s">
        <v>217</v>
      </c>
      <c r="H1397" s="22" t="s">
        <v>937</v>
      </c>
      <c r="I1397" s="26">
        <v>43735.662592592598</v>
      </c>
      <c r="J1397" s="28" t="s">
        <v>51</v>
      </c>
      <c r="K1397" s="28" t="s">
        <v>51</v>
      </c>
      <c r="L1397" s="28" t="s">
        <v>51</v>
      </c>
      <c r="M1397" s="28" t="s">
        <v>51</v>
      </c>
      <c r="N1397" s="28" t="s">
        <v>51</v>
      </c>
    </row>
    <row r="1398" spans="1:14" ht="12.75" hidden="1" outlineLevel="1" x14ac:dyDescent="0.2">
      <c r="A1398" s="23" t="str">
        <f>HYPERLINK("https://www.spark-marketing.ru/Card/Person/54908", "ГАУЗ ""РКБ МЗ РТ""")</f>
        <v>ГАУЗ "РКБ МЗ РТ"</v>
      </c>
      <c r="B1398" s="24" t="s">
        <v>2790</v>
      </c>
      <c r="C1398" s="25">
        <v>21126672.710000001</v>
      </c>
      <c r="D1398" s="22" t="s">
        <v>2791</v>
      </c>
      <c r="E1398" s="22" t="s">
        <v>96</v>
      </c>
      <c r="F1398" s="23" t="str">
        <f>HYPERLINK("https://www.spark-marketing.ru/Card/Lot/73972534", "Оказание услуг по организации лечебного питания пациентов, в том числе новорожденных детей, находящихся на лечении, и ухаживающих в ГАУЗ ""РКБ МЗ РТ""")</f>
        <v>Оказание услуг по организации лечебного питания пациентов, в том числе новорожденных детей, находящихся на лечении, и ухаживающих в ГАУЗ "РКБ МЗ РТ"</v>
      </c>
      <c r="G1398" s="22" t="s">
        <v>217</v>
      </c>
      <c r="H1398" s="22" t="s">
        <v>937</v>
      </c>
      <c r="I1398" s="26">
        <v>43735.662592592598</v>
      </c>
      <c r="J1398" s="23" t="str">
        <f>HYPERLINK("https://www.spark-marketing.ru/Card/Person/49008", "АО ""ДЕПАРТАМЕНТ ПРОДОВОЛЬСТВИЯ""")</f>
        <v>АО "ДЕПАРТАМЕНТ ПРОДОВОЛЬСТВИЯ"</v>
      </c>
      <c r="K1398" s="24" t="s">
        <v>2101</v>
      </c>
      <c r="L1398" s="22" t="s">
        <v>10</v>
      </c>
      <c r="M1398" s="25">
        <v>21126672.710000001</v>
      </c>
      <c r="N1398" s="27">
        <v>0</v>
      </c>
    </row>
    <row r="1399" spans="1:14" hidden="1" outlineLevel="1" x14ac:dyDescent="0.2">
      <c r="A1399" s="23" t="str">
        <f>HYPERLINK("https://www.spark-marketing.ru/Card/Person/54908", "ГАУЗ ""РКБ МЗ РТ""")</f>
        <v>ГАУЗ "РКБ МЗ РТ"</v>
      </c>
      <c r="B1399" s="24" t="s">
        <v>2790</v>
      </c>
      <c r="C1399" s="25">
        <v>21126672.710000001</v>
      </c>
      <c r="D1399" s="22" t="s">
        <v>2791</v>
      </c>
      <c r="E1399" s="22" t="s">
        <v>96</v>
      </c>
      <c r="F1399" s="23" t="str">
        <f>HYPERLINK("https://www.spark-marketing.ru/Card/Lot/73972534", "Оказание услуг по организации лечебного питания пациентов, в том числе новорожденных детей, находящихся на лечении, и ухаживающих в ГАУЗ ""РКБ МЗ РТ""")</f>
        <v>Оказание услуг по организации лечебного питания пациентов, в том числе новорожденных детей, находящихся на лечении, и ухаживающих в ГАУЗ "РКБ МЗ РТ"</v>
      </c>
      <c r="G1399" s="22" t="s">
        <v>217</v>
      </c>
      <c r="H1399" s="22" t="s">
        <v>937</v>
      </c>
      <c r="I1399" s="26">
        <v>43735.662592592598</v>
      </c>
      <c r="J1399" s="23" t="str">
        <f>HYPERLINK("https://www.spark-marketing.ru/Card/Person/6633295", "ООО ""КРИСТЕЛЬ""")</f>
        <v>ООО "КРИСТЕЛЬ"</v>
      </c>
      <c r="K1399" s="24" t="s">
        <v>2792</v>
      </c>
      <c r="L1399" s="28" t="s">
        <v>51</v>
      </c>
      <c r="M1399" s="25">
        <v>21126672.710000001</v>
      </c>
      <c r="N1399" s="27">
        <v>0</v>
      </c>
    </row>
    <row r="1400" spans="1:14" x14ac:dyDescent="0.15">
      <c r="A1400" s="23" t="str">
        <f>HYPERLINK("https://www.spark-marketing.ru/Card/Person/21346", "ГКУ НСО ""ЦЕНТР ГО, ЧС И ПБ НОВОСИБИРСКОЙ ОБЛАСТИ""")</f>
        <v>ГКУ НСО "ЦЕНТР ГО, ЧС И ПБ НОВОСИБИРСКОЙ ОБЛАСТИ"</v>
      </c>
      <c r="B1400" s="24" t="s">
        <v>2785</v>
      </c>
      <c r="C1400" s="25">
        <v>96380</v>
      </c>
      <c r="D1400" s="22" t="s">
        <v>2793</v>
      </c>
      <c r="E1400" s="22" t="s">
        <v>96</v>
      </c>
      <c r="F1400" s="23" t="str">
        <f>HYPERLINK("https://www.spark-marketing.ru/Card/Lot/73969406", "Оказание услуг по организации питания спасателей Куйбышевского ПСО")</f>
        <v>Оказание услуг по организации питания спасателей Куйбышевского ПСО</v>
      </c>
      <c r="G1400" s="22" t="s">
        <v>195</v>
      </c>
      <c r="H1400" s="22" t="s">
        <v>196</v>
      </c>
      <c r="I1400" s="26">
        <v>43735.649120370399</v>
      </c>
      <c r="J1400" s="23" t="str">
        <f>HYPERLINK("https://www.spark-marketing.ru/Card/Person/6715460", "ООО ""БО КЛУБ""")</f>
        <v>ООО "БО КЛУБ"</v>
      </c>
      <c r="K1400" s="24" t="s">
        <v>2794</v>
      </c>
      <c r="L1400" s="22" t="s">
        <v>10</v>
      </c>
      <c r="M1400" s="28" t="s">
        <v>51</v>
      </c>
      <c r="N1400" s="28" t="s">
        <v>51</v>
      </c>
    </row>
    <row r="1401" spans="1:14" x14ac:dyDescent="0.15">
      <c r="A1401" s="23" t="str">
        <f>HYPERLINK("https://www.spark-marketing.ru/Card/Person/737290", "ГКУ «ЦБЗ ПРИ МИНЗДРАВЕ КАРЕЛИИ»")</f>
        <v>ГКУ «ЦБЗ ПРИ МИНЗДРАВЕ КАРЕЛИИ»</v>
      </c>
      <c r="B1401" s="24" t="s">
        <v>312</v>
      </c>
      <c r="C1401" s="25">
        <v>5809640.7599999998</v>
      </c>
      <c r="D1401" s="22" t="s">
        <v>2795</v>
      </c>
      <c r="E1401" s="22" t="s">
        <v>52</v>
      </c>
      <c r="F1401" s="23" t="str">
        <f>HYPERLINK("https://www.spark-marketing.ru/Card/Lot/73970816", "Поставка лекарственного препарата Ривароксабан,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Ривароксабан,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1401" s="22" t="s">
        <v>59</v>
      </c>
      <c r="H1401" s="22" t="s">
        <v>314</v>
      </c>
      <c r="I1401" s="26">
        <v>43735.609097222201</v>
      </c>
      <c r="J1401" s="28" t="s">
        <v>51</v>
      </c>
      <c r="K1401" s="28" t="s">
        <v>51</v>
      </c>
      <c r="L1401" s="28" t="s">
        <v>51</v>
      </c>
      <c r="M1401" s="28" t="s">
        <v>51</v>
      </c>
      <c r="N1401" s="28" t="s">
        <v>51</v>
      </c>
    </row>
    <row r="1402" spans="1:14" hidden="1" outlineLevel="1" x14ac:dyDescent="0.2">
      <c r="A1402" s="23" t="str">
        <f>HYPERLINK("https://www.spark-marketing.ru/Card/Person/737290", "ГКУ «ЦБЗ ПРИ МИНЗДРАВЕ КАРЕЛИИ»")</f>
        <v>ГКУ «ЦБЗ ПРИ МИНЗДРАВЕ КАРЕЛИИ»</v>
      </c>
      <c r="B1402" s="24" t="s">
        <v>312</v>
      </c>
      <c r="C1402" s="25">
        <v>5809640.7599999998</v>
      </c>
      <c r="D1402" s="22" t="s">
        <v>2795</v>
      </c>
      <c r="E1402" s="22" t="s">
        <v>52</v>
      </c>
      <c r="F1402" s="23" t="str">
        <f>HYPERLINK("https://www.spark-marketing.ru/Card/Lot/73970816", "Поставка лекарственного препарата Ривароксабан,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Ривароксабан,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1402" s="22" t="s">
        <v>59</v>
      </c>
      <c r="H1402" s="22" t="s">
        <v>314</v>
      </c>
      <c r="I1402" s="26">
        <v>43735.609097222201</v>
      </c>
      <c r="J1402" s="23" t="str">
        <f>HYPERLINK("https://www.spark-marketing.ru/Card/Person/6713426", "ООО ""МЕДЛАЙН ФАРМА""")</f>
        <v>ООО "МЕДЛАЙН ФАРМА"</v>
      </c>
      <c r="K1402" s="24" t="s">
        <v>2796</v>
      </c>
      <c r="L1402" s="28" t="s">
        <v>51</v>
      </c>
      <c r="M1402" s="25">
        <v>5687885.3700000001</v>
      </c>
      <c r="N1402" s="27">
        <v>2.0957473108888063E-2</v>
      </c>
    </row>
    <row r="1403" spans="1:14" ht="12.75" hidden="1" outlineLevel="1" x14ac:dyDescent="0.2">
      <c r="A1403" s="23" t="str">
        <f>HYPERLINK("https://www.spark-marketing.ru/Card/Person/737290", "ГКУ «ЦБЗ ПРИ МИНЗДРАВЕ КАРЕЛИИ»")</f>
        <v>ГКУ «ЦБЗ ПРИ МИНЗДРАВЕ КАРЕЛИИ»</v>
      </c>
      <c r="B1403" s="24" t="s">
        <v>312</v>
      </c>
      <c r="C1403" s="25">
        <v>5809640.7599999998</v>
      </c>
      <c r="D1403" s="22" t="s">
        <v>2795</v>
      </c>
      <c r="E1403" s="22" t="s">
        <v>52</v>
      </c>
      <c r="F1403" s="23" t="str">
        <f>HYPERLINK("https://www.spark-marketing.ru/Card/Lot/73970816", "Поставка лекарственного препарата Ривароксабан,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Ривароксабан,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1403" s="22" t="s">
        <v>59</v>
      </c>
      <c r="H1403" s="22" t="s">
        <v>314</v>
      </c>
      <c r="I1403" s="26">
        <v>43735.609097222201</v>
      </c>
      <c r="J1403" s="23" t="str">
        <f>HYPERLINK("https://www.spark-marketing.ru/Card/Person/6073224", "ООО ""ЛЕКСТОР""")</f>
        <v>ООО "ЛЕКСТОР"</v>
      </c>
      <c r="K1403" s="24" t="s">
        <v>2797</v>
      </c>
      <c r="L1403" s="22" t="s">
        <v>10</v>
      </c>
      <c r="M1403" s="25">
        <v>5658837.1699999999</v>
      </c>
      <c r="N1403" s="27">
        <v>2.5957472454802868E-2</v>
      </c>
    </row>
    <row r="1404" spans="1:14" ht="12.75" x14ac:dyDescent="0.2">
      <c r="A1404" s="23" t="str">
        <f>HYPERLINK("https://www.spark-marketing.ru/Card/Person/105065", "ОБУЗ ""ФАТЕЖСКАЯ ЦРБ""")</f>
        <v>ОБУЗ "ФАТЕЖСКАЯ ЦРБ"</v>
      </c>
      <c r="B1404" s="24" t="s">
        <v>2798</v>
      </c>
      <c r="C1404" s="25">
        <v>487057.3</v>
      </c>
      <c r="D1404" s="22" t="s">
        <v>2799</v>
      </c>
      <c r="E1404" s="22" t="s">
        <v>96</v>
      </c>
      <c r="F1404" s="23" t="str">
        <f>HYPERLINK("https://www.spark-marketing.ru/Card/Lot/73971757", "Оказание услуг по поставке готового питания")</f>
        <v>Оказание услуг по поставке готового питания</v>
      </c>
      <c r="G1404" s="22" t="s">
        <v>1111</v>
      </c>
      <c r="H1404" s="22" t="s">
        <v>1111</v>
      </c>
      <c r="I1404" s="26">
        <v>43735.622430555602</v>
      </c>
      <c r="J1404" s="23" t="str">
        <f>HYPERLINK("https://www.spark-marketing.ru/Card/Person/4755570", "Харичкова Галина Михайловна")</f>
        <v>Харичкова Галина Михайловна</v>
      </c>
      <c r="K1404" s="24" t="s">
        <v>2800</v>
      </c>
      <c r="L1404" s="22" t="s">
        <v>10</v>
      </c>
      <c r="M1404" s="25">
        <v>480510</v>
      </c>
      <c r="N1404" s="27">
        <v>1.3442566203196215E-2</v>
      </c>
    </row>
    <row r="1405" spans="1:14" x14ac:dyDescent="0.15">
      <c r="A1405" s="23" t="str">
        <f>HYPERLINK("https://www.spark-marketing.ru/Card/Person/737290", "ГКУ «ЦБЗ ПРИ МИНЗДРАВЕ КАРЕЛИИ»")</f>
        <v>ГКУ «ЦБЗ ПРИ МИНЗДРАВЕ КАРЕЛИИ»</v>
      </c>
      <c r="B1405" s="24" t="s">
        <v>312</v>
      </c>
      <c r="C1405" s="25">
        <v>412250.4</v>
      </c>
      <c r="D1405" s="22" t="s">
        <v>2801</v>
      </c>
      <c r="E1405" s="22" t="s">
        <v>52</v>
      </c>
      <c r="F1405" s="23" t="str">
        <f>HYPERLINK("https://www.spark-marketing.ru/Card/Lot/73970728", "Поставка  лекарственного препарата Кветиапин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рецеп...")</f>
        <v>Поставка  лекарственного препарата Кветиапин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</v>
      </c>
      <c r="G1405" s="22" t="s">
        <v>59</v>
      </c>
      <c r="H1405" s="22" t="s">
        <v>314</v>
      </c>
      <c r="I1405" s="26">
        <v>43735.609004629601</v>
      </c>
      <c r="J1405" s="23" t="str">
        <f>HYPERLINK("https://www.spark-marketing.ru/Card/Person/6231467", "ООО ""ОБЛФАРМ АЛЬЯНС""")</f>
        <v>ООО "ОБЛФАРМ АЛЬЯНС"</v>
      </c>
      <c r="K1405" s="24" t="s">
        <v>2175</v>
      </c>
      <c r="L1405" s="22" t="s">
        <v>10</v>
      </c>
      <c r="M1405" s="28" t="s">
        <v>51</v>
      </c>
      <c r="N1405" s="28" t="s">
        <v>51</v>
      </c>
    </row>
    <row r="1406" spans="1:14" x14ac:dyDescent="0.15">
      <c r="A1406" s="23" t="str">
        <f>HYPERLINK("https://www.spark-marketing.ru/Card/Person/21346", "ГКУ НСО ""ЦЕНТР ГО, ЧС И ПБ НОВОСИБИРСКОЙ ОБЛАСТИ""")</f>
        <v>ГКУ НСО "ЦЕНТР ГО, ЧС И ПБ НОВОСИБИРСКОЙ ОБЛАСТИ"</v>
      </c>
      <c r="B1406" s="24" t="s">
        <v>2785</v>
      </c>
      <c r="C1406" s="25">
        <v>96380</v>
      </c>
      <c r="D1406" s="22" t="s">
        <v>2802</v>
      </c>
      <c r="E1406" s="22" t="s">
        <v>96</v>
      </c>
      <c r="F1406" s="23" t="str">
        <f>HYPERLINK("https://www.spark-marketing.ru/Card/Lot/73969267", "Оказание услуг по организации питания спасателей Карасукского ПСО")</f>
        <v>Оказание услуг по организации питания спасателей Карасукского ПСО</v>
      </c>
      <c r="G1406" s="22" t="s">
        <v>195</v>
      </c>
      <c r="H1406" s="22" t="s">
        <v>196</v>
      </c>
      <c r="I1406" s="26">
        <v>43735.603113425903</v>
      </c>
      <c r="J1406" s="23" t="str">
        <f>HYPERLINK("https://www.spark-marketing.ru/Card/Person/1395973", "Буяльская Марина Петровна")</f>
        <v>Буяльская Марина Петровна</v>
      </c>
      <c r="K1406" s="24" t="s">
        <v>2803</v>
      </c>
      <c r="L1406" s="22" t="s">
        <v>10</v>
      </c>
      <c r="M1406" s="28" t="s">
        <v>51</v>
      </c>
      <c r="N1406" s="28" t="s">
        <v>51</v>
      </c>
    </row>
    <row r="1407" spans="1:14" x14ac:dyDescent="0.15">
      <c r="A1407" s="23" t="str">
        <f>HYPERLINK("https://www.spark-marketing.ru/Card/Person/131493", "МДОУ ДСКВ № 21 ""АИСТ""")</f>
        <v>МДОУ ДСКВ № 21 "АИСТ"</v>
      </c>
      <c r="B1407" s="24" t="s">
        <v>2804</v>
      </c>
      <c r="C1407" s="25">
        <v>11640250</v>
      </c>
      <c r="D1407" s="22" t="s">
        <v>2805</v>
      </c>
      <c r="E1407" s="22" t="s">
        <v>48</v>
      </c>
      <c r="F1407" s="23" t="str">
        <f>HYPERLINK("https://www.spark-marketing.ru/Card/Lot/73967495", "Оказание услуг по приготовлению и организации горячего питания воспитанников МДОУ ДСКВ №21 ""Аист"" на 2020-2021 года.")</f>
        <v>Оказание услуг по приготовлению и организации горячего питания воспитанников МДОУ ДСКВ №21 "Аист" на 2020-2021 года.</v>
      </c>
      <c r="G1407" s="22" t="s">
        <v>49</v>
      </c>
      <c r="H1407" s="22" t="s">
        <v>49</v>
      </c>
      <c r="I1407" s="26">
        <v>43735.608634259297</v>
      </c>
      <c r="J1407" s="28" t="s">
        <v>51</v>
      </c>
      <c r="K1407" s="28" t="s">
        <v>51</v>
      </c>
      <c r="L1407" s="28" t="s">
        <v>51</v>
      </c>
      <c r="M1407" s="28" t="s">
        <v>51</v>
      </c>
      <c r="N1407" s="28" t="s">
        <v>51</v>
      </c>
    </row>
    <row r="1408" spans="1:14" x14ac:dyDescent="0.15">
      <c r="A1408" s="23" t="str">
        <f>HYPERLINK("https://www.spark-marketing.ru/Card/Person/737290", "ГКУ «ЦБЗ ПРИ МИНЗДРАВЕ КАРЕЛИИ»")</f>
        <v>ГКУ «ЦБЗ ПРИ МИНЗДРАВЕ КАРЕЛИИ»</v>
      </c>
      <c r="B1408" s="24" t="s">
        <v>312</v>
      </c>
      <c r="C1408" s="25">
        <v>1559558.12</v>
      </c>
      <c r="D1408" s="22" t="s">
        <v>2806</v>
      </c>
      <c r="E1408" s="22" t="s">
        <v>52</v>
      </c>
      <c r="F1408" s="23" t="str">
        <f>HYPERLINK("https://www.spark-marketing.ru/Card/Lot/73970608", "Поставка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1408" s="22" t="s">
        <v>59</v>
      </c>
      <c r="H1408" s="22" t="s">
        <v>314</v>
      </c>
      <c r="I1408" s="26">
        <v>43735.609085648102</v>
      </c>
      <c r="J1408" s="23" t="str">
        <f>HYPERLINK("https://www.spark-marketing.ru/Card/Person/6073224", "ООО ""ЛЕКСТОР""")</f>
        <v>ООО "ЛЕКСТОР"</v>
      </c>
      <c r="K1408" s="24" t="s">
        <v>2797</v>
      </c>
      <c r="L1408" s="22" t="s">
        <v>10</v>
      </c>
      <c r="M1408" s="28" t="s">
        <v>51</v>
      </c>
      <c r="N1408" s="28" t="s">
        <v>51</v>
      </c>
    </row>
    <row r="1409" spans="1:14" x14ac:dyDescent="0.15">
      <c r="A1409" s="23" t="str">
        <f>HYPERLINK("https://www.spark-marketing.ru/Card/Person/89404", "МБОУ СОШ № 7")</f>
        <v>МБОУ СОШ № 7</v>
      </c>
      <c r="B1409" s="24" t="s">
        <v>2807</v>
      </c>
      <c r="C1409" s="25">
        <v>3565464</v>
      </c>
      <c r="D1409" s="22" t="s">
        <v>2808</v>
      </c>
      <c r="E1409" s="22" t="s">
        <v>48</v>
      </c>
      <c r="F1409" s="23" t="str">
        <f>HYPERLINK("https://www.spark-marketing.ru/Card/Lot/73967425", "Оказание услуг по организации горячего питания отдельным категориям обучающихся в МБОУ СОШ № 7")</f>
        <v>Оказание услуг по организации горячего питания отдельным категориям обучающихся в МБОУ СОШ № 7</v>
      </c>
      <c r="G1409" s="22" t="s">
        <v>49</v>
      </c>
      <c r="H1409" s="22" t="s">
        <v>301</v>
      </c>
      <c r="I1409" s="26">
        <v>43735.595520833303</v>
      </c>
      <c r="J1409" s="28" t="s">
        <v>51</v>
      </c>
      <c r="K1409" s="28" t="s">
        <v>51</v>
      </c>
      <c r="L1409" s="28" t="s">
        <v>51</v>
      </c>
      <c r="M1409" s="28" t="s">
        <v>51</v>
      </c>
      <c r="N1409" s="28" t="s">
        <v>51</v>
      </c>
    </row>
    <row r="1410" spans="1:14" x14ac:dyDescent="0.15">
      <c r="A1410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1410" s="24" t="s">
        <v>2809</v>
      </c>
      <c r="C1410" s="25">
        <v>966639.84</v>
      </c>
      <c r="D1410" s="22" t="s">
        <v>2810</v>
      </c>
      <c r="E1410" s="22" t="s">
        <v>2811</v>
      </c>
      <c r="F1410" s="23" t="str">
        <f>HYPERLINK("https://www.spark-marketing.ru/Card/Lot/73973821", "Оказание услуг по техническому обслуживанию системы источников бесперебойного питания, дизель-генераторной установки и автоматического переключения ввода гарантированного электропитания Краевого перинатального центра")</f>
        <v>Оказание услуг по техническому обслуживанию системы источников бесперебойного питания, дизель-генераторной установки и автоматического переключения ввода гарантированного электропитания Краевого перинатального центра</v>
      </c>
      <c r="G1410" s="22" t="s">
        <v>153</v>
      </c>
      <c r="H1410" s="22" t="s">
        <v>153</v>
      </c>
      <c r="I1410" s="26">
        <v>43735.588067129604</v>
      </c>
      <c r="J1410" s="28" t="s">
        <v>51</v>
      </c>
      <c r="K1410" s="28" t="s">
        <v>51</v>
      </c>
      <c r="L1410" s="28" t="s">
        <v>51</v>
      </c>
      <c r="M1410" s="28" t="s">
        <v>51</v>
      </c>
      <c r="N1410" s="28" t="s">
        <v>51</v>
      </c>
    </row>
    <row r="1411" spans="1:14" hidden="1" outlineLevel="1" x14ac:dyDescent="0.2">
      <c r="A1411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1411" s="24" t="s">
        <v>2809</v>
      </c>
      <c r="C1411" s="25">
        <v>966639.84</v>
      </c>
      <c r="D1411" s="22" t="s">
        <v>2810</v>
      </c>
      <c r="E1411" s="22" t="s">
        <v>2811</v>
      </c>
      <c r="F1411" s="23" t="str">
        <f>HYPERLINK("https://www.spark-marketing.ru/Card/Lot/73973821", "Оказание услуг по техническому обслуживанию системы источников бесперебойного питания, дизель-генераторной установки и автоматического переключения ввода гарантированного электропитания Краевого перинатального центра")</f>
        <v>Оказание услуг по техническому обслуживанию системы источников бесперебойного питания, дизель-генераторной установки и автоматического переключения ввода гарантированного электропитания Краевого перинатального центра</v>
      </c>
      <c r="G1411" s="22" t="s">
        <v>153</v>
      </c>
      <c r="H1411" s="22" t="s">
        <v>153</v>
      </c>
      <c r="I1411" s="26">
        <v>43735.588067129604</v>
      </c>
      <c r="J1411" s="23" t="str">
        <f>HYPERLINK("https://www.spark-marketing.ru/Card/Person/1839202", "ООО ""НАПРАВЛЕНИЕ""")</f>
        <v>ООО "НАПРАВЛЕНИЕ"</v>
      </c>
      <c r="K1411" s="24" t="s">
        <v>2812</v>
      </c>
      <c r="L1411" s="28" t="s">
        <v>51</v>
      </c>
      <c r="M1411" s="25">
        <v>169161.84</v>
      </c>
      <c r="N1411" s="27">
        <v>0.82500013655551374</v>
      </c>
    </row>
    <row r="1412" spans="1:14" ht="12.75" hidden="1" outlineLevel="1" x14ac:dyDescent="0.2">
      <c r="A1412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1412" s="24" t="s">
        <v>2809</v>
      </c>
      <c r="C1412" s="25">
        <v>966639.84</v>
      </c>
      <c r="D1412" s="22" t="s">
        <v>2810</v>
      </c>
      <c r="E1412" s="22" t="s">
        <v>2811</v>
      </c>
      <c r="F1412" s="23" t="str">
        <f>HYPERLINK("https://www.spark-marketing.ru/Card/Lot/73973821", "Оказание услуг по техническому обслуживанию системы источников бесперебойного питания, дизель-генераторной установки и автоматического переключения ввода гарантированного электропитания Краевого перинатального центра")</f>
        <v>Оказание услуг по техническому обслуживанию системы источников бесперебойного питания, дизель-генераторной установки и автоматического переключения ввода гарантированного электропитания Краевого перинатального центра</v>
      </c>
      <c r="G1412" s="22" t="s">
        <v>153</v>
      </c>
      <c r="H1412" s="22" t="s">
        <v>153</v>
      </c>
      <c r="I1412" s="26">
        <v>43735.588067129604</v>
      </c>
      <c r="J1412" s="23" t="str">
        <f>HYPERLINK("https://www.spark-marketing.ru/Card/Person/429281", "ООО ""ИН-СЕРВИС""")</f>
        <v>ООО "ИН-СЕРВИС"</v>
      </c>
      <c r="K1412" s="24" t="s">
        <v>2813</v>
      </c>
      <c r="L1412" s="22" t="s">
        <v>10</v>
      </c>
      <c r="M1412" s="25">
        <v>169161.84</v>
      </c>
      <c r="N1412" s="27">
        <v>0.82500013655551374</v>
      </c>
    </row>
    <row r="1413" spans="1:14" hidden="1" outlineLevel="1" x14ac:dyDescent="0.2">
      <c r="A1413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1413" s="24" t="s">
        <v>2809</v>
      </c>
      <c r="C1413" s="25">
        <v>966639.84</v>
      </c>
      <c r="D1413" s="22" t="s">
        <v>2810</v>
      </c>
      <c r="E1413" s="22" t="s">
        <v>2811</v>
      </c>
      <c r="F1413" s="23" t="str">
        <f>HYPERLINK("https://www.spark-marketing.ru/Card/Lot/73973821", "Оказание услуг по техническому обслуживанию системы источников бесперебойного питания, дизель-генераторной установки и автоматического переключения ввода гарантированного электропитания Краевого перинатального центра")</f>
        <v>Оказание услуг по техническому обслуживанию системы источников бесперебойного питания, дизель-генераторной установки и автоматического переключения ввода гарантированного электропитания Краевого перинатального центра</v>
      </c>
      <c r="G1413" s="22" t="s">
        <v>153</v>
      </c>
      <c r="H1413" s="22" t="s">
        <v>153</v>
      </c>
      <c r="I1413" s="26">
        <v>43735.588067129604</v>
      </c>
      <c r="J1413" s="23" t="str">
        <f>HYPERLINK("https://www.spark-marketing.ru/Card/Person/783649", "ООО ""ПЦС-ПЛЮС""")</f>
        <v>ООО "ПЦС-ПЛЮС"</v>
      </c>
      <c r="K1413" s="24" t="s">
        <v>2814</v>
      </c>
      <c r="L1413" s="28" t="s">
        <v>51</v>
      </c>
      <c r="M1413" s="25">
        <v>961806.64</v>
      </c>
      <c r="N1413" s="27">
        <v>5.0000008276091749E-3</v>
      </c>
    </row>
    <row r="1414" spans="1:14" x14ac:dyDescent="0.15">
      <c r="A1414" s="23" t="str">
        <f>HYPERLINK("https://www.spark-marketing.ru/Card/Person/737290", "ГКУ «ЦБЗ ПРИ МИНЗДРАВЕ КАРЕЛИИ»")</f>
        <v>ГКУ «ЦБЗ ПРИ МИНЗДРАВЕ КАРЕЛИИ»</v>
      </c>
      <c r="B1414" s="24" t="s">
        <v>312</v>
      </c>
      <c r="C1414" s="25">
        <v>328924</v>
      </c>
      <c r="D1414" s="22" t="s">
        <v>2815</v>
      </c>
      <c r="E1414" s="22" t="s">
        <v>52</v>
      </c>
      <c r="F1414" s="23" t="str">
        <f>HYPERLINK("https://www.spark-marketing.ru/Card/Lot/73970802", "Поставка лекарственных препаратов Спиронолактон, Фуросемид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изде...")</f>
        <v>Поставка лекарственных препаратов Спиронолактон, Фуросемид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изде...</v>
      </c>
      <c r="G1414" s="22" t="s">
        <v>59</v>
      </c>
      <c r="H1414" s="22" t="s">
        <v>314</v>
      </c>
      <c r="I1414" s="26">
        <v>43735.609027777798</v>
      </c>
      <c r="J1414" s="23" t="str">
        <f>HYPERLINK("https://www.spark-marketing.ru/Card/Person/52312", "ООО ""ФАВОРИТ""")</f>
        <v>ООО "ФАВОРИТ"</v>
      </c>
      <c r="K1414" s="24" t="s">
        <v>2816</v>
      </c>
      <c r="L1414" s="22" t="s">
        <v>10</v>
      </c>
      <c r="M1414" s="28" t="s">
        <v>51</v>
      </c>
      <c r="N1414" s="28" t="s">
        <v>51</v>
      </c>
    </row>
    <row r="1415" spans="1:14" x14ac:dyDescent="0.15">
      <c r="A1415" s="23" t="str">
        <f>HYPERLINK("https://www.spark-marketing.ru/Card/Person/52657", "ГБУЗ СО ""ТГДБ №1""")</f>
        <v>ГБУЗ СО "ТГДБ №1"</v>
      </c>
      <c r="B1415" s="24" t="s">
        <v>2817</v>
      </c>
      <c r="C1415" s="25">
        <v>19999543</v>
      </c>
      <c r="D1415" s="22" t="s">
        <v>2818</v>
      </c>
      <c r="E1415" s="22" t="s">
        <v>48</v>
      </c>
      <c r="F1415" s="23" t="str">
        <f>HYPERLINK("https://www.spark-marketing.ru/Card/Lot/73964398", "Оказание услуг по организации диетического лечебного питания для Государственного бюджетного учреждения здравоохранения Самарской области «Тольяттинская городская детская больница № 1».")</f>
        <v>Оказание услуг по организации диетического лечебного питания для Государственного бюджетного учреждения здравоохранения Самарской области «Тольяттинская городская детская больница № 1».</v>
      </c>
      <c r="G1415" s="22" t="s">
        <v>128</v>
      </c>
      <c r="H1415" s="22" t="s">
        <v>2819</v>
      </c>
      <c r="I1415" s="26">
        <v>43735.659861111097</v>
      </c>
      <c r="J1415" s="28" t="s">
        <v>51</v>
      </c>
      <c r="K1415" s="28" t="s">
        <v>51</v>
      </c>
      <c r="L1415" s="28" t="s">
        <v>51</v>
      </c>
      <c r="M1415" s="28" t="s">
        <v>51</v>
      </c>
      <c r="N1415" s="28" t="s">
        <v>51</v>
      </c>
    </row>
    <row r="1416" spans="1:14" x14ac:dyDescent="0.15">
      <c r="A1416" s="23" t="str">
        <f>HYPERLINK("https://www.spark-marketing.ru/Card/Person/131232", "МДОУ ДЕТСКИЙ САД КОМБИНИРОВАННОГО ВИДА № 4 ""БЕРЕЗКА""")</f>
        <v>МДОУ ДЕТСКИЙ САД КОМБИНИРОВАННОГО ВИДА № 4 "БЕРЕЗКА"</v>
      </c>
      <c r="B1416" s="24" t="s">
        <v>2820</v>
      </c>
      <c r="C1416" s="25">
        <v>8668866</v>
      </c>
      <c r="D1416" s="22" t="s">
        <v>2821</v>
      </c>
      <c r="E1416" s="22" t="s">
        <v>48</v>
      </c>
      <c r="F1416" s="23" t="str">
        <f>HYPERLINK("https://www.spark-marketing.ru/Card/Lot/73967510", "Оказание услуги по приготовлению и организации рационального горячего питания воспитанников МДОУ ДСКВ №4 ""Березка"" в 2020-2021 годах")</f>
        <v>Оказание услуги по приготовлению и организации рационального горячего питания воспитанников МДОУ ДСКВ №4 "Березка" в 2020-2021 годах</v>
      </c>
      <c r="G1416" s="22" t="s">
        <v>49</v>
      </c>
      <c r="H1416" s="22" t="s">
        <v>49</v>
      </c>
      <c r="I1416" s="26">
        <v>43735.6090162037</v>
      </c>
      <c r="J1416" s="28" t="s">
        <v>51</v>
      </c>
      <c r="K1416" s="28" t="s">
        <v>51</v>
      </c>
      <c r="L1416" s="28" t="s">
        <v>51</v>
      </c>
      <c r="M1416" s="28" t="s">
        <v>51</v>
      </c>
      <c r="N1416" s="28" t="s">
        <v>51</v>
      </c>
    </row>
    <row r="1417" spans="1:14" x14ac:dyDescent="0.15">
      <c r="A1417" s="23" t="str">
        <f>HYPERLINK("https://www.spark-marketing.ru/Card/Person/89443", "МБОУ СОШ № 12")</f>
        <v>МБОУ СОШ № 12</v>
      </c>
      <c r="B1417" s="24" t="s">
        <v>2822</v>
      </c>
      <c r="C1417" s="25">
        <v>5077902</v>
      </c>
      <c r="D1417" s="22" t="s">
        <v>2823</v>
      </c>
      <c r="E1417" s="22" t="s">
        <v>48</v>
      </c>
      <c r="F1417" s="23" t="str">
        <f>HYPERLINK("https://www.spark-marketing.ru/Card/Lot/73967426", "на оказание услуг по организации горячего питания отдельным категориям обучающихся в МБОУ СОШ № 12")</f>
        <v>на оказание услуг по организации горячего питания отдельным категориям обучающихся в МБОУ СОШ № 12</v>
      </c>
      <c r="G1417" s="22" t="s">
        <v>49</v>
      </c>
      <c r="H1417" s="22" t="s">
        <v>301</v>
      </c>
      <c r="I1417" s="26">
        <v>43735.595810185201</v>
      </c>
      <c r="J1417" s="28" t="s">
        <v>51</v>
      </c>
      <c r="K1417" s="28" t="s">
        <v>51</v>
      </c>
      <c r="L1417" s="28" t="s">
        <v>51</v>
      </c>
      <c r="M1417" s="28" t="s">
        <v>51</v>
      </c>
      <c r="N1417" s="28" t="s">
        <v>51</v>
      </c>
    </row>
    <row r="1418" spans="1:14" x14ac:dyDescent="0.15">
      <c r="A1418" s="23" t="str">
        <f>HYPERLINK("https://www.spark-marketing.ru/Card/Person/123987", "МДОУ ДСКВ № 6 ""СОЛНЫШКО""")</f>
        <v>МДОУ ДСКВ № 6 "СОЛНЫШКО"</v>
      </c>
      <c r="B1418" s="24" t="s">
        <v>2824</v>
      </c>
      <c r="C1418" s="25">
        <v>11006566</v>
      </c>
      <c r="D1418" s="22" t="s">
        <v>2825</v>
      </c>
      <c r="E1418" s="22" t="s">
        <v>48</v>
      </c>
      <c r="F1418" s="23" t="str">
        <f>HYPERLINK("https://www.spark-marketing.ru/Card/Lot/73967509", "Оказание услуги по организации рационального горячего питания для воспитанников МДОУ ДСКВ №6 ""Солнышко"" в 2020-2021 годах.")</f>
        <v>Оказание услуги по организации рационального горячего питания для воспитанников МДОУ ДСКВ №6 "Солнышко" в 2020-2021 годах.</v>
      </c>
      <c r="G1418" s="22" t="s">
        <v>49</v>
      </c>
      <c r="H1418" s="22" t="s">
        <v>49</v>
      </c>
      <c r="I1418" s="26">
        <v>43735.608634259297</v>
      </c>
      <c r="J1418" s="28" t="s">
        <v>51</v>
      </c>
      <c r="K1418" s="28" t="s">
        <v>51</v>
      </c>
      <c r="L1418" s="28" t="s">
        <v>51</v>
      </c>
      <c r="M1418" s="28" t="s">
        <v>51</v>
      </c>
      <c r="N1418" s="28" t="s">
        <v>51</v>
      </c>
    </row>
    <row r="1419" spans="1:14" x14ac:dyDescent="0.15">
      <c r="A1419" s="23" t="str">
        <f>HYPERLINK("https://www.spark-marketing.ru/Card/Person/737290", "ГКУ «ЦБЗ ПРИ МИНЗДРАВЕ КАРЕЛИИ»")</f>
        <v>ГКУ «ЦБЗ ПРИ МИНЗДРАВЕ КАРЕЛИИ»</v>
      </c>
      <c r="B1419" s="24" t="s">
        <v>312</v>
      </c>
      <c r="C1419" s="25">
        <v>73899</v>
      </c>
      <c r="D1419" s="22" t="s">
        <v>2826</v>
      </c>
      <c r="E1419" s="22" t="s">
        <v>52</v>
      </c>
      <c r="F1419" s="23" t="str">
        <f>HYPERLINK("https://www.spark-marketing.ru/Card/Lot/73970607", "Поставка лекарственного препарата Баклофен,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п...")</f>
        <v>Поставка лекарственного препарата Баклофен,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п...</v>
      </c>
      <c r="G1419" s="22" t="s">
        <v>59</v>
      </c>
      <c r="H1419" s="22" t="s">
        <v>314</v>
      </c>
      <c r="I1419" s="26">
        <v>43735.609074074098</v>
      </c>
      <c r="J1419" s="23" t="str">
        <f>HYPERLINK("https://www.spark-marketing.ru/Card/Person/52312", "ООО ""ФАВОРИТ""")</f>
        <v>ООО "ФАВОРИТ"</v>
      </c>
      <c r="K1419" s="24" t="s">
        <v>2816</v>
      </c>
      <c r="L1419" s="22" t="s">
        <v>10</v>
      </c>
      <c r="M1419" s="28" t="s">
        <v>51</v>
      </c>
      <c r="N1419" s="28" t="s">
        <v>51</v>
      </c>
    </row>
    <row r="1420" spans="1:14" x14ac:dyDescent="0.15">
      <c r="A1420" s="23" t="str">
        <f>HYPERLINK("https://www.spark-marketing.ru/Card/Person/5951331", "ГБУЗ ПК ""ГБ Г. СОЛИКАМСК""")</f>
        <v>ГБУЗ ПК "ГБ Г. СОЛИКАМСК"</v>
      </c>
      <c r="B1420" s="24" t="s">
        <v>2827</v>
      </c>
      <c r="C1420" s="25">
        <v>2799961.6</v>
      </c>
      <c r="D1420" s="22" t="s">
        <v>2828</v>
      </c>
      <c r="E1420" s="22" t="s">
        <v>96</v>
      </c>
      <c r="F1420" s="23" t="str">
        <f>HYPERLINK("https://www.spark-marketing.ru/Card/Lot/73973894", "Оказание услуг по приготовлению лечебного питания для пациентов, находящихся на стационарном лечении")</f>
        <v>Оказание услуг по приготовлению лечебного питания для пациентов, находящихся на стационарном лечении</v>
      </c>
      <c r="G1420" s="22" t="s">
        <v>153</v>
      </c>
      <c r="H1420" s="22" t="s">
        <v>153</v>
      </c>
      <c r="I1420" s="26">
        <v>43735.591793981497</v>
      </c>
      <c r="J1420" s="28" t="s">
        <v>51</v>
      </c>
      <c r="K1420" s="28" t="s">
        <v>51</v>
      </c>
      <c r="L1420" s="28" t="s">
        <v>51</v>
      </c>
      <c r="M1420" s="28" t="s">
        <v>51</v>
      </c>
      <c r="N1420" s="28" t="s">
        <v>51</v>
      </c>
    </row>
    <row r="1421" spans="1:14" x14ac:dyDescent="0.15">
      <c r="A1421" s="23" t="str">
        <f>HYPERLINK("https://www.spark-marketing.ru/Card/Person/4352328", "ГБУЗС ""ГОРОДСКАЯ БОЛЬНИЦА №9""")</f>
        <v>ГБУЗС "ГОРОДСКАЯ БОЛЬНИЦА №9"</v>
      </c>
      <c r="B1421" s="24" t="s">
        <v>2829</v>
      </c>
      <c r="C1421" s="25">
        <v>20172000</v>
      </c>
      <c r="D1421" s="22" t="s">
        <v>2830</v>
      </c>
      <c r="E1421" s="22" t="s">
        <v>48</v>
      </c>
      <c r="F1421" s="23" t="str">
        <f>HYPERLINK("https://www.spark-marketing.ru/Card/Lot/73965437", "на оказание услуг по приготовлению и доставке диетического лечебного питания для нужд Государственного бюджетного учреждения здравоохранения Севастополя «Севастопольская городская больница №9""")</f>
        <v>на оказание услуг по приготовлению и доставке диетического лечебного питания для нужд Государственного бюджетного учреждения здравоохранения Севастополя «Севастопольская городская больница №9"</v>
      </c>
      <c r="G1421" s="22" t="s">
        <v>322</v>
      </c>
      <c r="H1421" s="22" t="s">
        <v>322</v>
      </c>
      <c r="I1421" s="26">
        <v>43735.591585648202</v>
      </c>
      <c r="J1421" s="28" t="s">
        <v>51</v>
      </c>
      <c r="K1421" s="28" t="s">
        <v>51</v>
      </c>
      <c r="L1421" s="28" t="s">
        <v>51</v>
      </c>
      <c r="M1421" s="28" t="s">
        <v>51</v>
      </c>
      <c r="N1421" s="28" t="s">
        <v>51</v>
      </c>
    </row>
    <row r="1422" spans="1:14" x14ac:dyDescent="0.15">
      <c r="A1422" s="23" t="str">
        <f>HYPERLINK("https://www.spark-marketing.ru/Card/Person/737290", "ГКУ «ЦБЗ ПРИ МИНЗДРАВЕ КАРЕЛИИ»")</f>
        <v>ГКУ «ЦБЗ ПРИ МИНЗДРАВЕ КАРЕЛИИ»</v>
      </c>
      <c r="B1422" s="24" t="s">
        <v>312</v>
      </c>
      <c r="C1422" s="25">
        <v>90606.6</v>
      </c>
      <c r="D1422" s="22" t="s">
        <v>2831</v>
      </c>
      <c r="E1422" s="22" t="s">
        <v>52</v>
      </c>
      <c r="F1422" s="23" t="str">
        <f>HYPERLINK("https://www.spark-marketing.ru/Card/Lot/73962035", "Поставка лекарственного препарата  Амиодарон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...")</f>
        <v>Поставка лекарственного препарата  Амиодарон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...</v>
      </c>
      <c r="G1422" s="22" t="s">
        <v>59</v>
      </c>
      <c r="H1422" s="22" t="s">
        <v>314</v>
      </c>
      <c r="I1422" s="26">
        <v>43735.609027777798</v>
      </c>
      <c r="J1422" s="28" t="s">
        <v>51</v>
      </c>
      <c r="K1422" s="28" t="s">
        <v>51</v>
      </c>
      <c r="L1422" s="28" t="s">
        <v>51</v>
      </c>
      <c r="M1422" s="28" t="s">
        <v>51</v>
      </c>
      <c r="N1422" s="28" t="s">
        <v>51</v>
      </c>
    </row>
    <row r="1423" spans="1:14" x14ac:dyDescent="0.15">
      <c r="A1423" s="23" t="str">
        <f>HYPERLINK("https://www.spark-marketing.ru/Card/Person/999700", "ОМВД РОССИИ ПО ГОРОДСКОМУ ОКРУГУ ГОРОД ПЕРЕСЛАВЛЬ-ЗАЛЕССКИЙ")</f>
        <v>ОМВД РОССИИ ПО ГОРОДСКОМУ ОКРУГУ ГОРОД ПЕРЕСЛАВЛЬ-ЗАЛЕССКИЙ</v>
      </c>
      <c r="B1423" s="24" t="s">
        <v>2832</v>
      </c>
      <c r="C1423" s="25">
        <v>725000</v>
      </c>
      <c r="D1423" s="22" t="s">
        <v>2833</v>
      </c>
      <c r="E1423" s="22" t="s">
        <v>48</v>
      </c>
      <c r="F1423" s="23" t="str">
        <f>HYPERLINK("https://www.spark-marketing.ru/Card/Lot/73964181", "Оказание услуг по обеспечение трехразовым горячим питанием лиц, содержащихся в изоляторе временного содержания ОМВД России по городскому округу город Переславль-Залесский")</f>
        <v>Оказание услуг по обеспечение трехразовым горячим питанием лиц, содержащихся в изоляторе временного содержания ОМВД России по городскому округу город Переславль-Залесский</v>
      </c>
      <c r="G1423" s="22" t="s">
        <v>185</v>
      </c>
      <c r="H1423" s="22" t="s">
        <v>2834</v>
      </c>
      <c r="I1423" s="26">
        <v>43735.593518518501</v>
      </c>
      <c r="J1423" s="23" t="str">
        <f>HYPERLINK("https://www.spark-marketing.ru/Card/Person/1513748", "ООО ""ВИЗИТ""")</f>
        <v>ООО "ВИЗИТ"</v>
      </c>
      <c r="K1423" s="24" t="s">
        <v>2835</v>
      </c>
      <c r="L1423" s="22" t="s">
        <v>10</v>
      </c>
      <c r="M1423" s="28" t="s">
        <v>51</v>
      </c>
      <c r="N1423" s="28" t="s">
        <v>51</v>
      </c>
    </row>
    <row r="1424" spans="1:14" x14ac:dyDescent="0.15">
      <c r="A1424" s="23" t="str">
        <f>HYPERLINK("https://www.spark-marketing.ru/Card/Person/737290", "ГКУ «ЦБЗ ПРИ МИНЗДРАВЕ КАРЕЛИИ»")</f>
        <v>ГКУ «ЦБЗ ПРИ МИНЗДРАВЕ КАРЕЛИИ»</v>
      </c>
      <c r="B1424" s="24" t="s">
        <v>312</v>
      </c>
      <c r="C1424" s="25">
        <v>33096</v>
      </c>
      <c r="D1424" s="22" t="s">
        <v>2836</v>
      </c>
      <c r="E1424" s="22" t="s">
        <v>52</v>
      </c>
      <c r="F1424" s="23" t="str">
        <f>HYPERLINK("https://www.spark-marketing.ru/Card/Lot/73960423", "Поставка лекарственного препарата    Сальбутамол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р...")</f>
        <v>Поставка лекарственного препарата    Сальбутамол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р...</v>
      </c>
      <c r="G1424" s="22" t="s">
        <v>59</v>
      </c>
      <c r="H1424" s="22" t="s">
        <v>314</v>
      </c>
      <c r="I1424" s="26">
        <v>43735.608333333301</v>
      </c>
      <c r="J1424" s="28" t="s">
        <v>51</v>
      </c>
      <c r="K1424" s="28" t="s">
        <v>51</v>
      </c>
      <c r="L1424" s="28" t="s">
        <v>51</v>
      </c>
      <c r="M1424" s="28" t="s">
        <v>51</v>
      </c>
      <c r="N1424" s="28" t="s">
        <v>51</v>
      </c>
    </row>
    <row r="1425" spans="1:14" x14ac:dyDescent="0.15">
      <c r="A1425" s="23" t="str">
        <f>HYPERLINK("https://www.spark-marketing.ru/Card/Person/737290", "ГКУ «ЦБЗ ПРИ МИНЗДРАВЕ КАРЕЛИИ»")</f>
        <v>ГКУ «ЦБЗ ПРИ МИНЗДРАВЕ КАРЕЛИИ»</v>
      </c>
      <c r="B1425" s="24" t="s">
        <v>312</v>
      </c>
      <c r="C1425" s="25">
        <v>145699.68</v>
      </c>
      <c r="D1425" s="22" t="s">
        <v>2837</v>
      </c>
      <c r="E1425" s="22" t="s">
        <v>493</v>
      </c>
      <c r="F1425" s="23" t="str">
        <f>HYPERLINK("https://www.spark-marketing.ru/Card/Lot/73970799", "Поставка  Тест-полосок к глюкометрам торговой марки  «Сателлит Экспресс»  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...")</f>
        <v>Поставка  Тест-полосок к глюкометрам торговой марки  «Сателлит Экспресс»  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...</v>
      </c>
      <c r="G1425" s="22" t="s">
        <v>59</v>
      </c>
      <c r="H1425" s="22" t="s">
        <v>314</v>
      </c>
      <c r="I1425" s="26">
        <v>43735.6090162037</v>
      </c>
      <c r="J1425" s="23" t="str">
        <f>HYPERLINK("https://www.spark-marketing.ru/Card/Person/6623444", "Соловьева Татьяна Викторовна")</f>
        <v>Соловьева Татьяна Викторовна</v>
      </c>
      <c r="K1425" s="24" t="s">
        <v>2838</v>
      </c>
      <c r="L1425" s="22" t="s">
        <v>10</v>
      </c>
      <c r="M1425" s="28" t="s">
        <v>51</v>
      </c>
      <c r="N1425" s="28" t="s">
        <v>51</v>
      </c>
    </row>
    <row r="1426" spans="1:14" x14ac:dyDescent="0.15">
      <c r="A1426" s="23" t="str">
        <f>HYPERLINK("https://www.spark-marketing.ru/Card/Person/999700", "ОМВД РОССИИ ПО ГОРОДСКОМУ ОКРУГУ ГОРОД ПЕРЕСЛАВЛЬ-ЗАЛЕССКИЙ")</f>
        <v>ОМВД РОССИИ ПО ГОРОДСКОМУ ОКРУГУ ГОРОД ПЕРЕСЛАВЛЬ-ЗАЛЕССКИЙ</v>
      </c>
      <c r="B1426" s="24" t="s">
        <v>2832</v>
      </c>
      <c r="C1426" s="25">
        <v>725000</v>
      </c>
      <c r="D1426" s="22" t="s">
        <v>2839</v>
      </c>
      <c r="E1426" s="22" t="s">
        <v>48</v>
      </c>
      <c r="F1426" s="23" t="str">
        <f>HYPERLINK("https://www.spark-marketing.ru/Card/Lot/73964260", "Оказание услуг по обеспечение трехразовым горячим питанием лиц, содержащихся в изоляторе временного содержания ОМВД России по городскому округу город Переславль-Залесский.")</f>
        <v>Оказание услуг по обеспечение трехразовым горячим питанием лиц, содержащихся в изоляторе временного содержания ОМВД России по городскому округу город Переславль-Залесский.</v>
      </c>
      <c r="G1426" s="22" t="s">
        <v>185</v>
      </c>
      <c r="H1426" s="22" t="s">
        <v>2834</v>
      </c>
      <c r="I1426" s="26">
        <v>43735.607361111099</v>
      </c>
      <c r="J1426" s="23" t="str">
        <f>HYPERLINK("https://www.spark-marketing.ru/Card/Person/1513748", "ООО ""ВИЗИТ""")</f>
        <v>ООО "ВИЗИТ"</v>
      </c>
      <c r="K1426" s="24" t="s">
        <v>2835</v>
      </c>
      <c r="L1426" s="22" t="s">
        <v>10</v>
      </c>
      <c r="M1426" s="28" t="s">
        <v>51</v>
      </c>
      <c r="N1426" s="28" t="s">
        <v>51</v>
      </c>
    </row>
    <row r="1427" spans="1:14" x14ac:dyDescent="0.15">
      <c r="A1427" s="23" t="str">
        <f>HYPERLINK("https://www.spark-marketing.ru/Card/Person/101010", "УМВД РОССИИ ПО Г. ЧЕБОКСАРЫ")</f>
        <v>УМВД РОССИИ ПО Г. ЧЕБОКСАРЫ</v>
      </c>
      <c r="B1427" s="24" t="s">
        <v>2840</v>
      </c>
      <c r="C1427" s="25">
        <v>1050183.43</v>
      </c>
      <c r="D1427" s="22" t="s">
        <v>2841</v>
      </c>
      <c r="E1427" s="22" t="s">
        <v>96</v>
      </c>
      <c r="F1427" s="23" t="str">
        <f>HYPERLINK("https://www.spark-marketing.ru/Card/Lot/73963873", "Услуги по обеспечению ежедневным горячим питанием подозреваемых и обвиняемых в совершении преступлений, содержащихся в изоляторе временного содержания, лиц задержанных, арестованных в административном порядке")</f>
        <v>Услуги по обеспечению ежедневным горячим питанием подозреваемых и обвиняемых в совершении преступлений, содержащихся в изоляторе временного содержания, лиц задержанных, арестованных в административном порядке</v>
      </c>
      <c r="G1427" s="22" t="s">
        <v>618</v>
      </c>
      <c r="H1427" s="22" t="s">
        <v>2842</v>
      </c>
      <c r="I1427" s="26">
        <v>43735.589560185203</v>
      </c>
      <c r="J1427" s="23" t="str">
        <f>HYPERLINK("https://www.spark-marketing.ru/Card/Person/624205", "ООО ""СТОЛОВАЯ""")</f>
        <v>ООО "СТОЛОВАЯ"</v>
      </c>
      <c r="K1427" s="24" t="s">
        <v>2843</v>
      </c>
      <c r="L1427" s="28" t="s">
        <v>51</v>
      </c>
      <c r="M1427" s="28" t="s">
        <v>51</v>
      </c>
      <c r="N1427" s="28" t="s">
        <v>51</v>
      </c>
    </row>
    <row r="1428" spans="1:14" hidden="1" outlineLevel="1" x14ac:dyDescent="0.15">
      <c r="A1428" s="23" t="str">
        <f>HYPERLINK("https://www.spark-marketing.ru/Card/Person/101010", "УМВД РОССИИ ПО Г. ЧЕБОКСАРЫ")</f>
        <v>УМВД РОССИИ ПО Г. ЧЕБОКСАРЫ</v>
      </c>
      <c r="B1428" s="24" t="s">
        <v>2840</v>
      </c>
      <c r="C1428" s="25">
        <v>1050183.43</v>
      </c>
      <c r="D1428" s="22" t="s">
        <v>2841</v>
      </c>
      <c r="E1428" s="22" t="s">
        <v>96</v>
      </c>
      <c r="F1428" s="23" t="str">
        <f>HYPERLINK("https://www.spark-marketing.ru/Card/Lot/73963873", "Услуги по обеспечению ежедневным горячим питанием подозреваемых и обвиняемых в совершении преступлений, содержащихся в изоляторе временного содержания, лиц задержанных, арестованных в административном порядке")</f>
        <v>Услуги по обеспечению ежедневным горячим питанием подозреваемых и обвиняемых в совершении преступлений, содержащихся в изоляторе временного содержания, лиц задержанных, арестованных в административном порядке</v>
      </c>
      <c r="G1428" s="22" t="s">
        <v>618</v>
      </c>
      <c r="H1428" s="22" t="s">
        <v>2842</v>
      </c>
      <c r="I1428" s="26">
        <v>43735.589560185203</v>
      </c>
      <c r="J1428" s="23" t="str">
        <f>HYPERLINK("https://www.spark-marketing.ru/Card/Person/624205", "ООО ""СТОЛОВАЯ""")</f>
        <v>ООО "СТОЛОВАЯ"</v>
      </c>
      <c r="K1428" s="24" t="s">
        <v>2843</v>
      </c>
      <c r="L1428" s="22" t="s">
        <v>10</v>
      </c>
      <c r="M1428" s="28" t="s">
        <v>51</v>
      </c>
      <c r="N1428" s="28" t="s">
        <v>51</v>
      </c>
    </row>
    <row r="1429" spans="1:14" x14ac:dyDescent="0.15">
      <c r="A1429" s="23" t="str">
        <f>HYPERLINK("https://www.spark-marketing.ru/Card/Person/737290", "ГКУ «ЦБЗ ПРИ МИНЗДРАВЕ КАРЕЛИИ»")</f>
        <v>ГКУ «ЦБЗ ПРИ МИНЗДРАВЕ КАРЕЛИИ»</v>
      </c>
      <c r="B1429" s="24" t="s">
        <v>312</v>
      </c>
      <c r="C1429" s="25">
        <v>1867034.4</v>
      </c>
      <c r="D1429" s="22" t="s">
        <v>2844</v>
      </c>
      <c r="E1429" s="22" t="s">
        <v>52</v>
      </c>
      <c r="F1429" s="23" t="str">
        <f>HYPERLINK("https://www.spark-marketing.ru/Card/Lot/73970605", "Поставка лекарственного препарата Метформин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рецеп...")</f>
        <v>Поставка лекарственного препарата Метформин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</v>
      </c>
      <c r="G1429" s="22" t="s">
        <v>59</v>
      </c>
      <c r="H1429" s="22" t="s">
        <v>314</v>
      </c>
      <c r="I1429" s="26">
        <v>43735.609050925901</v>
      </c>
      <c r="J1429" s="23" t="str">
        <f>HYPERLINK("https://www.spark-marketing.ru/Card/Person/6231467", "ООО ""ОБЛФАРМ АЛЬЯНС""")</f>
        <v>ООО "ОБЛФАРМ АЛЬЯНС"</v>
      </c>
      <c r="K1429" s="24" t="s">
        <v>2175</v>
      </c>
      <c r="L1429" s="22" t="s">
        <v>10</v>
      </c>
      <c r="M1429" s="28" t="s">
        <v>51</v>
      </c>
      <c r="N1429" s="28" t="s">
        <v>51</v>
      </c>
    </row>
    <row r="1430" spans="1:14" x14ac:dyDescent="0.15">
      <c r="A1430" s="23" t="str">
        <f>HYPERLINK("https://www.spark-marketing.ru/Card/Person/737290", "ГКУ «ЦБЗ ПРИ МИНЗДРАВЕ КАРЕЛИИ»")</f>
        <v>ГКУ «ЦБЗ ПРИ МИНЗДРАВЕ КАРЕЛИИ»</v>
      </c>
      <c r="B1430" s="24" t="s">
        <v>312</v>
      </c>
      <c r="C1430" s="25">
        <v>35063.199999999997</v>
      </c>
      <c r="D1430" s="22" t="s">
        <v>2845</v>
      </c>
      <c r="E1430" s="22" t="s">
        <v>52</v>
      </c>
      <c r="F1430" s="23" t="str">
        <f>HYPERLINK("https://www.spark-marketing.ru/Card/Lot/73960424", "Поставка  лекарственного препарата  Рисперидон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 лекарственного препарата  Рисперидон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1430" s="22" t="s">
        <v>59</v>
      </c>
      <c r="H1430" s="22" t="s">
        <v>314</v>
      </c>
      <c r="I1430" s="26">
        <v>43735.609027777798</v>
      </c>
      <c r="J1430" s="23" t="str">
        <f>HYPERLINK("https://www.spark-marketing.ru/Card/Person/6231467", "ООО ""ОБЛФАРМ АЛЬЯНС""")</f>
        <v>ООО "ОБЛФАРМ АЛЬЯНС"</v>
      </c>
      <c r="K1430" s="24" t="s">
        <v>2175</v>
      </c>
      <c r="L1430" s="22" t="s">
        <v>10</v>
      </c>
      <c r="M1430" s="28" t="s">
        <v>51</v>
      </c>
      <c r="N1430" s="28" t="s">
        <v>51</v>
      </c>
    </row>
    <row r="1431" spans="1:14" x14ac:dyDescent="0.15">
      <c r="A1431" s="23" t="str">
        <f>HYPERLINK("https://www.spark-marketing.ru/Card/Person/89436", "МБОУ СОШ № 6")</f>
        <v>МБОУ СОШ № 6</v>
      </c>
      <c r="B1431" s="24" t="s">
        <v>2846</v>
      </c>
      <c r="C1431" s="25">
        <v>6093066</v>
      </c>
      <c r="D1431" s="22" t="s">
        <v>2847</v>
      </c>
      <c r="E1431" s="22" t="s">
        <v>48</v>
      </c>
      <c r="F1431" s="23" t="str">
        <f>HYPERLINK("https://www.spark-marketing.ru/Card/Lot/73967427", "Оказание услуг по организации горячего питания отдельным категориям обучающихся в МБОУ СОШ № 6")</f>
        <v>Оказание услуг по организации горячего питания отдельным категориям обучающихся в МБОУ СОШ № 6</v>
      </c>
      <c r="G1431" s="22" t="s">
        <v>49</v>
      </c>
      <c r="H1431" s="22" t="s">
        <v>301</v>
      </c>
      <c r="I1431" s="26">
        <v>43735.5958680556</v>
      </c>
      <c r="J1431" s="28" t="s">
        <v>51</v>
      </c>
      <c r="K1431" s="28" t="s">
        <v>51</v>
      </c>
      <c r="L1431" s="28" t="s">
        <v>51</v>
      </c>
      <c r="M1431" s="28" t="s">
        <v>51</v>
      </c>
      <c r="N1431" s="28" t="s">
        <v>51</v>
      </c>
    </row>
    <row r="1432" spans="1:14" x14ac:dyDescent="0.15">
      <c r="A1432" s="23" t="str">
        <f>HYPERLINK("https://www.spark-marketing.ru/Card/Person/49399", "МО МВД РОССИИ ""КИНЕШЕМСКИЙ""")</f>
        <v>МО МВД РОССИИ "КИНЕШЕМСКИЙ"</v>
      </c>
      <c r="B1432" s="24" t="s">
        <v>2206</v>
      </c>
      <c r="C1432" s="25">
        <v>515300</v>
      </c>
      <c r="D1432" s="22" t="s">
        <v>2848</v>
      </c>
      <c r="E1432" s="22" t="s">
        <v>48</v>
      </c>
      <c r="F1432" s="23" t="str">
        <f>HYPERLINK("https://www.spark-marketing.ru/Card/Lot/73964087", "Оказание услуг по организации питания лиц, содержащихся в КСЗЛ для лиц, задержанных в административном порядке свыше 3-х часов и в изоляторе временного содержания МО МВД России «Кинешемский», в изоляторе временного содержания и КСЗЛ для лиц, задержан...")</f>
        <v>Оказание услуг по организации питания лиц, содержащихся в КСЗЛ для лиц, задержанных в административном порядке свыше 3-х часов и в изоляторе временного содержания МО МВД России «Кинешемский», в изоляторе временного содержания и КСЗЛ для лиц, задержан...</v>
      </c>
      <c r="G1432" s="22" t="s">
        <v>1047</v>
      </c>
      <c r="H1432" s="22" t="s">
        <v>1047</v>
      </c>
      <c r="I1432" s="26">
        <v>43735.578368055598</v>
      </c>
      <c r="J1432" s="23" t="str">
        <f>HYPERLINK("https://www.spark-marketing.ru/Card/Person/582836", "Ярославцева Татьяна Сергеевна")</f>
        <v>Ярославцева Татьяна Сергеевна</v>
      </c>
      <c r="K1432" s="24" t="s">
        <v>2209</v>
      </c>
      <c r="L1432" s="22" t="s">
        <v>10</v>
      </c>
      <c r="M1432" s="28" t="s">
        <v>51</v>
      </c>
      <c r="N1432" s="28" t="s">
        <v>51</v>
      </c>
    </row>
    <row r="1433" spans="1:14" x14ac:dyDescent="0.15">
      <c r="A1433" s="23" t="str">
        <f>HYPERLINK("https://www.spark-marketing.ru/Card/Person/242560", "МБОУ СОШ № 11 Г. ПУШКИНО")</f>
        <v>МБОУ СОШ № 11 Г. ПУШКИНО</v>
      </c>
      <c r="B1433" s="24" t="s">
        <v>2849</v>
      </c>
      <c r="C1433" s="25">
        <v>599975</v>
      </c>
      <c r="D1433" s="22" t="s">
        <v>2850</v>
      </c>
      <c r="E1433" s="22" t="s">
        <v>48</v>
      </c>
      <c r="F1433" s="23" t="str">
        <f>HYPERLINK("https://www.spark-marketing.ru/Card/Lot/73950230", "Оказание услуг по организации питания для учащихся общеобразовательной организации (завтраки)")</f>
        <v>Оказание услуг по организации питания для учащихся общеобразовательной организации (завтраки)</v>
      </c>
      <c r="G1433" s="22" t="s">
        <v>49</v>
      </c>
      <c r="H1433" s="22" t="s">
        <v>1263</v>
      </c>
      <c r="I1433" s="26">
        <v>43735.555370370399</v>
      </c>
      <c r="J1433" s="28" t="s">
        <v>51</v>
      </c>
      <c r="K1433" s="28" t="s">
        <v>51</v>
      </c>
      <c r="L1433" s="28" t="s">
        <v>51</v>
      </c>
      <c r="M1433" s="28" t="s">
        <v>51</v>
      </c>
      <c r="N1433" s="28" t="s">
        <v>51</v>
      </c>
    </row>
    <row r="1434" spans="1:14" x14ac:dyDescent="0.15">
      <c r="A1434" s="23" t="str">
        <f>HYPERLINK("https://www.spark-marketing.ru/Card/Person/49399", "МО МВД РОССИИ ""КИНЕШЕМСКИЙ""")</f>
        <v>МО МВД РОССИИ "КИНЕШЕМСКИЙ"</v>
      </c>
      <c r="B1434" s="24" t="s">
        <v>2206</v>
      </c>
      <c r="C1434" s="25">
        <v>515300</v>
      </c>
      <c r="D1434" s="22" t="s">
        <v>2851</v>
      </c>
      <c r="E1434" s="22" t="s">
        <v>48</v>
      </c>
      <c r="F1434" s="23" t="str">
        <f>HYPERLINK("https://www.spark-marketing.ru/Card/Lot/73963809", "Оказание услуг по организации питания лиц, содержащихся в КСЗЛ для лиц, задержанных в административном порядке свыше 3-х часов и в изоляторе временного содержания МО МВД России «Кинешемский», в изоляторе временного содержания и КСЗЛ для лиц, задержан...")</f>
        <v>Оказание услуг по организации питания лиц, содержащихся в КСЗЛ для лиц, задержанных в административном порядке свыше 3-х часов и в изоляторе временного содержания МО МВД России «Кинешемский», в изоляторе временного содержания и КСЗЛ для лиц, задержан...</v>
      </c>
      <c r="G1434" s="22" t="s">
        <v>1047</v>
      </c>
      <c r="H1434" s="22" t="s">
        <v>1047</v>
      </c>
      <c r="I1434" s="26">
        <v>43735.569918981499</v>
      </c>
      <c r="J1434" s="23" t="str">
        <f>HYPERLINK("https://www.spark-marketing.ru/Card/Person/582836", "Ярославцева Татьяна Сергеевна")</f>
        <v>Ярославцева Татьяна Сергеевна</v>
      </c>
      <c r="K1434" s="24" t="s">
        <v>2209</v>
      </c>
      <c r="L1434" s="22" t="s">
        <v>10</v>
      </c>
      <c r="M1434" s="28" t="s">
        <v>51</v>
      </c>
      <c r="N1434" s="28" t="s">
        <v>51</v>
      </c>
    </row>
    <row r="1435" spans="1:14" x14ac:dyDescent="0.15">
      <c r="A1435" s="23" t="str">
        <f>HYPERLINK("https://www.spark-marketing.ru/Card/Person/104477", "МО МВД РОССИИ ""ЗИМИНСКИЙ""")</f>
        <v>МО МВД РОССИИ "ЗИМИНСКИЙ"</v>
      </c>
      <c r="B1435" s="24" t="s">
        <v>2852</v>
      </c>
      <c r="C1435" s="25">
        <v>66483</v>
      </c>
      <c r="D1435" s="22" t="s">
        <v>2853</v>
      </c>
      <c r="E1435" s="22" t="s">
        <v>48</v>
      </c>
      <c r="F1435" s="23" t="str">
        <f>HYPERLINK("https://www.spark-marketing.ru/Card/Lot/73949470", "Услуги по обеспечению питания лиц содержащихся в спец. помещениях задержанных лиц, 5 усл. ед")</f>
        <v>Услуги по обеспечению питания лиц содержащихся в спец. помещениях задержанных лиц, 5 усл. ед</v>
      </c>
      <c r="G1435" s="22" t="s">
        <v>263</v>
      </c>
      <c r="H1435" s="22" t="s">
        <v>2854</v>
      </c>
      <c r="I1435" s="26">
        <v>43735.582581018498</v>
      </c>
      <c r="J1435" s="28" t="s">
        <v>51</v>
      </c>
      <c r="K1435" s="28" t="s">
        <v>51</v>
      </c>
      <c r="L1435" s="28" t="s">
        <v>51</v>
      </c>
      <c r="M1435" s="28" t="s">
        <v>51</v>
      </c>
      <c r="N1435" s="28" t="s">
        <v>51</v>
      </c>
    </row>
    <row r="1436" spans="1:14" x14ac:dyDescent="0.15">
      <c r="A1436" s="23" t="str">
        <f>HYPERLINK("https://www.spark-marketing.ru/Card/Person/242560", "МБОУ СОШ № 11 Г. ПУШКИНО")</f>
        <v>МБОУ СОШ № 11 Г. ПУШКИНО</v>
      </c>
      <c r="B1436" s="24" t="s">
        <v>2849</v>
      </c>
      <c r="C1436" s="25">
        <v>599963.92000000004</v>
      </c>
      <c r="D1436" s="22" t="s">
        <v>2855</v>
      </c>
      <c r="E1436" s="22" t="s">
        <v>48</v>
      </c>
      <c r="F1436" s="23" t="str">
        <f>HYPERLINK("https://www.spark-marketing.ru/Card/Lot/73950232", "Оказание услуг по организации питания для учащихся общеобразовательной организации (обеды)")</f>
        <v>Оказание услуг по организации питания для учащихся общеобразовательной организации (обеды)</v>
      </c>
      <c r="G1436" s="22" t="s">
        <v>49</v>
      </c>
      <c r="H1436" s="22" t="s">
        <v>1263</v>
      </c>
      <c r="I1436" s="26">
        <v>43735.555671296301</v>
      </c>
      <c r="J1436" s="28" t="s">
        <v>51</v>
      </c>
      <c r="K1436" s="28" t="s">
        <v>51</v>
      </c>
      <c r="L1436" s="28" t="s">
        <v>51</v>
      </c>
      <c r="M1436" s="28" t="s">
        <v>51</v>
      </c>
      <c r="N1436" s="28" t="s">
        <v>51</v>
      </c>
    </row>
    <row r="1437" spans="1:14" x14ac:dyDescent="0.15">
      <c r="A1437" s="23" t="str">
        <f>HYPERLINK("https://www.spark-marketing.ru/Card/Person/147708", "ОМВД РОССИИ ПО ОБОЯНСКОМУ РАЙОНУ")</f>
        <v>ОМВД РОССИИ ПО ОБОЯНСКОМУ РАЙОНУ</v>
      </c>
      <c r="B1437" s="24" t="s">
        <v>2856</v>
      </c>
      <c r="C1437" s="25">
        <v>205646</v>
      </c>
      <c r="D1437" s="22" t="s">
        <v>2857</v>
      </c>
      <c r="E1437" s="22" t="s">
        <v>48</v>
      </c>
      <c r="F1437" s="23" t="str">
        <f>HYPERLINK("https://www.spark-marketing.ru/Card/Lot/73970501", "Оказание услуг по обеспечению ежедневным трёхразовым горячим питанием лиц, содержащихся в изоляторе временного содержания подозреваемых и обвиняемых")</f>
        <v>Оказание услуг по обеспечению ежедневным трёхразовым горячим питанием лиц, содержащихся в изоляторе временного содержания подозреваемых и обвиняемых</v>
      </c>
      <c r="G1437" s="22" t="s">
        <v>1111</v>
      </c>
      <c r="H1437" s="22" t="s">
        <v>1111</v>
      </c>
      <c r="I1437" s="26">
        <v>43735.578206018501</v>
      </c>
      <c r="J1437" s="28" t="s">
        <v>51</v>
      </c>
      <c r="K1437" s="28" t="s">
        <v>51</v>
      </c>
      <c r="L1437" s="28" t="s">
        <v>51</v>
      </c>
      <c r="M1437" s="28" t="s">
        <v>51</v>
      </c>
      <c r="N1437" s="28" t="s">
        <v>51</v>
      </c>
    </row>
    <row r="1438" spans="1:14" x14ac:dyDescent="0.15">
      <c r="A1438" s="23" t="str">
        <f>HYPERLINK("https://www.spark-marketing.ru/Card/Person/16091", "УПРАВЛЕНИЕ РОСРЕЕСТРА ПО САМАРСКОЙ ОБЛАСТИ")</f>
        <v>УПРАВЛЕНИЕ РОСРЕЕСТРА ПО САМАРСКОЙ ОБЛАСТИ</v>
      </c>
      <c r="B1438" s="24" t="s">
        <v>2858</v>
      </c>
      <c r="C1438" s="25">
        <v>1800000</v>
      </c>
      <c r="D1438" s="22" t="s">
        <v>2859</v>
      </c>
      <c r="E1438" s="22" t="s">
        <v>91</v>
      </c>
      <c r="F1438" s="23" t="str">
        <f>HYPERLINK("https://www.spark-marketing.ru/Card/Lot/73963776", "Оказание услуг по техническому обслуживанию и (или) выполнение работ по ремонту серверного оборудования и серверных источников бесперебойного питания")</f>
        <v>Оказание услуг по техническому обслуживанию и (или) выполнение работ по ремонту серверного оборудования и серверных источников бесперебойного питания</v>
      </c>
      <c r="G1438" s="22" t="s">
        <v>128</v>
      </c>
      <c r="H1438" s="22" t="s">
        <v>128</v>
      </c>
      <c r="I1438" s="26">
        <v>43735.540069444403</v>
      </c>
      <c r="J1438" s="23" t="str">
        <f>HYPERLINK("https://www.spark-marketing.ru/Card/Person/129295", "ООО ""МСК ГРУПП ИС""")</f>
        <v>ООО "МСК ГРУПП ИС"</v>
      </c>
      <c r="K1438" s="24" t="s">
        <v>2860</v>
      </c>
      <c r="L1438" s="22" t="s">
        <v>10</v>
      </c>
      <c r="M1438" s="28" t="s">
        <v>51</v>
      </c>
      <c r="N1438" s="28" t="s">
        <v>51</v>
      </c>
    </row>
    <row r="1439" spans="1:14" x14ac:dyDescent="0.15">
      <c r="A1439" s="23" t="str">
        <f>HYPERLINK("https://www.spark-marketing.ru/Card/Person/144449", "МБОУ ""ГИМНАЗИЯ №3""")</f>
        <v>МБОУ "ГИМНАЗИЯ №3"</v>
      </c>
      <c r="B1439" s="24" t="s">
        <v>2861</v>
      </c>
      <c r="C1439" s="25">
        <v>13762500</v>
      </c>
      <c r="D1439" s="22" t="s">
        <v>2862</v>
      </c>
      <c r="E1439" s="22" t="s">
        <v>48</v>
      </c>
      <c r="F1439" s="23" t="str">
        <f>HYPERLINK("https://www.spark-marketing.ru/Card/Lot/73967544", "на оказание услуг по организации горячего питания отдельным категориям обучающихся в МБОУ ""Гимназия №3""")</f>
        <v>на оказание услуг по организации горячего питания отдельным категориям обучающихся в МБОУ "Гимназия №3"</v>
      </c>
      <c r="G1439" s="22" t="s">
        <v>49</v>
      </c>
      <c r="H1439" s="22" t="s">
        <v>301</v>
      </c>
      <c r="I1439" s="26">
        <v>43735.528807870403</v>
      </c>
      <c r="J1439" s="28" t="s">
        <v>51</v>
      </c>
      <c r="K1439" s="28" t="s">
        <v>51</v>
      </c>
      <c r="L1439" s="28" t="s">
        <v>51</v>
      </c>
      <c r="M1439" s="28" t="s">
        <v>51</v>
      </c>
      <c r="N1439" s="28" t="s">
        <v>51</v>
      </c>
    </row>
    <row r="1440" spans="1:14" x14ac:dyDescent="0.15">
      <c r="A1440" s="23" t="str">
        <f>HYPERLINK("https://www.spark-marketing.ru/Card/Person/10941", "УМВД РОССИИ ПО ОРЛОВСКОЙ ОБЛАСТИ")</f>
        <v>УМВД РОССИИ ПО ОРЛОВСКОЙ ОБЛАСТИ</v>
      </c>
      <c r="B1440" s="24" t="s">
        <v>2361</v>
      </c>
      <c r="C1440" s="25">
        <v>503246.34</v>
      </c>
      <c r="D1440" s="22" t="s">
        <v>2863</v>
      </c>
      <c r="E1440" s="22" t="s">
        <v>48</v>
      </c>
      <c r="F1440" s="23" t="str">
        <f>HYPERLINK("https://www.spark-marketing.ru/Card/Lot/73969260", "Оказание услуг по обеспечению ежедневным горячим трехразовым питанием лиц, содержащихся в спецприемнике УМВД России по г.Орлу")</f>
        <v>Оказание услуг по обеспечению ежедневным горячим трехразовым питанием лиц, содержащихся в спецприемнике УМВД России по г.Орлу</v>
      </c>
      <c r="G1440" s="22" t="s">
        <v>1066</v>
      </c>
      <c r="H1440" s="22" t="s">
        <v>2864</v>
      </c>
      <c r="I1440" s="26">
        <v>43735.532442129603</v>
      </c>
      <c r="J1440" s="23" t="str">
        <f>HYPERLINK("https://www.spark-marketing.ru/Card/Person/369395", "ООО ""ЛИК""")</f>
        <v>ООО "ЛИК"</v>
      </c>
      <c r="K1440" s="24" t="s">
        <v>2865</v>
      </c>
      <c r="L1440" s="22" t="s">
        <v>10</v>
      </c>
      <c r="M1440" s="28" t="s">
        <v>51</v>
      </c>
      <c r="N1440" s="28" t="s">
        <v>51</v>
      </c>
    </row>
    <row r="1441" spans="1:14" x14ac:dyDescent="0.15">
      <c r="A1441" s="23" t="str">
        <f>HYPERLINK("https://www.spark-marketing.ru/Card/Person/89442", "МБОУ ""ГИМНАЗИЯ №5""")</f>
        <v>МБОУ "ГИМНАЗИЯ №5"</v>
      </c>
      <c r="B1441" s="24" t="s">
        <v>2866</v>
      </c>
      <c r="C1441" s="25">
        <v>13129732</v>
      </c>
      <c r="D1441" s="22" t="s">
        <v>2867</v>
      </c>
      <c r="E1441" s="22" t="s">
        <v>48</v>
      </c>
      <c r="F1441" s="23" t="str">
        <f>HYPERLINK("https://www.spark-marketing.ru/Card/Lot/73967548", "на оказание услуг по организации горячего питания отдельным категориям обучающихся в МБОУ ""Гимназия №5""")</f>
        <v>на оказание услуг по организации горячего питания отдельным категориям обучающихся в МБОУ "Гимназия №5"</v>
      </c>
      <c r="G1441" s="22" t="s">
        <v>49</v>
      </c>
      <c r="H1441" s="22" t="s">
        <v>301</v>
      </c>
      <c r="I1441" s="26">
        <v>43735.531099537002</v>
      </c>
      <c r="J1441" s="28" t="s">
        <v>51</v>
      </c>
      <c r="K1441" s="28" t="s">
        <v>51</v>
      </c>
      <c r="L1441" s="28" t="s">
        <v>51</v>
      </c>
      <c r="M1441" s="28" t="s">
        <v>51</v>
      </c>
      <c r="N1441" s="28" t="s">
        <v>51</v>
      </c>
    </row>
    <row r="1442" spans="1:14" x14ac:dyDescent="0.15">
      <c r="A1442" s="23" t="str">
        <f>HYPERLINK("https://www.spark-marketing.ru/Card/Person/24706", "ОТДЕЛ МВД РОССИИ ПО Г. ЛЕСОСИБИРСКУ")</f>
        <v>ОТДЕЛ МВД РОССИИ ПО Г. ЛЕСОСИБИРСКУ</v>
      </c>
      <c r="B1442" s="24" t="s">
        <v>1446</v>
      </c>
      <c r="C1442" s="25">
        <v>150000</v>
      </c>
      <c r="D1442" s="22" t="s">
        <v>2868</v>
      </c>
      <c r="E1442" s="22" t="s">
        <v>48</v>
      </c>
      <c r="F1442" s="23" t="str">
        <f>HYPERLINK("https://www.spark-marketing.ru/Card/Lot/73944350",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442" s="22" t="s">
        <v>281</v>
      </c>
      <c r="H1442" s="22" t="s">
        <v>1448</v>
      </c>
      <c r="I1442" s="26">
        <v>43735.503194444398</v>
      </c>
      <c r="J1442" s="28" t="s">
        <v>51</v>
      </c>
      <c r="K1442" s="28" t="s">
        <v>51</v>
      </c>
      <c r="L1442" s="28" t="s">
        <v>51</v>
      </c>
      <c r="M1442" s="28" t="s">
        <v>51</v>
      </c>
      <c r="N1442" s="28" t="s">
        <v>51</v>
      </c>
    </row>
    <row r="1443" spans="1:14" x14ac:dyDescent="0.15">
      <c r="A1443" s="23" t="str">
        <f>HYPERLINK("https://www.spark-marketing.ru/Card/Person/4348382", "ООО ""ГАЗПРОМ ПИТАНИЕ""")</f>
        <v>ООО "ГАЗПРОМ ПИТАНИЕ"</v>
      </c>
      <c r="B1443" s="24" t="s">
        <v>2869</v>
      </c>
      <c r="C1443" s="25">
        <v>53000</v>
      </c>
      <c r="D1443" s="22" t="s">
        <v>2870</v>
      </c>
      <c r="E1443" s="22" t="s">
        <v>52</v>
      </c>
      <c r="F1443" s="23" t="str">
        <f>HYPERLINK("https://www.spark-marketing.ru/Card/Lot/73946442", "Оказание информационных услуг (предоставление возможности публикации вакансий и доступа к базе данных) для нужд ооо ""газпром питание")</f>
        <v>Оказание информационных услуг (предоставление возможности публикации вакансий и доступа к базе данных) для нужд ооо "газпром питание</v>
      </c>
      <c r="G1443" s="22" t="s">
        <v>56</v>
      </c>
      <c r="H1443" s="22" t="s">
        <v>56</v>
      </c>
      <c r="I1443" s="26">
        <v>43735.517361111102</v>
      </c>
      <c r="J1443" s="28" t="s">
        <v>51</v>
      </c>
      <c r="K1443" s="28" t="s">
        <v>51</v>
      </c>
      <c r="L1443" s="28" t="s">
        <v>51</v>
      </c>
      <c r="M1443" s="28" t="s">
        <v>51</v>
      </c>
      <c r="N1443" s="28" t="s">
        <v>51</v>
      </c>
    </row>
    <row r="1444" spans="1:14" x14ac:dyDescent="0.15">
      <c r="A1444" s="23" t="str">
        <f>HYPERLINK("https://www.spark-marketing.ru/Card/Person/10941", "УМВД РОССИИ ПО ОРЛОВСКОЙ ОБЛАСТИ")</f>
        <v>УМВД РОССИИ ПО ОРЛОВСКОЙ ОБЛАСТИ</v>
      </c>
      <c r="B1444" s="24" t="s">
        <v>2361</v>
      </c>
      <c r="C1444" s="25">
        <v>615078.86</v>
      </c>
      <c r="D1444" s="22" t="s">
        <v>2871</v>
      </c>
      <c r="E1444" s="22" t="s">
        <v>48</v>
      </c>
      <c r="F1444" s="23" t="str">
        <f>HYPERLINK("https://www.spark-marketing.ru/Card/Lot/73969250", "Оказание услуг по обеспечению ежедневным горячим трехразовым питанием лиц, содержащихся в ЦВСИГ УМВД России по Орловской области")</f>
        <v>Оказание услуг по обеспечению ежедневным горячим трехразовым питанием лиц, содержащихся в ЦВСИГ УМВД России по Орловской области</v>
      </c>
      <c r="G1444" s="22" t="s">
        <v>1066</v>
      </c>
      <c r="H1444" s="22" t="s">
        <v>2864</v>
      </c>
      <c r="I1444" s="26">
        <v>43735.5311574074</v>
      </c>
      <c r="J1444" s="23" t="str">
        <f>HYPERLINK("https://www.spark-marketing.ru/Card/Person/369395", "ООО ""ЛИК""")</f>
        <v>ООО "ЛИК"</v>
      </c>
      <c r="K1444" s="24" t="s">
        <v>2865</v>
      </c>
      <c r="L1444" s="22" t="s">
        <v>10</v>
      </c>
      <c r="M1444" s="28" t="s">
        <v>51</v>
      </c>
      <c r="N1444" s="28" t="s">
        <v>51</v>
      </c>
    </row>
    <row r="1445" spans="1:14" x14ac:dyDescent="0.15">
      <c r="A1445" s="23" t="str">
        <f>HYPERLINK("https://www.spark-marketing.ru/Card/Person/1034128", "МБУФКИС ""ВОЛКОВСКОЕ"" РГО МО")</f>
        <v>МБУФКИС "ВОЛКОВСКОЕ" РГО МО</v>
      </c>
      <c r="B1445" s="24" t="s">
        <v>2872</v>
      </c>
      <c r="C1445" s="25">
        <v>40000</v>
      </c>
      <c r="D1445" s="22" t="s">
        <v>2873</v>
      </c>
      <c r="E1445" s="22" t="s">
        <v>48</v>
      </c>
      <c r="F1445" s="23" t="str">
        <f>HYPERLINK("https://www.spark-marketing.ru/Card/Lot/73946872", "Оказание услуг по организации питания для участников мероприятия ""Открытие лыжного сезона 2020""")</f>
        <v>Оказание услуг по организации питания для участников мероприятия "Открытие лыжного сезона 2020"</v>
      </c>
      <c r="G1445" s="22" t="s">
        <v>49</v>
      </c>
      <c r="H1445" s="22" t="s">
        <v>2874</v>
      </c>
      <c r="I1445" s="26">
        <v>43735.503738425898</v>
      </c>
      <c r="J1445" s="28" t="s">
        <v>51</v>
      </c>
      <c r="K1445" s="28" t="s">
        <v>51</v>
      </c>
      <c r="L1445" s="28" t="s">
        <v>51</v>
      </c>
      <c r="M1445" s="28" t="s">
        <v>51</v>
      </c>
      <c r="N1445" s="28" t="s">
        <v>51</v>
      </c>
    </row>
    <row r="1446" spans="1:14" x14ac:dyDescent="0.15">
      <c r="A1446" s="23" t="str">
        <f>HYPERLINK("https://www.spark-marketing.ru/Card/Person/5970506", "УПРАВЛЕНИЕ РОСГВАРДИИ ПО РЕСПУБЛИКЕ ТАТАРСТАН")</f>
        <v>УПРАВЛЕНИЕ РОСГВАРДИИ ПО РЕСПУБЛИКЕ ТАТАРСТАН</v>
      </c>
      <c r="B1446" s="24" t="s">
        <v>2875</v>
      </c>
      <c r="C1446" s="25">
        <v>45545.56</v>
      </c>
      <c r="D1446" s="22" t="s">
        <v>2876</v>
      </c>
      <c r="E1446" s="22" t="s">
        <v>48</v>
      </c>
      <c r="F1446" s="23" t="str">
        <f>HYPERLINK("https://www.spark-marketing.ru/Card/Lot/73953205", "прочая закупка услуг для обеспечения государственных нужд (оказание услуг по организации горячего питания летного состава авиационного отряда специального назначения)")</f>
        <v>прочая закупка услуг для обеспечения государственных нужд (оказание услуг по организации горячего питания летного состава авиационного отряда специального назначения)</v>
      </c>
      <c r="G1446" s="22" t="s">
        <v>217</v>
      </c>
      <c r="H1446" s="22" t="s">
        <v>217</v>
      </c>
      <c r="I1446" s="26">
        <v>43735.479861111096</v>
      </c>
      <c r="J1446" s="28" t="s">
        <v>51</v>
      </c>
      <c r="K1446" s="28" t="s">
        <v>51</v>
      </c>
      <c r="L1446" s="28" t="s">
        <v>51</v>
      </c>
      <c r="M1446" s="28" t="s">
        <v>51</v>
      </c>
      <c r="N1446" s="28" t="s">
        <v>51</v>
      </c>
    </row>
    <row r="1447" spans="1:14" hidden="1" outlineLevel="1" x14ac:dyDescent="0.2">
      <c r="A1447" s="23" t="str">
        <f>HYPERLINK("https://www.spark-marketing.ru/Card/Person/5970506", "УПРАВЛЕНИЕ РОСГВАРДИИ ПО РЕСПУБЛИКЕ ТАТАРСТАН")</f>
        <v>УПРАВЛЕНИЕ РОСГВАРДИИ ПО РЕСПУБЛИКЕ ТАТАРСТАН</v>
      </c>
      <c r="B1447" s="24" t="s">
        <v>2875</v>
      </c>
      <c r="C1447" s="25">
        <v>45545.56</v>
      </c>
      <c r="D1447" s="22" t="s">
        <v>2876</v>
      </c>
      <c r="E1447" s="22" t="s">
        <v>48</v>
      </c>
      <c r="F1447" s="23" t="str">
        <f>HYPERLINK("https://www.spark-marketing.ru/Card/Lot/73953205", "прочая закупка услуг для обеспечения государственных нужд (оказание услуг по организации горячего питания летного состава авиационного отряда специального назначения)")</f>
        <v>прочая закупка услуг для обеспечения государственных нужд (оказание услуг по организации горячего питания летного состава авиационного отряда специального назначения)</v>
      </c>
      <c r="G1447" s="22" t="s">
        <v>217</v>
      </c>
      <c r="H1447" s="22" t="s">
        <v>217</v>
      </c>
      <c r="I1447" s="26">
        <v>43735.479861111096</v>
      </c>
      <c r="J1447" s="23" t="str">
        <f>HYPERLINK("https://www.spark-marketing.ru/Card/Person/4889913", "ООО АНТАРЕС-Х""")</f>
        <v>ООО АНТАРЕС-Х"</v>
      </c>
      <c r="K1447" s="24" t="s">
        <v>2877</v>
      </c>
      <c r="L1447" s="28" t="s">
        <v>51</v>
      </c>
      <c r="M1447" s="25">
        <v>184.87</v>
      </c>
      <c r="N1447" s="27">
        <v>0.99594098744202508</v>
      </c>
    </row>
    <row r="1448" spans="1:14" ht="12.75" hidden="1" outlineLevel="1" x14ac:dyDescent="0.2">
      <c r="A1448" s="23" t="str">
        <f>HYPERLINK("https://www.spark-marketing.ru/Card/Person/5970506", "УПРАВЛЕНИЕ РОСГВАРДИИ ПО РЕСПУБЛИКЕ ТАТАРСТАН")</f>
        <v>УПРАВЛЕНИЕ РОСГВАРДИИ ПО РЕСПУБЛИКЕ ТАТАРСТАН</v>
      </c>
      <c r="B1448" s="24" t="s">
        <v>2875</v>
      </c>
      <c r="C1448" s="25">
        <v>45545.56</v>
      </c>
      <c r="D1448" s="22" t="s">
        <v>2876</v>
      </c>
      <c r="E1448" s="22" t="s">
        <v>48</v>
      </c>
      <c r="F1448" s="23" t="str">
        <f>HYPERLINK("https://www.spark-marketing.ru/Card/Lot/73953205", "прочая закупка услуг для обеспечения государственных нужд (оказание услуг по организации горячего питания летного состава авиационного отряда специального назначения)")</f>
        <v>прочая закупка услуг для обеспечения государственных нужд (оказание услуг по организации горячего питания летного состава авиационного отряда специального назначения)</v>
      </c>
      <c r="G1448" s="22" t="s">
        <v>217</v>
      </c>
      <c r="H1448" s="22" t="s">
        <v>217</v>
      </c>
      <c r="I1448" s="26">
        <v>43735.479861111096</v>
      </c>
      <c r="J1448" s="23" t="str">
        <f>HYPERLINK("https://www.spark-marketing.ru/Card/Person/2288929", "ООО ""ВЕРСАЛЪ""")</f>
        <v>ООО "ВЕРСАЛЪ"</v>
      </c>
      <c r="K1448" s="24" t="s">
        <v>2878</v>
      </c>
      <c r="L1448" s="22" t="s">
        <v>10</v>
      </c>
      <c r="M1448" s="25">
        <v>154</v>
      </c>
      <c r="N1448" s="27">
        <v>0.99661877030384516</v>
      </c>
    </row>
    <row r="1449" spans="1:14" x14ac:dyDescent="0.15">
      <c r="A1449" s="23" t="str">
        <f>HYPERLINK("https://www.spark-marketing.ru/Card/Person/6222178", "ООО АРТ АВИА")</f>
        <v>ООО АРТ АВИА</v>
      </c>
      <c r="B1449" s="28" t="s">
        <v>51</v>
      </c>
      <c r="C1449" s="28" t="s">
        <v>51</v>
      </c>
      <c r="D1449" s="22" t="s">
        <v>2879</v>
      </c>
      <c r="E1449" s="22" t="s">
        <v>765</v>
      </c>
      <c r="F1449" s="23" t="str">
        <f>HYPERLINK("https://www.spark-marketing.ru/Card/Lot/73994224", "Оказание услуг по обеспечению бортовым питанием")</f>
        <v>Оказание услуг по обеспечению бортовым питанием</v>
      </c>
      <c r="G1449" s="22" t="s">
        <v>51</v>
      </c>
      <c r="H1449" s="22" t="s">
        <v>51</v>
      </c>
      <c r="I1449" s="26">
        <v>43735.463194444397</v>
      </c>
      <c r="J1449" s="28" t="s">
        <v>51</v>
      </c>
      <c r="K1449" s="28" t="s">
        <v>51</v>
      </c>
      <c r="L1449" s="28" t="s">
        <v>51</v>
      </c>
      <c r="M1449" s="28" t="s">
        <v>51</v>
      </c>
      <c r="N1449" s="28" t="s">
        <v>51</v>
      </c>
    </row>
    <row r="1450" spans="1:14" x14ac:dyDescent="0.15">
      <c r="A1450" s="23" t="str">
        <f>HYPERLINK("https://www.spark-marketing.ru/Card/Person/37152", "ГБУЗ РК ""СЫКТЫВДИНСКАЯ ЦРБ""")</f>
        <v>ГБУЗ РК "СЫКТЫВДИНСКАЯ ЦРБ"</v>
      </c>
      <c r="B1450" s="24" t="s">
        <v>2880</v>
      </c>
      <c r="C1450" s="25">
        <v>172775</v>
      </c>
      <c r="D1450" s="22" t="s">
        <v>2881</v>
      </c>
      <c r="E1450" s="22" t="s">
        <v>86</v>
      </c>
      <c r="F1450" s="23" t="str">
        <f>HYPERLINK("https://www.spark-marketing.ru/Card/Lot/73964996", "Оказание услуг по проведению лабораторных исследований")</f>
        <v>Оказание услуг по проведению лабораторных исследований</v>
      </c>
      <c r="G1450" s="22" t="s">
        <v>271</v>
      </c>
      <c r="H1450" s="22" t="s">
        <v>271</v>
      </c>
      <c r="I1450" s="26">
        <v>43735.495879629598</v>
      </c>
      <c r="J1450" s="28" t="s">
        <v>51</v>
      </c>
      <c r="K1450" s="28" t="s">
        <v>51</v>
      </c>
      <c r="L1450" s="28" t="s">
        <v>51</v>
      </c>
      <c r="M1450" s="28" t="s">
        <v>51</v>
      </c>
      <c r="N1450" s="28" t="s">
        <v>51</v>
      </c>
    </row>
    <row r="1451" spans="1:14" x14ac:dyDescent="0.15">
      <c r="A1451" s="23" t="str">
        <f>HYPERLINK("https://www.spark-marketing.ru/Card/Person/18481", "ФГУП ""РОСРАО""")</f>
        <v>ФГУП "РОСРАО"</v>
      </c>
      <c r="B1451" s="24" t="s">
        <v>2882</v>
      </c>
      <c r="C1451" s="25">
        <v>474035.20000000001</v>
      </c>
      <c r="D1451" s="22" t="s">
        <v>2883</v>
      </c>
      <c r="E1451" s="22" t="s">
        <v>48</v>
      </c>
      <c r="F1451" s="23" t="str">
        <f>HYPERLINK("https://www.spark-marketing.ru/Card/Lot/73971290", "Оказание услуг по обеспечению питанием работников буксира «Рим - Москва»")</f>
        <v>Оказание услуг по обеспечению питанием работников буксира «Рим - Москва»</v>
      </c>
      <c r="G1451" s="22" t="s">
        <v>340</v>
      </c>
      <c r="H1451" s="22" t="s">
        <v>340</v>
      </c>
      <c r="I1451" s="26">
        <v>43735.489155092597</v>
      </c>
      <c r="J1451" s="23" t="str">
        <f>HYPERLINK("https://www.spark-marketing.ru/Card/Person/2005309", "ООО ""НОРД""")</f>
        <v>ООО "НОРД"</v>
      </c>
      <c r="K1451" s="24" t="s">
        <v>2884</v>
      </c>
      <c r="L1451" s="22" t="s">
        <v>10</v>
      </c>
      <c r="M1451" s="28" t="s">
        <v>51</v>
      </c>
      <c r="N1451" s="28" t="s">
        <v>51</v>
      </c>
    </row>
    <row r="1452" spans="1:14" x14ac:dyDescent="0.15">
      <c r="A1452" s="23" t="str">
        <f>HYPERLINK("https://www.spark-marketing.ru/Card/Person/995798", "ОМВД РОССИИ ПО ОЛОВЯННИНСКОМУ РАЙОНУ")</f>
        <v>ОМВД РОССИИ ПО ОЛОВЯННИНСКОМУ РАЙОНУ</v>
      </c>
      <c r="B1452" s="24" t="s">
        <v>2885</v>
      </c>
      <c r="C1452" s="25">
        <v>2180054.83</v>
      </c>
      <c r="D1452" s="22" t="s">
        <v>2886</v>
      </c>
      <c r="E1452" s="22" t="s">
        <v>48</v>
      </c>
      <c r="F1452" s="23" t="str">
        <f>HYPERLINK("https://www.spark-marketing.ru/Card/Lot/73965313", "Обеспечение питанием лиц подозреваемых и обвиняемых , административно-арестованных содержащихся в ИВС")</f>
        <v>Обеспечение питанием лиц подозреваемых и обвиняемых , административно-арестованных содержащихся в ИВС</v>
      </c>
      <c r="G1452" s="22" t="s">
        <v>228</v>
      </c>
      <c r="H1452" s="22" t="s">
        <v>2887</v>
      </c>
      <c r="I1452" s="26">
        <v>43735.423819444397</v>
      </c>
      <c r="J1452" s="28" t="s">
        <v>51</v>
      </c>
      <c r="K1452" s="28" t="s">
        <v>51</v>
      </c>
      <c r="L1452" s="28" t="s">
        <v>51</v>
      </c>
      <c r="M1452" s="28" t="s">
        <v>51</v>
      </c>
      <c r="N1452" s="28" t="s">
        <v>51</v>
      </c>
    </row>
    <row r="1453" spans="1:14" x14ac:dyDescent="0.15">
      <c r="A1453" s="23" t="str">
        <f>HYPERLINK("https://www.spark-marketing.ru/Card/Person/67152", "ГБУЗ ""БЕЛОРЕЧЕНСКАЯ ЦРБ"" МЗ КК")</f>
        <v>ГБУЗ "БЕЛОРЕЧЕНСКАЯ ЦРБ" МЗ КК</v>
      </c>
      <c r="B1453" s="24" t="s">
        <v>2888</v>
      </c>
      <c r="C1453" s="25">
        <v>177028.26</v>
      </c>
      <c r="D1453" s="22" t="s">
        <v>2889</v>
      </c>
      <c r="E1453" s="22" t="s">
        <v>48</v>
      </c>
      <c r="F1453" s="23" t="str">
        <f>HYPERLINK("https://www.spark-marketing.ru/Card/Lot/73972610", "Оказание услуги по организации питания в виде приготовления рационов питания для пациентов круглосуточного стационара ГБУЗ ""Белореченская ЦРБ"" МЗ КК")</f>
        <v>Оказание услуги по организации питания в виде приготовления рационов питания для пациентов круглосуточного стационара ГБУЗ "Белореченская ЦРБ" МЗ КК</v>
      </c>
      <c r="G1453" s="22" t="s">
        <v>104</v>
      </c>
      <c r="H1453" s="22" t="s">
        <v>2890</v>
      </c>
      <c r="I1453" s="26">
        <v>43735.445636574099</v>
      </c>
      <c r="J1453" s="23" t="str">
        <f>HYPERLINK("https://www.spark-marketing.ru/Card/Person/174720", "Кивандов Александр Суренович")</f>
        <v>Кивандов Александр Суренович</v>
      </c>
      <c r="K1453" s="24" t="s">
        <v>2891</v>
      </c>
      <c r="L1453" s="22" t="s">
        <v>10</v>
      </c>
      <c r="M1453" s="28" t="s">
        <v>51</v>
      </c>
      <c r="N1453" s="28" t="s">
        <v>51</v>
      </c>
    </row>
    <row r="1454" spans="1:14" x14ac:dyDescent="0.15">
      <c r="A1454" s="23" t="str">
        <f>HYPERLINK("https://www.spark-marketing.ru/Card/Person/996661", "ФКУ УК ГУФСИН РОССИИ ПО ИРКУТСКОЙ ОБЛАСТИ")</f>
        <v>ФКУ УК ГУФСИН РОССИИ ПО ИРКУТСКОЙ ОБЛАСТИ</v>
      </c>
      <c r="B1454" s="24" t="s">
        <v>2892</v>
      </c>
      <c r="C1454" s="25">
        <v>114965.2</v>
      </c>
      <c r="D1454" s="22" t="s">
        <v>2893</v>
      </c>
      <c r="E1454" s="22" t="s">
        <v>2894</v>
      </c>
      <c r="F1454" s="23" t="str">
        <f>HYPERLINK("https://www.spark-marketing.ru/Card/Lot/73963131", "Прочая закупка товаров, работ и услуг (КУРИННАЯ ПРОД ДБФ)")</f>
        <v>Прочая закупка товаров, работ и услуг (КУРИННАЯ ПРОД ДБФ)</v>
      </c>
      <c r="G1454" s="22" t="s">
        <v>263</v>
      </c>
      <c r="H1454" s="22" t="s">
        <v>2768</v>
      </c>
      <c r="I1454" s="26">
        <v>43735.442280092597</v>
      </c>
      <c r="J1454" s="28" t="s">
        <v>51</v>
      </c>
      <c r="K1454" s="28" t="s">
        <v>51</v>
      </c>
      <c r="L1454" s="28" t="s">
        <v>51</v>
      </c>
      <c r="M1454" s="28" t="s">
        <v>51</v>
      </c>
      <c r="N1454" s="28" t="s">
        <v>51</v>
      </c>
    </row>
    <row r="1455" spans="1:14" x14ac:dyDescent="0.15">
      <c r="A1455" s="23" t="str">
        <f>HYPERLINK("https://www.spark-marketing.ru/Card/Person/4863120", "ФЛ ФКУ ""ЦОКР"" ПО КАЛИНИНГРАДСКОЙ ОБЛАСТИ")</f>
        <v>ФЛ ФКУ "ЦОКР" ПО КАЛИНИНГРАДСКОЙ ОБЛАСТИ</v>
      </c>
      <c r="B1455" s="24" t="s">
        <v>2576</v>
      </c>
      <c r="C1455" s="25">
        <v>55700</v>
      </c>
      <c r="D1455" s="22" t="s">
        <v>2895</v>
      </c>
      <c r="E1455" s="22" t="s">
        <v>91</v>
      </c>
      <c r="F1455" s="23" t="str">
        <f>HYPERLINK("https://www.spark-marketing.ru/Card/Lot/73953763", "Оказание услуг по техническому обслуживанию и регламентно-профилактическому ремонту источника бесперебойного питания APC Symmetra PX для нужд Управления Федерального казначейства по Калининградской области")</f>
        <v>Оказание услуг по техническому обслуживанию и регламентно-профилактическому ремонту источника бесперебойного питания APC Symmetra PX для нужд Управления Федерального казначейства по Калининградской области</v>
      </c>
      <c r="G1455" s="22" t="s">
        <v>400</v>
      </c>
      <c r="H1455" s="22" t="s">
        <v>401</v>
      </c>
      <c r="I1455" s="26">
        <v>43735.449305555601</v>
      </c>
      <c r="J1455" s="28" t="s">
        <v>51</v>
      </c>
      <c r="K1455" s="28" t="s">
        <v>51</v>
      </c>
      <c r="L1455" s="28" t="s">
        <v>51</v>
      </c>
      <c r="M1455" s="28" t="s">
        <v>51</v>
      </c>
      <c r="N1455" s="28" t="s">
        <v>51</v>
      </c>
    </row>
    <row r="1456" spans="1:14" hidden="1" outlineLevel="1" x14ac:dyDescent="0.2">
      <c r="A1456" s="23" t="str">
        <f>HYPERLINK("https://www.spark-marketing.ru/Card/Person/4863120", "ФЛ ФКУ ""ЦОКР"" ПО КАЛИНИНГРАДСКОЙ ОБЛАСТИ")</f>
        <v>ФЛ ФКУ "ЦОКР" ПО КАЛИНИНГРАДСКОЙ ОБЛАСТИ</v>
      </c>
      <c r="B1456" s="24" t="s">
        <v>2576</v>
      </c>
      <c r="C1456" s="25">
        <v>55700</v>
      </c>
      <c r="D1456" s="22" t="s">
        <v>2895</v>
      </c>
      <c r="E1456" s="22" t="s">
        <v>91</v>
      </c>
      <c r="F1456" s="23" t="str">
        <f>HYPERLINK("https://www.spark-marketing.ru/Card/Lot/73953763", "Оказание услуг по техническому обслуживанию и регламентно-профилактическому ремонту источника бесперебойного питания APC Symmetra PX для нужд Управления Федерального казначейства по Калининградской области")</f>
        <v>Оказание услуг по техническому обслуживанию и регламентно-профилактическому ремонту источника бесперебойного питания APC Symmetra PX для нужд Управления Федерального казначейства по Калининградской области</v>
      </c>
      <c r="G1456" s="22" t="s">
        <v>400</v>
      </c>
      <c r="H1456" s="22" t="s">
        <v>401</v>
      </c>
      <c r="I1456" s="26">
        <v>43735.449305555601</v>
      </c>
      <c r="J1456" s="23" t="str">
        <f>HYPERLINK("https://www.spark-marketing.ru/Card/Person/83485", "ООО ""ХОЛМРОК-СЕРВИС""")</f>
        <v>ООО "ХОЛМРОК-СЕРВИС"</v>
      </c>
      <c r="K1456" s="24" t="s">
        <v>2896</v>
      </c>
      <c r="L1456" s="28" t="s">
        <v>51</v>
      </c>
      <c r="M1456" s="25">
        <v>48459</v>
      </c>
      <c r="N1456" s="27">
        <v>0.13</v>
      </c>
    </row>
    <row r="1457" spans="1:14" ht="12.75" hidden="1" outlineLevel="1" x14ac:dyDescent="0.2">
      <c r="A1457" s="23" t="str">
        <f>HYPERLINK("https://www.spark-marketing.ru/Card/Person/4863120", "ФЛ ФКУ ""ЦОКР"" ПО КАЛИНИНГРАДСКОЙ ОБЛАСТИ")</f>
        <v>ФЛ ФКУ "ЦОКР" ПО КАЛИНИНГРАДСКОЙ ОБЛАСТИ</v>
      </c>
      <c r="B1457" s="24" t="s">
        <v>2576</v>
      </c>
      <c r="C1457" s="25">
        <v>55700</v>
      </c>
      <c r="D1457" s="22" t="s">
        <v>2895</v>
      </c>
      <c r="E1457" s="22" t="s">
        <v>91</v>
      </c>
      <c r="F1457" s="23" t="str">
        <f>HYPERLINK("https://www.spark-marketing.ru/Card/Lot/73953763", "Оказание услуг по техническому обслуживанию и регламентно-профилактическому ремонту источника бесперебойного питания APC Symmetra PX для нужд Управления Федерального казначейства по Калининградской области")</f>
        <v>Оказание услуг по техническому обслуживанию и регламентно-профилактическому ремонту источника бесперебойного питания APC Symmetra PX для нужд Управления Федерального казначейства по Калининградской области</v>
      </c>
      <c r="G1457" s="22" t="s">
        <v>400</v>
      </c>
      <c r="H1457" s="22" t="s">
        <v>401</v>
      </c>
      <c r="I1457" s="26">
        <v>43735.449305555601</v>
      </c>
      <c r="J1457" s="23" t="str">
        <f>HYPERLINK("https://www.spark-marketing.ru/Card/Person/6632052", "ООО ""ПРИНТ""")</f>
        <v>ООО "ПРИНТ"</v>
      </c>
      <c r="K1457" s="24" t="s">
        <v>2897</v>
      </c>
      <c r="L1457" s="22" t="s">
        <v>10</v>
      </c>
      <c r="M1457" s="25">
        <v>45674</v>
      </c>
      <c r="N1457" s="27">
        <v>0.18</v>
      </c>
    </row>
    <row r="1458" spans="1:14" x14ac:dyDescent="0.15">
      <c r="A1458" s="23" t="str">
        <f>HYPERLINK("https://www.spark-marketing.ru/Card/Person/1067591", "ОМВД РОССИИ ПО Г. ЕЛЬЦУ")</f>
        <v>ОМВД РОССИИ ПО Г. ЕЛЬЦУ</v>
      </c>
      <c r="B1458" s="24" t="s">
        <v>2898</v>
      </c>
      <c r="C1458" s="25">
        <v>402520</v>
      </c>
      <c r="D1458" s="22" t="s">
        <v>2899</v>
      </c>
      <c r="E1458" s="22" t="s">
        <v>96</v>
      </c>
      <c r="F1458" s="23" t="str">
        <f>HYPERLINK("https://www.spark-marketing.ru/Card/Lot/73968486", "Услуги по ежедневному  трехразовому горячему питанию подозреваемых и обвиняемых")</f>
        <v>Услуги по ежедневному  трехразовому горячему питанию подозреваемых и обвиняемых</v>
      </c>
      <c r="G1458" s="22" t="s">
        <v>101</v>
      </c>
      <c r="H1458" s="22" t="s">
        <v>2900</v>
      </c>
      <c r="I1458" s="26">
        <v>43735.437476851897</v>
      </c>
      <c r="J1458" s="23" t="str">
        <f>HYPERLINK("https://www.spark-marketing.ru/Card/Person/4727749", "Никончук Кристина Андреевна")</f>
        <v>Никончук Кристина Андреевна</v>
      </c>
      <c r="K1458" s="24" t="s">
        <v>2901</v>
      </c>
      <c r="L1458" s="22" t="s">
        <v>10</v>
      </c>
      <c r="M1458" s="28" t="s">
        <v>51</v>
      </c>
      <c r="N1458" s="28" t="s">
        <v>51</v>
      </c>
    </row>
    <row r="1459" spans="1:14" x14ac:dyDescent="0.15">
      <c r="A1459" s="23" t="str">
        <f>HYPERLINK("https://www.spark-marketing.ru/Card/Person/123988", "МДОУ Д/С № 3 ""ЗВЕЗДОЧКА""")</f>
        <v>МДОУ Д/С № 3 "ЗВЕЗДОЧКА"</v>
      </c>
      <c r="B1459" s="24" t="s">
        <v>2902</v>
      </c>
      <c r="C1459" s="25">
        <v>5965852</v>
      </c>
      <c r="D1459" s="22" t="s">
        <v>2903</v>
      </c>
      <c r="E1459" s="22" t="s">
        <v>48</v>
      </c>
      <c r="F1459" s="23" t="str">
        <f>HYPERLINK("https://www.spark-marketing.ru/Card/Lot/73967133", "Оказание услуги по приготовлению и организации рационального горячего питания воспитанников МДОУ детского сада № 3 ""Звездочка"" в 2020-2021 годах")</f>
        <v>Оказание услуги по приготовлению и организации рационального горячего питания воспитанников МДОУ детского сада № 3 "Звездочка" в 2020-2021 годах</v>
      </c>
      <c r="G1459" s="22" t="s">
        <v>49</v>
      </c>
      <c r="H1459" s="22" t="s">
        <v>49</v>
      </c>
      <c r="I1459" s="26">
        <v>43735.437569444402</v>
      </c>
      <c r="J1459" s="28" t="s">
        <v>51</v>
      </c>
      <c r="K1459" s="28" t="s">
        <v>51</v>
      </c>
      <c r="L1459" s="28" t="s">
        <v>51</v>
      </c>
      <c r="M1459" s="28" t="s">
        <v>51</v>
      </c>
      <c r="N1459" s="28" t="s">
        <v>51</v>
      </c>
    </row>
    <row r="1460" spans="1:14" x14ac:dyDescent="0.15">
      <c r="A1460" s="23" t="s">
        <v>114</v>
      </c>
      <c r="B1460" s="28" t="s">
        <v>51</v>
      </c>
      <c r="C1460" s="25">
        <v>16755525</v>
      </c>
      <c r="D1460" s="22" t="s">
        <v>2904</v>
      </c>
      <c r="E1460" s="22" t="s">
        <v>48</v>
      </c>
      <c r="F1460" s="23" t="str">
        <f t="shared" ref="F1460:F1474" si="22">HYPERLINK("https://www.spark-marketing.ru/Card/Lot/73964656", "Оказание услуг по организации питания учащихся")</f>
        <v>Оказание услуг по организации питания учащихся</v>
      </c>
      <c r="G1460" s="22" t="s">
        <v>51</v>
      </c>
      <c r="H1460" s="22" t="s">
        <v>51</v>
      </c>
      <c r="I1460" s="26">
        <v>43735.515335648102</v>
      </c>
      <c r="J1460" s="28" t="s">
        <v>51</v>
      </c>
      <c r="K1460" s="28" t="s">
        <v>51</v>
      </c>
      <c r="L1460" s="28" t="s">
        <v>51</v>
      </c>
      <c r="M1460" s="28" t="s">
        <v>51</v>
      </c>
      <c r="N1460" s="28" t="s">
        <v>51</v>
      </c>
    </row>
    <row r="1461" spans="1:14" hidden="1" outlineLevel="1" x14ac:dyDescent="0.15">
      <c r="A1461" s="23" t="str">
        <f>HYPERLINK("https://www.spark-marketing.ru/Card/Person/138597", "МБОУ СОШ № 20")</f>
        <v>МБОУ СОШ № 20</v>
      </c>
      <c r="B1461" s="24" t="s">
        <v>2905</v>
      </c>
      <c r="C1461" s="25">
        <v>1586715</v>
      </c>
      <c r="D1461" s="22" t="s">
        <v>2904</v>
      </c>
      <c r="E1461" s="22" t="s">
        <v>48</v>
      </c>
      <c r="F1461" s="23" t="str">
        <f t="shared" si="22"/>
        <v>Оказание услуг по организации питания учащихся</v>
      </c>
      <c r="G1461" s="22" t="s">
        <v>145</v>
      </c>
      <c r="H1461" s="22" t="s">
        <v>2906</v>
      </c>
      <c r="I1461" s="26">
        <v>43735.515335648102</v>
      </c>
      <c r="J1461" s="28" t="s">
        <v>51</v>
      </c>
      <c r="K1461" s="28" t="s">
        <v>51</v>
      </c>
      <c r="L1461" s="28" t="s">
        <v>51</v>
      </c>
      <c r="M1461" s="28" t="s">
        <v>51</v>
      </c>
      <c r="N1461" s="28" t="s">
        <v>51</v>
      </c>
    </row>
    <row r="1462" spans="1:14" hidden="1" outlineLevel="1" x14ac:dyDescent="0.15">
      <c r="A1462" s="23" t="str">
        <f>HYPERLINK("https://www.spark-marketing.ru/Card/Person/147378", "МБОУ ""БАШКИРСКАЯ ГИМНАЗИЯ №4""")</f>
        <v>МБОУ "БАШКИРСКАЯ ГИМНАЗИЯ №4"</v>
      </c>
      <c r="B1462" s="24" t="s">
        <v>2907</v>
      </c>
      <c r="C1462" s="25">
        <v>809580</v>
      </c>
      <c r="D1462" s="22" t="s">
        <v>2904</v>
      </c>
      <c r="E1462" s="22" t="s">
        <v>48</v>
      </c>
      <c r="F1462" s="23" t="str">
        <f t="shared" si="22"/>
        <v>Оказание услуг по организации питания учащихся</v>
      </c>
      <c r="G1462" s="22" t="s">
        <v>145</v>
      </c>
      <c r="H1462" s="22" t="s">
        <v>2906</v>
      </c>
      <c r="I1462" s="26">
        <v>43735.515335648102</v>
      </c>
      <c r="J1462" s="28" t="s">
        <v>51</v>
      </c>
      <c r="K1462" s="28" t="s">
        <v>51</v>
      </c>
      <c r="L1462" s="28" t="s">
        <v>51</v>
      </c>
      <c r="M1462" s="28" t="s">
        <v>51</v>
      </c>
      <c r="N1462" s="28" t="s">
        <v>51</v>
      </c>
    </row>
    <row r="1463" spans="1:14" hidden="1" outlineLevel="1" x14ac:dyDescent="0.15">
      <c r="A1463" s="23" t="str">
        <f>HYPERLINK("https://www.spark-marketing.ru/Card/Person/233294", "МБОУ СОШ №1")</f>
        <v>МБОУ СОШ №1</v>
      </c>
      <c r="B1463" s="24" t="s">
        <v>2908</v>
      </c>
      <c r="C1463" s="25">
        <v>784860</v>
      </c>
      <c r="D1463" s="22" t="s">
        <v>2904</v>
      </c>
      <c r="E1463" s="22" t="s">
        <v>48</v>
      </c>
      <c r="F1463" s="23" t="str">
        <f t="shared" si="22"/>
        <v>Оказание услуг по организации питания учащихся</v>
      </c>
      <c r="G1463" s="22" t="s">
        <v>145</v>
      </c>
      <c r="H1463" s="22" t="s">
        <v>2906</v>
      </c>
      <c r="I1463" s="26">
        <v>43735.515335648102</v>
      </c>
      <c r="J1463" s="28" t="s">
        <v>51</v>
      </c>
      <c r="K1463" s="28" t="s">
        <v>51</v>
      </c>
      <c r="L1463" s="28" t="s">
        <v>51</v>
      </c>
      <c r="M1463" s="28" t="s">
        <v>51</v>
      </c>
      <c r="N1463" s="28" t="s">
        <v>51</v>
      </c>
    </row>
    <row r="1464" spans="1:14" hidden="1" outlineLevel="1" x14ac:dyDescent="0.15">
      <c r="A1464" s="23" t="str">
        <f>HYPERLINK("https://www.spark-marketing.ru/Card/Person/233295", "МБОУ ""ГИМНАЗИЯ №2""")</f>
        <v>МБОУ "ГИМНАЗИЯ №2"</v>
      </c>
      <c r="B1464" s="24" t="s">
        <v>2909</v>
      </c>
      <c r="C1464" s="25">
        <v>982620</v>
      </c>
      <c r="D1464" s="22" t="s">
        <v>2904</v>
      </c>
      <c r="E1464" s="22" t="s">
        <v>48</v>
      </c>
      <c r="F1464" s="23" t="str">
        <f t="shared" si="22"/>
        <v>Оказание услуг по организации питания учащихся</v>
      </c>
      <c r="G1464" s="22" t="s">
        <v>145</v>
      </c>
      <c r="H1464" s="22" t="s">
        <v>2906</v>
      </c>
      <c r="I1464" s="26">
        <v>43735.515335648102</v>
      </c>
      <c r="J1464" s="28" t="s">
        <v>51</v>
      </c>
      <c r="K1464" s="28" t="s">
        <v>51</v>
      </c>
      <c r="L1464" s="28" t="s">
        <v>51</v>
      </c>
      <c r="M1464" s="28" t="s">
        <v>51</v>
      </c>
      <c r="N1464" s="28" t="s">
        <v>51</v>
      </c>
    </row>
    <row r="1465" spans="1:14" hidden="1" outlineLevel="1" x14ac:dyDescent="0.15">
      <c r="A1465" s="23" t="str">
        <f>HYPERLINK("https://www.spark-marketing.ru/Card/Person/233338", "МБОУ СОШ №9")</f>
        <v>МБОУ СОШ №9</v>
      </c>
      <c r="B1465" s="24" t="s">
        <v>2910</v>
      </c>
      <c r="C1465" s="25">
        <v>1296255</v>
      </c>
      <c r="D1465" s="22" t="s">
        <v>2904</v>
      </c>
      <c r="E1465" s="22" t="s">
        <v>48</v>
      </c>
      <c r="F1465" s="23" t="str">
        <f t="shared" si="22"/>
        <v>Оказание услуг по организации питания учащихся</v>
      </c>
      <c r="G1465" s="22" t="s">
        <v>145</v>
      </c>
      <c r="H1465" s="22" t="s">
        <v>2906</v>
      </c>
      <c r="I1465" s="26">
        <v>43735.515335648102</v>
      </c>
      <c r="J1465" s="28" t="s">
        <v>51</v>
      </c>
      <c r="K1465" s="28" t="s">
        <v>51</v>
      </c>
      <c r="L1465" s="28" t="s">
        <v>51</v>
      </c>
      <c r="M1465" s="28" t="s">
        <v>51</v>
      </c>
      <c r="N1465" s="28" t="s">
        <v>51</v>
      </c>
    </row>
    <row r="1466" spans="1:14" hidden="1" outlineLevel="1" x14ac:dyDescent="0.15">
      <c r="A1466" s="23" t="str">
        <f>HYPERLINK("https://www.spark-marketing.ru/Card/Person/233339", "МБОУ СОШ №17")</f>
        <v>МБОУ СОШ №17</v>
      </c>
      <c r="B1466" s="24" t="s">
        <v>2911</v>
      </c>
      <c r="C1466" s="25">
        <v>1126305</v>
      </c>
      <c r="D1466" s="22" t="s">
        <v>2904</v>
      </c>
      <c r="E1466" s="22" t="s">
        <v>48</v>
      </c>
      <c r="F1466" s="23" t="str">
        <f t="shared" si="22"/>
        <v>Оказание услуг по организации питания учащихся</v>
      </c>
      <c r="G1466" s="22" t="s">
        <v>145</v>
      </c>
      <c r="H1466" s="22" t="s">
        <v>2906</v>
      </c>
      <c r="I1466" s="26">
        <v>43735.515335648102</v>
      </c>
      <c r="J1466" s="28" t="s">
        <v>51</v>
      </c>
      <c r="K1466" s="28" t="s">
        <v>51</v>
      </c>
      <c r="L1466" s="28" t="s">
        <v>51</v>
      </c>
      <c r="M1466" s="28" t="s">
        <v>51</v>
      </c>
      <c r="N1466" s="28" t="s">
        <v>51</v>
      </c>
    </row>
    <row r="1467" spans="1:14" hidden="1" outlineLevel="1" x14ac:dyDescent="0.15">
      <c r="A1467" s="23" t="str">
        <f>HYPERLINK("https://www.spark-marketing.ru/Card/Person/233344", "МБОУ ""СОШ №22""")</f>
        <v>МБОУ "СОШ №22"</v>
      </c>
      <c r="B1467" s="24" t="s">
        <v>2912</v>
      </c>
      <c r="C1467" s="25">
        <v>1866360</v>
      </c>
      <c r="D1467" s="22" t="s">
        <v>2904</v>
      </c>
      <c r="E1467" s="22" t="s">
        <v>48</v>
      </c>
      <c r="F1467" s="23" t="str">
        <f t="shared" si="22"/>
        <v>Оказание услуг по организации питания учащихся</v>
      </c>
      <c r="G1467" s="22" t="s">
        <v>145</v>
      </c>
      <c r="H1467" s="22" t="s">
        <v>2906</v>
      </c>
      <c r="I1467" s="26">
        <v>43735.515335648102</v>
      </c>
      <c r="J1467" s="28" t="s">
        <v>51</v>
      </c>
      <c r="K1467" s="28" t="s">
        <v>51</v>
      </c>
      <c r="L1467" s="28" t="s">
        <v>51</v>
      </c>
      <c r="M1467" s="28" t="s">
        <v>51</v>
      </c>
      <c r="N1467" s="28" t="s">
        <v>51</v>
      </c>
    </row>
    <row r="1468" spans="1:14" hidden="1" outlineLevel="1" x14ac:dyDescent="0.15">
      <c r="A1468" s="23" t="str">
        <f>HYPERLINK("https://www.spark-marketing.ru/Card/Person/233347", "МБОУ СОШ №12")</f>
        <v>МБОУ СОШ №12</v>
      </c>
      <c r="B1468" s="24" t="s">
        <v>2913</v>
      </c>
      <c r="C1468" s="25">
        <v>1280805</v>
      </c>
      <c r="D1468" s="22" t="s">
        <v>2904</v>
      </c>
      <c r="E1468" s="22" t="s">
        <v>48</v>
      </c>
      <c r="F1468" s="23" t="str">
        <f t="shared" si="22"/>
        <v>Оказание услуг по организации питания учащихся</v>
      </c>
      <c r="G1468" s="22" t="s">
        <v>145</v>
      </c>
      <c r="H1468" s="22" t="s">
        <v>2906</v>
      </c>
      <c r="I1468" s="26">
        <v>43735.515335648102</v>
      </c>
      <c r="J1468" s="28" t="s">
        <v>51</v>
      </c>
      <c r="K1468" s="28" t="s">
        <v>51</v>
      </c>
      <c r="L1468" s="28" t="s">
        <v>51</v>
      </c>
      <c r="M1468" s="28" t="s">
        <v>51</v>
      </c>
      <c r="N1468" s="28" t="s">
        <v>51</v>
      </c>
    </row>
    <row r="1469" spans="1:14" hidden="1" outlineLevel="1" x14ac:dyDescent="0.15">
      <c r="A1469" s="23" t="str">
        <f>HYPERLINK("https://www.spark-marketing.ru/Card/Person/233348", "МБОУ ""ГИМНАЗИЯ №3""")</f>
        <v>МБОУ "ГИМНАЗИЯ №3"</v>
      </c>
      <c r="B1469" s="24" t="s">
        <v>2914</v>
      </c>
      <c r="C1469" s="25">
        <v>914640</v>
      </c>
      <c r="D1469" s="22" t="s">
        <v>2904</v>
      </c>
      <c r="E1469" s="22" t="s">
        <v>48</v>
      </c>
      <c r="F1469" s="23" t="str">
        <f t="shared" si="22"/>
        <v>Оказание услуг по организации питания учащихся</v>
      </c>
      <c r="G1469" s="22" t="s">
        <v>145</v>
      </c>
      <c r="H1469" s="22" t="s">
        <v>2906</v>
      </c>
      <c r="I1469" s="26">
        <v>43735.515335648102</v>
      </c>
      <c r="J1469" s="28" t="s">
        <v>51</v>
      </c>
      <c r="K1469" s="28" t="s">
        <v>51</v>
      </c>
      <c r="L1469" s="28" t="s">
        <v>51</v>
      </c>
      <c r="M1469" s="28" t="s">
        <v>51</v>
      </c>
      <c r="N1469" s="28" t="s">
        <v>51</v>
      </c>
    </row>
    <row r="1470" spans="1:14" hidden="1" outlineLevel="1" x14ac:dyDescent="0.15">
      <c r="A1470" s="23" t="str">
        <f>HYPERLINK("https://www.spark-marketing.ru/Card/Person/233350", "МБОУ ""СОШ № 13""")</f>
        <v>МБОУ "СОШ № 13"</v>
      </c>
      <c r="B1470" s="24" t="s">
        <v>2915</v>
      </c>
      <c r="C1470" s="25">
        <v>1211280</v>
      </c>
      <c r="D1470" s="22" t="s">
        <v>2904</v>
      </c>
      <c r="E1470" s="22" t="s">
        <v>48</v>
      </c>
      <c r="F1470" s="23" t="str">
        <f t="shared" si="22"/>
        <v>Оказание услуг по организации питания учащихся</v>
      </c>
      <c r="G1470" s="22" t="s">
        <v>145</v>
      </c>
      <c r="H1470" s="22" t="s">
        <v>2906</v>
      </c>
      <c r="I1470" s="26">
        <v>43735.515335648102</v>
      </c>
      <c r="J1470" s="28" t="s">
        <v>51</v>
      </c>
      <c r="K1470" s="28" t="s">
        <v>51</v>
      </c>
      <c r="L1470" s="28" t="s">
        <v>51</v>
      </c>
      <c r="M1470" s="28" t="s">
        <v>51</v>
      </c>
      <c r="N1470" s="28" t="s">
        <v>51</v>
      </c>
    </row>
    <row r="1471" spans="1:14" hidden="1" outlineLevel="1" x14ac:dyDescent="0.15">
      <c r="A1471" s="23" t="str">
        <f>HYPERLINK("https://www.spark-marketing.ru/Card/Person/233351", "МБОУ СОШ № 10")</f>
        <v>МБОУ СОШ № 10</v>
      </c>
      <c r="B1471" s="24" t="s">
        <v>2916</v>
      </c>
      <c r="C1471" s="25">
        <v>928545</v>
      </c>
      <c r="D1471" s="22" t="s">
        <v>2904</v>
      </c>
      <c r="E1471" s="22" t="s">
        <v>48</v>
      </c>
      <c r="F1471" s="23" t="str">
        <f t="shared" si="22"/>
        <v>Оказание услуг по организации питания учащихся</v>
      </c>
      <c r="G1471" s="22" t="s">
        <v>145</v>
      </c>
      <c r="H1471" s="22" t="s">
        <v>2906</v>
      </c>
      <c r="I1471" s="26">
        <v>43735.515335648102</v>
      </c>
      <c r="J1471" s="28" t="s">
        <v>51</v>
      </c>
      <c r="K1471" s="28" t="s">
        <v>51</v>
      </c>
      <c r="L1471" s="28" t="s">
        <v>51</v>
      </c>
      <c r="M1471" s="28" t="s">
        <v>51</v>
      </c>
      <c r="N1471" s="28" t="s">
        <v>51</v>
      </c>
    </row>
    <row r="1472" spans="1:14" hidden="1" outlineLevel="1" x14ac:dyDescent="0.15">
      <c r="A1472" s="23" t="str">
        <f>HYPERLINK("https://www.spark-marketing.ru/Card/Person/233352", "МБОУ СОШ №18")</f>
        <v>МБОУ СОШ №18</v>
      </c>
      <c r="B1472" s="24" t="s">
        <v>2917</v>
      </c>
      <c r="C1472" s="25">
        <v>1537275</v>
      </c>
      <c r="D1472" s="22" t="s">
        <v>2904</v>
      </c>
      <c r="E1472" s="22" t="s">
        <v>48</v>
      </c>
      <c r="F1472" s="23" t="str">
        <f t="shared" si="22"/>
        <v>Оказание услуг по организации питания учащихся</v>
      </c>
      <c r="G1472" s="22" t="s">
        <v>145</v>
      </c>
      <c r="H1472" s="22" t="s">
        <v>2906</v>
      </c>
      <c r="I1472" s="26">
        <v>43735.515335648102</v>
      </c>
      <c r="J1472" s="28" t="s">
        <v>51</v>
      </c>
      <c r="K1472" s="28" t="s">
        <v>51</v>
      </c>
      <c r="L1472" s="28" t="s">
        <v>51</v>
      </c>
      <c r="M1472" s="28" t="s">
        <v>51</v>
      </c>
      <c r="N1472" s="28" t="s">
        <v>51</v>
      </c>
    </row>
    <row r="1473" spans="1:14" hidden="1" outlineLevel="1" x14ac:dyDescent="0.15">
      <c r="A1473" s="23" t="str">
        <f>HYPERLINK("https://www.spark-marketing.ru/Card/Person/233354", "МБОУ ""ТГ №11""")</f>
        <v>МБОУ "ТГ №11"</v>
      </c>
      <c r="B1473" s="24" t="s">
        <v>2918</v>
      </c>
      <c r="C1473" s="25">
        <v>735420</v>
      </c>
      <c r="D1473" s="22" t="s">
        <v>2904</v>
      </c>
      <c r="E1473" s="22" t="s">
        <v>48</v>
      </c>
      <c r="F1473" s="23" t="str">
        <f t="shared" si="22"/>
        <v>Оказание услуг по организации питания учащихся</v>
      </c>
      <c r="G1473" s="22" t="s">
        <v>145</v>
      </c>
      <c r="H1473" s="22" t="s">
        <v>2906</v>
      </c>
      <c r="I1473" s="26">
        <v>43735.515335648102</v>
      </c>
      <c r="J1473" s="28" t="s">
        <v>51</v>
      </c>
      <c r="K1473" s="28" t="s">
        <v>51</v>
      </c>
      <c r="L1473" s="28" t="s">
        <v>51</v>
      </c>
      <c r="M1473" s="28" t="s">
        <v>51</v>
      </c>
      <c r="N1473" s="28" t="s">
        <v>51</v>
      </c>
    </row>
    <row r="1474" spans="1:14" hidden="1" outlineLevel="1" x14ac:dyDescent="0.15">
      <c r="A1474" s="23" t="str">
        <f>HYPERLINK("https://www.spark-marketing.ru/Card/Person/233358", "МБОУ ""СОШ № 8""")</f>
        <v>МБОУ "СОШ № 8"</v>
      </c>
      <c r="B1474" s="24" t="s">
        <v>2919</v>
      </c>
      <c r="C1474" s="25">
        <v>1694865</v>
      </c>
      <c r="D1474" s="22" t="s">
        <v>2904</v>
      </c>
      <c r="E1474" s="22" t="s">
        <v>48</v>
      </c>
      <c r="F1474" s="23" t="str">
        <f t="shared" si="22"/>
        <v>Оказание услуг по организации питания учащихся</v>
      </c>
      <c r="G1474" s="22" t="s">
        <v>145</v>
      </c>
      <c r="H1474" s="22" t="s">
        <v>2906</v>
      </c>
      <c r="I1474" s="26">
        <v>43735.515335648102</v>
      </c>
      <c r="J1474" s="28" t="s">
        <v>51</v>
      </c>
      <c r="K1474" s="28" t="s">
        <v>51</v>
      </c>
      <c r="L1474" s="28" t="s">
        <v>51</v>
      </c>
      <c r="M1474" s="28" t="s">
        <v>51</v>
      </c>
      <c r="N1474" s="28" t="s">
        <v>51</v>
      </c>
    </row>
    <row r="1475" spans="1:14" x14ac:dyDescent="0.15">
      <c r="A1475" s="23" t="str">
        <f>HYPERLINK("https://www.spark-marketing.ru/Card/Person/38183", "УПРАВЛЕНИЕ РОССЕЛЬХОЗНАДЗОРА ПО ЧУВАШСКОЙ РЕСПУБЛИКЕ И УЛЬЯНОВСКОЙ ОБЛАСТИ")</f>
        <v>УПРАВЛЕНИЕ РОССЕЛЬХОЗНАДЗОРА ПО ЧУВАШСКОЙ РЕСПУБЛИКЕ И УЛЬЯНОВСКОЙ ОБЛАСТИ</v>
      </c>
      <c r="B1475" s="24" t="s">
        <v>2920</v>
      </c>
      <c r="C1475" s="25">
        <v>50000</v>
      </c>
      <c r="D1475" s="22" t="s">
        <v>2921</v>
      </c>
      <c r="E1475" s="22" t="s">
        <v>91</v>
      </c>
      <c r="F1475" s="23" t="str">
        <f>HYPERLINK("https://www.spark-marketing.ru/Card/Lot/73953472", "Оказание услуг по ремонту принтеров и другой печатающей техники")</f>
        <v>Оказание услуг по ремонту принтеров и другой печатающей техники</v>
      </c>
      <c r="G1475" s="22" t="s">
        <v>618</v>
      </c>
      <c r="H1475" s="22" t="s">
        <v>2842</v>
      </c>
      <c r="I1475" s="26">
        <v>43735.406944444403</v>
      </c>
      <c r="J1475" s="28" t="s">
        <v>51</v>
      </c>
      <c r="K1475" s="28" t="s">
        <v>51</v>
      </c>
      <c r="L1475" s="28" t="s">
        <v>51</v>
      </c>
      <c r="M1475" s="28" t="s">
        <v>51</v>
      </c>
      <c r="N1475" s="28" t="s">
        <v>51</v>
      </c>
    </row>
    <row r="1476" spans="1:14" ht="12.75" hidden="1" outlineLevel="1" x14ac:dyDescent="0.2">
      <c r="A1476" s="23" t="str">
        <f>HYPERLINK("https://www.spark-marketing.ru/Card/Person/38183", "УПРАВЛЕНИЕ РОССЕЛЬХОЗНАДЗОРА ПО ЧУВАШСКОЙ РЕСПУБЛИКЕ И УЛЬЯНОВСКОЙ ОБЛАСТИ")</f>
        <v>УПРАВЛЕНИЕ РОССЕЛЬХОЗНАДЗОРА ПО ЧУВАШСКОЙ РЕСПУБЛИКЕ И УЛЬЯНОВСКОЙ ОБЛАСТИ</v>
      </c>
      <c r="B1476" s="24" t="s">
        <v>2920</v>
      </c>
      <c r="C1476" s="25">
        <v>50000</v>
      </c>
      <c r="D1476" s="22" t="s">
        <v>2921</v>
      </c>
      <c r="E1476" s="22" t="s">
        <v>91</v>
      </c>
      <c r="F1476" s="23" t="str">
        <f>HYPERLINK("https://www.spark-marketing.ru/Card/Lot/73953472", "Оказание услуг по ремонту принтеров и другой печатающей техники")</f>
        <v>Оказание услуг по ремонту принтеров и другой печатающей техники</v>
      </c>
      <c r="G1476" s="22" t="s">
        <v>618</v>
      </c>
      <c r="H1476" s="22" t="s">
        <v>2842</v>
      </c>
      <c r="I1476" s="26">
        <v>43735.406944444403</v>
      </c>
      <c r="J1476" s="23" t="str">
        <f>HYPERLINK("https://www.spark-marketing.ru/Card/Person/158328", "ООО ""М-СЕРВИС""")</f>
        <v>ООО "М-СЕРВИС"</v>
      </c>
      <c r="K1476" s="24" t="s">
        <v>2922</v>
      </c>
      <c r="L1476" s="22" t="s">
        <v>10</v>
      </c>
      <c r="M1476" s="25">
        <v>50000</v>
      </c>
      <c r="N1476" s="27">
        <v>0</v>
      </c>
    </row>
    <row r="1477" spans="1:14" hidden="1" outlineLevel="1" x14ac:dyDescent="0.2">
      <c r="A1477" s="23" t="str">
        <f>HYPERLINK("https://www.spark-marketing.ru/Card/Person/38183", "УПРАВЛЕНИЕ РОССЕЛЬХОЗНАДЗОРА ПО ЧУВАШСКОЙ РЕСПУБЛИКЕ И УЛЬЯНОВСКОЙ ОБЛАСТИ")</f>
        <v>УПРАВЛЕНИЕ РОССЕЛЬХОЗНАДЗОРА ПО ЧУВАШСКОЙ РЕСПУБЛИКЕ И УЛЬЯНОВСКОЙ ОБЛАСТИ</v>
      </c>
      <c r="B1477" s="24" t="s">
        <v>2920</v>
      </c>
      <c r="C1477" s="25">
        <v>50000</v>
      </c>
      <c r="D1477" s="22" t="s">
        <v>2921</v>
      </c>
      <c r="E1477" s="22" t="s">
        <v>91</v>
      </c>
      <c r="F1477" s="23" t="str">
        <f>HYPERLINK("https://www.spark-marketing.ru/Card/Lot/73953472", "Оказание услуг по ремонту принтеров и другой печатающей техники")</f>
        <v>Оказание услуг по ремонту принтеров и другой печатающей техники</v>
      </c>
      <c r="G1477" s="22" t="s">
        <v>618</v>
      </c>
      <c r="H1477" s="22" t="s">
        <v>2842</v>
      </c>
      <c r="I1477" s="26">
        <v>43735.406944444403</v>
      </c>
      <c r="J1477" s="23" t="str">
        <f>HYPERLINK("https://www.spark-marketing.ru/Card/Person/6403217", "Сажин Игорь Сергеевич")</f>
        <v>Сажин Игорь Сергеевич</v>
      </c>
      <c r="K1477" s="24" t="s">
        <v>2923</v>
      </c>
      <c r="L1477" s="28" t="s">
        <v>51</v>
      </c>
      <c r="M1477" s="25">
        <v>50000</v>
      </c>
      <c r="N1477" s="27">
        <v>0</v>
      </c>
    </row>
    <row r="1478" spans="1:14" x14ac:dyDescent="0.15">
      <c r="A1478" s="23" t="str">
        <f>HYPERLINK("https://www.spark-marketing.ru/Card/Person/84424", "МБДОУ ""ДЕТСКИЙ САД № 52""")</f>
        <v>МБДОУ "ДЕТСКИЙ САД № 52"</v>
      </c>
      <c r="B1478" s="24" t="s">
        <v>2924</v>
      </c>
      <c r="C1478" s="25">
        <v>9876148</v>
      </c>
      <c r="D1478" s="22" t="s">
        <v>2925</v>
      </c>
      <c r="E1478" s="22" t="s">
        <v>48</v>
      </c>
      <c r="F1478" s="23" t="str">
        <f>HYPERLINK("https://www.spark-marketing.ru/Card/Lot/73967205",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</v>
      </c>
      <c r="G1478" s="22" t="s">
        <v>49</v>
      </c>
      <c r="H1478" s="22" t="s">
        <v>2495</v>
      </c>
      <c r="I1478" s="26">
        <v>43735.412835648101</v>
      </c>
      <c r="J1478" s="28" t="s">
        <v>51</v>
      </c>
      <c r="K1478" s="28" t="s">
        <v>51</v>
      </c>
      <c r="L1478" s="28" t="s">
        <v>51</v>
      </c>
      <c r="M1478" s="28" t="s">
        <v>51</v>
      </c>
      <c r="N1478" s="28" t="s">
        <v>51</v>
      </c>
    </row>
    <row r="1479" spans="1:14" x14ac:dyDescent="0.15">
      <c r="A1479" s="23" t="str">
        <f>HYPERLINK("https://www.spark-marketing.ru/Card/Person/115989", "МБДОУ ""ДЕТСКИЙ САД № 20""СЕМИЦВЕТИК""")</f>
        <v>МБДОУ "ДЕТСКИЙ САД № 20"СЕМИЦВЕТИК"</v>
      </c>
      <c r="B1479" s="24" t="s">
        <v>2926</v>
      </c>
      <c r="C1479" s="25">
        <v>18085124</v>
      </c>
      <c r="D1479" s="22" t="s">
        <v>2927</v>
      </c>
      <c r="E1479" s="22" t="s">
        <v>48</v>
      </c>
      <c r="F1479" s="23" t="str">
        <f>HYPERLINK("https://www.spark-marketing.ru/Card/Lot/73967223",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</v>
      </c>
      <c r="G1479" s="22" t="s">
        <v>49</v>
      </c>
      <c r="H1479" s="22" t="s">
        <v>2508</v>
      </c>
      <c r="I1479" s="26">
        <v>43735.413055555597</v>
      </c>
      <c r="J1479" s="28" t="s">
        <v>51</v>
      </c>
      <c r="K1479" s="28" t="s">
        <v>51</v>
      </c>
      <c r="L1479" s="28" t="s">
        <v>51</v>
      </c>
      <c r="M1479" s="28" t="s">
        <v>51</v>
      </c>
      <c r="N1479" s="28" t="s">
        <v>51</v>
      </c>
    </row>
    <row r="1480" spans="1:14" x14ac:dyDescent="0.15">
      <c r="A1480" s="23" t="str">
        <f>HYPERLINK("https://www.spark-marketing.ru/Card/Person/46518", "МИНСОЦЗАЩИТА АЛТАЙСКОГО КРАЯ")</f>
        <v>МИНСОЦЗАЩИТА АЛТАЙСКОГО КРАЯ</v>
      </c>
      <c r="B1480" s="24" t="s">
        <v>2928</v>
      </c>
      <c r="C1480" s="25">
        <v>349668.32</v>
      </c>
      <c r="D1480" s="22" t="s">
        <v>2929</v>
      </c>
      <c r="E1480" s="22" t="s">
        <v>2930</v>
      </c>
      <c r="F1480" s="23" t="str">
        <f>HYPERLINK("https://www.spark-marketing.ru/Card/Lot/73963028", "Оказание услуг по модернизации системы поддержания микроклимата серверной комнаты")</f>
        <v>Оказание услуг по модернизации системы поддержания микроклимата серверной комнаты</v>
      </c>
      <c r="G1480" s="22" t="s">
        <v>63</v>
      </c>
      <c r="H1480" s="22" t="s">
        <v>177</v>
      </c>
      <c r="I1480" s="26">
        <v>43735.379143518498</v>
      </c>
      <c r="J1480" s="23" t="str">
        <f>HYPERLINK("https://www.spark-marketing.ru/Card/Person/6000585", "ООО ""СТБ""")</f>
        <v>ООО "СТБ"</v>
      </c>
      <c r="K1480" s="24" t="s">
        <v>2931</v>
      </c>
      <c r="L1480" s="28" t="s">
        <v>51</v>
      </c>
      <c r="M1480" s="28" t="s">
        <v>51</v>
      </c>
      <c r="N1480" s="28" t="s">
        <v>51</v>
      </c>
    </row>
    <row r="1481" spans="1:14" ht="12.75" hidden="1" outlineLevel="1" x14ac:dyDescent="0.2">
      <c r="A1481" s="23" t="str">
        <f>HYPERLINK("https://www.spark-marketing.ru/Card/Person/46518", "МИНСОЦЗАЩИТА АЛТАЙСКОГО КРАЯ")</f>
        <v>МИНСОЦЗАЩИТА АЛТАЙСКОГО КРАЯ</v>
      </c>
      <c r="B1481" s="24" t="s">
        <v>2928</v>
      </c>
      <c r="C1481" s="25">
        <v>349668.32</v>
      </c>
      <c r="D1481" s="22" t="s">
        <v>2929</v>
      </c>
      <c r="E1481" s="22" t="s">
        <v>2930</v>
      </c>
      <c r="F1481" s="23" t="str">
        <f>HYPERLINK("https://www.spark-marketing.ru/Card/Lot/73963028", "Оказание услуг по модернизации системы поддержания микроклимата серверной комнаты")</f>
        <v>Оказание услуг по модернизации системы поддержания микроклимата серверной комнаты</v>
      </c>
      <c r="G1481" s="22" t="s">
        <v>63</v>
      </c>
      <c r="H1481" s="22" t="s">
        <v>177</v>
      </c>
      <c r="I1481" s="26">
        <v>43735.379143518498</v>
      </c>
      <c r="J1481" s="23" t="str">
        <f>HYPERLINK("https://www.spark-marketing.ru/Card/Person/6000585", "ООО ""СТБ""")</f>
        <v>ООО "СТБ"</v>
      </c>
      <c r="K1481" s="24" t="s">
        <v>2931</v>
      </c>
      <c r="L1481" s="22" t="s">
        <v>10</v>
      </c>
      <c r="M1481" s="25">
        <v>347919.97</v>
      </c>
      <c r="N1481" s="27">
        <v>5.0000240227653448E-3</v>
      </c>
    </row>
    <row r="1482" spans="1:14" x14ac:dyDescent="0.15">
      <c r="A1482" s="23" t="str">
        <f>HYPERLINK("https://www.spark-marketing.ru/Card/Person/59195", "МБОУ НШДС № 62")</f>
        <v>МБОУ НШДС № 62</v>
      </c>
      <c r="B1482" s="24" t="s">
        <v>2932</v>
      </c>
      <c r="C1482" s="25">
        <v>10675908</v>
      </c>
      <c r="D1482" s="22" t="s">
        <v>2933</v>
      </c>
      <c r="E1482" s="22" t="s">
        <v>48</v>
      </c>
      <c r="F1482" s="23" t="str">
        <f>HYPERLINK("https://www.spark-marketing.ru/Card/Lot/73967203", "Оказание услуг по организации рационального горячего питания воспитанников муниципальных бюджетных дошкольных образовательных учреждений в 2020 -2021 годах.")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 годах.</v>
      </c>
      <c r="G1482" s="22" t="s">
        <v>49</v>
      </c>
      <c r="H1482" s="22" t="s">
        <v>2495</v>
      </c>
      <c r="I1482" s="26">
        <v>43735.4124884259</v>
      </c>
      <c r="J1482" s="28" t="s">
        <v>51</v>
      </c>
      <c r="K1482" s="28" t="s">
        <v>51</v>
      </c>
      <c r="L1482" s="28" t="s">
        <v>51</v>
      </c>
      <c r="M1482" s="28" t="s">
        <v>51</v>
      </c>
      <c r="N1482" s="28" t="s">
        <v>51</v>
      </c>
    </row>
    <row r="1483" spans="1:14" x14ac:dyDescent="0.15">
      <c r="A1483" s="23" t="str">
        <f>HYPERLINK("https://www.spark-marketing.ru/Card/Person/49064", "ГБУЗ КО ОКОД")</f>
        <v>ГБУЗ КО ОКОД</v>
      </c>
      <c r="B1483" s="24" t="s">
        <v>2934</v>
      </c>
      <c r="C1483" s="25">
        <v>2336000.08</v>
      </c>
      <c r="D1483" s="22" t="s">
        <v>2935</v>
      </c>
      <c r="E1483" s="22" t="s">
        <v>51</v>
      </c>
      <c r="F1483" s="23" t="str">
        <f>HYPERLINK("https://www.spark-marketing.ru/Card/Lot/73965275", "Поставка расходных медицинских материалов")</f>
        <v>Поставка расходных медицинских материалов</v>
      </c>
      <c r="G1483" s="22" t="s">
        <v>304</v>
      </c>
      <c r="H1483" s="22" t="s">
        <v>1154</v>
      </c>
      <c r="I1483" s="26">
        <v>43735.413668981499</v>
      </c>
      <c r="J1483" s="28" t="s">
        <v>51</v>
      </c>
      <c r="K1483" s="28" t="s">
        <v>51</v>
      </c>
      <c r="L1483" s="28" t="s">
        <v>51</v>
      </c>
      <c r="M1483" s="28" t="s">
        <v>51</v>
      </c>
      <c r="N1483" s="28" t="s">
        <v>51</v>
      </c>
    </row>
    <row r="1484" spans="1:14" x14ac:dyDescent="0.15">
      <c r="A1484" s="23" t="str">
        <f>HYPERLINK("https://www.spark-marketing.ru/Card/Person/6220059", "ГКУ НСО ""ЦЕНТР ПАТРИОТИЧЕСКОГО ВОСПИТАНИЯ""")</f>
        <v>ГКУ НСО "ЦЕНТР ПАТРИОТИЧЕСКОГО ВОСПИТАНИЯ"</v>
      </c>
      <c r="B1484" s="24" t="s">
        <v>1887</v>
      </c>
      <c r="C1484" s="25">
        <v>101000</v>
      </c>
      <c r="D1484" s="22" t="s">
        <v>2936</v>
      </c>
      <c r="E1484" s="22" t="s">
        <v>1492</v>
      </c>
      <c r="F1484" s="23" t="str">
        <f>HYPERLINK("https://www.spark-marketing.ru/Card/Lot/73969031", "Оказание услуг по организации питания участников праздничного мероприятия, посвященного Дню народного единства")</f>
        <v>Оказание услуг по организации питания участников праздничного мероприятия, посвященного Дню народного единства</v>
      </c>
      <c r="G1484" s="22" t="s">
        <v>195</v>
      </c>
      <c r="H1484" s="22" t="s">
        <v>196</v>
      </c>
      <c r="I1484" s="26">
        <v>43735.406192129602</v>
      </c>
      <c r="J1484" s="28" t="s">
        <v>51</v>
      </c>
      <c r="K1484" s="28" t="s">
        <v>51</v>
      </c>
      <c r="L1484" s="28" t="s">
        <v>51</v>
      </c>
      <c r="M1484" s="28" t="s">
        <v>51</v>
      </c>
      <c r="N1484" s="28" t="s">
        <v>51</v>
      </c>
    </row>
    <row r="1485" spans="1:14" hidden="1" outlineLevel="1" x14ac:dyDescent="0.2">
      <c r="A1485" s="23" t="str">
        <f>HYPERLINK("https://www.spark-marketing.ru/Card/Person/6220059", "ГКУ НСО ""ЦЕНТР ПАТРИОТИЧЕСКОГО ВОСПИТАНИЯ""")</f>
        <v>ГКУ НСО "ЦЕНТР ПАТРИОТИЧЕСКОГО ВОСПИТАНИЯ"</v>
      </c>
      <c r="B1485" s="24" t="s">
        <v>1887</v>
      </c>
      <c r="C1485" s="28" t="s">
        <v>51</v>
      </c>
      <c r="D1485" s="22" t="s">
        <v>2936</v>
      </c>
      <c r="E1485" s="22" t="s">
        <v>1492</v>
      </c>
      <c r="F1485" s="23" t="str">
        <f>HYPERLINK("https://www.spark-marketing.ru/Card/Lot/73969031", "Оказание услуг по организации питания участников праздничного мероприятия, посвященного Дню народного единства")</f>
        <v>Оказание услуг по организации питания участников праздничного мероприятия, посвященного Дню народного единства</v>
      </c>
      <c r="G1485" s="22" t="s">
        <v>195</v>
      </c>
      <c r="H1485" s="22" t="s">
        <v>196</v>
      </c>
      <c r="I1485" s="26">
        <v>43735.406192129602</v>
      </c>
      <c r="J1485" s="23" t="str">
        <f>HYPERLINK("https://www.spark-marketing.ru/Card/Person/75989", "ООО ""СБК""")</f>
        <v>ООО "СБК"</v>
      </c>
      <c r="K1485" s="24" t="s">
        <v>1889</v>
      </c>
      <c r="L1485" s="28" t="s">
        <v>51</v>
      </c>
      <c r="M1485" s="25">
        <v>99945</v>
      </c>
      <c r="N1485" s="27">
        <v>1.0445544554455446E-2</v>
      </c>
    </row>
    <row r="1486" spans="1:14" hidden="1" outlineLevel="1" x14ac:dyDescent="0.2">
      <c r="A1486" s="23" t="str">
        <f>HYPERLINK("https://www.spark-marketing.ru/Card/Person/6220059", "ГКУ НСО ""ЦЕНТР ПАТРИОТИЧЕСКОГО ВОСПИТАНИЯ""")</f>
        <v>ГКУ НСО "ЦЕНТР ПАТРИОТИЧЕСКОГО ВОСПИТАНИЯ"</v>
      </c>
      <c r="B1486" s="24" t="s">
        <v>1887</v>
      </c>
      <c r="C1486" s="28" t="s">
        <v>51</v>
      </c>
      <c r="D1486" s="22" t="s">
        <v>2936</v>
      </c>
      <c r="E1486" s="22" t="s">
        <v>1492</v>
      </c>
      <c r="F1486" s="23" t="str">
        <f>HYPERLINK("https://www.spark-marketing.ru/Card/Lot/73969031", "Оказание услуг по организации питания участников праздничного мероприятия, посвященного Дню народного единства")</f>
        <v>Оказание услуг по организации питания участников праздничного мероприятия, посвященного Дню народного единства</v>
      </c>
      <c r="G1486" s="22" t="s">
        <v>195</v>
      </c>
      <c r="H1486" s="22" t="s">
        <v>196</v>
      </c>
      <c r="I1486" s="26">
        <v>43735.406192129602</v>
      </c>
      <c r="J1486" s="23" t="str">
        <f>HYPERLINK("https://www.spark-marketing.ru/Card/Person/53779", "ООО ""АЛЛЕГРО БП""")</f>
        <v>ООО "АЛЛЕГРО БП"</v>
      </c>
      <c r="K1486" s="24" t="s">
        <v>2937</v>
      </c>
      <c r="L1486" s="22" t="s">
        <v>10</v>
      </c>
      <c r="M1486" s="25">
        <v>99440</v>
      </c>
      <c r="N1486" s="27">
        <v>1.5445544554455445E-2</v>
      </c>
    </row>
    <row r="1487" spans="1:14" x14ac:dyDescent="0.15">
      <c r="A1487" s="23" t="str">
        <f>HYPERLINK("https://www.spark-marketing.ru/Card/Person/1752170", "ОМВД РОССИИ ПО ЧАГОДОЩЕНСКОМУ РАЙОНУ")</f>
        <v>ОМВД РОССИИ ПО ЧАГОДОЩЕНСКОМУ РАЙОНУ</v>
      </c>
      <c r="B1487" s="24" t="s">
        <v>2938</v>
      </c>
      <c r="C1487" s="25">
        <v>400000</v>
      </c>
      <c r="D1487" s="22" t="s">
        <v>2939</v>
      </c>
      <c r="E1487" s="22" t="s">
        <v>48</v>
      </c>
      <c r="F1487" s="23" t="str">
        <f>HYPERLINK("https://www.spark-marketing.ru/Card/Lot/73965131", "Оказание услуг по организации питания административно арестованных, подозреваемых и обвиняемых, содержащихся под стражей, а также задержанных более 3 часов граждан")</f>
        <v>Оказание услуг по организации питания административно арестованных, подозреваемых и обвиняемых, содержащихся под стражей, а также задержанных более 3 часов граждан</v>
      </c>
      <c r="G1487" s="22" t="s">
        <v>503</v>
      </c>
      <c r="H1487" s="22" t="s">
        <v>1487</v>
      </c>
      <c r="I1487" s="26">
        <v>43735.3995601852</v>
      </c>
      <c r="J1487" s="28" t="s">
        <v>51</v>
      </c>
      <c r="K1487" s="28" t="s">
        <v>51</v>
      </c>
      <c r="L1487" s="28" t="s">
        <v>51</v>
      </c>
      <c r="M1487" s="28" t="s">
        <v>51</v>
      </c>
      <c r="N1487" s="28" t="s">
        <v>51</v>
      </c>
    </row>
    <row r="1488" spans="1:14" x14ac:dyDescent="0.15">
      <c r="A1488" s="23" t="str">
        <f>HYPERLINK("https://www.spark-marketing.ru/Card/Person/14209", "БУ ""МЕГИОНСКАЯ ГОРОДСКАЯ БОЛЬНИЦА""")</f>
        <v>БУ "МЕГИОНСКАЯ ГОРОДСКАЯ БОЛЬНИЦА"</v>
      </c>
      <c r="B1488" s="24" t="s">
        <v>1709</v>
      </c>
      <c r="C1488" s="25">
        <v>648683.1</v>
      </c>
      <c r="D1488" s="22" t="s">
        <v>2940</v>
      </c>
      <c r="E1488" s="22" t="s">
        <v>91</v>
      </c>
      <c r="F1488" s="23" t="str">
        <f>HYPERLINK("https://www.spark-marketing.ru/Card/Lot/73964605", "Оказание услуг по ремонту компьютерной техники (с заменой запасных частей)")</f>
        <v>Оказание услуг по ремонту компьютерной техники (с заменой запасных частей)</v>
      </c>
      <c r="G1488" s="22" t="s">
        <v>97</v>
      </c>
      <c r="H1488" s="22" t="s">
        <v>1711</v>
      </c>
      <c r="I1488" s="26">
        <v>43735.3917013889</v>
      </c>
      <c r="J1488" s="28" t="s">
        <v>51</v>
      </c>
      <c r="K1488" s="28" t="s">
        <v>51</v>
      </c>
      <c r="L1488" s="28" t="s">
        <v>51</v>
      </c>
      <c r="M1488" s="28" t="s">
        <v>51</v>
      </c>
      <c r="N1488" s="28" t="s">
        <v>51</v>
      </c>
    </row>
    <row r="1489" spans="1:14" hidden="1" outlineLevel="1" x14ac:dyDescent="0.2">
      <c r="A1489" s="23" t="str">
        <f>HYPERLINK("https://www.spark-marketing.ru/Card/Person/14209", "БУ ""МЕГИОНСКАЯ ГОРОДСКАЯ БОЛЬНИЦА""")</f>
        <v>БУ "МЕГИОНСКАЯ ГОРОДСКАЯ БОЛЬНИЦА"</v>
      </c>
      <c r="B1489" s="24" t="s">
        <v>1709</v>
      </c>
      <c r="C1489" s="25">
        <v>648683.1</v>
      </c>
      <c r="D1489" s="22" t="s">
        <v>2940</v>
      </c>
      <c r="E1489" s="22" t="s">
        <v>91</v>
      </c>
      <c r="F1489" s="23" t="str">
        <f>HYPERLINK("https://www.spark-marketing.ru/Card/Lot/73964605", "Оказание услуг по ремонту компьютерной техники (с заменой запасных частей)")</f>
        <v>Оказание услуг по ремонту компьютерной техники (с заменой запасных частей)</v>
      </c>
      <c r="G1489" s="22" t="s">
        <v>97</v>
      </c>
      <c r="H1489" s="22" t="s">
        <v>1711</v>
      </c>
      <c r="I1489" s="26">
        <v>43735.3917013889</v>
      </c>
      <c r="J1489" s="23" t="str">
        <f>HYPERLINK("https://www.spark-marketing.ru/Card/Person/6578092", "ООО ""АСП ТРЕЙД""")</f>
        <v>ООО "АСП ТРЕЙД"</v>
      </c>
      <c r="K1489" s="24" t="s">
        <v>2594</v>
      </c>
      <c r="L1489" s="28" t="s">
        <v>51</v>
      </c>
      <c r="M1489" s="25">
        <v>584656.57999999996</v>
      </c>
      <c r="N1489" s="27">
        <v>9.8702309340261835E-2</v>
      </c>
    </row>
    <row r="1490" spans="1:14" ht="12.75" hidden="1" outlineLevel="1" x14ac:dyDescent="0.2">
      <c r="A1490" s="23" t="str">
        <f>HYPERLINK("https://www.spark-marketing.ru/Card/Person/14209", "БУ ""МЕГИОНСКАЯ ГОРОДСКАЯ БОЛЬНИЦА""")</f>
        <v>БУ "МЕГИОНСКАЯ ГОРОДСКАЯ БОЛЬНИЦА"</v>
      </c>
      <c r="B1490" s="24" t="s">
        <v>1709</v>
      </c>
      <c r="C1490" s="25">
        <v>648683.1</v>
      </c>
      <c r="D1490" s="22" t="s">
        <v>2940</v>
      </c>
      <c r="E1490" s="22" t="s">
        <v>91</v>
      </c>
      <c r="F1490" s="23" t="str">
        <f>HYPERLINK("https://www.spark-marketing.ru/Card/Lot/73964605", "Оказание услуг по ремонту компьютерной техники (с заменой запасных частей)")</f>
        <v>Оказание услуг по ремонту компьютерной техники (с заменой запасных частей)</v>
      </c>
      <c r="G1490" s="22" t="s">
        <v>97</v>
      </c>
      <c r="H1490" s="22" t="s">
        <v>1711</v>
      </c>
      <c r="I1490" s="26">
        <v>43735.3917013889</v>
      </c>
      <c r="J1490" s="23" t="str">
        <f>HYPERLINK("https://www.spark-marketing.ru/Card/Person/665661", "Лутошкин Алексей Аркадьевич")</f>
        <v>Лутошкин Алексей Аркадьевич</v>
      </c>
      <c r="K1490" s="24" t="s">
        <v>1712</v>
      </c>
      <c r="L1490" s="22" t="s">
        <v>10</v>
      </c>
      <c r="M1490" s="25">
        <v>581000</v>
      </c>
      <c r="N1490" s="27">
        <v>0.10433923744891765</v>
      </c>
    </row>
    <row r="1491" spans="1:14" x14ac:dyDescent="0.15">
      <c r="A1491" s="23" t="str">
        <f>HYPERLINK("https://www.spark-marketing.ru/Card/Person/7285", "ТУЛГУ, ТУЛЬСКИЙ ГОСУДАРСТВЕННЫЙ УНИВЕРСИТЕТ, ФГБОУ ВО ""ТУЛГУ"", ФГБОУ ВО ""ТУЛЬСКИЙ ГОСУДАРСТВЕННЫЙ УНИВЕРСИТЕТ""")</f>
        <v>ТУЛГУ, ТУЛЬСКИЙ ГОСУДАРСТВЕННЫЙ УНИВЕРСИТЕТ, ФГБОУ ВО "ТУЛГУ", ФГБОУ ВО "ТУЛЬСКИЙ ГОСУДАРСТВЕННЫЙ УНИВЕРСИТЕТ"</v>
      </c>
      <c r="B1491" s="24" t="s">
        <v>2941</v>
      </c>
      <c r="C1491" s="25">
        <v>144000</v>
      </c>
      <c r="D1491" s="22" t="s">
        <v>2942</v>
      </c>
      <c r="E1491" s="22" t="s">
        <v>362</v>
      </c>
      <c r="F1491" s="23" t="str">
        <f>HYPERLINK("https://www.spark-marketing.ru/Card/Lot/73956502", "Оказание услуг по организации питания в рамках культурно-массового и спортивного мероприятия «Межрегиональный турнир по футболу (НСФЛ)» для нужд федерального государственного бюджетного образовательного учреждения высшего образования «Тульский госуда...")</f>
        <v>Оказание услуг по организации питания в рамках культурно-массового и спортивного мероприятия «Межрегиональный турнир по футболу (НСФЛ)» для нужд федерального государственного бюджетного образовательного учреждения высшего образования «Тульский госуда...</v>
      </c>
      <c r="G1491" s="22" t="s">
        <v>68</v>
      </c>
      <c r="H1491" s="22" t="s">
        <v>68</v>
      </c>
      <c r="I1491" s="26">
        <v>43735</v>
      </c>
      <c r="J1491" s="28" t="s">
        <v>51</v>
      </c>
      <c r="K1491" s="28" t="s">
        <v>51</v>
      </c>
      <c r="L1491" s="28" t="s">
        <v>51</v>
      </c>
      <c r="M1491" s="28" t="s">
        <v>51</v>
      </c>
      <c r="N1491" s="28" t="s">
        <v>51</v>
      </c>
    </row>
    <row r="1492" spans="1:14" x14ac:dyDescent="0.15">
      <c r="A1492" s="23" t="str">
        <f>HYPERLINK("https://www.spark-marketing.ru/Card/Person/100623", "ФГБУ «САНАТОРИЙ «КУРПАТЫ»")</f>
        <v>ФГБУ «САНАТОРИЙ «КУРПАТЫ»</v>
      </c>
      <c r="B1492" s="24" t="s">
        <v>2943</v>
      </c>
      <c r="C1492" s="25">
        <v>999840</v>
      </c>
      <c r="D1492" s="22" t="s">
        <v>2944</v>
      </c>
      <c r="E1492" s="22" t="s">
        <v>362</v>
      </c>
      <c r="F1492" s="23" t="str">
        <f>HYPERLINK("https://www.spark-marketing.ru/Card/Lot/73959063", "оказание услуг общественного (лечебного) четырехразового питания (завтрак, обед, ужин, второй ужин) по методу «Шведский стол» для основной категории лиц отдыхающих и заказного меню для отдельной категории отдыхающих с ассортиментом первых и вторых бл...")</f>
        <v>оказание услуг общественного (лечебного) четырехразового питания (завтрак, обед, ужин, второй ужин) по методу «Шведский стол» для основной категории лиц отдыхающих и заказного меню для отдельной категории отдыхающих с ассортиментом первых и вторых бл...</v>
      </c>
      <c r="G1492" s="22" t="s">
        <v>108</v>
      </c>
      <c r="H1492" s="22" t="s">
        <v>108</v>
      </c>
      <c r="I1492" s="26">
        <v>43735</v>
      </c>
      <c r="J1492" s="28" t="s">
        <v>51</v>
      </c>
      <c r="K1492" s="28" t="s">
        <v>51</v>
      </c>
      <c r="L1492" s="28" t="s">
        <v>51</v>
      </c>
      <c r="M1492" s="28" t="s">
        <v>51</v>
      </c>
      <c r="N1492" s="28" t="s">
        <v>51</v>
      </c>
    </row>
    <row r="1493" spans="1:14" x14ac:dyDescent="0.15">
      <c r="A1493" s="23" t="str">
        <f>HYPERLINK("https://www.spark-marketing.ru/Card/Person/4345826", "ПАО СБЕРБАНК")</f>
        <v>ПАО СБЕРБАНК</v>
      </c>
      <c r="B1493" s="24" t="s">
        <v>2945</v>
      </c>
      <c r="C1493" s="25">
        <v>10000</v>
      </c>
      <c r="D1493" s="22" t="s">
        <v>2946</v>
      </c>
      <c r="E1493" s="22" t="s">
        <v>1593</v>
      </c>
      <c r="F1493" s="23" t="str">
        <f>HYPERLINK("https://www.spark-marketing.ru/Card/Lot/73911007", "Оказание услуг питания. 1 комплект")</f>
        <v>Оказание услуг питания. 1 комплект</v>
      </c>
      <c r="G1493" s="22" t="s">
        <v>128</v>
      </c>
      <c r="H1493" s="22" t="s">
        <v>128</v>
      </c>
      <c r="I1493" s="26">
        <v>43734</v>
      </c>
      <c r="J1493" s="28" t="s">
        <v>51</v>
      </c>
      <c r="K1493" s="28" t="s">
        <v>51</v>
      </c>
      <c r="L1493" s="28" t="s">
        <v>51</v>
      </c>
      <c r="M1493" s="28" t="s">
        <v>51</v>
      </c>
      <c r="N1493" s="28" t="s">
        <v>51</v>
      </c>
    </row>
    <row r="1494" spans="1:14" x14ac:dyDescent="0.15">
      <c r="A1494" s="23" t="str">
        <f>HYPERLINK("https://www.spark-marketing.ru/Card/Person/1659622", "ГАОУ ДПО МЦКО")</f>
        <v>ГАОУ ДПО МЦКО</v>
      </c>
      <c r="B1494" s="24" t="s">
        <v>2947</v>
      </c>
      <c r="C1494" s="25">
        <v>169500</v>
      </c>
      <c r="D1494" s="22" t="s">
        <v>2948</v>
      </c>
      <c r="E1494" s="22" t="s">
        <v>580</v>
      </c>
      <c r="F1494" s="23" t="str">
        <f>HYPERLINK("https://www.spark-marketing.ru/Card/Lot/73958335", "Оказание услуг по организации питания во время проведения выездного мероприятия")</f>
        <v>Оказание услуг по организации питания во время проведения выездного мероприятия</v>
      </c>
      <c r="G1494" s="22" t="s">
        <v>56</v>
      </c>
      <c r="H1494" s="22" t="s">
        <v>56</v>
      </c>
      <c r="I1494" s="26">
        <v>43735</v>
      </c>
      <c r="J1494" s="28" t="s">
        <v>51</v>
      </c>
      <c r="K1494" s="28" t="s">
        <v>51</v>
      </c>
      <c r="L1494" s="28" t="s">
        <v>51</v>
      </c>
      <c r="M1494" s="28" t="s">
        <v>51</v>
      </c>
      <c r="N1494" s="28" t="s">
        <v>51</v>
      </c>
    </row>
    <row r="1495" spans="1:14" x14ac:dyDescent="0.15">
      <c r="A1495" s="23" t="str">
        <f>HYPERLINK("https://www.spark-marketing.ru/Card/Person/1193847", "МАОУ СОШ № 5")</f>
        <v>МАОУ СОШ № 5</v>
      </c>
      <c r="B1495" s="24" t="s">
        <v>2949</v>
      </c>
      <c r="C1495" s="25">
        <v>204160</v>
      </c>
      <c r="D1495" s="22" t="s">
        <v>2950</v>
      </c>
      <c r="E1495" s="22" t="s">
        <v>362</v>
      </c>
      <c r="F1495" s="23" t="str">
        <f>HYPERLINK("https://www.spark-marketing.ru/Card/Lot/73958459", "Услуги по организации горячего питания учащихся из малоимущих семей, обучающихся в МАОУ СОШ № 5")</f>
        <v>Услуги по организации горячего питания учащихся из малоимущих семей, обучающихся в МАОУ СОШ № 5</v>
      </c>
      <c r="G1495" s="22" t="s">
        <v>137</v>
      </c>
      <c r="H1495" s="22" t="s">
        <v>137</v>
      </c>
      <c r="I1495" s="26">
        <v>43735</v>
      </c>
      <c r="J1495" s="28" t="s">
        <v>51</v>
      </c>
      <c r="K1495" s="28" t="s">
        <v>51</v>
      </c>
      <c r="L1495" s="28" t="s">
        <v>51</v>
      </c>
      <c r="M1495" s="28" t="s">
        <v>51</v>
      </c>
      <c r="N1495" s="28" t="s">
        <v>51</v>
      </c>
    </row>
    <row r="1496" spans="1:14" x14ac:dyDescent="0.2">
      <c r="A1496" s="23" t="str">
        <f>HYPERLINK("https://www.spark-marketing.ru/Card/Person/4348809", "ГУП ""МОСВОДОСТОК""")</f>
        <v>ГУП "МОСВОДОСТОК"</v>
      </c>
      <c r="B1496" s="24" t="s">
        <v>2951</v>
      </c>
      <c r="C1496" s="25">
        <v>33120</v>
      </c>
      <c r="D1496" s="22" t="s">
        <v>2952</v>
      </c>
      <c r="E1496" s="22" t="s">
        <v>2953</v>
      </c>
      <c r="F1496" s="23" t="str">
        <f>HYPERLINK("https://www.spark-marketing.ru/Card/Lot/73948772", "Оказание услуг по проживанию и питанию сотрудников направленных в служебную командировку")</f>
        <v>Оказание услуг по проживанию и питанию сотрудников направленных в служебную командировку</v>
      </c>
      <c r="G1496" s="22" t="s">
        <v>56</v>
      </c>
      <c r="H1496" s="22" t="s">
        <v>56</v>
      </c>
      <c r="I1496" s="26">
        <v>43735</v>
      </c>
      <c r="J1496" s="28" t="s">
        <v>51</v>
      </c>
      <c r="K1496" s="28" t="s">
        <v>51</v>
      </c>
      <c r="L1496" s="28" t="s">
        <v>51</v>
      </c>
      <c r="M1496" s="25">
        <v>33120</v>
      </c>
      <c r="N1496" s="27">
        <v>0</v>
      </c>
    </row>
    <row r="1497" spans="1:14" x14ac:dyDescent="0.15">
      <c r="A1497" s="23" t="str">
        <f>HYPERLINK("https://www.spark-marketing.ru/Card/Person/45583", "АО ""ТЕХНОПОЛИС ""МОСКВА""")</f>
        <v>АО "ТЕХНОПОЛИС "МОСКВА"</v>
      </c>
      <c r="B1497" s="24" t="s">
        <v>2954</v>
      </c>
      <c r="C1497" s="25">
        <v>2991547.52</v>
      </c>
      <c r="D1497" s="22" t="s">
        <v>2955</v>
      </c>
      <c r="E1497" s="22" t="s">
        <v>580</v>
      </c>
      <c r="F1497" s="23" t="str">
        <f>HYPERLINK("https://www.spark-marketing.ru/Card/Lot/73947170", "Оказание услуг по организации питания на деловых мероприятиях Заказчика по адресу: г. Москва, Волгоградский проспект, д. 42, корп. 5")</f>
        <v>Оказание услуг по организации питания на деловых мероприятиях Заказчика по адресу: г. Москва, Волгоградский проспект, д. 42, корп. 5</v>
      </c>
      <c r="G1497" s="22" t="s">
        <v>56</v>
      </c>
      <c r="H1497" s="22" t="s">
        <v>56</v>
      </c>
      <c r="I1497" s="26">
        <v>43735</v>
      </c>
      <c r="J1497" s="28" t="s">
        <v>51</v>
      </c>
      <c r="K1497" s="28" t="s">
        <v>51</v>
      </c>
      <c r="L1497" s="28" t="s">
        <v>51</v>
      </c>
      <c r="M1497" s="28" t="s">
        <v>51</v>
      </c>
      <c r="N1497" s="28" t="s">
        <v>51</v>
      </c>
    </row>
    <row r="1498" spans="1:14" x14ac:dyDescent="0.15">
      <c r="A1498" s="23" t="str">
        <f>HYPERLINK("https://www.spark-marketing.ru/Card/Person/1390375", "ФГАУ ""УПРАВЛЕНИЕ СПОРТМЕРОПРИЯТИЙ""")</f>
        <v>ФГАУ "УПРАВЛЕНИЕ СПОРТМЕРОПРИЯТИЙ"</v>
      </c>
      <c r="B1498" s="24" t="s">
        <v>2632</v>
      </c>
      <c r="C1498" s="25">
        <v>450000</v>
      </c>
      <c r="D1498" s="22" t="s">
        <v>2956</v>
      </c>
      <c r="E1498" s="22" t="s">
        <v>769</v>
      </c>
      <c r="F1498" s="23" t="str">
        <f>HYPERLINK("https://www.spark-marketing.ru/Card/Lot/74056820", "Оказание услуг по организации проживания и питания сборной команды России при проведении международного соревнования ""Russian Open 2019"" по тхэквондо (дисциплина - ВТФ) среди мужчин и женщин")</f>
        <v>Оказание услуг по организации проживания и питания сборной команды России при проведении международного соревнования "Russian Open 2019" по тхэквондо (дисциплина - ВТФ) среди мужчин и женщин</v>
      </c>
      <c r="G1498" s="22" t="s">
        <v>56</v>
      </c>
      <c r="H1498" s="22" t="s">
        <v>56</v>
      </c>
      <c r="I1498" s="26">
        <v>43738</v>
      </c>
      <c r="J1498" s="28" t="s">
        <v>51</v>
      </c>
      <c r="K1498" s="28" t="s">
        <v>51</v>
      </c>
      <c r="L1498" s="28" t="s">
        <v>51</v>
      </c>
      <c r="M1498" s="28" t="s">
        <v>51</v>
      </c>
      <c r="N1498" s="28" t="s">
        <v>51</v>
      </c>
    </row>
    <row r="1499" spans="1:14" x14ac:dyDescent="0.15">
      <c r="A1499" s="23" t="str">
        <f>HYPERLINK("https://www.spark-marketing.ru/Card/Person/113217", "МАОУ ГИМНАЗИЯ № 216 ""ДИДАКТ""")</f>
        <v>МАОУ ГИМНАЗИЯ № 216 "ДИДАКТ"</v>
      </c>
      <c r="B1499" s="24" t="s">
        <v>2957</v>
      </c>
      <c r="C1499" s="25">
        <v>313707</v>
      </c>
      <c r="D1499" s="22" t="s">
        <v>2958</v>
      </c>
      <c r="E1499" s="22" t="s">
        <v>362</v>
      </c>
      <c r="F1499" s="23" t="str">
        <f>HYPERLINK("https://www.spark-marketing.ru/Card/Lot/73946285", "Оказание услуг по организации горячего питания обучающихся")</f>
        <v>Оказание услуг по организации горячего питания обучающихся</v>
      </c>
      <c r="G1499" s="22" t="s">
        <v>72</v>
      </c>
      <c r="H1499" s="22" t="s">
        <v>72</v>
      </c>
      <c r="I1499" s="26">
        <v>43735</v>
      </c>
      <c r="J1499" s="28" t="s">
        <v>51</v>
      </c>
      <c r="K1499" s="28" t="s">
        <v>51</v>
      </c>
      <c r="L1499" s="28" t="s">
        <v>51</v>
      </c>
      <c r="M1499" s="28" t="s">
        <v>51</v>
      </c>
      <c r="N1499" s="28" t="s">
        <v>51</v>
      </c>
    </row>
    <row r="1500" spans="1:14" x14ac:dyDescent="0.15">
      <c r="A1500" s="23" t="str">
        <f>HYPERLINK("https://www.spark-marketing.ru/Card/Person/10767", "ТУСУР, ФГБОУ ВО ""ТУСУР"", ФГБОУ ВО ""ТОМСКИЙ ГОСУДАРСТВЕННЫЙ УНИВЕРСИТЕТ СИСТЕМ УПРАВЛЕНИЯ И РАДИОЭЛЕКТРОНИКИ"", ТОМСКИЙ ГОСУДАРСТВЕННЫЙ УНИВЕРСИТЕТ СИСТЕМ УПРАВЛЕНИЯ И РАДИОЭЛЕКТРОНИКИ")</f>
        <v>ТУСУР, ФГБОУ ВО "ТУСУР", ФГБОУ ВО "ТОМСКИЙ ГОСУДАРСТВЕННЫЙ УНИВЕРСИТЕТ СИСТЕМ УПРАВЛЕНИЯ И РАДИОЭЛЕКТРОНИКИ", ТОМСКИЙ ГОСУДАРСТВЕННЫЙ УНИВЕРСИТЕТ СИСТЕМ УПРАВЛЕНИЯ И РАДИОЭЛЕКТРОНИКИ</v>
      </c>
      <c r="B1500" s="24" t="s">
        <v>2050</v>
      </c>
      <c r="C1500" s="25">
        <v>500000</v>
      </c>
      <c r="D1500" s="22" t="s">
        <v>2959</v>
      </c>
      <c r="E1500" s="22" t="s">
        <v>2960</v>
      </c>
      <c r="F1500" s="23" t="str">
        <f>HYPERLINK("https://www.spark-marketing.ru/Card/Lot/73944883", "Оказание услуг по размещению рекламных материалов в сети Интернет на сервисе контекстной рекламы Яндекс Директ, Google Adwords")</f>
        <v>Оказание услуг по размещению рекламных материалов в сети Интернет на сервисе контекстной рекламы Яндекс Директ, Google Adwords</v>
      </c>
      <c r="G1500" s="22" t="s">
        <v>149</v>
      </c>
      <c r="H1500" s="22" t="s">
        <v>149</v>
      </c>
      <c r="I1500" s="26">
        <v>43735</v>
      </c>
      <c r="J1500" s="28" t="s">
        <v>51</v>
      </c>
      <c r="K1500" s="28" t="s">
        <v>51</v>
      </c>
      <c r="L1500" s="28" t="s">
        <v>51</v>
      </c>
      <c r="M1500" s="28" t="s">
        <v>51</v>
      </c>
      <c r="N1500" s="28" t="s">
        <v>51</v>
      </c>
    </row>
    <row r="1501" spans="1:14" x14ac:dyDescent="0.2">
      <c r="A1501" s="23" t="str">
        <f>HYPERLINK("https://www.spark-marketing.ru/Card/Person/949344", "КГА ПОУ ""ДВТК""")</f>
        <v>КГА ПОУ "ДВТК"</v>
      </c>
      <c r="B1501" s="24" t="s">
        <v>2961</v>
      </c>
      <c r="C1501" s="25">
        <v>1800500</v>
      </c>
      <c r="D1501" s="22" t="s">
        <v>2962</v>
      </c>
      <c r="E1501" s="22" t="s">
        <v>362</v>
      </c>
      <c r="F1501" s="23" t="str">
        <f>HYPERLINK("https://www.spark-marketing.ru/Card/Lot/73940497", "Оказание услуг по организации питания")</f>
        <v>Оказание услуг по организации питания</v>
      </c>
      <c r="G1501" s="22" t="s">
        <v>543</v>
      </c>
      <c r="H1501" s="22" t="s">
        <v>543</v>
      </c>
      <c r="I1501" s="26">
        <v>43735</v>
      </c>
      <c r="J1501" s="28" t="s">
        <v>51</v>
      </c>
      <c r="K1501" s="28" t="s">
        <v>51</v>
      </c>
      <c r="L1501" s="22" t="s">
        <v>10</v>
      </c>
      <c r="M1501" s="25">
        <v>1800500</v>
      </c>
      <c r="N1501" s="27">
        <v>0</v>
      </c>
    </row>
    <row r="1502" spans="1:14" x14ac:dyDescent="0.15">
      <c r="A1502" s="23" t="str">
        <f>HYPERLINK("https://www.spark-marketing.ru/Card/Person/81245", "ТИХООКЕАНСКИЙ ГОСУДАРСТВЕННЫЙ УНИВЕРСИТЕТ, ФГБОУ ВО ""ТИХООКЕАНСКИЙ ГОСУДАРСТВЕННЫЙ УНИВЕРСИТЕТ"", ФГБОУ ВО ""ТОГУ"", ТОГУ")</f>
        <v>ТИХООКЕАНСКИЙ ГОСУДАРСТВЕННЫЙ УНИВЕРСИТЕТ, ФГБОУ ВО "ТИХООКЕАНСКИЙ ГОСУДАРСТВЕННЫЙ УНИВЕРСИТЕТ", ФГБОУ ВО "ТОГУ", ТОГУ</v>
      </c>
      <c r="B1502" s="24" t="s">
        <v>2963</v>
      </c>
      <c r="C1502" s="25">
        <v>702000</v>
      </c>
      <c r="D1502" s="22" t="s">
        <v>2964</v>
      </c>
      <c r="E1502" s="22" t="s">
        <v>2965</v>
      </c>
      <c r="F1502" s="23" t="str">
        <f>HYPERLINK("https://www.spark-marketing.ru/Card/Lot/73944824", "Оказание услуг по организации проживания и питания участников краевого форума добровольцев ""Кто, если не Я""")</f>
        <v>Оказание услуг по организации проживания и питания участников краевого форума добровольцев "Кто, если не Я"</v>
      </c>
      <c r="G1502" s="22" t="s">
        <v>1096</v>
      </c>
      <c r="H1502" s="22" t="s">
        <v>1096</v>
      </c>
      <c r="I1502" s="26">
        <v>43735</v>
      </c>
      <c r="J1502" s="28" t="s">
        <v>51</v>
      </c>
      <c r="K1502" s="28" t="s">
        <v>51</v>
      </c>
      <c r="L1502" s="28" t="s">
        <v>51</v>
      </c>
      <c r="M1502" s="28" t="s">
        <v>51</v>
      </c>
      <c r="N1502" s="28" t="s">
        <v>51</v>
      </c>
    </row>
    <row r="1503" spans="1:14" x14ac:dyDescent="0.15">
      <c r="A1503" s="23" t="str">
        <f>HYPERLINK("https://www.spark-marketing.ru/Card/Person/30851", "ДОНСКОЙ ГОСУДАРСТВЕННЫЙ ТЕХНИЧЕСКИЙ УНИВЕРСИТЕТ; ДГТУ")</f>
        <v>ДОНСКОЙ ГОСУДАРСТВЕННЫЙ ТЕХНИЧЕСКИЙ УНИВЕРСИТЕТ; ДГТУ</v>
      </c>
      <c r="B1503" s="24" t="s">
        <v>2266</v>
      </c>
      <c r="C1503" s="25">
        <v>113800</v>
      </c>
      <c r="D1503" s="22" t="s">
        <v>2966</v>
      </c>
      <c r="E1503" s="22" t="s">
        <v>580</v>
      </c>
      <c r="F1503" s="23" t="str">
        <f>HYPERLINK("https://www.spark-marketing.ru/Card/Lot/73957493", "Оказание услуг работникам и обучающимся ИСОиП (филиала) ДГТУ в г. Шахты по питанию в ресторане гостиницы")</f>
        <v>Оказание услуг работникам и обучающимся ИСОиП (филиала) ДГТУ в г. Шахты по питанию в ресторане гостиницы</v>
      </c>
      <c r="G1503" s="22" t="s">
        <v>104</v>
      </c>
      <c r="H1503" s="22" t="s">
        <v>104</v>
      </c>
      <c r="I1503" s="26">
        <v>43735</v>
      </c>
      <c r="J1503" s="28" t="s">
        <v>51</v>
      </c>
      <c r="K1503" s="28" t="s">
        <v>51</v>
      </c>
      <c r="L1503" s="28" t="s">
        <v>51</v>
      </c>
      <c r="M1503" s="28" t="s">
        <v>51</v>
      </c>
      <c r="N1503" s="28" t="s">
        <v>51</v>
      </c>
    </row>
    <row r="1504" spans="1:14" x14ac:dyDescent="0.2">
      <c r="A1504" s="23" t="str">
        <f>HYPERLINK("https://www.spark-marketing.ru/Card/Person/526355", "ФГБОУ ВО ""РЭУ ИМ. Г.В. ПЛЕХАНОВА"", РЭУ ИМ. Г.В. ПЛЕХАНОВА")</f>
        <v>ФГБОУ ВО "РЭУ ИМ. Г.В. ПЛЕХАНОВА", РЭУ ИМ. Г.В. ПЛЕХАНОВА</v>
      </c>
      <c r="B1504" s="24" t="s">
        <v>565</v>
      </c>
      <c r="C1504" s="25">
        <v>90000</v>
      </c>
      <c r="D1504" s="22" t="s">
        <v>2967</v>
      </c>
      <c r="E1504" s="22" t="s">
        <v>1213</v>
      </c>
      <c r="F1504" s="23" t="str">
        <f>HYPERLINK("https://www.spark-marketing.ru/Card/Lot/73958239", "Оказание услуг разнорабочего для нужд комбината питания Саратовского социально-экономического института (филиала) РЭУ им. Г.В. Плеханова.")</f>
        <v>Оказание услуг разнорабочего для нужд комбината питания Саратовского социально-экономического института (филиала) РЭУ им. Г.В. Плеханова.</v>
      </c>
      <c r="G1504" s="22" t="s">
        <v>351</v>
      </c>
      <c r="H1504" s="22" t="s">
        <v>351</v>
      </c>
      <c r="I1504" s="26">
        <v>43735</v>
      </c>
      <c r="J1504" s="28" t="s">
        <v>51</v>
      </c>
      <c r="K1504" s="28" t="s">
        <v>51</v>
      </c>
      <c r="L1504" s="22" t="s">
        <v>10</v>
      </c>
      <c r="M1504" s="25">
        <v>90000</v>
      </c>
      <c r="N1504" s="27">
        <v>0</v>
      </c>
    </row>
    <row r="1505" spans="1:14" x14ac:dyDescent="0.2">
      <c r="A1505" s="23" t="str">
        <f>HYPERLINK("https://www.spark-marketing.ru/Card/Person/740238", "МАОУ ""БАШКИРСКАЯ ГИМНАЗИЯ"" Г. АГИДЕЛЬ")</f>
        <v>МАОУ "БАШКИРСКАЯ ГИМНАЗИЯ" Г. АГИДЕЛЬ</v>
      </c>
      <c r="B1505" s="24" t="s">
        <v>2968</v>
      </c>
      <c r="C1505" s="25">
        <v>802416</v>
      </c>
      <c r="D1505" s="22" t="s">
        <v>2969</v>
      </c>
      <c r="E1505" s="22" t="s">
        <v>362</v>
      </c>
      <c r="F1505" s="23" t="str">
        <f>HYPERLINK("https://www.spark-marketing.ru/Card/Lot/73939607", "Оказание услуг по организации горячего питания обучающихся")</f>
        <v>Оказание услуг по организации горячего питания обучающихся</v>
      </c>
      <c r="G1505" s="22" t="s">
        <v>145</v>
      </c>
      <c r="H1505" s="22" t="s">
        <v>145</v>
      </c>
      <c r="I1505" s="26">
        <v>43735</v>
      </c>
      <c r="J1505" s="28" t="s">
        <v>51</v>
      </c>
      <c r="K1505" s="28" t="s">
        <v>51</v>
      </c>
      <c r="L1505" s="28" t="s">
        <v>51</v>
      </c>
      <c r="M1505" s="25">
        <v>802416</v>
      </c>
      <c r="N1505" s="27">
        <v>0</v>
      </c>
    </row>
    <row r="1506" spans="1:14" x14ac:dyDescent="0.15">
      <c r="A1506" s="23" t="str">
        <f>HYPERLINK("https://www.spark-marketing.ru/Card/Person/1758445", "МАНОУ ""ШУХОВСКИЙ ЛИЦЕЙ""")</f>
        <v>МАНОУ "ШУХОВСКИЙ ЛИЦЕЙ"</v>
      </c>
      <c r="B1506" s="24" t="s">
        <v>2970</v>
      </c>
      <c r="C1506" s="25">
        <v>1496250</v>
      </c>
      <c r="D1506" s="22" t="s">
        <v>2971</v>
      </c>
      <c r="E1506" s="22" t="s">
        <v>362</v>
      </c>
      <c r="F1506" s="23" t="str">
        <f>HYPERLINK("https://www.spark-marketing.ru/Card/Lot/73922773", "Оказание услуг по организации питания учащихся")</f>
        <v>Оказание услуг по организации питания учащихся</v>
      </c>
      <c r="G1506" s="22" t="s">
        <v>696</v>
      </c>
      <c r="H1506" s="22" t="s">
        <v>696</v>
      </c>
      <c r="I1506" s="26">
        <v>43734</v>
      </c>
      <c r="J1506" s="28" t="s">
        <v>51</v>
      </c>
      <c r="K1506" s="28" t="s">
        <v>51</v>
      </c>
      <c r="L1506" s="28" t="s">
        <v>51</v>
      </c>
      <c r="M1506" s="28" t="s">
        <v>51</v>
      </c>
      <c r="N1506" s="28" t="s">
        <v>51</v>
      </c>
    </row>
    <row r="1507" spans="1:14" x14ac:dyDescent="0.2">
      <c r="A1507" s="23" t="str">
        <f>HYPERLINK("https://www.spark-marketing.ru/Card/Person/4346656", "ФГБУ ""ТЦСКР ""КРЫМСКИЙ""")</f>
        <v>ФГБУ "ТЦСКР "КРЫМСКИЙ"</v>
      </c>
      <c r="B1507" s="24" t="s">
        <v>2225</v>
      </c>
      <c r="C1507" s="25">
        <v>269955</v>
      </c>
      <c r="D1507" s="22" t="s">
        <v>2972</v>
      </c>
      <c r="E1507" s="22" t="s">
        <v>580</v>
      </c>
      <c r="F1507" s="23" t="str">
        <f>HYPERLINK("https://www.spark-marketing.ru/Card/Lot/73959328", "Оказание услуг питания")</f>
        <v>Оказание услуг питания</v>
      </c>
      <c r="G1507" s="22" t="s">
        <v>108</v>
      </c>
      <c r="H1507" s="22" t="s">
        <v>108</v>
      </c>
      <c r="I1507" s="26">
        <v>43735</v>
      </c>
      <c r="J1507" s="28" t="s">
        <v>51</v>
      </c>
      <c r="K1507" s="28" t="s">
        <v>51</v>
      </c>
      <c r="L1507" s="28" t="s">
        <v>51</v>
      </c>
      <c r="M1507" s="25">
        <v>269955</v>
      </c>
      <c r="N1507" s="27">
        <v>0</v>
      </c>
    </row>
    <row r="1508" spans="1:14" x14ac:dyDescent="0.2">
      <c r="A1508" s="23" t="str">
        <f>HYPERLINK("https://www.spark-marketing.ru/Card/Person/734314", "МАОУ СОШ № 2 Г. АГИДЕЛЬ")</f>
        <v>МАОУ СОШ № 2 Г. АГИДЕЛЬ</v>
      </c>
      <c r="B1508" s="24" t="s">
        <v>2973</v>
      </c>
      <c r="C1508" s="25">
        <v>1408464</v>
      </c>
      <c r="D1508" s="22" t="s">
        <v>2974</v>
      </c>
      <c r="E1508" s="22" t="s">
        <v>362</v>
      </c>
      <c r="F1508" s="23" t="str">
        <f>HYPERLINK("https://www.spark-marketing.ru/Card/Lot/73939645", "Оказание услуг по организации горячего питания")</f>
        <v>Оказание услуг по организации горячего питания</v>
      </c>
      <c r="G1508" s="22" t="s">
        <v>145</v>
      </c>
      <c r="H1508" s="22" t="s">
        <v>145</v>
      </c>
      <c r="I1508" s="26">
        <v>43735</v>
      </c>
      <c r="J1508" s="28" t="s">
        <v>51</v>
      </c>
      <c r="K1508" s="28" t="s">
        <v>51</v>
      </c>
      <c r="L1508" s="28" t="s">
        <v>51</v>
      </c>
      <c r="M1508" s="25">
        <v>1408464</v>
      </c>
      <c r="N1508" s="27">
        <v>0</v>
      </c>
    </row>
    <row r="1509" spans="1:14" x14ac:dyDescent="0.2">
      <c r="A1509" s="23" t="str">
        <f>HYPERLINK("https://www.spark-marketing.ru/Card/Person/1583567", "МАУ ДОЦ ""ОРЛЁНОК""")</f>
        <v>МАУ ДОЦ "ОРЛЁНОК"</v>
      </c>
      <c r="B1509" s="24" t="s">
        <v>2975</v>
      </c>
      <c r="C1509" s="25">
        <v>1120000</v>
      </c>
      <c r="D1509" s="22" t="s">
        <v>2976</v>
      </c>
      <c r="E1509" s="22" t="s">
        <v>580</v>
      </c>
      <c r="F1509" s="23" t="str">
        <f>HYPERLINK("https://www.spark-marketing.ru/Card/Lot/73958934", "Оказание услуги по организации ежедневного горячего питания в Муниципальном автономном учреждении Снежинского городского округа ""Детский оздоровительный центр ""Орлёнок"" имени Г.П.Ломинского""")</f>
        <v>Оказание услуги по организации ежедневного горячего питания в Муниципальном автономном учреждении Снежинского городского округа "Детский оздоровительный центр "Орлёнок" имени Г.П.Ломинского"</v>
      </c>
      <c r="G1509" s="22" t="s">
        <v>469</v>
      </c>
      <c r="H1509" s="22" t="s">
        <v>469</v>
      </c>
      <c r="I1509" s="26">
        <v>43735</v>
      </c>
      <c r="J1509" s="28" t="s">
        <v>51</v>
      </c>
      <c r="K1509" s="28" t="s">
        <v>51</v>
      </c>
      <c r="L1509" s="22" t="s">
        <v>10</v>
      </c>
      <c r="M1509" s="25">
        <v>1120000</v>
      </c>
      <c r="N1509" s="27">
        <v>0</v>
      </c>
    </row>
    <row r="1510" spans="1:14" x14ac:dyDescent="0.15">
      <c r="A1510" s="23" t="str">
        <f>HYPERLINK("https://www.spark-marketing.ru/Card/Person/4345826", "ПАО СБЕРБАНК")</f>
        <v>ПАО СБЕРБАНК</v>
      </c>
      <c r="B1510" s="24" t="s">
        <v>2945</v>
      </c>
      <c r="C1510" s="25">
        <v>10000</v>
      </c>
      <c r="D1510" s="22" t="s">
        <v>2977</v>
      </c>
      <c r="E1510" s="22" t="s">
        <v>1593</v>
      </c>
      <c r="F1510" s="23" t="str">
        <f>HYPERLINK("https://www.spark-marketing.ru/Card/Lot/73911011", "Оказание услуг питания. 1 комплект")</f>
        <v>Оказание услуг питания. 1 комплект</v>
      </c>
      <c r="G1510" s="22" t="s">
        <v>141</v>
      </c>
      <c r="H1510" s="22" t="s">
        <v>141</v>
      </c>
      <c r="I1510" s="26">
        <v>43734</v>
      </c>
      <c r="J1510" s="28" t="s">
        <v>51</v>
      </c>
      <c r="K1510" s="28" t="s">
        <v>51</v>
      </c>
      <c r="L1510" s="28" t="s">
        <v>51</v>
      </c>
      <c r="M1510" s="28" t="s">
        <v>51</v>
      </c>
      <c r="N1510" s="28" t="s">
        <v>51</v>
      </c>
    </row>
    <row r="1511" spans="1:14" x14ac:dyDescent="0.15">
      <c r="A1511" s="23" t="str">
        <f>HYPERLINK("https://www.spark-marketing.ru/Card/Person/49568", "АО ""ТАТАВТОДОР""")</f>
        <v>АО "ТАТАВТОДОР"</v>
      </c>
      <c r="B1511" s="24" t="s">
        <v>2978</v>
      </c>
      <c r="C1511" s="25">
        <v>3300000</v>
      </c>
      <c r="D1511" s="22" t="s">
        <v>2979</v>
      </c>
      <c r="E1511" s="22" t="s">
        <v>362</v>
      </c>
      <c r="F1511" s="23" t="str">
        <f>HYPERLINK("https://www.spark-marketing.ru/Card/Lot/73960189", "Оказание услуг по обеспечению комплексным горячим питанием работников заказчика в соответствии с техническим заданием (Часть 3 документации о закупке).")</f>
        <v>Оказание услуг по обеспечению комплексным горячим питанием работников заказчика в соответствии с техническим заданием (Часть 3 документации о закупке).</v>
      </c>
      <c r="G1511" s="22" t="s">
        <v>217</v>
      </c>
      <c r="H1511" s="22" t="s">
        <v>217</v>
      </c>
      <c r="I1511" s="26">
        <v>43735</v>
      </c>
      <c r="J1511" s="28" t="s">
        <v>51</v>
      </c>
      <c r="K1511" s="28" t="s">
        <v>51</v>
      </c>
      <c r="L1511" s="28" t="s">
        <v>51</v>
      </c>
      <c r="M1511" s="28" t="s">
        <v>51</v>
      </c>
      <c r="N1511" s="28" t="s">
        <v>51</v>
      </c>
    </row>
    <row r="1512" spans="1:14" x14ac:dyDescent="0.15">
      <c r="A1512" s="23" t="str">
        <f>HYPERLINK("https://www.spark-marketing.ru/Card/Person/87752", "АО ""НПП ""АЛМАЗ""")</f>
        <v>АО "НПП "АЛМАЗ"</v>
      </c>
      <c r="B1512" s="24" t="s">
        <v>2980</v>
      </c>
      <c r="C1512" s="25">
        <v>1667646.96</v>
      </c>
      <c r="D1512" s="22" t="s">
        <v>2981</v>
      </c>
      <c r="E1512" s="22" t="s">
        <v>2982</v>
      </c>
      <c r="F1512" s="23" t="str">
        <f>HYPERLINK("https://www.spark-marketing.ru/Card/Lot/73957299", "0570-2019-00418 Предоставление услуги по обеспечению лечебно-профилактическим питанием работников")</f>
        <v>0570-2019-00418 Предоставление услуги по обеспечению лечебно-профилактическим питанием работников</v>
      </c>
      <c r="G1512" s="22" t="s">
        <v>351</v>
      </c>
      <c r="H1512" s="22" t="s">
        <v>2983</v>
      </c>
      <c r="I1512" s="26">
        <v>43735</v>
      </c>
      <c r="J1512" s="28" t="s">
        <v>51</v>
      </c>
      <c r="K1512" s="28" t="s">
        <v>51</v>
      </c>
      <c r="L1512" s="28" t="s">
        <v>51</v>
      </c>
      <c r="M1512" s="28" t="s">
        <v>51</v>
      </c>
      <c r="N1512" s="28" t="s">
        <v>51</v>
      </c>
    </row>
    <row r="1513" spans="1:14" x14ac:dyDescent="0.2">
      <c r="A1513" s="23" t="str">
        <f>HYPERLINK("https://www.spark-marketing.ru/Card/Person/734525", "МАОУ СОШ №1 Г.АГИДЕЛЬ ИМ.Р.К.ХОЛБАНА")</f>
        <v>МАОУ СОШ №1 Г.АГИДЕЛЬ ИМ.Р.К.ХОЛБАНА</v>
      </c>
      <c r="B1513" s="24" t="s">
        <v>2984</v>
      </c>
      <c r="C1513" s="25">
        <v>2994400</v>
      </c>
      <c r="D1513" s="22" t="s">
        <v>2985</v>
      </c>
      <c r="E1513" s="22" t="s">
        <v>362</v>
      </c>
      <c r="F1513" s="23" t="str">
        <f>HYPERLINK("https://www.spark-marketing.ru/Card/Lot/73939633", "Оказание услуг по организации горячего питания обучающихся")</f>
        <v>Оказание услуг по организации горячего питания обучающихся</v>
      </c>
      <c r="G1513" s="22" t="s">
        <v>145</v>
      </c>
      <c r="H1513" s="22" t="s">
        <v>145</v>
      </c>
      <c r="I1513" s="26">
        <v>43735</v>
      </c>
      <c r="J1513" s="28" t="s">
        <v>51</v>
      </c>
      <c r="K1513" s="28" t="s">
        <v>51</v>
      </c>
      <c r="L1513" s="28" t="s">
        <v>51</v>
      </c>
      <c r="M1513" s="25">
        <v>2994400</v>
      </c>
      <c r="N1513" s="27">
        <v>0</v>
      </c>
    </row>
    <row r="1514" spans="1:14" x14ac:dyDescent="0.15">
      <c r="A1514" s="23" t="str">
        <f>HYPERLINK("https://www.spark-marketing.ru/Card/Person/71839", "КГБУ СО ""КРАСНОЯРСКИЙ РЕАБИЛИТАЦИОННЫЙ ЦЕНТР ДЛЯ ЛИЦ, СТРАДАЮЩИХ ПСИХИЧЕСКИМИ РАССТРОЙСТВАМИ""")</f>
        <v>КГБУ СО "КРАСНОЯРСКИЙ РЕАБИЛИТАЦИОННЫЙ ЦЕНТР ДЛЯ ЛИЦ, СТРАДАЮЩИХ ПСИХИЧЕСКИМИ РАССТРОЙСТВАМИ"</v>
      </c>
      <c r="B1514" s="24" t="s">
        <v>2986</v>
      </c>
      <c r="C1514" s="25">
        <v>2999374.8</v>
      </c>
      <c r="D1514" s="22" t="s">
        <v>2987</v>
      </c>
      <c r="E1514" s="22" t="s">
        <v>362</v>
      </c>
      <c r="F1514" s="23" t="str">
        <f>HYPERLINK("https://www.spark-marketing.ru/Card/Lot/73908769", "Оказание услуг по организации готового горячего питания для КГБУ СО ""Красноярский реабилитационный центр для лиц, страдающих психическими расстройствами""")</f>
        <v>Оказание услуг по организации готового горячего питания для КГБУ СО "Красноярский реабилитационный центр для лиц, страдающих психическими расстройствами"</v>
      </c>
      <c r="G1514" s="22" t="s">
        <v>281</v>
      </c>
      <c r="H1514" s="22" t="s">
        <v>281</v>
      </c>
      <c r="I1514" s="26">
        <v>43734</v>
      </c>
      <c r="J1514" s="28" t="s">
        <v>51</v>
      </c>
      <c r="K1514" s="28" t="s">
        <v>51</v>
      </c>
      <c r="L1514" s="28" t="s">
        <v>51</v>
      </c>
      <c r="M1514" s="28" t="s">
        <v>51</v>
      </c>
      <c r="N1514" s="28" t="s">
        <v>51</v>
      </c>
    </row>
    <row r="1515" spans="1:14" x14ac:dyDescent="0.2">
      <c r="A1515" s="23" t="str">
        <f>HYPERLINK("https://www.spark-marketing.ru/Card/Person/526355", "ФГБОУ ВО ""РЭУ ИМ. Г.В. ПЛЕХАНОВА"", РЭУ ИМ. Г.В. ПЛЕХАНОВА")</f>
        <v>ФГБОУ ВО "РЭУ ИМ. Г.В. ПЛЕХАНОВА", РЭУ ИМ. Г.В. ПЛЕХАНОВА</v>
      </c>
      <c r="B1515" s="24" t="s">
        <v>565</v>
      </c>
      <c r="C1515" s="25">
        <v>90000</v>
      </c>
      <c r="D1515" s="22" t="s">
        <v>2988</v>
      </c>
      <c r="E1515" s="22" t="s">
        <v>2989</v>
      </c>
      <c r="F1515" s="23" t="str">
        <f>HYPERLINK("https://www.spark-marketing.ru/Card/Lot/73958240", "Оказание услуг разнорабочего для нужд комбината питания Саратовского социально-экономического института (филиала) РЭУ им. Г.В. Плеханова")</f>
        <v>Оказание услуг разнорабочего для нужд комбината питания Саратовского социально-экономического института (филиала) РЭУ им. Г.В. Плеханова</v>
      </c>
      <c r="G1515" s="22" t="s">
        <v>351</v>
      </c>
      <c r="H1515" s="22" t="s">
        <v>351</v>
      </c>
      <c r="I1515" s="26">
        <v>43735</v>
      </c>
      <c r="J1515" s="28" t="s">
        <v>51</v>
      </c>
      <c r="K1515" s="28" t="s">
        <v>51</v>
      </c>
      <c r="L1515" s="22" t="s">
        <v>10</v>
      </c>
      <c r="M1515" s="25">
        <v>90000</v>
      </c>
      <c r="N1515" s="27">
        <v>0</v>
      </c>
    </row>
    <row r="1516" spans="1:14" x14ac:dyDescent="0.2">
      <c r="A1516" s="23" t="str">
        <f>HYPERLINK("https://www.spark-marketing.ru/Card/Person/4346656", "ФГБУ ""ТЦСКР ""КРЫМСКИЙ""")</f>
        <v>ФГБУ "ТЦСКР "КРЫМСКИЙ"</v>
      </c>
      <c r="B1516" s="24" t="s">
        <v>2225</v>
      </c>
      <c r="C1516" s="25">
        <v>496400</v>
      </c>
      <c r="D1516" s="22" t="s">
        <v>2990</v>
      </c>
      <c r="E1516" s="22" t="s">
        <v>769</v>
      </c>
      <c r="F1516" s="23" t="str">
        <f>HYPERLINK("https://www.spark-marketing.ru/Card/Lot/73958825", "Оказание услуг проживания и питания")</f>
        <v>Оказание услуг проживания и питания</v>
      </c>
      <c r="G1516" s="22" t="s">
        <v>108</v>
      </c>
      <c r="H1516" s="22" t="s">
        <v>108</v>
      </c>
      <c r="I1516" s="26">
        <v>43735</v>
      </c>
      <c r="J1516" s="28" t="s">
        <v>51</v>
      </c>
      <c r="K1516" s="28" t="s">
        <v>51</v>
      </c>
      <c r="L1516" s="28" t="s">
        <v>51</v>
      </c>
      <c r="M1516" s="25">
        <v>496400</v>
      </c>
      <c r="N1516" s="27">
        <v>0</v>
      </c>
    </row>
    <row r="1517" spans="1:14" x14ac:dyDescent="0.15">
      <c r="A1517" s="23" t="str">
        <f>HYPERLINK("https://www.spark-marketing.ru/Card/Person/1805988", "МАОУ СОШ № 19")</f>
        <v>МАОУ СОШ № 19</v>
      </c>
      <c r="B1517" s="24" t="s">
        <v>2991</v>
      </c>
      <c r="C1517" s="25">
        <v>657286.63</v>
      </c>
      <c r="D1517" s="22" t="s">
        <v>2992</v>
      </c>
      <c r="E1517" s="22" t="s">
        <v>362</v>
      </c>
      <c r="F1517" s="23" t="str">
        <f>HYPERLINK("https://www.spark-marketing.ru/Card/Lot/73946323", "Оказание услуг по организации питания детей (октябрь-декабрь 2019)")</f>
        <v>Оказание услуг по организации питания детей (октябрь-декабрь 2019)</v>
      </c>
      <c r="G1517" s="22" t="s">
        <v>400</v>
      </c>
      <c r="H1517" s="22" t="s">
        <v>400</v>
      </c>
      <c r="I1517" s="26">
        <v>43735</v>
      </c>
      <c r="J1517" s="28" t="s">
        <v>51</v>
      </c>
      <c r="K1517" s="28" t="s">
        <v>51</v>
      </c>
      <c r="L1517" s="28" t="s">
        <v>51</v>
      </c>
      <c r="M1517" s="28" t="s">
        <v>51</v>
      </c>
      <c r="N1517" s="28" t="s">
        <v>51</v>
      </c>
    </row>
    <row r="1518" spans="1:14" x14ac:dyDescent="0.15">
      <c r="A1518" s="23" t="str">
        <f>HYPERLINK("https://www.spark-marketing.ru/Card/Person/6691025", "МОУ ""ИНЖЕНЕРНО-ТЕХНОЛОГИЧЕСКИЙ ЛИЦЕЙ""")</f>
        <v>МОУ "ИНЖЕНЕРНО-ТЕХНОЛОГИЧЕСКИЙ ЛИЦЕЙ"</v>
      </c>
      <c r="B1518" s="24" t="s">
        <v>2993</v>
      </c>
      <c r="C1518" s="25">
        <v>582712.5</v>
      </c>
      <c r="D1518" s="22" t="s">
        <v>2994</v>
      </c>
      <c r="E1518" s="22" t="s">
        <v>48</v>
      </c>
      <c r="F1518" s="23" t="str">
        <f>HYPERLINK("https://www.spark-marketing.ru/Card/Lot/73929748", "Оказание услуг по организации горячего питания")</f>
        <v>Оказание услуг по организации горячего питания</v>
      </c>
      <c r="G1518" s="22" t="s">
        <v>49</v>
      </c>
      <c r="H1518" s="22" t="s">
        <v>2995</v>
      </c>
      <c r="I1518" s="26">
        <v>43734.961307870399</v>
      </c>
      <c r="J1518" s="28" t="s">
        <v>51</v>
      </c>
      <c r="K1518" s="28" t="s">
        <v>51</v>
      </c>
      <c r="L1518" s="28" t="s">
        <v>51</v>
      </c>
      <c r="M1518" s="28" t="s">
        <v>51</v>
      </c>
      <c r="N1518" s="28" t="s">
        <v>51</v>
      </c>
    </row>
    <row r="1519" spans="1:14" x14ac:dyDescent="0.15">
      <c r="A1519" s="23" t="str">
        <f>HYPERLINK("https://www.spark-marketing.ru/Card/Person/4362677", "ПАО ""ГАЗПРОМ НЕФТЬ""")</f>
        <v>ПАО "ГАЗПРОМ НЕФТЬ"</v>
      </c>
      <c r="B1519" s="24" t="s">
        <v>2996</v>
      </c>
      <c r="C1519" s="28" t="s">
        <v>51</v>
      </c>
      <c r="D1519" s="22" t="s">
        <v>2997</v>
      </c>
      <c r="E1519" s="22" t="s">
        <v>52</v>
      </c>
      <c r="F1519" s="23" t="str">
        <f>HYPERLINK("https://www.spark-marketing.ru/Card/Lot/73928179", "Услуги по обслуживанию объектов социально-бытового назначения на Вост.-Мессояхском, Зап.-Мессояхском м/р, ПСП на Пякяхинском м/р")</f>
        <v>Услуги по обслуживанию объектов социально-бытового назначения на Вост.-Мессояхском, Зап.-Мессояхском м/р, ПСП на Пякяхинском м/р</v>
      </c>
      <c r="G1519" s="22" t="s">
        <v>117</v>
      </c>
      <c r="H1519" s="22" t="s">
        <v>117</v>
      </c>
      <c r="I1519" s="26">
        <v>43734.902777777803</v>
      </c>
      <c r="J1519" s="28" t="s">
        <v>51</v>
      </c>
      <c r="K1519" s="28" t="s">
        <v>51</v>
      </c>
      <c r="L1519" s="28" t="s">
        <v>51</v>
      </c>
      <c r="M1519" s="28" t="s">
        <v>51</v>
      </c>
      <c r="N1519" s="28" t="s">
        <v>51</v>
      </c>
    </row>
    <row r="1520" spans="1:14" x14ac:dyDescent="0.15">
      <c r="A1520" s="23" t="str">
        <f>HYPERLINK("https://www.spark-marketing.ru/Card/Person/4362677", "ПАО ""ГАЗПРОМ НЕФТЬ""")</f>
        <v>ПАО "ГАЗПРОМ НЕФТЬ"</v>
      </c>
      <c r="B1520" s="24" t="s">
        <v>2996</v>
      </c>
      <c r="C1520" s="28" t="s">
        <v>51</v>
      </c>
      <c r="D1520" s="22" t="s">
        <v>2997</v>
      </c>
      <c r="E1520" s="22" t="s">
        <v>52</v>
      </c>
      <c r="F1520" s="23" t="str">
        <f>HYPERLINK("https://www.spark-marketing.ru/Card/Lot/73928178", "Организация горячего питания и точек реализации буфетной продукции на Вост.-Мессояхском, Зап.-Мессояхском м/р,ПСП на Пякяхинском м/р")</f>
        <v>Организация горячего питания и точек реализации буфетной продукции на Вост.-Мессояхском, Зап.-Мессояхском м/р,ПСП на Пякяхинском м/р</v>
      </c>
      <c r="G1520" s="22" t="s">
        <v>117</v>
      </c>
      <c r="H1520" s="22" t="s">
        <v>117</v>
      </c>
      <c r="I1520" s="26">
        <v>43734.902777777803</v>
      </c>
      <c r="J1520" s="28" t="s">
        <v>51</v>
      </c>
      <c r="K1520" s="28" t="s">
        <v>51</v>
      </c>
      <c r="L1520" s="28" t="s">
        <v>51</v>
      </c>
      <c r="M1520" s="28" t="s">
        <v>51</v>
      </c>
      <c r="N1520" s="28" t="s">
        <v>51</v>
      </c>
    </row>
    <row r="1521" spans="1:14" x14ac:dyDescent="0.15">
      <c r="A1521" s="23" t="str">
        <f>HYPERLINK("https://www.spark-marketing.ru/Card/Person/24080", "ГБУЗ ""ГБ"" Г.СОЛЬ-ИЛЕЦКА""")</f>
        <v>ГБУЗ "ГБ" Г.СОЛЬ-ИЛЕЦКА"</v>
      </c>
      <c r="B1521" s="24" t="s">
        <v>1099</v>
      </c>
      <c r="C1521" s="25">
        <v>648400.07999999996</v>
      </c>
      <c r="D1521" s="22" t="s">
        <v>2998</v>
      </c>
      <c r="E1521" s="22" t="s">
        <v>809</v>
      </c>
      <c r="F1521" s="23" t="str">
        <f>HYPERLINK("https://www.spark-marketing.ru/Card/Lot/73933727", "на поставку автоматизированного рабочего места")</f>
        <v>на поставку автоматизированного рабочего места</v>
      </c>
      <c r="G1521" s="22" t="s">
        <v>132</v>
      </c>
      <c r="H1521" s="22" t="s">
        <v>1101</v>
      </c>
      <c r="I1521" s="26">
        <v>43734.833333333299</v>
      </c>
      <c r="J1521" s="28" t="s">
        <v>51</v>
      </c>
      <c r="K1521" s="28" t="s">
        <v>51</v>
      </c>
      <c r="L1521" s="28" t="s">
        <v>51</v>
      </c>
      <c r="M1521" s="28" t="s">
        <v>51</v>
      </c>
      <c r="N1521" s="28" t="s">
        <v>51</v>
      </c>
    </row>
    <row r="1522" spans="1:14" x14ac:dyDescent="0.15">
      <c r="A1522" s="23" t="str">
        <f>HYPERLINK("https://www.spark-marketing.ru/Card/Person/24080", "ГБУЗ ""ГБ"" Г.СОЛЬ-ИЛЕЦКА""")</f>
        <v>ГБУЗ "ГБ" Г.СОЛЬ-ИЛЕЦКА"</v>
      </c>
      <c r="B1522" s="24" t="s">
        <v>1099</v>
      </c>
      <c r="C1522" s="25">
        <v>378233.38</v>
      </c>
      <c r="D1522" s="22" t="s">
        <v>2999</v>
      </c>
      <c r="E1522" s="22" t="s">
        <v>809</v>
      </c>
      <c r="F1522" s="23" t="str">
        <f>HYPERLINK("https://www.spark-marketing.ru/Card/Lot/73931669", "на поставку автоматизированного рабочего места")</f>
        <v>на поставку автоматизированного рабочего места</v>
      </c>
      <c r="G1522" s="22" t="s">
        <v>132</v>
      </c>
      <c r="H1522" s="22" t="s">
        <v>1101</v>
      </c>
      <c r="I1522" s="26">
        <v>43734.833333333299</v>
      </c>
      <c r="J1522" s="28" t="s">
        <v>51</v>
      </c>
      <c r="K1522" s="28" t="s">
        <v>51</v>
      </c>
      <c r="L1522" s="28" t="s">
        <v>51</v>
      </c>
      <c r="M1522" s="28" t="s">
        <v>51</v>
      </c>
      <c r="N1522" s="28" t="s">
        <v>51</v>
      </c>
    </row>
    <row r="1523" spans="1:14" x14ac:dyDescent="0.15">
      <c r="A1523" s="23" t="str">
        <f>HYPERLINK("https://www.spark-marketing.ru/Card/Person/737290", "ГКУ «ЦБЗ ПРИ МИНЗДРАВЕ КАРЕЛИИ»")</f>
        <v>ГКУ «ЦБЗ ПРИ МИНЗДРАВЕ КАРЕЛИИ»</v>
      </c>
      <c r="B1523" s="24" t="s">
        <v>312</v>
      </c>
      <c r="C1523" s="25">
        <v>686668</v>
      </c>
      <c r="D1523" s="22" t="s">
        <v>3000</v>
      </c>
      <c r="E1523" s="22" t="s">
        <v>2282</v>
      </c>
      <c r="F1523" s="23" t="str">
        <f>HYPERLINK("https://www.spark-marketing.ru/Card/Lot/73933893", "Поставка Игл одноразовых стерильных для шприц-ручек для введения инсулина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ме...")</f>
        <v>Поставка Игл одноразовых стерильных для шприц-ручек для введения инсулина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ме...</v>
      </c>
      <c r="G1523" s="22" t="s">
        <v>59</v>
      </c>
      <c r="H1523" s="22" t="s">
        <v>314</v>
      </c>
      <c r="I1523" s="26">
        <v>43734.785416666702</v>
      </c>
      <c r="J1523" s="28" t="s">
        <v>51</v>
      </c>
      <c r="K1523" s="28" t="s">
        <v>51</v>
      </c>
      <c r="L1523" s="28" t="s">
        <v>51</v>
      </c>
      <c r="M1523" s="28" t="s">
        <v>51</v>
      </c>
      <c r="N1523" s="28" t="s">
        <v>51</v>
      </c>
    </row>
    <row r="1524" spans="1:14" hidden="1" outlineLevel="1" x14ac:dyDescent="0.2">
      <c r="A1524" s="23" t="str">
        <f>HYPERLINK("https://www.spark-marketing.ru/Card/Person/737290", "ГКУ «ЦБЗ ПРИ МИНЗДРАВЕ КАРЕЛИИ»")</f>
        <v>ГКУ «ЦБЗ ПРИ МИНЗДРАВЕ КАРЕЛИИ»</v>
      </c>
      <c r="B1524" s="24" t="s">
        <v>312</v>
      </c>
      <c r="C1524" s="25">
        <v>686668</v>
      </c>
      <c r="D1524" s="22" t="s">
        <v>3000</v>
      </c>
      <c r="E1524" s="22" t="s">
        <v>2282</v>
      </c>
      <c r="F1524" s="23" t="str">
        <f>HYPERLINK("https://www.spark-marketing.ru/Card/Lot/73933893", "Поставка Игл одноразовых стерильных для шприц-ручек для введения инсулина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ме...")</f>
        <v>Поставка Игл одноразовых стерильных для шприц-ручек для введения инсулина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ме...</v>
      </c>
      <c r="G1524" s="22" t="s">
        <v>59</v>
      </c>
      <c r="H1524" s="22" t="s">
        <v>314</v>
      </c>
      <c r="I1524" s="26">
        <v>43734.785416666702</v>
      </c>
      <c r="J1524" s="23" t="str">
        <f>HYPERLINK("https://www.spark-marketing.ru/Card/Person/5770325", "ООО ""ДИАБЕТИЧЕСКИЕ ТОВАРЫ""")</f>
        <v>ООО "ДИАБЕТИЧЕСКИЕ ТОВАРЫ"</v>
      </c>
      <c r="K1524" s="24" t="s">
        <v>3001</v>
      </c>
      <c r="L1524" s="28" t="s">
        <v>51</v>
      </c>
      <c r="M1524" s="25">
        <v>222600</v>
      </c>
      <c r="N1524" s="27">
        <v>0.67582587218277246</v>
      </c>
    </row>
    <row r="1525" spans="1:14" ht="12.75" hidden="1" outlineLevel="1" x14ac:dyDescent="0.2">
      <c r="A1525" s="23" t="str">
        <f>HYPERLINK("https://www.spark-marketing.ru/Card/Person/737290", "ГКУ «ЦБЗ ПРИ МИНЗДРАВЕ КАРЕЛИИ»")</f>
        <v>ГКУ «ЦБЗ ПРИ МИНЗДРАВЕ КАРЕЛИИ»</v>
      </c>
      <c r="B1525" s="24" t="s">
        <v>312</v>
      </c>
      <c r="C1525" s="25">
        <v>686668</v>
      </c>
      <c r="D1525" s="22" t="s">
        <v>3000</v>
      </c>
      <c r="E1525" s="22" t="s">
        <v>2282</v>
      </c>
      <c r="F1525" s="23" t="str">
        <f>HYPERLINK("https://www.spark-marketing.ru/Card/Lot/73933893", "Поставка Игл одноразовых стерильных для шприц-ручек для введения инсулина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ме...")</f>
        <v>Поставка Игл одноразовых стерильных для шприц-ручек для введения инсулина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ме...</v>
      </c>
      <c r="G1525" s="22" t="s">
        <v>59</v>
      </c>
      <c r="H1525" s="22" t="s">
        <v>314</v>
      </c>
      <c r="I1525" s="26">
        <v>43734.785416666702</v>
      </c>
      <c r="J1525" s="23" t="str">
        <f>HYPERLINK("https://www.spark-marketing.ru/Card/Person/20955", "Качкин Роман Вячеславович")</f>
        <v>Качкин Роман Вячеславович</v>
      </c>
      <c r="K1525" s="24" t="s">
        <v>3002</v>
      </c>
      <c r="L1525" s="22" t="s">
        <v>10</v>
      </c>
      <c r="M1525" s="25">
        <v>222600</v>
      </c>
      <c r="N1525" s="27">
        <v>0.67582587218277246</v>
      </c>
    </row>
    <row r="1526" spans="1:14" x14ac:dyDescent="0.15">
      <c r="A1526" s="23" t="str">
        <f>HYPERLINK("https://www.spark-marketing.ru/Card/Person/737290", "ГКУ «ЦБЗ ПРИ МИНЗДРАВЕ КАРЕЛИИ»")</f>
        <v>ГКУ «ЦБЗ ПРИ МИНЗДРАВЕ КАРЕЛИИ»</v>
      </c>
      <c r="B1526" s="24" t="s">
        <v>312</v>
      </c>
      <c r="C1526" s="25">
        <v>115650</v>
      </c>
      <c r="D1526" s="22" t="s">
        <v>3003</v>
      </c>
      <c r="E1526" s="22" t="s">
        <v>52</v>
      </c>
      <c r="F1526" s="23" t="str">
        <f>HYPERLINK("https://www.spark-marketing.ru/Card/Lot/73927596", "Поставка лекарственного препарата    Вальпроевая кислота    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и...")</f>
        <v>Поставка лекарственного препарата    Вальпроевая кислота    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и...</v>
      </c>
      <c r="G1526" s="22" t="s">
        <v>59</v>
      </c>
      <c r="H1526" s="22" t="s">
        <v>314</v>
      </c>
      <c r="I1526" s="26">
        <v>43734.784027777801</v>
      </c>
      <c r="J1526" s="23" t="str">
        <f>HYPERLINK("https://www.spark-marketing.ru/Card/Person/6231467", "ООО ""ОБЛФАРМ АЛЬЯНС""")</f>
        <v>ООО "ОБЛФАРМ АЛЬЯНС"</v>
      </c>
      <c r="K1526" s="24" t="s">
        <v>2175</v>
      </c>
      <c r="L1526" s="22" t="s">
        <v>10</v>
      </c>
      <c r="M1526" s="28" t="s">
        <v>51</v>
      </c>
      <c r="N1526" s="28" t="s">
        <v>51</v>
      </c>
    </row>
    <row r="1527" spans="1:14" x14ac:dyDescent="0.15">
      <c r="A1527" s="23" t="str">
        <f>HYPERLINK("https://www.spark-marketing.ru/Card/Person/66525", "ФГБУ ЦР МИНЗДРАВА РОССИИ")</f>
        <v>ФГБУ ЦР МИНЗДРАВА РОССИИ</v>
      </c>
      <c r="B1527" s="24" t="s">
        <v>3004</v>
      </c>
      <c r="C1527" s="25">
        <v>1770396</v>
      </c>
      <c r="D1527" s="22" t="s">
        <v>3005</v>
      </c>
      <c r="E1527" s="22" t="s">
        <v>48</v>
      </c>
      <c r="F1527" s="23" t="str">
        <f>HYPERLINK("https://www.spark-marketing.ru/Card/Lot/73939240", "Поставка продуктов питания")</f>
        <v>Поставка продуктов питания</v>
      </c>
      <c r="G1527" s="22" t="s">
        <v>56</v>
      </c>
      <c r="H1527" s="22" t="s">
        <v>56</v>
      </c>
      <c r="I1527" s="26">
        <v>43734.743750000001</v>
      </c>
      <c r="J1527" s="23" t="str">
        <f>HYPERLINK("https://www.spark-marketing.ru/Card/Person/79005", "ООО ""АЛЬФАТРЕЙД""")</f>
        <v>ООО "АЛЬФАТРЕЙД"</v>
      </c>
      <c r="K1527" s="24" t="s">
        <v>3006</v>
      </c>
      <c r="L1527" s="22" t="s">
        <v>10</v>
      </c>
      <c r="M1527" s="28" t="s">
        <v>51</v>
      </c>
      <c r="N1527" s="28" t="s">
        <v>51</v>
      </c>
    </row>
    <row r="1528" spans="1:14" x14ac:dyDescent="0.15">
      <c r="A1528" s="23" t="str">
        <f>HYPERLINK("https://www.spark-marketing.ru/Card/Person/66525", "ФГБУ ЦР МИНЗДРАВА РОССИИ")</f>
        <v>ФГБУ ЦР МИНЗДРАВА РОССИИ</v>
      </c>
      <c r="B1528" s="24" t="s">
        <v>3004</v>
      </c>
      <c r="C1528" s="25">
        <v>1332116</v>
      </c>
      <c r="D1528" s="22" t="s">
        <v>3007</v>
      </c>
      <c r="E1528" s="22" t="s">
        <v>48</v>
      </c>
      <c r="F1528" s="23" t="str">
        <f>HYPERLINK("https://www.spark-marketing.ru/Card/Lot/73938706", "Поставка продуктов питания")</f>
        <v>Поставка продуктов питания</v>
      </c>
      <c r="G1528" s="22" t="s">
        <v>56</v>
      </c>
      <c r="H1528" s="22" t="s">
        <v>56</v>
      </c>
      <c r="I1528" s="26">
        <v>43734.744444444397</v>
      </c>
      <c r="J1528" s="23" t="str">
        <f>HYPERLINK("https://www.spark-marketing.ru/Card/Person/79005", "ООО ""АЛЬФАТРЕЙД""")</f>
        <v>ООО "АЛЬФАТРЕЙД"</v>
      </c>
      <c r="K1528" s="24" t="s">
        <v>3006</v>
      </c>
      <c r="L1528" s="28" t="s">
        <v>51</v>
      </c>
      <c r="M1528" s="28" t="s">
        <v>51</v>
      </c>
      <c r="N1528" s="28" t="s">
        <v>51</v>
      </c>
    </row>
    <row r="1529" spans="1:14" hidden="1" outlineLevel="1" x14ac:dyDescent="0.15">
      <c r="A1529" s="23" t="str">
        <f>HYPERLINK("https://www.spark-marketing.ru/Card/Person/66525", "ФГБУ ЦР МИНЗДРАВА РОССИИ")</f>
        <v>ФГБУ ЦР МИНЗДРАВА РОССИИ</v>
      </c>
      <c r="B1529" s="24" t="s">
        <v>3004</v>
      </c>
      <c r="C1529" s="25">
        <v>1332116</v>
      </c>
      <c r="D1529" s="22" t="s">
        <v>3007</v>
      </c>
      <c r="E1529" s="22" t="s">
        <v>48</v>
      </c>
      <c r="F1529" s="23" t="str">
        <f>HYPERLINK("https://www.spark-marketing.ru/Card/Lot/73938706", "Поставка продуктов питания")</f>
        <v>Поставка продуктов питания</v>
      </c>
      <c r="G1529" s="22" t="s">
        <v>56</v>
      </c>
      <c r="H1529" s="22" t="s">
        <v>56</v>
      </c>
      <c r="I1529" s="26">
        <v>43734.744444444397</v>
      </c>
      <c r="J1529" s="23" t="str">
        <f>HYPERLINK("https://www.spark-marketing.ru/Card/Person/79005", "ООО ""АЛЬФАТРЕЙД""")</f>
        <v>ООО "АЛЬФАТРЕЙД"</v>
      </c>
      <c r="K1529" s="24" t="s">
        <v>3006</v>
      </c>
      <c r="L1529" s="22" t="s">
        <v>10</v>
      </c>
      <c r="M1529" s="28" t="s">
        <v>51</v>
      </c>
      <c r="N1529" s="28" t="s">
        <v>51</v>
      </c>
    </row>
    <row r="1530" spans="1:14" x14ac:dyDescent="0.15">
      <c r="A1530" s="23" t="str">
        <f>HYPERLINK("https://www.spark-marketing.ru/Card/Person/4344137", "МИНИСТЕРСТВО ТРУДА И СОЦИАЛЬНОГО РАЗВИТИЯ КРАСНОДАРСКОГО КРАЯ")</f>
        <v>МИНИСТЕРСТВО ТРУДА И СОЦИАЛЬНОГО РАЗВИТИЯ КРАСНОДАРСКОГО КРАЯ</v>
      </c>
      <c r="B1530" s="24" t="s">
        <v>3008</v>
      </c>
      <c r="C1530" s="25">
        <v>1969800</v>
      </c>
      <c r="D1530" s="22" t="s">
        <v>3009</v>
      </c>
      <c r="E1530" s="22" t="s">
        <v>86</v>
      </c>
      <c r="F1530" s="23" t="str">
        <f>HYPERLINK("https://www.spark-marketing.ru/Card/Lot/73939397", "Оказание услуг по санаторно-курортному лечению в амбулаторных условиях детей, в том числе, находящихся в трудной жизненной ситуации: детей-инвалидов, детей, один из родителей (законных представителей) которых является инвалидом, детей-сирот, детей, о...")</f>
        <v>Оказание услуг по санаторно-курортному лечению в амбулаторных условиях детей, в том числе, находящихся в трудной жизненной ситуации: детей-инвалидов, детей, один из родителей (законных представителей) которых является инвалидом, детей-сирот, детей, о...</v>
      </c>
      <c r="G1530" s="22" t="s">
        <v>104</v>
      </c>
      <c r="H1530" s="22" t="s">
        <v>120</v>
      </c>
      <c r="I1530" s="26">
        <v>43734.736111111102</v>
      </c>
      <c r="J1530" s="23" t="str">
        <f>HYPERLINK("https://www.spark-marketing.ru/Card/Person/52911", "ООО "" САНАТОРИЙ "" ПАРУС """)</f>
        <v>ООО " САНАТОРИЙ " ПАРУС "</v>
      </c>
      <c r="K1530" s="24" t="s">
        <v>3010</v>
      </c>
      <c r="L1530" s="22" t="s">
        <v>10</v>
      </c>
      <c r="M1530" s="28" t="s">
        <v>51</v>
      </c>
      <c r="N1530" s="28" t="s">
        <v>51</v>
      </c>
    </row>
    <row r="1531" spans="1:14" x14ac:dyDescent="0.15">
      <c r="A1531" s="23" t="str">
        <f>HYPERLINK("https://www.spark-marketing.ru/Card/Person/114851", "СПБ ГБУ СОН ЦСРИИДИ ПЕТРОГРАДСКОГО РАЙОНА САНКТ-ПЕТЕРБУРГА")</f>
        <v>СПБ ГБУ СОН ЦСРИИДИ ПЕТРОГРАДСКОГО РАЙОНА САНКТ-ПЕТЕРБУРГА</v>
      </c>
      <c r="B1531" s="24" t="s">
        <v>3011</v>
      </c>
      <c r="C1531" s="25">
        <v>310559.82</v>
      </c>
      <c r="D1531" s="22" t="s">
        <v>3012</v>
      </c>
      <c r="E1531" s="22" t="s">
        <v>586</v>
      </c>
      <c r="F1531" s="23" t="str">
        <f>HYPERLINK("https://www.spark-marketing.ru/Card/Lot/73931316", "ПРИОБРЕТЕНИЕ ПРОДУКТОВЫХ НАБОРОВ ДЛЯ ЖИТЕЛЕЙ ПЕТРОГРАДСКОГО РАЙОНА С ЦЕЛЬЮ ОКАЗАНИЯ СРОЧНЫХ СОЦИАЛЬНЫХ УСЛУГ В СПБ ГБУ СОН ""ЦЕНТР СОЦИАЛЬНОЙ РЕАБИЛИТАЦИИ ИНВАЛИДОВ И ДЕТЕЙ-ИНВАЛИДОВ ПЕТРОГРАДСКОГО РАЙОНА САНКТ-ПЕТЕРБУРГА"" В 2019 ГОДУ")</f>
        <v>ПРИОБРЕТЕНИЕ ПРОДУКТОВЫХ НАБОРОВ ДЛЯ ЖИТЕЛЕЙ ПЕТРОГРАДСКОГО РАЙОНА С ЦЕЛЬЮ ОКАЗАНИЯ СРОЧНЫХ СОЦИАЛЬНЫХ УСЛУГ В СПБ ГБУ СОН "ЦЕНТР СОЦИАЛЬНОЙ РЕАБИЛИТАЦИИ ИНВАЛИДОВ И ДЕТЕЙ-ИНВАЛИДОВ ПЕТРОГРАДСКОГО РАЙОНА САНКТ-ПЕТЕРБУРГА" В 2019 ГОДУ</v>
      </c>
      <c r="G1531" s="22" t="s">
        <v>117</v>
      </c>
      <c r="H1531" s="22" t="s">
        <v>117</v>
      </c>
      <c r="I1531" s="26">
        <v>43734.718055555597</v>
      </c>
      <c r="J1531" s="23" t="str">
        <f>HYPERLINK("https://www.spark-marketing.ru/Card/Person/6142512", "ООО ""ЛИДЕР ФУД""")</f>
        <v>ООО "ЛИДЕР ФУД"</v>
      </c>
      <c r="K1531" s="24" t="s">
        <v>3013</v>
      </c>
      <c r="L1531" s="28" t="s">
        <v>51</v>
      </c>
      <c r="M1531" s="28" t="s">
        <v>51</v>
      </c>
      <c r="N1531" s="28" t="s">
        <v>51</v>
      </c>
    </row>
    <row r="1532" spans="1:14" hidden="1" outlineLevel="1" x14ac:dyDescent="0.15">
      <c r="A1532" s="23" t="str">
        <f>HYPERLINK("https://www.spark-marketing.ru/Card/Person/114851", "СПБ ГБУ СОН ЦСРИИДИ ПЕТРОГРАДСКОГО РАЙОНА САНКТ-ПЕТЕРБУРГА")</f>
        <v>СПБ ГБУ СОН ЦСРИИДИ ПЕТРОГРАДСКОГО РАЙОНА САНКТ-ПЕТЕРБУРГА</v>
      </c>
      <c r="B1532" s="24" t="s">
        <v>3011</v>
      </c>
      <c r="C1532" s="25">
        <v>310559.82</v>
      </c>
      <c r="D1532" s="22" t="s">
        <v>3012</v>
      </c>
      <c r="E1532" s="22" t="s">
        <v>586</v>
      </c>
      <c r="F1532" s="23" t="str">
        <f>HYPERLINK("https://www.spark-marketing.ru/Card/Lot/73931316", "ПРИОБРЕТЕНИЕ ПРОДУКТОВЫХ НАБОРОВ ДЛЯ ЖИТЕЛЕЙ ПЕТРОГРАДСКОГО РАЙОНА С ЦЕЛЬЮ ОКАЗАНИЯ СРОЧНЫХ СОЦИАЛЬНЫХ УСЛУГ В СПБ ГБУ СОН ""ЦЕНТР СОЦИАЛЬНОЙ РЕАБИЛИТАЦИИ ИНВАЛИДОВ И ДЕТЕЙ-ИНВАЛИДОВ ПЕТРОГРАДСКОГО РАЙОНА САНКТ-ПЕТЕРБУРГА"" В 2019 ГОДУ")</f>
        <v>ПРИОБРЕТЕНИЕ ПРОДУКТОВЫХ НАБОРОВ ДЛЯ ЖИТЕЛЕЙ ПЕТРОГРАДСКОГО РАЙОНА С ЦЕЛЬЮ ОКАЗАНИЯ СРОЧНЫХ СОЦИАЛЬНЫХ УСЛУГ В СПБ ГБУ СОН "ЦЕНТР СОЦИАЛЬНОЙ РЕАБИЛИТАЦИИ ИНВАЛИДОВ И ДЕТЕЙ-ИНВАЛИДОВ ПЕТРОГРАДСКОГО РАЙОНА САНКТ-ПЕТЕРБУРГА" В 2019 ГОДУ</v>
      </c>
      <c r="G1532" s="22" t="s">
        <v>117</v>
      </c>
      <c r="H1532" s="22" t="s">
        <v>117</v>
      </c>
      <c r="I1532" s="26">
        <v>43734.718055555597</v>
      </c>
      <c r="J1532" s="23" t="str">
        <f>HYPERLINK("https://www.spark-marketing.ru/Card/Person/6142512", "ООО ""ЛИДЕР ФУД""")</f>
        <v>ООО "ЛИДЕР ФУД"</v>
      </c>
      <c r="K1532" s="24" t="s">
        <v>3013</v>
      </c>
      <c r="L1532" s="22" t="s">
        <v>10</v>
      </c>
      <c r="M1532" s="28" t="s">
        <v>51</v>
      </c>
      <c r="N1532" s="28" t="s">
        <v>51</v>
      </c>
    </row>
    <row r="1533" spans="1:14" x14ac:dyDescent="0.15">
      <c r="A1533" s="23" t="str">
        <f>HYPERLINK("https://www.spark-marketing.ru/Card/Person/136405", "МО МВД РОССИИ ""КЛИНЦОВСКИЙ""")</f>
        <v>МО МВД РОССИИ "КЛИНЦОВСКИЙ"</v>
      </c>
      <c r="B1533" s="24" t="s">
        <v>3014</v>
      </c>
      <c r="C1533" s="25">
        <v>139153.42000000001</v>
      </c>
      <c r="D1533" s="22" t="s">
        <v>3015</v>
      </c>
      <c r="E1533" s="22" t="s">
        <v>48</v>
      </c>
      <c r="F1533" s="23" t="str">
        <f>HYPERLINK("https://www.spark-marketing.ru/Card/Lot/73915067",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1533" s="22" t="s">
        <v>475</v>
      </c>
      <c r="H1533" s="22" t="s">
        <v>3016</v>
      </c>
      <c r="I1533" s="26">
        <v>43734.719814814802</v>
      </c>
      <c r="J1533" s="28" t="s">
        <v>51</v>
      </c>
      <c r="K1533" s="28" t="s">
        <v>51</v>
      </c>
      <c r="L1533" s="28" t="s">
        <v>51</v>
      </c>
      <c r="M1533" s="28" t="s">
        <v>51</v>
      </c>
      <c r="N1533" s="28" t="s">
        <v>51</v>
      </c>
    </row>
    <row r="1534" spans="1:14" x14ac:dyDescent="0.15">
      <c r="A1534" s="23" t="str">
        <f>HYPERLINK("https://www.spark-marketing.ru/Card/Person/878902", "ОТДЕЛ МВД РОССИИ ПО ПРИМОРСКО-АХТАРСКОМУ РАЙОНУ")</f>
        <v>ОТДЕЛ МВД РОССИИ ПО ПРИМОРСКО-АХТАРСКОМУ РАЙОНУ</v>
      </c>
      <c r="B1534" s="24" t="s">
        <v>1061</v>
      </c>
      <c r="C1534" s="25">
        <v>802000</v>
      </c>
      <c r="D1534" s="22" t="s">
        <v>3017</v>
      </c>
      <c r="E1534" s="22" t="s">
        <v>48</v>
      </c>
      <c r="F1534" s="23" t="str">
        <f>HYPERLINK("https://www.spark-marketing.ru/Card/Lot/73940998", "Питание ИВС")</f>
        <v>Питание ИВС</v>
      </c>
      <c r="G1534" s="22" t="s">
        <v>104</v>
      </c>
      <c r="H1534" s="22" t="s">
        <v>104</v>
      </c>
      <c r="I1534" s="26">
        <v>43734.709027777797</v>
      </c>
      <c r="J1534" s="28" t="s">
        <v>51</v>
      </c>
      <c r="K1534" s="28" t="s">
        <v>51</v>
      </c>
      <c r="L1534" s="28" t="s">
        <v>51</v>
      </c>
      <c r="M1534" s="28" t="s">
        <v>51</v>
      </c>
      <c r="N1534" s="28" t="s">
        <v>51</v>
      </c>
    </row>
    <row r="1535" spans="1:14" x14ac:dyDescent="0.15">
      <c r="A1535" s="23" t="str">
        <f>HYPERLINK("https://www.spark-marketing.ru/Card/Person/878902", "ОТДЕЛ МВД РОССИИ ПО ПРИМОРСКО-АХТАРСКОМУ РАЙОНУ")</f>
        <v>ОТДЕЛ МВД РОССИИ ПО ПРИМОРСКО-АХТАРСКОМУ РАЙОНУ</v>
      </c>
      <c r="B1535" s="24" t="s">
        <v>1061</v>
      </c>
      <c r="C1535" s="25">
        <v>802000</v>
      </c>
      <c r="D1535" s="22" t="s">
        <v>3018</v>
      </c>
      <c r="E1535" s="22" t="s">
        <v>48</v>
      </c>
      <c r="F1535" s="23" t="str">
        <f>HYPERLINK("https://www.spark-marketing.ru/Card/Lot/73934625", "Питание ИВС")</f>
        <v>Питание ИВС</v>
      </c>
      <c r="G1535" s="22" t="s">
        <v>104</v>
      </c>
      <c r="H1535" s="22" t="s">
        <v>104</v>
      </c>
      <c r="I1535" s="26">
        <v>43734.7097222222</v>
      </c>
      <c r="J1535" s="28" t="s">
        <v>51</v>
      </c>
      <c r="K1535" s="28" t="s">
        <v>51</v>
      </c>
      <c r="L1535" s="28" t="s">
        <v>51</v>
      </c>
      <c r="M1535" s="28" t="s">
        <v>51</v>
      </c>
      <c r="N1535" s="28" t="s">
        <v>51</v>
      </c>
    </row>
    <row r="1536" spans="1:14" x14ac:dyDescent="0.15">
      <c r="A1536" s="23" t="str">
        <f>HYPERLINK("https://www.spark-marketing.ru/Card/Person/53356", "ОМВД РОССИИ ПО ЛОМОНОСОВСКОМУ РАЙОНУ ЛО")</f>
        <v>ОМВД РОССИИ ПО ЛОМОНОСОВСКОМУ РАЙОНУ ЛО</v>
      </c>
      <c r="B1536" s="24" t="s">
        <v>3019</v>
      </c>
      <c r="C1536" s="25">
        <v>621000</v>
      </c>
      <c r="D1536" s="22" t="s">
        <v>3020</v>
      </c>
      <c r="E1536" s="22" t="s">
        <v>48</v>
      </c>
      <c r="F1536" s="23" t="str">
        <f>HYPERLINK("https://www.spark-marketing.ru/Card/Lot/73933786", "Услуги по обеспечению ежедневным трех разовым горячем питанием лиц подозреваемых и обвиняемых в совершении пеступлении,содержащихся в изоляторе временного содержания и лиц, задержанных за административные правонарушения, содержащихся в дежурной части...")</f>
        <v>Услуги по обеспечению ежедневным трех разовым горячем питанием лиц подозреваемых и обвиняемых в совершении пеступлении,содержащихся в изоляторе временного содержания и лиц, задержанных за административные правонарушения, содержащихся в дежурной части...</v>
      </c>
      <c r="G1536" s="22" t="s">
        <v>117</v>
      </c>
      <c r="H1536" s="22" t="s">
        <v>117</v>
      </c>
      <c r="I1536" s="26">
        <v>43734.675000000003</v>
      </c>
      <c r="J1536" s="28" t="s">
        <v>51</v>
      </c>
      <c r="K1536" s="28" t="s">
        <v>51</v>
      </c>
      <c r="L1536" s="28" t="s">
        <v>51</v>
      </c>
      <c r="M1536" s="28" t="s">
        <v>51</v>
      </c>
      <c r="N1536" s="28" t="s">
        <v>51</v>
      </c>
    </row>
    <row r="1537" spans="1:14" x14ac:dyDescent="0.15">
      <c r="A1537" s="23" t="str">
        <f>HYPERLINK("https://www.spark-marketing.ru/Card/Person/1678219", "АО ""НПК ""ХИМПРОМИНЖИНИРИНГ""")</f>
        <v>АО "НПК "ХИМПРОМИНЖИНИРИНГ"</v>
      </c>
      <c r="B1537" s="24" t="s">
        <v>948</v>
      </c>
      <c r="C1537" s="28" t="s">
        <v>51</v>
      </c>
      <c r="D1537" s="22" t="s">
        <v>3021</v>
      </c>
      <c r="E1537" s="22" t="s">
        <v>48</v>
      </c>
      <c r="F1537" s="23" t="str">
        <f>HYPERLINK("https://www.spark-marketing.ru/Card/Lot/73925022", "Мониторинг цен на оказание услуг по организации питания в ходе проведения VII Форума «Композиты без границ»")</f>
        <v>Мониторинг цен на оказание услуг по организации питания в ходе проведения VII Форума «Композиты без границ»</v>
      </c>
      <c r="G1537" s="22" t="s">
        <v>56</v>
      </c>
      <c r="H1537" s="22" t="s">
        <v>56</v>
      </c>
      <c r="I1537" s="26">
        <v>43734.683553240699</v>
      </c>
      <c r="J1537" s="28" t="s">
        <v>51</v>
      </c>
      <c r="K1537" s="28" t="s">
        <v>51</v>
      </c>
      <c r="L1537" s="28" t="s">
        <v>51</v>
      </c>
      <c r="M1537" s="28" t="s">
        <v>51</v>
      </c>
      <c r="N1537" s="28" t="s">
        <v>51</v>
      </c>
    </row>
    <row r="1538" spans="1:14" x14ac:dyDescent="0.15">
      <c r="A1538" s="23" t="str">
        <f>HYPERLINK("https://www.spark-marketing.ru/Card/Person/63458", "КГБУЗ ""НОРИЛЬСКАЯ МДБ""")</f>
        <v>КГБУЗ "НОРИЛЬСКАЯ МДБ"</v>
      </c>
      <c r="B1538" s="24" t="s">
        <v>3022</v>
      </c>
      <c r="C1538" s="25">
        <v>523600</v>
      </c>
      <c r="D1538" s="22" t="s">
        <v>3023</v>
      </c>
      <c r="E1538" s="22" t="s">
        <v>3024</v>
      </c>
      <c r="F1538" s="23" t="str">
        <f>HYPERLINK("https://www.spark-marketing.ru/Card/Lot/73940426", "ЭА 47497/19 «Услуги по дополнительному обслуживанию ПП «Парус - 7.хх бюджет""")</f>
        <v>ЭА 47497/19 «Услуги по дополнительному обслуживанию ПП «Парус - 7.хх бюджет"</v>
      </c>
      <c r="G1538" s="22" t="s">
        <v>281</v>
      </c>
      <c r="H1538" s="22" t="s">
        <v>3025</v>
      </c>
      <c r="I1538" s="26">
        <v>43734.697222222203</v>
      </c>
      <c r="J1538" s="23" t="str">
        <f>HYPERLINK("https://www.spark-marketing.ru/Card/Person/239890", "ООО ""ПАРУС-НОРИЛЬСК""")</f>
        <v>ООО "ПАРУС-НОРИЛЬСК"</v>
      </c>
      <c r="K1538" s="24" t="s">
        <v>3026</v>
      </c>
      <c r="L1538" s="22" t="s">
        <v>10</v>
      </c>
      <c r="M1538" s="28" t="s">
        <v>51</v>
      </c>
      <c r="N1538" s="28" t="s">
        <v>51</v>
      </c>
    </row>
    <row r="1539" spans="1:14" x14ac:dyDescent="0.15">
      <c r="A1539" s="23" t="str">
        <f>HYPERLINK("https://www.spark-marketing.ru/Card/Person/37233", "ВЛАДИВОСТОКСКАЯ ТАМОЖНЯ")</f>
        <v>ВЛАДИВОСТОКСКАЯ ТАМОЖНЯ</v>
      </c>
      <c r="B1539" s="24" t="s">
        <v>3027</v>
      </c>
      <c r="C1539" s="25">
        <v>607554</v>
      </c>
      <c r="D1539" s="22" t="s">
        <v>3028</v>
      </c>
      <c r="E1539" s="22" t="s">
        <v>152</v>
      </c>
      <c r="F1539" s="23" t="str">
        <f>HYPERLINK("https://www.spark-marketing.ru/Card/Lot/73933264", "оказание услуг по ремонту источника бесперебойного питания")</f>
        <v>оказание услуг по ремонту источника бесперебойного питания</v>
      </c>
      <c r="G1539" s="22" t="s">
        <v>543</v>
      </c>
      <c r="H1539" s="22" t="s">
        <v>1440</v>
      </c>
      <c r="I1539" s="26">
        <v>43734.681944444397</v>
      </c>
      <c r="J1539" s="28" t="s">
        <v>51</v>
      </c>
      <c r="K1539" s="28" t="s">
        <v>51</v>
      </c>
      <c r="L1539" s="28" t="s">
        <v>51</v>
      </c>
      <c r="M1539" s="28" t="s">
        <v>51</v>
      </c>
      <c r="N1539" s="28" t="s">
        <v>51</v>
      </c>
    </row>
    <row r="1540" spans="1:14" hidden="1" outlineLevel="1" x14ac:dyDescent="0.2">
      <c r="A1540" s="23" t="str">
        <f>HYPERLINK("https://www.spark-marketing.ru/Card/Person/37233", "ВЛАДИВОСТОКСКАЯ ТАМОЖНЯ")</f>
        <v>ВЛАДИВОСТОКСКАЯ ТАМОЖНЯ</v>
      </c>
      <c r="B1540" s="24" t="s">
        <v>3027</v>
      </c>
      <c r="C1540" s="25">
        <v>607554</v>
      </c>
      <c r="D1540" s="22" t="s">
        <v>3028</v>
      </c>
      <c r="E1540" s="22" t="s">
        <v>152</v>
      </c>
      <c r="F1540" s="23" t="str">
        <f>HYPERLINK("https://www.spark-marketing.ru/Card/Lot/73933264", "оказание услуг по ремонту источника бесперебойного питания")</f>
        <v>оказание услуг по ремонту источника бесперебойного питания</v>
      </c>
      <c r="G1540" s="22" t="s">
        <v>543</v>
      </c>
      <c r="H1540" s="22" t="s">
        <v>1440</v>
      </c>
      <c r="I1540" s="26">
        <v>43734.681944444397</v>
      </c>
      <c r="J1540" s="23" t="str">
        <f>HYPERLINK("https://www.spark-marketing.ru/Card/Person/330993", "ООО ""ЦБЭ""")</f>
        <v>ООО "ЦБЭ"</v>
      </c>
      <c r="K1540" s="24" t="s">
        <v>3029</v>
      </c>
      <c r="L1540" s="28" t="s">
        <v>51</v>
      </c>
      <c r="M1540" s="25">
        <v>452627.73</v>
      </c>
      <c r="N1540" s="27">
        <v>0.255</v>
      </c>
    </row>
    <row r="1541" spans="1:14" ht="12.75" hidden="1" outlineLevel="1" x14ac:dyDescent="0.2">
      <c r="A1541" s="23" t="str">
        <f>HYPERLINK("https://www.spark-marketing.ru/Card/Person/37233", "ВЛАДИВОСТОКСКАЯ ТАМОЖНЯ")</f>
        <v>ВЛАДИВОСТОКСКАЯ ТАМОЖНЯ</v>
      </c>
      <c r="B1541" s="24" t="s">
        <v>3027</v>
      </c>
      <c r="C1541" s="25">
        <v>607554</v>
      </c>
      <c r="D1541" s="22" t="s">
        <v>3028</v>
      </c>
      <c r="E1541" s="22" t="s">
        <v>152</v>
      </c>
      <c r="F1541" s="23" t="str">
        <f>HYPERLINK("https://www.spark-marketing.ru/Card/Lot/73933264", "оказание услуг по ремонту источника бесперебойного питания")</f>
        <v>оказание услуг по ремонту источника бесперебойного питания</v>
      </c>
      <c r="G1541" s="22" t="s">
        <v>543</v>
      </c>
      <c r="H1541" s="22" t="s">
        <v>1440</v>
      </c>
      <c r="I1541" s="26">
        <v>43734.681944444397</v>
      </c>
      <c r="J1541" s="23" t="str">
        <f>HYPERLINK("https://www.spark-marketing.ru/Card/Person/140775", "ООО ""АЛЬФА-ЭНЕРГО""")</f>
        <v>ООО "АЛЬФА-ЭНЕРГО"</v>
      </c>
      <c r="K1541" s="24" t="s">
        <v>3030</v>
      </c>
      <c r="L1541" s="22" t="s">
        <v>10</v>
      </c>
      <c r="M1541" s="25">
        <v>452627.73</v>
      </c>
      <c r="N1541" s="27">
        <v>0.255</v>
      </c>
    </row>
    <row r="1542" spans="1:14" x14ac:dyDescent="0.15">
      <c r="A1542" s="23" t="str">
        <f>HYPERLINK("https://www.spark-marketing.ru/Card/Person/1037616", "ГКУ СО ""СВЕТЛОЯРСКИЙ ЦСОН""")</f>
        <v>ГКУ СО "СВЕТЛОЯРСКИЙ ЦСОН"</v>
      </c>
      <c r="B1542" s="24" t="s">
        <v>3031</v>
      </c>
      <c r="C1542" s="25">
        <v>973500</v>
      </c>
      <c r="D1542" s="22" t="s">
        <v>3032</v>
      </c>
      <c r="E1542" s="22" t="s">
        <v>48</v>
      </c>
      <c r="F1542" s="23" t="str">
        <f>HYPERLINK("https://www.spark-marketing.ru/Card/Lot/73937278", "услуги по организации двухразового питания для получателей социальных услуг")</f>
        <v>услуги по организации двухразового питания для получателей социальных услуг</v>
      </c>
      <c r="G1542" s="22" t="s">
        <v>158</v>
      </c>
      <c r="H1542" s="22" t="s">
        <v>3033</v>
      </c>
      <c r="I1542" s="26">
        <v>43734.673611111102</v>
      </c>
      <c r="J1542" s="28" t="s">
        <v>51</v>
      </c>
      <c r="K1542" s="28" t="s">
        <v>51</v>
      </c>
      <c r="L1542" s="28" t="s">
        <v>51</v>
      </c>
      <c r="M1542" s="28" t="s">
        <v>51</v>
      </c>
      <c r="N1542" s="28" t="s">
        <v>51</v>
      </c>
    </row>
    <row r="1543" spans="1:14" ht="12.75" hidden="1" outlineLevel="1" x14ac:dyDescent="0.2">
      <c r="A1543" s="23" t="str">
        <f>HYPERLINK("https://www.spark-marketing.ru/Card/Person/1037616", "ГКУ СО ""СВЕТЛОЯРСКИЙ ЦСОН""")</f>
        <v>ГКУ СО "СВЕТЛОЯРСКИЙ ЦСОН"</v>
      </c>
      <c r="B1543" s="24" t="s">
        <v>3031</v>
      </c>
      <c r="C1543" s="25">
        <v>973500</v>
      </c>
      <c r="D1543" s="22" t="s">
        <v>3032</v>
      </c>
      <c r="E1543" s="22" t="s">
        <v>48</v>
      </c>
      <c r="F1543" s="23" t="str">
        <f>HYPERLINK("https://www.spark-marketing.ru/Card/Lot/73937278", "услуги по организации двухразового питания для получателей социальных услуг")</f>
        <v>услуги по организации двухразового питания для получателей социальных услуг</v>
      </c>
      <c r="G1543" s="22" t="s">
        <v>158</v>
      </c>
      <c r="H1543" s="22" t="s">
        <v>3033</v>
      </c>
      <c r="I1543" s="26">
        <v>43734.673611111102</v>
      </c>
      <c r="J1543" s="23" t="str">
        <f>HYPERLINK("https://www.spark-marketing.ru/Card/Person/1257495", "Никифорова Елена Петровна")</f>
        <v>Никифорова Елена Петровна</v>
      </c>
      <c r="K1543" s="24" t="s">
        <v>3034</v>
      </c>
      <c r="L1543" s="22" t="s">
        <v>10</v>
      </c>
      <c r="M1543" s="25">
        <v>790265</v>
      </c>
      <c r="N1543" s="27">
        <v>0.18822290703646635</v>
      </c>
    </row>
    <row r="1544" spans="1:14" hidden="1" outlineLevel="1" x14ac:dyDescent="0.2">
      <c r="A1544" s="23" t="str">
        <f>HYPERLINK("https://www.spark-marketing.ru/Card/Person/1037616", "ГКУ СО ""СВЕТЛОЯРСКИЙ ЦСОН""")</f>
        <v>ГКУ СО "СВЕТЛОЯРСКИЙ ЦСОН"</v>
      </c>
      <c r="B1544" s="24" t="s">
        <v>3031</v>
      </c>
      <c r="C1544" s="25">
        <v>973500</v>
      </c>
      <c r="D1544" s="22" t="s">
        <v>3032</v>
      </c>
      <c r="E1544" s="22" t="s">
        <v>48</v>
      </c>
      <c r="F1544" s="23" t="str">
        <f>HYPERLINK("https://www.spark-marketing.ru/Card/Lot/73937278", "услуги по организации двухразового питания для получателей социальных услуг")</f>
        <v>услуги по организации двухразового питания для получателей социальных услуг</v>
      </c>
      <c r="G1544" s="22" t="s">
        <v>158</v>
      </c>
      <c r="H1544" s="22" t="s">
        <v>3033</v>
      </c>
      <c r="I1544" s="26">
        <v>43734.673611111102</v>
      </c>
      <c r="J1544" s="23" t="str">
        <f>HYPERLINK("https://www.spark-marketing.ru/Card/Person/56423", "ООО ""ВОЛГАСЕРВИСПРОДУКТ""")</f>
        <v>ООО "ВОЛГАСЕРВИСПРОДУКТ"</v>
      </c>
      <c r="K1544" s="24" t="s">
        <v>3035</v>
      </c>
      <c r="L1544" s="28" t="s">
        <v>51</v>
      </c>
      <c r="M1544" s="25">
        <v>795132.5</v>
      </c>
      <c r="N1544" s="27">
        <v>0.18322290703646635</v>
      </c>
    </row>
    <row r="1545" spans="1:14" x14ac:dyDescent="0.15">
      <c r="A1545" s="23" t="str">
        <f>HYPERLINK("https://www.spark-marketing.ru/Card/Person/1678219", "АО ""НПК ""ХИМПРОМИНЖИНИРИНГ""")</f>
        <v>АО "НПК "ХИМПРОМИНЖИНИРИНГ"</v>
      </c>
      <c r="B1545" s="24" t="s">
        <v>948</v>
      </c>
      <c r="C1545" s="28" t="s">
        <v>51</v>
      </c>
      <c r="D1545" s="22" t="s">
        <v>3036</v>
      </c>
      <c r="E1545" s="22" t="s">
        <v>48</v>
      </c>
      <c r="F1545" s="23" t="str">
        <f>HYPERLINK("https://www.spark-marketing.ru/Card/Lot/73925017", "Мониторинг цен на оказание услуг по организации питания в ходе проведения VII Форума «Композиты без границ»")</f>
        <v>Мониторинг цен на оказание услуг по организации питания в ходе проведения VII Форума «Композиты без границ»</v>
      </c>
      <c r="G1545" s="22" t="s">
        <v>56</v>
      </c>
      <c r="H1545" s="22" t="s">
        <v>56</v>
      </c>
      <c r="I1545" s="26">
        <v>43734.682002314803</v>
      </c>
      <c r="J1545" s="28" t="s">
        <v>51</v>
      </c>
      <c r="K1545" s="28" t="s">
        <v>51</v>
      </c>
      <c r="L1545" s="28" t="s">
        <v>51</v>
      </c>
      <c r="M1545" s="28" t="s">
        <v>51</v>
      </c>
      <c r="N1545" s="28" t="s">
        <v>51</v>
      </c>
    </row>
    <row r="1546" spans="1:14" x14ac:dyDescent="0.15">
      <c r="A1546" s="23" t="str">
        <f>HYPERLINK("https://www.spark-marketing.ru/Card/Person/46359", "АДМИНИСТРАЦИЯ ВОЛГОГРАДА")</f>
        <v>АДМИНИСТРАЦИЯ ВОЛГОГРАДА</v>
      </c>
      <c r="B1546" s="24" t="s">
        <v>3037</v>
      </c>
      <c r="C1546" s="25">
        <v>555176</v>
      </c>
      <c r="D1546" s="22" t="s">
        <v>3038</v>
      </c>
      <c r="E1546" s="22" t="s">
        <v>96</v>
      </c>
      <c r="F1546" s="23" t="str">
        <f>HYPERLINK("https://www.spark-marketing.ru/Card/Lot/73933107", "Оказание услуг по организации питания членов делегаций и отдельных лиц, прибывающих в Волгоград в рамках Международного форума общественной дипломатии ""Диалог на Волге: мир и взаимопонимание в XXI веке""")</f>
        <v>Оказание услуг по организации питания членов делегаций и отдельных лиц, прибывающих в Волгоград в рамках Международного форума общественной дипломатии "Диалог на Волге: мир и взаимопонимание в XXI веке"</v>
      </c>
      <c r="G1546" s="22" t="s">
        <v>158</v>
      </c>
      <c r="H1546" s="22" t="s">
        <v>171</v>
      </c>
      <c r="I1546" s="26">
        <v>43734.673611111102</v>
      </c>
      <c r="J1546" s="23" t="str">
        <f>HYPERLINK("https://www.spark-marketing.ru/Card/Person/6489604", "ООО ""СТАТУС""")</f>
        <v>ООО "СТАТУС"</v>
      </c>
      <c r="K1546" s="24" t="s">
        <v>3039</v>
      </c>
      <c r="L1546" s="22" t="s">
        <v>10</v>
      </c>
      <c r="M1546" s="28" t="s">
        <v>51</v>
      </c>
      <c r="N1546" s="28" t="s">
        <v>51</v>
      </c>
    </row>
    <row r="1547" spans="1:14" x14ac:dyDescent="0.15">
      <c r="A1547" s="23" t="str">
        <f>HYPERLINK("https://www.spark-marketing.ru/Card/Person/172810", "ОТДЕЛ МВД РОССИИ ПО ГОРОДУ ГЕЛЕНДЖИКУ")</f>
        <v>ОТДЕЛ МВД РОССИИ ПО ГОРОДУ ГЕЛЕНДЖИКУ</v>
      </c>
      <c r="B1547" s="24" t="s">
        <v>3040</v>
      </c>
      <c r="C1547" s="25">
        <v>3434991</v>
      </c>
      <c r="D1547" s="22" t="s">
        <v>3041</v>
      </c>
      <c r="E1547" s="22" t="s">
        <v>48</v>
      </c>
      <c r="F1547" s="23" t="str">
        <f>HYPERLINK("https://www.spark-marketing.ru/Card/Lot/73955652", "питание ИВС и СП")</f>
        <v>питание ИВС и СП</v>
      </c>
      <c r="G1547" s="22" t="s">
        <v>104</v>
      </c>
      <c r="H1547" s="22" t="s">
        <v>3042</v>
      </c>
      <c r="I1547" s="26">
        <v>43734.658784722204</v>
      </c>
      <c r="J1547" s="28" t="s">
        <v>51</v>
      </c>
      <c r="K1547" s="28" t="s">
        <v>51</v>
      </c>
      <c r="L1547" s="28" t="s">
        <v>51</v>
      </c>
      <c r="M1547" s="28" t="s">
        <v>51</v>
      </c>
      <c r="N1547" s="28" t="s">
        <v>51</v>
      </c>
    </row>
    <row r="1548" spans="1:14" x14ac:dyDescent="0.15">
      <c r="A1548" s="23" t="str">
        <f>HYPERLINK("https://www.spark-marketing.ru/Card/Person/737290", "ГКУ «ЦБЗ ПРИ МИНЗДРАВЕ КАРЕЛИИ»")</f>
        <v>ГКУ «ЦБЗ ПРИ МИНЗДРАВЕ КАРЕЛИИ»</v>
      </c>
      <c r="B1548" s="24" t="s">
        <v>312</v>
      </c>
      <c r="C1548" s="25">
        <v>357898.8</v>
      </c>
      <c r="D1548" s="22" t="s">
        <v>3043</v>
      </c>
      <c r="E1548" s="22" t="s">
        <v>52</v>
      </c>
      <c r="F1548" s="23" t="str">
        <f>HYPERLINK("https://www.spark-marketing.ru/Card/Lot/73931414", "Поставка лекарственного препарата Будесонид+Формотерол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изделиям...")</f>
        <v>Поставка лекарственного препарата Будесонид+Формотерол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</v>
      </c>
      <c r="G1548" s="22" t="s">
        <v>59</v>
      </c>
      <c r="H1548" s="22" t="s">
        <v>314</v>
      </c>
      <c r="I1548" s="26">
        <v>43734.634722222203</v>
      </c>
      <c r="J1548" s="23" t="str">
        <f>HYPERLINK("https://www.spark-marketing.ru/Card/Person/6073224", "ООО ""ЛЕКСТОР""")</f>
        <v>ООО "ЛЕКСТОР"</v>
      </c>
      <c r="K1548" s="24" t="s">
        <v>2797</v>
      </c>
      <c r="L1548" s="28" t="s">
        <v>51</v>
      </c>
      <c r="M1548" s="28" t="s">
        <v>51</v>
      </c>
      <c r="N1548" s="28" t="s">
        <v>51</v>
      </c>
    </row>
    <row r="1549" spans="1:14" ht="12.75" hidden="1" outlineLevel="1" x14ac:dyDescent="0.2">
      <c r="A1549" s="23" t="str">
        <f>HYPERLINK("https://www.spark-marketing.ru/Card/Person/737290", "ГКУ «ЦБЗ ПРИ МИНЗДРАВЕ КАРЕЛИИ»")</f>
        <v>ГКУ «ЦБЗ ПРИ МИНЗДРАВЕ КАРЕЛИИ»</v>
      </c>
      <c r="B1549" s="24" t="s">
        <v>312</v>
      </c>
      <c r="C1549" s="25">
        <v>357898.8</v>
      </c>
      <c r="D1549" s="22" t="s">
        <v>3043</v>
      </c>
      <c r="E1549" s="22" t="s">
        <v>52</v>
      </c>
      <c r="F1549" s="23" t="str">
        <f>HYPERLINK("https://www.spark-marketing.ru/Card/Lot/73931414", "Поставка лекарственного препарата Будесонид+Формотерол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изделиям...")</f>
        <v>Поставка лекарственного препарата Будесонид+Формотерол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</v>
      </c>
      <c r="G1549" s="22" t="s">
        <v>59</v>
      </c>
      <c r="H1549" s="22" t="s">
        <v>314</v>
      </c>
      <c r="I1549" s="26">
        <v>43734.634722222203</v>
      </c>
      <c r="J1549" s="23" t="str">
        <f>HYPERLINK("https://www.spark-marketing.ru/Card/Person/6073224", "ООО ""ЛЕКСТОР""")</f>
        <v>ООО "ЛЕКСТОР"</v>
      </c>
      <c r="K1549" s="24" t="s">
        <v>2797</v>
      </c>
      <c r="L1549" s="22" t="s">
        <v>10</v>
      </c>
      <c r="M1549" s="25">
        <v>356109.31</v>
      </c>
      <c r="N1549" s="27">
        <v>4.9999888236562963E-3</v>
      </c>
    </row>
    <row r="1550" spans="1:14" x14ac:dyDescent="0.15">
      <c r="A1550" s="23" t="str">
        <f>HYPERLINK("https://www.spark-marketing.ru/Card/Person/4376689", "МКУ ""УПРАВЛЕНИЕ КУЛЬТУРЫ И МОЛОДЕЖНОЙ ПОЛИТИКИ"" (МКУ ""УКИМП"")")</f>
        <v>МКУ "УПРАВЛЕНИЕ КУЛЬТУРЫ И МОЛОДЕЖНОЙ ПОЛИТИКИ" (МКУ "УКИМП")</v>
      </c>
      <c r="B1550" s="24" t="s">
        <v>3044</v>
      </c>
      <c r="C1550" s="25">
        <v>28000</v>
      </c>
      <c r="D1550" s="22" t="s">
        <v>3045</v>
      </c>
      <c r="E1550" s="22" t="s">
        <v>48</v>
      </c>
      <c r="F1550" s="23" t="str">
        <f>HYPERLINK("https://www.spark-marketing.ru/Card/Lot/73912365", "Услуги по организации питания")</f>
        <v>Услуги по организации питания</v>
      </c>
      <c r="G1550" s="22" t="s">
        <v>174</v>
      </c>
      <c r="H1550" s="22" t="s">
        <v>174</v>
      </c>
      <c r="I1550" s="26">
        <v>43734.6340277778</v>
      </c>
      <c r="J1550" s="23" t="str">
        <f>HYPERLINK("https://www.spark-marketing.ru/Card/Person/806698", "Леонов Виктор Владимирович")</f>
        <v>Леонов Виктор Владимирович</v>
      </c>
      <c r="K1550" s="24" t="s">
        <v>1527</v>
      </c>
      <c r="L1550" s="22" t="s">
        <v>10</v>
      </c>
      <c r="M1550" s="28" t="s">
        <v>51</v>
      </c>
      <c r="N1550" s="28" t="s">
        <v>51</v>
      </c>
    </row>
    <row r="1551" spans="1:14" x14ac:dyDescent="0.15">
      <c r="A1551" s="23" t="str">
        <f>HYPERLINK("https://www.spark-marketing.ru/Card/Person/62773", "КГБУЗ ""ТАЙМЫРСКАЯ МРБ""")</f>
        <v>КГБУЗ "ТАЙМЫРСКАЯ МРБ"</v>
      </c>
      <c r="B1551" s="24" t="s">
        <v>3046</v>
      </c>
      <c r="C1551" s="25">
        <v>2384121.81</v>
      </c>
      <c r="D1551" s="22" t="s">
        <v>3047</v>
      </c>
      <c r="E1551" s="22" t="s">
        <v>62</v>
      </c>
      <c r="F1551" s="23" t="str">
        <f>HYPERLINK("https://www.spark-marketing.ru/Card/Lot/73939967", "№ЭА 47369/19 «Поставка бланочной продукции для нужд КГБУЗ ""Таймырская межрайонная больница"" (для СМП и СОНКО)»")</f>
        <v>№ЭА 47369/19 «Поставка бланочной продукции для нужд КГБУЗ "Таймырская межрайонная больница" (для СМП и СОНКО)»</v>
      </c>
      <c r="G1551" s="22" t="s">
        <v>281</v>
      </c>
      <c r="H1551" s="22" t="s">
        <v>282</v>
      </c>
      <c r="I1551" s="26">
        <v>43734.652777777803</v>
      </c>
      <c r="J1551" s="28" t="s">
        <v>51</v>
      </c>
      <c r="K1551" s="28" t="s">
        <v>51</v>
      </c>
      <c r="L1551" s="28" t="s">
        <v>51</v>
      </c>
      <c r="M1551" s="28" t="s">
        <v>51</v>
      </c>
      <c r="N1551" s="28" t="s">
        <v>51</v>
      </c>
    </row>
    <row r="1552" spans="1:14" ht="12.75" hidden="1" outlineLevel="1" x14ac:dyDescent="0.2">
      <c r="A1552" s="23" t="str">
        <f>HYPERLINK("https://www.spark-marketing.ru/Card/Person/62773", "КГБУЗ ""ТАЙМЫРСКАЯ МРБ""")</f>
        <v>КГБУЗ "ТАЙМЫРСКАЯ МРБ"</v>
      </c>
      <c r="B1552" s="24" t="s">
        <v>3046</v>
      </c>
      <c r="C1552" s="25">
        <v>2384121.81</v>
      </c>
      <c r="D1552" s="22" t="s">
        <v>3047</v>
      </c>
      <c r="E1552" s="22" t="s">
        <v>62</v>
      </c>
      <c r="F1552" s="23" t="str">
        <f>HYPERLINK("https://www.spark-marketing.ru/Card/Lot/73939967", "№ЭА 47369/19 «Поставка бланочной продукции для нужд КГБУЗ ""Таймырская межрайонная больница"" (для СМП и СОНКО)»")</f>
        <v>№ЭА 47369/19 «Поставка бланочной продукции для нужд КГБУЗ "Таймырская межрайонная больница" (для СМП и СОНКО)»</v>
      </c>
      <c r="G1552" s="22" t="s">
        <v>281</v>
      </c>
      <c r="H1552" s="22" t="s">
        <v>282</v>
      </c>
      <c r="I1552" s="26">
        <v>43734.652777777803</v>
      </c>
      <c r="J1552" s="23" t="str">
        <f>HYPERLINK("https://www.spark-marketing.ru/Card/Person/70363", "ООО ""ВИННЕР - ПРИНТ""")</f>
        <v>ООО "ВИННЕР - ПРИНТ"</v>
      </c>
      <c r="K1552" s="24" t="s">
        <v>3048</v>
      </c>
      <c r="L1552" s="22" t="s">
        <v>10</v>
      </c>
      <c r="M1552" s="25">
        <v>912964.6</v>
      </c>
      <c r="N1552" s="27">
        <v>0.61706461634189735</v>
      </c>
    </row>
    <row r="1553" spans="1:14" hidden="1" outlineLevel="1" x14ac:dyDescent="0.2">
      <c r="A1553" s="23" t="str">
        <f>HYPERLINK("https://www.spark-marketing.ru/Card/Person/62773", "КГБУЗ ""ТАЙМЫРСКАЯ МРБ""")</f>
        <v>КГБУЗ "ТАЙМЫРСКАЯ МРБ"</v>
      </c>
      <c r="B1553" s="24" t="s">
        <v>3046</v>
      </c>
      <c r="C1553" s="25">
        <v>2384121.81</v>
      </c>
      <c r="D1553" s="22" t="s">
        <v>3047</v>
      </c>
      <c r="E1553" s="22" t="s">
        <v>62</v>
      </c>
      <c r="F1553" s="23" t="str">
        <f>HYPERLINK("https://www.spark-marketing.ru/Card/Lot/73939967", "№ЭА 47369/19 «Поставка бланочной продукции для нужд КГБУЗ ""Таймырская межрайонная больница"" (для СМП и СОНКО)»")</f>
        <v>№ЭА 47369/19 «Поставка бланочной продукции для нужд КГБУЗ "Таймырская межрайонная больница" (для СМП и СОНКО)»</v>
      </c>
      <c r="G1553" s="22" t="s">
        <v>281</v>
      </c>
      <c r="H1553" s="22" t="s">
        <v>282</v>
      </c>
      <c r="I1553" s="26">
        <v>43734.652777777803</v>
      </c>
      <c r="J1553" s="23" t="str">
        <f>HYPERLINK("https://www.spark-marketing.ru/Card/Person/452178", "ООО ""СИБМК""")</f>
        <v>ООО "СИБМК"</v>
      </c>
      <c r="K1553" s="24" t="s">
        <v>3049</v>
      </c>
      <c r="L1553" s="28" t="s">
        <v>51</v>
      </c>
      <c r="M1553" s="25">
        <v>2264518.7599999998</v>
      </c>
      <c r="N1553" s="27">
        <v>5.0166501350029591E-2</v>
      </c>
    </row>
    <row r="1554" spans="1:14" hidden="1" outlineLevel="1" x14ac:dyDescent="0.2">
      <c r="A1554" s="23" t="str">
        <f>HYPERLINK("https://www.spark-marketing.ru/Card/Person/62773", "КГБУЗ ""ТАЙМЫРСКАЯ МРБ""")</f>
        <v>КГБУЗ "ТАЙМЫРСКАЯ МРБ"</v>
      </c>
      <c r="B1554" s="24" t="s">
        <v>3046</v>
      </c>
      <c r="C1554" s="25">
        <v>2384121.81</v>
      </c>
      <c r="D1554" s="22" t="s">
        <v>3047</v>
      </c>
      <c r="E1554" s="22" t="s">
        <v>62</v>
      </c>
      <c r="F1554" s="23" t="str">
        <f>HYPERLINK("https://www.spark-marketing.ru/Card/Lot/73939967", "№ЭА 47369/19 «Поставка бланочной продукции для нужд КГБУЗ ""Таймырская межрайонная больница"" (для СМП и СОНКО)»")</f>
        <v>№ЭА 47369/19 «Поставка бланочной продукции для нужд КГБУЗ "Таймырская межрайонная больница" (для СМП и СОНКО)»</v>
      </c>
      <c r="G1554" s="22" t="s">
        <v>281</v>
      </c>
      <c r="H1554" s="22" t="s">
        <v>282</v>
      </c>
      <c r="I1554" s="26">
        <v>43734.652777777803</v>
      </c>
      <c r="J1554" s="23" t="str">
        <f>HYPERLINK("https://www.spark-marketing.ru/Card/Person/169511", "ООО ""ИЗДАТЕЛЬСТВО ""ГРОТЕСК""")</f>
        <v>ООО "ИЗДАТЕЛЬСТВО "ГРОТЕСК"</v>
      </c>
      <c r="K1554" s="24" t="s">
        <v>3050</v>
      </c>
      <c r="L1554" s="28" t="s">
        <v>51</v>
      </c>
      <c r="M1554" s="25">
        <v>2264500</v>
      </c>
      <c r="N1554" s="27">
        <v>5.0174370075495432E-2</v>
      </c>
    </row>
    <row r="1555" spans="1:14" hidden="1" outlineLevel="1" x14ac:dyDescent="0.2">
      <c r="A1555" s="23" t="str">
        <f>HYPERLINK("https://www.spark-marketing.ru/Card/Person/62773", "КГБУЗ ""ТАЙМЫРСКАЯ МРБ""")</f>
        <v>КГБУЗ "ТАЙМЫРСКАЯ МРБ"</v>
      </c>
      <c r="B1555" s="24" t="s">
        <v>3046</v>
      </c>
      <c r="C1555" s="25">
        <v>2384121.81</v>
      </c>
      <c r="D1555" s="22" t="s">
        <v>3047</v>
      </c>
      <c r="E1555" s="22" t="s">
        <v>62</v>
      </c>
      <c r="F1555" s="23" t="str">
        <f>HYPERLINK("https://www.spark-marketing.ru/Card/Lot/73939967", "№ЭА 47369/19 «Поставка бланочной продукции для нужд КГБУЗ ""Таймырская межрайонная больница"" (для СМП и СОНКО)»")</f>
        <v>№ЭА 47369/19 «Поставка бланочной продукции для нужд КГБУЗ "Таймырская межрайонная больница" (для СМП и СОНКО)»</v>
      </c>
      <c r="G1555" s="22" t="s">
        <v>281</v>
      </c>
      <c r="H1555" s="22" t="s">
        <v>282</v>
      </c>
      <c r="I1555" s="26">
        <v>43734.652777777803</v>
      </c>
      <c r="J1555" s="23" t="str">
        <f>HYPERLINK("https://www.spark-marketing.ru/Card/Person/170728", "ООО ""ПОЛИС""")</f>
        <v>ООО "ПОЛИС"</v>
      </c>
      <c r="K1555" s="24" t="s">
        <v>3051</v>
      </c>
      <c r="L1555" s="28" t="s">
        <v>51</v>
      </c>
      <c r="M1555" s="25">
        <v>924964.6</v>
      </c>
      <c r="N1555" s="27">
        <v>0.61203131647036102</v>
      </c>
    </row>
    <row r="1556" spans="1:14" x14ac:dyDescent="0.15">
      <c r="A1556" s="23" t="str">
        <f>HYPERLINK("https://www.spark-marketing.ru/Card/Person/10607", "ГБУ ДСЗМ")</f>
        <v>ГБУ ДСЗМ</v>
      </c>
      <c r="B1556" s="24" t="s">
        <v>3052</v>
      </c>
      <c r="C1556" s="25">
        <v>500000</v>
      </c>
      <c r="D1556" s="22" t="s">
        <v>3053</v>
      </c>
      <c r="E1556" s="22" t="s">
        <v>96</v>
      </c>
      <c r="F1556" s="23" t="str">
        <f>HYPERLINK("https://www.spark-marketing.ru/Card/Lot/73933585", "Услуги по организации питания и ресторанного обслуживания для подготовки и проведения Международного турнира по спортивной (вольной (мужчины), греко-римской) борьбе Гран-при «Москва»")</f>
        <v>Услуги по организации питания и ресторанного обслуживания для подготовки и проведения Международного турнира по спортивной (вольной (мужчины), греко-римской) борьбе Гран-при «Москва»</v>
      </c>
      <c r="G1556" s="22" t="s">
        <v>56</v>
      </c>
      <c r="H1556" s="22" t="s">
        <v>56</v>
      </c>
      <c r="I1556" s="26">
        <v>43734.661805555603</v>
      </c>
      <c r="J1556" s="28" t="s">
        <v>51</v>
      </c>
      <c r="K1556" s="28" t="s">
        <v>51</v>
      </c>
      <c r="L1556" s="28" t="s">
        <v>51</v>
      </c>
      <c r="M1556" s="28" t="s">
        <v>51</v>
      </c>
      <c r="N1556" s="28" t="s">
        <v>51</v>
      </c>
    </row>
    <row r="1557" spans="1:14" x14ac:dyDescent="0.15">
      <c r="A1557" s="23" t="str">
        <f>HYPERLINK("https://www.spark-marketing.ru/Card/Person/4347644", "ФКП ""ЗАВОД ИМЕНИ Я.М.СВЕРДЛОВА""")</f>
        <v>ФКП "ЗАВОД ИМЕНИ Я.М.СВЕРДЛОВА"</v>
      </c>
      <c r="B1557" s="24" t="s">
        <v>3054</v>
      </c>
      <c r="C1557" s="25">
        <v>0</v>
      </c>
      <c r="D1557" s="22" t="s">
        <v>3055</v>
      </c>
      <c r="E1557" s="22" t="s">
        <v>3056</v>
      </c>
      <c r="F1557" s="23" t="str">
        <f>HYPERLINK("https://www.spark-marketing.ru/Card/Lot/73912373", "Услуги по поставке бакалеи в санаторий - профилакторий «Ока»Расчет за оказанные услуги Заказчик производится в следующем порядке:- оплата в течение 10-ти банковских дней с даты подписания Сторонами актов выполненных работ.")</f>
        <v>Услуги по поставке бакалеи в санаторий - профилакторий «Ока»Расчет за оказанные услуги Заказчик производится в следующем порядке:- оплата в течение 10-ти банковских дней с даты подписания Сторонами актов выполненных работ.</v>
      </c>
      <c r="G1557" s="22" t="s">
        <v>76</v>
      </c>
      <c r="H1557" s="22" t="s">
        <v>3057</v>
      </c>
      <c r="I1557" s="26">
        <v>43734</v>
      </c>
      <c r="J1557" s="28" t="s">
        <v>51</v>
      </c>
      <c r="K1557" s="28" t="s">
        <v>51</v>
      </c>
      <c r="L1557" s="28" t="s">
        <v>51</v>
      </c>
      <c r="M1557" s="28" t="s">
        <v>51</v>
      </c>
      <c r="N1557" s="28" t="s">
        <v>51</v>
      </c>
    </row>
    <row r="1558" spans="1:14" x14ac:dyDescent="0.15">
      <c r="A1558" s="23" t="str">
        <f>HYPERLINK("https://www.spark-marketing.ru/Card/Person/10547", "МКОУ ""СОШ Г.НАРИМАНОВ""")</f>
        <v>МКОУ "СОШ Г.НАРИМАНОВ"</v>
      </c>
      <c r="B1558" s="24" t="s">
        <v>3058</v>
      </c>
      <c r="C1558" s="25">
        <v>802667</v>
      </c>
      <c r="D1558" s="22" t="s">
        <v>3059</v>
      </c>
      <c r="E1558" s="22" t="s">
        <v>48</v>
      </c>
      <c r="F1558" s="23" t="str">
        <f>HYPERLINK("https://www.spark-marketing.ru/Card/Lot/73934081", "Оказание услуги по организации горячего питания обучающихся на базе школьных столовых МКОУ «СОШ г.Нариманов»")</f>
        <v>Оказание услуги по организации горячего питания обучающихся на базе школьных столовых МКОУ «СОШ г.Нариманов»</v>
      </c>
      <c r="G1558" s="22" t="s">
        <v>141</v>
      </c>
      <c r="H1558" s="22" t="s">
        <v>3060</v>
      </c>
      <c r="I1558" s="26">
        <v>43734.649768518502</v>
      </c>
      <c r="J1558" s="28" t="s">
        <v>51</v>
      </c>
      <c r="K1558" s="28" t="s">
        <v>51</v>
      </c>
      <c r="L1558" s="28" t="s">
        <v>51</v>
      </c>
      <c r="M1558" s="28" t="s">
        <v>51</v>
      </c>
      <c r="N1558" s="28" t="s">
        <v>51</v>
      </c>
    </row>
    <row r="1559" spans="1:14" x14ac:dyDescent="0.15">
      <c r="A1559" s="23" t="str">
        <f>HYPERLINK("https://www.spark-marketing.ru/Card/Person/88455", "ГКУ ""УПРАВЛЕНИЕ ЗДАНИЯМИ ПСК""")</f>
        <v>ГКУ "УПРАВЛЕНИЕ ЗДАНИЯМИ ПСК"</v>
      </c>
      <c r="B1559" s="24" t="s">
        <v>684</v>
      </c>
      <c r="C1559" s="25">
        <v>500000</v>
      </c>
      <c r="D1559" s="22" t="s">
        <v>3061</v>
      </c>
      <c r="E1559" s="22" t="s">
        <v>96</v>
      </c>
      <c r="F1559" s="23" t="str">
        <f>HYPERLINK("https://www.spark-marketing.ru/Card/Lot/73933275", "Оказание услуг по организации питания и обслуживания приглашенных лиц и делегаций при проведении мероприятий (завтраки, обеды, ужины и другие аналогичные мероприятия), связанных с официальными приемами Губернатора Ставропольского края, Правительства ...")</f>
        <v>Оказание услуг по организации питания и обслуживания приглашенных лиц и делегаций при проведении мероприятий (завтраки, обеды, ужины и другие аналогичные мероприятия), связанных с официальными приемами Губернатора Ставропольского края, Правительства ...</v>
      </c>
      <c r="G1559" s="22" t="s">
        <v>87</v>
      </c>
      <c r="H1559" s="22" t="s">
        <v>686</v>
      </c>
      <c r="I1559" s="26">
        <v>43734.662499999999</v>
      </c>
      <c r="J1559" s="23" t="str">
        <f>HYPERLINK("https://www.spark-marketing.ru/Card/Person/51418", "ООО ""ВОСХОД""")</f>
        <v>ООО "ВОСХОД"</v>
      </c>
      <c r="K1559" s="24" t="s">
        <v>3062</v>
      </c>
      <c r="L1559" s="28" t="s">
        <v>51</v>
      </c>
      <c r="M1559" s="28" t="s">
        <v>51</v>
      </c>
      <c r="N1559" s="28" t="s">
        <v>51</v>
      </c>
    </row>
    <row r="1560" spans="1:14" x14ac:dyDescent="0.15">
      <c r="A1560" s="23" t="str">
        <f>HYPERLINK("https://www.spark-marketing.ru/Card/Person/4347644", "ФКП ""ЗАВОД ИМЕНИ Я.М.СВЕРДЛОВА""")</f>
        <v>ФКП "ЗАВОД ИМЕНИ Я.М.СВЕРДЛОВА"</v>
      </c>
      <c r="B1560" s="24" t="s">
        <v>3054</v>
      </c>
      <c r="C1560" s="25">
        <v>0</v>
      </c>
      <c r="D1560" s="22" t="s">
        <v>3063</v>
      </c>
      <c r="E1560" s="22" t="s">
        <v>3064</v>
      </c>
      <c r="F1560" s="23" t="str">
        <f>HYPERLINK("https://www.spark-marketing.ru/Card/Lot/73912372", "Услуги по поставке овощей и фруктов в санаторий - профилакторий «Ока». Расчет за оказанные услуги Заказчик производится в следующем порядке:- оплата в течение 10-ти банковских дней с даты подписания Сторонами актов выполненных работ.")</f>
        <v>Услуги по поставке овощей и фруктов в санаторий - профилакторий «Ока». Расчет за оказанные услуги Заказчик производится в следующем порядке:- оплата в течение 10-ти банковских дней с даты подписания Сторонами актов выполненных работ.</v>
      </c>
      <c r="G1560" s="22" t="s">
        <v>76</v>
      </c>
      <c r="H1560" s="22" t="s">
        <v>3057</v>
      </c>
      <c r="I1560" s="26">
        <v>43734</v>
      </c>
      <c r="J1560" s="28" t="s">
        <v>51</v>
      </c>
      <c r="K1560" s="28" t="s">
        <v>51</v>
      </c>
      <c r="L1560" s="28" t="s">
        <v>51</v>
      </c>
      <c r="M1560" s="28" t="s">
        <v>51</v>
      </c>
      <c r="N1560" s="28" t="s">
        <v>51</v>
      </c>
    </row>
    <row r="1561" spans="1:14" x14ac:dyDescent="0.15">
      <c r="A1561" s="23" t="str">
        <f>HYPERLINK("https://www.spark-marketing.ru/Card/Person/737290", "ГКУ «ЦБЗ ПРИ МИНЗДРАВЕ КАРЕЛИИ»")</f>
        <v>ГКУ «ЦБЗ ПРИ МИНЗДРАВЕ КАРЕЛИИ»</v>
      </c>
      <c r="B1561" s="24" t="s">
        <v>312</v>
      </c>
      <c r="C1561" s="25">
        <v>529192</v>
      </c>
      <c r="D1561" s="22" t="s">
        <v>3065</v>
      </c>
      <c r="E1561" s="22" t="s">
        <v>52</v>
      </c>
      <c r="F1561" s="23" t="str">
        <f>HYPERLINK("https://www.spark-marketing.ru/Card/Lot/73940467", "Поставка лекарственного препарата    Будесонид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рец...")</f>
        <v>Поставка лекарственного препарата    Будесонид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рец...</v>
      </c>
      <c r="G1561" s="22" t="s">
        <v>59</v>
      </c>
      <c r="H1561" s="22" t="s">
        <v>314</v>
      </c>
      <c r="I1561" s="26">
        <v>43734.634722222203</v>
      </c>
      <c r="J1561" s="28" t="s">
        <v>51</v>
      </c>
      <c r="K1561" s="28" t="s">
        <v>51</v>
      </c>
      <c r="L1561" s="28" t="s">
        <v>51</v>
      </c>
      <c r="M1561" s="28" t="s">
        <v>51</v>
      </c>
      <c r="N1561" s="28" t="s">
        <v>51</v>
      </c>
    </row>
    <row r="1562" spans="1:14" ht="12.75" hidden="1" outlineLevel="1" x14ac:dyDescent="0.2">
      <c r="A1562" s="23" t="str">
        <f>HYPERLINK("https://www.spark-marketing.ru/Card/Person/737290", "ГКУ «ЦБЗ ПРИ МИНЗДРАВЕ КАРЕЛИИ»")</f>
        <v>ГКУ «ЦБЗ ПРИ МИНЗДРАВЕ КАРЕЛИИ»</v>
      </c>
      <c r="B1562" s="24" t="s">
        <v>312</v>
      </c>
      <c r="C1562" s="25">
        <v>529192</v>
      </c>
      <c r="D1562" s="22" t="s">
        <v>3065</v>
      </c>
      <c r="E1562" s="22" t="s">
        <v>52</v>
      </c>
      <c r="F1562" s="23" t="str">
        <f>HYPERLINK("https://www.spark-marketing.ru/Card/Lot/73940467", "Поставка лекарственного препарата    Будесонид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рец...")</f>
        <v>Поставка лекарственного препарата    Будесонид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рец...</v>
      </c>
      <c r="G1562" s="22" t="s">
        <v>59</v>
      </c>
      <c r="H1562" s="22" t="s">
        <v>314</v>
      </c>
      <c r="I1562" s="26">
        <v>43734.634722222203</v>
      </c>
      <c r="J1562" s="23" t="str">
        <f>HYPERLINK("https://www.spark-marketing.ru/Card/Person/59893", "ООО ""ФАРМКОНТУР""")</f>
        <v>ООО "ФАРМКОНТУР"</v>
      </c>
      <c r="K1562" s="24" t="s">
        <v>3066</v>
      </c>
      <c r="L1562" s="22" t="s">
        <v>10</v>
      </c>
      <c r="M1562" s="25">
        <v>526546.04</v>
      </c>
      <c r="N1562" s="27">
        <v>5.0000000000000001E-3</v>
      </c>
    </row>
    <row r="1563" spans="1:14" hidden="1" outlineLevel="1" x14ac:dyDescent="0.2">
      <c r="A1563" s="23" t="str">
        <f>HYPERLINK("https://www.spark-marketing.ru/Card/Person/737290", "ГКУ «ЦБЗ ПРИ МИНЗДРАВЕ КАРЕЛИИ»")</f>
        <v>ГКУ «ЦБЗ ПРИ МИНЗДРАВЕ КАРЕЛИИ»</v>
      </c>
      <c r="B1563" s="24" t="s">
        <v>312</v>
      </c>
      <c r="C1563" s="25">
        <v>529192</v>
      </c>
      <c r="D1563" s="22" t="s">
        <v>3065</v>
      </c>
      <c r="E1563" s="22" t="s">
        <v>52</v>
      </c>
      <c r="F1563" s="23" t="str">
        <f>HYPERLINK("https://www.spark-marketing.ru/Card/Lot/73940467", "Поставка лекарственного препарата    Будесонид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рец...")</f>
        <v>Поставка лекарственного препарата    Будесонид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рец...</v>
      </c>
      <c r="G1563" s="22" t="s">
        <v>59</v>
      </c>
      <c r="H1563" s="22" t="s">
        <v>314</v>
      </c>
      <c r="I1563" s="26">
        <v>43734.634722222203</v>
      </c>
      <c r="J1563" s="23" t="str">
        <f>HYPERLINK("https://www.spark-marketing.ru/Card/Person/6231467", "ООО ""ОБЛФАРМ АЛЬЯНС""")</f>
        <v>ООО "ОБЛФАРМ АЛЬЯНС"</v>
      </c>
      <c r="K1563" s="24" t="s">
        <v>2175</v>
      </c>
      <c r="L1563" s="28" t="s">
        <v>51</v>
      </c>
      <c r="M1563" s="25">
        <v>526546.04</v>
      </c>
      <c r="N1563" s="27">
        <v>5.0000000000000001E-3</v>
      </c>
    </row>
    <row r="1564" spans="1:14" x14ac:dyDescent="0.15">
      <c r="A1564" s="23" t="str">
        <f>HYPERLINK("https://www.spark-marketing.ru/Card/Person/421325", "ОТДЕЛЕНИЕ МВД РОССИИ ПО БОЛЬШЕГЛУШИЦКОМУ РАЙОНУ")</f>
        <v>ОТДЕЛЕНИЕ МВД РОССИИ ПО БОЛЬШЕГЛУШИЦКОМУ РАЙОНУ</v>
      </c>
      <c r="B1564" s="24" t="s">
        <v>3067</v>
      </c>
      <c r="C1564" s="25">
        <v>70733</v>
      </c>
      <c r="D1564" s="22" t="s">
        <v>3068</v>
      </c>
      <c r="E1564" s="22" t="s">
        <v>48</v>
      </c>
      <c r="F1564" s="23" t="str">
        <f>HYPERLINK("https://www.spark-marketing.ru/Card/Lot/73911654", "Оказание услуг по организации питания (приготовлению и доставке) для ИВС, 354 усл. ед")</f>
        <v>Оказание услуг по организации питания (приготовлению и доставке) для ИВС, 354 усл. ед</v>
      </c>
      <c r="G1564" s="22" t="s">
        <v>128</v>
      </c>
      <c r="H1564" s="22" t="s">
        <v>3069</v>
      </c>
      <c r="I1564" s="26">
        <v>43734.662789351903</v>
      </c>
      <c r="J1564" s="28" t="s">
        <v>51</v>
      </c>
      <c r="K1564" s="28" t="s">
        <v>51</v>
      </c>
      <c r="L1564" s="28" t="s">
        <v>51</v>
      </c>
      <c r="M1564" s="28" t="s">
        <v>51</v>
      </c>
      <c r="N1564" s="28" t="s">
        <v>51</v>
      </c>
    </row>
    <row r="1565" spans="1:14" x14ac:dyDescent="0.15">
      <c r="A1565" s="23" t="str">
        <f>HYPERLINK("https://www.spark-marketing.ru/Card/Person/21172", "ГБУ СК ""ЦМП""")</f>
        <v>ГБУ СК "ЦМП"</v>
      </c>
      <c r="B1565" s="24" t="s">
        <v>1933</v>
      </c>
      <c r="C1565" s="25">
        <v>175500</v>
      </c>
      <c r="D1565" s="22" t="s">
        <v>3070</v>
      </c>
      <c r="E1565" s="22" t="s">
        <v>48</v>
      </c>
      <c r="F1565" s="23" t="str">
        <f>HYPERLINK("https://www.spark-marketing.ru/Card/Lot/73929013", "Оказание услуг по организации питания участников и организаторов XVI Ставропольского краевого лагеря студенческого актива «Лидеры Ставрополья. XXI век» для обеспечения государственных нужд Ставропольского края")</f>
        <v>Оказание услуг по организации питания участников и организаторов XVI Ставропольского краевого лагеря студенческого актива «Лидеры Ставрополья. XXI век» для обеспечения государственных нужд Ставропольского края</v>
      </c>
      <c r="G1565" s="22" t="s">
        <v>87</v>
      </c>
      <c r="H1565" s="22" t="s">
        <v>686</v>
      </c>
      <c r="I1565" s="26">
        <v>43734.620138888902</v>
      </c>
      <c r="J1565" s="23" t="str">
        <f>HYPERLINK("https://www.spark-marketing.ru/Card/Person/470036", "СМС")</f>
        <v>СМС</v>
      </c>
      <c r="K1565" s="24" t="s">
        <v>3071</v>
      </c>
      <c r="L1565" s="22" t="s">
        <v>10</v>
      </c>
      <c r="M1565" s="28" t="s">
        <v>51</v>
      </c>
      <c r="N1565" s="28" t="s">
        <v>51</v>
      </c>
    </row>
    <row r="1566" spans="1:14" x14ac:dyDescent="0.15">
      <c r="A1566" s="23" t="str">
        <f>HYPERLINK("https://www.spark-marketing.ru/Card/Person/99889", "МБОУ СОШ № 2 ИМ.В.Н. МИХАЙЛОВА")</f>
        <v>МБОУ СОШ № 2 ИМ.В.Н. МИХАЙЛОВА</v>
      </c>
      <c r="B1566" s="24" t="s">
        <v>3072</v>
      </c>
      <c r="C1566" s="25">
        <v>10209426</v>
      </c>
      <c r="D1566" s="22" t="s">
        <v>3073</v>
      </c>
      <c r="E1566" s="22" t="s">
        <v>48</v>
      </c>
      <c r="F1566" s="23" t="str">
        <f>HYPERLINK("https://www.spark-marketing.ru/Card/Lot/73945023", "на оказание услуг по организации горячего питания отдельным категориям обучающихся в МБОУ СОШ № 2")</f>
        <v>на оказание услуг по организации горячего питания отдельным категориям обучающихся в МБОУ СОШ № 2</v>
      </c>
      <c r="G1566" s="22" t="s">
        <v>49</v>
      </c>
      <c r="H1566" s="22" t="s">
        <v>301</v>
      </c>
      <c r="I1566" s="26">
        <v>43734.586805555598</v>
      </c>
      <c r="J1566" s="28" t="s">
        <v>51</v>
      </c>
      <c r="K1566" s="28" t="s">
        <v>51</v>
      </c>
      <c r="L1566" s="28" t="s">
        <v>51</v>
      </c>
      <c r="M1566" s="28" t="s">
        <v>51</v>
      </c>
      <c r="N1566" s="28" t="s">
        <v>51</v>
      </c>
    </row>
    <row r="1567" spans="1:14" x14ac:dyDescent="0.15">
      <c r="A1567" s="23" t="str">
        <f>HYPERLINK("https://www.spark-marketing.ru/Card/Person/104378", "МБДОУ ДЕТСКИЙ САД №33 ""ЖЕМЧУЖИНКА"" КОМБИНИРОВАННОГО ВИДА")</f>
        <v>МБДОУ ДЕТСКИЙ САД №33 "ЖЕМЧУЖИНКА" КОМБИНИРОВАННОГО ВИДА</v>
      </c>
      <c r="B1567" s="24" t="s">
        <v>3074</v>
      </c>
      <c r="C1567" s="25">
        <v>17620440</v>
      </c>
      <c r="D1567" s="22" t="s">
        <v>3075</v>
      </c>
      <c r="E1567" s="22" t="s">
        <v>48</v>
      </c>
      <c r="F1567" s="23" t="str">
        <f>HYPERLINK("https://www.spark-marketing.ru/Card/Lot/73945157",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</v>
      </c>
      <c r="G1567" s="22" t="s">
        <v>49</v>
      </c>
      <c r="H1567" s="22" t="s">
        <v>2508</v>
      </c>
      <c r="I1567" s="26">
        <v>43734.598611111098</v>
      </c>
      <c r="J1567" s="28" t="s">
        <v>51</v>
      </c>
      <c r="K1567" s="28" t="s">
        <v>51</v>
      </c>
      <c r="L1567" s="28" t="s">
        <v>51</v>
      </c>
      <c r="M1567" s="28" t="s">
        <v>51</v>
      </c>
      <c r="N1567" s="28" t="s">
        <v>51</v>
      </c>
    </row>
    <row r="1568" spans="1:14" x14ac:dyDescent="0.15">
      <c r="A1568" s="23" t="str">
        <f>HYPERLINK("https://www.spark-marketing.ru/Card/Person/163598", "ОТДЕЛ МВД РОССИИ ПО ГЕОРГИЕВСКОМУ ГОРОДСКОМУ ОКРУГУ")</f>
        <v>ОТДЕЛ МВД РОССИИ ПО ГЕОРГИЕВСКОМУ ГОРОДСКОМУ ОКРУГУ</v>
      </c>
      <c r="B1568" s="24" t="s">
        <v>3076</v>
      </c>
      <c r="C1568" s="25">
        <v>470652</v>
      </c>
      <c r="D1568" s="22" t="s">
        <v>3077</v>
      </c>
      <c r="E1568" s="22" t="s">
        <v>48</v>
      </c>
      <c r="F1568" s="23" t="str">
        <f>HYPERLINK("https://www.spark-marketing.ru/Card/Lot/73933029", "Оказание услуг по организации питания лиц, содержащихся в ИВС и Спецприемнике")</f>
        <v>Оказание услуг по организации питания лиц, содержащихся в ИВС и Спецприемнике</v>
      </c>
      <c r="G1568" s="22" t="s">
        <v>87</v>
      </c>
      <c r="H1568" s="22" t="s">
        <v>3078</v>
      </c>
      <c r="I1568" s="26">
        <v>43734.583333333299</v>
      </c>
      <c r="J1568" s="23" t="str">
        <f>HYPERLINK("https://www.spark-marketing.ru/Card/Person/6489237", "Лихоманова Галина Михайловна")</f>
        <v>Лихоманова Галина Михайловна</v>
      </c>
      <c r="K1568" s="24" t="s">
        <v>3079</v>
      </c>
      <c r="L1568" s="22" t="s">
        <v>10</v>
      </c>
      <c r="M1568" s="28" t="s">
        <v>51</v>
      </c>
      <c r="N1568" s="28" t="s">
        <v>51</v>
      </c>
    </row>
    <row r="1569" spans="1:14" x14ac:dyDescent="0.15">
      <c r="A1569" s="23" t="str">
        <f>HYPERLINK("https://www.spark-marketing.ru/Card/Person/737290", "ГКУ «ЦБЗ ПРИ МИНЗДРАВЕ КАРЕЛИИ»")</f>
        <v>ГКУ «ЦБЗ ПРИ МИНЗДРАВЕ КАРЕЛИИ»</v>
      </c>
      <c r="B1569" s="24" t="s">
        <v>312</v>
      </c>
      <c r="C1569" s="25">
        <v>849812</v>
      </c>
      <c r="D1569" s="22" t="s">
        <v>3080</v>
      </c>
      <c r="E1569" s="22" t="s">
        <v>52</v>
      </c>
      <c r="F1569" s="23" t="str">
        <f>HYPERLINK("https://www.spark-marketing.ru/Card/Lot/73934578", "Поставка  лекарственного препарата   Иммуноглобулин человека нормальный 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ме...")</f>
        <v>Поставка  лекарственного препарата   Иммуноглобулин человека нормальный 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ме...</v>
      </c>
      <c r="G1569" s="22" t="s">
        <v>59</v>
      </c>
      <c r="H1569" s="22" t="s">
        <v>314</v>
      </c>
      <c r="I1569" s="26">
        <v>43734.611111111102</v>
      </c>
      <c r="J1569" s="23" t="str">
        <f>HYPERLINK("https://www.spark-marketing.ru/Card/Person/6073224", "ООО ""ЛЕКСТОР""")</f>
        <v>ООО "ЛЕКСТОР"</v>
      </c>
      <c r="K1569" s="24" t="s">
        <v>2797</v>
      </c>
      <c r="L1569" s="22" t="s">
        <v>10</v>
      </c>
      <c r="M1569" s="28" t="s">
        <v>51</v>
      </c>
      <c r="N1569" s="28" t="s">
        <v>51</v>
      </c>
    </row>
    <row r="1570" spans="1:14" x14ac:dyDescent="0.15">
      <c r="A1570" s="23" t="str">
        <f>HYPERLINK("https://www.spark-marketing.ru/Card/Person/94892", "МБОУ СОШ № 1")</f>
        <v>МБОУ СОШ № 1</v>
      </c>
      <c r="B1570" s="24" t="s">
        <v>3081</v>
      </c>
      <c r="C1570" s="25">
        <v>13233608</v>
      </c>
      <c r="D1570" s="22" t="s">
        <v>3082</v>
      </c>
      <c r="E1570" s="22" t="s">
        <v>48</v>
      </c>
      <c r="F1570" s="23" t="str">
        <f>HYPERLINK("https://www.spark-marketing.ru/Card/Lot/73945152", "Оказание услуг по организации горячего питания отдельным категориям обучающихся")</f>
        <v>Оказание услуг по организации горячего питания отдельным категориям обучающихся</v>
      </c>
      <c r="G1570" s="22" t="s">
        <v>49</v>
      </c>
      <c r="H1570" s="22" t="s">
        <v>301</v>
      </c>
      <c r="I1570" s="26">
        <v>43734.614583333299</v>
      </c>
      <c r="J1570" s="28" t="s">
        <v>51</v>
      </c>
      <c r="K1570" s="28" t="s">
        <v>51</v>
      </c>
      <c r="L1570" s="28" t="s">
        <v>51</v>
      </c>
      <c r="M1570" s="28" t="s">
        <v>51</v>
      </c>
      <c r="N1570" s="28" t="s">
        <v>51</v>
      </c>
    </row>
    <row r="1571" spans="1:14" x14ac:dyDescent="0.15">
      <c r="A1571" s="23" t="str">
        <f>HYPERLINK("https://www.spark-marketing.ru/Card/Person/737290", "ГКУ «ЦБЗ ПРИ МИНЗДРАВЕ КАРЕЛИИ»")</f>
        <v>ГКУ «ЦБЗ ПРИ МИНЗДРАВЕ КАРЕЛИИ»</v>
      </c>
      <c r="B1571" s="24" t="s">
        <v>312</v>
      </c>
      <c r="C1571" s="25">
        <v>64293</v>
      </c>
      <c r="D1571" s="22" t="s">
        <v>3083</v>
      </c>
      <c r="E1571" s="22" t="s">
        <v>52</v>
      </c>
      <c r="F1571" s="23" t="str">
        <f>HYPERLINK("https://www.spark-marketing.ru/Card/Lot/73923284", "Поставка лекарственных препаратов Тиоридазин,  Зопиклон,  Цетиризин 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препараты,...")</f>
        <v>Поставка лекарственных препаратов Тиоридазин,  Зопиклон,  Цетиризин 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препараты,...</v>
      </c>
      <c r="G1571" s="22" t="s">
        <v>59</v>
      </c>
      <c r="H1571" s="22" t="s">
        <v>314</v>
      </c>
      <c r="I1571" s="26">
        <v>43734.594444444403</v>
      </c>
      <c r="J1571" s="23" t="str">
        <f>HYPERLINK("https://www.spark-marketing.ru/Card/Person/72890", "ГУП РК ""КАРЕЛФАРМ""")</f>
        <v>ГУП РК "КАРЕЛФАРМ"</v>
      </c>
      <c r="K1571" s="24" t="s">
        <v>1668</v>
      </c>
      <c r="L1571" s="22" t="s">
        <v>10</v>
      </c>
      <c r="M1571" s="28" t="s">
        <v>51</v>
      </c>
      <c r="N1571" s="28" t="s">
        <v>51</v>
      </c>
    </row>
    <row r="1572" spans="1:14" x14ac:dyDescent="0.15">
      <c r="A1572" s="23" t="str">
        <f>HYPERLINK("https://www.spark-marketing.ru/Card/Person/18265", "БУЗОО ""ДГБ № 4""")</f>
        <v>БУЗОО "ДГБ № 4"</v>
      </c>
      <c r="B1572" s="24" t="s">
        <v>3084</v>
      </c>
      <c r="C1572" s="25">
        <v>79800</v>
      </c>
      <c r="D1572" s="22" t="s">
        <v>3085</v>
      </c>
      <c r="E1572" s="22" t="s">
        <v>48</v>
      </c>
      <c r="F1572" s="23" t="str">
        <f>HYPERLINK("https://www.spark-marketing.ru/Card/Lot/73925273", "Оказание услуг по организации питания для пациентов, находящихся на стационарном лечении (основной вариант стандартной диеты)")</f>
        <v>Оказание услуг по организации питания для пациентов, находящихся на стационарном лечении (основной вариант стандартной диеты)</v>
      </c>
      <c r="G1572" s="22" t="s">
        <v>487</v>
      </c>
      <c r="H1572" s="22" t="s">
        <v>488</v>
      </c>
      <c r="I1572" s="26">
        <v>43734.622916666704</v>
      </c>
      <c r="J1572" s="23" t="str">
        <f>HYPERLINK("https://www.spark-marketing.ru/Card/Person/6517471", "Белов Николай Михайлович")</f>
        <v>Белов Николай Михайлович</v>
      </c>
      <c r="K1572" s="24" t="s">
        <v>3086</v>
      </c>
      <c r="L1572" s="22" t="s">
        <v>10</v>
      </c>
      <c r="M1572" s="28" t="s">
        <v>51</v>
      </c>
      <c r="N1572" s="28" t="s">
        <v>51</v>
      </c>
    </row>
    <row r="1573" spans="1:14" x14ac:dyDescent="0.15">
      <c r="A1573" s="23" t="str">
        <f>HYPERLINK("https://www.spark-marketing.ru/Card/Person/737290", "ГКУ «ЦБЗ ПРИ МИНЗДРАВЕ КАРЕЛИИ»")</f>
        <v>ГКУ «ЦБЗ ПРИ МИНЗДРАВЕ КАРЕЛИИ»</v>
      </c>
      <c r="B1573" s="24" t="s">
        <v>312</v>
      </c>
      <c r="C1573" s="25">
        <v>62647.5</v>
      </c>
      <c r="D1573" s="22" t="s">
        <v>3087</v>
      </c>
      <c r="E1573" s="22" t="s">
        <v>52</v>
      </c>
      <c r="F1573" s="23" t="str">
        <f>HYPERLINK("https://www.spark-marketing.ru/Card/Lot/73923331", "Поставка лекарственных препаратов Доксазозин; Дексаметазон,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медицинс...")</f>
        <v>Поставка лекарственных препаратов Доксазозин; Дексаметазон,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медицинс...</v>
      </c>
      <c r="G1573" s="22" t="s">
        <v>59</v>
      </c>
      <c r="H1573" s="22" t="s">
        <v>314</v>
      </c>
      <c r="I1573" s="26">
        <v>43734.594444444403</v>
      </c>
      <c r="J1573" s="28" t="s">
        <v>51</v>
      </c>
      <c r="K1573" s="28" t="s">
        <v>51</v>
      </c>
      <c r="L1573" s="28" t="s">
        <v>51</v>
      </c>
      <c r="M1573" s="28" t="s">
        <v>51</v>
      </c>
      <c r="N1573" s="28" t="s">
        <v>51</v>
      </c>
    </row>
    <row r="1574" spans="1:14" x14ac:dyDescent="0.15">
      <c r="A1574" s="23" t="str">
        <f>HYPERLINK("https://www.spark-marketing.ru/Card/Person/121058", "МБОУ СОШ № 22")</f>
        <v>МБОУ СОШ № 22</v>
      </c>
      <c r="B1574" s="24" t="s">
        <v>3088</v>
      </c>
      <c r="C1574" s="25">
        <v>2946474</v>
      </c>
      <c r="D1574" s="22" t="s">
        <v>3089</v>
      </c>
      <c r="E1574" s="22" t="s">
        <v>48</v>
      </c>
      <c r="F1574" s="23" t="str">
        <f>HYPERLINK("https://www.spark-marketing.ru/Card/Lot/73941848", "Оказание услуг по организации горячего питания отдельным категориям обучающихся")</f>
        <v>Оказание услуг по организации горячего питания отдельным категориям обучающихся</v>
      </c>
      <c r="G1574" s="22" t="s">
        <v>49</v>
      </c>
      <c r="H1574" s="22" t="s">
        <v>301</v>
      </c>
      <c r="I1574" s="26">
        <v>43734.615277777797</v>
      </c>
      <c r="J1574" s="28" t="s">
        <v>51</v>
      </c>
      <c r="K1574" s="28" t="s">
        <v>51</v>
      </c>
      <c r="L1574" s="28" t="s">
        <v>51</v>
      </c>
      <c r="M1574" s="28" t="s">
        <v>51</v>
      </c>
      <c r="N1574" s="28" t="s">
        <v>51</v>
      </c>
    </row>
    <row r="1575" spans="1:14" x14ac:dyDescent="0.15">
      <c r="A1575" s="23" t="str">
        <f>HYPERLINK("https://www.spark-marketing.ru/Card/Person/737290", "ГКУ «ЦБЗ ПРИ МИНЗДРАВЕ КАРЕЛИИ»")</f>
        <v>ГКУ «ЦБЗ ПРИ МИНЗДРАВЕ КАРЕЛИИ»</v>
      </c>
      <c r="B1575" s="24" t="s">
        <v>312</v>
      </c>
      <c r="C1575" s="25">
        <v>12852</v>
      </c>
      <c r="D1575" s="22" t="s">
        <v>3090</v>
      </c>
      <c r="E1575" s="22" t="s">
        <v>52</v>
      </c>
      <c r="F1575" s="23" t="str">
        <f>HYPERLINK("https://www.spark-marketing.ru/Card/Lot/73913498", "Поставка лекарственных препаратов    Преднизолон,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издел...")</f>
        <v>Поставка лекарственных препаратов    Преднизолон,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издел...</v>
      </c>
      <c r="G1575" s="22" t="s">
        <v>59</v>
      </c>
      <c r="H1575" s="22" t="s">
        <v>314</v>
      </c>
      <c r="I1575" s="26">
        <v>43734.594444444403</v>
      </c>
      <c r="J1575" s="28" t="s">
        <v>51</v>
      </c>
      <c r="K1575" s="28" t="s">
        <v>51</v>
      </c>
      <c r="L1575" s="28" t="s">
        <v>51</v>
      </c>
      <c r="M1575" s="28" t="s">
        <v>51</v>
      </c>
      <c r="N1575" s="28" t="s">
        <v>51</v>
      </c>
    </row>
    <row r="1576" spans="1:14" x14ac:dyDescent="0.15">
      <c r="A1576" s="23" t="str">
        <f>HYPERLINK("https://www.spark-marketing.ru/Card/Person/88720", "МБОУ ПСОШ № 2 ИМ. М.Ф. ТИХОНОВА")</f>
        <v>МБОУ ПСОШ № 2 ИМ. М.Ф. ТИХОНОВА</v>
      </c>
      <c r="B1576" s="24" t="s">
        <v>3091</v>
      </c>
      <c r="C1576" s="25">
        <v>6194262</v>
      </c>
      <c r="D1576" s="22" t="s">
        <v>3092</v>
      </c>
      <c r="E1576" s="22" t="s">
        <v>48</v>
      </c>
      <c r="F1576" s="23" t="str">
        <f>HYPERLINK("https://www.spark-marketing.ru/Card/Lot/73944699", "на оказание услуг по организации горячего питания отдельным категориям обучающихся в МБОУ ПСОШ № 2 им. М.Ф. Тихонова")</f>
        <v>на оказание услуг по организации горячего питания отдельным категориям обучающихся в МБОУ ПСОШ № 2 им. М.Ф. Тихонова</v>
      </c>
      <c r="G1576" s="22" t="s">
        <v>49</v>
      </c>
      <c r="H1576" s="22" t="s">
        <v>301</v>
      </c>
      <c r="I1576" s="26">
        <v>43734.586111111101</v>
      </c>
      <c r="J1576" s="28" t="s">
        <v>51</v>
      </c>
      <c r="K1576" s="28" t="s">
        <v>51</v>
      </c>
      <c r="L1576" s="28" t="s">
        <v>51</v>
      </c>
      <c r="M1576" s="28" t="s">
        <v>51</v>
      </c>
      <c r="N1576" s="28" t="s">
        <v>51</v>
      </c>
    </row>
    <row r="1577" spans="1:14" x14ac:dyDescent="0.15">
      <c r="A1577" s="23" t="str">
        <f>HYPERLINK("https://www.spark-marketing.ru/Card/Person/6441001", "ГБУЗ ПК ""КБ ИМ. ВАГНЕРА Е.А."" Г. БЕРЕЗНИКИ")</f>
        <v>ГБУЗ ПК "КБ ИМ. ВАГНЕРА Е.А." Г. БЕРЕЗНИКИ</v>
      </c>
      <c r="B1577" s="24" t="s">
        <v>2602</v>
      </c>
      <c r="C1577" s="25">
        <v>391000</v>
      </c>
      <c r="D1577" s="22" t="s">
        <v>3093</v>
      </c>
      <c r="E1577" s="22" t="s">
        <v>96</v>
      </c>
      <c r="F1577" s="23" t="str">
        <f>HYPERLINK("https://www.spark-marketing.ru/Card/Lot/73931618", "На оказание услуг по приготовлению и доставке ежедневного дополнительного питания (по родовым сертификатам)для пациентов ГБУЗ ПК ""КБ им. Вагнера Е.А."" г.Березники""")</f>
        <v>На оказание услуг по приготовлению и доставке ежедневного дополнительного питания (по родовым сертификатам)для пациентов ГБУЗ ПК "КБ им. Вагнера Е.А." г.Березники"</v>
      </c>
      <c r="G1577" s="22" t="s">
        <v>153</v>
      </c>
      <c r="H1577" s="22" t="s">
        <v>153</v>
      </c>
      <c r="I1577" s="26">
        <v>43734.609027777798</v>
      </c>
      <c r="J1577" s="23" t="str">
        <f>HYPERLINK("https://www.spark-marketing.ru/Card/Person/52326", "Токарева Оксана Вячеславовна")</f>
        <v>Токарева Оксана Вячеславовна</v>
      </c>
      <c r="K1577" s="24" t="s">
        <v>1845</v>
      </c>
      <c r="L1577" s="22" t="s">
        <v>10</v>
      </c>
      <c r="M1577" s="28" t="s">
        <v>51</v>
      </c>
      <c r="N1577" s="28" t="s">
        <v>51</v>
      </c>
    </row>
    <row r="1578" spans="1:14" x14ac:dyDescent="0.15">
      <c r="A1578" s="23" t="str">
        <f>HYPERLINK("https://www.spark-marketing.ru/Card/Person/1338433", "МАОУ ГИМНАЗИЯ ""РОССИЙСКАЯ ШКОЛА""")</f>
        <v>МАОУ ГИМНАЗИЯ "РОССИЙСКАЯ ШКОЛА"</v>
      </c>
      <c r="B1578" s="24" t="s">
        <v>3094</v>
      </c>
      <c r="C1578" s="25">
        <v>5742982</v>
      </c>
      <c r="D1578" s="22" t="s">
        <v>3095</v>
      </c>
      <c r="E1578" s="22" t="s">
        <v>48</v>
      </c>
      <c r="F1578" s="23" t="str">
        <f>HYPERLINK("https://www.spark-marketing.ru/Card/Lot/73944698", "Оказание услуг по организации горячего питания отдельным категориям обучающихся")</f>
        <v>Оказание услуг по организации горячего питания отдельным категориям обучающихся</v>
      </c>
      <c r="G1578" s="22" t="s">
        <v>49</v>
      </c>
      <c r="H1578" s="22" t="s">
        <v>301</v>
      </c>
      <c r="I1578" s="26">
        <v>43734.586111111101</v>
      </c>
      <c r="J1578" s="28" t="s">
        <v>51</v>
      </c>
      <c r="K1578" s="28" t="s">
        <v>51</v>
      </c>
      <c r="L1578" s="28" t="s">
        <v>51</v>
      </c>
      <c r="M1578" s="28" t="s">
        <v>51</v>
      </c>
      <c r="N1578" s="28" t="s">
        <v>51</v>
      </c>
    </row>
    <row r="1579" spans="1:14" x14ac:dyDescent="0.15">
      <c r="A1579" s="23" t="str">
        <f>HYPERLINK("https://www.spark-marketing.ru/Card/Person/109392", "МЕЖМУНИЦИПАЛЬНЫЙ ОТДЕЛ МВД РОССИИ ""МИНУСИНСКИЙ""")</f>
        <v>МЕЖМУНИЦИПАЛЬНЫЙ ОТДЕЛ МВД РОССИИ "МИНУСИНСКИЙ"</v>
      </c>
      <c r="B1579" s="24" t="s">
        <v>3096</v>
      </c>
      <c r="C1579" s="25">
        <v>24900</v>
      </c>
      <c r="D1579" s="22" t="s">
        <v>3097</v>
      </c>
      <c r="E1579" s="22" t="s">
        <v>96</v>
      </c>
      <c r="F1579" s="23" t="str">
        <f>HYPERLINK("https://www.spark-marketing.ru/Card/Lot/73907931", "Услуга по питанию, 1 шт")</f>
        <v>Услуга по питанию, 1 шт</v>
      </c>
      <c r="G1579" s="22" t="s">
        <v>281</v>
      </c>
      <c r="H1579" s="22" t="s">
        <v>3098</v>
      </c>
      <c r="I1579" s="26">
        <v>43734.568368055603</v>
      </c>
      <c r="J1579" s="28" t="s">
        <v>51</v>
      </c>
      <c r="K1579" s="28" t="s">
        <v>51</v>
      </c>
      <c r="L1579" s="28" t="s">
        <v>51</v>
      </c>
      <c r="M1579" s="28" t="s">
        <v>51</v>
      </c>
      <c r="N1579" s="28" t="s">
        <v>51</v>
      </c>
    </row>
    <row r="1580" spans="1:14" x14ac:dyDescent="0.15">
      <c r="A1580" s="23" t="str">
        <f>HYPERLINK("https://www.spark-marketing.ru/Card/Person/4348836", "ГОСКОМИТЕТ РБ ПО ТОРГОВЛЕ")</f>
        <v>ГОСКОМИТЕТ РБ ПО ТОРГОВЛЕ</v>
      </c>
      <c r="B1580" s="24" t="s">
        <v>2090</v>
      </c>
      <c r="C1580" s="25">
        <v>630000</v>
      </c>
      <c r="D1580" s="22" t="s">
        <v>3099</v>
      </c>
      <c r="E1580" s="22" t="s">
        <v>67</v>
      </c>
      <c r="F1580" s="23" t="str">
        <f>HYPERLINK("https://www.spark-marketing.ru/Card/Lot/73933860", "Оказание услуг по организация питания участников IT-форума «Смарт-регион» в г.Уфе")</f>
        <v>Оказание услуг по организация питания участников IT-форума «Смарт-регион» в г.Уфе</v>
      </c>
      <c r="G1580" s="22" t="s">
        <v>145</v>
      </c>
      <c r="H1580" s="22" t="s">
        <v>436</v>
      </c>
      <c r="I1580" s="26">
        <v>43734.652777777803</v>
      </c>
      <c r="J1580" s="28" t="s">
        <v>51</v>
      </c>
      <c r="K1580" s="28" t="s">
        <v>51</v>
      </c>
      <c r="L1580" s="28" t="s">
        <v>51</v>
      </c>
      <c r="M1580" s="28" t="s">
        <v>51</v>
      </c>
      <c r="N1580" s="28" t="s">
        <v>51</v>
      </c>
    </row>
    <row r="1581" spans="1:14" x14ac:dyDescent="0.15">
      <c r="A1581" s="23" t="str">
        <f>HYPERLINK("https://www.spark-marketing.ru/Card/Person/6624188", "СЛУЖБА ФИНАНСОВО ХОЗЯЙСТВЕННОГО УПРАВЛЕНИЯ СЕВЕРО КАВКАЗСКОЙ ЖЕЛЕЗНОЙ ДОРОГИ ФЛ ОАО РЖД")</f>
        <v>СЛУЖБА ФИНАНСОВО ХОЗЯЙСТВЕННОГО УПРАВЛЕНИЯ СЕВЕРО КАВКАЗСКОЙ ЖЕЛЕЗНОЙ ДОРОГИ ФЛ ОАО РЖД</v>
      </c>
      <c r="B1581" s="24" t="s">
        <v>330</v>
      </c>
      <c r="C1581" s="25">
        <v>88956</v>
      </c>
      <c r="D1581" s="28" t="s">
        <v>51</v>
      </c>
      <c r="E1581" s="22" t="s">
        <v>437</v>
      </c>
      <c r="F1581" s="23" t="str">
        <f>HYPERLINK("https://www.spark-marketing.ru/Card/Lot/73907222", "№27932 Оказание услуг по лабораторному контролю качества питьевой воды и проведению лабораторно-инструментальных исследований, санитарно- эпидемиологической экспертизы по установлению соответствия характеристики испытуемого объекта")</f>
        <v>№27932 Оказание услуг по лабораторному контролю качества питьевой воды и проведению лабораторно-инструментальных исследований, санитарно- эпидемиологической экспертизы по установлению соответствия характеристики испытуемого объекта</v>
      </c>
      <c r="G1581" s="22" t="s">
        <v>51</v>
      </c>
      <c r="H1581" s="22" t="s">
        <v>51</v>
      </c>
      <c r="I1581" s="26">
        <v>43734.542488425897</v>
      </c>
      <c r="J1581" s="28" t="s">
        <v>51</v>
      </c>
      <c r="K1581" s="28" t="s">
        <v>51</v>
      </c>
      <c r="L1581" s="28" t="s">
        <v>51</v>
      </c>
      <c r="M1581" s="28" t="s">
        <v>51</v>
      </c>
      <c r="N1581" s="28" t="s">
        <v>51</v>
      </c>
    </row>
    <row r="1582" spans="1:14" x14ac:dyDescent="0.15">
      <c r="A1582" s="23" t="str">
        <f>HYPERLINK("https://www.spark-marketing.ru/Card/Person/8770", "ГБУ ""ЛТМ ПРИ ПБ № 3 ДЗМ""")</f>
        <v>ГБУ "ЛТМ ПРИ ПБ № 3 ДЗМ"</v>
      </c>
      <c r="B1582" s="24" t="s">
        <v>3100</v>
      </c>
      <c r="C1582" s="25">
        <v>1384422</v>
      </c>
      <c r="D1582" s="22" t="s">
        <v>3101</v>
      </c>
      <c r="E1582" s="22" t="s">
        <v>96</v>
      </c>
      <c r="F1582" s="23" t="str">
        <f>HYPERLINK("https://www.spark-marketing.ru/Card/Lot/73956150", "Аукцион в электронной форме на право заключения государственного контракта на оказание услуг по организации питания для ГБУ ""ЛТМ при ПБ № 3 ДЗМ"" в 4 квартале 2019 года")</f>
        <v>Аукцион в электронной форме на право заключения государственного контракта на оказание услуг по организации питания для ГБУ "ЛТМ при ПБ № 3 ДЗМ" в 4 квартале 2019 года</v>
      </c>
      <c r="G1582" s="22" t="s">
        <v>56</v>
      </c>
      <c r="H1582" s="22" t="s">
        <v>56</v>
      </c>
      <c r="I1582" s="26">
        <v>43734.5485416667</v>
      </c>
      <c r="J1582" s="28" t="s">
        <v>51</v>
      </c>
      <c r="K1582" s="28" t="s">
        <v>51</v>
      </c>
      <c r="L1582" s="28" t="s">
        <v>51</v>
      </c>
      <c r="M1582" s="28" t="s">
        <v>51</v>
      </c>
      <c r="N1582" s="28" t="s">
        <v>51</v>
      </c>
    </row>
    <row r="1583" spans="1:14" ht="12.75" hidden="1" outlineLevel="1" x14ac:dyDescent="0.2">
      <c r="A1583" s="23" t="str">
        <f>HYPERLINK("https://www.spark-marketing.ru/Card/Person/8770", "ГБУ ""ЛТМ ПРИ ПБ № 3 ДЗМ""")</f>
        <v>ГБУ "ЛТМ ПРИ ПБ № 3 ДЗМ"</v>
      </c>
      <c r="B1583" s="24" t="s">
        <v>3100</v>
      </c>
      <c r="C1583" s="25">
        <v>1384422</v>
      </c>
      <c r="D1583" s="22" t="s">
        <v>3101</v>
      </c>
      <c r="E1583" s="22" t="s">
        <v>96</v>
      </c>
      <c r="F1583" s="23" t="str">
        <f>HYPERLINK("https://www.spark-marketing.ru/Card/Lot/73956150", "Аукцион в электронной форме на право заключения государственного контракта на оказание услуг по организации питания для ГБУ ""ЛТМ при ПБ № 3 ДЗМ"" в 4 квартале 2019 года")</f>
        <v>Аукцион в электронной форме на право заключения государственного контракта на оказание услуг по организации питания для ГБУ "ЛТМ при ПБ № 3 ДЗМ" в 4 квартале 2019 года</v>
      </c>
      <c r="G1583" s="22" t="s">
        <v>56</v>
      </c>
      <c r="H1583" s="22" t="s">
        <v>56</v>
      </c>
      <c r="I1583" s="26">
        <v>43734.5485416667</v>
      </c>
      <c r="J1583" s="23" t="str">
        <f>HYPERLINK("https://www.spark-marketing.ru/Card/Person/6578901", "ООО ""ДОРОГА""")</f>
        <v>ООО "ДОРОГА"</v>
      </c>
      <c r="K1583" s="24" t="s">
        <v>3102</v>
      </c>
      <c r="L1583" s="22" t="s">
        <v>10</v>
      </c>
      <c r="M1583" s="25">
        <v>1239057.69</v>
      </c>
      <c r="N1583" s="27">
        <v>0.105</v>
      </c>
    </row>
    <row r="1584" spans="1:14" hidden="1" outlineLevel="1" x14ac:dyDescent="0.2">
      <c r="A1584" s="23" t="str">
        <f>HYPERLINK("https://www.spark-marketing.ru/Card/Person/8770", "ГБУ ""ЛТМ ПРИ ПБ № 3 ДЗМ""")</f>
        <v>ГБУ "ЛТМ ПРИ ПБ № 3 ДЗМ"</v>
      </c>
      <c r="B1584" s="24" t="s">
        <v>3100</v>
      </c>
      <c r="C1584" s="25">
        <v>1384422</v>
      </c>
      <c r="D1584" s="22" t="s">
        <v>3101</v>
      </c>
      <c r="E1584" s="22" t="s">
        <v>96</v>
      </c>
      <c r="F1584" s="23" t="str">
        <f>HYPERLINK("https://www.spark-marketing.ru/Card/Lot/73956150", "Аукцион в электронной форме на право заключения государственного контракта на оказание услуг по организации питания для ГБУ ""ЛТМ при ПБ № 3 ДЗМ"" в 4 квартале 2019 года")</f>
        <v>Аукцион в электронной форме на право заключения государственного контракта на оказание услуг по организации питания для ГБУ "ЛТМ при ПБ № 3 ДЗМ" в 4 квартале 2019 года</v>
      </c>
      <c r="G1584" s="22" t="s">
        <v>56</v>
      </c>
      <c r="H1584" s="22" t="s">
        <v>56</v>
      </c>
      <c r="I1584" s="26">
        <v>43734.5485416667</v>
      </c>
      <c r="J1584" s="23" t="str">
        <f>HYPERLINK("https://www.spark-marketing.ru/Card/Person/90084", "ООО ""ВКУСНЫЙ ВЫБОР""")</f>
        <v>ООО "ВКУСНЫЙ ВЫБОР"</v>
      </c>
      <c r="K1584" s="24" t="s">
        <v>3103</v>
      </c>
      <c r="L1584" s="28" t="s">
        <v>51</v>
      </c>
      <c r="M1584" s="25">
        <v>1245979.8</v>
      </c>
      <c r="N1584" s="27">
        <v>0.1</v>
      </c>
    </row>
    <row r="1585" spans="1:14" x14ac:dyDescent="0.15">
      <c r="A1585" s="23" t="str">
        <f>HYPERLINK("https://www.spark-marketing.ru/Card/Person/1075080", "МО МВД РОССИИ ""СОСКОВСКОЕ""")</f>
        <v>МО МВД РОССИИ "СОСКОВСКОЕ"</v>
      </c>
      <c r="B1585" s="24" t="s">
        <v>3104</v>
      </c>
      <c r="C1585" s="25">
        <v>5000</v>
      </c>
      <c r="D1585" s="22" t="s">
        <v>3105</v>
      </c>
      <c r="E1585" s="22" t="s">
        <v>48</v>
      </c>
      <c r="F1585" s="23" t="str">
        <f>HYPERLINK("https://www.spark-marketing.ru/Card/Lot/73907428", "Услуги общественного питания, 20 усл. ед")</f>
        <v>Услуги общественного питания, 20 усл. ед</v>
      </c>
      <c r="G1585" s="22" t="s">
        <v>1066</v>
      </c>
      <c r="H1585" s="22" t="s">
        <v>3106</v>
      </c>
      <c r="I1585" s="26">
        <v>43734.553599537001</v>
      </c>
      <c r="J1585" s="28" t="s">
        <v>51</v>
      </c>
      <c r="K1585" s="28" t="s">
        <v>51</v>
      </c>
      <c r="L1585" s="28" t="s">
        <v>51</v>
      </c>
      <c r="M1585" s="28" t="s">
        <v>51</v>
      </c>
      <c r="N1585" s="28" t="s">
        <v>51</v>
      </c>
    </row>
    <row r="1586" spans="1:14" x14ac:dyDescent="0.15">
      <c r="A1586" s="23" t="str">
        <f>HYPERLINK("https://www.spark-marketing.ru/Card/Person/4348382", "ООО ""ГАЗПРОМ ПИТАНИЕ""")</f>
        <v>ООО "ГАЗПРОМ ПИТАНИЕ"</v>
      </c>
      <c r="B1586" s="24" t="s">
        <v>2869</v>
      </c>
      <c r="C1586" s="25">
        <v>8400</v>
      </c>
      <c r="D1586" s="22" t="s">
        <v>3107</v>
      </c>
      <c r="E1586" s="22" t="s">
        <v>52</v>
      </c>
      <c r="F1586" s="23" t="str">
        <f>HYPERLINK("https://www.spark-marketing.ru/Card/Lot/73908139", "Оказание услуг по проведению обучения лифтеров для нужд филиала оренбургское уооп ооо газпром питание в 2019 году")</f>
        <v>Оказание услуг по проведению обучения лифтеров для нужд филиала оренбургское уооп ооо газпром питание в 2019 году</v>
      </c>
      <c r="G1586" s="22" t="s">
        <v>132</v>
      </c>
      <c r="H1586" s="22" t="s">
        <v>587</v>
      </c>
      <c r="I1586" s="26">
        <v>43734.563888888901</v>
      </c>
      <c r="J1586" s="28" t="s">
        <v>51</v>
      </c>
      <c r="K1586" s="28" t="s">
        <v>51</v>
      </c>
      <c r="L1586" s="28" t="s">
        <v>51</v>
      </c>
      <c r="M1586" s="28" t="s">
        <v>51</v>
      </c>
      <c r="N1586" s="28" t="s">
        <v>51</v>
      </c>
    </row>
    <row r="1587" spans="1:14" x14ac:dyDescent="0.15">
      <c r="A1587" s="23" t="str">
        <f>HYPERLINK("https://www.spark-marketing.ru/Card/Person/4347757", "ПУ ФСБ РОССИИ ПО БЕЛГОРОДСКОЙ И ВОРОНЕЖСКОЙ ОБЛАСТЯМ")</f>
        <v>ПУ ФСБ РОССИИ ПО БЕЛГОРОДСКОЙ И ВОРОНЕЖСКОЙ ОБЛАСТЯМ</v>
      </c>
      <c r="B1587" s="24" t="s">
        <v>3108</v>
      </c>
      <c r="C1587" s="25">
        <v>253035.25</v>
      </c>
      <c r="D1587" s="22" t="s">
        <v>3109</v>
      </c>
      <c r="E1587" s="22" t="s">
        <v>48</v>
      </c>
      <c r="F1587" s="23" t="str">
        <f>HYPERLINK("https://www.spark-marketing.ru/Card/Lot/73930430", "Оказание услуг по организации питания сотрудников Заказчика горячей пищей (мапп Валуйки)")</f>
        <v>Оказание услуг по организации питания сотрудников Заказчика горячей пищей (мапп Валуйки)</v>
      </c>
      <c r="G1587" s="22" t="s">
        <v>696</v>
      </c>
      <c r="H1587" s="22" t="s">
        <v>1163</v>
      </c>
      <c r="I1587" s="26">
        <v>43734.516666666699</v>
      </c>
      <c r="J1587" s="28" t="s">
        <v>51</v>
      </c>
      <c r="K1587" s="28" t="s">
        <v>51</v>
      </c>
      <c r="L1587" s="28" t="s">
        <v>51</v>
      </c>
      <c r="M1587" s="28" t="s">
        <v>51</v>
      </c>
      <c r="N1587" s="28" t="s">
        <v>51</v>
      </c>
    </row>
    <row r="1588" spans="1:14" x14ac:dyDescent="0.15">
      <c r="A1588" s="23" t="str">
        <f>HYPERLINK("https://www.spark-marketing.ru/Card/Person/9029", "ДЕПАРТАМЕНТ ИНФОРМАЦИОННЫХ ТЕХНОЛОГИЙ ГОРОДА МОСКВЫ")</f>
        <v>ДЕПАРТАМЕНТ ИНФОРМАЦИОННЫХ ТЕХНОЛОГИЙ ГОРОДА МОСКВЫ</v>
      </c>
      <c r="B1588" s="24" t="s">
        <v>3110</v>
      </c>
      <c r="C1588" s="25">
        <v>14891602.5</v>
      </c>
      <c r="D1588" s="22" t="s">
        <v>3111</v>
      </c>
      <c r="E1588" s="22" t="s">
        <v>3112</v>
      </c>
      <c r="F1588" s="23" t="str">
        <f>HYPERLINK("https://www.spark-marketing.ru/Card/Lot/73944910", "Поставка оборудования в целях реализации государственных услуг: «Проход в образовательное учреждение», «Предоставление бесплатного питания льготным категориям детей», «Предоставление платного питания»")</f>
        <v>Поставка оборудования в целях реализации государственных услуг: «Проход в образовательное учреждение», «Предоставление бесплатного питания льготным категориям детей», «Предоставление платного питания»</v>
      </c>
      <c r="G1588" s="22" t="s">
        <v>56</v>
      </c>
      <c r="H1588" s="22" t="s">
        <v>56</v>
      </c>
      <c r="I1588" s="26">
        <v>43734.743750000001</v>
      </c>
      <c r="J1588" s="23" t="str">
        <f>HYPERLINK("https://www.spark-marketing.ru/Card/Person/151944", "ООО ""ЕДИНЫЕ СИСТЕМНЫЕ ТЕХНОЛОГИИ""")</f>
        <v>ООО "ЕДИНЫЕ СИСТЕМНЫЕ ТЕХНОЛОГИИ"</v>
      </c>
      <c r="K1588" s="24" t="s">
        <v>3113</v>
      </c>
      <c r="L1588" s="28" t="s">
        <v>51</v>
      </c>
      <c r="M1588" s="28" t="s">
        <v>51</v>
      </c>
      <c r="N1588" s="28" t="s">
        <v>51</v>
      </c>
    </row>
    <row r="1589" spans="1:14" hidden="1" outlineLevel="1" x14ac:dyDescent="0.15">
      <c r="A1589" s="23" t="str">
        <f>HYPERLINK("https://www.spark-marketing.ru/Card/Person/9029", "ДЕПАРТАМЕНТ ИНФОРМАЦИОННЫХ ТЕХНОЛОГИЙ ГОРОДА МОСКВЫ")</f>
        <v>ДЕПАРТАМЕНТ ИНФОРМАЦИОННЫХ ТЕХНОЛОГИЙ ГОРОДА МОСКВЫ</v>
      </c>
      <c r="B1589" s="24" t="s">
        <v>3110</v>
      </c>
      <c r="C1589" s="25">
        <v>14891602.5</v>
      </c>
      <c r="D1589" s="22" t="s">
        <v>3111</v>
      </c>
      <c r="E1589" s="22" t="s">
        <v>3112</v>
      </c>
      <c r="F1589" s="23" t="str">
        <f>HYPERLINK("https://www.spark-marketing.ru/Card/Lot/73944910", "Поставка оборудования в целях реализации государственных услуг: «Проход в образовательное учреждение», «Предоставление бесплатного питания льготным категориям детей», «Предоставление платного питания»")</f>
        <v>Поставка оборудования в целях реализации государственных услуг: «Проход в образовательное учреждение», «Предоставление бесплатного питания льготным категориям детей», «Предоставление платного питания»</v>
      </c>
      <c r="G1589" s="22" t="s">
        <v>56</v>
      </c>
      <c r="H1589" s="22" t="s">
        <v>56</v>
      </c>
      <c r="I1589" s="26">
        <v>43734.743750000001</v>
      </c>
      <c r="J1589" s="23" t="str">
        <f>HYPERLINK("https://www.spark-marketing.ru/Card/Person/151944", "ООО ""ЕДИНЫЕ СИСТЕМНЫЕ ТЕХНОЛОГИИ""")</f>
        <v>ООО "ЕДИНЫЕ СИСТЕМНЫЕ ТЕХНОЛОГИИ"</v>
      </c>
      <c r="K1589" s="24" t="s">
        <v>3113</v>
      </c>
      <c r="L1589" s="22" t="s">
        <v>10</v>
      </c>
      <c r="M1589" s="28" t="s">
        <v>51</v>
      </c>
      <c r="N1589" s="28" t="s">
        <v>51</v>
      </c>
    </row>
    <row r="1590" spans="1:14" x14ac:dyDescent="0.15">
      <c r="A1590" s="23" t="str">
        <f>HYPERLINK("https://www.spark-marketing.ru/Card/Person/732268", "ОМВД РОССИИ ПО МЕДВЕЖЬЕГОРСКОМУ РАЙОНУ")</f>
        <v>ОМВД РОССИИ ПО МЕДВЕЖЬЕГОРСКОМУ РАЙОНУ</v>
      </c>
      <c r="B1590" s="24" t="s">
        <v>3114</v>
      </c>
      <c r="C1590" s="25">
        <v>85550</v>
      </c>
      <c r="D1590" s="22" t="s">
        <v>3115</v>
      </c>
      <c r="E1590" s="22" t="s">
        <v>96</v>
      </c>
      <c r="F1590" s="23" t="str">
        <f>HYPERLINK("https://www.spark-marketing.ru/Card/Lot/73905961", "Оказание услуг по организации питания (приготовлению и доставке), 295 шт")</f>
        <v>Оказание услуг по организации питания (приготовлению и доставке), 295 шт</v>
      </c>
      <c r="G1590" s="22" t="s">
        <v>59</v>
      </c>
      <c r="H1590" s="22" t="s">
        <v>3116</v>
      </c>
      <c r="I1590" s="26">
        <v>43734.5264930556</v>
      </c>
      <c r="J1590" s="28" t="s">
        <v>51</v>
      </c>
      <c r="K1590" s="28" t="s">
        <v>51</v>
      </c>
      <c r="L1590" s="28" t="s">
        <v>51</v>
      </c>
      <c r="M1590" s="28" t="s">
        <v>51</v>
      </c>
      <c r="N1590" s="28" t="s">
        <v>51</v>
      </c>
    </row>
    <row r="1591" spans="1:14" x14ac:dyDescent="0.15">
      <c r="A1591" s="23" t="str">
        <f>HYPERLINK("https://www.spark-marketing.ru/Card/Person/37828", "ГБУЗ НД")</f>
        <v>ГБУЗ НД</v>
      </c>
      <c r="B1591" s="24" t="s">
        <v>118</v>
      </c>
      <c r="C1591" s="25">
        <v>499800</v>
      </c>
      <c r="D1591" s="22" t="s">
        <v>3117</v>
      </c>
      <c r="E1591" s="22" t="s">
        <v>96</v>
      </c>
      <c r="F1591" s="23" t="str">
        <f>HYPERLINK("https://www.spark-marketing.ru/Card/Lot/73933123", "Оказание услуг по обеспечению питанием")</f>
        <v>Оказание услуг по обеспечению питанием</v>
      </c>
      <c r="G1591" s="22" t="s">
        <v>104</v>
      </c>
      <c r="H1591" s="22" t="s">
        <v>120</v>
      </c>
      <c r="I1591" s="26">
        <v>43734.525694444397</v>
      </c>
      <c r="J1591" s="23" t="str">
        <f>HYPERLINK("https://www.spark-marketing.ru/Card/Person/1170194", "Соколова Виктория Сергеевна")</f>
        <v>Соколова Виктория Сергеевна</v>
      </c>
      <c r="K1591" s="24" t="s">
        <v>2331</v>
      </c>
      <c r="L1591" s="22" t="s">
        <v>10</v>
      </c>
      <c r="M1591" s="28" t="s">
        <v>51</v>
      </c>
      <c r="N1591" s="28" t="s">
        <v>51</v>
      </c>
    </row>
    <row r="1592" spans="1:14" x14ac:dyDescent="0.15">
      <c r="A1592" s="23" t="str">
        <f>HYPERLINK("https://www.spark-marketing.ru/Card/Person/31319", "ГБУЗ ""КЯХТИНСКАЯ ЦРБ""")</f>
        <v>ГБУЗ "КЯХТИНСКАЯ ЦРБ"</v>
      </c>
      <c r="B1592" s="24" t="s">
        <v>3118</v>
      </c>
      <c r="C1592" s="25">
        <v>720065.96</v>
      </c>
      <c r="D1592" s="22" t="s">
        <v>3119</v>
      </c>
      <c r="E1592" s="22" t="s">
        <v>603</v>
      </c>
      <c r="F1592" s="23" t="str">
        <f>HYPERLINK("https://www.spark-marketing.ru/Card/Lot/73933971", "Оказание метрологических услуг (обследование технического состояния, поверка, калибровка средств измерения, аттестация испытательного оборудования)")</f>
        <v>Оказание метрологических услуг (обследование технического состояния, поверка, калибровка средств измерения, аттестация испытательного оборудования)</v>
      </c>
      <c r="G1592" s="22" t="s">
        <v>433</v>
      </c>
      <c r="H1592" s="22" t="s">
        <v>3120</v>
      </c>
      <c r="I1592" s="26">
        <v>43734.504421296297</v>
      </c>
      <c r="J1592" s="28" t="s">
        <v>51</v>
      </c>
      <c r="K1592" s="28" t="s">
        <v>51</v>
      </c>
      <c r="L1592" s="28" t="s">
        <v>51</v>
      </c>
      <c r="M1592" s="28" t="s">
        <v>51</v>
      </c>
      <c r="N1592" s="28" t="s">
        <v>51</v>
      </c>
    </row>
    <row r="1593" spans="1:14" x14ac:dyDescent="0.15">
      <c r="A1593" s="23" t="s">
        <v>114</v>
      </c>
      <c r="B1593" s="28" t="s">
        <v>51</v>
      </c>
      <c r="C1593" s="25">
        <v>220352140</v>
      </c>
      <c r="D1593" s="22" t="s">
        <v>3121</v>
      </c>
      <c r="E1593" s="22" t="s">
        <v>48</v>
      </c>
      <c r="F1593" s="23" t="str">
        <f t="shared" ref="F1593:F1624" si="23">HYPERLINK("https://www.spark-marketing.ru/Card/Lot/73956079", "Оказание услуги по организации питания учащихся")</f>
        <v>Оказание услуги по организации питания учащихся</v>
      </c>
      <c r="G1593" s="22" t="s">
        <v>51</v>
      </c>
      <c r="H1593" s="22" t="s">
        <v>51</v>
      </c>
      <c r="I1593" s="26">
        <v>43734.505370370403</v>
      </c>
      <c r="J1593" s="28" t="s">
        <v>51</v>
      </c>
      <c r="K1593" s="28" t="s">
        <v>51</v>
      </c>
      <c r="L1593" s="28" t="s">
        <v>51</v>
      </c>
      <c r="M1593" s="28" t="s">
        <v>51</v>
      </c>
      <c r="N1593" s="28" t="s">
        <v>51</v>
      </c>
    </row>
    <row r="1594" spans="1:14" hidden="1" outlineLevel="1" x14ac:dyDescent="0.15">
      <c r="A1594" s="23" t="str">
        <f>HYPERLINK("https://www.spark-marketing.ru/Card/Person/998794", "МБОУ СШ № 33 Г. ЛИПЕЦКА")</f>
        <v>МБОУ СШ № 33 Г. ЛИПЕЦКА</v>
      </c>
      <c r="B1594" s="24" t="s">
        <v>3122</v>
      </c>
      <c r="C1594" s="25">
        <v>7308960</v>
      </c>
      <c r="D1594" s="22" t="s">
        <v>3121</v>
      </c>
      <c r="E1594" s="22" t="s">
        <v>48</v>
      </c>
      <c r="F1594" s="23" t="str">
        <f t="shared" si="23"/>
        <v>Оказание услуги по организации питания учащихся</v>
      </c>
      <c r="G1594" s="22" t="s">
        <v>101</v>
      </c>
      <c r="H1594" s="22" t="s">
        <v>728</v>
      </c>
      <c r="I1594" s="26">
        <v>43734.505370370403</v>
      </c>
      <c r="J1594" s="28" t="s">
        <v>51</v>
      </c>
      <c r="K1594" s="28" t="s">
        <v>51</v>
      </c>
      <c r="L1594" s="28" t="s">
        <v>51</v>
      </c>
      <c r="M1594" s="28" t="s">
        <v>51</v>
      </c>
      <c r="N1594" s="28" t="s">
        <v>51</v>
      </c>
    </row>
    <row r="1595" spans="1:14" hidden="1" outlineLevel="1" x14ac:dyDescent="0.15">
      <c r="A1595" s="23" t="str">
        <f>HYPERLINK("https://www.spark-marketing.ru/Card/Person/129158", "МБОУ № 32 Г. ЛИПЕЦКА")</f>
        <v>МБОУ № 32 Г. ЛИПЕЦКА</v>
      </c>
      <c r="B1595" s="24" t="s">
        <v>3123</v>
      </c>
      <c r="C1595" s="25">
        <v>4549600</v>
      </c>
      <c r="D1595" s="22" t="s">
        <v>3121</v>
      </c>
      <c r="E1595" s="22" t="s">
        <v>48</v>
      </c>
      <c r="F1595" s="23" t="str">
        <f t="shared" si="23"/>
        <v>Оказание услуги по организации питания учащихся</v>
      </c>
      <c r="G1595" s="22" t="s">
        <v>101</v>
      </c>
      <c r="H1595" s="22" t="s">
        <v>728</v>
      </c>
      <c r="I1595" s="26">
        <v>43734.505370370403</v>
      </c>
      <c r="J1595" s="28" t="s">
        <v>51</v>
      </c>
      <c r="K1595" s="28" t="s">
        <v>51</v>
      </c>
      <c r="L1595" s="28" t="s">
        <v>51</v>
      </c>
      <c r="M1595" s="28" t="s">
        <v>51</v>
      </c>
      <c r="N1595" s="28" t="s">
        <v>51</v>
      </c>
    </row>
    <row r="1596" spans="1:14" hidden="1" outlineLevel="1" x14ac:dyDescent="0.15">
      <c r="A1596" s="23" t="str">
        <f>HYPERLINK("https://www.spark-marketing.ru/Card/Person/131957", "МБОУ СШ № 70 Г. ЛИПЕЦКА")</f>
        <v>МБОУ СШ № 70 Г. ЛИПЕЦКА</v>
      </c>
      <c r="B1596" s="24" t="s">
        <v>3124</v>
      </c>
      <c r="C1596" s="25">
        <v>7177680</v>
      </c>
      <c r="D1596" s="22" t="s">
        <v>3121</v>
      </c>
      <c r="E1596" s="22" t="s">
        <v>48</v>
      </c>
      <c r="F1596" s="23" t="str">
        <f t="shared" si="23"/>
        <v>Оказание услуги по организации питания учащихся</v>
      </c>
      <c r="G1596" s="22" t="s">
        <v>101</v>
      </c>
      <c r="H1596" s="22" t="s">
        <v>728</v>
      </c>
      <c r="I1596" s="26">
        <v>43734.505370370403</v>
      </c>
      <c r="J1596" s="28" t="s">
        <v>51</v>
      </c>
      <c r="K1596" s="28" t="s">
        <v>51</v>
      </c>
      <c r="L1596" s="28" t="s">
        <v>51</v>
      </c>
      <c r="M1596" s="28" t="s">
        <v>51</v>
      </c>
      <c r="N1596" s="28" t="s">
        <v>51</v>
      </c>
    </row>
    <row r="1597" spans="1:14" hidden="1" outlineLevel="1" x14ac:dyDescent="0.15">
      <c r="A1597" s="23" t="str">
        <f>HYPERLINK("https://www.spark-marketing.ru/Card/Person/997496", "МБОУ СШ № 54 Г.ЛИПЕЦКА")</f>
        <v>МБОУ СШ № 54 Г.ЛИПЕЦКА</v>
      </c>
      <c r="B1597" s="24" t="s">
        <v>3125</v>
      </c>
      <c r="C1597" s="25">
        <v>7019040</v>
      </c>
      <c r="D1597" s="22" t="s">
        <v>3121</v>
      </c>
      <c r="E1597" s="22" t="s">
        <v>48</v>
      </c>
      <c r="F1597" s="23" t="str">
        <f t="shared" si="23"/>
        <v>Оказание услуги по организации питания учащихся</v>
      </c>
      <c r="G1597" s="22" t="s">
        <v>3126</v>
      </c>
      <c r="H1597" s="22" t="s">
        <v>3127</v>
      </c>
      <c r="I1597" s="26">
        <v>43734.505370370403</v>
      </c>
      <c r="J1597" s="28" t="s">
        <v>51</v>
      </c>
      <c r="K1597" s="28" t="s">
        <v>51</v>
      </c>
      <c r="L1597" s="28" t="s">
        <v>51</v>
      </c>
      <c r="M1597" s="28" t="s">
        <v>51</v>
      </c>
      <c r="N1597" s="28" t="s">
        <v>51</v>
      </c>
    </row>
    <row r="1598" spans="1:14" hidden="1" outlineLevel="1" x14ac:dyDescent="0.15">
      <c r="A1598" s="23" t="str">
        <f>HYPERLINK("https://www.spark-marketing.ru/Card/Person/998889", "МБОУ СОШ №7 Г. ЛИПЕЦКА")</f>
        <v>МБОУ СОШ №7 Г. ЛИПЕЦКА</v>
      </c>
      <c r="B1598" s="24" t="s">
        <v>3128</v>
      </c>
      <c r="C1598" s="25">
        <v>3881520</v>
      </c>
      <c r="D1598" s="22" t="s">
        <v>3121</v>
      </c>
      <c r="E1598" s="22" t="s">
        <v>48</v>
      </c>
      <c r="F1598" s="23" t="str">
        <f t="shared" si="23"/>
        <v>Оказание услуги по организации питания учащихся</v>
      </c>
      <c r="G1598" s="22" t="s">
        <v>101</v>
      </c>
      <c r="H1598" s="22" t="s">
        <v>728</v>
      </c>
      <c r="I1598" s="26">
        <v>43734.505370370403</v>
      </c>
      <c r="J1598" s="28" t="s">
        <v>51</v>
      </c>
      <c r="K1598" s="28" t="s">
        <v>51</v>
      </c>
      <c r="L1598" s="28" t="s">
        <v>51</v>
      </c>
      <c r="M1598" s="28" t="s">
        <v>51</v>
      </c>
      <c r="N1598" s="28" t="s">
        <v>51</v>
      </c>
    </row>
    <row r="1599" spans="1:14" hidden="1" outlineLevel="1" x14ac:dyDescent="0.15">
      <c r="A1599" s="23" t="str">
        <f>HYPERLINK("https://www.spark-marketing.ru/Card/Person/129156", "МБОУ № 16 Г. ЛИПЕЦКА")</f>
        <v>МБОУ № 16 Г. ЛИПЕЦКА</v>
      </c>
      <c r="B1599" s="24" t="s">
        <v>3129</v>
      </c>
      <c r="C1599" s="25">
        <v>5111040</v>
      </c>
      <c r="D1599" s="22" t="s">
        <v>3121</v>
      </c>
      <c r="E1599" s="22" t="s">
        <v>48</v>
      </c>
      <c r="F1599" s="23" t="str">
        <f t="shared" si="23"/>
        <v>Оказание услуги по организации питания учащихся</v>
      </c>
      <c r="G1599" s="22" t="s">
        <v>101</v>
      </c>
      <c r="H1599" s="22" t="s">
        <v>728</v>
      </c>
      <c r="I1599" s="26">
        <v>43734.505370370403</v>
      </c>
      <c r="J1599" s="28" t="s">
        <v>51</v>
      </c>
      <c r="K1599" s="28" t="s">
        <v>51</v>
      </c>
      <c r="L1599" s="28" t="s">
        <v>51</v>
      </c>
      <c r="M1599" s="28" t="s">
        <v>51</v>
      </c>
      <c r="N1599" s="28" t="s">
        <v>51</v>
      </c>
    </row>
    <row r="1600" spans="1:14" hidden="1" outlineLevel="1" x14ac:dyDescent="0.15">
      <c r="A1600" s="23" t="str">
        <f>HYPERLINK("https://www.spark-marketing.ru/Card/Person/996481", "МБОУ СШ №31 Г. ЛИПЕЦКА")</f>
        <v>МБОУ СШ №31 Г. ЛИПЕЦКА</v>
      </c>
      <c r="B1600" s="24" t="s">
        <v>3130</v>
      </c>
      <c r="C1600" s="25">
        <v>4603840</v>
      </c>
      <c r="D1600" s="22" t="s">
        <v>3121</v>
      </c>
      <c r="E1600" s="22" t="s">
        <v>48</v>
      </c>
      <c r="F1600" s="23" t="str">
        <f t="shared" si="23"/>
        <v>Оказание услуги по организации питания учащихся</v>
      </c>
      <c r="G1600" s="22" t="s">
        <v>101</v>
      </c>
      <c r="H1600" s="22" t="s">
        <v>728</v>
      </c>
      <c r="I1600" s="26">
        <v>43734.505370370403</v>
      </c>
      <c r="J1600" s="28" t="s">
        <v>51</v>
      </c>
      <c r="K1600" s="28" t="s">
        <v>51</v>
      </c>
      <c r="L1600" s="28" t="s">
        <v>51</v>
      </c>
      <c r="M1600" s="28" t="s">
        <v>51</v>
      </c>
      <c r="N1600" s="28" t="s">
        <v>51</v>
      </c>
    </row>
    <row r="1601" spans="1:14" hidden="1" outlineLevel="1" x14ac:dyDescent="0.15">
      <c r="A1601" s="23" t="str">
        <f>HYPERLINK("https://www.spark-marketing.ru/Card/Person/997347", "МБОУ СШ № 5 ГОРОДА ЛИПЕЦКА")</f>
        <v>МБОУ СШ № 5 ГОРОДА ЛИПЕЦКА</v>
      </c>
      <c r="B1601" s="24" t="s">
        <v>3131</v>
      </c>
      <c r="C1601" s="25">
        <v>3896220</v>
      </c>
      <c r="D1601" s="22" t="s">
        <v>3121</v>
      </c>
      <c r="E1601" s="22" t="s">
        <v>48</v>
      </c>
      <c r="F1601" s="23" t="str">
        <f t="shared" si="23"/>
        <v>Оказание услуги по организации питания учащихся</v>
      </c>
      <c r="G1601" s="22" t="s">
        <v>101</v>
      </c>
      <c r="H1601" s="22" t="s">
        <v>728</v>
      </c>
      <c r="I1601" s="26">
        <v>43734.505370370403</v>
      </c>
      <c r="J1601" s="28" t="s">
        <v>51</v>
      </c>
      <c r="K1601" s="28" t="s">
        <v>51</v>
      </c>
      <c r="L1601" s="28" t="s">
        <v>51</v>
      </c>
      <c r="M1601" s="28" t="s">
        <v>51</v>
      </c>
      <c r="N1601" s="28" t="s">
        <v>51</v>
      </c>
    </row>
    <row r="1602" spans="1:14" hidden="1" outlineLevel="1" x14ac:dyDescent="0.15">
      <c r="A1602" s="23" t="str">
        <f>HYPERLINK("https://www.spark-marketing.ru/Card/Person/997470", "МБОУ СШ № 62 Г. ЛИПЕЦКА")</f>
        <v>МБОУ СШ № 62 Г. ЛИПЕЦКА</v>
      </c>
      <c r="B1602" s="24" t="s">
        <v>3132</v>
      </c>
      <c r="C1602" s="25">
        <v>4388080</v>
      </c>
      <c r="D1602" s="22" t="s">
        <v>3121</v>
      </c>
      <c r="E1602" s="22" t="s">
        <v>48</v>
      </c>
      <c r="F1602" s="23" t="str">
        <f t="shared" si="23"/>
        <v>Оказание услуги по организации питания учащихся</v>
      </c>
      <c r="G1602" s="22" t="s">
        <v>101</v>
      </c>
      <c r="H1602" s="22" t="s">
        <v>3133</v>
      </c>
      <c r="I1602" s="26">
        <v>43734.505370370403</v>
      </c>
      <c r="J1602" s="28" t="s">
        <v>51</v>
      </c>
      <c r="K1602" s="28" t="s">
        <v>51</v>
      </c>
      <c r="L1602" s="28" t="s">
        <v>51</v>
      </c>
      <c r="M1602" s="28" t="s">
        <v>51</v>
      </c>
      <c r="N1602" s="28" t="s">
        <v>51</v>
      </c>
    </row>
    <row r="1603" spans="1:14" hidden="1" outlineLevel="1" x14ac:dyDescent="0.15">
      <c r="A1603" s="23" t="str">
        <f>HYPERLINK("https://www.spark-marketing.ru/Card/Person/997943", "МБОУ ""ГИМНАЗИЯ №1"" Г. ЛИПЕЦКА")</f>
        <v>МБОУ "ГИМНАЗИЯ №1" Г. ЛИПЕЦКА</v>
      </c>
      <c r="B1603" s="24" t="s">
        <v>3134</v>
      </c>
      <c r="C1603" s="25">
        <v>5450160</v>
      </c>
      <c r="D1603" s="22" t="s">
        <v>3121</v>
      </c>
      <c r="E1603" s="22" t="s">
        <v>48</v>
      </c>
      <c r="F1603" s="23" t="str">
        <f t="shared" si="23"/>
        <v>Оказание услуги по организации питания учащихся</v>
      </c>
      <c r="G1603" s="22" t="s">
        <v>101</v>
      </c>
      <c r="H1603" s="22" t="s">
        <v>728</v>
      </c>
      <c r="I1603" s="26">
        <v>43734.505370370403</v>
      </c>
      <c r="J1603" s="28" t="s">
        <v>51</v>
      </c>
      <c r="K1603" s="28" t="s">
        <v>51</v>
      </c>
      <c r="L1603" s="28" t="s">
        <v>51</v>
      </c>
      <c r="M1603" s="28" t="s">
        <v>51</v>
      </c>
      <c r="N1603" s="28" t="s">
        <v>51</v>
      </c>
    </row>
    <row r="1604" spans="1:14" hidden="1" outlineLevel="1" x14ac:dyDescent="0.15">
      <c r="A1604" s="23" t="str">
        <f>HYPERLINK("https://www.spark-marketing.ru/Card/Person/1000505", "МБОУ СШ №42 Г. ЛИПЕЦКА")</f>
        <v>МБОУ СШ №42 Г. ЛИПЕЦКА</v>
      </c>
      <c r="B1604" s="24" t="s">
        <v>3135</v>
      </c>
      <c r="C1604" s="25">
        <v>6493600</v>
      </c>
      <c r="D1604" s="22" t="s">
        <v>3121</v>
      </c>
      <c r="E1604" s="22" t="s">
        <v>48</v>
      </c>
      <c r="F1604" s="23" t="str">
        <f t="shared" si="23"/>
        <v>Оказание услуги по организации питания учащихся</v>
      </c>
      <c r="G1604" s="22" t="s">
        <v>101</v>
      </c>
      <c r="H1604" s="22" t="s">
        <v>728</v>
      </c>
      <c r="I1604" s="26">
        <v>43734.505370370403</v>
      </c>
      <c r="J1604" s="28" t="s">
        <v>51</v>
      </c>
      <c r="K1604" s="28" t="s">
        <v>51</v>
      </c>
      <c r="L1604" s="28" t="s">
        <v>51</v>
      </c>
      <c r="M1604" s="28" t="s">
        <v>51</v>
      </c>
      <c r="N1604" s="28" t="s">
        <v>51</v>
      </c>
    </row>
    <row r="1605" spans="1:14" hidden="1" outlineLevel="1" x14ac:dyDescent="0.15">
      <c r="A1605" s="23" t="str">
        <f>HYPERLINK("https://www.spark-marketing.ru/Card/Person/1000635", "МБОУ ГИМНАЗИЯ №19 ИМ. Н.З. ПОПОВИЧЕВОЙ Г.ЛИПЕЦКА")</f>
        <v>МБОУ ГИМНАЗИЯ №19 ИМ. Н.З. ПОПОВИЧЕВОЙ Г.ЛИПЕЦКА</v>
      </c>
      <c r="B1605" s="24" t="s">
        <v>3136</v>
      </c>
      <c r="C1605" s="25">
        <v>5125760</v>
      </c>
      <c r="D1605" s="22" t="s">
        <v>3121</v>
      </c>
      <c r="E1605" s="22" t="s">
        <v>48</v>
      </c>
      <c r="F1605" s="23" t="str">
        <f t="shared" si="23"/>
        <v>Оказание услуги по организации питания учащихся</v>
      </c>
      <c r="G1605" s="22" t="s">
        <v>101</v>
      </c>
      <c r="H1605" s="22" t="s">
        <v>728</v>
      </c>
      <c r="I1605" s="26">
        <v>43734.505370370403</v>
      </c>
      <c r="J1605" s="28" t="s">
        <v>51</v>
      </c>
      <c r="K1605" s="28" t="s">
        <v>51</v>
      </c>
      <c r="L1605" s="28" t="s">
        <v>51</v>
      </c>
      <c r="M1605" s="28" t="s">
        <v>51</v>
      </c>
      <c r="N1605" s="28" t="s">
        <v>51</v>
      </c>
    </row>
    <row r="1606" spans="1:14" hidden="1" outlineLevel="1" x14ac:dyDescent="0.15">
      <c r="A1606" s="23" t="str">
        <f>HYPERLINK("https://www.spark-marketing.ru/Card/Person/1001090", "МБОУ ""ГИМНАЗИЯ №64"" ГОРОДА ЛИПЕЦКА")</f>
        <v>МБОУ "ГИМНАЗИЯ №64" ГОРОДА ЛИПЕЦКА</v>
      </c>
      <c r="B1606" s="24" t="s">
        <v>1673</v>
      </c>
      <c r="C1606" s="25">
        <v>6708240</v>
      </c>
      <c r="D1606" s="22" t="s">
        <v>3121</v>
      </c>
      <c r="E1606" s="22" t="s">
        <v>48</v>
      </c>
      <c r="F1606" s="23" t="str">
        <f t="shared" si="23"/>
        <v>Оказание услуги по организации питания учащихся</v>
      </c>
      <c r="G1606" s="22" t="s">
        <v>101</v>
      </c>
      <c r="H1606" s="22" t="s">
        <v>728</v>
      </c>
      <c r="I1606" s="26">
        <v>43734.505370370403</v>
      </c>
      <c r="J1606" s="28" t="s">
        <v>51</v>
      </c>
      <c r="K1606" s="28" t="s">
        <v>51</v>
      </c>
      <c r="L1606" s="28" t="s">
        <v>51</v>
      </c>
      <c r="M1606" s="28" t="s">
        <v>51</v>
      </c>
      <c r="N1606" s="28" t="s">
        <v>51</v>
      </c>
    </row>
    <row r="1607" spans="1:14" hidden="1" outlineLevel="1" x14ac:dyDescent="0.15">
      <c r="A1607" s="23" t="str">
        <f>HYPERLINK("https://www.spark-marketing.ru/Card/Person/1001106", "МБОУ СШ № 28 Г. ЛИПЕЦКА")</f>
        <v>МБОУ СШ № 28 Г. ЛИПЕЦКА</v>
      </c>
      <c r="B1607" s="24" t="s">
        <v>229</v>
      </c>
      <c r="C1607" s="25">
        <v>4762640</v>
      </c>
      <c r="D1607" s="22" t="s">
        <v>3121</v>
      </c>
      <c r="E1607" s="22" t="s">
        <v>48</v>
      </c>
      <c r="F1607" s="23" t="str">
        <f t="shared" si="23"/>
        <v>Оказание услуги по организации питания учащихся</v>
      </c>
      <c r="G1607" s="22" t="s">
        <v>101</v>
      </c>
      <c r="H1607" s="22" t="s">
        <v>728</v>
      </c>
      <c r="I1607" s="26">
        <v>43734.505370370403</v>
      </c>
      <c r="J1607" s="28" t="s">
        <v>51</v>
      </c>
      <c r="K1607" s="28" t="s">
        <v>51</v>
      </c>
      <c r="L1607" s="28" t="s">
        <v>51</v>
      </c>
      <c r="M1607" s="28" t="s">
        <v>51</v>
      </c>
      <c r="N1607" s="28" t="s">
        <v>51</v>
      </c>
    </row>
    <row r="1608" spans="1:14" hidden="1" outlineLevel="1" x14ac:dyDescent="0.15">
      <c r="A1608" s="23" t="str">
        <f>HYPERLINK("https://www.spark-marketing.ru/Card/Person/1001219", "МБОУ СОШ № 50 Г.ЛИПЕЦКА")</f>
        <v>МБОУ СОШ № 50 Г.ЛИПЕЦКА</v>
      </c>
      <c r="B1608" s="24" t="s">
        <v>3137</v>
      </c>
      <c r="C1608" s="25">
        <v>3631440</v>
      </c>
      <c r="D1608" s="22" t="s">
        <v>3121</v>
      </c>
      <c r="E1608" s="22" t="s">
        <v>48</v>
      </c>
      <c r="F1608" s="23" t="str">
        <f t="shared" si="23"/>
        <v>Оказание услуги по организации питания учащихся</v>
      </c>
      <c r="G1608" s="22" t="s">
        <v>101</v>
      </c>
      <c r="H1608" s="22" t="s">
        <v>728</v>
      </c>
      <c r="I1608" s="26">
        <v>43734.505370370403</v>
      </c>
      <c r="J1608" s="28" t="s">
        <v>51</v>
      </c>
      <c r="K1608" s="28" t="s">
        <v>51</v>
      </c>
      <c r="L1608" s="28" t="s">
        <v>51</v>
      </c>
      <c r="M1608" s="28" t="s">
        <v>51</v>
      </c>
      <c r="N1608" s="28" t="s">
        <v>51</v>
      </c>
    </row>
    <row r="1609" spans="1:14" hidden="1" outlineLevel="1" x14ac:dyDescent="0.15">
      <c r="A1609" s="23" t="str">
        <f>HYPERLINK("https://www.spark-marketing.ru/Card/Person/1001257", "МБОУ СШ № 14 Г. ЛИПЕЦКА")</f>
        <v>МБОУ СШ № 14 Г. ЛИПЕЦКА</v>
      </c>
      <c r="B1609" s="24" t="s">
        <v>3138</v>
      </c>
      <c r="C1609" s="25">
        <v>5938400</v>
      </c>
      <c r="D1609" s="22" t="s">
        <v>3121</v>
      </c>
      <c r="E1609" s="22" t="s">
        <v>48</v>
      </c>
      <c r="F1609" s="23" t="str">
        <f t="shared" si="23"/>
        <v>Оказание услуги по организации питания учащихся</v>
      </c>
      <c r="G1609" s="22" t="s">
        <v>101</v>
      </c>
      <c r="H1609" s="22" t="s">
        <v>728</v>
      </c>
      <c r="I1609" s="26">
        <v>43734.505370370403</v>
      </c>
      <c r="J1609" s="28" t="s">
        <v>51</v>
      </c>
      <c r="K1609" s="28" t="s">
        <v>51</v>
      </c>
      <c r="L1609" s="28" t="s">
        <v>51</v>
      </c>
      <c r="M1609" s="28" t="s">
        <v>51</v>
      </c>
      <c r="N1609" s="28" t="s">
        <v>51</v>
      </c>
    </row>
    <row r="1610" spans="1:14" hidden="1" outlineLevel="1" x14ac:dyDescent="0.15">
      <c r="A1610" s="23" t="str">
        <f>HYPERLINK("https://www.spark-marketing.ru/Card/Person/1001765", "МБОУ ГИМНАЗИЯ № 12 ГОРОДА ЛИПЕЦКА")</f>
        <v>МБОУ ГИМНАЗИЯ № 12 ГОРОДА ЛИПЕЦКА</v>
      </c>
      <c r="B1610" s="24" t="s">
        <v>3139</v>
      </c>
      <c r="C1610" s="25">
        <v>6054880</v>
      </c>
      <c r="D1610" s="22" t="s">
        <v>3121</v>
      </c>
      <c r="E1610" s="22" t="s">
        <v>48</v>
      </c>
      <c r="F1610" s="23" t="str">
        <f t="shared" si="23"/>
        <v>Оказание услуги по организации питания учащихся</v>
      </c>
      <c r="G1610" s="22" t="s">
        <v>101</v>
      </c>
      <c r="H1610" s="22" t="s">
        <v>728</v>
      </c>
      <c r="I1610" s="26">
        <v>43734.505370370403</v>
      </c>
      <c r="J1610" s="28" t="s">
        <v>51</v>
      </c>
      <c r="K1610" s="28" t="s">
        <v>51</v>
      </c>
      <c r="L1610" s="28" t="s">
        <v>51</v>
      </c>
      <c r="M1610" s="28" t="s">
        <v>51</v>
      </c>
      <c r="N1610" s="28" t="s">
        <v>51</v>
      </c>
    </row>
    <row r="1611" spans="1:14" hidden="1" outlineLevel="1" x14ac:dyDescent="0.15">
      <c r="A1611" s="23" t="str">
        <f>HYPERLINK("https://www.spark-marketing.ru/Card/Person/1001946", "МБОУ СОШ № 36 Г. ЛИПЕЦКА")</f>
        <v>МБОУ СОШ № 36 Г. ЛИПЕЦКА</v>
      </c>
      <c r="B1611" s="24" t="s">
        <v>3140</v>
      </c>
      <c r="C1611" s="25">
        <v>3253120</v>
      </c>
      <c r="D1611" s="22" t="s">
        <v>3121</v>
      </c>
      <c r="E1611" s="22" t="s">
        <v>48</v>
      </c>
      <c r="F1611" s="23" t="str">
        <f t="shared" si="23"/>
        <v>Оказание услуги по организации питания учащихся</v>
      </c>
      <c r="G1611" s="22" t="s">
        <v>101</v>
      </c>
      <c r="H1611" s="22" t="s">
        <v>728</v>
      </c>
      <c r="I1611" s="26">
        <v>43734.505370370403</v>
      </c>
      <c r="J1611" s="28" t="s">
        <v>51</v>
      </c>
      <c r="K1611" s="28" t="s">
        <v>51</v>
      </c>
      <c r="L1611" s="28" t="s">
        <v>51</v>
      </c>
      <c r="M1611" s="28" t="s">
        <v>51</v>
      </c>
      <c r="N1611" s="28" t="s">
        <v>51</v>
      </c>
    </row>
    <row r="1612" spans="1:14" hidden="1" outlineLevel="1" x14ac:dyDescent="0.15">
      <c r="A1612" s="23" t="str">
        <f>HYPERLINK("https://www.spark-marketing.ru/Card/Person/1002245", "МБОУ СШ №35 Г. ЛИПЕЦКА")</f>
        <v>МБОУ СШ №35 Г. ЛИПЕЦКА</v>
      </c>
      <c r="B1612" s="24" t="s">
        <v>3141</v>
      </c>
      <c r="C1612" s="25">
        <v>2968720</v>
      </c>
      <c r="D1612" s="22" t="s">
        <v>3121</v>
      </c>
      <c r="E1612" s="22" t="s">
        <v>48</v>
      </c>
      <c r="F1612" s="23" t="str">
        <f t="shared" si="23"/>
        <v>Оказание услуги по организации питания учащихся</v>
      </c>
      <c r="G1612" s="22" t="s">
        <v>101</v>
      </c>
      <c r="H1612" s="22" t="s">
        <v>728</v>
      </c>
      <c r="I1612" s="26">
        <v>43734.505370370403</v>
      </c>
      <c r="J1612" s="28" t="s">
        <v>51</v>
      </c>
      <c r="K1612" s="28" t="s">
        <v>51</v>
      </c>
      <c r="L1612" s="28" t="s">
        <v>51</v>
      </c>
      <c r="M1612" s="28" t="s">
        <v>51</v>
      </c>
      <c r="N1612" s="28" t="s">
        <v>51</v>
      </c>
    </row>
    <row r="1613" spans="1:14" hidden="1" outlineLevel="1" x14ac:dyDescent="0.15">
      <c r="A1613" s="23" t="str">
        <f>HYPERLINK("https://www.spark-marketing.ru/Card/Person/1002584", "МБОУ СОШ № 24 ИМ. М.Б. РАКОВСКОГО Г.ЛИПЕЦКА")</f>
        <v>МБОУ СОШ № 24 ИМ. М.Б. РАКОВСКОГО Г.ЛИПЕЦКА</v>
      </c>
      <c r="B1613" s="24" t="s">
        <v>3142</v>
      </c>
      <c r="C1613" s="25">
        <v>2788800</v>
      </c>
      <c r="D1613" s="22" t="s">
        <v>3121</v>
      </c>
      <c r="E1613" s="22" t="s">
        <v>48</v>
      </c>
      <c r="F1613" s="23" t="str">
        <f t="shared" si="23"/>
        <v>Оказание услуги по организации питания учащихся</v>
      </c>
      <c r="G1613" s="22" t="s">
        <v>101</v>
      </c>
      <c r="H1613" s="22" t="s">
        <v>728</v>
      </c>
      <c r="I1613" s="26">
        <v>43734.505370370403</v>
      </c>
      <c r="J1613" s="28" t="s">
        <v>51</v>
      </c>
      <c r="K1613" s="28" t="s">
        <v>51</v>
      </c>
      <c r="L1613" s="28" t="s">
        <v>51</v>
      </c>
      <c r="M1613" s="28" t="s">
        <v>51</v>
      </c>
      <c r="N1613" s="28" t="s">
        <v>51</v>
      </c>
    </row>
    <row r="1614" spans="1:14" hidden="1" outlineLevel="1" x14ac:dyDescent="0.15">
      <c r="A1614" s="23" t="str">
        <f>HYPERLINK("https://www.spark-marketing.ru/Card/Person/1003234", "МБОУ СШ № 8 Г. ЛИПЕЦКА")</f>
        <v>МБОУ СШ № 8 Г. ЛИПЕЦКА</v>
      </c>
      <c r="B1614" s="24" t="s">
        <v>3143</v>
      </c>
      <c r="C1614" s="25">
        <v>2121520</v>
      </c>
      <c r="D1614" s="22" t="s">
        <v>3121</v>
      </c>
      <c r="E1614" s="22" t="s">
        <v>48</v>
      </c>
      <c r="F1614" s="23" t="str">
        <f t="shared" si="23"/>
        <v>Оказание услуги по организации питания учащихся</v>
      </c>
      <c r="G1614" s="22" t="s">
        <v>101</v>
      </c>
      <c r="H1614" s="22" t="s">
        <v>728</v>
      </c>
      <c r="I1614" s="26">
        <v>43734.505370370403</v>
      </c>
      <c r="J1614" s="28" t="s">
        <v>51</v>
      </c>
      <c r="K1614" s="28" t="s">
        <v>51</v>
      </c>
      <c r="L1614" s="28" t="s">
        <v>51</v>
      </c>
      <c r="M1614" s="28" t="s">
        <v>51</v>
      </c>
      <c r="N1614" s="28" t="s">
        <v>51</v>
      </c>
    </row>
    <row r="1615" spans="1:14" hidden="1" outlineLevel="1" x14ac:dyDescent="0.15">
      <c r="A1615" s="23" t="str">
        <f>HYPERLINK("https://www.spark-marketing.ru/Card/Person/1003237", "МБОУ СОШ №49 Г. ЛИПЕЦКА")</f>
        <v>МБОУ СОШ №49 Г. ЛИПЕЦКА</v>
      </c>
      <c r="B1615" s="24" t="s">
        <v>3144</v>
      </c>
      <c r="C1615" s="25">
        <v>6282880</v>
      </c>
      <c r="D1615" s="22" t="s">
        <v>3121</v>
      </c>
      <c r="E1615" s="22" t="s">
        <v>48</v>
      </c>
      <c r="F1615" s="23" t="str">
        <f t="shared" si="23"/>
        <v>Оказание услуги по организации питания учащихся</v>
      </c>
      <c r="G1615" s="22" t="s">
        <v>3145</v>
      </c>
      <c r="H1615" s="22" t="s">
        <v>3146</v>
      </c>
      <c r="I1615" s="26">
        <v>43734.505370370403</v>
      </c>
      <c r="J1615" s="28" t="s">
        <v>51</v>
      </c>
      <c r="K1615" s="28" t="s">
        <v>51</v>
      </c>
      <c r="L1615" s="28" t="s">
        <v>51</v>
      </c>
      <c r="M1615" s="28" t="s">
        <v>51</v>
      </c>
      <c r="N1615" s="28" t="s">
        <v>51</v>
      </c>
    </row>
    <row r="1616" spans="1:14" hidden="1" outlineLevel="1" x14ac:dyDescent="0.15">
      <c r="A1616" s="23" t="str">
        <f>HYPERLINK("https://www.spark-marketing.ru/Card/Person/1004341", "МБОУ ЛИЦЕЙ №66 Г.ЛИПЕЦКА")</f>
        <v>МБОУ ЛИЦЕЙ №66 Г.ЛИПЕЦКА</v>
      </c>
      <c r="B1616" s="24" t="s">
        <v>3147</v>
      </c>
      <c r="C1616" s="25">
        <v>6592720</v>
      </c>
      <c r="D1616" s="22" t="s">
        <v>3121</v>
      </c>
      <c r="E1616" s="22" t="s">
        <v>48</v>
      </c>
      <c r="F1616" s="23" t="str">
        <f t="shared" si="23"/>
        <v>Оказание услуги по организации питания учащихся</v>
      </c>
      <c r="G1616" s="22" t="s">
        <v>101</v>
      </c>
      <c r="H1616" s="22" t="s">
        <v>728</v>
      </c>
      <c r="I1616" s="26">
        <v>43734.505370370403</v>
      </c>
      <c r="J1616" s="28" t="s">
        <v>51</v>
      </c>
      <c r="K1616" s="28" t="s">
        <v>51</v>
      </c>
      <c r="L1616" s="28" t="s">
        <v>51</v>
      </c>
      <c r="M1616" s="28" t="s">
        <v>51</v>
      </c>
      <c r="N1616" s="28" t="s">
        <v>51</v>
      </c>
    </row>
    <row r="1617" spans="1:14" hidden="1" outlineLevel="1" x14ac:dyDescent="0.15">
      <c r="A1617" s="23" t="str">
        <f>HYPERLINK("https://www.spark-marketing.ru/Card/Person/1004501", "МБОУ СОШ № 46 Г.ЛИПЕЦКА")</f>
        <v>МБОУ СОШ № 46 Г.ЛИПЕЦКА</v>
      </c>
      <c r="B1617" s="24" t="s">
        <v>3148</v>
      </c>
      <c r="C1617" s="25">
        <v>3174080</v>
      </c>
      <c r="D1617" s="22" t="s">
        <v>3121</v>
      </c>
      <c r="E1617" s="22" t="s">
        <v>48</v>
      </c>
      <c r="F1617" s="23" t="str">
        <f t="shared" si="23"/>
        <v>Оказание услуги по организации питания учащихся</v>
      </c>
      <c r="G1617" s="22" t="s">
        <v>101</v>
      </c>
      <c r="H1617" s="22" t="s">
        <v>728</v>
      </c>
      <c r="I1617" s="26">
        <v>43734.505370370403</v>
      </c>
      <c r="J1617" s="28" t="s">
        <v>51</v>
      </c>
      <c r="K1617" s="28" t="s">
        <v>51</v>
      </c>
      <c r="L1617" s="28" t="s">
        <v>51</v>
      </c>
      <c r="M1617" s="28" t="s">
        <v>51</v>
      </c>
      <c r="N1617" s="28" t="s">
        <v>51</v>
      </c>
    </row>
    <row r="1618" spans="1:14" hidden="1" outlineLevel="1" x14ac:dyDescent="0.15">
      <c r="A1618" s="23" t="str">
        <f>HYPERLINK("https://www.spark-marketing.ru/Card/Person/1005176", "МБОУ СШ №45 Г. ЛИПЕЦКА")</f>
        <v>МБОУ СШ №45 Г. ЛИПЕЦКА</v>
      </c>
      <c r="B1618" s="24" t="s">
        <v>3149</v>
      </c>
      <c r="C1618" s="25">
        <v>3168400</v>
      </c>
      <c r="D1618" s="22" t="s">
        <v>3121</v>
      </c>
      <c r="E1618" s="22" t="s">
        <v>48</v>
      </c>
      <c r="F1618" s="23" t="str">
        <f t="shared" si="23"/>
        <v>Оказание услуги по организации питания учащихся</v>
      </c>
      <c r="G1618" s="22" t="s">
        <v>101</v>
      </c>
      <c r="H1618" s="22" t="s">
        <v>728</v>
      </c>
      <c r="I1618" s="26">
        <v>43734.505370370403</v>
      </c>
      <c r="J1618" s="28" t="s">
        <v>51</v>
      </c>
      <c r="K1618" s="28" t="s">
        <v>51</v>
      </c>
      <c r="L1618" s="28" t="s">
        <v>51</v>
      </c>
      <c r="M1618" s="28" t="s">
        <v>51</v>
      </c>
      <c r="N1618" s="28" t="s">
        <v>51</v>
      </c>
    </row>
    <row r="1619" spans="1:14" hidden="1" outlineLevel="1" x14ac:dyDescent="0.15">
      <c r="A1619" s="23" t="str">
        <f>HYPERLINK("https://www.spark-marketing.ru/Card/Person/1005192", "МБОУ СШ №38 Г.ЛИПЕЦКА")</f>
        <v>МБОУ СШ №38 Г.ЛИПЕЦКА</v>
      </c>
      <c r="B1619" s="24" t="s">
        <v>3150</v>
      </c>
      <c r="C1619" s="25">
        <v>3392080</v>
      </c>
      <c r="D1619" s="22" t="s">
        <v>3121</v>
      </c>
      <c r="E1619" s="22" t="s">
        <v>48</v>
      </c>
      <c r="F1619" s="23" t="str">
        <f t="shared" si="23"/>
        <v>Оказание услуги по организации питания учащихся</v>
      </c>
      <c r="G1619" s="22" t="s">
        <v>101</v>
      </c>
      <c r="H1619" s="22" t="s">
        <v>728</v>
      </c>
      <c r="I1619" s="26">
        <v>43734.505370370403</v>
      </c>
      <c r="J1619" s="28" t="s">
        <v>51</v>
      </c>
      <c r="K1619" s="28" t="s">
        <v>51</v>
      </c>
      <c r="L1619" s="28" t="s">
        <v>51</v>
      </c>
      <c r="M1619" s="28" t="s">
        <v>51</v>
      </c>
      <c r="N1619" s="28" t="s">
        <v>51</v>
      </c>
    </row>
    <row r="1620" spans="1:14" hidden="1" outlineLevel="1" x14ac:dyDescent="0.15">
      <c r="A1620" s="23" t="str">
        <f>HYPERLINK("https://www.spark-marketing.ru/Card/Person/1005309", "МБОУ СШ № 52 Г. ЛИПЕЦКА")</f>
        <v>МБОУ СШ № 52 Г. ЛИПЕЦКА</v>
      </c>
      <c r="B1620" s="24" t="s">
        <v>3151</v>
      </c>
      <c r="C1620" s="25">
        <v>2973840</v>
      </c>
      <c r="D1620" s="22" t="s">
        <v>3121</v>
      </c>
      <c r="E1620" s="22" t="s">
        <v>48</v>
      </c>
      <c r="F1620" s="23" t="str">
        <f t="shared" si="23"/>
        <v>Оказание услуги по организации питания учащихся</v>
      </c>
      <c r="G1620" s="22" t="s">
        <v>101</v>
      </c>
      <c r="H1620" s="22" t="s">
        <v>728</v>
      </c>
      <c r="I1620" s="26">
        <v>43734.505370370403</v>
      </c>
      <c r="J1620" s="28" t="s">
        <v>51</v>
      </c>
      <c r="K1620" s="28" t="s">
        <v>51</v>
      </c>
      <c r="L1620" s="28" t="s">
        <v>51</v>
      </c>
      <c r="M1620" s="28" t="s">
        <v>51</v>
      </c>
      <c r="N1620" s="28" t="s">
        <v>51</v>
      </c>
    </row>
    <row r="1621" spans="1:14" hidden="1" outlineLevel="1" x14ac:dyDescent="0.15">
      <c r="A1621" s="23" t="str">
        <f>HYPERLINK("https://www.spark-marketing.ru/Card/Person/1005353", "МБОУ ""ЛИЦЕЙ №3"" Г. ЛИПЕЦКА")</f>
        <v>МБОУ "ЛИЦЕЙ №3" Г. ЛИПЕЦКА</v>
      </c>
      <c r="B1621" s="24" t="s">
        <v>3152</v>
      </c>
      <c r="C1621" s="25">
        <v>6588560</v>
      </c>
      <c r="D1621" s="22" t="s">
        <v>3121</v>
      </c>
      <c r="E1621" s="22" t="s">
        <v>48</v>
      </c>
      <c r="F1621" s="23" t="str">
        <f t="shared" si="23"/>
        <v>Оказание услуги по организации питания учащихся</v>
      </c>
      <c r="G1621" s="22" t="s">
        <v>101</v>
      </c>
      <c r="H1621" s="22" t="s">
        <v>728</v>
      </c>
      <c r="I1621" s="26">
        <v>43734.505370370403</v>
      </c>
      <c r="J1621" s="28" t="s">
        <v>51</v>
      </c>
      <c r="K1621" s="28" t="s">
        <v>51</v>
      </c>
      <c r="L1621" s="28" t="s">
        <v>51</v>
      </c>
      <c r="M1621" s="28" t="s">
        <v>51</v>
      </c>
      <c r="N1621" s="28" t="s">
        <v>51</v>
      </c>
    </row>
    <row r="1622" spans="1:14" hidden="1" outlineLevel="1" x14ac:dyDescent="0.15">
      <c r="A1622" s="23" t="str">
        <f>HYPERLINK("https://www.spark-marketing.ru/Card/Person/1005357", "МБОУ СШ № 41 ГОРОДА ЛИПЕЦКА")</f>
        <v>МБОУ СШ № 41 ГОРОДА ЛИПЕЦКА</v>
      </c>
      <c r="B1622" s="24" t="s">
        <v>3153</v>
      </c>
      <c r="C1622" s="25">
        <v>5973680</v>
      </c>
      <c r="D1622" s="22" t="s">
        <v>3121</v>
      </c>
      <c r="E1622" s="22" t="s">
        <v>48</v>
      </c>
      <c r="F1622" s="23" t="str">
        <f t="shared" si="23"/>
        <v>Оказание услуги по организации питания учащихся</v>
      </c>
      <c r="G1622" s="22" t="s">
        <v>101</v>
      </c>
      <c r="H1622" s="22" t="s">
        <v>728</v>
      </c>
      <c r="I1622" s="26">
        <v>43734.505370370403</v>
      </c>
      <c r="J1622" s="28" t="s">
        <v>51</v>
      </c>
      <c r="K1622" s="28" t="s">
        <v>51</v>
      </c>
      <c r="L1622" s="28" t="s">
        <v>51</v>
      </c>
      <c r="M1622" s="28" t="s">
        <v>51</v>
      </c>
      <c r="N1622" s="28" t="s">
        <v>51</v>
      </c>
    </row>
    <row r="1623" spans="1:14" hidden="1" outlineLevel="1" x14ac:dyDescent="0.15">
      <c r="A1623" s="23" t="str">
        <f>HYPERLINK("https://www.spark-marketing.ru/Card/Person/1005964", "МБОУ ОШ № 25 Г.ЛИПЕЦКА")</f>
        <v>МБОУ ОШ № 25 Г.ЛИПЕЦКА</v>
      </c>
      <c r="B1623" s="24" t="s">
        <v>3154</v>
      </c>
      <c r="C1623" s="25">
        <v>2074640</v>
      </c>
      <c r="D1623" s="22" t="s">
        <v>3121</v>
      </c>
      <c r="E1623" s="22" t="s">
        <v>48</v>
      </c>
      <c r="F1623" s="23" t="str">
        <f t="shared" si="23"/>
        <v>Оказание услуги по организации питания учащихся</v>
      </c>
      <c r="G1623" s="22" t="s">
        <v>101</v>
      </c>
      <c r="H1623" s="22" t="s">
        <v>728</v>
      </c>
      <c r="I1623" s="26">
        <v>43734.505370370403</v>
      </c>
      <c r="J1623" s="28" t="s">
        <v>51</v>
      </c>
      <c r="K1623" s="28" t="s">
        <v>51</v>
      </c>
      <c r="L1623" s="28" t="s">
        <v>51</v>
      </c>
      <c r="M1623" s="28" t="s">
        <v>51</v>
      </c>
      <c r="N1623" s="28" t="s">
        <v>51</v>
      </c>
    </row>
    <row r="1624" spans="1:14" hidden="1" outlineLevel="1" x14ac:dyDescent="0.15">
      <c r="A1624" s="23" t="str">
        <f>HYPERLINK("https://www.spark-marketing.ru/Card/Person/1006129", "МБОУ СШ №9 ИМ. М.В.ВОДОПЬЯНОВА Г.ЛИПЕЦКА")</f>
        <v>МБОУ СШ №9 ИМ. М.В.ВОДОПЬЯНОВА Г.ЛИПЕЦКА</v>
      </c>
      <c r="B1624" s="24" t="s">
        <v>3155</v>
      </c>
      <c r="C1624" s="25">
        <v>3407120</v>
      </c>
      <c r="D1624" s="22" t="s">
        <v>3121</v>
      </c>
      <c r="E1624" s="22" t="s">
        <v>48</v>
      </c>
      <c r="F1624" s="23" t="str">
        <f t="shared" si="23"/>
        <v>Оказание услуги по организации питания учащихся</v>
      </c>
      <c r="G1624" s="22" t="s">
        <v>101</v>
      </c>
      <c r="H1624" s="22" t="s">
        <v>728</v>
      </c>
      <c r="I1624" s="26">
        <v>43734.505370370403</v>
      </c>
      <c r="J1624" s="28" t="s">
        <v>51</v>
      </c>
      <c r="K1624" s="28" t="s">
        <v>51</v>
      </c>
      <c r="L1624" s="28" t="s">
        <v>51</v>
      </c>
      <c r="M1624" s="28" t="s">
        <v>51</v>
      </c>
      <c r="N1624" s="28" t="s">
        <v>51</v>
      </c>
    </row>
    <row r="1625" spans="1:14" hidden="1" outlineLevel="1" x14ac:dyDescent="0.15">
      <c r="A1625" s="23" t="str">
        <f>HYPERLINK("https://www.spark-marketing.ru/Card/Person/1006366", "МБОУ СШ №72 Г. ЛИПЕЦКА")</f>
        <v>МБОУ СШ №72 Г. ЛИПЕЦКА</v>
      </c>
      <c r="B1625" s="24" t="s">
        <v>3156</v>
      </c>
      <c r="C1625" s="25">
        <v>4947760</v>
      </c>
      <c r="D1625" s="22" t="s">
        <v>3121</v>
      </c>
      <c r="E1625" s="22" t="s">
        <v>48</v>
      </c>
      <c r="F1625" s="23" t="str">
        <f t="shared" ref="F1625:F1641" si="24">HYPERLINK("https://www.spark-marketing.ru/Card/Lot/73956079", "Оказание услуги по организации питания учащихся")</f>
        <v>Оказание услуги по организации питания учащихся</v>
      </c>
      <c r="G1625" s="22" t="s">
        <v>101</v>
      </c>
      <c r="H1625" s="22" t="s">
        <v>728</v>
      </c>
      <c r="I1625" s="26">
        <v>43734.505370370403</v>
      </c>
      <c r="J1625" s="28" t="s">
        <v>51</v>
      </c>
      <c r="K1625" s="28" t="s">
        <v>51</v>
      </c>
      <c r="L1625" s="28" t="s">
        <v>51</v>
      </c>
      <c r="M1625" s="28" t="s">
        <v>51</v>
      </c>
      <c r="N1625" s="28" t="s">
        <v>51</v>
      </c>
    </row>
    <row r="1626" spans="1:14" hidden="1" outlineLevel="1" x14ac:dyDescent="0.15">
      <c r="A1626" s="23" t="str">
        <f>HYPERLINK("https://www.spark-marketing.ru/Card/Person/1010786", "МБОУ СШ № 2 Г. ЛИПЕЦКА")</f>
        <v>МБОУ СШ № 2 Г. ЛИПЕЦКА</v>
      </c>
      <c r="B1626" s="24" t="s">
        <v>3157</v>
      </c>
      <c r="C1626" s="25">
        <v>4956240</v>
      </c>
      <c r="D1626" s="22" t="s">
        <v>3121</v>
      </c>
      <c r="E1626" s="22" t="s">
        <v>48</v>
      </c>
      <c r="F1626" s="23" t="str">
        <f t="shared" si="24"/>
        <v>Оказание услуги по организации питания учащихся</v>
      </c>
      <c r="G1626" s="22" t="s">
        <v>101</v>
      </c>
      <c r="H1626" s="22" t="s">
        <v>728</v>
      </c>
      <c r="I1626" s="26">
        <v>43734.505370370403</v>
      </c>
      <c r="J1626" s="28" t="s">
        <v>51</v>
      </c>
      <c r="K1626" s="28" t="s">
        <v>51</v>
      </c>
      <c r="L1626" s="28" t="s">
        <v>51</v>
      </c>
      <c r="M1626" s="28" t="s">
        <v>51</v>
      </c>
      <c r="N1626" s="28" t="s">
        <v>51</v>
      </c>
    </row>
    <row r="1627" spans="1:14" hidden="1" outlineLevel="1" x14ac:dyDescent="0.15">
      <c r="A1627" s="23" t="str">
        <f>HYPERLINK("https://www.spark-marketing.ru/Card/Person/1011381", "МБОУ СШ № 63 Г. ЛИПЕЦКА")</f>
        <v>МБОУ СШ № 63 Г. ЛИПЕЦКА</v>
      </c>
      <c r="B1627" s="24" t="s">
        <v>3158</v>
      </c>
      <c r="C1627" s="25">
        <v>4551280</v>
      </c>
      <c r="D1627" s="22" t="s">
        <v>3121</v>
      </c>
      <c r="E1627" s="22" t="s">
        <v>48</v>
      </c>
      <c r="F1627" s="23" t="str">
        <f t="shared" si="24"/>
        <v>Оказание услуги по организации питания учащихся</v>
      </c>
      <c r="G1627" s="22" t="s">
        <v>101</v>
      </c>
      <c r="H1627" s="22" t="s">
        <v>728</v>
      </c>
      <c r="I1627" s="26">
        <v>43734.505370370403</v>
      </c>
      <c r="J1627" s="28" t="s">
        <v>51</v>
      </c>
      <c r="K1627" s="28" t="s">
        <v>51</v>
      </c>
      <c r="L1627" s="28" t="s">
        <v>51</v>
      </c>
      <c r="M1627" s="28" t="s">
        <v>51</v>
      </c>
      <c r="N1627" s="28" t="s">
        <v>51</v>
      </c>
    </row>
    <row r="1628" spans="1:14" hidden="1" outlineLevel="1" x14ac:dyDescent="0.15">
      <c r="A1628" s="23" t="str">
        <f>HYPERLINK("https://www.spark-marketing.ru/Card/Person/1012837", "МБОУ СШ №68 ГОРОДА ЛИПЕЦКА")</f>
        <v>МБОУ СШ №68 ГОРОДА ЛИПЕЦКА</v>
      </c>
      <c r="B1628" s="24" t="s">
        <v>3159</v>
      </c>
      <c r="C1628" s="25">
        <v>6191840</v>
      </c>
      <c r="D1628" s="22" t="s">
        <v>3121</v>
      </c>
      <c r="E1628" s="22" t="s">
        <v>48</v>
      </c>
      <c r="F1628" s="23" t="str">
        <f t="shared" si="24"/>
        <v>Оказание услуги по организации питания учащихся</v>
      </c>
      <c r="G1628" s="22" t="s">
        <v>101</v>
      </c>
      <c r="H1628" s="22" t="s">
        <v>728</v>
      </c>
      <c r="I1628" s="26">
        <v>43734.505370370403</v>
      </c>
      <c r="J1628" s="28" t="s">
        <v>51</v>
      </c>
      <c r="K1628" s="28" t="s">
        <v>51</v>
      </c>
      <c r="L1628" s="28" t="s">
        <v>51</v>
      </c>
      <c r="M1628" s="28" t="s">
        <v>51</v>
      </c>
      <c r="N1628" s="28" t="s">
        <v>51</v>
      </c>
    </row>
    <row r="1629" spans="1:14" hidden="1" outlineLevel="1" x14ac:dyDescent="0.15">
      <c r="A1629" s="23" t="str">
        <f>HYPERLINK("https://www.spark-marketing.ru/Card/Person/1022745", "МБОУ СШ № 10 Г. ЛИПЕЦКА")</f>
        <v>МБОУ СШ № 10 Г. ЛИПЕЦКА</v>
      </c>
      <c r="B1629" s="24" t="s">
        <v>3160</v>
      </c>
      <c r="C1629" s="25">
        <v>3033920</v>
      </c>
      <c r="D1629" s="22" t="s">
        <v>3121</v>
      </c>
      <c r="E1629" s="22" t="s">
        <v>48</v>
      </c>
      <c r="F1629" s="23" t="str">
        <f t="shared" si="24"/>
        <v>Оказание услуги по организации питания учащихся</v>
      </c>
      <c r="G1629" s="22" t="s">
        <v>101</v>
      </c>
      <c r="H1629" s="22" t="s">
        <v>728</v>
      </c>
      <c r="I1629" s="26">
        <v>43734.505370370403</v>
      </c>
      <c r="J1629" s="28" t="s">
        <v>51</v>
      </c>
      <c r="K1629" s="28" t="s">
        <v>51</v>
      </c>
      <c r="L1629" s="28" t="s">
        <v>51</v>
      </c>
      <c r="M1629" s="28" t="s">
        <v>51</v>
      </c>
      <c r="N1629" s="28" t="s">
        <v>51</v>
      </c>
    </row>
    <row r="1630" spans="1:14" hidden="1" outlineLevel="1" x14ac:dyDescent="0.15">
      <c r="A1630" s="23" t="str">
        <f>HYPERLINK("https://www.spark-marketing.ru/Card/Person/1028509", "МБОУ СШ № 11 Г. ЛИПЕЦКА")</f>
        <v>МБОУ СШ № 11 Г. ЛИПЕЦКА</v>
      </c>
      <c r="B1630" s="24" t="s">
        <v>3161</v>
      </c>
      <c r="C1630" s="25">
        <v>1549840</v>
      </c>
      <c r="D1630" s="22" t="s">
        <v>3121</v>
      </c>
      <c r="E1630" s="22" t="s">
        <v>48</v>
      </c>
      <c r="F1630" s="23" t="str">
        <f t="shared" si="24"/>
        <v>Оказание услуги по организации питания учащихся</v>
      </c>
      <c r="G1630" s="22" t="s">
        <v>101</v>
      </c>
      <c r="H1630" s="22" t="s">
        <v>728</v>
      </c>
      <c r="I1630" s="26">
        <v>43734.505370370403</v>
      </c>
      <c r="J1630" s="28" t="s">
        <v>51</v>
      </c>
      <c r="K1630" s="28" t="s">
        <v>51</v>
      </c>
      <c r="L1630" s="28" t="s">
        <v>51</v>
      </c>
      <c r="M1630" s="28" t="s">
        <v>51</v>
      </c>
      <c r="N1630" s="28" t="s">
        <v>51</v>
      </c>
    </row>
    <row r="1631" spans="1:14" hidden="1" outlineLevel="1" x14ac:dyDescent="0.15">
      <c r="A1631" s="23" t="str">
        <f>HYPERLINK("https://www.spark-marketing.ru/Card/Person/1029124", "МБОУ ""СМШ № 65 ""СПЕКТР"""" Г.ЛИПЕЦКА")</f>
        <v>МБОУ "СМШ № 65 "СПЕКТР"" Г.ЛИПЕЦКА</v>
      </c>
      <c r="B1631" s="24" t="s">
        <v>3162</v>
      </c>
      <c r="C1631" s="25">
        <v>4193920</v>
      </c>
      <c r="D1631" s="22" t="s">
        <v>3121</v>
      </c>
      <c r="E1631" s="22" t="s">
        <v>48</v>
      </c>
      <c r="F1631" s="23" t="str">
        <f t="shared" si="24"/>
        <v>Оказание услуги по организации питания учащихся</v>
      </c>
      <c r="G1631" s="22" t="s">
        <v>101</v>
      </c>
      <c r="H1631" s="22" t="s">
        <v>728</v>
      </c>
      <c r="I1631" s="26">
        <v>43734.505370370403</v>
      </c>
      <c r="J1631" s="28" t="s">
        <v>51</v>
      </c>
      <c r="K1631" s="28" t="s">
        <v>51</v>
      </c>
      <c r="L1631" s="28" t="s">
        <v>51</v>
      </c>
      <c r="M1631" s="28" t="s">
        <v>51</v>
      </c>
      <c r="N1631" s="28" t="s">
        <v>51</v>
      </c>
    </row>
    <row r="1632" spans="1:14" hidden="1" outlineLevel="1" x14ac:dyDescent="0.15">
      <c r="A1632" s="23" t="str">
        <f>HYPERLINK("https://www.spark-marketing.ru/Card/Person/1030124", "МБОУ СШООЗЗ №2 Г.ЛИПЕЦКА")</f>
        <v>МБОУ СШООЗЗ №2 Г.ЛИПЕЦКА</v>
      </c>
      <c r="B1632" s="24" t="s">
        <v>3163</v>
      </c>
      <c r="C1632" s="25">
        <v>1708640</v>
      </c>
      <c r="D1632" s="22" t="s">
        <v>3121</v>
      </c>
      <c r="E1632" s="22" t="s">
        <v>48</v>
      </c>
      <c r="F1632" s="23" t="str">
        <f t="shared" si="24"/>
        <v>Оказание услуги по организации питания учащихся</v>
      </c>
      <c r="G1632" s="22" t="s">
        <v>101</v>
      </c>
      <c r="H1632" s="22" t="s">
        <v>728</v>
      </c>
      <c r="I1632" s="26">
        <v>43734.505370370403</v>
      </c>
      <c r="J1632" s="28" t="s">
        <v>51</v>
      </c>
      <c r="K1632" s="28" t="s">
        <v>51</v>
      </c>
      <c r="L1632" s="28" t="s">
        <v>51</v>
      </c>
      <c r="M1632" s="28" t="s">
        <v>51</v>
      </c>
      <c r="N1632" s="28" t="s">
        <v>51</v>
      </c>
    </row>
    <row r="1633" spans="1:14" hidden="1" outlineLevel="1" x14ac:dyDescent="0.15">
      <c r="A1633" s="23" t="str">
        <f>HYPERLINK("https://www.spark-marketing.ru/Card/Person/1030482", "МБОУ СШ №61")</f>
        <v>МБОУ СШ №61</v>
      </c>
      <c r="B1633" s="24" t="s">
        <v>3164</v>
      </c>
      <c r="C1633" s="25">
        <v>6755600</v>
      </c>
      <c r="D1633" s="22" t="s">
        <v>3121</v>
      </c>
      <c r="E1633" s="22" t="s">
        <v>48</v>
      </c>
      <c r="F1633" s="23" t="str">
        <f t="shared" si="24"/>
        <v>Оказание услуги по организации питания учащихся</v>
      </c>
      <c r="G1633" s="22" t="s">
        <v>101</v>
      </c>
      <c r="H1633" s="22" t="s">
        <v>728</v>
      </c>
      <c r="I1633" s="26">
        <v>43734.505370370403</v>
      </c>
      <c r="J1633" s="28" t="s">
        <v>51</v>
      </c>
      <c r="K1633" s="28" t="s">
        <v>51</v>
      </c>
      <c r="L1633" s="28" t="s">
        <v>51</v>
      </c>
      <c r="M1633" s="28" t="s">
        <v>51</v>
      </c>
      <c r="N1633" s="28" t="s">
        <v>51</v>
      </c>
    </row>
    <row r="1634" spans="1:14" hidden="1" outlineLevel="1" x14ac:dyDescent="0.15">
      <c r="A1634" s="23" t="str">
        <f>HYPERLINK("https://www.spark-marketing.ru/Card/Person/1032234", "МБОУ СОШ №77 Г.ЛИПЕЦКА")</f>
        <v>МБОУ СОШ №77 Г.ЛИПЕЦКА</v>
      </c>
      <c r="B1634" s="24" t="s">
        <v>3165</v>
      </c>
      <c r="C1634" s="25">
        <v>7818000</v>
      </c>
      <c r="D1634" s="22" t="s">
        <v>3121</v>
      </c>
      <c r="E1634" s="22" t="s">
        <v>48</v>
      </c>
      <c r="F1634" s="23" t="str">
        <f t="shared" si="24"/>
        <v>Оказание услуги по организации питания учащихся</v>
      </c>
      <c r="G1634" s="22" t="s">
        <v>101</v>
      </c>
      <c r="H1634" s="22" t="s">
        <v>728</v>
      </c>
      <c r="I1634" s="26">
        <v>43734.505370370403</v>
      </c>
      <c r="J1634" s="28" t="s">
        <v>51</v>
      </c>
      <c r="K1634" s="28" t="s">
        <v>51</v>
      </c>
      <c r="L1634" s="28" t="s">
        <v>51</v>
      </c>
      <c r="M1634" s="28" t="s">
        <v>51</v>
      </c>
      <c r="N1634" s="28" t="s">
        <v>51</v>
      </c>
    </row>
    <row r="1635" spans="1:14" hidden="1" outlineLevel="1" x14ac:dyDescent="0.15">
      <c r="A1635" s="23" t="str">
        <f>HYPERLINK("https://www.spark-marketing.ru/Card/Person/1033537", "МБОУ "" ШКОЛА № 6"" Г. ЛИПЕЦКА")</f>
        <v>МБОУ " ШКОЛА № 6" Г. ЛИПЕЦКА</v>
      </c>
      <c r="B1635" s="24" t="s">
        <v>3166</v>
      </c>
      <c r="C1635" s="25">
        <v>5644400</v>
      </c>
      <c r="D1635" s="22" t="s">
        <v>3121</v>
      </c>
      <c r="E1635" s="22" t="s">
        <v>48</v>
      </c>
      <c r="F1635" s="23" t="str">
        <f t="shared" si="24"/>
        <v>Оказание услуги по организации питания учащихся</v>
      </c>
      <c r="G1635" s="22" t="s">
        <v>101</v>
      </c>
      <c r="H1635" s="22" t="s">
        <v>728</v>
      </c>
      <c r="I1635" s="26">
        <v>43734.505370370403</v>
      </c>
      <c r="J1635" s="28" t="s">
        <v>51</v>
      </c>
      <c r="K1635" s="28" t="s">
        <v>51</v>
      </c>
      <c r="L1635" s="28" t="s">
        <v>51</v>
      </c>
      <c r="M1635" s="28" t="s">
        <v>51</v>
      </c>
      <c r="N1635" s="28" t="s">
        <v>51</v>
      </c>
    </row>
    <row r="1636" spans="1:14" hidden="1" outlineLevel="1" x14ac:dyDescent="0.15">
      <c r="A1636" s="23" t="str">
        <f>HYPERLINK("https://www.spark-marketing.ru/Card/Person/1065993", "МБОУ СШ № 21 Г. ЛИПЕЦКА")</f>
        <v>МБОУ СШ № 21 Г. ЛИПЕЦКА</v>
      </c>
      <c r="B1636" s="24" t="s">
        <v>3167</v>
      </c>
      <c r="C1636" s="25">
        <v>4532320</v>
      </c>
      <c r="D1636" s="22" t="s">
        <v>3121</v>
      </c>
      <c r="E1636" s="22" t="s">
        <v>48</v>
      </c>
      <c r="F1636" s="23" t="str">
        <f t="shared" si="24"/>
        <v>Оказание услуги по организации питания учащихся</v>
      </c>
      <c r="G1636" s="22" t="s">
        <v>101</v>
      </c>
      <c r="H1636" s="22" t="s">
        <v>728</v>
      </c>
      <c r="I1636" s="26">
        <v>43734.505370370403</v>
      </c>
      <c r="J1636" s="28" t="s">
        <v>51</v>
      </c>
      <c r="K1636" s="28" t="s">
        <v>51</v>
      </c>
      <c r="L1636" s="28" t="s">
        <v>51</v>
      </c>
      <c r="M1636" s="28" t="s">
        <v>51</v>
      </c>
      <c r="N1636" s="28" t="s">
        <v>51</v>
      </c>
    </row>
    <row r="1637" spans="1:14" hidden="1" outlineLevel="1" x14ac:dyDescent="0.15">
      <c r="A1637" s="23" t="str">
        <f>HYPERLINK("https://www.spark-marketing.ru/Card/Person/1066052", "МБОУ ООШ № 22 Г. ЛИПЕЦКА")</f>
        <v>МБОУ ООШ № 22 Г. ЛИПЕЦКА</v>
      </c>
      <c r="B1637" s="24" t="s">
        <v>3168</v>
      </c>
      <c r="C1637" s="25">
        <v>366160</v>
      </c>
      <c r="D1637" s="22" t="s">
        <v>3121</v>
      </c>
      <c r="E1637" s="22" t="s">
        <v>48</v>
      </c>
      <c r="F1637" s="23" t="str">
        <f t="shared" si="24"/>
        <v>Оказание услуги по организации питания учащихся</v>
      </c>
      <c r="G1637" s="22" t="s">
        <v>101</v>
      </c>
      <c r="H1637" s="22" t="s">
        <v>728</v>
      </c>
      <c r="I1637" s="26">
        <v>43734.505370370403</v>
      </c>
      <c r="J1637" s="28" t="s">
        <v>51</v>
      </c>
      <c r="K1637" s="28" t="s">
        <v>51</v>
      </c>
      <c r="L1637" s="28" t="s">
        <v>51</v>
      </c>
      <c r="M1637" s="28" t="s">
        <v>51</v>
      </c>
      <c r="N1637" s="28" t="s">
        <v>51</v>
      </c>
    </row>
    <row r="1638" spans="1:14" hidden="1" outlineLevel="1" x14ac:dyDescent="0.15">
      <c r="A1638" s="23" t="str">
        <f>HYPERLINK("https://www.spark-marketing.ru/Card/Person/1848913", "МБОУ СШ № 37 Г.ЛИПЕЦКА")</f>
        <v>МБОУ СШ № 37 Г.ЛИПЕЦКА</v>
      </c>
      <c r="B1638" s="24" t="s">
        <v>3169</v>
      </c>
      <c r="C1638" s="25">
        <v>4847200</v>
      </c>
      <c r="D1638" s="22" t="s">
        <v>3121</v>
      </c>
      <c r="E1638" s="22" t="s">
        <v>48</v>
      </c>
      <c r="F1638" s="23" t="str">
        <f t="shared" si="24"/>
        <v>Оказание услуги по организации питания учащихся</v>
      </c>
      <c r="G1638" s="22" t="s">
        <v>101</v>
      </c>
      <c r="H1638" s="22" t="s">
        <v>728</v>
      </c>
      <c r="I1638" s="26">
        <v>43734.505370370403</v>
      </c>
      <c r="J1638" s="28" t="s">
        <v>51</v>
      </c>
      <c r="K1638" s="28" t="s">
        <v>51</v>
      </c>
      <c r="L1638" s="28" t="s">
        <v>51</v>
      </c>
      <c r="M1638" s="28" t="s">
        <v>51</v>
      </c>
      <c r="N1638" s="28" t="s">
        <v>51</v>
      </c>
    </row>
    <row r="1639" spans="1:14" hidden="1" outlineLevel="1" x14ac:dyDescent="0.15">
      <c r="A1639" s="23" t="str">
        <f>HYPERLINK("https://www.spark-marketing.ru/Card/Person/1848939", "МБОУ СОШ № 4 Г.ЛИПЕЦКА")</f>
        <v>МБОУ СОШ № 4 Г.ЛИПЕЦКА</v>
      </c>
      <c r="B1639" s="24" t="s">
        <v>3170</v>
      </c>
      <c r="C1639" s="25">
        <v>4736880</v>
      </c>
      <c r="D1639" s="22" t="s">
        <v>3121</v>
      </c>
      <c r="E1639" s="22" t="s">
        <v>48</v>
      </c>
      <c r="F1639" s="23" t="str">
        <f t="shared" si="24"/>
        <v>Оказание услуги по организации питания учащихся</v>
      </c>
      <c r="G1639" s="22" t="s">
        <v>101</v>
      </c>
      <c r="H1639" s="22" t="s">
        <v>728</v>
      </c>
      <c r="I1639" s="26">
        <v>43734.505370370403</v>
      </c>
      <c r="J1639" s="28" t="s">
        <v>51</v>
      </c>
      <c r="K1639" s="28" t="s">
        <v>51</v>
      </c>
      <c r="L1639" s="28" t="s">
        <v>51</v>
      </c>
      <c r="M1639" s="28" t="s">
        <v>51</v>
      </c>
      <c r="N1639" s="28" t="s">
        <v>51</v>
      </c>
    </row>
    <row r="1640" spans="1:14" hidden="1" outlineLevel="1" x14ac:dyDescent="0.15">
      <c r="A1640" s="23" t="str">
        <f>HYPERLINK("https://www.spark-marketing.ru/Card/Person/4371879", "МБОУ СОШ № 40 Г.ЛИПЕЦКА")</f>
        <v>МБОУ СОШ № 40 Г.ЛИПЕЦКА</v>
      </c>
      <c r="B1640" s="24" t="s">
        <v>3171</v>
      </c>
      <c r="C1640" s="25">
        <v>4108880</v>
      </c>
      <c r="D1640" s="22" t="s">
        <v>3121</v>
      </c>
      <c r="E1640" s="22" t="s">
        <v>48</v>
      </c>
      <c r="F1640" s="23" t="str">
        <f t="shared" si="24"/>
        <v>Оказание услуги по организации питания учащихся</v>
      </c>
      <c r="G1640" s="22" t="s">
        <v>101</v>
      </c>
      <c r="H1640" s="22" t="s">
        <v>728</v>
      </c>
      <c r="I1640" s="26">
        <v>43734.505370370403</v>
      </c>
      <c r="J1640" s="28" t="s">
        <v>51</v>
      </c>
      <c r="K1640" s="28" t="s">
        <v>51</v>
      </c>
      <c r="L1640" s="28" t="s">
        <v>51</v>
      </c>
      <c r="M1640" s="28" t="s">
        <v>51</v>
      </c>
      <c r="N1640" s="28" t="s">
        <v>51</v>
      </c>
    </row>
    <row r="1641" spans="1:14" hidden="1" outlineLevel="1" x14ac:dyDescent="0.15">
      <c r="A1641" s="23" t="str">
        <f>HYPERLINK("https://www.spark-marketing.ru/Card/Person/4374054", "МБОУ СОШ № 47 Г.ЛИПЕЦКА")</f>
        <v>МБОУ СОШ № 47 Г.ЛИПЕЦКА</v>
      </c>
      <c r="B1641" s="24" t="s">
        <v>3172</v>
      </c>
      <c r="C1641" s="25">
        <v>3548000</v>
      </c>
      <c r="D1641" s="22" t="s">
        <v>3121</v>
      </c>
      <c r="E1641" s="22" t="s">
        <v>48</v>
      </c>
      <c r="F1641" s="23" t="str">
        <f t="shared" si="24"/>
        <v>Оказание услуги по организации питания учащихся</v>
      </c>
      <c r="G1641" s="22" t="s">
        <v>101</v>
      </c>
      <c r="H1641" s="22" t="s">
        <v>728</v>
      </c>
      <c r="I1641" s="26">
        <v>43734.505370370403</v>
      </c>
      <c r="J1641" s="28" t="s">
        <v>51</v>
      </c>
      <c r="K1641" s="28" t="s">
        <v>51</v>
      </c>
      <c r="L1641" s="28" t="s">
        <v>51</v>
      </c>
      <c r="M1641" s="28" t="s">
        <v>51</v>
      </c>
      <c r="N1641" s="28" t="s">
        <v>51</v>
      </c>
    </row>
    <row r="1642" spans="1:14" x14ac:dyDescent="0.15">
      <c r="A1642" s="23" t="str">
        <f>HYPERLINK("https://www.spark-marketing.ru/Card/Person/64295", "ПИОНЕРСКАЯ ГБ")</f>
        <v>ПИОНЕРСКАЯ ГБ</v>
      </c>
      <c r="B1642" s="24" t="s">
        <v>3173</v>
      </c>
      <c r="C1642" s="25">
        <v>3516630</v>
      </c>
      <c r="D1642" s="22" t="s">
        <v>3174</v>
      </c>
      <c r="E1642" s="22" t="s">
        <v>48</v>
      </c>
      <c r="F1642" s="23" t="str">
        <f>HYPERLINK("https://www.spark-marketing.ru/Card/Lot/73942269", "оказание услуг по организации горячего питания находящихся на стационарном лечении пациентов")</f>
        <v>оказание услуг по организации горячего питания находящихся на стационарном лечении пациентов</v>
      </c>
      <c r="G1642" s="22" t="s">
        <v>400</v>
      </c>
      <c r="H1642" s="22" t="s">
        <v>3175</v>
      </c>
      <c r="I1642" s="26">
        <v>43734.503472222197</v>
      </c>
      <c r="J1642" s="28" t="s">
        <v>51</v>
      </c>
      <c r="K1642" s="28" t="s">
        <v>51</v>
      </c>
      <c r="L1642" s="28" t="s">
        <v>51</v>
      </c>
      <c r="M1642" s="28" t="s">
        <v>51</v>
      </c>
      <c r="N1642" s="28" t="s">
        <v>51</v>
      </c>
    </row>
    <row r="1643" spans="1:14" x14ac:dyDescent="0.15">
      <c r="A1643" s="23" t="str">
        <f>HYPERLINK("https://www.spark-marketing.ru/Card/Person/4347757", "ПУ ФСБ РОССИИ ПО БЕЛГОРОДСКОЙ И ВОРОНЕЖСКОЙ ОБЛАСТЯМ")</f>
        <v>ПУ ФСБ РОССИИ ПО БЕЛГОРОДСКОЙ И ВОРОНЕЖСКОЙ ОБЛАСТЯМ</v>
      </c>
      <c r="B1643" s="24" t="s">
        <v>3108</v>
      </c>
      <c r="C1643" s="25">
        <v>282240</v>
      </c>
      <c r="D1643" s="22" t="s">
        <v>3176</v>
      </c>
      <c r="E1643" s="22" t="s">
        <v>48</v>
      </c>
      <c r="F1643" s="23" t="str">
        <f>HYPERLINK("https://www.spark-marketing.ru/Card/Lot/73930560", "Оказание услуг по организации питания сотрудников Заказчика горячей пищей (мапп Бугаевка)")</f>
        <v>Оказание услуг по организации питания сотрудников Заказчика горячей пищей (мапп Бугаевка)</v>
      </c>
      <c r="G1643" s="22" t="s">
        <v>696</v>
      </c>
      <c r="H1643" s="22" t="s">
        <v>1163</v>
      </c>
      <c r="I1643" s="26">
        <v>43734.515972222202</v>
      </c>
      <c r="J1643" s="28" t="s">
        <v>51</v>
      </c>
      <c r="K1643" s="28" t="s">
        <v>51</v>
      </c>
      <c r="L1643" s="28" t="s">
        <v>51</v>
      </c>
      <c r="M1643" s="28" t="s">
        <v>51</v>
      </c>
      <c r="N1643" s="28" t="s">
        <v>51</v>
      </c>
    </row>
    <row r="1644" spans="1:14" x14ac:dyDescent="0.15">
      <c r="A1644" s="23" t="str">
        <f>HYPERLINK("https://www.spark-marketing.ru/Card/Person/37828", "ГБУЗ НД")</f>
        <v>ГБУЗ НД</v>
      </c>
      <c r="B1644" s="24" t="s">
        <v>118</v>
      </c>
      <c r="C1644" s="25">
        <v>499800</v>
      </c>
      <c r="D1644" s="22" t="s">
        <v>3177</v>
      </c>
      <c r="E1644" s="22" t="s">
        <v>96</v>
      </c>
      <c r="F1644" s="23" t="str">
        <f>HYPERLINK("https://www.spark-marketing.ru/Card/Lot/73933121", "Оказание услуг по обеспечению питанием")</f>
        <v>Оказание услуг по обеспечению питанием</v>
      </c>
      <c r="G1644" s="22" t="s">
        <v>104</v>
      </c>
      <c r="H1644" s="22" t="s">
        <v>120</v>
      </c>
      <c r="I1644" s="26">
        <v>43734.525694444397</v>
      </c>
      <c r="J1644" s="23" t="str">
        <f>HYPERLINK("https://www.spark-marketing.ru/Card/Person/1170194", "Соколова Виктория Сергеевна")</f>
        <v>Соколова Виктория Сергеевна</v>
      </c>
      <c r="K1644" s="24" t="s">
        <v>2331</v>
      </c>
      <c r="L1644" s="22" t="s">
        <v>10</v>
      </c>
      <c r="M1644" s="28" t="s">
        <v>51</v>
      </c>
      <c r="N1644" s="28" t="s">
        <v>51</v>
      </c>
    </row>
    <row r="1645" spans="1:14" x14ac:dyDescent="0.15">
      <c r="A1645" s="23" t="str">
        <f>HYPERLINK("https://www.spark-marketing.ru/Card/Person/37828", "ГБУЗ НД")</f>
        <v>ГБУЗ НД</v>
      </c>
      <c r="B1645" s="24" t="s">
        <v>118</v>
      </c>
      <c r="C1645" s="25">
        <v>499800</v>
      </c>
      <c r="D1645" s="22" t="s">
        <v>3178</v>
      </c>
      <c r="E1645" s="22" t="s">
        <v>96</v>
      </c>
      <c r="F1645" s="23" t="str">
        <f>HYPERLINK("https://www.spark-marketing.ru/Card/Lot/73933122", "Оказание услуг по обеспечению питанием")</f>
        <v>Оказание услуг по обеспечению питанием</v>
      </c>
      <c r="G1645" s="22" t="s">
        <v>104</v>
      </c>
      <c r="H1645" s="22" t="s">
        <v>120</v>
      </c>
      <c r="I1645" s="26">
        <v>43734.525694444397</v>
      </c>
      <c r="J1645" s="23" t="str">
        <f>HYPERLINK("https://www.spark-marketing.ru/Card/Person/1170194", "Соколова Виктория Сергеевна")</f>
        <v>Соколова Виктория Сергеевна</v>
      </c>
      <c r="K1645" s="24" t="s">
        <v>2331</v>
      </c>
      <c r="L1645" s="22" t="s">
        <v>10</v>
      </c>
      <c r="M1645" s="28" t="s">
        <v>51</v>
      </c>
      <c r="N1645" s="28" t="s">
        <v>51</v>
      </c>
    </row>
    <row r="1646" spans="1:14" x14ac:dyDescent="0.15">
      <c r="A1646" s="23" t="str">
        <f>HYPERLINK("https://www.spark-marketing.ru/Card/Person/4365569", "ФГУП ""РОСМОРПОРТ""")</f>
        <v>ФГУП "РОСМОРПОРТ"</v>
      </c>
      <c r="B1646" s="24" t="s">
        <v>1266</v>
      </c>
      <c r="C1646" s="28" t="s">
        <v>51</v>
      </c>
      <c r="D1646" s="22" t="s">
        <v>3179</v>
      </c>
      <c r="E1646" s="22" t="s">
        <v>860</v>
      </c>
      <c r="F1646" s="23" t="str">
        <f>HYPERLINK("https://www.spark-marketing.ru/Card/Lot/73983367", "Поставка продуктов питания для организации коллективного питания лоцманов, работников участков службы навигационно-гидрографического обеспечения и экипажей судов Астраханского филиала ФГУП «Росморпорт».")</f>
        <v>Поставка продуктов питания для организации коллективного питания лоцманов, работников участков службы навигационно-гидрографического обеспечения и экипажей судов Астраханского филиала ФГУП «Росморпорт».</v>
      </c>
      <c r="G1646" s="22" t="s">
        <v>56</v>
      </c>
      <c r="H1646" s="22" t="s">
        <v>56</v>
      </c>
      <c r="I1646" s="26">
        <v>43734.470833333296</v>
      </c>
      <c r="J1646" s="28" t="s">
        <v>51</v>
      </c>
      <c r="K1646" s="28" t="s">
        <v>51</v>
      </c>
      <c r="L1646" s="28" t="s">
        <v>51</v>
      </c>
      <c r="M1646" s="28" t="s">
        <v>51</v>
      </c>
      <c r="N1646" s="28" t="s">
        <v>51</v>
      </c>
    </row>
    <row r="1647" spans="1:14" x14ac:dyDescent="0.15">
      <c r="A1647" s="23" t="str">
        <f>HYPERLINK("https://www.spark-marketing.ru/Card/Person/269572", "АРБИТРАЖНЫЙ СУД АРХАНГЕЛЬСКОЙ ОБЛАСТИ")</f>
        <v>АРБИТРАЖНЫЙ СУД АРХАНГЕЛЬСКОЙ ОБЛАСТИ</v>
      </c>
      <c r="B1647" s="24" t="s">
        <v>3180</v>
      </c>
      <c r="C1647" s="25">
        <v>399993.33</v>
      </c>
      <c r="D1647" s="22" t="s">
        <v>3181</v>
      </c>
      <c r="E1647" s="22" t="s">
        <v>809</v>
      </c>
      <c r="F1647" s="23" t="str">
        <f>HYPERLINK("https://www.spark-marketing.ru/Card/Lot/73931335", "Поставка с установкой источника бесперебойного питания для серверной стойки (242 Закупка товаров, работ, услуг в сфере информационно-коммуникационных технологий)")</f>
        <v>Поставка с установкой источника бесперебойного питания для серверной стойки (242 Закупка товаров, работ, услуг в сфере информационно-коммуникационных технологий)</v>
      </c>
      <c r="G1647" s="22" t="s">
        <v>214</v>
      </c>
      <c r="H1647" s="22" t="s">
        <v>523</v>
      </c>
      <c r="I1647" s="26">
        <v>43734.476122685199</v>
      </c>
      <c r="J1647" s="28" t="s">
        <v>51</v>
      </c>
      <c r="K1647" s="28" t="s">
        <v>51</v>
      </c>
      <c r="L1647" s="28" t="s">
        <v>51</v>
      </c>
      <c r="M1647" s="28" t="s">
        <v>51</v>
      </c>
      <c r="N1647" s="28" t="s">
        <v>51</v>
      </c>
    </row>
    <row r="1648" spans="1:14" hidden="1" outlineLevel="1" x14ac:dyDescent="0.2">
      <c r="A1648" s="23" t="str">
        <f>HYPERLINK("https://www.spark-marketing.ru/Card/Person/269572", "АРБИТРАЖНЫЙ СУД АРХАНГЕЛЬСКОЙ ОБЛАСТИ")</f>
        <v>АРБИТРАЖНЫЙ СУД АРХАНГЕЛЬСКОЙ ОБЛАСТИ</v>
      </c>
      <c r="B1648" s="24" t="s">
        <v>3180</v>
      </c>
      <c r="C1648" s="25">
        <v>399993.33</v>
      </c>
      <c r="D1648" s="22" t="s">
        <v>3181</v>
      </c>
      <c r="E1648" s="22" t="s">
        <v>809</v>
      </c>
      <c r="F1648" s="23" t="str">
        <f>HYPERLINK("https://www.spark-marketing.ru/Card/Lot/73931335", "Поставка с установкой источника бесперебойного питания для серверной стойки (242 Закупка товаров, работ, услуг в сфере информационно-коммуникационных технологий)")</f>
        <v>Поставка с установкой источника бесперебойного питания для серверной стойки (242 Закупка товаров, работ, услуг в сфере информационно-коммуникационных технологий)</v>
      </c>
      <c r="G1648" s="22" t="s">
        <v>214</v>
      </c>
      <c r="H1648" s="22" t="s">
        <v>523</v>
      </c>
      <c r="I1648" s="26">
        <v>43734.476122685199</v>
      </c>
      <c r="J1648" s="23" t="str">
        <f>HYPERLINK("https://www.spark-marketing.ru/Card/Person/82344", "ООО ""КОНСТАНТА-ПЛЮС""")</f>
        <v>ООО "КОНСТАНТА-ПЛЮС"</v>
      </c>
      <c r="K1648" s="24" t="s">
        <v>3182</v>
      </c>
      <c r="L1648" s="28" t="s">
        <v>51</v>
      </c>
      <c r="M1648" s="25">
        <v>352159.73</v>
      </c>
      <c r="N1648" s="27">
        <v>0.11958599409645156</v>
      </c>
    </row>
    <row r="1649" spans="1:14" ht="12.75" hidden="1" outlineLevel="1" x14ac:dyDescent="0.2">
      <c r="A1649" s="23" t="str">
        <f>HYPERLINK("https://www.spark-marketing.ru/Card/Person/269572", "АРБИТРАЖНЫЙ СУД АРХАНГЕЛЬСКОЙ ОБЛАСТИ")</f>
        <v>АРБИТРАЖНЫЙ СУД АРХАНГЕЛЬСКОЙ ОБЛАСТИ</v>
      </c>
      <c r="B1649" s="24" t="s">
        <v>3180</v>
      </c>
      <c r="C1649" s="25">
        <v>399993.33</v>
      </c>
      <c r="D1649" s="22" t="s">
        <v>3181</v>
      </c>
      <c r="E1649" s="22" t="s">
        <v>809</v>
      </c>
      <c r="F1649" s="23" t="str">
        <f>HYPERLINK("https://www.spark-marketing.ru/Card/Lot/73931335", "Поставка с установкой источника бесперебойного питания для серверной стойки (242 Закупка товаров, работ, услуг в сфере информационно-коммуникационных технологий)")</f>
        <v>Поставка с установкой источника бесперебойного питания для серверной стойки (242 Закупка товаров, работ, услуг в сфере информационно-коммуникационных технологий)</v>
      </c>
      <c r="G1649" s="22" t="s">
        <v>214</v>
      </c>
      <c r="H1649" s="22" t="s">
        <v>523</v>
      </c>
      <c r="I1649" s="26">
        <v>43734.476122685199</v>
      </c>
      <c r="J1649" s="23" t="str">
        <f>HYPERLINK("https://www.spark-marketing.ru/Card/Person/4708196", "ООО ""ПС ТРЕЙД""")</f>
        <v>ООО "ПС ТРЕЙД"</v>
      </c>
      <c r="K1649" s="24" t="s">
        <v>3183</v>
      </c>
      <c r="L1649" s="22" t="s">
        <v>10</v>
      </c>
      <c r="M1649" s="25">
        <v>350159.76</v>
      </c>
      <c r="N1649" s="27">
        <v>0.12458600247159121</v>
      </c>
    </row>
    <row r="1650" spans="1:14" x14ac:dyDescent="0.15">
      <c r="A1650" s="23" t="str">
        <f>HYPERLINK("https://www.spark-marketing.ru/Card/Person/149202", "МО МВД РОССИИ ""ВЫШНЕВОЛОЦКИЙ""")</f>
        <v>МО МВД РОССИИ "ВЫШНЕВОЛОЦКИЙ"</v>
      </c>
      <c r="B1650" s="24" t="s">
        <v>1042</v>
      </c>
      <c r="C1650" s="25">
        <v>67075</v>
      </c>
      <c r="D1650" s="22" t="s">
        <v>3184</v>
      </c>
      <c r="E1650" s="22" t="s">
        <v>48</v>
      </c>
      <c r="F1650" s="23" t="str">
        <f>HYPERLINK("https://www.spark-marketing.ru/Card/Lot/73902432",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1650" s="22" t="s">
        <v>137</v>
      </c>
      <c r="H1650" s="22" t="s">
        <v>1044</v>
      </c>
      <c r="I1650" s="26">
        <v>43734.466643518499</v>
      </c>
      <c r="J1650" s="28" t="s">
        <v>51</v>
      </c>
      <c r="K1650" s="28" t="s">
        <v>51</v>
      </c>
      <c r="L1650" s="28" t="s">
        <v>51</v>
      </c>
      <c r="M1650" s="28" t="s">
        <v>51</v>
      </c>
      <c r="N1650" s="28" t="s">
        <v>51</v>
      </c>
    </row>
    <row r="1651" spans="1:14" ht="12.75" x14ac:dyDescent="0.2">
      <c r="A1651" s="23" t="str">
        <f>HYPERLINK("https://www.spark-marketing.ru/Card/Person/261615", "ФКУ ИК-17 УФСИН РОССИИ ПО КИРОВСКОЙ ОБЛАСТИ")</f>
        <v>ФКУ ИК-17 УФСИН РОССИИ ПО КИРОВСКОЙ ОБЛАСТИ</v>
      </c>
      <c r="B1651" s="24" t="s">
        <v>3185</v>
      </c>
      <c r="C1651" s="25">
        <v>35362.199999999997</v>
      </c>
      <c r="D1651" s="22" t="s">
        <v>3186</v>
      </c>
      <c r="E1651" s="22" t="s">
        <v>437</v>
      </c>
      <c r="F1651" s="23" t="str">
        <f>HYPERLINK("https://www.spark-marketing.ru/Card/Lot/73915165", "Услуги контроля за производством продуктов питания")</f>
        <v>Услуги контроля за производством продуктов питания</v>
      </c>
      <c r="G1651" s="22" t="s">
        <v>224</v>
      </c>
      <c r="H1651" s="22" t="s">
        <v>224</v>
      </c>
      <c r="I1651" s="26">
        <v>43734.463888888902</v>
      </c>
      <c r="J1651" s="23" t="str">
        <f>HYPERLINK("https://www.spark-marketing.ru/Card/Person/1907", "ФБУЗ ""ЦЕНТР ГИГИЕНЫ И ЭПИДЕМИОЛОГИИ В КИРОВСКОЙ ОБЛАСТИ""")</f>
        <v>ФБУЗ "ЦЕНТР ГИГИЕНЫ И ЭПИДЕМИОЛОГИИ В КИРОВСКОЙ ОБЛАСТИ"</v>
      </c>
      <c r="K1651" s="24" t="s">
        <v>3187</v>
      </c>
      <c r="L1651" s="22" t="s">
        <v>10</v>
      </c>
      <c r="M1651" s="25">
        <v>35361.71</v>
      </c>
      <c r="N1651" s="27">
        <v>1.3856603944324731E-5</v>
      </c>
    </row>
    <row r="1652" spans="1:14" x14ac:dyDescent="0.15">
      <c r="A1652" s="23" t="s">
        <v>114</v>
      </c>
      <c r="B1652" s="28" t="s">
        <v>51</v>
      </c>
      <c r="C1652" s="25">
        <v>48115395</v>
      </c>
      <c r="D1652" s="22" t="s">
        <v>3188</v>
      </c>
      <c r="E1652" s="22" t="s">
        <v>48</v>
      </c>
      <c r="F1652" s="23" t="str">
        <f>HYPERLINK("https://www.spark-marketing.ru/Card/Lot/73942425", "Оказание услуг общественного питания для медицинской организации")</f>
        <v>Оказание услуг общественного питания для медицинской организации</v>
      </c>
      <c r="G1652" s="22" t="s">
        <v>51</v>
      </c>
      <c r="H1652" s="22" t="s">
        <v>51</v>
      </c>
      <c r="I1652" s="26">
        <v>43734.634004629603</v>
      </c>
      <c r="J1652" s="28" t="s">
        <v>51</v>
      </c>
      <c r="K1652" s="28" t="s">
        <v>51</v>
      </c>
      <c r="L1652" s="28" t="s">
        <v>51</v>
      </c>
      <c r="M1652" s="28" t="s">
        <v>51</v>
      </c>
      <c r="N1652" s="28" t="s">
        <v>51</v>
      </c>
    </row>
    <row r="1653" spans="1:14" hidden="1" outlineLevel="1" x14ac:dyDescent="0.15">
      <c r="A1653" s="23" t="str">
        <f>HYPERLINK("https://www.spark-marketing.ru/Card/Person/14992", "ГБУЗ КО ""НГДКБ № 4""")</f>
        <v>ГБУЗ КО "НГДКБ № 4"</v>
      </c>
      <c r="B1653" s="24" t="s">
        <v>3189</v>
      </c>
      <c r="C1653" s="25">
        <v>32183145</v>
      </c>
      <c r="D1653" s="22" t="s">
        <v>3188</v>
      </c>
      <c r="E1653" s="22" t="s">
        <v>48</v>
      </c>
      <c r="F1653" s="23" t="str">
        <f>HYPERLINK("https://www.spark-marketing.ru/Card/Lot/73942425", "Оказание услуг общественного питания для медицинской организации")</f>
        <v>Оказание услуг общественного питания для медицинской организации</v>
      </c>
      <c r="G1653" s="22" t="s">
        <v>304</v>
      </c>
      <c r="H1653" s="22" t="s">
        <v>3190</v>
      </c>
      <c r="I1653" s="26">
        <v>43734.634004629603</v>
      </c>
      <c r="J1653" s="28" t="s">
        <v>51</v>
      </c>
      <c r="K1653" s="28" t="s">
        <v>51</v>
      </c>
      <c r="L1653" s="28" t="s">
        <v>51</v>
      </c>
      <c r="M1653" s="28" t="s">
        <v>51</v>
      </c>
      <c r="N1653" s="28" t="s">
        <v>51</v>
      </c>
    </row>
    <row r="1654" spans="1:14" hidden="1" outlineLevel="1" x14ac:dyDescent="0.15">
      <c r="A1654" s="23" t="str">
        <f>HYPERLINK("https://www.spark-marketing.ru/Card/Person/59024", "ГБУЗ КО ""НГДКБ №3""")</f>
        <v>ГБУЗ КО "НГДКБ №3"</v>
      </c>
      <c r="B1654" s="24" t="s">
        <v>3191</v>
      </c>
      <c r="C1654" s="25">
        <v>15932250</v>
      </c>
      <c r="D1654" s="22" t="s">
        <v>3188</v>
      </c>
      <c r="E1654" s="22" t="s">
        <v>48</v>
      </c>
      <c r="F1654" s="23" t="str">
        <f>HYPERLINK("https://www.spark-marketing.ru/Card/Lot/73942425", "Оказание услуг общественного питания для медицинской организации")</f>
        <v>Оказание услуг общественного питания для медицинской организации</v>
      </c>
      <c r="G1654" s="22" t="s">
        <v>304</v>
      </c>
      <c r="H1654" s="22" t="s">
        <v>3190</v>
      </c>
      <c r="I1654" s="26">
        <v>43734.634004629603</v>
      </c>
      <c r="J1654" s="28" t="s">
        <v>51</v>
      </c>
      <c r="K1654" s="28" t="s">
        <v>51</v>
      </c>
      <c r="L1654" s="28" t="s">
        <v>51</v>
      </c>
      <c r="M1654" s="28" t="s">
        <v>51</v>
      </c>
      <c r="N1654" s="28" t="s">
        <v>51</v>
      </c>
    </row>
    <row r="1655" spans="1:14" x14ac:dyDescent="0.15">
      <c r="A1655" s="23" t="str">
        <f>HYPERLINK("https://www.spark-marketing.ru/Card/Person/149202", "МО МВД РОССИИ ""ВЫШНЕВОЛОЦКИЙ""")</f>
        <v>МО МВД РОССИИ "ВЫШНЕВОЛОЦКИЙ"</v>
      </c>
      <c r="B1655" s="24" t="s">
        <v>1042</v>
      </c>
      <c r="C1655" s="25">
        <v>308890</v>
      </c>
      <c r="D1655" s="22" t="s">
        <v>3192</v>
      </c>
      <c r="E1655" s="22" t="s">
        <v>96</v>
      </c>
      <c r="F1655" s="23" t="str">
        <f>HYPERLINK("https://www.spark-marketing.ru/Card/Lot/73930982", "Услуги по организации питания")</f>
        <v>Услуги по организации питания</v>
      </c>
      <c r="G1655" s="22" t="s">
        <v>137</v>
      </c>
      <c r="H1655" s="22" t="s">
        <v>1044</v>
      </c>
      <c r="I1655" s="26">
        <v>43734.475694444402</v>
      </c>
      <c r="J1655" s="23" t="str">
        <f>HYPERLINK("https://www.spark-marketing.ru/Card/Person/137941", "Пушкина Светлана Александровна")</f>
        <v>Пушкина Светлана Александровна</v>
      </c>
      <c r="K1655" s="24" t="s">
        <v>3193</v>
      </c>
      <c r="L1655" s="22" t="s">
        <v>10</v>
      </c>
      <c r="M1655" s="28" t="s">
        <v>51</v>
      </c>
      <c r="N1655" s="28" t="s">
        <v>51</v>
      </c>
    </row>
    <row r="1656" spans="1:14" x14ac:dyDescent="0.15">
      <c r="A1656" s="23" t="str">
        <f>HYPERLINK("https://www.spark-marketing.ru/Card/Person/131439", "УМВД РОССИИ ПО Г.ВОЛОГДЕ")</f>
        <v>УМВД РОССИИ ПО Г.ВОЛОГДЕ</v>
      </c>
      <c r="B1656" s="24" t="s">
        <v>3194</v>
      </c>
      <c r="C1656" s="25">
        <v>545040</v>
      </c>
      <c r="D1656" s="22" t="s">
        <v>3195</v>
      </c>
      <c r="E1656" s="22" t="s">
        <v>96</v>
      </c>
      <c r="F1656" s="23" t="str">
        <f>HYPERLINK("https://www.spark-marketing.ru/Card/Lot/73933333", "Оказание услуг по обеспечению ежедневным питанием задержанных граждан")</f>
        <v>Оказание услуг по обеспечению ежедневным питанием задержанных граждан</v>
      </c>
      <c r="G1656" s="22" t="s">
        <v>503</v>
      </c>
      <c r="H1656" s="22" t="s">
        <v>503</v>
      </c>
      <c r="I1656" s="26">
        <v>43734.471527777801</v>
      </c>
      <c r="J1656" s="23" t="str">
        <f>HYPERLINK("https://www.spark-marketing.ru/Card/Person/105572", "ООО ""ЦЕНТРОПИТ""")</f>
        <v>ООО "ЦЕНТРОПИТ"</v>
      </c>
      <c r="K1656" s="24" t="s">
        <v>3196</v>
      </c>
      <c r="L1656" s="22" t="s">
        <v>10</v>
      </c>
      <c r="M1656" s="28" t="s">
        <v>51</v>
      </c>
      <c r="N1656" s="28" t="s">
        <v>51</v>
      </c>
    </row>
    <row r="1657" spans="1:14" x14ac:dyDescent="0.15">
      <c r="A1657" s="23" t="str">
        <f>HYPERLINK("https://www.spark-marketing.ru/Card/Person/149202", "МО МВД РОССИИ ""ВЫШНЕВОЛОЦКИЙ""")</f>
        <v>МО МВД РОССИИ "ВЫШНЕВОЛОЦКИЙ"</v>
      </c>
      <c r="B1657" s="24" t="s">
        <v>1042</v>
      </c>
      <c r="C1657" s="25">
        <v>255760</v>
      </c>
      <c r="D1657" s="22" t="s">
        <v>3197</v>
      </c>
      <c r="E1657" s="22" t="s">
        <v>96</v>
      </c>
      <c r="F1657" s="23" t="str">
        <f>HYPERLINK("https://www.spark-marketing.ru/Card/Lot/73930425", "Услуги по организации питания")</f>
        <v>Услуги по организации питания</v>
      </c>
      <c r="G1657" s="22" t="s">
        <v>137</v>
      </c>
      <c r="H1657" s="22" t="s">
        <v>1044</v>
      </c>
      <c r="I1657" s="26">
        <v>43734.477083333302</v>
      </c>
      <c r="J1657" s="23" t="str">
        <f>HYPERLINK("https://www.spark-marketing.ru/Card/Person/137941", "Пушкина Светлана Александровна")</f>
        <v>Пушкина Светлана Александровна</v>
      </c>
      <c r="K1657" s="24" t="s">
        <v>3193</v>
      </c>
      <c r="L1657" s="22" t="s">
        <v>10</v>
      </c>
      <c r="M1657" s="28" t="s">
        <v>51</v>
      </c>
      <c r="N1657" s="28" t="s">
        <v>51</v>
      </c>
    </row>
    <row r="1658" spans="1:14" x14ac:dyDescent="0.15">
      <c r="A1658" s="23" t="str">
        <f>HYPERLINK("https://www.spark-marketing.ru/Card/Person/16469", "ГБУЗ СО ""ПТД""")</f>
        <v>ГБУЗ СО "ПТД"</v>
      </c>
      <c r="B1658" s="24" t="s">
        <v>2531</v>
      </c>
      <c r="C1658" s="25">
        <v>524934.6</v>
      </c>
      <c r="D1658" s="22" t="s">
        <v>3198</v>
      </c>
      <c r="E1658" s="22" t="s">
        <v>96</v>
      </c>
      <c r="F1658" s="23" t="str">
        <f>HYPERLINK("https://www.spark-marketing.ru/Card/Lot/73940471", "Оказание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(ноябрь).")</f>
        <v>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(ноябрь).</v>
      </c>
      <c r="G1658" s="22" t="s">
        <v>174</v>
      </c>
      <c r="H1658" s="22" t="s">
        <v>530</v>
      </c>
      <c r="I1658" s="26">
        <v>43734.468055555597</v>
      </c>
      <c r="J1658" s="28" t="s">
        <v>51</v>
      </c>
      <c r="K1658" s="28" t="s">
        <v>51</v>
      </c>
      <c r="L1658" s="28" t="s">
        <v>51</v>
      </c>
      <c r="M1658" s="28" t="s">
        <v>51</v>
      </c>
      <c r="N1658" s="28" t="s">
        <v>51</v>
      </c>
    </row>
    <row r="1659" spans="1:14" hidden="1" outlineLevel="1" x14ac:dyDescent="0.2">
      <c r="A1659" s="23" t="str">
        <f>HYPERLINK("https://www.spark-marketing.ru/Card/Person/16469", "ГБУЗ СО ""ПТД""")</f>
        <v>ГБУЗ СО "ПТД"</v>
      </c>
      <c r="B1659" s="24" t="s">
        <v>2531</v>
      </c>
      <c r="C1659" s="25">
        <v>524934.6</v>
      </c>
      <c r="D1659" s="22" t="s">
        <v>3198</v>
      </c>
      <c r="E1659" s="22" t="s">
        <v>96</v>
      </c>
      <c r="F1659" s="23" t="str">
        <f>HYPERLINK("https://www.spark-marketing.ru/Card/Lot/73940471", "Оказание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(ноябрь).")</f>
        <v>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(ноябрь).</v>
      </c>
      <c r="G1659" s="22" t="s">
        <v>174</v>
      </c>
      <c r="H1659" s="22" t="s">
        <v>530</v>
      </c>
      <c r="I1659" s="26">
        <v>43734.468055555597</v>
      </c>
      <c r="J1659" s="23" t="str">
        <f>HYPERLINK("https://www.spark-marketing.ru/Card/Person/4868934", "ООО ""АЗБУКА ПИТАНИЯ""")</f>
        <v>ООО "АЗБУКА ПИТАНИЯ"</v>
      </c>
      <c r="K1659" s="24" t="s">
        <v>2534</v>
      </c>
      <c r="L1659" s="28" t="s">
        <v>51</v>
      </c>
      <c r="M1659" s="25">
        <v>485564.55</v>
      </c>
      <c r="N1659" s="27">
        <v>7.4999914275035398E-2</v>
      </c>
    </row>
    <row r="1660" spans="1:14" ht="12.75" hidden="1" outlineLevel="1" x14ac:dyDescent="0.2">
      <c r="A1660" s="23" t="str">
        <f>HYPERLINK("https://www.spark-marketing.ru/Card/Person/16469", "ГБУЗ СО ""ПТД""")</f>
        <v>ГБУЗ СО "ПТД"</v>
      </c>
      <c r="B1660" s="24" t="s">
        <v>2531</v>
      </c>
      <c r="C1660" s="25">
        <v>524934.6</v>
      </c>
      <c r="D1660" s="22" t="s">
        <v>3198</v>
      </c>
      <c r="E1660" s="22" t="s">
        <v>96</v>
      </c>
      <c r="F1660" s="23" t="str">
        <f>HYPERLINK("https://www.spark-marketing.ru/Card/Lot/73940471", "Оказание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(ноябрь).")</f>
        <v>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(ноябрь).</v>
      </c>
      <c r="G1660" s="22" t="s">
        <v>174</v>
      </c>
      <c r="H1660" s="22" t="s">
        <v>530</v>
      </c>
      <c r="I1660" s="26">
        <v>43734.468055555597</v>
      </c>
      <c r="J1660" s="23" t="str">
        <f>HYPERLINK("https://www.spark-marketing.ru/Card/Person/142277", "ООО ""ОКЕЙТЕРИНГ""")</f>
        <v>ООО "ОКЕЙТЕРИНГ"</v>
      </c>
      <c r="K1660" s="24" t="s">
        <v>2533</v>
      </c>
      <c r="L1660" s="22" t="s">
        <v>10</v>
      </c>
      <c r="M1660" s="25">
        <v>482939.88</v>
      </c>
      <c r="N1660" s="27">
        <v>7.9999908560037761E-2</v>
      </c>
    </row>
    <row r="1661" spans="1:14" ht="12.75" x14ac:dyDescent="0.2">
      <c r="A1661" s="23" t="str">
        <f>HYPERLINK("https://www.spark-marketing.ru/Card/Person/887485", "ОТДЕЛ МВД РОССИИ ПО НОВОКУБАНСКОМУ РАЙОНУ")</f>
        <v>ОТДЕЛ МВД РОССИИ ПО НОВОКУБАНСКОМУ РАЙОНУ</v>
      </c>
      <c r="B1661" s="24" t="s">
        <v>3199</v>
      </c>
      <c r="C1661" s="25">
        <v>190000</v>
      </c>
      <c r="D1661" s="22" t="s">
        <v>3200</v>
      </c>
      <c r="E1661" s="22" t="s">
        <v>48</v>
      </c>
      <c r="F1661" s="23" t="str">
        <f>HYPERLINK("https://www.spark-marketing.ru/Card/Lot/73932090", "услуги по обеспечению питанием")</f>
        <v>услуги по обеспечению питанием</v>
      </c>
      <c r="G1661" s="22" t="s">
        <v>104</v>
      </c>
      <c r="H1661" s="22" t="s">
        <v>3201</v>
      </c>
      <c r="I1661" s="26">
        <v>43734.4819444444</v>
      </c>
      <c r="J1661" s="23" t="str">
        <f>HYPERLINK("https://www.spark-marketing.ru/Card/Person/5972284", "Костырин Алексей Михайлович")</f>
        <v>Костырин Алексей Михайлович</v>
      </c>
      <c r="K1661" s="24" t="s">
        <v>3202</v>
      </c>
      <c r="L1661" s="22" t="s">
        <v>10</v>
      </c>
      <c r="M1661" s="25">
        <v>180000</v>
      </c>
      <c r="N1661" s="27">
        <v>5.2631578947368418E-2</v>
      </c>
    </row>
    <row r="1662" spans="1:14" x14ac:dyDescent="0.15">
      <c r="A1662" s="23" t="str">
        <f>HYPERLINK("https://www.spark-marketing.ru/Card/Person/81143", "ГБОУ КО КШИ ""АПКМК""")</f>
        <v>ГБОУ КО КШИ "АПКМК"</v>
      </c>
      <c r="B1662" s="24" t="s">
        <v>3203</v>
      </c>
      <c r="C1662" s="25">
        <v>5451936</v>
      </c>
      <c r="D1662" s="22" t="s">
        <v>3204</v>
      </c>
      <c r="E1662" s="22" t="s">
        <v>48</v>
      </c>
      <c r="F1662" s="23" t="str">
        <f>HYPERLINK("https://www.spark-marketing.ru/Card/Lot/73942354", "Оказание услуг по организации питания воспитанников")</f>
        <v>Оказание услуг по организации питания воспитанников</v>
      </c>
      <c r="G1662" s="22" t="s">
        <v>400</v>
      </c>
      <c r="H1662" s="22" t="s">
        <v>401</v>
      </c>
      <c r="I1662" s="26">
        <v>43734.382152777798</v>
      </c>
      <c r="J1662" s="28" t="s">
        <v>51</v>
      </c>
      <c r="K1662" s="28" t="s">
        <v>51</v>
      </c>
      <c r="L1662" s="28" t="s">
        <v>51</v>
      </c>
      <c r="M1662" s="28" t="s">
        <v>51</v>
      </c>
      <c r="N1662" s="28" t="s">
        <v>51</v>
      </c>
    </row>
    <row r="1663" spans="1:14" x14ac:dyDescent="0.15">
      <c r="A1663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1663" s="24" t="s">
        <v>2604</v>
      </c>
      <c r="C1663" s="25">
        <v>47000</v>
      </c>
      <c r="D1663" s="22" t="s">
        <v>3205</v>
      </c>
      <c r="E1663" s="22" t="s">
        <v>48</v>
      </c>
      <c r="F1663" s="23" t="str">
        <f>HYPERLINK("https://www.spark-marketing.ru/Card/Lot/73925316",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1663" s="22" t="s">
        <v>1096</v>
      </c>
      <c r="H1663" s="22" t="s">
        <v>1097</v>
      </c>
      <c r="I1663" s="26">
        <v>43734.430555555598</v>
      </c>
      <c r="J1663" s="23" t="str">
        <f>HYPERLINK("https://www.spark-marketing.ru/Card/Person/13082", "МКОУ СОШ С. НЕЛЬКАН АЯНО-МАЙСКОГО МУНИЦИПАЛЬНОГО РАЙОНА ХАБАРОВСКОГО КРАЯ")</f>
        <v>МКОУ СОШ С. НЕЛЬКАН АЯНО-МАЙСКОГО МУНИЦИПАЛЬНОГО РАЙОНА ХАБАРОВСКОГО КРАЯ</v>
      </c>
      <c r="K1663" s="24" t="s">
        <v>3206</v>
      </c>
      <c r="L1663" s="22" t="s">
        <v>10</v>
      </c>
      <c r="M1663" s="28" t="s">
        <v>51</v>
      </c>
      <c r="N1663" s="28" t="s">
        <v>51</v>
      </c>
    </row>
    <row r="1664" spans="1:14" x14ac:dyDescent="0.15">
      <c r="A1664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1664" s="24" t="s">
        <v>2604</v>
      </c>
      <c r="C1664" s="25">
        <v>26320</v>
      </c>
      <c r="D1664" s="22" t="s">
        <v>3207</v>
      </c>
      <c r="E1664" s="22" t="s">
        <v>48</v>
      </c>
      <c r="F1664" s="23" t="str">
        <f>HYPERLINK("https://www.spark-marketing.ru/Card/Lot/73911398",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1664" s="22" t="s">
        <v>1096</v>
      </c>
      <c r="H1664" s="22" t="s">
        <v>1097</v>
      </c>
      <c r="I1664" s="26">
        <v>43734.427777777797</v>
      </c>
      <c r="J1664" s="23" t="str">
        <f>HYPERLINK("https://www.spark-marketing.ru/Card/Person/1234613", "МКОУ НОШ С. АИМ АЯНО-МАЙСКОГО МУНИЦИПАЛЬНОГО РАЙОНА ХАБАРОВСКОГО КРАЯ")</f>
        <v>МКОУ НОШ С. АИМ АЯНО-МАЙСКОГО МУНИЦИПАЛЬНОГО РАЙОНА ХАБАРОВСКОГО КРАЯ</v>
      </c>
      <c r="K1664" s="24" t="s">
        <v>3208</v>
      </c>
      <c r="L1664" s="22" t="s">
        <v>10</v>
      </c>
      <c r="M1664" s="28" t="s">
        <v>51</v>
      </c>
      <c r="N1664" s="28" t="s">
        <v>51</v>
      </c>
    </row>
    <row r="1665" spans="1:14" x14ac:dyDescent="0.15">
      <c r="A1665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1665" s="24" t="s">
        <v>2604</v>
      </c>
      <c r="C1665" s="25">
        <v>28200</v>
      </c>
      <c r="D1665" s="22" t="s">
        <v>3209</v>
      </c>
      <c r="E1665" s="22" t="s">
        <v>48</v>
      </c>
      <c r="F1665" s="23" t="str">
        <f>HYPERLINK("https://www.spark-marketing.ru/Card/Lot/73911397",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1665" s="22" t="s">
        <v>1096</v>
      </c>
      <c r="H1665" s="22" t="s">
        <v>1097</v>
      </c>
      <c r="I1665" s="26">
        <v>43734.4243055556</v>
      </c>
      <c r="J1665" s="23" t="str">
        <f>HYPERLINK("https://www.spark-marketing.ru/Card/Person/1235129", "МКОУ ООШ С. ДЖИГДА")</f>
        <v>МКОУ ООШ С. ДЖИГДА</v>
      </c>
      <c r="K1665" s="24" t="s">
        <v>3210</v>
      </c>
      <c r="L1665" s="22" t="s">
        <v>10</v>
      </c>
      <c r="M1665" s="28" t="s">
        <v>51</v>
      </c>
      <c r="N1665" s="28" t="s">
        <v>51</v>
      </c>
    </row>
    <row r="1666" spans="1:14" x14ac:dyDescent="0.15">
      <c r="A1666" s="23" t="str">
        <f>HYPERLINK("https://www.spark-marketing.ru/Card/Person/31442", "ФКПОУ ""КМКИС"" МИНТРУДА РОССИИ")</f>
        <v>ФКПОУ "КМКИС" МИНТРУДА РОССИИ</v>
      </c>
      <c r="B1666" s="24" t="s">
        <v>3211</v>
      </c>
      <c r="C1666" s="25">
        <v>2378200</v>
      </c>
      <c r="D1666" s="22" t="s">
        <v>3212</v>
      </c>
      <c r="E1666" s="22" t="s">
        <v>48</v>
      </c>
      <c r="F1666" s="23" t="str">
        <f>HYPERLINK("https://www.spark-marketing.ru/Card/Lot/73939965", "Услуги по организации ежедневного трехразового питания студентов-инвалидов")</f>
        <v>Услуги по организации ежедневного трехразового питания студентов-инвалидов</v>
      </c>
      <c r="G1666" s="22" t="s">
        <v>1111</v>
      </c>
      <c r="H1666" s="22" t="s">
        <v>1112</v>
      </c>
      <c r="I1666" s="26">
        <v>43734.416666666701</v>
      </c>
      <c r="J1666" s="28" t="s">
        <v>51</v>
      </c>
      <c r="K1666" s="28" t="s">
        <v>51</v>
      </c>
      <c r="L1666" s="28" t="s">
        <v>51</v>
      </c>
      <c r="M1666" s="28" t="s">
        <v>51</v>
      </c>
      <c r="N1666" s="28" t="s">
        <v>51</v>
      </c>
    </row>
    <row r="1667" spans="1:14" x14ac:dyDescent="0.15">
      <c r="A1667" s="23" t="str">
        <f>HYPERLINK("https://www.spark-marketing.ru/Card/Person/2183355", "ГБУЗ МО ""МОКДЦД""")</f>
        <v>ГБУЗ МО "МОКДЦД"</v>
      </c>
      <c r="B1667" s="24" t="s">
        <v>3213</v>
      </c>
      <c r="C1667" s="25">
        <v>1930500</v>
      </c>
      <c r="D1667" s="22" t="s">
        <v>3214</v>
      </c>
      <c r="E1667" s="22" t="s">
        <v>48</v>
      </c>
      <c r="F1667" s="23" t="str">
        <f>HYPERLINK("https://www.spark-marketing.ru/Card/Lot/73939406", "Оказание услуг по аутсорсингу питания")</f>
        <v>Оказание услуг по аутсорсингу питания</v>
      </c>
      <c r="G1667" s="22" t="s">
        <v>56</v>
      </c>
      <c r="H1667" s="22" t="s">
        <v>56</v>
      </c>
      <c r="I1667" s="26">
        <v>43734.452083333301</v>
      </c>
      <c r="J1667" s="23" t="str">
        <f>HYPERLINK("https://www.spark-marketing.ru/Card/Person/5906366", "ООО ""МАСТЕР ЛАНЧ""")</f>
        <v>ООО "МАСТЕР ЛАНЧ"</v>
      </c>
      <c r="K1667" s="24" t="s">
        <v>3215</v>
      </c>
      <c r="L1667" s="22" t="s">
        <v>10</v>
      </c>
      <c r="M1667" s="28" t="s">
        <v>51</v>
      </c>
      <c r="N1667" s="28" t="s">
        <v>51</v>
      </c>
    </row>
    <row r="1668" spans="1:14" x14ac:dyDescent="0.15">
      <c r="A1668" s="23" t="str">
        <f>HYPERLINK("https://www.spark-marketing.ru/Card/Person/4344955", "ГЛАВНОЕ УПРАВЛЕНИЕ МЧС РОССИИ ПО РОСТОВСКОЙ ОБЛАСТИ")</f>
        <v>ГЛАВНОЕ УПРАВЛЕНИЕ МЧС РОССИИ ПО РОСТОВСКОЙ ОБЛАСТИ</v>
      </c>
      <c r="B1668" s="24" t="s">
        <v>3216</v>
      </c>
      <c r="C1668" s="25">
        <v>34663200</v>
      </c>
      <c r="D1668" s="22" t="s">
        <v>3217</v>
      </c>
      <c r="E1668" s="22" t="s">
        <v>2719</v>
      </c>
      <c r="F1668" s="23" t="str">
        <f>HYPERLINK("https://www.spark-marketing.ru/Card/Lot/73946478", "Поставка телекоммуникационного оборудования для подразделений ФПС Главного управления МЧС России по Ростовской области (Закупка товаров, работ и услуг в сфере ИКТ)")</f>
        <v>Поставка телекоммуникационного оборудования для подразделений ФПС Главного управления МЧС России по Ростовской области (Закупка товаров, работ и услуг в сфере ИКТ)</v>
      </c>
      <c r="G1668" s="22" t="s">
        <v>267</v>
      </c>
      <c r="H1668" s="22" t="s">
        <v>590</v>
      </c>
      <c r="I1668" s="26">
        <v>43734.449305555601</v>
      </c>
      <c r="J1668" s="28" t="s">
        <v>51</v>
      </c>
      <c r="K1668" s="28" t="s">
        <v>51</v>
      </c>
      <c r="L1668" s="28" t="s">
        <v>51</v>
      </c>
      <c r="M1668" s="28" t="s">
        <v>51</v>
      </c>
      <c r="N1668" s="28" t="s">
        <v>51</v>
      </c>
    </row>
    <row r="1669" spans="1:14" ht="12.75" hidden="1" outlineLevel="1" x14ac:dyDescent="0.2">
      <c r="A1669" s="23" t="str">
        <f>HYPERLINK("https://www.spark-marketing.ru/Card/Person/4344955", "ГЛАВНОЕ УПРАВЛЕНИЕ МЧС РОССИИ ПО РОСТОВСКОЙ ОБЛАСТИ")</f>
        <v>ГЛАВНОЕ УПРАВЛЕНИЕ МЧС РОССИИ ПО РОСТОВСКОЙ ОБЛАСТИ</v>
      </c>
      <c r="B1669" s="24" t="s">
        <v>3216</v>
      </c>
      <c r="C1669" s="25">
        <v>34663200</v>
      </c>
      <c r="D1669" s="22" t="s">
        <v>3217</v>
      </c>
      <c r="E1669" s="22" t="s">
        <v>2719</v>
      </c>
      <c r="F1669" s="23" t="str">
        <f>HYPERLINK("https://www.spark-marketing.ru/Card/Lot/73946478", "Поставка телекоммуникационного оборудования для подразделений ФПС Главного управления МЧС России по Ростовской области (Закупка товаров, работ и услуг в сфере ИКТ)")</f>
        <v>Поставка телекоммуникационного оборудования для подразделений ФПС Главного управления МЧС России по Ростовской области (Закупка товаров, работ и услуг в сфере ИКТ)</v>
      </c>
      <c r="G1669" s="22" t="s">
        <v>267</v>
      </c>
      <c r="H1669" s="22" t="s">
        <v>590</v>
      </c>
      <c r="I1669" s="26">
        <v>43734.449305555601</v>
      </c>
      <c r="J1669" s="23" t="str">
        <f>HYPERLINK("https://www.spark-marketing.ru/Card/Person/6437133", "ООО «ПРОТЕЙ АЙ-ТИ - ИНЖИНИРИНГ»")</f>
        <v>ООО «ПРОТЕЙ АЙ-ТИ - ИНЖИНИРИНГ»</v>
      </c>
      <c r="K1669" s="24" t="s">
        <v>3218</v>
      </c>
      <c r="L1669" s="22" t="s">
        <v>10</v>
      </c>
      <c r="M1669" s="25">
        <v>32063460</v>
      </c>
      <c r="N1669" s="27">
        <v>7.4999999999999997E-2</v>
      </c>
    </row>
    <row r="1670" spans="1:14" hidden="1" outlineLevel="1" x14ac:dyDescent="0.2">
      <c r="A1670" s="23" t="str">
        <f>HYPERLINK("https://www.spark-marketing.ru/Card/Person/4344955", "ГЛАВНОЕ УПРАВЛЕНИЕ МЧС РОССИИ ПО РОСТОВСКОЙ ОБЛАСТИ")</f>
        <v>ГЛАВНОЕ УПРАВЛЕНИЕ МЧС РОССИИ ПО РОСТОВСКОЙ ОБЛАСТИ</v>
      </c>
      <c r="B1670" s="24" t="s">
        <v>3216</v>
      </c>
      <c r="C1670" s="25">
        <v>34663200</v>
      </c>
      <c r="D1670" s="22" t="s">
        <v>3217</v>
      </c>
      <c r="E1670" s="22" t="s">
        <v>2719</v>
      </c>
      <c r="F1670" s="23" t="str">
        <f>HYPERLINK("https://www.spark-marketing.ru/Card/Lot/73946478", "Поставка телекоммуникационного оборудования для подразделений ФПС Главного управления МЧС России по Ростовской области (Закупка товаров, работ и услуг в сфере ИКТ)")</f>
        <v>Поставка телекоммуникационного оборудования для подразделений ФПС Главного управления МЧС России по Ростовской области (Закупка товаров, работ и услуг в сфере ИКТ)</v>
      </c>
      <c r="G1670" s="22" t="s">
        <v>267</v>
      </c>
      <c r="H1670" s="22" t="s">
        <v>590</v>
      </c>
      <c r="I1670" s="26">
        <v>43734.449305555601</v>
      </c>
      <c r="J1670" s="23" t="str">
        <f>HYPERLINK("https://www.spark-marketing.ru/Card/Person/994193", "ООО ""ФОРСЕК""")</f>
        <v>ООО "ФОРСЕК"</v>
      </c>
      <c r="K1670" s="24" t="s">
        <v>3219</v>
      </c>
      <c r="L1670" s="28" t="s">
        <v>51</v>
      </c>
      <c r="M1670" s="25">
        <v>32236776</v>
      </c>
      <c r="N1670" s="27">
        <v>7.0000000000000007E-2</v>
      </c>
    </row>
    <row r="1671" spans="1:14" x14ac:dyDescent="0.15">
      <c r="A1671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1671" s="24" t="s">
        <v>2604</v>
      </c>
      <c r="C1671" s="25">
        <v>26320</v>
      </c>
      <c r="D1671" s="22" t="s">
        <v>3220</v>
      </c>
      <c r="E1671" s="22" t="s">
        <v>48</v>
      </c>
      <c r="F1671" s="23" t="str">
        <f>HYPERLINK("https://www.spark-marketing.ru/Card/Lot/73911396",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1671" s="22" t="s">
        <v>1096</v>
      </c>
      <c r="H1671" s="22" t="s">
        <v>1097</v>
      </c>
      <c r="I1671" s="26">
        <v>43734.4243055556</v>
      </c>
      <c r="J1671" s="23" t="str">
        <f>HYPERLINK("https://www.spark-marketing.ru/Card/Person/1470438", "МКОУ СОШ С.АЯН")</f>
        <v>МКОУ СОШ С.АЯН</v>
      </c>
      <c r="K1671" s="24" t="s">
        <v>3221</v>
      </c>
      <c r="L1671" s="22" t="s">
        <v>10</v>
      </c>
      <c r="M1671" s="28" t="s">
        <v>51</v>
      </c>
      <c r="N1671" s="28" t="s">
        <v>51</v>
      </c>
    </row>
    <row r="1672" spans="1:14" x14ac:dyDescent="0.15">
      <c r="A1672" s="23" t="str">
        <f>HYPERLINK("https://www.spark-marketing.ru/Card/Person/12527", "ГБУЗ ПК ""ГДП № 3""")</f>
        <v>ГБУЗ ПК "ГДП № 3"</v>
      </c>
      <c r="B1672" s="24" t="s">
        <v>3222</v>
      </c>
      <c r="C1672" s="25">
        <v>729880.79</v>
      </c>
      <c r="D1672" s="22" t="s">
        <v>3223</v>
      </c>
      <c r="E1672" s="22" t="s">
        <v>62</v>
      </c>
      <c r="F1672" s="23" t="str">
        <f>HYPERLINK("https://www.spark-marketing.ru/Card/Lot/73934333", "Поставка бланочной продукции")</f>
        <v>Поставка бланочной продукции</v>
      </c>
      <c r="G1672" s="22" t="s">
        <v>153</v>
      </c>
      <c r="H1672" s="22" t="s">
        <v>153</v>
      </c>
      <c r="I1672" s="26">
        <v>43734.441666666702</v>
      </c>
      <c r="J1672" s="28" t="s">
        <v>51</v>
      </c>
      <c r="K1672" s="28" t="s">
        <v>51</v>
      </c>
      <c r="L1672" s="28" t="s">
        <v>51</v>
      </c>
      <c r="M1672" s="28" t="s">
        <v>51</v>
      </c>
      <c r="N1672" s="28" t="s">
        <v>51</v>
      </c>
    </row>
    <row r="1673" spans="1:14" x14ac:dyDescent="0.15">
      <c r="A1673" s="23" t="str">
        <f>HYPERLINK("https://www.spark-marketing.ru/Card/Person/81143", "ГБОУ КО КШИ ""АПКМК""")</f>
        <v>ГБОУ КО КШИ "АПКМК"</v>
      </c>
      <c r="B1673" s="24" t="s">
        <v>3203</v>
      </c>
      <c r="C1673" s="25">
        <v>2923872</v>
      </c>
      <c r="D1673" s="22" t="s">
        <v>3224</v>
      </c>
      <c r="E1673" s="22" t="s">
        <v>48</v>
      </c>
      <c r="F1673" s="23" t="str">
        <f>HYPERLINK("https://www.spark-marketing.ru/Card/Lot/73941750", "Оказание услуг по организации питания воспитанников в филиале г.Гусев")</f>
        <v>Оказание услуг по организации питания воспитанников в филиале г.Гусев</v>
      </c>
      <c r="G1673" s="22" t="s">
        <v>400</v>
      </c>
      <c r="H1673" s="22" t="s">
        <v>401</v>
      </c>
      <c r="I1673" s="26">
        <v>43734.381944444402</v>
      </c>
      <c r="J1673" s="28" t="s">
        <v>51</v>
      </c>
      <c r="K1673" s="28" t="s">
        <v>51</v>
      </c>
      <c r="L1673" s="28" t="s">
        <v>51</v>
      </c>
      <c r="M1673" s="28" t="s">
        <v>51</v>
      </c>
      <c r="N1673" s="28" t="s">
        <v>51</v>
      </c>
    </row>
    <row r="1674" spans="1:14" x14ac:dyDescent="0.15">
      <c r="A1674" s="23" t="str">
        <f>HYPERLINK("https://www.spark-marketing.ru/Card/Person/253242", "ОМВД РОССИИ ПО БЕЛОМОРСКОМУ РАЙОНУ")</f>
        <v>ОМВД РОССИИ ПО БЕЛОМОРСКОМУ РАЙОНУ</v>
      </c>
      <c r="B1674" s="24" t="s">
        <v>3225</v>
      </c>
      <c r="C1674" s="25">
        <v>862000</v>
      </c>
      <c r="D1674" s="22" t="s">
        <v>3226</v>
      </c>
      <c r="E1674" s="22" t="s">
        <v>48</v>
      </c>
      <c r="F1674" s="23" t="str">
        <f>HYPERLINK("https://www.spark-marketing.ru/Card/Lot/73934635", "питание арестованных")</f>
        <v>питание арестованных</v>
      </c>
      <c r="G1674" s="22" t="s">
        <v>59</v>
      </c>
      <c r="H1674" s="22" t="s">
        <v>3227</v>
      </c>
      <c r="I1674" s="26">
        <v>43734.429166666698</v>
      </c>
      <c r="J1674" s="28" t="s">
        <v>51</v>
      </c>
      <c r="K1674" s="28" t="s">
        <v>51</v>
      </c>
      <c r="L1674" s="28" t="s">
        <v>51</v>
      </c>
      <c r="M1674" s="28" t="s">
        <v>51</v>
      </c>
      <c r="N1674" s="28" t="s">
        <v>51</v>
      </c>
    </row>
    <row r="1675" spans="1:14" ht="12.75" x14ac:dyDescent="0.2">
      <c r="A1675" s="23" t="str">
        <f>HYPERLINK("https://www.spark-marketing.ru/Card/Person/28053", "БУЗ ОРЛОВСКОЙ ОБЛАСТИ ""ЛИВЕНСКАЯ ЦРБ""")</f>
        <v>БУЗ ОРЛОВСКОЙ ОБЛАСТИ "ЛИВЕНСКАЯ ЦРБ"</v>
      </c>
      <c r="B1675" s="24" t="s">
        <v>3228</v>
      </c>
      <c r="C1675" s="25">
        <v>349683.34</v>
      </c>
      <c r="D1675" s="22" t="s">
        <v>3229</v>
      </c>
      <c r="E1675" s="22" t="s">
        <v>603</v>
      </c>
      <c r="F1675" s="23" t="str">
        <f>HYPERLINK("https://www.spark-marketing.ru/Card/Lot/73931089", "Оказание услуг по поверке средств измерений")</f>
        <v>Оказание услуг по поверке средств измерений</v>
      </c>
      <c r="G1675" s="22" t="s">
        <v>1066</v>
      </c>
      <c r="H1675" s="22" t="s">
        <v>1066</v>
      </c>
      <c r="I1675" s="26">
        <v>43734.379166666702</v>
      </c>
      <c r="J1675" s="23" t="str">
        <f>HYPERLINK("https://www.spark-marketing.ru/Card/Person/350958", "ФБУ ""ОРЛОВСКИЙ ЦСМ""")</f>
        <v>ФБУ "ОРЛОВСКИЙ ЦСМ"</v>
      </c>
      <c r="K1675" s="24" t="s">
        <v>3230</v>
      </c>
      <c r="L1675" s="22" t="s">
        <v>10</v>
      </c>
      <c r="M1675" s="25">
        <v>319951.69</v>
      </c>
      <c r="N1675" s="27">
        <v>8.5024496734674285E-2</v>
      </c>
    </row>
    <row r="1676" spans="1:14" x14ac:dyDescent="0.15">
      <c r="A1676" s="23" t="str">
        <f>HYPERLINK("https://www.spark-marketing.ru/Card/Person/70495", "ОМВД РОССИИ ПО АРТЕМОВСКОМУ РАЙОНУ")</f>
        <v>ОМВД РОССИИ ПО АРТЕМОВСКОМУ РАЙОНУ</v>
      </c>
      <c r="B1676" s="24" t="s">
        <v>3231</v>
      </c>
      <c r="C1676" s="25">
        <v>300000</v>
      </c>
      <c r="D1676" s="22" t="s">
        <v>3232</v>
      </c>
      <c r="E1676" s="22" t="s">
        <v>96</v>
      </c>
      <c r="F1676" s="23" t="str">
        <f>HYPERLINK("https://www.spark-marketing.ru/Card/Lot/73900228", "Оказание услуг по организации питания (приготовлению и доставке), 800 шт")</f>
        <v>Оказание услуг по организации питания (приготовлению и доставке), 800 шт</v>
      </c>
      <c r="G1676" s="22" t="s">
        <v>174</v>
      </c>
      <c r="H1676" s="22" t="s">
        <v>3233</v>
      </c>
      <c r="I1676" s="26">
        <v>43734.391689814802</v>
      </c>
      <c r="J1676" s="28" t="s">
        <v>51</v>
      </c>
      <c r="K1676" s="28" t="s">
        <v>51</v>
      </c>
      <c r="L1676" s="28" t="s">
        <v>51</v>
      </c>
      <c r="M1676" s="28" t="s">
        <v>51</v>
      </c>
      <c r="N1676" s="28" t="s">
        <v>51</v>
      </c>
    </row>
    <row r="1677" spans="1:14" x14ac:dyDescent="0.15">
      <c r="A1677" s="23" t="str">
        <f>HYPERLINK("https://www.spark-marketing.ru/Card/Person/25809", "ОТДЕЛ МВД РОССИИ ПО КИЗИЛЬСКОМУ РАЙОНУ ЧЕЛЯБИНСКОЙ ОБЛАСТИ")</f>
        <v>ОТДЕЛ МВД РОССИИ ПО КИЗИЛЬСКОМУ РАЙОНУ ЧЕЛЯБИНСКОЙ ОБЛАСТИ</v>
      </c>
      <c r="B1677" s="24" t="s">
        <v>3234</v>
      </c>
      <c r="C1677" s="25">
        <v>427950</v>
      </c>
      <c r="D1677" s="22" t="s">
        <v>3235</v>
      </c>
      <c r="E1677" s="22" t="s">
        <v>96</v>
      </c>
      <c r="F1677" s="23" t="str">
        <f>HYPERLINK("https://www.spark-marketing.ru/Card/Lot/73932815", "Оказание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административно-задержанных, содержащихся в КСЗ более трех часов.")</f>
        <v>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административно-задержанных, содержащихся в КСЗ более трех часов.</v>
      </c>
      <c r="G1677" s="22" t="s">
        <v>469</v>
      </c>
      <c r="H1677" s="22" t="s">
        <v>3236</v>
      </c>
      <c r="I1677" s="26">
        <v>43734.400000000001</v>
      </c>
      <c r="J1677" s="23" t="str">
        <f>HYPERLINK("https://www.spark-marketing.ru/Card/Person/273077", "Кириллов Николай Николаевич")</f>
        <v>Кириллов Николай Николаевич</v>
      </c>
      <c r="K1677" s="24" t="s">
        <v>3237</v>
      </c>
      <c r="L1677" s="22" t="s">
        <v>10</v>
      </c>
      <c r="M1677" s="28" t="s">
        <v>51</v>
      </c>
      <c r="N1677" s="28" t="s">
        <v>51</v>
      </c>
    </row>
    <row r="1678" spans="1:14" x14ac:dyDescent="0.15">
      <c r="A1678" s="23" t="str">
        <f>HYPERLINK("https://www.spark-marketing.ru/Card/Person/67865", "МОУ ""ДАШКОВСКАЯ СОШ""")</f>
        <v>МОУ "ДАШКОВСКАЯ СОШ"</v>
      </c>
      <c r="B1678" s="24" t="s">
        <v>3238</v>
      </c>
      <c r="C1678" s="25">
        <v>465296</v>
      </c>
      <c r="D1678" s="22" t="s">
        <v>3239</v>
      </c>
      <c r="E1678" s="22" t="s">
        <v>48</v>
      </c>
      <c r="F1678" s="23" t="str">
        <f>HYPERLINK("https://www.spark-marketing.ru/Card/Lot/73901104", "Оказание услуг по обеспечению горячим питанием обучающихся МОУ ""Дашковская СОШ""")</f>
        <v>Оказание услуг по обеспечению горячим питанием обучающихся МОУ "Дашковская СОШ"</v>
      </c>
      <c r="G1678" s="22" t="s">
        <v>49</v>
      </c>
      <c r="H1678" s="22" t="s">
        <v>3240</v>
      </c>
      <c r="I1678" s="26">
        <v>43734.389189814799</v>
      </c>
      <c r="J1678" s="28" t="s">
        <v>51</v>
      </c>
      <c r="K1678" s="28" t="s">
        <v>51</v>
      </c>
      <c r="L1678" s="28" t="s">
        <v>51</v>
      </c>
      <c r="M1678" s="28" t="s">
        <v>51</v>
      </c>
      <c r="N1678" s="28" t="s">
        <v>51</v>
      </c>
    </row>
    <row r="1679" spans="1:14" x14ac:dyDescent="0.15">
      <c r="A1679" s="23" t="str">
        <f>HYPERLINK("https://www.spark-marketing.ru/Card/Person/72068", "ОГБУСО ""СЕРГИНСКИЙ ПСИХОНЕВРОЛОГИЧЕСКИЙ ИНТЕРНАТ""")</f>
        <v>ОГБУСО "СЕРГИНСКИЙ ПСИХОНЕВРОЛОГИЧЕСКИЙ ИНТЕРНАТ"</v>
      </c>
      <c r="B1679" s="24" t="s">
        <v>3241</v>
      </c>
      <c r="C1679" s="25">
        <v>1970788</v>
      </c>
      <c r="D1679" s="22" t="s">
        <v>3242</v>
      </c>
      <c r="E1679" s="22" t="s">
        <v>48</v>
      </c>
      <c r="F1679" s="23" t="str">
        <f>HYPERLINK("https://www.spark-marketing.ru/Card/Lot/73938033", "Оказание услуг по обеспечению горячим питанием")</f>
        <v>Оказание услуг по обеспечению горячим питанием</v>
      </c>
      <c r="G1679" s="22" t="s">
        <v>263</v>
      </c>
      <c r="H1679" s="22" t="s">
        <v>3243</v>
      </c>
      <c r="I1679" s="26">
        <v>43734.415300925903</v>
      </c>
      <c r="J1679" s="23" t="str">
        <f>HYPERLINK("https://www.spark-marketing.ru/Card/Person/335980", "ООО ""ТАЕЖНЫЙ""")</f>
        <v>ООО "ТАЕЖНЫЙ"</v>
      </c>
      <c r="K1679" s="24" t="s">
        <v>3244</v>
      </c>
      <c r="L1679" s="22" t="s">
        <v>10</v>
      </c>
      <c r="M1679" s="28" t="s">
        <v>51</v>
      </c>
      <c r="N1679" s="28" t="s">
        <v>51</v>
      </c>
    </row>
    <row r="1680" spans="1:14" x14ac:dyDescent="0.15">
      <c r="A1680" s="23" t="str">
        <f>HYPERLINK("https://www.spark-marketing.ru/Card/Person/240313", "ФГКУ СМО ГУ МЧС РОССИИ ПО РК")</f>
        <v>ФГКУ СМО ГУ МЧС РОССИИ ПО РК</v>
      </c>
      <c r="B1680" s="24" t="s">
        <v>3245</v>
      </c>
      <c r="C1680" s="25">
        <v>95757.48</v>
      </c>
      <c r="D1680" s="22" t="s">
        <v>3246</v>
      </c>
      <c r="E1680" s="22" t="s">
        <v>48</v>
      </c>
      <c r="F1680" s="23" t="str">
        <f>HYPERLINK("https://www.spark-marketing.ru/Card/Lot/73900253", "Услуги по доставке горячего питания (завтрак, обед, ужин), 1 усл. ед")</f>
        <v>Услуги по доставке горячего питания (завтрак, обед, ужин), 1 усл. ед</v>
      </c>
      <c r="G1680" s="22" t="s">
        <v>108</v>
      </c>
      <c r="H1680" s="22" t="s">
        <v>344</v>
      </c>
      <c r="I1680" s="26">
        <v>43734.395173611098</v>
      </c>
      <c r="J1680" s="28" t="s">
        <v>51</v>
      </c>
      <c r="K1680" s="28" t="s">
        <v>51</v>
      </c>
      <c r="L1680" s="28" t="s">
        <v>51</v>
      </c>
      <c r="M1680" s="28" t="s">
        <v>51</v>
      </c>
      <c r="N1680" s="28" t="s">
        <v>51</v>
      </c>
    </row>
    <row r="1681" spans="1:14" x14ac:dyDescent="0.15">
      <c r="A1681" s="23" t="str">
        <f>HYPERLINK("https://www.spark-marketing.ru/Card/Person/103054", "МВД ПО РЕСПУБЛИКЕ МАРИЙ ЭЛ")</f>
        <v>МВД ПО РЕСПУБЛИКЕ МАРИЙ ЭЛ</v>
      </c>
      <c r="B1681" s="24" t="s">
        <v>3247</v>
      </c>
      <c r="C1681" s="25">
        <v>30000</v>
      </c>
      <c r="D1681" s="22" t="s">
        <v>3248</v>
      </c>
      <c r="E1681" s="22" t="s">
        <v>48</v>
      </c>
      <c r="F1681" s="23" t="str">
        <f>HYPERLINK("https://www.spark-marketing.ru/Card/Lot/73900248",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681" s="22" t="s">
        <v>3249</v>
      </c>
      <c r="H1681" s="22" t="s">
        <v>3250</v>
      </c>
      <c r="I1681" s="26">
        <v>43734.394548611097</v>
      </c>
      <c r="J1681" s="28" t="s">
        <v>51</v>
      </c>
      <c r="K1681" s="28" t="s">
        <v>51</v>
      </c>
      <c r="L1681" s="28" t="s">
        <v>51</v>
      </c>
      <c r="M1681" s="28" t="s">
        <v>51</v>
      </c>
      <c r="N1681" s="28" t="s">
        <v>51</v>
      </c>
    </row>
    <row r="1682" spans="1:14" x14ac:dyDescent="0.15">
      <c r="A1682" s="23" t="str">
        <f>HYPERLINK("https://www.spark-marketing.ru/Card/Person/25809", "ОТДЕЛ МВД РОССИИ ПО КИЗИЛЬСКОМУ РАЙОНУ ЧЕЛЯБИНСКОЙ ОБЛАСТИ")</f>
        <v>ОТДЕЛ МВД РОССИИ ПО КИЗИЛЬСКОМУ РАЙОНУ ЧЕЛЯБИНСКОЙ ОБЛАСТИ</v>
      </c>
      <c r="B1682" s="24" t="s">
        <v>3234</v>
      </c>
      <c r="C1682" s="25">
        <v>427950</v>
      </c>
      <c r="D1682" s="22" t="s">
        <v>3251</v>
      </c>
      <c r="E1682" s="22" t="s">
        <v>96</v>
      </c>
      <c r="F1682" s="23" t="str">
        <f>HYPERLINK("https://www.spark-marketing.ru/Card/Lot/73932816", "Оказание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административно-задержанных, содержащихся в КСЗ более трех часов.")</f>
        <v>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административно-задержанных, содержащихся в КСЗ более трех часов.</v>
      </c>
      <c r="G1682" s="22" t="s">
        <v>469</v>
      </c>
      <c r="H1682" s="22" t="s">
        <v>3236</v>
      </c>
      <c r="I1682" s="26">
        <v>43734.397916666698</v>
      </c>
      <c r="J1682" s="23" t="str">
        <f>HYPERLINK("https://www.spark-marketing.ru/Card/Person/273077", "Кириллов Николай Николаевич")</f>
        <v>Кириллов Николай Николаевич</v>
      </c>
      <c r="K1682" s="24" t="s">
        <v>3237</v>
      </c>
      <c r="L1682" s="22" t="s">
        <v>10</v>
      </c>
      <c r="M1682" s="28" t="s">
        <v>51</v>
      </c>
      <c r="N1682" s="28" t="s">
        <v>51</v>
      </c>
    </row>
    <row r="1683" spans="1:14" x14ac:dyDescent="0.15">
      <c r="A1683" s="23" t="str">
        <f>HYPERLINK("https://www.spark-marketing.ru/Card/Person/130832", "ОМВД РОССИИ ПО МОРКИНСКОМУ РАЙОНУ")</f>
        <v>ОМВД РОССИИ ПО МОРКИНСКОМУ РАЙОНУ</v>
      </c>
      <c r="B1683" s="24" t="s">
        <v>3252</v>
      </c>
      <c r="C1683" s="25">
        <v>81000</v>
      </c>
      <c r="D1683" s="22" t="s">
        <v>3253</v>
      </c>
      <c r="E1683" s="22" t="s">
        <v>96</v>
      </c>
      <c r="F1683" s="23" t="str">
        <f>HYPERLINK("https://www.spark-marketing.ru/Card/Lot/73900538", "Оказание услуг по организации питания (приготовлению и доставке), 310 шт")</f>
        <v>Оказание услуг по организации питания (приготовлению и доставке), 310 шт</v>
      </c>
      <c r="G1683" s="22" t="s">
        <v>3249</v>
      </c>
      <c r="H1683" s="22" t="s">
        <v>3254</v>
      </c>
      <c r="I1683" s="26">
        <v>43734.4011805556</v>
      </c>
      <c r="J1683" s="28" t="s">
        <v>51</v>
      </c>
      <c r="K1683" s="28" t="s">
        <v>51</v>
      </c>
      <c r="L1683" s="28" t="s">
        <v>51</v>
      </c>
      <c r="M1683" s="28" t="s">
        <v>51</v>
      </c>
      <c r="N1683" s="28" t="s">
        <v>51</v>
      </c>
    </row>
    <row r="1684" spans="1:14" x14ac:dyDescent="0.15">
      <c r="A168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84" s="24" t="s">
        <v>3255</v>
      </c>
      <c r="C1684" s="25">
        <v>211151.5</v>
      </c>
      <c r="D1684" s="22" t="s">
        <v>3256</v>
      </c>
      <c r="E1684" s="22" t="s">
        <v>52</v>
      </c>
      <c r="F1684" s="23" t="str">
        <f>HYPERLINK("https://www.spark-marketing.ru/Card/Lot/73929596", "Поставка лекарственного препарата для медицинского применения ""Золедроновая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специализир...")</f>
        <v>Поставка лекарственного препарата для медицинского применения "Золедроновая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специализир...</v>
      </c>
      <c r="G1684" s="22" t="s">
        <v>210</v>
      </c>
      <c r="H1684" s="22" t="s">
        <v>3257</v>
      </c>
      <c r="I1684" s="26">
        <v>43734.391666666699</v>
      </c>
      <c r="J1684" s="28" t="s">
        <v>51</v>
      </c>
      <c r="K1684" s="28" t="s">
        <v>51</v>
      </c>
      <c r="L1684" s="28" t="s">
        <v>51</v>
      </c>
      <c r="M1684" s="28" t="s">
        <v>51</v>
      </c>
      <c r="N1684" s="28" t="s">
        <v>51</v>
      </c>
    </row>
    <row r="1685" spans="1:14" ht="12.75" hidden="1" outlineLevel="1" x14ac:dyDescent="0.2">
      <c r="A1685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85" s="24" t="s">
        <v>3255</v>
      </c>
      <c r="C1685" s="25">
        <v>211151.5</v>
      </c>
      <c r="D1685" s="22" t="s">
        <v>3256</v>
      </c>
      <c r="E1685" s="22" t="s">
        <v>52</v>
      </c>
      <c r="F1685" s="23" t="str">
        <f>HYPERLINK("https://www.spark-marketing.ru/Card/Lot/73929596", "Поставка лекарственного препарата для медицинского применения ""Золедроновая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специализир...")</f>
        <v>Поставка лекарственного препарата для медицинского применения "Золедроновая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специализир...</v>
      </c>
      <c r="G1685" s="22" t="s">
        <v>210</v>
      </c>
      <c r="H1685" s="22" t="s">
        <v>3257</v>
      </c>
      <c r="I1685" s="26">
        <v>43734.391666666699</v>
      </c>
      <c r="J1685" s="23" t="str">
        <f>HYPERLINK("https://www.spark-marketing.ru/Card/Person/6688570", "ООО ""ЕСКО""")</f>
        <v>ООО "ЕСКО"</v>
      </c>
      <c r="K1685" s="24" t="s">
        <v>3258</v>
      </c>
      <c r="L1685" s="22" t="s">
        <v>10</v>
      </c>
      <c r="M1685" s="25">
        <v>157307.74</v>
      </c>
      <c r="N1685" s="27">
        <v>0.25500060383184586</v>
      </c>
    </row>
    <row r="1686" spans="1:14" hidden="1" outlineLevel="1" x14ac:dyDescent="0.2">
      <c r="A1686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86" s="24" t="s">
        <v>3255</v>
      </c>
      <c r="C1686" s="25">
        <v>211151.5</v>
      </c>
      <c r="D1686" s="22" t="s">
        <v>3256</v>
      </c>
      <c r="E1686" s="22" t="s">
        <v>52</v>
      </c>
      <c r="F1686" s="23" t="str">
        <f>HYPERLINK("https://www.spark-marketing.ru/Card/Lot/73929596", "Поставка лекарственного препарата для медицинского применения ""Золедроновая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специализир...")</f>
        <v>Поставка лекарственного препарата для медицинского применения "Золедроновая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специализир...</v>
      </c>
      <c r="G1686" s="22" t="s">
        <v>210</v>
      </c>
      <c r="H1686" s="22" t="s">
        <v>3257</v>
      </c>
      <c r="I1686" s="26">
        <v>43734.391666666699</v>
      </c>
      <c r="J1686" s="23" t="str">
        <f>HYPERLINK("https://www.spark-marketing.ru/Card/Person/105072", "ООО ""МАНАС МЕД""")</f>
        <v>ООО "МАНАС МЕД"</v>
      </c>
      <c r="K1686" s="24" t="s">
        <v>3259</v>
      </c>
      <c r="L1686" s="28" t="s">
        <v>51</v>
      </c>
      <c r="M1686" s="25">
        <v>158363.5</v>
      </c>
      <c r="N1686" s="27">
        <v>0.25000059199200575</v>
      </c>
    </row>
    <row r="1687" spans="1:14" x14ac:dyDescent="0.15">
      <c r="A1687" s="23" t="str">
        <f>HYPERLINK("https://www.spark-marketing.ru/Card/Person/38452", "ОМВД РОССИИ ПО Г.НОВОАЛТАЙСКУ")</f>
        <v>ОМВД РОССИИ ПО Г.НОВОАЛТАЙСКУ</v>
      </c>
      <c r="B1687" s="24" t="s">
        <v>3260</v>
      </c>
      <c r="C1687" s="25">
        <v>1025000</v>
      </c>
      <c r="D1687" s="22" t="s">
        <v>3261</v>
      </c>
      <c r="E1687" s="22" t="s">
        <v>48</v>
      </c>
      <c r="F1687" s="23" t="str">
        <f>HYPERLINK("https://www.spark-marketing.ru/Card/Lot/73931573", "Услуги по организации ежедневного комплексного горячего питания (завтрак, обед, ужин) для лиц, содержащихся в ИВС ОМВД России по г. Новоалтайску, а также лиц, задержанных за административные правонарушения")</f>
        <v>Услуги по организации ежедневного комплексного горячего питания (завтрак, обед, ужин) для лиц, содержащихся в ИВС ОМВД России по г. Новоалтайску, а также лиц, задержанных за административные правонарушения</v>
      </c>
      <c r="G1687" s="22" t="s">
        <v>63</v>
      </c>
      <c r="H1687" s="22" t="s">
        <v>3262</v>
      </c>
      <c r="I1687" s="26">
        <v>43734.348599536999</v>
      </c>
      <c r="J1687" s="23" t="str">
        <f>HYPERLINK("https://www.spark-marketing.ru/Card/Person/6115445", "ООО ""АЛТАЙ МАРКЕТ""")</f>
        <v>ООО "АЛТАЙ МАРКЕТ"</v>
      </c>
      <c r="K1687" s="24" t="s">
        <v>3263</v>
      </c>
      <c r="L1687" s="22" t="s">
        <v>10</v>
      </c>
      <c r="M1687" s="28" t="s">
        <v>51</v>
      </c>
      <c r="N1687" s="28" t="s">
        <v>51</v>
      </c>
    </row>
    <row r="1688" spans="1:14" x14ac:dyDescent="0.15">
      <c r="A1688" s="23" t="str">
        <f>HYPERLINK("https://www.spark-marketing.ru/Card/Person/1074451", "МЕЖМУНИЦИПАЛЬНОЕ ОТДЕЛЕНИЕ МВД РОССИИ ""БОЛЬШЕУЛУЙСКОЕ""")</f>
        <v>МЕЖМУНИЦИПАЛЬНОЕ ОТДЕЛЕНИЕ МВД РОССИИ "БОЛЬШЕУЛУЙСКОЕ"</v>
      </c>
      <c r="B1688" s="24" t="s">
        <v>3264</v>
      </c>
      <c r="C1688" s="25">
        <v>150000</v>
      </c>
      <c r="D1688" s="22" t="s">
        <v>3265</v>
      </c>
      <c r="E1688" s="22" t="s">
        <v>48</v>
      </c>
      <c r="F1688" s="23" t="str">
        <f>HYPERLINK("https://www.spark-marketing.ru/Card/Lot/73897883", "Услуги по доставке горячего питания (завтрак, обед, ужин), 2 усл. ед")</f>
        <v>Услуги по доставке горячего питания (завтрак, обед, ужин), 2 усл. ед</v>
      </c>
      <c r="G1688" s="22" t="s">
        <v>281</v>
      </c>
      <c r="H1688" s="22" t="s">
        <v>3266</v>
      </c>
      <c r="I1688" s="26">
        <v>43734.233958333301</v>
      </c>
      <c r="J1688" s="28" t="s">
        <v>51</v>
      </c>
      <c r="K1688" s="28" t="s">
        <v>51</v>
      </c>
      <c r="L1688" s="28" t="s">
        <v>51</v>
      </c>
      <c r="M1688" s="28" t="s">
        <v>51</v>
      </c>
      <c r="N1688" s="28" t="s">
        <v>51</v>
      </c>
    </row>
    <row r="1689" spans="1:14" x14ac:dyDescent="0.15">
      <c r="A1689" s="23" t="str">
        <f>HYPERLINK("https://www.spark-marketing.ru/Card/Person/645436", "ОТД МВД РОССИИ ПО Г. АБАЗА")</f>
        <v>ОТД МВД РОССИИ ПО Г. АБАЗА</v>
      </c>
      <c r="B1689" s="24" t="s">
        <v>3267</v>
      </c>
      <c r="C1689" s="25">
        <v>9250</v>
      </c>
      <c r="D1689" s="22" t="s">
        <v>3268</v>
      </c>
      <c r="E1689" s="22" t="s">
        <v>48</v>
      </c>
      <c r="F1689" s="23" t="str">
        <f>HYPERLINK("https://www.spark-marketing.ru/Card/Lot/73895933",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689" s="22" t="s">
        <v>92</v>
      </c>
      <c r="H1689" s="22" t="s">
        <v>3269</v>
      </c>
      <c r="I1689" s="26">
        <v>43734.1794212963</v>
      </c>
      <c r="J1689" s="28" t="s">
        <v>51</v>
      </c>
      <c r="K1689" s="28" t="s">
        <v>51</v>
      </c>
      <c r="L1689" s="28" t="s">
        <v>51</v>
      </c>
      <c r="M1689" s="28" t="s">
        <v>51</v>
      </c>
      <c r="N1689" s="28" t="s">
        <v>51</v>
      </c>
    </row>
    <row r="1690" spans="1:14" x14ac:dyDescent="0.15">
      <c r="A1690" s="23" t="str">
        <f>HYPERLINK("https://www.spark-marketing.ru/Card/Person/1398301", "АО ""АЗП""")</f>
        <v>АО "АЗП"</v>
      </c>
      <c r="B1690" s="24" t="s">
        <v>3270</v>
      </c>
      <c r="C1690" s="28" t="s">
        <v>51</v>
      </c>
      <c r="D1690" s="22" t="s">
        <v>3271</v>
      </c>
      <c r="E1690" s="22" t="s">
        <v>362</v>
      </c>
      <c r="F1690" s="23" t="str">
        <f>HYPERLINK("https://www.spark-marketing.ru/Card/Lot/74007382", "Оказание услуг по организации рабочего, лечебно-профилактического питания, выдачи молока (молочной продукции) работникам завода, обслуживанию делегаций, организации банкетов, кофе-брейков, фуршетов, корпоративных мероприятий, торжественных мероприяти...")</f>
        <v>Оказание услуг по организации рабочего, лечебно-профилактического питания, выдачи молока (молочной продукции) работникам завода, обслуживанию делегаций, организации банкетов, кофе-брейков, фуршетов, корпоративных мероприятий, торжественных мероприяти...</v>
      </c>
      <c r="G1690" s="22" t="s">
        <v>263</v>
      </c>
      <c r="H1690" s="22" t="s">
        <v>540</v>
      </c>
      <c r="I1690" s="26">
        <v>43734.1340277778</v>
      </c>
      <c r="J1690" s="28" t="s">
        <v>51</v>
      </c>
      <c r="K1690" s="28" t="s">
        <v>51</v>
      </c>
      <c r="L1690" s="28" t="s">
        <v>51</v>
      </c>
      <c r="M1690" s="28" t="s">
        <v>51</v>
      </c>
      <c r="N1690" s="28" t="s">
        <v>51</v>
      </c>
    </row>
    <row r="1691" spans="1:14" x14ac:dyDescent="0.15">
      <c r="A1691" s="23" t="str">
        <f>HYPERLINK("https://www.spark-marketing.ru/Card/Person/4434470", "БМАОУ СОШ №2")</f>
        <v>БМАОУ СОШ №2</v>
      </c>
      <c r="B1691" s="24" t="s">
        <v>558</v>
      </c>
      <c r="C1691" s="25">
        <v>750000</v>
      </c>
      <c r="D1691" s="22" t="s">
        <v>3272</v>
      </c>
      <c r="E1691" s="22" t="s">
        <v>362</v>
      </c>
      <c r="F1691" s="23" t="str">
        <f>HYPERLINK("https://www.spark-marketing.ru/Card/Lot/73907408", "на оказание услуг по организации питания обучающихся Березовского муниципального автономного общеобразовательного учреждения «Средняя общеобразовательная школа № 2»")</f>
        <v>на оказание услуг по организации питания обучающихся Березовского муниципального автономного общеобразовательного учреждения «Средняя общеобразовательная школа № 2»</v>
      </c>
      <c r="G1691" s="22" t="s">
        <v>174</v>
      </c>
      <c r="H1691" s="22" t="s">
        <v>174</v>
      </c>
      <c r="I1691" s="26">
        <v>43734</v>
      </c>
      <c r="J1691" s="28" t="s">
        <v>51</v>
      </c>
      <c r="K1691" s="28" t="s">
        <v>51</v>
      </c>
      <c r="L1691" s="28" t="s">
        <v>51</v>
      </c>
      <c r="M1691" s="28" t="s">
        <v>51</v>
      </c>
      <c r="N1691" s="28" t="s">
        <v>51</v>
      </c>
    </row>
    <row r="1692" spans="1:14" x14ac:dyDescent="0.15">
      <c r="A1692" s="23" t="str">
        <f>HYPERLINK("https://www.spark-marketing.ru/Card/Person/133789", "МАУДО ДЮСШ ИМ.Л.ЕГОРОВОЙ")</f>
        <v>МАУДО ДЮСШ ИМ.Л.ЕГОРОВОЙ</v>
      </c>
      <c r="B1692" s="24" t="s">
        <v>3273</v>
      </c>
      <c r="C1692" s="25">
        <v>140925</v>
      </c>
      <c r="D1692" s="22" t="s">
        <v>3274</v>
      </c>
      <c r="E1692" s="22" t="s">
        <v>362</v>
      </c>
      <c r="F1692" s="23" t="str">
        <f>HYPERLINK("https://www.spark-marketing.ru/Card/Lot/73899315", "Оказание услуг по организации питания спортивного лагеря в период с 28.10.2019 по 01.11.2019 на базе МАУДО ДЮСШ им.Л.Егоровой.")</f>
        <v>Оказание услуг по организации питания спортивного лагеря в период с 28.10.2019 по 01.11.2019 на базе МАУДО ДЮСШ им.Л.Егоровой.</v>
      </c>
      <c r="G1692" s="22" t="s">
        <v>149</v>
      </c>
      <c r="H1692" s="22" t="s">
        <v>149</v>
      </c>
      <c r="I1692" s="26">
        <v>43734</v>
      </c>
      <c r="J1692" s="28" t="s">
        <v>51</v>
      </c>
      <c r="K1692" s="28" t="s">
        <v>51</v>
      </c>
      <c r="L1692" s="28" t="s">
        <v>51</v>
      </c>
      <c r="M1692" s="28" t="s">
        <v>51</v>
      </c>
      <c r="N1692" s="28" t="s">
        <v>51</v>
      </c>
    </row>
    <row r="1693" spans="1:14" x14ac:dyDescent="0.15">
      <c r="A1693" s="23" t="str">
        <f>HYPERLINK("https://www.spark-marketing.ru/Card/Person/1066710", "МОАУ КОНСТАНТИНОВСКАЯ СОШ")</f>
        <v>МОАУ КОНСТАНТИНОВСКАЯ СОШ</v>
      </c>
      <c r="B1693" s="24" t="s">
        <v>3275</v>
      </c>
      <c r="C1693" s="25">
        <v>186816</v>
      </c>
      <c r="D1693" s="22" t="s">
        <v>3276</v>
      </c>
      <c r="E1693" s="22" t="s">
        <v>362</v>
      </c>
      <c r="F1693" s="23" t="str">
        <f>HYPERLINK("https://www.spark-marketing.ru/Card/Lot/73903768", "Услуги школьных столовых по организации питания детей 1-4 классов")</f>
        <v>Услуги школьных столовых по организации питания детей 1-4 классов</v>
      </c>
      <c r="G1693" s="22" t="s">
        <v>210</v>
      </c>
      <c r="H1693" s="22" t="s">
        <v>210</v>
      </c>
      <c r="I1693" s="26">
        <v>43734</v>
      </c>
      <c r="J1693" s="28" t="s">
        <v>51</v>
      </c>
      <c r="K1693" s="28" t="s">
        <v>51</v>
      </c>
      <c r="L1693" s="28" t="s">
        <v>51</v>
      </c>
      <c r="M1693" s="28" t="s">
        <v>51</v>
      </c>
      <c r="N1693" s="28" t="s">
        <v>51</v>
      </c>
    </row>
    <row r="1694" spans="1:14" x14ac:dyDescent="0.15">
      <c r="A1694" s="23" t="str">
        <f>HYPERLINK("https://www.spark-marketing.ru/Card/Person/1137346", "МАОУ ГИМНАЗИЯ № 23")</f>
        <v>МАОУ ГИМНАЗИЯ № 23</v>
      </c>
      <c r="B1694" s="24" t="s">
        <v>3277</v>
      </c>
      <c r="C1694" s="25">
        <v>448140</v>
      </c>
      <c r="D1694" s="22" t="s">
        <v>3278</v>
      </c>
      <c r="E1694" s="22" t="s">
        <v>362</v>
      </c>
      <c r="F1694" s="23" t="str">
        <f>HYPERLINK("https://www.spark-marketing.ru/Card/Lot/73914039", "Оказание услуг по организации питания обучающихся для МАОУ Гимназия №23")</f>
        <v>Оказание услуг по организации питания обучающихся для МАОУ Гимназия №23</v>
      </c>
      <c r="G1694" s="22" t="s">
        <v>663</v>
      </c>
      <c r="H1694" s="22" t="s">
        <v>663</v>
      </c>
      <c r="I1694" s="26">
        <v>43734</v>
      </c>
      <c r="J1694" s="28" t="s">
        <v>51</v>
      </c>
      <c r="K1694" s="28" t="s">
        <v>51</v>
      </c>
      <c r="L1694" s="28" t="s">
        <v>51</v>
      </c>
      <c r="M1694" s="28" t="s">
        <v>51</v>
      </c>
      <c r="N1694" s="28" t="s">
        <v>51</v>
      </c>
    </row>
    <row r="1695" spans="1:14" ht="12.75" x14ac:dyDescent="0.2">
      <c r="A1695" s="23" t="str">
        <f>HYPERLINK("https://www.spark-marketing.ru/Card/Person/1137139", "МАОУ ""ГИМНАЗИЯ № 35""")</f>
        <v>МАОУ "ГИМНАЗИЯ № 35"</v>
      </c>
      <c r="B1695" s="24" t="s">
        <v>3279</v>
      </c>
      <c r="C1695" s="25">
        <v>556500</v>
      </c>
      <c r="D1695" s="22" t="s">
        <v>3280</v>
      </c>
      <c r="E1695" s="22" t="s">
        <v>3281</v>
      </c>
      <c r="F1695" s="23" t="str">
        <f>HYPERLINK("https://www.spark-marketing.ru/Card/Lot/73914607", "Оказание услуг по организации питания на 4 квартал 2019 г.")</f>
        <v>Оказание услуг по организации питания на 4 квартал 2019 г.</v>
      </c>
      <c r="G1695" s="22" t="s">
        <v>663</v>
      </c>
      <c r="H1695" s="22" t="s">
        <v>663</v>
      </c>
      <c r="I1695" s="26">
        <v>43734</v>
      </c>
      <c r="J1695" s="23" t="str">
        <f>HYPERLINK("https://www.spark-marketing.ru/Card/Person/335860", "МУП КП ""СУНГИРЬ""")</f>
        <v>МУП КП "СУНГИРЬ"</v>
      </c>
      <c r="K1695" s="24" t="s">
        <v>3282</v>
      </c>
      <c r="L1695" s="22" t="s">
        <v>10</v>
      </c>
      <c r="M1695" s="25">
        <v>556500</v>
      </c>
      <c r="N1695" s="27">
        <v>0</v>
      </c>
    </row>
    <row r="1696" spans="1:14" x14ac:dyDescent="0.2">
      <c r="A1696" s="23" t="str">
        <f>HYPERLINK("https://www.spark-marketing.ru/Card/Person/717944", "ГАУ СО МО ""СОЦИАЛЬНО-ОЗДОРОВИТЕЛЬНЫЙ ЦЕНТР ""ЛЕСНАЯ ПОЛЯНА""")</f>
        <v>ГАУ СО МО "СОЦИАЛЬНО-ОЗДОРОВИТЕЛЬНЫЙ ЦЕНТР "ЛЕСНАЯ ПОЛЯНА"</v>
      </c>
      <c r="B1696" s="24" t="s">
        <v>3283</v>
      </c>
      <c r="C1696" s="25">
        <v>2144000</v>
      </c>
      <c r="D1696" s="22" t="s">
        <v>3284</v>
      </c>
      <c r="E1696" s="22" t="s">
        <v>1412</v>
      </c>
      <c r="F1696" s="23" t="str">
        <f>HYPERLINK("https://www.spark-marketing.ru/Card/Lot/73893221", "Услуги по приготовлению питания в СОО ДОЛ ""Звонкие голоса"", ДОЛ ""Имени 28 Героев Панфиловцев"", ДОЛ ""Осташево""")</f>
        <v>Услуги по приготовлению питания в СОО ДОЛ "Звонкие голоса", ДОЛ "Имени 28 Героев Панфиловцев", ДОЛ "Осташево"</v>
      </c>
      <c r="G1696" s="22" t="s">
        <v>49</v>
      </c>
      <c r="H1696" s="22" t="s">
        <v>49</v>
      </c>
      <c r="I1696" s="26">
        <v>43733</v>
      </c>
      <c r="J1696" s="28" t="s">
        <v>51</v>
      </c>
      <c r="K1696" s="28" t="s">
        <v>51</v>
      </c>
      <c r="L1696" s="22" t="s">
        <v>10</v>
      </c>
      <c r="M1696" s="25">
        <v>2122560</v>
      </c>
      <c r="N1696" s="27">
        <v>0.01</v>
      </c>
    </row>
    <row r="1697" spans="1:14" x14ac:dyDescent="0.2">
      <c r="A1697" s="23" t="str">
        <f>HYPERLINK("https://www.spark-marketing.ru/Card/Person/1759874", "МАОУ ""СОШ № 7""")</f>
        <v>МАОУ "СОШ № 7"</v>
      </c>
      <c r="B1697" s="24" t="s">
        <v>3285</v>
      </c>
      <c r="C1697" s="25">
        <v>546364</v>
      </c>
      <c r="D1697" s="22" t="s">
        <v>3286</v>
      </c>
      <c r="E1697" s="22" t="s">
        <v>362</v>
      </c>
      <c r="F1697" s="23" t="str">
        <f>HYPERLINK("https://www.spark-marketing.ru/Card/Lot/73904595", "Услуг по организации питания обучающихся")</f>
        <v>Услуг по организации питания обучающихся</v>
      </c>
      <c r="G1697" s="22" t="s">
        <v>228</v>
      </c>
      <c r="H1697" s="22" t="s">
        <v>228</v>
      </c>
      <c r="I1697" s="26">
        <v>43734</v>
      </c>
      <c r="J1697" s="28" t="s">
        <v>51</v>
      </c>
      <c r="K1697" s="28" t="s">
        <v>51</v>
      </c>
      <c r="L1697" s="22" t="s">
        <v>10</v>
      </c>
      <c r="M1697" s="25">
        <v>546364</v>
      </c>
      <c r="N1697" s="27">
        <v>0</v>
      </c>
    </row>
    <row r="1698" spans="1:14" x14ac:dyDescent="0.15">
      <c r="A1698" s="23" t="str">
        <f>HYPERLINK("https://www.spark-marketing.ru/Card/Person/1066710", "МОАУ КОНСТАНТИНОВСКАЯ СОШ")</f>
        <v>МОАУ КОНСТАНТИНОВСКАЯ СОШ</v>
      </c>
      <c r="B1698" s="24" t="s">
        <v>3275</v>
      </c>
      <c r="C1698" s="25">
        <v>171600</v>
      </c>
      <c r="D1698" s="22" t="s">
        <v>3287</v>
      </c>
      <c r="E1698" s="22" t="s">
        <v>362</v>
      </c>
      <c r="F1698" s="23" t="str">
        <f>HYPERLINK("https://www.spark-marketing.ru/Card/Lot/73903762", "Услуги школьных столовых по организации питания учащихся с ограниченными возможностями здоровья")</f>
        <v>Услуги школьных столовых по организации питания учащихся с ограниченными возможностями здоровья</v>
      </c>
      <c r="G1698" s="22" t="s">
        <v>210</v>
      </c>
      <c r="H1698" s="22" t="s">
        <v>210</v>
      </c>
      <c r="I1698" s="26">
        <v>43734</v>
      </c>
      <c r="J1698" s="28" t="s">
        <v>51</v>
      </c>
      <c r="K1698" s="28" t="s">
        <v>51</v>
      </c>
      <c r="L1698" s="28" t="s">
        <v>51</v>
      </c>
      <c r="M1698" s="28" t="s">
        <v>51</v>
      </c>
      <c r="N1698" s="28" t="s">
        <v>51</v>
      </c>
    </row>
    <row r="1699" spans="1:14" x14ac:dyDescent="0.2">
      <c r="A1699" s="23" t="str">
        <f>HYPERLINK("https://www.spark-marketing.ru/Card/Person/68391", "АСТРАХАНСКИЙ ГОСУДАРСТВЕННЫЙ УНИВЕРСИТЕТ")</f>
        <v>АСТРАХАНСКИЙ ГОСУДАРСТВЕННЫЙ УНИВЕРСИТЕТ</v>
      </c>
      <c r="B1699" s="24" t="s">
        <v>3288</v>
      </c>
      <c r="C1699" s="25">
        <v>2880750</v>
      </c>
      <c r="D1699" s="22" t="s">
        <v>3289</v>
      </c>
      <c r="E1699" s="22" t="s">
        <v>794</v>
      </c>
      <c r="F1699" s="23" t="str">
        <f>HYPERLINK("https://www.spark-marketing.ru/Card/Lot/73920906", "Оказание услуг по организации проживания и питания")</f>
        <v>Оказание услуг по организации проживания и питания</v>
      </c>
      <c r="G1699" s="22" t="s">
        <v>141</v>
      </c>
      <c r="H1699" s="22" t="s">
        <v>141</v>
      </c>
      <c r="I1699" s="26">
        <v>43734</v>
      </c>
      <c r="J1699" s="28" t="s">
        <v>51</v>
      </c>
      <c r="K1699" s="28" t="s">
        <v>51</v>
      </c>
      <c r="L1699" s="22" t="s">
        <v>10</v>
      </c>
      <c r="M1699" s="25">
        <v>2880750</v>
      </c>
      <c r="N1699" s="27">
        <v>0</v>
      </c>
    </row>
    <row r="1700" spans="1:14" x14ac:dyDescent="0.15">
      <c r="A1700" s="23" t="str">
        <f>HYPERLINK("https://www.spark-marketing.ru/Card/Person/1085700", "АУ ВО ""СШ ВИТЯЗЬ""")</f>
        <v>АУ ВО "СШ ВИТЯЗЬ"</v>
      </c>
      <c r="B1700" s="24" t="s">
        <v>3290</v>
      </c>
      <c r="C1700" s="25">
        <v>122400</v>
      </c>
      <c r="D1700" s="22" t="s">
        <v>3291</v>
      </c>
      <c r="E1700" s="22" t="s">
        <v>3292</v>
      </c>
      <c r="F1700" s="23" t="str">
        <f>HYPERLINK("https://www.spark-marketing.ru/Card/Lot/74174356", "Оказание услуг по проживанию и питанию спортсменов на 1 туре предварительного раунда XIX Первенства России среди команд юниоров ДЮБЛ")</f>
        <v>Оказание услуг по проживанию и питанию спортсменов на 1 туре предварительного раунда XIX Первенства России среди команд юниоров ДЮБЛ</v>
      </c>
      <c r="G1700" s="22" t="s">
        <v>503</v>
      </c>
      <c r="H1700" s="22" t="s">
        <v>503</v>
      </c>
      <c r="I1700" s="26">
        <v>43742</v>
      </c>
      <c r="J1700" s="28" t="s">
        <v>51</v>
      </c>
      <c r="K1700" s="28" t="s">
        <v>51</v>
      </c>
      <c r="L1700" s="28" t="s">
        <v>51</v>
      </c>
      <c r="M1700" s="28" t="s">
        <v>51</v>
      </c>
      <c r="N1700" s="28" t="s">
        <v>51</v>
      </c>
    </row>
    <row r="1701" spans="1:14" x14ac:dyDescent="0.15">
      <c r="A1701" s="23" t="str">
        <f>HYPERLINK("https://www.spark-marketing.ru/Card/Person/1182895", "МАОУ Г. ИРКУТСКА СОШ №63")</f>
        <v>МАОУ Г. ИРКУТСКА СОШ №63</v>
      </c>
      <c r="B1701" s="24" t="s">
        <v>3293</v>
      </c>
      <c r="C1701" s="25">
        <v>450020</v>
      </c>
      <c r="D1701" s="22" t="s">
        <v>3294</v>
      </c>
      <c r="E1701" s="22" t="s">
        <v>362</v>
      </c>
      <c r="F1701" s="23" t="str">
        <f>HYPERLINK("https://www.spark-marketing.ru/Card/Lot/73907464", "Оказание услуг общественного питания обучающихся МАОУ г. Иркутска СОШ №63")</f>
        <v>Оказание услуг общественного питания обучающихся МАОУ г. Иркутска СОШ №63</v>
      </c>
      <c r="G1701" s="22" t="s">
        <v>263</v>
      </c>
      <c r="H1701" s="22" t="s">
        <v>263</v>
      </c>
      <c r="I1701" s="26">
        <v>43734</v>
      </c>
      <c r="J1701" s="28" t="s">
        <v>51</v>
      </c>
      <c r="K1701" s="28" t="s">
        <v>51</v>
      </c>
      <c r="L1701" s="28" t="s">
        <v>51</v>
      </c>
      <c r="M1701" s="28" t="s">
        <v>51</v>
      </c>
      <c r="N1701" s="28" t="s">
        <v>51</v>
      </c>
    </row>
    <row r="1702" spans="1:14" x14ac:dyDescent="0.15">
      <c r="A1702" s="23" t="str">
        <f>HYPERLINK("https://www.spark-marketing.ru/Card/Person/330915", "ГАУЗ АО ""КОНСТАНТИНОВСКАЯ БОЛЬНИЦА""")</f>
        <v>ГАУЗ АО "КОНСТАНТИНОВСКАЯ БОЛЬНИЦА"</v>
      </c>
      <c r="B1702" s="24" t="s">
        <v>3295</v>
      </c>
      <c r="C1702" s="25">
        <v>4133668.8</v>
      </c>
      <c r="D1702" s="22" t="s">
        <v>3296</v>
      </c>
      <c r="E1702" s="22" t="s">
        <v>362</v>
      </c>
      <c r="F1702" s="23" t="str">
        <f>HYPERLINK("https://www.spark-marketing.ru/Card/Lot/73911148", "Оказание услуг по организации горячего питания для ГАУЗ АО «Константиновская больница»")</f>
        <v>Оказание услуг по организации горячего питания для ГАУЗ АО «Константиновская больница»</v>
      </c>
      <c r="G1702" s="22" t="s">
        <v>210</v>
      </c>
      <c r="H1702" s="22" t="s">
        <v>210</v>
      </c>
      <c r="I1702" s="26">
        <v>43734</v>
      </c>
      <c r="J1702" s="28" t="s">
        <v>51</v>
      </c>
      <c r="K1702" s="28" t="s">
        <v>51</v>
      </c>
      <c r="L1702" s="28" t="s">
        <v>51</v>
      </c>
      <c r="M1702" s="28" t="s">
        <v>51</v>
      </c>
      <c r="N1702" s="28" t="s">
        <v>51</v>
      </c>
    </row>
    <row r="1703" spans="1:14" x14ac:dyDescent="0.15">
      <c r="A1703" s="23" t="str">
        <f>HYPERLINK("https://www.spark-marketing.ru/Card/Person/1450593", "МАОУ ""СОШ № 3""")</f>
        <v>МАОУ "СОШ № 3"</v>
      </c>
      <c r="B1703" s="24" t="s">
        <v>3297</v>
      </c>
      <c r="C1703" s="25">
        <v>380265.34</v>
      </c>
      <c r="D1703" s="22" t="s">
        <v>3298</v>
      </c>
      <c r="E1703" s="22" t="s">
        <v>1412</v>
      </c>
      <c r="F1703" s="23" t="str">
        <f>HYPERLINK("https://www.spark-marketing.ru/Card/Lot/73903343", "Оказание услуги по организации и обеспечению горячего питания для учащихся")</f>
        <v>Оказание услуги по организации и обеспечению горячего питания для учащихся</v>
      </c>
      <c r="G1703" s="22" t="s">
        <v>153</v>
      </c>
      <c r="H1703" s="22" t="s">
        <v>153</v>
      </c>
      <c r="I1703" s="26">
        <v>43734</v>
      </c>
      <c r="J1703" s="28" t="s">
        <v>51</v>
      </c>
      <c r="K1703" s="28" t="s">
        <v>51</v>
      </c>
      <c r="L1703" s="28" t="s">
        <v>51</v>
      </c>
      <c r="M1703" s="28" t="s">
        <v>51</v>
      </c>
      <c r="N1703" s="28" t="s">
        <v>51</v>
      </c>
    </row>
    <row r="1704" spans="1:14" x14ac:dyDescent="0.2">
      <c r="A1704" s="23" t="str">
        <f>HYPERLINK("https://www.spark-marketing.ru/Card/Person/1078721", "МАОУ ""КАДЕТСКАЯ ШКОЛА № 4 Г. ГОРНО-АЛТАЙСКА""")</f>
        <v>МАОУ "КАДЕТСКАЯ ШКОЛА № 4 Г. ГОРНО-АЛТАЙСКА"</v>
      </c>
      <c r="B1704" s="24" t="s">
        <v>3299</v>
      </c>
      <c r="C1704" s="25">
        <v>545600</v>
      </c>
      <c r="D1704" s="22" t="s">
        <v>3300</v>
      </c>
      <c r="E1704" s="22" t="s">
        <v>362</v>
      </c>
      <c r="F1704" s="23" t="str">
        <f>HYPERLINK("https://www.spark-marketing.ru/Card/Lot/73915343", "оказание услуг по организации горячего питания учащихся с ограниченными возможностями здоровья, учащихся из малообеспеченных и малообеспеченных многодетных семей")</f>
        <v>оказание услуг по организации горячего питания учащихся с ограниченными возможностями здоровья, учащихся из малообеспеченных и малообеспеченных многодетных семей</v>
      </c>
      <c r="G1704" s="22" t="s">
        <v>1141</v>
      </c>
      <c r="H1704" s="22" t="s">
        <v>1141</v>
      </c>
      <c r="I1704" s="26">
        <v>43734</v>
      </c>
      <c r="J1704" s="28" t="s">
        <v>51</v>
      </c>
      <c r="K1704" s="28" t="s">
        <v>51</v>
      </c>
      <c r="L1704" s="22" t="s">
        <v>10</v>
      </c>
      <c r="M1704" s="25">
        <v>545600</v>
      </c>
      <c r="N1704" s="27">
        <v>0</v>
      </c>
    </row>
    <row r="1705" spans="1:14" x14ac:dyDescent="0.15">
      <c r="A1705" s="23" t="str">
        <f>HYPERLINK("https://www.spark-marketing.ru/Card/Person/234769", "МДОУ Д/С № 74")</f>
        <v>МДОУ Д/С № 74</v>
      </c>
      <c r="B1705" s="24" t="s">
        <v>3301</v>
      </c>
      <c r="C1705" s="25">
        <v>1205116.75</v>
      </c>
      <c r="D1705" s="22" t="s">
        <v>3302</v>
      </c>
      <c r="E1705" s="22" t="s">
        <v>362</v>
      </c>
      <c r="F1705" s="23" t="str">
        <f>HYPERLINK("https://www.spark-marketing.ru/Card/Lot/73901501", "оказание услуг по организации питания")</f>
        <v>оказание услуг по организации питания</v>
      </c>
      <c r="G1705" s="22" t="s">
        <v>158</v>
      </c>
      <c r="H1705" s="22" t="s">
        <v>158</v>
      </c>
      <c r="I1705" s="26">
        <v>43734</v>
      </c>
      <c r="J1705" s="28" t="s">
        <v>51</v>
      </c>
      <c r="K1705" s="28" t="s">
        <v>51</v>
      </c>
      <c r="L1705" s="28" t="s">
        <v>51</v>
      </c>
      <c r="M1705" s="28" t="s">
        <v>51</v>
      </c>
      <c r="N1705" s="28" t="s">
        <v>51</v>
      </c>
    </row>
    <row r="1706" spans="1:14" x14ac:dyDescent="0.15">
      <c r="A1706" s="23" t="str">
        <f>HYPERLINK("https://www.spark-marketing.ru/Card/Person/1176723", "МАОУ ЛИЦЕЙ ИГУ Г. ИРКУТСКА")</f>
        <v>МАОУ ЛИЦЕЙ ИГУ Г. ИРКУТСКА</v>
      </c>
      <c r="B1706" s="24" t="s">
        <v>3303</v>
      </c>
      <c r="C1706" s="25">
        <v>495000</v>
      </c>
      <c r="D1706" s="22" t="s">
        <v>3304</v>
      </c>
      <c r="E1706" s="22" t="s">
        <v>362</v>
      </c>
      <c r="F1706" s="23" t="str">
        <f>HYPERLINK("https://www.spark-marketing.ru/Card/Lot/73899334", "Оказание услуг общественного питания обучающихся МАОУ Лицей ИГУ г. Иркутска")</f>
        <v>Оказание услуг общественного питания обучающихся МАОУ Лицей ИГУ г. Иркутска</v>
      </c>
      <c r="G1706" s="22" t="s">
        <v>263</v>
      </c>
      <c r="H1706" s="22" t="s">
        <v>263</v>
      </c>
      <c r="I1706" s="26">
        <v>43734</v>
      </c>
      <c r="J1706" s="28" t="s">
        <v>51</v>
      </c>
      <c r="K1706" s="28" t="s">
        <v>51</v>
      </c>
      <c r="L1706" s="28" t="s">
        <v>51</v>
      </c>
      <c r="M1706" s="28" t="s">
        <v>51</v>
      </c>
      <c r="N1706" s="28" t="s">
        <v>51</v>
      </c>
    </row>
    <row r="1707" spans="1:14" x14ac:dyDescent="0.15">
      <c r="A1707" s="23" t="str">
        <f>HYPERLINK("https://www.spark-marketing.ru/Card/Person/236446", "МАОУ ГИМНАЗИЯ №1 ИМ. А.С.ПУШКИНА Г.ЮЖНО-САХАЛИНСКА")</f>
        <v>МАОУ ГИМНАЗИЯ №1 ИМ. А.С.ПУШКИНА Г.ЮЖНО-САХАЛИНСКА</v>
      </c>
      <c r="B1707" s="24" t="s">
        <v>3305</v>
      </c>
      <c r="C1707" s="25">
        <v>1405800</v>
      </c>
      <c r="D1707" s="22" t="s">
        <v>3306</v>
      </c>
      <c r="E1707" s="22" t="s">
        <v>362</v>
      </c>
      <c r="F1707" s="23" t="str">
        <f>HYPERLINK("https://www.spark-marketing.ru/Card/Lot/73903258", "Оказание услуг по организации питания обучающихся в группе продленного дня")</f>
        <v>Оказание услуг по организации питания обучающихся в группе продленного дня</v>
      </c>
      <c r="G1707" s="22" t="s">
        <v>260</v>
      </c>
      <c r="H1707" s="22" t="s">
        <v>260</v>
      </c>
      <c r="I1707" s="26">
        <v>43734</v>
      </c>
      <c r="J1707" s="28" t="s">
        <v>51</v>
      </c>
      <c r="K1707" s="28" t="s">
        <v>51</v>
      </c>
      <c r="L1707" s="28" t="s">
        <v>51</v>
      </c>
      <c r="M1707" s="28" t="s">
        <v>51</v>
      </c>
      <c r="N1707" s="28" t="s">
        <v>51</v>
      </c>
    </row>
    <row r="1708" spans="1:14" ht="12.75" x14ac:dyDescent="0.2">
      <c r="A1708" s="23" t="str">
        <f>HYPERLINK("https://www.spark-marketing.ru/Card/Person/860957", "МАОУ ""СОШ № 3""")</f>
        <v>МАОУ "СОШ № 3"</v>
      </c>
      <c r="B1708" s="24" t="s">
        <v>3307</v>
      </c>
      <c r="C1708" s="25">
        <v>1499000</v>
      </c>
      <c r="D1708" s="22" t="s">
        <v>3308</v>
      </c>
      <c r="E1708" s="22" t="s">
        <v>362</v>
      </c>
      <c r="F1708" s="23" t="str">
        <f>HYPERLINK("https://www.spark-marketing.ru/Card/Lot/74059956", "Услуги общественного питания в 4 квартале 2019 года")</f>
        <v>Услуги общественного питания в 4 квартале 2019 года</v>
      </c>
      <c r="G1708" s="22" t="s">
        <v>766</v>
      </c>
      <c r="H1708" s="22" t="s">
        <v>766</v>
      </c>
      <c r="I1708" s="26">
        <v>43738</v>
      </c>
      <c r="J1708" s="23" t="str">
        <f>HYPERLINK("https://www.spark-marketing.ru/Card/Person/1532552", "МП ""ТСЦ""")</f>
        <v>МП "ТСЦ"</v>
      </c>
      <c r="K1708" s="24" t="s">
        <v>3309</v>
      </c>
      <c r="L1708" s="22" t="s">
        <v>10</v>
      </c>
      <c r="M1708" s="25">
        <v>1499000</v>
      </c>
      <c r="N1708" s="27">
        <v>0</v>
      </c>
    </row>
    <row r="1709" spans="1:14" ht="12.75" x14ac:dyDescent="0.2">
      <c r="A1709" s="23" t="str">
        <f>HYPERLINK("https://www.spark-marketing.ru/Card/Person/1361182", "МАОУ ""СОШ ИМЕНИ ДЕКАБРИСТОВ""")</f>
        <v>МАОУ "СОШ ИМЕНИ ДЕКАБРИСТОВ"</v>
      </c>
      <c r="B1709" s="24" t="s">
        <v>3310</v>
      </c>
      <c r="C1709" s="25">
        <v>1511000</v>
      </c>
      <c r="D1709" s="22" t="s">
        <v>3311</v>
      </c>
      <c r="E1709" s="22" t="s">
        <v>362</v>
      </c>
      <c r="F1709" s="23" t="str">
        <f>HYPERLINK("https://www.spark-marketing.ru/Card/Lot/74046053", "Услуги общественного питания в 4 квартале 2019 года")</f>
        <v>Услуги общественного питания в 4 квартале 2019 года</v>
      </c>
      <c r="G1709" s="22" t="s">
        <v>766</v>
      </c>
      <c r="H1709" s="22" t="s">
        <v>766</v>
      </c>
      <c r="I1709" s="26">
        <v>43738</v>
      </c>
      <c r="J1709" s="23" t="str">
        <f>HYPERLINK("https://www.spark-marketing.ru/Card/Person/1532552", "МП ""ТСЦ""")</f>
        <v>МП "ТСЦ"</v>
      </c>
      <c r="K1709" s="24" t="s">
        <v>3309</v>
      </c>
      <c r="L1709" s="22" t="s">
        <v>10</v>
      </c>
      <c r="M1709" s="25">
        <v>1511000</v>
      </c>
      <c r="N1709" s="27">
        <v>0</v>
      </c>
    </row>
    <row r="1710" spans="1:14" ht="12.75" x14ac:dyDescent="0.2">
      <c r="A1710" s="23" t="str">
        <f>HYPERLINK("https://www.spark-marketing.ru/Card/Person/1361184", "МАОУ ""СРЕДНЯЯ ШКОЛА № 1""")</f>
        <v>МАОУ "СРЕДНЯЯ ШКОЛА № 1"</v>
      </c>
      <c r="B1710" s="24" t="s">
        <v>3312</v>
      </c>
      <c r="C1710" s="25">
        <v>1276000</v>
      </c>
      <c r="D1710" s="22" t="s">
        <v>3313</v>
      </c>
      <c r="E1710" s="22" t="s">
        <v>362</v>
      </c>
      <c r="F1710" s="23" t="str">
        <f>HYPERLINK("https://www.spark-marketing.ru/Card/Lot/74047871", "Услуги общественного питания в 4 квартале 2019 года")</f>
        <v>Услуги общественного питания в 4 квартале 2019 года</v>
      </c>
      <c r="G1710" s="22" t="s">
        <v>766</v>
      </c>
      <c r="H1710" s="22" t="s">
        <v>766</v>
      </c>
      <c r="I1710" s="26">
        <v>43738</v>
      </c>
      <c r="J1710" s="23" t="str">
        <f>HYPERLINK("https://www.spark-marketing.ru/Card/Person/1532552", "МП ""ТСЦ""")</f>
        <v>МП "ТСЦ"</v>
      </c>
      <c r="K1710" s="24" t="s">
        <v>3309</v>
      </c>
      <c r="L1710" s="22" t="s">
        <v>10</v>
      </c>
      <c r="M1710" s="25">
        <v>1276000</v>
      </c>
      <c r="N1710" s="27">
        <v>0</v>
      </c>
    </row>
    <row r="1711" spans="1:14" x14ac:dyDescent="0.15">
      <c r="A1711" s="23" t="str">
        <f>HYPERLINK("https://www.spark-marketing.ru/Card/Person/1476", "ГУ-БРЯНСКОЕ РО ФОНДА СОЦИАЛЬНОГО СТРАХОВАНИЯ РОССИЙСКОЙ ФЕДЕРАЦИИ")</f>
        <v>ГУ-БРЯНСКОЕ РО ФОНДА СОЦИАЛЬНОГО СТРАХОВАНИЯ РОССИЙСКОЙ ФЕДЕРАЦИИ</v>
      </c>
      <c r="B1711" s="24" t="s">
        <v>2454</v>
      </c>
      <c r="C1711" s="25">
        <v>987996.24</v>
      </c>
      <c r="D1711" s="22" t="s">
        <v>3314</v>
      </c>
      <c r="E1711" s="22" t="s">
        <v>86</v>
      </c>
      <c r="F1711" s="23" t="str">
        <f>HYPERLINK("https://www.spark-marketing.ru/Card/Lot/73896541", "Оказание услуг по санаторно-курортному лечению граждан-получателей набора социальных услуг в организациях, оказывающих санаторно-курортные услуги по профилям заболеваний: заболевания по Классу XI МКБ-10 «Болезни органов пищеварения», заболевания по К...")</f>
        <v>Оказание услуг по санаторно-курортному лечению граждан-получателей набора социальных услуг в организациях, оказывающих санаторно-курортные услуги по профилям заболеваний: заболевания по Классу XI МКБ-10 «Болезни органов пищеварения», заболевания по К...</v>
      </c>
      <c r="G1711" s="22" t="s">
        <v>475</v>
      </c>
      <c r="H1711" s="22" t="s">
        <v>475</v>
      </c>
      <c r="I1711" s="26">
        <v>43733.768773148098</v>
      </c>
      <c r="J1711" s="23" t="str">
        <f>HYPERLINK("https://www.spark-marketing.ru/Card/Person/153485", "ОАО ""САНАТОРИЙ ""СНЕЖКА""")</f>
        <v>ОАО "САНАТОРИЙ "СНЕЖКА"</v>
      </c>
      <c r="K1711" s="24" t="s">
        <v>3315</v>
      </c>
      <c r="L1711" s="22" t="s">
        <v>10</v>
      </c>
      <c r="M1711" s="28" t="s">
        <v>51</v>
      </c>
      <c r="N1711" s="28" t="s">
        <v>51</v>
      </c>
    </row>
    <row r="1712" spans="1:14" x14ac:dyDescent="0.15">
      <c r="A1712" s="23" t="str">
        <f>HYPERLINK("https://www.spark-marketing.ru/Card/Person/1000042", "МБОУ НАРО-ФОМИНСКАЯ ШКОЛА ДЛЯ ОБУЧАЮЩИХСЯ С ОВЗ")</f>
        <v>МБОУ НАРО-ФОМИНСКАЯ ШКОЛА ДЛЯ ОБУЧАЮЩИХСЯ С ОВЗ</v>
      </c>
      <c r="B1712" s="24" t="s">
        <v>3316</v>
      </c>
      <c r="C1712" s="25">
        <v>560952</v>
      </c>
      <c r="D1712" s="22" t="s">
        <v>3317</v>
      </c>
      <c r="E1712" s="22" t="s">
        <v>48</v>
      </c>
      <c r="F1712" s="23" t="str">
        <f>HYPERLINK("https://www.spark-marketing.ru/Card/Lot/73888138", "Услуги по организации питания для учащихся общеобразовательной организации (ноябрь-декабрь 2019)")</f>
        <v>Услуги по организации питания для учащихся общеобразовательной организации (ноябрь-декабрь 2019)</v>
      </c>
      <c r="G1712" s="22" t="s">
        <v>49</v>
      </c>
      <c r="H1712" s="22" t="s">
        <v>3318</v>
      </c>
      <c r="I1712" s="26">
        <v>43733.742962962999</v>
      </c>
      <c r="J1712" s="28" t="s">
        <v>51</v>
      </c>
      <c r="K1712" s="28" t="s">
        <v>51</v>
      </c>
      <c r="L1712" s="28" t="s">
        <v>51</v>
      </c>
      <c r="M1712" s="28" t="s">
        <v>51</v>
      </c>
      <c r="N1712" s="28" t="s">
        <v>51</v>
      </c>
    </row>
    <row r="1713" spans="1:14" x14ac:dyDescent="0.15">
      <c r="A1713" s="23" t="str">
        <f>HYPERLINK("https://www.spark-marketing.ru/Card/Person/2040024", "САНКТ-ПЕТЕРБУРГСКАЯ ТАМОЖНЯ")</f>
        <v>САНКТ-ПЕТЕРБУРГСКАЯ ТАМОЖНЯ</v>
      </c>
      <c r="B1713" s="24" t="s">
        <v>3319</v>
      </c>
      <c r="C1713" s="25">
        <v>254700</v>
      </c>
      <c r="D1713" s="22" t="s">
        <v>3320</v>
      </c>
      <c r="E1713" s="22" t="s">
        <v>3321</v>
      </c>
      <c r="F1713" s="23" t="str">
        <f>HYPERLINK("https://www.spark-marketing.ru/Card/Lot/73892822", "Услуги по поставке запчасти и принадлежности для средств вычислительной техники")</f>
        <v>Услуги по поставке запчасти и принадлежности для средств вычислительной техники</v>
      </c>
      <c r="G1713" s="22" t="s">
        <v>117</v>
      </c>
      <c r="H1713" s="22" t="s">
        <v>117</v>
      </c>
      <c r="I1713" s="26">
        <v>43733.743750000001</v>
      </c>
      <c r="J1713" s="23" t="str">
        <f>HYPERLINK("https://www.spark-marketing.ru/Card/Person/6111272", "Кузнецов Михаил Игоревич")</f>
        <v>Кузнецов Михаил Игоревич</v>
      </c>
      <c r="K1713" s="24" t="s">
        <v>3322</v>
      </c>
      <c r="L1713" s="28" t="s">
        <v>51</v>
      </c>
      <c r="M1713" s="28" t="s">
        <v>51</v>
      </c>
      <c r="N1713" s="28" t="s">
        <v>51</v>
      </c>
    </row>
    <row r="1714" spans="1:14" x14ac:dyDescent="0.15">
      <c r="A1714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714" s="24" t="s">
        <v>3323</v>
      </c>
      <c r="C1714" s="25">
        <v>1356092.5</v>
      </c>
      <c r="D1714" s="22" t="s">
        <v>3324</v>
      </c>
      <c r="E1714" s="22" t="s">
        <v>3325</v>
      </c>
      <c r="F1714" s="23" t="str">
        <f>HYPERLINK("https://www.spark-marketing.ru/Card/Lot/73903710", "Оказание услуг по сбору, транспортированию и размещению отходов IV-V класса в 2020 году")</f>
        <v>Оказание услуг по сбору, транспортированию и размещению отходов IV-V класса в 2020 году</v>
      </c>
      <c r="G1714" s="22" t="s">
        <v>104</v>
      </c>
      <c r="H1714" s="22" t="s">
        <v>104</v>
      </c>
      <c r="I1714" s="26">
        <v>43733.738194444399</v>
      </c>
      <c r="J1714" s="28" t="s">
        <v>51</v>
      </c>
      <c r="K1714" s="28" t="s">
        <v>51</v>
      </c>
      <c r="L1714" s="28" t="s">
        <v>51</v>
      </c>
      <c r="M1714" s="28" t="s">
        <v>51</v>
      </c>
      <c r="N1714" s="28" t="s">
        <v>51</v>
      </c>
    </row>
    <row r="1715" spans="1:14" hidden="1" outlineLevel="1" x14ac:dyDescent="0.2">
      <c r="A1715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715" s="24" t="s">
        <v>3323</v>
      </c>
      <c r="C1715" s="25">
        <v>1356092.5</v>
      </c>
      <c r="D1715" s="22" t="s">
        <v>3324</v>
      </c>
      <c r="E1715" s="22" t="s">
        <v>3325</v>
      </c>
      <c r="F1715" s="23" t="str">
        <f>HYPERLINK("https://www.spark-marketing.ru/Card/Lot/73903710", "Оказание услуг по сбору, транспортированию и размещению отходов IV-V класса в 2020 году")</f>
        <v>Оказание услуг по сбору, транспортированию и размещению отходов IV-V класса в 2020 году</v>
      </c>
      <c r="G1715" s="22" t="s">
        <v>104</v>
      </c>
      <c r="H1715" s="22" t="s">
        <v>104</v>
      </c>
      <c r="I1715" s="26">
        <v>43733.738194444399</v>
      </c>
      <c r="J1715" s="23" t="str">
        <f>HYPERLINK("https://www.spark-marketing.ru/Card/Person/156424", "АО ""МУСОРОУБОРОЧНАЯ КОМПАНИЯ""")</f>
        <v>АО "МУСОРОУБОРОЧНАЯ КОМПАНИЯ"</v>
      </c>
      <c r="K1715" s="24" t="s">
        <v>3326</v>
      </c>
      <c r="L1715" s="28" t="s">
        <v>51</v>
      </c>
      <c r="M1715" s="25">
        <v>922143.06</v>
      </c>
      <c r="N1715" s="27">
        <v>0.31999988201394819</v>
      </c>
    </row>
    <row r="1716" spans="1:14" hidden="1" outlineLevel="1" x14ac:dyDescent="0.2">
      <c r="A1716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716" s="24" t="s">
        <v>3323</v>
      </c>
      <c r="C1716" s="25">
        <v>1356092.5</v>
      </c>
      <c r="D1716" s="22" t="s">
        <v>3324</v>
      </c>
      <c r="E1716" s="22" t="s">
        <v>3325</v>
      </c>
      <c r="F1716" s="23" t="str">
        <f>HYPERLINK("https://www.spark-marketing.ru/Card/Lot/73903710", "Оказание услуг по сбору, транспортированию и размещению отходов IV-V класса в 2020 году")</f>
        <v>Оказание услуг по сбору, транспортированию и размещению отходов IV-V класса в 2020 году</v>
      </c>
      <c r="G1716" s="22" t="s">
        <v>104</v>
      </c>
      <c r="H1716" s="22" t="s">
        <v>104</v>
      </c>
      <c r="I1716" s="26">
        <v>43733.738194444399</v>
      </c>
      <c r="J1716" s="23" t="str">
        <f>HYPERLINK("https://www.spark-marketing.ru/Card/Person/62918", "ООО ""ФАБРИКА ЧИСТОТЫ""")</f>
        <v>ООО "ФАБРИКА ЧИСТОТЫ"</v>
      </c>
      <c r="K1716" s="24" t="s">
        <v>3327</v>
      </c>
      <c r="L1716" s="28" t="s">
        <v>51</v>
      </c>
      <c r="M1716" s="25">
        <v>1010289.04</v>
      </c>
      <c r="N1716" s="27">
        <v>0.25499990597986494</v>
      </c>
    </row>
    <row r="1717" spans="1:14" ht="12.75" hidden="1" outlineLevel="1" x14ac:dyDescent="0.2">
      <c r="A1717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717" s="24" t="s">
        <v>3323</v>
      </c>
      <c r="C1717" s="25">
        <v>1356092.5</v>
      </c>
      <c r="D1717" s="22" t="s">
        <v>3324</v>
      </c>
      <c r="E1717" s="22" t="s">
        <v>3325</v>
      </c>
      <c r="F1717" s="23" t="str">
        <f>HYPERLINK("https://www.spark-marketing.ru/Card/Lot/73903710", "Оказание услуг по сбору, транспортированию и размещению отходов IV-V класса в 2020 году")</f>
        <v>Оказание услуг по сбору, транспортированию и размещению отходов IV-V класса в 2020 году</v>
      </c>
      <c r="G1717" s="22" t="s">
        <v>104</v>
      </c>
      <c r="H1717" s="22" t="s">
        <v>104</v>
      </c>
      <c r="I1717" s="26">
        <v>43733.738194444399</v>
      </c>
      <c r="J1717" s="23" t="str">
        <f>HYPERLINK("https://www.spark-marketing.ru/Card/Person/2116059", "ООО ""ЧИСТЫЙ ГОРОД""")</f>
        <v>ООО "ЧИСТЫЙ ГОРОД"</v>
      </c>
      <c r="K1717" s="24" t="s">
        <v>3328</v>
      </c>
      <c r="L1717" s="22" t="s">
        <v>10</v>
      </c>
      <c r="M1717" s="25">
        <v>915362.6</v>
      </c>
      <c r="N1717" s="27">
        <v>0.32499988017041609</v>
      </c>
    </row>
    <row r="1718" spans="1:14" x14ac:dyDescent="0.15">
      <c r="A1718" s="23" t="str">
        <f>HYPERLINK("https://www.spark-marketing.ru/Card/Person/1045721", "МДОУ ДЕТСКИЙ САД ОБЩЕРАЗВИВАЮЩЕГО ВИДА № 16 ""КОЛОКОЛЬЧИК""")</f>
        <v>МДОУ ДЕТСКИЙ САД ОБЩЕРАЗВИВАЮЩЕГО ВИДА № 16 "КОЛОКОЛЬЧИК"</v>
      </c>
      <c r="B1718" s="24" t="s">
        <v>3329</v>
      </c>
      <c r="C1718" s="25">
        <v>337220</v>
      </c>
      <c r="D1718" s="22" t="s">
        <v>3330</v>
      </c>
      <c r="E1718" s="22" t="s">
        <v>48</v>
      </c>
      <c r="F1718" s="23" t="str">
        <f>HYPERLINK("https://www.spark-marketing.ru/Card/Lot/73888029",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1718" s="22" t="s">
        <v>49</v>
      </c>
      <c r="H1718" s="22" t="s">
        <v>50</v>
      </c>
      <c r="I1718" s="26">
        <v>43733.7114351852</v>
      </c>
      <c r="J1718" s="28" t="s">
        <v>51</v>
      </c>
      <c r="K1718" s="28" t="s">
        <v>51</v>
      </c>
      <c r="L1718" s="28" t="s">
        <v>51</v>
      </c>
      <c r="M1718" s="28" t="s">
        <v>51</v>
      </c>
      <c r="N1718" s="28" t="s">
        <v>51</v>
      </c>
    </row>
    <row r="1719" spans="1:14" x14ac:dyDescent="0.15">
      <c r="A1719" s="23" t="str">
        <f>HYPERLINK("https://www.spark-marketing.ru/Card/Person/531416", "ОМВД РОССИИ ПО Г. ДОНСКОМУ")</f>
        <v>ОМВД РОССИИ ПО Г. ДОНСКОМУ</v>
      </c>
      <c r="B1719" s="24" t="s">
        <v>3331</v>
      </c>
      <c r="C1719" s="25">
        <v>100070.03</v>
      </c>
      <c r="D1719" s="22" t="s">
        <v>3332</v>
      </c>
      <c r="E1719" s="22" t="s">
        <v>48</v>
      </c>
      <c r="F1719" s="23" t="str">
        <f>HYPERLINK("https://www.spark-marketing.ru/Card/Lot/73890588", "Обеспечение и организация 3-х разового питания лиц, содержащихся в ИВС")</f>
        <v>Обеспечение и организация 3-х разового питания лиц, содержащихся в ИВС</v>
      </c>
      <c r="G1719" s="22" t="s">
        <v>68</v>
      </c>
      <c r="H1719" s="22" t="s">
        <v>682</v>
      </c>
      <c r="I1719" s="26">
        <v>43733.71875</v>
      </c>
      <c r="J1719" s="28" t="s">
        <v>51</v>
      </c>
      <c r="K1719" s="28" t="s">
        <v>51</v>
      </c>
      <c r="L1719" s="28" t="s">
        <v>51</v>
      </c>
      <c r="M1719" s="28" t="s">
        <v>51</v>
      </c>
      <c r="N1719" s="28" t="s">
        <v>51</v>
      </c>
    </row>
    <row r="1720" spans="1:14" ht="12.75" hidden="1" outlineLevel="1" x14ac:dyDescent="0.2">
      <c r="A1720" s="23" t="str">
        <f>HYPERLINK("https://www.spark-marketing.ru/Card/Person/531416", "ОМВД РОССИИ ПО Г. ДОНСКОМУ")</f>
        <v>ОМВД РОССИИ ПО Г. ДОНСКОМУ</v>
      </c>
      <c r="B1720" s="24" t="s">
        <v>3331</v>
      </c>
      <c r="C1720" s="25">
        <v>100070.03</v>
      </c>
      <c r="D1720" s="22" t="s">
        <v>3332</v>
      </c>
      <c r="E1720" s="22" t="s">
        <v>48</v>
      </c>
      <c r="F1720" s="23" t="str">
        <f>HYPERLINK("https://www.spark-marketing.ru/Card/Lot/73890588", "Обеспечение и организация 3-х разового питания лиц, содержащихся в ИВС")</f>
        <v>Обеспечение и организация 3-х разового питания лиц, содержащихся в ИВС</v>
      </c>
      <c r="G1720" s="22" t="s">
        <v>68</v>
      </c>
      <c r="H1720" s="22" t="s">
        <v>682</v>
      </c>
      <c r="I1720" s="26">
        <v>43733.71875</v>
      </c>
      <c r="J1720" s="23" t="str">
        <f>HYPERLINK("https://www.spark-marketing.ru/Card/Person/5917713", "ООО ""БАРБУС""")</f>
        <v>ООО "БАРБУС"</v>
      </c>
      <c r="K1720" s="24" t="s">
        <v>3333</v>
      </c>
      <c r="L1720" s="22" t="s">
        <v>10</v>
      </c>
      <c r="M1720" s="25">
        <v>240</v>
      </c>
      <c r="N1720" s="27">
        <v>0.99760167954381551</v>
      </c>
    </row>
    <row r="1721" spans="1:14" hidden="1" outlineLevel="1" x14ac:dyDescent="0.2">
      <c r="A1721" s="23" t="str">
        <f>HYPERLINK("https://www.spark-marketing.ru/Card/Person/531416", "ОМВД РОССИИ ПО Г. ДОНСКОМУ")</f>
        <v>ОМВД РОССИИ ПО Г. ДОНСКОМУ</v>
      </c>
      <c r="B1721" s="24" t="s">
        <v>3331</v>
      </c>
      <c r="C1721" s="25">
        <v>100070.03</v>
      </c>
      <c r="D1721" s="22" t="s">
        <v>3332</v>
      </c>
      <c r="E1721" s="22" t="s">
        <v>48</v>
      </c>
      <c r="F1721" s="23" t="str">
        <f>HYPERLINK("https://www.spark-marketing.ru/Card/Lot/73890588", "Обеспечение и организация 3-х разового питания лиц, содержащихся в ИВС")</f>
        <v>Обеспечение и организация 3-х разового питания лиц, содержащихся в ИВС</v>
      </c>
      <c r="G1721" s="22" t="s">
        <v>68</v>
      </c>
      <c r="H1721" s="22" t="s">
        <v>682</v>
      </c>
      <c r="I1721" s="26">
        <v>43733.71875</v>
      </c>
      <c r="J1721" s="23" t="str">
        <f>HYPERLINK("https://www.spark-marketing.ru/Card/Person/125220", "ООО ""ПАРТНЕР""")</f>
        <v>ООО "ПАРТНЕР"</v>
      </c>
      <c r="K1721" s="24" t="s">
        <v>3334</v>
      </c>
      <c r="L1721" s="28" t="s">
        <v>51</v>
      </c>
      <c r="M1721" s="25">
        <v>89571</v>
      </c>
      <c r="N1721" s="27">
        <v>0.10491682674622961</v>
      </c>
    </row>
    <row r="1722" spans="1:14" x14ac:dyDescent="0.15">
      <c r="A1722" s="23" t="str">
        <f>HYPERLINK("https://www.spark-marketing.ru/Card/Person/116457", "ОМВД РОССИИ ПО ВОЛХОВСКОМУ РАЙОНУ ЛО")</f>
        <v>ОМВД РОССИИ ПО ВОЛХОВСКОМУ РАЙОНУ ЛО</v>
      </c>
      <c r="B1722" s="24" t="s">
        <v>3335</v>
      </c>
      <c r="C1722" s="25">
        <v>460000</v>
      </c>
      <c r="D1722" s="22" t="s">
        <v>3336</v>
      </c>
      <c r="E1722" s="22" t="s">
        <v>96</v>
      </c>
      <c r="F1722" s="23" t="str">
        <f>HYPERLINK("https://www.spark-marketing.ru/Card/Lot/73897002", "Услуги по обеспечению питанием прочие")</f>
        <v>Услуги по обеспечению питанием прочие</v>
      </c>
      <c r="G1722" s="22" t="s">
        <v>162</v>
      </c>
      <c r="H1722" s="22" t="s">
        <v>3337</v>
      </c>
      <c r="I1722" s="26">
        <v>43733.713194444397</v>
      </c>
      <c r="J1722" s="23" t="str">
        <f>HYPERLINK("https://www.spark-marketing.ru/Card/Person/672559", "ООО ""ДРИАДА""")</f>
        <v>ООО "ДРИАДА"</v>
      </c>
      <c r="K1722" s="24" t="s">
        <v>3338</v>
      </c>
      <c r="L1722" s="22" t="s">
        <v>10</v>
      </c>
      <c r="M1722" s="28" t="s">
        <v>51</v>
      </c>
      <c r="N1722" s="28" t="s">
        <v>51</v>
      </c>
    </row>
    <row r="1723" spans="1:14" x14ac:dyDescent="0.15">
      <c r="A1723" s="23" t="str">
        <f>HYPERLINK("https://www.spark-marketing.ru/Card/Person/144997", "МО МВД РОССИИ ""КУВАНДЫКСКИЙ""")</f>
        <v>МО МВД РОССИИ "КУВАНДЫКСКИЙ"</v>
      </c>
      <c r="B1723" s="24" t="s">
        <v>3339</v>
      </c>
      <c r="C1723" s="25">
        <v>865000</v>
      </c>
      <c r="D1723" s="22" t="s">
        <v>3340</v>
      </c>
      <c r="E1723" s="22" t="s">
        <v>48</v>
      </c>
      <c r="F1723" s="23" t="str">
        <f>HYPERLINK("https://www.spark-marketing.ru/Card/Lot/73900030", "Оказание услуг по организации ежедневного горячего питания лиц содержащихся в изоляторе временного содержания подозреваемых и обвиняемых МО МВД России ""Кувандыкский""")</f>
        <v>Оказание услуг по организации ежедневного горячего питания лиц содержащихся в изоляторе временного содержания подозреваемых и обвиняемых МО МВД России "Кувандыкский"</v>
      </c>
      <c r="G1723" s="22" t="s">
        <v>132</v>
      </c>
      <c r="H1723" s="22" t="s">
        <v>3341</v>
      </c>
      <c r="I1723" s="26">
        <v>43733.740277777797</v>
      </c>
      <c r="J1723" s="23" t="str">
        <f>HYPERLINK("https://www.spark-marketing.ru/Card/Person/420720", "Майорова Елена Александровна")</f>
        <v>Майорова Елена Александровна</v>
      </c>
      <c r="K1723" s="24" t="s">
        <v>3342</v>
      </c>
      <c r="L1723" s="28" t="s">
        <v>51</v>
      </c>
      <c r="M1723" s="28" t="s">
        <v>51</v>
      </c>
      <c r="N1723" s="28" t="s">
        <v>51</v>
      </c>
    </row>
    <row r="1724" spans="1:14" ht="12.75" hidden="1" outlineLevel="1" x14ac:dyDescent="0.2">
      <c r="A1724" s="23" t="str">
        <f>HYPERLINK("https://www.spark-marketing.ru/Card/Person/144997", "МО МВД РОССИИ ""КУВАНДЫКСКИЙ""")</f>
        <v>МО МВД РОССИИ "КУВАНДЫКСКИЙ"</v>
      </c>
      <c r="B1724" s="24" t="s">
        <v>3339</v>
      </c>
      <c r="C1724" s="25">
        <v>865000</v>
      </c>
      <c r="D1724" s="22" t="s">
        <v>3340</v>
      </c>
      <c r="E1724" s="22" t="s">
        <v>48</v>
      </c>
      <c r="F1724" s="23" t="str">
        <f>HYPERLINK("https://www.spark-marketing.ru/Card/Lot/73900030", "Оказание услуг по организации ежедневного горячего питания лиц содержащихся в изоляторе временного содержания подозреваемых и обвиняемых МО МВД России ""Кувандыкский""")</f>
        <v>Оказание услуг по организации ежедневного горячего питания лиц содержащихся в изоляторе временного содержания подозреваемых и обвиняемых МО МВД России "Кувандыкский"</v>
      </c>
      <c r="G1724" s="22" t="s">
        <v>132</v>
      </c>
      <c r="H1724" s="22" t="s">
        <v>3341</v>
      </c>
      <c r="I1724" s="26">
        <v>43733.740277777797</v>
      </c>
      <c r="J1724" s="23" t="str">
        <f>HYPERLINK("https://www.spark-marketing.ru/Card/Person/420720", "Майорова Елена Александровна")</f>
        <v>Майорова Елена Александровна</v>
      </c>
      <c r="K1724" s="24" t="s">
        <v>3342</v>
      </c>
      <c r="L1724" s="22" t="s">
        <v>10</v>
      </c>
      <c r="M1724" s="25">
        <v>860675</v>
      </c>
      <c r="N1724" s="27">
        <v>5.0000000000000001E-3</v>
      </c>
    </row>
    <row r="1725" spans="1:14" x14ac:dyDescent="0.15">
      <c r="A1725" s="23" t="str">
        <f>HYPERLINK("https://www.spark-marketing.ru/Card/Person/881204", "ОТДЕЛ МВД РОССИИ ПО БЕЛОГЛИНСКОМУ РАЙОНУ")</f>
        <v>ОТДЕЛ МВД РОССИИ ПО БЕЛОГЛИНСКОМУ РАЙОНУ</v>
      </c>
      <c r="B1725" s="24" t="s">
        <v>3343</v>
      </c>
      <c r="C1725" s="25">
        <v>1000000</v>
      </c>
      <c r="D1725" s="22" t="s">
        <v>3344</v>
      </c>
      <c r="E1725" s="22" t="s">
        <v>96</v>
      </c>
      <c r="F1725" s="23" t="str">
        <f>HYPERLINK("https://www.spark-marketing.ru/Card/Lot/73903632", "организация питания ивс")</f>
        <v>организация питания ивс</v>
      </c>
      <c r="G1725" s="22" t="s">
        <v>104</v>
      </c>
      <c r="H1725" s="22" t="s">
        <v>3345</v>
      </c>
      <c r="I1725" s="26">
        <v>43733.720138888901</v>
      </c>
      <c r="J1725" s="23" t="str">
        <f>HYPERLINK("https://www.spark-marketing.ru/Card/Person/6675601", "Ефремова Виктория Алексеевна")</f>
        <v>Ефремова Виктория Алексеевна</v>
      </c>
      <c r="K1725" s="24" t="s">
        <v>3346</v>
      </c>
      <c r="L1725" s="22" t="s">
        <v>10</v>
      </c>
      <c r="M1725" s="28" t="s">
        <v>51</v>
      </c>
      <c r="N1725" s="28" t="s">
        <v>51</v>
      </c>
    </row>
    <row r="1726" spans="1:14" x14ac:dyDescent="0.15">
      <c r="A1726" s="23" t="str">
        <f>HYPERLINK("https://www.spark-marketing.ru/Card/Person/4345935", "ДЕПАРТАМЕНТ СМОЛЕНСКОЙ ОБЛАСТИ ПО ЗДРАВООХРАНЕНИЮ")</f>
        <v>ДЕПАРТАМЕНТ СМОЛЕНСКОЙ ОБЛАСТИ ПО ЗДРАВООХРАНЕНИЮ</v>
      </c>
      <c r="B1726" s="24" t="s">
        <v>458</v>
      </c>
      <c r="C1726" s="25">
        <v>85170</v>
      </c>
      <c r="D1726" s="22" t="s">
        <v>3347</v>
      </c>
      <c r="E1726" s="22" t="s">
        <v>336</v>
      </c>
      <c r="F1726" s="23" t="str">
        <f>HYPERLINK("https://www.spark-marketing.ru/Card/Lot/73891520", "№ 4443-аэф/т Поставка специализированного продукта лечебного питания для обеспечения на территории Смоленской области граждан, имеющих право на получение государственной социальной помощи и не отказавшихся от получения социальной услуги, предусмотрен...")</f>
        <v>№ 4443-аэф/т Поставка специализированного продукта лечебного питания для обеспечения на территории Смоленской области граждан, имеющих право на получение государственной социальной помощи и не отказавшихся от получения социальной услуги, предусмотрен...</v>
      </c>
      <c r="G1726" s="22" t="s">
        <v>460</v>
      </c>
      <c r="H1726" s="22" t="s">
        <v>461</v>
      </c>
      <c r="I1726" s="26">
        <v>43733.7097222222</v>
      </c>
      <c r="J1726" s="28" t="s">
        <v>51</v>
      </c>
      <c r="K1726" s="28" t="s">
        <v>51</v>
      </c>
      <c r="L1726" s="28" t="s">
        <v>51</v>
      </c>
      <c r="M1726" s="28" t="s">
        <v>51</v>
      </c>
      <c r="N1726" s="28" t="s">
        <v>51</v>
      </c>
    </row>
    <row r="1727" spans="1:14" x14ac:dyDescent="0.15">
      <c r="A1727" s="23" t="str">
        <f>HYPERLINK("https://www.spark-marketing.ru/Card/Person/4343927", "ВОЙСКОВАЯ ЧАСТЬ 6917")</f>
        <v>ВОЙСКОВАЯ ЧАСТЬ 6917</v>
      </c>
      <c r="B1727" s="24" t="s">
        <v>3348</v>
      </c>
      <c r="C1727" s="25">
        <v>20000</v>
      </c>
      <c r="D1727" s="22" t="s">
        <v>3349</v>
      </c>
      <c r="E1727" s="22" t="s">
        <v>437</v>
      </c>
      <c r="F1727" s="23" t="str">
        <f>HYPERLINK("https://www.spark-marketing.ru/Card/Lot/73889092", "Оказание услуг по лабораторному исследованию продуктов питания.")</f>
        <v>Оказание услуг по лабораторному исследованию продуктов питания.</v>
      </c>
      <c r="G1727" s="22" t="s">
        <v>108</v>
      </c>
      <c r="H1727" s="22" t="s">
        <v>1355</v>
      </c>
      <c r="I1727" s="26">
        <v>43733.723611111098</v>
      </c>
      <c r="J1727" s="28" t="s">
        <v>51</v>
      </c>
      <c r="K1727" s="28" t="s">
        <v>51</v>
      </c>
      <c r="L1727" s="28" t="s">
        <v>51</v>
      </c>
      <c r="M1727" s="28" t="s">
        <v>51</v>
      </c>
      <c r="N1727" s="28" t="s">
        <v>51</v>
      </c>
    </row>
    <row r="1728" spans="1:14" x14ac:dyDescent="0.15">
      <c r="A1728" s="23" t="str">
        <f>HYPERLINK("https://www.spark-marketing.ru/Card/Person/1000042", "МБОУ НАРО-ФОМИНСКАЯ ШКОЛА ДЛЯ ОБУЧАЮЩИХСЯ С ОВЗ")</f>
        <v>МБОУ НАРО-ФОМИНСКАЯ ШКОЛА ДЛЯ ОБУЧАЮЩИХСЯ С ОВЗ</v>
      </c>
      <c r="B1728" s="24" t="s">
        <v>3316</v>
      </c>
      <c r="C1728" s="25">
        <v>288489.59999999998</v>
      </c>
      <c r="D1728" s="22" t="s">
        <v>3350</v>
      </c>
      <c r="E1728" s="22" t="s">
        <v>48</v>
      </c>
      <c r="F1728" s="23" t="str">
        <f>HYPERLINK("https://www.spark-marketing.ru/Card/Lot/73888135", "Услуги по организации питания для учащихся общеобразовательной организации (октябрь 2019)")</f>
        <v>Услуги по организации питания для учащихся общеобразовательной организации (октябрь 2019)</v>
      </c>
      <c r="G1728" s="22" t="s">
        <v>49</v>
      </c>
      <c r="H1728" s="22" t="s">
        <v>3318</v>
      </c>
      <c r="I1728" s="26">
        <v>43733.7429050926</v>
      </c>
      <c r="J1728" s="28" t="s">
        <v>51</v>
      </c>
      <c r="K1728" s="28" t="s">
        <v>51</v>
      </c>
      <c r="L1728" s="28" t="s">
        <v>51</v>
      </c>
      <c r="M1728" s="28" t="s">
        <v>51</v>
      </c>
      <c r="N1728" s="28" t="s">
        <v>51</v>
      </c>
    </row>
    <row r="1729" spans="1:14" x14ac:dyDescent="0.15">
      <c r="A1729" s="23" t="str">
        <f>HYPERLINK("https://www.spark-marketing.ru/Card/Person/4353880", "ОМВД РОССИИ ПО Г. УХТЕ")</f>
        <v>ОМВД РОССИИ ПО Г. УХТЕ</v>
      </c>
      <c r="B1729" s="24" t="s">
        <v>3351</v>
      </c>
      <c r="C1729" s="25">
        <v>2360000</v>
      </c>
      <c r="D1729" s="22" t="s">
        <v>3352</v>
      </c>
      <c r="E1729" s="22" t="s">
        <v>48</v>
      </c>
      <c r="F1729" s="23" t="str">
        <f>HYPERLINK("https://www.spark-marketing.ru/Card/Lot/73913724", "Оказание услуг по организации трехразового питания (завтрак, обед, ужин) подозреваемых и обвиняемых в совершении преступлений, находящихся в ИВС, в СП, для лиц арестованных в административном порядке отдела Министерства внутренних дел Российской Феде...")</f>
        <v>Оказание услуг по организации трехразового питания (завтрак, обед, ужин) подозреваемых и обвиняемых в совершении преступлений, находящихся в ИВС, в СП, для лиц арестованных в административном порядке отдела Министерства внутренних дел Российской Феде...</v>
      </c>
      <c r="G1729" s="22" t="s">
        <v>271</v>
      </c>
      <c r="H1729" s="22" t="s">
        <v>271</v>
      </c>
      <c r="I1729" s="26">
        <v>43733.7047453704</v>
      </c>
      <c r="J1729" s="23" t="str">
        <f>HYPERLINK("https://www.spark-marketing.ru/Card/Person/277262", "ООО ""РЕСТОРАТОР""")</f>
        <v>ООО "РЕСТОРАТОР"</v>
      </c>
      <c r="K1729" s="24" t="s">
        <v>3353</v>
      </c>
      <c r="L1729" s="22" t="s">
        <v>10</v>
      </c>
      <c r="M1729" s="28" t="s">
        <v>51</v>
      </c>
      <c r="N1729" s="28" t="s">
        <v>51</v>
      </c>
    </row>
    <row r="1730" spans="1:14" x14ac:dyDescent="0.15">
      <c r="A1730" s="23" t="str">
        <f>HYPERLINK("https://www.spark-marketing.ru/Card/Person/49836", "ГБПОУ ""КМК""")</f>
        <v>ГБПОУ "КМК"</v>
      </c>
      <c r="B1730" s="24" t="s">
        <v>3354</v>
      </c>
      <c r="C1730" s="25">
        <v>600300</v>
      </c>
      <c r="D1730" s="22" t="s">
        <v>3355</v>
      </c>
      <c r="E1730" s="22" t="s">
        <v>48</v>
      </c>
      <c r="F1730" s="23" t="str">
        <f>HYPERLINK("https://www.spark-marketing.ru/Card/Lot/73896123", "Оказание услуг по организации горячего питания учащихся")</f>
        <v>Оказание услуг по организации горячего питания учащихся</v>
      </c>
      <c r="G1730" s="22" t="s">
        <v>72</v>
      </c>
      <c r="H1730" s="22" t="s">
        <v>3356</v>
      </c>
      <c r="I1730" s="26">
        <v>43733.688888888901</v>
      </c>
      <c r="J1730" s="23" t="str">
        <f>HYPERLINK("https://www.spark-marketing.ru/Card/Person/6370470", "Резяпова Фяридя Измаиловна")</f>
        <v>Резяпова Фяридя Измаиловна</v>
      </c>
      <c r="K1730" s="24" t="s">
        <v>3357</v>
      </c>
      <c r="L1730" s="22" t="s">
        <v>10</v>
      </c>
      <c r="M1730" s="28" t="s">
        <v>51</v>
      </c>
      <c r="N1730" s="28" t="s">
        <v>51</v>
      </c>
    </row>
    <row r="1731" spans="1:14" x14ac:dyDescent="0.15">
      <c r="A1731" s="23" t="str">
        <f>HYPERLINK("https://www.spark-marketing.ru/Card/Person/997890", "ОТДЕЛ МВД РОССИИ ПО Г. ШАХУНЬЯ")</f>
        <v>ОТДЕЛ МВД РОССИИ ПО Г. ШАХУНЬЯ</v>
      </c>
      <c r="B1731" s="24" t="s">
        <v>3358</v>
      </c>
      <c r="C1731" s="25">
        <v>1861000</v>
      </c>
      <c r="D1731" s="22" t="s">
        <v>3359</v>
      </c>
      <c r="E1731" s="22" t="s">
        <v>48</v>
      </c>
      <c r="F1731" s="23" t="str">
        <f>HYPERLINK("https://www.spark-marketing.ru/Card/Lot/73926970", "Оказание услуг по организации питания лиц содержащихся в изоляторе временного содержания подозреваемых и обвиняемых в специальном помещении задержанных Отдела МВД России по г. Шахунья")</f>
        <v>Оказание услуг по организации питания лиц содержащихся в изоляторе временного содержания подозреваемых и обвиняемых в специальном помещении задержанных Отдела МВД России по г. Шахунья</v>
      </c>
      <c r="G1731" s="22" t="s">
        <v>76</v>
      </c>
      <c r="H1731" s="22" t="s">
        <v>3360</v>
      </c>
      <c r="I1731" s="26">
        <v>43733.667997685203</v>
      </c>
      <c r="J1731" s="23" t="str">
        <f>HYPERLINK("https://www.spark-marketing.ru/Card/Person/4859790", "ООО ""РУБИН-ВМ""")</f>
        <v>ООО "РУБИН-ВМ"</v>
      </c>
      <c r="K1731" s="24" t="s">
        <v>3361</v>
      </c>
      <c r="L1731" s="22" t="s">
        <v>10</v>
      </c>
      <c r="M1731" s="28" t="s">
        <v>51</v>
      </c>
      <c r="N1731" s="28" t="s">
        <v>51</v>
      </c>
    </row>
    <row r="1732" spans="1:14" x14ac:dyDescent="0.15">
      <c r="A1732" s="23" t="str">
        <f>HYPERLINK("https://www.spark-marketing.ru/Card/Person/18481", "ФГУП ""РОСРАО""")</f>
        <v>ФГУП "РОСРАО"</v>
      </c>
      <c r="B1732" s="24" t="s">
        <v>2882</v>
      </c>
      <c r="C1732" s="25">
        <v>299800</v>
      </c>
      <c r="D1732" s="22" t="s">
        <v>3362</v>
      </c>
      <c r="E1732" s="22" t="s">
        <v>48</v>
      </c>
      <c r="F1732" s="23" t="str">
        <f>HYPERLINK("https://www.spark-marketing.ru/Card/Lot/73884604",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732" s="22" t="s">
        <v>162</v>
      </c>
      <c r="H1732" s="22" t="s">
        <v>1620</v>
      </c>
      <c r="I1732" s="26">
        <v>43733.681655092601</v>
      </c>
      <c r="J1732" s="28" t="s">
        <v>51</v>
      </c>
      <c r="K1732" s="28" t="s">
        <v>51</v>
      </c>
      <c r="L1732" s="28" t="s">
        <v>51</v>
      </c>
      <c r="M1732" s="28" t="s">
        <v>51</v>
      </c>
      <c r="N1732" s="28" t="s">
        <v>51</v>
      </c>
    </row>
    <row r="1733" spans="1:14" x14ac:dyDescent="0.15">
      <c r="A1733" s="23" t="str">
        <f>HYPERLINK("https://www.spark-marketing.ru/Card/Person/58655", "ДООСИП ЯО")</f>
        <v>ДООСИП ЯО</v>
      </c>
      <c r="B1733" s="24" t="s">
        <v>3363</v>
      </c>
      <c r="C1733" s="25">
        <v>797066.67</v>
      </c>
      <c r="D1733" s="22" t="s">
        <v>3364</v>
      </c>
      <c r="E1733" s="22" t="s">
        <v>1862</v>
      </c>
      <c r="F1733" s="23" t="str">
        <f>HYPERLINK("https://www.spark-marketing.ru/Card/Lot/73899844", "Оказание услуг по утилизации непригодных для дальнейшего использования компактных источников питания (батареек), собранных от населения Ярославской области.")</f>
        <v>Оказание услуг по утилизации непригодных для дальнейшего использования компактных источников питания (батареек), собранных от населения Ярославской области.</v>
      </c>
      <c r="G1733" s="22" t="s">
        <v>185</v>
      </c>
      <c r="H1733" s="22" t="s">
        <v>3365</v>
      </c>
      <c r="I1733" s="26">
        <v>43733.6694444444</v>
      </c>
      <c r="J1733" s="28" t="s">
        <v>51</v>
      </c>
      <c r="K1733" s="28" t="s">
        <v>51</v>
      </c>
      <c r="L1733" s="28" t="s">
        <v>51</v>
      </c>
      <c r="M1733" s="28" t="s">
        <v>51</v>
      </c>
      <c r="N1733" s="28" t="s">
        <v>51</v>
      </c>
    </row>
    <row r="1734" spans="1:14" hidden="1" outlineLevel="1" x14ac:dyDescent="0.2">
      <c r="A1734" s="23" t="str">
        <f>HYPERLINK("https://www.spark-marketing.ru/Card/Person/58655", "ДООСИП ЯО")</f>
        <v>ДООСИП ЯО</v>
      </c>
      <c r="B1734" s="24" t="s">
        <v>3363</v>
      </c>
      <c r="C1734" s="25">
        <v>797066.67</v>
      </c>
      <c r="D1734" s="22" t="s">
        <v>3364</v>
      </c>
      <c r="E1734" s="22" t="s">
        <v>1862</v>
      </c>
      <c r="F1734" s="23" t="str">
        <f>HYPERLINK("https://www.spark-marketing.ru/Card/Lot/73899844", "Оказание услуг по утилизации непригодных для дальнейшего использования компактных источников питания (батареек), собранных от населения Ярославской области.")</f>
        <v>Оказание услуг по утилизации непригодных для дальнейшего использования компактных источников питания (батареек), собранных от населения Ярославской области.</v>
      </c>
      <c r="G1734" s="22" t="s">
        <v>185</v>
      </c>
      <c r="H1734" s="22" t="s">
        <v>3365</v>
      </c>
      <c r="I1734" s="26">
        <v>43733.6694444444</v>
      </c>
      <c r="J1734" s="23" t="str">
        <f>HYPERLINK("https://www.spark-marketing.ru/Card/Person/5951285", "ООО ""ЭКОЛОГИЧЕСКАЯ ПРАКТИКА""")</f>
        <v>ООО "ЭКОЛОГИЧЕСКАЯ ПРАКТИКА"</v>
      </c>
      <c r="K1734" s="24" t="s">
        <v>3366</v>
      </c>
      <c r="L1734" s="28" t="s">
        <v>51</v>
      </c>
      <c r="M1734" s="25">
        <v>0</v>
      </c>
      <c r="N1734" s="27">
        <v>1</v>
      </c>
    </row>
    <row r="1735" spans="1:14" ht="12.75" hidden="1" outlineLevel="1" x14ac:dyDescent="0.2">
      <c r="A1735" s="23" t="str">
        <f>HYPERLINK("https://www.spark-marketing.ru/Card/Person/58655", "ДООСИП ЯО")</f>
        <v>ДООСИП ЯО</v>
      </c>
      <c r="B1735" s="24" t="s">
        <v>3363</v>
      </c>
      <c r="C1735" s="25">
        <v>797066.67</v>
      </c>
      <c r="D1735" s="22" t="s">
        <v>3364</v>
      </c>
      <c r="E1735" s="22" t="s">
        <v>1862</v>
      </c>
      <c r="F1735" s="23" t="str">
        <f>HYPERLINK("https://www.spark-marketing.ru/Card/Lot/73899844", "Оказание услуг по утилизации непригодных для дальнейшего использования компактных источников питания (батареек), собранных от населения Ярославской области.")</f>
        <v>Оказание услуг по утилизации непригодных для дальнейшего использования компактных источников питания (батареек), собранных от населения Ярославской области.</v>
      </c>
      <c r="G1735" s="22" t="s">
        <v>185</v>
      </c>
      <c r="H1735" s="22" t="s">
        <v>3365</v>
      </c>
      <c r="I1735" s="26">
        <v>43733.6694444444</v>
      </c>
      <c r="J1735" s="23" t="str">
        <f>HYPERLINK("https://www.spark-marketing.ru/Card/Person/4891456", "ООО ""НЭК""")</f>
        <v>ООО "НЭК"</v>
      </c>
      <c r="K1735" s="24" t="s">
        <v>3367</v>
      </c>
      <c r="L1735" s="22" t="s">
        <v>10</v>
      </c>
      <c r="M1735" s="25">
        <v>589829.44999999995</v>
      </c>
      <c r="N1735" s="27">
        <v>0.2599998567246577</v>
      </c>
    </row>
    <row r="1736" spans="1:14" hidden="1" outlineLevel="1" x14ac:dyDescent="0.2">
      <c r="A1736" s="23" t="str">
        <f>HYPERLINK("https://www.spark-marketing.ru/Card/Person/58655", "ДООСИП ЯО")</f>
        <v>ДООСИП ЯО</v>
      </c>
      <c r="B1736" s="24" t="s">
        <v>3363</v>
      </c>
      <c r="C1736" s="25">
        <v>797066.67</v>
      </c>
      <c r="D1736" s="22" t="s">
        <v>3364</v>
      </c>
      <c r="E1736" s="22" t="s">
        <v>1862</v>
      </c>
      <c r="F1736" s="23" t="str">
        <f>HYPERLINK("https://www.spark-marketing.ru/Card/Lot/73899844", "Оказание услуг по утилизации непригодных для дальнейшего использования компактных источников питания (батареек), собранных от населения Ярославской области.")</f>
        <v>Оказание услуг по утилизации непригодных для дальнейшего использования компактных источников питания (батареек), собранных от населения Ярославской области.</v>
      </c>
      <c r="G1736" s="22" t="s">
        <v>185</v>
      </c>
      <c r="H1736" s="22" t="s">
        <v>3365</v>
      </c>
      <c r="I1736" s="26">
        <v>43733.6694444444</v>
      </c>
      <c r="J1736" s="23" t="str">
        <f>HYPERLINK("https://www.spark-marketing.ru/Card/Person/2003813", "ООО ""РЕСУРСТЕХНО""")</f>
        <v>ООО "РЕСУРСТЕХНО"</v>
      </c>
      <c r="K1736" s="24" t="s">
        <v>3368</v>
      </c>
      <c r="L1736" s="28" t="s">
        <v>51</v>
      </c>
      <c r="M1736" s="25">
        <v>0</v>
      </c>
      <c r="N1736" s="27">
        <v>1</v>
      </c>
    </row>
    <row r="1737" spans="1:14" x14ac:dyDescent="0.15">
      <c r="A1737" s="23" t="str">
        <f>HYPERLINK("https://www.spark-marketing.ru/Card/Person/62343", "ПУЛКОВСКАЯ ТАМОЖНЯ")</f>
        <v>ПУЛКОВСКАЯ ТАМОЖНЯ</v>
      </c>
      <c r="B1737" s="24" t="s">
        <v>3369</v>
      </c>
      <c r="C1737" s="25">
        <v>189700</v>
      </c>
      <c r="D1737" s="22" t="s">
        <v>3370</v>
      </c>
      <c r="E1737" s="22" t="s">
        <v>355</v>
      </c>
      <c r="F1737" s="23" t="str">
        <f>HYPERLINK("https://www.spark-marketing.ru/Card/Lot/73892452", "Оказание услуг по техническому обслуживанию источника бесперебойного питания PW 9390-80I-N (80kVA) и техническому сопровождению комплексного обслуживания системы бесперебойного гарантированного электроснабжения")</f>
        <v>Оказание услуг по техническому обслуживанию источника бесперебойного питания PW 9390-80I-N (80kVA) и техническому сопровождению комплексного обслуживания системы бесперебойного гарантированного электроснабжения</v>
      </c>
      <c r="G1737" s="22" t="s">
        <v>117</v>
      </c>
      <c r="H1737" s="22" t="s">
        <v>117</v>
      </c>
      <c r="I1737" s="26">
        <v>43733.707638888904</v>
      </c>
      <c r="J1737" s="28" t="s">
        <v>51</v>
      </c>
      <c r="K1737" s="28" t="s">
        <v>51</v>
      </c>
      <c r="L1737" s="28" t="s">
        <v>51</v>
      </c>
      <c r="M1737" s="28" t="s">
        <v>51</v>
      </c>
      <c r="N1737" s="28" t="s">
        <v>51</v>
      </c>
    </row>
    <row r="1738" spans="1:14" ht="12.75" hidden="1" outlineLevel="1" x14ac:dyDescent="0.2">
      <c r="A1738" s="23" t="str">
        <f>HYPERLINK("https://www.spark-marketing.ru/Card/Person/62343", "ПУЛКОВСКАЯ ТАМОЖНЯ")</f>
        <v>ПУЛКОВСКАЯ ТАМОЖНЯ</v>
      </c>
      <c r="B1738" s="24" t="s">
        <v>3369</v>
      </c>
      <c r="C1738" s="25">
        <v>189700</v>
      </c>
      <c r="D1738" s="22" t="s">
        <v>3370</v>
      </c>
      <c r="E1738" s="22" t="s">
        <v>355</v>
      </c>
      <c r="F1738" s="23" t="str">
        <f>HYPERLINK("https://www.spark-marketing.ru/Card/Lot/73892452", "Оказание услуг по техническому обслуживанию источника бесперебойного питания PW 9390-80I-N (80kVA) и техническому сопровождению комплексного обслуживания системы бесперебойного гарантированного электроснабжения")</f>
        <v>Оказание услуг по техническому обслуживанию источника бесперебойного питания PW 9390-80I-N (80kVA) и техническому сопровождению комплексного обслуживания системы бесперебойного гарантированного электроснабжения</v>
      </c>
      <c r="G1738" s="22" t="s">
        <v>117</v>
      </c>
      <c r="H1738" s="22" t="s">
        <v>117</v>
      </c>
      <c r="I1738" s="26">
        <v>43733.707638888904</v>
      </c>
      <c r="J1738" s="23" t="str">
        <f>HYPERLINK("https://www.spark-marketing.ru/Card/Person/4354845", "ООО ""ДОКАСНАБ""")</f>
        <v>ООО "ДОКАСНАБ"</v>
      </c>
      <c r="K1738" s="24" t="s">
        <v>3371</v>
      </c>
      <c r="L1738" s="22" t="s">
        <v>10</v>
      </c>
      <c r="M1738" s="25">
        <v>95000</v>
      </c>
      <c r="N1738" s="27">
        <v>0.49920927780706381</v>
      </c>
    </row>
    <row r="1739" spans="1:14" hidden="1" outlineLevel="1" x14ac:dyDescent="0.2">
      <c r="A1739" s="23" t="str">
        <f>HYPERLINK("https://www.spark-marketing.ru/Card/Person/62343", "ПУЛКОВСКАЯ ТАМОЖНЯ")</f>
        <v>ПУЛКОВСКАЯ ТАМОЖНЯ</v>
      </c>
      <c r="B1739" s="24" t="s">
        <v>3369</v>
      </c>
      <c r="C1739" s="25">
        <v>189700</v>
      </c>
      <c r="D1739" s="22" t="s">
        <v>3370</v>
      </c>
      <c r="E1739" s="22" t="s">
        <v>355</v>
      </c>
      <c r="F1739" s="23" t="str">
        <f>HYPERLINK("https://www.spark-marketing.ru/Card/Lot/73892452", "Оказание услуг по техническому обслуживанию источника бесперебойного питания PW 9390-80I-N (80kVA) и техническому сопровождению комплексного обслуживания системы бесперебойного гарантированного электроснабжения")</f>
        <v>Оказание услуг по техническому обслуживанию источника бесперебойного питания PW 9390-80I-N (80kVA) и техническому сопровождению комплексного обслуживания системы бесперебойного гарантированного электроснабжения</v>
      </c>
      <c r="G1739" s="22" t="s">
        <v>117</v>
      </c>
      <c r="H1739" s="22" t="s">
        <v>117</v>
      </c>
      <c r="I1739" s="26">
        <v>43733.707638888904</v>
      </c>
      <c r="J1739" s="23" t="str">
        <f>HYPERLINK("https://www.spark-marketing.ru/Card/Person/90018", "ООО ""ПОЛИКОМ СЕРВИС""")</f>
        <v>ООО "ПОЛИКОМ СЕРВИС"</v>
      </c>
      <c r="K1739" s="24" t="s">
        <v>3372</v>
      </c>
      <c r="L1739" s="28" t="s">
        <v>51</v>
      </c>
      <c r="M1739" s="25">
        <v>123000</v>
      </c>
      <c r="N1739" s="27">
        <v>0.35160780179230366</v>
      </c>
    </row>
    <row r="1740" spans="1:14" hidden="1" outlineLevel="1" x14ac:dyDescent="0.2">
      <c r="A1740" s="23" t="str">
        <f>HYPERLINK("https://www.spark-marketing.ru/Card/Person/62343", "ПУЛКОВСКАЯ ТАМОЖНЯ")</f>
        <v>ПУЛКОВСКАЯ ТАМОЖНЯ</v>
      </c>
      <c r="B1740" s="24" t="s">
        <v>3369</v>
      </c>
      <c r="C1740" s="25">
        <v>189700</v>
      </c>
      <c r="D1740" s="22" t="s">
        <v>3370</v>
      </c>
      <c r="E1740" s="22" t="s">
        <v>355</v>
      </c>
      <c r="F1740" s="23" t="str">
        <f>HYPERLINK("https://www.spark-marketing.ru/Card/Lot/73892452", "Оказание услуг по техническому обслуживанию источника бесперебойного питания PW 9390-80I-N (80kVA) и техническому сопровождению комплексного обслуживания системы бесперебойного гарантированного электроснабжения")</f>
        <v>Оказание услуг по техническому обслуживанию источника бесперебойного питания PW 9390-80I-N (80kVA) и техническому сопровождению комплексного обслуживания системы бесперебойного гарантированного электроснабжения</v>
      </c>
      <c r="G1740" s="22" t="s">
        <v>117</v>
      </c>
      <c r="H1740" s="22" t="s">
        <v>117</v>
      </c>
      <c r="I1740" s="26">
        <v>43733.707638888904</v>
      </c>
      <c r="J1740" s="23" t="str">
        <f>HYPERLINK("https://www.spark-marketing.ru/Card/Person/100435", "ООО ""СИГМА""")</f>
        <v>ООО "СИГМА"</v>
      </c>
      <c r="K1740" s="24" t="s">
        <v>3373</v>
      </c>
      <c r="L1740" s="28" t="s">
        <v>51</v>
      </c>
      <c r="M1740" s="25">
        <v>130000</v>
      </c>
      <c r="N1740" s="27">
        <v>0.31470743278861363</v>
      </c>
    </row>
    <row r="1741" spans="1:14" hidden="1" outlineLevel="1" x14ac:dyDescent="0.2">
      <c r="A1741" s="23" t="str">
        <f>HYPERLINK("https://www.spark-marketing.ru/Card/Person/62343", "ПУЛКОВСКАЯ ТАМОЖНЯ")</f>
        <v>ПУЛКОВСКАЯ ТАМОЖНЯ</v>
      </c>
      <c r="B1741" s="24" t="s">
        <v>3369</v>
      </c>
      <c r="C1741" s="25">
        <v>189700</v>
      </c>
      <c r="D1741" s="22" t="s">
        <v>3370</v>
      </c>
      <c r="E1741" s="22" t="s">
        <v>355</v>
      </c>
      <c r="F1741" s="23" t="str">
        <f>HYPERLINK("https://www.spark-marketing.ru/Card/Lot/73892452", "Оказание услуг по техническому обслуживанию источника бесперебойного питания PW 9390-80I-N (80kVA) и техническому сопровождению комплексного обслуживания системы бесперебойного гарантированного электроснабжения")</f>
        <v>Оказание услуг по техническому обслуживанию источника бесперебойного питания PW 9390-80I-N (80kVA) и техническому сопровождению комплексного обслуживания системы бесперебойного гарантированного электроснабжения</v>
      </c>
      <c r="G1741" s="22" t="s">
        <v>117</v>
      </c>
      <c r="H1741" s="22" t="s">
        <v>117</v>
      </c>
      <c r="I1741" s="26">
        <v>43733.707638888904</v>
      </c>
      <c r="J1741" s="23" t="str">
        <f>HYPERLINK("https://www.spark-marketing.ru/Card/Person/275570", "ООО ""ЭНКОМ""")</f>
        <v>ООО "ЭНКОМ"</v>
      </c>
      <c r="K1741" s="24" t="s">
        <v>3374</v>
      </c>
      <c r="L1741" s="28" t="s">
        <v>51</v>
      </c>
      <c r="M1741" s="25">
        <v>179700</v>
      </c>
      <c r="N1741" s="27">
        <v>5.2714812862414341E-2</v>
      </c>
    </row>
    <row r="1742" spans="1:14" x14ac:dyDescent="0.15">
      <c r="A1742" s="23" t="str">
        <f>HYPERLINK("https://www.spark-marketing.ru/Card/Person/14868", "МУ МВД РОССИИ ""ЭНГЕЛЬССКОЕ"" САРАТОВСКОЙ ОБЛАСТИ")</f>
        <v>МУ МВД РОССИИ "ЭНГЕЛЬССКОЕ" САРАТОВСКОЙ ОБЛАСТИ</v>
      </c>
      <c r="B1742" s="24" t="s">
        <v>1283</v>
      </c>
      <c r="C1742" s="25">
        <v>483975.22</v>
      </c>
      <c r="D1742" s="22" t="s">
        <v>3375</v>
      </c>
      <c r="E1742" s="22" t="s">
        <v>48</v>
      </c>
      <c r="F1742" s="23" t="str">
        <f>HYPERLINK("https://www.spark-marketing.ru/Card/Lot/73897795", "Оказание услуг по организации питания иностранных граждан и лиц без гражданства, содержащихся в ЦВСИГ МУ МВД России «Энгельсское» Саратовской области по адресу: г. Энгельс ул. Красноярская д.5")</f>
        <v>Оказание услуг по организации питания иностранных граждан и лиц без гражданства, содержащихся в ЦВСИГ МУ МВД России «Энгельсское» Саратовской области по адресу: г. Энгельс ул. Красноярская д.5</v>
      </c>
      <c r="G1742" s="22" t="s">
        <v>351</v>
      </c>
      <c r="H1742" s="22" t="s">
        <v>1285</v>
      </c>
      <c r="I1742" s="26">
        <v>43733.645833333299</v>
      </c>
      <c r="J1742" s="23" t="str">
        <f>HYPERLINK("https://www.spark-marketing.ru/Card/Person/1169263", "Анненкова Виктория Геннадьевна")</f>
        <v>Анненкова Виктория Геннадьевна</v>
      </c>
      <c r="K1742" s="24" t="s">
        <v>3376</v>
      </c>
      <c r="L1742" s="22" t="s">
        <v>10</v>
      </c>
      <c r="M1742" s="28" t="s">
        <v>51</v>
      </c>
      <c r="N1742" s="28" t="s">
        <v>51</v>
      </c>
    </row>
    <row r="1743" spans="1:14" x14ac:dyDescent="0.15">
      <c r="A1743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1743" s="24" t="s">
        <v>3377</v>
      </c>
      <c r="C1743" s="25">
        <v>333000</v>
      </c>
      <c r="D1743" s="22" t="s">
        <v>3378</v>
      </c>
      <c r="E1743" s="22" t="s">
        <v>67</v>
      </c>
      <c r="F1743" s="23" t="str">
        <f>HYPERLINK("https://www.spark-marketing.ru/Card/Lot/73893455", "Услуги по организации выездного обслуживания и питания (кофе-брейки, фуршеты) для организации приема членов официальных делегаций и участников мероприятий из стран СНГ, Абхазии, Грузии, Южной Осетии в ходе визитов в Санкт-Петербург в 2019 году")</f>
        <v>Услуги по организации выездного обслуживания и питания (кофе-брейки, фуршеты) для организации приема членов официальных делегаций и участников мероприятий из стран СНГ, Абхазии, Грузии, Южной Осетии в ходе визитов в Санкт-Петербург в 2019 году</v>
      </c>
      <c r="G1743" s="22" t="s">
        <v>117</v>
      </c>
      <c r="H1743" s="22" t="s">
        <v>117</v>
      </c>
      <c r="I1743" s="26">
        <v>43733.6472222222</v>
      </c>
      <c r="J1743" s="28" t="s">
        <v>51</v>
      </c>
      <c r="K1743" s="28" t="s">
        <v>51</v>
      </c>
      <c r="L1743" s="28" t="s">
        <v>51</v>
      </c>
      <c r="M1743" s="28" t="s">
        <v>51</v>
      </c>
      <c r="N1743" s="28" t="s">
        <v>51</v>
      </c>
    </row>
    <row r="1744" spans="1:14" hidden="1" outlineLevel="1" x14ac:dyDescent="0.2">
      <c r="A1744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1744" s="24" t="s">
        <v>3377</v>
      </c>
      <c r="C1744" s="25">
        <v>333000</v>
      </c>
      <c r="D1744" s="22" t="s">
        <v>3378</v>
      </c>
      <c r="E1744" s="22" t="s">
        <v>67</v>
      </c>
      <c r="F1744" s="23" t="str">
        <f>HYPERLINK("https://www.spark-marketing.ru/Card/Lot/73893455", "Услуги по организации выездного обслуживания и питания (кофе-брейки, фуршеты) для организации приема членов официальных делегаций и участников мероприятий из стран СНГ, Абхазии, Грузии, Южной Осетии в ходе визитов в Санкт-Петербург в 2019 году")</f>
        <v>Услуги по организации выездного обслуживания и питания (кофе-брейки, фуршеты) для организации приема членов официальных делегаций и участников мероприятий из стран СНГ, Абхазии, Грузии, Южной Осетии в ходе визитов в Санкт-Петербург в 2019 году</v>
      </c>
      <c r="G1744" s="22" t="s">
        <v>117</v>
      </c>
      <c r="H1744" s="22" t="s">
        <v>117</v>
      </c>
      <c r="I1744" s="26">
        <v>43733.6472222222</v>
      </c>
      <c r="J1744" s="23" t="str">
        <f>HYPERLINK("https://www.spark-marketing.ru/Card/Person/4949710", "Мартиросян Карен Арменович")</f>
        <v>Мартиросян Карен Арменович</v>
      </c>
      <c r="K1744" s="24" t="s">
        <v>3379</v>
      </c>
      <c r="L1744" s="28" t="s">
        <v>51</v>
      </c>
      <c r="M1744" s="25">
        <v>3559.5</v>
      </c>
      <c r="N1744" s="27">
        <v>0.98931081081081085</v>
      </c>
    </row>
    <row r="1745" spans="1:14" ht="12.75" hidden="1" outlineLevel="1" x14ac:dyDescent="0.2">
      <c r="A1745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1745" s="24" t="s">
        <v>3377</v>
      </c>
      <c r="C1745" s="25">
        <v>333000</v>
      </c>
      <c r="D1745" s="22" t="s">
        <v>3378</v>
      </c>
      <c r="E1745" s="22" t="s">
        <v>67</v>
      </c>
      <c r="F1745" s="23" t="str">
        <f>HYPERLINK("https://www.spark-marketing.ru/Card/Lot/73893455", "Услуги по организации выездного обслуживания и питания (кофе-брейки, фуршеты) для организации приема членов официальных делегаций и участников мероприятий из стран СНГ, Абхазии, Грузии, Южной Осетии в ходе визитов в Санкт-Петербург в 2019 году")</f>
        <v>Услуги по организации выездного обслуживания и питания (кофе-брейки, фуршеты) для организации приема членов официальных делегаций и участников мероприятий из стран СНГ, Абхазии, Грузии, Южной Осетии в ходе визитов в Санкт-Петербург в 2019 году</v>
      </c>
      <c r="G1745" s="22" t="s">
        <v>117</v>
      </c>
      <c r="H1745" s="22" t="s">
        <v>117</v>
      </c>
      <c r="I1745" s="26">
        <v>43733.6472222222</v>
      </c>
      <c r="J1745" s="23" t="str">
        <f>HYPERLINK("https://www.spark-marketing.ru/Card/Person/2232828", "ООО ""АРПИНА""")</f>
        <v>ООО "АРПИНА"</v>
      </c>
      <c r="K1745" s="24" t="s">
        <v>3380</v>
      </c>
      <c r="L1745" s="22" t="s">
        <v>10</v>
      </c>
      <c r="M1745" s="25">
        <v>3539.16</v>
      </c>
      <c r="N1745" s="27">
        <v>0.9893718918918919</v>
      </c>
    </row>
    <row r="1746" spans="1:14" x14ac:dyDescent="0.15">
      <c r="A1746" s="23" t="str">
        <f>HYPERLINK("https://www.spark-marketing.ru/Card/Person/141003", "МБОУ СОШ №8")</f>
        <v>МБОУ СОШ №8</v>
      </c>
      <c r="B1746" s="24" t="s">
        <v>3381</v>
      </c>
      <c r="C1746" s="25">
        <v>4365344</v>
      </c>
      <c r="D1746" s="22" t="s">
        <v>3382</v>
      </c>
      <c r="E1746" s="22" t="s">
        <v>48</v>
      </c>
      <c r="F1746" s="23" t="str">
        <f>HYPERLINK("https://www.spark-marketing.ru/Card/Lot/73926937", "на оказание услуг по организации горячего питания отдельным категориям обучающихся в МБОУ «СОШ №8»")</f>
        <v>на оказание услуг по организации горячего питания отдельным категориям обучающихся в МБОУ «СОШ №8»</v>
      </c>
      <c r="G1746" s="22" t="s">
        <v>49</v>
      </c>
      <c r="H1746" s="22" t="s">
        <v>301</v>
      </c>
      <c r="I1746" s="26">
        <v>43733.666331018503</v>
      </c>
      <c r="J1746" s="28" t="s">
        <v>51</v>
      </c>
      <c r="K1746" s="28" t="s">
        <v>51</v>
      </c>
      <c r="L1746" s="28" t="s">
        <v>51</v>
      </c>
      <c r="M1746" s="28" t="s">
        <v>51</v>
      </c>
      <c r="N1746" s="28" t="s">
        <v>51</v>
      </c>
    </row>
    <row r="1747" spans="1:14" x14ac:dyDescent="0.15">
      <c r="A1747" s="23" t="str">
        <f>HYPERLINK("https://www.spark-marketing.ru/Card/Person/81253", "МБДОУ ""ДЕТСКИЙ САД № 77 ""РЯБИНУШКА""")</f>
        <v>МБДОУ "ДЕТСКИЙ САД № 77 "РЯБИНУШКА"</v>
      </c>
      <c r="B1747" s="24" t="s">
        <v>3383</v>
      </c>
      <c r="C1747" s="25">
        <v>21511924</v>
      </c>
      <c r="D1747" s="22" t="s">
        <v>3384</v>
      </c>
      <c r="E1747" s="22" t="s">
        <v>48</v>
      </c>
      <c r="F1747" s="23" t="str">
        <f>HYPERLINK("https://www.spark-marketing.ru/Card/Lot/73926839",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1747" s="22" t="s">
        <v>49</v>
      </c>
      <c r="H1747" s="22" t="s">
        <v>2495</v>
      </c>
      <c r="I1747" s="26">
        <v>43733.638749999998</v>
      </c>
      <c r="J1747" s="28" t="s">
        <v>51</v>
      </c>
      <c r="K1747" s="28" t="s">
        <v>51</v>
      </c>
      <c r="L1747" s="28" t="s">
        <v>51</v>
      </c>
      <c r="M1747" s="28" t="s">
        <v>51</v>
      </c>
      <c r="N1747" s="28" t="s">
        <v>51</v>
      </c>
    </row>
    <row r="1748" spans="1:14" x14ac:dyDescent="0.15">
      <c r="A1748" s="23" t="str">
        <f>HYPERLINK("https://www.spark-marketing.ru/Card/Person/20411", "УМВД РОССИИ ПО ТЮМЕНСКОЙ ОБЛАСТИ")</f>
        <v>УМВД РОССИИ ПО ТЮМЕНСКОЙ ОБЛАСТИ</v>
      </c>
      <c r="B1748" s="24" t="s">
        <v>3385</v>
      </c>
      <c r="C1748" s="25">
        <v>9495000</v>
      </c>
      <c r="D1748" s="22" t="s">
        <v>3386</v>
      </c>
      <c r="E1748" s="22" t="s">
        <v>48</v>
      </c>
      <c r="F1748" s="23" t="str">
        <f>HYPERLINK("https://www.spark-marketing.ru/Card/Lot/73955204", "Оказание услуг по обеспечению ежедневным горячим питанием для нужд ЦВСИГ УМВД России по Тюменской области")</f>
        <v>Оказание услуг по обеспечению ежедневным горячим питанием для нужд ЦВСИГ УМВД России по Тюменской области</v>
      </c>
      <c r="G1748" s="22" t="s">
        <v>766</v>
      </c>
      <c r="H1748" s="22" t="s">
        <v>1028</v>
      </c>
      <c r="I1748" s="26">
        <v>43733.635636574101</v>
      </c>
      <c r="J1748" s="28" t="s">
        <v>51</v>
      </c>
      <c r="K1748" s="28" t="s">
        <v>51</v>
      </c>
      <c r="L1748" s="28" t="s">
        <v>51</v>
      </c>
      <c r="M1748" s="28" t="s">
        <v>51</v>
      </c>
      <c r="N1748" s="28" t="s">
        <v>51</v>
      </c>
    </row>
    <row r="1749" spans="1:14" hidden="1" outlineLevel="1" x14ac:dyDescent="0.2">
      <c r="A1749" s="23" t="str">
        <f>HYPERLINK("https://www.spark-marketing.ru/Card/Person/20411", "УМВД РОССИИ ПО ТЮМЕНСКОЙ ОБЛАСТИ")</f>
        <v>УМВД РОССИИ ПО ТЮМЕНСКОЙ ОБЛАСТИ</v>
      </c>
      <c r="B1749" s="24" t="s">
        <v>3385</v>
      </c>
      <c r="C1749" s="25">
        <v>9495000</v>
      </c>
      <c r="D1749" s="22" t="s">
        <v>3386</v>
      </c>
      <c r="E1749" s="22" t="s">
        <v>48</v>
      </c>
      <c r="F1749" s="23" t="str">
        <f>HYPERLINK("https://www.spark-marketing.ru/Card/Lot/73955204", "Оказание услуг по обеспечению ежедневным горячим питанием для нужд ЦВСИГ УМВД России по Тюменской области")</f>
        <v>Оказание услуг по обеспечению ежедневным горячим питанием для нужд ЦВСИГ УМВД России по Тюменской области</v>
      </c>
      <c r="G1749" s="22" t="s">
        <v>766</v>
      </c>
      <c r="H1749" s="22" t="s">
        <v>1028</v>
      </c>
      <c r="I1749" s="26">
        <v>43733.635636574101</v>
      </c>
      <c r="J1749" s="23" t="str">
        <f>HYPERLINK("https://www.spark-marketing.ru/Card/Person/245022", "ООО ""ВИСТЕРИЯ""")</f>
        <v>ООО "ВИСТЕРИЯ"</v>
      </c>
      <c r="K1749" s="24" t="s">
        <v>3387</v>
      </c>
      <c r="L1749" s="28" t="s">
        <v>51</v>
      </c>
      <c r="M1749" s="25">
        <v>1646.38</v>
      </c>
      <c r="N1749" s="27">
        <v>0.99982660558188519</v>
      </c>
    </row>
    <row r="1750" spans="1:14" ht="12.75" hidden="1" outlineLevel="1" x14ac:dyDescent="0.2">
      <c r="A1750" s="23" t="str">
        <f>HYPERLINK("https://www.spark-marketing.ru/Card/Person/20411", "УМВД РОССИИ ПО ТЮМЕНСКОЙ ОБЛАСТИ")</f>
        <v>УМВД РОССИИ ПО ТЮМЕНСКОЙ ОБЛАСТИ</v>
      </c>
      <c r="B1750" s="24" t="s">
        <v>3385</v>
      </c>
      <c r="C1750" s="25">
        <v>9495000</v>
      </c>
      <c r="D1750" s="22" t="s">
        <v>3386</v>
      </c>
      <c r="E1750" s="22" t="s">
        <v>48</v>
      </c>
      <c r="F1750" s="23" t="str">
        <f>HYPERLINK("https://www.spark-marketing.ru/Card/Lot/73955204", "Оказание услуг по обеспечению ежедневным горячим питанием для нужд ЦВСИГ УМВД России по Тюменской области")</f>
        <v>Оказание услуг по обеспечению ежедневным горячим питанием для нужд ЦВСИГ УМВД России по Тюменской области</v>
      </c>
      <c r="G1750" s="22" t="s">
        <v>766</v>
      </c>
      <c r="H1750" s="22" t="s">
        <v>1028</v>
      </c>
      <c r="I1750" s="26">
        <v>43733.635636574101</v>
      </c>
      <c r="J1750" s="23" t="str">
        <f>HYPERLINK("https://www.spark-marketing.ru/Card/Person/6472998", "ООО ""СПЕКТР""")</f>
        <v>ООО "СПЕКТР"</v>
      </c>
      <c r="K1750" s="24" t="s">
        <v>3388</v>
      </c>
      <c r="L1750" s="22" t="s">
        <v>10</v>
      </c>
      <c r="M1750" s="25">
        <v>1633.1</v>
      </c>
      <c r="N1750" s="27">
        <v>0.99982800421274354</v>
      </c>
    </row>
    <row r="1751" spans="1:14" x14ac:dyDescent="0.15">
      <c r="A1751" s="23" t="str">
        <f>HYPERLINK("https://www.spark-marketing.ru/Card/Person/1517337", "МАОУ ""ГИМНАЗИЯ №9""")</f>
        <v>МАОУ "ГИМНАЗИЯ №9"</v>
      </c>
      <c r="B1751" s="24" t="s">
        <v>3389</v>
      </c>
      <c r="C1751" s="25">
        <v>12838822</v>
      </c>
      <c r="D1751" s="22" t="s">
        <v>3390</v>
      </c>
      <c r="E1751" s="22" t="s">
        <v>48</v>
      </c>
      <c r="F1751" s="23" t="str">
        <f>HYPERLINK("https://www.spark-marketing.ru/Card/Lot/73926837", "на оказание услуг по организации горячего питания отдельным категориям обучающихся в МАОУ «Гимназия № 9»")</f>
        <v>на оказание услуг по организации горячего питания отдельным категориям обучающихся в МАОУ «Гимназия № 9»</v>
      </c>
      <c r="G1751" s="22" t="s">
        <v>49</v>
      </c>
      <c r="H1751" s="22" t="s">
        <v>301</v>
      </c>
      <c r="I1751" s="26">
        <v>43733.636168981502</v>
      </c>
      <c r="J1751" s="28" t="s">
        <v>51</v>
      </c>
      <c r="K1751" s="28" t="s">
        <v>51</v>
      </c>
      <c r="L1751" s="28" t="s">
        <v>51</v>
      </c>
      <c r="M1751" s="28" t="s">
        <v>51</v>
      </c>
      <c r="N1751" s="28" t="s">
        <v>51</v>
      </c>
    </row>
    <row r="1752" spans="1:14" x14ac:dyDescent="0.15">
      <c r="A1752" s="23" t="str">
        <f>HYPERLINK("https://www.spark-marketing.ru/Card/Person/121059", "МБОУ СОШ № 20")</f>
        <v>МБОУ СОШ № 20</v>
      </c>
      <c r="B1752" s="24" t="s">
        <v>3391</v>
      </c>
      <c r="C1752" s="25">
        <v>13630476</v>
      </c>
      <c r="D1752" s="22" t="s">
        <v>3392</v>
      </c>
      <c r="E1752" s="22" t="s">
        <v>48</v>
      </c>
      <c r="F1752" s="23" t="str">
        <f>HYPERLINK("https://www.spark-marketing.ru/Card/Lot/73926835", "Оказание услуг по организации горячего питания отдельным категориям обучающихся в МБОУ СОШ № 20")</f>
        <v>Оказание услуг по организации горячего питания отдельным категориям обучающихся в МБОУ СОШ № 20</v>
      </c>
      <c r="G1752" s="22" t="s">
        <v>49</v>
      </c>
      <c r="H1752" s="22" t="s">
        <v>301</v>
      </c>
      <c r="I1752" s="26">
        <v>43733.635787036997</v>
      </c>
      <c r="J1752" s="28" t="s">
        <v>51</v>
      </c>
      <c r="K1752" s="28" t="s">
        <v>51</v>
      </c>
      <c r="L1752" s="28" t="s">
        <v>51</v>
      </c>
      <c r="M1752" s="28" t="s">
        <v>51</v>
      </c>
      <c r="N1752" s="28" t="s">
        <v>51</v>
      </c>
    </row>
    <row r="1753" spans="1:14" x14ac:dyDescent="0.15">
      <c r="A1753" s="23" t="str">
        <f>HYPERLINK("https://www.spark-marketing.ru/Card/Person/14868", "МУ МВД РОССИИ ""ЭНГЕЛЬССКОЕ"" САРАТОВСКОЙ ОБЛАСТИ")</f>
        <v>МУ МВД РОССИИ "ЭНГЕЛЬССКОЕ" САРАТОВСКОЙ ОБЛАСТИ</v>
      </c>
      <c r="B1753" s="24" t="s">
        <v>1283</v>
      </c>
      <c r="C1753" s="25">
        <v>405430.4</v>
      </c>
      <c r="D1753" s="22" t="s">
        <v>3393</v>
      </c>
      <c r="E1753" s="22" t="s">
        <v>48</v>
      </c>
      <c r="F1753" s="23" t="str">
        <f>HYPERLINK("https://www.spark-marketing.ru/Card/Lot/73895283", "Оказание услуг по организации питания лиц, содержащихся в ИВС, Спец.приемнике и КСЗ территориальных отделов МУ МВД России «Энгельсское» Саратовской области")</f>
        <v>Оказание услуг по организации питания лиц, содержащихся в ИВС, Спец.приемнике и КСЗ территориальных отделов МУ МВД России «Энгельсское» Саратовской области</v>
      </c>
      <c r="G1753" s="22" t="s">
        <v>351</v>
      </c>
      <c r="H1753" s="22" t="s">
        <v>1285</v>
      </c>
      <c r="I1753" s="26">
        <v>43733.646527777797</v>
      </c>
      <c r="J1753" s="23" t="str">
        <f>HYPERLINK("https://www.spark-marketing.ru/Card/Person/1169263", "Анненкова Виктория Геннадьевна")</f>
        <v>Анненкова Виктория Геннадьевна</v>
      </c>
      <c r="K1753" s="24" t="s">
        <v>3376</v>
      </c>
      <c r="L1753" s="22" t="s">
        <v>10</v>
      </c>
      <c r="M1753" s="28" t="s">
        <v>51</v>
      </c>
      <c r="N1753" s="28" t="s">
        <v>51</v>
      </c>
    </row>
    <row r="1754" spans="1:14" x14ac:dyDescent="0.15">
      <c r="A1754" s="23" t="str">
        <f>HYPERLINK("https://www.spark-marketing.ru/Card/Person/4325", "СОГБУ ""СМОЛЕНСКАВТОДОР""")</f>
        <v>СОГБУ "СМОЛЕНСКАВТОДОР"</v>
      </c>
      <c r="B1754" s="24" t="s">
        <v>3394</v>
      </c>
      <c r="C1754" s="25">
        <v>5000000</v>
      </c>
      <c r="D1754" s="22" t="s">
        <v>3395</v>
      </c>
      <c r="E1754" s="22" t="s">
        <v>3396</v>
      </c>
      <c r="F1754" s="23" t="str">
        <f>HYPERLINK("https://www.spark-marketing.ru/Card/Lot/73942324", "1159-аэф/у Оказание услуг по техническому обслуживанию тахографов, сервис по хранению и анализу данных")</f>
        <v>1159-аэф/у Оказание услуг по техническому обслуживанию тахографов, сервис по хранению и анализу данных</v>
      </c>
      <c r="G1754" s="22" t="s">
        <v>460</v>
      </c>
      <c r="H1754" s="22" t="s">
        <v>461</v>
      </c>
      <c r="I1754" s="26">
        <v>43733.6274305556</v>
      </c>
      <c r="J1754" s="23" t="str">
        <f>HYPERLINK("https://www.spark-marketing.ru/Card/Person/88033", "ООО ""ЦЕНТРЭЛЕКТРОСВЯЗЬ""")</f>
        <v>ООО "ЦЕНТРЭЛЕКТРОСВЯЗЬ"</v>
      </c>
      <c r="K1754" s="24" t="s">
        <v>3397</v>
      </c>
      <c r="L1754" s="28" t="s">
        <v>51</v>
      </c>
      <c r="M1754" s="28" t="s">
        <v>51</v>
      </c>
      <c r="N1754" s="28" t="s">
        <v>51</v>
      </c>
    </row>
    <row r="1755" spans="1:14" ht="12.75" hidden="1" outlineLevel="1" x14ac:dyDescent="0.2">
      <c r="A1755" s="23" t="str">
        <f>HYPERLINK("https://www.spark-marketing.ru/Card/Person/4325", "СОГБУ ""СМОЛЕНСКАВТОДОР""")</f>
        <v>СОГБУ "СМОЛЕНСКАВТОДОР"</v>
      </c>
      <c r="B1755" s="24" t="s">
        <v>3394</v>
      </c>
      <c r="C1755" s="25">
        <v>5000000</v>
      </c>
      <c r="D1755" s="22" t="s">
        <v>3395</v>
      </c>
      <c r="E1755" s="22" t="s">
        <v>3396</v>
      </c>
      <c r="F1755" s="23" t="str">
        <f>HYPERLINK("https://www.spark-marketing.ru/Card/Lot/73942324", "1159-аэф/у Оказание услуг по техническому обслуживанию тахографов, сервис по хранению и анализу данных")</f>
        <v>1159-аэф/у Оказание услуг по техническому обслуживанию тахографов, сервис по хранению и анализу данных</v>
      </c>
      <c r="G1755" s="22" t="s">
        <v>460</v>
      </c>
      <c r="H1755" s="22" t="s">
        <v>461</v>
      </c>
      <c r="I1755" s="26">
        <v>43733.6274305556</v>
      </c>
      <c r="J1755" s="23" t="str">
        <f>HYPERLINK("https://www.spark-marketing.ru/Card/Person/88033", "ООО ""ЦЕНТРЭЛЕКТРОСВЯЗЬ""")</f>
        <v>ООО "ЦЕНТРЭЛЕКТРОСВЯЗЬ"</v>
      </c>
      <c r="K1755" s="24" t="s">
        <v>3397</v>
      </c>
      <c r="L1755" s="22" t="s">
        <v>10</v>
      </c>
      <c r="M1755" s="25">
        <v>155424.97</v>
      </c>
      <c r="N1755" s="27">
        <v>0.96891500600000002</v>
      </c>
    </row>
    <row r="1756" spans="1:14" x14ac:dyDescent="0.15">
      <c r="A1756" s="23" t="str">
        <f>HYPERLINK("https://www.spark-marketing.ru/Card/Person/1034732", "КГКУ ""ЦЕНТР СОЦИАЛЬНОЙ ПОДДЕРЖКИ НАСЕЛЕНИЯ ПО НИКОЛАЕВСКОМУ РАЙОНУ""")</f>
        <v>КГКУ "ЦЕНТР СОЦИАЛЬНОЙ ПОДДЕРЖКИ НАСЕЛЕНИЯ ПО НИКОЛАЕВСКОМУ РАЙОНУ"</v>
      </c>
      <c r="B1756" s="24" t="s">
        <v>3398</v>
      </c>
      <c r="C1756" s="25">
        <v>49600</v>
      </c>
      <c r="D1756" s="22" t="s">
        <v>3399</v>
      </c>
      <c r="E1756" s="22" t="s">
        <v>48</v>
      </c>
      <c r="F1756" s="23" t="str">
        <f>HYPERLINK("https://www.spark-marketing.ru/Card/Lot/73876112",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1756" s="22" t="s">
        <v>1096</v>
      </c>
      <c r="H1756" s="22" t="s">
        <v>3400</v>
      </c>
      <c r="I1756" s="26">
        <v>43733.604861111096</v>
      </c>
      <c r="J1756" s="23" t="str">
        <f>HYPERLINK("https://www.spark-marketing.ru/Card/Person/492811", "МБОУ СОШ № 5")</f>
        <v>МБОУ СОШ № 5</v>
      </c>
      <c r="K1756" s="24" t="s">
        <v>3401</v>
      </c>
      <c r="L1756" s="22" t="s">
        <v>10</v>
      </c>
      <c r="M1756" s="28" t="s">
        <v>51</v>
      </c>
      <c r="N1756" s="28" t="s">
        <v>51</v>
      </c>
    </row>
    <row r="1757" spans="1:14" x14ac:dyDescent="0.15">
      <c r="A1757" s="23" t="str">
        <f>HYPERLINK("https://www.spark-marketing.ru/Card/Person/83729", "МБДОУ ""ДЕТСКИЙ САД № 42""")</f>
        <v>МБДОУ "ДЕТСКИЙ САД № 42"</v>
      </c>
      <c r="B1757" s="24" t="s">
        <v>3402</v>
      </c>
      <c r="C1757" s="25">
        <v>33429098</v>
      </c>
      <c r="D1757" s="22" t="s">
        <v>3403</v>
      </c>
      <c r="E1757" s="22" t="s">
        <v>48</v>
      </c>
      <c r="F1757" s="23" t="str">
        <f>HYPERLINK("https://www.spark-marketing.ru/Card/Lot/73926894",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1757" s="22" t="s">
        <v>49</v>
      </c>
      <c r="H1757" s="22" t="s">
        <v>2495</v>
      </c>
      <c r="I1757" s="26">
        <v>43733.590763888897</v>
      </c>
      <c r="J1757" s="28" t="s">
        <v>51</v>
      </c>
      <c r="K1757" s="28" t="s">
        <v>51</v>
      </c>
      <c r="L1757" s="28" t="s">
        <v>51</v>
      </c>
      <c r="M1757" s="28" t="s">
        <v>51</v>
      </c>
      <c r="N1757" s="28" t="s">
        <v>51</v>
      </c>
    </row>
    <row r="1758" spans="1:14" x14ac:dyDescent="0.2">
      <c r="A1758" s="23" t="str">
        <f>HYPERLINK("https://www.spark-marketing.ru/Card/Person/31541", "УПРАВЛЕНИЕ ОБРАЗОВАНИЯ ГОРОДСКОГО ОКРУГА ПЕРВОУРАЛЬСК")</f>
        <v>УПРАВЛЕНИЕ ОБРАЗОВАНИЯ ГОРОДСКОГО ОКРУГА ПЕРВОУРАЛЬСК</v>
      </c>
      <c r="B1758" s="24" t="s">
        <v>3404</v>
      </c>
      <c r="C1758" s="25">
        <v>1304170</v>
      </c>
      <c r="D1758" s="22" t="s">
        <v>3405</v>
      </c>
      <c r="E1758" s="22" t="s">
        <v>86</v>
      </c>
      <c r="F1758" s="23" t="str">
        <f>HYPERLINK("https://www.spark-marketing.ru/Card/Lot/73902911", "Оказание услуг по организации отдыха и оздоровления детей в возрасте от 6,5 до 17 лет (включительно), обучающихся на территории городского округа Первоуральск Свердловской области, в детских санаториях и санаторно-оздоровительных лагерях круглогодичн...")</f>
        <v>Оказание услуг по организации отдыха и оздоровления детей в возрасте от 6,5 до 17 лет (включительно), обучающихся на территории городского округа Первоуральск Свердловской области, в детских санаториях и санаторно-оздоровительных лагерях круглогодичн...</v>
      </c>
      <c r="G1758" s="22" t="s">
        <v>174</v>
      </c>
      <c r="H1758" s="22" t="s">
        <v>3406</v>
      </c>
      <c r="I1758" s="26">
        <v>43733.686111111099</v>
      </c>
      <c r="J1758" s="23" t="str">
        <f>HYPERLINK("https://www.spark-marketing.ru/Card/Person/116927", "ООО СП ""ДЮЖОНОК""")</f>
        <v>ООО СП "ДЮЖОНОК"</v>
      </c>
      <c r="K1758" s="24" t="s">
        <v>3407</v>
      </c>
      <c r="L1758" s="28" t="s">
        <v>51</v>
      </c>
      <c r="M1758" s="25">
        <v>1304170</v>
      </c>
      <c r="N1758" s="27">
        <v>0</v>
      </c>
    </row>
    <row r="1759" spans="1:14" x14ac:dyDescent="0.15">
      <c r="A1759" s="23" t="str">
        <f>HYPERLINK("https://www.spark-marketing.ru/Card/Person/4358738", "ООО ""РН-САХАЛИНМОРНЕФТЕГАЗ""")</f>
        <v>ООО "РН-САХАЛИНМОРНЕФТЕГАЗ"</v>
      </c>
      <c r="B1759" s="24" t="s">
        <v>3408</v>
      </c>
      <c r="C1759" s="25">
        <v>397871483.12</v>
      </c>
      <c r="D1759" s="22" t="s">
        <v>3409</v>
      </c>
      <c r="E1759" s="22" t="s">
        <v>362</v>
      </c>
      <c r="F1759" s="23" t="str">
        <f>HYPERLINK("https://www.spark-marketing.ru/Card/Lot/74007357", "Оказание услуг по комплексному сервисному обслуживанию имущественного комплекса и организации общественного и рабочего питания для нужд ООО ""РН-Сахалинморнефтегаз""")</f>
        <v>Оказание услуг по комплексному сервисному обслуживанию имущественного комплекса и организации общественного и рабочего питания для нужд ООО "РН-Сахалинморнефтегаз"</v>
      </c>
      <c r="G1759" s="22" t="s">
        <v>260</v>
      </c>
      <c r="H1759" s="22" t="s">
        <v>804</v>
      </c>
      <c r="I1759" s="26">
        <v>43733.614583333299</v>
      </c>
      <c r="J1759" s="28" t="s">
        <v>51</v>
      </c>
      <c r="K1759" s="28" t="s">
        <v>51</v>
      </c>
      <c r="L1759" s="28" t="s">
        <v>51</v>
      </c>
      <c r="M1759" s="28" t="s">
        <v>51</v>
      </c>
      <c r="N1759" s="28" t="s">
        <v>51</v>
      </c>
    </row>
    <row r="1760" spans="1:14" x14ac:dyDescent="0.15">
      <c r="A1760" s="23" t="str">
        <f>HYPERLINK("https://www.spark-marketing.ru/Card/Person/1034732", "КГКУ ""ЦЕНТР СОЦИАЛЬНОЙ ПОДДЕРЖКИ НАСЕЛЕНИЯ ПО НИКОЛАЕВСКОМУ РАЙОНУ""")</f>
        <v>КГКУ "ЦЕНТР СОЦИАЛЬНОЙ ПОДДЕРЖКИ НАСЕЛЕНИЯ ПО НИКОЛАЕВСКОМУ РАЙОНУ"</v>
      </c>
      <c r="B1760" s="24" t="s">
        <v>3398</v>
      </c>
      <c r="C1760" s="25">
        <v>38750</v>
      </c>
      <c r="D1760" s="22" t="s">
        <v>3410</v>
      </c>
      <c r="E1760" s="22" t="s">
        <v>48</v>
      </c>
      <c r="F1760" s="23" t="str">
        <f>HYPERLINK("https://www.spark-marketing.ru/Card/Lot/73874989",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1760" s="22" t="s">
        <v>1096</v>
      </c>
      <c r="H1760" s="22" t="s">
        <v>3400</v>
      </c>
      <c r="I1760" s="26">
        <v>43733.601388888899</v>
      </c>
      <c r="J1760" s="23" t="str">
        <f>HYPERLINK("https://www.spark-marketing.ru/Card/Person/493213", "МБОУ СОШ № 1")</f>
        <v>МБОУ СОШ № 1</v>
      </c>
      <c r="K1760" s="24" t="s">
        <v>3411</v>
      </c>
      <c r="L1760" s="22" t="s">
        <v>10</v>
      </c>
      <c r="M1760" s="28" t="s">
        <v>51</v>
      </c>
      <c r="N1760" s="28" t="s">
        <v>51</v>
      </c>
    </row>
    <row r="1761" spans="1:14" x14ac:dyDescent="0.15">
      <c r="A1761" s="23" t="str">
        <f>HYPERLINK("https://www.spark-marketing.ru/Card/Person/27324", "ВЫБОРГСКАЯ ТАМОЖНЯ")</f>
        <v>ВЫБОРГСКАЯ ТАМОЖНЯ</v>
      </c>
      <c r="B1761" s="24" t="s">
        <v>3412</v>
      </c>
      <c r="C1761" s="25">
        <v>192130</v>
      </c>
      <c r="D1761" s="22" t="s">
        <v>3413</v>
      </c>
      <c r="E1761" s="22" t="s">
        <v>355</v>
      </c>
      <c r="F1761" s="23" t="str">
        <f>HYPERLINK("https://www.spark-marketing.ru/Card/Lot/73892531", "Оказание услуг по техническому обслуживанию дизель-генераторной установки и источника бесперебойного питания, входящих в систему бесперебойного гарантированного электроснабжения Выборгской таможни по адресу: г. Выборг, проезд Таможенный , д.6")</f>
        <v>Оказание услуг по техническому обслуживанию дизель-генераторной установки и источника бесперебойного питания, входящих в систему бесперебойного гарантированного электроснабжения Выборгской таможни по адресу: г. Выборг, проезд Таможенный , д.6</v>
      </c>
      <c r="G1761" s="22" t="s">
        <v>162</v>
      </c>
      <c r="H1761" s="22" t="s">
        <v>162</v>
      </c>
      <c r="I1761" s="26">
        <v>43733.588194444397</v>
      </c>
      <c r="J1761" s="28" t="s">
        <v>51</v>
      </c>
      <c r="K1761" s="28" t="s">
        <v>51</v>
      </c>
      <c r="L1761" s="28" t="s">
        <v>51</v>
      </c>
      <c r="M1761" s="28" t="s">
        <v>51</v>
      </c>
      <c r="N1761" s="28" t="s">
        <v>51</v>
      </c>
    </row>
    <row r="1762" spans="1:14" x14ac:dyDescent="0.15">
      <c r="A1762" s="23" t="str">
        <f t="shared" ref="A1762:A1767" si="25">HYPERLINK("https://www.spark-marketing.ru/Card/Person/1034732", "КГКУ ""ЦЕНТР СОЦИАЛЬНОЙ ПОДДЕРЖКИ НАСЕЛЕНИЯ ПО НИКОЛАЕВСКОМУ РАЙОНУ""")</f>
        <v>КГКУ "ЦЕНТР СОЦИАЛЬНОЙ ПОДДЕРЖКИ НАСЕЛЕНИЯ ПО НИКОЛАЕВСКОМУ РАЙОНУ"</v>
      </c>
      <c r="B1762" s="24" t="s">
        <v>3398</v>
      </c>
      <c r="C1762" s="25">
        <v>23250</v>
      </c>
      <c r="D1762" s="22" t="s">
        <v>3414</v>
      </c>
      <c r="E1762" s="22" t="s">
        <v>48</v>
      </c>
      <c r="F1762" s="23" t="str">
        <f>HYPERLINK("https://www.spark-marketing.ru/Card/Lot/73875460",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1762" s="22" t="s">
        <v>1096</v>
      </c>
      <c r="H1762" s="22" t="s">
        <v>3415</v>
      </c>
      <c r="I1762" s="26">
        <v>43733.605555555601</v>
      </c>
      <c r="J1762" s="23" t="str">
        <f>HYPERLINK("https://www.spark-marketing.ru/Card/Person/493830", "МБОУ СОШ С. КРАСНОЕ")</f>
        <v>МБОУ СОШ С. КРАСНОЕ</v>
      </c>
      <c r="K1762" s="24" t="s">
        <v>3416</v>
      </c>
      <c r="L1762" s="22" t="s">
        <v>10</v>
      </c>
      <c r="M1762" s="28" t="s">
        <v>51</v>
      </c>
      <c r="N1762" s="28" t="s">
        <v>51</v>
      </c>
    </row>
    <row r="1763" spans="1:14" x14ac:dyDescent="0.15">
      <c r="A1763" s="23" t="str">
        <f t="shared" si="25"/>
        <v>КГКУ "ЦЕНТР СОЦИАЛЬНОЙ ПОДДЕРЖКИ НАСЕЛЕНИЯ ПО НИКОЛАЕВСКОМУ РАЙОНУ"</v>
      </c>
      <c r="B1763" s="24" t="s">
        <v>3398</v>
      </c>
      <c r="C1763" s="25">
        <v>38750</v>
      </c>
      <c r="D1763" s="22" t="s">
        <v>3417</v>
      </c>
      <c r="E1763" s="22" t="s">
        <v>48</v>
      </c>
      <c r="F1763" s="23" t="str">
        <f>HYPERLINK("https://www.spark-marketing.ru/Card/Lot/73874987",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1763" s="22" t="s">
        <v>1096</v>
      </c>
      <c r="H1763" s="22" t="s">
        <v>3415</v>
      </c>
      <c r="I1763" s="26">
        <v>43733.607638888898</v>
      </c>
      <c r="J1763" s="23" t="str">
        <f>HYPERLINK("https://www.spark-marketing.ru/Card/Person/1069778", "МБОУ СОШ Р.П. ЛАЗАРЕВ")</f>
        <v>МБОУ СОШ Р.П. ЛАЗАРЕВ</v>
      </c>
      <c r="K1763" s="24" t="s">
        <v>3418</v>
      </c>
      <c r="L1763" s="22" t="s">
        <v>10</v>
      </c>
      <c r="M1763" s="28" t="s">
        <v>51</v>
      </c>
      <c r="N1763" s="28" t="s">
        <v>51</v>
      </c>
    </row>
    <row r="1764" spans="1:14" x14ac:dyDescent="0.15">
      <c r="A1764" s="23" t="str">
        <f t="shared" si="25"/>
        <v>КГКУ "ЦЕНТР СОЦИАЛЬНОЙ ПОДДЕРЖКИ НАСЕЛЕНИЯ ПО НИКОЛАЕВСКОМУ РАЙОНУ"</v>
      </c>
      <c r="B1764" s="24" t="s">
        <v>3398</v>
      </c>
      <c r="C1764" s="25">
        <v>18132</v>
      </c>
      <c r="D1764" s="22" t="s">
        <v>3419</v>
      </c>
      <c r="E1764" s="22" t="s">
        <v>48</v>
      </c>
      <c r="F1764" s="23" t="str">
        <f>HYPERLINK("https://www.spark-marketing.ru/Card/Lot/73875398",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1764" s="22" t="s">
        <v>1096</v>
      </c>
      <c r="H1764" s="22" t="s">
        <v>3400</v>
      </c>
      <c r="I1764" s="26">
        <v>43733.609027777798</v>
      </c>
      <c r="J1764" s="23" t="str">
        <f>HYPERLINK("https://www.spark-marketing.ru/Card/Person/1013075", "МКОУ НШ ДС С. ИНЯ")</f>
        <v>МКОУ НШ ДС С. ИНЯ</v>
      </c>
      <c r="K1764" s="24" t="s">
        <v>3420</v>
      </c>
      <c r="L1764" s="22" t="s">
        <v>10</v>
      </c>
      <c r="M1764" s="28" t="s">
        <v>51</v>
      </c>
      <c r="N1764" s="28" t="s">
        <v>51</v>
      </c>
    </row>
    <row r="1765" spans="1:14" x14ac:dyDescent="0.15">
      <c r="A1765" s="23" t="str">
        <f t="shared" si="25"/>
        <v>КГКУ "ЦЕНТР СОЦИАЛЬНОЙ ПОДДЕРЖКИ НАСЕЛЕНИЯ ПО НИКОЛАЕВСКОМУ РАЙОНУ"</v>
      </c>
      <c r="B1765" s="24" t="s">
        <v>3398</v>
      </c>
      <c r="C1765" s="25">
        <v>51150</v>
      </c>
      <c r="D1765" s="22" t="s">
        <v>3421</v>
      </c>
      <c r="E1765" s="22" t="s">
        <v>48</v>
      </c>
      <c r="F1765" s="23" t="str">
        <f>HYPERLINK("https://www.spark-marketing.ru/Card/Lot/73881604",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1765" s="22" t="s">
        <v>1096</v>
      </c>
      <c r="H1765" s="22" t="s">
        <v>3400</v>
      </c>
      <c r="I1765" s="26">
        <v>43733.603472222203</v>
      </c>
      <c r="J1765" s="23" t="str">
        <f>HYPERLINK("https://www.spark-marketing.ru/Card/Person/493227", "МБОУ СОШ № 4")</f>
        <v>МБОУ СОШ № 4</v>
      </c>
      <c r="K1765" s="24" t="s">
        <v>3422</v>
      </c>
      <c r="L1765" s="22" t="s">
        <v>10</v>
      </c>
      <c r="M1765" s="28" t="s">
        <v>51</v>
      </c>
      <c r="N1765" s="28" t="s">
        <v>51</v>
      </c>
    </row>
    <row r="1766" spans="1:14" x14ac:dyDescent="0.15">
      <c r="A1766" s="23" t="str">
        <f t="shared" si="25"/>
        <v>КГКУ "ЦЕНТР СОЦИАЛЬНОЙ ПОДДЕРЖКИ НАСЕЛЕНИЯ ПО НИКОЛАЕВСКОМУ РАЙОНУ"</v>
      </c>
      <c r="B1766" s="24" t="s">
        <v>3398</v>
      </c>
      <c r="C1766" s="25">
        <v>38750</v>
      </c>
      <c r="D1766" s="22" t="s">
        <v>3423</v>
      </c>
      <c r="E1766" s="22" t="s">
        <v>48</v>
      </c>
      <c r="F1766" s="23" t="str">
        <f>HYPERLINK("https://www.spark-marketing.ru/Card/Lot/73874988",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1766" s="22" t="s">
        <v>1096</v>
      </c>
      <c r="H1766" s="22" t="s">
        <v>3400</v>
      </c>
      <c r="I1766" s="26">
        <v>43733.602083333302</v>
      </c>
      <c r="J1766" s="23" t="str">
        <f>HYPERLINK("https://www.spark-marketing.ru/Card/Person/1071498", "МБОУ СОШ № 2")</f>
        <v>МБОУ СОШ № 2</v>
      </c>
      <c r="K1766" s="24" t="s">
        <v>3424</v>
      </c>
      <c r="L1766" s="22" t="s">
        <v>10</v>
      </c>
      <c r="M1766" s="28" t="s">
        <v>51</v>
      </c>
      <c r="N1766" s="28" t="s">
        <v>51</v>
      </c>
    </row>
    <row r="1767" spans="1:14" x14ac:dyDescent="0.15">
      <c r="A1767" s="23" t="str">
        <f t="shared" si="25"/>
        <v>КГКУ "ЦЕНТР СОЦИАЛЬНОЙ ПОДДЕРЖКИ НАСЕЛЕНИЯ ПО НИКОЛАЕВСКОМУ РАЙОНУ"</v>
      </c>
      <c r="B1767" s="24" t="s">
        <v>3398</v>
      </c>
      <c r="C1767" s="25">
        <v>36264</v>
      </c>
      <c r="D1767" s="22" t="s">
        <v>3425</v>
      </c>
      <c r="E1767" s="22" t="s">
        <v>48</v>
      </c>
      <c r="F1767" s="23" t="str">
        <f>HYPERLINK("https://www.spark-marketing.ru/Card/Lot/73874967",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1767" s="22" t="s">
        <v>1096</v>
      </c>
      <c r="H1767" s="22" t="s">
        <v>3426</v>
      </c>
      <c r="I1767" s="26">
        <v>43733.610416666699</v>
      </c>
      <c r="J1767" s="23" t="str">
        <f>HYPERLINK("https://www.spark-marketing.ru/Card/Person/128793", "МКОУ СОШ С АРКА")</f>
        <v>МКОУ СОШ С АРКА</v>
      </c>
      <c r="K1767" s="24" t="s">
        <v>3427</v>
      </c>
      <c r="L1767" s="22" t="s">
        <v>10</v>
      </c>
      <c r="M1767" s="28" t="s">
        <v>51</v>
      </c>
      <c r="N1767" s="28" t="s">
        <v>51</v>
      </c>
    </row>
    <row r="1768" spans="1:14" x14ac:dyDescent="0.15">
      <c r="A1768" s="23" t="str">
        <f>HYPERLINK("https://www.spark-marketing.ru/Card/Person/93", "МБУЗ ""ГБСМП""")</f>
        <v>МБУЗ "ГБСМП"</v>
      </c>
      <c r="B1768" s="24" t="s">
        <v>3428</v>
      </c>
      <c r="C1768" s="25">
        <v>47367200</v>
      </c>
      <c r="D1768" s="22" t="s">
        <v>3429</v>
      </c>
      <c r="E1768" s="22" t="s">
        <v>48</v>
      </c>
      <c r="F1768" s="23" t="str">
        <f>HYPERLINK("https://www.spark-marketing.ru/Card/Lot/73932197", "Право заключить договор на оказание услуг по организации готового питания для пациентов, находящихся на стационарном лечении в МБУЗ ""ГБСМП"" на период январь 2020 года - декабрь 2020 года.")</f>
        <v>Право заключить договор на оказание услуг по организации готового питания для пациентов, находящихся на стационарном лечении в МБУЗ "ГБСМП" на период январь 2020 года - декабрь 2020 года.</v>
      </c>
      <c r="G1768" s="22" t="s">
        <v>267</v>
      </c>
      <c r="H1768" s="22" t="s">
        <v>1388</v>
      </c>
      <c r="I1768" s="26">
        <v>43733.619490740697</v>
      </c>
      <c r="J1768" s="28" t="s">
        <v>51</v>
      </c>
      <c r="K1768" s="28" t="s">
        <v>51</v>
      </c>
      <c r="L1768" s="28" t="s">
        <v>51</v>
      </c>
      <c r="M1768" s="28" t="s">
        <v>51</v>
      </c>
      <c r="N1768" s="28" t="s">
        <v>51</v>
      </c>
    </row>
    <row r="1769" spans="1:14" x14ac:dyDescent="0.15">
      <c r="A1769" s="23" t="str">
        <f>HYPERLINK("https://www.spark-marketing.ru/Card/Person/1034732", "КГКУ ""ЦЕНТР СОЦИАЛЬНОЙ ПОДДЕРЖКИ НАСЕЛЕНИЯ ПО НИКОЛАЕВСКОМУ РАЙОНУ""")</f>
        <v>КГКУ "ЦЕНТР СОЦИАЛЬНОЙ ПОДДЕРЖКИ НАСЕЛЕНИЯ ПО НИКОЛАЕВСКОМУ РАЙОНУ"</v>
      </c>
      <c r="B1769" s="24" t="s">
        <v>3398</v>
      </c>
      <c r="C1769" s="25">
        <v>15500</v>
      </c>
      <c r="D1769" s="22" t="s">
        <v>3430</v>
      </c>
      <c r="E1769" s="22" t="s">
        <v>48</v>
      </c>
      <c r="F1769" s="23" t="str">
        <f>HYPERLINK("https://www.spark-marketing.ru/Card/Lot/73875360",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1769" s="22" t="s">
        <v>1096</v>
      </c>
      <c r="H1769" s="22" t="s">
        <v>3415</v>
      </c>
      <c r="I1769" s="26">
        <v>43733.608333333301</v>
      </c>
      <c r="J1769" s="23" t="str">
        <f>HYPERLINK("https://www.spark-marketing.ru/Card/Person/171067", "МБОУ СОШ № 5 П. МАГО")</f>
        <v>МБОУ СОШ № 5 П. МАГО</v>
      </c>
      <c r="K1769" s="24" t="s">
        <v>3431</v>
      </c>
      <c r="L1769" s="22" t="s">
        <v>10</v>
      </c>
      <c r="M1769" s="28" t="s">
        <v>51</v>
      </c>
      <c r="N1769" s="28" t="s">
        <v>51</v>
      </c>
    </row>
    <row r="1770" spans="1:14" x14ac:dyDescent="0.15">
      <c r="A1770" s="23" t="str">
        <f>HYPERLINK("https://www.spark-marketing.ru/Card/Person/64316", "ФКУ ОИК-2 ОУХД ГУФСИН РОССИИ ПО ПЕРМСКОМУ КРАЮ")</f>
        <v>ФКУ ОИК-2 ОУХД ГУФСИН РОССИИ ПО ПЕРМСКОМУ КРАЮ</v>
      </c>
      <c r="B1770" s="24" t="s">
        <v>3432</v>
      </c>
      <c r="C1770" s="25">
        <v>17660</v>
      </c>
      <c r="D1770" s="22" t="s">
        <v>3433</v>
      </c>
      <c r="E1770" s="22" t="s">
        <v>437</v>
      </c>
      <c r="F1770" s="23" t="str">
        <f>HYPERLINK("https://www.spark-marketing.ru/Card/Lot/73879063", "Услуги в области гигиены питания, включая ветеринарный контроль, 1 усл. ед")</f>
        <v>Услуги в области гигиены питания, включая ветеринарный контроль, 1 усл. ед</v>
      </c>
      <c r="G1770" s="22" t="s">
        <v>153</v>
      </c>
      <c r="H1770" s="22" t="s">
        <v>3434</v>
      </c>
      <c r="I1770" s="26">
        <v>43733.573032407403</v>
      </c>
      <c r="J1770" s="28" t="s">
        <v>51</v>
      </c>
      <c r="K1770" s="28" t="s">
        <v>51</v>
      </c>
      <c r="L1770" s="28" t="s">
        <v>51</v>
      </c>
      <c r="M1770" s="28" t="s">
        <v>51</v>
      </c>
      <c r="N1770" s="28" t="s">
        <v>51</v>
      </c>
    </row>
    <row r="1771" spans="1:14" x14ac:dyDescent="0.15">
      <c r="A1771" s="23" t="str">
        <f>HYPERLINK("https://www.spark-marketing.ru/Card/Person/1043290", "ФКУ ""ЦУКС ГУ МЧС РОССИИ ПО ТУЛЬСКОЙ ОБЛАСТИ""")</f>
        <v>ФКУ "ЦУКС ГУ МЧС РОССИИ ПО ТУЛЬСКОЙ ОБЛАСТИ"</v>
      </c>
      <c r="B1771" s="24" t="s">
        <v>3435</v>
      </c>
      <c r="C1771" s="25">
        <v>123039</v>
      </c>
      <c r="D1771" s="22" t="s">
        <v>3436</v>
      </c>
      <c r="E1771" s="22" t="s">
        <v>96</v>
      </c>
      <c r="F1771" s="23" t="str">
        <f>HYPERLINK("https://www.spark-marketing.ru/Card/Lot/73877512", "Оказание услуг по организации питания (приготовлению и доставке), 372 шт")</f>
        <v>Оказание услуг по организации питания (приготовлению и доставке), 372 шт</v>
      </c>
      <c r="G1771" s="22" t="s">
        <v>68</v>
      </c>
      <c r="H1771" s="22" t="s">
        <v>69</v>
      </c>
      <c r="I1771" s="26">
        <v>43733.542326388902</v>
      </c>
      <c r="J1771" s="28" t="s">
        <v>51</v>
      </c>
      <c r="K1771" s="28" t="s">
        <v>51</v>
      </c>
      <c r="L1771" s="28" t="s">
        <v>51</v>
      </c>
      <c r="M1771" s="28" t="s">
        <v>51</v>
      </c>
      <c r="N1771" s="28" t="s">
        <v>51</v>
      </c>
    </row>
    <row r="1772" spans="1:14" x14ac:dyDescent="0.15">
      <c r="A1772" s="23" t="str">
        <f>HYPERLINK("https://www.spark-marketing.ru/Card/Person/4927475", "ДЭРИТ")</f>
        <v>ДЭРИТ</v>
      </c>
      <c r="B1772" s="24" t="s">
        <v>3437</v>
      </c>
      <c r="C1772" s="25">
        <v>248900</v>
      </c>
      <c r="D1772" s="22" t="s">
        <v>3438</v>
      </c>
      <c r="E1772" s="22" t="s">
        <v>55</v>
      </c>
      <c r="F1772" s="23" t="str">
        <f>HYPERLINK("https://www.spark-marketing.ru/Card/Lot/73893817", "Оказание услуг по организации и проведению семинара для линейного персонала гостиниц, предприятий общественного питания и других работников индустрии туризма и гостеприимства")</f>
        <v>Оказание услуг по организации и проведению семинара для линейного персонала гостиниц, предприятий общественного питания и других работников индустрии туризма и гостеприимства</v>
      </c>
      <c r="G1772" s="22" t="s">
        <v>128</v>
      </c>
      <c r="H1772" s="22" t="s">
        <v>129</v>
      </c>
      <c r="I1772" s="26">
        <v>43733.559027777803</v>
      </c>
      <c r="J1772" s="28" t="s">
        <v>51</v>
      </c>
      <c r="K1772" s="28" t="s">
        <v>51</v>
      </c>
      <c r="L1772" s="28" t="s">
        <v>51</v>
      </c>
      <c r="M1772" s="28" t="s">
        <v>51</v>
      </c>
      <c r="N1772" s="28" t="s">
        <v>51</v>
      </c>
    </row>
    <row r="1773" spans="1:14" ht="12.75" hidden="1" outlineLevel="1" x14ac:dyDescent="0.2">
      <c r="A1773" s="23" t="str">
        <f>HYPERLINK("https://www.spark-marketing.ru/Card/Person/4927475", "ДЭРИТ")</f>
        <v>ДЭРИТ</v>
      </c>
      <c r="B1773" s="24" t="s">
        <v>3437</v>
      </c>
      <c r="C1773" s="25">
        <v>248900</v>
      </c>
      <c r="D1773" s="22" t="s">
        <v>3438</v>
      </c>
      <c r="E1773" s="22" t="s">
        <v>55</v>
      </c>
      <c r="F1773" s="23" t="str">
        <f>HYPERLINK("https://www.spark-marketing.ru/Card/Lot/73893817", "Оказание услуг по организации и проведению семинара для линейного персонала гостиниц, предприятий общественного питания и других работников индустрии туризма и гостеприимства")</f>
        <v>Оказание услуг по организации и проведению семинара для линейного персонала гостиниц, предприятий общественного питания и других работников индустрии туризма и гостеприимства</v>
      </c>
      <c r="G1773" s="22" t="s">
        <v>128</v>
      </c>
      <c r="H1773" s="22" t="s">
        <v>129</v>
      </c>
      <c r="I1773" s="26">
        <v>43733.559027777803</v>
      </c>
      <c r="J1773" s="23" t="str">
        <f>HYPERLINK("https://www.spark-marketing.ru/Card/Person/6688950", "ЧОУ ДПО ""АСТРУМ"" (ЗВЕЗДА, СОЗВЕЗДИЕ)")</f>
        <v>ЧОУ ДПО "АСТРУМ" (ЗВЕЗДА, СОЗВЕЗДИЕ)</v>
      </c>
      <c r="K1773" s="24" t="s">
        <v>3439</v>
      </c>
      <c r="L1773" s="22" t="s">
        <v>10</v>
      </c>
      <c r="M1773" s="25">
        <v>197511</v>
      </c>
      <c r="N1773" s="27">
        <v>0.20646444355162716</v>
      </c>
    </row>
    <row r="1774" spans="1:14" hidden="1" outlineLevel="1" x14ac:dyDescent="0.2">
      <c r="A1774" s="23" t="str">
        <f>HYPERLINK("https://www.spark-marketing.ru/Card/Person/4927475", "ДЭРИТ")</f>
        <v>ДЭРИТ</v>
      </c>
      <c r="B1774" s="24" t="s">
        <v>3437</v>
      </c>
      <c r="C1774" s="25">
        <v>248900</v>
      </c>
      <c r="D1774" s="22" t="s">
        <v>3438</v>
      </c>
      <c r="E1774" s="22" t="s">
        <v>55</v>
      </c>
      <c r="F1774" s="23" t="str">
        <f>HYPERLINK("https://www.spark-marketing.ru/Card/Lot/73893817", "Оказание услуг по организации и проведению семинара для линейного персонала гостиниц, предприятий общественного питания и других работников индустрии туризма и гостеприимства")</f>
        <v>Оказание услуг по организации и проведению семинара для линейного персонала гостиниц, предприятий общественного питания и других работников индустрии туризма и гостеприимства</v>
      </c>
      <c r="G1774" s="22" t="s">
        <v>128</v>
      </c>
      <c r="H1774" s="22" t="s">
        <v>129</v>
      </c>
      <c r="I1774" s="26">
        <v>43733.559027777803</v>
      </c>
      <c r="J1774" s="23" t="str">
        <f>HYPERLINK("https://www.spark-marketing.ru/Card/Person/6213359", "ГТА")</f>
        <v>ГТА</v>
      </c>
      <c r="K1774" s="24" t="s">
        <v>3440</v>
      </c>
      <c r="L1774" s="28" t="s">
        <v>51</v>
      </c>
      <c r="M1774" s="25">
        <v>198755.5</v>
      </c>
      <c r="N1774" s="27">
        <v>0.20146444355162715</v>
      </c>
    </row>
    <row r="1775" spans="1:14" x14ac:dyDescent="0.15">
      <c r="A1775" s="23" t="str">
        <f>HYPERLINK("https://www.spark-marketing.ru/Card/Person/24497", "ФКУ ""ЦХИСО УМВД РОССИИ ПО Г. СЕВАСТОПОЛЮ""")</f>
        <v>ФКУ "ЦХИСО УМВД РОССИИ ПО Г. СЕВАСТОПОЛЮ"</v>
      </c>
      <c r="B1775" s="24" t="s">
        <v>3441</v>
      </c>
      <c r="C1775" s="25">
        <v>230766.05</v>
      </c>
      <c r="D1775" s="22" t="s">
        <v>3442</v>
      </c>
      <c r="E1775" s="22" t="s">
        <v>96</v>
      </c>
      <c r="F1775" s="23" t="str">
        <f>HYPERLINK("https://www.spark-marketing.ru/Card/Lot/73879960", "Оказание услуг по организации питания (приготовлению и доставке), 769 шт")</f>
        <v>Оказание услуг по организации питания (приготовлению и доставке), 769 шт</v>
      </c>
      <c r="G1775" s="22" t="s">
        <v>322</v>
      </c>
      <c r="H1775" s="22" t="s">
        <v>322</v>
      </c>
      <c r="I1775" s="26">
        <v>43733.582777777803</v>
      </c>
      <c r="J1775" s="28" t="s">
        <v>51</v>
      </c>
      <c r="K1775" s="28" t="s">
        <v>51</v>
      </c>
      <c r="L1775" s="28" t="s">
        <v>51</v>
      </c>
      <c r="M1775" s="28" t="s">
        <v>51</v>
      </c>
      <c r="N1775" s="28" t="s">
        <v>51</v>
      </c>
    </row>
    <row r="1776" spans="1:14" x14ac:dyDescent="0.15">
      <c r="A1776" s="23" t="str">
        <f>HYPERLINK("https://www.spark-marketing.ru/Card/Person/1730815", "ООО ""АРМЗ СЕРВИС""")</f>
        <v>ООО "АРМЗ СЕРВИС"</v>
      </c>
      <c r="B1776" s="24" t="s">
        <v>3443</v>
      </c>
      <c r="C1776" s="28" t="s">
        <v>51</v>
      </c>
      <c r="D1776" s="22" t="s">
        <v>3444</v>
      </c>
      <c r="E1776" s="22" t="s">
        <v>96</v>
      </c>
      <c r="F1776" s="23" t="str">
        <f>HYPERLINK("https://www.spark-marketing.ru/Card/Lot/73884709", "Организация питания сотрудников")</f>
        <v>Организация питания сотрудников</v>
      </c>
      <c r="G1776" s="22" t="s">
        <v>56</v>
      </c>
      <c r="H1776" s="22" t="s">
        <v>56</v>
      </c>
      <c r="I1776" s="26">
        <v>43733.553865740701</v>
      </c>
      <c r="J1776" s="28" t="s">
        <v>51</v>
      </c>
      <c r="K1776" s="28" t="s">
        <v>51</v>
      </c>
      <c r="L1776" s="28" t="s">
        <v>51</v>
      </c>
      <c r="M1776" s="28" t="s">
        <v>51</v>
      </c>
      <c r="N1776" s="28" t="s">
        <v>51</v>
      </c>
    </row>
    <row r="1777" spans="1:14" x14ac:dyDescent="0.15">
      <c r="A1777" s="23" t="str">
        <f>HYPERLINK("https://www.spark-marketing.ru/Card/Person/101194", "МБОУ ""БЕЛОЯРСКАЯ СОШ № 3""")</f>
        <v>МБОУ "БЕЛОЯРСКАЯ СОШ № 3"</v>
      </c>
      <c r="B1777" s="24" t="s">
        <v>3445</v>
      </c>
      <c r="C1777" s="25">
        <v>1179628.8</v>
      </c>
      <c r="D1777" s="22" t="s">
        <v>3446</v>
      </c>
      <c r="E1777" s="22" t="s">
        <v>48</v>
      </c>
      <c r="F1777" s="23" t="str">
        <f>HYPERLINK("https://www.spark-marketing.ru/Card/Lot/73902904", "Оказание услуг по обеспечению питанием обучающихся")</f>
        <v>Оказание услуг по обеспечению питанием обучающихся</v>
      </c>
      <c r="G1777" s="22" t="s">
        <v>97</v>
      </c>
      <c r="H1777" s="22" t="s">
        <v>199</v>
      </c>
      <c r="I1777" s="26">
        <v>43733.629166666702</v>
      </c>
      <c r="J1777" s="28" t="s">
        <v>51</v>
      </c>
      <c r="K1777" s="28" t="s">
        <v>51</v>
      </c>
      <c r="L1777" s="28" t="s">
        <v>51</v>
      </c>
      <c r="M1777" s="28" t="s">
        <v>51</v>
      </c>
      <c r="N1777" s="28" t="s">
        <v>51</v>
      </c>
    </row>
    <row r="1778" spans="1:14" x14ac:dyDescent="0.15">
      <c r="A1778" s="23" t="str">
        <f>HYPERLINK("https://www.spark-marketing.ru/Card/Person/1028733", "ГПОУ ""ЧТКУ""")</f>
        <v>ГПОУ "ЧТКУ"</v>
      </c>
      <c r="B1778" s="24" t="s">
        <v>710</v>
      </c>
      <c r="C1778" s="25">
        <v>772700</v>
      </c>
      <c r="D1778" s="22" t="s">
        <v>3447</v>
      </c>
      <c r="E1778" s="22" t="s">
        <v>48</v>
      </c>
      <c r="F1778" s="23" t="str">
        <f>HYPERLINK("https://www.spark-marketing.ru/Card/Lot/73956072", "Оказание услуг по организации питания (11288-ЭА)")</f>
        <v>Оказание услуг по организации питания (11288-ЭА)</v>
      </c>
      <c r="G1778" s="22" t="s">
        <v>228</v>
      </c>
      <c r="H1778" s="22" t="s">
        <v>394</v>
      </c>
      <c r="I1778" s="26">
        <v>43733.500960648104</v>
      </c>
      <c r="J1778" s="23" t="str">
        <f>HYPERLINK("https://www.spark-marketing.ru/Card/Person/116175", "ООО ""СИТИ-ЛАЙН""")</f>
        <v>ООО "СИТИ-ЛАЙН"</v>
      </c>
      <c r="K1778" s="24" t="s">
        <v>3448</v>
      </c>
      <c r="L1778" s="28" t="s">
        <v>51</v>
      </c>
      <c r="M1778" s="28" t="s">
        <v>51</v>
      </c>
      <c r="N1778" s="28" t="s">
        <v>51</v>
      </c>
    </row>
    <row r="1779" spans="1:14" x14ac:dyDescent="0.15">
      <c r="A1779" s="23" t="str">
        <f>HYPERLINK("https://www.spark-marketing.ru/Card/Person/680799", "АНО ""КОРПОРАТИВНАЯ АКАДЕМИЯ РОСАТОМА""")</f>
        <v>АНО "КОРПОРАТИВНАЯ АКАДЕМИЯ РОСАТОМА"</v>
      </c>
      <c r="B1779" s="24" t="s">
        <v>3449</v>
      </c>
      <c r="C1779" s="25">
        <v>0</v>
      </c>
      <c r="D1779" s="22" t="s">
        <v>3450</v>
      </c>
      <c r="E1779" s="22" t="s">
        <v>52</v>
      </c>
      <c r="F1779" s="23" t="str">
        <f>HYPERLINK("https://www.spark-marketing.ru/Card/Lot/73881864", "мониторинг цен в электронной форме на услуги по организации питания, трансфера и экскурсионного обслуживания в рамках выездных конференц-мероприятий")</f>
        <v>мониторинг цен в электронной форме на услуги по организации питания, трансфера и экскурсионного обслуживания в рамках выездных конференц-мероприятий</v>
      </c>
      <c r="G1779" s="22" t="s">
        <v>56</v>
      </c>
      <c r="H1779" s="22" t="s">
        <v>56</v>
      </c>
      <c r="I1779" s="26">
        <v>43733.534456018497</v>
      </c>
      <c r="J1779" s="28" t="s">
        <v>51</v>
      </c>
      <c r="K1779" s="28" t="s">
        <v>51</v>
      </c>
      <c r="L1779" s="28" t="s">
        <v>51</v>
      </c>
      <c r="M1779" s="28" t="s">
        <v>51</v>
      </c>
      <c r="N1779" s="28" t="s">
        <v>51</v>
      </c>
    </row>
    <row r="1780" spans="1:14" x14ac:dyDescent="0.15">
      <c r="A1780" s="23" t="str">
        <f>HYPERLINK("https://www.spark-marketing.ru/Card/Person/737290", "ГКУ «ЦБЗ ПРИ МИНЗДРАВЕ КАРЕЛИИ»")</f>
        <v>ГКУ «ЦБЗ ПРИ МИНЗДРАВЕ КАРЕЛИИ»</v>
      </c>
      <c r="B1780" s="24" t="s">
        <v>312</v>
      </c>
      <c r="C1780" s="25">
        <v>1353469.5</v>
      </c>
      <c r="D1780" s="22" t="s">
        <v>3451</v>
      </c>
      <c r="E1780" s="22" t="s">
        <v>52</v>
      </c>
      <c r="F1780" s="23" t="str">
        <f>HYPERLINK("https://www.spark-marketing.ru/Card/Lot/73902499", "Поставка лекарственного препарата Инсулин аспарт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р...")</f>
        <v>Поставка лекарственного препарата Инсулин аспарт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р...</v>
      </c>
      <c r="G1780" s="22" t="s">
        <v>59</v>
      </c>
      <c r="H1780" s="22" t="s">
        <v>314</v>
      </c>
      <c r="I1780" s="26">
        <v>43733.505659722199</v>
      </c>
      <c r="J1780" s="23" t="str">
        <f>HYPERLINK("https://www.spark-marketing.ru/Card/Person/6492462", "ООО ""ОН.К""")</f>
        <v>ООО "ОН.К"</v>
      </c>
      <c r="K1780" s="24" t="s">
        <v>2173</v>
      </c>
      <c r="L1780" s="22" t="s">
        <v>10</v>
      </c>
      <c r="M1780" s="28" t="s">
        <v>51</v>
      </c>
      <c r="N1780" s="28" t="s">
        <v>51</v>
      </c>
    </row>
    <row r="1781" spans="1:14" x14ac:dyDescent="0.15">
      <c r="A1781" s="23" t="str">
        <f>HYPERLINK("https://www.spark-marketing.ru/Card/Person/680799", "АНО ""КОРПОРАТИВНАЯ АКАДЕМИЯ РОСАТОМА""")</f>
        <v>АНО "КОРПОРАТИВНАЯ АКАДЕМИЯ РОСАТОМА"</v>
      </c>
      <c r="B1781" s="24" t="s">
        <v>3449</v>
      </c>
      <c r="C1781" s="28" t="s">
        <v>51</v>
      </c>
      <c r="D1781" s="22" t="s">
        <v>3452</v>
      </c>
      <c r="E1781" s="22" t="s">
        <v>3453</v>
      </c>
      <c r="F1781" s="23" t="str">
        <f>HYPERLINK("https://www.spark-marketing.ru/Card/Lot/73884676", "услуги по организации питания, трансфера и экскурсионного обслуживания в рамках выездных конференц-мероприятий")</f>
        <v>услуги по организации питания, трансфера и экскурсионного обслуживания в рамках выездных конференц-мероприятий</v>
      </c>
      <c r="G1781" s="22" t="s">
        <v>56</v>
      </c>
      <c r="H1781" s="22" t="s">
        <v>56</v>
      </c>
      <c r="I1781" s="26">
        <v>43733.534479166701</v>
      </c>
      <c r="J1781" s="28" t="s">
        <v>51</v>
      </c>
      <c r="K1781" s="28" t="s">
        <v>51</v>
      </c>
      <c r="L1781" s="28" t="s">
        <v>51</v>
      </c>
      <c r="M1781" s="28" t="s">
        <v>51</v>
      </c>
      <c r="N1781" s="28" t="s">
        <v>51</v>
      </c>
    </row>
    <row r="1782" spans="1:14" x14ac:dyDescent="0.15">
      <c r="A1782" s="23" t="str">
        <f>HYPERLINK("https://www.spark-marketing.ru/Card/Person/234049", "ОТДЕЛ МВД РОССИИ ПО ИШИМБАЙСКОМУ РАЙОНУ")</f>
        <v>ОТДЕЛ МВД РОССИИ ПО ИШИМБАЙСКОМУ РАЙОНУ</v>
      </c>
      <c r="B1782" s="24" t="s">
        <v>3454</v>
      </c>
      <c r="C1782" s="25">
        <v>788000</v>
      </c>
      <c r="D1782" s="22" t="s">
        <v>3455</v>
      </c>
      <c r="E1782" s="22" t="s">
        <v>48</v>
      </c>
      <c r="F1782" s="23" t="str">
        <f>HYPERLINK("https://www.spark-marketing.ru/Card/Lot/73896357", "Организация питания лиц, содержащихся в специализированных учреждениях")</f>
        <v>Организация питания лиц, содержащихся в специализированных учреждениях</v>
      </c>
      <c r="G1782" s="22" t="s">
        <v>145</v>
      </c>
      <c r="H1782" s="22" t="s">
        <v>3456</v>
      </c>
      <c r="I1782" s="26">
        <v>43733.500590277799</v>
      </c>
      <c r="J1782" s="23" t="str">
        <f>HYPERLINK("https://www.spark-marketing.ru/Card/Person/281104", "ООО ""ОБЩЕПИТ""")</f>
        <v>ООО "ОБЩЕПИТ"</v>
      </c>
      <c r="K1782" s="24" t="s">
        <v>3457</v>
      </c>
      <c r="L1782" s="22" t="s">
        <v>10</v>
      </c>
      <c r="M1782" s="28" t="s">
        <v>51</v>
      </c>
      <c r="N1782" s="28" t="s">
        <v>51</v>
      </c>
    </row>
    <row r="1783" spans="1:14" x14ac:dyDescent="0.15">
      <c r="A1783" s="23" t="str">
        <f>HYPERLINK("https://www.spark-marketing.ru/Card/Person/53322", "ГУ - ТАМБОВСКОЕ РО ФОНДА СОЦИАЛЬНОГО СТРАХОВАНИЯ РОССИЙСКОЙ ФЕДЕРАЦИИ")</f>
        <v>ГУ - ТАМБОВСКОЕ РО ФОНДА СОЦИАЛЬНОГО СТРАХОВАНИЯ РОССИЙСКОЙ ФЕДЕРАЦИИ</v>
      </c>
      <c r="B1783" s="24" t="s">
        <v>3458</v>
      </c>
      <c r="C1783" s="25">
        <v>1347516</v>
      </c>
      <c r="D1783" s="22" t="s">
        <v>3459</v>
      </c>
      <c r="E1783" s="22" t="s">
        <v>86</v>
      </c>
      <c r="F1783" s="23" t="str">
        <f>HYPERLINK("https://www.spark-marketing.ru/Card/Lot/73903679", "Оказание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нервной системы», «болезни костно-мышечной системы и соед...")</f>
        <v>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нервной системы», «болезни костно-мышечной системы и соед...</v>
      </c>
      <c r="G1783" s="22" t="s">
        <v>1370</v>
      </c>
      <c r="H1783" s="22" t="s">
        <v>1370</v>
      </c>
      <c r="I1783" s="26">
        <v>43733.505555555603</v>
      </c>
      <c r="J1783" s="23" t="str">
        <f>HYPERLINK("https://www.spark-marketing.ru/Card/Person/315730", "ОАО ""ТАМБОВКУРОРТ""")</f>
        <v>ОАО "ТАМБОВКУРОРТ"</v>
      </c>
      <c r="K1783" s="24" t="s">
        <v>3460</v>
      </c>
      <c r="L1783" s="22" t="s">
        <v>10</v>
      </c>
      <c r="M1783" s="28" t="s">
        <v>51</v>
      </c>
      <c r="N1783" s="28" t="s">
        <v>51</v>
      </c>
    </row>
    <row r="1784" spans="1:14" x14ac:dyDescent="0.15">
      <c r="A1784" s="23" t="str">
        <f>HYPERLINK("https://www.spark-marketing.ru/Card/Person/1013934", "ОМВД РОССИИ ПО Г. ЮГОРСКУ")</f>
        <v>ОМВД РОССИИ ПО Г. ЮГОРСКУ</v>
      </c>
      <c r="B1784" s="24" t="s">
        <v>3461</v>
      </c>
      <c r="C1784" s="25">
        <v>7055</v>
      </c>
      <c r="D1784" s="22" t="s">
        <v>3462</v>
      </c>
      <c r="E1784" s="22" t="s">
        <v>48</v>
      </c>
      <c r="F1784" s="23" t="str">
        <f>HYPERLINK("https://www.spark-marketing.ru/Card/Lot/73876999",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784" s="22" t="s">
        <v>97</v>
      </c>
      <c r="H1784" s="22" t="s">
        <v>3463</v>
      </c>
      <c r="I1784" s="26">
        <v>43733.530972222201</v>
      </c>
      <c r="J1784" s="28" t="s">
        <v>51</v>
      </c>
      <c r="K1784" s="28" t="s">
        <v>51</v>
      </c>
      <c r="L1784" s="28" t="s">
        <v>51</v>
      </c>
      <c r="M1784" s="28" t="s">
        <v>51</v>
      </c>
      <c r="N1784" s="28" t="s">
        <v>51</v>
      </c>
    </row>
    <row r="1785" spans="1:14" x14ac:dyDescent="0.15">
      <c r="A1785" s="23" t="str">
        <f>HYPERLINK("https://www.spark-marketing.ru/Card/Person/82150", "МБДОУ ДЕТСКИЙ САД № 88")</f>
        <v>МБДОУ ДЕТСКИЙ САД № 88</v>
      </c>
      <c r="B1785" s="24" t="s">
        <v>3464</v>
      </c>
      <c r="C1785" s="25">
        <v>14608816</v>
      </c>
      <c r="D1785" s="22" t="s">
        <v>3465</v>
      </c>
      <c r="E1785" s="22" t="s">
        <v>48</v>
      </c>
      <c r="F1785" s="23" t="str">
        <f>HYPERLINK("https://www.spark-marketing.ru/Card/Lot/73926857",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1785" s="22" t="s">
        <v>49</v>
      </c>
      <c r="H1785" s="22" t="s">
        <v>2508</v>
      </c>
      <c r="I1785" s="26">
        <v>43733.511145833298</v>
      </c>
      <c r="J1785" s="28" t="s">
        <v>51</v>
      </c>
      <c r="K1785" s="28" t="s">
        <v>51</v>
      </c>
      <c r="L1785" s="28" t="s">
        <v>51</v>
      </c>
      <c r="M1785" s="28" t="s">
        <v>51</v>
      </c>
      <c r="N1785" s="28" t="s">
        <v>51</v>
      </c>
    </row>
    <row r="1786" spans="1:14" x14ac:dyDescent="0.15">
      <c r="A1786" s="23" t="str">
        <f>HYPERLINK("https://www.spark-marketing.ru/Card/Person/105390", "МБДОУ ""ДЕТСКИЙ САД № 41""")</f>
        <v>МБДОУ "ДЕТСКИЙ САД № 41"</v>
      </c>
      <c r="B1786" s="24" t="s">
        <v>3466</v>
      </c>
      <c r="C1786" s="25">
        <v>22852726</v>
      </c>
      <c r="D1786" s="22" t="s">
        <v>3467</v>
      </c>
      <c r="E1786" s="22" t="s">
        <v>48</v>
      </c>
      <c r="F1786" s="23" t="str">
        <f>HYPERLINK("https://www.spark-marketing.ru/Card/Lot/73926870",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1786" s="22" t="s">
        <v>49</v>
      </c>
      <c r="H1786" s="22" t="s">
        <v>2495</v>
      </c>
      <c r="I1786" s="26">
        <v>43733.516666666699</v>
      </c>
      <c r="J1786" s="28" t="s">
        <v>51</v>
      </c>
      <c r="K1786" s="28" t="s">
        <v>51</v>
      </c>
      <c r="L1786" s="28" t="s">
        <v>51</v>
      </c>
      <c r="M1786" s="28" t="s">
        <v>51</v>
      </c>
      <c r="N1786" s="28" t="s">
        <v>51</v>
      </c>
    </row>
    <row r="1787" spans="1:14" x14ac:dyDescent="0.15">
      <c r="A1787" s="23" t="str">
        <f>HYPERLINK("https://www.spark-marketing.ru/Card/Person/85803", "МБДОУ ""ДЕТСКИЙ САД № 93 КОМБИНИРОВАННОГО ВИДА""")</f>
        <v>МБДОУ "ДЕТСКИЙ САД № 93 КОМБИНИРОВАННОГО ВИДА"</v>
      </c>
      <c r="B1787" s="24" t="s">
        <v>3468</v>
      </c>
      <c r="C1787" s="25">
        <v>14390084</v>
      </c>
      <c r="D1787" s="22" t="s">
        <v>3469</v>
      </c>
      <c r="E1787" s="22" t="s">
        <v>48</v>
      </c>
      <c r="F1787" s="23" t="str">
        <f>HYPERLINK("https://www.spark-marketing.ru/Card/Lot/73926864",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</v>
      </c>
      <c r="G1787" s="22" t="s">
        <v>49</v>
      </c>
      <c r="H1787" s="22" t="s">
        <v>2508</v>
      </c>
      <c r="I1787" s="26">
        <v>43733.515856481499</v>
      </c>
      <c r="J1787" s="28" t="s">
        <v>51</v>
      </c>
      <c r="K1787" s="28" t="s">
        <v>51</v>
      </c>
      <c r="L1787" s="28" t="s">
        <v>51</v>
      </c>
      <c r="M1787" s="28" t="s">
        <v>51</v>
      </c>
      <c r="N1787" s="28" t="s">
        <v>51</v>
      </c>
    </row>
    <row r="1788" spans="1:14" x14ac:dyDescent="0.15">
      <c r="A1788" s="23" t="str">
        <f>HYPERLINK("https://www.spark-marketing.ru/Card/Person/13178", "ГБУЗ ПК ""КПБ №8""")</f>
        <v>ГБУЗ ПК "КПБ №8"</v>
      </c>
      <c r="B1788" s="24" t="s">
        <v>3470</v>
      </c>
      <c r="C1788" s="25">
        <v>1627311</v>
      </c>
      <c r="D1788" s="22" t="s">
        <v>3471</v>
      </c>
      <c r="E1788" s="22" t="s">
        <v>96</v>
      </c>
      <c r="F1788" s="23" t="str">
        <f>HYPERLINK("https://www.spark-marketing.ru/Card/Lot/73930817", "оказание услуг по организации лечебного питания для пациентов ГБУЗ ПК ""КПБ №8""")</f>
        <v>оказание услуг по организации лечебного питания для пациентов ГБУЗ ПК "КПБ №8"</v>
      </c>
      <c r="G1788" s="22" t="s">
        <v>153</v>
      </c>
      <c r="H1788" s="22" t="s">
        <v>153</v>
      </c>
      <c r="I1788" s="26">
        <v>43733.516516203701</v>
      </c>
      <c r="J1788" s="28" t="s">
        <v>51</v>
      </c>
      <c r="K1788" s="28" t="s">
        <v>51</v>
      </c>
      <c r="L1788" s="28" t="s">
        <v>51</v>
      </c>
      <c r="M1788" s="28" t="s">
        <v>51</v>
      </c>
      <c r="N1788" s="28" t="s">
        <v>51</v>
      </c>
    </row>
    <row r="1789" spans="1:14" x14ac:dyDescent="0.15">
      <c r="A1789" s="23" t="str">
        <f>HYPERLINK("https://www.spark-marketing.ru/Card/Person/93299", "УФНС РОССИИ ПО КУРСКОЙ ОБЛАСТИ")</f>
        <v>УФНС РОССИИ ПО КУРСКОЙ ОБЛАСТИ</v>
      </c>
      <c r="B1789" s="24" t="s">
        <v>3472</v>
      </c>
      <c r="C1789" s="25">
        <v>150000</v>
      </c>
      <c r="D1789" s="22" t="s">
        <v>3473</v>
      </c>
      <c r="E1789" s="22" t="s">
        <v>91</v>
      </c>
      <c r="F1789" s="23" t="str">
        <f>HYPERLINK("https://www.spark-marketing.ru/Card/Lot/73891462", "Оказание услуг по техническому обслуживанию и ремонту источников бесперебойного питания для нужд Управления ФНС России по Курской области")</f>
        <v>Оказание услуг по техническому обслуживанию и ремонту источников бесперебойного питания для нужд Управления ФНС России по Курской области</v>
      </c>
      <c r="G1789" s="22" t="s">
        <v>1111</v>
      </c>
      <c r="H1789" s="22" t="s">
        <v>1112</v>
      </c>
      <c r="I1789" s="26">
        <v>43733.505555555603</v>
      </c>
      <c r="J1789" s="28" t="s">
        <v>51</v>
      </c>
      <c r="K1789" s="28" t="s">
        <v>51</v>
      </c>
      <c r="L1789" s="28" t="s">
        <v>51</v>
      </c>
      <c r="M1789" s="28" t="s">
        <v>51</v>
      </c>
      <c r="N1789" s="28" t="s">
        <v>51</v>
      </c>
    </row>
    <row r="1790" spans="1:14" ht="12.75" hidden="1" outlineLevel="1" x14ac:dyDescent="0.2">
      <c r="A1790" s="23" t="str">
        <f>HYPERLINK("https://www.spark-marketing.ru/Card/Person/93299", "УФНС РОССИИ ПО КУРСКОЙ ОБЛАСТИ")</f>
        <v>УФНС РОССИИ ПО КУРСКОЙ ОБЛАСТИ</v>
      </c>
      <c r="B1790" s="24" t="s">
        <v>3472</v>
      </c>
      <c r="C1790" s="25">
        <v>150000</v>
      </c>
      <c r="D1790" s="22" t="s">
        <v>3473</v>
      </c>
      <c r="E1790" s="22" t="s">
        <v>91</v>
      </c>
      <c r="F1790" s="23" t="str">
        <f>HYPERLINK("https://www.spark-marketing.ru/Card/Lot/73891462", "Оказание услуг по техническому обслуживанию и ремонту источников бесперебойного питания для нужд Управления ФНС России по Курской области")</f>
        <v>Оказание услуг по техническому обслуживанию и ремонту источников бесперебойного питания для нужд Управления ФНС России по Курской области</v>
      </c>
      <c r="G1790" s="22" t="s">
        <v>1111</v>
      </c>
      <c r="H1790" s="22" t="s">
        <v>1112</v>
      </c>
      <c r="I1790" s="26">
        <v>43733.505555555603</v>
      </c>
      <c r="J1790" s="23" t="str">
        <f>HYPERLINK("https://www.spark-marketing.ru/Card/Person/6717650", "ООО ""АСЦ""")</f>
        <v>ООО "АСЦ"</v>
      </c>
      <c r="K1790" s="24" t="s">
        <v>3474</v>
      </c>
      <c r="L1790" s="22" t="s">
        <v>10</v>
      </c>
      <c r="M1790" s="25">
        <v>112617.84</v>
      </c>
      <c r="N1790" s="27">
        <v>0.2492144</v>
      </c>
    </row>
    <row r="1791" spans="1:14" hidden="1" outlineLevel="1" x14ac:dyDescent="0.2">
      <c r="A1791" s="23" t="str">
        <f>HYPERLINK("https://www.spark-marketing.ru/Card/Person/93299", "УФНС РОССИИ ПО КУРСКОЙ ОБЛАСТИ")</f>
        <v>УФНС РОССИИ ПО КУРСКОЙ ОБЛАСТИ</v>
      </c>
      <c r="B1791" s="24" t="s">
        <v>3472</v>
      </c>
      <c r="C1791" s="25">
        <v>150000</v>
      </c>
      <c r="D1791" s="22" t="s">
        <v>3473</v>
      </c>
      <c r="E1791" s="22" t="s">
        <v>91</v>
      </c>
      <c r="F1791" s="23" t="str">
        <f>HYPERLINK("https://www.spark-marketing.ru/Card/Lot/73891462", "Оказание услуг по техническому обслуживанию и ремонту источников бесперебойного питания для нужд Управления ФНС России по Курской области")</f>
        <v>Оказание услуг по техническому обслуживанию и ремонту источников бесперебойного питания для нужд Управления ФНС России по Курской области</v>
      </c>
      <c r="G1791" s="22" t="s">
        <v>1111</v>
      </c>
      <c r="H1791" s="22" t="s">
        <v>1112</v>
      </c>
      <c r="I1791" s="26">
        <v>43733.505555555603</v>
      </c>
      <c r="J1791" s="23" t="str">
        <f>HYPERLINK("https://www.spark-marketing.ru/Card/Person/297416", "ООО ""КБ-СЕРВИС""")</f>
        <v>ООО "КБ-СЕРВИС"</v>
      </c>
      <c r="K1791" s="24" t="s">
        <v>3475</v>
      </c>
      <c r="L1791" s="28" t="s">
        <v>51</v>
      </c>
      <c r="M1791" s="25">
        <v>113471.01</v>
      </c>
      <c r="N1791" s="27">
        <v>0.24352660000000001</v>
      </c>
    </row>
    <row r="1792" spans="1:14" x14ac:dyDescent="0.15">
      <c r="A1792" s="23" t="s">
        <v>114</v>
      </c>
      <c r="B1792" s="28" t="s">
        <v>51</v>
      </c>
      <c r="C1792" s="25">
        <v>37481819.420000002</v>
      </c>
      <c r="D1792" s="22" t="s">
        <v>3476</v>
      </c>
      <c r="E1792" s="22" t="s">
        <v>48</v>
      </c>
      <c r="F1792" s="23" t="str">
        <f t="shared" ref="F1792:F1809" si="26">HYPERLINK("https://www.spark-marketing.ru/Card/Lot/73937870", "ОКАЗАНИЕ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31.05.2020")</f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792" s="22" t="s">
        <v>51</v>
      </c>
      <c r="H1792" s="22" t="s">
        <v>51</v>
      </c>
      <c r="I1792" s="26">
        <v>43733.488946759302</v>
      </c>
      <c r="J1792" s="28" t="s">
        <v>51</v>
      </c>
      <c r="K1792" s="28" t="s">
        <v>51</v>
      </c>
      <c r="L1792" s="28" t="s">
        <v>51</v>
      </c>
      <c r="M1792" s="28" t="s">
        <v>51</v>
      </c>
      <c r="N1792" s="28" t="s">
        <v>51</v>
      </c>
    </row>
    <row r="1793" spans="1:14" hidden="1" outlineLevel="1" x14ac:dyDescent="0.15">
      <c r="A1793" s="23" t="str">
        <f>HYPERLINK("https://www.spark-marketing.ru/Card/Person/22971", "ГБОУ СОШ № 193 ЦЕНТРАЛЬНОГО РАЙОНА СПБ")</f>
        <v>ГБОУ СОШ № 193 ЦЕНТРАЛЬНОГО РАЙОНА СПБ</v>
      </c>
      <c r="B1793" s="24" t="s">
        <v>3477</v>
      </c>
      <c r="C1793" s="25">
        <v>1955807.42</v>
      </c>
      <c r="D1793" s="22" t="s">
        <v>3476</v>
      </c>
      <c r="E1793" s="22" t="s">
        <v>48</v>
      </c>
      <c r="F1793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793" s="22" t="s">
        <v>117</v>
      </c>
      <c r="H1793" s="22" t="s">
        <v>117</v>
      </c>
      <c r="I1793" s="26">
        <v>43733.488946759302</v>
      </c>
      <c r="J1793" s="28" t="s">
        <v>51</v>
      </c>
      <c r="K1793" s="28" t="s">
        <v>51</v>
      </c>
      <c r="L1793" s="28" t="s">
        <v>51</v>
      </c>
      <c r="M1793" s="28" t="s">
        <v>51</v>
      </c>
      <c r="N1793" s="28" t="s">
        <v>51</v>
      </c>
    </row>
    <row r="1794" spans="1:14" hidden="1" outlineLevel="1" x14ac:dyDescent="0.15">
      <c r="A1794" s="23" t="str">
        <f>HYPERLINK("https://www.spark-marketing.ru/Card/Person/24553", "ГБОУ СОШ №636 ЦЕНТРАЛЬНОГО РАЙОНА САНКТ-ПЕТЕРБУРГА")</f>
        <v>ГБОУ СОШ №636 ЦЕНТРАЛЬНОГО РАЙОНА САНКТ-ПЕТЕРБУРГА</v>
      </c>
      <c r="B1794" s="24" t="s">
        <v>3478</v>
      </c>
      <c r="C1794" s="25">
        <v>1627549.24</v>
      </c>
      <c r="D1794" s="22" t="s">
        <v>3476</v>
      </c>
      <c r="E1794" s="22" t="s">
        <v>48</v>
      </c>
      <c r="F1794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794" s="22" t="s">
        <v>117</v>
      </c>
      <c r="H1794" s="22" t="s">
        <v>117</v>
      </c>
      <c r="I1794" s="26">
        <v>43733.488946759302</v>
      </c>
      <c r="J1794" s="28" t="s">
        <v>51</v>
      </c>
      <c r="K1794" s="28" t="s">
        <v>51</v>
      </c>
      <c r="L1794" s="28" t="s">
        <v>51</v>
      </c>
      <c r="M1794" s="28" t="s">
        <v>51</v>
      </c>
      <c r="N1794" s="28" t="s">
        <v>51</v>
      </c>
    </row>
    <row r="1795" spans="1:14" hidden="1" outlineLevel="1" x14ac:dyDescent="0.15">
      <c r="A1795" s="23" t="str">
        <f>HYPERLINK("https://www.spark-marketing.ru/Card/Person/29793", "ГБОУ ШКОЛА № 210")</f>
        <v>ГБОУ ШКОЛА № 210</v>
      </c>
      <c r="B1795" s="24" t="s">
        <v>3479</v>
      </c>
      <c r="C1795" s="25">
        <v>1821177.83</v>
      </c>
      <c r="D1795" s="22" t="s">
        <v>3476</v>
      </c>
      <c r="E1795" s="22" t="s">
        <v>48</v>
      </c>
      <c r="F1795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795" s="22" t="s">
        <v>117</v>
      </c>
      <c r="H1795" s="22" t="s">
        <v>117</v>
      </c>
      <c r="I1795" s="26">
        <v>43733.488946759302</v>
      </c>
      <c r="J1795" s="28" t="s">
        <v>51</v>
      </c>
      <c r="K1795" s="28" t="s">
        <v>51</v>
      </c>
      <c r="L1795" s="28" t="s">
        <v>51</v>
      </c>
      <c r="M1795" s="28" t="s">
        <v>51</v>
      </c>
      <c r="N1795" s="28" t="s">
        <v>51</v>
      </c>
    </row>
    <row r="1796" spans="1:14" hidden="1" outlineLevel="1" x14ac:dyDescent="0.15">
      <c r="A1796" s="23" t="str">
        <f>HYPERLINK("https://www.spark-marketing.ru/Card/Person/52057", "ГБОУ ШКОЛА № 222 ""ПЕТРИШУЛЕ""")</f>
        <v>ГБОУ ШКОЛА № 222 "ПЕТРИШУЛЕ"</v>
      </c>
      <c r="B1796" s="24" t="s">
        <v>3480</v>
      </c>
      <c r="C1796" s="25">
        <v>2201522.9900000002</v>
      </c>
      <c r="D1796" s="22" t="s">
        <v>3476</v>
      </c>
      <c r="E1796" s="22" t="s">
        <v>48</v>
      </c>
      <c r="F1796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796" s="22" t="s">
        <v>117</v>
      </c>
      <c r="H1796" s="22" t="s">
        <v>117</v>
      </c>
      <c r="I1796" s="26">
        <v>43733.488946759302</v>
      </c>
      <c r="J1796" s="28" t="s">
        <v>51</v>
      </c>
      <c r="K1796" s="28" t="s">
        <v>51</v>
      </c>
      <c r="L1796" s="28" t="s">
        <v>51</v>
      </c>
      <c r="M1796" s="28" t="s">
        <v>51</v>
      </c>
      <c r="N1796" s="28" t="s">
        <v>51</v>
      </c>
    </row>
    <row r="1797" spans="1:14" hidden="1" outlineLevel="1" x14ac:dyDescent="0.15">
      <c r="A1797" s="23" t="str">
        <f>HYPERLINK("https://www.spark-marketing.ru/Card/Person/67723", "ГБОУ ШКОЛА № 189 ""ШАНС"" ЦЕНТРАЛЬНОГО РАЙОНА САНКТ-ПЕТЕРБУРГА")</f>
        <v>ГБОУ ШКОЛА № 189 "ШАНС" ЦЕНТРАЛЬНОГО РАЙОНА САНКТ-ПЕТЕРБУРГА</v>
      </c>
      <c r="B1797" s="24" t="s">
        <v>3481</v>
      </c>
      <c r="C1797" s="25">
        <v>1471589.51</v>
      </c>
      <c r="D1797" s="22" t="s">
        <v>3476</v>
      </c>
      <c r="E1797" s="22" t="s">
        <v>48</v>
      </c>
      <c r="F1797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797" s="22" t="s">
        <v>117</v>
      </c>
      <c r="H1797" s="22" t="s">
        <v>117</v>
      </c>
      <c r="I1797" s="26">
        <v>43733.488946759302</v>
      </c>
      <c r="J1797" s="28" t="s">
        <v>51</v>
      </c>
      <c r="K1797" s="28" t="s">
        <v>51</v>
      </c>
      <c r="L1797" s="28" t="s">
        <v>51</v>
      </c>
      <c r="M1797" s="28" t="s">
        <v>51</v>
      </c>
      <c r="N1797" s="28" t="s">
        <v>51</v>
      </c>
    </row>
    <row r="1798" spans="1:14" hidden="1" outlineLevel="1" x14ac:dyDescent="0.15">
      <c r="A1798" s="23" t="str">
        <f>HYPERLINK("https://www.spark-marketing.ru/Card/Person/86281", "ГБОУ ГИМНАЗИЯ № 190 ЦЕНТРАЛЬНОГО РАЙОНА САНКТ-ПЕТЕРБУРГА")</f>
        <v>ГБОУ ГИМНАЗИЯ № 190 ЦЕНТРАЛЬНОГО РАЙОНА САНКТ-ПЕТЕРБУРГА</v>
      </c>
      <c r="B1798" s="24" t="s">
        <v>3482</v>
      </c>
      <c r="C1798" s="25">
        <v>2210055.2799999998</v>
      </c>
      <c r="D1798" s="22" t="s">
        <v>3476</v>
      </c>
      <c r="E1798" s="22" t="s">
        <v>48</v>
      </c>
      <c r="F1798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798" s="22" t="s">
        <v>117</v>
      </c>
      <c r="H1798" s="22" t="s">
        <v>117</v>
      </c>
      <c r="I1798" s="26">
        <v>43733.488946759302</v>
      </c>
      <c r="J1798" s="28" t="s">
        <v>51</v>
      </c>
      <c r="K1798" s="28" t="s">
        <v>51</v>
      </c>
      <c r="L1798" s="28" t="s">
        <v>51</v>
      </c>
      <c r="M1798" s="28" t="s">
        <v>51</v>
      </c>
      <c r="N1798" s="28" t="s">
        <v>51</v>
      </c>
    </row>
    <row r="1799" spans="1:14" hidden="1" outlineLevel="1" x14ac:dyDescent="0.15">
      <c r="A1799" s="23" t="str">
        <f>HYPERLINK("https://www.spark-marketing.ru/Card/Person/87668", "ГБОУ ШКОЛА № 163")</f>
        <v>ГБОУ ШКОЛА № 163</v>
      </c>
      <c r="B1799" s="24" t="s">
        <v>3483</v>
      </c>
      <c r="C1799" s="25">
        <v>2671274.39</v>
      </c>
      <c r="D1799" s="22" t="s">
        <v>3476</v>
      </c>
      <c r="E1799" s="22" t="s">
        <v>48</v>
      </c>
      <c r="F1799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799" s="22" t="s">
        <v>117</v>
      </c>
      <c r="H1799" s="22" t="s">
        <v>117</v>
      </c>
      <c r="I1799" s="26">
        <v>43733.488946759302</v>
      </c>
      <c r="J1799" s="28" t="s">
        <v>51</v>
      </c>
      <c r="K1799" s="28" t="s">
        <v>51</v>
      </c>
      <c r="L1799" s="28" t="s">
        <v>51</v>
      </c>
      <c r="M1799" s="28" t="s">
        <v>51</v>
      </c>
      <c r="N1799" s="28" t="s">
        <v>51</v>
      </c>
    </row>
    <row r="1800" spans="1:14" hidden="1" outlineLevel="1" x14ac:dyDescent="0.15">
      <c r="A1800" s="23" t="str">
        <f>HYPERLINK("https://www.spark-marketing.ru/Card/Person/91495", "ГБОУ ГИМНАЗИЯ № 157 САНКТ-ПЕТЕРБУРГА")</f>
        <v>ГБОУ ГИМНАЗИЯ № 157 САНКТ-ПЕТЕРБУРГА</v>
      </c>
      <c r="B1800" s="24" t="s">
        <v>3484</v>
      </c>
      <c r="C1800" s="25">
        <v>3535559.35</v>
      </c>
      <c r="D1800" s="22" t="s">
        <v>3476</v>
      </c>
      <c r="E1800" s="22" t="s">
        <v>48</v>
      </c>
      <c r="F1800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00" s="22" t="s">
        <v>117</v>
      </c>
      <c r="H1800" s="22" t="s">
        <v>117</v>
      </c>
      <c r="I1800" s="26">
        <v>43733.488946759302</v>
      </c>
      <c r="J1800" s="28" t="s">
        <v>51</v>
      </c>
      <c r="K1800" s="28" t="s">
        <v>51</v>
      </c>
      <c r="L1800" s="28" t="s">
        <v>51</v>
      </c>
      <c r="M1800" s="28" t="s">
        <v>51</v>
      </c>
      <c r="N1800" s="28" t="s">
        <v>51</v>
      </c>
    </row>
    <row r="1801" spans="1:14" hidden="1" outlineLevel="1" x14ac:dyDescent="0.15">
      <c r="A1801" s="23" t="str">
        <f>HYPERLINK("https://www.spark-marketing.ru/Card/Person/104286", "ГБОУ СОШ № 185 С УГЛУБЛЁННЫМ ИЗУЧЕНИЕМ АНГЛИЙСКОГО ЯЗЫКА ЦЕНТРАЛЬНОГО РАЙОНА САНКТ-ПЕТЕРБУРГА")</f>
        <v>ГБОУ СОШ № 185 С УГЛУБЛЁННЫМ ИЗУЧЕНИЕМ АНГЛИЙСКОГО ЯЗЫКА ЦЕНТРАЛЬНОГО РАЙОНА САНКТ-ПЕТЕРБУРГА</v>
      </c>
      <c r="B1801" s="24" t="s">
        <v>3485</v>
      </c>
      <c r="C1801" s="25">
        <v>1910185.23</v>
      </c>
      <c r="D1801" s="22" t="s">
        <v>3476</v>
      </c>
      <c r="E1801" s="22" t="s">
        <v>48</v>
      </c>
      <c r="F1801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01" s="22" t="s">
        <v>117</v>
      </c>
      <c r="H1801" s="22" t="s">
        <v>117</v>
      </c>
      <c r="I1801" s="26">
        <v>43733.488946759302</v>
      </c>
      <c r="J1801" s="28" t="s">
        <v>51</v>
      </c>
      <c r="K1801" s="28" t="s">
        <v>51</v>
      </c>
      <c r="L1801" s="28" t="s">
        <v>51</v>
      </c>
      <c r="M1801" s="28" t="s">
        <v>51</v>
      </c>
      <c r="N1801" s="28" t="s">
        <v>51</v>
      </c>
    </row>
    <row r="1802" spans="1:14" hidden="1" outlineLevel="1" x14ac:dyDescent="0.15">
      <c r="A1802" s="23" t="str">
        <f>HYPERLINK("https://www.spark-marketing.ru/Card/Person/104738", "ГБОУ ШКОЛА № 181 ЦЕНТРАЛЬНОГО РАЙОНА СПБ")</f>
        <v>ГБОУ ШКОЛА № 181 ЦЕНТРАЛЬНОГО РАЙОНА СПБ</v>
      </c>
      <c r="B1802" s="24" t="s">
        <v>3486</v>
      </c>
      <c r="C1802" s="25">
        <v>1936368.2</v>
      </c>
      <c r="D1802" s="22" t="s">
        <v>3476</v>
      </c>
      <c r="E1802" s="22" t="s">
        <v>48</v>
      </c>
      <c r="F1802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02" s="22" t="s">
        <v>117</v>
      </c>
      <c r="H1802" s="22" t="s">
        <v>117</v>
      </c>
      <c r="I1802" s="26">
        <v>43733.488946759302</v>
      </c>
      <c r="J1802" s="28" t="s">
        <v>51</v>
      </c>
      <c r="K1802" s="28" t="s">
        <v>51</v>
      </c>
      <c r="L1802" s="28" t="s">
        <v>51</v>
      </c>
      <c r="M1802" s="28" t="s">
        <v>51</v>
      </c>
      <c r="N1802" s="28" t="s">
        <v>51</v>
      </c>
    </row>
    <row r="1803" spans="1:14" hidden="1" outlineLevel="1" x14ac:dyDescent="0.15">
      <c r="A1803" s="23" t="str">
        <f>HYPERLINK("https://www.spark-marketing.ru/Card/Person/105205", "ГБОУ НАЧАЛЬНАЯ ШКОЛА - ДЕТСКИЙ САД № 620 ЦЕНТРАЛЬНОГО РАЙОНА САНКТ-ПЕТЕРБУРГА ""РОСТОК""")</f>
        <v>ГБОУ НАЧАЛЬНАЯ ШКОЛА - ДЕТСКИЙ САД № 620 ЦЕНТРАЛЬНОГО РАЙОНА САНКТ-ПЕТЕРБУРГА "РОСТОК"</v>
      </c>
      <c r="B1803" s="24" t="s">
        <v>3487</v>
      </c>
      <c r="C1803" s="25">
        <v>1099468.8500000001</v>
      </c>
      <c r="D1803" s="22" t="s">
        <v>3476</v>
      </c>
      <c r="E1803" s="22" t="s">
        <v>48</v>
      </c>
      <c r="F1803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03" s="22" t="s">
        <v>117</v>
      </c>
      <c r="H1803" s="22" t="s">
        <v>117</v>
      </c>
      <c r="I1803" s="26">
        <v>43733.488946759302</v>
      </c>
      <c r="J1803" s="28" t="s">
        <v>51</v>
      </c>
      <c r="K1803" s="28" t="s">
        <v>51</v>
      </c>
      <c r="L1803" s="28" t="s">
        <v>51</v>
      </c>
      <c r="M1803" s="28" t="s">
        <v>51</v>
      </c>
      <c r="N1803" s="28" t="s">
        <v>51</v>
      </c>
    </row>
    <row r="1804" spans="1:14" hidden="1" outlineLevel="1" x14ac:dyDescent="0.15">
      <c r="A1804" s="23" t="str">
        <f>HYPERLINK("https://www.spark-marketing.ru/Card/Person/112905", "ГБОУ ГИМНАЗИЯ № 171 ЦЕНТРАЛЬНОГО РАЙОНА САНКТ-ПЕТЕРБУРГА")</f>
        <v>ГБОУ ГИМНАЗИЯ № 171 ЦЕНТРАЛЬНОГО РАЙОНА САНКТ-ПЕТЕРБУРГА</v>
      </c>
      <c r="B1804" s="24" t="s">
        <v>3488</v>
      </c>
      <c r="C1804" s="25">
        <v>5381322.6200000001</v>
      </c>
      <c r="D1804" s="22" t="s">
        <v>3476</v>
      </c>
      <c r="E1804" s="22" t="s">
        <v>48</v>
      </c>
      <c r="F1804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04" s="22" t="s">
        <v>117</v>
      </c>
      <c r="H1804" s="22" t="s">
        <v>117</v>
      </c>
      <c r="I1804" s="26">
        <v>43733.488946759302</v>
      </c>
      <c r="J1804" s="28" t="s">
        <v>51</v>
      </c>
      <c r="K1804" s="28" t="s">
        <v>51</v>
      </c>
      <c r="L1804" s="28" t="s">
        <v>51</v>
      </c>
      <c r="M1804" s="28" t="s">
        <v>51</v>
      </c>
      <c r="N1804" s="28" t="s">
        <v>51</v>
      </c>
    </row>
    <row r="1805" spans="1:14" hidden="1" outlineLevel="1" x14ac:dyDescent="0.15">
      <c r="A1805" s="23" t="str">
        <f>HYPERLINK("https://www.spark-marketing.ru/Card/Person/146135", "ГБОУ ГИМНАЗИЯ ПРИ ГРМ ЦЕНТРАЛЬНОГО РАЙОНА САНКТ-ПЕТЕРБУРГА")</f>
        <v>ГБОУ ГИМНАЗИЯ ПРИ ГРМ ЦЕНТРАЛЬНОГО РАЙОНА САНКТ-ПЕТЕРБУРГА</v>
      </c>
      <c r="B1805" s="24" t="s">
        <v>3489</v>
      </c>
      <c r="C1805" s="25">
        <v>2920483.21</v>
      </c>
      <c r="D1805" s="22" t="s">
        <v>3476</v>
      </c>
      <c r="E1805" s="22" t="s">
        <v>48</v>
      </c>
      <c r="F1805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05" s="22" t="s">
        <v>117</v>
      </c>
      <c r="H1805" s="22" t="s">
        <v>117</v>
      </c>
      <c r="I1805" s="26">
        <v>43733.488946759302</v>
      </c>
      <c r="J1805" s="28" t="s">
        <v>51</v>
      </c>
      <c r="K1805" s="28" t="s">
        <v>51</v>
      </c>
      <c r="L1805" s="28" t="s">
        <v>51</v>
      </c>
      <c r="M1805" s="28" t="s">
        <v>51</v>
      </c>
      <c r="N1805" s="28" t="s">
        <v>51</v>
      </c>
    </row>
    <row r="1806" spans="1:14" hidden="1" outlineLevel="1" x14ac:dyDescent="0.15">
      <c r="A1806" s="23" t="str">
        <f>HYPERLINK("https://www.spark-marketing.ru/Card/Person/152123", "ГБОУ ШКОЛА № 204 ЦЕНТРАЛЬНОГО РАЙОНА САНКТ-ПЕТЕРБУРГА")</f>
        <v>ГБОУ ШКОЛА № 204 ЦЕНТРАЛЬНОГО РАЙОНА САНКТ-ПЕТЕРБУРГА</v>
      </c>
      <c r="B1806" s="24" t="s">
        <v>3490</v>
      </c>
      <c r="C1806" s="25">
        <v>1771659.16</v>
      </c>
      <c r="D1806" s="22" t="s">
        <v>3476</v>
      </c>
      <c r="E1806" s="22" t="s">
        <v>48</v>
      </c>
      <c r="F1806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06" s="22" t="s">
        <v>117</v>
      </c>
      <c r="H1806" s="22" t="s">
        <v>117</v>
      </c>
      <c r="I1806" s="26">
        <v>43733.488946759302</v>
      </c>
      <c r="J1806" s="28" t="s">
        <v>51</v>
      </c>
      <c r="K1806" s="28" t="s">
        <v>51</v>
      </c>
      <c r="L1806" s="28" t="s">
        <v>51</v>
      </c>
      <c r="M1806" s="28" t="s">
        <v>51</v>
      </c>
      <c r="N1806" s="28" t="s">
        <v>51</v>
      </c>
    </row>
    <row r="1807" spans="1:14" hidden="1" outlineLevel="1" x14ac:dyDescent="0.15">
      <c r="A1807" s="23" t="str">
        <f>HYPERLINK("https://www.spark-marketing.ru/Card/Person/241159", "ГБОУ СОШ № 183 ЦЕНТРАЛЬНОГО РАЙОНА САНКТ-ПЕТЕРБУРГА")</f>
        <v>ГБОУ СОШ № 183 ЦЕНТРАЛЬНОГО РАЙОНА САНКТ-ПЕТЕРБУРГА</v>
      </c>
      <c r="B1807" s="24" t="s">
        <v>3491</v>
      </c>
      <c r="C1807" s="25">
        <v>2186325.46</v>
      </c>
      <c r="D1807" s="22" t="s">
        <v>3476</v>
      </c>
      <c r="E1807" s="22" t="s">
        <v>48</v>
      </c>
      <c r="F1807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07" s="22" t="s">
        <v>117</v>
      </c>
      <c r="H1807" s="22" t="s">
        <v>117</v>
      </c>
      <c r="I1807" s="26">
        <v>43733.488946759302</v>
      </c>
      <c r="J1807" s="28" t="s">
        <v>51</v>
      </c>
      <c r="K1807" s="28" t="s">
        <v>51</v>
      </c>
      <c r="L1807" s="28" t="s">
        <v>51</v>
      </c>
      <c r="M1807" s="28" t="s">
        <v>51</v>
      </c>
      <c r="N1807" s="28" t="s">
        <v>51</v>
      </c>
    </row>
    <row r="1808" spans="1:14" hidden="1" outlineLevel="1" x14ac:dyDescent="0.15">
      <c r="A1808" s="23" t="str">
        <f>HYPERLINK("https://www.spark-marketing.ru/Card/Person/242556", "ГБОУ ШКОЛА ""ТУТТИ""")</f>
        <v>ГБОУ ШКОЛА "ТУТТИ"</v>
      </c>
      <c r="B1808" s="24" t="s">
        <v>3492</v>
      </c>
      <c r="C1808" s="25">
        <v>772527.51</v>
      </c>
      <c r="D1808" s="22" t="s">
        <v>3476</v>
      </c>
      <c r="E1808" s="22" t="s">
        <v>48</v>
      </c>
      <c r="F1808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08" s="22" t="s">
        <v>117</v>
      </c>
      <c r="H1808" s="22" t="s">
        <v>117</v>
      </c>
      <c r="I1808" s="26">
        <v>43733.488946759302</v>
      </c>
      <c r="J1808" s="28" t="s">
        <v>51</v>
      </c>
      <c r="K1808" s="28" t="s">
        <v>51</v>
      </c>
      <c r="L1808" s="28" t="s">
        <v>51</v>
      </c>
      <c r="M1808" s="28" t="s">
        <v>51</v>
      </c>
      <c r="N1808" s="28" t="s">
        <v>51</v>
      </c>
    </row>
    <row r="1809" spans="1:14" hidden="1" outlineLevel="1" x14ac:dyDescent="0.15">
      <c r="A1809" s="23" t="str">
        <f>HYPERLINK("https://www.spark-marketing.ru/Card/Person/4349741", "ГБОУ ШКОЛА № 197 ЦЕНТРАЛЬНОГО РАЙОНА САНКТ-ПЕТЕРБУРГА")</f>
        <v>ГБОУ ШКОЛА № 197 ЦЕНТРАЛЬНОГО РАЙОНА САНКТ-ПЕТЕРБУРГА</v>
      </c>
      <c r="B1809" s="24" t="s">
        <v>3493</v>
      </c>
      <c r="C1809" s="25">
        <v>2008943.17</v>
      </c>
      <c r="D1809" s="22" t="s">
        <v>3476</v>
      </c>
      <c r="E1809" s="22" t="s">
        <v>48</v>
      </c>
      <c r="F1809" s="23" t="str">
        <f t="shared" si="26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09" s="22" t="s">
        <v>117</v>
      </c>
      <c r="H1809" s="22" t="s">
        <v>117</v>
      </c>
      <c r="I1809" s="26">
        <v>43733.488946759302</v>
      </c>
      <c r="J1809" s="28" t="s">
        <v>51</v>
      </c>
      <c r="K1809" s="28" t="s">
        <v>51</v>
      </c>
      <c r="L1809" s="28" t="s">
        <v>51</v>
      </c>
      <c r="M1809" s="28" t="s">
        <v>51</v>
      </c>
      <c r="N1809" s="28" t="s">
        <v>51</v>
      </c>
    </row>
    <row r="1810" spans="1:14" x14ac:dyDescent="0.15">
      <c r="A1810" s="23" t="str">
        <f>HYPERLINK("https://www.spark-marketing.ru/Card/Person/2631", "ДТСЗН ГОРОДА МОСКВЫ")</f>
        <v>ДТСЗН ГОРОДА МОСКВЫ</v>
      </c>
      <c r="B1810" s="24" t="s">
        <v>3494</v>
      </c>
      <c r="C1810" s="25">
        <v>500000</v>
      </c>
      <c r="D1810" s="22" t="s">
        <v>3495</v>
      </c>
      <c r="E1810" s="22" t="s">
        <v>55</v>
      </c>
      <c r="F1810" s="23" t="str">
        <f>HYPERLINK("https://www.spark-marketing.ru/Card/Lot/73895691", "Оказание услуг по проведению обучающего семинара для московских специалистов, работающих в области формирования безбарьерной среды жизнедеятельности для инвалидов «Оптимизация параметров объемно-планировочных решений и визуально-тактильной среды, при...")</f>
        <v>Оказание услуг по проведению обучающего семинара для московских специалистов, работающих в области формирования безбарьерной среды жизнедеятельности для инвалидов «Оптимизация параметров объемно-планировочных решений и визуально-тактильной среды, при...</v>
      </c>
      <c r="G1810" s="22" t="s">
        <v>56</v>
      </c>
      <c r="H1810" s="22" t="s">
        <v>56</v>
      </c>
      <c r="I1810" s="26">
        <v>43733.429166666698</v>
      </c>
      <c r="J1810" s="28" t="s">
        <v>51</v>
      </c>
      <c r="K1810" s="28" t="s">
        <v>51</v>
      </c>
      <c r="L1810" s="28" t="s">
        <v>51</v>
      </c>
      <c r="M1810" s="28" t="s">
        <v>51</v>
      </c>
      <c r="N1810" s="28" t="s">
        <v>51</v>
      </c>
    </row>
    <row r="1811" spans="1:14" ht="12.75" hidden="1" outlineLevel="1" x14ac:dyDescent="0.2">
      <c r="A1811" s="23" t="str">
        <f>HYPERLINK("https://www.spark-marketing.ru/Card/Person/2631", "ДТСЗН ГОРОДА МОСКВЫ")</f>
        <v>ДТСЗН ГОРОДА МОСКВЫ</v>
      </c>
      <c r="B1811" s="24" t="s">
        <v>3494</v>
      </c>
      <c r="C1811" s="25">
        <v>500000</v>
      </c>
      <c r="D1811" s="22" t="s">
        <v>3495</v>
      </c>
      <c r="E1811" s="22" t="s">
        <v>55</v>
      </c>
      <c r="F1811" s="23" t="str">
        <f>HYPERLINK("https://www.spark-marketing.ru/Card/Lot/73895691", "Оказание услуг по проведению обучающего семинара для московских специалистов, работающих в области формирования безбарьерной среды жизнедеятельности для инвалидов «Оптимизация параметров объемно-планировочных решений и визуально-тактильной среды, при...")</f>
        <v>Оказание услуг по проведению обучающего семинара для московских специалистов, работающих в области формирования безбарьерной среды жизнедеятельности для инвалидов «Оптимизация параметров объемно-планировочных решений и визуально-тактильной среды, при...</v>
      </c>
      <c r="G1811" s="22" t="s">
        <v>56</v>
      </c>
      <c r="H1811" s="22" t="s">
        <v>56</v>
      </c>
      <c r="I1811" s="26">
        <v>43733.429166666698</v>
      </c>
      <c r="J1811" s="23" t="str">
        <f>HYPERLINK("https://www.spark-marketing.ru/Card/Person/1815863", "ООО ""ББЙ КОНСАЛТ""")</f>
        <v>ООО "ББЙ КОНСАЛТ"</v>
      </c>
      <c r="K1811" s="24" t="s">
        <v>3496</v>
      </c>
      <c r="L1811" s="22" t="s">
        <v>10</v>
      </c>
      <c r="M1811" s="25">
        <v>450000</v>
      </c>
      <c r="N1811" s="27">
        <v>0.1</v>
      </c>
    </row>
    <row r="1812" spans="1:14" hidden="1" outlineLevel="1" x14ac:dyDescent="0.2">
      <c r="A1812" s="23" t="str">
        <f>HYPERLINK("https://www.spark-marketing.ru/Card/Person/2631", "ДТСЗН ГОРОДА МОСКВЫ")</f>
        <v>ДТСЗН ГОРОДА МОСКВЫ</v>
      </c>
      <c r="B1812" s="24" t="s">
        <v>3494</v>
      </c>
      <c r="C1812" s="25">
        <v>500000</v>
      </c>
      <c r="D1812" s="22" t="s">
        <v>3495</v>
      </c>
      <c r="E1812" s="22" t="s">
        <v>55</v>
      </c>
      <c r="F1812" s="23" t="str">
        <f>HYPERLINK("https://www.spark-marketing.ru/Card/Lot/73895691", "Оказание услуг по проведению обучающего семинара для московских специалистов, работающих в области формирования безбарьерной среды жизнедеятельности для инвалидов «Оптимизация параметров объемно-планировочных решений и визуально-тактильной среды, при...")</f>
        <v>Оказание услуг по проведению обучающего семинара для московских специалистов, работающих в области формирования безбарьерной среды жизнедеятельности для инвалидов «Оптимизация параметров объемно-планировочных решений и визуально-тактильной среды, при...</v>
      </c>
      <c r="G1812" s="22" t="s">
        <v>56</v>
      </c>
      <c r="H1812" s="22" t="s">
        <v>56</v>
      </c>
      <c r="I1812" s="26">
        <v>43733.429166666698</v>
      </c>
      <c r="J1812" s="23" t="str">
        <f>HYPERLINK("https://www.spark-marketing.ru/Card/Person/46005", "ООО ""РЕВАЙВЛ-ЭКСПРЕСС""")</f>
        <v>ООО "РЕВАЙВЛ-ЭКСПРЕСС"</v>
      </c>
      <c r="K1812" s="24" t="s">
        <v>3497</v>
      </c>
      <c r="L1812" s="28" t="s">
        <v>51</v>
      </c>
      <c r="M1812" s="25">
        <v>490000</v>
      </c>
      <c r="N1812" s="27">
        <v>0.02</v>
      </c>
    </row>
    <row r="1813" spans="1:14" x14ac:dyDescent="0.15">
      <c r="A1813" s="23" t="str">
        <f>HYPERLINK("https://www.spark-marketing.ru/Card/Person/71520", "КГБУЗ ""КГДП № 2""")</f>
        <v>КГБУЗ "КГДП № 2"</v>
      </c>
      <c r="B1813" s="24" t="s">
        <v>3498</v>
      </c>
      <c r="C1813" s="25">
        <v>430936.8</v>
      </c>
      <c r="D1813" s="22" t="s">
        <v>3499</v>
      </c>
      <c r="E1813" s="22" t="s">
        <v>152</v>
      </c>
      <c r="F1813" s="23" t="str">
        <f>HYPERLINK("https://www.spark-marketing.ru/Card/Lot/73895311", "Оказание услуг по техническому обслуживанию и ремонту систем видеонаблюдения")</f>
        <v>Оказание услуг по техническому обслуживанию и ремонту систем видеонаблюдения</v>
      </c>
      <c r="G1813" s="22" t="s">
        <v>281</v>
      </c>
      <c r="H1813" s="22" t="s">
        <v>1036</v>
      </c>
      <c r="I1813" s="26">
        <v>43733.420138888898</v>
      </c>
      <c r="J1813" s="28" t="s">
        <v>51</v>
      </c>
      <c r="K1813" s="28" t="s">
        <v>51</v>
      </c>
      <c r="L1813" s="28" t="s">
        <v>51</v>
      </c>
      <c r="M1813" s="28" t="s">
        <v>51</v>
      </c>
      <c r="N1813" s="28" t="s">
        <v>51</v>
      </c>
    </row>
    <row r="1814" spans="1:14" ht="12.75" hidden="1" outlineLevel="1" x14ac:dyDescent="0.2">
      <c r="A1814" s="23" t="str">
        <f>HYPERLINK("https://www.spark-marketing.ru/Card/Person/71520", "КГБУЗ ""КГДП № 2""")</f>
        <v>КГБУЗ "КГДП № 2"</v>
      </c>
      <c r="B1814" s="24" t="s">
        <v>3498</v>
      </c>
      <c r="C1814" s="25">
        <v>430936.8</v>
      </c>
      <c r="D1814" s="22" t="s">
        <v>3499</v>
      </c>
      <c r="E1814" s="22" t="s">
        <v>152</v>
      </c>
      <c r="F1814" s="23" t="str">
        <f>HYPERLINK("https://www.spark-marketing.ru/Card/Lot/73895311", "Оказание услуг по техническому обслуживанию и ремонту систем видеонаблюдения")</f>
        <v>Оказание услуг по техническому обслуживанию и ремонту систем видеонаблюдения</v>
      </c>
      <c r="G1814" s="22" t="s">
        <v>281</v>
      </c>
      <c r="H1814" s="22" t="s">
        <v>1036</v>
      </c>
      <c r="I1814" s="26">
        <v>43733.420138888898</v>
      </c>
      <c r="J1814" s="23" t="str">
        <f>HYPERLINK("https://www.spark-marketing.ru/Card/Person/6510416", "ООО ""ТЕХСТАНДАРТ""")</f>
        <v>ООО "ТЕХСТАНДАРТ"</v>
      </c>
      <c r="K1814" s="24" t="s">
        <v>3500</v>
      </c>
      <c r="L1814" s="22" t="s">
        <v>10</v>
      </c>
      <c r="M1814" s="25">
        <v>175690.62</v>
      </c>
      <c r="N1814" s="27">
        <v>0.5923053682117656</v>
      </c>
    </row>
    <row r="1815" spans="1:14" hidden="1" outlineLevel="1" x14ac:dyDescent="0.2">
      <c r="A1815" s="23" t="str">
        <f>HYPERLINK("https://www.spark-marketing.ru/Card/Person/71520", "КГБУЗ ""КГДП № 2""")</f>
        <v>КГБУЗ "КГДП № 2"</v>
      </c>
      <c r="B1815" s="24" t="s">
        <v>3498</v>
      </c>
      <c r="C1815" s="25">
        <v>430936.8</v>
      </c>
      <c r="D1815" s="22" t="s">
        <v>3499</v>
      </c>
      <c r="E1815" s="22" t="s">
        <v>152</v>
      </c>
      <c r="F1815" s="23" t="str">
        <f>HYPERLINK("https://www.spark-marketing.ru/Card/Lot/73895311", "Оказание услуг по техническому обслуживанию и ремонту систем видеонаблюдения")</f>
        <v>Оказание услуг по техническому обслуживанию и ремонту систем видеонаблюдения</v>
      </c>
      <c r="G1815" s="22" t="s">
        <v>281</v>
      </c>
      <c r="H1815" s="22" t="s">
        <v>1036</v>
      </c>
      <c r="I1815" s="26">
        <v>43733.420138888898</v>
      </c>
      <c r="J1815" s="23" t="str">
        <f>HYPERLINK("https://www.spark-marketing.ru/Card/Person/4790455", "ООО ""ГЕНИУС СИБИРЬ""")</f>
        <v>ООО "ГЕНИУС СИБИРЬ"</v>
      </c>
      <c r="K1815" s="24" t="s">
        <v>3501</v>
      </c>
      <c r="L1815" s="28" t="s">
        <v>51</v>
      </c>
      <c r="M1815" s="25">
        <v>394307.13</v>
      </c>
      <c r="N1815" s="27">
        <v>8.5000097462087254E-2</v>
      </c>
    </row>
    <row r="1816" spans="1:14" hidden="1" outlineLevel="1" x14ac:dyDescent="0.2">
      <c r="A1816" s="23" t="str">
        <f>HYPERLINK("https://www.spark-marketing.ru/Card/Person/71520", "КГБУЗ ""КГДП № 2""")</f>
        <v>КГБУЗ "КГДП № 2"</v>
      </c>
      <c r="B1816" s="24" t="s">
        <v>3498</v>
      </c>
      <c r="C1816" s="25">
        <v>430936.8</v>
      </c>
      <c r="D1816" s="22" t="s">
        <v>3499</v>
      </c>
      <c r="E1816" s="22" t="s">
        <v>152</v>
      </c>
      <c r="F1816" s="23" t="str">
        <f>HYPERLINK("https://www.spark-marketing.ru/Card/Lot/73895311", "Оказание услуг по техническому обслуживанию и ремонту систем видеонаблюдения")</f>
        <v>Оказание услуг по техническому обслуживанию и ремонту систем видеонаблюдения</v>
      </c>
      <c r="G1816" s="22" t="s">
        <v>281</v>
      </c>
      <c r="H1816" s="22" t="s">
        <v>1036</v>
      </c>
      <c r="I1816" s="26">
        <v>43733.420138888898</v>
      </c>
      <c r="J1816" s="23" t="str">
        <f>HYPERLINK("https://www.spark-marketing.ru/Card/Person/451311", "Сорокин Василий Иванович")</f>
        <v>Сорокин Василий Иванович</v>
      </c>
      <c r="K1816" s="24" t="s">
        <v>3502</v>
      </c>
      <c r="L1816" s="28" t="s">
        <v>51</v>
      </c>
      <c r="M1816" s="25">
        <v>177845.31</v>
      </c>
      <c r="N1816" s="27">
        <v>0.5873053542886103</v>
      </c>
    </row>
    <row r="1817" spans="1:14" hidden="1" outlineLevel="1" x14ac:dyDescent="0.2">
      <c r="A1817" s="23" t="str">
        <f>HYPERLINK("https://www.spark-marketing.ru/Card/Person/71520", "КГБУЗ ""КГДП № 2""")</f>
        <v>КГБУЗ "КГДП № 2"</v>
      </c>
      <c r="B1817" s="24" t="s">
        <v>3498</v>
      </c>
      <c r="C1817" s="25">
        <v>430936.8</v>
      </c>
      <c r="D1817" s="22" t="s">
        <v>3499</v>
      </c>
      <c r="E1817" s="22" t="s">
        <v>152</v>
      </c>
      <c r="F1817" s="23" t="str">
        <f>HYPERLINK("https://www.spark-marketing.ru/Card/Lot/73895311", "Оказание услуг по техническому обслуживанию и ремонту систем видеонаблюдения")</f>
        <v>Оказание услуг по техническому обслуживанию и ремонту систем видеонаблюдения</v>
      </c>
      <c r="G1817" s="22" t="s">
        <v>281</v>
      </c>
      <c r="H1817" s="22" t="s">
        <v>1036</v>
      </c>
      <c r="I1817" s="26">
        <v>43733.420138888898</v>
      </c>
      <c r="J1817" s="23" t="str">
        <f>HYPERLINK("https://www.spark-marketing.ru/Card/Person/80279", "ООО ""БРАНД-СЕРВИС""")</f>
        <v>ООО "БРАНД-СЕРВИС"</v>
      </c>
      <c r="K1817" s="24" t="s">
        <v>3503</v>
      </c>
      <c r="L1817" s="28" t="s">
        <v>51</v>
      </c>
      <c r="M1817" s="25">
        <v>394307</v>
      </c>
      <c r="N1817" s="27">
        <v>8.5000399130452542E-2</v>
      </c>
    </row>
    <row r="1818" spans="1:14" x14ac:dyDescent="0.15">
      <c r="A1818" s="23" t="str">
        <f>HYPERLINK("https://www.spark-marketing.ru/Card/Person/80341", "МУ МВД РОССИИ ""СЫЗРАНСКОЕ""")</f>
        <v>МУ МВД РОССИИ "СЫЗРАНСКОЕ"</v>
      </c>
      <c r="B1818" s="24" t="s">
        <v>306</v>
      </c>
      <c r="C1818" s="25">
        <v>148800.37</v>
      </c>
      <c r="D1818" s="22" t="s">
        <v>3504</v>
      </c>
      <c r="E1818" s="22" t="s">
        <v>48</v>
      </c>
      <c r="F1818" s="23" t="str">
        <f>HYPERLINK("https://www.spark-marketing.ru/Card/Lot/73891078", "Оказание услуг по изготовлению и поставке горячего питания для лиц, содержащихся в Специальном приемнике МУ МВД России ""Сызранское""")</f>
        <v>Оказание услуг по изготовлению и поставке горячего питания для лиц, содержащихся в Специальном приемнике МУ МВД России "Сызранское"</v>
      </c>
      <c r="G1818" s="22" t="s">
        <v>128</v>
      </c>
      <c r="H1818" s="22" t="s">
        <v>308</v>
      </c>
      <c r="I1818" s="26">
        <v>43733.443055555603</v>
      </c>
      <c r="J1818" s="28" t="s">
        <v>51</v>
      </c>
      <c r="K1818" s="28" t="s">
        <v>51</v>
      </c>
      <c r="L1818" s="28" t="s">
        <v>51</v>
      </c>
      <c r="M1818" s="28" t="s">
        <v>51</v>
      </c>
      <c r="N1818" s="28" t="s">
        <v>51</v>
      </c>
    </row>
    <row r="1819" spans="1:14" x14ac:dyDescent="0.15">
      <c r="A1819" s="23" t="str">
        <f>HYPERLINK("https://www.spark-marketing.ru/Card/Person/105620", "МБДОУ ""ДЕТСКИЙ САД № 38""")</f>
        <v>МБДОУ "ДЕТСКИЙ САД № 38"</v>
      </c>
      <c r="B1819" s="24" t="s">
        <v>3505</v>
      </c>
      <c r="C1819" s="25">
        <v>23591964</v>
      </c>
      <c r="D1819" s="22" t="s">
        <v>3506</v>
      </c>
      <c r="E1819" s="22" t="s">
        <v>48</v>
      </c>
      <c r="F1819" s="23" t="str">
        <f>HYPERLINK("https://www.spark-marketing.ru/Card/Lot/73926731",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1819" s="22" t="s">
        <v>49</v>
      </c>
      <c r="H1819" s="22" t="s">
        <v>2508</v>
      </c>
      <c r="I1819" s="26">
        <v>43733.444988425901</v>
      </c>
      <c r="J1819" s="28" t="s">
        <v>51</v>
      </c>
      <c r="K1819" s="28" t="s">
        <v>51</v>
      </c>
      <c r="L1819" s="28" t="s">
        <v>51</v>
      </c>
      <c r="M1819" s="28" t="s">
        <v>51</v>
      </c>
      <c r="N1819" s="28" t="s">
        <v>51</v>
      </c>
    </row>
    <row r="1820" spans="1:14" x14ac:dyDescent="0.15">
      <c r="A1820" s="23" t="str">
        <f>HYPERLINK("https://www.spark-marketing.ru/Card/Person/65418", "УМВД РОССИИ ПО Г.КОСТРОМЕ")</f>
        <v>УМВД РОССИИ ПО Г.КОСТРОМЕ</v>
      </c>
      <c r="B1820" s="24" t="s">
        <v>3507</v>
      </c>
      <c r="C1820" s="25">
        <v>207083.2</v>
      </c>
      <c r="D1820" s="22" t="s">
        <v>3508</v>
      </c>
      <c r="E1820" s="22" t="s">
        <v>48</v>
      </c>
      <c r="F1820" s="23" t="str">
        <f>HYPERLINK("https://www.spark-marketing.ru/Card/Lot/73893546", "Оказание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...")</f>
        <v>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</v>
      </c>
      <c r="G1820" s="22" t="s">
        <v>292</v>
      </c>
      <c r="H1820" s="22" t="s">
        <v>292</v>
      </c>
      <c r="I1820" s="26">
        <v>43733.427777777797</v>
      </c>
      <c r="J1820" s="28" t="s">
        <v>51</v>
      </c>
      <c r="K1820" s="28" t="s">
        <v>51</v>
      </c>
      <c r="L1820" s="28" t="s">
        <v>51</v>
      </c>
      <c r="M1820" s="28" t="s">
        <v>51</v>
      </c>
      <c r="N1820" s="28" t="s">
        <v>51</v>
      </c>
    </row>
    <row r="1821" spans="1:14" ht="12.75" hidden="1" outlineLevel="1" x14ac:dyDescent="0.2">
      <c r="A1821" s="23" t="str">
        <f>HYPERLINK("https://www.spark-marketing.ru/Card/Person/65418", "УМВД РОССИИ ПО Г.КОСТРОМЕ")</f>
        <v>УМВД РОССИИ ПО Г.КОСТРОМЕ</v>
      </c>
      <c r="B1821" s="24" t="s">
        <v>3507</v>
      </c>
      <c r="C1821" s="25">
        <v>207083.2</v>
      </c>
      <c r="D1821" s="22" t="s">
        <v>3508</v>
      </c>
      <c r="E1821" s="22" t="s">
        <v>48</v>
      </c>
      <c r="F1821" s="23" t="str">
        <f>HYPERLINK("https://www.spark-marketing.ru/Card/Lot/73893546", "Оказание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...")</f>
        <v>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</v>
      </c>
      <c r="G1821" s="22" t="s">
        <v>292</v>
      </c>
      <c r="H1821" s="22" t="s">
        <v>292</v>
      </c>
      <c r="I1821" s="26">
        <v>43733.427777777797</v>
      </c>
      <c r="J1821" s="23" t="str">
        <f>HYPERLINK("https://www.spark-marketing.ru/Card/Person/234123", "ООО ""ЛИКА""")</f>
        <v>ООО "ЛИКА"</v>
      </c>
      <c r="K1821" s="24" t="s">
        <v>3509</v>
      </c>
      <c r="L1821" s="22" t="s">
        <v>10</v>
      </c>
      <c r="M1821" s="25">
        <v>133568.66</v>
      </c>
      <c r="N1821" s="27">
        <v>0.3550000193159078</v>
      </c>
    </row>
    <row r="1822" spans="1:14" hidden="1" outlineLevel="1" x14ac:dyDescent="0.2">
      <c r="A1822" s="23" t="str">
        <f>HYPERLINK("https://www.spark-marketing.ru/Card/Person/65418", "УМВД РОССИИ ПО Г.КОСТРОМЕ")</f>
        <v>УМВД РОССИИ ПО Г.КОСТРОМЕ</v>
      </c>
      <c r="B1822" s="24" t="s">
        <v>3507</v>
      </c>
      <c r="C1822" s="25">
        <v>207083.2</v>
      </c>
      <c r="D1822" s="22" t="s">
        <v>3508</v>
      </c>
      <c r="E1822" s="22" t="s">
        <v>48</v>
      </c>
      <c r="F1822" s="23" t="str">
        <f>HYPERLINK("https://www.spark-marketing.ru/Card/Lot/73893546", "Оказание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...")</f>
        <v>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</v>
      </c>
      <c r="G1822" s="22" t="s">
        <v>292</v>
      </c>
      <c r="H1822" s="22" t="s">
        <v>292</v>
      </c>
      <c r="I1822" s="26">
        <v>43733.427777777797</v>
      </c>
      <c r="J1822" s="23" t="str">
        <f>HYPERLINK("https://www.spark-marketing.ru/Card/Person/6682764", "ОВЕЧКИНА ЕЛЕНА ВАЛЕНТИНОВНА")</f>
        <v>ОВЕЧКИНА ЕЛЕНА ВАЛЕНТИНОВНА</v>
      </c>
      <c r="K1822" s="24" t="s">
        <v>3510</v>
      </c>
      <c r="L1822" s="28" t="s">
        <v>51</v>
      </c>
      <c r="M1822" s="25">
        <v>134604.07999999999</v>
      </c>
      <c r="N1822" s="27">
        <v>0.35</v>
      </c>
    </row>
    <row r="1823" spans="1:14" x14ac:dyDescent="0.15">
      <c r="A1823" s="23" t="str">
        <f>HYPERLINK("https://www.spark-marketing.ru/Card/Person/151161", "О МВД РОССИИ ПО ДЕРГАЧЁВСКОМУ РАЙОНУ САРАТОВСКОЙ ОБЛАСТИ")</f>
        <v>О МВД РОССИИ ПО ДЕРГАЧЁВСКОМУ РАЙОНУ САРАТОВСКОЙ ОБЛАСТИ</v>
      </c>
      <c r="B1823" s="24" t="s">
        <v>3511</v>
      </c>
      <c r="C1823" s="25">
        <v>165000</v>
      </c>
      <c r="D1823" s="22" t="s">
        <v>3512</v>
      </c>
      <c r="E1823" s="22" t="s">
        <v>48</v>
      </c>
      <c r="F1823" s="23" t="str">
        <f>HYPERLINK("https://www.spark-marketing.ru/Card/Lot/73876340", "Оказание услуг по организации питания (приготовлению и доставке) для ИВС, 825 усл. ед")</f>
        <v>Оказание услуг по организации питания (приготовлению и доставке) для ИВС, 825 усл. ед</v>
      </c>
      <c r="G1823" s="22" t="s">
        <v>351</v>
      </c>
      <c r="H1823" s="22" t="s">
        <v>3513</v>
      </c>
      <c r="I1823" s="26">
        <v>43733.441261574102</v>
      </c>
      <c r="J1823" s="28" t="s">
        <v>51</v>
      </c>
      <c r="K1823" s="28" t="s">
        <v>51</v>
      </c>
      <c r="L1823" s="28" t="s">
        <v>51</v>
      </c>
      <c r="M1823" s="28" t="s">
        <v>51</v>
      </c>
      <c r="N1823" s="28" t="s">
        <v>51</v>
      </c>
    </row>
    <row r="1824" spans="1:14" x14ac:dyDescent="0.15">
      <c r="A1824" s="23" t="str">
        <f>HYPERLINK("https://www.spark-marketing.ru/Card/Person/151161", "О МВД РОССИИ ПО ДЕРГАЧЁВСКОМУ РАЙОНУ САРАТОВСКОЙ ОБЛАСТИ")</f>
        <v>О МВД РОССИИ ПО ДЕРГАЧЁВСКОМУ РАЙОНУ САРАТОВСКОЙ ОБЛАСТИ</v>
      </c>
      <c r="B1824" s="24" t="s">
        <v>3511</v>
      </c>
      <c r="C1824" s="25">
        <v>165000</v>
      </c>
      <c r="D1824" s="22" t="s">
        <v>3514</v>
      </c>
      <c r="E1824" s="22" t="s">
        <v>48</v>
      </c>
      <c r="F1824" s="23" t="str">
        <f>HYPERLINK("https://www.spark-marketing.ru/Card/Lot/73872844", "Оказание услуг по организации питания (приготовлению и доставке) для ИВС, 825 усл. ед")</f>
        <v>Оказание услуг по организации питания (приготовлению и доставке) для ИВС, 825 усл. ед</v>
      </c>
      <c r="G1824" s="22" t="s">
        <v>351</v>
      </c>
      <c r="H1824" s="22" t="s">
        <v>3513</v>
      </c>
      <c r="I1824" s="26">
        <v>43733.443935185198</v>
      </c>
      <c r="J1824" s="28" t="s">
        <v>51</v>
      </c>
      <c r="K1824" s="28" t="s">
        <v>51</v>
      </c>
      <c r="L1824" s="28" t="s">
        <v>51</v>
      </c>
      <c r="M1824" s="28" t="s">
        <v>51</v>
      </c>
      <c r="N1824" s="28" t="s">
        <v>51</v>
      </c>
    </row>
    <row r="1825" spans="1:14" x14ac:dyDescent="0.15">
      <c r="A1825" s="23" t="str">
        <f>HYPERLINK("https://www.spark-marketing.ru/Card/Person/80341", "МУ МВД РОССИИ ""СЫЗРАНСКОЕ""")</f>
        <v>МУ МВД РОССИИ "СЫЗРАНСКОЕ"</v>
      </c>
      <c r="B1825" s="24" t="s">
        <v>306</v>
      </c>
      <c r="C1825" s="25">
        <v>146497.79999999999</v>
      </c>
      <c r="D1825" s="22" t="s">
        <v>3515</v>
      </c>
      <c r="E1825" s="22" t="s">
        <v>48</v>
      </c>
      <c r="F1825" s="23" t="str">
        <f>HYPERLINK("https://www.spark-marketing.ru/Card/Lot/73891077",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1825" s="22" t="s">
        <v>128</v>
      </c>
      <c r="H1825" s="22" t="s">
        <v>308</v>
      </c>
      <c r="I1825" s="26">
        <v>43733.449305555601</v>
      </c>
      <c r="J1825" s="28" t="s">
        <v>51</v>
      </c>
      <c r="K1825" s="28" t="s">
        <v>51</v>
      </c>
      <c r="L1825" s="28" t="s">
        <v>51</v>
      </c>
      <c r="M1825" s="28" t="s">
        <v>51</v>
      </c>
      <c r="N1825" s="28" t="s">
        <v>51</v>
      </c>
    </row>
    <row r="1826" spans="1:14" x14ac:dyDescent="0.15">
      <c r="A1826" s="23" t="str">
        <f>HYPERLINK("https://www.spark-marketing.ru/Card/Person/80341", "МУ МВД РОССИИ ""СЫЗРАНСКОЕ""")</f>
        <v>МУ МВД РОССИИ "СЫЗРАНСКОЕ"</v>
      </c>
      <c r="B1826" s="24" t="s">
        <v>306</v>
      </c>
      <c r="C1826" s="25">
        <v>148800.37</v>
      </c>
      <c r="D1826" s="22" t="s">
        <v>3516</v>
      </c>
      <c r="E1826" s="22" t="s">
        <v>48</v>
      </c>
      <c r="F1826" s="23" t="str">
        <f>HYPERLINK("https://www.spark-marketing.ru/Card/Lot/73891079", "Оказание услуг по изготовлению и поставке горячего питания для лиц, содержащихся в  СП МУ МВД России ""Сызранское""")</f>
        <v>Оказание услуг по изготовлению и поставке горячего питания для лиц, содержащихся в  СП МУ МВД России "Сызранское"</v>
      </c>
      <c r="G1826" s="22" t="s">
        <v>128</v>
      </c>
      <c r="H1826" s="22" t="s">
        <v>308</v>
      </c>
      <c r="I1826" s="26">
        <v>43733.447222222203</v>
      </c>
      <c r="J1826" s="28" t="s">
        <v>51</v>
      </c>
      <c r="K1826" s="28" t="s">
        <v>51</v>
      </c>
      <c r="L1826" s="28" t="s">
        <v>51</v>
      </c>
      <c r="M1826" s="28" t="s">
        <v>51</v>
      </c>
      <c r="N1826" s="28" t="s">
        <v>51</v>
      </c>
    </row>
    <row r="1827" spans="1:14" x14ac:dyDescent="0.15">
      <c r="A1827" s="23" t="str">
        <f>HYPERLINK("https://www.spark-marketing.ru/Card/Person/1069097", "ОТДЕЛЕНИЕ МВД РОССИИ ПО НЯЗЕПЕТРОВСКОМУ МУНИЦИПАЛЬНОМУ РАЙОНУ ЧЕЛЯБИНСКОЙ ОБЛАСТИ")</f>
        <v>ОТДЕЛЕНИЕ МВД РОССИИ ПО НЯЗЕПЕТРОВСКОМУ МУНИЦИПАЛЬНОМУ РАЙОНУ ЧЕЛЯБИНСКОЙ ОБЛАСТИ</v>
      </c>
      <c r="B1827" s="24" t="s">
        <v>1381</v>
      </c>
      <c r="C1827" s="25">
        <v>100000</v>
      </c>
      <c r="D1827" s="22" t="s">
        <v>3517</v>
      </c>
      <c r="E1827" s="22" t="s">
        <v>809</v>
      </c>
      <c r="F1827" s="23" t="str">
        <f>HYPERLINK("https://www.spark-marketing.ru/Card/Lot/73888645", "Оказание услуг по ремонту и модернизации специальной техники для нужд Отделения Министерства внутренних дел Российской Федерации по Нязепетровскому муниципальному району Челябинской области в рамках государственного оборонного заказа вне рамок госуда...")</f>
        <v>Оказание услуг по ремонту и модернизации специальной техники для нужд Отделения Министерства внутренних дел Российской Федерации по Нязепетровскому муниципальному району Челябинской области в рамках государственного оборонного заказа вне рамок госуда...</v>
      </c>
      <c r="G1827" s="22" t="s">
        <v>469</v>
      </c>
      <c r="H1827" s="22" t="s">
        <v>1383</v>
      </c>
      <c r="I1827" s="26">
        <v>43733.449305555601</v>
      </c>
      <c r="J1827" s="23" t="str">
        <f>HYPERLINK("https://www.spark-marketing.ru/Card/Person/857552", "ООО ""НПК СВЯЗЬИНФОРМСТРОЙ""")</f>
        <v>ООО "НПК СВЯЗЬИНФОРМСТРОЙ"</v>
      </c>
      <c r="K1827" s="24" t="s">
        <v>3518</v>
      </c>
      <c r="L1827" s="22" t="s">
        <v>10</v>
      </c>
      <c r="M1827" s="28" t="s">
        <v>51</v>
      </c>
      <c r="N1827" s="28" t="s">
        <v>51</v>
      </c>
    </row>
    <row r="1828" spans="1:14" x14ac:dyDescent="0.15">
      <c r="A1828" s="23" t="str">
        <f>HYPERLINK("https://www.spark-marketing.ru/Card/Person/10941", "УМВД РОССИИ ПО ОРЛОВСКОЙ ОБЛАСТИ")</f>
        <v>УМВД РОССИИ ПО ОРЛОВСКОЙ ОБЛАСТИ</v>
      </c>
      <c r="B1828" s="24" t="s">
        <v>2361</v>
      </c>
      <c r="C1828" s="25">
        <v>1995347</v>
      </c>
      <c r="D1828" s="22" t="s">
        <v>3519</v>
      </c>
      <c r="E1828" s="22" t="s">
        <v>48</v>
      </c>
      <c r="F1828" s="23" t="str">
        <f>HYPERLINK("https://www.spark-marketing.ru/Card/Lot/73930782", "Оказание услуг по обеспечению ежедневным трехразовым горячим питанием лиц, содержащихся в ИВС и КАЗ МО МВД России ""Мценский""")</f>
        <v>Оказание услуг по обеспечению ежедневным трехразовым горячим питанием лиц, содержащихся в ИВС и КАЗ МО МВД России "Мценский"</v>
      </c>
      <c r="G1828" s="22" t="s">
        <v>1066</v>
      </c>
      <c r="H1828" s="22" t="s">
        <v>1066</v>
      </c>
      <c r="I1828" s="26">
        <v>43733.375578703701</v>
      </c>
      <c r="J1828" s="28" t="s">
        <v>51</v>
      </c>
      <c r="K1828" s="28" t="s">
        <v>51</v>
      </c>
      <c r="L1828" s="28" t="s">
        <v>51</v>
      </c>
      <c r="M1828" s="28" t="s">
        <v>51</v>
      </c>
      <c r="N1828" s="28" t="s">
        <v>51</v>
      </c>
    </row>
    <row r="1829" spans="1:14" x14ac:dyDescent="0.15">
      <c r="A1829" s="23" t="str">
        <f>HYPERLINK("https://www.spark-marketing.ru/Card/Person/151161", "О МВД РОССИИ ПО ДЕРГАЧЁВСКОМУ РАЙОНУ САРАТОВСКОЙ ОБЛАСТИ")</f>
        <v>О МВД РОССИИ ПО ДЕРГАЧЁВСКОМУ РАЙОНУ САРАТОВСКОЙ ОБЛАСТИ</v>
      </c>
      <c r="B1829" s="24" t="s">
        <v>3511</v>
      </c>
      <c r="C1829" s="25">
        <v>165000</v>
      </c>
      <c r="D1829" s="22" t="s">
        <v>3520</v>
      </c>
      <c r="E1829" s="22" t="s">
        <v>48</v>
      </c>
      <c r="F1829" s="23" t="str">
        <f>HYPERLINK("https://www.spark-marketing.ru/Card/Lot/73870951", "Оказание услуг по организации питания (приготовлению и доставке) для ИВС, 825 усл. ед")</f>
        <v>Оказание услуг по организации питания (приготовлению и доставке) для ИВС, 825 усл. ед</v>
      </c>
      <c r="G1829" s="22" t="s">
        <v>351</v>
      </c>
      <c r="H1829" s="22" t="s">
        <v>3513</v>
      </c>
      <c r="I1829" s="26">
        <v>43733.390648148103</v>
      </c>
      <c r="J1829" s="28" t="s">
        <v>51</v>
      </c>
      <c r="K1829" s="28" t="s">
        <v>51</v>
      </c>
      <c r="L1829" s="28" t="s">
        <v>51</v>
      </c>
      <c r="M1829" s="28" t="s">
        <v>51</v>
      </c>
      <c r="N1829" s="28" t="s">
        <v>51</v>
      </c>
    </row>
    <row r="1830" spans="1:14" x14ac:dyDescent="0.15">
      <c r="A1830" s="23" t="str">
        <f>HYPERLINK("https://www.spark-marketing.ru/Card/Person/151161", "О МВД РОССИИ ПО ДЕРГАЧЁВСКОМУ РАЙОНУ САРАТОВСКОЙ ОБЛАСТИ")</f>
        <v>О МВД РОССИИ ПО ДЕРГАЧЁВСКОМУ РАЙОНУ САРАТОВСКОЙ ОБЛАСТИ</v>
      </c>
      <c r="B1830" s="24" t="s">
        <v>3511</v>
      </c>
      <c r="C1830" s="25">
        <v>165000</v>
      </c>
      <c r="D1830" s="22" t="s">
        <v>3521</v>
      </c>
      <c r="E1830" s="22" t="s">
        <v>48</v>
      </c>
      <c r="F1830" s="23" t="str">
        <f>HYPERLINK("https://www.spark-marketing.ru/Card/Lot/73870972", "Оказание услуг по организации питания (приготовлению и доставке) для ИВС, 825 усл. ед")</f>
        <v>Оказание услуг по организации питания (приготовлению и доставке) для ИВС, 825 усл. ед</v>
      </c>
      <c r="G1830" s="22" t="s">
        <v>351</v>
      </c>
      <c r="H1830" s="22" t="s">
        <v>3513</v>
      </c>
      <c r="I1830" s="26">
        <v>43733.393136574101</v>
      </c>
      <c r="J1830" s="28" t="s">
        <v>51</v>
      </c>
      <c r="K1830" s="28" t="s">
        <v>51</v>
      </c>
      <c r="L1830" s="28" t="s">
        <v>51</v>
      </c>
      <c r="M1830" s="28" t="s">
        <v>51</v>
      </c>
      <c r="N1830" s="28" t="s">
        <v>51</v>
      </c>
    </row>
    <row r="1831" spans="1:14" x14ac:dyDescent="0.15">
      <c r="A1831" s="23" t="str">
        <f>HYPERLINK("https://www.spark-marketing.ru/Card/Person/88601", "ОГБУЗ ""БЕЛГОРОДСКАЯ ЦРБ""")</f>
        <v>ОГБУЗ "БЕЛГОРОДСКАЯ ЦРБ"</v>
      </c>
      <c r="B1831" s="24" t="s">
        <v>3522</v>
      </c>
      <c r="C1831" s="25">
        <v>181000</v>
      </c>
      <c r="D1831" s="22" t="s">
        <v>3523</v>
      </c>
      <c r="E1831" s="22" t="s">
        <v>3524</v>
      </c>
      <c r="F1831" s="23" t="str">
        <f>HYPERLINK("https://www.spark-marketing.ru/Card/Lot/73893943", "Оказание услуг по ремонту компьютеров и периферийного оборудования с заменой запасных частей")</f>
        <v>Оказание услуг по ремонту компьютеров и периферийного оборудования с заменой запасных частей</v>
      </c>
      <c r="G1831" s="22" t="s">
        <v>696</v>
      </c>
      <c r="H1831" s="22" t="s">
        <v>3525</v>
      </c>
      <c r="I1831" s="26">
        <v>43733.397916666698</v>
      </c>
      <c r="J1831" s="28" t="s">
        <v>51</v>
      </c>
      <c r="K1831" s="28" t="s">
        <v>51</v>
      </c>
      <c r="L1831" s="28" t="s">
        <v>51</v>
      </c>
      <c r="M1831" s="28" t="s">
        <v>51</v>
      </c>
      <c r="N1831" s="28" t="s">
        <v>51</v>
      </c>
    </row>
    <row r="1832" spans="1:14" ht="12.75" hidden="1" outlineLevel="1" x14ac:dyDescent="0.2">
      <c r="A1832" s="23" t="str">
        <f>HYPERLINK("https://www.spark-marketing.ru/Card/Person/88601", "ОГБУЗ ""БЕЛГОРОДСКАЯ ЦРБ""")</f>
        <v>ОГБУЗ "БЕЛГОРОДСКАЯ ЦРБ"</v>
      </c>
      <c r="B1832" s="24" t="s">
        <v>3522</v>
      </c>
      <c r="C1832" s="25">
        <v>181000</v>
      </c>
      <c r="D1832" s="22" t="s">
        <v>3523</v>
      </c>
      <c r="E1832" s="22" t="s">
        <v>3524</v>
      </c>
      <c r="F1832" s="23" t="str">
        <f>HYPERLINK("https://www.spark-marketing.ru/Card/Lot/73893943", "Оказание услуг по ремонту компьютеров и периферийного оборудования с заменой запасных частей")</f>
        <v>Оказание услуг по ремонту компьютеров и периферийного оборудования с заменой запасных частей</v>
      </c>
      <c r="G1832" s="22" t="s">
        <v>696</v>
      </c>
      <c r="H1832" s="22" t="s">
        <v>3525</v>
      </c>
      <c r="I1832" s="26">
        <v>43733.397916666698</v>
      </c>
      <c r="J1832" s="23" t="str">
        <f>HYPERLINK("https://www.spark-marketing.ru/Card/Person/494688", "ООО ""ЭЛПО - СЕРВИС""")</f>
        <v>ООО "ЭЛПО - СЕРВИС"</v>
      </c>
      <c r="K1832" s="24" t="s">
        <v>3526</v>
      </c>
      <c r="L1832" s="22" t="s">
        <v>10</v>
      </c>
      <c r="M1832" s="25">
        <v>166386.20000000001</v>
      </c>
      <c r="N1832" s="27">
        <v>8.0739226519337015E-2</v>
      </c>
    </row>
    <row r="1833" spans="1:14" hidden="1" outlineLevel="1" x14ac:dyDescent="0.2">
      <c r="A1833" s="23" t="str">
        <f>HYPERLINK("https://www.spark-marketing.ru/Card/Person/88601", "ОГБУЗ ""БЕЛГОРОДСКАЯ ЦРБ""")</f>
        <v>ОГБУЗ "БЕЛГОРОДСКАЯ ЦРБ"</v>
      </c>
      <c r="B1833" s="24" t="s">
        <v>3522</v>
      </c>
      <c r="C1833" s="25">
        <v>181000</v>
      </c>
      <c r="D1833" s="22" t="s">
        <v>3523</v>
      </c>
      <c r="E1833" s="22" t="s">
        <v>3524</v>
      </c>
      <c r="F1833" s="23" t="str">
        <f>HYPERLINK("https://www.spark-marketing.ru/Card/Lot/73893943", "Оказание услуг по ремонту компьютеров и периферийного оборудования с заменой запасных частей")</f>
        <v>Оказание услуг по ремонту компьютеров и периферийного оборудования с заменой запасных частей</v>
      </c>
      <c r="G1833" s="22" t="s">
        <v>696</v>
      </c>
      <c r="H1833" s="22" t="s">
        <v>3525</v>
      </c>
      <c r="I1833" s="26">
        <v>43733.397916666698</v>
      </c>
      <c r="J1833" s="23" t="str">
        <f>HYPERLINK("https://www.spark-marketing.ru/Card/Person/24475", "ООО ""ТЕХНИЧЕСКИЙ ЦЕНТР ""ИНФОТЕХ-СЕРВИС""")</f>
        <v>ООО "ТЕХНИЧЕСКИЙ ЦЕНТР "ИНФОТЕХ-СЕРВИС"</v>
      </c>
      <c r="K1833" s="24" t="s">
        <v>3527</v>
      </c>
      <c r="L1833" s="28" t="s">
        <v>51</v>
      </c>
      <c r="M1833" s="25">
        <v>167230.79999999999</v>
      </c>
      <c r="N1833" s="27">
        <v>7.6072928176795576E-2</v>
      </c>
    </row>
    <row r="1834" spans="1:14" x14ac:dyDescent="0.15">
      <c r="A1834" s="23" t="str">
        <f>HYPERLINK("https://www.spark-marketing.ru/Card/Person/537701", "МО МВД РОССИИ ""ЧЕРДАКЛИНСКИЙ""")</f>
        <v>МО МВД РОССИИ "ЧЕРДАКЛИНСКИЙ"</v>
      </c>
      <c r="B1834" s="24" t="s">
        <v>3528</v>
      </c>
      <c r="C1834" s="25">
        <v>30000</v>
      </c>
      <c r="D1834" s="22" t="s">
        <v>3529</v>
      </c>
      <c r="E1834" s="22" t="s">
        <v>48</v>
      </c>
      <c r="F1834" s="23" t="str">
        <f>HYPERLINK("https://www.spark-marketing.ru/Card/Lot/73870978", "Оказание услуг по организации питания (приготовлению и доставке) для ИВС, 83 усл. ед")</f>
        <v>Оказание услуг по организации питания (приготовлению и доставке) для ИВС, 83 усл. ед</v>
      </c>
      <c r="G1834" s="22" t="s">
        <v>1918</v>
      </c>
      <c r="H1834" s="22" t="s">
        <v>3530</v>
      </c>
      <c r="I1834" s="26">
        <v>43733.394328703696</v>
      </c>
      <c r="J1834" s="28" t="s">
        <v>51</v>
      </c>
      <c r="K1834" s="28" t="s">
        <v>51</v>
      </c>
      <c r="L1834" s="28" t="s">
        <v>51</v>
      </c>
      <c r="M1834" s="28" t="s">
        <v>51</v>
      </c>
      <c r="N1834" s="28" t="s">
        <v>51</v>
      </c>
    </row>
    <row r="1835" spans="1:14" x14ac:dyDescent="0.15">
      <c r="A1835" s="23" t="str">
        <f>HYPERLINK("https://www.spark-marketing.ru/Card/Person/1223", "ФКУ ""ЦХИСО УМВД РОССИИ ПО ХАНТЫ-МАНСИЙСКОМУ АВТОНОМНОМУ ОКРУГУ - ЮГРЕ""")</f>
        <v>ФКУ "ЦХИСО УМВД РОССИИ ПО ХАНТЫ-МАНСИЙСКОМУ АВТОНОМНОМУ ОКРУГУ - ЮГРЕ"</v>
      </c>
      <c r="B1835" s="24" t="s">
        <v>3531</v>
      </c>
      <c r="C1835" s="25">
        <v>4900000</v>
      </c>
      <c r="D1835" s="22" t="s">
        <v>3532</v>
      </c>
      <c r="E1835" s="22" t="s">
        <v>48</v>
      </c>
      <c r="F1835" s="23" t="str">
        <f>HYPERLINK("https://www.spark-marketing.ru/Card/Lot/73913271", "Услуги по организации 3-х разового горячего питания слушателей, находящихся на обучении в Центре профессиональной подготовки УМВД России по Ханты-Мансийскому автономному округу - Югре")</f>
        <v>Услуги по организации 3-х разового горячего питания слушателей, находящихся на обучении в Центре профессиональной подготовки УМВД России по Ханты-Мансийскому автономному округу - Югре</v>
      </c>
      <c r="G1835" s="22" t="s">
        <v>97</v>
      </c>
      <c r="H1835" s="22" t="s">
        <v>3533</v>
      </c>
      <c r="I1835" s="26">
        <v>43733.360879629603</v>
      </c>
      <c r="J1835" s="23" t="str">
        <f>HYPERLINK("https://www.spark-marketing.ru/Card/Person/54874", "ООО ""РУССКОМПЛЕКТ ПИТ""")</f>
        <v>ООО "РУССКОМПЛЕКТ ПИТ"</v>
      </c>
      <c r="K1835" s="24" t="s">
        <v>3534</v>
      </c>
      <c r="L1835" s="28" t="s">
        <v>51</v>
      </c>
      <c r="M1835" s="28" t="s">
        <v>51</v>
      </c>
      <c r="N1835" s="28" t="s">
        <v>51</v>
      </c>
    </row>
    <row r="1836" spans="1:14" ht="12.75" hidden="1" outlineLevel="1" x14ac:dyDescent="0.2">
      <c r="A1836" s="23" t="str">
        <f>HYPERLINK("https://www.spark-marketing.ru/Card/Person/1223", "ФКУ ""ЦХИСО УМВД РОССИИ ПО ХАНТЫ-МАНСИЙСКОМУ АВТОНОМНОМУ ОКРУГУ - ЮГРЕ""")</f>
        <v>ФКУ "ЦХИСО УМВД РОССИИ ПО ХАНТЫ-МАНСИЙСКОМУ АВТОНОМНОМУ ОКРУГУ - ЮГРЕ"</v>
      </c>
      <c r="B1836" s="24" t="s">
        <v>3531</v>
      </c>
      <c r="C1836" s="25">
        <v>4900000</v>
      </c>
      <c r="D1836" s="22" t="s">
        <v>3532</v>
      </c>
      <c r="E1836" s="22" t="s">
        <v>48</v>
      </c>
      <c r="F1836" s="23" t="str">
        <f>HYPERLINK("https://www.spark-marketing.ru/Card/Lot/73913271", "Услуги по организации 3-х разового горячего питания слушателей, находящихся на обучении в Центре профессиональной подготовки УМВД России по Ханты-Мансийскому автономному округу - Югре")</f>
        <v>Услуги по организации 3-х разового горячего питания слушателей, находящихся на обучении в Центре профессиональной подготовки УМВД России по Ханты-Мансийскому автономному округу - Югре</v>
      </c>
      <c r="G1836" s="22" t="s">
        <v>97</v>
      </c>
      <c r="H1836" s="22" t="s">
        <v>3533</v>
      </c>
      <c r="I1836" s="26">
        <v>43733.360879629603</v>
      </c>
      <c r="J1836" s="23" t="str">
        <f>HYPERLINK("https://www.spark-marketing.ru/Card/Person/54874", "ООО ""РУССКОМПЛЕКТ ПИТ""")</f>
        <v>ООО "РУССКОМПЛЕКТ ПИТ"</v>
      </c>
      <c r="K1836" s="24" t="s">
        <v>3534</v>
      </c>
      <c r="L1836" s="22" t="s">
        <v>10</v>
      </c>
      <c r="M1836" s="25">
        <v>4875500</v>
      </c>
      <c r="N1836" s="27">
        <v>5.0000000000000001E-3</v>
      </c>
    </row>
    <row r="1837" spans="1:14" x14ac:dyDescent="0.15">
      <c r="A1837" s="23" t="str">
        <f>HYPERLINK("https://www.spark-marketing.ru/Card/Person/796226", "ОЦНТ")</f>
        <v>ОЦНТ</v>
      </c>
      <c r="B1837" s="24" t="s">
        <v>3535</v>
      </c>
      <c r="C1837" s="25">
        <v>176070</v>
      </c>
      <c r="D1837" s="22" t="s">
        <v>3536</v>
      </c>
      <c r="E1837" s="22" t="s">
        <v>96</v>
      </c>
      <c r="F1837" s="23" t="str">
        <f>HYPERLINK("https://www.spark-marketing.ru/Card/Lot/73876911", "Оказание услуг по организации питания - Событийный кейтеринг для участников Областной театрально-образовательной лаборатории «КОЛLABОРАЦИЯ»")</f>
        <v>Оказание услуг по организации питания - Событийный кейтеринг для участников Областной театрально-образовательной лаборатории «КОЛLABОРАЦИЯ»</v>
      </c>
      <c r="G1837" s="22" t="s">
        <v>260</v>
      </c>
      <c r="H1837" s="22" t="s">
        <v>804</v>
      </c>
      <c r="I1837" s="26">
        <v>43733.688194444403</v>
      </c>
      <c r="J1837" s="28" t="s">
        <v>51</v>
      </c>
      <c r="K1837" s="28" t="s">
        <v>51</v>
      </c>
      <c r="L1837" s="28" t="s">
        <v>51</v>
      </c>
      <c r="M1837" s="28" t="s">
        <v>51</v>
      </c>
      <c r="N1837" s="28" t="s">
        <v>51</v>
      </c>
    </row>
    <row r="1838" spans="1:14" ht="12.75" hidden="1" outlineLevel="1" x14ac:dyDescent="0.2">
      <c r="A1838" s="23" t="str">
        <f>HYPERLINK("https://www.spark-marketing.ru/Card/Person/796226", "ОЦНТ")</f>
        <v>ОЦНТ</v>
      </c>
      <c r="B1838" s="24" t="s">
        <v>3535</v>
      </c>
      <c r="C1838" s="25">
        <v>176070</v>
      </c>
      <c r="D1838" s="22" t="s">
        <v>3536</v>
      </c>
      <c r="E1838" s="22" t="s">
        <v>96</v>
      </c>
      <c r="F1838" s="23" t="str">
        <f>HYPERLINK("https://www.spark-marketing.ru/Card/Lot/73876911", "Оказание услуг по организации питания - Событийный кейтеринг для участников Областной театрально-образовательной лаборатории «КОЛLABОРАЦИЯ»")</f>
        <v>Оказание услуг по организации питания - Событийный кейтеринг для участников Областной театрально-образовательной лаборатории «КОЛLABОРАЦИЯ»</v>
      </c>
      <c r="G1838" s="22" t="s">
        <v>260</v>
      </c>
      <c r="H1838" s="22" t="s">
        <v>804</v>
      </c>
      <c r="I1838" s="26">
        <v>43733.688194444403</v>
      </c>
      <c r="J1838" s="23" t="str">
        <f>HYPERLINK("https://www.spark-marketing.ru/Card/Person/560384", "ООО ""ШКОЛЬНОЕ ПИТАНИЕ""")</f>
        <v>ООО "ШКОЛЬНОЕ ПИТАНИЕ"</v>
      </c>
      <c r="K1838" s="24" t="s">
        <v>3537</v>
      </c>
      <c r="L1838" s="22" t="s">
        <v>10</v>
      </c>
      <c r="M1838" s="25">
        <v>149659.5</v>
      </c>
      <c r="N1838" s="27">
        <v>0.15</v>
      </c>
    </row>
    <row r="1839" spans="1:14" hidden="1" outlineLevel="1" x14ac:dyDescent="0.2">
      <c r="A1839" s="23" t="str">
        <f>HYPERLINK("https://www.spark-marketing.ru/Card/Person/796226", "ОЦНТ")</f>
        <v>ОЦНТ</v>
      </c>
      <c r="B1839" s="24" t="s">
        <v>3535</v>
      </c>
      <c r="C1839" s="25">
        <v>176070</v>
      </c>
      <c r="D1839" s="22" t="s">
        <v>3536</v>
      </c>
      <c r="E1839" s="22" t="s">
        <v>96</v>
      </c>
      <c r="F1839" s="23" t="str">
        <f>HYPERLINK("https://www.spark-marketing.ru/Card/Lot/73876911", "Оказание услуг по организации питания - Событийный кейтеринг для участников Областной театрально-образовательной лаборатории «КОЛLABОРАЦИЯ»")</f>
        <v>Оказание услуг по организации питания - Событийный кейтеринг для участников Областной театрально-образовательной лаборатории «КОЛLABОРАЦИЯ»</v>
      </c>
      <c r="G1839" s="22" t="s">
        <v>260</v>
      </c>
      <c r="H1839" s="22" t="s">
        <v>804</v>
      </c>
      <c r="I1839" s="26">
        <v>43733.688194444403</v>
      </c>
      <c r="J1839" s="23" t="str">
        <f>HYPERLINK("https://www.spark-marketing.ru/Card/Person/114046", "Ко Радмила Гвансуновна")</f>
        <v>Ко Радмила Гвансуновна</v>
      </c>
      <c r="K1839" s="24" t="s">
        <v>3538</v>
      </c>
      <c r="L1839" s="28" t="s">
        <v>51</v>
      </c>
      <c r="M1839" s="25">
        <v>155400</v>
      </c>
      <c r="N1839" s="27">
        <v>0.11739649003237349</v>
      </c>
    </row>
    <row r="1840" spans="1:14" hidden="1" outlineLevel="1" x14ac:dyDescent="0.2">
      <c r="A1840" s="23" t="str">
        <f>HYPERLINK("https://www.spark-marketing.ru/Card/Person/796226", "ОЦНТ")</f>
        <v>ОЦНТ</v>
      </c>
      <c r="B1840" s="24" t="s">
        <v>3535</v>
      </c>
      <c r="C1840" s="25">
        <v>176070</v>
      </c>
      <c r="D1840" s="22" t="s">
        <v>3536</v>
      </c>
      <c r="E1840" s="22" t="s">
        <v>96</v>
      </c>
      <c r="F1840" s="23" t="str">
        <f>HYPERLINK("https://www.spark-marketing.ru/Card/Lot/73876911", "Оказание услуг по организации питания - Событийный кейтеринг для участников Областной театрально-образовательной лаборатории «КОЛLABОРАЦИЯ»")</f>
        <v>Оказание услуг по организации питания - Событийный кейтеринг для участников Областной театрально-образовательной лаборатории «КОЛLABОРАЦИЯ»</v>
      </c>
      <c r="G1840" s="22" t="s">
        <v>260</v>
      </c>
      <c r="H1840" s="22" t="s">
        <v>804</v>
      </c>
      <c r="I1840" s="26">
        <v>43733.688194444403</v>
      </c>
      <c r="J1840" s="23" t="str">
        <f>HYPERLINK("https://www.spark-marketing.ru/Card/Person/797550", "Герасимов Виктор Юрьевич")</f>
        <v>Герасимов Виктор Юрьевич</v>
      </c>
      <c r="K1840" s="24" t="s">
        <v>3539</v>
      </c>
      <c r="L1840" s="28" t="s">
        <v>51</v>
      </c>
      <c r="M1840" s="25">
        <v>159600</v>
      </c>
      <c r="N1840" s="27">
        <v>9.3542341114329533E-2</v>
      </c>
    </row>
    <row r="1841" spans="1:14" x14ac:dyDescent="0.15">
      <c r="A1841" s="23" t="str">
        <f>HYPERLINK("https://www.spark-marketing.ru/Card/Person/133569", "МО МВД РОССИИ ""УСТЬ-КУТСКИЙ""")</f>
        <v>МО МВД РОССИИ "УСТЬ-КУТСКИЙ"</v>
      </c>
      <c r="B1841" s="24" t="s">
        <v>3540</v>
      </c>
      <c r="C1841" s="25">
        <v>264000</v>
      </c>
      <c r="D1841" s="22" t="s">
        <v>3541</v>
      </c>
      <c r="E1841" s="22" t="s">
        <v>48</v>
      </c>
      <c r="F1841" s="23" t="str">
        <f>HYPERLINK("https://www.spark-marketing.ru/Card/Lot/73864592", "Оказание услуг по организации питания (приготовлению и доставке) для ИВС, 1320 усл. ед")</f>
        <v>Оказание услуг по организации питания (приготовлению и доставке) для ИВС, 1320 усл. ед</v>
      </c>
      <c r="G1841" s="22" t="s">
        <v>263</v>
      </c>
      <c r="H1841" s="22" t="s">
        <v>3542</v>
      </c>
      <c r="I1841" s="26">
        <v>43733.1801388889</v>
      </c>
      <c r="J1841" s="28" t="s">
        <v>51</v>
      </c>
      <c r="K1841" s="28" t="s">
        <v>51</v>
      </c>
      <c r="L1841" s="28" t="s">
        <v>51</v>
      </c>
      <c r="M1841" s="28" t="s">
        <v>51</v>
      </c>
      <c r="N1841" s="28" t="s">
        <v>51</v>
      </c>
    </row>
    <row r="1842" spans="1:14" x14ac:dyDescent="0.15">
      <c r="A1842" s="23" t="str">
        <f>HYPERLINK("https://www.spark-marketing.ru/Card/Person/133569", "МО МВД РОССИИ ""УСТЬ-КУТСКИЙ""")</f>
        <v>МО МВД РОССИИ "УСТЬ-КУТСКИЙ"</v>
      </c>
      <c r="B1842" s="24" t="s">
        <v>3540</v>
      </c>
      <c r="C1842" s="25">
        <v>264000</v>
      </c>
      <c r="D1842" s="22" t="s">
        <v>3543</v>
      </c>
      <c r="E1842" s="22" t="s">
        <v>48</v>
      </c>
      <c r="F1842" s="23" t="str">
        <f>HYPERLINK("https://www.spark-marketing.ru/Card/Lot/73864597", "Оказание услуг по организации питания (приготовлению и доставке) для ИВС, 1320 усл. ед")</f>
        <v>Оказание услуг по организации питания (приготовлению и доставке) для ИВС, 1320 усл. ед</v>
      </c>
      <c r="G1842" s="22" t="s">
        <v>263</v>
      </c>
      <c r="H1842" s="22" t="s">
        <v>3542</v>
      </c>
      <c r="I1842" s="26">
        <v>43733.185717592598</v>
      </c>
      <c r="J1842" s="28" t="s">
        <v>51</v>
      </c>
      <c r="K1842" s="28" t="s">
        <v>51</v>
      </c>
      <c r="L1842" s="28" t="s">
        <v>51</v>
      </c>
      <c r="M1842" s="28" t="s">
        <v>51</v>
      </c>
      <c r="N1842" s="28" t="s">
        <v>51</v>
      </c>
    </row>
    <row r="1843" spans="1:14" x14ac:dyDescent="0.15">
      <c r="A1843" s="23" t="str">
        <f>HYPERLINK("https://www.spark-marketing.ru/Card/Person/2097942", "АО ""КОНЦЕРН РОСЭНЕРГОАТОМ""")</f>
        <v>АО "КОНЦЕРН РОСЭНЕРГОАТОМ"</v>
      </c>
      <c r="B1843" s="24" t="s">
        <v>908</v>
      </c>
      <c r="C1843" s="25">
        <v>9294403.8100000005</v>
      </c>
      <c r="D1843" s="22" t="s">
        <v>3544</v>
      </c>
      <c r="E1843" s="22" t="s">
        <v>1403</v>
      </c>
      <c r="F1843" s="23" t="str">
        <f>HYPERLINK("https://www.spark-marketing.ru/Card/Lot/73888925", "Право заключения договора на Оказание услуг по техническому обслуживанию блоков линий питания потребителей НКУ РУ 0,4 кВ энергоблока №4 Белоярской АЭС в соответствии с техническим заданием")</f>
        <v>Право заключения договора на Оказание услуг по техническому обслуживанию блоков линий питания потребителей НКУ РУ 0,4 кВ энергоблока №4 Белоярской АЭС в соответствии с техническим заданием</v>
      </c>
      <c r="G1843" s="22" t="s">
        <v>56</v>
      </c>
      <c r="H1843" s="22" t="s">
        <v>56</v>
      </c>
      <c r="I1843" s="26">
        <v>43733</v>
      </c>
      <c r="J1843" s="28" t="s">
        <v>51</v>
      </c>
      <c r="K1843" s="28" t="s">
        <v>51</v>
      </c>
      <c r="L1843" s="28" t="s">
        <v>51</v>
      </c>
      <c r="M1843" s="28" t="s">
        <v>51</v>
      </c>
      <c r="N1843" s="28" t="s">
        <v>51</v>
      </c>
    </row>
    <row r="1844" spans="1:14" x14ac:dyDescent="0.2">
      <c r="A1844" s="23" t="str">
        <f>HYPERLINK("https://www.spark-marketing.ru/Card/Person/28992", "ФГБОУ ВО «РГЭУ (РИНХ)», РОСТОВСКИЙ ГОСУДАРСТВЕННЫЙ ЭКОНОМИЧЕСКИЙ УНИВЕРСИТЕТ (РИНХ), РГЭУ (РИНХ)")</f>
        <v>ФГБОУ ВО «РГЭУ (РИНХ)», РОСТОВСКИЙ ГОСУДАРСТВЕННЫЙ ЭКОНОМИЧЕСКИЙ УНИВЕРСИТЕТ (РИНХ), РГЭУ (РИНХ)</v>
      </c>
      <c r="B1844" s="24" t="s">
        <v>3545</v>
      </c>
      <c r="C1844" s="25">
        <v>400000</v>
      </c>
      <c r="D1844" s="22" t="s">
        <v>3546</v>
      </c>
      <c r="E1844" s="22" t="s">
        <v>362</v>
      </c>
      <c r="F1844" s="23" t="str">
        <f>HYPERLINK("https://www.spark-marketing.ru/Card/Lot/73891508", "Оказание услуг по организации питания для участников мероприятия «Всероссийская школа студенческого самоуправления «Лидер 21 века»")</f>
        <v>Оказание услуг по организации питания для участников мероприятия «Всероссийская школа студенческого самоуправления «Лидер 21 века»</v>
      </c>
      <c r="G1844" s="22" t="s">
        <v>267</v>
      </c>
      <c r="H1844" s="22" t="s">
        <v>267</v>
      </c>
      <c r="I1844" s="26">
        <v>43733</v>
      </c>
      <c r="J1844" s="28" t="s">
        <v>51</v>
      </c>
      <c r="K1844" s="28" t="s">
        <v>51</v>
      </c>
      <c r="L1844" s="28" t="s">
        <v>51</v>
      </c>
      <c r="M1844" s="25">
        <v>400000</v>
      </c>
      <c r="N1844" s="27">
        <v>0</v>
      </c>
    </row>
    <row r="1845" spans="1:14" x14ac:dyDescent="0.2">
      <c r="A1845" s="23" t="str">
        <f>HYPERLINK("https://www.spark-marketing.ru/Card/Person/4365810", "АО ""ТВ ЦЕНТР""")</f>
        <v>АО "ТВ ЦЕНТР"</v>
      </c>
      <c r="B1845" s="24" t="s">
        <v>2622</v>
      </c>
      <c r="C1845" s="25">
        <v>253200</v>
      </c>
      <c r="D1845" s="22" t="s">
        <v>3547</v>
      </c>
      <c r="E1845" s="22" t="s">
        <v>580</v>
      </c>
      <c r="F1845" s="23" t="str">
        <f>HYPERLINK("https://www.spark-marketing.ru/Card/Lot/73879113", "Оказание услуг по организации питания")</f>
        <v>Оказание услуг по организации питания</v>
      </c>
      <c r="G1845" s="22" t="s">
        <v>56</v>
      </c>
      <c r="H1845" s="22" t="s">
        <v>56</v>
      </c>
      <c r="I1845" s="26">
        <v>43733</v>
      </c>
      <c r="J1845" s="28" t="s">
        <v>51</v>
      </c>
      <c r="K1845" s="28" t="s">
        <v>51</v>
      </c>
      <c r="L1845" s="28" t="s">
        <v>51</v>
      </c>
      <c r="M1845" s="25">
        <v>253200</v>
      </c>
      <c r="N1845" s="27">
        <v>0</v>
      </c>
    </row>
    <row r="1846" spans="1:14" x14ac:dyDescent="0.15">
      <c r="A1846" s="23" t="str">
        <f>HYPERLINK("https://www.spark-marketing.ru/Card/Person/6516062", "МАУ ""МЦ ""АЛЬФА""")</f>
        <v>МАУ "МЦ "АЛЬФА"</v>
      </c>
      <c r="B1846" s="24" t="s">
        <v>3548</v>
      </c>
      <c r="C1846" s="25">
        <v>216000</v>
      </c>
      <c r="D1846" s="22" t="s">
        <v>3549</v>
      </c>
      <c r="E1846" s="22" t="s">
        <v>1921</v>
      </c>
      <c r="F1846" s="23" t="str">
        <f>HYPERLINK("https://www.spark-marketing.ru/Card/Lot/73887671", "Услуги по организации питания и проживания участников патриотического выезда МО ""Всеволожская Артель""")</f>
        <v>Услуги по организации питания и проживания участников патриотического выезда МО "Всеволожская Артель"</v>
      </c>
      <c r="G1846" s="22" t="s">
        <v>162</v>
      </c>
      <c r="H1846" s="22" t="s">
        <v>162</v>
      </c>
      <c r="I1846" s="26">
        <v>43733</v>
      </c>
      <c r="J1846" s="28" t="s">
        <v>51</v>
      </c>
      <c r="K1846" s="28" t="s">
        <v>51</v>
      </c>
      <c r="L1846" s="28" t="s">
        <v>51</v>
      </c>
      <c r="M1846" s="28" t="s">
        <v>51</v>
      </c>
      <c r="N1846" s="28" t="s">
        <v>51</v>
      </c>
    </row>
    <row r="1847" spans="1:14" x14ac:dyDescent="0.15">
      <c r="A1847" s="23" t="str">
        <f>HYPERLINK("https://www.spark-marketing.ru/Card/Person/35482", "ФГБОУ ВО ""КУЗБАССКИЙ ГОСУДАРСТВЕННЫЙ ТЕХНИЧЕСКИЙ УНИВЕРСИТЕТ ИМЕНИ Т.Ф. ГОРБАЧЕВА"" КУЗБАССКИЙ ГОСУДАРСТВЕННЫЙ ТЕХНИЧЕСКИЙ УНИВЕРСИТЕТ ИМЕНИ Т.Ф. ГОРБАЧЕВА КУЗГТУ")</f>
        <v>ФГБОУ ВО "КУЗБАССКИЙ ГОСУДАРСТВЕННЫЙ ТЕХНИЧЕСКИЙ УНИВЕРСИТЕТ ИМЕНИ Т.Ф. ГОРБАЧЕВА" КУЗБАССКИЙ ГОСУДАРСТВЕННЫЙ ТЕХНИЧЕСКИЙ УНИВЕРСИТЕТ ИМЕНИ Т.Ф. ГОРБАЧЕВА КУЗГТУ</v>
      </c>
      <c r="B1847" s="24" t="s">
        <v>3550</v>
      </c>
      <c r="C1847" s="25">
        <v>138675</v>
      </c>
      <c r="D1847" s="22" t="s">
        <v>3551</v>
      </c>
      <c r="E1847" s="22" t="s">
        <v>1921</v>
      </c>
      <c r="F1847" s="23" t="str">
        <f>HYPERLINK("https://www.spark-marketing.ru/Card/Lot/73875181", "Услуги по организации проживания и питания команды и наставников мероприятий (проекта) ""Молодежное всероссийское производственное совещание #ВместеЯрче""")</f>
        <v>Услуги по организации проживания и питания команды и наставников мероприятий (проекта) "Молодежное всероссийское производственное совещание #ВместеЯрче"</v>
      </c>
      <c r="G1847" s="22" t="s">
        <v>49</v>
      </c>
      <c r="H1847" s="22" t="s">
        <v>49</v>
      </c>
      <c r="I1847" s="26">
        <v>43733</v>
      </c>
      <c r="J1847" s="28" t="s">
        <v>51</v>
      </c>
      <c r="K1847" s="28" t="s">
        <v>51</v>
      </c>
      <c r="L1847" s="28" t="s">
        <v>51</v>
      </c>
      <c r="M1847" s="28" t="s">
        <v>51</v>
      </c>
      <c r="N1847" s="28" t="s">
        <v>51</v>
      </c>
    </row>
    <row r="1848" spans="1:14" x14ac:dyDescent="0.15">
      <c r="A1848" s="23" t="str">
        <f>HYPERLINK("https://www.spark-marketing.ru/Card/Person/35482", "ФГБОУ ВО ""КУЗБАССКИЙ ГОСУДАРСТВЕННЫЙ ТЕХНИЧЕСКИЙ УНИВЕРСИТЕТ ИМЕНИ Т.Ф. ГОРБАЧЕВА"" КУЗБАССКИЙ ГОСУДАРСТВЕННЫЙ ТЕХНИЧЕСКИЙ УНИВЕРСИТЕТ ИМЕНИ Т.Ф. ГОРБАЧЕВА КУЗГТУ")</f>
        <v>ФГБОУ ВО "КУЗБАССКИЙ ГОСУДАРСТВЕННЫЙ ТЕХНИЧЕСКИЙ УНИВЕРСИТЕТ ИМЕНИ Т.Ф. ГОРБАЧЕВА" КУЗБАССКИЙ ГОСУДАРСТВЕННЫЙ ТЕХНИЧЕСКИЙ УНИВЕРСИТЕТ ИМЕНИ Т.Ф. ГОРБАЧЕВА КУЗГТУ</v>
      </c>
      <c r="B1848" s="24" t="s">
        <v>3550</v>
      </c>
      <c r="C1848" s="25">
        <v>395100</v>
      </c>
      <c r="D1848" s="22" t="s">
        <v>3552</v>
      </c>
      <c r="E1848" s="22" t="s">
        <v>1921</v>
      </c>
      <c r="F1848" s="23" t="str">
        <f>HYPERLINK("https://www.spark-marketing.ru/Card/Lot/73876768", "Услуги по организации проживания и питания участников мероприятий (проекта) ""Молодежное всероссийское производственное совещание #ВместеЯрче""")</f>
        <v>Услуги по организации проживания и питания участников мероприятий (проекта) "Молодежное всероссийское производственное совещание #ВместеЯрче"</v>
      </c>
      <c r="G1848" s="22" t="s">
        <v>49</v>
      </c>
      <c r="H1848" s="22" t="s">
        <v>49</v>
      </c>
      <c r="I1848" s="26">
        <v>43733</v>
      </c>
      <c r="J1848" s="28" t="s">
        <v>51</v>
      </c>
      <c r="K1848" s="28" t="s">
        <v>51</v>
      </c>
      <c r="L1848" s="28" t="s">
        <v>51</v>
      </c>
      <c r="M1848" s="28" t="s">
        <v>51</v>
      </c>
      <c r="N1848" s="28" t="s">
        <v>51</v>
      </c>
    </row>
    <row r="1849" spans="1:14" x14ac:dyDescent="0.15">
      <c r="A1849" s="23" t="str">
        <f>HYPERLINK("https://www.spark-marketing.ru/Card/Person/178844", "АО ""РЖД-ЗДОРОВЬЕ""")</f>
        <v>АО "РЖД-ЗДОРОВЬЕ"</v>
      </c>
      <c r="B1849" s="24" t="s">
        <v>3553</v>
      </c>
      <c r="C1849" s="25">
        <v>1500000</v>
      </c>
      <c r="D1849" s="22" t="s">
        <v>3554</v>
      </c>
      <c r="E1849" s="22" t="s">
        <v>580</v>
      </c>
      <c r="F1849" s="23" t="str">
        <f>HYPERLINK("https://www.spark-marketing.ru/Card/Lot/73886095", "Оказание услуг по организации питания для нужд филиала АО ""РЖД-ЗДОРОВЬЕ"" санатория ""Буран""")</f>
        <v>Оказание услуг по организации питания для нужд филиала АО "РЖД-ЗДОРОВЬЕ" санатория "Буран"</v>
      </c>
      <c r="G1849" s="22" t="s">
        <v>49</v>
      </c>
      <c r="H1849" s="22" t="s">
        <v>49</v>
      </c>
      <c r="I1849" s="26">
        <v>43733</v>
      </c>
      <c r="J1849" s="28" t="s">
        <v>51</v>
      </c>
      <c r="K1849" s="28" t="s">
        <v>51</v>
      </c>
      <c r="L1849" s="28" t="s">
        <v>51</v>
      </c>
      <c r="M1849" s="28" t="s">
        <v>51</v>
      </c>
      <c r="N1849" s="28" t="s">
        <v>51</v>
      </c>
    </row>
    <row r="1850" spans="1:14" x14ac:dyDescent="0.15">
      <c r="A1850" s="23" t="str">
        <f>HYPERLINK("https://www.spark-marketing.ru/Card/Person/192869", "ПАО ""ИРКУТСКЭНЕРГО""")</f>
        <v>ПАО "ИРКУТСКЭНЕРГО"</v>
      </c>
      <c r="B1850" s="24" t="s">
        <v>3555</v>
      </c>
      <c r="C1850" s="25">
        <v>3600000</v>
      </c>
      <c r="D1850" s="22" t="s">
        <v>3556</v>
      </c>
      <c r="E1850" s="22" t="s">
        <v>1412</v>
      </c>
      <c r="F1850" s="23" t="str">
        <f>HYPERLINK("https://www.spark-marketing.ru/Card/Lot/73876193", "Организация услуг льготного питания под ведомость для персонала Усть-Илимской ТЭЦ")</f>
        <v>Организация услуг льготного питания под ведомость для персонала Усть-Илимской ТЭЦ</v>
      </c>
      <c r="G1850" s="22" t="s">
        <v>263</v>
      </c>
      <c r="H1850" s="22" t="s">
        <v>263</v>
      </c>
      <c r="I1850" s="26">
        <v>43733</v>
      </c>
      <c r="J1850" s="28" t="s">
        <v>51</v>
      </c>
      <c r="K1850" s="28" t="s">
        <v>51</v>
      </c>
      <c r="L1850" s="28" t="s">
        <v>51</v>
      </c>
      <c r="M1850" s="28" t="s">
        <v>51</v>
      </c>
      <c r="N1850" s="28" t="s">
        <v>51</v>
      </c>
    </row>
    <row r="1851" spans="1:14" x14ac:dyDescent="0.15">
      <c r="A1851" s="23" t="str">
        <f>HYPERLINK("https://www.spark-marketing.ru/Card/Person/6248", "ФГБОУ ВО ""ПГУ"", ПЕНЗЕНСКИЙ ГОСУДАРСТВЕННЫЙ УНИВЕРСИТЕТ, ФГБОУ ВО ""ПЕНЗЕНСКИЙ ГОСУДАРСТВЕННЫЙ УНИВЕРСИТЕТ""")</f>
        <v>ФГБОУ ВО "ПГУ", ПЕНЗЕНСКИЙ ГОСУДАРСТВЕННЫЙ УНИВЕРСИТЕТ, ФГБОУ ВО "ПЕНЗЕНСКИЙ ГОСУДАРСТВЕННЫЙ УНИВЕРСИТЕТ"</v>
      </c>
      <c r="B1851" s="24" t="s">
        <v>3557</v>
      </c>
      <c r="C1851" s="25">
        <v>476520</v>
      </c>
      <c r="D1851" s="22" t="s">
        <v>3558</v>
      </c>
      <c r="E1851" s="22" t="s">
        <v>362</v>
      </c>
      <c r="F1851" s="23" t="str">
        <f>HYPERLINK("https://www.spark-marketing.ru/Card/Lot/73879886", "Услуги по организации питания слушателей")</f>
        <v>Услуги по организации питания слушателей</v>
      </c>
      <c r="G1851" s="22" t="s">
        <v>72</v>
      </c>
      <c r="H1851" s="22" t="s">
        <v>72</v>
      </c>
      <c r="I1851" s="26">
        <v>43733</v>
      </c>
      <c r="J1851" s="28" t="s">
        <v>51</v>
      </c>
      <c r="K1851" s="28" t="s">
        <v>51</v>
      </c>
      <c r="L1851" s="28" t="s">
        <v>51</v>
      </c>
      <c r="M1851" s="28" t="s">
        <v>51</v>
      </c>
      <c r="N1851" s="28" t="s">
        <v>51</v>
      </c>
    </row>
    <row r="1852" spans="1:14" x14ac:dyDescent="0.15">
      <c r="A1852" s="23" t="str">
        <f>HYPERLINK("https://www.spark-marketing.ru/Card/Person/1761665", "МАУ ""ЦЕНТР ПИТАНИЯ""")</f>
        <v>МАУ "ЦЕНТР ПИТАНИЯ"</v>
      </c>
      <c r="B1852" s="24" t="s">
        <v>3559</v>
      </c>
      <c r="C1852" s="25">
        <v>1313205</v>
      </c>
      <c r="D1852" s="22" t="s">
        <v>3560</v>
      </c>
      <c r="E1852" s="22" t="s">
        <v>3561</v>
      </c>
      <c r="F1852" s="23" t="str">
        <f>HYPERLINK("https://www.spark-marketing.ru/Card/Lot/73842367", "На оказание услуг по прохождению выездного первичного и периодического (ежегодного) медицинского осмотра с оформлением медицинских книжек с занесением результатов медицинского осмотра сотрудников для нужд МАУ «Центр питания» на 2020 г.")</f>
        <v>На оказание услуг по прохождению выездного первичного и периодического (ежегодного) медицинского осмотра с оформлением медицинских книжек с занесением результатов медицинского осмотра сотрудников для нужд МАУ «Центр питания» на 2020 г.</v>
      </c>
      <c r="G1852" s="22" t="s">
        <v>49</v>
      </c>
      <c r="H1852" s="22" t="s">
        <v>3562</v>
      </c>
      <c r="I1852" s="26">
        <v>43732</v>
      </c>
      <c r="J1852" s="28" t="s">
        <v>51</v>
      </c>
      <c r="K1852" s="28" t="s">
        <v>51</v>
      </c>
      <c r="L1852" s="28" t="s">
        <v>51</v>
      </c>
      <c r="M1852" s="28" t="s">
        <v>51</v>
      </c>
      <c r="N1852" s="28" t="s">
        <v>51</v>
      </c>
    </row>
    <row r="1853" spans="1:14" x14ac:dyDescent="0.15">
      <c r="A1853" s="23" t="str">
        <f>HYPERLINK("https://www.spark-marketing.ru/Card/Person/1757464", "КГАУ ""СШОР ПО РЕГБИ ""ЕНИСЕЙ - СТМ""")</f>
        <v>КГАУ "СШОР ПО РЕГБИ "ЕНИСЕЙ - СТМ"</v>
      </c>
      <c r="B1853" s="24" t="s">
        <v>3563</v>
      </c>
      <c r="C1853" s="25">
        <v>750000</v>
      </c>
      <c r="D1853" s="22" t="s">
        <v>3564</v>
      </c>
      <c r="E1853" s="22" t="s">
        <v>362</v>
      </c>
      <c r="F1853" s="23" t="str">
        <f>HYPERLINK("https://www.spark-marketing.ru/Card/Lot/73875385", "Договор на оказание услуг по организации двухразового горячего питания для спортсменов СШОР по регби ""Енисей-СТМ""")</f>
        <v>Договор на оказание услуг по организации двухразового горячего питания для спортсменов СШОР по регби "Енисей-СТМ"</v>
      </c>
      <c r="G1853" s="22" t="s">
        <v>281</v>
      </c>
      <c r="H1853" s="22" t="s">
        <v>281</v>
      </c>
      <c r="I1853" s="26">
        <v>43733</v>
      </c>
      <c r="J1853" s="28" t="s">
        <v>51</v>
      </c>
      <c r="K1853" s="28" t="s">
        <v>51</v>
      </c>
      <c r="L1853" s="28" t="s">
        <v>51</v>
      </c>
      <c r="M1853" s="28" t="s">
        <v>51</v>
      </c>
      <c r="N1853" s="28" t="s">
        <v>51</v>
      </c>
    </row>
    <row r="1854" spans="1:14" x14ac:dyDescent="0.15">
      <c r="A1854" s="23" t="str">
        <f>HYPERLINK("https://www.spark-marketing.ru/Card/Person/4358738", "ООО ""РН-САХАЛИНМОРНЕФТЕГАЗ""")</f>
        <v>ООО "РН-САХАЛИНМОРНЕФТЕГАЗ"</v>
      </c>
      <c r="B1854" s="24" t="s">
        <v>3408</v>
      </c>
      <c r="C1854" s="25">
        <v>397871483.12</v>
      </c>
      <c r="D1854" s="22" t="s">
        <v>3409</v>
      </c>
      <c r="E1854" s="22" t="s">
        <v>3565</v>
      </c>
      <c r="F1854" s="23" t="str">
        <f>HYPERLINK("https://www.spark-marketing.ru/Card/Lot/73894982", "Оказание услуг по комплексному сервисному обслуживанию имущественного комплекса и организации общественного и рабочего питания для нужд ООО ""РН-Сахалинморнефтегаз""")</f>
        <v>Оказание услуг по комплексному сервисному обслуживанию имущественного комплекса и организации общественного и рабочего питания для нужд ООО "РН-Сахалинморнефтегаз"</v>
      </c>
      <c r="G1854" s="22" t="s">
        <v>260</v>
      </c>
      <c r="H1854" s="22" t="s">
        <v>804</v>
      </c>
      <c r="I1854" s="26">
        <v>43733.906006944402</v>
      </c>
      <c r="J1854" s="28" t="s">
        <v>51</v>
      </c>
      <c r="K1854" s="28" t="s">
        <v>51</v>
      </c>
      <c r="L1854" s="28" t="s">
        <v>51</v>
      </c>
      <c r="M1854" s="28" t="s">
        <v>51</v>
      </c>
      <c r="N1854" s="28" t="s">
        <v>51</v>
      </c>
    </row>
    <row r="1855" spans="1:14" x14ac:dyDescent="0.15">
      <c r="A1855" s="23" t="str">
        <f>HYPERLINK("https://www.spark-marketing.ru/Card/Person/33250", "ФГБОУ ВО ""ВГУ""")</f>
        <v>ФГБОУ ВО "ВГУ"</v>
      </c>
      <c r="B1855" s="24" t="s">
        <v>3566</v>
      </c>
      <c r="C1855" s="25">
        <v>69300</v>
      </c>
      <c r="D1855" s="22" t="s">
        <v>3567</v>
      </c>
      <c r="E1855" s="22" t="s">
        <v>1268</v>
      </c>
      <c r="F1855" s="23" t="str">
        <f>HYPERLINK("https://www.spark-marketing.ru/Card/Lot/73881115", "Услуги по проведению профилактики силового модуля источника бесперебойного питания Центра обработки данных ВГУ")</f>
        <v>Услуги по проведению профилактики силового модуля источника бесперебойного питания Центра обработки данных ВГУ</v>
      </c>
      <c r="G1855" s="22" t="s">
        <v>82</v>
      </c>
      <c r="H1855" s="22" t="s">
        <v>82</v>
      </c>
      <c r="I1855" s="26">
        <v>43733</v>
      </c>
      <c r="J1855" s="28" t="s">
        <v>51</v>
      </c>
      <c r="K1855" s="28" t="s">
        <v>51</v>
      </c>
      <c r="L1855" s="28" t="s">
        <v>51</v>
      </c>
      <c r="M1855" s="28" t="s">
        <v>51</v>
      </c>
      <c r="N1855" s="28" t="s">
        <v>51</v>
      </c>
    </row>
    <row r="1856" spans="1:14" x14ac:dyDescent="0.15">
      <c r="A1856" s="23" t="str">
        <f>HYPERLINK("https://www.spark-marketing.ru/Card/Person/268773", "ОМВД РОССИИ ПО ГРАЙВОРОНСКОМУ ГОРОДСКОМУ ОКРУГУ")</f>
        <v>ОМВД РОССИИ ПО ГРАЙВОРОНСКОМУ ГОРОДСКОМУ ОКРУГУ</v>
      </c>
      <c r="B1856" s="24" t="s">
        <v>3568</v>
      </c>
      <c r="C1856" s="25">
        <v>7043</v>
      </c>
      <c r="D1856" s="22" t="s">
        <v>3569</v>
      </c>
      <c r="E1856" s="22" t="s">
        <v>48</v>
      </c>
      <c r="F1856" s="23" t="str">
        <f>HYPERLINK("https://www.spark-marketing.ru/Card/Lot/73857068",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1856" s="22" t="s">
        <v>696</v>
      </c>
      <c r="H1856" s="22" t="s">
        <v>3570</v>
      </c>
      <c r="I1856" s="26">
        <v>43732.7917592593</v>
      </c>
      <c r="J1856" s="28" t="s">
        <v>51</v>
      </c>
      <c r="K1856" s="28" t="s">
        <v>51</v>
      </c>
      <c r="L1856" s="28" t="s">
        <v>51</v>
      </c>
      <c r="M1856" s="28" t="s">
        <v>51</v>
      </c>
      <c r="N1856" s="28" t="s">
        <v>51</v>
      </c>
    </row>
    <row r="1857" spans="1:14" x14ac:dyDescent="0.15">
      <c r="A1857" s="23" t="str">
        <f>HYPERLINK("https://www.spark-marketing.ru/Card/Person/2639", "УВД ПО ВАО ГУ МВД РОССИИ ПО Г. МОСКВЕ")</f>
        <v>УВД ПО ВАО ГУ МВД РОССИИ ПО Г. МОСКВЕ</v>
      </c>
      <c r="B1857" s="24" t="s">
        <v>1614</v>
      </c>
      <c r="C1857" s="25">
        <v>1169992.2</v>
      </c>
      <c r="D1857" s="22" t="s">
        <v>3571</v>
      </c>
      <c r="E1857" s="22" t="s">
        <v>48</v>
      </c>
      <c r="F1857" s="23" t="str">
        <f>HYPERLINK("https://www.spark-marketing.ru/Card/Lot/73863030", "Оказание услуг по организации 3-х разового горячего питания лиц, подозреваемых и обвиняемых в совершении преступлений, содержащихся в ИВС УВД по ВАО ГУ МВД России по г.Москве")</f>
        <v>Оказание услуг по организации 3-х разового горячего питания лиц, подозреваемых и обвиняемых в совершении преступлений, содержащихся в ИВС УВД по ВАО ГУ МВД России по г.Москве</v>
      </c>
      <c r="G1857" s="22" t="s">
        <v>56</v>
      </c>
      <c r="H1857" s="22" t="s">
        <v>56</v>
      </c>
      <c r="I1857" s="26">
        <v>43732.793831018498</v>
      </c>
      <c r="J1857" s="28" t="s">
        <v>51</v>
      </c>
      <c r="K1857" s="28" t="s">
        <v>51</v>
      </c>
      <c r="L1857" s="28" t="s">
        <v>51</v>
      </c>
      <c r="M1857" s="28" t="s">
        <v>51</v>
      </c>
      <c r="N1857" s="28" t="s">
        <v>51</v>
      </c>
    </row>
    <row r="1858" spans="1:14" x14ac:dyDescent="0.15">
      <c r="A1858" s="23" t="str">
        <f>HYPERLINK("https://www.spark-marketing.ru/Card/Person/1009739", "ОТДЕЛ ЗДРАВООХРАНЕНИЯ")</f>
        <v>ОТДЕЛ ЗДРАВООХРАНЕНИЯ</v>
      </c>
      <c r="B1858" s="24" t="s">
        <v>3572</v>
      </c>
      <c r="C1858" s="25">
        <v>12660</v>
      </c>
      <c r="D1858" s="22" t="s">
        <v>3573</v>
      </c>
      <c r="E1858" s="22" t="s">
        <v>52</v>
      </c>
      <c r="F1858" s="23" t="str">
        <f>HYPERLINK("https://www.spark-marketing.ru/Card/Lot/73852633",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858" s="22" t="s">
        <v>3574</v>
      </c>
      <c r="H1858" s="22" t="s">
        <v>3574</v>
      </c>
      <c r="I1858" s="26">
        <v>43732.760416666701</v>
      </c>
      <c r="J1858" s="23" t="str">
        <f>HYPERLINK("https://www.spark-marketing.ru/Card/Person/4361835", "ООО ""ПУЛЬС ОРЕНБУРГ""")</f>
        <v>ООО "ПУЛЬС ОРЕНБУРГ"</v>
      </c>
      <c r="K1858" s="24" t="s">
        <v>3575</v>
      </c>
      <c r="L1858" s="22" t="s">
        <v>10</v>
      </c>
      <c r="M1858" s="28" t="s">
        <v>51</v>
      </c>
      <c r="N1858" s="28" t="s">
        <v>51</v>
      </c>
    </row>
    <row r="1859" spans="1:14" x14ac:dyDescent="0.15">
      <c r="A1859" s="23" t="str">
        <f>HYPERLINK("https://www.spark-marketing.ru/Card/Person/4349260", "МБОУ СОШ №3 ИМЕНИ ГЕРОЯ СОВЕТСКОГО СОЮЗА В.А.БОРИСОВА")</f>
        <v>МБОУ СОШ №3 ИМЕНИ ГЕРОЯ СОВЕТСКОГО СОЮЗА В.А.БОРИСОВА</v>
      </c>
      <c r="B1859" s="24" t="s">
        <v>3576</v>
      </c>
      <c r="C1859" s="25">
        <v>388080</v>
      </c>
      <c r="D1859" s="22" t="s">
        <v>3577</v>
      </c>
      <c r="E1859" s="22" t="s">
        <v>48</v>
      </c>
      <c r="F1859" s="23" t="str">
        <f>HYPERLINK("https://www.spark-marketing.ru/Card/Lot/73857198",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1859" s="22" t="s">
        <v>49</v>
      </c>
      <c r="H1859" s="22" t="s">
        <v>378</v>
      </c>
      <c r="I1859" s="26">
        <v>43732.753020833297</v>
      </c>
      <c r="J1859" s="28" t="s">
        <v>51</v>
      </c>
      <c r="K1859" s="28" t="s">
        <v>51</v>
      </c>
      <c r="L1859" s="28" t="s">
        <v>51</v>
      </c>
      <c r="M1859" s="28" t="s">
        <v>51</v>
      </c>
      <c r="N1859" s="28" t="s">
        <v>51</v>
      </c>
    </row>
    <row r="1860" spans="1:14" x14ac:dyDescent="0.15">
      <c r="A1860" s="23" t="str">
        <f>HYPERLINK("https://www.spark-marketing.ru/Card/Person/1009739", "ОТДЕЛ ЗДРАВООХРАНЕНИЯ")</f>
        <v>ОТДЕЛ ЗДРАВООХРАНЕНИЯ</v>
      </c>
      <c r="B1860" s="24" t="s">
        <v>3572</v>
      </c>
      <c r="C1860" s="25">
        <v>9625</v>
      </c>
      <c r="D1860" s="22" t="s">
        <v>3578</v>
      </c>
      <c r="E1860" s="22" t="s">
        <v>52</v>
      </c>
      <c r="F1860" s="23" t="str">
        <f>HYPERLINK("https://www.spark-marketing.ru/Card/Lot/73852489",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860" s="22" t="s">
        <v>3574</v>
      </c>
      <c r="H1860" s="22" t="s">
        <v>3574</v>
      </c>
      <c r="I1860" s="26">
        <v>43732.760416666701</v>
      </c>
      <c r="J1860" s="23" t="str">
        <f>HYPERLINK("https://www.spark-marketing.ru/Card/Person/4361835", "ООО ""ПУЛЬС ОРЕНБУРГ""")</f>
        <v>ООО "ПУЛЬС ОРЕНБУРГ"</v>
      </c>
      <c r="K1860" s="24" t="s">
        <v>3575</v>
      </c>
      <c r="L1860" s="22" t="s">
        <v>10</v>
      </c>
      <c r="M1860" s="28" t="s">
        <v>51</v>
      </c>
      <c r="N1860" s="28" t="s">
        <v>51</v>
      </c>
    </row>
    <row r="1861" spans="1:14" x14ac:dyDescent="0.15">
      <c r="A1861" s="23" t="str">
        <f>HYPERLINK("https://www.spark-marketing.ru/Card/Person/62201", """УПРАВА САЙСАРСКОГО ОКРУГА"" МКУ ГО ""ГОРОД ЯКУТСК""")</f>
        <v>"УПРАВА САЙСАРСКОГО ОКРУГА" МКУ ГО "ГОРОД ЯКУТСК"</v>
      </c>
      <c r="B1861" s="24" t="s">
        <v>3579</v>
      </c>
      <c r="C1861" s="25">
        <v>30000</v>
      </c>
      <c r="D1861" s="22" t="s">
        <v>3580</v>
      </c>
      <c r="E1861" s="22" t="s">
        <v>48</v>
      </c>
      <c r="F1861" s="23" t="str">
        <f>HYPERLINK("https://www.spark-marketing.ru/Card/Lot/73848310", "По организации питания при проведении культурно-массовых мероприятий для нужд «Управа Сайсарского округа» МКУ ГО «город Якутск».")</f>
        <v>По организации питания при проведении культурно-массовых мероприятий для нужд «Управа Сайсарского округа» МКУ ГО «город Якутск».</v>
      </c>
      <c r="G1861" s="22" t="s">
        <v>241</v>
      </c>
      <c r="H1861" s="22" t="s">
        <v>242</v>
      </c>
      <c r="I1861" s="26">
        <v>43732.740277777797</v>
      </c>
      <c r="J1861" s="28" t="s">
        <v>51</v>
      </c>
      <c r="K1861" s="28" t="s">
        <v>51</v>
      </c>
      <c r="L1861" s="28" t="s">
        <v>51</v>
      </c>
      <c r="M1861" s="28" t="s">
        <v>51</v>
      </c>
      <c r="N1861" s="28" t="s">
        <v>51</v>
      </c>
    </row>
    <row r="1862" spans="1:14" x14ac:dyDescent="0.2">
      <c r="A1862" s="23" t="str">
        <f>HYPERLINK("https://www.spark-marketing.ru/Card/Person/9362", "СПБ ГБУЗ ""ГОРОДСКАЯ МАРИИНСКАЯ БОЛЬНИЦА""")</f>
        <v>СПБ ГБУЗ "ГОРОДСКАЯ МАРИИНСКАЯ БОЛЬНИЦА"</v>
      </c>
      <c r="B1862" s="24" t="s">
        <v>3581</v>
      </c>
      <c r="C1862" s="25">
        <v>39899974.859999999</v>
      </c>
      <c r="D1862" s="22" t="s">
        <v>3582</v>
      </c>
      <c r="E1862" s="22" t="s">
        <v>96</v>
      </c>
      <c r="F1862" s="23" t="str">
        <f>HYPERLINK("https://www.spark-marketing.ru/Card/Lot/73862205", "Оказание услуг по организации питания больных, находящихся на лечении в СПб ГБУЗ «Городская Мариинская больница»")</f>
        <v>Оказание услуг по организации питания больных, находящихся на лечении в СПб ГБУЗ «Городская Мариинская больница»</v>
      </c>
      <c r="G1862" s="22" t="s">
        <v>117</v>
      </c>
      <c r="H1862" s="22" t="s">
        <v>117</v>
      </c>
      <c r="I1862" s="26">
        <v>43732.725995370398</v>
      </c>
      <c r="J1862" s="23" t="str">
        <f>HYPERLINK("https://www.spark-marketing.ru/Card/Person/133962", "ООО ""НОВЫЙ ВЕК""")</f>
        <v>ООО "НОВЫЙ ВЕК"</v>
      </c>
      <c r="K1862" s="24" t="s">
        <v>3583</v>
      </c>
      <c r="L1862" s="28" t="s">
        <v>51</v>
      </c>
      <c r="M1862" s="25">
        <v>39899974.859999999</v>
      </c>
      <c r="N1862" s="27">
        <v>0</v>
      </c>
    </row>
    <row r="1863" spans="1:14" x14ac:dyDescent="0.15">
      <c r="A1863" s="23" t="str">
        <f>HYPERLINK("https://www.spark-marketing.ru/Card/Person/116457", "ОМВД РОССИИ ПО ВОЛХОВСКОМУ РАЙОНУ ЛО")</f>
        <v>ОМВД РОССИИ ПО ВОЛХОВСКОМУ РАЙОНУ ЛО</v>
      </c>
      <c r="B1863" s="24" t="s">
        <v>3335</v>
      </c>
      <c r="C1863" s="25">
        <v>460000</v>
      </c>
      <c r="D1863" s="22" t="s">
        <v>3584</v>
      </c>
      <c r="E1863" s="22" t="s">
        <v>96</v>
      </c>
      <c r="F1863" s="23" t="str">
        <f>HYPERLINK("https://www.spark-marketing.ru/Card/Lot/73861159", "Услуги по обеспечению питанием прочие")</f>
        <v>Услуги по обеспечению питанием прочие</v>
      </c>
      <c r="G1863" s="22" t="s">
        <v>162</v>
      </c>
      <c r="H1863" s="22" t="s">
        <v>3337</v>
      </c>
      <c r="I1863" s="26">
        <v>43732.719444444403</v>
      </c>
      <c r="J1863" s="23" t="str">
        <f>HYPERLINK("https://www.spark-marketing.ru/Card/Person/672559", "ООО ""ДРИАДА""")</f>
        <v>ООО "ДРИАДА"</v>
      </c>
      <c r="K1863" s="24" t="s">
        <v>3338</v>
      </c>
      <c r="L1863" s="22" t="s">
        <v>10</v>
      </c>
      <c r="M1863" s="28" t="s">
        <v>51</v>
      </c>
      <c r="N1863" s="28" t="s">
        <v>51</v>
      </c>
    </row>
    <row r="1864" spans="1:14" x14ac:dyDescent="0.15">
      <c r="A1864" s="23" t="str">
        <f>HYPERLINK("https://www.spark-marketing.ru/Card/Person/10683", "ОМВД РОССИИ ПО СЛАНЦЕВСКОМУ РАЙОНУ ЛО")</f>
        <v>ОМВД РОССИИ ПО СЛАНЦЕВСКОМУ РАЙОНУ ЛО</v>
      </c>
      <c r="B1864" s="24" t="s">
        <v>3585</v>
      </c>
      <c r="C1864" s="25">
        <v>1400000</v>
      </c>
      <c r="D1864" s="22" t="s">
        <v>3586</v>
      </c>
      <c r="E1864" s="22" t="s">
        <v>96</v>
      </c>
      <c r="F1864" s="23" t="str">
        <f>HYPERLINK("https://www.spark-marketing.ru/Card/Lot/73863492", "Оказание услуг по организации трехразового горячего питания в сутки лиц, содержащихся в изоляторе временного содержания подозреваемых и обвиняемых ОМВД России по Сланцевскому району ЛО, а также лиц, задержанных за административные правонарушения на с...")</f>
        <v>Оказание услуг по организации трехразового горячего питания в сутки лиц, содержащихся в изоляторе временного содержания подозреваемых и обвиняемых ОМВД России по Сланцевскому району ЛО, а также лиц, задержанных за административные правонарушения на с...</v>
      </c>
      <c r="G1864" s="22" t="s">
        <v>162</v>
      </c>
      <c r="H1864" s="22" t="s">
        <v>162</v>
      </c>
      <c r="I1864" s="26">
        <v>43732.747800925899</v>
      </c>
      <c r="J1864" s="23" t="str">
        <f>HYPERLINK("https://www.spark-marketing.ru/Card/Person/369583", "ООО ""АРЕОЛЬ""")</f>
        <v>ООО "АРЕОЛЬ"</v>
      </c>
      <c r="K1864" s="24" t="s">
        <v>3587</v>
      </c>
      <c r="L1864" s="22" t="s">
        <v>10</v>
      </c>
      <c r="M1864" s="28" t="s">
        <v>51</v>
      </c>
      <c r="N1864" s="28" t="s">
        <v>51</v>
      </c>
    </row>
    <row r="1865" spans="1:14" x14ac:dyDescent="0.15">
      <c r="A1865" s="23" t="str">
        <f>HYPERLINK("https://www.spark-marketing.ru/Card/Person/947851", "МБОУ СОШ № 4")</f>
        <v>МБОУ СОШ № 4</v>
      </c>
      <c r="B1865" s="24" t="s">
        <v>3588</v>
      </c>
      <c r="C1865" s="25">
        <v>427687.82</v>
      </c>
      <c r="D1865" s="22" t="s">
        <v>3589</v>
      </c>
      <c r="E1865" s="22" t="s">
        <v>48</v>
      </c>
      <c r="F1865" s="23" t="str">
        <f>HYPERLINK("https://www.spark-marketing.ru/Card/Lot/73860122", "оказание услуг по организации горячего питания для обучающихся муниципального бюджетного общеобразовательного учреждения средней общеобразовательной школы № 4 в соответствии со Спецификацией (приложение № 1), утвержденной Заказчиком и описанием объек...")</f>
        <v>оказание услуг по организации горячего питания для обучающихся муниципального бюджетного общеобразовательного учреждения средней общеобразовательной школы № 4 в соответствии со Спецификацией (приложение № 1), утвержденной Заказчиком и описанием объек...</v>
      </c>
      <c r="G1865" s="22" t="s">
        <v>281</v>
      </c>
      <c r="H1865" s="22" t="s">
        <v>1436</v>
      </c>
      <c r="I1865" s="26">
        <v>43732.722222222197</v>
      </c>
      <c r="J1865" s="23" t="str">
        <f>HYPERLINK("https://www.spark-marketing.ru/Card/Person/171101", "Майоров Виталий Александрович")</f>
        <v>Майоров Виталий Александрович</v>
      </c>
      <c r="K1865" s="24" t="s">
        <v>3590</v>
      </c>
      <c r="L1865" s="22" t="s">
        <v>10</v>
      </c>
      <c r="M1865" s="28" t="s">
        <v>51</v>
      </c>
      <c r="N1865" s="28" t="s">
        <v>51</v>
      </c>
    </row>
    <row r="1866" spans="1:14" x14ac:dyDescent="0.15">
      <c r="A1866" s="23" t="s">
        <v>114</v>
      </c>
      <c r="B1866" s="28" t="s">
        <v>51</v>
      </c>
      <c r="C1866" s="25">
        <v>38829672.990000002</v>
      </c>
      <c r="D1866" s="22" t="s">
        <v>3591</v>
      </c>
      <c r="E1866" s="22" t="s">
        <v>48</v>
      </c>
      <c r="F1866" s="23" t="str">
        <f t="shared" ref="F1866:F1880" si="27">HYPERLINK("https://www.spark-marketing.ru/Card/Lot/73862340", "ОКАЗАНИЕ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31.05.2020")</f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66" s="22" t="s">
        <v>51</v>
      </c>
      <c r="H1866" s="22" t="s">
        <v>51</v>
      </c>
      <c r="I1866" s="26">
        <v>43732.742025462998</v>
      </c>
      <c r="J1866" s="28" t="s">
        <v>51</v>
      </c>
      <c r="K1866" s="28" t="s">
        <v>51</v>
      </c>
      <c r="L1866" s="28" t="s">
        <v>51</v>
      </c>
      <c r="M1866" s="28" t="s">
        <v>51</v>
      </c>
      <c r="N1866" s="28" t="s">
        <v>51</v>
      </c>
    </row>
    <row r="1867" spans="1:14" hidden="1" outlineLevel="1" x14ac:dyDescent="0.15">
      <c r="A1867" s="23" t="str">
        <f>HYPERLINK("https://www.spark-marketing.ru/Card/Person/24613", "ГБОУ ШКОЛА № 18 ЦЕНТРАЛЬНОГО РАЙОНА САНКТ-ПЕТЕРБУРГА")</f>
        <v>ГБОУ ШКОЛА № 18 ЦЕНТРАЛЬНОГО РАЙОНА САНКТ-ПЕТЕРБУРГА</v>
      </c>
      <c r="B1867" s="24" t="s">
        <v>3592</v>
      </c>
      <c r="C1867" s="25">
        <v>2244731.2599999998</v>
      </c>
      <c r="D1867" s="22" t="s">
        <v>3591</v>
      </c>
      <c r="E1867" s="22" t="s">
        <v>48</v>
      </c>
      <c r="F1867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67" s="22" t="s">
        <v>117</v>
      </c>
      <c r="H1867" s="22" t="s">
        <v>117</v>
      </c>
      <c r="I1867" s="26">
        <v>43732.742025462998</v>
      </c>
      <c r="J1867" s="28" t="s">
        <v>51</v>
      </c>
      <c r="K1867" s="28" t="s">
        <v>51</v>
      </c>
      <c r="L1867" s="28" t="s">
        <v>51</v>
      </c>
      <c r="M1867" s="28" t="s">
        <v>51</v>
      </c>
      <c r="N1867" s="28" t="s">
        <v>51</v>
      </c>
    </row>
    <row r="1868" spans="1:14" hidden="1" outlineLevel="1" x14ac:dyDescent="0.15">
      <c r="A1868" s="23" t="str">
        <f>HYPERLINK("https://www.spark-marketing.ru/Card/Person/25775", "ГБОУ ГИМНАЗИЯ № 166 ЦЕНТРАЛЬНОГО РАЙОНА САНКТ-ПЕТЕРБУРГА")</f>
        <v>ГБОУ ГИМНАЗИЯ № 166 ЦЕНТРАЛЬНОГО РАЙОНА САНКТ-ПЕТЕРБУРГА</v>
      </c>
      <c r="B1868" s="24" t="s">
        <v>3593</v>
      </c>
      <c r="C1868" s="25">
        <v>4440649.88</v>
      </c>
      <c r="D1868" s="22" t="s">
        <v>3591</v>
      </c>
      <c r="E1868" s="22" t="s">
        <v>48</v>
      </c>
      <c r="F1868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68" s="22" t="s">
        <v>117</v>
      </c>
      <c r="H1868" s="22" t="s">
        <v>117</v>
      </c>
      <c r="I1868" s="26">
        <v>43732.742025462998</v>
      </c>
      <c r="J1868" s="28" t="s">
        <v>51</v>
      </c>
      <c r="K1868" s="28" t="s">
        <v>51</v>
      </c>
      <c r="L1868" s="28" t="s">
        <v>51</v>
      </c>
      <c r="M1868" s="28" t="s">
        <v>51</v>
      </c>
      <c r="N1868" s="28" t="s">
        <v>51</v>
      </c>
    </row>
    <row r="1869" spans="1:14" hidden="1" outlineLevel="1" x14ac:dyDescent="0.15">
      <c r="A1869" s="23" t="str">
        <f>HYPERLINK("https://www.spark-marketing.ru/Card/Person/29168", "ГБОУ ЛИЦЕЙ № 214 ЦЕНТРАЛЬНОГО РАЙОНА САНКТ-ПЕТЕРБУРГА")</f>
        <v>ГБОУ ЛИЦЕЙ № 214 ЦЕНТРАЛЬНОГО РАЙОНА САНКТ-ПЕТЕРБУРГА</v>
      </c>
      <c r="B1869" s="24" t="s">
        <v>3594</v>
      </c>
      <c r="C1869" s="25">
        <v>1862050.5</v>
      </c>
      <c r="D1869" s="22" t="s">
        <v>3591</v>
      </c>
      <c r="E1869" s="22" t="s">
        <v>48</v>
      </c>
      <c r="F1869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69" s="22" t="s">
        <v>117</v>
      </c>
      <c r="H1869" s="22" t="s">
        <v>117</v>
      </c>
      <c r="I1869" s="26">
        <v>43732.742025462998</v>
      </c>
      <c r="J1869" s="28" t="s">
        <v>51</v>
      </c>
      <c r="K1869" s="28" t="s">
        <v>51</v>
      </c>
      <c r="L1869" s="28" t="s">
        <v>51</v>
      </c>
      <c r="M1869" s="28" t="s">
        <v>51</v>
      </c>
      <c r="N1869" s="28" t="s">
        <v>51</v>
      </c>
    </row>
    <row r="1870" spans="1:14" hidden="1" outlineLevel="1" x14ac:dyDescent="0.15">
      <c r="A1870" s="23" t="str">
        <f>HYPERLINK("https://www.spark-marketing.ru/Card/Person/49681", "ГБОУ ШКОЛА № 169 С УГЛУБЛЕННЫМ ИЗУЧЕНИЕМ АНГЛИЙСКОГО ЯЗЫКА ЦЕНТРАЛЬНОГО РАЙОНА САНКТ-ПЕТЕРБУРГА.")</f>
        <v>ГБОУ ШКОЛА № 169 С УГЛУБЛЕННЫМ ИЗУЧЕНИЕМ АНГЛИЙСКОГО ЯЗЫКА ЦЕНТРАЛЬНОГО РАЙОНА САНКТ-ПЕТЕРБУРГА.</v>
      </c>
      <c r="B1870" s="24" t="s">
        <v>3595</v>
      </c>
      <c r="C1870" s="25">
        <v>2889020.67</v>
      </c>
      <c r="D1870" s="22" t="s">
        <v>3591</v>
      </c>
      <c r="E1870" s="22" t="s">
        <v>48</v>
      </c>
      <c r="F1870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70" s="22" t="s">
        <v>117</v>
      </c>
      <c r="H1870" s="22" t="s">
        <v>117</v>
      </c>
      <c r="I1870" s="26">
        <v>43732.742025462998</v>
      </c>
      <c r="J1870" s="28" t="s">
        <v>51</v>
      </c>
      <c r="K1870" s="28" t="s">
        <v>51</v>
      </c>
      <c r="L1870" s="28" t="s">
        <v>51</v>
      </c>
      <c r="M1870" s="28" t="s">
        <v>51</v>
      </c>
      <c r="N1870" s="28" t="s">
        <v>51</v>
      </c>
    </row>
    <row r="1871" spans="1:14" hidden="1" outlineLevel="1" x14ac:dyDescent="0.15">
      <c r="A1871" s="23" t="str">
        <f>HYPERLINK("https://www.spark-marketing.ru/Card/Person/66362", "ГБОУ ГИМНАЗИЯ № 155")</f>
        <v>ГБОУ ГИМНАЗИЯ № 155</v>
      </c>
      <c r="B1871" s="24" t="s">
        <v>3596</v>
      </c>
      <c r="C1871" s="25">
        <v>2997331.28</v>
      </c>
      <c r="D1871" s="22" t="s">
        <v>3591</v>
      </c>
      <c r="E1871" s="22" t="s">
        <v>48</v>
      </c>
      <c r="F1871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71" s="22" t="s">
        <v>117</v>
      </c>
      <c r="H1871" s="22" t="s">
        <v>117</v>
      </c>
      <c r="I1871" s="26">
        <v>43732.742025462998</v>
      </c>
      <c r="J1871" s="28" t="s">
        <v>51</v>
      </c>
      <c r="K1871" s="28" t="s">
        <v>51</v>
      </c>
      <c r="L1871" s="28" t="s">
        <v>51</v>
      </c>
      <c r="M1871" s="28" t="s">
        <v>51</v>
      </c>
      <c r="N1871" s="28" t="s">
        <v>51</v>
      </c>
    </row>
    <row r="1872" spans="1:14" hidden="1" outlineLevel="1" x14ac:dyDescent="0.15">
      <c r="A1872" s="23" t="str">
        <f>HYPERLINK("https://www.spark-marketing.ru/Card/Person/88473", "ГБОУ ГИМНАЗИЯ № 168 ЦЕНТРАЛЬНОГО РАЙОНА САНКТ-ПЕТЕРБУРГА")</f>
        <v>ГБОУ ГИМНАЗИЯ № 168 ЦЕНТРАЛЬНОГО РАЙОНА САНКТ-ПЕТЕРБУРГА</v>
      </c>
      <c r="B1872" s="24" t="s">
        <v>3597</v>
      </c>
      <c r="C1872" s="25">
        <v>2691057.97</v>
      </c>
      <c r="D1872" s="22" t="s">
        <v>3591</v>
      </c>
      <c r="E1872" s="22" t="s">
        <v>48</v>
      </c>
      <c r="F1872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72" s="22" t="s">
        <v>117</v>
      </c>
      <c r="H1872" s="22" t="s">
        <v>117</v>
      </c>
      <c r="I1872" s="26">
        <v>43732.742025462998</v>
      </c>
      <c r="J1872" s="28" t="s">
        <v>51</v>
      </c>
      <c r="K1872" s="28" t="s">
        <v>51</v>
      </c>
      <c r="L1872" s="28" t="s">
        <v>51</v>
      </c>
      <c r="M1872" s="28" t="s">
        <v>51</v>
      </c>
      <c r="N1872" s="28" t="s">
        <v>51</v>
      </c>
    </row>
    <row r="1873" spans="1:14" hidden="1" outlineLevel="1" x14ac:dyDescent="0.15">
      <c r="A1873" s="23" t="str">
        <f>HYPERLINK("https://www.spark-marketing.ru/Card/Person/91738", "ГБОУ ГИМНАЗИЯ № 209 ""ПАВЛОВСКАЯ ГИМНАЗИЯ""")</f>
        <v>ГБОУ ГИМНАЗИЯ № 209 "ПАВЛОВСКАЯ ГИМНАЗИЯ"</v>
      </c>
      <c r="B1873" s="24" t="s">
        <v>3598</v>
      </c>
      <c r="C1873" s="25">
        <v>2976198.16</v>
      </c>
      <c r="D1873" s="22" t="s">
        <v>3591</v>
      </c>
      <c r="E1873" s="22" t="s">
        <v>48</v>
      </c>
      <c r="F1873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73" s="22" t="s">
        <v>117</v>
      </c>
      <c r="H1873" s="22" t="s">
        <v>117</v>
      </c>
      <c r="I1873" s="26">
        <v>43732.742025462998</v>
      </c>
      <c r="J1873" s="28" t="s">
        <v>51</v>
      </c>
      <c r="K1873" s="28" t="s">
        <v>51</v>
      </c>
      <c r="L1873" s="28" t="s">
        <v>51</v>
      </c>
      <c r="M1873" s="28" t="s">
        <v>51</v>
      </c>
      <c r="N1873" s="28" t="s">
        <v>51</v>
      </c>
    </row>
    <row r="1874" spans="1:14" hidden="1" outlineLevel="1" x14ac:dyDescent="0.15">
      <c r="A1874" s="23" t="str">
        <f>HYPERLINK("https://www.spark-marketing.ru/Card/Person/93788", "ГБОУ СОШ № 153 ЦЕНТРАЛЬНОГО РАЙОНА СПБ")</f>
        <v>ГБОУ СОШ № 153 ЦЕНТРАЛЬНОГО РАЙОНА СПБ</v>
      </c>
      <c r="B1874" s="24" t="s">
        <v>3599</v>
      </c>
      <c r="C1874" s="25">
        <v>1288824.3400000001</v>
      </c>
      <c r="D1874" s="22" t="s">
        <v>3591</v>
      </c>
      <c r="E1874" s="22" t="s">
        <v>48</v>
      </c>
      <c r="F1874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74" s="22" t="s">
        <v>117</v>
      </c>
      <c r="H1874" s="22" t="s">
        <v>117</v>
      </c>
      <c r="I1874" s="26">
        <v>43732.742025462998</v>
      </c>
      <c r="J1874" s="28" t="s">
        <v>51</v>
      </c>
      <c r="K1874" s="28" t="s">
        <v>51</v>
      </c>
      <c r="L1874" s="28" t="s">
        <v>51</v>
      </c>
      <c r="M1874" s="28" t="s">
        <v>51</v>
      </c>
      <c r="N1874" s="28" t="s">
        <v>51</v>
      </c>
    </row>
    <row r="1875" spans="1:14" hidden="1" outlineLevel="1" x14ac:dyDescent="0.15">
      <c r="A1875" s="23" t="str">
        <f>HYPERLINK("https://www.spark-marketing.ru/Card/Person/122145", "ГБОУ ШКОЛА №174")</f>
        <v>ГБОУ ШКОЛА №174</v>
      </c>
      <c r="B1875" s="24" t="s">
        <v>3600</v>
      </c>
      <c r="C1875" s="25">
        <v>1512073.38</v>
      </c>
      <c r="D1875" s="22" t="s">
        <v>3591</v>
      </c>
      <c r="E1875" s="22" t="s">
        <v>48</v>
      </c>
      <c r="F1875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75" s="22" t="s">
        <v>117</v>
      </c>
      <c r="H1875" s="22" t="s">
        <v>117</v>
      </c>
      <c r="I1875" s="26">
        <v>43732.742025462998</v>
      </c>
      <c r="J1875" s="28" t="s">
        <v>51</v>
      </c>
      <c r="K1875" s="28" t="s">
        <v>51</v>
      </c>
      <c r="L1875" s="28" t="s">
        <v>51</v>
      </c>
      <c r="M1875" s="28" t="s">
        <v>51</v>
      </c>
      <c r="N1875" s="28" t="s">
        <v>51</v>
      </c>
    </row>
    <row r="1876" spans="1:14" hidden="1" outlineLevel="1" x14ac:dyDescent="0.15">
      <c r="A1876" s="23" t="str">
        <f>HYPERLINK("https://www.spark-marketing.ru/Card/Person/130432", "ГБОУ ШКОЛА № 167 ЦЕНТРАЛЬНОГО РАЙОНА САНКТ-ПЕТЕРБУРГА")</f>
        <v>ГБОУ ШКОЛА № 167 ЦЕНТРАЛЬНОГО РАЙОНА САНКТ-ПЕТЕРБУРГА</v>
      </c>
      <c r="B1876" s="24" t="s">
        <v>3601</v>
      </c>
      <c r="C1876" s="25">
        <v>4075027.97</v>
      </c>
      <c r="D1876" s="22" t="s">
        <v>3591</v>
      </c>
      <c r="E1876" s="22" t="s">
        <v>48</v>
      </c>
      <c r="F1876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76" s="22" t="s">
        <v>117</v>
      </c>
      <c r="H1876" s="22" t="s">
        <v>117</v>
      </c>
      <c r="I1876" s="26">
        <v>43732.742025462998</v>
      </c>
      <c r="J1876" s="28" t="s">
        <v>51</v>
      </c>
      <c r="K1876" s="28" t="s">
        <v>51</v>
      </c>
      <c r="L1876" s="28" t="s">
        <v>51</v>
      </c>
      <c r="M1876" s="28" t="s">
        <v>51</v>
      </c>
      <c r="N1876" s="28" t="s">
        <v>51</v>
      </c>
    </row>
    <row r="1877" spans="1:14" hidden="1" outlineLevel="1" x14ac:dyDescent="0.15">
      <c r="A1877" s="23" t="str">
        <f>HYPERLINK("https://www.spark-marketing.ru/Card/Person/151264", "ГБОУ ШКОЛА № 5 ЦЕНТРАЛЬНОГО РАЙОНА САНКТ-ПЕТЕРБУРГА")</f>
        <v>ГБОУ ШКОЛА № 5 ЦЕНТРАЛЬНОГО РАЙОНА САНКТ-ПЕТЕРБУРГА</v>
      </c>
      <c r="B1877" s="24" t="s">
        <v>3602</v>
      </c>
      <c r="C1877" s="25">
        <v>5929478.7999999998</v>
      </c>
      <c r="D1877" s="22" t="s">
        <v>3591</v>
      </c>
      <c r="E1877" s="22" t="s">
        <v>48</v>
      </c>
      <c r="F1877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77" s="22" t="s">
        <v>117</v>
      </c>
      <c r="H1877" s="22" t="s">
        <v>117</v>
      </c>
      <c r="I1877" s="26">
        <v>43732.742025462998</v>
      </c>
      <c r="J1877" s="28" t="s">
        <v>51</v>
      </c>
      <c r="K1877" s="28" t="s">
        <v>51</v>
      </c>
      <c r="L1877" s="28" t="s">
        <v>51</v>
      </c>
      <c r="M1877" s="28" t="s">
        <v>51</v>
      </c>
      <c r="N1877" s="28" t="s">
        <v>51</v>
      </c>
    </row>
    <row r="1878" spans="1:14" hidden="1" outlineLevel="1" x14ac:dyDescent="0.15">
      <c r="A1878" s="23" t="str">
        <f>HYPERLINK("https://www.spark-marketing.ru/Card/Person/241232", "ГБОУ ШКОЛА № 207 С УГЛУБЛЕННЫМ ИЗУЧЕНИЕМ АНГЛИЙСКОГО ЯЗЫКА")</f>
        <v>ГБОУ ШКОЛА № 207 С УГЛУБЛЕННЫМ ИЗУЧЕНИЕМ АНГЛИЙСКОГО ЯЗЫКА</v>
      </c>
      <c r="B1878" s="24" t="s">
        <v>3603</v>
      </c>
      <c r="C1878" s="25">
        <v>4439272.88</v>
      </c>
      <c r="D1878" s="22" t="s">
        <v>3591</v>
      </c>
      <c r="E1878" s="22" t="s">
        <v>48</v>
      </c>
      <c r="F1878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78" s="22" t="s">
        <v>117</v>
      </c>
      <c r="H1878" s="22" t="s">
        <v>117</v>
      </c>
      <c r="I1878" s="26">
        <v>43732.742025462998</v>
      </c>
      <c r="J1878" s="28" t="s">
        <v>51</v>
      </c>
      <c r="K1878" s="28" t="s">
        <v>51</v>
      </c>
      <c r="L1878" s="28" t="s">
        <v>51</v>
      </c>
      <c r="M1878" s="28" t="s">
        <v>51</v>
      </c>
      <c r="N1878" s="28" t="s">
        <v>51</v>
      </c>
    </row>
    <row r="1879" spans="1:14" hidden="1" outlineLevel="1" x14ac:dyDescent="0.15">
      <c r="A1879" s="23" t="str">
        <f>HYPERLINK("https://www.spark-marketing.ru/Card/Person/242383", "ГБОУ ЦЕНТР ОБРАЗОВАНИЯ № 80")</f>
        <v>ГБОУ ЦЕНТР ОБРАЗОВАНИЯ № 80</v>
      </c>
      <c r="B1879" s="24" t="s">
        <v>3604</v>
      </c>
      <c r="C1879" s="25">
        <v>169413.68</v>
      </c>
      <c r="D1879" s="22" t="s">
        <v>3591</v>
      </c>
      <c r="E1879" s="22" t="s">
        <v>48</v>
      </c>
      <c r="F1879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79" s="22" t="s">
        <v>117</v>
      </c>
      <c r="H1879" s="22" t="s">
        <v>117</v>
      </c>
      <c r="I1879" s="26">
        <v>43732.742025462998</v>
      </c>
      <c r="J1879" s="28" t="s">
        <v>51</v>
      </c>
      <c r="K1879" s="28" t="s">
        <v>51</v>
      </c>
      <c r="L1879" s="28" t="s">
        <v>51</v>
      </c>
      <c r="M1879" s="28" t="s">
        <v>51</v>
      </c>
      <c r="N1879" s="28" t="s">
        <v>51</v>
      </c>
    </row>
    <row r="1880" spans="1:14" hidden="1" outlineLevel="1" x14ac:dyDescent="0.15">
      <c r="A1880" s="23" t="str">
        <f>HYPERLINK("https://www.spark-marketing.ru/Card/Person/242492", "ГБОУ ШКОЛА № 178")</f>
        <v>ГБОУ ШКОЛА № 178</v>
      </c>
      <c r="B1880" s="24" t="s">
        <v>3605</v>
      </c>
      <c r="C1880" s="25">
        <v>1314542.22</v>
      </c>
      <c r="D1880" s="22" t="s">
        <v>3591</v>
      </c>
      <c r="E1880" s="22" t="s">
        <v>48</v>
      </c>
      <c r="F1880" s="23" t="str">
        <f t="shared" si="27"/>
        <v>ОКАЗАНИЕ УСЛУГ ПО ОРГАНИЗАЦИИ ПИТАНИЯ ОБУЧАЮЩИХСЯ В ОБРАЗОВАТЕЛЬНЫХ УЧРЕЖДЕНИЯХ, ПОДВЕДОМСТВЕННЫХ АДМИНИСТРАЦИИ ЦЕНТРАЛЬНОГО РАЙОНА САНКТ-ПЕТЕРБУРГА В УЧЕБНЫЙ ПЕРИОД С 01.11.2019 ПО 31.05.2020</v>
      </c>
      <c r="G1880" s="22" t="s">
        <v>117</v>
      </c>
      <c r="H1880" s="22" t="s">
        <v>117</v>
      </c>
      <c r="I1880" s="26">
        <v>43732.742025462998</v>
      </c>
      <c r="J1880" s="28" t="s">
        <v>51</v>
      </c>
      <c r="K1880" s="28" t="s">
        <v>51</v>
      </c>
      <c r="L1880" s="28" t="s">
        <v>51</v>
      </c>
      <c r="M1880" s="28" t="s">
        <v>51</v>
      </c>
      <c r="N1880" s="28" t="s">
        <v>51</v>
      </c>
    </row>
    <row r="1881" spans="1:14" x14ac:dyDescent="0.15">
      <c r="A1881" s="23" t="str">
        <f>HYPERLINK("https://www.spark-marketing.ru/Card/Person/1002833", "МБОУ ""ГАТЧИНСКАЯ СОШ №1""")</f>
        <v>МБОУ "ГАТЧИНСКАЯ СОШ №1"</v>
      </c>
      <c r="B1881" s="24" t="s">
        <v>3606</v>
      </c>
      <c r="C1881" s="25">
        <v>2788136</v>
      </c>
      <c r="D1881" s="22" t="s">
        <v>3607</v>
      </c>
      <c r="E1881" s="22" t="s">
        <v>48</v>
      </c>
      <c r="F1881" s="23" t="str">
        <f>HYPERLINK("https://www.spark-marketing.ru/Card/Lot/73863600", "Оказание услуг по организации горячего питания для учащихся МБОУ ""Гатчинская СОШ №1""в 2019-2020 учебном году")</f>
        <v>Оказание услуг по организации горячего питания для учащихся МБОУ "Гатчинская СОШ №1"в 2019-2020 учебном году</v>
      </c>
      <c r="G1881" s="22" t="s">
        <v>162</v>
      </c>
      <c r="H1881" s="22" t="s">
        <v>2343</v>
      </c>
      <c r="I1881" s="26">
        <v>43732.740833333301</v>
      </c>
      <c r="J1881" s="28" t="s">
        <v>51</v>
      </c>
      <c r="K1881" s="28" t="s">
        <v>51</v>
      </c>
      <c r="L1881" s="28" t="s">
        <v>51</v>
      </c>
      <c r="M1881" s="28" t="s">
        <v>51</v>
      </c>
      <c r="N1881" s="28" t="s">
        <v>51</v>
      </c>
    </row>
    <row r="1882" spans="1:14" hidden="1" outlineLevel="1" x14ac:dyDescent="0.2">
      <c r="A1882" s="23" t="str">
        <f>HYPERLINK("https://www.spark-marketing.ru/Card/Person/1002833", "МБОУ ""ГАТЧИНСКАЯ СОШ №1""")</f>
        <v>МБОУ "ГАТЧИНСКАЯ СОШ №1"</v>
      </c>
      <c r="B1882" s="24" t="s">
        <v>3606</v>
      </c>
      <c r="C1882" s="25">
        <v>2788136</v>
      </c>
      <c r="D1882" s="22" t="s">
        <v>3607</v>
      </c>
      <c r="E1882" s="22" t="s">
        <v>48</v>
      </c>
      <c r="F1882" s="23" t="str">
        <f>HYPERLINK("https://www.spark-marketing.ru/Card/Lot/73863600", "Оказание услуг по организации горячего питания для учащихся МБОУ ""Гатчинская СОШ №1""в 2019-2020 учебном году")</f>
        <v>Оказание услуг по организации горячего питания для учащихся МБОУ "Гатчинская СОШ №1"в 2019-2020 учебном году</v>
      </c>
      <c r="G1882" s="22" t="s">
        <v>162</v>
      </c>
      <c r="H1882" s="22" t="s">
        <v>2343</v>
      </c>
      <c r="I1882" s="26">
        <v>43732.740833333301</v>
      </c>
      <c r="J1882" s="23" t="str">
        <f>HYPERLINK("https://www.spark-marketing.ru/Card/Person/90096", "Смирнов Иван Андреевич")</f>
        <v>Смирнов Иван Андреевич</v>
      </c>
      <c r="K1882" s="24" t="s">
        <v>3608</v>
      </c>
      <c r="L1882" s="28" t="s">
        <v>51</v>
      </c>
      <c r="M1882" s="25">
        <v>1923813.84</v>
      </c>
      <c r="N1882" s="27">
        <v>0.31</v>
      </c>
    </row>
    <row r="1883" spans="1:14" ht="12.75" hidden="1" outlineLevel="1" x14ac:dyDescent="0.2">
      <c r="A1883" s="23" t="str">
        <f>HYPERLINK("https://www.spark-marketing.ru/Card/Person/1002833", "МБОУ ""ГАТЧИНСКАЯ СОШ №1""")</f>
        <v>МБОУ "ГАТЧИНСКАЯ СОШ №1"</v>
      </c>
      <c r="B1883" s="24" t="s">
        <v>3606</v>
      </c>
      <c r="C1883" s="25">
        <v>2788136</v>
      </c>
      <c r="D1883" s="22" t="s">
        <v>3607</v>
      </c>
      <c r="E1883" s="22" t="s">
        <v>48</v>
      </c>
      <c r="F1883" s="23" t="str">
        <f>HYPERLINK("https://www.spark-marketing.ru/Card/Lot/73863600", "Оказание услуг по организации горячего питания для учащихся МБОУ ""Гатчинская СОШ №1""в 2019-2020 учебном году")</f>
        <v>Оказание услуг по организации горячего питания для учащихся МБОУ "Гатчинская СОШ №1"в 2019-2020 учебном году</v>
      </c>
      <c r="G1883" s="22" t="s">
        <v>162</v>
      </c>
      <c r="H1883" s="22" t="s">
        <v>2343</v>
      </c>
      <c r="I1883" s="26">
        <v>43732.740833333301</v>
      </c>
      <c r="J1883" s="23" t="str">
        <f>HYPERLINK("https://www.spark-marketing.ru/Card/Person/671691", "Богоявленская Людмила Александровна")</f>
        <v>Богоявленская Людмила Александровна</v>
      </c>
      <c r="K1883" s="24" t="s">
        <v>3609</v>
      </c>
      <c r="L1883" s="22" t="s">
        <v>10</v>
      </c>
      <c r="M1883" s="25">
        <v>1905678.32</v>
      </c>
      <c r="N1883" s="27">
        <v>0.31650453206012907</v>
      </c>
    </row>
    <row r="1884" spans="1:14" x14ac:dyDescent="0.15">
      <c r="A1884" s="23" t="str">
        <f>HYPERLINK("https://www.spark-marketing.ru/Card/Person/103612", "МОМВД РОССИИ ""УВАРОВСКИЙ""")</f>
        <v>МОМВД РОССИИ "УВАРОВСКИЙ"</v>
      </c>
      <c r="B1884" s="24" t="s">
        <v>3610</v>
      </c>
      <c r="C1884" s="25">
        <v>897300</v>
      </c>
      <c r="D1884" s="22" t="s">
        <v>3611</v>
      </c>
      <c r="E1884" s="22" t="s">
        <v>48</v>
      </c>
      <c r="F1884" s="23" t="str">
        <f>HYPERLINK("https://www.spark-marketing.ru/Card/Lot/73862364", "Оказание услуг по приготовлению и поставке трёхразового горячего питания лицам, арестованных в административном порядке, содержащихся в изоляторе временного содержания подозреваемых и обвиняемых, а также в дежурных частях")</f>
        <v>Оказание услуг по приготовлению и поставке трёхразового горячего питания лицам, арестованных в административном порядке, содержащихся в изоляторе временного содержания подозреваемых и обвиняемых, а также в дежурных частях</v>
      </c>
      <c r="G1884" s="22" t="s">
        <v>1370</v>
      </c>
      <c r="H1884" s="22" t="s">
        <v>3612</v>
      </c>
      <c r="I1884" s="26">
        <v>43732.723749999997</v>
      </c>
      <c r="J1884" s="23" t="str">
        <f>HYPERLINK("https://www.spark-marketing.ru/Card/Person/4416918", "ООО""ЛАГУНА""")</f>
        <v>ООО"ЛАГУНА"</v>
      </c>
      <c r="K1884" s="24" t="s">
        <v>3613</v>
      </c>
      <c r="L1884" s="22" t="s">
        <v>10</v>
      </c>
      <c r="M1884" s="28" t="s">
        <v>51</v>
      </c>
      <c r="N1884" s="28" t="s">
        <v>51</v>
      </c>
    </row>
    <row r="1885" spans="1:14" x14ac:dyDescent="0.15">
      <c r="A1885" s="23" t="str">
        <f>HYPERLINK("https://www.spark-marketing.ru/Card/Person/4348005", "Адыгейский ПСО МЧС России (ФЛ ФГБУ ""ЮРПСО МЧС России"")")</f>
        <v>Адыгейский ПСО МЧС России (ФЛ ФГБУ "ЮРПСО МЧС России")</v>
      </c>
      <c r="B1885" s="24" t="s">
        <v>1270</v>
      </c>
      <c r="C1885" s="25">
        <v>475200</v>
      </c>
      <c r="D1885" s="22" t="s">
        <v>3614</v>
      </c>
      <c r="E1885" s="22" t="s">
        <v>48</v>
      </c>
      <c r="F1885" s="23" t="str">
        <f>HYPERLINK("https://www.spark-marketing.ru/Card/Lot/73860187", "Услуги по обеспечению готовым питанием спасателей")</f>
        <v>Услуги по обеспечению готовым питанием спасателей</v>
      </c>
      <c r="G1885" s="22" t="s">
        <v>104</v>
      </c>
      <c r="H1885" s="22" t="s">
        <v>104</v>
      </c>
      <c r="I1885" s="26">
        <v>43732.729166666701</v>
      </c>
      <c r="J1885" s="28" t="s">
        <v>51</v>
      </c>
      <c r="K1885" s="28" t="s">
        <v>51</v>
      </c>
      <c r="L1885" s="28" t="s">
        <v>51</v>
      </c>
      <c r="M1885" s="28" t="s">
        <v>51</v>
      </c>
      <c r="N1885" s="28" t="s">
        <v>51</v>
      </c>
    </row>
    <row r="1886" spans="1:14" x14ac:dyDescent="0.15">
      <c r="A1886" s="23" t="str">
        <f>HYPERLINK("https://www.spark-marketing.ru/Card/Person/103612", "МОМВД РОССИИ ""УВАРОВСКИЙ""")</f>
        <v>МОМВД РОССИИ "УВАРОВСКИЙ"</v>
      </c>
      <c r="B1886" s="24" t="s">
        <v>3610</v>
      </c>
      <c r="C1886" s="25">
        <v>754100</v>
      </c>
      <c r="D1886" s="22" t="s">
        <v>3615</v>
      </c>
      <c r="E1886" s="22" t="s">
        <v>48</v>
      </c>
      <c r="F1886" s="23" t="str">
        <f>HYPERLINK("https://www.spark-marketing.ru/Card/Lot/73860600", "Оказание услуг  по  приготовлению и поставке трёхразового горячего питания лицам, арестованных в административном порядке, содержащихся в изоляторе временного содержания подозреваемых и обвиняемых и дежурных частях")</f>
        <v>Оказание услуг  по  приготовлению и поставке трёхразового горячего питания лицам, арестованных в административном порядке, содержащихся в изоляторе временного содержания подозреваемых и обвиняемых и дежурных частях</v>
      </c>
      <c r="G1886" s="22" t="s">
        <v>1370</v>
      </c>
      <c r="H1886" s="22" t="s">
        <v>3612</v>
      </c>
      <c r="I1886" s="26">
        <v>43732.722916666702</v>
      </c>
      <c r="J1886" s="23" t="str">
        <f>HYPERLINK("https://www.spark-marketing.ru/Card/Person/4416918", "ООО""ЛАГУНА""")</f>
        <v>ООО"ЛАГУНА"</v>
      </c>
      <c r="K1886" s="24" t="s">
        <v>3613</v>
      </c>
      <c r="L1886" s="22" t="s">
        <v>10</v>
      </c>
      <c r="M1886" s="28" t="s">
        <v>51</v>
      </c>
      <c r="N1886" s="28" t="s">
        <v>51</v>
      </c>
    </row>
    <row r="1887" spans="1:14" x14ac:dyDescent="0.15">
      <c r="A1887" s="23" t="str">
        <f>HYPERLINK("https://www.spark-marketing.ru/Card/Person/117469", "ОТДЕЛ МВД РОССИИ ПО КРАСНОАРМЕЙСКОМУ РАЙОНУ САРАТОВСКОЙ ОБЛАСТИ")</f>
        <v>ОТДЕЛ МВД РОССИИ ПО КРАСНОАРМЕЙСКОМУ РАЙОНУ САРАТОВСКОЙ ОБЛАСТИ</v>
      </c>
      <c r="B1887" s="24" t="s">
        <v>3616</v>
      </c>
      <c r="C1887" s="25">
        <v>1010160</v>
      </c>
      <c r="D1887" s="22" t="s">
        <v>3617</v>
      </c>
      <c r="E1887" s="22" t="s">
        <v>96</v>
      </c>
      <c r="F1887" s="23" t="str">
        <f>HYPERLINK("https://www.spark-marketing.ru/Card/Lot/73862293", "Оказание услуг по организации трехразового горячего питания лиц, содержащихся в изоляторе временного содержания: подозреваемых и обвиняемых и в комнате содержания задержанных Отдела МВД России по Красноармейскому району Саратовской области в 2020 год...")</f>
        <v>Оказание услуг по организации трехразового горячего питания лиц, содержащихся в изоляторе временного содержания: подозреваемых и обвиняемых и в комнате содержания задержанных Отдела МВД России по Красноармейскому району Саратовской области в 2020 год...</v>
      </c>
      <c r="G1887" s="22" t="s">
        <v>351</v>
      </c>
      <c r="H1887" s="22" t="s">
        <v>3618</v>
      </c>
      <c r="I1887" s="26">
        <v>43732.731122685203</v>
      </c>
      <c r="J1887" s="23" t="str">
        <f>HYPERLINK("https://www.spark-marketing.ru/Card/Person/535831", "ООО ""РУССКИЙ ТРАКТИР""")</f>
        <v>ООО "РУССКИЙ ТРАКТИР"</v>
      </c>
      <c r="K1887" s="24" t="s">
        <v>3619</v>
      </c>
      <c r="L1887" s="22" t="s">
        <v>10</v>
      </c>
      <c r="M1887" s="28" t="s">
        <v>51</v>
      </c>
      <c r="N1887" s="28" t="s">
        <v>51</v>
      </c>
    </row>
    <row r="1888" spans="1:14" x14ac:dyDescent="0.15">
      <c r="A1888" s="23" t="str">
        <f>HYPERLINK("https://www.spark-marketing.ru/Card/Person/1072105", "ОМВД РОССИИ ПО НИКОЛЬСКОМУ РАЙОНУ")</f>
        <v>ОМВД РОССИИ ПО НИКОЛЬСКОМУ РАЙОНУ</v>
      </c>
      <c r="B1888" s="24" t="s">
        <v>2020</v>
      </c>
      <c r="C1888" s="25">
        <v>648000</v>
      </c>
      <c r="D1888" s="22" t="s">
        <v>3620</v>
      </c>
      <c r="E1888" s="22" t="s">
        <v>96</v>
      </c>
      <c r="F1888" s="23" t="str">
        <f>HYPERLINK("https://www.spark-marketing.ru/Card/Lot/73860500", "Оказание услуг по организации трехразового горячего питания для лиц, находящихся в ИВС")</f>
        <v>Оказание услуг по организации трехразового горячего питания для лиц, находящихся в ИВС</v>
      </c>
      <c r="G1888" s="22" t="s">
        <v>503</v>
      </c>
      <c r="H1888" s="22" t="s">
        <v>188</v>
      </c>
      <c r="I1888" s="26">
        <v>43732.686805555597</v>
      </c>
      <c r="J1888" s="23" t="str">
        <f>HYPERLINK("https://www.spark-marketing.ru/Card/Person/522826", "ПО ""ОБЩЕПИТ""")</f>
        <v>ПО "ОБЩЕПИТ"</v>
      </c>
      <c r="K1888" s="24" t="s">
        <v>2022</v>
      </c>
      <c r="L1888" s="22" t="s">
        <v>10</v>
      </c>
      <c r="M1888" s="28" t="s">
        <v>51</v>
      </c>
      <c r="N1888" s="28" t="s">
        <v>51</v>
      </c>
    </row>
    <row r="1889" spans="1:14" x14ac:dyDescent="0.15">
      <c r="A1889" s="23" t="str">
        <f>HYPERLINK("https://www.spark-marketing.ru/Card/Person/47837", "МО МВД РОССИИ ""БУГУРУСЛАНСКИЙ""")</f>
        <v>МО МВД РОССИИ "БУГУРУСЛАНСКИЙ"</v>
      </c>
      <c r="B1889" s="24" t="s">
        <v>3621</v>
      </c>
      <c r="C1889" s="25">
        <v>1394168.2</v>
      </c>
      <c r="D1889" s="22" t="s">
        <v>3622</v>
      </c>
      <c r="E1889" s="22" t="s">
        <v>48</v>
      </c>
      <c r="F1889" s="23" t="str">
        <f>HYPERLINK("https://www.spark-marketing.ru/Card/Lot/73862853", "Питание ИВС")</f>
        <v>Питание ИВС</v>
      </c>
      <c r="G1889" s="22" t="s">
        <v>132</v>
      </c>
      <c r="H1889" s="22" t="s">
        <v>3623</v>
      </c>
      <c r="I1889" s="26">
        <v>43732.684062499997</v>
      </c>
      <c r="J1889" s="23" t="str">
        <f>HYPERLINK("https://www.spark-marketing.ru/Card/Person/2521118", "ООО ""ЖЕМЧУЖИНА""")</f>
        <v>ООО "ЖЕМЧУЖИНА"</v>
      </c>
      <c r="K1889" s="24" t="s">
        <v>3624</v>
      </c>
      <c r="L1889" s="22" t="s">
        <v>10</v>
      </c>
      <c r="M1889" s="28" t="s">
        <v>51</v>
      </c>
      <c r="N1889" s="28" t="s">
        <v>51</v>
      </c>
    </row>
    <row r="1890" spans="1:14" x14ac:dyDescent="0.15">
      <c r="A1890" s="23" t="str">
        <f>HYPERLINK("https://www.spark-marketing.ru/Card/Person/4856439", "ГУ-ВОРОНЕЖСКОЕ РО ФОНДА СОЦИАЛЬНОГО СТРАХОВАНИЯ РОССИЙСКОЙ ФЕДЕРАЦИИ")</f>
        <v>ГУ-ВОРОНЕЖСКОЕ РО ФОНДА СОЦИАЛЬНОГО СТРАХОВАНИЯ РОССИЙСКОЙ ФЕДЕРАЦИИ</v>
      </c>
      <c r="B1890" s="24" t="s">
        <v>3625</v>
      </c>
      <c r="C1890" s="25">
        <v>224586</v>
      </c>
      <c r="D1890" s="22" t="s">
        <v>3626</v>
      </c>
      <c r="E1890" s="22" t="s">
        <v>86</v>
      </c>
      <c r="F1890" s="23" t="str">
        <f>HYPERLINK("https://www.spark-marketing.ru/Card/Lot/73859563", "Оказание услуг санаторно-курортного лечения граждан-получателей государственной социальной помощи в виде набора социальных услуг по профилям лечения болезней системы кровообращения, опорно-двигательного аппарата, органов дыхания, системы пищеварения,...")</f>
        <v>Оказание услуг санаторно-курортного лечения граждан-получателей государственной социальной помощи в виде набора социальных услуг по профилям лечения болезней системы кровообращения, опорно-двигательного аппарата, органов дыхания, системы пищеварения,...</v>
      </c>
      <c r="G1890" s="22" t="s">
        <v>82</v>
      </c>
      <c r="H1890" s="22" t="s">
        <v>82</v>
      </c>
      <c r="I1890" s="26">
        <v>43732.677777777797</v>
      </c>
      <c r="J1890" s="23" t="str">
        <f>HYPERLINK("https://www.spark-marketing.ru/Card/Person/119326", "ООО ""САНАТОРИЙ ИМ.ЦЮРУПЫ""")</f>
        <v>ООО "САНАТОРИЙ ИМ.ЦЮРУПЫ"</v>
      </c>
      <c r="K1890" s="24" t="s">
        <v>3627</v>
      </c>
      <c r="L1890" s="22" t="s">
        <v>10</v>
      </c>
      <c r="M1890" s="28" t="s">
        <v>51</v>
      </c>
      <c r="N1890" s="28" t="s">
        <v>51</v>
      </c>
    </row>
    <row r="1891" spans="1:14" x14ac:dyDescent="0.15">
      <c r="A1891" s="23" t="str">
        <f>HYPERLINK("https://www.spark-marketing.ru/Card/Person/1057902", "ОМВД РОССИИ ПО НЕФТЕЮГАНСКОМУ РАЙОНУ")</f>
        <v>ОМВД РОССИИ ПО НЕФТЕЮГАНСКОМУ РАЙОНУ</v>
      </c>
      <c r="B1891" s="24" t="s">
        <v>3628</v>
      </c>
      <c r="C1891" s="25">
        <v>7300</v>
      </c>
      <c r="D1891" s="22" t="s">
        <v>3629</v>
      </c>
      <c r="E1891" s="22" t="s">
        <v>48</v>
      </c>
      <c r="F1891" s="23" t="str">
        <f>HYPERLINK("https://www.spark-marketing.ru/Card/Lot/73852002", "Услуги по обеспечению питания лиц содержащихся в спец. помещениях задержанных лиц, 20 усл. ед")</f>
        <v>Услуги по обеспечению питания лиц содержащихся в спец. помещениях задержанных лиц, 20 усл. ед</v>
      </c>
      <c r="G1891" s="22" t="s">
        <v>97</v>
      </c>
      <c r="H1891" s="22" t="s">
        <v>363</v>
      </c>
      <c r="I1891" s="26">
        <v>43732.681053240703</v>
      </c>
      <c r="J1891" s="28" t="s">
        <v>51</v>
      </c>
      <c r="K1891" s="28" t="s">
        <v>51</v>
      </c>
      <c r="L1891" s="28" t="s">
        <v>51</v>
      </c>
      <c r="M1891" s="28" t="s">
        <v>51</v>
      </c>
      <c r="N1891" s="28" t="s">
        <v>51</v>
      </c>
    </row>
    <row r="1892" spans="1:14" x14ac:dyDescent="0.15">
      <c r="A1892" s="23" t="str">
        <f>HYPERLINK("https://www.spark-marketing.ru/Card/Person/88037", "ГКОУ СО ""ШКОЛА-ИНТЕРНАТ №17""")</f>
        <v>ГКОУ СО "ШКОЛА-ИНТЕРНАТ №17"</v>
      </c>
      <c r="B1892" s="24" t="s">
        <v>3630</v>
      </c>
      <c r="C1892" s="25">
        <v>864741.36</v>
      </c>
      <c r="D1892" s="22" t="s">
        <v>3631</v>
      </c>
      <c r="E1892" s="22" t="s">
        <v>48</v>
      </c>
      <c r="F1892" s="23" t="str">
        <f>HYPERLINK("https://www.spark-marketing.ru/Card/Lot/73862032", "Оказание услуг по организации школьного питания")</f>
        <v>Оказание услуг по организации школьного питания</v>
      </c>
      <c r="G1892" s="22" t="s">
        <v>174</v>
      </c>
      <c r="H1892" s="22" t="s">
        <v>530</v>
      </c>
      <c r="I1892" s="26">
        <v>43732.684351851902</v>
      </c>
      <c r="J1892" s="23" t="str">
        <f>HYPERLINK("https://www.spark-marketing.ru/Card/Person/1480029", "ООО ""ЖЕМЧУЖИНА""")</f>
        <v>ООО "ЖЕМЧУЖИНА"</v>
      </c>
      <c r="K1892" s="24" t="s">
        <v>3632</v>
      </c>
      <c r="L1892" s="22" t="s">
        <v>10</v>
      </c>
      <c r="M1892" s="28" t="s">
        <v>51</v>
      </c>
      <c r="N1892" s="28" t="s">
        <v>51</v>
      </c>
    </row>
    <row r="1893" spans="1:14" x14ac:dyDescent="0.15">
      <c r="A1893" s="23" t="str">
        <f>HYPERLINK("https://www.spark-marketing.ru/Card/Person/16488", "АДМИНИСТРАЦИЯ ГОРОДА КЕМЕРОВО")</f>
        <v>АДМИНИСТРАЦИЯ ГОРОДА КЕМЕРОВО</v>
      </c>
      <c r="B1893" s="24" t="s">
        <v>3633</v>
      </c>
      <c r="C1893" s="25">
        <v>220000</v>
      </c>
      <c r="D1893" s="22" t="s">
        <v>3634</v>
      </c>
      <c r="E1893" s="22" t="s">
        <v>67</v>
      </c>
      <c r="F1893" s="23" t="str">
        <f>HYPERLINK("https://www.spark-marketing.ru/Card/Lot/73854969", "Оказание услуг по организации общественного питания при проведении общегородских мероприятий")</f>
        <v>Оказание услуг по организации общественного питания при проведении общегородских мероприятий</v>
      </c>
      <c r="G1893" s="22" t="s">
        <v>304</v>
      </c>
      <c r="H1893" s="22" t="s">
        <v>1154</v>
      </c>
      <c r="I1893" s="26">
        <v>43732.698611111096</v>
      </c>
      <c r="J1893" s="23" t="str">
        <f>HYPERLINK("https://www.spark-marketing.ru/Card/Person/625332", "МАУ ""ШКОЛЬНОЕ ПИТАНИЕ""")</f>
        <v>МАУ "ШКОЛЬНОЕ ПИТАНИЕ"</v>
      </c>
      <c r="K1893" s="24" t="s">
        <v>3635</v>
      </c>
      <c r="L1893" s="22" t="s">
        <v>10</v>
      </c>
      <c r="M1893" s="28" t="s">
        <v>51</v>
      </c>
      <c r="N1893" s="28" t="s">
        <v>51</v>
      </c>
    </row>
    <row r="1894" spans="1:14" x14ac:dyDescent="0.15">
      <c r="A1894" s="23" t="str">
        <f>HYPERLINK("https://www.spark-marketing.ru/Card/Person/51739", "БУ ""НИЖНЕВАРТОВСКИЙ ОКРУЖНОЙ КЛИНИЧЕСКИЙ ПЕРИНАТАЛЬНЫЙ ЦЕНТР""")</f>
        <v>БУ "НИЖНЕВАРТОВСКИЙ ОКРУЖНОЙ КЛИНИЧЕСКИЙ ПЕРИНАТАЛЬНЫЙ ЦЕНТР"</v>
      </c>
      <c r="B1894" s="24" t="s">
        <v>3636</v>
      </c>
      <c r="C1894" s="25">
        <v>25240787.399999999</v>
      </c>
      <c r="D1894" s="22" t="s">
        <v>3637</v>
      </c>
      <c r="E1894" s="22" t="s">
        <v>48</v>
      </c>
      <c r="F1894" s="23" t="str">
        <f>HYPERLINK("https://www.spark-marketing.ru/Card/Lot/73863238", "Оказание услуг по организации горячего питания")</f>
        <v>Оказание услуг по организации горячего питания</v>
      </c>
      <c r="G1894" s="22" t="s">
        <v>97</v>
      </c>
      <c r="H1894" s="22" t="s">
        <v>366</v>
      </c>
      <c r="I1894" s="26">
        <v>43732.637106481503</v>
      </c>
      <c r="J1894" s="23" t="str">
        <f>HYPERLINK("https://www.spark-marketing.ru/Card/Person/53572", "ООО ""КАРАВАН""")</f>
        <v>ООО "КАРАВАН"</v>
      </c>
      <c r="K1894" s="24" t="s">
        <v>2373</v>
      </c>
      <c r="L1894" s="22" t="s">
        <v>10</v>
      </c>
      <c r="M1894" s="28" t="s">
        <v>51</v>
      </c>
      <c r="N1894" s="28" t="s">
        <v>51</v>
      </c>
    </row>
    <row r="1895" spans="1:14" x14ac:dyDescent="0.15">
      <c r="A1895" s="23" t="str">
        <f>HYPERLINK("https://www.spark-marketing.ru/Card/Person/4856480", "СО ПОИСКОВО-СПАСАТЕЛЬНЫЙ ОТРЯД МЧС РОССИИ")</f>
        <v>СО ПОИСКОВО-СПАСАТЕЛЬНЫЙ ОТРЯД МЧС РОССИИ</v>
      </c>
      <c r="B1895" s="24" t="s">
        <v>1270</v>
      </c>
      <c r="C1895" s="25">
        <v>108000</v>
      </c>
      <c r="D1895" s="22" t="s">
        <v>3638</v>
      </c>
      <c r="E1895" s="22" t="s">
        <v>96</v>
      </c>
      <c r="F1895" s="23" t="str">
        <f>HYPERLINK("https://www.spark-marketing.ru/Card/Lot/73858873", "Услуги по организации и обеспечению питанием спасателей ПСП «Геленджик» Крымского ПСО МЧС России при несении дежурства")</f>
        <v>Услуги по организации и обеспечению питанием спасателей ПСП «Геленджик» Крымского ПСО МЧС России при несении дежурства</v>
      </c>
      <c r="G1895" s="22" t="s">
        <v>104</v>
      </c>
      <c r="H1895" s="22" t="s">
        <v>104</v>
      </c>
      <c r="I1895" s="26">
        <v>43732.630555555603</v>
      </c>
      <c r="J1895" s="23" t="str">
        <f>HYPERLINK("https://www.spark-marketing.ru/Card/Person/6501837", "Дудина Валерия Игоревна")</f>
        <v>Дудина Валерия Игоревна</v>
      </c>
      <c r="K1895" s="24" t="s">
        <v>3639</v>
      </c>
      <c r="L1895" s="22" t="s">
        <v>10</v>
      </c>
      <c r="M1895" s="28" t="s">
        <v>51</v>
      </c>
      <c r="N1895" s="28" t="s">
        <v>51</v>
      </c>
    </row>
    <row r="1896" spans="1:14" x14ac:dyDescent="0.15">
      <c r="A1896" s="23" t="str">
        <f>HYPERLINK("https://www.spark-marketing.ru/Card/Person/103054", "МВД ПО РЕСПУБЛИКЕ МАРИЙ ЭЛ")</f>
        <v>МВД ПО РЕСПУБЛИКЕ МАРИЙ ЭЛ</v>
      </c>
      <c r="B1896" s="24" t="s">
        <v>3247</v>
      </c>
      <c r="C1896" s="25">
        <v>90000</v>
      </c>
      <c r="D1896" s="22" t="s">
        <v>3640</v>
      </c>
      <c r="E1896" s="22" t="s">
        <v>48</v>
      </c>
      <c r="F1896" s="23" t="str">
        <f>HYPERLINK("https://www.spark-marketing.ru/Card/Lot/73854917", "Оказание услуг по обеспечению готовым питанием лиц, содержащихся в центра временного содержания несовершеннолетних правонарушителей МВД по Республике Марий Эл")</f>
        <v>Оказание услуг по обеспечению готовым питанием лиц, содержащихся в центра временного содержания несовершеннолетних правонарушителей МВД по Республике Марий Эл</v>
      </c>
      <c r="G1896" s="22" t="s">
        <v>3249</v>
      </c>
      <c r="H1896" s="22" t="s">
        <v>3250</v>
      </c>
      <c r="I1896" s="26">
        <v>43732.627083333296</v>
      </c>
      <c r="J1896" s="28" t="s">
        <v>51</v>
      </c>
      <c r="K1896" s="28" t="s">
        <v>51</v>
      </c>
      <c r="L1896" s="28" t="s">
        <v>51</v>
      </c>
      <c r="M1896" s="28" t="s">
        <v>51</v>
      </c>
      <c r="N1896" s="28" t="s">
        <v>51</v>
      </c>
    </row>
    <row r="1897" spans="1:14" x14ac:dyDescent="0.15">
      <c r="A1897" s="23" t="str">
        <f>HYPERLINK("https://www.spark-marketing.ru/Card/Person/121312", "ФГБУЗ МСЧ № 99 ФМБА РОССИИ")</f>
        <v>ФГБУЗ МСЧ № 99 ФМБА РОССИИ</v>
      </c>
      <c r="B1897" s="24" t="s">
        <v>3641</v>
      </c>
      <c r="C1897" s="25">
        <v>1251629.76</v>
      </c>
      <c r="D1897" s="22" t="s">
        <v>3642</v>
      </c>
      <c r="E1897" s="22" t="s">
        <v>48</v>
      </c>
      <c r="F1897" s="23" t="str">
        <f>HYPERLINK("https://www.spark-marketing.ru/Card/Lot/73863110", "Оказание услуг по организации питания")</f>
        <v>Оказание услуг по организации питания</v>
      </c>
      <c r="G1897" s="22" t="s">
        <v>1096</v>
      </c>
      <c r="H1897" s="22" t="s">
        <v>1096</v>
      </c>
      <c r="I1897" s="26">
        <v>43732.653240740699</v>
      </c>
      <c r="J1897" s="28" t="s">
        <v>51</v>
      </c>
      <c r="K1897" s="28" t="s">
        <v>51</v>
      </c>
      <c r="L1897" s="28" t="s">
        <v>51</v>
      </c>
      <c r="M1897" s="28" t="s">
        <v>51</v>
      </c>
      <c r="N1897" s="28" t="s">
        <v>51</v>
      </c>
    </row>
    <row r="1898" spans="1:14" x14ac:dyDescent="0.15">
      <c r="A1898" s="23" t="str">
        <f>HYPERLINK("https://www.spark-marketing.ru/Card/Person/6447601", "МБОУ ""ЛИЦЕЙ № 5""")</f>
        <v>МБОУ "ЛИЦЕЙ № 5"</v>
      </c>
      <c r="B1898" s="24" t="s">
        <v>3643</v>
      </c>
      <c r="C1898" s="25">
        <v>8032602</v>
      </c>
      <c r="D1898" s="22" t="s">
        <v>3644</v>
      </c>
      <c r="E1898" s="22" t="s">
        <v>48</v>
      </c>
      <c r="F1898" s="23" t="str">
        <f>HYPERLINK("https://www.spark-marketing.ru/Card/Lot/73863430", "Оказание услуг по организации горячего питания отдельным категориям обучающихся в МБОУ ""Лицей № 5""")</f>
        <v>Оказание услуг по организации горячего питания отдельным категориям обучающихся в МБОУ "Лицей № 5"</v>
      </c>
      <c r="G1898" s="22" t="s">
        <v>49</v>
      </c>
      <c r="H1898" s="22" t="s">
        <v>301</v>
      </c>
      <c r="I1898" s="26">
        <v>43732.634895833296</v>
      </c>
      <c r="J1898" s="28" t="s">
        <v>51</v>
      </c>
      <c r="K1898" s="28" t="s">
        <v>51</v>
      </c>
      <c r="L1898" s="28" t="s">
        <v>51</v>
      </c>
      <c r="M1898" s="28" t="s">
        <v>51</v>
      </c>
      <c r="N1898" s="28" t="s">
        <v>51</v>
      </c>
    </row>
    <row r="1899" spans="1:14" x14ac:dyDescent="0.15">
      <c r="A1899" s="23" t="str">
        <f>HYPERLINK("https://www.spark-marketing.ru/Card/Person/4856480", "СО ПОИСКОВО-СПАСАТЕЛЬНЫЙ ОТРЯД МЧС РОССИИ")</f>
        <v>СО ПОИСКОВО-СПАСАТЕЛЬНЫЙ ОТРЯД МЧС РОССИИ</v>
      </c>
      <c r="B1899" s="24" t="s">
        <v>1270</v>
      </c>
      <c r="C1899" s="25">
        <v>108000</v>
      </c>
      <c r="D1899" s="22" t="s">
        <v>3645</v>
      </c>
      <c r="E1899" s="22" t="s">
        <v>96</v>
      </c>
      <c r="F1899" s="23" t="str">
        <f>HYPERLINK("https://www.spark-marketing.ru/Card/Lot/73858874", "Услуги по организации и обеспечению питанием спасателей ПСП Темрюкского района Крымского ПСО МЧС России при несении дежурства")</f>
        <v>Услуги по организации и обеспечению питанием спасателей ПСП Темрюкского района Крымского ПСО МЧС России при несении дежурства</v>
      </c>
      <c r="G1899" s="22" t="s">
        <v>104</v>
      </c>
      <c r="H1899" s="22" t="s">
        <v>104</v>
      </c>
      <c r="I1899" s="26">
        <v>43732.628472222197</v>
      </c>
      <c r="J1899" s="23" t="str">
        <f>HYPERLINK("https://www.spark-marketing.ru/Card/Person/1509309", "ООО ""ЭСКДЭ""")</f>
        <v>ООО "ЭСКДЭ"</v>
      </c>
      <c r="K1899" s="24" t="s">
        <v>3646</v>
      </c>
      <c r="L1899" s="22" t="s">
        <v>10</v>
      </c>
      <c r="M1899" s="28" t="s">
        <v>51</v>
      </c>
      <c r="N1899" s="28" t="s">
        <v>51</v>
      </c>
    </row>
    <row r="1900" spans="1:14" x14ac:dyDescent="0.15">
      <c r="A1900" s="23" t="str">
        <f>HYPERLINK("https://www.spark-marketing.ru/Card/Person/4856480", "СО ПОИСКОВО-СПАСАТЕЛЬНЫЙ ОТРЯД МЧС РОССИИ")</f>
        <v>СО ПОИСКОВО-СПАСАТЕЛЬНЫЙ ОТРЯД МЧС РОССИИ</v>
      </c>
      <c r="B1900" s="24" t="s">
        <v>1270</v>
      </c>
      <c r="C1900" s="25">
        <v>144000</v>
      </c>
      <c r="D1900" s="22" t="s">
        <v>3647</v>
      </c>
      <c r="E1900" s="22" t="s">
        <v>96</v>
      </c>
      <c r="F1900" s="23" t="str">
        <f>HYPERLINK("https://www.spark-marketing.ru/Card/Lot/73859003", "Услуги по организации и обеспечению питанием спасателей Крымского ПСО МЧС России при несении дежурства")</f>
        <v>Услуги по организации и обеспечению питанием спасателей Крымского ПСО МЧС России при несении дежурства</v>
      </c>
      <c r="G1900" s="22" t="s">
        <v>104</v>
      </c>
      <c r="H1900" s="22" t="s">
        <v>104</v>
      </c>
      <c r="I1900" s="26">
        <v>43732.628472222197</v>
      </c>
      <c r="J1900" s="23" t="str">
        <f>HYPERLINK("https://www.spark-marketing.ru/Card/Person/1682172", "Емельянова Оксана Георгиевна")</f>
        <v>Емельянова Оксана Георгиевна</v>
      </c>
      <c r="K1900" s="24" t="s">
        <v>3648</v>
      </c>
      <c r="L1900" s="22" t="s">
        <v>10</v>
      </c>
      <c r="M1900" s="28" t="s">
        <v>51</v>
      </c>
      <c r="N1900" s="28" t="s">
        <v>51</v>
      </c>
    </row>
    <row r="1901" spans="1:14" x14ac:dyDescent="0.15">
      <c r="A1901" s="23" t="str">
        <f>HYPERLINK("https://www.spark-marketing.ru/Card/Person/265510", "ОТДЕЛ МВД РОССИИ ПО Г. БЕРЕЗОВСКОМУ")</f>
        <v>ОТДЕЛ МВД РОССИИ ПО Г. БЕРЕЗОВСКОМУ</v>
      </c>
      <c r="B1901" s="24" t="s">
        <v>1543</v>
      </c>
      <c r="C1901" s="25">
        <v>570000</v>
      </c>
      <c r="D1901" s="22" t="s">
        <v>3649</v>
      </c>
      <c r="E1901" s="22" t="s">
        <v>48</v>
      </c>
      <c r="F1901" s="23" t="str">
        <f>HYPERLINK("https://www.spark-marketing.ru/Card/Lot/73860536", "Услуги организации 3х разового горячего питания арестованных и задержанных в ИВС Отдела МВД России по г. Березовскому")</f>
        <v>Услуги организации 3х разового горячего питания арестованных и задержанных в ИВС Отдела МВД России по г. Березовскому</v>
      </c>
      <c r="G1901" s="22" t="s">
        <v>304</v>
      </c>
      <c r="H1901" s="22" t="s">
        <v>1545</v>
      </c>
      <c r="I1901" s="26">
        <v>43732.6340277778</v>
      </c>
      <c r="J1901" s="28" t="s">
        <v>51</v>
      </c>
      <c r="K1901" s="28" t="s">
        <v>51</v>
      </c>
      <c r="L1901" s="28" t="s">
        <v>51</v>
      </c>
      <c r="M1901" s="28" t="s">
        <v>51</v>
      </c>
      <c r="N1901" s="28" t="s">
        <v>51</v>
      </c>
    </row>
    <row r="1902" spans="1:14" x14ac:dyDescent="0.15">
      <c r="A1902" s="23" t="str">
        <f>HYPERLINK("https://www.spark-marketing.ru/Card/Person/265510", "ОТДЕЛ МВД РОССИИ ПО Г. БЕРЕЗОВСКОМУ")</f>
        <v>ОТДЕЛ МВД РОССИИ ПО Г. БЕРЕЗОВСКОМУ</v>
      </c>
      <c r="B1902" s="24" t="s">
        <v>1543</v>
      </c>
      <c r="C1902" s="25">
        <v>570000</v>
      </c>
      <c r="D1902" s="22" t="s">
        <v>3650</v>
      </c>
      <c r="E1902" s="22" t="s">
        <v>48</v>
      </c>
      <c r="F1902" s="23" t="str">
        <f>HYPERLINK("https://www.spark-marketing.ru/Card/Lot/73860481", "Услуги организации 3-х разового горячего питания арестованных и задержанных в ИВС Отдела МВД России по г.Березовскому")</f>
        <v>Услуги организации 3-х разового горячего питания арестованных и задержанных в ИВС Отдела МВД России по г.Березовскому</v>
      </c>
      <c r="G1902" s="22" t="s">
        <v>304</v>
      </c>
      <c r="H1902" s="22" t="s">
        <v>1545</v>
      </c>
      <c r="I1902" s="26">
        <v>43732.631944444402</v>
      </c>
      <c r="J1902" s="28" t="s">
        <v>51</v>
      </c>
      <c r="K1902" s="28" t="s">
        <v>51</v>
      </c>
      <c r="L1902" s="28" t="s">
        <v>51</v>
      </c>
      <c r="M1902" s="28" t="s">
        <v>51</v>
      </c>
      <c r="N1902" s="28" t="s">
        <v>51</v>
      </c>
    </row>
    <row r="1903" spans="1:14" x14ac:dyDescent="0.15">
      <c r="A1903" s="23" t="str">
        <f>HYPERLINK("https://www.spark-marketing.ru/Card/Person/263686", "ОТДЕЛ МВД РОССИИ ПО АННИНСКОМУ РАЙОНУ")</f>
        <v>ОТДЕЛ МВД РОССИИ ПО АННИНСКОМУ РАЙОНУ</v>
      </c>
      <c r="B1903" s="24" t="s">
        <v>3651</v>
      </c>
      <c r="C1903" s="25">
        <v>55000</v>
      </c>
      <c r="D1903" s="22" t="s">
        <v>3652</v>
      </c>
      <c r="E1903" s="22" t="s">
        <v>48</v>
      </c>
      <c r="F1903" s="23" t="str">
        <f>HYPERLINK("https://www.spark-marketing.ru/Card/Lot/73851167",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1903" s="22" t="s">
        <v>82</v>
      </c>
      <c r="H1903" s="22" t="s">
        <v>410</v>
      </c>
      <c r="I1903" s="26">
        <v>43732.665081018502</v>
      </c>
      <c r="J1903" s="28" t="s">
        <v>51</v>
      </c>
      <c r="K1903" s="28" t="s">
        <v>51</v>
      </c>
      <c r="L1903" s="28" t="s">
        <v>51</v>
      </c>
      <c r="M1903" s="28" t="s">
        <v>51</v>
      </c>
      <c r="N1903" s="28" t="s">
        <v>51</v>
      </c>
    </row>
    <row r="1904" spans="1:14" x14ac:dyDescent="0.15">
      <c r="A1904" s="23" t="str">
        <f>HYPERLINK("https://www.spark-marketing.ru/Card/Person/2183355", "ГБУЗ МО ""МОКДЦД""")</f>
        <v>ГБУЗ МО "МОКДЦД"</v>
      </c>
      <c r="B1904" s="24" t="s">
        <v>3213</v>
      </c>
      <c r="C1904" s="25">
        <v>2695000</v>
      </c>
      <c r="D1904" s="22" t="s">
        <v>3653</v>
      </c>
      <c r="E1904" s="22" t="s">
        <v>48</v>
      </c>
      <c r="F1904" s="23" t="str">
        <f>HYPERLINK("https://www.spark-marketing.ru/Card/Lot/73862743", "Оказание услуг по аутсорсингу питания")</f>
        <v>Оказание услуг по аутсорсингу питания</v>
      </c>
      <c r="G1904" s="22" t="s">
        <v>56</v>
      </c>
      <c r="H1904" s="22" t="s">
        <v>56</v>
      </c>
      <c r="I1904" s="26">
        <v>43732.601909722202</v>
      </c>
      <c r="J1904" s="23" t="str">
        <f>HYPERLINK("https://www.spark-marketing.ru/Card/Person/5906366", "ООО ""МАСТЕР ЛАНЧ""")</f>
        <v>ООО "МАСТЕР ЛАНЧ"</v>
      </c>
      <c r="K1904" s="24" t="s">
        <v>3215</v>
      </c>
      <c r="L1904" s="22" t="s">
        <v>10</v>
      </c>
      <c r="M1904" s="28" t="s">
        <v>51</v>
      </c>
      <c r="N1904" s="28" t="s">
        <v>51</v>
      </c>
    </row>
    <row r="1905" spans="1:14" x14ac:dyDescent="0.15">
      <c r="A1905" s="23" t="str">
        <f>HYPERLINK("https://www.spark-marketing.ru/Card/Person/90330", "МО МВД РОССИИ ""ШАТУРСКИЙ""")</f>
        <v>МО МВД РОССИИ "ШАТУРСКИЙ"</v>
      </c>
      <c r="B1905" s="24" t="s">
        <v>181</v>
      </c>
      <c r="C1905" s="25">
        <v>440895</v>
      </c>
      <c r="D1905" s="22" t="s">
        <v>3654</v>
      </c>
      <c r="E1905" s="22" t="s">
        <v>48</v>
      </c>
      <c r="F1905" s="23" t="str">
        <f>HYPERLINK("https://www.spark-marketing.ru/Card/Lot/73861305", "Оказание услуг по питанию граждан,содержащихся в ИВС и лиц, задержанных в административном порядке сроком более 3-х часов в КАЗ 2021 году")</f>
        <v>Оказание услуг по питанию граждан,содержащихся в ИВС и лиц, задержанных в административном порядке сроком более 3-х часов в КАЗ 2021 году</v>
      </c>
      <c r="G1905" s="22" t="s">
        <v>49</v>
      </c>
      <c r="H1905" s="22" t="s">
        <v>49</v>
      </c>
      <c r="I1905" s="26">
        <v>43732.613888888904</v>
      </c>
      <c r="J1905" s="28" t="s">
        <v>51</v>
      </c>
      <c r="K1905" s="28" t="s">
        <v>51</v>
      </c>
      <c r="L1905" s="28" t="s">
        <v>51</v>
      </c>
      <c r="M1905" s="28" t="s">
        <v>51</v>
      </c>
      <c r="N1905" s="28" t="s">
        <v>51</v>
      </c>
    </row>
    <row r="1906" spans="1:14" x14ac:dyDescent="0.15">
      <c r="A1906" s="23" t="str">
        <f>HYPERLINK("https://www.spark-marketing.ru/Card/Person/152771", "МБДОУ ""ДЕТСКИЙ САД №48""")</f>
        <v>МБДОУ "ДЕТСКИЙ САД №48"</v>
      </c>
      <c r="B1906" s="24" t="s">
        <v>3655</v>
      </c>
      <c r="C1906" s="25">
        <v>12388055</v>
      </c>
      <c r="D1906" s="22" t="s">
        <v>3656</v>
      </c>
      <c r="E1906" s="22" t="s">
        <v>48</v>
      </c>
      <c r="F1906" s="23" t="str">
        <f>HYPERLINK("https://www.spark-marketing.ru/Card/Lot/73863172", "на оказание услуг по организации горячего питания в МБДОУ№48")</f>
        <v>на оказание услуг по организации горячего питания в МБДОУ№48</v>
      </c>
      <c r="G1906" s="22" t="s">
        <v>49</v>
      </c>
      <c r="H1906" s="22" t="s">
        <v>301</v>
      </c>
      <c r="I1906" s="26">
        <v>43732.621030092603</v>
      </c>
      <c r="J1906" s="28" t="s">
        <v>51</v>
      </c>
      <c r="K1906" s="28" t="s">
        <v>51</v>
      </c>
      <c r="L1906" s="28" t="s">
        <v>51</v>
      </c>
      <c r="M1906" s="28" t="s">
        <v>51</v>
      </c>
      <c r="N1906" s="28" t="s">
        <v>51</v>
      </c>
    </row>
    <row r="1907" spans="1:14" x14ac:dyDescent="0.15">
      <c r="A1907" s="23" t="str">
        <f>HYPERLINK("https://www.spark-marketing.ru/Card/Person/18481", "ФГУП ""РОСРАО""")</f>
        <v>ФГУП "РОСРАО"</v>
      </c>
      <c r="B1907" s="24" t="s">
        <v>2882</v>
      </c>
      <c r="C1907" s="25">
        <v>7111272</v>
      </c>
      <c r="D1907" s="22" t="s">
        <v>3657</v>
      </c>
      <c r="E1907" s="22" t="s">
        <v>48</v>
      </c>
      <c r="F1907" s="23" t="str">
        <f>HYPERLINK("https://www.spark-marketing.ru/Card/Lot/73862740", "оказание услуг по обеспечению лечебно-профилактическим питанием, молоком, витаминизированными продуктами работников, занятых на работах с вредными условиями труда, Ленинградского отделения филиала «Северо-западный территориальный округ» ФГУП «РосРАО»...")</f>
        <v>оказание услуг по обеспечению лечебно-профилактическим питанием, молоком, витаминизированными продуктами работников, занятых на работах с вредными условиями труда, Ленинградского отделения филиала «Северо-западный территориальный округ» ФГУП «РосРАО»...</v>
      </c>
      <c r="G1907" s="22" t="s">
        <v>162</v>
      </c>
      <c r="H1907" s="22" t="s">
        <v>1620</v>
      </c>
      <c r="I1907" s="26">
        <v>43732.600590277798</v>
      </c>
      <c r="J1907" s="28" t="s">
        <v>51</v>
      </c>
      <c r="K1907" s="28" t="s">
        <v>51</v>
      </c>
      <c r="L1907" s="28" t="s">
        <v>51</v>
      </c>
      <c r="M1907" s="28" t="s">
        <v>51</v>
      </c>
      <c r="N1907" s="28" t="s">
        <v>51</v>
      </c>
    </row>
    <row r="1908" spans="1:14" x14ac:dyDescent="0.15">
      <c r="A1908" s="23" t="str">
        <f>HYPERLINK("https://www.spark-marketing.ru/Card/Person/8244", "ГБУЗ ""РКИБ""")</f>
        <v>ГБУЗ "РКИБ"</v>
      </c>
      <c r="B1908" s="24" t="s">
        <v>972</v>
      </c>
      <c r="C1908" s="25">
        <v>237543.06</v>
      </c>
      <c r="D1908" s="22" t="s">
        <v>3658</v>
      </c>
      <c r="E1908" s="22" t="s">
        <v>603</v>
      </c>
      <c r="F1908" s="23" t="str">
        <f>HYPERLINK("https://www.spark-marketing.ru/Card/Lot/73846564", "Оказание услуг в сфере технического регулирования и обеспечения единства измерений (поверка, калибровка средств измерений)")</f>
        <v>Оказание услуг в сфере технического регулирования и обеспечения единства измерений (поверка, калибровка средств измерений)</v>
      </c>
      <c r="G1908" s="22" t="s">
        <v>433</v>
      </c>
      <c r="H1908" s="22" t="s">
        <v>974</v>
      </c>
      <c r="I1908" s="26">
        <v>43732.609722222202</v>
      </c>
      <c r="J1908" s="28" t="s">
        <v>51</v>
      </c>
      <c r="K1908" s="28" t="s">
        <v>51</v>
      </c>
      <c r="L1908" s="28" t="s">
        <v>51</v>
      </c>
      <c r="M1908" s="28" t="s">
        <v>51</v>
      </c>
      <c r="N1908" s="28" t="s">
        <v>51</v>
      </c>
    </row>
    <row r="1909" spans="1:14" x14ac:dyDescent="0.15">
      <c r="A1909" s="23" t="str">
        <f>HYPERLINK("https://www.spark-marketing.ru/Card/Person/90330", "МО МВД РОССИИ ""ШАТУРСКИЙ""")</f>
        <v>МО МВД РОССИИ "ШАТУРСКИЙ"</v>
      </c>
      <c r="B1909" s="24" t="s">
        <v>181</v>
      </c>
      <c r="C1909" s="25">
        <v>440895</v>
      </c>
      <c r="D1909" s="22" t="s">
        <v>3659</v>
      </c>
      <c r="E1909" s="22" t="s">
        <v>48</v>
      </c>
      <c r="F1909" s="23" t="str">
        <f>HYPERLINK("https://www.spark-marketing.ru/Card/Lot/73860147", "Оказание услуг по питанию граждан,содержащихся в ИВС лиц, задержанных в административном порядке сроком более 3-х часов в КАЗ  2020 году")</f>
        <v>Оказание услуг по питанию граждан,содержащихся в ИВС лиц, задержанных в административном порядке сроком более 3-х часов в КАЗ  2020 году</v>
      </c>
      <c r="G1909" s="22" t="s">
        <v>49</v>
      </c>
      <c r="H1909" s="22" t="s">
        <v>49</v>
      </c>
      <c r="I1909" s="26">
        <v>43732.581250000003</v>
      </c>
      <c r="J1909" s="28" t="s">
        <v>51</v>
      </c>
      <c r="K1909" s="28" t="s">
        <v>51</v>
      </c>
      <c r="L1909" s="28" t="s">
        <v>51</v>
      </c>
      <c r="M1909" s="28" t="s">
        <v>51</v>
      </c>
      <c r="N1909" s="28" t="s">
        <v>51</v>
      </c>
    </row>
    <row r="1910" spans="1:14" x14ac:dyDescent="0.15">
      <c r="A1910" s="23" t="str">
        <f>HYPERLINK("https://www.spark-marketing.ru/Card/Person/374323", "ОМВД РОССИИ ПО ПОРХОВСКОМУ РАЙОНУ")</f>
        <v>ОМВД РОССИИ ПО ПОРХОВСКОМУ РАЙОНУ</v>
      </c>
      <c r="B1910" s="24" t="s">
        <v>3660</v>
      </c>
      <c r="C1910" s="25">
        <v>220970</v>
      </c>
      <c r="D1910" s="22" t="s">
        <v>3661</v>
      </c>
      <c r="E1910" s="22" t="s">
        <v>48</v>
      </c>
      <c r="F1910" s="23" t="str">
        <f>HYPERLINK("https://www.spark-marketing.ru/Card/Lot/73846494", "Оказание услуг по питанию граждан содержищихся в ИВС и СПСЗЛ, 1 усл. ед")</f>
        <v>Оказание услуг по питанию граждан содержищихся в ИВС и СПСЗЛ, 1 усл. ед</v>
      </c>
      <c r="G1910" s="22" t="s">
        <v>415</v>
      </c>
      <c r="H1910" s="22" t="s">
        <v>3662</v>
      </c>
      <c r="I1910" s="26">
        <v>43732.573773148099</v>
      </c>
      <c r="J1910" s="28" t="s">
        <v>51</v>
      </c>
      <c r="K1910" s="28" t="s">
        <v>51</v>
      </c>
      <c r="L1910" s="28" t="s">
        <v>51</v>
      </c>
      <c r="M1910" s="28" t="s">
        <v>51</v>
      </c>
      <c r="N1910" s="28" t="s">
        <v>51</v>
      </c>
    </row>
    <row r="1911" spans="1:14" x14ac:dyDescent="0.15">
      <c r="A1911" s="23" t="str">
        <f>HYPERLINK("https://www.spark-marketing.ru/Card/Person/114019", "МБДОУ ДЕТСКИЙ САД ОБЩЕРАЗВИВАЮЩЕГО ВИДА №13 ""СВЕТЛЯЧОК""")</f>
        <v>МБДОУ ДЕТСКИЙ САД ОБЩЕРАЗВИВАЮЩЕГО ВИДА №13 "СВЕТЛЯЧОК"</v>
      </c>
      <c r="B1911" s="24" t="s">
        <v>3663</v>
      </c>
      <c r="C1911" s="25">
        <v>1600</v>
      </c>
      <c r="D1911" s="22" t="s">
        <v>3664</v>
      </c>
      <c r="E1911" s="22" t="s">
        <v>583</v>
      </c>
      <c r="F1911" s="23" t="str">
        <f>HYPERLINK("https://www.spark-marketing.ru/Card/Lot/73847334", "Замена блока питания стабилизированного для видеокамер.")</f>
        <v>Замена блока питания стабилизированного для видеокамер.</v>
      </c>
      <c r="G1911" s="22" t="s">
        <v>49</v>
      </c>
      <c r="H1911" s="22" t="s">
        <v>1160</v>
      </c>
      <c r="I1911" s="26">
        <v>43732.575925925899</v>
      </c>
      <c r="J1911" s="28" t="s">
        <v>51</v>
      </c>
      <c r="K1911" s="28" t="s">
        <v>51</v>
      </c>
      <c r="L1911" s="28" t="s">
        <v>51</v>
      </c>
      <c r="M1911" s="28" t="s">
        <v>51</v>
      </c>
      <c r="N1911" s="28" t="s">
        <v>51</v>
      </c>
    </row>
    <row r="1912" spans="1:14" x14ac:dyDescent="0.15">
      <c r="A1912" s="23" t="str">
        <f>HYPERLINK("https://www.spark-marketing.ru/Card/Person/4699198", "ПРАВИТЕЛЬСТВО ТУЛЬСКОЙ ОБЛАСТИ")</f>
        <v>ПРАВИТЕЛЬСТВО ТУЛЬСКОЙ ОБЛАСТИ</v>
      </c>
      <c r="B1912" s="24" t="s">
        <v>3665</v>
      </c>
      <c r="C1912" s="25">
        <v>24000</v>
      </c>
      <c r="D1912" s="22" t="s">
        <v>3666</v>
      </c>
      <c r="E1912" s="22" t="s">
        <v>67</v>
      </c>
      <c r="F1912" s="23" t="str">
        <f>HYPERLINK("https://www.spark-marketing.ru/Card/Lot/73852632", "Оказание услуг по организации питания")</f>
        <v>Оказание услуг по организации питания</v>
      </c>
      <c r="G1912" s="22" t="s">
        <v>68</v>
      </c>
      <c r="H1912" s="22" t="s">
        <v>69</v>
      </c>
      <c r="I1912" s="26">
        <v>43732.577777777798</v>
      </c>
      <c r="J1912" s="23" t="str">
        <f>HYPERLINK("https://www.spark-marketing.ru/Card/Person/5934582", "ООО ""МИДАС""")</f>
        <v>ООО "МИДАС"</v>
      </c>
      <c r="K1912" s="24" t="s">
        <v>3667</v>
      </c>
      <c r="L1912" s="22" t="s">
        <v>10</v>
      </c>
      <c r="M1912" s="28" t="s">
        <v>51</v>
      </c>
      <c r="N1912" s="28" t="s">
        <v>51</v>
      </c>
    </row>
    <row r="1913" spans="1:14" x14ac:dyDescent="0.15">
      <c r="A1913" s="23" t="str">
        <f>HYPERLINK("https://www.spark-marketing.ru/Card/Person/64316", "ФКУ ОИК-2 ОУХД ГУФСИН РОССИИ ПО ПЕРМСКОМУ КРАЮ")</f>
        <v>ФКУ ОИК-2 ОУХД ГУФСИН РОССИИ ПО ПЕРМСКОМУ КРАЮ</v>
      </c>
      <c r="B1913" s="24" t="s">
        <v>3432</v>
      </c>
      <c r="C1913" s="25">
        <v>17666.3</v>
      </c>
      <c r="D1913" s="22" t="s">
        <v>3668</v>
      </c>
      <c r="E1913" s="22" t="s">
        <v>437</v>
      </c>
      <c r="F1913" s="23" t="str">
        <f>HYPERLINK("https://www.spark-marketing.ru/Card/Lot/73842776", "Услуги в области гигиены питания, включая ветеринарный контроль, 1 усл. ед")</f>
        <v>Услуги в области гигиены питания, включая ветеринарный контроль, 1 усл. ед</v>
      </c>
      <c r="G1913" s="22" t="s">
        <v>153</v>
      </c>
      <c r="H1913" s="22" t="s">
        <v>3434</v>
      </c>
      <c r="I1913" s="26">
        <v>43732.504745370403</v>
      </c>
      <c r="J1913" s="28" t="s">
        <v>51</v>
      </c>
      <c r="K1913" s="28" t="s">
        <v>51</v>
      </c>
      <c r="L1913" s="28" t="s">
        <v>51</v>
      </c>
      <c r="M1913" s="28" t="s">
        <v>51</v>
      </c>
      <c r="N1913" s="28" t="s">
        <v>51</v>
      </c>
    </row>
    <row r="1914" spans="1:14" x14ac:dyDescent="0.15">
      <c r="A1914" s="23" t="str">
        <f>HYPERLINK("https://www.spark-marketing.ru/Card/Person/22753", "ГБУЗ ПК ""ОСИНСКАЯ ЦРБ""")</f>
        <v>ГБУЗ ПК "ОСИНСКАЯ ЦРБ"</v>
      </c>
      <c r="B1914" s="24" t="s">
        <v>334</v>
      </c>
      <c r="C1914" s="25">
        <v>113400</v>
      </c>
      <c r="D1914" s="22" t="s">
        <v>3669</v>
      </c>
      <c r="E1914" s="22" t="s">
        <v>86</v>
      </c>
      <c r="F1914" s="23" t="str">
        <f>HYPERLINK("https://www.spark-marketing.ru/Card/Lot/73845247", "Оказание комплекса санаторно-курортных и оздоровительных услуг для работников ГБУЗ ПК «Осинская ЦРБ»")</f>
        <v>Оказание комплекса санаторно-курортных и оздоровительных услуг для работников ГБУЗ ПК «Осинская ЦРБ»</v>
      </c>
      <c r="G1914" s="22" t="s">
        <v>153</v>
      </c>
      <c r="H1914" s="22" t="s">
        <v>153</v>
      </c>
      <c r="I1914" s="26">
        <v>43732.502777777801</v>
      </c>
      <c r="J1914" s="23" t="str">
        <f>HYPERLINK("https://www.spark-marketing.ru/Card/Person/1411577", "МУП ""САНАТОРИЙ-ПРОФИЛАКТОРИЙ ""ЖЕМЧУЖИНА""")</f>
        <v>МУП "САНАТОРИЙ-ПРОФИЛАКТОРИЙ "ЖЕМЧУЖИНА"</v>
      </c>
      <c r="K1914" s="24" t="s">
        <v>3670</v>
      </c>
      <c r="L1914" s="28" t="s">
        <v>51</v>
      </c>
      <c r="M1914" s="28" t="s">
        <v>51</v>
      </c>
      <c r="N1914" s="28" t="s">
        <v>51</v>
      </c>
    </row>
    <row r="1915" spans="1:14" ht="12.75" hidden="1" outlineLevel="1" x14ac:dyDescent="0.2">
      <c r="A1915" s="23" t="str">
        <f>HYPERLINK("https://www.spark-marketing.ru/Card/Person/22753", "ГБУЗ ПК ""ОСИНСКАЯ ЦРБ""")</f>
        <v>ГБУЗ ПК "ОСИНСКАЯ ЦРБ"</v>
      </c>
      <c r="B1915" s="24" t="s">
        <v>334</v>
      </c>
      <c r="C1915" s="25">
        <v>113400</v>
      </c>
      <c r="D1915" s="22" t="s">
        <v>3669</v>
      </c>
      <c r="E1915" s="22" t="s">
        <v>86</v>
      </c>
      <c r="F1915" s="23" t="str">
        <f>HYPERLINK("https://www.spark-marketing.ru/Card/Lot/73845247", "Оказание комплекса санаторно-курортных и оздоровительных услуг для работников ГБУЗ ПК «Осинская ЦРБ»")</f>
        <v>Оказание комплекса санаторно-курортных и оздоровительных услуг для работников ГБУЗ ПК «Осинская ЦРБ»</v>
      </c>
      <c r="G1915" s="22" t="s">
        <v>153</v>
      </c>
      <c r="H1915" s="22" t="s">
        <v>153</v>
      </c>
      <c r="I1915" s="26">
        <v>43732.502777777801</v>
      </c>
      <c r="J1915" s="23" t="str">
        <f>HYPERLINK("https://www.spark-marketing.ru/Card/Person/1411577", "МУП ""САНАТОРИЙ-ПРОФИЛАКТОРИЙ ""ЖЕМЧУЖИНА""")</f>
        <v>МУП "САНАТОРИЙ-ПРОФИЛАКТОРИЙ "ЖЕМЧУЖИНА"</v>
      </c>
      <c r="K1915" s="24" t="s">
        <v>3670</v>
      </c>
      <c r="L1915" s="22" t="s">
        <v>10</v>
      </c>
      <c r="M1915" s="25">
        <v>112833</v>
      </c>
      <c r="N1915" s="27">
        <v>5.0000000000000001E-3</v>
      </c>
    </row>
    <row r="1916" spans="1:14" x14ac:dyDescent="0.15">
      <c r="A1916" s="23" t="str">
        <f>HYPERLINK("https://www.spark-marketing.ru/Card/Person/104399", "МБДОУ ""ДЕТСКИЙ САД № 37""")</f>
        <v>МБДОУ "ДЕТСКИЙ САД № 37"</v>
      </c>
      <c r="B1916" s="24" t="s">
        <v>3671</v>
      </c>
      <c r="C1916" s="25">
        <v>38838016</v>
      </c>
      <c r="D1916" s="22" t="s">
        <v>3672</v>
      </c>
      <c r="E1916" s="22" t="s">
        <v>48</v>
      </c>
      <c r="F1916" s="23" t="str">
        <f>HYPERLINK("https://www.spark-marketing.ru/Card/Lot/73863134",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1916" s="22" t="s">
        <v>49</v>
      </c>
      <c r="H1916" s="22" t="s">
        <v>2495</v>
      </c>
      <c r="I1916" s="26">
        <v>43732.521423611099</v>
      </c>
      <c r="J1916" s="28" t="s">
        <v>51</v>
      </c>
      <c r="K1916" s="28" t="s">
        <v>51</v>
      </c>
      <c r="L1916" s="28" t="s">
        <v>51</v>
      </c>
      <c r="M1916" s="28" t="s">
        <v>51</v>
      </c>
      <c r="N1916" s="28" t="s">
        <v>51</v>
      </c>
    </row>
    <row r="1917" spans="1:14" x14ac:dyDescent="0.15">
      <c r="A1917" s="23" t="str">
        <f>HYPERLINK("https://www.spark-marketing.ru/Card/Person/367286", "ОТДЕЛ МВД РОССИИ ПО ЧЕРЕПАНОВСКОМУ РАЙОНУ")</f>
        <v>ОТДЕЛ МВД РОССИИ ПО ЧЕРЕПАНОВСКОМУ РАЙОНУ</v>
      </c>
      <c r="B1917" s="24" t="s">
        <v>3673</v>
      </c>
      <c r="C1917" s="25">
        <v>950000</v>
      </c>
      <c r="D1917" s="22" t="s">
        <v>3674</v>
      </c>
      <c r="E1917" s="22" t="s">
        <v>48</v>
      </c>
      <c r="F1917" s="23" t="str">
        <f>HYPERLINK("https://www.spark-marketing.ru/Card/Lot/73863581", "Оказание услуг по приготовлению горячего питания для подозреваемых и обвиняемых содержащихся в изоляторе временного содержания (ИВС) Отдела МВД России по Черепановскому району, в том числе для лиц, арестованных, задержанных в административном порядке...")</f>
        <v>Оказание услуг по приготовлению горячего питания для подозреваемых и обвиняемых содержащихся в изоляторе временного содержания (ИВС) Отдела МВД России по Черепановскому району, в том числе для лиц, арестованных, задержанных в административном порядке...</v>
      </c>
      <c r="G1917" s="22" t="s">
        <v>195</v>
      </c>
      <c r="H1917" s="22" t="s">
        <v>195</v>
      </c>
      <c r="I1917" s="26">
        <v>43732.518969907404</v>
      </c>
      <c r="J1917" s="28" t="s">
        <v>51</v>
      </c>
      <c r="K1917" s="28" t="s">
        <v>51</v>
      </c>
      <c r="L1917" s="28" t="s">
        <v>51</v>
      </c>
      <c r="M1917" s="28" t="s">
        <v>51</v>
      </c>
      <c r="N1917" s="28" t="s">
        <v>51</v>
      </c>
    </row>
    <row r="1918" spans="1:14" x14ac:dyDescent="0.15">
      <c r="A1918" s="23" t="str">
        <f>HYPERLINK("https://www.spark-marketing.ru/Card/Person/367286", "ОТДЕЛ МВД РОССИИ ПО ЧЕРЕПАНОВСКОМУ РАЙОНУ")</f>
        <v>ОТДЕЛ МВД РОССИИ ПО ЧЕРЕПАНОВСКОМУ РАЙОНУ</v>
      </c>
      <c r="B1918" s="24" t="s">
        <v>3673</v>
      </c>
      <c r="C1918" s="25">
        <v>950000</v>
      </c>
      <c r="D1918" s="22" t="s">
        <v>3675</v>
      </c>
      <c r="E1918" s="22" t="s">
        <v>48</v>
      </c>
      <c r="F1918" s="23" t="str">
        <f>HYPERLINK("https://www.spark-marketing.ru/Card/Lot/73863580", "Оказание услуг по приготовлению горячего питания для подозреваемых и обвиняемых содержащихся в изоляторе временного содержания (ИВС) Отдела МВД России по Черепановскому району, в том числе для лиц, арестованных, задержанных в административном порядке...")</f>
        <v>Оказание услуг по приготовлению горячего питания для подозреваемых и обвиняемых содержащихся в изоляторе временного содержания (ИВС) Отдела МВД России по Черепановскому району, в том числе для лиц, арестованных, задержанных в административном порядке...</v>
      </c>
      <c r="G1918" s="22" t="s">
        <v>195</v>
      </c>
      <c r="H1918" s="22" t="s">
        <v>195</v>
      </c>
      <c r="I1918" s="26">
        <v>43732.518622685202</v>
      </c>
      <c r="J1918" s="28" t="s">
        <v>51</v>
      </c>
      <c r="K1918" s="28" t="s">
        <v>51</v>
      </c>
      <c r="L1918" s="28" t="s">
        <v>51</v>
      </c>
      <c r="M1918" s="28" t="s">
        <v>51</v>
      </c>
      <c r="N1918" s="28" t="s">
        <v>51</v>
      </c>
    </row>
    <row r="1919" spans="1:14" x14ac:dyDescent="0.15">
      <c r="A1919" s="23" t="str">
        <f>HYPERLINK("https://www.spark-marketing.ru/Card/Person/81492", "МБДОУ ""ДЕТСКИЙ САД № 73""")</f>
        <v>МБДОУ "ДЕТСКИЙ САД № 73"</v>
      </c>
      <c r="B1919" s="24" t="s">
        <v>3676</v>
      </c>
      <c r="C1919" s="25">
        <v>24315786</v>
      </c>
      <c r="D1919" s="22" t="s">
        <v>3677</v>
      </c>
      <c r="E1919" s="22" t="s">
        <v>48</v>
      </c>
      <c r="F1919" s="23" t="str">
        <f>HYPERLINK("https://www.spark-marketing.ru/Card/Lot/73863107",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1919" s="22" t="s">
        <v>49</v>
      </c>
      <c r="H1919" s="22" t="s">
        <v>2508</v>
      </c>
      <c r="I1919" s="26">
        <v>43732.515821759298</v>
      </c>
      <c r="J1919" s="28" t="s">
        <v>51</v>
      </c>
      <c r="K1919" s="28" t="s">
        <v>51</v>
      </c>
      <c r="L1919" s="28" t="s">
        <v>51</v>
      </c>
      <c r="M1919" s="28" t="s">
        <v>51</v>
      </c>
      <c r="N1919" s="28" t="s">
        <v>51</v>
      </c>
    </row>
    <row r="1920" spans="1:14" x14ac:dyDescent="0.15">
      <c r="A1920" s="23" t="str">
        <f>HYPERLINK("https://www.spark-marketing.ru/Card/Person/1069097", "ОТДЕЛЕНИЕ МВД РОССИИ ПО НЯЗЕПЕТРОВСКОМУ МУНИЦИПАЛЬНОМУ РАЙОНУ ЧЕЛЯБИНСКОЙ ОБЛАСТИ")</f>
        <v>ОТДЕЛЕНИЕ МВД РОССИИ ПО НЯЗЕПЕТРОВСКОМУ МУНИЦИПАЛЬНОМУ РАЙОНУ ЧЕЛЯБИНСКОЙ ОБЛАСТИ</v>
      </c>
      <c r="B1920" s="24" t="s">
        <v>1381</v>
      </c>
      <c r="C1920" s="25">
        <v>100000</v>
      </c>
      <c r="D1920" s="22" t="s">
        <v>3678</v>
      </c>
      <c r="E1920" s="22" t="s">
        <v>809</v>
      </c>
      <c r="F1920" s="23" t="str">
        <f>HYPERLINK("https://www.spark-marketing.ru/Card/Lot/73847285", "Оказание услуг по ремонту и модернизации специальной техники для нужд Отделения Министерства внутренних дел Российской Федерации по Нязепетровскому муниципальному району Челябинской области в рамках государственного оборонного заказа вне рамок госуда...")</f>
        <v>Оказание услуг по ремонту и модернизации специальной техники для нужд Отделения Министерства внутренних дел Российской Федерации по Нязепетровскому муниципальному району Челябинской области в рамках государственного оборонного заказа вне рамок госуда...</v>
      </c>
      <c r="G1920" s="22" t="s">
        <v>469</v>
      </c>
      <c r="H1920" s="22" t="s">
        <v>1383</v>
      </c>
      <c r="I1920" s="26">
        <v>43732.5222222222</v>
      </c>
      <c r="J1920" s="23" t="str">
        <f>HYPERLINK("https://www.spark-marketing.ru/Card/Person/857552", "ООО ""НПК СВЯЗЬИНФОРМСТРОЙ""")</f>
        <v>ООО "НПК СВЯЗЬИНФОРМСТРОЙ"</v>
      </c>
      <c r="K1920" s="24" t="s">
        <v>3518</v>
      </c>
      <c r="L1920" s="22" t="s">
        <v>10</v>
      </c>
      <c r="M1920" s="28" t="s">
        <v>51</v>
      </c>
      <c r="N1920" s="28" t="s">
        <v>51</v>
      </c>
    </row>
    <row r="1921" spans="1:14" x14ac:dyDescent="0.15">
      <c r="A1921" s="23" t="str">
        <f>HYPERLINK("https://www.spark-marketing.ru/Card/Person/84427", "МБДОУ ""ДЕТСКИЙ САД № 44 ЛАДУШКИ""")</f>
        <v>МБДОУ "ДЕТСКИЙ САД № 44 ЛАДУШКИ"</v>
      </c>
      <c r="B1921" s="24" t="s">
        <v>3679</v>
      </c>
      <c r="C1921" s="25">
        <v>22490264</v>
      </c>
      <c r="D1921" s="22" t="s">
        <v>3680</v>
      </c>
      <c r="E1921" s="22" t="s">
        <v>48</v>
      </c>
      <c r="F1921" s="23" t="str">
        <f>HYPERLINK("https://www.spark-marketing.ru/Card/Lot/73863115",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1921" s="22" t="s">
        <v>49</v>
      </c>
      <c r="H1921" s="22" t="s">
        <v>2508</v>
      </c>
      <c r="I1921" s="26">
        <v>43732.516215277799</v>
      </c>
      <c r="J1921" s="28" t="s">
        <v>51</v>
      </c>
      <c r="K1921" s="28" t="s">
        <v>51</v>
      </c>
      <c r="L1921" s="28" t="s">
        <v>51</v>
      </c>
      <c r="M1921" s="28" t="s">
        <v>51</v>
      </c>
      <c r="N1921" s="28" t="s">
        <v>51</v>
      </c>
    </row>
    <row r="1922" spans="1:14" x14ac:dyDescent="0.15">
      <c r="A1922" s="23" t="str">
        <f>HYPERLINK("https://www.spark-marketing.ru/Card/Person/13317", "ФГКУ ""ЮРПСО МЧС РОССИИ""")</f>
        <v>ФГКУ "ЮРПСО МЧС РОССИИ"</v>
      </c>
      <c r="B1922" s="24" t="s">
        <v>1270</v>
      </c>
      <c r="C1922" s="25">
        <v>340000</v>
      </c>
      <c r="D1922" s="22" t="s">
        <v>3681</v>
      </c>
      <c r="E1922" s="22" t="s">
        <v>96</v>
      </c>
      <c r="F1922" s="23" t="str">
        <f>HYPERLINK("https://www.spark-marketing.ru/Card/Lot/73851559", "Оказание услуг по организации и обеспечению питанием работников ФГКУ «ЮРПСО МЧС России» при несении дежурства в головном подразделении")</f>
        <v>Оказание услуг по организации и обеспечению питанием работников ФГКУ «ЮРПСО МЧС России» при несении дежурства в головном подразделении</v>
      </c>
      <c r="G1922" s="22" t="s">
        <v>104</v>
      </c>
      <c r="H1922" s="22" t="s">
        <v>104</v>
      </c>
      <c r="I1922" s="26">
        <v>43732.512499999997</v>
      </c>
      <c r="J1922" s="28" t="s">
        <v>51</v>
      </c>
      <c r="K1922" s="28" t="s">
        <v>51</v>
      </c>
      <c r="L1922" s="28" t="s">
        <v>51</v>
      </c>
      <c r="M1922" s="28" t="s">
        <v>51</v>
      </c>
      <c r="N1922" s="28" t="s">
        <v>51</v>
      </c>
    </row>
    <row r="1923" spans="1:14" ht="12.75" hidden="1" outlineLevel="1" x14ac:dyDescent="0.2">
      <c r="A1923" s="23" t="str">
        <f>HYPERLINK("https://www.spark-marketing.ru/Card/Person/13317", "ФГКУ ""ЮРПСО МЧС РОССИИ""")</f>
        <v>ФГКУ "ЮРПСО МЧС РОССИИ"</v>
      </c>
      <c r="B1923" s="24" t="s">
        <v>1270</v>
      </c>
      <c r="C1923" s="25">
        <v>340000</v>
      </c>
      <c r="D1923" s="22" t="s">
        <v>3681</v>
      </c>
      <c r="E1923" s="22" t="s">
        <v>96</v>
      </c>
      <c r="F1923" s="23" t="str">
        <f>HYPERLINK("https://www.spark-marketing.ru/Card/Lot/73851559", "Оказание услуг по организации и обеспечению питанием работников ФГКУ «ЮРПСО МЧС России» при несении дежурства в головном подразделении")</f>
        <v>Оказание услуг по организации и обеспечению питанием работников ФГКУ «ЮРПСО МЧС России» при несении дежурства в головном подразделении</v>
      </c>
      <c r="G1923" s="22" t="s">
        <v>104</v>
      </c>
      <c r="H1923" s="22" t="s">
        <v>104</v>
      </c>
      <c r="I1923" s="26">
        <v>43732.512499999997</v>
      </c>
      <c r="J1923" s="23" t="str">
        <f>HYPERLINK("https://www.spark-marketing.ru/Card/Person/6510938", "Карагозян Арсен Владимирович")</f>
        <v>Карагозян Арсен Владимирович</v>
      </c>
      <c r="K1923" s="24" t="s">
        <v>3682</v>
      </c>
      <c r="L1923" s="22" t="s">
        <v>10</v>
      </c>
      <c r="M1923" s="25">
        <v>333200</v>
      </c>
      <c r="N1923" s="27">
        <v>0.02</v>
      </c>
    </row>
    <row r="1924" spans="1:14" hidden="1" outlineLevel="1" x14ac:dyDescent="0.2">
      <c r="A1924" s="23" t="str">
        <f>HYPERLINK("https://www.spark-marketing.ru/Card/Person/13317", "ФГКУ ""ЮРПСО МЧС РОССИИ""")</f>
        <v>ФГКУ "ЮРПСО МЧС РОССИИ"</v>
      </c>
      <c r="B1924" s="24" t="s">
        <v>1270</v>
      </c>
      <c r="C1924" s="25">
        <v>340000</v>
      </c>
      <c r="D1924" s="22" t="s">
        <v>3681</v>
      </c>
      <c r="E1924" s="22" t="s">
        <v>96</v>
      </c>
      <c r="F1924" s="23" t="str">
        <f>HYPERLINK("https://www.spark-marketing.ru/Card/Lot/73851559", "Оказание услуг по организации и обеспечению питанием работников ФГКУ «ЮРПСО МЧС России» при несении дежурства в головном подразделении")</f>
        <v>Оказание услуг по организации и обеспечению питанием работников ФГКУ «ЮРПСО МЧС России» при несении дежурства в головном подразделении</v>
      </c>
      <c r="G1924" s="22" t="s">
        <v>104</v>
      </c>
      <c r="H1924" s="22" t="s">
        <v>104</v>
      </c>
      <c r="I1924" s="26">
        <v>43732.512499999997</v>
      </c>
      <c r="J1924" s="23" t="str">
        <f>HYPERLINK("https://www.spark-marketing.ru/Card/Person/6703409", "Северов Михаил Карпович")</f>
        <v>Северов Михаил Карпович</v>
      </c>
      <c r="K1924" s="24" t="s">
        <v>2750</v>
      </c>
      <c r="L1924" s="28" t="s">
        <v>51</v>
      </c>
      <c r="M1924" s="25">
        <v>324347.93</v>
      </c>
      <c r="N1924" s="27">
        <v>4.60355E-2</v>
      </c>
    </row>
    <row r="1925" spans="1:14" x14ac:dyDescent="0.15">
      <c r="A1925" s="23" t="str">
        <f>HYPERLINK("https://www.spark-marketing.ru/Card/Person/22753", "ГБУЗ ПК ""ОСИНСКАЯ ЦРБ""")</f>
        <v>ГБУЗ ПК "ОСИНСКАЯ ЦРБ"</v>
      </c>
      <c r="B1925" s="24" t="s">
        <v>334</v>
      </c>
      <c r="C1925" s="25">
        <v>454219.3</v>
      </c>
      <c r="D1925" s="22" t="s">
        <v>3683</v>
      </c>
      <c r="E1925" s="22" t="s">
        <v>336</v>
      </c>
      <c r="F1925" s="23" t="str">
        <f>HYPERLINK("https://www.spark-marketing.ru/Card/Lot/73852384", "Оказание услуг по организации обеспечения специальными и молочными продуктами питания детей, прикрепленных к ГБУЗ ПК ""Осинская ЦРБ""")</f>
        <v>Оказание услуг по организации обеспечения специальными и молочными продуктами питания детей, прикрепленных к ГБУЗ ПК "Осинская ЦРБ"</v>
      </c>
      <c r="G1925" s="22" t="s">
        <v>153</v>
      </c>
      <c r="H1925" s="22" t="s">
        <v>153</v>
      </c>
      <c r="I1925" s="26">
        <v>43732.502777777801</v>
      </c>
      <c r="J1925" s="28" t="s">
        <v>51</v>
      </c>
      <c r="K1925" s="28" t="s">
        <v>51</v>
      </c>
      <c r="L1925" s="28" t="s">
        <v>51</v>
      </c>
      <c r="M1925" s="28" t="s">
        <v>51</v>
      </c>
      <c r="N1925" s="28" t="s">
        <v>51</v>
      </c>
    </row>
    <row r="1926" spans="1:14" hidden="1" outlineLevel="1" x14ac:dyDescent="0.2">
      <c r="A1926" s="23" t="str">
        <f>HYPERLINK("https://www.spark-marketing.ru/Card/Person/22753", "ГБУЗ ПК ""ОСИНСКАЯ ЦРБ""")</f>
        <v>ГБУЗ ПК "ОСИНСКАЯ ЦРБ"</v>
      </c>
      <c r="B1926" s="24" t="s">
        <v>334</v>
      </c>
      <c r="C1926" s="25">
        <v>454219.3</v>
      </c>
      <c r="D1926" s="22" t="s">
        <v>3683</v>
      </c>
      <c r="E1926" s="22" t="s">
        <v>336</v>
      </c>
      <c r="F1926" s="23" t="str">
        <f>HYPERLINK("https://www.spark-marketing.ru/Card/Lot/73852384", "Оказание услуг по организации обеспечения специальными и молочными продуктами питания детей, прикрепленных к ГБУЗ ПК ""Осинская ЦРБ""")</f>
        <v>Оказание услуг по организации обеспечения специальными и молочными продуктами питания детей, прикрепленных к ГБУЗ ПК "Осинская ЦРБ"</v>
      </c>
      <c r="G1926" s="22" t="s">
        <v>153</v>
      </c>
      <c r="H1926" s="22" t="s">
        <v>153</v>
      </c>
      <c r="I1926" s="26">
        <v>43732.502777777801</v>
      </c>
      <c r="J1926" s="23" t="str">
        <f>HYPERLINK("https://www.spark-marketing.ru/Card/Person/6485957", "Копысова Татьяна Борисовна")</f>
        <v>Копысова Татьяна Борисовна</v>
      </c>
      <c r="K1926" s="24" t="s">
        <v>3684</v>
      </c>
      <c r="L1926" s="28" t="s">
        <v>51</v>
      </c>
      <c r="M1926" s="25">
        <v>440592.7</v>
      </c>
      <c r="N1926" s="27">
        <v>3.0000046233174153E-2</v>
      </c>
    </row>
    <row r="1927" spans="1:14" ht="12.75" hidden="1" outlineLevel="1" x14ac:dyDescent="0.2">
      <c r="A1927" s="23" t="str">
        <f>HYPERLINK("https://www.spark-marketing.ru/Card/Person/22753", "ГБУЗ ПК ""ОСИНСКАЯ ЦРБ""")</f>
        <v>ГБУЗ ПК "ОСИНСКАЯ ЦРБ"</v>
      </c>
      <c r="B1927" s="24" t="s">
        <v>334</v>
      </c>
      <c r="C1927" s="25">
        <v>454219.3</v>
      </c>
      <c r="D1927" s="22" t="s">
        <v>3683</v>
      </c>
      <c r="E1927" s="22" t="s">
        <v>336</v>
      </c>
      <c r="F1927" s="23" t="str">
        <f>HYPERLINK("https://www.spark-marketing.ru/Card/Lot/73852384", "Оказание услуг по организации обеспечения специальными и молочными продуктами питания детей, прикрепленных к ГБУЗ ПК ""Осинская ЦРБ""")</f>
        <v>Оказание услуг по организации обеспечения специальными и молочными продуктами питания детей, прикрепленных к ГБУЗ ПК "Осинская ЦРБ"</v>
      </c>
      <c r="G1927" s="22" t="s">
        <v>153</v>
      </c>
      <c r="H1927" s="22" t="s">
        <v>153</v>
      </c>
      <c r="I1927" s="26">
        <v>43732.502777777801</v>
      </c>
      <c r="J1927" s="23" t="str">
        <f>HYPERLINK("https://www.spark-marketing.ru/Card/Person/973913", "ООО ""ПАНАЦЕЯ""")</f>
        <v>ООО "ПАНАЦЕЯ"</v>
      </c>
      <c r="K1927" s="24" t="s">
        <v>3685</v>
      </c>
      <c r="L1927" s="22" t="s">
        <v>10</v>
      </c>
      <c r="M1927" s="25">
        <v>438321.6</v>
      </c>
      <c r="N1927" s="27">
        <v>3.5000053938703174E-2</v>
      </c>
    </row>
    <row r="1928" spans="1:14" x14ac:dyDescent="0.15">
      <c r="A1928" s="23" t="str">
        <f>HYPERLINK("https://www.spark-marketing.ru/Card/Person/114692", "МБДОУ ""Д/С № 29""")</f>
        <v>МБДОУ "Д/С № 29"</v>
      </c>
      <c r="B1928" s="24" t="s">
        <v>3686</v>
      </c>
      <c r="C1928" s="25">
        <v>21735150</v>
      </c>
      <c r="D1928" s="22" t="s">
        <v>3687</v>
      </c>
      <c r="E1928" s="22" t="s">
        <v>48</v>
      </c>
      <c r="F1928" s="23" t="str">
        <f>HYPERLINK("https://www.spark-marketing.ru/Card/Lot/73863108",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</v>
      </c>
      <c r="G1928" s="22" t="s">
        <v>49</v>
      </c>
      <c r="H1928" s="22" t="s">
        <v>2495</v>
      </c>
      <c r="I1928" s="26">
        <v>43732.516006944403</v>
      </c>
      <c r="J1928" s="28" t="s">
        <v>51</v>
      </c>
      <c r="K1928" s="28" t="s">
        <v>51</v>
      </c>
      <c r="L1928" s="28" t="s">
        <v>51</v>
      </c>
      <c r="M1928" s="28" t="s">
        <v>51</v>
      </c>
      <c r="N1928" s="28" t="s">
        <v>51</v>
      </c>
    </row>
    <row r="1929" spans="1:14" x14ac:dyDescent="0.15">
      <c r="A1929" s="23" t="str">
        <f>HYPERLINK("https://www.spark-marketing.ru/Card/Person/141310", "ОМВД РОССИИ ПО Г. МАГАДАНУ")</f>
        <v>ОМВД РОССИИ ПО Г. МАГАДАНУ</v>
      </c>
      <c r="B1929" s="24" t="s">
        <v>3688</v>
      </c>
      <c r="C1929" s="25">
        <v>513427</v>
      </c>
      <c r="D1929" s="22" t="s">
        <v>3689</v>
      </c>
      <c r="E1929" s="22" t="s">
        <v>48</v>
      </c>
      <c r="F1929" s="23" t="str">
        <f>HYPERLINK("https://www.spark-marketing.ru/Card/Lot/73836345", "Оказание услуг по организации горячего питания для лиц, содержащихся в Центре временного содержания иностранных граждан ОМВД России по г. Магадану")</f>
        <v>Оказание услуг по организации горячего питания для лиц, содержащихся в Центре временного содержания иностранных граждан ОМВД России по г. Магадану</v>
      </c>
      <c r="G1929" s="22" t="s">
        <v>548</v>
      </c>
      <c r="H1929" s="22" t="s">
        <v>748</v>
      </c>
      <c r="I1929" s="26">
        <v>43732.489583333299</v>
      </c>
      <c r="J1929" s="23" t="str">
        <f>HYPERLINK("https://www.spark-marketing.ru/Card/Person/4438724", "Пыткин Артур Юрьевич")</f>
        <v>Пыткин Артур Юрьевич</v>
      </c>
      <c r="K1929" s="24" t="s">
        <v>3690</v>
      </c>
      <c r="L1929" s="22" t="s">
        <v>10</v>
      </c>
      <c r="M1929" s="28" t="s">
        <v>51</v>
      </c>
      <c r="N1929" s="28" t="s">
        <v>51</v>
      </c>
    </row>
    <row r="1930" spans="1:14" x14ac:dyDescent="0.15">
      <c r="A1930" s="23" t="str">
        <f>HYPERLINK("https://www.spark-marketing.ru/Card/Person/259820", "МО МВД РОССИИ ""КРАСНОХОЛМСКИЙ""")</f>
        <v>МО МВД РОССИИ "КРАСНОХОЛМСКИЙ"</v>
      </c>
      <c r="B1930" s="24" t="s">
        <v>2722</v>
      </c>
      <c r="C1930" s="25">
        <v>35000</v>
      </c>
      <c r="D1930" s="22" t="s">
        <v>3691</v>
      </c>
      <c r="E1930" s="22" t="s">
        <v>48</v>
      </c>
      <c r="F1930" s="23" t="str">
        <f>HYPERLINK("https://www.spark-marketing.ru/Card/Lot/73841825", "Услуги общественного питания, 140 усл. ед")</f>
        <v>Услуги общественного питания, 140 усл. ед</v>
      </c>
      <c r="G1930" s="22" t="s">
        <v>137</v>
      </c>
      <c r="H1930" s="22" t="s">
        <v>2724</v>
      </c>
      <c r="I1930" s="26">
        <v>43732.477384259299</v>
      </c>
      <c r="J1930" s="28" t="s">
        <v>51</v>
      </c>
      <c r="K1930" s="28" t="s">
        <v>51</v>
      </c>
      <c r="L1930" s="28" t="s">
        <v>51</v>
      </c>
      <c r="M1930" s="28" t="s">
        <v>51</v>
      </c>
      <c r="N1930" s="28" t="s">
        <v>51</v>
      </c>
    </row>
    <row r="1931" spans="1:14" x14ac:dyDescent="0.15">
      <c r="A1931" s="23" t="str">
        <f>HYPERLINK("https://www.spark-marketing.ru/Card/Person/126484", "МДОУ ДЕТСКИЙ САД № 20 ""ВЕСНУШКИ""")</f>
        <v>МДОУ ДЕТСКИЙ САД № 20 "ВЕСНУШКИ"</v>
      </c>
      <c r="B1931" s="24" t="s">
        <v>3692</v>
      </c>
      <c r="C1931" s="25">
        <v>164948</v>
      </c>
      <c r="D1931" s="22" t="s">
        <v>3693</v>
      </c>
      <c r="E1931" s="22" t="s">
        <v>48</v>
      </c>
      <c r="F1931" s="23" t="str">
        <f>HYPERLINK("https://www.spark-marketing.ru/Card/Lot/73843669",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1931" s="22" t="s">
        <v>49</v>
      </c>
      <c r="H1931" s="22" t="s">
        <v>50</v>
      </c>
      <c r="I1931" s="26">
        <v>43732.493182870399</v>
      </c>
      <c r="J1931" s="28" t="s">
        <v>51</v>
      </c>
      <c r="K1931" s="28" t="s">
        <v>51</v>
      </c>
      <c r="L1931" s="28" t="s">
        <v>51</v>
      </c>
      <c r="M1931" s="28" t="s">
        <v>51</v>
      </c>
      <c r="N1931" s="28" t="s">
        <v>51</v>
      </c>
    </row>
    <row r="1932" spans="1:14" x14ac:dyDescent="0.15">
      <c r="A1932" s="23" t="str">
        <f>HYPERLINK("https://www.spark-marketing.ru/Card/Person/357068", "ОТДЕЛ МВД РОССИИ ПО АКСАЙСКОМУ РАЙОНУ")</f>
        <v>ОТДЕЛ МВД РОССИИ ПО АКСАЙСКОМУ РАЙОНУ</v>
      </c>
      <c r="B1932" s="24" t="s">
        <v>265</v>
      </c>
      <c r="C1932" s="25">
        <v>244800</v>
      </c>
      <c r="D1932" s="22" t="s">
        <v>3694</v>
      </c>
      <c r="E1932" s="22" t="s">
        <v>48</v>
      </c>
      <c r="F1932" s="23" t="str">
        <f>HYPERLINK("https://www.spark-marketing.ru/Card/Lot/73841326", "Оказание услуг по организации питания (приготовлению и доставке) для ИВС, 1224 усл. ед")</f>
        <v>Оказание услуг по организации питания (приготовлению и доставке) для ИВС, 1224 усл. ед</v>
      </c>
      <c r="G1932" s="22" t="s">
        <v>267</v>
      </c>
      <c r="H1932" s="22" t="s">
        <v>268</v>
      </c>
      <c r="I1932" s="26">
        <v>43732.459988425901</v>
      </c>
      <c r="J1932" s="28" t="s">
        <v>51</v>
      </c>
      <c r="K1932" s="28" t="s">
        <v>51</v>
      </c>
      <c r="L1932" s="28" t="s">
        <v>51</v>
      </c>
      <c r="M1932" s="28" t="s">
        <v>51</v>
      </c>
      <c r="N1932" s="28" t="s">
        <v>51</v>
      </c>
    </row>
    <row r="1933" spans="1:14" x14ac:dyDescent="0.15">
      <c r="A1933" s="23" t="str">
        <f>HYPERLINK("https://www.spark-marketing.ru/Card/Person/88139", "МБОУ ""СОШ № 1""")</f>
        <v>МБОУ "СОШ № 1"</v>
      </c>
      <c r="B1933" s="24" t="s">
        <v>3695</v>
      </c>
      <c r="C1933" s="25">
        <v>1338866.03</v>
      </c>
      <c r="D1933" s="22" t="s">
        <v>3696</v>
      </c>
      <c r="E1933" s="22" t="s">
        <v>48</v>
      </c>
      <c r="F1933" s="23" t="str">
        <f>HYPERLINK("https://www.spark-marketing.ru/Card/Lot/73838483", "Оказание услуги по организации двухразового горячего питания льготной категории учащихся МБОУ «СОШ №1»")</f>
        <v>Оказание услуги по организации двухразового горячего питания льготной категории учащихся МБОУ «СОШ №1»</v>
      </c>
      <c r="G1933" s="22" t="s">
        <v>241</v>
      </c>
      <c r="H1933" s="22" t="s">
        <v>3697</v>
      </c>
      <c r="I1933" s="26">
        <v>43732.463888888902</v>
      </c>
      <c r="J1933" s="28" t="s">
        <v>51</v>
      </c>
      <c r="K1933" s="28" t="s">
        <v>51</v>
      </c>
      <c r="L1933" s="28" t="s">
        <v>51</v>
      </c>
      <c r="M1933" s="28" t="s">
        <v>51</v>
      </c>
      <c r="N1933" s="28" t="s">
        <v>51</v>
      </c>
    </row>
    <row r="1934" spans="1:14" ht="12.75" hidden="1" outlineLevel="1" x14ac:dyDescent="0.2">
      <c r="A1934" s="23" t="str">
        <f>HYPERLINK("https://www.spark-marketing.ru/Card/Person/88139", "МБОУ ""СОШ № 1""")</f>
        <v>МБОУ "СОШ № 1"</v>
      </c>
      <c r="B1934" s="24" t="s">
        <v>3695</v>
      </c>
      <c r="C1934" s="25">
        <v>1338866.03</v>
      </c>
      <c r="D1934" s="22" t="s">
        <v>3696</v>
      </c>
      <c r="E1934" s="22" t="s">
        <v>48</v>
      </c>
      <c r="F1934" s="23" t="str">
        <f>HYPERLINK("https://www.spark-marketing.ru/Card/Lot/73838483", "Оказание услуги по организации двухразового горячего питания льготной категории учащихся МБОУ «СОШ №1»")</f>
        <v>Оказание услуги по организации двухразового горячего питания льготной категории учащихся МБОУ «СОШ №1»</v>
      </c>
      <c r="G1934" s="22" t="s">
        <v>241</v>
      </c>
      <c r="H1934" s="22" t="s">
        <v>3697</v>
      </c>
      <c r="I1934" s="26">
        <v>43732.463888888902</v>
      </c>
      <c r="J1934" s="23" t="str">
        <f>HYPERLINK("https://www.spark-marketing.ru/Card/Person/232597", "Кляус Наталья Владимировна")</f>
        <v>Кляус Наталья Владимировна</v>
      </c>
      <c r="K1934" s="24" t="s">
        <v>3698</v>
      </c>
      <c r="L1934" s="22" t="s">
        <v>10</v>
      </c>
      <c r="M1934" s="25">
        <v>1292005.52</v>
      </c>
      <c r="N1934" s="27">
        <v>3.5000148595897979E-2</v>
      </c>
    </row>
    <row r="1935" spans="1:14" hidden="1" outlineLevel="1" x14ac:dyDescent="0.2">
      <c r="A1935" s="23" t="str">
        <f>HYPERLINK("https://www.spark-marketing.ru/Card/Person/88139", "МБОУ ""СОШ № 1""")</f>
        <v>МБОУ "СОШ № 1"</v>
      </c>
      <c r="B1935" s="24" t="s">
        <v>3695</v>
      </c>
      <c r="C1935" s="25">
        <v>1338866.03</v>
      </c>
      <c r="D1935" s="22" t="s">
        <v>3696</v>
      </c>
      <c r="E1935" s="22" t="s">
        <v>48</v>
      </c>
      <c r="F1935" s="23" t="str">
        <f>HYPERLINK("https://www.spark-marketing.ru/Card/Lot/73838483", "Оказание услуги по организации двухразового горячего питания льготной категории учащихся МБОУ «СОШ №1»")</f>
        <v>Оказание услуги по организации двухразового горячего питания льготной категории учащихся МБОУ «СОШ №1»</v>
      </c>
      <c r="G1935" s="22" t="s">
        <v>241</v>
      </c>
      <c r="H1935" s="22" t="s">
        <v>3697</v>
      </c>
      <c r="I1935" s="26">
        <v>43732.463888888902</v>
      </c>
      <c r="J1935" s="23" t="str">
        <f>HYPERLINK("https://www.spark-marketing.ru/Card/Person/135032", "ООО ""РЯБИНУШКА""")</f>
        <v>ООО "РЯБИНУШКА"</v>
      </c>
      <c r="K1935" s="24" t="s">
        <v>3699</v>
      </c>
      <c r="L1935" s="28" t="s">
        <v>51</v>
      </c>
      <c r="M1935" s="25">
        <v>1298699.8500000001</v>
      </c>
      <c r="N1935" s="27">
        <v>3.0000148707933084E-2</v>
      </c>
    </row>
    <row r="1936" spans="1:14" x14ac:dyDescent="0.15">
      <c r="A1936" s="23" t="str">
        <f>HYPERLINK("https://www.spark-marketing.ru/Card/Person/737290", "ГКУ «ЦБЗ ПРИ МИНЗДРАВЕ КАРЕЛИИ»")</f>
        <v>ГКУ «ЦБЗ ПРИ МИНЗДРАВЕ КАРЕЛИИ»</v>
      </c>
      <c r="B1936" s="24" t="s">
        <v>312</v>
      </c>
      <c r="C1936" s="25">
        <v>122808.6</v>
      </c>
      <c r="D1936" s="22" t="s">
        <v>3700</v>
      </c>
      <c r="E1936" s="22" t="s">
        <v>52</v>
      </c>
      <c r="F1936" s="23" t="str">
        <f>HYPERLINK("https://www.spark-marketing.ru/Card/Lot/73845361", "Поставка  лекарственного препарата  Топирамат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рец...")</f>
        <v>Поставка  лекарственного препарата  Топирамат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рец...</v>
      </c>
      <c r="G1936" s="22" t="s">
        <v>59</v>
      </c>
      <c r="H1936" s="22" t="s">
        <v>314</v>
      </c>
      <c r="I1936" s="26">
        <v>43732.429861111101</v>
      </c>
      <c r="J1936" s="28" t="s">
        <v>51</v>
      </c>
      <c r="K1936" s="28" t="s">
        <v>51</v>
      </c>
      <c r="L1936" s="28" t="s">
        <v>51</v>
      </c>
      <c r="M1936" s="28" t="s">
        <v>51</v>
      </c>
      <c r="N1936" s="28" t="s">
        <v>51</v>
      </c>
    </row>
    <row r="1937" spans="1:14" x14ac:dyDescent="0.15">
      <c r="A1937" s="23" t="str">
        <f>HYPERLINK("https://www.spark-marketing.ru/Card/Person/737290", "ГКУ «ЦБЗ ПРИ МИНЗДРАВЕ КАРЕЛИИ»")</f>
        <v>ГКУ «ЦБЗ ПРИ МИНЗДРАВЕ КАРЕЛИИ»</v>
      </c>
      <c r="B1937" s="24" t="s">
        <v>312</v>
      </c>
      <c r="C1937" s="25">
        <v>24328.799999999999</v>
      </c>
      <c r="D1937" s="22" t="s">
        <v>3701</v>
      </c>
      <c r="E1937" s="22" t="s">
        <v>52</v>
      </c>
      <c r="F1937" s="23" t="str">
        <f>HYPERLINK("https://www.spark-marketing.ru/Card/Lot/73846898", "Поставка лекарственного препарата Гликлазид 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Гликлазид 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1937" s="22" t="s">
        <v>59</v>
      </c>
      <c r="H1937" s="22" t="s">
        <v>314</v>
      </c>
      <c r="I1937" s="26">
        <v>43732.429861111101</v>
      </c>
      <c r="J1937" s="28" t="s">
        <v>51</v>
      </c>
      <c r="K1937" s="28" t="s">
        <v>51</v>
      </c>
      <c r="L1937" s="28" t="s">
        <v>51</v>
      </c>
      <c r="M1937" s="28" t="s">
        <v>51</v>
      </c>
      <c r="N1937" s="28" t="s">
        <v>51</v>
      </c>
    </row>
    <row r="1938" spans="1:14" x14ac:dyDescent="0.15">
      <c r="A1938" s="23" t="str">
        <f>HYPERLINK("https://www.spark-marketing.ru/Card/Person/57217", "ГБУ СШ № 2 КРАСНОГВАРДЕЙСКОГО РАЙОНА")</f>
        <v>ГБУ СШ № 2 КРАСНОГВАРДЕЙСКОГО РАЙОНА</v>
      </c>
      <c r="B1938" s="24" t="s">
        <v>2479</v>
      </c>
      <c r="C1938" s="25">
        <v>222987.66</v>
      </c>
      <c r="D1938" s="22" t="s">
        <v>3702</v>
      </c>
      <c r="E1938" s="22" t="s">
        <v>2481</v>
      </c>
      <c r="F1938" s="23" t="str">
        <f>HYPERLINK("https://www.spark-marketing.ru/Card/Lot/73846520", "Оказание услуг по организации проезда, проживания и питания для участия занимающихся отделения «Киокусинкай» в Чемпионате и Первенстве России по киокусинкай для Государственного бюджетного учреждения спортивная школа № 2 Красногвардейского района, дл...")</f>
        <v>Оказание услуг по организации проезда, проживания и питания для участия занимающихся отделения «Киокусинкай» в Чемпионате и Первенстве России по киокусинкай для Государственного бюджетного учреждения спортивная школа № 2 Красногвардейского района, дл...</v>
      </c>
      <c r="G1938" s="22" t="s">
        <v>117</v>
      </c>
      <c r="H1938" s="22" t="s">
        <v>117</v>
      </c>
      <c r="I1938" s="26">
        <v>43732.4284722222</v>
      </c>
      <c r="J1938" s="28" t="s">
        <v>51</v>
      </c>
      <c r="K1938" s="28" t="s">
        <v>51</v>
      </c>
      <c r="L1938" s="28" t="s">
        <v>51</v>
      </c>
      <c r="M1938" s="28" t="s">
        <v>51</v>
      </c>
      <c r="N1938" s="28" t="s">
        <v>51</v>
      </c>
    </row>
    <row r="1939" spans="1:14" hidden="1" outlineLevel="1" x14ac:dyDescent="0.2">
      <c r="A1939" s="23" t="str">
        <f>HYPERLINK("https://www.spark-marketing.ru/Card/Person/57217", "ГБУ СШ № 2 КРАСНОГВАРДЕЙСКОГО РАЙОНА")</f>
        <v>ГБУ СШ № 2 КРАСНОГВАРДЕЙСКОГО РАЙОНА</v>
      </c>
      <c r="B1939" s="24" t="s">
        <v>2479</v>
      </c>
      <c r="C1939" s="25">
        <v>222987.66</v>
      </c>
      <c r="D1939" s="22" t="s">
        <v>3702</v>
      </c>
      <c r="E1939" s="22" t="s">
        <v>2481</v>
      </c>
      <c r="F1939" s="23" t="str">
        <f>HYPERLINK("https://www.spark-marketing.ru/Card/Lot/73846520", "Оказание услуг по организации проезда, проживания и питания для участия занимающихся отделения «Киокусинкай» в Чемпионате и Первенстве России по киокусинкай для Государственного бюджетного учреждения спортивная школа № 2 Красногвардейского района, дл...")</f>
        <v>Оказание услуг по организации проезда, проживания и питания для участия занимающихся отделения «Киокусинкай» в Чемпионате и Первенстве России по киокусинкай для Государственного бюджетного учреждения спортивная школа № 2 Красногвардейского района, дл...</v>
      </c>
      <c r="G1939" s="22" t="s">
        <v>117</v>
      </c>
      <c r="H1939" s="22" t="s">
        <v>117</v>
      </c>
      <c r="I1939" s="26">
        <v>43732.4284722222</v>
      </c>
      <c r="J1939" s="23" t="str">
        <f>HYPERLINK("https://www.spark-marketing.ru/Card/Person/6639867", "ООО ""СТГ""")</f>
        <v>ООО "СТГ"</v>
      </c>
      <c r="K1939" s="24" t="s">
        <v>2482</v>
      </c>
      <c r="L1939" s="28" t="s">
        <v>51</v>
      </c>
      <c r="M1939" s="25">
        <v>173930.3</v>
      </c>
      <c r="N1939" s="27">
        <v>0.22000033544457123</v>
      </c>
    </row>
    <row r="1940" spans="1:14" ht="12.75" hidden="1" outlineLevel="1" x14ac:dyDescent="0.2">
      <c r="A1940" s="23" t="str">
        <f>HYPERLINK("https://www.spark-marketing.ru/Card/Person/57217", "ГБУ СШ № 2 КРАСНОГВАРДЕЙСКОГО РАЙОНА")</f>
        <v>ГБУ СШ № 2 КРАСНОГВАРДЕЙСКОГО РАЙОНА</v>
      </c>
      <c r="B1940" s="24" t="s">
        <v>2479</v>
      </c>
      <c r="C1940" s="25">
        <v>222987.66</v>
      </c>
      <c r="D1940" s="22" t="s">
        <v>3702</v>
      </c>
      <c r="E1940" s="22" t="s">
        <v>2481</v>
      </c>
      <c r="F1940" s="23" t="str">
        <f>HYPERLINK("https://www.spark-marketing.ru/Card/Lot/73846520", "Оказание услуг по организации проезда, проживания и питания для участия занимающихся отделения «Киокусинкай» в Чемпионате и Первенстве России по киокусинкай для Государственного бюджетного учреждения спортивная школа № 2 Красногвардейского района, дл...")</f>
        <v>Оказание услуг по организации проезда, проживания и питания для участия занимающихся отделения «Киокусинкай» в Чемпионате и Первенстве России по киокусинкай для Государственного бюджетного учреждения спортивная школа № 2 Красногвардейского района, дл...</v>
      </c>
      <c r="G1940" s="22" t="s">
        <v>117</v>
      </c>
      <c r="H1940" s="22" t="s">
        <v>117</v>
      </c>
      <c r="I1940" s="26">
        <v>43732.4284722222</v>
      </c>
      <c r="J1940" s="23" t="str">
        <f>HYPERLINK("https://www.spark-marketing.ru/Card/Person/4570741", "ООО ""ПЛАНЕТА""")</f>
        <v>ООО "ПЛАНЕТА"</v>
      </c>
      <c r="K1940" s="24" t="s">
        <v>2325</v>
      </c>
      <c r="L1940" s="22" t="s">
        <v>10</v>
      </c>
      <c r="M1940" s="25">
        <v>172815.35999999999</v>
      </c>
      <c r="N1940" s="27">
        <v>0.22500034306831149</v>
      </c>
    </row>
    <row r="1941" spans="1:14" x14ac:dyDescent="0.15">
      <c r="A1941" s="23" t="str">
        <f>HYPERLINK("https://www.spark-marketing.ru/Card/Person/1692809", "МО МВД РОССИИ ""УНЕЧСКИЙ""")</f>
        <v>МО МВД РОССИИ "УНЕЧСКИЙ"</v>
      </c>
      <c r="B1941" s="24" t="s">
        <v>3703</v>
      </c>
      <c r="C1941" s="25">
        <v>1146600</v>
      </c>
      <c r="D1941" s="22" t="s">
        <v>3704</v>
      </c>
      <c r="E1941" s="22" t="s">
        <v>48</v>
      </c>
      <c r="F1941" s="23" t="str">
        <f>HYPERLINK("https://www.spark-marketing.ru/Card/Lot/73861711", "услуги по организации ежедневного трехразового горячего питания, в том числе в выходные и праздничные дни лиц, содержащихся в комнате административно-задержанных, изоляторе временного содержания и специальном приемнике для содержания лиц, подвергнуты...")</f>
        <v>услуги по организации ежедневного трехразового горячего питания, в том числе в выходные и праздничные дни лиц, содержащихся в комнате административно-задержанных, изоляторе временного содержания и специальном приемнике для содержания лиц, подвергнуты...</v>
      </c>
      <c r="G1941" s="22" t="s">
        <v>475</v>
      </c>
      <c r="H1941" s="22" t="s">
        <v>475</v>
      </c>
      <c r="I1941" s="26">
        <v>43732.438344907401</v>
      </c>
      <c r="J1941" s="23" t="str">
        <f>HYPERLINK("https://www.spark-marketing.ru/Card/Person/260705", "ПО ""КООПЕРАТОР"" УНЕЧСКОГО РАЙОНА")</f>
        <v>ПО "КООПЕРАТОР" УНЕЧСКОГО РАЙОНА</v>
      </c>
      <c r="K1941" s="24" t="s">
        <v>3705</v>
      </c>
      <c r="L1941" s="22" t="s">
        <v>10</v>
      </c>
      <c r="M1941" s="28" t="s">
        <v>51</v>
      </c>
      <c r="N1941" s="28" t="s">
        <v>51</v>
      </c>
    </row>
    <row r="1942" spans="1:14" x14ac:dyDescent="0.15">
      <c r="A1942" s="23" t="str">
        <f>HYPERLINK("https://www.spark-marketing.ru/Card/Person/56553", "ГБУЗ ИБ № 3")</f>
        <v>ГБУЗ ИБ № 3</v>
      </c>
      <c r="B1942" s="24" t="s">
        <v>254</v>
      </c>
      <c r="C1942" s="25">
        <v>499330</v>
      </c>
      <c r="D1942" s="22" t="s">
        <v>3706</v>
      </c>
      <c r="E1942" s="22" t="s">
        <v>96</v>
      </c>
      <c r="F1942" s="23" t="str">
        <f>HYPERLINK("https://www.spark-marketing.ru/Card/Lot/73853052", "Оказание услуг по обеспечению лечебным питанием")</f>
        <v>Оказание услуг по обеспечению лечебным питанием</v>
      </c>
      <c r="G1942" s="22" t="s">
        <v>104</v>
      </c>
      <c r="H1942" s="22" t="s">
        <v>104</v>
      </c>
      <c r="I1942" s="26">
        <v>43732.431944444397</v>
      </c>
      <c r="J1942" s="28" t="s">
        <v>51</v>
      </c>
      <c r="K1942" s="28" t="s">
        <v>51</v>
      </c>
      <c r="L1942" s="28" t="s">
        <v>51</v>
      </c>
      <c r="M1942" s="28" t="s">
        <v>51</v>
      </c>
      <c r="N1942" s="28" t="s">
        <v>51</v>
      </c>
    </row>
    <row r="1943" spans="1:14" ht="12.75" hidden="1" outlineLevel="1" x14ac:dyDescent="0.2">
      <c r="A1943" s="23" t="str">
        <f>HYPERLINK("https://www.spark-marketing.ru/Card/Person/56553", "ГБУЗ ИБ № 3")</f>
        <v>ГБУЗ ИБ № 3</v>
      </c>
      <c r="B1943" s="24" t="s">
        <v>254</v>
      </c>
      <c r="C1943" s="25">
        <v>499330</v>
      </c>
      <c r="D1943" s="22" t="s">
        <v>3706</v>
      </c>
      <c r="E1943" s="22" t="s">
        <v>96</v>
      </c>
      <c r="F1943" s="23" t="str">
        <f>HYPERLINK("https://www.spark-marketing.ru/Card/Lot/73853052", "Оказание услуг по обеспечению лечебным питанием")</f>
        <v>Оказание услуг по обеспечению лечебным питанием</v>
      </c>
      <c r="G1943" s="22" t="s">
        <v>104</v>
      </c>
      <c r="H1943" s="22" t="s">
        <v>104</v>
      </c>
      <c r="I1943" s="26">
        <v>43732.431944444397</v>
      </c>
      <c r="J1943" s="23" t="str">
        <f>HYPERLINK("https://www.spark-marketing.ru/Card/Person/2461569", "ООО ""КОНСТАНТИНОВ""")</f>
        <v>ООО "КОНСТАНТИНОВ"</v>
      </c>
      <c r="K1943" s="24" t="s">
        <v>1691</v>
      </c>
      <c r="L1943" s="22" t="s">
        <v>10</v>
      </c>
      <c r="M1943" s="25">
        <v>334551.09999999998</v>
      </c>
      <c r="N1943" s="27">
        <v>0.33</v>
      </c>
    </row>
    <row r="1944" spans="1:14" hidden="1" outlineLevel="1" x14ac:dyDescent="0.2">
      <c r="A1944" s="23" t="str">
        <f>HYPERLINK("https://www.spark-marketing.ru/Card/Person/56553", "ГБУЗ ИБ № 3")</f>
        <v>ГБУЗ ИБ № 3</v>
      </c>
      <c r="B1944" s="24" t="s">
        <v>254</v>
      </c>
      <c r="C1944" s="25">
        <v>499330</v>
      </c>
      <c r="D1944" s="22" t="s">
        <v>3706</v>
      </c>
      <c r="E1944" s="22" t="s">
        <v>96</v>
      </c>
      <c r="F1944" s="23" t="str">
        <f>HYPERLINK("https://www.spark-marketing.ru/Card/Lot/73853052", "Оказание услуг по обеспечению лечебным питанием")</f>
        <v>Оказание услуг по обеспечению лечебным питанием</v>
      </c>
      <c r="G1944" s="22" t="s">
        <v>104</v>
      </c>
      <c r="H1944" s="22" t="s">
        <v>104</v>
      </c>
      <c r="I1944" s="26">
        <v>43732.431944444397</v>
      </c>
      <c r="J1944" s="23" t="str">
        <f>HYPERLINK("https://www.spark-marketing.ru/Card/Person/54395", "Третьяков Вячеслав Викторович")</f>
        <v>Третьяков Вячеслав Викторович</v>
      </c>
      <c r="K1944" s="24" t="s">
        <v>1690</v>
      </c>
      <c r="L1944" s="28" t="s">
        <v>51</v>
      </c>
      <c r="M1944" s="25">
        <v>337047.74</v>
      </c>
      <c r="N1944" s="27">
        <v>0.32500002002683598</v>
      </c>
    </row>
    <row r="1945" spans="1:14" x14ac:dyDescent="0.15">
      <c r="A1945" s="23" t="str">
        <f>HYPERLINK("https://www.spark-marketing.ru/Card/Person/16140", "ГЛАВАРХИВ МОСКОВСКОЙ ОБЛАСТИ")</f>
        <v>ГЛАВАРХИВ МОСКОВСКОЙ ОБЛАСТИ</v>
      </c>
      <c r="B1945" s="24" t="s">
        <v>3707</v>
      </c>
      <c r="C1945" s="25">
        <v>36000</v>
      </c>
      <c r="D1945" s="22" t="s">
        <v>3708</v>
      </c>
      <c r="E1945" s="22" t="s">
        <v>96</v>
      </c>
      <c r="F1945" s="23" t="str">
        <f>HYPERLINK("https://www.spark-marketing.ru/Card/Lot/73841890", "Услуги по организации питания участников научного мероприятия")</f>
        <v>Услуги по организации питания участников научного мероприятия</v>
      </c>
      <c r="G1945" s="22" t="s">
        <v>49</v>
      </c>
      <c r="H1945" s="22" t="s">
        <v>1263</v>
      </c>
      <c r="I1945" s="26">
        <v>43732.431296296301</v>
      </c>
      <c r="J1945" s="28" t="s">
        <v>51</v>
      </c>
      <c r="K1945" s="28" t="s">
        <v>51</v>
      </c>
      <c r="L1945" s="28" t="s">
        <v>51</v>
      </c>
      <c r="M1945" s="28" t="s">
        <v>51</v>
      </c>
      <c r="N1945" s="28" t="s">
        <v>51</v>
      </c>
    </row>
    <row r="1946" spans="1:14" x14ac:dyDescent="0.15">
      <c r="A1946" s="23" t="str">
        <f>HYPERLINK("https://www.spark-marketing.ru/Card/Person/737290", "ГКУ «ЦБЗ ПРИ МИНЗДРАВЕ КАРЕЛИИ»")</f>
        <v>ГКУ «ЦБЗ ПРИ МИНЗДРАВЕ КАРЕЛИИ»</v>
      </c>
      <c r="B1946" s="24" t="s">
        <v>312</v>
      </c>
      <c r="C1946" s="25">
        <v>118925.7</v>
      </c>
      <c r="D1946" s="22" t="s">
        <v>3709</v>
      </c>
      <c r="E1946" s="22" t="s">
        <v>52</v>
      </c>
      <c r="F1946" s="23" t="str">
        <f>HYPERLINK("https://www.spark-marketing.ru/Card/Lot/73845360", "Поставка лекарственного препарата    Симвастатин,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издел...")</f>
        <v>Поставка лекарственного препарата    Симвастатин,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издел...</v>
      </c>
      <c r="G1946" s="22" t="s">
        <v>59</v>
      </c>
      <c r="H1946" s="22" t="s">
        <v>3710</v>
      </c>
      <c r="I1946" s="26">
        <v>43732.429861111101</v>
      </c>
      <c r="J1946" s="23" t="str">
        <f>HYPERLINK("https://www.spark-marketing.ru/Card/Person/2592121", "ООО ""Ф-ФАРМ""")</f>
        <v>ООО "Ф-ФАРМ"</v>
      </c>
      <c r="K1946" s="24" t="s">
        <v>3711</v>
      </c>
      <c r="L1946" s="22" t="s">
        <v>10</v>
      </c>
      <c r="M1946" s="28" t="s">
        <v>51</v>
      </c>
      <c r="N1946" s="28" t="s">
        <v>51</v>
      </c>
    </row>
    <row r="1947" spans="1:14" x14ac:dyDescent="0.15">
      <c r="A1947" s="23" t="str">
        <f>HYPERLINK("https://www.spark-marketing.ru/Card/Person/737290", "ГКУ «ЦБЗ ПРИ МИНЗДРАВЕ КАРЕЛИИ»")</f>
        <v>ГКУ «ЦБЗ ПРИ МИНЗДРАВЕ КАРЕЛИИ»</v>
      </c>
      <c r="B1947" s="24" t="s">
        <v>312</v>
      </c>
      <c r="C1947" s="25">
        <v>172591.2</v>
      </c>
      <c r="D1947" s="22" t="s">
        <v>3712</v>
      </c>
      <c r="E1947" s="22" t="s">
        <v>52</v>
      </c>
      <c r="F1947" s="23" t="str">
        <f>HYPERLINK("https://www.spark-marketing.ru/Card/Lot/73846389", "Поставка лекарственного препарата Симвастатин,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изделиям...")</f>
        <v>Поставка лекарственного препарата Симвастатин,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</v>
      </c>
      <c r="G1947" s="22" t="s">
        <v>59</v>
      </c>
      <c r="H1947" s="22" t="s">
        <v>314</v>
      </c>
      <c r="I1947" s="26">
        <v>43732.429861111101</v>
      </c>
      <c r="J1947" s="23" t="str">
        <f>HYPERLINK("https://www.spark-marketing.ru/Card/Person/2592121", "ООО ""Ф-ФАРМ""")</f>
        <v>ООО "Ф-ФАРМ"</v>
      </c>
      <c r="K1947" s="24" t="s">
        <v>3711</v>
      </c>
      <c r="L1947" s="22" t="s">
        <v>10</v>
      </c>
      <c r="M1947" s="28" t="s">
        <v>51</v>
      </c>
      <c r="N1947" s="28" t="s">
        <v>51</v>
      </c>
    </row>
    <row r="1948" spans="1:14" x14ac:dyDescent="0.15">
      <c r="A1948" s="23" t="str">
        <f>HYPERLINK("https://www.spark-marketing.ru/Card/Person/1003314", "МБОУ ""САРСИНСКАЯ СОШ ИМ. А.М. КАРПОВА""")</f>
        <v>МБОУ "САРСИНСКАЯ СОШ ИМ. А.М. КАРПОВА"</v>
      </c>
      <c r="B1948" s="24" t="s">
        <v>3713</v>
      </c>
      <c r="C1948" s="25">
        <v>1775049.9</v>
      </c>
      <c r="D1948" s="22" t="s">
        <v>3714</v>
      </c>
      <c r="E1948" s="22" t="s">
        <v>96</v>
      </c>
      <c r="F1948" s="23" t="str">
        <f>HYPERLINK("https://www.spark-marketing.ru/Card/Lot/73864074", "Услуги по организации питания для обучающихся из многодетных малоимущих и малоимущих семей для нужд МБОУ ""Сарсинская средняя общеобразовательная школа имени А.М.Карпова""")</f>
        <v>Услуги по организации питания для обучающихся из многодетных малоимущих и малоимущих семей для нужд МБОУ "Сарсинская средняя общеобразовательная школа имени А.М.Карпова"</v>
      </c>
      <c r="G1948" s="22" t="s">
        <v>153</v>
      </c>
      <c r="H1948" s="22" t="s">
        <v>153</v>
      </c>
      <c r="I1948" s="26">
        <v>43732.453182870398</v>
      </c>
      <c r="J1948" s="23" t="str">
        <f>HYPERLINK("https://www.spark-marketing.ru/Card/Person/405729", "Гилев Виталий Васильевич")</f>
        <v>Гилев Виталий Васильевич</v>
      </c>
      <c r="K1948" s="24" t="s">
        <v>3715</v>
      </c>
      <c r="L1948" s="22" t="s">
        <v>10</v>
      </c>
      <c r="M1948" s="28" t="s">
        <v>51</v>
      </c>
      <c r="N1948" s="28" t="s">
        <v>51</v>
      </c>
    </row>
    <row r="1949" spans="1:14" x14ac:dyDescent="0.15">
      <c r="A1949" s="23" t="str">
        <f>HYPERLINK("https://www.spark-marketing.ru/Card/Person/1000690", "МОУ ""НАЧАЛЬНАЯ ШКОЛА - ДЕТСКИЙ САД Г. МОЖАЙСКА""")</f>
        <v>МОУ "НАЧАЛЬНАЯ ШКОЛА - ДЕТСКИЙ САД Г. МОЖАЙСКА"</v>
      </c>
      <c r="B1949" s="24" t="s">
        <v>3716</v>
      </c>
      <c r="C1949" s="25">
        <v>97461</v>
      </c>
      <c r="D1949" s="22" t="s">
        <v>3717</v>
      </c>
      <c r="E1949" s="22" t="s">
        <v>48</v>
      </c>
      <c r="F1949" s="23" t="str">
        <f>HYPERLINK("https://www.spark-marketing.ru/Card/Lot/73840684", "Оказание услуг по организации питания отдельных категорий обучающихся")</f>
        <v>Оказание услуг по организации питания отдельных категорий обучающихся</v>
      </c>
      <c r="G1949" s="22" t="s">
        <v>49</v>
      </c>
      <c r="H1949" s="22" t="s">
        <v>3718</v>
      </c>
      <c r="I1949" s="26">
        <v>43732.378217592603</v>
      </c>
      <c r="J1949" s="28" t="s">
        <v>51</v>
      </c>
      <c r="K1949" s="28" t="s">
        <v>51</v>
      </c>
      <c r="L1949" s="28" t="s">
        <v>51</v>
      </c>
      <c r="M1949" s="28" t="s">
        <v>51</v>
      </c>
      <c r="N1949" s="28" t="s">
        <v>51</v>
      </c>
    </row>
    <row r="1950" spans="1:14" x14ac:dyDescent="0.15">
      <c r="A1950" s="23" t="str">
        <f>HYPERLINK("https://www.spark-marketing.ru/Card/Person/6619440", "ГБУЗ ПК ""ПЦРБ""")</f>
        <v>ГБУЗ ПК "ПЦРБ"</v>
      </c>
      <c r="B1950" s="24" t="s">
        <v>3719</v>
      </c>
      <c r="C1950" s="25">
        <v>500000</v>
      </c>
      <c r="D1950" s="22" t="s">
        <v>3720</v>
      </c>
      <c r="E1950" s="22" t="s">
        <v>96</v>
      </c>
      <c r="F1950" s="23" t="str">
        <f>HYPERLINK("https://www.spark-marketing.ru/Card/Lot/73838517", "Оказание услуг организации лечебного питания в стационаре ГБУЗ ПК ""ПЦРБ"" ЗАТО Звездный")</f>
        <v>Оказание услуг организации лечебного питания в стационаре ГБУЗ ПК "ПЦРБ" ЗАТО Звездный</v>
      </c>
      <c r="G1950" s="22" t="s">
        <v>153</v>
      </c>
      <c r="H1950" s="22" t="s">
        <v>153</v>
      </c>
      <c r="I1950" s="26">
        <v>43732.384722222203</v>
      </c>
      <c r="J1950" s="23" t="str">
        <f>HYPERLINK("https://www.spark-marketing.ru/Card/Person/6716339", "ООО ""АВРОРА""")</f>
        <v>ООО "АВРОРА"</v>
      </c>
      <c r="K1950" s="24" t="s">
        <v>3721</v>
      </c>
      <c r="L1950" s="22" t="s">
        <v>10</v>
      </c>
      <c r="M1950" s="28" t="s">
        <v>51</v>
      </c>
      <c r="N1950" s="28" t="s">
        <v>51</v>
      </c>
    </row>
    <row r="1951" spans="1:14" x14ac:dyDescent="0.15">
      <c r="A1951" s="23" t="str">
        <f>HYPERLINK("https://www.spark-marketing.ru/Card/Person/261186", "МО МВД РОССИИ ""ЖУКОВСКИЙ""")</f>
        <v>МО МВД РОССИИ "ЖУКОВСКИЙ"</v>
      </c>
      <c r="B1951" s="24" t="s">
        <v>3722</v>
      </c>
      <c r="C1951" s="25">
        <v>10395.040000000001</v>
      </c>
      <c r="D1951" s="22" t="s">
        <v>3723</v>
      </c>
      <c r="E1951" s="22" t="s">
        <v>96</v>
      </c>
      <c r="F1951" s="23" t="str">
        <f>HYPERLINK("https://www.spark-marketing.ru/Card/Lot/73838277",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951" s="22" t="s">
        <v>475</v>
      </c>
      <c r="H1951" s="22" t="s">
        <v>3724</v>
      </c>
      <c r="I1951" s="26">
        <v>43732.383032407401</v>
      </c>
      <c r="J1951" s="28" t="s">
        <v>51</v>
      </c>
      <c r="K1951" s="28" t="s">
        <v>51</v>
      </c>
      <c r="L1951" s="28" t="s">
        <v>51</v>
      </c>
      <c r="M1951" s="28" t="s">
        <v>51</v>
      </c>
      <c r="N1951" s="28" t="s">
        <v>51</v>
      </c>
    </row>
    <row r="1952" spans="1:14" x14ac:dyDescent="0.15">
      <c r="A1952" s="23" t="str">
        <f>HYPERLINK("https://www.spark-marketing.ru/Card/Person/26068", "ГБУЗ ПК ""ИЛЬИНСКАЯ ЦРБ""")</f>
        <v>ГБУЗ ПК "ИЛЬИНСКАЯ ЦРБ"</v>
      </c>
      <c r="B1952" s="24" t="s">
        <v>3725</v>
      </c>
      <c r="C1952" s="25">
        <v>87840</v>
      </c>
      <c r="D1952" s="22" t="s">
        <v>3726</v>
      </c>
      <c r="E1952" s="22" t="s">
        <v>96</v>
      </c>
      <c r="F1952" s="23" t="str">
        <f>HYPERLINK("https://www.spark-marketing.ru/Card/Lot/73840956", "Приобретение услуги по предоставлению питания больным круглосуточного стационара")</f>
        <v>Приобретение услуги по предоставлению питания больным круглосуточного стационара</v>
      </c>
      <c r="G1952" s="22" t="s">
        <v>153</v>
      </c>
      <c r="H1952" s="22" t="s">
        <v>153</v>
      </c>
      <c r="I1952" s="26">
        <v>43732.386111111096</v>
      </c>
      <c r="J1952" s="23" t="str">
        <f>HYPERLINK("https://www.spark-marketing.ru/Card/Person/788890", "ООО ""МЕДИЛАЙН""")</f>
        <v>ООО "МЕДИЛАЙН"</v>
      </c>
      <c r="K1952" s="24" t="s">
        <v>3727</v>
      </c>
      <c r="L1952" s="22" t="s">
        <v>10</v>
      </c>
      <c r="M1952" s="28" t="s">
        <v>51</v>
      </c>
      <c r="N1952" s="28" t="s">
        <v>51</v>
      </c>
    </row>
    <row r="1953" spans="1:14" x14ac:dyDescent="0.15">
      <c r="A1953" s="23" t="str">
        <f>HYPERLINK("https://www.spark-marketing.ru/Card/Person/168345", "ОТДЕЛ МВД РОССИИ ПО ТИХОРЕЦКОМУ РАЙОНУ")</f>
        <v>ОТДЕЛ МВД РОССИИ ПО ТИХОРЕЦКОМУ РАЙОНУ</v>
      </c>
      <c r="B1953" s="24" t="s">
        <v>3728</v>
      </c>
      <c r="C1953" s="25">
        <v>2643000</v>
      </c>
      <c r="D1953" s="22" t="s">
        <v>3729</v>
      </c>
      <c r="E1953" s="22" t="s">
        <v>48</v>
      </c>
      <c r="F1953" s="23" t="str">
        <f>HYPERLINK("https://www.spark-marketing.ru/Card/Lot/73863657", "Оказание услуг по организации питания, рациона питания подозреваемых и обвиняемых, находящихся в изоляторе временного содержания Отдела МВД России по Тихорецкому району  и лиц, подвергнутых административному аресту находящихся в специальном приемнике...")</f>
        <v>Оказание услуг по организации питания, рациона питания подозреваемых и обвиняемых, находящихся в изоляторе временного содержания Отдела МВД России по Тихорецкому району  и лиц, подвергнутых административному аресту находящихся в специальном приемнике...</v>
      </c>
      <c r="G1953" s="22" t="s">
        <v>104</v>
      </c>
      <c r="H1953" s="22" t="s">
        <v>104</v>
      </c>
      <c r="I1953" s="26">
        <v>43732.410150463002</v>
      </c>
      <c r="J1953" s="23" t="str">
        <f>HYPERLINK("https://www.spark-marketing.ru/Card/Person/183820", "ООО ""КОЛИБРИ""")</f>
        <v>ООО "КОЛИБРИ"</v>
      </c>
      <c r="K1953" s="24" t="s">
        <v>3730</v>
      </c>
      <c r="L1953" s="22" t="s">
        <v>10</v>
      </c>
      <c r="M1953" s="28" t="s">
        <v>51</v>
      </c>
      <c r="N1953" s="28" t="s">
        <v>51</v>
      </c>
    </row>
    <row r="1954" spans="1:14" x14ac:dyDescent="0.15">
      <c r="A1954" s="23" t="str">
        <f>HYPERLINK("https://www.spark-marketing.ru/Card/Person/364139", "МО МВД РОССИИ ""ОСТРОВСКИЙ""")</f>
        <v>МО МВД РОССИИ "ОСТРОВСКИЙ"</v>
      </c>
      <c r="B1954" s="24" t="s">
        <v>3731</v>
      </c>
      <c r="C1954" s="25">
        <v>401730.25</v>
      </c>
      <c r="D1954" s="22" t="s">
        <v>3732</v>
      </c>
      <c r="E1954" s="22" t="s">
        <v>48</v>
      </c>
      <c r="F1954" s="23" t="str">
        <f>HYPERLINK("https://www.spark-marketing.ru/Card/Lot/73855451", "Пригот горяч пищи для подозр и обвин в соверш преступл,находящ в изоляторе врем содержания")</f>
        <v>Пригот горяч пищи для подозр и обвин в соверш преступл,находящ в изоляторе врем содержания</v>
      </c>
      <c r="G1954" s="22" t="s">
        <v>292</v>
      </c>
      <c r="H1954" s="22" t="s">
        <v>3733</v>
      </c>
      <c r="I1954" s="26">
        <v>43732.402083333298</v>
      </c>
      <c r="J1954" s="23" t="str">
        <f>HYPERLINK("https://www.spark-marketing.ru/Card/Person/4396452", "ООО ""ОКТАВА""")</f>
        <v>ООО "ОКТАВА"</v>
      </c>
      <c r="K1954" s="24" t="s">
        <v>3734</v>
      </c>
      <c r="L1954" s="22" t="s">
        <v>10</v>
      </c>
      <c r="M1954" s="28" t="s">
        <v>51</v>
      </c>
      <c r="N1954" s="28" t="s">
        <v>51</v>
      </c>
    </row>
    <row r="1955" spans="1:14" x14ac:dyDescent="0.15">
      <c r="A1955" s="23" t="str">
        <f>HYPERLINK("https://www.spark-marketing.ru/Card/Person/261186", "МО МВД РОССИИ ""ЖУКОВСКИЙ""")</f>
        <v>МО МВД РОССИИ "ЖУКОВСКИЙ"</v>
      </c>
      <c r="B1955" s="24" t="s">
        <v>3722</v>
      </c>
      <c r="C1955" s="25">
        <v>21716.3</v>
      </c>
      <c r="D1955" s="22" t="s">
        <v>3735</v>
      </c>
      <c r="E1955" s="22" t="s">
        <v>96</v>
      </c>
      <c r="F1955" s="23" t="str">
        <f>HYPERLINK("https://www.spark-marketing.ru/Card/Lot/73838161",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955" s="22" t="s">
        <v>475</v>
      </c>
      <c r="H1955" s="22" t="s">
        <v>3724</v>
      </c>
      <c r="I1955" s="26">
        <v>43732.379340277803</v>
      </c>
      <c r="J1955" s="28" t="s">
        <v>51</v>
      </c>
      <c r="K1955" s="28" t="s">
        <v>51</v>
      </c>
      <c r="L1955" s="28" t="s">
        <v>51</v>
      </c>
      <c r="M1955" s="28" t="s">
        <v>51</v>
      </c>
      <c r="N1955" s="28" t="s">
        <v>51</v>
      </c>
    </row>
    <row r="1956" spans="1:14" x14ac:dyDescent="0.15">
      <c r="A1956" s="23" t="str">
        <f t="shared" ref="A1956:A1961" si="28">HYPERLINK("https://www.spark-marketing.ru/Card/Person/1223", "ФКУ ""ЦХИСО УМВД РОССИИ ПО ХАНТЫ-МАНСИЙСКОМУ АВТОНОМНОМУ ОКРУГУ - ЮГРЕ""")</f>
        <v>ФКУ "ЦХИСО УМВД РОССИИ ПО ХАНТЫ-МАНСИЙСКОМУ АВТОНОМНОМУ ОКРУГУ - ЮГРЕ"</v>
      </c>
      <c r="B1956" s="24" t="s">
        <v>3531</v>
      </c>
      <c r="C1956" s="25">
        <v>9795000</v>
      </c>
      <c r="D1956" s="22" t="s">
        <v>3736</v>
      </c>
      <c r="E1956" s="22" t="s">
        <v>48</v>
      </c>
      <c r="F1956" s="23" t="str">
        <f t="shared" ref="F1956:F1961" si="29">HYPERLINK("https://www.spark-marketing.ru/Card/Lot/73839402", "Услуги по организации 3-х разового горячего питания слушателей, находящихся на обучении в Центре профессиональной подготовки УМВД России по Ханты-Мансийскому автономному округу - Югре")</f>
        <v>Услуги по организации 3-х разового горячего питания слушателей, находящихся на обучении в Центре профессиональной подготовки УМВД России по Ханты-Мансийскому автономному округу - Югре</v>
      </c>
      <c r="G1956" s="22" t="s">
        <v>97</v>
      </c>
      <c r="H1956" s="22" t="s">
        <v>3533</v>
      </c>
      <c r="I1956" s="26">
        <v>43732.379166666702</v>
      </c>
      <c r="J1956" s="28" t="s">
        <v>51</v>
      </c>
      <c r="K1956" s="28" t="s">
        <v>51</v>
      </c>
      <c r="L1956" s="28" t="s">
        <v>51</v>
      </c>
      <c r="M1956" s="28" t="s">
        <v>51</v>
      </c>
      <c r="N1956" s="28" t="s">
        <v>51</v>
      </c>
    </row>
    <row r="1957" spans="1:14" ht="12.75" hidden="1" outlineLevel="1" x14ac:dyDescent="0.2">
      <c r="A1957" s="23" t="str">
        <f t="shared" si="28"/>
        <v>ФКУ "ЦХИСО УМВД РОССИИ ПО ХАНТЫ-МАНСИЙСКОМУ АВТОНОМНОМУ ОКРУГУ - ЮГРЕ"</v>
      </c>
      <c r="B1957" s="24" t="s">
        <v>3531</v>
      </c>
      <c r="C1957" s="25">
        <v>9795000</v>
      </c>
      <c r="D1957" s="22" t="s">
        <v>3736</v>
      </c>
      <c r="E1957" s="22" t="s">
        <v>48</v>
      </c>
      <c r="F1957" s="23" t="str">
        <f t="shared" si="29"/>
        <v>Услуги по организации 3-х разового горячего питания слушателей, находящихся на обучении в Центре профессиональной подготовки УМВД России по Ханты-Мансийскому автономному округу - Югре</v>
      </c>
      <c r="G1957" s="22" t="s">
        <v>97</v>
      </c>
      <c r="H1957" s="22" t="s">
        <v>3533</v>
      </c>
      <c r="I1957" s="26">
        <v>43732.379166666702</v>
      </c>
      <c r="J1957" s="23" t="str">
        <f>HYPERLINK("https://www.spark-marketing.ru/Card/Person/54874", "ООО ""РУССКОМПЛЕКТ ПИТ""")</f>
        <v>ООО "РУССКОМПЛЕКТ ПИТ"</v>
      </c>
      <c r="K1957" s="24" t="s">
        <v>3534</v>
      </c>
      <c r="L1957" s="22" t="s">
        <v>10</v>
      </c>
      <c r="M1957" s="25">
        <v>9795000</v>
      </c>
      <c r="N1957" s="27">
        <v>0</v>
      </c>
    </row>
    <row r="1958" spans="1:14" hidden="1" outlineLevel="1" x14ac:dyDescent="0.15">
      <c r="A1958" s="23" t="str">
        <f t="shared" si="28"/>
        <v>ФКУ "ЦХИСО УМВД РОССИИ ПО ХАНТЫ-МАНСИЙСКОМУ АВТОНОМНОМУ ОКРУГУ - ЮГРЕ"</v>
      </c>
      <c r="B1958" s="24" t="s">
        <v>3531</v>
      </c>
      <c r="C1958" s="25">
        <v>9795000</v>
      </c>
      <c r="D1958" s="22" t="s">
        <v>3736</v>
      </c>
      <c r="E1958" s="22" t="s">
        <v>48</v>
      </c>
      <c r="F1958" s="23" t="str">
        <f t="shared" si="29"/>
        <v>Услуги по организации 3-х разового горячего питания слушателей, находящихся на обучении в Центре профессиональной подготовки УМВД России по Ханты-Мансийскому автономному округу - Югре</v>
      </c>
      <c r="G1958" s="22" t="s">
        <v>97</v>
      </c>
      <c r="H1958" s="22" t="s">
        <v>3533</v>
      </c>
      <c r="I1958" s="26">
        <v>43732.379166666702</v>
      </c>
      <c r="J1958" s="23" t="str">
        <f>HYPERLINK("https://www.spark-marketing.ru/Card/Person/936140", "ООО ""ОЛЬВО""")</f>
        <v>ООО "ОЛЬВО"</v>
      </c>
      <c r="K1958" s="24" t="s">
        <v>3737</v>
      </c>
      <c r="L1958" s="28" t="s">
        <v>51</v>
      </c>
      <c r="M1958" s="28" t="s">
        <v>51</v>
      </c>
      <c r="N1958" s="28" t="s">
        <v>51</v>
      </c>
    </row>
    <row r="1959" spans="1:14" hidden="1" outlineLevel="1" x14ac:dyDescent="0.2">
      <c r="A1959" s="23" t="str">
        <f t="shared" si="28"/>
        <v>ФКУ "ЦХИСО УМВД РОССИИ ПО ХАНТЫ-МАНСИЙСКОМУ АВТОНОМНОМУ ОКРУГУ - ЮГРЕ"</v>
      </c>
      <c r="B1959" s="24" t="s">
        <v>3531</v>
      </c>
      <c r="C1959" s="25">
        <v>9795000</v>
      </c>
      <c r="D1959" s="22" t="s">
        <v>3736</v>
      </c>
      <c r="E1959" s="22" t="s">
        <v>48</v>
      </c>
      <c r="F1959" s="23" t="str">
        <f t="shared" si="29"/>
        <v>Услуги по организации 3-х разового горячего питания слушателей, находящихся на обучении в Центре профессиональной подготовки УМВД России по Ханты-Мансийскому автономному округу - Югре</v>
      </c>
      <c r="G1959" s="22" t="s">
        <v>97</v>
      </c>
      <c r="H1959" s="22" t="s">
        <v>3533</v>
      </c>
      <c r="I1959" s="26">
        <v>43732.379166666702</v>
      </c>
      <c r="J1959" s="23" t="str">
        <f>HYPERLINK("https://www.spark-marketing.ru/Card/Person/6488137", "Наумов Павел Игоревич")</f>
        <v>Наумов Павел Игоревич</v>
      </c>
      <c r="K1959" s="24" t="s">
        <v>3738</v>
      </c>
      <c r="L1959" s="28" t="s">
        <v>51</v>
      </c>
      <c r="M1959" s="25">
        <v>9795000</v>
      </c>
      <c r="N1959" s="27">
        <v>0</v>
      </c>
    </row>
    <row r="1960" spans="1:14" hidden="1" outlineLevel="1" x14ac:dyDescent="0.15">
      <c r="A1960" s="23" t="str">
        <f t="shared" si="28"/>
        <v>ФКУ "ЦХИСО УМВД РОССИИ ПО ХАНТЫ-МАНСИЙСКОМУ АВТОНОМНОМУ ОКРУГУ - ЮГРЕ"</v>
      </c>
      <c r="B1960" s="24" t="s">
        <v>3531</v>
      </c>
      <c r="C1960" s="25">
        <v>9795000</v>
      </c>
      <c r="D1960" s="22" t="s">
        <v>3736</v>
      </c>
      <c r="E1960" s="22" t="s">
        <v>48</v>
      </c>
      <c r="F1960" s="23" t="str">
        <f t="shared" si="29"/>
        <v>Услуги по организации 3-х разового горячего питания слушателей, находящихся на обучении в Центре профессиональной подготовки УМВД России по Ханты-Мансийскому автономному округу - Югре</v>
      </c>
      <c r="G1960" s="22" t="s">
        <v>97</v>
      </c>
      <c r="H1960" s="22" t="s">
        <v>3533</v>
      </c>
      <c r="I1960" s="26">
        <v>43732.379166666702</v>
      </c>
      <c r="J1960" s="23" t="str">
        <f>HYPERLINK("https://www.spark-marketing.ru/Card/Person/6441119", "ООО ""БРАТЕЕВО""")</f>
        <v>ООО "БРАТЕЕВО"</v>
      </c>
      <c r="K1960" s="24" t="s">
        <v>3739</v>
      </c>
      <c r="L1960" s="28" t="s">
        <v>51</v>
      </c>
      <c r="M1960" s="28" t="s">
        <v>51</v>
      </c>
      <c r="N1960" s="28" t="s">
        <v>51</v>
      </c>
    </row>
    <row r="1961" spans="1:14" hidden="1" outlineLevel="1" x14ac:dyDescent="0.15">
      <c r="A1961" s="23" t="str">
        <f t="shared" si="28"/>
        <v>ФКУ "ЦХИСО УМВД РОССИИ ПО ХАНТЫ-МАНСИЙСКОМУ АВТОНОМНОМУ ОКРУГУ - ЮГРЕ"</v>
      </c>
      <c r="B1961" s="24" t="s">
        <v>3531</v>
      </c>
      <c r="C1961" s="25">
        <v>9795000</v>
      </c>
      <c r="D1961" s="22" t="s">
        <v>3736</v>
      </c>
      <c r="E1961" s="22" t="s">
        <v>48</v>
      </c>
      <c r="F1961" s="23" t="str">
        <f t="shared" si="29"/>
        <v>Услуги по организации 3-х разового горячего питания слушателей, находящихся на обучении в Центре профессиональной подготовки УМВД России по Ханты-Мансийскому автономному округу - Югре</v>
      </c>
      <c r="G1961" s="22" t="s">
        <v>97</v>
      </c>
      <c r="H1961" s="22" t="s">
        <v>3533</v>
      </c>
      <c r="I1961" s="26">
        <v>43732.379166666702</v>
      </c>
      <c r="J1961" s="23" t="str">
        <f>HYPERLINK("https://www.spark-marketing.ru/Card/Person/78670", "ООО ""РЕВИТАЛ""")</f>
        <v>ООО "РЕВИТАЛ"</v>
      </c>
      <c r="K1961" s="24" t="s">
        <v>3740</v>
      </c>
      <c r="L1961" s="28" t="s">
        <v>51</v>
      </c>
      <c r="M1961" s="28" t="s">
        <v>51</v>
      </c>
      <c r="N1961" s="28" t="s">
        <v>51</v>
      </c>
    </row>
    <row r="1962" spans="1:14" x14ac:dyDescent="0.15">
      <c r="A1962" s="23" t="str">
        <f>HYPERLINK("https://www.spark-marketing.ru/Card/Person/26068", "ГБУЗ ПК ""ИЛЬИНСКАЯ ЦРБ""")</f>
        <v>ГБУЗ ПК "ИЛЬИНСКАЯ ЦРБ"</v>
      </c>
      <c r="B1962" s="24" t="s">
        <v>3725</v>
      </c>
      <c r="C1962" s="25">
        <v>61560</v>
      </c>
      <c r="D1962" s="22" t="s">
        <v>3741</v>
      </c>
      <c r="E1962" s="22" t="s">
        <v>96</v>
      </c>
      <c r="F1962" s="23" t="str">
        <f>HYPERLINK("https://www.spark-marketing.ru/Card/Lot/73837905", "Приобретение услуги по предоставлению питания для больных дневного стационара")</f>
        <v>Приобретение услуги по предоставлению питания для больных дневного стационара</v>
      </c>
      <c r="G1962" s="22" t="s">
        <v>153</v>
      </c>
      <c r="H1962" s="22" t="s">
        <v>153</v>
      </c>
      <c r="I1962" s="26">
        <v>43732.386111111096</v>
      </c>
      <c r="J1962" s="23" t="str">
        <f>HYPERLINK("https://www.spark-marketing.ru/Card/Person/788890", "ООО ""МЕДИЛАЙН""")</f>
        <v>ООО "МЕДИЛАЙН"</v>
      </c>
      <c r="K1962" s="24" t="s">
        <v>3727</v>
      </c>
      <c r="L1962" s="22" t="s">
        <v>10</v>
      </c>
      <c r="M1962" s="28" t="s">
        <v>51</v>
      </c>
      <c r="N1962" s="28" t="s">
        <v>51</v>
      </c>
    </row>
    <row r="1963" spans="1:14" x14ac:dyDescent="0.15">
      <c r="A1963" s="23" t="str">
        <f>HYPERLINK("https://www.spark-marketing.ru/Card/Person/1012794", "ОМВД РОССИИ ПО НИКОЛАЕВСКОМУ РАЙОНУ")</f>
        <v>ОМВД РОССИИ ПО НИКОЛАЕВСКОМУ РАЙОНУ</v>
      </c>
      <c r="B1963" s="24" t="s">
        <v>3742</v>
      </c>
      <c r="C1963" s="25">
        <v>702270</v>
      </c>
      <c r="D1963" s="22" t="s">
        <v>3743</v>
      </c>
      <c r="E1963" s="22" t="s">
        <v>48</v>
      </c>
      <c r="F1963" s="23" t="str">
        <f>HYPERLINK("https://www.spark-marketing.ru/Card/Lot/73837715", "Оказание услуг по организации питания лиц, содержащихся в изоляторе временного содержания подозреваемых и обвиняемых ОМВД России по Николаевскому району с 01.01.2020 по 30.06.2020")</f>
        <v>Оказание услуг по организации питания лиц, содержащихся в изоляторе временного содержания подозреваемых и обвиняемых ОМВД России по Николаевскому району с 01.01.2020 по 30.06.2020</v>
      </c>
      <c r="G1963" s="22" t="s">
        <v>1096</v>
      </c>
      <c r="H1963" s="22" t="s">
        <v>3400</v>
      </c>
      <c r="I1963" s="26">
        <v>43732.390277777798</v>
      </c>
      <c r="J1963" s="28" t="s">
        <v>51</v>
      </c>
      <c r="K1963" s="28" t="s">
        <v>51</v>
      </c>
      <c r="L1963" s="28" t="s">
        <v>51</v>
      </c>
      <c r="M1963" s="28" t="s">
        <v>51</v>
      </c>
      <c r="N1963" s="28" t="s">
        <v>51</v>
      </c>
    </row>
    <row r="1964" spans="1:14" x14ac:dyDescent="0.15">
      <c r="A1964" s="23" t="str">
        <f>HYPERLINK("https://www.spark-marketing.ru/Card/Person/1000282", "МБОУ Г. КУРГАНА ""СОШ № 50""")</f>
        <v>МБОУ Г. КУРГАНА "СОШ № 50"</v>
      </c>
      <c r="B1964" s="24" t="s">
        <v>3744</v>
      </c>
      <c r="C1964" s="25">
        <v>1614240</v>
      </c>
      <c r="D1964" s="22" t="s">
        <v>3745</v>
      </c>
      <c r="E1964" s="22" t="s">
        <v>48</v>
      </c>
      <c r="F1964" s="23" t="str">
        <f>HYPERLINK("https://www.spark-marketing.ru/Card/Lot/73840328", "Оказание услуг по организации питания обучающихся из малообеспеченных семей и обучающихся с ограниченными возможностями здоровья с 1 по 11 классы в октябре-декабре 2019 года")</f>
        <v>Оказание услуг по организации питания обучающихся из малообеспеченных семей и обучающихся с ограниченными возможностями здоровья с 1 по 11 классы в октябре-декабре 2019 года</v>
      </c>
      <c r="G1964" s="22" t="s">
        <v>1972</v>
      </c>
      <c r="H1964" s="22" t="s">
        <v>1972</v>
      </c>
      <c r="I1964" s="26">
        <v>43732.413194444402</v>
      </c>
      <c r="J1964" s="23" t="str">
        <f>HYPERLINK("https://www.spark-marketing.ru/Card/Person/677447", "МУП ""КОМБИНАТ ПИТАНИЯ""")</f>
        <v>МУП "КОМБИНАТ ПИТАНИЯ"</v>
      </c>
      <c r="K1964" s="24" t="s">
        <v>3746</v>
      </c>
      <c r="L1964" s="22" t="s">
        <v>10</v>
      </c>
      <c r="M1964" s="28" t="s">
        <v>51</v>
      </c>
      <c r="N1964" s="28" t="s">
        <v>51</v>
      </c>
    </row>
    <row r="1965" spans="1:14" x14ac:dyDescent="0.15">
      <c r="A1965" s="23" t="str">
        <f>HYPERLINK("https://www.spark-marketing.ru/Card/Person/1012794", "ОМВД РОССИИ ПО НИКОЛАЕВСКОМУ РАЙОНУ")</f>
        <v>ОМВД РОССИИ ПО НИКОЛАЕВСКОМУ РАЙОНУ</v>
      </c>
      <c r="B1965" s="24" t="s">
        <v>3742</v>
      </c>
      <c r="C1965" s="25">
        <v>702270</v>
      </c>
      <c r="D1965" s="22" t="s">
        <v>3747</v>
      </c>
      <c r="E1965" s="22" t="s">
        <v>48</v>
      </c>
      <c r="F1965" s="23" t="str">
        <f>HYPERLINK("https://www.spark-marketing.ru/Card/Lot/73836367", "Оказание услуг по организации питания лиц, содержащихся в изоляторе временного содержания подозреваемых и обвиняемых ОМВД России по Николаевскому району в период с 01.01.2021 по 30.06.2021 года")</f>
        <v>Оказание услуг по организации питания лиц, содержащихся в изоляторе временного содержания подозреваемых и обвиняемых ОМВД России по Николаевскому району в период с 01.01.2021 по 30.06.2021 года</v>
      </c>
      <c r="G1965" s="22" t="s">
        <v>1096</v>
      </c>
      <c r="H1965" s="22" t="s">
        <v>3400</v>
      </c>
      <c r="I1965" s="26">
        <v>43732.389583333301</v>
      </c>
      <c r="J1965" s="28" t="s">
        <v>51</v>
      </c>
      <c r="K1965" s="28" t="s">
        <v>51</v>
      </c>
      <c r="L1965" s="28" t="s">
        <v>51</v>
      </c>
      <c r="M1965" s="28" t="s">
        <v>51</v>
      </c>
      <c r="N1965" s="28" t="s">
        <v>51</v>
      </c>
    </row>
    <row r="1966" spans="1:14" x14ac:dyDescent="0.15">
      <c r="A1966" s="23" t="str">
        <f>HYPERLINK("https://www.spark-marketing.ru/Card/Person/5898180", "ООО РН СЕРВИС")</f>
        <v>ООО РН СЕРВИС</v>
      </c>
      <c r="B1966" s="28" t="s">
        <v>51</v>
      </c>
      <c r="C1966" s="28" t="s">
        <v>51</v>
      </c>
      <c r="D1966" s="22" t="s">
        <v>3748</v>
      </c>
      <c r="E1966" s="22" t="s">
        <v>362</v>
      </c>
      <c r="F1966" s="23" t="str">
        <f>HYPERLINK("https://www.spark-marketing.ru/Card/Lot/74007833", "Оказание услуг пообеспечению и организации горячего термосного питания для филиала ООО «РН-Сервис» в г. Нижневартовск в 2020 г.")</f>
        <v>Оказание услуг пообеспечению и организации горячего термосного питания для филиала ООО «РН-Сервис» в г. Нижневартовск в 2020 г.</v>
      </c>
      <c r="G1966" s="22" t="s">
        <v>51</v>
      </c>
      <c r="H1966" s="22" t="s">
        <v>51</v>
      </c>
      <c r="I1966" s="26">
        <v>43732.339583333298</v>
      </c>
      <c r="J1966" s="28" t="s">
        <v>51</v>
      </c>
      <c r="K1966" s="28" t="s">
        <v>51</v>
      </c>
      <c r="L1966" s="28" t="s">
        <v>51</v>
      </c>
      <c r="M1966" s="28" t="s">
        <v>51</v>
      </c>
      <c r="N1966" s="28" t="s">
        <v>51</v>
      </c>
    </row>
    <row r="1967" spans="1:14" x14ac:dyDescent="0.15">
      <c r="A1967" s="23" t="str">
        <f>HYPERLINK("https://www.spark-marketing.ru/Card/Person/20366", "МАОУ ГИМНАЗИЯ ИМЕНИ А.А.ПУШКИНА Г.О. БРОННИЦЫ")</f>
        <v>МАОУ ГИМНАЗИЯ ИМЕНИ А.А.ПУШКИНА Г.О. БРОННИЦЫ</v>
      </c>
      <c r="B1967" s="24" t="s">
        <v>1771</v>
      </c>
      <c r="C1967" s="25">
        <v>586083.54</v>
      </c>
      <c r="D1967" s="22" t="s">
        <v>3749</v>
      </c>
      <c r="E1967" s="22" t="s">
        <v>48</v>
      </c>
      <c r="F1967" s="23" t="str">
        <f>HYPERLINK("https://www.spark-marketing.ru/Card/Lot/73838703", "Услуги организации питания")</f>
        <v>Услуги организации питания</v>
      </c>
      <c r="G1967" s="22" t="s">
        <v>49</v>
      </c>
      <c r="H1967" s="22" t="s">
        <v>1773</v>
      </c>
      <c r="I1967" s="26">
        <v>43732.336331018501</v>
      </c>
      <c r="J1967" s="28" t="s">
        <v>51</v>
      </c>
      <c r="K1967" s="28" t="s">
        <v>51</v>
      </c>
      <c r="L1967" s="28" t="s">
        <v>51</v>
      </c>
      <c r="M1967" s="28" t="s">
        <v>51</v>
      </c>
      <c r="N1967" s="28" t="s">
        <v>51</v>
      </c>
    </row>
    <row r="1968" spans="1:14" x14ac:dyDescent="0.2">
      <c r="A1968" s="23" t="s">
        <v>114</v>
      </c>
      <c r="B1968" s="28" t="s">
        <v>51</v>
      </c>
      <c r="C1968" s="25">
        <v>6337695.7599999998</v>
      </c>
      <c r="D1968" s="22" t="s">
        <v>3750</v>
      </c>
      <c r="E1968" s="22" t="s">
        <v>48</v>
      </c>
      <c r="F1968" s="23" t="str">
        <f>HYPERLINK("https://www.spark-marketing.ru/Card/Lot/73837743", "Услуги по организации общественного питания")</f>
        <v>Услуги по организации общественного питания</v>
      </c>
      <c r="G1968" s="22" t="s">
        <v>51</v>
      </c>
      <c r="H1968" s="22" t="s">
        <v>51</v>
      </c>
      <c r="I1968" s="26">
        <v>43732.398611111101</v>
      </c>
      <c r="J1968" s="23" t="str">
        <f>HYPERLINK("https://www.spark-marketing.ru/Card/Person/129358", "ООО ""УТ""")</f>
        <v>ООО "УТ"</v>
      </c>
      <c r="K1968" s="24" t="s">
        <v>3751</v>
      </c>
      <c r="L1968" s="28" t="s">
        <v>51</v>
      </c>
      <c r="M1968" s="25">
        <v>6337695.7599999998</v>
      </c>
      <c r="N1968" s="27">
        <v>0</v>
      </c>
    </row>
    <row r="1969" spans="1:14" hidden="1" outlineLevel="1" x14ac:dyDescent="0.2">
      <c r="A1969" s="23" t="str">
        <f>HYPERLINK("https://www.spark-marketing.ru/Card/Person/954421", "МБОУ ""ССШ № 1""")</f>
        <v>МБОУ "ССШ № 1"</v>
      </c>
      <c r="B1969" s="24" t="s">
        <v>3752</v>
      </c>
      <c r="C1969" s="25">
        <v>2490434.04</v>
      </c>
      <c r="D1969" s="22" t="s">
        <v>3750</v>
      </c>
      <c r="E1969" s="22" t="s">
        <v>48</v>
      </c>
      <c r="F1969" s="23" t="str">
        <f>HYPERLINK("https://www.spark-marketing.ru/Card/Lot/73837743", "Услуги по организации общественного питания")</f>
        <v>Услуги по организации общественного питания</v>
      </c>
      <c r="G1969" s="22" t="s">
        <v>281</v>
      </c>
      <c r="H1969" s="22" t="s">
        <v>281</v>
      </c>
      <c r="I1969" s="26">
        <v>43732.398611111101</v>
      </c>
      <c r="J1969" s="23" t="str">
        <f>HYPERLINK("https://www.spark-marketing.ru/Card/Person/129358", "ООО ""УТ""")</f>
        <v>ООО "УТ"</v>
      </c>
      <c r="K1969" s="24" t="s">
        <v>3751</v>
      </c>
      <c r="L1969" s="28" t="s">
        <v>51</v>
      </c>
      <c r="M1969" s="28" t="s">
        <v>51</v>
      </c>
      <c r="N1969" s="27">
        <v>0</v>
      </c>
    </row>
    <row r="1970" spans="1:14" hidden="1" outlineLevel="1" x14ac:dyDescent="0.2">
      <c r="A1970" s="23" t="str">
        <f>HYPERLINK("https://www.spark-marketing.ru/Card/Person/954626", "МБОУ ""ТСШ № 3""")</f>
        <v>МБОУ "ТСШ № 3"</v>
      </c>
      <c r="B1970" s="24" t="s">
        <v>3753</v>
      </c>
      <c r="C1970" s="25">
        <v>2020724.1</v>
      </c>
      <c r="D1970" s="22" t="s">
        <v>3750</v>
      </c>
      <c r="E1970" s="22" t="s">
        <v>48</v>
      </c>
      <c r="F1970" s="23" t="str">
        <f>HYPERLINK("https://www.spark-marketing.ru/Card/Lot/73837743", "Услуги по организации общественного питания")</f>
        <v>Услуги по организации общественного питания</v>
      </c>
      <c r="G1970" s="22" t="s">
        <v>281</v>
      </c>
      <c r="H1970" s="22" t="s">
        <v>281</v>
      </c>
      <c r="I1970" s="26">
        <v>43732.398611111101</v>
      </c>
      <c r="J1970" s="23" t="str">
        <f>HYPERLINK("https://www.spark-marketing.ru/Card/Person/129358", "ООО ""УТ""")</f>
        <v>ООО "УТ"</v>
      </c>
      <c r="K1970" s="24" t="s">
        <v>3751</v>
      </c>
      <c r="L1970" s="28" t="s">
        <v>51</v>
      </c>
      <c r="M1970" s="28" t="s">
        <v>51</v>
      </c>
      <c r="N1970" s="27">
        <v>0</v>
      </c>
    </row>
    <row r="1971" spans="1:14" hidden="1" outlineLevel="1" x14ac:dyDescent="0.2">
      <c r="A1971" s="23" t="str">
        <f>HYPERLINK("https://www.spark-marketing.ru/Card/Person/954631", "МБОУ ""ССШ № 2""")</f>
        <v>МБОУ "ССШ № 2"</v>
      </c>
      <c r="B1971" s="24" t="s">
        <v>3754</v>
      </c>
      <c r="C1971" s="25">
        <v>1826537.62</v>
      </c>
      <c r="D1971" s="22" t="s">
        <v>3750</v>
      </c>
      <c r="E1971" s="22" t="s">
        <v>48</v>
      </c>
      <c r="F1971" s="23" t="str">
        <f>HYPERLINK("https://www.spark-marketing.ru/Card/Lot/73837743", "Услуги по организации общественного питания")</f>
        <v>Услуги по организации общественного питания</v>
      </c>
      <c r="G1971" s="22" t="s">
        <v>281</v>
      </c>
      <c r="H1971" s="22" t="s">
        <v>281</v>
      </c>
      <c r="I1971" s="26">
        <v>43732.398611111101</v>
      </c>
      <c r="J1971" s="23" t="str">
        <f>HYPERLINK("https://www.spark-marketing.ru/Card/Person/129358", "ООО ""УТ""")</f>
        <v>ООО "УТ"</v>
      </c>
      <c r="K1971" s="24" t="s">
        <v>3751</v>
      </c>
      <c r="L1971" s="28" t="s">
        <v>51</v>
      </c>
      <c r="M1971" s="28" t="s">
        <v>51</v>
      </c>
      <c r="N1971" s="27">
        <v>0</v>
      </c>
    </row>
    <row r="1972" spans="1:14" x14ac:dyDescent="0.2">
      <c r="A1972" s="23" t="str">
        <f>HYPERLINK("https://www.spark-marketing.ru/Card/Person/4879536", "ООО ""ОТК""")</f>
        <v>ООО "ОТК"</v>
      </c>
      <c r="B1972" s="24" t="s">
        <v>3755</v>
      </c>
      <c r="C1972" s="25">
        <v>693600</v>
      </c>
      <c r="D1972" s="22" t="s">
        <v>3756</v>
      </c>
      <c r="E1972" s="22" t="s">
        <v>362</v>
      </c>
      <c r="F1972" s="23" t="str">
        <f>HYPERLINK("https://www.spark-marketing.ru/Card/Lot/73810992", "Оказание услуг по общественному питанию работников")</f>
        <v>Оказание услуг по общественному питанию работников</v>
      </c>
      <c r="G1972" s="22" t="s">
        <v>217</v>
      </c>
      <c r="H1972" s="22" t="s">
        <v>217</v>
      </c>
      <c r="I1972" s="26">
        <v>43731</v>
      </c>
      <c r="J1972" s="28" t="s">
        <v>51</v>
      </c>
      <c r="K1972" s="28" t="s">
        <v>51</v>
      </c>
      <c r="L1972" s="22" t="s">
        <v>10</v>
      </c>
      <c r="M1972" s="25">
        <v>624240</v>
      </c>
      <c r="N1972" s="27">
        <v>0.1</v>
      </c>
    </row>
    <row r="1973" spans="1:14" x14ac:dyDescent="0.2">
      <c r="A1973" s="23" t="str">
        <f>HYPERLINK("https://www.spark-marketing.ru/Card/Person/699591", "МАОУ ""ЛИЦЕЙ 44"" Г. ЛИПЕЦКА")</f>
        <v>МАОУ "ЛИЦЕЙ 44" Г. ЛИПЕЦКА</v>
      </c>
      <c r="B1973" s="24" t="s">
        <v>3757</v>
      </c>
      <c r="C1973" s="25">
        <v>1972000</v>
      </c>
      <c r="D1973" s="22" t="s">
        <v>3758</v>
      </c>
      <c r="E1973" s="22" t="s">
        <v>362</v>
      </c>
      <c r="F1973" s="23" t="str">
        <f>HYPERLINK("https://www.spark-marketing.ru/Card/Lot/73833431", "Услуги по организации питания учащихся")</f>
        <v>Услуги по организации питания учащихся</v>
      </c>
      <c r="G1973" s="22" t="s">
        <v>101</v>
      </c>
      <c r="H1973" s="22" t="s">
        <v>728</v>
      </c>
      <c r="I1973" s="26">
        <v>43731.591828703698</v>
      </c>
      <c r="J1973" s="28" t="s">
        <v>51</v>
      </c>
      <c r="K1973" s="28" t="s">
        <v>51</v>
      </c>
      <c r="L1973" s="28" t="s">
        <v>51</v>
      </c>
      <c r="M1973" s="25">
        <v>0</v>
      </c>
      <c r="N1973" s="27">
        <v>1</v>
      </c>
    </row>
    <row r="1974" spans="1:14" x14ac:dyDescent="0.2">
      <c r="A1974" s="23" t="str">
        <f>HYPERLINK("https://www.spark-marketing.ru/Card/Person/6257367", "МАУ Г НИЖНЕВАРТОВСКА ""СШОР ""САМОТЛОР""")</f>
        <v>МАУ Г НИЖНЕВАРТОВСКА "СШОР "САМОТЛОР"</v>
      </c>
      <c r="B1974" s="24" t="s">
        <v>3759</v>
      </c>
      <c r="C1974" s="25">
        <v>113860.5</v>
      </c>
      <c r="D1974" s="22" t="s">
        <v>3760</v>
      </c>
      <c r="E1974" s="22" t="s">
        <v>362</v>
      </c>
      <c r="F1974" s="23" t="str">
        <f>HYPERLINK("https://www.spark-marketing.ru/Card/Lot/73849489", "Оказание услуг по организации питания детей школьного возраста в оздоровительных лагерях с дневным пребыванием")</f>
        <v>Оказание услуг по организации питания детей школьного возраста в оздоровительных лагерях с дневным пребыванием</v>
      </c>
      <c r="G1974" s="22" t="s">
        <v>97</v>
      </c>
      <c r="H1974" s="22" t="s">
        <v>97</v>
      </c>
      <c r="I1974" s="26">
        <v>43732</v>
      </c>
      <c r="J1974" s="28" t="s">
        <v>51</v>
      </c>
      <c r="K1974" s="28" t="s">
        <v>51</v>
      </c>
      <c r="L1974" s="22" t="s">
        <v>10</v>
      </c>
      <c r="M1974" s="25">
        <v>113860.5</v>
      </c>
      <c r="N1974" s="27">
        <v>0</v>
      </c>
    </row>
    <row r="1975" spans="1:14" x14ac:dyDescent="0.2">
      <c r="A1975" s="23" t="str">
        <f>HYPERLINK("https://www.spark-marketing.ru/Card/Person/4348376", "АО ""ЖТК""")</f>
        <v>АО "ЖТК"</v>
      </c>
      <c r="B1975" s="24" t="s">
        <v>2312</v>
      </c>
      <c r="C1975" s="25">
        <v>222000</v>
      </c>
      <c r="D1975" s="22" t="s">
        <v>3761</v>
      </c>
      <c r="E1975" s="22" t="s">
        <v>580</v>
      </c>
      <c r="F1975" s="23" t="str">
        <f>HYPERLINK("https://www.spark-marketing.ru/Card/Lot/73876003", "Поставка продуктов питания на оказание услуг по организации питания пассажиров при задержке поездов более 4-х часов,а также пассажиров,оказавшихся в зоне чрезвычайных ситуаций")</f>
        <v>Поставка продуктов питания на оказание услуг по организации питания пассажиров при задержке поездов более 4-х часов,а также пассажиров,оказавшихся в зоне чрезвычайных ситуаций</v>
      </c>
      <c r="G1975" s="22" t="s">
        <v>104</v>
      </c>
      <c r="H1975" s="22" t="s">
        <v>104</v>
      </c>
      <c r="I1975" s="26">
        <v>43733</v>
      </c>
      <c r="J1975" s="28" t="s">
        <v>51</v>
      </c>
      <c r="K1975" s="28" t="s">
        <v>51</v>
      </c>
      <c r="L1975" s="28" t="s">
        <v>51</v>
      </c>
      <c r="M1975" s="25">
        <v>222000</v>
      </c>
      <c r="N1975" s="27">
        <v>0</v>
      </c>
    </row>
    <row r="1976" spans="1:14" x14ac:dyDescent="0.15">
      <c r="A1976" s="23" t="str">
        <f>HYPERLINK("https://www.spark-marketing.ru/Card/Person/100623", "ФГБУ «САНАТОРИЙ «КУРПАТЫ»")</f>
        <v>ФГБУ «САНАТОРИЙ «КУРПАТЫ»</v>
      </c>
      <c r="B1976" s="24" t="s">
        <v>2943</v>
      </c>
      <c r="C1976" s="25">
        <v>999840</v>
      </c>
      <c r="D1976" s="22" t="s">
        <v>3762</v>
      </c>
      <c r="E1976" s="22" t="s">
        <v>362</v>
      </c>
      <c r="F1976" s="23" t="str">
        <f>HYPERLINK("https://www.spark-marketing.ru/Card/Lot/73858804", "оказание услуг общественного (лечебного) четырехразового питания (завтрак, обед, ужин, второй ужин) по методу «Шведский стол» для основной категории лиц отдыхающих и заказного меню для отдельной категории отдыхающих с ассортиментом первых и вторых бл...")</f>
        <v>оказание услуг общественного (лечебного) четырехразового питания (завтрак, обед, ужин, второй ужин) по методу «Шведский стол» для основной категории лиц отдыхающих и заказного меню для отдельной категории отдыхающих с ассортиментом первых и вторых бл...</v>
      </c>
      <c r="G1976" s="22" t="s">
        <v>108</v>
      </c>
      <c r="H1976" s="22" t="s">
        <v>108</v>
      </c>
      <c r="I1976" s="26">
        <v>43732</v>
      </c>
      <c r="J1976" s="28" t="s">
        <v>51</v>
      </c>
      <c r="K1976" s="28" t="s">
        <v>51</v>
      </c>
      <c r="L1976" s="28" t="s">
        <v>51</v>
      </c>
      <c r="M1976" s="28" t="s">
        <v>51</v>
      </c>
      <c r="N1976" s="28" t="s">
        <v>51</v>
      </c>
    </row>
    <row r="1977" spans="1:14" x14ac:dyDescent="0.15">
      <c r="A1977" s="23" t="str">
        <f>HYPERLINK("https://www.spark-marketing.ru/Card/Person/6219431", "МАУ Г. НИЖНЕВАРТОВСКА ""СШ""")</f>
        <v>МАУ Г. НИЖНЕВАРТОВСКА "СШ"</v>
      </c>
      <c r="B1977" s="24" t="s">
        <v>3763</v>
      </c>
      <c r="C1977" s="25">
        <v>112400.75</v>
      </c>
      <c r="D1977" s="22" t="s">
        <v>3764</v>
      </c>
      <c r="E1977" s="22" t="s">
        <v>362</v>
      </c>
      <c r="F1977" s="23" t="str">
        <f>HYPERLINK("https://www.spark-marketing.ru/Card/Lot/73848405", "Оказание в период осенних каникул 2019 года услуг по организации питания детей в лагерях с дневным пребыванием, организованных при МАУ г. Нижневартовска «СШ»")</f>
        <v>Оказание в период осенних каникул 2019 года услуг по организации питания детей в лагерях с дневным пребыванием, организованных при МАУ г. Нижневартовска «СШ»</v>
      </c>
      <c r="G1977" s="22" t="s">
        <v>97</v>
      </c>
      <c r="H1977" s="22" t="s">
        <v>97</v>
      </c>
      <c r="I1977" s="26">
        <v>43732</v>
      </c>
      <c r="J1977" s="28" t="s">
        <v>51</v>
      </c>
      <c r="K1977" s="28" t="s">
        <v>51</v>
      </c>
      <c r="L1977" s="28" t="s">
        <v>51</v>
      </c>
      <c r="M1977" s="28" t="s">
        <v>51</v>
      </c>
      <c r="N1977" s="28" t="s">
        <v>51</v>
      </c>
    </row>
    <row r="1978" spans="1:14" x14ac:dyDescent="0.2">
      <c r="A1978" s="23" t="str">
        <f>HYPERLINK("https://www.spark-marketing.ru/Card/Person/16055", "ПОВОЛЖСКИЙ ГОСУДАРСТВЕННЫЙ ТЕХНОЛОГИЧЕСКИЙ УНИВЕРСИТЕТ, ФГБОУ ВО ""ПГТУ"", ВОЛГАТЕХ")</f>
        <v>ПОВОЛЖСКИЙ ГОСУДАРСТВЕННЫЙ ТЕХНОЛОГИЧЕСКИЙ УНИВЕРСИТЕТ, ФГБОУ ВО "ПГТУ", ВОЛГАТЕХ</v>
      </c>
      <c r="B1978" s="24" t="s">
        <v>3765</v>
      </c>
      <c r="C1978" s="25">
        <v>500000</v>
      </c>
      <c r="D1978" s="22" t="s">
        <v>3766</v>
      </c>
      <c r="E1978" s="22" t="s">
        <v>562</v>
      </c>
      <c r="F1978" s="23" t="str">
        <f>HYPERLINK("https://www.spark-marketing.ru/Card/Lot/73825100", "Оказание услуг по питанию участников мероприятий, проводимых ФГБОУ ВО «ПГТУ».")</f>
        <v>Оказание услуг по питанию участников мероприятий, проводимых ФГБОУ ВО «ПГТУ».</v>
      </c>
      <c r="G1978" s="22" t="s">
        <v>3249</v>
      </c>
      <c r="H1978" s="22" t="s">
        <v>3250</v>
      </c>
      <c r="I1978" s="26">
        <v>43731</v>
      </c>
      <c r="J1978" s="28" t="s">
        <v>51</v>
      </c>
      <c r="K1978" s="28" t="s">
        <v>51</v>
      </c>
      <c r="L1978" s="22" t="s">
        <v>10</v>
      </c>
      <c r="M1978" s="25">
        <v>500000</v>
      </c>
      <c r="N1978" s="27">
        <v>0</v>
      </c>
    </row>
    <row r="1979" spans="1:14" x14ac:dyDescent="0.15">
      <c r="A1979" s="23" t="str">
        <f>HYPERLINK("https://www.spark-marketing.ru/Card/Person/339104", "ГАУ ""АРРКО""")</f>
        <v>ГАУ "АРРКО"</v>
      </c>
      <c r="B1979" s="24" t="s">
        <v>3767</v>
      </c>
      <c r="C1979" s="25">
        <v>885145</v>
      </c>
      <c r="D1979" s="22" t="s">
        <v>3768</v>
      </c>
      <c r="E1979" s="22" t="s">
        <v>3769</v>
      </c>
      <c r="F1979" s="23" t="str">
        <f>HYPERLINK("https://www.spark-marketing.ru/Card/Lot/73846328", "Комплекс услуг по организации участия в выставке: аренда, экскурсионная программа,питание")</f>
        <v>Комплекс услуг по организации участия в выставке: аренда, экскурсионная программа,питание</v>
      </c>
      <c r="G1979" s="22" t="s">
        <v>112</v>
      </c>
      <c r="H1979" s="22" t="s">
        <v>112</v>
      </c>
      <c r="I1979" s="26">
        <v>43732</v>
      </c>
      <c r="J1979" s="28" t="s">
        <v>51</v>
      </c>
      <c r="K1979" s="28" t="s">
        <v>51</v>
      </c>
      <c r="L1979" s="28" t="s">
        <v>51</v>
      </c>
      <c r="M1979" s="28" t="s">
        <v>51</v>
      </c>
      <c r="N1979" s="28" t="s">
        <v>51</v>
      </c>
    </row>
    <row r="1980" spans="1:14" x14ac:dyDescent="0.15">
      <c r="A1980" s="23" t="str">
        <f>HYPERLINK("https://www.spark-marketing.ru/Card/Person/925631", "ГУК ТО ""ОЦРК""")</f>
        <v>ГУК ТО "ОЦРК"</v>
      </c>
      <c r="B1980" s="24" t="s">
        <v>3770</v>
      </c>
      <c r="C1980" s="25">
        <v>207235</v>
      </c>
      <c r="D1980" s="22" t="s">
        <v>3771</v>
      </c>
      <c r="E1980" s="22" t="s">
        <v>580</v>
      </c>
      <c r="F1980" s="23" t="str">
        <f>HYPERLINK("https://www.spark-marketing.ru/Card/Lot/73844304", "Оказание услуги по организации питания для участников 27.09.19 г. XX Российско-Финляндского культурного форума в Тульской области")</f>
        <v>Оказание услуги по организации питания для участников 27.09.19 г. XX Российско-Финляндского культурного форума в Тульской области</v>
      </c>
      <c r="G1980" s="22" t="s">
        <v>68</v>
      </c>
      <c r="H1980" s="22" t="s">
        <v>68</v>
      </c>
      <c r="I1980" s="26">
        <v>43732</v>
      </c>
      <c r="J1980" s="28" t="s">
        <v>51</v>
      </c>
      <c r="K1980" s="28" t="s">
        <v>51</v>
      </c>
      <c r="L1980" s="28" t="s">
        <v>51</v>
      </c>
      <c r="M1980" s="28" t="s">
        <v>51</v>
      </c>
      <c r="N1980" s="28" t="s">
        <v>51</v>
      </c>
    </row>
    <row r="1981" spans="1:14" x14ac:dyDescent="0.2">
      <c r="A1981" s="23" t="str">
        <f>HYPERLINK("https://www.spark-marketing.ru/Card/Person/5900", "ИРНИТУ, ФГБОУ ВО ""ИРНИТУ"", ""ИРКУТСКИЙ ПОЛИТЕХ""")</f>
        <v>ИРНИТУ, ФГБОУ ВО "ИРНИТУ", "ИРКУТСКИЙ ПОЛИТЕХ"</v>
      </c>
      <c r="B1981" s="24" t="s">
        <v>1084</v>
      </c>
      <c r="C1981" s="25">
        <v>439833.68</v>
      </c>
      <c r="D1981" s="22" t="s">
        <v>3772</v>
      </c>
      <c r="E1981" s="22" t="s">
        <v>3773</v>
      </c>
      <c r="F1981" s="23" t="str">
        <f>HYPERLINK("https://www.spark-marketing.ru/Card/Lot/73840366", "Оказание услуг по предоставлению в аренду оборудования")</f>
        <v>Оказание услуг по предоставлению в аренду оборудования</v>
      </c>
      <c r="G1981" s="22" t="s">
        <v>263</v>
      </c>
      <c r="H1981" s="22" t="s">
        <v>263</v>
      </c>
      <c r="I1981" s="26">
        <v>43732</v>
      </c>
      <c r="J1981" s="28" t="s">
        <v>51</v>
      </c>
      <c r="K1981" s="28" t="s">
        <v>51</v>
      </c>
      <c r="L1981" s="22" t="s">
        <v>10</v>
      </c>
      <c r="M1981" s="25">
        <v>366500</v>
      </c>
      <c r="N1981" s="27">
        <v>0.16673047866639043</v>
      </c>
    </row>
    <row r="1982" spans="1:14" x14ac:dyDescent="0.15">
      <c r="A1982" s="23" t="str">
        <f>HYPERLINK("https://www.spark-marketing.ru/Card/Person/1757464", "КГАУ ""СШОР ПО РЕГБИ ""ЕНИСЕЙ - СТМ""")</f>
        <v>КГАУ "СШОР ПО РЕГБИ "ЕНИСЕЙ - СТМ"</v>
      </c>
      <c r="B1982" s="24" t="s">
        <v>3563</v>
      </c>
      <c r="C1982" s="25">
        <v>350000</v>
      </c>
      <c r="D1982" s="22" t="s">
        <v>3774</v>
      </c>
      <c r="E1982" s="22" t="s">
        <v>362</v>
      </c>
      <c r="F1982" s="23" t="str">
        <f>HYPERLINK("https://www.spark-marketing.ru/Card/Lot/73838307", "Оказание услуг по организации питания в месте проведения соревнований")</f>
        <v>Оказание услуг по организации питания в месте проведения соревнований</v>
      </c>
      <c r="G1982" s="22" t="s">
        <v>281</v>
      </c>
      <c r="H1982" s="22" t="s">
        <v>281</v>
      </c>
      <c r="I1982" s="26">
        <v>43732</v>
      </c>
      <c r="J1982" s="28" t="s">
        <v>51</v>
      </c>
      <c r="K1982" s="28" t="s">
        <v>51</v>
      </c>
      <c r="L1982" s="28" t="s">
        <v>51</v>
      </c>
      <c r="M1982" s="28" t="s">
        <v>51</v>
      </c>
      <c r="N1982" s="28" t="s">
        <v>51</v>
      </c>
    </row>
    <row r="1983" spans="1:14" x14ac:dyDescent="0.15">
      <c r="A1983" s="23" t="str">
        <f>HYPERLINK("https://www.spark-marketing.ru/Card/Person/393023", "МОТД МВД РОССИИ ""ЧУХЛОМСКОЕ""")</f>
        <v>МОТД МВД РОССИИ "ЧУХЛОМСКОЕ"</v>
      </c>
      <c r="B1983" s="24" t="s">
        <v>3775</v>
      </c>
      <c r="C1983" s="25">
        <v>199800</v>
      </c>
      <c r="D1983" s="22" t="s">
        <v>3776</v>
      </c>
      <c r="E1983" s="22" t="s">
        <v>48</v>
      </c>
      <c r="F1983" s="23" t="str">
        <f>HYPERLINK("https://www.spark-marketing.ru/Card/Lot/73824669", "Оказание услуг по организации питания (приготовлению и доставке) для ИВС, 999 усл. ед")</f>
        <v>Оказание услуг по организации питания (приготовлению и доставке) для ИВС, 999 усл. ед</v>
      </c>
      <c r="G1983" s="22" t="s">
        <v>292</v>
      </c>
      <c r="H1983" s="22" t="s">
        <v>3777</v>
      </c>
      <c r="I1983" s="26">
        <v>43731.754942129599</v>
      </c>
      <c r="J1983" s="28" t="s">
        <v>51</v>
      </c>
      <c r="K1983" s="28" t="s">
        <v>51</v>
      </c>
      <c r="L1983" s="28" t="s">
        <v>51</v>
      </c>
      <c r="M1983" s="28" t="s">
        <v>51</v>
      </c>
      <c r="N1983" s="28" t="s">
        <v>51</v>
      </c>
    </row>
    <row r="1984" spans="1:14" x14ac:dyDescent="0.15">
      <c r="A1984" s="23" t="str">
        <f>HYPERLINK("https://www.spark-marketing.ru/Card/Person/338839", "ОМВД РОССИИ ПО КОРОЧАНСКОМУ РАЙОНУ")</f>
        <v>ОМВД РОССИИ ПО КОРОЧАНСКОМУ РАЙОНУ</v>
      </c>
      <c r="B1984" s="24" t="s">
        <v>3778</v>
      </c>
      <c r="C1984" s="25">
        <v>24605</v>
      </c>
      <c r="D1984" s="22" t="s">
        <v>3779</v>
      </c>
      <c r="E1984" s="22" t="s">
        <v>96</v>
      </c>
      <c r="F1984" s="23" t="str">
        <f>HYPERLINK("https://www.spark-marketing.ru/Card/Lot/73825630", "Оказание услуг по организации питания (приготовлению и доставке), 133 шт")</f>
        <v>Оказание услуг по организации питания (приготовлению и доставке), 133 шт</v>
      </c>
      <c r="G1984" s="22" t="s">
        <v>696</v>
      </c>
      <c r="H1984" s="22" t="s">
        <v>3780</v>
      </c>
      <c r="I1984" s="26">
        <v>43731.759803240697</v>
      </c>
      <c r="J1984" s="28" t="s">
        <v>51</v>
      </c>
      <c r="K1984" s="28" t="s">
        <v>51</v>
      </c>
      <c r="L1984" s="28" t="s">
        <v>51</v>
      </c>
      <c r="M1984" s="28" t="s">
        <v>51</v>
      </c>
      <c r="N1984" s="28" t="s">
        <v>51</v>
      </c>
    </row>
    <row r="1985" spans="1:14" x14ac:dyDescent="0.15">
      <c r="A1985" s="23" t="str">
        <f>HYPERLINK("https://www.spark-marketing.ru/Card/Person/338839", "ОМВД РОССИИ ПО КОРОЧАНСКОМУ РАЙОНУ")</f>
        <v>ОМВД РОССИИ ПО КОРОЧАНСКОМУ РАЙОНУ</v>
      </c>
      <c r="B1985" s="24" t="s">
        <v>3778</v>
      </c>
      <c r="C1985" s="25">
        <v>24605</v>
      </c>
      <c r="D1985" s="22" t="s">
        <v>3781</v>
      </c>
      <c r="E1985" s="22" t="s">
        <v>48</v>
      </c>
      <c r="F1985" s="23" t="str">
        <f>HYPERLINK("https://www.spark-marketing.ru/Card/Lot/73825823",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985" s="22" t="s">
        <v>696</v>
      </c>
      <c r="H1985" s="22" t="s">
        <v>3780</v>
      </c>
      <c r="I1985" s="26">
        <v>43731.7739814815</v>
      </c>
      <c r="J1985" s="28" t="s">
        <v>51</v>
      </c>
      <c r="K1985" s="28" t="s">
        <v>51</v>
      </c>
      <c r="L1985" s="28" t="s">
        <v>51</v>
      </c>
      <c r="M1985" s="28" t="s">
        <v>51</v>
      </c>
      <c r="N1985" s="28" t="s">
        <v>51</v>
      </c>
    </row>
    <row r="1986" spans="1:14" x14ac:dyDescent="0.15">
      <c r="A1986" s="23" t="str">
        <f>HYPERLINK("https://www.spark-marketing.ru/Card/Person/18481", "ФГУП ""РОСРАО""")</f>
        <v>ФГУП "РОСРАО"</v>
      </c>
      <c r="B1986" s="24" t="s">
        <v>2882</v>
      </c>
      <c r="C1986" s="25">
        <v>299800</v>
      </c>
      <c r="D1986" s="22" t="s">
        <v>3782</v>
      </c>
      <c r="E1986" s="22" t="s">
        <v>48</v>
      </c>
      <c r="F1986" s="23" t="str">
        <f>HYPERLINK("https://www.spark-marketing.ru/Card/Lot/73825308",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986" s="22" t="s">
        <v>162</v>
      </c>
      <c r="H1986" s="22" t="s">
        <v>1620</v>
      </c>
      <c r="I1986" s="26">
        <v>43731.749432870398</v>
      </c>
      <c r="J1986" s="28" t="s">
        <v>51</v>
      </c>
      <c r="K1986" s="28" t="s">
        <v>51</v>
      </c>
      <c r="L1986" s="28" t="s">
        <v>51</v>
      </c>
      <c r="M1986" s="28" t="s">
        <v>51</v>
      </c>
      <c r="N1986" s="28" t="s">
        <v>51</v>
      </c>
    </row>
    <row r="1987" spans="1:14" x14ac:dyDescent="0.15">
      <c r="A1987" s="23" t="str">
        <f>HYPERLINK("https://www.spark-marketing.ru/Card/Person/183760", "МО МВД РОССИИ ""АЛАТЫРСКИЙ""")</f>
        <v>МО МВД РОССИИ "АЛАТЫРСКИЙ"</v>
      </c>
      <c r="B1987" s="24" t="s">
        <v>3783</v>
      </c>
      <c r="C1987" s="25">
        <v>45230</v>
      </c>
      <c r="D1987" s="22" t="s">
        <v>3784</v>
      </c>
      <c r="E1987" s="22" t="s">
        <v>48</v>
      </c>
      <c r="F1987" s="23" t="str">
        <f>HYPERLINK("https://www.spark-marketing.ru/Card/Lot/73825358", "Оказание услуг по организации питания (приготовлению и доставке) для ИВС, 226 усл. ед")</f>
        <v>Оказание услуг по организации питания (приготовлению и доставке) для ИВС, 226 усл. ед</v>
      </c>
      <c r="G1987" s="22" t="s">
        <v>618</v>
      </c>
      <c r="H1987" s="22" t="s">
        <v>3785</v>
      </c>
      <c r="I1987" s="26">
        <v>43731.751701388901</v>
      </c>
      <c r="J1987" s="28" t="s">
        <v>51</v>
      </c>
      <c r="K1987" s="28" t="s">
        <v>51</v>
      </c>
      <c r="L1987" s="28" t="s">
        <v>51</v>
      </c>
      <c r="M1987" s="28" t="s">
        <v>51</v>
      </c>
      <c r="N1987" s="28" t="s">
        <v>51</v>
      </c>
    </row>
    <row r="1988" spans="1:14" x14ac:dyDescent="0.15">
      <c r="A1988" s="23" t="str">
        <f>HYPERLINK("https://www.spark-marketing.ru/Card/Person/1054488", "ОТДЕЛ МВД РОССИИ ПО БУТУРЛИНОВСКОМУ РАЙОНУ")</f>
        <v>ОТДЕЛ МВД РОССИИ ПО БУТУРЛИНОВСКОМУ РАЙОНУ</v>
      </c>
      <c r="B1988" s="24" t="s">
        <v>3786</v>
      </c>
      <c r="C1988" s="25">
        <v>192792.5</v>
      </c>
      <c r="D1988" s="22" t="s">
        <v>3787</v>
      </c>
      <c r="E1988" s="22" t="s">
        <v>48</v>
      </c>
      <c r="F1988" s="23" t="str">
        <f>HYPERLINK("https://www.spark-marketing.ru/Card/Lot/73823382",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988" s="22" t="s">
        <v>82</v>
      </c>
      <c r="H1988" s="22" t="s">
        <v>3788</v>
      </c>
      <c r="I1988" s="26">
        <v>43731.722847222198</v>
      </c>
      <c r="J1988" s="28" t="s">
        <v>51</v>
      </c>
      <c r="K1988" s="28" t="s">
        <v>51</v>
      </c>
      <c r="L1988" s="28" t="s">
        <v>51</v>
      </c>
      <c r="M1988" s="28" t="s">
        <v>51</v>
      </c>
      <c r="N1988" s="28" t="s">
        <v>51</v>
      </c>
    </row>
    <row r="1989" spans="1:14" x14ac:dyDescent="0.15">
      <c r="A1989" s="23" t="str">
        <f>HYPERLINK("https://www.spark-marketing.ru/Card/Person/1777763", "АО ""УРАНИУМ УАН ГРУП""")</f>
        <v>АО "УРАНИУМ УАН ГРУП"</v>
      </c>
      <c r="B1989" s="24" t="s">
        <v>3789</v>
      </c>
      <c r="C1989" s="25">
        <v>0</v>
      </c>
      <c r="D1989" s="22" t="s">
        <v>3790</v>
      </c>
      <c r="E1989" s="22" t="s">
        <v>52</v>
      </c>
      <c r="F1989" s="23" t="str">
        <f>HYPERLINK("https://www.spark-marketing.ru/Card/Lot/73828381", "мониторинг цен в электронной форме на Услуги по приобретению и доставке определенных наборов продуктов питания и напитков для нужд АО «Ураниум Уан Груп»")</f>
        <v>мониторинг цен в электронной форме на Услуги по приобретению и доставке определенных наборов продуктов питания и напитков для нужд АО «Ураниум Уан Груп»</v>
      </c>
      <c r="G1989" s="22" t="s">
        <v>56</v>
      </c>
      <c r="H1989" s="22" t="s">
        <v>56</v>
      </c>
      <c r="I1989" s="26">
        <v>43731.735127314802</v>
      </c>
      <c r="J1989" s="28" t="s">
        <v>51</v>
      </c>
      <c r="K1989" s="28" t="s">
        <v>51</v>
      </c>
      <c r="L1989" s="28" t="s">
        <v>51</v>
      </c>
      <c r="M1989" s="28" t="s">
        <v>51</v>
      </c>
      <c r="N1989" s="28" t="s">
        <v>51</v>
      </c>
    </row>
    <row r="1990" spans="1:14" x14ac:dyDescent="0.15">
      <c r="A1990" s="23" t="str">
        <f>HYPERLINK("https://www.spark-marketing.ru/Card/Person/737290", "ГКУ «ЦБЗ ПРИ МИНЗДРАВЕ КАРЕЛИИ»")</f>
        <v>ГКУ «ЦБЗ ПРИ МИНЗДРАВЕ КАРЕЛИИ»</v>
      </c>
      <c r="B1990" s="24" t="s">
        <v>312</v>
      </c>
      <c r="C1990" s="25">
        <v>46375</v>
      </c>
      <c r="D1990" s="22" t="s">
        <v>3791</v>
      </c>
      <c r="E1990" s="22" t="s">
        <v>52</v>
      </c>
      <c r="F1990" s="23" t="str">
        <f>HYPERLINK("https://www.spark-marketing.ru/Card/Lot/73827099", "Поставка лекарственного препарата  Карбамазепин,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рецеп...")</f>
        <v>Поставка лекарственного препарата  Карбамазепин,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</v>
      </c>
      <c r="G1990" s="22" t="s">
        <v>59</v>
      </c>
      <c r="H1990" s="22" t="s">
        <v>314</v>
      </c>
      <c r="I1990" s="26">
        <v>43731.725694444402</v>
      </c>
      <c r="J1990" s="28" t="s">
        <v>51</v>
      </c>
      <c r="K1990" s="28" t="s">
        <v>51</v>
      </c>
      <c r="L1990" s="28" t="s">
        <v>51</v>
      </c>
      <c r="M1990" s="28" t="s">
        <v>51</v>
      </c>
      <c r="N1990" s="28" t="s">
        <v>51</v>
      </c>
    </row>
    <row r="1991" spans="1:14" x14ac:dyDescent="0.15">
      <c r="A1991" s="23" t="str">
        <f>HYPERLINK("https://www.spark-marketing.ru/Card/Person/18481", "ФГУП ""РОСРАО""")</f>
        <v>ФГУП "РОСРАО"</v>
      </c>
      <c r="B1991" s="24" t="s">
        <v>2882</v>
      </c>
      <c r="C1991" s="25">
        <v>923620.5</v>
      </c>
      <c r="D1991" s="22" t="s">
        <v>3792</v>
      </c>
      <c r="E1991" s="22" t="s">
        <v>48</v>
      </c>
      <c r="F1991" s="23" t="str">
        <f>HYPERLINK("https://www.spark-marketing.ru/Card/Lot/73832438", "Оказание услуг по обеспечению лечебно-профилактическим питанием работников занятых на работах с вредными условиями труда Нижегородского отделения филиала «Приволжский территориальный округ» ФГУП «РосРАО»")</f>
        <v>Оказание услуг по обеспечению лечебно-профилактическим питанием работников занятых на работах с вредными условиями труда Нижегородского отделения филиала «Приволжский территориальный округ» ФГУП «РосРАО»</v>
      </c>
      <c r="G1991" s="22" t="s">
        <v>76</v>
      </c>
      <c r="H1991" s="22" t="s">
        <v>940</v>
      </c>
      <c r="I1991" s="26">
        <v>43731.747337963003</v>
      </c>
      <c r="J1991" s="23" t="str">
        <f>HYPERLINK("https://www.spark-marketing.ru/Card/Person/2298926", "ООО ""ЦЕНТР""")</f>
        <v>ООО "ЦЕНТР"</v>
      </c>
      <c r="K1991" s="24" t="s">
        <v>3793</v>
      </c>
      <c r="L1991" s="22" t="s">
        <v>10</v>
      </c>
      <c r="M1991" s="28" t="s">
        <v>51</v>
      </c>
      <c r="N1991" s="28" t="s">
        <v>51</v>
      </c>
    </row>
    <row r="1992" spans="1:14" x14ac:dyDescent="0.15">
      <c r="A1992" s="23" t="str">
        <f>HYPERLINK("https://www.spark-marketing.ru/Card/Person/3473", "БРЯНСКАЯ ТАМОЖНЯ")</f>
        <v>БРЯНСКАЯ ТАМОЖНЯ</v>
      </c>
      <c r="B1992" s="24" t="s">
        <v>3794</v>
      </c>
      <c r="C1992" s="25">
        <v>43200</v>
      </c>
      <c r="D1992" s="22" t="s">
        <v>3795</v>
      </c>
      <c r="E1992" s="22" t="s">
        <v>96</v>
      </c>
      <c r="F1992" s="23" t="str">
        <f>HYPERLINK("https://www.spark-marketing.ru/Card/Lot/73824094", "Услуга по питанию, 1 шт")</f>
        <v>Услуга по питанию, 1 шт</v>
      </c>
      <c r="G1992" s="22" t="s">
        <v>475</v>
      </c>
      <c r="H1992" s="22" t="s">
        <v>476</v>
      </c>
      <c r="I1992" s="26">
        <v>43731.729641203703</v>
      </c>
      <c r="J1992" s="28" t="s">
        <v>51</v>
      </c>
      <c r="K1992" s="28" t="s">
        <v>51</v>
      </c>
      <c r="L1992" s="28" t="s">
        <v>51</v>
      </c>
      <c r="M1992" s="28" t="s">
        <v>51</v>
      </c>
      <c r="N1992" s="28" t="s">
        <v>51</v>
      </c>
    </row>
    <row r="1993" spans="1:14" x14ac:dyDescent="0.15">
      <c r="A1993" s="23" t="str">
        <f>HYPERLINK("https://www.spark-marketing.ru/Card/Person/1054488", "ОТДЕЛ МВД РОССИИ ПО БУТУРЛИНОВСКОМУ РАЙОНУ")</f>
        <v>ОТДЕЛ МВД РОССИИ ПО БУТУРЛИНОВСКОМУ РАЙОНУ</v>
      </c>
      <c r="B1993" s="24" t="s">
        <v>3786</v>
      </c>
      <c r="C1993" s="25">
        <v>192792.5</v>
      </c>
      <c r="D1993" s="22" t="s">
        <v>3796</v>
      </c>
      <c r="E1993" s="22" t="s">
        <v>48</v>
      </c>
      <c r="F1993" s="23" t="str">
        <f>HYPERLINK("https://www.spark-marketing.ru/Card/Lot/73824970",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993" s="22" t="s">
        <v>82</v>
      </c>
      <c r="H1993" s="22" t="s">
        <v>3788</v>
      </c>
      <c r="I1993" s="26">
        <v>43731.745393518497</v>
      </c>
      <c r="J1993" s="28" t="s">
        <v>51</v>
      </c>
      <c r="K1993" s="28" t="s">
        <v>51</v>
      </c>
      <c r="L1993" s="28" t="s">
        <v>51</v>
      </c>
      <c r="M1993" s="28" t="s">
        <v>51</v>
      </c>
      <c r="N1993" s="28" t="s">
        <v>51</v>
      </c>
    </row>
    <row r="1994" spans="1:14" x14ac:dyDescent="0.15">
      <c r="A1994" s="23" t="str">
        <f>HYPERLINK("https://www.spark-marketing.ru/Card/Person/737290", "ГКУ «ЦБЗ ПРИ МИНЗДРАВЕ КАРЕЛИИ»")</f>
        <v>ГКУ «ЦБЗ ПРИ МИНЗДРАВЕ КАРЕЛИИ»</v>
      </c>
      <c r="B1994" s="24" t="s">
        <v>312</v>
      </c>
      <c r="C1994" s="25">
        <v>60542.5</v>
      </c>
      <c r="D1994" s="22" t="s">
        <v>3797</v>
      </c>
      <c r="E1994" s="22" t="s">
        <v>52</v>
      </c>
      <c r="F1994" s="23" t="str">
        <f>HYPERLINK("https://www.spark-marketing.ru/Card/Lot/73827360", "Поставка лекарственного препарата Урсодезоксихолевая кислота,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медици...")</f>
        <v>Поставка лекарственного препарата Урсодезоксихолевая кислота,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медици...</v>
      </c>
      <c r="G1994" s="22" t="s">
        <v>59</v>
      </c>
      <c r="H1994" s="22" t="s">
        <v>314</v>
      </c>
      <c r="I1994" s="26">
        <v>43731.725694444402</v>
      </c>
      <c r="J1994" s="28" t="s">
        <v>51</v>
      </c>
      <c r="K1994" s="28" t="s">
        <v>51</v>
      </c>
      <c r="L1994" s="28" t="s">
        <v>51</v>
      </c>
      <c r="M1994" s="28" t="s">
        <v>51</v>
      </c>
      <c r="N1994" s="28" t="s">
        <v>51</v>
      </c>
    </row>
    <row r="1995" spans="1:14" x14ac:dyDescent="0.15">
      <c r="A1995" s="23" t="str">
        <f t="shared" ref="A1995:A2001" si="30">HYPERLINK("https://www.spark-marketing.ru/Card/Person/946766", "МБУ ""СШОР ПО СПОРТИВНОЙ БОРЬБЕ""")</f>
        <v>МБУ "СШОР ПО СПОРТИВНОЙ БОРЬБЕ"</v>
      </c>
      <c r="B1995" s="24" t="s">
        <v>3798</v>
      </c>
      <c r="C1995" s="25">
        <v>34533.379999999997</v>
      </c>
      <c r="D1995" s="22" t="s">
        <v>3799</v>
      </c>
      <c r="E1995" s="22" t="s">
        <v>1018</v>
      </c>
      <c r="F1995" s="23" t="str">
        <f t="shared" ref="F1995:F2001" si="31">HYPERLINK("https://www.spark-marketing.ru/Card/Lot/73827195", "Оказание услуг по разработке и согласованию паспортов отходов")</f>
        <v>Оказание услуг по разработке и согласованию паспортов отходов</v>
      </c>
      <c r="G1995" s="22" t="s">
        <v>104</v>
      </c>
      <c r="H1995" s="22" t="s">
        <v>3800</v>
      </c>
      <c r="I1995" s="26">
        <v>43731.743750000001</v>
      </c>
      <c r="J1995" s="28" t="s">
        <v>51</v>
      </c>
      <c r="K1995" s="28" t="s">
        <v>51</v>
      </c>
      <c r="L1995" s="28" t="s">
        <v>51</v>
      </c>
      <c r="M1995" s="28" t="s">
        <v>51</v>
      </c>
      <c r="N1995" s="28" t="s">
        <v>51</v>
      </c>
    </row>
    <row r="1996" spans="1:14" hidden="1" outlineLevel="1" x14ac:dyDescent="0.2">
      <c r="A1996" s="23" t="str">
        <f t="shared" si="30"/>
        <v>МБУ "СШОР ПО СПОРТИВНОЙ БОРЬБЕ"</v>
      </c>
      <c r="B1996" s="24" t="s">
        <v>3798</v>
      </c>
      <c r="C1996" s="25">
        <v>34533.379999999997</v>
      </c>
      <c r="D1996" s="22" t="s">
        <v>3799</v>
      </c>
      <c r="E1996" s="22" t="s">
        <v>1018</v>
      </c>
      <c r="F1996" s="23" t="str">
        <f t="shared" si="31"/>
        <v>Оказание услуг по разработке и согласованию паспортов отходов</v>
      </c>
      <c r="G1996" s="22" t="s">
        <v>104</v>
      </c>
      <c r="H1996" s="22" t="s">
        <v>3800</v>
      </c>
      <c r="I1996" s="26">
        <v>43731.743750000001</v>
      </c>
      <c r="J1996" s="23" t="str">
        <f>HYPERLINK("https://www.spark-marketing.ru/Card/Person/6519095", "ООО ""ДОНСКАЯ ЭКОЛОГИЯ""")</f>
        <v>ООО "ДОНСКАЯ ЭКОЛОГИЯ"</v>
      </c>
      <c r="K1996" s="24" t="s">
        <v>3801</v>
      </c>
      <c r="L1996" s="28" t="s">
        <v>51</v>
      </c>
      <c r="M1996" s="25">
        <v>17827.330000000002</v>
      </c>
      <c r="N1996" s="27">
        <v>0.48376527290407134</v>
      </c>
    </row>
    <row r="1997" spans="1:14" ht="12.75" hidden="1" outlineLevel="1" x14ac:dyDescent="0.2">
      <c r="A1997" s="23" t="str">
        <f t="shared" si="30"/>
        <v>МБУ "СШОР ПО СПОРТИВНОЙ БОРЬБЕ"</v>
      </c>
      <c r="B1997" s="24" t="s">
        <v>3798</v>
      </c>
      <c r="C1997" s="25">
        <v>34533.379999999997</v>
      </c>
      <c r="D1997" s="22" t="s">
        <v>3799</v>
      </c>
      <c r="E1997" s="22" t="s">
        <v>1018</v>
      </c>
      <c r="F1997" s="23" t="str">
        <f t="shared" si="31"/>
        <v>Оказание услуг по разработке и согласованию паспортов отходов</v>
      </c>
      <c r="G1997" s="22" t="s">
        <v>104</v>
      </c>
      <c r="H1997" s="22" t="s">
        <v>3800</v>
      </c>
      <c r="I1997" s="26">
        <v>43731.743750000001</v>
      </c>
      <c r="J1997" s="23" t="str">
        <f>HYPERLINK("https://www.spark-marketing.ru/Card/Person/6213342", "Дарадуля Наталья Пантелеевна")</f>
        <v>Дарадуля Наталья Пантелеевна</v>
      </c>
      <c r="K1997" s="24" t="s">
        <v>3802</v>
      </c>
      <c r="L1997" s="22" t="s">
        <v>10</v>
      </c>
      <c r="M1997" s="25">
        <v>17000</v>
      </c>
      <c r="N1997" s="27">
        <v>0.50772267296163887</v>
      </c>
    </row>
    <row r="1998" spans="1:14" hidden="1" outlineLevel="1" x14ac:dyDescent="0.2">
      <c r="A1998" s="23" t="str">
        <f t="shared" si="30"/>
        <v>МБУ "СШОР ПО СПОРТИВНОЙ БОРЬБЕ"</v>
      </c>
      <c r="B1998" s="24" t="s">
        <v>3798</v>
      </c>
      <c r="C1998" s="25">
        <v>34533.379999999997</v>
      </c>
      <c r="D1998" s="22" t="s">
        <v>3799</v>
      </c>
      <c r="E1998" s="22" t="s">
        <v>1018</v>
      </c>
      <c r="F1998" s="23" t="str">
        <f t="shared" si="31"/>
        <v>Оказание услуг по разработке и согласованию паспортов отходов</v>
      </c>
      <c r="G1998" s="22" t="s">
        <v>104</v>
      </c>
      <c r="H1998" s="22" t="s">
        <v>3800</v>
      </c>
      <c r="I1998" s="26">
        <v>43731.743750000001</v>
      </c>
      <c r="J1998" s="23" t="str">
        <f>HYPERLINK("https://www.spark-marketing.ru/Card/Person/339666", "Есин Василий Викторович")</f>
        <v>Есин Василий Викторович</v>
      </c>
      <c r="K1998" s="24" t="s">
        <v>3803</v>
      </c>
      <c r="L1998" s="28" t="s">
        <v>51</v>
      </c>
      <c r="M1998" s="25">
        <v>27623.03</v>
      </c>
      <c r="N1998" s="27">
        <v>0.20010638981761994</v>
      </c>
    </row>
    <row r="1999" spans="1:14" hidden="1" outlineLevel="1" x14ac:dyDescent="0.2">
      <c r="A1999" s="23" t="str">
        <f t="shared" si="30"/>
        <v>МБУ "СШОР ПО СПОРТИВНОЙ БОРЬБЕ"</v>
      </c>
      <c r="B1999" s="24" t="s">
        <v>3798</v>
      </c>
      <c r="C1999" s="25">
        <v>34533.379999999997</v>
      </c>
      <c r="D1999" s="22" t="s">
        <v>3799</v>
      </c>
      <c r="E1999" s="22" t="s">
        <v>1018</v>
      </c>
      <c r="F1999" s="23" t="str">
        <f t="shared" si="31"/>
        <v>Оказание услуг по разработке и согласованию паспортов отходов</v>
      </c>
      <c r="G1999" s="22" t="s">
        <v>104</v>
      </c>
      <c r="H1999" s="22" t="s">
        <v>3800</v>
      </c>
      <c r="I1999" s="26">
        <v>43731.743750000001</v>
      </c>
      <c r="J1999" s="23" t="str">
        <f>HYPERLINK("https://www.spark-marketing.ru/Card/Person/6716323", "ООО «О-ЭКО»")</f>
        <v>ООО «О-ЭКО»</v>
      </c>
      <c r="K1999" s="24" t="s">
        <v>3804</v>
      </c>
      <c r="L1999" s="28" t="s">
        <v>51</v>
      </c>
      <c r="M1999" s="25">
        <v>19928.689999999999</v>
      </c>
      <c r="N1999" s="27">
        <v>0.42291516208375779</v>
      </c>
    </row>
    <row r="2000" spans="1:14" hidden="1" outlineLevel="1" x14ac:dyDescent="0.2">
      <c r="A2000" s="23" t="str">
        <f t="shared" si="30"/>
        <v>МБУ "СШОР ПО СПОРТИВНОЙ БОРЬБЕ"</v>
      </c>
      <c r="B2000" s="24" t="s">
        <v>3798</v>
      </c>
      <c r="C2000" s="25">
        <v>34533.379999999997</v>
      </c>
      <c r="D2000" s="22" t="s">
        <v>3799</v>
      </c>
      <c r="E2000" s="22" t="s">
        <v>1018</v>
      </c>
      <c r="F2000" s="23" t="str">
        <f t="shared" si="31"/>
        <v>Оказание услуг по разработке и согласованию паспортов отходов</v>
      </c>
      <c r="G2000" s="22" t="s">
        <v>104</v>
      </c>
      <c r="H2000" s="22" t="s">
        <v>3800</v>
      </c>
      <c r="I2000" s="26">
        <v>43731.743750000001</v>
      </c>
      <c r="J2000" s="23" t="str">
        <f>HYPERLINK("https://www.spark-marketing.ru/Card/Person/457977", "ООО ""ВОЛОПАС""")</f>
        <v>ООО "ВОЛОПАС"</v>
      </c>
      <c r="K2000" s="24" t="s">
        <v>3805</v>
      </c>
      <c r="L2000" s="28" t="s">
        <v>51</v>
      </c>
      <c r="M2000" s="25">
        <v>27277.360000000001</v>
      </c>
      <c r="N2000" s="27">
        <v>0.21011612532569937</v>
      </c>
    </row>
    <row r="2001" spans="1:14" hidden="1" outlineLevel="1" x14ac:dyDescent="0.2">
      <c r="A2001" s="23" t="str">
        <f t="shared" si="30"/>
        <v>МБУ "СШОР ПО СПОРТИВНОЙ БОРЬБЕ"</v>
      </c>
      <c r="B2001" s="24" t="s">
        <v>3798</v>
      </c>
      <c r="C2001" s="25">
        <v>34533.379999999997</v>
      </c>
      <c r="D2001" s="22" t="s">
        <v>3799</v>
      </c>
      <c r="E2001" s="22" t="s">
        <v>1018</v>
      </c>
      <c r="F2001" s="23" t="str">
        <f t="shared" si="31"/>
        <v>Оказание услуг по разработке и согласованию паспортов отходов</v>
      </c>
      <c r="G2001" s="22" t="s">
        <v>104</v>
      </c>
      <c r="H2001" s="22" t="s">
        <v>3800</v>
      </c>
      <c r="I2001" s="26">
        <v>43731.743750000001</v>
      </c>
      <c r="J2001" s="23" t="str">
        <f>HYPERLINK("https://www.spark-marketing.ru/Card/Person/6508392", "ООО ИЛ ""ЭКО-23""")</f>
        <v>ООО ИЛ "ЭКО-23"</v>
      </c>
      <c r="K2001" s="24" t="s">
        <v>3806</v>
      </c>
      <c r="L2001" s="28" t="s">
        <v>51</v>
      </c>
      <c r="M2001" s="25">
        <v>21828.02</v>
      </c>
      <c r="N2001" s="27">
        <v>0.36791533293294776</v>
      </c>
    </row>
    <row r="2002" spans="1:14" x14ac:dyDescent="0.15">
      <c r="A2002" s="23" t="str">
        <f>HYPERLINK("https://www.spark-marketing.ru/Card/Person/3473", "БРЯНСКАЯ ТАМОЖНЯ")</f>
        <v>БРЯНСКАЯ ТАМОЖНЯ</v>
      </c>
      <c r="B2002" s="24" t="s">
        <v>3794</v>
      </c>
      <c r="C2002" s="25">
        <v>49920</v>
      </c>
      <c r="D2002" s="22" t="s">
        <v>3807</v>
      </c>
      <c r="E2002" s="22" t="s">
        <v>96</v>
      </c>
      <c r="F2002" s="23" t="str">
        <f>HYPERLINK("https://www.spark-marketing.ru/Card/Lot/73824139", "Услуга по питанию, 1 шт")</f>
        <v>Услуга по питанию, 1 шт</v>
      </c>
      <c r="G2002" s="22" t="s">
        <v>475</v>
      </c>
      <c r="H2002" s="22" t="s">
        <v>476</v>
      </c>
      <c r="I2002" s="26">
        <v>43731.734155092599</v>
      </c>
      <c r="J2002" s="28" t="s">
        <v>51</v>
      </c>
      <c r="K2002" s="28" t="s">
        <v>51</v>
      </c>
      <c r="L2002" s="28" t="s">
        <v>51</v>
      </c>
      <c r="M2002" s="28" t="s">
        <v>51</v>
      </c>
      <c r="N2002" s="28" t="s">
        <v>51</v>
      </c>
    </row>
    <row r="2003" spans="1:14" x14ac:dyDescent="0.15">
      <c r="A2003" s="23" t="str">
        <f>HYPERLINK("https://www.spark-marketing.ru/Card/Person/1777763", "АО ""УРАНИУМ УАН ГРУП""")</f>
        <v>АО "УРАНИУМ УАН ГРУП"</v>
      </c>
      <c r="B2003" s="24" t="s">
        <v>3789</v>
      </c>
      <c r="C2003" s="28" t="s">
        <v>51</v>
      </c>
      <c r="D2003" s="22" t="s">
        <v>3808</v>
      </c>
      <c r="E2003" s="22" t="s">
        <v>3809</v>
      </c>
      <c r="F2003" s="23" t="str">
        <f>HYPERLINK("https://www.spark-marketing.ru/Card/Lot/73827626", "Услуги по приобретению и доставке определенных наборов продуктов питания и напитков для нужд АО «Ураниум Уан Груп»")</f>
        <v>Услуги по приобретению и доставке определенных наборов продуктов питания и напитков для нужд АО «Ураниум Уан Груп»</v>
      </c>
      <c r="G2003" s="22" t="s">
        <v>56</v>
      </c>
      <c r="H2003" s="22" t="s">
        <v>56</v>
      </c>
      <c r="I2003" s="26">
        <v>43731.7351851852</v>
      </c>
      <c r="J2003" s="28" t="s">
        <v>51</v>
      </c>
      <c r="K2003" s="28" t="s">
        <v>51</v>
      </c>
      <c r="L2003" s="28" t="s">
        <v>51</v>
      </c>
      <c r="M2003" s="28" t="s">
        <v>51</v>
      </c>
      <c r="N2003" s="28" t="s">
        <v>51</v>
      </c>
    </row>
    <row r="2004" spans="1:14" x14ac:dyDescent="0.15">
      <c r="A2004" s="23" t="str">
        <f>HYPERLINK("https://www.spark-marketing.ru/Card/Person/62376", "ГБУЗ""ДИАГНОСТИЧЕСКИЙ ЦЕНТР"" МИНЗДРАВА КБР")</f>
        <v>ГБУЗ"ДИАГНОСТИЧЕСКИЙ ЦЕНТР" МИНЗДРАВА КБР</v>
      </c>
      <c r="B2004" s="24" t="s">
        <v>3810</v>
      </c>
      <c r="C2004" s="25">
        <v>499800</v>
      </c>
      <c r="D2004" s="22" t="s">
        <v>3811</v>
      </c>
      <c r="E2004" s="22" t="s">
        <v>48</v>
      </c>
      <c r="F2004" s="23" t="str">
        <f>HYPERLINK("https://www.spark-marketing.ru/Card/Lot/73829923", "Услуги по обеспечению питанием")</f>
        <v>Услуги по обеспечению питанием</v>
      </c>
      <c r="G2004" s="22" t="s">
        <v>986</v>
      </c>
      <c r="H2004" s="22" t="s">
        <v>987</v>
      </c>
      <c r="I2004" s="26">
        <v>43731.725694444402</v>
      </c>
      <c r="J2004" s="23" t="str">
        <f>HYPERLINK("https://www.spark-marketing.ru/Card/Person/6513041", "Кештов Хасан Сафарбиевич")</f>
        <v>Кештов Хасан Сафарбиевич</v>
      </c>
      <c r="K2004" s="24" t="s">
        <v>3812</v>
      </c>
      <c r="L2004" s="22" t="s">
        <v>10</v>
      </c>
      <c r="M2004" s="28" t="s">
        <v>51</v>
      </c>
      <c r="N2004" s="28" t="s">
        <v>51</v>
      </c>
    </row>
    <row r="2005" spans="1:14" x14ac:dyDescent="0.15">
      <c r="A2005" s="23" t="str">
        <f>HYPERLINK("https://www.spark-marketing.ru/Card/Person/89438", "МБОУ ""ГИМНАЗИЯ № 18 ИМЕНИ И.Я. ИЛЮШИНА""")</f>
        <v>МБОУ "ГИМНАЗИЯ № 18 ИМЕНИ И.Я. ИЛЮШИНА"</v>
      </c>
      <c r="B2005" s="24" t="s">
        <v>3813</v>
      </c>
      <c r="C2005" s="25">
        <v>11530666</v>
      </c>
      <c r="D2005" s="22" t="s">
        <v>3814</v>
      </c>
      <c r="E2005" s="22" t="s">
        <v>48</v>
      </c>
      <c r="F2005" s="23" t="str">
        <f>HYPERLINK("https://www.spark-marketing.ru/Card/Lot/73831536", "на оказание услуг по организации горячего питания отдельным категориям обучающихся в МБОУ «Гимназия № 18 имени И.Я. Илюшина»")</f>
        <v>на оказание услуг по организации горячего питания отдельным категориям обучающихся в МБОУ «Гимназия № 18 имени И.Я. Илюшина»</v>
      </c>
      <c r="G2005" s="22" t="s">
        <v>49</v>
      </c>
      <c r="H2005" s="22" t="s">
        <v>301</v>
      </c>
      <c r="I2005" s="26">
        <v>43731.718761574099</v>
      </c>
      <c r="J2005" s="28" t="s">
        <v>51</v>
      </c>
      <c r="K2005" s="28" t="s">
        <v>51</v>
      </c>
      <c r="L2005" s="28" t="s">
        <v>51</v>
      </c>
      <c r="M2005" s="28" t="s">
        <v>51</v>
      </c>
      <c r="N2005" s="28" t="s">
        <v>51</v>
      </c>
    </row>
    <row r="2006" spans="1:14" x14ac:dyDescent="0.15">
      <c r="A2006" s="23" t="str">
        <f>HYPERLINK("https://www.spark-marketing.ru/Card/Person/4378274", "ОТД МВД РОССИИ ПО БЕЛЯЕВСКОМУ РАЙОНУ")</f>
        <v>ОТД МВД РОССИИ ПО БЕЛЯЕВСКОМУ РАЙОНУ</v>
      </c>
      <c r="B2006" s="24" t="s">
        <v>3815</v>
      </c>
      <c r="C2006" s="25">
        <v>2730000</v>
      </c>
      <c r="D2006" s="22" t="s">
        <v>3816</v>
      </c>
      <c r="E2006" s="22" t="s">
        <v>96</v>
      </c>
      <c r="F2006" s="23" t="str">
        <f>HYPERLINK("https://www.spark-marketing.ru/Card/Lot/73832211", "Питание ЦВСИГ")</f>
        <v>Питание ЦВСИГ</v>
      </c>
      <c r="G2006" s="22" t="s">
        <v>132</v>
      </c>
      <c r="H2006" s="22" t="s">
        <v>3817</v>
      </c>
      <c r="I2006" s="26">
        <v>43731.691863425898</v>
      </c>
      <c r="J2006" s="28" t="s">
        <v>51</v>
      </c>
      <c r="K2006" s="28" t="s">
        <v>51</v>
      </c>
      <c r="L2006" s="28" t="s">
        <v>51</v>
      </c>
      <c r="M2006" s="28" t="s">
        <v>51</v>
      </c>
      <c r="N2006" s="28" t="s">
        <v>51</v>
      </c>
    </row>
    <row r="2007" spans="1:14" ht="12.75" hidden="1" outlineLevel="1" x14ac:dyDescent="0.2">
      <c r="A2007" s="23" t="str">
        <f>HYPERLINK("https://www.spark-marketing.ru/Card/Person/4378274", "ОТД МВД РОССИИ ПО БЕЛЯЕВСКОМУ РАЙОНУ")</f>
        <v>ОТД МВД РОССИИ ПО БЕЛЯЕВСКОМУ РАЙОНУ</v>
      </c>
      <c r="B2007" s="24" t="s">
        <v>3815</v>
      </c>
      <c r="C2007" s="25">
        <v>2730000</v>
      </c>
      <c r="D2007" s="22" t="s">
        <v>3816</v>
      </c>
      <c r="E2007" s="22" t="s">
        <v>96</v>
      </c>
      <c r="F2007" s="23" t="str">
        <f>HYPERLINK("https://www.spark-marketing.ru/Card/Lot/73832211", "Питание ЦВСИГ")</f>
        <v>Питание ЦВСИГ</v>
      </c>
      <c r="G2007" s="22" t="s">
        <v>132</v>
      </c>
      <c r="H2007" s="22" t="s">
        <v>3817</v>
      </c>
      <c r="I2007" s="26">
        <v>43731.691863425898</v>
      </c>
      <c r="J2007" s="23" t="str">
        <f>HYPERLINK("https://www.spark-marketing.ru/Card/Person/420380", "Якунина Ирина Александровна")</f>
        <v>Якунина Ирина Александровна</v>
      </c>
      <c r="K2007" s="24" t="s">
        <v>3818</v>
      </c>
      <c r="L2007" s="22" t="s">
        <v>10</v>
      </c>
      <c r="M2007" s="25">
        <v>1187550</v>
      </c>
      <c r="N2007" s="27">
        <v>0.56499999999999995</v>
      </c>
    </row>
    <row r="2008" spans="1:14" hidden="1" outlineLevel="1" x14ac:dyDescent="0.2">
      <c r="A2008" s="23" t="str">
        <f>HYPERLINK("https://www.spark-marketing.ru/Card/Person/4378274", "ОТД МВД РОССИИ ПО БЕЛЯЕВСКОМУ РАЙОНУ")</f>
        <v>ОТД МВД РОССИИ ПО БЕЛЯЕВСКОМУ РАЙОНУ</v>
      </c>
      <c r="B2008" s="24" t="s">
        <v>3815</v>
      </c>
      <c r="C2008" s="25">
        <v>2730000</v>
      </c>
      <c r="D2008" s="22" t="s">
        <v>3816</v>
      </c>
      <c r="E2008" s="22" t="s">
        <v>96</v>
      </c>
      <c r="F2008" s="23" t="str">
        <f>HYPERLINK("https://www.spark-marketing.ru/Card/Lot/73832211", "Питание ЦВСИГ")</f>
        <v>Питание ЦВСИГ</v>
      </c>
      <c r="G2008" s="22" t="s">
        <v>132</v>
      </c>
      <c r="H2008" s="22" t="s">
        <v>3817</v>
      </c>
      <c r="I2008" s="26">
        <v>43731.691863425898</v>
      </c>
      <c r="J2008" s="23" t="str">
        <f>HYPERLINK("https://www.spark-marketing.ru/Card/Person/420720", "Майорова Елена Александровна")</f>
        <v>Майорова Елена Александровна</v>
      </c>
      <c r="K2008" s="24" t="s">
        <v>3342</v>
      </c>
      <c r="L2008" s="28" t="s">
        <v>51</v>
      </c>
      <c r="M2008" s="25">
        <v>1201200</v>
      </c>
      <c r="N2008" s="27">
        <v>0.56000000000000005</v>
      </c>
    </row>
    <row r="2009" spans="1:14" x14ac:dyDescent="0.15">
      <c r="A2009" s="23" t="str">
        <f t="shared" ref="A2009:A2014" si="32">HYPERLINK("https://www.spark-marketing.ru/Card/Person/13317", "ФГКУ ""ЮРПСО МЧС РОССИИ""")</f>
        <v>ФГКУ "ЮРПСО МЧС РОССИИ"</v>
      </c>
      <c r="B2009" s="24" t="s">
        <v>1270</v>
      </c>
      <c r="C2009" s="25">
        <v>119000</v>
      </c>
      <c r="D2009" s="22" t="s">
        <v>3819</v>
      </c>
      <c r="E2009" s="22" t="s">
        <v>96</v>
      </c>
      <c r="F2009" s="23" t="str">
        <f>HYPERLINK("https://www.spark-marketing.ru/Card/Lot/73828731", "Оказание услуг по организации и обеспечению коллективного питания членов экипажей многоцелевого пожарно-спасательного катера проекта «Мангуст» 12150М «Валерий Замараев» и водолазного Бота «Герой Числов» ФГКУ «ЮРПСО МЧС России»")</f>
        <v>Оказание услуг по организации и обеспечению коллективного питания членов экипажей многоцелевого пожарно-спасательного катера проекта «Мангуст» 12150М «Валерий Замараев» и водолазного Бота «Герой Числов» ФГКУ «ЮРПСО МЧС России»</v>
      </c>
      <c r="G2009" s="22" t="s">
        <v>104</v>
      </c>
      <c r="H2009" s="22" t="s">
        <v>104</v>
      </c>
      <c r="I2009" s="26">
        <v>43731.688194444403</v>
      </c>
      <c r="J2009" s="28" t="s">
        <v>51</v>
      </c>
      <c r="K2009" s="28" t="s">
        <v>51</v>
      </c>
      <c r="L2009" s="28" t="s">
        <v>51</v>
      </c>
      <c r="M2009" s="28" t="s">
        <v>51</v>
      </c>
      <c r="N2009" s="28" t="s">
        <v>51</v>
      </c>
    </row>
    <row r="2010" spans="1:14" ht="12.75" hidden="1" outlineLevel="1" x14ac:dyDescent="0.2">
      <c r="A2010" s="23" t="str">
        <f t="shared" si="32"/>
        <v>ФГКУ "ЮРПСО МЧС РОССИИ"</v>
      </c>
      <c r="B2010" s="24" t="s">
        <v>1270</v>
      </c>
      <c r="C2010" s="25">
        <v>119000</v>
      </c>
      <c r="D2010" s="22" t="s">
        <v>3819</v>
      </c>
      <c r="E2010" s="22" t="s">
        <v>96</v>
      </c>
      <c r="F2010" s="23" t="str">
        <f>HYPERLINK("https://www.spark-marketing.ru/Card/Lot/73828731", "Оказание услуг по организации и обеспечению коллективного питания членов экипажей многоцелевого пожарно-спасательного катера проекта «Мангуст» 12150М «Валерий Замараев» и водолазного Бота «Герой Числов» ФГКУ «ЮРПСО МЧС России»")</f>
        <v>Оказание услуг по организации и обеспечению коллективного питания членов экипажей многоцелевого пожарно-спасательного катера проекта «Мангуст» 12150М «Валерий Замараев» и водолазного Бота «Герой Числов» ФГКУ «ЮРПСО МЧС России»</v>
      </c>
      <c r="G2010" s="22" t="s">
        <v>104</v>
      </c>
      <c r="H2010" s="22" t="s">
        <v>104</v>
      </c>
      <c r="I2010" s="26">
        <v>43731.688194444403</v>
      </c>
      <c r="J2010" s="23" t="str">
        <f>HYPERLINK("https://www.spark-marketing.ru/Card/Person/6510938", "Карагозян Арсен Владимирович")</f>
        <v>Карагозян Арсен Владимирович</v>
      </c>
      <c r="K2010" s="24" t="s">
        <v>3682</v>
      </c>
      <c r="L2010" s="22" t="s">
        <v>10</v>
      </c>
      <c r="M2010" s="25">
        <v>109480</v>
      </c>
      <c r="N2010" s="27">
        <v>0.08</v>
      </c>
    </row>
    <row r="2011" spans="1:14" hidden="1" outlineLevel="1" x14ac:dyDescent="0.2">
      <c r="A2011" s="23" t="str">
        <f t="shared" si="32"/>
        <v>ФГКУ "ЮРПСО МЧС РОССИИ"</v>
      </c>
      <c r="B2011" s="24" t="s">
        <v>1270</v>
      </c>
      <c r="C2011" s="25">
        <v>119000</v>
      </c>
      <c r="D2011" s="22" t="s">
        <v>3819</v>
      </c>
      <c r="E2011" s="22" t="s">
        <v>96</v>
      </c>
      <c r="F2011" s="23" t="str">
        <f>HYPERLINK("https://www.spark-marketing.ru/Card/Lot/73828731", "Оказание услуг по организации и обеспечению коллективного питания членов экипажей многоцелевого пожарно-спасательного катера проекта «Мангуст» 12150М «Валерий Замараев» и водолазного Бота «Герой Числов» ФГКУ «ЮРПСО МЧС России»")</f>
        <v>Оказание услуг по организации и обеспечению коллективного питания членов экипажей многоцелевого пожарно-спасательного катера проекта «Мангуст» 12150М «Валерий Замараев» и водолазного Бота «Герой Числов» ФГКУ «ЮРПСО МЧС России»</v>
      </c>
      <c r="G2011" s="22" t="s">
        <v>104</v>
      </c>
      <c r="H2011" s="22" t="s">
        <v>104</v>
      </c>
      <c r="I2011" s="26">
        <v>43731.688194444403</v>
      </c>
      <c r="J2011" s="23" t="str">
        <f>HYPERLINK("https://www.spark-marketing.ru/Card/Person/6703409", "Северов Михаил Карпович")</f>
        <v>Северов Михаил Карпович</v>
      </c>
      <c r="K2011" s="24" t="s">
        <v>2750</v>
      </c>
      <c r="L2011" s="28" t="s">
        <v>51</v>
      </c>
      <c r="M2011" s="25">
        <v>103530</v>
      </c>
      <c r="N2011" s="27">
        <v>0.13</v>
      </c>
    </row>
    <row r="2012" spans="1:14" x14ac:dyDescent="0.15">
      <c r="A2012" s="23" t="str">
        <f t="shared" si="32"/>
        <v>ФГКУ "ЮРПСО МЧС РОССИИ"</v>
      </c>
      <c r="B2012" s="24" t="s">
        <v>1270</v>
      </c>
      <c r="C2012" s="25">
        <v>119000</v>
      </c>
      <c r="D2012" s="22" t="s">
        <v>3820</v>
      </c>
      <c r="E2012" s="22" t="s">
        <v>96</v>
      </c>
      <c r="F2012" s="23" t="str">
        <f>HYPERLINK("https://www.spark-marketing.ru/Card/Lot/73828732", "Оказание услуг по организации и обеспечению питанием работников ФГКУ «ЮРПСО МЧС России» при несении дежурства в ПСП Лоо")</f>
        <v>Оказание услуг по организации и обеспечению питанием работников ФГКУ «ЮРПСО МЧС России» при несении дежурства в ПСП Лоо</v>
      </c>
      <c r="G2012" s="22" t="s">
        <v>104</v>
      </c>
      <c r="H2012" s="22" t="s">
        <v>104</v>
      </c>
      <c r="I2012" s="26">
        <v>43731.693055555603</v>
      </c>
      <c r="J2012" s="28" t="s">
        <v>51</v>
      </c>
      <c r="K2012" s="28" t="s">
        <v>51</v>
      </c>
      <c r="L2012" s="28" t="s">
        <v>51</v>
      </c>
      <c r="M2012" s="28" t="s">
        <v>51</v>
      </c>
      <c r="N2012" s="28" t="s">
        <v>51</v>
      </c>
    </row>
    <row r="2013" spans="1:14" ht="12.75" hidden="1" outlineLevel="1" x14ac:dyDescent="0.2">
      <c r="A2013" s="23" t="str">
        <f t="shared" si="32"/>
        <v>ФГКУ "ЮРПСО МЧС РОССИИ"</v>
      </c>
      <c r="B2013" s="24" t="s">
        <v>1270</v>
      </c>
      <c r="C2013" s="25">
        <v>119000</v>
      </c>
      <c r="D2013" s="22" t="s">
        <v>3820</v>
      </c>
      <c r="E2013" s="22" t="s">
        <v>96</v>
      </c>
      <c r="F2013" s="23" t="str">
        <f>HYPERLINK("https://www.spark-marketing.ru/Card/Lot/73828732", "Оказание услуг по организации и обеспечению питанием работников ФГКУ «ЮРПСО МЧС России» при несении дежурства в ПСП Лоо")</f>
        <v>Оказание услуг по организации и обеспечению питанием работников ФГКУ «ЮРПСО МЧС России» при несении дежурства в ПСП Лоо</v>
      </c>
      <c r="G2013" s="22" t="s">
        <v>104</v>
      </c>
      <c r="H2013" s="22" t="s">
        <v>104</v>
      </c>
      <c r="I2013" s="26">
        <v>43731.693055555603</v>
      </c>
      <c r="J2013" s="23" t="str">
        <f>HYPERLINK("https://www.spark-marketing.ru/Card/Person/6510938", "Карагозян Арсен Владимирович")</f>
        <v>Карагозян Арсен Владимирович</v>
      </c>
      <c r="K2013" s="24" t="s">
        <v>3682</v>
      </c>
      <c r="L2013" s="22" t="s">
        <v>10</v>
      </c>
      <c r="M2013" s="25">
        <v>113468.96</v>
      </c>
      <c r="N2013" s="27">
        <v>4.6479327731092437E-2</v>
      </c>
    </row>
    <row r="2014" spans="1:14" hidden="1" outlineLevel="1" x14ac:dyDescent="0.2">
      <c r="A2014" s="23" t="str">
        <f t="shared" si="32"/>
        <v>ФГКУ "ЮРПСО МЧС РОССИИ"</v>
      </c>
      <c r="B2014" s="24" t="s">
        <v>1270</v>
      </c>
      <c r="C2014" s="25">
        <v>119000</v>
      </c>
      <c r="D2014" s="22" t="s">
        <v>3820</v>
      </c>
      <c r="E2014" s="22" t="s">
        <v>96</v>
      </c>
      <c r="F2014" s="23" t="str">
        <f>HYPERLINK("https://www.spark-marketing.ru/Card/Lot/73828732", "Оказание услуг по организации и обеспечению питанием работников ФГКУ «ЮРПСО МЧС России» при несении дежурства в ПСП Лоо")</f>
        <v>Оказание услуг по организации и обеспечению питанием работников ФГКУ «ЮРПСО МЧС России» при несении дежурства в ПСП Лоо</v>
      </c>
      <c r="G2014" s="22" t="s">
        <v>104</v>
      </c>
      <c r="H2014" s="22" t="s">
        <v>104</v>
      </c>
      <c r="I2014" s="26">
        <v>43731.693055555603</v>
      </c>
      <c r="J2014" s="23" t="str">
        <f>HYPERLINK("https://www.spark-marketing.ru/Card/Person/6703409", "Северов Михаил Карпович")</f>
        <v>Северов Михаил Карпович</v>
      </c>
      <c r="K2014" s="24" t="s">
        <v>2750</v>
      </c>
      <c r="L2014" s="28" t="s">
        <v>51</v>
      </c>
      <c r="M2014" s="25">
        <v>114063.96</v>
      </c>
      <c r="N2014" s="27">
        <v>4.147932773109244E-2</v>
      </c>
    </row>
    <row r="2015" spans="1:14" x14ac:dyDescent="0.15">
      <c r="A2015" s="23" t="str">
        <f>HYPERLINK("https://www.spark-marketing.ru/Card/Person/1046677", "МБОУ ""ГИМНАЗИЯ № 11""")</f>
        <v>МБОУ "ГИМНАЗИЯ № 11"</v>
      </c>
      <c r="B2015" s="24" t="s">
        <v>3821</v>
      </c>
      <c r="C2015" s="25">
        <v>4793830</v>
      </c>
      <c r="D2015" s="22" t="s">
        <v>3822</v>
      </c>
      <c r="E2015" s="22" t="s">
        <v>48</v>
      </c>
      <c r="F2015" s="23" t="str">
        <f>HYPERLINK("https://www.spark-marketing.ru/Card/Lot/73831461", "на оказание услуг по организации горячего питания отдельным категориям обучающихся в МБОУ ""Гимназия № 11""")</f>
        <v>на оказание услуг по организации горячего питания отдельным категориям обучающихся в МБОУ "Гимназия № 11"</v>
      </c>
      <c r="G2015" s="22" t="s">
        <v>49</v>
      </c>
      <c r="H2015" s="22" t="s">
        <v>301</v>
      </c>
      <c r="I2015" s="26">
        <v>43731.690254629597</v>
      </c>
      <c r="J2015" s="28" t="s">
        <v>51</v>
      </c>
      <c r="K2015" s="28" t="s">
        <v>51</v>
      </c>
      <c r="L2015" s="28" t="s">
        <v>51</v>
      </c>
      <c r="M2015" s="28" t="s">
        <v>51</v>
      </c>
      <c r="N2015" s="28" t="s">
        <v>51</v>
      </c>
    </row>
    <row r="2016" spans="1:14" x14ac:dyDescent="0.15">
      <c r="A2016" s="23" t="str">
        <f>HYPERLINK("https://www.spark-marketing.ru/Card/Person/6443901", "ГКУ ВО ""БЕЗОПАСНЫЙ РЕГИОН""")</f>
        <v>ГКУ ВО "БЕЗОПАСНЫЙ РЕГИОН"</v>
      </c>
      <c r="B2016" s="24" t="s">
        <v>3823</v>
      </c>
      <c r="C2016" s="25">
        <v>30364377.489999998</v>
      </c>
      <c r="D2016" s="22" t="s">
        <v>3824</v>
      </c>
      <c r="E2016" s="22" t="s">
        <v>3825</v>
      </c>
      <c r="F2016" s="23" t="str">
        <f>HYPERLINK("https://www.spark-marketing.ru/Card/Lot/73832369", "Оказание услуг по созданию комплекса средств автоматизации «Единый центр оперативного реагирования» на территории города Волжский Волгоградской области и модуля интеллектуального центра городского управления")</f>
        <v>Оказание услуг по созданию комплекса средств автоматизации «Единый центр оперативного реагирования» на территории города Волжский Волгоградской области и модуля интеллектуального центра городского управления</v>
      </c>
      <c r="G2016" s="22" t="s">
        <v>158</v>
      </c>
      <c r="H2016" s="22" t="s">
        <v>171</v>
      </c>
      <c r="I2016" s="26">
        <v>43731.686747685198</v>
      </c>
      <c r="J2016" s="23" t="str">
        <f>HYPERLINK("https://www.spark-marketing.ru/Card/Person/6476282", "АО ""ЦИФРОВОЙ РЕГИОН""")</f>
        <v>АО "ЦИФРОВОЙ РЕГИОН"</v>
      </c>
      <c r="K2016" s="24" t="s">
        <v>3826</v>
      </c>
      <c r="L2016" s="22" t="s">
        <v>10</v>
      </c>
      <c r="M2016" s="28" t="s">
        <v>51</v>
      </c>
      <c r="N2016" s="28" t="s">
        <v>51</v>
      </c>
    </row>
    <row r="2017" spans="1:14" x14ac:dyDescent="0.15">
      <c r="A2017" s="23" t="str">
        <f>HYPERLINK("https://www.spark-marketing.ru/Card/Person/13317", "ФГКУ ""ЮРПСО МЧС РОССИИ""")</f>
        <v>ФГКУ "ЮРПСО МЧС РОССИИ"</v>
      </c>
      <c r="B2017" s="24" t="s">
        <v>1270</v>
      </c>
      <c r="C2017" s="25">
        <v>153000</v>
      </c>
      <c r="D2017" s="22" t="s">
        <v>3827</v>
      </c>
      <c r="E2017" s="22" t="s">
        <v>96</v>
      </c>
      <c r="F2017" s="23" t="str">
        <f>HYPERLINK("https://www.spark-marketing.ru/Card/Lot/73827990", "Оказание услуг по организации и обеспечению питанием работников ФГКУ «ЮРПСО МЧС России» при несении дежурства в Центральном ПСП")</f>
        <v>Оказание услуг по организации и обеспечению питанием работников ФГКУ «ЮРПСО МЧС России» при несении дежурства в Центральном ПСП</v>
      </c>
      <c r="G2017" s="22" t="s">
        <v>104</v>
      </c>
      <c r="H2017" s="22" t="s">
        <v>104</v>
      </c>
      <c r="I2017" s="26">
        <v>43731.693055555603</v>
      </c>
      <c r="J2017" s="28" t="s">
        <v>51</v>
      </c>
      <c r="K2017" s="28" t="s">
        <v>51</v>
      </c>
      <c r="L2017" s="28" t="s">
        <v>51</v>
      </c>
      <c r="M2017" s="28" t="s">
        <v>51</v>
      </c>
      <c r="N2017" s="28" t="s">
        <v>51</v>
      </c>
    </row>
    <row r="2018" spans="1:14" ht="12.75" hidden="1" outlineLevel="1" x14ac:dyDescent="0.2">
      <c r="A2018" s="23" t="str">
        <f>HYPERLINK("https://www.spark-marketing.ru/Card/Person/13317", "ФГКУ ""ЮРПСО МЧС РОССИИ""")</f>
        <v>ФГКУ "ЮРПСО МЧС РОССИИ"</v>
      </c>
      <c r="B2018" s="24" t="s">
        <v>1270</v>
      </c>
      <c r="C2018" s="25">
        <v>153000</v>
      </c>
      <c r="D2018" s="22" t="s">
        <v>3827</v>
      </c>
      <c r="E2018" s="22" t="s">
        <v>96</v>
      </c>
      <c r="F2018" s="23" t="str">
        <f>HYPERLINK("https://www.spark-marketing.ru/Card/Lot/73827990", "Оказание услуг по организации и обеспечению питанием работников ФГКУ «ЮРПСО МЧС России» при несении дежурства в Центральном ПСП")</f>
        <v>Оказание услуг по организации и обеспечению питанием работников ФГКУ «ЮРПСО МЧС России» при несении дежурства в Центральном ПСП</v>
      </c>
      <c r="G2018" s="22" t="s">
        <v>104</v>
      </c>
      <c r="H2018" s="22" t="s">
        <v>104</v>
      </c>
      <c r="I2018" s="26">
        <v>43731.693055555603</v>
      </c>
      <c r="J2018" s="23" t="str">
        <f>HYPERLINK("https://www.spark-marketing.ru/Card/Person/6510938", "Карагозян Арсен Владимирович")</f>
        <v>Карагозян Арсен Владимирович</v>
      </c>
      <c r="K2018" s="24" t="s">
        <v>3682</v>
      </c>
      <c r="L2018" s="22" t="s">
        <v>10</v>
      </c>
      <c r="M2018" s="25">
        <v>135000</v>
      </c>
      <c r="N2018" s="27">
        <v>0.11764705882352941</v>
      </c>
    </row>
    <row r="2019" spans="1:14" hidden="1" outlineLevel="1" x14ac:dyDescent="0.2">
      <c r="A2019" s="23" t="str">
        <f>HYPERLINK("https://www.spark-marketing.ru/Card/Person/13317", "ФГКУ ""ЮРПСО МЧС РОССИИ""")</f>
        <v>ФГКУ "ЮРПСО МЧС РОССИИ"</v>
      </c>
      <c r="B2019" s="24" t="s">
        <v>1270</v>
      </c>
      <c r="C2019" s="25">
        <v>153000</v>
      </c>
      <c r="D2019" s="22" t="s">
        <v>3827</v>
      </c>
      <c r="E2019" s="22" t="s">
        <v>96</v>
      </c>
      <c r="F2019" s="23" t="str">
        <f>HYPERLINK("https://www.spark-marketing.ru/Card/Lot/73827990", "Оказание услуг по организации и обеспечению питанием работников ФГКУ «ЮРПСО МЧС России» при несении дежурства в Центральном ПСП")</f>
        <v>Оказание услуг по организации и обеспечению питанием работников ФГКУ «ЮРПСО МЧС России» при несении дежурства в Центральном ПСП</v>
      </c>
      <c r="G2019" s="22" t="s">
        <v>104</v>
      </c>
      <c r="H2019" s="22" t="s">
        <v>104</v>
      </c>
      <c r="I2019" s="26">
        <v>43731.693055555603</v>
      </c>
      <c r="J2019" s="23" t="str">
        <f>HYPERLINK("https://www.spark-marketing.ru/Card/Person/6703409", "Северов Михаил Карпович")</f>
        <v>Северов Михаил Карпович</v>
      </c>
      <c r="K2019" s="24" t="s">
        <v>2750</v>
      </c>
      <c r="L2019" s="28" t="s">
        <v>51</v>
      </c>
      <c r="M2019" s="25">
        <v>128520</v>
      </c>
      <c r="N2019" s="27">
        <v>0.16</v>
      </c>
    </row>
    <row r="2020" spans="1:14" x14ac:dyDescent="0.15">
      <c r="A2020" s="23" t="str">
        <f>HYPERLINK("https://www.spark-marketing.ru/Card/Person/4374332", "ОМВД РОССИИ ПО ЛИМАНСКОМУ РАЙОНУ")</f>
        <v>ОМВД РОССИИ ПО ЛИМАНСКОМУ РАЙОНУ</v>
      </c>
      <c r="B2020" s="24" t="s">
        <v>3828</v>
      </c>
      <c r="C2020" s="25">
        <v>117926.52</v>
      </c>
      <c r="D2020" s="22" t="s">
        <v>3829</v>
      </c>
      <c r="E2020" s="22" t="s">
        <v>96</v>
      </c>
      <c r="F2020" s="23" t="str">
        <f>HYPERLINK("https://www.spark-marketing.ru/Card/Lot/73821387", "Оказание услуг по организации питания (приготовлению и доставке), 393 шт")</f>
        <v>Оказание услуг по организации питания (приготовлению и доставке), 393 шт</v>
      </c>
      <c r="G2020" s="22" t="s">
        <v>141</v>
      </c>
      <c r="H2020" s="22" t="s">
        <v>3830</v>
      </c>
      <c r="I2020" s="26">
        <v>43731.6884027778</v>
      </c>
      <c r="J2020" s="28" t="s">
        <v>51</v>
      </c>
      <c r="K2020" s="28" t="s">
        <v>51</v>
      </c>
      <c r="L2020" s="28" t="s">
        <v>51</v>
      </c>
      <c r="M2020" s="28" t="s">
        <v>51</v>
      </c>
      <c r="N2020" s="28" t="s">
        <v>51</v>
      </c>
    </row>
    <row r="2021" spans="1:14" collapsed="1" x14ac:dyDescent="0.15">
      <c r="A2021" s="23" t="str">
        <f>HYPERLINK("https://www.spark-marketing.ru/Card/Person/13317", "ФГКУ ""ЮРПСО МЧС РОССИИ""")</f>
        <v>ФГКУ "ЮРПСО МЧС РОССИИ"</v>
      </c>
      <c r="B2021" s="24" t="s">
        <v>1270</v>
      </c>
      <c r="C2021" s="25">
        <v>120000</v>
      </c>
      <c r="D2021" s="22" t="s">
        <v>3831</v>
      </c>
      <c r="E2021" s="22" t="s">
        <v>96</v>
      </c>
      <c r="F2021" s="23" t="str">
        <f>HYPERLINK("https://www.spark-marketing.ru/Card/Lot/73827518", "Оказание услуг по организации и обеспечению питанием работников ФГКУ «ЮРПСО МЧС России» при несении дежурства в Краснополянском ПСП")</f>
        <v>Оказание услуг по организации и обеспечению питанием работников ФГКУ «ЮРПСО МЧС России» при несении дежурства в Краснополянском ПСП</v>
      </c>
      <c r="G2021" s="22" t="s">
        <v>104</v>
      </c>
      <c r="H2021" s="22" t="s">
        <v>104</v>
      </c>
      <c r="I2021" s="26">
        <v>43731.693055555603</v>
      </c>
      <c r="J2021" s="28" t="s">
        <v>51</v>
      </c>
      <c r="K2021" s="28" t="s">
        <v>51</v>
      </c>
      <c r="L2021" s="28" t="s">
        <v>51</v>
      </c>
      <c r="M2021" s="28" t="s">
        <v>51</v>
      </c>
      <c r="N2021" s="28" t="s">
        <v>51</v>
      </c>
    </row>
    <row r="2022" spans="1:14" hidden="1" outlineLevel="1" x14ac:dyDescent="0.2">
      <c r="A2022" s="23" t="str">
        <f>HYPERLINK("https://www.spark-marketing.ru/Card/Person/13317", "ФГКУ ""ЮРПСО МЧС РОССИИ""")</f>
        <v>ФГКУ "ЮРПСО МЧС РОССИИ"</v>
      </c>
      <c r="B2022" s="24" t="s">
        <v>1270</v>
      </c>
      <c r="C2022" s="25">
        <v>120000</v>
      </c>
      <c r="D2022" s="22" t="s">
        <v>3831</v>
      </c>
      <c r="E2022" s="22" t="s">
        <v>96</v>
      </c>
      <c r="F2022" s="23" t="str">
        <f>HYPERLINK("https://www.spark-marketing.ru/Card/Lot/73827518", "Оказание услуг по организации и обеспечению питанием работников ФГКУ «ЮРПСО МЧС России» при несении дежурства в Краснополянском ПСП")</f>
        <v>Оказание услуг по организации и обеспечению питанием работников ФГКУ «ЮРПСО МЧС России» при несении дежурства в Краснополянском ПСП</v>
      </c>
      <c r="G2022" s="22" t="s">
        <v>104</v>
      </c>
      <c r="H2022" s="22" t="s">
        <v>104</v>
      </c>
      <c r="I2022" s="26">
        <v>43731.693055555603</v>
      </c>
      <c r="J2022" s="23" t="str">
        <f>HYPERLINK("https://www.spark-marketing.ru/Card/Person/2548631", "ООО ""УДАЧА 777""")</f>
        <v>ООО "УДАЧА 777"</v>
      </c>
      <c r="K2022" s="24" t="s">
        <v>3832</v>
      </c>
      <c r="L2022" s="28" t="s">
        <v>51</v>
      </c>
      <c r="M2022" s="25">
        <v>110000</v>
      </c>
      <c r="N2022" s="27">
        <v>8.3333333333333329E-2</v>
      </c>
    </row>
    <row r="2023" spans="1:14" hidden="1" outlineLevel="1" x14ac:dyDescent="0.2">
      <c r="A2023" s="23" t="str">
        <f>HYPERLINK("https://www.spark-marketing.ru/Card/Person/13317", "ФГКУ ""ЮРПСО МЧС РОССИИ""")</f>
        <v>ФГКУ "ЮРПСО МЧС РОССИИ"</v>
      </c>
      <c r="B2023" s="24" t="s">
        <v>1270</v>
      </c>
      <c r="C2023" s="25">
        <v>120000</v>
      </c>
      <c r="D2023" s="22" t="s">
        <v>3831</v>
      </c>
      <c r="E2023" s="22" t="s">
        <v>96</v>
      </c>
      <c r="F2023" s="23" t="str">
        <f>HYPERLINK("https://www.spark-marketing.ru/Card/Lot/73827518", "Оказание услуг по организации и обеспечению питанием работников ФГКУ «ЮРПСО МЧС России» при несении дежурства в Краснополянском ПСП")</f>
        <v>Оказание услуг по организации и обеспечению питанием работников ФГКУ «ЮРПСО МЧС России» при несении дежурства в Краснополянском ПСП</v>
      </c>
      <c r="G2023" s="22" t="s">
        <v>104</v>
      </c>
      <c r="H2023" s="22" t="s">
        <v>104</v>
      </c>
      <c r="I2023" s="26">
        <v>43731.693055555603</v>
      </c>
      <c r="J2023" s="23" t="str">
        <f>HYPERLINK("https://www.spark-marketing.ru/Card/Person/6703409", "Северов Михаил Карпович")</f>
        <v>Северов Михаил Карпович</v>
      </c>
      <c r="K2023" s="24" t="s">
        <v>2750</v>
      </c>
      <c r="L2023" s="28" t="s">
        <v>51</v>
      </c>
      <c r="M2023" s="25">
        <v>114600</v>
      </c>
      <c r="N2023" s="27">
        <v>4.4999999999999998E-2</v>
      </c>
    </row>
    <row r="2024" spans="1:14" ht="12.75" hidden="1" outlineLevel="1" x14ac:dyDescent="0.2">
      <c r="A2024" s="23" t="str">
        <f>HYPERLINK("https://www.spark-marketing.ru/Card/Person/13317", "ФГКУ ""ЮРПСО МЧС РОССИИ""")</f>
        <v>ФГКУ "ЮРПСО МЧС РОССИИ"</v>
      </c>
      <c r="B2024" s="24" t="s">
        <v>1270</v>
      </c>
      <c r="C2024" s="25">
        <v>120000</v>
      </c>
      <c r="D2024" s="22" t="s">
        <v>3831</v>
      </c>
      <c r="E2024" s="22" t="s">
        <v>96</v>
      </c>
      <c r="F2024" s="23" t="str">
        <f>HYPERLINK("https://www.spark-marketing.ru/Card/Lot/73827518", "Оказание услуг по организации и обеспечению питанием работников ФГКУ «ЮРПСО МЧС России» при несении дежурства в Краснополянском ПСП")</f>
        <v>Оказание услуг по организации и обеспечению питанием работников ФГКУ «ЮРПСО МЧС России» при несении дежурства в Краснополянском ПСП</v>
      </c>
      <c r="G2024" s="22" t="s">
        <v>104</v>
      </c>
      <c r="H2024" s="22" t="s">
        <v>104</v>
      </c>
      <c r="I2024" s="26">
        <v>43731.693055555603</v>
      </c>
      <c r="J2024" s="23" t="str">
        <f>HYPERLINK("https://www.spark-marketing.ru/Card/Person/6067340", "ООО ""ВЕКТОР+""")</f>
        <v>ООО "ВЕКТОР+"</v>
      </c>
      <c r="K2024" s="24" t="s">
        <v>3833</v>
      </c>
      <c r="L2024" s="22" t="s">
        <v>10</v>
      </c>
      <c r="M2024" s="25">
        <v>109800</v>
      </c>
      <c r="N2024" s="27">
        <v>8.5000000000000006E-2</v>
      </c>
    </row>
    <row r="2025" spans="1:14" collapsed="1" x14ac:dyDescent="0.15">
      <c r="A2025" s="23" t="str">
        <f>HYPERLINK("https://www.spark-marketing.ru/Card/Person/13950", "МИЛЛЕРОВСКАЯ ТАМОЖНЯ")</f>
        <v>МИЛЛЕРОВСКАЯ ТАМОЖНЯ</v>
      </c>
      <c r="B2025" s="24" t="s">
        <v>3834</v>
      </c>
      <c r="C2025" s="25">
        <v>3740999.9</v>
      </c>
      <c r="D2025" s="22" t="s">
        <v>3835</v>
      </c>
      <c r="E2025" s="22" t="s">
        <v>152</v>
      </c>
      <c r="F2025" s="23" t="str">
        <f>HYPERLINK("https://www.spark-marketing.ru/Card/Lot/73833104", "Ремонт источника бесперебойного питания системы бесперебойного гарантированного электроснабжения таможни с заменой батарей системы СБГЭ")</f>
        <v>Ремонт источника бесперебойного питания системы бесперебойного гарантированного электроснабжения таможни с заменой батарей системы СБГЭ</v>
      </c>
      <c r="G2025" s="22" t="s">
        <v>267</v>
      </c>
      <c r="H2025" s="22" t="s">
        <v>267</v>
      </c>
      <c r="I2025" s="26">
        <v>43731.694351851896</v>
      </c>
      <c r="J2025" s="23" t="str">
        <f>HYPERLINK("https://www.spark-marketing.ru/Card/Person/172900", "Коряков Сергей Владимирович")</f>
        <v>Коряков Сергей Владимирович</v>
      </c>
      <c r="K2025" s="24" t="s">
        <v>3836</v>
      </c>
      <c r="L2025" s="28" t="s">
        <v>51</v>
      </c>
      <c r="M2025" s="28" t="s">
        <v>51</v>
      </c>
      <c r="N2025" s="28" t="s">
        <v>51</v>
      </c>
    </row>
    <row r="2026" spans="1:14" ht="12.75" hidden="1" outlineLevel="1" x14ac:dyDescent="0.2">
      <c r="A2026" s="23" t="str">
        <f>HYPERLINK("https://www.spark-marketing.ru/Card/Person/13950", "МИЛЛЕРОВСКАЯ ТАМОЖНЯ")</f>
        <v>МИЛЛЕРОВСКАЯ ТАМОЖНЯ</v>
      </c>
      <c r="B2026" s="24" t="s">
        <v>3834</v>
      </c>
      <c r="C2026" s="25">
        <v>3740999.9</v>
      </c>
      <c r="D2026" s="22" t="s">
        <v>3835</v>
      </c>
      <c r="E2026" s="22" t="s">
        <v>152</v>
      </c>
      <c r="F2026" s="23" t="str">
        <f>HYPERLINK("https://www.spark-marketing.ru/Card/Lot/73833104", "Ремонт источника бесперебойного питания системы бесперебойного гарантированного электроснабжения таможни с заменой батарей системы СБГЭ")</f>
        <v>Ремонт источника бесперебойного питания системы бесперебойного гарантированного электроснабжения таможни с заменой батарей системы СБГЭ</v>
      </c>
      <c r="G2026" s="22" t="s">
        <v>267</v>
      </c>
      <c r="H2026" s="22" t="s">
        <v>267</v>
      </c>
      <c r="I2026" s="26">
        <v>43731.694351851896</v>
      </c>
      <c r="J2026" s="23" t="str">
        <f>HYPERLINK("https://www.spark-marketing.ru/Card/Person/172900", "Коряков Сергей Владимирович")</f>
        <v>Коряков Сергей Владимирович</v>
      </c>
      <c r="K2026" s="24" t="s">
        <v>3836</v>
      </c>
      <c r="L2026" s="22" t="s">
        <v>10</v>
      </c>
      <c r="M2026" s="25">
        <v>3722294.9</v>
      </c>
      <c r="N2026" s="27">
        <v>5.000000133654107E-3</v>
      </c>
    </row>
    <row r="2027" spans="1:14" collapsed="1" x14ac:dyDescent="0.15">
      <c r="A2027" s="23" t="str">
        <f>HYPERLINK("https://www.spark-marketing.ru/Card/Person/13317", "ФГКУ ""ЮРПСО МЧС РОССИИ""")</f>
        <v>ФГКУ "ЮРПСО МЧС РОССИИ"</v>
      </c>
      <c r="B2027" s="24" t="s">
        <v>1270</v>
      </c>
      <c r="C2027" s="25">
        <v>120000</v>
      </c>
      <c r="D2027" s="22" t="s">
        <v>3837</v>
      </c>
      <c r="E2027" s="22" t="s">
        <v>96</v>
      </c>
      <c r="F2027" s="23" t="str">
        <f>HYPERLINK("https://www.spark-marketing.ru/Card/Lot/73827519", "Оказание услуг по организации и обеспечению питанием работников ФГКУ «ЮРПСО МЧС России» при несении дежурства в Адлерском ПСП")</f>
        <v>Оказание услуг по организации и обеспечению питанием работников ФГКУ «ЮРПСО МЧС России» при несении дежурства в Адлерском ПСП</v>
      </c>
      <c r="G2027" s="22" t="s">
        <v>104</v>
      </c>
      <c r="H2027" s="22" t="s">
        <v>104</v>
      </c>
      <c r="I2027" s="26">
        <v>43731.688888888901</v>
      </c>
      <c r="J2027" s="28" t="s">
        <v>51</v>
      </c>
      <c r="K2027" s="28" t="s">
        <v>51</v>
      </c>
      <c r="L2027" s="28" t="s">
        <v>51</v>
      </c>
      <c r="M2027" s="28" t="s">
        <v>51</v>
      </c>
      <c r="N2027" s="28" t="s">
        <v>51</v>
      </c>
    </row>
    <row r="2028" spans="1:14" hidden="1" outlineLevel="1" x14ac:dyDescent="0.2">
      <c r="A2028" s="23" t="str">
        <f>HYPERLINK("https://www.spark-marketing.ru/Card/Person/13317", "ФГКУ ""ЮРПСО МЧС РОССИИ""")</f>
        <v>ФГКУ "ЮРПСО МЧС РОССИИ"</v>
      </c>
      <c r="B2028" s="24" t="s">
        <v>1270</v>
      </c>
      <c r="C2028" s="25">
        <v>120000</v>
      </c>
      <c r="D2028" s="22" t="s">
        <v>3837</v>
      </c>
      <c r="E2028" s="22" t="s">
        <v>96</v>
      </c>
      <c r="F2028" s="23" t="str">
        <f>HYPERLINK("https://www.spark-marketing.ru/Card/Lot/73827519", "Оказание услуг по организации и обеспечению питанием работников ФГКУ «ЮРПСО МЧС России» при несении дежурства в Адлерском ПСП")</f>
        <v>Оказание услуг по организации и обеспечению питанием работников ФГКУ «ЮРПСО МЧС России» при несении дежурства в Адлерском ПСП</v>
      </c>
      <c r="G2028" s="22" t="s">
        <v>104</v>
      </c>
      <c r="H2028" s="22" t="s">
        <v>104</v>
      </c>
      <c r="I2028" s="26">
        <v>43731.688888888901</v>
      </c>
      <c r="J2028" s="23" t="str">
        <f>HYPERLINK("https://www.spark-marketing.ru/Card/Person/6703409", "Северов Михаил Карпович")</f>
        <v>Северов Михаил Карпович</v>
      </c>
      <c r="K2028" s="24" t="s">
        <v>2750</v>
      </c>
      <c r="L2028" s="28" t="s">
        <v>51</v>
      </c>
      <c r="M2028" s="25">
        <v>59577.51</v>
      </c>
      <c r="N2028" s="27">
        <v>0.50352074999999996</v>
      </c>
    </row>
    <row r="2029" spans="1:14" ht="12.75" hidden="1" outlineLevel="1" x14ac:dyDescent="0.2">
      <c r="A2029" s="23" t="str">
        <f>HYPERLINK("https://www.spark-marketing.ru/Card/Person/13317", "ФГКУ ""ЮРПСО МЧС РОССИИ""")</f>
        <v>ФГКУ "ЮРПСО МЧС РОССИИ"</v>
      </c>
      <c r="B2029" s="24" t="s">
        <v>1270</v>
      </c>
      <c r="C2029" s="25">
        <v>120000</v>
      </c>
      <c r="D2029" s="22" t="s">
        <v>3837</v>
      </c>
      <c r="E2029" s="22" t="s">
        <v>96</v>
      </c>
      <c r="F2029" s="23" t="str">
        <f>HYPERLINK("https://www.spark-marketing.ru/Card/Lot/73827519", "Оказание услуг по организации и обеспечению питанием работников ФГКУ «ЮРПСО МЧС России» при несении дежурства в Адлерском ПСП")</f>
        <v>Оказание услуг по организации и обеспечению питанием работников ФГКУ «ЮРПСО МЧС России» при несении дежурства в Адлерском ПСП</v>
      </c>
      <c r="G2029" s="22" t="s">
        <v>104</v>
      </c>
      <c r="H2029" s="22" t="s">
        <v>104</v>
      </c>
      <c r="I2029" s="26">
        <v>43731.688888888901</v>
      </c>
      <c r="J2029" s="23" t="str">
        <f>HYPERLINK("https://www.spark-marketing.ru/Card/Person/6067340", "ООО ""ВЕКТОР+""")</f>
        <v>ООО "ВЕКТОР+"</v>
      </c>
      <c r="K2029" s="24" t="s">
        <v>3833</v>
      </c>
      <c r="L2029" s="22" t="s">
        <v>10</v>
      </c>
      <c r="M2029" s="25">
        <v>60177.51</v>
      </c>
      <c r="N2029" s="27">
        <v>0.49852075000000001</v>
      </c>
    </row>
    <row r="2030" spans="1:14" collapsed="1" x14ac:dyDescent="0.15">
      <c r="A2030" s="23" t="str">
        <f>HYPERLINK("https://www.spark-marketing.ru/Card/Person/998548", "ОМВД РОССИИ ПО ГОРОДУ ВЕЛИКИЕ ЛУКИ")</f>
        <v>ОМВД РОССИИ ПО ГОРОДУ ВЕЛИКИЕ ЛУКИ</v>
      </c>
      <c r="B2030" s="24" t="s">
        <v>3838</v>
      </c>
      <c r="C2030" s="25">
        <v>160620.04</v>
      </c>
      <c r="D2030" s="22" t="s">
        <v>3839</v>
      </c>
      <c r="E2030" s="22" t="s">
        <v>48</v>
      </c>
      <c r="F2030" s="23" t="str">
        <f>HYPERLINK("https://www.spark-marketing.ru/Card/Lot/73827935", "оказание услуг по питанию, содержащихся в ИВС и дежурной части")</f>
        <v>оказание услуг по питанию, содержащихся в ИВС и дежурной части</v>
      </c>
      <c r="G2030" s="22" t="s">
        <v>415</v>
      </c>
      <c r="H2030" s="22" t="s">
        <v>3840</v>
      </c>
      <c r="I2030" s="26">
        <v>43731.697222222203</v>
      </c>
      <c r="J2030" s="28" t="s">
        <v>51</v>
      </c>
      <c r="K2030" s="28" t="s">
        <v>51</v>
      </c>
      <c r="L2030" s="28" t="s">
        <v>51</v>
      </c>
      <c r="M2030" s="28" t="s">
        <v>51</v>
      </c>
      <c r="N2030" s="28" t="s">
        <v>51</v>
      </c>
    </row>
    <row r="2031" spans="1:14" hidden="1" outlineLevel="1" x14ac:dyDescent="0.2">
      <c r="A2031" s="23" t="str">
        <f>HYPERLINK("https://www.spark-marketing.ru/Card/Person/998548", "ОМВД РОССИИ ПО ГОРОДУ ВЕЛИКИЕ ЛУКИ")</f>
        <v>ОМВД РОССИИ ПО ГОРОДУ ВЕЛИКИЕ ЛУКИ</v>
      </c>
      <c r="B2031" s="24" t="s">
        <v>3838</v>
      </c>
      <c r="C2031" s="25">
        <v>160620.04</v>
      </c>
      <c r="D2031" s="22" t="s">
        <v>3839</v>
      </c>
      <c r="E2031" s="22" t="s">
        <v>48</v>
      </c>
      <c r="F2031" s="23" t="str">
        <f>HYPERLINK("https://www.spark-marketing.ru/Card/Lot/73827935", "оказание услуг по питанию, содержащихся в ИВС и дежурной части")</f>
        <v>оказание услуг по питанию, содержащихся в ИВС и дежурной части</v>
      </c>
      <c r="G2031" s="22" t="s">
        <v>415</v>
      </c>
      <c r="H2031" s="22" t="s">
        <v>3840</v>
      </c>
      <c r="I2031" s="26">
        <v>43731.697222222203</v>
      </c>
      <c r="J2031" s="23" t="str">
        <f>HYPERLINK("https://www.spark-marketing.ru/Card/Person/6457099", "Веркеенко Наталия Николаевна")</f>
        <v>Веркеенко Наталия Николаевна</v>
      </c>
      <c r="K2031" s="24" t="s">
        <v>3841</v>
      </c>
      <c r="L2031" s="28" t="s">
        <v>51</v>
      </c>
      <c r="M2031" s="25">
        <v>153392.14000000001</v>
      </c>
      <c r="N2031" s="27">
        <v>4.4999988793428265E-2</v>
      </c>
    </row>
    <row r="2032" spans="1:14" ht="12.75" hidden="1" outlineLevel="1" x14ac:dyDescent="0.2">
      <c r="A2032" s="23" t="str">
        <f>HYPERLINK("https://www.spark-marketing.ru/Card/Person/998548", "ОМВД РОССИИ ПО ГОРОДУ ВЕЛИКИЕ ЛУКИ")</f>
        <v>ОМВД РОССИИ ПО ГОРОДУ ВЕЛИКИЕ ЛУКИ</v>
      </c>
      <c r="B2032" s="24" t="s">
        <v>3838</v>
      </c>
      <c r="C2032" s="25">
        <v>160620.04</v>
      </c>
      <c r="D2032" s="22" t="s">
        <v>3839</v>
      </c>
      <c r="E2032" s="22" t="s">
        <v>48</v>
      </c>
      <c r="F2032" s="23" t="str">
        <f>HYPERLINK("https://www.spark-marketing.ru/Card/Lot/73827935", "оказание услуг по питанию, содержащихся в ИВС и дежурной части")</f>
        <v>оказание услуг по питанию, содержащихся в ИВС и дежурной части</v>
      </c>
      <c r="G2032" s="22" t="s">
        <v>415</v>
      </c>
      <c r="H2032" s="22" t="s">
        <v>3840</v>
      </c>
      <c r="I2032" s="26">
        <v>43731.697222222203</v>
      </c>
      <c r="J2032" s="23" t="str">
        <f>HYPERLINK("https://www.spark-marketing.ru/Card/Person/382377", "ООО ""ВЕЛЭКОПРОД""")</f>
        <v>ООО "ВЕЛЭКОПРОД"</v>
      </c>
      <c r="K2032" s="24" t="s">
        <v>3842</v>
      </c>
      <c r="L2032" s="22" t="s">
        <v>10</v>
      </c>
      <c r="M2032" s="25">
        <v>152589.04</v>
      </c>
      <c r="N2032" s="27">
        <v>4.9999987548253633E-2</v>
      </c>
    </row>
    <row r="2033" spans="1:14" x14ac:dyDescent="0.15">
      <c r="A2033" s="23" t="str">
        <f>HYPERLINK("https://www.spark-marketing.ru/Card/Person/84438", "МБОУ ""ГИМНАЗИЯ № 17""")</f>
        <v>МБОУ "ГИМНАЗИЯ № 17"</v>
      </c>
      <c r="B2033" s="24" t="s">
        <v>3843</v>
      </c>
      <c r="C2033" s="25">
        <v>12274842</v>
      </c>
      <c r="D2033" s="22" t="s">
        <v>3844</v>
      </c>
      <c r="E2033" s="22" t="s">
        <v>48</v>
      </c>
      <c r="F2033" s="23" t="str">
        <f>HYPERLINK("https://www.spark-marketing.ru/Card/Lot/73831505", "на оказание услуг по организации горячего питания отдельным категориям обучающихся в МБОУ «Гимназия № 17»")</f>
        <v>на оказание услуг по организации горячего питания отдельным категориям обучающихся в МБОУ «Гимназия № 17»</v>
      </c>
      <c r="G2033" s="22" t="s">
        <v>49</v>
      </c>
      <c r="H2033" s="22" t="s">
        <v>301</v>
      </c>
      <c r="I2033" s="26">
        <v>43731.690439814804</v>
      </c>
      <c r="J2033" s="28" t="s">
        <v>51</v>
      </c>
      <c r="K2033" s="28" t="s">
        <v>51</v>
      </c>
      <c r="L2033" s="28" t="s">
        <v>51</v>
      </c>
      <c r="M2033" s="28" t="s">
        <v>51</v>
      </c>
      <c r="N2033" s="28" t="s">
        <v>51</v>
      </c>
    </row>
    <row r="2034" spans="1:14" x14ac:dyDescent="0.15">
      <c r="A2034" s="23" t="str">
        <f>HYPERLINK("https://www.spark-marketing.ru/Card/Person/1069213", "ОТДЕЛ МВД РОССИИ ПО КОТОВСКОМУ РАЙОНУ")</f>
        <v>ОТДЕЛ МВД РОССИИ ПО КОТОВСКОМУ РАЙОНУ</v>
      </c>
      <c r="B2034" s="24" t="s">
        <v>3845</v>
      </c>
      <c r="C2034" s="25">
        <v>430000</v>
      </c>
      <c r="D2034" s="22" t="s">
        <v>3846</v>
      </c>
      <c r="E2034" s="22" t="s">
        <v>48</v>
      </c>
      <c r="F2034" s="23" t="str">
        <f>HYPERLINK("https://www.spark-marketing.ru/Card/Lot/73829668", "Услуги по обеспечению горячим питанием лиц, содержащихся в ИВС и КАЗ")</f>
        <v>Услуги по обеспечению горячим питанием лиц, содержащихся в ИВС и КАЗ</v>
      </c>
      <c r="G2034" s="22" t="s">
        <v>158</v>
      </c>
      <c r="H2034" s="22" t="s">
        <v>158</v>
      </c>
      <c r="I2034" s="26">
        <v>43731.679166666698</v>
      </c>
      <c r="J2034" s="28" t="s">
        <v>51</v>
      </c>
      <c r="K2034" s="28" t="s">
        <v>51</v>
      </c>
      <c r="L2034" s="28" t="s">
        <v>51</v>
      </c>
      <c r="M2034" s="28" t="s">
        <v>51</v>
      </c>
      <c r="N2034" s="28" t="s">
        <v>51</v>
      </c>
    </row>
    <row r="2035" spans="1:14" collapsed="1" x14ac:dyDescent="0.15">
      <c r="A2035" s="23" t="str">
        <f>HYPERLINK("https://www.spark-marketing.ru/Card/Person/13317", "ФГКУ ""ЮРПСО МЧС РОССИИ""")</f>
        <v>ФГКУ "ЮРПСО МЧС РОССИИ"</v>
      </c>
      <c r="B2035" s="24" t="s">
        <v>1270</v>
      </c>
      <c r="C2035" s="25">
        <v>176000</v>
      </c>
      <c r="D2035" s="22" t="s">
        <v>3847</v>
      </c>
      <c r="E2035" s="22" t="s">
        <v>96</v>
      </c>
      <c r="F2035" s="23" t="str">
        <f>HYPERLINK("https://www.spark-marketing.ru/Card/Lot/73828054", "Оказание услуг по организации и обеспечению питанием работников ФГКУ «ЮРПСО МЧС России» при несении дежурства в Хостинском ПСП")</f>
        <v>Оказание услуг по организации и обеспечению питанием работников ФГКУ «ЮРПСО МЧС России» при несении дежурства в Хостинском ПСП</v>
      </c>
      <c r="G2035" s="22" t="s">
        <v>104</v>
      </c>
      <c r="H2035" s="22" t="s">
        <v>104</v>
      </c>
      <c r="I2035" s="26">
        <v>43731.693055555603</v>
      </c>
      <c r="J2035" s="28" t="s">
        <v>51</v>
      </c>
      <c r="K2035" s="28" t="s">
        <v>51</v>
      </c>
      <c r="L2035" s="28" t="s">
        <v>51</v>
      </c>
      <c r="M2035" s="28" t="s">
        <v>51</v>
      </c>
      <c r="N2035" s="28" t="s">
        <v>51</v>
      </c>
    </row>
    <row r="2036" spans="1:14" hidden="1" outlineLevel="1" x14ac:dyDescent="0.2">
      <c r="A2036" s="23" t="str">
        <f>HYPERLINK("https://www.spark-marketing.ru/Card/Person/13317", "ФГКУ ""ЮРПСО МЧС РОССИИ""")</f>
        <v>ФГКУ "ЮРПСО МЧС РОССИИ"</v>
      </c>
      <c r="B2036" s="24" t="s">
        <v>1270</v>
      </c>
      <c r="C2036" s="25">
        <v>176000</v>
      </c>
      <c r="D2036" s="22" t="s">
        <v>3847</v>
      </c>
      <c r="E2036" s="22" t="s">
        <v>96</v>
      </c>
      <c r="F2036" s="23" t="str">
        <f>HYPERLINK("https://www.spark-marketing.ru/Card/Lot/73828054", "Оказание услуг по организации и обеспечению питанием работников ФГКУ «ЮРПСО МЧС России» при несении дежурства в Хостинском ПСП")</f>
        <v>Оказание услуг по организации и обеспечению питанием работников ФГКУ «ЮРПСО МЧС России» при несении дежурства в Хостинском ПСП</v>
      </c>
      <c r="G2036" s="22" t="s">
        <v>104</v>
      </c>
      <c r="H2036" s="22" t="s">
        <v>104</v>
      </c>
      <c r="I2036" s="26">
        <v>43731.693055555603</v>
      </c>
      <c r="J2036" s="23" t="str">
        <f>HYPERLINK("https://www.spark-marketing.ru/Card/Person/6703409", "Северов Михаил Карпович")</f>
        <v>Северов Михаил Карпович</v>
      </c>
      <c r="K2036" s="24" t="s">
        <v>2750</v>
      </c>
      <c r="L2036" s="28" t="s">
        <v>51</v>
      </c>
      <c r="M2036" s="25">
        <v>87120</v>
      </c>
      <c r="N2036" s="27">
        <v>0.505</v>
      </c>
    </row>
    <row r="2037" spans="1:14" ht="12.75" hidden="1" outlineLevel="1" x14ac:dyDescent="0.2">
      <c r="A2037" s="23" t="str">
        <f>HYPERLINK("https://www.spark-marketing.ru/Card/Person/13317", "ФГКУ ""ЮРПСО МЧС РОССИИ""")</f>
        <v>ФГКУ "ЮРПСО МЧС РОССИИ"</v>
      </c>
      <c r="B2037" s="24" t="s">
        <v>1270</v>
      </c>
      <c r="C2037" s="25">
        <v>176000</v>
      </c>
      <c r="D2037" s="22" t="s">
        <v>3847</v>
      </c>
      <c r="E2037" s="22" t="s">
        <v>96</v>
      </c>
      <c r="F2037" s="23" t="str">
        <f>HYPERLINK("https://www.spark-marketing.ru/Card/Lot/73828054", "Оказание услуг по организации и обеспечению питанием работников ФГКУ «ЮРПСО МЧС России» при несении дежурства в Хостинском ПСП")</f>
        <v>Оказание услуг по организации и обеспечению питанием работников ФГКУ «ЮРПСО МЧС России» при несении дежурства в Хостинском ПСП</v>
      </c>
      <c r="G2037" s="22" t="s">
        <v>104</v>
      </c>
      <c r="H2037" s="22" t="s">
        <v>104</v>
      </c>
      <c r="I2037" s="26">
        <v>43731.693055555603</v>
      </c>
      <c r="J2037" s="23" t="str">
        <f>HYPERLINK("https://www.spark-marketing.ru/Card/Person/6067340", "ООО ""ВЕКТОР+""")</f>
        <v>ООО "ВЕКТОР+"</v>
      </c>
      <c r="K2037" s="24" t="s">
        <v>3833</v>
      </c>
      <c r="L2037" s="22" t="s">
        <v>10</v>
      </c>
      <c r="M2037" s="25">
        <v>88000</v>
      </c>
      <c r="N2037" s="27">
        <v>0.5</v>
      </c>
    </row>
    <row r="2038" spans="1:14" x14ac:dyDescent="0.15">
      <c r="A2038" s="23" t="str">
        <f>HYPERLINK("https://www.spark-marketing.ru/Card/Person/737290", "ГКУ «ЦБЗ ПРИ МИНЗДРАВЕ КАРЕЛИИ»")</f>
        <v>ГКУ «ЦБЗ ПРИ МИНЗДРАВЕ КАРЕЛИИ»</v>
      </c>
      <c r="B2038" s="24" t="s">
        <v>312</v>
      </c>
      <c r="C2038" s="25">
        <v>266586.48</v>
      </c>
      <c r="D2038" s="22" t="s">
        <v>3848</v>
      </c>
      <c r="E2038" s="22" t="s">
        <v>52</v>
      </c>
      <c r="F2038" s="23" t="str">
        <f>HYPERLINK("https://www.spark-marketing.ru/Card/Lot/73829274", "Поставка лекарственных препаратов Панкреатин, Эзомепразол, Омепразол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медицин...")</f>
        <v>Поставка лекарственных препаратов Панкреатин, Эзомепразол, Омепразол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медицин...</v>
      </c>
      <c r="G2038" s="22" t="s">
        <v>59</v>
      </c>
      <c r="H2038" s="22" t="s">
        <v>314</v>
      </c>
      <c r="I2038" s="26">
        <v>43731.645138888904</v>
      </c>
      <c r="J2038" s="23" t="str">
        <f>HYPERLINK("https://www.spark-marketing.ru/Card/Person/6440681", "ООО ""МИД""")</f>
        <v>ООО "МИД"</v>
      </c>
      <c r="K2038" s="24" t="s">
        <v>3849</v>
      </c>
      <c r="L2038" s="22" t="s">
        <v>10</v>
      </c>
      <c r="M2038" s="28" t="s">
        <v>51</v>
      </c>
      <c r="N2038" s="28" t="s">
        <v>51</v>
      </c>
    </row>
    <row r="2039" spans="1:14" x14ac:dyDescent="0.15">
      <c r="A2039" s="23" t="str">
        <f>HYPERLINK("https://www.spark-marketing.ru/Card/Person/737290", "ГКУ «ЦБЗ ПРИ МИНЗДРАВЕ КАРЕЛИИ»")</f>
        <v>ГКУ «ЦБЗ ПРИ МИНЗДРАВЕ КАРЕЛИИ»</v>
      </c>
      <c r="B2039" s="24" t="s">
        <v>312</v>
      </c>
      <c r="C2039" s="25">
        <v>90340.2</v>
      </c>
      <c r="D2039" s="22" t="s">
        <v>3850</v>
      </c>
      <c r="E2039" s="22" t="s">
        <v>52</v>
      </c>
      <c r="F2039" s="23" t="str">
        <f>HYPERLINK("https://www.spark-marketing.ru/Card/Lot/73827098", "Поставка лекарственных препаратов  Амиодарон,  Фуросемид,  Алфузозин,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медицински...")</f>
        <v>Поставка лекарственных препаратов  Амиодарон,  Фуросемид,  Алфузозин,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медицински...</v>
      </c>
      <c r="G2039" s="22" t="s">
        <v>59</v>
      </c>
      <c r="H2039" s="22" t="s">
        <v>314</v>
      </c>
      <c r="I2039" s="26">
        <v>43731.645138888904</v>
      </c>
      <c r="J2039" s="28" t="s">
        <v>51</v>
      </c>
      <c r="K2039" s="28" t="s">
        <v>51</v>
      </c>
      <c r="L2039" s="28" t="s">
        <v>51</v>
      </c>
      <c r="M2039" s="28" t="s">
        <v>51</v>
      </c>
      <c r="N2039" s="28" t="s">
        <v>51</v>
      </c>
    </row>
    <row r="2040" spans="1:14" x14ac:dyDescent="0.15">
      <c r="A2040" s="23" t="str">
        <f>HYPERLINK("https://www.spark-marketing.ru/Card/Person/148536", "МБОУ СОШ № 10")</f>
        <v>МБОУ СОШ № 10</v>
      </c>
      <c r="B2040" s="24" t="s">
        <v>3851</v>
      </c>
      <c r="C2040" s="25">
        <v>7932196</v>
      </c>
      <c r="D2040" s="22" t="s">
        <v>3852</v>
      </c>
      <c r="E2040" s="22" t="s">
        <v>48</v>
      </c>
      <c r="F2040" s="23" t="str">
        <f>HYPERLINK("https://www.spark-marketing.ru/Card/Lot/73831491", "Оказание услуг по организации горячего питания отдельным категориям обучающихся в МБОУ СОШ № 10")</f>
        <v>Оказание услуг по организации горячего питания отдельным категориям обучающихся в МБОУ СОШ № 10</v>
      </c>
      <c r="G2040" s="22" t="s">
        <v>49</v>
      </c>
      <c r="H2040" s="22" t="s">
        <v>301</v>
      </c>
      <c r="I2040" s="26">
        <v>43731.666319444397</v>
      </c>
      <c r="J2040" s="28" t="s">
        <v>51</v>
      </c>
      <c r="K2040" s="28" t="s">
        <v>51</v>
      </c>
      <c r="L2040" s="28" t="s">
        <v>51</v>
      </c>
      <c r="M2040" s="28" t="s">
        <v>51</v>
      </c>
      <c r="N2040" s="28" t="s">
        <v>51</v>
      </c>
    </row>
    <row r="2041" spans="1:14" x14ac:dyDescent="0.15">
      <c r="A2041" s="23" t="str">
        <f>HYPERLINK("https://www.spark-marketing.ru/Card/Person/6086", "ГКУ ""ДИРЕКЦИЯ ОДОТСЗН Г. МОСКВЫ""")</f>
        <v>ГКУ "ДИРЕКЦИЯ ОДОТСЗН Г. МОСКВЫ"</v>
      </c>
      <c r="B2041" s="24" t="s">
        <v>164</v>
      </c>
      <c r="C2041" s="25">
        <v>19112268.600000001</v>
      </c>
      <c r="D2041" s="22" t="s">
        <v>3853</v>
      </c>
      <c r="E2041" s="22" t="s">
        <v>86</v>
      </c>
      <c r="F2041" s="23" t="str">
        <f>HYPERLINK("https://www.spark-marketing.ru/Card/Lot/73831906", "Оказание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болезней печени, желчного пузыря, желчевыводящих путей и поджелуд...")</f>
        <v>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болезней печени, желчного пузыря, желчевыводящих путей и поджелуд...</v>
      </c>
      <c r="G2041" s="22" t="s">
        <v>56</v>
      </c>
      <c r="H2041" s="22" t="s">
        <v>56</v>
      </c>
      <c r="I2041" s="26">
        <v>43731.639189814799</v>
      </c>
      <c r="J2041" s="28" t="s">
        <v>51</v>
      </c>
      <c r="K2041" s="28" t="s">
        <v>51</v>
      </c>
      <c r="L2041" s="28" t="s">
        <v>51</v>
      </c>
      <c r="M2041" s="28" t="s">
        <v>51</v>
      </c>
      <c r="N2041" s="28" t="s">
        <v>51</v>
      </c>
    </row>
    <row r="2042" spans="1:14" x14ac:dyDescent="0.15">
      <c r="A2042" s="23" t="str">
        <f>HYPERLINK("https://www.spark-marketing.ru/Card/Person/1030031", "МБУ ""ДМ""")</f>
        <v>МБУ "ДМ"</v>
      </c>
      <c r="B2042" s="24" t="s">
        <v>3854</v>
      </c>
      <c r="C2042" s="25">
        <v>1086333.33</v>
      </c>
      <c r="D2042" s="22" t="s">
        <v>3855</v>
      </c>
      <c r="E2042" s="22" t="s">
        <v>1492</v>
      </c>
      <c r="F2042" s="23" t="str">
        <f>HYPERLINK("https://www.spark-marketing.ru/Card/Lot/73832625", "Оказание услуг по организации проезда, проживания и питания участников Открытого чемпионата по интеллектуальной игре на Кубок Губернатора Ямало-Ненецкого автономного округа")</f>
        <v>Оказание услуг по организации проезда, проживания и питания участников Открытого чемпионата по интеллектуальной игре на Кубок Губернатора Ямало-Ненецкого автономного округа</v>
      </c>
      <c r="G2042" s="22" t="s">
        <v>1056</v>
      </c>
      <c r="H2042" s="22" t="s">
        <v>1258</v>
      </c>
      <c r="I2042" s="26">
        <v>43731.629513888904</v>
      </c>
      <c r="J2042" s="23" t="str">
        <f>HYPERLINK("https://www.spark-marketing.ru/Card/Person/4888895", "Шляхтин Константин Александрович")</f>
        <v>Шляхтин Константин Александрович</v>
      </c>
      <c r="K2042" s="24" t="s">
        <v>3856</v>
      </c>
      <c r="L2042" s="22" t="s">
        <v>10</v>
      </c>
      <c r="M2042" s="28" t="s">
        <v>51</v>
      </c>
      <c r="N2042" s="28" t="s">
        <v>51</v>
      </c>
    </row>
    <row r="2043" spans="1:14" x14ac:dyDescent="0.15">
      <c r="A2043" s="23" t="str">
        <f>HYPERLINK("https://www.spark-marketing.ru/Card/Person/4346002", "МИНИСТЕРСТВО ЗДРАВООХРАНЕНИЯ КРАСНОЯРСКОГО КРАЯ")</f>
        <v>МИНИСТЕРСТВО ЗДРАВООХРАНЕНИЯ КРАСНОЯРСКОГО КРАЯ</v>
      </c>
      <c r="B2043" s="24" t="s">
        <v>3857</v>
      </c>
      <c r="C2043" s="25">
        <v>1600392.05</v>
      </c>
      <c r="D2043" s="22" t="s">
        <v>3858</v>
      </c>
      <c r="E2043" s="22" t="s">
        <v>86</v>
      </c>
      <c r="F2043" s="23" t="str">
        <f>HYPERLINK("https://www.spark-marketing.ru/Card/Lot/73832333", "№ЭА 47280-19 ""Услуги в области медицины прочие, не включенные в другие группировки (Оказание услуг уполномоченного медицинского склада (УМС) (склада Исполнителя) (услуг по обеспечению граждан, включенных в Федеральный регистр лиц, имеющих право на п...")</f>
        <v>№ЭА 47280-19 "Услуги в области медицины прочие, не включенные в другие группировки (Оказание услуг уполномоченного медицинского склада (УМС) (склада Исполнителя) (услуг по обеспечению граждан, включенных в Федеральный регистр лиц, имеющих право на п...</v>
      </c>
      <c r="G2043" s="22" t="s">
        <v>281</v>
      </c>
      <c r="H2043" s="22" t="s">
        <v>1036</v>
      </c>
      <c r="I2043" s="26">
        <v>43731.636805555601</v>
      </c>
      <c r="J2043" s="23" t="str">
        <f>HYPERLINK("https://www.spark-marketing.ru/Card/Person/24386", "АО ""ГУБЕРНСКИЕ АПТЕКИ""")</f>
        <v>АО "ГУБЕРНСКИЕ АПТЕКИ"</v>
      </c>
      <c r="K2043" s="24" t="s">
        <v>3859</v>
      </c>
      <c r="L2043" s="22" t="s">
        <v>10</v>
      </c>
      <c r="M2043" s="28" t="s">
        <v>51</v>
      </c>
      <c r="N2043" s="28" t="s">
        <v>51</v>
      </c>
    </row>
    <row r="2044" spans="1:14" x14ac:dyDescent="0.15">
      <c r="A2044" s="23" t="str">
        <f t="shared" ref="A2044:A2049" si="33">HYPERLINK("https://www.spark-marketing.ru/Card/Person/737290", "ГКУ «ЦБЗ ПРИ МИНЗДРАВЕ КАРЕЛИИ»")</f>
        <v>ГКУ «ЦБЗ ПРИ МИНЗДРАВЕ КАРЕЛИИ»</v>
      </c>
      <c r="B2044" s="24" t="s">
        <v>312</v>
      </c>
      <c r="C2044" s="25">
        <v>46662</v>
      </c>
      <c r="D2044" s="22" t="s">
        <v>3860</v>
      </c>
      <c r="E2044" s="22" t="s">
        <v>52</v>
      </c>
      <c r="F2044" s="23" t="str">
        <f>HYPERLINK("https://www.spark-marketing.ru/Card/Lot/73825599", "Поставка лекарственного препарата Пиридостигмина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...")</f>
        <v>Поставка лекарственного препарата Пиридостигмина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...</v>
      </c>
      <c r="G2044" s="22" t="s">
        <v>59</v>
      </c>
      <c r="H2044" s="22" t="s">
        <v>314</v>
      </c>
      <c r="I2044" s="26">
        <v>43731.645138888904</v>
      </c>
      <c r="J2044" s="23" t="str">
        <f>HYPERLINK("https://www.spark-marketing.ru/Card/Person/34034", "ООО ""М-ТЕХФАРМ""")</f>
        <v>ООО "М-ТЕХФАРМ"</v>
      </c>
      <c r="K2044" s="24" t="s">
        <v>3861</v>
      </c>
      <c r="L2044" s="22" t="s">
        <v>10</v>
      </c>
      <c r="M2044" s="28" t="s">
        <v>51</v>
      </c>
      <c r="N2044" s="28" t="s">
        <v>51</v>
      </c>
    </row>
    <row r="2045" spans="1:14" collapsed="1" x14ac:dyDescent="0.15">
      <c r="A2045" s="23" t="str">
        <f t="shared" si="33"/>
        <v>ГКУ «ЦБЗ ПРИ МИНЗДРАВЕ КАРЕЛИИ»</v>
      </c>
      <c r="B2045" s="24" t="s">
        <v>312</v>
      </c>
      <c r="C2045" s="25">
        <v>655911</v>
      </c>
      <c r="D2045" s="22" t="s">
        <v>3862</v>
      </c>
      <c r="E2045" s="22" t="s">
        <v>52</v>
      </c>
      <c r="F2045" s="23" t="str">
        <f>HYPERLINK("https://www.spark-marketing.ru/Card/Lot/73830628", "Поставка лекарственного препарата Урсодезоксихолевая кислота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из...")</f>
        <v>Поставка лекарственного препарата Урсодезоксихолевая кислота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</v>
      </c>
      <c r="G2045" s="22" t="s">
        <v>59</v>
      </c>
      <c r="H2045" s="22" t="s">
        <v>314</v>
      </c>
      <c r="I2045" s="26">
        <v>43731.645138888904</v>
      </c>
      <c r="J2045" s="28" t="s">
        <v>51</v>
      </c>
      <c r="K2045" s="28" t="s">
        <v>51</v>
      </c>
      <c r="L2045" s="28" t="s">
        <v>51</v>
      </c>
      <c r="M2045" s="28" t="s">
        <v>51</v>
      </c>
      <c r="N2045" s="28" t="s">
        <v>51</v>
      </c>
    </row>
    <row r="2046" spans="1:14" hidden="1" outlineLevel="1" x14ac:dyDescent="0.2">
      <c r="A2046" s="23" t="str">
        <f t="shared" si="33"/>
        <v>ГКУ «ЦБЗ ПРИ МИНЗДРАВЕ КАРЕЛИИ»</v>
      </c>
      <c r="B2046" s="24" t="s">
        <v>312</v>
      </c>
      <c r="C2046" s="25">
        <v>655911</v>
      </c>
      <c r="D2046" s="22" t="s">
        <v>3862</v>
      </c>
      <c r="E2046" s="22" t="s">
        <v>52</v>
      </c>
      <c r="F2046" s="23" t="str">
        <f>HYPERLINK("https://www.spark-marketing.ru/Card/Lot/73830628", "Поставка лекарственного препарата Урсодезоксихолевая кислота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из...")</f>
        <v>Поставка лекарственного препарата Урсодезоксихолевая кислота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</v>
      </c>
      <c r="G2046" s="22" t="s">
        <v>59</v>
      </c>
      <c r="H2046" s="22" t="s">
        <v>314</v>
      </c>
      <c r="I2046" s="26">
        <v>43731.645138888904</v>
      </c>
      <c r="J2046" s="23" t="str">
        <f>HYPERLINK("https://www.spark-marketing.ru/Card/Person/5887470", "ООО ""ВИТАЛОН""")</f>
        <v>ООО "ВИТАЛОН"</v>
      </c>
      <c r="K2046" s="24" t="s">
        <v>2129</v>
      </c>
      <c r="L2046" s="28" t="s">
        <v>51</v>
      </c>
      <c r="M2046" s="25">
        <v>600158.48</v>
      </c>
      <c r="N2046" s="27">
        <v>8.5000129590752399E-2</v>
      </c>
    </row>
    <row r="2047" spans="1:14" ht="12.75" hidden="1" outlineLevel="1" x14ac:dyDescent="0.2">
      <c r="A2047" s="23" t="str">
        <f t="shared" si="33"/>
        <v>ГКУ «ЦБЗ ПРИ МИНЗДРАВЕ КАРЕЛИИ»</v>
      </c>
      <c r="B2047" s="24" t="s">
        <v>312</v>
      </c>
      <c r="C2047" s="25">
        <v>655911</v>
      </c>
      <c r="D2047" s="22" t="s">
        <v>3862</v>
      </c>
      <c r="E2047" s="22" t="s">
        <v>52</v>
      </c>
      <c r="F2047" s="23" t="str">
        <f>HYPERLINK("https://www.spark-marketing.ru/Card/Lot/73830628", "Поставка лекарственного препарата Урсодезоксихолевая кислота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из...")</f>
        <v>Поставка лекарственного препарата Урсодезоксихолевая кислота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</v>
      </c>
      <c r="G2047" s="22" t="s">
        <v>59</v>
      </c>
      <c r="H2047" s="22" t="s">
        <v>314</v>
      </c>
      <c r="I2047" s="26">
        <v>43731.645138888904</v>
      </c>
      <c r="J2047" s="23" t="str">
        <f>HYPERLINK("https://www.spark-marketing.ru/Card/Person/2592121", "ООО ""Ф-ФАРМ""")</f>
        <v>ООО "Ф-ФАРМ"</v>
      </c>
      <c r="K2047" s="24" t="s">
        <v>3711</v>
      </c>
      <c r="L2047" s="22" t="s">
        <v>10</v>
      </c>
      <c r="M2047" s="25">
        <v>528008.16</v>
      </c>
      <c r="N2047" s="27">
        <v>0.19500029729643198</v>
      </c>
    </row>
    <row r="2048" spans="1:14" hidden="1" outlineLevel="1" x14ac:dyDescent="0.2">
      <c r="A2048" s="23" t="str">
        <f t="shared" si="33"/>
        <v>ГКУ «ЦБЗ ПРИ МИНЗДРАВЕ КАРЕЛИИ»</v>
      </c>
      <c r="B2048" s="24" t="s">
        <v>312</v>
      </c>
      <c r="C2048" s="25">
        <v>655911</v>
      </c>
      <c r="D2048" s="22" t="s">
        <v>3862</v>
      </c>
      <c r="E2048" s="22" t="s">
        <v>52</v>
      </c>
      <c r="F2048" s="23" t="str">
        <f>HYPERLINK("https://www.spark-marketing.ru/Card/Lot/73830628", "Поставка лекарственного препарата Урсодезоксихолевая кислота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из...")</f>
        <v>Поставка лекарственного препарата Урсодезоксихолевая кислота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</v>
      </c>
      <c r="G2048" s="22" t="s">
        <v>59</v>
      </c>
      <c r="H2048" s="22" t="s">
        <v>314</v>
      </c>
      <c r="I2048" s="26">
        <v>43731.645138888904</v>
      </c>
      <c r="J2048" s="23" t="str">
        <f>HYPERLINK("https://www.spark-marketing.ru/Card/Person/6717013", "ООО ""ФАРМА""")</f>
        <v>ООО "ФАРМА"</v>
      </c>
      <c r="K2048" s="24" t="s">
        <v>3863</v>
      </c>
      <c r="L2048" s="28" t="s">
        <v>51</v>
      </c>
      <c r="M2048" s="25">
        <v>531287.72</v>
      </c>
      <c r="N2048" s="27">
        <v>0.19000028967344654</v>
      </c>
    </row>
    <row r="2049" spans="1:14" hidden="1" outlineLevel="1" x14ac:dyDescent="0.2">
      <c r="A2049" s="23" t="str">
        <f t="shared" si="33"/>
        <v>ГКУ «ЦБЗ ПРИ МИНЗДРАВЕ КАРЕЛИИ»</v>
      </c>
      <c r="B2049" s="24" t="s">
        <v>312</v>
      </c>
      <c r="C2049" s="25">
        <v>655911</v>
      </c>
      <c r="D2049" s="22" t="s">
        <v>3862</v>
      </c>
      <c r="E2049" s="22" t="s">
        <v>52</v>
      </c>
      <c r="F2049" s="23" t="str">
        <f>HYPERLINK("https://www.spark-marketing.ru/Card/Lot/73830628", "Поставка лекарственного препарата Урсодезоксихолевая кислота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из...")</f>
        <v>Поставка лекарственного препарата Урсодезоксихолевая кислота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</v>
      </c>
      <c r="G2049" s="22" t="s">
        <v>59</v>
      </c>
      <c r="H2049" s="22" t="s">
        <v>314</v>
      </c>
      <c r="I2049" s="26">
        <v>43731.645138888904</v>
      </c>
      <c r="J2049" s="23" t="str">
        <f>HYPERLINK("https://www.spark-marketing.ru/Card/Person/34034", "ООО ""М-ТЕХФАРМ""")</f>
        <v>ООО "М-ТЕХФАРМ"</v>
      </c>
      <c r="K2049" s="24" t="s">
        <v>3861</v>
      </c>
      <c r="L2049" s="28" t="s">
        <v>51</v>
      </c>
      <c r="M2049" s="25">
        <v>547685.52</v>
      </c>
      <c r="N2049" s="27">
        <v>0.16500025155851938</v>
      </c>
    </row>
    <row r="2050" spans="1:14" x14ac:dyDescent="0.15">
      <c r="A2050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2050" s="24" t="s">
        <v>3864</v>
      </c>
      <c r="C2050" s="25">
        <v>60000</v>
      </c>
      <c r="D2050" s="22" t="s">
        <v>3865</v>
      </c>
      <c r="E2050" s="22" t="s">
        <v>48</v>
      </c>
      <c r="F2050" s="23" t="str">
        <f>HYPERLINK("https://www.spark-marketing.ru/Card/Lot/73820216", "Оказание услуг по приготовлению и поставке транспортом Исполнителя 3-х разового горячего питания, согласно норм суточного довольствия для лиц, содержащихся более 3-х часов в дежурной части Отдела МВД России по Березниковскому городскому округу")</f>
        <v>Оказание услуг по приготовлению и поставке транспортом Исполнителя 3-х разового горячего питания, согласно норм суточного довольствия для лиц, содержащихся более 3-х часов в дежурной части Отдела МВД России по Березниковскому городскому округу</v>
      </c>
      <c r="G2050" s="22" t="s">
        <v>153</v>
      </c>
      <c r="H2050" s="22" t="s">
        <v>3866</v>
      </c>
      <c r="I2050" s="26">
        <v>43731.643750000003</v>
      </c>
      <c r="J2050" s="23" t="str">
        <f>HYPERLINK("https://www.spark-marketing.ru/Card/Person/17160", "МКУП ""ЦСП Г.БЕРЕЗНИКИ""")</f>
        <v>МКУП "ЦСП Г.БЕРЕЗНИКИ"</v>
      </c>
      <c r="K2050" s="24" t="s">
        <v>1396</v>
      </c>
      <c r="L2050" s="22" t="s">
        <v>10</v>
      </c>
      <c r="M2050" s="28" t="s">
        <v>51</v>
      </c>
      <c r="N2050" s="28" t="s">
        <v>51</v>
      </c>
    </row>
    <row r="2051" spans="1:14" x14ac:dyDescent="0.15">
      <c r="A2051" s="23" t="str">
        <f>HYPERLINK("https://www.spark-marketing.ru/Card/Person/108350", "МБОУ СОШ № 16")</f>
        <v>МБОУ СОШ № 16</v>
      </c>
      <c r="B2051" s="24" t="s">
        <v>3867</v>
      </c>
      <c r="C2051" s="25">
        <v>5326886</v>
      </c>
      <c r="D2051" s="22" t="s">
        <v>3868</v>
      </c>
      <c r="E2051" s="22" t="s">
        <v>48</v>
      </c>
      <c r="F2051" s="23" t="str">
        <f>HYPERLINK("https://www.spark-marketing.ru/Card/Lot/73831490", "на оказание услуг по организации горячего питания отдельным категориям обучающихся в МБОУ СОШ №16")</f>
        <v>на оказание услуг по организации горячего питания отдельным категориям обучающихся в МБОУ СОШ №16</v>
      </c>
      <c r="G2051" s="22" t="s">
        <v>49</v>
      </c>
      <c r="H2051" s="22" t="s">
        <v>301</v>
      </c>
      <c r="I2051" s="26">
        <v>43731.666122685201</v>
      </c>
      <c r="J2051" s="28" t="s">
        <v>51</v>
      </c>
      <c r="K2051" s="28" t="s">
        <v>51</v>
      </c>
      <c r="L2051" s="28" t="s">
        <v>51</v>
      </c>
      <c r="M2051" s="28" t="s">
        <v>51</v>
      </c>
      <c r="N2051" s="28" t="s">
        <v>51</v>
      </c>
    </row>
    <row r="2052" spans="1:14" x14ac:dyDescent="0.15">
      <c r="A2052" s="23" t="str">
        <f>HYPERLINK("https://www.spark-marketing.ru/Card/Person/737290", "ГКУ «ЦБЗ ПРИ МИНЗДРАВЕ КАРЕЛИИ»")</f>
        <v>ГКУ «ЦБЗ ПРИ МИНЗДРАВЕ КАРЕЛИИ»</v>
      </c>
      <c r="B2052" s="24" t="s">
        <v>312</v>
      </c>
      <c r="C2052" s="25">
        <v>590198.4</v>
      </c>
      <c r="D2052" s="22" t="s">
        <v>3869</v>
      </c>
      <c r="E2052" s="22" t="s">
        <v>52</v>
      </c>
      <c r="F2052" s="23" t="str">
        <f>HYPERLINK("https://www.spark-marketing.ru/Card/Lot/73830496", "Поставка лекарственного препарата Адалимумаб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рецеп...")</f>
        <v>Поставка лекарственного препарата Адалимумаб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</v>
      </c>
      <c r="G2052" s="22" t="s">
        <v>59</v>
      </c>
      <c r="H2052" s="22" t="s">
        <v>314</v>
      </c>
      <c r="I2052" s="26">
        <v>43731.645138888904</v>
      </c>
      <c r="J2052" s="23" t="str">
        <f>HYPERLINK("https://www.spark-marketing.ru/Card/Person/5950409", "ООО ""БИАНТ""")</f>
        <v>ООО "БИАНТ"</v>
      </c>
      <c r="K2052" s="24" t="s">
        <v>3870</v>
      </c>
      <c r="L2052" s="22" t="s">
        <v>10</v>
      </c>
      <c r="M2052" s="28" t="s">
        <v>51</v>
      </c>
      <c r="N2052" s="28" t="s">
        <v>51</v>
      </c>
    </row>
    <row r="2053" spans="1:14" x14ac:dyDescent="0.15">
      <c r="A2053" s="23" t="str">
        <f>HYPERLINK("https://www.spark-marketing.ru/Card/Person/1338713", "МАОУ ""ЛИЦЕЙ № 19""")</f>
        <v>МАОУ "ЛИЦЕЙ № 19"</v>
      </c>
      <c r="B2053" s="24" t="s">
        <v>3871</v>
      </c>
      <c r="C2053" s="25">
        <v>10862810</v>
      </c>
      <c r="D2053" s="22" t="s">
        <v>3872</v>
      </c>
      <c r="E2053" s="22" t="s">
        <v>48</v>
      </c>
      <c r="F2053" s="23" t="str">
        <f>HYPERLINK("https://www.spark-marketing.ru/Card/Lot/73831489", "Оказание услуг по организации горячего питания отдельным категориям обучающихся в МАОУ Лицей № 19")</f>
        <v>Оказание услуг по организации горячего питания отдельным категориям обучающихся в МАОУ Лицей № 19</v>
      </c>
      <c r="G2053" s="22" t="s">
        <v>49</v>
      </c>
      <c r="H2053" s="22" t="s">
        <v>301</v>
      </c>
      <c r="I2053" s="26">
        <v>43731.665844907402</v>
      </c>
      <c r="J2053" s="28" t="s">
        <v>51</v>
      </c>
      <c r="K2053" s="28" t="s">
        <v>51</v>
      </c>
      <c r="L2053" s="28" t="s">
        <v>51</v>
      </c>
      <c r="M2053" s="28" t="s">
        <v>51</v>
      </c>
      <c r="N2053" s="28" t="s">
        <v>51</v>
      </c>
    </row>
    <row r="2054" spans="1:14" x14ac:dyDescent="0.15">
      <c r="A2054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2054" s="24" t="s">
        <v>3864</v>
      </c>
      <c r="C2054" s="25">
        <v>60000</v>
      </c>
      <c r="D2054" s="22" t="s">
        <v>3873</v>
      </c>
      <c r="E2054" s="22" t="s">
        <v>48</v>
      </c>
      <c r="F2054" s="23" t="str">
        <f>HYPERLINK("https://www.spark-marketing.ru/Card/Lot/73824545", "Оказание услуг по приготовлению и поставке транспортом Исполнителя 3-х разового горячего питания, согласно норм суточного довольствия для лиц, содержащихся более 3-х часов в дежурной части Отдела МВД России по Березниковскому городскому округу")</f>
        <v>Оказание услуг по приготовлению и поставке транспортом Исполнителя 3-х разового горячего питания, согласно норм суточного довольствия для лиц, содержащихся более 3-х часов в дежурной части Отдела МВД России по Березниковскому городскому округу</v>
      </c>
      <c r="G2054" s="22" t="s">
        <v>153</v>
      </c>
      <c r="H2054" s="22" t="s">
        <v>3866</v>
      </c>
      <c r="I2054" s="26">
        <v>43731.6430555556</v>
      </c>
      <c r="J2054" s="23" t="str">
        <f>HYPERLINK("https://www.spark-marketing.ru/Card/Person/17160", "МКУП ""ЦСП Г.БЕРЕЗНИКИ""")</f>
        <v>МКУП "ЦСП Г.БЕРЕЗНИКИ"</v>
      </c>
      <c r="K2054" s="24" t="s">
        <v>1396</v>
      </c>
      <c r="L2054" s="22" t="s">
        <v>10</v>
      </c>
      <c r="M2054" s="28" t="s">
        <v>51</v>
      </c>
      <c r="N2054" s="28" t="s">
        <v>51</v>
      </c>
    </row>
    <row r="2055" spans="1:14" x14ac:dyDescent="0.15">
      <c r="A2055" s="23" t="str">
        <f>HYPERLINK("https://www.spark-marketing.ru/Card/Person/6218321", "ГБУЗ КО ОККВД")</f>
        <v>ГБУЗ КО ОККВД</v>
      </c>
      <c r="B2055" s="24" t="s">
        <v>3874</v>
      </c>
      <c r="C2055" s="25">
        <v>376472.74</v>
      </c>
      <c r="D2055" s="22" t="s">
        <v>3875</v>
      </c>
      <c r="E2055" s="22" t="s">
        <v>48</v>
      </c>
      <c r="F2055" s="23" t="str">
        <f>HYPERLINK("https://www.spark-marketing.ru/Card/Lot/73816226", "Оказание услуг по обеспечению готовым горячим питанием")</f>
        <v>Оказание услуг по обеспечению готовым горячим питанием</v>
      </c>
      <c r="G2055" s="22" t="s">
        <v>304</v>
      </c>
      <c r="H2055" s="22" t="s">
        <v>1154</v>
      </c>
      <c r="I2055" s="26">
        <v>43731.587500000001</v>
      </c>
      <c r="J2055" s="23" t="str">
        <f>HYPERLINK("https://www.spark-marketing.ru/Card/Person/617055", "Гринько Елена Валерьевна")</f>
        <v>Гринько Елена Валерьевна</v>
      </c>
      <c r="K2055" s="24" t="s">
        <v>3876</v>
      </c>
      <c r="L2055" s="22" t="s">
        <v>10</v>
      </c>
      <c r="M2055" s="28" t="s">
        <v>51</v>
      </c>
      <c r="N2055" s="28" t="s">
        <v>51</v>
      </c>
    </row>
    <row r="2056" spans="1:14" x14ac:dyDescent="0.15">
      <c r="A2056" s="23" t="str">
        <f>HYPERLINK("https://www.spark-marketing.ru/Card/Person/1019323", "МО МВД РОССИИ ""НЕКОУЗСКИЙ""")</f>
        <v>МО МВД РОССИИ "НЕКОУЗСКИЙ"</v>
      </c>
      <c r="B2056" s="24" t="s">
        <v>3877</v>
      </c>
      <c r="C2056" s="25">
        <v>52000</v>
      </c>
      <c r="D2056" s="22" t="s">
        <v>3878</v>
      </c>
      <c r="E2056" s="22" t="s">
        <v>48</v>
      </c>
      <c r="F2056" s="23" t="str">
        <f>HYPERLINK("https://www.spark-marketing.ru/Card/Lot/73817465", "Оказание услуг по организации питания (приготовлению и доставке) для ИВС, 260 усл. ед")</f>
        <v>Оказание услуг по организации питания (приготовлению и доставке) для ИВС, 260 усл. ед</v>
      </c>
      <c r="G2056" s="22" t="s">
        <v>185</v>
      </c>
      <c r="H2056" s="22" t="s">
        <v>3879</v>
      </c>
      <c r="I2056" s="26">
        <v>43731.606759259303</v>
      </c>
      <c r="J2056" s="28" t="s">
        <v>51</v>
      </c>
      <c r="K2056" s="28" t="s">
        <v>51</v>
      </c>
      <c r="L2056" s="28" t="s">
        <v>51</v>
      </c>
      <c r="M2056" s="28" t="s">
        <v>51</v>
      </c>
      <c r="N2056" s="28" t="s">
        <v>51</v>
      </c>
    </row>
    <row r="2057" spans="1:14" collapsed="1" x14ac:dyDescent="0.15">
      <c r="A2057" s="23" t="str">
        <f>HYPERLINK("https://www.spark-marketing.ru/Card/Person/6218321", "ГБУЗ КО ОККВД")</f>
        <v>ГБУЗ КО ОККВД</v>
      </c>
      <c r="B2057" s="24" t="s">
        <v>3874</v>
      </c>
      <c r="C2057" s="25">
        <v>898462</v>
      </c>
      <c r="D2057" s="22" t="s">
        <v>3880</v>
      </c>
      <c r="E2057" s="22" t="s">
        <v>48</v>
      </c>
      <c r="F2057" s="23" t="str">
        <f>HYPERLINK("https://www.spark-marketing.ru/Card/Lot/73822526", "Оказание услуг по обеспечению готовым горячим питанием")</f>
        <v>Оказание услуг по обеспечению готовым горячим питанием</v>
      </c>
      <c r="G2057" s="22" t="s">
        <v>304</v>
      </c>
      <c r="H2057" s="22" t="s">
        <v>1154</v>
      </c>
      <c r="I2057" s="26">
        <v>43731.586111111101</v>
      </c>
      <c r="J2057" s="28" t="s">
        <v>51</v>
      </c>
      <c r="K2057" s="28" t="s">
        <v>51</v>
      </c>
      <c r="L2057" s="28" t="s">
        <v>51</v>
      </c>
      <c r="M2057" s="28" t="s">
        <v>51</v>
      </c>
      <c r="N2057" s="28" t="s">
        <v>51</v>
      </c>
    </row>
    <row r="2058" spans="1:14" hidden="1" outlineLevel="1" x14ac:dyDescent="0.2">
      <c r="A2058" s="23" t="str">
        <f>HYPERLINK("https://www.spark-marketing.ru/Card/Person/6218321", "ГБУЗ КО ОККВД")</f>
        <v>ГБУЗ КО ОККВД</v>
      </c>
      <c r="B2058" s="24" t="s">
        <v>3874</v>
      </c>
      <c r="C2058" s="25">
        <v>898462</v>
      </c>
      <c r="D2058" s="22" t="s">
        <v>3880</v>
      </c>
      <c r="E2058" s="22" t="s">
        <v>48</v>
      </c>
      <c r="F2058" s="23" t="str">
        <f>HYPERLINK("https://www.spark-marketing.ru/Card/Lot/73822526", "Оказание услуг по обеспечению готовым горячим питанием")</f>
        <v>Оказание услуг по обеспечению готовым горячим питанием</v>
      </c>
      <c r="G2058" s="22" t="s">
        <v>304</v>
      </c>
      <c r="H2058" s="22" t="s">
        <v>1154</v>
      </c>
      <c r="I2058" s="26">
        <v>43731.586111111101</v>
      </c>
      <c r="J2058" s="23" t="str">
        <f>HYPERLINK("https://www.spark-marketing.ru/Card/Person/5771005", "Горлова Алиса Анатольевна")</f>
        <v>Горлова Алиса Анатольевна</v>
      </c>
      <c r="K2058" s="24" t="s">
        <v>3881</v>
      </c>
      <c r="L2058" s="28" t="s">
        <v>51</v>
      </c>
      <c r="M2058" s="25">
        <v>813615.38</v>
      </c>
      <c r="N2058" s="27">
        <v>9.4435401831129195E-2</v>
      </c>
    </row>
    <row r="2059" spans="1:14" ht="12.75" hidden="1" outlineLevel="1" x14ac:dyDescent="0.2">
      <c r="A2059" s="23" t="str">
        <f>HYPERLINK("https://www.spark-marketing.ru/Card/Person/6218321", "ГБУЗ КО ОККВД")</f>
        <v>ГБУЗ КО ОККВД</v>
      </c>
      <c r="B2059" s="24" t="s">
        <v>3874</v>
      </c>
      <c r="C2059" s="25">
        <v>898462</v>
      </c>
      <c r="D2059" s="22" t="s">
        <v>3880</v>
      </c>
      <c r="E2059" s="22" t="s">
        <v>48</v>
      </c>
      <c r="F2059" s="23" t="str">
        <f>HYPERLINK("https://www.spark-marketing.ru/Card/Lot/73822526", "Оказание услуг по обеспечению готовым горячим питанием")</f>
        <v>Оказание услуг по обеспечению готовым горячим питанием</v>
      </c>
      <c r="G2059" s="22" t="s">
        <v>304</v>
      </c>
      <c r="H2059" s="22" t="s">
        <v>1154</v>
      </c>
      <c r="I2059" s="26">
        <v>43731.586111111101</v>
      </c>
      <c r="J2059" s="23" t="str">
        <f>HYPERLINK("https://www.spark-marketing.ru/Card/Person/92006", "ООО ""СТОЛОВАЯ ""ЯГОДКА""")</f>
        <v>ООО "СТОЛОВАЯ "ЯГОДКА"</v>
      </c>
      <c r="K2059" s="24" t="s">
        <v>3882</v>
      </c>
      <c r="L2059" s="22" t="s">
        <v>10</v>
      </c>
      <c r="M2059" s="25">
        <v>813615.38</v>
      </c>
      <c r="N2059" s="27">
        <v>9.4435401831129195E-2</v>
      </c>
    </row>
    <row r="2060" spans="1:14" x14ac:dyDescent="0.15">
      <c r="A2060" s="23" t="str">
        <f>HYPERLINK("https://www.spark-marketing.ru/Card/Person/112320", "МБДОУ ""ДЕТСКИЙ САД №5 ""РАДОСТЬ"" КОМБИНИРОВАННОГО ВИДА""")</f>
        <v>МБДОУ "ДЕТСКИЙ САД №5 "РАДОСТЬ" КОМБИНИРОВАННОГО ВИДА"</v>
      </c>
      <c r="B2060" s="24" t="s">
        <v>3883</v>
      </c>
      <c r="C2060" s="25">
        <v>34170700</v>
      </c>
      <c r="D2060" s="22" t="s">
        <v>3884</v>
      </c>
      <c r="E2060" s="22" t="s">
        <v>48</v>
      </c>
      <c r="F2060" s="23" t="str">
        <f>HYPERLINK("https://www.spark-marketing.ru/Card/Lot/73833062",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</v>
      </c>
      <c r="G2060" s="22" t="s">
        <v>49</v>
      </c>
      <c r="H2060" s="22" t="s">
        <v>2495</v>
      </c>
      <c r="I2060" s="26">
        <v>43731.607581018499</v>
      </c>
      <c r="J2060" s="28" t="s">
        <v>51</v>
      </c>
      <c r="K2060" s="28" t="s">
        <v>51</v>
      </c>
      <c r="L2060" s="28" t="s">
        <v>51</v>
      </c>
      <c r="M2060" s="28" t="s">
        <v>51</v>
      </c>
      <c r="N2060" s="28" t="s">
        <v>51</v>
      </c>
    </row>
    <row r="2061" spans="1:14" collapsed="1" x14ac:dyDescent="0.15">
      <c r="A2061" s="23" t="str">
        <f>HYPERLINK("https://www.spark-marketing.ru/Card/Person/61150", "КУ НАО ""СМТО""")</f>
        <v>КУ НАО "СМТО"</v>
      </c>
      <c r="B2061" s="24" t="s">
        <v>3885</v>
      </c>
      <c r="C2061" s="25">
        <v>510000</v>
      </c>
      <c r="D2061" s="22" t="s">
        <v>3886</v>
      </c>
      <c r="E2061" s="22" t="s">
        <v>96</v>
      </c>
      <c r="F2061" s="23" t="str">
        <f>HYPERLINK("https://www.spark-marketing.ru/Card/Lot/73830166", "Оказание услуг по организации питания, связанного с проведением приемов и обслуживанием делегаций, а также иных официальных торжественных мероприятий")</f>
        <v>Оказание услуг по организации питания, связанного с проведением приемов и обслуживанием делегаций, а также иных официальных торжественных мероприятий</v>
      </c>
      <c r="G2061" s="22" t="s">
        <v>3887</v>
      </c>
      <c r="H2061" s="22" t="s">
        <v>3888</v>
      </c>
      <c r="I2061" s="26">
        <v>43731.601388888899</v>
      </c>
      <c r="J2061" s="28" t="s">
        <v>51</v>
      </c>
      <c r="K2061" s="28" t="s">
        <v>51</v>
      </c>
      <c r="L2061" s="28" t="s">
        <v>51</v>
      </c>
      <c r="M2061" s="28" t="s">
        <v>51</v>
      </c>
      <c r="N2061" s="28" t="s">
        <v>51</v>
      </c>
    </row>
    <row r="2062" spans="1:14" hidden="1" outlineLevel="1" x14ac:dyDescent="0.2">
      <c r="A2062" s="23" t="str">
        <f>HYPERLINK("https://www.spark-marketing.ru/Card/Person/61150", "КУ НАО ""СМТО""")</f>
        <v>КУ НАО "СМТО"</v>
      </c>
      <c r="B2062" s="24" t="s">
        <v>3885</v>
      </c>
      <c r="C2062" s="25">
        <v>510000</v>
      </c>
      <c r="D2062" s="22" t="s">
        <v>3886</v>
      </c>
      <c r="E2062" s="22" t="s">
        <v>96</v>
      </c>
      <c r="F2062" s="23" t="str">
        <f>HYPERLINK("https://www.spark-marketing.ru/Card/Lot/73830166", "Оказание услуг по организации питания, связанного с проведением приемов и обслуживанием делегаций, а также иных официальных торжественных мероприятий")</f>
        <v>Оказание услуг по организации питания, связанного с проведением приемов и обслуживанием делегаций, а также иных официальных торжественных мероприятий</v>
      </c>
      <c r="G2062" s="22" t="s">
        <v>3887</v>
      </c>
      <c r="H2062" s="22" t="s">
        <v>3888</v>
      </c>
      <c r="I2062" s="26">
        <v>43731.601388888899</v>
      </c>
      <c r="J2062" s="23" t="str">
        <f>HYPERLINK("https://www.spark-marketing.ru/Card/Person/269254", "ООО ""АЗИМУТ""")</f>
        <v>ООО "АЗИМУТ"</v>
      </c>
      <c r="K2062" s="24" t="s">
        <v>3889</v>
      </c>
      <c r="L2062" s="28" t="s">
        <v>51</v>
      </c>
      <c r="M2062" s="25">
        <v>399800</v>
      </c>
      <c r="N2062" s="27">
        <v>0.21607843137254901</v>
      </c>
    </row>
    <row r="2063" spans="1:14" ht="12.75" hidden="1" outlineLevel="1" x14ac:dyDescent="0.2">
      <c r="A2063" s="23" t="str">
        <f>HYPERLINK("https://www.spark-marketing.ru/Card/Person/61150", "КУ НАО ""СМТО""")</f>
        <v>КУ НАО "СМТО"</v>
      </c>
      <c r="B2063" s="24" t="s">
        <v>3885</v>
      </c>
      <c r="C2063" s="25">
        <v>510000</v>
      </c>
      <c r="D2063" s="22" t="s">
        <v>3886</v>
      </c>
      <c r="E2063" s="22" t="s">
        <v>96</v>
      </c>
      <c r="F2063" s="23" t="str">
        <f>HYPERLINK("https://www.spark-marketing.ru/Card/Lot/73830166", "Оказание услуг по организации питания, связанного с проведением приемов и обслуживанием делегаций, а также иных официальных торжественных мероприятий")</f>
        <v>Оказание услуг по организации питания, связанного с проведением приемов и обслуживанием делегаций, а также иных официальных торжественных мероприятий</v>
      </c>
      <c r="G2063" s="22" t="s">
        <v>3887</v>
      </c>
      <c r="H2063" s="22" t="s">
        <v>3888</v>
      </c>
      <c r="I2063" s="26">
        <v>43731.601388888899</v>
      </c>
      <c r="J2063" s="23" t="str">
        <f>HYPERLINK("https://www.spark-marketing.ru/Card/Person/662760", "ООО ""СТЕЛЛА ПОЛАРЕ""")</f>
        <v>ООО "СТЕЛЛА ПОЛАРЕ"</v>
      </c>
      <c r="K2063" s="24" t="s">
        <v>3890</v>
      </c>
      <c r="L2063" s="22" t="s">
        <v>10</v>
      </c>
      <c r="M2063" s="25">
        <v>397250</v>
      </c>
      <c r="N2063" s="27">
        <v>0.22107843137254901</v>
      </c>
    </row>
    <row r="2064" spans="1:14" x14ac:dyDescent="0.15">
      <c r="A2064" s="23" t="str">
        <f>HYPERLINK("https://www.spark-marketing.ru/Card/Person/118273", "МБДОУ ""ДЕТСКИЙ САД № 20 КОЛОКОЛЬЧИК ОБЩЕРАЗВИВАЮЩЕГО ВИДА""")</f>
        <v>МБДОУ "ДЕТСКИЙ САД № 20 КОЛОКОЛЬЧИК ОБЩЕРАЗВИВАЮЩЕГО ВИДА"</v>
      </c>
      <c r="B2064" s="24" t="s">
        <v>3891</v>
      </c>
      <c r="C2064" s="25">
        <v>11754202</v>
      </c>
      <c r="D2064" s="22" t="s">
        <v>3892</v>
      </c>
      <c r="E2064" s="22" t="s">
        <v>48</v>
      </c>
      <c r="F2064" s="23" t="str">
        <f>HYPERLINK("https://www.spark-marketing.ru/Card/Lot/73833064",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</v>
      </c>
      <c r="G2064" s="22" t="s">
        <v>49</v>
      </c>
      <c r="H2064" s="22" t="s">
        <v>2508</v>
      </c>
      <c r="I2064" s="26">
        <v>43731.607743055603</v>
      </c>
      <c r="J2064" s="28" t="s">
        <v>51</v>
      </c>
      <c r="K2064" s="28" t="s">
        <v>51</v>
      </c>
      <c r="L2064" s="28" t="s">
        <v>51</v>
      </c>
      <c r="M2064" s="28" t="s">
        <v>51</v>
      </c>
      <c r="N2064" s="28" t="s">
        <v>51</v>
      </c>
    </row>
    <row r="2065" spans="1:14" collapsed="1" x14ac:dyDescent="0.15">
      <c r="A2065" s="23" t="str">
        <f>HYPERLINK("https://www.spark-marketing.ru/Card/Person/1764134", "ФЛ ГУЧ ""СКРПСО ИМ.В.М.НАРХОВА МЧС РОССИИ""")</f>
        <v>ФЛ ГУЧ "СКРПСО ИМ.В.М.НАРХОВА МЧС РОССИИ"</v>
      </c>
      <c r="B2065" s="24" t="s">
        <v>1270</v>
      </c>
      <c r="C2065" s="25">
        <v>386400</v>
      </c>
      <c r="D2065" s="22" t="s">
        <v>3893</v>
      </c>
      <c r="E2065" s="22" t="s">
        <v>48</v>
      </c>
      <c r="F2065" s="23" t="str">
        <f>HYPERLINK("https://www.spark-marketing.ru/Card/Lot/73829582", "Оказание услуг по организации и обеспечению питанием спасателей")</f>
        <v>Оказание услуг по организации и обеспечению питанием спасателей</v>
      </c>
      <c r="G2065" s="22" t="s">
        <v>925</v>
      </c>
      <c r="H2065" s="22" t="s">
        <v>925</v>
      </c>
      <c r="I2065" s="26">
        <v>43731.600694444402</v>
      </c>
      <c r="J2065" s="23" t="str">
        <f>HYPERLINK("https://www.spark-marketing.ru/Card/Person/5873163", "Павленко Роман Геннадьевич")</f>
        <v>Павленко Роман Геннадьевич</v>
      </c>
      <c r="K2065" s="24" t="s">
        <v>3894</v>
      </c>
      <c r="L2065" s="28" t="s">
        <v>51</v>
      </c>
      <c r="M2065" s="28" t="s">
        <v>51</v>
      </c>
      <c r="N2065" s="28" t="s">
        <v>51</v>
      </c>
    </row>
    <row r="2066" spans="1:14" hidden="1" outlineLevel="1" x14ac:dyDescent="0.15">
      <c r="A2066" s="23" t="str">
        <f>HYPERLINK("https://www.spark-marketing.ru/Card/Person/1764134", "ФЛ ГУЧ ""СКРПСО ИМ.В.М.НАРХОВА МЧС РОССИИ""")</f>
        <v>ФЛ ГУЧ "СКРПСО ИМ.В.М.НАРХОВА МЧС РОССИИ"</v>
      </c>
      <c r="B2066" s="24" t="s">
        <v>1270</v>
      </c>
      <c r="C2066" s="25">
        <v>386400</v>
      </c>
      <c r="D2066" s="22" t="s">
        <v>3893</v>
      </c>
      <c r="E2066" s="22" t="s">
        <v>48</v>
      </c>
      <c r="F2066" s="23" t="str">
        <f>HYPERLINK("https://www.spark-marketing.ru/Card/Lot/73829582", "Оказание услуг по организации и обеспечению питанием спасателей")</f>
        <v>Оказание услуг по организации и обеспечению питанием спасателей</v>
      </c>
      <c r="G2066" s="22" t="s">
        <v>925</v>
      </c>
      <c r="H2066" s="22" t="s">
        <v>925</v>
      </c>
      <c r="I2066" s="26">
        <v>43731.600694444402</v>
      </c>
      <c r="J2066" s="23" t="str">
        <f>HYPERLINK("https://www.spark-marketing.ru/Card/Person/5873163", "Павленко Роман Геннадьевич")</f>
        <v>Павленко Роман Геннадьевич</v>
      </c>
      <c r="K2066" s="24" t="s">
        <v>3894</v>
      </c>
      <c r="L2066" s="22" t="s">
        <v>10</v>
      </c>
      <c r="M2066" s="28" t="s">
        <v>51</v>
      </c>
      <c r="N2066" s="28" t="s">
        <v>51</v>
      </c>
    </row>
    <row r="2067" spans="1:14" x14ac:dyDescent="0.15">
      <c r="A2067" s="23" t="str">
        <f>HYPERLINK("https://www.spark-marketing.ru/Card/Person/6218321", "ГБУЗ КО ОККВД")</f>
        <v>ГБУЗ КО ОККВД</v>
      </c>
      <c r="B2067" s="24" t="s">
        <v>3874</v>
      </c>
      <c r="C2067" s="25">
        <v>264047.8</v>
      </c>
      <c r="D2067" s="22" t="s">
        <v>3895</v>
      </c>
      <c r="E2067" s="22" t="s">
        <v>48</v>
      </c>
      <c r="F2067" s="23" t="str">
        <f>HYPERLINK("https://www.spark-marketing.ru/Card/Lot/73822557", "Оказание услуг по обеспечению готовым горячим питанием")</f>
        <v>Оказание услуг по обеспечению готовым горячим питанием</v>
      </c>
      <c r="G2067" s="22" t="s">
        <v>304</v>
      </c>
      <c r="H2067" s="22" t="s">
        <v>1154</v>
      </c>
      <c r="I2067" s="26">
        <v>43731.596527777801</v>
      </c>
      <c r="J2067" s="23" t="str">
        <f>HYPERLINK("https://www.spark-marketing.ru/Card/Person/294981", "Гуляр Оксана Николаевна")</f>
        <v>Гуляр Оксана Николаевна</v>
      </c>
      <c r="K2067" s="24" t="s">
        <v>3896</v>
      </c>
      <c r="L2067" s="28" t="s">
        <v>51</v>
      </c>
      <c r="M2067" s="28" t="s">
        <v>51</v>
      </c>
      <c r="N2067" s="28" t="s">
        <v>51</v>
      </c>
    </row>
    <row r="2068" spans="1:14" x14ac:dyDescent="0.15">
      <c r="A2068" s="23" t="str">
        <f>HYPERLINK("https://www.spark-marketing.ru/Card/Person/6218321", "ГБУЗ КО ОККВД")</f>
        <v>ГБУЗ КО ОККВД</v>
      </c>
      <c r="B2068" s="24" t="s">
        <v>3874</v>
      </c>
      <c r="C2068" s="25">
        <v>522000</v>
      </c>
      <c r="D2068" s="22" t="s">
        <v>3897</v>
      </c>
      <c r="E2068" s="22" t="s">
        <v>48</v>
      </c>
      <c r="F2068" s="23" t="str">
        <f>HYPERLINK("https://www.spark-marketing.ru/Card/Lot/73816225", "Оказание услуг по обеспечению готовым горячим питанием")</f>
        <v>Оказание услуг по обеспечению готовым горячим питанием</v>
      </c>
      <c r="G2068" s="22" t="s">
        <v>304</v>
      </c>
      <c r="H2068" s="22" t="s">
        <v>1154</v>
      </c>
      <c r="I2068" s="26">
        <v>43731.585416666698</v>
      </c>
      <c r="J2068" s="23" t="str">
        <f>HYPERLINK("https://www.spark-marketing.ru/Card/Person/64907", "ГБУЗ КО ЮРБ")</f>
        <v>ГБУЗ КО ЮРБ</v>
      </c>
      <c r="K2068" s="24" t="s">
        <v>3898</v>
      </c>
      <c r="L2068" s="22" t="s">
        <v>10</v>
      </c>
      <c r="M2068" s="28" t="s">
        <v>51</v>
      </c>
      <c r="N2068" s="28" t="s">
        <v>51</v>
      </c>
    </row>
    <row r="2069" spans="1:14" x14ac:dyDescent="0.15">
      <c r="A2069" s="23" t="str">
        <f>HYPERLINK("https://www.spark-marketing.ru/Card/Person/51435", "ДЕПАРТАМЕНТ ЗДРАВООХРАНЕНИЯ ИВАНОВСКОЙ ОБЛАСТИ")</f>
        <v>ДЕПАРТАМЕНТ ЗДРАВООХРАНЕНИЯ ИВАНОВСКОЙ ОБЛАСТИ</v>
      </c>
      <c r="B2069" s="24" t="s">
        <v>3899</v>
      </c>
      <c r="C2069" s="25">
        <v>5000000</v>
      </c>
      <c r="D2069" s="22" t="s">
        <v>3900</v>
      </c>
      <c r="E2069" s="22" t="s">
        <v>86</v>
      </c>
      <c r="F2069" s="23" t="str">
        <f>HYPERLINK("https://www.spark-marketing.ru/Card/Lot/73832632", "ОКАЗАНИЕ УСЛУГ ПО ДОСТАВКЕ, ПОЛУЧЕНИЮ, ХРАНЕНИЮ, ВЕДЕНИЮ УЧЕТА ДВИЖЕНИЯ ТОВАРА, ПРЕДСТАВЛЕНИЮ ОТЧЕТНОСТИ, ПЕРЕДАЧЕ В ПУНКТЫ ОТПУСКА И ОТПУСКУ ИЗ ПУНКТОВ ОТПУСКА ЛЕКАРСТВЕННЫХ ПРЕПАРАТОВ, ИЗДЕЛИЙ МЕДИЦИНСКОГО НАЗНАЧЕНИЯ ДЛЯ ГРАЖДАН, А ТАКЖЕ СПЕЦИАЛИЗИ...")</f>
        <v>ОКАЗАНИЕ УСЛУГ ПО ДОСТАВКЕ, ПОЛУЧЕНИЮ, ХРАНЕНИЮ, ВЕДЕНИЮ УЧЕТА ДВИЖЕНИЯ ТОВАРА, ПРЕДСТАВЛЕНИЮ ОТЧЕТНОСТИ, ПЕРЕДАЧЕ В ПУНКТЫ ОТПУСКА И ОТПУСКУ ИЗ ПУНКТОВ ОТПУСКА ЛЕКАРСТВЕННЫХ ПРЕПАРАТОВ, ИЗДЕЛИЙ МЕДИЦИНСКОГО НАЗНАЧЕНИЯ ДЛЯ ГРАЖДАН, А ТАКЖЕ СПЕЦИАЛИЗИ...</v>
      </c>
      <c r="G2069" s="22" t="s">
        <v>1047</v>
      </c>
      <c r="H2069" s="22" t="s">
        <v>1953</v>
      </c>
      <c r="I2069" s="26">
        <v>43731.6072569444</v>
      </c>
      <c r="J2069" s="23" t="str">
        <f>HYPERLINK("https://www.spark-marketing.ru/Card/Person/324957", "ОГУП ""ФАРМАЦИЯ""")</f>
        <v>ОГУП "ФАРМАЦИЯ"</v>
      </c>
      <c r="K2069" s="24" t="s">
        <v>3901</v>
      </c>
      <c r="L2069" s="22" t="s">
        <v>10</v>
      </c>
      <c r="M2069" s="28" t="s">
        <v>51</v>
      </c>
      <c r="N2069" s="28" t="s">
        <v>51</v>
      </c>
    </row>
    <row r="2070" spans="1:14" x14ac:dyDescent="0.15">
      <c r="A2070" s="23" t="str">
        <f>HYPERLINK("https://www.spark-marketing.ru/Card/Person/1049980", "ОМВД РОССИИ ПО Г. РАДУЖНОМУ")</f>
        <v>ОМВД РОССИИ ПО Г. РАДУЖНОМУ</v>
      </c>
      <c r="B2070" s="24" t="s">
        <v>3902</v>
      </c>
      <c r="C2070" s="25">
        <v>534600</v>
      </c>
      <c r="D2070" s="22" t="s">
        <v>3903</v>
      </c>
      <c r="E2070" s="22" t="s">
        <v>48</v>
      </c>
      <c r="F2070" s="23" t="str">
        <f>HYPERLINK("https://www.spark-marketing.ru/Card/Lot/73830284", "Услуги по организации 3-х разового питания (без выходных) лицам, содержащихся в ИВС ОМВД России по г. Радужному")</f>
        <v>Услуги по организации 3-х разового питания (без выходных) лицам, содержащихся в ИВС ОМВД России по г. Радужному</v>
      </c>
      <c r="G2070" s="22" t="s">
        <v>97</v>
      </c>
      <c r="H2070" s="22" t="s">
        <v>1127</v>
      </c>
      <c r="I2070" s="26">
        <v>43731.601388888899</v>
      </c>
      <c r="J2070" s="23" t="str">
        <f>HYPERLINK("https://www.spark-marketing.ru/Card/Person/4866872", "ООО ""РУССКИЙ ДОМ""")</f>
        <v>ООО "РУССКИЙ ДОМ"</v>
      </c>
      <c r="K2070" s="24" t="s">
        <v>3904</v>
      </c>
      <c r="L2070" s="22" t="s">
        <v>10</v>
      </c>
      <c r="M2070" s="28" t="s">
        <v>51</v>
      </c>
      <c r="N2070" s="28" t="s">
        <v>51</v>
      </c>
    </row>
    <row r="2071" spans="1:14" x14ac:dyDescent="0.15">
      <c r="A2071" s="23" t="str">
        <f>HYPERLINK("https://www.spark-marketing.ru/Card/Person/144587", "ФГБУЗ МСЧ № 97 ФМБА РОССИИ")</f>
        <v>ФГБУЗ МСЧ № 97 ФМБА РОССИИ</v>
      </c>
      <c r="B2071" s="24" t="s">
        <v>3905</v>
      </c>
      <c r="C2071" s="25">
        <v>209996.55</v>
      </c>
      <c r="D2071" s="22" t="s">
        <v>3906</v>
      </c>
      <c r="E2071" s="22" t="s">
        <v>3907</v>
      </c>
      <c r="F2071" s="23" t="str">
        <f>HYPERLINK("https://www.spark-marketing.ru/Card/Lot/73828788", "Поставка продуктов питания (бакалейная продукция) в 4 квартале 2019 года (повторно)")</f>
        <v>Поставка продуктов питания (бакалейная продукция) в 4 квартале 2019 года (повторно)</v>
      </c>
      <c r="G2071" s="22" t="s">
        <v>82</v>
      </c>
      <c r="H2071" s="22" t="s">
        <v>83</v>
      </c>
      <c r="I2071" s="26">
        <v>43731.59375</v>
      </c>
      <c r="J2071" s="28" t="s">
        <v>51</v>
      </c>
      <c r="K2071" s="28" t="s">
        <v>51</v>
      </c>
      <c r="L2071" s="28" t="s">
        <v>51</v>
      </c>
      <c r="M2071" s="28" t="s">
        <v>51</v>
      </c>
      <c r="N2071" s="28" t="s">
        <v>51</v>
      </c>
    </row>
    <row r="2072" spans="1:14" collapsed="1" x14ac:dyDescent="0.15">
      <c r="A2072" s="23" t="str">
        <f>HYPERLINK("https://www.spark-marketing.ru/Card/Person/8520", "УМВД РОССИИ ПО КУРГАНСКОЙ ОБЛАСТИ")</f>
        <v>УМВД РОССИИ ПО КУРГАНСКОЙ ОБЛАСТИ</v>
      </c>
      <c r="B2072" s="24" t="s">
        <v>3908</v>
      </c>
      <c r="C2072" s="25">
        <v>3650000</v>
      </c>
      <c r="D2072" s="22" t="s">
        <v>3909</v>
      </c>
      <c r="E2072" s="22" t="s">
        <v>96</v>
      </c>
      <c r="F2072" s="23" t="str">
        <f>HYPERLINK("https://www.spark-marketing.ru/Card/Lot/73831482", "Оказание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области.")</f>
        <v>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</v>
      </c>
      <c r="G2072" s="22" t="s">
        <v>1972</v>
      </c>
      <c r="H2072" s="22" t="s">
        <v>1972</v>
      </c>
      <c r="I2072" s="26">
        <v>43731.593726851897</v>
      </c>
      <c r="J2072" s="28" t="s">
        <v>51</v>
      </c>
      <c r="K2072" s="28" t="s">
        <v>51</v>
      </c>
      <c r="L2072" s="28" t="s">
        <v>51</v>
      </c>
      <c r="M2072" s="28" t="s">
        <v>51</v>
      </c>
      <c r="N2072" s="28" t="s">
        <v>51</v>
      </c>
    </row>
    <row r="2073" spans="1:14" ht="12.75" hidden="1" outlineLevel="1" x14ac:dyDescent="0.2">
      <c r="A2073" s="23" t="str">
        <f>HYPERLINK("https://www.spark-marketing.ru/Card/Person/8520", "УМВД РОССИИ ПО КУРГАНСКОЙ ОБЛАСТИ")</f>
        <v>УМВД РОССИИ ПО КУРГАНСКОЙ ОБЛАСТИ</v>
      </c>
      <c r="B2073" s="24" t="s">
        <v>3908</v>
      </c>
      <c r="C2073" s="25">
        <v>3650000</v>
      </c>
      <c r="D2073" s="22" t="s">
        <v>3909</v>
      </c>
      <c r="E2073" s="22" t="s">
        <v>96</v>
      </c>
      <c r="F2073" s="23" t="str">
        <f>HYPERLINK("https://www.spark-marketing.ru/Card/Lot/73831482", "Оказание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области.")</f>
        <v>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</v>
      </c>
      <c r="G2073" s="22" t="s">
        <v>1972</v>
      </c>
      <c r="H2073" s="22" t="s">
        <v>1972</v>
      </c>
      <c r="I2073" s="26">
        <v>43731.593726851897</v>
      </c>
      <c r="J2073" s="23" t="str">
        <f>HYPERLINK("https://www.spark-marketing.ru/Card/Person/236230", "Черников Евгений Юрьевич")</f>
        <v>Черников Евгений Юрьевич</v>
      </c>
      <c r="K2073" s="24" t="s">
        <v>3910</v>
      </c>
      <c r="L2073" s="22" t="s">
        <v>10</v>
      </c>
      <c r="M2073" s="25">
        <v>294.5</v>
      </c>
      <c r="N2073" s="27">
        <v>0.99991931506849319</v>
      </c>
    </row>
    <row r="2074" spans="1:14" hidden="1" outlineLevel="1" x14ac:dyDescent="0.2">
      <c r="A2074" s="23" t="str">
        <f>HYPERLINK("https://www.spark-marketing.ru/Card/Person/8520", "УМВД РОССИИ ПО КУРГАНСКОЙ ОБЛАСТИ")</f>
        <v>УМВД РОССИИ ПО КУРГАНСКОЙ ОБЛАСТИ</v>
      </c>
      <c r="B2074" s="24" t="s">
        <v>3908</v>
      </c>
      <c r="C2074" s="25">
        <v>3650000</v>
      </c>
      <c r="D2074" s="22" t="s">
        <v>3909</v>
      </c>
      <c r="E2074" s="22" t="s">
        <v>96</v>
      </c>
      <c r="F2074" s="23" t="str">
        <f>HYPERLINK("https://www.spark-marketing.ru/Card/Lot/73831482", "Оказание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области.")</f>
        <v>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</v>
      </c>
      <c r="G2074" s="22" t="s">
        <v>1972</v>
      </c>
      <c r="H2074" s="22" t="s">
        <v>1972</v>
      </c>
      <c r="I2074" s="26">
        <v>43731.593726851897</v>
      </c>
      <c r="J2074" s="23" t="str">
        <f>HYPERLINK("https://www.spark-marketing.ru/Card/Person/394857", "Даурцева Нина Александровна")</f>
        <v>Даурцева Нина Александровна</v>
      </c>
      <c r="K2074" s="24" t="s">
        <v>1974</v>
      </c>
      <c r="L2074" s="28" t="s">
        <v>51</v>
      </c>
      <c r="M2074" s="25">
        <v>302.14999999999998</v>
      </c>
      <c r="N2074" s="27">
        <v>0.99991721917808218</v>
      </c>
    </row>
    <row r="2075" spans="1:14" hidden="1" outlineLevel="1" x14ac:dyDescent="0.2">
      <c r="A2075" s="23" t="str">
        <f>HYPERLINK("https://www.spark-marketing.ru/Card/Person/8520", "УМВД РОССИИ ПО КУРГАНСКОЙ ОБЛАСТИ")</f>
        <v>УМВД РОССИИ ПО КУРГАНСКОЙ ОБЛАСТИ</v>
      </c>
      <c r="B2075" s="24" t="s">
        <v>3908</v>
      </c>
      <c r="C2075" s="25">
        <v>3650000</v>
      </c>
      <c r="D2075" s="22" t="s">
        <v>3909</v>
      </c>
      <c r="E2075" s="22" t="s">
        <v>96</v>
      </c>
      <c r="F2075" s="23" t="str">
        <f>HYPERLINK("https://www.spark-marketing.ru/Card/Lot/73831482", "Оказание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области.")</f>
        <v>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</v>
      </c>
      <c r="G2075" s="22" t="s">
        <v>1972</v>
      </c>
      <c r="H2075" s="22" t="s">
        <v>1972</v>
      </c>
      <c r="I2075" s="26">
        <v>43731.593726851897</v>
      </c>
      <c r="J2075" s="23" t="str">
        <f>HYPERLINK("https://www.spark-marketing.ru/Card/Person/4354246", "ООО ""ПТК ""НОВАЯ ЭРА""""")</f>
        <v>ООО "ПТК "НОВАЯ ЭРА""</v>
      </c>
      <c r="K2075" s="24" t="s">
        <v>1975</v>
      </c>
      <c r="L2075" s="28" t="s">
        <v>51</v>
      </c>
      <c r="M2075" s="25">
        <v>297.05</v>
      </c>
      <c r="N2075" s="27">
        <v>0.99991861643835611</v>
      </c>
    </row>
    <row r="2076" spans="1:14" x14ac:dyDescent="0.15">
      <c r="A2076" s="23" t="str">
        <f>HYPERLINK("https://www.spark-marketing.ru/Card/Person/100639", "ОТДЕЛ МВД РОССИИ ПО ТАЙМЫРСКОМУ ДОЛГАНО-НЕНЕЦКОМУ РАЙОНУ")</f>
        <v>ОТДЕЛ МВД РОССИИ ПО ТАЙМЫРСКОМУ ДОЛГАНО-НЕНЕЦКОМУ РАЙОНУ</v>
      </c>
      <c r="B2076" s="24" t="s">
        <v>1441</v>
      </c>
      <c r="C2076" s="25">
        <v>390000</v>
      </c>
      <c r="D2076" s="22" t="s">
        <v>3911</v>
      </c>
      <c r="E2076" s="22" t="s">
        <v>48</v>
      </c>
      <c r="F2076" s="23" t="str">
        <f>HYPERLINK("https://www.spark-marketing.ru/Card/Lot/73811169", "Услуги по организации горячего питания")</f>
        <v>Услуги по организации горячего питания</v>
      </c>
      <c r="G2076" s="22" t="s">
        <v>281</v>
      </c>
      <c r="H2076" s="22" t="s">
        <v>281</v>
      </c>
      <c r="I2076" s="26">
        <v>43731.559722222199</v>
      </c>
      <c r="J2076" s="23" t="str">
        <f>HYPERLINK("https://www.spark-marketing.ru/Card/Person/4938506", "ООО ""ДИАЛОГ""")</f>
        <v>ООО "ДИАЛОГ"</v>
      </c>
      <c r="K2076" s="24" t="s">
        <v>3912</v>
      </c>
      <c r="L2076" s="22" t="s">
        <v>10</v>
      </c>
      <c r="M2076" s="28" t="s">
        <v>51</v>
      </c>
      <c r="N2076" s="28" t="s">
        <v>51</v>
      </c>
    </row>
    <row r="2077" spans="1:14" x14ac:dyDescent="0.15">
      <c r="A2077" s="23" t="str">
        <f>HYPERLINK("https://www.spark-marketing.ru/Card/Person/4374689", "ФКУ ЛИУ-9 ГУФСИН РОССИИ ПО ЧЕЛЯБИНСКОЙ ОБЛАСТИ")</f>
        <v>ФКУ ЛИУ-9 ГУФСИН РОССИИ ПО ЧЕЛЯБИНСКОЙ ОБЛАСТИ</v>
      </c>
      <c r="B2077" s="24" t="s">
        <v>3913</v>
      </c>
      <c r="C2077" s="25">
        <v>30960</v>
      </c>
      <c r="D2077" s="22" t="s">
        <v>3914</v>
      </c>
      <c r="E2077" s="22" t="s">
        <v>468</v>
      </c>
      <c r="F2077" s="23" t="str">
        <f>HYPERLINK("https://www.spark-marketing.ru/Card/Lot/73815674", "Оказание трансп. услуг по доставке продуктов питания, по маршруту г. Бакал- г. Челябинск- г. Бакал, 2 усл. ед")</f>
        <v>Оказание трансп. услуг по доставке продуктов питания, по маршруту г. Бакал- г. Челябинск- г. Бакал, 2 усл. ед</v>
      </c>
      <c r="G2077" s="22" t="s">
        <v>469</v>
      </c>
      <c r="H2077" s="22" t="s">
        <v>3915</v>
      </c>
      <c r="I2077" s="26">
        <v>43731.570474537002</v>
      </c>
      <c r="J2077" s="28" t="s">
        <v>51</v>
      </c>
      <c r="K2077" s="28" t="s">
        <v>51</v>
      </c>
      <c r="L2077" s="28" t="s">
        <v>51</v>
      </c>
      <c r="M2077" s="28" t="s">
        <v>51</v>
      </c>
      <c r="N2077" s="28" t="s">
        <v>51</v>
      </c>
    </row>
    <row r="2078" spans="1:14" x14ac:dyDescent="0.15">
      <c r="A2078" s="23" t="str">
        <f>HYPERLINK("https://www.spark-marketing.ru/Card/Person/143522", "КЕМЕРОВСКАЯ ТАМОЖНЯ")</f>
        <v>КЕМЕРОВСКАЯ ТАМОЖНЯ</v>
      </c>
      <c r="B2078" s="24" t="s">
        <v>3916</v>
      </c>
      <c r="C2078" s="25">
        <v>119000</v>
      </c>
      <c r="D2078" s="22" t="s">
        <v>3917</v>
      </c>
      <c r="E2078" s="22" t="s">
        <v>355</v>
      </c>
      <c r="F2078" s="23" t="str">
        <f>HYPERLINK("https://www.spark-marketing.ru/Card/Lot/73809732", "Услуги по техническому обслуживанию систем бесперебойного гарантированного электроснабжения (источников бесперебойного питания) Кемеровской таможни")</f>
        <v>Услуги по техническому обслуживанию систем бесперебойного гарантированного электроснабжения (источников бесперебойного питания) Кемеровской таможни</v>
      </c>
      <c r="G2078" s="22" t="s">
        <v>304</v>
      </c>
      <c r="H2078" s="22" t="s">
        <v>1154</v>
      </c>
      <c r="I2078" s="26">
        <v>43731.557638888902</v>
      </c>
      <c r="J2078" s="28" t="s">
        <v>51</v>
      </c>
      <c r="K2078" s="28" t="s">
        <v>51</v>
      </c>
      <c r="L2078" s="28" t="s">
        <v>51</v>
      </c>
      <c r="M2078" s="28" t="s">
        <v>51</v>
      </c>
      <c r="N2078" s="28" t="s">
        <v>51</v>
      </c>
    </row>
    <row r="2079" spans="1:14" ht="12.75" hidden="1" outlineLevel="1" x14ac:dyDescent="0.2">
      <c r="A2079" s="23" t="str">
        <f>HYPERLINK("https://www.spark-marketing.ru/Card/Person/143522", "КЕМЕРОВСКАЯ ТАМОЖНЯ")</f>
        <v>КЕМЕРОВСКАЯ ТАМОЖНЯ</v>
      </c>
      <c r="B2079" s="24" t="s">
        <v>3916</v>
      </c>
      <c r="C2079" s="25">
        <v>119000</v>
      </c>
      <c r="D2079" s="22" t="s">
        <v>3917</v>
      </c>
      <c r="E2079" s="22" t="s">
        <v>355</v>
      </c>
      <c r="F2079" s="23" t="str">
        <f>HYPERLINK("https://www.spark-marketing.ru/Card/Lot/73809732", "Услуги по техническому обслуживанию систем бесперебойного гарантированного электроснабжения (источников бесперебойного питания) Кемеровской таможни")</f>
        <v>Услуги по техническому обслуживанию систем бесперебойного гарантированного электроснабжения (источников бесперебойного питания) Кемеровской таможни</v>
      </c>
      <c r="G2079" s="22" t="s">
        <v>304</v>
      </c>
      <c r="H2079" s="22" t="s">
        <v>1154</v>
      </c>
      <c r="I2079" s="26">
        <v>43731.557638888902</v>
      </c>
      <c r="J2079" s="23" t="str">
        <f>HYPERLINK("https://www.spark-marketing.ru/Card/Person/4925186", "АО ""АБСОЛЮТНЫЕ ТЕХНОЛОГИИ""")</f>
        <v>АО "АБСОЛЮТНЫЕ ТЕХНОЛОГИИ"</v>
      </c>
      <c r="K2079" s="24" t="s">
        <v>3918</v>
      </c>
      <c r="L2079" s="22" t="s">
        <v>10</v>
      </c>
      <c r="M2079" s="25">
        <v>117810</v>
      </c>
      <c r="N2079" s="27">
        <v>0.01</v>
      </c>
    </row>
    <row r="2080" spans="1:14" hidden="1" outlineLevel="1" x14ac:dyDescent="0.2">
      <c r="A2080" s="23" t="str">
        <f>HYPERLINK("https://www.spark-marketing.ru/Card/Person/143522", "КЕМЕРОВСКАЯ ТАМОЖНЯ")</f>
        <v>КЕМЕРОВСКАЯ ТАМОЖНЯ</v>
      </c>
      <c r="B2080" s="24" t="s">
        <v>3916</v>
      </c>
      <c r="C2080" s="25">
        <v>119000</v>
      </c>
      <c r="D2080" s="22" t="s">
        <v>3917</v>
      </c>
      <c r="E2080" s="22" t="s">
        <v>355</v>
      </c>
      <c r="F2080" s="23" t="str">
        <f>HYPERLINK("https://www.spark-marketing.ru/Card/Lot/73809732", "Услуги по техническому обслуживанию систем бесперебойного гарантированного электроснабжения (источников бесперебойного питания) Кемеровской таможни")</f>
        <v>Услуги по техническому обслуживанию систем бесперебойного гарантированного электроснабжения (источников бесперебойного питания) Кемеровской таможни</v>
      </c>
      <c r="G2080" s="22" t="s">
        <v>304</v>
      </c>
      <c r="H2080" s="22" t="s">
        <v>1154</v>
      </c>
      <c r="I2080" s="26">
        <v>43731.557638888902</v>
      </c>
      <c r="J2080" s="23" t="str">
        <f>HYPERLINK("https://www.spark-marketing.ru/Card/Person/6447662", "ООО ""ФОКС-ПРО""")</f>
        <v>ООО "ФОКС-ПРО"</v>
      </c>
      <c r="K2080" s="24" t="s">
        <v>3919</v>
      </c>
      <c r="L2080" s="28" t="s">
        <v>51</v>
      </c>
      <c r="M2080" s="25">
        <v>118405</v>
      </c>
      <c r="N2080" s="27">
        <v>5.0000000000000001E-3</v>
      </c>
    </row>
    <row r="2081" spans="1:14" x14ac:dyDescent="0.15">
      <c r="A2081" s="23" t="str">
        <f>HYPERLINK("https://www.spark-marketing.ru/Card/Person/59200", "МБДОУ - ДЕТСКИЙ САД № 9 ""ЗВЕЗДОЧКА""")</f>
        <v>МБДОУ - ДЕТСКИЙ САД № 9 "ЗВЕЗДОЧКА"</v>
      </c>
      <c r="B2081" s="24" t="s">
        <v>3920</v>
      </c>
      <c r="C2081" s="25">
        <v>18351956</v>
      </c>
      <c r="D2081" s="22" t="s">
        <v>3921</v>
      </c>
      <c r="E2081" s="22" t="s">
        <v>48</v>
      </c>
      <c r="F2081" s="23" t="str">
        <f>HYPERLINK("https://www.spark-marketing.ru/Card/Lot/73832936",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081" s="22" t="s">
        <v>49</v>
      </c>
      <c r="H2081" s="22" t="s">
        <v>2495</v>
      </c>
      <c r="I2081" s="26">
        <v>43731.581342592603</v>
      </c>
      <c r="J2081" s="28" t="s">
        <v>51</v>
      </c>
      <c r="K2081" s="28" t="s">
        <v>51</v>
      </c>
      <c r="L2081" s="28" t="s">
        <v>51</v>
      </c>
      <c r="M2081" s="28" t="s">
        <v>51</v>
      </c>
      <c r="N2081" s="28" t="s">
        <v>51</v>
      </c>
    </row>
    <row r="2082" spans="1:14" x14ac:dyDescent="0.15">
      <c r="A2082" s="23" t="str">
        <f>HYPERLINK("https://www.spark-marketing.ru/Card/Person/84364", "МБДОУ ДЕТСКИЙ САД №7 ""СВЕТЛЯЧОК""")</f>
        <v>МБДОУ ДЕТСКИЙ САД №7 "СВЕТЛЯЧОК"</v>
      </c>
      <c r="B2082" s="24" t="s">
        <v>3922</v>
      </c>
      <c r="C2082" s="25">
        <v>8867648</v>
      </c>
      <c r="D2082" s="22" t="s">
        <v>3923</v>
      </c>
      <c r="E2082" s="22" t="s">
        <v>48</v>
      </c>
      <c r="F2082" s="23" t="str">
        <f>HYPERLINK("https://www.spark-marketing.ru/Card/Lot/73832896",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082" s="22" t="s">
        <v>49</v>
      </c>
      <c r="H2082" s="22" t="s">
        <v>2508</v>
      </c>
      <c r="I2082" s="26">
        <v>43731.536215277803</v>
      </c>
      <c r="J2082" s="28" t="s">
        <v>51</v>
      </c>
      <c r="K2082" s="28" t="s">
        <v>51</v>
      </c>
      <c r="L2082" s="28" t="s">
        <v>51</v>
      </c>
      <c r="M2082" s="28" t="s">
        <v>51</v>
      </c>
      <c r="N2082" s="28" t="s">
        <v>51</v>
      </c>
    </row>
    <row r="2083" spans="1:14" x14ac:dyDescent="0.15">
      <c r="A2083" s="23" t="str">
        <f>HYPERLINK("https://www.spark-marketing.ru/Card/Person/1069213", "ОТДЕЛ МВД РОССИИ ПО КОТОВСКОМУ РАЙОНУ")</f>
        <v>ОТДЕЛ МВД РОССИИ ПО КОТОВСКОМУ РАЙОНУ</v>
      </c>
      <c r="B2083" s="24" t="s">
        <v>3845</v>
      </c>
      <c r="C2083" s="25">
        <v>555000</v>
      </c>
      <c r="D2083" s="22" t="s">
        <v>3924</v>
      </c>
      <c r="E2083" s="22" t="s">
        <v>48</v>
      </c>
      <c r="F2083" s="23" t="str">
        <f>HYPERLINK("https://www.spark-marketing.ru/Card/Lot/73830102", "Услуги по обеспечению горячим питанием лиц, содержащихся в ИВС и КАЗ")</f>
        <v>Услуги по обеспечению горячим питанием лиц, содержащихся в ИВС и КАЗ</v>
      </c>
      <c r="G2083" s="22" t="s">
        <v>158</v>
      </c>
      <c r="H2083" s="22" t="s">
        <v>158</v>
      </c>
      <c r="I2083" s="26">
        <v>43731.506249999999</v>
      </c>
      <c r="J2083" s="28" t="s">
        <v>51</v>
      </c>
      <c r="K2083" s="28" t="s">
        <v>51</v>
      </c>
      <c r="L2083" s="28" t="s">
        <v>51</v>
      </c>
      <c r="M2083" s="28" t="s">
        <v>51</v>
      </c>
      <c r="N2083" s="28" t="s">
        <v>51</v>
      </c>
    </row>
    <row r="2084" spans="1:14" x14ac:dyDescent="0.15">
      <c r="A2084" s="23" t="str">
        <f>HYPERLINK("https://www.spark-marketing.ru/Card/Person/85702", "МБДОУ ""ДЕТСКИЙ САД № 1 ""БЕРЁЗКА"" КОМБИНИРОВАННОГО ВИДА""")</f>
        <v>МБДОУ "ДЕТСКИЙ САД № 1 "БЕРЁЗКА" КОМБИНИРОВАННОГО ВИДА"</v>
      </c>
      <c r="B2084" s="24" t="s">
        <v>3925</v>
      </c>
      <c r="C2084" s="25">
        <v>26170462</v>
      </c>
      <c r="D2084" s="22" t="s">
        <v>3926</v>
      </c>
      <c r="E2084" s="22" t="s">
        <v>48</v>
      </c>
      <c r="F2084" s="23" t="str">
        <f>HYPERLINK("https://www.spark-marketing.ru/Card/Lot/73832857",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</v>
      </c>
      <c r="G2084" s="22" t="s">
        <v>49</v>
      </c>
      <c r="H2084" s="22" t="s">
        <v>2495</v>
      </c>
      <c r="I2084" s="26">
        <v>43731.5140509259</v>
      </c>
      <c r="J2084" s="28" t="s">
        <v>51</v>
      </c>
      <c r="K2084" s="28" t="s">
        <v>51</v>
      </c>
      <c r="L2084" s="28" t="s">
        <v>51</v>
      </c>
      <c r="M2084" s="28" t="s">
        <v>51</v>
      </c>
      <c r="N2084" s="28" t="s">
        <v>51</v>
      </c>
    </row>
    <row r="2085" spans="1:14" x14ac:dyDescent="0.15">
      <c r="A2085" s="23" t="str">
        <f>HYPERLINK("https://www.spark-marketing.ru/Card/Person/104026", "МБДОУ ""ДЕТСКИЙ САД №32 ОБЩЕРАЗВИВАЮЩЕГО ВИДА""")</f>
        <v>МБДОУ "ДЕТСКИЙ САД №32 ОБЩЕРАЗВИВАЮЩЕГО ВИДА"</v>
      </c>
      <c r="B2085" s="24" t="s">
        <v>3927</v>
      </c>
      <c r="C2085" s="25">
        <v>9589090</v>
      </c>
      <c r="D2085" s="22" t="s">
        <v>3928</v>
      </c>
      <c r="E2085" s="22" t="s">
        <v>48</v>
      </c>
      <c r="F2085" s="23" t="str">
        <f>HYPERLINK("https://www.spark-marketing.ru/Card/Lot/73832895",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</v>
      </c>
      <c r="G2085" s="22" t="s">
        <v>49</v>
      </c>
      <c r="H2085" s="22" t="s">
        <v>2495</v>
      </c>
      <c r="I2085" s="26">
        <v>43731.535983796297</v>
      </c>
      <c r="J2085" s="28" t="s">
        <v>51</v>
      </c>
      <c r="K2085" s="28" t="s">
        <v>51</v>
      </c>
      <c r="L2085" s="28" t="s">
        <v>51</v>
      </c>
      <c r="M2085" s="28" t="s">
        <v>51</v>
      </c>
      <c r="N2085" s="28" t="s">
        <v>51</v>
      </c>
    </row>
    <row r="2086" spans="1:14" x14ac:dyDescent="0.15">
      <c r="A2086" s="23" t="str">
        <f>HYPERLINK("https://www.spark-marketing.ru/Card/Person/104025", "МБДОУ ""ДЕТСКИЙ САД № 27""")</f>
        <v>МБДОУ "ДЕТСКИЙ САД № 27"</v>
      </c>
      <c r="B2086" s="24" t="s">
        <v>3929</v>
      </c>
      <c r="C2086" s="25">
        <v>26650780</v>
      </c>
      <c r="D2086" s="22" t="s">
        <v>3930</v>
      </c>
      <c r="E2086" s="22" t="s">
        <v>48</v>
      </c>
      <c r="F2086" s="23" t="str">
        <f>HYPERLINK("https://www.spark-marketing.ru/Card/Lot/73831361",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086" s="22" t="s">
        <v>49</v>
      </c>
      <c r="H2086" s="22" t="s">
        <v>2495</v>
      </c>
      <c r="I2086" s="26">
        <v>43731.5137384259</v>
      </c>
      <c r="J2086" s="28" t="s">
        <v>51</v>
      </c>
      <c r="K2086" s="28" t="s">
        <v>51</v>
      </c>
      <c r="L2086" s="28" t="s">
        <v>51</v>
      </c>
      <c r="M2086" s="28" t="s">
        <v>51</v>
      </c>
      <c r="N2086" s="28" t="s">
        <v>51</v>
      </c>
    </row>
    <row r="2087" spans="1:14" x14ac:dyDescent="0.15">
      <c r="A2087" s="23" t="str">
        <f>HYPERLINK("https://www.spark-marketing.ru/Card/Person/4375433", "МИНСЕЛЬХОЗ РЕСПУБЛИКИ АЛТАЙ")</f>
        <v>МИНСЕЛЬХОЗ РЕСПУБЛИКИ АЛТАЙ</v>
      </c>
      <c r="B2087" s="24" t="s">
        <v>3931</v>
      </c>
      <c r="C2087" s="25">
        <v>310000</v>
      </c>
      <c r="D2087" s="22" t="s">
        <v>3932</v>
      </c>
      <c r="E2087" s="22" t="s">
        <v>67</v>
      </c>
      <c r="F2087" s="23" t="str">
        <f>HYPERLINK("https://www.spark-marketing.ru/Card/Lot/73807799", "Оказание услуги по проведению мероприятия ""День работника сельского хозяйства"" для нужд Министерства сельского хозяйства Республики Алтай (организация питания)")</f>
        <v>Оказание услуги по проведению мероприятия "День работника сельского хозяйства" для нужд Министерства сельского хозяйства Республики Алтай (организация питания)</v>
      </c>
      <c r="G2087" s="22" t="s">
        <v>1141</v>
      </c>
      <c r="H2087" s="22" t="s">
        <v>1142</v>
      </c>
      <c r="I2087" s="26">
        <v>43731.504861111098</v>
      </c>
      <c r="J2087" s="28" t="s">
        <v>51</v>
      </c>
      <c r="K2087" s="28" t="s">
        <v>51</v>
      </c>
      <c r="L2087" s="28" t="s">
        <v>51</v>
      </c>
      <c r="M2087" s="28" t="s">
        <v>51</v>
      </c>
      <c r="N2087" s="28" t="s">
        <v>51</v>
      </c>
    </row>
    <row r="2088" spans="1:14" ht="12.75" hidden="1" outlineLevel="1" x14ac:dyDescent="0.2">
      <c r="A2088" s="23" t="str">
        <f>HYPERLINK("https://www.spark-marketing.ru/Card/Person/4375433", "МИНСЕЛЬХОЗ РЕСПУБЛИКИ АЛТАЙ")</f>
        <v>МИНСЕЛЬХОЗ РЕСПУБЛИКИ АЛТАЙ</v>
      </c>
      <c r="B2088" s="24" t="s">
        <v>3931</v>
      </c>
      <c r="C2088" s="25">
        <v>310000</v>
      </c>
      <c r="D2088" s="22" t="s">
        <v>3932</v>
      </c>
      <c r="E2088" s="22" t="s">
        <v>67</v>
      </c>
      <c r="F2088" s="23" t="str">
        <f>HYPERLINK("https://www.spark-marketing.ru/Card/Lot/73807799", "Оказание услуги по проведению мероприятия ""День работника сельского хозяйства"" для нужд Министерства сельского хозяйства Республики Алтай (организация питания)")</f>
        <v>Оказание услуги по проведению мероприятия "День работника сельского хозяйства" для нужд Министерства сельского хозяйства Республики Алтай (организация питания)</v>
      </c>
      <c r="G2088" s="22" t="s">
        <v>1141</v>
      </c>
      <c r="H2088" s="22" t="s">
        <v>1142</v>
      </c>
      <c r="I2088" s="26">
        <v>43731.504861111098</v>
      </c>
      <c r="J2088" s="23" t="str">
        <f>HYPERLINK("https://www.spark-marketing.ru/Card/Person/4952148", "Тектиев Эрбол Байрамович")</f>
        <v>Тектиев Эрбол Байрамович</v>
      </c>
      <c r="K2088" s="24" t="s">
        <v>2029</v>
      </c>
      <c r="L2088" s="22" t="s">
        <v>10</v>
      </c>
      <c r="M2088" s="25">
        <v>215450</v>
      </c>
      <c r="N2088" s="27">
        <v>0.30499999999999999</v>
      </c>
    </row>
    <row r="2089" spans="1:14" hidden="1" outlineLevel="1" x14ac:dyDescent="0.2">
      <c r="A2089" s="23" t="str">
        <f>HYPERLINK("https://www.spark-marketing.ru/Card/Person/4375433", "МИНСЕЛЬХОЗ РЕСПУБЛИКИ АЛТАЙ")</f>
        <v>МИНСЕЛЬХОЗ РЕСПУБЛИКИ АЛТАЙ</v>
      </c>
      <c r="B2089" s="24" t="s">
        <v>3931</v>
      </c>
      <c r="C2089" s="25">
        <v>310000</v>
      </c>
      <c r="D2089" s="22" t="s">
        <v>3932</v>
      </c>
      <c r="E2089" s="22" t="s">
        <v>67</v>
      </c>
      <c r="F2089" s="23" t="str">
        <f>HYPERLINK("https://www.spark-marketing.ru/Card/Lot/73807799", "Оказание услуги по проведению мероприятия ""День работника сельского хозяйства"" для нужд Министерства сельского хозяйства Республики Алтай (организация питания)")</f>
        <v>Оказание услуги по проведению мероприятия "День работника сельского хозяйства" для нужд Министерства сельского хозяйства Республики Алтай (организация питания)</v>
      </c>
      <c r="G2089" s="22" t="s">
        <v>1141</v>
      </c>
      <c r="H2089" s="22" t="s">
        <v>1142</v>
      </c>
      <c r="I2089" s="26">
        <v>43731.504861111098</v>
      </c>
      <c r="J2089" s="23" t="str">
        <f>HYPERLINK("https://www.spark-marketing.ru/Card/Person/6482581", "ООО ""ФУД СЕРВИС АЛТАЙ""")</f>
        <v>ООО "ФУД СЕРВИС АЛТАЙ"</v>
      </c>
      <c r="K2089" s="24" t="s">
        <v>3933</v>
      </c>
      <c r="L2089" s="28" t="s">
        <v>51</v>
      </c>
      <c r="M2089" s="25">
        <v>217000</v>
      </c>
      <c r="N2089" s="27">
        <v>0.3</v>
      </c>
    </row>
    <row r="2090" spans="1:14" hidden="1" outlineLevel="1" x14ac:dyDescent="0.2">
      <c r="A2090" s="23" t="str">
        <f>HYPERLINK("https://www.spark-marketing.ru/Card/Person/4375433", "МИНСЕЛЬХОЗ РЕСПУБЛИКИ АЛТАЙ")</f>
        <v>МИНСЕЛЬХОЗ РЕСПУБЛИКИ АЛТАЙ</v>
      </c>
      <c r="B2090" s="24" t="s">
        <v>3931</v>
      </c>
      <c r="C2090" s="25">
        <v>310000</v>
      </c>
      <c r="D2090" s="22" t="s">
        <v>3932</v>
      </c>
      <c r="E2090" s="22" t="s">
        <v>67</v>
      </c>
      <c r="F2090" s="23" t="str">
        <f>HYPERLINK("https://www.spark-marketing.ru/Card/Lot/73807799", "Оказание услуги по проведению мероприятия ""День работника сельского хозяйства"" для нужд Министерства сельского хозяйства Республики Алтай (организация питания)")</f>
        <v>Оказание услуги по проведению мероприятия "День работника сельского хозяйства" для нужд Министерства сельского хозяйства Республики Алтай (организация питания)</v>
      </c>
      <c r="G2090" s="22" t="s">
        <v>1141</v>
      </c>
      <c r="H2090" s="22" t="s">
        <v>1142</v>
      </c>
      <c r="I2090" s="26">
        <v>43731.504861111098</v>
      </c>
      <c r="J2090" s="23" t="str">
        <f>HYPERLINK("https://www.spark-marketing.ru/Card/Person/930125", "ООО ""ИНВЕСТ-РЕЗЕРВ""")</f>
        <v>ООО "ИНВЕСТ-РЕЗЕРВ"</v>
      </c>
      <c r="K2090" s="24" t="s">
        <v>3934</v>
      </c>
      <c r="L2090" s="28" t="s">
        <v>51</v>
      </c>
      <c r="M2090" s="25">
        <v>289850</v>
      </c>
      <c r="N2090" s="27">
        <v>6.5000000000000002E-2</v>
      </c>
    </row>
    <row r="2091" spans="1:14" x14ac:dyDescent="0.15">
      <c r="A209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091" s="24" t="s">
        <v>3255</v>
      </c>
      <c r="C2091" s="25">
        <v>3802142.36</v>
      </c>
      <c r="D2091" s="22" t="s">
        <v>3935</v>
      </c>
      <c r="E2091" s="22" t="s">
        <v>86</v>
      </c>
      <c r="F2091" s="23" t="str">
        <f>HYPERLINK("https://www.spark-marketing.ru/Card/Lot/73804878", "Оказание услуг по приемке, хранению, доставке и отпуску лекарственных препаратов, изделий медицинского назначения, специализированных продуктов лечебного питания для оказания отдельным категориям граждан социальной услуги по обеспечению лекарственным...")</f>
        <v>Оказание услуг по приемке, хранению, доставке и отпуску лекарственных препаратов, изделий медицинского назначения, специализированных продуктов лечебного питания для оказания отдельным категориям граждан социальной услуги по обеспечению лекарственным...</v>
      </c>
      <c r="G2091" s="22" t="s">
        <v>210</v>
      </c>
      <c r="H2091" s="22" t="s">
        <v>210</v>
      </c>
      <c r="I2091" s="26">
        <v>43731.502083333296</v>
      </c>
      <c r="J2091" s="23" t="str">
        <f>HYPERLINK("https://www.spark-marketing.ru/Card/Person/264137", "ОАО ""АМУРФАРМАЦИЯ""")</f>
        <v>ОАО "АМУРФАРМАЦИЯ"</v>
      </c>
      <c r="K2091" s="24" t="s">
        <v>3936</v>
      </c>
      <c r="L2091" s="22" t="s">
        <v>10</v>
      </c>
      <c r="M2091" s="28" t="s">
        <v>51</v>
      </c>
      <c r="N2091" s="28" t="s">
        <v>51</v>
      </c>
    </row>
    <row r="2092" spans="1:14" x14ac:dyDescent="0.15">
      <c r="A2092" s="23" t="str">
        <f>HYPERLINK("https://www.spark-marketing.ru/Card/Person/1751878", "УМВД РОССИИ ПО ТОМСКОЙ ОБЛАСТИ")</f>
        <v>УМВД РОССИИ ПО ТОМСКОЙ ОБЛАСТИ</v>
      </c>
      <c r="B2092" s="24" t="s">
        <v>1665</v>
      </c>
      <c r="C2092" s="25">
        <v>900000</v>
      </c>
      <c r="D2092" s="22" t="s">
        <v>3937</v>
      </c>
      <c r="E2092" s="22" t="s">
        <v>48</v>
      </c>
      <c r="F2092" s="23" t="str">
        <f>HYPERLINK("https://www.spark-marketing.ru/Card/Lot/73805714", "Оказание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области")</f>
        <v>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</v>
      </c>
      <c r="G2092" s="22" t="s">
        <v>149</v>
      </c>
      <c r="H2092" s="22" t="s">
        <v>496</v>
      </c>
      <c r="I2092" s="26">
        <v>43731.458333333299</v>
      </c>
      <c r="J2092" s="28" t="s">
        <v>51</v>
      </c>
      <c r="K2092" s="28" t="s">
        <v>51</v>
      </c>
      <c r="L2092" s="28" t="s">
        <v>51</v>
      </c>
      <c r="M2092" s="28" t="s">
        <v>51</v>
      </c>
      <c r="N2092" s="28" t="s">
        <v>51</v>
      </c>
    </row>
    <row r="2093" spans="1:14" ht="12.75" hidden="1" outlineLevel="1" x14ac:dyDescent="0.2">
      <c r="A2093" s="23" t="str">
        <f>HYPERLINK("https://www.spark-marketing.ru/Card/Person/1751878", "УМВД РОССИИ ПО ТОМСКОЙ ОБЛАСТИ")</f>
        <v>УМВД РОССИИ ПО ТОМСКОЙ ОБЛАСТИ</v>
      </c>
      <c r="B2093" s="24" t="s">
        <v>1665</v>
      </c>
      <c r="C2093" s="25">
        <v>900000</v>
      </c>
      <c r="D2093" s="22" t="s">
        <v>3937</v>
      </c>
      <c r="E2093" s="22" t="s">
        <v>48</v>
      </c>
      <c r="F2093" s="23" t="str">
        <f>HYPERLINK("https://www.spark-marketing.ru/Card/Lot/73805714", "Оказание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области")</f>
        <v>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</v>
      </c>
      <c r="G2093" s="22" t="s">
        <v>149</v>
      </c>
      <c r="H2093" s="22" t="s">
        <v>496</v>
      </c>
      <c r="I2093" s="26">
        <v>43731.458333333299</v>
      </c>
      <c r="J2093" s="23" t="str">
        <f>HYPERLINK("https://www.spark-marketing.ru/Card/Person/839334", "ООО ""БЕЗЕ""")</f>
        <v>ООО "БЕЗЕ"</v>
      </c>
      <c r="K2093" s="24" t="s">
        <v>3938</v>
      </c>
      <c r="L2093" s="22" t="s">
        <v>10</v>
      </c>
      <c r="M2093" s="25">
        <v>747.11</v>
      </c>
      <c r="N2093" s="27">
        <v>0.99916987777777777</v>
      </c>
    </row>
    <row r="2094" spans="1:14" hidden="1" outlineLevel="1" x14ac:dyDescent="0.2">
      <c r="A2094" s="23" t="str">
        <f>HYPERLINK("https://www.spark-marketing.ru/Card/Person/1751878", "УМВД РОССИИ ПО ТОМСКОЙ ОБЛАСТИ")</f>
        <v>УМВД РОССИИ ПО ТОМСКОЙ ОБЛАСТИ</v>
      </c>
      <c r="B2094" s="24" t="s">
        <v>1665</v>
      </c>
      <c r="C2094" s="25">
        <v>900000</v>
      </c>
      <c r="D2094" s="22" t="s">
        <v>3937</v>
      </c>
      <c r="E2094" s="22" t="s">
        <v>48</v>
      </c>
      <c r="F2094" s="23" t="str">
        <f>HYPERLINK("https://www.spark-marketing.ru/Card/Lot/73805714", "Оказание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области")</f>
        <v>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</v>
      </c>
      <c r="G2094" s="22" t="s">
        <v>149</v>
      </c>
      <c r="H2094" s="22" t="s">
        <v>496</v>
      </c>
      <c r="I2094" s="26">
        <v>43731.458333333299</v>
      </c>
      <c r="J2094" s="23" t="str">
        <f>HYPERLINK("https://www.spark-marketing.ru/Card/Person/1510007", "ООО ""УКП""")</f>
        <v>ООО "УКП"</v>
      </c>
      <c r="K2094" s="24" t="s">
        <v>3939</v>
      </c>
      <c r="L2094" s="28" t="s">
        <v>51</v>
      </c>
      <c r="M2094" s="25">
        <v>753</v>
      </c>
      <c r="N2094" s="27">
        <v>0.99916333333333329</v>
      </c>
    </row>
    <row r="2095" spans="1:14" x14ac:dyDescent="0.15">
      <c r="A2095" s="23" t="str">
        <f>HYPERLINK("https://www.spark-marketing.ru/Card/Person/85642", "МБДОУ ""ДЕТСКИЙ САД № 101""")</f>
        <v>МБДОУ "ДЕТСКИЙ САД № 101"</v>
      </c>
      <c r="B2095" s="24" t="s">
        <v>3940</v>
      </c>
      <c r="C2095" s="25">
        <v>5919772</v>
      </c>
      <c r="D2095" s="22" t="s">
        <v>3941</v>
      </c>
      <c r="E2095" s="22" t="s">
        <v>48</v>
      </c>
      <c r="F2095" s="23" t="str">
        <f>HYPERLINK("https://www.spark-marketing.ru/Card/Lot/73831364",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095" s="22" t="s">
        <v>49</v>
      </c>
      <c r="H2095" s="22" t="s">
        <v>2508</v>
      </c>
      <c r="I2095" s="26">
        <v>43731.463148148097</v>
      </c>
      <c r="J2095" s="28" t="s">
        <v>51</v>
      </c>
      <c r="K2095" s="28" t="s">
        <v>51</v>
      </c>
      <c r="L2095" s="28" t="s">
        <v>51</v>
      </c>
      <c r="M2095" s="28" t="s">
        <v>51</v>
      </c>
      <c r="N2095" s="28" t="s">
        <v>51</v>
      </c>
    </row>
    <row r="2096" spans="1:14" x14ac:dyDescent="0.15">
      <c r="A2096" s="23" t="str">
        <f>HYPERLINK("https://www.spark-marketing.ru/Card/Person/26294", "ГБУЗ МО ""ПГБ №2""")</f>
        <v>ГБУЗ МО "ПГБ №2"</v>
      </c>
      <c r="B2096" s="24" t="s">
        <v>368</v>
      </c>
      <c r="C2096" s="25">
        <v>2623485.7000000002</v>
      </c>
      <c r="D2096" s="22" t="s">
        <v>3942</v>
      </c>
      <c r="E2096" s="22" t="s">
        <v>48</v>
      </c>
      <c r="F2096" s="23" t="str">
        <f>HYPERLINK("https://www.spark-marketing.ru/Card/Lot/73832912",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2096" s="22" t="s">
        <v>49</v>
      </c>
      <c r="H2096" s="22" t="s">
        <v>50</v>
      </c>
      <c r="I2096" s="26">
        <v>43731.483414351896</v>
      </c>
      <c r="J2096" s="28" t="s">
        <v>51</v>
      </c>
      <c r="K2096" s="28" t="s">
        <v>51</v>
      </c>
      <c r="L2096" s="28" t="s">
        <v>51</v>
      </c>
      <c r="M2096" s="28" t="s">
        <v>51</v>
      </c>
      <c r="N2096" s="28" t="s">
        <v>51</v>
      </c>
    </row>
    <row r="2097" spans="1:14" x14ac:dyDescent="0.15">
      <c r="A2097" s="23" t="str">
        <f>HYPERLINK("https://www.spark-marketing.ru/Card/Person/1751878", "УМВД РОССИИ ПО ТОМСКОЙ ОБЛАСТИ")</f>
        <v>УМВД РОССИИ ПО ТОМСКОЙ ОБЛАСТИ</v>
      </c>
      <c r="B2097" s="24" t="s">
        <v>1665</v>
      </c>
      <c r="C2097" s="25">
        <v>500000</v>
      </c>
      <c r="D2097" s="22" t="s">
        <v>3943</v>
      </c>
      <c r="E2097" s="22" t="s">
        <v>48</v>
      </c>
      <c r="F2097" s="23" t="str">
        <f>HYPERLINK("https://www.spark-marketing.ru/Card/Lot/73805713", "Оказание услуг по организации и доставке ежедневного, трехразового, горячего питания лиц, содержащихся в ЦВСИГ УМВД России по Томской области")</f>
        <v>Оказание услуг по организации и доставке ежедневного, трехразового, горячего питания лиц, содержащихся в ЦВСИГ УМВД России по Томской области</v>
      </c>
      <c r="G2097" s="22" t="s">
        <v>149</v>
      </c>
      <c r="H2097" s="22" t="s">
        <v>496</v>
      </c>
      <c r="I2097" s="26">
        <v>43731.461111111101</v>
      </c>
      <c r="J2097" s="23" t="str">
        <f>HYPERLINK("https://www.spark-marketing.ru/Card/Person/839334", "ООО ""БЕЗЕ""")</f>
        <v>ООО "БЕЗЕ"</v>
      </c>
      <c r="K2097" s="24" t="s">
        <v>3938</v>
      </c>
      <c r="L2097" s="22" t="s">
        <v>10</v>
      </c>
      <c r="M2097" s="28" t="s">
        <v>51</v>
      </c>
      <c r="N2097" s="28" t="s">
        <v>51</v>
      </c>
    </row>
    <row r="2098" spans="1:14" x14ac:dyDescent="0.15">
      <c r="A2098" s="23" t="str">
        <f>HYPERLINK("https://www.spark-marketing.ru/Card/Person/150477", "ОТДЕЛ МВД РОССИИ ПО КРАСНОАРМЕЙСКОМУ РАЙОНУ ЧЕЛЯБИНСКОЙ ОБЛАСТИ")</f>
        <v>ОТДЕЛ МВД РОССИИ ПО КРАСНОАРМЕЙСКОМУ РАЙОНУ ЧЕЛЯБИНСКОЙ ОБЛАСТИ</v>
      </c>
      <c r="B2098" s="24" t="s">
        <v>3944</v>
      </c>
      <c r="C2098" s="25">
        <v>1380000</v>
      </c>
      <c r="D2098" s="22" t="s">
        <v>3945</v>
      </c>
      <c r="E2098" s="22" t="s">
        <v>67</v>
      </c>
      <c r="F2098" s="23" t="str">
        <f>HYPERLINK("https://www.spark-marketing.ru/Card/Lot/73832464", "питание лиц, содержащихся в ИВС")</f>
        <v>питание лиц, содержащихся в ИВС</v>
      </c>
      <c r="G2098" s="22" t="s">
        <v>469</v>
      </c>
      <c r="H2098" s="22" t="s">
        <v>3946</v>
      </c>
      <c r="I2098" s="26">
        <v>43731.493333333303</v>
      </c>
      <c r="J2098" s="28" t="s">
        <v>51</v>
      </c>
      <c r="K2098" s="28" t="s">
        <v>51</v>
      </c>
      <c r="L2098" s="28" t="s">
        <v>51</v>
      </c>
      <c r="M2098" s="28" t="s">
        <v>51</v>
      </c>
      <c r="N2098" s="28" t="s">
        <v>51</v>
      </c>
    </row>
    <row r="2099" spans="1:14" x14ac:dyDescent="0.15">
      <c r="A2099" s="23" t="str">
        <f>HYPERLINK("https://www.spark-marketing.ru/Card/Person/4348005", "Адыгейский ПСО МЧС России (ФЛ ФГБУ ""ЮРПСО МЧС России"")")</f>
        <v>Адыгейский ПСО МЧС России (ФЛ ФГБУ "ЮРПСО МЧС России")</v>
      </c>
      <c r="B2099" s="24" t="s">
        <v>1270</v>
      </c>
      <c r="C2099" s="25">
        <v>208800</v>
      </c>
      <c r="D2099" s="22" t="s">
        <v>3947</v>
      </c>
      <c r="E2099" s="22" t="s">
        <v>48</v>
      </c>
      <c r="F2099" s="23" t="str">
        <f>HYPERLINK("https://www.spark-marketing.ru/Card/Lot/73830249", "Услуги по организации и обеспечению питанием спасателей")</f>
        <v>Услуги по организации и обеспечению питанием спасателей</v>
      </c>
      <c r="G2099" s="22" t="s">
        <v>925</v>
      </c>
      <c r="H2099" s="22" t="s">
        <v>926</v>
      </c>
      <c r="I2099" s="26">
        <v>43731.479861111096</v>
      </c>
      <c r="J2099" s="28" t="s">
        <v>51</v>
      </c>
      <c r="K2099" s="28" t="s">
        <v>51</v>
      </c>
      <c r="L2099" s="28" t="s">
        <v>51</v>
      </c>
      <c r="M2099" s="28" t="s">
        <v>51</v>
      </c>
      <c r="N2099" s="28" t="s">
        <v>51</v>
      </c>
    </row>
    <row r="2100" spans="1:14" ht="12.75" hidden="1" outlineLevel="1" x14ac:dyDescent="0.2">
      <c r="A2100" s="23" t="str">
        <f>HYPERLINK("https://www.spark-marketing.ru/Card/Person/4348005", "Адыгейский ПСО МЧС России (ФЛ ФГБУ ""ЮРПСО МЧС России"")")</f>
        <v>Адыгейский ПСО МЧС России (ФЛ ФГБУ "ЮРПСО МЧС России")</v>
      </c>
      <c r="B2100" s="24" t="s">
        <v>1270</v>
      </c>
      <c r="C2100" s="25">
        <v>208800</v>
      </c>
      <c r="D2100" s="22" t="s">
        <v>3947</v>
      </c>
      <c r="E2100" s="22" t="s">
        <v>48</v>
      </c>
      <c r="F2100" s="23" t="str">
        <f>HYPERLINK("https://www.spark-marketing.ru/Card/Lot/73830249", "Услуги по организации и обеспечению питанием спасателей")</f>
        <v>Услуги по организации и обеспечению питанием спасателей</v>
      </c>
      <c r="G2100" s="22" t="s">
        <v>925</v>
      </c>
      <c r="H2100" s="22" t="s">
        <v>926</v>
      </c>
      <c r="I2100" s="26">
        <v>43731.479861111096</v>
      </c>
      <c r="J2100" s="23" t="str">
        <f>HYPERLINK("https://www.spark-marketing.ru/Card/Person/1651533", "Правоторова Юлия Павловна")</f>
        <v>Правоторова Юлия Павловна</v>
      </c>
      <c r="K2100" s="24" t="s">
        <v>3948</v>
      </c>
      <c r="L2100" s="22" t="s">
        <v>10</v>
      </c>
      <c r="M2100" s="25">
        <v>139593.25</v>
      </c>
      <c r="N2100" s="27">
        <v>0.33144995210727968</v>
      </c>
    </row>
    <row r="2101" spans="1:14" hidden="1" outlineLevel="1" x14ac:dyDescent="0.2">
      <c r="A2101" s="23" t="str">
        <f>HYPERLINK("https://www.spark-marketing.ru/Card/Person/4348005", "Адыгейский ПСО МЧС России (ФЛ ФГБУ ""ЮРПСО МЧС России"")")</f>
        <v>Адыгейский ПСО МЧС России (ФЛ ФГБУ "ЮРПСО МЧС России")</v>
      </c>
      <c r="B2101" s="24" t="s">
        <v>1270</v>
      </c>
      <c r="C2101" s="25">
        <v>208800</v>
      </c>
      <c r="D2101" s="22" t="s">
        <v>3947</v>
      </c>
      <c r="E2101" s="22" t="s">
        <v>48</v>
      </c>
      <c r="F2101" s="23" t="str">
        <f>HYPERLINK("https://www.spark-marketing.ru/Card/Lot/73830249", "Услуги по организации и обеспечению питанием спасателей")</f>
        <v>Услуги по организации и обеспечению питанием спасателей</v>
      </c>
      <c r="G2101" s="22" t="s">
        <v>925</v>
      </c>
      <c r="H2101" s="22" t="s">
        <v>926</v>
      </c>
      <c r="I2101" s="26">
        <v>43731.479861111096</v>
      </c>
      <c r="J2101" s="23" t="str">
        <f>HYPERLINK("https://www.spark-marketing.ru/Card/Person/6617631", "Провоторова Мария Кирилловна")</f>
        <v>Провоторова Мария Кирилловна</v>
      </c>
      <c r="K2101" s="24" t="s">
        <v>3949</v>
      </c>
      <c r="L2101" s="28" t="s">
        <v>51</v>
      </c>
      <c r="M2101" s="25">
        <v>139593.25</v>
      </c>
      <c r="N2101" s="27">
        <v>0.33144995210727968</v>
      </c>
    </row>
    <row r="2102" spans="1:14" x14ac:dyDescent="0.15">
      <c r="A2102" s="23" t="str">
        <f>HYPERLINK("https://www.spark-marketing.ru/Card/Person/811837", "ГУ ""ОТДЕЛ МВД РОССИИ ПО БАЛЕЗИНСКОМУ РАЙОНУ""")</f>
        <v>ГУ "ОТДЕЛ МВД РОССИИ ПО БАЛЕЗИНСКОМУ РАЙОНУ"</v>
      </c>
      <c r="B2102" s="24" t="s">
        <v>3950</v>
      </c>
      <c r="C2102" s="25">
        <v>53237.16</v>
      </c>
      <c r="D2102" s="22" t="s">
        <v>3951</v>
      </c>
      <c r="E2102" s="22" t="s">
        <v>48</v>
      </c>
      <c r="F2102" s="23" t="str">
        <f>HYPERLINK("https://www.spark-marketing.ru/Card/Lot/73809468", "Услуги по доставке горячего питания (завтрак, обед, ужин), 230 усл. ед")</f>
        <v>Услуги по доставке горячего питания (завтрак, обед, ужин), 230 усл. ед</v>
      </c>
      <c r="G2102" s="22" t="s">
        <v>852</v>
      </c>
      <c r="H2102" s="22" t="s">
        <v>3952</v>
      </c>
      <c r="I2102" s="26">
        <v>43731.4696527778</v>
      </c>
      <c r="J2102" s="28" t="s">
        <v>51</v>
      </c>
      <c r="K2102" s="28" t="s">
        <v>51</v>
      </c>
      <c r="L2102" s="28" t="s">
        <v>51</v>
      </c>
      <c r="M2102" s="28" t="s">
        <v>51</v>
      </c>
      <c r="N2102" s="28" t="s">
        <v>51</v>
      </c>
    </row>
    <row r="2103" spans="1:14" x14ac:dyDescent="0.15">
      <c r="A2103" s="23" t="str">
        <f>HYPERLINK("https://www.spark-marketing.ru/Card/Person/1027247", "ТОСП Домодедовское УСЗН")</f>
        <v>ТОСП Домодедовское УСЗН</v>
      </c>
      <c r="B2103" s="24" t="s">
        <v>3953</v>
      </c>
      <c r="C2103" s="25">
        <v>21300</v>
      </c>
      <c r="D2103" s="22" t="s">
        <v>3954</v>
      </c>
      <c r="E2103" s="22" t="s">
        <v>48</v>
      </c>
      <c r="F2103" s="23" t="str">
        <f>HYPERLINK("https://www.spark-marketing.ru/Card/Lot/73819596", "Услуги по организации фуршетного обслуживания")</f>
        <v>Услуги по организации фуршетного обслуживания</v>
      </c>
      <c r="G2103" s="22" t="s">
        <v>49</v>
      </c>
      <c r="H2103" s="22" t="s">
        <v>631</v>
      </c>
      <c r="I2103" s="26">
        <v>43731.467361111099</v>
      </c>
      <c r="J2103" s="23" t="str">
        <f>HYPERLINK("https://www.spark-marketing.ru/Card/Person/62688", "МУП ""ДОМОДЕДОВСКИЙ КОМБИНАТ ПИТАНИЯ""")</f>
        <v>МУП "ДОМОДЕДОВСКИЙ КОМБИНАТ ПИТАНИЯ"</v>
      </c>
      <c r="K2103" s="24" t="s">
        <v>3955</v>
      </c>
      <c r="L2103" s="28" t="s">
        <v>51</v>
      </c>
      <c r="M2103" s="28" t="s">
        <v>51</v>
      </c>
      <c r="N2103" s="28" t="s">
        <v>51</v>
      </c>
    </row>
    <row r="2104" spans="1:14" ht="12.75" hidden="1" outlineLevel="1" x14ac:dyDescent="0.2">
      <c r="A2104" s="23" t="str">
        <f>HYPERLINK("https://www.spark-marketing.ru/Card/Person/1027247", "ТОСП Домодедовское УСЗН")</f>
        <v>ТОСП Домодедовское УСЗН</v>
      </c>
      <c r="B2104" s="24" t="s">
        <v>3953</v>
      </c>
      <c r="C2104" s="25">
        <v>21300</v>
      </c>
      <c r="D2104" s="22" t="s">
        <v>3954</v>
      </c>
      <c r="E2104" s="22" t="s">
        <v>48</v>
      </c>
      <c r="F2104" s="23" t="str">
        <f>HYPERLINK("https://www.spark-marketing.ru/Card/Lot/73819596", "Услуги по организации фуршетного обслуживания")</f>
        <v>Услуги по организации фуршетного обслуживания</v>
      </c>
      <c r="G2104" s="22" t="s">
        <v>49</v>
      </c>
      <c r="H2104" s="22" t="s">
        <v>631</v>
      </c>
      <c r="I2104" s="26">
        <v>43731.467361111099</v>
      </c>
      <c r="J2104" s="23" t="str">
        <f>HYPERLINK("https://www.spark-marketing.ru/Card/Person/62688", "МУП ""ДОМОДЕДОВСКИЙ КОМБИНАТ ПИТАНИЯ""")</f>
        <v>МУП "ДОМОДЕДОВСКИЙ КОМБИНАТ ПИТАНИЯ"</v>
      </c>
      <c r="K2104" s="24" t="s">
        <v>3955</v>
      </c>
      <c r="L2104" s="22" t="s">
        <v>10</v>
      </c>
      <c r="M2104" s="25">
        <v>21193.5</v>
      </c>
      <c r="N2104" s="27">
        <v>5.0000000000000001E-3</v>
      </c>
    </row>
    <row r="2105" spans="1:14" x14ac:dyDescent="0.15">
      <c r="A2105" s="23" t="str">
        <f>HYPERLINK("https://www.spark-marketing.ru/Card/Person/59152", "МБОУ НШДС № 48")</f>
        <v>МБОУ НШДС № 48</v>
      </c>
      <c r="B2105" s="24" t="s">
        <v>3956</v>
      </c>
      <c r="C2105" s="25">
        <v>10910818</v>
      </c>
      <c r="D2105" s="22" t="s">
        <v>3957</v>
      </c>
      <c r="E2105" s="22" t="s">
        <v>48</v>
      </c>
      <c r="F2105" s="23" t="str">
        <f>HYPERLINK("https://www.spark-marketing.ru/Card/Lot/73831429",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</v>
      </c>
      <c r="G2105" s="22" t="s">
        <v>49</v>
      </c>
      <c r="H2105" s="22" t="s">
        <v>2508</v>
      </c>
      <c r="I2105" s="26">
        <v>43731.496666666702</v>
      </c>
      <c r="J2105" s="28" t="s">
        <v>51</v>
      </c>
      <c r="K2105" s="28" t="s">
        <v>51</v>
      </c>
      <c r="L2105" s="28" t="s">
        <v>51</v>
      </c>
      <c r="M2105" s="28" t="s">
        <v>51</v>
      </c>
      <c r="N2105" s="28" t="s">
        <v>51</v>
      </c>
    </row>
    <row r="2106" spans="1:14" x14ac:dyDescent="0.15">
      <c r="A2106" s="23" t="str">
        <f>HYPERLINK("https://www.spark-marketing.ru/Card/Person/86726", "МБДОУ ""ДЕТСКИЙ САД № 47""")</f>
        <v>МБДОУ "ДЕТСКИЙ САД № 47"</v>
      </c>
      <c r="B2106" s="24" t="s">
        <v>3958</v>
      </c>
      <c r="C2106" s="25">
        <v>22123322</v>
      </c>
      <c r="D2106" s="22" t="s">
        <v>3959</v>
      </c>
      <c r="E2106" s="22" t="s">
        <v>48</v>
      </c>
      <c r="F2106" s="23" t="str">
        <f>HYPERLINK("https://www.spark-marketing.ru/Card/Lot/73831363",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</v>
      </c>
      <c r="G2106" s="22" t="s">
        <v>49</v>
      </c>
      <c r="H2106" s="22" t="s">
        <v>2508</v>
      </c>
      <c r="I2106" s="26">
        <v>43731.4630092593</v>
      </c>
      <c r="J2106" s="28" t="s">
        <v>51</v>
      </c>
      <c r="K2106" s="28" t="s">
        <v>51</v>
      </c>
      <c r="L2106" s="28" t="s">
        <v>51</v>
      </c>
      <c r="M2106" s="28" t="s">
        <v>51</v>
      </c>
      <c r="N2106" s="28" t="s">
        <v>51</v>
      </c>
    </row>
    <row r="2107" spans="1:14" x14ac:dyDescent="0.15">
      <c r="A2107" s="23" t="str">
        <f>HYPERLINK("https://www.spark-marketing.ru/Card/Person/531416", "ОМВД РОССИИ ПО Г. ДОНСКОМУ")</f>
        <v>ОМВД РОССИИ ПО Г. ДОНСКОМУ</v>
      </c>
      <c r="B2107" s="24" t="s">
        <v>3331</v>
      </c>
      <c r="C2107" s="25">
        <v>125040</v>
      </c>
      <c r="D2107" s="22" t="s">
        <v>3960</v>
      </c>
      <c r="E2107" s="22" t="s">
        <v>96</v>
      </c>
      <c r="F2107" s="23" t="str">
        <f>HYPERLINK("https://www.spark-marketing.ru/Card/Lot/73811168", "Оказание услуг по организации питания (приготовлению и доставке), 521 шт")</f>
        <v>Оказание услуг по организации питания (приготовлению и доставке), 521 шт</v>
      </c>
      <c r="G2107" s="22" t="s">
        <v>68</v>
      </c>
      <c r="H2107" s="22" t="s">
        <v>682</v>
      </c>
      <c r="I2107" s="26">
        <v>43731.480219907397</v>
      </c>
      <c r="J2107" s="28" t="s">
        <v>51</v>
      </c>
      <c r="K2107" s="28" t="s">
        <v>51</v>
      </c>
      <c r="L2107" s="28" t="s">
        <v>51</v>
      </c>
      <c r="M2107" s="28" t="s">
        <v>51</v>
      </c>
      <c r="N2107" s="28" t="s">
        <v>51</v>
      </c>
    </row>
    <row r="2108" spans="1:14" x14ac:dyDescent="0.15">
      <c r="A2108" s="23" t="str">
        <f>HYPERLINK("https://www.spark-marketing.ru/Card/Person/107484", "МБДОУ ДЕТСКИЙ САД № 89 ""ДЕЛЬФИНЕНОК""")</f>
        <v>МБДОУ ДЕТСКИЙ САД № 89 "ДЕЛЬФИНЕНОК"</v>
      </c>
      <c r="B2108" s="24" t="s">
        <v>3961</v>
      </c>
      <c r="C2108" s="25">
        <v>22901946</v>
      </c>
      <c r="D2108" s="22" t="s">
        <v>3962</v>
      </c>
      <c r="E2108" s="22" t="s">
        <v>48</v>
      </c>
      <c r="F2108" s="23" t="str">
        <f>HYPERLINK("https://www.spark-marketing.ru/Card/Lot/73831428", "Оказание услуг по организации рационального горячего питания воспитанников муниципальных бюджетных дошкольных образовательных учреждений в 2020 -2021 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 годах</v>
      </c>
      <c r="G2108" s="22" t="s">
        <v>49</v>
      </c>
      <c r="H2108" s="22" t="s">
        <v>2495</v>
      </c>
      <c r="I2108" s="26">
        <v>43731.496412036999</v>
      </c>
      <c r="J2108" s="28" t="s">
        <v>51</v>
      </c>
      <c r="K2108" s="28" t="s">
        <v>51</v>
      </c>
      <c r="L2108" s="28" t="s">
        <v>51</v>
      </c>
      <c r="M2108" s="28" t="s">
        <v>51</v>
      </c>
      <c r="N2108" s="28" t="s">
        <v>51</v>
      </c>
    </row>
    <row r="2109" spans="1:14" x14ac:dyDescent="0.15">
      <c r="A2109" s="23" t="str">
        <f>HYPERLINK("https://www.spark-marketing.ru/Card/Person/131287", "КГБОУ ШИ 2")</f>
        <v>КГБОУ ШИ 2</v>
      </c>
      <c r="B2109" s="24" t="s">
        <v>3963</v>
      </c>
      <c r="C2109" s="25">
        <v>1300000</v>
      </c>
      <c r="D2109" s="22" t="s">
        <v>3964</v>
      </c>
      <c r="E2109" s="22" t="s">
        <v>48</v>
      </c>
      <c r="F2109" s="23" t="str">
        <f>HYPERLINK("https://www.spark-marketing.ru/Card/Lot/73803911", "Оказание услуг по организации питания")</f>
        <v>Оказание услуг по организации питания</v>
      </c>
      <c r="G2109" s="22" t="s">
        <v>1096</v>
      </c>
      <c r="H2109" s="22" t="s">
        <v>1097</v>
      </c>
      <c r="I2109" s="26">
        <v>43731.427083333299</v>
      </c>
      <c r="J2109" s="28" t="s">
        <v>51</v>
      </c>
      <c r="K2109" s="28" t="s">
        <v>51</v>
      </c>
      <c r="L2109" s="28" t="s">
        <v>51</v>
      </c>
      <c r="M2109" s="28" t="s">
        <v>51</v>
      </c>
      <c r="N2109" s="28" t="s">
        <v>51</v>
      </c>
    </row>
    <row r="2110" spans="1:14" ht="12.75" hidden="1" outlineLevel="1" x14ac:dyDescent="0.2">
      <c r="A2110" s="23" t="str">
        <f>HYPERLINK("https://www.spark-marketing.ru/Card/Person/131287", "КГБОУ ШИ 2")</f>
        <v>КГБОУ ШИ 2</v>
      </c>
      <c r="B2110" s="24" t="s">
        <v>3963</v>
      </c>
      <c r="C2110" s="25">
        <v>1300000</v>
      </c>
      <c r="D2110" s="22" t="s">
        <v>3964</v>
      </c>
      <c r="E2110" s="22" t="s">
        <v>48</v>
      </c>
      <c r="F2110" s="23" t="str">
        <f>HYPERLINK("https://www.spark-marketing.ru/Card/Lot/73803911", "Оказание услуг по организации питания")</f>
        <v>Оказание услуг по организации питания</v>
      </c>
      <c r="G2110" s="22" t="s">
        <v>1096</v>
      </c>
      <c r="H2110" s="22" t="s">
        <v>1097</v>
      </c>
      <c r="I2110" s="26">
        <v>43731.427083333299</v>
      </c>
      <c r="J2110" s="23" t="str">
        <f>HYPERLINK("https://www.spark-marketing.ru/Card/Person/486941", "ООО ""ГРАНД-АМУР""")</f>
        <v>ООО "ГРАНД-АМУР"</v>
      </c>
      <c r="K2110" s="24" t="s">
        <v>3965</v>
      </c>
      <c r="L2110" s="22" t="s">
        <v>10</v>
      </c>
      <c r="M2110" s="25">
        <v>491.28</v>
      </c>
      <c r="N2110" s="27">
        <v>0.99962209230769228</v>
      </c>
    </row>
    <row r="2111" spans="1:14" hidden="1" outlineLevel="1" x14ac:dyDescent="0.2">
      <c r="A2111" s="23" t="str">
        <f>HYPERLINK("https://www.spark-marketing.ru/Card/Person/131287", "КГБОУ ШИ 2")</f>
        <v>КГБОУ ШИ 2</v>
      </c>
      <c r="B2111" s="24" t="s">
        <v>3963</v>
      </c>
      <c r="C2111" s="25">
        <v>1300000</v>
      </c>
      <c r="D2111" s="22" t="s">
        <v>3964</v>
      </c>
      <c r="E2111" s="22" t="s">
        <v>48</v>
      </c>
      <c r="F2111" s="23" t="str">
        <f>HYPERLINK("https://www.spark-marketing.ru/Card/Lot/73803911", "Оказание услуг по организации питания")</f>
        <v>Оказание услуг по организации питания</v>
      </c>
      <c r="G2111" s="22" t="s">
        <v>1096</v>
      </c>
      <c r="H2111" s="22" t="s">
        <v>1097</v>
      </c>
      <c r="I2111" s="26">
        <v>43731.427083333299</v>
      </c>
      <c r="J2111" s="23" t="str">
        <f>HYPERLINK("https://www.spark-marketing.ru/Card/Person/3955596", "Рязина Ирина Владимировна")</f>
        <v>Рязина Ирина Владимировна</v>
      </c>
      <c r="K2111" s="24" t="s">
        <v>3966</v>
      </c>
      <c r="L2111" s="28" t="s">
        <v>51</v>
      </c>
      <c r="M2111" s="25">
        <v>464.58</v>
      </c>
      <c r="N2111" s="27">
        <v>0.99964263076923077</v>
      </c>
    </row>
    <row r="2112" spans="1:14" x14ac:dyDescent="0.15">
      <c r="A2112" s="23" t="str">
        <f>HYPERLINK("https://www.spark-marketing.ru/Card/Person/21455", "АДМИНИСТРАЦИЯ МУНИЦИПАЛЬНОГО ОБРАЗОВАНИЯ МУНИЦИПАЛЬНОГО РАЙОНА ""БОРОВСКИЙ РАЙОН""")</f>
        <v>АДМИНИСТРАЦИЯ МУНИЦИПАЛЬНОГО ОБРАЗОВАНИЯ МУНИЦИПАЛЬНОГО РАЙОНА "БОРОВСКИЙ РАЙОН"</v>
      </c>
      <c r="B2112" s="24" t="s">
        <v>3967</v>
      </c>
      <c r="C2112" s="25">
        <v>294040.8</v>
      </c>
      <c r="D2112" s="22" t="s">
        <v>3968</v>
      </c>
      <c r="E2112" s="22" t="s">
        <v>91</v>
      </c>
      <c r="F2112" s="23" t="str">
        <f>HYPERLINK("https://www.spark-marketing.ru/Card/Lot/73816250", "оказание услуг по техническому и сервисному обслуживанию системных блоков, мониторов, устройств ввода данных, источников бесперебойного питания (Реестровый номер: 2586Э-02/19сб)")</f>
        <v>оказание услуг по техническому и сервисному обслуживанию системных блоков, мониторов, устройств ввода данных, источников бесперебойного питания (Реестровый номер: 2586Э-02/19сб)</v>
      </c>
      <c r="G2112" s="22" t="s">
        <v>112</v>
      </c>
      <c r="H2112" s="22" t="s">
        <v>112</v>
      </c>
      <c r="I2112" s="26">
        <v>43731.447222222203</v>
      </c>
      <c r="J2112" s="23" t="str">
        <f>HYPERLINK("https://www.spark-marketing.ru/Card/Person/4403590", "ООО ""ИКС-БИТ ПЛЮС""")</f>
        <v>ООО "ИКС-БИТ ПЛЮС"</v>
      </c>
      <c r="K2112" s="24" t="s">
        <v>3969</v>
      </c>
      <c r="L2112" s="22" t="s">
        <v>10</v>
      </c>
      <c r="M2112" s="28" t="s">
        <v>51</v>
      </c>
      <c r="N2112" s="28" t="s">
        <v>51</v>
      </c>
    </row>
    <row r="2113" spans="1:14" x14ac:dyDescent="0.15">
      <c r="A2113" s="23" t="str">
        <f>HYPERLINK("https://www.spark-marketing.ru/Card/Person/1040624", "ОМВД РОССИИ ПО ОСТРОВСКОМУ РАЙОНУ")</f>
        <v>ОМВД РОССИИ ПО ОСТРОВСКОМУ РАЙОНУ</v>
      </c>
      <c r="B2113" s="24" t="s">
        <v>1884</v>
      </c>
      <c r="C2113" s="25">
        <v>173375</v>
      </c>
      <c r="D2113" s="22" t="s">
        <v>3970</v>
      </c>
      <c r="E2113" s="22" t="s">
        <v>48</v>
      </c>
      <c r="F2113" s="23" t="str">
        <f>HYPERLINK("https://www.spark-marketing.ru/Card/Lot/73816879", "Услуги по организации питания арестованных")</f>
        <v>Услуги по организации питания арестованных</v>
      </c>
      <c r="G2113" s="22" t="s">
        <v>415</v>
      </c>
      <c r="H2113" s="22" t="s">
        <v>415</v>
      </c>
      <c r="I2113" s="26">
        <v>43731.444444444402</v>
      </c>
      <c r="J2113" s="28" t="s">
        <v>51</v>
      </c>
      <c r="K2113" s="28" t="s">
        <v>51</v>
      </c>
      <c r="L2113" s="28" t="s">
        <v>51</v>
      </c>
      <c r="M2113" s="28" t="s">
        <v>51</v>
      </c>
      <c r="N2113" s="28" t="s">
        <v>51</v>
      </c>
    </row>
    <row r="2114" spans="1:14" x14ac:dyDescent="0.15">
      <c r="A2114" s="23" t="str">
        <f>HYPERLINK("https://www.spark-marketing.ru/Card/Person/4344165", "ПРАВИТЕЛЬСТВО КРАЯ")</f>
        <v>ПРАВИТЕЛЬСТВО КРАЯ</v>
      </c>
      <c r="B2114" s="24" t="s">
        <v>3971</v>
      </c>
      <c r="C2114" s="25">
        <v>300000</v>
      </c>
      <c r="D2114" s="22" t="s">
        <v>3972</v>
      </c>
      <c r="E2114" s="22" t="s">
        <v>48</v>
      </c>
      <c r="F2114" s="23" t="str">
        <f>HYPERLINK("https://www.spark-marketing.ru/Card/Lot/73816174", "Оказание услуг по организации общественного питания")</f>
        <v>Оказание услуг по организации общественного питания</v>
      </c>
      <c r="G2114" s="22" t="s">
        <v>1096</v>
      </c>
      <c r="H2114" s="22" t="s">
        <v>1097</v>
      </c>
      <c r="I2114" s="26">
        <v>43731.732638888898</v>
      </c>
      <c r="J2114" s="28" t="s">
        <v>51</v>
      </c>
      <c r="K2114" s="28" t="s">
        <v>51</v>
      </c>
      <c r="L2114" s="28" t="s">
        <v>51</v>
      </c>
      <c r="M2114" s="28" t="s">
        <v>51</v>
      </c>
      <c r="N2114" s="28" t="s">
        <v>51</v>
      </c>
    </row>
    <row r="2115" spans="1:14" x14ac:dyDescent="0.15">
      <c r="A2115" s="23" t="str">
        <f>HYPERLINK("https://www.spark-marketing.ru/Card/Person/1040624", "ОМВД РОССИИ ПО ОСТРОВСКОМУ РАЙОНУ")</f>
        <v>ОМВД РОССИИ ПО ОСТРОВСКОМУ РАЙОНУ</v>
      </c>
      <c r="B2115" s="24" t="s">
        <v>1884</v>
      </c>
      <c r="C2115" s="25">
        <v>173375</v>
      </c>
      <c r="D2115" s="22" t="s">
        <v>3973</v>
      </c>
      <c r="E2115" s="22" t="s">
        <v>48</v>
      </c>
      <c r="F2115" s="23" t="str">
        <f>HYPERLINK("https://www.spark-marketing.ru/Card/Lot/73816878", "Услуги по организации питания арестованных")</f>
        <v>Услуги по организации питания арестованных</v>
      </c>
      <c r="G2115" s="22" t="s">
        <v>415</v>
      </c>
      <c r="H2115" s="22" t="s">
        <v>415</v>
      </c>
      <c r="I2115" s="26">
        <v>43731.4465277778</v>
      </c>
      <c r="J2115" s="23" t="str">
        <f>HYPERLINK("https://www.spark-marketing.ru/Card/Person/5900555", "Романов Эдуард Владимирович")</f>
        <v>Романов Эдуард Владимирович</v>
      </c>
      <c r="K2115" s="24" t="s">
        <v>1886</v>
      </c>
      <c r="L2115" s="22" t="s">
        <v>10</v>
      </c>
      <c r="M2115" s="28" t="s">
        <v>51</v>
      </c>
      <c r="N2115" s="28" t="s">
        <v>51</v>
      </c>
    </row>
    <row r="2116" spans="1:14" x14ac:dyDescent="0.15">
      <c r="A2116" s="23" t="str">
        <f>HYPERLINK("https://www.spark-marketing.ru/Card/Person/6218321", "ГБУЗ КО ОККВД")</f>
        <v>ГБУЗ КО ОККВД</v>
      </c>
      <c r="B2116" s="24" t="s">
        <v>3874</v>
      </c>
      <c r="C2116" s="25">
        <v>903588</v>
      </c>
      <c r="D2116" s="22" t="s">
        <v>3974</v>
      </c>
      <c r="E2116" s="22" t="s">
        <v>48</v>
      </c>
      <c r="F2116" s="23" t="str">
        <f>HYPERLINK("https://www.spark-marketing.ru/Card/Lot/73804974", "Оказание услуг по обеспечению готовым горячим питанием")</f>
        <v>Оказание услуг по обеспечению готовым горячим питанием</v>
      </c>
      <c r="G2116" s="22" t="s">
        <v>304</v>
      </c>
      <c r="H2116" s="22" t="s">
        <v>1154</v>
      </c>
      <c r="I2116" s="26">
        <v>43731.433333333298</v>
      </c>
      <c r="J2116" s="23" t="str">
        <f>HYPERLINK("https://www.spark-marketing.ru/Card/Person/5771005", "Горлова Алиса Анатольевна")</f>
        <v>Горлова Алиса Анатольевна</v>
      </c>
      <c r="K2116" s="24" t="s">
        <v>3881</v>
      </c>
      <c r="L2116" s="22" t="s">
        <v>10</v>
      </c>
      <c r="M2116" s="28" t="s">
        <v>51</v>
      </c>
      <c r="N2116" s="28" t="s">
        <v>51</v>
      </c>
    </row>
    <row r="2117" spans="1:14" x14ac:dyDescent="0.15">
      <c r="A2117" s="23" t="str">
        <f>HYPERLINK("https://www.spark-marketing.ru/Card/Person/57501", "МОМВД РОССИИ ""ЛЮДИНОВСКИЙ""")</f>
        <v>МОМВД РОССИИ "ЛЮДИНОВСКИЙ"</v>
      </c>
      <c r="B2117" s="24" t="s">
        <v>3975</v>
      </c>
      <c r="C2117" s="25">
        <v>102184</v>
      </c>
      <c r="D2117" s="22" t="s">
        <v>3976</v>
      </c>
      <c r="E2117" s="22" t="s">
        <v>48</v>
      </c>
      <c r="F2117" s="23" t="str">
        <f>HYPERLINK("https://www.spark-marketing.ru/Card/Lot/73807631", "Оказание услуг по организации питания (приготовлению и доставке) для ИВС, 510 усл. ед")</f>
        <v>Оказание услуг по организации питания (приготовлению и доставке) для ИВС, 510 усл. ед</v>
      </c>
      <c r="G2117" s="22" t="s">
        <v>112</v>
      </c>
      <c r="H2117" s="22" t="s">
        <v>3977</v>
      </c>
      <c r="I2117" s="26">
        <v>43731.427731481497</v>
      </c>
      <c r="J2117" s="28" t="s">
        <v>51</v>
      </c>
      <c r="K2117" s="28" t="s">
        <v>51</v>
      </c>
      <c r="L2117" s="28" t="s">
        <v>51</v>
      </c>
      <c r="M2117" s="28" t="s">
        <v>51</v>
      </c>
      <c r="N2117" s="28" t="s">
        <v>51</v>
      </c>
    </row>
    <row r="2118" spans="1:14" x14ac:dyDescent="0.15">
      <c r="A2118" s="23" t="str">
        <f>HYPERLINK("https://www.spark-marketing.ru/Card/Person/948081", "МБОУ ""ШИЛИНСКАЯ СШ""")</f>
        <v>МБОУ "ШИЛИНСКАЯ СШ"</v>
      </c>
      <c r="B2118" s="24" t="s">
        <v>1324</v>
      </c>
      <c r="C2118" s="25">
        <v>873600</v>
      </c>
      <c r="D2118" s="22" t="s">
        <v>3978</v>
      </c>
      <c r="E2118" s="22" t="s">
        <v>51</v>
      </c>
      <c r="F2118" s="23" t="str">
        <f>HYPERLINK("https://www.spark-marketing.ru/Card/Lot/73805075", "Услуги по обеспечению питанием, осуществляемые по договору")</f>
        <v>Услуги по обеспечению питанием, осуществляемые по договору</v>
      </c>
      <c r="G2118" s="22" t="s">
        <v>281</v>
      </c>
      <c r="H2118" s="22" t="s">
        <v>1326</v>
      </c>
      <c r="I2118" s="26">
        <v>43731.445833333302</v>
      </c>
      <c r="J2118" s="28" t="s">
        <v>51</v>
      </c>
      <c r="K2118" s="28" t="s">
        <v>51</v>
      </c>
      <c r="L2118" s="28" t="s">
        <v>51</v>
      </c>
      <c r="M2118" s="28" t="s">
        <v>51</v>
      </c>
      <c r="N2118" s="28" t="s">
        <v>51</v>
      </c>
    </row>
    <row r="2119" spans="1:14" x14ac:dyDescent="0.15">
      <c r="A2119" s="23" t="str">
        <f>HYPERLINK("https://www.spark-marketing.ru/Card/Person/64293", "ОТДЕЛ МВД РОССИИ ПО ПЕРМСКОМУ РАЙОНУ")</f>
        <v>ОТДЕЛ МВД РОССИИ ПО ПЕРМСКОМУ РАЙОНУ</v>
      </c>
      <c r="B2119" s="24" t="s">
        <v>3979</v>
      </c>
      <c r="C2119" s="25">
        <v>80000</v>
      </c>
      <c r="D2119" s="22" t="s">
        <v>3980</v>
      </c>
      <c r="E2119" s="22" t="s">
        <v>96</v>
      </c>
      <c r="F2119" s="23" t="str">
        <f>HYPERLINK("https://www.spark-marketing.ru/Card/Lot/73808727",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2119" s="22" t="s">
        <v>153</v>
      </c>
      <c r="H2119" s="22" t="s">
        <v>3981</v>
      </c>
      <c r="I2119" s="26">
        <v>43731.452013888898</v>
      </c>
      <c r="J2119" s="28" t="s">
        <v>51</v>
      </c>
      <c r="K2119" s="28" t="s">
        <v>51</v>
      </c>
      <c r="L2119" s="28" t="s">
        <v>51</v>
      </c>
      <c r="M2119" s="28" t="s">
        <v>51</v>
      </c>
      <c r="N2119" s="28" t="s">
        <v>51</v>
      </c>
    </row>
    <row r="2120" spans="1:14" x14ac:dyDescent="0.15">
      <c r="A2120" s="23" t="str">
        <f>HYPERLINK("https://www.spark-marketing.ru/Card/Person/104714", """ОТДЕЛ МВД РОССИИ ПО ТАХТАМУКАЙСКОМУ РАЙОНУ""")</f>
        <v>"ОТДЕЛ МВД РОССИИ ПО ТАХТАМУКАЙСКОМУ РАЙОНУ"</v>
      </c>
      <c r="B2120" s="24" t="s">
        <v>3982</v>
      </c>
      <c r="C2120" s="25">
        <v>144910</v>
      </c>
      <c r="D2120" s="22" t="s">
        <v>3983</v>
      </c>
      <c r="E2120" s="22" t="s">
        <v>48</v>
      </c>
      <c r="F2120" s="23" t="str">
        <f>HYPERLINK("https://www.spark-marketing.ru/Card/Lot/73808503", "Услуги по организации горячего питания, 631 усл. ед")</f>
        <v>Услуги по организации горячего питания, 631 усл. ед</v>
      </c>
      <c r="G2120" s="22" t="s">
        <v>925</v>
      </c>
      <c r="H2120" s="22" t="s">
        <v>3984</v>
      </c>
      <c r="I2120" s="26">
        <v>43731.438425925902</v>
      </c>
      <c r="J2120" s="28" t="s">
        <v>51</v>
      </c>
      <c r="K2120" s="28" t="s">
        <v>51</v>
      </c>
      <c r="L2120" s="28" t="s">
        <v>51</v>
      </c>
      <c r="M2120" s="28" t="s">
        <v>51</v>
      </c>
      <c r="N2120" s="28" t="s">
        <v>51</v>
      </c>
    </row>
    <row r="2121" spans="1:14" x14ac:dyDescent="0.15">
      <c r="A2121" s="23" t="str">
        <f>HYPERLINK("https://www.spark-marketing.ru/Card/Person/4352145", "ОМВД РОССИИ ПО САКМАРСКОМУ РАЙОНУ")</f>
        <v>ОМВД РОССИИ ПО САКМАРСКОМУ РАЙОНУ</v>
      </c>
      <c r="B2121" s="24" t="s">
        <v>3985</v>
      </c>
      <c r="C2121" s="25">
        <v>10000</v>
      </c>
      <c r="D2121" s="22" t="s">
        <v>3986</v>
      </c>
      <c r="E2121" s="22" t="s">
        <v>96</v>
      </c>
      <c r="F2121" s="23" t="str">
        <f>HYPERLINK("https://www.spark-marketing.ru/Card/Lot/73807076", "Оказание услуг по организации питания (приготовлению и доставке), 50 шт")</f>
        <v>Оказание услуг по организации питания (приготовлению и доставке), 50 шт</v>
      </c>
      <c r="G2121" s="22" t="s">
        <v>132</v>
      </c>
      <c r="H2121" s="22" t="s">
        <v>844</v>
      </c>
      <c r="I2121" s="26">
        <v>43731.409826388903</v>
      </c>
      <c r="J2121" s="28" t="s">
        <v>51</v>
      </c>
      <c r="K2121" s="28" t="s">
        <v>51</v>
      </c>
      <c r="L2121" s="28" t="s">
        <v>51</v>
      </c>
      <c r="M2121" s="28" t="s">
        <v>51</v>
      </c>
      <c r="N2121" s="28" t="s">
        <v>51</v>
      </c>
    </row>
    <row r="2122" spans="1:14" x14ac:dyDescent="0.15">
      <c r="A2122" s="23" t="str">
        <f>HYPERLINK("https://www.spark-marketing.ru/Card/Person/4352145", "ОМВД РОССИИ ПО САКМАРСКОМУ РАЙОНУ")</f>
        <v>ОМВД РОССИИ ПО САКМАРСКОМУ РАЙОНУ</v>
      </c>
      <c r="B2122" s="24" t="s">
        <v>3985</v>
      </c>
      <c r="C2122" s="25">
        <v>300000</v>
      </c>
      <c r="D2122" s="22" t="s">
        <v>3987</v>
      </c>
      <c r="E2122" s="22" t="s">
        <v>96</v>
      </c>
      <c r="F2122" s="23" t="str">
        <f>HYPERLINK("https://www.spark-marketing.ru/Card/Lot/73806751", "Оказание услуг по организации питания (приготовлению и доставке), 1500 шт")</f>
        <v>Оказание услуг по организации питания (приготовлению и доставке), 1500 шт</v>
      </c>
      <c r="G2122" s="22" t="s">
        <v>132</v>
      </c>
      <c r="H2122" s="22" t="s">
        <v>844</v>
      </c>
      <c r="I2122" s="26">
        <v>43731.393194444398</v>
      </c>
      <c r="J2122" s="28" t="s">
        <v>51</v>
      </c>
      <c r="K2122" s="28" t="s">
        <v>51</v>
      </c>
      <c r="L2122" s="28" t="s">
        <v>51</v>
      </c>
      <c r="M2122" s="28" t="s">
        <v>51</v>
      </c>
      <c r="N2122" s="28" t="s">
        <v>51</v>
      </c>
    </row>
    <row r="2123" spans="1:14" x14ac:dyDescent="0.15">
      <c r="A2123" s="23" t="str">
        <f>HYPERLINK("https://www.spark-marketing.ru/Card/Person/4352145", "ОМВД РОССИИ ПО САКМАРСКОМУ РАЙОНУ")</f>
        <v>ОМВД РОССИИ ПО САКМАРСКОМУ РАЙОНУ</v>
      </c>
      <c r="B2123" s="24" t="s">
        <v>3985</v>
      </c>
      <c r="C2123" s="25">
        <v>300000</v>
      </c>
      <c r="D2123" s="22" t="s">
        <v>3988</v>
      </c>
      <c r="E2123" s="22" t="s">
        <v>96</v>
      </c>
      <c r="F2123" s="23" t="str">
        <f>HYPERLINK("https://www.spark-marketing.ru/Card/Lot/73806448", "Оказание услуг по организации питания (приготовлению и доставке), 1500 шт")</f>
        <v>Оказание услуг по организации питания (приготовлению и доставке), 1500 шт</v>
      </c>
      <c r="G2123" s="22" t="s">
        <v>132</v>
      </c>
      <c r="H2123" s="22" t="s">
        <v>844</v>
      </c>
      <c r="I2123" s="26">
        <v>43731.388946759304</v>
      </c>
      <c r="J2123" s="28" t="s">
        <v>51</v>
      </c>
      <c r="K2123" s="28" t="s">
        <v>51</v>
      </c>
      <c r="L2123" s="28" t="s">
        <v>51</v>
      </c>
      <c r="M2123" s="28" t="s">
        <v>51</v>
      </c>
      <c r="N2123" s="28" t="s">
        <v>51</v>
      </c>
    </row>
    <row r="2124" spans="1:14" x14ac:dyDescent="0.15">
      <c r="A2124" s="23" t="str">
        <f>HYPERLINK("https://www.spark-marketing.ru/Card/Person/4352145", "ОМВД РОССИИ ПО САКМАРСКОМУ РАЙОНУ")</f>
        <v>ОМВД РОССИИ ПО САКМАРСКОМУ РАЙОНУ</v>
      </c>
      <c r="B2124" s="24" t="s">
        <v>3985</v>
      </c>
      <c r="C2124" s="25">
        <v>10000</v>
      </c>
      <c r="D2124" s="22" t="s">
        <v>3989</v>
      </c>
      <c r="E2124" s="22" t="s">
        <v>96</v>
      </c>
      <c r="F2124" s="23" t="str">
        <f>HYPERLINK("https://www.spark-marketing.ru/Card/Lot/73806966", "Оказание услуг по организации питания (приготовлению и доставке), 50 шт")</f>
        <v>Оказание услуг по организации питания (приготовлению и доставке), 50 шт</v>
      </c>
      <c r="G2124" s="22" t="s">
        <v>132</v>
      </c>
      <c r="H2124" s="22" t="s">
        <v>844</v>
      </c>
      <c r="I2124" s="26">
        <v>43731.405231481498</v>
      </c>
      <c r="J2124" s="28" t="s">
        <v>51</v>
      </c>
      <c r="K2124" s="28" t="s">
        <v>51</v>
      </c>
      <c r="L2124" s="28" t="s">
        <v>51</v>
      </c>
      <c r="M2124" s="28" t="s">
        <v>51</v>
      </c>
      <c r="N2124" s="28" t="s">
        <v>51</v>
      </c>
    </row>
    <row r="2125" spans="1:14" x14ac:dyDescent="0.15">
      <c r="A2125" s="23" t="str">
        <f>HYPERLINK("https://www.spark-marketing.ru/Card/Person/4374689", "ФКУ ЛИУ-9 ГУФСИН РОССИИ ПО ЧЕЛЯБИНСКОЙ ОБЛАСТИ")</f>
        <v>ФКУ ЛИУ-9 ГУФСИН РОССИИ ПО ЧЕЛЯБИНСКОЙ ОБЛАСТИ</v>
      </c>
      <c r="B2125" s="24" t="s">
        <v>3913</v>
      </c>
      <c r="C2125" s="25">
        <v>2992</v>
      </c>
      <c r="D2125" s="22" t="s">
        <v>3990</v>
      </c>
      <c r="E2125" s="22" t="s">
        <v>468</v>
      </c>
      <c r="F2125" s="23" t="str">
        <f>HYPERLINK("https://www.spark-marketing.ru/Card/Lot/73805588", "Оказание трансп. услуг по доставке продуктов питания, по маршруту г. Златоуст- г. Бакал- г. Златоуст, 1 усл. ед")</f>
        <v>Оказание трансп. услуг по доставке продуктов питания, по маршруту г. Златоуст- г. Бакал- г. Златоуст, 1 усл. ед</v>
      </c>
      <c r="G2125" s="22" t="s">
        <v>469</v>
      </c>
      <c r="H2125" s="22" t="s">
        <v>3915</v>
      </c>
      <c r="I2125" s="26">
        <v>43731.341261574104</v>
      </c>
      <c r="J2125" s="28" t="s">
        <v>51</v>
      </c>
      <c r="K2125" s="28" t="s">
        <v>51</v>
      </c>
      <c r="L2125" s="28" t="s">
        <v>51</v>
      </c>
      <c r="M2125" s="28" t="s">
        <v>51</v>
      </c>
      <c r="N2125" s="28" t="s">
        <v>51</v>
      </c>
    </row>
    <row r="2126" spans="1:14" x14ac:dyDescent="0.15">
      <c r="A2126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2126" s="24" t="s">
        <v>3991</v>
      </c>
      <c r="C2126" s="25">
        <v>65000</v>
      </c>
      <c r="D2126" s="22" t="s">
        <v>3992</v>
      </c>
      <c r="E2126" s="22" t="s">
        <v>96</v>
      </c>
      <c r="F2126" s="23" t="str">
        <f>HYPERLINK("https://www.spark-marketing.ru/Card/Lot/73805330",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2126" s="22" t="s">
        <v>281</v>
      </c>
      <c r="H2126" s="22" t="s">
        <v>1643</v>
      </c>
      <c r="I2126" s="26">
        <v>43731.330219907402</v>
      </c>
      <c r="J2126" s="28" t="s">
        <v>51</v>
      </c>
      <c r="K2126" s="28" t="s">
        <v>51</v>
      </c>
      <c r="L2126" s="28" t="s">
        <v>51</v>
      </c>
      <c r="M2126" s="28" t="s">
        <v>51</v>
      </c>
      <c r="N2126" s="28" t="s">
        <v>51</v>
      </c>
    </row>
    <row r="2127" spans="1:14" x14ac:dyDescent="0.15">
      <c r="A2127" s="23" t="str">
        <f>HYPERLINK("https://www.spark-marketing.ru/Card/Person/85165", "ТОИ ДВО РАН")</f>
        <v>ТОИ ДВО РАН</v>
      </c>
      <c r="B2127" s="24" t="s">
        <v>3993</v>
      </c>
      <c r="C2127" s="25">
        <v>187313.28</v>
      </c>
      <c r="D2127" s="22" t="s">
        <v>3994</v>
      </c>
      <c r="E2127" s="22" t="s">
        <v>3995</v>
      </c>
      <c r="F2127" s="23" t="str">
        <f>HYPERLINK("https://www.spark-marketing.ru/Card/Lot/73806215", "Оказание услуг по организации питания и обеспечению социально-бытовых условий пребывания научных сотрудников, входящих в состав экспедиционного рейса Заказчика № 57 НИС «Академик Опарин»")</f>
        <v>Оказание услуг по организации питания и обеспечению социально-бытовых условий пребывания научных сотрудников, входящих в состав экспедиционного рейса Заказчика № 57 НИС «Академик Опарин»</v>
      </c>
      <c r="G2127" s="22" t="s">
        <v>543</v>
      </c>
      <c r="H2127" s="22" t="s">
        <v>1440</v>
      </c>
      <c r="I2127" s="26">
        <v>43731</v>
      </c>
      <c r="J2127" s="28" t="s">
        <v>51</v>
      </c>
      <c r="K2127" s="28" t="s">
        <v>51</v>
      </c>
      <c r="L2127" s="28" t="s">
        <v>51</v>
      </c>
      <c r="M2127" s="28" t="s">
        <v>51</v>
      </c>
      <c r="N2127" s="28" t="s">
        <v>51</v>
      </c>
    </row>
    <row r="2128" spans="1:14" x14ac:dyDescent="0.15">
      <c r="A2128" s="23" t="str">
        <f>HYPERLINK("https://www.spark-marketing.ru/Card/Person/50743", "МП ""ДЕТСКОЕ ПИТАНИЕ""")</f>
        <v>МП "ДЕТСКОЕ ПИТАНИЕ"</v>
      </c>
      <c r="B2128" s="24" t="s">
        <v>1562</v>
      </c>
      <c r="C2128" s="25">
        <v>544500</v>
      </c>
      <c r="D2128" s="22" t="s">
        <v>3996</v>
      </c>
      <c r="E2128" s="22" t="s">
        <v>3997</v>
      </c>
      <c r="F2128" s="23" t="str">
        <f>HYPERLINK("https://www.spark-marketing.ru/Card/Lot/73825534", "Поставка капусты (для оказания услуг по предоставлению питания школьникам).")</f>
        <v>Поставка капусты (для оказания услуг по предоставлению питания школьникам).</v>
      </c>
      <c r="G2128" s="22" t="s">
        <v>1522</v>
      </c>
      <c r="H2128" s="22" t="s">
        <v>1522</v>
      </c>
      <c r="I2128" s="26">
        <v>43731</v>
      </c>
      <c r="J2128" s="28" t="s">
        <v>51</v>
      </c>
      <c r="K2128" s="28" t="s">
        <v>51</v>
      </c>
      <c r="L2128" s="28" t="s">
        <v>51</v>
      </c>
      <c r="M2128" s="28" t="s">
        <v>51</v>
      </c>
      <c r="N2128" s="28" t="s">
        <v>51</v>
      </c>
    </row>
    <row r="2129" spans="1:14" x14ac:dyDescent="0.2">
      <c r="A2129" s="23" t="str">
        <f>HYPERLINK("https://www.spark-marketing.ru/Card/Person/111779", "ГАУ РО ""ОКДЦ""")</f>
        <v>ГАУ РО "ОКДЦ"</v>
      </c>
      <c r="B2129" s="24" t="s">
        <v>3998</v>
      </c>
      <c r="C2129" s="25">
        <v>40000</v>
      </c>
      <c r="D2129" s="22" t="s">
        <v>3999</v>
      </c>
      <c r="E2129" s="22" t="s">
        <v>1764</v>
      </c>
      <c r="F2129" s="23" t="str">
        <f>HYPERLINK("https://www.spark-marketing.ru/Card/Lot/73809328", "Закупка услуг по приготовлению и доставке готового лечебного питания стационарных больных")</f>
        <v>Закупка услуг по приготовлению и доставке готового лечебного питания стационарных больных</v>
      </c>
      <c r="G2129" s="22" t="s">
        <v>267</v>
      </c>
      <c r="H2129" s="22" t="s">
        <v>267</v>
      </c>
      <c r="I2129" s="26">
        <v>43731</v>
      </c>
      <c r="J2129" s="28" t="s">
        <v>51</v>
      </c>
      <c r="K2129" s="28" t="s">
        <v>51</v>
      </c>
      <c r="L2129" s="28" t="s">
        <v>51</v>
      </c>
      <c r="M2129" s="25">
        <v>38646.400000000001</v>
      </c>
      <c r="N2129" s="27">
        <v>3.3840000000000002E-2</v>
      </c>
    </row>
    <row r="2130" spans="1:14" x14ac:dyDescent="0.15">
      <c r="A2130" s="23" t="str">
        <f>HYPERLINK("https://www.spark-marketing.ru/Card/Person/740441", "МАДОУ ДЕТСКИЙ САД С. СТАРЫЕ ТУЙМАЗЫ МР ТР РБ")</f>
        <v>МАДОУ ДЕТСКИЙ САД С. СТАРЫЕ ТУЙМАЗЫ МР ТР РБ</v>
      </c>
      <c r="B2130" s="24" t="s">
        <v>4000</v>
      </c>
      <c r="C2130" s="25">
        <v>260972</v>
      </c>
      <c r="D2130" s="22" t="s">
        <v>4001</v>
      </c>
      <c r="E2130" s="22" t="s">
        <v>362</v>
      </c>
      <c r="F2130" s="23" t="str">
        <f>HYPERLINK("https://www.spark-marketing.ru/Card/Lot/73820466", "услуги непрофильной функции по питанию (организация питания)")</f>
        <v>услуги непрофильной функции по питанию (организация питания)</v>
      </c>
      <c r="G2130" s="22" t="s">
        <v>145</v>
      </c>
      <c r="H2130" s="22" t="s">
        <v>145</v>
      </c>
      <c r="I2130" s="26">
        <v>43731</v>
      </c>
      <c r="J2130" s="28" t="s">
        <v>51</v>
      </c>
      <c r="K2130" s="28" t="s">
        <v>51</v>
      </c>
      <c r="L2130" s="28" t="s">
        <v>51</v>
      </c>
      <c r="M2130" s="28" t="s">
        <v>51</v>
      </c>
      <c r="N2130" s="28" t="s">
        <v>51</v>
      </c>
    </row>
    <row r="2131" spans="1:14" x14ac:dyDescent="0.2">
      <c r="A2131" s="23" t="str">
        <f>HYPERLINK("https://www.spark-marketing.ru/Card/Person/127993", "АО ""СМНГ""")</f>
        <v>АО "СМНГ"</v>
      </c>
      <c r="B2131" s="24" t="s">
        <v>4002</v>
      </c>
      <c r="C2131" s="25">
        <v>4900000</v>
      </c>
      <c r="D2131" s="22" t="s">
        <v>4003</v>
      </c>
      <c r="E2131" s="22" t="s">
        <v>3995</v>
      </c>
      <c r="F2131" s="23" t="str">
        <f>HYPERLINK("https://www.spark-marketing.ru/Card/Lot/73811049", "Оказание услуг по перевозке ГСМ, технического снабжения и продуктов питания для НИС «Профессор Рябинкин»")</f>
        <v>Оказание услуг по перевозке ГСМ, технического снабжения и продуктов питания для НИС «Профессор Рябинкин»</v>
      </c>
      <c r="G2131" s="22" t="s">
        <v>340</v>
      </c>
      <c r="H2131" s="22" t="s">
        <v>341</v>
      </c>
      <c r="I2131" s="26">
        <v>43731</v>
      </c>
      <c r="J2131" s="28" t="s">
        <v>51</v>
      </c>
      <c r="K2131" s="28" t="s">
        <v>51</v>
      </c>
      <c r="L2131" s="28" t="s">
        <v>51</v>
      </c>
      <c r="M2131" s="25">
        <v>4900000</v>
      </c>
      <c r="N2131" s="27">
        <v>0</v>
      </c>
    </row>
    <row r="2132" spans="1:14" x14ac:dyDescent="0.15">
      <c r="A2132" s="23" t="str">
        <f>HYPERLINK("https://www.spark-marketing.ru/Card/Person/1760026", "ЗАО ""ПФК ""КРЫЛЬЯ СОВЕТОВ""")</f>
        <v>ЗАО "ПФК "КРЫЛЬЯ СОВЕТОВ"</v>
      </c>
      <c r="B2132" s="24" t="s">
        <v>2056</v>
      </c>
      <c r="C2132" s="25">
        <v>1142056</v>
      </c>
      <c r="D2132" s="22" t="s">
        <v>4004</v>
      </c>
      <c r="E2132" s="22" t="s">
        <v>2058</v>
      </c>
      <c r="F2132" s="23" t="str">
        <f>HYPERLINK("https://www.spark-marketing.ru/Card/Lot/73825297", "Комплекс услуг по временному проживанию и питанию для команды основного состава ЗАО «ПФК «Крылья Советов»")</f>
        <v>Комплекс услуг по временному проживанию и питанию для команды основного состава ЗАО «ПФК «Крылья Советов»</v>
      </c>
      <c r="G2132" s="22" t="s">
        <v>56</v>
      </c>
      <c r="H2132" s="22" t="s">
        <v>56</v>
      </c>
      <c r="I2132" s="26">
        <v>43731</v>
      </c>
      <c r="J2132" s="28" t="s">
        <v>51</v>
      </c>
      <c r="K2132" s="28" t="s">
        <v>51</v>
      </c>
      <c r="L2132" s="28" t="s">
        <v>51</v>
      </c>
      <c r="M2132" s="28" t="s">
        <v>51</v>
      </c>
      <c r="N2132" s="28" t="s">
        <v>51</v>
      </c>
    </row>
    <row r="2133" spans="1:14" x14ac:dyDescent="0.2">
      <c r="A2133" s="23" t="str">
        <f>HYPERLINK("https://www.spark-marketing.ru/Card/Person/1311072", "МАОУ ""ЮГО-КАМСКАЯ СРЕДНЯЯ ШКОЛА""")</f>
        <v>МАОУ "ЮГО-КАМСКАЯ СРЕДНЯЯ ШКОЛА"</v>
      </c>
      <c r="B2133" s="24" t="s">
        <v>4005</v>
      </c>
      <c r="C2133" s="25">
        <v>1087660.04</v>
      </c>
      <c r="D2133" s="22" t="s">
        <v>4006</v>
      </c>
      <c r="E2133" s="22" t="s">
        <v>362</v>
      </c>
      <c r="F2133" s="23" t="str">
        <f>HYPERLINK("https://www.spark-marketing.ru/Card/Lot/73817209", "Оказание услуги по обеспечению горячим питанием в здании Заказчика по адресу: Пермский район, с. Рождественское, ул. Революционная, д. 25.")</f>
        <v>Оказание услуги по обеспечению горячим питанием в здании Заказчика по адресу: Пермский район, с. Рождественское, ул. Революционная, д. 25.</v>
      </c>
      <c r="G2133" s="22" t="s">
        <v>153</v>
      </c>
      <c r="H2133" s="22" t="s">
        <v>153</v>
      </c>
      <c r="I2133" s="26">
        <v>43731</v>
      </c>
      <c r="J2133" s="28" t="s">
        <v>51</v>
      </c>
      <c r="K2133" s="28" t="s">
        <v>51</v>
      </c>
      <c r="L2133" s="28" t="s">
        <v>51</v>
      </c>
      <c r="M2133" s="25">
        <v>1087660.04</v>
      </c>
      <c r="N2133" s="27">
        <v>0</v>
      </c>
    </row>
    <row r="2134" spans="1:14" x14ac:dyDescent="0.15">
      <c r="A2134" s="23" t="str">
        <f>HYPERLINK("https://www.spark-marketing.ru/Card/Person/1479198", "МАОУ ЛЕОНТЬЕВСКАЯ СОШ")</f>
        <v>МАОУ ЛЕОНТЬЕВСКАЯ СОШ</v>
      </c>
      <c r="B2134" s="24" t="s">
        <v>4007</v>
      </c>
      <c r="C2134" s="25">
        <v>399890</v>
      </c>
      <c r="D2134" s="22" t="s">
        <v>4008</v>
      </c>
      <c r="E2134" s="22" t="s">
        <v>362</v>
      </c>
      <c r="F2134" s="23" t="str">
        <f>HYPERLINK("https://www.spark-marketing.ru/Card/Lot/73807357", "услуги по организации питания обучающихся")</f>
        <v>услуги по организации питания обучающихся</v>
      </c>
      <c r="G2134" s="22" t="s">
        <v>174</v>
      </c>
      <c r="H2134" s="22" t="s">
        <v>174</v>
      </c>
      <c r="I2134" s="26">
        <v>43731</v>
      </c>
      <c r="J2134" s="28" t="s">
        <v>51</v>
      </c>
      <c r="K2134" s="28" t="s">
        <v>51</v>
      </c>
      <c r="L2134" s="28" t="s">
        <v>51</v>
      </c>
      <c r="M2134" s="28" t="s">
        <v>51</v>
      </c>
      <c r="N2134" s="28" t="s">
        <v>51</v>
      </c>
    </row>
    <row r="2135" spans="1:14" x14ac:dyDescent="0.15">
      <c r="A2135" s="23" t="str">
        <f>HYPERLINK("https://www.spark-marketing.ru/Card/Person/49568", "АО ""ТАТАВТОДОР""")</f>
        <v>АО "ТАТАВТОДОР"</v>
      </c>
      <c r="B2135" s="24" t="s">
        <v>2978</v>
      </c>
      <c r="C2135" s="25">
        <v>4800000</v>
      </c>
      <c r="D2135" s="22" t="s">
        <v>4009</v>
      </c>
      <c r="E2135" s="22" t="s">
        <v>362</v>
      </c>
      <c r="F2135" s="23" t="str">
        <f>HYPERLINK("https://www.spark-marketing.ru/Card/Lot/73820505", "Оказание услуг по обеспечению комплексным горячим питанием работников заказчика в соответствии с техническим заданием")</f>
        <v>Оказание услуг по обеспечению комплексным горячим питанием работников заказчика в соответствии с техническим заданием</v>
      </c>
      <c r="G2135" s="22" t="s">
        <v>217</v>
      </c>
      <c r="H2135" s="22" t="s">
        <v>217</v>
      </c>
      <c r="I2135" s="26">
        <v>43731</v>
      </c>
      <c r="J2135" s="28" t="s">
        <v>51</v>
      </c>
      <c r="K2135" s="28" t="s">
        <v>51</v>
      </c>
      <c r="L2135" s="28" t="s">
        <v>51</v>
      </c>
      <c r="M2135" s="28" t="s">
        <v>51</v>
      </c>
      <c r="N2135" s="28" t="s">
        <v>51</v>
      </c>
    </row>
    <row r="2136" spans="1:14" x14ac:dyDescent="0.2">
      <c r="A2136" s="23" t="str">
        <f>HYPERLINK("https://www.spark-marketing.ru/Card/Person/50743", "МП ""ДЕТСКОЕ ПИТАНИЕ""")</f>
        <v>МП "ДЕТСКОЕ ПИТАНИЕ"</v>
      </c>
      <c r="B2136" s="24" t="s">
        <v>1562</v>
      </c>
      <c r="C2136" s="25">
        <v>203000</v>
      </c>
      <c r="D2136" s="22" t="s">
        <v>3996</v>
      </c>
      <c r="E2136" s="22" t="s">
        <v>3997</v>
      </c>
      <c r="F2136" s="23" t="str">
        <f>HYPERLINK("https://www.spark-marketing.ru/Card/Lot/73825533", "Поставка свеклы (для оказания услуг по предоставлению питания школьникам).")</f>
        <v>Поставка свеклы (для оказания услуг по предоставлению питания школьникам).</v>
      </c>
      <c r="G2136" s="22" t="s">
        <v>1522</v>
      </c>
      <c r="H2136" s="22" t="s">
        <v>1522</v>
      </c>
      <c r="I2136" s="26">
        <v>43731</v>
      </c>
      <c r="J2136" s="28" t="s">
        <v>51</v>
      </c>
      <c r="K2136" s="28" t="s">
        <v>51</v>
      </c>
      <c r="L2136" s="22" t="s">
        <v>10</v>
      </c>
      <c r="M2136" s="25">
        <v>137750</v>
      </c>
      <c r="N2136" s="27">
        <v>0.32142857142857145</v>
      </c>
    </row>
    <row r="2137" spans="1:14" x14ac:dyDescent="0.15">
      <c r="A2137" s="23" t="str">
        <f>HYPERLINK("https://www.spark-marketing.ru/Card/Person/273995", "НГЛУ")</f>
        <v>НГЛУ</v>
      </c>
      <c r="B2137" s="24" t="s">
        <v>4010</v>
      </c>
      <c r="C2137" s="25">
        <v>132468</v>
      </c>
      <c r="D2137" s="22" t="s">
        <v>4011</v>
      </c>
      <c r="E2137" s="22" t="s">
        <v>362</v>
      </c>
      <c r="F2137" s="23" t="str">
        <f>HYPERLINK("https://www.spark-marketing.ru/Card/Lot/73819373", "услуги питания")</f>
        <v>услуги питания</v>
      </c>
      <c r="G2137" s="22" t="s">
        <v>76</v>
      </c>
      <c r="H2137" s="22" t="s">
        <v>76</v>
      </c>
      <c r="I2137" s="26">
        <v>43731</v>
      </c>
      <c r="J2137" s="28" t="s">
        <v>51</v>
      </c>
      <c r="K2137" s="28" t="s">
        <v>51</v>
      </c>
      <c r="L2137" s="28" t="s">
        <v>51</v>
      </c>
      <c r="M2137" s="28" t="s">
        <v>51</v>
      </c>
      <c r="N2137" s="28" t="s">
        <v>51</v>
      </c>
    </row>
    <row r="2138" spans="1:14" x14ac:dyDescent="0.15">
      <c r="A2138" s="23" t="str">
        <f>HYPERLINK("https://www.spark-marketing.ru/Card/Person/4390287", """САНКТ-ПЕТЕРБУРГСКИЙ ТЕАТР МУЗЫКАЛЬНОЙ КОМЕДИИ""")</f>
        <v>"САНКТ-ПЕТЕРБУРГСКИЙ ТЕАТР МУЗЫКАЛЬНОЙ КОМЕДИИ"</v>
      </c>
      <c r="B2138" s="24" t="s">
        <v>4012</v>
      </c>
      <c r="C2138" s="25">
        <v>575250</v>
      </c>
      <c r="D2138" s="22" t="s">
        <v>4013</v>
      </c>
      <c r="E2138" s="22" t="s">
        <v>765</v>
      </c>
      <c r="F2138" s="23" t="str">
        <f>HYPERLINK("https://www.spark-marketing.ru/Card/Lot/73829790", "Оказание услуг по организации и проведению юбилея театра (мероприятия общественного питания) - Трожественный банкет")</f>
        <v>Оказание услуг по организации и проведению юбилея театра (мероприятия общественного питания) - Трожественный банкет</v>
      </c>
      <c r="G2138" s="22" t="s">
        <v>117</v>
      </c>
      <c r="H2138" s="22" t="s">
        <v>117</v>
      </c>
      <c r="I2138" s="26">
        <v>43731</v>
      </c>
      <c r="J2138" s="28" t="s">
        <v>51</v>
      </c>
      <c r="K2138" s="28" t="s">
        <v>51</v>
      </c>
      <c r="L2138" s="28" t="s">
        <v>51</v>
      </c>
      <c r="M2138" s="28" t="s">
        <v>51</v>
      </c>
      <c r="N2138" s="28" t="s">
        <v>51</v>
      </c>
    </row>
    <row r="2139" spans="1:14" x14ac:dyDescent="0.15">
      <c r="A2139" s="23" t="str">
        <f>HYPERLINK("https://www.spark-marketing.ru/Card/Person/1754972", "ГАУ СО ""КЦСОН БАЛАШОВСКОГО РАЙОНА""")</f>
        <v>ГАУ СО "КЦСОН БАЛАШОВСКОГО РАЙОНА"</v>
      </c>
      <c r="B2139" s="24" t="s">
        <v>4014</v>
      </c>
      <c r="C2139" s="25">
        <v>183600</v>
      </c>
      <c r="D2139" s="22" t="s">
        <v>4015</v>
      </c>
      <c r="E2139" s="22" t="s">
        <v>362</v>
      </c>
      <c r="F2139" s="23" t="str">
        <f>HYPERLINK("https://www.spark-marketing.ru/Card/Lot/73747481", "Оказание услуг по организации горячего питания для лиц без определенного места жительства для нужд ГАУ СО «КЦСОН Балашовского района»")</f>
        <v>Оказание услуг по организации горячего питания для лиц без определенного места жительства для нужд ГАУ СО «КЦСОН Балашовского района»</v>
      </c>
      <c r="G2139" s="22" t="s">
        <v>351</v>
      </c>
      <c r="H2139" s="22" t="s">
        <v>351</v>
      </c>
      <c r="I2139" s="26">
        <v>43728</v>
      </c>
      <c r="J2139" s="28" t="s">
        <v>51</v>
      </c>
      <c r="K2139" s="28" t="s">
        <v>51</v>
      </c>
      <c r="L2139" s="28" t="s">
        <v>51</v>
      </c>
      <c r="M2139" s="28" t="s">
        <v>51</v>
      </c>
      <c r="N2139" s="28" t="s">
        <v>51</v>
      </c>
    </row>
    <row r="2140" spans="1:14" x14ac:dyDescent="0.15">
      <c r="A2140" s="23" t="str">
        <f>HYPERLINK("https://www.spark-marketing.ru/Card/Person/656762", "АО ""АЭРОЧИТА""")</f>
        <v>АО "АЭРОЧИТА"</v>
      </c>
      <c r="B2140" s="24" t="s">
        <v>4016</v>
      </c>
      <c r="C2140" s="25">
        <v>692801</v>
      </c>
      <c r="D2140" s="22" t="s">
        <v>4017</v>
      </c>
      <c r="E2140" s="22" t="s">
        <v>580</v>
      </c>
      <c r="F2140" s="23" t="str">
        <f>HYPERLINK("https://www.spark-marketing.ru/Card/Lot/73810991", "Оказание услуг по организации питания пассажиров - держателей специальных карт и их гостей старше 2-х лет в бизнес-зале АО «АэроЧита»")</f>
        <v>Оказание услуг по организации питания пассажиров - держателей специальных карт и их гостей старше 2-х лет в бизнес-зале АО «АэроЧита»</v>
      </c>
      <c r="G2140" s="22" t="s">
        <v>228</v>
      </c>
      <c r="H2140" s="22" t="s">
        <v>394</v>
      </c>
      <c r="I2140" s="26">
        <v>43731</v>
      </c>
      <c r="J2140" s="28" t="s">
        <v>51</v>
      </c>
      <c r="K2140" s="28" t="s">
        <v>51</v>
      </c>
      <c r="L2140" s="28" t="s">
        <v>51</v>
      </c>
      <c r="M2140" s="28" t="s">
        <v>51</v>
      </c>
      <c r="N2140" s="28" t="s">
        <v>51</v>
      </c>
    </row>
    <row r="2141" spans="1:14" x14ac:dyDescent="0.15">
      <c r="A2141" s="23" t="str">
        <f>HYPERLINK("https://www.spark-marketing.ru/Card/Person/1482822", "ГАПОУ СО ""ЕМК""")</f>
        <v>ГАПОУ СО "ЕМК"</v>
      </c>
      <c r="B2141" s="24" t="s">
        <v>4018</v>
      </c>
      <c r="C2141" s="25">
        <v>525500</v>
      </c>
      <c r="D2141" s="22" t="s">
        <v>4019</v>
      </c>
      <c r="E2141" s="22" t="s">
        <v>362</v>
      </c>
      <c r="F2141" s="23" t="str">
        <f>HYPERLINK("https://www.spark-marketing.ru/Card/Lot/73827303", "оказание услуг по организации питания на мероприятии")</f>
        <v>оказание услуг по организации питания на мероприятии</v>
      </c>
      <c r="G2141" s="22" t="s">
        <v>174</v>
      </c>
      <c r="H2141" s="22" t="s">
        <v>174</v>
      </c>
      <c r="I2141" s="26">
        <v>43731</v>
      </c>
      <c r="J2141" s="28" t="s">
        <v>51</v>
      </c>
      <c r="K2141" s="28" t="s">
        <v>51</v>
      </c>
      <c r="L2141" s="28" t="s">
        <v>51</v>
      </c>
      <c r="M2141" s="28" t="s">
        <v>51</v>
      </c>
      <c r="N2141" s="28" t="s">
        <v>51</v>
      </c>
    </row>
    <row r="2142" spans="1:14" x14ac:dyDescent="0.15">
      <c r="A2142" s="23" t="str">
        <f>HYPERLINK("https://www.spark-marketing.ru/Card/Person/1627608", "ООО ""ГАЗПРОМТРАНС""")</f>
        <v>ООО "ГАЗПРОМТРАНС"</v>
      </c>
      <c r="B2142" s="24" t="s">
        <v>4020</v>
      </c>
      <c r="C2142" s="25">
        <v>5383448.0499999998</v>
      </c>
      <c r="D2142" s="22" t="s">
        <v>4021</v>
      </c>
      <c r="E2142" s="22" t="s">
        <v>362</v>
      </c>
      <c r="F2142" s="23" t="str">
        <f>HYPERLINK("https://www.spark-marketing.ru/Card/Lot/73824859", "Оказание услуг по организации общественного питания и торгового обслуживания работников Астраханского филиала ООО ""Газпромтранс"" в 2020 г. для нужд ООО ""Газпромтранс""")</f>
        <v>Оказание услуг по организации общественного питания и торгового обслуживания работников Астраханского филиала ООО "Газпромтранс" в 2020 г. для нужд ООО "Газпромтранс"</v>
      </c>
      <c r="G2142" s="22" t="s">
        <v>56</v>
      </c>
      <c r="H2142" s="22" t="s">
        <v>56</v>
      </c>
      <c r="I2142" s="26">
        <v>43731</v>
      </c>
      <c r="J2142" s="28" t="s">
        <v>51</v>
      </c>
      <c r="K2142" s="28" t="s">
        <v>51</v>
      </c>
      <c r="L2142" s="28" t="s">
        <v>51</v>
      </c>
      <c r="M2142" s="28" t="s">
        <v>51</v>
      </c>
      <c r="N2142" s="28" t="s">
        <v>51</v>
      </c>
    </row>
    <row r="2143" spans="1:14" x14ac:dyDescent="0.2">
      <c r="A2143" s="23" t="str">
        <f>HYPERLINK("https://www.spark-marketing.ru/Card/Person/50743", "МП ""ДЕТСКОЕ ПИТАНИЕ""")</f>
        <v>МП "ДЕТСКОЕ ПИТАНИЕ"</v>
      </c>
      <c r="B2143" s="24" t="s">
        <v>1562</v>
      </c>
      <c r="C2143" s="25">
        <v>940000</v>
      </c>
      <c r="D2143" s="22" t="s">
        <v>3996</v>
      </c>
      <c r="E2143" s="22" t="s">
        <v>3997</v>
      </c>
      <c r="F2143" s="23" t="str">
        <f>HYPERLINK("https://www.spark-marketing.ru/Card/Lot/73825530", "Поставка картофеля (для оказания услуг по предоставлению питания школьникам).")</f>
        <v>Поставка картофеля (для оказания услуг по предоставлению питания школьникам).</v>
      </c>
      <c r="G2143" s="22" t="s">
        <v>1522</v>
      </c>
      <c r="H2143" s="22" t="s">
        <v>1522</v>
      </c>
      <c r="I2143" s="26">
        <v>43731</v>
      </c>
      <c r="J2143" s="28" t="s">
        <v>51</v>
      </c>
      <c r="K2143" s="28" t="s">
        <v>51</v>
      </c>
      <c r="L2143" s="22" t="s">
        <v>10</v>
      </c>
      <c r="M2143" s="25">
        <v>893000</v>
      </c>
      <c r="N2143" s="27">
        <v>0.05</v>
      </c>
    </row>
    <row r="2144" spans="1:14" x14ac:dyDescent="0.15">
      <c r="A2144" s="23" t="str">
        <f>HYPERLINK("https://www.spark-marketing.ru/Card/Person/50743", "МП ""ДЕТСКОЕ ПИТАНИЕ""")</f>
        <v>МП "ДЕТСКОЕ ПИТАНИЕ"</v>
      </c>
      <c r="B2144" s="24" t="s">
        <v>1562</v>
      </c>
      <c r="C2144" s="25">
        <v>354506.25</v>
      </c>
      <c r="D2144" s="22" t="s">
        <v>3996</v>
      </c>
      <c r="E2144" s="22" t="s">
        <v>3997</v>
      </c>
      <c r="F2144" s="23" t="str">
        <f>HYPERLINK("https://www.spark-marketing.ru/Card/Lot/73825532", "Поставка лука репчатого (для оказания услуг по предоставлению питания школьникам).")</f>
        <v>Поставка лука репчатого (для оказания услуг по предоставлению питания школьникам).</v>
      </c>
      <c r="G2144" s="22" t="s">
        <v>1522</v>
      </c>
      <c r="H2144" s="22" t="s">
        <v>1522</v>
      </c>
      <c r="I2144" s="26">
        <v>43731</v>
      </c>
      <c r="J2144" s="28" t="s">
        <v>51</v>
      </c>
      <c r="K2144" s="28" t="s">
        <v>51</v>
      </c>
      <c r="L2144" s="28" t="s">
        <v>51</v>
      </c>
      <c r="M2144" s="28" t="s">
        <v>51</v>
      </c>
      <c r="N2144" s="28" t="s">
        <v>51</v>
      </c>
    </row>
    <row r="2145" spans="1:14" x14ac:dyDescent="0.15">
      <c r="A2145" s="23" t="str">
        <f>HYPERLINK("https://www.spark-marketing.ru/Card/Person/44377", "НАЦИОНАЛЬНЫЙ ИССЛЕДОВАТЕЛЬСКИЙ УНИВЕРСИТЕТ ""ВЫСШАЯ ШКОЛА ЭКОНОМИКИ"";ВЫСШАЯ ШКОЛА ЭКОНОМИКИ;НИУ ВШЭ;ВШЭ")</f>
        <v>НАЦИОНАЛЬНЫЙ ИССЛЕДОВАТЕЛЬСКИЙ УНИВЕРСИТЕТ "ВЫСШАЯ ШКОЛА ЭКОНОМИКИ";ВЫСШАЯ ШКОЛА ЭКОНОМИКИ;НИУ ВШЭ;ВШЭ</v>
      </c>
      <c r="B2145" s="24" t="s">
        <v>1925</v>
      </c>
      <c r="C2145" s="25">
        <v>2421511</v>
      </c>
      <c r="D2145" s="22" t="s">
        <v>4022</v>
      </c>
      <c r="E2145" s="22" t="s">
        <v>4023</v>
      </c>
      <c r="F2145" s="23" t="str">
        <f>HYPERLINK("https://www.spark-marketing.ru/Card/Lot/73692960", "Оказание услуг по организации питания и обслуживанию")</f>
        <v>Оказание услуг по организации питания и обслуживанию</v>
      </c>
      <c r="G2145" s="22" t="s">
        <v>56</v>
      </c>
      <c r="H2145" s="22" t="s">
        <v>56</v>
      </c>
      <c r="I2145" s="26">
        <v>43728</v>
      </c>
      <c r="J2145" s="28" t="s">
        <v>51</v>
      </c>
      <c r="K2145" s="28" t="s">
        <v>51</v>
      </c>
      <c r="L2145" s="28" t="s">
        <v>51</v>
      </c>
      <c r="M2145" s="28" t="s">
        <v>51</v>
      </c>
      <c r="N2145" s="28" t="s">
        <v>51</v>
      </c>
    </row>
    <row r="2146" spans="1:14" x14ac:dyDescent="0.15">
      <c r="A2146" s="23" t="str">
        <f>HYPERLINK("https://www.spark-marketing.ru/Card/Person/24701", "СИБИРСКИЙ УНИВЕРСИТЕТ НАУКИ И ТЕХНОЛОГИЙ, СИБИРСКИЙ ГОСУДАРСТВЕННЫЙ УНИВЕРСИТЕТ, ФГБОУ ВО ""СИБИРСКИЙ ГОСУДАРСТВЕННЫЙ УНИВЕРСИТЕТ НАУКИ И ТЕХНОЛОГИЙ ИМЕНИ АКАДЕМИКА М.Ф. РЕШЕТНЕВА"", СИБГУ ИМ. М.Ф. РЕШЕТНЕВА")</f>
        <v>СИБИРСКИЙ УНИВЕРСИТЕТ НАУКИ И ТЕХНОЛОГИЙ, СИБИРСКИЙ ГОСУДАРСТВЕННЫЙ УНИВЕРСИТЕТ, ФГБОУ ВО "СИБИРСКИЙ ГОСУДАРСТВЕННЫЙ УНИВЕРСИТЕТ НАУКИ И ТЕХНОЛОГИЙ ИМЕНИ АКАДЕМИКА М.Ф. РЕШЕТНЕВА", СИБГУ ИМ. М.Ф. РЕШЕТНЕВА</v>
      </c>
      <c r="B2146" s="24" t="s">
        <v>4024</v>
      </c>
      <c r="C2146" s="25">
        <v>2287405.67</v>
      </c>
      <c r="D2146" s="22" t="s">
        <v>4025</v>
      </c>
      <c r="E2146" s="22" t="s">
        <v>1079</v>
      </c>
      <c r="F2146" s="23" t="str">
        <f>HYPERLINK("https://www.spark-marketing.ru/Card/Lot/73820513", "Оказание услуг по организации и проведению молодежных мероприятий")</f>
        <v>Оказание услуг по организации и проведению молодежных мероприятий</v>
      </c>
      <c r="G2146" s="22" t="s">
        <v>281</v>
      </c>
      <c r="H2146" s="22" t="s">
        <v>281</v>
      </c>
      <c r="I2146" s="26">
        <v>43731</v>
      </c>
      <c r="J2146" s="28" t="s">
        <v>51</v>
      </c>
      <c r="K2146" s="28" t="s">
        <v>51</v>
      </c>
      <c r="L2146" s="28" t="s">
        <v>51</v>
      </c>
      <c r="M2146" s="28" t="s">
        <v>51</v>
      </c>
      <c r="N2146" s="28" t="s">
        <v>51</v>
      </c>
    </row>
    <row r="2147" spans="1:14" x14ac:dyDescent="0.15">
      <c r="A2147" s="23" t="str">
        <f>HYPERLINK("https://www.spark-marketing.ru/Card/Person/1759433", "МАДОУ № 15")</f>
        <v>МАДОУ № 15</v>
      </c>
      <c r="B2147" s="24" t="s">
        <v>4026</v>
      </c>
      <c r="C2147" s="25">
        <v>397440</v>
      </c>
      <c r="D2147" s="22" t="s">
        <v>4027</v>
      </c>
      <c r="E2147" s="22" t="s">
        <v>362</v>
      </c>
      <c r="F2147" s="23" t="str">
        <f>HYPERLINK("https://www.spark-marketing.ru/Card/Lot/73818132", "услуга по обеспечению питанием воспитанников")</f>
        <v>услуга по обеспечению питанием воспитанников</v>
      </c>
      <c r="G2147" s="22" t="s">
        <v>267</v>
      </c>
      <c r="H2147" s="22" t="s">
        <v>267</v>
      </c>
      <c r="I2147" s="26">
        <v>43731</v>
      </c>
      <c r="J2147" s="28" t="s">
        <v>51</v>
      </c>
      <c r="K2147" s="28" t="s">
        <v>51</v>
      </c>
      <c r="L2147" s="28" t="s">
        <v>51</v>
      </c>
      <c r="M2147" s="28" t="s">
        <v>51</v>
      </c>
      <c r="N2147" s="28" t="s">
        <v>51</v>
      </c>
    </row>
    <row r="2148" spans="1:14" x14ac:dyDescent="0.2">
      <c r="A2148" s="23" t="str">
        <f>HYPERLINK("https://www.spark-marketing.ru/Card/Person/50743", "МП ""ДЕТСКОЕ ПИТАНИЕ""")</f>
        <v>МП "ДЕТСКОЕ ПИТАНИЕ"</v>
      </c>
      <c r="B2148" s="24" t="s">
        <v>1562</v>
      </c>
      <c r="C2148" s="25">
        <v>433160</v>
      </c>
      <c r="D2148" s="22" t="s">
        <v>3996</v>
      </c>
      <c r="E2148" s="22" t="s">
        <v>3997</v>
      </c>
      <c r="F2148" s="23" t="str">
        <f>HYPERLINK("https://www.spark-marketing.ru/Card/Lot/73825531", "Поставка моркови (для оказания услуг по предоставлению питания школьникам).")</f>
        <v>Поставка моркови (для оказания услуг по предоставлению питания школьникам).</v>
      </c>
      <c r="G2148" s="22" t="s">
        <v>1522</v>
      </c>
      <c r="H2148" s="22" t="s">
        <v>1522</v>
      </c>
      <c r="I2148" s="26">
        <v>43731</v>
      </c>
      <c r="J2148" s="28" t="s">
        <v>51</v>
      </c>
      <c r="K2148" s="28" t="s">
        <v>51</v>
      </c>
      <c r="L2148" s="22" t="s">
        <v>10</v>
      </c>
      <c r="M2148" s="25">
        <v>247000</v>
      </c>
      <c r="N2148" s="27">
        <v>0.42977190876350541</v>
      </c>
    </row>
    <row r="2149" spans="1:14" x14ac:dyDescent="0.15">
      <c r="A2149" s="23" t="str">
        <f>HYPERLINK("https://www.spark-marketing.ru/Card/Person/85165", "ТОИ ДВО РАН")</f>
        <v>ТОИ ДВО РАН</v>
      </c>
      <c r="B2149" s="24" t="s">
        <v>3993</v>
      </c>
      <c r="C2149" s="25">
        <v>448615.3</v>
      </c>
      <c r="D2149" s="22" t="s">
        <v>4028</v>
      </c>
      <c r="E2149" s="22" t="s">
        <v>3995</v>
      </c>
      <c r="F2149" s="23" t="str">
        <f>HYPERLINK("https://www.spark-marketing.ru/Card/Lot/73807171", "Оказание услуг по организации питания и обеспечению социально-бытовых условий пребывания научных сотрудников, входящих в состав экспедиционного рейса Заказчика № 58 НИС «Академик Опарин»")</f>
        <v>Оказание услуг по организации питания и обеспечению социально-бытовых условий пребывания научных сотрудников, входящих в состав экспедиционного рейса Заказчика № 58 НИС «Академик Опарин»</v>
      </c>
      <c r="G2149" s="22" t="s">
        <v>543</v>
      </c>
      <c r="H2149" s="22" t="s">
        <v>1440</v>
      </c>
      <c r="I2149" s="26">
        <v>43731</v>
      </c>
      <c r="J2149" s="28" t="s">
        <v>51</v>
      </c>
      <c r="K2149" s="28" t="s">
        <v>51</v>
      </c>
      <c r="L2149" s="28" t="s">
        <v>51</v>
      </c>
      <c r="M2149" s="28" t="s">
        <v>51</v>
      </c>
      <c r="N2149" s="28" t="s">
        <v>51</v>
      </c>
    </row>
    <row r="2150" spans="1:14" x14ac:dyDescent="0.15">
      <c r="A2150" s="23" t="str">
        <f>HYPERLINK("https://www.spark-marketing.ru/Card/Person/676290", "МУП ""ГОСТИНИЦА АГИДЕЛЬ""")</f>
        <v>МУП "ГОСТИНИЦА АГИДЕЛЬ"</v>
      </c>
      <c r="B2150" s="24" t="s">
        <v>4029</v>
      </c>
      <c r="C2150" s="25">
        <v>1164000</v>
      </c>
      <c r="D2150" s="22" t="s">
        <v>4030</v>
      </c>
      <c r="E2150" s="22" t="s">
        <v>580</v>
      </c>
      <c r="F2150" s="23" t="str">
        <f>HYPERLINK("https://www.spark-marketing.ru/Card/Lot/73829798", "Оказание комплекса услуг по организации питания потребителей гостиничных услуг МУП ""Гостиница Агидель"" ГО г. Уфа РБ (подробные сведения о предмете договора указаны в Приложении № 1 к извещению)")</f>
        <v>Оказание комплекса услуг по организации питания потребителей гостиничных услуг МУП "Гостиница Агидель" ГО г. Уфа РБ (подробные сведения о предмете договора указаны в Приложении № 1 к извещению)</v>
      </c>
      <c r="G2150" s="22" t="s">
        <v>145</v>
      </c>
      <c r="H2150" s="22" t="s">
        <v>145</v>
      </c>
      <c r="I2150" s="26">
        <v>43731</v>
      </c>
      <c r="J2150" s="28" t="s">
        <v>51</v>
      </c>
      <c r="K2150" s="28" t="s">
        <v>51</v>
      </c>
      <c r="L2150" s="28" t="s">
        <v>51</v>
      </c>
      <c r="M2150" s="28" t="s">
        <v>51</v>
      </c>
      <c r="N2150" s="28" t="s">
        <v>51</v>
      </c>
    </row>
    <row r="2151" spans="1:14" x14ac:dyDescent="0.2">
      <c r="A2151" s="23" t="str">
        <f>HYPERLINK("https://www.spark-marketing.ru/Card/Person/4349237", "АО ""АТК ""ЯМАЛ""")</f>
        <v>АО "АТК "ЯМАЛ"</v>
      </c>
      <c r="B2151" s="24" t="s">
        <v>4031</v>
      </c>
      <c r="C2151" s="25">
        <v>2400000</v>
      </c>
      <c r="D2151" s="22" t="s">
        <v>4032</v>
      </c>
      <c r="E2151" s="22" t="s">
        <v>769</v>
      </c>
      <c r="F2151" s="23" t="str">
        <f>HYPERLINK("https://www.spark-marketing.ru/Card/Lot/73697368", "Оказание комплекса гостиничных услуг (проживание, питание, трансфер) для пассажиров задержанных и отмененных рейсов АО «АТК «Ямал» в г. Новосибирск")</f>
        <v>Оказание комплекса гостиничных услуг (проживание, питание, трансфер) для пассажиров задержанных и отмененных рейсов АО «АТК «Ямал» в г. Новосибирск</v>
      </c>
      <c r="G2151" s="22" t="s">
        <v>195</v>
      </c>
      <c r="H2151" s="22" t="s">
        <v>195</v>
      </c>
      <c r="I2151" s="26">
        <v>43728</v>
      </c>
      <c r="J2151" s="28" t="s">
        <v>51</v>
      </c>
      <c r="K2151" s="28" t="s">
        <v>51</v>
      </c>
      <c r="L2151" s="28" t="s">
        <v>51</v>
      </c>
      <c r="M2151" s="25">
        <v>2400000</v>
      </c>
      <c r="N2151" s="27">
        <v>0</v>
      </c>
    </row>
    <row r="2152" spans="1:14" x14ac:dyDescent="0.15">
      <c r="A2152" s="23" t="str">
        <f>HYPERLINK("https://www.spark-marketing.ru/Card/Person/1033241", "МДОУ ДЕТСКИЙ САД ОБЩЕРАЗВИВАЮЩЕГО ВИДА №28 ""АИСТЕНОК""")</f>
        <v>МДОУ ДЕТСКИЙ САД ОБЩЕРАЗВИВАЮЩЕГО ВИДА №28 "АИСТЕНОК"</v>
      </c>
      <c r="B2152" s="24" t="s">
        <v>4033</v>
      </c>
      <c r="C2152" s="25">
        <v>274625</v>
      </c>
      <c r="D2152" s="22" t="s">
        <v>4034</v>
      </c>
      <c r="E2152" s="22" t="s">
        <v>48</v>
      </c>
      <c r="F2152" s="23" t="str">
        <f>HYPERLINK("https://www.spark-marketing.ru/Card/Lot/73803273",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2152" s="22" t="s">
        <v>49</v>
      </c>
      <c r="H2152" s="22" t="s">
        <v>50</v>
      </c>
      <c r="I2152" s="26">
        <v>43730.9300462963</v>
      </c>
      <c r="J2152" s="28" t="s">
        <v>51</v>
      </c>
      <c r="K2152" s="28" t="s">
        <v>51</v>
      </c>
      <c r="L2152" s="28" t="s">
        <v>51</v>
      </c>
      <c r="M2152" s="28" t="s">
        <v>51</v>
      </c>
      <c r="N2152" s="28" t="s">
        <v>51</v>
      </c>
    </row>
    <row r="2153" spans="1:14" x14ac:dyDescent="0.15">
      <c r="A2153" s="23" t="str">
        <f>HYPERLINK("https://www.spark-marketing.ru/Card/Person/6679002", "АОУ ШКОЛА № 17")</f>
        <v>АОУ ШКОЛА № 17</v>
      </c>
      <c r="B2153" s="24" t="s">
        <v>4035</v>
      </c>
      <c r="C2153" s="25">
        <v>400000</v>
      </c>
      <c r="D2153" s="22" t="s">
        <v>4036</v>
      </c>
      <c r="E2153" s="22" t="s">
        <v>48</v>
      </c>
      <c r="F2153" s="23" t="str">
        <f>HYPERLINK("https://www.spark-marketing.ru/Card/Lot/73780470", "Оказание услуг по организации питания обучающихся")</f>
        <v>Оказание услуг по организации питания обучающихся</v>
      </c>
      <c r="G2153" s="22" t="s">
        <v>49</v>
      </c>
      <c r="H2153" s="22" t="s">
        <v>4037</v>
      </c>
      <c r="I2153" s="26">
        <v>43729.336307870399</v>
      </c>
      <c r="J2153" s="28" t="s">
        <v>51</v>
      </c>
      <c r="K2153" s="28" t="s">
        <v>51</v>
      </c>
      <c r="L2153" s="28" t="s">
        <v>51</v>
      </c>
      <c r="M2153" s="28" t="s">
        <v>51</v>
      </c>
      <c r="N2153" s="28" t="s">
        <v>51</v>
      </c>
    </row>
    <row r="2154" spans="1:14" x14ac:dyDescent="0.15">
      <c r="A2154" s="23" t="str">
        <f>HYPERLINK("https://www.spark-marketing.ru/Card/Person/262599", "ГОСТРУДИНСПЕКЦИЯ В БРЯНСКОЙ ОБЛАСТИ")</f>
        <v>ГОСТРУДИНСПЕКЦИЯ В БРЯНСКОЙ ОБЛАСТИ</v>
      </c>
      <c r="B2154" s="24" t="s">
        <v>4038</v>
      </c>
      <c r="C2154" s="25">
        <v>292416.40000000002</v>
      </c>
      <c r="D2154" s="22" t="s">
        <v>4039</v>
      </c>
      <c r="E2154" s="22" t="s">
        <v>4040</v>
      </c>
      <c r="F2154" s="23" t="str">
        <f>HYPERLINK("https://www.spark-marketing.ru/Card/Lot/73753738", "Инженерное оборудование, Услуги, Канцелярские товары, Хозяйственные товары, Строительство и ремонт, Компьютерное оборудование, Товары для дома и дачи, Банковское оборудование и ККМ")</f>
        <v>Инженерное оборудование, Услуги, Канцелярские товары, Хозяйственные товары, Строительство и ремонт, Компьютерное оборудование, Товары для дома и дачи, Банковское оборудование и ККМ</v>
      </c>
      <c r="G2154" s="22" t="s">
        <v>475</v>
      </c>
      <c r="H2154" s="22" t="s">
        <v>476</v>
      </c>
      <c r="I2154" s="26">
        <v>43728.838726851798</v>
      </c>
      <c r="J2154" s="28" t="s">
        <v>51</v>
      </c>
      <c r="K2154" s="28" t="s">
        <v>51</v>
      </c>
      <c r="L2154" s="28" t="s">
        <v>51</v>
      </c>
      <c r="M2154" s="28" t="s">
        <v>51</v>
      </c>
      <c r="N2154" s="28" t="s">
        <v>51</v>
      </c>
    </row>
    <row r="2155" spans="1:14" x14ac:dyDescent="0.15">
      <c r="A2155" s="23" t="str">
        <f>HYPERLINK("https://www.spark-marketing.ru/Card/Person/88769", "ГБУ МГДУ")</f>
        <v>ГБУ МГДУ</v>
      </c>
      <c r="B2155" s="24" t="s">
        <v>4041</v>
      </c>
      <c r="C2155" s="25">
        <v>9874647.0299999993</v>
      </c>
      <c r="D2155" s="22" t="s">
        <v>4042</v>
      </c>
      <c r="E2155" s="22" t="s">
        <v>81</v>
      </c>
      <c r="F2155" s="23" t="str">
        <f>HYPERLINK("https://www.spark-marketing.ru/Card/Lot/73762415", "Оказание услуг гражданам пожилого возраста, бывшим работникам образовательных организаций, подведомственных Департаменту образования и науки города Москвы, в учреждениях с временным круглосуточным проживанием, обеспечением питания и организацией досу...")</f>
        <v>Оказание услуг гражданам пожилого возраста, бывшим работникам образовательных организаций, подведомственных Департаменту образования и науки города Москвы, в учреждениях с временным круглосуточным проживанием, обеспечением питания и организацией досу...</v>
      </c>
      <c r="G2155" s="22" t="s">
        <v>56</v>
      </c>
      <c r="H2155" s="22" t="s">
        <v>56</v>
      </c>
      <c r="I2155" s="26">
        <v>43728.815277777801</v>
      </c>
      <c r="J2155" s="23" t="str">
        <f>HYPERLINK("https://www.spark-marketing.ru/Card/Person/43095", "ГБПОУ КИГМ № 23")</f>
        <v>ГБПОУ КИГМ № 23</v>
      </c>
      <c r="K2155" s="24" t="s">
        <v>4043</v>
      </c>
      <c r="L2155" s="22" t="s">
        <v>10</v>
      </c>
      <c r="M2155" s="28" t="s">
        <v>51</v>
      </c>
      <c r="N2155" s="28" t="s">
        <v>51</v>
      </c>
    </row>
    <row r="2156" spans="1:14" x14ac:dyDescent="0.15">
      <c r="A2156" s="23" t="str">
        <f>HYPERLINK("https://www.spark-marketing.ru/Card/Person/1003295", "ОМВД РОССИИ ПО МОКШАНСКОМУ РАЙОНУ")</f>
        <v>ОМВД РОССИИ ПО МОКШАНСКОМУ РАЙОНУ</v>
      </c>
      <c r="B2156" s="24" t="s">
        <v>4044</v>
      </c>
      <c r="C2156" s="25">
        <v>182100</v>
      </c>
      <c r="D2156" s="22" t="s">
        <v>4045</v>
      </c>
      <c r="E2156" s="22" t="s">
        <v>48</v>
      </c>
      <c r="F2156" s="23" t="str">
        <f>HYPERLINK("https://www.spark-marketing.ru/Card/Lot/73745670",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2156" s="22" t="s">
        <v>72</v>
      </c>
      <c r="H2156" s="22" t="s">
        <v>4046</v>
      </c>
      <c r="I2156" s="26">
        <v>43728.712592592601</v>
      </c>
      <c r="J2156" s="28" t="s">
        <v>51</v>
      </c>
      <c r="K2156" s="28" t="s">
        <v>51</v>
      </c>
      <c r="L2156" s="28" t="s">
        <v>51</v>
      </c>
      <c r="M2156" s="28" t="s">
        <v>51</v>
      </c>
      <c r="N2156" s="28" t="s">
        <v>51</v>
      </c>
    </row>
    <row r="2157" spans="1:14" x14ac:dyDescent="0.15">
      <c r="A2157" s="23" t="str">
        <f>HYPERLINK("https://www.spark-marketing.ru/Card/Person/1072382", "МБОУ СШ №6")</f>
        <v>МБОУ СШ №6</v>
      </c>
      <c r="B2157" s="24" t="s">
        <v>4047</v>
      </c>
      <c r="C2157" s="25">
        <v>1948786.96</v>
      </c>
      <c r="D2157" s="22" t="s">
        <v>4048</v>
      </c>
      <c r="E2157" s="22" t="s">
        <v>48</v>
      </c>
      <c r="F2157" s="23" t="str">
        <f>HYPERLINK("https://www.spark-marketing.ru/Card/Lot/73757092", "Услуги по организации горячего питания обучающихся в МБОУ СШ №6")</f>
        <v>Услуги по организации горячего питания обучающихся в МБОУ СШ №6</v>
      </c>
      <c r="G2157" s="22" t="s">
        <v>76</v>
      </c>
      <c r="H2157" s="22" t="s">
        <v>76</v>
      </c>
      <c r="I2157" s="26">
        <v>43728.716666666704</v>
      </c>
      <c r="J2157" s="28" t="s">
        <v>51</v>
      </c>
      <c r="K2157" s="28" t="s">
        <v>51</v>
      </c>
      <c r="L2157" s="28" t="s">
        <v>51</v>
      </c>
      <c r="M2157" s="28" t="s">
        <v>51</v>
      </c>
      <c r="N2157" s="28" t="s">
        <v>51</v>
      </c>
    </row>
    <row r="2158" spans="1:14" ht="12.75" x14ac:dyDescent="0.2">
      <c r="A2158" s="23" t="str">
        <f>HYPERLINK("https://www.spark-marketing.ru/Card/Person/261881", "ФКУ ИК-3 УФСИН РОССИИ ПО КИРОВСКОЙ ОБЛАСТИ")</f>
        <v>ФКУ ИК-3 УФСИН РОССИИ ПО КИРОВСКОЙ ОБЛАСТИ</v>
      </c>
      <c r="B2158" s="24" t="s">
        <v>4049</v>
      </c>
      <c r="C2158" s="25">
        <v>4380</v>
      </c>
      <c r="D2158" s="22" t="s">
        <v>4050</v>
      </c>
      <c r="E2158" s="22" t="s">
        <v>437</v>
      </c>
      <c r="F2158" s="23" t="str">
        <f>HYPERLINK("https://www.spark-marketing.ru/Card/Lot/73750076", "Услуги по проведению лабораторных исследований")</f>
        <v>Услуги по проведению лабораторных исследований</v>
      </c>
      <c r="G2158" s="22" t="s">
        <v>224</v>
      </c>
      <c r="H2158" s="22" t="s">
        <v>4051</v>
      </c>
      <c r="I2158" s="26">
        <v>43728.690972222197</v>
      </c>
      <c r="J2158" s="23" t="str">
        <f>HYPERLINK("https://www.spark-marketing.ru/Card/Person/1907", "ФБУЗ ""ЦЕНТР ГИГИЕНЫ И ЭПИДЕМИОЛОГИИ В КИРОВСКОЙ ОБЛАСТИ""")</f>
        <v>ФБУЗ "ЦЕНТР ГИГИЕНЫ И ЭПИДЕМИОЛОГИИ В КИРОВСКОЙ ОБЛАСТИ"</v>
      </c>
      <c r="K2158" s="24" t="s">
        <v>3187</v>
      </c>
      <c r="L2158" s="22" t="s">
        <v>10</v>
      </c>
      <c r="M2158" s="25">
        <v>4379.91</v>
      </c>
      <c r="N2158" s="27">
        <v>2.0547945205479453E-5</v>
      </c>
    </row>
    <row r="2159" spans="1:14" x14ac:dyDescent="0.15">
      <c r="A2159" s="23" t="str">
        <f>HYPERLINK("https://www.spark-marketing.ru/Card/Person/357229", "ОТДЕЛ МВД РОССИИ ПО Г. ГУКОВО")</f>
        <v>ОТДЕЛ МВД РОССИИ ПО Г. ГУКОВО</v>
      </c>
      <c r="B2159" s="24" t="s">
        <v>4052</v>
      </c>
      <c r="C2159" s="25">
        <v>40000</v>
      </c>
      <c r="D2159" s="22" t="s">
        <v>4053</v>
      </c>
      <c r="E2159" s="22" t="s">
        <v>48</v>
      </c>
      <c r="F2159" s="23" t="str">
        <f>HYPERLINK("https://www.spark-marketing.ru/Card/Lot/73740172", "Услуги по обеспечению питанием, осуществляемые по договору, 400 усл. ед")</f>
        <v>Услуги по обеспечению питанием, осуществляемые по договору, 400 усл. ед</v>
      </c>
      <c r="G2159" s="22" t="s">
        <v>267</v>
      </c>
      <c r="H2159" s="22" t="s">
        <v>4054</v>
      </c>
      <c r="I2159" s="26">
        <v>43728.6697569444</v>
      </c>
      <c r="J2159" s="28" t="s">
        <v>51</v>
      </c>
      <c r="K2159" s="28" t="s">
        <v>51</v>
      </c>
      <c r="L2159" s="28" t="s">
        <v>51</v>
      </c>
      <c r="M2159" s="28" t="s">
        <v>51</v>
      </c>
      <c r="N2159" s="28" t="s">
        <v>51</v>
      </c>
    </row>
    <row r="2160" spans="1:14" x14ac:dyDescent="0.15">
      <c r="A2160" s="23" t="str">
        <f>HYPERLINK("https://www.spark-marketing.ru/Card/Person/1043795", "ГКОУ ""С(К)Ш № 10"" Г. ОРСКА ОРЕНБУРГСКОЙ ОБЛАСТИ")</f>
        <v>ГКОУ "С(К)Ш № 10" Г. ОРСКА ОРЕНБУРГСКОЙ ОБЛАСТИ</v>
      </c>
      <c r="B2160" s="24" t="s">
        <v>4055</v>
      </c>
      <c r="C2160" s="25">
        <v>715000</v>
      </c>
      <c r="D2160" s="22" t="s">
        <v>4056</v>
      </c>
      <c r="E2160" s="22" t="s">
        <v>48</v>
      </c>
      <c r="F2160" s="23" t="str">
        <f>HYPERLINK("https://www.spark-marketing.ru/Card/Lot/73754704", "Оказание услуг по организации питания учащихся ГКОУ «Специальная (коррекционная) школа № 10» г. Орска Оренбургской области")</f>
        <v>Оказание услуг по организации питания учащихся ГКОУ «Специальная (коррекционная) школа № 10» г. Орска Оренбургской области</v>
      </c>
      <c r="G2160" s="22" t="s">
        <v>132</v>
      </c>
      <c r="H2160" s="22" t="s">
        <v>4057</v>
      </c>
      <c r="I2160" s="26">
        <v>43728.685416666704</v>
      </c>
      <c r="J2160" s="23" t="str">
        <f>HYPERLINK("https://www.spark-marketing.ru/Card/Person/748444", "ООО ""КШП""")</f>
        <v>ООО "КШП"</v>
      </c>
      <c r="K2160" s="24" t="s">
        <v>4058</v>
      </c>
      <c r="L2160" s="22" t="s">
        <v>10</v>
      </c>
      <c r="M2160" s="28" t="s">
        <v>51</v>
      </c>
      <c r="N2160" s="28" t="s">
        <v>51</v>
      </c>
    </row>
    <row r="2161" spans="1:14" x14ac:dyDescent="0.15">
      <c r="A2161" s="23" t="str">
        <f>HYPERLINK("https://www.spark-marketing.ru/Card/Person/2503", "ГАУЗ ДГБ С ПЦ")</f>
        <v>ГАУЗ ДГБ С ПЦ</v>
      </c>
      <c r="B2161" s="24" t="s">
        <v>757</v>
      </c>
      <c r="C2161" s="25">
        <v>857812.04</v>
      </c>
      <c r="D2161" s="22" t="s">
        <v>4059</v>
      </c>
      <c r="E2161" s="22" t="s">
        <v>96</v>
      </c>
      <c r="F2161" s="23" t="str">
        <f>HYPERLINK("https://www.spark-marketing.ru/Card/Lot/73755490", "оказание услуг по организации, обеспечению, приготовлению и доставке готового лечебного питания для Государственного автономного учреждения здравоохранения «Детская городская больница с перинатальным центром».")</f>
        <v>оказание услуг по организации, обеспечению, приготовлению и доставке готового лечебного питания для Государственного автономного учреждения здравоохранения «Детская городская больница с перинатальным центром».</v>
      </c>
      <c r="G2161" s="22" t="s">
        <v>217</v>
      </c>
      <c r="H2161" s="22" t="s">
        <v>218</v>
      </c>
      <c r="I2161" s="26">
        <v>43728.683333333298</v>
      </c>
      <c r="J2161" s="23" t="str">
        <f>HYPERLINK("https://www.spark-marketing.ru/Card/Person/110715", "ООО ""НИВА""")</f>
        <v>ООО "НИВА"</v>
      </c>
      <c r="K2161" s="24" t="s">
        <v>4060</v>
      </c>
      <c r="L2161" s="22" t="s">
        <v>10</v>
      </c>
      <c r="M2161" s="28" t="s">
        <v>51</v>
      </c>
      <c r="N2161" s="28" t="s">
        <v>51</v>
      </c>
    </row>
    <row r="2162" spans="1:14" x14ac:dyDescent="0.15">
      <c r="A2162" s="23" t="str">
        <f>HYPERLINK("https://www.spark-marketing.ru/Card/Person/1003295", "ОМВД РОССИИ ПО МОКШАНСКОМУ РАЙОНУ")</f>
        <v>ОМВД РОССИИ ПО МОКШАНСКОМУ РАЙОНУ</v>
      </c>
      <c r="B2162" s="24" t="s">
        <v>4044</v>
      </c>
      <c r="C2162" s="25">
        <v>182100</v>
      </c>
      <c r="D2162" s="22" t="s">
        <v>4061</v>
      </c>
      <c r="E2162" s="22" t="s">
        <v>48</v>
      </c>
      <c r="F2162" s="23" t="str">
        <f>HYPERLINK("https://www.spark-marketing.ru/Card/Lot/73744790",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2162" s="22" t="s">
        <v>72</v>
      </c>
      <c r="H2162" s="22" t="s">
        <v>4046</v>
      </c>
      <c r="I2162" s="26">
        <v>43728.702164351896</v>
      </c>
      <c r="J2162" s="28" t="s">
        <v>51</v>
      </c>
      <c r="K2162" s="28" t="s">
        <v>51</v>
      </c>
      <c r="L2162" s="28" t="s">
        <v>51</v>
      </c>
      <c r="M2162" s="28" t="s">
        <v>51</v>
      </c>
      <c r="N2162" s="28" t="s">
        <v>51</v>
      </c>
    </row>
    <row r="2163" spans="1:14" x14ac:dyDescent="0.15">
      <c r="A2163" s="23" t="str">
        <f>HYPERLINK("https://www.spark-marketing.ru/Card/Person/6431", "МКУ ""МФЦ Г. СУРГУТА""")</f>
        <v>МКУ "МФЦ Г. СУРГУТА"</v>
      </c>
      <c r="B2163" s="24" t="s">
        <v>4062</v>
      </c>
      <c r="C2163" s="25">
        <v>267226.67</v>
      </c>
      <c r="D2163" s="22" t="s">
        <v>4063</v>
      </c>
      <c r="E2163" s="22" t="s">
        <v>91</v>
      </c>
      <c r="F2163" s="23" t="str">
        <f>HYPERLINK("https://www.spark-marketing.ru/Card/Lot/73749115", "Выполнение работ по ремонту источника бесперебойного питания с использованием средств и материалов подрядчика")</f>
        <v>Выполнение работ по ремонту источника бесперебойного питания с использованием средств и материалов подрядчика</v>
      </c>
      <c r="G2163" s="22" t="s">
        <v>97</v>
      </c>
      <c r="H2163" s="22" t="s">
        <v>3533</v>
      </c>
      <c r="I2163" s="26">
        <v>43728.673611111102</v>
      </c>
      <c r="J2163" s="23" t="str">
        <f>HYPERLINK("https://www.spark-marketing.ru/Card/Person/944507", "ООО ""СЕМЬ МОРЕЙ""")</f>
        <v>ООО "СЕМЬ МОРЕЙ"</v>
      </c>
      <c r="K2163" s="24" t="s">
        <v>4064</v>
      </c>
      <c r="L2163" s="22" t="s">
        <v>10</v>
      </c>
      <c r="M2163" s="28" t="s">
        <v>51</v>
      </c>
      <c r="N2163" s="28" t="s">
        <v>51</v>
      </c>
    </row>
    <row r="2164" spans="1:14" x14ac:dyDescent="0.15">
      <c r="A2164" s="23" t="str">
        <f>HYPERLINK("https://www.spark-marketing.ru/Card/Person/140088", "МО МВД РОССИИ ""НОВОУЗЕНСКИЙ"" САРАТОВСКОЙ ОБЛАСТИ")</f>
        <v>МО МВД РОССИИ "НОВОУЗЕНСКИЙ" САРАТОВСКОЙ ОБЛАСТИ</v>
      </c>
      <c r="B2164" s="24" t="s">
        <v>349</v>
      </c>
      <c r="C2164" s="25">
        <v>90000</v>
      </c>
      <c r="D2164" s="22" t="s">
        <v>4065</v>
      </c>
      <c r="E2164" s="22" t="s">
        <v>48</v>
      </c>
      <c r="F2164" s="23" t="str">
        <f>HYPERLINK("https://www.spark-marketing.ru/Card/Lot/73742272", "Услуги по обеспечению питанием, осуществляемые по договору, 473 усл. ед")</f>
        <v>Услуги по обеспечению питанием, осуществляемые по договору, 473 усл. ед</v>
      </c>
      <c r="G2164" s="22" t="s">
        <v>351</v>
      </c>
      <c r="H2164" s="22" t="s">
        <v>352</v>
      </c>
      <c r="I2164" s="26">
        <v>43728.6850694444</v>
      </c>
      <c r="J2164" s="28" t="s">
        <v>51</v>
      </c>
      <c r="K2164" s="28" t="s">
        <v>51</v>
      </c>
      <c r="L2164" s="28" t="s">
        <v>51</v>
      </c>
      <c r="M2164" s="28" t="s">
        <v>51</v>
      </c>
      <c r="N2164" s="28" t="s">
        <v>51</v>
      </c>
    </row>
    <row r="2165" spans="1:14" x14ac:dyDescent="0.15">
      <c r="A2165" s="23" t="str">
        <f>HYPERLINK("https://www.spark-marketing.ru/Card/Person/6086", "ГКУ ""ДИРЕКЦИЯ ОДОТСЗН Г. МОСКВЫ""")</f>
        <v>ГКУ "ДИРЕКЦИЯ ОДОТСЗН Г. МОСКВЫ"</v>
      </c>
      <c r="B2165" s="24" t="s">
        <v>164</v>
      </c>
      <c r="C2165" s="25">
        <v>15024803.4</v>
      </c>
      <c r="D2165" s="22" t="s">
        <v>4066</v>
      </c>
      <c r="E2165" s="22" t="s">
        <v>86</v>
      </c>
      <c r="F2165" s="23" t="str">
        <f>HYPERLINK("https://www.spark-marketing.ru/Card/Lot/73763925", "Оказание услуг по предоставлению санаторно-курортного лечения (по путевкам) в 2020-2021 годах году отдельным льготным категориям граждан, проживающим в городе Москва в санатории для лечения болезни эндокринной системы, расстройства питания и нарушени...")</f>
        <v>Оказание услуг по предоставлению санаторно-курортного лечения (по путевкам) в 2020-2021 годах году отдельным льготным категориям граждан, проживающим в городе Москва в санатории для лечения болезни эндокринной системы, расстройства питания и нарушени...</v>
      </c>
      <c r="G2165" s="22" t="s">
        <v>56</v>
      </c>
      <c r="H2165" s="22" t="s">
        <v>56</v>
      </c>
      <c r="I2165" s="26">
        <v>43728.673611111102</v>
      </c>
      <c r="J2165" s="28" t="s">
        <v>51</v>
      </c>
      <c r="K2165" s="28" t="s">
        <v>51</v>
      </c>
      <c r="L2165" s="28" t="s">
        <v>51</v>
      </c>
      <c r="M2165" s="28" t="s">
        <v>51</v>
      </c>
      <c r="N2165" s="28" t="s">
        <v>51</v>
      </c>
    </row>
    <row r="2166" spans="1:14" x14ac:dyDescent="0.15">
      <c r="A2166" s="23" t="str">
        <f>HYPERLINK("https://www.spark-marketing.ru/Card/Person/29384", "ГУ-КАЛУЖСКОЕ РО ФОНДА СОЦИАЛЬНОГО СТРАХОВАНИЯ РОССИЙСКОЙ ФЕДЕРАЦИИ")</f>
        <v>ГУ-КАЛУЖСКОЕ РО ФОНДА СОЦИАЛЬНОГО СТРАХОВАНИЯ РОССИЙСКОЙ ФЕДЕРАЦИИ</v>
      </c>
      <c r="B2166" s="24" t="s">
        <v>4067</v>
      </c>
      <c r="C2166" s="25">
        <v>449172</v>
      </c>
      <c r="D2166" s="22" t="s">
        <v>4068</v>
      </c>
      <c r="E2166" s="22" t="s">
        <v>86</v>
      </c>
      <c r="F2166" s="23" t="str">
        <f>HYPERLINK("https://www.spark-marketing.ru/Card/Lot/73753178", "Оказание услуг по санаторно-курортному лечению граждан Российской Федерации, проживающих на территории Калужской области, с заболеваниями по классам IV МКБ-10 «Болезни эндокринной системы, расстройства питания и нарушения обмена веществ», IX МКБ-10 «...")</f>
        <v>Оказание услуг по санаторно-курортному лечению граждан Российской Федерации, проживающих на территории Калужской области, с заболеваниями по классам IV МКБ-10 «Болезни эндокринной системы, расстройства питания и нарушения обмена веществ», IX МКБ-10 «...</v>
      </c>
      <c r="G2166" s="22" t="s">
        <v>475</v>
      </c>
      <c r="H2166" s="22" t="s">
        <v>475</v>
      </c>
      <c r="I2166" s="26">
        <v>43728.694444444402</v>
      </c>
      <c r="J2166" s="23" t="str">
        <f>HYPERLINK("https://www.spark-marketing.ru/Card/Person/132681", "АО ""БРЯНСКАГРОЗДРАВНИЦА""")</f>
        <v>АО "БРЯНСКАГРОЗДРАВНИЦА"</v>
      </c>
      <c r="K2166" s="24" t="s">
        <v>2456</v>
      </c>
      <c r="L2166" s="22" t="s">
        <v>10</v>
      </c>
      <c r="M2166" s="28" t="s">
        <v>51</v>
      </c>
      <c r="N2166" s="28" t="s">
        <v>51</v>
      </c>
    </row>
    <row r="2167" spans="1:14" x14ac:dyDescent="0.15">
      <c r="A2167" s="23" t="str">
        <f>HYPERLINK("https://www.spark-marketing.ru/Card/Person/358839", "ОМВД РОССИИ ПО ГДОВСКОМУ РАЙОНУ")</f>
        <v>ОМВД РОССИИ ПО ГДОВСКОМУ РАЙОНУ</v>
      </c>
      <c r="B2167" s="24" t="s">
        <v>4069</v>
      </c>
      <c r="C2167" s="25">
        <v>10000</v>
      </c>
      <c r="D2167" s="22" t="s">
        <v>4070</v>
      </c>
      <c r="E2167" s="22" t="s">
        <v>96</v>
      </c>
      <c r="F2167" s="23" t="str">
        <f>HYPERLINK("https://www.spark-marketing.ru/Card/Lot/73742184",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2167" s="22" t="s">
        <v>415</v>
      </c>
      <c r="H2167" s="22" t="s">
        <v>4071</v>
      </c>
      <c r="I2167" s="26">
        <v>43728.675393518497</v>
      </c>
      <c r="J2167" s="28" t="s">
        <v>51</v>
      </c>
      <c r="K2167" s="28" t="s">
        <v>51</v>
      </c>
      <c r="L2167" s="28" t="s">
        <v>51</v>
      </c>
      <c r="M2167" s="28" t="s">
        <v>51</v>
      </c>
      <c r="N2167" s="28" t="s">
        <v>51</v>
      </c>
    </row>
    <row r="2168" spans="1:14" x14ac:dyDescent="0.15">
      <c r="A2168" s="23" t="str">
        <f>HYPERLINK("https://www.spark-marketing.ru/Card/Person/1047988", "ОТДМВД РОССИИ ПО СПАССКОМУ РАЙОНУ")</f>
        <v>ОТДМВД РОССИИ ПО СПАССКОМУ РАЙОНУ</v>
      </c>
      <c r="B2168" s="24" t="s">
        <v>4072</v>
      </c>
      <c r="C2168" s="25">
        <v>121250</v>
      </c>
      <c r="D2168" s="22" t="s">
        <v>4073</v>
      </c>
      <c r="E2168" s="22" t="s">
        <v>48</v>
      </c>
      <c r="F2168" s="23" t="str">
        <f>HYPERLINK("https://www.spark-marketing.ru/Card/Lot/73743928",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2168" s="22" t="s">
        <v>72</v>
      </c>
      <c r="H2168" s="22" t="s">
        <v>622</v>
      </c>
      <c r="I2168" s="26">
        <v>43728.686550925901</v>
      </c>
      <c r="J2168" s="28" t="s">
        <v>51</v>
      </c>
      <c r="K2168" s="28" t="s">
        <v>51</v>
      </c>
      <c r="L2168" s="28" t="s">
        <v>51</v>
      </c>
      <c r="M2168" s="28" t="s">
        <v>51</v>
      </c>
      <c r="N2168" s="28" t="s">
        <v>51</v>
      </c>
    </row>
    <row r="2169" spans="1:14" x14ac:dyDescent="0.15">
      <c r="A2169" s="23" t="str">
        <f>HYPERLINK("https://www.spark-marketing.ru/Card/Person/1043290", "ФКУ ""ЦУКС ГУ МЧС РОССИИ ПО ТУЛЬСКОЙ ОБЛАСТИ""")</f>
        <v>ФКУ "ЦУКС ГУ МЧС РОССИИ ПО ТУЛЬСКОЙ ОБЛАСТИ"</v>
      </c>
      <c r="B2169" s="24" t="s">
        <v>3435</v>
      </c>
      <c r="C2169" s="25">
        <v>293706</v>
      </c>
      <c r="D2169" s="22" t="s">
        <v>4074</v>
      </c>
      <c r="E2169" s="22" t="s">
        <v>96</v>
      </c>
      <c r="F2169" s="23" t="str">
        <f>HYPERLINK("https://www.spark-marketing.ru/Card/Lot/73719888", "Оказание услуг по организации питания (приготовлению и доставке), 888 шт")</f>
        <v>Оказание услуг по организации питания (приготовлению и доставке), 888 шт</v>
      </c>
      <c r="G2169" s="22" t="s">
        <v>68</v>
      </c>
      <c r="H2169" s="22" t="s">
        <v>69</v>
      </c>
      <c r="I2169" s="26">
        <v>43728.626712963</v>
      </c>
      <c r="J2169" s="28" t="s">
        <v>51</v>
      </c>
      <c r="K2169" s="28" t="s">
        <v>51</v>
      </c>
      <c r="L2169" s="28" t="s">
        <v>51</v>
      </c>
      <c r="M2169" s="28" t="s">
        <v>51</v>
      </c>
      <c r="N2169" s="28" t="s">
        <v>51</v>
      </c>
    </row>
    <row r="2170" spans="1:14" ht="12.75" x14ac:dyDescent="0.2">
      <c r="A2170" s="23" t="str">
        <f>HYPERLINK("https://www.spark-marketing.ru/Card/Person/4350885", "ЗАКОНОДАТЕЛЬНОЕ СОБРАНИЕ ЛЕНИНГРАДСКОЙ ОБЛАСТИ")</f>
        <v>ЗАКОНОДАТЕЛЬНОЕ СОБРАНИЕ ЛЕНИНГРАДСКОЙ ОБЛАСТИ</v>
      </c>
      <c r="B2170" s="24" t="s">
        <v>4075</v>
      </c>
      <c r="C2170" s="25">
        <v>203600</v>
      </c>
      <c r="D2170" s="22" t="s">
        <v>4076</v>
      </c>
      <c r="E2170" s="22" t="s">
        <v>4077</v>
      </c>
      <c r="F2170" s="23" t="str">
        <f>HYPERLINK("https://www.spark-marketing.ru/Card/Lot/73749449", "Оказание услуг по проведению семинара-встречи депутатов Законодательного собрания Ленинградской области с руководителями средств массовой информации Ленинградской области.")</f>
        <v>Оказание услуг по проведению семинара-встречи депутатов Законодательного собрания Ленинградской области с руководителями средств массовой информации Ленинградской области.</v>
      </c>
      <c r="G2170" s="22" t="s">
        <v>117</v>
      </c>
      <c r="H2170" s="22" t="s">
        <v>117</v>
      </c>
      <c r="I2170" s="26">
        <v>43728.634722222203</v>
      </c>
      <c r="J2170" s="23" t="str">
        <f>HYPERLINK("https://www.spark-marketing.ru/Card/Person/400033", "ООО ""КУРОРТНОЕ АГЕНТСТВО ПЛЮС""")</f>
        <v>ООО "КУРОРТНОЕ АГЕНТСТВО ПЛЮС"</v>
      </c>
      <c r="K2170" s="24" t="s">
        <v>4078</v>
      </c>
      <c r="L2170" s="22" t="s">
        <v>10</v>
      </c>
      <c r="M2170" s="25">
        <v>203000</v>
      </c>
      <c r="N2170" s="27">
        <v>2.9469548133595285E-3</v>
      </c>
    </row>
    <row r="2171" spans="1:14" x14ac:dyDescent="0.15">
      <c r="A2171" s="23" t="str">
        <f>HYPERLINK("https://www.spark-marketing.ru/Card/Person/4348382", "ООО ""ГАЗПРОМ ПИТАНИЕ""")</f>
        <v>ООО "ГАЗПРОМ ПИТАНИЕ"</v>
      </c>
      <c r="B2171" s="24" t="s">
        <v>2869</v>
      </c>
      <c r="C2171" s="25">
        <v>384466.7</v>
      </c>
      <c r="D2171" s="22" t="s">
        <v>4079</v>
      </c>
      <c r="E2171" s="22" t="s">
        <v>52</v>
      </c>
      <c r="F2171" s="23" t="str">
        <f>HYPERLINK("https://www.spark-marketing.ru/Card/Lot/73735218", "Услуга по предоставлению барной продукции при организации празднования 75-летия со дня образования газового надзора по адресу: москва, ул. наметкина, д. 16, корп. 3, для нужд филиала «московское управление по организации общественного питания» ооо «г...")</f>
        <v>Услуга по предоставлению барной продукции при организации празднования 75-летия со дня образования газового надзора по адресу: москва, ул. наметкина, д. 16, корп. 3, для нужд филиала «московское управление по организации общественного питания» ооо «г...</v>
      </c>
      <c r="G2171" s="22" t="s">
        <v>56</v>
      </c>
      <c r="H2171" s="22" t="s">
        <v>56</v>
      </c>
      <c r="I2171" s="26">
        <v>43728.6430555556</v>
      </c>
      <c r="J2171" s="28" t="s">
        <v>51</v>
      </c>
      <c r="K2171" s="28" t="s">
        <v>51</v>
      </c>
      <c r="L2171" s="28" t="s">
        <v>51</v>
      </c>
      <c r="M2171" s="28" t="s">
        <v>51</v>
      </c>
      <c r="N2171" s="28" t="s">
        <v>51</v>
      </c>
    </row>
    <row r="2172" spans="1:14" x14ac:dyDescent="0.15">
      <c r="A2172" s="23" t="str">
        <f>HYPERLINK("https://www.spark-marketing.ru/Card/Person/38226", "ОГБУЗ ""АСИНОВСКАЯ РАЙОННАЯ БОЛЬНИЦА""")</f>
        <v>ОГБУЗ "АСИНОВСКАЯ РАЙОННАЯ БОЛЬНИЦА"</v>
      </c>
      <c r="B2172" s="24" t="s">
        <v>4080</v>
      </c>
      <c r="C2172" s="25">
        <v>39845000</v>
      </c>
      <c r="D2172" s="22" t="s">
        <v>4081</v>
      </c>
      <c r="E2172" s="22" t="s">
        <v>48</v>
      </c>
      <c r="F2172" s="23" t="str">
        <f>HYPERLINK("https://www.spark-marketing.ru/Card/Lot/73765165", "Оказание услуг по организации питания пациентов ОГБУЗ ""Асиновская РБ""")</f>
        <v>Оказание услуг по организации питания пациентов ОГБУЗ "Асиновская РБ"</v>
      </c>
      <c r="G2172" s="22" t="s">
        <v>149</v>
      </c>
      <c r="H2172" s="22" t="s">
        <v>1499</v>
      </c>
      <c r="I2172" s="26">
        <v>43728.645833333299</v>
      </c>
      <c r="J2172" s="28" t="s">
        <v>51</v>
      </c>
      <c r="K2172" s="28" t="s">
        <v>51</v>
      </c>
      <c r="L2172" s="28" t="s">
        <v>51</v>
      </c>
      <c r="M2172" s="28" t="s">
        <v>51</v>
      </c>
      <c r="N2172" s="28" t="s">
        <v>51</v>
      </c>
    </row>
    <row r="2173" spans="1:14" ht="12.75" hidden="1" outlineLevel="1" x14ac:dyDescent="0.2">
      <c r="A2173" s="23" t="str">
        <f>HYPERLINK("https://www.spark-marketing.ru/Card/Person/38226", "ОГБУЗ ""АСИНОВСКАЯ РАЙОННАЯ БОЛЬНИЦА""")</f>
        <v>ОГБУЗ "АСИНОВСКАЯ РАЙОННАЯ БОЛЬНИЦА"</v>
      </c>
      <c r="B2173" s="24" t="s">
        <v>4080</v>
      </c>
      <c r="C2173" s="25">
        <v>39845000</v>
      </c>
      <c r="D2173" s="22" t="s">
        <v>4081</v>
      </c>
      <c r="E2173" s="22" t="s">
        <v>48</v>
      </c>
      <c r="F2173" s="23" t="str">
        <f>HYPERLINK("https://www.spark-marketing.ru/Card/Lot/73765165", "Оказание услуг по организации питания пациентов ОГБУЗ ""Асиновская РБ""")</f>
        <v>Оказание услуг по организации питания пациентов ОГБУЗ "Асиновская РБ"</v>
      </c>
      <c r="G2173" s="22" t="s">
        <v>149</v>
      </c>
      <c r="H2173" s="22" t="s">
        <v>1499</v>
      </c>
      <c r="I2173" s="26">
        <v>43728.645833333299</v>
      </c>
      <c r="J2173" s="23" t="str">
        <f>HYPERLINK("https://www.spark-marketing.ru/Card/Person/852288", "ООО ""ЗДОРОВОЕ ПИТАНИЕ""")</f>
        <v>ООО "ЗДОРОВОЕ ПИТАНИЕ"</v>
      </c>
      <c r="K2173" s="24" t="s">
        <v>4082</v>
      </c>
      <c r="L2173" s="22" t="s">
        <v>10</v>
      </c>
      <c r="M2173" s="25">
        <v>38051975</v>
      </c>
      <c r="N2173" s="27">
        <v>4.4999999999999998E-2</v>
      </c>
    </row>
    <row r="2174" spans="1:14" hidden="1" outlineLevel="1" x14ac:dyDescent="0.2">
      <c r="A2174" s="23" t="str">
        <f>HYPERLINK("https://www.spark-marketing.ru/Card/Person/38226", "ОГБУЗ ""АСИНОВСКАЯ РАЙОННАЯ БОЛЬНИЦА""")</f>
        <v>ОГБУЗ "АСИНОВСКАЯ РАЙОННАЯ БОЛЬНИЦА"</v>
      </c>
      <c r="B2174" s="24" t="s">
        <v>4080</v>
      </c>
      <c r="C2174" s="25">
        <v>39845000</v>
      </c>
      <c r="D2174" s="22" t="s">
        <v>4081</v>
      </c>
      <c r="E2174" s="22" t="s">
        <v>48</v>
      </c>
      <c r="F2174" s="23" t="str">
        <f>HYPERLINK("https://www.spark-marketing.ru/Card/Lot/73765165", "Оказание услуг по организации питания пациентов ОГБУЗ ""Асиновская РБ""")</f>
        <v>Оказание услуг по организации питания пациентов ОГБУЗ "Асиновская РБ"</v>
      </c>
      <c r="G2174" s="22" t="s">
        <v>149</v>
      </c>
      <c r="H2174" s="22" t="s">
        <v>1499</v>
      </c>
      <c r="I2174" s="26">
        <v>43728.645833333299</v>
      </c>
      <c r="J2174" s="23" t="str">
        <f>HYPERLINK("https://www.spark-marketing.ru/Card/Person/6494179", "Квасов Андрей Васильевич")</f>
        <v>Квасов Андрей Васильевич</v>
      </c>
      <c r="K2174" s="24" t="s">
        <v>4083</v>
      </c>
      <c r="L2174" s="28" t="s">
        <v>51</v>
      </c>
      <c r="M2174" s="25">
        <v>38251200</v>
      </c>
      <c r="N2174" s="27">
        <v>0.04</v>
      </c>
    </row>
    <row r="2175" spans="1:14" x14ac:dyDescent="0.15">
      <c r="A2175" s="23" t="str">
        <f>HYPERLINK("https://www.spark-marketing.ru/Card/Person/114165", "МБДОУ ДЕТСКИЙ САД ОБЩЕРАЗВИВАЮЩЕГО ВИДА №12 ""ПЕТРУШКА""")</f>
        <v>МБДОУ ДЕТСКИЙ САД ОБЩЕРАЗВИВАЮЩЕГО ВИДА №12 "ПЕТРУШКА"</v>
      </c>
      <c r="B2175" s="24" t="s">
        <v>4084</v>
      </c>
      <c r="C2175" s="25">
        <v>3922</v>
      </c>
      <c r="D2175" s="22" t="s">
        <v>4085</v>
      </c>
      <c r="E2175" s="22" t="s">
        <v>152</v>
      </c>
      <c r="F2175" s="23" t="str">
        <f>HYPERLINK("https://www.spark-marketing.ru/Card/Lot/73742480", "Оказание услуги по замене нового блока питания типа БП-3А с размещением в отдельный электормонтажный щит для системы доступа ограничения (домофон)")</f>
        <v>Оказание услуги по замене нового блока питания типа БП-3А с размещением в отдельный электормонтажный щит для системы доступа ограничения (домофон)</v>
      </c>
      <c r="G2175" s="22" t="s">
        <v>49</v>
      </c>
      <c r="H2175" s="22" t="s">
        <v>1160</v>
      </c>
      <c r="I2175" s="26">
        <v>43728.659513888902</v>
      </c>
      <c r="J2175" s="28" t="s">
        <v>51</v>
      </c>
      <c r="K2175" s="28" t="s">
        <v>51</v>
      </c>
      <c r="L2175" s="28" t="s">
        <v>51</v>
      </c>
      <c r="M2175" s="28" t="s">
        <v>51</v>
      </c>
      <c r="N2175" s="28" t="s">
        <v>51</v>
      </c>
    </row>
    <row r="2176" spans="1:14" x14ac:dyDescent="0.15">
      <c r="A2176" s="23" t="str">
        <f>HYPERLINK("https://www.spark-marketing.ru/Card/Person/145680", "УМВД РОССИИ ПО Г. ТАМБОВУ")</f>
        <v>УМВД РОССИИ ПО Г. ТАМБОВУ</v>
      </c>
      <c r="B2176" s="24" t="s">
        <v>2023</v>
      </c>
      <c r="C2176" s="25">
        <v>2244164.73</v>
      </c>
      <c r="D2176" s="22" t="s">
        <v>4086</v>
      </c>
      <c r="E2176" s="22" t="s">
        <v>48</v>
      </c>
      <c r="F2176" s="23" t="str">
        <f>HYPERLINK("https://www.spark-marketing.ru/Card/Lot/73757668", "Оказание услуг по питанию лиц, содержащихся в ИВС, спецприемнике и камерах административных задержанных УМВД России по г. Тамбову")</f>
        <v>Оказание услуг по питанию лиц, содержащихся в ИВС, спецприемнике и камерах административных задержанных УМВД России по г. Тамбову</v>
      </c>
      <c r="G2176" s="22" t="s">
        <v>1370</v>
      </c>
      <c r="H2176" s="22" t="s">
        <v>2025</v>
      </c>
      <c r="I2176" s="26">
        <v>43728.595833333296</v>
      </c>
      <c r="J2176" s="23" t="str">
        <f>HYPERLINK("https://www.spark-marketing.ru/Card/Person/146147", "ООО ""КОБАЛЬТ""")</f>
        <v>ООО "КОБАЛЬТ"</v>
      </c>
      <c r="K2176" s="24" t="s">
        <v>2026</v>
      </c>
      <c r="L2176" s="22" t="s">
        <v>10</v>
      </c>
      <c r="M2176" s="28" t="s">
        <v>51</v>
      </c>
      <c r="N2176" s="28" t="s">
        <v>51</v>
      </c>
    </row>
    <row r="2177" spans="1:14" x14ac:dyDescent="0.15">
      <c r="A2177" s="23" t="str">
        <f>HYPERLINK("https://www.spark-marketing.ru/Card/Person/998548", "ОМВД РОССИИ ПО ГОРОДУ ВЕЛИКИЕ ЛУКИ")</f>
        <v>ОМВД РОССИИ ПО ГОРОДУ ВЕЛИКИЕ ЛУКИ</v>
      </c>
      <c r="B2177" s="24" t="s">
        <v>3838</v>
      </c>
      <c r="C2177" s="25">
        <v>819311.85</v>
      </c>
      <c r="D2177" s="22" t="s">
        <v>4087</v>
      </c>
      <c r="E2177" s="22" t="s">
        <v>48</v>
      </c>
      <c r="F2177" s="23" t="str">
        <f>HYPERLINK("https://www.spark-marketing.ru/Card/Lot/73755161", "оказание услуг по питанию лиц, содержащихся в ИВС и дежурной части 2021 г.")</f>
        <v>оказание услуг по питанию лиц, содержащихся в ИВС и дежурной части 2021 г.</v>
      </c>
      <c r="G2177" s="22" t="s">
        <v>415</v>
      </c>
      <c r="H2177" s="22" t="s">
        <v>3840</v>
      </c>
      <c r="I2177" s="26">
        <v>43728.617361111101</v>
      </c>
      <c r="J2177" s="28" t="s">
        <v>51</v>
      </c>
      <c r="K2177" s="28" t="s">
        <v>51</v>
      </c>
      <c r="L2177" s="28" t="s">
        <v>51</v>
      </c>
      <c r="M2177" s="28" t="s">
        <v>51</v>
      </c>
      <c r="N2177" s="28" t="s">
        <v>51</v>
      </c>
    </row>
    <row r="2178" spans="1:14" hidden="1" outlineLevel="1" x14ac:dyDescent="0.2">
      <c r="A2178" s="23" t="str">
        <f>HYPERLINK("https://www.spark-marketing.ru/Card/Person/998548", "ОМВД РОССИИ ПО ГОРОДУ ВЕЛИКИЕ ЛУКИ")</f>
        <v>ОМВД РОССИИ ПО ГОРОДУ ВЕЛИКИЕ ЛУКИ</v>
      </c>
      <c r="B2178" s="24" t="s">
        <v>3838</v>
      </c>
      <c r="C2178" s="25">
        <v>819311.85</v>
      </c>
      <c r="D2178" s="22" t="s">
        <v>4087</v>
      </c>
      <c r="E2178" s="22" t="s">
        <v>48</v>
      </c>
      <c r="F2178" s="23" t="str">
        <f>HYPERLINK("https://www.spark-marketing.ru/Card/Lot/73755161", "оказание услуг по питанию лиц, содержащихся в ИВС и дежурной части 2021 г.")</f>
        <v>оказание услуг по питанию лиц, содержащихся в ИВС и дежурной части 2021 г.</v>
      </c>
      <c r="G2178" s="22" t="s">
        <v>415</v>
      </c>
      <c r="H2178" s="22" t="s">
        <v>3840</v>
      </c>
      <c r="I2178" s="26">
        <v>43728.617361111101</v>
      </c>
      <c r="J2178" s="23" t="str">
        <f>HYPERLINK("https://www.spark-marketing.ru/Card/Person/6457099", "Веркеенко Наталия Николаевна")</f>
        <v>Веркеенко Наталия Николаевна</v>
      </c>
      <c r="K2178" s="24" t="s">
        <v>3841</v>
      </c>
      <c r="L2178" s="28" t="s">
        <v>51</v>
      </c>
      <c r="M2178" s="25">
        <v>651352.89</v>
      </c>
      <c r="N2178" s="27">
        <v>0.2050000375314967</v>
      </c>
    </row>
    <row r="2179" spans="1:14" ht="12.75" hidden="1" outlineLevel="1" x14ac:dyDescent="0.2">
      <c r="A2179" s="23" t="str">
        <f>HYPERLINK("https://www.spark-marketing.ru/Card/Person/998548", "ОМВД РОССИИ ПО ГОРОДУ ВЕЛИКИЕ ЛУКИ")</f>
        <v>ОМВД РОССИИ ПО ГОРОДУ ВЕЛИКИЕ ЛУКИ</v>
      </c>
      <c r="B2179" s="24" t="s">
        <v>3838</v>
      </c>
      <c r="C2179" s="25">
        <v>819311.85</v>
      </c>
      <c r="D2179" s="22" t="s">
        <v>4087</v>
      </c>
      <c r="E2179" s="22" t="s">
        <v>48</v>
      </c>
      <c r="F2179" s="23" t="str">
        <f>HYPERLINK("https://www.spark-marketing.ru/Card/Lot/73755161", "оказание услуг по питанию лиц, содержащихся в ИВС и дежурной части 2021 г.")</f>
        <v>оказание услуг по питанию лиц, содержащихся в ИВС и дежурной части 2021 г.</v>
      </c>
      <c r="G2179" s="22" t="s">
        <v>415</v>
      </c>
      <c r="H2179" s="22" t="s">
        <v>3840</v>
      </c>
      <c r="I2179" s="26">
        <v>43728.617361111101</v>
      </c>
      <c r="J2179" s="23" t="str">
        <f>HYPERLINK("https://www.spark-marketing.ru/Card/Person/382377", "ООО ""ВЕЛЭКОПРОД""")</f>
        <v>ООО "ВЕЛЭКОПРОД"</v>
      </c>
      <c r="K2179" s="24" t="s">
        <v>3842</v>
      </c>
      <c r="L2179" s="22" t="s">
        <v>10</v>
      </c>
      <c r="M2179" s="25">
        <v>647256.32999999996</v>
      </c>
      <c r="N2179" s="27">
        <v>0.21000003844689907</v>
      </c>
    </row>
    <row r="2180" spans="1:14" x14ac:dyDescent="0.15">
      <c r="A2180" s="23" t="str">
        <f>HYPERLINK("https://www.spark-marketing.ru/Card/Person/127605", "ГУП ""МОСКОВСКИЙ МЕТРОПОЛИТЕН""")</f>
        <v>ГУП "МОСКОВСКИЙ МЕТРОПОЛИТЕН"</v>
      </c>
      <c r="B2180" s="24" t="s">
        <v>4088</v>
      </c>
      <c r="C2180" s="25">
        <v>672759.5</v>
      </c>
      <c r="D2180" s="22" t="s">
        <v>4089</v>
      </c>
      <c r="E2180" s="22" t="s">
        <v>152</v>
      </c>
      <c r="F2180" s="23" t="str">
        <f>HYPERLINK("https://www.spark-marketing.ru/Card/Lot/73753501", "Оказание услуг по ремонту устройств и оборудования связи (источники бесперебойного питания)")</f>
        <v>Оказание услуг по ремонту устройств и оборудования связи (источники бесперебойного питания)</v>
      </c>
      <c r="G2180" s="22" t="s">
        <v>56</v>
      </c>
      <c r="H2180" s="22" t="s">
        <v>56</v>
      </c>
      <c r="I2180" s="26">
        <v>43728.596527777801</v>
      </c>
      <c r="J2180" s="28" t="s">
        <v>51</v>
      </c>
      <c r="K2180" s="28" t="s">
        <v>51</v>
      </c>
      <c r="L2180" s="28" t="s">
        <v>51</v>
      </c>
      <c r="M2180" s="28" t="s">
        <v>51</v>
      </c>
      <c r="N2180" s="28" t="s">
        <v>51</v>
      </c>
    </row>
    <row r="2181" spans="1:14" x14ac:dyDescent="0.15">
      <c r="A2181" s="23" t="str">
        <f>HYPERLINK("https://www.spark-marketing.ru/Card/Person/145680", "УМВД РОССИИ ПО Г. ТАМБОВУ")</f>
        <v>УМВД РОССИИ ПО Г. ТАМБОВУ</v>
      </c>
      <c r="B2181" s="24" t="s">
        <v>2023</v>
      </c>
      <c r="C2181" s="25">
        <v>1299692.92</v>
      </c>
      <c r="D2181" s="22" t="s">
        <v>4090</v>
      </c>
      <c r="E2181" s="22" t="s">
        <v>48</v>
      </c>
      <c r="F2181" s="23" t="str">
        <f>HYPERLINK("https://www.spark-marketing.ru/Card/Lot/73756610", "Оказание услуг по ежедневной организации и доставке трехразового горячего питания лицам, содержащимся в центре временного содержания иностранных граждан")</f>
        <v>Оказание услуг по ежедневной организации и доставке трехразового горячего питания лицам, содержащимся в центре временного содержания иностранных граждан</v>
      </c>
      <c r="G2181" s="22" t="s">
        <v>1370</v>
      </c>
      <c r="H2181" s="22" t="s">
        <v>2025</v>
      </c>
      <c r="I2181" s="26">
        <v>43728.597916666702</v>
      </c>
      <c r="J2181" s="23" t="str">
        <f>HYPERLINK("https://www.spark-marketing.ru/Card/Person/146147", "ООО ""КОБАЛЬТ""")</f>
        <v>ООО "КОБАЛЬТ"</v>
      </c>
      <c r="K2181" s="24" t="s">
        <v>2026</v>
      </c>
      <c r="L2181" s="22" t="s">
        <v>10</v>
      </c>
      <c r="M2181" s="28" t="s">
        <v>51</v>
      </c>
      <c r="N2181" s="28" t="s">
        <v>51</v>
      </c>
    </row>
    <row r="2182" spans="1:14" x14ac:dyDescent="0.15">
      <c r="A2182" s="23" t="str">
        <f>HYPERLINK("https://www.spark-marketing.ru/Card/Person/4679", "ОМВД РОССИИ ПО НАДЫМСКОМУ РАЙОНУ")</f>
        <v>ОМВД РОССИИ ПО НАДЫМСКОМУ РАЙОНУ</v>
      </c>
      <c r="B2182" s="24" t="s">
        <v>4091</v>
      </c>
      <c r="C2182" s="25">
        <v>69156.33</v>
      </c>
      <c r="D2182" s="22" t="s">
        <v>4092</v>
      </c>
      <c r="E2182" s="22" t="s">
        <v>2086</v>
      </c>
      <c r="F2182" s="23" t="str">
        <f>HYPERLINK("https://www.spark-marketing.ru/Card/Lot/73725953", "Оказание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вооружения")</f>
        <v>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</v>
      </c>
      <c r="G2182" s="22" t="s">
        <v>1056</v>
      </c>
      <c r="H2182" s="22" t="s">
        <v>2702</v>
      </c>
      <c r="I2182" s="26">
        <v>43728.609722222202</v>
      </c>
      <c r="J2182" s="28" t="s">
        <v>51</v>
      </c>
      <c r="K2182" s="28" t="s">
        <v>51</v>
      </c>
      <c r="L2182" s="28" t="s">
        <v>51</v>
      </c>
      <c r="M2182" s="28" t="s">
        <v>51</v>
      </c>
      <c r="N2182" s="28" t="s">
        <v>51</v>
      </c>
    </row>
    <row r="2183" spans="1:14" hidden="1" outlineLevel="1" x14ac:dyDescent="0.2">
      <c r="A2183" s="23" t="str">
        <f>HYPERLINK("https://www.spark-marketing.ru/Card/Person/4679", "ОМВД РОССИИ ПО НАДЫМСКОМУ РАЙОНУ")</f>
        <v>ОМВД РОССИИ ПО НАДЫМСКОМУ РАЙОНУ</v>
      </c>
      <c r="B2183" s="24" t="s">
        <v>4091</v>
      </c>
      <c r="C2183" s="25">
        <v>69156.33</v>
      </c>
      <c r="D2183" s="22" t="s">
        <v>4092</v>
      </c>
      <c r="E2183" s="22" t="s">
        <v>2086</v>
      </c>
      <c r="F2183" s="23" t="str">
        <f>HYPERLINK("https://www.spark-marketing.ru/Card/Lot/73725953", "Оказание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вооружения")</f>
        <v>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</v>
      </c>
      <c r="G2183" s="22" t="s">
        <v>1056</v>
      </c>
      <c r="H2183" s="22" t="s">
        <v>2702</v>
      </c>
      <c r="I2183" s="26">
        <v>43728.609722222202</v>
      </c>
      <c r="J2183" s="23" t="str">
        <f>HYPERLINK("https://www.spark-marketing.ru/Card/Person/137733", "ООО СЦ ""РЕММАРК""")</f>
        <v>ООО СЦ "РЕММАРК"</v>
      </c>
      <c r="K2183" s="24" t="s">
        <v>4093</v>
      </c>
      <c r="L2183" s="28" t="s">
        <v>51</v>
      </c>
      <c r="M2183" s="25">
        <v>67963.679999999993</v>
      </c>
      <c r="N2183" s="27">
        <v>1.7245709828731512E-2</v>
      </c>
    </row>
    <row r="2184" spans="1:14" ht="12.75" hidden="1" outlineLevel="1" x14ac:dyDescent="0.2">
      <c r="A2184" s="23" t="str">
        <f>HYPERLINK("https://www.spark-marketing.ru/Card/Person/4679", "ОМВД РОССИИ ПО НАДЫМСКОМУ РАЙОНУ")</f>
        <v>ОМВД РОССИИ ПО НАДЫМСКОМУ РАЙОНУ</v>
      </c>
      <c r="B2184" s="24" t="s">
        <v>4091</v>
      </c>
      <c r="C2184" s="25">
        <v>69156.33</v>
      </c>
      <c r="D2184" s="22" t="s">
        <v>4092</v>
      </c>
      <c r="E2184" s="22" t="s">
        <v>2086</v>
      </c>
      <c r="F2184" s="23" t="str">
        <f>HYPERLINK("https://www.spark-marketing.ru/Card/Lot/73725953", "Оказание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вооружения")</f>
        <v>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</v>
      </c>
      <c r="G2184" s="22" t="s">
        <v>1056</v>
      </c>
      <c r="H2184" s="22" t="s">
        <v>2702</v>
      </c>
      <c r="I2184" s="26">
        <v>43728.609722222202</v>
      </c>
      <c r="J2184" s="23" t="str">
        <f>HYPERLINK("https://www.spark-marketing.ru/Card/Person/4359595", "ООО ""ПРОКСИ-КОМ""")</f>
        <v>ООО "ПРОКСИ-КОМ"</v>
      </c>
      <c r="K2184" s="24" t="s">
        <v>4094</v>
      </c>
      <c r="L2184" s="22" t="s">
        <v>10</v>
      </c>
      <c r="M2184" s="25">
        <v>67615.149999999994</v>
      </c>
      <c r="N2184" s="27">
        <v>2.2285450948597185E-2</v>
      </c>
    </row>
    <row r="2185" spans="1:14" ht="12.75" x14ac:dyDescent="0.2">
      <c r="A2185" s="23" t="str">
        <f>HYPERLINK("https://www.spark-marketing.ru/Card/Person/78187", "ГБУЗ АРХАНГЕЛЬСКОЙ ОБЛАСТИ ""ЯРЕНСКАЯ ЦРБ""")</f>
        <v>ГБУЗ АРХАНГЕЛЬСКОЙ ОБЛАСТИ "ЯРЕНСКАЯ ЦРБ"</v>
      </c>
      <c r="B2185" s="24" t="s">
        <v>4095</v>
      </c>
      <c r="C2185" s="25">
        <v>284600</v>
      </c>
      <c r="D2185" s="22" t="s">
        <v>4096</v>
      </c>
      <c r="E2185" s="22" t="s">
        <v>48</v>
      </c>
      <c r="F2185" s="23" t="str">
        <f>HYPERLINK("https://www.spark-marketing.ru/Card/Lot/73748016", "Оказание услуг по организации питания пациентов круглосуточных стационаров Урдомской больницы")</f>
        <v>Оказание услуг по организации питания пациентов круглосуточных стационаров Урдомской больницы</v>
      </c>
      <c r="G2185" s="22" t="s">
        <v>214</v>
      </c>
      <c r="H2185" s="22" t="s">
        <v>4097</v>
      </c>
      <c r="I2185" s="26">
        <v>43728.609722222202</v>
      </c>
      <c r="J2185" s="23" t="str">
        <f>HYPERLINK("https://www.spark-marketing.ru/Card/Person/4463168", "Байдина Валентина Анатольевна")</f>
        <v>Байдина Валентина Анатольевна</v>
      </c>
      <c r="K2185" s="24" t="s">
        <v>4098</v>
      </c>
      <c r="L2185" s="22" t="s">
        <v>10</v>
      </c>
      <c r="M2185" s="25">
        <v>284500</v>
      </c>
      <c r="N2185" s="27">
        <v>3.5137034434293746E-4</v>
      </c>
    </row>
    <row r="2186" spans="1:14" x14ac:dyDescent="0.15">
      <c r="A2186" s="23" t="str">
        <f>HYPERLINK("https://www.spark-marketing.ru/Card/Person/88926", "УМВД РОССИИ ПО Г. ХАБАРОВСКУ")</f>
        <v>УМВД РОССИИ ПО Г. ХАБАРОВСКУ</v>
      </c>
      <c r="B2186" s="24" t="s">
        <v>4099</v>
      </c>
      <c r="C2186" s="25">
        <v>1718104.65</v>
      </c>
      <c r="D2186" s="22" t="s">
        <v>4100</v>
      </c>
      <c r="E2186" s="22" t="s">
        <v>96</v>
      </c>
      <c r="F2186" s="23" t="str">
        <f>HYPERLINK("https://www.spark-marketing.ru/Card/Lot/73655823", "Оказание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г.Хабаровску")</f>
        <v>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</v>
      </c>
      <c r="G2186" s="22" t="s">
        <v>1096</v>
      </c>
      <c r="H2186" s="22" t="s">
        <v>1097</v>
      </c>
      <c r="I2186" s="26">
        <v>43728.586805555598</v>
      </c>
      <c r="J2186" s="28" t="s">
        <v>51</v>
      </c>
      <c r="K2186" s="28" t="s">
        <v>51</v>
      </c>
      <c r="L2186" s="28" t="s">
        <v>51</v>
      </c>
      <c r="M2186" s="28" t="s">
        <v>51</v>
      </c>
      <c r="N2186" s="28" t="s">
        <v>51</v>
      </c>
    </row>
    <row r="2187" spans="1:14" ht="12.75" hidden="1" outlineLevel="1" x14ac:dyDescent="0.2">
      <c r="A2187" s="23" t="str">
        <f>HYPERLINK("https://www.spark-marketing.ru/Card/Person/88926", "УМВД РОССИИ ПО Г. ХАБАРОВСКУ")</f>
        <v>УМВД РОССИИ ПО Г. ХАБАРОВСКУ</v>
      </c>
      <c r="B2187" s="24" t="s">
        <v>4099</v>
      </c>
      <c r="C2187" s="25">
        <v>1718104.65</v>
      </c>
      <c r="D2187" s="22" t="s">
        <v>4100</v>
      </c>
      <c r="E2187" s="22" t="s">
        <v>96</v>
      </c>
      <c r="F2187" s="23" t="str">
        <f>HYPERLINK("https://www.spark-marketing.ru/Card/Lot/73655823", "Оказание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г.Хабаровску")</f>
        <v>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</v>
      </c>
      <c r="G2187" s="22" t="s">
        <v>1096</v>
      </c>
      <c r="H2187" s="22" t="s">
        <v>1097</v>
      </c>
      <c r="I2187" s="26">
        <v>43728.586805555598</v>
      </c>
      <c r="J2187" s="23" t="str">
        <f>HYPERLINK("https://www.spark-marketing.ru/Card/Person/4349415", "ООО ""РОКОС""")</f>
        <v>ООО "РОКОС"</v>
      </c>
      <c r="K2187" s="24" t="s">
        <v>4101</v>
      </c>
      <c r="L2187" s="22" t="s">
        <v>10</v>
      </c>
      <c r="M2187" s="25">
        <v>1048043.88</v>
      </c>
      <c r="N2187" s="27">
        <v>0.38999997468140257</v>
      </c>
    </row>
    <row r="2188" spans="1:14" hidden="1" outlineLevel="1" x14ac:dyDescent="0.2">
      <c r="A2188" s="23" t="str">
        <f>HYPERLINK("https://www.spark-marketing.ru/Card/Person/88926", "УМВД РОССИИ ПО Г. ХАБАРОВСКУ")</f>
        <v>УМВД РОССИИ ПО Г. ХАБАРОВСКУ</v>
      </c>
      <c r="B2188" s="24" t="s">
        <v>4099</v>
      </c>
      <c r="C2188" s="25">
        <v>1718104.65</v>
      </c>
      <c r="D2188" s="22" t="s">
        <v>4100</v>
      </c>
      <c r="E2188" s="22" t="s">
        <v>96</v>
      </c>
      <c r="F2188" s="23" t="str">
        <f>HYPERLINK("https://www.spark-marketing.ru/Card/Lot/73655823", "Оказание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г.Хабаровску")</f>
        <v>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</v>
      </c>
      <c r="G2188" s="22" t="s">
        <v>1096</v>
      </c>
      <c r="H2188" s="22" t="s">
        <v>1097</v>
      </c>
      <c r="I2188" s="26">
        <v>43728.586805555598</v>
      </c>
      <c r="J2188" s="23" t="str">
        <f>HYPERLINK("https://www.spark-marketing.ru/Card/Person/486941", "ООО ""ГРАНД-АМУР""")</f>
        <v>ООО "ГРАНД-АМУР"</v>
      </c>
      <c r="K2188" s="24" t="s">
        <v>3965</v>
      </c>
      <c r="L2188" s="28" t="s">
        <v>51</v>
      </c>
      <c r="M2188" s="25">
        <v>1133949.1100000001</v>
      </c>
      <c r="N2188" s="27">
        <v>0.33999997613649435</v>
      </c>
    </row>
    <row r="2189" spans="1:14" x14ac:dyDescent="0.15">
      <c r="A2189" s="23" t="str">
        <f>HYPERLINK("https://www.spark-marketing.ru/Card/Person/998548", "ОМВД РОССИИ ПО ГОРОДУ ВЕЛИКИЕ ЛУКИ")</f>
        <v>ОМВД РОССИИ ПО ГОРОДУ ВЕЛИКИЕ ЛУКИ</v>
      </c>
      <c r="B2189" s="24" t="s">
        <v>3838</v>
      </c>
      <c r="C2189" s="25">
        <v>819311.85</v>
      </c>
      <c r="D2189" s="22" t="s">
        <v>4102</v>
      </c>
      <c r="E2189" s="22" t="s">
        <v>48</v>
      </c>
      <c r="F2189" s="23" t="str">
        <f>HYPERLINK("https://www.spark-marketing.ru/Card/Lot/73755141", "оказание услуг по питанию лиц, содержащихся в ИВС и дежурной части 2020 г.")</f>
        <v>оказание услуг по питанию лиц, содержащихся в ИВС и дежурной части 2020 г.</v>
      </c>
      <c r="G2189" s="22" t="s">
        <v>415</v>
      </c>
      <c r="H2189" s="22" t="s">
        <v>3840</v>
      </c>
      <c r="I2189" s="26">
        <v>43728.604166666701</v>
      </c>
      <c r="J2189" s="28" t="s">
        <v>51</v>
      </c>
      <c r="K2189" s="28" t="s">
        <v>51</v>
      </c>
      <c r="L2189" s="28" t="s">
        <v>51</v>
      </c>
      <c r="M2189" s="28" t="s">
        <v>51</v>
      </c>
      <c r="N2189" s="28" t="s">
        <v>51</v>
      </c>
    </row>
    <row r="2190" spans="1:14" hidden="1" outlineLevel="1" x14ac:dyDescent="0.2">
      <c r="A2190" s="23" t="str">
        <f>HYPERLINK("https://www.spark-marketing.ru/Card/Person/998548", "ОМВД РОССИИ ПО ГОРОДУ ВЕЛИКИЕ ЛУКИ")</f>
        <v>ОМВД РОССИИ ПО ГОРОДУ ВЕЛИКИЕ ЛУКИ</v>
      </c>
      <c r="B2190" s="24" t="s">
        <v>3838</v>
      </c>
      <c r="C2190" s="25">
        <v>819311.85</v>
      </c>
      <c r="D2190" s="22" t="s">
        <v>4102</v>
      </c>
      <c r="E2190" s="22" t="s">
        <v>48</v>
      </c>
      <c r="F2190" s="23" t="str">
        <f>HYPERLINK("https://www.spark-marketing.ru/Card/Lot/73755141", "оказание услуг по питанию лиц, содержащихся в ИВС и дежурной части 2020 г.")</f>
        <v>оказание услуг по питанию лиц, содержащихся в ИВС и дежурной части 2020 г.</v>
      </c>
      <c r="G2190" s="22" t="s">
        <v>415</v>
      </c>
      <c r="H2190" s="22" t="s">
        <v>3840</v>
      </c>
      <c r="I2190" s="26">
        <v>43728.604166666701</v>
      </c>
      <c r="J2190" s="23" t="str">
        <f>HYPERLINK("https://www.spark-marketing.ru/Card/Person/6457099", "Веркеенко Наталия Николаевна")</f>
        <v>Веркеенко Наталия Николаевна</v>
      </c>
      <c r="K2190" s="24" t="s">
        <v>3841</v>
      </c>
      <c r="L2190" s="28" t="s">
        <v>51</v>
      </c>
      <c r="M2190" s="25">
        <v>643159.77</v>
      </c>
      <c r="N2190" s="27">
        <v>0.21500003936230141</v>
      </c>
    </row>
    <row r="2191" spans="1:14" ht="12.75" hidden="1" outlineLevel="1" x14ac:dyDescent="0.2">
      <c r="A2191" s="23" t="str">
        <f>HYPERLINK("https://www.spark-marketing.ru/Card/Person/998548", "ОМВД РОССИИ ПО ГОРОДУ ВЕЛИКИЕ ЛУКИ")</f>
        <v>ОМВД РОССИИ ПО ГОРОДУ ВЕЛИКИЕ ЛУКИ</v>
      </c>
      <c r="B2191" s="24" t="s">
        <v>3838</v>
      </c>
      <c r="C2191" s="25">
        <v>819311.85</v>
      </c>
      <c r="D2191" s="22" t="s">
        <v>4102</v>
      </c>
      <c r="E2191" s="22" t="s">
        <v>48</v>
      </c>
      <c r="F2191" s="23" t="str">
        <f>HYPERLINK("https://www.spark-marketing.ru/Card/Lot/73755141", "оказание услуг по питанию лиц, содержащихся в ИВС и дежурной части 2020 г.")</f>
        <v>оказание услуг по питанию лиц, содержащихся в ИВС и дежурной части 2020 г.</v>
      </c>
      <c r="G2191" s="22" t="s">
        <v>415</v>
      </c>
      <c r="H2191" s="22" t="s">
        <v>3840</v>
      </c>
      <c r="I2191" s="26">
        <v>43728.604166666701</v>
      </c>
      <c r="J2191" s="23" t="str">
        <f>HYPERLINK("https://www.spark-marketing.ru/Card/Person/382377", "ООО ""ВЕЛЭКОПРОД""")</f>
        <v>ООО "ВЕЛЭКОПРОД"</v>
      </c>
      <c r="K2191" s="24" t="s">
        <v>3842</v>
      </c>
      <c r="L2191" s="22" t="s">
        <v>10</v>
      </c>
      <c r="M2191" s="25">
        <v>639063.21</v>
      </c>
      <c r="N2191" s="27">
        <v>0.22000004027770378</v>
      </c>
    </row>
    <row r="2192" spans="1:14" x14ac:dyDescent="0.15">
      <c r="A2192" s="23" t="str">
        <f>HYPERLINK("https://www.spark-marketing.ru/Card/Person/5642", "МО МВД РОССИИ ""СВОБОДНЕНСКИЙ""")</f>
        <v>МО МВД РОССИИ "СВОБОДНЕНСКИЙ"</v>
      </c>
      <c r="B2192" s="24" t="s">
        <v>2441</v>
      </c>
      <c r="C2192" s="25">
        <v>651000</v>
      </c>
      <c r="D2192" s="22" t="s">
        <v>4103</v>
      </c>
      <c r="E2192" s="22" t="s">
        <v>48</v>
      </c>
      <c r="F2192" s="23" t="str">
        <f>HYPERLINK("https://www.spark-marketing.ru/Card/Lot/73704919", "Прочая закупка товаров, работ и услуг (Услуги по обеспечению горячим питанием лиц, содержащихся в ИВС)")</f>
        <v>Прочая закупка товаров, работ и услуг (Услуги по обеспечению горячим питанием лиц, содержащихся в ИВС)</v>
      </c>
      <c r="G2192" s="22" t="s">
        <v>210</v>
      </c>
      <c r="H2192" s="22" t="s">
        <v>2443</v>
      </c>
      <c r="I2192" s="26">
        <v>43728.601388888899</v>
      </c>
      <c r="J2192" s="28" t="s">
        <v>51</v>
      </c>
      <c r="K2192" s="28" t="s">
        <v>51</v>
      </c>
      <c r="L2192" s="28" t="s">
        <v>51</v>
      </c>
      <c r="M2192" s="28" t="s">
        <v>51</v>
      </c>
      <c r="N2192" s="28" t="s">
        <v>51</v>
      </c>
    </row>
    <row r="2193" spans="1:14" x14ac:dyDescent="0.15">
      <c r="A2193" s="23" t="str">
        <f>HYPERLINK("https://www.spark-marketing.ru/Card/Person/27755", "АДМИНИСТРАЦИЯ НИКОЛЬСКОГО ГОРОДСКОГО ПОСЕЛЕНИЯ ТОСНЕНСКОГО РАЙОНА ЛЕНИНГРАДСКОЙ ОБЛАСТИ")</f>
        <v>АДМИНИСТРАЦИЯ НИКОЛЬСКОГО ГОРОДСКОГО ПОСЕЛЕНИЯ ТОСНЕНСКОГО РАЙОНА ЛЕНИНГРАДСКОЙ ОБЛАСТИ</v>
      </c>
      <c r="B2193" s="24" t="s">
        <v>4104</v>
      </c>
      <c r="C2193" s="25">
        <v>14000</v>
      </c>
      <c r="D2193" s="22" t="s">
        <v>4105</v>
      </c>
      <c r="E2193" s="22" t="s">
        <v>67</v>
      </c>
      <c r="F2193" s="23" t="str">
        <f>HYPERLINK("https://www.spark-marketing.ru/Card/Lot/73744523", "Оказание услуг по организации питания на праздничных и торжественных мероприятиях для нужд Никольского городского поселения Тосненского района Ленинградской области в 2020 году.")</f>
        <v>Оказание услуг по организации питания на праздничных и торжественных мероприятиях для нужд Никольского городского поселения Тосненского района Ленинградской области в 2020 году.</v>
      </c>
      <c r="G2193" s="22" t="s">
        <v>162</v>
      </c>
      <c r="H2193" s="22" t="s">
        <v>4106</v>
      </c>
      <c r="I2193" s="26">
        <v>43728.622222222199</v>
      </c>
      <c r="J2193" s="28" t="s">
        <v>51</v>
      </c>
      <c r="K2193" s="28" t="s">
        <v>51</v>
      </c>
      <c r="L2193" s="28" t="s">
        <v>51</v>
      </c>
      <c r="M2193" s="28" t="s">
        <v>51</v>
      </c>
      <c r="N2193" s="28" t="s">
        <v>51</v>
      </c>
    </row>
    <row r="2194" spans="1:14" x14ac:dyDescent="0.15">
      <c r="A2194" s="23" t="str">
        <f>HYPERLINK("https://www.spark-marketing.ru/Card/Person/145680", "УМВД РОССИИ ПО Г. ТАМБОВУ")</f>
        <v>УМВД РОССИИ ПО Г. ТАМБОВУ</v>
      </c>
      <c r="B2194" s="24" t="s">
        <v>2023</v>
      </c>
      <c r="C2194" s="25">
        <v>1299573.3999999999</v>
      </c>
      <c r="D2194" s="22" t="s">
        <v>4107</v>
      </c>
      <c r="E2194" s="22" t="s">
        <v>48</v>
      </c>
      <c r="F2194" s="23" t="str">
        <f>HYPERLINK("https://www.spark-marketing.ru/Card/Lot/73771639", "Оказание услуг по ежедневной организации и доставке трёхразового горячего питания лицам, содержащимся в центре временного содержания иностранных граждан")</f>
        <v>Оказание услуг по ежедневной организации и доставке трёхразового горячего питания лицам, содержащимся в центре временного содержания иностранных граждан</v>
      </c>
      <c r="G2194" s="22" t="s">
        <v>1370</v>
      </c>
      <c r="H2194" s="22" t="s">
        <v>2025</v>
      </c>
      <c r="I2194" s="26">
        <v>43728.597175925897</v>
      </c>
      <c r="J2194" s="23" t="str">
        <f>HYPERLINK("https://www.spark-marketing.ru/Card/Person/146147", "ООО ""КОБАЛЬТ""")</f>
        <v>ООО "КОБАЛЬТ"</v>
      </c>
      <c r="K2194" s="24" t="s">
        <v>2026</v>
      </c>
      <c r="L2194" s="22" t="s">
        <v>10</v>
      </c>
      <c r="M2194" s="28" t="s">
        <v>51</v>
      </c>
      <c r="N2194" s="28" t="s">
        <v>51</v>
      </c>
    </row>
    <row r="2195" spans="1:14" x14ac:dyDescent="0.15">
      <c r="A2195" s="23" t="str">
        <f>HYPERLINK("https://www.spark-marketing.ru/Card/Person/1777619", "МУП ""КОМБИНАТ ПИТАНИЯ"" ГОРОДА ДЗЕРЖИНСКА""")</f>
        <v>МУП "КОМБИНАТ ПИТАНИЯ" ГОРОДА ДЗЕРЖИНСКА"</v>
      </c>
      <c r="B2195" s="24" t="s">
        <v>4108</v>
      </c>
      <c r="C2195" s="25">
        <v>497550</v>
      </c>
      <c r="D2195" s="22" t="s">
        <v>4109</v>
      </c>
      <c r="E2195" s="22" t="s">
        <v>358</v>
      </c>
      <c r="F2195" s="23" t="str">
        <f>HYPERLINK("https://www.spark-marketing.ru/Card/Lot/73749484", "Определение исполнителя услуг по внедрению, адаптации и модификации программ для ЭВМ и баз данных АСУП в целях оказания услуг общественного питания в общеобразовательных организациях(500-ЭА-19-ТТ)")</f>
        <v>Определение исполнителя услуг по внедрению, адаптации и модификации программ для ЭВМ и баз данных АСУП в целях оказания услуг общественного питания в общеобразовательных организациях(500-ЭА-19-ТТ)</v>
      </c>
      <c r="G2195" s="22" t="s">
        <v>76</v>
      </c>
      <c r="H2195" s="22" t="s">
        <v>3057</v>
      </c>
      <c r="I2195" s="26">
        <v>43728.555555555598</v>
      </c>
      <c r="J2195" s="28" t="s">
        <v>51</v>
      </c>
      <c r="K2195" s="28" t="s">
        <v>51</v>
      </c>
      <c r="L2195" s="28" t="s">
        <v>51</v>
      </c>
      <c r="M2195" s="28" t="s">
        <v>51</v>
      </c>
      <c r="N2195" s="28" t="s">
        <v>51</v>
      </c>
    </row>
    <row r="2196" spans="1:14" hidden="1" outlineLevel="1" x14ac:dyDescent="0.2">
      <c r="A2196" s="23" t="str">
        <f>HYPERLINK("https://www.spark-marketing.ru/Card/Person/1777619", "МУП ""КОМБИНАТ ПИТАНИЯ"" ГОРОДА ДЗЕРЖИНСКА""")</f>
        <v>МУП "КОМБИНАТ ПИТАНИЯ" ГОРОДА ДЗЕРЖИНСКА"</v>
      </c>
      <c r="B2196" s="24" t="s">
        <v>4108</v>
      </c>
      <c r="C2196" s="25">
        <v>497550</v>
      </c>
      <c r="D2196" s="22" t="s">
        <v>4109</v>
      </c>
      <c r="E2196" s="22" t="s">
        <v>358</v>
      </c>
      <c r="F2196" s="23" t="str">
        <f>HYPERLINK("https://www.spark-marketing.ru/Card/Lot/73749484", "Определение исполнителя услуг по внедрению, адаптации и модификации программ для ЭВМ и баз данных АСУП в целях оказания услуг общественного питания в общеобразовательных организациях(500-ЭА-19-ТТ)")</f>
        <v>Определение исполнителя услуг по внедрению, адаптации и модификации программ для ЭВМ и баз данных АСУП в целях оказания услуг общественного питания в общеобразовательных организациях(500-ЭА-19-ТТ)</v>
      </c>
      <c r="G2196" s="22" t="s">
        <v>76</v>
      </c>
      <c r="H2196" s="22" t="s">
        <v>3057</v>
      </c>
      <c r="I2196" s="26">
        <v>43728.555555555598</v>
      </c>
      <c r="J2196" s="23" t="str">
        <f>HYPERLINK("https://www.spark-marketing.ru/Card/Person/6713417", "ООО ""ТУТИЧ""")</f>
        <v>ООО "ТУТИЧ"</v>
      </c>
      <c r="K2196" s="24" t="s">
        <v>4110</v>
      </c>
      <c r="L2196" s="28" t="s">
        <v>51</v>
      </c>
      <c r="M2196" s="25">
        <v>307512.25</v>
      </c>
      <c r="N2196" s="27">
        <v>0.38194704049844236</v>
      </c>
    </row>
    <row r="2197" spans="1:14" ht="12.75" hidden="1" outlineLevel="1" x14ac:dyDescent="0.2">
      <c r="A2197" s="23" t="str">
        <f>HYPERLINK("https://www.spark-marketing.ru/Card/Person/1777619", "МУП ""КОМБИНАТ ПИТАНИЯ"" ГОРОДА ДЗЕРЖИНСКА""")</f>
        <v>МУП "КОМБИНАТ ПИТАНИЯ" ГОРОДА ДЗЕРЖИНСКА"</v>
      </c>
      <c r="B2197" s="24" t="s">
        <v>4108</v>
      </c>
      <c r="C2197" s="25">
        <v>497550</v>
      </c>
      <c r="D2197" s="22" t="s">
        <v>4109</v>
      </c>
      <c r="E2197" s="22" t="s">
        <v>358</v>
      </c>
      <c r="F2197" s="23" t="str">
        <f>HYPERLINK("https://www.spark-marketing.ru/Card/Lot/73749484", "Определение исполнителя услуг по внедрению, адаптации и модификации программ для ЭВМ и баз данных АСУП в целях оказания услуг общественного питания в общеобразовательных организациях(500-ЭА-19-ТТ)")</f>
        <v>Определение исполнителя услуг по внедрению, адаптации и модификации программ для ЭВМ и баз данных АСУП в целях оказания услуг общественного питания в общеобразовательных организациях(500-ЭА-19-ТТ)</v>
      </c>
      <c r="G2197" s="22" t="s">
        <v>76</v>
      </c>
      <c r="H2197" s="22" t="s">
        <v>3057</v>
      </c>
      <c r="I2197" s="26">
        <v>43728.555555555598</v>
      </c>
      <c r="J2197" s="23" t="str">
        <f>HYPERLINK("https://www.spark-marketing.ru/Card/Person/246509", "ООО ПЦ ""АКСИОМА""")</f>
        <v>ООО ПЦ "АКСИОМА"</v>
      </c>
      <c r="K2197" s="24" t="s">
        <v>4111</v>
      </c>
      <c r="L2197" s="22" t="s">
        <v>10</v>
      </c>
      <c r="M2197" s="25">
        <v>300000</v>
      </c>
      <c r="N2197" s="27">
        <v>0.39704552306300872</v>
      </c>
    </row>
    <row r="2198" spans="1:14" x14ac:dyDescent="0.15">
      <c r="A2198" s="23" t="str">
        <f>HYPERLINK("https://www.spark-marketing.ru/Card/Person/4382221", "ООО ""ГАЗПРОМНЕФТЬ-ХАНТОС""")</f>
        <v>ООО "ГАЗПРОМНЕФТЬ-ХАНТОС"</v>
      </c>
      <c r="B2198" s="24" t="s">
        <v>1059</v>
      </c>
      <c r="C2198" s="28" t="s">
        <v>51</v>
      </c>
      <c r="D2198" s="22" t="s">
        <v>4112</v>
      </c>
      <c r="E2198" s="22" t="s">
        <v>52</v>
      </c>
      <c r="F2198" s="23" t="str">
        <f>HYPERLINK("https://www.spark-marketing.ru/Card/Lot/73657537", "Лот №1")</f>
        <v>Лот №1</v>
      </c>
      <c r="G2198" s="22" t="s">
        <v>97</v>
      </c>
      <c r="H2198" s="22" t="s">
        <v>98</v>
      </c>
      <c r="I2198" s="26">
        <v>43728.437731481499</v>
      </c>
      <c r="J2198" s="28" t="s">
        <v>51</v>
      </c>
      <c r="K2198" s="28" t="s">
        <v>51</v>
      </c>
      <c r="L2198" s="28" t="s">
        <v>51</v>
      </c>
      <c r="M2198" s="28" t="s">
        <v>51</v>
      </c>
      <c r="N2198" s="28" t="s">
        <v>51</v>
      </c>
    </row>
    <row r="2199" spans="1:14" x14ac:dyDescent="0.15">
      <c r="A2199" s="23" t="str">
        <f>HYPERLINK("https://www.spark-marketing.ru/Card/Person/104874", "ГБУ ТО ""ПРЕДСТАВИТЕЛЬСКИЙ КОМПЛЕКС ПРАВИТЕЛЬСТВА ТЮМЕНСКОЙ ОБЛАСТИ""")</f>
        <v>ГБУ ТО "ПРЕДСТАВИТЕЛЬСКИЙ КОМПЛЕКС ПРАВИТЕЛЬСТВА ТЮМЕНСКОЙ ОБЛАСТИ"</v>
      </c>
      <c r="B2199" s="24" t="s">
        <v>4113</v>
      </c>
      <c r="C2199" s="25">
        <v>200000</v>
      </c>
      <c r="D2199" s="22" t="s">
        <v>4114</v>
      </c>
      <c r="E2199" s="22" t="s">
        <v>96</v>
      </c>
      <c r="F2199" s="23" t="str">
        <f>HYPERLINK("https://www.spark-marketing.ru/Card/Lot/73735889", "Оказание услуг по обслуживанию мероприятий")</f>
        <v>Оказание услуг по обслуживанию мероприятий</v>
      </c>
      <c r="G2199" s="22" t="s">
        <v>766</v>
      </c>
      <c r="H2199" s="22" t="s">
        <v>1028</v>
      </c>
      <c r="I2199" s="26">
        <v>43728.5715277778</v>
      </c>
      <c r="J2199" s="23" t="str">
        <f>HYPERLINK("https://www.spark-marketing.ru/Card/Person/1993903", "ООО ""МАКСИМ-КОФЕЙНИ""")</f>
        <v>ООО "МАКСИМ-КОФЕЙНИ"</v>
      </c>
      <c r="K2199" s="24" t="s">
        <v>4115</v>
      </c>
      <c r="L2199" s="22" t="s">
        <v>10</v>
      </c>
      <c r="M2199" s="28" t="s">
        <v>51</v>
      </c>
      <c r="N2199" s="28" t="s">
        <v>51</v>
      </c>
    </row>
    <row r="2200" spans="1:14" x14ac:dyDescent="0.15">
      <c r="A2200" s="23" t="str">
        <f>HYPERLINK("https://www.spark-marketing.ru/Card/Person/1763303", "МАДОУ ""ДЕТСКИЙ САД № 40""")</f>
        <v>МАДОУ "ДЕТСКИЙ САД № 40"</v>
      </c>
      <c r="B2200" s="24" t="s">
        <v>4116</v>
      </c>
      <c r="C2200" s="25">
        <v>16687516</v>
      </c>
      <c r="D2200" s="22" t="s">
        <v>4117</v>
      </c>
      <c r="E2200" s="22" t="s">
        <v>48</v>
      </c>
      <c r="F2200" s="23" t="str">
        <f>HYPERLINK("https://www.spark-marketing.ru/Card/Lot/73762244", "оказание услуг по организации горячего питания в в МАДОУ ""Детский сад №40""")</f>
        <v>оказание услуг по организации горячего питания в в МАДОУ "Детский сад №40"</v>
      </c>
      <c r="G2200" s="22" t="s">
        <v>49</v>
      </c>
      <c r="H2200" s="22" t="s">
        <v>301</v>
      </c>
      <c r="I2200" s="26">
        <v>43728.581250000003</v>
      </c>
      <c r="J2200" s="28" t="s">
        <v>51</v>
      </c>
      <c r="K2200" s="28" t="s">
        <v>51</v>
      </c>
      <c r="L2200" s="28" t="s">
        <v>51</v>
      </c>
      <c r="M2200" s="28" t="s">
        <v>51</v>
      </c>
      <c r="N2200" s="28" t="s">
        <v>51</v>
      </c>
    </row>
    <row r="2201" spans="1:14" x14ac:dyDescent="0.15">
      <c r="A2201" s="23" t="str">
        <f>HYPERLINK("https://www.spark-marketing.ru/Card/Person/6218321", "ГБУЗ КО ОККВД")</f>
        <v>ГБУЗ КО ОККВД</v>
      </c>
      <c r="B2201" s="24" t="s">
        <v>3874</v>
      </c>
      <c r="C2201" s="25">
        <v>2863200</v>
      </c>
      <c r="D2201" s="22" t="s">
        <v>4118</v>
      </c>
      <c r="E2201" s="22" t="s">
        <v>48</v>
      </c>
      <c r="F2201" s="23" t="str">
        <f>HYPERLINK("https://www.spark-marketing.ru/Card/Lot/73758435", "Оказание услуг по обеспечению готовым горячим питанием")</f>
        <v>Оказание услуг по обеспечению готовым горячим питанием</v>
      </c>
      <c r="G2201" s="22" t="s">
        <v>304</v>
      </c>
      <c r="H2201" s="22" t="s">
        <v>1154</v>
      </c>
      <c r="I2201" s="26">
        <v>43728.568749999999</v>
      </c>
      <c r="J2201" s="23" t="str">
        <f>HYPERLINK("https://www.spark-marketing.ru/Card/Person/28172", "ГАУЗ КО ""ОДКБ""")</f>
        <v>ГАУЗ КО "ОДКБ"</v>
      </c>
      <c r="K2201" s="24" t="s">
        <v>4119</v>
      </c>
      <c r="L2201" s="22" t="s">
        <v>10</v>
      </c>
      <c r="M2201" s="28" t="s">
        <v>51</v>
      </c>
      <c r="N2201" s="28" t="s">
        <v>51</v>
      </c>
    </row>
    <row r="2202" spans="1:14" x14ac:dyDescent="0.15">
      <c r="A2202" s="23" t="str">
        <f>HYPERLINK("https://www.spark-marketing.ru/Card/Person/4346919", "ГБУЗ ТО ""ОБЛАСТНОЙ ПРОТИВОТУБЕРКУЛЕЗНЫЙ ДИСПАНСЕР""")</f>
        <v>ГБУЗ ТО "ОБЛАСТНОЙ ПРОТИВОТУБЕРКУЛЕЗНЫЙ ДИСПАНСЕР"</v>
      </c>
      <c r="B2202" s="24" t="s">
        <v>4120</v>
      </c>
      <c r="C2202" s="25">
        <v>4927500</v>
      </c>
      <c r="D2202" s="22" t="s">
        <v>4121</v>
      </c>
      <c r="E2202" s="22" t="s">
        <v>96</v>
      </c>
      <c r="F2202" s="23" t="str">
        <f>HYPERLINK("https://www.spark-marketing.ru/Card/Lot/73763779", "оказание услуг по обеспечению горячим питанием пациентов Ишимского филиала ГБУЗ ТО «Областной противотуберкулезный диспансер»")</f>
        <v>оказание услуг по обеспечению горячим питанием пациентов Ишимского филиала ГБУЗ ТО «Областной противотуберкулезный диспансер»</v>
      </c>
      <c r="G2202" s="22" t="s">
        <v>766</v>
      </c>
      <c r="H2202" s="22" t="s">
        <v>1028</v>
      </c>
      <c r="I2202" s="26">
        <v>43728.573611111096</v>
      </c>
      <c r="J2202" s="23" t="str">
        <f>HYPERLINK("https://www.spark-marketing.ru/Card/Person/4557517", "Денисова Ирина Владимировна")</f>
        <v>Денисова Ирина Владимировна</v>
      </c>
      <c r="K2202" s="24" t="s">
        <v>4122</v>
      </c>
      <c r="L2202" s="22" t="s">
        <v>10</v>
      </c>
      <c r="M2202" s="28" t="s">
        <v>51</v>
      </c>
      <c r="N2202" s="28" t="s">
        <v>51</v>
      </c>
    </row>
    <row r="2203" spans="1:14" x14ac:dyDescent="0.15">
      <c r="A2203" s="23" t="str">
        <f>HYPERLINK("https://www.spark-marketing.ru/Card/Person/4857912", "МЕЖРЕГИОНАЛЬНЫЙ ФИЛИАЛ ФКУ ""ЦЕНТР ПО ОБЕСПЕЧЕНИЮ ДЕЯТЕЛЬНОСТИ КАЗНАЧЕЙСТВА РОССИИ"" В Г. ХАБАРОВСКЕ")</f>
        <v>МЕЖРЕГИОНАЛЬНЫЙ ФИЛИАЛ ФКУ "ЦЕНТР ПО ОБЕСПЕЧЕНИЮ ДЕЯТЕЛЬНОСТИ КАЗНАЧЕЙСТВА РОССИИ" В Г. ХАБАРОВСКЕ</v>
      </c>
      <c r="B2203" s="24" t="s">
        <v>2576</v>
      </c>
      <c r="C2203" s="25">
        <v>750542.4</v>
      </c>
      <c r="D2203" s="22" t="s">
        <v>4123</v>
      </c>
      <c r="E2203" s="22" t="s">
        <v>603</v>
      </c>
      <c r="F2203" s="23" t="str">
        <f>HYPERLINK("https://www.spark-marketing.ru/Card/Lot/73654683", "Оказание услуг по разработке проектно-сметной документации на капитальный  ремонт системы электроснабжения с обеспечением резервного источника электрического питания для нужд Управления Федерального казначейства по Приморскому краю, расположенного по...")</f>
        <v>Оказание услуг по разработке проектно-сметной документации на капитальный  ремонт системы электроснабжения с обеспечением резервного источника электрического питания для нужд Управления Федерального казначейства по Приморскому краю, расположенного по...</v>
      </c>
      <c r="G2203" s="22" t="s">
        <v>543</v>
      </c>
      <c r="H2203" s="22" t="s">
        <v>4124</v>
      </c>
      <c r="I2203" s="26">
        <v>43728.518750000003</v>
      </c>
      <c r="J2203" s="28" t="s">
        <v>51</v>
      </c>
      <c r="K2203" s="28" t="s">
        <v>51</v>
      </c>
      <c r="L2203" s="28" t="s">
        <v>51</v>
      </c>
      <c r="M2203" s="28" t="s">
        <v>51</v>
      </c>
      <c r="N2203" s="28" t="s">
        <v>51</v>
      </c>
    </row>
    <row r="2204" spans="1:14" hidden="1" outlineLevel="1" x14ac:dyDescent="0.2">
      <c r="A2204" s="23" t="str">
        <f>HYPERLINK("https://www.spark-marketing.ru/Card/Person/4857912", "МЕЖРЕГИОНАЛЬНЫЙ ФИЛИАЛ ФКУ ""ЦЕНТР ПО ОБЕСПЕЧЕНИЮ ДЕЯТЕЛЬНОСТИ КАЗНАЧЕЙСТВА РОССИИ"" В Г. ХАБАРОВСКЕ")</f>
        <v>МЕЖРЕГИОНАЛЬНЫЙ ФИЛИАЛ ФКУ "ЦЕНТР ПО ОБЕСПЕЧЕНИЮ ДЕЯТЕЛЬНОСТИ КАЗНАЧЕЙСТВА РОССИИ" В Г. ХАБАРОВСКЕ</v>
      </c>
      <c r="B2204" s="24" t="s">
        <v>2576</v>
      </c>
      <c r="C2204" s="25">
        <v>750542.4</v>
      </c>
      <c r="D2204" s="22" t="s">
        <v>4123</v>
      </c>
      <c r="E2204" s="22" t="s">
        <v>603</v>
      </c>
      <c r="F2204" s="23" t="str">
        <f>HYPERLINK("https://www.spark-marketing.ru/Card/Lot/73654683", "Оказание услуг по разработке проектно-сметной документации на капитальный  ремонт системы электроснабжения с обеспечением резервного источника электрического питания для нужд Управления Федерального казначейства по Приморскому краю, расположенного по...")</f>
        <v>Оказание услуг по разработке проектно-сметной документации на капитальный  ремонт системы электроснабжения с обеспечением резервного источника электрического питания для нужд Управления Федерального казначейства по Приморскому краю, расположенного по...</v>
      </c>
      <c r="G2204" s="22" t="s">
        <v>543</v>
      </c>
      <c r="H2204" s="22" t="s">
        <v>4124</v>
      </c>
      <c r="I2204" s="26">
        <v>43728.518750000003</v>
      </c>
      <c r="J2204" s="23" t="str">
        <f>HYPERLINK("https://www.spark-marketing.ru/Card/Person/126348", "ООО ""ВЭСП""")</f>
        <v>ООО "ВЭСП"</v>
      </c>
      <c r="K2204" s="24" t="s">
        <v>4125</v>
      </c>
      <c r="L2204" s="28" t="s">
        <v>51</v>
      </c>
      <c r="M2204" s="25">
        <v>486614.44</v>
      </c>
      <c r="N2204" s="27">
        <v>0.35164963365160984</v>
      </c>
    </row>
    <row r="2205" spans="1:14" hidden="1" outlineLevel="1" x14ac:dyDescent="0.2">
      <c r="A2205" s="23" t="str">
        <f>HYPERLINK("https://www.spark-marketing.ru/Card/Person/4857912", "МЕЖРЕГИОНАЛЬНЫЙ ФИЛИАЛ ФКУ ""ЦЕНТР ПО ОБЕСПЕЧЕНИЮ ДЕЯТЕЛЬНОСТИ КАЗНАЧЕЙСТВА РОССИИ"" В Г. ХАБАРОВСКЕ")</f>
        <v>МЕЖРЕГИОНАЛЬНЫЙ ФИЛИАЛ ФКУ "ЦЕНТР ПО ОБЕСПЕЧЕНИЮ ДЕЯТЕЛЬНОСТИ КАЗНАЧЕЙСТВА РОССИИ" В Г. ХАБАРОВСКЕ</v>
      </c>
      <c r="B2205" s="24" t="s">
        <v>2576</v>
      </c>
      <c r="C2205" s="25">
        <v>750542.4</v>
      </c>
      <c r="D2205" s="22" t="s">
        <v>4123</v>
      </c>
      <c r="E2205" s="22" t="s">
        <v>603</v>
      </c>
      <c r="F2205" s="23" t="str">
        <f>HYPERLINK("https://www.spark-marketing.ru/Card/Lot/73654683", "Оказание услуг по разработке проектно-сметной документации на капитальный  ремонт системы электроснабжения с обеспечением резервного источника электрического питания для нужд Управления Федерального казначейства по Приморскому краю, расположенного по...")</f>
        <v>Оказание услуг по разработке проектно-сметной документации на капитальный  ремонт системы электроснабжения с обеспечением резервного источника электрического питания для нужд Управления Федерального казначейства по Приморскому краю, расположенного по...</v>
      </c>
      <c r="G2205" s="22" t="s">
        <v>543</v>
      </c>
      <c r="H2205" s="22" t="s">
        <v>4124</v>
      </c>
      <c r="I2205" s="26">
        <v>43728.518750000003</v>
      </c>
      <c r="J2205" s="23" t="str">
        <f>HYPERLINK("https://www.spark-marketing.ru/Card/Person/4853174", "ООО ""МОРДОВПРОМПРОЕКТ""")</f>
        <v>ООО "МОРДОВПРОМПРОЕКТ"</v>
      </c>
      <c r="K2205" s="24" t="s">
        <v>4126</v>
      </c>
      <c r="L2205" s="28" t="s">
        <v>51</v>
      </c>
      <c r="M2205" s="25">
        <v>450000</v>
      </c>
      <c r="N2205" s="27">
        <v>0.40043360641584008</v>
      </c>
    </row>
    <row r="2206" spans="1:14" ht="12.75" hidden="1" outlineLevel="1" x14ac:dyDescent="0.2">
      <c r="A2206" s="23" t="str">
        <f>HYPERLINK("https://www.spark-marketing.ru/Card/Person/4857912", "МЕЖРЕГИОНАЛЬНЫЙ ФИЛИАЛ ФКУ ""ЦЕНТР ПО ОБЕСПЕЧЕНИЮ ДЕЯТЕЛЬНОСТИ КАЗНАЧЕЙСТВА РОССИИ"" В Г. ХАБАРОВСКЕ")</f>
        <v>МЕЖРЕГИОНАЛЬНЫЙ ФИЛИАЛ ФКУ "ЦЕНТР ПО ОБЕСПЕЧЕНИЮ ДЕЯТЕЛЬНОСТИ КАЗНАЧЕЙСТВА РОССИИ" В Г. ХАБАРОВСКЕ</v>
      </c>
      <c r="B2206" s="24" t="s">
        <v>2576</v>
      </c>
      <c r="C2206" s="25">
        <v>750542.4</v>
      </c>
      <c r="D2206" s="22" t="s">
        <v>4123</v>
      </c>
      <c r="E2206" s="22" t="s">
        <v>603</v>
      </c>
      <c r="F2206" s="23" t="str">
        <f>HYPERLINK("https://www.spark-marketing.ru/Card/Lot/73654683", "Оказание услуг по разработке проектно-сметной документации на капитальный  ремонт системы электроснабжения с обеспечением резервного источника электрического питания для нужд Управления Федерального казначейства по Приморскому краю, расположенного по...")</f>
        <v>Оказание услуг по разработке проектно-сметной документации на капитальный  ремонт системы электроснабжения с обеспечением резервного источника электрического питания для нужд Управления Федерального казначейства по Приморскому краю, расположенного по...</v>
      </c>
      <c r="G2206" s="22" t="s">
        <v>543</v>
      </c>
      <c r="H2206" s="22" t="s">
        <v>4124</v>
      </c>
      <c r="I2206" s="26">
        <v>43728.518750000003</v>
      </c>
      <c r="J2206" s="23" t="str">
        <f>HYPERLINK("https://www.spark-marketing.ru/Card/Person/6511981", "ООО ""ПК АЛЬЯНС ДВ""")</f>
        <v>ООО "ПК АЛЬЯНС ДВ"</v>
      </c>
      <c r="K2206" s="24" t="s">
        <v>4127</v>
      </c>
      <c r="L2206" s="22" t="s">
        <v>10</v>
      </c>
      <c r="M2206" s="25">
        <v>440000</v>
      </c>
      <c r="N2206" s="27">
        <v>0.41375730405104361</v>
      </c>
    </row>
    <row r="2207" spans="1:14" hidden="1" outlineLevel="1" x14ac:dyDescent="0.2">
      <c r="A2207" s="23" t="str">
        <f>HYPERLINK("https://www.spark-marketing.ru/Card/Person/4857912", "МЕЖРЕГИОНАЛЬНЫЙ ФИЛИАЛ ФКУ ""ЦЕНТР ПО ОБЕСПЕЧЕНИЮ ДЕЯТЕЛЬНОСТИ КАЗНАЧЕЙСТВА РОССИИ"" В Г. ХАБАРОВСКЕ")</f>
        <v>МЕЖРЕГИОНАЛЬНЫЙ ФИЛИАЛ ФКУ "ЦЕНТР ПО ОБЕСПЕЧЕНИЮ ДЕЯТЕЛЬНОСТИ КАЗНАЧЕЙСТВА РОССИИ" В Г. ХАБАРОВСКЕ</v>
      </c>
      <c r="B2207" s="24" t="s">
        <v>2576</v>
      </c>
      <c r="C2207" s="25">
        <v>750542.4</v>
      </c>
      <c r="D2207" s="22" t="s">
        <v>4123</v>
      </c>
      <c r="E2207" s="22" t="s">
        <v>603</v>
      </c>
      <c r="F2207" s="23" t="str">
        <f>HYPERLINK("https://www.spark-marketing.ru/Card/Lot/73654683", "Оказание услуг по разработке проектно-сметной документации на капитальный  ремонт системы электроснабжения с обеспечением резервного источника электрического питания для нужд Управления Федерального казначейства по Приморскому краю, расположенного по...")</f>
        <v>Оказание услуг по разработке проектно-сметной документации на капитальный  ремонт системы электроснабжения с обеспечением резервного источника электрического питания для нужд Управления Федерального казначейства по Приморскому краю, расположенного по...</v>
      </c>
      <c r="G2207" s="22" t="s">
        <v>543</v>
      </c>
      <c r="H2207" s="22" t="s">
        <v>4124</v>
      </c>
      <c r="I2207" s="26">
        <v>43728.518750000003</v>
      </c>
      <c r="J2207" s="23" t="str">
        <f>HYPERLINK("https://www.spark-marketing.ru/Card/Person/4773013", "ООО ""ДВ СТРОЙЭКСПЕРТИЗА""")</f>
        <v>ООО "ДВ СТРОЙЭКСПЕРТИЗА"</v>
      </c>
      <c r="K2207" s="24" t="s">
        <v>4128</v>
      </c>
      <c r="L2207" s="28" t="s">
        <v>51</v>
      </c>
      <c r="M2207" s="25">
        <v>444444.44</v>
      </c>
      <c r="N2207" s="27">
        <v>0.40783566657926323</v>
      </c>
    </row>
    <row r="2208" spans="1:14" x14ac:dyDescent="0.15">
      <c r="A2208" s="23" t="str">
        <f>HYPERLINK("https://www.spark-marketing.ru/Card/Person/880833", "ОТДЕЛ МВД РОССИИ ПО ЩЕРБИНОВСКОМУ РАЙОНУ")</f>
        <v>ОТДЕЛ МВД РОССИИ ПО ЩЕРБИНОВСКОМУ РАЙОНУ</v>
      </c>
      <c r="B2208" s="24" t="s">
        <v>4129</v>
      </c>
      <c r="C2208" s="25">
        <v>300000</v>
      </c>
      <c r="D2208" s="22" t="s">
        <v>4130</v>
      </c>
      <c r="E2208" s="22" t="s">
        <v>96</v>
      </c>
      <c r="F2208" s="23" t="str">
        <f>HYPERLINK("https://www.spark-marketing.ru/Card/Lot/73742850", "обеспечение ежедневным трехразовым, горячим питанием лиц, арестованных в административном порядке, содержащихся в помещении для задержанных лиц в изоляторе временного содержания и по обеспечению индивидуальным рационом питания (сухой паек) подозревае...")</f>
        <v>обеспечение ежедневным трехразовым, горячим питанием лиц, арестованных в административном порядке, содержащихся в помещении для задержанных лиц в изоляторе временного содержания и по обеспечению индивидуальным рационом питания (сухой паек) подозревае...</v>
      </c>
      <c r="G2208" s="22" t="s">
        <v>104</v>
      </c>
      <c r="H2208" s="22" t="s">
        <v>4131</v>
      </c>
      <c r="I2208" s="26">
        <v>43728.53125</v>
      </c>
      <c r="J2208" s="23" t="str">
        <f>HYPERLINK("https://www.spark-marketing.ru/Card/Person/4542953", "Гардер Виктория Валерьевна")</f>
        <v>Гардер Виктория Валерьевна</v>
      </c>
      <c r="K2208" s="24" t="s">
        <v>4132</v>
      </c>
      <c r="L2208" s="28" t="s">
        <v>51</v>
      </c>
      <c r="M2208" s="28" t="s">
        <v>51</v>
      </c>
      <c r="N2208" s="28" t="s">
        <v>51</v>
      </c>
    </row>
    <row r="2209" spans="1:14" ht="12.75" hidden="1" outlineLevel="1" x14ac:dyDescent="0.2">
      <c r="A2209" s="23" t="str">
        <f>HYPERLINK("https://www.spark-marketing.ru/Card/Person/880833", "ОТДЕЛ МВД РОССИИ ПО ЩЕРБИНОВСКОМУ РАЙОНУ")</f>
        <v>ОТДЕЛ МВД РОССИИ ПО ЩЕРБИНОВСКОМУ РАЙОНУ</v>
      </c>
      <c r="B2209" s="24" t="s">
        <v>4129</v>
      </c>
      <c r="C2209" s="25">
        <v>300000</v>
      </c>
      <c r="D2209" s="22" t="s">
        <v>4130</v>
      </c>
      <c r="E2209" s="22" t="s">
        <v>96</v>
      </c>
      <c r="F2209" s="23" t="str">
        <f>HYPERLINK("https://www.spark-marketing.ru/Card/Lot/73742850", "обеспечение ежедневным трехразовым, горячим питанием лиц, арестованных в административном порядке, содержащихся в помещении для задержанных лиц в изоляторе временного содержания и по обеспечению индивидуальным рационом питания (сухой паек) подозревае...")</f>
        <v>обеспечение ежедневным трехразовым, горячим питанием лиц, арестованных в административном порядке, содержащихся в помещении для задержанных лиц в изоляторе временного содержания и по обеспечению индивидуальным рационом питания (сухой паек) подозревае...</v>
      </c>
      <c r="G2209" s="22" t="s">
        <v>104</v>
      </c>
      <c r="H2209" s="22" t="s">
        <v>4131</v>
      </c>
      <c r="I2209" s="26">
        <v>43728.53125</v>
      </c>
      <c r="J2209" s="23" t="str">
        <f>HYPERLINK("https://www.spark-marketing.ru/Card/Person/4542953", "Гардер Виктория Валерьевна")</f>
        <v>Гардер Виктория Валерьевна</v>
      </c>
      <c r="K2209" s="24" t="s">
        <v>4132</v>
      </c>
      <c r="L2209" s="22" t="s">
        <v>10</v>
      </c>
      <c r="M2209" s="25">
        <v>298500</v>
      </c>
      <c r="N2209" s="27">
        <v>5.0000000000000001E-3</v>
      </c>
    </row>
    <row r="2210" spans="1:14" x14ac:dyDescent="0.15">
      <c r="A2210" s="23" t="str">
        <f>HYPERLINK("https://www.spark-marketing.ru/Card/Person/60414", "ГБУЗ ПК ""АЛЕКСАНДРОВСКАЯ ЦГБ""")</f>
        <v>ГБУЗ ПК "АЛЕКСАНДРОВСКАЯ ЦГБ"</v>
      </c>
      <c r="B2210" s="24" t="s">
        <v>4133</v>
      </c>
      <c r="C2210" s="25">
        <v>499200</v>
      </c>
      <c r="D2210" s="22" t="s">
        <v>4134</v>
      </c>
      <c r="E2210" s="22" t="s">
        <v>96</v>
      </c>
      <c r="F2210" s="23" t="str">
        <f>HYPERLINK("https://www.spark-marketing.ru/Card/Lot/73705349", "Услуги по организации питания (ноябрь)")</f>
        <v>Услуги по организации питания (ноябрь)</v>
      </c>
      <c r="G2210" s="22" t="s">
        <v>153</v>
      </c>
      <c r="H2210" s="22" t="s">
        <v>153</v>
      </c>
      <c r="I2210" s="26">
        <v>43728.523611111101</v>
      </c>
      <c r="J2210" s="23" t="str">
        <f>HYPERLINK("https://www.spark-marketing.ru/Card/Person/394951", "ООО ""СЕРВИС""")</f>
        <v>ООО "СЕРВИС"</v>
      </c>
      <c r="K2210" s="24" t="s">
        <v>4135</v>
      </c>
      <c r="L2210" s="22" t="s">
        <v>10</v>
      </c>
      <c r="M2210" s="28" t="s">
        <v>51</v>
      </c>
      <c r="N2210" s="28" t="s">
        <v>51</v>
      </c>
    </row>
    <row r="2211" spans="1:14" x14ac:dyDescent="0.15">
      <c r="A2211" s="23" t="str">
        <f>HYPERLINK("https://www.spark-marketing.ru/Card/Person/88926", "УМВД РОССИИ ПО Г. ХАБАРОВСКУ")</f>
        <v>УМВД РОССИИ ПО Г. ХАБАРОВСКУ</v>
      </c>
      <c r="B2211" s="24" t="s">
        <v>4099</v>
      </c>
      <c r="C2211" s="25">
        <v>283198.59999999998</v>
      </c>
      <c r="D2211" s="22" t="s">
        <v>4136</v>
      </c>
      <c r="E2211" s="22" t="s">
        <v>96</v>
      </c>
      <c r="F2211" s="23" t="str">
        <f>HYPERLINK("https://www.spark-marketing.ru/Card/Lot/73654722", "Оказание услуг по организации питания граждан, находящихся в изоляторе временного содержания подозреваемых и обвиняемых УМВД России по г.Хабаровску")</f>
        <v>Оказание услуг по организации питания граждан, находящихся в изоляторе временного содержания подозреваемых и обвиняемых УМВД России по г.Хабаровску</v>
      </c>
      <c r="G2211" s="22" t="s">
        <v>1096</v>
      </c>
      <c r="H2211" s="22" t="s">
        <v>1097</v>
      </c>
      <c r="I2211" s="26">
        <v>43728.504861111098</v>
      </c>
      <c r="J2211" s="23" t="str">
        <f>HYPERLINK("https://www.spark-marketing.ru/Card/Person/4349415", "ООО ""РОКОС""")</f>
        <v>ООО "РОКОС"</v>
      </c>
      <c r="K2211" s="24" t="s">
        <v>4101</v>
      </c>
      <c r="L2211" s="22" t="s">
        <v>10</v>
      </c>
      <c r="M2211" s="28" t="s">
        <v>51</v>
      </c>
      <c r="N2211" s="28" t="s">
        <v>51</v>
      </c>
    </row>
    <row r="2212" spans="1:14" x14ac:dyDescent="0.15">
      <c r="A2212" s="23" t="str">
        <f>HYPERLINK("https://www.spark-marketing.ru/Card/Person/60414", "ГБУЗ ПК ""АЛЕКСАНДРОВСКАЯ ЦГБ""")</f>
        <v>ГБУЗ ПК "АЛЕКСАНДРОВСКАЯ ЦГБ"</v>
      </c>
      <c r="B2212" s="24" t="s">
        <v>4133</v>
      </c>
      <c r="C2212" s="25">
        <v>436670</v>
      </c>
      <c r="D2212" s="22" t="s">
        <v>4137</v>
      </c>
      <c r="E2212" s="22" t="s">
        <v>96</v>
      </c>
      <c r="F2212" s="23" t="str">
        <f>HYPERLINK("https://www.spark-marketing.ru/Card/Lot/73701911", "Услуги по организации питания (декабрь)")</f>
        <v>Услуги по организации питания (декабрь)</v>
      </c>
      <c r="G2212" s="22" t="s">
        <v>153</v>
      </c>
      <c r="H2212" s="22" t="s">
        <v>153</v>
      </c>
      <c r="I2212" s="26">
        <v>43728.523611111101</v>
      </c>
      <c r="J2212" s="23" t="str">
        <f>HYPERLINK("https://www.spark-marketing.ru/Card/Person/394951", "ООО ""СЕРВИС""")</f>
        <v>ООО "СЕРВИС"</v>
      </c>
      <c r="K2212" s="24" t="s">
        <v>4135</v>
      </c>
      <c r="L2212" s="22" t="s">
        <v>10</v>
      </c>
      <c r="M2212" s="28" t="s">
        <v>51</v>
      </c>
      <c r="N2212" s="28" t="s">
        <v>51</v>
      </c>
    </row>
    <row r="2213" spans="1:14" x14ac:dyDescent="0.15">
      <c r="A2213" s="23" t="str">
        <f>HYPERLINK("https://www.spark-marketing.ru/Card/Person/25073", "ГБУЗ МО ""КЦГБ""")</f>
        <v>ГБУЗ МО "КЦГБ"</v>
      </c>
      <c r="B2213" s="24" t="s">
        <v>4138</v>
      </c>
      <c r="C2213" s="25">
        <v>530633</v>
      </c>
      <c r="D2213" s="22" t="s">
        <v>4139</v>
      </c>
      <c r="E2213" s="22" t="s">
        <v>48</v>
      </c>
      <c r="F2213" s="23" t="str">
        <f>HYPERLINK("https://www.spark-marketing.ru/Card/Lot/73753046",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2213" s="22" t="s">
        <v>49</v>
      </c>
      <c r="H2213" s="22" t="s">
        <v>50</v>
      </c>
      <c r="I2213" s="26">
        <v>43728.5402777778</v>
      </c>
      <c r="J2213" s="23" t="str">
        <f>HYPERLINK("https://www.spark-marketing.ru/Card/Person/47262", "МУП ""ПКП И ОРТ""")</f>
        <v>МУП "ПКП И ОРТ"</v>
      </c>
      <c r="K2213" s="24" t="s">
        <v>4140</v>
      </c>
      <c r="L2213" s="22" t="s">
        <v>10</v>
      </c>
      <c r="M2213" s="28" t="s">
        <v>51</v>
      </c>
      <c r="N2213" s="28" t="s">
        <v>51</v>
      </c>
    </row>
    <row r="2214" spans="1:14" x14ac:dyDescent="0.15">
      <c r="A2214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2214" s="24" t="s">
        <v>4141</v>
      </c>
      <c r="C2214" s="25">
        <v>1200000</v>
      </c>
      <c r="D2214" s="22" t="s">
        <v>4142</v>
      </c>
      <c r="E2214" s="22" t="s">
        <v>48</v>
      </c>
      <c r="F2214" s="23" t="str">
        <f>HYPERLINK("https://www.spark-marketing.ru/Card/Lot/73756645", "Услуги по организации комплексного питания")</f>
        <v>Услуги по организации комплексного питания</v>
      </c>
      <c r="G2214" s="22" t="s">
        <v>263</v>
      </c>
      <c r="H2214" s="22" t="s">
        <v>540</v>
      </c>
      <c r="I2214" s="26">
        <v>43728.527083333298</v>
      </c>
      <c r="J2214" s="23" t="str">
        <f>HYPERLINK("https://www.spark-marketing.ru/Card/Person/75670", "ООО ""М-СЕРВИС""")</f>
        <v>ООО "М-СЕРВИС"</v>
      </c>
      <c r="K2214" s="24" t="s">
        <v>4143</v>
      </c>
      <c r="L2214" s="22" t="s">
        <v>10</v>
      </c>
      <c r="M2214" s="28" t="s">
        <v>51</v>
      </c>
      <c r="N2214" s="28" t="s">
        <v>51</v>
      </c>
    </row>
    <row r="2215" spans="1:14" x14ac:dyDescent="0.15">
      <c r="A2215" s="23" t="str">
        <f>HYPERLINK("https://www.spark-marketing.ru/Card/Person/1762255", "МАДОУ ""ДЕТСКИЙ САД № 37""")</f>
        <v>МАДОУ "ДЕТСКИЙ САД № 37"</v>
      </c>
      <c r="B2215" s="24" t="s">
        <v>4144</v>
      </c>
      <c r="C2215" s="25">
        <v>17388534</v>
      </c>
      <c r="D2215" s="22" t="s">
        <v>4145</v>
      </c>
      <c r="E2215" s="22" t="s">
        <v>48</v>
      </c>
      <c r="F2215" s="23" t="str">
        <f>HYPERLINK("https://www.spark-marketing.ru/Card/Lot/73762243", "на оказание услуг по организации горячего питания в МАДОУ №37")</f>
        <v>на оказание услуг по организации горячего питания в МАДОУ №37</v>
      </c>
      <c r="G2215" s="22" t="s">
        <v>49</v>
      </c>
      <c r="H2215" s="22" t="s">
        <v>301</v>
      </c>
      <c r="I2215" s="26">
        <v>43728.527083333298</v>
      </c>
      <c r="J2215" s="28" t="s">
        <v>51</v>
      </c>
      <c r="K2215" s="28" t="s">
        <v>51</v>
      </c>
      <c r="L2215" s="28" t="s">
        <v>51</v>
      </c>
      <c r="M2215" s="28" t="s">
        <v>51</v>
      </c>
      <c r="N2215" s="28" t="s">
        <v>51</v>
      </c>
    </row>
    <row r="2216" spans="1:14" x14ac:dyDescent="0.15">
      <c r="A2216" s="23" t="str">
        <f>HYPERLINK("https://www.spark-marketing.ru/Card/Person/4857912", "МЕЖРЕГИОНАЛЬНЫЙ ФИЛИАЛ ФКУ ""ЦЕНТР ПО ОБЕСПЕЧЕНИЮ ДЕЯТЕЛЬНОСТИ КАЗНАЧЕЙСТВА РОССИИ"" В Г. ХАБАРОВСКЕ")</f>
        <v>МЕЖРЕГИОНАЛЬНЫЙ ФИЛИАЛ ФКУ "ЦЕНТР ПО ОБЕСПЕЧЕНИЮ ДЕЯТЕЛЬНОСТИ КАЗНАЧЕЙСТВА РОССИИ" В Г. ХАБАРОВСКЕ</v>
      </c>
      <c r="B2216" s="24" t="s">
        <v>2576</v>
      </c>
      <c r="C2216" s="25">
        <v>279999.99</v>
      </c>
      <c r="D2216" s="22" t="s">
        <v>4146</v>
      </c>
      <c r="E2216" s="22" t="s">
        <v>91</v>
      </c>
      <c r="F2216" s="23" t="str">
        <f>HYPERLINK("https://www.spark-marketing.ru/Card/Lot/73654995", "Оказание услуг по техническому обслуживанию систем бесперебойного питания для нужд Управления Федерального казначейства по Приморскому краю")</f>
        <v>Оказание услуг по техническому обслуживанию систем бесперебойного питания для нужд Управления Федерального казначейства по Приморскому краю</v>
      </c>
      <c r="G2216" s="22" t="s">
        <v>543</v>
      </c>
      <c r="H2216" s="22" t="s">
        <v>1440</v>
      </c>
      <c r="I2216" s="26">
        <v>43728.519444444399</v>
      </c>
      <c r="J2216" s="23" t="str">
        <f>HYPERLINK("https://www.spark-marketing.ru/Card/Person/147646", "ООО ""АКЦЕНТ""")</f>
        <v>ООО "АКЦЕНТ"</v>
      </c>
      <c r="K2216" s="24" t="s">
        <v>4147</v>
      </c>
      <c r="L2216" s="22" t="s">
        <v>10</v>
      </c>
      <c r="M2216" s="28" t="s">
        <v>51</v>
      </c>
      <c r="N2216" s="28" t="s">
        <v>51</v>
      </c>
    </row>
    <row r="2217" spans="1:14" x14ac:dyDescent="0.15">
      <c r="A2217" s="23" t="str">
        <f>HYPERLINK("https://www.spark-marketing.ru/Card/Person/37611", "ФКУ ИК-10 ГУФСИН РОССИИ ПО ЧЕЛЯБИНСКОЙ ОБЛАСТИ")</f>
        <v>ФКУ ИК-10 ГУФСИН РОССИИ ПО ЧЕЛЯБИНСКОЙ ОБЛАСТИ</v>
      </c>
      <c r="B2217" s="24" t="s">
        <v>4148</v>
      </c>
      <c r="C2217" s="25">
        <v>32717</v>
      </c>
      <c r="D2217" s="22" t="s">
        <v>4149</v>
      </c>
      <c r="E2217" s="22" t="s">
        <v>468</v>
      </c>
      <c r="F2217" s="23" t="str">
        <f>HYPERLINK("https://www.spark-marketing.ru/Card/Lot/73720470", "Транспортные услуги по доставке продуктов питания по маршруту: Кыштым - Челябинск - Кыштым")</f>
        <v>Транспортные услуги по доставке продуктов питания по маршруту: Кыштым - Челябинск - Кыштым</v>
      </c>
      <c r="G2217" s="22" t="s">
        <v>469</v>
      </c>
      <c r="H2217" s="22" t="s">
        <v>469</v>
      </c>
      <c r="I2217" s="26">
        <v>43728.620833333298</v>
      </c>
      <c r="J2217" s="28" t="s">
        <v>51</v>
      </c>
      <c r="K2217" s="28" t="s">
        <v>51</v>
      </c>
      <c r="L2217" s="28" t="s">
        <v>51</v>
      </c>
      <c r="M2217" s="28" t="s">
        <v>51</v>
      </c>
      <c r="N2217" s="28" t="s">
        <v>51</v>
      </c>
    </row>
    <row r="2218" spans="1:14" ht="12.75" hidden="1" outlineLevel="1" x14ac:dyDescent="0.2">
      <c r="A2218" s="23" t="str">
        <f>HYPERLINK("https://www.spark-marketing.ru/Card/Person/37611", "ФКУ ИК-10 ГУФСИН РОССИИ ПО ЧЕЛЯБИНСКОЙ ОБЛАСТИ")</f>
        <v>ФКУ ИК-10 ГУФСИН РОССИИ ПО ЧЕЛЯБИНСКОЙ ОБЛАСТИ</v>
      </c>
      <c r="B2218" s="24" t="s">
        <v>4148</v>
      </c>
      <c r="C2218" s="25">
        <v>32717</v>
      </c>
      <c r="D2218" s="22" t="s">
        <v>4149</v>
      </c>
      <c r="E2218" s="22" t="s">
        <v>468</v>
      </c>
      <c r="F2218" s="23" t="str">
        <f>HYPERLINK("https://www.spark-marketing.ru/Card/Lot/73720470", "Транспортные услуги по доставке продуктов питания по маршруту: Кыштым - Челябинск - Кыштым")</f>
        <v>Транспортные услуги по доставке продуктов питания по маршруту: Кыштым - Челябинск - Кыштым</v>
      </c>
      <c r="G2218" s="22" t="s">
        <v>469</v>
      </c>
      <c r="H2218" s="22" t="s">
        <v>469</v>
      </c>
      <c r="I2218" s="26">
        <v>43728.620833333298</v>
      </c>
      <c r="J2218" s="23" t="str">
        <f>HYPERLINK("https://www.spark-marketing.ru/Card/Person/6506452", "ООО ""ПРОСТОРКАРГО""")</f>
        <v>ООО "ПРОСТОРКАРГО"</v>
      </c>
      <c r="K2218" s="24" t="s">
        <v>4150</v>
      </c>
      <c r="L2218" s="22" t="s">
        <v>10</v>
      </c>
      <c r="M2218" s="25">
        <v>29000</v>
      </c>
      <c r="N2218" s="27">
        <v>0.1136106611241862</v>
      </c>
    </row>
    <row r="2219" spans="1:14" hidden="1" outlineLevel="1" x14ac:dyDescent="0.2">
      <c r="A2219" s="23" t="str">
        <f>HYPERLINK("https://www.spark-marketing.ru/Card/Person/37611", "ФКУ ИК-10 ГУФСИН РОССИИ ПО ЧЕЛЯБИНСКОЙ ОБЛАСТИ")</f>
        <v>ФКУ ИК-10 ГУФСИН РОССИИ ПО ЧЕЛЯБИНСКОЙ ОБЛАСТИ</v>
      </c>
      <c r="B2219" s="24" t="s">
        <v>4148</v>
      </c>
      <c r="C2219" s="25">
        <v>32717</v>
      </c>
      <c r="D2219" s="22" t="s">
        <v>4149</v>
      </c>
      <c r="E2219" s="22" t="s">
        <v>468</v>
      </c>
      <c r="F2219" s="23" t="str">
        <f>HYPERLINK("https://www.spark-marketing.ru/Card/Lot/73720470", "Транспортные услуги по доставке продуктов питания по маршруту: Кыштым - Челябинск - Кыштым")</f>
        <v>Транспортные услуги по доставке продуктов питания по маршруту: Кыштым - Челябинск - Кыштым</v>
      </c>
      <c r="G2219" s="22" t="s">
        <v>469</v>
      </c>
      <c r="H2219" s="22" t="s">
        <v>469</v>
      </c>
      <c r="I2219" s="26">
        <v>43728.620833333298</v>
      </c>
      <c r="J2219" s="23" t="str">
        <f>HYPERLINK("https://www.spark-marketing.ru/Card/Person/4469499", "Дерябин Александр Анатольевич")</f>
        <v>Дерябин Александр Анатольевич</v>
      </c>
      <c r="K2219" s="24" t="s">
        <v>2157</v>
      </c>
      <c r="L2219" s="28" t="s">
        <v>51</v>
      </c>
      <c r="M2219" s="25">
        <v>32000</v>
      </c>
      <c r="N2219" s="27">
        <v>2.1915212274964086E-2</v>
      </c>
    </row>
    <row r="2220" spans="1:14" x14ac:dyDescent="0.15">
      <c r="A2220" s="23" t="str">
        <f>HYPERLINK("https://www.spark-marketing.ru/Card/Person/104269", "МБДОУ ""ДЕТСКИЙ САД №35 ОБЩЕРАЗВИВАЮЩЕГО ВИДА""")</f>
        <v>МБДОУ "ДЕТСКИЙ САД №35 ОБЩЕРАЗВИВАЮЩЕГО ВИДА"</v>
      </c>
      <c r="B2220" s="24" t="s">
        <v>4151</v>
      </c>
      <c r="C2220" s="25">
        <v>10103198</v>
      </c>
      <c r="D2220" s="22" t="s">
        <v>4152</v>
      </c>
      <c r="E2220" s="22" t="s">
        <v>48</v>
      </c>
      <c r="F2220" s="23" t="str">
        <f>HYPERLINK("https://www.spark-marketing.ru/Card/Lot/73763636",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220" s="22" t="s">
        <v>49</v>
      </c>
      <c r="H2220" s="22" t="s">
        <v>2495</v>
      </c>
      <c r="I2220" s="26">
        <v>43728.494444444397</v>
      </c>
      <c r="J2220" s="28" t="s">
        <v>51</v>
      </c>
      <c r="K2220" s="28" t="s">
        <v>51</v>
      </c>
      <c r="L2220" s="28" t="s">
        <v>51</v>
      </c>
      <c r="M2220" s="28" t="s">
        <v>51</v>
      </c>
      <c r="N2220" s="28" t="s">
        <v>51</v>
      </c>
    </row>
    <row r="2221" spans="1:14" x14ac:dyDescent="0.15">
      <c r="A2221" s="23" t="str">
        <f>HYPERLINK("https://www.spark-marketing.ru/Card/Person/122997", "МБДОУ ДЕТСКИЙ САД №3 ""ЗВЁЗДОЧКА"" КОМБИНИРОВАННОГО ВИДА")</f>
        <v>МБДОУ ДЕТСКИЙ САД №3 "ЗВЁЗДОЧКА" КОМБИНИРОВАННОГО ВИДА</v>
      </c>
      <c r="B2221" s="24" t="s">
        <v>4153</v>
      </c>
      <c r="C2221" s="25">
        <v>10543290</v>
      </c>
      <c r="D2221" s="22" t="s">
        <v>4154</v>
      </c>
      <c r="E2221" s="22" t="s">
        <v>48</v>
      </c>
      <c r="F2221" s="23" t="str">
        <f>HYPERLINK("https://www.spark-marketing.ru/Card/Lot/73763647",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221" s="22" t="s">
        <v>49</v>
      </c>
      <c r="H2221" s="22" t="s">
        <v>2508</v>
      </c>
      <c r="I2221" s="26">
        <v>43728.4597222222</v>
      </c>
      <c r="J2221" s="28" t="s">
        <v>51</v>
      </c>
      <c r="K2221" s="28" t="s">
        <v>51</v>
      </c>
      <c r="L2221" s="28" t="s">
        <v>51</v>
      </c>
      <c r="M2221" s="28" t="s">
        <v>51</v>
      </c>
      <c r="N2221" s="28" t="s">
        <v>51</v>
      </c>
    </row>
    <row r="2222" spans="1:14" x14ac:dyDescent="0.15">
      <c r="A2222" s="23" t="str">
        <f>HYPERLINK("https://www.spark-marketing.ru/Card/Person/1023710", "ГКОУ СО ""ЕКАТЕРИНБУРГСКАЯ ШКОЛА № 4""")</f>
        <v>ГКОУ СО "ЕКАТЕРИНБУРГСКАЯ ШКОЛА № 4"</v>
      </c>
      <c r="B2222" s="24" t="s">
        <v>4155</v>
      </c>
      <c r="C2222" s="25">
        <v>917737.92</v>
      </c>
      <c r="D2222" s="22" t="s">
        <v>4156</v>
      </c>
      <c r="E2222" s="22" t="s">
        <v>48</v>
      </c>
      <c r="F2222" s="23" t="str">
        <f>HYPERLINK("https://www.spark-marketing.ru/Card/Lot/73659482", "Питание обучающихся")</f>
        <v>Питание обучающихся</v>
      </c>
      <c r="G2222" s="22" t="s">
        <v>174</v>
      </c>
      <c r="H2222" s="22" t="s">
        <v>530</v>
      </c>
      <c r="I2222" s="26">
        <v>43728.467361111099</v>
      </c>
      <c r="J2222" s="23" t="str">
        <f>HYPERLINK("https://www.spark-marketing.ru/Card/Person/796094", "ООО ""СЛАВЯНКА""")</f>
        <v>ООО "СЛАВЯНКА"</v>
      </c>
      <c r="K2222" s="24" t="s">
        <v>4157</v>
      </c>
      <c r="L2222" s="22" t="s">
        <v>10</v>
      </c>
      <c r="M2222" s="28" t="s">
        <v>51</v>
      </c>
      <c r="N2222" s="28" t="s">
        <v>51</v>
      </c>
    </row>
    <row r="2223" spans="1:14" x14ac:dyDescent="0.15">
      <c r="A2223" s="23" t="str">
        <f>HYPERLINK("https://www.spark-marketing.ru/Card/Person/4351597", "ГБУЗРК «КЕРЧЕНСКАЯ БОЛЬНИЦА №1 ИМ. Н.И.ПИРОГОВА»")</f>
        <v>ГБУЗРК «КЕРЧЕНСКАЯ БОЛЬНИЦА №1 ИМ. Н.И.ПИРОГОВА»</v>
      </c>
      <c r="B2223" s="24" t="s">
        <v>4158</v>
      </c>
      <c r="C2223" s="25">
        <v>4999740</v>
      </c>
      <c r="D2223" s="22" t="s">
        <v>4159</v>
      </c>
      <c r="E2223" s="22" t="s">
        <v>48</v>
      </c>
      <c r="F2223" s="23" t="str">
        <f>HYPERLINK("https://www.spark-marketing.ru/Card/Lot/73758237", "Оказание услуг по предоставлению лечебного питания")</f>
        <v>Оказание услуг по предоставлению лечебного питания</v>
      </c>
      <c r="G2223" s="22" t="s">
        <v>108</v>
      </c>
      <c r="H2223" s="22" t="s">
        <v>344</v>
      </c>
      <c r="I2223" s="26">
        <v>43728.619444444397</v>
      </c>
      <c r="J2223" s="23" t="str">
        <f>HYPERLINK("https://www.spark-marketing.ru/Card/Person/4276717", "Джаппаров Абибула Раифович")</f>
        <v>Джаппаров Абибула Раифович</v>
      </c>
      <c r="K2223" s="24" t="s">
        <v>4160</v>
      </c>
      <c r="L2223" s="22" t="s">
        <v>10</v>
      </c>
      <c r="M2223" s="28" t="s">
        <v>51</v>
      </c>
      <c r="N2223" s="28" t="s">
        <v>51</v>
      </c>
    </row>
    <row r="2224" spans="1:14" x14ac:dyDescent="0.15">
      <c r="A2224" s="23" t="str">
        <f>HYPERLINK("https://www.spark-marketing.ru/Card/Person/118030", "МБДОУ ""ДЕТСКИЙ САД №15""")</f>
        <v>МБДОУ "ДЕТСКИЙ САД №15"</v>
      </c>
      <c r="B2224" s="24" t="s">
        <v>4161</v>
      </c>
      <c r="C2224" s="25">
        <v>11895112</v>
      </c>
      <c r="D2224" s="22" t="s">
        <v>4162</v>
      </c>
      <c r="E2224" s="22" t="s">
        <v>48</v>
      </c>
      <c r="F2224" s="23" t="str">
        <f>HYPERLINK("https://www.spark-marketing.ru/Card/Lot/73763648",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224" s="22" t="s">
        <v>49</v>
      </c>
      <c r="H2224" s="22" t="s">
        <v>2508</v>
      </c>
      <c r="I2224" s="26">
        <v>43728.495833333298</v>
      </c>
      <c r="J2224" s="28" t="s">
        <v>51</v>
      </c>
      <c r="K2224" s="28" t="s">
        <v>51</v>
      </c>
      <c r="L2224" s="28" t="s">
        <v>51</v>
      </c>
      <c r="M2224" s="28" t="s">
        <v>51</v>
      </c>
      <c r="N2224" s="28" t="s">
        <v>51</v>
      </c>
    </row>
    <row r="2225" spans="1:14" x14ac:dyDescent="0.15">
      <c r="A2225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2225" s="24" t="s">
        <v>4141</v>
      </c>
      <c r="C2225" s="25">
        <v>1200000</v>
      </c>
      <c r="D2225" s="22" t="s">
        <v>4163</v>
      </c>
      <c r="E2225" s="22" t="s">
        <v>48</v>
      </c>
      <c r="F2225" s="23" t="str">
        <f>HYPERLINK("https://www.spark-marketing.ru/Card/Lot/73654699", "Услуги по организации комплексного питания")</f>
        <v>Услуги по организации комплексного питания</v>
      </c>
      <c r="G2225" s="22" t="s">
        <v>263</v>
      </c>
      <c r="H2225" s="22" t="s">
        <v>540</v>
      </c>
      <c r="I2225" s="26">
        <v>43728.422916666699</v>
      </c>
      <c r="J2225" s="23" t="str">
        <f>HYPERLINK("https://www.spark-marketing.ru/Card/Person/75670", "ООО ""М-СЕРВИС""")</f>
        <v>ООО "М-СЕРВИС"</v>
      </c>
      <c r="K2225" s="24" t="s">
        <v>4143</v>
      </c>
      <c r="L2225" s="22" t="s">
        <v>10</v>
      </c>
      <c r="M2225" s="28" t="s">
        <v>51</v>
      </c>
      <c r="N2225" s="28" t="s">
        <v>51</v>
      </c>
    </row>
    <row r="2226" spans="1:14" x14ac:dyDescent="0.15">
      <c r="A2226" s="23" t="str">
        <f>HYPERLINK("https://www.spark-marketing.ru/Card/Person/6511954", "МБОУ ""ЛОПАТИНСКАЯ СРЕДНЯЯ ОБЩЕОБРАЗОВАТЕЛЬНАЯ ШКОЛА""")</f>
        <v>МБОУ "ЛОПАТИНСКАЯ СРЕДНЯЯ ОБЩЕОБРАЗОВАТЕЛЬНАЯ ШКОЛА"</v>
      </c>
      <c r="B2226" s="24" t="s">
        <v>4164</v>
      </c>
      <c r="C2226" s="25">
        <v>594090</v>
      </c>
      <c r="D2226" s="22" t="s">
        <v>4165</v>
      </c>
      <c r="E2226" s="22" t="s">
        <v>48</v>
      </c>
      <c r="F2226" s="23" t="str">
        <f>HYPERLINK("https://www.spark-marketing.ru/Card/Lot/73658797", "Услуги горячего питания")</f>
        <v>Услуги горячего питания</v>
      </c>
      <c r="G2226" s="22" t="s">
        <v>49</v>
      </c>
      <c r="H2226" s="22" t="s">
        <v>654</v>
      </c>
      <c r="I2226" s="26">
        <v>43728.431446759299</v>
      </c>
      <c r="J2226" s="28" t="s">
        <v>51</v>
      </c>
      <c r="K2226" s="28" t="s">
        <v>51</v>
      </c>
      <c r="L2226" s="28" t="s">
        <v>51</v>
      </c>
      <c r="M2226" s="28" t="s">
        <v>51</v>
      </c>
      <c r="N2226" s="28" t="s">
        <v>51</v>
      </c>
    </row>
    <row r="2227" spans="1:14" x14ac:dyDescent="0.15">
      <c r="A2227" s="23" t="str">
        <f>HYPERLINK("https://www.spark-marketing.ru/Card/Person/84420", "МБДОУ ДЕТСКИЙ САД № 81")</f>
        <v>МБДОУ ДЕТСКИЙ САД № 81</v>
      </c>
      <c r="B2227" s="24" t="s">
        <v>4166</v>
      </c>
      <c r="C2227" s="25">
        <v>11666446</v>
      </c>
      <c r="D2227" s="22" t="s">
        <v>4167</v>
      </c>
      <c r="E2227" s="22" t="s">
        <v>48</v>
      </c>
      <c r="F2227" s="23" t="str">
        <f>HYPERLINK("https://www.spark-marketing.ru/Card/Lot/73763646",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227" s="22" t="s">
        <v>49</v>
      </c>
      <c r="H2227" s="22" t="s">
        <v>2508</v>
      </c>
      <c r="I2227" s="26">
        <v>43728.439583333296</v>
      </c>
      <c r="J2227" s="28" t="s">
        <v>51</v>
      </c>
      <c r="K2227" s="28" t="s">
        <v>51</v>
      </c>
      <c r="L2227" s="28" t="s">
        <v>51</v>
      </c>
      <c r="M2227" s="28" t="s">
        <v>51</v>
      </c>
      <c r="N2227" s="28" t="s">
        <v>51</v>
      </c>
    </row>
    <row r="2228" spans="1:14" x14ac:dyDescent="0.15">
      <c r="A2228" s="23" t="str">
        <f>HYPERLINK("https://www.spark-marketing.ru/Card/Person/37622", "МИНИСТЕРСТВО ЗДРАВООХРАНЕНИЯ ИРКУТСКОЙ ОБЛАСТИ")</f>
        <v>МИНИСТЕРСТВО ЗДРАВООХРАНЕНИЯ ИРКУТСКОЙ ОБЛАСТИ</v>
      </c>
      <c r="B2228" s="24" t="s">
        <v>1102</v>
      </c>
      <c r="C2228" s="25">
        <v>2226185.52</v>
      </c>
      <c r="D2228" s="22" t="s">
        <v>4168</v>
      </c>
      <c r="E2228" s="22" t="s">
        <v>1104</v>
      </c>
      <c r="F2228" s="23" t="str">
        <f>HYPERLINK("https://www.spark-marketing.ru/Card/Lot/73655184", "Оказание услуг по получению, хранению, учёту и доставке лекарственных препаратов (за исключением лекарственных препаратов с международными непатентованными наименованиями: Адалимумаб; Гефитиниб; Голимумаб; Деферазирокс; Инфликсимаб; Финголимод; Этане...")</f>
        <v>Оказание услуг по получению, хранению, учёту и доставке лекарственных препаратов (за исключением лекарственных препаратов с международными непатентованными наименованиями: Адалимумаб; Гефитиниб; Голимумаб; Деферазирокс; Инфликсимаб; Финголимод; Этане...</v>
      </c>
      <c r="G2228" s="22" t="s">
        <v>263</v>
      </c>
      <c r="H2228" s="22" t="s">
        <v>263</v>
      </c>
      <c r="I2228" s="26">
        <v>43728.4506944444</v>
      </c>
      <c r="J2228" s="23" t="str">
        <f>HYPERLINK("https://www.spark-marketing.ru/Card/Person/53085", "АО ""ИООСАБ""")</f>
        <v>АО "ИООСАБ"</v>
      </c>
      <c r="K2228" s="24" t="s">
        <v>2445</v>
      </c>
      <c r="L2228" s="22" t="s">
        <v>10</v>
      </c>
      <c r="M2228" s="28" t="s">
        <v>51</v>
      </c>
      <c r="N2228" s="28" t="s">
        <v>51</v>
      </c>
    </row>
    <row r="2229" spans="1:14" x14ac:dyDescent="0.15">
      <c r="A2229" s="23" t="str">
        <f>HYPERLINK("https://www.spark-marketing.ru/Card/Person/253249", "ОМВД РОССИИ ПО ЛАХДЕНПОХСКОМУ РАЙОНУ")</f>
        <v>ОМВД РОССИИ ПО ЛАХДЕНПОХСКОМУ РАЙОНУ</v>
      </c>
      <c r="B2229" s="24" t="s">
        <v>57</v>
      </c>
      <c r="C2229" s="25">
        <v>1120000</v>
      </c>
      <c r="D2229" s="22" t="s">
        <v>4169</v>
      </c>
      <c r="E2229" s="22" t="s">
        <v>48</v>
      </c>
      <c r="F2229" s="23" t="str">
        <f>HYPERLINK("https://www.spark-marketing.ru/Card/Lot/73756692", "Оказание услуг по организации ежедневного (включая выходные и праздничные дни) горячего питания")</f>
        <v>Оказание услуг по организации ежедневного (включая выходные и праздничные дни) горячего питания</v>
      </c>
      <c r="G2229" s="22" t="s">
        <v>59</v>
      </c>
      <c r="H2229" s="22" t="s">
        <v>59</v>
      </c>
      <c r="I2229" s="26">
        <v>43728.429861111101</v>
      </c>
      <c r="J2229" s="28" t="s">
        <v>51</v>
      </c>
      <c r="K2229" s="28" t="s">
        <v>51</v>
      </c>
      <c r="L2229" s="28" t="s">
        <v>51</v>
      </c>
      <c r="M2229" s="28" t="s">
        <v>51</v>
      </c>
      <c r="N2229" s="28" t="s">
        <v>51</v>
      </c>
    </row>
    <row r="2230" spans="1:14" x14ac:dyDescent="0.15">
      <c r="A2230" s="23" t="str">
        <f>HYPERLINK("https://www.spark-marketing.ru/Card/Person/85705", "МБОУ СКНШДС № 71 ""АИСТ""")</f>
        <v>МБОУ СКНШДС № 71 "АИСТ"</v>
      </c>
      <c r="B2230" s="24" t="s">
        <v>4170</v>
      </c>
      <c r="C2230" s="25">
        <v>17301520</v>
      </c>
      <c r="D2230" s="22" t="s">
        <v>4171</v>
      </c>
      <c r="E2230" s="22" t="s">
        <v>48</v>
      </c>
      <c r="F2230" s="23" t="str">
        <f>HYPERLINK("https://www.spark-marketing.ru/Card/Lot/73765021",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</v>
      </c>
      <c r="G2230" s="22" t="s">
        <v>49</v>
      </c>
      <c r="H2230" s="22" t="s">
        <v>2508</v>
      </c>
      <c r="I2230" s="26">
        <v>43728.405555555597</v>
      </c>
      <c r="J2230" s="28" t="s">
        <v>51</v>
      </c>
      <c r="K2230" s="28" t="s">
        <v>51</v>
      </c>
      <c r="L2230" s="28" t="s">
        <v>51</v>
      </c>
      <c r="M2230" s="28" t="s">
        <v>51</v>
      </c>
      <c r="N2230" s="28" t="s">
        <v>51</v>
      </c>
    </row>
    <row r="2231" spans="1:14" x14ac:dyDescent="0.15">
      <c r="A2231" s="23" t="str">
        <f>HYPERLINK("https://www.spark-marketing.ru/Card/Person/37622", "МИНИСТЕРСТВО ЗДРАВООХРАНЕНИЯ ИРКУТСКОЙ ОБЛАСТИ")</f>
        <v>МИНИСТЕРСТВО ЗДРАВООХРАНЕНИЯ ИРКУТСКОЙ ОБЛАСТИ</v>
      </c>
      <c r="B2231" s="24" t="s">
        <v>1102</v>
      </c>
      <c r="C2231" s="25">
        <v>7256800</v>
      </c>
      <c r="D2231" s="22" t="s">
        <v>4172</v>
      </c>
      <c r="E2231" s="22" t="s">
        <v>1104</v>
      </c>
      <c r="F2231" s="23" t="str">
        <f>HYPERLINK("https://www.spark-marketing.ru/Card/Lot/73654498", "Оказание услуг по получению, хранению, учёту и доставке лекарственных препаратов (за исключением лекарственных препаратов с международными непатентованными наименованиями: Адалимумаб; Гефитиниб; Голимумаб; Деферазирокс; Инфликсимаб; Финголимод; Этане...")</f>
        <v>Оказание услуг по получению, хранению, учёту и доставке лекарственных препаратов (за исключением лекарственных препаратов с международными непатентованными наименованиями: Адалимумаб; Гефитиниб; Голимумаб; Деферазирокс; Инфликсимаб; Финголимод; Этане...</v>
      </c>
      <c r="G2231" s="22" t="s">
        <v>263</v>
      </c>
      <c r="H2231" s="22" t="s">
        <v>263</v>
      </c>
      <c r="I2231" s="26">
        <v>43728.395833333299</v>
      </c>
      <c r="J2231" s="23" t="str">
        <f>HYPERLINK("https://www.spark-marketing.ru/Card/Person/53085", "АО ""ИООСАБ""")</f>
        <v>АО "ИООСАБ"</v>
      </c>
      <c r="K2231" s="24" t="s">
        <v>2445</v>
      </c>
      <c r="L2231" s="22" t="s">
        <v>10</v>
      </c>
      <c r="M2231" s="28" t="s">
        <v>51</v>
      </c>
      <c r="N2231" s="28" t="s">
        <v>51</v>
      </c>
    </row>
    <row r="2232" spans="1:14" x14ac:dyDescent="0.15">
      <c r="A2232" s="23" t="str">
        <f>HYPERLINK("https://www.spark-marketing.ru/Card/Person/6692", "КГБУЗ ""АКОД""")</f>
        <v>КГБУЗ "АКОД"</v>
      </c>
      <c r="B2232" s="24" t="s">
        <v>4173</v>
      </c>
      <c r="C2232" s="25">
        <v>72478000</v>
      </c>
      <c r="D2232" s="22" t="s">
        <v>4174</v>
      </c>
      <c r="E2232" s="22" t="s">
        <v>583</v>
      </c>
      <c r="F2232" s="23" t="str">
        <f>HYPERLINK("https://www.spark-marketing.ru/Card/Lot/73654420", "Оказание услуг по техническому обслуживанию и ремонту медицинского оборудования для нужд КГБУЗ ""Алтайский краевой онкологический диспансер""")</f>
        <v>Оказание услуг по техническому обслуживанию и ремонту медицинского оборудования для нужд КГБУЗ "Алтайский краевой онкологический диспансер"</v>
      </c>
      <c r="G2232" s="22" t="s">
        <v>63</v>
      </c>
      <c r="H2232" s="22" t="s">
        <v>177</v>
      </c>
      <c r="I2232" s="26">
        <v>43728.341666666704</v>
      </c>
      <c r="J2232" s="23" t="str">
        <f>HYPERLINK("https://www.spark-marketing.ru/Card/Person/63960", "ООО ""ИНСАЙТ-СЕРВИС""")</f>
        <v>ООО "ИНСАЙТ-СЕРВИС"</v>
      </c>
      <c r="K2232" s="24" t="s">
        <v>4175</v>
      </c>
      <c r="L2232" s="22" t="s">
        <v>10</v>
      </c>
      <c r="M2232" s="28" t="s">
        <v>51</v>
      </c>
      <c r="N2232" s="28" t="s">
        <v>51</v>
      </c>
    </row>
    <row r="2233" spans="1:14" x14ac:dyDescent="0.15">
      <c r="A2233" s="23" t="str">
        <f>HYPERLINK("https://www.spark-marketing.ru/Card/Person/145680", "УМВД РОССИИ ПО Г. ТАМБОВУ")</f>
        <v>УМВД РОССИИ ПО Г. ТАМБОВУ</v>
      </c>
      <c r="B2233" s="24" t="s">
        <v>2023</v>
      </c>
      <c r="C2233" s="25">
        <v>2244039.0099999998</v>
      </c>
      <c r="D2233" s="22" t="s">
        <v>4176</v>
      </c>
      <c r="E2233" s="22" t="s">
        <v>48</v>
      </c>
      <c r="F2233" s="23" t="str">
        <f>HYPERLINK("https://www.spark-marketing.ru/Card/Lot/73763728", "Оказание услуг по питанию лиц, содержащихся в ИВС, спецприемнике и камерах административных задержанных УМВД России по г. Тамбову")</f>
        <v>Оказание услуг по питанию лиц, содержащихся в ИВС, спецприемнике и камерах административных задержанных УМВД России по г. Тамбову</v>
      </c>
      <c r="G2233" s="22" t="s">
        <v>1370</v>
      </c>
      <c r="H2233" s="22" t="s">
        <v>2025</v>
      </c>
      <c r="I2233" s="26">
        <v>43728.369444444397</v>
      </c>
      <c r="J2233" s="23" t="str">
        <f>HYPERLINK("https://www.spark-marketing.ru/Card/Person/146147", "ООО ""КОБАЛЬТ""")</f>
        <v>ООО "КОБАЛЬТ"</v>
      </c>
      <c r="K2233" s="24" t="s">
        <v>2026</v>
      </c>
      <c r="L2233" s="22" t="s">
        <v>10</v>
      </c>
      <c r="M2233" s="28" t="s">
        <v>51</v>
      </c>
      <c r="N2233" s="28" t="s">
        <v>51</v>
      </c>
    </row>
    <row r="2234" spans="1:14" x14ac:dyDescent="0.15">
      <c r="A2234" s="23" t="str">
        <f>HYPERLINK("https://www.spark-marketing.ru/Card/Person/5816964", "ГБУЗ ПК ""КККВД""")</f>
        <v>ГБУЗ ПК "КККВД"</v>
      </c>
      <c r="B2234" s="24" t="s">
        <v>4177</v>
      </c>
      <c r="C2234" s="25">
        <v>2363340</v>
      </c>
      <c r="D2234" s="22" t="s">
        <v>4178</v>
      </c>
      <c r="E2234" s="22" t="s">
        <v>96</v>
      </c>
      <c r="F2234" s="23" t="str">
        <f>HYPERLINK("https://www.spark-marketing.ru/Card/Lot/73655512", "Оказание услуг по организации питания в ГБУЗ ПК «КККВД»")</f>
        <v>Оказание услуг по организации питания в ГБУЗ ПК «КККВД»</v>
      </c>
      <c r="G2234" s="22" t="s">
        <v>153</v>
      </c>
      <c r="H2234" s="22" t="s">
        <v>153</v>
      </c>
      <c r="I2234" s="26">
        <v>43728.35</v>
      </c>
      <c r="J2234" s="28" t="s">
        <v>51</v>
      </c>
      <c r="K2234" s="28" t="s">
        <v>51</v>
      </c>
      <c r="L2234" s="28" t="s">
        <v>51</v>
      </c>
      <c r="M2234" s="28" t="s">
        <v>51</v>
      </c>
      <c r="N2234" s="28" t="s">
        <v>51</v>
      </c>
    </row>
    <row r="2235" spans="1:14" x14ac:dyDescent="0.15">
      <c r="A2235" s="23" t="str">
        <f>HYPERLINK("https://www.spark-marketing.ru/Card/Person/4856791", "МАДОУ ""Д/С № 22 ""ГОРОД ДЕТСТВА""")</f>
        <v>МАДОУ "Д/С № 22 "ГОРОД ДЕТСТВА"</v>
      </c>
      <c r="B2235" s="24" t="s">
        <v>4179</v>
      </c>
      <c r="C2235" s="25">
        <v>4866120</v>
      </c>
      <c r="D2235" s="22" t="s">
        <v>4180</v>
      </c>
      <c r="E2235" s="22" t="s">
        <v>48</v>
      </c>
      <c r="F2235" s="23" t="str">
        <f>HYPERLINK("https://www.spark-marketing.ru/Card/Lot/73758655", "Оказание услуг по организации горячего питания для воспитанников")</f>
        <v>Оказание услуг по организации горячего питания для воспитанников</v>
      </c>
      <c r="G2235" s="22" t="s">
        <v>49</v>
      </c>
      <c r="H2235" s="22" t="s">
        <v>654</v>
      </c>
      <c r="I2235" s="26">
        <v>43728.373611111099</v>
      </c>
      <c r="J2235" s="28" t="s">
        <v>51</v>
      </c>
      <c r="K2235" s="28" t="s">
        <v>51</v>
      </c>
      <c r="L2235" s="28" t="s">
        <v>51</v>
      </c>
      <c r="M2235" s="28" t="s">
        <v>51</v>
      </c>
      <c r="N2235" s="28" t="s">
        <v>51</v>
      </c>
    </row>
    <row r="2236" spans="1:14" x14ac:dyDescent="0.2">
      <c r="A2236" s="23" t="str">
        <f>HYPERLINK("https://www.spark-marketing.ru/Card/Person/11901", "ГБУЗ ПК ""ККД""")</f>
        <v>ГБУЗ ПК "ККД"</v>
      </c>
      <c r="B2236" s="24" t="s">
        <v>4181</v>
      </c>
      <c r="C2236" s="25">
        <v>616170</v>
      </c>
      <c r="D2236" s="22" t="s">
        <v>4182</v>
      </c>
      <c r="E2236" s="22" t="s">
        <v>96</v>
      </c>
      <c r="F2236" s="23" t="str">
        <f>HYPERLINK("https://www.spark-marketing.ru/Card/Lot/73671558", "Оказание услуг по обеспечению лечебным питанием пациентов, находящихся на стационарном лечении в платном отделении")</f>
        <v>Оказание услуг по обеспечению лечебным питанием пациентов, находящихся на стационарном лечении в платном отделении</v>
      </c>
      <c r="G2236" s="22" t="s">
        <v>153</v>
      </c>
      <c r="H2236" s="22" t="s">
        <v>153</v>
      </c>
      <c r="I2236" s="26">
        <v>43728.415972222203</v>
      </c>
      <c r="J2236" s="23" t="str">
        <f>HYPERLINK("https://www.spark-marketing.ru/Card/Person/245836", "ООО ""АМЕГА""")</f>
        <v>ООО "АМЕГА"</v>
      </c>
      <c r="K2236" s="24" t="s">
        <v>1841</v>
      </c>
      <c r="L2236" s="28" t="s">
        <v>51</v>
      </c>
      <c r="M2236" s="25">
        <v>613548</v>
      </c>
      <c r="N2236" s="27">
        <v>4.2553191489361703E-3</v>
      </c>
    </row>
    <row r="2237" spans="1:14" x14ac:dyDescent="0.2">
      <c r="A2237" s="23" t="str">
        <f>HYPERLINK("https://www.spark-marketing.ru/Card/Person/64719", "БУ ""СУРГУТСКИЙ РЕАБИЛИТАЦИОННЫЙ ЦЕНТР""")</f>
        <v>БУ "СУРГУТСКИЙ РЕАБИЛИТАЦИОННЫЙ ЦЕНТР"</v>
      </c>
      <c r="B2237" s="24" t="s">
        <v>4183</v>
      </c>
      <c r="C2237" s="25">
        <v>547344</v>
      </c>
      <c r="D2237" s="22" t="s">
        <v>4184</v>
      </c>
      <c r="E2237" s="22" t="s">
        <v>96</v>
      </c>
      <c r="F2237" s="23" t="str">
        <f>HYPERLINK("https://www.spark-marketing.ru/Card/Lot/73655749", "Оказание услуг по организации и доставке горячего питания для получателей социальных услуг в бюджетном учреждении Ханты-Мансийского автономного округа - Югры «Сургутский реабилитационный центр для детей и подростков с ограниченными возможностями» в п...")</f>
        <v>Оказание услуг по организации и доставке горячего питания для получателей социальных услуг в бюджетном учреждении Ханты-Мансийского автономного округа - Югры «Сургутский реабилитационный центр для детей и подростков с ограниченными возможностями» в п...</v>
      </c>
      <c r="G2237" s="22" t="s">
        <v>97</v>
      </c>
      <c r="H2237" s="22" t="s">
        <v>3533</v>
      </c>
      <c r="I2237" s="26">
        <v>43728.383333333302</v>
      </c>
      <c r="J2237" s="23" t="str">
        <f>HYPERLINK("https://www.spark-marketing.ru/Card/Person/100997", "ООО ""ВКУСНОДЕЙ""")</f>
        <v>ООО "ВКУСНОДЕЙ"</v>
      </c>
      <c r="K2237" s="24" t="s">
        <v>4185</v>
      </c>
      <c r="L2237" s="28" t="s">
        <v>51</v>
      </c>
      <c r="M2237" s="25">
        <v>547344</v>
      </c>
      <c r="N2237" s="27">
        <v>0</v>
      </c>
    </row>
    <row r="2238" spans="1:14" x14ac:dyDescent="0.15">
      <c r="A2238" s="23" t="str">
        <f>HYPERLINK("https://www.spark-marketing.ru/Card/Person/1051454", "ОМВД РОССИИ ПО ЕНОТАЕВСКОМУ РАЙОНУ")</f>
        <v>ОМВД РОССИИ ПО ЕНОТАЕВСКОМУ РАЙОНУ</v>
      </c>
      <c r="B2238" s="24" t="s">
        <v>4186</v>
      </c>
      <c r="C2238" s="25">
        <v>180</v>
      </c>
      <c r="D2238" s="22" t="s">
        <v>4187</v>
      </c>
      <c r="E2238" s="22" t="s">
        <v>48</v>
      </c>
      <c r="F2238" s="23" t="str">
        <f>HYPERLINK("https://www.spark-marketing.ru/Card/Lot/73655601",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2238" s="22" t="s">
        <v>141</v>
      </c>
      <c r="H2238" s="22" t="s">
        <v>4188</v>
      </c>
      <c r="I2238" s="26">
        <v>43728.3288425926</v>
      </c>
      <c r="J2238" s="28" t="s">
        <v>51</v>
      </c>
      <c r="K2238" s="28" t="s">
        <v>51</v>
      </c>
      <c r="L2238" s="28" t="s">
        <v>51</v>
      </c>
      <c r="M2238" s="28" t="s">
        <v>51</v>
      </c>
      <c r="N2238" s="28" t="s">
        <v>51</v>
      </c>
    </row>
    <row r="2239" spans="1:14" x14ac:dyDescent="0.2">
      <c r="A2239" s="23" t="str">
        <f>HYPERLINK("https://www.spark-marketing.ru/Card/Person/6440830", "ФГБУ ФВЦМР ФМБА РОССИИ")</f>
        <v>ФГБУ ФВЦМР ФМБА РОССИИ</v>
      </c>
      <c r="B2239" s="24" t="s">
        <v>4189</v>
      </c>
      <c r="C2239" s="25">
        <v>2429580.7799999998</v>
      </c>
      <c r="D2239" s="22" t="s">
        <v>4190</v>
      </c>
      <c r="E2239" s="22" t="s">
        <v>96</v>
      </c>
      <c r="F2239" s="23" t="str">
        <f>HYPERLINK("https://www.spark-marketing.ru/Card/Lot/73659430", "Оказание услуг по организации горячего питания")</f>
        <v>Оказание услуг по организации горячего питания</v>
      </c>
      <c r="G2239" s="22" t="s">
        <v>1918</v>
      </c>
      <c r="H2239" s="22" t="s">
        <v>1918</v>
      </c>
      <c r="I2239" s="26">
        <v>43728.349305555603</v>
      </c>
      <c r="J2239" s="23" t="str">
        <f>HYPERLINK("https://www.spark-marketing.ru/Card/Person/52363", "ООО ""АК БАРС""")</f>
        <v>ООО "АК БАРС"</v>
      </c>
      <c r="K2239" s="24" t="s">
        <v>4191</v>
      </c>
      <c r="L2239" s="28" t="s">
        <v>51</v>
      </c>
      <c r="M2239" s="25">
        <v>2429580.7799999998</v>
      </c>
      <c r="N2239" s="27">
        <v>0</v>
      </c>
    </row>
    <row r="2240" spans="1:14" x14ac:dyDescent="0.15">
      <c r="A2240" s="23" t="str">
        <f>HYPERLINK("https://www.spark-marketing.ru/Card/Person/6073672", "ООО ""РН-БГПП""")</f>
        <v>ООО "РН-БГПП"</v>
      </c>
      <c r="B2240" s="24" t="s">
        <v>4192</v>
      </c>
      <c r="C2240" s="28" t="s">
        <v>51</v>
      </c>
      <c r="D2240" s="22" t="s">
        <v>4193</v>
      </c>
      <c r="E2240" s="22" t="s">
        <v>3561</v>
      </c>
      <c r="F2240" s="23" t="str">
        <f>HYPERLINK("https://www.spark-marketing.ru/Card/Lot/74003073", "оказание информационно-консультационных услуг по формированию здоровых привычек в питании в рамках программы ""Живите дольше"" в ООО ""РН-БГПП"" 2019г.")</f>
        <v>оказание информационно-консультационных услуг по формированию здоровых привычек в питании в рамках программы "Живите дольше" в ООО "РН-БГПП" 2019г.</v>
      </c>
      <c r="G2240" s="22" t="s">
        <v>132</v>
      </c>
      <c r="H2240" s="22" t="s">
        <v>133</v>
      </c>
      <c r="I2240" s="26">
        <v>43728.289583333302</v>
      </c>
      <c r="J2240" s="28" t="s">
        <v>51</v>
      </c>
      <c r="K2240" s="28" t="s">
        <v>51</v>
      </c>
      <c r="L2240" s="28" t="s">
        <v>51</v>
      </c>
      <c r="M2240" s="28" t="s">
        <v>51</v>
      </c>
      <c r="N2240" s="28" t="s">
        <v>51</v>
      </c>
    </row>
    <row r="2241" spans="1:14" x14ac:dyDescent="0.15">
      <c r="A2241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2241" s="24" t="s">
        <v>2809</v>
      </c>
      <c r="C2241" s="25">
        <v>89117003.819999993</v>
      </c>
      <c r="D2241" s="22" t="s">
        <v>4194</v>
      </c>
      <c r="E2241" s="22" t="s">
        <v>96</v>
      </c>
      <c r="F2241" s="23" t="str">
        <f>HYPERLINK("https://www.spark-marketing.ru/Card/Lot/73655171", "Оказание услуг по предоставлению готового лечебного питания пациентам, находящимся на стационарном лечении и обеспечение сотрудников Заказчика, занятых на работах с вредными условиями труда, спец. жирами в ГБУЗ ПК «Пермская краевая клиническая больни...")</f>
        <v>Оказание услуг по предоставлению готового лечебного питания пациентам, находящимся на стационарном лечении и обеспечение сотрудников Заказчика, занятых на работах с вредными условиями труда, спец. жирами в ГБУЗ ПК «Пермская краевая клиническая больни...</v>
      </c>
      <c r="G2241" s="22" t="s">
        <v>153</v>
      </c>
      <c r="H2241" s="22" t="s">
        <v>153</v>
      </c>
      <c r="I2241" s="26">
        <v>43728.341666666704</v>
      </c>
      <c r="J2241" s="28" t="s">
        <v>51</v>
      </c>
      <c r="K2241" s="28" t="s">
        <v>51</v>
      </c>
      <c r="L2241" s="28" t="s">
        <v>51</v>
      </c>
      <c r="M2241" s="28" t="s">
        <v>51</v>
      </c>
      <c r="N2241" s="28" t="s">
        <v>51</v>
      </c>
    </row>
    <row r="2242" spans="1:14" x14ac:dyDescent="0.2">
      <c r="A2242" s="23" t="str">
        <f>HYPERLINK("https://www.spark-marketing.ru/Card/Person/10897", "КГБУЗ ККБ")</f>
        <v>КГБУЗ ККБ</v>
      </c>
      <c r="B2242" s="24" t="s">
        <v>1786</v>
      </c>
      <c r="C2242" s="25">
        <v>387365</v>
      </c>
      <c r="D2242" s="22" t="s">
        <v>4195</v>
      </c>
      <c r="E2242" s="22" t="s">
        <v>562</v>
      </c>
      <c r="F2242" s="23" t="str">
        <f>HYPERLINK("https://www.spark-marketing.ru/Card/Lot/73657840", "Оказание услуг питания во время проведения конференции в МВДЦ Сибирь 25-26 сентября (кофе-брейки)")</f>
        <v>Оказание услуг питания во время проведения конференции в МВДЦ Сибирь 25-26 сентября (кофе-брейки)</v>
      </c>
      <c r="G2242" s="22" t="s">
        <v>281</v>
      </c>
      <c r="H2242" s="22" t="s">
        <v>281</v>
      </c>
      <c r="I2242" s="26">
        <v>43728</v>
      </c>
      <c r="J2242" s="28" t="s">
        <v>51</v>
      </c>
      <c r="K2242" s="28" t="s">
        <v>51</v>
      </c>
      <c r="L2242" s="28" t="s">
        <v>51</v>
      </c>
      <c r="M2242" s="25">
        <v>387365</v>
      </c>
      <c r="N2242" s="27">
        <v>0</v>
      </c>
    </row>
    <row r="2243" spans="1:14" x14ac:dyDescent="0.2">
      <c r="A2243" s="23" t="str">
        <f>HYPERLINK("https://www.spark-marketing.ru/Card/Person/10897", "КГБУЗ ККБ")</f>
        <v>КГБУЗ ККБ</v>
      </c>
      <c r="B2243" s="24" t="s">
        <v>1786</v>
      </c>
      <c r="C2243" s="25">
        <v>329549</v>
      </c>
      <c r="D2243" s="22" t="s">
        <v>4196</v>
      </c>
      <c r="E2243" s="22" t="s">
        <v>562</v>
      </c>
      <c r="F2243" s="23" t="str">
        <f>HYPERLINK("https://www.spark-marketing.ru/Card/Lot/73658314", "Оказание услуг питания во время проведения конференции в МВДЦ Сибирь 25-26 сентября (вечерний фуршет)")</f>
        <v>Оказание услуг питания во время проведения конференции в МВДЦ Сибирь 25-26 сентября (вечерний фуршет)</v>
      </c>
      <c r="G2243" s="22" t="s">
        <v>281</v>
      </c>
      <c r="H2243" s="22" t="s">
        <v>281</v>
      </c>
      <c r="I2243" s="26">
        <v>43728</v>
      </c>
      <c r="J2243" s="28" t="s">
        <v>51</v>
      </c>
      <c r="K2243" s="28" t="s">
        <v>51</v>
      </c>
      <c r="L2243" s="28" t="s">
        <v>51</v>
      </c>
      <c r="M2243" s="25">
        <v>329549</v>
      </c>
      <c r="N2243" s="27">
        <v>0</v>
      </c>
    </row>
    <row r="2244" spans="1:14" x14ac:dyDescent="0.2">
      <c r="A2244" s="23" t="str">
        <f>HYPERLINK("https://www.spark-marketing.ru/Card/Person/54978", "ОБЛАСТНОЙ НАРКОДИСПАНСЕР")</f>
        <v>ОБЛАСТНОЙ НАРКОДИСПАНСЕР</v>
      </c>
      <c r="B2244" s="24" t="s">
        <v>4197</v>
      </c>
      <c r="C2244" s="25">
        <v>234000</v>
      </c>
      <c r="D2244" s="22" t="s">
        <v>4198</v>
      </c>
      <c r="E2244" s="22" t="s">
        <v>362</v>
      </c>
      <c r="F2244" s="23" t="str">
        <f>HYPERLINK("https://www.spark-marketing.ru/Card/Lot/73755135", "Оказание услуг по организации лечебного питания пациентов Областного наркодиспансера")</f>
        <v>Оказание услуг по организации лечебного питания пациентов Областного наркодиспансера</v>
      </c>
      <c r="G2244" s="22" t="s">
        <v>400</v>
      </c>
      <c r="H2244" s="22" t="s">
        <v>400</v>
      </c>
      <c r="I2244" s="26">
        <v>43728</v>
      </c>
      <c r="J2244" s="28" t="s">
        <v>51</v>
      </c>
      <c r="K2244" s="28" t="s">
        <v>51</v>
      </c>
      <c r="L2244" s="28" t="s">
        <v>51</v>
      </c>
      <c r="M2244" s="25">
        <v>234000</v>
      </c>
      <c r="N2244" s="27">
        <v>0</v>
      </c>
    </row>
    <row r="2245" spans="1:14" x14ac:dyDescent="0.15">
      <c r="A2245" s="23" t="str">
        <f>HYPERLINK("https://www.spark-marketing.ru/Card/Person/218762", "ООО ""ЭЛЕКТРОТРАНСПОРТ""")</f>
        <v>ООО "ЭЛЕКТРОТРАНСПОРТ"</v>
      </c>
      <c r="B2245" s="24" t="s">
        <v>4199</v>
      </c>
      <c r="C2245" s="25">
        <v>2008500</v>
      </c>
      <c r="D2245" s="22" t="s">
        <v>4200</v>
      </c>
      <c r="E2245" s="22" t="s">
        <v>362</v>
      </c>
      <c r="F2245" s="23" t="str">
        <f>HYPERLINK("https://www.spark-marketing.ru/Card/Lot/73743923", "Оказание услуг по организации горячего питания для сотрудников ООО ""Электротранспорт""")</f>
        <v>Оказание услуг по организации горячего питания для сотрудников ООО "Электротранспорт"</v>
      </c>
      <c r="G2245" s="22" t="s">
        <v>217</v>
      </c>
      <c r="H2245" s="22" t="s">
        <v>1998</v>
      </c>
      <c r="I2245" s="26">
        <v>43728</v>
      </c>
      <c r="J2245" s="28" t="s">
        <v>51</v>
      </c>
      <c r="K2245" s="28" t="s">
        <v>51</v>
      </c>
      <c r="L2245" s="28" t="s">
        <v>51</v>
      </c>
      <c r="M2245" s="28" t="s">
        <v>51</v>
      </c>
      <c r="N2245" s="28" t="s">
        <v>51</v>
      </c>
    </row>
    <row r="2246" spans="1:14" x14ac:dyDescent="0.2">
      <c r="A2246" s="23" t="str">
        <f>HYPERLINK("https://www.spark-marketing.ru/Card/Person/10897", "КГБУЗ ККБ")</f>
        <v>КГБУЗ ККБ</v>
      </c>
      <c r="B2246" s="24" t="s">
        <v>1786</v>
      </c>
      <c r="C2246" s="25">
        <v>399300</v>
      </c>
      <c r="D2246" s="22" t="s">
        <v>4201</v>
      </c>
      <c r="E2246" s="22" t="s">
        <v>562</v>
      </c>
      <c r="F2246" s="23" t="str">
        <f>HYPERLINK("https://www.spark-marketing.ru/Card/Lot/73657845", "Оказание услуг питания во время проведения конференции в МВДЦ Сибирь 25-26 сентября (комплексные обеды)")</f>
        <v>Оказание услуг питания во время проведения конференции в МВДЦ Сибирь 25-26 сентября (комплексные обеды)</v>
      </c>
      <c r="G2246" s="22" t="s">
        <v>281</v>
      </c>
      <c r="H2246" s="22" t="s">
        <v>281</v>
      </c>
      <c r="I2246" s="26">
        <v>43728</v>
      </c>
      <c r="J2246" s="28" t="s">
        <v>51</v>
      </c>
      <c r="K2246" s="28" t="s">
        <v>51</v>
      </c>
      <c r="L2246" s="22" t="s">
        <v>10</v>
      </c>
      <c r="M2246" s="25">
        <v>399300</v>
      </c>
      <c r="N2246" s="27">
        <v>0</v>
      </c>
    </row>
    <row r="2247" spans="1:14" x14ac:dyDescent="0.2">
      <c r="A2247" s="23" t="str">
        <f>HYPERLINK("https://www.spark-marketing.ru/Card/Person/1384851", "МАУ ""ЛЕДОВЫЙ ДВОРЕЦ СПОРТА""")</f>
        <v>МАУ "ЛЕДОВЫЙ ДВОРЕЦ СПОРТА"</v>
      </c>
      <c r="B2247" s="24" t="s">
        <v>4202</v>
      </c>
      <c r="C2247" s="25">
        <v>2210200</v>
      </c>
      <c r="D2247" s="22" t="s">
        <v>4203</v>
      </c>
      <c r="E2247" s="22" t="s">
        <v>4204</v>
      </c>
      <c r="F2247" s="23" t="str">
        <f>HYPERLINK("https://www.spark-marketing.ru/Card/Lot/73743822", "Услуга по проживанию и питанию участников Первенства Уральского, Сибирского и Приволжского федеральных округов в сезоне 2019-2020")</f>
        <v>Услуга по проживанию и питанию участников Первенства Уральского, Сибирского и Приволжского федеральных округов в сезоне 2019-2020</v>
      </c>
      <c r="G2247" s="22" t="s">
        <v>97</v>
      </c>
      <c r="H2247" s="22" t="s">
        <v>97</v>
      </c>
      <c r="I2247" s="26">
        <v>43728</v>
      </c>
      <c r="J2247" s="28" t="s">
        <v>51</v>
      </c>
      <c r="K2247" s="28" t="s">
        <v>51</v>
      </c>
      <c r="L2247" s="28" t="s">
        <v>51</v>
      </c>
      <c r="M2247" s="25">
        <v>2210200</v>
      </c>
      <c r="N2247" s="27">
        <v>0</v>
      </c>
    </row>
    <row r="2248" spans="1:14" x14ac:dyDescent="0.15">
      <c r="A2248" s="23" t="str">
        <f>HYPERLINK("https://www.spark-marketing.ru/Card/Person/1176723", "МАОУ ЛИЦЕЙ ИГУ Г. ИРКУТСКА")</f>
        <v>МАОУ ЛИЦЕЙ ИГУ Г. ИРКУТСКА</v>
      </c>
      <c r="B2248" s="24" t="s">
        <v>3303</v>
      </c>
      <c r="C2248" s="25">
        <v>159600</v>
      </c>
      <c r="D2248" s="22" t="s">
        <v>4205</v>
      </c>
      <c r="E2248" s="22" t="s">
        <v>362</v>
      </c>
      <c r="F2248" s="23" t="str">
        <f>HYPERLINK("https://www.spark-marketing.ru/Card/Lot/73657222", "Оказание услуг общественного питания обучающихся МАОУ Лицей ИГУ г. Иркутска")</f>
        <v>Оказание услуг общественного питания обучающихся МАОУ Лицей ИГУ г. Иркутска</v>
      </c>
      <c r="G2248" s="22" t="s">
        <v>263</v>
      </c>
      <c r="H2248" s="22" t="s">
        <v>263</v>
      </c>
      <c r="I2248" s="26">
        <v>43728</v>
      </c>
      <c r="J2248" s="28" t="s">
        <v>51</v>
      </c>
      <c r="K2248" s="28" t="s">
        <v>51</v>
      </c>
      <c r="L2248" s="28" t="s">
        <v>51</v>
      </c>
      <c r="M2248" s="28" t="s">
        <v>51</v>
      </c>
      <c r="N2248" s="28" t="s">
        <v>51</v>
      </c>
    </row>
    <row r="2249" spans="1:14" x14ac:dyDescent="0.15">
      <c r="A2249" s="23" t="str">
        <f>HYPERLINK("https://www.spark-marketing.ru/Card/Person/149336", "МАДОУ ""ДЕТСКИЙ САД КОМБИНИРОВАННОГО ВИДА №17"" НМР РТ")</f>
        <v>МАДОУ "ДЕТСКИЙ САД КОМБИНИРОВАННОГО ВИДА №17" НМР РТ</v>
      </c>
      <c r="B2249" s="24" t="s">
        <v>439</v>
      </c>
      <c r="C2249" s="25">
        <v>1001318.4</v>
      </c>
      <c r="D2249" s="22" t="s">
        <v>4206</v>
      </c>
      <c r="E2249" s="22" t="s">
        <v>52</v>
      </c>
      <c r="F2249" s="23" t="str">
        <f>HYPERLINK("https://www.spark-marketing.ru/Card/Lot/73733800", "Услуги по организации питания")</f>
        <v>Услуги по организации питания</v>
      </c>
      <c r="G2249" s="22" t="s">
        <v>217</v>
      </c>
      <c r="H2249" s="22" t="s">
        <v>218</v>
      </c>
      <c r="I2249" s="26">
        <v>43728.420138888898</v>
      </c>
      <c r="J2249" s="28" t="s">
        <v>51</v>
      </c>
      <c r="K2249" s="28" t="s">
        <v>51</v>
      </c>
      <c r="L2249" s="28" t="s">
        <v>51</v>
      </c>
      <c r="M2249" s="28" t="s">
        <v>51</v>
      </c>
      <c r="N2249" s="28" t="s">
        <v>51</v>
      </c>
    </row>
    <row r="2250" spans="1:14" x14ac:dyDescent="0.15">
      <c r="A2250" s="23" t="str">
        <f>HYPERLINK("https://www.spark-marketing.ru/Card/Person/1752180", "АО ""КОРПОРАЦИЯ РАЗВИТИЯ МОСКОВСКОЙ ОБЛАСТИ""")</f>
        <v>АО "КОРПОРАЦИЯ РАЗВИТИЯ МОСКОВСКОЙ ОБЛАСТИ"</v>
      </c>
      <c r="B2250" s="24" t="s">
        <v>4207</v>
      </c>
      <c r="C2250" s="25">
        <v>226120</v>
      </c>
      <c r="D2250" s="22" t="s">
        <v>4208</v>
      </c>
      <c r="E2250" s="22" t="s">
        <v>362</v>
      </c>
      <c r="F2250" s="23" t="str">
        <f>HYPERLINK("https://www.spark-marketing.ru/Card/Lot/73755134", "Услуги по организации питания")</f>
        <v>Услуги по организации питания</v>
      </c>
      <c r="G2250" s="22" t="s">
        <v>49</v>
      </c>
      <c r="H2250" s="22" t="s">
        <v>49</v>
      </c>
      <c r="I2250" s="26">
        <v>43728</v>
      </c>
      <c r="J2250" s="28" t="s">
        <v>51</v>
      </c>
      <c r="K2250" s="28" t="s">
        <v>51</v>
      </c>
      <c r="L2250" s="28" t="s">
        <v>51</v>
      </c>
      <c r="M2250" s="28" t="s">
        <v>51</v>
      </c>
      <c r="N2250" s="28" t="s">
        <v>51</v>
      </c>
    </row>
    <row r="2251" spans="1:14" x14ac:dyDescent="0.15">
      <c r="A2251" s="23" t="str">
        <f>HYPERLINK("https://www.spark-marketing.ru/Card/Person/1386679", "МАОУ №5 ""ГИМНАЗИЯ""")</f>
        <v>МАОУ №5 "ГИМНАЗИЯ"</v>
      </c>
      <c r="B2251" s="24" t="s">
        <v>4209</v>
      </c>
      <c r="C2251" s="25">
        <v>7888296</v>
      </c>
      <c r="D2251" s="22" t="s">
        <v>4210</v>
      </c>
      <c r="E2251" s="22" t="s">
        <v>362</v>
      </c>
      <c r="F2251" s="23" t="str">
        <f>HYPERLINK("https://www.spark-marketing.ru/Card/Lot/73658452", "Услуги по организации горячего питания обучающихся (льготная категория)")</f>
        <v>Услуги по организации горячего питания обучающихся (льготная категория)</v>
      </c>
      <c r="G2251" s="22" t="s">
        <v>97</v>
      </c>
      <c r="H2251" s="22" t="s">
        <v>97</v>
      </c>
      <c r="I2251" s="26">
        <v>43728</v>
      </c>
      <c r="J2251" s="28" t="s">
        <v>51</v>
      </c>
      <c r="K2251" s="28" t="s">
        <v>51</v>
      </c>
      <c r="L2251" s="28" t="s">
        <v>51</v>
      </c>
      <c r="M2251" s="28" t="s">
        <v>51</v>
      </c>
      <c r="N2251" s="28" t="s">
        <v>51</v>
      </c>
    </row>
    <row r="2252" spans="1:14" x14ac:dyDescent="0.2">
      <c r="A2252" s="23" t="str">
        <f>HYPERLINK("https://www.spark-marketing.ru/Card/Person/100744", "АО ""ПЛЕСЕЦКОЕ ДОРОЖНОЕ УПРАВЛЕНИЕ""")</f>
        <v>АО "ПЛЕСЕЦКОЕ ДОРОЖНОЕ УПРАВЛЕНИЕ"</v>
      </c>
      <c r="B2252" s="24" t="s">
        <v>4211</v>
      </c>
      <c r="C2252" s="25">
        <v>500000</v>
      </c>
      <c r="D2252" s="22" t="s">
        <v>4212</v>
      </c>
      <c r="E2252" s="22" t="s">
        <v>580</v>
      </c>
      <c r="F2252" s="23" t="str">
        <f>HYPERLINK("https://www.spark-marketing.ru/Card/Lot/73821301", "Оказание услуг общественного питания для работников Заказчика")</f>
        <v>Оказание услуг общественного питания для работников Заказчика</v>
      </c>
      <c r="G2252" s="22" t="s">
        <v>214</v>
      </c>
      <c r="H2252" s="22" t="s">
        <v>214</v>
      </c>
      <c r="I2252" s="26">
        <v>43731</v>
      </c>
      <c r="J2252" s="28" t="s">
        <v>51</v>
      </c>
      <c r="K2252" s="28" t="s">
        <v>51</v>
      </c>
      <c r="L2252" s="22" t="s">
        <v>10</v>
      </c>
      <c r="M2252" s="25">
        <v>500000</v>
      </c>
      <c r="N2252" s="27">
        <v>0</v>
      </c>
    </row>
    <row r="2253" spans="1:14" x14ac:dyDescent="0.2">
      <c r="A2253" s="23" t="str">
        <f>HYPERLINK("https://www.spark-marketing.ru/Card/Person/143308", "КГУП ""ХАБАРОВСКИЕ АВИАЛИНИИ""")</f>
        <v>КГУП "ХАБАРОВСКИЕ АВИАЛИНИИ"</v>
      </c>
      <c r="B2253" s="24" t="s">
        <v>4213</v>
      </c>
      <c r="C2253" s="25">
        <v>4950000</v>
      </c>
      <c r="D2253" s="22" t="s">
        <v>4214</v>
      </c>
      <c r="E2253" s="22" t="s">
        <v>769</v>
      </c>
      <c r="F2253" s="23" t="str">
        <f>HYPERLINK("https://www.spark-marketing.ru/Card/Lot/73654962", "Оказание услуг по размещению и питанию пассажиров задержанных рейсов в г. Хабаровске")</f>
        <v>Оказание услуг по размещению и питанию пассажиров задержанных рейсов в г. Хабаровске</v>
      </c>
      <c r="G2253" s="22" t="s">
        <v>1096</v>
      </c>
      <c r="H2253" s="22" t="s">
        <v>1096</v>
      </c>
      <c r="I2253" s="26">
        <v>43728</v>
      </c>
      <c r="J2253" s="28" t="s">
        <v>51</v>
      </c>
      <c r="K2253" s="28" t="s">
        <v>51</v>
      </c>
      <c r="L2253" s="28" t="s">
        <v>51</v>
      </c>
      <c r="M2253" s="25">
        <v>4500000</v>
      </c>
      <c r="N2253" s="27">
        <v>9.0909090909090912E-2</v>
      </c>
    </row>
    <row r="2254" spans="1:14" x14ac:dyDescent="0.15">
      <c r="A2254" s="23" t="str">
        <f>HYPERLINK("https://www.spark-marketing.ru/Card/Person/100623", "ФГБУ «САНАТОРИЙ «КУРПАТЫ»")</f>
        <v>ФГБУ «САНАТОРИЙ «КУРПАТЫ»</v>
      </c>
      <c r="B2254" s="24" t="s">
        <v>2943</v>
      </c>
      <c r="C2254" s="25">
        <v>999840</v>
      </c>
      <c r="D2254" s="22" t="s">
        <v>4215</v>
      </c>
      <c r="E2254" s="22" t="s">
        <v>362</v>
      </c>
      <c r="F2254" s="23" t="str">
        <f>HYPERLINK("https://www.spark-marketing.ru/Card/Lot/73756832", "оказание услуг общественного (лечебного) четырехразового питания (завтрак, обед, ужин, второй ужин) по методу «Шведский стол» для основной категории лиц отдыхающих и заказного меню для отдельной категории отдыхающих с ассортиментом первых и вторых бл...")</f>
        <v>оказание услуг общественного (лечебного) четырехразового питания (завтрак, обед, ужин, второй ужин) по методу «Шведский стол» для основной категории лиц отдыхающих и заказного меню для отдельной категории отдыхающих с ассортиментом первых и вторых бл...</v>
      </c>
      <c r="G2254" s="22" t="s">
        <v>108</v>
      </c>
      <c r="H2254" s="22" t="s">
        <v>108</v>
      </c>
      <c r="I2254" s="26">
        <v>43728</v>
      </c>
      <c r="J2254" s="28" t="s">
        <v>51</v>
      </c>
      <c r="K2254" s="28" t="s">
        <v>51</v>
      </c>
      <c r="L2254" s="28" t="s">
        <v>51</v>
      </c>
      <c r="M2254" s="28" t="s">
        <v>51</v>
      </c>
      <c r="N2254" s="28" t="s">
        <v>51</v>
      </c>
    </row>
    <row r="2255" spans="1:14" x14ac:dyDescent="0.2">
      <c r="A2255" s="23" t="str">
        <f>HYPERLINK("https://www.spark-marketing.ru/Card/Person/17484", "МОСКОВСКАЯ ГОСУДАРСТВЕННАЯ КОНСЕРВАТОРИЯ ИМЕНИ П.И.ЧАЙКОВСКОГО")</f>
        <v>МОСКОВСКАЯ ГОСУДАРСТВЕННАЯ КОНСЕРВАТОРИЯ ИМЕНИ П.И.ЧАЙКОВСКОГО</v>
      </c>
      <c r="B2255" s="24" t="s">
        <v>4216</v>
      </c>
      <c r="C2255" s="25">
        <v>508975</v>
      </c>
      <c r="D2255" s="22" t="s">
        <v>4217</v>
      </c>
      <c r="E2255" s="22" t="s">
        <v>4218</v>
      </c>
      <c r="F2255" s="23" t="str">
        <f>HYPERLINK("https://www.spark-marketing.ru/Card/Lot/73744294", "Оказание услуг по организации проживания и питания участников Осенней школы лидерства в рамках Молодежного форума «Партитура будущего»")</f>
        <v>Оказание услуг по организации проживания и питания участников Осенней школы лидерства в рамках Молодежного форума «Партитура будущего»</v>
      </c>
      <c r="G2255" s="22" t="s">
        <v>56</v>
      </c>
      <c r="H2255" s="22" t="s">
        <v>56</v>
      </c>
      <c r="I2255" s="26">
        <v>43728</v>
      </c>
      <c r="J2255" s="28" t="s">
        <v>51</v>
      </c>
      <c r="K2255" s="28" t="s">
        <v>51</v>
      </c>
      <c r="L2255" s="28" t="s">
        <v>51</v>
      </c>
      <c r="M2255" s="25">
        <v>508975</v>
      </c>
      <c r="N2255" s="27">
        <v>0</v>
      </c>
    </row>
    <row r="2256" spans="1:14" x14ac:dyDescent="0.15">
      <c r="A2256" s="23" t="str">
        <f>HYPERLINK("https://www.spark-marketing.ru/Card/Person/1480785", "МАОУ НОШ С. ИВАНОВКА")</f>
        <v>МАОУ НОШ С. ИВАНОВКА</v>
      </c>
      <c r="B2256" s="24" t="s">
        <v>4219</v>
      </c>
      <c r="C2256" s="25">
        <v>439164.08</v>
      </c>
      <c r="D2256" s="22" t="s">
        <v>4220</v>
      </c>
      <c r="E2256" s="22" t="s">
        <v>362</v>
      </c>
      <c r="F2256" s="23" t="str">
        <f>HYPERLINK("https://www.spark-marketing.ru/Card/Lot/73755058", "Оказание услуг по организации питания")</f>
        <v>Оказание услуг по организации питания</v>
      </c>
      <c r="G2256" s="22" t="s">
        <v>351</v>
      </c>
      <c r="H2256" s="22" t="s">
        <v>4221</v>
      </c>
      <c r="I2256" s="26">
        <v>43728</v>
      </c>
      <c r="J2256" s="28" t="s">
        <v>51</v>
      </c>
      <c r="K2256" s="28" t="s">
        <v>51</v>
      </c>
      <c r="L2256" s="28" t="s">
        <v>51</v>
      </c>
      <c r="M2256" s="28" t="s">
        <v>51</v>
      </c>
      <c r="N2256" s="28" t="s">
        <v>51</v>
      </c>
    </row>
    <row r="2257" spans="1:14" x14ac:dyDescent="0.2">
      <c r="A2257" s="23" t="str">
        <f>HYPERLINK("https://www.spark-marketing.ru/Card/Person/33601", "ФГБОУ ВО ""ЮУРГГПУ""")</f>
        <v>ФГБОУ ВО "ЮУРГГПУ"</v>
      </c>
      <c r="B2257" s="24" t="s">
        <v>4222</v>
      </c>
      <c r="C2257" s="25">
        <v>45670.06</v>
      </c>
      <c r="D2257" s="22" t="s">
        <v>4223</v>
      </c>
      <c r="E2257" s="22" t="s">
        <v>4224</v>
      </c>
      <c r="F2257" s="23" t="str">
        <f>HYPERLINK("https://www.spark-marketing.ru/Card/Lot/73671224", "Оказание услуги по разовой настройке и поверке весов для нужд комбината питания ФГБОУ ВО ""ЮУрГГПУ""")</f>
        <v>Оказание услуги по разовой настройке и поверке весов для нужд комбината питания ФГБОУ ВО "ЮУрГГПУ"</v>
      </c>
      <c r="G2257" s="22" t="s">
        <v>469</v>
      </c>
      <c r="H2257" s="22" t="s">
        <v>469</v>
      </c>
      <c r="I2257" s="26">
        <v>43728</v>
      </c>
      <c r="J2257" s="28" t="s">
        <v>51</v>
      </c>
      <c r="K2257" s="28" t="s">
        <v>51</v>
      </c>
      <c r="L2257" s="22" t="s">
        <v>10</v>
      </c>
      <c r="M2257" s="25">
        <v>32780</v>
      </c>
      <c r="N2257" s="27">
        <v>0.28224311507363903</v>
      </c>
    </row>
    <row r="2258" spans="1:14" x14ac:dyDescent="0.2">
      <c r="A2258" s="23" t="str">
        <f>HYPERLINK("https://www.spark-marketing.ru/Card/Person/657406", "АУ ""ЮГРАМЕГАСПОРТ""")</f>
        <v>АУ "ЮГРАМЕГАСПОРТ"</v>
      </c>
      <c r="B2258" s="24" t="s">
        <v>4225</v>
      </c>
      <c r="C2258" s="25">
        <v>109900</v>
      </c>
      <c r="D2258" s="22" t="s">
        <v>4226</v>
      </c>
      <c r="E2258" s="22" t="s">
        <v>580</v>
      </c>
      <c r="F2258" s="23" t="str">
        <f>HYPERLINK("https://www.spark-marketing.ru/Card/Lot/73745507", "Оказание услуг по организации и обеспечению питанием участников Всероссийского дня бега «Кросс Нации - 2019» в городе Ханты-Мансийске во время проведения соревнования")</f>
        <v>Оказание услуг по организации и обеспечению питанием участников Всероссийского дня бега «Кросс Нации - 2019» в городе Ханты-Мансийске во время проведения соревнования</v>
      </c>
      <c r="G2258" s="22" t="s">
        <v>97</v>
      </c>
      <c r="H2258" s="22" t="s">
        <v>97</v>
      </c>
      <c r="I2258" s="26">
        <v>43728</v>
      </c>
      <c r="J2258" s="28" t="s">
        <v>51</v>
      </c>
      <c r="K2258" s="28" t="s">
        <v>51</v>
      </c>
      <c r="L2258" s="28" t="s">
        <v>51</v>
      </c>
      <c r="M2258" s="25">
        <v>109890</v>
      </c>
      <c r="N2258" s="27">
        <v>9.099181073703367E-5</v>
      </c>
    </row>
    <row r="2259" spans="1:14" x14ac:dyDescent="0.15">
      <c r="A2259" s="23" t="str">
        <f>HYPERLINK("https://www.spark-marketing.ru/Card/Person/149336", "МАДОУ ""ДЕТСКИЙ САД КОМБИНИРОВАННОГО ВИДА №17"" НМР РТ")</f>
        <v>МАДОУ "ДЕТСКИЙ САД КОМБИНИРОВАННОГО ВИДА №17" НМР РТ</v>
      </c>
      <c r="B2259" s="24" t="s">
        <v>439</v>
      </c>
      <c r="C2259" s="25">
        <v>1001318.4</v>
      </c>
      <c r="D2259" s="22" t="s">
        <v>4227</v>
      </c>
      <c r="E2259" s="22" t="s">
        <v>52</v>
      </c>
      <c r="F2259" s="23" t="str">
        <f>HYPERLINK("https://www.spark-marketing.ru/Card/Lot/73733144", "Услуги по организации питания")</f>
        <v>Услуги по организации питания</v>
      </c>
      <c r="G2259" s="22" t="s">
        <v>217</v>
      </c>
      <c r="H2259" s="22" t="s">
        <v>218</v>
      </c>
      <c r="I2259" s="26">
        <v>43728</v>
      </c>
      <c r="J2259" s="28" t="s">
        <v>51</v>
      </c>
      <c r="K2259" s="28" t="s">
        <v>51</v>
      </c>
      <c r="L2259" s="28" t="s">
        <v>51</v>
      </c>
      <c r="M2259" s="28" t="s">
        <v>51</v>
      </c>
      <c r="N2259" s="28" t="s">
        <v>51</v>
      </c>
    </row>
    <row r="2260" spans="1:14" x14ac:dyDescent="0.15">
      <c r="A2260" s="23" t="str">
        <f>HYPERLINK("https://www.spark-marketing.ru/Card/Person/4348096", "ФГБОУ ВО УРАЛЬСКИЙ ГАУ")</f>
        <v>ФГБОУ ВО УРАЛЬСКИЙ ГАУ</v>
      </c>
      <c r="B2260" s="24" t="s">
        <v>4228</v>
      </c>
      <c r="C2260" s="25">
        <v>270100</v>
      </c>
      <c r="D2260" s="22" t="s">
        <v>4229</v>
      </c>
      <c r="E2260" s="22" t="s">
        <v>580</v>
      </c>
      <c r="F2260" s="23" t="str">
        <f>HYPERLINK("https://www.spark-marketing.ru/Card/Lot/73686876", "Оказание услуг по организации питания")</f>
        <v>Оказание услуг по организации питания</v>
      </c>
      <c r="G2260" s="22" t="s">
        <v>174</v>
      </c>
      <c r="H2260" s="22" t="s">
        <v>174</v>
      </c>
      <c r="I2260" s="26">
        <v>43728</v>
      </c>
      <c r="J2260" s="28" t="s">
        <v>51</v>
      </c>
      <c r="K2260" s="28" t="s">
        <v>51</v>
      </c>
      <c r="L2260" s="28" t="s">
        <v>51</v>
      </c>
      <c r="M2260" s="28" t="s">
        <v>51</v>
      </c>
      <c r="N2260" s="28" t="s">
        <v>51</v>
      </c>
    </row>
    <row r="2261" spans="1:14" x14ac:dyDescent="0.15">
      <c r="A2261" s="23" t="str">
        <f>HYPERLINK("https://www.spark-marketing.ru/Card/Person/19685", "ФГБОУ ВО ""ВОЛГОГРАДСКИЙ ГОСУДАРСТВЕННЫЙ ТЕХНИЧЕСКИЙ УНИВЕРСИТЕТ"", ВОЛГОГРАДСКИЙ ГОСУДАРСТВЕННЫЙ ТЕХНИЧЕСКИЙ УНИВЕРСИТЕТ, ВОЛГГТУ")</f>
        <v>ФГБОУ ВО "ВОЛГОГРАДСКИЙ ГОСУДАРСТВЕННЫЙ ТЕХНИЧЕСКИЙ УНИВЕРСИТЕТ", ВОЛГОГРАДСКИЙ ГОСУДАРСТВЕННЫЙ ТЕХНИЧЕСКИЙ УНИВЕРСИТЕТ, ВОЛГГТУ</v>
      </c>
      <c r="B2261" s="24" t="s">
        <v>4230</v>
      </c>
      <c r="C2261" s="25">
        <v>500000</v>
      </c>
      <c r="D2261" s="22" t="s">
        <v>4231</v>
      </c>
      <c r="E2261" s="22" t="s">
        <v>769</v>
      </c>
      <c r="F2261" s="23" t="str">
        <f>HYPERLINK("https://www.spark-marketing.ru/Card/Lot/73658334", "Услуги по организации проживания и питания участников мероприятия «Форум Молодежь Юга России: межнациональное и межконфессиональное взаимодействие» в рамках Всероссийского конкурса молодежных проектов ФАДМ в ФГБОУ ВО ""ВолгГТУ""")</f>
        <v>Услуги по организации проживания и питания участников мероприятия «Форум Молодежь Юга России: межнациональное и межконфессиональное взаимодействие» в рамках Всероссийского конкурса молодежных проектов ФАДМ в ФГБОУ ВО "ВолгГТУ"</v>
      </c>
      <c r="G2261" s="22" t="s">
        <v>158</v>
      </c>
      <c r="H2261" s="22" t="s">
        <v>158</v>
      </c>
      <c r="I2261" s="26">
        <v>43728</v>
      </c>
      <c r="J2261" s="28" t="s">
        <v>51</v>
      </c>
      <c r="K2261" s="28" t="s">
        <v>51</v>
      </c>
      <c r="L2261" s="28" t="s">
        <v>51</v>
      </c>
      <c r="M2261" s="28" t="s">
        <v>51</v>
      </c>
      <c r="N2261" s="28" t="s">
        <v>51</v>
      </c>
    </row>
    <row r="2262" spans="1:14" x14ac:dyDescent="0.15">
      <c r="A2262" s="23" t="str">
        <f>HYPERLINK("https://www.spark-marketing.ru/Card/Person/59056", "АО ""ГСПИ""")</f>
        <v>АО "ГСПИ"</v>
      </c>
      <c r="B2262" s="24" t="s">
        <v>4232</v>
      </c>
      <c r="C2262" s="25">
        <v>228100</v>
      </c>
      <c r="D2262" s="22" t="s">
        <v>4233</v>
      </c>
      <c r="E2262" s="22" t="s">
        <v>52</v>
      </c>
      <c r="F2262" s="23" t="str">
        <f>HYPERLINK("https://www.spark-marketing.ru/Card/Lot/73808289", "Право заключения договора на оказание услуг по организации и обеспечению питанием работником Красноярского филиала АО «ГСПИ» при проведении корпоративного мероприятия")</f>
        <v>Право заключения договора на оказание услуг по организации и обеспечению питанием работником Красноярского филиала АО «ГСПИ» при проведении корпоративного мероприятия</v>
      </c>
      <c r="G2262" s="22" t="s">
        <v>56</v>
      </c>
      <c r="H2262" s="22" t="s">
        <v>56</v>
      </c>
      <c r="I2262" s="26">
        <v>43728</v>
      </c>
      <c r="J2262" s="28" t="s">
        <v>51</v>
      </c>
      <c r="K2262" s="28" t="s">
        <v>51</v>
      </c>
      <c r="L2262" s="28" t="s">
        <v>51</v>
      </c>
      <c r="M2262" s="28" t="s">
        <v>51</v>
      </c>
      <c r="N2262" s="28" t="s">
        <v>51</v>
      </c>
    </row>
    <row r="2263" spans="1:14" x14ac:dyDescent="0.2">
      <c r="A2263" s="23" t="str">
        <f>HYPERLINK("https://www.spark-marketing.ru/Card/Person/1744280", "АО ФК ""РОСТОВ""")</f>
        <v>АО ФК "РОСТОВ"</v>
      </c>
      <c r="B2263" s="24" t="s">
        <v>4234</v>
      </c>
      <c r="C2263" s="25">
        <v>202000</v>
      </c>
      <c r="D2263" s="22" t="s">
        <v>4235</v>
      </c>
      <c r="E2263" s="22" t="s">
        <v>769</v>
      </c>
      <c r="F2263" s="23" t="str">
        <f>HYPERLINK("https://www.spark-marketing.ru/Card/Lot/73678409", "Оказание услуг по временному проживанию, питанию спортсменам детско-юношеской команды 2007 г.р. в период с 28.10.2019 года по 03.11.2019 года в дни проведения турнира «EMERALD CUP 2019»")</f>
        <v>Оказание услуг по временному проживанию, питанию спортсменам детско-юношеской команды 2007 г.р. в период с 28.10.2019 года по 03.11.2019 года в дни проведения турнира «EMERALD CUP 2019»</v>
      </c>
      <c r="G2263" s="22" t="s">
        <v>76</v>
      </c>
      <c r="H2263" s="22" t="s">
        <v>76</v>
      </c>
      <c r="I2263" s="26">
        <v>43728</v>
      </c>
      <c r="J2263" s="28" t="s">
        <v>51</v>
      </c>
      <c r="K2263" s="28" t="s">
        <v>51</v>
      </c>
      <c r="L2263" s="22" t="s">
        <v>10</v>
      </c>
      <c r="M2263" s="25">
        <v>202000</v>
      </c>
      <c r="N2263" s="27">
        <v>0</v>
      </c>
    </row>
    <row r="2264" spans="1:14" x14ac:dyDescent="0.15">
      <c r="A2264" s="23" t="str">
        <f>HYPERLINK("https://www.spark-marketing.ru/Card/Person/4383469", "ГАУ НО ""ДИРЕКЦИЯ ПО ПРОВЕДЕНИЮ СПОРТИВНЫХ И ЗРЕЛИЩНЫХ МЕРОПРИЯТИЙ""")</f>
        <v>ГАУ НО "ДИРЕКЦИЯ ПО ПРОВЕДЕНИЮ СПОРТИВНЫХ И ЗРЕЛИЩНЫХ МЕРОПРИЯТИЙ"</v>
      </c>
      <c r="B2264" s="24" t="s">
        <v>4236</v>
      </c>
      <c r="C2264" s="25">
        <v>1800000</v>
      </c>
      <c r="D2264" s="22" t="s">
        <v>4237</v>
      </c>
      <c r="E2264" s="22" t="s">
        <v>362</v>
      </c>
      <c r="F2264" s="23" t="str">
        <f>HYPERLINK("https://www.spark-marketing.ru/Card/Lot/73756191", "оказание услуг питания в период проведения в г. Нижнем Новгороде Международного спортивного форума «Россия - спортивная держава»")</f>
        <v>оказание услуг питания в период проведения в г. Нижнем Новгороде Международного спортивного форума «Россия - спортивная держава»</v>
      </c>
      <c r="G2264" s="22" t="s">
        <v>76</v>
      </c>
      <c r="H2264" s="22" t="s">
        <v>76</v>
      </c>
      <c r="I2264" s="26">
        <v>43728</v>
      </c>
      <c r="J2264" s="28" t="s">
        <v>51</v>
      </c>
      <c r="K2264" s="28" t="s">
        <v>51</v>
      </c>
      <c r="L2264" s="28" t="s">
        <v>51</v>
      </c>
      <c r="M2264" s="28" t="s">
        <v>51</v>
      </c>
      <c r="N2264" s="28" t="s">
        <v>51</v>
      </c>
    </row>
    <row r="2265" spans="1:14" x14ac:dyDescent="0.15">
      <c r="A2265" s="23" t="str">
        <f>HYPERLINK("https://www.spark-marketing.ru/Card/Person/1020928", "МБОУ ""НАЧАЛЬНАЯ ОБЩЕОБРАЗОВАТЕЛЬНАЯ ШКОЛА № 13""")</f>
        <v>МБОУ "НАЧАЛЬНАЯ ОБЩЕОБРАЗОВАТЕЛЬНАЯ ШКОЛА № 13"</v>
      </c>
      <c r="B2265" s="24" t="s">
        <v>4238</v>
      </c>
      <c r="C2265" s="25">
        <v>126726.05</v>
      </c>
      <c r="D2265" s="22" t="s">
        <v>4239</v>
      </c>
      <c r="E2265" s="22" t="s">
        <v>48</v>
      </c>
      <c r="F2265" s="23" t="str">
        <f>HYPERLINK("https://www.spark-marketing.ru/Card/Lot/73648778", "организация школьного питания")</f>
        <v>организация школьного питания</v>
      </c>
      <c r="G2265" s="22" t="s">
        <v>49</v>
      </c>
      <c r="H2265" s="22" t="s">
        <v>1185</v>
      </c>
      <c r="I2265" s="26">
        <v>43727.846793981502</v>
      </c>
      <c r="J2265" s="28" t="s">
        <v>51</v>
      </c>
      <c r="K2265" s="28" t="s">
        <v>51</v>
      </c>
      <c r="L2265" s="28" t="s">
        <v>51</v>
      </c>
      <c r="M2265" s="28" t="s">
        <v>51</v>
      </c>
      <c r="N2265" s="28" t="s">
        <v>51</v>
      </c>
    </row>
    <row r="2266" spans="1:14" x14ac:dyDescent="0.15">
      <c r="A2266" s="23" t="str">
        <f>HYPERLINK("https://www.spark-marketing.ru/Card/Person/880917", "ОТДЕЛ МВД РОССИИ ПО СЛАВЯНСКОМУ РАЙОНУ")</f>
        <v>ОТДЕЛ МВД РОССИИ ПО СЛАВЯНСКОМУ РАЙОНУ</v>
      </c>
      <c r="B2266" s="24" t="s">
        <v>4240</v>
      </c>
      <c r="C2266" s="25">
        <v>269960</v>
      </c>
      <c r="D2266" s="22" t="s">
        <v>4241</v>
      </c>
      <c r="E2266" s="22" t="s">
        <v>48</v>
      </c>
      <c r="F2266" s="23" t="str">
        <f>HYPERLINK("https://www.spark-marketing.ru/Card/Lot/73645827", "Оказание услуг по организации питания (приготовлению и доставке) для ИВС, 2382 усл. ед")</f>
        <v>Оказание услуг по организации питания (приготовлению и доставке) для ИВС, 2382 усл. ед</v>
      </c>
      <c r="G2266" s="22" t="s">
        <v>104</v>
      </c>
      <c r="H2266" s="22" t="s">
        <v>4242</v>
      </c>
      <c r="I2266" s="26">
        <v>43727.789641203701</v>
      </c>
      <c r="J2266" s="28" t="s">
        <v>51</v>
      </c>
      <c r="K2266" s="28" t="s">
        <v>51</v>
      </c>
      <c r="L2266" s="28" t="s">
        <v>51</v>
      </c>
      <c r="M2266" s="28" t="s">
        <v>51</v>
      </c>
      <c r="N2266" s="28" t="s">
        <v>51</v>
      </c>
    </row>
    <row r="2267" spans="1:14" x14ac:dyDescent="0.15">
      <c r="A2267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267" s="24" t="s">
        <v>3255</v>
      </c>
      <c r="C2267" s="25">
        <v>97742.399999999994</v>
      </c>
      <c r="D2267" s="22" t="s">
        <v>4243</v>
      </c>
      <c r="E2267" s="22" t="s">
        <v>52</v>
      </c>
      <c r="F2267" s="23" t="str">
        <f>HYPERLINK("https://www.spark-marketing.ru/Card/Lot/73635528", "Поставка лекарственного препарата для медицинского применения ""Тикагрелор""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п...")</f>
        <v>Поставка лекарственного препарата для медицинского применения "Тикагрелор"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</v>
      </c>
      <c r="G2267" s="22" t="s">
        <v>210</v>
      </c>
      <c r="H2267" s="22" t="s">
        <v>3257</v>
      </c>
      <c r="I2267" s="26">
        <v>43727.734027777798</v>
      </c>
      <c r="J2267" s="23" t="str">
        <f>HYPERLINK("https://www.spark-marketing.ru/Card/Person/6231467", "ООО ""ОБЛФАРМ АЛЬЯНС""")</f>
        <v>ООО "ОБЛФАРМ АЛЬЯНС"</v>
      </c>
      <c r="K2267" s="24" t="s">
        <v>2175</v>
      </c>
      <c r="L2267" s="22" t="s">
        <v>10</v>
      </c>
      <c r="M2267" s="28" t="s">
        <v>51</v>
      </c>
      <c r="N2267" s="28" t="s">
        <v>51</v>
      </c>
    </row>
    <row r="2268" spans="1:14" x14ac:dyDescent="0.15">
      <c r="A2268" s="23" t="str">
        <f>HYPERLINK("https://www.spark-marketing.ru/Card/Person/4348382", "ООО ""ГАЗПРОМ ПИТАНИЕ""")</f>
        <v>ООО "ГАЗПРОМ ПИТАНИЕ"</v>
      </c>
      <c r="B2268" s="24" t="s">
        <v>2869</v>
      </c>
      <c r="C2268" s="25">
        <v>53000</v>
      </c>
      <c r="D2268" s="22" t="s">
        <v>4244</v>
      </c>
      <c r="E2268" s="22" t="s">
        <v>52</v>
      </c>
      <c r="F2268" s="23" t="str">
        <f>HYPERLINK("https://www.spark-marketing.ru/Card/Lot/73644301", "Оказание информационных услуг (предоставление возможности публикации вакансий и доступа к базе данных) для нужд ооо ""газпром питание""")</f>
        <v>Оказание информационных услуг (предоставление возможности публикации вакансий и доступа к базе данных) для нужд ооо "газпром питание"</v>
      </c>
      <c r="G2268" s="22" t="s">
        <v>56</v>
      </c>
      <c r="H2268" s="22" t="s">
        <v>56</v>
      </c>
      <c r="I2268" s="26">
        <v>43727.742361111101</v>
      </c>
      <c r="J2268" s="28" t="s">
        <v>51</v>
      </c>
      <c r="K2268" s="28" t="s">
        <v>51</v>
      </c>
      <c r="L2268" s="28" t="s">
        <v>51</v>
      </c>
      <c r="M2268" s="28" t="s">
        <v>51</v>
      </c>
      <c r="N2268" s="28" t="s">
        <v>51</v>
      </c>
    </row>
    <row r="2269" spans="1:14" ht="12.75" x14ac:dyDescent="0.2">
      <c r="A2269" s="23" t="str">
        <f>HYPERLINK("https://www.spark-marketing.ru/Card/Person/1074939", "МКУ ""УПРАВЛЕНИЕ ПО РАБОТЕ С НАСЕЛЕНИЕМ""")</f>
        <v>МКУ "УПРАВЛЕНИЕ ПО РАБОТЕ С НАСЕЛЕНИЕМ"</v>
      </c>
      <c r="B2269" s="24" t="s">
        <v>4245</v>
      </c>
      <c r="C2269" s="25">
        <v>99200</v>
      </c>
      <c r="D2269" s="22" t="s">
        <v>4246</v>
      </c>
      <c r="E2269" s="22" t="s">
        <v>67</v>
      </c>
      <c r="F2269" s="23" t="str">
        <f>HYPERLINK("https://www.spark-marketing.ru/Card/Lot/73646147", "Оказание услуг по обеспечению питанием льготных категорий граждан при проведении праздничных мероприятий в 2019 году.")</f>
        <v>Оказание услуг по обеспечению питанием льготных категорий граждан при проведении праздничных мероприятий в 2019 году.</v>
      </c>
      <c r="G2269" s="22" t="s">
        <v>104</v>
      </c>
      <c r="H2269" s="22" t="s">
        <v>1689</v>
      </c>
      <c r="I2269" s="26">
        <v>43727.710416666698</v>
      </c>
      <c r="J2269" s="23" t="str">
        <f>HYPERLINK("https://www.spark-marketing.ru/Card/Person/2421229", "ООО ""ЛАЗАРЕС""")</f>
        <v>ООО "ЛАЗАРЕС"</v>
      </c>
      <c r="K2269" s="24" t="s">
        <v>4247</v>
      </c>
      <c r="L2269" s="22" t="s">
        <v>10</v>
      </c>
      <c r="M2269" s="25">
        <v>99200</v>
      </c>
      <c r="N2269" s="27">
        <v>0</v>
      </c>
    </row>
    <row r="2270" spans="1:14" x14ac:dyDescent="0.15">
      <c r="A2270" s="23" t="str">
        <f>HYPERLINK("https://www.spark-marketing.ru/Card/Person/697", "В/Ч 28178")</f>
        <v>В/Ч 28178</v>
      </c>
      <c r="B2270" s="24" t="s">
        <v>4248</v>
      </c>
      <c r="C2270" s="25">
        <v>215000</v>
      </c>
      <c r="D2270" s="22" t="s">
        <v>4249</v>
      </c>
      <c r="E2270" s="22" t="s">
        <v>152</v>
      </c>
      <c r="F2270" s="23" t="str">
        <f>HYPERLINK("https://www.spark-marketing.ru/Card/Lot/73647538", "оказание услуг по ремонту источников бесперебойного питания")</f>
        <v>оказание услуг по ремонту источников бесперебойного питания</v>
      </c>
      <c r="G2270" s="22" t="s">
        <v>56</v>
      </c>
      <c r="H2270" s="22" t="s">
        <v>56</v>
      </c>
      <c r="I2270" s="26">
        <v>43727.738888888904</v>
      </c>
      <c r="J2270" s="28" t="s">
        <v>51</v>
      </c>
      <c r="K2270" s="28" t="s">
        <v>51</v>
      </c>
      <c r="L2270" s="28" t="s">
        <v>51</v>
      </c>
      <c r="M2270" s="28" t="s">
        <v>51</v>
      </c>
      <c r="N2270" s="28" t="s">
        <v>51</v>
      </c>
    </row>
    <row r="2271" spans="1:14" x14ac:dyDescent="0.15">
      <c r="A2271" s="23" t="str">
        <f>HYPERLINK("https://www.spark-marketing.ru/Card/Person/1047005", "МО МВД РОССИИ ""ТАВДИНСКИЙ""")</f>
        <v>МО МВД РОССИИ "ТАВДИНСКИЙ"</v>
      </c>
      <c r="B2271" s="24" t="s">
        <v>4250</v>
      </c>
      <c r="C2271" s="25">
        <v>1000000</v>
      </c>
      <c r="D2271" s="22" t="s">
        <v>4251</v>
      </c>
      <c r="E2271" s="22" t="s">
        <v>48</v>
      </c>
      <c r="F2271" s="23" t="str">
        <f>HYPERLINK("https://www.spark-marketing.ru/Card/Lot/73649451", "Услуги по обеспечению, доставке и раздаче бесперебойного ежедневного горячего питания для лиц, содержащихся под стражей")</f>
        <v>Услуги по обеспечению, доставке и раздаче бесперебойного ежедневного горячего питания для лиц, содержащихся под стражей</v>
      </c>
      <c r="G2271" s="22" t="s">
        <v>174</v>
      </c>
      <c r="H2271" s="22" t="s">
        <v>4252</v>
      </c>
      <c r="I2271" s="26">
        <v>43727.7319444444</v>
      </c>
      <c r="J2271" s="23" t="str">
        <f>HYPERLINK("https://www.spark-marketing.ru/Card/Person/1480779", "ООО ""ЛЕКС""")</f>
        <v>ООО "ЛЕКС"</v>
      </c>
      <c r="K2271" s="24" t="s">
        <v>4253</v>
      </c>
      <c r="L2271" s="22" t="s">
        <v>10</v>
      </c>
      <c r="M2271" s="28" t="s">
        <v>51</v>
      </c>
      <c r="N2271" s="28" t="s">
        <v>51</v>
      </c>
    </row>
    <row r="2272" spans="1:14" ht="12.75" x14ac:dyDescent="0.2">
      <c r="A2272" s="23" t="str">
        <f>HYPERLINK("https://www.spark-marketing.ru/Card/Person/127767", "МКУ ""ЦПВМ""")</f>
        <v>МКУ "ЦПВМ"</v>
      </c>
      <c r="B2272" s="24" t="s">
        <v>4254</v>
      </c>
      <c r="C2272" s="25">
        <v>119700</v>
      </c>
      <c r="D2272" s="22" t="s">
        <v>4255</v>
      </c>
      <c r="E2272" s="22" t="s">
        <v>48</v>
      </c>
      <c r="F2272" s="23" t="str">
        <f>HYPERLINK("https://www.spark-marketing.ru/Card/Lot/73648225", "Оказание услуг по организации питания")</f>
        <v>Оказание услуг по организации питания</v>
      </c>
      <c r="G2272" s="22" t="s">
        <v>104</v>
      </c>
      <c r="H2272" s="22" t="s">
        <v>120</v>
      </c>
      <c r="I2272" s="26">
        <v>43727.736111111102</v>
      </c>
      <c r="J2272" s="23" t="str">
        <f>HYPERLINK("https://www.spark-marketing.ru/Card/Person/174420", "МУП ""КШП № 1""")</f>
        <v>МУП "КШП № 1"</v>
      </c>
      <c r="K2272" s="24" t="s">
        <v>4256</v>
      </c>
      <c r="L2272" s="22" t="s">
        <v>10</v>
      </c>
      <c r="M2272" s="25">
        <v>119700</v>
      </c>
      <c r="N2272" s="27">
        <v>0</v>
      </c>
    </row>
    <row r="2273" spans="1:14" x14ac:dyDescent="0.15">
      <c r="A2273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273" s="24" t="s">
        <v>1790</v>
      </c>
      <c r="C2273" s="25">
        <v>274312.5</v>
      </c>
      <c r="D2273" s="22" t="s">
        <v>4257</v>
      </c>
      <c r="E2273" s="22" t="s">
        <v>464</v>
      </c>
      <c r="F2273" s="23" t="str">
        <f>HYPERLINK("https://www.spark-marketing.ru/Card/Lot/73647596", "Прочая закупка товаров, работ и услуг. Поставка продуктов питания: молочной продукции для сотрудников занятым на работах с вредными условиями труда")</f>
        <v>Прочая закупка товаров, работ и услуг. Поставка продуктов питания: молочной продукции для сотрудников занятым на работах с вредными условиями труда</v>
      </c>
      <c r="G2273" s="22" t="s">
        <v>217</v>
      </c>
      <c r="H2273" s="22" t="s">
        <v>937</v>
      </c>
      <c r="I2273" s="26">
        <v>43727.708333333299</v>
      </c>
      <c r="J2273" s="28" t="s">
        <v>51</v>
      </c>
      <c r="K2273" s="28" t="s">
        <v>51</v>
      </c>
      <c r="L2273" s="28" t="s">
        <v>51</v>
      </c>
      <c r="M2273" s="28" t="s">
        <v>51</v>
      </c>
      <c r="N2273" s="28" t="s">
        <v>51</v>
      </c>
    </row>
    <row r="2274" spans="1:14" hidden="1" outlineLevel="1" x14ac:dyDescent="0.2">
      <c r="A2274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274" s="24" t="s">
        <v>1790</v>
      </c>
      <c r="C2274" s="25">
        <v>274312.5</v>
      </c>
      <c r="D2274" s="22" t="s">
        <v>4257</v>
      </c>
      <c r="E2274" s="22" t="s">
        <v>464</v>
      </c>
      <c r="F2274" s="23" t="str">
        <f>HYPERLINK("https://www.spark-marketing.ru/Card/Lot/73647596", "Прочая закупка товаров, работ и услуг. Поставка продуктов питания: молочной продукции для сотрудников занятым на работах с вредными условиями труда")</f>
        <v>Прочая закупка товаров, работ и услуг. Поставка продуктов питания: молочной продукции для сотрудников занятым на работах с вредными условиями труда</v>
      </c>
      <c r="G2274" s="22" t="s">
        <v>217</v>
      </c>
      <c r="H2274" s="22" t="s">
        <v>937</v>
      </c>
      <c r="I2274" s="26">
        <v>43727.708333333299</v>
      </c>
      <c r="J2274" s="23" t="str">
        <f>HYPERLINK("https://www.spark-marketing.ru/Card/Person/74486", "ОАО ""МИЛКОМ""")</f>
        <v>ОАО "МИЛКОМ"</v>
      </c>
      <c r="K2274" s="24" t="s">
        <v>4258</v>
      </c>
      <c r="L2274" s="28" t="s">
        <v>51</v>
      </c>
      <c r="M2274" s="25">
        <v>241000</v>
      </c>
      <c r="N2274" s="27">
        <v>0.12143996354522671</v>
      </c>
    </row>
    <row r="2275" spans="1:14" ht="12.75" hidden="1" outlineLevel="1" x14ac:dyDescent="0.2">
      <c r="A2275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275" s="24" t="s">
        <v>1790</v>
      </c>
      <c r="C2275" s="25">
        <v>274312.5</v>
      </c>
      <c r="D2275" s="22" t="s">
        <v>4257</v>
      </c>
      <c r="E2275" s="22" t="s">
        <v>464</v>
      </c>
      <c r="F2275" s="23" t="str">
        <f>HYPERLINK("https://www.spark-marketing.ru/Card/Lot/73647596", "Прочая закупка товаров, работ и услуг. Поставка продуктов питания: молочной продукции для сотрудников занятым на работах с вредными условиями труда")</f>
        <v>Прочая закупка товаров, работ и услуг. Поставка продуктов питания: молочной продукции для сотрудников занятым на работах с вредными условиями труда</v>
      </c>
      <c r="G2275" s="22" t="s">
        <v>217</v>
      </c>
      <c r="H2275" s="22" t="s">
        <v>937</v>
      </c>
      <c r="I2275" s="26">
        <v>43727.708333333299</v>
      </c>
      <c r="J2275" s="23" t="str">
        <f>HYPERLINK("https://www.spark-marketing.ru/Card/Person/5771746", "ООО ""МОЛЭКСПРЕСС""")</f>
        <v>ООО "МОЛЭКСПРЕСС"</v>
      </c>
      <c r="K2275" s="24" t="s">
        <v>4259</v>
      </c>
      <c r="L2275" s="22" t="s">
        <v>10</v>
      </c>
      <c r="M2275" s="25">
        <v>198876.58</v>
      </c>
      <c r="N2275" s="27">
        <v>0.27499993620414676</v>
      </c>
    </row>
    <row r="2276" spans="1:14" hidden="1" outlineLevel="1" x14ac:dyDescent="0.2">
      <c r="A2276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276" s="24" t="s">
        <v>1790</v>
      </c>
      <c r="C2276" s="25">
        <v>274312.5</v>
      </c>
      <c r="D2276" s="22" t="s">
        <v>4257</v>
      </c>
      <c r="E2276" s="22" t="s">
        <v>464</v>
      </c>
      <c r="F2276" s="23" t="str">
        <f>HYPERLINK("https://www.spark-marketing.ru/Card/Lot/73647596", "Прочая закупка товаров, работ и услуг. Поставка продуктов питания: молочной продукции для сотрудников занятым на работах с вредными условиями труда")</f>
        <v>Прочая закупка товаров, работ и услуг. Поставка продуктов питания: молочной продукции для сотрудников занятым на работах с вредными условиями труда</v>
      </c>
      <c r="G2276" s="22" t="s">
        <v>217</v>
      </c>
      <c r="H2276" s="22" t="s">
        <v>937</v>
      </c>
      <c r="I2276" s="26">
        <v>43727.708333333299</v>
      </c>
      <c r="J2276" s="23" t="str">
        <f>HYPERLINK("https://www.spark-marketing.ru/Card/Person/5785272", "ООО ""МСК ГРУПП""")</f>
        <v>ООО "МСК ГРУПП"</v>
      </c>
      <c r="K2276" s="24" t="s">
        <v>4260</v>
      </c>
      <c r="L2276" s="28" t="s">
        <v>51</v>
      </c>
      <c r="M2276" s="25">
        <v>200248.14</v>
      </c>
      <c r="N2276" s="27">
        <v>0.26999994531784005</v>
      </c>
    </row>
    <row r="2277" spans="1:14" x14ac:dyDescent="0.15">
      <c r="A2277" s="23" t="str">
        <f>HYPERLINK("https://www.spark-marketing.ru/Card/Person/81193", "МБДОУ ""ДЕТСКИЙ САД № 90""")</f>
        <v>МБДОУ "ДЕТСКИЙ САД № 90"</v>
      </c>
      <c r="B2277" s="24" t="s">
        <v>4261</v>
      </c>
      <c r="C2277" s="25">
        <v>10163000</v>
      </c>
      <c r="D2277" s="22" t="s">
        <v>4262</v>
      </c>
      <c r="E2277" s="22" t="s">
        <v>48</v>
      </c>
      <c r="F2277" s="23" t="str">
        <f>HYPERLINK("https://www.spark-marketing.ru/Card/Lot/73651634", "Оказание услуг по организации рационального горячего питания воспитанников муниципальных бюджетных дошкольной образовательных учреждений в 2020-2021 годах.")</f>
        <v>Оказание услуг по организации рационального горячего питания воспитанников муниципальных бюджетных дошкольной образовательных учреждений в 2020-2021 годах.</v>
      </c>
      <c r="G2277" s="22" t="s">
        <v>49</v>
      </c>
      <c r="H2277" s="22" t="s">
        <v>2495</v>
      </c>
      <c r="I2277" s="26">
        <v>43727.683657407397</v>
      </c>
      <c r="J2277" s="28" t="s">
        <v>51</v>
      </c>
      <c r="K2277" s="28" t="s">
        <v>51</v>
      </c>
      <c r="L2277" s="28" t="s">
        <v>51</v>
      </c>
      <c r="M2277" s="28" t="s">
        <v>51</v>
      </c>
      <c r="N2277" s="28" t="s">
        <v>51</v>
      </c>
    </row>
    <row r="2278" spans="1:14" x14ac:dyDescent="0.15">
      <c r="A2278" s="23" t="str">
        <f>HYPERLINK("https://www.spark-marketing.ru/Card/Person/84426", "МБДОУ Д/С №45 ""ТЕРЕМОК"" КОМБИНИРОВАННОГО ВИДА")</f>
        <v>МБДОУ Д/С №45 "ТЕРЕМОК" КОМБИНИРОВАННОГО ВИДА</v>
      </c>
      <c r="B2278" s="24" t="s">
        <v>4263</v>
      </c>
      <c r="C2278" s="25">
        <v>29591516</v>
      </c>
      <c r="D2278" s="22" t="s">
        <v>4264</v>
      </c>
      <c r="E2278" s="22" t="s">
        <v>48</v>
      </c>
      <c r="F2278" s="23" t="str">
        <f>HYPERLINK("https://www.spark-marketing.ru/Card/Lot/73651563",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годы.")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годы.</v>
      </c>
      <c r="G2278" s="22" t="s">
        <v>49</v>
      </c>
      <c r="H2278" s="22" t="s">
        <v>2508</v>
      </c>
      <c r="I2278" s="26">
        <v>43727.667615740698</v>
      </c>
      <c r="J2278" s="28" t="s">
        <v>51</v>
      </c>
      <c r="K2278" s="28" t="s">
        <v>51</v>
      </c>
      <c r="L2278" s="28" t="s">
        <v>51</v>
      </c>
      <c r="M2278" s="28" t="s">
        <v>51</v>
      </c>
      <c r="N2278" s="28" t="s">
        <v>51</v>
      </c>
    </row>
    <row r="2279" spans="1:14" x14ac:dyDescent="0.15">
      <c r="A2279" s="23" t="str">
        <f>HYPERLINK("https://www.spark-marketing.ru/Card/Person/4439142", "АО ""РОСПАН ИНТЕРНЕШНЛ""")</f>
        <v>АО "РОСПАН ИНТЕРНЕШНЛ"</v>
      </c>
      <c r="B2279" s="24" t="s">
        <v>4265</v>
      </c>
      <c r="C2279" s="28" t="s">
        <v>51</v>
      </c>
      <c r="D2279" s="22" t="s">
        <v>4266</v>
      </c>
      <c r="E2279" s="22" t="s">
        <v>362</v>
      </c>
      <c r="F2279" s="23" t="str">
        <f>HYPERLINK("https://www.spark-marketing.ru/Card/Lot/74012591", "Оказание услуг по организации общественного питания")</f>
        <v>Оказание услуг по организации общественного питания</v>
      </c>
      <c r="G2279" s="22" t="s">
        <v>1056</v>
      </c>
      <c r="H2279" s="22" t="s">
        <v>4267</v>
      </c>
      <c r="I2279" s="26">
        <v>43727.666666666701</v>
      </c>
      <c r="J2279" s="28" t="s">
        <v>51</v>
      </c>
      <c r="K2279" s="28" t="s">
        <v>51</v>
      </c>
      <c r="L2279" s="28" t="s">
        <v>51</v>
      </c>
      <c r="M2279" s="28" t="s">
        <v>51</v>
      </c>
      <c r="N2279" s="28" t="s">
        <v>51</v>
      </c>
    </row>
    <row r="2280" spans="1:14" x14ac:dyDescent="0.15">
      <c r="A2280" s="23" t="str">
        <f>HYPERLINK("https://www.spark-marketing.ru/Card/Person/84501", "АДМИНИСТРАЦИЯ ГОРОДСКОГО ОКРУГА")</f>
        <v>АДМИНИСТРАЦИЯ ГОРОДСКОГО ОКРУГА</v>
      </c>
      <c r="B2280" s="24" t="s">
        <v>4268</v>
      </c>
      <c r="C2280" s="25">
        <v>39999.300000000003</v>
      </c>
      <c r="D2280" s="22" t="s">
        <v>4269</v>
      </c>
      <c r="E2280" s="22" t="s">
        <v>48</v>
      </c>
      <c r="F2280" s="23" t="str">
        <f>HYPERLINK("https://www.spark-marketing.ru/Card/Lot/73642181", "Услуги по организации питания")</f>
        <v>Услуги по организации питания</v>
      </c>
      <c r="G2280" s="22" t="s">
        <v>49</v>
      </c>
      <c r="H2280" s="22" t="s">
        <v>742</v>
      </c>
      <c r="I2280" s="26">
        <v>43727.701203703698</v>
      </c>
      <c r="J2280" s="28" t="s">
        <v>51</v>
      </c>
      <c r="K2280" s="28" t="s">
        <v>51</v>
      </c>
      <c r="L2280" s="28" t="s">
        <v>51</v>
      </c>
      <c r="M2280" s="28" t="s">
        <v>51</v>
      </c>
      <c r="N2280" s="28" t="s">
        <v>51</v>
      </c>
    </row>
    <row r="2281" spans="1:14" x14ac:dyDescent="0.15">
      <c r="A2281" s="23" t="str">
        <f>HYPERLINK("https://www.spark-marketing.ru/Card/Person/21399", "ГКУ РД ""ДИРЕКЦИЯ ПО ПРОВЕДЕНИЮ И МАТЕРИАЛЬНОМУ ОБЕСПЕЧЕНИЮ СПОРТИВНЫХ МЕРОПРИЯТИЙ""")</f>
        <v>ГКУ РД "ДИРЕКЦИЯ ПО ПРОВЕДЕНИЮ И МАТЕРИАЛЬНОМУ ОБЕСПЕЧЕНИЮ СПОРТИВНЫХ МЕРОПРИЯТИЙ"</v>
      </c>
      <c r="B2281" s="24" t="s">
        <v>4270</v>
      </c>
      <c r="C2281" s="25">
        <v>1628000</v>
      </c>
      <c r="D2281" s="22" t="s">
        <v>4271</v>
      </c>
      <c r="E2281" s="22" t="s">
        <v>81</v>
      </c>
      <c r="F2281" s="23" t="str">
        <f>HYPERLINK("https://www.spark-marketing.ru/Card/Lot/73650383", "Услуги по размещению и питанию участников, спортсменов, судей и тренеров на «Континентальный Кубок» по вольной борьбе памяти прославленных борцов 19-20 столетия в г. Хасавюрт")</f>
        <v>Услуги по размещению и питанию участников, спортсменов, судей и тренеров на «Континентальный Кубок» по вольной борьбе памяти прославленных борцов 19-20 столетия в г. Хасавюрт</v>
      </c>
      <c r="G2281" s="22" t="s">
        <v>1607</v>
      </c>
      <c r="H2281" s="22" t="s">
        <v>1607</v>
      </c>
      <c r="I2281" s="26">
        <v>43727.666666666701</v>
      </c>
      <c r="J2281" s="28" t="s">
        <v>51</v>
      </c>
      <c r="K2281" s="28" t="s">
        <v>51</v>
      </c>
      <c r="L2281" s="28" t="s">
        <v>51</v>
      </c>
      <c r="M2281" s="28" t="s">
        <v>51</v>
      </c>
      <c r="N2281" s="28" t="s">
        <v>51</v>
      </c>
    </row>
    <row r="2282" spans="1:14" hidden="1" outlineLevel="1" x14ac:dyDescent="0.2">
      <c r="A2282" s="23" t="str">
        <f>HYPERLINK("https://www.spark-marketing.ru/Card/Person/21399", "ГКУ РД ""ДИРЕКЦИЯ ПО ПРОВЕДЕНИЮ И МАТЕРИАЛЬНОМУ ОБЕСПЕЧЕНИЮ СПОРТИВНЫХ МЕРОПРИЯТИЙ""")</f>
        <v>ГКУ РД "ДИРЕКЦИЯ ПО ПРОВЕДЕНИЮ И МАТЕРИАЛЬНОМУ ОБЕСПЕЧЕНИЮ СПОРТИВНЫХ МЕРОПРИЯТИЙ"</v>
      </c>
      <c r="B2282" s="24" t="s">
        <v>4270</v>
      </c>
      <c r="C2282" s="25">
        <v>1628000</v>
      </c>
      <c r="D2282" s="22" t="s">
        <v>4271</v>
      </c>
      <c r="E2282" s="22" t="s">
        <v>81</v>
      </c>
      <c r="F2282" s="23" t="str">
        <f>HYPERLINK("https://www.spark-marketing.ru/Card/Lot/73650383", "Услуги по размещению и питанию участников, спортсменов, судей и тренеров на «Континентальный Кубок» по вольной борьбе памяти прославленных борцов 19-20 столетия в г. Хасавюрт")</f>
        <v>Услуги по размещению и питанию участников, спортсменов, судей и тренеров на «Континентальный Кубок» по вольной борьбе памяти прославленных борцов 19-20 столетия в г. Хасавюрт</v>
      </c>
      <c r="G2282" s="22" t="s">
        <v>1607</v>
      </c>
      <c r="H2282" s="22" t="s">
        <v>1607</v>
      </c>
      <c r="I2282" s="26">
        <v>43727.666666666701</v>
      </c>
      <c r="J2282" s="23" t="str">
        <f>HYPERLINK("https://www.spark-marketing.ru/Card/Person/6705465", "Варисова Патимат Магомедзагировна")</f>
        <v>Варисова Патимат Магомедзагировна</v>
      </c>
      <c r="K2282" s="24" t="s">
        <v>4272</v>
      </c>
      <c r="L2282" s="28" t="s">
        <v>51</v>
      </c>
      <c r="M2282" s="25">
        <v>1400080</v>
      </c>
      <c r="N2282" s="27">
        <v>0.14000000000000001</v>
      </c>
    </row>
    <row r="2283" spans="1:14" ht="12.75" hidden="1" outlineLevel="1" x14ac:dyDescent="0.2">
      <c r="A2283" s="23" t="str">
        <f>HYPERLINK("https://www.spark-marketing.ru/Card/Person/21399", "ГКУ РД ""ДИРЕКЦИЯ ПО ПРОВЕДЕНИЮ И МАТЕРИАЛЬНОМУ ОБЕСПЕЧЕНИЮ СПОРТИВНЫХ МЕРОПРИЯТИЙ""")</f>
        <v>ГКУ РД "ДИРЕКЦИЯ ПО ПРОВЕДЕНИЮ И МАТЕРИАЛЬНОМУ ОБЕСПЕЧЕНИЮ СПОРТИВНЫХ МЕРОПРИЯТИЙ"</v>
      </c>
      <c r="B2283" s="24" t="s">
        <v>4270</v>
      </c>
      <c r="C2283" s="25">
        <v>1628000</v>
      </c>
      <c r="D2283" s="22" t="s">
        <v>4271</v>
      </c>
      <c r="E2283" s="22" t="s">
        <v>81</v>
      </c>
      <c r="F2283" s="23" t="str">
        <f>HYPERLINK("https://www.spark-marketing.ru/Card/Lot/73650383", "Услуги по размещению и питанию участников, спортсменов, судей и тренеров на «Континентальный Кубок» по вольной борьбе памяти прославленных борцов 19-20 столетия в г. Хасавюрт")</f>
        <v>Услуги по размещению и питанию участников, спортсменов, судей и тренеров на «Континентальный Кубок» по вольной борьбе памяти прославленных борцов 19-20 столетия в г. Хасавюрт</v>
      </c>
      <c r="G2283" s="22" t="s">
        <v>1607</v>
      </c>
      <c r="H2283" s="22" t="s">
        <v>1607</v>
      </c>
      <c r="I2283" s="26">
        <v>43727.666666666701</v>
      </c>
      <c r="J2283" s="23" t="str">
        <f>HYPERLINK("https://www.spark-marketing.ru/Card/Person/412300", "Гаджимурадов Саид Гаджимурадович")</f>
        <v>Гаджимурадов Саид Гаджимурадович</v>
      </c>
      <c r="K2283" s="24" t="s">
        <v>4273</v>
      </c>
      <c r="L2283" s="22" t="s">
        <v>10</v>
      </c>
      <c r="M2283" s="25">
        <v>1400080</v>
      </c>
      <c r="N2283" s="27">
        <v>0.14000000000000001</v>
      </c>
    </row>
    <row r="2284" spans="1:14" x14ac:dyDescent="0.15">
      <c r="A2284" s="23" t="str">
        <f>HYPERLINK("https://www.spark-marketing.ru/Card/Person/73943", "ДЕПАРТАМЕНТ ДОРОЖНОЙ ДЕЯТЕЛЬНОСТИ И БЛАГОУСТРОЙСТВА АДМИНИСТРАЦИИ ГОРОДА ТОМСКА")</f>
        <v>ДЕПАРТАМЕНТ ДОРОЖНОЙ ДЕЯТЕЛЬНОСТИ И БЛАГОУСТРОЙСТВА АДМИНИСТРАЦИИ ГОРОДА ТОМСКА</v>
      </c>
      <c r="B2284" s="24" t="s">
        <v>4274</v>
      </c>
      <c r="C2284" s="25">
        <v>2175912</v>
      </c>
      <c r="D2284" s="22" t="s">
        <v>4275</v>
      </c>
      <c r="E2284" s="22" t="s">
        <v>4276</v>
      </c>
      <c r="F2284" s="23" t="str">
        <f>HYPERLINK("https://www.spark-marketing.ru/Card/Lot/73650626", "Оказание услуг по регулированию численности безнадзорных животных на территории муниципального образования ""Город Томск""")</f>
        <v>Оказание услуг по регулированию численности безнадзорных животных на территории муниципального образования "Город Томск"</v>
      </c>
      <c r="G2284" s="22" t="s">
        <v>149</v>
      </c>
      <c r="H2284" s="22" t="s">
        <v>496</v>
      </c>
      <c r="I2284" s="26">
        <v>43727.690277777801</v>
      </c>
      <c r="J2284" s="23" t="str">
        <f>HYPERLINK("https://www.spark-marketing.ru/Card/Person/839493", "Можейко Алена Николаевна")</f>
        <v>Можейко Алена Николаевна</v>
      </c>
      <c r="K2284" s="24" t="s">
        <v>4277</v>
      </c>
      <c r="L2284" s="22" t="s">
        <v>10</v>
      </c>
      <c r="M2284" s="28" t="s">
        <v>51</v>
      </c>
      <c r="N2284" s="28" t="s">
        <v>51</v>
      </c>
    </row>
    <row r="2285" spans="1:14" x14ac:dyDescent="0.15">
      <c r="A2285" s="23" t="str">
        <f>HYPERLINK("https://www.spark-marketing.ru/Card/Person/84026", "МБДОУ ДЕТСКИЙ САД №2 КОМБИНИРОВАННОГО ВИДА")</f>
        <v>МБДОУ ДЕТСКИЙ САД №2 КОМБИНИРОВАННОГО ВИДА</v>
      </c>
      <c r="B2285" s="24" t="s">
        <v>4278</v>
      </c>
      <c r="C2285" s="25">
        <v>29571986</v>
      </c>
      <c r="D2285" s="22" t="s">
        <v>4279</v>
      </c>
      <c r="E2285" s="22" t="s">
        <v>48</v>
      </c>
      <c r="F2285" s="23" t="str">
        <f>HYPERLINK("https://www.spark-marketing.ru/Card/Lot/73651660", "Оказание услуг по организации рационального горячего питания воспитанников муниципальных бюджетных дошкольных образовательных учреждений в 2020 -2021 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 годах</v>
      </c>
      <c r="G2285" s="22" t="s">
        <v>49</v>
      </c>
      <c r="H2285" s="22" t="s">
        <v>2508</v>
      </c>
      <c r="I2285" s="26">
        <v>43727.705659722204</v>
      </c>
      <c r="J2285" s="28" t="s">
        <v>51</v>
      </c>
      <c r="K2285" s="28" t="s">
        <v>51</v>
      </c>
      <c r="L2285" s="28" t="s">
        <v>51</v>
      </c>
      <c r="M2285" s="28" t="s">
        <v>51</v>
      </c>
      <c r="N2285" s="28" t="s">
        <v>51</v>
      </c>
    </row>
    <row r="2286" spans="1:14" x14ac:dyDescent="0.15">
      <c r="A2286" s="23" t="str">
        <f>HYPERLINK("https://www.spark-marketing.ru/Card/Person/148241", "ОТДЕЛ МВД РОССИИ ПО НЕФТЕКУМСКОМУ ГОРОДСКОМУ ОКРУГУ")</f>
        <v>ОТДЕЛ МВД РОССИИ ПО НЕФТЕКУМСКОМУ ГОРОДСКОМУ ОКРУГУ</v>
      </c>
      <c r="B2286" s="24" t="s">
        <v>4280</v>
      </c>
      <c r="C2286" s="25">
        <v>350050</v>
      </c>
      <c r="D2286" s="22" t="s">
        <v>4281</v>
      </c>
      <c r="E2286" s="22" t="s">
        <v>48</v>
      </c>
      <c r="F2286" s="23" t="str">
        <f>HYPERLINK("https://www.spark-marketing.ru/Card/Lot/73648660", "оказание услуг по приготовлению ежедневного 3-х разового питания (готовых комплексных завтраков, обедов и ужинов) для лиц, арестованных  за совершение административного правонарушения, лиц  задержанных за совершение административного правонарушения, ...")</f>
        <v>оказание услуг по приготовлению ежедневного 3-х разового питания (готовых комплексных завтраков, обедов и ужинов) для лиц, арестованных  за совершение административного правонарушения, лиц  задержанных за совершение административного правонарушения, ...</v>
      </c>
      <c r="G2286" s="22" t="s">
        <v>87</v>
      </c>
      <c r="H2286" s="22" t="s">
        <v>87</v>
      </c>
      <c r="I2286" s="26">
        <v>43727.686805555597</v>
      </c>
      <c r="J2286" s="23" t="str">
        <f>HYPERLINK("https://www.spark-marketing.ru/Card/Person/213719", "Захарьящева Наталья Ивановна")</f>
        <v>Захарьящева Наталья Ивановна</v>
      </c>
      <c r="K2286" s="24" t="s">
        <v>4282</v>
      </c>
      <c r="L2286" s="22" t="s">
        <v>10</v>
      </c>
      <c r="M2286" s="28" t="s">
        <v>51</v>
      </c>
      <c r="N2286" s="28" t="s">
        <v>51</v>
      </c>
    </row>
    <row r="2287" spans="1:14" x14ac:dyDescent="0.15">
      <c r="A2287" s="23" t="str">
        <f>HYPERLINK("https://www.spark-marketing.ru/Card/Person/1025088", "МБДОУ ЦРР - ДЕТСКИЙ САД №19 ""ЗОЛУШКА""")</f>
        <v>МБДОУ ЦРР - ДЕТСКИЙ САД №19 "ЗОЛУШКА"</v>
      </c>
      <c r="B2287" s="24" t="s">
        <v>4283</v>
      </c>
      <c r="C2287" s="25">
        <v>149283</v>
      </c>
      <c r="D2287" s="22" t="s">
        <v>4284</v>
      </c>
      <c r="E2287" s="22" t="s">
        <v>48</v>
      </c>
      <c r="F2287" s="23" t="str">
        <f>HYPERLINK("https://www.spark-marketing.ru/Card/Lot/73642068",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2287" s="22" t="s">
        <v>49</v>
      </c>
      <c r="H2287" s="22" t="s">
        <v>50</v>
      </c>
      <c r="I2287" s="26">
        <v>43727.669571759303</v>
      </c>
      <c r="J2287" s="28" t="s">
        <v>51</v>
      </c>
      <c r="K2287" s="28" t="s">
        <v>51</v>
      </c>
      <c r="L2287" s="28" t="s">
        <v>51</v>
      </c>
      <c r="M2287" s="28" t="s">
        <v>51</v>
      </c>
      <c r="N2287" s="28" t="s">
        <v>51</v>
      </c>
    </row>
    <row r="2288" spans="1:14" x14ac:dyDescent="0.15">
      <c r="A2288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288" s="24" t="s">
        <v>1790</v>
      </c>
      <c r="C2288" s="25">
        <v>124950</v>
      </c>
      <c r="D2288" s="22" t="s">
        <v>4285</v>
      </c>
      <c r="E2288" s="22" t="s">
        <v>464</v>
      </c>
      <c r="F2288" s="23" t="str">
        <f>HYPERLINK("https://www.spark-marketing.ru/Card/Lot/73647219", "Прочая закупка товаров, работ и услуг. Поставка продуктов питания: молока для сотрудников занятым на работах с вредными условиями труда (дислокация г. Набережные Челны)")</f>
        <v>Прочая закупка товаров, работ и услуг. Поставка продуктов питания: молока для сотрудников занятым на работах с вредными условиями труда (дислокация г. Набережные Челны)</v>
      </c>
      <c r="G2288" s="22" t="s">
        <v>217</v>
      </c>
      <c r="H2288" s="22" t="s">
        <v>1998</v>
      </c>
      <c r="I2288" s="26">
        <v>43727.707638888904</v>
      </c>
      <c r="J2288" s="23" t="str">
        <f>HYPERLINK("https://www.spark-marketing.ru/Card/Person/5901724", "ООО ""БМК""")</f>
        <v>ООО "БМК"</v>
      </c>
      <c r="K2288" s="24" t="s">
        <v>4286</v>
      </c>
      <c r="L2288" s="22" t="s">
        <v>10</v>
      </c>
      <c r="M2288" s="28" t="s">
        <v>51</v>
      </c>
      <c r="N2288" s="28" t="s">
        <v>51</v>
      </c>
    </row>
    <row r="2289" spans="1:14" x14ac:dyDescent="0.15">
      <c r="A2289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289" s="24" t="s">
        <v>3255</v>
      </c>
      <c r="C2289" s="25">
        <v>243487.5</v>
      </c>
      <c r="D2289" s="22" t="s">
        <v>4287</v>
      </c>
      <c r="E2289" s="22" t="s">
        <v>52</v>
      </c>
      <c r="F2289" s="23" t="str">
        <f>HYPERLINK("https://www.spark-marketing.ru/Card/Lot/73636156", "Поставка лекарственных препаратов для медицинского применения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лечеб...")</f>
        <v>Поставка лекарственных препаратов для медицинского применения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лечеб...</v>
      </c>
      <c r="G2289" s="22" t="s">
        <v>210</v>
      </c>
      <c r="H2289" s="22" t="s">
        <v>3257</v>
      </c>
      <c r="I2289" s="26">
        <v>43727.695833333302</v>
      </c>
      <c r="J2289" s="23" t="str">
        <f>HYPERLINK("https://www.spark-marketing.ru/Card/Person/6231467", "ООО ""ОБЛФАРМ АЛЬЯНС""")</f>
        <v>ООО "ОБЛФАРМ АЛЬЯНС"</v>
      </c>
      <c r="K2289" s="24" t="s">
        <v>2175</v>
      </c>
      <c r="L2289" s="22" t="s">
        <v>10</v>
      </c>
      <c r="M2289" s="28" t="s">
        <v>51</v>
      </c>
      <c r="N2289" s="28" t="s">
        <v>51</v>
      </c>
    </row>
    <row r="2290" spans="1:14" x14ac:dyDescent="0.15">
      <c r="A2290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290" s="24" t="s">
        <v>1790</v>
      </c>
      <c r="C2290" s="25">
        <v>346230.5</v>
      </c>
      <c r="D2290" s="22" t="s">
        <v>4288</v>
      </c>
      <c r="E2290" s="22" t="s">
        <v>464</v>
      </c>
      <c r="F2290" s="23" t="str">
        <f>HYPERLINK("https://www.spark-marketing.ru/Card/Lot/73647525", "Прочая закупка товаров, работ и услуг. Поставка продуктов питания: молока сотрудникам, занятым на работах с вредными условиями труда")</f>
        <v>Прочая закупка товаров, работ и услуг. Поставка продуктов питания: молока сотрудникам, занятым на работах с вредными условиями труда</v>
      </c>
      <c r="G2290" s="22" t="s">
        <v>217</v>
      </c>
      <c r="H2290" s="22" t="s">
        <v>937</v>
      </c>
      <c r="I2290" s="26">
        <v>43727.707638888904</v>
      </c>
      <c r="J2290" s="28" t="s">
        <v>51</v>
      </c>
      <c r="K2290" s="28" t="s">
        <v>51</v>
      </c>
      <c r="L2290" s="28" t="s">
        <v>51</v>
      </c>
      <c r="M2290" s="28" t="s">
        <v>51</v>
      </c>
      <c r="N2290" s="28" t="s">
        <v>51</v>
      </c>
    </row>
    <row r="2291" spans="1:14" hidden="1" outlineLevel="1" x14ac:dyDescent="0.2">
      <c r="A2291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291" s="24" t="s">
        <v>1790</v>
      </c>
      <c r="C2291" s="25">
        <v>346230.5</v>
      </c>
      <c r="D2291" s="22" t="s">
        <v>4288</v>
      </c>
      <c r="E2291" s="22" t="s">
        <v>464</v>
      </c>
      <c r="F2291" s="23" t="str">
        <f>HYPERLINK("https://www.spark-marketing.ru/Card/Lot/73647525", "Прочая закупка товаров, работ и услуг. Поставка продуктов питания: молока сотрудникам, занятым на работах с вредными условиями труда")</f>
        <v>Прочая закупка товаров, работ и услуг. Поставка продуктов питания: молока сотрудникам, занятым на работах с вредными условиями труда</v>
      </c>
      <c r="G2291" s="22" t="s">
        <v>217</v>
      </c>
      <c r="H2291" s="22" t="s">
        <v>937</v>
      </c>
      <c r="I2291" s="26">
        <v>43727.707638888904</v>
      </c>
      <c r="J2291" s="23" t="str">
        <f>HYPERLINK("https://www.spark-marketing.ru/Card/Person/74486", "ОАО ""МИЛКОМ""")</f>
        <v>ОАО "МИЛКОМ"</v>
      </c>
      <c r="K2291" s="24" t="s">
        <v>4258</v>
      </c>
      <c r="L2291" s="28" t="s">
        <v>51</v>
      </c>
      <c r="M2291" s="25">
        <v>292536</v>
      </c>
      <c r="N2291" s="27">
        <v>0.15508310215304544</v>
      </c>
    </row>
    <row r="2292" spans="1:14" ht="12.75" hidden="1" outlineLevel="1" x14ac:dyDescent="0.2">
      <c r="A2292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292" s="24" t="s">
        <v>1790</v>
      </c>
      <c r="C2292" s="25">
        <v>346230.5</v>
      </c>
      <c r="D2292" s="22" t="s">
        <v>4288</v>
      </c>
      <c r="E2292" s="22" t="s">
        <v>464</v>
      </c>
      <c r="F2292" s="23" t="str">
        <f>HYPERLINK("https://www.spark-marketing.ru/Card/Lot/73647525", "Прочая закупка товаров, работ и услуг. Поставка продуктов питания: молока сотрудникам, занятым на работах с вредными условиями труда")</f>
        <v>Прочая закупка товаров, работ и услуг. Поставка продуктов питания: молока сотрудникам, занятым на работах с вредными условиями труда</v>
      </c>
      <c r="G2292" s="22" t="s">
        <v>217</v>
      </c>
      <c r="H2292" s="22" t="s">
        <v>937</v>
      </c>
      <c r="I2292" s="26">
        <v>43727.707638888904</v>
      </c>
      <c r="J2292" s="23" t="str">
        <f>HYPERLINK("https://www.spark-marketing.ru/Card/Person/5771746", "ООО ""МОЛЭКСПРЕСС""")</f>
        <v>ООО "МОЛЭКСПРЕСС"</v>
      </c>
      <c r="K2292" s="24" t="s">
        <v>4259</v>
      </c>
      <c r="L2292" s="22" t="s">
        <v>10</v>
      </c>
      <c r="M2292" s="25">
        <v>275224.46999999997</v>
      </c>
      <c r="N2292" s="27">
        <v>0.20508311659429196</v>
      </c>
    </row>
    <row r="2293" spans="1:14" x14ac:dyDescent="0.15">
      <c r="A2293" s="23" t="str">
        <f>HYPERLINK("https://www.spark-marketing.ru/Card/Person/15678", "САНКТ-ПЕТЕРБУРГСКИЙ УНИВЕРСИТЕТ МВД РОССИИ,ФГКОУ ВО СПБУ МВД РОССИИ,СПБУ МВД РОССИИ")</f>
        <v>САНКТ-ПЕТЕРБУРГСКИЙ УНИВЕРСИТЕТ МВД РОССИИ,ФГКОУ ВО СПБУ МВД РОССИИ,СПБУ МВД РОССИИ</v>
      </c>
      <c r="B2293" s="24" t="s">
        <v>4289</v>
      </c>
      <c r="C2293" s="25">
        <v>52420830</v>
      </c>
      <c r="D2293" s="22" t="s">
        <v>4290</v>
      </c>
      <c r="E2293" s="22" t="s">
        <v>48</v>
      </c>
      <c r="F2293" s="23" t="str">
        <f>HYPERLINK("https://www.spark-marketing.ru/Card/Lot/73037088", "Услуги по организации трехразового горячего питания курсантов и слушателей")</f>
        <v>Услуги по организации трехразового горячего питания курсантов и слушателей</v>
      </c>
      <c r="G2293" s="22" t="s">
        <v>117</v>
      </c>
      <c r="H2293" s="22" t="s">
        <v>117</v>
      </c>
      <c r="I2293" s="26">
        <v>43703.361909722204</v>
      </c>
      <c r="J2293" s="28" t="s">
        <v>51</v>
      </c>
      <c r="K2293" s="28" t="s">
        <v>51</v>
      </c>
      <c r="L2293" s="28" t="s">
        <v>51</v>
      </c>
      <c r="M2293" s="28" t="s">
        <v>51</v>
      </c>
      <c r="N2293" s="28" t="s">
        <v>51</v>
      </c>
    </row>
    <row r="2294" spans="1:14" hidden="1" outlineLevel="1" x14ac:dyDescent="0.15">
      <c r="A2294" s="23" t="str">
        <f>HYPERLINK("https://www.spark-marketing.ru/Card/Person/15678", "САНКТ-ПЕТЕРБУРГСКИЙ УНИВЕРСИТЕТ МВД РОССИИ,ФГКОУ ВО СПБУ МВД РОССИИ,СПБУ МВД РОССИИ")</f>
        <v>САНКТ-ПЕТЕРБУРГСКИЙ УНИВЕРСИТЕТ МВД РОССИИ,ФГКОУ ВО СПБУ МВД РОССИИ,СПБУ МВД РОССИИ</v>
      </c>
      <c r="B2294" s="24" t="s">
        <v>4289</v>
      </c>
      <c r="C2294" s="25">
        <v>52420830</v>
      </c>
      <c r="D2294" s="22" t="s">
        <v>4290</v>
      </c>
      <c r="E2294" s="22" t="s">
        <v>48</v>
      </c>
      <c r="F2294" s="23" t="str">
        <f>HYPERLINK("https://www.spark-marketing.ru/Card/Lot/73037088", "Услуги по организации трехразового горячего питания курсантов и слушателей")</f>
        <v>Услуги по организации трехразового горячего питания курсантов и слушателей</v>
      </c>
      <c r="G2294" s="22" t="s">
        <v>117</v>
      </c>
      <c r="H2294" s="22" t="s">
        <v>117</v>
      </c>
      <c r="I2294" s="26">
        <v>43703.361909722204</v>
      </c>
      <c r="J2294" s="23" t="str">
        <f>HYPERLINK("https://www.spark-marketing.ru/Card/Person/133629", "ООО ""АУРУМ ПЛЮС""")</f>
        <v>ООО "АУРУМ ПЛЮС"</v>
      </c>
      <c r="K2294" s="24" t="s">
        <v>4291</v>
      </c>
      <c r="L2294" s="28" t="s">
        <v>51</v>
      </c>
      <c r="M2294" s="28" t="s">
        <v>51</v>
      </c>
      <c r="N2294" s="28" t="s">
        <v>51</v>
      </c>
    </row>
    <row r="2295" spans="1:14" hidden="1" outlineLevel="1" x14ac:dyDescent="0.2">
      <c r="A2295" s="23" t="str">
        <f>HYPERLINK("https://www.spark-marketing.ru/Card/Person/15678", "САНКТ-ПЕТЕРБУРГСКИЙ УНИВЕРСИТЕТ МВД РОССИИ,ФГКОУ ВО СПБУ МВД РОССИИ,СПБУ МВД РОССИИ")</f>
        <v>САНКТ-ПЕТЕРБУРГСКИЙ УНИВЕРСИТЕТ МВД РОССИИ,ФГКОУ ВО СПБУ МВД РОССИИ,СПБУ МВД РОССИИ</v>
      </c>
      <c r="B2295" s="24" t="s">
        <v>4289</v>
      </c>
      <c r="C2295" s="25">
        <v>52420830</v>
      </c>
      <c r="D2295" s="22" t="s">
        <v>4290</v>
      </c>
      <c r="E2295" s="22" t="s">
        <v>48</v>
      </c>
      <c r="F2295" s="23" t="str">
        <f>HYPERLINK("https://www.spark-marketing.ru/Card/Lot/73037088", "Услуги по организации трехразового горячего питания курсантов и слушателей")</f>
        <v>Услуги по организации трехразового горячего питания курсантов и слушателей</v>
      </c>
      <c r="G2295" s="22" t="s">
        <v>117</v>
      </c>
      <c r="H2295" s="22" t="s">
        <v>117</v>
      </c>
      <c r="I2295" s="26">
        <v>43703.361909722204</v>
      </c>
      <c r="J2295" s="23" t="str">
        <f>HYPERLINK("https://www.spark-marketing.ru/Card/Person/54261", "ООО ""ТРЕЙДСЕРВИС""")</f>
        <v>ООО "ТРЕЙДСЕРВИС"</v>
      </c>
      <c r="K2295" s="24" t="s">
        <v>4292</v>
      </c>
      <c r="L2295" s="28" t="s">
        <v>51</v>
      </c>
      <c r="M2295" s="25">
        <v>52420830</v>
      </c>
      <c r="N2295" s="27">
        <v>0</v>
      </c>
    </row>
    <row r="2296" spans="1:14" x14ac:dyDescent="0.15">
      <c r="A2296" s="23" t="str">
        <f>HYPERLINK("https://www.spark-marketing.ru/Card/Person/85528", "МБДОУ ""ДЕТСКИЙ САД № 84 ""ЗОЛОТОЕ ЗЕРНЫШКО"" КОМБИНИРОВАННОГО ВИДА""")</f>
        <v>МБДОУ "ДЕТСКИЙ САД № 84 "ЗОЛОТОЕ ЗЕРНЫШКО" КОМБИНИРОВАННОГО ВИДА"</v>
      </c>
      <c r="B2296" s="24" t="s">
        <v>4293</v>
      </c>
      <c r="C2296" s="25">
        <v>19574716</v>
      </c>
      <c r="D2296" s="22" t="s">
        <v>4294</v>
      </c>
      <c r="E2296" s="22" t="s">
        <v>48</v>
      </c>
      <c r="F2296" s="23" t="str">
        <f>HYPERLINK("https://www.spark-marketing.ru/Card/Lot/73651681",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</v>
      </c>
      <c r="G2296" s="22" t="s">
        <v>49</v>
      </c>
      <c r="H2296" s="22" t="s">
        <v>2508</v>
      </c>
      <c r="I2296" s="26">
        <v>43727.697719907403</v>
      </c>
      <c r="J2296" s="28" t="s">
        <v>51</v>
      </c>
      <c r="K2296" s="28" t="s">
        <v>51</v>
      </c>
      <c r="L2296" s="28" t="s">
        <v>51</v>
      </c>
      <c r="M2296" s="28" t="s">
        <v>51</v>
      </c>
      <c r="N2296" s="28" t="s">
        <v>51</v>
      </c>
    </row>
    <row r="2297" spans="1:14" x14ac:dyDescent="0.15">
      <c r="A2297" s="23" t="str">
        <f>HYPERLINK("https://www.spark-marketing.ru/Card/Person/83925", "МБДОУ ""ДЕТСКИЙ САД №69 АЛЕНЬКИЙ ЦВЕТОЧЕК""")</f>
        <v>МБДОУ "ДЕТСКИЙ САД №69 АЛЕНЬКИЙ ЦВЕТОЧЕК"</v>
      </c>
      <c r="B2297" s="24" t="s">
        <v>4295</v>
      </c>
      <c r="C2297" s="25">
        <v>16077640</v>
      </c>
      <c r="D2297" s="22" t="s">
        <v>4296</v>
      </c>
      <c r="E2297" s="22" t="s">
        <v>48</v>
      </c>
      <c r="F2297" s="23" t="str">
        <f>HYPERLINK("https://www.spark-marketing.ru/Card/Lot/73651650",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</v>
      </c>
      <c r="G2297" s="22" t="s">
        <v>49</v>
      </c>
      <c r="H2297" s="22" t="s">
        <v>2508</v>
      </c>
      <c r="I2297" s="26">
        <v>43727.668449074103</v>
      </c>
      <c r="J2297" s="28" t="s">
        <v>51</v>
      </c>
      <c r="K2297" s="28" t="s">
        <v>51</v>
      </c>
      <c r="L2297" s="28" t="s">
        <v>51</v>
      </c>
      <c r="M2297" s="28" t="s">
        <v>51</v>
      </c>
      <c r="N2297" s="28" t="s">
        <v>51</v>
      </c>
    </row>
    <row r="2298" spans="1:14" x14ac:dyDescent="0.15">
      <c r="A2298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2298" s="24" t="s">
        <v>4297</v>
      </c>
      <c r="C2298" s="25">
        <v>19400</v>
      </c>
      <c r="D2298" s="22" t="s">
        <v>4298</v>
      </c>
      <c r="E2298" s="22" t="s">
        <v>48</v>
      </c>
      <c r="F2298" s="23" t="str">
        <f>HYPERLINK("https://www.spark-marketing.ru/Card/Lot/73633161",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</v>
      </c>
      <c r="G2298" s="22" t="s">
        <v>1096</v>
      </c>
      <c r="H2298" s="22" t="s">
        <v>4299</v>
      </c>
      <c r="I2298" s="26">
        <v>43727.6381944444</v>
      </c>
      <c r="J2298" s="23" t="str">
        <f>HYPERLINK("https://www.spark-marketing.ru/Card/Person/1036148", "МОУ СОШ № 37")</f>
        <v>МОУ СОШ № 37</v>
      </c>
      <c r="K2298" s="24" t="s">
        <v>4300</v>
      </c>
      <c r="L2298" s="22" t="s">
        <v>10</v>
      </c>
      <c r="M2298" s="28" t="s">
        <v>51</v>
      </c>
      <c r="N2298" s="28" t="s">
        <v>51</v>
      </c>
    </row>
    <row r="2299" spans="1:14" x14ac:dyDescent="0.15">
      <c r="A2299" s="23" t="str">
        <f>HYPERLINK("https://www.spark-marketing.ru/Card/Person/4346919", "ГБУЗ ТО ""ОБЛАСТНОЙ ПРОТИВОТУБЕРКУЛЕЗНЫЙ ДИСПАНСЕР""")</f>
        <v>ГБУЗ ТО "ОБЛАСТНОЙ ПРОТИВОТУБЕРКУЛЕЗНЫЙ ДИСПАНСЕР"</v>
      </c>
      <c r="B2299" s="24" t="s">
        <v>4120</v>
      </c>
      <c r="C2299" s="25">
        <v>6359760</v>
      </c>
      <c r="D2299" s="22" t="s">
        <v>4301</v>
      </c>
      <c r="E2299" s="22" t="s">
        <v>96</v>
      </c>
      <c r="F2299" s="23" t="str">
        <f>HYPERLINK("https://www.spark-marketing.ru/Card/Lot/73652135", "оказание услуг по обеспечению горячим питанием пациентов Тобольского филиала ГБУЗ ТО «Областной противотуберкулезный диспансер»")</f>
        <v>оказание услуг по обеспечению горячим питанием пациентов Тобольского филиала ГБУЗ ТО «Областной противотуберкулезный диспансер»</v>
      </c>
      <c r="G2299" s="22" t="s">
        <v>766</v>
      </c>
      <c r="H2299" s="22" t="s">
        <v>1028</v>
      </c>
      <c r="I2299" s="26">
        <v>43727.654803240701</v>
      </c>
      <c r="J2299" s="28" t="s">
        <v>51</v>
      </c>
      <c r="K2299" s="28" t="s">
        <v>51</v>
      </c>
      <c r="L2299" s="28" t="s">
        <v>51</v>
      </c>
      <c r="M2299" s="28" t="s">
        <v>51</v>
      </c>
      <c r="N2299" s="28" t="s">
        <v>51</v>
      </c>
    </row>
    <row r="2300" spans="1:14" x14ac:dyDescent="0.15">
      <c r="A2300" s="23" t="str">
        <f>HYPERLINK("https://www.spark-marketing.ru/Card/Person/122133", "МБДОУ ""ДЕТСКИЙ САД № 10 КОМБИНИРОВАННОГО ВИДА""")</f>
        <v>МБДОУ "ДЕТСКИЙ САД № 10 КОМБИНИРОВАННОГО ВИДА"</v>
      </c>
      <c r="B2300" s="24" t="s">
        <v>4302</v>
      </c>
      <c r="C2300" s="25">
        <v>11853000</v>
      </c>
      <c r="D2300" s="22" t="s">
        <v>4303</v>
      </c>
      <c r="E2300" s="22" t="s">
        <v>48</v>
      </c>
      <c r="F2300" s="23" t="str">
        <f>HYPERLINK("https://www.spark-marketing.ru/Card/Lot/73651555",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300" s="22" t="s">
        <v>49</v>
      </c>
      <c r="H2300" s="22" t="s">
        <v>2508</v>
      </c>
      <c r="I2300" s="26">
        <v>43727.646712962996</v>
      </c>
      <c r="J2300" s="28" t="s">
        <v>51</v>
      </c>
      <c r="K2300" s="28" t="s">
        <v>51</v>
      </c>
      <c r="L2300" s="28" t="s">
        <v>51</v>
      </c>
      <c r="M2300" s="28" t="s">
        <v>51</v>
      </c>
      <c r="N2300" s="28" t="s">
        <v>51</v>
      </c>
    </row>
    <row r="2301" spans="1:14" x14ac:dyDescent="0.15">
      <c r="A2301" s="23" t="str">
        <f>HYPERLINK("https://www.spark-marketing.ru/Card/Person/44157", "ГБУЗ ""ГОРОДСКАЯ БОЛЬНИЦА № 3 Г. МИАСС""")</f>
        <v>ГБУЗ "ГОРОДСКАЯ БОЛЬНИЦА № 3 Г. МИАСС"</v>
      </c>
      <c r="B2301" s="24" t="s">
        <v>4304</v>
      </c>
      <c r="C2301" s="25">
        <v>598745.81999999995</v>
      </c>
      <c r="D2301" s="22" t="s">
        <v>4305</v>
      </c>
      <c r="E2301" s="22" t="s">
        <v>4306</v>
      </c>
      <c r="F2301" s="23" t="str">
        <f>HYPERLINK("https://www.spark-marketing.ru/Card/Lot/73648830", "Оказание услуг по ремонту с заменой запасных частей и техническому обслуживанию двухемкостной инъекционной системы для компьютерной томографии Stellant D для нужд ГБУЗ ""Городская больница №3 г. Миасс""")</f>
        <v>Оказание услуг по ремонту с заменой запасных частей и техническому обслуживанию двухемкостной инъекционной системы для компьютерной томографии Stellant D для нужд ГБУЗ "Городская больница №3 г. Миасс"</v>
      </c>
      <c r="G2301" s="22" t="s">
        <v>469</v>
      </c>
      <c r="H2301" s="22" t="s">
        <v>469</v>
      </c>
      <c r="I2301" s="26">
        <v>43727.646527777797</v>
      </c>
      <c r="J2301" s="23" t="str">
        <f>HYPERLINK("https://www.spark-marketing.ru/Card/Person/2586858", "ООО ""АКЦЕНТА""")</f>
        <v>ООО "АКЦЕНТА"</v>
      </c>
      <c r="K2301" s="24" t="s">
        <v>4307</v>
      </c>
      <c r="L2301" s="22" t="s">
        <v>10</v>
      </c>
      <c r="M2301" s="28" t="s">
        <v>51</v>
      </c>
      <c r="N2301" s="28" t="s">
        <v>51</v>
      </c>
    </row>
    <row r="2302" spans="1:14" x14ac:dyDescent="0.15">
      <c r="A2302" s="23" t="str">
        <f>HYPERLINK("https://www.spark-marketing.ru/Card/Person/19160", "КИНГИСЕППСКАЯ ТАМОЖНЯ")</f>
        <v>КИНГИСЕППСКАЯ ТАМОЖНЯ</v>
      </c>
      <c r="B2302" s="24" t="s">
        <v>4308</v>
      </c>
      <c r="C2302" s="25">
        <v>1563000</v>
      </c>
      <c r="D2302" s="22" t="s">
        <v>4309</v>
      </c>
      <c r="E2302" s="22" t="s">
        <v>355</v>
      </c>
      <c r="F2302" s="23" t="str">
        <f>HYPERLINK("https://www.spark-marketing.ru/Card/Lot/73651214", "Выполнение работ по восстановлению работоспособности оборудования источников бесперебойного питания входящих в состав систем бесперебойного гарантированного электроснабжения Кингисеппской таможни.")</f>
        <v>Выполнение работ по восстановлению работоспособности оборудования источников бесперебойного питания входящих в состав систем бесперебойного гарантированного электроснабжения Кингисеппской таможни.</v>
      </c>
      <c r="G2302" s="22" t="s">
        <v>162</v>
      </c>
      <c r="H2302" s="22" t="s">
        <v>162</v>
      </c>
      <c r="I2302" s="26">
        <v>43727.636805555601</v>
      </c>
      <c r="J2302" s="28" t="s">
        <v>51</v>
      </c>
      <c r="K2302" s="28" t="s">
        <v>51</v>
      </c>
      <c r="L2302" s="28" t="s">
        <v>51</v>
      </c>
      <c r="M2302" s="28" t="s">
        <v>51</v>
      </c>
      <c r="N2302" s="28" t="s">
        <v>51</v>
      </c>
    </row>
    <row r="2303" spans="1:14" hidden="1" outlineLevel="1" x14ac:dyDescent="0.2">
      <c r="A2303" s="23" t="str">
        <f>HYPERLINK("https://www.spark-marketing.ru/Card/Person/19160", "КИНГИСЕППСКАЯ ТАМОЖНЯ")</f>
        <v>КИНГИСЕППСКАЯ ТАМОЖНЯ</v>
      </c>
      <c r="B2303" s="24" t="s">
        <v>4308</v>
      </c>
      <c r="C2303" s="25">
        <v>1563000</v>
      </c>
      <c r="D2303" s="22" t="s">
        <v>4309</v>
      </c>
      <c r="E2303" s="22" t="s">
        <v>355</v>
      </c>
      <c r="F2303" s="23" t="str">
        <f>HYPERLINK("https://www.spark-marketing.ru/Card/Lot/73651214", "Выполнение работ по восстановлению работоспособности оборудования источников бесперебойного питания входящих в состав систем бесперебойного гарантированного электроснабжения Кингисеппской таможни.")</f>
        <v>Выполнение работ по восстановлению работоспособности оборудования источников бесперебойного питания входящих в состав систем бесперебойного гарантированного электроснабжения Кингисеппской таможни.</v>
      </c>
      <c r="G2303" s="22" t="s">
        <v>162</v>
      </c>
      <c r="H2303" s="22" t="s">
        <v>162</v>
      </c>
      <c r="I2303" s="26">
        <v>43727.636805555601</v>
      </c>
      <c r="J2303" s="23" t="str">
        <f>HYPERLINK("https://www.spark-marketing.ru/Card/Person/6506921", "ООО ""ЭНЕРГОМОНТАЖ""")</f>
        <v>ООО "ЭНЕРГОМОНТАЖ"</v>
      </c>
      <c r="K2303" s="24" t="s">
        <v>4310</v>
      </c>
      <c r="L2303" s="28" t="s">
        <v>51</v>
      </c>
      <c r="M2303" s="25">
        <v>1000320</v>
      </c>
      <c r="N2303" s="27">
        <v>0.36</v>
      </c>
    </row>
    <row r="2304" spans="1:14" ht="12.75" hidden="1" outlineLevel="1" x14ac:dyDescent="0.2">
      <c r="A2304" s="23" t="str">
        <f>HYPERLINK("https://www.spark-marketing.ru/Card/Person/19160", "КИНГИСЕППСКАЯ ТАМОЖНЯ")</f>
        <v>КИНГИСЕППСКАЯ ТАМОЖНЯ</v>
      </c>
      <c r="B2304" s="24" t="s">
        <v>4308</v>
      </c>
      <c r="C2304" s="25">
        <v>1563000</v>
      </c>
      <c r="D2304" s="22" t="s">
        <v>4309</v>
      </c>
      <c r="E2304" s="22" t="s">
        <v>355</v>
      </c>
      <c r="F2304" s="23" t="str">
        <f>HYPERLINK("https://www.spark-marketing.ru/Card/Lot/73651214", "Выполнение работ по восстановлению работоспособности оборудования источников бесперебойного питания входящих в состав систем бесперебойного гарантированного электроснабжения Кингисеппской таможни.")</f>
        <v>Выполнение работ по восстановлению работоспособности оборудования источников бесперебойного питания входящих в состав систем бесперебойного гарантированного электроснабжения Кингисеппской таможни.</v>
      </c>
      <c r="G2304" s="22" t="s">
        <v>162</v>
      </c>
      <c r="H2304" s="22" t="s">
        <v>162</v>
      </c>
      <c r="I2304" s="26">
        <v>43727.636805555601</v>
      </c>
      <c r="J2304" s="23" t="str">
        <f>HYPERLINK("https://www.spark-marketing.ru/Card/Person/86357", "ЗАО ""БЭК""")</f>
        <v>ЗАО "БЭК"</v>
      </c>
      <c r="K2304" s="24" t="s">
        <v>4311</v>
      </c>
      <c r="L2304" s="22" t="s">
        <v>10</v>
      </c>
      <c r="M2304" s="25">
        <v>992505</v>
      </c>
      <c r="N2304" s="27">
        <v>0.36499999999999999</v>
      </c>
    </row>
    <row r="2305" spans="1:14" x14ac:dyDescent="0.15">
      <c r="A2305" s="23" t="str">
        <f>HYPERLINK("https://www.spark-marketing.ru/Card/Person/8437", "ОГБУЗ ""ИОПНД""")</f>
        <v>ОГБУЗ "ИОПНД"</v>
      </c>
      <c r="B2305" s="24" t="s">
        <v>4312</v>
      </c>
      <c r="C2305" s="25">
        <v>3251059.2</v>
      </c>
      <c r="D2305" s="22" t="s">
        <v>4313</v>
      </c>
      <c r="E2305" s="22" t="s">
        <v>48</v>
      </c>
      <c r="F2305" s="23" t="str">
        <f>HYPERLINK("https://www.spark-marketing.ru/Card/Lot/73650971", "Оказание услуг по обеспечению готовым горячим питанием пациентов")</f>
        <v>Оказание услуг по обеспечению готовым горячим питанием пациентов</v>
      </c>
      <c r="G2305" s="22" t="s">
        <v>263</v>
      </c>
      <c r="H2305" s="22" t="s">
        <v>2768</v>
      </c>
      <c r="I2305" s="26">
        <v>43727.658333333296</v>
      </c>
      <c r="J2305" s="23" t="str">
        <f>HYPERLINK("https://www.spark-marketing.ru/Card/Person/267872", "МУП КШП Г.ТУЛУНА")</f>
        <v>МУП КШП Г.ТУЛУНА</v>
      </c>
      <c r="K2305" s="24" t="s">
        <v>4314</v>
      </c>
      <c r="L2305" s="22" t="s">
        <v>10</v>
      </c>
      <c r="M2305" s="28" t="s">
        <v>51</v>
      </c>
      <c r="N2305" s="28" t="s">
        <v>51</v>
      </c>
    </row>
    <row r="2306" spans="1:14" x14ac:dyDescent="0.15">
      <c r="A2306" s="23" t="str">
        <f>HYPERLINK("https://www.spark-marketing.ru/Card/Person/83942", "МБДОУ ""ДЕТСКИЙ САД № 62"" КОМБИНИРОВАННОГО ВИДА")</f>
        <v>МБДОУ "ДЕТСКИЙ САД № 62" КОМБИНИРОВАННОГО ВИДА</v>
      </c>
      <c r="B2306" s="24" t="s">
        <v>4315</v>
      </c>
      <c r="C2306" s="25">
        <v>31393100</v>
      </c>
      <c r="D2306" s="22" t="s">
        <v>4316</v>
      </c>
      <c r="E2306" s="22" t="s">
        <v>48</v>
      </c>
      <c r="F2306" s="23" t="str">
        <f>HYPERLINK("https://www.spark-marketing.ru/Card/Lot/73651550",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306" s="22" t="s">
        <v>49</v>
      </c>
      <c r="H2306" s="22" t="s">
        <v>2495</v>
      </c>
      <c r="I2306" s="26">
        <v>43727.6389583333</v>
      </c>
      <c r="J2306" s="28" t="s">
        <v>51</v>
      </c>
      <c r="K2306" s="28" t="s">
        <v>51</v>
      </c>
      <c r="L2306" s="28" t="s">
        <v>51</v>
      </c>
      <c r="M2306" s="28" t="s">
        <v>51</v>
      </c>
      <c r="N2306" s="28" t="s">
        <v>51</v>
      </c>
    </row>
    <row r="2307" spans="1:14" x14ac:dyDescent="0.15">
      <c r="A2307" s="23" t="str">
        <f>HYPERLINK("https://www.spark-marketing.ru/Card/Person/253470", "ООО ""ПХК ЦСКА""")</f>
        <v>ООО "ПХК ЦСКА"</v>
      </c>
      <c r="B2307" s="24" t="s">
        <v>4317</v>
      </c>
      <c r="C2307" s="25">
        <v>1054905.92</v>
      </c>
      <c r="D2307" s="22" t="s">
        <v>4318</v>
      </c>
      <c r="E2307" s="22" t="s">
        <v>52</v>
      </c>
      <c r="F2307" s="23" t="str">
        <f>HYPERLINK("https://www.spark-marketing.ru/Card/Lot/73648722", "Номер закупки 69. Оказание услуг по организации питания в ложах для почетных гостей во время проведения «домашних» матчей Чемпионатов КХЛ, ВХЛ и МХЛ сезона 2019-2020 годов")</f>
        <v>Номер закупки 69. Оказание услуг по организации питания в ложах для почетных гостей во время проведения «домашних» матчей Чемпионатов КХЛ, ВХЛ и МХЛ сезона 2019-2020 годов</v>
      </c>
      <c r="G2307" s="22" t="s">
        <v>56</v>
      </c>
      <c r="H2307" s="22" t="s">
        <v>56</v>
      </c>
      <c r="I2307" s="26">
        <v>43727.670833333301</v>
      </c>
      <c r="J2307" s="28" t="s">
        <v>51</v>
      </c>
      <c r="K2307" s="28" t="s">
        <v>51</v>
      </c>
      <c r="L2307" s="28" t="s">
        <v>51</v>
      </c>
      <c r="M2307" s="28" t="s">
        <v>51</v>
      </c>
      <c r="N2307" s="28" t="s">
        <v>51</v>
      </c>
    </row>
    <row r="2308" spans="1:14" x14ac:dyDescent="0.15">
      <c r="A2308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2308" s="24" t="s">
        <v>402</v>
      </c>
      <c r="C2308" s="25">
        <v>109560</v>
      </c>
      <c r="D2308" s="22" t="s">
        <v>4319</v>
      </c>
      <c r="E2308" s="22" t="s">
        <v>48</v>
      </c>
      <c r="F2308" s="23" t="str">
        <f>HYPERLINK("https://www.spark-marketing.ru/Card/Lot/73645975", "Оказание услуг по питанию граждан, содержащихся в ИВС, спецприемниках и камерах при дежурных частях")</f>
        <v>Оказание услуг по питанию граждан, содержащихся в ИВС, спецприемниках и камерах при дежурных частях</v>
      </c>
      <c r="G2308" s="22" t="s">
        <v>49</v>
      </c>
      <c r="H2308" s="22" t="s">
        <v>404</v>
      </c>
      <c r="I2308" s="26">
        <v>43727.630555555603</v>
      </c>
      <c r="J2308" s="23" t="str">
        <f>HYPERLINK("https://www.spark-marketing.ru/Card/Person/6392507", "Сафонов Виталий Геннадьевич")</f>
        <v>Сафонов Виталий Геннадьевич</v>
      </c>
      <c r="K2308" s="24" t="s">
        <v>4320</v>
      </c>
      <c r="L2308" s="28" t="s">
        <v>51</v>
      </c>
      <c r="M2308" s="28" t="s">
        <v>51</v>
      </c>
      <c r="N2308" s="28" t="s">
        <v>51</v>
      </c>
    </row>
    <row r="2309" spans="1:14" x14ac:dyDescent="0.15">
      <c r="A2309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2309" s="24" t="s">
        <v>402</v>
      </c>
      <c r="C2309" s="25">
        <v>149400</v>
      </c>
      <c r="D2309" s="22" t="s">
        <v>4321</v>
      </c>
      <c r="E2309" s="22" t="s">
        <v>48</v>
      </c>
      <c r="F2309" s="23" t="str">
        <f>HYPERLINK("https://www.spark-marketing.ru/Card/Lot/73642342", "Оказание услуг по питанию граждан, содержащихся в ИВС, спецприемниках и камерах при дежурных частях")</f>
        <v>Оказание услуг по питанию граждан, содержащихся в ИВС, спецприемниках и камерах при дежурных частях</v>
      </c>
      <c r="G2309" s="22" t="s">
        <v>49</v>
      </c>
      <c r="H2309" s="22" t="s">
        <v>404</v>
      </c>
      <c r="I2309" s="26">
        <v>43727.629861111098</v>
      </c>
      <c r="J2309" s="23" t="str">
        <f>HYPERLINK("https://www.spark-marketing.ru/Card/Person/6392507", "Сафонов Виталий Геннадьевич")</f>
        <v>Сафонов Виталий Геннадьевич</v>
      </c>
      <c r="K2309" s="24" t="s">
        <v>4320</v>
      </c>
      <c r="L2309" s="28" t="s">
        <v>51</v>
      </c>
      <c r="M2309" s="28" t="s">
        <v>51</v>
      </c>
      <c r="N2309" s="28" t="s">
        <v>51</v>
      </c>
    </row>
    <row r="2310" spans="1:14" x14ac:dyDescent="0.15">
      <c r="A2310" s="23" t="str">
        <f>HYPERLINK("https://www.spark-marketing.ru/Card/Person/112739", "МБДОУ ""ДЕТСКИЙ САД № 14 СКАЗКА КОМБИНИРОВАННОГО ВИДА""")</f>
        <v>МБДОУ "ДЕТСКИЙ САД № 14 СКАЗКА КОМБИНИРОВАННОГО ВИДА"</v>
      </c>
      <c r="B2310" s="24" t="s">
        <v>4322</v>
      </c>
      <c r="C2310" s="25">
        <v>28520560</v>
      </c>
      <c r="D2310" s="22" t="s">
        <v>4323</v>
      </c>
      <c r="E2310" s="22" t="s">
        <v>48</v>
      </c>
      <c r="F2310" s="23" t="str">
        <f>HYPERLINK("https://www.spark-marketing.ru/Card/Lot/73651551", "Оказание услуг по организации рационального горячего питания воспитанников муниципальных бюджетных дошкольных образовательных учреждений в 2020 -2021 годах.")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 годах.</v>
      </c>
      <c r="G2310" s="22" t="s">
        <v>49</v>
      </c>
      <c r="H2310" s="22" t="s">
        <v>2508</v>
      </c>
      <c r="I2310" s="26">
        <v>43727.639166666697</v>
      </c>
      <c r="J2310" s="28" t="s">
        <v>51</v>
      </c>
      <c r="K2310" s="28" t="s">
        <v>51</v>
      </c>
      <c r="L2310" s="28" t="s">
        <v>51</v>
      </c>
      <c r="M2310" s="28" t="s">
        <v>51</v>
      </c>
      <c r="N2310" s="28" t="s">
        <v>51</v>
      </c>
    </row>
    <row r="2311" spans="1:14" x14ac:dyDescent="0.15">
      <c r="A2311" s="23" t="str">
        <f>HYPERLINK("https://www.spark-marketing.ru/Card/Person/4345880", "ГБУЗ СОККД ИМ. В.П. ПОЛЯКОВА")</f>
        <v>ГБУЗ СОККД ИМ. В.П. ПОЛЯКОВА</v>
      </c>
      <c r="B2311" s="24" t="s">
        <v>4324</v>
      </c>
      <c r="C2311" s="25">
        <v>96588452</v>
      </c>
      <c r="D2311" s="22" t="s">
        <v>4325</v>
      </c>
      <c r="E2311" s="22" t="s">
        <v>48</v>
      </c>
      <c r="F2311" s="23" t="str">
        <f>HYPERLINK("https://www.spark-marketing.ru/Card/Lot/73652104", "Оказание услуг по приготовлению диетического лечебного питания для нужд ГБУЗ СОККД им.В.П.Полякова в 2020 - 2021 годах.")</f>
        <v>Оказание услуг по приготовлению диетического лечебного питания для нужд ГБУЗ СОККД им.В.П.Полякова в 2020 - 2021 годах.</v>
      </c>
      <c r="G2311" s="22" t="s">
        <v>128</v>
      </c>
      <c r="H2311" s="22" t="s">
        <v>129</v>
      </c>
      <c r="I2311" s="26">
        <v>43727.652800925898</v>
      </c>
      <c r="J2311" s="28" t="s">
        <v>51</v>
      </c>
      <c r="K2311" s="28" t="s">
        <v>51</v>
      </c>
      <c r="L2311" s="28" t="s">
        <v>51</v>
      </c>
      <c r="M2311" s="28" t="s">
        <v>51</v>
      </c>
      <c r="N2311" s="28" t="s">
        <v>51</v>
      </c>
    </row>
    <row r="2312" spans="1:14" x14ac:dyDescent="0.15">
      <c r="A2312" s="23" t="str">
        <f>HYPERLINK("https://www.spark-marketing.ru/Card/Person/85512", "МБДОУ ""ДЕТСКИЙ САД №13 ""РЯБИНКА""")</f>
        <v>МБДОУ "ДЕТСКИЙ САД №13 "РЯБИНКА"</v>
      </c>
      <c r="B2312" s="24" t="s">
        <v>4326</v>
      </c>
      <c r="C2312" s="25">
        <v>18142684</v>
      </c>
      <c r="D2312" s="22" t="s">
        <v>4327</v>
      </c>
      <c r="E2312" s="22" t="s">
        <v>48</v>
      </c>
      <c r="F2312" s="23" t="str">
        <f>HYPERLINK("https://www.spark-marketing.ru/Card/Lot/73651865",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</v>
      </c>
      <c r="G2312" s="22" t="s">
        <v>49</v>
      </c>
      <c r="H2312" s="22" t="s">
        <v>2495</v>
      </c>
      <c r="I2312" s="26">
        <v>43727.609409722201</v>
      </c>
      <c r="J2312" s="28" t="s">
        <v>51</v>
      </c>
      <c r="K2312" s="28" t="s">
        <v>51</v>
      </c>
      <c r="L2312" s="28" t="s">
        <v>51</v>
      </c>
      <c r="M2312" s="28" t="s">
        <v>51</v>
      </c>
      <c r="N2312" s="28" t="s">
        <v>51</v>
      </c>
    </row>
    <row r="2313" spans="1:14" x14ac:dyDescent="0.15">
      <c r="A2313" s="23" t="str">
        <f>HYPERLINK("https://www.spark-marketing.ru/Card/Person/126368", "МДОУ ДЕТСКИЙ САД № 15 ""УЛЫБКА""")</f>
        <v>МДОУ ДЕТСКИЙ САД № 15 "УЛЫБКА"</v>
      </c>
      <c r="B2313" s="24" t="s">
        <v>4328</v>
      </c>
      <c r="C2313" s="25">
        <v>390260</v>
      </c>
      <c r="D2313" s="22" t="s">
        <v>4329</v>
      </c>
      <c r="E2313" s="22" t="s">
        <v>48</v>
      </c>
      <c r="F2313" s="23" t="str">
        <f>HYPERLINK("https://www.spark-marketing.ru/Card/Lot/73636926", "Услуги по организации питания для воспитанников льготной категории дошкольной образовательной организации")</f>
        <v>Услуги по организации питания для воспитанников льготной категории дошкольной образовательной организации</v>
      </c>
      <c r="G2313" s="22" t="s">
        <v>49</v>
      </c>
      <c r="H2313" s="22" t="s">
        <v>50</v>
      </c>
      <c r="I2313" s="26">
        <v>43727.618252314802</v>
      </c>
      <c r="J2313" s="28" t="s">
        <v>51</v>
      </c>
      <c r="K2313" s="28" t="s">
        <v>51</v>
      </c>
      <c r="L2313" s="28" t="s">
        <v>51</v>
      </c>
      <c r="M2313" s="28" t="s">
        <v>51</v>
      </c>
      <c r="N2313" s="28" t="s">
        <v>51</v>
      </c>
    </row>
    <row r="2314" spans="1:14" x14ac:dyDescent="0.15">
      <c r="A2314" s="23" t="str">
        <f>HYPERLINK("https://www.spark-marketing.ru/Card/Person/4341", "ГУ-КИРОВСКОЕ РО ФОНДА СОЦИАЛЬНОГО СТРАХОВАНИЯ РОССИЙСКОЙ ФЕДЕРАЦИИ")</f>
        <v>ГУ-КИРОВСКОЕ РО ФОНДА СОЦИАЛЬНОГО СТРАХОВАНИЯ РОССИЙСКОЙ ФЕДЕРАЦИИ</v>
      </c>
      <c r="B2314" s="24" t="s">
        <v>4330</v>
      </c>
      <c r="C2314" s="25">
        <v>1549648.8</v>
      </c>
      <c r="D2314" s="22" t="s">
        <v>4331</v>
      </c>
      <c r="E2314" s="22" t="s">
        <v>86</v>
      </c>
      <c r="F2314" s="23" t="str">
        <f>HYPERLINK("https://www.spark-marketing.ru/Card/Lot/73651163", "Оказание услуг по санаторно-курортному лечению граждан - получателей государственной социальной помощи в виде набора социальных услуг, и сопровождающих их лиц, по профилям заболеваний: болезни эндокринной системы, расстройство питания и нарушения обм...")</f>
        <v>Оказание услуг по санаторно-курортному лечению граждан - получателей государственной социальной помощи в виде набора социальных услуг, и сопровождающих их лиц, по профилям заболеваний: болезни эндокринной системы, расстройство питания и нарушения обм...</v>
      </c>
      <c r="G2314" s="22" t="s">
        <v>224</v>
      </c>
      <c r="H2314" s="22" t="s">
        <v>225</v>
      </c>
      <c r="I2314" s="26">
        <v>43727.614583333299</v>
      </c>
      <c r="J2314" s="23" t="str">
        <f>HYPERLINK("https://www.spark-marketing.ru/Card/Person/273531", "ООО САНАТОРИЙ ""АВИТЕК""")</f>
        <v>ООО САНАТОРИЙ "АВИТЕК"</v>
      </c>
      <c r="K2314" s="24" t="s">
        <v>4332</v>
      </c>
      <c r="L2314" s="22" t="s">
        <v>10</v>
      </c>
      <c r="M2314" s="28" t="s">
        <v>51</v>
      </c>
      <c r="N2314" s="28" t="s">
        <v>51</v>
      </c>
    </row>
    <row r="2315" spans="1:14" x14ac:dyDescent="0.15">
      <c r="A2315" s="23" t="str">
        <f>HYPERLINK("https://www.spark-marketing.ru/Card/Person/141275", "МО МВД РОССИИ ""АЛАПАЕВСКИЙ""")</f>
        <v>МО МВД РОССИИ "АЛАПАЕВСКИЙ"</v>
      </c>
      <c r="B2315" s="24" t="s">
        <v>4333</v>
      </c>
      <c r="C2315" s="25">
        <v>1197628.5</v>
      </c>
      <c r="D2315" s="22" t="s">
        <v>4334</v>
      </c>
      <c r="E2315" s="22" t="s">
        <v>48</v>
      </c>
      <c r="F2315" s="23" t="str">
        <f>HYPERLINK("https://www.spark-marketing.ru/Card/Lot/73650204", "Оказание услуг по обеспечению бесперебойного ежедневного трехразового горячего питания лиц подозреваемых и обвиняемых, содержащихся в специальном приемнике для содержания лиц подвергнутых административному аресту (СП) и изоляторе временного содержани...")</f>
        <v>Оказание услуг по обеспечению бесперебойного ежедневного трехразового горячего питания лиц подозреваемых и обвиняемых, содержащихся в специальном приемнике для содержания лиц подвергнутых административному аресту (СП) и изоляторе временного содержани...</v>
      </c>
      <c r="G2315" s="22" t="s">
        <v>174</v>
      </c>
      <c r="H2315" s="22" t="s">
        <v>4335</v>
      </c>
      <c r="I2315" s="26">
        <v>43727.599305555603</v>
      </c>
      <c r="J2315" s="28" t="s">
        <v>51</v>
      </c>
      <c r="K2315" s="28" t="s">
        <v>51</v>
      </c>
      <c r="L2315" s="28" t="s">
        <v>51</v>
      </c>
      <c r="M2315" s="28" t="s">
        <v>51</v>
      </c>
      <c r="N2315" s="28" t="s">
        <v>51</v>
      </c>
    </row>
    <row r="2316" spans="1:14" ht="12.75" hidden="1" outlineLevel="1" x14ac:dyDescent="0.2">
      <c r="A2316" s="23" t="str">
        <f>HYPERLINK("https://www.spark-marketing.ru/Card/Person/141275", "МО МВД РОССИИ ""АЛАПАЕВСКИЙ""")</f>
        <v>МО МВД РОССИИ "АЛАПАЕВСКИЙ"</v>
      </c>
      <c r="B2316" s="24" t="s">
        <v>4333</v>
      </c>
      <c r="C2316" s="25">
        <v>1197628.5</v>
      </c>
      <c r="D2316" s="22" t="s">
        <v>4334</v>
      </c>
      <c r="E2316" s="22" t="s">
        <v>48</v>
      </c>
      <c r="F2316" s="23" t="str">
        <f>HYPERLINK("https://www.spark-marketing.ru/Card/Lot/73650204", "Оказание услуг по обеспечению бесперебойного ежедневного трехразового горячего питания лиц подозреваемых и обвиняемых, содержащихся в специальном приемнике для содержания лиц подвергнутых административному аресту (СП) и изоляторе временного содержани...")</f>
        <v>Оказание услуг по обеспечению бесперебойного ежедневного трехразового горячего питания лиц подозреваемых и обвиняемых, содержащихся в специальном приемнике для содержания лиц подвергнутых административному аресту (СП) и изоляторе временного содержани...</v>
      </c>
      <c r="G2316" s="22" t="s">
        <v>174</v>
      </c>
      <c r="H2316" s="22" t="s">
        <v>4335</v>
      </c>
      <c r="I2316" s="26">
        <v>43727.599305555603</v>
      </c>
      <c r="J2316" s="23" t="str">
        <f>HYPERLINK("https://www.spark-marketing.ru/Card/Person/537477", "Сурнин Сергей Николаевич")</f>
        <v>Сурнин Сергей Николаевич</v>
      </c>
      <c r="K2316" s="24" t="s">
        <v>4336</v>
      </c>
      <c r="L2316" s="22" t="s">
        <v>10</v>
      </c>
      <c r="M2316" s="25">
        <v>1149723.3799999999</v>
      </c>
      <c r="N2316" s="27">
        <v>3.999998330033061E-2</v>
      </c>
    </row>
    <row r="2317" spans="1:14" hidden="1" outlineLevel="1" x14ac:dyDescent="0.2">
      <c r="A2317" s="23" t="str">
        <f>HYPERLINK("https://www.spark-marketing.ru/Card/Person/141275", "МО МВД РОССИИ ""АЛАПАЕВСКИЙ""")</f>
        <v>МО МВД РОССИИ "АЛАПАЕВСКИЙ"</v>
      </c>
      <c r="B2317" s="24" t="s">
        <v>4333</v>
      </c>
      <c r="C2317" s="25">
        <v>1197628.5</v>
      </c>
      <c r="D2317" s="22" t="s">
        <v>4334</v>
      </c>
      <c r="E2317" s="22" t="s">
        <v>48</v>
      </c>
      <c r="F2317" s="23" t="str">
        <f>HYPERLINK("https://www.spark-marketing.ru/Card/Lot/73650204", "Оказание услуг по обеспечению бесперебойного ежедневного трехразового горячего питания лиц подозреваемых и обвиняемых, содержащихся в специальном приемнике для содержания лиц подвергнутых административному аресту (СП) и изоляторе временного содержани...")</f>
        <v>Оказание услуг по обеспечению бесперебойного ежедневного трехразового горячего питания лиц подозреваемых и обвиняемых, содержащихся в специальном приемнике для содержания лиц подвергнутых административному аресту (СП) и изоляторе временного содержани...</v>
      </c>
      <c r="G2317" s="22" t="s">
        <v>174</v>
      </c>
      <c r="H2317" s="22" t="s">
        <v>4335</v>
      </c>
      <c r="I2317" s="26">
        <v>43727.599305555603</v>
      </c>
      <c r="J2317" s="23" t="str">
        <f>HYPERLINK("https://www.spark-marketing.ru/Card/Person/6251153", "Тарасова Надежда Сергеевна")</f>
        <v>Тарасова Надежда Сергеевна</v>
      </c>
      <c r="K2317" s="24" t="s">
        <v>4337</v>
      </c>
      <c r="L2317" s="28" t="s">
        <v>51</v>
      </c>
      <c r="M2317" s="25">
        <v>1155711.52</v>
      </c>
      <c r="N2317" s="27">
        <v>3.4999985387789284E-2</v>
      </c>
    </row>
    <row r="2318" spans="1:14" x14ac:dyDescent="0.15">
      <c r="A2318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18" s="24" t="s">
        <v>1790</v>
      </c>
      <c r="C2318" s="25">
        <v>348520.5</v>
      </c>
      <c r="D2318" s="22" t="s">
        <v>4338</v>
      </c>
      <c r="E2318" s="22" t="s">
        <v>464</v>
      </c>
      <c r="F2318" s="23" t="str">
        <f>HYPERLINK("https://www.spark-marketing.ru/Card/Lot/73647778", "Прочая закупка товаров, работ и услуг. Поставка продуктов питания: молока сотрудникам, занятым на работах с вредными условиями труда")</f>
        <v>Прочая закупка товаров, работ и услуг. Поставка продуктов питания: молока сотрудникам, занятым на работах с вредными условиями труда</v>
      </c>
      <c r="G2318" s="22" t="s">
        <v>217</v>
      </c>
      <c r="H2318" s="22" t="s">
        <v>937</v>
      </c>
      <c r="I2318" s="26">
        <v>43727.609027777798</v>
      </c>
      <c r="J2318" s="28" t="s">
        <v>51</v>
      </c>
      <c r="K2318" s="28" t="s">
        <v>51</v>
      </c>
      <c r="L2318" s="28" t="s">
        <v>51</v>
      </c>
      <c r="M2318" s="28" t="s">
        <v>51</v>
      </c>
      <c r="N2318" s="28" t="s">
        <v>51</v>
      </c>
    </row>
    <row r="2319" spans="1:14" hidden="1" outlineLevel="1" x14ac:dyDescent="0.2">
      <c r="A2319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19" s="24" t="s">
        <v>1790</v>
      </c>
      <c r="C2319" s="25">
        <v>348520.5</v>
      </c>
      <c r="D2319" s="22" t="s">
        <v>4338</v>
      </c>
      <c r="E2319" s="22" t="s">
        <v>464</v>
      </c>
      <c r="F2319" s="23" t="str">
        <f>HYPERLINK("https://www.spark-marketing.ru/Card/Lot/73647778", "Прочая закупка товаров, работ и услуг. Поставка продуктов питания: молока сотрудникам, занятым на работах с вредными условиями труда")</f>
        <v>Прочая закупка товаров, работ и услуг. Поставка продуктов питания: молока сотрудникам, занятым на работах с вредными условиями труда</v>
      </c>
      <c r="G2319" s="22" t="s">
        <v>217</v>
      </c>
      <c r="H2319" s="22" t="s">
        <v>937</v>
      </c>
      <c r="I2319" s="26">
        <v>43727.609027777798</v>
      </c>
      <c r="J2319" s="23" t="str">
        <f>HYPERLINK("https://www.spark-marketing.ru/Card/Person/5771746", "ООО ""МОЛЭКСПРЕСС""")</f>
        <v>ООО "МОЛЭКСПРЕСС"</v>
      </c>
      <c r="K2319" s="24" t="s">
        <v>4259</v>
      </c>
      <c r="L2319" s="28" t="s">
        <v>51</v>
      </c>
      <c r="M2319" s="25">
        <v>195979.4</v>
      </c>
      <c r="N2319" s="27">
        <v>0.43768185802556808</v>
      </c>
    </row>
    <row r="2320" spans="1:14" ht="12.75" hidden="1" outlineLevel="1" x14ac:dyDescent="0.2">
      <c r="A2320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20" s="24" t="s">
        <v>1790</v>
      </c>
      <c r="C2320" s="25">
        <v>348520.5</v>
      </c>
      <c r="D2320" s="22" t="s">
        <v>4338</v>
      </c>
      <c r="E2320" s="22" t="s">
        <v>464</v>
      </c>
      <c r="F2320" s="23" t="str">
        <f>HYPERLINK("https://www.spark-marketing.ru/Card/Lot/73647778", "Прочая закупка товаров, работ и услуг. Поставка продуктов питания: молока сотрудникам, занятым на работах с вредными условиями труда")</f>
        <v>Прочая закупка товаров, работ и услуг. Поставка продуктов питания: молока сотрудникам, занятым на работах с вредными условиями труда</v>
      </c>
      <c r="G2320" s="22" t="s">
        <v>217</v>
      </c>
      <c r="H2320" s="22" t="s">
        <v>937</v>
      </c>
      <c r="I2320" s="26">
        <v>43727.609027777798</v>
      </c>
      <c r="J2320" s="23" t="str">
        <f>HYPERLINK("https://www.spark-marketing.ru/Card/Person/5901724", "ООО ""БМК""")</f>
        <v>ООО "БМК"</v>
      </c>
      <c r="K2320" s="24" t="s">
        <v>4286</v>
      </c>
      <c r="L2320" s="22" t="s">
        <v>10</v>
      </c>
      <c r="M2320" s="25">
        <v>194236.79999999999</v>
      </c>
      <c r="N2320" s="27">
        <v>0.44268185085238887</v>
      </c>
    </row>
    <row r="2321" spans="1:14" hidden="1" outlineLevel="1" x14ac:dyDescent="0.2">
      <c r="A2321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21" s="24" t="s">
        <v>1790</v>
      </c>
      <c r="C2321" s="25">
        <v>348520.5</v>
      </c>
      <c r="D2321" s="22" t="s">
        <v>4338</v>
      </c>
      <c r="E2321" s="22" t="s">
        <v>464</v>
      </c>
      <c r="F2321" s="23" t="str">
        <f>HYPERLINK("https://www.spark-marketing.ru/Card/Lot/73647778", "Прочая закупка товаров, работ и услуг. Поставка продуктов питания: молока сотрудникам, занятым на работах с вредными условиями труда")</f>
        <v>Прочая закупка товаров, работ и услуг. Поставка продуктов питания: молока сотрудникам, занятым на работах с вредными условиями труда</v>
      </c>
      <c r="G2321" s="22" t="s">
        <v>217</v>
      </c>
      <c r="H2321" s="22" t="s">
        <v>937</v>
      </c>
      <c r="I2321" s="26">
        <v>43727.609027777798</v>
      </c>
      <c r="J2321" s="23" t="str">
        <f>HYPERLINK("https://www.spark-marketing.ru/Card/Person/377315", "АО ""ЗМК""")</f>
        <v>АО "ЗМК"</v>
      </c>
      <c r="K2321" s="24" t="s">
        <v>4339</v>
      </c>
      <c r="L2321" s="28" t="s">
        <v>51</v>
      </c>
      <c r="M2321" s="25">
        <v>229088.8</v>
      </c>
      <c r="N2321" s="27">
        <v>0.34268199431597279</v>
      </c>
    </row>
    <row r="2322" spans="1:14" x14ac:dyDescent="0.15">
      <c r="A2322" s="23" t="str">
        <f>HYPERLINK("https://www.spark-marketing.ru/Card/Person/4341", "ГУ-КИРОВСКОЕ РО ФОНДА СОЦИАЛЬНОГО СТРАХОВАНИЯ РОССИЙСКОЙ ФЕДЕРАЦИИ")</f>
        <v>ГУ-КИРОВСКОЕ РО ФОНДА СОЦИАЛЬНОГО СТРАХОВАНИЯ РОССИЙСКОЙ ФЕДЕРАЦИИ</v>
      </c>
      <c r="B2322" s="24" t="s">
        <v>4330</v>
      </c>
      <c r="C2322" s="25">
        <v>2117853.36</v>
      </c>
      <c r="D2322" s="22" t="s">
        <v>4340</v>
      </c>
      <c r="E2322" s="22" t="s">
        <v>86</v>
      </c>
      <c r="F2322" s="23" t="str">
        <f>HYPERLINK("https://www.spark-marketing.ru/Card/Lot/73651164", "Оказание услуг по санаторно-курортному лечению граждан-получателей государственной социальной помощи в виде набора социальных услуг, в том числе для детей-инвалидов и сопровождающих лиц, по профилям заболеваний: болезни системы кровообращения, болезн...")</f>
        <v>Оказание услуг по санаторно-курортному лечению граждан-получателей государственной социальной помощи в виде набора социальных услуг, в том числе для детей-инвалидов и сопровождающих лиц, по профилям заболеваний: болезни системы кровообращения, болезн...</v>
      </c>
      <c r="G2322" s="22" t="s">
        <v>224</v>
      </c>
      <c r="H2322" s="22" t="s">
        <v>225</v>
      </c>
      <c r="I2322" s="26">
        <v>43727.615277777797</v>
      </c>
      <c r="J2322" s="23" t="str">
        <f>HYPERLINK("https://www.spark-marketing.ru/Card/Person/101297", "АО ""САНАТОРИЙ ""МИТИНО""")</f>
        <v>АО "САНАТОРИЙ "МИТИНО"</v>
      </c>
      <c r="K2322" s="24" t="s">
        <v>4341</v>
      </c>
      <c r="L2322" s="22" t="s">
        <v>10</v>
      </c>
      <c r="M2322" s="28" t="s">
        <v>51</v>
      </c>
      <c r="N2322" s="28" t="s">
        <v>51</v>
      </c>
    </row>
    <row r="2323" spans="1:14" x14ac:dyDescent="0.15">
      <c r="A2323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23" s="24" t="s">
        <v>1790</v>
      </c>
      <c r="C2323" s="25">
        <v>127507.5</v>
      </c>
      <c r="D2323" s="22" t="s">
        <v>4342</v>
      </c>
      <c r="E2323" s="22" t="s">
        <v>464</v>
      </c>
      <c r="F2323" s="23" t="str">
        <f>HYPERLINK("https://www.spark-marketing.ru/Card/Lot/73642412", "Прочая закупка товаров, работ и услуг. Поставка продуктов питания: молока для сотрудников занятым на работах с вредными условиями труда (дислокация г. набережные Челны)")</f>
        <v>Прочая закупка товаров, работ и услуг. Поставка продуктов питания: молока для сотрудников занятым на работах с вредными условиями труда (дислокация г. набережные Челны)</v>
      </c>
      <c r="G2323" s="22" t="s">
        <v>217</v>
      </c>
      <c r="H2323" s="22" t="s">
        <v>1998</v>
      </c>
      <c r="I2323" s="26">
        <v>43727.611111111102</v>
      </c>
      <c r="J2323" s="28" t="s">
        <v>51</v>
      </c>
      <c r="K2323" s="28" t="s">
        <v>51</v>
      </c>
      <c r="L2323" s="28" t="s">
        <v>51</v>
      </c>
      <c r="M2323" s="28" t="s">
        <v>51</v>
      </c>
      <c r="N2323" s="28" t="s">
        <v>51</v>
      </c>
    </row>
    <row r="2324" spans="1:14" ht="12.75" hidden="1" outlineLevel="1" x14ac:dyDescent="0.2">
      <c r="A2324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24" s="24" t="s">
        <v>1790</v>
      </c>
      <c r="C2324" s="25">
        <v>127507.5</v>
      </c>
      <c r="D2324" s="22" t="s">
        <v>4342</v>
      </c>
      <c r="E2324" s="22" t="s">
        <v>464</v>
      </c>
      <c r="F2324" s="23" t="str">
        <f>HYPERLINK("https://www.spark-marketing.ru/Card/Lot/73642412", "Прочая закупка товаров, работ и услуг. Поставка продуктов питания: молока для сотрудников занятым на работах с вредными условиями труда (дислокация г. набережные Челны)")</f>
        <v>Прочая закупка товаров, работ и услуг. Поставка продуктов питания: молока для сотрудников занятым на работах с вредными условиями труда (дислокация г. набережные Челны)</v>
      </c>
      <c r="G2324" s="22" t="s">
        <v>217</v>
      </c>
      <c r="H2324" s="22" t="s">
        <v>1998</v>
      </c>
      <c r="I2324" s="26">
        <v>43727.611111111102</v>
      </c>
      <c r="J2324" s="23" t="str">
        <f>HYPERLINK("https://www.spark-marketing.ru/Card/Person/5901724", "ООО ""БМК""")</f>
        <v>ООО "БМК"</v>
      </c>
      <c r="K2324" s="24" t="s">
        <v>4286</v>
      </c>
      <c r="L2324" s="22" t="s">
        <v>10</v>
      </c>
      <c r="M2324" s="25">
        <v>73587.38</v>
      </c>
      <c r="N2324" s="27">
        <v>0.42287802678273828</v>
      </c>
    </row>
    <row r="2325" spans="1:14" hidden="1" outlineLevel="1" x14ac:dyDescent="0.2">
      <c r="A2325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25" s="24" t="s">
        <v>1790</v>
      </c>
      <c r="C2325" s="25">
        <v>127507.5</v>
      </c>
      <c r="D2325" s="22" t="s">
        <v>4342</v>
      </c>
      <c r="E2325" s="22" t="s">
        <v>464</v>
      </c>
      <c r="F2325" s="23" t="str">
        <f>HYPERLINK("https://www.spark-marketing.ru/Card/Lot/73642412", "Прочая закупка товаров, работ и услуг. Поставка продуктов питания: молока для сотрудников занятым на работах с вредными условиями труда (дислокация г. набережные Челны)")</f>
        <v>Прочая закупка товаров, работ и услуг. Поставка продуктов питания: молока для сотрудников занятым на работах с вредными условиями труда (дислокация г. набережные Челны)</v>
      </c>
      <c r="G2325" s="22" t="s">
        <v>217</v>
      </c>
      <c r="H2325" s="22" t="s">
        <v>1998</v>
      </c>
      <c r="I2325" s="26">
        <v>43727.611111111102</v>
      </c>
      <c r="J2325" s="23" t="str">
        <f>HYPERLINK("https://www.spark-marketing.ru/Card/Person/377315", "АО ""ЗМК""")</f>
        <v>АО "ЗМК"</v>
      </c>
      <c r="K2325" s="24" t="s">
        <v>4339</v>
      </c>
      <c r="L2325" s="28" t="s">
        <v>51</v>
      </c>
      <c r="M2325" s="25">
        <v>86705.1</v>
      </c>
      <c r="N2325" s="27">
        <v>0.32</v>
      </c>
    </row>
    <row r="2326" spans="1:14" hidden="1" outlineLevel="1" x14ac:dyDescent="0.2">
      <c r="A2326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26" s="24" t="s">
        <v>1790</v>
      </c>
      <c r="C2326" s="25">
        <v>127507.5</v>
      </c>
      <c r="D2326" s="22" t="s">
        <v>4342</v>
      </c>
      <c r="E2326" s="22" t="s">
        <v>464</v>
      </c>
      <c r="F2326" s="23" t="str">
        <f>HYPERLINK("https://www.spark-marketing.ru/Card/Lot/73642412", "Прочая закупка товаров, работ и услуг. Поставка продуктов питания: молока для сотрудников занятым на работах с вредными условиями труда (дислокация г. набережные Челны)")</f>
        <v>Прочая закупка товаров, работ и услуг. Поставка продуктов питания: молока для сотрудников занятым на работах с вредными условиями труда (дислокация г. набережные Челны)</v>
      </c>
      <c r="G2326" s="22" t="s">
        <v>217</v>
      </c>
      <c r="H2326" s="22" t="s">
        <v>1998</v>
      </c>
      <c r="I2326" s="26">
        <v>43727.611111111102</v>
      </c>
      <c r="J2326" s="23" t="str">
        <f>HYPERLINK("https://www.spark-marketing.ru/Card/Person/5771746", "ООО ""МОЛЭКСПРЕСС""")</f>
        <v>ООО "МОЛЭКСПРЕСС"</v>
      </c>
      <c r="K2326" s="24" t="s">
        <v>4259</v>
      </c>
      <c r="L2326" s="28" t="s">
        <v>51</v>
      </c>
      <c r="M2326" s="25">
        <v>74224.92</v>
      </c>
      <c r="N2326" s="27">
        <v>0.41787800717604845</v>
      </c>
    </row>
    <row r="2327" spans="1:14" x14ac:dyDescent="0.15">
      <c r="A2327" s="23" t="str">
        <f>HYPERLINK("https://www.spark-marketing.ru/Card/Person/84345", "МБДОУ ""ДЕТСКИЙ САД № 5 КОМБИНИРОВАННОГО ВИДА""")</f>
        <v>МБДОУ "ДЕТСКИЙ САД № 5 КОМБИНИРОВАННОГО ВИДА"</v>
      </c>
      <c r="B2327" s="24" t="s">
        <v>4343</v>
      </c>
      <c r="C2327" s="25">
        <v>20749644</v>
      </c>
      <c r="D2327" s="22" t="s">
        <v>4344</v>
      </c>
      <c r="E2327" s="22" t="s">
        <v>48</v>
      </c>
      <c r="F2327" s="23" t="str">
        <f>HYPERLINK("https://www.spark-marketing.ru/Card/Lot/73651544",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327" s="22" t="s">
        <v>49</v>
      </c>
      <c r="H2327" s="22" t="s">
        <v>2495</v>
      </c>
      <c r="I2327" s="26">
        <v>43727.621898148202</v>
      </c>
      <c r="J2327" s="28" t="s">
        <v>51</v>
      </c>
      <c r="K2327" s="28" t="s">
        <v>51</v>
      </c>
      <c r="L2327" s="28" t="s">
        <v>51</v>
      </c>
      <c r="M2327" s="28" t="s">
        <v>51</v>
      </c>
      <c r="N2327" s="28" t="s">
        <v>51</v>
      </c>
    </row>
    <row r="2328" spans="1:14" x14ac:dyDescent="0.15">
      <c r="A2328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28" s="24" t="s">
        <v>1790</v>
      </c>
      <c r="C2328" s="25">
        <v>52920</v>
      </c>
      <c r="D2328" s="22" t="s">
        <v>4345</v>
      </c>
      <c r="E2328" s="22" t="s">
        <v>51</v>
      </c>
      <c r="F2328" s="23" t="str">
        <f>HYPERLINK("https://www.spark-marketing.ru/Card/Lot/73644708", "Прочая закупка товаров, работ и услуг. Поставка продуктов питания: сока для сотрудников занятым на работах с вредными условиями труда")</f>
        <v>Прочая закупка товаров, работ и услуг. Поставка продуктов питания: сока для сотрудников занятым на работах с вредными условиями труда</v>
      </c>
      <c r="G2328" s="22" t="s">
        <v>217</v>
      </c>
      <c r="H2328" s="22" t="s">
        <v>937</v>
      </c>
      <c r="I2328" s="26">
        <v>43727.620833333298</v>
      </c>
      <c r="J2328" s="28" t="s">
        <v>51</v>
      </c>
      <c r="K2328" s="28" t="s">
        <v>51</v>
      </c>
      <c r="L2328" s="28" t="s">
        <v>51</v>
      </c>
      <c r="M2328" s="28" t="s">
        <v>51</v>
      </c>
      <c r="N2328" s="28" t="s">
        <v>51</v>
      </c>
    </row>
    <row r="2329" spans="1:14" hidden="1" outlineLevel="1" x14ac:dyDescent="0.2">
      <c r="A2329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29" s="24" t="s">
        <v>1790</v>
      </c>
      <c r="C2329" s="25">
        <v>52920</v>
      </c>
      <c r="D2329" s="22" t="s">
        <v>4345</v>
      </c>
      <c r="E2329" s="22" t="s">
        <v>51</v>
      </c>
      <c r="F2329" s="23" t="str">
        <f>HYPERLINK("https://www.spark-marketing.ru/Card/Lot/73644708", "Прочая закупка товаров, работ и услуг. Поставка продуктов питания: сока для сотрудников занятым на работах с вредными условиями труда")</f>
        <v>Прочая закупка товаров, работ и услуг. Поставка продуктов питания: сока для сотрудников занятым на работах с вредными условиями труда</v>
      </c>
      <c r="G2329" s="22" t="s">
        <v>217</v>
      </c>
      <c r="H2329" s="22" t="s">
        <v>937</v>
      </c>
      <c r="I2329" s="26">
        <v>43727.620833333298</v>
      </c>
      <c r="J2329" s="23" t="str">
        <f>HYPERLINK("https://www.spark-marketing.ru/Card/Person/92078", "ООО ""ТД ""ЯГОДНАЯ СЛОБОДА""")</f>
        <v>ООО "ТД "ЯГОДНАЯ СЛОБОДА"</v>
      </c>
      <c r="K2329" s="24" t="s">
        <v>4346</v>
      </c>
      <c r="L2329" s="28" t="s">
        <v>51</v>
      </c>
      <c r="M2329" s="25">
        <v>41542.199999999997</v>
      </c>
      <c r="N2329" s="27">
        <v>0.215</v>
      </c>
    </row>
    <row r="2330" spans="1:14" ht="12.75" hidden="1" outlineLevel="1" x14ac:dyDescent="0.2">
      <c r="A2330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30" s="24" t="s">
        <v>1790</v>
      </c>
      <c r="C2330" s="25">
        <v>52920</v>
      </c>
      <c r="D2330" s="22" t="s">
        <v>4345</v>
      </c>
      <c r="E2330" s="22" t="s">
        <v>51</v>
      </c>
      <c r="F2330" s="23" t="str">
        <f>HYPERLINK("https://www.spark-marketing.ru/Card/Lot/73644708", "Прочая закупка товаров, работ и услуг. Поставка продуктов питания: сока для сотрудников занятым на работах с вредными условиями труда")</f>
        <v>Прочая закупка товаров, работ и услуг. Поставка продуктов питания: сока для сотрудников занятым на работах с вредными условиями труда</v>
      </c>
      <c r="G2330" s="22" t="s">
        <v>217</v>
      </c>
      <c r="H2330" s="22" t="s">
        <v>937</v>
      </c>
      <c r="I2330" s="26">
        <v>43727.620833333298</v>
      </c>
      <c r="J2330" s="23" t="str">
        <f>HYPERLINK("https://www.spark-marketing.ru/Card/Person/5785272", "ООО ""МСК ГРУПП""")</f>
        <v>ООО "МСК ГРУПП"</v>
      </c>
      <c r="K2330" s="24" t="s">
        <v>4260</v>
      </c>
      <c r="L2330" s="22" t="s">
        <v>10</v>
      </c>
      <c r="M2330" s="25">
        <v>38896.199999999997</v>
      </c>
      <c r="N2330" s="27">
        <v>0.26500000000000001</v>
      </c>
    </row>
    <row r="2331" spans="1:14" x14ac:dyDescent="0.15">
      <c r="A2331" s="23" t="str">
        <f>HYPERLINK("https://www.spark-marketing.ru/Card/Person/124941", "МО МВД РОССИИ ""ИШИМСКИЙ""")</f>
        <v>МО МВД РОССИИ "ИШИМСКИЙ"</v>
      </c>
      <c r="B2331" s="24" t="s">
        <v>4347</v>
      </c>
      <c r="C2331" s="25">
        <v>195230.49</v>
      </c>
      <c r="D2331" s="22" t="s">
        <v>4348</v>
      </c>
      <c r="E2331" s="22" t="s">
        <v>48</v>
      </c>
      <c r="F2331" s="23" t="str">
        <f>HYPERLINK("https://www.spark-marketing.ru/Card/Lot/73645232", "Оказание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административно арестованных лиц, содержащихся в Специальной части ИВС и лиц, содержащихся в Специал...")</f>
        <v>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административно арестованных лиц, содержащихся в Специальной части ИВС и лиц, содержащихся в Специал...</v>
      </c>
      <c r="G2331" s="22" t="s">
        <v>766</v>
      </c>
      <c r="H2331" s="22" t="s">
        <v>4349</v>
      </c>
      <c r="I2331" s="26">
        <v>43727.593055555597</v>
      </c>
      <c r="J2331" s="28" t="s">
        <v>51</v>
      </c>
      <c r="K2331" s="28" t="s">
        <v>51</v>
      </c>
      <c r="L2331" s="28" t="s">
        <v>51</v>
      </c>
      <c r="M2331" s="28" t="s">
        <v>51</v>
      </c>
      <c r="N2331" s="28" t="s">
        <v>51</v>
      </c>
    </row>
    <row r="2332" spans="1:14" ht="12.75" hidden="1" outlineLevel="1" x14ac:dyDescent="0.2">
      <c r="A2332" s="23" t="str">
        <f>HYPERLINK("https://www.spark-marketing.ru/Card/Person/124941", "МО МВД РОССИИ ""ИШИМСКИЙ""")</f>
        <v>МО МВД РОССИИ "ИШИМСКИЙ"</v>
      </c>
      <c r="B2332" s="24" t="s">
        <v>4347</v>
      </c>
      <c r="C2332" s="25">
        <v>195230.49</v>
      </c>
      <c r="D2332" s="22" t="s">
        <v>4348</v>
      </c>
      <c r="E2332" s="22" t="s">
        <v>48</v>
      </c>
      <c r="F2332" s="23" t="str">
        <f>HYPERLINK("https://www.spark-marketing.ru/Card/Lot/73645232", "Оказание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административно арестованных лиц, содержащихся в Специальной части ИВС и лиц, содержащихся в Специал...")</f>
        <v>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административно арестованных лиц, содержащихся в Специальной части ИВС и лиц, содержащихся в Специал...</v>
      </c>
      <c r="G2332" s="22" t="s">
        <v>766</v>
      </c>
      <c r="H2332" s="22" t="s">
        <v>4349</v>
      </c>
      <c r="I2332" s="26">
        <v>43727.593055555597</v>
      </c>
      <c r="J2332" s="23" t="str">
        <f>HYPERLINK("https://www.spark-marketing.ru/Card/Person/864936", "Архипов Сергей Александрович")</f>
        <v>Архипов Сергей Александрович</v>
      </c>
      <c r="K2332" s="24" t="s">
        <v>4350</v>
      </c>
      <c r="L2332" s="22" t="s">
        <v>10</v>
      </c>
      <c r="M2332" s="25">
        <v>182540.52</v>
      </c>
      <c r="N2332" s="27">
        <v>6.499993930251366E-2</v>
      </c>
    </row>
    <row r="2333" spans="1:14" hidden="1" outlineLevel="1" x14ac:dyDescent="0.2">
      <c r="A2333" s="23" t="str">
        <f>HYPERLINK("https://www.spark-marketing.ru/Card/Person/124941", "МО МВД РОССИИ ""ИШИМСКИЙ""")</f>
        <v>МО МВД РОССИИ "ИШИМСКИЙ"</v>
      </c>
      <c r="B2333" s="24" t="s">
        <v>4347</v>
      </c>
      <c r="C2333" s="25">
        <v>195230.49</v>
      </c>
      <c r="D2333" s="22" t="s">
        <v>4348</v>
      </c>
      <c r="E2333" s="22" t="s">
        <v>48</v>
      </c>
      <c r="F2333" s="23" t="str">
        <f>HYPERLINK("https://www.spark-marketing.ru/Card/Lot/73645232", "Оказание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административно арестованных лиц, содержащихся в Специальной части ИВС и лиц, содержащихся в Специал...")</f>
        <v>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административно арестованных лиц, содержащихся в Специальной части ИВС и лиц, содержащихся в Специал...</v>
      </c>
      <c r="G2333" s="22" t="s">
        <v>766</v>
      </c>
      <c r="H2333" s="22" t="s">
        <v>4349</v>
      </c>
      <c r="I2333" s="26">
        <v>43727.593055555597</v>
      </c>
      <c r="J2333" s="23" t="str">
        <f>HYPERLINK("https://www.spark-marketing.ru/Card/Person/858618", "Гончаров Александр Николаевич")</f>
        <v>Гончаров Александр Николаевич</v>
      </c>
      <c r="K2333" s="24" t="s">
        <v>4351</v>
      </c>
      <c r="L2333" s="28" t="s">
        <v>51</v>
      </c>
      <c r="M2333" s="25">
        <v>183516.67</v>
      </c>
      <c r="N2333" s="27">
        <v>5.9999951851782987E-2</v>
      </c>
    </row>
    <row r="2334" spans="1:14" x14ac:dyDescent="0.15">
      <c r="A2334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34" s="24" t="s">
        <v>1790</v>
      </c>
      <c r="C2334" s="25">
        <v>272248.02</v>
      </c>
      <c r="D2334" s="22" t="s">
        <v>4352</v>
      </c>
      <c r="E2334" s="22" t="s">
        <v>464</v>
      </c>
      <c r="F2334" s="23" t="str">
        <f>HYPERLINK("https://www.spark-marketing.ru/Card/Lot/73644227", "Прочая закупка товаров, работ и услуг. Поставка продуктов питания: молочной продукции для сотрудников занятым на работах с вредными условиями труда")</f>
        <v>Прочая закупка товаров, работ и услуг. Поставка продуктов питания: молочной продукции для сотрудников занятым на работах с вредными условиями труда</v>
      </c>
      <c r="G2334" s="22" t="s">
        <v>217</v>
      </c>
      <c r="H2334" s="22" t="s">
        <v>937</v>
      </c>
      <c r="I2334" s="26">
        <v>43727.619444444397</v>
      </c>
      <c r="J2334" s="28" t="s">
        <v>51</v>
      </c>
      <c r="K2334" s="28" t="s">
        <v>51</v>
      </c>
      <c r="L2334" s="28" t="s">
        <v>51</v>
      </c>
      <c r="M2334" s="28" t="s">
        <v>51</v>
      </c>
      <c r="N2334" s="28" t="s">
        <v>51</v>
      </c>
    </row>
    <row r="2335" spans="1:14" hidden="1" outlineLevel="1" x14ac:dyDescent="0.2">
      <c r="A2335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35" s="24" t="s">
        <v>1790</v>
      </c>
      <c r="C2335" s="25">
        <v>272248.02</v>
      </c>
      <c r="D2335" s="22" t="s">
        <v>4352</v>
      </c>
      <c r="E2335" s="22" t="s">
        <v>464</v>
      </c>
      <c r="F2335" s="23" t="str">
        <f>HYPERLINK("https://www.spark-marketing.ru/Card/Lot/73644227", "Прочая закупка товаров, работ и услуг. Поставка продуктов питания: молочной продукции для сотрудников занятым на работах с вредными условиями труда")</f>
        <v>Прочая закупка товаров, работ и услуг. Поставка продуктов питания: молочной продукции для сотрудников занятым на работах с вредными условиями труда</v>
      </c>
      <c r="G2335" s="22" t="s">
        <v>217</v>
      </c>
      <c r="H2335" s="22" t="s">
        <v>937</v>
      </c>
      <c r="I2335" s="26">
        <v>43727.619444444397</v>
      </c>
      <c r="J2335" s="23" t="str">
        <f>HYPERLINK("https://www.spark-marketing.ru/Card/Person/74486", "ОАО ""МИЛКОМ""")</f>
        <v>ОАО "МИЛКОМ"</v>
      </c>
      <c r="K2335" s="24" t="s">
        <v>4258</v>
      </c>
      <c r="L2335" s="28" t="s">
        <v>51</v>
      </c>
      <c r="M2335" s="25">
        <v>219156</v>
      </c>
      <c r="N2335" s="27">
        <v>0.19501342929876955</v>
      </c>
    </row>
    <row r="2336" spans="1:14" ht="12.75" hidden="1" outlineLevel="1" x14ac:dyDescent="0.2">
      <c r="A2336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36" s="24" t="s">
        <v>1790</v>
      </c>
      <c r="C2336" s="25">
        <v>272248.02</v>
      </c>
      <c r="D2336" s="22" t="s">
        <v>4352</v>
      </c>
      <c r="E2336" s="22" t="s">
        <v>464</v>
      </c>
      <c r="F2336" s="23" t="str">
        <f>HYPERLINK("https://www.spark-marketing.ru/Card/Lot/73644227", "Прочая закупка товаров, работ и услуг. Поставка продуктов питания: молочной продукции для сотрудников занятым на работах с вредными условиями труда")</f>
        <v>Прочая закупка товаров, работ и услуг. Поставка продуктов питания: молочной продукции для сотрудников занятым на работах с вредными условиями труда</v>
      </c>
      <c r="G2336" s="22" t="s">
        <v>217</v>
      </c>
      <c r="H2336" s="22" t="s">
        <v>937</v>
      </c>
      <c r="I2336" s="26">
        <v>43727.619444444397</v>
      </c>
      <c r="J2336" s="23" t="str">
        <f>HYPERLINK("https://www.spark-marketing.ru/Card/Person/377315", "АО ""ЗМК""")</f>
        <v>АО "ЗМК"</v>
      </c>
      <c r="K2336" s="24" t="s">
        <v>4339</v>
      </c>
      <c r="L2336" s="22" t="s">
        <v>10</v>
      </c>
      <c r="M2336" s="25">
        <v>206908.49</v>
      </c>
      <c r="N2336" s="27">
        <v>0.24000001910023075</v>
      </c>
    </row>
    <row r="2337" spans="1:14" hidden="1" outlineLevel="1" x14ac:dyDescent="0.2">
      <c r="A2337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37" s="24" t="s">
        <v>1790</v>
      </c>
      <c r="C2337" s="25">
        <v>272248.02</v>
      </c>
      <c r="D2337" s="22" t="s">
        <v>4352</v>
      </c>
      <c r="E2337" s="22" t="s">
        <v>464</v>
      </c>
      <c r="F2337" s="23" t="str">
        <f>HYPERLINK("https://www.spark-marketing.ru/Card/Lot/73644227", "Прочая закупка товаров, работ и услуг. Поставка продуктов питания: молочной продукции для сотрудников занятым на работах с вредными условиями труда")</f>
        <v>Прочая закупка товаров, работ и услуг. Поставка продуктов питания: молочной продукции для сотрудников занятым на работах с вредными условиями труда</v>
      </c>
      <c r="G2337" s="22" t="s">
        <v>217</v>
      </c>
      <c r="H2337" s="22" t="s">
        <v>937</v>
      </c>
      <c r="I2337" s="26">
        <v>43727.619444444397</v>
      </c>
      <c r="J2337" s="23" t="str">
        <f>HYPERLINK("https://www.spark-marketing.ru/Card/Person/5785272", "ООО ""МСК ГРУПП""")</f>
        <v>ООО "МСК ГРУПП"</v>
      </c>
      <c r="K2337" s="24" t="s">
        <v>4260</v>
      </c>
      <c r="L2337" s="28" t="s">
        <v>51</v>
      </c>
      <c r="M2337" s="25">
        <v>208269.73</v>
      </c>
      <c r="N2337" s="27">
        <v>0.23500001946754287</v>
      </c>
    </row>
    <row r="2338" spans="1:14" x14ac:dyDescent="0.15">
      <c r="A2338" s="23" t="str">
        <f>HYPERLINK("https://www.spark-marketing.ru/Card/Person/812469", "ФКУ ""ЦУКС ГУ МЧС РОССИИ ПО УДМУРТСКОЙ РЕСПУБЛИКЕ""")</f>
        <v>ФКУ "ЦУКС ГУ МЧС РОССИИ ПО УДМУРТСКОЙ РЕСПУБЛИКЕ"</v>
      </c>
      <c r="B2338" s="24" t="s">
        <v>4353</v>
      </c>
      <c r="C2338" s="25">
        <v>547658.16</v>
      </c>
      <c r="D2338" s="22" t="s">
        <v>4354</v>
      </c>
      <c r="E2338" s="22" t="s">
        <v>48</v>
      </c>
      <c r="F2338" s="23" t="str">
        <f>HYPERLINK("https://www.spark-marketing.ru/Card/Lot/73648897", "Услуги по обеспечению питанием")</f>
        <v>Услуги по обеспечению питанием</v>
      </c>
      <c r="G2338" s="22" t="s">
        <v>852</v>
      </c>
      <c r="H2338" s="22" t="s">
        <v>2477</v>
      </c>
      <c r="I2338" s="26">
        <v>43727.620833333298</v>
      </c>
      <c r="J2338" s="28" t="s">
        <v>51</v>
      </c>
      <c r="K2338" s="28" t="s">
        <v>51</v>
      </c>
      <c r="L2338" s="28" t="s">
        <v>51</v>
      </c>
      <c r="M2338" s="28" t="s">
        <v>51</v>
      </c>
      <c r="N2338" s="28" t="s">
        <v>51</v>
      </c>
    </row>
    <row r="2339" spans="1:14" hidden="1" outlineLevel="1" x14ac:dyDescent="0.2">
      <c r="A2339" s="23" t="str">
        <f>HYPERLINK("https://www.spark-marketing.ru/Card/Person/812469", "ФКУ ""ЦУКС ГУ МЧС РОССИИ ПО УДМУРТСКОЙ РЕСПУБЛИКЕ""")</f>
        <v>ФКУ "ЦУКС ГУ МЧС РОССИИ ПО УДМУРТСКОЙ РЕСПУБЛИКЕ"</v>
      </c>
      <c r="B2339" s="24" t="s">
        <v>4353</v>
      </c>
      <c r="C2339" s="25">
        <v>547658.16</v>
      </c>
      <c r="D2339" s="22" t="s">
        <v>4354</v>
      </c>
      <c r="E2339" s="22" t="s">
        <v>48</v>
      </c>
      <c r="F2339" s="23" t="str">
        <f>HYPERLINK("https://www.spark-marketing.ru/Card/Lot/73648897", "Услуги по обеспечению питанием")</f>
        <v>Услуги по обеспечению питанием</v>
      </c>
      <c r="G2339" s="22" t="s">
        <v>852</v>
      </c>
      <c r="H2339" s="22" t="s">
        <v>2477</v>
      </c>
      <c r="I2339" s="26">
        <v>43727.620833333298</v>
      </c>
      <c r="J2339" s="23" t="str">
        <f>HYPERLINK("https://www.spark-marketing.ru/Card/Person/6479075", "ООО ""СК ПИР""")</f>
        <v>ООО "СК ПИР"</v>
      </c>
      <c r="K2339" s="24" t="s">
        <v>4355</v>
      </c>
      <c r="L2339" s="28" t="s">
        <v>51</v>
      </c>
      <c r="M2339" s="25">
        <v>435387.71</v>
      </c>
      <c r="N2339" s="27">
        <v>0.20500096264428891</v>
      </c>
    </row>
    <row r="2340" spans="1:14" ht="12.75" hidden="1" outlineLevel="1" x14ac:dyDescent="0.2">
      <c r="A2340" s="23" t="str">
        <f>HYPERLINK("https://www.spark-marketing.ru/Card/Person/812469", "ФКУ ""ЦУКС ГУ МЧС РОССИИ ПО УДМУРТСКОЙ РЕСПУБЛИКЕ""")</f>
        <v>ФКУ "ЦУКС ГУ МЧС РОССИИ ПО УДМУРТСКОЙ РЕСПУБЛИКЕ"</v>
      </c>
      <c r="B2340" s="24" t="s">
        <v>4353</v>
      </c>
      <c r="C2340" s="25">
        <v>547658.16</v>
      </c>
      <c r="D2340" s="22" t="s">
        <v>4354</v>
      </c>
      <c r="E2340" s="22" t="s">
        <v>48</v>
      </c>
      <c r="F2340" s="23" t="str">
        <f>HYPERLINK("https://www.spark-marketing.ru/Card/Lot/73648897", "Услуги по обеспечению питанием")</f>
        <v>Услуги по обеспечению питанием</v>
      </c>
      <c r="G2340" s="22" t="s">
        <v>852</v>
      </c>
      <c r="H2340" s="22" t="s">
        <v>2477</v>
      </c>
      <c r="I2340" s="26">
        <v>43727.620833333298</v>
      </c>
      <c r="J2340" s="23" t="str">
        <f>HYPERLINK("https://www.spark-marketing.ru/Card/Person/818589", "Дунаева Елена Евгеньевна")</f>
        <v>Дунаева Елена Евгеньевна</v>
      </c>
      <c r="K2340" s="24" t="s">
        <v>4356</v>
      </c>
      <c r="L2340" s="22" t="s">
        <v>10</v>
      </c>
      <c r="M2340" s="25">
        <v>410743</v>
      </c>
      <c r="N2340" s="27">
        <v>0.25000113209305602</v>
      </c>
    </row>
    <row r="2341" spans="1:14" x14ac:dyDescent="0.15">
      <c r="A2341" s="23" t="str">
        <f>HYPERLINK("https://www.spark-marketing.ru/Card/Person/4358567", "АО ""ТОМСКНИПИНЕФТЬ""")</f>
        <v>АО "ТОМСКНИПИНЕФТЬ"</v>
      </c>
      <c r="B2341" s="24" t="s">
        <v>4357</v>
      </c>
      <c r="C2341" s="28" t="s">
        <v>51</v>
      </c>
      <c r="D2341" s="22" t="s">
        <v>4358</v>
      </c>
      <c r="E2341" s="22" t="s">
        <v>362</v>
      </c>
      <c r="F2341" s="23" t="str">
        <f>HYPERLINK("https://www.spark-marketing.ru/Card/Lot/73987272", "Организация питания на культурно-массовом мероприятии День старшего поколения")</f>
        <v>Организация питания на культурно-массовом мероприятии День старшего поколения</v>
      </c>
      <c r="G2341" s="22" t="s">
        <v>149</v>
      </c>
      <c r="H2341" s="22" t="s">
        <v>496</v>
      </c>
      <c r="I2341" s="26">
        <v>43727.548611111102</v>
      </c>
      <c r="J2341" s="28" t="s">
        <v>51</v>
      </c>
      <c r="K2341" s="28" t="s">
        <v>51</v>
      </c>
      <c r="L2341" s="28" t="s">
        <v>51</v>
      </c>
      <c r="M2341" s="28" t="s">
        <v>51</v>
      </c>
      <c r="N2341" s="28" t="s">
        <v>51</v>
      </c>
    </row>
    <row r="2342" spans="1:14" x14ac:dyDescent="0.15">
      <c r="A2342" s="23" t="str">
        <f>HYPERLINK("https://www.spark-marketing.ru/Card/Person/84396", "МБДОУ ""ДЕТСКИЙ САД № 83 ""СВЕТЛЯЧОК""")</f>
        <v>МБДОУ "ДЕТСКИЙ САД № 83 "СВЕТЛЯЧОК"</v>
      </c>
      <c r="B2342" s="24" t="s">
        <v>4359</v>
      </c>
      <c r="C2342" s="25">
        <v>18833184</v>
      </c>
      <c r="D2342" s="22" t="s">
        <v>4360</v>
      </c>
      <c r="E2342" s="22" t="s">
        <v>48</v>
      </c>
      <c r="F2342" s="23" t="str">
        <f>HYPERLINK("https://www.spark-marketing.ru/Card/Lot/73651850",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342" s="22" t="s">
        <v>49</v>
      </c>
      <c r="H2342" s="22" t="s">
        <v>2508</v>
      </c>
      <c r="I2342" s="26">
        <v>43727.578495370399</v>
      </c>
      <c r="J2342" s="28" t="s">
        <v>51</v>
      </c>
      <c r="K2342" s="28" t="s">
        <v>51</v>
      </c>
      <c r="L2342" s="28" t="s">
        <v>51</v>
      </c>
      <c r="M2342" s="28" t="s">
        <v>51</v>
      </c>
      <c r="N2342" s="28" t="s">
        <v>51</v>
      </c>
    </row>
    <row r="2343" spans="1:14" x14ac:dyDescent="0.15">
      <c r="A2343" s="23" t="str">
        <f>HYPERLINK("https://www.spark-marketing.ru/Card/Person/948081", "МБОУ ""ШИЛИНСКАЯ СШ""")</f>
        <v>МБОУ "ШИЛИНСКАЯ СШ"</v>
      </c>
      <c r="B2343" s="24" t="s">
        <v>1324</v>
      </c>
      <c r="C2343" s="25">
        <v>737626.08</v>
      </c>
      <c r="D2343" s="22" t="s">
        <v>4361</v>
      </c>
      <c r="E2343" s="22" t="s">
        <v>51</v>
      </c>
      <c r="F2343" s="23" t="str">
        <f>HYPERLINK("https://www.spark-marketing.ru/Card/Lot/73632465", "Услуги по обеспечению питанием, осуществляемые по договору")</f>
        <v>Услуги по обеспечению питанием, осуществляемые по договору</v>
      </c>
      <c r="G2343" s="22" t="s">
        <v>281</v>
      </c>
      <c r="H2343" s="22" t="s">
        <v>1326</v>
      </c>
      <c r="I2343" s="26">
        <v>43727.568055555603</v>
      </c>
      <c r="J2343" s="23" t="str">
        <f>HYPERLINK("https://www.spark-marketing.ru/Card/Person/5853572", "Легрова Оксана Васильевна")</f>
        <v>Легрова Оксана Васильевна</v>
      </c>
      <c r="K2343" s="24" t="s">
        <v>1327</v>
      </c>
      <c r="L2343" s="22" t="s">
        <v>10</v>
      </c>
      <c r="M2343" s="28" t="s">
        <v>51</v>
      </c>
      <c r="N2343" s="28" t="s">
        <v>51</v>
      </c>
    </row>
    <row r="2344" spans="1:14" x14ac:dyDescent="0.15">
      <c r="A2344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44" s="24" t="s">
        <v>1790</v>
      </c>
      <c r="C2344" s="25">
        <v>50619.48</v>
      </c>
      <c r="D2344" s="22" t="s">
        <v>4362</v>
      </c>
      <c r="E2344" s="22" t="s">
        <v>51</v>
      </c>
      <c r="F2344" s="23" t="str">
        <f>HYPERLINK("https://www.spark-marketing.ru/Card/Lot/73641619", "Прочая закупка товаров, работ и услуг. Поставка продуктов питания: сока для сотрудников занятым на работах с вредными условиями труда")</f>
        <v>Прочая закупка товаров, работ и услуг. Поставка продуктов питания: сока для сотрудников занятым на работах с вредными условиями труда</v>
      </c>
      <c r="G2344" s="22" t="s">
        <v>217</v>
      </c>
      <c r="H2344" s="22" t="s">
        <v>937</v>
      </c>
      <c r="I2344" s="26">
        <v>43727.581250000003</v>
      </c>
      <c r="J2344" s="28" t="s">
        <v>51</v>
      </c>
      <c r="K2344" s="28" t="s">
        <v>51</v>
      </c>
      <c r="L2344" s="28" t="s">
        <v>51</v>
      </c>
      <c r="M2344" s="28" t="s">
        <v>51</v>
      </c>
      <c r="N2344" s="28" t="s">
        <v>51</v>
      </c>
    </row>
    <row r="2345" spans="1:14" hidden="1" outlineLevel="1" x14ac:dyDescent="0.2">
      <c r="A2345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45" s="24" t="s">
        <v>1790</v>
      </c>
      <c r="C2345" s="25">
        <v>50619.48</v>
      </c>
      <c r="D2345" s="22" t="s">
        <v>4362</v>
      </c>
      <c r="E2345" s="22" t="s">
        <v>51</v>
      </c>
      <c r="F2345" s="23" t="str">
        <f>HYPERLINK("https://www.spark-marketing.ru/Card/Lot/73641619", "Прочая закупка товаров, работ и услуг. Поставка продуктов питания: сока для сотрудников занятым на работах с вредными условиями труда")</f>
        <v>Прочая закупка товаров, работ и услуг. Поставка продуктов питания: сока для сотрудников занятым на работах с вредными условиями труда</v>
      </c>
      <c r="G2345" s="22" t="s">
        <v>217</v>
      </c>
      <c r="H2345" s="22" t="s">
        <v>937</v>
      </c>
      <c r="I2345" s="26">
        <v>43727.581250000003</v>
      </c>
      <c r="J2345" s="23" t="str">
        <f>HYPERLINK("https://www.spark-marketing.ru/Card/Person/92078", "ООО ""ТД ""ЯГОДНАЯ СЛОБОДА""")</f>
        <v>ООО "ТД "ЯГОДНАЯ СЛОБОДА"</v>
      </c>
      <c r="K2345" s="24" t="s">
        <v>4346</v>
      </c>
      <c r="L2345" s="28" t="s">
        <v>51</v>
      </c>
      <c r="M2345" s="25">
        <v>46823.01</v>
      </c>
      <c r="N2345" s="27">
        <v>7.5000177797164252E-2</v>
      </c>
    </row>
    <row r="2346" spans="1:14" ht="12.75" hidden="1" outlineLevel="1" x14ac:dyDescent="0.2">
      <c r="A2346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46" s="24" t="s">
        <v>1790</v>
      </c>
      <c r="C2346" s="25">
        <v>50619.48</v>
      </c>
      <c r="D2346" s="22" t="s">
        <v>4362</v>
      </c>
      <c r="E2346" s="22" t="s">
        <v>51</v>
      </c>
      <c r="F2346" s="23" t="str">
        <f>HYPERLINK("https://www.spark-marketing.ru/Card/Lot/73641619", "Прочая закупка товаров, работ и услуг. Поставка продуктов питания: сока для сотрудников занятым на работах с вредными условиями труда")</f>
        <v>Прочая закупка товаров, работ и услуг. Поставка продуктов питания: сока для сотрудников занятым на работах с вредными условиями труда</v>
      </c>
      <c r="G2346" s="22" t="s">
        <v>217</v>
      </c>
      <c r="H2346" s="22" t="s">
        <v>937</v>
      </c>
      <c r="I2346" s="26">
        <v>43727.581250000003</v>
      </c>
      <c r="J2346" s="23" t="str">
        <f>HYPERLINK("https://www.spark-marketing.ru/Card/Person/6438279", "ООО ""ПЕРСОНАЛ-СЕРВИС""")</f>
        <v>ООО "ПЕРСОНАЛ-СЕРВИС"</v>
      </c>
      <c r="K2346" s="24" t="s">
        <v>4363</v>
      </c>
      <c r="L2346" s="22" t="s">
        <v>10</v>
      </c>
      <c r="M2346" s="25">
        <v>34927.4</v>
      </c>
      <c r="N2346" s="27">
        <v>0.31000081391590745</v>
      </c>
    </row>
    <row r="2347" spans="1:14" hidden="1" outlineLevel="1" x14ac:dyDescent="0.2">
      <c r="A2347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347" s="24" t="s">
        <v>1790</v>
      </c>
      <c r="C2347" s="25">
        <v>50619.48</v>
      </c>
      <c r="D2347" s="22" t="s">
        <v>4362</v>
      </c>
      <c r="E2347" s="22" t="s">
        <v>51</v>
      </c>
      <c r="F2347" s="23" t="str">
        <f>HYPERLINK("https://www.spark-marketing.ru/Card/Lot/73641619", "Прочая закупка товаров, работ и услуг. Поставка продуктов питания: сока для сотрудников занятым на работах с вредными условиями труда")</f>
        <v>Прочая закупка товаров, работ и услуг. Поставка продуктов питания: сока для сотрудников занятым на работах с вредными условиями труда</v>
      </c>
      <c r="G2347" s="22" t="s">
        <v>217</v>
      </c>
      <c r="H2347" s="22" t="s">
        <v>937</v>
      </c>
      <c r="I2347" s="26">
        <v>43727.581250000003</v>
      </c>
      <c r="J2347" s="23" t="str">
        <f>HYPERLINK("https://www.spark-marketing.ru/Card/Person/5785272", "ООО ""МСК ГРУПП""")</f>
        <v>ООО "МСК ГРУПП"</v>
      </c>
      <c r="K2347" s="24" t="s">
        <v>4260</v>
      </c>
      <c r="L2347" s="28" t="s">
        <v>51</v>
      </c>
      <c r="M2347" s="25">
        <v>35180.5</v>
      </c>
      <c r="N2347" s="27">
        <v>0.30500076255228226</v>
      </c>
    </row>
    <row r="2348" spans="1:14" x14ac:dyDescent="0.15">
      <c r="A2348" s="23" t="str">
        <f>HYPERLINK("https://www.spark-marketing.ru/Card/Person/59197", "МБДОУ ""ДЕТСКИЙ САД № 97 ""СОЛНЫШКО""")</f>
        <v>МБДОУ "ДЕТСКИЙ САД № 97 "СОЛНЫШКО"</v>
      </c>
      <c r="B2348" s="24" t="s">
        <v>4364</v>
      </c>
      <c r="C2348" s="25">
        <v>30086446</v>
      </c>
      <c r="D2348" s="22" t="s">
        <v>4365</v>
      </c>
      <c r="E2348" s="22" t="s">
        <v>48</v>
      </c>
      <c r="F2348" s="23" t="str">
        <f>HYPERLINK("https://www.spark-marketing.ru/Card/Lot/73651851",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годы.")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годы.</v>
      </c>
      <c r="G2348" s="22" t="s">
        <v>49</v>
      </c>
      <c r="H2348" s="22" t="s">
        <v>2495</v>
      </c>
      <c r="I2348" s="26">
        <v>43727.5789351852</v>
      </c>
      <c r="J2348" s="28" t="s">
        <v>51</v>
      </c>
      <c r="K2348" s="28" t="s">
        <v>51</v>
      </c>
      <c r="L2348" s="28" t="s">
        <v>51</v>
      </c>
      <c r="M2348" s="28" t="s">
        <v>51</v>
      </c>
      <c r="N2348" s="28" t="s">
        <v>51</v>
      </c>
    </row>
    <row r="2349" spans="1:14" x14ac:dyDescent="0.15">
      <c r="A2349" s="23" t="str">
        <f>HYPERLINK("https://www.spark-marketing.ru/Card/Person/1765290", "ООО ""СОРОВСКНЕФТЬ""")</f>
        <v>ООО "СОРОВСКНЕФТЬ"</v>
      </c>
      <c r="B2349" s="24" t="s">
        <v>4366</v>
      </c>
      <c r="C2349" s="28" t="s">
        <v>51</v>
      </c>
      <c r="D2349" s="22" t="s">
        <v>4367</v>
      </c>
      <c r="E2349" s="22" t="s">
        <v>362</v>
      </c>
      <c r="F2349" s="23" t="str">
        <f>HYPERLINK("https://www.spark-marketing.ru/Card/Lot/74015506", "«Оказание услуг по организации общественного питания работников ООО ""Соровскнефть"", работающих вахтовым методом. Комплексное сервисное обслуживание объектов социально-бытового назначения (клининг)»")</f>
        <v>«Оказание услуг по организации общественного питания работников ООО "Соровскнефть", работающих вахтовым методом. Комплексное сервисное обслуживание объектов социально-бытового назначения (клининг)»</v>
      </c>
      <c r="G2349" s="22" t="s">
        <v>766</v>
      </c>
      <c r="H2349" s="22" t="s">
        <v>1028</v>
      </c>
      <c r="I2349" s="26">
        <v>43727.530555555597</v>
      </c>
      <c r="J2349" s="28" t="s">
        <v>51</v>
      </c>
      <c r="K2349" s="28" t="s">
        <v>51</v>
      </c>
      <c r="L2349" s="28" t="s">
        <v>51</v>
      </c>
      <c r="M2349" s="28" t="s">
        <v>51</v>
      </c>
      <c r="N2349" s="28" t="s">
        <v>51</v>
      </c>
    </row>
    <row r="2350" spans="1:14" x14ac:dyDescent="0.15">
      <c r="A2350" s="23" t="str">
        <f>HYPERLINK("https://www.spark-marketing.ru/Card/Person/26144", "ФКУ ""ЦХИСО УМВД РОССИИ ПО САХАЛИНСКОЙ ОБЛАСТИ""")</f>
        <v>ФКУ "ЦХИСО УМВД РОССИИ ПО САХАЛИНСКОЙ ОБЛАСТИ"</v>
      </c>
      <c r="B2350" s="24" t="s">
        <v>802</v>
      </c>
      <c r="C2350" s="25">
        <v>4210000</v>
      </c>
      <c r="D2350" s="22" t="s">
        <v>4368</v>
      </c>
      <c r="E2350" s="22" t="s">
        <v>48</v>
      </c>
      <c r="F2350" s="23" t="str">
        <f>HYPERLINK("https://www.spark-marketing.ru/Card/Lot/73626675", "Оказание услуг по организации комплексного горячего трехразового питания слушателей Центра профессиональной подготовки УМВД России по Сахалинской области, для нужд ФКУ ""ЦХиСО УМВД России по Сахалинской области""")</f>
        <v>Оказание услуг по организации комплексного горячего трехразового питания слушателей Центра профессиональной подготовки УМВД России по Сахалинской области, для нужд ФКУ "ЦХиСО УМВД России по Сахалинской области"</v>
      </c>
      <c r="G2350" s="22" t="s">
        <v>260</v>
      </c>
      <c r="H2350" s="22" t="s">
        <v>260</v>
      </c>
      <c r="I2350" s="26">
        <v>43727.515972222202</v>
      </c>
      <c r="J2350" s="23" t="str">
        <f>HYPERLINK("https://www.spark-marketing.ru/Card/Person/114046", "Ко Радмила Гвансуновна")</f>
        <v>Ко Радмила Гвансуновна</v>
      </c>
      <c r="K2350" s="24" t="s">
        <v>3538</v>
      </c>
      <c r="L2350" s="28" t="s">
        <v>51</v>
      </c>
      <c r="M2350" s="28" t="s">
        <v>51</v>
      </c>
      <c r="N2350" s="28" t="s">
        <v>51</v>
      </c>
    </row>
    <row r="2351" spans="1:14" ht="12.75" hidden="1" outlineLevel="1" x14ac:dyDescent="0.2">
      <c r="A2351" s="23" t="str">
        <f>HYPERLINK("https://www.spark-marketing.ru/Card/Person/26144", "ФКУ ""ЦХИСО УМВД РОССИИ ПО САХАЛИНСКОЙ ОБЛАСТИ""")</f>
        <v>ФКУ "ЦХИСО УМВД РОССИИ ПО САХАЛИНСКОЙ ОБЛАСТИ"</v>
      </c>
      <c r="B2351" s="24" t="s">
        <v>802</v>
      </c>
      <c r="C2351" s="25">
        <v>4210000</v>
      </c>
      <c r="D2351" s="22" t="s">
        <v>4368</v>
      </c>
      <c r="E2351" s="22" t="s">
        <v>48</v>
      </c>
      <c r="F2351" s="23" t="str">
        <f>HYPERLINK("https://www.spark-marketing.ru/Card/Lot/73626675", "Оказание услуг по организации комплексного горячего трехразового питания слушателей Центра профессиональной подготовки УМВД России по Сахалинской области, для нужд ФКУ ""ЦХиСО УМВД России по Сахалинской области""")</f>
        <v>Оказание услуг по организации комплексного горячего трехразового питания слушателей Центра профессиональной подготовки УМВД России по Сахалинской области, для нужд ФКУ "ЦХиСО УМВД России по Сахалинской области"</v>
      </c>
      <c r="G2351" s="22" t="s">
        <v>260</v>
      </c>
      <c r="H2351" s="22" t="s">
        <v>260</v>
      </c>
      <c r="I2351" s="26">
        <v>43727.515972222202</v>
      </c>
      <c r="J2351" s="23" t="str">
        <f>HYPERLINK("https://www.spark-marketing.ru/Card/Person/114046", "Ко Радмила Гвансуновна")</f>
        <v>Ко Радмила Гвансуновна</v>
      </c>
      <c r="K2351" s="24" t="s">
        <v>3538</v>
      </c>
      <c r="L2351" s="22" t="s">
        <v>10</v>
      </c>
      <c r="M2351" s="25">
        <v>894.17</v>
      </c>
      <c r="N2351" s="27">
        <v>0.99978760807600953</v>
      </c>
    </row>
    <row r="2352" spans="1:14" x14ac:dyDescent="0.15">
      <c r="A2352" s="23" t="str">
        <f>HYPERLINK("https://www.spark-marketing.ru/Card/Person/84463", "МБДОУ Д/С № 8 ""ВАСИЛЕК"" КОМБИНИРОВАННОГО ВИДА")</f>
        <v>МБДОУ Д/С № 8 "ВАСИЛЕК" КОМБИНИРОВАННОГО ВИДА</v>
      </c>
      <c r="B2352" s="24" t="s">
        <v>4369</v>
      </c>
      <c r="C2352" s="25">
        <v>24243998</v>
      </c>
      <c r="D2352" s="22" t="s">
        <v>4370</v>
      </c>
      <c r="E2352" s="22" t="s">
        <v>48</v>
      </c>
      <c r="F2352" s="23" t="str">
        <f>HYPERLINK("https://www.spark-marketing.ru/Card/Lot/73651862", "Оказание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2020 -2021годах</v>
      </c>
      <c r="G2352" s="22" t="s">
        <v>49</v>
      </c>
      <c r="H2352" s="22" t="s">
        <v>2508</v>
      </c>
      <c r="I2352" s="26">
        <v>43727.530833333301</v>
      </c>
      <c r="J2352" s="28" t="s">
        <v>51</v>
      </c>
      <c r="K2352" s="28" t="s">
        <v>51</v>
      </c>
      <c r="L2352" s="28" t="s">
        <v>51</v>
      </c>
      <c r="M2352" s="28" t="s">
        <v>51</v>
      </c>
      <c r="N2352" s="28" t="s">
        <v>51</v>
      </c>
    </row>
    <row r="2353" spans="1:14" x14ac:dyDescent="0.15">
      <c r="A2353" s="23" t="str">
        <f>HYPERLINK("https://www.spark-marketing.ru/Card/Person/115582", "МБДОУ ""ДЕТСКИЙ САД № 6""")</f>
        <v>МБДОУ "ДЕТСКИЙ САД № 6"</v>
      </c>
      <c r="B2353" s="24" t="s">
        <v>4371</v>
      </c>
      <c r="C2353" s="25">
        <v>25936096</v>
      </c>
      <c r="D2353" s="22" t="s">
        <v>4372</v>
      </c>
      <c r="E2353" s="22" t="s">
        <v>48</v>
      </c>
      <c r="F2353" s="23" t="str">
        <f>HYPERLINK("https://www.spark-marketing.ru/Card/Lot/73651832",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годах</v>
      </c>
      <c r="G2353" s="22" t="s">
        <v>49</v>
      </c>
      <c r="H2353" s="22" t="s">
        <v>2508</v>
      </c>
      <c r="I2353" s="26">
        <v>43727.503807870402</v>
      </c>
      <c r="J2353" s="28" t="s">
        <v>51</v>
      </c>
      <c r="K2353" s="28" t="s">
        <v>51</v>
      </c>
      <c r="L2353" s="28" t="s">
        <v>51</v>
      </c>
      <c r="M2353" s="28" t="s">
        <v>51</v>
      </c>
      <c r="N2353" s="28" t="s">
        <v>51</v>
      </c>
    </row>
    <row r="2354" spans="1:14" x14ac:dyDescent="0.15">
      <c r="A2354" s="23" t="str">
        <f>HYPERLINK("https://www.spark-marketing.ru/Card/Person/1083295", "ОТДЕЛ МВД РОССИИ ПО КАРАГАЙСКОМУ РАЙОНУ")</f>
        <v>ОТДЕЛ МВД РОССИИ ПО КАРАГАЙСКОМУ РАЙОНУ</v>
      </c>
      <c r="B2354" s="24" t="s">
        <v>4373</v>
      </c>
      <c r="C2354" s="25">
        <v>125280</v>
      </c>
      <c r="D2354" s="22" t="s">
        <v>4374</v>
      </c>
      <c r="E2354" s="22" t="s">
        <v>48</v>
      </c>
      <c r="F2354" s="23" t="str">
        <f>HYPERLINK("https://www.spark-marketing.ru/Card/Lot/73633112", "Услуги по обеспечению питанием, осуществляемые по договору, 928 усл. ед")</f>
        <v>Услуги по обеспечению питанием, осуществляемые по договору, 928 усл. ед</v>
      </c>
      <c r="G2354" s="22" t="s">
        <v>153</v>
      </c>
      <c r="H2354" s="22" t="s">
        <v>4375</v>
      </c>
      <c r="I2354" s="26">
        <v>43727.537604166697</v>
      </c>
      <c r="J2354" s="28" t="s">
        <v>51</v>
      </c>
      <c r="K2354" s="28" t="s">
        <v>51</v>
      </c>
      <c r="L2354" s="28" t="s">
        <v>51</v>
      </c>
      <c r="M2354" s="28" t="s">
        <v>51</v>
      </c>
      <c r="N2354" s="28" t="s">
        <v>51</v>
      </c>
    </row>
    <row r="2355" spans="1:14" x14ac:dyDescent="0.15">
      <c r="A2355" s="23" t="str">
        <f>HYPERLINK("https://www.spark-marketing.ru/Card/Person/10421", "СПБ ГБУ СШОР ""ШВСМ ПО ВВС""")</f>
        <v>СПБ ГБУ СШОР "ШВСМ ПО ВВС"</v>
      </c>
      <c r="B2355" s="24" t="s">
        <v>379</v>
      </c>
      <c r="C2355" s="25">
        <v>998000</v>
      </c>
      <c r="D2355" s="22" t="s">
        <v>4376</v>
      </c>
      <c r="E2355" s="22" t="s">
        <v>381</v>
      </c>
      <c r="F2355" s="23" t="str">
        <f>HYPERLINK("https://www.spark-marketing.ru/Card/Lot/73649424",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парусн...")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парусн...</v>
      </c>
      <c r="G2355" s="22" t="s">
        <v>162</v>
      </c>
      <c r="H2355" s="22" t="s">
        <v>162</v>
      </c>
      <c r="I2355" s="26">
        <v>43727.474305555603</v>
      </c>
      <c r="J2355" s="28" t="s">
        <v>51</v>
      </c>
      <c r="K2355" s="28" t="s">
        <v>51</v>
      </c>
      <c r="L2355" s="28" t="s">
        <v>51</v>
      </c>
      <c r="M2355" s="28" t="s">
        <v>51</v>
      </c>
      <c r="N2355" s="28" t="s">
        <v>51</v>
      </c>
    </row>
    <row r="2356" spans="1:14" ht="12.75" hidden="1" outlineLevel="1" x14ac:dyDescent="0.2">
      <c r="A2356" s="23" t="str">
        <f>HYPERLINK("https://www.spark-marketing.ru/Card/Person/10421", "СПБ ГБУ СШОР ""ШВСМ ПО ВВС""")</f>
        <v>СПБ ГБУ СШОР "ШВСМ ПО ВВС"</v>
      </c>
      <c r="B2356" s="24" t="s">
        <v>379</v>
      </c>
      <c r="C2356" s="25">
        <v>998000</v>
      </c>
      <c r="D2356" s="22" t="s">
        <v>4376</v>
      </c>
      <c r="E2356" s="22" t="s">
        <v>381</v>
      </c>
      <c r="F2356" s="23" t="str">
        <f>HYPERLINK("https://www.spark-marketing.ru/Card/Lot/73649424",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парусн...")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парусн...</v>
      </c>
      <c r="G2356" s="22" t="s">
        <v>162</v>
      </c>
      <c r="H2356" s="22" t="s">
        <v>162</v>
      </c>
      <c r="I2356" s="26">
        <v>43727.474305555603</v>
      </c>
      <c r="J2356" s="23" t="str">
        <f>HYPERLINK("https://www.spark-marketing.ru/Card/Person/6574101", "ООО ""СПОРТИВНОЕ АГЕНТСТВО ""ЭРА""")</f>
        <v>ООО "СПОРТИВНОЕ АГЕНТСТВО "ЭРА"</v>
      </c>
      <c r="K2356" s="24" t="s">
        <v>4377</v>
      </c>
      <c r="L2356" s="22" t="s">
        <v>10</v>
      </c>
      <c r="M2356" s="25">
        <v>918160</v>
      </c>
      <c r="N2356" s="27">
        <v>0.08</v>
      </c>
    </row>
    <row r="2357" spans="1:14" hidden="1" outlineLevel="1" x14ac:dyDescent="0.2">
      <c r="A2357" s="23" t="str">
        <f>HYPERLINK("https://www.spark-marketing.ru/Card/Person/10421", "СПБ ГБУ СШОР ""ШВСМ ПО ВВС""")</f>
        <v>СПБ ГБУ СШОР "ШВСМ ПО ВВС"</v>
      </c>
      <c r="B2357" s="24" t="s">
        <v>379</v>
      </c>
      <c r="C2357" s="25">
        <v>998000</v>
      </c>
      <c r="D2357" s="22" t="s">
        <v>4376</v>
      </c>
      <c r="E2357" s="22" t="s">
        <v>381</v>
      </c>
      <c r="F2357" s="23" t="str">
        <f>HYPERLINK("https://www.spark-marketing.ru/Card/Lot/73649424",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парусн...")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парусн...</v>
      </c>
      <c r="G2357" s="22" t="s">
        <v>162</v>
      </c>
      <c r="H2357" s="22" t="s">
        <v>162</v>
      </c>
      <c r="I2357" s="26">
        <v>43727.474305555603</v>
      </c>
      <c r="J2357" s="23" t="str">
        <f>HYPERLINK("https://www.spark-marketing.ru/Card/Person/139386", "ООО ""АВИАМИР""")</f>
        <v>ООО "АВИАМИР"</v>
      </c>
      <c r="K2357" s="24" t="s">
        <v>2326</v>
      </c>
      <c r="L2357" s="28" t="s">
        <v>51</v>
      </c>
      <c r="M2357" s="25">
        <v>923150</v>
      </c>
      <c r="N2357" s="27">
        <v>7.4999999999999997E-2</v>
      </c>
    </row>
    <row r="2358" spans="1:14" x14ac:dyDescent="0.15">
      <c r="A2358" s="23" t="str">
        <f>HYPERLINK("https://www.spark-marketing.ru/Card/Person/4353582", "МО МВД РОССИИ ""ГОЛЫШМАНОВСКИЙ""")</f>
        <v>МО МВД РОССИИ "ГОЛЫШМАНОВСКИЙ"</v>
      </c>
      <c r="B2358" s="24" t="s">
        <v>4378</v>
      </c>
      <c r="C2358" s="25">
        <v>500000</v>
      </c>
      <c r="D2358" s="22" t="s">
        <v>4379</v>
      </c>
      <c r="E2358" s="22" t="s">
        <v>48</v>
      </c>
      <c r="F2358" s="23" t="str">
        <f>HYPERLINK("https://www.spark-marketing.ru/Card/Lot/73632845", "питание ИВС")</f>
        <v>питание ИВС</v>
      </c>
      <c r="G2358" s="22" t="s">
        <v>766</v>
      </c>
      <c r="H2358" s="22" t="s">
        <v>4380</v>
      </c>
      <c r="I2358" s="26">
        <v>43727.498611111099</v>
      </c>
      <c r="J2358" s="23" t="str">
        <f>HYPERLINK("https://www.spark-marketing.ru/Card/Person/4362597", "ООО ""ГОЛЫШМАНОВСКИЙ ОБЩЕПИТ РАЙПОТРЕБСОЮЗА""")</f>
        <v>ООО "ГОЛЫШМАНОВСКИЙ ОБЩЕПИТ РАЙПОТРЕБСОЮЗА"</v>
      </c>
      <c r="K2358" s="24" t="s">
        <v>4381</v>
      </c>
      <c r="L2358" s="22" t="s">
        <v>10</v>
      </c>
      <c r="M2358" s="28" t="s">
        <v>51</v>
      </c>
      <c r="N2358" s="28" t="s">
        <v>51</v>
      </c>
    </row>
    <row r="2359" spans="1:14" x14ac:dyDescent="0.15">
      <c r="A2359" s="23" t="str">
        <f>HYPERLINK("https://www.spark-marketing.ru/Card/Person/83884", "МБДОУ ""ДЕТСКИЙ САД № 63""")</f>
        <v>МБДОУ "ДЕТСКИЙ САД № 63"</v>
      </c>
      <c r="B2359" s="24" t="s">
        <v>4382</v>
      </c>
      <c r="C2359" s="25">
        <v>35600684</v>
      </c>
      <c r="D2359" s="22" t="s">
        <v>4383</v>
      </c>
      <c r="E2359" s="22" t="s">
        <v>48</v>
      </c>
      <c r="F2359" s="23" t="str">
        <f>HYPERLINK("https://www.spark-marketing.ru/Card/Lot/73651806", "Оказание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годы.")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2020-2021 годы.</v>
      </c>
      <c r="G2359" s="22" t="s">
        <v>49</v>
      </c>
      <c r="H2359" s="22" t="s">
        <v>2495</v>
      </c>
      <c r="I2359" s="26">
        <v>43727.464629629598</v>
      </c>
      <c r="J2359" s="28" t="s">
        <v>51</v>
      </c>
      <c r="K2359" s="28" t="s">
        <v>51</v>
      </c>
      <c r="L2359" s="28" t="s">
        <v>51</v>
      </c>
      <c r="M2359" s="28" t="s">
        <v>51</v>
      </c>
      <c r="N2359" s="28" t="s">
        <v>51</v>
      </c>
    </row>
    <row r="2360" spans="1:14" x14ac:dyDescent="0.15">
      <c r="A2360" s="23" t="str">
        <f>HYPERLINK("https://www.spark-marketing.ru/Card/Person/84507", "МБДОУ ""ЯМКИНСКИЙ ДЕТСКИЙ САД № 92""")</f>
        <v>МБДОУ "ЯМКИНСКИЙ ДЕТСКИЙ САД № 92"</v>
      </c>
      <c r="B2360" s="24" t="s">
        <v>4384</v>
      </c>
      <c r="C2360" s="25">
        <v>13683160</v>
      </c>
      <c r="D2360" s="22" t="s">
        <v>4385</v>
      </c>
      <c r="E2360" s="22" t="s">
        <v>48</v>
      </c>
      <c r="F2360" s="23" t="str">
        <f>HYPERLINK("https://www.spark-marketing.ru/Card/Lot/73651820", "Оказание услуг по организации рационального горячего питания воспитанников муниципальных бюджетных дошкольных образовательных учреждений в 2020 -2021 годах")</f>
        <v>Оказание услуг по организации рационального горячего питания воспитанников муниципальных бюджетных дошкольных образовательных учреждений в 2020 -2021 годах</v>
      </c>
      <c r="G2360" s="22" t="s">
        <v>49</v>
      </c>
      <c r="H2360" s="22" t="s">
        <v>2508</v>
      </c>
      <c r="I2360" s="26">
        <v>43727.481111111098</v>
      </c>
      <c r="J2360" s="28" t="s">
        <v>51</v>
      </c>
      <c r="K2360" s="28" t="s">
        <v>51</v>
      </c>
      <c r="L2360" s="28" t="s">
        <v>51</v>
      </c>
      <c r="M2360" s="28" t="s">
        <v>51</v>
      </c>
      <c r="N2360" s="28" t="s">
        <v>51</v>
      </c>
    </row>
    <row r="2361" spans="1:14" x14ac:dyDescent="0.15">
      <c r="A2361" s="23" t="str">
        <f>HYPERLINK("https://www.spark-marketing.ru/Card/Person/133985", "ОМВД РОССИИ ПО КАМЕНСКОМУ РАЙОНУ")</f>
        <v>ОМВД РОССИИ ПО КАМЕНСКОМУ РАЙОНУ</v>
      </c>
      <c r="B2361" s="24" t="s">
        <v>4386</v>
      </c>
      <c r="C2361" s="25">
        <v>15500</v>
      </c>
      <c r="D2361" s="22" t="s">
        <v>4387</v>
      </c>
      <c r="E2361" s="22" t="s">
        <v>48</v>
      </c>
      <c r="F2361" s="23" t="str">
        <f>HYPERLINK("https://www.spark-marketing.ru/Card/Lot/73628790", "Услуги общественного питания, 62 усл. ед")</f>
        <v>Услуги общественного питания, 62 усл. ед</v>
      </c>
      <c r="G2361" s="22" t="s">
        <v>72</v>
      </c>
      <c r="H2361" s="22" t="s">
        <v>4388</v>
      </c>
      <c r="I2361" s="26">
        <v>43727.455983796302</v>
      </c>
      <c r="J2361" s="28" t="s">
        <v>51</v>
      </c>
      <c r="K2361" s="28" t="s">
        <v>51</v>
      </c>
      <c r="L2361" s="28" t="s">
        <v>51</v>
      </c>
      <c r="M2361" s="28" t="s">
        <v>51</v>
      </c>
      <c r="N2361" s="28" t="s">
        <v>51</v>
      </c>
    </row>
    <row r="2362" spans="1:14" x14ac:dyDescent="0.15">
      <c r="A2362" s="23" t="str">
        <f>HYPERLINK("https://www.spark-marketing.ru/Card/Person/133985", "ОМВД РОССИИ ПО КАМЕНСКОМУ РАЙОНУ")</f>
        <v>ОМВД РОССИИ ПО КАМЕНСКОМУ РАЙОНУ</v>
      </c>
      <c r="B2362" s="24" t="s">
        <v>4386</v>
      </c>
      <c r="C2362" s="25">
        <v>150000</v>
      </c>
      <c r="D2362" s="22" t="s">
        <v>4389</v>
      </c>
      <c r="E2362" s="22" t="s">
        <v>48</v>
      </c>
      <c r="F2362" s="23" t="str">
        <f>HYPERLINK("https://www.spark-marketing.ru/Card/Lot/73628273", "Услуги общественного питания, 600 усл. ед")</f>
        <v>Услуги общественного питания, 600 усл. ед</v>
      </c>
      <c r="G2362" s="22" t="s">
        <v>72</v>
      </c>
      <c r="H2362" s="22" t="s">
        <v>4388</v>
      </c>
      <c r="I2362" s="26">
        <v>43727.436261574097</v>
      </c>
      <c r="J2362" s="28" t="s">
        <v>51</v>
      </c>
      <c r="K2362" s="28" t="s">
        <v>51</v>
      </c>
      <c r="L2362" s="28" t="s">
        <v>51</v>
      </c>
      <c r="M2362" s="28" t="s">
        <v>51</v>
      </c>
      <c r="N2362" s="28" t="s">
        <v>51</v>
      </c>
    </row>
    <row r="2363" spans="1:14" x14ac:dyDescent="0.15">
      <c r="A2363" s="23" t="str">
        <f>HYPERLINK("https://www.spark-marketing.ru/Card/Person/55904", "ОМВД РОССИИ ПО САРАКТАШСКОМУ РАЙОНУ")</f>
        <v>ОМВД РОССИИ ПО САРАКТАШСКОМУ РАЙОНУ</v>
      </c>
      <c r="B2363" s="24" t="s">
        <v>4390</v>
      </c>
      <c r="C2363" s="25">
        <v>374000</v>
      </c>
      <c r="D2363" s="22" t="s">
        <v>4391</v>
      </c>
      <c r="E2363" s="22" t="s">
        <v>48</v>
      </c>
      <c r="F2363" s="23" t="str">
        <f>HYPERLINK("https://www.spark-marketing.ru/Card/Lot/73627777", "Питание ИВС")</f>
        <v>Питание ИВС</v>
      </c>
      <c r="G2363" s="22" t="s">
        <v>132</v>
      </c>
      <c r="H2363" s="22" t="s">
        <v>520</v>
      </c>
      <c r="I2363" s="26">
        <v>43727.4243055556</v>
      </c>
      <c r="J2363" s="28" t="s">
        <v>51</v>
      </c>
      <c r="K2363" s="28" t="s">
        <v>51</v>
      </c>
      <c r="L2363" s="28" t="s">
        <v>51</v>
      </c>
      <c r="M2363" s="28" t="s">
        <v>51</v>
      </c>
      <c r="N2363" s="28" t="s">
        <v>51</v>
      </c>
    </row>
    <row r="2364" spans="1:14" x14ac:dyDescent="0.15">
      <c r="A2364" s="23" t="str">
        <f>HYPERLINK("https://www.spark-marketing.ru/Card/Person/55904", "ОМВД РОССИИ ПО САРАКТАШСКОМУ РАЙОНУ")</f>
        <v>ОМВД РОССИИ ПО САРАКТАШСКОМУ РАЙОНУ</v>
      </c>
      <c r="B2364" s="24" t="s">
        <v>4390</v>
      </c>
      <c r="C2364" s="25">
        <v>374000</v>
      </c>
      <c r="D2364" s="22" t="s">
        <v>4392</v>
      </c>
      <c r="E2364" s="22" t="s">
        <v>48</v>
      </c>
      <c r="F2364" s="23" t="str">
        <f>HYPERLINK("https://www.spark-marketing.ru/Card/Lot/73627776", "Питание ИВС")</f>
        <v>Питание ИВС</v>
      </c>
      <c r="G2364" s="22" t="s">
        <v>132</v>
      </c>
      <c r="H2364" s="22" t="s">
        <v>520</v>
      </c>
      <c r="I2364" s="26">
        <v>43727.426388888904</v>
      </c>
      <c r="J2364" s="28" t="s">
        <v>51</v>
      </c>
      <c r="K2364" s="28" t="s">
        <v>51</v>
      </c>
      <c r="L2364" s="28" t="s">
        <v>51</v>
      </c>
      <c r="M2364" s="28" t="s">
        <v>51</v>
      </c>
      <c r="N2364" s="28" t="s">
        <v>51</v>
      </c>
    </row>
    <row r="2365" spans="1:14" x14ac:dyDescent="0.15">
      <c r="A2365" s="23" t="str">
        <f>HYPERLINK("https://www.spark-marketing.ru/Card/Person/4346919", "ГБУЗ ТО ""ОБЛАСТНОЙ ПРОТИВОТУБЕРКУЛЕЗНЫЙ ДИСПАНСЕР""")</f>
        <v>ГБУЗ ТО "ОБЛАСТНОЙ ПРОТИВОТУБЕРКУЛЕЗНЫЙ ДИСПАНСЕР"</v>
      </c>
      <c r="B2365" s="24" t="s">
        <v>4120</v>
      </c>
      <c r="C2365" s="25">
        <v>9351847.5</v>
      </c>
      <c r="D2365" s="22" t="s">
        <v>4393</v>
      </c>
      <c r="E2365" s="22" t="s">
        <v>96</v>
      </c>
      <c r="F2365" s="23" t="str">
        <f>HYPERLINK("https://www.spark-marketing.ru/Card/Lot/73628518", "оказание услуг по обеспечению горячим питанием пациентов Заводоуковского филиала ГБУЗ ТО «Областной противотуберкулезный диспансер»")</f>
        <v>оказание услуг по обеспечению горячим питанием пациентов Заводоуковского филиала ГБУЗ ТО «Областной противотуберкулезный диспансер»</v>
      </c>
      <c r="G2365" s="22" t="s">
        <v>766</v>
      </c>
      <c r="H2365" s="22" t="s">
        <v>1028</v>
      </c>
      <c r="I2365" s="26">
        <v>43727.426388888904</v>
      </c>
      <c r="J2365" s="23" t="str">
        <f>HYPERLINK("https://www.spark-marketing.ru/Card/Person/641", "ООО ""СТРОЙБЫТ""")</f>
        <v>ООО "СТРОЙБЫТ"</v>
      </c>
      <c r="K2365" s="24" t="s">
        <v>4394</v>
      </c>
      <c r="L2365" s="28" t="s">
        <v>51</v>
      </c>
      <c r="M2365" s="28" t="s">
        <v>51</v>
      </c>
      <c r="N2365" s="28" t="s">
        <v>51</v>
      </c>
    </row>
    <row r="2366" spans="1:14" ht="12.75" hidden="1" outlineLevel="1" x14ac:dyDescent="0.2">
      <c r="A2366" s="23" t="str">
        <f>HYPERLINK("https://www.spark-marketing.ru/Card/Person/4346919", "ГБУЗ ТО ""ОБЛАСТНОЙ ПРОТИВОТУБЕРКУЛЕЗНЫЙ ДИСПАНСЕР""")</f>
        <v>ГБУЗ ТО "ОБЛАСТНОЙ ПРОТИВОТУБЕРКУЛЕЗНЫЙ ДИСПАНСЕР"</v>
      </c>
      <c r="B2366" s="24" t="s">
        <v>4120</v>
      </c>
      <c r="C2366" s="25">
        <v>9351847.5</v>
      </c>
      <c r="D2366" s="22" t="s">
        <v>4393</v>
      </c>
      <c r="E2366" s="22" t="s">
        <v>96</v>
      </c>
      <c r="F2366" s="23" t="str">
        <f>HYPERLINK("https://www.spark-marketing.ru/Card/Lot/73628518", "оказание услуг по обеспечению горячим питанием пациентов Заводоуковского филиала ГБУЗ ТО «Областной противотуберкулезный диспансер»")</f>
        <v>оказание услуг по обеспечению горячим питанием пациентов Заводоуковского филиала ГБУЗ ТО «Областной противотуберкулезный диспансер»</v>
      </c>
      <c r="G2366" s="22" t="s">
        <v>766</v>
      </c>
      <c r="H2366" s="22" t="s">
        <v>1028</v>
      </c>
      <c r="I2366" s="26">
        <v>43727.426388888904</v>
      </c>
      <c r="J2366" s="23" t="str">
        <f>HYPERLINK("https://www.spark-marketing.ru/Card/Person/641", "ООО ""СТРОЙБЫТ""")</f>
        <v>ООО "СТРОЙБЫТ"</v>
      </c>
      <c r="K2366" s="24" t="s">
        <v>4394</v>
      </c>
      <c r="L2366" s="22" t="s">
        <v>10</v>
      </c>
      <c r="M2366" s="25">
        <v>9305088.2599999998</v>
      </c>
      <c r="N2366" s="27">
        <v>5.0000002673268569E-3</v>
      </c>
    </row>
    <row r="2367" spans="1:14" x14ac:dyDescent="0.2">
      <c r="A2367" s="23" t="str">
        <f>HYPERLINK("https://www.spark-marketing.ru/Card/Person/75870", "КОГБУЗ ""ЮРЬЯНСКАЯ РАЙОННАЯ БОЛЬНИЦА""")</f>
        <v>КОГБУЗ "ЮРЬЯНСКАЯ РАЙОННАЯ БОЛЬНИЦА"</v>
      </c>
      <c r="B2367" s="24" t="s">
        <v>4395</v>
      </c>
      <c r="C2367" s="25">
        <v>2791080</v>
      </c>
      <c r="D2367" s="22" t="s">
        <v>4396</v>
      </c>
      <c r="E2367" s="22" t="s">
        <v>96</v>
      </c>
      <c r="F2367" s="23" t="str">
        <f>HYPERLINK("https://www.spark-marketing.ru/Card/Lot/73650519", "Оказание услуг по приготовлению и передаче ежедневного лечебного питания для снабжения пациентов стационара на 2019г- 2020г.")</f>
        <v>Оказание услуг по приготовлению и передаче ежедневного лечебного питания для снабжения пациентов стационара на 2019г- 2020г.</v>
      </c>
      <c r="G2367" s="22" t="s">
        <v>224</v>
      </c>
      <c r="H2367" s="22" t="s">
        <v>4397</v>
      </c>
      <c r="I2367" s="26">
        <v>43727.45</v>
      </c>
      <c r="J2367" s="23" t="str">
        <f>HYPERLINK("https://www.spark-marketing.ru/Card/Person/51950", "ООО ""ЗДОРОВОЕ ПИТАНИЕ""")</f>
        <v>ООО "ЗДОРОВОЕ ПИТАНИЕ"</v>
      </c>
      <c r="K2367" s="24" t="s">
        <v>2336</v>
      </c>
      <c r="L2367" s="28" t="s">
        <v>51</v>
      </c>
      <c r="M2367" s="25">
        <v>2791080</v>
      </c>
      <c r="N2367" s="27">
        <v>0</v>
      </c>
    </row>
    <row r="2368" spans="1:14" x14ac:dyDescent="0.15">
      <c r="A2368" s="23" t="str">
        <f>HYPERLINK("https://www.spark-marketing.ru/Card/Person/103355", "ОТДЕЛЕНИЕ МВД РОССИИ ПО НИЖНЕДЕВИЦКОМУ РАЙОНУ")</f>
        <v>ОТДЕЛЕНИЕ МВД РОССИИ ПО НИЖНЕДЕВИЦКОМУ РАЙОНУ</v>
      </c>
      <c r="B2368" s="24" t="s">
        <v>4398</v>
      </c>
      <c r="C2368" s="25">
        <v>148000</v>
      </c>
      <c r="D2368" s="22" t="s">
        <v>4399</v>
      </c>
      <c r="E2368" s="22" t="s">
        <v>48</v>
      </c>
      <c r="F2368" s="23" t="str">
        <f>HYPERLINK("https://www.spark-marketing.ru/Card/Lot/73626282", "Оказание услуг по организации питания (приготовлению и доставке) для ИВС, 740 усл. ед")</f>
        <v>Оказание услуг по организации питания (приготовлению и доставке) для ИВС, 740 усл. ед</v>
      </c>
      <c r="G2368" s="22" t="s">
        <v>82</v>
      </c>
      <c r="H2368" s="22" t="s">
        <v>4400</v>
      </c>
      <c r="I2368" s="26">
        <v>43727.384548611102</v>
      </c>
      <c r="J2368" s="28" t="s">
        <v>51</v>
      </c>
      <c r="K2368" s="28" t="s">
        <v>51</v>
      </c>
      <c r="L2368" s="28" t="s">
        <v>51</v>
      </c>
      <c r="M2368" s="28" t="s">
        <v>51</v>
      </c>
      <c r="N2368" s="28" t="s">
        <v>51</v>
      </c>
    </row>
    <row r="2369" spans="1:14" x14ac:dyDescent="0.15">
      <c r="A2369" s="23" t="str">
        <f>HYPERLINK("https://www.spark-marketing.ru/Card/Person/1752170", "ОМВД РОССИИ ПО ЧАГОДОЩЕНСКОМУ РАЙОНУ")</f>
        <v>ОМВД РОССИИ ПО ЧАГОДОЩЕНСКОМУ РАЙОНУ</v>
      </c>
      <c r="B2369" s="24" t="s">
        <v>2938</v>
      </c>
      <c r="C2369" s="25">
        <v>400000</v>
      </c>
      <c r="D2369" s="22" t="s">
        <v>4401</v>
      </c>
      <c r="E2369" s="22" t="s">
        <v>48</v>
      </c>
      <c r="F2369" s="23" t="str">
        <f>HYPERLINK("https://www.spark-marketing.ru/Card/Lot/73632801", "Оказание услуг по организации питания административно арестованных, подозреваемых и обвиняемых, содержащихся под стражей, а также задержанных более 3 часов граждан")</f>
        <v>Оказание услуг по организации питания административно арестованных, подозреваемых и обвиняемых, содержащихся под стражей, а также задержанных более 3 часов граждан</v>
      </c>
      <c r="G2369" s="22" t="s">
        <v>503</v>
      </c>
      <c r="H2369" s="22" t="s">
        <v>1487</v>
      </c>
      <c r="I2369" s="26">
        <v>43727.392361111102</v>
      </c>
      <c r="J2369" s="28" t="s">
        <v>51</v>
      </c>
      <c r="K2369" s="28" t="s">
        <v>51</v>
      </c>
      <c r="L2369" s="28" t="s">
        <v>51</v>
      </c>
      <c r="M2369" s="28" t="s">
        <v>51</v>
      </c>
      <c r="N2369" s="28" t="s">
        <v>51</v>
      </c>
    </row>
    <row r="2370" spans="1:14" x14ac:dyDescent="0.15">
      <c r="A2370" s="23" t="str">
        <f>HYPERLINK("https://www.spark-marketing.ru/Card/Person/1743959", "УМВД РОССИИ ПО ЛИПЕЦКОЙ ОБЛАСТИ")</f>
        <v>УМВД РОССИИ ПО ЛИПЕЦКОЙ ОБЛАСТИ</v>
      </c>
      <c r="B2370" s="24" t="s">
        <v>4402</v>
      </c>
      <c r="C2370" s="25">
        <v>500000</v>
      </c>
      <c r="D2370" s="22" t="s">
        <v>4403</v>
      </c>
      <c r="E2370" s="22" t="s">
        <v>96</v>
      </c>
      <c r="F2370" s="23" t="str">
        <f>HYPERLINK("https://www.spark-marketing.ru/Card/Lot/73627664", "Услуги по обеспечению ежедневным пятиразовым горячим питанием несовершеннолетних, содержащихся в центре временного содержания для несовершеннолетних правонарушителей УМВД России по Липецкой области")</f>
        <v>Услуги по обеспечению ежедневным пятиразовым горячим питанием несовершеннолетних, содержащихся в центре временного содержания для несовершеннолетних правонарушителей УМВД России по Липецкой области</v>
      </c>
      <c r="G2370" s="22" t="s">
        <v>101</v>
      </c>
      <c r="H2370" s="22" t="s">
        <v>728</v>
      </c>
      <c r="I2370" s="26">
        <v>43727.358333333301</v>
      </c>
      <c r="J2370" s="23" t="str">
        <f>HYPERLINK("https://www.spark-marketing.ru/Card/Person/60275", "Мамедов Васиф Акиф Оглы")</f>
        <v>Мамедов Васиф Акиф Оглы</v>
      </c>
      <c r="K2370" s="24" t="s">
        <v>4404</v>
      </c>
      <c r="L2370" s="22" t="s">
        <v>10</v>
      </c>
      <c r="M2370" s="28" t="s">
        <v>51</v>
      </c>
      <c r="N2370" s="28" t="s">
        <v>51</v>
      </c>
    </row>
    <row r="2371" spans="1:14" x14ac:dyDescent="0.15">
      <c r="A2371" s="23" t="str">
        <f>HYPERLINK("https://www.spark-marketing.ru/Card/Person/1743959", "УМВД РОССИИ ПО ЛИПЕЦКОЙ ОБЛАСТИ")</f>
        <v>УМВД РОССИИ ПО ЛИПЕЦКОЙ ОБЛАСТИ</v>
      </c>
      <c r="B2371" s="24" t="s">
        <v>4402</v>
      </c>
      <c r="C2371" s="25">
        <v>550000</v>
      </c>
      <c r="D2371" s="22" t="s">
        <v>4405</v>
      </c>
      <c r="E2371" s="22" t="s">
        <v>96</v>
      </c>
      <c r="F2371" s="23" t="str">
        <f>HYPERLINK("https://www.spark-marketing.ru/Card/Lot/73627675", "Услуги по обеспечению ежедневным пятиразовым горячим питанием несовершеннолетних, содержащихся в центре временного содержания для несовершеннолетних правонарушителей УМВД России по Липецкой области")</f>
        <v>Услуги по обеспечению ежедневным пятиразовым горячим питанием несовершеннолетних, содержащихся в центре временного содержания для несовершеннолетних правонарушителей УМВД России по Липецкой области</v>
      </c>
      <c r="G2371" s="22" t="s">
        <v>101</v>
      </c>
      <c r="H2371" s="22" t="s">
        <v>728</v>
      </c>
      <c r="I2371" s="26">
        <v>43727.358333333301</v>
      </c>
      <c r="J2371" s="23" t="str">
        <f>HYPERLINK("https://www.spark-marketing.ru/Card/Person/60275", "Мамедов Васиф Акиф Оглы")</f>
        <v>Мамедов Васиф Акиф Оглы</v>
      </c>
      <c r="K2371" s="24" t="s">
        <v>4404</v>
      </c>
      <c r="L2371" s="22" t="s">
        <v>10</v>
      </c>
      <c r="M2371" s="28" t="s">
        <v>51</v>
      </c>
      <c r="N2371" s="28" t="s">
        <v>51</v>
      </c>
    </row>
    <row r="2372" spans="1:14" x14ac:dyDescent="0.15">
      <c r="A2372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372" s="24" t="s">
        <v>3255</v>
      </c>
      <c r="C2372" s="25">
        <v>1134790</v>
      </c>
      <c r="D2372" s="22" t="s">
        <v>4406</v>
      </c>
      <c r="E2372" s="22" t="s">
        <v>52</v>
      </c>
      <c r="F2372" s="23" t="str">
        <f>HYPERLINK("https://www.spark-marketing.ru/Card/Lot/73621764", "Поставка лекарственного препарата для медицинского применения ""Инфликсимаб""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"Инфликсимаб"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2372" s="22" t="s">
        <v>210</v>
      </c>
      <c r="H2372" s="22" t="s">
        <v>3257</v>
      </c>
      <c r="I2372" s="26">
        <v>43727.091076388897</v>
      </c>
      <c r="J2372" s="23" t="str">
        <f>HYPERLINK("https://www.spark-marketing.ru/Card/Person/5949914", "ООО ""ФАРМПРО""")</f>
        <v>ООО "ФАРМПРО"</v>
      </c>
      <c r="K2372" s="24" t="s">
        <v>4407</v>
      </c>
      <c r="L2372" s="22" t="s">
        <v>10</v>
      </c>
      <c r="M2372" s="28" t="s">
        <v>51</v>
      </c>
      <c r="N2372" s="28" t="s">
        <v>51</v>
      </c>
    </row>
    <row r="2373" spans="1:14" x14ac:dyDescent="0.2">
      <c r="A2373" s="23" t="str">
        <f>HYPERLINK("https://www.spark-marketing.ru/Card/Person/1759787", "ГАУ ВО ЦСП ""ОЛИМП""")</f>
        <v>ГАУ ВО ЦСП "ОЛИМП"</v>
      </c>
      <c r="B2373" s="24" t="s">
        <v>4408</v>
      </c>
      <c r="C2373" s="25">
        <v>1905300</v>
      </c>
      <c r="D2373" s="22" t="s">
        <v>4409</v>
      </c>
      <c r="E2373" s="22" t="s">
        <v>4410</v>
      </c>
      <c r="F2373" s="23" t="str">
        <f>HYPERLINK("https://www.spark-marketing.ru/Card/Lot/73627038", "Услуги по проживанию и питанию 870 участников Финальных соревнований «XXXVII Летних Сельских спортивных игр Волгоградской области», которые состоятся в Среднеахтубинском муниципальном районе Волгоградской области 26-29 сентября 2019 года")</f>
        <v>Услуги по проживанию и питанию 870 участников Финальных соревнований «XXXVII Летних Сельских спортивных игр Волгоградской области», которые состоятся в Среднеахтубинском муниципальном районе Волгоградской области 26-29 сентября 2019 года</v>
      </c>
      <c r="G2373" s="22" t="s">
        <v>158</v>
      </c>
      <c r="H2373" s="22" t="s">
        <v>158</v>
      </c>
      <c r="I2373" s="26">
        <v>43727</v>
      </c>
      <c r="J2373" s="28" t="s">
        <v>51</v>
      </c>
      <c r="K2373" s="28" t="s">
        <v>51</v>
      </c>
      <c r="L2373" s="22" t="s">
        <v>10</v>
      </c>
      <c r="M2373" s="25">
        <v>1905300</v>
      </c>
      <c r="N2373" s="27">
        <v>0</v>
      </c>
    </row>
    <row r="2374" spans="1:14" x14ac:dyDescent="0.15">
      <c r="A2374" s="23" t="str">
        <f>HYPERLINK("https://www.spark-marketing.ru/Card/Person/1324173", "МАОУ ШУХРУПОВСКАЯ ООШ")</f>
        <v>МАОУ ШУХРУПОВСКАЯ ООШ</v>
      </c>
      <c r="B2374" s="24" t="s">
        <v>4411</v>
      </c>
      <c r="C2374" s="25">
        <v>399890</v>
      </c>
      <c r="D2374" s="22" t="s">
        <v>4412</v>
      </c>
      <c r="E2374" s="22" t="s">
        <v>362</v>
      </c>
      <c r="F2374" s="23" t="str">
        <f>HYPERLINK("https://www.spark-marketing.ru/Card/Lot/73633367", "Услуги по обеспечению горячим питанием обучающихся школы")</f>
        <v>Услуги по обеспечению горячим питанием обучающихся школы</v>
      </c>
      <c r="G2374" s="22" t="s">
        <v>174</v>
      </c>
      <c r="H2374" s="22" t="s">
        <v>174</v>
      </c>
      <c r="I2374" s="26">
        <v>43727</v>
      </c>
      <c r="J2374" s="28" t="s">
        <v>51</v>
      </c>
      <c r="K2374" s="28" t="s">
        <v>51</v>
      </c>
      <c r="L2374" s="28" t="s">
        <v>51</v>
      </c>
      <c r="M2374" s="28" t="s">
        <v>51</v>
      </c>
      <c r="N2374" s="28" t="s">
        <v>51</v>
      </c>
    </row>
    <row r="2375" spans="1:14" x14ac:dyDescent="0.15">
      <c r="A2375" s="23" t="str">
        <f>HYPERLINK("https://www.spark-marketing.ru/Card/Person/1496504", "ГАУК ""САХАЛИНСКАЯ ФИЛАРМОНИЯ""")</f>
        <v>ГАУК "САХАЛИНСКАЯ ФИЛАРМОНИЯ"</v>
      </c>
      <c r="B2375" s="24" t="s">
        <v>4413</v>
      </c>
      <c r="C2375" s="25">
        <v>810000</v>
      </c>
      <c r="D2375" s="22" t="s">
        <v>4414</v>
      </c>
      <c r="E2375" s="22" t="s">
        <v>562</v>
      </c>
      <c r="F2375" s="23" t="str">
        <f>HYPERLINK("https://www.spark-marketing.ru/Card/Lot/73626344", "услуги по обеспечению питанием участников , в рамках проведения фестивального мероприятия «Спасская башня на Сахалине»")</f>
        <v>услуги по обеспечению питанием участников , в рамках проведения фестивального мероприятия «Спасская башня на Сахалине»</v>
      </c>
      <c r="G2375" s="22" t="s">
        <v>260</v>
      </c>
      <c r="H2375" s="22" t="s">
        <v>260</v>
      </c>
      <c r="I2375" s="26">
        <v>43727</v>
      </c>
      <c r="J2375" s="28" t="s">
        <v>51</v>
      </c>
      <c r="K2375" s="28" t="s">
        <v>51</v>
      </c>
      <c r="L2375" s="28" t="s">
        <v>51</v>
      </c>
      <c r="M2375" s="28" t="s">
        <v>51</v>
      </c>
      <c r="N2375" s="28" t="s">
        <v>51</v>
      </c>
    </row>
    <row r="2376" spans="1:14" x14ac:dyDescent="0.2">
      <c r="A2376" s="23" t="str">
        <f>HYPERLINK("https://www.spark-marketing.ru/Card/Person/1082131", "ГАУДО ОЦДОД")</f>
        <v>ГАУДО ОЦДОД</v>
      </c>
      <c r="B2376" s="24" t="s">
        <v>4415</v>
      </c>
      <c r="C2376" s="25">
        <v>198000</v>
      </c>
      <c r="D2376" s="22" t="s">
        <v>4416</v>
      </c>
      <c r="E2376" s="22" t="s">
        <v>362</v>
      </c>
      <c r="F2376" s="23" t="str">
        <f>HYPERLINK("https://www.spark-marketing.ru/Card/Lot/73633601", "Комплексные и отдельные туристские услуги (предоставление питания).")</f>
        <v>Комплексные и отдельные туристские услуги (предоставление питания).</v>
      </c>
      <c r="G2376" s="22" t="s">
        <v>162</v>
      </c>
      <c r="H2376" s="22" t="s">
        <v>162</v>
      </c>
      <c r="I2376" s="26">
        <v>43727</v>
      </c>
      <c r="J2376" s="28" t="s">
        <v>51</v>
      </c>
      <c r="K2376" s="28" t="s">
        <v>51</v>
      </c>
      <c r="L2376" s="22" t="s">
        <v>10</v>
      </c>
      <c r="M2376" s="25">
        <v>198000</v>
      </c>
      <c r="N2376" s="27">
        <v>0</v>
      </c>
    </row>
    <row r="2377" spans="1:14" x14ac:dyDescent="0.2">
      <c r="A2377" s="23" t="str">
        <f>HYPERLINK("https://www.spark-marketing.ru/Card/Person/1759787", "ГАУ ВО ЦСП ""ОЛИМП""")</f>
        <v>ГАУ ВО ЦСП "ОЛИМП"</v>
      </c>
      <c r="B2377" s="24" t="s">
        <v>4408</v>
      </c>
      <c r="C2377" s="25">
        <v>258000</v>
      </c>
      <c r="D2377" s="22" t="s">
        <v>4417</v>
      </c>
      <c r="E2377" s="22" t="s">
        <v>580</v>
      </c>
      <c r="F2377" s="23" t="str">
        <f>HYPERLINK("https://www.spark-marketing.ru/Card/Lot/73627387", "Услуги по питанию 430 участников Финальных соревнований «XXXVII Летних Сельских спортивных игр Волгоградской области», которые состоятся в Среднеахтубинском муниципальном районе Волгоградской области 26-29 сентября 2019 года")</f>
        <v>Услуги по питанию 430 участников Финальных соревнований «XXXVII Летних Сельских спортивных игр Волгоградской области», которые состоятся в Среднеахтубинском муниципальном районе Волгоградской области 26-29 сентября 2019 года</v>
      </c>
      <c r="G2377" s="22" t="s">
        <v>158</v>
      </c>
      <c r="H2377" s="22" t="s">
        <v>158</v>
      </c>
      <c r="I2377" s="26">
        <v>43727</v>
      </c>
      <c r="J2377" s="28" t="s">
        <v>51</v>
      </c>
      <c r="K2377" s="28" t="s">
        <v>51</v>
      </c>
      <c r="L2377" s="22" t="s">
        <v>10</v>
      </c>
      <c r="M2377" s="25">
        <v>258000</v>
      </c>
      <c r="N2377" s="27">
        <v>0</v>
      </c>
    </row>
    <row r="2378" spans="1:14" x14ac:dyDescent="0.2">
      <c r="A2378" s="23" t="str">
        <f>HYPERLINK("https://www.spark-marketing.ru/Card/Person/4373182", "ГАУ ""ЦСП СКС""")</f>
        <v>ГАУ "ЦСП СКС"</v>
      </c>
      <c r="B2378" s="24" t="s">
        <v>4418</v>
      </c>
      <c r="C2378" s="25">
        <v>451500</v>
      </c>
      <c r="D2378" s="22" t="s">
        <v>4419</v>
      </c>
      <c r="E2378" s="22" t="s">
        <v>362</v>
      </c>
      <c r="F2378" s="23" t="str">
        <f>HYPERLINK("https://www.spark-marketing.ru/Card/Lot/73641433", "Комплекс услуг по организации питания в рамках проведения Фестиваля водных видов спорта «Севастопольские паруса»")</f>
        <v>Комплекс услуг по организации питания в рамках проведения Фестиваля водных видов спорта «Севастопольские паруса»</v>
      </c>
      <c r="G2378" s="22" t="s">
        <v>322</v>
      </c>
      <c r="H2378" s="22" t="s">
        <v>322</v>
      </c>
      <c r="I2378" s="26">
        <v>43727</v>
      </c>
      <c r="J2378" s="28" t="s">
        <v>51</v>
      </c>
      <c r="K2378" s="28" t="s">
        <v>51</v>
      </c>
      <c r="L2378" s="28" t="s">
        <v>51</v>
      </c>
      <c r="M2378" s="25">
        <v>451500</v>
      </c>
      <c r="N2378" s="27">
        <v>0</v>
      </c>
    </row>
    <row r="2379" spans="1:14" x14ac:dyDescent="0.15">
      <c r="A2379" s="23" t="str">
        <f>HYPERLINK("https://www.spark-marketing.ru/Card/Person/6508171", "МАОУ СОШ № 216")</f>
        <v>МАОУ СОШ № 216</v>
      </c>
      <c r="B2379" s="24" t="s">
        <v>4420</v>
      </c>
      <c r="C2379" s="25">
        <v>1847880</v>
      </c>
      <c r="D2379" s="22" t="s">
        <v>4421</v>
      </c>
      <c r="E2379" s="22" t="s">
        <v>362</v>
      </c>
      <c r="F2379" s="23" t="str">
        <f>HYPERLINK("https://www.spark-marketing.ru/Card/Lot/73628687", "Оказание услуг по организации горячего питания обучающихся в муниципальных общеобразовательных учреждениях")</f>
        <v>Оказание услуг по организации горячего питания обучающихся в муниципальных общеобразовательных учреждениях</v>
      </c>
      <c r="G2379" s="22" t="s">
        <v>195</v>
      </c>
      <c r="H2379" s="22" t="s">
        <v>195</v>
      </c>
      <c r="I2379" s="26">
        <v>43727</v>
      </c>
      <c r="J2379" s="28" t="s">
        <v>51</v>
      </c>
      <c r="K2379" s="28" t="s">
        <v>51</v>
      </c>
      <c r="L2379" s="28" t="s">
        <v>51</v>
      </c>
      <c r="M2379" s="28" t="s">
        <v>51</v>
      </c>
      <c r="N2379" s="28" t="s">
        <v>51</v>
      </c>
    </row>
    <row r="2380" spans="1:14" x14ac:dyDescent="0.15">
      <c r="A2380" s="23" t="str">
        <f>HYPERLINK("https://www.spark-marketing.ru/Card/Person/100623", "ФГБУ «САНАТОРИЙ «КУРПАТЫ»")</f>
        <v>ФГБУ «САНАТОРИЙ «КУРПАТЫ»</v>
      </c>
      <c r="B2380" s="24" t="s">
        <v>2943</v>
      </c>
      <c r="C2380" s="25">
        <v>291500</v>
      </c>
      <c r="D2380" s="22" t="s">
        <v>4422</v>
      </c>
      <c r="E2380" s="22" t="s">
        <v>362</v>
      </c>
      <c r="F2380" s="23" t="str">
        <f>HYPERLINK("https://www.spark-marketing.ru/Card/Lot/73633558", "услуги общественного (лечебного) питания для основной категории лиц отдыхающих, заказное четырехразовое питание (завтрак, обед, ужин, второй ужин) по методу «ресторанное обслуживание»")</f>
        <v>услуги общественного (лечебного) питания для основной категории лиц отдыхающих, заказное четырехразовое питание (завтрак, обед, ужин, второй ужин) по методу «ресторанное обслуживание»</v>
      </c>
      <c r="G2380" s="22" t="s">
        <v>108</v>
      </c>
      <c r="H2380" s="22" t="s">
        <v>108</v>
      </c>
      <c r="I2380" s="26">
        <v>43727</v>
      </c>
      <c r="J2380" s="28" t="s">
        <v>51</v>
      </c>
      <c r="K2380" s="28" t="s">
        <v>51</v>
      </c>
      <c r="L2380" s="28" t="s">
        <v>51</v>
      </c>
      <c r="M2380" s="28" t="s">
        <v>51</v>
      </c>
      <c r="N2380" s="28" t="s">
        <v>51</v>
      </c>
    </row>
    <row r="2381" spans="1:14" x14ac:dyDescent="0.15">
      <c r="A2381" s="23" t="str">
        <f>HYPERLINK("https://www.spark-marketing.ru/Card/Person/923710", "ООО ""СЗРЦ КОНЦЕРНА ВКО ""АЛМАЗ - АНТЕЙ""")</f>
        <v>ООО "СЗРЦ КОНЦЕРНА ВКО "АЛМАЗ - АНТЕЙ"</v>
      </c>
      <c r="B2381" s="24" t="s">
        <v>4423</v>
      </c>
      <c r="C2381" s="25">
        <v>12860840</v>
      </c>
      <c r="D2381" s="22" t="s">
        <v>4424</v>
      </c>
      <c r="E2381" s="22" t="s">
        <v>362</v>
      </c>
      <c r="F2381" s="23" t="str">
        <f>HYPERLINK("https://www.spark-marketing.ru/Card/Lot/73641057", "Заказчик поручает, а Исполнитель принимает на себя обязательства оказывать услуги по организации питания (далее - Услуги) в корпусах Заказчика, на территории по адресу: пр. Обуховской Обороны, д. 120, лит. КЕ, ЕЯ с режимом работы: с 08:00 до 16:30, а...")</f>
        <v>Заказчик поручает, а Исполнитель принимает на себя обязательства оказывать услуги по организации питания (далее - Услуги) в корпусах Заказчика, на территории по адресу: пр. Обуховской Обороны, д. 120, лит. КЕ, ЕЯ с режимом работы: с 08:00 до 16:30, а...</v>
      </c>
      <c r="G2381" s="22" t="s">
        <v>117</v>
      </c>
      <c r="H2381" s="22" t="s">
        <v>117</v>
      </c>
      <c r="I2381" s="26">
        <v>43727</v>
      </c>
      <c r="J2381" s="28" t="s">
        <v>51</v>
      </c>
      <c r="K2381" s="28" t="s">
        <v>51</v>
      </c>
      <c r="L2381" s="28" t="s">
        <v>51</v>
      </c>
      <c r="M2381" s="28" t="s">
        <v>51</v>
      </c>
      <c r="N2381" s="28" t="s">
        <v>51</v>
      </c>
    </row>
    <row r="2382" spans="1:14" x14ac:dyDescent="0.15">
      <c r="A2382" s="23" t="str">
        <f>HYPERLINK("https://www.spark-marketing.ru/Card/Person/923710", "ООО ""СЗРЦ КОНЦЕРНА ВКО ""АЛМАЗ - АНТЕЙ""")</f>
        <v>ООО "СЗРЦ КОНЦЕРНА ВКО "АЛМАЗ - АНТЕЙ"</v>
      </c>
      <c r="B2382" s="24" t="s">
        <v>4423</v>
      </c>
      <c r="C2382" s="25">
        <v>26691024</v>
      </c>
      <c r="D2382" s="22" t="s">
        <v>4425</v>
      </c>
      <c r="E2382" s="22" t="s">
        <v>362</v>
      </c>
      <c r="F2382" s="23" t="str">
        <f>HYPERLINK("https://www.spark-marketing.ru/Card/Lot/73641002", "Заказчик поручает, а Исполнитель принимает на себя обязательства оказывать услуги по организации питания (далее - Услуги) в корпусах Заказчика, на территории по адресу: г. Санкт-Петербург, пр. Обуховской Обороны, д. 120, лит. ЕЧ, ЕЦ, КЛ с режимом раб...")</f>
        <v>Заказчик поручает, а Исполнитель принимает на себя обязательства оказывать услуги по организации питания (далее - Услуги) в корпусах Заказчика, на территории по адресу: г. Санкт-Петербург, пр. Обуховской Обороны, д. 120, лит. ЕЧ, ЕЦ, КЛ с режимом раб...</v>
      </c>
      <c r="G2382" s="22" t="s">
        <v>117</v>
      </c>
      <c r="H2382" s="22" t="s">
        <v>117</v>
      </c>
      <c r="I2382" s="26">
        <v>43727</v>
      </c>
      <c r="J2382" s="28" t="s">
        <v>51</v>
      </c>
      <c r="K2382" s="28" t="s">
        <v>51</v>
      </c>
      <c r="L2382" s="28" t="s">
        <v>51</v>
      </c>
      <c r="M2382" s="28" t="s">
        <v>51</v>
      </c>
      <c r="N2382" s="28" t="s">
        <v>51</v>
      </c>
    </row>
    <row r="2383" spans="1:14" x14ac:dyDescent="0.15">
      <c r="A2383" s="23" t="str">
        <f>HYPERLINK("https://www.spark-marketing.ru/Card/Person/1317183", "БМАОУ ""ЛИЦЕЙ № 7""")</f>
        <v>БМАОУ "ЛИЦЕЙ № 7"</v>
      </c>
      <c r="B2383" s="24" t="s">
        <v>4426</v>
      </c>
      <c r="C2383" s="25">
        <v>2773628</v>
      </c>
      <c r="D2383" s="22" t="s">
        <v>4427</v>
      </c>
      <c r="E2383" s="22" t="s">
        <v>362</v>
      </c>
      <c r="F2383" s="23" t="str">
        <f>HYPERLINK("https://www.spark-marketing.ru/Card/Lot/73553288", "Услуги по предоставлению горячего питания обучающимся в БМАОУ «Лицей № 7»")</f>
        <v>Услуги по предоставлению горячего питания обучающимся в БМАОУ «Лицей № 7»</v>
      </c>
      <c r="G2383" s="22" t="s">
        <v>174</v>
      </c>
      <c r="H2383" s="22" t="s">
        <v>1545</v>
      </c>
      <c r="I2383" s="26">
        <v>43725</v>
      </c>
      <c r="J2383" s="28" t="s">
        <v>51</v>
      </c>
      <c r="K2383" s="28" t="s">
        <v>51</v>
      </c>
      <c r="L2383" s="28" t="s">
        <v>51</v>
      </c>
      <c r="M2383" s="28" t="s">
        <v>51</v>
      </c>
      <c r="N2383" s="28" t="s">
        <v>51</v>
      </c>
    </row>
    <row r="2384" spans="1:14" x14ac:dyDescent="0.15">
      <c r="A2384" s="23" t="str">
        <f>HYPERLINK("https://www.spark-marketing.ru/Card/Person/6508171", "МАОУ СОШ № 216")</f>
        <v>МАОУ СОШ № 216</v>
      </c>
      <c r="B2384" s="24" t="s">
        <v>4420</v>
      </c>
      <c r="C2384" s="25">
        <v>289518</v>
      </c>
      <c r="D2384" s="22" t="s">
        <v>4428</v>
      </c>
      <c r="E2384" s="22" t="s">
        <v>362</v>
      </c>
      <c r="F2384" s="23" t="str">
        <f>HYPERLINK("https://www.spark-marketing.ru/Card/Lot/73627931", "Оказание услуг по организации двухразового горячего питания обучающихся в муниципальных общеобразовательных учреждениях с ограниченными возможностями здоровья")</f>
        <v>Оказание услуг по организации двухразового горячего питания обучающихся в муниципальных общеобразовательных учреждениях с ограниченными возможностями здоровья</v>
      </c>
      <c r="G2384" s="22" t="s">
        <v>195</v>
      </c>
      <c r="H2384" s="22" t="s">
        <v>195</v>
      </c>
      <c r="I2384" s="26">
        <v>43727</v>
      </c>
      <c r="J2384" s="28" t="s">
        <v>51</v>
      </c>
      <c r="K2384" s="28" t="s">
        <v>51</v>
      </c>
      <c r="L2384" s="28" t="s">
        <v>51</v>
      </c>
      <c r="M2384" s="28" t="s">
        <v>51</v>
      </c>
      <c r="N2384" s="28" t="s">
        <v>51</v>
      </c>
    </row>
    <row r="2385" spans="1:14" x14ac:dyDescent="0.2">
      <c r="A2385" s="23" t="str">
        <f>HYPERLINK("https://www.spark-marketing.ru/Card/Person/539487", "ГАНОУ СО ""ДВОРЕЦ МОЛОДЁЖИ""")</f>
        <v>ГАНОУ СО "ДВОРЕЦ МОЛОДЁЖИ"</v>
      </c>
      <c r="B2385" s="24" t="s">
        <v>4429</v>
      </c>
      <c r="C2385" s="25">
        <v>337500</v>
      </c>
      <c r="D2385" s="22" t="s">
        <v>4430</v>
      </c>
      <c r="E2385" s="22" t="s">
        <v>4431</v>
      </c>
      <c r="F2385" s="23" t="str">
        <f>HYPERLINK("https://www.spark-marketing.ru/Card/Lot/73627952", "Оказание услуг по организации питания участников областного туристско-краеведческого Фестиваля обучающихся Свердловской области «Исследователи Земли»")</f>
        <v>Оказание услуг по организации питания участников областного туристско-краеведческого Фестиваля обучающихся Свердловской области «Исследователи Земли»</v>
      </c>
      <c r="G2385" s="22" t="s">
        <v>174</v>
      </c>
      <c r="H2385" s="22" t="s">
        <v>174</v>
      </c>
      <c r="I2385" s="26">
        <v>43727</v>
      </c>
      <c r="J2385" s="28" t="s">
        <v>51</v>
      </c>
      <c r="K2385" s="28" t="s">
        <v>51</v>
      </c>
      <c r="L2385" s="28" t="s">
        <v>51</v>
      </c>
      <c r="M2385" s="25">
        <v>337500</v>
      </c>
      <c r="N2385" s="27">
        <v>0</v>
      </c>
    </row>
    <row r="2386" spans="1:14" x14ac:dyDescent="0.15">
      <c r="A2386" s="23" t="str">
        <f>HYPERLINK("https://www.spark-marketing.ru/Card/Person/4383469", "ГАУ НО ""ДИРЕКЦИЯ ПО ПРОВЕДЕНИЮ СПОРТИВНЫХ И ЗРЕЛИЩНЫХ МЕРОПРИЯТИЙ""")</f>
        <v>ГАУ НО "ДИРЕКЦИЯ ПО ПРОВЕДЕНИЮ СПОРТИВНЫХ И ЗРЕЛИЩНЫХ МЕРОПРИЯТИЙ"</v>
      </c>
      <c r="B2386" s="24" t="s">
        <v>4236</v>
      </c>
      <c r="C2386" s="25">
        <v>5495000</v>
      </c>
      <c r="D2386" s="22" t="s">
        <v>4432</v>
      </c>
      <c r="E2386" s="22" t="s">
        <v>362</v>
      </c>
      <c r="F2386" s="23" t="str">
        <f>HYPERLINK("https://www.spark-marketing.ru/Card/Lot/73647354", "оказание услуг общественного питания в период проведения в г. Нижнем Новгороде Международного спортивного форума «Россия - спортивная держава»")</f>
        <v>оказание услуг общественного питания в период проведения в г. Нижнем Новгороде Международного спортивного форума «Россия - спортивная держава»</v>
      </c>
      <c r="G2386" s="22" t="s">
        <v>76</v>
      </c>
      <c r="H2386" s="22" t="s">
        <v>76</v>
      </c>
      <c r="I2386" s="26">
        <v>43727</v>
      </c>
      <c r="J2386" s="28" t="s">
        <v>51</v>
      </c>
      <c r="K2386" s="28" t="s">
        <v>51</v>
      </c>
      <c r="L2386" s="28" t="s">
        <v>51</v>
      </c>
      <c r="M2386" s="28" t="s">
        <v>51</v>
      </c>
      <c r="N2386" s="28" t="s">
        <v>51</v>
      </c>
    </row>
    <row r="2387" spans="1:14" x14ac:dyDescent="0.15">
      <c r="A2387" s="23" t="str">
        <f>HYPERLINK("https://www.spark-marketing.ru/Card/Person/1762402", "МАОУ ""СОШ №29"" ГОРОДСКОГО ОКРУГА Г.СТЕРЛИТАМАК РБ")</f>
        <v>МАОУ "СОШ №29" ГОРОДСКОГО ОКРУГА Г.СТЕРЛИТАМАК РБ</v>
      </c>
      <c r="B2387" s="24" t="s">
        <v>4433</v>
      </c>
      <c r="C2387" s="25">
        <v>216550</v>
      </c>
      <c r="D2387" s="22" t="s">
        <v>4434</v>
      </c>
      <c r="E2387" s="22" t="s">
        <v>2217</v>
      </c>
      <c r="F2387" s="23" t="str">
        <f>HYPERLINK("https://www.spark-marketing.ru/Card/Lot/73631444", "Организация питания обучающихся из многодетных малообеспеченных семей")</f>
        <v>Организация питания обучающихся из многодетных малообеспеченных семей</v>
      </c>
      <c r="G2387" s="22" t="s">
        <v>145</v>
      </c>
      <c r="H2387" s="22" t="s">
        <v>145</v>
      </c>
      <c r="I2387" s="26">
        <v>43727</v>
      </c>
      <c r="J2387" s="28" t="s">
        <v>51</v>
      </c>
      <c r="K2387" s="28" t="s">
        <v>51</v>
      </c>
      <c r="L2387" s="28" t="s">
        <v>51</v>
      </c>
      <c r="M2387" s="28" t="s">
        <v>51</v>
      </c>
      <c r="N2387" s="28" t="s">
        <v>51</v>
      </c>
    </row>
    <row r="2388" spans="1:14" x14ac:dyDescent="0.15">
      <c r="A2388" s="23" t="str">
        <f>HYPERLINK("https://www.spark-marketing.ru/Card/Person/119357", "МАОУ ""СОШ №24""")</f>
        <v>МАОУ "СОШ №24"</v>
      </c>
      <c r="B2388" s="24" t="s">
        <v>4435</v>
      </c>
      <c r="C2388" s="25">
        <v>1572840.96</v>
      </c>
      <c r="D2388" s="22" t="s">
        <v>4436</v>
      </c>
      <c r="E2388" s="22" t="s">
        <v>362</v>
      </c>
      <c r="F2388" s="23" t="str">
        <f>HYPERLINK("https://www.spark-marketing.ru/Card/Lot/73627041", "Оказание услуг по организации двухразового горячего питания для льготной категории учащихся на базе столовой МАОУ ""СОШ №24"" г.Удачный, Мирнинского района РС(Я)")</f>
        <v>Оказание услуг по организации двухразового горячего питания для льготной категории учащихся на базе столовой МАОУ "СОШ №24" г.Удачный, Мирнинского района РС(Я)</v>
      </c>
      <c r="G2388" s="22" t="s">
        <v>241</v>
      </c>
      <c r="H2388" s="22" t="s">
        <v>241</v>
      </c>
      <c r="I2388" s="26">
        <v>43727</v>
      </c>
      <c r="J2388" s="28" t="s">
        <v>51</v>
      </c>
      <c r="K2388" s="28" t="s">
        <v>51</v>
      </c>
      <c r="L2388" s="28" t="s">
        <v>51</v>
      </c>
      <c r="M2388" s="28" t="s">
        <v>51</v>
      </c>
      <c r="N2388" s="28" t="s">
        <v>51</v>
      </c>
    </row>
    <row r="2389" spans="1:14" x14ac:dyDescent="0.2">
      <c r="A2389" s="23" t="str">
        <f>HYPERLINK("https://www.spark-marketing.ru/Card/Person/1763097", "КГАУ ""СШОР ПО ФУТБОЛУ ""ЕНИСЕЙ""")</f>
        <v>КГАУ "СШОР ПО ФУТБОЛУ "ЕНИСЕЙ"</v>
      </c>
      <c r="B2389" s="24" t="s">
        <v>4437</v>
      </c>
      <c r="C2389" s="25">
        <v>2297516</v>
      </c>
      <c r="D2389" s="22" t="s">
        <v>4438</v>
      </c>
      <c r="E2389" s="22" t="s">
        <v>769</v>
      </c>
      <c r="F2389" s="23" t="str">
        <f>HYPERLINK("https://www.spark-marketing.ru/Card/Lot/73628688", "услуги по проживанию и питанию участников соревнований среди детских спортивных школ Красноярского края по игровым видам спорта ""Звезды Красноярья""")</f>
        <v>услуги по проживанию и питанию участников соревнований среди детских спортивных школ Красноярского края по игровым видам спорта "Звезды Красноярья"</v>
      </c>
      <c r="G2389" s="22" t="s">
        <v>281</v>
      </c>
      <c r="H2389" s="22" t="s">
        <v>281</v>
      </c>
      <c r="I2389" s="26">
        <v>43727</v>
      </c>
      <c r="J2389" s="28" t="s">
        <v>51</v>
      </c>
      <c r="K2389" s="28" t="s">
        <v>51</v>
      </c>
      <c r="L2389" s="22" t="s">
        <v>10</v>
      </c>
      <c r="M2389" s="25">
        <v>2297516</v>
      </c>
      <c r="N2389" s="27">
        <v>0</v>
      </c>
    </row>
    <row r="2390" spans="1:14" x14ac:dyDescent="0.2">
      <c r="A2390" s="23" t="str">
        <f>HYPERLINK("https://www.spark-marketing.ru/Card/Person/4413836", "ГАПОУ ТО ""ТЛТ""")</f>
        <v>ГАПОУ ТО "ТЛТ"</v>
      </c>
      <c r="B2390" s="24" t="s">
        <v>4439</v>
      </c>
      <c r="C2390" s="25">
        <v>1565981</v>
      </c>
      <c r="D2390" s="22" t="s">
        <v>4440</v>
      </c>
      <c r="E2390" s="22" t="s">
        <v>362</v>
      </c>
      <c r="F2390" s="23" t="str">
        <f>HYPERLINK("https://www.spark-marketing.ru/Card/Lot/72994078", "Оказание услуг по обеспечению питанием обучающихся по талонной системе")</f>
        <v>Оказание услуг по обеспечению питанием обучающихся по талонной системе</v>
      </c>
      <c r="G2390" s="22" t="s">
        <v>766</v>
      </c>
      <c r="H2390" s="22" t="s">
        <v>766</v>
      </c>
      <c r="I2390" s="26">
        <v>43700</v>
      </c>
      <c r="J2390" s="28" t="s">
        <v>51</v>
      </c>
      <c r="K2390" s="28" t="s">
        <v>51</v>
      </c>
      <c r="L2390" s="22" t="s">
        <v>10</v>
      </c>
      <c r="M2390" s="25">
        <v>350000</v>
      </c>
      <c r="N2390" s="27">
        <v>0.77649792685862729</v>
      </c>
    </row>
    <row r="2391" spans="1:14" x14ac:dyDescent="0.15">
      <c r="A2391" s="23" t="str">
        <f>HYPERLINK("https://www.spark-marketing.ru/Card/Person/27407", "ФГБОУ ВО ""ЧЕЛГУ""")</f>
        <v>ФГБОУ ВО "ЧЕЛГУ"</v>
      </c>
      <c r="B2391" s="24" t="s">
        <v>4441</v>
      </c>
      <c r="C2391" s="25">
        <v>121917.5</v>
      </c>
      <c r="D2391" s="22" t="s">
        <v>4442</v>
      </c>
      <c r="E2391" s="22" t="s">
        <v>554</v>
      </c>
      <c r="F2391" s="23" t="str">
        <f>HYPERLINK("https://www.spark-marketing.ru/Card/Lot/73634386", "Оказание услуг по обеспечению проезда к месту пребывания и обратно, найма жилого помещения (в том числе оплата гостиничного номера), транспортного обслуживания ТРИЗ-консультанта и обеспечению питанием слушателей по программе повышения квалификации «В...")</f>
        <v>Оказание услуг по обеспечению проезда к месту пребывания и обратно, найма жилого помещения (в том числе оплата гостиничного номера), транспортного обслуживания ТРИЗ-консультанта и обеспечению питанием слушателей по программе повышения квалификации «В...</v>
      </c>
      <c r="G2391" s="22" t="s">
        <v>469</v>
      </c>
      <c r="H2391" s="22" t="s">
        <v>469</v>
      </c>
      <c r="I2391" s="26">
        <v>43727</v>
      </c>
      <c r="J2391" s="28" t="s">
        <v>51</v>
      </c>
      <c r="K2391" s="28" t="s">
        <v>51</v>
      </c>
      <c r="L2391" s="28" t="s">
        <v>51</v>
      </c>
      <c r="M2391" s="28" t="s">
        <v>51</v>
      </c>
      <c r="N2391" s="28" t="s">
        <v>51</v>
      </c>
    </row>
    <row r="2392" spans="1:14" x14ac:dyDescent="0.2">
      <c r="A2392" s="23" t="str">
        <f>HYPERLINK("https://www.spark-marketing.ru/Card/Person/1759787", "ГАУ ВО ЦСП ""ОЛИМП""")</f>
        <v>ГАУ ВО ЦСП "ОЛИМП"</v>
      </c>
      <c r="B2392" s="24" t="s">
        <v>4408</v>
      </c>
      <c r="C2392" s="25">
        <v>318000</v>
      </c>
      <c r="D2392" s="22" t="s">
        <v>4443</v>
      </c>
      <c r="E2392" s="22" t="s">
        <v>580</v>
      </c>
      <c r="F2392" s="23" t="str">
        <f>HYPERLINK("https://www.spark-marketing.ru/Card/Lot/73628547", "Услуги по питанию 480 участников Финальных соревнований «XXXVII Летних Сельских спортивных игр Волгоградской области», которые состоятся в Среднеахтубинском муниципальном районе Волгоградской области 26-29 сентября 2019 года")</f>
        <v>Услуги по питанию 480 участников Финальных соревнований «XXXVII Летних Сельских спортивных игр Волгоградской области», которые состоятся в Среднеахтубинском муниципальном районе Волгоградской области 26-29 сентября 2019 года</v>
      </c>
      <c r="G2392" s="22" t="s">
        <v>158</v>
      </c>
      <c r="H2392" s="22" t="s">
        <v>158</v>
      </c>
      <c r="I2392" s="26">
        <v>43727</v>
      </c>
      <c r="J2392" s="28" t="s">
        <v>51</v>
      </c>
      <c r="K2392" s="28" t="s">
        <v>51</v>
      </c>
      <c r="L2392" s="22" t="s">
        <v>10</v>
      </c>
      <c r="M2392" s="25">
        <v>318000</v>
      </c>
      <c r="N2392" s="27">
        <v>0</v>
      </c>
    </row>
    <row r="2393" spans="1:14" x14ac:dyDescent="0.15">
      <c r="A2393" s="23" t="str">
        <f>HYPERLINK("https://www.spark-marketing.ru/Card/Person/1760891", "ГУ-РО ФОНДА СОЦИАЛЬНОГО СТРАХОВАНИЯ РОССИЙСКОЙ ФЕДЕРАЦИИ ПО РЕСПУБЛИКЕ ТАТАРСТАН")</f>
        <v>ГУ-РО ФОНДА СОЦИАЛЬНОГО СТРАХОВАНИЯ РОССИЙСКОЙ ФЕДЕРАЦИИ ПО РЕСПУБЛИКЕ ТАТАРСТАН</v>
      </c>
      <c r="B2393" s="24" t="s">
        <v>4444</v>
      </c>
      <c r="C2393" s="25">
        <v>4392000</v>
      </c>
      <c r="D2393" s="22" t="s">
        <v>4445</v>
      </c>
      <c r="E2393" s="22" t="s">
        <v>86</v>
      </c>
      <c r="F2393" s="23" t="str">
        <f>HYPERLINK("https://www.spark-marketing.ru/Card/Lot/73621899", "Оказание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по Классу XI М...")</f>
        <v>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по Классу XI М...</v>
      </c>
      <c r="G2393" s="22" t="s">
        <v>217</v>
      </c>
      <c r="H2393" s="22" t="s">
        <v>937</v>
      </c>
      <c r="I2393" s="26">
        <v>43726.726238425901</v>
      </c>
      <c r="J2393" s="28" t="s">
        <v>51</v>
      </c>
      <c r="K2393" s="28" t="s">
        <v>51</v>
      </c>
      <c r="L2393" s="28" t="s">
        <v>51</v>
      </c>
      <c r="M2393" s="28" t="s">
        <v>51</v>
      </c>
      <c r="N2393" s="28" t="s">
        <v>51</v>
      </c>
    </row>
    <row r="2394" spans="1:14" ht="12.75" hidden="1" outlineLevel="1" x14ac:dyDescent="0.2">
      <c r="A2394" s="23" t="str">
        <f>HYPERLINK("https://www.spark-marketing.ru/Card/Person/1760891", "ГУ-РО ФОНДА СОЦИАЛЬНОГО СТРАХОВАНИЯ РОССИЙСКОЙ ФЕДЕРАЦИИ ПО РЕСПУБЛИКЕ ТАТАРСТАН")</f>
        <v>ГУ-РО ФОНДА СОЦИАЛЬНОГО СТРАХОВАНИЯ РОССИЙСКОЙ ФЕДЕРАЦИИ ПО РЕСПУБЛИКЕ ТАТАРСТАН</v>
      </c>
      <c r="B2394" s="24" t="s">
        <v>4444</v>
      </c>
      <c r="C2394" s="25">
        <v>4392000</v>
      </c>
      <c r="D2394" s="22" t="s">
        <v>4445</v>
      </c>
      <c r="E2394" s="22" t="s">
        <v>86</v>
      </c>
      <c r="F2394" s="23" t="str">
        <f>HYPERLINK("https://www.spark-marketing.ru/Card/Lot/73621899", "Оказание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по Классу XI М...")</f>
        <v>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по Классу XI М...</v>
      </c>
      <c r="G2394" s="22" t="s">
        <v>217</v>
      </c>
      <c r="H2394" s="22" t="s">
        <v>937</v>
      </c>
      <c r="I2394" s="26">
        <v>43726.726238425901</v>
      </c>
      <c r="J2394" s="23" t="str">
        <f>HYPERLINK("https://www.spark-marketing.ru/Card/Person/161148", "УЧРЕЖДЕНИЕ ПРОФСОЮЗОВ САНАТОРИЙ ""ВАСИЛЬЕВСКИЙ""")</f>
        <v>УЧРЕЖДЕНИЕ ПРОФСОЮЗОВ САНАТОРИЙ "ВАСИЛЬЕВСКИЙ"</v>
      </c>
      <c r="K2394" s="24" t="s">
        <v>4446</v>
      </c>
      <c r="L2394" s="22" t="s">
        <v>10</v>
      </c>
      <c r="M2394" s="25">
        <v>4392000</v>
      </c>
      <c r="N2394" s="27">
        <v>0</v>
      </c>
    </row>
    <row r="2395" spans="1:14" ht="12.75" hidden="1" outlineLevel="1" x14ac:dyDescent="0.2">
      <c r="A2395" s="23" t="str">
        <f>HYPERLINK("https://www.spark-marketing.ru/Card/Person/1760891", "ГУ-РО ФОНДА СОЦИАЛЬНОГО СТРАХОВАНИЯ РОССИЙСКОЙ ФЕДЕРАЦИИ ПО РЕСПУБЛИКЕ ТАТАРСТАН")</f>
        <v>ГУ-РО ФОНДА СОЦИАЛЬНОГО СТРАХОВАНИЯ РОССИЙСКОЙ ФЕДЕРАЦИИ ПО РЕСПУБЛИКЕ ТАТАРСТАН</v>
      </c>
      <c r="B2395" s="24" t="s">
        <v>4444</v>
      </c>
      <c r="C2395" s="25">
        <v>4392000</v>
      </c>
      <c r="D2395" s="22" t="s">
        <v>4445</v>
      </c>
      <c r="E2395" s="22" t="s">
        <v>86</v>
      </c>
      <c r="F2395" s="23" t="str">
        <f>HYPERLINK("https://www.spark-marketing.ru/Card/Lot/73621899", "Оказание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по Классу XI М...")</f>
        <v>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по Классу XI М...</v>
      </c>
      <c r="G2395" s="22" t="s">
        <v>217</v>
      </c>
      <c r="H2395" s="22" t="s">
        <v>937</v>
      </c>
      <c r="I2395" s="26">
        <v>43726.726238425901</v>
      </c>
      <c r="J2395" s="23" t="str">
        <f>HYPERLINK("https://www.spark-marketing.ru/Card/Person/120496", "УЧРЕЖДЕНИЕ ПРОФСОЮЗОВ САНАТОРИЙ ""ЛИВАДИЯ""")</f>
        <v>УЧРЕЖДЕНИЕ ПРОФСОЮЗОВ САНАТОРИЙ "ЛИВАДИЯ"</v>
      </c>
      <c r="K2395" s="24" t="s">
        <v>4447</v>
      </c>
      <c r="L2395" s="22" t="s">
        <v>10</v>
      </c>
      <c r="M2395" s="25">
        <v>4391000</v>
      </c>
      <c r="N2395" s="27">
        <v>2.2768670309653916E-4</v>
      </c>
    </row>
    <row r="2396" spans="1:14" hidden="1" outlineLevel="1" x14ac:dyDescent="0.2">
      <c r="A2396" s="23" t="str">
        <f>HYPERLINK("https://www.spark-marketing.ru/Card/Person/1760891", "ГУ-РО ФОНДА СОЦИАЛЬНОГО СТРАХОВАНИЯ РОССИЙСКОЙ ФЕДЕРАЦИИ ПО РЕСПУБЛИКЕ ТАТАРСТАН")</f>
        <v>ГУ-РО ФОНДА СОЦИАЛЬНОГО СТРАХОВАНИЯ РОССИЙСКОЙ ФЕДЕРАЦИИ ПО РЕСПУБЛИКЕ ТАТАРСТАН</v>
      </c>
      <c r="B2396" s="24" t="s">
        <v>4444</v>
      </c>
      <c r="C2396" s="25">
        <v>4392000</v>
      </c>
      <c r="D2396" s="22" t="s">
        <v>4445</v>
      </c>
      <c r="E2396" s="22" t="s">
        <v>86</v>
      </c>
      <c r="F2396" s="23" t="str">
        <f>HYPERLINK("https://www.spark-marketing.ru/Card/Lot/73621899", "Оказание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по Классу XI М...")</f>
        <v>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по Классу XI М...</v>
      </c>
      <c r="G2396" s="22" t="s">
        <v>217</v>
      </c>
      <c r="H2396" s="22" t="s">
        <v>937</v>
      </c>
      <c r="I2396" s="26">
        <v>43726.726238425901</v>
      </c>
      <c r="J2396" s="23" t="str">
        <f>HYPERLINK("https://www.spark-marketing.ru/Card/Person/5824866", "АНО ""САНАТОРИЙ-ПРОФИЛАКТОРИЙ ""ГОЛУБОЕ ОЗЕРО""")</f>
        <v>АНО "САНАТОРИЙ-ПРОФИЛАКТОРИЙ "ГОЛУБОЕ ОЗЕРО"</v>
      </c>
      <c r="K2396" s="24" t="s">
        <v>4448</v>
      </c>
      <c r="L2396" s="28" t="s">
        <v>51</v>
      </c>
      <c r="M2396" s="25">
        <v>3960000</v>
      </c>
      <c r="N2396" s="27">
        <v>9.8360655737704916E-2</v>
      </c>
    </row>
    <row r="2397" spans="1:14" x14ac:dyDescent="0.15">
      <c r="A2397" s="23" t="str">
        <f>HYPERLINK("https://www.spark-marketing.ru/Card/Person/22167", "БИРОБИДЖАНСКАЯ ТАМОЖНЯ")</f>
        <v>БИРОБИДЖАНСКАЯ ТАМОЖНЯ</v>
      </c>
      <c r="B2397" s="24" t="s">
        <v>4449</v>
      </c>
      <c r="C2397" s="25">
        <v>1503100</v>
      </c>
      <c r="D2397" s="22" t="s">
        <v>4450</v>
      </c>
      <c r="E2397" s="22" t="s">
        <v>355</v>
      </c>
      <c r="F2397" s="23" t="str">
        <f>HYPERLINK("https://www.spark-marketing.ru/Card/Lot/73621291", "Оказание услуг по текущему ремонту и техническому обслуживанию источника бесперебойного питания")</f>
        <v>Оказание услуг по текущему ремонту и техническому обслуживанию источника бесперебойного питания</v>
      </c>
      <c r="G2397" s="22" t="s">
        <v>4451</v>
      </c>
      <c r="H2397" s="22" t="s">
        <v>4452</v>
      </c>
      <c r="I2397" s="26">
        <v>43726.730358796303</v>
      </c>
      <c r="J2397" s="23" t="str">
        <f>HYPERLINK("https://www.spark-marketing.ru/Card/Person/82635", "ООО ""ДРСЦ ""КОМПЬЮЛИНК""")</f>
        <v>ООО "ДРСЦ "КОМПЬЮЛИНК"</v>
      </c>
      <c r="K2397" s="24" t="s">
        <v>4453</v>
      </c>
      <c r="L2397" s="22" t="s">
        <v>10</v>
      </c>
      <c r="M2397" s="28" t="s">
        <v>51</v>
      </c>
      <c r="N2397" s="28" t="s">
        <v>51</v>
      </c>
    </row>
    <row r="2398" spans="1:14" x14ac:dyDescent="0.15">
      <c r="A2398" s="23" t="str">
        <f>HYPERLINK("https://www.spark-marketing.ru/Card/Person/1760891", "ГУ-РО ФОНДА СОЦИАЛЬНОГО СТРАХОВАНИЯ РОССИЙСКОЙ ФЕДЕРАЦИИ ПО РЕСПУБЛИКЕ ТАТАРСТАН")</f>
        <v>ГУ-РО ФОНДА СОЦИАЛЬНОГО СТРАХОВАНИЯ РОССИЙСКОЙ ФЕДЕРАЦИИ ПО РЕСПУБЛИКЕ ТАТАРСТАН</v>
      </c>
      <c r="B2398" s="24" t="s">
        <v>4444</v>
      </c>
      <c r="C2398" s="25">
        <v>512400</v>
      </c>
      <c r="D2398" s="22" t="s">
        <v>4454</v>
      </c>
      <c r="E2398" s="22" t="s">
        <v>86</v>
      </c>
      <c r="F2398" s="23" t="str">
        <f>HYPERLINK("https://www.spark-marketing.ru/Card/Lot/73619874", "Оказание услуг в 2019 году по санаторно-курортному лечению граждан (детей-инвалидов),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лечен...")</f>
        <v>Оказание услуг в 2019 году по санаторно-курортному лечению граждан (детей-инвалидов),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лечен...</v>
      </c>
      <c r="G2398" s="22" t="s">
        <v>217</v>
      </c>
      <c r="H2398" s="22" t="s">
        <v>937</v>
      </c>
      <c r="I2398" s="26">
        <v>43726.734027777798</v>
      </c>
      <c r="J2398" s="23" t="str">
        <f>HYPERLINK("https://www.spark-marketing.ru/Card/Person/120496", "УЧРЕЖДЕНИЕ ПРОФСОЮЗОВ САНАТОРИЙ ""ЛИВАДИЯ""")</f>
        <v>УЧРЕЖДЕНИЕ ПРОФСОЮЗОВ САНАТОРИЙ "ЛИВАДИЯ"</v>
      </c>
      <c r="K2398" s="24" t="s">
        <v>4447</v>
      </c>
      <c r="L2398" s="22" t="s">
        <v>10</v>
      </c>
      <c r="M2398" s="28" t="s">
        <v>51</v>
      </c>
      <c r="N2398" s="28" t="s">
        <v>51</v>
      </c>
    </row>
    <row r="2399" spans="1:14" x14ac:dyDescent="0.15">
      <c r="A2399" s="23" t="str">
        <f>HYPERLINK("https://www.spark-marketing.ru/Card/Person/4373980", "ОТДЕЛ МВД РОССИИ ПО ТУАПСИНСКОМУ РАЙОНУ")</f>
        <v>ОТДЕЛ МВД РОССИИ ПО ТУАПСИНСКОМУ РАЙОНУ</v>
      </c>
      <c r="B2399" s="24" t="s">
        <v>4455</v>
      </c>
      <c r="C2399" s="25">
        <v>2430000</v>
      </c>
      <c r="D2399" s="22" t="s">
        <v>4456</v>
      </c>
      <c r="E2399" s="22" t="s">
        <v>48</v>
      </c>
      <c r="F2399" s="23" t="str">
        <f>HYPERLINK("https://www.spark-marketing.ru/Card/Lot/73621772", "Оказание услуг по обеспечению ежедневным трехразовым горячим питанием, в том числе в выходные и праздничные дни, лиц, содержащихся в изоляторе временного содержания, Специальном приемнике для содержания лиц, арестованных в административном порядке, а...")</f>
        <v>Оказание услуг по обеспечению ежедневным трехразовым горячим питанием, в том числе в выходные и праздничные дни, лиц, содержащихся в изоляторе временного содержания, Специальном приемнике для содержания лиц, арестованных в административном порядке, а...</v>
      </c>
      <c r="G2399" s="22" t="s">
        <v>104</v>
      </c>
      <c r="H2399" s="22" t="s">
        <v>4457</v>
      </c>
      <c r="I2399" s="26">
        <v>43726.709965277798</v>
      </c>
      <c r="J2399" s="28" t="s">
        <v>51</v>
      </c>
      <c r="K2399" s="28" t="s">
        <v>51</v>
      </c>
      <c r="L2399" s="28" t="s">
        <v>51</v>
      </c>
      <c r="M2399" s="28" t="s">
        <v>51</v>
      </c>
      <c r="N2399" s="28" t="s">
        <v>51</v>
      </c>
    </row>
    <row r="2400" spans="1:14" ht="12.75" hidden="1" outlineLevel="1" x14ac:dyDescent="0.2">
      <c r="A2400" s="23" t="str">
        <f>HYPERLINK("https://www.spark-marketing.ru/Card/Person/4373980", "ОТДЕЛ МВД РОССИИ ПО ТУАПСИНСКОМУ РАЙОНУ")</f>
        <v>ОТДЕЛ МВД РОССИИ ПО ТУАПСИНСКОМУ РАЙОНУ</v>
      </c>
      <c r="B2400" s="24" t="s">
        <v>4455</v>
      </c>
      <c r="C2400" s="25">
        <v>2430000</v>
      </c>
      <c r="D2400" s="22" t="s">
        <v>4456</v>
      </c>
      <c r="E2400" s="22" t="s">
        <v>48</v>
      </c>
      <c r="F2400" s="23" t="str">
        <f>HYPERLINK("https://www.spark-marketing.ru/Card/Lot/73621772", "Оказание услуг по обеспечению ежедневным трехразовым горячим питанием, в том числе в выходные и праздничные дни, лиц, содержащихся в изоляторе временного содержания, Специальном приемнике для содержания лиц, арестованных в административном порядке, а...")</f>
        <v>Оказание услуг по обеспечению ежедневным трехразовым горячим питанием, в том числе в выходные и праздничные дни, лиц, содержащихся в изоляторе временного содержания, Специальном приемнике для содержания лиц, арестованных в административном порядке, а...</v>
      </c>
      <c r="G2400" s="22" t="s">
        <v>104</v>
      </c>
      <c r="H2400" s="22" t="s">
        <v>4457</v>
      </c>
      <c r="I2400" s="26">
        <v>43726.709965277798</v>
      </c>
      <c r="J2400" s="23" t="str">
        <f>HYPERLINK("https://www.spark-marketing.ru/Card/Person/893286", "Белова Елена Геннадьевна")</f>
        <v>Белова Елена Геннадьевна</v>
      </c>
      <c r="K2400" s="24" t="s">
        <v>4458</v>
      </c>
      <c r="L2400" s="22" t="s">
        <v>10</v>
      </c>
      <c r="M2400" s="25">
        <v>1968300</v>
      </c>
      <c r="N2400" s="27">
        <v>0.19</v>
      </c>
    </row>
    <row r="2401" spans="1:14" hidden="1" outlineLevel="1" x14ac:dyDescent="0.2">
      <c r="A2401" s="23" t="str">
        <f>HYPERLINK("https://www.spark-marketing.ru/Card/Person/4373980", "ОТДЕЛ МВД РОССИИ ПО ТУАПСИНСКОМУ РАЙОНУ")</f>
        <v>ОТДЕЛ МВД РОССИИ ПО ТУАПСИНСКОМУ РАЙОНУ</v>
      </c>
      <c r="B2401" s="24" t="s">
        <v>4455</v>
      </c>
      <c r="C2401" s="25">
        <v>2430000</v>
      </c>
      <c r="D2401" s="22" t="s">
        <v>4456</v>
      </c>
      <c r="E2401" s="22" t="s">
        <v>48</v>
      </c>
      <c r="F2401" s="23" t="str">
        <f>HYPERLINK("https://www.spark-marketing.ru/Card/Lot/73621772", "Оказание услуг по обеспечению ежедневным трехразовым горячим питанием, в том числе в выходные и праздничные дни, лиц, содержащихся в изоляторе временного содержания, Специальном приемнике для содержания лиц, арестованных в административном порядке, а...")</f>
        <v>Оказание услуг по обеспечению ежедневным трехразовым горячим питанием, в том числе в выходные и праздничные дни, лиц, содержащихся в изоляторе временного содержания, Специальном приемнике для содержания лиц, арестованных в административном порядке, а...</v>
      </c>
      <c r="G2401" s="22" t="s">
        <v>104</v>
      </c>
      <c r="H2401" s="22" t="s">
        <v>4457</v>
      </c>
      <c r="I2401" s="26">
        <v>43726.709965277798</v>
      </c>
      <c r="J2401" s="23" t="str">
        <f>HYPERLINK("https://www.spark-marketing.ru/Card/Person/6693981", "Морозова Надежда Борисовна")</f>
        <v>Морозова Надежда Борисовна</v>
      </c>
      <c r="K2401" s="24" t="s">
        <v>4459</v>
      </c>
      <c r="L2401" s="28" t="s">
        <v>51</v>
      </c>
      <c r="M2401" s="25">
        <v>1980450</v>
      </c>
      <c r="N2401" s="27">
        <v>0.185</v>
      </c>
    </row>
    <row r="2402" spans="1:14" x14ac:dyDescent="0.2">
      <c r="A2402" s="23" t="str">
        <f>HYPERLINK("https://www.spark-marketing.ru/Card/Person/6086", "ГКУ ""ДИРЕКЦИЯ ОДОТСЗН Г. МОСКВЫ""")</f>
        <v>ГКУ "ДИРЕКЦИЯ ОДОТСЗН Г. МОСКВЫ"</v>
      </c>
      <c r="B2402" s="24" t="s">
        <v>164</v>
      </c>
      <c r="C2402" s="25">
        <v>10555542</v>
      </c>
      <c r="D2402" s="22" t="s">
        <v>4460</v>
      </c>
      <c r="E2402" s="22" t="s">
        <v>86</v>
      </c>
      <c r="F2402" s="23" t="str">
        <f>HYPERLINK("https://www.spark-marketing.ru/Card/Lot/73621703", "Оказание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болезни глаза и его придаточного аппарата, болезни эндокринной си...")</f>
        <v>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болезни глаза и его придаточного аппарата, болезни эндокринной си...</v>
      </c>
      <c r="G2402" s="22" t="s">
        <v>56</v>
      </c>
      <c r="H2402" s="22" t="s">
        <v>56</v>
      </c>
      <c r="I2402" s="26">
        <v>43726.739351851902</v>
      </c>
      <c r="J2402" s="23" t="str">
        <f>HYPERLINK("https://www.spark-marketing.ru/Card/Person/174093", "САНАТОРИЙ ""МАШУК"" ВОС")</f>
        <v>САНАТОРИЙ "МАШУК" ВОС</v>
      </c>
      <c r="K2402" s="24" t="s">
        <v>4461</v>
      </c>
      <c r="L2402" s="28" t="s">
        <v>51</v>
      </c>
      <c r="M2402" s="25">
        <v>10549620</v>
      </c>
      <c r="N2402" s="27">
        <v>5.6103229943095295E-4</v>
      </c>
    </row>
    <row r="2403" spans="1:14" x14ac:dyDescent="0.15">
      <c r="A2403" s="23" t="str">
        <f>HYPERLINK("https://www.spark-marketing.ru/Card/Person/4373980", "ОТДЕЛ МВД РОССИИ ПО ТУАПСИНСКОМУ РАЙОНУ")</f>
        <v>ОТДЕЛ МВД РОССИИ ПО ТУАПСИНСКОМУ РАЙОНУ</v>
      </c>
      <c r="B2403" s="24" t="s">
        <v>4455</v>
      </c>
      <c r="C2403" s="25">
        <v>2434346.46</v>
      </c>
      <c r="D2403" s="22" t="s">
        <v>4462</v>
      </c>
      <c r="E2403" s="22" t="s">
        <v>48</v>
      </c>
      <c r="F2403" s="23" t="str">
        <f>HYPERLINK("https://www.spark-marketing.ru/Card/Lot/73621683", "Оказание услуг по обеспечению ежедневным трехразовым горячим питанием, в том числе в выходные и праздничные дни, лиц, содержащихся в изоляторе временного содержания, Специальном приемнике для содержания лиц, арестованных в административном порядке, а...")</f>
        <v>Оказание услуг по обеспечению ежедневным трехразовым горячим питанием, в том числе в выходные и праздничные дни, лиц, содержащихся в изоляторе временного содержания, Специальном приемнике для содержания лиц, арестованных в административном порядке, а...</v>
      </c>
      <c r="G2403" s="22" t="s">
        <v>104</v>
      </c>
      <c r="H2403" s="22" t="s">
        <v>4457</v>
      </c>
      <c r="I2403" s="26">
        <v>43726.718275462998</v>
      </c>
      <c r="J2403" s="28" t="s">
        <v>51</v>
      </c>
      <c r="K2403" s="28" t="s">
        <v>51</v>
      </c>
      <c r="L2403" s="28" t="s">
        <v>51</v>
      </c>
      <c r="M2403" s="28" t="s">
        <v>51</v>
      </c>
      <c r="N2403" s="28" t="s">
        <v>51</v>
      </c>
    </row>
    <row r="2404" spans="1:14" ht="12.75" hidden="1" outlineLevel="1" x14ac:dyDescent="0.2">
      <c r="A2404" s="23" t="str">
        <f>HYPERLINK("https://www.spark-marketing.ru/Card/Person/4373980", "ОТДЕЛ МВД РОССИИ ПО ТУАПСИНСКОМУ РАЙОНУ")</f>
        <v>ОТДЕЛ МВД РОССИИ ПО ТУАПСИНСКОМУ РАЙОНУ</v>
      </c>
      <c r="B2404" s="24" t="s">
        <v>4455</v>
      </c>
      <c r="C2404" s="25">
        <v>2434346.46</v>
      </c>
      <c r="D2404" s="22" t="s">
        <v>4462</v>
      </c>
      <c r="E2404" s="22" t="s">
        <v>48</v>
      </c>
      <c r="F2404" s="23" t="str">
        <f>HYPERLINK("https://www.spark-marketing.ru/Card/Lot/73621683", "Оказание услуг по обеспечению ежедневным трехразовым горячим питанием, в том числе в выходные и праздничные дни, лиц, содержащихся в изоляторе временного содержания, Специальном приемнике для содержания лиц, арестованных в административном порядке, а...")</f>
        <v>Оказание услуг по обеспечению ежедневным трехразовым горячим питанием, в том числе в выходные и праздничные дни, лиц, содержащихся в изоляторе временного содержания, Специальном приемнике для содержания лиц, арестованных в административном порядке, а...</v>
      </c>
      <c r="G2404" s="22" t="s">
        <v>104</v>
      </c>
      <c r="H2404" s="22" t="s">
        <v>4457</v>
      </c>
      <c r="I2404" s="26">
        <v>43726.718275462998</v>
      </c>
      <c r="J2404" s="23" t="str">
        <f>HYPERLINK("https://www.spark-marketing.ru/Card/Person/893286", "Белова Елена Геннадьевна")</f>
        <v>Белова Елена Геннадьевна</v>
      </c>
      <c r="K2404" s="24" t="s">
        <v>4458</v>
      </c>
      <c r="L2404" s="22" t="s">
        <v>10</v>
      </c>
      <c r="M2404" s="25">
        <v>2006391.31</v>
      </c>
      <c r="N2404" s="27">
        <v>0.17579878502585863</v>
      </c>
    </row>
    <row r="2405" spans="1:14" hidden="1" outlineLevel="1" x14ac:dyDescent="0.2">
      <c r="A2405" s="23" t="str">
        <f>HYPERLINK("https://www.spark-marketing.ru/Card/Person/4373980", "ОТДЕЛ МВД РОССИИ ПО ТУАПСИНСКОМУ РАЙОНУ")</f>
        <v>ОТДЕЛ МВД РОССИИ ПО ТУАПСИНСКОМУ РАЙОНУ</v>
      </c>
      <c r="B2405" s="24" t="s">
        <v>4455</v>
      </c>
      <c r="C2405" s="25">
        <v>2434346.46</v>
      </c>
      <c r="D2405" s="22" t="s">
        <v>4462</v>
      </c>
      <c r="E2405" s="22" t="s">
        <v>48</v>
      </c>
      <c r="F2405" s="23" t="str">
        <f>HYPERLINK("https://www.spark-marketing.ru/Card/Lot/73621683", "Оказание услуг по обеспечению ежедневным трехразовым горячим питанием, в том числе в выходные и праздничные дни, лиц, содержащихся в изоляторе временного содержания, Специальном приемнике для содержания лиц, арестованных в административном порядке, а...")</f>
        <v>Оказание услуг по обеспечению ежедневным трехразовым горячим питанием, в том числе в выходные и праздничные дни, лиц, содержащихся в изоляторе временного содержания, Специальном приемнике для содержания лиц, арестованных в административном порядке, а...</v>
      </c>
      <c r="G2405" s="22" t="s">
        <v>104</v>
      </c>
      <c r="H2405" s="22" t="s">
        <v>4457</v>
      </c>
      <c r="I2405" s="26">
        <v>43726.718275462998</v>
      </c>
      <c r="J2405" s="23" t="str">
        <f>HYPERLINK("https://www.spark-marketing.ru/Card/Person/6693981", "Морозова Надежда Борисовна")</f>
        <v>Морозова Надежда Борисовна</v>
      </c>
      <c r="K2405" s="24" t="s">
        <v>4459</v>
      </c>
      <c r="L2405" s="28" t="s">
        <v>51</v>
      </c>
      <c r="M2405" s="25">
        <v>2018563.04</v>
      </c>
      <c r="N2405" s="27">
        <v>0.17079878597067075</v>
      </c>
    </row>
    <row r="2406" spans="1:14" x14ac:dyDescent="0.15">
      <c r="A2406" s="23" t="str">
        <f>HYPERLINK("https://www.spark-marketing.ru/Card/Person/737290", "ГКУ «ЦБЗ ПРИ МИНЗДРАВЕ КАРЕЛИИ»")</f>
        <v>ГКУ «ЦБЗ ПРИ МИНЗДРАВЕ КАРЕЛИИ»</v>
      </c>
      <c r="B2406" s="24" t="s">
        <v>312</v>
      </c>
      <c r="C2406" s="25">
        <v>3679760.4</v>
      </c>
      <c r="D2406" s="22" t="s">
        <v>4463</v>
      </c>
      <c r="E2406" s="22" t="s">
        <v>52</v>
      </c>
      <c r="F2406" s="23" t="str">
        <f>HYPERLINK("https://www.spark-marketing.ru/Card/Lot/73621369", "Поставка лекарственного препарата Инсулин детемир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по...")</f>
        <v>Поставка лекарственного препарата Инсулин детемир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</v>
      </c>
      <c r="G2406" s="22" t="s">
        <v>59</v>
      </c>
      <c r="H2406" s="22" t="s">
        <v>314</v>
      </c>
      <c r="I2406" s="26">
        <v>43726.733437499999</v>
      </c>
      <c r="J2406" s="23" t="str">
        <f>HYPERLINK("https://www.spark-marketing.ru/Card/Person/6492462", "ООО ""ОН.К""")</f>
        <v>ООО "ОН.К"</v>
      </c>
      <c r="K2406" s="24" t="s">
        <v>2173</v>
      </c>
      <c r="L2406" s="22" t="s">
        <v>10</v>
      </c>
      <c r="M2406" s="28" t="s">
        <v>51</v>
      </c>
      <c r="N2406" s="28" t="s">
        <v>51</v>
      </c>
    </row>
    <row r="2407" spans="1:14" x14ac:dyDescent="0.15">
      <c r="A2407" s="23" t="str">
        <f>HYPERLINK("https://www.spark-marketing.ru/Card/Person/41218", "ГБУЗ ""ОКВД""")</f>
        <v>ГБУЗ "ОКВД"</v>
      </c>
      <c r="B2407" s="24" t="s">
        <v>4464</v>
      </c>
      <c r="C2407" s="25">
        <v>75780</v>
      </c>
      <c r="D2407" s="22" t="s">
        <v>4465</v>
      </c>
      <c r="E2407" s="22" t="s">
        <v>48</v>
      </c>
      <c r="F2407" s="23" t="str">
        <f>HYPERLINK("https://www.spark-marketing.ru/Card/Lot/73611087", "Оказание услуг по обеспечению готовым горячим питанием пациентов.")</f>
        <v>Оказание услуг по обеспечению готовым горячим питанием пациентов.</v>
      </c>
      <c r="G2407" s="22" t="s">
        <v>263</v>
      </c>
      <c r="H2407" s="22" t="s">
        <v>4466</v>
      </c>
      <c r="I2407" s="26">
        <v>43726.725694444402</v>
      </c>
      <c r="J2407" s="23" t="str">
        <f>HYPERLINK("https://www.spark-marketing.ru/Card/Person/47724", "ОГБУЗ ""ОБ № 2""")</f>
        <v>ОГБУЗ "ОБ № 2"</v>
      </c>
      <c r="K2407" s="24" t="s">
        <v>4467</v>
      </c>
      <c r="L2407" s="22" t="s">
        <v>10</v>
      </c>
      <c r="M2407" s="28" t="s">
        <v>51</v>
      </c>
      <c r="N2407" s="28" t="s">
        <v>51</v>
      </c>
    </row>
    <row r="2408" spans="1:14" x14ac:dyDescent="0.15">
      <c r="A2408" s="23" t="str">
        <f>HYPERLINK("https://www.spark-marketing.ru/Card/Person/48767", "ГБУЗ НО ""СОКОЛЬСКАЯ ЦРБ""")</f>
        <v>ГБУЗ НО "СОКОЛЬСКАЯ ЦРБ"</v>
      </c>
      <c r="B2408" s="24" t="s">
        <v>4468</v>
      </c>
      <c r="C2408" s="25">
        <v>461765.52</v>
      </c>
      <c r="D2408" s="22" t="s">
        <v>4469</v>
      </c>
      <c r="E2408" s="22" t="s">
        <v>3809</v>
      </c>
      <c r="F2408" s="23" t="str">
        <f>HYPERLINK("https://www.spark-marketing.ru/Card/Lot/73618626", "Поставка продуктов питания на 4 кв.2019г для нужд ГБУЗНО ""Сокольская ЦРБ"".")</f>
        <v>Поставка продуктов питания на 4 кв.2019г для нужд ГБУЗНО "Сокольская ЦРБ".</v>
      </c>
      <c r="G2408" s="22" t="s">
        <v>76</v>
      </c>
      <c r="H2408" s="22" t="s">
        <v>76</v>
      </c>
      <c r="I2408" s="26">
        <v>43726.7409722222</v>
      </c>
      <c r="J2408" s="23" t="str">
        <f>HYPERLINK("https://www.spark-marketing.ru/Card/Person/521643", "ООО ""НИЖЕГОРОДСКАЯ БАКАЛЕЙНАЯ КОМПАНИЯ""")</f>
        <v>ООО "НИЖЕГОРОДСКАЯ БАКАЛЕЙНАЯ КОМПАНИЯ"</v>
      </c>
      <c r="K2408" s="24" t="s">
        <v>4470</v>
      </c>
      <c r="L2408" s="22" t="s">
        <v>10</v>
      </c>
      <c r="M2408" s="28" t="s">
        <v>51</v>
      </c>
      <c r="N2408" s="28" t="s">
        <v>51</v>
      </c>
    </row>
    <row r="2409" spans="1:14" x14ac:dyDescent="0.15">
      <c r="A2409" s="23" t="str">
        <f t="shared" ref="A2409:A2414" si="34">HYPERLINK("https://www.spark-marketing.ru/Card/Person/65145", "МБУ ""ЦЕНТР ""ОБСКИЕ ЗОРИ""")</f>
        <v>МБУ "ЦЕНТР "ОБСКИЕ ЗОРИ"</v>
      </c>
      <c r="B2409" s="24" t="s">
        <v>4471</v>
      </c>
      <c r="C2409" s="25">
        <v>115999.8</v>
      </c>
      <c r="D2409" s="22" t="s">
        <v>4472</v>
      </c>
      <c r="E2409" s="22" t="s">
        <v>3024</v>
      </c>
      <c r="F2409" s="23" t="str">
        <f t="shared" ref="F2409:F2414" si="35">HYPERLINK("https://www.spark-marketing.ru/Card/Lot/73611374", "оказание услуг по обслуживанию программы «1С:Предприятие » (бухгалтерия государственного учреждения 2.0, зарплата и кадры государственного учреждения 3.1, школьное питание, Аналит: Учет Медицинских Услуг)")</f>
        <v>оказание услуг по обслуживанию программы «1С:Предприятие » (бухгалтерия государственного учреждения 2.0, зарплата и кадры государственного учреждения 3.1, школьное питание, Аналит: Учет Медицинских Услуг)</v>
      </c>
      <c r="G2409" s="22" t="s">
        <v>195</v>
      </c>
      <c r="H2409" s="22" t="s">
        <v>196</v>
      </c>
      <c r="I2409" s="26">
        <v>43726.682638888902</v>
      </c>
      <c r="J2409" s="28" t="s">
        <v>51</v>
      </c>
      <c r="K2409" s="28" t="s">
        <v>51</v>
      </c>
      <c r="L2409" s="28" t="s">
        <v>51</v>
      </c>
      <c r="M2409" s="28" t="s">
        <v>51</v>
      </c>
      <c r="N2409" s="28" t="s">
        <v>51</v>
      </c>
    </row>
    <row r="2410" spans="1:14" ht="12.75" hidden="1" outlineLevel="1" x14ac:dyDescent="0.2">
      <c r="A2410" s="23" t="str">
        <f t="shared" si="34"/>
        <v>МБУ "ЦЕНТР "ОБСКИЕ ЗОРИ"</v>
      </c>
      <c r="B2410" s="24" t="s">
        <v>4471</v>
      </c>
      <c r="C2410" s="25">
        <v>115999.8</v>
      </c>
      <c r="D2410" s="22" t="s">
        <v>4472</v>
      </c>
      <c r="E2410" s="22" t="s">
        <v>3024</v>
      </c>
      <c r="F2410" s="23" t="str">
        <f t="shared" si="35"/>
        <v>оказание услуг по обслуживанию программы «1С:Предприятие » (бухгалтерия государственного учреждения 2.0, зарплата и кадры государственного учреждения 3.1, школьное питание, Аналит: Учет Медицинских Услуг)</v>
      </c>
      <c r="G2410" s="22" t="s">
        <v>195</v>
      </c>
      <c r="H2410" s="22" t="s">
        <v>196</v>
      </c>
      <c r="I2410" s="26">
        <v>43726.682638888902</v>
      </c>
      <c r="J2410" s="23" t="str">
        <f>HYPERLINK("https://www.spark-marketing.ru/Card/Person/90259", "ООО ""ВНЕДРЕНЧЕСКИЙ ЦЕНТР ЛИС С""")</f>
        <v>ООО "ВНЕДРЕНЧЕСКИЙ ЦЕНТР ЛИС С"</v>
      </c>
      <c r="K2410" s="24" t="s">
        <v>4473</v>
      </c>
      <c r="L2410" s="22" t="s">
        <v>10</v>
      </c>
      <c r="M2410" s="25">
        <v>91578.02</v>
      </c>
      <c r="N2410" s="27">
        <v>0.21053294919474</v>
      </c>
    </row>
    <row r="2411" spans="1:14" hidden="1" outlineLevel="1" x14ac:dyDescent="0.2">
      <c r="A2411" s="23" t="str">
        <f t="shared" si="34"/>
        <v>МБУ "ЦЕНТР "ОБСКИЕ ЗОРИ"</v>
      </c>
      <c r="B2411" s="24" t="s">
        <v>4471</v>
      </c>
      <c r="C2411" s="25">
        <v>115999.8</v>
      </c>
      <c r="D2411" s="22" t="s">
        <v>4472</v>
      </c>
      <c r="E2411" s="22" t="s">
        <v>3024</v>
      </c>
      <c r="F2411" s="23" t="str">
        <f t="shared" si="35"/>
        <v>оказание услуг по обслуживанию программы «1С:Предприятие » (бухгалтерия государственного учреждения 2.0, зарплата и кадры государственного учреждения 3.1, школьное питание, Аналит: Учет Медицинских Услуг)</v>
      </c>
      <c r="G2411" s="22" t="s">
        <v>195</v>
      </c>
      <c r="H2411" s="22" t="s">
        <v>196</v>
      </c>
      <c r="I2411" s="26">
        <v>43726.682638888902</v>
      </c>
      <c r="J2411" s="23" t="str">
        <f>HYPERLINK("https://www.spark-marketing.ru/Card/Person/6453193", "ООО ""ГИГАБАЙТ""")</f>
        <v>ООО "ГИГАБАЙТ"</v>
      </c>
      <c r="K2411" s="24" t="s">
        <v>4474</v>
      </c>
      <c r="L2411" s="28" t="s">
        <v>51</v>
      </c>
      <c r="M2411" s="25">
        <v>103758.02</v>
      </c>
      <c r="N2411" s="27">
        <v>0.1055327681599451</v>
      </c>
    </row>
    <row r="2412" spans="1:14" hidden="1" outlineLevel="1" x14ac:dyDescent="0.2">
      <c r="A2412" s="23" t="str">
        <f t="shared" si="34"/>
        <v>МБУ "ЦЕНТР "ОБСКИЕ ЗОРИ"</v>
      </c>
      <c r="B2412" s="24" t="s">
        <v>4471</v>
      </c>
      <c r="C2412" s="25">
        <v>115999.8</v>
      </c>
      <c r="D2412" s="22" t="s">
        <v>4472</v>
      </c>
      <c r="E2412" s="22" t="s">
        <v>3024</v>
      </c>
      <c r="F2412" s="23" t="str">
        <f t="shared" si="35"/>
        <v>оказание услуг по обслуживанию программы «1С:Предприятие » (бухгалтерия государственного учреждения 2.0, зарплата и кадры государственного учреждения 3.1, школьное питание, Аналит: Учет Медицинских Услуг)</v>
      </c>
      <c r="G2412" s="22" t="s">
        <v>195</v>
      </c>
      <c r="H2412" s="22" t="s">
        <v>196</v>
      </c>
      <c r="I2412" s="26">
        <v>43726.682638888902</v>
      </c>
      <c r="J2412" s="23" t="str">
        <f>HYPERLINK("https://www.spark-marketing.ru/Card/Person/6237077", "ООО ""ИСТЛАЙН КОНСАЛТИНГ СИБИРЬ""")</f>
        <v>ООО "ИСТЛАЙН КОНСАЛТИНГ СИБИРЬ"</v>
      </c>
      <c r="K2412" s="24" t="s">
        <v>4475</v>
      </c>
      <c r="L2412" s="28" t="s">
        <v>51</v>
      </c>
      <c r="M2412" s="25">
        <v>91578.02</v>
      </c>
      <c r="N2412" s="27">
        <v>0.21053294919474</v>
      </c>
    </row>
    <row r="2413" spans="1:14" hidden="1" outlineLevel="1" x14ac:dyDescent="0.2">
      <c r="A2413" s="23" t="str">
        <f t="shared" si="34"/>
        <v>МБУ "ЦЕНТР "ОБСКИЕ ЗОРИ"</v>
      </c>
      <c r="B2413" s="24" t="s">
        <v>4471</v>
      </c>
      <c r="C2413" s="25">
        <v>115999.8</v>
      </c>
      <c r="D2413" s="22" t="s">
        <v>4472</v>
      </c>
      <c r="E2413" s="22" t="s">
        <v>3024</v>
      </c>
      <c r="F2413" s="23" t="str">
        <f t="shared" si="35"/>
        <v>оказание услуг по обслуживанию программы «1С:Предприятие » (бухгалтерия государственного учреждения 2.0, зарплата и кадры государственного учреждения 3.1, школьное питание, Аналит: Учет Медицинских Услуг)</v>
      </c>
      <c r="G2413" s="22" t="s">
        <v>195</v>
      </c>
      <c r="H2413" s="22" t="s">
        <v>196</v>
      </c>
      <c r="I2413" s="26">
        <v>43726.682638888902</v>
      </c>
      <c r="J2413" s="23" t="str">
        <f>HYPERLINK("https://www.spark-marketing.ru/Card/Person/58412", "ООО ""ТОЛЬЯТТИ-СОФТ""")</f>
        <v>ООО "ТОЛЬЯТТИ-СОФТ"</v>
      </c>
      <c r="K2413" s="24" t="s">
        <v>4476</v>
      </c>
      <c r="L2413" s="28" t="s">
        <v>51</v>
      </c>
      <c r="M2413" s="25">
        <v>112458.02</v>
      </c>
      <c r="N2413" s="27">
        <v>3.0532638849377326E-2</v>
      </c>
    </row>
    <row r="2414" spans="1:14" hidden="1" outlineLevel="1" x14ac:dyDescent="0.2">
      <c r="A2414" s="23" t="str">
        <f t="shared" si="34"/>
        <v>МБУ "ЦЕНТР "ОБСКИЕ ЗОРИ"</v>
      </c>
      <c r="B2414" s="24" t="s">
        <v>4471</v>
      </c>
      <c r="C2414" s="25">
        <v>115999.8</v>
      </c>
      <c r="D2414" s="22" t="s">
        <v>4472</v>
      </c>
      <c r="E2414" s="22" t="s">
        <v>3024</v>
      </c>
      <c r="F2414" s="23" t="str">
        <f t="shared" si="35"/>
        <v>оказание услуг по обслуживанию программы «1С:Предприятие » (бухгалтерия государственного учреждения 2.0, зарплата и кадры государственного учреждения 3.1, школьное питание, Аналит: Учет Медицинских Услуг)</v>
      </c>
      <c r="G2414" s="22" t="s">
        <v>195</v>
      </c>
      <c r="H2414" s="22" t="s">
        <v>196</v>
      </c>
      <c r="I2414" s="26">
        <v>43726.682638888902</v>
      </c>
      <c r="J2414" s="23" t="str">
        <f>HYPERLINK("https://www.spark-marketing.ru/Card/Person/4926151", "ООО ""ПРОФЕССИОНАЛЫ АВТОМАТИЗАЦИИ""")</f>
        <v>ООО "ПРОФЕССИОНАЛЫ АВТОМАТИЗАЦИИ"</v>
      </c>
      <c r="K2414" s="24" t="s">
        <v>4477</v>
      </c>
      <c r="L2414" s="28" t="s">
        <v>51</v>
      </c>
      <c r="M2414" s="25">
        <v>111298.02</v>
      </c>
      <c r="N2414" s="27">
        <v>4.0532656090786365E-2</v>
      </c>
    </row>
    <row r="2415" spans="1:14" x14ac:dyDescent="0.15">
      <c r="A2415" s="23" t="str">
        <f>HYPERLINK("https://www.spark-marketing.ru/Card/Person/834049", "МБДОУ ""ДЕТСКИЙ САД №4 ""ЧЕРЕМУШКИ""")</f>
        <v>МБДОУ "ДЕТСКИЙ САД №4 "ЧЕРЕМУШКИ"</v>
      </c>
      <c r="B2415" s="24" t="s">
        <v>4478</v>
      </c>
      <c r="C2415" s="25">
        <v>783891.81</v>
      </c>
      <c r="D2415" s="22" t="s">
        <v>4479</v>
      </c>
      <c r="E2415" s="22" t="s">
        <v>48</v>
      </c>
      <c r="F2415" s="23" t="str">
        <f>HYPERLINK("https://www.spark-marketing.ru/Card/Lot/73620312",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2415" s="22" t="s">
        <v>241</v>
      </c>
      <c r="H2415" s="22" t="s">
        <v>4480</v>
      </c>
      <c r="I2415" s="26">
        <v>43726.7055555556</v>
      </c>
      <c r="J2415" s="23" t="str">
        <f>HYPERLINK("https://www.spark-marketing.ru/Card/Person/6675587", "Сотрудников Иван Спартакович")</f>
        <v>Сотрудников Иван Спартакович</v>
      </c>
      <c r="K2415" s="24" t="s">
        <v>4481</v>
      </c>
      <c r="L2415" s="22" t="s">
        <v>10</v>
      </c>
      <c r="M2415" s="28" t="s">
        <v>51</v>
      </c>
      <c r="N2415" s="28" t="s">
        <v>51</v>
      </c>
    </row>
    <row r="2416" spans="1:14" x14ac:dyDescent="0.15">
      <c r="A2416" s="23" t="str">
        <f>HYPERLINK("https://www.spark-marketing.ru/Card/Person/8437", "ОГБУЗ ""ИОПНД""")</f>
        <v>ОГБУЗ "ИОПНД"</v>
      </c>
      <c r="B2416" s="24" t="s">
        <v>4312</v>
      </c>
      <c r="C2416" s="25">
        <v>7790790</v>
      </c>
      <c r="D2416" s="22" t="s">
        <v>4482</v>
      </c>
      <c r="E2416" s="22" t="s">
        <v>48</v>
      </c>
      <c r="F2416" s="23" t="str">
        <f>HYPERLINK("https://www.spark-marketing.ru/Card/Lot/73621062", "Оказание услуг по обеспечению готовым горячим питанием пациентов")</f>
        <v>Оказание услуг по обеспечению готовым горячим питанием пациентов</v>
      </c>
      <c r="G2416" s="22" t="s">
        <v>263</v>
      </c>
      <c r="H2416" s="22" t="s">
        <v>2768</v>
      </c>
      <c r="I2416" s="26">
        <v>43726.706435185202</v>
      </c>
      <c r="J2416" s="28" t="s">
        <v>51</v>
      </c>
      <c r="K2416" s="28" t="s">
        <v>51</v>
      </c>
      <c r="L2416" s="28" t="s">
        <v>51</v>
      </c>
      <c r="M2416" s="28" t="s">
        <v>51</v>
      </c>
      <c r="N2416" s="28" t="s">
        <v>51</v>
      </c>
    </row>
    <row r="2417" spans="1:14" hidden="1" outlineLevel="1" x14ac:dyDescent="0.2">
      <c r="A2417" s="23" t="str">
        <f>HYPERLINK("https://www.spark-marketing.ru/Card/Person/8437", "ОГБУЗ ""ИОПНД""")</f>
        <v>ОГБУЗ "ИОПНД"</v>
      </c>
      <c r="B2417" s="24" t="s">
        <v>4312</v>
      </c>
      <c r="C2417" s="25">
        <v>7790790</v>
      </c>
      <c r="D2417" s="22" t="s">
        <v>4482</v>
      </c>
      <c r="E2417" s="22" t="s">
        <v>48</v>
      </c>
      <c r="F2417" s="23" t="str">
        <f>HYPERLINK("https://www.spark-marketing.ru/Card/Lot/73621062", "Оказание услуг по обеспечению готовым горячим питанием пациентов")</f>
        <v>Оказание услуг по обеспечению готовым горячим питанием пациентов</v>
      </c>
      <c r="G2417" s="22" t="s">
        <v>263</v>
      </c>
      <c r="H2417" s="22" t="s">
        <v>2768</v>
      </c>
      <c r="I2417" s="26">
        <v>43726.706435185202</v>
      </c>
      <c r="J2417" s="23" t="str">
        <f>HYPERLINK("https://www.spark-marketing.ru/Card/Person/6690295", "Лапчева Надежда Борисовна")</f>
        <v>Лапчева Надежда Борисовна</v>
      </c>
      <c r="K2417" s="24" t="s">
        <v>4483</v>
      </c>
      <c r="L2417" s="28" t="s">
        <v>51</v>
      </c>
      <c r="M2417" s="25">
        <v>5882046.4500000002</v>
      </c>
      <c r="N2417" s="27">
        <v>0.245</v>
      </c>
    </row>
    <row r="2418" spans="1:14" ht="12.75" hidden="1" outlineLevel="1" x14ac:dyDescent="0.2">
      <c r="A2418" s="23" t="str">
        <f>HYPERLINK("https://www.spark-marketing.ru/Card/Person/8437", "ОГБУЗ ""ИОПНД""")</f>
        <v>ОГБУЗ "ИОПНД"</v>
      </c>
      <c r="B2418" s="24" t="s">
        <v>4312</v>
      </c>
      <c r="C2418" s="25">
        <v>7790790</v>
      </c>
      <c r="D2418" s="22" t="s">
        <v>4482</v>
      </c>
      <c r="E2418" s="22" t="s">
        <v>48</v>
      </c>
      <c r="F2418" s="23" t="str">
        <f>HYPERLINK("https://www.spark-marketing.ru/Card/Lot/73621062", "Оказание услуг по обеспечению готовым горячим питанием пациентов")</f>
        <v>Оказание услуг по обеспечению готовым горячим питанием пациентов</v>
      </c>
      <c r="G2418" s="22" t="s">
        <v>263</v>
      </c>
      <c r="H2418" s="22" t="s">
        <v>2768</v>
      </c>
      <c r="I2418" s="26">
        <v>43726.706435185202</v>
      </c>
      <c r="J2418" s="23" t="str">
        <f>HYPERLINK("https://www.spark-marketing.ru/Card/Person/112724", "Скороходова Ольга Валерьевна")</f>
        <v>Скороходова Ольга Валерьевна</v>
      </c>
      <c r="K2418" s="24" t="s">
        <v>4484</v>
      </c>
      <c r="L2418" s="22" t="s">
        <v>10</v>
      </c>
      <c r="M2418" s="25">
        <v>5882046.4500000002</v>
      </c>
      <c r="N2418" s="27">
        <v>0.245</v>
      </c>
    </row>
    <row r="2419" spans="1:14" x14ac:dyDescent="0.15">
      <c r="A2419" s="23" t="str">
        <f>HYPERLINK("https://www.spark-marketing.ru/Card/Person/121861", "ГБУ ВО ""ОМЦ""")</f>
        <v>ГБУ ВО "ОМЦ"</v>
      </c>
      <c r="B2419" s="24" t="s">
        <v>79</v>
      </c>
      <c r="C2419" s="25">
        <v>126000</v>
      </c>
      <c r="D2419" s="22" t="s">
        <v>4485</v>
      </c>
      <c r="E2419" s="22" t="s">
        <v>81</v>
      </c>
      <c r="F2419" s="23" t="str">
        <f>HYPERLINK("https://www.spark-marketing.ru/Card/Lot/73616688", "2019-06614/Оказание услуг по организации проживания с питанием участников и организаторов школы командного состава студенческих отрядов Воронежской области")</f>
        <v>2019-06614/Оказание услуг по организации проживания с питанием участников и организаторов школы командного состава студенческих отрядов Воронежской области</v>
      </c>
      <c r="G2419" s="22" t="s">
        <v>82</v>
      </c>
      <c r="H2419" s="22" t="s">
        <v>83</v>
      </c>
      <c r="I2419" s="26">
        <v>43726.671527777798</v>
      </c>
      <c r="J2419" s="28" t="s">
        <v>51</v>
      </c>
      <c r="K2419" s="28" t="s">
        <v>51</v>
      </c>
      <c r="L2419" s="28" t="s">
        <v>51</v>
      </c>
      <c r="M2419" s="28" t="s">
        <v>51</v>
      </c>
      <c r="N2419" s="28" t="s">
        <v>51</v>
      </c>
    </row>
    <row r="2420" spans="1:14" ht="12.75" hidden="1" outlineLevel="1" x14ac:dyDescent="0.2">
      <c r="A2420" s="23" t="str">
        <f>HYPERLINK("https://www.spark-marketing.ru/Card/Person/121861", "ГБУ ВО ""ОМЦ""")</f>
        <v>ГБУ ВО "ОМЦ"</v>
      </c>
      <c r="B2420" s="24" t="s">
        <v>79</v>
      </c>
      <c r="C2420" s="25">
        <v>126000</v>
      </c>
      <c r="D2420" s="22" t="s">
        <v>4485</v>
      </c>
      <c r="E2420" s="22" t="s">
        <v>81</v>
      </c>
      <c r="F2420" s="23" t="str">
        <f>HYPERLINK("https://www.spark-marketing.ru/Card/Lot/73616688", "2019-06614/Оказание услуг по организации проживания с питанием участников и организаторов школы командного состава студенческих отрядов Воронежской области")</f>
        <v>2019-06614/Оказание услуг по организации проживания с питанием участников и организаторов школы командного состава студенческих отрядов Воронежской области</v>
      </c>
      <c r="G2420" s="22" t="s">
        <v>82</v>
      </c>
      <c r="H2420" s="22" t="s">
        <v>83</v>
      </c>
      <c r="I2420" s="26">
        <v>43726.671527777798</v>
      </c>
      <c r="J2420" s="23" t="str">
        <f>HYPERLINK("https://www.spark-marketing.ru/Card/Person/336101", "ООО ""КОМФОРТ""")</f>
        <v>ООО "КОМФОРТ"</v>
      </c>
      <c r="K2420" s="24" t="s">
        <v>4486</v>
      </c>
      <c r="L2420" s="22" t="s">
        <v>10</v>
      </c>
      <c r="M2420" s="25">
        <v>126000</v>
      </c>
      <c r="N2420" s="27">
        <v>0</v>
      </c>
    </row>
    <row r="2421" spans="1:14" hidden="1" outlineLevel="1" x14ac:dyDescent="0.2">
      <c r="A2421" s="23" t="str">
        <f>HYPERLINK("https://www.spark-marketing.ru/Card/Person/121861", "ГБУ ВО ""ОМЦ""")</f>
        <v>ГБУ ВО "ОМЦ"</v>
      </c>
      <c r="B2421" s="24" t="s">
        <v>79</v>
      </c>
      <c r="C2421" s="25">
        <v>126000</v>
      </c>
      <c r="D2421" s="22" t="s">
        <v>4485</v>
      </c>
      <c r="E2421" s="22" t="s">
        <v>81</v>
      </c>
      <c r="F2421" s="23" t="str">
        <f>HYPERLINK("https://www.spark-marketing.ru/Card/Lot/73616688", "2019-06614/Оказание услуг по организации проживания с питанием участников и организаторов школы командного состава студенческих отрядов Воронежской области")</f>
        <v>2019-06614/Оказание услуг по организации проживания с питанием участников и организаторов школы командного состава студенческих отрядов Воронежской области</v>
      </c>
      <c r="G2421" s="22" t="s">
        <v>82</v>
      </c>
      <c r="H2421" s="22" t="s">
        <v>83</v>
      </c>
      <c r="I2421" s="26">
        <v>43726.671527777798</v>
      </c>
      <c r="J2421" s="23" t="str">
        <f>HYPERLINK("https://www.spark-marketing.ru/Card/Person/4620891", "ООО ""СМАЙЛИК""")</f>
        <v>ООО "СМАЙЛИК"</v>
      </c>
      <c r="K2421" s="24" t="s">
        <v>4487</v>
      </c>
      <c r="L2421" s="28" t="s">
        <v>51</v>
      </c>
      <c r="M2421" s="25">
        <v>126000</v>
      </c>
      <c r="N2421" s="27">
        <v>0</v>
      </c>
    </row>
    <row r="2422" spans="1:14" x14ac:dyDescent="0.15">
      <c r="A2422" s="23" t="str">
        <f>HYPERLINK("https://www.spark-marketing.ru/Card/Person/441193", "ОБУЗ ""ЗОЛОТУХИНСКАЯ ЦРБ""")</f>
        <v>ОБУЗ "ЗОЛОТУХИНСКАЯ ЦРБ"</v>
      </c>
      <c r="B2422" s="24" t="s">
        <v>4488</v>
      </c>
      <c r="C2422" s="25">
        <v>499917.74</v>
      </c>
      <c r="D2422" s="22" t="s">
        <v>4489</v>
      </c>
      <c r="E2422" s="22" t="s">
        <v>48</v>
      </c>
      <c r="F2422" s="23" t="str">
        <f>HYPERLINK("https://www.spark-marketing.ru/Card/Lot/73619786", "Услуги по организации питания")</f>
        <v>Услуги по организации питания</v>
      </c>
      <c r="G2422" s="22" t="s">
        <v>1111</v>
      </c>
      <c r="H2422" s="22" t="s">
        <v>4490</v>
      </c>
      <c r="I2422" s="26">
        <v>43726.688888888901</v>
      </c>
      <c r="J2422" s="23" t="str">
        <f>HYPERLINK("https://www.spark-marketing.ru/Card/Person/4540404", "ПО ""ЛУЧ""")</f>
        <v>ПО "ЛУЧ"</v>
      </c>
      <c r="K2422" s="24" t="s">
        <v>4491</v>
      </c>
      <c r="L2422" s="22" t="s">
        <v>10</v>
      </c>
      <c r="M2422" s="28" t="s">
        <v>51</v>
      </c>
      <c r="N2422" s="28" t="s">
        <v>51</v>
      </c>
    </row>
    <row r="2423" spans="1:14" x14ac:dyDescent="0.15">
      <c r="A2423" s="23" t="str">
        <f>HYPERLINK("https://www.spark-marketing.ru/Card/Person/160798", "ЭМУП ""ЖИЛКОМХОЗ""")</f>
        <v>ЭМУП "ЖИЛКОМХОЗ"</v>
      </c>
      <c r="B2423" s="24" t="s">
        <v>4492</v>
      </c>
      <c r="C2423" s="25">
        <v>448009.6</v>
      </c>
      <c r="D2423" s="22" t="s">
        <v>4493</v>
      </c>
      <c r="E2423" s="22" t="s">
        <v>4494</v>
      </c>
      <c r="F2423" s="23" t="str">
        <f>HYPERLINK("https://www.spark-marketing.ru/Card/Lot/73619173", "Поставка компьютерной техники и комплектующих к ней для нужд Эжвинского муниципального унитарного предприятия «Жилкомхоз»")</f>
        <v>Поставка компьютерной техники и комплектующих к ней для нужд Эжвинского муниципального унитарного предприятия «Жилкомхоз»</v>
      </c>
      <c r="G2423" s="22" t="s">
        <v>271</v>
      </c>
      <c r="H2423" s="22" t="s">
        <v>271</v>
      </c>
      <c r="I2423" s="26">
        <v>43726.683333333298</v>
      </c>
      <c r="J2423" s="23" t="str">
        <f>HYPERLINK("https://www.spark-marketing.ru/Card/Person/173140", "ООО ""ТЦС""")</f>
        <v>ООО "ТЦС"</v>
      </c>
      <c r="K2423" s="24" t="s">
        <v>4495</v>
      </c>
      <c r="L2423" s="22" t="s">
        <v>10</v>
      </c>
      <c r="M2423" s="28" t="s">
        <v>51</v>
      </c>
      <c r="N2423" s="28" t="s">
        <v>51</v>
      </c>
    </row>
    <row r="2424" spans="1:14" x14ac:dyDescent="0.15">
      <c r="A2424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2424" s="24" t="s">
        <v>4496</v>
      </c>
      <c r="C2424" s="25">
        <v>410000</v>
      </c>
      <c r="D2424" s="22" t="s">
        <v>4497</v>
      </c>
      <c r="E2424" s="22" t="s">
        <v>48</v>
      </c>
      <c r="F2424" s="23" t="str">
        <f>HYPERLINK("https://www.spark-marketing.ru/Card/Lot/73619095", "Обеспечение горячим питанием арестованных и задержанных в 2021 году")</f>
        <v>Обеспечение горячим питанием арестованных и задержанных в 2021 году</v>
      </c>
      <c r="G2424" s="22" t="s">
        <v>469</v>
      </c>
      <c r="H2424" s="22" t="s">
        <v>469</v>
      </c>
      <c r="I2424" s="26">
        <v>43726.6743055556</v>
      </c>
      <c r="J2424" s="23" t="str">
        <f>HYPERLINK("https://www.spark-marketing.ru/Card/Person/1513407", "ООО ""ГРУЗДОВНИК""")</f>
        <v>ООО "ГРУЗДОВНИК"</v>
      </c>
      <c r="K2424" s="24" t="s">
        <v>4498</v>
      </c>
      <c r="L2424" s="22" t="s">
        <v>10</v>
      </c>
      <c r="M2424" s="28" t="s">
        <v>51</v>
      </c>
      <c r="N2424" s="28" t="s">
        <v>51</v>
      </c>
    </row>
    <row r="2425" spans="1:14" x14ac:dyDescent="0.15">
      <c r="A2425" s="23" t="str">
        <f>HYPERLINK("https://www.spark-marketing.ru/Card/Person/153134", "МБДОУ ""ДЕТСКИЙ САД № 23""")</f>
        <v>МБДОУ "ДЕТСКИЙ САД № 23"</v>
      </c>
      <c r="B2425" s="24" t="s">
        <v>4499</v>
      </c>
      <c r="C2425" s="25">
        <v>11271874</v>
      </c>
      <c r="D2425" s="22" t="s">
        <v>4500</v>
      </c>
      <c r="E2425" s="22" t="s">
        <v>48</v>
      </c>
      <c r="F2425" s="23" t="str">
        <f>HYPERLINK("https://www.spark-marketing.ru/Card/Lot/73620636", "оказание услуг по организации горячего питания в МБДОУ ""Детский сад №23""")</f>
        <v>оказание услуг по организации горячего питания в МБДОУ "Детский сад №23"</v>
      </c>
      <c r="G2425" s="22" t="s">
        <v>49</v>
      </c>
      <c r="H2425" s="22" t="s">
        <v>301</v>
      </c>
      <c r="I2425" s="26">
        <v>43726.6769907407</v>
      </c>
      <c r="J2425" s="28" t="s">
        <v>51</v>
      </c>
      <c r="K2425" s="28" t="s">
        <v>51</v>
      </c>
      <c r="L2425" s="28" t="s">
        <v>51</v>
      </c>
      <c r="M2425" s="28" t="s">
        <v>51</v>
      </c>
      <c r="N2425" s="28" t="s">
        <v>51</v>
      </c>
    </row>
    <row r="2426" spans="1:14" hidden="1" outlineLevel="1" x14ac:dyDescent="0.2">
      <c r="A2426" s="23" t="str">
        <f>HYPERLINK("https://www.spark-marketing.ru/Card/Person/153134", "МБДОУ ""ДЕТСКИЙ САД № 23""")</f>
        <v>МБДОУ "ДЕТСКИЙ САД № 23"</v>
      </c>
      <c r="B2426" s="24" t="s">
        <v>4499</v>
      </c>
      <c r="C2426" s="25">
        <v>11271874</v>
      </c>
      <c r="D2426" s="22" t="s">
        <v>4500</v>
      </c>
      <c r="E2426" s="22" t="s">
        <v>48</v>
      </c>
      <c r="F2426" s="23" t="str">
        <f>HYPERLINK("https://www.spark-marketing.ru/Card/Lot/73620636", "оказание услуг по организации горячего питания в МБДОУ ""Детский сад №23""")</f>
        <v>оказание услуг по организации горячего питания в МБДОУ "Детский сад №23"</v>
      </c>
      <c r="G2426" s="22" t="s">
        <v>49</v>
      </c>
      <c r="H2426" s="22" t="s">
        <v>301</v>
      </c>
      <c r="I2426" s="26">
        <v>43726.6769907407</v>
      </c>
      <c r="J2426" s="23" t="str">
        <f>HYPERLINK("https://www.spark-marketing.ru/Card/Person/100937", "ООО ""ВЕРТИКАЛЬ""")</f>
        <v>ООО "ВЕРТИКАЛЬ"</v>
      </c>
      <c r="K2426" s="24" t="s">
        <v>4501</v>
      </c>
      <c r="L2426" s="28" t="s">
        <v>51</v>
      </c>
      <c r="M2426" s="25">
        <v>10482842.82</v>
      </c>
      <c r="N2426" s="27">
        <v>7.0000000000000007E-2</v>
      </c>
    </row>
    <row r="2427" spans="1:14" ht="12.75" hidden="1" outlineLevel="1" x14ac:dyDescent="0.2">
      <c r="A2427" s="23" t="str">
        <f>HYPERLINK("https://www.spark-marketing.ru/Card/Person/153134", "МБДОУ ""ДЕТСКИЙ САД № 23""")</f>
        <v>МБДОУ "ДЕТСКИЙ САД № 23"</v>
      </c>
      <c r="B2427" s="24" t="s">
        <v>4499</v>
      </c>
      <c r="C2427" s="25">
        <v>11271874</v>
      </c>
      <c r="D2427" s="22" t="s">
        <v>4500</v>
      </c>
      <c r="E2427" s="22" t="s">
        <v>48</v>
      </c>
      <c r="F2427" s="23" t="str">
        <f>HYPERLINK("https://www.spark-marketing.ru/Card/Lot/73620636", "оказание услуг по организации горячего питания в МБДОУ ""Детский сад №23""")</f>
        <v>оказание услуг по организации горячего питания в МБДОУ "Детский сад №23"</v>
      </c>
      <c r="G2427" s="22" t="s">
        <v>49</v>
      </c>
      <c r="H2427" s="22" t="s">
        <v>301</v>
      </c>
      <c r="I2427" s="26">
        <v>43726.6769907407</v>
      </c>
      <c r="J2427" s="23" t="str">
        <f>HYPERLINK("https://www.spark-marketing.ru/Card/Person/70733", "ООО ""ПЛАНЕТА ВКУСА""")</f>
        <v>ООО "ПЛАНЕТА ВКУСА"</v>
      </c>
      <c r="K2427" s="24" t="s">
        <v>4502</v>
      </c>
      <c r="L2427" s="22" t="s">
        <v>10</v>
      </c>
      <c r="M2427" s="25">
        <v>10715244</v>
      </c>
      <c r="N2427" s="27">
        <v>4.938220565630879E-2</v>
      </c>
    </row>
    <row r="2428" spans="1:14" x14ac:dyDescent="0.15">
      <c r="A2428" s="23" t="str">
        <f>HYPERLINK("https://www.spark-marketing.ru/Card/Person/1062299", "МБУК ""ЦГБ""")</f>
        <v>МБУК "ЦГБ"</v>
      </c>
      <c r="B2428" s="24" t="s">
        <v>4503</v>
      </c>
      <c r="C2428" s="25">
        <v>533733.67000000004</v>
      </c>
      <c r="D2428" s="22" t="s">
        <v>4504</v>
      </c>
      <c r="E2428" s="22" t="s">
        <v>716</v>
      </c>
      <c r="F2428" s="23" t="str">
        <f>HYPERLINK("https://www.spark-marketing.ru/Card/Lot/73591896", "Поставка книг для комплектования книжных фондов библиотеки")</f>
        <v>Поставка книг для комплектования книжных фондов библиотеки</v>
      </c>
      <c r="G2428" s="22" t="s">
        <v>246</v>
      </c>
      <c r="H2428" s="22" t="s">
        <v>247</v>
      </c>
      <c r="I2428" s="26">
        <v>43726.690277777801</v>
      </c>
      <c r="J2428" s="28" t="s">
        <v>51</v>
      </c>
      <c r="K2428" s="28" t="s">
        <v>51</v>
      </c>
      <c r="L2428" s="28" t="s">
        <v>51</v>
      </c>
      <c r="M2428" s="28" t="s">
        <v>51</v>
      </c>
      <c r="N2428" s="28" t="s">
        <v>51</v>
      </c>
    </row>
    <row r="2429" spans="1:14" ht="12.75" hidden="1" outlineLevel="1" x14ac:dyDescent="0.2">
      <c r="A2429" s="23" t="str">
        <f>HYPERLINK("https://www.spark-marketing.ru/Card/Person/1062299", "МБУК ""ЦГБ""")</f>
        <v>МБУК "ЦГБ"</v>
      </c>
      <c r="B2429" s="24" t="s">
        <v>4503</v>
      </c>
      <c r="C2429" s="25">
        <v>533733.67000000004</v>
      </c>
      <c r="D2429" s="22" t="s">
        <v>4504</v>
      </c>
      <c r="E2429" s="22" t="s">
        <v>716</v>
      </c>
      <c r="F2429" s="23" t="str">
        <f>HYPERLINK("https://www.spark-marketing.ru/Card/Lot/73591896", "Поставка книг для комплектования книжных фондов библиотеки")</f>
        <v>Поставка книг для комплектования книжных фондов библиотеки</v>
      </c>
      <c r="G2429" s="22" t="s">
        <v>246</v>
      </c>
      <c r="H2429" s="22" t="s">
        <v>247</v>
      </c>
      <c r="I2429" s="26">
        <v>43726.690277777801</v>
      </c>
      <c r="J2429" s="23" t="str">
        <f>HYPERLINK("https://www.spark-marketing.ru/Card/Person/480776", "ООО ""МЕЖРЕГИОНАЛЬНЫЙ БИБЛИОТЕЧНЫЙ КОЛЛЕКТОР""")</f>
        <v>ООО "МЕЖРЕГИОНАЛЬНЫЙ БИБЛИОТЕЧНЫЙ КОЛЛЕКТОР"</v>
      </c>
      <c r="K2429" s="24" t="s">
        <v>4505</v>
      </c>
      <c r="L2429" s="22" t="s">
        <v>10</v>
      </c>
      <c r="M2429" s="25">
        <v>411331.33</v>
      </c>
      <c r="N2429" s="27">
        <v>0.22933224355135773</v>
      </c>
    </row>
    <row r="2430" spans="1:14" hidden="1" outlineLevel="1" x14ac:dyDescent="0.2">
      <c r="A2430" s="23" t="str">
        <f>HYPERLINK("https://www.spark-marketing.ru/Card/Person/1062299", "МБУК ""ЦГБ""")</f>
        <v>МБУК "ЦГБ"</v>
      </c>
      <c r="B2430" s="24" t="s">
        <v>4503</v>
      </c>
      <c r="C2430" s="25">
        <v>533733.67000000004</v>
      </c>
      <c r="D2430" s="22" t="s">
        <v>4504</v>
      </c>
      <c r="E2430" s="22" t="s">
        <v>716</v>
      </c>
      <c r="F2430" s="23" t="str">
        <f>HYPERLINK("https://www.spark-marketing.ru/Card/Lot/73591896", "Поставка книг для комплектования книжных фондов библиотеки")</f>
        <v>Поставка книг для комплектования книжных фондов библиотеки</v>
      </c>
      <c r="G2430" s="22" t="s">
        <v>246</v>
      </c>
      <c r="H2430" s="22" t="s">
        <v>247</v>
      </c>
      <c r="I2430" s="26">
        <v>43726.690277777801</v>
      </c>
      <c r="J2430" s="23" t="str">
        <f>HYPERLINK("https://www.spark-marketing.ru/Card/Person/4355076", "Кожан Станислав Петрович")</f>
        <v>Кожан Станислав Петрович</v>
      </c>
      <c r="K2430" s="24" t="s">
        <v>4506</v>
      </c>
      <c r="L2430" s="28" t="s">
        <v>51</v>
      </c>
      <c r="M2430" s="25">
        <v>414000</v>
      </c>
      <c r="N2430" s="27">
        <v>0.22433224045992825</v>
      </c>
    </row>
    <row r="2431" spans="1:14" x14ac:dyDescent="0.15">
      <c r="A2431" s="23" t="str">
        <f>HYPERLINK("https://www.spark-marketing.ru/Card/Person/22849", "АДМИНИСТРАЦИЯ ГОРОДСКОГО ОКРУГА ШАТУРА")</f>
        <v>АДМИНИСТРАЦИЯ ГОРОДСКОГО ОКРУГА ШАТУРА</v>
      </c>
      <c r="B2431" s="24" t="s">
        <v>4507</v>
      </c>
      <c r="C2431" s="25">
        <v>210000</v>
      </c>
      <c r="D2431" s="22" t="s">
        <v>4508</v>
      </c>
      <c r="E2431" s="22" t="s">
        <v>48</v>
      </c>
      <c r="F2431" s="23" t="str">
        <f>HYPERLINK("https://www.spark-marketing.ru/Card/Lot/73609615", "Оказание услуг по организации питания участников праздничных мероприятий, приемов, совещаний для нужд администрации городского округа Шатура")</f>
        <v>Оказание услуг по организации питания участников праздничных мероприятий, приемов, совещаний для нужд администрации городского округа Шатура</v>
      </c>
      <c r="G2431" s="22" t="s">
        <v>49</v>
      </c>
      <c r="H2431" s="22" t="s">
        <v>4509</v>
      </c>
      <c r="I2431" s="26">
        <v>43726.670324074097</v>
      </c>
      <c r="J2431" s="28" t="s">
        <v>51</v>
      </c>
      <c r="K2431" s="28" t="s">
        <v>51</v>
      </c>
      <c r="L2431" s="28" t="s">
        <v>51</v>
      </c>
      <c r="M2431" s="28" t="s">
        <v>51</v>
      </c>
      <c r="N2431" s="28" t="s">
        <v>51</v>
      </c>
    </row>
    <row r="2432" spans="1:14" x14ac:dyDescent="0.15">
      <c r="A2432" s="23" t="str">
        <f>HYPERLINK("https://www.spark-marketing.ru/Card/Person/64935", "УМВД РОССИИ ПО Г. КУРСКУ")</f>
        <v>УМВД РОССИИ ПО Г. КУРСКУ</v>
      </c>
      <c r="B2432" s="24" t="s">
        <v>1109</v>
      </c>
      <c r="C2432" s="25">
        <v>564480</v>
      </c>
      <c r="D2432" s="22" t="s">
        <v>4510</v>
      </c>
      <c r="E2432" s="22" t="s">
        <v>96</v>
      </c>
      <c r="F2432" s="23" t="str">
        <f>HYPERLINK("https://www.spark-marketing.ru/Card/Lot/73619839", "Оказание услуг по организации питания лицам, задержанным в  административном порядке в подразделениях УМВД России по г. Курску  на срок более 3-х часов")</f>
        <v>Оказание услуг по организации питания лицам, задержанным в  административном порядке в подразделениях УМВД России по г. Курску  на срок более 3-х часов</v>
      </c>
      <c r="G2432" s="22" t="s">
        <v>1111</v>
      </c>
      <c r="H2432" s="22" t="s">
        <v>1112</v>
      </c>
      <c r="I2432" s="26">
        <v>43726.668055555601</v>
      </c>
      <c r="J2432" s="28" t="s">
        <v>51</v>
      </c>
      <c r="K2432" s="28" t="s">
        <v>51</v>
      </c>
      <c r="L2432" s="28" t="s">
        <v>51</v>
      </c>
      <c r="M2432" s="28" t="s">
        <v>51</v>
      </c>
      <c r="N2432" s="28" t="s">
        <v>51</v>
      </c>
    </row>
    <row r="2433" spans="1:14" hidden="1" outlineLevel="1" x14ac:dyDescent="0.2">
      <c r="A2433" s="23" t="str">
        <f>HYPERLINK("https://www.spark-marketing.ru/Card/Person/64935", "УМВД РОССИИ ПО Г. КУРСКУ")</f>
        <v>УМВД РОССИИ ПО Г. КУРСКУ</v>
      </c>
      <c r="B2433" s="24" t="s">
        <v>1109</v>
      </c>
      <c r="C2433" s="25">
        <v>564480</v>
      </c>
      <c r="D2433" s="22" t="s">
        <v>4510</v>
      </c>
      <c r="E2433" s="22" t="s">
        <v>96</v>
      </c>
      <c r="F2433" s="23" t="str">
        <f>HYPERLINK("https://www.spark-marketing.ru/Card/Lot/73619839", "Оказание услуг по организации питания лицам, задержанным в  административном порядке в подразделениях УМВД России по г. Курску  на срок более 3-х часов")</f>
        <v>Оказание услуг по организации питания лицам, задержанным в  административном порядке в подразделениях УМВД России по г. Курску  на срок более 3-х часов</v>
      </c>
      <c r="G2433" s="22" t="s">
        <v>1111</v>
      </c>
      <c r="H2433" s="22" t="s">
        <v>1112</v>
      </c>
      <c r="I2433" s="26">
        <v>43726.668055555601</v>
      </c>
      <c r="J2433" s="23" t="str">
        <f>HYPERLINK("https://www.spark-marketing.ru/Card/Person/695296", "ООО ""УЛЬТРАМАРИН""")</f>
        <v>ООО "УЛЬТРАМАРИН"</v>
      </c>
      <c r="K2433" s="24" t="s">
        <v>4511</v>
      </c>
      <c r="L2433" s="28" t="s">
        <v>51</v>
      </c>
      <c r="M2433" s="25">
        <v>201196</v>
      </c>
      <c r="N2433" s="27">
        <v>0.64357284580498864</v>
      </c>
    </row>
    <row r="2434" spans="1:14" ht="12.75" hidden="1" outlineLevel="1" x14ac:dyDescent="0.2">
      <c r="A2434" s="23" t="str">
        <f>HYPERLINK("https://www.spark-marketing.ru/Card/Person/64935", "УМВД РОССИИ ПО Г. КУРСКУ")</f>
        <v>УМВД РОССИИ ПО Г. КУРСКУ</v>
      </c>
      <c r="B2434" s="24" t="s">
        <v>1109</v>
      </c>
      <c r="C2434" s="25">
        <v>564480</v>
      </c>
      <c r="D2434" s="22" t="s">
        <v>4510</v>
      </c>
      <c r="E2434" s="22" t="s">
        <v>96</v>
      </c>
      <c r="F2434" s="23" t="str">
        <f>HYPERLINK("https://www.spark-marketing.ru/Card/Lot/73619839", "Оказание услуг по организации питания лицам, задержанным в  административном порядке в подразделениях УМВД России по г. Курску  на срок более 3-х часов")</f>
        <v>Оказание услуг по организации питания лицам, задержанным в  административном порядке в подразделениях УМВД России по г. Курску  на срок более 3-х часов</v>
      </c>
      <c r="G2434" s="22" t="s">
        <v>1111</v>
      </c>
      <c r="H2434" s="22" t="s">
        <v>1112</v>
      </c>
      <c r="I2434" s="26">
        <v>43726.668055555601</v>
      </c>
      <c r="J2434" s="23" t="str">
        <f>HYPERLINK("https://www.spark-marketing.ru/Card/Person/671861", "ООО ""КОНГРЕСС""")</f>
        <v>ООО "КОНГРЕСС"</v>
      </c>
      <c r="K2434" s="24" t="s">
        <v>4512</v>
      </c>
      <c r="L2434" s="22" t="s">
        <v>10</v>
      </c>
      <c r="M2434" s="25">
        <v>198105.60000000001</v>
      </c>
      <c r="N2434" s="27">
        <v>0.6490476190476191</v>
      </c>
    </row>
    <row r="2435" spans="1:14" x14ac:dyDescent="0.15">
      <c r="A2435" s="23" t="str">
        <f>HYPERLINK("https://www.spark-marketing.ru/Card/Person/1005858", "МБДОУ Д/С № 5 КОМБИНИРОВАННОГО ВИДА ""ЧЕБУРАШКА""")</f>
        <v>МБДОУ Д/С № 5 КОМБИНИРОВАННОГО ВИДА "ЧЕБУРАШКА"</v>
      </c>
      <c r="B2435" s="24" t="s">
        <v>4513</v>
      </c>
      <c r="C2435" s="25">
        <v>14409318</v>
      </c>
      <c r="D2435" s="22" t="s">
        <v>4514</v>
      </c>
      <c r="E2435" s="22" t="s">
        <v>48</v>
      </c>
      <c r="F2435" s="23" t="str">
        <f>HYPERLINK("https://www.spark-marketing.ru/Card/Lot/73620668", "Оказание услуг по организации питания воспитанников")</f>
        <v>Оказание услуг по организации питания воспитанников</v>
      </c>
      <c r="G2435" s="22" t="s">
        <v>49</v>
      </c>
      <c r="H2435" s="22" t="s">
        <v>180</v>
      </c>
      <c r="I2435" s="26">
        <v>43726.641898148097</v>
      </c>
      <c r="J2435" s="28" t="s">
        <v>51</v>
      </c>
      <c r="K2435" s="28" t="s">
        <v>51</v>
      </c>
      <c r="L2435" s="28" t="s">
        <v>51</v>
      </c>
      <c r="M2435" s="28" t="s">
        <v>51</v>
      </c>
      <c r="N2435" s="28" t="s">
        <v>51</v>
      </c>
    </row>
    <row r="2436" spans="1:14" x14ac:dyDescent="0.15">
      <c r="A2436" s="23" t="str">
        <f>HYPERLINK("https://www.spark-marketing.ru/Card/Person/37268", "ГУ-РО ФОНДА СОЦИАЛЬНОГО СТРАХОВАНИЯ РОССИЙСКОЙ ФЕДЕРАЦИИ ПО РЕСПУБЛИКЕ КАРЕЛИЯ")</f>
        <v>ГУ-РО ФОНДА СОЦИАЛЬНОГО СТРАХОВАНИЯ РОССИЙСКОЙ ФЕДЕРАЦИИ ПО РЕСПУБЛИКЕ КАРЕЛИЯ</v>
      </c>
      <c r="B2436" s="24" t="s">
        <v>4515</v>
      </c>
      <c r="C2436" s="25">
        <v>262017</v>
      </c>
      <c r="D2436" s="22" t="s">
        <v>4516</v>
      </c>
      <c r="E2436" s="22" t="s">
        <v>86</v>
      </c>
      <c r="F2436" s="23" t="str">
        <f>HYPERLINK("https://www.spark-marketing.ru/Card/Lot/73617467", "Оказание услуг по санаторно-курортному лечению граждан-получателей государственной социальной помощи в виде набора услуг в 2019 году")</f>
        <v>Оказание услуг по санаторно-курортному лечению граждан-получателей государственной социальной помощи в виде набора услуг в 2019 году</v>
      </c>
      <c r="G2436" s="22" t="s">
        <v>59</v>
      </c>
      <c r="H2436" s="22" t="s">
        <v>314</v>
      </c>
      <c r="I2436" s="26">
        <v>43726.648611111101</v>
      </c>
      <c r="J2436" s="23" t="str">
        <f>HYPERLINK("https://www.spark-marketing.ru/Card/Person/177813", "ООО ""КСКК ""АКВАЛОО""")</f>
        <v>ООО "КСКК "АКВАЛОО"</v>
      </c>
      <c r="K2436" s="24" t="s">
        <v>4517</v>
      </c>
      <c r="L2436" s="22" t="s">
        <v>10</v>
      </c>
      <c r="M2436" s="28" t="s">
        <v>51</v>
      </c>
      <c r="N2436" s="28" t="s">
        <v>51</v>
      </c>
    </row>
    <row r="2437" spans="1:14" x14ac:dyDescent="0.15">
      <c r="A2437" s="23" t="str">
        <f>HYPERLINK("https://www.spark-marketing.ru/Card/Person/82756", "МБДОУ ""ДЕТСКИЙ САД №5""")</f>
        <v>МБДОУ "ДЕТСКИЙ САД №5"</v>
      </c>
      <c r="B2437" s="24" t="s">
        <v>4518</v>
      </c>
      <c r="C2437" s="25">
        <v>10768466</v>
      </c>
      <c r="D2437" s="22" t="s">
        <v>4519</v>
      </c>
      <c r="E2437" s="22" t="s">
        <v>48</v>
      </c>
      <c r="F2437" s="23" t="str">
        <f>HYPERLINK("https://www.spark-marketing.ru/Card/Lot/73620556",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2437" s="22" t="s">
        <v>49</v>
      </c>
      <c r="H2437" s="22" t="s">
        <v>301</v>
      </c>
      <c r="I2437" s="26">
        <v>43726.655358796299</v>
      </c>
      <c r="J2437" s="28" t="s">
        <v>51</v>
      </c>
      <c r="K2437" s="28" t="s">
        <v>51</v>
      </c>
      <c r="L2437" s="28" t="s">
        <v>51</v>
      </c>
      <c r="M2437" s="28" t="s">
        <v>51</v>
      </c>
      <c r="N2437" s="28" t="s">
        <v>51</v>
      </c>
    </row>
    <row r="2438" spans="1:14" hidden="1" outlineLevel="1" x14ac:dyDescent="0.2">
      <c r="A2438" s="23" t="str">
        <f>HYPERLINK("https://www.spark-marketing.ru/Card/Person/82756", "МБДОУ ""ДЕТСКИЙ САД №5""")</f>
        <v>МБДОУ "ДЕТСКИЙ САД №5"</v>
      </c>
      <c r="B2438" s="24" t="s">
        <v>4518</v>
      </c>
      <c r="C2438" s="25">
        <v>10768466</v>
      </c>
      <c r="D2438" s="22" t="s">
        <v>4519</v>
      </c>
      <c r="E2438" s="22" t="s">
        <v>48</v>
      </c>
      <c r="F2438" s="23" t="str">
        <f>HYPERLINK("https://www.spark-marketing.ru/Card/Lot/73620556",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2438" s="22" t="s">
        <v>49</v>
      </c>
      <c r="H2438" s="22" t="s">
        <v>301</v>
      </c>
      <c r="I2438" s="26">
        <v>43726.655358796299</v>
      </c>
      <c r="J2438" s="23" t="str">
        <f>HYPERLINK("https://www.spark-marketing.ru/Card/Person/100937", "ООО ""ВЕРТИКАЛЬ""")</f>
        <v>ООО "ВЕРТИКАЛЬ"</v>
      </c>
      <c r="K2438" s="24" t="s">
        <v>4501</v>
      </c>
      <c r="L2438" s="28" t="s">
        <v>51</v>
      </c>
      <c r="M2438" s="25">
        <v>10014673.380000001</v>
      </c>
      <c r="N2438" s="27">
        <v>7.0000000000000007E-2</v>
      </c>
    </row>
    <row r="2439" spans="1:14" ht="12.75" hidden="1" outlineLevel="1" x14ac:dyDescent="0.2">
      <c r="A2439" s="23" t="str">
        <f>HYPERLINK("https://www.spark-marketing.ru/Card/Person/82756", "МБДОУ ""ДЕТСКИЙ САД №5""")</f>
        <v>МБДОУ "ДЕТСКИЙ САД №5"</v>
      </c>
      <c r="B2439" s="24" t="s">
        <v>4518</v>
      </c>
      <c r="C2439" s="25">
        <v>10768466</v>
      </c>
      <c r="D2439" s="22" t="s">
        <v>4519</v>
      </c>
      <c r="E2439" s="22" t="s">
        <v>48</v>
      </c>
      <c r="F2439" s="23" t="str">
        <f>HYPERLINK("https://www.spark-marketing.ru/Card/Lot/73620556",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2439" s="22" t="s">
        <v>49</v>
      </c>
      <c r="H2439" s="22" t="s">
        <v>301</v>
      </c>
      <c r="I2439" s="26">
        <v>43726.655358796299</v>
      </c>
      <c r="J2439" s="23" t="str">
        <f>HYPERLINK("https://www.spark-marketing.ru/Card/Person/70733", "ООО ""ПЛАНЕТА ВКУСА""")</f>
        <v>ООО "ПЛАНЕТА ВКУСА"</v>
      </c>
      <c r="K2439" s="24" t="s">
        <v>4502</v>
      </c>
      <c r="L2439" s="22" t="s">
        <v>10</v>
      </c>
      <c r="M2439" s="25">
        <v>10259865</v>
      </c>
      <c r="N2439" s="27">
        <v>4.7230589760881445E-2</v>
      </c>
    </row>
    <row r="2440" spans="1:14" x14ac:dyDescent="0.15">
      <c r="A2440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440" s="24" t="s">
        <v>3255</v>
      </c>
      <c r="C2440" s="25">
        <v>1282320</v>
      </c>
      <c r="D2440" s="22" t="s">
        <v>4520</v>
      </c>
      <c r="E2440" s="22" t="s">
        <v>52</v>
      </c>
      <c r="F2440" s="23" t="str">
        <f>HYPERLINK("https://www.spark-marketing.ru/Card/Lot/73621259", "Поставка лекарственного препарата для медицинского применения ""Инсулин гларгин""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специализированн...")</f>
        <v>Поставка лекарственного препарата для медицинского применения "Инсулин гларгин"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специализированн...</v>
      </c>
      <c r="G2440" s="22" t="s">
        <v>210</v>
      </c>
      <c r="H2440" s="22" t="s">
        <v>3257</v>
      </c>
      <c r="I2440" s="26">
        <v>43726.661087963003</v>
      </c>
      <c r="J2440" s="28" t="s">
        <v>51</v>
      </c>
      <c r="K2440" s="28" t="s">
        <v>51</v>
      </c>
      <c r="L2440" s="28" t="s">
        <v>51</v>
      </c>
      <c r="M2440" s="28" t="s">
        <v>51</v>
      </c>
      <c r="N2440" s="28" t="s">
        <v>51</v>
      </c>
    </row>
    <row r="2441" spans="1:14" ht="12.75" hidden="1" outlineLevel="1" x14ac:dyDescent="0.2">
      <c r="A244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441" s="24" t="s">
        <v>3255</v>
      </c>
      <c r="C2441" s="25">
        <v>1282320</v>
      </c>
      <c r="D2441" s="22" t="s">
        <v>4520</v>
      </c>
      <c r="E2441" s="22" t="s">
        <v>52</v>
      </c>
      <c r="F2441" s="23" t="str">
        <f>HYPERLINK("https://www.spark-marketing.ru/Card/Lot/73621259", "Поставка лекарственного препарата для медицинского применения ""Инсулин гларгин""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специализированн...")</f>
        <v>Поставка лекарственного препарата для медицинского применения "Инсулин гларгин"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специализированн...</v>
      </c>
      <c r="G2441" s="22" t="s">
        <v>210</v>
      </c>
      <c r="H2441" s="22" t="s">
        <v>3257</v>
      </c>
      <c r="I2441" s="26">
        <v>43726.661087963003</v>
      </c>
      <c r="J2441" s="23" t="str">
        <f>HYPERLINK("https://www.spark-marketing.ru/Card/Person/5887470", "ООО ""ВИТАЛОН""")</f>
        <v>ООО "ВИТАЛОН"</v>
      </c>
      <c r="K2441" s="24" t="s">
        <v>2129</v>
      </c>
      <c r="L2441" s="22" t="s">
        <v>10</v>
      </c>
      <c r="M2441" s="25">
        <v>1070737.2</v>
      </c>
      <c r="N2441" s="27">
        <v>0.16500000000000001</v>
      </c>
    </row>
    <row r="2442" spans="1:14" hidden="1" outlineLevel="1" x14ac:dyDescent="0.2">
      <c r="A2442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442" s="24" t="s">
        <v>3255</v>
      </c>
      <c r="C2442" s="25">
        <v>1282320</v>
      </c>
      <c r="D2442" s="22" t="s">
        <v>4520</v>
      </c>
      <c r="E2442" s="22" t="s">
        <v>52</v>
      </c>
      <c r="F2442" s="23" t="str">
        <f>HYPERLINK("https://www.spark-marketing.ru/Card/Lot/73621259", "Поставка лекарственного препарата для медицинского применения ""Инсулин гларгин""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специализированн...")</f>
        <v>Поставка лекарственного препарата для медицинского применения "Инсулин гларгин"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специализированн...</v>
      </c>
      <c r="G2442" s="22" t="s">
        <v>210</v>
      </c>
      <c r="H2442" s="22" t="s">
        <v>3257</v>
      </c>
      <c r="I2442" s="26">
        <v>43726.661087963003</v>
      </c>
      <c r="J2442" s="23" t="str">
        <f>HYPERLINK("https://www.spark-marketing.ru/Card/Person/19670", "ООО ""ПМ-ФАРМА""")</f>
        <v>ООО "ПМ-ФАРМА"</v>
      </c>
      <c r="K2442" s="24" t="s">
        <v>4521</v>
      </c>
      <c r="L2442" s="28" t="s">
        <v>51</v>
      </c>
      <c r="M2442" s="25">
        <v>1275000</v>
      </c>
      <c r="N2442" s="27">
        <v>5.7084035186224964E-3</v>
      </c>
    </row>
    <row r="2443" spans="1:14" hidden="1" outlineLevel="1" x14ac:dyDescent="0.2">
      <c r="A2443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443" s="24" t="s">
        <v>3255</v>
      </c>
      <c r="C2443" s="25">
        <v>1282320</v>
      </c>
      <c r="D2443" s="22" t="s">
        <v>4520</v>
      </c>
      <c r="E2443" s="22" t="s">
        <v>52</v>
      </c>
      <c r="F2443" s="23" t="str">
        <f>HYPERLINK("https://www.spark-marketing.ru/Card/Lot/73621259", "Поставка лекарственного препарата для медицинского применения ""Инсулин гларгин""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специализированн...")</f>
        <v>Поставка лекарственного препарата для медицинского применения "Инсулин гларгин"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специализированн...</v>
      </c>
      <c r="G2443" s="22" t="s">
        <v>210</v>
      </c>
      <c r="H2443" s="22" t="s">
        <v>3257</v>
      </c>
      <c r="I2443" s="26">
        <v>43726.661087963003</v>
      </c>
      <c r="J2443" s="23" t="str">
        <f>HYPERLINK("https://www.spark-marketing.ru/Card/Person/6231467", "ООО ""ОБЛФАРМ АЛЬЯНС""")</f>
        <v>ООО "ОБЛФАРМ АЛЬЯНС"</v>
      </c>
      <c r="K2443" s="24" t="s">
        <v>2175</v>
      </c>
      <c r="L2443" s="28" t="s">
        <v>51</v>
      </c>
      <c r="M2443" s="25">
        <v>1070737.2</v>
      </c>
      <c r="N2443" s="27">
        <v>0.16500000000000001</v>
      </c>
    </row>
    <row r="2444" spans="1:14" x14ac:dyDescent="0.15">
      <c r="A2444" s="23" t="str">
        <f>HYPERLINK("https://www.spark-marketing.ru/Card/Person/83849", "МБДОУ ""ДЕТСКИЙ САД №12""")</f>
        <v>МБДОУ "ДЕТСКИЙ САД №12"</v>
      </c>
      <c r="B2444" s="24" t="s">
        <v>4522</v>
      </c>
      <c r="C2444" s="25">
        <v>12028878</v>
      </c>
      <c r="D2444" s="22" t="s">
        <v>4523</v>
      </c>
      <c r="E2444" s="22" t="s">
        <v>48</v>
      </c>
      <c r="F2444" s="23" t="str">
        <f>HYPERLINK("https://www.spark-marketing.ru/Card/Lot/73620343", "на оказание услуг по организации горячего питания в МБДОУ№12")</f>
        <v>на оказание услуг по организации горячего питания в МБДОУ№12</v>
      </c>
      <c r="G2444" s="22" t="s">
        <v>49</v>
      </c>
      <c r="H2444" s="22" t="s">
        <v>301</v>
      </c>
      <c r="I2444" s="26">
        <v>43726.590162036999</v>
      </c>
      <c r="J2444" s="28" t="s">
        <v>51</v>
      </c>
      <c r="K2444" s="28" t="s">
        <v>51</v>
      </c>
      <c r="L2444" s="28" t="s">
        <v>51</v>
      </c>
      <c r="M2444" s="28" t="s">
        <v>51</v>
      </c>
      <c r="N2444" s="28" t="s">
        <v>51</v>
      </c>
    </row>
    <row r="2445" spans="1:14" hidden="1" outlineLevel="1" x14ac:dyDescent="0.2">
      <c r="A2445" s="23" t="str">
        <f>HYPERLINK("https://www.spark-marketing.ru/Card/Person/83849", "МБДОУ ""ДЕТСКИЙ САД №12""")</f>
        <v>МБДОУ "ДЕТСКИЙ САД №12"</v>
      </c>
      <c r="B2445" s="24" t="s">
        <v>4522</v>
      </c>
      <c r="C2445" s="25">
        <v>12028878</v>
      </c>
      <c r="D2445" s="22" t="s">
        <v>4523</v>
      </c>
      <c r="E2445" s="22" t="s">
        <v>48</v>
      </c>
      <c r="F2445" s="23" t="str">
        <f>HYPERLINK("https://www.spark-marketing.ru/Card/Lot/73620343", "на оказание услуг по организации горячего питания в МБДОУ№12")</f>
        <v>на оказание услуг по организации горячего питания в МБДОУ№12</v>
      </c>
      <c r="G2445" s="22" t="s">
        <v>49</v>
      </c>
      <c r="H2445" s="22" t="s">
        <v>301</v>
      </c>
      <c r="I2445" s="26">
        <v>43726.590162036999</v>
      </c>
      <c r="J2445" s="23" t="str">
        <f>HYPERLINK("https://www.spark-marketing.ru/Card/Person/100937", "ООО ""ВЕРТИКАЛЬ""")</f>
        <v>ООО "ВЕРТИКАЛЬ"</v>
      </c>
      <c r="K2445" s="24" t="s">
        <v>4501</v>
      </c>
      <c r="L2445" s="28" t="s">
        <v>51</v>
      </c>
      <c r="M2445" s="25">
        <v>11186856.539999999</v>
      </c>
      <c r="N2445" s="27">
        <v>7.0000000000000007E-2</v>
      </c>
    </row>
    <row r="2446" spans="1:14" ht="12.75" hidden="1" outlineLevel="1" x14ac:dyDescent="0.2">
      <c r="A2446" s="23" t="str">
        <f>HYPERLINK("https://www.spark-marketing.ru/Card/Person/83849", "МБДОУ ""ДЕТСКИЙ САД №12""")</f>
        <v>МБДОУ "ДЕТСКИЙ САД №12"</v>
      </c>
      <c r="B2446" s="24" t="s">
        <v>4522</v>
      </c>
      <c r="C2446" s="25">
        <v>12028878</v>
      </c>
      <c r="D2446" s="22" t="s">
        <v>4523</v>
      </c>
      <c r="E2446" s="22" t="s">
        <v>48</v>
      </c>
      <c r="F2446" s="23" t="str">
        <f>HYPERLINK("https://www.spark-marketing.ru/Card/Lot/73620343", "на оказание услуг по организации горячего питания в МБДОУ№12")</f>
        <v>на оказание услуг по организации горячего питания в МБДОУ№12</v>
      </c>
      <c r="G2446" s="22" t="s">
        <v>49</v>
      </c>
      <c r="H2446" s="22" t="s">
        <v>301</v>
      </c>
      <c r="I2446" s="26">
        <v>43726.590162036999</v>
      </c>
      <c r="J2446" s="23" t="str">
        <f>HYPERLINK("https://www.spark-marketing.ru/Card/Person/70733", "ООО ""ПЛАНЕТА ВКУСА""")</f>
        <v>ООО "ПЛАНЕТА ВКУСА"</v>
      </c>
      <c r="K2446" s="24" t="s">
        <v>4502</v>
      </c>
      <c r="L2446" s="22" t="s">
        <v>10</v>
      </c>
      <c r="M2446" s="25">
        <v>11423568</v>
      </c>
      <c r="N2446" s="27">
        <v>5.0321401547176722E-2</v>
      </c>
    </row>
    <row r="2447" spans="1:14" ht="12.75" x14ac:dyDescent="0.2">
      <c r="A2447" s="23" t="str">
        <f>HYPERLINK("https://www.spark-marketing.ru/Card/Person/66401", "УМВД РОССИИ ПО КОЛОМЕНСКОМУ ГОРОДСКОМУ ОКРУГУ")</f>
        <v>УМВД РОССИИ ПО КОЛОМЕНСКОМУ ГОРОДСКОМУ ОКРУГУ</v>
      </c>
      <c r="B2447" s="24" t="s">
        <v>2742</v>
      </c>
      <c r="C2447" s="25">
        <v>80100</v>
      </c>
      <c r="D2447" s="22" t="s">
        <v>4524</v>
      </c>
      <c r="E2447" s="22" t="s">
        <v>96</v>
      </c>
      <c r="F2447" s="23" t="str">
        <f>HYPERLINK("https://www.spark-marketing.ru/Card/Lot/73610918", "Услуги по предоставлению питания лица, содержащимся в ИВС УМВД россии по Коломенскому городскому округу")</f>
        <v>Услуги по предоставлению питания лица, содержащимся в ИВС УМВД россии по Коломенскому городскому округу</v>
      </c>
      <c r="G2447" s="22" t="s">
        <v>49</v>
      </c>
      <c r="H2447" s="22" t="s">
        <v>180</v>
      </c>
      <c r="I2447" s="26">
        <v>43726.609722222202</v>
      </c>
      <c r="J2447" s="23" t="str">
        <f>HYPERLINK("https://www.spark-marketing.ru/Card/Person/2520469", "ООО ""ГРАНРИДЖ-ГРУП""")</f>
        <v>ООО "ГРАНРИДЖ-ГРУП"</v>
      </c>
      <c r="K2447" s="24" t="s">
        <v>2744</v>
      </c>
      <c r="L2447" s="22" t="s">
        <v>10</v>
      </c>
      <c r="M2447" s="25">
        <v>80100</v>
      </c>
      <c r="N2447" s="27">
        <v>0</v>
      </c>
    </row>
    <row r="2448" spans="1:14" x14ac:dyDescent="0.15">
      <c r="A2448" s="23" t="str">
        <f>HYPERLINK("https://www.spark-marketing.ru/Card/Person/3507", "ГБУЗ МО ""МПБ""")</f>
        <v>ГБУЗ МО "МПБ"</v>
      </c>
      <c r="B2448" s="24" t="s">
        <v>4525</v>
      </c>
      <c r="C2448" s="25">
        <v>1364865.6</v>
      </c>
      <c r="D2448" s="22" t="s">
        <v>4526</v>
      </c>
      <c r="E2448" s="22" t="s">
        <v>152</v>
      </c>
      <c r="F2448" s="23" t="str">
        <f>HYPERLINK("https://www.spark-marketing.ru/Card/Lot/73620622", "Оказание услуг по техническому обслуживанию источников бесперебойного питания")</f>
        <v>Оказание услуг по техническому обслуживанию источников бесперебойного питания</v>
      </c>
      <c r="G2448" s="22" t="s">
        <v>49</v>
      </c>
      <c r="H2448" s="22" t="s">
        <v>537</v>
      </c>
      <c r="I2448" s="26">
        <v>43726.619953703703</v>
      </c>
      <c r="J2448" s="28" t="s">
        <v>51</v>
      </c>
      <c r="K2448" s="28" t="s">
        <v>51</v>
      </c>
      <c r="L2448" s="28" t="s">
        <v>51</v>
      </c>
      <c r="M2448" s="28" t="s">
        <v>51</v>
      </c>
      <c r="N2448" s="28" t="s">
        <v>51</v>
      </c>
    </row>
    <row r="2449" spans="1:14" ht="12.75" hidden="1" outlineLevel="1" x14ac:dyDescent="0.2">
      <c r="A2449" s="23" t="str">
        <f>HYPERLINK("https://www.spark-marketing.ru/Card/Person/3507", "ГБУЗ МО ""МПБ""")</f>
        <v>ГБУЗ МО "МПБ"</v>
      </c>
      <c r="B2449" s="24" t="s">
        <v>4525</v>
      </c>
      <c r="C2449" s="25">
        <v>1364865.6</v>
      </c>
      <c r="D2449" s="22" t="s">
        <v>4526</v>
      </c>
      <c r="E2449" s="22" t="s">
        <v>152</v>
      </c>
      <c r="F2449" s="23" t="str">
        <f>HYPERLINK("https://www.spark-marketing.ru/Card/Lot/73620622", "Оказание услуг по техническому обслуживанию источников бесперебойного питания")</f>
        <v>Оказание услуг по техническому обслуживанию источников бесперебойного питания</v>
      </c>
      <c r="G2449" s="22" t="s">
        <v>49</v>
      </c>
      <c r="H2449" s="22" t="s">
        <v>537</v>
      </c>
      <c r="I2449" s="26">
        <v>43726.619953703703</v>
      </c>
      <c r="J2449" s="23" t="str">
        <f>HYPERLINK("https://www.spark-marketing.ru/Card/Person/6450197", "ООО ""ЩИТ""")</f>
        <v>ООО "ЩИТ"</v>
      </c>
      <c r="K2449" s="24" t="s">
        <v>4527</v>
      </c>
      <c r="L2449" s="22" t="s">
        <v>10</v>
      </c>
      <c r="M2449" s="25">
        <v>1276149.31</v>
      </c>
      <c r="N2449" s="27">
        <v>6.5000019049494692E-2</v>
      </c>
    </row>
    <row r="2450" spans="1:14" hidden="1" outlineLevel="1" x14ac:dyDescent="0.2">
      <c r="A2450" s="23" t="str">
        <f>HYPERLINK("https://www.spark-marketing.ru/Card/Person/3507", "ГБУЗ МО ""МПБ""")</f>
        <v>ГБУЗ МО "МПБ"</v>
      </c>
      <c r="B2450" s="24" t="s">
        <v>4525</v>
      </c>
      <c r="C2450" s="25">
        <v>1364865.6</v>
      </c>
      <c r="D2450" s="22" t="s">
        <v>4526</v>
      </c>
      <c r="E2450" s="22" t="s">
        <v>152</v>
      </c>
      <c r="F2450" s="23" t="str">
        <f>HYPERLINK("https://www.spark-marketing.ru/Card/Lot/73620622", "Оказание услуг по техническому обслуживанию источников бесперебойного питания")</f>
        <v>Оказание услуг по техническому обслуживанию источников бесперебойного питания</v>
      </c>
      <c r="G2450" s="22" t="s">
        <v>49</v>
      </c>
      <c r="H2450" s="22" t="s">
        <v>537</v>
      </c>
      <c r="I2450" s="26">
        <v>43726.619953703703</v>
      </c>
      <c r="J2450" s="23" t="str">
        <f>HYPERLINK("https://www.spark-marketing.ru/Card/Person/1367925", "ООО ""ПРОФ СЕКЬЮРИТИ""")</f>
        <v>ООО "ПРОФ СЕКЬЮРИТИ"</v>
      </c>
      <c r="K2450" s="24" t="s">
        <v>4528</v>
      </c>
      <c r="L2450" s="28" t="s">
        <v>51</v>
      </c>
      <c r="M2450" s="25">
        <v>1282973.6399999999</v>
      </c>
      <c r="N2450" s="27">
        <v>6.0000017584148947E-2</v>
      </c>
    </row>
    <row r="2451" spans="1:14" x14ac:dyDescent="0.15">
      <c r="A2451" s="23" t="str">
        <f>HYPERLINK("https://www.spark-marketing.ru/Card/Person/82759", "МБДОУ ""ДЕТСКИЙ САД №10""")</f>
        <v>МБДОУ "ДЕТСКИЙ САД №10"</v>
      </c>
      <c r="B2451" s="24" t="s">
        <v>4529</v>
      </c>
      <c r="C2451" s="25">
        <v>26600419</v>
      </c>
      <c r="D2451" s="22" t="s">
        <v>4530</v>
      </c>
      <c r="E2451" s="22" t="s">
        <v>48</v>
      </c>
      <c r="F2451" s="23" t="str">
        <f>HYPERLINK("https://www.spark-marketing.ru/Card/Lot/73620439", "на оказание услуг по организации горячего питания в МБДОУ №10")</f>
        <v>на оказание услуг по организации горячего питания в МБДОУ №10</v>
      </c>
      <c r="G2451" s="22" t="s">
        <v>49</v>
      </c>
      <c r="H2451" s="22" t="s">
        <v>301</v>
      </c>
      <c r="I2451" s="26">
        <v>43726.589375000003</v>
      </c>
      <c r="J2451" s="28" t="s">
        <v>51</v>
      </c>
      <c r="K2451" s="28" t="s">
        <v>51</v>
      </c>
      <c r="L2451" s="28" t="s">
        <v>51</v>
      </c>
      <c r="M2451" s="28" t="s">
        <v>51</v>
      </c>
      <c r="N2451" s="28" t="s">
        <v>51</v>
      </c>
    </row>
    <row r="2452" spans="1:14" hidden="1" outlineLevel="1" x14ac:dyDescent="0.2">
      <c r="A2452" s="23" t="str">
        <f>HYPERLINK("https://www.spark-marketing.ru/Card/Person/82759", "МБДОУ ""ДЕТСКИЙ САД №10""")</f>
        <v>МБДОУ "ДЕТСКИЙ САД №10"</v>
      </c>
      <c r="B2452" s="24" t="s">
        <v>4529</v>
      </c>
      <c r="C2452" s="25">
        <v>26600419</v>
      </c>
      <c r="D2452" s="22" t="s">
        <v>4530</v>
      </c>
      <c r="E2452" s="22" t="s">
        <v>48</v>
      </c>
      <c r="F2452" s="23" t="str">
        <f>HYPERLINK("https://www.spark-marketing.ru/Card/Lot/73620439", "на оказание услуг по организации горячего питания в МБДОУ №10")</f>
        <v>на оказание услуг по организации горячего питания в МБДОУ №10</v>
      </c>
      <c r="G2452" s="22" t="s">
        <v>49</v>
      </c>
      <c r="H2452" s="22" t="s">
        <v>301</v>
      </c>
      <c r="I2452" s="26">
        <v>43726.589375000003</v>
      </c>
      <c r="J2452" s="23" t="str">
        <f>HYPERLINK("https://www.spark-marketing.ru/Card/Person/100937", "ООО ""ВЕРТИКАЛЬ""")</f>
        <v>ООО "ВЕРТИКАЛЬ"</v>
      </c>
      <c r="K2452" s="24" t="s">
        <v>4501</v>
      </c>
      <c r="L2452" s="28" t="s">
        <v>51</v>
      </c>
      <c r="M2452" s="25">
        <v>23940377.100000001</v>
      </c>
      <c r="N2452" s="27">
        <v>0.1</v>
      </c>
    </row>
    <row r="2453" spans="1:14" ht="12.75" hidden="1" outlineLevel="1" x14ac:dyDescent="0.2">
      <c r="A2453" s="23" t="str">
        <f>HYPERLINK("https://www.spark-marketing.ru/Card/Person/82759", "МБДОУ ""ДЕТСКИЙ САД №10""")</f>
        <v>МБДОУ "ДЕТСКИЙ САД №10"</v>
      </c>
      <c r="B2453" s="24" t="s">
        <v>4529</v>
      </c>
      <c r="C2453" s="25">
        <v>26600419</v>
      </c>
      <c r="D2453" s="22" t="s">
        <v>4530</v>
      </c>
      <c r="E2453" s="22" t="s">
        <v>48</v>
      </c>
      <c r="F2453" s="23" t="str">
        <f>HYPERLINK("https://www.spark-marketing.ru/Card/Lot/73620439", "на оказание услуг по организации горячего питания в МБДОУ №10")</f>
        <v>на оказание услуг по организации горячего питания в МБДОУ №10</v>
      </c>
      <c r="G2453" s="22" t="s">
        <v>49</v>
      </c>
      <c r="H2453" s="22" t="s">
        <v>301</v>
      </c>
      <c r="I2453" s="26">
        <v>43726.589375000003</v>
      </c>
      <c r="J2453" s="23" t="str">
        <f>HYPERLINK("https://www.spark-marketing.ru/Card/Person/70733", "ООО ""ПЛАНЕТА ВКУСА""")</f>
        <v>ООО "ПЛАНЕТА ВКУСА"</v>
      </c>
      <c r="K2453" s="24" t="s">
        <v>4502</v>
      </c>
      <c r="L2453" s="22" t="s">
        <v>10</v>
      </c>
      <c r="M2453" s="25">
        <v>25215848</v>
      </c>
      <c r="N2453" s="27">
        <v>5.2050721456680812E-2</v>
      </c>
    </row>
    <row r="2454" spans="1:14" x14ac:dyDescent="0.15">
      <c r="A2454" s="23" t="str">
        <f>HYPERLINK("https://www.spark-marketing.ru/Card/Person/18481", "ФГУП ""РОСРАО""")</f>
        <v>ФГУП "РОСРАО"</v>
      </c>
      <c r="B2454" s="24" t="s">
        <v>2882</v>
      </c>
      <c r="C2454" s="25">
        <v>299800</v>
      </c>
      <c r="D2454" s="22" t="s">
        <v>4531</v>
      </c>
      <c r="E2454" s="22" t="s">
        <v>48</v>
      </c>
      <c r="F2454" s="23" t="str">
        <f>HYPERLINK("https://www.spark-marketing.ru/Card/Lot/73604673",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2454" s="22" t="s">
        <v>162</v>
      </c>
      <c r="H2454" s="22" t="s">
        <v>1620</v>
      </c>
      <c r="I2454" s="26">
        <v>43726.594039351898</v>
      </c>
      <c r="J2454" s="28" t="s">
        <v>51</v>
      </c>
      <c r="K2454" s="28" t="s">
        <v>51</v>
      </c>
      <c r="L2454" s="28" t="s">
        <v>51</v>
      </c>
      <c r="M2454" s="28" t="s">
        <v>51</v>
      </c>
      <c r="N2454" s="28" t="s">
        <v>51</v>
      </c>
    </row>
    <row r="2455" spans="1:14" x14ac:dyDescent="0.15">
      <c r="A2455" s="23" t="str">
        <f>HYPERLINK("https://www.spark-marketing.ru/Card/Person/4350445", "ГБУЗ РК ""СТАРОКРЫМСКАЯ РБ ИМЕНИ АКАДЕМИКА Н. М. АМОСОВА""")</f>
        <v>ГБУЗ РК "СТАРОКРЫМСКАЯ РБ ИМЕНИ АКАДЕМИКА Н. М. АМОСОВА"</v>
      </c>
      <c r="B2455" s="24" t="s">
        <v>4532</v>
      </c>
      <c r="C2455" s="25">
        <v>4753000</v>
      </c>
      <c r="D2455" s="22" t="s">
        <v>4533</v>
      </c>
      <c r="E2455" s="22" t="s">
        <v>48</v>
      </c>
      <c r="F2455" s="23" t="str">
        <f>HYPERLINK("https://www.spark-marketing.ru/Card/Lot/73621116", "Услуги по обеспечению питанием пациентов")</f>
        <v>Услуги по обеспечению питанием пациентов</v>
      </c>
      <c r="G2455" s="22" t="s">
        <v>108</v>
      </c>
      <c r="H2455" s="22" t="s">
        <v>4534</v>
      </c>
      <c r="I2455" s="26">
        <v>43726.590358796297</v>
      </c>
      <c r="J2455" s="23" t="str">
        <f>HYPERLINK("https://www.spark-marketing.ru/Card/Person/6454682", "Базиев Георгий Александрович")</f>
        <v>Базиев Георгий Александрович</v>
      </c>
      <c r="K2455" s="24" t="s">
        <v>4535</v>
      </c>
      <c r="L2455" s="22" t="s">
        <v>10</v>
      </c>
      <c r="M2455" s="28" t="s">
        <v>51</v>
      </c>
      <c r="N2455" s="28" t="s">
        <v>51</v>
      </c>
    </row>
    <row r="2456" spans="1:14" x14ac:dyDescent="0.15">
      <c r="A2456" s="23" t="str">
        <f>HYPERLINK("https://www.spark-marketing.ru/Card/Person/134195", "МБДОУ ""ДЕТСКИЙ САД №44""")</f>
        <v>МБДОУ "ДЕТСКИЙ САД №44"</v>
      </c>
      <c r="B2456" s="24" t="s">
        <v>4536</v>
      </c>
      <c r="C2456" s="25">
        <v>31589936</v>
      </c>
      <c r="D2456" s="22" t="s">
        <v>4537</v>
      </c>
      <c r="E2456" s="22" t="s">
        <v>48</v>
      </c>
      <c r="F2456" s="23" t="str">
        <f>HYPERLINK("https://www.spark-marketing.ru/Card/Lot/73620440", "на оказание услуг по организации горячего питания в МБДОУ №44")</f>
        <v>на оказание услуг по организации горячего питания в МБДОУ №44</v>
      </c>
      <c r="G2456" s="22" t="s">
        <v>49</v>
      </c>
      <c r="H2456" s="22" t="s">
        <v>301</v>
      </c>
      <c r="I2456" s="26">
        <v>43726.589895833298</v>
      </c>
      <c r="J2456" s="28" t="s">
        <v>51</v>
      </c>
      <c r="K2456" s="28" t="s">
        <v>51</v>
      </c>
      <c r="L2456" s="28" t="s">
        <v>51</v>
      </c>
      <c r="M2456" s="28" t="s">
        <v>51</v>
      </c>
      <c r="N2456" s="28" t="s">
        <v>51</v>
      </c>
    </row>
    <row r="2457" spans="1:14" hidden="1" outlineLevel="1" x14ac:dyDescent="0.2">
      <c r="A2457" s="23" t="str">
        <f>HYPERLINK("https://www.spark-marketing.ru/Card/Person/134195", "МБДОУ ""ДЕТСКИЙ САД №44""")</f>
        <v>МБДОУ "ДЕТСКИЙ САД №44"</v>
      </c>
      <c r="B2457" s="24" t="s">
        <v>4536</v>
      </c>
      <c r="C2457" s="25">
        <v>31589936</v>
      </c>
      <c r="D2457" s="22" t="s">
        <v>4537</v>
      </c>
      <c r="E2457" s="22" t="s">
        <v>48</v>
      </c>
      <c r="F2457" s="23" t="str">
        <f>HYPERLINK("https://www.spark-marketing.ru/Card/Lot/73620440", "на оказание услуг по организации горячего питания в МБДОУ №44")</f>
        <v>на оказание услуг по организации горячего питания в МБДОУ №44</v>
      </c>
      <c r="G2457" s="22" t="s">
        <v>49</v>
      </c>
      <c r="H2457" s="22" t="s">
        <v>301</v>
      </c>
      <c r="I2457" s="26">
        <v>43726.589895833298</v>
      </c>
      <c r="J2457" s="23" t="str">
        <f>HYPERLINK("https://www.spark-marketing.ru/Card/Person/100937", "ООО ""ВЕРТИКАЛЬ""")</f>
        <v>ООО "ВЕРТИКАЛЬ"</v>
      </c>
      <c r="K2457" s="24" t="s">
        <v>4501</v>
      </c>
      <c r="L2457" s="28" t="s">
        <v>51</v>
      </c>
      <c r="M2457" s="25">
        <v>30010439.199999999</v>
      </c>
      <c r="N2457" s="27">
        <v>0.05</v>
      </c>
    </row>
    <row r="2458" spans="1:14" ht="12.75" hidden="1" outlineLevel="1" x14ac:dyDescent="0.2">
      <c r="A2458" s="23" t="str">
        <f>HYPERLINK("https://www.spark-marketing.ru/Card/Person/134195", "МБДОУ ""ДЕТСКИЙ САД №44""")</f>
        <v>МБДОУ "ДЕТСКИЙ САД №44"</v>
      </c>
      <c r="B2458" s="24" t="s">
        <v>4536</v>
      </c>
      <c r="C2458" s="25">
        <v>31589936</v>
      </c>
      <c r="D2458" s="22" t="s">
        <v>4537</v>
      </c>
      <c r="E2458" s="22" t="s">
        <v>48</v>
      </c>
      <c r="F2458" s="23" t="str">
        <f>HYPERLINK("https://www.spark-marketing.ru/Card/Lot/73620440", "на оказание услуг по организации горячего питания в МБДОУ №44")</f>
        <v>на оказание услуг по организации горячего питания в МБДОУ №44</v>
      </c>
      <c r="G2458" s="22" t="s">
        <v>49</v>
      </c>
      <c r="H2458" s="22" t="s">
        <v>301</v>
      </c>
      <c r="I2458" s="26">
        <v>43726.589895833298</v>
      </c>
      <c r="J2458" s="23" t="str">
        <f>HYPERLINK("https://www.spark-marketing.ru/Card/Person/70733", "ООО ""ПЛАНЕТА ВКУСА""")</f>
        <v>ООО "ПЛАНЕТА ВКУСА"</v>
      </c>
      <c r="K2458" s="24" t="s">
        <v>4502</v>
      </c>
      <c r="L2458" s="22" t="s">
        <v>10</v>
      </c>
      <c r="M2458" s="25">
        <v>29968776</v>
      </c>
      <c r="N2458" s="27">
        <v>5.1318875733081575E-2</v>
      </c>
    </row>
    <row r="2459" spans="1:14" x14ac:dyDescent="0.15">
      <c r="A2459" s="23" t="str">
        <f>HYPERLINK("https://www.spark-marketing.ru/Card/Person/1763305", "МАДОУ ""ДЕТСКИЙ САД № 42""")</f>
        <v>МАДОУ "ДЕТСКИЙ САД № 42"</v>
      </c>
      <c r="B2459" s="24" t="s">
        <v>4538</v>
      </c>
      <c r="C2459" s="25">
        <v>17894590</v>
      </c>
      <c r="D2459" s="22" t="s">
        <v>4539</v>
      </c>
      <c r="E2459" s="22" t="s">
        <v>48</v>
      </c>
      <c r="F2459" s="23" t="str">
        <f>HYPERLINK("https://www.spark-marketing.ru/Card/Lot/73620344", "на оказание услуг по организации горячего питания в МАДОУ№42")</f>
        <v>на оказание услуг по организации горячего питания в МАДОУ№42</v>
      </c>
      <c r="G2459" s="22" t="s">
        <v>49</v>
      </c>
      <c r="H2459" s="22" t="s">
        <v>301</v>
      </c>
      <c r="I2459" s="26">
        <v>43726.590439814798</v>
      </c>
      <c r="J2459" s="28" t="s">
        <v>51</v>
      </c>
      <c r="K2459" s="28" t="s">
        <v>51</v>
      </c>
      <c r="L2459" s="28" t="s">
        <v>51</v>
      </c>
      <c r="M2459" s="28" t="s">
        <v>51</v>
      </c>
      <c r="N2459" s="28" t="s">
        <v>51</v>
      </c>
    </row>
    <row r="2460" spans="1:14" ht="12.75" hidden="1" outlineLevel="1" x14ac:dyDescent="0.2">
      <c r="A2460" s="23" t="str">
        <f>HYPERLINK("https://www.spark-marketing.ru/Card/Person/1763305", "МАДОУ ""ДЕТСКИЙ САД № 42""")</f>
        <v>МАДОУ "ДЕТСКИЙ САД № 42"</v>
      </c>
      <c r="B2460" s="24" t="s">
        <v>4538</v>
      </c>
      <c r="C2460" s="25">
        <v>17894590</v>
      </c>
      <c r="D2460" s="22" t="s">
        <v>4539</v>
      </c>
      <c r="E2460" s="22" t="s">
        <v>48</v>
      </c>
      <c r="F2460" s="23" t="str">
        <f>HYPERLINK("https://www.spark-marketing.ru/Card/Lot/73620344", "на оказание услуг по организации горячего питания в МАДОУ№42")</f>
        <v>на оказание услуг по организации горячего питания в МАДОУ№42</v>
      </c>
      <c r="G2460" s="22" t="s">
        <v>49</v>
      </c>
      <c r="H2460" s="22" t="s">
        <v>301</v>
      </c>
      <c r="I2460" s="26">
        <v>43726.590439814798</v>
      </c>
      <c r="J2460" s="23" t="str">
        <f>HYPERLINK("https://www.spark-marketing.ru/Card/Person/70733", "ООО ""ПЛАНЕТА ВКУСА""")</f>
        <v>ООО "ПЛАНЕТА ВКУСА"</v>
      </c>
      <c r="K2460" s="24" t="s">
        <v>4502</v>
      </c>
      <c r="L2460" s="22" t="s">
        <v>10</v>
      </c>
      <c r="M2460" s="25">
        <v>17043021</v>
      </c>
      <c r="N2460" s="27">
        <v>4.7588069913867825E-2</v>
      </c>
    </row>
    <row r="2461" spans="1:14" hidden="1" outlineLevel="1" x14ac:dyDescent="0.2">
      <c r="A2461" s="23" t="str">
        <f>HYPERLINK("https://www.spark-marketing.ru/Card/Person/1763305", "МАДОУ ""ДЕТСКИЙ САД № 42""")</f>
        <v>МАДОУ "ДЕТСКИЙ САД № 42"</v>
      </c>
      <c r="B2461" s="24" t="s">
        <v>4538</v>
      </c>
      <c r="C2461" s="25">
        <v>17894590</v>
      </c>
      <c r="D2461" s="22" t="s">
        <v>4539</v>
      </c>
      <c r="E2461" s="22" t="s">
        <v>48</v>
      </c>
      <c r="F2461" s="23" t="str">
        <f>HYPERLINK("https://www.spark-marketing.ru/Card/Lot/73620344", "на оказание услуг по организации горячего питания в МАДОУ№42")</f>
        <v>на оказание услуг по организации горячего питания в МАДОУ№42</v>
      </c>
      <c r="G2461" s="22" t="s">
        <v>49</v>
      </c>
      <c r="H2461" s="22" t="s">
        <v>301</v>
      </c>
      <c r="I2461" s="26">
        <v>43726.590439814798</v>
      </c>
      <c r="J2461" s="23" t="str">
        <f>HYPERLINK("https://www.spark-marketing.ru/Card/Person/100937", "ООО ""ВЕРТИКАЛЬ""")</f>
        <v>ООО "ВЕРТИКАЛЬ"</v>
      </c>
      <c r="K2461" s="24" t="s">
        <v>4501</v>
      </c>
      <c r="L2461" s="28" t="s">
        <v>51</v>
      </c>
      <c r="M2461" s="25">
        <v>16999860.5</v>
      </c>
      <c r="N2461" s="27">
        <v>0.05</v>
      </c>
    </row>
    <row r="2462" spans="1:14" x14ac:dyDescent="0.15">
      <c r="A2462" s="23" t="str">
        <f>HYPERLINK("https://www.spark-marketing.ru/Card/Person/4343552", "АДМИНИСТРАЦИЯ ПСКОВСКОЙ ОБЛАСТИ")</f>
        <v>АДМИНИСТРАЦИЯ ПСКОВСКОЙ ОБЛАСТИ</v>
      </c>
      <c r="B2462" s="24" t="s">
        <v>4540</v>
      </c>
      <c r="C2462" s="25">
        <v>500000</v>
      </c>
      <c r="D2462" s="22" t="s">
        <v>4541</v>
      </c>
      <c r="E2462" s="22" t="s">
        <v>48</v>
      </c>
      <c r="F2462" s="23" t="str">
        <f>HYPERLINK("https://www.spark-marketing.ru/Card/Lot/73619797", "Оказание услуг по предоставлению питания")</f>
        <v>Оказание услуг по предоставлению питания</v>
      </c>
      <c r="G2462" s="22" t="s">
        <v>415</v>
      </c>
      <c r="H2462" s="22" t="s">
        <v>4542</v>
      </c>
      <c r="I2462" s="26">
        <v>43726.559027777803</v>
      </c>
      <c r="J2462" s="23" t="str">
        <f>HYPERLINK("https://www.spark-marketing.ru/Card/Person/6067820", "ООО ""ФУД СЕРВИС""")</f>
        <v>ООО "ФУД СЕРВИС"</v>
      </c>
      <c r="K2462" s="24" t="s">
        <v>4543</v>
      </c>
      <c r="L2462" s="22" t="s">
        <v>10</v>
      </c>
      <c r="M2462" s="28" t="s">
        <v>51</v>
      </c>
      <c r="N2462" s="28" t="s">
        <v>51</v>
      </c>
    </row>
    <row r="2463" spans="1:14" x14ac:dyDescent="0.15">
      <c r="A2463" s="23" t="str">
        <f>HYPERLINK("https://www.spark-marketing.ru/Card/Person/31222", "ФКУ ""ЦВР МВД РОССИИ, Г. КРАСНОАРМЕЙСК""")</f>
        <v>ФКУ "ЦВР МВД РОССИИ, Г. КРАСНОАРМЕЙСК"</v>
      </c>
      <c r="B2463" s="24" t="s">
        <v>4544</v>
      </c>
      <c r="C2463" s="25">
        <v>990169.18</v>
      </c>
      <c r="D2463" s="22" t="s">
        <v>4545</v>
      </c>
      <c r="E2463" s="22" t="s">
        <v>48</v>
      </c>
      <c r="F2463" s="23" t="str">
        <f>HYPERLINK("https://www.spark-marketing.ru/Card/Lot/73622705", "Оказание услуг по приготовлению горячего питания для беженцев, размещенных в ФКУ «ЦВР МВД России, г. Красноармейск», в 1 квартале 2020 года")</f>
        <v>Оказание услуг по приготовлению горячего питания для беженцев, размещенных в ФКУ «ЦВР МВД России, г. Красноармейск», в 1 квартале 2020 года</v>
      </c>
      <c r="G2463" s="22" t="s">
        <v>351</v>
      </c>
      <c r="H2463" s="22" t="s">
        <v>3618</v>
      </c>
      <c r="I2463" s="26">
        <v>43726.581944444399</v>
      </c>
      <c r="J2463" s="23" t="str">
        <f>HYPERLINK("https://www.spark-marketing.ru/Card/Person/4675828", "Федорова Нина Ивановна")</f>
        <v>Федорова Нина Ивановна</v>
      </c>
      <c r="K2463" s="24" t="s">
        <v>4546</v>
      </c>
      <c r="L2463" s="22" t="s">
        <v>10</v>
      </c>
      <c r="M2463" s="28" t="s">
        <v>51</v>
      </c>
      <c r="N2463" s="28" t="s">
        <v>51</v>
      </c>
    </row>
    <row r="2464" spans="1:14" x14ac:dyDescent="0.15">
      <c r="A2464" s="23" t="str">
        <f>HYPERLINK("https://www.spark-marketing.ru/Card/Person/4343552", "АДМИНИСТРАЦИЯ ПСКОВСКОЙ ОБЛАСТИ")</f>
        <v>АДМИНИСТРАЦИЯ ПСКОВСКОЙ ОБЛАСТИ</v>
      </c>
      <c r="B2464" s="24" t="s">
        <v>4540</v>
      </c>
      <c r="C2464" s="25">
        <v>500000</v>
      </c>
      <c r="D2464" s="22" t="s">
        <v>4547</v>
      </c>
      <c r="E2464" s="22" t="s">
        <v>48</v>
      </c>
      <c r="F2464" s="23" t="str">
        <f>HYPERLINK("https://www.spark-marketing.ru/Card/Lot/73622968", "Оказание услуг по предоставлению питания")</f>
        <v>Оказание услуг по предоставлению питания</v>
      </c>
      <c r="G2464" s="22" t="s">
        <v>415</v>
      </c>
      <c r="H2464" s="22" t="s">
        <v>4542</v>
      </c>
      <c r="I2464" s="26">
        <v>43726.559120370403</v>
      </c>
      <c r="J2464" s="23" t="str">
        <f>HYPERLINK("https://www.spark-marketing.ru/Card/Person/375769", "ООО "" СЕВЗАПИНВЕСТ """)</f>
        <v>ООО " СЕВЗАПИНВЕСТ "</v>
      </c>
      <c r="K2464" s="24" t="s">
        <v>4548</v>
      </c>
      <c r="L2464" s="22" t="s">
        <v>10</v>
      </c>
      <c r="M2464" s="28" t="s">
        <v>51</v>
      </c>
      <c r="N2464" s="28" t="s">
        <v>51</v>
      </c>
    </row>
    <row r="2465" spans="1:14" x14ac:dyDescent="0.15">
      <c r="A2465" s="23" t="str">
        <f>HYPERLINK("https://www.spark-marketing.ru/Card/Person/2580", "ГБУ ""УПРАВЛЕНИЕ ДЕЛАМИ ГУБЕРНАТОРА И ПРАВИТЕЛЬСТВА ПЕНЗЕНСКОЙ ОБЛАСТИ""")</f>
        <v>ГБУ "УПРАВЛЕНИЕ ДЕЛАМИ ГУБЕРНАТОРА И ПРАВИТЕЛЬСТВА ПЕНЗЕНСКОЙ ОБЛАСТИ"</v>
      </c>
      <c r="B2465" s="24" t="s">
        <v>4549</v>
      </c>
      <c r="C2465" s="25">
        <v>154600</v>
      </c>
      <c r="D2465" s="22" t="s">
        <v>4550</v>
      </c>
      <c r="E2465" s="22" t="s">
        <v>4551</v>
      </c>
      <c r="F2465" s="23" t="str">
        <f>HYPERLINK("https://www.spark-marketing.ru/Card/Lot/73616552", "Оказание медицинской услуги по прохождению периодического медицинского осмотра работников ГБУ «Управление делами Губернатора и Правительства Пензенской области»")</f>
        <v>Оказание медицинской услуги по прохождению периодического медицинского осмотра работников ГБУ «Управление делами Губернатора и Правительства Пензенской области»</v>
      </c>
      <c r="G2465" s="22" t="s">
        <v>72</v>
      </c>
      <c r="H2465" s="22" t="s">
        <v>4552</v>
      </c>
      <c r="I2465" s="26">
        <v>43726.528472222199</v>
      </c>
      <c r="J2465" s="23" t="str">
        <f>HYPERLINK("https://www.spark-marketing.ru/Card/Person/751986", "ООО ""ПЕНЗА-МЕД""")</f>
        <v>ООО "ПЕНЗА-МЕД"</v>
      </c>
      <c r="K2465" s="24" t="s">
        <v>4553</v>
      </c>
      <c r="L2465" s="28" t="s">
        <v>51</v>
      </c>
      <c r="M2465" s="28" t="s">
        <v>51</v>
      </c>
      <c r="N2465" s="28" t="s">
        <v>51</v>
      </c>
    </row>
    <row r="2466" spans="1:14" ht="12.75" hidden="1" outlineLevel="1" x14ac:dyDescent="0.2">
      <c r="A2466" s="23" t="str">
        <f>HYPERLINK("https://www.spark-marketing.ru/Card/Person/2580", "ГБУ ""УПРАВЛЕНИЕ ДЕЛАМИ ГУБЕРНАТОРА И ПРАВИТЕЛЬСТВА ПЕНЗЕНСКОЙ ОБЛАСТИ""")</f>
        <v>ГБУ "УПРАВЛЕНИЕ ДЕЛАМИ ГУБЕРНАТОРА И ПРАВИТЕЛЬСТВА ПЕНЗЕНСКОЙ ОБЛАСТИ"</v>
      </c>
      <c r="B2466" s="24" t="s">
        <v>4549</v>
      </c>
      <c r="C2466" s="25">
        <v>154600</v>
      </c>
      <c r="D2466" s="22" t="s">
        <v>4550</v>
      </c>
      <c r="E2466" s="22" t="s">
        <v>4551</v>
      </c>
      <c r="F2466" s="23" t="str">
        <f>HYPERLINK("https://www.spark-marketing.ru/Card/Lot/73616552", "Оказание медицинской услуги по прохождению периодического медицинского осмотра работников ГБУ «Управление делами Губернатора и Правительства Пензенской области»")</f>
        <v>Оказание медицинской услуги по прохождению периодического медицинского осмотра работников ГБУ «Управление делами Губернатора и Правительства Пензенской области»</v>
      </c>
      <c r="G2466" s="22" t="s">
        <v>72</v>
      </c>
      <c r="H2466" s="22" t="s">
        <v>4552</v>
      </c>
      <c r="I2466" s="26">
        <v>43726.528472222199</v>
      </c>
      <c r="J2466" s="23" t="str">
        <f>HYPERLINK("https://www.spark-marketing.ru/Card/Person/751986", "ООО ""ПЕНЗА-МЕД""")</f>
        <v>ООО "ПЕНЗА-МЕД"</v>
      </c>
      <c r="K2466" s="24" t="s">
        <v>4553</v>
      </c>
      <c r="L2466" s="22" t="s">
        <v>10</v>
      </c>
      <c r="M2466" s="25">
        <v>153827</v>
      </c>
      <c r="N2466" s="27">
        <v>5.0000000000000001E-3</v>
      </c>
    </row>
    <row r="2467" spans="1:14" x14ac:dyDescent="0.15">
      <c r="A2467" s="23" t="str">
        <f>HYPERLINK("https://www.spark-marketing.ru/Card/Person/264094", "ОТДЕЛ МВД РОССИИ ПО ТАЛОВСКОМУ РАЙОНУ")</f>
        <v>ОТДЕЛ МВД РОССИИ ПО ТАЛОВСКОМУ РАЙОНУ</v>
      </c>
      <c r="B2467" s="24" t="s">
        <v>4554</v>
      </c>
      <c r="C2467" s="25">
        <v>100000</v>
      </c>
      <c r="D2467" s="22" t="s">
        <v>4555</v>
      </c>
      <c r="E2467" s="22" t="s">
        <v>48</v>
      </c>
      <c r="F2467" s="23" t="str">
        <f>HYPERLINK("https://www.spark-marketing.ru/Card/Lot/73599680", "Услуги по обеспечению питания лиц содержащихся в спец. помещениях задержанных лиц, 7 усл. ед")</f>
        <v>Услуги по обеспечению питания лиц содержащихся в спец. помещениях задержанных лиц, 7 усл. ед</v>
      </c>
      <c r="G2467" s="22" t="s">
        <v>82</v>
      </c>
      <c r="H2467" s="22" t="s">
        <v>4556</v>
      </c>
      <c r="I2467" s="26">
        <v>43726.506608796299</v>
      </c>
      <c r="J2467" s="28" t="s">
        <v>51</v>
      </c>
      <c r="K2467" s="28" t="s">
        <v>51</v>
      </c>
      <c r="L2467" s="28" t="s">
        <v>51</v>
      </c>
      <c r="M2467" s="28" t="s">
        <v>51</v>
      </c>
      <c r="N2467" s="28" t="s">
        <v>51</v>
      </c>
    </row>
    <row r="2468" spans="1:14" x14ac:dyDescent="0.15">
      <c r="A2468" s="23" t="str">
        <f>HYPERLINK("https://www.spark-marketing.ru/Card/Person/737290", "ГКУ «ЦБЗ ПРИ МИНЗДРАВЕ КАРЕЛИИ»")</f>
        <v>ГКУ «ЦБЗ ПРИ МИНЗДРАВЕ КАРЕЛИИ»</v>
      </c>
      <c r="B2468" s="24" t="s">
        <v>312</v>
      </c>
      <c r="C2468" s="25">
        <v>6367046</v>
      </c>
      <c r="D2468" s="22" t="s">
        <v>4557</v>
      </c>
      <c r="E2468" s="22" t="s">
        <v>52</v>
      </c>
      <c r="F2468" s="23" t="str">
        <f>HYPERLINK("https://www.spark-marketing.ru/Card/Lot/73620455", "Поставка лекарственного препарата Вилдаглиптин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Вилдаглиптин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2468" s="22" t="s">
        <v>59</v>
      </c>
      <c r="H2468" s="22" t="s">
        <v>314</v>
      </c>
      <c r="I2468" s="26">
        <v>43726.522662037001</v>
      </c>
      <c r="J2468" s="23" t="str">
        <f>HYPERLINK("https://www.spark-marketing.ru/Card/Person/5915525", "ООО ""МЕДФАРМ""")</f>
        <v>ООО "МЕДФАРМ"</v>
      </c>
      <c r="K2468" s="24" t="s">
        <v>2340</v>
      </c>
      <c r="L2468" s="28" t="s">
        <v>51</v>
      </c>
      <c r="M2468" s="28" t="s">
        <v>51</v>
      </c>
      <c r="N2468" s="28" t="s">
        <v>51</v>
      </c>
    </row>
    <row r="2469" spans="1:14" ht="12.75" hidden="1" outlineLevel="1" x14ac:dyDescent="0.2">
      <c r="A2469" s="23" t="str">
        <f>HYPERLINK("https://www.spark-marketing.ru/Card/Person/737290", "ГКУ «ЦБЗ ПРИ МИНЗДРАВЕ КАРЕЛИИ»")</f>
        <v>ГКУ «ЦБЗ ПРИ МИНЗДРАВЕ КАРЕЛИИ»</v>
      </c>
      <c r="B2469" s="24" t="s">
        <v>312</v>
      </c>
      <c r="C2469" s="25">
        <v>6367046</v>
      </c>
      <c r="D2469" s="22" t="s">
        <v>4557</v>
      </c>
      <c r="E2469" s="22" t="s">
        <v>52</v>
      </c>
      <c r="F2469" s="23" t="str">
        <f>HYPERLINK("https://www.spark-marketing.ru/Card/Lot/73620455", "Поставка лекарственного препарата Вилдаглиптин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Вилдаглиптин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2469" s="22" t="s">
        <v>59</v>
      </c>
      <c r="H2469" s="22" t="s">
        <v>314</v>
      </c>
      <c r="I2469" s="26">
        <v>43726.522662037001</v>
      </c>
      <c r="J2469" s="23" t="str">
        <f>HYPERLINK("https://www.spark-marketing.ru/Card/Person/5915525", "ООО ""МЕДФАРМ""")</f>
        <v>ООО "МЕДФАРМ"</v>
      </c>
      <c r="K2469" s="24" t="s">
        <v>2340</v>
      </c>
      <c r="L2469" s="22" t="s">
        <v>10</v>
      </c>
      <c r="M2469" s="25">
        <v>6335210.7699999996</v>
      </c>
      <c r="N2469" s="27">
        <v>5.0000000000000001E-3</v>
      </c>
    </row>
    <row r="2470" spans="1:14" x14ac:dyDescent="0.15">
      <c r="A2470" s="23" t="str">
        <f>HYPERLINK("https://www.spark-marketing.ru/Card/Person/4346072", "УЗ ЛИПЕЦКОЙ ОБЛАСТИ")</f>
        <v>УЗ ЛИПЕЦКОЙ ОБЛАСТИ</v>
      </c>
      <c r="B2470" s="24" t="s">
        <v>4558</v>
      </c>
      <c r="C2470" s="25">
        <v>6000000</v>
      </c>
      <c r="D2470" s="22" t="s">
        <v>4559</v>
      </c>
      <c r="E2470" s="22" t="s">
        <v>1153</v>
      </c>
      <c r="F2470" s="23" t="str">
        <f>HYPERLINK("https://www.spark-marketing.ru/Card/Lot/73622465", "Аукцион №2 на оказание услуг по обеспечению граждан лекарственными препаратами, медицинскими изделиями и специализированными продуктами лечебного питания для детей, больных фенилкетонурией")</f>
        <v>Аукцион №2 на оказание услуг по обеспечению граждан лекарственными препаратами, медицинскими изделиями и специализированными продуктами лечебного питания для детей, больных фенилкетонурией</v>
      </c>
      <c r="G2470" s="22" t="s">
        <v>101</v>
      </c>
      <c r="H2470" s="22" t="s">
        <v>101</v>
      </c>
      <c r="I2470" s="26">
        <v>43726.513622685197</v>
      </c>
      <c r="J2470" s="23" t="str">
        <f>HYPERLINK("https://www.spark-marketing.ru/Card/Person/14988", "ОГУП ""ЛИПЕЦКФАРМАЦИЯ""")</f>
        <v>ОГУП "ЛИПЕЦКФАРМАЦИЯ"</v>
      </c>
      <c r="K2470" s="24" t="s">
        <v>4560</v>
      </c>
      <c r="L2470" s="22" t="s">
        <v>10</v>
      </c>
      <c r="M2470" s="28" t="s">
        <v>51</v>
      </c>
      <c r="N2470" s="28" t="s">
        <v>51</v>
      </c>
    </row>
    <row r="2471" spans="1:14" x14ac:dyDescent="0.15">
      <c r="A2471" s="23" t="str">
        <f>HYPERLINK("https://www.spark-marketing.ru/Card/Person/13892", "БУЗ РА ""ШЕБАЛИНСКАЯ РБ""")</f>
        <v>БУЗ РА "ШЕБАЛИНСКАЯ РБ"</v>
      </c>
      <c r="B2471" s="24" t="s">
        <v>4561</v>
      </c>
      <c r="C2471" s="25">
        <v>3340241.59</v>
      </c>
      <c r="D2471" s="22" t="s">
        <v>4562</v>
      </c>
      <c r="E2471" s="22" t="s">
        <v>48</v>
      </c>
      <c r="F2471" s="23" t="str">
        <f>HYPERLINK("https://www.spark-marketing.ru/Card/Lot/73620947", "Оказание услуг по организации лечебного питания для больных, находящихся на стационарном лечении в БУЗ РА ""Шебалинская РБ""")</f>
        <v>Оказание услуг по организации лечебного питания для больных, находящихся на стационарном лечении в БУЗ РА "Шебалинская РБ"</v>
      </c>
      <c r="G2471" s="22" t="s">
        <v>1141</v>
      </c>
      <c r="H2471" s="22" t="s">
        <v>4563</v>
      </c>
      <c r="I2471" s="26">
        <v>43726.517407407402</v>
      </c>
      <c r="J2471" s="23" t="str">
        <f>HYPERLINK("https://www.spark-marketing.ru/Card/Person/945665", "ООО ""ИЫК-ТУУ""")</f>
        <v>ООО "ИЫК-ТУУ"</v>
      </c>
      <c r="K2471" s="24" t="s">
        <v>4564</v>
      </c>
      <c r="L2471" s="22" t="s">
        <v>10</v>
      </c>
      <c r="M2471" s="28" t="s">
        <v>51</v>
      </c>
      <c r="N2471" s="28" t="s">
        <v>51</v>
      </c>
    </row>
    <row r="2472" spans="1:14" x14ac:dyDescent="0.15">
      <c r="A2472" s="23" t="str">
        <f>HYPERLINK("https://www.spark-marketing.ru/Card/Person/102694", "МУ МВД РОССИИ ""ИРКУТСКОЕ""")</f>
        <v>МУ МВД РОССИИ "ИРКУТСКОЕ"</v>
      </c>
      <c r="B2472" s="24" t="s">
        <v>2766</v>
      </c>
      <c r="C2472" s="25">
        <v>646132</v>
      </c>
      <c r="D2472" s="22" t="s">
        <v>4565</v>
      </c>
      <c r="E2472" s="22" t="s">
        <v>48</v>
      </c>
      <c r="F2472" s="23" t="str">
        <f>HYPERLINK("https://www.spark-marketing.ru/Card/Lot/73591981", "Прочая закупка товаров, работ и услуг (оказание услуг по организации комплексного питания для лиц, содержащихся в изоляторе временного содержания подозреваемых и обвиняемых МУ МВД России «Иркутское»)")</f>
        <v>Прочая закупка товаров, работ и услуг (оказание услуг по организации комплексного питания для лиц, содержащихся в изоляторе временного содержания подозреваемых и обвиняемых МУ МВД России «Иркутское»)</v>
      </c>
      <c r="G2472" s="22" t="s">
        <v>263</v>
      </c>
      <c r="H2472" s="22" t="s">
        <v>2768</v>
      </c>
      <c r="I2472" s="26">
        <v>43726.526388888902</v>
      </c>
      <c r="J2472" s="23" t="str">
        <f>HYPERLINK("https://www.spark-marketing.ru/Card/Person/582241", "Журавель Алексей Сергеевич")</f>
        <v>Журавель Алексей Сергеевич</v>
      </c>
      <c r="K2472" s="24" t="s">
        <v>2769</v>
      </c>
      <c r="L2472" s="22" t="s">
        <v>10</v>
      </c>
      <c r="M2472" s="28" t="s">
        <v>51</v>
      </c>
      <c r="N2472" s="28" t="s">
        <v>51</v>
      </c>
    </row>
    <row r="2473" spans="1:14" x14ac:dyDescent="0.15">
      <c r="A2473" s="23" t="str">
        <f>HYPERLINK("https://www.spark-marketing.ru/Card/Person/737290", "ГКУ «ЦБЗ ПРИ МИНЗДРАВЕ КАРЕЛИИ»")</f>
        <v>ГКУ «ЦБЗ ПРИ МИНЗДРАВЕ КАРЕЛИИ»</v>
      </c>
      <c r="B2473" s="24" t="s">
        <v>312</v>
      </c>
      <c r="C2473" s="25">
        <v>435912.75</v>
      </c>
      <c r="D2473" s="22" t="s">
        <v>4566</v>
      </c>
      <c r="E2473" s="22" t="s">
        <v>52</v>
      </c>
      <c r="F2473" s="23" t="str">
        <f>HYPERLINK("https://www.spark-marketing.ru/Card/Lot/73619155", "Поставка лекарственного препарата Инсулин лизпро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...")</f>
        <v>Поставка лекарственного препарата Инсулин лизпро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...</v>
      </c>
      <c r="G2473" s="22" t="s">
        <v>59</v>
      </c>
      <c r="H2473" s="22" t="s">
        <v>314</v>
      </c>
      <c r="I2473" s="26">
        <v>43726.5222222222</v>
      </c>
      <c r="J2473" s="23" t="str">
        <f>HYPERLINK("https://www.spark-marketing.ru/Card/Person/50726", "АО ""РУСМЕДКОМ""")</f>
        <v>АО "РУСМЕДКОМ"</v>
      </c>
      <c r="K2473" s="24" t="s">
        <v>4567</v>
      </c>
      <c r="L2473" s="22" t="s">
        <v>10</v>
      </c>
      <c r="M2473" s="28" t="s">
        <v>51</v>
      </c>
      <c r="N2473" s="28" t="s">
        <v>51</v>
      </c>
    </row>
    <row r="2474" spans="1:14" x14ac:dyDescent="0.15">
      <c r="A2474" s="23" t="str">
        <f>HYPERLINK("https://www.spark-marketing.ru/Card/Person/126347", "МО МВД РОССИИ ""ТРУБЧЕВСКИЙ""")</f>
        <v>МО МВД РОССИИ "ТРУБЧЕВСКИЙ"</v>
      </c>
      <c r="B2474" s="24" t="s">
        <v>4568</v>
      </c>
      <c r="C2474" s="25">
        <v>174460</v>
      </c>
      <c r="D2474" s="22" t="s">
        <v>4569</v>
      </c>
      <c r="E2474" s="22" t="s">
        <v>48</v>
      </c>
      <c r="F2474" s="23" t="str">
        <f>HYPERLINK("https://www.spark-marketing.ru/Card/Lot/73599692", "Услуга организации трехразового питания в г.Орел и Орловской области, 671 усл. ед")</f>
        <v>Услуга организации трехразового питания в г.Орел и Орловской области, 671 усл. ед</v>
      </c>
      <c r="G2474" s="22" t="s">
        <v>475</v>
      </c>
      <c r="H2474" s="22" t="s">
        <v>4570</v>
      </c>
      <c r="I2474" s="26">
        <v>43726.509317129603</v>
      </c>
      <c r="J2474" s="28" t="s">
        <v>51</v>
      </c>
      <c r="K2474" s="28" t="s">
        <v>51</v>
      </c>
      <c r="L2474" s="28" t="s">
        <v>51</v>
      </c>
      <c r="M2474" s="28" t="s">
        <v>51</v>
      </c>
      <c r="N2474" s="28" t="s">
        <v>51</v>
      </c>
    </row>
    <row r="2475" spans="1:14" x14ac:dyDescent="0.15">
      <c r="A2475" s="23" t="str">
        <f>HYPERLINK("https://www.spark-marketing.ru/Card/Person/64935", "УМВД РОССИИ ПО Г. КУРСКУ")</f>
        <v>УМВД РОССИИ ПО Г. КУРСКУ</v>
      </c>
      <c r="B2475" s="24" t="s">
        <v>1109</v>
      </c>
      <c r="C2475" s="25">
        <v>514080</v>
      </c>
      <c r="D2475" s="22" t="s">
        <v>4571</v>
      </c>
      <c r="E2475" s="22" t="s">
        <v>96</v>
      </c>
      <c r="F2475" s="23" t="str">
        <f>HYPERLINK("https://www.spark-marketing.ru/Card/Lot/73619784", "Оказание услуг по организации питания лицам, задержанным в  административном порядке в подразделениях УМВД России по г. Курску  на срок более 3-х часов")</f>
        <v>Оказание услуг по организации питания лицам, задержанным в  административном порядке в подразделениях УМВД России по г. Курску  на срок более 3-х часов</v>
      </c>
      <c r="G2475" s="22" t="s">
        <v>1111</v>
      </c>
      <c r="H2475" s="22" t="s">
        <v>1112</v>
      </c>
      <c r="I2475" s="26">
        <v>43726.531944444403</v>
      </c>
      <c r="J2475" s="28" t="s">
        <v>51</v>
      </c>
      <c r="K2475" s="28" t="s">
        <v>51</v>
      </c>
      <c r="L2475" s="28" t="s">
        <v>51</v>
      </c>
      <c r="M2475" s="28" t="s">
        <v>51</v>
      </c>
      <c r="N2475" s="28" t="s">
        <v>51</v>
      </c>
    </row>
    <row r="2476" spans="1:14" ht="12.75" hidden="1" outlineLevel="1" x14ac:dyDescent="0.2">
      <c r="A2476" s="23" t="str">
        <f>HYPERLINK("https://www.spark-marketing.ru/Card/Person/64935", "УМВД РОССИИ ПО Г. КУРСКУ")</f>
        <v>УМВД РОССИИ ПО Г. КУРСКУ</v>
      </c>
      <c r="B2476" s="24" t="s">
        <v>1109</v>
      </c>
      <c r="C2476" s="25">
        <v>514080</v>
      </c>
      <c r="D2476" s="22" t="s">
        <v>4571</v>
      </c>
      <c r="E2476" s="22" t="s">
        <v>96</v>
      </c>
      <c r="F2476" s="23" t="str">
        <f>HYPERLINK("https://www.spark-marketing.ru/Card/Lot/73619784", "Оказание услуг по организации питания лицам, задержанным в  административном порядке в подразделениях УМВД России по г. Курску  на срок более 3-х часов")</f>
        <v>Оказание услуг по организации питания лицам, задержанным в  административном порядке в подразделениях УМВД России по г. Курску  на срок более 3-х часов</v>
      </c>
      <c r="G2476" s="22" t="s">
        <v>1111</v>
      </c>
      <c r="H2476" s="22" t="s">
        <v>1112</v>
      </c>
      <c r="I2476" s="26">
        <v>43726.531944444403</v>
      </c>
      <c r="J2476" s="23" t="str">
        <f>HYPERLINK("https://www.spark-marketing.ru/Card/Person/671861", "ООО ""КОНГРЕСС""")</f>
        <v>ООО "КОНГРЕСС"</v>
      </c>
      <c r="K2476" s="24" t="s">
        <v>4512</v>
      </c>
      <c r="L2476" s="22" t="s">
        <v>10</v>
      </c>
      <c r="M2476" s="25">
        <v>242352</v>
      </c>
      <c r="N2476" s="27">
        <v>0.52857142857142858</v>
      </c>
    </row>
    <row r="2477" spans="1:14" hidden="1" outlineLevel="1" x14ac:dyDescent="0.2">
      <c r="A2477" s="23" t="str">
        <f>HYPERLINK("https://www.spark-marketing.ru/Card/Person/64935", "УМВД РОССИИ ПО Г. КУРСКУ")</f>
        <v>УМВД РОССИИ ПО Г. КУРСКУ</v>
      </c>
      <c r="B2477" s="24" t="s">
        <v>1109</v>
      </c>
      <c r="C2477" s="25">
        <v>514080</v>
      </c>
      <c r="D2477" s="22" t="s">
        <v>4571</v>
      </c>
      <c r="E2477" s="22" t="s">
        <v>96</v>
      </c>
      <c r="F2477" s="23" t="str">
        <f>HYPERLINK("https://www.spark-marketing.ru/Card/Lot/73619784", "Оказание услуг по организации питания лицам, задержанным в  административном порядке в подразделениях УМВД России по г. Курску  на срок более 3-х часов")</f>
        <v>Оказание услуг по организации питания лицам, задержанным в  административном порядке в подразделениях УМВД России по г. Курску  на срок более 3-х часов</v>
      </c>
      <c r="G2477" s="22" t="s">
        <v>1111</v>
      </c>
      <c r="H2477" s="22" t="s">
        <v>1112</v>
      </c>
      <c r="I2477" s="26">
        <v>43726.531944444403</v>
      </c>
      <c r="J2477" s="23" t="str">
        <f>HYPERLINK("https://www.spark-marketing.ru/Card/Person/695296", "ООО ""УЛЬТРАМАРИН""")</f>
        <v>ООО "УЛЬТРАМАРИН"</v>
      </c>
      <c r="K2477" s="24" t="s">
        <v>4511</v>
      </c>
      <c r="L2477" s="28" t="s">
        <v>51</v>
      </c>
      <c r="M2477" s="25">
        <v>247000</v>
      </c>
      <c r="N2477" s="27">
        <v>0.51953003423591659</v>
      </c>
    </row>
    <row r="2478" spans="1:14" x14ac:dyDescent="0.2">
      <c r="A2478" s="23" t="str">
        <f>HYPERLINK("https://www.spark-marketing.ru/Card/Person/58335", "ГБУЗ АО ""АКПТД""")</f>
        <v>ГБУЗ АО "АКПТД"</v>
      </c>
      <c r="B2478" s="24" t="s">
        <v>4572</v>
      </c>
      <c r="C2478" s="25">
        <v>27503875</v>
      </c>
      <c r="D2478" s="22" t="s">
        <v>4573</v>
      </c>
      <c r="E2478" s="22" t="s">
        <v>48</v>
      </c>
      <c r="F2478" s="23" t="str">
        <f>HYPERLINK("https://www.spark-marketing.ru/Card/Lot/73620915", "Оказание услуг по организации лечебного питания пациентов, находящихся в круглосуточном стационаре ГБУЗ АО «АКПТД»")</f>
        <v>Оказание услуг по организации лечебного питания пациентов, находящихся в круглосуточном стационаре ГБУЗ АО «АКПТД»</v>
      </c>
      <c r="G2478" s="22" t="s">
        <v>214</v>
      </c>
      <c r="H2478" s="22" t="s">
        <v>523</v>
      </c>
      <c r="I2478" s="26">
        <v>43726.459398148101</v>
      </c>
      <c r="J2478" s="23" t="str">
        <f>HYPERLINK("https://www.spark-marketing.ru/Card/Person/54253", "ООО ""ТРЕСТ СТОЛОВЫХ""")</f>
        <v>ООО "ТРЕСТ СТОЛОВЫХ"</v>
      </c>
      <c r="K2478" s="24" t="s">
        <v>4574</v>
      </c>
      <c r="L2478" s="28" t="s">
        <v>51</v>
      </c>
      <c r="M2478" s="25">
        <v>27503875</v>
      </c>
      <c r="N2478" s="27">
        <v>0</v>
      </c>
    </row>
    <row r="2479" spans="1:14" x14ac:dyDescent="0.15">
      <c r="A2479" s="23" t="str">
        <f>HYPERLINK("https://www.spark-marketing.ru/Card/Person/101699", "ГБУСОВО ""СОБИНСКИЙ ПНИ""")</f>
        <v>ГБУСОВО "СОБИНСКИЙ ПНИ"</v>
      </c>
      <c r="B2479" s="24" t="s">
        <v>4575</v>
      </c>
      <c r="C2479" s="25">
        <v>38625224.399999999</v>
      </c>
      <c r="D2479" s="22" t="s">
        <v>4576</v>
      </c>
      <c r="E2479" s="22" t="s">
        <v>48</v>
      </c>
      <c r="F2479" s="23" t="str">
        <f>HYPERLINK("https://www.spark-marketing.ru/Card/Lot/73622166", "Оказание услуги по организации ежедневного питания получателей социальных услуг для нужд ГБУСОВО ""Собинский ПНИ""")</f>
        <v>Оказание услуги по организации ежедневного питания получателей социальных услуг для нужд ГБУСОВО "Собинский ПНИ"</v>
      </c>
      <c r="G2479" s="22" t="s">
        <v>663</v>
      </c>
      <c r="H2479" s="22" t="s">
        <v>663</v>
      </c>
      <c r="I2479" s="26">
        <v>43726.458981481497</v>
      </c>
      <c r="J2479" s="28" t="s">
        <v>51</v>
      </c>
      <c r="K2479" s="28" t="s">
        <v>51</v>
      </c>
      <c r="L2479" s="28" t="s">
        <v>51</v>
      </c>
      <c r="M2479" s="28" t="s">
        <v>51</v>
      </c>
      <c r="N2479" s="28" t="s">
        <v>51</v>
      </c>
    </row>
    <row r="2480" spans="1:14" hidden="1" outlineLevel="1" x14ac:dyDescent="0.15">
      <c r="A2480" s="23" t="str">
        <f>HYPERLINK("https://www.spark-marketing.ru/Card/Person/101699", "ГБУСОВО ""СОБИНСКИЙ ПНИ""")</f>
        <v>ГБУСОВО "СОБИНСКИЙ ПНИ"</v>
      </c>
      <c r="B2480" s="24" t="s">
        <v>4575</v>
      </c>
      <c r="C2480" s="25">
        <v>38625224.399999999</v>
      </c>
      <c r="D2480" s="22" t="s">
        <v>4576</v>
      </c>
      <c r="E2480" s="22" t="s">
        <v>48</v>
      </c>
      <c r="F2480" s="23" t="str">
        <f>HYPERLINK("https://www.spark-marketing.ru/Card/Lot/73622166", "Оказание услуги по организации ежедневного питания получателей социальных услуг для нужд ГБУСОВО ""Собинский ПНИ""")</f>
        <v>Оказание услуги по организации ежедневного питания получателей социальных услуг для нужд ГБУСОВО "Собинский ПНИ"</v>
      </c>
      <c r="G2480" s="22" t="s">
        <v>663</v>
      </c>
      <c r="H2480" s="22" t="s">
        <v>663</v>
      </c>
      <c r="I2480" s="26">
        <v>43726.458981481497</v>
      </c>
      <c r="J2480" s="23" t="str">
        <f>HYPERLINK("https://www.spark-marketing.ru/Card/Person/4351217", "ООО ""2М""")</f>
        <v>ООО "2М"</v>
      </c>
      <c r="K2480" s="24" t="s">
        <v>4577</v>
      </c>
      <c r="L2480" s="28" t="s">
        <v>51</v>
      </c>
      <c r="M2480" s="28" t="s">
        <v>51</v>
      </c>
      <c r="N2480" s="28" t="s">
        <v>51</v>
      </c>
    </row>
    <row r="2481" spans="1:14" hidden="1" outlineLevel="1" x14ac:dyDescent="0.2">
      <c r="A2481" s="23" t="str">
        <f>HYPERLINK("https://www.spark-marketing.ru/Card/Person/101699", "ГБУСОВО ""СОБИНСКИЙ ПНИ""")</f>
        <v>ГБУСОВО "СОБИНСКИЙ ПНИ"</v>
      </c>
      <c r="B2481" s="24" t="s">
        <v>4575</v>
      </c>
      <c r="C2481" s="25">
        <v>38625224.399999999</v>
      </c>
      <c r="D2481" s="22" t="s">
        <v>4576</v>
      </c>
      <c r="E2481" s="22" t="s">
        <v>48</v>
      </c>
      <c r="F2481" s="23" t="str">
        <f>HYPERLINK("https://www.spark-marketing.ru/Card/Lot/73622166", "Оказание услуги по организации ежедневного питания получателей социальных услуг для нужд ГБУСОВО ""Собинский ПНИ""")</f>
        <v>Оказание услуги по организации ежедневного питания получателей социальных услуг для нужд ГБУСОВО "Собинский ПНИ"</v>
      </c>
      <c r="G2481" s="22" t="s">
        <v>663</v>
      </c>
      <c r="H2481" s="22" t="s">
        <v>663</v>
      </c>
      <c r="I2481" s="26">
        <v>43726.458981481497</v>
      </c>
      <c r="J2481" s="23" t="str">
        <f>HYPERLINK("https://www.spark-marketing.ru/Card/Person/91571", "ООО ""ВЭП""")</f>
        <v>ООО "ВЭП"</v>
      </c>
      <c r="K2481" s="24" t="s">
        <v>4578</v>
      </c>
      <c r="L2481" s="28" t="s">
        <v>51</v>
      </c>
      <c r="M2481" s="25">
        <v>38625000</v>
      </c>
      <c r="N2481" s="27">
        <v>5.8096749853445508E-6</v>
      </c>
    </row>
    <row r="2482" spans="1:14" x14ac:dyDescent="0.15">
      <c r="A2482" s="23" t="str">
        <f>HYPERLINK("https://www.spark-marketing.ru/Card/Person/34132", "СПБ ГБПОУ ""УОР № 1""")</f>
        <v>СПБ ГБПОУ "УОР № 1"</v>
      </c>
      <c r="B2482" s="24" t="s">
        <v>632</v>
      </c>
      <c r="C2482" s="25">
        <v>450600</v>
      </c>
      <c r="D2482" s="22" t="s">
        <v>4579</v>
      </c>
      <c r="E2482" s="22" t="s">
        <v>374</v>
      </c>
      <c r="F2482" s="23" t="str">
        <f>HYPERLINK("https://www.spark-marketing.ru/Card/Lot/73618601", "Обеспечение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 сооружения для от...")</f>
        <v>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 сооружения для от...</v>
      </c>
      <c r="G2482" s="22" t="s">
        <v>117</v>
      </c>
      <c r="H2482" s="22" t="s">
        <v>117</v>
      </c>
      <c r="I2482" s="26">
        <v>43726.487500000003</v>
      </c>
      <c r="J2482" s="28" t="s">
        <v>51</v>
      </c>
      <c r="K2482" s="28" t="s">
        <v>51</v>
      </c>
      <c r="L2482" s="28" t="s">
        <v>51</v>
      </c>
      <c r="M2482" s="28" t="s">
        <v>51</v>
      </c>
      <c r="N2482" s="28" t="s">
        <v>51</v>
      </c>
    </row>
    <row r="2483" spans="1:14" hidden="1" outlineLevel="1" x14ac:dyDescent="0.2">
      <c r="A2483" s="23" t="str">
        <f>HYPERLINK("https://www.spark-marketing.ru/Card/Person/34132", "СПБ ГБПОУ ""УОР № 1""")</f>
        <v>СПБ ГБПОУ "УОР № 1"</v>
      </c>
      <c r="B2483" s="24" t="s">
        <v>632</v>
      </c>
      <c r="C2483" s="25">
        <v>450600</v>
      </c>
      <c r="D2483" s="22" t="s">
        <v>4579</v>
      </c>
      <c r="E2483" s="22" t="s">
        <v>374</v>
      </c>
      <c r="F2483" s="23" t="str">
        <f>HYPERLINK("https://www.spark-marketing.ru/Card/Lot/73618601", "Обеспечение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 сооружения для от...")</f>
        <v>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 сооружения для от...</v>
      </c>
      <c r="G2483" s="22" t="s">
        <v>117</v>
      </c>
      <c r="H2483" s="22" t="s">
        <v>117</v>
      </c>
      <c r="I2483" s="26">
        <v>43726.487500000003</v>
      </c>
      <c r="J2483" s="23" t="str">
        <f>HYPERLINK("https://www.spark-marketing.ru/Card/Person/1318505", "ООО "" СПОРТИВНЫЙ КЛУБ ""КАЙМАН""")</f>
        <v>ООО " СПОРТИВНЫЙ КЛУБ "КАЙМАН"</v>
      </c>
      <c r="K2483" s="24" t="s">
        <v>4580</v>
      </c>
      <c r="L2483" s="28" t="s">
        <v>51</v>
      </c>
      <c r="M2483" s="25">
        <v>393435.09</v>
      </c>
      <c r="N2483" s="27">
        <v>0.12686398135818908</v>
      </c>
    </row>
    <row r="2484" spans="1:14" ht="12.75" hidden="1" outlineLevel="1" x14ac:dyDescent="0.2">
      <c r="A2484" s="23" t="str">
        <f>HYPERLINK("https://www.spark-marketing.ru/Card/Person/34132", "СПБ ГБПОУ ""УОР № 1""")</f>
        <v>СПБ ГБПОУ "УОР № 1"</v>
      </c>
      <c r="B2484" s="24" t="s">
        <v>632</v>
      </c>
      <c r="C2484" s="25">
        <v>450600</v>
      </c>
      <c r="D2484" s="22" t="s">
        <v>4579</v>
      </c>
      <c r="E2484" s="22" t="s">
        <v>374</v>
      </c>
      <c r="F2484" s="23" t="str">
        <f>HYPERLINK("https://www.spark-marketing.ru/Card/Lot/73618601", "Обеспечение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 сооружения для от...")</f>
        <v>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 сооружения для от...</v>
      </c>
      <c r="G2484" s="22" t="s">
        <v>117</v>
      </c>
      <c r="H2484" s="22" t="s">
        <v>117</v>
      </c>
      <c r="I2484" s="26">
        <v>43726.487500000003</v>
      </c>
      <c r="J2484" s="23" t="str">
        <f>HYPERLINK("https://www.spark-marketing.ru/Card/Person/4919842", "ООО ""МАКСИ КО""")</f>
        <v>ООО "МАКСИ КО"</v>
      </c>
      <c r="K2484" s="24" t="s">
        <v>4581</v>
      </c>
      <c r="L2484" s="22" t="s">
        <v>10</v>
      </c>
      <c r="M2484" s="25">
        <v>390702.19</v>
      </c>
      <c r="N2484" s="27">
        <v>0.13292900577008432</v>
      </c>
    </row>
    <row r="2485" spans="1:14" x14ac:dyDescent="0.15">
      <c r="A2485" s="23" t="str">
        <f>HYPERLINK("https://www.spark-marketing.ru/Card/Person/162010", "ОТДЕЛ МВД РОССИИ ПО ЛЕВОКУМСКОМУ РАЙОНУ")</f>
        <v>ОТДЕЛ МВД РОССИИ ПО ЛЕВОКУМСКОМУ РАЙОНУ</v>
      </c>
      <c r="B2485" s="24" t="s">
        <v>4582</v>
      </c>
      <c r="C2485" s="25">
        <v>568473</v>
      </c>
      <c r="D2485" s="22" t="s">
        <v>4583</v>
      </c>
      <c r="E2485" s="22" t="s">
        <v>48</v>
      </c>
      <c r="F2485" s="23" t="str">
        <f>HYPERLINK("https://www.spark-marketing.ru/Card/Lot/73622909", "ПИТАНИЕ ИВС")</f>
        <v>ПИТАНИЕ ИВС</v>
      </c>
      <c r="G2485" s="22" t="s">
        <v>87</v>
      </c>
      <c r="H2485" s="22" t="s">
        <v>4584</v>
      </c>
      <c r="I2485" s="26">
        <v>43726.444837962998</v>
      </c>
      <c r="J2485" s="28" t="s">
        <v>51</v>
      </c>
      <c r="K2485" s="28" t="s">
        <v>51</v>
      </c>
      <c r="L2485" s="28" t="s">
        <v>51</v>
      </c>
      <c r="M2485" s="28" t="s">
        <v>51</v>
      </c>
      <c r="N2485" s="28" t="s">
        <v>51</v>
      </c>
    </row>
    <row r="2486" spans="1:14" x14ac:dyDescent="0.2">
      <c r="A2486" s="23" t="str">
        <f>HYPERLINK("https://www.spark-marketing.ru/Card/Person/1077498", "МБОУ ""СОШ №3 Г.ОСЫ""")</f>
        <v>МБОУ "СОШ №3 Г.ОСЫ"</v>
      </c>
      <c r="B2486" s="24" t="s">
        <v>4585</v>
      </c>
      <c r="C2486" s="25">
        <v>3139208.92</v>
      </c>
      <c r="D2486" s="22" t="s">
        <v>4586</v>
      </c>
      <c r="E2486" s="22" t="s">
        <v>96</v>
      </c>
      <c r="F2486" s="23" t="str">
        <f>HYPERLINK("https://www.spark-marketing.ru/Card/Lot/73622991", "Оказание услуг по организации питания")</f>
        <v>Оказание услуг по организации питания</v>
      </c>
      <c r="G2486" s="22" t="s">
        <v>153</v>
      </c>
      <c r="H2486" s="22" t="s">
        <v>153</v>
      </c>
      <c r="I2486" s="26">
        <v>43726.5022916667</v>
      </c>
      <c r="J2486" s="23" t="str">
        <f>HYPERLINK("https://www.spark-marketing.ru/Card/Person/2456385", "ООО ""МЕРКУРИЙ""")</f>
        <v>ООО "МЕРКУРИЙ"</v>
      </c>
      <c r="K2486" s="24" t="s">
        <v>4587</v>
      </c>
      <c r="L2486" s="28" t="s">
        <v>51</v>
      </c>
      <c r="M2486" s="25">
        <v>3130000</v>
      </c>
      <c r="N2486" s="27">
        <v>2.933516129280112E-3</v>
      </c>
    </row>
    <row r="2487" spans="1:14" x14ac:dyDescent="0.15">
      <c r="A2487" s="23" t="str">
        <f>HYPERLINK("https://www.spark-marketing.ru/Card/Person/9325", "МЭРИЯ ГОРОДА ЧЕРЕПОВЦА")</f>
        <v>МЭРИЯ ГОРОДА ЧЕРЕПОВЦА</v>
      </c>
      <c r="B2487" s="24" t="s">
        <v>4588</v>
      </c>
      <c r="C2487" s="25">
        <v>175000</v>
      </c>
      <c r="D2487" s="22" t="s">
        <v>4589</v>
      </c>
      <c r="E2487" s="22" t="s">
        <v>96</v>
      </c>
      <c r="F2487" s="23" t="str">
        <f>HYPERLINK("https://www.spark-marketing.ru/Card/Lot/73615216", "Оказание услуг по организации питания участников мероприятий, посвященных празднованию Дня города")</f>
        <v>Оказание услуг по организации питания участников мероприятий, посвященных празднованию Дня города</v>
      </c>
      <c r="G2487" s="22" t="s">
        <v>503</v>
      </c>
      <c r="H2487" s="22" t="s">
        <v>1157</v>
      </c>
      <c r="I2487" s="26">
        <v>43726.4194444444</v>
      </c>
      <c r="J2487" s="23" t="str">
        <f>HYPERLINK("https://www.spark-marketing.ru/Card/Person/263895", "ООО ""РЕСТОРАН ДВОРЦА МЕТАЛЛУРГОВ""")</f>
        <v>ООО "РЕСТОРАН ДВОРЦА МЕТАЛЛУРГОВ"</v>
      </c>
      <c r="K2487" s="24" t="s">
        <v>4590</v>
      </c>
      <c r="L2487" s="22" t="s">
        <v>10</v>
      </c>
      <c r="M2487" s="28" t="s">
        <v>51</v>
      </c>
      <c r="N2487" s="28" t="s">
        <v>51</v>
      </c>
    </row>
    <row r="2488" spans="1:14" x14ac:dyDescent="0.15">
      <c r="A2488" s="23" t="str">
        <f>HYPERLINK("https://www.spark-marketing.ru/Card/Person/4378802", "МБОУ ""ШКОЛА-ГИМНАЗИЯ № 1"" ГОРОДСКОГО ОКРУГА СУДАК")</f>
        <v>МБОУ "ШКОЛА-ГИМНАЗИЯ № 1" ГОРОДСКОГО ОКРУГА СУДАК</v>
      </c>
      <c r="B2488" s="24" t="s">
        <v>4591</v>
      </c>
      <c r="C2488" s="25">
        <v>8085200</v>
      </c>
      <c r="D2488" s="22" t="s">
        <v>4592</v>
      </c>
      <c r="E2488" s="22" t="s">
        <v>48</v>
      </c>
      <c r="F2488" s="23" t="str">
        <f>HYPERLINK("https://www.spark-marketing.ru/Card/Lot/73620831", "Услуга по организации питания для учащихся")</f>
        <v>Услуга по организации питания для учащихся</v>
      </c>
      <c r="G2488" s="22" t="s">
        <v>108</v>
      </c>
      <c r="H2488" s="22" t="s">
        <v>4593</v>
      </c>
      <c r="I2488" s="26">
        <v>43726.4383564815</v>
      </c>
      <c r="J2488" s="28" t="s">
        <v>51</v>
      </c>
      <c r="K2488" s="28" t="s">
        <v>51</v>
      </c>
      <c r="L2488" s="28" t="s">
        <v>51</v>
      </c>
      <c r="M2488" s="28" t="s">
        <v>51</v>
      </c>
      <c r="N2488" s="28" t="s">
        <v>51</v>
      </c>
    </row>
    <row r="2489" spans="1:14" hidden="1" outlineLevel="1" x14ac:dyDescent="0.15">
      <c r="A2489" s="23" t="str">
        <f>HYPERLINK("https://www.spark-marketing.ru/Card/Person/4378802", "МБОУ ""ШКОЛА-ГИМНАЗИЯ № 1"" ГОРОДСКОГО ОКРУГА СУДАК")</f>
        <v>МБОУ "ШКОЛА-ГИМНАЗИЯ № 1" ГОРОДСКОГО ОКРУГА СУДАК</v>
      </c>
      <c r="B2489" s="24" t="s">
        <v>4591</v>
      </c>
      <c r="C2489" s="25">
        <v>8085200</v>
      </c>
      <c r="D2489" s="22" t="s">
        <v>4592</v>
      </c>
      <c r="E2489" s="22" t="s">
        <v>48</v>
      </c>
      <c r="F2489" s="23" t="str">
        <f>HYPERLINK("https://www.spark-marketing.ru/Card/Lot/73620831", "Услуга по организации питания для учащихся")</f>
        <v>Услуга по организации питания для учащихся</v>
      </c>
      <c r="G2489" s="22" t="s">
        <v>108</v>
      </c>
      <c r="H2489" s="22" t="s">
        <v>4593</v>
      </c>
      <c r="I2489" s="26">
        <v>43726.4383564815</v>
      </c>
      <c r="J2489" s="23" t="str">
        <f>HYPERLINK("https://www.spark-marketing.ru/Card/Person/5789450", "Шмакова Наталия Владимировна")</f>
        <v>Шмакова Наталия Владимировна</v>
      </c>
      <c r="K2489" s="24" t="s">
        <v>4594</v>
      </c>
      <c r="L2489" s="28" t="s">
        <v>51</v>
      </c>
      <c r="M2489" s="28" t="s">
        <v>51</v>
      </c>
      <c r="N2489" s="28" t="s">
        <v>51</v>
      </c>
    </row>
    <row r="2490" spans="1:14" hidden="1" outlineLevel="1" x14ac:dyDescent="0.15">
      <c r="A2490" s="23" t="str">
        <f>HYPERLINK("https://www.spark-marketing.ru/Card/Person/4378802", "МБОУ ""ШКОЛА-ГИМНАЗИЯ № 1"" ГОРОДСКОГО ОКРУГА СУДАК")</f>
        <v>МБОУ "ШКОЛА-ГИМНАЗИЯ № 1" ГОРОДСКОГО ОКРУГА СУДАК</v>
      </c>
      <c r="B2490" s="24" t="s">
        <v>4591</v>
      </c>
      <c r="C2490" s="25">
        <v>8085200</v>
      </c>
      <c r="D2490" s="22" t="s">
        <v>4592</v>
      </c>
      <c r="E2490" s="22" t="s">
        <v>48</v>
      </c>
      <c r="F2490" s="23" t="str">
        <f>HYPERLINK("https://www.spark-marketing.ru/Card/Lot/73620831", "Услуга по организации питания для учащихся")</f>
        <v>Услуга по организации питания для учащихся</v>
      </c>
      <c r="G2490" s="22" t="s">
        <v>108</v>
      </c>
      <c r="H2490" s="22" t="s">
        <v>4593</v>
      </c>
      <c r="I2490" s="26">
        <v>43726.4383564815</v>
      </c>
      <c r="J2490" s="23" t="str">
        <f>HYPERLINK("https://www.spark-marketing.ru/Card/Person/4856360", "ООО ""МЕЛИССА""")</f>
        <v>ООО "МЕЛИССА"</v>
      </c>
      <c r="K2490" s="24" t="s">
        <v>4595</v>
      </c>
      <c r="L2490" s="28" t="s">
        <v>51</v>
      </c>
      <c r="M2490" s="28" t="s">
        <v>51</v>
      </c>
      <c r="N2490" s="28" t="s">
        <v>51</v>
      </c>
    </row>
    <row r="2491" spans="1:14" hidden="1" outlineLevel="1" x14ac:dyDescent="0.15">
      <c r="A2491" s="23" t="str">
        <f>HYPERLINK("https://www.spark-marketing.ru/Card/Person/4378802", "МБОУ ""ШКОЛА-ГИМНАЗИЯ № 1"" ГОРОДСКОГО ОКРУГА СУДАК")</f>
        <v>МБОУ "ШКОЛА-ГИМНАЗИЯ № 1" ГОРОДСКОГО ОКРУГА СУДАК</v>
      </c>
      <c r="B2491" s="24" t="s">
        <v>4591</v>
      </c>
      <c r="C2491" s="25">
        <v>8085200</v>
      </c>
      <c r="D2491" s="22" t="s">
        <v>4592</v>
      </c>
      <c r="E2491" s="22" t="s">
        <v>48</v>
      </c>
      <c r="F2491" s="23" t="str">
        <f>HYPERLINK("https://www.spark-marketing.ru/Card/Lot/73620831", "Услуга по организации питания для учащихся")</f>
        <v>Услуга по организации питания для учащихся</v>
      </c>
      <c r="G2491" s="22" t="s">
        <v>108</v>
      </c>
      <c r="H2491" s="22" t="s">
        <v>4593</v>
      </c>
      <c r="I2491" s="26">
        <v>43726.4383564815</v>
      </c>
      <c r="J2491" s="23" t="str">
        <f>HYPERLINK("https://www.spark-marketing.ru/Card/Person/6491488", "Манацюк Петр Анатольевич")</f>
        <v>Манацюк Петр Анатольевич</v>
      </c>
      <c r="K2491" s="24" t="s">
        <v>4596</v>
      </c>
      <c r="L2491" s="28" t="s">
        <v>51</v>
      </c>
      <c r="M2491" s="28" t="s">
        <v>51</v>
      </c>
      <c r="N2491" s="28" t="s">
        <v>51</v>
      </c>
    </row>
    <row r="2492" spans="1:14" x14ac:dyDescent="0.15">
      <c r="A2492" s="23" t="str">
        <f>HYPERLINK("https://www.spark-marketing.ru/Card/Person/76153", "ГАУЗ ""ГОРОДСКАЯ БОЛЬНИЦА №5""")</f>
        <v>ГАУЗ "ГОРОДСКАЯ БОЛЬНИЦА №5"</v>
      </c>
      <c r="B2492" s="24" t="s">
        <v>4597</v>
      </c>
      <c r="C2492" s="25">
        <v>5001787</v>
      </c>
      <c r="D2492" s="22" t="s">
        <v>4598</v>
      </c>
      <c r="E2492" s="22" t="s">
        <v>48</v>
      </c>
      <c r="F2492" s="23" t="str">
        <f>HYPERLINK("https://www.spark-marketing.ru/Card/Lot/73620707", "Оказание услуг по организации лечебного питания пациентов субъектами малого предпринимательства, социально ориентированными некоммерческими организациями для нужд ГАУЗ «Городская больница №5»")</f>
        <v>Оказание услуг по организации лечебного питания пациентов субъектами малого предпринимательства, социально ориентированными некоммерческими организациями для нужд ГАУЗ «Городская больница №5»</v>
      </c>
      <c r="G2492" s="22" t="s">
        <v>217</v>
      </c>
      <c r="H2492" s="22" t="s">
        <v>1998</v>
      </c>
      <c r="I2492" s="26">
        <v>43726.3901273148</v>
      </c>
      <c r="J2492" s="28" t="s">
        <v>51</v>
      </c>
      <c r="K2492" s="28" t="s">
        <v>51</v>
      </c>
      <c r="L2492" s="28" t="s">
        <v>51</v>
      </c>
      <c r="M2492" s="28" t="s">
        <v>51</v>
      </c>
      <c r="N2492" s="28" t="s">
        <v>51</v>
      </c>
    </row>
    <row r="2493" spans="1:14" hidden="1" outlineLevel="1" x14ac:dyDescent="0.2">
      <c r="A2493" s="23" t="str">
        <f>HYPERLINK("https://www.spark-marketing.ru/Card/Person/76153", "ГАУЗ ""ГОРОДСКАЯ БОЛЬНИЦА №5""")</f>
        <v>ГАУЗ "ГОРОДСКАЯ БОЛЬНИЦА №5"</v>
      </c>
      <c r="B2493" s="24" t="s">
        <v>4597</v>
      </c>
      <c r="C2493" s="25">
        <v>5001787</v>
      </c>
      <c r="D2493" s="22" t="s">
        <v>4598</v>
      </c>
      <c r="E2493" s="22" t="s">
        <v>48</v>
      </c>
      <c r="F2493" s="23" t="str">
        <f>HYPERLINK("https://www.spark-marketing.ru/Card/Lot/73620707", "Оказание услуг по организации лечебного питания пациентов субъектами малого предпринимательства, социально ориентированными некоммерческими организациями для нужд ГАУЗ «Городская больница №5»")</f>
        <v>Оказание услуг по организации лечебного питания пациентов субъектами малого предпринимательства, социально ориентированными некоммерческими организациями для нужд ГАУЗ «Городская больница №5»</v>
      </c>
      <c r="G2493" s="22" t="s">
        <v>217</v>
      </c>
      <c r="H2493" s="22" t="s">
        <v>1998</v>
      </c>
      <c r="I2493" s="26">
        <v>43726.3901273148</v>
      </c>
      <c r="J2493" s="23" t="str">
        <f>HYPERLINK("https://www.spark-marketing.ru/Card/Person/987329", "ООО ""ДРУЖБА""")</f>
        <v>ООО "ДРУЖБА"</v>
      </c>
      <c r="K2493" s="24" t="s">
        <v>2147</v>
      </c>
      <c r="L2493" s="28" t="s">
        <v>51</v>
      </c>
      <c r="M2493" s="25">
        <v>4976454</v>
      </c>
      <c r="N2493" s="27">
        <v>5.0647898441097154E-3</v>
      </c>
    </row>
    <row r="2494" spans="1:14" ht="12.75" hidden="1" outlineLevel="1" x14ac:dyDescent="0.2">
      <c r="A2494" s="23" t="str">
        <f>HYPERLINK("https://www.spark-marketing.ru/Card/Person/76153", "ГАУЗ ""ГОРОДСКАЯ БОЛЬНИЦА №5""")</f>
        <v>ГАУЗ "ГОРОДСКАЯ БОЛЬНИЦА №5"</v>
      </c>
      <c r="B2494" s="24" t="s">
        <v>4597</v>
      </c>
      <c r="C2494" s="25">
        <v>5001787</v>
      </c>
      <c r="D2494" s="22" t="s">
        <v>4598</v>
      </c>
      <c r="E2494" s="22" t="s">
        <v>48</v>
      </c>
      <c r="F2494" s="23" t="str">
        <f>HYPERLINK("https://www.spark-marketing.ru/Card/Lot/73620707", "Оказание услуг по организации лечебного питания пациентов субъектами малого предпринимательства, социально ориентированными некоммерческими организациями для нужд ГАУЗ «Городская больница №5»")</f>
        <v>Оказание услуг по организации лечебного питания пациентов субъектами малого предпринимательства, социально ориентированными некоммерческими организациями для нужд ГАУЗ «Городская больница №5»</v>
      </c>
      <c r="G2494" s="22" t="s">
        <v>217</v>
      </c>
      <c r="H2494" s="22" t="s">
        <v>1998</v>
      </c>
      <c r="I2494" s="26">
        <v>43726.3901273148</v>
      </c>
      <c r="J2494" s="23" t="str">
        <f>HYPERLINK("https://www.spark-marketing.ru/Card/Person/76405", "Ахмадеева Инна Евгеньевна")</f>
        <v>Ахмадеева Инна Евгеньевна</v>
      </c>
      <c r="K2494" s="24" t="s">
        <v>4599</v>
      </c>
      <c r="L2494" s="22" t="s">
        <v>10</v>
      </c>
      <c r="M2494" s="25">
        <v>4976454</v>
      </c>
      <c r="N2494" s="27">
        <v>5.0647898441097154E-3</v>
      </c>
    </row>
    <row r="2495" spans="1:14" x14ac:dyDescent="0.15">
      <c r="A2495" s="23" t="str">
        <f>HYPERLINK("https://www.spark-marketing.ru/Card/Person/813613", "ОТДЕЛ МВД РОССИИ ПО ЗУБОВО-ПОЛЯНСКОМУ МУНИЦИПАЛЬНОМУ РАЙОНУ")</f>
        <v>ОТДЕЛ МВД РОССИИ ПО ЗУБОВО-ПОЛЯНСКОМУ МУНИЦИПАЛЬНОМУ РАЙОНУ</v>
      </c>
      <c r="B2495" s="24" t="s">
        <v>4600</v>
      </c>
      <c r="C2495" s="25">
        <v>203.89</v>
      </c>
      <c r="D2495" s="22" t="s">
        <v>4601</v>
      </c>
      <c r="E2495" s="22" t="s">
        <v>48</v>
      </c>
      <c r="F2495" s="23" t="str">
        <f>HYPERLINK("https://www.spark-marketing.ru/Card/Lot/73589200",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2495" s="22" t="s">
        <v>277</v>
      </c>
      <c r="H2495" s="22" t="s">
        <v>4602</v>
      </c>
      <c r="I2495" s="26">
        <v>43726.3855555556</v>
      </c>
      <c r="J2495" s="28" t="s">
        <v>51</v>
      </c>
      <c r="K2495" s="28" t="s">
        <v>51</v>
      </c>
      <c r="L2495" s="28" t="s">
        <v>51</v>
      </c>
      <c r="M2495" s="28" t="s">
        <v>51</v>
      </c>
      <c r="N2495" s="28" t="s">
        <v>51</v>
      </c>
    </row>
    <row r="2496" spans="1:14" x14ac:dyDescent="0.15">
      <c r="A2496" s="23" t="str">
        <f>HYPERLINK("https://www.spark-marketing.ru/Card/Person/8383", "ГБУЗ ""КДКБ № 1""")</f>
        <v>ГБУЗ "КДКБ № 1"</v>
      </c>
      <c r="B2496" s="24" t="s">
        <v>1534</v>
      </c>
      <c r="C2496" s="25">
        <v>337223.67</v>
      </c>
      <c r="D2496" s="22" t="s">
        <v>4603</v>
      </c>
      <c r="E2496" s="22" t="s">
        <v>603</v>
      </c>
      <c r="F2496" s="23" t="str">
        <f>HYPERLINK("https://www.spark-marketing.ru/Card/Lot/73575950", "Оказание услуг по  метрологической поверке и метрологического контроля состояния  средств измерений медицинского назначения для нужд ГБУЗ ""КДКБ №1""")</f>
        <v>Оказание услуг по  метрологической поверке и метрологического контроля состояния  средств измерений медицинского назначения для нужд ГБУЗ "КДКБ №1"</v>
      </c>
      <c r="G2496" s="22" t="s">
        <v>543</v>
      </c>
      <c r="H2496" s="22" t="s">
        <v>1440</v>
      </c>
      <c r="I2496" s="26">
        <v>43726.385416666701</v>
      </c>
      <c r="J2496" s="28" t="s">
        <v>51</v>
      </c>
      <c r="K2496" s="28" t="s">
        <v>51</v>
      </c>
      <c r="L2496" s="28" t="s">
        <v>51</v>
      </c>
      <c r="M2496" s="28" t="s">
        <v>51</v>
      </c>
      <c r="N2496" s="28" t="s">
        <v>51</v>
      </c>
    </row>
    <row r="2497" spans="1:14" x14ac:dyDescent="0.15">
      <c r="A2497" s="23" t="str">
        <f>HYPERLINK("https://www.spark-marketing.ru/Card/Person/148241", "ОТДЕЛ МВД РОССИИ ПО НЕФТЕКУМСКОМУ ГОРОДСКОМУ ОКРУГУ")</f>
        <v>ОТДЕЛ МВД РОССИИ ПО НЕФТЕКУМСКОМУ ГОРОДСКОМУ ОКРУГУ</v>
      </c>
      <c r="B2497" s="24" t="s">
        <v>4280</v>
      </c>
      <c r="C2497" s="25">
        <v>49950</v>
      </c>
      <c r="D2497" s="22" t="s">
        <v>4604</v>
      </c>
      <c r="E2497" s="22" t="s">
        <v>48</v>
      </c>
      <c r="F2497" s="23" t="str">
        <f>HYPERLINK("https://www.spark-marketing.ru/Card/Lot/73590253", "Услуги по обеспечению питанием, осуществляемые по договору, 370 усл. ед")</f>
        <v>Услуги по обеспечению питанием, осуществляемые по договору, 370 усл. ед</v>
      </c>
      <c r="G2497" s="22" t="s">
        <v>87</v>
      </c>
      <c r="H2497" s="22" t="s">
        <v>861</v>
      </c>
      <c r="I2497" s="26">
        <v>43726.397187499999</v>
      </c>
      <c r="J2497" s="28" t="s">
        <v>51</v>
      </c>
      <c r="K2497" s="28" t="s">
        <v>51</v>
      </c>
      <c r="L2497" s="28" t="s">
        <v>51</v>
      </c>
      <c r="M2497" s="28" t="s">
        <v>51</v>
      </c>
      <c r="N2497" s="28" t="s">
        <v>51</v>
      </c>
    </row>
    <row r="2498" spans="1:14" x14ac:dyDescent="0.15">
      <c r="A2498" s="23" t="str">
        <f>HYPERLINK("https://www.spark-marketing.ru/Card/Person/737290", "ГКУ «ЦБЗ ПРИ МИНЗДРАВЕ КАРЕЛИИ»")</f>
        <v>ГКУ «ЦБЗ ПРИ МИНЗДРАВЕ КАРЕЛИИ»</v>
      </c>
      <c r="B2498" s="24" t="s">
        <v>312</v>
      </c>
      <c r="C2498" s="25">
        <v>665032.35</v>
      </c>
      <c r="D2498" s="22" t="s">
        <v>4605</v>
      </c>
      <c r="E2498" s="22" t="s">
        <v>52</v>
      </c>
      <c r="F2498" s="23" t="str">
        <f>HYPERLINK("https://www.spark-marketing.ru/Card/Lot/73619988", "Поставка лекарственного препарата Инсулин лизпро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...")</f>
        <v>Поставка лекарственного препарата Инсулин лизпро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...</v>
      </c>
      <c r="G2498" s="22" t="s">
        <v>59</v>
      </c>
      <c r="H2498" s="22" t="s">
        <v>314</v>
      </c>
      <c r="I2498" s="26">
        <v>43726.390972222202</v>
      </c>
      <c r="J2498" s="23" t="str">
        <f>HYPERLINK("https://www.spark-marketing.ru/Card/Person/50726", "АО ""РУСМЕДКОМ""")</f>
        <v>АО "РУСМЕДКОМ"</v>
      </c>
      <c r="K2498" s="24" t="s">
        <v>4567</v>
      </c>
      <c r="L2498" s="22" t="s">
        <v>10</v>
      </c>
      <c r="M2498" s="28" t="s">
        <v>51</v>
      </c>
      <c r="N2498" s="28" t="s">
        <v>51</v>
      </c>
    </row>
    <row r="2499" spans="1:14" x14ac:dyDescent="0.15">
      <c r="A2499" s="23" t="str">
        <f>HYPERLINK("https://www.spark-marketing.ru/Card/Person/162010", "ОТДЕЛ МВД РОССИИ ПО ЛЕВОКУМСКОМУ РАЙОНУ")</f>
        <v>ОТДЕЛ МВД РОССИИ ПО ЛЕВОКУМСКОМУ РАЙОНУ</v>
      </c>
      <c r="B2499" s="24" t="s">
        <v>4582</v>
      </c>
      <c r="C2499" s="25">
        <v>698248</v>
      </c>
      <c r="D2499" s="22" t="s">
        <v>4606</v>
      </c>
      <c r="E2499" s="22" t="s">
        <v>48</v>
      </c>
      <c r="F2499" s="23" t="str">
        <f>HYPERLINK("https://www.spark-marketing.ru/Card/Lot/73622814", "ПИТАНИЕ ИВС")</f>
        <v>ПИТАНИЕ ИВС</v>
      </c>
      <c r="G2499" s="22" t="s">
        <v>87</v>
      </c>
      <c r="H2499" s="22" t="s">
        <v>4584</v>
      </c>
      <c r="I2499" s="26">
        <v>43726.342384259297</v>
      </c>
      <c r="J2499" s="28" t="s">
        <v>51</v>
      </c>
      <c r="K2499" s="28" t="s">
        <v>51</v>
      </c>
      <c r="L2499" s="28" t="s">
        <v>51</v>
      </c>
      <c r="M2499" s="28" t="s">
        <v>51</v>
      </c>
      <c r="N2499" s="28" t="s">
        <v>51</v>
      </c>
    </row>
    <row r="2500" spans="1:14" x14ac:dyDescent="0.15">
      <c r="A2500" s="23" t="str">
        <f>HYPERLINK("https://www.spark-marketing.ru/Card/Person/1834396", "ООО ""УСИНСК-СНАБСЕРВИС""")</f>
        <v>ООО "УСИНСК-СНАБСЕРВИС"</v>
      </c>
      <c r="B2500" s="24" t="s">
        <v>1591</v>
      </c>
      <c r="C2500" s="25">
        <v>1287264</v>
      </c>
      <c r="D2500" s="22" t="s">
        <v>4607</v>
      </c>
      <c r="E2500" s="22" t="s">
        <v>52</v>
      </c>
      <c r="F2500" s="23" t="str">
        <f>HYPERLINK("https://www.spark-marketing.ru/Card/Lot/73599707", "Номер закупки 20-У-10. Оказание услуг по обеспечению питанием работников ООО «Усинск-Снабсервис» в 2020 г.")</f>
        <v>Номер закупки 20-У-10. Оказание услуг по обеспечению питанием работников ООО «Усинск-Снабсервис» в 2020 г.</v>
      </c>
      <c r="G2500" s="22" t="s">
        <v>271</v>
      </c>
      <c r="H2500" s="22" t="s">
        <v>479</v>
      </c>
      <c r="I2500" s="26">
        <v>43726.341666666704</v>
      </c>
      <c r="J2500" s="28" t="s">
        <v>51</v>
      </c>
      <c r="K2500" s="28" t="s">
        <v>51</v>
      </c>
      <c r="L2500" s="28" t="s">
        <v>51</v>
      </c>
      <c r="M2500" s="28" t="s">
        <v>51</v>
      </c>
      <c r="N2500" s="28" t="s">
        <v>51</v>
      </c>
    </row>
    <row r="2501" spans="1:14" x14ac:dyDescent="0.15">
      <c r="A2501" s="23" t="str">
        <f>HYPERLINK("https://www.spark-marketing.ru/Card/Person/537184", "МО МВД РОССИИ ""БАРЫШСКИЙ""")</f>
        <v>МО МВД РОССИИ "БАРЫШСКИЙ"</v>
      </c>
      <c r="B2501" s="24" t="s">
        <v>4608</v>
      </c>
      <c r="C2501" s="25">
        <v>20642.54</v>
      </c>
      <c r="D2501" s="22" t="s">
        <v>4609</v>
      </c>
      <c r="E2501" s="22" t="s">
        <v>48</v>
      </c>
      <c r="F2501" s="23" t="str">
        <f>HYPERLINK("https://www.spark-marketing.ru/Card/Lot/73587727",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2501" s="22" t="s">
        <v>1918</v>
      </c>
      <c r="H2501" s="22" t="s">
        <v>4610</v>
      </c>
      <c r="I2501" s="26">
        <v>43726.357523148101</v>
      </c>
      <c r="J2501" s="28" t="s">
        <v>51</v>
      </c>
      <c r="K2501" s="28" t="s">
        <v>51</v>
      </c>
      <c r="L2501" s="28" t="s">
        <v>51</v>
      </c>
      <c r="M2501" s="28" t="s">
        <v>51</v>
      </c>
      <c r="N2501" s="28" t="s">
        <v>51</v>
      </c>
    </row>
    <row r="2502" spans="1:14" x14ac:dyDescent="0.15">
      <c r="A2502" s="23" t="str">
        <f>HYPERLINK("https://www.spark-marketing.ru/Card/Person/537184", "МО МВД РОССИИ ""БАРЫШСКИЙ""")</f>
        <v>МО МВД РОССИИ "БАРЫШСКИЙ"</v>
      </c>
      <c r="B2502" s="24" t="s">
        <v>4608</v>
      </c>
      <c r="C2502" s="25">
        <v>20642.54</v>
      </c>
      <c r="D2502" s="22" t="s">
        <v>4611</v>
      </c>
      <c r="E2502" s="22" t="s">
        <v>48</v>
      </c>
      <c r="F2502" s="23" t="str">
        <f>HYPERLINK("https://www.spark-marketing.ru/Card/Lot/73587782",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2502" s="22" t="s">
        <v>1918</v>
      </c>
      <c r="H2502" s="22" t="s">
        <v>4610</v>
      </c>
      <c r="I2502" s="26">
        <v>43726.3658796296</v>
      </c>
      <c r="J2502" s="28" t="s">
        <v>51</v>
      </c>
      <c r="K2502" s="28" t="s">
        <v>51</v>
      </c>
      <c r="L2502" s="28" t="s">
        <v>51</v>
      </c>
      <c r="M2502" s="28" t="s">
        <v>51</v>
      </c>
      <c r="N2502" s="28" t="s">
        <v>51</v>
      </c>
    </row>
    <row r="2503" spans="1:14" x14ac:dyDescent="0.15">
      <c r="A2503" s="23" t="str">
        <f>HYPERLINK("https://www.spark-marketing.ru/Card/Person/4345991", "ЗАКОНОДАТЕЛЬНОЕ СОБРАНИЕ ПЕРМСКОГО КРАЯ")</f>
        <v>ЗАКОНОДАТЕЛЬНОЕ СОБРАНИЕ ПЕРМСКОГО КРАЯ</v>
      </c>
      <c r="B2503" s="24" t="s">
        <v>4612</v>
      </c>
      <c r="C2503" s="25">
        <v>487750</v>
      </c>
      <c r="D2503" s="22" t="s">
        <v>4613</v>
      </c>
      <c r="E2503" s="22" t="s">
        <v>96</v>
      </c>
      <c r="F2503" s="23" t="str">
        <f>HYPERLINK("https://www.spark-marketing.ru/Card/Lot/73585283", "Оказание услуг по организации обслуживания в рамках мероприятий, проводимых Законодательным Собранием Пермского края в соответствии с техническим заданием")</f>
        <v>Оказание услуг по организации обслуживания в рамках мероприятий, проводимых Законодательным Собранием Пермского края в соответствии с техническим заданием</v>
      </c>
      <c r="G2503" s="22" t="s">
        <v>153</v>
      </c>
      <c r="H2503" s="22" t="s">
        <v>153</v>
      </c>
      <c r="I2503" s="26">
        <v>43726.338194444397</v>
      </c>
      <c r="J2503" s="28" t="s">
        <v>51</v>
      </c>
      <c r="K2503" s="28" t="s">
        <v>51</v>
      </c>
      <c r="L2503" s="28" t="s">
        <v>51</v>
      </c>
      <c r="M2503" s="28" t="s">
        <v>51</v>
      </c>
      <c r="N2503" s="28" t="s">
        <v>51</v>
      </c>
    </row>
    <row r="2504" spans="1:14" hidden="1" outlineLevel="1" x14ac:dyDescent="0.2">
      <c r="A2504" s="23" t="str">
        <f>HYPERLINK("https://www.spark-marketing.ru/Card/Person/4345991", "ЗАКОНОДАТЕЛЬНОЕ СОБРАНИЕ ПЕРМСКОГО КРАЯ")</f>
        <v>ЗАКОНОДАТЕЛЬНОЕ СОБРАНИЕ ПЕРМСКОГО КРАЯ</v>
      </c>
      <c r="B2504" s="24" t="s">
        <v>4612</v>
      </c>
      <c r="C2504" s="25">
        <v>487750</v>
      </c>
      <c r="D2504" s="22" t="s">
        <v>4613</v>
      </c>
      <c r="E2504" s="22" t="s">
        <v>96</v>
      </c>
      <c r="F2504" s="23" t="str">
        <f>HYPERLINK("https://www.spark-marketing.ru/Card/Lot/73585283", "Оказание услуг по организации обслуживания в рамках мероприятий, проводимых Законодательным Собранием Пермского края в соответствии с техническим заданием")</f>
        <v>Оказание услуг по организации обслуживания в рамках мероприятий, проводимых Законодательным Собранием Пермского края в соответствии с техническим заданием</v>
      </c>
      <c r="G2504" s="22" t="s">
        <v>153</v>
      </c>
      <c r="H2504" s="22" t="s">
        <v>153</v>
      </c>
      <c r="I2504" s="26">
        <v>43726.338194444397</v>
      </c>
      <c r="J2504" s="23" t="str">
        <f>HYPERLINK("https://www.spark-marketing.ru/Card/Person/6710636", "Мамедова Эльнара Рустамовна")</f>
        <v>Мамедова Эльнара Рустамовна</v>
      </c>
      <c r="K2504" s="24" t="s">
        <v>4614</v>
      </c>
      <c r="L2504" s="28" t="s">
        <v>51</v>
      </c>
      <c r="M2504" s="25">
        <v>380000</v>
      </c>
      <c r="N2504" s="27">
        <v>0.22091235263967196</v>
      </c>
    </row>
    <row r="2505" spans="1:14" ht="12.75" hidden="1" outlineLevel="1" x14ac:dyDescent="0.2">
      <c r="A2505" s="23" t="str">
        <f>HYPERLINK("https://www.spark-marketing.ru/Card/Person/4345991", "ЗАКОНОДАТЕЛЬНОЕ СОБРАНИЕ ПЕРМСКОГО КРАЯ")</f>
        <v>ЗАКОНОДАТЕЛЬНОЕ СОБРАНИЕ ПЕРМСКОГО КРАЯ</v>
      </c>
      <c r="B2505" s="24" t="s">
        <v>4612</v>
      </c>
      <c r="C2505" s="25">
        <v>487750</v>
      </c>
      <c r="D2505" s="22" t="s">
        <v>4613</v>
      </c>
      <c r="E2505" s="22" t="s">
        <v>96</v>
      </c>
      <c r="F2505" s="23" t="str">
        <f>HYPERLINK("https://www.spark-marketing.ru/Card/Lot/73585283", "Оказание услуг по организации обслуживания в рамках мероприятий, проводимых Законодательным Собранием Пермского края в соответствии с техническим заданием")</f>
        <v>Оказание услуг по организации обслуживания в рамках мероприятий, проводимых Законодательным Собранием Пермского края в соответствии с техническим заданием</v>
      </c>
      <c r="G2505" s="22" t="s">
        <v>153</v>
      </c>
      <c r="H2505" s="22" t="s">
        <v>153</v>
      </c>
      <c r="I2505" s="26">
        <v>43726.338194444397</v>
      </c>
      <c r="J2505" s="23" t="str">
        <f>HYPERLINK("https://www.spark-marketing.ru/Card/Person/5911508", "ООО ""ОБЪЕДИНЁННАЯ РЕСТОРАННАЯ ГРУППА""")</f>
        <v>ООО "ОБЪЕДИНЁННАЯ РЕСТОРАННАЯ ГРУППА"</v>
      </c>
      <c r="K2505" s="24" t="s">
        <v>4615</v>
      </c>
      <c r="L2505" s="22" t="s">
        <v>10</v>
      </c>
      <c r="M2505" s="25">
        <v>377561.25</v>
      </c>
      <c r="N2505" s="27">
        <v>0.22591235263967197</v>
      </c>
    </row>
    <row r="2506" spans="1:14" hidden="1" outlineLevel="1" x14ac:dyDescent="0.2">
      <c r="A2506" s="23" t="str">
        <f>HYPERLINK("https://www.spark-marketing.ru/Card/Person/4345991", "ЗАКОНОДАТЕЛЬНОЕ СОБРАНИЕ ПЕРМСКОГО КРАЯ")</f>
        <v>ЗАКОНОДАТЕЛЬНОЕ СОБРАНИЕ ПЕРМСКОГО КРАЯ</v>
      </c>
      <c r="B2506" s="24" t="s">
        <v>4612</v>
      </c>
      <c r="C2506" s="25">
        <v>487750</v>
      </c>
      <c r="D2506" s="22" t="s">
        <v>4613</v>
      </c>
      <c r="E2506" s="22" t="s">
        <v>96</v>
      </c>
      <c r="F2506" s="23" t="str">
        <f>HYPERLINK("https://www.spark-marketing.ru/Card/Lot/73585283", "Оказание услуг по организации обслуживания в рамках мероприятий, проводимых Законодательным Собранием Пермского края в соответствии с техническим заданием")</f>
        <v>Оказание услуг по организации обслуживания в рамках мероприятий, проводимых Законодательным Собранием Пермского края в соответствии с техническим заданием</v>
      </c>
      <c r="G2506" s="22" t="s">
        <v>153</v>
      </c>
      <c r="H2506" s="22" t="s">
        <v>153</v>
      </c>
      <c r="I2506" s="26">
        <v>43726.338194444397</v>
      </c>
      <c r="J2506" s="23" t="str">
        <f>HYPERLINK("https://www.spark-marketing.ru/Card/Person/1987764", "ООО ""НЬЮ СТАР""")</f>
        <v>ООО "НЬЮ СТАР"</v>
      </c>
      <c r="K2506" s="24" t="s">
        <v>4616</v>
      </c>
      <c r="L2506" s="28" t="s">
        <v>51</v>
      </c>
      <c r="M2506" s="25">
        <v>397561.25</v>
      </c>
      <c r="N2506" s="27">
        <v>0.18490773962070733</v>
      </c>
    </row>
    <row r="2507" spans="1:14" x14ac:dyDescent="0.15">
      <c r="A2507" s="23" t="str">
        <f>HYPERLINK("https://www.spark-marketing.ru/Card/Person/265162", "МО МВД РОССИИ ""ОКТЯБРЬСКИЙ""")</f>
        <v>МО МВД РОССИИ "ОКТЯБРЬСКИЙ"</v>
      </c>
      <c r="B2507" s="24" t="s">
        <v>4617</v>
      </c>
      <c r="C2507" s="25">
        <v>46751</v>
      </c>
      <c r="D2507" s="22" t="s">
        <v>4618</v>
      </c>
      <c r="E2507" s="22" t="s">
        <v>91</v>
      </c>
      <c r="F2507" s="23" t="str">
        <f>HYPERLINK("https://www.spark-marketing.ru/Card/Lot/73581534", "Услуги")</f>
        <v>Услуги</v>
      </c>
      <c r="G2507" s="22" t="s">
        <v>210</v>
      </c>
      <c r="H2507" s="22" t="s">
        <v>465</v>
      </c>
      <c r="I2507" s="26">
        <v>43726.239525463003</v>
      </c>
      <c r="J2507" s="28" t="s">
        <v>51</v>
      </c>
      <c r="K2507" s="28" t="s">
        <v>51</v>
      </c>
      <c r="L2507" s="28" t="s">
        <v>51</v>
      </c>
      <c r="M2507" s="28" t="s">
        <v>51</v>
      </c>
      <c r="N2507" s="28" t="s">
        <v>51</v>
      </c>
    </row>
    <row r="2508" spans="1:14" x14ac:dyDescent="0.15">
      <c r="A2508" s="23" t="str">
        <f>HYPERLINK("https://www.spark-marketing.ru/Card/Person/24701", "СИБИРСКИЙ УНИВЕРСИТЕТ НАУКИ И ТЕХНОЛОГИЙ, СИБИРСКИЙ ГОСУДАРСТВЕННЫЙ УНИВЕРСИТЕТ, ФГБОУ ВО ""СИБИРСКИЙ ГОСУДАРСТВЕННЫЙ УНИВЕРСИТЕТ НАУКИ И ТЕХНОЛОГИЙ ИМЕНИ АКАДЕМИКА М.Ф. РЕШЕТНЕВА"", СИБГУ ИМ. М.Ф. РЕШЕТНЕВА")</f>
        <v>СИБИРСКИЙ УНИВЕРСИТЕТ НАУКИ И ТЕХНОЛОГИЙ, СИБИРСКИЙ ГОСУДАРСТВЕННЫЙ УНИВЕРСИТЕТ, ФГБОУ ВО "СИБИРСКИЙ ГОСУДАРСТВЕННЫЙ УНИВЕРСИТЕТ НАУКИ И ТЕХНОЛОГИЙ ИМЕНИ АКАДЕМИКА М.Ф. РЕШЕТНЕВА", СИБГУ ИМ. М.Ф. РЕШЕТНЕВА</v>
      </c>
      <c r="B2508" s="24" t="s">
        <v>4024</v>
      </c>
      <c r="C2508" s="25">
        <v>2287405.67</v>
      </c>
      <c r="D2508" s="22" t="s">
        <v>4619</v>
      </c>
      <c r="E2508" s="22" t="s">
        <v>1079</v>
      </c>
      <c r="F2508" s="23" t="str">
        <f>HYPERLINK("https://www.spark-marketing.ru/Card/Lot/73588979", "Оказание услуг по организации и проведению студенческого мероприятия «Школа студенческих спортивных менеджеров 2019»")</f>
        <v>Оказание услуг по организации и проведению студенческого мероприятия «Школа студенческих спортивных менеджеров 2019»</v>
      </c>
      <c r="G2508" s="22" t="s">
        <v>281</v>
      </c>
      <c r="H2508" s="22" t="s">
        <v>281</v>
      </c>
      <c r="I2508" s="26">
        <v>43726</v>
      </c>
      <c r="J2508" s="28" t="s">
        <v>51</v>
      </c>
      <c r="K2508" s="28" t="s">
        <v>51</v>
      </c>
      <c r="L2508" s="28" t="s">
        <v>51</v>
      </c>
      <c r="M2508" s="28" t="s">
        <v>51</v>
      </c>
      <c r="N2508" s="28" t="s">
        <v>51</v>
      </c>
    </row>
    <row r="2509" spans="1:14" x14ac:dyDescent="0.15">
      <c r="A2509" s="23" t="str">
        <f>HYPERLINK("https://www.spark-marketing.ru/Card/Person/25106", "НАЦИОНАЛЬНЫЙ ИССЛЕДОВАТЕЛЬСКИЙ ТОМСКИЙ ГОСУДАРСТВЕННЫЙ УНИВЕРСИТЕТ, ТОМСКИЙ ГОСУДАРСТВЕННЫЙ УНИВЕРСИТЕТ, НИ ТГУ, ТГУ")</f>
        <v>НАЦИОНАЛЬНЫЙ ИССЛЕДОВАТЕЛЬСКИЙ ТОМСКИЙ ГОСУДАРСТВЕННЫЙ УНИВЕРСИТЕТ, ТОМСКИЙ ГОСУДАРСТВЕННЫЙ УНИВЕРСИТЕТ, НИ ТГУ, ТГУ</v>
      </c>
      <c r="B2509" s="24" t="s">
        <v>4620</v>
      </c>
      <c r="C2509" s="25">
        <v>546700</v>
      </c>
      <c r="D2509" s="22" t="s">
        <v>4621</v>
      </c>
      <c r="E2509" s="22" t="s">
        <v>4622</v>
      </c>
      <c r="F2509" s="23" t="str">
        <f>HYPERLINK("https://www.spark-marketing.ru/Card/Lot/73536148", "Оказание услуг по организации проживания и питания для участников мероприятия ""Обучающий трек ""Университет лидеров""")</f>
        <v>Оказание услуг по организации проживания и питания для участников мероприятия "Обучающий трек "Университет лидеров"</v>
      </c>
      <c r="G2509" s="22" t="s">
        <v>149</v>
      </c>
      <c r="H2509" s="22" t="s">
        <v>496</v>
      </c>
      <c r="I2509" s="26">
        <v>43725</v>
      </c>
      <c r="J2509" s="28" t="s">
        <v>51</v>
      </c>
      <c r="K2509" s="28" t="s">
        <v>51</v>
      </c>
      <c r="L2509" s="28" t="s">
        <v>51</v>
      </c>
      <c r="M2509" s="28" t="s">
        <v>51</v>
      </c>
      <c r="N2509" s="28" t="s">
        <v>51</v>
      </c>
    </row>
    <row r="2510" spans="1:14" x14ac:dyDescent="0.15">
      <c r="A2510" s="23" t="str">
        <f>HYPERLINK("https://www.spark-marketing.ru/Card/Person/54418", "АО ""ФПК""")</f>
        <v>АО "ФПК"</v>
      </c>
      <c r="B2510" s="24" t="s">
        <v>4623</v>
      </c>
      <c r="C2510" s="25">
        <v>743580</v>
      </c>
      <c r="D2510" s="22" t="s">
        <v>4624</v>
      </c>
      <c r="E2510" s="22" t="s">
        <v>1268</v>
      </c>
      <c r="F2510" s="23" t="str">
        <f>HYPERLINK("https://www.spark-marketing.ru/Card/Lot/73611527", "Оказание услуг по ремонту, замене аккумуляторных батарей источников бесперебойного питания серверного оборудования и рабочих мест пользователей в интересах пассажирского вагонного депо Минеральные Воды СП Северо-Кавказского филиала АО""ФПК""")</f>
        <v>Оказание услуг по ремонту, замене аккумуляторных батарей источников бесперебойного питания серверного оборудования и рабочих мест пользователей в интересах пассажирского вагонного депо Минеральные Воды СП Северо-Кавказского филиала АО"ФПК"</v>
      </c>
      <c r="G2510" s="22" t="s">
        <v>87</v>
      </c>
      <c r="H2510" s="22" t="s">
        <v>87</v>
      </c>
      <c r="I2510" s="26">
        <v>43726</v>
      </c>
      <c r="J2510" s="28" t="s">
        <v>51</v>
      </c>
      <c r="K2510" s="28" t="s">
        <v>51</v>
      </c>
      <c r="L2510" s="28" t="s">
        <v>51</v>
      </c>
      <c r="M2510" s="28" t="s">
        <v>51</v>
      </c>
      <c r="N2510" s="28" t="s">
        <v>51</v>
      </c>
    </row>
    <row r="2511" spans="1:14" x14ac:dyDescent="0.15">
      <c r="A2511" s="23" t="str">
        <f>HYPERLINK("https://www.spark-marketing.ru/Card/Person/37108", "КГАУ ""СШОР ПО ХОККЕЮ С МЯЧОМ ""ЕНИСЕЙ""")</f>
        <v>КГАУ "СШОР ПО ХОККЕЮ С МЯЧОМ "ЕНИСЕЙ"</v>
      </c>
      <c r="B2511" s="24" t="s">
        <v>4625</v>
      </c>
      <c r="C2511" s="25">
        <v>250750</v>
      </c>
      <c r="D2511" s="22" t="s">
        <v>4626</v>
      </c>
      <c r="E2511" s="22" t="s">
        <v>769</v>
      </c>
      <c r="F2511" s="23" t="str">
        <f>HYPERLINK("https://www.spark-marketing.ru/Card/Lot/73608674", "Оказание услуг по проживанию и питанию команд в номерах отеля ""Снежная Сова""")</f>
        <v>Оказание услуг по проживанию и питанию команд в номерах отеля "Снежная Сова"</v>
      </c>
      <c r="G2511" s="22" t="s">
        <v>281</v>
      </c>
      <c r="H2511" s="22" t="s">
        <v>281</v>
      </c>
      <c r="I2511" s="26">
        <v>43726</v>
      </c>
      <c r="J2511" s="28" t="s">
        <v>51</v>
      </c>
      <c r="K2511" s="28" t="s">
        <v>51</v>
      </c>
      <c r="L2511" s="28" t="s">
        <v>51</v>
      </c>
      <c r="M2511" s="28" t="s">
        <v>51</v>
      </c>
      <c r="N2511" s="28" t="s">
        <v>51</v>
      </c>
    </row>
    <row r="2512" spans="1:14" x14ac:dyDescent="0.2">
      <c r="A2512" s="23" t="str">
        <f>HYPERLINK("https://www.spark-marketing.ru/Card/Person/1360979", "ГАУЗ МО ""ОКВД""")</f>
        <v>ГАУЗ МО "ОКВД"</v>
      </c>
      <c r="B2512" s="24" t="s">
        <v>4627</v>
      </c>
      <c r="C2512" s="25">
        <v>850000</v>
      </c>
      <c r="D2512" s="22" t="s">
        <v>4628</v>
      </c>
      <c r="E2512" s="22" t="s">
        <v>1764</v>
      </c>
      <c r="F2512" s="23" t="str">
        <f>HYPERLINK("https://www.spark-marketing.ru/Card/Lot/73603072", "Оказание аутсорсинговых услуг по организации лечебного питания пациентов, находящихся на стационарном лечении")</f>
        <v>Оказание аутсорсинговых услуг по организации лечебного питания пациентов, находящихся на стационарном лечении</v>
      </c>
      <c r="G2512" s="22" t="s">
        <v>49</v>
      </c>
      <c r="H2512" s="22" t="s">
        <v>49</v>
      </c>
      <c r="I2512" s="26">
        <v>43726</v>
      </c>
      <c r="J2512" s="28" t="s">
        <v>51</v>
      </c>
      <c r="K2512" s="28" t="s">
        <v>51</v>
      </c>
      <c r="L2512" s="28" t="s">
        <v>51</v>
      </c>
      <c r="M2512" s="25">
        <v>850000</v>
      </c>
      <c r="N2512" s="27">
        <v>0</v>
      </c>
    </row>
    <row r="2513" spans="1:14" x14ac:dyDescent="0.2">
      <c r="A2513" s="23" t="str">
        <f>HYPERLINK("https://www.spark-marketing.ru/Card/Person/4349086", "ГП КС")</f>
        <v>ГП КС</v>
      </c>
      <c r="B2513" s="24" t="s">
        <v>4629</v>
      </c>
      <c r="C2513" s="25">
        <v>4960780</v>
      </c>
      <c r="D2513" s="22" t="s">
        <v>4630</v>
      </c>
      <c r="E2513" s="22" t="s">
        <v>4631</v>
      </c>
      <c r="F2513" s="23" t="str">
        <f>HYPERLINK("https://www.spark-marketing.ru/Card/Lot/73603415", "Оказание услуг по аренде (субаренде) помещения и организации питания для проведения торжественного мероприятия")</f>
        <v>Оказание услуг по аренде (субаренде) помещения и организации питания для проведения торжественного мероприятия</v>
      </c>
      <c r="G2513" s="22" t="s">
        <v>56</v>
      </c>
      <c r="H2513" s="22" t="s">
        <v>56</v>
      </c>
      <c r="I2513" s="26">
        <v>43726</v>
      </c>
      <c r="J2513" s="28" t="s">
        <v>51</v>
      </c>
      <c r="K2513" s="28" t="s">
        <v>51</v>
      </c>
      <c r="L2513" s="28" t="s">
        <v>51</v>
      </c>
      <c r="M2513" s="25">
        <v>4960780</v>
      </c>
      <c r="N2513" s="27">
        <v>0</v>
      </c>
    </row>
    <row r="2514" spans="1:14" x14ac:dyDescent="0.15">
      <c r="A2514" s="23" t="str">
        <f>HYPERLINK("https://www.spark-marketing.ru/Card/Person/1757464", "КГАУ ""СШОР ПО РЕГБИ ""ЕНИСЕЙ - СТМ""")</f>
        <v>КГАУ "СШОР ПО РЕГБИ "ЕНИСЕЙ - СТМ"</v>
      </c>
      <c r="B2514" s="24" t="s">
        <v>3563</v>
      </c>
      <c r="C2514" s="25">
        <v>700000</v>
      </c>
      <c r="D2514" s="22" t="s">
        <v>4632</v>
      </c>
      <c r="E2514" s="22" t="s">
        <v>769</v>
      </c>
      <c r="F2514" s="23" t="str">
        <f>HYPERLINK("https://www.spark-marketing.ru/Card/Lot/73611462", "Договор на оказание услуг по проживанию (с питанием) спортсменов (для исполнения календарного плана)")</f>
        <v>Договор на оказание услуг по проживанию (с питанием) спортсменов (для исполнения календарного плана)</v>
      </c>
      <c r="G2514" s="22" t="s">
        <v>281</v>
      </c>
      <c r="H2514" s="22" t="s">
        <v>281</v>
      </c>
      <c r="I2514" s="26">
        <v>43726</v>
      </c>
      <c r="J2514" s="28" t="s">
        <v>51</v>
      </c>
      <c r="K2514" s="28" t="s">
        <v>51</v>
      </c>
      <c r="L2514" s="28" t="s">
        <v>51</v>
      </c>
      <c r="M2514" s="28" t="s">
        <v>51</v>
      </c>
      <c r="N2514" s="28" t="s">
        <v>51</v>
      </c>
    </row>
    <row r="2515" spans="1:14" x14ac:dyDescent="0.2">
      <c r="A2515" s="23" t="str">
        <f>HYPERLINK("https://www.spark-marketing.ru/Card/Person/1052440", "МОУ ""ПИОНЕРСКАЯ СОШ""")</f>
        <v>МОУ "ПИОНЕРСКАЯ СОШ"</v>
      </c>
      <c r="B2515" s="24" t="s">
        <v>4633</v>
      </c>
      <c r="C2515" s="25">
        <v>2196000</v>
      </c>
      <c r="D2515" s="22" t="s">
        <v>4634</v>
      </c>
      <c r="E2515" s="22" t="s">
        <v>362</v>
      </c>
      <c r="F2515" s="23" t="str">
        <f>HYPERLINK("https://www.spark-marketing.ru/Card/Lot/73386548", "Оказание услуг по организации питания вовремя образовательного процесса")</f>
        <v>Оказание услуг по организации питания вовремя образовательного процесса</v>
      </c>
      <c r="G2515" s="22" t="s">
        <v>174</v>
      </c>
      <c r="H2515" s="22" t="s">
        <v>174</v>
      </c>
      <c r="I2515" s="26">
        <v>43720</v>
      </c>
      <c r="J2515" s="28" t="s">
        <v>51</v>
      </c>
      <c r="K2515" s="28" t="s">
        <v>51</v>
      </c>
      <c r="L2515" s="22" t="s">
        <v>10</v>
      </c>
      <c r="M2515" s="25">
        <v>2196000</v>
      </c>
      <c r="N2515" s="27">
        <v>0</v>
      </c>
    </row>
    <row r="2516" spans="1:14" x14ac:dyDescent="0.15">
      <c r="A2516" s="23" t="str">
        <f>HYPERLINK("https://www.spark-marketing.ru/Card/Person/4345851", "БАНК ВТБ (ПАО)")</f>
        <v>БАНК ВТБ (ПАО)</v>
      </c>
      <c r="B2516" s="24" t="s">
        <v>4635</v>
      </c>
      <c r="C2516" s="25">
        <v>0</v>
      </c>
      <c r="D2516" s="22" t="s">
        <v>4636</v>
      </c>
      <c r="E2516" s="22" t="s">
        <v>52</v>
      </c>
      <c r="F2516" s="23" t="str">
        <f>HYPERLINK("https://www.spark-marketing.ru/Card/Lot/73594227", "Оказание услуг по организации питания в столовых Банка ВТБ (ПАО)")</f>
        <v>Оказание услуг по организации питания в столовых Банка ВТБ (ПАО)</v>
      </c>
      <c r="G2516" s="22" t="s">
        <v>117</v>
      </c>
      <c r="H2516" s="22" t="s">
        <v>117</v>
      </c>
      <c r="I2516" s="26">
        <v>43726</v>
      </c>
      <c r="J2516" s="28" t="s">
        <v>51</v>
      </c>
      <c r="K2516" s="28" t="s">
        <v>51</v>
      </c>
      <c r="L2516" s="28" t="s">
        <v>51</v>
      </c>
      <c r="M2516" s="28" t="s">
        <v>51</v>
      </c>
      <c r="N2516" s="28" t="s">
        <v>51</v>
      </c>
    </row>
    <row r="2517" spans="1:14" x14ac:dyDescent="0.15">
      <c r="A2517" s="23" t="str">
        <f>HYPERLINK("https://www.spark-marketing.ru/Card/Person/35482", "ФГБОУ ВО ""КУЗБАССКИЙ ГОСУДАРСТВЕННЫЙ ТЕХНИЧЕСКИЙ УНИВЕРСИТЕТ ИМЕНИ Т.Ф. ГОРБАЧЕВА"" КУЗБАССКИЙ ГОСУДАРСТВЕННЫЙ ТЕХНИЧЕСКИЙ УНИВЕРСИТЕТ ИМЕНИ Т.Ф. ГОРБАЧЕВА КУЗГТУ")</f>
        <v>ФГБОУ ВО "КУЗБАССКИЙ ГОСУДАРСТВЕННЫЙ ТЕХНИЧЕСКИЙ УНИВЕРСИТЕТ ИМЕНИ Т.Ф. ГОРБАЧЕВА" КУЗБАССКИЙ ГОСУДАРСТВЕННЫЙ ТЕХНИЧЕСКИЙ УНИВЕРСИТЕТ ИМЕНИ Т.Ф. ГОРБАЧЕВА КУЗГТУ</v>
      </c>
      <c r="B2517" s="24" t="s">
        <v>3550</v>
      </c>
      <c r="C2517" s="25">
        <v>323600</v>
      </c>
      <c r="D2517" s="22" t="s">
        <v>4637</v>
      </c>
      <c r="E2517" s="22" t="s">
        <v>562</v>
      </c>
      <c r="F2517" s="23" t="str">
        <f>HYPERLINK("https://www.spark-marketing.ru/Card/Lot/73611625", "Услуги по организации питания и кофе-брейк для участников и экспертов в рамках проведения мероприятия (проекта) #Школа лидерства Soft Skills»")</f>
        <v>Услуги по организации питания и кофе-брейк для участников и экспертов в рамках проведения мероприятия (проекта) #Школа лидерства Soft Skills»</v>
      </c>
      <c r="G2517" s="22" t="s">
        <v>304</v>
      </c>
      <c r="H2517" s="22" t="s">
        <v>304</v>
      </c>
      <c r="I2517" s="26">
        <v>43726</v>
      </c>
      <c r="J2517" s="28" t="s">
        <v>51</v>
      </c>
      <c r="K2517" s="28" t="s">
        <v>51</v>
      </c>
      <c r="L2517" s="28" t="s">
        <v>51</v>
      </c>
      <c r="M2517" s="28" t="s">
        <v>51</v>
      </c>
      <c r="N2517" s="28" t="s">
        <v>51</v>
      </c>
    </row>
    <row r="2518" spans="1:14" x14ac:dyDescent="0.15">
      <c r="A2518" s="23" t="str">
        <f>HYPERLINK("https://www.spark-marketing.ru/Card/Person/430615", "ФГБОУ ВО ""САМАРСКИЙ ГОСУДАРСТВЕННЫЙ ТЕХНИЧЕСКИЙ УНИВЕРСИТЕТ"", ФГБОУ ВО ""САМГТУ"", САМГТУ, САМАРСКИЙ ГОСУДАРСТВЕННЫЙ ТЕХНИЧЕСКИЙ УНИВЕРСИТЕТ, ""САМАРСКИЙ ПОЛИТЕХ""")</f>
        <v>ФГБОУ ВО "САМАРСКИЙ ГОСУДАРСТВЕННЫЙ ТЕХНИЧЕСКИЙ УНИВЕРСИТЕТ", ФГБОУ ВО "САМГТУ", САМГТУ, САМАРСКИЙ ГОСУДАРСТВЕННЫЙ ТЕХНИЧЕСКИЙ УНИВЕРСИТЕТ, "САМАРСКИЙ ПОЛИТЕХ"</v>
      </c>
      <c r="B2518" s="24" t="s">
        <v>4638</v>
      </c>
      <c r="C2518" s="25">
        <v>2000000</v>
      </c>
      <c r="D2518" s="22" t="s">
        <v>4639</v>
      </c>
      <c r="E2518" s="22" t="s">
        <v>769</v>
      </c>
      <c r="F2518" s="23" t="str">
        <f>HYPERLINK("https://www.spark-marketing.ru/Card/Lot/73610623", "Услуги по проживанию и питанию участников конференции ""Ашировские чтения""")</f>
        <v>Услуги по проживанию и питанию участников конференции "Ашировские чтения"</v>
      </c>
      <c r="G2518" s="22" t="s">
        <v>128</v>
      </c>
      <c r="H2518" s="22" t="s">
        <v>128</v>
      </c>
      <c r="I2518" s="26">
        <v>43726</v>
      </c>
      <c r="J2518" s="28" t="s">
        <v>51</v>
      </c>
      <c r="K2518" s="28" t="s">
        <v>51</v>
      </c>
      <c r="L2518" s="28" t="s">
        <v>51</v>
      </c>
      <c r="M2518" s="28" t="s">
        <v>51</v>
      </c>
      <c r="N2518" s="28" t="s">
        <v>51</v>
      </c>
    </row>
    <row r="2519" spans="1:14" x14ac:dyDescent="0.15">
      <c r="A2519" s="23" t="str">
        <f>HYPERLINK("https://www.spark-marketing.ru/Card/Person/631759", "АО ""КМЗ""")</f>
        <v>АО "КМЗ"</v>
      </c>
      <c r="B2519" s="24" t="s">
        <v>4640</v>
      </c>
      <c r="C2519" s="25">
        <v>446053</v>
      </c>
      <c r="D2519" s="22" t="s">
        <v>4641</v>
      </c>
      <c r="E2519" s="22" t="s">
        <v>580</v>
      </c>
      <c r="F2519" s="23" t="str">
        <f>HYPERLINK("https://www.spark-marketing.ru/Card/Lot/73582975", "0816-2019-00426 Оказание услуг по обеспечению питанием праздничного мероприятия, посвященного 90-летнему юбилею АО ""КМЗ""")</f>
        <v>0816-2019-00426 Оказание услуг по обеспечению питанием праздничного мероприятия, посвященного 90-летнему юбилею АО "КМЗ"</v>
      </c>
      <c r="G2519" s="22" t="s">
        <v>304</v>
      </c>
      <c r="H2519" s="22" t="s">
        <v>1154</v>
      </c>
      <c r="I2519" s="26">
        <v>43726</v>
      </c>
      <c r="J2519" s="28" t="s">
        <v>51</v>
      </c>
      <c r="K2519" s="28" t="s">
        <v>51</v>
      </c>
      <c r="L2519" s="28" t="s">
        <v>51</v>
      </c>
      <c r="M2519" s="28" t="s">
        <v>51</v>
      </c>
      <c r="N2519" s="28" t="s">
        <v>51</v>
      </c>
    </row>
    <row r="2520" spans="1:14" x14ac:dyDescent="0.2">
      <c r="A2520" s="23" t="str">
        <f>HYPERLINK("https://www.spark-marketing.ru/Card/Person/144116", "МАДОУ ЦРР - ДЕТСКИЙ САД № 35 ""РОДНИЧОК"" П.КРАСНОЗНАМЕНСКИЙ ЩМР МО")</f>
        <v>МАДОУ ЦРР - ДЕТСКИЙ САД № 35 "РОДНИЧОК" П.КРАСНОЗНАМЕНСКИЙ ЩМР МО</v>
      </c>
      <c r="B2520" s="24" t="s">
        <v>4642</v>
      </c>
      <c r="C2520" s="25">
        <v>323649.3</v>
      </c>
      <c r="D2520" s="22" t="s">
        <v>4643</v>
      </c>
      <c r="E2520" s="22" t="s">
        <v>580</v>
      </c>
      <c r="F2520" s="23" t="str">
        <f>HYPERLINK("https://www.spark-marketing.ru/Card/Lot/73609502",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520" s="22" t="s">
        <v>49</v>
      </c>
      <c r="H2520" s="22" t="s">
        <v>4644</v>
      </c>
      <c r="I2520" s="26">
        <v>43726</v>
      </c>
      <c r="J2520" s="28" t="s">
        <v>51</v>
      </c>
      <c r="K2520" s="28" t="s">
        <v>51</v>
      </c>
      <c r="L2520" s="28" t="s">
        <v>51</v>
      </c>
      <c r="M2520" s="25">
        <v>323649.3</v>
      </c>
      <c r="N2520" s="27">
        <v>0</v>
      </c>
    </row>
    <row r="2521" spans="1:14" x14ac:dyDescent="0.2">
      <c r="A2521" s="23" t="str">
        <f>HYPERLINK("https://www.spark-marketing.ru/Card/Person/35482", "ФГБОУ ВО ""КУЗБАССКИЙ ГОСУДАРСТВЕННЫЙ ТЕХНИЧЕСКИЙ УНИВЕРСИТЕТ ИМЕНИ Т.Ф. ГОРБАЧЕВА"" КУЗБАССКИЙ ГОСУДАРСТВЕННЫЙ ТЕХНИЧЕСКИЙ УНИВЕРСИТЕТ ИМЕНИ Т.Ф. ГОРБАЧЕВА КУЗГТУ")</f>
        <v>ФГБОУ ВО "КУЗБАССКИЙ ГОСУДАРСТВЕННЫЙ ТЕХНИЧЕСКИЙ УНИВЕРСИТЕТ ИМЕНИ Т.Ф. ГОРБАЧЕВА" КУЗБАССКИЙ ГОСУДАРСТВЕННЫЙ ТЕХНИЧЕСКИЙ УНИВЕРСИТЕТ ИМЕНИ Т.Ф. ГОРБАЧЕВА КУЗГТУ</v>
      </c>
      <c r="B2521" s="24" t="s">
        <v>3550</v>
      </c>
      <c r="C2521" s="25">
        <v>580000</v>
      </c>
      <c r="D2521" s="22" t="s">
        <v>4645</v>
      </c>
      <c r="E2521" s="22" t="s">
        <v>1921</v>
      </c>
      <c r="F2521" s="23" t="str">
        <f>HYPERLINK("https://www.spark-marketing.ru/Card/Lot/73610496", "Услуги по организации мероприятия с проживанием и питанием в рамках реализации проекта «ХI слет студенческих отрядов Кемеровской области (#СлетКузбасс300)»")</f>
        <v>Услуги по организации мероприятия с проживанием и питанием в рамках реализации проекта «ХI слет студенческих отрядов Кемеровской области (#СлетКузбасс300)»</v>
      </c>
      <c r="G2521" s="22" t="s">
        <v>304</v>
      </c>
      <c r="H2521" s="22" t="s">
        <v>304</v>
      </c>
      <c r="I2521" s="26">
        <v>43726</v>
      </c>
      <c r="J2521" s="28" t="s">
        <v>51</v>
      </c>
      <c r="K2521" s="28" t="s">
        <v>51</v>
      </c>
      <c r="L2521" s="22" t="s">
        <v>10</v>
      </c>
      <c r="M2521" s="25">
        <v>580000</v>
      </c>
      <c r="N2521" s="27">
        <v>0</v>
      </c>
    </row>
    <row r="2522" spans="1:14" x14ac:dyDescent="0.2">
      <c r="A2522" s="23" t="str">
        <f>HYPERLINK("https://www.spark-marketing.ru/Card/Person/4349000", "ФГБОУ ВО ""КГТУ""")</f>
        <v>ФГБОУ ВО "КГТУ"</v>
      </c>
      <c r="B2522" s="24" t="s">
        <v>1457</v>
      </c>
      <c r="C2522" s="25">
        <v>102000</v>
      </c>
      <c r="D2522" s="22" t="s">
        <v>4646</v>
      </c>
      <c r="E2522" s="22" t="s">
        <v>362</v>
      </c>
      <c r="F2522" s="23" t="str">
        <f>HYPERLINK("https://www.spark-marketing.ru/Card/Lot/73611443", "Оказание услуг по организации питания участников военно-патриотической спартакиады «Воин Отечества 2.0")</f>
        <v>Оказание услуг по организации питания участников военно-патриотической спартакиады «Воин Отечества 2.0</v>
      </c>
      <c r="G2522" s="22" t="s">
        <v>400</v>
      </c>
      <c r="H2522" s="22" t="s">
        <v>400</v>
      </c>
      <c r="I2522" s="26">
        <v>43726</v>
      </c>
      <c r="J2522" s="28" t="s">
        <v>51</v>
      </c>
      <c r="K2522" s="28" t="s">
        <v>51</v>
      </c>
      <c r="L2522" s="28" t="s">
        <v>51</v>
      </c>
      <c r="M2522" s="25">
        <v>102000</v>
      </c>
      <c r="N2522" s="27">
        <v>0</v>
      </c>
    </row>
    <row r="2523" spans="1:14" x14ac:dyDescent="0.15">
      <c r="A2523" s="23" t="str">
        <f>HYPERLINK("https://www.spark-marketing.ru/Card/Person/18683", "ФГБОУ ВО ""НГПУ ИМ. К. МИНИНА"" , НГПУ ИМ. К. МИНИНА , МИНИНСКИЙ УНИВЕРСИТЕТ")</f>
        <v>ФГБОУ ВО "НГПУ ИМ. К. МИНИНА" , НГПУ ИМ. К. МИНИНА , МИНИНСКИЙ УНИВЕРСИТЕТ</v>
      </c>
      <c r="B2523" s="24" t="s">
        <v>4647</v>
      </c>
      <c r="C2523" s="25">
        <v>2066933.33</v>
      </c>
      <c r="D2523" s="22" t="s">
        <v>4648</v>
      </c>
      <c r="E2523" s="22" t="s">
        <v>1079</v>
      </c>
      <c r="F2523" s="23" t="str">
        <f>HYPERLINK("https://www.spark-marketing.ru/Card/Lot/73553714", "Оказание услуг по содействию в организации и проведении всероссийского фестиваля студенческих педагогических отрядов ""Капитаны счастливого детства"" в части проживания, питания и технического оснащения мероприятия")</f>
        <v>Оказание услуг по содействию в организации и проведении всероссийского фестиваля студенческих педагогических отрядов "Капитаны счастливого детства" в части проживания, питания и технического оснащения мероприятия</v>
      </c>
      <c r="G2523" s="22" t="s">
        <v>76</v>
      </c>
      <c r="H2523" s="22" t="s">
        <v>76</v>
      </c>
      <c r="I2523" s="26">
        <v>43725</v>
      </c>
      <c r="J2523" s="28" t="s">
        <v>51</v>
      </c>
      <c r="K2523" s="28" t="s">
        <v>51</v>
      </c>
      <c r="L2523" s="28" t="s">
        <v>51</v>
      </c>
      <c r="M2523" s="28" t="s">
        <v>51</v>
      </c>
      <c r="N2523" s="28" t="s">
        <v>51</v>
      </c>
    </row>
    <row r="2524" spans="1:14" x14ac:dyDescent="0.15">
      <c r="A2524" s="23" t="str">
        <f>HYPERLINK("https://www.spark-marketing.ru/Card/Person/1012158", "МАОУ ДО ДТДМ")</f>
        <v>МАОУ ДО ДТДМ</v>
      </c>
      <c r="B2524" s="24" t="s">
        <v>4649</v>
      </c>
      <c r="C2524" s="25">
        <v>144400</v>
      </c>
      <c r="D2524" s="22" t="s">
        <v>4650</v>
      </c>
      <c r="E2524" s="22" t="s">
        <v>362</v>
      </c>
      <c r="F2524" s="23" t="str">
        <f>HYPERLINK("https://www.spark-marketing.ru/Card/Lot/73614178", "Заключение договора на оказание услуг по организации питания")</f>
        <v>Заключение договора на оказание услуг по организации питания</v>
      </c>
      <c r="G2524" s="22" t="s">
        <v>72</v>
      </c>
      <c r="H2524" s="22" t="s">
        <v>72</v>
      </c>
      <c r="I2524" s="26">
        <v>43726</v>
      </c>
      <c r="J2524" s="28" t="s">
        <v>51</v>
      </c>
      <c r="K2524" s="28" t="s">
        <v>51</v>
      </c>
      <c r="L2524" s="28" t="s">
        <v>51</v>
      </c>
      <c r="M2524" s="28" t="s">
        <v>51</v>
      </c>
      <c r="N2524" s="28" t="s">
        <v>51</v>
      </c>
    </row>
    <row r="2525" spans="1:14" x14ac:dyDescent="0.15">
      <c r="A2525" s="23" t="str">
        <f>HYPERLINK("https://www.spark-marketing.ru/Card/Person/1011215", "МДОУ Д/С № 83")</f>
        <v>МДОУ Д/С № 83</v>
      </c>
      <c r="B2525" s="24" t="s">
        <v>4651</v>
      </c>
      <c r="C2525" s="25">
        <v>170023.53</v>
      </c>
      <c r="D2525" s="22" t="s">
        <v>4652</v>
      </c>
      <c r="E2525" s="22" t="s">
        <v>362</v>
      </c>
      <c r="F2525" s="23" t="str">
        <f>HYPERLINK("https://www.spark-marketing.ru/Card/Lot/73587618", "оказание услуг по организации питания детей")</f>
        <v>оказание услуг по организации питания детей</v>
      </c>
      <c r="G2525" s="22" t="s">
        <v>158</v>
      </c>
      <c r="H2525" s="22" t="s">
        <v>158</v>
      </c>
      <c r="I2525" s="26">
        <v>43726</v>
      </c>
      <c r="J2525" s="28" t="s">
        <v>51</v>
      </c>
      <c r="K2525" s="28" t="s">
        <v>51</v>
      </c>
      <c r="L2525" s="28" t="s">
        <v>51</v>
      </c>
      <c r="M2525" s="28" t="s">
        <v>51</v>
      </c>
      <c r="N2525" s="28" t="s">
        <v>51</v>
      </c>
    </row>
    <row r="2526" spans="1:14" x14ac:dyDescent="0.15">
      <c r="A2526" s="23" t="str">
        <f>HYPERLINK("https://www.spark-marketing.ru/Card/Person/4348384", "ООО ""АВИАКОМПАНИЯ ""ПОБЕДА""")</f>
        <v>ООО "АВИАКОМПАНИЯ "ПОБЕДА"</v>
      </c>
      <c r="B2526" s="24" t="s">
        <v>4653</v>
      </c>
      <c r="C2526" s="25">
        <v>10800000</v>
      </c>
      <c r="D2526" s="22" t="s">
        <v>4654</v>
      </c>
      <c r="E2526" s="22" t="s">
        <v>4655</v>
      </c>
      <c r="F2526" s="23" t="str">
        <f>HYPERLINK("https://www.spark-marketing.ru/Card/Lot/73603391", "Оказание услуг по размещению, проживанию, трансферу и питанию для летных/кабинных экипажей воздушных судов ООО «Авиакомпания «Победа» в гостиницах г. Санкт-Петербург на предполетный и послеполетный отдых")</f>
        <v>Оказание услуг по размещению, проживанию, трансферу и питанию для летных/кабинных экипажей воздушных судов ООО «Авиакомпания «Победа» в гостиницах г. Санкт-Петербург на предполетный и послеполетный отдых</v>
      </c>
      <c r="G2526" s="22" t="s">
        <v>117</v>
      </c>
      <c r="H2526" s="22" t="s">
        <v>117</v>
      </c>
      <c r="I2526" s="26">
        <v>43726</v>
      </c>
      <c r="J2526" s="28" t="s">
        <v>51</v>
      </c>
      <c r="K2526" s="28" t="s">
        <v>51</v>
      </c>
      <c r="L2526" s="28" t="s">
        <v>51</v>
      </c>
      <c r="M2526" s="28" t="s">
        <v>51</v>
      </c>
      <c r="N2526" s="28" t="s">
        <v>51</v>
      </c>
    </row>
    <row r="2527" spans="1:14" hidden="1" outlineLevel="1" x14ac:dyDescent="0.2">
      <c r="A2527" s="23" t="str">
        <f>HYPERLINK("https://www.spark-marketing.ru/Card/Person/4348384", "ООО ""АВИАКОМПАНИЯ ""ПОБЕДА""")</f>
        <v>ООО "АВИАКОМПАНИЯ "ПОБЕДА"</v>
      </c>
      <c r="B2527" s="24" t="s">
        <v>4653</v>
      </c>
      <c r="C2527" s="28" t="s">
        <v>51</v>
      </c>
      <c r="D2527" s="22" t="s">
        <v>4654</v>
      </c>
      <c r="E2527" s="22" t="s">
        <v>4655</v>
      </c>
      <c r="F2527" s="23" t="str">
        <f>HYPERLINK("https://www.spark-marketing.ru/Card/Lot/73603391", "Оказание услуг по размещению, проживанию, трансферу и питанию для летных/кабинных экипажей воздушных судов ООО «Авиакомпания «Победа» в гостиницах г. Санкт-Петербург на предполетный и послеполетный отдых")</f>
        <v>Оказание услуг по размещению, проживанию, трансферу и питанию для летных/кабинных экипажей воздушных судов ООО «Авиакомпания «Победа» в гостиницах г. Санкт-Петербург на предполетный и послеполетный отдых</v>
      </c>
      <c r="G2527" s="22" t="s">
        <v>117</v>
      </c>
      <c r="H2527" s="22" t="s">
        <v>117</v>
      </c>
      <c r="I2527" s="26">
        <v>43726</v>
      </c>
      <c r="J2527" s="23" t="str">
        <f>HYPERLINK("https://www.spark-marketing.ru/Card/Person/1930665", "ООО ""ПУЛКОВО АЭРОПОРТ ОТЕЛЬ САНКТ-ПЕТЕРБУРГ""")</f>
        <v>ООО "ПУЛКОВО АЭРОПОРТ ОТЕЛЬ САНКТ-ПЕТЕРБУРГ"</v>
      </c>
      <c r="K2527" s="24" t="s">
        <v>4656</v>
      </c>
      <c r="L2527" s="28" t="s">
        <v>51</v>
      </c>
      <c r="M2527" s="25">
        <v>10800000</v>
      </c>
      <c r="N2527" s="27">
        <v>0</v>
      </c>
    </row>
    <row r="2528" spans="1:14" hidden="1" outlineLevel="1" x14ac:dyDescent="0.2">
      <c r="A2528" s="23" t="str">
        <f>HYPERLINK("https://www.spark-marketing.ru/Card/Person/4348384", "ООО ""АВИАКОМПАНИЯ ""ПОБЕДА""")</f>
        <v>ООО "АВИАКОМПАНИЯ "ПОБЕДА"</v>
      </c>
      <c r="B2528" s="24" t="s">
        <v>4653</v>
      </c>
      <c r="C2528" s="28" t="s">
        <v>51</v>
      </c>
      <c r="D2528" s="22" t="s">
        <v>4654</v>
      </c>
      <c r="E2528" s="22" t="s">
        <v>4655</v>
      </c>
      <c r="F2528" s="23" t="str">
        <f>HYPERLINK("https://www.spark-marketing.ru/Card/Lot/73603391", "Оказание услуг по размещению, проживанию, трансферу и питанию для летных/кабинных экипажей воздушных судов ООО «Авиакомпания «Победа» в гостиницах г. Санкт-Петербург на предполетный и послеполетный отдых")</f>
        <v>Оказание услуг по размещению, проживанию, трансферу и питанию для летных/кабинных экипажей воздушных судов ООО «Авиакомпания «Победа» в гостиницах г. Санкт-Петербург на предполетный и послеполетный отдых</v>
      </c>
      <c r="G2528" s="22" t="s">
        <v>117</v>
      </c>
      <c r="H2528" s="22" t="s">
        <v>117</v>
      </c>
      <c r="I2528" s="26">
        <v>43726</v>
      </c>
      <c r="J2528" s="23" t="str">
        <f>HYPERLINK("https://www.spark-marketing.ru/Card/Person/6578709", "ООО ""ФОРТ КОЛЕСНИК""")</f>
        <v>ООО "ФОРТ КОЛЕСНИК"</v>
      </c>
      <c r="K2528" s="24" t="s">
        <v>4657</v>
      </c>
      <c r="L2528" s="28" t="s">
        <v>51</v>
      </c>
      <c r="M2528" s="25">
        <v>10800000</v>
      </c>
      <c r="N2528" s="27">
        <v>0</v>
      </c>
    </row>
    <row r="2529" spans="1:14" x14ac:dyDescent="0.15">
      <c r="A2529" s="23" t="str">
        <f>HYPERLINK("https://www.spark-marketing.ru/Card/Person/29642", "ФГБОУ ВО ИВГМА МИНЗДРАВА РОССИИ")</f>
        <v>ФГБОУ ВО ИВГМА МИНЗДРАВА РОССИИ</v>
      </c>
      <c r="B2529" s="24" t="s">
        <v>4658</v>
      </c>
      <c r="C2529" s="25">
        <v>270000</v>
      </c>
      <c r="D2529" s="22" t="s">
        <v>4659</v>
      </c>
      <c r="E2529" s="22" t="s">
        <v>769</v>
      </c>
      <c r="F2529" s="23" t="str">
        <f>HYPERLINK("https://www.spark-marketing.ru/Card/Lot/73604720", "Оказание услуг по организации питания и проживания для участников IV Межрегионального форума волонтеров медицинских образовательных учреждений в количестве 30 человек в период его проведения на базе ФГБУЗ МЦ ""Решма"" ФМБА России.")</f>
        <v>Оказание услуг по организации питания и проживания для участников IV Межрегионального форума волонтеров медицинских образовательных учреждений в количестве 30 человек в период его проведения на базе ФГБУЗ МЦ "Решма" ФМБА России.</v>
      </c>
      <c r="G2529" s="22" t="s">
        <v>1047</v>
      </c>
      <c r="H2529" s="22" t="s">
        <v>1047</v>
      </c>
      <c r="I2529" s="26">
        <v>43726</v>
      </c>
      <c r="J2529" s="28" t="s">
        <v>51</v>
      </c>
      <c r="K2529" s="28" t="s">
        <v>51</v>
      </c>
      <c r="L2529" s="28" t="s">
        <v>51</v>
      </c>
      <c r="M2529" s="28" t="s">
        <v>51</v>
      </c>
      <c r="N2529" s="28" t="s">
        <v>51</v>
      </c>
    </row>
    <row r="2530" spans="1:14" x14ac:dyDescent="0.15">
      <c r="A2530" s="23" t="str">
        <f>HYPERLINK("https://www.spark-marketing.ru/Card/Person/291431", "КАЛИНИНГРАДСКИЙ ОБЛАСТНОЙ ИНСТИТУТ РАЗВИТИЯ ОБРАЗОВАНИЯ")</f>
        <v>КАЛИНИНГРАДСКИЙ ОБЛАСТНОЙ ИНСТИТУТ РАЗВИТИЯ ОБРАЗОВАНИЯ</v>
      </c>
      <c r="B2530" s="24" t="s">
        <v>1911</v>
      </c>
      <c r="C2530" s="25">
        <v>220000</v>
      </c>
      <c r="D2530" s="22" t="s">
        <v>4660</v>
      </c>
      <c r="E2530" s="22" t="s">
        <v>580</v>
      </c>
      <c r="F2530" s="23" t="str">
        <f>HYPERLINK("https://www.spark-marketing.ru/Card/Lot/73601341", "Оказание услуг по организации и обеспечению питания участников образовательной стажировки")</f>
        <v>Оказание услуг по организации и обеспечению питания участников образовательной стажировки</v>
      </c>
      <c r="G2530" s="22" t="s">
        <v>400</v>
      </c>
      <c r="H2530" s="22" t="s">
        <v>400</v>
      </c>
      <c r="I2530" s="26">
        <v>43726</v>
      </c>
      <c r="J2530" s="28" t="s">
        <v>51</v>
      </c>
      <c r="K2530" s="28" t="s">
        <v>51</v>
      </c>
      <c r="L2530" s="28" t="s">
        <v>51</v>
      </c>
      <c r="M2530" s="28" t="s">
        <v>51</v>
      </c>
      <c r="N2530" s="28" t="s">
        <v>51</v>
      </c>
    </row>
    <row r="2531" spans="1:14" x14ac:dyDescent="0.15">
      <c r="A2531" s="23" t="str">
        <f>HYPERLINK("https://www.spark-marketing.ru/Card/Person/741722", "МАДОУ ДЕТСКИЙ САД № 22 Г. ТУЙМАЗЫ")</f>
        <v>МАДОУ ДЕТСКИЙ САД № 22 Г. ТУЙМАЗЫ</v>
      </c>
      <c r="B2531" s="24" t="s">
        <v>4661</v>
      </c>
      <c r="C2531" s="25">
        <v>458136</v>
      </c>
      <c r="D2531" s="22" t="s">
        <v>4662</v>
      </c>
      <c r="E2531" s="22" t="s">
        <v>362</v>
      </c>
      <c r="F2531" s="23" t="str">
        <f>HYPERLINK("https://www.spark-marketing.ru/Card/Lot/73807365", "услуги непрофильной функции по питанию")</f>
        <v>услуги непрофильной функции по питанию</v>
      </c>
      <c r="G2531" s="22" t="s">
        <v>145</v>
      </c>
      <c r="H2531" s="22" t="s">
        <v>145</v>
      </c>
      <c r="I2531" s="26">
        <v>43731</v>
      </c>
      <c r="J2531" s="28" t="s">
        <v>51</v>
      </c>
      <c r="K2531" s="28" t="s">
        <v>51</v>
      </c>
      <c r="L2531" s="28" t="s">
        <v>51</v>
      </c>
      <c r="M2531" s="28" t="s">
        <v>51</v>
      </c>
      <c r="N2531" s="28" t="s">
        <v>51</v>
      </c>
    </row>
    <row r="2532" spans="1:14" x14ac:dyDescent="0.15">
      <c r="A2532" s="23" t="str">
        <f>HYPERLINK("https://www.spark-marketing.ru/Card/Person/4353426", "ГУ ""МЕЖМУНИЦИПАЛЬНЫЙ ОТДЕЛ МВД РОССИИ ""ВОТКИНСКИЙ""")</f>
        <v>ГУ "МЕЖМУНИЦИПАЛЬНЫЙ ОТДЕЛ МВД РОССИИ "ВОТКИНСКИЙ"</v>
      </c>
      <c r="B2532" s="24" t="s">
        <v>4663</v>
      </c>
      <c r="C2532" s="25">
        <v>171535.5</v>
      </c>
      <c r="D2532" s="22" t="s">
        <v>4664</v>
      </c>
      <c r="E2532" s="22" t="s">
        <v>48</v>
      </c>
      <c r="F2532" s="23" t="str">
        <f>HYPERLINK("https://www.spark-marketing.ru/Card/Lot/73555301", "Оказание услуг по питанию граждан содержищихся в ИВС и СПСЗЛ, 1 усл. ед")</f>
        <v>Оказание услуг по питанию граждан содержищихся в ИВС и СПСЗЛ, 1 усл. ед</v>
      </c>
      <c r="G2532" s="22" t="s">
        <v>852</v>
      </c>
      <c r="H2532" s="22" t="s">
        <v>4665</v>
      </c>
      <c r="I2532" s="26">
        <v>43725.838032407402</v>
      </c>
      <c r="J2532" s="28" t="s">
        <v>51</v>
      </c>
      <c r="K2532" s="28" t="s">
        <v>51</v>
      </c>
      <c r="L2532" s="28" t="s">
        <v>51</v>
      </c>
      <c r="M2532" s="28" t="s">
        <v>51</v>
      </c>
      <c r="N2532" s="28" t="s">
        <v>51</v>
      </c>
    </row>
    <row r="2533" spans="1:14" x14ac:dyDescent="0.15">
      <c r="A2533" s="23" t="str">
        <f>HYPERLINK("https://www.spark-marketing.ru/Card/Person/140763", "МБУК ""СОЗВЕЗДИЕ""")</f>
        <v>МБУК "СОЗВЕЗДИЕ"</v>
      </c>
      <c r="B2533" s="24" t="s">
        <v>4666</v>
      </c>
      <c r="C2533" s="25">
        <v>60000</v>
      </c>
      <c r="D2533" s="22" t="s">
        <v>4667</v>
      </c>
      <c r="E2533" s="22" t="s">
        <v>48</v>
      </c>
      <c r="F2533" s="23" t="str">
        <f>HYPERLINK("https://www.spark-marketing.ru/Card/Lot/73552589", "Услуги по организации ""Чайного стола"" для проведения мероприятий, посвященных Дню пожилого человека")</f>
        <v>Услуги по организации "Чайного стола" для проведения мероприятий, посвященных Дню пожилого человека</v>
      </c>
      <c r="G2533" s="22" t="s">
        <v>49</v>
      </c>
      <c r="H2533" s="22" t="s">
        <v>311</v>
      </c>
      <c r="I2533" s="26">
        <v>43725.7633333333</v>
      </c>
      <c r="J2533" s="28" t="s">
        <v>51</v>
      </c>
      <c r="K2533" s="28" t="s">
        <v>51</v>
      </c>
      <c r="L2533" s="28" t="s">
        <v>51</v>
      </c>
      <c r="M2533" s="28" t="s">
        <v>51</v>
      </c>
      <c r="N2533" s="28" t="s">
        <v>51</v>
      </c>
    </row>
    <row r="2534" spans="1:14" x14ac:dyDescent="0.15">
      <c r="A2534" s="23" t="str">
        <f>HYPERLINK("https://www.spark-marketing.ru/Card/Person/12661", "АДМИНИСТРАЦИЯ ГОРОДСКОГО ОКРУГА СОЛНЕЧНОГОРСК")</f>
        <v>АДМИНИСТРАЦИЯ ГОРОДСКОГО ОКРУГА СОЛНЕЧНОГОРСК</v>
      </c>
      <c r="B2534" s="24" t="s">
        <v>4668</v>
      </c>
      <c r="C2534" s="25">
        <v>60000</v>
      </c>
      <c r="D2534" s="22" t="s">
        <v>4669</v>
      </c>
      <c r="E2534" s="22" t="s">
        <v>48</v>
      </c>
      <c r="F2534" s="23" t="str">
        <f>HYPERLINK("https://www.spark-marketing.ru/Card/Lot/73548026", "Оказание услуг по организации питания участников субботника в сельском поселении Кутузовское городского округа Солнечногорск")</f>
        <v>Оказание услуг по организации питания участников субботника в сельском поселении Кутузовское городского округа Солнечногорск</v>
      </c>
      <c r="G2534" s="22" t="s">
        <v>49</v>
      </c>
      <c r="H2534" s="22" t="s">
        <v>204</v>
      </c>
      <c r="I2534" s="26">
        <v>43725.711168981499</v>
      </c>
      <c r="J2534" s="28" t="s">
        <v>51</v>
      </c>
      <c r="K2534" s="28" t="s">
        <v>51</v>
      </c>
      <c r="L2534" s="28" t="s">
        <v>51</v>
      </c>
      <c r="M2534" s="28" t="s">
        <v>51</v>
      </c>
      <c r="N2534" s="28" t="s">
        <v>51</v>
      </c>
    </row>
    <row r="2535" spans="1:14" x14ac:dyDescent="0.15">
      <c r="A2535" s="23" t="str">
        <f>HYPERLINK("https://www.spark-marketing.ru/Card/Person/4346072", "УЗ ЛИПЕЦКОЙ ОБЛАСТИ")</f>
        <v>УЗ ЛИПЕЦКОЙ ОБЛАСТИ</v>
      </c>
      <c r="B2535" s="24" t="s">
        <v>4558</v>
      </c>
      <c r="C2535" s="25">
        <v>16000000</v>
      </c>
      <c r="D2535" s="22" t="s">
        <v>4670</v>
      </c>
      <c r="E2535" s="22" t="s">
        <v>1153</v>
      </c>
      <c r="F2535" s="23" t="str">
        <f>HYPERLINK("https://www.spark-marketing.ru/Card/Lot/73569827", "Аукцион №1 на оказание услуг по обеспечению граждан лекарственными препаратами, медицинскими изделиями и специализированными продуктами лечебного питания для детей-инвалидов.")</f>
        <v>Аукцион №1 на оказание услуг по обеспечению граждан лекарственными препаратами, медицинскими изделиями и специализированными продуктами лечебного питания для детей-инвалидов.</v>
      </c>
      <c r="G2535" s="22" t="s">
        <v>101</v>
      </c>
      <c r="H2535" s="22" t="s">
        <v>101</v>
      </c>
      <c r="I2535" s="26">
        <v>43725.6719212963</v>
      </c>
      <c r="J2535" s="23" t="str">
        <f>HYPERLINK("https://www.spark-marketing.ru/Card/Person/14988", "ОГУП ""ЛИПЕЦКФАРМАЦИЯ""")</f>
        <v>ОГУП "ЛИПЕЦКФАРМАЦИЯ"</v>
      </c>
      <c r="K2535" s="24" t="s">
        <v>4560</v>
      </c>
      <c r="L2535" s="22" t="s">
        <v>10</v>
      </c>
      <c r="M2535" s="28" t="s">
        <v>51</v>
      </c>
      <c r="N2535" s="28" t="s">
        <v>51</v>
      </c>
    </row>
    <row r="2536" spans="1:14" x14ac:dyDescent="0.15">
      <c r="A2536" s="23" t="str">
        <f>HYPERLINK("https://www.spark-marketing.ru/Card/Person/4373887", "МБОУ ""ЯСШ № 15""")</f>
        <v>МБОУ "ЯСШ № 15"</v>
      </c>
      <c r="B2536" s="24" t="s">
        <v>4671</v>
      </c>
      <c r="C2536" s="25">
        <v>1547700</v>
      </c>
      <c r="D2536" s="22" t="s">
        <v>4672</v>
      </c>
      <c r="E2536" s="22" t="s">
        <v>48</v>
      </c>
      <c r="F2536" s="23" t="str">
        <f>HYPERLINK("https://www.spark-marketing.ru/Card/Lot/73565711", "Услуги по обеспечению питанием (горячие завтраки и обеды) для школьников")</f>
        <v>Услуги по обеспечению питанием (горячие завтраки и обеды) для школьников</v>
      </c>
      <c r="G2536" s="22" t="s">
        <v>108</v>
      </c>
      <c r="H2536" s="22" t="s">
        <v>1321</v>
      </c>
      <c r="I2536" s="26">
        <v>43725.693749999999</v>
      </c>
      <c r="J2536" s="23" t="str">
        <f>HYPERLINK("https://www.spark-marketing.ru/Card/Person/1730092", "ООО ""МИМОЗА""")</f>
        <v>ООО "МИМОЗА"</v>
      </c>
      <c r="K2536" s="24" t="s">
        <v>4673</v>
      </c>
      <c r="L2536" s="22" t="s">
        <v>10</v>
      </c>
      <c r="M2536" s="28" t="s">
        <v>51</v>
      </c>
      <c r="N2536" s="28" t="s">
        <v>51</v>
      </c>
    </row>
    <row r="2537" spans="1:14" x14ac:dyDescent="0.15">
      <c r="A2537" s="23" t="str">
        <f>HYPERLINK("https://www.spark-marketing.ru/Card/Person/54757", "МУ МВД РОССИИ ""БАЛАКОВСКОЕ"" САРАТОВСКОЙ ОБЛАСТИ")</f>
        <v>МУ МВД РОССИИ "БАЛАКОВСКОЕ" САРАТОВСКОЙ ОБЛАСТИ</v>
      </c>
      <c r="B2537" s="24" t="s">
        <v>4674</v>
      </c>
      <c r="C2537" s="25">
        <v>6393291.2400000002</v>
      </c>
      <c r="D2537" s="22" t="s">
        <v>4675</v>
      </c>
      <c r="E2537" s="22" t="s">
        <v>48</v>
      </c>
      <c r="F2537" s="23" t="str">
        <f>HYPERLINK("https://www.spark-marketing.ru/Card/Lot/73572483", "Оказание услуг по организации питания лиц, находящихся в ИВС, спецприемнике и КСЗ")</f>
        <v>Оказание услуг по организации питания лиц, находящихся в ИВС, спецприемнике и КСЗ</v>
      </c>
      <c r="G2537" s="22" t="s">
        <v>351</v>
      </c>
      <c r="H2537" s="22" t="s">
        <v>351</v>
      </c>
      <c r="I2537" s="26">
        <v>43725.694444444402</v>
      </c>
      <c r="J2537" s="28" t="s">
        <v>51</v>
      </c>
      <c r="K2537" s="28" t="s">
        <v>51</v>
      </c>
      <c r="L2537" s="28" t="s">
        <v>51</v>
      </c>
      <c r="M2537" s="28" t="s">
        <v>51</v>
      </c>
      <c r="N2537" s="28" t="s">
        <v>51</v>
      </c>
    </row>
    <row r="2538" spans="1:14" ht="12.75" hidden="1" outlineLevel="1" x14ac:dyDescent="0.2">
      <c r="A2538" s="23" t="str">
        <f>HYPERLINK("https://www.spark-marketing.ru/Card/Person/54757", "МУ МВД РОССИИ ""БАЛАКОВСКОЕ"" САРАТОВСКОЙ ОБЛАСТИ")</f>
        <v>МУ МВД РОССИИ "БАЛАКОВСКОЕ" САРАТОВСКОЙ ОБЛАСТИ</v>
      </c>
      <c r="B2538" s="24" t="s">
        <v>4674</v>
      </c>
      <c r="C2538" s="25">
        <v>6393291.2400000002</v>
      </c>
      <c r="D2538" s="22" t="s">
        <v>4675</v>
      </c>
      <c r="E2538" s="22" t="s">
        <v>48</v>
      </c>
      <c r="F2538" s="23" t="str">
        <f>HYPERLINK("https://www.spark-marketing.ru/Card/Lot/73572483", "Оказание услуг по организации питания лиц, находящихся в ИВС, спецприемнике и КСЗ")</f>
        <v>Оказание услуг по организации питания лиц, находящихся в ИВС, спецприемнике и КСЗ</v>
      </c>
      <c r="G2538" s="22" t="s">
        <v>351</v>
      </c>
      <c r="H2538" s="22" t="s">
        <v>351</v>
      </c>
      <c r="I2538" s="26">
        <v>43725.694444444402</v>
      </c>
      <c r="J2538" s="23" t="str">
        <f>HYPERLINK("https://www.spark-marketing.ru/Card/Person/54977", "Баринов Игорь Владимирович")</f>
        <v>Баринов Игорь Владимирович</v>
      </c>
      <c r="K2538" s="24" t="s">
        <v>4676</v>
      </c>
      <c r="L2538" s="22" t="s">
        <v>10</v>
      </c>
      <c r="M2538" s="25">
        <v>5457752.1600000001</v>
      </c>
      <c r="N2538" s="27">
        <v>0.14633137219633374</v>
      </c>
    </row>
    <row r="2539" spans="1:14" hidden="1" outlineLevel="1" x14ac:dyDescent="0.2">
      <c r="A2539" s="23" t="str">
        <f>HYPERLINK("https://www.spark-marketing.ru/Card/Person/54757", "МУ МВД РОССИИ ""БАЛАКОВСКОЕ"" САРАТОВСКОЙ ОБЛАСТИ")</f>
        <v>МУ МВД РОССИИ "БАЛАКОВСКОЕ" САРАТОВСКОЙ ОБЛАСТИ</v>
      </c>
      <c r="B2539" s="24" t="s">
        <v>4674</v>
      </c>
      <c r="C2539" s="25">
        <v>6393291.2400000002</v>
      </c>
      <c r="D2539" s="22" t="s">
        <v>4675</v>
      </c>
      <c r="E2539" s="22" t="s">
        <v>48</v>
      </c>
      <c r="F2539" s="23" t="str">
        <f>HYPERLINK("https://www.spark-marketing.ru/Card/Lot/73572483", "Оказание услуг по организации питания лиц, находящихся в ИВС, спецприемнике и КСЗ")</f>
        <v>Оказание услуг по организации питания лиц, находящихся в ИВС, спецприемнике и КСЗ</v>
      </c>
      <c r="G2539" s="22" t="s">
        <v>351</v>
      </c>
      <c r="H2539" s="22" t="s">
        <v>351</v>
      </c>
      <c r="I2539" s="26">
        <v>43725.694444444402</v>
      </c>
      <c r="J2539" s="23" t="str">
        <f>HYPERLINK("https://www.spark-marketing.ru/Card/Person/5890616", "Ахметова Дарья Владимировна")</f>
        <v>Ахметова Дарья Владимировна</v>
      </c>
      <c r="K2539" s="24" t="s">
        <v>4677</v>
      </c>
      <c r="L2539" s="28" t="s">
        <v>51</v>
      </c>
      <c r="M2539" s="25">
        <v>5489718.6200000001</v>
      </c>
      <c r="N2539" s="27">
        <v>0.14133137160196069</v>
      </c>
    </row>
    <row r="2540" spans="1:14" x14ac:dyDescent="0.15">
      <c r="A2540" s="23" t="str">
        <f>HYPERLINK("https://www.spark-marketing.ru/Card/Person/71164", "МВД ПО РЕСПУБЛИКЕ БУРЯТИЯ")</f>
        <v>МВД ПО РЕСПУБЛИКЕ БУРЯТИЯ</v>
      </c>
      <c r="B2540" s="24" t="s">
        <v>4678</v>
      </c>
      <c r="C2540" s="25">
        <v>1340000</v>
      </c>
      <c r="D2540" s="22" t="s">
        <v>4679</v>
      </c>
      <c r="E2540" s="22" t="s">
        <v>48</v>
      </c>
      <c r="F2540" s="23" t="str">
        <f>HYPERLINK("https://www.spark-marketing.ru/Card/Lot/73565206", "Услуги по организации и доставке горячего питания для лиц, содержащихся в ЦВСИГ МВД по Республике Бурятия")</f>
        <v>Услуги по организации и доставке горячего питания для лиц, содержащихся в ЦВСИГ МВД по Республике Бурятия</v>
      </c>
      <c r="G2540" s="22" t="s">
        <v>433</v>
      </c>
      <c r="H2540" s="22" t="s">
        <v>974</v>
      </c>
      <c r="I2540" s="26">
        <v>43725.698611111096</v>
      </c>
      <c r="J2540" s="28" t="s">
        <v>51</v>
      </c>
      <c r="K2540" s="28" t="s">
        <v>51</v>
      </c>
      <c r="L2540" s="28" t="s">
        <v>51</v>
      </c>
      <c r="M2540" s="28" t="s">
        <v>51</v>
      </c>
      <c r="N2540" s="28" t="s">
        <v>51</v>
      </c>
    </row>
    <row r="2541" spans="1:14" ht="12.75" hidden="1" outlineLevel="1" x14ac:dyDescent="0.2">
      <c r="A2541" s="23" t="str">
        <f>HYPERLINK("https://www.spark-marketing.ru/Card/Person/71164", "МВД ПО РЕСПУБЛИКЕ БУРЯТИЯ")</f>
        <v>МВД ПО РЕСПУБЛИКЕ БУРЯТИЯ</v>
      </c>
      <c r="B2541" s="24" t="s">
        <v>4678</v>
      </c>
      <c r="C2541" s="25">
        <v>1340000</v>
      </c>
      <c r="D2541" s="22" t="s">
        <v>4679</v>
      </c>
      <c r="E2541" s="22" t="s">
        <v>48</v>
      </c>
      <c r="F2541" s="23" t="str">
        <f>HYPERLINK("https://www.spark-marketing.ru/Card/Lot/73565206", "Услуги по организации и доставке горячего питания для лиц, содержащихся в ЦВСИГ МВД по Республике Бурятия")</f>
        <v>Услуги по организации и доставке горячего питания для лиц, содержащихся в ЦВСИГ МВД по Республике Бурятия</v>
      </c>
      <c r="G2541" s="22" t="s">
        <v>433</v>
      </c>
      <c r="H2541" s="22" t="s">
        <v>974</v>
      </c>
      <c r="I2541" s="26">
        <v>43725.698611111096</v>
      </c>
      <c r="J2541" s="23" t="str">
        <f>HYPERLINK("https://www.spark-marketing.ru/Card/Person/6433832", "ООО ""АЛТАН""")</f>
        <v>ООО "АЛТАН"</v>
      </c>
      <c r="K2541" s="24" t="s">
        <v>4680</v>
      </c>
      <c r="L2541" s="22" t="s">
        <v>10</v>
      </c>
      <c r="M2541" s="25">
        <v>2705.56</v>
      </c>
      <c r="N2541" s="27">
        <v>0.99798092537313432</v>
      </c>
    </row>
    <row r="2542" spans="1:14" hidden="1" outlineLevel="1" x14ac:dyDescent="0.2">
      <c r="A2542" s="23" t="str">
        <f>HYPERLINK("https://www.spark-marketing.ru/Card/Person/71164", "МВД ПО РЕСПУБЛИКЕ БУРЯТИЯ")</f>
        <v>МВД ПО РЕСПУБЛИКЕ БУРЯТИЯ</v>
      </c>
      <c r="B2542" s="24" t="s">
        <v>4678</v>
      </c>
      <c r="C2542" s="25">
        <v>1340000</v>
      </c>
      <c r="D2542" s="22" t="s">
        <v>4679</v>
      </c>
      <c r="E2542" s="22" t="s">
        <v>48</v>
      </c>
      <c r="F2542" s="23" t="str">
        <f>HYPERLINK("https://www.spark-marketing.ru/Card/Lot/73565206", "Услуги по организации и доставке горячего питания для лиц, содержащихся в ЦВСИГ МВД по Республике Бурятия")</f>
        <v>Услуги по организации и доставке горячего питания для лиц, содержащихся в ЦВСИГ МВД по Республике Бурятия</v>
      </c>
      <c r="G2542" s="22" t="s">
        <v>433</v>
      </c>
      <c r="H2542" s="22" t="s">
        <v>974</v>
      </c>
      <c r="I2542" s="26">
        <v>43725.698611111096</v>
      </c>
      <c r="J2542" s="23" t="str">
        <f>HYPERLINK("https://www.spark-marketing.ru/Card/Person/2007709", "ООО ""ГРАНД УРЯАЛ""")</f>
        <v>ООО "ГРАНД УРЯАЛ"</v>
      </c>
      <c r="K2542" s="24" t="s">
        <v>4681</v>
      </c>
      <c r="L2542" s="28" t="s">
        <v>51</v>
      </c>
      <c r="M2542" s="25">
        <v>2719.65</v>
      </c>
      <c r="N2542" s="27">
        <v>0.99797041044776125</v>
      </c>
    </row>
    <row r="2543" spans="1:14" x14ac:dyDescent="0.15">
      <c r="A2543" s="23" t="str">
        <f>HYPERLINK("https://www.spark-marketing.ru/Card/Person/87088", "ГАУЗ ""РНД МЗ РТ""")</f>
        <v>ГАУЗ "РНД МЗ РТ"</v>
      </c>
      <c r="B2543" s="24" t="s">
        <v>4682</v>
      </c>
      <c r="C2543" s="25">
        <v>320450</v>
      </c>
      <c r="D2543" s="22" t="s">
        <v>4683</v>
      </c>
      <c r="E2543" s="22" t="s">
        <v>48</v>
      </c>
      <c r="F2543" s="23" t="str">
        <f>HYPERLINK("https://www.spark-marketing.ru/Card/Lot/73560474", "Оказание услуг по организации готового лечебного питания для больных, находящихся на стационарном лечении для нужд филиала ГАУЗ «РНД МЗ РТ» - Набережночелнинский наркологический диспансер в 2019 году")</f>
        <v>Оказание услуг по организации готового лечебного питания для больных, находящихся на стационарном лечении для нужд филиала ГАУЗ «РНД МЗ РТ» - Набережночелнинский наркологический диспансер в 2019 году</v>
      </c>
      <c r="G2543" s="22" t="s">
        <v>217</v>
      </c>
      <c r="H2543" s="22" t="s">
        <v>1998</v>
      </c>
      <c r="I2543" s="26">
        <v>43725.685416666704</v>
      </c>
      <c r="J2543" s="28" t="s">
        <v>51</v>
      </c>
      <c r="K2543" s="28" t="s">
        <v>51</v>
      </c>
      <c r="L2543" s="28" t="s">
        <v>51</v>
      </c>
      <c r="M2543" s="28" t="s">
        <v>51</v>
      </c>
      <c r="N2543" s="28" t="s">
        <v>51</v>
      </c>
    </row>
    <row r="2544" spans="1:14" ht="12.75" hidden="1" outlineLevel="1" x14ac:dyDescent="0.2">
      <c r="A2544" s="23" t="str">
        <f>HYPERLINK("https://www.spark-marketing.ru/Card/Person/87088", "ГАУЗ ""РНД МЗ РТ""")</f>
        <v>ГАУЗ "РНД МЗ РТ"</v>
      </c>
      <c r="B2544" s="24" t="s">
        <v>4682</v>
      </c>
      <c r="C2544" s="25">
        <v>320450</v>
      </c>
      <c r="D2544" s="22" t="s">
        <v>4683</v>
      </c>
      <c r="E2544" s="22" t="s">
        <v>48</v>
      </c>
      <c r="F2544" s="23" t="str">
        <f>HYPERLINK("https://www.spark-marketing.ru/Card/Lot/73560474", "Оказание услуг по организации готового лечебного питания для больных, находящихся на стационарном лечении для нужд филиала ГАУЗ «РНД МЗ РТ» - Набережночелнинский наркологический диспансер в 2019 году")</f>
        <v>Оказание услуг по организации готового лечебного питания для больных, находящихся на стационарном лечении для нужд филиала ГАУЗ «РНД МЗ РТ» - Набережночелнинский наркологический диспансер в 2019 году</v>
      </c>
      <c r="G2544" s="22" t="s">
        <v>217</v>
      </c>
      <c r="H2544" s="22" t="s">
        <v>1998</v>
      </c>
      <c r="I2544" s="26">
        <v>43725.685416666704</v>
      </c>
      <c r="J2544" s="23" t="str">
        <f>HYPERLINK("https://www.spark-marketing.ru/Card/Person/364224", "Гильманов Марат Ульфатович")</f>
        <v>Гильманов Марат Ульфатович</v>
      </c>
      <c r="K2544" s="24" t="s">
        <v>2146</v>
      </c>
      <c r="L2544" s="22" t="s">
        <v>10</v>
      </c>
      <c r="M2544" s="25">
        <v>198679</v>
      </c>
      <c r="N2544" s="27">
        <v>0.38</v>
      </c>
    </row>
    <row r="2545" spans="1:14" hidden="1" outlineLevel="1" x14ac:dyDescent="0.2">
      <c r="A2545" s="23" t="str">
        <f>HYPERLINK("https://www.spark-marketing.ru/Card/Person/87088", "ГАУЗ ""РНД МЗ РТ""")</f>
        <v>ГАУЗ "РНД МЗ РТ"</v>
      </c>
      <c r="B2545" s="24" t="s">
        <v>4682</v>
      </c>
      <c r="C2545" s="25">
        <v>320450</v>
      </c>
      <c r="D2545" s="22" t="s">
        <v>4683</v>
      </c>
      <c r="E2545" s="22" t="s">
        <v>48</v>
      </c>
      <c r="F2545" s="23" t="str">
        <f>HYPERLINK("https://www.spark-marketing.ru/Card/Lot/73560474", "Оказание услуг по организации готового лечебного питания для больных, находящихся на стационарном лечении для нужд филиала ГАУЗ «РНД МЗ РТ» - Набережночелнинский наркологический диспансер в 2019 году")</f>
        <v>Оказание услуг по организации готового лечебного питания для больных, находящихся на стационарном лечении для нужд филиала ГАУЗ «РНД МЗ РТ» - Набережночелнинский наркологический диспансер в 2019 году</v>
      </c>
      <c r="G2545" s="22" t="s">
        <v>217</v>
      </c>
      <c r="H2545" s="22" t="s">
        <v>1998</v>
      </c>
      <c r="I2545" s="26">
        <v>43725.685416666704</v>
      </c>
      <c r="J2545" s="23" t="str">
        <f>HYPERLINK("https://www.spark-marketing.ru/Card/Person/1682808", "ООО ""СТОЛОВАЯ №4""")</f>
        <v>ООО "СТОЛОВАЯ №4"</v>
      </c>
      <c r="K2545" s="24" t="s">
        <v>4684</v>
      </c>
      <c r="L2545" s="28" t="s">
        <v>51</v>
      </c>
      <c r="M2545" s="25">
        <v>200281.25</v>
      </c>
      <c r="N2545" s="27">
        <v>0.375</v>
      </c>
    </row>
    <row r="2546" spans="1:14" x14ac:dyDescent="0.15">
      <c r="A2546" s="23" t="str">
        <f>HYPERLINK("https://www.spark-marketing.ru/Card/Person/737290", "ГКУ «ЦБЗ ПРИ МИНЗДРАВЕ КАРЕЛИИ»")</f>
        <v>ГКУ «ЦБЗ ПРИ МИНЗДРАВЕ КАРЕЛИИ»</v>
      </c>
      <c r="B2546" s="24" t="s">
        <v>312</v>
      </c>
      <c r="C2546" s="25">
        <v>1421550</v>
      </c>
      <c r="D2546" s="22" t="s">
        <v>4685</v>
      </c>
      <c r="E2546" s="22" t="s">
        <v>52</v>
      </c>
      <c r="F2546" s="23" t="str">
        <f>HYPERLINK("https://www.spark-marketing.ru/Card/Lot/73565100", "Поставка лекарственного препарата Инсулин лизпро двухфазный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из...")</f>
        <v>Поставка лекарственного препарата Инсулин лизпро двухфазный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</v>
      </c>
      <c r="G2546" s="22" t="s">
        <v>59</v>
      </c>
      <c r="H2546" s="22" t="s">
        <v>314</v>
      </c>
      <c r="I2546" s="26">
        <v>43725.697916666701</v>
      </c>
      <c r="J2546" s="23" t="str">
        <f>HYPERLINK("https://www.spark-marketing.ru/Card/Person/5950409", "ООО ""БИАНТ""")</f>
        <v>ООО "БИАНТ"</v>
      </c>
      <c r="K2546" s="24" t="s">
        <v>3870</v>
      </c>
      <c r="L2546" s="22" t="s">
        <v>10</v>
      </c>
      <c r="M2546" s="28" t="s">
        <v>51</v>
      </c>
      <c r="N2546" s="28" t="s">
        <v>51</v>
      </c>
    </row>
    <row r="2547" spans="1:14" x14ac:dyDescent="0.15">
      <c r="A2547" s="23" t="str">
        <f>HYPERLINK("https://www.spark-marketing.ru/Card/Person/8295", "ОТДЕЛ МВД РОССИИ ПО ПОВОРИНСКОМУ РАЙОНУ")</f>
        <v>ОТДЕЛ МВД РОССИИ ПО ПОВОРИНСКОМУ РАЙОНУ</v>
      </c>
      <c r="B2547" s="24" t="s">
        <v>4686</v>
      </c>
      <c r="C2547" s="25">
        <v>204604</v>
      </c>
      <c r="D2547" s="22" t="s">
        <v>4687</v>
      </c>
      <c r="E2547" s="22" t="s">
        <v>48</v>
      </c>
      <c r="F2547" s="23" t="str">
        <f>HYPERLINK("https://www.spark-marketing.ru/Card/Lot/73541830",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2547" s="22" t="s">
        <v>82</v>
      </c>
      <c r="H2547" s="22" t="s">
        <v>4688</v>
      </c>
      <c r="I2547" s="26">
        <v>43725.662465277797</v>
      </c>
      <c r="J2547" s="28" t="s">
        <v>51</v>
      </c>
      <c r="K2547" s="28" t="s">
        <v>51</v>
      </c>
      <c r="L2547" s="28" t="s">
        <v>51</v>
      </c>
      <c r="M2547" s="28" t="s">
        <v>51</v>
      </c>
      <c r="N2547" s="28" t="s">
        <v>51</v>
      </c>
    </row>
    <row r="2548" spans="1:14" x14ac:dyDescent="0.15">
      <c r="A2548" s="23" t="str">
        <f>HYPERLINK("https://www.spark-marketing.ru/Card/Person/7947", "БУ ""СУРГУТСКИЙ КЛИНИЧЕСКИЙ ПЕРИНАТАЛЬНЫЙ ЦЕНТР""")</f>
        <v>БУ "СУРГУТСКИЙ КЛИНИЧЕСКИЙ ПЕРИНАТАЛЬНЫЙ ЦЕНТР"</v>
      </c>
      <c r="B2548" s="24" t="s">
        <v>4689</v>
      </c>
      <c r="C2548" s="25">
        <v>36307657</v>
      </c>
      <c r="D2548" s="22" t="s">
        <v>4690</v>
      </c>
      <c r="E2548" s="22" t="s">
        <v>48</v>
      </c>
      <c r="F2548" s="23" t="str">
        <f>HYPERLINK("https://www.spark-marketing.ru/Card/Lot/73569980", "Оказание  услуг  по приготовлению лечебного питания - готовой пищи для пациентов бюджетного учреждения Ханты-Мансийского автономного округа - Югры «Сургутский  клинический  перинатальный центр»")</f>
        <v>Оказание  услуг  по приготовлению лечебного питания - готовой пищи для пациентов бюджетного учреждения Ханты-Мансийского автономного округа - Югры «Сургутский  клинический  перинатальный центр»</v>
      </c>
      <c r="G2548" s="22" t="s">
        <v>97</v>
      </c>
      <c r="H2548" s="22" t="s">
        <v>3533</v>
      </c>
      <c r="I2548" s="26">
        <v>43725.650451388901</v>
      </c>
      <c r="J2548" s="28" t="s">
        <v>51</v>
      </c>
      <c r="K2548" s="28" t="s">
        <v>51</v>
      </c>
      <c r="L2548" s="28" t="s">
        <v>51</v>
      </c>
      <c r="M2548" s="28" t="s">
        <v>51</v>
      </c>
      <c r="N2548" s="28" t="s">
        <v>51</v>
      </c>
    </row>
    <row r="2549" spans="1:14" ht="12.75" hidden="1" outlineLevel="1" x14ac:dyDescent="0.2">
      <c r="A2549" s="23" t="str">
        <f>HYPERLINK("https://www.spark-marketing.ru/Card/Person/7947", "БУ ""СУРГУТСКИЙ КЛИНИЧЕСКИЙ ПЕРИНАТАЛЬНЫЙ ЦЕНТР""")</f>
        <v>БУ "СУРГУТСКИЙ КЛИНИЧЕСКИЙ ПЕРИНАТАЛЬНЫЙ ЦЕНТР"</v>
      </c>
      <c r="B2549" s="24" t="s">
        <v>4689</v>
      </c>
      <c r="C2549" s="25">
        <v>36307657</v>
      </c>
      <c r="D2549" s="22" t="s">
        <v>4690</v>
      </c>
      <c r="E2549" s="22" t="s">
        <v>48</v>
      </c>
      <c r="F2549" s="23" t="str">
        <f>HYPERLINK("https://www.spark-marketing.ru/Card/Lot/73569980", "Оказание  услуг  по приготовлению лечебного питания - готовой пищи для пациентов бюджетного учреждения Ханты-Мансийского автономного округа - Югры «Сургутский  клинический  перинатальный центр»")</f>
        <v>Оказание  услуг  по приготовлению лечебного питания - готовой пищи для пациентов бюджетного учреждения Ханты-Мансийского автономного округа - Югры «Сургутский  клинический  перинатальный центр»</v>
      </c>
      <c r="G2549" s="22" t="s">
        <v>97</v>
      </c>
      <c r="H2549" s="22" t="s">
        <v>3533</v>
      </c>
      <c r="I2549" s="26">
        <v>43725.650451388901</v>
      </c>
      <c r="J2549" s="23" t="str">
        <f>HYPERLINK("https://www.spark-marketing.ru/Card/Person/13974", "БУ ""СУРГУТСКАЯ ГОРОДСКАЯ КЛИНИЧЕСКАЯ БОЛЬНИЦА""")</f>
        <v>БУ "СУРГУТСКАЯ ГОРОДСКАЯ КЛИНИЧЕСКАЯ БОЛЬНИЦА"</v>
      </c>
      <c r="K2549" s="24" t="s">
        <v>4691</v>
      </c>
      <c r="L2549" s="22" t="s">
        <v>10</v>
      </c>
      <c r="M2549" s="25">
        <v>32676891.199999999</v>
      </c>
      <c r="N2549" s="27">
        <v>0.10000000275423997</v>
      </c>
    </row>
    <row r="2550" spans="1:14" hidden="1" outlineLevel="1" x14ac:dyDescent="0.2">
      <c r="A2550" s="23" t="str">
        <f>HYPERLINK("https://www.spark-marketing.ru/Card/Person/7947", "БУ ""СУРГУТСКИЙ КЛИНИЧЕСКИЙ ПЕРИНАТАЛЬНЫЙ ЦЕНТР""")</f>
        <v>БУ "СУРГУТСКИЙ КЛИНИЧЕСКИЙ ПЕРИНАТАЛЬНЫЙ ЦЕНТР"</v>
      </c>
      <c r="B2550" s="24" t="s">
        <v>4689</v>
      </c>
      <c r="C2550" s="25">
        <v>36307657</v>
      </c>
      <c r="D2550" s="22" t="s">
        <v>4690</v>
      </c>
      <c r="E2550" s="22" t="s">
        <v>48</v>
      </c>
      <c r="F2550" s="23" t="str">
        <f>HYPERLINK("https://www.spark-marketing.ru/Card/Lot/73569980", "Оказание  услуг  по приготовлению лечебного питания - готовой пищи для пациентов бюджетного учреждения Ханты-Мансийского автономного округа - Югры «Сургутский  клинический  перинатальный центр»")</f>
        <v>Оказание  услуг  по приготовлению лечебного питания - готовой пищи для пациентов бюджетного учреждения Ханты-Мансийского автономного округа - Югры «Сургутский  клинический  перинатальный центр»</v>
      </c>
      <c r="G2550" s="22" t="s">
        <v>97</v>
      </c>
      <c r="H2550" s="22" t="s">
        <v>3533</v>
      </c>
      <c r="I2550" s="26">
        <v>43725.650451388901</v>
      </c>
      <c r="J2550" s="23" t="str">
        <f>HYPERLINK("https://www.spark-marketing.ru/Card/Person/54874", "ООО ""РУССКОМПЛЕКТ ПИТ""")</f>
        <v>ООО "РУССКОМПЛЕКТ ПИТ"</v>
      </c>
      <c r="K2550" s="24" t="s">
        <v>3534</v>
      </c>
      <c r="L2550" s="28" t="s">
        <v>51</v>
      </c>
      <c r="M2550" s="25">
        <v>32858429.489999998</v>
      </c>
      <c r="N2550" s="27">
        <v>9.5000002616527968E-2</v>
      </c>
    </row>
    <row r="2551" spans="1:14" x14ac:dyDescent="0.15">
      <c r="A2551" s="23" t="str">
        <f>HYPERLINK("https://www.spark-marketing.ru/Card/Person/8295", "ОТДЕЛ МВД РОССИИ ПО ПОВОРИНСКОМУ РАЙОНУ")</f>
        <v>ОТДЕЛ МВД РОССИИ ПО ПОВОРИНСКОМУ РАЙОНУ</v>
      </c>
      <c r="B2551" s="24" t="s">
        <v>4686</v>
      </c>
      <c r="C2551" s="25">
        <v>204604</v>
      </c>
      <c r="D2551" s="22" t="s">
        <v>4692</v>
      </c>
      <c r="E2551" s="22" t="s">
        <v>48</v>
      </c>
      <c r="F2551" s="23" t="str">
        <f>HYPERLINK("https://www.spark-marketing.ru/Card/Lot/73542601",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2551" s="22" t="s">
        <v>82</v>
      </c>
      <c r="H2551" s="22" t="s">
        <v>4688</v>
      </c>
      <c r="I2551" s="26">
        <v>43725.666215277801</v>
      </c>
      <c r="J2551" s="28" t="s">
        <v>51</v>
      </c>
      <c r="K2551" s="28" t="s">
        <v>51</v>
      </c>
      <c r="L2551" s="28" t="s">
        <v>51</v>
      </c>
      <c r="M2551" s="28" t="s">
        <v>51</v>
      </c>
      <c r="N2551" s="28" t="s">
        <v>51</v>
      </c>
    </row>
    <row r="2552" spans="1:14" x14ac:dyDescent="0.15">
      <c r="A2552" s="23" t="str">
        <f>HYPERLINK("https://www.spark-marketing.ru/Card/Person/1834396", "ООО ""УСИНСК-СНАБСЕРВИС""")</f>
        <v>ООО "УСИНСК-СНАБСЕРВИС"</v>
      </c>
      <c r="B2552" s="24" t="s">
        <v>1591</v>
      </c>
      <c r="C2552" s="25">
        <v>1287264</v>
      </c>
      <c r="D2552" s="22" t="s">
        <v>4693</v>
      </c>
      <c r="E2552" s="22" t="s">
        <v>362</v>
      </c>
      <c r="F2552" s="23" t="str">
        <f>HYPERLINK("https://www.spark-marketing.ru/Card/Lot/74012552", "Оказание услуг по обеспечению питанием работников ООО «Усинск-Снабсервис» в 2020 г.")</f>
        <v>Оказание услуг по обеспечению питанием работников ООО «Усинск-Снабсервис» в 2020 г.</v>
      </c>
      <c r="G2552" s="22" t="s">
        <v>271</v>
      </c>
      <c r="H2552" s="22" t="s">
        <v>479</v>
      </c>
      <c r="I2552" s="26">
        <v>43725.641666666699</v>
      </c>
      <c r="J2552" s="28" t="s">
        <v>51</v>
      </c>
      <c r="K2552" s="28" t="s">
        <v>51</v>
      </c>
      <c r="L2552" s="28" t="s">
        <v>51</v>
      </c>
      <c r="M2552" s="28" t="s">
        <v>51</v>
      </c>
      <c r="N2552" s="28" t="s">
        <v>51</v>
      </c>
    </row>
    <row r="2553" spans="1:14" x14ac:dyDescent="0.15">
      <c r="A2553" s="23" t="str">
        <f>HYPERLINK("https://www.spark-marketing.ru/Card/Person/737290", "ГКУ «ЦБЗ ПРИ МИНЗДРАВЕ КАРЕЛИИ»")</f>
        <v>ГКУ «ЦБЗ ПРИ МИНЗДРАВЕ КАРЕЛИИ»</v>
      </c>
      <c r="B2553" s="24" t="s">
        <v>312</v>
      </c>
      <c r="C2553" s="25">
        <v>1616710.5</v>
      </c>
      <c r="D2553" s="22" t="s">
        <v>4694</v>
      </c>
      <c r="E2553" s="22" t="s">
        <v>52</v>
      </c>
      <c r="F2553" s="23" t="str">
        <f>HYPERLINK("https://www.spark-marketing.ru/Card/Lot/73569169", "Поставка лекарственного препарата  Инсулин аспарт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по...")</f>
        <v>Поставка лекарственного препарата  Инсулин аспарт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</v>
      </c>
      <c r="G2553" s="22" t="s">
        <v>59</v>
      </c>
      <c r="H2553" s="22" t="s">
        <v>314</v>
      </c>
      <c r="I2553" s="26">
        <v>43725.632638888899</v>
      </c>
      <c r="J2553" s="23" t="str">
        <f>HYPERLINK("https://www.spark-marketing.ru/Card/Person/6492462", "ООО ""ОН.К""")</f>
        <v>ООО "ОН.К"</v>
      </c>
      <c r="K2553" s="24" t="s">
        <v>2173</v>
      </c>
      <c r="L2553" s="22" t="s">
        <v>10</v>
      </c>
      <c r="M2553" s="28" t="s">
        <v>51</v>
      </c>
      <c r="N2553" s="28" t="s">
        <v>51</v>
      </c>
    </row>
    <row r="2554" spans="1:14" x14ac:dyDescent="0.15">
      <c r="A2554" s="23" t="str">
        <f>HYPERLINK("https://www.spark-marketing.ru/Card/Person/25738", "УМВД РОССИИ ПО Г. СТАРОМУ ОСКОЛУ")</f>
        <v>УМВД РОССИИ ПО Г. СТАРОМУ ОСКОЛУ</v>
      </c>
      <c r="B2554" s="24" t="s">
        <v>4695</v>
      </c>
      <c r="C2554" s="25">
        <v>409749.08</v>
      </c>
      <c r="D2554" s="22" t="s">
        <v>4696</v>
      </c>
      <c r="E2554" s="22" t="s">
        <v>51</v>
      </c>
      <c r="F2554" s="23" t="str">
        <f>HYPERLINK("https://www.spark-marketing.ru/Card/Lot/73561310", "Услуги по организации ежедневного 3-х разового питания для лиц, содержащихся в изоляторе временного содержания подозреваемых и обвиняемых УМВД России по г. Старому Осколу")</f>
        <v>Услуги по организации ежедневного 3-х разового питания для лиц, содержащихся в изоляторе временного содержания подозреваемых и обвиняемых УМВД России по г. Старому Осколу</v>
      </c>
      <c r="G2554" s="22" t="s">
        <v>696</v>
      </c>
      <c r="H2554" s="22" t="s">
        <v>4697</v>
      </c>
      <c r="I2554" s="26">
        <v>43725.65625</v>
      </c>
      <c r="J2554" s="23" t="str">
        <f>HYPERLINK("https://www.spark-marketing.ru/Card/Person/4934845", "ООО ""ЛЭК ""ФРЕЯ""")</f>
        <v>ООО "ЛЭК "ФРЕЯ"</v>
      </c>
      <c r="K2554" s="24" t="s">
        <v>4698</v>
      </c>
      <c r="L2554" s="22" t="s">
        <v>10</v>
      </c>
      <c r="M2554" s="28" t="s">
        <v>51</v>
      </c>
      <c r="N2554" s="28" t="s">
        <v>51</v>
      </c>
    </row>
    <row r="2555" spans="1:14" x14ac:dyDescent="0.15">
      <c r="A2555" s="23" t="str">
        <f>HYPERLINK("https://www.spark-marketing.ru/Card/Person/134243", "МБДОУ ""ДЕТСКИЙ САД №32""")</f>
        <v>МБДОУ "ДЕТСКИЙ САД №32"</v>
      </c>
      <c r="B2555" s="24" t="s">
        <v>4699</v>
      </c>
      <c r="C2555" s="25">
        <v>17490296</v>
      </c>
      <c r="D2555" s="22" t="s">
        <v>4700</v>
      </c>
      <c r="E2555" s="22" t="s">
        <v>48</v>
      </c>
      <c r="F2555" s="23" t="str">
        <f>HYPERLINK("https://www.spark-marketing.ru/Card/Lot/73569792", "на оказание услуг по организации горячего питания в МБДОУ №32")</f>
        <v>на оказание услуг по организации горячего питания в МБДОУ №32</v>
      </c>
      <c r="G2555" s="22" t="s">
        <v>49</v>
      </c>
      <c r="H2555" s="22" t="s">
        <v>301</v>
      </c>
      <c r="I2555" s="26">
        <v>43725.584618055596</v>
      </c>
      <c r="J2555" s="28" t="s">
        <v>51</v>
      </c>
      <c r="K2555" s="28" t="s">
        <v>51</v>
      </c>
      <c r="L2555" s="28" t="s">
        <v>51</v>
      </c>
      <c r="M2555" s="28" t="s">
        <v>51</v>
      </c>
      <c r="N2555" s="28" t="s">
        <v>51</v>
      </c>
    </row>
    <row r="2556" spans="1:14" hidden="1" outlineLevel="1" x14ac:dyDescent="0.2">
      <c r="A2556" s="23" t="str">
        <f>HYPERLINK("https://www.spark-marketing.ru/Card/Person/134243", "МБДОУ ""ДЕТСКИЙ САД №32""")</f>
        <v>МБДОУ "ДЕТСКИЙ САД №32"</v>
      </c>
      <c r="B2556" s="24" t="s">
        <v>4699</v>
      </c>
      <c r="C2556" s="25">
        <v>17490296</v>
      </c>
      <c r="D2556" s="22" t="s">
        <v>4700</v>
      </c>
      <c r="E2556" s="22" t="s">
        <v>48</v>
      </c>
      <c r="F2556" s="23" t="str">
        <f>HYPERLINK("https://www.spark-marketing.ru/Card/Lot/73569792", "на оказание услуг по организации горячего питания в МБДОУ №32")</f>
        <v>на оказание услуг по организации горячего питания в МБДОУ №32</v>
      </c>
      <c r="G2556" s="22" t="s">
        <v>49</v>
      </c>
      <c r="H2556" s="22" t="s">
        <v>301</v>
      </c>
      <c r="I2556" s="26">
        <v>43725.584618055596</v>
      </c>
      <c r="J2556" s="23" t="str">
        <f>HYPERLINK("https://www.spark-marketing.ru/Card/Person/100937", "ООО ""ВЕРТИКАЛЬ""")</f>
        <v>ООО "ВЕРТИКАЛЬ"</v>
      </c>
      <c r="K2556" s="24" t="s">
        <v>4501</v>
      </c>
      <c r="L2556" s="28" t="s">
        <v>51</v>
      </c>
      <c r="M2556" s="25">
        <v>16091072.32</v>
      </c>
      <c r="N2556" s="27">
        <v>0.08</v>
      </c>
    </row>
    <row r="2557" spans="1:14" ht="12.75" hidden="1" outlineLevel="1" x14ac:dyDescent="0.2">
      <c r="A2557" s="23" t="str">
        <f>HYPERLINK("https://www.spark-marketing.ru/Card/Person/134243", "МБДОУ ""ДЕТСКИЙ САД №32""")</f>
        <v>МБДОУ "ДЕТСКИЙ САД №32"</v>
      </c>
      <c r="B2557" s="24" t="s">
        <v>4699</v>
      </c>
      <c r="C2557" s="25">
        <v>17490296</v>
      </c>
      <c r="D2557" s="22" t="s">
        <v>4700</v>
      </c>
      <c r="E2557" s="22" t="s">
        <v>48</v>
      </c>
      <c r="F2557" s="23" t="str">
        <f>HYPERLINK("https://www.spark-marketing.ru/Card/Lot/73569792", "на оказание услуг по организации горячего питания в МБДОУ №32")</f>
        <v>на оказание услуг по организации горячего питания в МБДОУ №32</v>
      </c>
      <c r="G2557" s="22" t="s">
        <v>49</v>
      </c>
      <c r="H2557" s="22" t="s">
        <v>301</v>
      </c>
      <c r="I2557" s="26">
        <v>43725.584618055596</v>
      </c>
      <c r="J2557" s="23" t="str">
        <f>HYPERLINK("https://www.spark-marketing.ru/Card/Person/70733", "ООО ""ПЛАНЕТА ВКУСА""")</f>
        <v>ООО "ПЛАНЕТА ВКУСА"</v>
      </c>
      <c r="K2557" s="24" t="s">
        <v>4502</v>
      </c>
      <c r="L2557" s="22" t="s">
        <v>10</v>
      </c>
      <c r="M2557" s="25">
        <v>16624051</v>
      </c>
      <c r="N2557" s="27">
        <v>4.9527177813342899E-2</v>
      </c>
    </row>
    <row r="2558" spans="1:14" x14ac:dyDescent="0.15">
      <c r="A2558" s="23" t="str">
        <f>HYPERLINK("https://www.spark-marketing.ru/Card/Person/35977", "КГБУ ""МФЦ""")</f>
        <v>КГБУ "МФЦ"</v>
      </c>
      <c r="B2558" s="24" t="s">
        <v>4701</v>
      </c>
      <c r="C2558" s="25">
        <v>711362.84</v>
      </c>
      <c r="D2558" s="22" t="s">
        <v>4702</v>
      </c>
      <c r="E2558" s="22" t="s">
        <v>2150</v>
      </c>
      <c r="F2558" s="23" t="str">
        <f>HYPERLINK("https://www.spark-marketing.ru/Card/Lot/73566227", "ЭА №47119/19 ""Оказание транспортно-экспедиционных услуг для нужд структурных подразделений КГБУ ""МФЦ"" расположенных в г. Красноярске""")</f>
        <v>ЭА №47119/19 "Оказание транспортно-экспедиционных услуг для нужд структурных подразделений КГБУ "МФЦ" расположенных в г. Красноярске"</v>
      </c>
      <c r="G2558" s="22" t="s">
        <v>281</v>
      </c>
      <c r="H2558" s="22" t="s">
        <v>1036</v>
      </c>
      <c r="I2558" s="26">
        <v>43725.59375</v>
      </c>
      <c r="J2558" s="28" t="s">
        <v>51</v>
      </c>
      <c r="K2558" s="28" t="s">
        <v>51</v>
      </c>
      <c r="L2558" s="28" t="s">
        <v>51</v>
      </c>
      <c r="M2558" s="28" t="s">
        <v>51</v>
      </c>
      <c r="N2558" s="28" t="s">
        <v>51</v>
      </c>
    </row>
    <row r="2559" spans="1:14" hidden="1" outlineLevel="1" x14ac:dyDescent="0.2">
      <c r="A2559" s="23" t="str">
        <f>HYPERLINK("https://www.spark-marketing.ru/Card/Person/35977", "КГБУ ""МФЦ""")</f>
        <v>КГБУ "МФЦ"</v>
      </c>
      <c r="B2559" s="24" t="s">
        <v>4701</v>
      </c>
      <c r="C2559" s="25">
        <v>711362.84</v>
      </c>
      <c r="D2559" s="22" t="s">
        <v>4702</v>
      </c>
      <c r="E2559" s="22" t="s">
        <v>2150</v>
      </c>
      <c r="F2559" s="23" t="str">
        <f>HYPERLINK("https://www.spark-marketing.ru/Card/Lot/73566227", "ЭА №47119/19 ""Оказание транспортно-экспедиционных услуг для нужд структурных подразделений КГБУ ""МФЦ"" расположенных в г. Красноярске""")</f>
        <v>ЭА №47119/19 "Оказание транспортно-экспедиционных услуг для нужд структурных подразделений КГБУ "МФЦ" расположенных в г. Красноярске"</v>
      </c>
      <c r="G2559" s="22" t="s">
        <v>281</v>
      </c>
      <c r="H2559" s="22" t="s">
        <v>1036</v>
      </c>
      <c r="I2559" s="26">
        <v>43725.59375</v>
      </c>
      <c r="J2559" s="23" t="str">
        <f>HYPERLINK("https://www.spark-marketing.ru/Card/Person/6687784", "ООО ""ПРОМТЕХСНАБ""")</f>
        <v>ООО "ПРОМТЕХСНАБ"</v>
      </c>
      <c r="K2559" s="24" t="s">
        <v>4703</v>
      </c>
      <c r="L2559" s="28" t="s">
        <v>51</v>
      </c>
      <c r="M2559" s="25">
        <v>381575.66</v>
      </c>
      <c r="N2559" s="27">
        <v>0.46359911068731113</v>
      </c>
    </row>
    <row r="2560" spans="1:14" ht="12.75" hidden="1" outlineLevel="1" x14ac:dyDescent="0.2">
      <c r="A2560" s="23" t="str">
        <f>HYPERLINK("https://www.spark-marketing.ru/Card/Person/35977", "КГБУ ""МФЦ""")</f>
        <v>КГБУ "МФЦ"</v>
      </c>
      <c r="B2560" s="24" t="s">
        <v>4701</v>
      </c>
      <c r="C2560" s="25">
        <v>711362.84</v>
      </c>
      <c r="D2560" s="22" t="s">
        <v>4702</v>
      </c>
      <c r="E2560" s="22" t="s">
        <v>2150</v>
      </c>
      <c r="F2560" s="23" t="str">
        <f>HYPERLINK("https://www.spark-marketing.ru/Card/Lot/73566227", "ЭА №47119/19 ""Оказание транспортно-экспедиционных услуг для нужд структурных подразделений КГБУ ""МФЦ"" расположенных в г. Красноярске""")</f>
        <v>ЭА №47119/19 "Оказание транспортно-экспедиционных услуг для нужд структурных подразделений КГБУ "МФЦ" расположенных в г. Красноярске"</v>
      </c>
      <c r="G2560" s="22" t="s">
        <v>281</v>
      </c>
      <c r="H2560" s="22" t="s">
        <v>1036</v>
      </c>
      <c r="I2560" s="26">
        <v>43725.59375</v>
      </c>
      <c r="J2560" s="23" t="str">
        <f>HYPERLINK("https://www.spark-marketing.ru/Card/Person/6395712", "Торгашев Сергей Евгеньевич")</f>
        <v>Торгашев Сергей Евгеньевич</v>
      </c>
      <c r="K2560" s="24" t="s">
        <v>4704</v>
      </c>
      <c r="L2560" s="22" t="s">
        <v>10</v>
      </c>
      <c r="M2560" s="25">
        <v>378018.84</v>
      </c>
      <c r="N2560" s="27">
        <v>0.4685991188406749</v>
      </c>
    </row>
    <row r="2561" spans="1:14" x14ac:dyDescent="0.15">
      <c r="A2561" s="23" t="str">
        <f>HYPERLINK("https://www.spark-marketing.ru/Card/Person/737290", "ГКУ «ЦБЗ ПРИ МИНЗДРАВЕ КАРЕЛИИ»")</f>
        <v>ГКУ «ЦБЗ ПРИ МИНЗДРАВЕ КАРЕЛИИ»</v>
      </c>
      <c r="B2561" s="24" t="s">
        <v>312</v>
      </c>
      <c r="C2561" s="25">
        <v>3750148.8</v>
      </c>
      <c r="D2561" s="22" t="s">
        <v>4705</v>
      </c>
      <c r="E2561" s="22" t="s">
        <v>52</v>
      </c>
      <c r="F2561" s="23" t="str">
        <f>HYPERLINK("https://www.spark-marketing.ru/Card/Lot/73569809", "Поставка лекарственного препарата Инсулин аспарт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...")</f>
        <v>Поставка лекарственного препарата Инсулин аспарт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...</v>
      </c>
      <c r="G2561" s="22" t="s">
        <v>59</v>
      </c>
      <c r="H2561" s="22" t="s">
        <v>314</v>
      </c>
      <c r="I2561" s="26">
        <v>43725.6100925926</v>
      </c>
      <c r="J2561" s="23" t="str">
        <f>HYPERLINK("https://www.spark-marketing.ru/Card/Person/6492462", "ООО ""ОН.К""")</f>
        <v>ООО "ОН.К"</v>
      </c>
      <c r="K2561" s="24" t="s">
        <v>2173</v>
      </c>
      <c r="L2561" s="22" t="s">
        <v>10</v>
      </c>
      <c r="M2561" s="28" t="s">
        <v>51</v>
      </c>
      <c r="N2561" s="28" t="s">
        <v>51</v>
      </c>
    </row>
    <row r="2562" spans="1:14" x14ac:dyDescent="0.15">
      <c r="A2562" s="23" t="str">
        <f>HYPERLINK("https://www.spark-marketing.ru/Card/Person/1007928", "ФКУ ""ЦУКС ГУ МЧС РОССИИ ПО ОРЕНБУРГСКОЙ ОБЛАСТИ""")</f>
        <v>ФКУ "ЦУКС ГУ МЧС РОССИИ ПО ОРЕНБУРГСКОЙ ОБЛАСТИ"</v>
      </c>
      <c r="B2562" s="24" t="s">
        <v>2712</v>
      </c>
      <c r="C2562" s="25">
        <v>146150</v>
      </c>
      <c r="D2562" s="22" t="s">
        <v>4706</v>
      </c>
      <c r="E2562" s="22" t="s">
        <v>96</v>
      </c>
      <c r="F2562" s="23" t="str">
        <f>HYPERLINK("https://www.spark-marketing.ru/Card/Lot/73538738", "Организация услуг по организации питания (приготовления и доставки), 370 шт")</f>
        <v>Организация услуг по организации питания (приготовления и доставки), 370 шт</v>
      </c>
      <c r="G2562" s="22" t="s">
        <v>132</v>
      </c>
      <c r="H2562" s="22" t="s">
        <v>587</v>
      </c>
      <c r="I2562" s="26">
        <v>43725.608344907399</v>
      </c>
      <c r="J2562" s="28" t="s">
        <v>51</v>
      </c>
      <c r="K2562" s="28" t="s">
        <v>51</v>
      </c>
      <c r="L2562" s="28" t="s">
        <v>51</v>
      </c>
      <c r="M2562" s="28" t="s">
        <v>51</v>
      </c>
      <c r="N2562" s="28" t="s">
        <v>51</v>
      </c>
    </row>
    <row r="2563" spans="1:14" x14ac:dyDescent="0.15">
      <c r="A2563" s="23" t="str">
        <f>HYPERLINK("https://www.spark-marketing.ru/Card/Person/44010", "МО МВД РОССИИ ""ЮРЬЯНСКИЙ""")</f>
        <v>МО МВД РОССИИ "ЮРЬЯНСКИЙ"</v>
      </c>
      <c r="B2563" s="24" t="s">
        <v>4707</v>
      </c>
      <c r="C2563" s="25">
        <v>959310</v>
      </c>
      <c r="D2563" s="22" t="s">
        <v>4708</v>
      </c>
      <c r="E2563" s="22" t="s">
        <v>48</v>
      </c>
      <c r="F2563" s="23" t="str">
        <f>HYPERLINK("https://www.spark-marketing.ru/Card/Lot/73564376", "оказание услуг  по организации питания лиц, содержащихся в ИВС и комнатах для содержания задержанных лиц (СПСЗЛ)  для государственных нужд МО МВД России «Юрьянский»")</f>
        <v>оказание услуг  по организации питания лиц, содержащихся в ИВС и комнатах для содержания задержанных лиц (СПСЗЛ)  для государственных нужд МО МВД России «Юрьянский»</v>
      </c>
      <c r="G2563" s="22" t="s">
        <v>224</v>
      </c>
      <c r="H2563" s="22" t="s">
        <v>4397</v>
      </c>
      <c r="I2563" s="26">
        <v>43725.598611111098</v>
      </c>
      <c r="J2563" s="23" t="str">
        <f>HYPERLINK("https://www.spark-marketing.ru/Card/Person/1246576", "Новгородцев Сергей Ефимович")</f>
        <v>Новгородцев Сергей Ефимович</v>
      </c>
      <c r="K2563" s="24" t="s">
        <v>4709</v>
      </c>
      <c r="L2563" s="22" t="s">
        <v>10</v>
      </c>
      <c r="M2563" s="28" t="s">
        <v>51</v>
      </c>
      <c r="N2563" s="28" t="s">
        <v>51</v>
      </c>
    </row>
    <row r="2564" spans="1:14" x14ac:dyDescent="0.15">
      <c r="A2564" s="23" t="str">
        <f>HYPERLINK("https://www.spark-marketing.ru/Card/Person/49875", "МО МВД РОССИИ ""ТОБОЛЬСКИЙ""")</f>
        <v>МО МВД РОССИИ "ТОБОЛЬСКИЙ"</v>
      </c>
      <c r="B2564" s="24" t="s">
        <v>4710</v>
      </c>
      <c r="C2564" s="25">
        <v>3242295</v>
      </c>
      <c r="D2564" s="22" t="s">
        <v>4711</v>
      </c>
      <c r="E2564" s="22" t="s">
        <v>48</v>
      </c>
      <c r="F2564" s="23" t="str">
        <f>HYPERLINK("https://www.spark-marketing.ru/Card/Lot/73569728", "Оказание услуг по обеспечению трехразовым питанием лиц, содержащихся в изоляторе временного содержания МО МВД России ""Тобольский""")</f>
        <v>Оказание услуг по обеспечению трехразовым питанием лиц, содержащихся в изоляторе временного содержания МО МВД России "Тобольский"</v>
      </c>
      <c r="G2564" s="22" t="s">
        <v>766</v>
      </c>
      <c r="H2564" s="22" t="s">
        <v>4712</v>
      </c>
      <c r="I2564" s="26">
        <v>43725.610081018502</v>
      </c>
      <c r="J2564" s="23" t="str">
        <f>HYPERLINK("https://www.spark-marketing.ru/Card/Person/439397", "ФКУ ИК-13 УФСИН РОССИИ ПО ТЮМЕНСКОЙ ОБЛАСТИ")</f>
        <v>ФКУ ИК-13 УФСИН РОССИИ ПО ТЮМЕНСКОЙ ОБЛАСТИ</v>
      </c>
      <c r="K2564" s="24" t="s">
        <v>4713</v>
      </c>
      <c r="L2564" s="22" t="s">
        <v>10</v>
      </c>
      <c r="M2564" s="28" t="s">
        <v>51</v>
      </c>
      <c r="N2564" s="28" t="s">
        <v>51</v>
      </c>
    </row>
    <row r="2565" spans="1:14" x14ac:dyDescent="0.15">
      <c r="A2565" s="23" t="str">
        <f>HYPERLINK("https://www.spark-marketing.ru/Card/Person/737290", "ГКУ «ЦБЗ ПРИ МИНЗДРАВЕ КАРЕЛИИ»")</f>
        <v>ГКУ «ЦБЗ ПРИ МИНЗДРАВЕ КАРЕЛИИ»</v>
      </c>
      <c r="B2565" s="24" t="s">
        <v>312</v>
      </c>
      <c r="C2565" s="25">
        <v>618735</v>
      </c>
      <c r="D2565" s="22" t="s">
        <v>4714</v>
      </c>
      <c r="E2565" s="22" t="s">
        <v>52</v>
      </c>
      <c r="F2565" s="23" t="str">
        <f>HYPERLINK("https://www.spark-marketing.ru/Card/Lot/73563220", "Поставка лекарственного препарата Инсулин деглудек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п...")</f>
        <v>Поставка лекарственного препарата Инсулин деглудек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п...</v>
      </c>
      <c r="G2565" s="22" t="s">
        <v>59</v>
      </c>
      <c r="H2565" s="22" t="s">
        <v>314</v>
      </c>
      <c r="I2565" s="26">
        <v>43725.609722222202</v>
      </c>
      <c r="J2565" s="23" t="str">
        <f>HYPERLINK("https://www.spark-marketing.ru/Card/Person/6492462", "ООО ""ОН.К""")</f>
        <v>ООО "ОН.К"</v>
      </c>
      <c r="K2565" s="24" t="s">
        <v>2173</v>
      </c>
      <c r="L2565" s="22" t="s">
        <v>10</v>
      </c>
      <c r="M2565" s="28" t="s">
        <v>51</v>
      </c>
      <c r="N2565" s="28" t="s">
        <v>51</v>
      </c>
    </row>
    <row r="2566" spans="1:14" x14ac:dyDescent="0.15">
      <c r="A2566" s="23" t="str">
        <f>HYPERLINK("https://www.spark-marketing.ru/Card/Person/737290", "ГКУ «ЦБЗ ПРИ МИНЗДРАВЕ КАРЕЛИИ»")</f>
        <v>ГКУ «ЦБЗ ПРИ МИНЗДРАВЕ КАРЕЛИИ»</v>
      </c>
      <c r="B2566" s="24" t="s">
        <v>312</v>
      </c>
      <c r="C2566" s="25">
        <v>992395.8</v>
      </c>
      <c r="D2566" s="22" t="s">
        <v>4715</v>
      </c>
      <c r="E2566" s="22" t="s">
        <v>52</v>
      </c>
      <c r="F2566" s="23" t="str">
        <f>HYPERLINK("https://www.spark-marketing.ru/Card/Lot/73565249", "Поставка лекарственного препарата Гликлазид 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Гликлазид 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2566" s="22" t="s">
        <v>59</v>
      </c>
      <c r="H2566" s="22" t="s">
        <v>314</v>
      </c>
      <c r="I2566" s="26">
        <v>43725.609722222202</v>
      </c>
      <c r="J2566" s="28" t="s">
        <v>51</v>
      </c>
      <c r="K2566" s="28" t="s">
        <v>51</v>
      </c>
      <c r="L2566" s="28" t="s">
        <v>51</v>
      </c>
      <c r="M2566" s="28" t="s">
        <v>51</v>
      </c>
      <c r="N2566" s="28" t="s">
        <v>51</v>
      </c>
    </row>
    <row r="2567" spans="1:14" hidden="1" outlineLevel="1" x14ac:dyDescent="0.2">
      <c r="A2567" s="23" t="str">
        <f>HYPERLINK("https://www.spark-marketing.ru/Card/Person/737290", "ГКУ «ЦБЗ ПРИ МИНЗДРАВЕ КАРЕЛИИ»")</f>
        <v>ГКУ «ЦБЗ ПРИ МИНЗДРАВЕ КАРЕЛИИ»</v>
      </c>
      <c r="B2567" s="24" t="s">
        <v>312</v>
      </c>
      <c r="C2567" s="25">
        <v>992395.8</v>
      </c>
      <c r="D2567" s="22" t="s">
        <v>4715</v>
      </c>
      <c r="E2567" s="22" t="s">
        <v>52</v>
      </c>
      <c r="F2567" s="23" t="str">
        <f>HYPERLINK("https://www.spark-marketing.ru/Card/Lot/73565249", "Поставка лекарственного препарата Гликлазид 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Гликлазид 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2567" s="22" t="s">
        <v>59</v>
      </c>
      <c r="H2567" s="22" t="s">
        <v>314</v>
      </c>
      <c r="I2567" s="26">
        <v>43725.609722222202</v>
      </c>
      <c r="J2567" s="23" t="str">
        <f>HYPERLINK("https://www.spark-marketing.ru/Card/Person/5915525", "ООО ""МЕДФАРМ""")</f>
        <v>ООО "МЕДФАРМ"</v>
      </c>
      <c r="K2567" s="24" t="s">
        <v>2340</v>
      </c>
      <c r="L2567" s="28" t="s">
        <v>51</v>
      </c>
      <c r="M2567" s="25">
        <v>957661.94</v>
      </c>
      <c r="N2567" s="27">
        <v>3.5000007053637268E-2</v>
      </c>
    </row>
    <row r="2568" spans="1:14" ht="12.75" hidden="1" outlineLevel="1" x14ac:dyDescent="0.2">
      <c r="A2568" s="23" t="str">
        <f>HYPERLINK("https://www.spark-marketing.ru/Card/Person/737290", "ГКУ «ЦБЗ ПРИ МИНЗДРАВЕ КАРЕЛИИ»")</f>
        <v>ГКУ «ЦБЗ ПРИ МИНЗДРАВЕ КАРЕЛИИ»</v>
      </c>
      <c r="B2568" s="24" t="s">
        <v>312</v>
      </c>
      <c r="C2568" s="25">
        <v>992395.8</v>
      </c>
      <c r="D2568" s="22" t="s">
        <v>4715</v>
      </c>
      <c r="E2568" s="22" t="s">
        <v>52</v>
      </c>
      <c r="F2568" s="23" t="str">
        <f>HYPERLINK("https://www.spark-marketing.ru/Card/Lot/73565249", "Поставка лекарственного препарата Гликлазид 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Гликлазид 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2568" s="22" t="s">
        <v>59</v>
      </c>
      <c r="H2568" s="22" t="s">
        <v>314</v>
      </c>
      <c r="I2568" s="26">
        <v>43725.609722222202</v>
      </c>
      <c r="J2568" s="23" t="str">
        <f>HYPERLINK("https://www.spark-marketing.ru/Card/Person/6231467", "ООО ""ОБЛФАРМ АЛЬЯНС""")</f>
        <v>ООО "ОБЛФАРМ АЛЬЯНС"</v>
      </c>
      <c r="K2568" s="24" t="s">
        <v>2175</v>
      </c>
      <c r="L2568" s="22" t="s">
        <v>10</v>
      </c>
      <c r="M2568" s="25">
        <v>957661.94</v>
      </c>
      <c r="N2568" s="27">
        <v>3.5000007053637268E-2</v>
      </c>
    </row>
    <row r="2569" spans="1:14" hidden="1" outlineLevel="1" x14ac:dyDescent="0.2">
      <c r="A2569" s="23" t="str">
        <f>HYPERLINK("https://www.spark-marketing.ru/Card/Person/737290", "ГКУ «ЦБЗ ПРИ МИНЗДРАВЕ КАРЕЛИИ»")</f>
        <v>ГКУ «ЦБЗ ПРИ МИНЗДРАВЕ КАРЕЛИИ»</v>
      </c>
      <c r="B2569" s="24" t="s">
        <v>312</v>
      </c>
      <c r="C2569" s="25">
        <v>992395.8</v>
      </c>
      <c r="D2569" s="22" t="s">
        <v>4715</v>
      </c>
      <c r="E2569" s="22" t="s">
        <v>52</v>
      </c>
      <c r="F2569" s="23" t="str">
        <f>HYPERLINK("https://www.spark-marketing.ru/Card/Lot/73565249", "Поставка лекарственного препарата Гликлазид 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Гликлазид 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2569" s="22" t="s">
        <v>59</v>
      </c>
      <c r="H2569" s="22" t="s">
        <v>314</v>
      </c>
      <c r="I2569" s="26">
        <v>43725.609722222202</v>
      </c>
      <c r="J2569" s="23" t="str">
        <f>HYPERLINK("https://www.spark-marketing.ru/Card/Person/1607891", "ООО ""МОСОБЛФАРМ""")</f>
        <v>ООО "МОСОБЛФАРМ"</v>
      </c>
      <c r="K2569" s="24" t="s">
        <v>2523</v>
      </c>
      <c r="L2569" s="28" t="s">
        <v>51</v>
      </c>
      <c r="M2569" s="25">
        <v>962623.92</v>
      </c>
      <c r="N2569" s="27">
        <v>3.0000006045974803E-2</v>
      </c>
    </row>
    <row r="2570" spans="1:14" x14ac:dyDescent="0.15">
      <c r="A2570" s="23" t="str">
        <f>HYPERLINK("https://www.spark-marketing.ru/Card/Person/141310", "ОМВД РОССИИ ПО Г. МАГАДАНУ")</f>
        <v>ОМВД РОССИИ ПО Г. МАГАДАНУ</v>
      </c>
      <c r="B2570" s="24" t="s">
        <v>3688</v>
      </c>
      <c r="C2570" s="25">
        <v>2047125</v>
      </c>
      <c r="D2570" s="22" t="s">
        <v>4716</v>
      </c>
      <c r="E2570" s="22" t="s">
        <v>48</v>
      </c>
      <c r="F2570" s="23" t="str">
        <f>HYPERLINK("https://www.spark-marketing.ru/Card/Lot/73524160", "Оказание услуг по организации горячего питания для лиц содержащихся в Изоляторе временного содержания и лиц, арестованных в административном порядке, содержащихся в Специальном приёмнике ОМВД России по г. Магадану")</f>
        <v>Оказание услуг по организации горячего питания для лиц содержащихся в Изоляторе временного содержания и лиц, арестованных в административном порядке, содержащихся в Специальном приёмнике ОМВД России по г. Магадану</v>
      </c>
      <c r="G2570" s="22" t="s">
        <v>548</v>
      </c>
      <c r="H2570" s="22" t="s">
        <v>748</v>
      </c>
      <c r="I2570" s="26">
        <v>43725.609027777798</v>
      </c>
      <c r="J2570" s="23" t="str">
        <f>HYPERLINK("https://www.spark-marketing.ru/Card/Person/4438724", "Пыткин Артур Юрьевич")</f>
        <v>Пыткин Артур Юрьевич</v>
      </c>
      <c r="K2570" s="24" t="s">
        <v>3690</v>
      </c>
      <c r="L2570" s="22" t="s">
        <v>10</v>
      </c>
      <c r="M2570" s="28" t="s">
        <v>51</v>
      </c>
      <c r="N2570" s="28" t="s">
        <v>51</v>
      </c>
    </row>
    <row r="2571" spans="1:14" x14ac:dyDescent="0.15">
      <c r="A2571" s="23" t="str">
        <f>HYPERLINK("https://www.spark-marketing.ru/Card/Person/60821", "МБОУ СОШ № 2 ИМ. С.И.РУДЕНКО П. МОНИНО ЩМР МО")</f>
        <v>МБОУ СОШ № 2 ИМ. С.И.РУДЕНКО П. МОНИНО ЩМР МО</v>
      </c>
      <c r="B2571" s="24" t="s">
        <v>4717</v>
      </c>
      <c r="C2571" s="25">
        <v>1307040</v>
      </c>
      <c r="D2571" s="22" t="s">
        <v>4718</v>
      </c>
      <c r="E2571" s="22" t="s">
        <v>48</v>
      </c>
      <c r="F2571" s="23" t="str">
        <f>HYPERLINK("https://www.spark-marketing.ru/Card/Lot/73565167",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571" s="22" t="s">
        <v>49</v>
      </c>
      <c r="H2571" s="22" t="s">
        <v>4644</v>
      </c>
      <c r="I2571" s="26">
        <v>43725.586805555598</v>
      </c>
      <c r="J2571" s="28" t="s">
        <v>51</v>
      </c>
      <c r="K2571" s="28" t="s">
        <v>51</v>
      </c>
      <c r="L2571" s="28" t="s">
        <v>51</v>
      </c>
      <c r="M2571" s="28" t="s">
        <v>51</v>
      </c>
      <c r="N2571" s="28" t="s">
        <v>51</v>
      </c>
    </row>
    <row r="2572" spans="1:14" x14ac:dyDescent="0.15">
      <c r="A2572" s="23" t="str">
        <f>HYPERLINK("https://www.spark-marketing.ru/Card/Person/68984", "КГБУЗ ""НД""")</f>
        <v>КГБУЗ "НД"</v>
      </c>
      <c r="B2572" s="24" t="s">
        <v>4719</v>
      </c>
      <c r="C2572" s="25">
        <v>8511696</v>
      </c>
      <c r="D2572" s="22" t="s">
        <v>4720</v>
      </c>
      <c r="E2572" s="22" t="s">
        <v>48</v>
      </c>
      <c r="F2572" s="23" t="str">
        <f>HYPERLINK("https://www.spark-marketing.ru/Card/Lot/73527299", "Оказание услуг по организации лечебного питания")</f>
        <v>Оказание услуг по организации лечебного питания</v>
      </c>
      <c r="G2572" s="22" t="s">
        <v>1096</v>
      </c>
      <c r="H2572" s="22" t="s">
        <v>4299</v>
      </c>
      <c r="I2572" s="26">
        <v>43725.611111111102</v>
      </c>
      <c r="J2572" s="23" t="str">
        <f>HYPERLINK("https://www.spark-marketing.ru/Card/Person/1222004", "Лавренюк Инна Валерьевна")</f>
        <v>Лавренюк Инна Валерьевна</v>
      </c>
      <c r="K2572" s="24" t="s">
        <v>4721</v>
      </c>
      <c r="L2572" s="22" t="s">
        <v>10</v>
      </c>
      <c r="M2572" s="28" t="s">
        <v>51</v>
      </c>
      <c r="N2572" s="28" t="s">
        <v>51</v>
      </c>
    </row>
    <row r="2573" spans="1:14" x14ac:dyDescent="0.15">
      <c r="A2573" s="23" t="str">
        <f>HYPERLINK("https://www.spark-marketing.ru/Card/Person/82755", "МБДОУ ""ДЕТСКИЙ САД № 14""")</f>
        <v>МБДОУ "ДЕТСКИЙ САД № 14"</v>
      </c>
      <c r="B2573" s="24" t="s">
        <v>4722</v>
      </c>
      <c r="C2573" s="25">
        <v>19659568</v>
      </c>
      <c r="D2573" s="22" t="s">
        <v>4723</v>
      </c>
      <c r="E2573" s="22" t="s">
        <v>48</v>
      </c>
      <c r="F2573" s="23" t="str">
        <f>HYPERLINK("https://www.spark-marketing.ru/Card/Lot/73569772",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2573" s="22" t="s">
        <v>49</v>
      </c>
      <c r="H2573" s="22" t="s">
        <v>301</v>
      </c>
      <c r="I2573" s="26">
        <v>43725.540416666699</v>
      </c>
      <c r="J2573" s="28" t="s">
        <v>51</v>
      </c>
      <c r="K2573" s="28" t="s">
        <v>51</v>
      </c>
      <c r="L2573" s="28" t="s">
        <v>51</v>
      </c>
      <c r="M2573" s="28" t="s">
        <v>51</v>
      </c>
      <c r="N2573" s="28" t="s">
        <v>51</v>
      </c>
    </row>
    <row r="2574" spans="1:14" hidden="1" outlineLevel="1" x14ac:dyDescent="0.2">
      <c r="A2574" s="23" t="str">
        <f>HYPERLINK("https://www.spark-marketing.ru/Card/Person/82755", "МБДОУ ""ДЕТСКИЙ САД № 14""")</f>
        <v>МБДОУ "ДЕТСКИЙ САД № 14"</v>
      </c>
      <c r="B2574" s="24" t="s">
        <v>4722</v>
      </c>
      <c r="C2574" s="25">
        <v>19659568</v>
      </c>
      <c r="D2574" s="22" t="s">
        <v>4723</v>
      </c>
      <c r="E2574" s="22" t="s">
        <v>48</v>
      </c>
      <c r="F2574" s="23" t="str">
        <f>HYPERLINK("https://www.spark-marketing.ru/Card/Lot/73569772",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2574" s="22" t="s">
        <v>49</v>
      </c>
      <c r="H2574" s="22" t="s">
        <v>301</v>
      </c>
      <c r="I2574" s="26">
        <v>43725.540416666699</v>
      </c>
      <c r="J2574" s="23" t="str">
        <f>HYPERLINK("https://www.spark-marketing.ru/Card/Person/100937", "ООО ""ВЕРТИКАЛЬ""")</f>
        <v>ООО "ВЕРТИКАЛЬ"</v>
      </c>
      <c r="K2574" s="24" t="s">
        <v>4501</v>
      </c>
      <c r="L2574" s="28" t="s">
        <v>51</v>
      </c>
      <c r="M2574" s="25">
        <v>17693611.199999999</v>
      </c>
      <c r="N2574" s="27">
        <v>0.1</v>
      </c>
    </row>
    <row r="2575" spans="1:14" ht="12.75" hidden="1" outlineLevel="1" x14ac:dyDescent="0.2">
      <c r="A2575" s="23" t="str">
        <f>HYPERLINK("https://www.spark-marketing.ru/Card/Person/82755", "МБДОУ ""ДЕТСКИЙ САД № 14""")</f>
        <v>МБДОУ "ДЕТСКИЙ САД № 14"</v>
      </c>
      <c r="B2575" s="24" t="s">
        <v>4722</v>
      </c>
      <c r="C2575" s="25">
        <v>19659568</v>
      </c>
      <c r="D2575" s="22" t="s">
        <v>4723</v>
      </c>
      <c r="E2575" s="22" t="s">
        <v>48</v>
      </c>
      <c r="F2575" s="23" t="str">
        <f>HYPERLINK("https://www.spark-marketing.ru/Card/Lot/73569772",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2575" s="22" t="s">
        <v>49</v>
      </c>
      <c r="H2575" s="22" t="s">
        <v>301</v>
      </c>
      <c r="I2575" s="26">
        <v>43725.540416666699</v>
      </c>
      <c r="J2575" s="23" t="str">
        <f>HYPERLINK("https://www.spark-marketing.ru/Card/Person/70733", "ООО ""ПЛАНЕТА ВКУСА""")</f>
        <v>ООО "ПЛАНЕТА ВКУСА"</v>
      </c>
      <c r="K2575" s="24" t="s">
        <v>4502</v>
      </c>
      <c r="L2575" s="22" t="s">
        <v>10</v>
      </c>
      <c r="M2575" s="25">
        <v>18657683</v>
      </c>
      <c r="N2575" s="27">
        <v>5.0961699667052704E-2</v>
      </c>
    </row>
    <row r="2576" spans="1:14" x14ac:dyDescent="0.15">
      <c r="A2576" s="23" t="str">
        <f>HYPERLINK("https://www.spark-marketing.ru/Card/Person/101924", "МБОУ КРАСНОЗНАМЕНСКАЯ СОШ П. КРАСНОЗНАМЕНСКИЙ ЩМР МО")</f>
        <v>МБОУ КРАСНОЗНАМЕНСКАЯ СОШ П. КРАСНОЗНАМЕНСКИЙ ЩМР МО</v>
      </c>
      <c r="B2576" s="24" t="s">
        <v>4724</v>
      </c>
      <c r="C2576" s="25">
        <v>2993760</v>
      </c>
      <c r="D2576" s="22" t="s">
        <v>4725</v>
      </c>
      <c r="E2576" s="22" t="s">
        <v>48</v>
      </c>
      <c r="F2576" s="23" t="str">
        <f>HYPERLINK("https://www.spark-marketing.ru/Card/Lot/73569692",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576" s="22" t="s">
        <v>49</v>
      </c>
      <c r="H2576" s="22" t="s">
        <v>4644</v>
      </c>
      <c r="I2576" s="26">
        <v>43725.533020833303</v>
      </c>
      <c r="J2576" s="28" t="s">
        <v>51</v>
      </c>
      <c r="K2576" s="28" t="s">
        <v>51</v>
      </c>
      <c r="L2576" s="28" t="s">
        <v>51</v>
      </c>
      <c r="M2576" s="28" t="s">
        <v>51</v>
      </c>
      <c r="N2576" s="28" t="s">
        <v>51</v>
      </c>
    </row>
    <row r="2577" spans="1:14" x14ac:dyDescent="0.15">
      <c r="A2577" s="23" t="str">
        <f>HYPERLINK("https://www.spark-marketing.ru/Card/Person/18481", "ФГУП ""РОСРАО""")</f>
        <v>ФГУП "РОСРАО"</v>
      </c>
      <c r="B2577" s="24" t="s">
        <v>2882</v>
      </c>
      <c r="C2577" s="25">
        <v>299800</v>
      </c>
      <c r="D2577" s="22" t="s">
        <v>4726</v>
      </c>
      <c r="E2577" s="22" t="s">
        <v>48</v>
      </c>
      <c r="F2577" s="23" t="str">
        <f>HYPERLINK("https://www.spark-marketing.ru/Card/Lot/73535087",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2577" s="22" t="s">
        <v>162</v>
      </c>
      <c r="H2577" s="22" t="s">
        <v>1620</v>
      </c>
      <c r="I2577" s="26">
        <v>43725.528703703698</v>
      </c>
      <c r="J2577" s="28" t="s">
        <v>51</v>
      </c>
      <c r="K2577" s="28" t="s">
        <v>51</v>
      </c>
      <c r="L2577" s="28" t="s">
        <v>51</v>
      </c>
      <c r="M2577" s="28" t="s">
        <v>51</v>
      </c>
      <c r="N2577" s="28" t="s">
        <v>51</v>
      </c>
    </row>
    <row r="2578" spans="1:14" x14ac:dyDescent="0.15">
      <c r="A2578" s="23" t="str">
        <f>HYPERLINK("https://www.spark-marketing.ru/Card/Person/83824", "МБДОУ ""ДЕТСКИЙ САД №15""")</f>
        <v>МБДОУ "ДЕТСКИЙ САД №15"</v>
      </c>
      <c r="B2578" s="24" t="s">
        <v>4727</v>
      </c>
      <c r="C2578" s="25">
        <v>17115835</v>
      </c>
      <c r="D2578" s="22" t="s">
        <v>4728</v>
      </c>
      <c r="E2578" s="22" t="s">
        <v>48</v>
      </c>
      <c r="F2578" s="23" t="str">
        <f>HYPERLINK("https://www.spark-marketing.ru/Card/Lot/73569771",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2578" s="22" t="s">
        <v>49</v>
      </c>
      <c r="H2578" s="22" t="s">
        <v>301</v>
      </c>
      <c r="I2578" s="26">
        <v>43725.540219907401</v>
      </c>
      <c r="J2578" s="28" t="s">
        <v>51</v>
      </c>
      <c r="K2578" s="28" t="s">
        <v>51</v>
      </c>
      <c r="L2578" s="28" t="s">
        <v>51</v>
      </c>
      <c r="M2578" s="28" t="s">
        <v>51</v>
      </c>
      <c r="N2578" s="28" t="s">
        <v>51</v>
      </c>
    </row>
    <row r="2579" spans="1:14" hidden="1" outlineLevel="1" x14ac:dyDescent="0.2">
      <c r="A2579" s="23" t="str">
        <f>HYPERLINK("https://www.spark-marketing.ru/Card/Person/83824", "МБДОУ ""ДЕТСКИЙ САД №15""")</f>
        <v>МБДОУ "ДЕТСКИЙ САД №15"</v>
      </c>
      <c r="B2579" s="24" t="s">
        <v>4727</v>
      </c>
      <c r="C2579" s="25">
        <v>17115835</v>
      </c>
      <c r="D2579" s="22" t="s">
        <v>4728</v>
      </c>
      <c r="E2579" s="22" t="s">
        <v>48</v>
      </c>
      <c r="F2579" s="23" t="str">
        <f>HYPERLINK("https://www.spark-marketing.ru/Card/Lot/73569771",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2579" s="22" t="s">
        <v>49</v>
      </c>
      <c r="H2579" s="22" t="s">
        <v>301</v>
      </c>
      <c r="I2579" s="26">
        <v>43725.540219907401</v>
      </c>
      <c r="J2579" s="23" t="str">
        <f>HYPERLINK("https://www.spark-marketing.ru/Card/Person/100937", "ООО ""ВЕРТИКАЛЬ""")</f>
        <v>ООО "ВЕРТИКАЛЬ"</v>
      </c>
      <c r="K2579" s="24" t="s">
        <v>4501</v>
      </c>
      <c r="L2579" s="28" t="s">
        <v>51</v>
      </c>
      <c r="M2579" s="25">
        <v>15746568.199999999</v>
      </c>
      <c r="N2579" s="27">
        <v>0.08</v>
      </c>
    </row>
    <row r="2580" spans="1:14" ht="12.75" hidden="1" outlineLevel="1" x14ac:dyDescent="0.2">
      <c r="A2580" s="23" t="str">
        <f>HYPERLINK("https://www.spark-marketing.ru/Card/Person/83824", "МБДОУ ""ДЕТСКИЙ САД №15""")</f>
        <v>МБДОУ "ДЕТСКИЙ САД №15"</v>
      </c>
      <c r="B2580" s="24" t="s">
        <v>4727</v>
      </c>
      <c r="C2580" s="25">
        <v>17115835</v>
      </c>
      <c r="D2580" s="22" t="s">
        <v>4728</v>
      </c>
      <c r="E2580" s="22" t="s">
        <v>48</v>
      </c>
      <c r="F2580" s="23" t="str">
        <f>HYPERLINK("https://www.spark-marketing.ru/Card/Lot/73569771",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2580" s="22" t="s">
        <v>49</v>
      </c>
      <c r="H2580" s="22" t="s">
        <v>301</v>
      </c>
      <c r="I2580" s="26">
        <v>43725.540219907401</v>
      </c>
      <c r="J2580" s="23" t="str">
        <f>HYPERLINK("https://www.spark-marketing.ru/Card/Person/70733", "ООО ""ПЛАНЕТА ВКУСА""")</f>
        <v>ООО "ПЛАНЕТА ВКУСА"</v>
      </c>
      <c r="K2580" s="24" t="s">
        <v>4502</v>
      </c>
      <c r="L2580" s="22" t="s">
        <v>10</v>
      </c>
      <c r="M2580" s="25">
        <v>16260714</v>
      </c>
      <c r="N2580" s="27">
        <v>4.9960811143598897E-2</v>
      </c>
    </row>
    <row r="2581" spans="1:14" x14ac:dyDescent="0.15">
      <c r="A2581" s="23" t="str">
        <f>HYPERLINK("https://www.spark-marketing.ru/Card/Person/152801", "МБДОУ ""ДЕТСКИЙ САД №46""")</f>
        <v>МБДОУ "ДЕТСКИЙ САД №46"</v>
      </c>
      <c r="B2581" s="24" t="s">
        <v>4729</v>
      </c>
      <c r="C2581" s="25">
        <v>10016612</v>
      </c>
      <c r="D2581" s="22" t="s">
        <v>4730</v>
      </c>
      <c r="E2581" s="22" t="s">
        <v>48</v>
      </c>
      <c r="F2581" s="23" t="str">
        <f>HYPERLINK("https://www.spark-marketing.ru/Card/Lot/73569773", "оказание услуг по организации горячего питания в МБДОУ ""Детский сад №46""")</f>
        <v>оказание услуг по организации горячего питания в МБДОУ "Детский сад №46"</v>
      </c>
      <c r="G2581" s="22" t="s">
        <v>49</v>
      </c>
      <c r="H2581" s="22" t="s">
        <v>301</v>
      </c>
      <c r="I2581" s="26">
        <v>43725.540833333303</v>
      </c>
      <c r="J2581" s="28" t="s">
        <v>51</v>
      </c>
      <c r="K2581" s="28" t="s">
        <v>51</v>
      </c>
      <c r="L2581" s="28" t="s">
        <v>51</v>
      </c>
      <c r="M2581" s="28" t="s">
        <v>51</v>
      </c>
      <c r="N2581" s="28" t="s">
        <v>51</v>
      </c>
    </row>
    <row r="2582" spans="1:14" hidden="1" outlineLevel="1" x14ac:dyDescent="0.2">
      <c r="A2582" s="23" t="str">
        <f>HYPERLINK("https://www.spark-marketing.ru/Card/Person/152801", "МБДОУ ""ДЕТСКИЙ САД №46""")</f>
        <v>МБДОУ "ДЕТСКИЙ САД №46"</v>
      </c>
      <c r="B2582" s="24" t="s">
        <v>4729</v>
      </c>
      <c r="C2582" s="25">
        <v>10016612</v>
      </c>
      <c r="D2582" s="22" t="s">
        <v>4730</v>
      </c>
      <c r="E2582" s="22" t="s">
        <v>48</v>
      </c>
      <c r="F2582" s="23" t="str">
        <f>HYPERLINK("https://www.spark-marketing.ru/Card/Lot/73569773", "оказание услуг по организации горячего питания в МБДОУ ""Детский сад №46""")</f>
        <v>оказание услуг по организации горячего питания в МБДОУ "Детский сад №46"</v>
      </c>
      <c r="G2582" s="22" t="s">
        <v>49</v>
      </c>
      <c r="H2582" s="22" t="s">
        <v>301</v>
      </c>
      <c r="I2582" s="26">
        <v>43725.540833333303</v>
      </c>
      <c r="J2582" s="23" t="str">
        <f>HYPERLINK("https://www.spark-marketing.ru/Card/Person/100937", "ООО ""ВЕРТИКАЛЬ""")</f>
        <v>ООО "ВЕРТИКАЛЬ"</v>
      </c>
      <c r="K2582" s="24" t="s">
        <v>4501</v>
      </c>
      <c r="L2582" s="28" t="s">
        <v>51</v>
      </c>
      <c r="M2582" s="25">
        <v>9515781.4000000004</v>
      </c>
      <c r="N2582" s="27">
        <v>0.05</v>
      </c>
    </row>
    <row r="2583" spans="1:14" ht="12.75" hidden="1" outlineLevel="1" x14ac:dyDescent="0.2">
      <c r="A2583" s="23" t="str">
        <f>HYPERLINK("https://www.spark-marketing.ru/Card/Person/152801", "МБДОУ ""ДЕТСКИЙ САД №46""")</f>
        <v>МБДОУ "ДЕТСКИЙ САД №46"</v>
      </c>
      <c r="B2583" s="24" t="s">
        <v>4729</v>
      </c>
      <c r="C2583" s="25">
        <v>10016612</v>
      </c>
      <c r="D2583" s="22" t="s">
        <v>4730</v>
      </c>
      <c r="E2583" s="22" t="s">
        <v>48</v>
      </c>
      <c r="F2583" s="23" t="str">
        <f>HYPERLINK("https://www.spark-marketing.ru/Card/Lot/73569773", "оказание услуг по организации горячего питания в МБДОУ ""Детский сад №46""")</f>
        <v>оказание услуг по организации горячего питания в МБДОУ "Детский сад №46"</v>
      </c>
      <c r="G2583" s="22" t="s">
        <v>49</v>
      </c>
      <c r="H2583" s="22" t="s">
        <v>301</v>
      </c>
      <c r="I2583" s="26">
        <v>43725.540833333303</v>
      </c>
      <c r="J2583" s="23" t="str">
        <f>HYPERLINK("https://www.spark-marketing.ru/Card/Person/70733", "ООО ""ПЛАНЕТА ВКУСА""")</f>
        <v>ООО "ПЛАНЕТА ВКУСА"</v>
      </c>
      <c r="K2583" s="24" t="s">
        <v>4502</v>
      </c>
      <c r="L2583" s="22" t="s">
        <v>10</v>
      </c>
      <c r="M2583" s="25">
        <v>9528876</v>
      </c>
      <c r="N2583" s="27">
        <v>4.8692711667378152E-2</v>
      </c>
    </row>
    <row r="2584" spans="1:14" x14ac:dyDescent="0.15">
      <c r="A2584" s="23" t="str">
        <f t="shared" ref="A2584:A2589" si="36">HYPERLINK("https://www.spark-marketing.ru/Card/Person/24579", "ГБУ МО ""ЦСППСНВС""")</f>
        <v>ГБУ МО "ЦСППСНВС"</v>
      </c>
      <c r="B2584" s="24" t="s">
        <v>4731</v>
      </c>
      <c r="C2584" s="25">
        <v>316800</v>
      </c>
      <c r="D2584" s="22" t="s">
        <v>4732</v>
      </c>
      <c r="E2584" s="22" t="s">
        <v>374</v>
      </c>
      <c r="F2584" s="23" t="str">
        <f t="shared" ref="F2584:F2589" si="37">HYPERLINK("https://www.spark-marketing.ru/Card/Lot/73560542", "Оказание услуг по организации участия членов спортивных сборных команд Московской области в соревнованиях по акробатическому рок-н-роллу")</f>
        <v>Оказание услуг по организации участия членов спортивных сборных команд Московской области в соревнованиях по акробатическому рок-н-роллу</v>
      </c>
      <c r="G2584" s="22" t="s">
        <v>49</v>
      </c>
      <c r="H2584" s="22" t="s">
        <v>631</v>
      </c>
      <c r="I2584" s="26">
        <v>43725.527083333298</v>
      </c>
      <c r="J2584" s="28" t="s">
        <v>51</v>
      </c>
      <c r="K2584" s="28" t="s">
        <v>51</v>
      </c>
      <c r="L2584" s="28" t="s">
        <v>51</v>
      </c>
      <c r="M2584" s="28" t="s">
        <v>51</v>
      </c>
      <c r="N2584" s="28" t="s">
        <v>51</v>
      </c>
    </row>
    <row r="2585" spans="1:14" hidden="1" outlineLevel="1" x14ac:dyDescent="0.2">
      <c r="A2585" s="23" t="str">
        <f t="shared" si="36"/>
        <v>ГБУ МО "ЦСППСНВС"</v>
      </c>
      <c r="B2585" s="24" t="s">
        <v>4731</v>
      </c>
      <c r="C2585" s="25">
        <v>316800</v>
      </c>
      <c r="D2585" s="22" t="s">
        <v>4732</v>
      </c>
      <c r="E2585" s="22" t="s">
        <v>374</v>
      </c>
      <c r="F2585" s="23" t="str">
        <f t="shared" si="37"/>
        <v>Оказание услуг по организации участия членов спортивных сборных команд Московской области в соревнованиях по акробатическому рок-н-роллу</v>
      </c>
      <c r="G2585" s="22" t="s">
        <v>49</v>
      </c>
      <c r="H2585" s="22" t="s">
        <v>631</v>
      </c>
      <c r="I2585" s="26">
        <v>43725.527083333298</v>
      </c>
      <c r="J2585" s="23" t="str">
        <f>HYPERLINK("https://www.spark-marketing.ru/Card/Person/4919842", "ООО ""МАКСИ КО""")</f>
        <v>ООО "МАКСИ КО"</v>
      </c>
      <c r="K2585" s="24" t="s">
        <v>4581</v>
      </c>
      <c r="L2585" s="28" t="s">
        <v>51</v>
      </c>
      <c r="M2585" s="25">
        <v>300960</v>
      </c>
      <c r="N2585" s="27">
        <v>0.05</v>
      </c>
    </row>
    <row r="2586" spans="1:14" hidden="1" outlineLevel="1" x14ac:dyDescent="0.2">
      <c r="A2586" s="23" t="str">
        <f t="shared" si="36"/>
        <v>ГБУ МО "ЦСППСНВС"</v>
      </c>
      <c r="B2586" s="24" t="s">
        <v>4731</v>
      </c>
      <c r="C2586" s="25">
        <v>316800</v>
      </c>
      <c r="D2586" s="22" t="s">
        <v>4732</v>
      </c>
      <c r="E2586" s="22" t="s">
        <v>374</v>
      </c>
      <c r="F2586" s="23" t="str">
        <f t="shared" si="37"/>
        <v>Оказание услуг по организации участия членов спортивных сборных команд Московской области в соревнованиях по акробатическому рок-н-роллу</v>
      </c>
      <c r="G2586" s="22" t="s">
        <v>49</v>
      </c>
      <c r="H2586" s="22" t="s">
        <v>631</v>
      </c>
      <c r="I2586" s="26">
        <v>43725.527083333298</v>
      </c>
      <c r="J2586" s="23" t="str">
        <f>HYPERLINK("https://www.spark-marketing.ru/Card/Person/6369393", "ООО ""ВЕКТОР ГРУПП""")</f>
        <v>ООО "ВЕКТОР ГРУПП"</v>
      </c>
      <c r="K2586" s="24" t="s">
        <v>4733</v>
      </c>
      <c r="L2586" s="28" t="s">
        <v>51</v>
      </c>
      <c r="M2586" s="25">
        <v>258192</v>
      </c>
      <c r="N2586" s="27">
        <v>0.185</v>
      </c>
    </row>
    <row r="2587" spans="1:14" ht="12.75" hidden="1" outlineLevel="1" x14ac:dyDescent="0.2">
      <c r="A2587" s="23" t="str">
        <f t="shared" si="36"/>
        <v>ГБУ МО "ЦСППСНВС"</v>
      </c>
      <c r="B2587" s="24" t="s">
        <v>4731</v>
      </c>
      <c r="C2587" s="25">
        <v>316800</v>
      </c>
      <c r="D2587" s="22" t="s">
        <v>4732</v>
      </c>
      <c r="E2587" s="22" t="s">
        <v>374</v>
      </c>
      <c r="F2587" s="23" t="str">
        <f t="shared" si="37"/>
        <v>Оказание услуг по организации участия членов спортивных сборных команд Московской области в соревнованиях по акробатическому рок-н-роллу</v>
      </c>
      <c r="G2587" s="22" t="s">
        <v>49</v>
      </c>
      <c r="H2587" s="22" t="s">
        <v>631</v>
      </c>
      <c r="I2587" s="26">
        <v>43725.527083333298</v>
      </c>
      <c r="J2587" s="23" t="str">
        <f>HYPERLINK("https://www.spark-marketing.ru/Card/Person/4590807", "ООО ""ИНСТАЙЛ ТУР""")</f>
        <v>ООО "ИНСТАЙЛ ТУР"</v>
      </c>
      <c r="K2587" s="24" t="s">
        <v>4734</v>
      </c>
      <c r="L2587" s="22" t="s">
        <v>10</v>
      </c>
      <c r="M2587" s="25">
        <v>256608</v>
      </c>
      <c r="N2587" s="27">
        <v>0.19</v>
      </c>
    </row>
    <row r="2588" spans="1:14" hidden="1" outlineLevel="1" x14ac:dyDescent="0.2">
      <c r="A2588" s="23" t="str">
        <f t="shared" si="36"/>
        <v>ГБУ МО "ЦСППСНВС"</v>
      </c>
      <c r="B2588" s="24" t="s">
        <v>4731</v>
      </c>
      <c r="C2588" s="25">
        <v>316800</v>
      </c>
      <c r="D2588" s="22" t="s">
        <v>4732</v>
      </c>
      <c r="E2588" s="22" t="s">
        <v>374</v>
      </c>
      <c r="F2588" s="23" t="str">
        <f t="shared" si="37"/>
        <v>Оказание услуг по организации участия членов спортивных сборных команд Московской области в соревнованиях по акробатическому рок-н-роллу</v>
      </c>
      <c r="G2588" s="22" t="s">
        <v>49</v>
      </c>
      <c r="H2588" s="22" t="s">
        <v>631</v>
      </c>
      <c r="I2588" s="26">
        <v>43725.527083333298</v>
      </c>
      <c r="J2588" s="23" t="str">
        <f>HYPERLINK("https://www.spark-marketing.ru/Card/Person/139386", "ООО ""АВИАМИР""")</f>
        <v>ООО "АВИАМИР"</v>
      </c>
      <c r="K2588" s="24" t="s">
        <v>2326</v>
      </c>
      <c r="L2588" s="28" t="s">
        <v>51</v>
      </c>
      <c r="M2588" s="25">
        <v>307296</v>
      </c>
      <c r="N2588" s="27">
        <v>0.03</v>
      </c>
    </row>
    <row r="2589" spans="1:14" hidden="1" outlineLevel="1" x14ac:dyDescent="0.2">
      <c r="A2589" s="23" t="str">
        <f t="shared" si="36"/>
        <v>ГБУ МО "ЦСППСНВС"</v>
      </c>
      <c r="B2589" s="24" t="s">
        <v>4731</v>
      </c>
      <c r="C2589" s="25">
        <v>316800</v>
      </c>
      <c r="D2589" s="22" t="s">
        <v>4732</v>
      </c>
      <c r="E2589" s="22" t="s">
        <v>374</v>
      </c>
      <c r="F2589" s="23" t="str">
        <f t="shared" si="37"/>
        <v>Оказание услуг по организации участия членов спортивных сборных команд Московской области в соревнованиях по акробатическому рок-н-роллу</v>
      </c>
      <c r="G2589" s="22" t="s">
        <v>49</v>
      </c>
      <c r="H2589" s="22" t="s">
        <v>631</v>
      </c>
      <c r="I2589" s="26">
        <v>43725.527083333298</v>
      </c>
      <c r="J2589" s="23" t="str">
        <f>HYPERLINK("https://www.spark-marketing.ru/Card/Person/6111515", "ООО ""КОМПАНИЯ ЮККА ТРАВЭЛ""")</f>
        <v>ООО "КОМПАНИЯ ЮККА ТРАВЭЛ"</v>
      </c>
      <c r="K2589" s="24" t="s">
        <v>4735</v>
      </c>
      <c r="L2589" s="28" t="s">
        <v>51</v>
      </c>
      <c r="M2589" s="25">
        <v>259776</v>
      </c>
      <c r="N2589" s="27">
        <v>0.18</v>
      </c>
    </row>
    <row r="2590" spans="1:14" x14ac:dyDescent="0.2">
      <c r="A2590" s="23" t="str">
        <f>HYPERLINK("https://www.spark-marketing.ru/Card/Person/4347592", "Филиал ВИПК МВД России (г.Набережные Челны)")</f>
        <v>Филиал ВИПК МВД России (г.Набережные Челны)</v>
      </c>
      <c r="B2590" s="24" t="s">
        <v>4736</v>
      </c>
      <c r="C2590" s="25">
        <v>1076617.5900000001</v>
      </c>
      <c r="D2590" s="22" t="s">
        <v>4737</v>
      </c>
      <c r="E2590" s="22" t="s">
        <v>48</v>
      </c>
      <c r="F2590" s="23" t="str">
        <f>HYPERLINK("https://www.spark-marketing.ru/Card/Lot/73565231", "Оказание услуг по организации ежедневного трехразового питания, включая выходные и праздничные дни, в здании столовой филиала ВИПК МВД России (г. Набережные Челны)")</f>
        <v>Оказание услуг по организации ежедневного трехразового питания, включая выходные и праздничные дни, в здании столовой филиала ВИПК МВД России (г. Набережные Челны)</v>
      </c>
      <c r="G2590" s="22" t="s">
        <v>217</v>
      </c>
      <c r="H2590" s="22" t="s">
        <v>1998</v>
      </c>
      <c r="I2590" s="26">
        <v>43725.473611111098</v>
      </c>
      <c r="J2590" s="23" t="str">
        <f>HYPERLINK("https://www.spark-marketing.ru/Card/Person/211587", "ООО ""ГРАФ ПЛЮС""")</f>
        <v>ООО "ГРАФ ПЛЮС"</v>
      </c>
      <c r="K2590" s="24" t="s">
        <v>4738</v>
      </c>
      <c r="L2590" s="28" t="s">
        <v>51</v>
      </c>
      <c r="M2590" s="25">
        <v>1074488</v>
      </c>
      <c r="N2590" s="27">
        <v>1.9780375314135449E-3</v>
      </c>
    </row>
    <row r="2591" spans="1:14" x14ac:dyDescent="0.15">
      <c r="A2591" s="23" t="str">
        <f>HYPERLINK("https://www.spark-marketing.ru/Card/Person/1402130", "УМВД РОССИИ ПО ОМСКОЙ ОБЛАСТИ")</f>
        <v>УМВД РОССИИ ПО ОМСКОЙ ОБЛАСТИ</v>
      </c>
      <c r="B2591" s="24" t="s">
        <v>4739</v>
      </c>
      <c r="C2591" s="25">
        <v>2501006.12</v>
      </c>
      <c r="D2591" s="22" t="s">
        <v>4740</v>
      </c>
      <c r="E2591" s="22" t="s">
        <v>67</v>
      </c>
      <c r="F2591" s="23" t="str">
        <f>HYPERLINK("https://www.spark-marketing.ru/Card/Lot/73566459", "Оказание услуг по организации ежедневного горячего питания в целях обеспечения государственных нужд УМВД России по Омской области")</f>
        <v>Оказание услуг по организации ежедневного горячего питания в целях обеспечения государственных нужд УМВД России по Омской области</v>
      </c>
      <c r="G2591" s="22" t="s">
        <v>487</v>
      </c>
      <c r="H2591" s="22" t="s">
        <v>488</v>
      </c>
      <c r="I2591" s="26">
        <v>43725.480555555601</v>
      </c>
      <c r="J2591" s="23" t="str">
        <f>HYPERLINK("https://www.spark-marketing.ru/Card/Person/6711932", "ООО ""СКАЗКА +""")</f>
        <v>ООО "СКАЗКА +"</v>
      </c>
      <c r="K2591" s="24" t="s">
        <v>4741</v>
      </c>
      <c r="L2591" s="22" t="s">
        <v>10</v>
      </c>
      <c r="M2591" s="28" t="s">
        <v>51</v>
      </c>
      <c r="N2591" s="28" t="s">
        <v>51</v>
      </c>
    </row>
    <row r="2592" spans="1:14" x14ac:dyDescent="0.2">
      <c r="A2592" s="23" t="str">
        <f>HYPERLINK("https://www.spark-marketing.ru/Card/Person/21878", "ГБОУ ШКОЛА № 110 ВЫБОРГСКОГО РАЙОНА САНКТ-ПЕТЕРБУРГА")</f>
        <v>ГБОУ ШКОЛА № 110 ВЫБОРГСКОГО РАЙОНА САНКТ-ПЕТЕРБУРГА</v>
      </c>
      <c r="B2592" s="24" t="s">
        <v>4742</v>
      </c>
      <c r="C2592" s="25">
        <v>866186.65</v>
      </c>
      <c r="D2592" s="22" t="s">
        <v>4743</v>
      </c>
      <c r="E2592" s="22" t="s">
        <v>96</v>
      </c>
      <c r="F2592" s="23" t="str">
        <f>HYPERLINK("https://www.spark-marketing.ru/Card/Lot/73570962", "Услуги по организации питания в ГБОУ школа №110 Выборгского района Санкт-Петербурга, расположенном по адресу: Санкт-Петербург, Поэтический бульвар, д. 22, строение 1")</f>
        <v>Услуги по организации питания в ГБОУ школа №110 Выборгского района Санкт-Петербурга, расположенном по адресу: Санкт-Петербург, Поэтический бульвар, д. 22, строение 1</v>
      </c>
      <c r="G2592" s="22" t="s">
        <v>117</v>
      </c>
      <c r="H2592" s="22" t="s">
        <v>117</v>
      </c>
      <c r="I2592" s="26">
        <v>43725.469444444403</v>
      </c>
      <c r="J2592" s="23" t="str">
        <f>HYPERLINK("https://www.spark-marketing.ru/Card/Person/61791", "ООО ""СЕРНА""")</f>
        <v>ООО "СЕРНА"</v>
      </c>
      <c r="K2592" s="24" t="s">
        <v>4744</v>
      </c>
      <c r="L2592" s="28" t="s">
        <v>51</v>
      </c>
      <c r="M2592" s="25">
        <v>861807.7</v>
      </c>
      <c r="N2592" s="27">
        <v>5.0554346456390198E-3</v>
      </c>
    </row>
    <row r="2593" spans="1:14" x14ac:dyDescent="0.15">
      <c r="A2593" s="23" t="str">
        <f>HYPERLINK("https://www.spark-marketing.ru/Card/Person/4761681", "ПРАВИТЕЛЬСТВО САХАЛИНСКОЙ ОБЛАСТИ")</f>
        <v>ПРАВИТЕЛЬСТВО САХАЛИНСКОЙ ОБЛАСТИ</v>
      </c>
      <c r="B2593" s="24" t="s">
        <v>1903</v>
      </c>
      <c r="C2593" s="25">
        <v>1000000</v>
      </c>
      <c r="D2593" s="22" t="s">
        <v>4745</v>
      </c>
      <c r="E2593" s="22" t="s">
        <v>96</v>
      </c>
      <c r="F2593" s="23" t="str">
        <f>HYPERLINK("https://www.spark-marketing.ru/Card/Lot/73521618", "Оказание услуг по организации питания участников областных и межрегиональных мероприятий: семинары, совещания, форумы, конференции, «круглые столы», мероприятия в рамках праздничных и памятных дат, юбилейных дат населенных пунктов, муниципальных обра...")</f>
        <v>Оказание услуг по организации питания участников областных и межрегиональных мероприятий: семинары, совещания, форумы, конференции, «круглые столы», мероприятия в рамках праздничных и памятных дат, юбилейных дат населенных пунктов, муниципальных обра...</v>
      </c>
      <c r="G2593" s="22" t="s">
        <v>260</v>
      </c>
      <c r="H2593" s="22" t="s">
        <v>804</v>
      </c>
      <c r="I2593" s="26">
        <v>43725.474305555603</v>
      </c>
      <c r="J2593" s="28" t="s">
        <v>51</v>
      </c>
      <c r="K2593" s="28" t="s">
        <v>51</v>
      </c>
      <c r="L2593" s="28" t="s">
        <v>51</v>
      </c>
      <c r="M2593" s="28" t="s">
        <v>51</v>
      </c>
      <c r="N2593" s="28" t="s">
        <v>51</v>
      </c>
    </row>
    <row r="2594" spans="1:14" x14ac:dyDescent="0.15">
      <c r="A2594" s="23" t="str">
        <f>HYPERLINK("https://www.spark-marketing.ru/Card/Person/114258", "ОМВД РОССИИ ПО ТИХВИНСКОМУ РАЙОНУ ЛО")</f>
        <v>ОМВД РОССИИ ПО ТИХВИНСКОМУ РАЙОНУ ЛО</v>
      </c>
      <c r="B2594" s="24" t="s">
        <v>1308</v>
      </c>
      <c r="C2594" s="25">
        <v>860000</v>
      </c>
      <c r="D2594" s="22" t="s">
        <v>4746</v>
      </c>
      <c r="E2594" s="22" t="s">
        <v>48</v>
      </c>
      <c r="F2594" s="23" t="str">
        <f>HYPERLINK("https://www.spark-marketing.ru/Card/Lot/73568834", "Оказание услуг по организации трехразового горячего питания в сутки лиц, содержащихся в изоляторе временного содержания подозреваемых и обвиняемых и специальном помещении для содержания задержанных лиц ОМВД России по Тихвинскому району ЛО")</f>
        <v>Оказание услуг по организации трехразового горячего питания в сутки лиц, содержащихся в изоляторе временного содержания подозреваемых и обвиняемых и специальном помещении для содержания задержанных лиц ОМВД России по Тихвинскому району ЛО</v>
      </c>
      <c r="G2594" s="22" t="s">
        <v>162</v>
      </c>
      <c r="H2594" s="22" t="s">
        <v>162</v>
      </c>
      <c r="I2594" s="26">
        <v>43725.472916666702</v>
      </c>
      <c r="J2594" s="23" t="str">
        <f>HYPERLINK("https://www.spark-marketing.ru/Card/Person/4931387", "Шаховский Кирилл Петрович")</f>
        <v>Шаховский Кирилл Петрович</v>
      </c>
      <c r="K2594" s="24" t="s">
        <v>4747</v>
      </c>
      <c r="L2594" s="28" t="s">
        <v>51</v>
      </c>
      <c r="M2594" s="28" t="s">
        <v>51</v>
      </c>
      <c r="N2594" s="28" t="s">
        <v>51</v>
      </c>
    </row>
    <row r="2595" spans="1:14" x14ac:dyDescent="0.15">
      <c r="A2595" s="23" t="str">
        <f>HYPERLINK("https://www.spark-marketing.ru/Card/Person/5960726", "МКУ ""АХЦ ШЕБЕКИНСКОГО ГОРОДСКОГО ОКРУГА""")</f>
        <v>МКУ "АХЦ ШЕБЕКИНСКОГО ГОРОДСКОГО ОКРУГА"</v>
      </c>
      <c r="B2595" s="24" t="s">
        <v>4748</v>
      </c>
      <c r="C2595" s="25">
        <v>700000</v>
      </c>
      <c r="D2595" s="22" t="s">
        <v>4749</v>
      </c>
      <c r="E2595" s="22" t="s">
        <v>695</v>
      </c>
      <c r="F2595" s="23" t="str">
        <f>HYPERLINK("https://www.spark-marketing.ru/Card/Lot/73562981", "Оказание услуг по установке комплекта газобаллонного оборудования для питания двигателей автомобилей компримированным природным газом")</f>
        <v>Оказание услуг по установке комплекта газобаллонного оборудования для питания двигателей автомобилей компримированным природным газом</v>
      </c>
      <c r="G2595" s="22" t="s">
        <v>696</v>
      </c>
      <c r="H2595" s="22" t="s">
        <v>4750</v>
      </c>
      <c r="I2595" s="26">
        <v>43725.469444444403</v>
      </c>
      <c r="J2595" s="23" t="str">
        <f>HYPERLINK("https://www.spark-marketing.ru/Card/Person/6625705", "ООО ""ММС""")</f>
        <v>ООО "ММС"</v>
      </c>
      <c r="K2595" s="24" t="s">
        <v>4751</v>
      </c>
      <c r="L2595" s="22" t="s">
        <v>10</v>
      </c>
      <c r="M2595" s="28" t="s">
        <v>51</v>
      </c>
      <c r="N2595" s="28" t="s">
        <v>51</v>
      </c>
    </row>
    <row r="2596" spans="1:14" x14ac:dyDescent="0.15">
      <c r="A2596" s="23" t="str">
        <f>HYPERLINK("https://www.spark-marketing.ru/Card/Person/58920", "ФГБУ ""ХАБАРОВСКИЙ АСЦ МЧС РОССИИ""")</f>
        <v>ФГБУ "ХАБАРОВСКИЙ АСЦ МЧС РОССИИ"</v>
      </c>
      <c r="B2596" s="24" t="s">
        <v>4752</v>
      </c>
      <c r="C2596" s="25">
        <v>1380000</v>
      </c>
      <c r="D2596" s="22" t="s">
        <v>4753</v>
      </c>
      <c r="E2596" s="22" t="s">
        <v>48</v>
      </c>
      <c r="F2596" s="23" t="str">
        <f>HYPERLINK("https://www.spark-marketing.ru/Card/Lot/73521662", "Оказание услуг по организации питания экипажа на Ми-8 г. Магадан")</f>
        <v>Оказание услуг по организации питания экипажа на Ми-8 г. Магадан</v>
      </c>
      <c r="G2596" s="22" t="s">
        <v>1096</v>
      </c>
      <c r="H2596" s="22" t="s">
        <v>1097</v>
      </c>
      <c r="I2596" s="26">
        <v>43725.472222222197</v>
      </c>
      <c r="J2596" s="23" t="str">
        <f>HYPERLINK("https://www.spark-marketing.ru/Card/Person/1364173", "Старицын Антон Сергеевич")</f>
        <v>Старицын Антон Сергеевич</v>
      </c>
      <c r="K2596" s="24" t="s">
        <v>4754</v>
      </c>
      <c r="L2596" s="22" t="s">
        <v>10</v>
      </c>
      <c r="M2596" s="28" t="s">
        <v>51</v>
      </c>
      <c r="N2596" s="28" t="s">
        <v>51</v>
      </c>
    </row>
    <row r="2597" spans="1:14" x14ac:dyDescent="0.15">
      <c r="A2597" s="23" t="str">
        <f>HYPERLINK("https://www.spark-marketing.ru/Card/Person/1082126", "ФКП ОБРАЗОВАТЕЛЬНОЕ УЧРЕЖДЕНИЕ № 281")</f>
        <v>ФКП ОБРАЗОВАТЕЛЬНОЕ УЧРЕЖДЕНИЕ № 281</v>
      </c>
      <c r="B2597" s="24" t="s">
        <v>4755</v>
      </c>
      <c r="C2597" s="25">
        <v>47382.75</v>
      </c>
      <c r="D2597" s="22" t="s">
        <v>4756</v>
      </c>
      <c r="E2597" s="22" t="s">
        <v>4757</v>
      </c>
      <c r="F2597" s="23" t="str">
        <f>HYPERLINK("https://www.spark-marketing.ru/Card/Lot/73528448", "Услуги, Продукты питания")</f>
        <v>Услуги, Продукты питания</v>
      </c>
      <c r="G2597" s="22" t="s">
        <v>281</v>
      </c>
      <c r="H2597" s="22" t="s">
        <v>4758</v>
      </c>
      <c r="I2597" s="26">
        <v>43725.428680555597</v>
      </c>
      <c r="J2597" s="28" t="s">
        <v>51</v>
      </c>
      <c r="K2597" s="28" t="s">
        <v>51</v>
      </c>
      <c r="L2597" s="28" t="s">
        <v>51</v>
      </c>
      <c r="M2597" s="28" t="s">
        <v>51</v>
      </c>
      <c r="N2597" s="28" t="s">
        <v>51</v>
      </c>
    </row>
    <row r="2598" spans="1:14" x14ac:dyDescent="0.15">
      <c r="A2598" s="23" t="str">
        <f>HYPERLINK("https://www.spark-marketing.ru/Card/Person/124402", "ГЛАВНОЕ УПРАВЛЕНИЕ МЧС РОССИИ ПО ЗАБАЙКАЛЬСКОМУ КРАЮ")</f>
        <v>ГЛАВНОЕ УПРАВЛЕНИЕ МЧС РОССИИ ПО ЗАБАЙКАЛЬСКОМУ КРАЮ</v>
      </c>
      <c r="B2598" s="24" t="s">
        <v>4759</v>
      </c>
      <c r="C2598" s="25">
        <v>78400</v>
      </c>
      <c r="D2598" s="22" t="s">
        <v>4760</v>
      </c>
      <c r="E2598" s="22" t="s">
        <v>96</v>
      </c>
      <c r="F2598" s="23" t="str">
        <f>HYPERLINK("https://www.spark-marketing.ru/Card/Lot/73528394", "Услуга по питанию, 1 шт")</f>
        <v>Услуга по питанию, 1 шт</v>
      </c>
      <c r="G2598" s="22" t="s">
        <v>228</v>
      </c>
      <c r="H2598" s="22" t="s">
        <v>394</v>
      </c>
      <c r="I2598" s="26">
        <v>43725.425960648201</v>
      </c>
      <c r="J2598" s="28" t="s">
        <v>51</v>
      </c>
      <c r="K2598" s="28" t="s">
        <v>51</v>
      </c>
      <c r="L2598" s="28" t="s">
        <v>51</v>
      </c>
      <c r="M2598" s="28" t="s">
        <v>51</v>
      </c>
      <c r="N2598" s="28" t="s">
        <v>51</v>
      </c>
    </row>
    <row r="2599" spans="1:14" x14ac:dyDescent="0.15">
      <c r="A2599" s="23" t="str">
        <f>HYPERLINK("https://www.spark-marketing.ru/Card/Person/5862006", "ЗАО ГАЗПРОМНЕФТЬ АЭРО")</f>
        <v>ЗАО ГАЗПРОМНЕФТЬ АЭРО</v>
      </c>
      <c r="B2599" s="28" t="s">
        <v>51</v>
      </c>
      <c r="C2599" s="28" t="s">
        <v>51</v>
      </c>
      <c r="D2599" s="22" t="s">
        <v>4761</v>
      </c>
      <c r="E2599" s="22" t="s">
        <v>52</v>
      </c>
      <c r="F2599" s="23" t="str">
        <f>HYPERLINK("https://www.spark-marketing.ru/Card/Lot/73528598", "Отбора организации, способной оказать услуги по организации питания сотрудников производственного участка ""Остафьево"" филиала ""Чкаловский"" АО ""Газпромнефть-Аэро""")</f>
        <v>Отбора организации, способной оказать услуги по организации питания сотрудников производственного участка "Остафьево" филиала "Чкаловский" АО "Газпромнефть-Аэро"</v>
      </c>
      <c r="G2599" s="22" t="s">
        <v>51</v>
      </c>
      <c r="H2599" s="22" t="s">
        <v>51</v>
      </c>
      <c r="I2599" s="26">
        <v>43725.416666666701</v>
      </c>
      <c r="J2599" s="28" t="s">
        <v>51</v>
      </c>
      <c r="K2599" s="28" t="s">
        <v>51</v>
      </c>
      <c r="L2599" s="28" t="s">
        <v>51</v>
      </c>
      <c r="M2599" s="28" t="s">
        <v>51</v>
      </c>
      <c r="N2599" s="28" t="s">
        <v>51</v>
      </c>
    </row>
    <row r="2600" spans="1:14" x14ac:dyDescent="0.15">
      <c r="A2600" s="23" t="str">
        <f>HYPERLINK("https://www.spark-marketing.ru/Card/Person/139509", "МКУ ""ЦЕНТР СЕМЕЙНОГО УСТРОЙСТВА""")</f>
        <v>МКУ "ЦЕНТР СЕМЕЙНОГО УСТРОЙСТВА"</v>
      </c>
      <c r="B2600" s="24" t="s">
        <v>4762</v>
      </c>
      <c r="C2600" s="25">
        <v>81600</v>
      </c>
      <c r="D2600" s="22" t="s">
        <v>4763</v>
      </c>
      <c r="E2600" s="22" t="s">
        <v>51</v>
      </c>
      <c r="F2600" s="23" t="str">
        <f>HYPERLINK("https://www.spark-marketing.ru/Card/Lot/73520549", "Услуги по организации питания школьников СОШ № 2 второе полугодие")</f>
        <v>Услуги по организации питания школьников СОШ № 2 второе полугодие</v>
      </c>
      <c r="G2600" s="22" t="s">
        <v>241</v>
      </c>
      <c r="H2600" s="22" t="s">
        <v>915</v>
      </c>
      <c r="I2600" s="26">
        <v>43725.443055555603</v>
      </c>
      <c r="J2600" s="23" t="str">
        <f>HYPERLINK("https://www.spark-marketing.ru/Card/Person/448987", "МУП БЦ ""КЕМЕ""")</f>
        <v>МУП БЦ "КЕМЕ"</v>
      </c>
      <c r="K2600" s="24" t="s">
        <v>4764</v>
      </c>
      <c r="L2600" s="22" t="s">
        <v>10</v>
      </c>
      <c r="M2600" s="28" t="s">
        <v>51</v>
      </c>
      <c r="N2600" s="28" t="s">
        <v>51</v>
      </c>
    </row>
    <row r="2601" spans="1:14" x14ac:dyDescent="0.15">
      <c r="A2601" s="23" t="str">
        <f>HYPERLINK("https://www.spark-marketing.ru/Card/Person/4347030", "ФКУ ""ЦХИСО МВД ПО РД""")</f>
        <v>ФКУ "ЦХИСО МВД ПО РД"</v>
      </c>
      <c r="B2601" s="24" t="s">
        <v>4765</v>
      </c>
      <c r="C2601" s="25">
        <v>6250000</v>
      </c>
      <c r="D2601" s="22" t="s">
        <v>4766</v>
      </c>
      <c r="E2601" s="22" t="s">
        <v>48</v>
      </c>
      <c r="F2601" s="23" t="str">
        <f>HYPERLINK("https://www.spark-marketing.ru/Card/Lot/73569347", "Услуги по организации ежедневного трехразового горячего питания иностранных граждан и лиц без гражданства для нужд Управления по вопросам миграции МВД по Республике Дагестан")</f>
        <v>Услуги по организации ежедневного трехразового горячего питания иностранных граждан и лиц без гражданства для нужд Управления по вопросам миграции МВД по Республике Дагестан</v>
      </c>
      <c r="G2601" s="22" t="s">
        <v>1607</v>
      </c>
      <c r="H2601" s="22" t="s">
        <v>1607</v>
      </c>
      <c r="I2601" s="26">
        <v>43725.447881944398</v>
      </c>
      <c r="J2601" s="23" t="str">
        <f>HYPERLINK("https://www.spark-marketing.ru/Card/Person/154972", "Астахов Эдуард Юрьевич")</f>
        <v>Астахов Эдуард Юрьевич</v>
      </c>
      <c r="K2601" s="24" t="s">
        <v>4767</v>
      </c>
      <c r="L2601" s="28" t="s">
        <v>51</v>
      </c>
      <c r="M2601" s="28" t="s">
        <v>51</v>
      </c>
      <c r="N2601" s="28" t="s">
        <v>51</v>
      </c>
    </row>
    <row r="2602" spans="1:14" ht="12.75" hidden="1" outlineLevel="1" x14ac:dyDescent="0.2">
      <c r="A2602" s="23" t="str">
        <f>HYPERLINK("https://www.spark-marketing.ru/Card/Person/4347030", "ФКУ ""ЦХИСО МВД ПО РД""")</f>
        <v>ФКУ "ЦХИСО МВД ПО РД"</v>
      </c>
      <c r="B2602" s="24" t="s">
        <v>4765</v>
      </c>
      <c r="C2602" s="25">
        <v>6250000</v>
      </c>
      <c r="D2602" s="22" t="s">
        <v>4766</v>
      </c>
      <c r="E2602" s="22" t="s">
        <v>48</v>
      </c>
      <c r="F2602" s="23" t="str">
        <f>HYPERLINK("https://www.spark-marketing.ru/Card/Lot/73569347", "Услуги по организации ежедневного трехразового горячего питания иностранных граждан и лиц без гражданства для нужд Управления по вопросам миграции МВД по Республике Дагестан")</f>
        <v>Услуги по организации ежедневного трехразового горячего питания иностранных граждан и лиц без гражданства для нужд Управления по вопросам миграции МВД по Республике Дагестан</v>
      </c>
      <c r="G2602" s="22" t="s">
        <v>1607</v>
      </c>
      <c r="H2602" s="22" t="s">
        <v>1607</v>
      </c>
      <c r="I2602" s="26">
        <v>43725.447881944398</v>
      </c>
      <c r="J2602" s="23" t="str">
        <f>HYPERLINK("https://www.spark-marketing.ru/Card/Person/154972", "Астахов Эдуард Юрьевич")</f>
        <v>Астахов Эдуард Юрьевич</v>
      </c>
      <c r="K2602" s="24" t="s">
        <v>4767</v>
      </c>
      <c r="L2602" s="22" t="s">
        <v>10</v>
      </c>
      <c r="M2602" s="25">
        <v>2386.3000000000002</v>
      </c>
      <c r="N2602" s="27">
        <v>0.99961819200000002</v>
      </c>
    </row>
    <row r="2603" spans="1:14" x14ac:dyDescent="0.15">
      <c r="A2603" s="23" t="str">
        <f>HYPERLINK("https://www.spark-marketing.ru/Card/Person/4347030", "ФКУ ""ЦХИСО МВД ПО РД""")</f>
        <v>ФКУ "ЦХИСО МВД ПО РД"</v>
      </c>
      <c r="B2603" s="24" t="s">
        <v>4765</v>
      </c>
      <c r="C2603" s="25">
        <v>6250000</v>
      </c>
      <c r="D2603" s="22" t="s">
        <v>4768</v>
      </c>
      <c r="E2603" s="22" t="s">
        <v>48</v>
      </c>
      <c r="F2603" s="23" t="str">
        <f>HYPERLINK("https://www.spark-marketing.ru/Card/Lot/73569348", "Услуги по организации ежедневного трехразового горячего питания иностранных граждан и лиц без гражданства для нужд Управления по вопросам миграции МВД по Республике Дагестан")</f>
        <v>Услуги по организации ежедневного трехразового горячего питания иностранных граждан и лиц без гражданства для нужд Управления по вопросам миграции МВД по Республике Дагестан</v>
      </c>
      <c r="G2603" s="22" t="s">
        <v>1607</v>
      </c>
      <c r="H2603" s="22" t="s">
        <v>1607</v>
      </c>
      <c r="I2603" s="26">
        <v>43725.448842592603</v>
      </c>
      <c r="J2603" s="23" t="str">
        <f>HYPERLINK("https://www.spark-marketing.ru/Card/Person/154972", "Астахов Эдуард Юрьевич")</f>
        <v>Астахов Эдуард Юрьевич</v>
      </c>
      <c r="K2603" s="24" t="s">
        <v>4767</v>
      </c>
      <c r="L2603" s="22" t="s">
        <v>10</v>
      </c>
      <c r="M2603" s="28" t="s">
        <v>51</v>
      </c>
      <c r="N2603" s="28" t="s">
        <v>51</v>
      </c>
    </row>
    <row r="2604" spans="1:14" x14ac:dyDescent="0.15">
      <c r="A2604" s="23" t="str">
        <f>HYPERLINK("https://www.spark-marketing.ru/Card/Person/74768", "МО МВД РОССИИ ""ЭХИРИТ-БУЛАГАТСКИЙ""")</f>
        <v>МО МВД РОССИИ "ЭХИРИТ-БУЛАГАТСКИЙ"</v>
      </c>
      <c r="B2604" s="24" t="s">
        <v>4769</v>
      </c>
      <c r="C2604" s="25">
        <v>250000</v>
      </c>
      <c r="D2604" s="22" t="s">
        <v>4770</v>
      </c>
      <c r="E2604" s="22" t="s">
        <v>96</v>
      </c>
      <c r="F2604" s="23" t="str">
        <f>HYPERLINK("https://www.spark-marketing.ru/Card/Lot/73529570", "Оказание услуг по организации питания (приготовлению и доставке), 833 шт")</f>
        <v>Оказание услуг по организации питания (приготовлению и доставке), 833 шт</v>
      </c>
      <c r="G2604" s="22" t="s">
        <v>263</v>
      </c>
      <c r="H2604" s="22" t="s">
        <v>4466</v>
      </c>
      <c r="I2604" s="26">
        <v>43725.443437499998</v>
      </c>
      <c r="J2604" s="28" t="s">
        <v>51</v>
      </c>
      <c r="K2604" s="28" t="s">
        <v>51</v>
      </c>
      <c r="L2604" s="28" t="s">
        <v>51</v>
      </c>
      <c r="M2604" s="28" t="s">
        <v>51</v>
      </c>
      <c r="N2604" s="28" t="s">
        <v>51</v>
      </c>
    </row>
    <row r="2605" spans="1:14" x14ac:dyDescent="0.15">
      <c r="A2605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2605" s="24" t="s">
        <v>1790</v>
      </c>
      <c r="C2605" s="25">
        <v>708078.65</v>
      </c>
      <c r="D2605" s="22" t="s">
        <v>4771</v>
      </c>
      <c r="E2605" s="22" t="s">
        <v>52</v>
      </c>
      <c r="F2605" s="23" t="str">
        <f>HYPERLINK("https://www.spark-marketing.ru/Card/Lot/73562949", "Прочая закупка товаров, работ и услуг. Поставка медикаментов")</f>
        <v>Прочая закупка товаров, работ и услуг. Поставка медикаментов</v>
      </c>
      <c r="G2605" s="22" t="s">
        <v>217</v>
      </c>
      <c r="H2605" s="22" t="s">
        <v>937</v>
      </c>
      <c r="I2605" s="26">
        <v>43725.40625</v>
      </c>
      <c r="J2605" s="23" t="str">
        <f>HYPERLINK("https://www.spark-marketing.ru/Card/Person/857409", "ЗАО ""КАЗАНСКАЯ ФАРМАЦЕВТИЧЕСКАЯ ФАБРИКА""")</f>
        <v>ЗАО "КАЗАНСКАЯ ФАРМАЦЕВТИЧЕСКАЯ ФАБРИКА"</v>
      </c>
      <c r="K2605" s="24" t="s">
        <v>4772</v>
      </c>
      <c r="L2605" s="22" t="s">
        <v>10</v>
      </c>
      <c r="M2605" s="28" t="s">
        <v>51</v>
      </c>
      <c r="N2605" s="28" t="s">
        <v>51</v>
      </c>
    </row>
    <row r="2606" spans="1:14" x14ac:dyDescent="0.2">
      <c r="A2606" s="23" t="str">
        <f>HYPERLINK("https://www.spark-marketing.ru/Card/Person/4348836", "ГОСКОМИТЕТ РБ ПО ТОРГОВЛЕ")</f>
        <v>ГОСКОМИТЕТ РБ ПО ТОРГОВЛЕ</v>
      </c>
      <c r="B2606" s="24" t="s">
        <v>2090</v>
      </c>
      <c r="C2606" s="25">
        <v>2291250</v>
      </c>
      <c r="D2606" s="22" t="s">
        <v>4773</v>
      </c>
      <c r="E2606" s="22" t="s">
        <v>67</v>
      </c>
      <c r="F2606" s="23" t="str">
        <f>HYPERLINK("https://www.spark-marketing.ru/Card/Lot/73566757", "Оказание услуг по организации питания участников I-го Всероссийского Форума молодых госслужащих и официального приема от имени Правительства Республики Башкортостан")</f>
        <v>Оказание услуг по организации питания участников I-го Всероссийского Форума молодых госслужащих и официального приема от имени Правительства Республики Башкортостан</v>
      </c>
      <c r="G2606" s="22" t="s">
        <v>145</v>
      </c>
      <c r="H2606" s="22" t="s">
        <v>436</v>
      </c>
      <c r="I2606" s="26">
        <v>43725.474999999999</v>
      </c>
      <c r="J2606" s="23" t="str">
        <f>HYPERLINK("https://www.spark-marketing.ru/Card/Person/180514", "КП РБ КОМБИНАТ ПИТАНИЯ")</f>
        <v>КП РБ КОМБИНАТ ПИТАНИЯ</v>
      </c>
      <c r="K2606" s="24" t="s">
        <v>4774</v>
      </c>
      <c r="L2606" s="28" t="s">
        <v>51</v>
      </c>
      <c r="M2606" s="25">
        <v>2291250</v>
      </c>
      <c r="N2606" s="27">
        <v>0</v>
      </c>
    </row>
    <row r="2607" spans="1:14" x14ac:dyDescent="0.15">
      <c r="A2607" s="23" t="str">
        <f>HYPERLINK("https://www.spark-marketing.ru/Card/Person/123789", "МБОУ СОШ №1 П. ФРЯНОВО ЩМР МО")</f>
        <v>МБОУ СОШ №1 П. ФРЯНОВО ЩМР МО</v>
      </c>
      <c r="B2607" s="24" t="s">
        <v>4775</v>
      </c>
      <c r="C2607" s="25">
        <v>4663008</v>
      </c>
      <c r="D2607" s="22" t="s">
        <v>4776</v>
      </c>
      <c r="E2607" s="22" t="s">
        <v>48</v>
      </c>
      <c r="F2607" s="23" t="str">
        <f>HYPERLINK("https://www.spark-marketing.ru/Card/Lot/73569316", "Oказание услуг по организации рационального горячего питания на базе пищеблока Заказчика")</f>
        <v>Oказание услуг по организации рационального горячего питания на базе пищеблока Заказчика</v>
      </c>
      <c r="G2607" s="22" t="s">
        <v>49</v>
      </c>
      <c r="H2607" s="22" t="s">
        <v>4644</v>
      </c>
      <c r="I2607" s="26">
        <v>43725.410763888904</v>
      </c>
      <c r="J2607" s="28" t="s">
        <v>51</v>
      </c>
      <c r="K2607" s="28" t="s">
        <v>51</v>
      </c>
      <c r="L2607" s="28" t="s">
        <v>51</v>
      </c>
      <c r="M2607" s="28" t="s">
        <v>51</v>
      </c>
      <c r="N2607" s="28" t="s">
        <v>51</v>
      </c>
    </row>
    <row r="2608" spans="1:14" x14ac:dyDescent="0.15">
      <c r="A2608" s="23" t="str">
        <f>HYPERLINK("https://www.spark-marketing.ru/Card/Person/128873", "ФКУ СИЗО-1 УФСИН РОССИИ ПО САРАТОВСКОЙ ОБЛАСТИ")</f>
        <v>ФКУ СИЗО-1 УФСИН РОССИИ ПО САРАТОВСКОЙ ОБЛАСТИ</v>
      </c>
      <c r="B2608" s="24" t="s">
        <v>4777</v>
      </c>
      <c r="C2608" s="25">
        <v>200166.3</v>
      </c>
      <c r="D2608" s="22" t="s">
        <v>4778</v>
      </c>
      <c r="E2608" s="22" t="s">
        <v>468</v>
      </c>
      <c r="F2608" s="23" t="str">
        <f>HYPERLINK("https://www.spark-marketing.ru/Card/Lot/73556819", "Услуги по перевозке продуктов питания")</f>
        <v>Услуги по перевозке продуктов питания</v>
      </c>
      <c r="G2608" s="22" t="s">
        <v>351</v>
      </c>
      <c r="H2608" s="22" t="s">
        <v>2983</v>
      </c>
      <c r="I2608" s="26">
        <v>43725.407638888901</v>
      </c>
      <c r="J2608" s="28" t="s">
        <v>51</v>
      </c>
      <c r="K2608" s="28" t="s">
        <v>51</v>
      </c>
      <c r="L2608" s="28" t="s">
        <v>51</v>
      </c>
      <c r="M2608" s="28" t="s">
        <v>51</v>
      </c>
      <c r="N2608" s="28" t="s">
        <v>51</v>
      </c>
    </row>
    <row r="2609" spans="1:14" hidden="1" outlineLevel="1" x14ac:dyDescent="0.2">
      <c r="A2609" s="23" t="str">
        <f>HYPERLINK("https://www.spark-marketing.ru/Card/Person/128873", "ФКУ СИЗО-1 УФСИН РОССИИ ПО САРАТОВСКОЙ ОБЛАСТИ")</f>
        <v>ФКУ СИЗО-1 УФСИН РОССИИ ПО САРАТОВСКОЙ ОБЛАСТИ</v>
      </c>
      <c r="B2609" s="24" t="s">
        <v>4777</v>
      </c>
      <c r="C2609" s="25">
        <v>200166.3</v>
      </c>
      <c r="D2609" s="22" t="s">
        <v>4778</v>
      </c>
      <c r="E2609" s="22" t="s">
        <v>468</v>
      </c>
      <c r="F2609" s="23" t="str">
        <f>HYPERLINK("https://www.spark-marketing.ru/Card/Lot/73556819", "Услуги по перевозке продуктов питания")</f>
        <v>Услуги по перевозке продуктов питания</v>
      </c>
      <c r="G2609" s="22" t="s">
        <v>351</v>
      </c>
      <c r="H2609" s="22" t="s">
        <v>2983</v>
      </c>
      <c r="I2609" s="26">
        <v>43725.407638888901</v>
      </c>
      <c r="J2609" s="23" t="str">
        <f>HYPERLINK("https://www.spark-marketing.ru/Card/Person/1456788", "Дулераин Сергей Владимирович")</f>
        <v>Дулераин Сергей Владимирович</v>
      </c>
      <c r="K2609" s="24" t="s">
        <v>4779</v>
      </c>
      <c r="L2609" s="28" t="s">
        <v>51</v>
      </c>
      <c r="M2609" s="25">
        <v>199165.47</v>
      </c>
      <c r="N2609" s="27">
        <v>4.9999925062310692E-3</v>
      </c>
    </row>
    <row r="2610" spans="1:14" hidden="1" outlineLevel="1" x14ac:dyDescent="0.2">
      <c r="A2610" s="23" t="str">
        <f>HYPERLINK("https://www.spark-marketing.ru/Card/Person/128873", "ФКУ СИЗО-1 УФСИН РОССИИ ПО САРАТОВСКОЙ ОБЛАСТИ")</f>
        <v>ФКУ СИЗО-1 УФСИН РОССИИ ПО САРАТОВСКОЙ ОБЛАСТИ</v>
      </c>
      <c r="B2610" s="24" t="s">
        <v>4777</v>
      </c>
      <c r="C2610" s="25">
        <v>200166.3</v>
      </c>
      <c r="D2610" s="22" t="s">
        <v>4778</v>
      </c>
      <c r="E2610" s="22" t="s">
        <v>468</v>
      </c>
      <c r="F2610" s="23" t="str">
        <f>HYPERLINK("https://www.spark-marketing.ru/Card/Lot/73556819", "Услуги по перевозке продуктов питания")</f>
        <v>Услуги по перевозке продуктов питания</v>
      </c>
      <c r="G2610" s="22" t="s">
        <v>351</v>
      </c>
      <c r="H2610" s="22" t="s">
        <v>2983</v>
      </c>
      <c r="I2610" s="26">
        <v>43725.407638888901</v>
      </c>
      <c r="J2610" s="23" t="str">
        <f>HYPERLINK("https://www.spark-marketing.ru/Card/Person/6384433", "ООО ""УРАЛМЕТИЗ""")</f>
        <v>ООО "УРАЛМЕТИЗ"</v>
      </c>
      <c r="K2610" s="24" t="s">
        <v>4780</v>
      </c>
      <c r="L2610" s="28" t="s">
        <v>51</v>
      </c>
      <c r="M2610" s="25">
        <v>185000</v>
      </c>
      <c r="N2610" s="27">
        <v>7.5768498493502659E-2</v>
      </c>
    </row>
    <row r="2611" spans="1:14" ht="12.75" hidden="1" outlineLevel="1" x14ac:dyDescent="0.2">
      <c r="A2611" s="23" t="str">
        <f>HYPERLINK("https://www.spark-marketing.ru/Card/Person/128873", "ФКУ СИЗО-1 УФСИН РОССИИ ПО САРАТОВСКОЙ ОБЛАСТИ")</f>
        <v>ФКУ СИЗО-1 УФСИН РОССИИ ПО САРАТОВСКОЙ ОБЛАСТИ</v>
      </c>
      <c r="B2611" s="24" t="s">
        <v>4777</v>
      </c>
      <c r="C2611" s="25">
        <v>200166.3</v>
      </c>
      <c r="D2611" s="22" t="s">
        <v>4778</v>
      </c>
      <c r="E2611" s="22" t="s">
        <v>468</v>
      </c>
      <c r="F2611" s="23" t="str">
        <f>HYPERLINK("https://www.spark-marketing.ru/Card/Lot/73556819", "Услуги по перевозке продуктов питания")</f>
        <v>Услуги по перевозке продуктов питания</v>
      </c>
      <c r="G2611" s="22" t="s">
        <v>351</v>
      </c>
      <c r="H2611" s="22" t="s">
        <v>2983</v>
      </c>
      <c r="I2611" s="26">
        <v>43725.407638888901</v>
      </c>
      <c r="J2611" s="23" t="str">
        <f>HYPERLINK("https://www.spark-marketing.ru/Card/Person/6454904", "ООО ""СБЫТ""")</f>
        <v>ООО "СБЫТ"</v>
      </c>
      <c r="K2611" s="24" t="s">
        <v>4781</v>
      </c>
      <c r="L2611" s="22" t="s">
        <v>10</v>
      </c>
      <c r="M2611" s="25">
        <v>181861.15</v>
      </c>
      <c r="N2611" s="27">
        <v>9.1449709566495466E-2</v>
      </c>
    </row>
    <row r="2612" spans="1:14" x14ac:dyDescent="0.15">
      <c r="A2612" s="23" t="str">
        <f>HYPERLINK("https://www.spark-marketing.ru/Card/Person/160452", "УПРАВЛЕНИЕ РОСРЕЕСТРА ПО РЕСПУБЛИКЕ КОМИ")</f>
        <v>УПРАВЛЕНИЕ РОСРЕЕСТРА ПО РЕСПУБЛИКЕ КОМИ</v>
      </c>
      <c r="B2612" s="24" t="s">
        <v>4782</v>
      </c>
      <c r="C2612" s="25">
        <v>49000</v>
      </c>
      <c r="D2612" s="22" t="s">
        <v>4783</v>
      </c>
      <c r="E2612" s="22" t="s">
        <v>3024</v>
      </c>
      <c r="F2612" s="23" t="str">
        <f>HYPERLINK("https://www.spark-marketing.ru/Card/Lot/73534997", "Оказание услуг по проведению экспертизы технического состояния АРМ (с выдачей акта экспертизы)")</f>
        <v>Оказание услуг по проведению экспертизы технического состояния АРМ (с выдачей акта экспертизы)</v>
      </c>
      <c r="G2612" s="22" t="s">
        <v>271</v>
      </c>
      <c r="H2612" s="22" t="s">
        <v>271</v>
      </c>
      <c r="I2612" s="26">
        <v>43725.368750000001</v>
      </c>
      <c r="J2612" s="28" t="s">
        <v>51</v>
      </c>
      <c r="K2612" s="28" t="s">
        <v>51</v>
      </c>
      <c r="L2612" s="28" t="s">
        <v>51</v>
      </c>
      <c r="M2612" s="28" t="s">
        <v>51</v>
      </c>
      <c r="N2612" s="28" t="s">
        <v>51</v>
      </c>
    </row>
    <row r="2613" spans="1:14" hidden="1" outlineLevel="1" x14ac:dyDescent="0.2">
      <c r="A2613" s="23" t="str">
        <f>HYPERLINK("https://www.spark-marketing.ru/Card/Person/160452", "УПРАВЛЕНИЕ РОСРЕЕСТРА ПО РЕСПУБЛИКЕ КОМИ")</f>
        <v>УПРАВЛЕНИЕ РОСРЕЕСТРА ПО РЕСПУБЛИКЕ КОМИ</v>
      </c>
      <c r="B2613" s="24" t="s">
        <v>4782</v>
      </c>
      <c r="C2613" s="25">
        <v>49000</v>
      </c>
      <c r="D2613" s="22" t="s">
        <v>4783</v>
      </c>
      <c r="E2613" s="22" t="s">
        <v>3024</v>
      </c>
      <c r="F2613" s="23" t="str">
        <f>HYPERLINK("https://www.spark-marketing.ru/Card/Lot/73534997", "Оказание услуг по проведению экспертизы технического состояния АРМ (с выдачей акта экспертизы)")</f>
        <v>Оказание услуг по проведению экспертизы технического состояния АРМ (с выдачей акта экспертизы)</v>
      </c>
      <c r="G2613" s="22" t="s">
        <v>271</v>
      </c>
      <c r="H2613" s="22" t="s">
        <v>271</v>
      </c>
      <c r="I2613" s="26">
        <v>43725.368750000001</v>
      </c>
      <c r="J2613" s="23" t="str">
        <f>HYPERLINK("https://www.spark-marketing.ru/Card/Person/191997", "Сидоров Александр Владимирович")</f>
        <v>Сидоров Александр Владимирович</v>
      </c>
      <c r="K2613" s="24" t="s">
        <v>4784</v>
      </c>
      <c r="L2613" s="28" t="s">
        <v>51</v>
      </c>
      <c r="M2613" s="25">
        <v>1300</v>
      </c>
      <c r="N2613" s="27">
        <v>0.97346938775510206</v>
      </c>
    </row>
    <row r="2614" spans="1:14" ht="12.75" hidden="1" outlineLevel="1" x14ac:dyDescent="0.2">
      <c r="A2614" s="23" t="str">
        <f>HYPERLINK("https://www.spark-marketing.ru/Card/Person/160452", "УПРАВЛЕНИЕ РОСРЕЕСТРА ПО РЕСПУБЛИКЕ КОМИ")</f>
        <v>УПРАВЛЕНИЕ РОСРЕЕСТРА ПО РЕСПУБЛИКЕ КОМИ</v>
      </c>
      <c r="B2614" s="24" t="s">
        <v>4782</v>
      </c>
      <c r="C2614" s="25">
        <v>49000</v>
      </c>
      <c r="D2614" s="22" t="s">
        <v>4783</v>
      </c>
      <c r="E2614" s="22" t="s">
        <v>3024</v>
      </c>
      <c r="F2614" s="23" t="str">
        <f>HYPERLINK("https://www.spark-marketing.ru/Card/Lot/73534997", "Оказание услуг по проведению экспертизы технического состояния АРМ (с выдачей акта экспертизы)")</f>
        <v>Оказание услуг по проведению экспертизы технического состояния АРМ (с выдачей акта экспертизы)</v>
      </c>
      <c r="G2614" s="22" t="s">
        <v>271</v>
      </c>
      <c r="H2614" s="22" t="s">
        <v>271</v>
      </c>
      <c r="I2614" s="26">
        <v>43725.368750000001</v>
      </c>
      <c r="J2614" s="23" t="str">
        <f>HYPERLINK("https://www.spark-marketing.ru/Card/Person/6337928", "ООО ""СМУ-21""")</f>
        <v>ООО "СМУ-21"</v>
      </c>
      <c r="K2614" s="24" t="s">
        <v>1864</v>
      </c>
      <c r="L2614" s="22" t="s">
        <v>10</v>
      </c>
      <c r="M2614" s="25">
        <v>470</v>
      </c>
      <c r="N2614" s="27">
        <v>0.99040816326530612</v>
      </c>
    </row>
    <row r="2615" spans="1:14" hidden="1" outlineLevel="1" x14ac:dyDescent="0.2">
      <c r="A2615" s="23" t="str">
        <f>HYPERLINK("https://www.spark-marketing.ru/Card/Person/160452", "УПРАВЛЕНИЕ РОСРЕЕСТРА ПО РЕСПУБЛИКЕ КОМИ")</f>
        <v>УПРАВЛЕНИЕ РОСРЕЕСТРА ПО РЕСПУБЛИКЕ КОМИ</v>
      </c>
      <c r="B2615" s="24" t="s">
        <v>4782</v>
      </c>
      <c r="C2615" s="25">
        <v>49000</v>
      </c>
      <c r="D2615" s="22" t="s">
        <v>4783</v>
      </c>
      <c r="E2615" s="22" t="s">
        <v>3024</v>
      </c>
      <c r="F2615" s="23" t="str">
        <f>HYPERLINK("https://www.spark-marketing.ru/Card/Lot/73534997", "Оказание услуг по проведению экспертизы технического состояния АРМ (с выдачей акта экспертизы)")</f>
        <v>Оказание услуг по проведению экспертизы технического состояния АРМ (с выдачей акта экспертизы)</v>
      </c>
      <c r="G2615" s="22" t="s">
        <v>271</v>
      </c>
      <c r="H2615" s="22" t="s">
        <v>271</v>
      </c>
      <c r="I2615" s="26">
        <v>43725.368750000001</v>
      </c>
      <c r="J2615" s="23" t="str">
        <f>HYPERLINK("https://www.spark-marketing.ru/Card/Person/132514", "ООО ""ЦВЕТМЕТ""")</f>
        <v>ООО "ЦВЕТМЕТ"</v>
      </c>
      <c r="K2615" s="24" t="s">
        <v>4785</v>
      </c>
      <c r="L2615" s="28" t="s">
        <v>51</v>
      </c>
      <c r="M2615" s="25">
        <v>570</v>
      </c>
      <c r="N2615" s="27">
        <v>0.98836734693877548</v>
      </c>
    </row>
    <row r="2616" spans="1:14" x14ac:dyDescent="0.15">
      <c r="A2616" s="23" t="str">
        <f>HYPERLINK("https://www.spark-marketing.ru/Card/Person/243714", "МБОУ ГИМНАЗИЯ № 3 В АКАДЕМГОРОДКЕ")</f>
        <v>МБОУ ГИМНАЗИЯ № 3 В АКАДЕМГОРОДКЕ</v>
      </c>
      <c r="B2616" s="24" t="s">
        <v>4786</v>
      </c>
      <c r="C2616" s="25">
        <v>499980</v>
      </c>
      <c r="D2616" s="22" t="s">
        <v>4787</v>
      </c>
      <c r="E2616" s="22" t="s">
        <v>48</v>
      </c>
      <c r="F2616" s="23" t="str">
        <f>HYPERLINK("https://www.spark-marketing.ru/Card/Lot/73524240", "Оказание услуг по организации питания на льготных условиях детей из многодетных и малоимущих семей обучающихся. Исполнение постановления Мэрии города Новосибирска № 5873 от 23.09.2015г.")</f>
        <v>Оказание услуг по организации питания на льготных условиях детей из многодетных и малоимущих семей обучающихся. Исполнение постановления Мэрии города Новосибирска № 5873 от 23.09.2015г.</v>
      </c>
      <c r="G2616" s="22" t="s">
        <v>195</v>
      </c>
      <c r="H2616" s="22" t="s">
        <v>196</v>
      </c>
      <c r="I2616" s="26">
        <v>43725.45</v>
      </c>
      <c r="J2616" s="28" t="s">
        <v>51</v>
      </c>
      <c r="K2616" s="28" t="s">
        <v>51</v>
      </c>
      <c r="L2616" s="28" t="s">
        <v>51</v>
      </c>
      <c r="M2616" s="28" t="s">
        <v>51</v>
      </c>
      <c r="N2616" s="28" t="s">
        <v>51</v>
      </c>
    </row>
    <row r="2617" spans="1:14" ht="12.75" hidden="1" outlineLevel="1" x14ac:dyDescent="0.2">
      <c r="A2617" s="23" t="str">
        <f>HYPERLINK("https://www.spark-marketing.ru/Card/Person/243714", "МБОУ ГИМНАЗИЯ № 3 В АКАДЕМГОРОДКЕ")</f>
        <v>МБОУ ГИМНАЗИЯ № 3 В АКАДЕМГОРОДКЕ</v>
      </c>
      <c r="B2617" s="24" t="s">
        <v>4786</v>
      </c>
      <c r="C2617" s="25">
        <v>499980</v>
      </c>
      <c r="D2617" s="22" t="s">
        <v>4787</v>
      </c>
      <c r="E2617" s="22" t="s">
        <v>48</v>
      </c>
      <c r="F2617" s="23" t="str">
        <f>HYPERLINK("https://www.spark-marketing.ru/Card/Lot/73524240", "Оказание услуг по организации питания на льготных условиях детей из многодетных и малоимущих семей обучающихся. Исполнение постановления Мэрии города Новосибирска № 5873 от 23.09.2015г.")</f>
        <v>Оказание услуг по организации питания на льготных условиях детей из многодетных и малоимущих семей обучающихся. Исполнение постановления Мэрии города Новосибирска № 5873 от 23.09.2015г.</v>
      </c>
      <c r="G2617" s="22" t="s">
        <v>195</v>
      </c>
      <c r="H2617" s="22" t="s">
        <v>196</v>
      </c>
      <c r="I2617" s="26">
        <v>43725.45</v>
      </c>
      <c r="J2617" s="23" t="str">
        <f>HYPERLINK("https://www.spark-marketing.ru/Card/Person/1342963", "ООО ""ЛЕСОНАЛ-К""")</f>
        <v>ООО "ЛЕСОНАЛ-К"</v>
      </c>
      <c r="K2617" s="24" t="s">
        <v>4788</v>
      </c>
      <c r="L2617" s="22" t="s">
        <v>10</v>
      </c>
      <c r="M2617" s="25">
        <v>499980</v>
      </c>
      <c r="N2617" s="27">
        <v>0</v>
      </c>
    </row>
    <row r="2618" spans="1:14" hidden="1" outlineLevel="1" x14ac:dyDescent="0.2">
      <c r="A2618" s="23" t="str">
        <f>HYPERLINK("https://www.spark-marketing.ru/Card/Person/243714", "МБОУ ГИМНАЗИЯ № 3 В АКАДЕМГОРОДКЕ")</f>
        <v>МБОУ ГИМНАЗИЯ № 3 В АКАДЕМГОРОДКЕ</v>
      </c>
      <c r="B2618" s="24" t="s">
        <v>4786</v>
      </c>
      <c r="C2618" s="25">
        <v>499980</v>
      </c>
      <c r="D2618" s="22" t="s">
        <v>4787</v>
      </c>
      <c r="E2618" s="22" t="s">
        <v>48</v>
      </c>
      <c r="F2618" s="23" t="str">
        <f>HYPERLINK("https://www.spark-marketing.ru/Card/Lot/73524240", "Оказание услуг по организации питания на льготных условиях детей из многодетных и малоимущих семей обучающихся. Исполнение постановления Мэрии города Новосибирска № 5873 от 23.09.2015г.")</f>
        <v>Оказание услуг по организации питания на льготных условиях детей из многодетных и малоимущих семей обучающихся. Исполнение постановления Мэрии города Новосибирска № 5873 от 23.09.2015г.</v>
      </c>
      <c r="G2618" s="22" t="s">
        <v>195</v>
      </c>
      <c r="H2618" s="22" t="s">
        <v>196</v>
      </c>
      <c r="I2618" s="26">
        <v>43725.45</v>
      </c>
      <c r="J2618" s="23" t="str">
        <f>HYPERLINK("https://www.spark-marketing.ru/Card/Person/1330112", "ООО ""АСТС-СТОЛОВАЯ 6""")</f>
        <v>ООО "АСТС-СТОЛОВАЯ 6"</v>
      </c>
      <c r="K2618" s="24" t="s">
        <v>4789</v>
      </c>
      <c r="L2618" s="28" t="s">
        <v>51</v>
      </c>
      <c r="M2618" s="25">
        <v>499980</v>
      </c>
      <c r="N2618" s="27">
        <v>0</v>
      </c>
    </row>
    <row r="2619" spans="1:14" x14ac:dyDescent="0.2">
      <c r="A2619" s="23" t="str">
        <f>HYPERLINK("https://www.spark-marketing.ru/Card/Person/1023708", "АО ""МЕРСИ АГРО САХАЛИН""")</f>
        <v>АО "МЕРСИ АГРО САХАЛИН"</v>
      </c>
      <c r="B2619" s="24" t="s">
        <v>4790</v>
      </c>
      <c r="C2619" s="25">
        <v>3000000</v>
      </c>
      <c r="D2619" s="22" t="s">
        <v>4791</v>
      </c>
      <c r="E2619" s="22" t="s">
        <v>1412</v>
      </c>
      <c r="F2619" s="23" t="str">
        <f>HYPERLINK("https://www.spark-marketing.ru/Card/Lot/73513167", "Услуги по организации питания")</f>
        <v>Услуги по организации питания</v>
      </c>
      <c r="G2619" s="22" t="s">
        <v>260</v>
      </c>
      <c r="H2619" s="22" t="s">
        <v>260</v>
      </c>
      <c r="I2619" s="26">
        <v>43725</v>
      </c>
      <c r="J2619" s="28" t="s">
        <v>51</v>
      </c>
      <c r="K2619" s="28" t="s">
        <v>51</v>
      </c>
      <c r="L2619" s="22" t="s">
        <v>10</v>
      </c>
      <c r="M2619" s="25">
        <v>3000000</v>
      </c>
      <c r="N2619" s="27">
        <v>0</v>
      </c>
    </row>
    <row r="2620" spans="1:14" x14ac:dyDescent="0.2">
      <c r="A2620" s="23" t="str">
        <f>HYPERLINK("https://www.spark-marketing.ru/Card/Person/4946219", "ГАУ С «ЦЕНТР РАЗВИТИЯ ТУРИЗМА»")</f>
        <v>ГАУ С «ЦЕНТР РАЗВИТИЯ ТУРИЗМА»</v>
      </c>
      <c r="B2620" s="24" t="s">
        <v>4792</v>
      </c>
      <c r="C2620" s="25">
        <v>7485345</v>
      </c>
      <c r="D2620" s="22" t="s">
        <v>4793</v>
      </c>
      <c r="E2620" s="22" t="s">
        <v>794</v>
      </c>
      <c r="F2620" s="23" t="str">
        <f>HYPERLINK("https://www.spark-marketing.ru/Card/Lot/73554465", "Оказание услуг по организации проживания, питания и транспортного сопровождения участников Севастопольского фестиваля технического творчества «Технофест»: международный кейс-чемпионат кампуса молодежных инноваций")</f>
        <v>Оказание услуг по организации проживания, питания и транспортного сопровождения участников Севастопольского фестиваля технического творчества «Технофест»: международный кейс-чемпионат кампуса молодежных инноваций</v>
      </c>
      <c r="G2620" s="22" t="s">
        <v>322</v>
      </c>
      <c r="H2620" s="22" t="s">
        <v>322</v>
      </c>
      <c r="I2620" s="26">
        <v>43725</v>
      </c>
      <c r="J2620" s="28" t="s">
        <v>51</v>
      </c>
      <c r="K2620" s="28" t="s">
        <v>51</v>
      </c>
      <c r="L2620" s="22" t="s">
        <v>10</v>
      </c>
      <c r="M2620" s="25">
        <v>7485345</v>
      </c>
      <c r="N2620" s="27">
        <v>0</v>
      </c>
    </row>
    <row r="2621" spans="1:14" x14ac:dyDescent="0.15">
      <c r="A2621" s="23" t="str">
        <f>HYPERLINK("https://www.spark-marketing.ru/Card/Person/32283", "ФГБОУ ВО ""РГГУ"", РГГУ, РОССИЙСКИЙ ГОСУДАРСТВЕННЫЙ ГУМАНИТАРНЫЙ УНИВЕРСИТЕТ")</f>
        <v>ФГБОУ ВО "РГГУ", РГГУ, РОССИЙСКИЙ ГОСУДАРСТВЕННЫЙ ГУМАНИТАРНЫЙ УНИВЕРСИТЕТ</v>
      </c>
      <c r="B2621" s="24" t="s">
        <v>4794</v>
      </c>
      <c r="C2621" s="25">
        <v>277290</v>
      </c>
      <c r="D2621" s="22" t="s">
        <v>4795</v>
      </c>
      <c r="E2621" s="22" t="s">
        <v>362</v>
      </c>
      <c r="F2621" s="23" t="str">
        <f>HYPERLINK("https://www.spark-marketing.ru/Card/Lot/73551168", "Оказание услуг по организации двухразового горячего питания (завтрак, обед) обучающихся Предуниверсария РГГУ из многодетных и социально незащищенных семей в период образовательного процесса")</f>
        <v>Оказание услуг по организации двухразового горячего питания (завтрак, обед) обучающихся Предуниверсария РГГУ из многодетных и социально незащищенных семей в период образовательного процесса</v>
      </c>
      <c r="G2621" s="22" t="s">
        <v>56</v>
      </c>
      <c r="H2621" s="22" t="s">
        <v>56</v>
      </c>
      <c r="I2621" s="26">
        <v>43725</v>
      </c>
      <c r="J2621" s="28" t="s">
        <v>51</v>
      </c>
      <c r="K2621" s="28" t="s">
        <v>51</v>
      </c>
      <c r="L2621" s="28" t="s">
        <v>51</v>
      </c>
      <c r="M2621" s="28" t="s">
        <v>51</v>
      </c>
      <c r="N2621" s="28" t="s">
        <v>51</v>
      </c>
    </row>
    <row r="2622" spans="1:14" x14ac:dyDescent="0.2">
      <c r="A2622" s="23" t="str">
        <f>HYPERLINK("https://www.spark-marketing.ru/Card/Person/4347209", "ФГБОУ ВО ИРГУПС")</f>
        <v>ФГБОУ ВО ИРГУПС</v>
      </c>
      <c r="B2622" s="24" t="s">
        <v>4796</v>
      </c>
      <c r="C2622" s="25">
        <v>152275</v>
      </c>
      <c r="D2622" s="22" t="s">
        <v>4797</v>
      </c>
      <c r="E2622" s="22" t="s">
        <v>362</v>
      </c>
      <c r="F2622" s="23" t="str">
        <f>HYPERLINK("https://www.spark-marketing.ru/Card/Lot/73525382", "Оказание услуг по организации питания в ресторане ""Европа""")</f>
        <v>Оказание услуг по организации питания в ресторане "Европа"</v>
      </c>
      <c r="G2622" s="22" t="s">
        <v>263</v>
      </c>
      <c r="H2622" s="22" t="s">
        <v>263</v>
      </c>
      <c r="I2622" s="26">
        <v>43725</v>
      </c>
      <c r="J2622" s="28" t="s">
        <v>51</v>
      </c>
      <c r="K2622" s="28" t="s">
        <v>51</v>
      </c>
      <c r="L2622" s="22" t="s">
        <v>10</v>
      </c>
      <c r="M2622" s="25">
        <v>152275</v>
      </c>
      <c r="N2622" s="27">
        <v>0</v>
      </c>
    </row>
    <row r="2623" spans="1:14" x14ac:dyDescent="0.15">
      <c r="A2623" s="23" t="str">
        <f>HYPERLINK("https://www.spark-marketing.ru/Card/Person/5847098", "МАОУ СОШ № 213 ""ОТКРЫТИЕ""")</f>
        <v>МАОУ СОШ № 213 "ОТКРЫТИЕ"</v>
      </c>
      <c r="B2623" s="24" t="s">
        <v>4798</v>
      </c>
      <c r="C2623" s="25">
        <v>835740</v>
      </c>
      <c r="D2623" s="22" t="s">
        <v>4799</v>
      </c>
      <c r="E2623" s="22" t="s">
        <v>362</v>
      </c>
      <c r="F2623" s="23" t="str">
        <f>HYPERLINK("https://www.spark-marketing.ru/Card/Lot/73537594", "Услуги по организации питания для учащихся из многодетных и малоимущих семей, обучающихся в муниципальных общеобразовательных учреждениях")</f>
        <v>Услуги по организации питания для учащихся из многодетных и малоимущих семей, обучающихся в муниципальных общеобразовательных учреждениях</v>
      </c>
      <c r="G2623" s="22" t="s">
        <v>195</v>
      </c>
      <c r="H2623" s="22" t="s">
        <v>195</v>
      </c>
      <c r="I2623" s="26">
        <v>43725</v>
      </c>
      <c r="J2623" s="28" t="s">
        <v>51</v>
      </c>
      <c r="K2623" s="28" t="s">
        <v>51</v>
      </c>
      <c r="L2623" s="28" t="s">
        <v>51</v>
      </c>
      <c r="M2623" s="28" t="s">
        <v>51</v>
      </c>
      <c r="N2623" s="28" t="s">
        <v>51</v>
      </c>
    </row>
    <row r="2624" spans="1:14" x14ac:dyDescent="0.15">
      <c r="A2624" s="23" t="str">
        <f>HYPERLINK("https://www.spark-marketing.ru/Card/Person/1309600", "МАОУ СОШ № 28")</f>
        <v>МАОУ СОШ № 28</v>
      </c>
      <c r="B2624" s="24" t="s">
        <v>4800</v>
      </c>
      <c r="C2624" s="25">
        <v>260700</v>
      </c>
      <c r="D2624" s="22" t="s">
        <v>4801</v>
      </c>
      <c r="E2624" s="22" t="s">
        <v>362</v>
      </c>
      <c r="F2624" s="23" t="str">
        <f>HYPERLINK("https://www.spark-marketing.ru/Card/Lot/73535439", "Оказание услуг по организации двухразового горячего питания обучающихся с ограниченными возможностями здоровья")</f>
        <v>Оказание услуг по организации двухразового горячего питания обучающихся с ограниченными возможностями здоровья</v>
      </c>
      <c r="G2624" s="22" t="s">
        <v>153</v>
      </c>
      <c r="H2624" s="22" t="s">
        <v>153</v>
      </c>
      <c r="I2624" s="26">
        <v>43725</v>
      </c>
      <c r="J2624" s="28" t="s">
        <v>51</v>
      </c>
      <c r="K2624" s="28" t="s">
        <v>51</v>
      </c>
      <c r="L2624" s="28" t="s">
        <v>51</v>
      </c>
      <c r="M2624" s="28" t="s">
        <v>51</v>
      </c>
      <c r="N2624" s="28" t="s">
        <v>51</v>
      </c>
    </row>
    <row r="2625" spans="1:14" x14ac:dyDescent="0.15">
      <c r="A2625" s="23" t="str">
        <f>HYPERLINK("https://www.spark-marketing.ru/Card/Person/1482822", "ГАПОУ СО ""ЕМК""")</f>
        <v>ГАПОУ СО "ЕМК"</v>
      </c>
      <c r="B2625" s="24" t="s">
        <v>4018</v>
      </c>
      <c r="C2625" s="25">
        <v>1508547</v>
      </c>
      <c r="D2625" s="22" t="s">
        <v>4802</v>
      </c>
      <c r="E2625" s="22" t="s">
        <v>769</v>
      </c>
      <c r="F2625" s="23" t="str">
        <f>HYPERLINK("https://www.spark-marketing.ru/Card/Lot/73566078", "Оказание услуг по организации питания и проживания")</f>
        <v>Оказание услуг по организации питания и проживания</v>
      </c>
      <c r="G2625" s="22" t="s">
        <v>174</v>
      </c>
      <c r="H2625" s="22" t="s">
        <v>174</v>
      </c>
      <c r="I2625" s="26">
        <v>43725</v>
      </c>
      <c r="J2625" s="28" t="s">
        <v>51</v>
      </c>
      <c r="K2625" s="28" t="s">
        <v>51</v>
      </c>
      <c r="L2625" s="28" t="s">
        <v>51</v>
      </c>
      <c r="M2625" s="28" t="s">
        <v>51</v>
      </c>
      <c r="N2625" s="28" t="s">
        <v>51</v>
      </c>
    </row>
    <row r="2626" spans="1:14" x14ac:dyDescent="0.2">
      <c r="A2626" s="23" t="str">
        <f>HYPERLINK("https://www.spark-marketing.ru/Card/Person/268823", "ГАУ АО ""РЦСП ""ВОЛГАРЬ""")</f>
        <v>ГАУ АО "РЦСП "ВОЛГАРЬ"</v>
      </c>
      <c r="B2626" s="24" t="s">
        <v>767</v>
      </c>
      <c r="C2626" s="25">
        <v>258400</v>
      </c>
      <c r="D2626" s="22" t="s">
        <v>4803</v>
      </c>
      <c r="E2626" s="22" t="s">
        <v>769</v>
      </c>
      <c r="F2626" s="23" t="str">
        <f>HYPERLINK("https://www.spark-marketing.ru/Card/Lot/73631217", "Оказание услуг по организации проживания и питания для отделения спортивной подготовки по футболу ГАУ АО ""РЦСП ""Волгарь"".")</f>
        <v>Оказание услуг по организации проживания и питания для отделения спортивной подготовки по футболу ГАУ АО "РЦСП "Волгарь".</v>
      </c>
      <c r="G2626" s="22" t="s">
        <v>104</v>
      </c>
      <c r="H2626" s="22" t="s">
        <v>104</v>
      </c>
      <c r="I2626" s="26">
        <v>43727</v>
      </c>
      <c r="J2626" s="28" t="s">
        <v>51</v>
      </c>
      <c r="K2626" s="28" t="s">
        <v>51</v>
      </c>
      <c r="L2626" s="22" t="s">
        <v>10</v>
      </c>
      <c r="M2626" s="25">
        <v>258400</v>
      </c>
      <c r="N2626" s="27">
        <v>0</v>
      </c>
    </row>
    <row r="2627" spans="1:14" x14ac:dyDescent="0.2">
      <c r="A2627" s="23" t="str">
        <f>HYPERLINK("https://www.spark-marketing.ru/Card/Person/4435460", "ГАУ ПО ""ММЦ""")</f>
        <v>ГАУ ПО "ММЦ"</v>
      </c>
      <c r="B2627" s="24" t="s">
        <v>4804</v>
      </c>
      <c r="C2627" s="25">
        <v>285000</v>
      </c>
      <c r="D2627" s="22" t="s">
        <v>4805</v>
      </c>
      <c r="E2627" s="22" t="s">
        <v>1921</v>
      </c>
      <c r="F2627" s="23" t="str">
        <f>HYPERLINK("https://www.spark-marketing.ru/Card/Lot/73603168", "оказание услуг по организации отдыха детей (проживание с питанием участников областной военно-спортивной игры «Сурский рубеж» в период с 18 по 20 сентября 2019 года.).")</f>
        <v>оказание услуг по организации отдыха детей (проживание с питанием участников областной военно-спортивной игры «Сурский рубеж» в период с 18 по 20 сентября 2019 года.).</v>
      </c>
      <c r="G2627" s="22" t="s">
        <v>72</v>
      </c>
      <c r="H2627" s="22" t="s">
        <v>72</v>
      </c>
      <c r="I2627" s="26">
        <v>43726</v>
      </c>
      <c r="J2627" s="28" t="s">
        <v>51</v>
      </c>
      <c r="K2627" s="28" t="s">
        <v>51</v>
      </c>
      <c r="L2627" s="22" t="s">
        <v>10</v>
      </c>
      <c r="M2627" s="25">
        <v>285000</v>
      </c>
      <c r="N2627" s="27">
        <v>0</v>
      </c>
    </row>
    <row r="2628" spans="1:14" x14ac:dyDescent="0.15">
      <c r="A2628" s="23" t="str">
        <f>HYPERLINK("https://www.spark-marketing.ru/Card/Person/1766257", "МАОУ ""НЕЖИНСКИЙ ЛИЦЕЙ ОРЕНБУРГСКОГО РАЙОНА""")</f>
        <v>МАОУ "НЕЖИНСКИЙ ЛИЦЕЙ ОРЕНБУРГСКОГО РАЙОНА"</v>
      </c>
      <c r="B2628" s="24" t="s">
        <v>1232</v>
      </c>
      <c r="C2628" s="25">
        <v>362063.33</v>
      </c>
      <c r="D2628" s="22" t="s">
        <v>4806</v>
      </c>
      <c r="E2628" s="22" t="s">
        <v>1234</v>
      </c>
      <c r="F2628" s="23" t="str">
        <f>HYPERLINK("https://www.spark-marketing.ru/Card/Lot/73576557", "Оказание услуг по поставке продуктов питания (молочная продукция)")</f>
        <v>Оказание услуг по поставке продуктов питания (молочная продукция)</v>
      </c>
      <c r="G2628" s="22" t="s">
        <v>132</v>
      </c>
      <c r="H2628" s="22" t="s">
        <v>4807</v>
      </c>
      <c r="I2628" s="26">
        <v>43725.829479166699</v>
      </c>
      <c r="J2628" s="28" t="s">
        <v>51</v>
      </c>
      <c r="K2628" s="28" t="s">
        <v>51</v>
      </c>
      <c r="L2628" s="28" t="s">
        <v>51</v>
      </c>
      <c r="M2628" s="28" t="s">
        <v>51</v>
      </c>
      <c r="N2628" s="28" t="s">
        <v>51</v>
      </c>
    </row>
    <row r="2629" spans="1:14" x14ac:dyDescent="0.15">
      <c r="A2629" s="23" t="str">
        <f>HYPERLINK("https://www.spark-marketing.ru/Card/Person/5847098", "МАОУ СОШ № 213 ""ОТКРЫТИЕ""")</f>
        <v>МАОУ СОШ № 213 "ОТКРЫТИЕ"</v>
      </c>
      <c r="B2629" s="24" t="s">
        <v>4798</v>
      </c>
      <c r="C2629" s="25">
        <v>174798</v>
      </c>
      <c r="D2629" s="22" t="s">
        <v>4808</v>
      </c>
      <c r="E2629" s="22" t="s">
        <v>362</v>
      </c>
      <c r="F2629" s="23" t="str">
        <f>HYPERLINK("https://www.spark-marketing.ru/Card/Lot/73538575", "Услуги по организации горячего питания обучающихся в муниципальных образовательных учреждениях(дети с ограниченными возможностями здоровья)")</f>
        <v>Услуги по организации горячего питания обучающихся в муниципальных образовательных учреждениях(дети с ограниченными возможностями здоровья)</v>
      </c>
      <c r="G2629" s="22" t="s">
        <v>195</v>
      </c>
      <c r="H2629" s="22" t="s">
        <v>195</v>
      </c>
      <c r="I2629" s="26">
        <v>43725</v>
      </c>
      <c r="J2629" s="28" t="s">
        <v>51</v>
      </c>
      <c r="K2629" s="28" t="s">
        <v>51</v>
      </c>
      <c r="L2629" s="28" t="s">
        <v>51</v>
      </c>
      <c r="M2629" s="28" t="s">
        <v>51</v>
      </c>
      <c r="N2629" s="28" t="s">
        <v>51</v>
      </c>
    </row>
    <row r="2630" spans="1:14" x14ac:dyDescent="0.2">
      <c r="A2630" s="23" t="str">
        <f>HYPERLINK("https://www.spark-marketing.ru/Card/Person/1311075", "МАОУ ""ПЛАТОШИНСКАЯ СРЕДНЯЯ ШКОЛА""")</f>
        <v>МАОУ "ПЛАТОШИНСКАЯ СРЕДНЯЯ ШКОЛА"</v>
      </c>
      <c r="B2630" s="24" t="s">
        <v>4809</v>
      </c>
      <c r="C2630" s="25">
        <v>580397.24</v>
      </c>
      <c r="D2630" s="22" t="s">
        <v>4810</v>
      </c>
      <c r="E2630" s="22" t="s">
        <v>362</v>
      </c>
      <c r="F2630" s="23" t="str">
        <f>HYPERLINK("https://www.spark-marketing.ru/Card/Lot/73744319", "Услуги по обеспечению горячим питанием в I полугодие 2019-2020 учебного года Байболовский филиал МАОУ ""Платошинская средняя школа""")</f>
        <v>Услуги по обеспечению горячим питанием в I полугодие 2019-2020 учебного года Байболовский филиал МАОУ "Платошинская средняя школа"</v>
      </c>
      <c r="G2630" s="22" t="s">
        <v>153</v>
      </c>
      <c r="H2630" s="22" t="s">
        <v>153</v>
      </c>
      <c r="I2630" s="26">
        <v>43728</v>
      </c>
      <c r="J2630" s="28" t="s">
        <v>51</v>
      </c>
      <c r="K2630" s="28" t="s">
        <v>51</v>
      </c>
      <c r="L2630" s="22" t="s">
        <v>10</v>
      </c>
      <c r="M2630" s="25">
        <v>580397.24</v>
      </c>
      <c r="N2630" s="27">
        <v>0</v>
      </c>
    </row>
    <row r="2631" spans="1:14" x14ac:dyDescent="0.2">
      <c r="A2631" s="23" t="str">
        <f>HYPERLINK("https://www.spark-marketing.ru/Card/Person/1311075", "МАОУ ""ПЛАТОШИНСКАЯ СРЕДНЯЯ ШКОЛА""")</f>
        <v>МАОУ "ПЛАТОШИНСКАЯ СРЕДНЯЯ ШКОЛА"</v>
      </c>
      <c r="B2631" s="24" t="s">
        <v>4809</v>
      </c>
      <c r="C2631" s="25">
        <v>1147391.26</v>
      </c>
      <c r="D2631" s="22" t="s">
        <v>4811</v>
      </c>
      <c r="E2631" s="22" t="s">
        <v>362</v>
      </c>
      <c r="F2631" s="23" t="str">
        <f>HYPERLINK("https://www.spark-marketing.ru/Card/Lot/73712086", "Услуги по обеспечению горячим питанием в I полугодие 2019-2020 учебного года МАОУ ""Платошинская средняя школа""")</f>
        <v>Услуги по обеспечению горячим питанием в I полугодие 2019-2020 учебного года МАОУ "Платошинская средняя школа"</v>
      </c>
      <c r="G2631" s="22" t="s">
        <v>153</v>
      </c>
      <c r="H2631" s="22" t="s">
        <v>153</v>
      </c>
      <c r="I2631" s="26">
        <v>43728</v>
      </c>
      <c r="J2631" s="28" t="s">
        <v>51</v>
      </c>
      <c r="K2631" s="28" t="s">
        <v>51</v>
      </c>
      <c r="L2631" s="22" t="s">
        <v>10</v>
      </c>
      <c r="M2631" s="25">
        <v>1147391.26</v>
      </c>
      <c r="N2631" s="27">
        <v>0</v>
      </c>
    </row>
    <row r="2632" spans="1:14" x14ac:dyDescent="0.15">
      <c r="A2632" s="23" t="str">
        <f>HYPERLINK("https://www.spark-marketing.ru/Card/Person/6248", "ФГБОУ ВО ""ПГУ"", ПЕНЗЕНСКИЙ ГОСУДАРСТВЕННЫЙ УНИВЕРСИТЕТ, ФГБОУ ВО ""ПЕНЗЕНСКИЙ ГОСУДАРСТВЕННЫЙ УНИВЕРСИТЕТ""")</f>
        <v>ФГБОУ ВО "ПГУ", ПЕНЗЕНСКИЙ ГОСУДАРСТВЕННЫЙ УНИВЕРСИТЕТ, ФГБОУ ВО "ПЕНЗЕНСКИЙ ГОСУДАРСТВЕННЫЙ УНИВЕРСИТЕТ"</v>
      </c>
      <c r="B2632" s="24" t="s">
        <v>3557</v>
      </c>
      <c r="C2632" s="25">
        <v>148000</v>
      </c>
      <c r="D2632" s="22" t="s">
        <v>4812</v>
      </c>
      <c r="E2632" s="22" t="s">
        <v>4023</v>
      </c>
      <c r="F2632" s="23" t="str">
        <f>HYPERLINK("https://www.spark-marketing.ru/Card/Lot/73535197", "Оказание услуг по организации питания участников мероприятия")</f>
        <v>Оказание услуг по организации питания участников мероприятия</v>
      </c>
      <c r="G2632" s="22" t="s">
        <v>72</v>
      </c>
      <c r="H2632" s="22" t="s">
        <v>72</v>
      </c>
      <c r="I2632" s="26">
        <v>43725</v>
      </c>
      <c r="J2632" s="28" t="s">
        <v>51</v>
      </c>
      <c r="K2632" s="28" t="s">
        <v>51</v>
      </c>
      <c r="L2632" s="28" t="s">
        <v>51</v>
      </c>
      <c r="M2632" s="28" t="s">
        <v>51</v>
      </c>
      <c r="N2632" s="28" t="s">
        <v>51</v>
      </c>
    </row>
    <row r="2633" spans="1:14" x14ac:dyDescent="0.15">
      <c r="A2633" s="23" t="str">
        <f>HYPERLINK("https://www.spark-marketing.ru/Card/Person/4414853", "ГАУК АО ""АГТОБ""")</f>
        <v>ГАУК АО "АГТОБ"</v>
      </c>
      <c r="B2633" s="24" t="s">
        <v>4813</v>
      </c>
      <c r="C2633" s="25">
        <v>699293.14</v>
      </c>
      <c r="D2633" s="22" t="s">
        <v>4814</v>
      </c>
      <c r="E2633" s="22" t="s">
        <v>362</v>
      </c>
      <c r="F2633" s="23" t="str">
        <f>HYPERLINK("https://www.spark-marketing.ru/Card/Lot/73551241", "Оказание услуг по организации питания гостей Театра")</f>
        <v>Оказание услуг по организации питания гостей Театра</v>
      </c>
      <c r="G2633" s="22" t="s">
        <v>141</v>
      </c>
      <c r="H2633" s="22" t="s">
        <v>141</v>
      </c>
      <c r="I2633" s="26">
        <v>43725</v>
      </c>
      <c r="J2633" s="28" t="s">
        <v>51</v>
      </c>
      <c r="K2633" s="28" t="s">
        <v>51</v>
      </c>
      <c r="L2633" s="28" t="s">
        <v>51</v>
      </c>
      <c r="M2633" s="28" t="s">
        <v>51</v>
      </c>
      <c r="N2633" s="28" t="s">
        <v>51</v>
      </c>
    </row>
    <row r="2634" spans="1:14" x14ac:dyDescent="0.2">
      <c r="A2634" s="23" t="str">
        <f>HYPERLINK("https://www.spark-marketing.ru/Card/Person/138493", "МАОУ СОШ № 11 Г. ЮЖНО-САХАЛИНСКА")</f>
        <v>МАОУ СОШ № 11 Г. ЮЖНО-САХАЛИНСКА</v>
      </c>
      <c r="B2634" s="24" t="s">
        <v>4815</v>
      </c>
      <c r="C2634" s="25">
        <v>390500</v>
      </c>
      <c r="D2634" s="22" t="s">
        <v>4816</v>
      </c>
      <c r="E2634" s="22" t="s">
        <v>362</v>
      </c>
      <c r="F2634" s="23" t="str">
        <f>HYPERLINK("https://www.spark-marketing.ru/Card/Lot/73520389", "Организация питания обучающихся, осваивающих образовательную программу начального общего образования, являющихся получатели услуги оказываемой Заказчиком по осуществлению присмотра и ухода за детьми в группах продленного дня (далее по тексту ГПД)")</f>
        <v>Организация питания обучающихся, осваивающих образовательную программу начального общего образования, являющихся получатели услуги оказываемой Заказчиком по осуществлению присмотра и ухода за детьми в группах продленного дня (далее по тексту ГПД)</v>
      </c>
      <c r="G2634" s="22" t="s">
        <v>260</v>
      </c>
      <c r="H2634" s="22" t="s">
        <v>260</v>
      </c>
      <c r="I2634" s="26">
        <v>43725</v>
      </c>
      <c r="J2634" s="28" t="s">
        <v>51</v>
      </c>
      <c r="K2634" s="28" t="s">
        <v>51</v>
      </c>
      <c r="L2634" s="28" t="s">
        <v>51</v>
      </c>
      <c r="M2634" s="25">
        <v>500000</v>
      </c>
      <c r="N2634" s="27">
        <v>-0.28040973111395645</v>
      </c>
    </row>
    <row r="2635" spans="1:14" x14ac:dyDescent="0.2">
      <c r="A2635" s="23" t="str">
        <f>HYPERLINK("https://www.spark-marketing.ru/Card/Person/1752217", "МАДОУ""ЦРР - ДЕТСКИЙ САД № 47"" Г. ПЕРМИ")</f>
        <v>МАДОУ"ЦРР - ДЕТСКИЙ САД № 47" Г. ПЕРМИ</v>
      </c>
      <c r="B2635" s="24" t="s">
        <v>4817</v>
      </c>
      <c r="C2635" s="25">
        <v>32725227.600000001</v>
      </c>
      <c r="D2635" s="22" t="s">
        <v>4818</v>
      </c>
      <c r="E2635" s="22" t="s">
        <v>362</v>
      </c>
      <c r="F2635" s="23" t="str">
        <f>HYPERLINK("https://www.spark-marketing.ru/Card/Lot/73484697", "на оказание услуги по организации питания воспитанников")</f>
        <v>на оказание услуги по организации питания воспитанников</v>
      </c>
      <c r="G2635" s="22" t="s">
        <v>153</v>
      </c>
      <c r="H2635" s="22" t="s">
        <v>153</v>
      </c>
      <c r="I2635" s="26">
        <v>43724</v>
      </c>
      <c r="J2635" s="28" t="s">
        <v>51</v>
      </c>
      <c r="K2635" s="28" t="s">
        <v>51</v>
      </c>
      <c r="L2635" s="28" t="s">
        <v>51</v>
      </c>
      <c r="M2635" s="25">
        <v>32675237.600000001</v>
      </c>
      <c r="N2635" s="27">
        <v>1.5275676799265409E-3</v>
      </c>
    </row>
    <row r="2636" spans="1:14" x14ac:dyDescent="0.15">
      <c r="A2636" s="23" t="str">
        <f>HYPERLINK("https://www.spark-marketing.ru/Card/Person/717944", "ГАУ СО МО ""СОЦИАЛЬНО-ОЗДОРОВИТЕЛЬНЫЙ ЦЕНТР ""ЛЕСНАЯ ПОЛЯНА""")</f>
        <v>ГАУ СО МО "СОЦИАЛЬНО-ОЗДОРОВИТЕЛЬНЫЙ ЦЕНТР "ЛЕСНАЯ ПОЛЯНА"</v>
      </c>
      <c r="B2636" s="24" t="s">
        <v>3283</v>
      </c>
      <c r="C2636" s="25">
        <v>194400</v>
      </c>
      <c r="D2636" s="22" t="s">
        <v>4819</v>
      </c>
      <c r="E2636" s="22" t="s">
        <v>554</v>
      </c>
      <c r="F2636" s="23" t="str">
        <f>HYPERLINK("https://www.spark-marketing.ru/Card/Lot/73548741", "Услуги по проживанию и питанию участников 18 Встречи организаторов отдыха, оздоровления детей и молодежи ""Лето 2019: первые итоги, ориентиры дальнейшегоразвития сферы детского отдыха и оздоровления""")</f>
        <v>Услуги по проживанию и питанию участников 18 Встречи организаторов отдыха, оздоровления детей и молодежи "Лето 2019: первые итоги, ориентиры дальнейшегоразвития сферы детского отдыха и оздоровления"</v>
      </c>
      <c r="G2636" s="22" t="s">
        <v>49</v>
      </c>
      <c r="H2636" s="22" t="s">
        <v>4820</v>
      </c>
      <c r="I2636" s="26">
        <v>43725</v>
      </c>
      <c r="J2636" s="28" t="s">
        <v>51</v>
      </c>
      <c r="K2636" s="28" t="s">
        <v>51</v>
      </c>
      <c r="L2636" s="28" t="s">
        <v>51</v>
      </c>
      <c r="M2636" s="28" t="s">
        <v>51</v>
      </c>
      <c r="N2636" s="28" t="s">
        <v>51</v>
      </c>
    </row>
    <row r="2637" spans="1:14" x14ac:dyDescent="0.2">
      <c r="A2637" s="23" t="str">
        <f>HYPERLINK("https://www.spark-marketing.ru/Card/Person/2477557", "МАУ ФК ""РУБИН""")</f>
        <v>МАУ ФК "РУБИН"</v>
      </c>
      <c r="B2637" s="24" t="s">
        <v>4821</v>
      </c>
      <c r="C2637" s="25">
        <v>268800</v>
      </c>
      <c r="D2637" s="22" t="s">
        <v>4822</v>
      </c>
      <c r="E2637" s="22" t="s">
        <v>4823</v>
      </c>
      <c r="F2637" s="23" t="str">
        <f>HYPERLINK("https://www.spark-marketing.ru/Card/Lot/73549319", "Размещение и питание для команд 2003 г.р.( финал Первенства России зона ""Приволжье"")")</f>
        <v>Размещение и питание для команд 2003 г.р.( финал Первенства России зона "Приволжье")</v>
      </c>
      <c r="G2637" s="22" t="s">
        <v>128</v>
      </c>
      <c r="H2637" s="22" t="s">
        <v>128</v>
      </c>
      <c r="I2637" s="26">
        <v>43725</v>
      </c>
      <c r="J2637" s="28" t="s">
        <v>51</v>
      </c>
      <c r="K2637" s="28" t="s">
        <v>51</v>
      </c>
      <c r="L2637" s="22" t="s">
        <v>10</v>
      </c>
      <c r="M2637" s="25">
        <v>268800</v>
      </c>
      <c r="N2637" s="27">
        <v>0</v>
      </c>
    </row>
    <row r="2638" spans="1:14" x14ac:dyDescent="0.15">
      <c r="A2638" s="23" t="str">
        <f>HYPERLINK("https://www.spark-marketing.ru/Card/Person/74846", "МБОУ СОШ №1 П. ЗАГОРЯНСКИЙ ЩМР МО")</f>
        <v>МБОУ СОШ №1 П. ЗАГОРЯНСКИЙ ЩМР МО</v>
      </c>
      <c r="B2638" s="24" t="s">
        <v>4824</v>
      </c>
      <c r="C2638" s="25">
        <v>2009280</v>
      </c>
      <c r="D2638" s="22" t="s">
        <v>4825</v>
      </c>
      <c r="E2638" s="22" t="s">
        <v>48</v>
      </c>
      <c r="F2638" s="23" t="str">
        <f>HYPERLINK("https://www.spark-marketing.ru/Card/Lot/73504492",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638" s="22" t="s">
        <v>49</v>
      </c>
      <c r="H2638" s="22" t="s">
        <v>4644</v>
      </c>
      <c r="I2638" s="26">
        <v>43724.816666666702</v>
      </c>
      <c r="J2638" s="28" t="s">
        <v>51</v>
      </c>
      <c r="K2638" s="28" t="s">
        <v>51</v>
      </c>
      <c r="L2638" s="28" t="s">
        <v>51</v>
      </c>
      <c r="M2638" s="28" t="s">
        <v>51</v>
      </c>
      <c r="N2638" s="28" t="s">
        <v>51</v>
      </c>
    </row>
    <row r="2639" spans="1:14" x14ac:dyDescent="0.15">
      <c r="A2639" s="23" t="str">
        <f>HYPERLINK("https://www.spark-marketing.ru/Card/Person/94068", "МБДОУ ДЕТСКИЙ САД №19 ""РОДНИЧОК"" ОБЩЕРАЗВИВАЮЩЕГО ВИДА ГОЩ")</f>
        <v>МБДОУ ДЕТСКИЙ САД №19 "РОДНИЧОК" ОБЩЕРАЗВИВАЮЩЕГО ВИДА ГОЩ</v>
      </c>
      <c r="B2639" s="24" t="s">
        <v>4826</v>
      </c>
      <c r="C2639" s="25">
        <v>4881467.3600000003</v>
      </c>
      <c r="D2639" s="22" t="s">
        <v>4827</v>
      </c>
      <c r="E2639" s="22" t="s">
        <v>48</v>
      </c>
      <c r="F2639" s="23" t="str">
        <f>HYPERLINK("https://www.spark-marketing.ru/Card/Lot/73507134",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639" s="22" t="s">
        <v>49</v>
      </c>
      <c r="H2639" s="22" t="s">
        <v>4644</v>
      </c>
      <c r="I2639" s="26">
        <v>43724.816458333298</v>
      </c>
      <c r="J2639" s="28" t="s">
        <v>51</v>
      </c>
      <c r="K2639" s="28" t="s">
        <v>51</v>
      </c>
      <c r="L2639" s="28" t="s">
        <v>51</v>
      </c>
      <c r="M2639" s="28" t="s">
        <v>51</v>
      </c>
      <c r="N2639" s="28" t="s">
        <v>51</v>
      </c>
    </row>
    <row r="2640" spans="1:14" x14ac:dyDescent="0.15">
      <c r="A2640" s="23" t="str">
        <f>HYPERLINK("https://www.spark-marketing.ru/Card/Person/59844", "МБДОУ ДЕТСКИЙ САД №47 ""БЕЛЬЧОНОК"" ГОЩ")</f>
        <v>МБДОУ ДЕТСКИЙ САД №47 "БЕЛЬЧОНОК" ГОЩ</v>
      </c>
      <c r="B2640" s="24" t="s">
        <v>4828</v>
      </c>
      <c r="C2640" s="25">
        <v>4082965.6</v>
      </c>
      <c r="D2640" s="22" t="s">
        <v>4829</v>
      </c>
      <c r="E2640" s="22" t="s">
        <v>48</v>
      </c>
      <c r="F2640" s="23" t="str">
        <f>HYPERLINK("https://www.spark-marketing.ru/Card/Lot/73507135",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640" s="22" t="s">
        <v>49</v>
      </c>
      <c r="H2640" s="22" t="s">
        <v>4644</v>
      </c>
      <c r="I2640" s="26">
        <v>43724.816655092603</v>
      </c>
      <c r="J2640" s="28" t="s">
        <v>51</v>
      </c>
      <c r="K2640" s="28" t="s">
        <v>51</v>
      </c>
      <c r="L2640" s="28" t="s">
        <v>51</v>
      </c>
      <c r="M2640" s="28" t="s">
        <v>51</v>
      </c>
      <c r="N2640" s="28" t="s">
        <v>51</v>
      </c>
    </row>
    <row r="2641" spans="1:14" x14ac:dyDescent="0.15">
      <c r="A2641" s="23" t="str">
        <f>HYPERLINK("https://www.spark-marketing.ru/Card/Person/61571", "МБДОУ ДЕТСКИЙ САД №56 ""МОЗАИКА"" ГОЩ")</f>
        <v>МБДОУ ДЕТСКИЙ САД №56 "МОЗАИКА" ГОЩ</v>
      </c>
      <c r="B2641" s="24" t="s">
        <v>4830</v>
      </c>
      <c r="C2641" s="25">
        <v>2487612.4</v>
      </c>
      <c r="D2641" s="22" t="s">
        <v>4831</v>
      </c>
      <c r="E2641" s="22" t="s">
        <v>48</v>
      </c>
      <c r="F2641" s="23" t="str">
        <f>HYPERLINK("https://www.spark-marketing.ru/Card/Lot/73508029",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641" s="22" t="s">
        <v>49</v>
      </c>
      <c r="H2641" s="22" t="s">
        <v>4644</v>
      </c>
      <c r="I2641" s="26">
        <v>43724.714467592603</v>
      </c>
      <c r="J2641" s="28" t="s">
        <v>51</v>
      </c>
      <c r="K2641" s="28" t="s">
        <v>51</v>
      </c>
      <c r="L2641" s="28" t="s">
        <v>51</v>
      </c>
      <c r="M2641" s="28" t="s">
        <v>51</v>
      </c>
      <c r="N2641" s="28" t="s">
        <v>51</v>
      </c>
    </row>
    <row r="2642" spans="1:14" collapsed="1" x14ac:dyDescent="0.15">
      <c r="A2642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642" s="24" t="s">
        <v>3255</v>
      </c>
      <c r="C2642" s="25">
        <v>2361068.1800000002</v>
      </c>
      <c r="D2642" s="22" t="s">
        <v>4832</v>
      </c>
      <c r="E2642" s="22" t="s">
        <v>52</v>
      </c>
      <c r="F2642" s="23" t="str">
        <f>HYPERLINK("https://www.spark-marketing.ru/Card/Lot/73504177", "Поставка лекарственного препарата для медицинского применения ""Эпоэтин альфа""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специализированным...")</f>
        <v>Поставка лекарственного препарата для медицинского применения "Эпоэтин альфа"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</v>
      </c>
      <c r="G2642" s="22" t="s">
        <v>210</v>
      </c>
      <c r="H2642" s="22" t="s">
        <v>3257</v>
      </c>
      <c r="I2642" s="26">
        <v>43724.747222222199</v>
      </c>
      <c r="J2642" s="28" t="s">
        <v>51</v>
      </c>
      <c r="K2642" s="28" t="s">
        <v>51</v>
      </c>
      <c r="L2642" s="28" t="s">
        <v>51</v>
      </c>
      <c r="M2642" s="28" t="s">
        <v>51</v>
      </c>
      <c r="N2642" s="28" t="s">
        <v>51</v>
      </c>
    </row>
    <row r="2643" spans="1:14" ht="12.75" hidden="1" outlineLevel="1" x14ac:dyDescent="0.2">
      <c r="A2643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643" s="24" t="s">
        <v>3255</v>
      </c>
      <c r="C2643" s="25">
        <v>2361068.1800000002</v>
      </c>
      <c r="D2643" s="22" t="s">
        <v>4832</v>
      </c>
      <c r="E2643" s="22" t="s">
        <v>52</v>
      </c>
      <c r="F2643" s="23" t="str">
        <f>HYPERLINK("https://www.spark-marketing.ru/Card/Lot/73504177", "Поставка лекарственного препарата для медицинского применения ""Эпоэтин альфа""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специализированным...")</f>
        <v>Поставка лекарственного препарата для медицинского применения "Эпоэтин альфа"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</v>
      </c>
      <c r="G2643" s="22" t="s">
        <v>210</v>
      </c>
      <c r="H2643" s="22" t="s">
        <v>3257</v>
      </c>
      <c r="I2643" s="26">
        <v>43724.747222222199</v>
      </c>
      <c r="J2643" s="23" t="str">
        <f>HYPERLINK("https://www.spark-marketing.ru/Card/Person/63893", "ООО ""БАЗИС""")</f>
        <v>ООО "БАЗИС"</v>
      </c>
      <c r="K2643" s="24" t="s">
        <v>4833</v>
      </c>
      <c r="L2643" s="22" t="s">
        <v>10</v>
      </c>
      <c r="M2643" s="25">
        <v>2337457.48</v>
      </c>
      <c r="N2643" s="27">
        <v>1.0000007708375452E-2</v>
      </c>
    </row>
    <row r="2644" spans="1:14" hidden="1" outlineLevel="1" x14ac:dyDescent="0.2">
      <c r="A264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644" s="24" t="s">
        <v>3255</v>
      </c>
      <c r="C2644" s="25">
        <v>2361068.1800000002</v>
      </c>
      <c r="D2644" s="22" t="s">
        <v>4832</v>
      </c>
      <c r="E2644" s="22" t="s">
        <v>52</v>
      </c>
      <c r="F2644" s="23" t="str">
        <f>HYPERLINK("https://www.spark-marketing.ru/Card/Lot/73504177", "Поставка лекарственного препарата для медицинского применения ""Эпоэтин альфа""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специализированным...")</f>
        <v>Поставка лекарственного препарата для медицинского применения "Эпоэтин альфа"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</v>
      </c>
      <c r="G2644" s="22" t="s">
        <v>210</v>
      </c>
      <c r="H2644" s="22" t="s">
        <v>3257</v>
      </c>
      <c r="I2644" s="26">
        <v>43724.747222222199</v>
      </c>
      <c r="J2644" s="23" t="str">
        <f>HYPERLINK("https://www.spark-marketing.ru/Card/Person/5856604", "ООО ""РУСМЕДФАРМ""")</f>
        <v>ООО "РУСМЕДФАРМ"</v>
      </c>
      <c r="K2644" s="24" t="s">
        <v>4834</v>
      </c>
      <c r="L2644" s="28" t="s">
        <v>51</v>
      </c>
      <c r="M2644" s="25">
        <v>2337457.5</v>
      </c>
      <c r="N2644" s="27">
        <v>9.9999992376331968E-3</v>
      </c>
    </row>
    <row r="2645" spans="1:14" x14ac:dyDescent="0.15">
      <c r="A2645" s="23" t="str">
        <f>HYPERLINK("https://www.spark-marketing.ru/Card/Person/47837", "МО МВД РОССИИ ""БУГУРУСЛАНСКИЙ""")</f>
        <v>МО МВД РОССИИ "БУГУРУСЛАНСКИЙ"</v>
      </c>
      <c r="B2645" s="24" t="s">
        <v>3621</v>
      </c>
      <c r="C2645" s="25">
        <v>1394168.2</v>
      </c>
      <c r="D2645" s="22" t="s">
        <v>4835</v>
      </c>
      <c r="E2645" s="22" t="s">
        <v>48</v>
      </c>
      <c r="F2645" s="23" t="str">
        <f>HYPERLINK("https://www.spark-marketing.ru/Card/Lot/73502459", "Питание ИВС")</f>
        <v>Питание ИВС</v>
      </c>
      <c r="G2645" s="22" t="s">
        <v>132</v>
      </c>
      <c r="H2645" s="22" t="s">
        <v>3623</v>
      </c>
      <c r="I2645" s="26">
        <v>43724.723611111098</v>
      </c>
      <c r="J2645" s="23" t="str">
        <f>HYPERLINK("https://www.spark-marketing.ru/Card/Person/2521118", "ООО ""ЖЕМЧУЖИНА""")</f>
        <v>ООО "ЖЕМЧУЖИНА"</v>
      </c>
      <c r="K2645" s="24" t="s">
        <v>3624</v>
      </c>
      <c r="L2645" s="22" t="s">
        <v>10</v>
      </c>
      <c r="M2645" s="28" t="s">
        <v>51</v>
      </c>
      <c r="N2645" s="28" t="s">
        <v>51</v>
      </c>
    </row>
    <row r="2646" spans="1:14" x14ac:dyDescent="0.15">
      <c r="A2646" s="23" t="str">
        <f>HYPERLINK("https://www.spark-marketing.ru/Card/Person/19666", "УСД В РЕСПУБЛИКЕ КАРЕЛИЯ")</f>
        <v>УСД В РЕСПУБЛИКЕ КАРЕЛИЯ</v>
      </c>
      <c r="B2646" s="24" t="s">
        <v>4836</v>
      </c>
      <c r="C2646" s="25">
        <v>70000</v>
      </c>
      <c r="D2646" s="22" t="s">
        <v>4837</v>
      </c>
      <c r="E2646" s="22" t="s">
        <v>1166</v>
      </c>
      <c r="F2646" s="23" t="str">
        <f>HYPERLINK("https://www.spark-marketing.ru/Card/Lot/73490384", "Оказание услуг по сбору, транспортированию с дальнейшим обезвреживанием и утилизацией отходов районных (городских) судов Республики Карелия")</f>
        <v>Оказание услуг по сбору, транспортированию с дальнейшим обезвреживанием и утилизацией отходов районных (городских) судов Республики Карелия</v>
      </c>
      <c r="G2646" s="22" t="s">
        <v>59</v>
      </c>
      <c r="H2646" s="22" t="s">
        <v>59</v>
      </c>
      <c r="I2646" s="26">
        <v>43724.724305555603</v>
      </c>
      <c r="J2646" s="23" t="str">
        <f>HYPERLINK("https://www.spark-marketing.ru/Card/Person/5872326", "ООО ""ГРИНТЭК""")</f>
        <v>ООО "ГРИНТЭК"</v>
      </c>
      <c r="K2646" s="24" t="s">
        <v>4838</v>
      </c>
      <c r="L2646" s="22" t="s">
        <v>10</v>
      </c>
      <c r="M2646" s="28" t="s">
        <v>51</v>
      </c>
      <c r="N2646" s="28" t="s">
        <v>51</v>
      </c>
    </row>
    <row r="2647" spans="1:14" x14ac:dyDescent="0.15">
      <c r="A2647" s="23" t="str">
        <f>HYPERLINK("https://www.spark-marketing.ru/Card/Person/1013025", "ФКУ ""ЦУКС ГУ МЧС РОССИИ ПО РЯЗАНСКОЙ ОБЛАСТИ""")</f>
        <v>ФКУ "ЦУКС ГУ МЧС РОССИИ ПО РЯЗАНСКОЙ ОБЛАСТИ"</v>
      </c>
      <c r="B2647" s="24" t="s">
        <v>4839</v>
      </c>
      <c r="C2647" s="25">
        <v>184000</v>
      </c>
      <c r="D2647" s="22" t="s">
        <v>4840</v>
      </c>
      <c r="E2647" s="22" t="s">
        <v>48</v>
      </c>
      <c r="F2647" s="23" t="str">
        <f>HYPERLINK("https://www.spark-marketing.ru/Card/Lot/73486893", "Услуги по обеспечению питанием, осуществляемые по договору, 460 усл. ед")</f>
        <v>Услуги по обеспечению питанием, осуществляемые по договору, 460 усл. ед</v>
      </c>
      <c r="G2647" s="22" t="s">
        <v>1522</v>
      </c>
      <c r="H2647" s="22" t="s">
        <v>1523</v>
      </c>
      <c r="I2647" s="26">
        <v>43724.7254398148</v>
      </c>
      <c r="J2647" s="28" t="s">
        <v>51</v>
      </c>
      <c r="K2647" s="28" t="s">
        <v>51</v>
      </c>
      <c r="L2647" s="28" t="s">
        <v>51</v>
      </c>
      <c r="M2647" s="28" t="s">
        <v>51</v>
      </c>
      <c r="N2647" s="28" t="s">
        <v>51</v>
      </c>
    </row>
    <row r="2648" spans="1:14" collapsed="1" x14ac:dyDescent="0.15">
      <c r="A2648" s="23" t="str">
        <f>HYPERLINK("https://www.spark-marketing.ru/Card/Person/1001198", "МБУ МЦ ""ПОДСОЛНУХ""")</f>
        <v>МБУ МЦ "ПОДСОЛНУХ"</v>
      </c>
      <c r="B2648" s="24" t="s">
        <v>4841</v>
      </c>
      <c r="C2648" s="25">
        <v>443332.4</v>
      </c>
      <c r="D2648" s="22" t="s">
        <v>4842</v>
      </c>
      <c r="E2648" s="22" t="s">
        <v>81</v>
      </c>
      <c r="F2648" s="23" t="str">
        <f>HYPERLINK("https://www.spark-marketing.ru/Card/Lot/73495114", "Проживание и питание участников форума ""Территория Солнца""")</f>
        <v>Проживание и питание участников форума "Территория Солнца"</v>
      </c>
      <c r="G2648" s="22" t="s">
        <v>49</v>
      </c>
      <c r="H2648" s="22" t="s">
        <v>204</v>
      </c>
      <c r="I2648" s="26">
        <v>43724.738888888904</v>
      </c>
      <c r="J2648" s="28" t="s">
        <v>51</v>
      </c>
      <c r="K2648" s="28" t="s">
        <v>51</v>
      </c>
      <c r="L2648" s="28" t="s">
        <v>51</v>
      </c>
      <c r="M2648" s="28" t="s">
        <v>51</v>
      </c>
      <c r="N2648" s="28" t="s">
        <v>51</v>
      </c>
    </row>
    <row r="2649" spans="1:14" ht="12.75" hidden="1" outlineLevel="1" x14ac:dyDescent="0.2">
      <c r="A2649" s="23" t="str">
        <f>HYPERLINK("https://www.spark-marketing.ru/Card/Person/1001198", "МБУ МЦ ""ПОДСОЛНУХ""")</f>
        <v>МБУ МЦ "ПОДСОЛНУХ"</v>
      </c>
      <c r="B2649" s="24" t="s">
        <v>4841</v>
      </c>
      <c r="C2649" s="25">
        <v>443332.4</v>
      </c>
      <c r="D2649" s="22" t="s">
        <v>4842</v>
      </c>
      <c r="E2649" s="22" t="s">
        <v>81</v>
      </c>
      <c r="F2649" s="23" t="str">
        <f>HYPERLINK("https://www.spark-marketing.ru/Card/Lot/73495114", "Проживание и питание участников форума ""Территория Солнца""")</f>
        <v>Проживание и питание участников форума "Территория Солнца"</v>
      </c>
      <c r="G2649" s="22" t="s">
        <v>49</v>
      </c>
      <c r="H2649" s="22" t="s">
        <v>204</v>
      </c>
      <c r="I2649" s="26">
        <v>43724.738888888904</v>
      </c>
      <c r="J2649" s="23" t="str">
        <f>HYPERLINK("https://www.spark-marketing.ru/Card/Person/4358897", "ООО ""ТРИНИТИ ТРЕВЕЛ""")</f>
        <v>ООО "ТРИНИТИ ТРЕВЕЛ"</v>
      </c>
      <c r="K2649" s="24" t="s">
        <v>2483</v>
      </c>
      <c r="L2649" s="22" t="s">
        <v>10</v>
      </c>
      <c r="M2649" s="25">
        <v>397600</v>
      </c>
      <c r="N2649" s="27">
        <v>0.10315600664422452</v>
      </c>
    </row>
    <row r="2650" spans="1:14" hidden="1" outlineLevel="1" x14ac:dyDescent="0.2">
      <c r="A2650" s="23" t="str">
        <f>HYPERLINK("https://www.spark-marketing.ru/Card/Person/1001198", "МБУ МЦ ""ПОДСОЛНУХ""")</f>
        <v>МБУ МЦ "ПОДСОЛНУХ"</v>
      </c>
      <c r="B2650" s="24" t="s">
        <v>4841</v>
      </c>
      <c r="C2650" s="25">
        <v>443332.4</v>
      </c>
      <c r="D2650" s="22" t="s">
        <v>4842</v>
      </c>
      <c r="E2650" s="22" t="s">
        <v>81</v>
      </c>
      <c r="F2650" s="23" t="str">
        <f>HYPERLINK("https://www.spark-marketing.ru/Card/Lot/73495114", "Проживание и питание участников форума ""Территория Солнца""")</f>
        <v>Проживание и питание участников форума "Территория Солнца"</v>
      </c>
      <c r="G2650" s="22" t="s">
        <v>49</v>
      </c>
      <c r="H2650" s="22" t="s">
        <v>204</v>
      </c>
      <c r="I2650" s="26">
        <v>43724.738888888904</v>
      </c>
      <c r="J2650" s="23" t="str">
        <f>HYPERLINK("https://www.spark-marketing.ru/Card/Person/731587", "ООО ""СП КОЛТЫШЕВО""")</f>
        <v>ООО "СП КОЛТЫШЕВО"</v>
      </c>
      <c r="K2650" s="24" t="s">
        <v>4843</v>
      </c>
      <c r="L2650" s="28" t="s">
        <v>51</v>
      </c>
      <c r="M2650" s="25">
        <v>443330</v>
      </c>
      <c r="N2650" s="27">
        <v>5.4135452315237961E-6</v>
      </c>
    </row>
    <row r="2651" spans="1:14" x14ac:dyDescent="0.15">
      <c r="A2651" s="23" t="str">
        <f>HYPERLINK("https://www.spark-marketing.ru/Card/Person/5862006", "ЗАО ГАЗПРОМНЕФТЬ АЭРО")</f>
        <v>ЗАО ГАЗПРОМНЕФТЬ АЭРО</v>
      </c>
      <c r="B2651" s="28" t="s">
        <v>51</v>
      </c>
      <c r="C2651" s="28" t="s">
        <v>51</v>
      </c>
      <c r="D2651" s="22" t="s">
        <v>4844</v>
      </c>
      <c r="E2651" s="22" t="s">
        <v>52</v>
      </c>
      <c r="F2651" s="23" t="str">
        <f>HYPERLINK("https://www.spark-marketing.ru/Card/Lot/73490998", "Отбор организации, способной оказать услуги по организации питания работников филиала ""Псков"" АО ""Газпромнефть-Аэро""")</f>
        <v>Отбор организации, способной оказать услуги по организации питания работников филиала "Псков" АО "Газпромнефть-Аэро"</v>
      </c>
      <c r="G2651" s="22" t="s">
        <v>51</v>
      </c>
      <c r="H2651" s="22" t="s">
        <v>51</v>
      </c>
      <c r="I2651" s="26">
        <v>43724.729166666701</v>
      </c>
      <c r="J2651" s="28" t="s">
        <v>51</v>
      </c>
      <c r="K2651" s="28" t="s">
        <v>51</v>
      </c>
      <c r="L2651" s="28" t="s">
        <v>51</v>
      </c>
      <c r="M2651" s="28" t="s">
        <v>51</v>
      </c>
      <c r="N2651" s="28" t="s">
        <v>51</v>
      </c>
    </row>
    <row r="2652" spans="1:14" x14ac:dyDescent="0.15">
      <c r="A2652" s="23" t="str">
        <f>HYPERLINK("https://www.spark-marketing.ru/Card/Person/65191", "МО МВД РОССИИ ""ПУГАЧЁВСКИЙ"" САРАТОВСКОЙ ОБЛАСТИ")</f>
        <v>МО МВД РОССИИ "ПУГАЧЁВСКИЙ" САРАТОВСКОЙ ОБЛАСТИ</v>
      </c>
      <c r="B2652" s="24" t="s">
        <v>817</v>
      </c>
      <c r="C2652" s="25">
        <v>198080.6</v>
      </c>
      <c r="D2652" s="22" t="s">
        <v>4845</v>
      </c>
      <c r="E2652" s="22" t="s">
        <v>48</v>
      </c>
      <c r="F2652" s="23" t="str">
        <f>HYPERLINK("https://www.spark-marketing.ru/Card/Lot/73497299", "Оказание услуг по обеспечению бесперебойным ежедневным трехразовым  горячим питанием лиц, задержанных за административные правонарушения на срок более трех часов и содержащихся в ПСЗ МО МВД России ""Пугачёвский"" Саратовской области")</f>
        <v>Оказание услуг по обеспечению бесперебойным ежедневным трехразовым  горячим питанием лиц, задержанных за административные правонарушения на срок более трех часов и содержащихся в ПСЗ МО МВД России "Пугачёвский" Саратовской области</v>
      </c>
      <c r="G2652" s="22" t="s">
        <v>351</v>
      </c>
      <c r="H2652" s="22" t="s">
        <v>819</v>
      </c>
      <c r="I2652" s="26">
        <v>43724.722916666702</v>
      </c>
      <c r="J2652" s="23" t="str">
        <f>HYPERLINK("https://www.spark-marketing.ru/Card/Person/797861", "Малетин Денис Романович")</f>
        <v>Малетин Денис Романович</v>
      </c>
      <c r="K2652" s="24" t="s">
        <v>4846</v>
      </c>
      <c r="L2652" s="22" t="s">
        <v>10</v>
      </c>
      <c r="M2652" s="28" t="s">
        <v>51</v>
      </c>
      <c r="N2652" s="28" t="s">
        <v>51</v>
      </c>
    </row>
    <row r="2653" spans="1:14" collapsed="1" x14ac:dyDescent="0.15">
      <c r="A2653" s="23" t="str">
        <f t="shared" ref="A2653:A2658" si="38"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653" s="24" t="s">
        <v>3255</v>
      </c>
      <c r="C2653" s="25">
        <v>553765.30000000005</v>
      </c>
      <c r="D2653" s="22" t="s">
        <v>4847</v>
      </c>
      <c r="E2653" s="22" t="s">
        <v>52</v>
      </c>
      <c r="F2653" s="23" t="str">
        <f t="shared" ref="F2653:F2658" si="39">HYPERLINK("https://www.spark-marketing.ru/Card/Lot/73496382", "Поставка лекарственного препарата для медицинского применения ""Эноксапарин натрия""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специализиров...")</f>
        <v>Поставка лекарственного препарата для медицинского применения "Эноксапарин натрия"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</v>
      </c>
      <c r="G2653" s="22" t="s">
        <v>210</v>
      </c>
      <c r="H2653" s="22" t="s">
        <v>3257</v>
      </c>
      <c r="I2653" s="26">
        <v>43724.722916666702</v>
      </c>
      <c r="J2653" s="28" t="s">
        <v>51</v>
      </c>
      <c r="K2653" s="28" t="s">
        <v>51</v>
      </c>
      <c r="L2653" s="28" t="s">
        <v>51</v>
      </c>
      <c r="M2653" s="28" t="s">
        <v>51</v>
      </c>
      <c r="N2653" s="28" t="s">
        <v>51</v>
      </c>
    </row>
    <row r="2654" spans="1:14" hidden="1" outlineLevel="1" x14ac:dyDescent="0.2">
      <c r="A2654" s="23" t="str">
        <f t="shared" si="38"/>
        <v>МИНИСТЕРСТВО ЗДРАВООХРАНЕНИЯ АМУРСКОЙ ОБЛАСТИ</v>
      </c>
      <c r="B2654" s="24" t="s">
        <v>3255</v>
      </c>
      <c r="C2654" s="25">
        <v>553765.30000000005</v>
      </c>
      <c r="D2654" s="22" t="s">
        <v>4847</v>
      </c>
      <c r="E2654" s="22" t="s">
        <v>52</v>
      </c>
      <c r="F2654" s="23" t="str">
        <f t="shared" si="39"/>
        <v>Поставка лекарственного препарата для медицинского применения "Эноксапарин натрия"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</v>
      </c>
      <c r="G2654" s="22" t="s">
        <v>210</v>
      </c>
      <c r="H2654" s="22" t="s">
        <v>3257</v>
      </c>
      <c r="I2654" s="26">
        <v>43724.722916666702</v>
      </c>
      <c r="J2654" s="23" t="str">
        <f>HYPERLINK("https://www.spark-marketing.ru/Card/Person/4903748", "ООО ""КОНДОР""")</f>
        <v>ООО "КОНДОР"</v>
      </c>
      <c r="K2654" s="24" t="s">
        <v>4848</v>
      </c>
      <c r="L2654" s="28" t="s">
        <v>51</v>
      </c>
      <c r="M2654" s="25">
        <v>454087.42</v>
      </c>
      <c r="N2654" s="27">
        <v>0.18000022753321668</v>
      </c>
    </row>
    <row r="2655" spans="1:14" ht="12.75" hidden="1" outlineLevel="1" x14ac:dyDescent="0.2">
      <c r="A2655" s="23" t="str">
        <f t="shared" si="38"/>
        <v>МИНИСТЕРСТВО ЗДРАВООХРАНЕНИЯ АМУРСКОЙ ОБЛАСТИ</v>
      </c>
      <c r="B2655" s="24" t="s">
        <v>3255</v>
      </c>
      <c r="C2655" s="25">
        <v>553765.30000000005</v>
      </c>
      <c r="D2655" s="22" t="s">
        <v>4847</v>
      </c>
      <c r="E2655" s="22" t="s">
        <v>52</v>
      </c>
      <c r="F2655" s="23" t="str">
        <f t="shared" si="39"/>
        <v>Поставка лекарственного препарата для медицинского применения "Эноксапарин натрия"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</v>
      </c>
      <c r="G2655" s="22" t="s">
        <v>210</v>
      </c>
      <c r="H2655" s="22" t="s">
        <v>3257</v>
      </c>
      <c r="I2655" s="26">
        <v>43724.722916666702</v>
      </c>
      <c r="J2655" s="23" t="str">
        <f>HYPERLINK("https://www.spark-marketing.ru/Card/Person/6441363", "ООО ""ИРВИН""")</f>
        <v>ООО "ИРВИН"</v>
      </c>
      <c r="K2655" s="24" t="s">
        <v>4849</v>
      </c>
      <c r="L2655" s="22" t="s">
        <v>10</v>
      </c>
      <c r="M2655" s="25">
        <v>412554.97</v>
      </c>
      <c r="N2655" s="27">
        <v>0.25500032233872366</v>
      </c>
    </row>
    <row r="2656" spans="1:14" hidden="1" outlineLevel="1" x14ac:dyDescent="0.2">
      <c r="A2656" s="23" t="str">
        <f t="shared" si="38"/>
        <v>МИНИСТЕРСТВО ЗДРАВООХРАНЕНИЯ АМУРСКОЙ ОБЛАСТИ</v>
      </c>
      <c r="B2656" s="24" t="s">
        <v>3255</v>
      </c>
      <c r="C2656" s="25">
        <v>553765.30000000005</v>
      </c>
      <c r="D2656" s="22" t="s">
        <v>4847</v>
      </c>
      <c r="E2656" s="22" t="s">
        <v>52</v>
      </c>
      <c r="F2656" s="23" t="str">
        <f t="shared" si="39"/>
        <v>Поставка лекарственного препарата для медицинского применения "Эноксапарин натрия"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</v>
      </c>
      <c r="G2656" s="22" t="s">
        <v>210</v>
      </c>
      <c r="H2656" s="22" t="s">
        <v>3257</v>
      </c>
      <c r="I2656" s="26">
        <v>43724.722916666702</v>
      </c>
      <c r="J2656" s="23" t="str">
        <f>HYPERLINK("https://www.spark-marketing.ru/Card/Person/5914516", "ООО ""ЭКСТРЕМФАРМ-С""")</f>
        <v>ООО "ЭКСТРЕМФАРМ-С"</v>
      </c>
      <c r="K2656" s="24" t="s">
        <v>4850</v>
      </c>
      <c r="L2656" s="28" t="s">
        <v>51</v>
      </c>
      <c r="M2656" s="25">
        <v>423630.29</v>
      </c>
      <c r="N2656" s="27">
        <v>0.23500029705725511</v>
      </c>
    </row>
    <row r="2657" spans="1:14" hidden="1" outlineLevel="1" x14ac:dyDescent="0.2">
      <c r="A2657" s="23" t="str">
        <f t="shared" si="38"/>
        <v>МИНИСТЕРСТВО ЗДРАВООХРАНЕНИЯ АМУРСКОЙ ОБЛАСТИ</v>
      </c>
      <c r="B2657" s="24" t="s">
        <v>3255</v>
      </c>
      <c r="C2657" s="25">
        <v>553765.30000000005</v>
      </c>
      <c r="D2657" s="22" t="s">
        <v>4847</v>
      </c>
      <c r="E2657" s="22" t="s">
        <v>52</v>
      </c>
      <c r="F2657" s="23" t="str">
        <f t="shared" si="39"/>
        <v>Поставка лекарственного препарата для медицинского применения "Эноксапарин натрия"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</v>
      </c>
      <c r="G2657" s="22" t="s">
        <v>210</v>
      </c>
      <c r="H2657" s="22" t="s">
        <v>3257</v>
      </c>
      <c r="I2657" s="26">
        <v>43724.722916666702</v>
      </c>
      <c r="J2657" s="23" t="str">
        <f>HYPERLINK("https://www.spark-marketing.ru/Card/Person/6518829", "ООО ""ЭКОМЕДИКА""")</f>
        <v>ООО "ЭКОМЕДИКА"</v>
      </c>
      <c r="K2657" s="24" t="s">
        <v>4851</v>
      </c>
      <c r="L2657" s="28" t="s">
        <v>51</v>
      </c>
      <c r="M2657" s="25">
        <v>415323.8</v>
      </c>
      <c r="N2657" s="27">
        <v>0.25000031601835654</v>
      </c>
    </row>
    <row r="2658" spans="1:14" hidden="1" outlineLevel="1" x14ac:dyDescent="0.2">
      <c r="A2658" s="23" t="str">
        <f t="shared" si="38"/>
        <v>МИНИСТЕРСТВО ЗДРАВООХРАНЕНИЯ АМУРСКОЙ ОБЛАСТИ</v>
      </c>
      <c r="B2658" s="24" t="s">
        <v>3255</v>
      </c>
      <c r="C2658" s="25">
        <v>553765.30000000005</v>
      </c>
      <c r="D2658" s="22" t="s">
        <v>4847</v>
      </c>
      <c r="E2658" s="22" t="s">
        <v>52</v>
      </c>
      <c r="F2658" s="23" t="str">
        <f t="shared" si="39"/>
        <v>Поставка лекарственного препарата для медицинского применения "Эноксапарин натрия"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</v>
      </c>
      <c r="G2658" s="22" t="s">
        <v>210</v>
      </c>
      <c r="H2658" s="22" t="s">
        <v>3257</v>
      </c>
      <c r="I2658" s="26">
        <v>43724.722916666702</v>
      </c>
      <c r="J2658" s="23" t="str">
        <f>HYPERLINK("https://www.spark-marketing.ru/Card/Person/4901952", "ООО ""ОРБИС ФАРМ""")</f>
        <v>ООО "ОРБИС ФАРМ"</v>
      </c>
      <c r="K2658" s="24" t="s">
        <v>4852</v>
      </c>
      <c r="L2658" s="28" t="s">
        <v>51</v>
      </c>
      <c r="M2658" s="25">
        <v>495000</v>
      </c>
      <c r="N2658" s="27">
        <v>0.10611950586286284</v>
      </c>
    </row>
    <row r="2659" spans="1:14" collapsed="1" x14ac:dyDescent="0.15">
      <c r="A2659" s="23" t="str">
        <f>HYPERLINK("https://www.spark-marketing.ru/Card/Person/24580", "ГКУ ""АХУ""")</f>
        <v>ГКУ "АХУ"</v>
      </c>
      <c r="B2659" s="24" t="s">
        <v>4853</v>
      </c>
      <c r="C2659" s="25">
        <v>1370731.6</v>
      </c>
      <c r="D2659" s="22" t="s">
        <v>4854</v>
      </c>
      <c r="E2659" s="22" t="s">
        <v>809</v>
      </c>
      <c r="F2659" s="23" t="str">
        <f>HYPERLINK("https://www.spark-marketing.ru/Card/Lot/73502305", "на поставку офисной оргтехники и расходных материалов к ней")</f>
        <v>на поставку офисной оргтехники и расходных материалов к ней</v>
      </c>
      <c r="G2659" s="22" t="s">
        <v>132</v>
      </c>
      <c r="H2659" s="22" t="s">
        <v>587</v>
      </c>
      <c r="I2659" s="26">
        <v>43724.736111111102</v>
      </c>
      <c r="J2659" s="28" t="s">
        <v>51</v>
      </c>
      <c r="K2659" s="28" t="s">
        <v>51</v>
      </c>
      <c r="L2659" s="28" t="s">
        <v>51</v>
      </c>
      <c r="M2659" s="28" t="s">
        <v>51</v>
      </c>
      <c r="N2659" s="28" t="s">
        <v>51</v>
      </c>
    </row>
    <row r="2660" spans="1:14" ht="12.75" hidden="1" outlineLevel="1" x14ac:dyDescent="0.2">
      <c r="A2660" s="23" t="str">
        <f>HYPERLINK("https://www.spark-marketing.ru/Card/Person/24580", "ГКУ ""АХУ""")</f>
        <v>ГКУ "АХУ"</v>
      </c>
      <c r="B2660" s="24" t="s">
        <v>4853</v>
      </c>
      <c r="C2660" s="25">
        <v>1370731.6</v>
      </c>
      <c r="D2660" s="22" t="s">
        <v>4854</v>
      </c>
      <c r="E2660" s="22" t="s">
        <v>809</v>
      </c>
      <c r="F2660" s="23" t="str">
        <f>HYPERLINK("https://www.spark-marketing.ru/Card/Lot/73502305", "на поставку офисной оргтехники и расходных материалов к ней")</f>
        <v>на поставку офисной оргтехники и расходных материалов к ней</v>
      </c>
      <c r="G2660" s="22" t="s">
        <v>132</v>
      </c>
      <c r="H2660" s="22" t="s">
        <v>587</v>
      </c>
      <c r="I2660" s="26">
        <v>43724.736111111102</v>
      </c>
      <c r="J2660" s="23" t="str">
        <f>HYPERLINK("https://www.spark-marketing.ru/Card/Person/117844", "ООО ""БСГ""")</f>
        <v>ООО "БСГ"</v>
      </c>
      <c r="K2660" s="24" t="s">
        <v>4855</v>
      </c>
      <c r="L2660" s="22" t="s">
        <v>10</v>
      </c>
      <c r="M2660" s="25">
        <v>1295341.3400000001</v>
      </c>
      <c r="N2660" s="27">
        <v>5.5000016049823318E-2</v>
      </c>
    </row>
    <row r="2661" spans="1:14" hidden="1" outlineLevel="1" x14ac:dyDescent="0.2">
      <c r="A2661" s="23" t="str">
        <f>HYPERLINK("https://www.spark-marketing.ru/Card/Person/24580", "ГКУ ""АХУ""")</f>
        <v>ГКУ "АХУ"</v>
      </c>
      <c r="B2661" s="24" t="s">
        <v>4853</v>
      </c>
      <c r="C2661" s="25">
        <v>1370731.6</v>
      </c>
      <c r="D2661" s="22" t="s">
        <v>4854</v>
      </c>
      <c r="E2661" s="22" t="s">
        <v>809</v>
      </c>
      <c r="F2661" s="23" t="str">
        <f>HYPERLINK("https://www.spark-marketing.ru/Card/Lot/73502305", "на поставку офисной оргтехники и расходных материалов к ней")</f>
        <v>на поставку офисной оргтехники и расходных материалов к ней</v>
      </c>
      <c r="G2661" s="22" t="s">
        <v>132</v>
      </c>
      <c r="H2661" s="22" t="s">
        <v>587</v>
      </c>
      <c r="I2661" s="26">
        <v>43724.736111111102</v>
      </c>
      <c r="J2661" s="23" t="str">
        <f>HYPERLINK("https://www.spark-marketing.ru/Card/Person/4879297", "ООО ""СТРУКТУРА МОМЕНТА""")</f>
        <v>ООО "СТРУКТУРА МОМЕНТА"</v>
      </c>
      <c r="K2661" s="24" t="s">
        <v>1783</v>
      </c>
      <c r="L2661" s="28" t="s">
        <v>51</v>
      </c>
      <c r="M2661" s="25">
        <v>1302195</v>
      </c>
      <c r="N2661" s="27">
        <v>5.0000014590748473E-2</v>
      </c>
    </row>
    <row r="2662" spans="1:14" collapsed="1" x14ac:dyDescent="0.15">
      <c r="A2662" s="23" t="str">
        <f>HYPERLINK("https://www.spark-marketing.ru/Card/Person/115657", "АППАРАТ ГОССОВЕТА РТ")</f>
        <v>АППАРАТ ГОССОВЕТА РТ</v>
      </c>
      <c r="B2662" s="24" t="s">
        <v>4856</v>
      </c>
      <c r="C2662" s="25">
        <v>2276227.5</v>
      </c>
      <c r="D2662" s="22" t="s">
        <v>4857</v>
      </c>
      <c r="E2662" s="22" t="s">
        <v>96</v>
      </c>
      <c r="F2662" s="23" t="str">
        <f>HYPERLINK("https://www.spark-marketing.ru/Card/Lot/73503045", "Право заключения государственного контракта на оказание услуг по организации и обслуживанию пленарных заседаний, приемов и иных мероприятий для нужд Государственного Совета Республики Татарстан")</f>
        <v>Право заключения государственного контракта на оказание услуг по организации и обслуживанию пленарных заседаний, приемов и иных мероприятий для нужд Государственного Совета Республики Татарстан</v>
      </c>
      <c r="G2662" s="22" t="s">
        <v>217</v>
      </c>
      <c r="H2662" s="22" t="s">
        <v>217</v>
      </c>
      <c r="I2662" s="26">
        <v>43724.716666666704</v>
      </c>
      <c r="J2662" s="28" t="s">
        <v>51</v>
      </c>
      <c r="K2662" s="28" t="s">
        <v>51</v>
      </c>
      <c r="L2662" s="28" t="s">
        <v>51</v>
      </c>
      <c r="M2662" s="28" t="s">
        <v>51</v>
      </c>
      <c r="N2662" s="28" t="s">
        <v>51</v>
      </c>
    </row>
    <row r="2663" spans="1:14" ht="12.75" hidden="1" outlineLevel="1" x14ac:dyDescent="0.2">
      <c r="A2663" s="23" t="str">
        <f>HYPERLINK("https://www.spark-marketing.ru/Card/Person/115657", "АППАРАТ ГОССОВЕТА РТ")</f>
        <v>АППАРАТ ГОССОВЕТА РТ</v>
      </c>
      <c r="B2663" s="24" t="s">
        <v>4856</v>
      </c>
      <c r="C2663" s="25">
        <v>2276227.5</v>
      </c>
      <c r="D2663" s="22" t="s">
        <v>4857</v>
      </c>
      <c r="E2663" s="22" t="s">
        <v>96</v>
      </c>
      <c r="F2663" s="23" t="str">
        <f>HYPERLINK("https://www.spark-marketing.ru/Card/Lot/73503045", "Право заключения государственного контракта на оказание услуг по организации и обслуживанию пленарных заседаний, приемов и иных мероприятий для нужд Государственного Совета Республики Татарстан")</f>
        <v>Право заключения государственного контракта на оказание услуг по организации и обслуживанию пленарных заседаний, приемов и иных мероприятий для нужд Государственного Совета Республики Татарстан</v>
      </c>
      <c r="G2663" s="22" t="s">
        <v>217</v>
      </c>
      <c r="H2663" s="22" t="s">
        <v>217</v>
      </c>
      <c r="I2663" s="26">
        <v>43724.716666666704</v>
      </c>
      <c r="J2663" s="23" t="str">
        <f>HYPERLINK("https://www.spark-marketing.ru/Card/Person/167314", "ООО ""СОВЕТ""")</f>
        <v>ООО "СОВЕТ"</v>
      </c>
      <c r="K2663" s="24" t="s">
        <v>4858</v>
      </c>
      <c r="L2663" s="22" t="s">
        <v>10</v>
      </c>
      <c r="M2663" s="25">
        <v>1786838.48</v>
      </c>
      <c r="N2663" s="27">
        <v>0.21500004722726529</v>
      </c>
    </row>
    <row r="2664" spans="1:14" hidden="1" outlineLevel="1" x14ac:dyDescent="0.2">
      <c r="A2664" s="23" t="str">
        <f>HYPERLINK("https://www.spark-marketing.ru/Card/Person/115657", "АППАРАТ ГОССОВЕТА РТ")</f>
        <v>АППАРАТ ГОССОВЕТА РТ</v>
      </c>
      <c r="B2664" s="24" t="s">
        <v>4856</v>
      </c>
      <c r="C2664" s="25">
        <v>2276227.5</v>
      </c>
      <c r="D2664" s="22" t="s">
        <v>4857</v>
      </c>
      <c r="E2664" s="22" t="s">
        <v>96</v>
      </c>
      <c r="F2664" s="23" t="str">
        <f>HYPERLINK("https://www.spark-marketing.ru/Card/Lot/73503045", "Право заключения государственного контракта на оказание услуг по организации и обслуживанию пленарных заседаний, приемов и иных мероприятий для нужд Государственного Совета Республики Татарстан")</f>
        <v>Право заключения государственного контракта на оказание услуг по организации и обслуживанию пленарных заседаний, приемов и иных мероприятий для нужд Государственного Совета Республики Татарстан</v>
      </c>
      <c r="G2664" s="22" t="s">
        <v>217</v>
      </c>
      <c r="H2664" s="22" t="s">
        <v>217</v>
      </c>
      <c r="I2664" s="26">
        <v>43724.716666666704</v>
      </c>
      <c r="J2664" s="23" t="str">
        <f>HYPERLINK("https://www.spark-marketing.ru/Card/Person/6279758", "ООО ""ДЕЛОВАЯ СТОЛИЦА""")</f>
        <v>ООО "ДЕЛОВАЯ СТОЛИЦА"</v>
      </c>
      <c r="K2664" s="24" t="s">
        <v>4859</v>
      </c>
      <c r="L2664" s="28" t="s">
        <v>51</v>
      </c>
      <c r="M2664" s="25">
        <v>1798219.62</v>
      </c>
      <c r="N2664" s="27">
        <v>0.21000004612895679</v>
      </c>
    </row>
    <row r="2665" spans="1:14" x14ac:dyDescent="0.15">
      <c r="A2665" s="23" t="str">
        <f>HYPERLINK("https://www.spark-marketing.ru/Card/Person/123327", "МБДОУ ДЕТСКИЙ САД №23 ""РАДУГА"" ОБЩЕРАЗВИВАЮЩЕГО ВИДА ГОЩ")</f>
        <v>МБДОУ ДЕТСКИЙ САД №23 "РАДУГА" ОБЩЕРАЗВИВАЮЩЕГО ВИДА ГОЩ</v>
      </c>
      <c r="B2665" s="24" t="s">
        <v>4860</v>
      </c>
      <c r="C2665" s="25">
        <v>4415038.88</v>
      </c>
      <c r="D2665" s="22" t="s">
        <v>4861</v>
      </c>
      <c r="E2665" s="22" t="s">
        <v>48</v>
      </c>
      <c r="F2665" s="23" t="str">
        <f>HYPERLINK("https://www.spark-marketing.ru/Card/Lot/73508041",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665" s="22" t="s">
        <v>49</v>
      </c>
      <c r="H2665" s="22" t="s">
        <v>4644</v>
      </c>
      <c r="I2665" s="26">
        <v>43724.738981481503</v>
      </c>
      <c r="J2665" s="28" t="s">
        <v>51</v>
      </c>
      <c r="K2665" s="28" t="s">
        <v>51</v>
      </c>
      <c r="L2665" s="28" t="s">
        <v>51</v>
      </c>
      <c r="M2665" s="28" t="s">
        <v>51</v>
      </c>
      <c r="N2665" s="28" t="s">
        <v>51</v>
      </c>
    </row>
    <row r="2666" spans="1:14" x14ac:dyDescent="0.15">
      <c r="A2666" s="23" t="str">
        <f>HYPERLINK("https://www.spark-marketing.ru/Card/Person/241842", "ОГКУ ЦЗН ГОРОДА ТОМСКА И ТОМСКОГО РАЙОНА")</f>
        <v>ОГКУ ЦЗН ГОРОДА ТОМСКА И ТОМСКОГО РАЙОНА</v>
      </c>
      <c r="B2666" s="24" t="s">
        <v>4862</v>
      </c>
      <c r="C2666" s="25">
        <v>44382.57</v>
      </c>
      <c r="D2666" s="22" t="s">
        <v>4863</v>
      </c>
      <c r="E2666" s="22" t="s">
        <v>2599</v>
      </c>
      <c r="F2666" s="23" t="str">
        <f>HYPERLINK("https://www.spark-marketing.ru/Card/Lot/73481005", "Оказание услуг по дополнительному профессиональному образованию (повышение квалификации) граждан предпенсионного возраста, состоящих в трудовых отношениях, по программе «Современные технологии в общественном питании»")</f>
        <v>Оказание услуг по дополнительному профессиональному образованию (повышение квалификации) граждан предпенсионного возраста, состоящих в трудовых отношениях, по программе «Современные технологии в общественном питании»</v>
      </c>
      <c r="G2666" s="22" t="s">
        <v>149</v>
      </c>
      <c r="H2666" s="22" t="s">
        <v>496</v>
      </c>
      <c r="I2666" s="26">
        <v>43724.7097222222</v>
      </c>
      <c r="J2666" s="23" t="str">
        <f>HYPERLINK("https://www.spark-marketing.ru/Card/Person/154041", "АНО ДПО ""УКЦ ""АЛГОРИТМ-С""")</f>
        <v>АНО ДПО "УКЦ "АЛГОРИТМ-С"</v>
      </c>
      <c r="K2666" s="24" t="s">
        <v>4864</v>
      </c>
      <c r="L2666" s="22" t="s">
        <v>10</v>
      </c>
      <c r="M2666" s="28" t="s">
        <v>51</v>
      </c>
      <c r="N2666" s="28" t="s">
        <v>51</v>
      </c>
    </row>
    <row r="2667" spans="1:14" x14ac:dyDescent="0.15">
      <c r="A2667" s="23" t="str">
        <f>HYPERLINK("https://www.spark-marketing.ru/Card/Person/65191", "МО МВД РОССИИ ""ПУГАЧЁВСКИЙ"" САРАТОВСКОЙ ОБЛАСТИ")</f>
        <v>МО МВД РОССИИ "ПУГАЧЁВСКИЙ" САРАТОВСКОЙ ОБЛАСТИ</v>
      </c>
      <c r="B2667" s="24" t="s">
        <v>817</v>
      </c>
      <c r="C2667" s="25">
        <v>338184</v>
      </c>
      <c r="D2667" s="22" t="s">
        <v>4865</v>
      </c>
      <c r="E2667" s="22" t="s">
        <v>48</v>
      </c>
      <c r="F2667" s="23" t="str">
        <f>HYPERLINK("https://www.spark-marketing.ru/Card/Lot/73493703", "Оказание услуг по обеспечению трехразовым ежедневным горячим питанием лиц, содержащихся в ИВС ОП №2 в составе МО МВД России ""Пугачёвский"" Саратовской области")</f>
        <v>Оказание услуг по обеспечению трехразовым ежедневным горячим питанием лиц, содержащихся в ИВС ОП №2 в составе МО МВД России "Пугачёвский" Саратовской области</v>
      </c>
      <c r="G2667" s="22" t="s">
        <v>351</v>
      </c>
      <c r="H2667" s="22" t="s">
        <v>4866</v>
      </c>
      <c r="I2667" s="26">
        <v>43724.746527777803</v>
      </c>
      <c r="J2667" s="23" t="str">
        <f>HYPERLINK("https://www.spark-marketing.ru/Card/Person/6110095", "Коваценко Любовь Борисовна")</f>
        <v>Коваценко Любовь Борисовна</v>
      </c>
      <c r="K2667" s="24" t="s">
        <v>4867</v>
      </c>
      <c r="L2667" s="22" t="s">
        <v>10</v>
      </c>
      <c r="M2667" s="28" t="s">
        <v>51</v>
      </c>
      <c r="N2667" s="28" t="s">
        <v>51</v>
      </c>
    </row>
    <row r="2668" spans="1:14" x14ac:dyDescent="0.15">
      <c r="A2668" s="23" t="str">
        <f>HYPERLINK("https://www.spark-marketing.ru/Card/Person/74843", "МБОУ ОГУДНЕВСКАЯ СОШ Д. ОГУДНЕВО ЩМР МО")</f>
        <v>МБОУ ОГУДНЕВСКАЯ СОШ Д. ОГУДНЕВО ЩМР МО</v>
      </c>
      <c r="B2668" s="24" t="s">
        <v>4868</v>
      </c>
      <c r="C2668" s="25">
        <v>2318400</v>
      </c>
      <c r="D2668" s="22" t="s">
        <v>4869</v>
      </c>
      <c r="E2668" s="22" t="s">
        <v>48</v>
      </c>
      <c r="F2668" s="23" t="str">
        <f>HYPERLINK("https://www.spark-marketing.ru/Card/Lot/73503034",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668" s="22" t="s">
        <v>49</v>
      </c>
      <c r="H2668" s="22" t="s">
        <v>4644</v>
      </c>
      <c r="I2668" s="26">
        <v>43724.709027777797</v>
      </c>
      <c r="J2668" s="28" t="s">
        <v>51</v>
      </c>
      <c r="K2668" s="28" t="s">
        <v>51</v>
      </c>
      <c r="L2668" s="28" t="s">
        <v>51</v>
      </c>
      <c r="M2668" s="28" t="s">
        <v>51</v>
      </c>
      <c r="N2668" s="28" t="s">
        <v>51</v>
      </c>
    </row>
    <row r="2669" spans="1:14" x14ac:dyDescent="0.15">
      <c r="A2669" s="23" t="str">
        <f>HYPERLINK("https://www.spark-marketing.ru/Card/Person/101419", "МБОУ ""СШ № 5 ДЛЯ ОБУЧАЮЩИХСЯ С ОВЗ VIII ВИДА"" ЩМР МО")</f>
        <v>МБОУ "СШ № 5 ДЛЯ ОБУЧАЮЩИХСЯ С ОВЗ VIII ВИДА" ЩМР МО</v>
      </c>
      <c r="B2669" s="24" t="s">
        <v>4870</v>
      </c>
      <c r="C2669" s="25">
        <v>2936640</v>
      </c>
      <c r="D2669" s="22" t="s">
        <v>4871</v>
      </c>
      <c r="E2669" s="22" t="s">
        <v>48</v>
      </c>
      <c r="F2669" s="23" t="str">
        <f>HYPERLINK("https://www.spark-marketing.ru/Card/Lot/73508040",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669" s="22" t="s">
        <v>49</v>
      </c>
      <c r="H2669" s="22" t="s">
        <v>4644</v>
      </c>
      <c r="I2669" s="26">
        <v>43724.734699074099</v>
      </c>
      <c r="J2669" s="28" t="s">
        <v>51</v>
      </c>
      <c r="K2669" s="28" t="s">
        <v>51</v>
      </c>
      <c r="L2669" s="28" t="s">
        <v>51</v>
      </c>
      <c r="M2669" s="28" t="s">
        <v>51</v>
      </c>
      <c r="N2669" s="28" t="s">
        <v>51</v>
      </c>
    </row>
    <row r="2670" spans="1:14" x14ac:dyDescent="0.15">
      <c r="A2670" s="23" t="str">
        <f>HYPERLINK("https://www.spark-marketing.ru/Card/Person/1023742", "МБУЗ ДСУ №3 Г.ШАХТЫ")</f>
        <v>МБУЗ ДСУ №3 Г.ШАХТЫ</v>
      </c>
      <c r="B2670" s="24" t="s">
        <v>4872</v>
      </c>
      <c r="C2670" s="25">
        <v>327600</v>
      </c>
      <c r="D2670" s="22" t="s">
        <v>4873</v>
      </c>
      <c r="E2670" s="22" t="s">
        <v>48</v>
      </c>
      <c r="F2670" s="23" t="str">
        <f>HYPERLINK("https://www.spark-marketing.ru/Card/Lot/73493889", "Услуги по организации питания")</f>
        <v>Услуги по организации питания</v>
      </c>
      <c r="G2670" s="22" t="s">
        <v>267</v>
      </c>
      <c r="H2670" s="22" t="s">
        <v>4874</v>
      </c>
      <c r="I2670" s="26">
        <v>43724.747916666704</v>
      </c>
      <c r="J2670" s="23" t="str">
        <f>HYPERLINK("https://www.spark-marketing.ru/Card/Person/149853", "ООО ""ОБЩЕПИТ-ЮГ""")</f>
        <v>ООО "ОБЩЕПИТ-ЮГ"</v>
      </c>
      <c r="K2670" s="24" t="s">
        <v>4875</v>
      </c>
      <c r="L2670" s="22" t="s">
        <v>10</v>
      </c>
      <c r="M2670" s="28" t="s">
        <v>51</v>
      </c>
      <c r="N2670" s="28" t="s">
        <v>51</v>
      </c>
    </row>
    <row r="2671" spans="1:14" x14ac:dyDescent="0.15">
      <c r="A2671" s="23" t="str">
        <f>HYPERLINK("https://www.spark-marketing.ru/Card/Person/65191", "МО МВД РОССИИ ""ПУГАЧЁВСКИЙ"" САРАТОВСКОЙ ОБЛАСТИ")</f>
        <v>МО МВД РОССИИ "ПУГАЧЁВСКИЙ" САРАТОВСКОЙ ОБЛАСТИ</v>
      </c>
      <c r="B2671" s="24" t="s">
        <v>817</v>
      </c>
      <c r="C2671" s="25">
        <v>629193.04</v>
      </c>
      <c r="D2671" s="22" t="s">
        <v>4876</v>
      </c>
      <c r="E2671" s="22" t="s">
        <v>48</v>
      </c>
      <c r="F2671" s="23" t="str">
        <f>HYPERLINK("https://www.spark-marketing.ru/Card/Lot/73497787", "Оказание услуг по обеспечению трехразовым горячим питанием лиц, содержащихся в ИВС МО МВД России ""Пугачёвский"" Саратовской области")</f>
        <v>Оказание услуг по обеспечению трехразовым горячим питанием лиц, содержащихся в ИВС МО МВД России "Пугачёвский" Саратовской области</v>
      </c>
      <c r="G2671" s="22" t="s">
        <v>351</v>
      </c>
      <c r="H2671" s="22" t="s">
        <v>819</v>
      </c>
      <c r="I2671" s="26">
        <v>43724.730555555601</v>
      </c>
      <c r="J2671" s="23" t="str">
        <f>HYPERLINK("https://www.spark-marketing.ru/Card/Person/797861", "Малетин Денис Романович")</f>
        <v>Малетин Денис Романович</v>
      </c>
      <c r="K2671" s="24" t="s">
        <v>4846</v>
      </c>
      <c r="L2671" s="22" t="s">
        <v>10</v>
      </c>
      <c r="M2671" s="28" t="s">
        <v>51</v>
      </c>
      <c r="N2671" s="28" t="s">
        <v>51</v>
      </c>
    </row>
    <row r="2672" spans="1:14" x14ac:dyDescent="0.15">
      <c r="A2672" s="23" t="str">
        <f>HYPERLINK("https://www.spark-marketing.ru/Card/Person/59869", "МБДОУ ДЕТСКИЙ САД №11 ""ЗВЁЗДОЧКА"" ОБЩЕРАЗВИВАЮЩЕГО ВИДА ГОЩ")</f>
        <v>МБДОУ ДЕТСКИЙ САД №11 "ЗВЁЗДОЧКА" ОБЩЕРАЗВИВАЮЩЕГО ВИДА ГОЩ</v>
      </c>
      <c r="B2672" s="24" t="s">
        <v>4877</v>
      </c>
      <c r="C2672" s="25">
        <v>2911536.88</v>
      </c>
      <c r="D2672" s="22" t="s">
        <v>4878</v>
      </c>
      <c r="E2672" s="22" t="s">
        <v>48</v>
      </c>
      <c r="F2672" s="23" t="str">
        <f>HYPERLINK("https://www.spark-marketing.ru/Card/Lot/73508017",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672" s="22" t="s">
        <v>49</v>
      </c>
      <c r="H2672" s="22" t="s">
        <v>4644</v>
      </c>
      <c r="I2672" s="26">
        <v>43724.706597222197</v>
      </c>
      <c r="J2672" s="28" t="s">
        <v>51</v>
      </c>
      <c r="K2672" s="28" t="s">
        <v>51</v>
      </c>
      <c r="L2672" s="28" t="s">
        <v>51</v>
      </c>
      <c r="M2672" s="28" t="s">
        <v>51</v>
      </c>
      <c r="N2672" s="28" t="s">
        <v>51</v>
      </c>
    </row>
    <row r="2673" spans="1:14" collapsed="1" x14ac:dyDescent="0.15">
      <c r="A2673" s="23" t="str">
        <f>HYPERLINK("https://www.spark-marketing.ru/Card/Person/6443", "ГБУ РС (Я) ""ДГБ""")</f>
        <v>ГБУ РС (Я) "ДГБ"</v>
      </c>
      <c r="B2673" s="24" t="s">
        <v>4879</v>
      </c>
      <c r="C2673" s="25">
        <v>279999.96000000002</v>
      </c>
      <c r="D2673" s="22" t="s">
        <v>4880</v>
      </c>
      <c r="E2673" s="22" t="s">
        <v>355</v>
      </c>
      <c r="F2673" s="23" t="str">
        <f>HYPERLINK("https://www.spark-marketing.ru/Card/Lot/73492795", "оказание услуг по техническому обслуживанию и ремонту резервных источников питания")</f>
        <v>оказание услуг по техническому обслуживанию и ремонту резервных источников питания</v>
      </c>
      <c r="G2673" s="22" t="s">
        <v>241</v>
      </c>
      <c r="H2673" s="22" t="s">
        <v>242</v>
      </c>
      <c r="I2673" s="26">
        <v>43724.666666666701</v>
      </c>
      <c r="J2673" s="28" t="s">
        <v>51</v>
      </c>
      <c r="K2673" s="28" t="s">
        <v>51</v>
      </c>
      <c r="L2673" s="28" t="s">
        <v>51</v>
      </c>
      <c r="M2673" s="28" t="s">
        <v>51</v>
      </c>
      <c r="N2673" s="28" t="s">
        <v>51</v>
      </c>
    </row>
    <row r="2674" spans="1:14" hidden="1" outlineLevel="1" x14ac:dyDescent="0.2">
      <c r="A2674" s="23" t="str">
        <f>HYPERLINK("https://www.spark-marketing.ru/Card/Person/6443", "ГБУ РС (Я) ""ДГБ""")</f>
        <v>ГБУ РС (Я) "ДГБ"</v>
      </c>
      <c r="B2674" s="24" t="s">
        <v>4879</v>
      </c>
      <c r="C2674" s="25">
        <v>279999.96000000002</v>
      </c>
      <c r="D2674" s="22" t="s">
        <v>4880</v>
      </c>
      <c r="E2674" s="22" t="s">
        <v>355</v>
      </c>
      <c r="F2674" s="23" t="str">
        <f>HYPERLINK("https://www.spark-marketing.ru/Card/Lot/73492795", "оказание услуг по техническому обслуживанию и ремонту резервных источников питания")</f>
        <v>оказание услуг по техническому обслуживанию и ремонту резервных источников питания</v>
      </c>
      <c r="G2674" s="22" t="s">
        <v>241</v>
      </c>
      <c r="H2674" s="22" t="s">
        <v>242</v>
      </c>
      <c r="I2674" s="26">
        <v>43724.666666666701</v>
      </c>
      <c r="J2674" s="23" t="str">
        <f>HYPERLINK("https://www.spark-marketing.ru/Card/Person/821726", "ООО "" МИЧИЙЭ""""")</f>
        <v>ООО " МИЧИЙЭ""</v>
      </c>
      <c r="K2674" s="24" t="s">
        <v>4881</v>
      </c>
      <c r="L2674" s="28" t="s">
        <v>51</v>
      </c>
      <c r="M2674" s="25">
        <v>240000</v>
      </c>
      <c r="N2674" s="27">
        <v>0.14285702040814577</v>
      </c>
    </row>
    <row r="2675" spans="1:14" ht="12.75" hidden="1" outlineLevel="1" x14ac:dyDescent="0.2">
      <c r="A2675" s="23" t="str">
        <f>HYPERLINK("https://www.spark-marketing.ru/Card/Person/6443", "ГБУ РС (Я) ""ДГБ""")</f>
        <v>ГБУ РС (Я) "ДГБ"</v>
      </c>
      <c r="B2675" s="24" t="s">
        <v>4879</v>
      </c>
      <c r="C2675" s="25">
        <v>279999.96000000002</v>
      </c>
      <c r="D2675" s="22" t="s">
        <v>4880</v>
      </c>
      <c r="E2675" s="22" t="s">
        <v>355</v>
      </c>
      <c r="F2675" s="23" t="str">
        <f>HYPERLINK("https://www.spark-marketing.ru/Card/Lot/73492795", "оказание услуг по техническому обслуживанию и ремонту резервных источников питания")</f>
        <v>оказание услуг по техническому обслуживанию и ремонту резервных источников питания</v>
      </c>
      <c r="G2675" s="22" t="s">
        <v>241</v>
      </c>
      <c r="H2675" s="22" t="s">
        <v>242</v>
      </c>
      <c r="I2675" s="26">
        <v>43724.666666666701</v>
      </c>
      <c r="J2675" s="23" t="str">
        <f>HYPERLINK("https://www.spark-marketing.ru/Card/Person/6582344", "ООО ""ТУДОР+""")</f>
        <v>ООО "ТУДОР+"</v>
      </c>
      <c r="K2675" s="24" t="s">
        <v>4882</v>
      </c>
      <c r="L2675" s="22" t="s">
        <v>10</v>
      </c>
      <c r="M2675" s="25">
        <v>243400</v>
      </c>
      <c r="N2675" s="27">
        <v>0.13071416153059451</v>
      </c>
    </row>
    <row r="2676" spans="1:14" x14ac:dyDescent="0.15">
      <c r="A2676" s="23" t="str">
        <f>HYPERLINK("https://www.spark-marketing.ru/Card/Person/31172", "ГБУЗ МО ""ПГКБ""")</f>
        <v>ГБУЗ МО "ПГКБ"</v>
      </c>
      <c r="B2676" s="24" t="s">
        <v>4883</v>
      </c>
      <c r="C2676" s="25">
        <v>9690638.4499999993</v>
      </c>
      <c r="D2676" s="22" t="s">
        <v>4884</v>
      </c>
      <c r="E2676" s="22" t="s">
        <v>48</v>
      </c>
      <c r="F2676" s="23" t="str">
        <f>HYPERLINK("https://www.spark-marketing.ru/Card/Lot/73507998",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2676" s="22" t="s">
        <v>49</v>
      </c>
      <c r="H2676" s="22" t="s">
        <v>50</v>
      </c>
      <c r="I2676" s="26">
        <v>43724.699479166702</v>
      </c>
      <c r="J2676" s="23" t="str">
        <f>HYPERLINK("https://www.spark-marketing.ru/Card/Person/47262", "МУП ""ПКП И ОРТ""")</f>
        <v>МУП "ПКП И ОРТ"</v>
      </c>
      <c r="K2676" s="24" t="s">
        <v>4140</v>
      </c>
      <c r="L2676" s="22" t="s">
        <v>10</v>
      </c>
      <c r="M2676" s="28" t="s">
        <v>51</v>
      </c>
      <c r="N2676" s="28" t="s">
        <v>51</v>
      </c>
    </row>
    <row r="2677" spans="1:14" x14ac:dyDescent="0.15">
      <c r="A2677" s="23" t="str">
        <f>HYPERLINK("https://www.spark-marketing.ru/Card/Person/1012134", "МБУЗ ДСУ №1 Г.ШАХТЫ")</f>
        <v>МБУЗ ДСУ №1 Г.ШАХТЫ</v>
      </c>
      <c r="B2677" s="24" t="s">
        <v>4885</v>
      </c>
      <c r="C2677" s="25">
        <v>336700</v>
      </c>
      <c r="D2677" s="22" t="s">
        <v>4886</v>
      </c>
      <c r="E2677" s="22" t="s">
        <v>48</v>
      </c>
      <c r="F2677" s="23" t="str">
        <f>HYPERLINK("https://www.spark-marketing.ru/Card/Lot/73497963", "Услуги по организации питания")</f>
        <v>Услуги по организации питания</v>
      </c>
      <c r="G2677" s="22" t="s">
        <v>267</v>
      </c>
      <c r="H2677" s="22" t="s">
        <v>4874</v>
      </c>
      <c r="I2677" s="26">
        <v>43724.670138888898</v>
      </c>
      <c r="J2677" s="23" t="str">
        <f>HYPERLINK("https://www.spark-marketing.ru/Card/Person/149853", "ООО ""ОБЩЕПИТ-ЮГ""")</f>
        <v>ООО "ОБЩЕПИТ-ЮГ"</v>
      </c>
      <c r="K2677" s="24" t="s">
        <v>4875</v>
      </c>
      <c r="L2677" s="22" t="s">
        <v>10</v>
      </c>
      <c r="M2677" s="28" t="s">
        <v>51</v>
      </c>
      <c r="N2677" s="28" t="s">
        <v>51</v>
      </c>
    </row>
    <row r="2678" spans="1:14" x14ac:dyDescent="0.15">
      <c r="A2678" s="23" t="str">
        <f>HYPERLINK("https://www.spark-marketing.ru/Card/Person/75759", "МБДОУ ЦЕНТР РАЗВИТИЯ РЕБЁНКА-ДЕТСКИЙ САД №12 ""СОЛНЫШКО"" ГОЩ")</f>
        <v>МБДОУ ЦЕНТР РАЗВИТИЯ РЕБЁНКА-ДЕТСКИЙ САД №12 "СОЛНЫШКО" ГОЩ</v>
      </c>
      <c r="B2678" s="24" t="s">
        <v>4887</v>
      </c>
      <c r="C2678" s="25">
        <v>4571443.5199999996</v>
      </c>
      <c r="D2678" s="22" t="s">
        <v>4888</v>
      </c>
      <c r="E2678" s="22" t="s">
        <v>48</v>
      </c>
      <c r="F2678" s="23" t="str">
        <f>HYPERLINK("https://www.spark-marketing.ru/Card/Lot/73507815",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678" s="22" t="s">
        <v>49</v>
      </c>
      <c r="H2678" s="22" t="s">
        <v>4644</v>
      </c>
      <c r="I2678" s="26">
        <v>43724.683171296303</v>
      </c>
      <c r="J2678" s="28" t="s">
        <v>51</v>
      </c>
      <c r="K2678" s="28" t="s">
        <v>51</v>
      </c>
      <c r="L2678" s="28" t="s">
        <v>51</v>
      </c>
      <c r="M2678" s="28" t="s">
        <v>51</v>
      </c>
      <c r="N2678" s="28" t="s">
        <v>51</v>
      </c>
    </row>
    <row r="2679" spans="1:14" collapsed="1" x14ac:dyDescent="0.2">
      <c r="A2679" s="23" t="s">
        <v>114</v>
      </c>
      <c r="B2679" s="28" t="s">
        <v>51</v>
      </c>
      <c r="C2679" s="25">
        <v>81150116</v>
      </c>
      <c r="D2679" s="22" t="s">
        <v>4889</v>
      </c>
      <c r="E2679" s="22" t="s">
        <v>48</v>
      </c>
      <c r="F2679" s="23" t="str">
        <f t="shared" ref="F2679:F2696" si="40">HYPERLINK("https://www.spark-marketing.ru/Card/Lot/73507770", "ОКАЗАНИЕ УСЛУГ ПО ОРГАНИЗАЦИИ ГОРЯЧЕГО ПИТАНИЯ В 2020-2021 ГГ.")</f>
        <v>ОКАЗАНИЕ УСЛУГ ПО ОРГАНИЗАЦИИ ГОРЯЧЕГО ПИТАНИЯ В 2020-2021 ГГ.</v>
      </c>
      <c r="G2679" s="22" t="s">
        <v>51</v>
      </c>
      <c r="H2679" s="22" t="s">
        <v>51</v>
      </c>
      <c r="I2679" s="26">
        <v>43724.701979166697</v>
      </c>
      <c r="J2679" s="23" t="str">
        <f t="shared" ref="J2679:J2696" si="41">HYPERLINK("https://www.spark-marketing.ru/Card/Person/133962", "ООО ""НОВЫЙ ВЕК""")</f>
        <v>ООО "НОВЫЙ ВЕК"</v>
      </c>
      <c r="K2679" s="24" t="s">
        <v>3583</v>
      </c>
      <c r="L2679" s="28" t="s">
        <v>51</v>
      </c>
      <c r="M2679" s="25">
        <v>80742548.239999995</v>
      </c>
      <c r="N2679" s="27">
        <v>5.0223928207323819E-3</v>
      </c>
    </row>
    <row r="2680" spans="1:14" hidden="1" outlineLevel="1" x14ac:dyDescent="0.2">
      <c r="A2680" s="23" t="str">
        <f>HYPERLINK("https://www.spark-marketing.ru/Card/Person/427413", "МОУ ""ЗАГОРСКАЯ НАЧАЛЬНАЯ ШКОЛА-ДЕТСКИЙ САД""")</f>
        <v>МОУ "ЗАГОРСКАЯ НАЧАЛЬНАЯ ШКОЛА-ДЕТСКИЙ САД"</v>
      </c>
      <c r="B2680" s="24" t="s">
        <v>4890</v>
      </c>
      <c r="C2680" s="25">
        <v>391644</v>
      </c>
      <c r="D2680" s="22" t="s">
        <v>4889</v>
      </c>
      <c r="E2680" s="22" t="s">
        <v>48</v>
      </c>
      <c r="F2680" s="23" t="str">
        <f t="shared" si="40"/>
        <v>ОКАЗАНИЕ УСЛУГ ПО ОРГАНИЗАЦИИ ГОРЯЧЕГО ПИТАНИЯ В 2020-2021 ГГ.</v>
      </c>
      <c r="G2680" s="22" t="s">
        <v>162</v>
      </c>
      <c r="H2680" s="22" t="s">
        <v>4891</v>
      </c>
      <c r="I2680" s="26">
        <v>43724.701979166697</v>
      </c>
      <c r="J2680" s="23" t="str">
        <f t="shared" si="41"/>
        <v>ООО "НОВЫЙ ВЕК"</v>
      </c>
      <c r="K2680" s="24" t="s">
        <v>3583</v>
      </c>
      <c r="L2680" s="28" t="s">
        <v>51</v>
      </c>
      <c r="M2680" s="28" t="s">
        <v>51</v>
      </c>
      <c r="N2680" s="27">
        <v>5.0223928207323819E-3</v>
      </c>
    </row>
    <row r="2681" spans="1:14" hidden="1" outlineLevel="1" x14ac:dyDescent="0.2">
      <c r="A2681" s="23" t="str">
        <f>HYPERLINK("https://www.spark-marketing.ru/Card/Person/4354169", "МОУ ""ВОЛОШОВСКАЯ СРЕДНЯЯ ОБЩЕОБРАЗОВАТЕЛЬНАЯ ШКОЛА""")</f>
        <v>МОУ "ВОЛОШОВСКАЯ СРЕДНЯЯ ОБЩЕОБРАЗОВАТЕЛЬНАЯ ШКОЛА"</v>
      </c>
      <c r="B2681" s="24" t="s">
        <v>4892</v>
      </c>
      <c r="C2681" s="25">
        <v>1525296</v>
      </c>
      <c r="D2681" s="22" t="s">
        <v>4889</v>
      </c>
      <c r="E2681" s="22" t="s">
        <v>48</v>
      </c>
      <c r="F2681" s="23" t="str">
        <f t="shared" si="40"/>
        <v>ОКАЗАНИЕ УСЛУГ ПО ОРГАНИЗАЦИИ ГОРЯЧЕГО ПИТАНИЯ В 2020-2021 ГГ.</v>
      </c>
      <c r="G2681" s="22" t="s">
        <v>162</v>
      </c>
      <c r="H2681" s="22" t="s">
        <v>4891</v>
      </c>
      <c r="I2681" s="26">
        <v>43724.701979166697</v>
      </c>
      <c r="J2681" s="23" t="str">
        <f t="shared" si="41"/>
        <v>ООО "НОВЫЙ ВЕК"</v>
      </c>
      <c r="K2681" s="24" t="s">
        <v>3583</v>
      </c>
      <c r="L2681" s="28" t="s">
        <v>51</v>
      </c>
      <c r="M2681" s="28" t="s">
        <v>51</v>
      </c>
      <c r="N2681" s="27">
        <v>5.0223928207323819E-3</v>
      </c>
    </row>
    <row r="2682" spans="1:14" hidden="1" outlineLevel="1" x14ac:dyDescent="0.2">
      <c r="A2682" s="23" t="str">
        <f>HYPERLINK("https://www.spark-marketing.ru/Card/Person/26936", "МОУ ""СРЕДНЯЯ ШКОЛА № 3""")</f>
        <v>МОУ "СРЕДНЯЯ ШКОЛА № 3"</v>
      </c>
      <c r="B2682" s="24" t="s">
        <v>4893</v>
      </c>
      <c r="C2682" s="25">
        <v>14147000</v>
      </c>
      <c r="D2682" s="22" t="s">
        <v>4889</v>
      </c>
      <c r="E2682" s="22" t="s">
        <v>48</v>
      </c>
      <c r="F2682" s="23" t="str">
        <f t="shared" si="40"/>
        <v>ОКАЗАНИЕ УСЛУГ ПО ОРГАНИЗАЦИИ ГОРЯЧЕГО ПИТАНИЯ В 2020-2021 ГГ.</v>
      </c>
      <c r="G2682" s="22" t="s">
        <v>51</v>
      </c>
      <c r="H2682" s="22" t="s">
        <v>51</v>
      </c>
      <c r="I2682" s="26">
        <v>43724.701979166697</v>
      </c>
      <c r="J2682" s="23" t="str">
        <f t="shared" si="41"/>
        <v>ООО "НОВЫЙ ВЕК"</v>
      </c>
      <c r="K2682" s="24" t="s">
        <v>3583</v>
      </c>
      <c r="L2682" s="28" t="s">
        <v>51</v>
      </c>
      <c r="M2682" s="28" t="s">
        <v>51</v>
      </c>
      <c r="N2682" s="27">
        <v>5.0223928207323819E-3</v>
      </c>
    </row>
    <row r="2683" spans="1:14" hidden="1" outlineLevel="1" x14ac:dyDescent="0.2">
      <c r="A2683" s="23" t="str">
        <f>HYPERLINK("https://www.spark-marketing.ru/Card/Person/27747", "МОУ ""ТОРОШКОВСКАЯ СРЕДНЯЯ ШКОЛА""")</f>
        <v>МОУ "ТОРОШКОВСКАЯ СРЕДНЯЯ ШКОЛА"</v>
      </c>
      <c r="B2683" s="24" t="s">
        <v>4894</v>
      </c>
      <c r="C2683" s="25">
        <v>1496056</v>
      </c>
      <c r="D2683" s="22" t="s">
        <v>4889</v>
      </c>
      <c r="E2683" s="22" t="s">
        <v>48</v>
      </c>
      <c r="F2683" s="23" t="str">
        <f t="shared" si="40"/>
        <v>ОКАЗАНИЕ УСЛУГ ПО ОРГАНИЗАЦИИ ГОРЯЧЕГО ПИТАНИЯ В 2020-2021 ГГ.</v>
      </c>
      <c r="G2683" s="22" t="s">
        <v>162</v>
      </c>
      <c r="H2683" s="22" t="s">
        <v>4891</v>
      </c>
      <c r="I2683" s="26">
        <v>43724.701979166697</v>
      </c>
      <c r="J2683" s="23" t="str">
        <f t="shared" si="41"/>
        <v>ООО "НОВЫЙ ВЕК"</v>
      </c>
      <c r="K2683" s="24" t="s">
        <v>3583</v>
      </c>
      <c r="L2683" s="28" t="s">
        <v>51</v>
      </c>
      <c r="M2683" s="28" t="s">
        <v>51</v>
      </c>
      <c r="N2683" s="27">
        <v>5.0223928207323819E-3</v>
      </c>
    </row>
    <row r="2684" spans="1:14" hidden="1" outlineLevel="1" x14ac:dyDescent="0.2">
      <c r="A2684" s="23" t="str">
        <f>HYPERLINK("https://www.spark-marketing.ru/Card/Person/68323", "МОУ ""ОСЬМИНСКАЯ СОШ""")</f>
        <v>МОУ "ОСЬМИНСКАЯ СОШ"</v>
      </c>
      <c r="B2684" s="24" t="s">
        <v>4895</v>
      </c>
      <c r="C2684" s="25">
        <v>2874980</v>
      </c>
      <c r="D2684" s="22" t="s">
        <v>4889</v>
      </c>
      <c r="E2684" s="22" t="s">
        <v>48</v>
      </c>
      <c r="F2684" s="23" t="str">
        <f t="shared" si="40"/>
        <v>ОКАЗАНИЕ УСЛУГ ПО ОРГАНИЗАЦИИ ГОРЯЧЕГО ПИТАНИЯ В 2020-2021 ГГ.</v>
      </c>
      <c r="G2684" s="22" t="s">
        <v>51</v>
      </c>
      <c r="H2684" s="22" t="s">
        <v>51</v>
      </c>
      <c r="I2684" s="26">
        <v>43724.701979166697</v>
      </c>
      <c r="J2684" s="23" t="str">
        <f t="shared" si="41"/>
        <v>ООО "НОВЫЙ ВЕК"</v>
      </c>
      <c r="K2684" s="24" t="s">
        <v>3583</v>
      </c>
      <c r="L2684" s="28" t="s">
        <v>51</v>
      </c>
      <c r="M2684" s="28" t="s">
        <v>51</v>
      </c>
      <c r="N2684" s="27">
        <v>5.0223928207323819E-3</v>
      </c>
    </row>
    <row r="2685" spans="1:14" hidden="1" outlineLevel="1" x14ac:dyDescent="0.2">
      <c r="A2685" s="23" t="str">
        <f>HYPERLINK("https://www.spark-marketing.ru/Card/Person/70073", "МОУ ""ЗАКЛИНСКАЯ СРЕДНЯЯ ШКОЛА""")</f>
        <v>МОУ "ЗАКЛИНСКАЯ СРЕДНЯЯ ШКОЛА"</v>
      </c>
      <c r="B2685" s="24" t="s">
        <v>4896</v>
      </c>
      <c r="C2685" s="25">
        <v>4912664</v>
      </c>
      <c r="D2685" s="22" t="s">
        <v>4889</v>
      </c>
      <c r="E2685" s="22" t="s">
        <v>48</v>
      </c>
      <c r="F2685" s="23" t="str">
        <f t="shared" si="40"/>
        <v>ОКАЗАНИЕ УСЛУГ ПО ОРГАНИЗАЦИИ ГОРЯЧЕГО ПИТАНИЯ В 2020-2021 ГГ.</v>
      </c>
      <c r="G2685" s="22" t="s">
        <v>51</v>
      </c>
      <c r="H2685" s="22" t="s">
        <v>51</v>
      </c>
      <c r="I2685" s="26">
        <v>43724.701979166697</v>
      </c>
      <c r="J2685" s="23" t="str">
        <f t="shared" si="41"/>
        <v>ООО "НОВЫЙ ВЕК"</v>
      </c>
      <c r="K2685" s="24" t="s">
        <v>3583</v>
      </c>
      <c r="L2685" s="28" t="s">
        <v>51</v>
      </c>
      <c r="M2685" s="28" t="s">
        <v>51</v>
      </c>
      <c r="N2685" s="27">
        <v>5.0223928207323819E-3</v>
      </c>
    </row>
    <row r="2686" spans="1:14" hidden="1" outlineLevel="1" x14ac:dyDescent="0.2">
      <c r="A2686" s="23" t="str">
        <f>HYPERLINK("https://www.spark-marketing.ru/Card/Person/119241", "МОУ ""ВОЛОДАРСКАЯ СРЕДНЯЯ ШКОЛА""")</f>
        <v>МОУ "ВОЛОДАРСКАЯ СРЕДНЯЯ ШКОЛА"</v>
      </c>
      <c r="B2686" s="24" t="s">
        <v>4897</v>
      </c>
      <c r="C2686" s="25">
        <v>3301024</v>
      </c>
      <c r="D2686" s="22" t="s">
        <v>4889</v>
      </c>
      <c r="E2686" s="22" t="s">
        <v>48</v>
      </c>
      <c r="F2686" s="23" t="str">
        <f t="shared" si="40"/>
        <v>ОКАЗАНИЕ УСЛУГ ПО ОРГАНИЗАЦИИ ГОРЯЧЕГО ПИТАНИЯ В 2020-2021 ГГ.</v>
      </c>
      <c r="G2686" s="22" t="s">
        <v>162</v>
      </c>
      <c r="H2686" s="22" t="s">
        <v>4891</v>
      </c>
      <c r="I2686" s="26">
        <v>43724.701979166697</v>
      </c>
      <c r="J2686" s="23" t="str">
        <f t="shared" si="41"/>
        <v>ООО "НОВЫЙ ВЕК"</v>
      </c>
      <c r="K2686" s="24" t="s">
        <v>3583</v>
      </c>
      <c r="L2686" s="28" t="s">
        <v>51</v>
      </c>
      <c r="M2686" s="28" t="s">
        <v>51</v>
      </c>
      <c r="N2686" s="27">
        <v>5.0223928207323819E-3</v>
      </c>
    </row>
    <row r="2687" spans="1:14" hidden="1" outlineLevel="1" x14ac:dyDescent="0.2">
      <c r="A2687" s="23" t="str">
        <f>HYPERLINK("https://www.spark-marketing.ru/Card/Person/138431", "МОУ ""СРЕДНЯЯ ШКОЛА № 6""")</f>
        <v>МОУ "СРЕДНЯЯ ШКОЛА № 6"</v>
      </c>
      <c r="B2687" s="24" t="s">
        <v>4898</v>
      </c>
      <c r="C2687" s="25">
        <v>8965500</v>
      </c>
      <c r="D2687" s="22" t="s">
        <v>4889</v>
      </c>
      <c r="E2687" s="22" t="s">
        <v>48</v>
      </c>
      <c r="F2687" s="23" t="str">
        <f t="shared" si="40"/>
        <v>ОКАЗАНИЕ УСЛУГ ПО ОРГАНИЗАЦИИ ГОРЯЧЕГО ПИТАНИЯ В 2020-2021 ГГ.</v>
      </c>
      <c r="G2687" s="22" t="s">
        <v>162</v>
      </c>
      <c r="H2687" s="22" t="s">
        <v>4899</v>
      </c>
      <c r="I2687" s="26">
        <v>43724.701979166697</v>
      </c>
      <c r="J2687" s="23" t="str">
        <f t="shared" si="41"/>
        <v>ООО "НОВЫЙ ВЕК"</v>
      </c>
      <c r="K2687" s="24" t="s">
        <v>3583</v>
      </c>
      <c r="L2687" s="28" t="s">
        <v>51</v>
      </c>
      <c r="M2687" s="28" t="s">
        <v>51</v>
      </c>
      <c r="N2687" s="27">
        <v>5.0223928207323819E-3</v>
      </c>
    </row>
    <row r="2688" spans="1:14" hidden="1" outlineLevel="1" x14ac:dyDescent="0.2">
      <c r="A2688" s="23" t="str">
        <f>HYPERLINK("https://www.spark-marketing.ru/Card/Person/138437", "МОУ ""СРЕДНЯЯ ШКОЛА № 4""")</f>
        <v>МОУ "СРЕДНЯЯ ШКОЛА № 4"</v>
      </c>
      <c r="B2688" s="24" t="s">
        <v>4900</v>
      </c>
      <c r="C2688" s="25">
        <v>8041516</v>
      </c>
      <c r="D2688" s="22" t="s">
        <v>4889</v>
      </c>
      <c r="E2688" s="22" t="s">
        <v>48</v>
      </c>
      <c r="F2688" s="23" t="str">
        <f t="shared" si="40"/>
        <v>ОКАЗАНИЕ УСЛУГ ПО ОРГАНИЗАЦИИ ГОРЯЧЕГО ПИТАНИЯ В 2020-2021 ГГ.</v>
      </c>
      <c r="G2688" s="22" t="s">
        <v>162</v>
      </c>
      <c r="H2688" s="22" t="s">
        <v>4899</v>
      </c>
      <c r="I2688" s="26">
        <v>43724.701979166697</v>
      </c>
      <c r="J2688" s="23" t="str">
        <f t="shared" si="41"/>
        <v>ООО "НОВЫЙ ВЕК"</v>
      </c>
      <c r="K2688" s="24" t="s">
        <v>3583</v>
      </c>
      <c r="L2688" s="28" t="s">
        <v>51</v>
      </c>
      <c r="M2688" s="28" t="s">
        <v>51</v>
      </c>
      <c r="N2688" s="27">
        <v>5.0223928207323819E-3</v>
      </c>
    </row>
    <row r="2689" spans="1:14" hidden="1" outlineLevel="1" x14ac:dyDescent="0.2">
      <c r="A2689" s="23" t="str">
        <f>HYPERLINK("https://www.spark-marketing.ru/Card/Person/138513", "МОУ ""ТОЛМАЧЕВСКАЯ СРЕДНЯЯ ШКОЛА""")</f>
        <v>МОУ "ТОЛМАЧЕВСКАЯ СРЕДНЯЯ ШКОЛА"</v>
      </c>
      <c r="B2689" s="24" t="s">
        <v>4901</v>
      </c>
      <c r="C2689" s="25">
        <v>3740484</v>
      </c>
      <c r="D2689" s="22" t="s">
        <v>4889</v>
      </c>
      <c r="E2689" s="22" t="s">
        <v>48</v>
      </c>
      <c r="F2689" s="23" t="str">
        <f t="shared" si="40"/>
        <v>ОКАЗАНИЕ УСЛУГ ПО ОРГАНИЗАЦИИ ГОРЯЧЕГО ПИТАНИЯ В 2020-2021 ГГ.</v>
      </c>
      <c r="G2689" s="22" t="s">
        <v>51</v>
      </c>
      <c r="H2689" s="22" t="s">
        <v>51</v>
      </c>
      <c r="I2689" s="26">
        <v>43724.701979166697</v>
      </c>
      <c r="J2689" s="23" t="str">
        <f t="shared" si="41"/>
        <v>ООО "НОВЫЙ ВЕК"</v>
      </c>
      <c r="K2689" s="24" t="s">
        <v>3583</v>
      </c>
      <c r="L2689" s="28" t="s">
        <v>51</v>
      </c>
      <c r="M2689" s="28" t="s">
        <v>51</v>
      </c>
      <c r="N2689" s="27">
        <v>5.0223928207323819E-3</v>
      </c>
    </row>
    <row r="2690" spans="1:14" hidden="1" outlineLevel="1" x14ac:dyDescent="0.2">
      <c r="A2690" s="23" t="str">
        <f>HYPERLINK("https://www.spark-marketing.ru/Card/Person/139018", "МОУ ""СРЕДНЯЯ ШКОЛА №2""")</f>
        <v>МОУ "СРЕДНЯЯ ШКОЛА №2"</v>
      </c>
      <c r="B2690" s="24" t="s">
        <v>4902</v>
      </c>
      <c r="C2690" s="25">
        <v>8892400</v>
      </c>
      <c r="D2690" s="22" t="s">
        <v>4889</v>
      </c>
      <c r="E2690" s="22" t="s">
        <v>48</v>
      </c>
      <c r="F2690" s="23" t="str">
        <f t="shared" si="40"/>
        <v>ОКАЗАНИЕ УСЛУГ ПО ОРГАНИЗАЦИИ ГОРЯЧЕГО ПИТАНИЯ В 2020-2021 ГГ.</v>
      </c>
      <c r="G2690" s="22" t="s">
        <v>162</v>
      </c>
      <c r="H2690" s="22" t="s">
        <v>4899</v>
      </c>
      <c r="I2690" s="26">
        <v>43724.701979166697</v>
      </c>
      <c r="J2690" s="23" t="str">
        <f t="shared" si="41"/>
        <v>ООО "НОВЫЙ ВЕК"</v>
      </c>
      <c r="K2690" s="24" t="s">
        <v>3583</v>
      </c>
      <c r="L2690" s="28" t="s">
        <v>51</v>
      </c>
      <c r="M2690" s="28" t="s">
        <v>51</v>
      </c>
      <c r="N2690" s="27">
        <v>5.0223928207323819E-3</v>
      </c>
    </row>
    <row r="2691" spans="1:14" hidden="1" outlineLevel="1" x14ac:dyDescent="0.2">
      <c r="A2691" s="23" t="str">
        <f>HYPERLINK("https://www.spark-marketing.ru/Card/Person/139025", "МОУ ""МШИНСКАЯ СОШ""")</f>
        <v>МОУ "МШИНСКАЯ СОШ"</v>
      </c>
      <c r="B2691" s="24" t="s">
        <v>4903</v>
      </c>
      <c r="C2691" s="25">
        <v>3070544</v>
      </c>
      <c r="D2691" s="22" t="s">
        <v>4889</v>
      </c>
      <c r="E2691" s="22" t="s">
        <v>48</v>
      </c>
      <c r="F2691" s="23" t="str">
        <f t="shared" si="40"/>
        <v>ОКАЗАНИЕ УСЛУГ ПО ОРГАНИЗАЦИИ ГОРЯЧЕГО ПИТАНИЯ В 2020-2021 ГГ.</v>
      </c>
      <c r="G2691" s="22" t="s">
        <v>162</v>
      </c>
      <c r="H2691" s="22" t="s">
        <v>4891</v>
      </c>
      <c r="I2691" s="26">
        <v>43724.701979166697</v>
      </c>
      <c r="J2691" s="23" t="str">
        <f t="shared" si="41"/>
        <v>ООО "НОВЫЙ ВЕК"</v>
      </c>
      <c r="K2691" s="24" t="s">
        <v>3583</v>
      </c>
      <c r="L2691" s="28" t="s">
        <v>51</v>
      </c>
      <c r="M2691" s="28" t="s">
        <v>51</v>
      </c>
      <c r="N2691" s="27">
        <v>5.0223928207323819E-3</v>
      </c>
    </row>
    <row r="2692" spans="1:14" hidden="1" outlineLevel="1" x14ac:dyDescent="0.2">
      <c r="A2692" s="23" t="str">
        <f>HYPERLINK("https://www.spark-marketing.ru/Card/Person/139068", "МОУ ""ОРЕДЕЖСКАЯ СОШ""")</f>
        <v>МОУ "ОРЕДЕЖСКАЯ СОШ"</v>
      </c>
      <c r="B2692" s="24" t="s">
        <v>4904</v>
      </c>
      <c r="C2692" s="25">
        <v>6735348</v>
      </c>
      <c r="D2692" s="22" t="s">
        <v>4889</v>
      </c>
      <c r="E2692" s="22" t="s">
        <v>48</v>
      </c>
      <c r="F2692" s="23" t="str">
        <f t="shared" si="40"/>
        <v>ОКАЗАНИЕ УСЛУГ ПО ОРГАНИЗАЦИИ ГОРЯЧЕГО ПИТАНИЯ В 2020-2021 ГГ.</v>
      </c>
      <c r="G2692" s="22" t="s">
        <v>51</v>
      </c>
      <c r="H2692" s="22" t="s">
        <v>51</v>
      </c>
      <c r="I2692" s="26">
        <v>43724.701979166697</v>
      </c>
      <c r="J2692" s="23" t="str">
        <f t="shared" si="41"/>
        <v>ООО "НОВЫЙ ВЕК"</v>
      </c>
      <c r="K2692" s="24" t="s">
        <v>3583</v>
      </c>
      <c r="L2692" s="28" t="s">
        <v>51</v>
      </c>
      <c r="M2692" s="28" t="s">
        <v>51</v>
      </c>
      <c r="N2692" s="27">
        <v>5.0223928207323819E-3</v>
      </c>
    </row>
    <row r="2693" spans="1:14" hidden="1" outlineLevel="1" x14ac:dyDescent="0.2">
      <c r="A2693" s="23" t="str">
        <f>HYPERLINK("https://www.spark-marketing.ru/Card/Person/147154", "МОУ СЕРЕБРЯНСКАЯ СРЕДНЯЯ ШКОЛА")</f>
        <v>МОУ СЕРЕБРЯНСКАЯ СРЕДНЯЯ ШКОЛА</v>
      </c>
      <c r="B2693" s="24" t="s">
        <v>4905</v>
      </c>
      <c r="C2693" s="25">
        <v>1669776</v>
      </c>
      <c r="D2693" s="22" t="s">
        <v>4889</v>
      </c>
      <c r="E2693" s="22" t="s">
        <v>48</v>
      </c>
      <c r="F2693" s="23" t="str">
        <f t="shared" si="40"/>
        <v>ОКАЗАНИЕ УСЛУГ ПО ОРГАНИЗАЦИИ ГОРЯЧЕГО ПИТАНИЯ В 2020-2021 ГГ.</v>
      </c>
      <c r="G2693" s="22" t="s">
        <v>162</v>
      </c>
      <c r="H2693" s="22" t="s">
        <v>4891</v>
      </c>
      <c r="I2693" s="26">
        <v>43724.701979166697</v>
      </c>
      <c r="J2693" s="23" t="str">
        <f t="shared" si="41"/>
        <v>ООО "НОВЫЙ ВЕК"</v>
      </c>
      <c r="K2693" s="24" t="s">
        <v>3583</v>
      </c>
      <c r="L2693" s="28" t="s">
        <v>51</v>
      </c>
      <c r="M2693" s="28" t="s">
        <v>51</v>
      </c>
      <c r="N2693" s="27">
        <v>5.0223928207323819E-3</v>
      </c>
    </row>
    <row r="2694" spans="1:14" hidden="1" outlineLevel="1" x14ac:dyDescent="0.2">
      <c r="A2694" s="23" t="str">
        <f>HYPERLINK("https://www.spark-marketing.ru/Card/Person/147673", "МОУ ""СКРЕБЛОВСКАЯ СРЕДНЯЯ ШКОЛА""")</f>
        <v>МОУ "СКРЕБЛОВСКАЯ СРЕДНЯЯ ШКОЛА"</v>
      </c>
      <c r="B2694" s="24" t="s">
        <v>4906</v>
      </c>
      <c r="C2694" s="25">
        <v>3080348</v>
      </c>
      <c r="D2694" s="22" t="s">
        <v>4889</v>
      </c>
      <c r="E2694" s="22" t="s">
        <v>48</v>
      </c>
      <c r="F2694" s="23" t="str">
        <f t="shared" si="40"/>
        <v>ОКАЗАНИЕ УСЛУГ ПО ОРГАНИЗАЦИИ ГОРЯЧЕГО ПИТАНИЯ В 2020-2021 ГГ.</v>
      </c>
      <c r="G2694" s="22" t="s">
        <v>162</v>
      </c>
      <c r="H2694" s="22" t="s">
        <v>4891</v>
      </c>
      <c r="I2694" s="26">
        <v>43724.701979166697</v>
      </c>
      <c r="J2694" s="23" t="str">
        <f t="shared" si="41"/>
        <v>ООО "НОВЫЙ ВЕК"</v>
      </c>
      <c r="K2694" s="24" t="s">
        <v>3583</v>
      </c>
      <c r="L2694" s="28" t="s">
        <v>51</v>
      </c>
      <c r="M2694" s="28" t="s">
        <v>51</v>
      </c>
      <c r="N2694" s="27">
        <v>5.0223928207323819E-3</v>
      </c>
    </row>
    <row r="2695" spans="1:14" hidden="1" outlineLevel="1" x14ac:dyDescent="0.2">
      <c r="A2695" s="23" t="str">
        <f>HYPERLINK("https://www.spark-marketing.ru/Card/Person/150153", "МБОУ СОШ № 5")</f>
        <v>МБОУ СОШ № 5</v>
      </c>
      <c r="B2695" s="24" t="s">
        <v>4907</v>
      </c>
      <c r="C2695" s="25">
        <v>5189412</v>
      </c>
      <c r="D2695" s="22" t="s">
        <v>4889</v>
      </c>
      <c r="E2695" s="22" t="s">
        <v>48</v>
      </c>
      <c r="F2695" s="23" t="str">
        <f t="shared" si="40"/>
        <v>ОКАЗАНИЕ УСЛУГ ПО ОРГАНИЗАЦИИ ГОРЯЧЕГО ПИТАНИЯ В 2020-2021 ГГ.</v>
      </c>
      <c r="G2695" s="22" t="s">
        <v>51</v>
      </c>
      <c r="H2695" s="22" t="s">
        <v>51</v>
      </c>
      <c r="I2695" s="26">
        <v>43724.701979166697</v>
      </c>
      <c r="J2695" s="23" t="str">
        <f t="shared" si="41"/>
        <v>ООО "НОВЫЙ ВЕК"</v>
      </c>
      <c r="K2695" s="24" t="s">
        <v>3583</v>
      </c>
      <c r="L2695" s="28" t="s">
        <v>51</v>
      </c>
      <c r="M2695" s="28" t="s">
        <v>51</v>
      </c>
      <c r="N2695" s="27">
        <v>5.0223928207323819E-3</v>
      </c>
    </row>
    <row r="2696" spans="1:14" hidden="1" outlineLevel="1" x14ac:dyDescent="0.2">
      <c r="A2696" s="23" t="str">
        <f>HYPERLINK("https://www.spark-marketing.ru/Card/Person/398109", "МОУ ""ЯМ-ТЕСОВСКАЯ СОШ""")</f>
        <v>МОУ "ЯМ-ТЕСОВСКАЯ СОШ"</v>
      </c>
      <c r="B2696" s="24" t="s">
        <v>4908</v>
      </c>
      <c r="C2696" s="25">
        <v>3116124</v>
      </c>
      <c r="D2696" s="22" t="s">
        <v>4889</v>
      </c>
      <c r="E2696" s="22" t="s">
        <v>48</v>
      </c>
      <c r="F2696" s="23" t="str">
        <f t="shared" si="40"/>
        <v>ОКАЗАНИЕ УСЛУГ ПО ОРГАНИЗАЦИИ ГОРЯЧЕГО ПИТАНИЯ В 2020-2021 ГГ.</v>
      </c>
      <c r="G2696" s="22" t="s">
        <v>162</v>
      </c>
      <c r="H2696" s="22" t="s">
        <v>4891</v>
      </c>
      <c r="I2696" s="26">
        <v>43724.701979166697</v>
      </c>
      <c r="J2696" s="23" t="str">
        <f t="shared" si="41"/>
        <v>ООО "НОВЫЙ ВЕК"</v>
      </c>
      <c r="K2696" s="24" t="s">
        <v>3583</v>
      </c>
      <c r="L2696" s="28" t="s">
        <v>51</v>
      </c>
      <c r="M2696" s="28" t="s">
        <v>51</v>
      </c>
      <c r="N2696" s="27">
        <v>5.0223928207323819E-3</v>
      </c>
    </row>
    <row r="2697" spans="1:14" x14ac:dyDescent="0.15">
      <c r="A2697" s="23" t="str">
        <f>HYPERLINK("https://www.spark-marketing.ru/Card/Person/29477", "ФГБУ ""НИИ ЦПК ИМЕНИ Ю.А.ГАГАРИНА""")</f>
        <v>ФГБУ "НИИ ЦПК ИМЕНИ Ю.А.ГАГАРИНА"</v>
      </c>
      <c r="B2697" s="24" t="s">
        <v>4909</v>
      </c>
      <c r="C2697" s="25">
        <v>168950.95</v>
      </c>
      <c r="D2697" s="22" t="s">
        <v>4910</v>
      </c>
      <c r="E2697" s="22" t="s">
        <v>437</v>
      </c>
      <c r="F2697" s="23" t="str">
        <f>HYPERLINK("https://www.spark-marketing.ru/Card/Lot/73497076", "Оказание услуг по проведению лабораторно-инструментальных исследований на объектах общественного питания ФГБУ ""НИИ ЦПК имени Ю.А. Гагарина")</f>
        <v>Оказание услуг по проведению лабораторно-инструментальных исследований на объектах общественного питания ФГБУ "НИИ ЦПК имени Ю.А. Гагарина</v>
      </c>
      <c r="G2697" s="22" t="s">
        <v>49</v>
      </c>
      <c r="H2697" s="22" t="s">
        <v>49</v>
      </c>
      <c r="I2697" s="26">
        <v>43724.691666666702</v>
      </c>
      <c r="J2697" s="28" t="s">
        <v>51</v>
      </c>
      <c r="K2697" s="28" t="s">
        <v>51</v>
      </c>
      <c r="L2697" s="28" t="s">
        <v>51</v>
      </c>
      <c r="M2697" s="28" t="s">
        <v>51</v>
      </c>
      <c r="N2697" s="28" t="s">
        <v>51</v>
      </c>
    </row>
    <row r="2698" spans="1:14" collapsed="1" x14ac:dyDescent="0.15">
      <c r="A2698" s="23" t="str">
        <f>HYPERLINK("https://www.spark-marketing.ru/Card/Person/13921", "ГБУЗ НСО ""МОШКОВСКАЯ ЦРБ""")</f>
        <v>ГБУЗ НСО "МОШКОВСКАЯ ЦРБ"</v>
      </c>
      <c r="B2698" s="24" t="s">
        <v>4911</v>
      </c>
      <c r="C2698" s="25">
        <v>249760.1</v>
      </c>
      <c r="D2698" s="22" t="s">
        <v>4912</v>
      </c>
      <c r="E2698" s="22" t="s">
        <v>62</v>
      </c>
      <c r="F2698" s="23" t="str">
        <f>HYPERLINK("https://www.spark-marketing.ru/Card/Lot/73487460", "Поставка бланков")</f>
        <v>Поставка бланков</v>
      </c>
      <c r="G2698" s="22" t="s">
        <v>195</v>
      </c>
      <c r="H2698" s="22" t="s">
        <v>4913</v>
      </c>
      <c r="I2698" s="26">
        <v>43724.6381944444</v>
      </c>
      <c r="J2698" s="28" t="s">
        <v>51</v>
      </c>
      <c r="K2698" s="28" t="s">
        <v>51</v>
      </c>
      <c r="L2698" s="28" t="s">
        <v>51</v>
      </c>
      <c r="M2698" s="28" t="s">
        <v>51</v>
      </c>
      <c r="N2698" s="28" t="s">
        <v>51</v>
      </c>
    </row>
    <row r="2699" spans="1:14" hidden="1" outlineLevel="1" x14ac:dyDescent="0.2">
      <c r="A2699" s="23" t="str">
        <f>HYPERLINK("https://www.spark-marketing.ru/Card/Person/13921", "ГБУЗ НСО ""МОШКОВСКАЯ ЦРБ""")</f>
        <v>ГБУЗ НСО "МОШКОВСКАЯ ЦРБ"</v>
      </c>
      <c r="B2699" s="24" t="s">
        <v>4911</v>
      </c>
      <c r="C2699" s="25">
        <v>249760.1</v>
      </c>
      <c r="D2699" s="22" t="s">
        <v>4912</v>
      </c>
      <c r="E2699" s="22" t="s">
        <v>62</v>
      </c>
      <c r="F2699" s="23" t="str">
        <f>HYPERLINK("https://www.spark-marketing.ru/Card/Lot/73487460", "Поставка бланков")</f>
        <v>Поставка бланков</v>
      </c>
      <c r="G2699" s="22" t="s">
        <v>195</v>
      </c>
      <c r="H2699" s="22" t="s">
        <v>4913</v>
      </c>
      <c r="I2699" s="26">
        <v>43724.6381944444</v>
      </c>
      <c r="J2699" s="23" t="str">
        <f>HYPERLINK("https://www.spark-marketing.ru/Card/Person/6235053", "ООО ""АТЛАНТ""")</f>
        <v>ООО "АТЛАНТ"</v>
      </c>
      <c r="K2699" s="24" t="s">
        <v>4914</v>
      </c>
      <c r="L2699" s="28" t="s">
        <v>51</v>
      </c>
      <c r="M2699" s="25">
        <v>244764.48</v>
      </c>
      <c r="N2699" s="27">
        <v>2.0001673605992309E-2</v>
      </c>
    </row>
    <row r="2700" spans="1:14" ht="12.75" hidden="1" outlineLevel="1" x14ac:dyDescent="0.2">
      <c r="A2700" s="23" t="str">
        <f>HYPERLINK("https://www.spark-marketing.ru/Card/Person/13921", "ГБУЗ НСО ""МОШКОВСКАЯ ЦРБ""")</f>
        <v>ГБУЗ НСО "МОШКОВСКАЯ ЦРБ"</v>
      </c>
      <c r="B2700" s="24" t="s">
        <v>4911</v>
      </c>
      <c r="C2700" s="25">
        <v>249760.1</v>
      </c>
      <c r="D2700" s="22" t="s">
        <v>4912</v>
      </c>
      <c r="E2700" s="22" t="s">
        <v>62</v>
      </c>
      <c r="F2700" s="23" t="str">
        <f>HYPERLINK("https://www.spark-marketing.ru/Card/Lot/73487460", "Поставка бланков")</f>
        <v>Поставка бланков</v>
      </c>
      <c r="G2700" s="22" t="s">
        <v>195</v>
      </c>
      <c r="H2700" s="22" t="s">
        <v>4913</v>
      </c>
      <c r="I2700" s="26">
        <v>43724.6381944444</v>
      </c>
      <c r="J2700" s="23" t="str">
        <f>HYPERLINK("https://www.spark-marketing.ru/Card/Person/148599", "ООО ""БАРАБИНСКАЯ ТИПОГРАФИЯ""")</f>
        <v>ООО "БАРАБИНСКАЯ ТИПОГРАФИЯ"</v>
      </c>
      <c r="K2700" s="24" t="s">
        <v>4915</v>
      </c>
      <c r="L2700" s="22" t="s">
        <v>10</v>
      </c>
      <c r="M2700" s="25">
        <v>243515.48</v>
      </c>
      <c r="N2700" s="27">
        <v>2.5002472372488638E-2</v>
      </c>
    </row>
    <row r="2701" spans="1:14" hidden="1" outlineLevel="1" x14ac:dyDescent="0.2">
      <c r="A2701" s="23" t="str">
        <f>HYPERLINK("https://www.spark-marketing.ru/Card/Person/13921", "ГБУЗ НСО ""МОШКОВСКАЯ ЦРБ""")</f>
        <v>ГБУЗ НСО "МОШКОВСКАЯ ЦРБ"</v>
      </c>
      <c r="B2701" s="24" t="s">
        <v>4911</v>
      </c>
      <c r="C2701" s="25">
        <v>249760.1</v>
      </c>
      <c r="D2701" s="22" t="s">
        <v>4912</v>
      </c>
      <c r="E2701" s="22" t="s">
        <v>62</v>
      </c>
      <c r="F2701" s="23" t="str">
        <f>HYPERLINK("https://www.spark-marketing.ru/Card/Lot/73487460", "Поставка бланков")</f>
        <v>Поставка бланков</v>
      </c>
      <c r="G2701" s="22" t="s">
        <v>195</v>
      </c>
      <c r="H2701" s="22" t="s">
        <v>4913</v>
      </c>
      <c r="I2701" s="26">
        <v>43724.6381944444</v>
      </c>
      <c r="J2701" s="23" t="str">
        <f>HYPERLINK("https://www.spark-marketing.ru/Card/Person/6218421", "ООО ""ПРИНТА""")</f>
        <v>ООО "ПРИНТА"</v>
      </c>
      <c r="K2701" s="24" t="s">
        <v>4916</v>
      </c>
      <c r="L2701" s="28" t="s">
        <v>51</v>
      </c>
      <c r="M2701" s="25">
        <v>247262.29</v>
      </c>
      <c r="N2701" s="27">
        <v>1.0000836802996155E-2</v>
      </c>
    </row>
    <row r="2702" spans="1:14" x14ac:dyDescent="0.15">
      <c r="A2702" s="23" t="str">
        <f>HYPERLINK("https://www.spark-marketing.ru/Card/Person/737290", "ГКУ «ЦБЗ ПРИ МИНЗДРАВЕ КАРЕЛИИ»")</f>
        <v>ГКУ «ЦБЗ ПРИ МИНЗДРАВЕ КАРЕЛИИ»</v>
      </c>
      <c r="B2702" s="24" t="s">
        <v>312</v>
      </c>
      <c r="C2702" s="25">
        <v>4007177.1</v>
      </c>
      <c r="D2702" s="22" t="s">
        <v>4917</v>
      </c>
      <c r="E2702" s="22" t="s">
        <v>52</v>
      </c>
      <c r="F2702" s="23" t="str">
        <f>HYPERLINK("https://www.spark-marketing.ru/Card/Lot/73507585", "Поставка лекарственного препарата Инсулин-изофан [человеческий генно-инженерный]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препа...")</f>
        <v>Поставка лекарственного препарата Инсулин-изофан [человеческий генно-инженерный]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препа...</v>
      </c>
      <c r="G2702" s="22" t="s">
        <v>59</v>
      </c>
      <c r="H2702" s="22" t="s">
        <v>314</v>
      </c>
      <c r="I2702" s="26">
        <v>43724.646238425899</v>
      </c>
      <c r="J2702" s="23" t="str">
        <f>HYPERLINK("https://www.spark-marketing.ru/Card/Person/6231467", "ООО ""ОБЛФАРМ АЛЬЯНС""")</f>
        <v>ООО "ОБЛФАРМ АЛЬЯНС"</v>
      </c>
      <c r="K2702" s="24" t="s">
        <v>2175</v>
      </c>
      <c r="L2702" s="22" t="s">
        <v>10</v>
      </c>
      <c r="M2702" s="28" t="s">
        <v>51</v>
      </c>
      <c r="N2702" s="28" t="s">
        <v>51</v>
      </c>
    </row>
    <row r="2703" spans="1:14" x14ac:dyDescent="0.15">
      <c r="A2703" s="23" t="str">
        <f>HYPERLINK("https://www.spark-marketing.ru/Card/Person/242935", "ГБУ НСО ""ЦМТ""")</f>
        <v>ГБУ НСО "ЦМТ"</v>
      </c>
      <c r="B2703" s="24" t="s">
        <v>4918</v>
      </c>
      <c r="C2703" s="25">
        <v>39900</v>
      </c>
      <c r="D2703" s="22" t="s">
        <v>4919</v>
      </c>
      <c r="E2703" s="22" t="s">
        <v>1632</v>
      </c>
      <c r="F2703" s="23" t="str">
        <f>HYPERLINK("https://www.spark-marketing.ru/Card/Lot/73472992", "оказание услуг по организации проживания и питания для участников выездного методического семинара «Социальное проектирование в сфере молодёжной политики»")</f>
        <v>оказание услуг по организации проживания и питания для участников выездного методического семинара «Социальное проектирование в сфере молодёжной политики»</v>
      </c>
      <c r="G2703" s="22" t="s">
        <v>195</v>
      </c>
      <c r="H2703" s="22" t="s">
        <v>196</v>
      </c>
      <c r="I2703" s="26">
        <v>43724.6381944444</v>
      </c>
      <c r="J2703" s="23" t="str">
        <f>HYPERLINK("https://www.spark-marketing.ru/Card/Person/384233", "МАУ ""ЦОИО ""ЛЕСНАЯ СКАЗКА""")</f>
        <v>МАУ "ЦОИО "ЛЕСНАЯ СКАЗКА"</v>
      </c>
      <c r="K2703" s="24" t="s">
        <v>4920</v>
      </c>
      <c r="L2703" s="22" t="s">
        <v>10</v>
      </c>
      <c r="M2703" s="28" t="s">
        <v>51</v>
      </c>
      <c r="N2703" s="28" t="s">
        <v>51</v>
      </c>
    </row>
    <row r="2704" spans="1:14" x14ac:dyDescent="0.15">
      <c r="A2704" s="23" t="str">
        <f>HYPERLINK("https://www.spark-marketing.ru/Card/Person/55278", "ОМВД РОССИИ ПО ТОСНЕНСКОМУ РАЙОНУ ЛО")</f>
        <v>ОМВД РОССИИ ПО ТОСНЕНСКОМУ РАЙОНУ ЛО</v>
      </c>
      <c r="B2704" s="24" t="s">
        <v>4921</v>
      </c>
      <c r="C2704" s="25">
        <v>594985</v>
      </c>
      <c r="D2704" s="22" t="s">
        <v>4922</v>
      </c>
      <c r="E2704" s="22" t="s">
        <v>48</v>
      </c>
      <c r="F2704" s="23" t="str">
        <f>HYPERLINK("https://www.spark-marketing.ru/Card/Lot/73498595", "Услуги по обеспечению трехразовым горячим питанием и суточным набором питания лиц, подозреваемых и обвиняемых в совершении преступлений, содержащихся в изоляторе временного содержания и лиц задержанных за административные правонарушения и содержащихс...")</f>
        <v>Услуги по обеспечению трехразовым горячим питанием и суточным набором питания лиц, подозреваемых и обвиняемых в совершении преступлений, содержащихся в изоляторе временного содержания и лиц задержанных за административные правонарушения и содержащихс...</v>
      </c>
      <c r="G2704" s="22" t="s">
        <v>162</v>
      </c>
      <c r="H2704" s="22" t="s">
        <v>162</v>
      </c>
      <c r="I2704" s="26">
        <v>43724.653472222199</v>
      </c>
      <c r="J2704" s="28" t="s">
        <v>51</v>
      </c>
      <c r="K2704" s="28" t="s">
        <v>51</v>
      </c>
      <c r="L2704" s="28" t="s">
        <v>51</v>
      </c>
      <c r="M2704" s="28" t="s">
        <v>51</v>
      </c>
      <c r="N2704" s="28" t="s">
        <v>51</v>
      </c>
    </row>
    <row r="2705" spans="1:14" x14ac:dyDescent="0.15">
      <c r="A2705" s="23" t="str">
        <f>HYPERLINK("https://www.spark-marketing.ru/Card/Person/61423", "МБОУ СОШ №13 ИМ. В.А. ДЖАНИБЕКОВА ЩМР МО")</f>
        <v>МБОУ СОШ №13 ИМ. В.А. ДЖАНИБЕКОВА ЩМР МО</v>
      </c>
      <c r="B2705" s="24" t="s">
        <v>4923</v>
      </c>
      <c r="C2705" s="25">
        <v>3173856</v>
      </c>
      <c r="D2705" s="22" t="s">
        <v>4924</v>
      </c>
      <c r="E2705" s="22" t="s">
        <v>48</v>
      </c>
      <c r="F2705" s="23" t="str">
        <f>HYPERLINK("https://www.spark-marketing.ru/Card/Lot/73507805",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705" s="22" t="s">
        <v>49</v>
      </c>
      <c r="H2705" s="22" t="s">
        <v>4644</v>
      </c>
      <c r="I2705" s="26">
        <v>43724.629976851902</v>
      </c>
      <c r="J2705" s="28" t="s">
        <v>51</v>
      </c>
      <c r="K2705" s="28" t="s">
        <v>51</v>
      </c>
      <c r="L2705" s="28" t="s">
        <v>51</v>
      </c>
      <c r="M2705" s="28" t="s">
        <v>51</v>
      </c>
      <c r="N2705" s="28" t="s">
        <v>51</v>
      </c>
    </row>
    <row r="2706" spans="1:14" x14ac:dyDescent="0.15">
      <c r="A2706" s="23" t="str">
        <f>HYPERLINK("https://www.spark-marketing.ru/Card/Person/74841", "МБОУ ЛИТВИНОВСКАЯ ООШ П. ЛИТВИНОВО ЩМР МО")</f>
        <v>МБОУ ЛИТВИНОВСКАЯ ООШ П. ЛИТВИНОВО ЩМР МО</v>
      </c>
      <c r="B2706" s="24" t="s">
        <v>4925</v>
      </c>
      <c r="C2706" s="25">
        <v>1208256</v>
      </c>
      <c r="D2706" s="22" t="s">
        <v>4926</v>
      </c>
      <c r="E2706" s="22" t="s">
        <v>48</v>
      </c>
      <c r="F2706" s="23" t="str">
        <f>HYPERLINK("https://www.spark-marketing.ru/Card/Lot/73503940",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706" s="22" t="s">
        <v>49</v>
      </c>
      <c r="H2706" s="22" t="s">
        <v>4644</v>
      </c>
      <c r="I2706" s="26">
        <v>43724.629166666702</v>
      </c>
      <c r="J2706" s="28" t="s">
        <v>51</v>
      </c>
      <c r="K2706" s="28" t="s">
        <v>51</v>
      </c>
      <c r="L2706" s="28" t="s">
        <v>51</v>
      </c>
      <c r="M2706" s="28" t="s">
        <v>51</v>
      </c>
      <c r="N2706" s="28" t="s">
        <v>51</v>
      </c>
    </row>
    <row r="2707" spans="1:14" collapsed="1" x14ac:dyDescent="0.15">
      <c r="A2707" s="23" t="str">
        <f>HYPERLINK("https://www.spark-marketing.ru/Card/Person/30385", "ГБУЗ ЛОКБ")</f>
        <v>ГБУЗ ЛОКБ</v>
      </c>
      <c r="B2707" s="24" t="s">
        <v>4927</v>
      </c>
      <c r="C2707" s="25">
        <v>199660</v>
      </c>
      <c r="D2707" s="22" t="s">
        <v>4928</v>
      </c>
      <c r="E2707" s="22" t="s">
        <v>355</v>
      </c>
      <c r="F2707" s="23" t="str">
        <f>HYPERLINK("https://www.spark-marketing.ru/Card/Lot/73485637", "Оказание услуг по замене аккумуляторных батарей к источникам бесперебойного питания")</f>
        <v>Оказание услуг по замене аккумуляторных батарей к источникам бесперебойного питания</v>
      </c>
      <c r="G2707" s="22" t="s">
        <v>117</v>
      </c>
      <c r="H2707" s="22" t="s">
        <v>117</v>
      </c>
      <c r="I2707" s="26">
        <v>43724.6430555556</v>
      </c>
      <c r="J2707" s="28" t="s">
        <v>51</v>
      </c>
      <c r="K2707" s="28" t="s">
        <v>51</v>
      </c>
      <c r="L2707" s="28" t="s">
        <v>51</v>
      </c>
      <c r="M2707" s="28" t="s">
        <v>51</v>
      </c>
      <c r="N2707" s="28" t="s">
        <v>51</v>
      </c>
    </row>
    <row r="2708" spans="1:14" hidden="1" outlineLevel="1" x14ac:dyDescent="0.2">
      <c r="A2708" s="23" t="str">
        <f>HYPERLINK("https://www.spark-marketing.ru/Card/Person/30385", "ГБУЗ ЛОКБ")</f>
        <v>ГБУЗ ЛОКБ</v>
      </c>
      <c r="B2708" s="24" t="s">
        <v>4927</v>
      </c>
      <c r="C2708" s="25">
        <v>199660</v>
      </c>
      <c r="D2708" s="22" t="s">
        <v>4928</v>
      </c>
      <c r="E2708" s="22" t="s">
        <v>355</v>
      </c>
      <c r="F2708" s="23" t="str">
        <f>HYPERLINK("https://www.spark-marketing.ru/Card/Lot/73485637", "Оказание услуг по замене аккумуляторных батарей к источникам бесперебойного питания")</f>
        <v>Оказание услуг по замене аккумуляторных батарей к источникам бесперебойного питания</v>
      </c>
      <c r="G2708" s="22" t="s">
        <v>117</v>
      </c>
      <c r="H2708" s="22" t="s">
        <v>117</v>
      </c>
      <c r="I2708" s="26">
        <v>43724.6430555556</v>
      </c>
      <c r="J2708" s="23" t="str">
        <f>HYPERLINK("https://www.spark-marketing.ru/Card/Person/275570", "ООО ""ЭНКОМ""")</f>
        <v>ООО "ЭНКОМ"</v>
      </c>
      <c r="K2708" s="24" t="s">
        <v>3374</v>
      </c>
      <c r="L2708" s="28" t="s">
        <v>51</v>
      </c>
      <c r="M2708" s="25">
        <v>121792.6</v>
      </c>
      <c r="N2708" s="27">
        <v>0.39</v>
      </c>
    </row>
    <row r="2709" spans="1:14" ht="12.75" hidden="1" outlineLevel="1" x14ac:dyDescent="0.2">
      <c r="A2709" s="23" t="str">
        <f>HYPERLINK("https://www.spark-marketing.ru/Card/Person/30385", "ГБУЗ ЛОКБ")</f>
        <v>ГБУЗ ЛОКБ</v>
      </c>
      <c r="B2709" s="24" t="s">
        <v>4927</v>
      </c>
      <c r="C2709" s="25">
        <v>199660</v>
      </c>
      <c r="D2709" s="22" t="s">
        <v>4928</v>
      </c>
      <c r="E2709" s="22" t="s">
        <v>355</v>
      </c>
      <c r="F2709" s="23" t="str">
        <f>HYPERLINK("https://www.spark-marketing.ru/Card/Lot/73485637", "Оказание услуг по замене аккумуляторных батарей к источникам бесперебойного питания")</f>
        <v>Оказание услуг по замене аккумуляторных батарей к источникам бесперебойного питания</v>
      </c>
      <c r="G2709" s="22" t="s">
        <v>117</v>
      </c>
      <c r="H2709" s="22" t="s">
        <v>117</v>
      </c>
      <c r="I2709" s="26">
        <v>43724.6430555556</v>
      </c>
      <c r="J2709" s="23" t="str">
        <f>HYPERLINK("https://www.spark-marketing.ru/Card/Person/1549668", "ООО ""СТАРС""")</f>
        <v>ООО "СТАРС"</v>
      </c>
      <c r="K2709" s="24" t="s">
        <v>4929</v>
      </c>
      <c r="L2709" s="22" t="s">
        <v>10</v>
      </c>
      <c r="M2709" s="25">
        <v>120794.3</v>
      </c>
      <c r="N2709" s="27">
        <v>0.39500000000000002</v>
      </c>
    </row>
    <row r="2710" spans="1:14" x14ac:dyDescent="0.15">
      <c r="A2710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2710" s="24" t="s">
        <v>4930</v>
      </c>
      <c r="C2710" s="25">
        <v>2240000</v>
      </c>
      <c r="D2710" s="22" t="s">
        <v>4931</v>
      </c>
      <c r="E2710" s="22" t="s">
        <v>48</v>
      </c>
      <c r="F2710" s="23" t="str">
        <f>HYPERLINK("https://www.spark-marketing.ru/Card/Lot/73502837", "Оказание услуг по обеспечению питанием лиц, содержащихся в ИВС, СП, СПСЗЛ")</f>
        <v>Оказание услуг по обеспечению питанием лиц, содержащихся в ИВС, СП, СПСЗЛ</v>
      </c>
      <c r="G2710" s="22" t="s">
        <v>104</v>
      </c>
      <c r="H2710" s="22" t="s">
        <v>104</v>
      </c>
      <c r="I2710" s="26">
        <v>43724.655555555597</v>
      </c>
      <c r="J2710" s="23" t="str">
        <f>HYPERLINK("https://www.spark-marketing.ru/Card/Person/1169845", "Матяско Ирина Михайловна")</f>
        <v>Матяско Ирина Михайловна</v>
      </c>
      <c r="K2710" s="24" t="s">
        <v>4932</v>
      </c>
      <c r="L2710" s="22" t="s">
        <v>10</v>
      </c>
      <c r="M2710" s="28" t="s">
        <v>51</v>
      </c>
      <c r="N2710" s="28" t="s">
        <v>51</v>
      </c>
    </row>
    <row r="2711" spans="1:14" x14ac:dyDescent="0.15">
      <c r="A271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711" s="24" t="s">
        <v>3255</v>
      </c>
      <c r="C2711" s="25">
        <v>659377</v>
      </c>
      <c r="D2711" s="22" t="s">
        <v>4933</v>
      </c>
      <c r="E2711" s="22" t="s">
        <v>52</v>
      </c>
      <c r="F2711" s="23" t="str">
        <f>HYPERLINK("https://www.spark-marketing.ru/Card/Lot/73497766", "Поставка лекарственного препарата для медицинского применения ""Кетоаналоги аминокислот""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специали...")</f>
        <v>Поставка лекарственного препарата для медицинского применения "Кетоаналоги аминокислот"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специали...</v>
      </c>
      <c r="G2711" s="22" t="s">
        <v>210</v>
      </c>
      <c r="H2711" s="22" t="s">
        <v>3257</v>
      </c>
      <c r="I2711" s="26">
        <v>43724.665972222203</v>
      </c>
      <c r="J2711" s="23" t="str">
        <f>HYPERLINK("https://www.spark-marketing.ru/Card/Person/6518829", "ООО ""ЭКОМЕДИКА""")</f>
        <v>ООО "ЭКОМЕДИКА"</v>
      </c>
      <c r="K2711" s="24" t="s">
        <v>4851</v>
      </c>
      <c r="L2711" s="22" t="s">
        <v>10</v>
      </c>
      <c r="M2711" s="28" t="s">
        <v>51</v>
      </c>
      <c r="N2711" s="28" t="s">
        <v>51</v>
      </c>
    </row>
    <row r="2712" spans="1:14" x14ac:dyDescent="0.15">
      <c r="A2712" s="23" t="str">
        <f>HYPERLINK("https://www.spark-marketing.ru/Card/Person/60354", "МБОУ СОШ № 3 ИМ. С.А. КРАСОВСКОГО П. МОНИНО ЩМР МО")</f>
        <v>МБОУ СОШ № 3 ИМ. С.А. КРАСОВСКОГО П. МОНИНО ЩМР МО</v>
      </c>
      <c r="B2712" s="24" t="s">
        <v>4934</v>
      </c>
      <c r="C2712" s="25">
        <v>2777376</v>
      </c>
      <c r="D2712" s="22" t="s">
        <v>4935</v>
      </c>
      <c r="E2712" s="22" t="s">
        <v>48</v>
      </c>
      <c r="F2712" s="23" t="str">
        <f>HYPERLINK("https://www.spark-marketing.ru/Card/Lot/73507785",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712" s="22" t="s">
        <v>49</v>
      </c>
      <c r="H2712" s="22" t="s">
        <v>4644</v>
      </c>
      <c r="I2712" s="26">
        <v>43724.592800925901</v>
      </c>
      <c r="J2712" s="28" t="s">
        <v>51</v>
      </c>
      <c r="K2712" s="28" t="s">
        <v>51</v>
      </c>
      <c r="L2712" s="28" t="s">
        <v>51</v>
      </c>
      <c r="M2712" s="28" t="s">
        <v>51</v>
      </c>
      <c r="N2712" s="28" t="s">
        <v>51</v>
      </c>
    </row>
    <row r="2713" spans="1:14" collapsed="1" x14ac:dyDescent="0.15">
      <c r="A2713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2713" s="24" t="s">
        <v>967</v>
      </c>
      <c r="C2713" s="25">
        <v>6464372.4000000004</v>
      </c>
      <c r="D2713" s="22" t="s">
        <v>4936</v>
      </c>
      <c r="E2713" s="22" t="s">
        <v>96</v>
      </c>
      <c r="F2713" s="23" t="str">
        <f>HYPERLINK("https://www.spark-marketing.ru/Card/Lot/73508028", "Питание спецконтенгента")</f>
        <v>Питание спецконтенгента</v>
      </c>
      <c r="G2713" s="22" t="s">
        <v>104</v>
      </c>
      <c r="H2713" s="22" t="s">
        <v>969</v>
      </c>
      <c r="I2713" s="26">
        <v>43724.603530092601</v>
      </c>
      <c r="J2713" s="28" t="s">
        <v>51</v>
      </c>
      <c r="K2713" s="28" t="s">
        <v>51</v>
      </c>
      <c r="L2713" s="28" t="s">
        <v>51</v>
      </c>
      <c r="M2713" s="28" t="s">
        <v>51</v>
      </c>
      <c r="N2713" s="28" t="s">
        <v>51</v>
      </c>
    </row>
    <row r="2714" spans="1:14" ht="12.75" hidden="1" outlineLevel="1" x14ac:dyDescent="0.2">
      <c r="A2714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2714" s="24" t="s">
        <v>967</v>
      </c>
      <c r="C2714" s="25">
        <v>6464372.4000000004</v>
      </c>
      <c r="D2714" s="22" t="s">
        <v>4936</v>
      </c>
      <c r="E2714" s="22" t="s">
        <v>96</v>
      </c>
      <c r="F2714" s="23" t="str">
        <f>HYPERLINK("https://www.spark-marketing.ru/Card/Lot/73508028", "Питание спецконтенгента")</f>
        <v>Питание спецконтенгента</v>
      </c>
      <c r="G2714" s="22" t="s">
        <v>104</v>
      </c>
      <c r="H2714" s="22" t="s">
        <v>969</v>
      </c>
      <c r="I2714" s="26">
        <v>43724.603530092601</v>
      </c>
      <c r="J2714" s="23" t="str">
        <f>HYPERLINK("https://www.spark-marketing.ru/Card/Person/130915", "ООО ""НАДЕЖДА Д.""")</f>
        <v>ООО "НАДЕЖДА Д."</v>
      </c>
      <c r="K2714" s="24" t="s">
        <v>2749</v>
      </c>
      <c r="L2714" s="22" t="s">
        <v>10</v>
      </c>
      <c r="M2714" s="25">
        <v>4998413.4800000004</v>
      </c>
      <c r="N2714" s="27">
        <v>0.22677513442758959</v>
      </c>
    </row>
    <row r="2715" spans="1:14" hidden="1" outlineLevel="1" x14ac:dyDescent="0.2">
      <c r="A2715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2715" s="24" t="s">
        <v>967</v>
      </c>
      <c r="C2715" s="25">
        <v>6464372.4000000004</v>
      </c>
      <c r="D2715" s="22" t="s">
        <v>4936</v>
      </c>
      <c r="E2715" s="22" t="s">
        <v>96</v>
      </c>
      <c r="F2715" s="23" t="str">
        <f>HYPERLINK("https://www.spark-marketing.ru/Card/Lot/73508028", "Питание спецконтенгента")</f>
        <v>Питание спецконтенгента</v>
      </c>
      <c r="G2715" s="22" t="s">
        <v>104</v>
      </c>
      <c r="H2715" s="22" t="s">
        <v>969</v>
      </c>
      <c r="I2715" s="26">
        <v>43724.603530092601</v>
      </c>
      <c r="J2715" s="23" t="str">
        <f>HYPERLINK("https://www.spark-marketing.ru/Card/Person/226918", "Текнеджян Амаля Нерсесовна")</f>
        <v>Текнеджян Амаля Нерсесовна</v>
      </c>
      <c r="K2715" s="24" t="s">
        <v>4937</v>
      </c>
      <c r="L2715" s="28" t="s">
        <v>51</v>
      </c>
      <c r="M2715" s="25">
        <v>5030735.34</v>
      </c>
      <c r="N2715" s="27">
        <v>0.22177513473697771</v>
      </c>
    </row>
    <row r="2716" spans="1:14" hidden="1" outlineLevel="1" x14ac:dyDescent="0.2">
      <c r="A2716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2716" s="24" t="s">
        <v>967</v>
      </c>
      <c r="C2716" s="25">
        <v>6464372.4000000004</v>
      </c>
      <c r="D2716" s="22" t="s">
        <v>4936</v>
      </c>
      <c r="E2716" s="22" t="s">
        <v>96</v>
      </c>
      <c r="F2716" s="23" t="str">
        <f>HYPERLINK("https://www.spark-marketing.ru/Card/Lot/73508028", "Питание спецконтенгента")</f>
        <v>Питание спецконтенгента</v>
      </c>
      <c r="G2716" s="22" t="s">
        <v>104</v>
      </c>
      <c r="H2716" s="22" t="s">
        <v>969</v>
      </c>
      <c r="I2716" s="26">
        <v>43724.603530092601</v>
      </c>
      <c r="J2716" s="23" t="str">
        <f>HYPERLINK("https://www.spark-marketing.ru/Card/Person/456807", "Галустова Астхик Владимировна")</f>
        <v>Галустова Астхик Владимировна</v>
      </c>
      <c r="K2716" s="24" t="s">
        <v>4938</v>
      </c>
      <c r="L2716" s="28" t="s">
        <v>51</v>
      </c>
      <c r="M2716" s="25">
        <v>5029000</v>
      </c>
      <c r="N2716" s="27">
        <v>0.22204358152386147</v>
      </c>
    </row>
    <row r="2717" spans="1:14" x14ac:dyDescent="0.15">
      <c r="A2717" s="23" t="str">
        <f>HYPERLINK("https://www.spark-marketing.ru/Card/Person/1026913", "МБОУ ООШ№1")</f>
        <v>МБОУ ООШ№1</v>
      </c>
      <c r="B2717" s="24" t="s">
        <v>4939</v>
      </c>
      <c r="C2717" s="25">
        <v>1015159.39</v>
      </c>
      <c r="D2717" s="22" t="s">
        <v>4940</v>
      </c>
      <c r="E2717" s="22" t="s">
        <v>96</v>
      </c>
      <c r="F2717" s="23" t="str">
        <f>HYPERLINK("https://www.spark-marketing.ru/Card/Lot/73501124", "оказание услуги по организации горячего питания учащихся из многодетных малообеспеченных семей, малообеспеченных семей детей с ОВЗ")</f>
        <v>оказание услуги по организации горячего питания учащихся из многодетных малообеспеченных семей, малообеспеченных семей детей с ОВЗ</v>
      </c>
      <c r="G2717" s="22" t="s">
        <v>153</v>
      </c>
      <c r="H2717" s="22" t="s">
        <v>153</v>
      </c>
      <c r="I2717" s="26">
        <v>43724.598611111098</v>
      </c>
      <c r="J2717" s="23" t="str">
        <f>HYPERLINK("https://www.spark-marketing.ru/Card/Person/1399750", "Асманкин Олег Валентинович")</f>
        <v>Асманкин Олег Валентинович</v>
      </c>
      <c r="K2717" s="24" t="s">
        <v>4941</v>
      </c>
      <c r="L2717" s="22" t="s">
        <v>10</v>
      </c>
      <c r="M2717" s="28" t="s">
        <v>51</v>
      </c>
      <c r="N2717" s="28" t="s">
        <v>51</v>
      </c>
    </row>
    <row r="2718" spans="1:14" x14ac:dyDescent="0.15">
      <c r="A2718" s="23" t="str">
        <f>HYPERLINK("https://www.spark-marketing.ru/Card/Person/61971", "МБДОУ ДЕТСКИЙ САД №52 ""КОЛОСОК"" ОБЩЕРАЗВИВАЮЩЕГО ВИДА ГОЩ")</f>
        <v>МБДОУ ДЕТСКИЙ САД №52 "КОЛОСОК" ОБЩЕРАЗВИВАЮЩЕГО ВИДА ГОЩ</v>
      </c>
      <c r="B2718" s="24" t="s">
        <v>4942</v>
      </c>
      <c r="C2718" s="25">
        <v>4851481.5999999996</v>
      </c>
      <c r="D2718" s="22" t="s">
        <v>4943</v>
      </c>
      <c r="E2718" s="22" t="s">
        <v>48</v>
      </c>
      <c r="F2718" s="23" t="str">
        <f>HYPERLINK("https://www.spark-marketing.ru/Card/Lot/73507803",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718" s="22" t="s">
        <v>49</v>
      </c>
      <c r="H2718" s="22" t="s">
        <v>4644</v>
      </c>
      <c r="I2718" s="26">
        <v>43724.6175</v>
      </c>
      <c r="J2718" s="28" t="s">
        <v>51</v>
      </c>
      <c r="K2718" s="28" t="s">
        <v>51</v>
      </c>
      <c r="L2718" s="28" t="s">
        <v>51</v>
      </c>
      <c r="M2718" s="28" t="s">
        <v>51</v>
      </c>
      <c r="N2718" s="28" t="s">
        <v>51</v>
      </c>
    </row>
    <row r="2719" spans="1:14" collapsed="1" x14ac:dyDescent="0.15">
      <c r="A2719" s="23" t="str">
        <f>HYPERLINK("https://www.spark-marketing.ru/Card/Person/134137", "МБДОУ ""ДЕТСКИЙ САД №21""")</f>
        <v>МБДОУ "ДЕТСКИЙ САД №21"</v>
      </c>
      <c r="B2719" s="24" t="s">
        <v>4944</v>
      </c>
      <c r="C2719" s="25">
        <v>28007270</v>
      </c>
      <c r="D2719" s="22" t="s">
        <v>4945</v>
      </c>
      <c r="E2719" s="22" t="s">
        <v>48</v>
      </c>
      <c r="F2719" s="23" t="str">
        <f>HYPERLINK("https://www.spark-marketing.ru/Card/Lot/73507823", "оказание услуг по организации горячего питания в МБДОУ ""Детский сад №21""")</f>
        <v>оказание услуг по организации горячего питания в МБДОУ "Детский сад №21"</v>
      </c>
      <c r="G2719" s="22" t="s">
        <v>49</v>
      </c>
      <c r="H2719" s="22" t="s">
        <v>301</v>
      </c>
      <c r="I2719" s="26">
        <v>43724.585625</v>
      </c>
      <c r="J2719" s="28" t="s">
        <v>51</v>
      </c>
      <c r="K2719" s="28" t="s">
        <v>51</v>
      </c>
      <c r="L2719" s="28" t="s">
        <v>51</v>
      </c>
      <c r="M2719" s="28" t="s">
        <v>51</v>
      </c>
      <c r="N2719" s="28" t="s">
        <v>51</v>
      </c>
    </row>
    <row r="2720" spans="1:14" hidden="1" outlineLevel="1" x14ac:dyDescent="0.2">
      <c r="A2720" s="23" t="str">
        <f>HYPERLINK("https://www.spark-marketing.ru/Card/Person/134137", "МБДОУ ""ДЕТСКИЙ САД №21""")</f>
        <v>МБДОУ "ДЕТСКИЙ САД №21"</v>
      </c>
      <c r="B2720" s="24" t="s">
        <v>4944</v>
      </c>
      <c r="C2720" s="25">
        <v>28007270</v>
      </c>
      <c r="D2720" s="22" t="s">
        <v>4945</v>
      </c>
      <c r="E2720" s="22" t="s">
        <v>48</v>
      </c>
      <c r="F2720" s="23" t="str">
        <f>HYPERLINK("https://www.spark-marketing.ru/Card/Lot/73507823", "оказание услуг по организации горячего питания в МБДОУ ""Детский сад №21""")</f>
        <v>оказание услуг по организации горячего питания в МБДОУ "Детский сад №21"</v>
      </c>
      <c r="G2720" s="22" t="s">
        <v>49</v>
      </c>
      <c r="H2720" s="22" t="s">
        <v>301</v>
      </c>
      <c r="I2720" s="26">
        <v>43724.585625</v>
      </c>
      <c r="J2720" s="23" t="str">
        <f>HYPERLINK("https://www.spark-marketing.ru/Card/Person/100937", "ООО ""ВЕРТИКАЛЬ""")</f>
        <v>ООО "ВЕРТИКАЛЬ"</v>
      </c>
      <c r="K2720" s="24" t="s">
        <v>4501</v>
      </c>
      <c r="L2720" s="28" t="s">
        <v>51</v>
      </c>
      <c r="M2720" s="25">
        <v>24646397.600000001</v>
      </c>
      <c r="N2720" s="27">
        <v>0.12</v>
      </c>
    </row>
    <row r="2721" spans="1:14" ht="12.75" hidden="1" outlineLevel="1" x14ac:dyDescent="0.2">
      <c r="A2721" s="23" t="str">
        <f>HYPERLINK("https://www.spark-marketing.ru/Card/Person/134137", "МБДОУ ""ДЕТСКИЙ САД №21""")</f>
        <v>МБДОУ "ДЕТСКИЙ САД №21"</v>
      </c>
      <c r="B2721" s="24" t="s">
        <v>4944</v>
      </c>
      <c r="C2721" s="25">
        <v>28007270</v>
      </c>
      <c r="D2721" s="22" t="s">
        <v>4945</v>
      </c>
      <c r="E2721" s="22" t="s">
        <v>48</v>
      </c>
      <c r="F2721" s="23" t="str">
        <f>HYPERLINK("https://www.spark-marketing.ru/Card/Lot/73507823", "оказание услуг по организации горячего питания в МБДОУ ""Детский сад №21""")</f>
        <v>оказание услуг по организации горячего питания в МБДОУ "Детский сад №21"</v>
      </c>
      <c r="G2721" s="22" t="s">
        <v>49</v>
      </c>
      <c r="H2721" s="22" t="s">
        <v>301</v>
      </c>
      <c r="I2721" s="26">
        <v>43724.585625</v>
      </c>
      <c r="J2721" s="23" t="str">
        <f>HYPERLINK("https://www.spark-marketing.ru/Card/Person/70733", "ООО ""ПЛАНЕТА ВКУСА""")</f>
        <v>ООО "ПЛАНЕТА ВКУСА"</v>
      </c>
      <c r="K2721" s="24" t="s">
        <v>4502</v>
      </c>
      <c r="L2721" s="22" t="s">
        <v>10</v>
      </c>
      <c r="M2721" s="25">
        <v>26532229</v>
      </c>
      <c r="N2721" s="27">
        <v>5.2666361269770312E-2</v>
      </c>
    </row>
    <row r="2722" spans="1:14" collapsed="1" x14ac:dyDescent="0.15">
      <c r="A2722" s="23" t="str">
        <f>HYPERLINK("https://www.spark-marketing.ru/Card/Person/11769", "ГУ ТО ""ТУЛААВТОДОР""")</f>
        <v>ГУ ТО "ТУЛААВТОДОР"</v>
      </c>
      <c r="B2722" s="24" t="s">
        <v>4946</v>
      </c>
      <c r="C2722" s="25">
        <v>1000000</v>
      </c>
      <c r="D2722" s="22" t="s">
        <v>4947</v>
      </c>
      <c r="E2722" s="22" t="s">
        <v>583</v>
      </c>
      <c r="F2722" s="23" t="str">
        <f>HYPERLINK("https://www.spark-marketing.ru/Card/Lot/73501014", "Оказание услуг по установке, замене и настройке оборудования системы мониторинга транспорта спутниковой системы ГЛОНАСС")</f>
        <v>Оказание услуг по установке, замене и настройке оборудования системы мониторинга транспорта спутниковой системы ГЛОНАСС</v>
      </c>
      <c r="G2722" s="22" t="s">
        <v>68</v>
      </c>
      <c r="H2722" s="22" t="s">
        <v>4948</v>
      </c>
      <c r="I2722" s="26">
        <v>43724.593055555597</v>
      </c>
      <c r="J2722" s="28" t="s">
        <v>51</v>
      </c>
      <c r="K2722" s="28" t="s">
        <v>51</v>
      </c>
      <c r="L2722" s="28" t="s">
        <v>51</v>
      </c>
      <c r="M2722" s="28" t="s">
        <v>51</v>
      </c>
      <c r="N2722" s="28" t="s">
        <v>51</v>
      </c>
    </row>
    <row r="2723" spans="1:14" hidden="1" outlineLevel="1" x14ac:dyDescent="0.2">
      <c r="A2723" s="23" t="str">
        <f>HYPERLINK("https://www.spark-marketing.ru/Card/Person/11769", "ГУ ТО ""ТУЛААВТОДОР""")</f>
        <v>ГУ ТО "ТУЛААВТОДОР"</v>
      </c>
      <c r="B2723" s="24" t="s">
        <v>4946</v>
      </c>
      <c r="C2723" s="25">
        <v>1000000</v>
      </c>
      <c r="D2723" s="22" t="s">
        <v>4947</v>
      </c>
      <c r="E2723" s="22" t="s">
        <v>583</v>
      </c>
      <c r="F2723" s="23" t="str">
        <f>HYPERLINK("https://www.spark-marketing.ru/Card/Lot/73501014", "Оказание услуг по установке, замене и настройке оборудования системы мониторинга транспорта спутниковой системы ГЛОНАСС")</f>
        <v>Оказание услуг по установке, замене и настройке оборудования системы мониторинга транспорта спутниковой системы ГЛОНАСС</v>
      </c>
      <c r="G2723" s="22" t="s">
        <v>68</v>
      </c>
      <c r="H2723" s="22" t="s">
        <v>4948</v>
      </c>
      <c r="I2723" s="26">
        <v>43724.593055555597</v>
      </c>
      <c r="J2723" s="23" t="str">
        <f>HYPERLINK("https://www.spark-marketing.ru/Card/Person/6217001", "ООО ""ЕТЦ""")</f>
        <v>ООО "ЕТЦ"</v>
      </c>
      <c r="K2723" s="24" t="s">
        <v>4949</v>
      </c>
      <c r="L2723" s="28" t="s">
        <v>51</v>
      </c>
      <c r="M2723" s="25">
        <v>51588.9</v>
      </c>
      <c r="N2723" s="27">
        <v>0.94841109999999995</v>
      </c>
    </row>
    <row r="2724" spans="1:14" ht="12.75" hidden="1" outlineLevel="1" x14ac:dyDescent="0.2">
      <c r="A2724" s="23" t="str">
        <f>HYPERLINK("https://www.spark-marketing.ru/Card/Person/11769", "ГУ ТО ""ТУЛААВТОДОР""")</f>
        <v>ГУ ТО "ТУЛААВТОДОР"</v>
      </c>
      <c r="B2724" s="24" t="s">
        <v>4946</v>
      </c>
      <c r="C2724" s="25">
        <v>1000000</v>
      </c>
      <c r="D2724" s="22" t="s">
        <v>4947</v>
      </c>
      <c r="E2724" s="22" t="s">
        <v>583</v>
      </c>
      <c r="F2724" s="23" t="str">
        <f>HYPERLINK("https://www.spark-marketing.ru/Card/Lot/73501014", "Оказание услуг по установке, замене и настройке оборудования системы мониторинга транспорта спутниковой системы ГЛОНАСС")</f>
        <v>Оказание услуг по установке, замене и настройке оборудования системы мониторинга транспорта спутниковой системы ГЛОНАСС</v>
      </c>
      <c r="G2724" s="22" t="s">
        <v>68</v>
      </c>
      <c r="H2724" s="22" t="s">
        <v>4948</v>
      </c>
      <c r="I2724" s="26">
        <v>43724.593055555597</v>
      </c>
      <c r="J2724" s="23" t="str">
        <f>HYPERLINK("https://www.spark-marketing.ru/Card/Person/6428324", "Воробьев Александр Витальевич")</f>
        <v>Воробьев Александр Витальевич</v>
      </c>
      <c r="K2724" s="24" t="s">
        <v>4950</v>
      </c>
      <c r="L2724" s="22" t="s">
        <v>10</v>
      </c>
      <c r="M2724" s="25">
        <v>51270.45</v>
      </c>
      <c r="N2724" s="27">
        <v>0.94872955000000003</v>
      </c>
    </row>
    <row r="2725" spans="1:14" x14ac:dyDescent="0.15">
      <c r="A2725" s="23" t="str">
        <f>HYPERLINK("https://www.spark-marketing.ru/Card/Person/4380856", "ОТДЕЛ МВД РОССИИ ПО ВЫСЕЛКОВСКОМУ РАЙОНУ")</f>
        <v>ОТДЕЛ МВД РОССИИ ПО ВЫСЕЛКОВСКОМУ РАЙОНУ</v>
      </c>
      <c r="B2725" s="24" t="s">
        <v>4951</v>
      </c>
      <c r="C2725" s="25">
        <v>2065000</v>
      </c>
      <c r="D2725" s="22" t="s">
        <v>4952</v>
      </c>
      <c r="E2725" s="22" t="s">
        <v>48</v>
      </c>
      <c r="F2725" s="23" t="str">
        <f>HYPERLINK("https://www.spark-marketing.ru/Card/Lot/73502810", "Услуги по обеспечению питанием, осуществляемые по договору")</f>
        <v>Услуги по обеспечению питанием, осуществляемые по договору</v>
      </c>
      <c r="G2725" s="22" t="s">
        <v>104</v>
      </c>
      <c r="H2725" s="22" t="s">
        <v>4953</v>
      </c>
      <c r="I2725" s="26">
        <v>43724.621527777803</v>
      </c>
      <c r="J2725" s="23" t="str">
        <f>HYPERLINK("https://www.spark-marketing.ru/Card/Person/103083", "Орлов Антон Олегович")</f>
        <v>Орлов Антон Олегович</v>
      </c>
      <c r="K2725" s="24" t="s">
        <v>4954</v>
      </c>
      <c r="L2725" s="22" t="s">
        <v>10</v>
      </c>
      <c r="M2725" s="28" t="s">
        <v>51</v>
      </c>
      <c r="N2725" s="28" t="s">
        <v>51</v>
      </c>
    </row>
    <row r="2726" spans="1:14" x14ac:dyDescent="0.15">
      <c r="A2726" s="23" t="str">
        <f>HYPERLINK("https://www.spark-marketing.ru/Card/Person/61905", "МБОУ СОШ №10 С УИОП ЩМР МО")</f>
        <v>МБОУ СОШ №10 С УИОП ЩМР МО</v>
      </c>
      <c r="B2726" s="24" t="s">
        <v>4955</v>
      </c>
      <c r="C2726" s="25">
        <v>4939200</v>
      </c>
      <c r="D2726" s="22" t="s">
        <v>4956</v>
      </c>
      <c r="E2726" s="22" t="s">
        <v>48</v>
      </c>
      <c r="F2726" s="23" t="str">
        <f>HYPERLINK("https://www.spark-marketing.ru/Card/Lot/73507804",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726" s="22" t="s">
        <v>49</v>
      </c>
      <c r="H2726" s="22" t="s">
        <v>4644</v>
      </c>
      <c r="I2726" s="26">
        <v>43724.619895833297</v>
      </c>
      <c r="J2726" s="28" t="s">
        <v>51</v>
      </c>
      <c r="K2726" s="28" t="s">
        <v>51</v>
      </c>
      <c r="L2726" s="28" t="s">
        <v>51</v>
      </c>
      <c r="M2726" s="28" t="s">
        <v>51</v>
      </c>
      <c r="N2726" s="28" t="s">
        <v>51</v>
      </c>
    </row>
    <row r="2727" spans="1:14" x14ac:dyDescent="0.15">
      <c r="A2727" s="23" t="str">
        <f>HYPERLINK("https://www.spark-marketing.ru/Card/Person/4380856", "ОТДЕЛ МВД РОССИИ ПО ВЫСЕЛКОВСКОМУ РАЙОНУ")</f>
        <v>ОТДЕЛ МВД РОССИИ ПО ВЫСЕЛКОВСКОМУ РАЙОНУ</v>
      </c>
      <c r="B2727" s="24" t="s">
        <v>4951</v>
      </c>
      <c r="C2727" s="25">
        <v>2065000</v>
      </c>
      <c r="D2727" s="22" t="s">
        <v>4957</v>
      </c>
      <c r="E2727" s="22" t="s">
        <v>48</v>
      </c>
      <c r="F2727" s="23" t="str">
        <f>HYPERLINK("https://www.spark-marketing.ru/Card/Lot/73504331", "Услуги по обеспечению питанием, осуществляемые по договору")</f>
        <v>Услуги по обеспечению питанием, осуществляемые по договору</v>
      </c>
      <c r="G2727" s="22" t="s">
        <v>104</v>
      </c>
      <c r="H2727" s="22" t="s">
        <v>4953</v>
      </c>
      <c r="I2727" s="26">
        <v>43724.622222222199</v>
      </c>
      <c r="J2727" s="23" t="str">
        <f>HYPERLINK("https://www.spark-marketing.ru/Card/Person/103083", "Орлов Антон Олегович")</f>
        <v>Орлов Антон Олегович</v>
      </c>
      <c r="K2727" s="24" t="s">
        <v>4954</v>
      </c>
      <c r="L2727" s="22" t="s">
        <v>10</v>
      </c>
      <c r="M2727" s="28" t="s">
        <v>51</v>
      </c>
      <c r="N2727" s="28" t="s">
        <v>51</v>
      </c>
    </row>
    <row r="2728" spans="1:14" x14ac:dyDescent="0.15">
      <c r="A2728" s="23" t="str">
        <f>HYPERLINK("https://www.spark-marketing.ru/Card/Person/61906", "МБОУ СОШ № 11 ИМ. Г.С. ТИТОВА ЩМР МО")</f>
        <v>МБОУ СОШ № 11 ИМ. Г.С. ТИТОВА ЩМР МО</v>
      </c>
      <c r="B2728" s="24" t="s">
        <v>4958</v>
      </c>
      <c r="C2728" s="25">
        <v>3722880</v>
      </c>
      <c r="D2728" s="22" t="s">
        <v>4959</v>
      </c>
      <c r="E2728" s="22" t="s">
        <v>48</v>
      </c>
      <c r="F2728" s="23" t="str">
        <f>HYPERLINK("https://www.spark-marketing.ru/Card/Lot/73507802",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728" s="22" t="s">
        <v>49</v>
      </c>
      <c r="H2728" s="22" t="s">
        <v>4644</v>
      </c>
      <c r="I2728" s="26">
        <v>43724.617349537002</v>
      </c>
      <c r="J2728" s="28" t="s">
        <v>51</v>
      </c>
      <c r="K2728" s="28" t="s">
        <v>51</v>
      </c>
      <c r="L2728" s="28" t="s">
        <v>51</v>
      </c>
      <c r="M2728" s="28" t="s">
        <v>51</v>
      </c>
      <c r="N2728" s="28" t="s">
        <v>51</v>
      </c>
    </row>
    <row r="2729" spans="1:14" x14ac:dyDescent="0.15">
      <c r="A2729" s="23" t="str">
        <f>HYPERLINK("https://www.spark-marketing.ru/Card/Person/43995", "АДМИНИСТРАЦИЯ МО ""БОХАНСКИЙ РАЙОН""")</f>
        <v>АДМИНИСТРАЦИЯ МО "БОХАНСКИЙ РАЙОН"</v>
      </c>
      <c r="B2729" s="24" t="s">
        <v>4960</v>
      </c>
      <c r="C2729" s="25">
        <v>126642.72</v>
      </c>
      <c r="D2729" s="22" t="s">
        <v>4961</v>
      </c>
      <c r="E2729" s="22" t="s">
        <v>96</v>
      </c>
      <c r="F2729" s="23" t="str">
        <f>HYPERLINK("https://www.spark-marketing.ru/Card/Lot/73484855", "Организация питания ""День работников сельского хозяйства""")</f>
        <v>Организация питания "День работников сельского хозяйства"</v>
      </c>
      <c r="G2729" s="22" t="s">
        <v>263</v>
      </c>
      <c r="H2729" s="22" t="s">
        <v>4962</v>
      </c>
      <c r="I2729" s="26">
        <v>43724.588888888902</v>
      </c>
      <c r="J2729" s="23" t="str">
        <f>HYPERLINK("https://www.spark-marketing.ru/Card/Person/6469235", "Петрова Ульяна Михайловна")</f>
        <v>Петрова Ульяна Михайловна</v>
      </c>
      <c r="K2729" s="24" t="s">
        <v>4963</v>
      </c>
      <c r="L2729" s="22" t="s">
        <v>10</v>
      </c>
      <c r="M2729" s="28" t="s">
        <v>51</v>
      </c>
      <c r="N2729" s="28" t="s">
        <v>51</v>
      </c>
    </row>
    <row r="2730" spans="1:14" x14ac:dyDescent="0.15">
      <c r="A2730" s="23" t="str">
        <f>HYPERLINK("https://www.spark-marketing.ru/Card/Person/75610", "МБДОУ ДЕТСКИЙ САД № 49 ""ЗОРЕНЬКА"" ДЕРЕВНИ БОГОСЛОВО ЩМР МО")</f>
        <v>МБДОУ ДЕТСКИЙ САД № 49 "ЗОРЕНЬКА" ДЕРЕВНИ БОГОСЛОВО ЩМР МО</v>
      </c>
      <c r="B2730" s="24" t="s">
        <v>4964</v>
      </c>
      <c r="C2730" s="25">
        <v>1022285.04</v>
      </c>
      <c r="D2730" s="22" t="s">
        <v>4965</v>
      </c>
      <c r="E2730" s="22" t="s">
        <v>48</v>
      </c>
      <c r="F2730" s="23" t="str">
        <f>HYPERLINK("https://www.spark-marketing.ru/Card/Lot/73501127",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730" s="22" t="s">
        <v>49</v>
      </c>
      <c r="H2730" s="22" t="s">
        <v>4644</v>
      </c>
      <c r="I2730" s="26">
        <v>43724.592361111099</v>
      </c>
      <c r="J2730" s="28" t="s">
        <v>51</v>
      </c>
      <c r="K2730" s="28" t="s">
        <v>51</v>
      </c>
      <c r="L2730" s="28" t="s">
        <v>51</v>
      </c>
      <c r="M2730" s="28" t="s">
        <v>51</v>
      </c>
      <c r="N2730" s="28" t="s">
        <v>51</v>
      </c>
    </row>
    <row r="2731" spans="1:14" x14ac:dyDescent="0.15">
      <c r="A2731" s="23" t="str">
        <f>HYPERLINK("https://www.spark-marketing.ru/Card/Person/120059", "МЕЖМУНИЦИПАЛЬНЫЙ ОТДЕЛ МВД РОССИИ ""КЫШТЫМСКИЙ"" ЧЕЛЯБИНСКОЙ ОБЛАСТИ")</f>
        <v>МЕЖМУНИЦИПАЛЬНЫЙ ОТДЕЛ МВД РОССИИ "КЫШТЫМСКИЙ" ЧЕЛЯБИНСКОЙ ОБЛАСТИ</v>
      </c>
      <c r="B2731" s="24" t="s">
        <v>2730</v>
      </c>
      <c r="C2731" s="25">
        <v>1500000</v>
      </c>
      <c r="D2731" s="22" t="s">
        <v>4966</v>
      </c>
      <c r="E2731" s="22" t="s">
        <v>96</v>
      </c>
      <c r="F2731" s="23" t="str">
        <f>HYPERLINK("https://www.spark-marketing.ru/Card/Lot/73502290", "услуги по обеспечению горячим трёхразовым питанием лиц, содержащихся в ИВС")</f>
        <v>услуги по обеспечению горячим трёхразовым питанием лиц, содержащихся в ИВС</v>
      </c>
      <c r="G2731" s="22" t="s">
        <v>469</v>
      </c>
      <c r="H2731" s="22" t="s">
        <v>2732</v>
      </c>
      <c r="I2731" s="26">
        <v>43724.605555555601</v>
      </c>
      <c r="J2731" s="28" t="s">
        <v>51</v>
      </c>
      <c r="K2731" s="28" t="s">
        <v>51</v>
      </c>
      <c r="L2731" s="28" t="s">
        <v>51</v>
      </c>
      <c r="M2731" s="28" t="s">
        <v>51</v>
      </c>
      <c r="N2731" s="28" t="s">
        <v>51</v>
      </c>
    </row>
    <row r="2732" spans="1:14" collapsed="1" x14ac:dyDescent="0.15">
      <c r="A2732" s="23" t="str">
        <f>HYPERLINK("https://www.spark-marketing.ru/Card/Person/111997", "МБДОУ ""ДЕТСКИЙ САД № 28""")</f>
        <v>МБДОУ "ДЕТСКИЙ САД № 28"</v>
      </c>
      <c r="B2732" s="24" t="s">
        <v>4967</v>
      </c>
      <c r="C2732" s="25">
        <v>12624458</v>
      </c>
      <c r="D2732" s="22" t="s">
        <v>4968</v>
      </c>
      <c r="E2732" s="22" t="s">
        <v>48</v>
      </c>
      <c r="F2732" s="23" t="str">
        <f>HYPERLINK("https://www.spark-marketing.ru/Card/Lot/73507824", "на оказание услуг по организации горячего питания в МБДОУ №28")</f>
        <v>на оказание услуг по организации горячего питания в МБДОУ №28</v>
      </c>
      <c r="G2732" s="22" t="s">
        <v>49</v>
      </c>
      <c r="H2732" s="22" t="s">
        <v>301</v>
      </c>
      <c r="I2732" s="26">
        <v>43724.585821759298</v>
      </c>
      <c r="J2732" s="28" t="s">
        <v>51</v>
      </c>
      <c r="K2732" s="28" t="s">
        <v>51</v>
      </c>
      <c r="L2732" s="28" t="s">
        <v>51</v>
      </c>
      <c r="M2732" s="28" t="s">
        <v>51</v>
      </c>
      <c r="N2732" s="28" t="s">
        <v>51</v>
      </c>
    </row>
    <row r="2733" spans="1:14" hidden="1" outlineLevel="1" x14ac:dyDescent="0.2">
      <c r="A2733" s="23" t="str">
        <f>HYPERLINK("https://www.spark-marketing.ru/Card/Person/111997", "МБДОУ ""ДЕТСКИЙ САД № 28""")</f>
        <v>МБДОУ "ДЕТСКИЙ САД № 28"</v>
      </c>
      <c r="B2733" s="24" t="s">
        <v>4967</v>
      </c>
      <c r="C2733" s="25">
        <v>12624458</v>
      </c>
      <c r="D2733" s="22" t="s">
        <v>4968</v>
      </c>
      <c r="E2733" s="22" t="s">
        <v>48</v>
      </c>
      <c r="F2733" s="23" t="str">
        <f>HYPERLINK("https://www.spark-marketing.ru/Card/Lot/73507824", "на оказание услуг по организации горячего питания в МБДОУ №28")</f>
        <v>на оказание услуг по организации горячего питания в МБДОУ №28</v>
      </c>
      <c r="G2733" s="22" t="s">
        <v>49</v>
      </c>
      <c r="H2733" s="22" t="s">
        <v>301</v>
      </c>
      <c r="I2733" s="26">
        <v>43724.585821759298</v>
      </c>
      <c r="J2733" s="23" t="str">
        <f>HYPERLINK("https://www.spark-marketing.ru/Card/Person/100937", "ООО ""ВЕРТИКАЛЬ""")</f>
        <v>ООО "ВЕРТИКАЛЬ"</v>
      </c>
      <c r="K2733" s="24" t="s">
        <v>4501</v>
      </c>
      <c r="L2733" s="28" t="s">
        <v>51</v>
      </c>
      <c r="M2733" s="25">
        <v>11740745.939999999</v>
      </c>
      <c r="N2733" s="27">
        <v>7.0000000000000007E-2</v>
      </c>
    </row>
    <row r="2734" spans="1:14" ht="12.75" hidden="1" outlineLevel="1" x14ac:dyDescent="0.2">
      <c r="A2734" s="23" t="str">
        <f>HYPERLINK("https://www.spark-marketing.ru/Card/Person/111997", "МБДОУ ""ДЕТСКИЙ САД № 28""")</f>
        <v>МБДОУ "ДЕТСКИЙ САД № 28"</v>
      </c>
      <c r="B2734" s="24" t="s">
        <v>4967</v>
      </c>
      <c r="C2734" s="25">
        <v>12624458</v>
      </c>
      <c r="D2734" s="22" t="s">
        <v>4968</v>
      </c>
      <c r="E2734" s="22" t="s">
        <v>48</v>
      </c>
      <c r="F2734" s="23" t="str">
        <f>HYPERLINK("https://www.spark-marketing.ru/Card/Lot/73507824", "на оказание услуг по организации горячего питания в МБДОУ №28")</f>
        <v>на оказание услуг по организации горячего питания в МБДОУ №28</v>
      </c>
      <c r="G2734" s="22" t="s">
        <v>49</v>
      </c>
      <c r="H2734" s="22" t="s">
        <v>301</v>
      </c>
      <c r="I2734" s="26">
        <v>43724.585821759298</v>
      </c>
      <c r="J2734" s="23" t="str">
        <f>HYPERLINK("https://www.spark-marketing.ru/Card/Person/70733", "ООО ""ПЛАНЕТА ВКУСА""")</f>
        <v>ООО "ПЛАНЕТА ВКУСА"</v>
      </c>
      <c r="K2734" s="24" t="s">
        <v>4502</v>
      </c>
      <c r="L2734" s="22" t="s">
        <v>10</v>
      </c>
      <c r="M2734" s="25">
        <v>11980848</v>
      </c>
      <c r="N2734" s="27">
        <v>5.0981198559177751E-2</v>
      </c>
    </row>
    <row r="2735" spans="1:14" x14ac:dyDescent="0.15">
      <c r="A2735" s="23" t="str">
        <f>HYPERLINK("https://www.spark-marketing.ru/Card/Person/94096", "МБОУ СОШ № 2 ИМ. А. Д. БЕСЧАСТНОВА П. ФРЯНОВО ЩМР МО")</f>
        <v>МБОУ СОШ № 2 ИМ. А. Д. БЕСЧАСТНОВА П. ФРЯНОВО ЩМР МО</v>
      </c>
      <c r="B2735" s="24" t="s">
        <v>4969</v>
      </c>
      <c r="C2735" s="25">
        <v>2284800</v>
      </c>
      <c r="D2735" s="22" t="s">
        <v>4970</v>
      </c>
      <c r="E2735" s="22" t="s">
        <v>48</v>
      </c>
      <c r="F2735" s="23" t="str">
        <f>HYPERLINK("https://www.spark-marketing.ru/Card/Lot/73504584",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735" s="22" t="s">
        <v>49</v>
      </c>
      <c r="H2735" s="22" t="s">
        <v>4644</v>
      </c>
      <c r="I2735" s="26">
        <v>43724.619444444397</v>
      </c>
      <c r="J2735" s="28" t="s">
        <v>51</v>
      </c>
      <c r="K2735" s="28" t="s">
        <v>51</v>
      </c>
      <c r="L2735" s="28" t="s">
        <v>51</v>
      </c>
      <c r="M2735" s="28" t="s">
        <v>51</v>
      </c>
      <c r="N2735" s="28" t="s">
        <v>51</v>
      </c>
    </row>
    <row r="2736" spans="1:14" x14ac:dyDescent="0.15">
      <c r="A2736" s="23" t="str">
        <f>HYPERLINK("https://www.spark-marketing.ru/Card/Person/19187", "БУЗОО ""САРГАТСКАЯ ЦРБ""")</f>
        <v>БУЗОО "САРГАТСКАЯ ЦРБ"</v>
      </c>
      <c r="B2736" s="24" t="s">
        <v>1338</v>
      </c>
      <c r="C2736" s="25">
        <v>1771000</v>
      </c>
      <c r="D2736" s="22" t="s">
        <v>4971</v>
      </c>
      <c r="E2736" s="22" t="s">
        <v>48</v>
      </c>
      <c r="F2736" s="23" t="str">
        <f>HYPERLINK("https://www.spark-marketing.ru/Card/Lot/73503146", "Оказание услуг по организации питания пациентов стационара (Реестровый номер ""19.32.1564"")")</f>
        <v>Оказание услуг по организации питания пациентов стационара (Реестровый номер "19.32.1564")</v>
      </c>
      <c r="G2736" s="22" t="s">
        <v>487</v>
      </c>
      <c r="H2736" s="22" t="s">
        <v>1340</v>
      </c>
      <c r="I2736" s="26">
        <v>43724.572222222203</v>
      </c>
      <c r="J2736" s="28" t="s">
        <v>51</v>
      </c>
      <c r="K2736" s="28" t="s">
        <v>51</v>
      </c>
      <c r="L2736" s="28" t="s">
        <v>51</v>
      </c>
      <c r="M2736" s="28" t="s">
        <v>51</v>
      </c>
      <c r="N2736" s="28" t="s">
        <v>51</v>
      </c>
    </row>
    <row r="2737" spans="1:14" x14ac:dyDescent="0.15">
      <c r="A2737" s="23" t="str">
        <f>HYPERLINK("https://www.spark-marketing.ru/Card/Person/64123", "МБОУ ООШ №3")</f>
        <v>МБОУ ООШ №3</v>
      </c>
      <c r="B2737" s="24" t="s">
        <v>4972</v>
      </c>
      <c r="C2737" s="25">
        <v>6998845</v>
      </c>
      <c r="D2737" s="22" t="s">
        <v>4973</v>
      </c>
      <c r="E2737" s="22" t="s">
        <v>48</v>
      </c>
      <c r="F2737" s="23" t="str">
        <f>HYPERLINK("https://www.spark-marketing.ru/Card/Lot/73507618", "Оказание услуг по организации питания обучающихся")</f>
        <v>Оказание услуг по организации питания обучающихся</v>
      </c>
      <c r="G2737" s="22" t="s">
        <v>49</v>
      </c>
      <c r="H2737" s="22" t="s">
        <v>180</v>
      </c>
      <c r="I2737" s="26">
        <v>43724.541979166701</v>
      </c>
      <c r="J2737" s="28" t="s">
        <v>51</v>
      </c>
      <c r="K2737" s="28" t="s">
        <v>51</v>
      </c>
      <c r="L2737" s="28" t="s">
        <v>51</v>
      </c>
      <c r="M2737" s="28" t="s">
        <v>51</v>
      </c>
      <c r="N2737" s="28" t="s">
        <v>51</v>
      </c>
    </row>
    <row r="2738" spans="1:14" collapsed="1" x14ac:dyDescent="0.15">
      <c r="A2738" s="23" t="str">
        <f>HYPERLINK("https://www.spark-marketing.ru/Card/Person/6166814", "УПРАВЛЕНИЕ РОСГВАРДИИ ПО КРАСНОЯРСКОМУ КРАЮ")</f>
        <v>УПРАВЛЕНИЕ РОСГВАРДИИ ПО КРАСНОЯРСКОМУ КРАЮ</v>
      </c>
      <c r="B2738" s="24" t="s">
        <v>4974</v>
      </c>
      <c r="C2738" s="25">
        <v>172815</v>
      </c>
      <c r="D2738" s="22" t="s">
        <v>4975</v>
      </c>
      <c r="E2738" s="22" t="s">
        <v>48</v>
      </c>
      <c r="F2738" s="23" t="str">
        <f>HYPERLINK("https://www.spark-marketing.ru/Card/Lot/73485517", "Оказание услуг питания")</f>
        <v>Оказание услуг питания</v>
      </c>
      <c r="G2738" s="22" t="s">
        <v>281</v>
      </c>
      <c r="H2738" s="22" t="s">
        <v>281</v>
      </c>
      <c r="I2738" s="26">
        <v>43724.577083333301</v>
      </c>
      <c r="J2738" s="23" t="str">
        <f>HYPERLINK("https://www.spark-marketing.ru/Card/Person/6065372", "Борщак Александр Николаевич")</f>
        <v>Борщак Александр Николаевич</v>
      </c>
      <c r="K2738" s="24" t="s">
        <v>4976</v>
      </c>
      <c r="L2738" s="28" t="s">
        <v>51</v>
      </c>
      <c r="M2738" s="28" t="s">
        <v>51</v>
      </c>
      <c r="N2738" s="28" t="s">
        <v>51</v>
      </c>
    </row>
    <row r="2739" spans="1:14" ht="12.75" hidden="1" outlineLevel="1" x14ac:dyDescent="0.2">
      <c r="A2739" s="23" t="str">
        <f>HYPERLINK("https://www.spark-marketing.ru/Card/Person/6166814", "УПРАВЛЕНИЕ РОСГВАРДИИ ПО КРАСНОЯРСКОМУ КРАЮ")</f>
        <v>УПРАВЛЕНИЕ РОСГВАРДИИ ПО КРАСНОЯРСКОМУ КРАЮ</v>
      </c>
      <c r="B2739" s="24" t="s">
        <v>4974</v>
      </c>
      <c r="C2739" s="25">
        <v>172815</v>
      </c>
      <c r="D2739" s="22" t="s">
        <v>4975</v>
      </c>
      <c r="E2739" s="22" t="s">
        <v>48</v>
      </c>
      <c r="F2739" s="23" t="str">
        <f>HYPERLINK("https://www.spark-marketing.ru/Card/Lot/73485517", "Оказание услуг питания")</f>
        <v>Оказание услуг питания</v>
      </c>
      <c r="G2739" s="22" t="s">
        <v>281</v>
      </c>
      <c r="H2739" s="22" t="s">
        <v>281</v>
      </c>
      <c r="I2739" s="26">
        <v>43724.577083333301</v>
      </c>
      <c r="J2739" s="23" t="str">
        <f>HYPERLINK("https://www.spark-marketing.ru/Card/Person/6065372", "Борщак Александр Николаевич")</f>
        <v>Борщак Александр Николаевич</v>
      </c>
      <c r="K2739" s="24" t="s">
        <v>4976</v>
      </c>
      <c r="L2739" s="22" t="s">
        <v>10</v>
      </c>
      <c r="M2739" s="25">
        <v>171950.92</v>
      </c>
      <c r="N2739" s="27">
        <v>5.0000289326736684E-3</v>
      </c>
    </row>
    <row r="2740" spans="1:14" collapsed="1" x14ac:dyDescent="0.15">
      <c r="A2740" s="23" t="str">
        <f>HYPERLINK("https://www.spark-marketing.ru/Card/Person/24579", "ГБУ МО ""ЦСППСНВС""")</f>
        <v>ГБУ МО "ЦСППСНВС"</v>
      </c>
      <c r="B2740" s="24" t="s">
        <v>4731</v>
      </c>
      <c r="C2740" s="25">
        <v>154600</v>
      </c>
      <c r="D2740" s="22" t="s">
        <v>4977</v>
      </c>
      <c r="E2740" s="22" t="s">
        <v>374</v>
      </c>
      <c r="F2740" s="23" t="str">
        <f>HYPERLINK("https://www.spark-marketing.ru/Card/Lot/73484836", "Оказание услуг по организации участия членов спортивных сборных команд Московской области в соревнованиях по рукопашному бою")</f>
        <v>Оказание услуг по организации участия членов спортивных сборных команд Московской области в соревнованиях по рукопашному бою</v>
      </c>
      <c r="G2740" s="22" t="s">
        <v>49</v>
      </c>
      <c r="H2740" s="22" t="s">
        <v>631</v>
      </c>
      <c r="I2740" s="26">
        <v>43724.542361111096</v>
      </c>
      <c r="J2740" s="28" t="s">
        <v>51</v>
      </c>
      <c r="K2740" s="28" t="s">
        <v>51</v>
      </c>
      <c r="L2740" s="28" t="s">
        <v>51</v>
      </c>
      <c r="M2740" s="28" t="s">
        <v>51</v>
      </c>
      <c r="N2740" s="28" t="s">
        <v>51</v>
      </c>
    </row>
    <row r="2741" spans="1:14" hidden="1" outlineLevel="1" x14ac:dyDescent="0.2">
      <c r="A2741" s="23" t="str">
        <f>HYPERLINK("https://www.spark-marketing.ru/Card/Person/24579", "ГБУ МО ""ЦСППСНВС""")</f>
        <v>ГБУ МО "ЦСППСНВС"</v>
      </c>
      <c r="B2741" s="24" t="s">
        <v>4731</v>
      </c>
      <c r="C2741" s="25">
        <v>154600</v>
      </c>
      <c r="D2741" s="22" t="s">
        <v>4977</v>
      </c>
      <c r="E2741" s="22" t="s">
        <v>374</v>
      </c>
      <c r="F2741" s="23" t="str">
        <f>HYPERLINK("https://www.spark-marketing.ru/Card/Lot/73484836", "Оказание услуг по организации участия членов спортивных сборных команд Московской области в соревнованиях по рукопашному бою")</f>
        <v>Оказание услуг по организации участия членов спортивных сборных команд Московской области в соревнованиях по рукопашному бою</v>
      </c>
      <c r="G2741" s="22" t="s">
        <v>49</v>
      </c>
      <c r="H2741" s="22" t="s">
        <v>631</v>
      </c>
      <c r="I2741" s="26">
        <v>43724.542361111096</v>
      </c>
      <c r="J2741" s="23" t="str">
        <f>HYPERLINK("https://www.spark-marketing.ru/Card/Person/6369393", "ООО ""ВЕКТОР ГРУПП""")</f>
        <v>ООО "ВЕКТОР ГРУПП"</v>
      </c>
      <c r="K2741" s="24" t="s">
        <v>4733</v>
      </c>
      <c r="L2741" s="28" t="s">
        <v>51</v>
      </c>
      <c r="M2741" s="25">
        <v>138367</v>
      </c>
      <c r="N2741" s="27">
        <v>0.105</v>
      </c>
    </row>
    <row r="2742" spans="1:14" ht="12.75" hidden="1" outlineLevel="1" x14ac:dyDescent="0.2">
      <c r="A2742" s="23" t="str">
        <f>HYPERLINK("https://www.spark-marketing.ru/Card/Person/24579", "ГБУ МО ""ЦСППСНВС""")</f>
        <v>ГБУ МО "ЦСППСНВС"</v>
      </c>
      <c r="B2742" s="24" t="s">
        <v>4731</v>
      </c>
      <c r="C2742" s="25">
        <v>154600</v>
      </c>
      <c r="D2742" s="22" t="s">
        <v>4977</v>
      </c>
      <c r="E2742" s="22" t="s">
        <v>374</v>
      </c>
      <c r="F2742" s="23" t="str">
        <f>HYPERLINK("https://www.spark-marketing.ru/Card/Lot/73484836", "Оказание услуг по организации участия членов спортивных сборных команд Московской области в соревнованиях по рукопашному бою")</f>
        <v>Оказание услуг по организации участия членов спортивных сборных команд Московской области в соревнованиях по рукопашному бою</v>
      </c>
      <c r="G2742" s="22" t="s">
        <v>49</v>
      </c>
      <c r="H2742" s="22" t="s">
        <v>631</v>
      </c>
      <c r="I2742" s="26">
        <v>43724.542361111096</v>
      </c>
      <c r="J2742" s="23" t="str">
        <f>HYPERLINK("https://www.spark-marketing.ru/Card/Person/4590807", "ООО ""ИНСТАЙЛ ТУР""")</f>
        <v>ООО "ИНСТАЙЛ ТУР"</v>
      </c>
      <c r="K2742" s="24" t="s">
        <v>4734</v>
      </c>
      <c r="L2742" s="22" t="s">
        <v>10</v>
      </c>
      <c r="M2742" s="25">
        <v>137594</v>
      </c>
      <c r="N2742" s="27">
        <v>0.11</v>
      </c>
    </row>
    <row r="2743" spans="1:14" x14ac:dyDescent="0.15">
      <c r="A2743" s="23" t="str">
        <f>HYPERLINK("https://www.spark-marketing.ru/Card/Person/64547", "МБОУ СОШ № 17")</f>
        <v>МБОУ СОШ № 17</v>
      </c>
      <c r="B2743" s="24" t="s">
        <v>4978</v>
      </c>
      <c r="C2743" s="25">
        <v>9175550</v>
      </c>
      <c r="D2743" s="22" t="s">
        <v>4979</v>
      </c>
      <c r="E2743" s="22" t="s">
        <v>48</v>
      </c>
      <c r="F2743" s="23" t="str">
        <f>HYPERLINK("https://www.spark-marketing.ru/Card/Lot/73507619", "Оказание услуг по организации питания обучающихся")</f>
        <v>Оказание услуг по организации питания обучающихся</v>
      </c>
      <c r="G2743" s="22" t="s">
        <v>49</v>
      </c>
      <c r="H2743" s="22" t="s">
        <v>180</v>
      </c>
      <c r="I2743" s="26">
        <v>43724.542280092603</v>
      </c>
      <c r="J2743" s="28" t="s">
        <v>51</v>
      </c>
      <c r="K2743" s="28" t="s">
        <v>51</v>
      </c>
      <c r="L2743" s="28" t="s">
        <v>51</v>
      </c>
      <c r="M2743" s="28" t="s">
        <v>51</v>
      </c>
      <c r="N2743" s="28" t="s">
        <v>51</v>
      </c>
    </row>
    <row r="2744" spans="1:14" x14ac:dyDescent="0.15">
      <c r="A2744" s="23" t="str">
        <f>HYPERLINK("https://www.spark-marketing.ru/Card/Person/4380856", "ОТДЕЛ МВД РОССИИ ПО ВЫСЕЛКОВСКОМУ РАЙОНУ")</f>
        <v>ОТДЕЛ МВД РОССИИ ПО ВЫСЕЛКОВСКОМУ РАЙОНУ</v>
      </c>
      <c r="B2744" s="24" t="s">
        <v>4951</v>
      </c>
      <c r="C2744" s="25">
        <v>140000</v>
      </c>
      <c r="D2744" s="22" t="s">
        <v>4980</v>
      </c>
      <c r="E2744" s="22" t="s">
        <v>48</v>
      </c>
      <c r="F2744" s="23" t="str">
        <f>HYPERLINK("https://www.spark-marketing.ru/Card/Lot/73487422", "Услуги по обеспечению питанием, осуществляемые по договору")</f>
        <v>Услуги по обеспечению питанием, осуществляемые по договору</v>
      </c>
      <c r="G2744" s="22" t="s">
        <v>104</v>
      </c>
      <c r="H2744" s="22" t="s">
        <v>4953</v>
      </c>
      <c r="I2744" s="26">
        <v>43724.540972222203</v>
      </c>
      <c r="J2744" s="23" t="str">
        <f>HYPERLINK("https://www.spark-marketing.ru/Card/Person/103083", "Орлов Антон Олегович")</f>
        <v>Орлов Антон Олегович</v>
      </c>
      <c r="K2744" s="24" t="s">
        <v>4954</v>
      </c>
      <c r="L2744" s="22" t="s">
        <v>10</v>
      </c>
      <c r="M2744" s="28" t="s">
        <v>51</v>
      </c>
      <c r="N2744" s="28" t="s">
        <v>51</v>
      </c>
    </row>
    <row r="2745" spans="1:14" x14ac:dyDescent="0.15">
      <c r="A2745" s="23" t="str">
        <f>HYPERLINK("https://www.spark-marketing.ru/Card/Person/152432", "МБДОУ ""ДЕТСКИЙ САД №25""")</f>
        <v>МБДОУ "ДЕТСКИЙ САД №25"</v>
      </c>
      <c r="B2745" s="24" t="s">
        <v>4981</v>
      </c>
      <c r="C2745" s="25">
        <v>12436896</v>
      </c>
      <c r="D2745" s="22" t="s">
        <v>4982</v>
      </c>
      <c r="E2745" s="22" t="s">
        <v>48</v>
      </c>
      <c r="F2745" s="23" t="str">
        <f>HYPERLINK("https://www.spark-marketing.ru/Card/Lot/73507763", "на оказание услуг по организации горячего питания в МБДОУ№25")</f>
        <v>на оказание услуг по организации горячего питания в МБДОУ№25</v>
      </c>
      <c r="G2745" s="22" t="s">
        <v>49</v>
      </c>
      <c r="H2745" s="22" t="s">
        <v>301</v>
      </c>
      <c r="I2745" s="26">
        <v>43724.5375810185</v>
      </c>
      <c r="J2745" s="28" t="s">
        <v>51</v>
      </c>
      <c r="K2745" s="28" t="s">
        <v>51</v>
      </c>
      <c r="L2745" s="28" t="s">
        <v>51</v>
      </c>
      <c r="M2745" s="28" t="s">
        <v>51</v>
      </c>
      <c r="N2745" s="28" t="s">
        <v>51</v>
      </c>
    </row>
    <row r="2746" spans="1:14" hidden="1" outlineLevel="1" x14ac:dyDescent="0.2">
      <c r="A2746" s="23" t="str">
        <f>HYPERLINK("https://www.spark-marketing.ru/Card/Person/152432", "МБДОУ ""ДЕТСКИЙ САД №25""")</f>
        <v>МБДОУ "ДЕТСКИЙ САД №25"</v>
      </c>
      <c r="B2746" s="24" t="s">
        <v>4981</v>
      </c>
      <c r="C2746" s="25">
        <v>12436896</v>
      </c>
      <c r="D2746" s="22" t="s">
        <v>4982</v>
      </c>
      <c r="E2746" s="22" t="s">
        <v>48</v>
      </c>
      <c r="F2746" s="23" t="str">
        <f>HYPERLINK("https://www.spark-marketing.ru/Card/Lot/73507763", "на оказание услуг по организации горячего питания в МБДОУ№25")</f>
        <v>на оказание услуг по организации горячего питания в МБДОУ№25</v>
      </c>
      <c r="G2746" s="22" t="s">
        <v>49</v>
      </c>
      <c r="H2746" s="22" t="s">
        <v>301</v>
      </c>
      <c r="I2746" s="26">
        <v>43724.5375810185</v>
      </c>
      <c r="J2746" s="23" t="str">
        <f>HYPERLINK("https://www.spark-marketing.ru/Card/Person/100937", "ООО ""ВЕРТИКАЛЬ""")</f>
        <v>ООО "ВЕРТИКАЛЬ"</v>
      </c>
      <c r="K2746" s="24" t="s">
        <v>4501</v>
      </c>
      <c r="L2746" s="28" t="s">
        <v>51</v>
      </c>
      <c r="M2746" s="25">
        <v>11566313.279999999</v>
      </c>
      <c r="N2746" s="27">
        <v>7.0000000000000007E-2</v>
      </c>
    </row>
    <row r="2747" spans="1:14" ht="12.75" hidden="1" outlineLevel="1" x14ac:dyDescent="0.2">
      <c r="A2747" s="23" t="str">
        <f>HYPERLINK("https://www.spark-marketing.ru/Card/Person/152432", "МБДОУ ""ДЕТСКИЙ САД №25""")</f>
        <v>МБДОУ "ДЕТСКИЙ САД №25"</v>
      </c>
      <c r="B2747" s="24" t="s">
        <v>4981</v>
      </c>
      <c r="C2747" s="25">
        <v>12436896</v>
      </c>
      <c r="D2747" s="22" t="s">
        <v>4982</v>
      </c>
      <c r="E2747" s="22" t="s">
        <v>48</v>
      </c>
      <c r="F2747" s="23" t="str">
        <f>HYPERLINK("https://www.spark-marketing.ru/Card/Lot/73507763", "на оказание услуг по организации горячего питания в МБДОУ№25")</f>
        <v>на оказание услуг по организации горячего питания в МБДОУ№25</v>
      </c>
      <c r="G2747" s="22" t="s">
        <v>49</v>
      </c>
      <c r="H2747" s="22" t="s">
        <v>301</v>
      </c>
      <c r="I2747" s="26">
        <v>43724.5375810185</v>
      </c>
      <c r="J2747" s="23" t="str">
        <f>HYPERLINK("https://www.spark-marketing.ru/Card/Person/70733", "ООО ""ПЛАНЕТА ВКУСА""")</f>
        <v>ООО "ПЛАНЕТА ВКУСА"</v>
      </c>
      <c r="K2747" s="24" t="s">
        <v>4502</v>
      </c>
      <c r="L2747" s="22" t="s">
        <v>10</v>
      </c>
      <c r="M2747" s="25">
        <v>11838521</v>
      </c>
      <c r="N2747" s="27">
        <v>4.8112889261114671E-2</v>
      </c>
    </row>
    <row r="2748" spans="1:14" x14ac:dyDescent="0.15">
      <c r="A2748" s="23" t="str">
        <f>HYPERLINK("https://www.spark-marketing.ru/Card/Person/1516673", "МАДОУ № 31 ""КРЕПЫШ""")</f>
        <v>МАДОУ № 31 "КРЕПЫШ"</v>
      </c>
      <c r="B2748" s="24" t="s">
        <v>4983</v>
      </c>
      <c r="C2748" s="25">
        <v>31052465</v>
      </c>
      <c r="D2748" s="22" t="s">
        <v>4984</v>
      </c>
      <c r="E2748" s="22" t="s">
        <v>48</v>
      </c>
      <c r="F2748" s="23" t="str">
        <f>HYPERLINK("https://www.spark-marketing.ru/Card/Lot/73507760", "на оказание услуг по организации горячего питания в МАДОУ№31")</f>
        <v>на оказание услуг по организации горячего питания в МАДОУ№31</v>
      </c>
      <c r="G2748" s="22" t="s">
        <v>49</v>
      </c>
      <c r="H2748" s="22" t="s">
        <v>301</v>
      </c>
      <c r="I2748" s="26">
        <v>43724.536932870396</v>
      </c>
      <c r="J2748" s="28" t="s">
        <v>51</v>
      </c>
      <c r="K2748" s="28" t="s">
        <v>51</v>
      </c>
      <c r="L2748" s="28" t="s">
        <v>51</v>
      </c>
      <c r="M2748" s="28" t="s">
        <v>51</v>
      </c>
      <c r="N2748" s="28" t="s">
        <v>51</v>
      </c>
    </row>
    <row r="2749" spans="1:14" hidden="1" outlineLevel="1" x14ac:dyDescent="0.2">
      <c r="A2749" s="23" t="str">
        <f>HYPERLINK("https://www.spark-marketing.ru/Card/Person/1516673", "МАДОУ № 31 ""КРЕПЫШ""")</f>
        <v>МАДОУ № 31 "КРЕПЫШ"</v>
      </c>
      <c r="B2749" s="24" t="s">
        <v>4983</v>
      </c>
      <c r="C2749" s="25">
        <v>31052465</v>
      </c>
      <c r="D2749" s="22" t="s">
        <v>4984</v>
      </c>
      <c r="E2749" s="22" t="s">
        <v>48</v>
      </c>
      <c r="F2749" s="23" t="str">
        <f>HYPERLINK("https://www.spark-marketing.ru/Card/Lot/73507760", "на оказание услуг по организации горячего питания в МАДОУ№31")</f>
        <v>на оказание услуг по организации горячего питания в МАДОУ№31</v>
      </c>
      <c r="G2749" s="22" t="s">
        <v>49</v>
      </c>
      <c r="H2749" s="22" t="s">
        <v>301</v>
      </c>
      <c r="I2749" s="26">
        <v>43724.536932870396</v>
      </c>
      <c r="J2749" s="23" t="str">
        <f>HYPERLINK("https://www.spark-marketing.ru/Card/Person/100937", "ООО ""ВЕРТИКАЛЬ""")</f>
        <v>ООО "ВЕРТИКАЛЬ"</v>
      </c>
      <c r="K2749" s="24" t="s">
        <v>4501</v>
      </c>
      <c r="L2749" s="28" t="s">
        <v>51</v>
      </c>
      <c r="M2749" s="25">
        <v>29499841.75</v>
      </c>
      <c r="N2749" s="27">
        <v>0.05</v>
      </c>
    </row>
    <row r="2750" spans="1:14" ht="12.75" hidden="1" outlineLevel="1" x14ac:dyDescent="0.2">
      <c r="A2750" s="23" t="str">
        <f>HYPERLINK("https://www.spark-marketing.ru/Card/Person/1516673", "МАДОУ № 31 ""КРЕПЫШ""")</f>
        <v>МАДОУ № 31 "КРЕПЫШ"</v>
      </c>
      <c r="B2750" s="24" t="s">
        <v>4983</v>
      </c>
      <c r="C2750" s="25">
        <v>31052465</v>
      </c>
      <c r="D2750" s="22" t="s">
        <v>4984</v>
      </c>
      <c r="E2750" s="22" t="s">
        <v>48</v>
      </c>
      <c r="F2750" s="23" t="str">
        <f>HYPERLINK("https://www.spark-marketing.ru/Card/Lot/73507760", "на оказание услуг по организации горячего питания в МАДОУ№31")</f>
        <v>на оказание услуг по организации горячего питания в МАДОУ№31</v>
      </c>
      <c r="G2750" s="22" t="s">
        <v>49</v>
      </c>
      <c r="H2750" s="22" t="s">
        <v>301</v>
      </c>
      <c r="I2750" s="26">
        <v>43724.536932870396</v>
      </c>
      <c r="J2750" s="23" t="str">
        <f>HYPERLINK("https://www.spark-marketing.ru/Card/Person/70733", "ООО ""ПЛАНЕТА ВКУСА""")</f>
        <v>ООО "ПЛАНЕТА ВКУСА"</v>
      </c>
      <c r="K2750" s="24" t="s">
        <v>4502</v>
      </c>
      <c r="L2750" s="22" t="s">
        <v>10</v>
      </c>
      <c r="M2750" s="25">
        <v>29448665</v>
      </c>
      <c r="N2750" s="27">
        <v>5.1648073671446054E-2</v>
      </c>
    </row>
    <row r="2751" spans="1:14" x14ac:dyDescent="0.15">
      <c r="A2751" s="23" t="str">
        <f>HYPERLINK("https://www.spark-marketing.ru/Card/Person/72434", "МО ""ГОРОД УДАЧНЫЙ""")</f>
        <v>МО "ГОРОД УДАЧНЫЙ"</v>
      </c>
      <c r="B2751" s="24" t="s">
        <v>4985</v>
      </c>
      <c r="C2751" s="25">
        <v>200708.15</v>
      </c>
      <c r="D2751" s="22" t="s">
        <v>4986</v>
      </c>
      <c r="E2751" s="22" t="s">
        <v>48</v>
      </c>
      <c r="F2751" s="23" t="str">
        <f>HYPERLINK("https://www.spark-marketing.ru/Card/Lot/73456226", "услуги по организации питания учащихся , находящихся в сложной жизненной ситуации и посещающих группу продленного дня в МАОУ « СОШ № 19»")</f>
        <v>услуги по организации питания учащихся , находящихся в сложной жизненной ситуации и посещающих группу продленного дня в МАОУ « СОШ № 19»</v>
      </c>
      <c r="G2751" s="22" t="s">
        <v>241</v>
      </c>
      <c r="H2751" s="22" t="s">
        <v>4987</v>
      </c>
      <c r="I2751" s="26">
        <v>43724.502777777801</v>
      </c>
      <c r="J2751" s="23" t="str">
        <f>HYPERLINK("https://www.spark-marketing.ru/Card/Person/449101", "ООО ""ТАТЬЯНА""")</f>
        <v>ООО "ТАТЬЯНА"</v>
      </c>
      <c r="K2751" s="24" t="s">
        <v>4988</v>
      </c>
      <c r="L2751" s="22" t="s">
        <v>10</v>
      </c>
      <c r="M2751" s="28" t="s">
        <v>51</v>
      </c>
      <c r="N2751" s="28" t="s">
        <v>51</v>
      </c>
    </row>
    <row r="2752" spans="1:14" x14ac:dyDescent="0.15">
      <c r="A2752" s="23" t="str">
        <f>HYPERLINK("https://www.spark-marketing.ru/Card/Person/134135", "МБДОУ ""ДЕТСКИЙ САД № 20""")</f>
        <v>МБДОУ "ДЕТСКИЙ САД № 20"</v>
      </c>
      <c r="B2752" s="24" t="s">
        <v>4989</v>
      </c>
      <c r="C2752" s="25">
        <v>17440065</v>
      </c>
      <c r="D2752" s="22" t="s">
        <v>4990</v>
      </c>
      <c r="E2752" s="22" t="s">
        <v>48</v>
      </c>
      <c r="F2752" s="23" t="str">
        <f>HYPERLINK("https://www.spark-marketing.ru/Card/Lot/73507762", "оказание услуг по организации горячего питания в МБДОУ ""Детский сад №20""")</f>
        <v>оказание услуг по организации горячего питания в МБДОУ "Детский сад №20"</v>
      </c>
      <c r="G2752" s="22" t="s">
        <v>49</v>
      </c>
      <c r="H2752" s="22" t="s">
        <v>301</v>
      </c>
      <c r="I2752" s="26">
        <v>43724.537384259304</v>
      </c>
      <c r="J2752" s="28" t="s">
        <v>51</v>
      </c>
      <c r="K2752" s="28" t="s">
        <v>51</v>
      </c>
      <c r="L2752" s="28" t="s">
        <v>51</v>
      </c>
      <c r="M2752" s="28" t="s">
        <v>51</v>
      </c>
      <c r="N2752" s="28" t="s">
        <v>51</v>
      </c>
    </row>
    <row r="2753" spans="1:14" hidden="1" outlineLevel="1" x14ac:dyDescent="0.2">
      <c r="A2753" s="23" t="str">
        <f>HYPERLINK("https://www.spark-marketing.ru/Card/Person/134135", "МБДОУ ""ДЕТСКИЙ САД № 20""")</f>
        <v>МБДОУ "ДЕТСКИЙ САД № 20"</v>
      </c>
      <c r="B2753" s="24" t="s">
        <v>4989</v>
      </c>
      <c r="C2753" s="25">
        <v>17440065</v>
      </c>
      <c r="D2753" s="22" t="s">
        <v>4990</v>
      </c>
      <c r="E2753" s="22" t="s">
        <v>48</v>
      </c>
      <c r="F2753" s="23" t="str">
        <f>HYPERLINK("https://www.spark-marketing.ru/Card/Lot/73507762", "оказание услуг по организации горячего питания в МБДОУ ""Детский сад №20""")</f>
        <v>оказание услуг по организации горячего питания в МБДОУ "Детский сад №20"</v>
      </c>
      <c r="G2753" s="22" t="s">
        <v>49</v>
      </c>
      <c r="H2753" s="22" t="s">
        <v>301</v>
      </c>
      <c r="I2753" s="26">
        <v>43724.537384259304</v>
      </c>
      <c r="J2753" s="23" t="str">
        <f>HYPERLINK("https://www.spark-marketing.ru/Card/Person/100937", "ООО ""ВЕРТИКАЛЬ""")</f>
        <v>ООО "ВЕРТИКАЛЬ"</v>
      </c>
      <c r="K2753" s="24" t="s">
        <v>4501</v>
      </c>
      <c r="L2753" s="28" t="s">
        <v>51</v>
      </c>
      <c r="M2753" s="25">
        <v>16044859.800000001</v>
      </c>
      <c r="N2753" s="27">
        <v>0.08</v>
      </c>
    </row>
    <row r="2754" spans="1:14" ht="12.75" hidden="1" outlineLevel="1" x14ac:dyDescent="0.2">
      <c r="A2754" s="23" t="str">
        <f>HYPERLINK("https://www.spark-marketing.ru/Card/Person/134135", "МБДОУ ""ДЕТСКИЙ САД № 20""")</f>
        <v>МБДОУ "ДЕТСКИЙ САД № 20"</v>
      </c>
      <c r="B2754" s="24" t="s">
        <v>4989</v>
      </c>
      <c r="C2754" s="25">
        <v>17440065</v>
      </c>
      <c r="D2754" s="22" t="s">
        <v>4990</v>
      </c>
      <c r="E2754" s="22" t="s">
        <v>48</v>
      </c>
      <c r="F2754" s="23" t="str">
        <f>HYPERLINK("https://www.spark-marketing.ru/Card/Lot/73507762", "оказание услуг по организации горячего питания в МБДОУ ""Детский сад №20""")</f>
        <v>оказание услуг по организации горячего питания в МБДОУ "Детский сад №20"</v>
      </c>
      <c r="G2754" s="22" t="s">
        <v>49</v>
      </c>
      <c r="H2754" s="22" t="s">
        <v>301</v>
      </c>
      <c r="I2754" s="26">
        <v>43724.537384259304</v>
      </c>
      <c r="J2754" s="23" t="str">
        <f>HYPERLINK("https://www.spark-marketing.ru/Card/Person/70733", "ООО ""ПЛАНЕТА ВКУСА""")</f>
        <v>ООО "ПЛАНЕТА ВКУСА"</v>
      </c>
      <c r="K2754" s="24" t="s">
        <v>4502</v>
      </c>
      <c r="L2754" s="22" t="s">
        <v>10</v>
      </c>
      <c r="M2754" s="25">
        <v>16564094</v>
      </c>
      <c r="N2754" s="27">
        <v>5.0227507752981425E-2</v>
      </c>
    </row>
    <row r="2755" spans="1:14" x14ac:dyDescent="0.15">
      <c r="A2755" s="23" t="str">
        <f>HYPERLINK("https://www.spark-marketing.ru/Card/Person/134143", "МБДОУ ""ДЕТСКИЙ САД №26""")</f>
        <v>МБДОУ "ДЕТСКИЙ САД №26"</v>
      </c>
      <c r="B2755" s="24" t="s">
        <v>4991</v>
      </c>
      <c r="C2755" s="25">
        <v>21189653</v>
      </c>
      <c r="D2755" s="22" t="s">
        <v>4992</v>
      </c>
      <c r="E2755" s="22" t="s">
        <v>48</v>
      </c>
      <c r="F2755" s="23" t="str">
        <f>HYPERLINK("https://www.spark-marketing.ru/Card/Lot/73507761", "на оказание услуг по организации горячего питания в МБДОУ № 26")</f>
        <v>на оказание услуг по организации горячего питания в МБДОУ № 26</v>
      </c>
      <c r="G2755" s="22" t="s">
        <v>49</v>
      </c>
      <c r="H2755" s="22" t="s">
        <v>301</v>
      </c>
      <c r="I2755" s="26">
        <v>43724.537164351903</v>
      </c>
      <c r="J2755" s="28" t="s">
        <v>51</v>
      </c>
      <c r="K2755" s="28" t="s">
        <v>51</v>
      </c>
      <c r="L2755" s="28" t="s">
        <v>51</v>
      </c>
      <c r="M2755" s="28" t="s">
        <v>51</v>
      </c>
      <c r="N2755" s="28" t="s">
        <v>51</v>
      </c>
    </row>
    <row r="2756" spans="1:14" hidden="1" outlineLevel="1" x14ac:dyDescent="0.2">
      <c r="A2756" s="23" t="str">
        <f>HYPERLINK("https://www.spark-marketing.ru/Card/Person/134143", "МБДОУ ""ДЕТСКИЙ САД №26""")</f>
        <v>МБДОУ "ДЕТСКИЙ САД №26"</v>
      </c>
      <c r="B2756" s="24" t="s">
        <v>4991</v>
      </c>
      <c r="C2756" s="25">
        <v>21189653</v>
      </c>
      <c r="D2756" s="22" t="s">
        <v>4992</v>
      </c>
      <c r="E2756" s="22" t="s">
        <v>48</v>
      </c>
      <c r="F2756" s="23" t="str">
        <f>HYPERLINK("https://www.spark-marketing.ru/Card/Lot/73507761", "на оказание услуг по организации горячего питания в МБДОУ № 26")</f>
        <v>на оказание услуг по организации горячего питания в МБДОУ № 26</v>
      </c>
      <c r="G2756" s="22" t="s">
        <v>49</v>
      </c>
      <c r="H2756" s="22" t="s">
        <v>301</v>
      </c>
      <c r="I2756" s="26">
        <v>43724.537164351903</v>
      </c>
      <c r="J2756" s="23" t="str">
        <f>HYPERLINK("https://www.spark-marketing.ru/Card/Person/100937", "ООО ""ВЕРТИКАЛЬ""")</f>
        <v>ООО "ВЕРТИКАЛЬ"</v>
      </c>
      <c r="K2756" s="24" t="s">
        <v>4501</v>
      </c>
      <c r="L2756" s="28" t="s">
        <v>51</v>
      </c>
      <c r="M2756" s="25">
        <v>19070687.699999999</v>
      </c>
      <c r="N2756" s="27">
        <v>0.1</v>
      </c>
    </row>
    <row r="2757" spans="1:14" ht="12.75" hidden="1" outlineLevel="1" x14ac:dyDescent="0.2">
      <c r="A2757" s="23" t="str">
        <f>HYPERLINK("https://www.spark-marketing.ru/Card/Person/134143", "МБДОУ ""ДЕТСКИЙ САД №26""")</f>
        <v>МБДОУ "ДЕТСКИЙ САД №26"</v>
      </c>
      <c r="B2757" s="24" t="s">
        <v>4991</v>
      </c>
      <c r="C2757" s="25">
        <v>21189653</v>
      </c>
      <c r="D2757" s="22" t="s">
        <v>4992</v>
      </c>
      <c r="E2757" s="22" t="s">
        <v>48</v>
      </c>
      <c r="F2757" s="23" t="str">
        <f>HYPERLINK("https://www.spark-marketing.ru/Card/Lot/73507761", "на оказание услуг по организации горячего питания в МБДОУ № 26")</f>
        <v>на оказание услуг по организации горячего питания в МБДОУ № 26</v>
      </c>
      <c r="G2757" s="22" t="s">
        <v>49</v>
      </c>
      <c r="H2757" s="22" t="s">
        <v>301</v>
      </c>
      <c r="I2757" s="26">
        <v>43724.537164351903</v>
      </c>
      <c r="J2757" s="23" t="str">
        <f>HYPERLINK("https://www.spark-marketing.ru/Card/Person/70733", "ООО ""ПЛАНЕТА ВКУСА""")</f>
        <v>ООО "ПЛАНЕТА ВКУСА"</v>
      </c>
      <c r="K2757" s="24" t="s">
        <v>4502</v>
      </c>
      <c r="L2757" s="22" t="s">
        <v>10</v>
      </c>
      <c r="M2757" s="25">
        <v>20089612</v>
      </c>
      <c r="N2757" s="27">
        <v>5.1914063906567984E-2</v>
      </c>
    </row>
    <row r="2758" spans="1:14" x14ac:dyDescent="0.15">
      <c r="A2758" s="23" t="str">
        <f>HYPERLINK("https://www.spark-marketing.ru/Card/Person/29335", "УМВД РОССИИ ПО ПСКОВСКОЙ ОБЛАСТИ")</f>
        <v>УМВД РОССИИ ПО ПСКОВСКОЙ ОБЛАСТИ</v>
      </c>
      <c r="B2758" s="24" t="s">
        <v>4993</v>
      </c>
      <c r="C2758" s="25">
        <v>99630</v>
      </c>
      <c r="D2758" s="22" t="s">
        <v>4994</v>
      </c>
      <c r="E2758" s="22" t="s">
        <v>96</v>
      </c>
      <c r="F2758" s="23" t="str">
        <f>HYPERLINK("https://www.spark-marketing.ru/Card/Lot/73466772",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2758" s="22" t="s">
        <v>415</v>
      </c>
      <c r="H2758" s="22" t="s">
        <v>4542</v>
      </c>
      <c r="I2758" s="26">
        <v>43724.5013078704</v>
      </c>
      <c r="J2758" s="28" t="s">
        <v>51</v>
      </c>
      <c r="K2758" s="28" t="s">
        <v>51</v>
      </c>
      <c r="L2758" s="28" t="s">
        <v>51</v>
      </c>
      <c r="M2758" s="28" t="s">
        <v>51</v>
      </c>
      <c r="N2758" s="28" t="s">
        <v>51</v>
      </c>
    </row>
    <row r="2759" spans="1:14" x14ac:dyDescent="0.15">
      <c r="A2759" s="23" t="str">
        <f>HYPERLINK("https://www.spark-marketing.ru/Card/Person/368759", "МО МВД РОССИИ ""ТАТАРСКИЙ""")</f>
        <v>МО МВД РОССИИ "ТАТАРСКИЙ"</v>
      </c>
      <c r="B2759" s="24" t="s">
        <v>4995</v>
      </c>
      <c r="C2759" s="25">
        <v>810000</v>
      </c>
      <c r="D2759" s="22" t="s">
        <v>4996</v>
      </c>
      <c r="E2759" s="22" t="s">
        <v>48</v>
      </c>
      <c r="F2759" s="23" t="str">
        <f>HYPERLINK("https://www.spark-marketing.ru/Card/Lot/73503625", "Питание ИВС")</f>
        <v>Питание ИВС</v>
      </c>
      <c r="G2759" s="22" t="s">
        <v>195</v>
      </c>
      <c r="H2759" s="22" t="s">
        <v>4997</v>
      </c>
      <c r="I2759" s="26">
        <v>43724.510416666701</v>
      </c>
      <c r="J2759" s="23" t="str">
        <f>HYPERLINK("https://www.spark-marketing.ru/Card/Person/6455652", "Борисова Ольга Александровна")</f>
        <v>Борисова Ольга Александровна</v>
      </c>
      <c r="K2759" s="24" t="s">
        <v>4998</v>
      </c>
      <c r="L2759" s="22" t="s">
        <v>10</v>
      </c>
      <c r="M2759" s="28" t="s">
        <v>51</v>
      </c>
      <c r="N2759" s="28" t="s">
        <v>51</v>
      </c>
    </row>
    <row r="2760" spans="1:14" x14ac:dyDescent="0.15">
      <c r="A2760" s="23" t="str">
        <f>HYPERLINK("https://www.spark-marketing.ru/Card/Person/64126", "МБОУ СОШ №7")</f>
        <v>МБОУ СОШ №7</v>
      </c>
      <c r="B2760" s="24" t="s">
        <v>4999</v>
      </c>
      <c r="C2760" s="25">
        <v>7459954</v>
      </c>
      <c r="D2760" s="22" t="s">
        <v>5000</v>
      </c>
      <c r="E2760" s="22" t="s">
        <v>48</v>
      </c>
      <c r="F2760" s="23" t="str">
        <f>HYPERLINK("https://www.spark-marketing.ru/Card/Lot/73507518", "Оказание услуг по организации питания обучающихся")</f>
        <v>Оказание услуг по организации питания обучающихся</v>
      </c>
      <c r="G2760" s="22" t="s">
        <v>49</v>
      </c>
      <c r="H2760" s="22" t="s">
        <v>180</v>
      </c>
      <c r="I2760" s="26">
        <v>43724.477615740703</v>
      </c>
      <c r="J2760" s="28" t="s">
        <v>51</v>
      </c>
      <c r="K2760" s="28" t="s">
        <v>51</v>
      </c>
      <c r="L2760" s="28" t="s">
        <v>51</v>
      </c>
      <c r="M2760" s="28" t="s">
        <v>51</v>
      </c>
      <c r="N2760" s="28" t="s">
        <v>51</v>
      </c>
    </row>
    <row r="2761" spans="1:14" x14ac:dyDescent="0.15">
      <c r="A2761" s="23" t="str">
        <f>HYPERLINK("https://www.spark-marketing.ru/Card/Person/64033", "МБОУ СОШ №12")</f>
        <v>МБОУ СОШ №12</v>
      </c>
      <c r="B2761" s="24" t="s">
        <v>5001</v>
      </c>
      <c r="C2761" s="25">
        <v>13100502</v>
      </c>
      <c r="D2761" s="22" t="s">
        <v>5002</v>
      </c>
      <c r="E2761" s="22" t="s">
        <v>48</v>
      </c>
      <c r="F2761" s="23" t="str">
        <f>HYPERLINK("https://www.spark-marketing.ru/Card/Lot/73507578", "Оказание услуг по организации питания обучающихся")</f>
        <v>Оказание услуг по организации питания обучающихся</v>
      </c>
      <c r="G2761" s="22" t="s">
        <v>49</v>
      </c>
      <c r="H2761" s="22" t="s">
        <v>180</v>
      </c>
      <c r="I2761" s="26">
        <v>43724.494212963</v>
      </c>
      <c r="J2761" s="28" t="s">
        <v>51</v>
      </c>
      <c r="K2761" s="28" t="s">
        <v>51</v>
      </c>
      <c r="L2761" s="28" t="s">
        <v>51</v>
      </c>
      <c r="M2761" s="28" t="s">
        <v>51</v>
      </c>
      <c r="N2761" s="28" t="s">
        <v>51</v>
      </c>
    </row>
    <row r="2762" spans="1:14" x14ac:dyDescent="0.15">
      <c r="A2762" s="23" t="str">
        <f>HYPERLINK("https://www.spark-marketing.ru/Card/Person/63687", "МБОУ СОШ № 14")</f>
        <v>МБОУ СОШ № 14</v>
      </c>
      <c r="B2762" s="24" t="s">
        <v>5003</v>
      </c>
      <c r="C2762" s="25">
        <v>11938104</v>
      </c>
      <c r="D2762" s="22" t="s">
        <v>5004</v>
      </c>
      <c r="E2762" s="22" t="s">
        <v>48</v>
      </c>
      <c r="F2762" s="23" t="str">
        <f>HYPERLINK("https://www.spark-marketing.ru/Card/Lot/73507575", "Оказание услуг по организации питания обучающихся")</f>
        <v>Оказание услуг по организации питания обучающихся</v>
      </c>
      <c r="G2762" s="22" t="s">
        <v>49</v>
      </c>
      <c r="H2762" s="22" t="s">
        <v>180</v>
      </c>
      <c r="I2762" s="26">
        <v>43724.492418981499</v>
      </c>
      <c r="J2762" s="28" t="s">
        <v>51</v>
      </c>
      <c r="K2762" s="28" t="s">
        <v>51</v>
      </c>
      <c r="L2762" s="28" t="s">
        <v>51</v>
      </c>
      <c r="M2762" s="28" t="s">
        <v>51</v>
      </c>
      <c r="N2762" s="28" t="s">
        <v>51</v>
      </c>
    </row>
    <row r="2763" spans="1:14" x14ac:dyDescent="0.15">
      <c r="A2763" s="23" t="str">
        <f>HYPERLINK("https://www.spark-marketing.ru/Card/Person/64027", "МБОУ ""ГИМНАЗИЯ №9""")</f>
        <v>МБОУ "ГИМНАЗИЯ №9"</v>
      </c>
      <c r="B2763" s="24" t="s">
        <v>178</v>
      </c>
      <c r="C2763" s="25">
        <v>10096594</v>
      </c>
      <c r="D2763" s="22" t="s">
        <v>5005</v>
      </c>
      <c r="E2763" s="22" t="s">
        <v>48</v>
      </c>
      <c r="F2763" s="23" t="str">
        <f>HYPERLINK("https://www.spark-marketing.ru/Card/Lot/73507565", "Оказание услуг по организации питания обучающихся")</f>
        <v>Оказание услуг по организации питания обучающихся</v>
      </c>
      <c r="G2763" s="22" t="s">
        <v>49</v>
      </c>
      <c r="H2763" s="22" t="s">
        <v>180</v>
      </c>
      <c r="I2763" s="26">
        <v>43724.491134259297</v>
      </c>
      <c r="J2763" s="28" t="s">
        <v>51</v>
      </c>
      <c r="K2763" s="28" t="s">
        <v>51</v>
      </c>
      <c r="L2763" s="28" t="s">
        <v>51</v>
      </c>
      <c r="M2763" s="28" t="s">
        <v>51</v>
      </c>
      <c r="N2763" s="28" t="s">
        <v>51</v>
      </c>
    </row>
    <row r="2764" spans="1:14" x14ac:dyDescent="0.15">
      <c r="A2764" s="23" t="str">
        <f>HYPERLINK("https://www.spark-marketing.ru/Card/Person/1082894", "МОУ СЕРГИЕВСКАЯ СОШ")</f>
        <v>МОУ СЕРГИЕВСКАЯ СОШ</v>
      </c>
      <c r="B2764" s="24" t="s">
        <v>5006</v>
      </c>
      <c r="C2764" s="25">
        <v>7283669</v>
      </c>
      <c r="D2764" s="22" t="s">
        <v>5007</v>
      </c>
      <c r="E2764" s="22" t="s">
        <v>48</v>
      </c>
      <c r="F2764" s="23" t="str">
        <f>HYPERLINK("https://www.spark-marketing.ru/Card/Lot/73507566", "Оказание услуг по организации питания обучающихся")</f>
        <v>Оказание услуг по организации питания обучающихся</v>
      </c>
      <c r="G2764" s="22" t="s">
        <v>49</v>
      </c>
      <c r="H2764" s="22" t="s">
        <v>180</v>
      </c>
      <c r="I2764" s="26">
        <v>43724.491458333301</v>
      </c>
      <c r="J2764" s="28" t="s">
        <v>51</v>
      </c>
      <c r="K2764" s="28" t="s">
        <v>51</v>
      </c>
      <c r="L2764" s="28" t="s">
        <v>51</v>
      </c>
      <c r="M2764" s="28" t="s">
        <v>51</v>
      </c>
      <c r="N2764" s="28" t="s">
        <v>51</v>
      </c>
    </row>
    <row r="2765" spans="1:14" x14ac:dyDescent="0.15">
      <c r="A2765" s="23" t="str">
        <f>HYPERLINK("https://www.spark-marketing.ru/Card/Person/64624", "МБОУ СОШ № 28")</f>
        <v>МБОУ СОШ № 28</v>
      </c>
      <c r="B2765" s="24" t="s">
        <v>5008</v>
      </c>
      <c r="C2765" s="25">
        <v>4040897</v>
      </c>
      <c r="D2765" s="22" t="s">
        <v>5009</v>
      </c>
      <c r="E2765" s="22" t="s">
        <v>48</v>
      </c>
      <c r="F2765" s="23" t="str">
        <f>HYPERLINK("https://www.spark-marketing.ru/Card/Lot/73507508", "Оказание услуг по организации питания обучающихся")</f>
        <v>Оказание услуг по организации питания обучающихся</v>
      </c>
      <c r="G2765" s="22" t="s">
        <v>49</v>
      </c>
      <c r="H2765" s="22" t="s">
        <v>180</v>
      </c>
      <c r="I2765" s="26">
        <v>43724.475150462997</v>
      </c>
      <c r="J2765" s="28" t="s">
        <v>51</v>
      </c>
      <c r="K2765" s="28" t="s">
        <v>51</v>
      </c>
      <c r="L2765" s="28" t="s">
        <v>51</v>
      </c>
      <c r="M2765" s="28" t="s">
        <v>51</v>
      </c>
      <c r="N2765" s="28" t="s">
        <v>51</v>
      </c>
    </row>
    <row r="2766" spans="1:14" x14ac:dyDescent="0.15">
      <c r="A2766" s="23" t="str">
        <f>HYPERLINK("https://www.spark-marketing.ru/Card/Person/145219", "РАДУЖНЕНСКАЯ СРЕДНЯЯ ОБЩЕОБРАЗОВАТЕЛЬНАЯ ШКОЛА")</f>
        <v>РАДУЖНЕНСКАЯ СРЕДНЯЯ ОБЩЕОБРАЗОВАТЕЛЬНАЯ ШКОЛА</v>
      </c>
      <c r="B2766" s="24" t="s">
        <v>5010</v>
      </c>
      <c r="C2766" s="25">
        <v>6646740</v>
      </c>
      <c r="D2766" s="22" t="s">
        <v>5011</v>
      </c>
      <c r="E2766" s="22" t="s">
        <v>48</v>
      </c>
      <c r="F2766" s="23" t="str">
        <f>HYPERLINK("https://www.spark-marketing.ru/Card/Lot/73507531", "Оказание услуг по организации питания обучающихся")</f>
        <v>Оказание услуг по организации питания обучающихся</v>
      </c>
      <c r="G2766" s="22" t="s">
        <v>49</v>
      </c>
      <c r="H2766" s="22" t="s">
        <v>180</v>
      </c>
      <c r="I2766" s="26">
        <v>43724.479074074101</v>
      </c>
      <c r="J2766" s="28" t="s">
        <v>51</v>
      </c>
      <c r="K2766" s="28" t="s">
        <v>51</v>
      </c>
      <c r="L2766" s="28" t="s">
        <v>51</v>
      </c>
      <c r="M2766" s="28" t="s">
        <v>51</v>
      </c>
      <c r="N2766" s="28" t="s">
        <v>51</v>
      </c>
    </row>
    <row r="2767" spans="1:14" x14ac:dyDescent="0.15">
      <c r="A2767" s="23" t="str">
        <f>HYPERLINK("https://www.spark-marketing.ru/Card/Person/1028873", "МОУ ИНДУСТРИНСКАЯ ООШ")</f>
        <v>МОУ ИНДУСТРИНСКАЯ ООШ</v>
      </c>
      <c r="B2767" s="24" t="s">
        <v>5012</v>
      </c>
      <c r="C2767" s="25">
        <v>2773822</v>
      </c>
      <c r="D2767" s="22" t="s">
        <v>5013</v>
      </c>
      <c r="E2767" s="22" t="s">
        <v>48</v>
      </c>
      <c r="F2767" s="23" t="str">
        <f>HYPERLINK("https://www.spark-marketing.ru/Card/Lot/73507571", "Оказание услуг по организации питания обучающихся")</f>
        <v>Оказание услуг по организации питания обучающихся</v>
      </c>
      <c r="G2767" s="22" t="s">
        <v>49</v>
      </c>
      <c r="H2767" s="22" t="s">
        <v>180</v>
      </c>
      <c r="I2767" s="26">
        <v>43724.487997685203</v>
      </c>
      <c r="J2767" s="28" t="s">
        <v>51</v>
      </c>
      <c r="K2767" s="28" t="s">
        <v>51</v>
      </c>
      <c r="L2767" s="28" t="s">
        <v>51</v>
      </c>
      <c r="M2767" s="28" t="s">
        <v>51</v>
      </c>
      <c r="N2767" s="28" t="s">
        <v>51</v>
      </c>
    </row>
    <row r="2768" spans="1:14" x14ac:dyDescent="0.15">
      <c r="A2768" s="23" t="str">
        <f>HYPERLINK("https://www.spark-marketing.ru/Card/Person/1082927", "МОУ ПРОВОДНИКОВСКАЯ ООШ")</f>
        <v>МОУ ПРОВОДНИКОВСКАЯ ООШ</v>
      </c>
      <c r="B2768" s="24" t="s">
        <v>5014</v>
      </c>
      <c r="C2768" s="25">
        <v>2565675</v>
      </c>
      <c r="D2768" s="22" t="s">
        <v>5015</v>
      </c>
      <c r="E2768" s="22" t="s">
        <v>48</v>
      </c>
      <c r="F2768" s="23" t="str">
        <f>HYPERLINK("https://www.spark-marketing.ru/Card/Lot/73507564", "Оказание услуг по организации питания обучающихся")</f>
        <v>Оказание услуг по организации питания обучающихся</v>
      </c>
      <c r="G2768" s="22" t="s">
        <v>49</v>
      </c>
      <c r="H2768" s="22" t="s">
        <v>180</v>
      </c>
      <c r="I2768" s="26">
        <v>43724.490752314799</v>
      </c>
      <c r="J2768" s="28" t="s">
        <v>51</v>
      </c>
      <c r="K2768" s="28" t="s">
        <v>51</v>
      </c>
      <c r="L2768" s="28" t="s">
        <v>51</v>
      </c>
      <c r="M2768" s="28" t="s">
        <v>51</v>
      </c>
      <c r="N2768" s="28" t="s">
        <v>51</v>
      </c>
    </row>
    <row r="2769" spans="1:14" x14ac:dyDescent="0.15">
      <c r="A2769" s="23" t="str">
        <f>HYPERLINK("https://www.spark-marketing.ru/Card/Person/1029091", "МОУ СЕЛЬНИКОВСКАЯ НАЧАЛЬНАЯ ШКОЛА-ДЕТСКИЙ САД")</f>
        <v>МОУ СЕЛЬНИКОВСКАЯ НАЧАЛЬНАЯ ШКОЛА-ДЕТСКИЙ САД</v>
      </c>
      <c r="B2769" s="24" t="s">
        <v>5016</v>
      </c>
      <c r="C2769" s="25">
        <v>5252268</v>
      </c>
      <c r="D2769" s="22" t="s">
        <v>5017</v>
      </c>
      <c r="E2769" s="22" t="s">
        <v>48</v>
      </c>
      <c r="F2769" s="23" t="str">
        <f>HYPERLINK("https://www.spark-marketing.ru/Card/Lot/73507502", "Оказание услуг по организации питания обучающихся, воспитанников")</f>
        <v>Оказание услуг по организации питания обучающихся, воспитанников</v>
      </c>
      <c r="G2769" s="22" t="s">
        <v>49</v>
      </c>
      <c r="H2769" s="22" t="s">
        <v>180</v>
      </c>
      <c r="I2769" s="26">
        <v>43724.473460648202</v>
      </c>
      <c r="J2769" s="28" t="s">
        <v>51</v>
      </c>
      <c r="K2769" s="28" t="s">
        <v>51</v>
      </c>
      <c r="L2769" s="28" t="s">
        <v>51</v>
      </c>
      <c r="M2769" s="28" t="s">
        <v>51</v>
      </c>
      <c r="N2769" s="28" t="s">
        <v>51</v>
      </c>
    </row>
    <row r="2770" spans="1:14" x14ac:dyDescent="0.15">
      <c r="A2770" s="23" t="str">
        <f>HYPERLINK("https://www.spark-marketing.ru/Card/Person/131771", "ОТДЕЛ МВД РОССИИ ПО БАВЛИНСКОМУ РАЙОНУ")</f>
        <v>ОТДЕЛ МВД РОССИИ ПО БАВЛИНСКОМУ РАЙОНУ</v>
      </c>
      <c r="B2770" s="24" t="s">
        <v>5018</v>
      </c>
      <c r="C2770" s="25">
        <v>120000</v>
      </c>
      <c r="D2770" s="22" t="s">
        <v>5019</v>
      </c>
      <c r="E2770" s="22" t="s">
        <v>48</v>
      </c>
      <c r="F2770" s="23" t="str">
        <f>HYPERLINK("https://www.spark-marketing.ru/Card/Lot/73465335",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2770" s="22" t="s">
        <v>217</v>
      </c>
      <c r="H2770" s="22" t="s">
        <v>5020</v>
      </c>
      <c r="I2770" s="26">
        <v>43724.482511574097</v>
      </c>
      <c r="J2770" s="28" t="s">
        <v>51</v>
      </c>
      <c r="K2770" s="28" t="s">
        <v>51</v>
      </c>
      <c r="L2770" s="28" t="s">
        <v>51</v>
      </c>
      <c r="M2770" s="28" t="s">
        <v>51</v>
      </c>
      <c r="N2770" s="28" t="s">
        <v>51</v>
      </c>
    </row>
    <row r="2771" spans="1:14" x14ac:dyDescent="0.15">
      <c r="A2771" s="23" t="str">
        <f>HYPERLINK("https://www.spark-marketing.ru/Card/Person/1006334", "МКОУ ШКОЛА-ИНТЕРНАТ №19")</f>
        <v>МКОУ ШКОЛА-ИНТЕРНАТ №19</v>
      </c>
      <c r="B2771" s="24" t="s">
        <v>5021</v>
      </c>
      <c r="C2771" s="25">
        <v>17769460</v>
      </c>
      <c r="D2771" s="22" t="s">
        <v>5022</v>
      </c>
      <c r="E2771" s="22" t="s">
        <v>48</v>
      </c>
      <c r="F2771" s="23" t="str">
        <f>HYPERLINK("https://www.spark-marketing.ru/Card/Lot/73507541", "Оказание услуг по организации питания обучающихся")</f>
        <v>Оказание услуг по организации питания обучающихся</v>
      </c>
      <c r="G2771" s="22" t="s">
        <v>49</v>
      </c>
      <c r="H2771" s="22" t="s">
        <v>180</v>
      </c>
      <c r="I2771" s="26">
        <v>43724.484317129602</v>
      </c>
      <c r="J2771" s="28" t="s">
        <v>51</v>
      </c>
      <c r="K2771" s="28" t="s">
        <v>51</v>
      </c>
      <c r="L2771" s="28" t="s">
        <v>51</v>
      </c>
      <c r="M2771" s="28" t="s">
        <v>51</v>
      </c>
      <c r="N2771" s="28" t="s">
        <v>51</v>
      </c>
    </row>
    <row r="2772" spans="1:14" x14ac:dyDescent="0.15">
      <c r="A2772" s="23" t="str">
        <f>HYPERLINK("https://www.spark-marketing.ru/Card/Person/64536", "МБОУ СОШ № 15")</f>
        <v>МБОУ СОШ № 15</v>
      </c>
      <c r="B2772" s="24" t="s">
        <v>5023</v>
      </c>
      <c r="C2772" s="25">
        <v>12729454</v>
      </c>
      <c r="D2772" s="22" t="s">
        <v>5024</v>
      </c>
      <c r="E2772" s="22" t="s">
        <v>48</v>
      </c>
      <c r="F2772" s="23" t="str">
        <f>HYPERLINK("https://www.spark-marketing.ru/Card/Lot/73507560", "Оказание услуг по организации питания обучающихся")</f>
        <v>Оказание услуг по организации питания обучающихся</v>
      </c>
      <c r="G2772" s="22" t="s">
        <v>49</v>
      </c>
      <c r="H2772" s="22" t="s">
        <v>180</v>
      </c>
      <c r="I2772" s="26">
        <v>43724.489976851903</v>
      </c>
      <c r="J2772" s="28" t="s">
        <v>51</v>
      </c>
      <c r="K2772" s="28" t="s">
        <v>51</v>
      </c>
      <c r="L2772" s="28" t="s">
        <v>51</v>
      </c>
      <c r="M2772" s="28" t="s">
        <v>51</v>
      </c>
      <c r="N2772" s="28" t="s">
        <v>51</v>
      </c>
    </row>
    <row r="2773" spans="1:14" x14ac:dyDescent="0.15">
      <c r="A2773" s="23" t="str">
        <f>HYPERLINK("https://www.spark-marketing.ru/Card/Person/64343", "МКОУ ШКОЛА ""НАДЕЖДА""")</f>
        <v>МКОУ ШКОЛА "НАДЕЖДА"</v>
      </c>
      <c r="B2773" s="24" t="s">
        <v>5025</v>
      </c>
      <c r="C2773" s="25">
        <v>5489100</v>
      </c>
      <c r="D2773" s="22" t="s">
        <v>5026</v>
      </c>
      <c r="E2773" s="22" t="s">
        <v>48</v>
      </c>
      <c r="F2773" s="23" t="str">
        <f>HYPERLINK("https://www.spark-marketing.ru/Card/Lot/73507542", "Оказание услуг по организации питания обучающихся")</f>
        <v>Оказание услуг по организации питания обучающихся</v>
      </c>
      <c r="G2773" s="22" t="s">
        <v>49</v>
      </c>
      <c r="H2773" s="22" t="s">
        <v>180</v>
      </c>
      <c r="I2773" s="26">
        <v>43724.485416666699</v>
      </c>
      <c r="J2773" s="28" t="s">
        <v>51</v>
      </c>
      <c r="K2773" s="28" t="s">
        <v>51</v>
      </c>
      <c r="L2773" s="28" t="s">
        <v>51</v>
      </c>
      <c r="M2773" s="28" t="s">
        <v>51</v>
      </c>
      <c r="N2773" s="28" t="s">
        <v>51</v>
      </c>
    </row>
    <row r="2774" spans="1:14" x14ac:dyDescent="0.15">
      <c r="A2774" s="23" t="str">
        <f>HYPERLINK("https://www.spark-marketing.ru/Card/Person/64188", "МБОУ ""ГИМНАЗИЯ №2 ""КВАНТОР""")</f>
        <v>МБОУ "ГИМНАЗИЯ №2 "КВАНТОР"</v>
      </c>
      <c r="B2774" s="24" t="s">
        <v>5027</v>
      </c>
      <c r="C2774" s="25">
        <v>11471254</v>
      </c>
      <c r="D2774" s="22" t="s">
        <v>5028</v>
      </c>
      <c r="E2774" s="22" t="s">
        <v>48</v>
      </c>
      <c r="F2774" s="23" t="str">
        <f>HYPERLINK("https://www.spark-marketing.ru/Card/Lot/73507563", "Оказание услуг по организации питания обучающихся")</f>
        <v>Оказание услуг по организации питания обучающихся</v>
      </c>
      <c r="G2774" s="22" t="s">
        <v>49</v>
      </c>
      <c r="H2774" s="22" t="s">
        <v>180</v>
      </c>
      <c r="I2774" s="26">
        <v>43724.490509259304</v>
      </c>
      <c r="J2774" s="28" t="s">
        <v>51</v>
      </c>
      <c r="K2774" s="28" t="s">
        <v>51</v>
      </c>
      <c r="L2774" s="28" t="s">
        <v>51</v>
      </c>
      <c r="M2774" s="28" t="s">
        <v>51</v>
      </c>
      <c r="N2774" s="28" t="s">
        <v>51</v>
      </c>
    </row>
    <row r="2775" spans="1:14" x14ac:dyDescent="0.15">
      <c r="A2775" s="23" t="str">
        <f>HYPERLINK("https://www.spark-marketing.ru/Card/Person/61856", "МБДОУ ДЕТСКИЙ САД № 40 ""КОЛОКОЛЬЧИК"" ОБЩЕРАЗВИВАЮЩЕГО ВИДА ГОЩ")</f>
        <v>МБДОУ ДЕТСКИЙ САД № 40 "КОЛОКОЛЬЧИК" ОБЩЕРАЗВИВАЮЩЕГО ВИДА ГОЩ</v>
      </c>
      <c r="B2775" s="24" t="s">
        <v>5029</v>
      </c>
      <c r="C2775" s="25">
        <v>3271510.2</v>
      </c>
      <c r="D2775" s="22" t="s">
        <v>5030</v>
      </c>
      <c r="E2775" s="22" t="s">
        <v>48</v>
      </c>
      <c r="F2775" s="23" t="str">
        <f>HYPERLINK("https://www.spark-marketing.ru/Card/Lot/73507767",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775" s="22" t="s">
        <v>49</v>
      </c>
      <c r="H2775" s="22" t="s">
        <v>4644</v>
      </c>
      <c r="I2775" s="26">
        <v>43724.481365740699</v>
      </c>
      <c r="J2775" s="28" t="s">
        <v>51</v>
      </c>
      <c r="K2775" s="28" t="s">
        <v>51</v>
      </c>
      <c r="L2775" s="28" t="s">
        <v>51</v>
      </c>
      <c r="M2775" s="28" t="s">
        <v>51</v>
      </c>
      <c r="N2775" s="28" t="s">
        <v>51</v>
      </c>
    </row>
    <row r="2776" spans="1:14" x14ac:dyDescent="0.15">
      <c r="A2776" s="23" t="str">
        <f>HYPERLINK("https://www.spark-marketing.ru/Card/Person/64068", "МБОУ СОШ №1")</f>
        <v>МБОУ СОШ №1</v>
      </c>
      <c r="B2776" s="24" t="s">
        <v>5031</v>
      </c>
      <c r="C2776" s="25">
        <v>7664948</v>
      </c>
      <c r="D2776" s="22" t="s">
        <v>5032</v>
      </c>
      <c r="E2776" s="22" t="s">
        <v>48</v>
      </c>
      <c r="F2776" s="23" t="str">
        <f>HYPERLINK("https://www.spark-marketing.ru/Card/Lot/73507525", "Оказание услуг по организации питания обучающихся")</f>
        <v>Оказание услуг по организации питания обучающихся</v>
      </c>
      <c r="G2776" s="22" t="s">
        <v>49</v>
      </c>
      <c r="H2776" s="22" t="s">
        <v>180</v>
      </c>
      <c r="I2776" s="26">
        <v>43724.4781828704</v>
      </c>
      <c r="J2776" s="28" t="s">
        <v>51</v>
      </c>
      <c r="K2776" s="28" t="s">
        <v>51</v>
      </c>
      <c r="L2776" s="28" t="s">
        <v>51</v>
      </c>
      <c r="M2776" s="28" t="s">
        <v>51</v>
      </c>
      <c r="N2776" s="28" t="s">
        <v>51</v>
      </c>
    </row>
    <row r="2777" spans="1:14" x14ac:dyDescent="0.15">
      <c r="A2777" s="23" t="str">
        <f>HYPERLINK("https://www.spark-marketing.ru/Card/Person/64623", "МБОУ СОШ № 24")</f>
        <v>МБОУ СОШ № 24</v>
      </c>
      <c r="B2777" s="24" t="s">
        <v>5033</v>
      </c>
      <c r="C2777" s="25">
        <v>5097796</v>
      </c>
      <c r="D2777" s="22" t="s">
        <v>5034</v>
      </c>
      <c r="E2777" s="22" t="s">
        <v>48</v>
      </c>
      <c r="F2777" s="23" t="str">
        <f>HYPERLINK("https://www.spark-marketing.ru/Card/Lot/73507567", "Оказание услуг по организации питания обучающихся")</f>
        <v>Оказание услуг по организации питания обучающихся</v>
      </c>
      <c r="G2777" s="22" t="s">
        <v>49</v>
      </c>
      <c r="H2777" s="22" t="s">
        <v>180</v>
      </c>
      <c r="I2777" s="26">
        <v>43724.491701388899</v>
      </c>
      <c r="J2777" s="28" t="s">
        <v>51</v>
      </c>
      <c r="K2777" s="28" t="s">
        <v>51</v>
      </c>
      <c r="L2777" s="28" t="s">
        <v>51</v>
      </c>
      <c r="M2777" s="28" t="s">
        <v>51</v>
      </c>
      <c r="N2777" s="28" t="s">
        <v>51</v>
      </c>
    </row>
    <row r="2778" spans="1:14" x14ac:dyDescent="0.15">
      <c r="A2778" s="23" t="str">
        <f>HYPERLINK("https://www.spark-marketing.ru/Card/Person/20366", "МАОУ ГИМНАЗИЯ ИМЕНИ А.А.ПУШКИНА Г.О. БРОННИЦЫ")</f>
        <v>МАОУ ГИМНАЗИЯ ИМЕНИ А.А.ПУШКИНА Г.О. БРОННИЦЫ</v>
      </c>
      <c r="B2778" s="24" t="s">
        <v>1771</v>
      </c>
      <c r="C2778" s="25">
        <v>1797880</v>
      </c>
      <c r="D2778" s="22" t="s">
        <v>5035</v>
      </c>
      <c r="E2778" s="22" t="s">
        <v>48</v>
      </c>
      <c r="F2778" s="23" t="str">
        <f>HYPERLINK("https://www.spark-marketing.ru/Card/Lot/73503213",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2778" s="22" t="s">
        <v>49</v>
      </c>
      <c r="H2778" s="22" t="s">
        <v>1773</v>
      </c>
      <c r="I2778" s="26">
        <v>43724.484027777798</v>
      </c>
      <c r="J2778" s="28" t="s">
        <v>51</v>
      </c>
      <c r="K2778" s="28" t="s">
        <v>51</v>
      </c>
      <c r="L2778" s="28" t="s">
        <v>51</v>
      </c>
      <c r="M2778" s="28" t="s">
        <v>51</v>
      </c>
      <c r="N2778" s="28" t="s">
        <v>51</v>
      </c>
    </row>
    <row r="2779" spans="1:14" ht="12.75" hidden="1" outlineLevel="1" x14ac:dyDescent="0.2">
      <c r="A2779" s="23" t="str">
        <f>HYPERLINK("https://www.spark-marketing.ru/Card/Person/20366", "МАОУ ГИМНАЗИЯ ИМЕНИ А.А.ПУШКИНА Г.О. БРОННИЦЫ")</f>
        <v>МАОУ ГИМНАЗИЯ ИМЕНИ А.А.ПУШКИНА Г.О. БРОННИЦЫ</v>
      </c>
      <c r="B2779" s="24" t="s">
        <v>1771</v>
      </c>
      <c r="C2779" s="25">
        <v>1797880</v>
      </c>
      <c r="D2779" s="22" t="s">
        <v>5035</v>
      </c>
      <c r="E2779" s="22" t="s">
        <v>48</v>
      </c>
      <c r="F2779" s="23" t="str">
        <f>HYPERLINK("https://www.spark-marketing.ru/Card/Lot/73503213",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2779" s="22" t="s">
        <v>49</v>
      </c>
      <c r="H2779" s="22" t="s">
        <v>1773</v>
      </c>
      <c r="I2779" s="26">
        <v>43724.484027777798</v>
      </c>
      <c r="J2779" s="23" t="str">
        <f>HYPERLINK("https://www.spark-marketing.ru/Card/Person/145629", "ООО ""Я САМА""")</f>
        <v>ООО "Я САМА"</v>
      </c>
      <c r="K2779" s="24" t="s">
        <v>5036</v>
      </c>
      <c r="L2779" s="22" t="s">
        <v>10</v>
      </c>
      <c r="M2779" s="25">
        <v>539364</v>
      </c>
      <c r="N2779" s="27">
        <v>0.7</v>
      </c>
    </row>
    <row r="2780" spans="1:14" hidden="1" outlineLevel="1" x14ac:dyDescent="0.2">
      <c r="A2780" s="23" t="str">
        <f>HYPERLINK("https://www.spark-marketing.ru/Card/Person/20366", "МАОУ ГИМНАЗИЯ ИМЕНИ А.А.ПУШКИНА Г.О. БРОННИЦЫ")</f>
        <v>МАОУ ГИМНАЗИЯ ИМЕНИ А.А.ПУШКИНА Г.О. БРОННИЦЫ</v>
      </c>
      <c r="B2780" s="24" t="s">
        <v>1771</v>
      </c>
      <c r="C2780" s="25">
        <v>1797880</v>
      </c>
      <c r="D2780" s="22" t="s">
        <v>5035</v>
      </c>
      <c r="E2780" s="22" t="s">
        <v>48</v>
      </c>
      <c r="F2780" s="23" t="str">
        <f>HYPERLINK("https://www.spark-marketing.ru/Card/Lot/73503213",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2780" s="22" t="s">
        <v>49</v>
      </c>
      <c r="H2780" s="22" t="s">
        <v>1773</v>
      </c>
      <c r="I2780" s="26">
        <v>43724.484027777798</v>
      </c>
      <c r="J2780" s="23" t="str">
        <f>HYPERLINK("https://www.spark-marketing.ru/Card/Person/6290196", "ООО ""РАМКЕЙТ""")</f>
        <v>ООО "РАМКЕЙТ"</v>
      </c>
      <c r="K2780" s="24" t="s">
        <v>5037</v>
      </c>
      <c r="L2780" s="28" t="s">
        <v>51</v>
      </c>
      <c r="M2780" s="25">
        <v>548353.4</v>
      </c>
      <c r="N2780" s="27">
        <v>0.69499999999999995</v>
      </c>
    </row>
    <row r="2781" spans="1:14" hidden="1" outlineLevel="1" x14ac:dyDescent="0.2">
      <c r="A2781" s="23" t="str">
        <f>HYPERLINK("https://www.spark-marketing.ru/Card/Person/20366", "МАОУ ГИМНАЗИЯ ИМЕНИ А.А.ПУШКИНА Г.О. БРОННИЦЫ")</f>
        <v>МАОУ ГИМНАЗИЯ ИМЕНИ А.А.ПУШКИНА Г.О. БРОННИЦЫ</v>
      </c>
      <c r="B2781" s="24" t="s">
        <v>1771</v>
      </c>
      <c r="C2781" s="25">
        <v>1797880</v>
      </c>
      <c r="D2781" s="22" t="s">
        <v>5035</v>
      </c>
      <c r="E2781" s="22" t="s">
        <v>48</v>
      </c>
      <c r="F2781" s="23" t="str">
        <f>HYPERLINK("https://www.spark-marketing.ru/Card/Lot/73503213",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2781" s="22" t="s">
        <v>49</v>
      </c>
      <c r="H2781" s="22" t="s">
        <v>1773</v>
      </c>
      <c r="I2781" s="26">
        <v>43724.484027777798</v>
      </c>
      <c r="J2781" s="23" t="str">
        <f>HYPERLINK("https://www.spark-marketing.ru/Card/Person/532200", "ООО ""ДИБОРС""")</f>
        <v>ООО "ДИБОРС"</v>
      </c>
      <c r="K2781" s="24" t="s">
        <v>5038</v>
      </c>
      <c r="L2781" s="28" t="s">
        <v>51</v>
      </c>
      <c r="M2781" s="25">
        <v>1788890</v>
      </c>
      <c r="N2781" s="27">
        <v>5.000333726388858E-3</v>
      </c>
    </row>
    <row r="2782" spans="1:14" x14ac:dyDescent="0.15">
      <c r="A2782" s="23" t="str">
        <f>HYPERLINK("https://www.spark-marketing.ru/Card/Person/64041", "МБОУ СОШ №10")</f>
        <v>МБОУ СОШ №10</v>
      </c>
      <c r="B2782" s="24" t="s">
        <v>5039</v>
      </c>
      <c r="C2782" s="25">
        <v>7774052</v>
      </c>
      <c r="D2782" s="22" t="s">
        <v>5040</v>
      </c>
      <c r="E2782" s="22" t="s">
        <v>48</v>
      </c>
      <c r="F2782" s="23" t="str">
        <f>HYPERLINK("https://www.spark-marketing.ru/Card/Lot/73507558", "Оказание услуг по организации питания обучающихся")</f>
        <v>Оказание услуг по организации питания обучающихся</v>
      </c>
      <c r="G2782" s="22" t="s">
        <v>49</v>
      </c>
      <c r="H2782" s="22" t="s">
        <v>180</v>
      </c>
      <c r="I2782" s="26">
        <v>43724.488900463002</v>
      </c>
      <c r="J2782" s="28" t="s">
        <v>51</v>
      </c>
      <c r="K2782" s="28" t="s">
        <v>51</v>
      </c>
      <c r="L2782" s="28" t="s">
        <v>51</v>
      </c>
      <c r="M2782" s="28" t="s">
        <v>51</v>
      </c>
      <c r="N2782" s="28" t="s">
        <v>51</v>
      </c>
    </row>
    <row r="2783" spans="1:14" x14ac:dyDescent="0.15">
      <c r="A2783" s="23" t="str">
        <f>HYPERLINK("https://www.spark-marketing.ru/Card/Person/147419", "МОУ ПЕСКОВСКАЯ СОШ")</f>
        <v>МОУ ПЕСКОВСКАЯ СОШ</v>
      </c>
      <c r="B2783" s="24" t="s">
        <v>5041</v>
      </c>
      <c r="C2783" s="25">
        <v>6741130</v>
      </c>
      <c r="D2783" s="22" t="s">
        <v>5042</v>
      </c>
      <c r="E2783" s="22" t="s">
        <v>48</v>
      </c>
      <c r="F2783" s="23" t="str">
        <f>HYPERLINK("https://www.spark-marketing.ru/Card/Lot/73507577", "Оказание услуг по организации питания обучающихся")</f>
        <v>Оказание услуг по организации питания обучающихся</v>
      </c>
      <c r="G2783" s="22" t="s">
        <v>49</v>
      </c>
      <c r="H2783" s="22" t="s">
        <v>180</v>
      </c>
      <c r="I2783" s="26">
        <v>43724.493634259299</v>
      </c>
      <c r="J2783" s="28" t="s">
        <v>51</v>
      </c>
      <c r="K2783" s="28" t="s">
        <v>51</v>
      </c>
      <c r="L2783" s="28" t="s">
        <v>51</v>
      </c>
      <c r="M2783" s="28" t="s">
        <v>51</v>
      </c>
      <c r="N2783" s="28" t="s">
        <v>51</v>
      </c>
    </row>
    <row r="2784" spans="1:14" x14ac:dyDescent="0.15">
      <c r="A2784" s="23" t="str">
        <f>HYPERLINK("https://www.spark-marketing.ru/Card/Person/1029683", "МОУ КАРАСЁВСКАЯ СРЕДНЯЯ ОБЩЕОБРАЗОВАТЕЛЬНАЯ ШКОЛА")</f>
        <v>МОУ КАРАСЁВСКАЯ СРЕДНЯЯ ОБЩЕОБРАЗОВАТЕЛЬНАЯ ШКОЛА</v>
      </c>
      <c r="B2784" s="24" t="s">
        <v>5043</v>
      </c>
      <c r="C2784" s="25">
        <v>3608182</v>
      </c>
      <c r="D2784" s="22" t="s">
        <v>5044</v>
      </c>
      <c r="E2784" s="22" t="s">
        <v>48</v>
      </c>
      <c r="F2784" s="23" t="str">
        <f>HYPERLINK("https://www.spark-marketing.ru/Card/Lot/73507576", "Оказание услуг по организации питания обучающихся")</f>
        <v>Оказание услуг по организации питания обучающихся</v>
      </c>
      <c r="G2784" s="22" t="s">
        <v>49</v>
      </c>
      <c r="H2784" s="22" t="s">
        <v>180</v>
      </c>
      <c r="I2784" s="26">
        <v>43724.493206018502</v>
      </c>
      <c r="J2784" s="28" t="s">
        <v>51</v>
      </c>
      <c r="K2784" s="28" t="s">
        <v>51</v>
      </c>
      <c r="L2784" s="28" t="s">
        <v>51</v>
      </c>
      <c r="M2784" s="28" t="s">
        <v>51</v>
      </c>
      <c r="N2784" s="28" t="s">
        <v>51</v>
      </c>
    </row>
    <row r="2785" spans="1:14" x14ac:dyDescent="0.15">
      <c r="A2785" s="23" t="str">
        <f>HYPERLINK("https://www.spark-marketing.ru/Card/Person/74510", "МБОУ ТРУБИНСКАЯ СОШ С. ТРУБИНО ЩМР МО")</f>
        <v>МБОУ ТРУБИНСКАЯ СОШ С. ТРУБИНО ЩМР МО</v>
      </c>
      <c r="B2785" s="24" t="s">
        <v>5045</v>
      </c>
      <c r="C2785" s="25">
        <v>1221696</v>
      </c>
      <c r="D2785" s="22" t="s">
        <v>5046</v>
      </c>
      <c r="E2785" s="22" t="s">
        <v>48</v>
      </c>
      <c r="F2785" s="23" t="str">
        <f>HYPERLINK("https://www.spark-marketing.ru/Card/Lot/73501411",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785" s="22" t="s">
        <v>49</v>
      </c>
      <c r="H2785" s="22" t="s">
        <v>4644</v>
      </c>
      <c r="I2785" s="26">
        <v>43724.481249999997</v>
      </c>
      <c r="J2785" s="28" t="s">
        <v>51</v>
      </c>
      <c r="K2785" s="28" t="s">
        <v>51</v>
      </c>
      <c r="L2785" s="28" t="s">
        <v>51</v>
      </c>
      <c r="M2785" s="28" t="s">
        <v>51</v>
      </c>
      <c r="N2785" s="28" t="s">
        <v>51</v>
      </c>
    </row>
    <row r="2786" spans="1:14" x14ac:dyDescent="0.15">
      <c r="A2786" s="23" t="str">
        <f>HYPERLINK("https://www.spark-marketing.ru/Card/Person/1047934", "МОУ НЕПЕЦИНСКАЯ СОШ")</f>
        <v>МОУ НЕПЕЦИНСКАЯ СОШ</v>
      </c>
      <c r="B2786" s="24" t="s">
        <v>5047</v>
      </c>
      <c r="C2786" s="25">
        <v>6387240</v>
      </c>
      <c r="D2786" s="22" t="s">
        <v>5048</v>
      </c>
      <c r="E2786" s="22" t="s">
        <v>48</v>
      </c>
      <c r="F2786" s="23" t="str">
        <f>HYPERLINK("https://www.spark-marketing.ru/Card/Lot/73507498", "Оказание услуг по организации питания обучающихся")</f>
        <v>Оказание услуг по организации питания обучающихся</v>
      </c>
      <c r="G2786" s="22" t="s">
        <v>49</v>
      </c>
      <c r="H2786" s="22" t="s">
        <v>180</v>
      </c>
      <c r="I2786" s="26">
        <v>43724.472835648201</v>
      </c>
      <c r="J2786" s="28" t="s">
        <v>51</v>
      </c>
      <c r="K2786" s="28" t="s">
        <v>51</v>
      </c>
      <c r="L2786" s="28" t="s">
        <v>51</v>
      </c>
      <c r="M2786" s="28" t="s">
        <v>51</v>
      </c>
      <c r="N2786" s="28" t="s">
        <v>51</v>
      </c>
    </row>
    <row r="2787" spans="1:14" x14ac:dyDescent="0.15">
      <c r="A2787" s="23" t="str">
        <f>HYPERLINK("https://www.spark-marketing.ru/Card/Person/72434", "МО ""ГОРОД УДАЧНЫЙ""")</f>
        <v>МО "ГОРОД УДАЧНЫЙ"</v>
      </c>
      <c r="B2787" s="24" t="s">
        <v>4985</v>
      </c>
      <c r="C2787" s="25">
        <v>192620.16</v>
      </c>
      <c r="D2787" s="22" t="s">
        <v>5049</v>
      </c>
      <c r="E2787" s="22" t="s">
        <v>48</v>
      </c>
      <c r="F2787" s="23" t="str">
        <f>HYPERLINK("https://www.spark-marketing.ru/Card/Lot/73455957", "Услуги по организации питания учащихся , находящихся в сложной жизненной ситуации и посещающих группу продленного дня в МАОУ « СОШ № 24»")</f>
        <v>Услуги по организации питания учащихся , находящихся в сложной жизненной ситуации и посещающих группу продленного дня в МАОУ « СОШ № 24»</v>
      </c>
      <c r="G2787" s="22" t="s">
        <v>241</v>
      </c>
      <c r="H2787" s="22" t="s">
        <v>4987</v>
      </c>
      <c r="I2787" s="26">
        <v>43724.499305555597</v>
      </c>
      <c r="J2787" s="23" t="str">
        <f>HYPERLINK("https://www.spark-marketing.ru/Card/Person/450955", "Корогодин Максим Сергеевич")</f>
        <v>Корогодин Максим Сергеевич</v>
      </c>
      <c r="K2787" s="24" t="s">
        <v>5050</v>
      </c>
      <c r="L2787" s="22" t="s">
        <v>10</v>
      </c>
      <c r="M2787" s="28" t="s">
        <v>51</v>
      </c>
      <c r="N2787" s="28" t="s">
        <v>51</v>
      </c>
    </row>
    <row r="2788" spans="1:14" x14ac:dyDescent="0.15">
      <c r="A2788" s="23" t="str">
        <f>HYPERLINK("https://www.spark-marketing.ru/Card/Person/64549", "МБОУ СОШ № 18")</f>
        <v>МБОУ СОШ № 18</v>
      </c>
      <c r="B2788" s="24" t="s">
        <v>5051</v>
      </c>
      <c r="C2788" s="25">
        <v>15794958</v>
      </c>
      <c r="D2788" s="22" t="s">
        <v>5052</v>
      </c>
      <c r="E2788" s="22" t="s">
        <v>48</v>
      </c>
      <c r="F2788" s="23" t="str">
        <f>HYPERLINK("https://www.spark-marketing.ru/Card/Lot/73507543", "Оказание услуг по организации питания обучающихся")</f>
        <v>Оказание услуг по организации питания обучающихся</v>
      </c>
      <c r="G2788" s="22" t="s">
        <v>49</v>
      </c>
      <c r="H2788" s="22" t="s">
        <v>180</v>
      </c>
      <c r="I2788" s="26">
        <v>43724.486064814802</v>
      </c>
      <c r="J2788" s="28" t="s">
        <v>51</v>
      </c>
      <c r="K2788" s="28" t="s">
        <v>51</v>
      </c>
      <c r="L2788" s="28" t="s">
        <v>51</v>
      </c>
      <c r="M2788" s="28" t="s">
        <v>51</v>
      </c>
      <c r="N2788" s="28" t="s">
        <v>51</v>
      </c>
    </row>
    <row r="2789" spans="1:14" x14ac:dyDescent="0.15">
      <c r="A2789" s="23" t="str">
        <f>HYPERLINK("https://www.spark-marketing.ru/Card/Person/64622", "МБОУ СОШ №21")</f>
        <v>МБОУ СОШ №21</v>
      </c>
      <c r="B2789" s="24" t="s">
        <v>5053</v>
      </c>
      <c r="C2789" s="25">
        <v>5931146</v>
      </c>
      <c r="D2789" s="22" t="s">
        <v>5054</v>
      </c>
      <c r="E2789" s="22" t="s">
        <v>48</v>
      </c>
      <c r="F2789" s="23" t="str">
        <f>HYPERLINK("https://www.spark-marketing.ru/Card/Lot/73507433", "Оказание услуг по организации питания обучающихся")</f>
        <v>Оказание услуг по организации питания обучающихся</v>
      </c>
      <c r="G2789" s="22" t="s">
        <v>49</v>
      </c>
      <c r="H2789" s="22" t="s">
        <v>180</v>
      </c>
      <c r="I2789" s="26">
        <v>43724.422743055598</v>
      </c>
      <c r="J2789" s="28" t="s">
        <v>51</v>
      </c>
      <c r="K2789" s="28" t="s">
        <v>51</v>
      </c>
      <c r="L2789" s="28" t="s">
        <v>51</v>
      </c>
      <c r="M2789" s="28" t="s">
        <v>51</v>
      </c>
      <c r="N2789" s="28" t="s">
        <v>51</v>
      </c>
    </row>
    <row r="2790" spans="1:14" x14ac:dyDescent="0.15">
      <c r="A2790" s="23" t="str">
        <f>HYPERLINK("https://www.spark-marketing.ru/Card/Person/125413", "ОТДЕЛ МВД РОССИИ ПО Г. НОВОШАХТИНСКУ")</f>
        <v>ОТДЕЛ МВД РОССИИ ПО Г. НОВОШАХТИНСКУ</v>
      </c>
      <c r="B2790" s="24" t="s">
        <v>5055</v>
      </c>
      <c r="C2790" s="25">
        <v>498999.72</v>
      </c>
      <c r="D2790" s="22" t="s">
        <v>5056</v>
      </c>
      <c r="E2790" s="22" t="s">
        <v>48</v>
      </c>
      <c r="F2790" s="23" t="str">
        <f>HYPERLINK("https://www.spark-marketing.ru/Card/Lot/73498488", "прочая закупка услуг (горячее питание лиц,содержащихся в ИВС)")</f>
        <v>прочая закупка услуг (горячее питание лиц,содержащихся в ИВС)</v>
      </c>
      <c r="G2790" s="22" t="s">
        <v>267</v>
      </c>
      <c r="H2790" s="22" t="s">
        <v>5057</v>
      </c>
      <c r="I2790" s="26">
        <v>43724.438194444403</v>
      </c>
      <c r="J2790" s="28" t="s">
        <v>51</v>
      </c>
      <c r="K2790" s="28" t="s">
        <v>51</v>
      </c>
      <c r="L2790" s="28" t="s">
        <v>51</v>
      </c>
      <c r="M2790" s="28" t="s">
        <v>51</v>
      </c>
      <c r="N2790" s="28" t="s">
        <v>51</v>
      </c>
    </row>
    <row r="2791" spans="1:14" ht="12.75" hidden="1" outlineLevel="1" x14ac:dyDescent="0.2">
      <c r="A2791" s="23" t="str">
        <f>HYPERLINK("https://www.spark-marketing.ru/Card/Person/125413", "ОТДЕЛ МВД РОССИИ ПО Г. НОВОШАХТИНСКУ")</f>
        <v>ОТДЕЛ МВД РОССИИ ПО Г. НОВОШАХТИНСКУ</v>
      </c>
      <c r="B2791" s="24" t="s">
        <v>5055</v>
      </c>
      <c r="C2791" s="25">
        <v>498999.72</v>
      </c>
      <c r="D2791" s="22" t="s">
        <v>5056</v>
      </c>
      <c r="E2791" s="22" t="s">
        <v>48</v>
      </c>
      <c r="F2791" s="23" t="str">
        <f>HYPERLINK("https://www.spark-marketing.ru/Card/Lot/73498488", "прочая закупка услуг (горячее питание лиц,содержащихся в ИВС)")</f>
        <v>прочая закупка услуг (горячее питание лиц,содержащихся в ИВС)</v>
      </c>
      <c r="G2791" s="22" t="s">
        <v>267</v>
      </c>
      <c r="H2791" s="22" t="s">
        <v>5057</v>
      </c>
      <c r="I2791" s="26">
        <v>43724.438194444403</v>
      </c>
      <c r="J2791" s="23" t="str">
        <f>HYPERLINK("https://www.spark-marketing.ru/Card/Person/4944431", "Мащенко Сергей Дмитриевич")</f>
        <v>Мащенко Сергей Дмитриевич</v>
      </c>
      <c r="K2791" s="24" t="s">
        <v>5058</v>
      </c>
      <c r="L2791" s="22" t="s">
        <v>10</v>
      </c>
      <c r="M2791" s="25">
        <v>428143.11</v>
      </c>
      <c r="N2791" s="27">
        <v>0.14199729410669809</v>
      </c>
    </row>
    <row r="2792" spans="1:14" hidden="1" outlineLevel="1" x14ac:dyDescent="0.15">
      <c r="A2792" s="23" t="str">
        <f>HYPERLINK("https://www.spark-marketing.ru/Card/Person/125413", "ОТДЕЛ МВД РОССИИ ПО Г. НОВОШАХТИНСКУ")</f>
        <v>ОТДЕЛ МВД РОССИИ ПО Г. НОВОШАХТИНСКУ</v>
      </c>
      <c r="B2792" s="24" t="s">
        <v>5055</v>
      </c>
      <c r="C2792" s="25">
        <v>498999.72</v>
      </c>
      <c r="D2792" s="22" t="s">
        <v>5056</v>
      </c>
      <c r="E2792" s="22" t="s">
        <v>48</v>
      </c>
      <c r="F2792" s="23" t="str">
        <f>HYPERLINK("https://www.spark-marketing.ru/Card/Lot/73498488", "прочая закупка услуг (горячее питание лиц,содержащихся в ИВС)")</f>
        <v>прочая закупка услуг (горячее питание лиц,содержащихся в ИВС)</v>
      </c>
      <c r="G2792" s="22" t="s">
        <v>267</v>
      </c>
      <c r="H2792" s="22" t="s">
        <v>5057</v>
      </c>
      <c r="I2792" s="26">
        <v>43724.438194444403</v>
      </c>
      <c r="J2792" s="23" t="str">
        <f>HYPERLINK("https://www.spark-marketing.ru/Card/Person/4944431", "Мащенко Сергей Дмитриевич")</f>
        <v>Мащенко Сергей Дмитриевич</v>
      </c>
      <c r="K2792" s="24" t="s">
        <v>5058</v>
      </c>
      <c r="L2792" s="28" t="s">
        <v>51</v>
      </c>
      <c r="M2792" s="28" t="s">
        <v>51</v>
      </c>
      <c r="N2792" s="28" t="s">
        <v>51</v>
      </c>
    </row>
    <row r="2793" spans="1:14" x14ac:dyDescent="0.15">
      <c r="A2793" s="23" t="str">
        <f>HYPERLINK("https://www.spark-marketing.ru/Card/Person/1453248", "ФКУ БМТИВС ГУФСИН РОССИИ ПО РОСТОВСКОЙ ОБЛАСТИ")</f>
        <v>ФКУ БМТИВС ГУФСИН РОССИИ ПО РОСТОВСКОЙ ОБЛАСТИ</v>
      </c>
      <c r="B2793" s="24" t="s">
        <v>5059</v>
      </c>
      <c r="C2793" s="25">
        <v>402466.46</v>
      </c>
      <c r="D2793" s="22" t="s">
        <v>5060</v>
      </c>
      <c r="E2793" s="22" t="s">
        <v>468</v>
      </c>
      <c r="F2793" s="23" t="str">
        <f>HYPERLINK("https://www.spark-marketing.ru/Card/Lot/73495263", "Прочая закупка товаров, работ и услуг. Оказание услуг по перевозке замороженных продуктов питания")</f>
        <v>Прочая закупка товаров, работ и услуг. Оказание услуг по перевозке замороженных продуктов питания</v>
      </c>
      <c r="G2793" s="22" t="s">
        <v>267</v>
      </c>
      <c r="H2793" s="22" t="s">
        <v>590</v>
      </c>
      <c r="I2793" s="26">
        <v>43724.434722222199</v>
      </c>
      <c r="J2793" s="28" t="s">
        <v>51</v>
      </c>
      <c r="K2793" s="28" t="s">
        <v>51</v>
      </c>
      <c r="L2793" s="28" t="s">
        <v>51</v>
      </c>
      <c r="M2793" s="28" t="s">
        <v>51</v>
      </c>
      <c r="N2793" s="28" t="s">
        <v>51</v>
      </c>
    </row>
    <row r="2794" spans="1:14" ht="12.75" hidden="1" outlineLevel="1" x14ac:dyDescent="0.2">
      <c r="A2794" s="23" t="str">
        <f>HYPERLINK("https://www.spark-marketing.ru/Card/Person/1453248", "ФКУ БМТИВС ГУФСИН РОССИИ ПО РОСТОВСКОЙ ОБЛАСТИ")</f>
        <v>ФКУ БМТИВС ГУФСИН РОССИИ ПО РОСТОВСКОЙ ОБЛАСТИ</v>
      </c>
      <c r="B2794" s="24" t="s">
        <v>5059</v>
      </c>
      <c r="C2794" s="25">
        <v>402466.46</v>
      </c>
      <c r="D2794" s="22" t="s">
        <v>5060</v>
      </c>
      <c r="E2794" s="22" t="s">
        <v>468</v>
      </c>
      <c r="F2794" s="23" t="str">
        <f>HYPERLINK("https://www.spark-marketing.ru/Card/Lot/73495263", "Прочая закупка товаров, работ и услуг. Оказание услуг по перевозке замороженных продуктов питания")</f>
        <v>Прочая закупка товаров, работ и услуг. Оказание услуг по перевозке замороженных продуктов питания</v>
      </c>
      <c r="G2794" s="22" t="s">
        <v>267</v>
      </c>
      <c r="H2794" s="22" t="s">
        <v>590</v>
      </c>
      <c r="I2794" s="26">
        <v>43724.434722222199</v>
      </c>
      <c r="J2794" s="23" t="str">
        <f>HYPERLINK("https://www.spark-marketing.ru/Card/Person/6703401", "ООО ""ТРАНС ЛОГИСТИК""")</f>
        <v>ООО "ТРАНС ЛОГИСТИК"</v>
      </c>
      <c r="K2794" s="24" t="s">
        <v>2153</v>
      </c>
      <c r="L2794" s="22" t="s">
        <v>10</v>
      </c>
      <c r="M2794" s="25">
        <v>330000</v>
      </c>
      <c r="N2794" s="27">
        <v>0.18005589832255836</v>
      </c>
    </row>
    <row r="2795" spans="1:14" hidden="1" outlineLevel="1" x14ac:dyDescent="0.2">
      <c r="A2795" s="23" t="str">
        <f>HYPERLINK("https://www.spark-marketing.ru/Card/Person/1453248", "ФКУ БМТИВС ГУФСИН РОССИИ ПО РОСТОВСКОЙ ОБЛАСТИ")</f>
        <v>ФКУ БМТИВС ГУФСИН РОССИИ ПО РОСТОВСКОЙ ОБЛАСТИ</v>
      </c>
      <c r="B2795" s="24" t="s">
        <v>5059</v>
      </c>
      <c r="C2795" s="25">
        <v>402466.46</v>
      </c>
      <c r="D2795" s="22" t="s">
        <v>5060</v>
      </c>
      <c r="E2795" s="22" t="s">
        <v>468</v>
      </c>
      <c r="F2795" s="23" t="str">
        <f>HYPERLINK("https://www.spark-marketing.ru/Card/Lot/73495263", "Прочая закупка товаров, работ и услуг. Оказание услуг по перевозке замороженных продуктов питания")</f>
        <v>Прочая закупка товаров, работ и услуг. Оказание услуг по перевозке замороженных продуктов питания</v>
      </c>
      <c r="G2795" s="22" t="s">
        <v>267</v>
      </c>
      <c r="H2795" s="22" t="s">
        <v>590</v>
      </c>
      <c r="I2795" s="26">
        <v>43724.434722222199</v>
      </c>
      <c r="J2795" s="23" t="str">
        <f>HYPERLINK("https://www.spark-marketing.ru/Card/Person/4850632", "Лапухин Андрей Николаевич")</f>
        <v>Лапухин Андрей Николаевич</v>
      </c>
      <c r="K2795" s="24" t="s">
        <v>5061</v>
      </c>
      <c r="L2795" s="28" t="s">
        <v>51</v>
      </c>
      <c r="M2795" s="25">
        <v>347924.67</v>
      </c>
      <c r="N2795" s="27">
        <v>0.13551884547099899</v>
      </c>
    </row>
    <row r="2796" spans="1:14" hidden="1" outlineLevel="1" x14ac:dyDescent="0.2">
      <c r="A2796" s="23" t="str">
        <f>HYPERLINK("https://www.spark-marketing.ru/Card/Person/1453248", "ФКУ БМТИВС ГУФСИН РОССИИ ПО РОСТОВСКОЙ ОБЛАСТИ")</f>
        <v>ФКУ БМТИВС ГУФСИН РОССИИ ПО РОСТОВСКОЙ ОБЛАСТИ</v>
      </c>
      <c r="B2796" s="24" t="s">
        <v>5059</v>
      </c>
      <c r="C2796" s="25">
        <v>402466.46</v>
      </c>
      <c r="D2796" s="22" t="s">
        <v>5060</v>
      </c>
      <c r="E2796" s="22" t="s">
        <v>468</v>
      </c>
      <c r="F2796" s="23" t="str">
        <f>HYPERLINK("https://www.spark-marketing.ru/Card/Lot/73495263", "Прочая закупка товаров, работ и услуг. Оказание услуг по перевозке замороженных продуктов питания")</f>
        <v>Прочая закупка товаров, работ и услуг. Оказание услуг по перевозке замороженных продуктов питания</v>
      </c>
      <c r="G2796" s="22" t="s">
        <v>267</v>
      </c>
      <c r="H2796" s="22" t="s">
        <v>590</v>
      </c>
      <c r="I2796" s="26">
        <v>43724.434722222199</v>
      </c>
      <c r="J2796" s="23" t="str">
        <f>HYPERLINK("https://www.spark-marketing.ru/Card/Person/6675591", "ООО ""ФТК ГРУПП""")</f>
        <v>ООО "ФТК ГРУПП"</v>
      </c>
      <c r="K2796" s="24" t="s">
        <v>5062</v>
      </c>
      <c r="L2796" s="28" t="s">
        <v>51</v>
      </c>
      <c r="M2796" s="25">
        <v>345000</v>
      </c>
      <c r="N2796" s="27">
        <v>0.14278571188267464</v>
      </c>
    </row>
    <row r="2797" spans="1:14" x14ac:dyDescent="0.2">
      <c r="A2797" s="23" t="str">
        <f>HYPERLINK("https://www.spark-marketing.ru/Card/Person/1009218", "ГБПОУ АО ""АРХАНГЕЛЬСКИЙ ПЕДКОЛЛЕДЖ""")</f>
        <v>ГБПОУ АО "АРХАНГЕЛЬСКИЙ ПЕДКОЛЛЕДЖ"</v>
      </c>
      <c r="B2797" s="24" t="s">
        <v>5063</v>
      </c>
      <c r="C2797" s="25">
        <v>1611026.56</v>
      </c>
      <c r="D2797" s="22" t="s">
        <v>5064</v>
      </c>
      <c r="E2797" s="22" t="s">
        <v>48</v>
      </c>
      <c r="F2797" s="23" t="str">
        <f>HYPERLINK("https://www.spark-marketing.ru/Card/Lot/73503192", "услуги по организации питания обучающихся")</f>
        <v>услуги по организации питания обучающихся</v>
      </c>
      <c r="G2797" s="22" t="s">
        <v>214</v>
      </c>
      <c r="H2797" s="22" t="s">
        <v>523</v>
      </c>
      <c r="I2797" s="26">
        <v>43724.429861111101</v>
      </c>
      <c r="J2797" s="23" t="str">
        <f>HYPERLINK("https://www.spark-marketing.ru/Card/Person/486331", "Редина Татьяна Васильевна")</f>
        <v>Редина Татьяна Васильевна</v>
      </c>
      <c r="K2797" s="24" t="s">
        <v>5065</v>
      </c>
      <c r="L2797" s="28" t="s">
        <v>51</v>
      </c>
      <c r="M2797" s="25">
        <v>1595000</v>
      </c>
      <c r="N2797" s="27">
        <v>9.9480420732480038E-3</v>
      </c>
    </row>
    <row r="2798" spans="1:14" x14ac:dyDescent="0.15">
      <c r="A2798" s="23" t="str">
        <f>HYPERLINK("https://www.spark-marketing.ru/Card/Person/4434", "ФГБУ ""НМИЦ РК"" МИНЗДРАВА РОССИИ")</f>
        <v>ФГБУ "НМИЦ РК" МИНЗДРАВА РОССИИ</v>
      </c>
      <c r="B2798" s="24" t="s">
        <v>5066</v>
      </c>
      <c r="C2798" s="25">
        <v>30937500</v>
      </c>
      <c r="D2798" s="22" t="s">
        <v>5067</v>
      </c>
      <c r="E2798" s="22" t="s">
        <v>96</v>
      </c>
      <c r="F2798" s="23" t="str">
        <f>HYPERLINK("https://www.spark-marketing.ru/Card/Lot/73507105", "Оказание услуг по организации лечебного питания пациентов ФГБУ «НМИЦ РК» Минздрава России в 2019-2020 гг.")</f>
        <v>Оказание услуг по организации лечебного питания пациентов ФГБУ «НМИЦ РК» Минздрава России в 2019-2020 гг.</v>
      </c>
      <c r="G2798" s="22" t="s">
        <v>56</v>
      </c>
      <c r="H2798" s="22" t="s">
        <v>56</v>
      </c>
      <c r="I2798" s="26">
        <v>43724.434999999998</v>
      </c>
      <c r="J2798" s="28" t="s">
        <v>51</v>
      </c>
      <c r="K2798" s="28" t="s">
        <v>51</v>
      </c>
      <c r="L2798" s="28" t="s">
        <v>51</v>
      </c>
      <c r="M2798" s="28" t="s">
        <v>51</v>
      </c>
      <c r="N2798" s="28" t="s">
        <v>51</v>
      </c>
    </row>
    <row r="2799" spans="1:14" ht="12.75" hidden="1" outlineLevel="1" x14ac:dyDescent="0.2">
      <c r="A2799" s="23" t="str">
        <f>HYPERLINK("https://www.spark-marketing.ru/Card/Person/4434", "ФГБУ ""НМИЦ РК"" МИНЗДРАВА РОССИИ")</f>
        <v>ФГБУ "НМИЦ РК" МИНЗДРАВА РОССИИ</v>
      </c>
      <c r="B2799" s="24" t="s">
        <v>5066</v>
      </c>
      <c r="C2799" s="25">
        <v>30937500</v>
      </c>
      <c r="D2799" s="22" t="s">
        <v>5067</v>
      </c>
      <c r="E2799" s="22" t="s">
        <v>96</v>
      </c>
      <c r="F2799" s="23" t="str">
        <f>HYPERLINK("https://www.spark-marketing.ru/Card/Lot/73507105", "Оказание услуг по организации лечебного питания пациентов ФГБУ «НМИЦ РК» Минздрава России в 2019-2020 гг.")</f>
        <v>Оказание услуг по организации лечебного питания пациентов ФГБУ «НМИЦ РК» Минздрава России в 2019-2020 гг.</v>
      </c>
      <c r="G2799" s="22" t="s">
        <v>56</v>
      </c>
      <c r="H2799" s="22" t="s">
        <v>56</v>
      </c>
      <c r="I2799" s="26">
        <v>43724.434999999998</v>
      </c>
      <c r="J2799" s="23" t="str">
        <f>HYPERLINK("https://www.spark-marketing.ru/Card/Person/90084", "ООО ""ВКУСНЫЙ ВЫБОР""")</f>
        <v>ООО "ВКУСНЫЙ ВЫБОР"</v>
      </c>
      <c r="K2799" s="24" t="s">
        <v>3103</v>
      </c>
      <c r="L2799" s="22" t="s">
        <v>10</v>
      </c>
      <c r="M2799" s="25">
        <v>28771875</v>
      </c>
      <c r="N2799" s="27">
        <v>7.0000000000000007E-2</v>
      </c>
    </row>
    <row r="2800" spans="1:14" hidden="1" outlineLevel="1" x14ac:dyDescent="0.2">
      <c r="A2800" s="23" t="str">
        <f>HYPERLINK("https://www.spark-marketing.ru/Card/Person/4434", "ФГБУ ""НМИЦ РК"" МИНЗДРАВА РОССИИ")</f>
        <v>ФГБУ "НМИЦ РК" МИНЗДРАВА РОССИИ</v>
      </c>
      <c r="B2800" s="24" t="s">
        <v>5066</v>
      </c>
      <c r="C2800" s="25">
        <v>30937500</v>
      </c>
      <c r="D2800" s="22" t="s">
        <v>5067</v>
      </c>
      <c r="E2800" s="22" t="s">
        <v>96</v>
      </c>
      <c r="F2800" s="23" t="str">
        <f>HYPERLINK("https://www.spark-marketing.ru/Card/Lot/73507105", "Оказание услуг по организации лечебного питания пациентов ФГБУ «НМИЦ РК» Минздрава России в 2019-2020 гг.")</f>
        <v>Оказание услуг по организации лечебного питания пациентов ФГБУ «НМИЦ РК» Минздрава России в 2019-2020 гг.</v>
      </c>
      <c r="G2800" s="22" t="s">
        <v>56</v>
      </c>
      <c r="H2800" s="22" t="s">
        <v>56</v>
      </c>
      <c r="I2800" s="26">
        <v>43724.434999999998</v>
      </c>
      <c r="J2800" s="23" t="str">
        <f>HYPERLINK("https://www.spark-marketing.ru/Card/Person/16210", "ООО ""ГК ФЬЮЖЕН МЕНЕДЖМЕНТ""")</f>
        <v>ООО "ГК ФЬЮЖЕН МЕНЕДЖМЕНТ"</v>
      </c>
      <c r="K2800" s="24" t="s">
        <v>1675</v>
      </c>
      <c r="L2800" s="28" t="s">
        <v>51</v>
      </c>
      <c r="M2800" s="25">
        <v>29700000</v>
      </c>
      <c r="N2800" s="27">
        <v>0.04</v>
      </c>
    </row>
    <row r="2801" spans="1:14" x14ac:dyDescent="0.15">
      <c r="A2801" s="23" t="str">
        <f>HYPERLINK("https://www.spark-marketing.ru/Card/Person/64621", "МБОУ СОШ № 20")</f>
        <v>МБОУ СОШ № 20</v>
      </c>
      <c r="B2801" s="24" t="s">
        <v>5068</v>
      </c>
      <c r="C2801" s="25">
        <v>5838895</v>
      </c>
      <c r="D2801" s="22" t="s">
        <v>5069</v>
      </c>
      <c r="E2801" s="22" t="s">
        <v>48</v>
      </c>
      <c r="F2801" s="23" t="str">
        <f>HYPERLINK("https://www.spark-marketing.ru/Card/Lot/73507441", "Оказание услуг по организации питания обучающихся")</f>
        <v>Оказание услуг по организации питания обучающихся</v>
      </c>
      <c r="G2801" s="22" t="s">
        <v>49</v>
      </c>
      <c r="H2801" s="22" t="s">
        <v>180</v>
      </c>
      <c r="I2801" s="26">
        <v>43724.429849537002</v>
      </c>
      <c r="J2801" s="28" t="s">
        <v>51</v>
      </c>
      <c r="K2801" s="28" t="s">
        <v>51</v>
      </c>
      <c r="L2801" s="28" t="s">
        <v>51</v>
      </c>
      <c r="M2801" s="28" t="s">
        <v>51</v>
      </c>
      <c r="N2801" s="28" t="s">
        <v>51</v>
      </c>
    </row>
    <row r="2802" spans="1:14" x14ac:dyDescent="0.15">
      <c r="A2802" s="23" t="str">
        <f>HYPERLINK("https://www.spark-marketing.ru/Card/Person/1028214", "МОУ ЛУКЕРЬИНСКАЯ НОШ")</f>
        <v>МОУ ЛУКЕРЬИНСКАЯ НОШ</v>
      </c>
      <c r="B2802" s="24" t="s">
        <v>5070</v>
      </c>
      <c r="C2802" s="25">
        <v>560650</v>
      </c>
      <c r="D2802" s="22" t="s">
        <v>5071</v>
      </c>
      <c r="E2802" s="22" t="s">
        <v>48</v>
      </c>
      <c r="F2802" s="23" t="str">
        <f>HYPERLINK("https://www.spark-marketing.ru/Card/Lot/73496414", "Оказание услуг по организации питания обучающихся")</f>
        <v>Оказание услуг по организации питания обучающихся</v>
      </c>
      <c r="G2802" s="22" t="s">
        <v>49</v>
      </c>
      <c r="H2802" s="22" t="s">
        <v>180</v>
      </c>
      <c r="I2802" s="26">
        <v>43724.429166666698</v>
      </c>
      <c r="J2802" s="28" t="s">
        <v>51</v>
      </c>
      <c r="K2802" s="28" t="s">
        <v>51</v>
      </c>
      <c r="L2802" s="28" t="s">
        <v>51</v>
      </c>
      <c r="M2802" s="28" t="s">
        <v>51</v>
      </c>
      <c r="N2802" s="28" t="s">
        <v>51</v>
      </c>
    </row>
    <row r="2803" spans="1:14" x14ac:dyDescent="0.15">
      <c r="A2803" s="23" t="str">
        <f>HYPERLINK("https://www.spark-marketing.ru/Card/Person/997269", "МОУ ЧЕРКИЗОВСКАЯ ОСНОВНАЯ ОБЩЕОБРАЗОВАТЕЛЬНАЯ ШКОЛА")</f>
        <v>МОУ ЧЕРКИЗОВСКАЯ ОСНОВНАЯ ОБЩЕОБРАЗОВАТЕЛЬНАЯ ШКОЛА</v>
      </c>
      <c r="B2803" s="24" t="s">
        <v>5072</v>
      </c>
      <c r="C2803" s="25">
        <v>2501105</v>
      </c>
      <c r="D2803" s="22" t="s">
        <v>5073</v>
      </c>
      <c r="E2803" s="22" t="s">
        <v>48</v>
      </c>
      <c r="F2803" s="23" t="str">
        <f>HYPERLINK("https://www.spark-marketing.ru/Card/Lot/73507469", "Оказание услуг по организации питания обучающихся")</f>
        <v>Оказание услуг по организации питания обучающихся</v>
      </c>
      <c r="G2803" s="22" t="s">
        <v>49</v>
      </c>
      <c r="H2803" s="22" t="s">
        <v>180</v>
      </c>
      <c r="I2803" s="26">
        <v>43724.417465277802</v>
      </c>
      <c r="J2803" s="28" t="s">
        <v>51</v>
      </c>
      <c r="K2803" s="28" t="s">
        <v>51</v>
      </c>
      <c r="L2803" s="28" t="s">
        <v>51</v>
      </c>
      <c r="M2803" s="28" t="s">
        <v>51</v>
      </c>
      <c r="N2803" s="28" t="s">
        <v>51</v>
      </c>
    </row>
    <row r="2804" spans="1:14" x14ac:dyDescent="0.15">
      <c r="A2804" s="23" t="str">
        <f>HYPERLINK("https://www.spark-marketing.ru/Card/Person/107777", "МБОУ СОШ № 11")</f>
        <v>МБОУ СОШ № 11</v>
      </c>
      <c r="B2804" s="24" t="s">
        <v>5074</v>
      </c>
      <c r="C2804" s="25">
        <v>13069796</v>
      </c>
      <c r="D2804" s="22" t="s">
        <v>5075</v>
      </c>
      <c r="E2804" s="22" t="s">
        <v>48</v>
      </c>
      <c r="F2804" s="23" t="str">
        <f>HYPERLINK("https://www.spark-marketing.ru/Card/Lot/73507434", "Оказание услуг по организации питания обучающихся")</f>
        <v>Оказание услуг по организации питания обучающихся</v>
      </c>
      <c r="G2804" s="22" t="s">
        <v>49</v>
      </c>
      <c r="H2804" s="22" t="s">
        <v>180</v>
      </c>
      <c r="I2804" s="26">
        <v>43724.423275462999</v>
      </c>
      <c r="J2804" s="28" t="s">
        <v>51</v>
      </c>
      <c r="K2804" s="28" t="s">
        <v>51</v>
      </c>
      <c r="L2804" s="28" t="s">
        <v>51</v>
      </c>
      <c r="M2804" s="28" t="s">
        <v>51</v>
      </c>
      <c r="N2804" s="28" t="s">
        <v>51</v>
      </c>
    </row>
    <row r="2805" spans="1:14" x14ac:dyDescent="0.15">
      <c r="A2805" s="23" t="str">
        <f>HYPERLINK("https://www.spark-marketing.ru/Card/Person/64336", "МБОУ СОШ № 29")</f>
        <v>МБОУ СОШ № 29</v>
      </c>
      <c r="B2805" s="24" t="s">
        <v>5076</v>
      </c>
      <c r="C2805" s="25">
        <v>5003545</v>
      </c>
      <c r="D2805" s="22" t="s">
        <v>5077</v>
      </c>
      <c r="E2805" s="22" t="s">
        <v>48</v>
      </c>
      <c r="F2805" s="23" t="str">
        <f>HYPERLINK("https://www.spark-marketing.ru/Card/Lot/73507440", "Оказание услуг по организации питания обучающихся")</f>
        <v>Оказание услуг по организации питания обучающихся</v>
      </c>
      <c r="G2805" s="22" t="s">
        <v>49</v>
      </c>
      <c r="H2805" s="22" t="s">
        <v>180</v>
      </c>
      <c r="I2805" s="26">
        <v>43724.429652777799</v>
      </c>
      <c r="J2805" s="28" t="s">
        <v>51</v>
      </c>
      <c r="K2805" s="28" t="s">
        <v>51</v>
      </c>
      <c r="L2805" s="28" t="s">
        <v>51</v>
      </c>
      <c r="M2805" s="28" t="s">
        <v>51</v>
      </c>
      <c r="N2805" s="28" t="s">
        <v>51</v>
      </c>
    </row>
    <row r="2806" spans="1:14" x14ac:dyDescent="0.15">
      <c r="A2806" s="23" t="str">
        <f>HYPERLINK("https://www.spark-marketing.ru/Card/Person/144961", "МОУ КОЛОМЕНСКАЯ СОШ")</f>
        <v>МОУ КОЛОМЕНСКАЯ СОШ</v>
      </c>
      <c r="B2806" s="24" t="s">
        <v>5078</v>
      </c>
      <c r="C2806" s="25">
        <v>3769829</v>
      </c>
      <c r="D2806" s="22" t="s">
        <v>5079</v>
      </c>
      <c r="E2806" s="22" t="s">
        <v>48</v>
      </c>
      <c r="F2806" s="23" t="str">
        <f>HYPERLINK("https://www.spark-marketing.ru/Card/Lot/73507258", "Оказание услуг по организации питания обучающихся")</f>
        <v>Оказание услуг по организации питания обучающихся</v>
      </c>
      <c r="G2806" s="22" t="s">
        <v>49</v>
      </c>
      <c r="H2806" s="22" t="s">
        <v>180</v>
      </c>
      <c r="I2806" s="26">
        <v>43724.386400463001</v>
      </c>
      <c r="J2806" s="28" t="s">
        <v>51</v>
      </c>
      <c r="K2806" s="28" t="s">
        <v>51</v>
      </c>
      <c r="L2806" s="28" t="s">
        <v>51</v>
      </c>
      <c r="M2806" s="28" t="s">
        <v>51</v>
      </c>
      <c r="N2806" s="28" t="s">
        <v>51</v>
      </c>
    </row>
    <row r="2807" spans="1:14" x14ac:dyDescent="0.15">
      <c r="A2807" s="23" t="str">
        <f>HYPERLINK("https://www.spark-marketing.ru/Card/Person/258978", "ГБУСО ""ЗАКАМЕНСКИЙ СРЦН""")</f>
        <v>ГБУСО "ЗАКАМЕНСКИЙ СРЦН"</v>
      </c>
      <c r="B2807" s="24" t="s">
        <v>5080</v>
      </c>
      <c r="C2807" s="25">
        <v>1208975</v>
      </c>
      <c r="D2807" s="22" t="s">
        <v>5081</v>
      </c>
      <c r="E2807" s="22" t="s">
        <v>48</v>
      </c>
      <c r="F2807" s="23" t="str">
        <f>HYPERLINK("https://www.spark-marketing.ru/Card/Lot/73452628", "Оказание услуг по организации горячего питания")</f>
        <v>Оказание услуг по организации горячего питания</v>
      </c>
      <c r="G2807" s="22" t="s">
        <v>433</v>
      </c>
      <c r="H2807" s="22" t="s">
        <v>5082</v>
      </c>
      <c r="I2807" s="26">
        <v>43724.391666666699</v>
      </c>
      <c r="J2807" s="23" t="str">
        <f>HYPERLINK("https://www.spark-marketing.ru/Card/Person/5767388", "ООО ""ГОРНЫЙ ВОЗДУХ""")</f>
        <v>ООО "ГОРНЫЙ ВОЗДУХ"</v>
      </c>
      <c r="K2807" s="24" t="s">
        <v>5083</v>
      </c>
      <c r="L2807" s="22" t="s">
        <v>10</v>
      </c>
      <c r="M2807" s="28" t="s">
        <v>51</v>
      </c>
      <c r="N2807" s="28" t="s">
        <v>51</v>
      </c>
    </row>
    <row r="2808" spans="1:14" x14ac:dyDescent="0.15">
      <c r="A2808" s="23" t="str">
        <f>HYPERLINK("https://www.spark-marketing.ru/Card/Person/4347342", "ГБУЗРК ""КРКПБ № 1 ИМ. Н.И. БАЛАБАНА""")</f>
        <v>ГБУЗРК "КРКПБ № 1 ИМ. Н.И. БАЛАБАНА"</v>
      </c>
      <c r="B2808" s="24" t="s">
        <v>1353</v>
      </c>
      <c r="C2808" s="25">
        <v>4987500</v>
      </c>
      <c r="D2808" s="22" t="s">
        <v>5084</v>
      </c>
      <c r="E2808" s="22" t="s">
        <v>48</v>
      </c>
      <c r="F2808" s="23" t="str">
        <f>HYPERLINK("https://www.spark-marketing.ru/Card/Lot/73507395", "Услуги по обеспечению питанием больных")</f>
        <v>Услуги по обеспечению питанием больных</v>
      </c>
      <c r="G2808" s="22" t="s">
        <v>108</v>
      </c>
      <c r="H2808" s="22" t="s">
        <v>1355</v>
      </c>
      <c r="I2808" s="26">
        <v>43724.407627314802</v>
      </c>
      <c r="J2808" s="23" t="str">
        <f>HYPERLINK("https://www.spark-marketing.ru/Card/Person/6074992", "ООО ""ОПДП""")</f>
        <v>ООО "ОПДП"</v>
      </c>
      <c r="K2808" s="24" t="s">
        <v>1356</v>
      </c>
      <c r="L2808" s="22" t="s">
        <v>10</v>
      </c>
      <c r="M2808" s="28" t="s">
        <v>51</v>
      </c>
      <c r="N2808" s="28" t="s">
        <v>51</v>
      </c>
    </row>
    <row r="2809" spans="1:14" x14ac:dyDescent="0.15">
      <c r="A2809" s="23" t="str">
        <f>HYPERLINK("https://www.spark-marketing.ru/Card/Person/64545", "МБОУ СОШ № 16")</f>
        <v>МБОУ СОШ № 16</v>
      </c>
      <c r="B2809" s="24" t="s">
        <v>5085</v>
      </c>
      <c r="C2809" s="25">
        <v>14063108</v>
      </c>
      <c r="D2809" s="22" t="s">
        <v>5086</v>
      </c>
      <c r="E2809" s="22" t="s">
        <v>48</v>
      </c>
      <c r="F2809" s="23" t="str">
        <f>HYPERLINK("https://www.spark-marketing.ru/Card/Lot/73507287", "Оказание услуг по организации питания обучающихся")</f>
        <v>Оказание услуг по организации питания обучающихся</v>
      </c>
      <c r="G2809" s="22" t="s">
        <v>49</v>
      </c>
      <c r="H2809" s="22" t="s">
        <v>180</v>
      </c>
      <c r="I2809" s="26">
        <v>43724.375150462998</v>
      </c>
      <c r="J2809" s="28" t="s">
        <v>51</v>
      </c>
      <c r="K2809" s="28" t="s">
        <v>51</v>
      </c>
      <c r="L2809" s="28" t="s">
        <v>51</v>
      </c>
      <c r="M2809" s="28" t="s">
        <v>51</v>
      </c>
      <c r="N2809" s="28" t="s">
        <v>51</v>
      </c>
    </row>
    <row r="2810" spans="1:14" x14ac:dyDescent="0.15">
      <c r="A2810" s="23" t="str">
        <f>HYPERLINK("https://www.spark-marketing.ru/Card/Person/64189", "МБОУ ""ЛИЦЕЙ №4""")</f>
        <v>МБОУ "ЛИЦЕЙ №4"</v>
      </c>
      <c r="B2810" s="24" t="s">
        <v>5087</v>
      </c>
      <c r="C2810" s="25">
        <v>8781402</v>
      </c>
      <c r="D2810" s="22" t="s">
        <v>5088</v>
      </c>
      <c r="E2810" s="22" t="s">
        <v>48</v>
      </c>
      <c r="F2810" s="23" t="str">
        <f>HYPERLINK("https://www.spark-marketing.ru/Card/Lot/73507457", "Оказание услуг по организации питания обучающихся")</f>
        <v>Оказание услуг по организации питания обучающихся</v>
      </c>
      <c r="G2810" s="22" t="s">
        <v>49</v>
      </c>
      <c r="H2810" s="22" t="s">
        <v>180</v>
      </c>
      <c r="I2810" s="26">
        <v>43724.410810185203</v>
      </c>
      <c r="J2810" s="28" t="s">
        <v>51</v>
      </c>
      <c r="K2810" s="28" t="s">
        <v>51</v>
      </c>
      <c r="L2810" s="28" t="s">
        <v>51</v>
      </c>
      <c r="M2810" s="28" t="s">
        <v>51</v>
      </c>
      <c r="N2810" s="28" t="s">
        <v>51</v>
      </c>
    </row>
    <row r="2811" spans="1:14" x14ac:dyDescent="0.15">
      <c r="A2811" s="23" t="str">
        <f>HYPERLINK("https://www.spark-marketing.ru/Card/Person/151039", "МКОУ ""КОРОБЧЕЕВСКАЯ ШКОЛА-ИНТЕРНАТ""")</f>
        <v>МКОУ "КОРОБЧЕЕВСКАЯ ШКОЛА-ИНТЕРНАТ"</v>
      </c>
      <c r="B2811" s="24" t="s">
        <v>5089</v>
      </c>
      <c r="C2811" s="25">
        <v>11700640</v>
      </c>
      <c r="D2811" s="22" t="s">
        <v>5090</v>
      </c>
      <c r="E2811" s="22" t="s">
        <v>48</v>
      </c>
      <c r="F2811" s="23" t="str">
        <f>HYPERLINK("https://www.spark-marketing.ru/Card/Lot/73507466", "Оказание услуг по организации питания обучающихся")</f>
        <v>Оказание услуг по организации питания обучающихся</v>
      </c>
      <c r="G2811" s="22" t="s">
        <v>49</v>
      </c>
      <c r="H2811" s="22" t="s">
        <v>180</v>
      </c>
      <c r="I2811" s="26">
        <v>43724.4135185185</v>
      </c>
      <c r="J2811" s="28" t="s">
        <v>51</v>
      </c>
      <c r="K2811" s="28" t="s">
        <v>51</v>
      </c>
      <c r="L2811" s="28" t="s">
        <v>51</v>
      </c>
      <c r="M2811" s="28" t="s">
        <v>51</v>
      </c>
      <c r="N2811" s="28" t="s">
        <v>51</v>
      </c>
    </row>
    <row r="2812" spans="1:14" x14ac:dyDescent="0.15">
      <c r="A2812" s="23" t="str">
        <f>HYPERLINK("https://www.spark-marketing.ru/Card/Person/142452", "ОМВД РОССИИ ПО Г. НЯГАНИ")</f>
        <v>ОМВД РОССИИ ПО Г. НЯГАНИ</v>
      </c>
      <c r="B2812" s="24" t="s">
        <v>5091</v>
      </c>
      <c r="C2812" s="25">
        <v>2994520</v>
      </c>
      <c r="D2812" s="22" t="s">
        <v>5092</v>
      </c>
      <c r="E2812" s="22" t="s">
        <v>48</v>
      </c>
      <c r="F2812" s="23" t="str">
        <f>HYPERLINK("https://www.spark-marketing.ru/Card/Lot/73456172", "Оказание услуг по организации ежедневного трехразового питания лиц содержащихся в ИВС и административно задержанных ОМВД России по г. Нягани")</f>
        <v>Оказание услуг по организации ежедневного трехразового питания лиц содержащихся в ИВС и административно задержанных ОМВД России по г. Нягани</v>
      </c>
      <c r="G2812" s="22" t="s">
        <v>97</v>
      </c>
      <c r="H2812" s="22" t="s">
        <v>5093</v>
      </c>
      <c r="I2812" s="26">
        <v>43724.376388888901</v>
      </c>
      <c r="J2812" s="28" t="s">
        <v>51</v>
      </c>
      <c r="K2812" s="28" t="s">
        <v>51</v>
      </c>
      <c r="L2812" s="28" t="s">
        <v>51</v>
      </c>
      <c r="M2812" s="28" t="s">
        <v>51</v>
      </c>
      <c r="N2812" s="28" t="s">
        <v>51</v>
      </c>
    </row>
    <row r="2813" spans="1:14" hidden="1" outlineLevel="1" x14ac:dyDescent="0.2">
      <c r="A2813" s="23" t="str">
        <f>HYPERLINK("https://www.spark-marketing.ru/Card/Person/142452", "ОМВД РОССИИ ПО Г. НЯГАНИ")</f>
        <v>ОМВД РОССИИ ПО Г. НЯГАНИ</v>
      </c>
      <c r="B2813" s="24" t="s">
        <v>5091</v>
      </c>
      <c r="C2813" s="25">
        <v>2994520</v>
      </c>
      <c r="D2813" s="22" t="s">
        <v>5092</v>
      </c>
      <c r="E2813" s="22" t="s">
        <v>48</v>
      </c>
      <c r="F2813" s="23" t="str">
        <f>HYPERLINK("https://www.spark-marketing.ru/Card/Lot/73456172", "Оказание услуг по организации ежедневного трехразового питания лиц содержащихся в ИВС и административно задержанных ОМВД России по г. Нягани")</f>
        <v>Оказание услуг по организации ежедневного трехразового питания лиц содержащихся в ИВС и административно задержанных ОМВД России по г. Нягани</v>
      </c>
      <c r="G2813" s="22" t="s">
        <v>97</v>
      </c>
      <c r="H2813" s="22" t="s">
        <v>5093</v>
      </c>
      <c r="I2813" s="26">
        <v>43724.376388888901</v>
      </c>
      <c r="J2813" s="23" t="str">
        <f>HYPERLINK("https://www.spark-marketing.ru/Card/Person/4769975", "Бурков Юрий Витальевич")</f>
        <v>Бурков Юрий Витальевич</v>
      </c>
      <c r="K2813" s="24" t="s">
        <v>5094</v>
      </c>
      <c r="L2813" s="28" t="s">
        <v>51</v>
      </c>
      <c r="M2813" s="25">
        <v>2979547.4</v>
      </c>
      <c r="N2813" s="27">
        <v>5.0000000000000001E-3</v>
      </c>
    </row>
    <row r="2814" spans="1:14" ht="12.75" hidden="1" outlineLevel="1" x14ac:dyDescent="0.2">
      <c r="A2814" s="23" t="str">
        <f>HYPERLINK("https://www.spark-marketing.ru/Card/Person/142452", "ОМВД РОССИИ ПО Г. НЯГАНИ")</f>
        <v>ОМВД РОССИИ ПО Г. НЯГАНИ</v>
      </c>
      <c r="B2814" s="24" t="s">
        <v>5091</v>
      </c>
      <c r="C2814" s="25">
        <v>2994520</v>
      </c>
      <c r="D2814" s="22" t="s">
        <v>5092</v>
      </c>
      <c r="E2814" s="22" t="s">
        <v>48</v>
      </c>
      <c r="F2814" s="23" t="str">
        <f>HYPERLINK("https://www.spark-marketing.ru/Card/Lot/73456172", "Оказание услуг по организации ежедневного трехразового питания лиц содержащихся в ИВС и административно задержанных ОМВД России по г. Нягани")</f>
        <v>Оказание услуг по организации ежедневного трехразового питания лиц содержащихся в ИВС и административно задержанных ОМВД России по г. Нягани</v>
      </c>
      <c r="G2814" s="22" t="s">
        <v>97</v>
      </c>
      <c r="H2814" s="22" t="s">
        <v>5093</v>
      </c>
      <c r="I2814" s="26">
        <v>43724.376388888901</v>
      </c>
      <c r="J2814" s="23" t="str">
        <f>HYPERLINK("https://www.spark-marketing.ru/Card/Person/88392", "ООО ""СЕВЕРНОЕ СИЯНИЕ""")</f>
        <v>ООО "СЕВЕРНОЕ СИЯНИЕ"</v>
      </c>
      <c r="K2814" s="24" t="s">
        <v>5095</v>
      </c>
      <c r="L2814" s="22" t="s">
        <v>10</v>
      </c>
      <c r="M2814" s="25">
        <v>2979547.4</v>
      </c>
      <c r="N2814" s="27">
        <v>5.0000000000000001E-3</v>
      </c>
    </row>
    <row r="2815" spans="1:14" x14ac:dyDescent="0.15">
      <c r="A2815" s="23" t="str">
        <f>HYPERLINK("https://www.spark-marketing.ru/Card/Person/245748", "МО МВД РОССИИ ""КРАСНОЗЕРСКИЙ""")</f>
        <v>МО МВД РОССИИ "КРАСНОЗЕРСКИЙ"</v>
      </c>
      <c r="B2815" s="24" t="s">
        <v>5096</v>
      </c>
      <c r="C2815" s="25">
        <v>400000</v>
      </c>
      <c r="D2815" s="22" t="s">
        <v>5097</v>
      </c>
      <c r="E2815" s="22" t="s">
        <v>48</v>
      </c>
      <c r="F2815" s="23" t="str">
        <f>HYPERLINK("https://www.spark-marketing.ru/Card/Lot/73456237", "оказание услуг по приготовлении горячего питания для подозреваемых и обвиняемых содержащихся в изоляторе временного содержания, в том числе лиц арестованных, задержанных  в административном порядке и помещенных в МО МВД России ""Краснозерский""")</f>
        <v>оказание услуг по приготовлении горячего питания для подозреваемых и обвиняемых содержащихся в изоляторе временного содержания, в том числе лиц арестованных, задержанных  в административном порядке и помещенных в МО МВД России "Краснозерский"</v>
      </c>
      <c r="G2815" s="22" t="s">
        <v>195</v>
      </c>
      <c r="H2815" s="22" t="s">
        <v>5098</v>
      </c>
      <c r="I2815" s="26">
        <v>43724.406944444403</v>
      </c>
      <c r="J2815" s="23" t="str">
        <f>HYPERLINK("https://www.spark-marketing.ru/Card/Person/406306", "ПО ""ОБЩЕПИТ КРАСНОЗЕРСКОГО РАЙПО""")</f>
        <v>ПО "ОБЩЕПИТ КРАСНОЗЕРСКОГО РАЙПО"</v>
      </c>
      <c r="K2815" s="24" t="s">
        <v>5099</v>
      </c>
      <c r="L2815" s="22" t="s">
        <v>10</v>
      </c>
      <c r="M2815" s="28" t="s">
        <v>51</v>
      </c>
      <c r="N2815" s="28" t="s">
        <v>51</v>
      </c>
    </row>
    <row r="2816" spans="1:14" x14ac:dyDescent="0.15">
      <c r="A2816" s="23" t="str">
        <f>HYPERLINK("https://www.spark-marketing.ru/Card/Person/119319", "ОМВД РОССИИ ПО ИЛЕКСКОМУ РАЙОНУ")</f>
        <v>ОМВД РОССИИ ПО ИЛЕКСКОМУ РАЙОНУ</v>
      </c>
      <c r="B2816" s="24" t="s">
        <v>5100</v>
      </c>
      <c r="C2816" s="25">
        <v>99000</v>
      </c>
      <c r="D2816" s="22" t="s">
        <v>5101</v>
      </c>
      <c r="E2816" s="22" t="s">
        <v>48</v>
      </c>
      <c r="F2816" s="23" t="str">
        <f>HYPERLINK("https://www.spark-marketing.ru/Card/Lot/73460716", "Оказание услуг по обеспечению 3-х разовым ежедневным горячим питанием лиц, содержащихся в ИВС, 1 усл. ед")</f>
        <v>Оказание услуг по обеспечению 3-х разовым ежедневным горячим питанием лиц, содержащихся в ИВС, 1 усл. ед</v>
      </c>
      <c r="G2816" s="22" t="s">
        <v>132</v>
      </c>
      <c r="H2816" s="22" t="s">
        <v>5102</v>
      </c>
      <c r="I2816" s="26">
        <v>43724.403993055603</v>
      </c>
      <c r="J2816" s="28" t="s">
        <v>51</v>
      </c>
      <c r="K2816" s="28" t="s">
        <v>51</v>
      </c>
      <c r="L2816" s="28" t="s">
        <v>51</v>
      </c>
      <c r="M2816" s="28" t="s">
        <v>51</v>
      </c>
      <c r="N2816" s="28" t="s">
        <v>51</v>
      </c>
    </row>
    <row r="2817" spans="1:14" x14ac:dyDescent="0.15">
      <c r="A2817" s="23" t="str">
        <f>HYPERLINK("https://www.spark-marketing.ru/Card/Person/1083812", "МОУ ПАНОВСКАЯ СОШ")</f>
        <v>МОУ ПАНОВСКАЯ СОШ</v>
      </c>
      <c r="B2817" s="24" t="s">
        <v>5103</v>
      </c>
      <c r="C2817" s="25">
        <v>7224012</v>
      </c>
      <c r="D2817" s="22" t="s">
        <v>5104</v>
      </c>
      <c r="E2817" s="22" t="s">
        <v>48</v>
      </c>
      <c r="F2817" s="23" t="str">
        <f>HYPERLINK("https://www.spark-marketing.ru/Card/Lot/73507289", "Оказание услуг по организации питания обучающихся")</f>
        <v>Оказание услуг по организации питания обучающихся</v>
      </c>
      <c r="G2817" s="22" t="s">
        <v>49</v>
      </c>
      <c r="H2817" s="22" t="s">
        <v>180</v>
      </c>
      <c r="I2817" s="26">
        <v>43724.3758564815</v>
      </c>
      <c r="J2817" s="28" t="s">
        <v>51</v>
      </c>
      <c r="K2817" s="28" t="s">
        <v>51</v>
      </c>
      <c r="L2817" s="28" t="s">
        <v>51</v>
      </c>
      <c r="M2817" s="28" t="s">
        <v>51</v>
      </c>
      <c r="N2817" s="28" t="s">
        <v>51</v>
      </c>
    </row>
    <row r="2818" spans="1:14" x14ac:dyDescent="0.15">
      <c r="A2818" s="23" t="str">
        <f>HYPERLINK("https://www.spark-marketing.ru/Card/Person/1084703", "МОУ АКАТЬЕВСКАЯ ООШ")</f>
        <v>МОУ АКАТЬЕВСКАЯ ООШ</v>
      </c>
      <c r="B2818" s="24" t="s">
        <v>5105</v>
      </c>
      <c r="C2818" s="25">
        <v>3512009</v>
      </c>
      <c r="D2818" s="22" t="s">
        <v>5106</v>
      </c>
      <c r="E2818" s="22" t="s">
        <v>48</v>
      </c>
      <c r="F2818" s="23" t="str">
        <f>HYPERLINK("https://www.spark-marketing.ru/Card/Lot/73507288", "Оказание услуг по организации питания обучающихся")</f>
        <v>Оказание услуг по организации питания обучающихся</v>
      </c>
      <c r="G2818" s="22" t="s">
        <v>49</v>
      </c>
      <c r="H2818" s="22" t="s">
        <v>180</v>
      </c>
      <c r="I2818" s="26">
        <v>43724.375520833302</v>
      </c>
      <c r="J2818" s="28" t="s">
        <v>51</v>
      </c>
      <c r="K2818" s="28" t="s">
        <v>51</v>
      </c>
      <c r="L2818" s="28" t="s">
        <v>51</v>
      </c>
      <c r="M2818" s="28" t="s">
        <v>51</v>
      </c>
      <c r="N2818" s="28" t="s">
        <v>51</v>
      </c>
    </row>
    <row r="2819" spans="1:14" x14ac:dyDescent="0.15">
      <c r="A2819" s="23" t="str">
        <f>HYPERLINK("https://www.spark-marketing.ru/Card/Person/245748", "МО МВД РОССИИ ""КРАСНОЗЕРСКИЙ""")</f>
        <v>МО МВД РОССИИ "КРАСНОЗЕРСКИЙ"</v>
      </c>
      <c r="B2819" s="24" t="s">
        <v>5096</v>
      </c>
      <c r="C2819" s="25">
        <v>400000</v>
      </c>
      <c r="D2819" s="22" t="s">
        <v>5107</v>
      </c>
      <c r="E2819" s="22" t="s">
        <v>48</v>
      </c>
      <c r="F2819" s="23" t="str">
        <f>HYPERLINK("https://www.spark-marketing.ru/Card/Lot/73456238", "оказание услуг по приготовлении горячего питания для подозреваемых и обвиняемых содержащихся в изоляторе временного содержания, в том числе лиц арестованных, задержанных  в административном порядке и помещенных в МО МВД России ""Краснозерский""")</f>
        <v>оказание услуг по приготовлении горячего питания для подозреваемых и обвиняемых содержащихся в изоляторе временного содержания, в том числе лиц арестованных, задержанных  в административном порядке и помещенных в МО МВД России "Краснозерский"</v>
      </c>
      <c r="G2819" s="22" t="s">
        <v>195</v>
      </c>
      <c r="H2819" s="22" t="s">
        <v>5098</v>
      </c>
      <c r="I2819" s="26">
        <v>43724.40625</v>
      </c>
      <c r="J2819" s="23" t="str">
        <f>HYPERLINK("https://www.spark-marketing.ru/Card/Person/406306", "ПО ""ОБЩЕПИТ КРАСНОЗЕРСКОГО РАЙПО""")</f>
        <v>ПО "ОБЩЕПИТ КРАСНОЗЕРСКОГО РАЙПО"</v>
      </c>
      <c r="K2819" s="24" t="s">
        <v>5099</v>
      </c>
      <c r="L2819" s="22" t="s">
        <v>10</v>
      </c>
      <c r="M2819" s="28" t="s">
        <v>51</v>
      </c>
      <c r="N2819" s="28" t="s">
        <v>51</v>
      </c>
    </row>
    <row r="2820" spans="1:14" x14ac:dyDescent="0.15">
      <c r="A2820" s="23" t="str">
        <f>HYPERLINK("https://www.spark-marketing.ru/Card/Person/64339", "МБОУ СОШ № 30")</f>
        <v>МБОУ СОШ № 30</v>
      </c>
      <c r="B2820" s="24" t="s">
        <v>5108</v>
      </c>
      <c r="C2820" s="25">
        <v>11611257</v>
      </c>
      <c r="D2820" s="22" t="s">
        <v>5109</v>
      </c>
      <c r="E2820" s="22" t="s">
        <v>48</v>
      </c>
      <c r="F2820" s="23" t="str">
        <f>HYPERLINK("https://www.spark-marketing.ru/Card/Lot/73507273", "Оказание услуг по организации питания обучающихся")</f>
        <v>Оказание услуг по организации питания обучающихся</v>
      </c>
      <c r="G2820" s="22" t="s">
        <v>49</v>
      </c>
      <c r="H2820" s="22" t="s">
        <v>180</v>
      </c>
      <c r="I2820" s="26">
        <v>43724.393425925897</v>
      </c>
      <c r="J2820" s="28" t="s">
        <v>51</v>
      </c>
      <c r="K2820" s="28" t="s">
        <v>51</v>
      </c>
      <c r="L2820" s="28" t="s">
        <v>51</v>
      </c>
      <c r="M2820" s="28" t="s">
        <v>51</v>
      </c>
      <c r="N2820" s="28" t="s">
        <v>51</v>
      </c>
    </row>
    <row r="2821" spans="1:14" x14ac:dyDescent="0.15">
      <c r="A2821" s="23" t="str">
        <f>HYPERLINK("https://www.spark-marketing.ru/Card/Person/102694", "МУ МВД РОССИИ ""ИРКУТСКОЕ""")</f>
        <v>МУ МВД РОССИИ "ИРКУТСКОЕ"</v>
      </c>
      <c r="B2821" s="24" t="s">
        <v>2766</v>
      </c>
      <c r="C2821" s="25">
        <v>1330052</v>
      </c>
      <c r="D2821" s="22" t="s">
        <v>5110</v>
      </c>
      <c r="E2821" s="22" t="s">
        <v>48</v>
      </c>
      <c r="F2821" s="23" t="str">
        <f>HYPERLINK("https://www.spark-marketing.ru/Card/Lot/73452614", "Прочая закупка товаров, работ и услуг (оказание услуг по организации комплексного питания для лиц, содержащихся в специальном приемнике для содержания лиц, подвергнутых административному аресту МУ МВД России «Иркутское»)")</f>
        <v>Прочая закупка товаров, работ и услуг (оказание услуг по организации комплексного питания для лиц, содержащихся в специальном приемнике для содержания лиц, подвергнутых административному аресту МУ МВД России «Иркутское»)</v>
      </c>
      <c r="G2821" s="22" t="s">
        <v>263</v>
      </c>
      <c r="H2821" s="22" t="s">
        <v>2768</v>
      </c>
      <c r="I2821" s="26">
        <v>43724.373611111099</v>
      </c>
      <c r="J2821" s="28" t="s">
        <v>51</v>
      </c>
      <c r="K2821" s="28" t="s">
        <v>51</v>
      </c>
      <c r="L2821" s="28" t="s">
        <v>51</v>
      </c>
      <c r="M2821" s="28" t="s">
        <v>51</v>
      </c>
      <c r="N2821" s="28" t="s">
        <v>51</v>
      </c>
    </row>
    <row r="2822" spans="1:14" x14ac:dyDescent="0.15">
      <c r="A2822" s="23" t="str">
        <f>HYPERLINK("https://www.spark-marketing.ru/Card/Person/142452", "ОМВД РОССИИ ПО Г. НЯГАНИ")</f>
        <v>ОМВД РОССИИ ПО Г. НЯГАНИ</v>
      </c>
      <c r="B2822" s="24" t="s">
        <v>5091</v>
      </c>
      <c r="C2822" s="25">
        <v>2994520</v>
      </c>
      <c r="D2822" s="22" t="s">
        <v>5111</v>
      </c>
      <c r="E2822" s="22" t="s">
        <v>48</v>
      </c>
      <c r="F2822" s="23" t="str">
        <f>HYPERLINK("https://www.spark-marketing.ru/Card/Lot/73456171", "Оказание услуг по организации ежедневного трехразового питания лиц, содержащихся в ИВС и административно задержанных ОМВД России по г. Нягани")</f>
        <v>Оказание услуг по организации ежедневного трехразового питания лиц, содержащихся в ИВС и административно задержанных ОМВД России по г. Нягани</v>
      </c>
      <c r="G2822" s="22" t="s">
        <v>97</v>
      </c>
      <c r="H2822" s="22" t="s">
        <v>5093</v>
      </c>
      <c r="I2822" s="26">
        <v>43724.370833333298</v>
      </c>
      <c r="J2822" s="28" t="s">
        <v>51</v>
      </c>
      <c r="K2822" s="28" t="s">
        <v>51</v>
      </c>
      <c r="L2822" s="28" t="s">
        <v>51</v>
      </c>
      <c r="M2822" s="28" t="s">
        <v>51</v>
      </c>
      <c r="N2822" s="28" t="s">
        <v>51</v>
      </c>
    </row>
    <row r="2823" spans="1:14" ht="12.75" hidden="1" outlineLevel="1" x14ac:dyDescent="0.2">
      <c r="A2823" s="23" t="str">
        <f>HYPERLINK("https://www.spark-marketing.ru/Card/Person/142452", "ОМВД РОССИИ ПО Г. НЯГАНИ")</f>
        <v>ОМВД РОССИИ ПО Г. НЯГАНИ</v>
      </c>
      <c r="B2823" s="24" t="s">
        <v>5091</v>
      </c>
      <c r="C2823" s="25">
        <v>2994520</v>
      </c>
      <c r="D2823" s="22" t="s">
        <v>5111</v>
      </c>
      <c r="E2823" s="22" t="s">
        <v>48</v>
      </c>
      <c r="F2823" s="23" t="str">
        <f>HYPERLINK("https://www.spark-marketing.ru/Card/Lot/73456171", "Оказание услуг по организации ежедневного трехразового питания лиц, содержащихся в ИВС и административно задержанных ОМВД России по г. Нягани")</f>
        <v>Оказание услуг по организации ежедневного трехразового питания лиц, содержащихся в ИВС и административно задержанных ОМВД России по г. Нягани</v>
      </c>
      <c r="G2823" s="22" t="s">
        <v>97</v>
      </c>
      <c r="H2823" s="22" t="s">
        <v>5093</v>
      </c>
      <c r="I2823" s="26">
        <v>43724.370833333298</v>
      </c>
      <c r="J2823" s="23" t="str">
        <f>HYPERLINK("https://www.spark-marketing.ru/Card/Person/88392", "ООО ""СЕВЕРНОЕ СИЯНИЕ""")</f>
        <v>ООО "СЕВЕРНОЕ СИЯНИЕ"</v>
      </c>
      <c r="K2823" s="24" t="s">
        <v>5095</v>
      </c>
      <c r="L2823" s="22" t="s">
        <v>10</v>
      </c>
      <c r="M2823" s="25">
        <v>2979547.4</v>
      </c>
      <c r="N2823" s="27">
        <v>5.0000000000000001E-3</v>
      </c>
    </row>
    <row r="2824" spans="1:14" hidden="1" outlineLevel="1" x14ac:dyDescent="0.2">
      <c r="A2824" s="23" t="str">
        <f>HYPERLINK("https://www.spark-marketing.ru/Card/Person/142452", "ОМВД РОССИИ ПО Г. НЯГАНИ")</f>
        <v>ОМВД РОССИИ ПО Г. НЯГАНИ</v>
      </c>
      <c r="B2824" s="24" t="s">
        <v>5091</v>
      </c>
      <c r="C2824" s="25">
        <v>2994520</v>
      </c>
      <c r="D2824" s="22" t="s">
        <v>5111</v>
      </c>
      <c r="E2824" s="22" t="s">
        <v>48</v>
      </c>
      <c r="F2824" s="23" t="str">
        <f>HYPERLINK("https://www.spark-marketing.ru/Card/Lot/73456171", "Оказание услуг по организации ежедневного трехразового питания лиц, содержащихся в ИВС и административно задержанных ОМВД России по г. Нягани")</f>
        <v>Оказание услуг по организации ежедневного трехразового питания лиц, содержащихся в ИВС и административно задержанных ОМВД России по г. Нягани</v>
      </c>
      <c r="G2824" s="22" t="s">
        <v>97</v>
      </c>
      <c r="H2824" s="22" t="s">
        <v>5093</v>
      </c>
      <c r="I2824" s="26">
        <v>43724.370833333298</v>
      </c>
      <c r="J2824" s="23" t="str">
        <f>HYPERLINK("https://www.spark-marketing.ru/Card/Person/4769975", "Бурков Юрий Витальевич")</f>
        <v>Бурков Юрий Витальевич</v>
      </c>
      <c r="K2824" s="24" t="s">
        <v>5094</v>
      </c>
      <c r="L2824" s="28" t="s">
        <v>51</v>
      </c>
      <c r="M2824" s="25">
        <v>2979547.4</v>
      </c>
      <c r="N2824" s="27">
        <v>5.0000000000000001E-3</v>
      </c>
    </row>
    <row r="2825" spans="1:14" x14ac:dyDescent="0.15">
      <c r="A2825" s="23" t="str">
        <f>HYPERLINK("https://www.spark-marketing.ru/Card/Person/1058514", "ХОРОШОВСКАЯ СРЕДНЯЯ ОБЩЕОБРАЗОВАТЕЛЬНАЯ ШКОЛА")</f>
        <v>ХОРОШОВСКАЯ СРЕДНЯЯ ОБЩЕОБРАЗОВАТЕЛЬНАЯ ШКОЛА</v>
      </c>
      <c r="B2825" s="24" t="s">
        <v>5112</v>
      </c>
      <c r="C2825" s="25">
        <v>5367978</v>
      </c>
      <c r="D2825" s="22" t="s">
        <v>5113</v>
      </c>
      <c r="E2825" s="22" t="s">
        <v>48</v>
      </c>
      <c r="F2825" s="23" t="str">
        <f>HYPERLINK("https://www.spark-marketing.ru/Card/Lot/73507286", "Оказание услуг по организации питания обучающихся")</f>
        <v>Оказание услуг по организации питания обучающихся</v>
      </c>
      <c r="G2825" s="22" t="s">
        <v>49</v>
      </c>
      <c r="H2825" s="22" t="s">
        <v>180</v>
      </c>
      <c r="I2825" s="26">
        <v>43724.374791666698</v>
      </c>
      <c r="J2825" s="28" t="s">
        <v>51</v>
      </c>
      <c r="K2825" s="28" t="s">
        <v>51</v>
      </c>
      <c r="L2825" s="28" t="s">
        <v>51</v>
      </c>
      <c r="M2825" s="28" t="s">
        <v>51</v>
      </c>
      <c r="N2825" s="28" t="s">
        <v>51</v>
      </c>
    </row>
    <row r="2826" spans="1:14" x14ac:dyDescent="0.15">
      <c r="A2826" s="23" t="str">
        <f>HYPERLINK("https://www.spark-marketing.ru/Card/Person/18481", "ФГУП ""РОСРАО""")</f>
        <v>ФГУП "РОСРАО"</v>
      </c>
      <c r="B2826" s="24" t="s">
        <v>2882</v>
      </c>
      <c r="C2826" s="25">
        <v>299800</v>
      </c>
      <c r="D2826" s="22" t="s">
        <v>5114</v>
      </c>
      <c r="E2826" s="22" t="s">
        <v>48</v>
      </c>
      <c r="F2826" s="23" t="str">
        <f>HYPERLINK("https://www.spark-marketing.ru/Card/Lot/73459048",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2826" s="22" t="s">
        <v>162</v>
      </c>
      <c r="H2826" s="22" t="s">
        <v>1620</v>
      </c>
      <c r="I2826" s="26">
        <v>43724.370312500003</v>
      </c>
      <c r="J2826" s="28" t="s">
        <v>51</v>
      </c>
      <c r="K2826" s="28" t="s">
        <v>51</v>
      </c>
      <c r="L2826" s="28" t="s">
        <v>51</v>
      </c>
      <c r="M2826" s="28" t="s">
        <v>51</v>
      </c>
      <c r="N2826" s="28" t="s">
        <v>51</v>
      </c>
    </row>
    <row r="2827" spans="1:14" x14ac:dyDescent="0.15">
      <c r="A2827" s="23" t="str">
        <f>HYPERLINK("https://www.spark-marketing.ru/Card/Person/64131", "МБОУ ""ГИМНАЗИЯ №8""")</f>
        <v>МБОУ "ГИМНАЗИЯ №8"</v>
      </c>
      <c r="B2827" s="24" t="s">
        <v>5115</v>
      </c>
      <c r="C2827" s="25">
        <v>7410555</v>
      </c>
      <c r="D2827" s="22" t="s">
        <v>5116</v>
      </c>
      <c r="E2827" s="22" t="s">
        <v>48</v>
      </c>
      <c r="F2827" s="23" t="str">
        <f>HYPERLINK("https://www.spark-marketing.ru/Card/Lot/73507247", "Оказание услуг по организации питания обучающихся")</f>
        <v>Оказание услуг по организации питания обучающихся</v>
      </c>
      <c r="G2827" s="22" t="s">
        <v>49</v>
      </c>
      <c r="H2827" s="22" t="s">
        <v>180</v>
      </c>
      <c r="I2827" s="26">
        <v>43724.374074074098</v>
      </c>
      <c r="J2827" s="28" t="s">
        <v>51</v>
      </c>
      <c r="K2827" s="28" t="s">
        <v>51</v>
      </c>
      <c r="L2827" s="28" t="s">
        <v>51</v>
      </c>
      <c r="M2827" s="28" t="s">
        <v>51</v>
      </c>
      <c r="N2827" s="28" t="s">
        <v>51</v>
      </c>
    </row>
    <row r="2828" spans="1:14" x14ac:dyDescent="0.15">
      <c r="A2828" s="23" t="str">
        <f>HYPERLINK("https://www.spark-marketing.ru/Card/Person/1983199", "ДИРЕКЦИЯ СОЦИАЛЬНОЙ СФЕРЫ ЮЖНО УРАЛЬСКОЙ ЖЕЛЕЗНОЙ ДОРОГИ ФЛ ОАО РЖД")</f>
        <v>ДИРЕКЦИЯ СОЦИАЛЬНОЙ СФЕРЫ ЮЖНО УРАЛЬСКОЙ ЖЕЛЕЗНОЙ ДОРОГИ ФЛ ОАО РЖД</v>
      </c>
      <c r="B2828" s="24" t="s">
        <v>330</v>
      </c>
      <c r="C2828" s="25">
        <v>94500</v>
      </c>
      <c r="D2828" s="28" t="s">
        <v>51</v>
      </c>
      <c r="E2828" s="22" t="s">
        <v>152</v>
      </c>
      <c r="F2828" s="23" t="str">
        <f>HYPERLINK("https://www.spark-marketing.ru/Card/Lot/73456512", "№26870 Оказание услуг по обслуживанию ПОС компьютеров Frontol EASY Optima, обслуживание компьютеров менеджеров в составе ККС, информационно- технологическое сопровождение 1С для Комбината общественного питания ДКЖД г.Челябинск")</f>
        <v>№26870 Оказание услуг по обслуживанию ПОС компьютеров Frontol EASY Optima, обслуживание компьютеров менеджеров в составе ККС, информационно- технологическое сопровождение 1С для Комбината общественного питания ДКЖД г.Челябинск</v>
      </c>
      <c r="G2828" s="22" t="s">
        <v>51</v>
      </c>
      <c r="H2828" s="22" t="s">
        <v>51</v>
      </c>
      <c r="I2828" s="26">
        <v>43724.312013888899</v>
      </c>
      <c r="J2828" s="28" t="s">
        <v>51</v>
      </c>
      <c r="K2828" s="28" t="s">
        <v>51</v>
      </c>
      <c r="L2828" s="28" t="s">
        <v>51</v>
      </c>
      <c r="M2828" s="28" t="s">
        <v>51</v>
      </c>
      <c r="N2828" s="28" t="s">
        <v>51</v>
      </c>
    </row>
    <row r="2829" spans="1:14" x14ac:dyDescent="0.15">
      <c r="A2829" s="23" t="str">
        <f>HYPERLINK("https://www.spark-marketing.ru/Card/Person/48288", "БУ ""МЕГИОНСКАЯ ГОРОДСКАЯ ДЕТСКАЯ БОЛЬНИЦА ""ЖЕМЧУЖИНКА""")</f>
        <v>БУ "МЕГИОНСКАЯ ГОРОДСКАЯ ДЕТСКАЯ БОЛЬНИЦА "ЖЕМЧУЖИНКА"</v>
      </c>
      <c r="B2829" s="24" t="s">
        <v>5117</v>
      </c>
      <c r="C2829" s="25">
        <v>499150</v>
      </c>
      <c r="D2829" s="22" t="s">
        <v>5118</v>
      </c>
      <c r="E2829" s="22" t="s">
        <v>67</v>
      </c>
      <c r="F2829" s="23" t="str">
        <f>HYPERLINK("https://www.spark-marketing.ru/Card/Lot/73457240", "Оказание услуг по организации лечебного питания пациентов и сопровождающих детей лиц, проходящих лечение в условиях стационара")</f>
        <v>Оказание услуг по организации лечебного питания пациентов и сопровождающих детей лиц, проходящих лечение в условиях стационара</v>
      </c>
      <c r="G2829" s="22" t="s">
        <v>97</v>
      </c>
      <c r="H2829" s="22" t="s">
        <v>1711</v>
      </c>
      <c r="I2829" s="26">
        <v>43724.403472222199</v>
      </c>
      <c r="J2829" s="28" t="s">
        <v>51</v>
      </c>
      <c r="K2829" s="28" t="s">
        <v>51</v>
      </c>
      <c r="L2829" s="28" t="s">
        <v>51</v>
      </c>
      <c r="M2829" s="28" t="s">
        <v>51</v>
      </c>
      <c r="N2829" s="28" t="s">
        <v>51</v>
      </c>
    </row>
    <row r="2830" spans="1:14" ht="12.75" hidden="1" outlineLevel="1" x14ac:dyDescent="0.2">
      <c r="A2830" s="23" t="str">
        <f>HYPERLINK("https://www.spark-marketing.ru/Card/Person/48288", "БУ ""МЕГИОНСКАЯ ГОРОДСКАЯ ДЕТСКАЯ БОЛЬНИЦА ""ЖЕМЧУЖИНКА""")</f>
        <v>БУ "МЕГИОНСКАЯ ГОРОДСКАЯ ДЕТСКАЯ БОЛЬНИЦА "ЖЕМЧУЖИНКА"</v>
      </c>
      <c r="B2830" s="24" t="s">
        <v>5117</v>
      </c>
      <c r="C2830" s="25">
        <v>499150</v>
      </c>
      <c r="D2830" s="22" t="s">
        <v>5118</v>
      </c>
      <c r="E2830" s="22" t="s">
        <v>67</v>
      </c>
      <c r="F2830" s="23" t="str">
        <f>HYPERLINK("https://www.spark-marketing.ru/Card/Lot/73457240", "Оказание услуг по организации лечебного питания пациентов и сопровождающих детей лиц, проходящих лечение в условиях стационара")</f>
        <v>Оказание услуг по организации лечебного питания пациентов и сопровождающих детей лиц, проходящих лечение в условиях стационара</v>
      </c>
      <c r="G2830" s="22" t="s">
        <v>97</v>
      </c>
      <c r="H2830" s="22" t="s">
        <v>1711</v>
      </c>
      <c r="I2830" s="26">
        <v>43724.403472222199</v>
      </c>
      <c r="J2830" s="23" t="str">
        <f>HYPERLINK("https://www.spark-marketing.ru/Card/Person/934737", "ООО ""РУССЕРВИС""")</f>
        <v>ООО "РУССЕРВИС"</v>
      </c>
      <c r="K2830" s="24" t="s">
        <v>5119</v>
      </c>
      <c r="L2830" s="22" t="s">
        <v>10</v>
      </c>
      <c r="M2830" s="25">
        <v>499150</v>
      </c>
      <c r="N2830" s="27">
        <v>0</v>
      </c>
    </row>
    <row r="2831" spans="1:14" hidden="1" outlineLevel="1" x14ac:dyDescent="0.2">
      <c r="A2831" s="23" t="str">
        <f>HYPERLINK("https://www.spark-marketing.ru/Card/Person/48288", "БУ ""МЕГИОНСКАЯ ГОРОДСКАЯ ДЕТСКАЯ БОЛЬНИЦА ""ЖЕМЧУЖИНКА""")</f>
        <v>БУ "МЕГИОНСКАЯ ГОРОДСКАЯ ДЕТСКАЯ БОЛЬНИЦА "ЖЕМЧУЖИНКА"</v>
      </c>
      <c r="B2831" s="24" t="s">
        <v>5117</v>
      </c>
      <c r="C2831" s="25">
        <v>499150</v>
      </c>
      <c r="D2831" s="22" t="s">
        <v>5118</v>
      </c>
      <c r="E2831" s="22" t="s">
        <v>67</v>
      </c>
      <c r="F2831" s="23" t="str">
        <f>HYPERLINK("https://www.spark-marketing.ru/Card/Lot/73457240", "Оказание услуг по организации лечебного питания пациентов и сопровождающих детей лиц, проходящих лечение в условиях стационара")</f>
        <v>Оказание услуг по организации лечебного питания пациентов и сопровождающих детей лиц, проходящих лечение в условиях стационара</v>
      </c>
      <c r="G2831" s="22" t="s">
        <v>97</v>
      </c>
      <c r="H2831" s="22" t="s">
        <v>1711</v>
      </c>
      <c r="I2831" s="26">
        <v>43724.403472222199</v>
      </c>
      <c r="J2831" s="23" t="str">
        <f>HYPERLINK("https://www.spark-marketing.ru/Card/Person/122715", "ООО ""ТИОП""")</f>
        <v>ООО "ТИОП"</v>
      </c>
      <c r="K2831" s="24" t="s">
        <v>5120</v>
      </c>
      <c r="L2831" s="28" t="s">
        <v>51</v>
      </c>
      <c r="M2831" s="25">
        <v>499150</v>
      </c>
      <c r="N2831" s="27">
        <v>0</v>
      </c>
    </row>
    <row r="2832" spans="1:14" x14ac:dyDescent="0.15">
      <c r="A2832" s="23" t="str">
        <f>HYPERLINK("https://www.spark-marketing.ru/Card/Person/2574593", "ООО "" НЗНП ТРЕЙД""")</f>
        <v>ООО " НЗНП ТРЕЙД"</v>
      </c>
      <c r="B2832" s="24" t="s">
        <v>5121</v>
      </c>
      <c r="C2832" s="28" t="s">
        <v>51</v>
      </c>
      <c r="D2832" s="22" t="s">
        <v>5122</v>
      </c>
      <c r="E2832" s="22" t="s">
        <v>5123</v>
      </c>
      <c r="F2832" s="23" t="str">
        <f>HYPERLINK("https://www.spark-marketing.ru/Card/Lot/73986782", "Лот №29 «Оказание услуг по организации питания и профессиональной уборке помещений, территорий, административному обслуживанию зданий и сооружений, техническому обслуживанию и текущему ремонту оборудования и внутренних инженерных сетей, стирке постел...")</f>
        <v>Лот №29 «Оказание услуг по организации питания и профессиональной уборке помещений, территорий, административному обслуживанию зданий и сооружений, техническому обслуживанию и текущему ремонту оборудования и внутренних инженерных сетей, стирке постел...</v>
      </c>
      <c r="G2832" s="22" t="s">
        <v>97</v>
      </c>
      <c r="H2832" s="22" t="s">
        <v>1711</v>
      </c>
      <c r="I2832" s="26">
        <v>43724.2722222222</v>
      </c>
      <c r="J2832" s="28" t="s">
        <v>51</v>
      </c>
      <c r="K2832" s="28" t="s">
        <v>51</v>
      </c>
      <c r="L2832" s="28" t="s">
        <v>51</v>
      </c>
      <c r="M2832" s="28" t="s">
        <v>51</v>
      </c>
      <c r="N2832" s="28" t="s">
        <v>51</v>
      </c>
    </row>
    <row r="2833" spans="1:14" ht="12.75" x14ac:dyDescent="0.2">
      <c r="A2833" s="23" t="str">
        <f>HYPERLINK("https://www.spark-marketing.ru/Card/Person/4344165", "ПРАВИТЕЛЬСТВО КРАЯ")</f>
        <v>ПРАВИТЕЛЬСТВО КРАЯ</v>
      </c>
      <c r="B2833" s="24" t="s">
        <v>3971</v>
      </c>
      <c r="C2833" s="25">
        <v>200000</v>
      </c>
      <c r="D2833" s="22" t="s">
        <v>5124</v>
      </c>
      <c r="E2833" s="22" t="s">
        <v>48</v>
      </c>
      <c r="F2833" s="23" t="str">
        <f>HYPERLINK("https://www.spark-marketing.ru/Card/Lot/73455962", "Оказание услуг по организации общественного питания")</f>
        <v>Оказание услуг по организации общественного питания</v>
      </c>
      <c r="G2833" s="22" t="s">
        <v>1096</v>
      </c>
      <c r="H2833" s="22" t="s">
        <v>1097</v>
      </c>
      <c r="I2833" s="26">
        <v>43724.536805555603</v>
      </c>
      <c r="J2833" s="23" t="str">
        <f>HYPERLINK("https://www.spark-marketing.ru/Card/Person/161833", "ЗАО ""БИЗНЕС-ЦЕНТР ""ПАРУС""")</f>
        <v>ЗАО "БИЗНЕС-ЦЕНТР "ПАРУС"</v>
      </c>
      <c r="K2833" s="24" t="s">
        <v>5125</v>
      </c>
      <c r="L2833" s="22" t="s">
        <v>10</v>
      </c>
      <c r="M2833" s="25">
        <v>10700</v>
      </c>
      <c r="N2833" s="27">
        <v>0.94650000000000001</v>
      </c>
    </row>
    <row r="2834" spans="1:14" x14ac:dyDescent="0.15">
      <c r="A2834" s="23" t="str">
        <f>HYPERLINK("https://www.spark-marketing.ru/Card/Person/1481958", "ГАУ ""КЦСОН Г. НИЖНЯЯ САЛДА""")</f>
        <v>ГАУ "КЦСОН Г. НИЖНЯЯ САЛДА"</v>
      </c>
      <c r="B2834" s="24" t="s">
        <v>5126</v>
      </c>
      <c r="C2834" s="25">
        <v>225216</v>
      </c>
      <c r="D2834" s="22" t="s">
        <v>5127</v>
      </c>
      <c r="E2834" s="22" t="s">
        <v>5128</v>
      </c>
      <c r="F2834" s="23" t="str">
        <f>HYPERLINK("https://www.spark-marketing.ru/Card/Lot/73465749", "Услуги по организации готового полноценного ежедневного трехразового питания")</f>
        <v>Услуги по организации готового полноценного ежедневного трехразового питания</v>
      </c>
      <c r="G2834" s="22" t="s">
        <v>174</v>
      </c>
      <c r="H2834" s="22" t="s">
        <v>5129</v>
      </c>
      <c r="I2834" s="26">
        <v>43724</v>
      </c>
      <c r="J2834" s="28" t="s">
        <v>51</v>
      </c>
      <c r="K2834" s="28" t="s">
        <v>51</v>
      </c>
      <c r="L2834" s="28" t="s">
        <v>51</v>
      </c>
      <c r="M2834" s="28" t="s">
        <v>51</v>
      </c>
      <c r="N2834" s="28" t="s">
        <v>51</v>
      </c>
    </row>
    <row r="2835" spans="1:14" x14ac:dyDescent="0.2">
      <c r="A2835" s="23" t="str">
        <f>HYPERLINK("https://www.spark-marketing.ru/Card/Person/4852466", "ГОАУСОН ""АПАТИТСКИЙ КЦСОН""")</f>
        <v>ГОАУСОН "АПАТИТСКИЙ КЦСОН"</v>
      </c>
      <c r="B2835" s="24" t="s">
        <v>2625</v>
      </c>
      <c r="C2835" s="25">
        <v>9060743.1999999993</v>
      </c>
      <c r="D2835" s="22" t="s">
        <v>5130</v>
      </c>
      <c r="E2835" s="22" t="s">
        <v>362</v>
      </c>
      <c r="F2835" s="23" t="str">
        <f>HYPERLINK("https://www.spark-marketing.ru/Card/Lot/73487875", "Оказание услуг по обеспечению готовым полноценным ежедневным питанием престарелых и инвалидов с января по декабрь 2020 года.")</f>
        <v>Оказание услуг по обеспечению готовым полноценным ежедневным питанием престарелых и инвалидов с января по декабрь 2020 года.</v>
      </c>
      <c r="G2835" s="22" t="s">
        <v>340</v>
      </c>
      <c r="H2835" s="22" t="s">
        <v>340</v>
      </c>
      <c r="I2835" s="26">
        <v>43724</v>
      </c>
      <c r="J2835" s="28" t="s">
        <v>51</v>
      </c>
      <c r="K2835" s="28" t="s">
        <v>51</v>
      </c>
      <c r="L2835" s="28" t="s">
        <v>51</v>
      </c>
      <c r="M2835" s="25">
        <v>9060743.1999999993</v>
      </c>
      <c r="N2835" s="27">
        <v>0</v>
      </c>
    </row>
    <row r="2836" spans="1:14" x14ac:dyDescent="0.15">
      <c r="A2836" s="23" t="str">
        <f>HYPERLINK("https://www.spark-marketing.ru/Card/Person/6441023", "АНО ""КВЦ ИНВЕСТ""")</f>
        <v>АНО "КВЦ ИНВЕСТ"</v>
      </c>
      <c r="B2836" s="24" t="s">
        <v>243</v>
      </c>
      <c r="C2836" s="25">
        <v>812490</v>
      </c>
      <c r="D2836" s="22" t="s">
        <v>5131</v>
      </c>
      <c r="E2836" s="22" t="s">
        <v>245</v>
      </c>
      <c r="F2836" s="23" t="str">
        <f>HYPERLINK("https://www.spark-marketing.ru/Card/Lot/73452112", "Услуги по проектированию, изготовлению, установке и комплектации, разукомплектации и утилизации выставочного стенда общей площадью 24,5 (двадцать четыре целые пять десятых) кв.м., в 28-й Международной выставке продуктов питания WorldFood Moscow, прох...")</f>
        <v>Услуги по проектированию, изготовлению, установке и комплектации, разукомплектации и утилизации выставочного стенда общей площадью 24,5 (двадцать четыре целые пять десятых) кв.м., в 28-й Международной выставке продуктов питания WorldFood Moscow, прох...</v>
      </c>
      <c r="G2836" s="22" t="s">
        <v>56</v>
      </c>
      <c r="H2836" s="22" t="s">
        <v>56</v>
      </c>
      <c r="I2836" s="26">
        <v>43724</v>
      </c>
      <c r="J2836" s="28" t="s">
        <v>51</v>
      </c>
      <c r="K2836" s="28" t="s">
        <v>51</v>
      </c>
      <c r="L2836" s="28" t="s">
        <v>51</v>
      </c>
      <c r="M2836" s="28" t="s">
        <v>51</v>
      </c>
      <c r="N2836" s="28" t="s">
        <v>51</v>
      </c>
    </row>
    <row r="2837" spans="1:14" x14ac:dyDescent="0.15">
      <c r="A2837" s="23" t="str">
        <f>HYPERLINK("https://www.spark-marketing.ru/Card/Person/89886", "ГБУК ""КОИХМ""")</f>
        <v>ГБУК "КОИХМ"</v>
      </c>
      <c r="B2837" s="24" t="s">
        <v>5132</v>
      </c>
      <c r="C2837" s="25">
        <v>123000</v>
      </c>
      <c r="D2837" s="22" t="s">
        <v>5133</v>
      </c>
      <c r="E2837" s="22" t="s">
        <v>362</v>
      </c>
      <c r="F2837" s="23" t="str">
        <f>HYPERLINK("https://www.spark-marketing.ru/Card/Lot/73486846", "Оказание услуг по организации питания")</f>
        <v>Оказание услуг по организации питания</v>
      </c>
      <c r="G2837" s="22" t="s">
        <v>400</v>
      </c>
      <c r="H2837" s="22" t="s">
        <v>400</v>
      </c>
      <c r="I2837" s="26">
        <v>43724</v>
      </c>
      <c r="J2837" s="28" t="s">
        <v>51</v>
      </c>
      <c r="K2837" s="28" t="s">
        <v>51</v>
      </c>
      <c r="L2837" s="28" t="s">
        <v>51</v>
      </c>
      <c r="M2837" s="28" t="s">
        <v>51</v>
      </c>
      <c r="N2837" s="28" t="s">
        <v>51</v>
      </c>
    </row>
    <row r="2838" spans="1:14" x14ac:dyDescent="0.2">
      <c r="A2838" s="23" t="str">
        <f>HYPERLINK("https://www.spark-marketing.ru/Card/Person/188101", "ГАУК ""КРАЙДРАМТЕАТР ИМЕНИ М.ГОРЬКОГО""")</f>
        <v>ГАУК "КРАЙДРАМТЕАТР ИМЕНИ М.ГОРЬКОГО"</v>
      </c>
      <c r="B2838" s="24" t="s">
        <v>5134</v>
      </c>
      <c r="C2838" s="25">
        <v>300000</v>
      </c>
      <c r="D2838" s="22" t="s">
        <v>5135</v>
      </c>
      <c r="E2838" s="22" t="s">
        <v>5136</v>
      </c>
      <c r="F2838" s="23" t="str">
        <f>HYPERLINK("https://www.spark-marketing.ru/Card/Lot/73470978", "В рамках подготовки и проведения МКФ стран АТР «Меридианы Тихого» 2019 года оказать услуги по организации питания")</f>
        <v>В рамках подготовки и проведения МКФ стран АТР «Меридианы Тихого» 2019 года оказать услуги по организации питания</v>
      </c>
      <c r="G2838" s="22" t="s">
        <v>543</v>
      </c>
      <c r="H2838" s="22" t="s">
        <v>543</v>
      </c>
      <c r="I2838" s="26">
        <v>43724</v>
      </c>
      <c r="J2838" s="28" t="s">
        <v>51</v>
      </c>
      <c r="K2838" s="28" t="s">
        <v>51</v>
      </c>
      <c r="L2838" s="28" t="s">
        <v>51</v>
      </c>
      <c r="M2838" s="25">
        <v>300000</v>
      </c>
      <c r="N2838" s="27">
        <v>0</v>
      </c>
    </row>
    <row r="2839" spans="1:14" x14ac:dyDescent="0.15">
      <c r="A2839" s="23" t="str">
        <f>HYPERLINK("https://www.spark-marketing.ru/Card/Person/1760026", "ЗАО ""ПФК ""КРЫЛЬЯ СОВЕТОВ""")</f>
        <v>ЗАО "ПФК "КРЫЛЬЯ СОВЕТОВ"</v>
      </c>
      <c r="B2839" s="24" t="s">
        <v>2056</v>
      </c>
      <c r="C2839" s="25">
        <v>459800</v>
      </c>
      <c r="D2839" s="22" t="s">
        <v>5137</v>
      </c>
      <c r="E2839" s="22" t="s">
        <v>5138</v>
      </c>
      <c r="F2839" s="23" t="str">
        <f>HYPERLINK("https://www.spark-marketing.ru/Card/Lot/73475713", "Комплекс услуг по организации питания и проживания команды 2006г.р. ЦПФ в рамках участия в финальном этапе соревнований «Первенство России по футболу среди команд спортивных школ Зона «Приволжье» в сезоне 2019/2020 гг»")</f>
        <v>Комплекс услуг по организации питания и проживания команды 2006г.р. ЦПФ в рамках участия в финальном этапе соревнований «Первенство России по футболу среди команд спортивных школ Зона «Приволжье» в сезоне 2019/2020 гг»</v>
      </c>
      <c r="G2839" s="22" t="s">
        <v>76</v>
      </c>
      <c r="H2839" s="22" t="s">
        <v>76</v>
      </c>
      <c r="I2839" s="26">
        <v>43724</v>
      </c>
      <c r="J2839" s="28" t="s">
        <v>51</v>
      </c>
      <c r="K2839" s="28" t="s">
        <v>51</v>
      </c>
      <c r="L2839" s="28" t="s">
        <v>51</v>
      </c>
      <c r="M2839" s="28" t="s">
        <v>51</v>
      </c>
      <c r="N2839" s="28" t="s">
        <v>51</v>
      </c>
    </row>
    <row r="2840" spans="1:14" x14ac:dyDescent="0.2">
      <c r="A2840" s="23" t="str">
        <f>HYPERLINK("https://www.spark-marketing.ru/Card/Person/4852466", "ГОАУСОН ""АПАТИТСКИЙ КЦСОН""")</f>
        <v>ГОАУСОН "АПАТИТСКИЙ КЦСОН"</v>
      </c>
      <c r="B2840" s="24" t="s">
        <v>2625</v>
      </c>
      <c r="C2840" s="25">
        <v>2612326.13</v>
      </c>
      <c r="D2840" s="22" t="s">
        <v>5139</v>
      </c>
      <c r="E2840" s="22" t="s">
        <v>362</v>
      </c>
      <c r="F2840" s="23" t="str">
        <f>HYPERLINK("https://www.spark-marketing.ru/Card/Lot/73487175", "Оказание услуг по обеспечению готовым полноценным ежедневным питанием детей с января по декабрь 2020 г.")</f>
        <v>Оказание услуг по обеспечению готовым полноценным ежедневным питанием детей с января по декабрь 2020 г.</v>
      </c>
      <c r="G2840" s="22" t="s">
        <v>340</v>
      </c>
      <c r="H2840" s="22" t="s">
        <v>340</v>
      </c>
      <c r="I2840" s="26">
        <v>43724</v>
      </c>
      <c r="J2840" s="28" t="s">
        <v>51</v>
      </c>
      <c r="K2840" s="28" t="s">
        <v>51</v>
      </c>
      <c r="L2840" s="28" t="s">
        <v>51</v>
      </c>
      <c r="M2840" s="25">
        <v>2612326.13</v>
      </c>
      <c r="N2840" s="27">
        <v>0</v>
      </c>
    </row>
    <row r="2841" spans="1:14" x14ac:dyDescent="0.2">
      <c r="A2841" s="23" t="str">
        <f>HYPERLINK("https://www.spark-marketing.ru/Card/Person/586690", "СПБ ГАПОУ ""МТК ИМ. АДМИРАЛА Д.Н.СЕНЯВИНА""; СПБМТК")</f>
        <v>СПБ ГАПОУ "МТК ИМ. АДМИРАЛА Д.Н.СЕНЯВИНА"; СПБМТК</v>
      </c>
      <c r="B2841" s="24" t="s">
        <v>5140</v>
      </c>
      <c r="C2841" s="25">
        <v>393660</v>
      </c>
      <c r="D2841" s="22" t="s">
        <v>5141</v>
      </c>
      <c r="E2841" s="22" t="s">
        <v>362</v>
      </c>
      <c r="F2841" s="23" t="str">
        <f>HYPERLINK("https://www.spark-marketing.ru/Card/Lot/73475705", "Услуги по организации питания участников Слета юных моряков")</f>
        <v>Услуги по организации питания участников Слета юных моряков</v>
      </c>
      <c r="G2841" s="22" t="s">
        <v>162</v>
      </c>
      <c r="H2841" s="22" t="s">
        <v>162</v>
      </c>
      <c r="I2841" s="26">
        <v>43724</v>
      </c>
      <c r="J2841" s="28" t="s">
        <v>51</v>
      </c>
      <c r="K2841" s="28" t="s">
        <v>51</v>
      </c>
      <c r="L2841" s="22" t="s">
        <v>10</v>
      </c>
      <c r="M2841" s="25">
        <v>393660</v>
      </c>
      <c r="N2841" s="27">
        <v>0</v>
      </c>
    </row>
    <row r="2842" spans="1:14" x14ac:dyDescent="0.2">
      <c r="A2842" s="23" t="str">
        <f>HYPERLINK("https://www.spark-marketing.ru/Card/Person/2692", "ФГБОУ ВО ИГМУ МИНЗДРАВА РОССИИ")</f>
        <v>ФГБОУ ВО ИГМУ МИНЗДРАВА РОССИИ</v>
      </c>
      <c r="B2842" s="24" t="s">
        <v>5142</v>
      </c>
      <c r="C2842" s="25">
        <v>497235</v>
      </c>
      <c r="D2842" s="22" t="s">
        <v>5143</v>
      </c>
      <c r="E2842" s="22" t="s">
        <v>580</v>
      </c>
      <c r="F2842" s="23" t="str">
        <f>HYPERLINK("https://www.spark-marketing.ru/Card/Lot/73458010", "Услуги по обеспечению питанием при проведении торжественного мероприятия, посвященного 100-летию основания ИГМУ")</f>
        <v>Услуги по обеспечению питанием при проведении торжественного мероприятия, посвященного 100-летию основания ИГМУ</v>
      </c>
      <c r="G2842" s="22" t="s">
        <v>263</v>
      </c>
      <c r="H2842" s="22" t="s">
        <v>263</v>
      </c>
      <c r="I2842" s="26">
        <v>43724</v>
      </c>
      <c r="J2842" s="28" t="s">
        <v>51</v>
      </c>
      <c r="K2842" s="28" t="s">
        <v>51</v>
      </c>
      <c r="L2842" s="22" t="s">
        <v>10</v>
      </c>
      <c r="M2842" s="25">
        <v>497235</v>
      </c>
      <c r="N2842" s="27">
        <v>0</v>
      </c>
    </row>
    <row r="2843" spans="1:14" x14ac:dyDescent="0.2">
      <c r="A2843" s="23" t="str">
        <f>HYPERLINK("https://www.spark-marketing.ru/Card/Person/1277228", "ФГАУ ""ОК ""КЛЯЗЬМА""")</f>
        <v>ФГАУ "ОК "КЛЯЗЬМА"</v>
      </c>
      <c r="B2843" s="24" t="s">
        <v>5144</v>
      </c>
      <c r="C2843" s="25">
        <v>5000000</v>
      </c>
      <c r="D2843" s="22" t="s">
        <v>5145</v>
      </c>
      <c r="E2843" s="22" t="s">
        <v>580</v>
      </c>
      <c r="F2843" s="23" t="str">
        <f>HYPERLINK("https://www.spark-marketing.ru/Card/Lot/73409798", "Оказание услуг по сервировке блюд и организации ежедневного обслуживания в точках питания и обслуживания коммерческих мероприятий на территории ОК ""Клязьма""")</f>
        <v>Оказание услуг по сервировке блюд и организации ежедневного обслуживания в точках питания и обслуживания коммерческих мероприятий на территории ОК "Клязьма"</v>
      </c>
      <c r="G2843" s="22" t="s">
        <v>49</v>
      </c>
      <c r="H2843" s="22" t="s">
        <v>49</v>
      </c>
      <c r="I2843" s="26">
        <v>43721</v>
      </c>
      <c r="J2843" s="28" t="s">
        <v>51</v>
      </c>
      <c r="K2843" s="28" t="s">
        <v>51</v>
      </c>
      <c r="L2843" s="28" t="s">
        <v>51</v>
      </c>
      <c r="M2843" s="25">
        <v>5000000</v>
      </c>
      <c r="N2843" s="27">
        <v>0</v>
      </c>
    </row>
    <row r="2844" spans="1:14" x14ac:dyDescent="0.15">
      <c r="A2844" s="23" t="str">
        <f>HYPERLINK("https://www.spark-marketing.ru/Card/Person/178844", "АО ""РЖД-ЗДОРОВЬЕ""")</f>
        <v>АО "РЖД-ЗДОРОВЬЕ"</v>
      </c>
      <c r="B2844" s="24" t="s">
        <v>3553</v>
      </c>
      <c r="C2844" s="25">
        <v>9049864.1999999993</v>
      </c>
      <c r="D2844" s="22" t="s">
        <v>5146</v>
      </c>
      <c r="E2844" s="22" t="s">
        <v>580</v>
      </c>
      <c r="F2844" s="23" t="str">
        <f>HYPERLINK("https://www.spark-marketing.ru/Card/Lot/73471130", "Оказание услуг питания для нужд санатория ""Мыс Видный"" филиала АО ""РЖД-ЗДОРОВЬЕ""")</f>
        <v>Оказание услуг питания для нужд санатория "Мыс Видный" филиала АО "РЖД-ЗДОРОВЬЕ"</v>
      </c>
      <c r="G2844" s="22" t="s">
        <v>104</v>
      </c>
      <c r="H2844" s="22" t="s">
        <v>104</v>
      </c>
      <c r="I2844" s="26">
        <v>43724</v>
      </c>
      <c r="J2844" s="28" t="s">
        <v>51</v>
      </c>
      <c r="K2844" s="28" t="s">
        <v>51</v>
      </c>
      <c r="L2844" s="28" t="s">
        <v>51</v>
      </c>
      <c r="M2844" s="28" t="s">
        <v>51</v>
      </c>
      <c r="N2844" s="28" t="s">
        <v>51</v>
      </c>
    </row>
    <row r="2845" spans="1:14" x14ac:dyDescent="0.15">
      <c r="A2845" s="23" t="str">
        <f>HYPERLINK("https://www.spark-marketing.ru/Card/Person/1311425", "МАОУ ""СОШ С УИОП № 3""")</f>
        <v>МАОУ "СОШ С УИОП № 3"</v>
      </c>
      <c r="B2845" s="24" t="s">
        <v>5147</v>
      </c>
      <c r="C2845" s="25">
        <v>360240</v>
      </c>
      <c r="D2845" s="22" t="s">
        <v>5148</v>
      </c>
      <c r="E2845" s="22" t="s">
        <v>362</v>
      </c>
      <c r="F2845" s="23" t="str">
        <f>HYPERLINK("https://www.spark-marketing.ru/Card/Lot/73475698", "оказание услуг по организации горячего питания детей")</f>
        <v>оказание услуг по организации горячего питания детей</v>
      </c>
      <c r="G2845" s="22" t="s">
        <v>153</v>
      </c>
      <c r="H2845" s="22" t="s">
        <v>153</v>
      </c>
      <c r="I2845" s="26">
        <v>43724</v>
      </c>
      <c r="J2845" s="28" t="s">
        <v>51</v>
      </c>
      <c r="K2845" s="28" t="s">
        <v>51</v>
      </c>
      <c r="L2845" s="28" t="s">
        <v>51</v>
      </c>
      <c r="M2845" s="28" t="s">
        <v>51</v>
      </c>
      <c r="N2845" s="28" t="s">
        <v>51</v>
      </c>
    </row>
    <row r="2846" spans="1:14" x14ac:dyDescent="0.15">
      <c r="A2846" s="23" t="str">
        <f>HYPERLINK("https://www.spark-marketing.ru/Card/Person/87688", "КРАЕВОЙ ИНСТИТУТ РАЗВИТИЯ СИСТЕМЫ ПРОФЕССИОНАЛЬНОГО ОБРАЗОВАНИЯ, КГАОУ ДПО ХКИРСПО")</f>
        <v>КРАЕВОЙ ИНСТИТУТ РАЗВИТИЯ СИСТЕМЫ ПРОФЕССИОНАЛЬНОГО ОБРАЗОВАНИЯ, КГАОУ ДПО ХКИРСПО</v>
      </c>
      <c r="B2846" s="24" t="s">
        <v>5149</v>
      </c>
      <c r="C2846" s="25">
        <v>550000</v>
      </c>
      <c r="D2846" s="22" t="s">
        <v>5150</v>
      </c>
      <c r="E2846" s="22" t="s">
        <v>769</v>
      </c>
      <c r="F2846" s="23" t="str">
        <f>HYPERLINK("https://www.spark-marketing.ru/Card/Lot/73468268", "Оказание услуг по организации проживания и питания участников II Краевого слёта студенческих научных обществ и объединений профессионального образования Хабаровского края «Поколение ПРОФИ»")</f>
        <v>Оказание услуг по организации проживания и питания участников II Краевого слёта студенческих научных обществ и объединений профессионального образования Хабаровского края «Поколение ПРОФИ»</v>
      </c>
      <c r="G2846" s="22" t="s">
        <v>1096</v>
      </c>
      <c r="H2846" s="22" t="s">
        <v>1096</v>
      </c>
      <c r="I2846" s="26">
        <v>43724</v>
      </c>
      <c r="J2846" s="28" t="s">
        <v>51</v>
      </c>
      <c r="K2846" s="28" t="s">
        <v>51</v>
      </c>
      <c r="L2846" s="28" t="s">
        <v>51</v>
      </c>
      <c r="M2846" s="28" t="s">
        <v>51</v>
      </c>
      <c r="N2846" s="28" t="s">
        <v>51</v>
      </c>
    </row>
    <row r="2847" spans="1:14" x14ac:dyDescent="0.15">
      <c r="A2847" s="23" t="str">
        <f>HYPERLINK("https://www.spark-marketing.ru/Card/Person/86179", "ФГБУ ""ОК ""ДЕСНА""")</f>
        <v>ФГБУ "ОК "ДЕСНА"</v>
      </c>
      <c r="B2847" s="24" t="s">
        <v>5151</v>
      </c>
      <c r="C2847" s="25">
        <v>900000</v>
      </c>
      <c r="D2847" s="22" t="s">
        <v>5152</v>
      </c>
      <c r="E2847" s="22" t="s">
        <v>2989</v>
      </c>
      <c r="F2847" s="23" t="str">
        <f>HYPERLINK("https://www.spark-marketing.ru/Card/Lot/73492656", "Оказание услуг по предоставлению персонала в сфере общественного питания")</f>
        <v>Оказание услуг по предоставлению персонала в сфере общественного питания</v>
      </c>
      <c r="G2847" s="22" t="s">
        <v>56</v>
      </c>
      <c r="H2847" s="22" t="s">
        <v>56</v>
      </c>
      <c r="I2847" s="26">
        <v>43724</v>
      </c>
      <c r="J2847" s="28" t="s">
        <v>51</v>
      </c>
      <c r="K2847" s="28" t="s">
        <v>51</v>
      </c>
      <c r="L2847" s="28" t="s">
        <v>51</v>
      </c>
      <c r="M2847" s="28" t="s">
        <v>51</v>
      </c>
      <c r="N2847" s="28" t="s">
        <v>51</v>
      </c>
    </row>
    <row r="2848" spans="1:14" x14ac:dyDescent="0.2">
      <c r="A2848" s="23" t="str">
        <f>HYPERLINK("https://www.spark-marketing.ru/Card/Person/1310140", "МАОУ ""СОШ № 29""")</f>
        <v>МАОУ "СОШ № 29"</v>
      </c>
      <c r="B2848" s="24" t="s">
        <v>1394</v>
      </c>
      <c r="C2848" s="25">
        <v>217250</v>
      </c>
      <c r="D2848" s="22" t="s">
        <v>5153</v>
      </c>
      <c r="E2848" s="22" t="s">
        <v>362</v>
      </c>
      <c r="F2848" s="23" t="str">
        <f>HYPERLINK("https://www.spark-marketing.ru/Card/Lot/73483764", "Организация услуг горячего питания")</f>
        <v>Организация услуг горячего питания</v>
      </c>
      <c r="G2848" s="22" t="s">
        <v>153</v>
      </c>
      <c r="H2848" s="22" t="s">
        <v>153</v>
      </c>
      <c r="I2848" s="26">
        <v>43724</v>
      </c>
      <c r="J2848" s="28" t="s">
        <v>51</v>
      </c>
      <c r="K2848" s="28" t="s">
        <v>51</v>
      </c>
      <c r="L2848" s="22" t="s">
        <v>10</v>
      </c>
      <c r="M2848" s="25">
        <v>217250</v>
      </c>
      <c r="N2848" s="27">
        <v>0</v>
      </c>
    </row>
    <row r="2849" spans="1:14" x14ac:dyDescent="0.15">
      <c r="A2849" s="23" t="str">
        <f>HYPERLINK("https://www.spark-marketing.ru/Card/Person/4414833", "МАОУ СОШ №2")</f>
        <v>МАОУ СОШ №2</v>
      </c>
      <c r="B2849" s="24" t="s">
        <v>2222</v>
      </c>
      <c r="C2849" s="25">
        <v>481268.4</v>
      </c>
      <c r="D2849" s="22" t="s">
        <v>5154</v>
      </c>
      <c r="E2849" s="22" t="s">
        <v>2224</v>
      </c>
      <c r="F2849" s="23" t="str">
        <f>HYPERLINK("https://www.spark-marketing.ru/Card/Lot/73536369", "оказание услуг по организации питания обучающихся в Муниципальном автономном общеобразовательном учреждении «Средняя общеобразовательная школа № 2» в 2019 году")</f>
        <v>оказание услуг по организации питания обучающихся в Муниципальном автономном общеобразовательном учреждении «Средняя общеобразовательная школа № 2» в 2019 году</v>
      </c>
      <c r="G2849" s="22" t="s">
        <v>174</v>
      </c>
      <c r="H2849" s="22" t="s">
        <v>174</v>
      </c>
      <c r="I2849" s="26">
        <v>43725</v>
      </c>
      <c r="J2849" s="28" t="s">
        <v>51</v>
      </c>
      <c r="K2849" s="28" t="s">
        <v>51</v>
      </c>
      <c r="L2849" s="28" t="s">
        <v>51</v>
      </c>
      <c r="M2849" s="28" t="s">
        <v>51</v>
      </c>
      <c r="N2849" s="28" t="s">
        <v>51</v>
      </c>
    </row>
    <row r="2850" spans="1:14" x14ac:dyDescent="0.15">
      <c r="A2850" s="23" t="str">
        <f>HYPERLINK("https://www.spark-marketing.ru/Card/Person/1006013", "МАОУ БЫТОШСКАЯ СОШ")</f>
        <v>МАОУ БЫТОШСКАЯ СОШ</v>
      </c>
      <c r="B2850" s="24" t="s">
        <v>5155</v>
      </c>
      <c r="C2850" s="25">
        <v>349180</v>
      </c>
      <c r="D2850" s="22" t="s">
        <v>5156</v>
      </c>
      <c r="E2850" s="22" t="s">
        <v>362</v>
      </c>
      <c r="F2850" s="23" t="str">
        <f>HYPERLINK("https://www.spark-marketing.ru/Card/Lot/73475693", "услуги по обеспечению питанием")</f>
        <v>услуги по обеспечению питанием</v>
      </c>
      <c r="G2850" s="22" t="s">
        <v>475</v>
      </c>
      <c r="H2850" s="22" t="s">
        <v>475</v>
      </c>
      <c r="I2850" s="26">
        <v>43724</v>
      </c>
      <c r="J2850" s="28" t="s">
        <v>51</v>
      </c>
      <c r="K2850" s="28" t="s">
        <v>51</v>
      </c>
      <c r="L2850" s="28" t="s">
        <v>51</v>
      </c>
      <c r="M2850" s="28" t="s">
        <v>51</v>
      </c>
      <c r="N2850" s="28" t="s">
        <v>51</v>
      </c>
    </row>
    <row r="2851" spans="1:14" x14ac:dyDescent="0.15">
      <c r="A2851" s="23" t="str">
        <f>HYPERLINK("https://www.spark-marketing.ru/Card/Person/1760026", "ЗАО ""ПФК ""КРЫЛЬЯ СОВЕТОВ""")</f>
        <v>ЗАО "ПФК "КРЫЛЬЯ СОВЕТОВ"</v>
      </c>
      <c r="B2851" s="24" t="s">
        <v>2056</v>
      </c>
      <c r="C2851" s="25">
        <v>300000</v>
      </c>
      <c r="D2851" s="22" t="s">
        <v>5157</v>
      </c>
      <c r="E2851" s="22" t="s">
        <v>2058</v>
      </c>
      <c r="F2851" s="23" t="str">
        <f>HYPERLINK("https://www.spark-marketing.ru/Card/Lot/73477584", "Комплекс услуг по организации питания и проживания команды 2004г.р. ЦПФ, в рамках финального турнира «Первенство России по футболу среди команд спортивных школ Зона «Приволжье» в сезоне 2019/2020 гг»")</f>
        <v>Комплекс услуг по организации питания и проживания команды 2004г.р. ЦПФ, в рамках финального турнира «Первенство России по футболу среди команд спортивных школ Зона «Приволжье» в сезоне 2019/2020 гг»</v>
      </c>
      <c r="G2851" s="22" t="s">
        <v>217</v>
      </c>
      <c r="H2851" s="22" t="s">
        <v>217</v>
      </c>
      <c r="I2851" s="26">
        <v>43724</v>
      </c>
      <c r="J2851" s="28" t="s">
        <v>51</v>
      </c>
      <c r="K2851" s="28" t="s">
        <v>51</v>
      </c>
      <c r="L2851" s="28" t="s">
        <v>51</v>
      </c>
      <c r="M2851" s="28" t="s">
        <v>51</v>
      </c>
      <c r="N2851" s="28" t="s">
        <v>51</v>
      </c>
    </row>
    <row r="2852" spans="1:14" x14ac:dyDescent="0.15">
      <c r="A2852" s="23" t="str">
        <f>HYPERLINK("https://www.spark-marketing.ru/Card/Person/733083", "МБДОУ Д/С ""КОЛОСОК"" С. ВПЕРЕД")</f>
        <v>МБДОУ Д/С "КОЛОСОК" С. ВПЕРЕД</v>
      </c>
      <c r="B2852" s="24" t="s">
        <v>5158</v>
      </c>
      <c r="C2852" s="25">
        <v>110000</v>
      </c>
      <c r="D2852" s="22" t="s">
        <v>5159</v>
      </c>
      <c r="E2852" s="22" t="s">
        <v>362</v>
      </c>
      <c r="F2852" s="23" t="str">
        <f>HYPERLINK("https://www.spark-marketing.ru/Card/Lot/73465825", "Услуги по организации горячего питания")</f>
        <v>Услуги по организации горячего питания</v>
      </c>
      <c r="G2852" s="22" t="s">
        <v>145</v>
      </c>
      <c r="H2852" s="22" t="s">
        <v>145</v>
      </c>
      <c r="I2852" s="26">
        <v>43724</v>
      </c>
      <c r="J2852" s="28" t="s">
        <v>51</v>
      </c>
      <c r="K2852" s="28" t="s">
        <v>51</v>
      </c>
      <c r="L2852" s="28" t="s">
        <v>51</v>
      </c>
      <c r="M2852" s="28" t="s">
        <v>51</v>
      </c>
      <c r="N2852" s="28" t="s">
        <v>51</v>
      </c>
    </row>
    <row r="2853" spans="1:14" x14ac:dyDescent="0.15">
      <c r="A2853" s="23" t="str">
        <f>HYPERLINK("https://www.spark-marketing.ru/Card/Person/1478267", "ГАУ ""ЛЕГКОАТЛЕТИЧЕСКИЙ КОМПЛЕКС""")</f>
        <v>ГАУ "ЛЕГКОАТЛЕТИЧЕСКИЙ КОМПЛЕКС"</v>
      </c>
      <c r="B2853" s="24" t="s">
        <v>5160</v>
      </c>
      <c r="C2853" s="25">
        <v>245000</v>
      </c>
      <c r="D2853" s="22" t="s">
        <v>5161</v>
      </c>
      <c r="E2853" s="22" t="s">
        <v>362</v>
      </c>
      <c r="F2853" s="23" t="str">
        <f>HYPERLINK("https://www.spark-marketing.ru/Card/Lot/73466849", "услуги по организации и обслуживанию питанием спортсменов и тренеров в период проведения тренировочных мероприятий по общей и специальной физической подготовке")</f>
        <v>услуги по организации и обслуживанию питанием спортсменов и тренеров в период проведения тренировочных мероприятий по общей и специальной физической подготовке</v>
      </c>
      <c r="G2853" s="22" t="s">
        <v>475</v>
      </c>
      <c r="H2853" s="22" t="s">
        <v>475</v>
      </c>
      <c r="I2853" s="26">
        <v>43724</v>
      </c>
      <c r="J2853" s="28" t="s">
        <v>51</v>
      </c>
      <c r="K2853" s="28" t="s">
        <v>51</v>
      </c>
      <c r="L2853" s="28" t="s">
        <v>51</v>
      </c>
      <c r="M2853" s="28" t="s">
        <v>51</v>
      </c>
      <c r="N2853" s="28" t="s">
        <v>51</v>
      </c>
    </row>
    <row r="2854" spans="1:14" x14ac:dyDescent="0.15">
      <c r="A2854" s="23" t="str">
        <f>HYPERLINK("https://www.spark-marketing.ru/Card/Person/1312968", "МАОУ СОШ № 1")</f>
        <v>МАОУ СОШ № 1</v>
      </c>
      <c r="B2854" s="24" t="s">
        <v>5162</v>
      </c>
      <c r="C2854" s="25">
        <v>399740</v>
      </c>
      <c r="D2854" s="22" t="s">
        <v>5163</v>
      </c>
      <c r="E2854" s="22" t="s">
        <v>362</v>
      </c>
      <c r="F2854" s="23" t="str">
        <f>HYPERLINK("https://www.spark-marketing.ru/Card/Lot/73425773", "Оказание услуг по организации двухразового горячего питания обучающихся с ОВЗ")</f>
        <v>Оказание услуг по организации двухразового горячего питания обучающихся с ОВЗ</v>
      </c>
      <c r="G2854" s="22" t="s">
        <v>153</v>
      </c>
      <c r="H2854" s="22" t="s">
        <v>153</v>
      </c>
      <c r="I2854" s="26">
        <v>43723</v>
      </c>
      <c r="J2854" s="28" t="s">
        <v>51</v>
      </c>
      <c r="K2854" s="28" t="s">
        <v>51</v>
      </c>
      <c r="L2854" s="28" t="s">
        <v>51</v>
      </c>
      <c r="M2854" s="28" t="s">
        <v>51</v>
      </c>
      <c r="N2854" s="28" t="s">
        <v>51</v>
      </c>
    </row>
    <row r="2855" spans="1:14" x14ac:dyDescent="0.15">
      <c r="A2855" s="23" t="str">
        <f>HYPERLINK("https://www.spark-marketing.ru/Card/Person/6624188", "СЛУЖБА ФИНАНСОВО ХОЗЯЙСТВЕННОГО УПРАВЛЕНИЯ СЕВЕРО КАВКАЗСКОЙ ЖЕЛЕЗНОЙ ДОРОГИ ФЛ ОАО РЖД")</f>
        <v>СЛУЖБА ФИНАНСОВО ХОЗЯЙСТВЕННОГО УПРАВЛЕНИЯ СЕВЕРО КАВКАЗСКОЙ ЖЕЛЕЗНОЙ ДОРОГИ ФЛ ОАО РЖД</v>
      </c>
      <c r="B2855" s="24" t="s">
        <v>330</v>
      </c>
      <c r="C2855" s="25">
        <v>88956</v>
      </c>
      <c r="D2855" s="28" t="s">
        <v>51</v>
      </c>
      <c r="E2855" s="22" t="s">
        <v>437</v>
      </c>
      <c r="F2855" s="23" t="str">
        <f>HYPERLINK("https://www.spark-marketing.ru/Card/Lot/73416995", "№26847 Оказание услуг по лабораторному контролю качества питьевой воды и проведению лабораторно-инструментальных исследований, санитарно- эпидемиологической экспертизы по установлению соответствия характеристики испытуемого объекта")</f>
        <v>№26847 Оказание услуг по лабораторному контролю качества питьевой воды и проведению лабораторно-инструментальных исследований, санитарно- эпидемиологической экспертизы по установлению соответствия характеристики испытуемого объекта</v>
      </c>
      <c r="G2855" s="22" t="s">
        <v>51</v>
      </c>
      <c r="H2855" s="22" t="s">
        <v>51</v>
      </c>
      <c r="I2855" s="26">
        <v>43722.894363425898</v>
      </c>
      <c r="J2855" s="28" t="s">
        <v>51</v>
      </c>
      <c r="K2855" s="28" t="s">
        <v>51</v>
      </c>
      <c r="L2855" s="28" t="s">
        <v>51</v>
      </c>
      <c r="M2855" s="28" t="s">
        <v>51</v>
      </c>
      <c r="N2855" s="28" t="s">
        <v>51</v>
      </c>
    </row>
    <row r="2856" spans="1:14" x14ac:dyDescent="0.15">
      <c r="A2856" s="23" t="str">
        <f t="shared" ref="A2856:A2861" si="42">HYPERLINK("https://www.spark-marketing.ru/Card/Person/90775", "ГБУЗ РТ ""ПРОТИВОТУБЕРКУЛЕЗНЫЙ ДИСПАНСЕР""")</f>
        <v>ГБУЗ РТ "ПРОТИВОТУБЕРКУЛЕЗНЫЙ ДИСПАНСЕР"</v>
      </c>
      <c r="B2856" s="24" t="s">
        <v>5164</v>
      </c>
      <c r="C2856" s="25">
        <v>126000</v>
      </c>
      <c r="D2856" s="22" t="s">
        <v>5165</v>
      </c>
      <c r="E2856" s="22" t="s">
        <v>1807</v>
      </c>
      <c r="F2856" s="23" t="str">
        <f t="shared" ref="F2856:F2861" si="43">HYPERLINK("https://www.spark-marketing.ru/Card/Lot/73416149", "Типографские услуги для ГБУЗ РТ «Противотуберкулезный диспансер»")</f>
        <v>Типографские услуги для ГБУЗ РТ «Противотуберкулезный диспансер»</v>
      </c>
      <c r="G2856" s="22" t="s">
        <v>327</v>
      </c>
      <c r="H2856" s="22" t="s">
        <v>328</v>
      </c>
      <c r="I2856" s="26">
        <v>43722.841666666704</v>
      </c>
      <c r="J2856" s="28" t="s">
        <v>51</v>
      </c>
      <c r="K2856" s="28" t="s">
        <v>51</v>
      </c>
      <c r="L2856" s="28" t="s">
        <v>51</v>
      </c>
      <c r="M2856" s="28" t="s">
        <v>51</v>
      </c>
      <c r="N2856" s="28" t="s">
        <v>51</v>
      </c>
    </row>
    <row r="2857" spans="1:14" hidden="1" outlineLevel="1" x14ac:dyDescent="0.2">
      <c r="A2857" s="23" t="str">
        <f t="shared" si="42"/>
        <v>ГБУЗ РТ "ПРОТИВОТУБЕРКУЛЕЗНЫЙ ДИСПАНСЕР"</v>
      </c>
      <c r="B2857" s="24" t="s">
        <v>5164</v>
      </c>
      <c r="C2857" s="25">
        <v>126000</v>
      </c>
      <c r="D2857" s="22" t="s">
        <v>5165</v>
      </c>
      <c r="E2857" s="22" t="s">
        <v>1807</v>
      </c>
      <c r="F2857" s="23" t="str">
        <f t="shared" si="43"/>
        <v>Типографские услуги для ГБУЗ РТ «Противотуберкулезный диспансер»</v>
      </c>
      <c r="G2857" s="22" t="s">
        <v>327</v>
      </c>
      <c r="H2857" s="22" t="s">
        <v>328</v>
      </c>
      <c r="I2857" s="26">
        <v>43722.841666666704</v>
      </c>
      <c r="J2857" s="23" t="str">
        <f>HYPERLINK("https://www.spark-marketing.ru/Card/Person/195140", "ОАО ""ТИПОГРАФИЯ ""ХАКАСИЯ""")</f>
        <v>ОАО "ТИПОГРАФИЯ "ХАКАСИЯ"</v>
      </c>
      <c r="K2857" s="24" t="s">
        <v>5166</v>
      </c>
      <c r="L2857" s="28" t="s">
        <v>51</v>
      </c>
      <c r="M2857" s="25">
        <v>73080</v>
      </c>
      <c r="N2857" s="27">
        <v>0.42</v>
      </c>
    </row>
    <row r="2858" spans="1:14" hidden="1" outlineLevel="1" x14ac:dyDescent="0.2">
      <c r="A2858" s="23" t="str">
        <f t="shared" si="42"/>
        <v>ГБУЗ РТ "ПРОТИВОТУБЕРКУЛЕЗНЫЙ ДИСПАНСЕР"</v>
      </c>
      <c r="B2858" s="24" t="s">
        <v>5164</v>
      </c>
      <c r="C2858" s="25">
        <v>126000</v>
      </c>
      <c r="D2858" s="22" t="s">
        <v>5165</v>
      </c>
      <c r="E2858" s="22" t="s">
        <v>1807</v>
      </c>
      <c r="F2858" s="23" t="str">
        <f t="shared" si="43"/>
        <v>Типографские услуги для ГБУЗ РТ «Противотуберкулезный диспансер»</v>
      </c>
      <c r="G2858" s="22" t="s">
        <v>327</v>
      </c>
      <c r="H2858" s="22" t="s">
        <v>328</v>
      </c>
      <c r="I2858" s="26">
        <v>43722.841666666704</v>
      </c>
      <c r="J2858" s="23" t="str">
        <f>HYPERLINK("https://www.spark-marketing.ru/Card/Person/6067621", "Конькова Марина Владимировна")</f>
        <v>Конькова Марина Владимировна</v>
      </c>
      <c r="K2858" s="24" t="s">
        <v>5167</v>
      </c>
      <c r="L2858" s="28" t="s">
        <v>51</v>
      </c>
      <c r="M2858" s="25">
        <v>76230</v>
      </c>
      <c r="N2858" s="27">
        <v>0.39500000000000002</v>
      </c>
    </row>
    <row r="2859" spans="1:14" ht="12.75" hidden="1" outlineLevel="1" x14ac:dyDescent="0.2">
      <c r="A2859" s="23" t="str">
        <f t="shared" si="42"/>
        <v>ГБУЗ РТ "ПРОТИВОТУБЕРКУЛЕЗНЫЙ ДИСПАНСЕР"</v>
      </c>
      <c r="B2859" s="24" t="s">
        <v>5164</v>
      </c>
      <c r="C2859" s="25">
        <v>126000</v>
      </c>
      <c r="D2859" s="22" t="s">
        <v>5165</v>
      </c>
      <c r="E2859" s="22" t="s">
        <v>1807</v>
      </c>
      <c r="F2859" s="23" t="str">
        <f t="shared" si="43"/>
        <v>Типографские услуги для ГБУЗ РТ «Противотуберкулезный диспансер»</v>
      </c>
      <c r="G2859" s="22" t="s">
        <v>327</v>
      </c>
      <c r="H2859" s="22" t="s">
        <v>328</v>
      </c>
      <c r="I2859" s="26">
        <v>43722.841666666704</v>
      </c>
      <c r="J2859" s="23" t="str">
        <f>HYPERLINK("https://www.spark-marketing.ru/Card/Person/189183", "ООО ""ТЫВАПОЛИГРАФ""")</f>
        <v>ООО "ТЫВАПОЛИГРАФ"</v>
      </c>
      <c r="K2859" s="24" t="s">
        <v>5168</v>
      </c>
      <c r="L2859" s="22" t="s">
        <v>10</v>
      </c>
      <c r="M2859" s="25">
        <v>69170</v>
      </c>
      <c r="N2859" s="27">
        <v>0.45103174603174601</v>
      </c>
    </row>
    <row r="2860" spans="1:14" hidden="1" outlineLevel="1" x14ac:dyDescent="0.2">
      <c r="A2860" s="23" t="str">
        <f t="shared" si="42"/>
        <v>ГБУЗ РТ "ПРОТИВОТУБЕРКУЛЕЗНЫЙ ДИСПАНСЕР"</v>
      </c>
      <c r="B2860" s="24" t="s">
        <v>5164</v>
      </c>
      <c r="C2860" s="25">
        <v>126000</v>
      </c>
      <c r="D2860" s="22" t="s">
        <v>5165</v>
      </c>
      <c r="E2860" s="22" t="s">
        <v>1807</v>
      </c>
      <c r="F2860" s="23" t="str">
        <f t="shared" si="43"/>
        <v>Типографские услуги для ГБУЗ РТ «Противотуберкулезный диспансер»</v>
      </c>
      <c r="G2860" s="22" t="s">
        <v>327</v>
      </c>
      <c r="H2860" s="22" t="s">
        <v>328</v>
      </c>
      <c r="I2860" s="26">
        <v>43722.841666666704</v>
      </c>
      <c r="J2860" s="23" t="str">
        <f>HYPERLINK("https://www.spark-marketing.ru/Card/Person/6626088", "Шмелева Лилия Анатольевна")</f>
        <v>Шмелева Лилия Анатольевна</v>
      </c>
      <c r="K2860" s="24" t="s">
        <v>5169</v>
      </c>
      <c r="L2860" s="28" t="s">
        <v>51</v>
      </c>
      <c r="M2860" s="25">
        <v>90000</v>
      </c>
      <c r="N2860" s="27">
        <v>0.2857142857142857</v>
      </c>
    </row>
    <row r="2861" spans="1:14" hidden="1" outlineLevel="1" x14ac:dyDescent="0.2">
      <c r="A2861" s="23" t="str">
        <f t="shared" si="42"/>
        <v>ГБУЗ РТ "ПРОТИВОТУБЕРКУЛЕЗНЫЙ ДИСПАНСЕР"</v>
      </c>
      <c r="B2861" s="24" t="s">
        <v>5164</v>
      </c>
      <c r="C2861" s="25">
        <v>126000</v>
      </c>
      <c r="D2861" s="22" t="s">
        <v>5165</v>
      </c>
      <c r="E2861" s="22" t="s">
        <v>1807</v>
      </c>
      <c r="F2861" s="23" t="str">
        <f t="shared" si="43"/>
        <v>Типографские услуги для ГБУЗ РТ «Противотуберкулезный диспансер»</v>
      </c>
      <c r="G2861" s="22" t="s">
        <v>327</v>
      </c>
      <c r="H2861" s="22" t="s">
        <v>328</v>
      </c>
      <c r="I2861" s="26">
        <v>43722.841666666704</v>
      </c>
      <c r="J2861" s="23" t="str">
        <f>HYPERLINK("https://www.spark-marketing.ru/Card/Person/63905", "ООО ""АКЦЕНТ""")</f>
        <v>ООО "АКЦЕНТ"</v>
      </c>
      <c r="K2861" s="24" t="s">
        <v>5170</v>
      </c>
      <c r="L2861" s="28" t="s">
        <v>51</v>
      </c>
      <c r="M2861" s="25">
        <v>69800</v>
      </c>
      <c r="N2861" s="27">
        <v>0.44603174603174606</v>
      </c>
    </row>
    <row r="2862" spans="1:14" x14ac:dyDescent="0.15">
      <c r="A2862" s="23" t="str">
        <f>HYPERLINK("https://www.spark-marketing.ru/Card/Person/4345465", "МИНЗДРАВ УЛЬЯНОВСКОЙ ОБЛАСТИ")</f>
        <v>МИНЗДРАВ УЛЬЯНОВСКОЙ ОБЛАСТИ</v>
      </c>
      <c r="B2862" s="24" t="s">
        <v>5171</v>
      </c>
      <c r="C2862" s="25">
        <v>12895498.25</v>
      </c>
      <c r="D2862" s="22" t="s">
        <v>5172</v>
      </c>
      <c r="E2862" s="22" t="s">
        <v>5173</v>
      </c>
      <c r="F2862" s="23" t="str">
        <f>HYPERLINK("https://www.spark-marketing.ru/Card/Lot/73416026", "Осуществление функций уполномоченной фармацевтической организации (склада) по оказанию услуги по обеспечению лекарственными препаратами, медицинскими изделиями, а также специализированными продуктами лечебного питания отдельных категорий граждан, име...")</f>
        <v>Осуществление функций уполномоченной фармацевтической организации (склада) по оказанию услуги по обеспечению лекарственными препаратами, медицинскими изделиями, а также специализированными продуктами лечебного питания отдельных категорий граждан, име...</v>
      </c>
      <c r="G2862" s="22" t="s">
        <v>1918</v>
      </c>
      <c r="H2862" s="22" t="s">
        <v>2140</v>
      </c>
      <c r="I2862" s="26">
        <v>43722.626388888901</v>
      </c>
      <c r="J2862" s="23" t="str">
        <f>HYPERLINK("https://www.spark-marketing.ru/Card/Person/44188", "АО ""УЛЬЯНОВСКФАРМАЦИЯ""")</f>
        <v>АО "УЛЬЯНОВСКФАРМАЦИЯ"</v>
      </c>
      <c r="K2862" s="24" t="s">
        <v>5174</v>
      </c>
      <c r="L2862" s="22" t="s">
        <v>10</v>
      </c>
      <c r="M2862" s="28" t="s">
        <v>51</v>
      </c>
      <c r="N2862" s="28" t="s">
        <v>51</v>
      </c>
    </row>
    <row r="2863" spans="1:14" x14ac:dyDescent="0.15">
      <c r="A2863" s="23" t="str">
        <f>HYPERLINK("https://www.spark-marketing.ru/Card/Person/4345465", "МИНЗДРАВ УЛЬЯНОВСКОЙ ОБЛАСТИ")</f>
        <v>МИНЗДРАВ УЛЬЯНОВСКОЙ ОБЛАСТИ</v>
      </c>
      <c r="B2863" s="24" t="s">
        <v>5171</v>
      </c>
      <c r="C2863" s="25">
        <v>16079375.18</v>
      </c>
      <c r="D2863" s="22" t="s">
        <v>5175</v>
      </c>
      <c r="E2863" s="22" t="s">
        <v>5173</v>
      </c>
      <c r="F2863" s="23" t="str">
        <f>HYPERLINK("https://www.spark-marketing.ru/Card/Lot/73416067", "Осуществление функций уполномоченной фармацевтической организации (склада) по оказанию услуги по обеспечению лекарственными препаратами, медицинскими изделиями, а также специализированными продуктами лечебного питания граждан Ульяновской области, стр...")</f>
        <v>Осуществление функций уполномоченной фармацевтической организации (склада) по оказанию услуги по обеспечению лекарственными препаратами, медицинскими изделиями, а также специализированными продуктами лечебного питания граждан Ульяновской области, стр...</v>
      </c>
      <c r="G2863" s="22" t="s">
        <v>1918</v>
      </c>
      <c r="H2863" s="22" t="s">
        <v>2140</v>
      </c>
      <c r="I2863" s="26">
        <v>43722.628472222197</v>
      </c>
      <c r="J2863" s="23" t="str">
        <f>HYPERLINK("https://www.spark-marketing.ru/Card/Person/44188", "АО ""УЛЬЯНОВСКФАРМАЦИЯ""")</f>
        <v>АО "УЛЬЯНОВСКФАРМАЦИЯ"</v>
      </c>
      <c r="K2863" s="24" t="s">
        <v>5174</v>
      </c>
      <c r="L2863" s="22" t="s">
        <v>10</v>
      </c>
      <c r="M2863" s="28" t="s">
        <v>51</v>
      </c>
      <c r="N2863" s="28" t="s">
        <v>51</v>
      </c>
    </row>
    <row r="2864" spans="1:14" x14ac:dyDescent="0.15">
      <c r="A2864" s="23" t="s">
        <v>114</v>
      </c>
      <c r="B2864" s="28" t="s">
        <v>51</v>
      </c>
      <c r="C2864" s="25">
        <v>7022547</v>
      </c>
      <c r="D2864" s="22" t="s">
        <v>5176</v>
      </c>
      <c r="E2864" s="22" t="s">
        <v>48</v>
      </c>
      <c r="F2864" s="23" t="str">
        <f>HYPERLINK("https://www.spark-marketing.ru/Card/Lot/73413650",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2864" s="22" t="s">
        <v>51</v>
      </c>
      <c r="H2864" s="22" t="s">
        <v>51</v>
      </c>
      <c r="I2864" s="26">
        <v>43721.849305555603</v>
      </c>
      <c r="J2864" s="28" t="s">
        <v>51</v>
      </c>
      <c r="K2864" s="28" t="s">
        <v>51</v>
      </c>
      <c r="L2864" s="28" t="s">
        <v>51</v>
      </c>
      <c r="M2864" s="28" t="s">
        <v>51</v>
      </c>
      <c r="N2864" s="28" t="s">
        <v>51</v>
      </c>
    </row>
    <row r="2865" spans="1:14" hidden="1" outlineLevel="1" x14ac:dyDescent="0.15">
      <c r="A2865" s="23" t="str">
        <f>HYPERLINK("https://www.spark-marketing.ru/Card/Person/130007", "МДОУ ЦРР Д/С № 59")</f>
        <v>МДОУ ЦРР Д/С № 59</v>
      </c>
      <c r="B2865" s="24" t="s">
        <v>5177</v>
      </c>
      <c r="C2865" s="25">
        <v>3656572.5</v>
      </c>
      <c r="D2865" s="22" t="s">
        <v>5176</v>
      </c>
      <c r="E2865" s="22" t="s">
        <v>48</v>
      </c>
      <c r="F2865" s="23" t="str">
        <f>HYPERLINK("https://www.spark-marketing.ru/Card/Lot/73413650",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2865" s="22" t="s">
        <v>49</v>
      </c>
      <c r="H2865" s="22" t="s">
        <v>1867</v>
      </c>
      <c r="I2865" s="26">
        <v>43721.849305555603</v>
      </c>
      <c r="J2865" s="28" t="s">
        <v>51</v>
      </c>
      <c r="K2865" s="28" t="s">
        <v>51</v>
      </c>
      <c r="L2865" s="28" t="s">
        <v>51</v>
      </c>
      <c r="M2865" s="28" t="s">
        <v>51</v>
      </c>
      <c r="N2865" s="28" t="s">
        <v>51</v>
      </c>
    </row>
    <row r="2866" spans="1:14" hidden="1" outlineLevel="1" x14ac:dyDescent="0.15">
      <c r="A2866" s="23" t="str">
        <f>HYPERLINK("https://www.spark-marketing.ru/Card/Person/1034739", "МДОУ ДЕТСКИЙ САД № 66")</f>
        <v>МДОУ ДЕТСКИЙ САД № 66</v>
      </c>
      <c r="B2866" s="24" t="s">
        <v>5178</v>
      </c>
      <c r="C2866" s="25">
        <v>3365974.5</v>
      </c>
      <c r="D2866" s="22" t="s">
        <v>5176</v>
      </c>
      <c r="E2866" s="22" t="s">
        <v>48</v>
      </c>
      <c r="F2866" s="23" t="str">
        <f>HYPERLINK("https://www.spark-marketing.ru/Card/Lot/73413650",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2866" s="22" t="s">
        <v>49</v>
      </c>
      <c r="H2866" s="22" t="s">
        <v>1867</v>
      </c>
      <c r="I2866" s="26">
        <v>43721.849305555603</v>
      </c>
      <c r="J2866" s="28" t="s">
        <v>51</v>
      </c>
      <c r="K2866" s="28" t="s">
        <v>51</v>
      </c>
      <c r="L2866" s="28" t="s">
        <v>51</v>
      </c>
      <c r="M2866" s="28" t="s">
        <v>51</v>
      </c>
      <c r="N2866" s="28" t="s">
        <v>51</v>
      </c>
    </row>
    <row r="2867" spans="1:14" hidden="1" outlineLevel="1" x14ac:dyDescent="0.2">
      <c r="A2867" s="28" t="s">
        <v>51</v>
      </c>
      <c r="B2867" s="28" t="s">
        <v>51</v>
      </c>
      <c r="C2867" s="28" t="s">
        <v>51</v>
      </c>
      <c r="D2867" s="22" t="s">
        <v>5176</v>
      </c>
      <c r="E2867" s="22" t="s">
        <v>48</v>
      </c>
      <c r="F2867" s="23" t="str">
        <f>HYPERLINK("https://www.spark-marketing.ru/Card/Lot/73413650",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2867" s="22" t="s">
        <v>51</v>
      </c>
      <c r="H2867" s="22" t="s">
        <v>51</v>
      </c>
      <c r="I2867" s="26">
        <v>43721.849305555603</v>
      </c>
      <c r="J2867" s="23" t="str">
        <f>HYPERLINK("https://www.spark-marketing.ru/Card/Person/126568", "ООО ""КРИСТИНА""")</f>
        <v>ООО "КРИСТИНА"</v>
      </c>
      <c r="K2867" s="24" t="s">
        <v>5179</v>
      </c>
      <c r="L2867" s="22" t="s">
        <v>10</v>
      </c>
      <c r="M2867" s="25">
        <v>6688140</v>
      </c>
      <c r="N2867" s="27">
        <v>4.7619047619047616E-2</v>
      </c>
    </row>
    <row r="2868" spans="1:14" hidden="1" outlineLevel="1" x14ac:dyDescent="0.2">
      <c r="A2868" s="28" t="s">
        <v>51</v>
      </c>
      <c r="B2868" s="28" t="s">
        <v>51</v>
      </c>
      <c r="C2868" s="28" t="s">
        <v>51</v>
      </c>
      <c r="D2868" s="22" t="s">
        <v>5176</v>
      </c>
      <c r="E2868" s="22" t="s">
        <v>48</v>
      </c>
      <c r="F2868" s="23" t="str">
        <f>HYPERLINK("https://www.spark-marketing.ru/Card/Lot/73413650",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2868" s="22" t="s">
        <v>51</v>
      </c>
      <c r="H2868" s="22" t="s">
        <v>51</v>
      </c>
      <c r="I2868" s="26">
        <v>43721.849305555603</v>
      </c>
      <c r="J2868" s="23" t="str">
        <f>HYPERLINK("https://www.spark-marketing.ru/Card/Person/706197", "Русакова Нина Ивановна")</f>
        <v>Русакова Нина Ивановна</v>
      </c>
      <c r="K2868" s="24" t="s">
        <v>1818</v>
      </c>
      <c r="L2868" s="28" t="s">
        <v>51</v>
      </c>
      <c r="M2868" s="25">
        <v>6917208.7800000003</v>
      </c>
      <c r="N2868" s="27">
        <v>1.500000213597716E-2</v>
      </c>
    </row>
    <row r="2869" spans="1:14" x14ac:dyDescent="0.15">
      <c r="A2869" s="23" t="str">
        <f>HYPERLINK("https://www.spark-marketing.ru/Card/Person/61234", "МБДОУ ДЕТСКИЙ САД №64 ""МАЛЫШОК"" ОБЩЕРАЗВИВАЮЩЕГО ВИДА ГОЩ")</f>
        <v>МБДОУ ДЕТСКИЙ САД №64 "МАЛЫШОК" ОБЩЕРАЗВИВАЮЩЕГО ВИДА ГОЩ</v>
      </c>
      <c r="B2869" s="24" t="s">
        <v>5180</v>
      </c>
      <c r="C2869" s="25">
        <v>11527531.119999999</v>
      </c>
      <c r="D2869" s="22" t="s">
        <v>5181</v>
      </c>
      <c r="E2869" s="22" t="s">
        <v>48</v>
      </c>
      <c r="F2869" s="23" t="str">
        <f>HYPERLINK("https://www.spark-marketing.ru/Card/Lot/73413822",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69" s="22" t="s">
        <v>49</v>
      </c>
      <c r="H2869" s="22" t="s">
        <v>4644</v>
      </c>
      <c r="I2869" s="26">
        <v>43721.8034722222</v>
      </c>
      <c r="J2869" s="28" t="s">
        <v>51</v>
      </c>
      <c r="K2869" s="28" t="s">
        <v>51</v>
      </c>
      <c r="L2869" s="28" t="s">
        <v>51</v>
      </c>
      <c r="M2869" s="28" t="s">
        <v>51</v>
      </c>
      <c r="N2869" s="28" t="s">
        <v>51</v>
      </c>
    </row>
    <row r="2870" spans="1:14" x14ac:dyDescent="0.15">
      <c r="A2870" s="23" t="str">
        <f>HYPERLINK("https://www.spark-marketing.ru/Card/Person/91653", "МБДОУ ДЕТСКИЙ САД №32 ""РОСИНКА"" ГОЩ")</f>
        <v>МБДОУ ДЕТСКИЙ САД №32 "РОСИНКА" ГОЩ</v>
      </c>
      <c r="B2870" s="24" t="s">
        <v>5182</v>
      </c>
      <c r="C2870" s="25">
        <v>15310297.800000001</v>
      </c>
      <c r="D2870" s="22" t="s">
        <v>5183</v>
      </c>
      <c r="E2870" s="22" t="s">
        <v>48</v>
      </c>
      <c r="F2870" s="23" t="str">
        <f>HYPERLINK("https://www.spark-marketing.ru/Card/Lot/73414165",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70" s="22" t="s">
        <v>49</v>
      </c>
      <c r="H2870" s="22" t="s">
        <v>4644</v>
      </c>
      <c r="I2870" s="26">
        <v>43721.8034722222</v>
      </c>
      <c r="J2870" s="28" t="s">
        <v>51</v>
      </c>
      <c r="K2870" s="28" t="s">
        <v>51</v>
      </c>
      <c r="L2870" s="28" t="s">
        <v>51</v>
      </c>
      <c r="M2870" s="28" t="s">
        <v>51</v>
      </c>
      <c r="N2870" s="28" t="s">
        <v>51</v>
      </c>
    </row>
    <row r="2871" spans="1:14" hidden="1" outlineLevel="1" x14ac:dyDescent="0.2">
      <c r="A2871" s="23" t="str">
        <f>HYPERLINK("https://www.spark-marketing.ru/Card/Person/91653", "МБДОУ ДЕТСКИЙ САД №32 ""РОСИНКА"" ГОЩ")</f>
        <v>МБДОУ ДЕТСКИЙ САД №32 "РОСИНКА" ГОЩ</v>
      </c>
      <c r="B2871" s="24" t="s">
        <v>5182</v>
      </c>
      <c r="C2871" s="25">
        <v>15310297.800000001</v>
      </c>
      <c r="D2871" s="22" t="s">
        <v>5183</v>
      </c>
      <c r="E2871" s="22" t="s">
        <v>48</v>
      </c>
      <c r="F2871" s="23" t="str">
        <f>HYPERLINK("https://www.spark-marketing.ru/Card/Lot/73414165",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71" s="22" t="s">
        <v>49</v>
      </c>
      <c r="H2871" s="22" t="s">
        <v>4644</v>
      </c>
      <c r="I2871" s="26">
        <v>43721.8034722222</v>
      </c>
      <c r="J2871" s="23" t="str">
        <f>HYPERLINK("https://www.spark-marketing.ru/Card/Person/708967", "Меркулова Надежда Евгеньевна")</f>
        <v>Меркулова Надежда Евгеньевна</v>
      </c>
      <c r="K2871" s="24" t="s">
        <v>5184</v>
      </c>
      <c r="L2871" s="28" t="s">
        <v>51</v>
      </c>
      <c r="M2871" s="25">
        <v>12095064</v>
      </c>
      <c r="N2871" s="27">
        <v>0.2100046545142969</v>
      </c>
    </row>
    <row r="2872" spans="1:14" hidden="1" outlineLevel="1" x14ac:dyDescent="0.2">
      <c r="A2872" s="23" t="str">
        <f>HYPERLINK("https://www.spark-marketing.ru/Card/Person/91653", "МБДОУ ДЕТСКИЙ САД №32 ""РОСИНКА"" ГОЩ")</f>
        <v>МБДОУ ДЕТСКИЙ САД №32 "РОСИНКА" ГОЩ</v>
      </c>
      <c r="B2872" s="24" t="s">
        <v>5182</v>
      </c>
      <c r="C2872" s="25">
        <v>15310297.800000001</v>
      </c>
      <c r="D2872" s="22" t="s">
        <v>5183</v>
      </c>
      <c r="E2872" s="22" t="s">
        <v>48</v>
      </c>
      <c r="F2872" s="23" t="str">
        <f>HYPERLINK("https://www.spark-marketing.ru/Card/Lot/73414165",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72" s="22" t="s">
        <v>49</v>
      </c>
      <c r="H2872" s="22" t="s">
        <v>4644</v>
      </c>
      <c r="I2872" s="26">
        <v>43721.8034722222</v>
      </c>
      <c r="J2872" s="23" t="str">
        <f>HYPERLINK("https://www.spark-marketing.ru/Card/Person/31262", "ООО ""АЛЬЯНС""")</f>
        <v>ООО "АЛЬЯНС"</v>
      </c>
      <c r="K2872" s="24" t="s">
        <v>1718</v>
      </c>
      <c r="L2872" s="28" t="s">
        <v>51</v>
      </c>
      <c r="M2872" s="25">
        <v>13013753.130000001</v>
      </c>
      <c r="N2872" s="27">
        <v>0.15</v>
      </c>
    </row>
    <row r="2873" spans="1:14" ht="12.75" hidden="1" outlineLevel="1" x14ac:dyDescent="0.2">
      <c r="A2873" s="23" t="str">
        <f>HYPERLINK("https://www.spark-marketing.ru/Card/Person/91653", "МБДОУ ДЕТСКИЙ САД №32 ""РОСИНКА"" ГОЩ")</f>
        <v>МБДОУ ДЕТСКИЙ САД №32 "РОСИНКА" ГОЩ</v>
      </c>
      <c r="B2873" s="24" t="s">
        <v>5182</v>
      </c>
      <c r="C2873" s="25">
        <v>15310297.800000001</v>
      </c>
      <c r="D2873" s="22" t="s">
        <v>5183</v>
      </c>
      <c r="E2873" s="22" t="s">
        <v>48</v>
      </c>
      <c r="F2873" s="23" t="str">
        <f>HYPERLINK("https://www.spark-marketing.ru/Card/Lot/73414165",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73" s="22" t="s">
        <v>49</v>
      </c>
      <c r="H2873" s="22" t="s">
        <v>4644</v>
      </c>
      <c r="I2873" s="26">
        <v>43721.8034722222</v>
      </c>
      <c r="J2873" s="23" t="str">
        <f>HYPERLINK("https://www.spark-marketing.ru/Card/Person/75516", "ООО ""КОНЦЕПТ""")</f>
        <v>ООО "КОНЦЕПТ"</v>
      </c>
      <c r="K2873" s="24" t="s">
        <v>1717</v>
      </c>
      <c r="L2873" s="22" t="s">
        <v>10</v>
      </c>
      <c r="M2873" s="25">
        <v>15303996</v>
      </c>
      <c r="N2873" s="27">
        <v>4.1160531834984947E-4</v>
      </c>
    </row>
    <row r="2874" spans="1:14" hidden="1" outlineLevel="1" x14ac:dyDescent="0.15">
      <c r="A2874" s="23" t="str">
        <f>HYPERLINK("https://www.spark-marketing.ru/Card/Person/91653", "МБДОУ ДЕТСКИЙ САД №32 ""РОСИНКА"" ГОЩ")</f>
        <v>МБДОУ ДЕТСКИЙ САД №32 "РОСИНКА" ГОЩ</v>
      </c>
      <c r="B2874" s="24" t="s">
        <v>5182</v>
      </c>
      <c r="C2874" s="25">
        <v>15310297.800000001</v>
      </c>
      <c r="D2874" s="22" t="s">
        <v>5183</v>
      </c>
      <c r="E2874" s="22" t="s">
        <v>48</v>
      </c>
      <c r="F2874" s="23" t="str">
        <f>HYPERLINK("https://www.spark-marketing.ru/Card/Lot/73414165",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74" s="22" t="s">
        <v>49</v>
      </c>
      <c r="H2874" s="22" t="s">
        <v>4644</v>
      </c>
      <c r="I2874" s="26">
        <v>43721.8034722222</v>
      </c>
      <c r="J2874" s="23" t="str">
        <f>HYPERLINK("https://www.spark-marketing.ru/Card/Person/6080164", "ООО ""МОЛОЧНЫЙ МИР""")</f>
        <v>ООО "МОЛОЧНЫЙ МИР"</v>
      </c>
      <c r="K2874" s="24" t="s">
        <v>5185</v>
      </c>
      <c r="L2874" s="28" t="s">
        <v>51</v>
      </c>
      <c r="M2874" s="28" t="s">
        <v>51</v>
      </c>
      <c r="N2874" s="28" t="s">
        <v>51</v>
      </c>
    </row>
    <row r="2875" spans="1:14" x14ac:dyDescent="0.15">
      <c r="A2875" s="23" t="str">
        <f>HYPERLINK("https://www.spark-marketing.ru/Card/Person/92530", "МБДОУ ДЕТСКИЙ САД № 21 ""ЗАГОРЯНОЧКА"" ОБЩЕРАЗВИВАЮЩЕГО ВИДА ЩМР МО")</f>
        <v>МБДОУ ДЕТСКИЙ САД № 21 "ЗАГОРЯНОЧКА" ОБЩЕРАЗВИВАЮЩЕГО ВИДА ЩМР МО</v>
      </c>
      <c r="B2875" s="24" t="s">
        <v>5186</v>
      </c>
      <c r="C2875" s="25">
        <v>7216809.5999999996</v>
      </c>
      <c r="D2875" s="22" t="s">
        <v>5187</v>
      </c>
      <c r="E2875" s="22" t="s">
        <v>48</v>
      </c>
      <c r="F2875" s="23" t="str">
        <f>HYPERLINK("https://www.spark-marketing.ru/Card/Lot/73414242",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75" s="22" t="s">
        <v>49</v>
      </c>
      <c r="H2875" s="22" t="s">
        <v>4644</v>
      </c>
      <c r="I2875" s="26">
        <v>43721.804166666698</v>
      </c>
      <c r="J2875" s="28" t="s">
        <v>51</v>
      </c>
      <c r="K2875" s="28" t="s">
        <v>51</v>
      </c>
      <c r="L2875" s="28" t="s">
        <v>51</v>
      </c>
      <c r="M2875" s="28" t="s">
        <v>51</v>
      </c>
      <c r="N2875" s="28" t="s">
        <v>51</v>
      </c>
    </row>
    <row r="2876" spans="1:14" hidden="1" outlineLevel="1" x14ac:dyDescent="0.2">
      <c r="A2876" s="23" t="str">
        <f>HYPERLINK("https://www.spark-marketing.ru/Card/Person/92530", "МБДОУ ДЕТСКИЙ САД № 21 ""ЗАГОРЯНОЧКА"" ОБЩЕРАЗВИВАЮЩЕГО ВИДА ЩМР МО")</f>
        <v>МБДОУ ДЕТСКИЙ САД № 21 "ЗАГОРЯНОЧКА" ОБЩЕРАЗВИВАЮЩЕГО ВИДА ЩМР МО</v>
      </c>
      <c r="B2876" s="24" t="s">
        <v>5186</v>
      </c>
      <c r="C2876" s="25">
        <v>7216809.5999999996</v>
      </c>
      <c r="D2876" s="22" t="s">
        <v>5187</v>
      </c>
      <c r="E2876" s="22" t="s">
        <v>48</v>
      </c>
      <c r="F2876" s="23" t="str">
        <f>HYPERLINK("https://www.spark-marketing.ru/Card/Lot/73414242",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76" s="22" t="s">
        <v>49</v>
      </c>
      <c r="H2876" s="22" t="s">
        <v>4644</v>
      </c>
      <c r="I2876" s="26">
        <v>43721.804166666698</v>
      </c>
      <c r="J2876" s="23" t="str">
        <f>HYPERLINK("https://www.spark-marketing.ru/Card/Person/31262", "ООО ""АЛЬЯНС""")</f>
        <v>ООО "АЛЬЯНС"</v>
      </c>
      <c r="K2876" s="24" t="s">
        <v>1718</v>
      </c>
      <c r="L2876" s="28" t="s">
        <v>51</v>
      </c>
      <c r="M2876" s="25">
        <v>6495128.6399999997</v>
      </c>
      <c r="N2876" s="27">
        <v>0.1</v>
      </c>
    </row>
    <row r="2877" spans="1:14" hidden="1" outlineLevel="1" x14ac:dyDescent="0.2">
      <c r="A2877" s="23" t="str">
        <f>HYPERLINK("https://www.spark-marketing.ru/Card/Person/92530", "МБДОУ ДЕТСКИЙ САД № 21 ""ЗАГОРЯНОЧКА"" ОБЩЕРАЗВИВАЮЩЕГО ВИДА ЩМР МО")</f>
        <v>МБДОУ ДЕТСКИЙ САД № 21 "ЗАГОРЯНОЧКА" ОБЩЕРАЗВИВАЮЩЕГО ВИДА ЩМР МО</v>
      </c>
      <c r="B2877" s="24" t="s">
        <v>5186</v>
      </c>
      <c r="C2877" s="25">
        <v>7216809.5999999996</v>
      </c>
      <c r="D2877" s="22" t="s">
        <v>5187</v>
      </c>
      <c r="E2877" s="22" t="s">
        <v>48</v>
      </c>
      <c r="F2877" s="23" t="str">
        <f>HYPERLINK("https://www.spark-marketing.ru/Card/Lot/73414242",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77" s="22" t="s">
        <v>49</v>
      </c>
      <c r="H2877" s="22" t="s">
        <v>4644</v>
      </c>
      <c r="I2877" s="26">
        <v>43721.804166666698</v>
      </c>
      <c r="J2877" s="23" t="str">
        <f>HYPERLINK("https://www.spark-marketing.ru/Card/Person/708967", "Меркулова Надежда Евгеньевна")</f>
        <v>Меркулова Надежда Евгеньевна</v>
      </c>
      <c r="K2877" s="24" t="s">
        <v>5184</v>
      </c>
      <c r="L2877" s="28" t="s">
        <v>51</v>
      </c>
      <c r="M2877" s="25">
        <v>6350916</v>
      </c>
      <c r="N2877" s="27">
        <v>0.11998287996956439</v>
      </c>
    </row>
    <row r="2878" spans="1:14" ht="12.75" hidden="1" outlineLevel="1" x14ac:dyDescent="0.2">
      <c r="A2878" s="23" t="str">
        <f>HYPERLINK("https://www.spark-marketing.ru/Card/Person/92530", "МБДОУ ДЕТСКИЙ САД № 21 ""ЗАГОРЯНОЧКА"" ОБЩЕРАЗВИВАЮЩЕГО ВИДА ЩМР МО")</f>
        <v>МБДОУ ДЕТСКИЙ САД № 21 "ЗАГОРЯНОЧКА" ОБЩЕРАЗВИВАЮЩЕГО ВИДА ЩМР МО</v>
      </c>
      <c r="B2878" s="24" t="s">
        <v>5186</v>
      </c>
      <c r="C2878" s="25">
        <v>7216809.5999999996</v>
      </c>
      <c r="D2878" s="22" t="s">
        <v>5187</v>
      </c>
      <c r="E2878" s="22" t="s">
        <v>48</v>
      </c>
      <c r="F2878" s="23" t="str">
        <f>HYPERLINK("https://www.spark-marketing.ru/Card/Lot/73414242",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78" s="22" t="s">
        <v>49</v>
      </c>
      <c r="H2878" s="22" t="s">
        <v>4644</v>
      </c>
      <c r="I2878" s="26">
        <v>43721.804166666698</v>
      </c>
      <c r="J2878" s="23" t="str">
        <f>HYPERLINK("https://www.spark-marketing.ru/Card/Person/75516", "ООО ""КОНЦЕПТ""")</f>
        <v>ООО "КОНЦЕПТ"</v>
      </c>
      <c r="K2878" s="24" t="s">
        <v>1717</v>
      </c>
      <c r="L2878" s="22" t="s">
        <v>10</v>
      </c>
      <c r="M2878" s="25">
        <v>7216809.5999999996</v>
      </c>
      <c r="N2878" s="27">
        <v>0</v>
      </c>
    </row>
    <row r="2879" spans="1:14" x14ac:dyDescent="0.15">
      <c r="A2879" s="23" t="str">
        <f>HYPERLINK("https://www.spark-marketing.ru/Card/Person/37506", "ГУ-РО ФОНДА СОЦИАЛЬНОГО СТРАХОВАНИЯ РОССИЙСКОЙ ФЕДЕРАЦИИ ПО ЧЕЧЕНСКОЙ РЕСПУБЛИКЕ")</f>
        <v>ГУ-РО ФОНДА СОЦИАЛЬНОГО СТРАХОВАНИЯ РОССИЙСКОЙ ФЕДЕРАЦИИ ПО ЧЕЧЕНСКОЙ РЕСПУБЛИКЕ</v>
      </c>
      <c r="B2879" s="24" t="s">
        <v>5188</v>
      </c>
      <c r="C2879" s="25">
        <v>1527184.8</v>
      </c>
      <c r="D2879" s="22" t="s">
        <v>5189</v>
      </c>
      <c r="E2879" s="22" t="s">
        <v>86</v>
      </c>
      <c r="F2879" s="23" t="str">
        <f>HYPERLINK("https://www.spark-marketing.ru/Card/Lot/73414357", "оказание услуг по санаторно-курортному лечению граждан - получателей государственной социальной помощи с заболеваниями по Классу IV МКБ-10 «Болезни эндокринной системы, расстройства питания и нарушения обмена веществ»")</f>
        <v>оказание услуг по санаторно-курортному лечению граждан - получателей государственной социальной помощи с заболеваниями по Классу IV МКБ-10 «Болезни эндокринной системы, расстройства питания и нарушения обмена веществ»</v>
      </c>
      <c r="G2879" s="22" t="s">
        <v>1983</v>
      </c>
      <c r="H2879" s="22" t="s">
        <v>5190</v>
      </c>
      <c r="I2879" s="26">
        <v>43721.8256944444</v>
      </c>
      <c r="J2879" s="23" t="str">
        <f>HYPERLINK("https://www.spark-marketing.ru/Card/Person/155574", "МАНО ""САНАТОРИЙ ЦЕНТР-СОЮЗ В Г.ЕССЕНТУКИ""")</f>
        <v>МАНО "САНАТОРИЙ ЦЕНТР-СОЮЗ В Г.ЕССЕНТУКИ"</v>
      </c>
      <c r="K2879" s="24" t="s">
        <v>5191</v>
      </c>
      <c r="L2879" s="22" t="s">
        <v>10</v>
      </c>
      <c r="M2879" s="28" t="s">
        <v>51</v>
      </c>
      <c r="N2879" s="28" t="s">
        <v>51</v>
      </c>
    </row>
    <row r="2880" spans="1:14" x14ac:dyDescent="0.15">
      <c r="A2880" s="23" t="str">
        <f>HYPERLINK("https://www.spark-marketing.ru/Card/Person/94187", "МБДОУ ДЕТСКИЙ САД № 30 ""ЛАДУШКИ"" ЩМР МО")</f>
        <v>МБДОУ ДЕТСКИЙ САД № 30 "ЛАДУШКИ" ЩМР МО</v>
      </c>
      <c r="B2880" s="24" t="s">
        <v>5192</v>
      </c>
      <c r="C2880" s="25">
        <v>11439118.32</v>
      </c>
      <c r="D2880" s="22" t="s">
        <v>5193</v>
      </c>
      <c r="E2880" s="22" t="s">
        <v>48</v>
      </c>
      <c r="F2880" s="23" t="str">
        <f>HYPERLINK("https://www.spark-marketing.ru/Card/Lot/73414163",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80" s="22" t="s">
        <v>49</v>
      </c>
      <c r="H2880" s="22" t="s">
        <v>4644</v>
      </c>
      <c r="I2880" s="26">
        <v>43721.802777777797</v>
      </c>
      <c r="J2880" s="28" t="s">
        <v>51</v>
      </c>
      <c r="K2880" s="28" t="s">
        <v>51</v>
      </c>
      <c r="L2880" s="28" t="s">
        <v>51</v>
      </c>
      <c r="M2880" s="28" t="s">
        <v>51</v>
      </c>
      <c r="N2880" s="28" t="s">
        <v>51</v>
      </c>
    </row>
    <row r="2881" spans="1:14" hidden="1" outlineLevel="1" x14ac:dyDescent="0.2">
      <c r="A2881" s="23" t="str">
        <f>HYPERLINK("https://www.spark-marketing.ru/Card/Person/94187", "МБДОУ ДЕТСКИЙ САД № 30 ""ЛАДУШКИ"" ЩМР МО")</f>
        <v>МБДОУ ДЕТСКИЙ САД № 30 "ЛАДУШКИ" ЩМР МО</v>
      </c>
      <c r="B2881" s="24" t="s">
        <v>5192</v>
      </c>
      <c r="C2881" s="25">
        <v>11439118.32</v>
      </c>
      <c r="D2881" s="22" t="s">
        <v>5193</v>
      </c>
      <c r="E2881" s="22" t="s">
        <v>48</v>
      </c>
      <c r="F2881" s="23" t="str">
        <f>HYPERLINK("https://www.spark-marketing.ru/Card/Lot/73414163",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81" s="22" t="s">
        <v>49</v>
      </c>
      <c r="H2881" s="22" t="s">
        <v>4644</v>
      </c>
      <c r="I2881" s="26">
        <v>43721.802777777797</v>
      </c>
      <c r="J2881" s="23" t="str">
        <f>HYPERLINK("https://www.spark-marketing.ru/Card/Person/31262", "ООО ""АЛЬЯНС""")</f>
        <v>ООО "АЛЬЯНС"</v>
      </c>
      <c r="K2881" s="24" t="s">
        <v>1718</v>
      </c>
      <c r="L2881" s="28" t="s">
        <v>51</v>
      </c>
      <c r="M2881" s="25">
        <v>9723250.5700000003</v>
      </c>
      <c r="N2881" s="27">
        <v>0.15000000017483864</v>
      </c>
    </row>
    <row r="2882" spans="1:14" hidden="1" outlineLevel="1" x14ac:dyDescent="0.2">
      <c r="A2882" s="23" t="str">
        <f>HYPERLINK("https://www.spark-marketing.ru/Card/Person/94187", "МБДОУ ДЕТСКИЙ САД № 30 ""ЛАДУШКИ"" ЩМР МО")</f>
        <v>МБДОУ ДЕТСКИЙ САД № 30 "ЛАДУШКИ" ЩМР МО</v>
      </c>
      <c r="B2882" s="24" t="s">
        <v>5192</v>
      </c>
      <c r="C2882" s="25">
        <v>11439118.32</v>
      </c>
      <c r="D2882" s="22" t="s">
        <v>5193</v>
      </c>
      <c r="E2882" s="22" t="s">
        <v>48</v>
      </c>
      <c r="F2882" s="23" t="str">
        <f>HYPERLINK("https://www.spark-marketing.ru/Card/Lot/73414163",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82" s="22" t="s">
        <v>49</v>
      </c>
      <c r="H2882" s="22" t="s">
        <v>4644</v>
      </c>
      <c r="I2882" s="26">
        <v>43721.802777777797</v>
      </c>
      <c r="J2882" s="23" t="str">
        <f>HYPERLINK("https://www.spark-marketing.ru/Card/Person/708967", "Меркулова Надежда Евгеньевна")</f>
        <v>Меркулова Надежда Евгеньевна</v>
      </c>
      <c r="K2882" s="24" t="s">
        <v>5184</v>
      </c>
      <c r="L2882" s="28" t="s">
        <v>51</v>
      </c>
      <c r="M2882" s="25">
        <v>10066608.060000001</v>
      </c>
      <c r="N2882" s="27">
        <v>0.11998392022926466</v>
      </c>
    </row>
    <row r="2883" spans="1:14" ht="12.75" hidden="1" outlineLevel="1" x14ac:dyDescent="0.2">
      <c r="A2883" s="23" t="str">
        <f>HYPERLINK("https://www.spark-marketing.ru/Card/Person/94187", "МБДОУ ДЕТСКИЙ САД № 30 ""ЛАДУШКИ"" ЩМР МО")</f>
        <v>МБДОУ ДЕТСКИЙ САД № 30 "ЛАДУШКИ" ЩМР МО</v>
      </c>
      <c r="B2883" s="24" t="s">
        <v>5192</v>
      </c>
      <c r="C2883" s="25">
        <v>11439118.32</v>
      </c>
      <c r="D2883" s="22" t="s">
        <v>5193</v>
      </c>
      <c r="E2883" s="22" t="s">
        <v>48</v>
      </c>
      <c r="F2883" s="23" t="str">
        <f>HYPERLINK("https://www.spark-marketing.ru/Card/Lot/73414163",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83" s="22" t="s">
        <v>49</v>
      </c>
      <c r="H2883" s="22" t="s">
        <v>4644</v>
      </c>
      <c r="I2883" s="26">
        <v>43721.802777777797</v>
      </c>
      <c r="J2883" s="23" t="str">
        <f>HYPERLINK("https://www.spark-marketing.ru/Card/Person/75516", "ООО ""КОНЦЕПТ""")</f>
        <v>ООО "КОНЦЕПТ"</v>
      </c>
      <c r="K2883" s="24" t="s">
        <v>1717</v>
      </c>
      <c r="L2883" s="22" t="s">
        <v>10</v>
      </c>
      <c r="M2883" s="25">
        <v>11433824.4</v>
      </c>
      <c r="N2883" s="27">
        <v>4.6279091201847103E-4</v>
      </c>
    </row>
    <row r="2884" spans="1:14" x14ac:dyDescent="0.15">
      <c r="A2884" s="23" t="str">
        <f>HYPERLINK("https://www.spark-marketing.ru/Card/Person/61426", "МБОУ ЩЁЛКОВСКИЙ ЛИЦЕЙ № 7 ЩМР МО")</f>
        <v>МБОУ ЩЁЛКОВСКИЙ ЛИЦЕЙ № 7 ЩМР МО</v>
      </c>
      <c r="B2884" s="24" t="s">
        <v>5194</v>
      </c>
      <c r="C2884" s="25">
        <v>5750976</v>
      </c>
      <c r="D2884" s="22" t="s">
        <v>5195</v>
      </c>
      <c r="E2884" s="22" t="s">
        <v>48</v>
      </c>
      <c r="F2884" s="23" t="str">
        <f>HYPERLINK("https://www.spark-marketing.ru/Card/Lot/73414166",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84" s="22" t="s">
        <v>49</v>
      </c>
      <c r="H2884" s="22" t="s">
        <v>4644</v>
      </c>
      <c r="I2884" s="26">
        <v>43721.804166666698</v>
      </c>
      <c r="J2884" s="28" t="s">
        <v>51</v>
      </c>
      <c r="K2884" s="28" t="s">
        <v>51</v>
      </c>
      <c r="L2884" s="28" t="s">
        <v>51</v>
      </c>
      <c r="M2884" s="28" t="s">
        <v>51</v>
      </c>
      <c r="N2884" s="28" t="s">
        <v>51</v>
      </c>
    </row>
    <row r="2885" spans="1:14" hidden="1" outlineLevel="1" x14ac:dyDescent="0.2">
      <c r="A2885" s="23" t="str">
        <f>HYPERLINK("https://www.spark-marketing.ru/Card/Person/61426", "МБОУ ЩЁЛКОВСКИЙ ЛИЦЕЙ № 7 ЩМР МО")</f>
        <v>МБОУ ЩЁЛКОВСКИЙ ЛИЦЕЙ № 7 ЩМР МО</v>
      </c>
      <c r="B2885" s="24" t="s">
        <v>5194</v>
      </c>
      <c r="C2885" s="25">
        <v>5750976</v>
      </c>
      <c r="D2885" s="22" t="s">
        <v>5195</v>
      </c>
      <c r="E2885" s="22" t="s">
        <v>48</v>
      </c>
      <c r="F2885" s="23" t="str">
        <f>HYPERLINK("https://www.spark-marketing.ru/Card/Lot/73414166",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85" s="22" t="s">
        <v>49</v>
      </c>
      <c r="H2885" s="22" t="s">
        <v>4644</v>
      </c>
      <c r="I2885" s="26">
        <v>43721.804166666698</v>
      </c>
      <c r="J2885" s="23" t="str">
        <f>HYPERLINK("https://www.spark-marketing.ru/Card/Person/102786", "ООО ""ЭКОМОЛ""")</f>
        <v>ООО "ЭКОМОЛ"</v>
      </c>
      <c r="K2885" s="24" t="s">
        <v>5196</v>
      </c>
      <c r="L2885" s="28" t="s">
        <v>51</v>
      </c>
      <c r="M2885" s="25">
        <v>5175878.4000000004</v>
      </c>
      <c r="N2885" s="27">
        <v>0.1</v>
      </c>
    </row>
    <row r="2886" spans="1:14" hidden="1" outlineLevel="1" x14ac:dyDescent="0.2">
      <c r="A2886" s="23" t="str">
        <f>HYPERLINK("https://www.spark-marketing.ru/Card/Person/61426", "МБОУ ЩЁЛКОВСКИЙ ЛИЦЕЙ № 7 ЩМР МО")</f>
        <v>МБОУ ЩЁЛКОВСКИЙ ЛИЦЕЙ № 7 ЩМР МО</v>
      </c>
      <c r="B2886" s="24" t="s">
        <v>5194</v>
      </c>
      <c r="C2886" s="25">
        <v>5750976</v>
      </c>
      <c r="D2886" s="22" t="s">
        <v>5195</v>
      </c>
      <c r="E2886" s="22" t="s">
        <v>48</v>
      </c>
      <c r="F2886" s="23" t="str">
        <f>HYPERLINK("https://www.spark-marketing.ru/Card/Lot/73414166",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86" s="22" t="s">
        <v>49</v>
      </c>
      <c r="H2886" s="22" t="s">
        <v>4644</v>
      </c>
      <c r="I2886" s="26">
        <v>43721.804166666698</v>
      </c>
      <c r="J2886" s="23" t="str">
        <f>HYPERLINK("https://www.spark-marketing.ru/Card/Person/708967", "Меркулова Надежда Евгеньевна")</f>
        <v>Меркулова Надежда Евгеньевна</v>
      </c>
      <c r="K2886" s="24" t="s">
        <v>5184</v>
      </c>
      <c r="L2886" s="28" t="s">
        <v>51</v>
      </c>
      <c r="M2886" s="25">
        <v>5060858.88</v>
      </c>
      <c r="N2886" s="27">
        <v>0.12</v>
      </c>
    </row>
    <row r="2887" spans="1:14" ht="12.75" hidden="1" outlineLevel="1" x14ac:dyDescent="0.2">
      <c r="A2887" s="23" t="str">
        <f>HYPERLINK("https://www.spark-marketing.ru/Card/Person/61426", "МБОУ ЩЁЛКОВСКИЙ ЛИЦЕЙ № 7 ЩМР МО")</f>
        <v>МБОУ ЩЁЛКОВСКИЙ ЛИЦЕЙ № 7 ЩМР МО</v>
      </c>
      <c r="B2887" s="24" t="s">
        <v>5194</v>
      </c>
      <c r="C2887" s="25">
        <v>5750976</v>
      </c>
      <c r="D2887" s="22" t="s">
        <v>5195</v>
      </c>
      <c r="E2887" s="22" t="s">
        <v>48</v>
      </c>
      <c r="F2887" s="23" t="str">
        <f>HYPERLINK("https://www.spark-marketing.ru/Card/Lot/73414166",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87" s="22" t="s">
        <v>49</v>
      </c>
      <c r="H2887" s="22" t="s">
        <v>4644</v>
      </c>
      <c r="I2887" s="26">
        <v>43721.804166666698</v>
      </c>
      <c r="J2887" s="23" t="str">
        <f>HYPERLINK("https://www.spark-marketing.ru/Card/Person/75516", "ООО ""КОНЦЕПТ""")</f>
        <v>ООО "КОНЦЕПТ"</v>
      </c>
      <c r="K2887" s="24" t="s">
        <v>1717</v>
      </c>
      <c r="L2887" s="22" t="s">
        <v>10</v>
      </c>
      <c r="M2887" s="25">
        <v>5721408</v>
      </c>
      <c r="N2887" s="27">
        <v>5.1413881748071976E-3</v>
      </c>
    </row>
    <row r="2888" spans="1:14" x14ac:dyDescent="0.15">
      <c r="A2888" s="23" t="str">
        <f>HYPERLINK("https://www.spark-marketing.ru/Card/Person/127333", "МБДОУ ЦРР-ДЕТСКИЙ САД №34 ""РЯБИНУШКА"" ГОЩ")</f>
        <v>МБДОУ ЦРР-ДЕТСКИЙ САД №34 "РЯБИНУШКА" ГОЩ</v>
      </c>
      <c r="B2888" s="24" t="s">
        <v>5197</v>
      </c>
      <c r="C2888" s="25">
        <v>10826765.6</v>
      </c>
      <c r="D2888" s="22" t="s">
        <v>5198</v>
      </c>
      <c r="E2888" s="22" t="s">
        <v>48</v>
      </c>
      <c r="F2888" s="23" t="str">
        <f>HYPERLINK("https://www.spark-marketing.ru/Card/Lot/73414164",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88" s="22" t="s">
        <v>49</v>
      </c>
      <c r="H2888" s="22" t="s">
        <v>4644</v>
      </c>
      <c r="I2888" s="26">
        <v>43721.802777777797</v>
      </c>
      <c r="J2888" s="28" t="s">
        <v>51</v>
      </c>
      <c r="K2888" s="28" t="s">
        <v>51</v>
      </c>
      <c r="L2888" s="28" t="s">
        <v>51</v>
      </c>
      <c r="M2888" s="28" t="s">
        <v>51</v>
      </c>
      <c r="N2888" s="28" t="s">
        <v>51</v>
      </c>
    </row>
    <row r="2889" spans="1:14" x14ac:dyDescent="0.15">
      <c r="A2889" s="23" t="str">
        <f>HYPERLINK("https://www.spark-marketing.ru/Card/Person/60506", "МБДОУ ДЕТСКИЙ САД № 15 ""КОЛОКОЛЬЧИК"" ОБЩЕРАЗВИВАЮЩЕГО ВИДА ГОЩ")</f>
        <v>МБДОУ ДЕТСКИЙ САД № 15 "КОЛОКОЛЬЧИК" ОБЩЕРАЗВИВАЮЩЕГО ВИДА ГОЩ</v>
      </c>
      <c r="B2889" s="24" t="s">
        <v>5199</v>
      </c>
      <c r="C2889" s="25">
        <v>11082149.4</v>
      </c>
      <c r="D2889" s="22" t="s">
        <v>5200</v>
      </c>
      <c r="E2889" s="22" t="s">
        <v>48</v>
      </c>
      <c r="F2889" s="23" t="str">
        <f>HYPERLINK("https://www.spark-marketing.ru/Card/Lot/73413819",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89" s="22" t="s">
        <v>49</v>
      </c>
      <c r="H2889" s="22" t="s">
        <v>4644</v>
      </c>
      <c r="I2889" s="26">
        <v>43721.8034722222</v>
      </c>
      <c r="J2889" s="28" t="s">
        <v>51</v>
      </c>
      <c r="K2889" s="28" t="s">
        <v>51</v>
      </c>
      <c r="L2889" s="28" t="s">
        <v>51</v>
      </c>
      <c r="M2889" s="28" t="s">
        <v>51</v>
      </c>
      <c r="N2889" s="28" t="s">
        <v>51</v>
      </c>
    </row>
    <row r="2890" spans="1:14" x14ac:dyDescent="0.15">
      <c r="A2890" s="23" t="str">
        <f>HYPERLINK("https://www.spark-marketing.ru/Card/Person/61924", "МБДОУ ДЕТСКИЙ САД № 39 ""ЗОЛОТОЙ КЛЮЧИК"" ОБЩЕРАЗВИВАЮЩЕГО ВИДА ГОЩ")</f>
        <v>МБДОУ ДЕТСКИЙ САД № 39 "ЗОЛОТОЙ КЛЮЧИК" ОБЩЕРАЗВИВАЮЩЕГО ВИДА ГОЩ</v>
      </c>
      <c r="B2890" s="24" t="s">
        <v>5201</v>
      </c>
      <c r="C2890" s="25">
        <v>11133897.6</v>
      </c>
      <c r="D2890" s="22" t="s">
        <v>5202</v>
      </c>
      <c r="E2890" s="22" t="s">
        <v>48</v>
      </c>
      <c r="F2890" s="23" t="str">
        <f>HYPERLINK("https://www.spark-marketing.ru/Card/Lot/73414162",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90" s="22" t="s">
        <v>49</v>
      </c>
      <c r="H2890" s="22" t="s">
        <v>4644</v>
      </c>
      <c r="I2890" s="26">
        <v>43721.802777777797</v>
      </c>
      <c r="J2890" s="28" t="s">
        <v>51</v>
      </c>
      <c r="K2890" s="28" t="s">
        <v>51</v>
      </c>
      <c r="L2890" s="28" t="s">
        <v>51</v>
      </c>
      <c r="M2890" s="28" t="s">
        <v>51</v>
      </c>
      <c r="N2890" s="28" t="s">
        <v>51</v>
      </c>
    </row>
    <row r="2891" spans="1:14" hidden="1" outlineLevel="1" x14ac:dyDescent="0.2">
      <c r="A2891" s="23" t="str">
        <f>HYPERLINK("https://www.spark-marketing.ru/Card/Person/61924", "МБДОУ ДЕТСКИЙ САД № 39 ""ЗОЛОТОЙ КЛЮЧИК"" ОБЩЕРАЗВИВАЮЩЕГО ВИДА ГОЩ")</f>
        <v>МБДОУ ДЕТСКИЙ САД № 39 "ЗОЛОТОЙ КЛЮЧИК" ОБЩЕРАЗВИВАЮЩЕГО ВИДА ГОЩ</v>
      </c>
      <c r="B2891" s="24" t="s">
        <v>5201</v>
      </c>
      <c r="C2891" s="25">
        <v>11133897.6</v>
      </c>
      <c r="D2891" s="22" t="s">
        <v>5202</v>
      </c>
      <c r="E2891" s="22" t="s">
        <v>48</v>
      </c>
      <c r="F2891" s="23" t="str">
        <f>HYPERLINK("https://www.spark-marketing.ru/Card/Lot/73414162",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91" s="22" t="s">
        <v>49</v>
      </c>
      <c r="H2891" s="22" t="s">
        <v>4644</v>
      </c>
      <c r="I2891" s="26">
        <v>43721.802777777797</v>
      </c>
      <c r="J2891" s="23" t="str">
        <f>HYPERLINK("https://www.spark-marketing.ru/Card/Person/31262", "ООО ""АЛЬЯНС""")</f>
        <v>ООО "АЛЬЯНС"</v>
      </c>
      <c r="K2891" s="24" t="s">
        <v>1718</v>
      </c>
      <c r="L2891" s="28" t="s">
        <v>51</v>
      </c>
      <c r="M2891" s="25">
        <v>9463812.9600000009</v>
      </c>
      <c r="N2891" s="27">
        <v>0.15</v>
      </c>
    </row>
    <row r="2892" spans="1:14" hidden="1" outlineLevel="1" x14ac:dyDescent="0.2">
      <c r="A2892" s="23" t="str">
        <f>HYPERLINK("https://www.spark-marketing.ru/Card/Person/61924", "МБДОУ ДЕТСКИЙ САД № 39 ""ЗОЛОТОЙ КЛЮЧИК"" ОБЩЕРАЗВИВАЮЩЕГО ВИДА ГОЩ")</f>
        <v>МБДОУ ДЕТСКИЙ САД № 39 "ЗОЛОТОЙ КЛЮЧИК" ОБЩЕРАЗВИВАЮЩЕГО ВИДА ГОЩ</v>
      </c>
      <c r="B2892" s="24" t="s">
        <v>5201</v>
      </c>
      <c r="C2892" s="25">
        <v>11133897.6</v>
      </c>
      <c r="D2892" s="22" t="s">
        <v>5202</v>
      </c>
      <c r="E2892" s="22" t="s">
        <v>48</v>
      </c>
      <c r="F2892" s="23" t="str">
        <f>HYPERLINK("https://www.spark-marketing.ru/Card/Lot/73414162",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92" s="22" t="s">
        <v>49</v>
      </c>
      <c r="H2892" s="22" t="s">
        <v>4644</v>
      </c>
      <c r="I2892" s="26">
        <v>43721.802777777797</v>
      </c>
      <c r="J2892" s="23" t="str">
        <f>HYPERLINK("https://www.spark-marketing.ru/Card/Person/708967", "Меркулова Надежда Евгеньевна")</f>
        <v>Меркулова Надежда Евгеньевна</v>
      </c>
      <c r="K2892" s="24" t="s">
        <v>5184</v>
      </c>
      <c r="L2892" s="28" t="s">
        <v>51</v>
      </c>
      <c r="M2892" s="25">
        <v>9798006.8399999999</v>
      </c>
      <c r="N2892" s="27">
        <v>0.11998410691328794</v>
      </c>
    </row>
    <row r="2893" spans="1:14" ht="12.75" hidden="1" outlineLevel="1" x14ac:dyDescent="0.2">
      <c r="A2893" s="23" t="str">
        <f>HYPERLINK("https://www.spark-marketing.ru/Card/Person/61924", "МБДОУ ДЕТСКИЙ САД № 39 ""ЗОЛОТОЙ КЛЮЧИК"" ОБЩЕРАЗВИВАЮЩЕГО ВИДА ГОЩ")</f>
        <v>МБДОУ ДЕТСКИЙ САД № 39 "ЗОЛОТОЙ КЛЮЧИК" ОБЩЕРАЗВИВАЮЩЕГО ВИДА ГОЩ</v>
      </c>
      <c r="B2893" s="24" t="s">
        <v>5201</v>
      </c>
      <c r="C2893" s="25">
        <v>11133897.6</v>
      </c>
      <c r="D2893" s="22" t="s">
        <v>5202</v>
      </c>
      <c r="E2893" s="22" t="s">
        <v>48</v>
      </c>
      <c r="F2893" s="23" t="str">
        <f>HYPERLINK("https://www.spark-marketing.ru/Card/Lot/73414162",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893" s="22" t="s">
        <v>49</v>
      </c>
      <c r="H2893" s="22" t="s">
        <v>4644</v>
      </c>
      <c r="I2893" s="26">
        <v>43721.802777777797</v>
      </c>
      <c r="J2893" s="23" t="str">
        <f>HYPERLINK("https://www.spark-marketing.ru/Card/Person/75516", "ООО ""КОНЦЕПТ""")</f>
        <v>ООО "КОНЦЕПТ"</v>
      </c>
      <c r="K2893" s="24" t="s">
        <v>1717</v>
      </c>
      <c r="L2893" s="22" t="s">
        <v>10</v>
      </c>
      <c r="M2893" s="25">
        <v>11128580.4</v>
      </c>
      <c r="N2893" s="27">
        <v>4.7756860993584135E-4</v>
      </c>
    </row>
    <row r="2894" spans="1:14" x14ac:dyDescent="0.15">
      <c r="A2894" s="23" t="str">
        <f t="shared" ref="A2894:A2904" si="44">HYPERLINK("https://www.spark-marketing.ru/Card/Person/4434", "ФГБУ ""НМИЦ РК"" МИНЗДРАВА РОССИИ")</f>
        <v>ФГБУ "НМИЦ РК" МИНЗДРАВА РОССИИ</v>
      </c>
      <c r="B2894" s="24" t="s">
        <v>5066</v>
      </c>
      <c r="C2894" s="25">
        <v>134820</v>
      </c>
      <c r="D2894" s="22" t="s">
        <v>5203</v>
      </c>
      <c r="E2894" s="22" t="s">
        <v>1807</v>
      </c>
      <c r="F2894" s="23" t="str">
        <f t="shared" ref="F2894:F2904" si="45">HYPERLINK("https://www.spark-marketing.ru/Card/Lot/73413107", "Оказание услуг по изготовлению полиграфической продукции (медицинские бланки) для ЛРКЦ «Юдино» - филиала ФГБУ «НМИЦ РК» Минздрава России")</f>
        <v>Оказание услуг по изготовлению полиграфической продукции (медицинские бланки) для ЛРКЦ «Юдино» - филиала ФГБУ «НМИЦ РК» Минздрава России</v>
      </c>
      <c r="G2894" s="22" t="s">
        <v>49</v>
      </c>
      <c r="H2894" s="22" t="s">
        <v>49</v>
      </c>
      <c r="I2894" s="26">
        <v>43721.802777777797</v>
      </c>
      <c r="J2894" s="28" t="s">
        <v>51</v>
      </c>
      <c r="K2894" s="28" t="s">
        <v>51</v>
      </c>
      <c r="L2894" s="28" t="s">
        <v>51</v>
      </c>
      <c r="M2894" s="28" t="s">
        <v>51</v>
      </c>
      <c r="N2894" s="28" t="s">
        <v>51</v>
      </c>
    </row>
    <row r="2895" spans="1:14" hidden="1" outlineLevel="1" x14ac:dyDescent="0.2">
      <c r="A2895" s="23" t="str">
        <f t="shared" si="44"/>
        <v>ФГБУ "НМИЦ РК" МИНЗДРАВА РОССИИ</v>
      </c>
      <c r="B2895" s="24" t="s">
        <v>5066</v>
      </c>
      <c r="C2895" s="25">
        <v>134820</v>
      </c>
      <c r="D2895" s="22" t="s">
        <v>5203</v>
      </c>
      <c r="E2895" s="22" t="s">
        <v>1807</v>
      </c>
      <c r="F2895" s="23" t="str">
        <f t="shared" si="45"/>
        <v>Оказание услуг по изготовлению полиграфической продукции (медицинские бланки) для ЛРКЦ «Юдино» - филиала ФГБУ «НМИЦ РК» Минздрава России</v>
      </c>
      <c r="G2895" s="22" t="s">
        <v>49</v>
      </c>
      <c r="H2895" s="22" t="s">
        <v>49</v>
      </c>
      <c r="I2895" s="26">
        <v>43721.802777777797</v>
      </c>
      <c r="J2895" s="23" t="str">
        <f>HYPERLINK("https://www.spark-marketing.ru/Card/Person/63905", "ООО ""АКЦЕНТ""")</f>
        <v>ООО "АКЦЕНТ"</v>
      </c>
      <c r="K2895" s="24" t="s">
        <v>5170</v>
      </c>
      <c r="L2895" s="28" t="s">
        <v>51</v>
      </c>
      <c r="M2895" s="25">
        <v>80000</v>
      </c>
      <c r="N2895" s="27">
        <v>0.40661622904613559</v>
      </c>
    </row>
    <row r="2896" spans="1:14" hidden="1" outlineLevel="1" x14ac:dyDescent="0.2">
      <c r="A2896" s="23" t="str">
        <f t="shared" si="44"/>
        <v>ФГБУ "НМИЦ РК" МИНЗДРАВА РОССИИ</v>
      </c>
      <c r="B2896" s="24" t="s">
        <v>5066</v>
      </c>
      <c r="C2896" s="25">
        <v>134820</v>
      </c>
      <c r="D2896" s="22" t="s">
        <v>5203</v>
      </c>
      <c r="E2896" s="22" t="s">
        <v>1807</v>
      </c>
      <c r="F2896" s="23" t="str">
        <f t="shared" si="45"/>
        <v>Оказание услуг по изготовлению полиграфической продукции (медицинские бланки) для ЛРКЦ «Юдино» - филиала ФГБУ «НМИЦ РК» Минздрава России</v>
      </c>
      <c r="G2896" s="22" t="s">
        <v>49</v>
      </c>
      <c r="H2896" s="22" t="s">
        <v>49</v>
      </c>
      <c r="I2896" s="26">
        <v>43721.802777777797</v>
      </c>
      <c r="J2896" s="23" t="str">
        <f>HYPERLINK("https://www.spark-marketing.ru/Card/Person/301281", "ООО ""КОСТРОМСКОЙ ПЕЧАТНЫЙ ДОМ""")</f>
        <v>ООО "КОСТРОМСКОЙ ПЕЧАТНЫЙ ДОМ"</v>
      </c>
      <c r="K2896" s="24" t="s">
        <v>5204</v>
      </c>
      <c r="L2896" s="28" t="s">
        <v>51</v>
      </c>
      <c r="M2896" s="25">
        <v>78651.8</v>
      </c>
      <c r="N2896" s="27">
        <v>0.4166162290461356</v>
      </c>
    </row>
    <row r="2897" spans="1:14" hidden="1" outlineLevel="1" x14ac:dyDescent="0.2">
      <c r="A2897" s="23" t="str">
        <f t="shared" si="44"/>
        <v>ФГБУ "НМИЦ РК" МИНЗДРАВА РОССИИ</v>
      </c>
      <c r="B2897" s="24" t="s">
        <v>5066</v>
      </c>
      <c r="C2897" s="25">
        <v>134820</v>
      </c>
      <c r="D2897" s="22" t="s">
        <v>5203</v>
      </c>
      <c r="E2897" s="22" t="s">
        <v>1807</v>
      </c>
      <c r="F2897" s="23" t="str">
        <f t="shared" si="45"/>
        <v>Оказание услуг по изготовлению полиграфической продукции (медицинские бланки) для ЛРКЦ «Юдино» - филиала ФГБУ «НМИЦ РК» Минздрава России</v>
      </c>
      <c r="G2897" s="22" t="s">
        <v>49</v>
      </c>
      <c r="H2897" s="22" t="s">
        <v>49</v>
      </c>
      <c r="I2897" s="26">
        <v>43721.802777777797</v>
      </c>
      <c r="J2897" s="23" t="str">
        <f>HYPERLINK("https://www.spark-marketing.ru/Card/Person/1611691", "ООО ""ЛАКУЭР ПРИНТ""")</f>
        <v>ООО "ЛАКУЭР ПРИНТ"</v>
      </c>
      <c r="K2897" s="24" t="s">
        <v>5205</v>
      </c>
      <c r="L2897" s="28" t="s">
        <v>51</v>
      </c>
      <c r="M2897" s="25">
        <v>86125.2</v>
      </c>
      <c r="N2897" s="27">
        <v>0.36118380062305294</v>
      </c>
    </row>
    <row r="2898" spans="1:14" hidden="1" outlineLevel="1" x14ac:dyDescent="0.2">
      <c r="A2898" s="23" t="str">
        <f t="shared" si="44"/>
        <v>ФГБУ "НМИЦ РК" МИНЗДРАВА РОССИИ</v>
      </c>
      <c r="B2898" s="24" t="s">
        <v>5066</v>
      </c>
      <c r="C2898" s="25">
        <v>134820</v>
      </c>
      <c r="D2898" s="22" t="s">
        <v>5203</v>
      </c>
      <c r="E2898" s="22" t="s">
        <v>1807</v>
      </c>
      <c r="F2898" s="23" t="str">
        <f t="shared" si="45"/>
        <v>Оказание услуг по изготовлению полиграфической продукции (медицинские бланки) для ЛРКЦ «Юдино» - филиала ФГБУ «НМИЦ РК» Минздрава России</v>
      </c>
      <c r="G2898" s="22" t="s">
        <v>49</v>
      </c>
      <c r="H2898" s="22" t="s">
        <v>49</v>
      </c>
      <c r="I2898" s="26">
        <v>43721.802777777797</v>
      </c>
      <c r="J2898" s="23" t="str">
        <f>HYPERLINK("https://www.spark-marketing.ru/Card/Person/6421268", "Головатый Александр Николаевич")</f>
        <v>Головатый Александр Николаевич</v>
      </c>
      <c r="K2898" s="24" t="s">
        <v>5206</v>
      </c>
      <c r="L2898" s="28" t="s">
        <v>51</v>
      </c>
      <c r="M2898" s="25">
        <v>54925</v>
      </c>
      <c r="N2898" s="27">
        <v>0.59260495475448749</v>
      </c>
    </row>
    <row r="2899" spans="1:14" ht="12.75" hidden="1" outlineLevel="1" x14ac:dyDescent="0.2">
      <c r="A2899" s="23" t="str">
        <f t="shared" si="44"/>
        <v>ФГБУ "НМИЦ РК" МИНЗДРАВА РОССИИ</v>
      </c>
      <c r="B2899" s="24" t="s">
        <v>5066</v>
      </c>
      <c r="C2899" s="25">
        <v>134820</v>
      </c>
      <c r="D2899" s="22" t="s">
        <v>5203</v>
      </c>
      <c r="E2899" s="22" t="s">
        <v>1807</v>
      </c>
      <c r="F2899" s="23" t="str">
        <f t="shared" si="45"/>
        <v>Оказание услуг по изготовлению полиграфической продукции (медицинские бланки) для ЛРКЦ «Юдино» - филиала ФГБУ «НМИЦ РК» Минздрава России</v>
      </c>
      <c r="G2899" s="22" t="s">
        <v>49</v>
      </c>
      <c r="H2899" s="22" t="s">
        <v>49</v>
      </c>
      <c r="I2899" s="26">
        <v>43721.802777777797</v>
      </c>
      <c r="J2899" s="23" t="str">
        <f>HYPERLINK("https://www.spark-marketing.ru/Card/Person/6265198", "Бугаков Александр Алексеевич")</f>
        <v>Бугаков Александр Алексеевич</v>
      </c>
      <c r="K2899" s="24" t="s">
        <v>5207</v>
      </c>
      <c r="L2899" s="22" t="s">
        <v>10</v>
      </c>
      <c r="M2899" s="25">
        <v>48000</v>
      </c>
      <c r="N2899" s="27">
        <v>0.64396973742768138</v>
      </c>
    </row>
    <row r="2900" spans="1:14" hidden="1" outlineLevel="1" x14ac:dyDescent="0.2">
      <c r="A2900" s="23" t="str">
        <f t="shared" si="44"/>
        <v>ФГБУ "НМИЦ РК" МИНЗДРАВА РОССИИ</v>
      </c>
      <c r="B2900" s="24" t="s">
        <v>5066</v>
      </c>
      <c r="C2900" s="25">
        <v>134820</v>
      </c>
      <c r="D2900" s="22" t="s">
        <v>5203</v>
      </c>
      <c r="E2900" s="22" t="s">
        <v>1807</v>
      </c>
      <c r="F2900" s="23" t="str">
        <f t="shared" si="45"/>
        <v>Оказание услуг по изготовлению полиграфической продукции (медицинские бланки) для ЛРКЦ «Юдино» - филиала ФГБУ «НМИЦ РК» Минздрава России</v>
      </c>
      <c r="G2900" s="22" t="s">
        <v>49</v>
      </c>
      <c r="H2900" s="22" t="s">
        <v>49</v>
      </c>
      <c r="I2900" s="26">
        <v>43721.802777777797</v>
      </c>
      <c r="J2900" s="23" t="str">
        <f>HYPERLINK("https://www.spark-marketing.ru/Card/Person/159573", "ООО ""ПОЛИГРАФИЧЕСКИЕ РЕШЕНИЯ""")</f>
        <v>ООО "ПОЛИГРАФИЧЕСКИЕ РЕШЕНИЯ"</v>
      </c>
      <c r="K2900" s="24" t="s">
        <v>5208</v>
      </c>
      <c r="L2900" s="28" t="s">
        <v>51</v>
      </c>
      <c r="M2900" s="25">
        <v>49000</v>
      </c>
      <c r="N2900" s="27">
        <v>0.63655244029075808</v>
      </c>
    </row>
    <row r="2901" spans="1:14" hidden="1" outlineLevel="1" x14ac:dyDescent="0.2">
      <c r="A2901" s="23" t="str">
        <f t="shared" si="44"/>
        <v>ФГБУ "НМИЦ РК" МИНЗДРАВА РОССИИ</v>
      </c>
      <c r="B2901" s="24" t="s">
        <v>5066</v>
      </c>
      <c r="C2901" s="25">
        <v>134820</v>
      </c>
      <c r="D2901" s="22" t="s">
        <v>5203</v>
      </c>
      <c r="E2901" s="22" t="s">
        <v>1807</v>
      </c>
      <c r="F2901" s="23" t="str">
        <f t="shared" si="45"/>
        <v>Оказание услуг по изготовлению полиграфической продукции (медицинские бланки) для ЛРКЦ «Юдино» - филиала ФГБУ «НМИЦ РК» Минздрава России</v>
      </c>
      <c r="G2901" s="22" t="s">
        <v>49</v>
      </c>
      <c r="H2901" s="22" t="s">
        <v>49</v>
      </c>
      <c r="I2901" s="26">
        <v>43721.802777777797</v>
      </c>
      <c r="J2901" s="23" t="str">
        <f>HYPERLINK("https://www.spark-marketing.ru/Card/Person/541870", "АО ""ТЕЛЕРАДИОКОМПАНИЯ РТР""")</f>
        <v>АО "ТЕЛЕРАДИОКОМПАНИЯ РТР"</v>
      </c>
      <c r="K2901" s="24" t="s">
        <v>5209</v>
      </c>
      <c r="L2901" s="28" t="s">
        <v>51</v>
      </c>
      <c r="M2901" s="25">
        <v>105000</v>
      </c>
      <c r="N2901" s="27">
        <v>0.22118380062305296</v>
      </c>
    </row>
    <row r="2902" spans="1:14" hidden="1" outlineLevel="1" x14ac:dyDescent="0.2">
      <c r="A2902" s="23" t="str">
        <f t="shared" si="44"/>
        <v>ФГБУ "НМИЦ РК" МИНЗДРАВА РОССИИ</v>
      </c>
      <c r="B2902" s="24" t="s">
        <v>5066</v>
      </c>
      <c r="C2902" s="25">
        <v>134820</v>
      </c>
      <c r="D2902" s="22" t="s">
        <v>5203</v>
      </c>
      <c r="E2902" s="22" t="s">
        <v>1807</v>
      </c>
      <c r="F2902" s="23" t="str">
        <f t="shared" si="45"/>
        <v>Оказание услуг по изготовлению полиграфической продукции (медицинские бланки) для ЛРКЦ «Юдино» - филиала ФГБУ «НМИЦ РК» Минздрава России</v>
      </c>
      <c r="G2902" s="22" t="s">
        <v>49</v>
      </c>
      <c r="H2902" s="22" t="s">
        <v>49</v>
      </c>
      <c r="I2902" s="26">
        <v>43721.802777777797</v>
      </c>
      <c r="J2902" s="23" t="str">
        <f>HYPERLINK("https://www.spark-marketing.ru/Card/Person/705049", "ООО ""ЦЕНТР-ПРИНТ""")</f>
        <v>ООО "ЦЕНТР-ПРИНТ"</v>
      </c>
      <c r="K2902" s="24" t="s">
        <v>5210</v>
      </c>
      <c r="L2902" s="28" t="s">
        <v>51</v>
      </c>
      <c r="M2902" s="25">
        <v>84102.9</v>
      </c>
      <c r="N2902" s="27">
        <v>0.37618380062305296</v>
      </c>
    </row>
    <row r="2903" spans="1:14" hidden="1" outlineLevel="1" x14ac:dyDescent="0.2">
      <c r="A2903" s="23" t="str">
        <f t="shared" si="44"/>
        <v>ФГБУ "НМИЦ РК" МИНЗДРАВА РОССИИ</v>
      </c>
      <c r="B2903" s="24" t="s">
        <v>5066</v>
      </c>
      <c r="C2903" s="25">
        <v>134820</v>
      </c>
      <c r="D2903" s="22" t="s">
        <v>5203</v>
      </c>
      <c r="E2903" s="22" t="s">
        <v>1807</v>
      </c>
      <c r="F2903" s="23" t="str">
        <f t="shared" si="45"/>
        <v>Оказание услуг по изготовлению полиграфической продукции (медицинские бланки) для ЛРКЦ «Юдино» - филиала ФГБУ «НМИЦ РК» Минздрава России</v>
      </c>
      <c r="G2903" s="22" t="s">
        <v>49</v>
      </c>
      <c r="H2903" s="22" t="s">
        <v>49</v>
      </c>
      <c r="I2903" s="26">
        <v>43721.802777777797</v>
      </c>
      <c r="J2903" s="23" t="str">
        <f>HYPERLINK("https://www.spark-marketing.ru/Card/Person/4786702", "ООО ""СОДЕЙСТВИЕ СТРОИТЕЛЬСТВУ""")</f>
        <v>ООО "СОДЕЙСТВИЕ СТРОИТЕЛЬСТВУ"</v>
      </c>
      <c r="K2903" s="24" t="s">
        <v>5211</v>
      </c>
      <c r="L2903" s="28" t="s">
        <v>51</v>
      </c>
      <c r="M2903" s="25">
        <v>104300</v>
      </c>
      <c r="N2903" s="27">
        <v>0.22637590861889928</v>
      </c>
    </row>
    <row r="2904" spans="1:14" hidden="1" outlineLevel="1" x14ac:dyDescent="0.2">
      <c r="A2904" s="23" t="str">
        <f t="shared" si="44"/>
        <v>ФГБУ "НМИЦ РК" МИНЗДРАВА РОССИИ</v>
      </c>
      <c r="B2904" s="24" t="s">
        <v>5066</v>
      </c>
      <c r="C2904" s="25">
        <v>134820</v>
      </c>
      <c r="D2904" s="22" t="s">
        <v>5203</v>
      </c>
      <c r="E2904" s="22" t="s">
        <v>1807</v>
      </c>
      <c r="F2904" s="23" t="str">
        <f t="shared" si="45"/>
        <v>Оказание услуг по изготовлению полиграфической продукции (медицинские бланки) для ЛРКЦ «Юдино» - филиала ФГБУ «НМИЦ РК» Минздрава России</v>
      </c>
      <c r="G2904" s="22" t="s">
        <v>49</v>
      </c>
      <c r="H2904" s="22" t="s">
        <v>49</v>
      </c>
      <c r="I2904" s="26">
        <v>43721.802777777797</v>
      </c>
      <c r="J2904" s="23" t="str">
        <f>HYPERLINK("https://www.spark-marketing.ru/Card/Person/247039", "ООО ""СГТ""")</f>
        <v>ООО "СГТ"</v>
      </c>
      <c r="K2904" s="24" t="s">
        <v>5212</v>
      </c>
      <c r="L2904" s="28" t="s">
        <v>51</v>
      </c>
      <c r="M2904" s="25">
        <v>77977.7</v>
      </c>
      <c r="N2904" s="27">
        <v>0.4216162290461356</v>
      </c>
    </row>
    <row r="2905" spans="1:14" x14ac:dyDescent="0.15">
      <c r="A2905" s="23" t="str">
        <f>HYPERLINK("https://www.spark-marketing.ru/Card/Person/4348836", "ГОСКОМИТЕТ РБ ПО ТОРГОВЛЕ")</f>
        <v>ГОСКОМИТЕТ РБ ПО ТОРГОВЛЕ</v>
      </c>
      <c r="B2905" s="24" t="s">
        <v>2090</v>
      </c>
      <c r="C2905" s="25">
        <v>650000</v>
      </c>
      <c r="D2905" s="22" t="s">
        <v>5213</v>
      </c>
      <c r="E2905" s="22" t="s">
        <v>67</v>
      </c>
      <c r="F2905" s="23" t="str">
        <f>HYPERLINK("https://www.spark-marketing.ru/Card/Lot/73410638", "Оказание услуг по организации питания участников Научно-методического совета архивных учреждений Приволжского федерального округа и официального приема от имени Правительства Республики Башкортостан")</f>
        <v>Оказание услуг по организации питания участников Научно-методического совета архивных учреждений Приволжского федерального округа и официального приема от имени Правительства Республики Башкортостан</v>
      </c>
      <c r="G2905" s="22" t="s">
        <v>145</v>
      </c>
      <c r="H2905" s="22" t="s">
        <v>436</v>
      </c>
      <c r="I2905" s="26">
        <v>43721.75</v>
      </c>
      <c r="J2905" s="23" t="str">
        <f>HYPERLINK("https://www.spark-marketing.ru/Card/Person/180514", "КП РБ КОМБИНАТ ПИТАНИЯ")</f>
        <v>КП РБ КОМБИНАТ ПИТАНИЯ</v>
      </c>
      <c r="K2905" s="24" t="s">
        <v>4774</v>
      </c>
      <c r="L2905" s="22" t="s">
        <v>10</v>
      </c>
      <c r="M2905" s="28" t="s">
        <v>51</v>
      </c>
      <c r="N2905" s="28" t="s">
        <v>51</v>
      </c>
    </row>
    <row r="2906" spans="1:14" x14ac:dyDescent="0.15">
      <c r="A2906" s="23" t="str">
        <f>HYPERLINK("https://www.spark-marketing.ru/Card/Person/135216", "ОМВД РОССИИ ПО МИРНИНСКОМУ РАЙОНУ")</f>
        <v>ОМВД РОССИИ ПО МИРНИНСКОМУ РАЙОНУ</v>
      </c>
      <c r="B2906" s="24" t="s">
        <v>5214</v>
      </c>
      <c r="C2906" s="25">
        <v>500000</v>
      </c>
      <c r="D2906" s="22" t="s">
        <v>5215</v>
      </c>
      <c r="E2906" s="22" t="s">
        <v>48</v>
      </c>
      <c r="F2906" s="23" t="str">
        <f>HYPERLINK("https://www.spark-marketing.ru/Card/Lot/73400522", "питание ИВС г. Удачный")</f>
        <v>питание ИВС г. Удачный</v>
      </c>
      <c r="G2906" s="22" t="s">
        <v>241</v>
      </c>
      <c r="H2906" s="22" t="s">
        <v>4987</v>
      </c>
      <c r="I2906" s="26">
        <v>43721.713888888902</v>
      </c>
      <c r="J2906" s="23" t="str">
        <f>HYPERLINK("https://www.spark-marketing.ru/Card/Person/1754869", "АО ""АЛРОСА-ТОРГ""")</f>
        <v>АО "АЛРОСА-ТОРГ"</v>
      </c>
      <c r="K2906" s="24" t="s">
        <v>5216</v>
      </c>
      <c r="L2906" s="22" t="s">
        <v>10</v>
      </c>
      <c r="M2906" s="28" t="s">
        <v>51</v>
      </c>
      <c r="N2906" s="28" t="s">
        <v>51</v>
      </c>
    </row>
    <row r="2907" spans="1:14" x14ac:dyDescent="0.15">
      <c r="A2907" s="23" t="str">
        <f>HYPERLINK("https://www.spark-marketing.ru/Card/Person/18481", "ФГУП ""РОСРАО""")</f>
        <v>ФГУП "РОСРАО"</v>
      </c>
      <c r="B2907" s="24" t="s">
        <v>2882</v>
      </c>
      <c r="C2907" s="25">
        <v>634280</v>
      </c>
      <c r="D2907" s="22" t="s">
        <v>5217</v>
      </c>
      <c r="E2907" s="22" t="s">
        <v>48</v>
      </c>
      <c r="F2907" s="23" t="str">
        <f>HYPERLINK("https://www.spark-marketing.ru/Card/Lot/73410466", "Оказание услуг по обеспечению лечебно-профилактическим питанием работников, занятых на работах с вредными и особо вредными условиями труда филиала «Сибирский территориальный округ» ФГУП ""РосРАО""")</f>
        <v>Оказание услуг по обеспечению лечебно-профилактическим питанием работников, занятых на работах с вредными и особо вредными условиями труда филиала «Сибирский территориальный округ» ФГУП "РосРАО"</v>
      </c>
      <c r="G2907" s="22" t="s">
        <v>56</v>
      </c>
      <c r="H2907" s="22" t="s">
        <v>56</v>
      </c>
      <c r="I2907" s="26">
        <v>43721.694444444402</v>
      </c>
      <c r="J2907" s="23" t="str">
        <f>HYPERLINK("https://www.spark-marketing.ru/Card/Person/6709636", "Васьков Алексей Михайлович")</f>
        <v>Васьков Алексей Михайлович</v>
      </c>
      <c r="K2907" s="24" t="s">
        <v>5218</v>
      </c>
      <c r="L2907" s="22" t="s">
        <v>10</v>
      </c>
      <c r="M2907" s="28" t="s">
        <v>51</v>
      </c>
      <c r="N2907" s="28" t="s">
        <v>51</v>
      </c>
    </row>
    <row r="2908" spans="1:14" x14ac:dyDescent="0.15">
      <c r="A2908" s="23" t="str">
        <f>HYPERLINK("https://www.spark-marketing.ru/Card/Person/123241", "МБДОУ ЦРР-ДЕТСКИЙ САД № 46 ""МОТЫЛЁК"" ГОЩ")</f>
        <v>МБДОУ ЦРР-ДЕТСКИЙ САД № 46 "МОТЫЛЁК" ГОЩ</v>
      </c>
      <c r="B2908" s="24" t="s">
        <v>5219</v>
      </c>
      <c r="C2908" s="25">
        <v>9549878.8000000007</v>
      </c>
      <c r="D2908" s="22" t="s">
        <v>5220</v>
      </c>
      <c r="E2908" s="22" t="s">
        <v>48</v>
      </c>
      <c r="F2908" s="23" t="str">
        <f>HYPERLINK("https://www.spark-marketing.ru/Card/Lot/73414241",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908" s="22" t="s">
        <v>49</v>
      </c>
      <c r="H2908" s="22" t="s">
        <v>4644</v>
      </c>
      <c r="I2908" s="26">
        <v>43721.682638888902</v>
      </c>
      <c r="J2908" s="28" t="s">
        <v>51</v>
      </c>
      <c r="K2908" s="28" t="s">
        <v>51</v>
      </c>
      <c r="L2908" s="28" t="s">
        <v>51</v>
      </c>
      <c r="M2908" s="28" t="s">
        <v>51</v>
      </c>
      <c r="N2908" s="28" t="s">
        <v>51</v>
      </c>
    </row>
    <row r="2909" spans="1:14" x14ac:dyDescent="0.15">
      <c r="A2909" s="23" t="str">
        <f>HYPERLINK("https://www.spark-marketing.ru/Card/Person/61855", "МБДОУ ЦРР - ДЕТСКИЙ САД №38 ""СОЛНЫШКО"" ГОЩ")</f>
        <v>МБДОУ ЦРР - ДЕТСКИЙ САД №38 "СОЛНЫШКО" ГОЩ</v>
      </c>
      <c r="B2909" s="24" t="s">
        <v>5221</v>
      </c>
      <c r="C2909" s="25">
        <v>7563291.1200000001</v>
      </c>
      <c r="D2909" s="22" t="s">
        <v>5222</v>
      </c>
      <c r="E2909" s="22" t="s">
        <v>48</v>
      </c>
      <c r="F2909" s="23" t="str">
        <f>HYPERLINK("https://www.spark-marketing.ru/Card/Lot/73413674",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909" s="22" t="s">
        <v>49</v>
      </c>
      <c r="H2909" s="22" t="s">
        <v>4644</v>
      </c>
      <c r="I2909" s="26">
        <v>43721.682638888902</v>
      </c>
      <c r="J2909" s="28" t="s">
        <v>51</v>
      </c>
      <c r="K2909" s="28" t="s">
        <v>51</v>
      </c>
      <c r="L2909" s="28" t="s">
        <v>51</v>
      </c>
      <c r="M2909" s="28" t="s">
        <v>51</v>
      </c>
      <c r="N2909" s="28" t="s">
        <v>51</v>
      </c>
    </row>
    <row r="2910" spans="1:14" hidden="1" outlineLevel="1" x14ac:dyDescent="0.2">
      <c r="A2910" s="23" t="str">
        <f>HYPERLINK("https://www.spark-marketing.ru/Card/Person/61855", "МБДОУ ЦРР - ДЕТСКИЙ САД №38 ""СОЛНЫШКО"" ГОЩ")</f>
        <v>МБДОУ ЦРР - ДЕТСКИЙ САД №38 "СОЛНЫШКО" ГОЩ</v>
      </c>
      <c r="B2910" s="24" t="s">
        <v>5221</v>
      </c>
      <c r="C2910" s="25">
        <v>7563291.1200000001</v>
      </c>
      <c r="D2910" s="22" t="s">
        <v>5222</v>
      </c>
      <c r="E2910" s="22" t="s">
        <v>48</v>
      </c>
      <c r="F2910" s="23" t="str">
        <f>HYPERLINK("https://www.spark-marketing.ru/Card/Lot/73413674",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910" s="22" t="s">
        <v>49</v>
      </c>
      <c r="H2910" s="22" t="s">
        <v>4644</v>
      </c>
      <c r="I2910" s="26">
        <v>43721.682638888902</v>
      </c>
      <c r="J2910" s="23" t="str">
        <f>HYPERLINK("https://www.spark-marketing.ru/Card/Person/31262", "ООО ""АЛЬЯНС""")</f>
        <v>ООО "АЛЬЯНС"</v>
      </c>
      <c r="K2910" s="24" t="s">
        <v>1718</v>
      </c>
      <c r="L2910" s="28" t="s">
        <v>51</v>
      </c>
      <c r="M2910" s="25">
        <v>6806962.0099999998</v>
      </c>
      <c r="N2910" s="27">
        <v>9.9999999735564851E-2</v>
      </c>
    </row>
    <row r="2911" spans="1:14" hidden="1" outlineLevel="1" x14ac:dyDescent="0.2">
      <c r="A2911" s="23" t="str">
        <f>HYPERLINK("https://www.spark-marketing.ru/Card/Person/61855", "МБДОУ ЦРР - ДЕТСКИЙ САД №38 ""СОЛНЫШКО"" ГОЩ")</f>
        <v>МБДОУ ЦРР - ДЕТСКИЙ САД №38 "СОЛНЫШКО" ГОЩ</v>
      </c>
      <c r="B2911" s="24" t="s">
        <v>5221</v>
      </c>
      <c r="C2911" s="25">
        <v>7563291.1200000001</v>
      </c>
      <c r="D2911" s="22" t="s">
        <v>5222</v>
      </c>
      <c r="E2911" s="22" t="s">
        <v>48</v>
      </c>
      <c r="F2911" s="23" t="str">
        <f>HYPERLINK("https://www.spark-marketing.ru/Card/Lot/73413674",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911" s="22" t="s">
        <v>49</v>
      </c>
      <c r="H2911" s="22" t="s">
        <v>4644</v>
      </c>
      <c r="I2911" s="26">
        <v>43721.682638888902</v>
      </c>
      <c r="J2911" s="23" t="str">
        <f>HYPERLINK("https://www.spark-marketing.ru/Card/Person/708967", "Меркулова Надежда Евгеньевна")</f>
        <v>Меркулова Надежда Евгеньевна</v>
      </c>
      <c r="K2911" s="24" t="s">
        <v>5184</v>
      </c>
      <c r="L2911" s="28" t="s">
        <v>51</v>
      </c>
      <c r="M2911" s="25">
        <v>6655814.2000000002</v>
      </c>
      <c r="N2911" s="27">
        <v>0.11998439642238709</v>
      </c>
    </row>
    <row r="2912" spans="1:14" ht="12.75" hidden="1" outlineLevel="1" x14ac:dyDescent="0.2">
      <c r="A2912" s="23" t="str">
        <f>HYPERLINK("https://www.spark-marketing.ru/Card/Person/61855", "МБДОУ ЦРР - ДЕТСКИЙ САД №38 ""СОЛНЫШКО"" ГОЩ")</f>
        <v>МБДОУ ЦРР - ДЕТСКИЙ САД №38 "СОЛНЫШКО" ГОЩ</v>
      </c>
      <c r="B2912" s="24" t="s">
        <v>5221</v>
      </c>
      <c r="C2912" s="25">
        <v>7563291.1200000001</v>
      </c>
      <c r="D2912" s="22" t="s">
        <v>5222</v>
      </c>
      <c r="E2912" s="22" t="s">
        <v>48</v>
      </c>
      <c r="F2912" s="23" t="str">
        <f>HYPERLINK("https://www.spark-marketing.ru/Card/Lot/73413674",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912" s="22" t="s">
        <v>49</v>
      </c>
      <c r="H2912" s="22" t="s">
        <v>4644</v>
      </c>
      <c r="I2912" s="26">
        <v>43721.682638888902</v>
      </c>
      <c r="J2912" s="23" t="str">
        <f>HYPERLINK("https://www.spark-marketing.ru/Card/Person/75516", "ООО ""КОНЦЕПТ""")</f>
        <v>ООО "КОНЦЕПТ"</v>
      </c>
      <c r="K2912" s="24" t="s">
        <v>1717</v>
      </c>
      <c r="L2912" s="22" t="s">
        <v>10</v>
      </c>
      <c r="M2912" s="25">
        <v>7563291.1200000001</v>
      </c>
      <c r="N2912" s="27">
        <v>0</v>
      </c>
    </row>
    <row r="2913" spans="1:14" x14ac:dyDescent="0.15">
      <c r="A2913" s="23" t="str">
        <f>HYPERLINK("https://www.spark-marketing.ru/Card/Person/94188", "МБДОУ ДЕТСКИЙ САД №22 ""ЦВЕТИК-СЕМИЦВЕТИК"" ОБЩЕРАЗВИВАЮЩЕГО ВИДА ГОЩ")</f>
        <v>МБДОУ ДЕТСКИЙ САД №22 "ЦВЕТИК-СЕМИЦВЕТИК" ОБЩЕРАЗВИВАЮЩЕГО ВИДА ГОЩ</v>
      </c>
      <c r="B2913" s="24" t="s">
        <v>5223</v>
      </c>
      <c r="C2913" s="25">
        <v>6298739.1600000001</v>
      </c>
      <c r="D2913" s="22" t="s">
        <v>5224</v>
      </c>
      <c r="E2913" s="22" t="s">
        <v>48</v>
      </c>
      <c r="F2913" s="23" t="str">
        <f>HYPERLINK("https://www.spark-marketing.ru/Card/Lot/73414160",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913" s="22" t="s">
        <v>49</v>
      </c>
      <c r="H2913" s="22" t="s">
        <v>4644</v>
      </c>
      <c r="I2913" s="26">
        <v>43721.683333333298</v>
      </c>
      <c r="J2913" s="28" t="s">
        <v>51</v>
      </c>
      <c r="K2913" s="28" t="s">
        <v>51</v>
      </c>
      <c r="L2913" s="28" t="s">
        <v>51</v>
      </c>
      <c r="M2913" s="28" t="s">
        <v>51</v>
      </c>
      <c r="N2913" s="28" t="s">
        <v>51</v>
      </c>
    </row>
    <row r="2914" spans="1:14" hidden="1" outlineLevel="1" x14ac:dyDescent="0.2">
      <c r="A2914" s="23" t="str">
        <f>HYPERLINK("https://www.spark-marketing.ru/Card/Person/94188", "МБДОУ ДЕТСКИЙ САД №22 ""ЦВЕТИК-СЕМИЦВЕТИК"" ОБЩЕРАЗВИВАЮЩЕГО ВИДА ГОЩ")</f>
        <v>МБДОУ ДЕТСКИЙ САД №22 "ЦВЕТИК-СЕМИЦВЕТИК" ОБЩЕРАЗВИВАЮЩЕГО ВИДА ГОЩ</v>
      </c>
      <c r="B2914" s="24" t="s">
        <v>5223</v>
      </c>
      <c r="C2914" s="25">
        <v>6298739.1600000001</v>
      </c>
      <c r="D2914" s="22" t="s">
        <v>5224</v>
      </c>
      <c r="E2914" s="22" t="s">
        <v>48</v>
      </c>
      <c r="F2914" s="23" t="str">
        <f>HYPERLINK("https://www.spark-marketing.ru/Card/Lot/73414160",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914" s="22" t="s">
        <v>49</v>
      </c>
      <c r="H2914" s="22" t="s">
        <v>4644</v>
      </c>
      <c r="I2914" s="26">
        <v>43721.683333333298</v>
      </c>
      <c r="J2914" s="23" t="str">
        <f>HYPERLINK("https://www.spark-marketing.ru/Card/Person/31262", "ООО ""АЛЬЯНС""")</f>
        <v>ООО "АЛЬЯНС"</v>
      </c>
      <c r="K2914" s="24" t="s">
        <v>1718</v>
      </c>
      <c r="L2914" s="28" t="s">
        <v>51</v>
      </c>
      <c r="M2914" s="25">
        <v>5668865.2400000002</v>
      </c>
      <c r="N2914" s="27">
        <v>0.10000000063504773</v>
      </c>
    </row>
    <row r="2915" spans="1:14" hidden="1" outlineLevel="1" x14ac:dyDescent="0.2">
      <c r="A2915" s="23" t="str">
        <f>HYPERLINK("https://www.spark-marketing.ru/Card/Person/94188", "МБДОУ ДЕТСКИЙ САД №22 ""ЦВЕТИК-СЕМИЦВЕТИК"" ОБЩЕРАЗВИВАЮЩЕГО ВИДА ГОЩ")</f>
        <v>МБДОУ ДЕТСКИЙ САД №22 "ЦВЕТИК-СЕМИЦВЕТИК" ОБЩЕРАЗВИВАЮЩЕГО ВИДА ГОЩ</v>
      </c>
      <c r="B2915" s="24" t="s">
        <v>5223</v>
      </c>
      <c r="C2915" s="25">
        <v>6298739.1600000001</v>
      </c>
      <c r="D2915" s="22" t="s">
        <v>5224</v>
      </c>
      <c r="E2915" s="22" t="s">
        <v>48</v>
      </c>
      <c r="F2915" s="23" t="str">
        <f>HYPERLINK("https://www.spark-marketing.ru/Card/Lot/73414160",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915" s="22" t="s">
        <v>49</v>
      </c>
      <c r="H2915" s="22" t="s">
        <v>4644</v>
      </c>
      <c r="I2915" s="26">
        <v>43721.683333333298</v>
      </c>
      <c r="J2915" s="23" t="str">
        <f>HYPERLINK("https://www.spark-marketing.ru/Card/Person/708967", "Меркулова Надежда Евгеньевна")</f>
        <v>Меркулова Надежда Евгеньевна</v>
      </c>
      <c r="K2915" s="24" t="s">
        <v>5184</v>
      </c>
      <c r="L2915" s="28" t="s">
        <v>51</v>
      </c>
      <c r="M2915" s="25">
        <v>5542991.7599999998</v>
      </c>
      <c r="N2915" s="27">
        <v>0.11998391754326909</v>
      </c>
    </row>
    <row r="2916" spans="1:14" ht="12.75" hidden="1" outlineLevel="1" x14ac:dyDescent="0.2">
      <c r="A2916" s="23" t="str">
        <f>HYPERLINK("https://www.spark-marketing.ru/Card/Person/94188", "МБДОУ ДЕТСКИЙ САД №22 ""ЦВЕТИК-СЕМИЦВЕТИК"" ОБЩЕРАЗВИВАЮЩЕГО ВИДА ГОЩ")</f>
        <v>МБДОУ ДЕТСКИЙ САД №22 "ЦВЕТИК-СЕМИЦВЕТИК" ОБЩЕРАЗВИВАЮЩЕГО ВИДА ГОЩ</v>
      </c>
      <c r="B2916" s="24" t="s">
        <v>5223</v>
      </c>
      <c r="C2916" s="25">
        <v>6298739.1600000001</v>
      </c>
      <c r="D2916" s="22" t="s">
        <v>5224</v>
      </c>
      <c r="E2916" s="22" t="s">
        <v>48</v>
      </c>
      <c r="F2916" s="23" t="str">
        <f>HYPERLINK("https://www.spark-marketing.ru/Card/Lot/73414160",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916" s="22" t="s">
        <v>49</v>
      </c>
      <c r="H2916" s="22" t="s">
        <v>4644</v>
      </c>
      <c r="I2916" s="26">
        <v>43721.683333333298</v>
      </c>
      <c r="J2916" s="23" t="str">
        <f>HYPERLINK("https://www.spark-marketing.ru/Card/Person/75516", "ООО ""КОНЦЕПТ""")</f>
        <v>ООО "КОНЦЕПТ"</v>
      </c>
      <c r="K2916" s="24" t="s">
        <v>1717</v>
      </c>
      <c r="L2916" s="22" t="s">
        <v>10</v>
      </c>
      <c r="M2916" s="25">
        <v>6298739.1600000001</v>
      </c>
      <c r="N2916" s="27">
        <v>0</v>
      </c>
    </row>
    <row r="2917" spans="1:14" x14ac:dyDescent="0.15">
      <c r="A2917" s="23" t="str">
        <f>HYPERLINK("https://www.spark-marketing.ru/Card/Person/737864", "МО МВД РОССИИ ""ВОЛЖСКИЙ""")</f>
        <v>МО МВД РОССИИ "ВОЛЖСКИЙ"</v>
      </c>
      <c r="B2917" s="24" t="s">
        <v>5225</v>
      </c>
      <c r="C2917" s="25">
        <v>777600</v>
      </c>
      <c r="D2917" s="22" t="s">
        <v>5226</v>
      </c>
      <c r="E2917" s="22" t="s">
        <v>48</v>
      </c>
      <c r="F2917" s="23" t="str">
        <f>HYPERLINK("https://www.spark-marketing.ru/Card/Lot/73410569", "Оказание услуг по обеспечению трехразовым питанием подозреваемых и обвиняемых в совершении преступлений, лиц подвергнутых административному аресту, находящихся в ИВС ПиО МО МВД России «Волжский» (по адресу: Республика Марий Эл, г. Волжск, ул. 1-ая Пр...")</f>
        <v>Оказание услуг по обеспечению трехразовым питанием подозреваемых и обвиняемых в совершении преступлений, лиц подвергнутых административному аресту, находящихся в ИВС ПиО МО МВД России «Волжский» (по адресу: Республика Марий Эл, г. Волжск, ул. 1-ая Пр...</v>
      </c>
      <c r="G2917" s="22" t="s">
        <v>3249</v>
      </c>
      <c r="H2917" s="22" t="s">
        <v>5227</v>
      </c>
      <c r="I2917" s="26">
        <v>43721.675694444399</v>
      </c>
      <c r="J2917" s="23" t="str">
        <f>HYPERLINK("https://www.spark-marketing.ru/Card/Person/6712631", "Михайлова Татьяна Юрьевна")</f>
        <v>Михайлова Татьяна Юрьевна</v>
      </c>
      <c r="K2917" s="24" t="s">
        <v>5228</v>
      </c>
      <c r="L2917" s="22" t="s">
        <v>10</v>
      </c>
      <c r="M2917" s="28" t="s">
        <v>51</v>
      </c>
      <c r="N2917" s="28" t="s">
        <v>51</v>
      </c>
    </row>
    <row r="2918" spans="1:14" x14ac:dyDescent="0.15">
      <c r="A2918" s="23" t="str">
        <f>HYPERLINK("https://www.spark-marketing.ru/Card/Person/1049800", "ГБУСО МО ""КЦСОР ""ДОМОДЕДОВСКИЙ""")</f>
        <v>ГБУСО МО "КЦСОР "ДОМОДЕДОВСКИЙ"</v>
      </c>
      <c r="B2918" s="24" t="s">
        <v>5229</v>
      </c>
      <c r="C2918" s="25">
        <v>850000</v>
      </c>
      <c r="D2918" s="22" t="s">
        <v>5230</v>
      </c>
      <c r="E2918" s="22" t="s">
        <v>48</v>
      </c>
      <c r="F2918" s="23" t="str">
        <f>HYPERLINK("https://www.spark-marketing.ru/Card/Lot/73410476", "Организация горячего питания")</f>
        <v>Организация горячего питания</v>
      </c>
      <c r="G2918" s="22" t="s">
        <v>49</v>
      </c>
      <c r="H2918" s="22" t="s">
        <v>5231</v>
      </c>
      <c r="I2918" s="26">
        <v>43721.689583333296</v>
      </c>
      <c r="J2918" s="23" t="str">
        <f>HYPERLINK("https://www.spark-marketing.ru/Card/Person/62688", "МУП ""ДОМОДЕДОВСКИЙ КОМБИНАТ ПИТАНИЯ""")</f>
        <v>МУП "ДОМОДЕДОВСКИЙ КОМБИНАТ ПИТАНИЯ"</v>
      </c>
      <c r="K2918" s="24" t="s">
        <v>3955</v>
      </c>
      <c r="L2918" s="22" t="s">
        <v>10</v>
      </c>
      <c r="M2918" s="28" t="s">
        <v>51</v>
      </c>
      <c r="N2918" s="28" t="s">
        <v>51</v>
      </c>
    </row>
    <row r="2919" spans="1:14" x14ac:dyDescent="0.15">
      <c r="A2919" s="23" t="str">
        <f>HYPERLINK("https://www.spark-marketing.ru/Card/Person/1751876", "УМВД РОССИИ ПО САХАЛИНСКОЙ ОБЛАСТИ")</f>
        <v>УМВД РОССИИ ПО САХАЛИНСКОЙ ОБЛАСТИ</v>
      </c>
      <c r="B2919" s="24" t="s">
        <v>258</v>
      </c>
      <c r="C2919" s="25">
        <v>4880000</v>
      </c>
      <c r="D2919" s="22" t="s">
        <v>5232</v>
      </c>
      <c r="E2919" s="22" t="s">
        <v>48</v>
      </c>
      <c r="F2919" s="23" t="str">
        <f>HYPERLINK("https://www.spark-marketing.ru/Card/Lot/73395154", "Оказание услуг по обеспечению выездным комплексным горячим питанием иностранных граждан и лиц без гражданства, содержащихся в Центре временного содержания иностранных граждан УМВД России по Сахалинской области, осуществляющегося путем доставки готово...")</f>
        <v>Оказание услуг по обеспечению выездным комплексным горячим питанием иностранных граждан и лиц без гражданства, содержащихся в Центре временного содержания иностранных граждан УМВД России по Сахалинской области, осуществляющегося путем доставки готово...</v>
      </c>
      <c r="G2919" s="22" t="s">
        <v>260</v>
      </c>
      <c r="H2919" s="22" t="s">
        <v>260</v>
      </c>
      <c r="I2919" s="26">
        <v>43721.682638888902</v>
      </c>
      <c r="J2919" s="28" t="s">
        <v>51</v>
      </c>
      <c r="K2919" s="28" t="s">
        <v>51</v>
      </c>
      <c r="L2919" s="28" t="s">
        <v>51</v>
      </c>
      <c r="M2919" s="28" t="s">
        <v>51</v>
      </c>
      <c r="N2919" s="28" t="s">
        <v>51</v>
      </c>
    </row>
    <row r="2920" spans="1:14" hidden="1" outlineLevel="1" x14ac:dyDescent="0.2">
      <c r="A2920" s="23" t="str">
        <f>HYPERLINK("https://www.spark-marketing.ru/Card/Person/1751876", "УМВД РОССИИ ПО САХАЛИНСКОЙ ОБЛАСТИ")</f>
        <v>УМВД РОССИИ ПО САХАЛИНСКОЙ ОБЛАСТИ</v>
      </c>
      <c r="B2920" s="24" t="s">
        <v>258</v>
      </c>
      <c r="C2920" s="25">
        <v>4880000</v>
      </c>
      <c r="D2920" s="22" t="s">
        <v>5232</v>
      </c>
      <c r="E2920" s="22" t="s">
        <v>48</v>
      </c>
      <c r="F2920" s="23" t="str">
        <f>HYPERLINK("https://www.spark-marketing.ru/Card/Lot/73395154", "Оказание услуг по обеспечению выездным комплексным горячим питанием иностранных граждан и лиц без гражданства, содержащихся в Центре временного содержания иностранных граждан УМВД России по Сахалинской области, осуществляющегося путем доставки готово...")</f>
        <v>Оказание услуг по обеспечению выездным комплексным горячим питанием иностранных граждан и лиц без гражданства, содержащихся в Центре временного содержания иностранных граждан УМВД России по Сахалинской области, осуществляющегося путем доставки готово...</v>
      </c>
      <c r="G2920" s="22" t="s">
        <v>260</v>
      </c>
      <c r="H2920" s="22" t="s">
        <v>260</v>
      </c>
      <c r="I2920" s="26">
        <v>43721.682638888902</v>
      </c>
      <c r="J2920" s="23" t="str">
        <f>HYPERLINK("https://www.spark-marketing.ru/Card/Person/560384", "ООО ""ШКОЛЬНОЕ ПИТАНИЕ""")</f>
        <v>ООО "ШКОЛЬНОЕ ПИТАНИЕ"</v>
      </c>
      <c r="K2920" s="24" t="s">
        <v>3537</v>
      </c>
      <c r="L2920" s="28" t="s">
        <v>51</v>
      </c>
      <c r="M2920" s="25">
        <v>2459.4</v>
      </c>
      <c r="N2920" s="27">
        <v>0.99949602459016396</v>
      </c>
    </row>
    <row r="2921" spans="1:14" ht="12.75" hidden="1" outlineLevel="1" x14ac:dyDescent="0.2">
      <c r="A2921" s="23" t="str">
        <f>HYPERLINK("https://www.spark-marketing.ru/Card/Person/1751876", "УМВД РОССИИ ПО САХАЛИНСКОЙ ОБЛАСТИ")</f>
        <v>УМВД РОССИИ ПО САХАЛИНСКОЙ ОБЛАСТИ</v>
      </c>
      <c r="B2921" s="24" t="s">
        <v>258</v>
      </c>
      <c r="C2921" s="25">
        <v>4880000</v>
      </c>
      <c r="D2921" s="22" t="s">
        <v>5232</v>
      </c>
      <c r="E2921" s="22" t="s">
        <v>48</v>
      </c>
      <c r="F2921" s="23" t="str">
        <f>HYPERLINK("https://www.spark-marketing.ru/Card/Lot/73395154", "Оказание услуг по обеспечению выездным комплексным горячим питанием иностранных граждан и лиц без гражданства, содержащихся в Центре временного содержания иностранных граждан УМВД России по Сахалинской области, осуществляющегося путем доставки готово...")</f>
        <v>Оказание услуг по обеспечению выездным комплексным горячим питанием иностранных граждан и лиц без гражданства, содержащихся в Центре временного содержания иностранных граждан УМВД России по Сахалинской области, осуществляющегося путем доставки готово...</v>
      </c>
      <c r="G2921" s="22" t="s">
        <v>260</v>
      </c>
      <c r="H2921" s="22" t="s">
        <v>260</v>
      </c>
      <c r="I2921" s="26">
        <v>43721.682638888902</v>
      </c>
      <c r="J2921" s="23" t="str">
        <f>HYPERLINK("https://www.spark-marketing.ru/Card/Person/114046", "Ко Радмила Гвансуновна")</f>
        <v>Ко Радмила Гвансуновна</v>
      </c>
      <c r="K2921" s="24" t="s">
        <v>3538</v>
      </c>
      <c r="L2921" s="22" t="s">
        <v>10</v>
      </c>
      <c r="M2921" s="25">
        <v>2094</v>
      </c>
      <c r="N2921" s="27">
        <v>0.99957090163934426</v>
      </c>
    </row>
    <row r="2922" spans="1:14" hidden="1" outlineLevel="1" x14ac:dyDescent="0.2">
      <c r="A2922" s="23" t="str">
        <f>HYPERLINK("https://www.spark-marketing.ru/Card/Person/1751876", "УМВД РОССИИ ПО САХАЛИНСКОЙ ОБЛАСТИ")</f>
        <v>УМВД РОССИИ ПО САХАЛИНСКОЙ ОБЛАСТИ</v>
      </c>
      <c r="B2922" s="24" t="s">
        <v>258</v>
      </c>
      <c r="C2922" s="25">
        <v>4880000</v>
      </c>
      <c r="D2922" s="22" t="s">
        <v>5232</v>
      </c>
      <c r="E2922" s="22" t="s">
        <v>48</v>
      </c>
      <c r="F2922" s="23" t="str">
        <f>HYPERLINK("https://www.spark-marketing.ru/Card/Lot/73395154", "Оказание услуг по обеспечению выездным комплексным горячим питанием иностранных граждан и лиц без гражданства, содержащихся в Центре временного содержания иностранных граждан УМВД России по Сахалинской области, осуществляющегося путем доставки готово...")</f>
        <v>Оказание услуг по обеспечению выездным комплексным горячим питанием иностранных граждан и лиц без гражданства, содержащихся в Центре временного содержания иностранных граждан УМВД России по Сахалинской области, осуществляющегося путем доставки готово...</v>
      </c>
      <c r="G2922" s="22" t="s">
        <v>260</v>
      </c>
      <c r="H2922" s="22" t="s">
        <v>260</v>
      </c>
      <c r="I2922" s="26">
        <v>43721.682638888902</v>
      </c>
      <c r="J2922" s="23" t="str">
        <f>HYPERLINK("https://www.spark-marketing.ru/Card/Person/4364342", "ООО ""СЛАВЯНКА-ДВ""")</f>
        <v>ООО "СЛАВЯНКА-ДВ"</v>
      </c>
      <c r="K2922" s="24" t="s">
        <v>5233</v>
      </c>
      <c r="L2922" s="28" t="s">
        <v>51</v>
      </c>
      <c r="M2922" s="25">
        <v>3938.2</v>
      </c>
      <c r="N2922" s="27">
        <v>0.9991929918032787</v>
      </c>
    </row>
    <row r="2923" spans="1:14" ht="12.75" hidden="1" outlineLevel="1" x14ac:dyDescent="0.2">
      <c r="A2923" s="23" t="str">
        <f>HYPERLINK("https://www.spark-marketing.ru/Card/Person/1751876", "УМВД РОССИИ ПО САХАЛИНСКОЙ ОБЛАСТИ")</f>
        <v>УМВД РОССИИ ПО САХАЛИНСКОЙ ОБЛАСТИ</v>
      </c>
      <c r="B2923" s="24" t="s">
        <v>258</v>
      </c>
      <c r="C2923" s="25">
        <v>4880000</v>
      </c>
      <c r="D2923" s="22" t="s">
        <v>5232</v>
      </c>
      <c r="E2923" s="22" t="s">
        <v>48</v>
      </c>
      <c r="F2923" s="23" t="str">
        <f>HYPERLINK("https://www.spark-marketing.ru/Card/Lot/73395154", "Оказание услуг по обеспечению выездным комплексным горячим питанием иностранных граждан и лиц без гражданства, содержащихся в Центре временного содержания иностранных граждан УМВД России по Сахалинской области, осуществляющегося путем доставки готово...")</f>
        <v>Оказание услуг по обеспечению выездным комплексным горячим питанием иностранных граждан и лиц без гражданства, содержащихся в Центре временного содержания иностранных граждан УМВД России по Сахалинской области, осуществляющегося путем доставки готово...</v>
      </c>
      <c r="G2923" s="22" t="s">
        <v>260</v>
      </c>
      <c r="H2923" s="22" t="s">
        <v>260</v>
      </c>
      <c r="I2923" s="26">
        <v>43721.682638888902</v>
      </c>
      <c r="J2923" s="23" t="str">
        <f>HYPERLINK("https://www.spark-marketing.ru/Card/Person/94488", "ООО ""АВРОРА-ДВ""")</f>
        <v>ООО "АВРОРА-ДВ"</v>
      </c>
      <c r="K2923" s="24" t="s">
        <v>5234</v>
      </c>
      <c r="L2923" s="22" t="s">
        <v>10</v>
      </c>
      <c r="M2923" s="25">
        <v>2073.6999999999998</v>
      </c>
      <c r="N2923" s="27">
        <v>0.99957506147540987</v>
      </c>
    </row>
    <row r="2924" spans="1:14" x14ac:dyDescent="0.15">
      <c r="A2924" s="23" t="str">
        <f>HYPERLINK("https://www.spark-marketing.ru/Card/Person/20208", "КГБУЗ ККОКБ ИМ. ПРОФЕССОРА П.Г.МАКАРОВА")</f>
        <v>КГБУЗ ККОКБ ИМ. ПРОФЕССОРА П.Г.МАКАРОВА</v>
      </c>
      <c r="B2924" s="24" t="s">
        <v>1784</v>
      </c>
      <c r="C2924" s="25">
        <v>499961.25</v>
      </c>
      <c r="D2924" s="22" t="s">
        <v>5235</v>
      </c>
      <c r="E2924" s="22" t="s">
        <v>48</v>
      </c>
      <c r="F2924" s="23" t="str">
        <f>HYPERLINK("https://www.spark-marketing.ru/Card/Lot/73410585", "Оказание услуг по организации и обеспечению лечебным питанием пациентов стационара (взрослых и детей)")</f>
        <v>Оказание услуг по организации и обеспечению лечебным питанием пациентов стационара (взрослых и детей)</v>
      </c>
      <c r="G2924" s="22" t="s">
        <v>281</v>
      </c>
      <c r="H2924" s="22" t="s">
        <v>1036</v>
      </c>
      <c r="I2924" s="26">
        <v>43721.7006944444</v>
      </c>
      <c r="J2924" s="23" t="str">
        <f>HYPERLINK("https://www.spark-marketing.ru/Card/Person/10897", "КГБУЗ ККБ")</f>
        <v>КГБУЗ ККБ</v>
      </c>
      <c r="K2924" s="24" t="s">
        <v>1786</v>
      </c>
      <c r="L2924" s="22" t="s">
        <v>10</v>
      </c>
      <c r="M2924" s="28" t="s">
        <v>51</v>
      </c>
      <c r="N2924" s="28" t="s">
        <v>51</v>
      </c>
    </row>
    <row r="2925" spans="1:14" x14ac:dyDescent="0.15">
      <c r="A2925" s="23" t="str">
        <f>HYPERLINK("https://www.spark-marketing.ru/Card/Person/145557", "МБДОУ ДЕТСКИЙ САД №37 ""РАДУГА"" ОБЩЕРАЗВИВАЮЩЕГО ВИДА ГОЩ")</f>
        <v>МБДОУ ДЕТСКИЙ САД №37 "РАДУГА" ОБЩЕРАЗВИВАЮЩЕГО ВИДА ГОЩ</v>
      </c>
      <c r="B2925" s="24" t="s">
        <v>5236</v>
      </c>
      <c r="C2925" s="25">
        <v>5306759.3600000003</v>
      </c>
      <c r="D2925" s="22" t="s">
        <v>5237</v>
      </c>
      <c r="E2925" s="22" t="s">
        <v>48</v>
      </c>
      <c r="F2925" s="23" t="str">
        <f>HYPERLINK("https://www.spark-marketing.ru/Card/Lot/73414161",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2925" s="22" t="s">
        <v>49</v>
      </c>
      <c r="H2925" s="22" t="s">
        <v>4644</v>
      </c>
      <c r="I2925" s="26">
        <v>43721.683333333298</v>
      </c>
      <c r="J2925" s="28" t="s">
        <v>51</v>
      </c>
      <c r="K2925" s="28" t="s">
        <v>51</v>
      </c>
      <c r="L2925" s="28" t="s">
        <v>51</v>
      </c>
      <c r="M2925" s="28" t="s">
        <v>51</v>
      </c>
      <c r="N2925" s="28" t="s">
        <v>51</v>
      </c>
    </row>
    <row r="2926" spans="1:14" x14ac:dyDescent="0.15">
      <c r="A2926" s="23" t="str">
        <f>HYPERLINK("https://www.spark-marketing.ru/Card/Person/6220059", "ГКУ НСО ""ЦЕНТР ПАТРИОТИЧЕСКОГО ВОСПИТАНИЯ""")</f>
        <v>ГКУ НСО "ЦЕНТР ПАТРИОТИЧЕСКОГО ВОСПИТАНИЯ"</v>
      </c>
      <c r="B2926" s="24" t="s">
        <v>1887</v>
      </c>
      <c r="C2926" s="25">
        <v>41000</v>
      </c>
      <c r="D2926" s="22" t="s">
        <v>5238</v>
      </c>
      <c r="E2926" s="22" t="s">
        <v>48</v>
      </c>
      <c r="F2926" s="23" t="str">
        <f>HYPERLINK("https://www.spark-marketing.ru/Card/Lot/73399775", "Оказание услуг по организации питания для участников расширенного Пленарного заседания Общественной палаты Новосибирской области")</f>
        <v>Оказание услуг по организации питания для участников расширенного Пленарного заседания Общественной палаты Новосибирской области</v>
      </c>
      <c r="G2926" s="22" t="s">
        <v>195</v>
      </c>
      <c r="H2926" s="22" t="s">
        <v>196</v>
      </c>
      <c r="I2926" s="26">
        <v>43721.628472222197</v>
      </c>
      <c r="J2926" s="28" t="s">
        <v>51</v>
      </c>
      <c r="K2926" s="28" t="s">
        <v>51</v>
      </c>
      <c r="L2926" s="28" t="s">
        <v>51</v>
      </c>
      <c r="M2926" s="28" t="s">
        <v>51</v>
      </c>
      <c r="N2926" s="28" t="s">
        <v>51</v>
      </c>
    </row>
    <row r="2927" spans="1:14" ht="12.75" x14ac:dyDescent="0.2">
      <c r="A2927" s="23" t="str">
        <f>HYPERLINK("https://www.spark-marketing.ru/Card/Person/76166", "МКУ ОО ВОРОШИЛОВСКОГО РАЙОНА")</f>
        <v>МКУ ОО ВОРОШИЛОВСКОГО РАЙОНА</v>
      </c>
      <c r="B2927" s="24" t="s">
        <v>5239</v>
      </c>
      <c r="C2927" s="25">
        <v>223375.75</v>
      </c>
      <c r="D2927" s="22" t="s">
        <v>5240</v>
      </c>
      <c r="E2927" s="22" t="s">
        <v>48</v>
      </c>
      <c r="F2927" s="23" t="str">
        <f>HYPERLINK("https://www.spark-marketing.ru/Card/Lot/73412149", "Оказание услуг по организации питания детей в лагерях с дневным пребыванием на базе муниципальных образовательных учреждений Ворошиловского района города Ростова-на-Дону в период осенних каникул 2019 года")</f>
        <v>Оказание услуг по организации питания детей в лагерях с дневным пребыванием на базе муниципальных образовательных учреждений Ворошиловского района города Ростова-на-Дону в период осенних каникул 2019 года</v>
      </c>
      <c r="G2927" s="22" t="s">
        <v>267</v>
      </c>
      <c r="H2927" s="22" t="s">
        <v>590</v>
      </c>
      <c r="I2927" s="26">
        <v>43721.654166666704</v>
      </c>
      <c r="J2927" s="23" t="str">
        <f>HYPERLINK("https://www.spark-marketing.ru/Card/Person/1446996", "МУП ""ШКОЛЬНОЕ ПИТАНИЕ"" ВОРОШИЛОВСКОГО РАЙОНА Г. РОСТОВА-НА-ДОНУ")</f>
        <v>МУП "ШКОЛЬНОЕ ПИТАНИЕ" ВОРОШИЛОВСКОГО РАЙОНА Г. РОСТОВА-НА-ДОНУ</v>
      </c>
      <c r="K2927" s="24" t="s">
        <v>5241</v>
      </c>
      <c r="L2927" s="22" t="s">
        <v>10</v>
      </c>
      <c r="M2927" s="25">
        <v>223375.75</v>
      </c>
      <c r="N2927" s="27">
        <v>0</v>
      </c>
    </row>
    <row r="2928" spans="1:14" x14ac:dyDescent="0.15">
      <c r="A2928" s="23" t="str">
        <f>HYPERLINK("https://www.spark-marketing.ru/Card/Person/54653", "ГБУ РС (Я) ""ОЦРБ""")</f>
        <v>ГБУ РС (Я) "ОЦРБ"</v>
      </c>
      <c r="B2928" s="24" t="s">
        <v>5242</v>
      </c>
      <c r="C2928" s="25">
        <v>1999969.83</v>
      </c>
      <c r="D2928" s="22" t="s">
        <v>5243</v>
      </c>
      <c r="E2928" s="22" t="s">
        <v>51</v>
      </c>
      <c r="F2928" s="23" t="str">
        <f>HYPERLINK("https://www.spark-marketing.ru/Card/Lot/73397044", "Оказание услуги по организации, обслуживанию и обеспечению питанием пациентов, находящихся на стационарном лечении")</f>
        <v>Оказание услуги по организации, обслуживанию и обеспечению питанием пациентов, находящихся на стационарном лечении</v>
      </c>
      <c r="G2928" s="22" t="s">
        <v>241</v>
      </c>
      <c r="H2928" s="22" t="s">
        <v>5244</v>
      </c>
      <c r="I2928" s="26">
        <v>43721.660416666702</v>
      </c>
      <c r="J2928" s="28" t="s">
        <v>51</v>
      </c>
      <c r="K2928" s="28" t="s">
        <v>51</v>
      </c>
      <c r="L2928" s="28" t="s">
        <v>51</v>
      </c>
      <c r="M2928" s="28" t="s">
        <v>51</v>
      </c>
      <c r="N2928" s="28" t="s">
        <v>51</v>
      </c>
    </row>
    <row r="2929" spans="1:14" x14ac:dyDescent="0.15">
      <c r="A2929" s="23" t="str">
        <f>HYPERLINK("https://www.spark-marketing.ru/Card/Person/107267", "УМВД РОССИИ ПО Г. СУРГУТУ")</f>
        <v>УМВД РОССИИ ПО Г. СУРГУТУ</v>
      </c>
      <c r="B2929" s="24" t="s">
        <v>5245</v>
      </c>
      <c r="C2929" s="25">
        <v>19900000</v>
      </c>
      <c r="D2929" s="22" t="s">
        <v>5246</v>
      </c>
      <c r="E2929" s="22" t="s">
        <v>96</v>
      </c>
      <c r="F2929" s="23" t="str">
        <f>HYPERLINK("https://www.spark-marketing.ru/Card/Lot/73413839", "Оказание услуг по организации комплексного горячего питания иностранных лиц, находящихся в Центре временного содержания иностранных граждан")</f>
        <v>Оказание услуг по организации комплексного горячего питания иностранных лиц, находящихся в Центре временного содержания иностранных граждан</v>
      </c>
      <c r="G2929" s="22" t="s">
        <v>97</v>
      </c>
      <c r="H2929" s="22" t="s">
        <v>3533</v>
      </c>
      <c r="I2929" s="26">
        <v>43721.653472222199</v>
      </c>
      <c r="J2929" s="23" t="str">
        <f>HYPERLINK("https://www.spark-marketing.ru/Card/Person/6438916", "ООО ""УСАДЬБА""")</f>
        <v>ООО "УСАДЬБА"</v>
      </c>
      <c r="K2929" s="24" t="s">
        <v>5247</v>
      </c>
      <c r="L2929" s="28" t="s">
        <v>51</v>
      </c>
      <c r="M2929" s="28" t="s">
        <v>51</v>
      </c>
      <c r="N2929" s="28" t="s">
        <v>51</v>
      </c>
    </row>
    <row r="2930" spans="1:14" ht="12.75" hidden="1" outlineLevel="1" x14ac:dyDescent="0.2">
      <c r="A2930" s="23" t="str">
        <f>HYPERLINK("https://www.spark-marketing.ru/Card/Person/107267", "УМВД РОССИИ ПО Г. СУРГУТУ")</f>
        <v>УМВД РОССИИ ПО Г. СУРГУТУ</v>
      </c>
      <c r="B2930" s="24" t="s">
        <v>5245</v>
      </c>
      <c r="C2930" s="25">
        <v>19900000</v>
      </c>
      <c r="D2930" s="22" t="s">
        <v>5246</v>
      </c>
      <c r="E2930" s="22" t="s">
        <v>96</v>
      </c>
      <c r="F2930" s="23" t="str">
        <f>HYPERLINK("https://www.spark-marketing.ru/Card/Lot/73413839", "Оказание услуг по организации комплексного горячего питания иностранных лиц, находящихся в Центре временного содержания иностранных граждан")</f>
        <v>Оказание услуг по организации комплексного горячего питания иностранных лиц, находящихся в Центре временного содержания иностранных граждан</v>
      </c>
      <c r="G2930" s="22" t="s">
        <v>97</v>
      </c>
      <c r="H2930" s="22" t="s">
        <v>3533</v>
      </c>
      <c r="I2930" s="26">
        <v>43721.653472222199</v>
      </c>
      <c r="J2930" s="23" t="str">
        <f>HYPERLINK("https://www.spark-marketing.ru/Card/Person/6438916", "ООО ""УСАДЬБА""")</f>
        <v>ООО "УСАДЬБА"</v>
      </c>
      <c r="K2930" s="24" t="s">
        <v>5247</v>
      </c>
      <c r="L2930" s="22" t="s">
        <v>10</v>
      </c>
      <c r="M2930" s="25">
        <v>4084.47</v>
      </c>
      <c r="N2930" s="27">
        <v>0.9997947502512563</v>
      </c>
    </row>
    <row r="2931" spans="1:14" x14ac:dyDescent="0.15">
      <c r="A2931" s="23" t="str">
        <f>HYPERLINK("https://www.spark-marketing.ru/Card/Person/4347851", "МБОУ ""СОШ№7""")</f>
        <v>МБОУ "СОШ№7"</v>
      </c>
      <c r="B2931" s="24" t="s">
        <v>5248</v>
      </c>
      <c r="C2931" s="25">
        <v>1490020</v>
      </c>
      <c r="D2931" s="22" t="s">
        <v>5249</v>
      </c>
      <c r="E2931" s="22" t="s">
        <v>48</v>
      </c>
      <c r="F2931" s="23" t="str">
        <f>HYPERLINK("https://www.spark-marketing.ru/Card/Lot/73413219", "Оказание услуг по организации горячего питания на базе МБОУ ""СОШ № 7""")</f>
        <v>Оказание услуг по организации горячего питания на базе МБОУ "СОШ № 7"</v>
      </c>
      <c r="G2931" s="22" t="s">
        <v>174</v>
      </c>
      <c r="H2931" s="22" t="s">
        <v>5250</v>
      </c>
      <c r="I2931" s="26">
        <v>43721.649305555598</v>
      </c>
      <c r="J2931" s="28" t="s">
        <v>51</v>
      </c>
      <c r="K2931" s="28" t="s">
        <v>51</v>
      </c>
      <c r="L2931" s="28" t="s">
        <v>51</v>
      </c>
      <c r="M2931" s="28" t="s">
        <v>51</v>
      </c>
      <c r="N2931" s="28" t="s">
        <v>51</v>
      </c>
    </row>
    <row r="2932" spans="1:14" hidden="1" outlineLevel="1" x14ac:dyDescent="0.2">
      <c r="A2932" s="23" t="str">
        <f>HYPERLINK("https://www.spark-marketing.ru/Card/Person/4347851", "МБОУ ""СОШ№7""")</f>
        <v>МБОУ "СОШ№7"</v>
      </c>
      <c r="B2932" s="24" t="s">
        <v>5248</v>
      </c>
      <c r="C2932" s="25">
        <v>1490020</v>
      </c>
      <c r="D2932" s="22" t="s">
        <v>5249</v>
      </c>
      <c r="E2932" s="22" t="s">
        <v>48</v>
      </c>
      <c r="F2932" s="23" t="str">
        <f>HYPERLINK("https://www.spark-marketing.ru/Card/Lot/73413219", "Оказание услуг по организации горячего питания на базе МБОУ ""СОШ № 7""")</f>
        <v>Оказание услуг по организации горячего питания на базе МБОУ "СОШ № 7"</v>
      </c>
      <c r="G2932" s="22" t="s">
        <v>174</v>
      </c>
      <c r="H2932" s="22" t="s">
        <v>5250</v>
      </c>
      <c r="I2932" s="26">
        <v>43721.649305555598</v>
      </c>
      <c r="J2932" s="23" t="str">
        <f>HYPERLINK("https://www.spark-marketing.ru/Card/Person/1490953", "Заморошкина Светлана Степановна")</f>
        <v>Заморошкина Светлана Степановна</v>
      </c>
      <c r="K2932" s="24" t="s">
        <v>5251</v>
      </c>
      <c r="L2932" s="28" t="s">
        <v>51</v>
      </c>
      <c r="M2932" s="25">
        <v>1251616.8</v>
      </c>
      <c r="N2932" s="27">
        <v>0.16</v>
      </c>
    </row>
    <row r="2933" spans="1:14" ht="12.75" hidden="1" outlineLevel="1" x14ac:dyDescent="0.2">
      <c r="A2933" s="23" t="str">
        <f>HYPERLINK("https://www.spark-marketing.ru/Card/Person/4347851", "МБОУ ""СОШ№7""")</f>
        <v>МБОУ "СОШ№7"</v>
      </c>
      <c r="B2933" s="24" t="s">
        <v>5248</v>
      </c>
      <c r="C2933" s="25">
        <v>1490020</v>
      </c>
      <c r="D2933" s="22" t="s">
        <v>5249</v>
      </c>
      <c r="E2933" s="22" t="s">
        <v>48</v>
      </c>
      <c r="F2933" s="23" t="str">
        <f>HYPERLINK("https://www.spark-marketing.ru/Card/Lot/73413219", "Оказание услуг по организации горячего питания на базе МБОУ ""СОШ № 7""")</f>
        <v>Оказание услуг по организации горячего питания на базе МБОУ "СОШ № 7"</v>
      </c>
      <c r="G2933" s="22" t="s">
        <v>174</v>
      </c>
      <c r="H2933" s="22" t="s">
        <v>5250</v>
      </c>
      <c r="I2933" s="26">
        <v>43721.649305555598</v>
      </c>
      <c r="J2933" s="23" t="str">
        <f>HYPERLINK("https://www.spark-marketing.ru/Card/Person/1480679", "ООО ""КШП""")</f>
        <v>ООО "КШП"</v>
      </c>
      <c r="K2933" s="24" t="s">
        <v>5252</v>
      </c>
      <c r="L2933" s="22" t="s">
        <v>10</v>
      </c>
      <c r="M2933" s="25">
        <v>1244166.7</v>
      </c>
      <c r="N2933" s="27">
        <v>0.16500000000000001</v>
      </c>
    </row>
    <row r="2934" spans="1:14" x14ac:dyDescent="0.15">
      <c r="A2934" s="23" t="str">
        <f t="shared" ref="A2934:A2940" si="46">HYPERLINK("https://www.spark-marketing.ru/Card/Person/1059477", "МБОУ ""ШАДЕЙСКАЯ СОШ""")</f>
        <v>МБОУ "ШАДЕЙСКАЯ СОШ"</v>
      </c>
      <c r="B2934" s="24" t="s">
        <v>5253</v>
      </c>
      <c r="C2934" s="25">
        <v>915816.2</v>
      </c>
      <c r="D2934" s="22" t="s">
        <v>5254</v>
      </c>
      <c r="E2934" s="22" t="s">
        <v>96</v>
      </c>
      <c r="F2934" s="23" t="str">
        <f t="shared" ref="F2934:F2940" si="47">HYPERLINK("https://www.spark-marketing.ru/Card/Lot/73406639", "Услуги по организации горячего питания воспитанников структурного подразделения для детей дошкольного возраста")</f>
        <v>Услуги по организации горячего питания воспитанников структурного подразделения для детей дошкольного возраста</v>
      </c>
      <c r="G2934" s="22" t="s">
        <v>153</v>
      </c>
      <c r="H2934" s="22" t="s">
        <v>153</v>
      </c>
      <c r="I2934" s="26">
        <v>43721.662499999999</v>
      </c>
      <c r="J2934" s="28" t="s">
        <v>51</v>
      </c>
      <c r="K2934" s="28" t="s">
        <v>51</v>
      </c>
      <c r="L2934" s="28" t="s">
        <v>51</v>
      </c>
      <c r="M2934" s="28" t="s">
        <v>51</v>
      </c>
      <c r="N2934" s="28" t="s">
        <v>51</v>
      </c>
    </row>
    <row r="2935" spans="1:14" hidden="1" outlineLevel="1" x14ac:dyDescent="0.2">
      <c r="A2935" s="23" t="str">
        <f t="shared" si="46"/>
        <v>МБОУ "ШАДЕЙСКАЯ СОШ"</v>
      </c>
      <c r="B2935" s="24" t="s">
        <v>5253</v>
      </c>
      <c r="C2935" s="25">
        <v>915816.2</v>
      </c>
      <c r="D2935" s="22" t="s">
        <v>5254</v>
      </c>
      <c r="E2935" s="22" t="s">
        <v>96</v>
      </c>
      <c r="F2935" s="23" t="str">
        <f t="shared" si="47"/>
        <v>Услуги по организации горячего питания воспитанников структурного подразделения для детей дошкольного возраста</v>
      </c>
      <c r="G2935" s="22" t="s">
        <v>153</v>
      </c>
      <c r="H2935" s="22" t="s">
        <v>153</v>
      </c>
      <c r="I2935" s="26">
        <v>43721.662499999999</v>
      </c>
      <c r="J2935" s="23" t="str">
        <f>HYPERLINK("https://www.spark-marketing.ru/Card/Person/1428200", "Ярушина Вера Борисовна")</f>
        <v>Ярушина Вера Борисовна</v>
      </c>
      <c r="K2935" s="24" t="s">
        <v>5255</v>
      </c>
      <c r="L2935" s="28" t="s">
        <v>51</v>
      </c>
      <c r="M2935" s="25">
        <v>636480.36</v>
      </c>
      <c r="N2935" s="27">
        <v>0.30501299278173938</v>
      </c>
    </row>
    <row r="2936" spans="1:14" hidden="1" outlineLevel="1" x14ac:dyDescent="0.2">
      <c r="A2936" s="23" t="str">
        <f t="shared" si="46"/>
        <v>МБОУ "ШАДЕЙСКАЯ СОШ"</v>
      </c>
      <c r="B2936" s="24" t="s">
        <v>5253</v>
      </c>
      <c r="C2936" s="25">
        <v>915816.2</v>
      </c>
      <c r="D2936" s="22" t="s">
        <v>5254</v>
      </c>
      <c r="E2936" s="22" t="s">
        <v>96</v>
      </c>
      <c r="F2936" s="23" t="str">
        <f t="shared" si="47"/>
        <v>Услуги по организации горячего питания воспитанников структурного подразделения для детей дошкольного возраста</v>
      </c>
      <c r="G2936" s="22" t="s">
        <v>153</v>
      </c>
      <c r="H2936" s="22" t="s">
        <v>153</v>
      </c>
      <c r="I2936" s="26">
        <v>43721.662499999999</v>
      </c>
      <c r="J2936" s="23" t="str">
        <f>HYPERLINK("https://www.spark-marketing.ru/Card/Person/6703307", "Валов Евгений Анатольевич")</f>
        <v>Валов Евгений Анатольевич</v>
      </c>
      <c r="K2936" s="24" t="s">
        <v>5256</v>
      </c>
      <c r="L2936" s="28" t="s">
        <v>51</v>
      </c>
      <c r="M2936" s="25">
        <v>563215.07999999996</v>
      </c>
      <c r="N2936" s="27">
        <v>0.38501297531098488</v>
      </c>
    </row>
    <row r="2937" spans="1:14" ht="12.75" hidden="1" outlineLevel="1" x14ac:dyDescent="0.2">
      <c r="A2937" s="23" t="str">
        <f t="shared" si="46"/>
        <v>МБОУ "ШАДЕЙСКАЯ СОШ"</v>
      </c>
      <c r="B2937" s="24" t="s">
        <v>5253</v>
      </c>
      <c r="C2937" s="25">
        <v>915816.2</v>
      </c>
      <c r="D2937" s="22" t="s">
        <v>5254</v>
      </c>
      <c r="E2937" s="22" t="s">
        <v>96</v>
      </c>
      <c r="F2937" s="23" t="str">
        <f t="shared" si="47"/>
        <v>Услуги по организации горячего питания воспитанников структурного подразделения для детей дошкольного возраста</v>
      </c>
      <c r="G2937" s="22" t="s">
        <v>153</v>
      </c>
      <c r="H2937" s="22" t="s">
        <v>153</v>
      </c>
      <c r="I2937" s="26">
        <v>43721.662499999999</v>
      </c>
      <c r="J2937" s="23" t="str">
        <f>HYPERLINK("https://www.spark-marketing.ru/Card/Person/99923", "Антонов Леонид Валентинович")</f>
        <v>Антонов Леонид Валентинович</v>
      </c>
      <c r="K2937" s="24" t="s">
        <v>5257</v>
      </c>
      <c r="L2937" s="22" t="s">
        <v>10</v>
      </c>
      <c r="M2937" s="25">
        <v>567794.16</v>
      </c>
      <c r="N2937" s="27">
        <v>0.38001297640290704</v>
      </c>
    </row>
    <row r="2938" spans="1:14" hidden="1" outlineLevel="1" x14ac:dyDescent="0.2">
      <c r="A2938" s="23" t="str">
        <f t="shared" si="46"/>
        <v>МБОУ "ШАДЕЙСКАЯ СОШ"</v>
      </c>
      <c r="B2938" s="24" t="s">
        <v>5253</v>
      </c>
      <c r="C2938" s="25">
        <v>915816.2</v>
      </c>
      <c r="D2938" s="22" t="s">
        <v>5254</v>
      </c>
      <c r="E2938" s="22" t="s">
        <v>96</v>
      </c>
      <c r="F2938" s="23" t="str">
        <f t="shared" si="47"/>
        <v>Услуги по организации горячего питания воспитанников структурного подразделения для детей дошкольного возраста</v>
      </c>
      <c r="G2938" s="22" t="s">
        <v>153</v>
      </c>
      <c r="H2938" s="22" t="s">
        <v>153</v>
      </c>
      <c r="I2938" s="26">
        <v>43721.662499999999</v>
      </c>
      <c r="J2938" s="23" t="str">
        <f>HYPERLINK("https://www.spark-marketing.ru/Card/Person/152577", "Калыпин Владимир Владимирович")</f>
        <v>Калыпин Владимир Владимирович</v>
      </c>
      <c r="K2938" s="24" t="s">
        <v>5258</v>
      </c>
      <c r="L2938" s="28" t="s">
        <v>51</v>
      </c>
      <c r="M2938" s="25">
        <v>750957.36</v>
      </c>
      <c r="N2938" s="27">
        <v>0.18001302007979331</v>
      </c>
    </row>
    <row r="2939" spans="1:14" hidden="1" outlineLevel="1" x14ac:dyDescent="0.2">
      <c r="A2939" s="23" t="str">
        <f t="shared" si="46"/>
        <v>МБОУ "ШАДЕЙСКАЯ СОШ"</v>
      </c>
      <c r="B2939" s="24" t="s">
        <v>5253</v>
      </c>
      <c r="C2939" s="25">
        <v>915816.2</v>
      </c>
      <c r="D2939" s="22" t="s">
        <v>5254</v>
      </c>
      <c r="E2939" s="22" t="s">
        <v>96</v>
      </c>
      <c r="F2939" s="23" t="str">
        <f t="shared" si="47"/>
        <v>Услуги по организации горячего питания воспитанников структурного подразделения для детей дошкольного возраста</v>
      </c>
      <c r="G2939" s="22" t="s">
        <v>153</v>
      </c>
      <c r="H2939" s="22" t="s">
        <v>153</v>
      </c>
      <c r="I2939" s="26">
        <v>43721.662499999999</v>
      </c>
      <c r="J2939" s="23" t="str">
        <f>HYPERLINK("https://www.spark-marketing.ru/Card/Person/781291", "ООО ""ОБЩЕПИТ""")</f>
        <v>ООО "ОБЩЕПИТ"</v>
      </c>
      <c r="K2939" s="24" t="s">
        <v>5259</v>
      </c>
      <c r="L2939" s="28" t="s">
        <v>51</v>
      </c>
      <c r="M2939" s="25">
        <v>787590</v>
      </c>
      <c r="N2939" s="27">
        <v>0.14001302881517055</v>
      </c>
    </row>
    <row r="2940" spans="1:14" hidden="1" outlineLevel="1" x14ac:dyDescent="0.2">
      <c r="A2940" s="23" t="str">
        <f t="shared" si="46"/>
        <v>МБОУ "ШАДЕЙСКАЯ СОШ"</v>
      </c>
      <c r="B2940" s="24" t="s">
        <v>5253</v>
      </c>
      <c r="C2940" s="25">
        <v>915816.2</v>
      </c>
      <c r="D2940" s="22" t="s">
        <v>5254</v>
      </c>
      <c r="E2940" s="22" t="s">
        <v>96</v>
      </c>
      <c r="F2940" s="23" t="str">
        <f t="shared" si="47"/>
        <v>Услуги по организации горячего питания воспитанников структурного подразделения для детей дошкольного возраста</v>
      </c>
      <c r="G2940" s="22" t="s">
        <v>153</v>
      </c>
      <c r="H2940" s="22" t="s">
        <v>153</v>
      </c>
      <c r="I2940" s="26">
        <v>43721.662499999999</v>
      </c>
      <c r="J2940" s="23" t="str">
        <f>HYPERLINK("https://www.spark-marketing.ru/Card/Person/151717", "Вальнева Ольга Валентиновна")</f>
        <v>Вальнева Ольга Валентиновна</v>
      </c>
      <c r="K2940" s="24" t="s">
        <v>5260</v>
      </c>
      <c r="L2940" s="28" t="s">
        <v>51</v>
      </c>
      <c r="M2940" s="25">
        <v>824234.6</v>
      </c>
      <c r="N2940" s="27">
        <v>9.9999978161556868E-2</v>
      </c>
    </row>
    <row r="2941" spans="1:14" x14ac:dyDescent="0.15">
      <c r="A294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2941" s="24" t="s">
        <v>3255</v>
      </c>
      <c r="C2941" s="25">
        <v>435735</v>
      </c>
      <c r="D2941" s="22" t="s">
        <v>5261</v>
      </c>
      <c r="E2941" s="22" t="s">
        <v>52</v>
      </c>
      <c r="F2941" s="23" t="str">
        <f>HYPERLINK("https://www.spark-marketing.ru/Card/Lot/73396835", "Поставка лекарственного препарата для медицинского применения ""Урсодезоксихолевая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специ...")</f>
        <v>Поставка лекарственного препарата для медицинского применения "Урсодезоксихолевая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</v>
      </c>
      <c r="G2941" s="22" t="s">
        <v>210</v>
      </c>
      <c r="H2941" s="22" t="s">
        <v>3257</v>
      </c>
      <c r="I2941" s="26">
        <v>43721.65</v>
      </c>
      <c r="J2941" s="23" t="str">
        <f>HYPERLINK("https://www.spark-marketing.ru/Card/Person/34034", "ООО ""М-ТЕХФАРМ""")</f>
        <v>ООО "М-ТЕХФАРМ"</v>
      </c>
      <c r="K2941" s="24" t="s">
        <v>3861</v>
      </c>
      <c r="L2941" s="22" t="s">
        <v>10</v>
      </c>
      <c r="M2941" s="28" t="s">
        <v>51</v>
      </c>
      <c r="N2941" s="28" t="s">
        <v>51</v>
      </c>
    </row>
    <row r="2942" spans="1:14" x14ac:dyDescent="0.15">
      <c r="A2942" s="23" t="str">
        <f>HYPERLINK("https://www.spark-marketing.ru/Card/Person/15348", "ГБУ ""УКС ОРЕНБУРГСКОЙ ОБЛАСТИ""")</f>
        <v>ГБУ "УКС ОРЕНБУРГСКОЙ ОБЛАСТИ"</v>
      </c>
      <c r="B2942" s="24" t="s">
        <v>2280</v>
      </c>
      <c r="C2942" s="25">
        <v>4024513.64</v>
      </c>
      <c r="D2942" s="22" t="s">
        <v>5262</v>
      </c>
      <c r="E2942" s="22" t="s">
        <v>2282</v>
      </c>
      <c r="F2942" s="23" t="str">
        <f>HYPERLINK("https://www.spark-marketing.ru/Card/Lot/73413517", "Поставка медицинских изделий (медицинского оборудования) для оснащения второго этапа объекта капитального строительства «Онкологический диспансер на 180 коек в г.Орске» технологическим оборудованием")</f>
        <v>Поставка медицинских изделий (медицинского оборудования) для оснащения второго этапа объекта капитального строительства «Онкологический диспансер на 180 коек в г.Орске» технологическим оборудованием</v>
      </c>
      <c r="G2942" s="22" t="s">
        <v>132</v>
      </c>
      <c r="H2942" s="22" t="s">
        <v>587</v>
      </c>
      <c r="I2942" s="26">
        <v>43721.6472222222</v>
      </c>
      <c r="J2942" s="28" t="s">
        <v>51</v>
      </c>
      <c r="K2942" s="28" t="s">
        <v>51</v>
      </c>
      <c r="L2942" s="28" t="s">
        <v>51</v>
      </c>
      <c r="M2942" s="28" t="s">
        <v>51</v>
      </c>
      <c r="N2942" s="28" t="s">
        <v>51</v>
      </c>
    </row>
    <row r="2943" spans="1:14" x14ac:dyDescent="0.15">
      <c r="A2943" s="23" t="str">
        <f>HYPERLINK("https://www.spark-marketing.ru/Card/Person/18481", "ФГУП ""РОСРАО""")</f>
        <v>ФГУП "РОСРАО"</v>
      </c>
      <c r="B2943" s="24" t="s">
        <v>2882</v>
      </c>
      <c r="C2943" s="25">
        <v>299800</v>
      </c>
      <c r="D2943" s="22" t="s">
        <v>5263</v>
      </c>
      <c r="E2943" s="22" t="s">
        <v>48</v>
      </c>
      <c r="F2943" s="23" t="str">
        <f>HYPERLINK("https://www.spark-marketing.ru/Card/Lot/73402437",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2943" s="22" t="s">
        <v>162</v>
      </c>
      <c r="H2943" s="22" t="s">
        <v>1620</v>
      </c>
      <c r="I2943" s="26">
        <v>43721.627824074101</v>
      </c>
      <c r="J2943" s="28" t="s">
        <v>51</v>
      </c>
      <c r="K2943" s="28" t="s">
        <v>51</v>
      </c>
      <c r="L2943" s="28" t="s">
        <v>51</v>
      </c>
      <c r="M2943" s="28" t="s">
        <v>51</v>
      </c>
      <c r="N2943" s="28" t="s">
        <v>51</v>
      </c>
    </row>
    <row r="2944" spans="1:14" x14ac:dyDescent="0.15">
      <c r="A2944" s="23" t="str">
        <f>HYPERLINK("https://www.spark-marketing.ru/Card/Person/107267", "УМВД РОССИИ ПО Г. СУРГУТУ")</f>
        <v>УМВД РОССИИ ПО Г. СУРГУТУ</v>
      </c>
      <c r="B2944" s="24" t="s">
        <v>5245</v>
      </c>
      <c r="C2944" s="25">
        <v>28856921.699999999</v>
      </c>
      <c r="D2944" s="22" t="s">
        <v>5264</v>
      </c>
      <c r="E2944" s="22" t="s">
        <v>96</v>
      </c>
      <c r="F2944" s="23" t="str">
        <f>HYPERLINK("https://www.spark-marketing.ru/Card/Lot/73413866", "Оказание услуг по организации комплексного горячего питания лиц, находящихся в изоляторах временного содержания, административно-задержанных и административно-арестованных")</f>
        <v>Оказание услуг по организации комплексного горячего питания лиц, находящихся в изоляторах временного содержания, административно-задержанных и административно-арестованных</v>
      </c>
      <c r="G2944" s="22" t="s">
        <v>97</v>
      </c>
      <c r="H2944" s="22" t="s">
        <v>3533</v>
      </c>
      <c r="I2944" s="26">
        <v>43721.65625</v>
      </c>
      <c r="J2944" s="28" t="s">
        <v>51</v>
      </c>
      <c r="K2944" s="28" t="s">
        <v>51</v>
      </c>
      <c r="L2944" s="28" t="s">
        <v>51</v>
      </c>
      <c r="M2944" s="28" t="s">
        <v>51</v>
      </c>
      <c r="N2944" s="28" t="s">
        <v>51</v>
      </c>
    </row>
    <row r="2945" spans="1:14" hidden="1" outlineLevel="1" x14ac:dyDescent="0.2">
      <c r="A2945" s="23" t="str">
        <f>HYPERLINK("https://www.spark-marketing.ru/Card/Person/107267", "УМВД РОССИИ ПО Г. СУРГУТУ")</f>
        <v>УМВД РОССИИ ПО Г. СУРГУТУ</v>
      </c>
      <c r="B2945" s="24" t="s">
        <v>5245</v>
      </c>
      <c r="C2945" s="25">
        <v>28856921.699999999</v>
      </c>
      <c r="D2945" s="22" t="s">
        <v>5264</v>
      </c>
      <c r="E2945" s="22" t="s">
        <v>96</v>
      </c>
      <c r="F2945" s="23" t="str">
        <f>HYPERLINK("https://www.spark-marketing.ru/Card/Lot/73413866", "Оказание услуг по организации комплексного горячего питания лиц, находящихся в изоляторах временного содержания, административно-задержанных и административно-арестованных")</f>
        <v>Оказание услуг по организации комплексного горячего питания лиц, находящихся в изоляторах временного содержания, административно-задержанных и административно-арестованных</v>
      </c>
      <c r="G2945" s="22" t="s">
        <v>97</v>
      </c>
      <c r="H2945" s="22" t="s">
        <v>3533</v>
      </c>
      <c r="I2945" s="26">
        <v>43721.65625</v>
      </c>
      <c r="J2945" s="23" t="str">
        <f>HYPERLINK("https://www.spark-marketing.ru/Card/Person/54874", "ООО ""РУССКОМПЛЕКТ ПИТ""")</f>
        <v>ООО "РУССКОМПЛЕКТ ПИТ"</v>
      </c>
      <c r="K2945" s="24" t="s">
        <v>3534</v>
      </c>
      <c r="L2945" s="28" t="s">
        <v>51</v>
      </c>
      <c r="M2945" s="25">
        <v>1740.8</v>
      </c>
      <c r="N2945" s="27">
        <v>0.99993967478520063</v>
      </c>
    </row>
    <row r="2946" spans="1:14" ht="12.75" hidden="1" outlineLevel="1" x14ac:dyDescent="0.2">
      <c r="A2946" s="23" t="str">
        <f>HYPERLINK("https://www.spark-marketing.ru/Card/Person/107267", "УМВД РОССИИ ПО Г. СУРГУТУ")</f>
        <v>УМВД РОССИИ ПО Г. СУРГУТУ</v>
      </c>
      <c r="B2946" s="24" t="s">
        <v>5245</v>
      </c>
      <c r="C2946" s="25">
        <v>28856921.699999999</v>
      </c>
      <c r="D2946" s="22" t="s">
        <v>5264</v>
      </c>
      <c r="E2946" s="22" t="s">
        <v>96</v>
      </c>
      <c r="F2946" s="23" t="str">
        <f>HYPERLINK("https://www.spark-marketing.ru/Card/Lot/73413866", "Оказание услуг по организации комплексного горячего питания лиц, находящихся в изоляторах временного содержания, административно-задержанных и административно-арестованных")</f>
        <v>Оказание услуг по организации комплексного горячего питания лиц, находящихся в изоляторах временного содержания, административно-задержанных и административно-арестованных</v>
      </c>
      <c r="G2946" s="22" t="s">
        <v>97</v>
      </c>
      <c r="H2946" s="22" t="s">
        <v>3533</v>
      </c>
      <c r="I2946" s="26">
        <v>43721.65625</v>
      </c>
      <c r="J2946" s="23" t="str">
        <f>HYPERLINK("https://www.spark-marketing.ru/Card/Person/6438916", "ООО ""УСАДЬБА""")</f>
        <v>ООО "УСАДЬБА"</v>
      </c>
      <c r="K2946" s="24" t="s">
        <v>5247</v>
      </c>
      <c r="L2946" s="22" t="s">
        <v>10</v>
      </c>
      <c r="M2946" s="25">
        <v>1728</v>
      </c>
      <c r="N2946" s="27">
        <v>0.9999401183529566</v>
      </c>
    </row>
    <row r="2947" spans="1:14" x14ac:dyDescent="0.15">
      <c r="A2947" s="23" t="str">
        <f>HYPERLINK("https://www.spark-marketing.ru/Card/Person/737290", "ГКУ «ЦБЗ ПРИ МИНЗДРАВЕ КАРЕЛИИ»")</f>
        <v>ГКУ «ЦБЗ ПРИ МИНЗДРАВЕ КАРЕЛИИ»</v>
      </c>
      <c r="B2947" s="24" t="s">
        <v>312</v>
      </c>
      <c r="C2947" s="25">
        <v>1917168.75</v>
      </c>
      <c r="D2947" s="22" t="s">
        <v>5265</v>
      </c>
      <c r="E2947" s="22" t="s">
        <v>52</v>
      </c>
      <c r="F2947" s="23" t="str">
        <f>HYPERLINK("https://www.spark-marketing.ru/Card/Lot/73414297", "Поставка лекарственного препарата      Инсулин глулизин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издели...")</f>
        <v>Поставка лекарственного препарата      Инсулин глулизин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издели...</v>
      </c>
      <c r="G2947" s="22" t="s">
        <v>59</v>
      </c>
      <c r="H2947" s="22" t="s">
        <v>314</v>
      </c>
      <c r="I2947" s="26">
        <v>43721.625</v>
      </c>
      <c r="J2947" s="23" t="str">
        <f>HYPERLINK("https://www.spark-marketing.ru/Card/Person/6231467", "ООО ""ОБЛФАРМ АЛЬЯНС""")</f>
        <v>ООО "ОБЛФАРМ АЛЬЯНС"</v>
      </c>
      <c r="K2947" s="24" t="s">
        <v>2175</v>
      </c>
      <c r="L2947" s="22" t="s">
        <v>10</v>
      </c>
      <c r="M2947" s="28" t="s">
        <v>51</v>
      </c>
      <c r="N2947" s="28" t="s">
        <v>51</v>
      </c>
    </row>
    <row r="2948" spans="1:14" x14ac:dyDescent="0.15">
      <c r="A2948" s="23" t="str">
        <f>HYPERLINK("https://www.spark-marketing.ru/Card/Person/152650", "МБДОУ ""ДЕТСКИЙ САД №22""")</f>
        <v>МБДОУ "ДЕТСКИЙ САД №22"</v>
      </c>
      <c r="B2948" s="24" t="s">
        <v>5266</v>
      </c>
      <c r="C2948" s="25">
        <v>10278898</v>
      </c>
      <c r="D2948" s="22" t="s">
        <v>5267</v>
      </c>
      <c r="E2948" s="22" t="s">
        <v>48</v>
      </c>
      <c r="F2948" s="23" t="str">
        <f>HYPERLINK("https://www.spark-marketing.ru/Card/Lot/73413813", "на оказание услуг по организации горячего питания в МБДОУ № 22")</f>
        <v>на оказание услуг по организации горячего питания в МБДОУ № 22</v>
      </c>
      <c r="G2948" s="22" t="s">
        <v>49</v>
      </c>
      <c r="H2948" s="22" t="s">
        <v>301</v>
      </c>
      <c r="I2948" s="26">
        <v>43721.592361111099</v>
      </c>
      <c r="J2948" s="28" t="s">
        <v>51</v>
      </c>
      <c r="K2948" s="28" t="s">
        <v>51</v>
      </c>
      <c r="L2948" s="28" t="s">
        <v>51</v>
      </c>
      <c r="M2948" s="28" t="s">
        <v>51</v>
      </c>
      <c r="N2948" s="28" t="s">
        <v>51</v>
      </c>
    </row>
    <row r="2949" spans="1:14" hidden="1" outlineLevel="1" x14ac:dyDescent="0.2">
      <c r="A2949" s="23" t="str">
        <f>HYPERLINK("https://www.spark-marketing.ru/Card/Person/152650", "МБДОУ ""ДЕТСКИЙ САД №22""")</f>
        <v>МБДОУ "ДЕТСКИЙ САД №22"</v>
      </c>
      <c r="B2949" s="24" t="s">
        <v>5266</v>
      </c>
      <c r="C2949" s="25">
        <v>10278898</v>
      </c>
      <c r="D2949" s="22" t="s">
        <v>5267</v>
      </c>
      <c r="E2949" s="22" t="s">
        <v>48</v>
      </c>
      <c r="F2949" s="23" t="str">
        <f>HYPERLINK("https://www.spark-marketing.ru/Card/Lot/73413813", "на оказание услуг по организации горячего питания в МБДОУ № 22")</f>
        <v>на оказание услуг по организации горячего питания в МБДОУ № 22</v>
      </c>
      <c r="G2949" s="22" t="s">
        <v>49</v>
      </c>
      <c r="H2949" s="22" t="s">
        <v>301</v>
      </c>
      <c r="I2949" s="26">
        <v>43721.592361111099</v>
      </c>
      <c r="J2949" s="23" t="str">
        <f>HYPERLINK("https://www.spark-marketing.ru/Card/Person/100937", "ООО ""ВЕРТИКАЛЬ""")</f>
        <v>ООО "ВЕРТИКАЛЬ"</v>
      </c>
      <c r="K2949" s="24" t="s">
        <v>4501</v>
      </c>
      <c r="L2949" s="28" t="s">
        <v>51</v>
      </c>
      <c r="M2949" s="25">
        <v>9559375.1400000006</v>
      </c>
      <c r="N2949" s="27">
        <v>7.0000000000000007E-2</v>
      </c>
    </row>
    <row r="2950" spans="1:14" ht="12.75" hidden="1" outlineLevel="1" x14ac:dyDescent="0.2">
      <c r="A2950" s="23" t="str">
        <f>HYPERLINK("https://www.spark-marketing.ru/Card/Person/152650", "МБДОУ ""ДЕТСКИЙ САД №22""")</f>
        <v>МБДОУ "ДЕТСКИЙ САД №22"</v>
      </c>
      <c r="B2950" s="24" t="s">
        <v>5266</v>
      </c>
      <c r="C2950" s="25">
        <v>10278898</v>
      </c>
      <c r="D2950" s="22" t="s">
        <v>5267</v>
      </c>
      <c r="E2950" s="22" t="s">
        <v>48</v>
      </c>
      <c r="F2950" s="23" t="str">
        <f>HYPERLINK("https://www.spark-marketing.ru/Card/Lot/73413813", "на оказание услуг по организации горячего питания в МБДОУ № 22")</f>
        <v>на оказание услуг по организации горячего питания в МБДОУ № 22</v>
      </c>
      <c r="G2950" s="22" t="s">
        <v>49</v>
      </c>
      <c r="H2950" s="22" t="s">
        <v>301</v>
      </c>
      <c r="I2950" s="26">
        <v>43721.592361111099</v>
      </c>
      <c r="J2950" s="23" t="str">
        <f>HYPERLINK("https://www.spark-marketing.ru/Card/Person/70733", "ООО ""ПЛАНЕТА ВКУСА""")</f>
        <v>ООО "ПЛАНЕТА ВКУСА"</v>
      </c>
      <c r="K2950" s="24" t="s">
        <v>4502</v>
      </c>
      <c r="L2950" s="22" t="s">
        <v>10</v>
      </c>
      <c r="M2950" s="25">
        <v>9764038</v>
      </c>
      <c r="N2950" s="27">
        <v>5.0089027053289173E-2</v>
      </c>
    </row>
    <row r="2951" spans="1:14" x14ac:dyDescent="0.2">
      <c r="A2951" s="23" t="str">
        <f>HYPERLINK("https://www.spark-marketing.ru/Card/Person/82831", "БУ ""РЕСПУБЛИКАНСКИЙ КЛИНИЧЕСКИЙ ГОСПИТАЛЬ ДЛЯ ВЕТЕРАНОВ ВОЙН"" МИНЗДРАВА ЧУВАШИИ")</f>
        <v>БУ "РЕСПУБЛИКАНСКИЙ КЛИНИЧЕСКИЙ ГОСПИТАЛЬ ДЛЯ ВЕТЕРАНОВ ВОЙН" МИНЗДРАВА ЧУВАШИИ</v>
      </c>
      <c r="B2951" s="24" t="s">
        <v>5268</v>
      </c>
      <c r="C2951" s="25">
        <v>23225780.280000001</v>
      </c>
      <c r="D2951" s="22" t="s">
        <v>5269</v>
      </c>
      <c r="E2951" s="22" t="s">
        <v>48</v>
      </c>
      <c r="F2951" s="23" t="str">
        <f>HYPERLINK("https://www.spark-marketing.ru/Card/Lot/73413956", "Оказание услуг по организации лечебного питания пациентов для нужд бюджетного учреждения Чувашской Республики «Республиканский клинический госпиталь для ветеранов войн» Министерства здравоохранения Чувашской Республики")</f>
        <v>Оказание услуг по организации лечебного питания пациентов для нужд бюджетного учреждения Чувашской Республики «Республиканский клинический госпиталь для ветеранов войн» Министерства здравоохранения Чувашской Республики</v>
      </c>
      <c r="G2951" s="22" t="s">
        <v>618</v>
      </c>
      <c r="H2951" s="22" t="s">
        <v>618</v>
      </c>
      <c r="I2951" s="26">
        <v>43721.599999999999</v>
      </c>
      <c r="J2951" s="23" t="str">
        <f>HYPERLINK("https://www.spark-marketing.ru/Card/Person/160694", "ГУП ""КОМБИНАТ ПИТАНИЯ АДМИНИСТРАЦИИ ГЛАВЫ ЧУВАШСКОЙ РЕСПУБЛИКИ""")</f>
        <v>ГУП "КОМБИНАТ ПИТАНИЯ АДМИНИСТРАЦИИ ГЛАВЫ ЧУВАШСКОЙ РЕСПУБЛИКИ"</v>
      </c>
      <c r="K2951" s="24" t="s">
        <v>5270</v>
      </c>
      <c r="L2951" s="28" t="s">
        <v>51</v>
      </c>
      <c r="M2951" s="25">
        <v>23180675.379999999</v>
      </c>
      <c r="N2951" s="27">
        <v>1.942018716109201E-3</v>
      </c>
    </row>
    <row r="2952" spans="1:14" x14ac:dyDescent="0.15">
      <c r="A2952" s="23" t="str">
        <f>HYPERLINK("https://www.spark-marketing.ru/Card/Person/102694", "МУ МВД РОССИИ ""ИРКУТСКОЕ""")</f>
        <v>МУ МВД РОССИИ "ИРКУТСКОЕ"</v>
      </c>
      <c r="B2952" s="24" t="s">
        <v>2766</v>
      </c>
      <c r="C2952" s="25">
        <v>119548</v>
      </c>
      <c r="D2952" s="22" t="s">
        <v>5271</v>
      </c>
      <c r="E2952" s="22" t="s">
        <v>96</v>
      </c>
      <c r="F2952" s="23" t="str">
        <f>HYPERLINK("https://www.spark-marketing.ru/Card/Lot/73401670", "Приобретение продуктовых наборов питания для задержанных на срок более трех часов, содержащихся в ДЧ территориальных отделов полиции МУ МВД России «Иркутское», прочая закупка товаров, работ, услуг")</f>
        <v>Приобретение продуктовых наборов питания для задержанных на срок более трех часов, содержащихся в ДЧ территориальных отделов полиции МУ МВД России «Иркутское», прочая закупка товаров, работ, услуг</v>
      </c>
      <c r="G2952" s="22" t="s">
        <v>263</v>
      </c>
      <c r="H2952" s="22" t="s">
        <v>2768</v>
      </c>
      <c r="I2952" s="26">
        <v>43721.604166666701</v>
      </c>
      <c r="J2952" s="23" t="str">
        <f>HYPERLINK("https://www.spark-marketing.ru/Card/Person/2135167", "Гордт Эдуард Альбертович")</f>
        <v>Гордт Эдуард Альбертович</v>
      </c>
      <c r="K2952" s="24" t="s">
        <v>5272</v>
      </c>
      <c r="L2952" s="22" t="s">
        <v>10</v>
      </c>
      <c r="M2952" s="28" t="s">
        <v>51</v>
      </c>
      <c r="N2952" s="28" t="s">
        <v>51</v>
      </c>
    </row>
    <row r="2953" spans="1:14" x14ac:dyDescent="0.15">
      <c r="A2953" s="23" t="str">
        <f>HYPERLINK("https://www.spark-marketing.ru/Card/Person/4366045", "ГКБУК ""МУЗЕЙ СОВРЕМЕННОГО ИСКУССТВА ""ПЕРММ""")</f>
        <v>ГКБУК "МУЗЕЙ СОВРЕМЕННОГО ИСКУССТВА "ПЕРММ"</v>
      </c>
      <c r="B2953" s="24" t="s">
        <v>5273</v>
      </c>
      <c r="C2953" s="25">
        <v>140296.67000000001</v>
      </c>
      <c r="D2953" s="22" t="s">
        <v>5274</v>
      </c>
      <c r="E2953" s="22" t="s">
        <v>81</v>
      </c>
      <c r="F2953" s="23" t="str">
        <f>HYPERLINK("https://www.spark-marketing.ru/Card/Lot/73402294", "Оказание услуг по организация проживания на загородной базе отдыха( санатории), питания и трансфера участников реализации второго этапа проекта «Подросток+музей+...» из средств гранта")</f>
        <v>Оказание услуг по организация проживания на загородной базе отдыха( санатории), питания и трансфера участников реализации второго этапа проекта «Подросток+музей+...» из средств гранта</v>
      </c>
      <c r="G2953" s="22" t="s">
        <v>153</v>
      </c>
      <c r="H2953" s="22" t="s">
        <v>153</v>
      </c>
      <c r="I2953" s="26">
        <v>43721.584027777797</v>
      </c>
      <c r="J2953" s="28" t="s">
        <v>51</v>
      </c>
      <c r="K2953" s="28" t="s">
        <v>51</v>
      </c>
      <c r="L2953" s="28" t="s">
        <v>51</v>
      </c>
      <c r="M2953" s="28" t="s">
        <v>51</v>
      </c>
      <c r="N2953" s="28" t="s">
        <v>51</v>
      </c>
    </row>
    <row r="2954" spans="1:14" hidden="1" outlineLevel="1" x14ac:dyDescent="0.2">
      <c r="A2954" s="23" t="str">
        <f>HYPERLINK("https://www.spark-marketing.ru/Card/Person/4366045", "ГКБУК ""МУЗЕЙ СОВРЕМЕННОГО ИСКУССТВА ""ПЕРММ""")</f>
        <v>ГКБУК "МУЗЕЙ СОВРЕМЕННОГО ИСКУССТВА "ПЕРММ"</v>
      </c>
      <c r="B2954" s="24" t="s">
        <v>5273</v>
      </c>
      <c r="C2954" s="25">
        <v>140296.67000000001</v>
      </c>
      <c r="D2954" s="22" t="s">
        <v>5274</v>
      </c>
      <c r="E2954" s="22" t="s">
        <v>81</v>
      </c>
      <c r="F2954" s="23" t="str">
        <f>HYPERLINK("https://www.spark-marketing.ru/Card/Lot/73402294", "Оказание услуг по организация проживания на загородной базе отдыха( санатории), питания и трансфера участников реализации второго этапа проекта «Подросток+музей+...» из средств гранта")</f>
        <v>Оказание услуг по организация проживания на загородной базе отдыха( санатории), питания и трансфера участников реализации второго этапа проекта «Подросток+музей+...» из средств гранта</v>
      </c>
      <c r="G2954" s="22" t="s">
        <v>153</v>
      </c>
      <c r="H2954" s="22" t="s">
        <v>153</v>
      </c>
      <c r="I2954" s="26">
        <v>43721.584027777797</v>
      </c>
      <c r="J2954" s="23" t="str">
        <f>HYPERLINK("https://www.spark-marketing.ru/Card/Person/365633", "ООО ""ОГОНЕК ПМ""")</f>
        <v>ООО "ОГОНЕК ПМ"</v>
      </c>
      <c r="K2954" s="24" t="s">
        <v>5275</v>
      </c>
      <c r="L2954" s="28" t="s">
        <v>51</v>
      </c>
      <c r="M2954" s="25">
        <v>119252.21</v>
      </c>
      <c r="N2954" s="27">
        <v>0.14999971132600654</v>
      </c>
    </row>
    <row r="2955" spans="1:14" ht="12.75" hidden="1" outlineLevel="1" x14ac:dyDescent="0.2">
      <c r="A2955" s="23" t="str">
        <f>HYPERLINK("https://www.spark-marketing.ru/Card/Person/4366045", "ГКБУК ""МУЗЕЙ СОВРЕМЕННОГО ИСКУССТВА ""ПЕРММ""")</f>
        <v>ГКБУК "МУЗЕЙ СОВРЕМЕННОГО ИСКУССТВА "ПЕРММ"</v>
      </c>
      <c r="B2955" s="24" t="s">
        <v>5273</v>
      </c>
      <c r="C2955" s="25">
        <v>140296.67000000001</v>
      </c>
      <c r="D2955" s="22" t="s">
        <v>5274</v>
      </c>
      <c r="E2955" s="22" t="s">
        <v>81</v>
      </c>
      <c r="F2955" s="23" t="str">
        <f>HYPERLINK("https://www.spark-marketing.ru/Card/Lot/73402294", "Оказание услуг по организация проживания на загородной базе отдыха( санатории), питания и трансфера участников реализации второго этапа проекта «Подросток+музей+...» из средств гранта")</f>
        <v>Оказание услуг по организация проживания на загородной базе отдыха( санатории), питания и трансфера участников реализации второго этапа проекта «Подросток+музей+...» из средств гранта</v>
      </c>
      <c r="G2955" s="22" t="s">
        <v>153</v>
      </c>
      <c r="H2955" s="22" t="s">
        <v>153</v>
      </c>
      <c r="I2955" s="26">
        <v>43721.584027777797</v>
      </c>
      <c r="J2955" s="23" t="str">
        <f>HYPERLINK("https://www.spark-marketing.ru/Card/Person/6524128", "ООО ""СОК СП ""СОСНОВЫЙ БОР""")</f>
        <v>ООО "СОК СП "СОСНОВЫЙ БОР"</v>
      </c>
      <c r="K2955" s="24" t="s">
        <v>5276</v>
      </c>
      <c r="L2955" s="22" t="s">
        <v>10</v>
      </c>
      <c r="M2955" s="25">
        <v>118550.73</v>
      </c>
      <c r="N2955" s="27">
        <v>0.15499968744803422</v>
      </c>
    </row>
    <row r="2956" spans="1:14" x14ac:dyDescent="0.15">
      <c r="A2956" s="23" t="str">
        <f>HYPERLINK("https://www.spark-marketing.ru/Card/Person/737290", "ГКУ «ЦБЗ ПРИ МИНЗДРАВЕ КАРЕЛИИ»")</f>
        <v>ГКУ «ЦБЗ ПРИ МИНЗДРАВЕ КАРЕЛИИ»</v>
      </c>
      <c r="B2956" s="24" t="s">
        <v>312</v>
      </c>
      <c r="C2956" s="25">
        <v>833950.8</v>
      </c>
      <c r="D2956" s="22" t="s">
        <v>5277</v>
      </c>
      <c r="E2956" s="22" t="s">
        <v>52</v>
      </c>
      <c r="F2956" s="23" t="str">
        <f>HYPERLINK("https://www.spark-marketing.ru/Card/Lot/73410924", "Поставка лекарственного препарата Инсулин аспарт двухфазный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из...")</f>
        <v>Поставка лекарственного препарата Инсулин аспарт двухфазный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</v>
      </c>
      <c r="G2956" s="22" t="s">
        <v>59</v>
      </c>
      <c r="H2956" s="22" t="s">
        <v>314</v>
      </c>
      <c r="I2956" s="26">
        <v>43721.670833333301</v>
      </c>
      <c r="J2956" s="23" t="str">
        <f>HYPERLINK("https://www.spark-marketing.ru/Card/Person/6492462", "ООО ""ОН.К""")</f>
        <v>ООО "ОН.К"</v>
      </c>
      <c r="K2956" s="24" t="s">
        <v>2173</v>
      </c>
      <c r="L2956" s="22" t="s">
        <v>10</v>
      </c>
      <c r="M2956" s="28" t="s">
        <v>51</v>
      </c>
      <c r="N2956" s="28" t="s">
        <v>51</v>
      </c>
    </row>
    <row r="2957" spans="1:14" x14ac:dyDescent="0.15">
      <c r="A2957" s="23" t="str">
        <f>HYPERLINK("https://www.spark-marketing.ru/Card/Person/647644", "СПОРТКОМИТЕТ ГОРОДА")</f>
        <v>СПОРТКОМИТЕТ ГОРОДА</v>
      </c>
      <c r="B2957" s="24" t="s">
        <v>5278</v>
      </c>
      <c r="C2957" s="25">
        <v>323058.65000000002</v>
      </c>
      <c r="D2957" s="22" t="s">
        <v>5279</v>
      </c>
      <c r="E2957" s="22" t="s">
        <v>48</v>
      </c>
      <c r="F2957" s="23" t="str">
        <f>HYPERLINK("https://www.spark-marketing.ru/Card/Lot/73400111", "Оказание услуг по организации питания детей в каникулярное время")</f>
        <v>Оказание услуг по организации питания детей в каникулярное время</v>
      </c>
      <c r="G2957" s="22" t="s">
        <v>97</v>
      </c>
      <c r="H2957" s="22" t="s">
        <v>97</v>
      </c>
      <c r="I2957" s="26">
        <v>43721.568749999999</v>
      </c>
      <c r="J2957" s="23" t="str">
        <f>HYPERLINK("https://www.spark-marketing.ru/Card/Person/233465", "НГМУП ""ШКОЛЬНОЕ ПИТАНИЕ""")</f>
        <v>НГМУП "ШКОЛЬНОЕ ПИТАНИЕ"</v>
      </c>
      <c r="K2957" s="24" t="s">
        <v>5280</v>
      </c>
      <c r="L2957" s="22" t="s">
        <v>10</v>
      </c>
      <c r="M2957" s="28" t="s">
        <v>51</v>
      </c>
      <c r="N2957" s="28" t="s">
        <v>51</v>
      </c>
    </row>
    <row r="2958" spans="1:14" x14ac:dyDescent="0.15">
      <c r="A2958" s="23" t="str">
        <f>HYPERLINK("https://www.spark-marketing.ru/Card/Person/82758", "МБДОУ ""ДЕТСКИЙ САД № 17""")</f>
        <v>МБДОУ "ДЕТСКИЙ САД № 17"</v>
      </c>
      <c r="B2958" s="24" t="s">
        <v>5281</v>
      </c>
      <c r="C2958" s="25">
        <v>29955145</v>
      </c>
      <c r="D2958" s="22" t="s">
        <v>5282</v>
      </c>
      <c r="E2958" s="22" t="s">
        <v>48</v>
      </c>
      <c r="F2958" s="23" t="str">
        <f>HYPERLINK("https://www.spark-marketing.ru/Card/Lot/73413870", "на оказание услуг по организации горячего питания в МБДОУ № 17")</f>
        <v>на оказание услуг по организации горячего питания в МБДОУ № 17</v>
      </c>
      <c r="G2958" s="22" t="s">
        <v>49</v>
      </c>
      <c r="H2958" s="22" t="s">
        <v>301</v>
      </c>
      <c r="I2958" s="26">
        <v>43721.543749999997</v>
      </c>
      <c r="J2958" s="28" t="s">
        <v>51</v>
      </c>
      <c r="K2958" s="28" t="s">
        <v>51</v>
      </c>
      <c r="L2958" s="28" t="s">
        <v>51</v>
      </c>
      <c r="M2958" s="28" t="s">
        <v>51</v>
      </c>
      <c r="N2958" s="28" t="s">
        <v>51</v>
      </c>
    </row>
    <row r="2959" spans="1:14" hidden="1" outlineLevel="1" x14ac:dyDescent="0.2">
      <c r="A2959" s="23" t="str">
        <f>HYPERLINK("https://www.spark-marketing.ru/Card/Person/82758", "МБДОУ ""ДЕТСКИЙ САД № 17""")</f>
        <v>МБДОУ "ДЕТСКИЙ САД № 17"</v>
      </c>
      <c r="B2959" s="24" t="s">
        <v>5281</v>
      </c>
      <c r="C2959" s="25">
        <v>29955145</v>
      </c>
      <c r="D2959" s="22" t="s">
        <v>5282</v>
      </c>
      <c r="E2959" s="22" t="s">
        <v>48</v>
      </c>
      <c r="F2959" s="23" t="str">
        <f>HYPERLINK("https://www.spark-marketing.ru/Card/Lot/73413870", "на оказание услуг по организации горячего питания в МБДОУ № 17")</f>
        <v>на оказание услуг по организации горячего питания в МБДОУ № 17</v>
      </c>
      <c r="G2959" s="22" t="s">
        <v>49</v>
      </c>
      <c r="H2959" s="22" t="s">
        <v>301</v>
      </c>
      <c r="I2959" s="26">
        <v>43721.543749999997</v>
      </c>
      <c r="J2959" s="23" t="str">
        <f>HYPERLINK("https://www.spark-marketing.ru/Card/Person/100937", "ООО ""ВЕРТИКАЛЬ""")</f>
        <v>ООО "ВЕРТИКАЛЬ"</v>
      </c>
      <c r="K2959" s="24" t="s">
        <v>4501</v>
      </c>
      <c r="L2959" s="28" t="s">
        <v>51</v>
      </c>
      <c r="M2959" s="25">
        <v>28457387.75</v>
      </c>
      <c r="N2959" s="27">
        <v>0.05</v>
      </c>
    </row>
    <row r="2960" spans="1:14" ht="12.75" hidden="1" outlineLevel="1" x14ac:dyDescent="0.2">
      <c r="A2960" s="23" t="str">
        <f>HYPERLINK("https://www.spark-marketing.ru/Card/Person/82758", "МБДОУ ""ДЕТСКИЙ САД № 17""")</f>
        <v>МБДОУ "ДЕТСКИЙ САД № 17"</v>
      </c>
      <c r="B2960" s="24" t="s">
        <v>5281</v>
      </c>
      <c r="C2960" s="25">
        <v>29955145</v>
      </c>
      <c r="D2960" s="22" t="s">
        <v>5282</v>
      </c>
      <c r="E2960" s="22" t="s">
        <v>48</v>
      </c>
      <c r="F2960" s="23" t="str">
        <f>HYPERLINK("https://www.spark-marketing.ru/Card/Lot/73413870", "на оказание услуг по организации горячего питания в МБДОУ № 17")</f>
        <v>на оказание услуг по организации горячего питания в МБДОУ № 17</v>
      </c>
      <c r="G2960" s="22" t="s">
        <v>49</v>
      </c>
      <c r="H2960" s="22" t="s">
        <v>301</v>
      </c>
      <c r="I2960" s="26">
        <v>43721.543749999997</v>
      </c>
      <c r="J2960" s="23" t="str">
        <f>HYPERLINK("https://www.spark-marketing.ru/Card/Person/70733", "ООО ""ПЛАНЕТА ВКУСА""")</f>
        <v>ООО "ПЛАНЕТА ВКУСА"</v>
      </c>
      <c r="K2960" s="24" t="s">
        <v>4502</v>
      </c>
      <c r="L2960" s="22" t="s">
        <v>10</v>
      </c>
      <c r="M2960" s="25">
        <v>28519079</v>
      </c>
      <c r="N2960" s="27">
        <v>4.7940545772687797E-2</v>
      </c>
    </row>
    <row r="2961" spans="1:14" x14ac:dyDescent="0.15">
      <c r="A2961" s="23" t="str">
        <f>HYPERLINK("https://www.spark-marketing.ru/Card/Person/1690", "ОГБУЗ ""МЕДИКО-САНИТАРНАЯ ЧАСТЬ №2"", ОГБУЗ ""МСЧ №2""")</f>
        <v>ОГБУЗ "МЕДИКО-САНИТАРНАЯ ЧАСТЬ №2", ОГБУЗ "МСЧ №2"</v>
      </c>
      <c r="B2961" s="24" t="s">
        <v>5283</v>
      </c>
      <c r="C2961" s="25">
        <v>32713099.329999998</v>
      </c>
      <c r="D2961" s="22" t="s">
        <v>5284</v>
      </c>
      <c r="E2961" s="22" t="s">
        <v>48</v>
      </c>
      <c r="F2961" s="23" t="str">
        <f>HYPERLINK("https://www.spark-marketing.ru/Card/Lot/73413900", "Оказание услуг по организации питания пациентов ОГБУЗ «Медико-санитарная часть №2»")</f>
        <v>Оказание услуг по организации питания пациентов ОГБУЗ «Медико-санитарная часть №2»</v>
      </c>
      <c r="G2961" s="22" t="s">
        <v>149</v>
      </c>
      <c r="H2961" s="22" t="s">
        <v>496</v>
      </c>
      <c r="I2961" s="26">
        <v>43721.7368055556</v>
      </c>
      <c r="J2961" s="28" t="s">
        <v>51</v>
      </c>
      <c r="K2961" s="28" t="s">
        <v>51</v>
      </c>
      <c r="L2961" s="28" t="s">
        <v>51</v>
      </c>
      <c r="M2961" s="28" t="s">
        <v>51</v>
      </c>
      <c r="N2961" s="28" t="s">
        <v>51</v>
      </c>
    </row>
    <row r="2962" spans="1:14" hidden="1" outlineLevel="1" x14ac:dyDescent="0.2">
      <c r="A2962" s="23" t="str">
        <f>HYPERLINK("https://www.spark-marketing.ru/Card/Person/1690", "ОГБУЗ ""МЕДИКО-САНИТАРНАЯ ЧАСТЬ №2"", ОГБУЗ ""МСЧ №2""")</f>
        <v>ОГБУЗ "МЕДИКО-САНИТАРНАЯ ЧАСТЬ №2", ОГБУЗ "МСЧ №2"</v>
      </c>
      <c r="B2962" s="24" t="s">
        <v>5283</v>
      </c>
      <c r="C2962" s="25">
        <v>32713099.329999998</v>
      </c>
      <c r="D2962" s="22" t="s">
        <v>5284</v>
      </c>
      <c r="E2962" s="22" t="s">
        <v>48</v>
      </c>
      <c r="F2962" s="23" t="str">
        <f>HYPERLINK("https://www.spark-marketing.ru/Card/Lot/73413900", "Оказание услуг по организации питания пациентов ОГБУЗ «Медико-санитарная часть №2»")</f>
        <v>Оказание услуг по организации питания пациентов ОГБУЗ «Медико-санитарная часть №2»</v>
      </c>
      <c r="G2962" s="22" t="s">
        <v>149</v>
      </c>
      <c r="H2962" s="22" t="s">
        <v>496</v>
      </c>
      <c r="I2962" s="26">
        <v>43721.7368055556</v>
      </c>
      <c r="J2962" s="23" t="str">
        <f>HYPERLINK("https://www.spark-marketing.ru/Card/Person/852288", "ООО ""ЗДОРОВОЕ ПИТАНИЕ""")</f>
        <v>ООО "ЗДОРОВОЕ ПИТАНИЕ"</v>
      </c>
      <c r="K2962" s="24" t="s">
        <v>4082</v>
      </c>
      <c r="L2962" s="28" t="s">
        <v>51</v>
      </c>
      <c r="M2962" s="25">
        <v>32232209.899999999</v>
      </c>
      <c r="N2962" s="27">
        <v>1.4700210003000043E-2</v>
      </c>
    </row>
    <row r="2963" spans="1:14" ht="12.75" hidden="1" outlineLevel="1" x14ac:dyDescent="0.2">
      <c r="A2963" s="23" t="str">
        <f>HYPERLINK("https://www.spark-marketing.ru/Card/Person/1690", "ОГБУЗ ""МЕДИКО-САНИТАРНАЯ ЧАСТЬ №2"", ОГБУЗ ""МСЧ №2""")</f>
        <v>ОГБУЗ "МЕДИКО-САНИТАРНАЯ ЧАСТЬ №2", ОГБУЗ "МСЧ №2"</v>
      </c>
      <c r="B2963" s="24" t="s">
        <v>5283</v>
      </c>
      <c r="C2963" s="25">
        <v>32713099.329999998</v>
      </c>
      <c r="D2963" s="22" t="s">
        <v>5284</v>
      </c>
      <c r="E2963" s="22" t="s">
        <v>48</v>
      </c>
      <c r="F2963" s="23" t="str">
        <f>HYPERLINK("https://www.spark-marketing.ru/Card/Lot/73413900", "Оказание услуг по организации питания пациентов ОГБУЗ «Медико-санитарная часть №2»")</f>
        <v>Оказание услуг по организации питания пациентов ОГБУЗ «Медико-санитарная часть №2»</v>
      </c>
      <c r="G2963" s="22" t="s">
        <v>149</v>
      </c>
      <c r="H2963" s="22" t="s">
        <v>496</v>
      </c>
      <c r="I2963" s="26">
        <v>43721.7368055556</v>
      </c>
      <c r="J2963" s="23" t="str">
        <f>HYPERLINK("https://www.spark-marketing.ru/Card/Person/535007", "ООО ""САМ""")</f>
        <v>ООО "САМ"</v>
      </c>
      <c r="K2963" s="24" t="s">
        <v>5285</v>
      </c>
      <c r="L2963" s="22" t="s">
        <v>10</v>
      </c>
      <c r="M2963" s="25">
        <v>31825627</v>
      </c>
      <c r="N2963" s="27">
        <v>2.7128958985128359E-2</v>
      </c>
    </row>
    <row r="2964" spans="1:14" x14ac:dyDescent="0.15">
      <c r="A2964" s="23" t="str">
        <f>HYPERLINK("https://www.spark-marketing.ru/Card/Person/4358844", "ОАО ""УДМУРТНЕФТЬ""")</f>
        <v>ОАО "УДМУРТНЕФТЬ"</v>
      </c>
      <c r="B2964" s="24" t="s">
        <v>5286</v>
      </c>
      <c r="C2964" s="28" t="s">
        <v>51</v>
      </c>
      <c r="D2964" s="22" t="s">
        <v>5287</v>
      </c>
      <c r="E2964" s="22" t="s">
        <v>362</v>
      </c>
      <c r="F2964" s="23" t="str">
        <f>HYPERLINK("https://www.spark-marketing.ru/Card/Lot/74006466", "Услуги по организации общественного питания, выдача спецпитания, банкетное обслуживание, обеспечение питания участников конкурса ""Лучший по профессии"", организация питания участников КШУ")</f>
        <v>Услуги по организации общественного питания, выдача спецпитания, банкетное обслуживание, обеспечение питания участников конкурса "Лучший по профессии", организация питания участников КШУ</v>
      </c>
      <c r="G2964" s="22" t="s">
        <v>852</v>
      </c>
      <c r="H2964" s="22" t="s">
        <v>2477</v>
      </c>
      <c r="I2964" s="26">
        <v>43721.579861111102</v>
      </c>
      <c r="J2964" s="28" t="s">
        <v>51</v>
      </c>
      <c r="K2964" s="28" t="s">
        <v>51</v>
      </c>
      <c r="L2964" s="28" t="s">
        <v>51</v>
      </c>
      <c r="M2964" s="28" t="s">
        <v>51</v>
      </c>
      <c r="N2964" s="28" t="s">
        <v>51</v>
      </c>
    </row>
    <row r="2965" spans="1:14" x14ac:dyDescent="0.15">
      <c r="A2965" s="23" t="str">
        <f>HYPERLINK("https://www.spark-marketing.ru/Card/Person/151055", "МБОУ СОШ №3 Г.О. ПУЩИНО")</f>
        <v>МБОУ СОШ №3 Г.О. ПУЩИНО</v>
      </c>
      <c r="B2965" s="24" t="s">
        <v>5288</v>
      </c>
      <c r="C2965" s="25">
        <v>575280</v>
      </c>
      <c r="D2965" s="22" t="s">
        <v>5289</v>
      </c>
      <c r="E2965" s="22" t="s">
        <v>48</v>
      </c>
      <c r="F2965" s="23" t="str">
        <f>HYPERLINK("https://www.spark-marketing.ru/Card/Lot/73399226", "Оказание услуг по организации горячего питания и буфетного обслуживания учащихся в МБОУ СОШ №3 г.о. Пущино")</f>
        <v>Оказание услуг по организации горячего питания и буфетного обслуживания учащихся в МБОУ СОШ №3 г.о. Пущино</v>
      </c>
      <c r="G2965" s="22" t="s">
        <v>49</v>
      </c>
      <c r="H2965" s="22" t="s">
        <v>426</v>
      </c>
      <c r="I2965" s="26">
        <v>43721.503067129597</v>
      </c>
      <c r="J2965" s="28" t="s">
        <v>51</v>
      </c>
      <c r="K2965" s="28" t="s">
        <v>51</v>
      </c>
      <c r="L2965" s="28" t="s">
        <v>51</v>
      </c>
      <c r="M2965" s="28" t="s">
        <v>51</v>
      </c>
      <c r="N2965" s="28" t="s">
        <v>51</v>
      </c>
    </row>
    <row r="2966" spans="1:14" x14ac:dyDescent="0.15">
      <c r="A2966" s="23" t="str">
        <f>HYPERLINK("https://www.spark-marketing.ru/Card/Person/90696", "ФКУ ИК-15 ГУФСИН РОССИИ ПО КРАСНОЯРСКОМУ КРАЮ")</f>
        <v>ФКУ ИК-15 ГУФСИН РОССИИ ПО КРАСНОЯРСКОМУ КРАЮ</v>
      </c>
      <c r="B2966" s="24" t="s">
        <v>5290</v>
      </c>
      <c r="C2966" s="25">
        <v>472633.33</v>
      </c>
      <c r="D2966" s="22" t="s">
        <v>5291</v>
      </c>
      <c r="E2966" s="22" t="s">
        <v>5292</v>
      </c>
      <c r="F2966" s="23" t="str">
        <f>HYPERLINK("https://www.spark-marketing.ru/Card/Lot/73394832", "Прочая закупка товаров, работ и услуг (поставка продуктов питания)")</f>
        <v>Прочая закупка товаров, работ и услуг (поставка продуктов питания)</v>
      </c>
      <c r="G2966" s="22" t="s">
        <v>281</v>
      </c>
      <c r="H2966" s="22" t="s">
        <v>3025</v>
      </c>
      <c r="I2966" s="26">
        <v>43721.516666666699</v>
      </c>
      <c r="J2966" s="23" t="str">
        <f>HYPERLINK("https://www.spark-marketing.ru/Card/Person/172518", "Марьясов Александр Васильевич")</f>
        <v>Марьясов Александр Васильевич</v>
      </c>
      <c r="K2966" s="24" t="s">
        <v>5293</v>
      </c>
      <c r="L2966" s="22" t="s">
        <v>10</v>
      </c>
      <c r="M2966" s="28" t="s">
        <v>51</v>
      </c>
      <c r="N2966" s="28" t="s">
        <v>51</v>
      </c>
    </row>
    <row r="2967" spans="1:14" x14ac:dyDescent="0.15">
      <c r="A2967" s="23" t="str">
        <f>HYPERLINK("https://www.spark-marketing.ru/Card/Person/152522", "МБДОУ ""ДЕТСКИЙ САД №45""")</f>
        <v>МБДОУ "ДЕТСКИЙ САД №45"</v>
      </c>
      <c r="B2967" s="24" t="s">
        <v>5294</v>
      </c>
      <c r="C2967" s="25">
        <v>15636444</v>
      </c>
      <c r="D2967" s="22" t="s">
        <v>5295</v>
      </c>
      <c r="E2967" s="22" t="s">
        <v>48</v>
      </c>
      <c r="F2967" s="23" t="str">
        <f>HYPERLINK("https://www.spark-marketing.ru/Card/Lot/73413765", "на оказание услуг по организации горячего питания в МБДОУ№45")</f>
        <v>на оказание услуг по организации горячего питания в МБДОУ№45</v>
      </c>
      <c r="G2967" s="22" t="s">
        <v>49</v>
      </c>
      <c r="H2967" s="22" t="s">
        <v>301</v>
      </c>
      <c r="I2967" s="26">
        <v>43721.5</v>
      </c>
      <c r="J2967" s="28" t="s">
        <v>51</v>
      </c>
      <c r="K2967" s="28" t="s">
        <v>51</v>
      </c>
      <c r="L2967" s="28" t="s">
        <v>51</v>
      </c>
      <c r="M2967" s="28" t="s">
        <v>51</v>
      </c>
      <c r="N2967" s="28" t="s">
        <v>51</v>
      </c>
    </row>
    <row r="2968" spans="1:14" hidden="1" outlineLevel="1" x14ac:dyDescent="0.2">
      <c r="A2968" s="23" t="str">
        <f>HYPERLINK("https://www.spark-marketing.ru/Card/Person/152522", "МБДОУ ""ДЕТСКИЙ САД №45""")</f>
        <v>МБДОУ "ДЕТСКИЙ САД №45"</v>
      </c>
      <c r="B2968" s="24" t="s">
        <v>5294</v>
      </c>
      <c r="C2968" s="25">
        <v>15636444</v>
      </c>
      <c r="D2968" s="22" t="s">
        <v>5295</v>
      </c>
      <c r="E2968" s="22" t="s">
        <v>48</v>
      </c>
      <c r="F2968" s="23" t="str">
        <f>HYPERLINK("https://www.spark-marketing.ru/Card/Lot/73413765", "на оказание услуг по организации горячего питания в МБДОУ№45")</f>
        <v>на оказание услуг по организации горячего питания в МБДОУ№45</v>
      </c>
      <c r="G2968" s="22" t="s">
        <v>49</v>
      </c>
      <c r="H2968" s="22" t="s">
        <v>301</v>
      </c>
      <c r="I2968" s="26">
        <v>43721.5</v>
      </c>
      <c r="J2968" s="23" t="str">
        <f>HYPERLINK("https://www.spark-marketing.ru/Card/Person/100937", "ООО ""ВЕРТИКАЛЬ""")</f>
        <v>ООО "ВЕРТИКАЛЬ"</v>
      </c>
      <c r="K2968" s="24" t="s">
        <v>4501</v>
      </c>
      <c r="L2968" s="28" t="s">
        <v>51</v>
      </c>
      <c r="M2968" s="25">
        <v>14541892.92</v>
      </c>
      <c r="N2968" s="27">
        <v>7.0000000000000007E-2</v>
      </c>
    </row>
    <row r="2969" spans="1:14" ht="12.75" hidden="1" outlineLevel="1" x14ac:dyDescent="0.2">
      <c r="A2969" s="23" t="str">
        <f>HYPERLINK("https://www.spark-marketing.ru/Card/Person/152522", "МБДОУ ""ДЕТСКИЙ САД №45""")</f>
        <v>МБДОУ "ДЕТСКИЙ САД №45"</v>
      </c>
      <c r="B2969" s="24" t="s">
        <v>5294</v>
      </c>
      <c r="C2969" s="25">
        <v>15636444</v>
      </c>
      <c r="D2969" s="22" t="s">
        <v>5295</v>
      </c>
      <c r="E2969" s="22" t="s">
        <v>48</v>
      </c>
      <c r="F2969" s="23" t="str">
        <f>HYPERLINK("https://www.spark-marketing.ru/Card/Lot/73413765", "на оказание услуг по организации горячего питания в МБДОУ№45")</f>
        <v>на оказание услуг по организации горячего питания в МБДОУ№45</v>
      </c>
      <c r="G2969" s="22" t="s">
        <v>49</v>
      </c>
      <c r="H2969" s="22" t="s">
        <v>301</v>
      </c>
      <c r="I2969" s="26">
        <v>43721.5</v>
      </c>
      <c r="J2969" s="23" t="str">
        <f>HYPERLINK("https://www.spark-marketing.ru/Card/Person/70733", "ООО ""ПЛАНЕТА ВКУСА""")</f>
        <v>ООО "ПЛАНЕТА ВКУСА"</v>
      </c>
      <c r="K2969" s="24" t="s">
        <v>4502</v>
      </c>
      <c r="L2969" s="22" t="s">
        <v>10</v>
      </c>
      <c r="M2969" s="25">
        <v>14880232</v>
      </c>
      <c r="N2969" s="27">
        <v>4.8362146789896733E-2</v>
      </c>
    </row>
    <row r="2970" spans="1:14" x14ac:dyDescent="0.2">
      <c r="A2970" s="23" t="str">
        <f>HYPERLINK("https://www.spark-marketing.ru/Card/Person/6086", "ГКУ ""ДИРЕКЦИЯ ОДОТСЗН Г. МОСКВЫ""")</f>
        <v>ГКУ "ДИРЕКЦИЯ ОДОТСЗН Г. МОСКВЫ"</v>
      </c>
      <c r="B2970" s="24" t="s">
        <v>164</v>
      </c>
      <c r="C2970" s="25">
        <v>10480680</v>
      </c>
      <c r="D2970" s="22" t="s">
        <v>5296</v>
      </c>
      <c r="E2970" s="22" t="s">
        <v>86</v>
      </c>
      <c r="F2970" s="23" t="str">
        <f>HYPERLINK("https://www.spark-marketing.ru/Card/Lot/73413815", "Оказание услуг по предоставлению санаторно-курортного лечения (по путевкам) в 2020 году детям -инвалидам с сопровождающими лицами, проживающими в городе Москве в санатории для лечения пищевода, желудка двенадцатиперстной кишки, кишечника, болезней пе...")</f>
        <v>Оказание услуг по предоставлению санаторно-курортного лечения (по путевкам) в 2020 году детям -инвалидам с сопровождающими лицами, проживающими в городе Москве в санатории для лечения пищевода, желудка двенадцатиперстной кишки, кишечника, болезней пе...</v>
      </c>
      <c r="G2970" s="22" t="s">
        <v>56</v>
      </c>
      <c r="H2970" s="22" t="s">
        <v>56</v>
      </c>
      <c r="I2970" s="26">
        <v>43721.501388888901</v>
      </c>
      <c r="J2970" s="23" t="str">
        <f>HYPERLINK("https://www.spark-marketing.ru/Card/Person/63242", "ЛПУ ""БАЗОВЫЙ САНАТОРИЙ ""ВИКТОРИЯ"" (СКРЦ)")</f>
        <v>ЛПУ "БАЗОВЫЙ САНАТОРИЙ "ВИКТОРИЯ" (СКРЦ)</v>
      </c>
      <c r="K2970" s="24" t="s">
        <v>5297</v>
      </c>
      <c r="L2970" s="28" t="s">
        <v>51</v>
      </c>
      <c r="M2970" s="25">
        <v>10480680</v>
      </c>
      <c r="N2970" s="27">
        <v>0</v>
      </c>
    </row>
    <row r="2971" spans="1:14" x14ac:dyDescent="0.15">
      <c r="A2971" s="23" t="str">
        <f>HYPERLINK("https://www.spark-marketing.ru/Card/Person/737290", "ГКУ «ЦБЗ ПРИ МИНЗДРАВЕ КАРЕЛИИ»")</f>
        <v>ГКУ «ЦБЗ ПРИ МИНЗДРАВЕ КАРЕЛИИ»</v>
      </c>
      <c r="B2971" s="24" t="s">
        <v>312</v>
      </c>
      <c r="C2971" s="25">
        <v>12221881.199999999</v>
      </c>
      <c r="D2971" s="22" t="s">
        <v>5298</v>
      </c>
      <c r="E2971" s="22" t="s">
        <v>52</v>
      </c>
      <c r="F2971" s="23" t="str">
        <f>HYPERLINK("https://www.spark-marketing.ru/Card/Lot/73414015", "Поставка лекарственного препарата Инсулин гларгин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по...")</f>
        <v>Поставка лекарственного препарата Инсулин гларгин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</v>
      </c>
      <c r="G2971" s="22" t="s">
        <v>59</v>
      </c>
      <c r="H2971" s="22" t="s">
        <v>314</v>
      </c>
      <c r="I2971" s="26">
        <v>43721.525000000001</v>
      </c>
      <c r="J2971" s="23" t="str">
        <f>HYPERLINK("https://www.spark-marketing.ru/Card/Person/6231467", "ООО ""ОБЛФАРМ АЛЬЯНС""")</f>
        <v>ООО "ОБЛФАРМ АЛЬЯНС"</v>
      </c>
      <c r="K2971" s="24" t="s">
        <v>2175</v>
      </c>
      <c r="L2971" s="22" t="s">
        <v>10</v>
      </c>
      <c r="M2971" s="28" t="s">
        <v>51</v>
      </c>
      <c r="N2971" s="28" t="s">
        <v>51</v>
      </c>
    </row>
    <row r="2972" spans="1:14" x14ac:dyDescent="0.15">
      <c r="A2972" s="23" t="str">
        <f>HYPERLINK("https://www.spark-marketing.ru/Card/Person/56501", "ОТДЕЛ МВД РОССИИ ПО СРЕДНЕАХТУБИНСКОМУ РАЙОНУ")</f>
        <v>ОТДЕЛ МВД РОССИИ ПО СРЕДНЕАХТУБИНСКОМУ РАЙОНУ</v>
      </c>
      <c r="B2972" s="24" t="s">
        <v>5299</v>
      </c>
      <c r="C2972" s="25">
        <v>1149953.3700000001</v>
      </c>
      <c r="D2972" s="22" t="s">
        <v>5300</v>
      </c>
      <c r="E2972" s="22" t="s">
        <v>96</v>
      </c>
      <c r="F2972" s="23" t="str">
        <f>HYPERLINK("https://www.spark-marketing.ru/Card/Lot/73401707", "оказание услуг по организации ежедневного трехразового горячего питания лиц, содержащихся в изоляторе временного содержания подозреваемых и обвиняемых Отдела МВД России по Среднеахтубинскому району, в том числе лиц, подвергнутых административному аре...")</f>
        <v>оказание услуг по организации ежедневного трехразового горячего питания лиц, содержащихся в изоляторе временного содержания подозреваемых и обвиняемых Отдела МВД России по Среднеахтубинскому району, в том числе лиц, подвергнутых административному аре...</v>
      </c>
      <c r="G2972" s="22" t="s">
        <v>158</v>
      </c>
      <c r="H2972" s="22" t="s">
        <v>5301</v>
      </c>
      <c r="I2972" s="26">
        <v>43721.511111111096</v>
      </c>
      <c r="J2972" s="28" t="s">
        <v>51</v>
      </c>
      <c r="K2972" s="28" t="s">
        <v>51</v>
      </c>
      <c r="L2972" s="28" t="s">
        <v>51</v>
      </c>
      <c r="M2972" s="28" t="s">
        <v>51</v>
      </c>
      <c r="N2972" s="28" t="s">
        <v>51</v>
      </c>
    </row>
    <row r="2973" spans="1:14" ht="12.75" hidden="1" outlineLevel="1" x14ac:dyDescent="0.2">
      <c r="A2973" s="23" t="str">
        <f>HYPERLINK("https://www.spark-marketing.ru/Card/Person/56501", "ОТДЕЛ МВД РОССИИ ПО СРЕДНЕАХТУБИНСКОМУ РАЙОНУ")</f>
        <v>ОТДЕЛ МВД РОССИИ ПО СРЕДНЕАХТУБИНСКОМУ РАЙОНУ</v>
      </c>
      <c r="B2973" s="24" t="s">
        <v>5299</v>
      </c>
      <c r="C2973" s="25">
        <v>1149953.3700000001</v>
      </c>
      <c r="D2973" s="22" t="s">
        <v>5300</v>
      </c>
      <c r="E2973" s="22" t="s">
        <v>96</v>
      </c>
      <c r="F2973" s="23" t="str">
        <f>HYPERLINK("https://www.spark-marketing.ru/Card/Lot/73401707", "оказание услуг по организации ежедневного трехразового горячего питания лиц, содержащихся в изоляторе временного содержания подозреваемых и обвиняемых Отдела МВД России по Среднеахтубинскому району, в том числе лиц, подвергнутых административному аре...")</f>
        <v>оказание услуг по организации ежедневного трехразового горячего питания лиц, содержащихся в изоляторе временного содержания подозреваемых и обвиняемых Отдела МВД России по Среднеахтубинскому району, в том числе лиц, подвергнутых административному аре...</v>
      </c>
      <c r="G2973" s="22" t="s">
        <v>158</v>
      </c>
      <c r="H2973" s="22" t="s">
        <v>5301</v>
      </c>
      <c r="I2973" s="26">
        <v>43721.511111111096</v>
      </c>
      <c r="J2973" s="23" t="str">
        <f>HYPERLINK("https://www.spark-marketing.ru/Card/Person/56423", "ООО ""ВОЛГАСЕРВИСПРОДУКТ""")</f>
        <v>ООО "ВОЛГАСЕРВИСПРОДУКТ"</v>
      </c>
      <c r="K2973" s="24" t="s">
        <v>3035</v>
      </c>
      <c r="L2973" s="22" t="s">
        <v>10</v>
      </c>
      <c r="M2973" s="25">
        <v>1075206.3600000001</v>
      </c>
      <c r="N2973" s="27">
        <v>6.5000035610139562E-2</v>
      </c>
    </row>
    <row r="2974" spans="1:14" hidden="1" outlineLevel="1" x14ac:dyDescent="0.2">
      <c r="A2974" s="23" t="str">
        <f>HYPERLINK("https://www.spark-marketing.ru/Card/Person/56501", "ОТДЕЛ МВД РОССИИ ПО СРЕДНЕАХТУБИНСКОМУ РАЙОНУ")</f>
        <v>ОТДЕЛ МВД РОССИИ ПО СРЕДНЕАХТУБИНСКОМУ РАЙОНУ</v>
      </c>
      <c r="B2974" s="24" t="s">
        <v>5299</v>
      </c>
      <c r="C2974" s="25">
        <v>1149953.3700000001</v>
      </c>
      <c r="D2974" s="22" t="s">
        <v>5300</v>
      </c>
      <c r="E2974" s="22" t="s">
        <v>96</v>
      </c>
      <c r="F2974" s="23" t="str">
        <f>HYPERLINK("https://www.spark-marketing.ru/Card/Lot/73401707", "оказание услуг по организации ежедневного трехразового горячего питания лиц, содержащихся в изоляторе временного содержания подозреваемых и обвиняемых Отдела МВД России по Среднеахтубинскому району, в том числе лиц, подвергнутых административному аре...")</f>
        <v>оказание услуг по организации ежедневного трехразового горячего питания лиц, содержащихся в изоляторе временного содержания подозреваемых и обвиняемых Отдела МВД России по Среднеахтубинскому району, в том числе лиц, подвергнутых административному аре...</v>
      </c>
      <c r="G2974" s="22" t="s">
        <v>158</v>
      </c>
      <c r="H2974" s="22" t="s">
        <v>5301</v>
      </c>
      <c r="I2974" s="26">
        <v>43721.511111111096</v>
      </c>
      <c r="J2974" s="23" t="str">
        <f>HYPERLINK("https://www.spark-marketing.ru/Card/Person/6697092", "Горюнов Иван Александрович")</f>
        <v>Горюнов Иван Александрович</v>
      </c>
      <c r="K2974" s="24" t="s">
        <v>5302</v>
      </c>
      <c r="L2974" s="28" t="s">
        <v>51</v>
      </c>
      <c r="M2974" s="25">
        <v>1080956.1299999999</v>
      </c>
      <c r="N2974" s="27">
        <v>6.0000032870898064E-2</v>
      </c>
    </row>
    <row r="2975" spans="1:14" x14ac:dyDescent="0.15">
      <c r="A2975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2975" s="24" t="s">
        <v>2809</v>
      </c>
      <c r="C2975" s="25">
        <v>431036.65</v>
      </c>
      <c r="D2975" s="22" t="s">
        <v>5303</v>
      </c>
      <c r="E2975" s="22" t="s">
        <v>5304</v>
      </c>
      <c r="F2975" s="23" t="str">
        <f>HYPERLINK("https://www.spark-marketing.ru/Card/Lot/73401801", "Услуги по ремонту и техническому обслуживанию офисной техники")</f>
        <v>Услуги по ремонту и техническому обслуживанию офисной техники</v>
      </c>
      <c r="G2975" s="22" t="s">
        <v>153</v>
      </c>
      <c r="H2975" s="22" t="s">
        <v>153</v>
      </c>
      <c r="I2975" s="26">
        <v>43721.5131944444</v>
      </c>
      <c r="J2975" s="28" t="s">
        <v>51</v>
      </c>
      <c r="K2975" s="28" t="s">
        <v>51</v>
      </c>
      <c r="L2975" s="28" t="s">
        <v>51</v>
      </c>
      <c r="M2975" s="28" t="s">
        <v>51</v>
      </c>
      <c r="N2975" s="28" t="s">
        <v>51</v>
      </c>
    </row>
    <row r="2976" spans="1:14" hidden="1" outlineLevel="1" x14ac:dyDescent="0.2">
      <c r="A2976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2976" s="24" t="s">
        <v>2809</v>
      </c>
      <c r="C2976" s="25">
        <v>431036.65</v>
      </c>
      <c r="D2976" s="22" t="s">
        <v>5303</v>
      </c>
      <c r="E2976" s="22" t="s">
        <v>5304</v>
      </c>
      <c r="F2976" s="23" t="str">
        <f>HYPERLINK("https://www.spark-marketing.ru/Card/Lot/73401801", "Услуги по ремонту и техническому обслуживанию офисной техники")</f>
        <v>Услуги по ремонту и техническому обслуживанию офисной техники</v>
      </c>
      <c r="G2976" s="22" t="s">
        <v>153</v>
      </c>
      <c r="H2976" s="22" t="s">
        <v>153</v>
      </c>
      <c r="I2976" s="26">
        <v>43721.5131944444</v>
      </c>
      <c r="J2976" s="23" t="str">
        <f>HYPERLINK("https://www.spark-marketing.ru/Card/Person/791881", "Русских Юрий Николаевич")</f>
        <v>Русских Юрий Николаевич</v>
      </c>
      <c r="K2976" s="24" t="s">
        <v>5305</v>
      </c>
      <c r="L2976" s="28" t="s">
        <v>51</v>
      </c>
      <c r="M2976" s="25">
        <v>293105.13</v>
      </c>
      <c r="N2976" s="27">
        <v>0.31999951744242627</v>
      </c>
    </row>
    <row r="2977" spans="1:14" hidden="1" outlineLevel="1" x14ac:dyDescent="0.2">
      <c r="A2977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2977" s="24" t="s">
        <v>2809</v>
      </c>
      <c r="C2977" s="25">
        <v>431036.65</v>
      </c>
      <c r="D2977" s="22" t="s">
        <v>5303</v>
      </c>
      <c r="E2977" s="22" t="s">
        <v>5304</v>
      </c>
      <c r="F2977" s="23" t="str">
        <f>HYPERLINK("https://www.spark-marketing.ru/Card/Lot/73401801", "Услуги по ремонту и техническому обслуживанию офисной техники")</f>
        <v>Услуги по ремонту и техническому обслуживанию офисной техники</v>
      </c>
      <c r="G2977" s="22" t="s">
        <v>153</v>
      </c>
      <c r="H2977" s="22" t="s">
        <v>153</v>
      </c>
      <c r="I2977" s="26">
        <v>43721.5131944444</v>
      </c>
      <c r="J2977" s="23" t="str">
        <f>HYPERLINK("https://www.spark-marketing.ru/Card/Person/6431462", "ООО ""СПП""")</f>
        <v>ООО "СПП"</v>
      </c>
      <c r="K2977" s="24" t="s">
        <v>5306</v>
      </c>
      <c r="L2977" s="28" t="s">
        <v>51</v>
      </c>
      <c r="M2977" s="25">
        <v>260000</v>
      </c>
      <c r="N2977" s="27">
        <v>0.3968030328743507</v>
      </c>
    </row>
    <row r="2978" spans="1:14" ht="12.75" hidden="1" outlineLevel="1" x14ac:dyDescent="0.2">
      <c r="A2978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2978" s="24" t="s">
        <v>2809</v>
      </c>
      <c r="C2978" s="25">
        <v>431036.65</v>
      </c>
      <c r="D2978" s="22" t="s">
        <v>5303</v>
      </c>
      <c r="E2978" s="22" t="s">
        <v>5304</v>
      </c>
      <c r="F2978" s="23" t="str">
        <f>HYPERLINK("https://www.spark-marketing.ru/Card/Lot/73401801", "Услуги по ремонту и техническому обслуживанию офисной техники")</f>
        <v>Услуги по ремонту и техническому обслуживанию офисной техники</v>
      </c>
      <c r="G2978" s="22" t="s">
        <v>153</v>
      </c>
      <c r="H2978" s="22" t="s">
        <v>153</v>
      </c>
      <c r="I2978" s="26">
        <v>43721.5131944444</v>
      </c>
      <c r="J2978" s="23" t="str">
        <f>HYPERLINK("https://www.spark-marketing.ru/Card/Person/27299", "ООО ""СЕРВИСНЫЙ ЦЕНТР ПРП""")</f>
        <v>ООО "СЕРВИСНЫЙ ЦЕНТР ПРП"</v>
      </c>
      <c r="K2978" s="24" t="s">
        <v>5307</v>
      </c>
      <c r="L2978" s="22" t="s">
        <v>10</v>
      </c>
      <c r="M2978" s="25">
        <v>258622.25</v>
      </c>
      <c r="N2978" s="27">
        <v>0.39999939680303287</v>
      </c>
    </row>
    <row r="2979" spans="1:14" x14ac:dyDescent="0.15">
      <c r="A2979" s="23" t="str">
        <f>HYPERLINK("https://www.spark-marketing.ru/Card/Person/4373158", "МБДОУ ДЕТСКИЙ САД № 27 ""ТОПОЛЁК""")</f>
        <v>МБДОУ ДЕТСКИЙ САД № 27 "ТОПОЛЁК"</v>
      </c>
      <c r="B2979" s="24" t="s">
        <v>5308</v>
      </c>
      <c r="C2979" s="25">
        <v>9503398</v>
      </c>
      <c r="D2979" s="22" t="s">
        <v>5309</v>
      </c>
      <c r="E2979" s="22" t="s">
        <v>48</v>
      </c>
      <c r="F2979" s="23" t="str">
        <f>HYPERLINK("https://www.spark-marketing.ru/Card/Lot/73414183", "Оказание услуг по организации питания воспитанников")</f>
        <v>Оказание услуг по организации питания воспитанников</v>
      </c>
      <c r="G2979" s="22" t="s">
        <v>49</v>
      </c>
      <c r="H2979" s="22" t="s">
        <v>180</v>
      </c>
      <c r="I2979" s="26">
        <v>43721.474305555603</v>
      </c>
      <c r="J2979" s="28" t="s">
        <v>51</v>
      </c>
      <c r="K2979" s="28" t="s">
        <v>51</v>
      </c>
      <c r="L2979" s="28" t="s">
        <v>51</v>
      </c>
      <c r="M2979" s="28" t="s">
        <v>51</v>
      </c>
      <c r="N2979" s="28" t="s">
        <v>51</v>
      </c>
    </row>
    <row r="2980" spans="1:14" x14ac:dyDescent="0.15">
      <c r="A2980" s="23" t="str">
        <f>HYPERLINK("https://www.spark-marketing.ru/Card/Person/124894", "МБДОУ ДЕТСКИЙ САД № 45 ""РУЧЕЕК""")</f>
        <v>МБДОУ ДЕТСКИЙ САД № 45 "РУЧЕЕК"</v>
      </c>
      <c r="B2980" s="24" t="s">
        <v>5310</v>
      </c>
      <c r="C2980" s="25">
        <v>18156208</v>
      </c>
      <c r="D2980" s="22" t="s">
        <v>5311</v>
      </c>
      <c r="E2980" s="22" t="s">
        <v>48</v>
      </c>
      <c r="F2980" s="23" t="str">
        <f>HYPERLINK("https://www.spark-marketing.ru/Card/Lot/73413772", "Оказание услуг по организации питания воспитанников")</f>
        <v>Оказание услуг по организации питания воспитанников</v>
      </c>
      <c r="G2980" s="22" t="s">
        <v>49</v>
      </c>
      <c r="H2980" s="22" t="s">
        <v>180</v>
      </c>
      <c r="I2980" s="26">
        <v>43721.474999999999</v>
      </c>
      <c r="J2980" s="28" t="s">
        <v>51</v>
      </c>
      <c r="K2980" s="28" t="s">
        <v>51</v>
      </c>
      <c r="L2980" s="28" t="s">
        <v>51</v>
      </c>
      <c r="M2980" s="28" t="s">
        <v>51</v>
      </c>
      <c r="N2980" s="28" t="s">
        <v>51</v>
      </c>
    </row>
    <row r="2981" spans="1:14" x14ac:dyDescent="0.15">
      <c r="A2981" s="23" t="str">
        <f>HYPERLINK("https://www.spark-marketing.ru/Card/Person/1005595", "МБДОУ ДЕТСКИЙ САД № 31 ""ЖЕМЧУЖИНКА""")</f>
        <v>МБДОУ ДЕТСКИЙ САД № 31 "ЖЕМЧУЖИНКА"</v>
      </c>
      <c r="B2981" s="24" t="s">
        <v>5312</v>
      </c>
      <c r="C2981" s="25">
        <v>21539162</v>
      </c>
      <c r="D2981" s="22" t="s">
        <v>5313</v>
      </c>
      <c r="E2981" s="22" t="s">
        <v>48</v>
      </c>
      <c r="F2981" s="23" t="str">
        <f>HYPERLINK("https://www.spark-marketing.ru/Card/Lot/73413841", "Оказание услуг по организации питания воспитанников")</f>
        <v>Оказание услуг по организации питания воспитанников</v>
      </c>
      <c r="G2981" s="22" t="s">
        <v>49</v>
      </c>
      <c r="H2981" s="22" t="s">
        <v>180</v>
      </c>
      <c r="I2981" s="26">
        <v>43721.472222222197</v>
      </c>
      <c r="J2981" s="28" t="s">
        <v>51</v>
      </c>
      <c r="K2981" s="28" t="s">
        <v>51</v>
      </c>
      <c r="L2981" s="28" t="s">
        <v>51</v>
      </c>
      <c r="M2981" s="28" t="s">
        <v>51</v>
      </c>
      <c r="N2981" s="28" t="s">
        <v>51</v>
      </c>
    </row>
    <row r="2982" spans="1:14" x14ac:dyDescent="0.15">
      <c r="A2982" s="23" t="str">
        <f>HYPERLINK("https://www.spark-marketing.ru/Card/Person/1029237", "МДОУ ДЕТСКИЙ САД ОБЩЕРАЗВИВАЮЩЕГО ВИДА №18 ""КОЛОСОК""")</f>
        <v>МДОУ ДЕТСКИЙ САД ОБЩЕРАЗВИВАЮЩЕГО ВИДА №18 "КОЛОСОК"</v>
      </c>
      <c r="B2982" s="24" t="s">
        <v>5314</v>
      </c>
      <c r="C2982" s="25">
        <v>5021098</v>
      </c>
      <c r="D2982" s="22" t="s">
        <v>5315</v>
      </c>
      <c r="E2982" s="22" t="s">
        <v>48</v>
      </c>
      <c r="F2982" s="23" t="str">
        <f>HYPERLINK("https://www.spark-marketing.ru/Card/Lot/73413622", "Оказание услуг по организации питания воспитанников")</f>
        <v>Оказание услуг по организации питания воспитанников</v>
      </c>
      <c r="G2982" s="22" t="s">
        <v>49</v>
      </c>
      <c r="H2982" s="22" t="s">
        <v>180</v>
      </c>
      <c r="I2982" s="26">
        <v>43721.472916666702</v>
      </c>
      <c r="J2982" s="28" t="s">
        <v>51</v>
      </c>
      <c r="K2982" s="28" t="s">
        <v>51</v>
      </c>
      <c r="L2982" s="28" t="s">
        <v>51</v>
      </c>
      <c r="M2982" s="28" t="s">
        <v>51</v>
      </c>
      <c r="N2982" s="28" t="s">
        <v>51</v>
      </c>
    </row>
    <row r="2983" spans="1:14" x14ac:dyDescent="0.15">
      <c r="A2983" s="23" t="str">
        <f>HYPERLINK("https://www.spark-marketing.ru/Card/Person/1005599", "МБДОУ ""ДЕТСКИЙ САД №41""")</f>
        <v>МБДОУ "ДЕТСКИЙ САД №41"</v>
      </c>
      <c r="B2983" s="24" t="s">
        <v>5316</v>
      </c>
      <c r="C2983" s="25">
        <v>16243836</v>
      </c>
      <c r="D2983" s="22" t="s">
        <v>5317</v>
      </c>
      <c r="E2983" s="22" t="s">
        <v>48</v>
      </c>
      <c r="F2983" s="23" t="str">
        <f>HYPERLINK("https://www.spark-marketing.ru/Card/Lot/73413769", "Оказание услуг по организации питания воспитанников")</f>
        <v>Оказание услуг по организации питания воспитанников</v>
      </c>
      <c r="G2983" s="22" t="s">
        <v>49</v>
      </c>
      <c r="H2983" s="22" t="s">
        <v>180</v>
      </c>
      <c r="I2983" s="26">
        <v>43721.474999999999</v>
      </c>
      <c r="J2983" s="28" t="s">
        <v>51</v>
      </c>
      <c r="K2983" s="28" t="s">
        <v>51</v>
      </c>
      <c r="L2983" s="28" t="s">
        <v>51</v>
      </c>
      <c r="M2983" s="28" t="s">
        <v>51</v>
      </c>
      <c r="N2983" s="28" t="s">
        <v>51</v>
      </c>
    </row>
    <row r="2984" spans="1:14" x14ac:dyDescent="0.15">
      <c r="A2984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2984" s="24" t="s">
        <v>2604</v>
      </c>
      <c r="C2984" s="25">
        <v>222900</v>
      </c>
      <c r="D2984" s="22" t="s">
        <v>5318</v>
      </c>
      <c r="E2984" s="22" t="s">
        <v>48</v>
      </c>
      <c r="F2984" s="23" t="str">
        <f>HYPERLINK("https://www.spark-marketing.ru/Card/Lot/73391853",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2984" s="22" t="s">
        <v>1096</v>
      </c>
      <c r="H2984" s="22" t="s">
        <v>1097</v>
      </c>
      <c r="I2984" s="26">
        <v>43721.471527777801</v>
      </c>
      <c r="J2984" s="23" t="str">
        <f>HYPERLINK("https://www.spark-marketing.ru/Card/Person/487090", "Заварзина Ольга Анатольевна")</f>
        <v>Заварзина Ольга Анатольевна</v>
      </c>
      <c r="K2984" s="24" t="s">
        <v>5319</v>
      </c>
      <c r="L2984" s="22" t="s">
        <v>10</v>
      </c>
      <c r="M2984" s="28" t="s">
        <v>51</v>
      </c>
      <c r="N2984" s="28" t="s">
        <v>51</v>
      </c>
    </row>
    <row r="2985" spans="1:14" x14ac:dyDescent="0.15">
      <c r="A2985" s="23" t="str">
        <f>HYPERLINK("https://www.spark-marketing.ru/Card/Person/1762520", "МАДОУ ""ДЕТСКИЙ САД №38""")</f>
        <v>МАДОУ "ДЕТСКИЙ САД №38"</v>
      </c>
      <c r="B2985" s="24" t="s">
        <v>5320</v>
      </c>
      <c r="C2985" s="25">
        <v>22668608</v>
      </c>
      <c r="D2985" s="22" t="s">
        <v>5321</v>
      </c>
      <c r="E2985" s="22" t="s">
        <v>48</v>
      </c>
      <c r="F2985" s="23" t="str">
        <f>HYPERLINK("https://www.spark-marketing.ru/Card/Lot/73413843", "на оказание услуг по организации горячего питания в МАДОУ№38")</f>
        <v>на оказание услуг по организации горячего питания в МАДОУ№38</v>
      </c>
      <c r="G2985" s="22" t="s">
        <v>49</v>
      </c>
      <c r="H2985" s="22" t="s">
        <v>301</v>
      </c>
      <c r="I2985" s="26">
        <v>43721.492361111101</v>
      </c>
      <c r="J2985" s="28" t="s">
        <v>51</v>
      </c>
      <c r="K2985" s="28" t="s">
        <v>51</v>
      </c>
      <c r="L2985" s="28" t="s">
        <v>51</v>
      </c>
      <c r="M2985" s="28" t="s">
        <v>51</v>
      </c>
      <c r="N2985" s="28" t="s">
        <v>51</v>
      </c>
    </row>
    <row r="2986" spans="1:14" hidden="1" outlineLevel="1" x14ac:dyDescent="0.2">
      <c r="A2986" s="23" t="str">
        <f>HYPERLINK("https://www.spark-marketing.ru/Card/Person/1762520", "МАДОУ ""ДЕТСКИЙ САД №38""")</f>
        <v>МАДОУ "ДЕТСКИЙ САД №38"</v>
      </c>
      <c r="B2986" s="24" t="s">
        <v>5320</v>
      </c>
      <c r="C2986" s="25">
        <v>22668608</v>
      </c>
      <c r="D2986" s="22" t="s">
        <v>5321</v>
      </c>
      <c r="E2986" s="22" t="s">
        <v>48</v>
      </c>
      <c r="F2986" s="23" t="str">
        <f>HYPERLINK("https://www.spark-marketing.ru/Card/Lot/73413843", "на оказание услуг по организации горячего питания в МАДОУ№38")</f>
        <v>на оказание услуг по организации горячего питания в МАДОУ№38</v>
      </c>
      <c r="G2986" s="22" t="s">
        <v>49</v>
      </c>
      <c r="H2986" s="22" t="s">
        <v>301</v>
      </c>
      <c r="I2986" s="26">
        <v>43721.492361111101</v>
      </c>
      <c r="J2986" s="23" t="str">
        <f>HYPERLINK("https://www.spark-marketing.ru/Card/Person/100937", "ООО ""ВЕРТИКАЛЬ""")</f>
        <v>ООО "ВЕРТИКАЛЬ"</v>
      </c>
      <c r="K2986" s="24" t="s">
        <v>4501</v>
      </c>
      <c r="L2986" s="28" t="s">
        <v>51</v>
      </c>
      <c r="M2986" s="25">
        <v>21535177.600000001</v>
      </c>
      <c r="N2986" s="27">
        <v>0.05</v>
      </c>
    </row>
    <row r="2987" spans="1:14" ht="12.75" hidden="1" outlineLevel="1" x14ac:dyDescent="0.2">
      <c r="A2987" s="23" t="str">
        <f>HYPERLINK("https://www.spark-marketing.ru/Card/Person/1762520", "МАДОУ ""ДЕТСКИЙ САД №38""")</f>
        <v>МАДОУ "ДЕТСКИЙ САД №38"</v>
      </c>
      <c r="B2987" s="24" t="s">
        <v>5320</v>
      </c>
      <c r="C2987" s="25">
        <v>22668608</v>
      </c>
      <c r="D2987" s="22" t="s">
        <v>5321</v>
      </c>
      <c r="E2987" s="22" t="s">
        <v>48</v>
      </c>
      <c r="F2987" s="23" t="str">
        <f>HYPERLINK("https://www.spark-marketing.ru/Card/Lot/73413843", "на оказание услуг по организации горячего питания в МАДОУ№38")</f>
        <v>на оказание услуг по организации горячего питания в МАДОУ№38</v>
      </c>
      <c r="G2987" s="22" t="s">
        <v>49</v>
      </c>
      <c r="H2987" s="22" t="s">
        <v>301</v>
      </c>
      <c r="I2987" s="26">
        <v>43721.492361111101</v>
      </c>
      <c r="J2987" s="23" t="str">
        <f>HYPERLINK("https://www.spark-marketing.ru/Card/Person/70733", "ООО ""ПЛАНЕТА ВКУСА""")</f>
        <v>ООО "ПЛАНЕТА ВКУСА"</v>
      </c>
      <c r="K2987" s="24" t="s">
        <v>4502</v>
      </c>
      <c r="L2987" s="22" t="s">
        <v>10</v>
      </c>
      <c r="M2987" s="25">
        <v>21503148</v>
      </c>
      <c r="N2987" s="27">
        <v>5.1412949573260078E-2</v>
      </c>
    </row>
    <row r="2988" spans="1:14" x14ac:dyDescent="0.15">
      <c r="A2988" s="23" t="str">
        <f>HYPERLINK("https://www.spark-marketing.ru/Card/Person/120191", "МБДОУ ДЕТСКИЙ САД №3 ""ЛАДУШКИ""")</f>
        <v>МБДОУ ДЕТСКИЙ САД №3 "ЛАДУШКИ"</v>
      </c>
      <c r="B2988" s="24" t="s">
        <v>5322</v>
      </c>
      <c r="C2988" s="25">
        <v>15584304</v>
      </c>
      <c r="D2988" s="22" t="s">
        <v>5323</v>
      </c>
      <c r="E2988" s="22" t="s">
        <v>48</v>
      </c>
      <c r="F2988" s="23" t="str">
        <f>HYPERLINK("https://www.spark-marketing.ru/Card/Lot/73401546", "Оказание услуг по организации питания воспитанников")</f>
        <v>Оказание услуг по организации питания воспитанников</v>
      </c>
      <c r="G2988" s="22" t="s">
        <v>49</v>
      </c>
      <c r="H2988" s="22" t="s">
        <v>180</v>
      </c>
      <c r="I2988" s="26">
        <v>43721.461111111101</v>
      </c>
      <c r="J2988" s="28" t="s">
        <v>51</v>
      </c>
      <c r="K2988" s="28" t="s">
        <v>51</v>
      </c>
      <c r="L2988" s="28" t="s">
        <v>51</v>
      </c>
      <c r="M2988" s="28" t="s">
        <v>51</v>
      </c>
      <c r="N2988" s="28" t="s">
        <v>51</v>
      </c>
    </row>
    <row r="2989" spans="1:14" x14ac:dyDescent="0.15">
      <c r="A2989" s="23" t="str">
        <f>HYPERLINK("https://www.spark-marketing.ru/Card/Person/1000614", "МДОУ ДЕТСКИЙ САД ОБЩЕРАЗВИВАЮЩЕГО ВИДА №16 ""БЕРЕЗКА""")</f>
        <v>МДОУ ДЕТСКИЙ САД ОБЩЕРАЗВИВАЮЩЕГО ВИДА №16 "БЕРЕЗКА"</v>
      </c>
      <c r="B2989" s="24" t="s">
        <v>5324</v>
      </c>
      <c r="C2989" s="25">
        <v>7650306</v>
      </c>
      <c r="D2989" s="22" t="s">
        <v>5325</v>
      </c>
      <c r="E2989" s="22" t="s">
        <v>48</v>
      </c>
      <c r="F2989" s="23" t="str">
        <f>HYPERLINK("https://www.spark-marketing.ru/Card/Lot/73413627", "Оказание услуг по организации питания воспитанников")</f>
        <v>Оказание услуг по организации питания воспитанников</v>
      </c>
      <c r="G2989" s="22" t="s">
        <v>49</v>
      </c>
      <c r="H2989" s="22" t="s">
        <v>180</v>
      </c>
      <c r="I2989" s="26">
        <v>43721.472916666702</v>
      </c>
      <c r="J2989" s="28" t="s">
        <v>51</v>
      </c>
      <c r="K2989" s="28" t="s">
        <v>51</v>
      </c>
      <c r="L2989" s="28" t="s">
        <v>51</v>
      </c>
      <c r="M2989" s="28" t="s">
        <v>51</v>
      </c>
      <c r="N2989" s="28" t="s">
        <v>51</v>
      </c>
    </row>
    <row r="2990" spans="1:14" hidden="1" outlineLevel="1" x14ac:dyDescent="0.15">
      <c r="A2990" s="23" t="str">
        <f>HYPERLINK("https://www.spark-marketing.ru/Card/Person/1000614", "МДОУ ДЕТСКИЙ САД ОБЩЕРАЗВИВАЮЩЕГО ВИДА №16 ""БЕРЕЗКА""")</f>
        <v>МДОУ ДЕТСКИЙ САД ОБЩЕРАЗВИВАЮЩЕГО ВИДА №16 "БЕРЕЗКА"</v>
      </c>
      <c r="B2990" s="24" t="s">
        <v>5324</v>
      </c>
      <c r="C2990" s="25">
        <v>7650306</v>
      </c>
      <c r="D2990" s="22" t="s">
        <v>5325</v>
      </c>
      <c r="E2990" s="22" t="s">
        <v>48</v>
      </c>
      <c r="F2990" s="23" t="str">
        <f>HYPERLINK("https://www.spark-marketing.ru/Card/Lot/73413627", "Оказание услуг по организации питания воспитанников")</f>
        <v>Оказание услуг по организации питания воспитанников</v>
      </c>
      <c r="G2990" s="22" t="s">
        <v>49</v>
      </c>
      <c r="H2990" s="22" t="s">
        <v>180</v>
      </c>
      <c r="I2990" s="26">
        <v>43721.472916666702</v>
      </c>
      <c r="J2990" s="23" t="str">
        <f>HYPERLINK("https://www.spark-marketing.ru/Card/Person/60153", "ООО МОЛОЧНЫЙ ЗАВОД ""НАРО-ФОМИНСКИЙ""")</f>
        <v>ООО МОЛОЧНЫЙ ЗАВОД "НАРО-ФОМИНСКИЙ"</v>
      </c>
      <c r="K2990" s="24" t="s">
        <v>5326</v>
      </c>
      <c r="L2990" s="28" t="s">
        <v>51</v>
      </c>
      <c r="M2990" s="28" t="s">
        <v>51</v>
      </c>
      <c r="N2990" s="28" t="s">
        <v>51</v>
      </c>
    </row>
    <row r="2991" spans="1:14" hidden="1" outlineLevel="1" x14ac:dyDescent="0.15">
      <c r="A2991" s="23" t="str">
        <f>HYPERLINK("https://www.spark-marketing.ru/Card/Person/1000614", "МДОУ ДЕТСКИЙ САД ОБЩЕРАЗВИВАЮЩЕГО ВИДА №16 ""БЕРЕЗКА""")</f>
        <v>МДОУ ДЕТСКИЙ САД ОБЩЕРАЗВИВАЮЩЕГО ВИДА №16 "БЕРЕЗКА"</v>
      </c>
      <c r="B2991" s="24" t="s">
        <v>5324</v>
      </c>
      <c r="C2991" s="25">
        <v>7650306</v>
      </c>
      <c r="D2991" s="22" t="s">
        <v>5325</v>
      </c>
      <c r="E2991" s="22" t="s">
        <v>48</v>
      </c>
      <c r="F2991" s="23" t="str">
        <f>HYPERLINK("https://www.spark-marketing.ru/Card/Lot/73413627", "Оказание услуг по организации питания воспитанников")</f>
        <v>Оказание услуг по организации питания воспитанников</v>
      </c>
      <c r="G2991" s="22" t="s">
        <v>49</v>
      </c>
      <c r="H2991" s="22" t="s">
        <v>180</v>
      </c>
      <c r="I2991" s="26">
        <v>43721.472916666702</v>
      </c>
      <c r="J2991" s="23" t="str">
        <f>HYPERLINK("https://www.spark-marketing.ru/Card/Person/58232", "ООО ""АВАНГАРД""")</f>
        <v>ООО "АВАНГАРД"</v>
      </c>
      <c r="K2991" s="24" t="s">
        <v>5327</v>
      </c>
      <c r="L2991" s="28" t="s">
        <v>51</v>
      </c>
      <c r="M2991" s="28" t="s">
        <v>51</v>
      </c>
      <c r="N2991" s="28" t="s">
        <v>51</v>
      </c>
    </row>
    <row r="2992" spans="1:14" x14ac:dyDescent="0.15">
      <c r="A2992" s="23" t="str">
        <f>HYPERLINK("https://www.spark-marketing.ru/Card/Person/1029059", "МДОУ ДЕТСКИЙ САД ОБЩЕРАЗВИВАЮЩЕГО ВИДА № 2 ""ВИШЕНКА""")</f>
        <v>МДОУ ДЕТСКИЙ САД ОБЩЕРАЗВИВАЮЩЕГО ВИДА № 2 "ВИШЕНКА"</v>
      </c>
      <c r="B2992" s="24" t="s">
        <v>5328</v>
      </c>
      <c r="C2992" s="25">
        <v>7289686</v>
      </c>
      <c r="D2992" s="22" t="s">
        <v>5329</v>
      </c>
      <c r="E2992" s="22" t="s">
        <v>48</v>
      </c>
      <c r="F2992" s="23" t="str">
        <f>HYPERLINK("https://www.spark-marketing.ru/Card/Lot/73413663", "Оказание услуг по организации питания воспитанников")</f>
        <v>Оказание услуг по организации питания воспитанников</v>
      </c>
      <c r="G2992" s="22" t="s">
        <v>49</v>
      </c>
      <c r="H2992" s="22" t="s">
        <v>180</v>
      </c>
      <c r="I2992" s="26">
        <v>43721.470833333296</v>
      </c>
      <c r="J2992" s="28" t="s">
        <v>51</v>
      </c>
      <c r="K2992" s="28" t="s">
        <v>51</v>
      </c>
      <c r="L2992" s="28" t="s">
        <v>51</v>
      </c>
      <c r="M2992" s="28" t="s">
        <v>51</v>
      </c>
      <c r="N2992" s="28" t="s">
        <v>51</v>
      </c>
    </row>
    <row r="2993" spans="1:14" x14ac:dyDescent="0.15">
      <c r="A2993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2993" s="24" t="s">
        <v>2604</v>
      </c>
      <c r="C2993" s="25">
        <v>366710</v>
      </c>
      <c r="D2993" s="22" t="s">
        <v>5330</v>
      </c>
      <c r="E2993" s="22" t="s">
        <v>48</v>
      </c>
      <c r="F2993" s="23" t="str">
        <f>HYPERLINK("https://www.spark-marketing.ru/Card/Lot/73390678",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2993" s="22" t="s">
        <v>1096</v>
      </c>
      <c r="H2993" s="22" t="s">
        <v>1097</v>
      </c>
      <c r="I2993" s="26">
        <v>43721.465277777803</v>
      </c>
      <c r="J2993" s="23" t="str">
        <f>HYPERLINK("https://www.spark-marketing.ru/Card/Person/161185", "ЗАО ""КОНТАКТ""")</f>
        <v>ЗАО "КОНТАКТ"</v>
      </c>
      <c r="K2993" s="24" t="s">
        <v>5331</v>
      </c>
      <c r="L2993" s="22" t="s">
        <v>10</v>
      </c>
      <c r="M2993" s="28" t="s">
        <v>51</v>
      </c>
      <c r="N2993" s="28" t="s">
        <v>51</v>
      </c>
    </row>
    <row r="2994" spans="1:14" x14ac:dyDescent="0.15">
      <c r="A2994" s="23" t="str">
        <f>HYPERLINK("https://www.spark-marketing.ru/Card/Person/1006418", "МБДОУ ДЕТСКИЙ САД № 17 ""ЖУРАВУШКА""")</f>
        <v>МБДОУ ДЕТСКИЙ САД № 17 "ЖУРАВУШКА"</v>
      </c>
      <c r="B2994" s="24" t="s">
        <v>5332</v>
      </c>
      <c r="C2994" s="25">
        <v>17706668</v>
      </c>
      <c r="D2994" s="22" t="s">
        <v>5333</v>
      </c>
      <c r="E2994" s="22" t="s">
        <v>48</v>
      </c>
      <c r="F2994" s="23" t="str">
        <f>HYPERLINK("https://www.spark-marketing.ru/Card/Lot/73414181", "Оказание услуг по организации питания воспитанников")</f>
        <v>Оказание услуг по организации питания воспитанников</v>
      </c>
      <c r="G2994" s="22" t="s">
        <v>49</v>
      </c>
      <c r="H2994" s="22" t="s">
        <v>180</v>
      </c>
      <c r="I2994" s="26">
        <v>43721.470138888901</v>
      </c>
      <c r="J2994" s="28" t="s">
        <v>51</v>
      </c>
      <c r="K2994" s="28" t="s">
        <v>51</v>
      </c>
      <c r="L2994" s="28" t="s">
        <v>51</v>
      </c>
      <c r="M2994" s="28" t="s">
        <v>51</v>
      </c>
      <c r="N2994" s="28" t="s">
        <v>51</v>
      </c>
    </row>
    <row r="2995" spans="1:14" x14ac:dyDescent="0.15">
      <c r="A2995" s="23" t="str">
        <f t="shared" ref="A2995:A3001" si="48">HYPERLINK("https://www.spark-marketing.ru/Card/Person/24579", "ГБУ МО ""ЦСППСНВС""")</f>
        <v>ГБУ МО "ЦСППСНВС"</v>
      </c>
      <c r="B2995" s="24" t="s">
        <v>4731</v>
      </c>
      <c r="C2995" s="25">
        <v>480000</v>
      </c>
      <c r="D2995" s="22" t="s">
        <v>5334</v>
      </c>
      <c r="E2995" s="22" t="s">
        <v>374</v>
      </c>
      <c r="F2995" s="23" t="str">
        <f t="shared" ref="F2995:F3001" si="49">HYPERLINK("https://www.spark-marketing.ru/Card/Lot/73400511", "Оказание услуг по организации участия членов спортивных сборных команд Московской области в тренировочных мероприятиях по плаванию")</f>
        <v>Оказание услуг по организации участия членов спортивных сборных команд Московской области в тренировочных мероприятиях по плаванию</v>
      </c>
      <c r="G2995" s="22" t="s">
        <v>49</v>
      </c>
      <c r="H2995" s="22" t="s">
        <v>631</v>
      </c>
      <c r="I2995" s="26">
        <v>43721.497916666704</v>
      </c>
      <c r="J2995" s="28" t="s">
        <v>51</v>
      </c>
      <c r="K2995" s="28" t="s">
        <v>51</v>
      </c>
      <c r="L2995" s="28" t="s">
        <v>51</v>
      </c>
      <c r="M2995" s="28" t="s">
        <v>51</v>
      </c>
      <c r="N2995" s="28" t="s">
        <v>51</v>
      </c>
    </row>
    <row r="2996" spans="1:14" hidden="1" outlineLevel="1" x14ac:dyDescent="0.2">
      <c r="A2996" s="23" t="str">
        <f t="shared" si="48"/>
        <v>ГБУ МО "ЦСППСНВС"</v>
      </c>
      <c r="B2996" s="24" t="s">
        <v>4731</v>
      </c>
      <c r="C2996" s="25">
        <v>480000</v>
      </c>
      <c r="D2996" s="22" t="s">
        <v>5334</v>
      </c>
      <c r="E2996" s="22" t="s">
        <v>374</v>
      </c>
      <c r="F2996" s="23" t="str">
        <f t="shared" si="49"/>
        <v>Оказание услуг по организации участия членов спортивных сборных команд Московской области в тренировочных мероприятиях по плаванию</v>
      </c>
      <c r="G2996" s="22" t="s">
        <v>49</v>
      </c>
      <c r="H2996" s="22" t="s">
        <v>631</v>
      </c>
      <c r="I2996" s="26">
        <v>43721.497916666704</v>
      </c>
      <c r="J2996" s="23" t="str">
        <f>HYPERLINK("https://www.spark-marketing.ru/Card/Person/396679", "ООО СОК ""САТУРН"" ИМ. В.Н. СТЕПНОВА")</f>
        <v>ООО СОК "САТУРН" ИМ. В.Н. СТЕПНОВА</v>
      </c>
      <c r="K2996" s="24" t="s">
        <v>5335</v>
      </c>
      <c r="L2996" s="28" t="s">
        <v>51</v>
      </c>
      <c r="M2996" s="25">
        <v>429600</v>
      </c>
      <c r="N2996" s="27">
        <v>0.105</v>
      </c>
    </row>
    <row r="2997" spans="1:14" hidden="1" outlineLevel="1" x14ac:dyDescent="0.2">
      <c r="A2997" s="23" t="str">
        <f t="shared" si="48"/>
        <v>ГБУ МО "ЦСППСНВС"</v>
      </c>
      <c r="B2997" s="24" t="s">
        <v>4731</v>
      </c>
      <c r="C2997" s="25">
        <v>480000</v>
      </c>
      <c r="D2997" s="22" t="s">
        <v>5334</v>
      </c>
      <c r="E2997" s="22" t="s">
        <v>374</v>
      </c>
      <c r="F2997" s="23" t="str">
        <f t="shared" si="49"/>
        <v>Оказание услуг по организации участия членов спортивных сборных команд Московской области в тренировочных мероприятиях по плаванию</v>
      </c>
      <c r="G2997" s="22" t="s">
        <v>49</v>
      </c>
      <c r="H2997" s="22" t="s">
        <v>631</v>
      </c>
      <c r="I2997" s="26">
        <v>43721.497916666704</v>
      </c>
      <c r="J2997" s="23" t="str">
        <f>HYPERLINK("https://www.spark-marketing.ru/Card/Person/4590807", "ООО ""ИНСТАЙЛ ТУР""")</f>
        <v>ООО "ИНСТАЙЛ ТУР"</v>
      </c>
      <c r="K2997" s="24" t="s">
        <v>4734</v>
      </c>
      <c r="L2997" s="28" t="s">
        <v>51</v>
      </c>
      <c r="M2997" s="25">
        <v>412800</v>
      </c>
      <c r="N2997" s="27">
        <v>0.14000000000000001</v>
      </c>
    </row>
    <row r="2998" spans="1:14" hidden="1" outlineLevel="1" x14ac:dyDescent="0.2">
      <c r="A2998" s="23" t="str">
        <f t="shared" si="48"/>
        <v>ГБУ МО "ЦСППСНВС"</v>
      </c>
      <c r="B2998" s="24" t="s">
        <v>4731</v>
      </c>
      <c r="C2998" s="25">
        <v>480000</v>
      </c>
      <c r="D2998" s="22" t="s">
        <v>5334</v>
      </c>
      <c r="E2998" s="22" t="s">
        <v>374</v>
      </c>
      <c r="F2998" s="23" t="str">
        <f t="shared" si="49"/>
        <v>Оказание услуг по организации участия членов спортивных сборных команд Московской области в тренировочных мероприятиях по плаванию</v>
      </c>
      <c r="G2998" s="22" t="s">
        <v>49</v>
      </c>
      <c r="H2998" s="22" t="s">
        <v>631</v>
      </c>
      <c r="I2998" s="26">
        <v>43721.497916666704</v>
      </c>
      <c r="J2998" s="23" t="str">
        <f>HYPERLINK("https://www.spark-marketing.ru/Card/Person/139386", "ООО ""АВИАМИР""")</f>
        <v>ООО "АВИАМИР"</v>
      </c>
      <c r="K2998" s="24" t="s">
        <v>2326</v>
      </c>
      <c r="L2998" s="28" t="s">
        <v>51</v>
      </c>
      <c r="M2998" s="25">
        <v>470400</v>
      </c>
      <c r="N2998" s="27">
        <v>0.02</v>
      </c>
    </row>
    <row r="2999" spans="1:14" ht="12.75" hidden="1" outlineLevel="1" x14ac:dyDescent="0.2">
      <c r="A2999" s="23" t="str">
        <f t="shared" si="48"/>
        <v>ГБУ МО "ЦСППСНВС"</v>
      </c>
      <c r="B2999" s="24" t="s">
        <v>4731</v>
      </c>
      <c r="C2999" s="25">
        <v>480000</v>
      </c>
      <c r="D2999" s="22" t="s">
        <v>5334</v>
      </c>
      <c r="E2999" s="22" t="s">
        <v>374</v>
      </c>
      <c r="F2999" s="23" t="str">
        <f t="shared" si="49"/>
        <v>Оказание услуг по организации участия членов спортивных сборных команд Московской области в тренировочных мероприятиях по плаванию</v>
      </c>
      <c r="G2999" s="22" t="s">
        <v>49</v>
      </c>
      <c r="H2999" s="22" t="s">
        <v>631</v>
      </c>
      <c r="I2999" s="26">
        <v>43721.497916666704</v>
      </c>
      <c r="J2999" s="23" t="str">
        <f>HYPERLINK("https://www.spark-marketing.ru/Card/Person/4919842", "ООО ""МАКСИ КО""")</f>
        <v>ООО "МАКСИ КО"</v>
      </c>
      <c r="K2999" s="24" t="s">
        <v>4581</v>
      </c>
      <c r="L2999" s="22" t="s">
        <v>10</v>
      </c>
      <c r="M2999" s="25">
        <v>410400</v>
      </c>
      <c r="N2999" s="27">
        <v>0.14499999999999999</v>
      </c>
    </row>
    <row r="3000" spans="1:14" hidden="1" outlineLevel="1" x14ac:dyDescent="0.2">
      <c r="A3000" s="23" t="str">
        <f t="shared" si="48"/>
        <v>ГБУ МО "ЦСППСНВС"</v>
      </c>
      <c r="B3000" s="24" t="s">
        <v>4731</v>
      </c>
      <c r="C3000" s="25">
        <v>480000</v>
      </c>
      <c r="D3000" s="22" t="s">
        <v>5334</v>
      </c>
      <c r="E3000" s="22" t="s">
        <v>374</v>
      </c>
      <c r="F3000" s="23" t="str">
        <f t="shared" si="49"/>
        <v>Оказание услуг по организации участия членов спортивных сборных команд Московской области в тренировочных мероприятиях по плаванию</v>
      </c>
      <c r="G3000" s="22" t="s">
        <v>49</v>
      </c>
      <c r="H3000" s="22" t="s">
        <v>631</v>
      </c>
      <c r="I3000" s="26">
        <v>43721.497916666704</v>
      </c>
      <c r="J3000" s="23" t="str">
        <f>HYPERLINK("https://www.spark-marketing.ru/Card/Person/6618588", "ООО ТД ""ДЕРЖАВНЫЙ-ЯРОСЛАВЛЬ""")</f>
        <v>ООО ТД "ДЕРЖАВНЫЙ-ЯРОСЛАВЛЬ"</v>
      </c>
      <c r="K3000" s="24" t="s">
        <v>5336</v>
      </c>
      <c r="L3000" s="28" t="s">
        <v>51</v>
      </c>
      <c r="M3000" s="25">
        <v>444000</v>
      </c>
      <c r="N3000" s="27">
        <v>7.4999999999999997E-2</v>
      </c>
    </row>
    <row r="3001" spans="1:14" hidden="1" outlineLevel="1" x14ac:dyDescent="0.2">
      <c r="A3001" s="23" t="str">
        <f t="shared" si="48"/>
        <v>ГБУ МО "ЦСППСНВС"</v>
      </c>
      <c r="B3001" s="24" t="s">
        <v>4731</v>
      </c>
      <c r="C3001" s="25">
        <v>480000</v>
      </c>
      <c r="D3001" s="22" t="s">
        <v>5334</v>
      </c>
      <c r="E3001" s="22" t="s">
        <v>374</v>
      </c>
      <c r="F3001" s="23" t="str">
        <f t="shared" si="49"/>
        <v>Оказание услуг по организации участия членов спортивных сборных команд Московской области в тренировочных мероприятиях по плаванию</v>
      </c>
      <c r="G3001" s="22" t="s">
        <v>49</v>
      </c>
      <c r="H3001" s="22" t="s">
        <v>631</v>
      </c>
      <c r="I3001" s="26">
        <v>43721.497916666704</v>
      </c>
      <c r="J3001" s="23" t="str">
        <f>HYPERLINK("https://www.spark-marketing.ru/Card/Person/6369393", "ООО ""ВЕКТОР ГРУПП""")</f>
        <v>ООО "ВЕКТОР ГРУПП"</v>
      </c>
      <c r="K3001" s="24" t="s">
        <v>4733</v>
      </c>
      <c r="L3001" s="28" t="s">
        <v>51</v>
      </c>
      <c r="M3001" s="25">
        <v>439200</v>
      </c>
      <c r="N3001" s="27">
        <v>8.5000000000000006E-2</v>
      </c>
    </row>
    <row r="3002" spans="1:14" x14ac:dyDescent="0.15">
      <c r="A3002" s="23" t="str">
        <f>HYPERLINK("https://www.spark-marketing.ru/Card/Person/1005610", "МБДОУ ДЕТСКИЙ САД № 18 ""СКАЗКА""")</f>
        <v>МБДОУ ДЕТСКИЙ САД № 18 "СКАЗКА"</v>
      </c>
      <c r="B3002" s="24" t="s">
        <v>5337</v>
      </c>
      <c r="C3002" s="25">
        <v>16645260</v>
      </c>
      <c r="D3002" s="22" t="s">
        <v>5338</v>
      </c>
      <c r="E3002" s="22" t="s">
        <v>48</v>
      </c>
      <c r="F3002" s="23" t="str">
        <f>HYPERLINK("https://www.spark-marketing.ru/Card/Lot/73414180", "Оказание услуг по организации питания воспитанников")</f>
        <v>Оказание услуг по организации питания воспитанников</v>
      </c>
      <c r="G3002" s="22" t="s">
        <v>49</v>
      </c>
      <c r="H3002" s="22" t="s">
        <v>180</v>
      </c>
      <c r="I3002" s="26">
        <v>43721.470138888901</v>
      </c>
      <c r="J3002" s="28" t="s">
        <v>51</v>
      </c>
      <c r="K3002" s="28" t="s">
        <v>51</v>
      </c>
      <c r="L3002" s="28" t="s">
        <v>51</v>
      </c>
      <c r="M3002" s="28" t="s">
        <v>51</v>
      </c>
      <c r="N3002" s="28" t="s">
        <v>51</v>
      </c>
    </row>
    <row r="3003" spans="1:14" x14ac:dyDescent="0.15">
      <c r="A3003" s="23" t="str">
        <f>HYPERLINK("https://www.spark-marketing.ru/Card/Person/142418", "МБДОУ ДЕТСКИЙ САД № 32 ""АЛЕНЬКИЙ ЦВЕТОЧЕК""")</f>
        <v>МБДОУ ДЕТСКИЙ САД № 32 "АЛЕНЬКИЙ ЦВЕТОЧЕК"</v>
      </c>
      <c r="B3003" s="24" t="s">
        <v>5339</v>
      </c>
      <c r="C3003" s="25">
        <v>16076864</v>
      </c>
      <c r="D3003" s="22" t="s">
        <v>5340</v>
      </c>
      <c r="E3003" s="22" t="s">
        <v>48</v>
      </c>
      <c r="F3003" s="23" t="str">
        <f>HYPERLINK("https://www.spark-marketing.ru/Card/Lot/73413767", "Оказание услуг по организации питания воспитанников")</f>
        <v>Оказание услуг по организации питания воспитанников</v>
      </c>
      <c r="G3003" s="22" t="s">
        <v>49</v>
      </c>
      <c r="H3003" s="22" t="s">
        <v>180</v>
      </c>
      <c r="I3003" s="26">
        <v>43721.475694444402</v>
      </c>
      <c r="J3003" s="28" t="s">
        <v>51</v>
      </c>
      <c r="K3003" s="28" t="s">
        <v>51</v>
      </c>
      <c r="L3003" s="28" t="s">
        <v>51</v>
      </c>
      <c r="M3003" s="28" t="s">
        <v>51</v>
      </c>
      <c r="N3003" s="28" t="s">
        <v>51</v>
      </c>
    </row>
    <row r="3004" spans="1:14" x14ac:dyDescent="0.15">
      <c r="A3004" s="23" t="str">
        <f>HYPERLINK("https://www.spark-marketing.ru/Card/Person/82208", "МБДОУ ""ДЕТСКИЙ САД № 4""")</f>
        <v>МБДОУ "ДЕТСКИЙ САД № 4"</v>
      </c>
      <c r="B3004" s="24" t="s">
        <v>5341</v>
      </c>
      <c r="C3004" s="25">
        <v>9143239</v>
      </c>
      <c r="D3004" s="22" t="s">
        <v>5342</v>
      </c>
      <c r="E3004" s="22" t="s">
        <v>48</v>
      </c>
      <c r="F3004" s="23" t="str">
        <f>HYPERLINK("https://www.spark-marketing.ru/Card/Lot/73414174", "на оказание услуг по организации горячего питания в МБДОУ№4")</f>
        <v>на оказание услуг по организации горячего питания в МБДОУ№4</v>
      </c>
      <c r="G3004" s="22" t="s">
        <v>49</v>
      </c>
      <c r="H3004" s="22" t="s">
        <v>301</v>
      </c>
      <c r="I3004" s="26">
        <v>43721.490277777797</v>
      </c>
      <c r="J3004" s="28" t="s">
        <v>51</v>
      </c>
      <c r="K3004" s="28" t="s">
        <v>51</v>
      </c>
      <c r="L3004" s="28" t="s">
        <v>51</v>
      </c>
      <c r="M3004" s="28" t="s">
        <v>51</v>
      </c>
      <c r="N3004" s="28" t="s">
        <v>51</v>
      </c>
    </row>
    <row r="3005" spans="1:14" hidden="1" outlineLevel="1" x14ac:dyDescent="0.2">
      <c r="A3005" s="23" t="str">
        <f>HYPERLINK("https://www.spark-marketing.ru/Card/Person/82208", "МБДОУ ""ДЕТСКИЙ САД № 4""")</f>
        <v>МБДОУ "ДЕТСКИЙ САД № 4"</v>
      </c>
      <c r="B3005" s="24" t="s">
        <v>5341</v>
      </c>
      <c r="C3005" s="25">
        <v>9143239</v>
      </c>
      <c r="D3005" s="22" t="s">
        <v>5342</v>
      </c>
      <c r="E3005" s="22" t="s">
        <v>48</v>
      </c>
      <c r="F3005" s="23" t="str">
        <f>HYPERLINK("https://www.spark-marketing.ru/Card/Lot/73414174", "на оказание услуг по организации горячего питания в МБДОУ№4")</f>
        <v>на оказание услуг по организации горячего питания в МБДОУ№4</v>
      </c>
      <c r="G3005" s="22" t="s">
        <v>49</v>
      </c>
      <c r="H3005" s="22" t="s">
        <v>301</v>
      </c>
      <c r="I3005" s="26">
        <v>43721.490277777797</v>
      </c>
      <c r="J3005" s="23" t="str">
        <f>HYPERLINK("https://www.spark-marketing.ru/Card/Person/100937", "ООО ""ВЕРТИКАЛЬ""")</f>
        <v>ООО "ВЕРТИКАЛЬ"</v>
      </c>
      <c r="K3005" s="24" t="s">
        <v>4501</v>
      </c>
      <c r="L3005" s="28" t="s">
        <v>51</v>
      </c>
      <c r="M3005" s="25">
        <v>8686077.0500000007</v>
      </c>
      <c r="N3005" s="27">
        <v>0.05</v>
      </c>
    </row>
    <row r="3006" spans="1:14" ht="12.75" hidden="1" outlineLevel="1" x14ac:dyDescent="0.2">
      <c r="A3006" s="23" t="str">
        <f>HYPERLINK("https://www.spark-marketing.ru/Card/Person/82208", "МБДОУ ""ДЕТСКИЙ САД № 4""")</f>
        <v>МБДОУ "ДЕТСКИЙ САД № 4"</v>
      </c>
      <c r="B3006" s="24" t="s">
        <v>5341</v>
      </c>
      <c r="C3006" s="25">
        <v>9143239</v>
      </c>
      <c r="D3006" s="22" t="s">
        <v>5342</v>
      </c>
      <c r="E3006" s="22" t="s">
        <v>48</v>
      </c>
      <c r="F3006" s="23" t="str">
        <f>HYPERLINK("https://www.spark-marketing.ru/Card/Lot/73414174", "на оказание услуг по организации горячего питания в МБДОУ№4")</f>
        <v>на оказание услуг по организации горячего питания в МБДОУ№4</v>
      </c>
      <c r="G3006" s="22" t="s">
        <v>49</v>
      </c>
      <c r="H3006" s="22" t="s">
        <v>301</v>
      </c>
      <c r="I3006" s="26">
        <v>43721.490277777797</v>
      </c>
      <c r="J3006" s="23" t="str">
        <f>HYPERLINK("https://www.spark-marketing.ru/Card/Person/70733", "ООО ""ПЛАНЕТА ВКУСА""")</f>
        <v>ООО "ПЛАНЕТА ВКУСА"</v>
      </c>
      <c r="K3006" s="24" t="s">
        <v>4502</v>
      </c>
      <c r="L3006" s="22" t="s">
        <v>10</v>
      </c>
      <c r="M3006" s="25">
        <v>8701409</v>
      </c>
      <c r="N3006" s="27">
        <v>4.8323138003939302E-2</v>
      </c>
    </row>
    <row r="3007" spans="1:14" x14ac:dyDescent="0.15">
      <c r="A3007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3007" s="24" t="s">
        <v>2604</v>
      </c>
      <c r="C3007" s="25">
        <v>172560</v>
      </c>
      <c r="D3007" s="22" t="s">
        <v>5343</v>
      </c>
      <c r="E3007" s="22" t="s">
        <v>48</v>
      </c>
      <c r="F3007" s="23" t="str">
        <f>HYPERLINK("https://www.spark-marketing.ru/Card/Lot/73392069",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3007" s="22" t="s">
        <v>1096</v>
      </c>
      <c r="H3007" s="22" t="s">
        <v>1097</v>
      </c>
      <c r="I3007" s="26">
        <v>43721.468055555597</v>
      </c>
      <c r="J3007" s="23" t="str">
        <f>HYPERLINK("https://www.spark-marketing.ru/Card/Person/487112", "Хвостова Татьяна Валерьевна")</f>
        <v>Хвостова Татьяна Валерьевна</v>
      </c>
      <c r="K3007" s="24" t="s">
        <v>5344</v>
      </c>
      <c r="L3007" s="22" t="s">
        <v>10</v>
      </c>
      <c r="M3007" s="28" t="s">
        <v>51</v>
      </c>
      <c r="N3007" s="28" t="s">
        <v>51</v>
      </c>
    </row>
    <row r="3008" spans="1:14" x14ac:dyDescent="0.15">
      <c r="A3008" s="23" t="str">
        <f>HYPERLINK("https://www.spark-marketing.ru/Card/Person/4347030", "ФКУ ""ЦХИСО МВД ПО РД""")</f>
        <v>ФКУ "ЦХИСО МВД ПО РД"</v>
      </c>
      <c r="B3008" s="24" t="s">
        <v>4765</v>
      </c>
      <c r="C3008" s="25">
        <v>844398</v>
      </c>
      <c r="D3008" s="22" t="s">
        <v>5345</v>
      </c>
      <c r="E3008" s="22" t="s">
        <v>5346</v>
      </c>
      <c r="F3008" s="23" t="str">
        <f>HYPERLINK("https://www.spark-marketing.ru/Card/Lot/73400527", "Услуги по установке монтажу и пусконаладочным работам агрегата бесперебойного питания АД200 -Т400")</f>
        <v>Услуги по установке монтажу и пусконаладочным работам агрегата бесперебойного питания АД200 -Т400</v>
      </c>
      <c r="G3008" s="22" t="s">
        <v>1607</v>
      </c>
      <c r="H3008" s="22" t="s">
        <v>1607</v>
      </c>
      <c r="I3008" s="26">
        <v>43721.459027777797</v>
      </c>
      <c r="J3008" s="23" t="str">
        <f>HYPERLINK("https://www.spark-marketing.ru/Card/Person/480861", "Имихаев Ибрагим Магомедович")</f>
        <v>Имихаев Ибрагим Магомедович</v>
      </c>
      <c r="K3008" s="24" t="s">
        <v>5347</v>
      </c>
      <c r="L3008" s="22" t="s">
        <v>10</v>
      </c>
      <c r="M3008" s="28" t="s">
        <v>51</v>
      </c>
      <c r="N3008" s="28" t="s">
        <v>51</v>
      </c>
    </row>
    <row r="3009" spans="1:14" x14ac:dyDescent="0.15">
      <c r="A3009" s="23" t="str">
        <f>HYPERLINK("https://www.spark-marketing.ru/Card/Person/1033189", "МДОУ ДЕТСКИЙ САД ОБЩЕРАЗВИВАЮЩЕГО ВИДА № 9 ""ДРУЖБА""")</f>
        <v>МДОУ ДЕТСКИЙ САД ОБЩЕРАЗВИВАЮЩЕГО ВИДА № 9 "ДРУЖБА"</v>
      </c>
      <c r="B3009" s="24" t="s">
        <v>5348</v>
      </c>
      <c r="C3009" s="25">
        <v>4860746</v>
      </c>
      <c r="D3009" s="22" t="s">
        <v>5349</v>
      </c>
      <c r="E3009" s="22" t="s">
        <v>48</v>
      </c>
      <c r="F3009" s="23" t="str">
        <f>HYPERLINK("https://www.spark-marketing.ru/Card/Lot/73413616", "Оказание услуг по организации питания воспитанников")</f>
        <v>Оказание услуг по организации питания воспитанников</v>
      </c>
      <c r="G3009" s="22" t="s">
        <v>49</v>
      </c>
      <c r="H3009" s="22" t="s">
        <v>180</v>
      </c>
      <c r="I3009" s="26">
        <v>43721.470833333296</v>
      </c>
      <c r="J3009" s="28" t="s">
        <v>51</v>
      </c>
      <c r="K3009" s="28" t="s">
        <v>51</v>
      </c>
      <c r="L3009" s="28" t="s">
        <v>51</v>
      </c>
      <c r="M3009" s="28" t="s">
        <v>51</v>
      </c>
      <c r="N3009" s="28" t="s">
        <v>51</v>
      </c>
    </row>
    <row r="3010" spans="1:14" x14ac:dyDescent="0.15">
      <c r="A3010" s="23" t="str">
        <f>HYPERLINK("https://www.spark-marketing.ru/Card/Person/1084573", "МДОУ ДЕТСКИЙ САД ОБЩЕРАЗВИВАЮЩЕГО ВИДА № 12 ""ИСКОРКА""")</f>
        <v>МДОУ ДЕТСКИЙ САД ОБЩЕРАЗВИВАЮЩЕГО ВИДА № 12 "ИСКОРКА"</v>
      </c>
      <c r="B3010" s="24" t="s">
        <v>5350</v>
      </c>
      <c r="C3010" s="25">
        <v>10466500</v>
      </c>
      <c r="D3010" s="22" t="s">
        <v>5351</v>
      </c>
      <c r="E3010" s="22" t="s">
        <v>48</v>
      </c>
      <c r="F3010" s="23" t="str">
        <f>HYPERLINK("https://www.spark-marketing.ru/Card/Lot/73401543", "Оказание услуг по организации питания воспитанников")</f>
        <v>Оказание услуг по организации питания воспитанников</v>
      </c>
      <c r="G3010" s="22" t="s">
        <v>49</v>
      </c>
      <c r="H3010" s="22" t="s">
        <v>180</v>
      </c>
      <c r="I3010" s="26">
        <v>43721.461111111101</v>
      </c>
      <c r="J3010" s="28" t="s">
        <v>51</v>
      </c>
      <c r="K3010" s="28" t="s">
        <v>51</v>
      </c>
      <c r="L3010" s="28" t="s">
        <v>51</v>
      </c>
      <c r="M3010" s="28" t="s">
        <v>51</v>
      </c>
      <c r="N3010" s="28" t="s">
        <v>51</v>
      </c>
    </row>
    <row r="3011" spans="1:14" x14ac:dyDescent="0.15">
      <c r="A3011" s="23" t="str">
        <f>HYPERLINK("https://www.spark-marketing.ru/Card/Person/1005857", "МБДОУ ДЕТСКИЙ САД № 11 ""МАЛИНКА""")</f>
        <v>МБДОУ ДЕТСКИЙ САД № 11 "МАЛИНКА"</v>
      </c>
      <c r="B3011" s="24" t="s">
        <v>5352</v>
      </c>
      <c r="C3011" s="25">
        <v>12716578</v>
      </c>
      <c r="D3011" s="22" t="s">
        <v>5353</v>
      </c>
      <c r="E3011" s="22" t="s">
        <v>48</v>
      </c>
      <c r="F3011" s="23" t="str">
        <f>HYPERLINK("https://www.spark-marketing.ru/Card/Lot/73413828", "Оказание услуг по организации питания воспитанников")</f>
        <v>Оказание услуг по организации питания воспитанников</v>
      </c>
      <c r="G3011" s="22" t="s">
        <v>49</v>
      </c>
      <c r="H3011" s="22" t="s">
        <v>180</v>
      </c>
      <c r="I3011" s="26">
        <v>43721.471527777801</v>
      </c>
      <c r="J3011" s="28" t="s">
        <v>51</v>
      </c>
      <c r="K3011" s="28" t="s">
        <v>51</v>
      </c>
      <c r="L3011" s="28" t="s">
        <v>51</v>
      </c>
      <c r="M3011" s="28" t="s">
        <v>51</v>
      </c>
      <c r="N3011" s="28" t="s">
        <v>51</v>
      </c>
    </row>
    <row r="3012" spans="1:14" x14ac:dyDescent="0.15">
      <c r="A3012" s="23" t="str">
        <f>HYPERLINK("https://www.spark-marketing.ru/Card/Person/1005723", "МБДОУ ДЕТСКИЙ САД № 50 ""ГНЁЗДЫШКО""")</f>
        <v>МБДОУ ДЕТСКИЙ САД № 50 "ГНЁЗДЫШКО"</v>
      </c>
      <c r="B3012" s="24" t="s">
        <v>5354</v>
      </c>
      <c r="C3012" s="25">
        <v>21628082</v>
      </c>
      <c r="D3012" s="22" t="s">
        <v>5355</v>
      </c>
      <c r="E3012" s="22" t="s">
        <v>48</v>
      </c>
      <c r="F3012" s="23" t="str">
        <f>HYPERLINK("https://www.spark-marketing.ru/Card/Lot/73413842", "Оказание услуг по организации питания воспитанников")</f>
        <v>Оказание услуг по организации питания воспитанников</v>
      </c>
      <c r="G3012" s="22" t="s">
        <v>49</v>
      </c>
      <c r="H3012" s="22" t="s">
        <v>180</v>
      </c>
      <c r="I3012" s="26">
        <v>43721.473611111098</v>
      </c>
      <c r="J3012" s="28" t="s">
        <v>51</v>
      </c>
      <c r="K3012" s="28" t="s">
        <v>51</v>
      </c>
      <c r="L3012" s="28" t="s">
        <v>51</v>
      </c>
      <c r="M3012" s="28" t="s">
        <v>51</v>
      </c>
      <c r="N3012" s="28" t="s">
        <v>51</v>
      </c>
    </row>
    <row r="3013" spans="1:14" x14ac:dyDescent="0.15">
      <c r="A3013" s="23" t="str">
        <f>HYPERLINK("https://www.spark-marketing.ru/Card/Person/1902862", "АО ""ПОЛЮС МАГАДАН""")</f>
        <v>АО "ПОЛЮС МАГАДАН"</v>
      </c>
      <c r="B3013" s="24" t="s">
        <v>5356</v>
      </c>
      <c r="C3013" s="28" t="s">
        <v>51</v>
      </c>
      <c r="D3013" s="22" t="s">
        <v>5357</v>
      </c>
      <c r="E3013" s="22" t="s">
        <v>5358</v>
      </c>
      <c r="F3013" s="23" t="str">
        <f>HYPERLINK("https://www.spark-marketing.ru/Card/Lot/73408683", "Продукция Cisco")</f>
        <v>Продукция Cisco</v>
      </c>
      <c r="G3013" s="22" t="s">
        <v>548</v>
      </c>
      <c r="H3013" s="22" t="s">
        <v>748</v>
      </c>
      <c r="I3013" s="26">
        <v>43721.432638888902</v>
      </c>
      <c r="J3013" s="28" t="s">
        <v>51</v>
      </c>
      <c r="K3013" s="28" t="s">
        <v>51</v>
      </c>
      <c r="L3013" s="28" t="s">
        <v>51</v>
      </c>
      <c r="M3013" s="28" t="s">
        <v>51</v>
      </c>
      <c r="N3013" s="28" t="s">
        <v>51</v>
      </c>
    </row>
    <row r="3014" spans="1:14" x14ac:dyDescent="0.15">
      <c r="A3014" s="23" t="str">
        <f>HYPERLINK("https://www.spark-marketing.ru/Card/Person/291413", "ОТДЕЛ МВД РОССИИ ПО ГРИБАНОВСКОМУ РАЙОНУ")</f>
        <v>ОТДЕЛ МВД РОССИИ ПО ГРИБАНОВСКОМУ РАЙОНУ</v>
      </c>
      <c r="B3014" s="24" t="s">
        <v>5359</v>
      </c>
      <c r="C3014" s="25">
        <v>48000</v>
      </c>
      <c r="D3014" s="22" t="s">
        <v>5360</v>
      </c>
      <c r="E3014" s="22" t="s">
        <v>48</v>
      </c>
      <c r="F3014" s="23" t="str">
        <f>HYPERLINK("https://www.spark-marketing.ru/Card/Lot/73396765", "Услуги по организации питания арестованных и задержанных граждан")</f>
        <v>Услуги по организации питания арестованных и задержанных граждан</v>
      </c>
      <c r="G3014" s="22" t="s">
        <v>82</v>
      </c>
      <c r="H3014" s="22" t="s">
        <v>5361</v>
      </c>
      <c r="I3014" s="26">
        <v>43721.480555555601</v>
      </c>
      <c r="J3014" s="28" t="s">
        <v>51</v>
      </c>
      <c r="K3014" s="28" t="s">
        <v>51</v>
      </c>
      <c r="L3014" s="28" t="s">
        <v>51</v>
      </c>
      <c r="M3014" s="28" t="s">
        <v>51</v>
      </c>
      <c r="N3014" s="28" t="s">
        <v>51</v>
      </c>
    </row>
    <row r="3015" spans="1:14" x14ac:dyDescent="0.15">
      <c r="A3015" s="23" t="str">
        <f>HYPERLINK("https://www.spark-marketing.ru/Card/Person/1005437", "ЦРР-ДЕТСКИЙ САД № 24")</f>
        <v>ЦРР-ДЕТСКИЙ САД № 24</v>
      </c>
      <c r="B3015" s="24" t="s">
        <v>5362</v>
      </c>
      <c r="C3015" s="25">
        <v>11224790</v>
      </c>
      <c r="D3015" s="22" t="s">
        <v>5363</v>
      </c>
      <c r="E3015" s="22" t="s">
        <v>48</v>
      </c>
      <c r="F3015" s="23" t="str">
        <f>HYPERLINK("https://www.spark-marketing.ru/Card/Lot/73414243", "Оказание услуг по организации питания воспитанников")</f>
        <v>Оказание услуг по организации питания воспитанников</v>
      </c>
      <c r="G3015" s="22" t="s">
        <v>49</v>
      </c>
      <c r="H3015" s="22" t="s">
        <v>180</v>
      </c>
      <c r="I3015" s="26">
        <v>43721.472916666702</v>
      </c>
      <c r="J3015" s="28" t="s">
        <v>51</v>
      </c>
      <c r="K3015" s="28" t="s">
        <v>51</v>
      </c>
      <c r="L3015" s="28" t="s">
        <v>51</v>
      </c>
      <c r="M3015" s="28" t="s">
        <v>51</v>
      </c>
      <c r="N3015" s="28" t="s">
        <v>51</v>
      </c>
    </row>
    <row r="3016" spans="1:14" x14ac:dyDescent="0.15">
      <c r="A3016" s="23" t="str">
        <f>HYPERLINK("https://www.spark-marketing.ru/Card/Person/263953", "ОМВД РОССИИ ПО СЛЮДЯНСКОМУ РАЙОНУ")</f>
        <v>ОМВД РОССИИ ПО СЛЮДЯНСКОМУ РАЙОНУ</v>
      </c>
      <c r="B3016" s="24" t="s">
        <v>5364</v>
      </c>
      <c r="C3016" s="25">
        <v>954000</v>
      </c>
      <c r="D3016" s="22" t="s">
        <v>5365</v>
      </c>
      <c r="E3016" s="22" t="s">
        <v>48</v>
      </c>
      <c r="F3016" s="23" t="str">
        <f>HYPERLINK("https://www.spark-marketing.ru/Card/Lot/73393034", "питание ИВС")</f>
        <v>питание ИВС</v>
      </c>
      <c r="G3016" s="22" t="s">
        <v>263</v>
      </c>
      <c r="H3016" s="22" t="s">
        <v>5366</v>
      </c>
      <c r="I3016" s="26">
        <v>43721.488194444399</v>
      </c>
      <c r="J3016" s="23" t="str">
        <f>HYPERLINK("https://www.spark-marketing.ru/Card/Person/86951", "ООО САНАТОРИЙ ""ЖЕМЧУЖИНА СИБИРИ""")</f>
        <v>ООО САНАТОРИЙ "ЖЕМЧУЖИНА СИБИРИ"</v>
      </c>
      <c r="K3016" s="24" t="s">
        <v>5367</v>
      </c>
      <c r="L3016" s="22" t="s">
        <v>10</v>
      </c>
      <c r="M3016" s="28" t="s">
        <v>51</v>
      </c>
      <c r="N3016" s="28" t="s">
        <v>51</v>
      </c>
    </row>
    <row r="3017" spans="1:14" x14ac:dyDescent="0.15">
      <c r="A3017" s="23" t="str">
        <f>HYPERLINK("https://www.spark-marketing.ru/Card/Person/1084394", "МДОУ ""ЦЕНТР РАЗВИТИЯ РЕБЕНКА - ДЕТСКИЙ САД №20 ""АЛЁНУШКА""")</f>
        <v>МДОУ "ЦЕНТР РАЗВИТИЯ РЕБЕНКА - ДЕТСКИЙ САД №20 "АЛЁНУШКА"</v>
      </c>
      <c r="B3017" s="24" t="s">
        <v>5368</v>
      </c>
      <c r="C3017" s="25">
        <v>9060280</v>
      </c>
      <c r="D3017" s="22" t="s">
        <v>5369</v>
      </c>
      <c r="E3017" s="22" t="s">
        <v>48</v>
      </c>
      <c r="F3017" s="23" t="str">
        <f>HYPERLINK("https://www.spark-marketing.ru/Card/Lot/73413855", "Оказание услуг по организации питания воспитанников")</f>
        <v>Оказание услуг по организации питания воспитанников</v>
      </c>
      <c r="G3017" s="22" t="s">
        <v>49</v>
      </c>
      <c r="H3017" s="22" t="s">
        <v>180</v>
      </c>
      <c r="I3017" s="26">
        <v>43721.472222222197</v>
      </c>
      <c r="J3017" s="28" t="s">
        <v>51</v>
      </c>
      <c r="K3017" s="28" t="s">
        <v>51</v>
      </c>
      <c r="L3017" s="28" t="s">
        <v>51</v>
      </c>
      <c r="M3017" s="28" t="s">
        <v>51</v>
      </c>
      <c r="N3017" s="28" t="s">
        <v>51</v>
      </c>
    </row>
    <row r="3018" spans="1:14" x14ac:dyDescent="0.15">
      <c r="A3018" s="23" t="str">
        <f>HYPERLINK("https://www.spark-marketing.ru/Card/Person/1006431", "МДОУ ДЕТСКИЙ САД №3 ""РЯБИНКА""")</f>
        <v>МДОУ ДЕТСКИЙ САД №3 "РЯБИНКА"</v>
      </c>
      <c r="B3018" s="24" t="s">
        <v>5370</v>
      </c>
      <c r="C3018" s="25">
        <v>4788424</v>
      </c>
      <c r="D3018" s="22" t="s">
        <v>5371</v>
      </c>
      <c r="E3018" s="22" t="s">
        <v>48</v>
      </c>
      <c r="F3018" s="23" t="str">
        <f>HYPERLINK("https://www.spark-marketing.ru/Card/Lot/73413613", "Оказание услуг по организации питания воспитанников")</f>
        <v>Оказание услуг по организации питания воспитанников</v>
      </c>
      <c r="G3018" s="22" t="s">
        <v>49</v>
      </c>
      <c r="H3018" s="22" t="s">
        <v>180</v>
      </c>
      <c r="I3018" s="26">
        <v>43721.470833333296</v>
      </c>
      <c r="J3018" s="28" t="s">
        <v>51</v>
      </c>
      <c r="K3018" s="28" t="s">
        <v>51</v>
      </c>
      <c r="L3018" s="28" t="s">
        <v>51</v>
      </c>
      <c r="M3018" s="28" t="s">
        <v>51</v>
      </c>
      <c r="N3018" s="28" t="s">
        <v>51</v>
      </c>
    </row>
    <row r="3019" spans="1:14" x14ac:dyDescent="0.15">
      <c r="A3019" s="23" t="str">
        <f>HYPERLINK("https://www.spark-marketing.ru/Card/Person/1006438", "МБДОУ № 12 ""ПЧЁЛКА""")</f>
        <v>МБДОУ № 12 "ПЧЁЛКА"</v>
      </c>
      <c r="B3019" s="24" t="s">
        <v>5372</v>
      </c>
      <c r="C3019" s="25">
        <v>10063298</v>
      </c>
      <c r="D3019" s="22" t="s">
        <v>5373</v>
      </c>
      <c r="E3019" s="22" t="s">
        <v>48</v>
      </c>
      <c r="F3019" s="23" t="str">
        <f>HYPERLINK("https://www.spark-marketing.ru/Card/Lot/73413811", "Оказание услуг по организации питания воспитанников")</f>
        <v>Оказание услуг по организации питания воспитанников</v>
      </c>
      <c r="G3019" s="22" t="s">
        <v>49</v>
      </c>
      <c r="H3019" s="22" t="s">
        <v>180</v>
      </c>
      <c r="I3019" s="26">
        <v>43721.470138888901</v>
      </c>
      <c r="J3019" s="28" t="s">
        <v>51</v>
      </c>
      <c r="K3019" s="28" t="s">
        <v>51</v>
      </c>
      <c r="L3019" s="28" t="s">
        <v>51</v>
      </c>
      <c r="M3019" s="28" t="s">
        <v>51</v>
      </c>
      <c r="N3019" s="28" t="s">
        <v>51</v>
      </c>
    </row>
    <row r="3020" spans="1:14" hidden="1" outlineLevel="1" x14ac:dyDescent="0.15">
      <c r="A3020" s="23" t="str">
        <f>HYPERLINK("https://www.spark-marketing.ru/Card/Person/1006438", "МБДОУ № 12 ""ПЧЁЛКА""")</f>
        <v>МБДОУ № 12 "ПЧЁЛКА"</v>
      </c>
      <c r="B3020" s="24" t="s">
        <v>5372</v>
      </c>
      <c r="C3020" s="25">
        <v>10063298</v>
      </c>
      <c r="D3020" s="22" t="s">
        <v>5373</v>
      </c>
      <c r="E3020" s="22" t="s">
        <v>48</v>
      </c>
      <c r="F3020" s="23" t="str">
        <f>HYPERLINK("https://www.spark-marketing.ru/Card/Lot/73413811", "Оказание услуг по организации питания воспитанников")</f>
        <v>Оказание услуг по организации питания воспитанников</v>
      </c>
      <c r="G3020" s="22" t="s">
        <v>49</v>
      </c>
      <c r="H3020" s="22" t="s">
        <v>180</v>
      </c>
      <c r="I3020" s="26">
        <v>43721.470138888901</v>
      </c>
      <c r="J3020" s="23" t="str">
        <f>HYPERLINK("https://www.spark-marketing.ru/Card/Person/60153", "ООО МОЛОЧНЫЙ ЗАВОД ""НАРО-ФОМИНСКИЙ""")</f>
        <v>ООО МОЛОЧНЫЙ ЗАВОД "НАРО-ФОМИНСКИЙ"</v>
      </c>
      <c r="K3020" s="24" t="s">
        <v>5326</v>
      </c>
      <c r="L3020" s="28" t="s">
        <v>51</v>
      </c>
      <c r="M3020" s="28" t="s">
        <v>51</v>
      </c>
      <c r="N3020" s="28" t="s">
        <v>51</v>
      </c>
    </row>
    <row r="3021" spans="1:14" hidden="1" outlineLevel="1" x14ac:dyDescent="0.15">
      <c r="A3021" s="23" t="str">
        <f>HYPERLINK("https://www.spark-marketing.ru/Card/Person/1006438", "МБДОУ № 12 ""ПЧЁЛКА""")</f>
        <v>МБДОУ № 12 "ПЧЁЛКА"</v>
      </c>
      <c r="B3021" s="24" t="s">
        <v>5372</v>
      </c>
      <c r="C3021" s="25">
        <v>10063298</v>
      </c>
      <c r="D3021" s="22" t="s">
        <v>5373</v>
      </c>
      <c r="E3021" s="22" t="s">
        <v>48</v>
      </c>
      <c r="F3021" s="23" t="str">
        <f>HYPERLINK("https://www.spark-marketing.ru/Card/Lot/73413811", "Оказание услуг по организации питания воспитанников")</f>
        <v>Оказание услуг по организации питания воспитанников</v>
      </c>
      <c r="G3021" s="22" t="s">
        <v>49</v>
      </c>
      <c r="H3021" s="22" t="s">
        <v>180</v>
      </c>
      <c r="I3021" s="26">
        <v>43721.470138888901</v>
      </c>
      <c r="J3021" s="23" t="str">
        <f>HYPERLINK("https://www.spark-marketing.ru/Card/Person/58232", "ООО ""АВАНГАРД""")</f>
        <v>ООО "АВАНГАРД"</v>
      </c>
      <c r="K3021" s="24" t="s">
        <v>5327</v>
      </c>
      <c r="L3021" s="28" t="s">
        <v>51</v>
      </c>
      <c r="M3021" s="28" t="s">
        <v>51</v>
      </c>
      <c r="N3021" s="28" t="s">
        <v>51</v>
      </c>
    </row>
    <row r="3022" spans="1:14" x14ac:dyDescent="0.15">
      <c r="A3022" s="23" t="str">
        <f>HYPERLINK("https://www.spark-marketing.ru/Card/Person/1024742", "МДОУ ЦЕНТР РАЗВИТИЯ РЕБЕНКА ДЕТСКИЙ САД №15 ""ОРЛЁНОК""")</f>
        <v>МДОУ ЦЕНТР РАЗВИТИЯ РЕБЕНКА ДЕТСКИЙ САД №15 "ОРЛЁНОК"</v>
      </c>
      <c r="B3022" s="24" t="s">
        <v>5374</v>
      </c>
      <c r="C3022" s="25">
        <v>21009890</v>
      </c>
      <c r="D3022" s="22" t="s">
        <v>5375</v>
      </c>
      <c r="E3022" s="22" t="s">
        <v>48</v>
      </c>
      <c r="F3022" s="23" t="str">
        <f>HYPERLINK("https://www.spark-marketing.ru/Card/Lot/73414182", "Оказание услуг по организации питания воспитанников")</f>
        <v>Оказание услуг по организации питания воспитанников</v>
      </c>
      <c r="G3022" s="22" t="s">
        <v>49</v>
      </c>
      <c r="H3022" s="22" t="s">
        <v>180</v>
      </c>
      <c r="I3022" s="26">
        <v>43721.472222222197</v>
      </c>
      <c r="J3022" s="28" t="s">
        <v>51</v>
      </c>
      <c r="K3022" s="28" t="s">
        <v>51</v>
      </c>
      <c r="L3022" s="28" t="s">
        <v>51</v>
      </c>
      <c r="M3022" s="28" t="s">
        <v>51</v>
      </c>
      <c r="N3022" s="28" t="s">
        <v>51</v>
      </c>
    </row>
    <row r="3023" spans="1:14" x14ac:dyDescent="0.15">
      <c r="A3023" s="23" t="str">
        <f>HYPERLINK("https://www.spark-marketing.ru/Card/Person/1006253", "МБДОУ ""ДЕТСКИЙ САД №2 ""ТЕРЕМОК""")</f>
        <v>МБДОУ "ДЕТСКИЙ САД №2 "ТЕРЕМОК"</v>
      </c>
      <c r="B3023" s="24" t="s">
        <v>5376</v>
      </c>
      <c r="C3023" s="25">
        <v>11286018</v>
      </c>
      <c r="D3023" s="22" t="s">
        <v>5377</v>
      </c>
      <c r="E3023" s="22" t="s">
        <v>48</v>
      </c>
      <c r="F3023" s="23" t="str">
        <f>HYPERLINK("https://www.spark-marketing.ru/Card/Lot/73413821", "Оказание услуг по организации питания воспитанников")</f>
        <v>Оказание услуг по организации питания воспитанников</v>
      </c>
      <c r="G3023" s="22" t="s">
        <v>49</v>
      </c>
      <c r="H3023" s="22" t="s">
        <v>180</v>
      </c>
      <c r="I3023" s="26">
        <v>43721.473611111098</v>
      </c>
      <c r="J3023" s="28" t="s">
        <v>51</v>
      </c>
      <c r="K3023" s="28" t="s">
        <v>51</v>
      </c>
      <c r="L3023" s="28" t="s">
        <v>51</v>
      </c>
      <c r="M3023" s="28" t="s">
        <v>51</v>
      </c>
      <c r="N3023" s="28" t="s">
        <v>51</v>
      </c>
    </row>
    <row r="3024" spans="1:14" x14ac:dyDescent="0.15">
      <c r="A3024" s="23" t="str">
        <f>HYPERLINK("https://www.spark-marketing.ru/Card/Person/113026", "ГАУЗ ""ГОСПИТАЛЬ ДЛЯ ВЕТЕРАНОВ ВОЙН"" Г. КАЗАНИ")</f>
        <v>ГАУЗ "ГОСПИТАЛЬ ДЛЯ ВЕТЕРАНОВ ВОЙН" Г. КАЗАНИ</v>
      </c>
      <c r="B3024" s="24" t="s">
        <v>5378</v>
      </c>
      <c r="C3024" s="25">
        <v>5948527.8399999999</v>
      </c>
      <c r="D3024" s="22" t="s">
        <v>5379</v>
      </c>
      <c r="E3024" s="22" t="s">
        <v>48</v>
      </c>
      <c r="F3024" s="23" t="str">
        <f>HYPERLINK("https://www.spark-marketing.ru/Card/Lot/73414795", "Оказание услуг по организации питания пациентов ГАУЗ ""Госпиталь ветеранов войн"" г.Казани")</f>
        <v>Оказание услуг по организации питания пациентов ГАУЗ "Госпиталь ветеранов войн" г.Казани</v>
      </c>
      <c r="G3024" s="22" t="s">
        <v>217</v>
      </c>
      <c r="H3024" s="22" t="s">
        <v>937</v>
      </c>
      <c r="I3024" s="26">
        <v>43721.477569444403</v>
      </c>
      <c r="J3024" s="23" t="str">
        <f>HYPERLINK("https://www.spark-marketing.ru/Card/Person/1131429", "ООО ""СТАТУС""")</f>
        <v>ООО "СТАТУС"</v>
      </c>
      <c r="K3024" s="24" t="s">
        <v>5380</v>
      </c>
      <c r="L3024" s="28" t="s">
        <v>51</v>
      </c>
      <c r="M3024" s="28" t="s">
        <v>51</v>
      </c>
      <c r="N3024" s="28" t="s">
        <v>51</v>
      </c>
    </row>
    <row r="3025" spans="1:14" ht="12.75" hidden="1" outlineLevel="1" x14ac:dyDescent="0.2">
      <c r="A3025" s="23" t="str">
        <f>HYPERLINK("https://www.spark-marketing.ru/Card/Person/113026", "ГАУЗ ""ГОСПИТАЛЬ ДЛЯ ВЕТЕРАНОВ ВОЙН"" Г. КАЗАНИ")</f>
        <v>ГАУЗ "ГОСПИТАЛЬ ДЛЯ ВЕТЕРАНОВ ВОЙН" Г. КАЗАНИ</v>
      </c>
      <c r="B3025" s="24" t="s">
        <v>5378</v>
      </c>
      <c r="C3025" s="25">
        <v>5948527.8399999999</v>
      </c>
      <c r="D3025" s="22" t="s">
        <v>5379</v>
      </c>
      <c r="E3025" s="22" t="s">
        <v>48</v>
      </c>
      <c r="F3025" s="23" t="str">
        <f>HYPERLINK("https://www.spark-marketing.ru/Card/Lot/73414795", "Оказание услуг по организации питания пациентов ГАУЗ ""Госпиталь ветеранов войн"" г.Казани")</f>
        <v>Оказание услуг по организации питания пациентов ГАУЗ "Госпиталь ветеранов войн" г.Казани</v>
      </c>
      <c r="G3025" s="22" t="s">
        <v>217</v>
      </c>
      <c r="H3025" s="22" t="s">
        <v>937</v>
      </c>
      <c r="I3025" s="26">
        <v>43721.477569444403</v>
      </c>
      <c r="J3025" s="23" t="str">
        <f>HYPERLINK("https://www.spark-marketing.ru/Card/Person/1131429", "ООО ""СТАТУС""")</f>
        <v>ООО "СТАТУС"</v>
      </c>
      <c r="K3025" s="24" t="s">
        <v>5380</v>
      </c>
      <c r="L3025" s="22" t="s">
        <v>10</v>
      </c>
      <c r="M3025" s="25">
        <v>5918785.2000000002</v>
      </c>
      <c r="N3025" s="27">
        <v>5.0000001344870561E-3</v>
      </c>
    </row>
    <row r="3026" spans="1:14" x14ac:dyDescent="0.15">
      <c r="A3026" s="23" t="str">
        <f>HYPERLINK("https://www.spark-marketing.ru/Card/Person/11896", "АДМИНИСТРАЦИЯ ЛУЖСКОГО МУНИЦИПАЛЬНОГО РАЙОНА")</f>
        <v>АДМИНИСТРАЦИЯ ЛУЖСКОГО МУНИЦИПАЛЬНОГО РАЙОНА</v>
      </c>
      <c r="B3026" s="24" t="s">
        <v>5381</v>
      </c>
      <c r="C3026" s="25">
        <v>471000</v>
      </c>
      <c r="D3026" s="22" t="s">
        <v>5382</v>
      </c>
      <c r="E3026" s="22" t="s">
        <v>621</v>
      </c>
      <c r="F3026" s="23" t="str">
        <f>HYPERLINK("https://www.spark-marketing.ru/Card/Lot/73400509", "Оказание услуг по обслуживанию (ремонту) лазерных принтеров, копиров, картриджей, источников бесперебойного питания, заправка картриджей")</f>
        <v>Оказание услуг по обслуживанию (ремонту) лазерных принтеров, копиров, картриджей, источников бесперебойного питания, заправка картриджей</v>
      </c>
      <c r="G3026" s="22" t="s">
        <v>162</v>
      </c>
      <c r="H3026" s="22" t="s">
        <v>4891</v>
      </c>
      <c r="I3026" s="26">
        <v>43721.485416666699</v>
      </c>
      <c r="J3026" s="28" t="s">
        <v>51</v>
      </c>
      <c r="K3026" s="28" t="s">
        <v>51</v>
      </c>
      <c r="L3026" s="28" t="s">
        <v>51</v>
      </c>
      <c r="M3026" s="28" t="s">
        <v>51</v>
      </c>
      <c r="N3026" s="28" t="s">
        <v>51</v>
      </c>
    </row>
    <row r="3027" spans="1:14" ht="12.75" hidden="1" outlineLevel="1" x14ac:dyDescent="0.2">
      <c r="A3027" s="23" t="str">
        <f>HYPERLINK("https://www.spark-marketing.ru/Card/Person/11896", "АДМИНИСТРАЦИЯ ЛУЖСКОГО МУНИЦИПАЛЬНОГО РАЙОНА")</f>
        <v>АДМИНИСТРАЦИЯ ЛУЖСКОГО МУНИЦИПАЛЬНОГО РАЙОНА</v>
      </c>
      <c r="B3027" s="24" t="s">
        <v>5381</v>
      </c>
      <c r="C3027" s="25">
        <v>471000</v>
      </c>
      <c r="D3027" s="22" t="s">
        <v>5382</v>
      </c>
      <c r="E3027" s="22" t="s">
        <v>621</v>
      </c>
      <c r="F3027" s="23" t="str">
        <f>HYPERLINK("https://www.spark-marketing.ru/Card/Lot/73400509", "Оказание услуг по обслуживанию (ремонту) лазерных принтеров, копиров, картриджей, источников бесперебойного питания, заправка картриджей")</f>
        <v>Оказание услуг по обслуживанию (ремонту) лазерных принтеров, копиров, картриджей, источников бесперебойного питания, заправка картриджей</v>
      </c>
      <c r="G3027" s="22" t="s">
        <v>162</v>
      </c>
      <c r="H3027" s="22" t="s">
        <v>4891</v>
      </c>
      <c r="I3027" s="26">
        <v>43721.485416666699</v>
      </c>
      <c r="J3027" s="23" t="str">
        <f>HYPERLINK("https://www.spark-marketing.ru/Card/Person/429084", "Еремин Дмитрий Вячеславович")</f>
        <v>Еремин Дмитрий Вячеславович</v>
      </c>
      <c r="K3027" s="24" t="s">
        <v>5383</v>
      </c>
      <c r="L3027" s="22" t="s">
        <v>10</v>
      </c>
      <c r="M3027" s="25">
        <v>460884</v>
      </c>
      <c r="N3027" s="27">
        <v>2.1477707006369428E-2</v>
      </c>
    </row>
    <row r="3028" spans="1:14" hidden="1" outlineLevel="1" x14ac:dyDescent="0.2">
      <c r="A3028" s="23" t="str">
        <f>HYPERLINK("https://www.spark-marketing.ru/Card/Person/11896", "АДМИНИСТРАЦИЯ ЛУЖСКОГО МУНИЦИПАЛЬНОГО РАЙОНА")</f>
        <v>АДМИНИСТРАЦИЯ ЛУЖСКОГО МУНИЦИПАЛЬНОГО РАЙОНА</v>
      </c>
      <c r="B3028" s="24" t="s">
        <v>5381</v>
      </c>
      <c r="C3028" s="25">
        <v>471000</v>
      </c>
      <c r="D3028" s="22" t="s">
        <v>5382</v>
      </c>
      <c r="E3028" s="22" t="s">
        <v>621</v>
      </c>
      <c r="F3028" s="23" t="str">
        <f>HYPERLINK("https://www.spark-marketing.ru/Card/Lot/73400509", "Оказание услуг по обслуживанию (ремонту) лазерных принтеров, копиров, картриджей, источников бесперебойного питания, заправка картриджей")</f>
        <v>Оказание услуг по обслуживанию (ремонту) лазерных принтеров, копиров, картриджей, источников бесперебойного питания, заправка картриджей</v>
      </c>
      <c r="G3028" s="22" t="s">
        <v>162</v>
      </c>
      <c r="H3028" s="22" t="s">
        <v>4891</v>
      </c>
      <c r="I3028" s="26">
        <v>43721.485416666699</v>
      </c>
      <c r="J3028" s="23" t="str">
        <f>HYPERLINK("https://www.spark-marketing.ru/Card/Person/115278", "ООО ""ОФИС-КОННЕКТ""")</f>
        <v>ООО "ОФИС-КОННЕКТ"</v>
      </c>
      <c r="K3028" s="24" t="s">
        <v>5384</v>
      </c>
      <c r="L3028" s="28" t="s">
        <v>51</v>
      </c>
      <c r="M3028" s="25">
        <v>463239</v>
      </c>
      <c r="N3028" s="27">
        <v>1.6477707006369427E-2</v>
      </c>
    </row>
    <row r="3029" spans="1:14" x14ac:dyDescent="0.15">
      <c r="A3029" s="23" t="str">
        <f>HYPERLINK("https://www.spark-marketing.ru/Card/Person/82817", "МБДОУ ""ДЕТСКИЙ САД №1""")</f>
        <v>МБДОУ "ДЕТСКИЙ САД №1"</v>
      </c>
      <c r="B3029" s="24" t="s">
        <v>5385</v>
      </c>
      <c r="C3029" s="25">
        <v>21010380</v>
      </c>
      <c r="D3029" s="22" t="s">
        <v>5386</v>
      </c>
      <c r="E3029" s="22" t="s">
        <v>48</v>
      </c>
      <c r="F3029" s="23" t="str">
        <f>HYPERLINK("https://www.spark-marketing.ru/Card/Lot/73414173", "оказание услуг по организации горячего питания в МБДОУ ""Детский сад №1""")</f>
        <v>оказание услуг по организации горячего питания в МБДОУ "Детский сад №1"</v>
      </c>
      <c r="G3029" s="22" t="s">
        <v>49</v>
      </c>
      <c r="H3029" s="22" t="s">
        <v>301</v>
      </c>
      <c r="I3029" s="26">
        <v>43721.490277777797</v>
      </c>
      <c r="J3029" s="28" t="s">
        <v>51</v>
      </c>
      <c r="K3029" s="28" t="s">
        <v>51</v>
      </c>
      <c r="L3029" s="28" t="s">
        <v>51</v>
      </c>
      <c r="M3029" s="28" t="s">
        <v>51</v>
      </c>
      <c r="N3029" s="28" t="s">
        <v>51</v>
      </c>
    </row>
    <row r="3030" spans="1:14" hidden="1" outlineLevel="1" x14ac:dyDescent="0.2">
      <c r="A3030" s="23" t="str">
        <f>HYPERLINK("https://www.spark-marketing.ru/Card/Person/82817", "МБДОУ ""ДЕТСКИЙ САД №1""")</f>
        <v>МБДОУ "ДЕТСКИЙ САД №1"</v>
      </c>
      <c r="B3030" s="24" t="s">
        <v>5385</v>
      </c>
      <c r="C3030" s="25">
        <v>21010380</v>
      </c>
      <c r="D3030" s="22" t="s">
        <v>5386</v>
      </c>
      <c r="E3030" s="22" t="s">
        <v>48</v>
      </c>
      <c r="F3030" s="23" t="str">
        <f>HYPERLINK("https://www.spark-marketing.ru/Card/Lot/73414173", "оказание услуг по организации горячего питания в МБДОУ ""Детский сад №1""")</f>
        <v>оказание услуг по организации горячего питания в МБДОУ "Детский сад №1"</v>
      </c>
      <c r="G3030" s="22" t="s">
        <v>49</v>
      </c>
      <c r="H3030" s="22" t="s">
        <v>301</v>
      </c>
      <c r="I3030" s="26">
        <v>43721.490277777797</v>
      </c>
      <c r="J3030" s="23" t="str">
        <f>HYPERLINK("https://www.spark-marketing.ru/Card/Person/100937", "ООО ""ВЕРТИКАЛЬ""")</f>
        <v>ООО "ВЕРТИКАЛЬ"</v>
      </c>
      <c r="K3030" s="24" t="s">
        <v>4501</v>
      </c>
      <c r="L3030" s="28" t="s">
        <v>51</v>
      </c>
      <c r="M3030" s="25">
        <v>18909342</v>
      </c>
      <c r="N3030" s="27">
        <v>0.1</v>
      </c>
    </row>
    <row r="3031" spans="1:14" ht="12.75" hidden="1" outlineLevel="1" x14ac:dyDescent="0.2">
      <c r="A3031" s="23" t="str">
        <f>HYPERLINK("https://www.spark-marketing.ru/Card/Person/82817", "МБДОУ ""ДЕТСКИЙ САД №1""")</f>
        <v>МБДОУ "ДЕТСКИЙ САД №1"</v>
      </c>
      <c r="B3031" s="24" t="s">
        <v>5385</v>
      </c>
      <c r="C3031" s="25">
        <v>21010380</v>
      </c>
      <c r="D3031" s="22" t="s">
        <v>5386</v>
      </c>
      <c r="E3031" s="22" t="s">
        <v>48</v>
      </c>
      <c r="F3031" s="23" t="str">
        <f>HYPERLINK("https://www.spark-marketing.ru/Card/Lot/73414173", "оказание услуг по организации горячего питания в МБДОУ ""Детский сад №1""")</f>
        <v>оказание услуг по организации горячего питания в МБДОУ "Детский сад №1"</v>
      </c>
      <c r="G3031" s="22" t="s">
        <v>49</v>
      </c>
      <c r="H3031" s="22" t="s">
        <v>301</v>
      </c>
      <c r="I3031" s="26">
        <v>43721.490277777797</v>
      </c>
      <c r="J3031" s="23" t="str">
        <f>HYPERLINK("https://www.spark-marketing.ru/Card/Person/70733", "ООО ""ПЛАНЕТА ВКУСА""")</f>
        <v>ООО "ПЛАНЕТА ВКУСА"</v>
      </c>
      <c r="K3031" s="24" t="s">
        <v>4502</v>
      </c>
      <c r="L3031" s="22" t="s">
        <v>10</v>
      </c>
      <c r="M3031" s="25">
        <v>19956355</v>
      </c>
      <c r="N3031" s="27">
        <v>5.0166869899544893E-2</v>
      </c>
    </row>
    <row r="3032" spans="1:14" x14ac:dyDescent="0.15">
      <c r="A3032" s="23" t="str">
        <f>HYPERLINK("https://www.spark-marketing.ru/Card/Person/1006401", "МБДОУ ДЕТСКИЙ САД № 7 ""РОСИНКА""")</f>
        <v>МБДОУ ДЕТСКИЙ САД № 7 "РОСИНКА"</v>
      </c>
      <c r="B3032" s="24" t="s">
        <v>5387</v>
      </c>
      <c r="C3032" s="25">
        <v>7214598</v>
      </c>
      <c r="D3032" s="22" t="s">
        <v>5388</v>
      </c>
      <c r="E3032" s="22" t="s">
        <v>48</v>
      </c>
      <c r="F3032" s="23" t="str">
        <f>HYPERLINK("https://www.spark-marketing.ru/Card/Lot/73413659", "Оказание услуг по организации питания воспитанников")</f>
        <v>Оказание услуг по организации питания воспитанников</v>
      </c>
      <c r="G3032" s="22" t="s">
        <v>49</v>
      </c>
      <c r="H3032" s="22" t="s">
        <v>180</v>
      </c>
      <c r="I3032" s="26">
        <v>43721.470833333296</v>
      </c>
      <c r="J3032" s="28" t="s">
        <v>51</v>
      </c>
      <c r="K3032" s="28" t="s">
        <v>51</v>
      </c>
      <c r="L3032" s="28" t="s">
        <v>51</v>
      </c>
      <c r="M3032" s="28" t="s">
        <v>51</v>
      </c>
      <c r="N3032" s="28" t="s">
        <v>51</v>
      </c>
    </row>
    <row r="3033" spans="1:14" hidden="1" outlineLevel="1" x14ac:dyDescent="0.15">
      <c r="A3033" s="23" t="str">
        <f>HYPERLINK("https://www.spark-marketing.ru/Card/Person/1006401", "МБДОУ ДЕТСКИЙ САД № 7 ""РОСИНКА""")</f>
        <v>МБДОУ ДЕТСКИЙ САД № 7 "РОСИНКА"</v>
      </c>
      <c r="B3033" s="24" t="s">
        <v>5387</v>
      </c>
      <c r="C3033" s="25">
        <v>7214598</v>
      </c>
      <c r="D3033" s="22" t="s">
        <v>5388</v>
      </c>
      <c r="E3033" s="22" t="s">
        <v>48</v>
      </c>
      <c r="F3033" s="23" t="str">
        <f>HYPERLINK("https://www.spark-marketing.ru/Card/Lot/73413659", "Оказание услуг по организации питания воспитанников")</f>
        <v>Оказание услуг по организации питания воспитанников</v>
      </c>
      <c r="G3033" s="22" t="s">
        <v>49</v>
      </c>
      <c r="H3033" s="22" t="s">
        <v>180</v>
      </c>
      <c r="I3033" s="26">
        <v>43721.470833333296</v>
      </c>
      <c r="J3033" s="23" t="str">
        <f>HYPERLINK("https://www.spark-marketing.ru/Card/Person/60153", "ООО МОЛОЧНЫЙ ЗАВОД ""НАРО-ФОМИНСКИЙ""")</f>
        <v>ООО МОЛОЧНЫЙ ЗАВОД "НАРО-ФОМИНСКИЙ"</v>
      </c>
      <c r="K3033" s="24" t="s">
        <v>5326</v>
      </c>
      <c r="L3033" s="28" t="s">
        <v>51</v>
      </c>
      <c r="M3033" s="28" t="s">
        <v>51</v>
      </c>
      <c r="N3033" s="28" t="s">
        <v>51</v>
      </c>
    </row>
    <row r="3034" spans="1:14" hidden="1" outlineLevel="1" x14ac:dyDescent="0.15">
      <c r="A3034" s="23" t="str">
        <f>HYPERLINK("https://www.spark-marketing.ru/Card/Person/1006401", "МБДОУ ДЕТСКИЙ САД № 7 ""РОСИНКА""")</f>
        <v>МБДОУ ДЕТСКИЙ САД № 7 "РОСИНКА"</v>
      </c>
      <c r="B3034" s="24" t="s">
        <v>5387</v>
      </c>
      <c r="C3034" s="25">
        <v>7214598</v>
      </c>
      <c r="D3034" s="22" t="s">
        <v>5388</v>
      </c>
      <c r="E3034" s="22" t="s">
        <v>48</v>
      </c>
      <c r="F3034" s="23" t="str">
        <f>HYPERLINK("https://www.spark-marketing.ru/Card/Lot/73413659", "Оказание услуг по организации питания воспитанников")</f>
        <v>Оказание услуг по организации питания воспитанников</v>
      </c>
      <c r="G3034" s="22" t="s">
        <v>49</v>
      </c>
      <c r="H3034" s="22" t="s">
        <v>180</v>
      </c>
      <c r="I3034" s="26">
        <v>43721.470833333296</v>
      </c>
      <c r="J3034" s="23" t="str">
        <f>HYPERLINK("https://www.spark-marketing.ru/Card/Person/58232", "ООО ""АВАНГАРД""")</f>
        <v>ООО "АВАНГАРД"</v>
      </c>
      <c r="K3034" s="24" t="s">
        <v>5327</v>
      </c>
      <c r="L3034" s="28" t="s">
        <v>51</v>
      </c>
      <c r="M3034" s="28" t="s">
        <v>51</v>
      </c>
      <c r="N3034" s="28" t="s">
        <v>51</v>
      </c>
    </row>
    <row r="3035" spans="1:14" x14ac:dyDescent="0.15">
      <c r="A3035" s="23" t="str">
        <f>HYPERLINK("https://www.spark-marketing.ru/Card/Person/1029238", "МДОУ ""ЦЕНТР РАЗВИТИЯ РЕБЕНКА-ДЕТСКИЙ САД № 19 ""СВЕТЛЯЧОК""")</f>
        <v>МДОУ "ЦЕНТР РАЗВИТИЯ РЕБЕНКА-ДЕТСКИЙ САД № 19 "СВЕТЛЯЧОК"</v>
      </c>
      <c r="B3035" s="24" t="s">
        <v>5389</v>
      </c>
      <c r="C3035" s="25">
        <v>6791692</v>
      </c>
      <c r="D3035" s="22" t="s">
        <v>5390</v>
      </c>
      <c r="E3035" s="22" t="s">
        <v>48</v>
      </c>
      <c r="F3035" s="23" t="str">
        <f>HYPERLINK("https://www.spark-marketing.ru/Card/Lot/73404112", "Оказание услуг по организации питания воспитанников")</f>
        <v>Оказание услуг по организации питания воспитанников</v>
      </c>
      <c r="G3035" s="22" t="s">
        <v>49</v>
      </c>
      <c r="H3035" s="22" t="s">
        <v>180</v>
      </c>
      <c r="I3035" s="26">
        <v>43721.454861111102</v>
      </c>
      <c r="J3035" s="28" t="s">
        <v>51</v>
      </c>
      <c r="K3035" s="28" t="s">
        <v>51</v>
      </c>
      <c r="L3035" s="28" t="s">
        <v>51</v>
      </c>
      <c r="M3035" s="28" t="s">
        <v>51</v>
      </c>
      <c r="N3035" s="28" t="s">
        <v>51</v>
      </c>
    </row>
    <row r="3036" spans="1:14" hidden="1" outlineLevel="1" x14ac:dyDescent="0.15">
      <c r="A3036" s="23" t="str">
        <f>HYPERLINK("https://www.spark-marketing.ru/Card/Person/1029238", "МДОУ ""ЦЕНТР РАЗВИТИЯ РЕБЕНКА-ДЕТСКИЙ САД № 19 ""СВЕТЛЯЧОК""")</f>
        <v>МДОУ "ЦЕНТР РАЗВИТИЯ РЕБЕНКА-ДЕТСКИЙ САД № 19 "СВЕТЛЯЧОК"</v>
      </c>
      <c r="B3036" s="24" t="s">
        <v>5389</v>
      </c>
      <c r="C3036" s="25">
        <v>6791692</v>
      </c>
      <c r="D3036" s="22" t="s">
        <v>5390</v>
      </c>
      <c r="E3036" s="22" t="s">
        <v>48</v>
      </c>
      <c r="F3036" s="23" t="str">
        <f>HYPERLINK("https://www.spark-marketing.ru/Card/Lot/73404112", "Оказание услуг по организации питания воспитанников")</f>
        <v>Оказание услуг по организации питания воспитанников</v>
      </c>
      <c r="G3036" s="22" t="s">
        <v>49</v>
      </c>
      <c r="H3036" s="22" t="s">
        <v>180</v>
      </c>
      <c r="I3036" s="26">
        <v>43721.454861111102</v>
      </c>
      <c r="J3036" s="23" t="str">
        <f>HYPERLINK("https://www.spark-marketing.ru/Card/Person/60153", "ООО МОЛОЧНЫЙ ЗАВОД ""НАРО-ФОМИНСКИЙ""")</f>
        <v>ООО МОЛОЧНЫЙ ЗАВОД "НАРО-ФОМИНСКИЙ"</v>
      </c>
      <c r="K3036" s="24" t="s">
        <v>5326</v>
      </c>
      <c r="L3036" s="28" t="s">
        <v>51</v>
      </c>
      <c r="M3036" s="28" t="s">
        <v>51</v>
      </c>
      <c r="N3036" s="28" t="s">
        <v>51</v>
      </c>
    </row>
    <row r="3037" spans="1:14" hidden="1" outlineLevel="1" x14ac:dyDescent="0.15">
      <c r="A3037" s="23" t="str">
        <f>HYPERLINK("https://www.spark-marketing.ru/Card/Person/1029238", "МДОУ ""ЦЕНТР РАЗВИТИЯ РЕБЕНКА-ДЕТСКИЙ САД № 19 ""СВЕТЛЯЧОК""")</f>
        <v>МДОУ "ЦЕНТР РАЗВИТИЯ РЕБЕНКА-ДЕТСКИЙ САД № 19 "СВЕТЛЯЧОК"</v>
      </c>
      <c r="B3037" s="24" t="s">
        <v>5389</v>
      </c>
      <c r="C3037" s="25">
        <v>6791692</v>
      </c>
      <c r="D3037" s="22" t="s">
        <v>5390</v>
      </c>
      <c r="E3037" s="22" t="s">
        <v>48</v>
      </c>
      <c r="F3037" s="23" t="str">
        <f>HYPERLINK("https://www.spark-marketing.ru/Card/Lot/73404112", "Оказание услуг по организации питания воспитанников")</f>
        <v>Оказание услуг по организации питания воспитанников</v>
      </c>
      <c r="G3037" s="22" t="s">
        <v>49</v>
      </c>
      <c r="H3037" s="22" t="s">
        <v>180</v>
      </c>
      <c r="I3037" s="26">
        <v>43721.454861111102</v>
      </c>
      <c r="J3037" s="23" t="str">
        <f>HYPERLINK("https://www.spark-marketing.ru/Card/Person/58232", "ООО ""АВАНГАРД""")</f>
        <v>ООО "АВАНГАРД"</v>
      </c>
      <c r="K3037" s="24" t="s">
        <v>5327</v>
      </c>
      <c r="L3037" s="28" t="s">
        <v>51</v>
      </c>
      <c r="M3037" s="28" t="s">
        <v>51</v>
      </c>
      <c r="N3037" s="28" t="s">
        <v>51</v>
      </c>
    </row>
    <row r="3038" spans="1:14" x14ac:dyDescent="0.15">
      <c r="A3038" s="23" t="str">
        <f>HYPERLINK("https://www.spark-marketing.ru/Card/Person/1029029", "МДОУ ДЕТСКИЙ САД ОБЩЕРАЗВИВАЮЩЕГО ВИДА №7 ""ЛАДУШКИ""")</f>
        <v>МДОУ ДЕТСКИЙ САД ОБЩЕРАЗВИВАЮЩЕГО ВИДА №7 "ЛАДУШКИ"</v>
      </c>
      <c r="B3038" s="24" t="s">
        <v>5391</v>
      </c>
      <c r="C3038" s="25">
        <v>7537180</v>
      </c>
      <c r="D3038" s="22" t="s">
        <v>5392</v>
      </c>
      <c r="E3038" s="22" t="s">
        <v>48</v>
      </c>
      <c r="F3038" s="23" t="str">
        <f>HYPERLINK("https://www.spark-marketing.ru/Card/Lot/73401541", "Оказание услуг по организации питания воспитанников")</f>
        <v>Оказание услуг по организации питания воспитанников</v>
      </c>
      <c r="G3038" s="22" t="s">
        <v>49</v>
      </c>
      <c r="H3038" s="22" t="s">
        <v>180</v>
      </c>
      <c r="I3038" s="26">
        <v>43721.453472222202</v>
      </c>
      <c r="J3038" s="28" t="s">
        <v>51</v>
      </c>
      <c r="K3038" s="28" t="s">
        <v>51</v>
      </c>
      <c r="L3038" s="28" t="s">
        <v>51</v>
      </c>
      <c r="M3038" s="28" t="s">
        <v>51</v>
      </c>
      <c r="N3038" s="28" t="s">
        <v>51</v>
      </c>
    </row>
    <row r="3039" spans="1:14" x14ac:dyDescent="0.15">
      <c r="A3039" s="23" t="str">
        <f>HYPERLINK("https://www.spark-marketing.ru/Card/Person/737290", "ГКУ «ЦБЗ ПРИ МИНЗДРАВЕ КАРЕЛИИ»")</f>
        <v>ГКУ «ЦБЗ ПРИ МИНЗДРАВЕ КАРЕЛИИ»</v>
      </c>
      <c r="B3039" s="24" t="s">
        <v>312</v>
      </c>
      <c r="C3039" s="25">
        <v>2848467</v>
      </c>
      <c r="D3039" s="22" t="s">
        <v>5393</v>
      </c>
      <c r="E3039" s="22" t="s">
        <v>52</v>
      </c>
      <c r="F3039" s="23" t="str">
        <f>HYPERLINK("https://www.spark-marketing.ru/Card/Lot/73413435", "Поставка лекарственного препарата Инсулин гларгин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по...")</f>
        <v>Поставка лекарственного препарата Инсулин гларгин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</v>
      </c>
      <c r="G3039" s="22" t="s">
        <v>59</v>
      </c>
      <c r="H3039" s="22" t="s">
        <v>314</v>
      </c>
      <c r="I3039" s="26">
        <v>43721.454166666699</v>
      </c>
      <c r="J3039" s="28" t="s">
        <v>51</v>
      </c>
      <c r="K3039" s="28" t="s">
        <v>51</v>
      </c>
      <c r="L3039" s="28" t="s">
        <v>51</v>
      </c>
      <c r="M3039" s="28" t="s">
        <v>51</v>
      </c>
      <c r="N3039" s="28" t="s">
        <v>51</v>
      </c>
    </row>
    <row r="3040" spans="1:14" ht="12.75" hidden="1" outlineLevel="1" x14ac:dyDescent="0.2">
      <c r="A3040" s="23" t="str">
        <f>HYPERLINK("https://www.spark-marketing.ru/Card/Person/737290", "ГКУ «ЦБЗ ПРИ МИНЗДРАВЕ КАРЕЛИИ»")</f>
        <v>ГКУ «ЦБЗ ПРИ МИНЗДРАВЕ КАРЕЛИИ»</v>
      </c>
      <c r="B3040" s="24" t="s">
        <v>312</v>
      </c>
      <c r="C3040" s="25">
        <v>2848467</v>
      </c>
      <c r="D3040" s="22" t="s">
        <v>5393</v>
      </c>
      <c r="E3040" s="22" t="s">
        <v>52</v>
      </c>
      <c r="F3040" s="23" t="str">
        <f>HYPERLINK("https://www.spark-marketing.ru/Card/Lot/73413435", "Поставка лекарственного препарата Инсулин гларгин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по...")</f>
        <v>Поставка лекарственного препарата Инсулин гларгин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</v>
      </c>
      <c r="G3040" s="22" t="s">
        <v>59</v>
      </c>
      <c r="H3040" s="22" t="s">
        <v>314</v>
      </c>
      <c r="I3040" s="26">
        <v>43721.454166666699</v>
      </c>
      <c r="J3040" s="23" t="str">
        <f>HYPERLINK("https://www.spark-marketing.ru/Card/Person/6231467", "ООО ""ОБЛФАРМ АЛЬЯНС""")</f>
        <v>ООО "ОБЛФАРМ АЛЬЯНС"</v>
      </c>
      <c r="K3040" s="24" t="s">
        <v>2175</v>
      </c>
      <c r="L3040" s="22" t="s">
        <v>10</v>
      </c>
      <c r="M3040" s="25">
        <v>2748770.62</v>
      </c>
      <c r="N3040" s="27">
        <v>3.5000012287311033E-2</v>
      </c>
    </row>
    <row r="3041" spans="1:14" hidden="1" outlineLevel="1" x14ac:dyDescent="0.2">
      <c r="A3041" s="23" t="str">
        <f>HYPERLINK("https://www.spark-marketing.ru/Card/Person/737290", "ГКУ «ЦБЗ ПРИ МИНЗДРАВЕ КАРЕЛИИ»")</f>
        <v>ГКУ «ЦБЗ ПРИ МИНЗДРАВЕ КАРЕЛИИ»</v>
      </c>
      <c r="B3041" s="24" t="s">
        <v>312</v>
      </c>
      <c r="C3041" s="25">
        <v>2848467</v>
      </c>
      <c r="D3041" s="22" t="s">
        <v>5393</v>
      </c>
      <c r="E3041" s="22" t="s">
        <v>52</v>
      </c>
      <c r="F3041" s="23" t="str">
        <f>HYPERLINK("https://www.spark-marketing.ru/Card/Lot/73413435", "Поставка лекарственного препарата Инсулин гларгин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по...")</f>
        <v>Поставка лекарственного препарата Инсулин гларгин в целях 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</v>
      </c>
      <c r="G3041" s="22" t="s">
        <v>59</v>
      </c>
      <c r="H3041" s="22" t="s">
        <v>314</v>
      </c>
      <c r="I3041" s="26">
        <v>43721.454166666699</v>
      </c>
      <c r="J3041" s="23" t="str">
        <f>HYPERLINK("https://www.spark-marketing.ru/Card/Person/1607891", "ООО ""МОСОБЛФАРМ""")</f>
        <v>ООО "МОСОБЛФАРМ"</v>
      </c>
      <c r="K3041" s="24" t="s">
        <v>2523</v>
      </c>
      <c r="L3041" s="28" t="s">
        <v>51</v>
      </c>
      <c r="M3041" s="25">
        <v>2763012.96</v>
      </c>
      <c r="N3041" s="27">
        <v>3.0000010531980887E-2</v>
      </c>
    </row>
    <row r="3042" spans="1:14" x14ac:dyDescent="0.15">
      <c r="A3042" s="23" t="str">
        <f>HYPERLINK("https://www.spark-marketing.ru/Card/Person/151498", "МДОУ ""ЦРР-ДЕТСКИЙ САД №10 ""РАДУГА""")</f>
        <v>МДОУ "ЦРР-ДЕТСКИЙ САД №10 "РАДУГА"</v>
      </c>
      <c r="B3042" s="24" t="s">
        <v>5394</v>
      </c>
      <c r="C3042" s="25">
        <v>17797564</v>
      </c>
      <c r="D3042" s="22" t="s">
        <v>5395</v>
      </c>
      <c r="E3042" s="22" t="s">
        <v>48</v>
      </c>
      <c r="F3042" s="23" t="str">
        <f>HYPERLINK("https://www.spark-marketing.ru/Card/Lot/73401548", "Оказание услуг по организации питания воспитанников")</f>
        <v>Оказание услуг по организации питания воспитанников</v>
      </c>
      <c r="G3042" s="22" t="s">
        <v>49</v>
      </c>
      <c r="H3042" s="22" t="s">
        <v>180</v>
      </c>
      <c r="I3042" s="26">
        <v>43721.453472222202</v>
      </c>
      <c r="J3042" s="28" t="s">
        <v>51</v>
      </c>
      <c r="K3042" s="28" t="s">
        <v>51</v>
      </c>
      <c r="L3042" s="28" t="s">
        <v>51</v>
      </c>
      <c r="M3042" s="28" t="s">
        <v>51</v>
      </c>
      <c r="N3042" s="28" t="s">
        <v>51</v>
      </c>
    </row>
    <row r="3043" spans="1:14" hidden="1" outlineLevel="1" x14ac:dyDescent="0.15">
      <c r="A3043" s="23" t="str">
        <f>HYPERLINK("https://www.spark-marketing.ru/Card/Person/151498", "МДОУ ""ЦРР-ДЕТСКИЙ САД №10 ""РАДУГА""")</f>
        <v>МДОУ "ЦРР-ДЕТСКИЙ САД №10 "РАДУГА"</v>
      </c>
      <c r="B3043" s="24" t="s">
        <v>5394</v>
      </c>
      <c r="C3043" s="25">
        <v>17797564</v>
      </c>
      <c r="D3043" s="22" t="s">
        <v>5395</v>
      </c>
      <c r="E3043" s="22" t="s">
        <v>48</v>
      </c>
      <c r="F3043" s="23" t="str">
        <f>HYPERLINK("https://www.spark-marketing.ru/Card/Lot/73401548", "Оказание услуг по организации питания воспитанников")</f>
        <v>Оказание услуг по организации питания воспитанников</v>
      </c>
      <c r="G3043" s="22" t="s">
        <v>49</v>
      </c>
      <c r="H3043" s="22" t="s">
        <v>180</v>
      </c>
      <c r="I3043" s="26">
        <v>43721.453472222202</v>
      </c>
      <c r="J3043" s="23" t="str">
        <f>HYPERLINK("https://www.spark-marketing.ru/Card/Person/60153", "ООО МОЛОЧНЫЙ ЗАВОД ""НАРО-ФОМИНСКИЙ""")</f>
        <v>ООО МОЛОЧНЫЙ ЗАВОД "НАРО-ФОМИНСКИЙ"</v>
      </c>
      <c r="K3043" s="24" t="s">
        <v>5326</v>
      </c>
      <c r="L3043" s="28" t="s">
        <v>51</v>
      </c>
      <c r="M3043" s="28" t="s">
        <v>51</v>
      </c>
      <c r="N3043" s="28" t="s">
        <v>51</v>
      </c>
    </row>
    <row r="3044" spans="1:14" hidden="1" outlineLevel="1" x14ac:dyDescent="0.15">
      <c r="A3044" s="23" t="str">
        <f>HYPERLINK("https://www.spark-marketing.ru/Card/Person/151498", "МДОУ ""ЦРР-ДЕТСКИЙ САД №10 ""РАДУГА""")</f>
        <v>МДОУ "ЦРР-ДЕТСКИЙ САД №10 "РАДУГА"</v>
      </c>
      <c r="B3044" s="24" t="s">
        <v>5394</v>
      </c>
      <c r="C3044" s="25">
        <v>17797564</v>
      </c>
      <c r="D3044" s="22" t="s">
        <v>5395</v>
      </c>
      <c r="E3044" s="22" t="s">
        <v>48</v>
      </c>
      <c r="F3044" s="23" t="str">
        <f>HYPERLINK("https://www.spark-marketing.ru/Card/Lot/73401548", "Оказание услуг по организации питания воспитанников")</f>
        <v>Оказание услуг по организации питания воспитанников</v>
      </c>
      <c r="G3044" s="22" t="s">
        <v>49</v>
      </c>
      <c r="H3044" s="22" t="s">
        <v>180</v>
      </c>
      <c r="I3044" s="26">
        <v>43721.453472222202</v>
      </c>
      <c r="J3044" s="23" t="str">
        <f>HYPERLINK("https://www.spark-marketing.ru/Card/Person/58232", "ООО ""АВАНГАРД""")</f>
        <v>ООО "АВАНГАРД"</v>
      </c>
      <c r="K3044" s="24" t="s">
        <v>5327</v>
      </c>
      <c r="L3044" s="28" t="s">
        <v>51</v>
      </c>
      <c r="M3044" s="28" t="s">
        <v>51</v>
      </c>
      <c r="N3044" s="28" t="s">
        <v>51</v>
      </c>
    </row>
    <row r="3045" spans="1:14" x14ac:dyDescent="0.15">
      <c r="A3045" s="23" t="str">
        <f>HYPERLINK("https://www.spark-marketing.ru/Card/Person/1033978", "МДОУ ЦЕНТР РАЗВИТИЯ РЕБЕНКА - ДЕТСКИЙ САД № 51 ""СОЛНЫШКО""")</f>
        <v>МДОУ ЦЕНТР РАЗВИТИЯ РЕБЕНКА - ДЕТСКИЙ САД № 51 "СОЛНЫШКО"</v>
      </c>
      <c r="B3045" s="24" t="s">
        <v>5396</v>
      </c>
      <c r="C3045" s="25">
        <v>119472.5</v>
      </c>
      <c r="D3045" s="22" t="s">
        <v>5397</v>
      </c>
      <c r="E3045" s="22" t="s">
        <v>48</v>
      </c>
      <c r="F3045" s="23" t="str">
        <f>HYPERLINK("https://www.spark-marketing.ru/Card/Lot/73395652",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3045" s="22" t="s">
        <v>49</v>
      </c>
      <c r="H3045" s="22" t="s">
        <v>50</v>
      </c>
      <c r="I3045" s="26">
        <v>43721.429907407401</v>
      </c>
      <c r="J3045" s="28" t="s">
        <v>51</v>
      </c>
      <c r="K3045" s="28" t="s">
        <v>51</v>
      </c>
      <c r="L3045" s="28" t="s">
        <v>51</v>
      </c>
      <c r="M3045" s="28" t="s">
        <v>51</v>
      </c>
      <c r="N3045" s="28" t="s">
        <v>51</v>
      </c>
    </row>
    <row r="3046" spans="1:14" x14ac:dyDescent="0.15">
      <c r="A3046" s="23" t="str">
        <f>HYPERLINK("https://www.spark-marketing.ru/Card/Person/1006249", "МБОУ НГО ""СОШ № 2""")</f>
        <v>МБОУ НГО "СОШ № 2"</v>
      </c>
      <c r="B3046" s="24" t="s">
        <v>623</v>
      </c>
      <c r="C3046" s="25">
        <v>447084</v>
      </c>
      <c r="D3046" s="22" t="s">
        <v>5398</v>
      </c>
      <c r="E3046" s="22" t="s">
        <v>48</v>
      </c>
      <c r="F3046" s="23" t="str">
        <f>HYPERLINK("https://www.spark-marketing.ru/Card/Lot/73394781", "Услуги школьных столовых и кухонь")</f>
        <v>Услуги школьных столовых и кухонь</v>
      </c>
      <c r="G3046" s="22" t="s">
        <v>174</v>
      </c>
      <c r="H3046" s="22" t="s">
        <v>174</v>
      </c>
      <c r="I3046" s="26">
        <v>43721.445138888899</v>
      </c>
      <c r="J3046" s="23" t="str">
        <f>HYPERLINK("https://www.spark-marketing.ru/Card/Person/1478566", "Амахина Ирина Вадимовна")</f>
        <v>Амахина Ирина Вадимовна</v>
      </c>
      <c r="K3046" s="24" t="s">
        <v>5399</v>
      </c>
      <c r="L3046" s="22" t="s">
        <v>10</v>
      </c>
      <c r="M3046" s="28" t="s">
        <v>51</v>
      </c>
      <c r="N3046" s="28" t="s">
        <v>51</v>
      </c>
    </row>
    <row r="3047" spans="1:14" x14ac:dyDescent="0.15">
      <c r="A3047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3047" s="24" t="s">
        <v>2604</v>
      </c>
      <c r="C3047" s="25">
        <v>207072</v>
      </c>
      <c r="D3047" s="22" t="s">
        <v>5400</v>
      </c>
      <c r="E3047" s="22" t="s">
        <v>48</v>
      </c>
      <c r="F3047" s="23" t="str">
        <f>HYPERLINK("https://www.spark-marketing.ru/Card/Lot/73390646",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3047" s="22" t="s">
        <v>1096</v>
      </c>
      <c r="H3047" s="22" t="s">
        <v>1097</v>
      </c>
      <c r="I3047" s="26">
        <v>43721.457638888904</v>
      </c>
      <c r="J3047" s="23" t="str">
        <f>HYPERLINK("https://www.spark-marketing.ru/Card/Person/233106", "АО ""КОМБИНАТ ПИТАНИЯ""")</f>
        <v>АО "КОМБИНАТ ПИТАНИЯ"</v>
      </c>
      <c r="K3047" s="24" t="s">
        <v>2606</v>
      </c>
      <c r="L3047" s="28" t="s">
        <v>51</v>
      </c>
      <c r="M3047" s="28" t="s">
        <v>51</v>
      </c>
      <c r="N3047" s="28" t="s">
        <v>51</v>
      </c>
    </row>
    <row r="3048" spans="1:14" x14ac:dyDescent="0.15">
      <c r="A3048" s="23" t="str">
        <f>HYPERLINK("https://www.spark-marketing.ru/Card/Person/1084116", "МДОУ ДЕТСКИЙ САД №11 ""ЗЁРНЫШКИ""")</f>
        <v>МДОУ ДЕТСКИЙ САД №11 "ЗЁРНЫШКИ"</v>
      </c>
      <c r="B3048" s="24" t="s">
        <v>5401</v>
      </c>
      <c r="C3048" s="25">
        <v>6092682</v>
      </c>
      <c r="D3048" s="22" t="s">
        <v>5402</v>
      </c>
      <c r="E3048" s="22" t="s">
        <v>48</v>
      </c>
      <c r="F3048" s="23" t="str">
        <f>HYPERLINK("https://www.spark-marketing.ru/Card/Lot/73401540", "Оказание услуг по организации питания воспитанников")</f>
        <v>Оказание услуг по организации питания воспитанников</v>
      </c>
      <c r="G3048" s="22" t="s">
        <v>49</v>
      </c>
      <c r="H3048" s="22" t="s">
        <v>180</v>
      </c>
      <c r="I3048" s="26">
        <v>43721.453472222202</v>
      </c>
      <c r="J3048" s="28" t="s">
        <v>51</v>
      </c>
      <c r="K3048" s="28" t="s">
        <v>51</v>
      </c>
      <c r="L3048" s="28" t="s">
        <v>51</v>
      </c>
      <c r="M3048" s="28" t="s">
        <v>51</v>
      </c>
      <c r="N3048" s="28" t="s">
        <v>51</v>
      </c>
    </row>
    <row r="3049" spans="1:14" x14ac:dyDescent="0.15">
      <c r="A3049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3049" s="24" t="s">
        <v>2604</v>
      </c>
      <c r="C3049" s="25">
        <v>47000</v>
      </c>
      <c r="D3049" s="22" t="s">
        <v>5403</v>
      </c>
      <c r="E3049" s="22" t="s">
        <v>48</v>
      </c>
      <c r="F3049" s="23" t="str">
        <f>HYPERLINK("https://www.spark-marketing.ru/Card/Lot/73390550",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3049" s="22" t="s">
        <v>1096</v>
      </c>
      <c r="H3049" s="22" t="s">
        <v>1097</v>
      </c>
      <c r="I3049" s="26">
        <v>43721.4284722222</v>
      </c>
      <c r="J3049" s="28" t="s">
        <v>51</v>
      </c>
      <c r="K3049" s="28" t="s">
        <v>51</v>
      </c>
      <c r="L3049" s="28" t="s">
        <v>51</v>
      </c>
      <c r="M3049" s="28" t="s">
        <v>51</v>
      </c>
      <c r="N3049" s="28" t="s">
        <v>51</v>
      </c>
    </row>
    <row r="3050" spans="1:14" x14ac:dyDescent="0.15">
      <c r="A3050" s="23" t="str">
        <f>HYPERLINK("https://www.spark-marketing.ru/Card/Person/996127", "МКДОУ ДЕТСКИЙ САД № 6 ""ЁЛОЧКА""")</f>
        <v>МКДОУ ДЕТСКИЙ САД № 6 "ЁЛОЧКА"</v>
      </c>
      <c r="B3050" s="24" t="s">
        <v>5404</v>
      </c>
      <c r="C3050" s="25">
        <v>4672432</v>
      </c>
      <c r="D3050" s="22" t="s">
        <v>5405</v>
      </c>
      <c r="E3050" s="22" t="s">
        <v>48</v>
      </c>
      <c r="F3050" s="23" t="str">
        <f>HYPERLINK("https://www.spark-marketing.ru/Card/Lot/73401537", "Оказание услуг по организации питания воспитанников")</f>
        <v>Оказание услуг по организации питания воспитанников</v>
      </c>
      <c r="G3050" s="22" t="s">
        <v>49</v>
      </c>
      <c r="H3050" s="22" t="s">
        <v>180</v>
      </c>
      <c r="I3050" s="26">
        <v>43721.453472222202</v>
      </c>
      <c r="J3050" s="28" t="s">
        <v>51</v>
      </c>
      <c r="K3050" s="28" t="s">
        <v>51</v>
      </c>
      <c r="L3050" s="28" t="s">
        <v>51</v>
      </c>
      <c r="M3050" s="28" t="s">
        <v>51</v>
      </c>
      <c r="N3050" s="28" t="s">
        <v>51</v>
      </c>
    </row>
    <row r="3051" spans="1:14" x14ac:dyDescent="0.15">
      <c r="A3051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3051" s="24" t="s">
        <v>2604</v>
      </c>
      <c r="C3051" s="25">
        <v>28809.75</v>
      </c>
      <c r="D3051" s="22" t="s">
        <v>5406</v>
      </c>
      <c r="E3051" s="22" t="s">
        <v>48</v>
      </c>
      <c r="F3051" s="23" t="str">
        <f>HYPERLINK("https://www.spark-marketing.ru/Card/Lot/73390743",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3051" s="22" t="s">
        <v>1096</v>
      </c>
      <c r="H3051" s="22" t="s">
        <v>1097</v>
      </c>
      <c r="I3051" s="26">
        <v>43721.425694444399</v>
      </c>
      <c r="J3051" s="23" t="str">
        <f>HYPERLINK("https://www.spark-marketing.ru/Card/Person/168872", "МКОУ СОШ С. ЧУМИКАН")</f>
        <v>МКОУ СОШ С. ЧУМИКАН</v>
      </c>
      <c r="K3051" s="24" t="s">
        <v>5407</v>
      </c>
      <c r="L3051" s="22" t="s">
        <v>10</v>
      </c>
      <c r="M3051" s="28" t="s">
        <v>51</v>
      </c>
      <c r="N3051" s="28" t="s">
        <v>51</v>
      </c>
    </row>
    <row r="3052" spans="1:14" x14ac:dyDescent="0.15">
      <c r="A3052" s="23" t="str">
        <f>HYPERLINK("https://www.spark-marketing.ru/Card/Person/4637160", "ООО ""ГАЗПРОМНЕФТЬ-ОРЕНБУРГ""")</f>
        <v>ООО "ГАЗПРОМНЕФТЬ-ОРЕНБУРГ"</v>
      </c>
      <c r="B3052" s="24" t="s">
        <v>5408</v>
      </c>
      <c r="C3052" s="28" t="s">
        <v>51</v>
      </c>
      <c r="D3052" s="22" t="s">
        <v>5409</v>
      </c>
      <c r="E3052" s="22" t="s">
        <v>52</v>
      </c>
      <c r="F3052" s="23" t="str">
        <f>HYPERLINK("https://www.spark-marketing.ru/Card/Lot/73395777", "Организация горячего питания на месторождениях.")</f>
        <v>Организация горячего питания на месторождениях.</v>
      </c>
      <c r="G3052" s="22" t="s">
        <v>132</v>
      </c>
      <c r="H3052" s="22" t="s">
        <v>587</v>
      </c>
      <c r="I3052" s="26">
        <v>43721.427083333299</v>
      </c>
      <c r="J3052" s="28" t="s">
        <v>51</v>
      </c>
      <c r="K3052" s="28" t="s">
        <v>51</v>
      </c>
      <c r="L3052" s="28" t="s">
        <v>51</v>
      </c>
      <c r="M3052" s="28" t="s">
        <v>51</v>
      </c>
      <c r="N3052" s="28" t="s">
        <v>51</v>
      </c>
    </row>
    <row r="3053" spans="1:14" x14ac:dyDescent="0.15">
      <c r="A3053" s="23" t="str">
        <f>HYPERLINK("https://www.spark-marketing.ru/Card/Person/4637160", "ООО ""ГАЗПРОМНЕФТЬ-ОРЕНБУРГ""")</f>
        <v>ООО "ГАЗПРОМНЕФТЬ-ОРЕНБУРГ"</v>
      </c>
      <c r="B3053" s="24" t="s">
        <v>5408</v>
      </c>
      <c r="C3053" s="28" t="s">
        <v>51</v>
      </c>
      <c r="D3053" s="22" t="s">
        <v>5409</v>
      </c>
      <c r="E3053" s="22" t="s">
        <v>52</v>
      </c>
      <c r="F3053" s="23" t="str">
        <f>HYPERLINK("https://www.spark-marketing.ru/Card/Lot/73395778", "Организация горячего питания в столовой по адресу: ул. Краснознаменная, 56/1")</f>
        <v>Организация горячего питания в столовой по адресу: ул. Краснознаменная, 56/1</v>
      </c>
      <c r="G3053" s="22" t="s">
        <v>132</v>
      </c>
      <c r="H3053" s="22" t="s">
        <v>587</v>
      </c>
      <c r="I3053" s="26">
        <v>43721.427083333299</v>
      </c>
      <c r="J3053" s="28" t="s">
        <v>51</v>
      </c>
      <c r="K3053" s="28" t="s">
        <v>51</v>
      </c>
      <c r="L3053" s="28" t="s">
        <v>51</v>
      </c>
      <c r="M3053" s="28" t="s">
        <v>51</v>
      </c>
      <c r="N3053" s="28" t="s">
        <v>51</v>
      </c>
    </row>
    <row r="3054" spans="1:14" x14ac:dyDescent="0.15">
      <c r="A3054" s="23" t="str">
        <f>HYPERLINK("https://www.spark-marketing.ru/Card/Person/5898258", "ФЛ АЗОТ АО ОХК УРАЛХИМ В Г БЕРЕЗНИКИ")</f>
        <v>ФЛ АЗОТ АО ОХК УРАЛХИМ В Г БЕРЕЗНИКИ</v>
      </c>
      <c r="B3054" s="28" t="s">
        <v>51</v>
      </c>
      <c r="C3054" s="28" t="s">
        <v>51</v>
      </c>
      <c r="D3054" s="28" t="s">
        <v>51</v>
      </c>
      <c r="E3054" s="22" t="s">
        <v>52</v>
      </c>
      <c r="F3054" s="23" t="str">
        <f>HYPERLINK("https://www.spark-marketing.ru/Card/Lot/73395820", "Уведомление о проведении конкурентной процедуры в форме запроса предложений на оказание услуг по организации питания работников в 2020-2021 годах для филиала «Азот» АО «ОХК «УРАЛХИМ» в г. Березники.")</f>
        <v>Уведомление о проведении конкурентной процедуры в форме запроса предложений на оказание услуг по организации питания работников в 2020-2021 годах для филиала «Азот» АО «ОХК «УРАЛХИМ» в г. Березники.</v>
      </c>
      <c r="G3054" s="22" t="s">
        <v>51</v>
      </c>
      <c r="H3054" s="22" t="s">
        <v>51</v>
      </c>
      <c r="I3054" s="26">
        <v>43721.447222222203</v>
      </c>
      <c r="J3054" s="28" t="s">
        <v>51</v>
      </c>
      <c r="K3054" s="28" t="s">
        <v>51</v>
      </c>
      <c r="L3054" s="28" t="s">
        <v>51</v>
      </c>
      <c r="M3054" s="28" t="s">
        <v>51</v>
      </c>
      <c r="N3054" s="28" t="s">
        <v>51</v>
      </c>
    </row>
    <row r="3055" spans="1:14" x14ac:dyDescent="0.15">
      <c r="A3055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3055" s="24" t="s">
        <v>2604</v>
      </c>
      <c r="C3055" s="25">
        <v>26320</v>
      </c>
      <c r="D3055" s="22" t="s">
        <v>5410</v>
      </c>
      <c r="E3055" s="22" t="s">
        <v>48</v>
      </c>
      <c r="F3055" s="23" t="str">
        <f>HYPERLINK("https://www.spark-marketing.ru/Card/Lot/73390742",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3055" s="22" t="s">
        <v>1096</v>
      </c>
      <c r="H3055" s="22" t="s">
        <v>1097</v>
      </c>
      <c r="I3055" s="26">
        <v>43721.422222222202</v>
      </c>
      <c r="J3055" s="28" t="s">
        <v>51</v>
      </c>
      <c r="K3055" s="28" t="s">
        <v>51</v>
      </c>
      <c r="L3055" s="28" t="s">
        <v>51</v>
      </c>
      <c r="M3055" s="28" t="s">
        <v>51</v>
      </c>
      <c r="N3055" s="28" t="s">
        <v>51</v>
      </c>
    </row>
    <row r="3056" spans="1:14" x14ac:dyDescent="0.15">
      <c r="A3056" s="23" t="str">
        <f>HYPERLINK("https://www.spark-marketing.ru/Card/Person/70312", "МБДОУ ЦРР - ДЕТСКИЙ САД №4 ""ВЕСНУШКИ""")</f>
        <v>МБДОУ ЦРР - ДЕТСКИЙ САД №4 "ВЕСНУШКИ"</v>
      </c>
      <c r="B3056" s="24" t="s">
        <v>5411</v>
      </c>
      <c r="C3056" s="25">
        <v>20910836</v>
      </c>
      <c r="D3056" s="22" t="s">
        <v>5412</v>
      </c>
      <c r="E3056" s="22" t="s">
        <v>48</v>
      </c>
      <c r="F3056" s="23" t="str">
        <f>HYPERLINK("https://www.spark-marketing.ru/Card/Lot/73402081", "Оказание услуг по организации питания воспитанников")</f>
        <v>Оказание услуг по организации питания воспитанников</v>
      </c>
      <c r="G3056" s="22" t="s">
        <v>49</v>
      </c>
      <c r="H3056" s="22" t="s">
        <v>180</v>
      </c>
      <c r="I3056" s="26">
        <v>43721.453472222202</v>
      </c>
      <c r="J3056" s="28" t="s">
        <v>51</v>
      </c>
      <c r="K3056" s="28" t="s">
        <v>51</v>
      </c>
      <c r="L3056" s="28" t="s">
        <v>51</v>
      </c>
      <c r="M3056" s="28" t="s">
        <v>51</v>
      </c>
      <c r="N3056" s="28" t="s">
        <v>51</v>
      </c>
    </row>
    <row r="3057" spans="1:14" hidden="1" outlineLevel="1" x14ac:dyDescent="0.15">
      <c r="A3057" s="23" t="str">
        <f>HYPERLINK("https://www.spark-marketing.ru/Card/Person/70312", "МБДОУ ЦРР - ДЕТСКИЙ САД №4 ""ВЕСНУШКИ""")</f>
        <v>МБДОУ ЦРР - ДЕТСКИЙ САД №4 "ВЕСНУШКИ"</v>
      </c>
      <c r="B3057" s="24" t="s">
        <v>5411</v>
      </c>
      <c r="C3057" s="25">
        <v>20910836</v>
      </c>
      <c r="D3057" s="22" t="s">
        <v>5412</v>
      </c>
      <c r="E3057" s="22" t="s">
        <v>48</v>
      </c>
      <c r="F3057" s="23" t="str">
        <f>HYPERLINK("https://www.spark-marketing.ru/Card/Lot/73402081", "Оказание услуг по организации питания воспитанников")</f>
        <v>Оказание услуг по организации питания воспитанников</v>
      </c>
      <c r="G3057" s="22" t="s">
        <v>49</v>
      </c>
      <c r="H3057" s="22" t="s">
        <v>180</v>
      </c>
      <c r="I3057" s="26">
        <v>43721.453472222202</v>
      </c>
      <c r="J3057" s="23" t="str">
        <f>HYPERLINK("https://www.spark-marketing.ru/Card/Person/60153", "ООО МОЛОЧНЫЙ ЗАВОД ""НАРО-ФОМИНСКИЙ""")</f>
        <v>ООО МОЛОЧНЫЙ ЗАВОД "НАРО-ФОМИНСКИЙ"</v>
      </c>
      <c r="K3057" s="24" t="s">
        <v>5326</v>
      </c>
      <c r="L3057" s="28" t="s">
        <v>51</v>
      </c>
      <c r="M3057" s="28" t="s">
        <v>51</v>
      </c>
      <c r="N3057" s="28" t="s">
        <v>51</v>
      </c>
    </row>
    <row r="3058" spans="1:14" hidden="1" outlineLevel="1" x14ac:dyDescent="0.15">
      <c r="A3058" s="23" t="str">
        <f>HYPERLINK("https://www.spark-marketing.ru/Card/Person/70312", "МБДОУ ЦРР - ДЕТСКИЙ САД №4 ""ВЕСНУШКИ""")</f>
        <v>МБДОУ ЦРР - ДЕТСКИЙ САД №4 "ВЕСНУШКИ"</v>
      </c>
      <c r="B3058" s="24" t="s">
        <v>5411</v>
      </c>
      <c r="C3058" s="25">
        <v>20910836</v>
      </c>
      <c r="D3058" s="22" t="s">
        <v>5412</v>
      </c>
      <c r="E3058" s="22" t="s">
        <v>48</v>
      </c>
      <c r="F3058" s="23" t="str">
        <f>HYPERLINK("https://www.spark-marketing.ru/Card/Lot/73402081", "Оказание услуг по организации питания воспитанников")</f>
        <v>Оказание услуг по организации питания воспитанников</v>
      </c>
      <c r="G3058" s="22" t="s">
        <v>49</v>
      </c>
      <c r="H3058" s="22" t="s">
        <v>180</v>
      </c>
      <c r="I3058" s="26">
        <v>43721.453472222202</v>
      </c>
      <c r="J3058" s="23" t="str">
        <f>HYPERLINK("https://www.spark-marketing.ru/Card/Person/58232", "ООО ""АВАНГАРД""")</f>
        <v>ООО "АВАНГАРД"</v>
      </c>
      <c r="K3058" s="24" t="s">
        <v>5327</v>
      </c>
      <c r="L3058" s="28" t="s">
        <v>51</v>
      </c>
      <c r="M3058" s="28" t="s">
        <v>51</v>
      </c>
      <c r="N3058" s="28" t="s">
        <v>51</v>
      </c>
    </row>
    <row r="3059" spans="1:14" x14ac:dyDescent="0.15">
      <c r="A3059" s="23" t="str">
        <f>HYPERLINK("https://www.spark-marketing.ru/Card/Person/1005721", "МБДОУ ДЕТСКИЙ САД № 44 ""ЮНГА""")</f>
        <v>МБДОУ ДЕТСКИЙ САД № 44 "ЮНГА"</v>
      </c>
      <c r="B3059" s="24" t="s">
        <v>5413</v>
      </c>
      <c r="C3059" s="25">
        <v>8126818</v>
      </c>
      <c r="D3059" s="22" t="s">
        <v>5414</v>
      </c>
      <c r="E3059" s="22" t="s">
        <v>48</v>
      </c>
      <c r="F3059" s="23" t="str">
        <f>HYPERLINK("https://www.spark-marketing.ru/Card/Lot/73402083", "Оказание услуг по организации питания воспитанников")</f>
        <v>Оказание услуг по организации питания воспитанников</v>
      </c>
      <c r="G3059" s="22" t="s">
        <v>49</v>
      </c>
      <c r="H3059" s="22" t="s">
        <v>180</v>
      </c>
      <c r="I3059" s="26">
        <v>43721.454861111102</v>
      </c>
      <c r="J3059" s="28" t="s">
        <v>51</v>
      </c>
      <c r="K3059" s="28" t="s">
        <v>51</v>
      </c>
      <c r="L3059" s="28" t="s">
        <v>51</v>
      </c>
      <c r="M3059" s="28" t="s">
        <v>51</v>
      </c>
      <c r="N3059" s="28" t="s">
        <v>51</v>
      </c>
    </row>
    <row r="3060" spans="1:14" x14ac:dyDescent="0.15">
      <c r="A3060" s="23" t="str">
        <f>HYPERLINK("https://www.spark-marketing.ru/Card/Person/1031945", "МАДОУ ДЕТСКИЙ САД №10 ""КОЛОКОЛЬЧИК""")</f>
        <v>МАДОУ ДЕТСКИЙ САД №10 "КОЛОКОЛЬЧИК"</v>
      </c>
      <c r="B3060" s="24" t="s">
        <v>5415</v>
      </c>
      <c r="C3060" s="25">
        <v>12232592</v>
      </c>
      <c r="D3060" s="22" t="s">
        <v>5416</v>
      </c>
      <c r="E3060" s="22" t="s">
        <v>48</v>
      </c>
      <c r="F3060" s="23" t="str">
        <f>HYPERLINK("https://www.spark-marketing.ru/Card/Lot/73402085", "Оказание услуг по организации питания воспитанников")</f>
        <v>Оказание услуг по организации питания воспитанников</v>
      </c>
      <c r="G3060" s="22" t="s">
        <v>49</v>
      </c>
      <c r="H3060" s="22" t="s">
        <v>180</v>
      </c>
      <c r="I3060" s="26">
        <v>43721.453472222202</v>
      </c>
      <c r="J3060" s="28" t="s">
        <v>51</v>
      </c>
      <c r="K3060" s="28" t="s">
        <v>51</v>
      </c>
      <c r="L3060" s="28" t="s">
        <v>51</v>
      </c>
      <c r="M3060" s="28" t="s">
        <v>51</v>
      </c>
      <c r="N3060" s="28" t="s">
        <v>51</v>
      </c>
    </row>
    <row r="3061" spans="1:14" x14ac:dyDescent="0.15">
      <c r="A3061" s="23" t="str">
        <f>HYPERLINK("https://www.spark-marketing.ru/Card/Person/70685", "МБДОУ ЦРР-ДЕТСКИЙ САД №37")</f>
        <v>МБДОУ ЦРР-ДЕТСКИЙ САД №37</v>
      </c>
      <c r="B3061" s="24" t="s">
        <v>5417</v>
      </c>
      <c r="C3061" s="25">
        <v>17409972</v>
      </c>
      <c r="D3061" s="22" t="s">
        <v>5418</v>
      </c>
      <c r="E3061" s="22" t="s">
        <v>48</v>
      </c>
      <c r="F3061" s="23" t="str">
        <f>HYPERLINK("https://www.spark-marketing.ru/Card/Lot/73401547", "Оказание услуг по организации питания воспитанников")</f>
        <v>Оказание услуг по организации питания воспитанников</v>
      </c>
      <c r="G3061" s="22" t="s">
        <v>49</v>
      </c>
      <c r="H3061" s="22" t="s">
        <v>180</v>
      </c>
      <c r="I3061" s="26">
        <v>43721.453472222202</v>
      </c>
      <c r="J3061" s="28" t="s">
        <v>51</v>
      </c>
      <c r="K3061" s="28" t="s">
        <v>51</v>
      </c>
      <c r="L3061" s="28" t="s">
        <v>51</v>
      </c>
      <c r="M3061" s="28" t="s">
        <v>51</v>
      </c>
      <c r="N3061" s="28" t="s">
        <v>51</v>
      </c>
    </row>
    <row r="3062" spans="1:14" hidden="1" outlineLevel="1" x14ac:dyDescent="0.15">
      <c r="A3062" s="23" t="str">
        <f>HYPERLINK("https://www.spark-marketing.ru/Card/Person/70685", "МБДОУ ЦРР-ДЕТСКИЙ САД №37")</f>
        <v>МБДОУ ЦРР-ДЕТСКИЙ САД №37</v>
      </c>
      <c r="B3062" s="24" t="s">
        <v>5417</v>
      </c>
      <c r="C3062" s="25">
        <v>17409972</v>
      </c>
      <c r="D3062" s="22" t="s">
        <v>5418</v>
      </c>
      <c r="E3062" s="22" t="s">
        <v>48</v>
      </c>
      <c r="F3062" s="23" t="str">
        <f>HYPERLINK("https://www.spark-marketing.ru/Card/Lot/73401547", "Оказание услуг по организации питания воспитанников")</f>
        <v>Оказание услуг по организации питания воспитанников</v>
      </c>
      <c r="G3062" s="22" t="s">
        <v>49</v>
      </c>
      <c r="H3062" s="22" t="s">
        <v>180</v>
      </c>
      <c r="I3062" s="26">
        <v>43721.453472222202</v>
      </c>
      <c r="J3062" s="23" t="str">
        <f>HYPERLINK("https://www.spark-marketing.ru/Card/Person/60153", "ООО МОЛОЧНЫЙ ЗАВОД ""НАРО-ФОМИНСКИЙ""")</f>
        <v>ООО МОЛОЧНЫЙ ЗАВОД "НАРО-ФОМИНСКИЙ"</v>
      </c>
      <c r="K3062" s="24" t="s">
        <v>5326</v>
      </c>
      <c r="L3062" s="28" t="s">
        <v>51</v>
      </c>
      <c r="M3062" s="28" t="s">
        <v>51</v>
      </c>
      <c r="N3062" s="28" t="s">
        <v>51</v>
      </c>
    </row>
    <row r="3063" spans="1:14" hidden="1" outlineLevel="1" x14ac:dyDescent="0.15">
      <c r="A3063" s="23" t="str">
        <f>HYPERLINK("https://www.spark-marketing.ru/Card/Person/70685", "МБДОУ ЦРР-ДЕТСКИЙ САД №37")</f>
        <v>МБДОУ ЦРР-ДЕТСКИЙ САД №37</v>
      </c>
      <c r="B3063" s="24" t="s">
        <v>5417</v>
      </c>
      <c r="C3063" s="25">
        <v>17409972</v>
      </c>
      <c r="D3063" s="22" t="s">
        <v>5418</v>
      </c>
      <c r="E3063" s="22" t="s">
        <v>48</v>
      </c>
      <c r="F3063" s="23" t="str">
        <f>HYPERLINK("https://www.spark-marketing.ru/Card/Lot/73401547", "Оказание услуг по организации питания воспитанников")</f>
        <v>Оказание услуг по организации питания воспитанников</v>
      </c>
      <c r="G3063" s="22" t="s">
        <v>49</v>
      </c>
      <c r="H3063" s="22" t="s">
        <v>180</v>
      </c>
      <c r="I3063" s="26">
        <v>43721.453472222202</v>
      </c>
      <c r="J3063" s="23" t="str">
        <f>HYPERLINK("https://www.spark-marketing.ru/Card/Person/58232", "ООО ""АВАНГАРД""")</f>
        <v>ООО "АВАНГАРД"</v>
      </c>
      <c r="K3063" s="24" t="s">
        <v>5327</v>
      </c>
      <c r="L3063" s="28" t="s">
        <v>51</v>
      </c>
      <c r="M3063" s="28" t="s">
        <v>51</v>
      </c>
      <c r="N3063" s="28" t="s">
        <v>51</v>
      </c>
    </row>
    <row r="3064" spans="1:14" hidden="1" outlineLevel="1" x14ac:dyDescent="0.15">
      <c r="A3064" s="23" t="str">
        <f>HYPERLINK("https://www.spark-marketing.ru/Card/Person/70685", "МБДОУ ЦРР-ДЕТСКИЙ САД №37")</f>
        <v>МБДОУ ЦРР-ДЕТСКИЙ САД №37</v>
      </c>
      <c r="B3064" s="24" t="s">
        <v>5417</v>
      </c>
      <c r="C3064" s="25">
        <v>17409972</v>
      </c>
      <c r="D3064" s="22" t="s">
        <v>5418</v>
      </c>
      <c r="E3064" s="22" t="s">
        <v>48</v>
      </c>
      <c r="F3064" s="23" t="str">
        <f>HYPERLINK("https://www.spark-marketing.ru/Card/Lot/73401547", "Оказание услуг по организации питания воспитанников")</f>
        <v>Оказание услуг по организации питания воспитанников</v>
      </c>
      <c r="G3064" s="22" t="s">
        <v>49</v>
      </c>
      <c r="H3064" s="22" t="s">
        <v>180</v>
      </c>
      <c r="I3064" s="26">
        <v>43721.453472222202</v>
      </c>
      <c r="J3064" s="23" t="str">
        <f>HYPERLINK("https://www.spark-marketing.ru/Card/Person/4890181", "ООО ""БОЛЬШАЯ ПЕРЕМЕНА""")</f>
        <v>ООО "БОЛЬШАЯ ПЕРЕМЕНА"</v>
      </c>
      <c r="K3064" s="24" t="s">
        <v>5419</v>
      </c>
      <c r="L3064" s="28" t="s">
        <v>51</v>
      </c>
      <c r="M3064" s="28" t="s">
        <v>51</v>
      </c>
      <c r="N3064" s="28" t="s">
        <v>51</v>
      </c>
    </row>
    <row r="3065" spans="1:14" x14ac:dyDescent="0.15">
      <c r="A3065" s="23" t="str">
        <f>HYPERLINK("https://www.spark-marketing.ru/Card/Person/1030379", "МАДОУ ДЕТСКИЙ САД №25 ""МАТРЁШКА""")</f>
        <v>МАДОУ ДЕТСКИЙ САД №25 "МАТРЁШКА"</v>
      </c>
      <c r="B3065" s="24" t="s">
        <v>5420</v>
      </c>
      <c r="C3065" s="25">
        <v>20021594</v>
      </c>
      <c r="D3065" s="22" t="s">
        <v>5421</v>
      </c>
      <c r="E3065" s="22" t="s">
        <v>48</v>
      </c>
      <c r="F3065" s="23" t="str">
        <f>HYPERLINK("https://www.spark-marketing.ru/Card/Lot/73402084", "Оказание услуг по организации питания воспитанников")</f>
        <v>Оказание услуг по организации питания воспитанников</v>
      </c>
      <c r="G3065" s="22" t="s">
        <v>49</v>
      </c>
      <c r="H3065" s="22" t="s">
        <v>180</v>
      </c>
      <c r="I3065" s="26">
        <v>43721.453472222202</v>
      </c>
      <c r="J3065" s="28" t="s">
        <v>51</v>
      </c>
      <c r="K3065" s="28" t="s">
        <v>51</v>
      </c>
      <c r="L3065" s="28" t="s">
        <v>51</v>
      </c>
      <c r="M3065" s="28" t="s">
        <v>51</v>
      </c>
      <c r="N3065" s="28" t="s">
        <v>51</v>
      </c>
    </row>
    <row r="3066" spans="1:14" hidden="1" outlineLevel="1" x14ac:dyDescent="0.15">
      <c r="A3066" s="23" t="str">
        <f>HYPERLINK("https://www.spark-marketing.ru/Card/Person/1030379", "МАДОУ ДЕТСКИЙ САД №25 ""МАТРЁШКА""")</f>
        <v>МАДОУ ДЕТСКИЙ САД №25 "МАТРЁШКА"</v>
      </c>
      <c r="B3066" s="24" t="s">
        <v>5420</v>
      </c>
      <c r="C3066" s="25">
        <v>20021594</v>
      </c>
      <c r="D3066" s="22" t="s">
        <v>5421</v>
      </c>
      <c r="E3066" s="22" t="s">
        <v>48</v>
      </c>
      <c r="F3066" s="23" t="str">
        <f>HYPERLINK("https://www.spark-marketing.ru/Card/Lot/73402084", "Оказание услуг по организации питания воспитанников")</f>
        <v>Оказание услуг по организации питания воспитанников</v>
      </c>
      <c r="G3066" s="22" t="s">
        <v>49</v>
      </c>
      <c r="H3066" s="22" t="s">
        <v>180</v>
      </c>
      <c r="I3066" s="26">
        <v>43721.453472222202</v>
      </c>
      <c r="J3066" s="23" t="str">
        <f>HYPERLINK("https://www.spark-marketing.ru/Card/Person/60153", "ООО МОЛОЧНЫЙ ЗАВОД ""НАРО-ФОМИНСКИЙ""")</f>
        <v>ООО МОЛОЧНЫЙ ЗАВОД "НАРО-ФОМИНСКИЙ"</v>
      </c>
      <c r="K3066" s="24" t="s">
        <v>5326</v>
      </c>
      <c r="L3066" s="28" t="s">
        <v>51</v>
      </c>
      <c r="M3066" s="28" t="s">
        <v>51</v>
      </c>
      <c r="N3066" s="28" t="s">
        <v>51</v>
      </c>
    </row>
    <row r="3067" spans="1:14" hidden="1" outlineLevel="1" x14ac:dyDescent="0.15">
      <c r="A3067" s="23" t="str">
        <f>HYPERLINK("https://www.spark-marketing.ru/Card/Person/1030379", "МАДОУ ДЕТСКИЙ САД №25 ""МАТРЁШКА""")</f>
        <v>МАДОУ ДЕТСКИЙ САД №25 "МАТРЁШКА"</v>
      </c>
      <c r="B3067" s="24" t="s">
        <v>5420</v>
      </c>
      <c r="C3067" s="25">
        <v>20021594</v>
      </c>
      <c r="D3067" s="22" t="s">
        <v>5421</v>
      </c>
      <c r="E3067" s="22" t="s">
        <v>48</v>
      </c>
      <c r="F3067" s="23" t="str">
        <f>HYPERLINK("https://www.spark-marketing.ru/Card/Lot/73402084", "Оказание услуг по организации питания воспитанников")</f>
        <v>Оказание услуг по организации питания воспитанников</v>
      </c>
      <c r="G3067" s="22" t="s">
        <v>49</v>
      </c>
      <c r="H3067" s="22" t="s">
        <v>180</v>
      </c>
      <c r="I3067" s="26">
        <v>43721.453472222202</v>
      </c>
      <c r="J3067" s="23" t="str">
        <f>HYPERLINK("https://www.spark-marketing.ru/Card/Person/58232", "ООО ""АВАНГАРД""")</f>
        <v>ООО "АВАНГАРД"</v>
      </c>
      <c r="K3067" s="24" t="s">
        <v>5327</v>
      </c>
      <c r="L3067" s="28" t="s">
        <v>51</v>
      </c>
      <c r="M3067" s="28" t="s">
        <v>51</v>
      </c>
      <c r="N3067" s="28" t="s">
        <v>51</v>
      </c>
    </row>
    <row r="3068" spans="1:14" hidden="1" outlineLevel="1" x14ac:dyDescent="0.15">
      <c r="A3068" s="23" t="str">
        <f>HYPERLINK("https://www.spark-marketing.ru/Card/Person/1030379", "МАДОУ ДЕТСКИЙ САД №25 ""МАТРЁШКА""")</f>
        <v>МАДОУ ДЕТСКИЙ САД №25 "МАТРЁШКА"</v>
      </c>
      <c r="B3068" s="24" t="s">
        <v>5420</v>
      </c>
      <c r="C3068" s="25">
        <v>20021594</v>
      </c>
      <c r="D3068" s="22" t="s">
        <v>5421</v>
      </c>
      <c r="E3068" s="22" t="s">
        <v>48</v>
      </c>
      <c r="F3068" s="23" t="str">
        <f>HYPERLINK("https://www.spark-marketing.ru/Card/Lot/73402084", "Оказание услуг по организации питания воспитанников")</f>
        <v>Оказание услуг по организации питания воспитанников</v>
      </c>
      <c r="G3068" s="22" t="s">
        <v>49</v>
      </c>
      <c r="H3068" s="22" t="s">
        <v>180</v>
      </c>
      <c r="I3068" s="26">
        <v>43721.453472222202</v>
      </c>
      <c r="J3068" s="23" t="str">
        <f>HYPERLINK("https://www.spark-marketing.ru/Card/Person/4890181", "ООО ""БОЛЬШАЯ ПЕРЕМЕНА""")</f>
        <v>ООО "БОЛЬШАЯ ПЕРЕМЕНА"</v>
      </c>
      <c r="K3068" s="24" t="s">
        <v>5419</v>
      </c>
      <c r="L3068" s="28" t="s">
        <v>51</v>
      </c>
      <c r="M3068" s="28" t="s">
        <v>51</v>
      </c>
      <c r="N3068" s="28" t="s">
        <v>51</v>
      </c>
    </row>
    <row r="3069" spans="1:14" x14ac:dyDescent="0.15">
      <c r="A3069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3069" s="24" t="s">
        <v>2604</v>
      </c>
      <c r="C3069" s="25">
        <v>38413</v>
      </c>
      <c r="D3069" s="22" t="s">
        <v>5422</v>
      </c>
      <c r="E3069" s="22" t="s">
        <v>48</v>
      </c>
      <c r="F3069" s="23" t="str">
        <f>HYPERLINK("https://www.spark-marketing.ru/Card/Lot/73390710",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3069" s="22" t="s">
        <v>1096</v>
      </c>
      <c r="H3069" s="22" t="s">
        <v>1097</v>
      </c>
      <c r="I3069" s="26">
        <v>43721.436111111099</v>
      </c>
      <c r="J3069" s="23" t="str">
        <f>HYPERLINK("https://www.spark-marketing.ru/Card/Person/4379673", "МКОУ ООШ С. ТУГУР")</f>
        <v>МКОУ ООШ С. ТУГУР</v>
      </c>
      <c r="K3069" s="24" t="s">
        <v>5423</v>
      </c>
      <c r="L3069" s="22" t="s">
        <v>10</v>
      </c>
      <c r="M3069" s="28" t="s">
        <v>51</v>
      </c>
      <c r="N3069" s="28" t="s">
        <v>51</v>
      </c>
    </row>
    <row r="3070" spans="1:14" x14ac:dyDescent="0.15">
      <c r="A3070" s="23" t="str">
        <f>HYPERLINK("https://www.spark-marketing.ru/Card/Person/1005091", "МБДОУ ДЕТСКИЙ САД №47 ОБЩЕРАЗВИВАЮЩЕГО ВИДА ""ЗОЛОТАЯ РЫБКА""")</f>
        <v>МБДОУ ДЕТСКИЙ САД №47 ОБЩЕРАЗВИВАЮЩЕГО ВИДА "ЗОЛОТАЯ РЫБКА"</v>
      </c>
      <c r="B3070" s="24" t="s">
        <v>5424</v>
      </c>
      <c r="C3070" s="25">
        <v>15567056</v>
      </c>
      <c r="D3070" s="22" t="s">
        <v>5425</v>
      </c>
      <c r="E3070" s="22" t="s">
        <v>48</v>
      </c>
      <c r="F3070" s="23" t="str">
        <f>HYPERLINK("https://www.spark-marketing.ru/Card/Lot/73401545", "Оказание услуг по организации питания воспитанников")</f>
        <v>Оказание услуг по организации питания воспитанников</v>
      </c>
      <c r="G3070" s="22" t="s">
        <v>49</v>
      </c>
      <c r="H3070" s="22" t="s">
        <v>180</v>
      </c>
      <c r="I3070" s="26">
        <v>43721.453472222202</v>
      </c>
      <c r="J3070" s="28" t="s">
        <v>51</v>
      </c>
      <c r="K3070" s="28" t="s">
        <v>51</v>
      </c>
      <c r="L3070" s="28" t="s">
        <v>51</v>
      </c>
      <c r="M3070" s="28" t="s">
        <v>51</v>
      </c>
      <c r="N3070" s="28" t="s">
        <v>51</v>
      </c>
    </row>
    <row r="3071" spans="1:14" x14ac:dyDescent="0.15">
      <c r="A3071" s="23" t="str">
        <f>HYPERLINK("https://www.spark-marketing.ru/Card/Person/70495", "ОМВД РОССИИ ПО АРТЕМОВСКОМУ РАЙОНУ")</f>
        <v>ОМВД РОССИИ ПО АРТЕМОВСКОМУ РАЙОНУ</v>
      </c>
      <c r="B3071" s="24" t="s">
        <v>3231</v>
      </c>
      <c r="C3071" s="25">
        <v>88000</v>
      </c>
      <c r="D3071" s="22" t="s">
        <v>5426</v>
      </c>
      <c r="E3071" s="22" t="s">
        <v>96</v>
      </c>
      <c r="F3071" s="23" t="str">
        <f>HYPERLINK("https://www.spark-marketing.ru/Card/Lot/73393793", "Оказание услуг по организации питания (приготовлению и доставке), 220 шт")</f>
        <v>Оказание услуг по организации питания (приготовлению и доставке), 220 шт</v>
      </c>
      <c r="G3071" s="22" t="s">
        <v>174</v>
      </c>
      <c r="H3071" s="22" t="s">
        <v>3233</v>
      </c>
      <c r="I3071" s="26">
        <v>43721.395243055602</v>
      </c>
      <c r="J3071" s="28" t="s">
        <v>51</v>
      </c>
      <c r="K3071" s="28" t="s">
        <v>51</v>
      </c>
      <c r="L3071" s="28" t="s">
        <v>51</v>
      </c>
      <c r="M3071" s="28" t="s">
        <v>51</v>
      </c>
      <c r="N3071" s="28" t="s">
        <v>51</v>
      </c>
    </row>
    <row r="3072" spans="1:14" x14ac:dyDescent="0.15">
      <c r="A3072" s="23" t="str">
        <f>HYPERLINK("https://www.spark-marketing.ru/Card/Person/1005464", "МБДОУ ДЕТСКИЙ САД №43 ""РЯБИНКА""")</f>
        <v>МБДОУ ДЕТСКИЙ САД №43 "РЯБИНКА"</v>
      </c>
      <c r="B3072" s="24" t="s">
        <v>5427</v>
      </c>
      <c r="C3072" s="25">
        <v>9870440</v>
      </c>
      <c r="D3072" s="22" t="s">
        <v>5428</v>
      </c>
      <c r="E3072" s="22" t="s">
        <v>48</v>
      </c>
      <c r="F3072" s="23" t="str">
        <f>HYPERLINK("https://www.spark-marketing.ru/Card/Lot/73397238", "Оказание услуг по организации питания воспитанников")</f>
        <v>Оказание услуг по организации питания воспитанников</v>
      </c>
      <c r="G3072" s="22" t="s">
        <v>49</v>
      </c>
      <c r="H3072" s="22" t="s">
        <v>180</v>
      </c>
      <c r="I3072" s="26">
        <v>43721.407638888901</v>
      </c>
      <c r="J3072" s="28" t="s">
        <v>51</v>
      </c>
      <c r="K3072" s="28" t="s">
        <v>51</v>
      </c>
      <c r="L3072" s="28" t="s">
        <v>51</v>
      </c>
      <c r="M3072" s="28" t="s">
        <v>51</v>
      </c>
      <c r="N3072" s="28" t="s">
        <v>51</v>
      </c>
    </row>
    <row r="3073" spans="1:14" x14ac:dyDescent="0.15">
      <c r="A3073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3073" s="24" t="s">
        <v>2604</v>
      </c>
      <c r="C3073" s="25">
        <v>38413</v>
      </c>
      <c r="D3073" s="22" t="s">
        <v>5429</v>
      </c>
      <c r="E3073" s="22" t="s">
        <v>48</v>
      </c>
      <c r="F3073" s="23" t="str">
        <f>HYPERLINK("https://www.spark-marketing.ru/Card/Lot/73390363",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3073" s="22" t="s">
        <v>1096</v>
      </c>
      <c r="H3073" s="22" t="s">
        <v>1097</v>
      </c>
      <c r="I3073" s="26">
        <v>43721.392361111102</v>
      </c>
      <c r="J3073" s="23" t="str">
        <f>HYPERLINK("https://www.spark-marketing.ru/Card/Person/4377201", "МКОУ ООШ С. УДСКОЕ")</f>
        <v>МКОУ ООШ С. УДСКОЕ</v>
      </c>
      <c r="K3073" s="24" t="s">
        <v>5430</v>
      </c>
      <c r="L3073" s="22" t="s">
        <v>10</v>
      </c>
      <c r="M3073" s="28" t="s">
        <v>51</v>
      </c>
      <c r="N3073" s="28" t="s">
        <v>51</v>
      </c>
    </row>
    <row r="3074" spans="1:14" x14ac:dyDescent="0.15">
      <c r="A3074" s="23" t="str">
        <f>HYPERLINK("https://www.spark-marketing.ru/Card/Person/1029606", "МДОУ ДЕТСКИЙ САД ОБЩЕРАЗВИВАЮЩЕГО ВИДА №1 ""АЛЕНЬКИЙ ЦВЕТОЧЕК""")</f>
        <v>МДОУ ДЕТСКИЙ САД ОБЩЕРАЗВИВАЮЩЕГО ВИДА №1 "АЛЕНЬКИЙ ЦВЕТОЧЕК"</v>
      </c>
      <c r="B3074" s="24" t="s">
        <v>5431</v>
      </c>
      <c r="C3074" s="25">
        <v>7267456</v>
      </c>
      <c r="D3074" s="22" t="s">
        <v>5432</v>
      </c>
      <c r="E3074" s="22" t="s">
        <v>48</v>
      </c>
      <c r="F3074" s="23" t="str">
        <f>HYPERLINK("https://www.spark-marketing.ru/Card/Lot/73397065", "Оказание услуг по организации питания воспитанников")</f>
        <v>Оказание услуг по организации питания воспитанников</v>
      </c>
      <c r="G3074" s="22" t="s">
        <v>49</v>
      </c>
      <c r="H3074" s="22" t="s">
        <v>180</v>
      </c>
      <c r="I3074" s="26">
        <v>43721.4152777778</v>
      </c>
      <c r="J3074" s="28" t="s">
        <v>51</v>
      </c>
      <c r="K3074" s="28" t="s">
        <v>51</v>
      </c>
      <c r="L3074" s="28" t="s">
        <v>51</v>
      </c>
      <c r="M3074" s="28" t="s">
        <v>51</v>
      </c>
      <c r="N3074" s="28" t="s">
        <v>51</v>
      </c>
    </row>
    <row r="3075" spans="1:14" x14ac:dyDescent="0.15">
      <c r="A3075" s="23" t="str">
        <f>HYPERLINK("https://www.spark-marketing.ru/Card/Person/9849", "ГБУ ""ХОЗУ""")</f>
        <v>ГБУ "ХОЗУ"</v>
      </c>
      <c r="B3075" s="24" t="s">
        <v>1532</v>
      </c>
      <c r="C3075" s="25">
        <v>1027376.67</v>
      </c>
      <c r="D3075" s="22" t="s">
        <v>5433</v>
      </c>
      <c r="E3075" s="22" t="s">
        <v>51</v>
      </c>
      <c r="F3075" s="23" t="str">
        <f>HYPERLINK("https://www.spark-marketing.ru/Card/Lot/73390043", "Оказание услуг по организации питания и обслуживанию мероприятий")</f>
        <v>Оказание услуг по организации питания и обслуживанию мероприятий</v>
      </c>
      <c r="G3075" s="22" t="s">
        <v>543</v>
      </c>
      <c r="H3075" s="22" t="s">
        <v>543</v>
      </c>
      <c r="I3075" s="26">
        <v>43721.394444444399</v>
      </c>
      <c r="J3075" s="23" t="str">
        <f>HYPERLINK("https://www.spark-marketing.ru/Card/Person/2548612", "ООО ""ШОКОЛАД""")</f>
        <v>ООО "ШОКОЛАД"</v>
      </c>
      <c r="K3075" s="24" t="s">
        <v>5434</v>
      </c>
      <c r="L3075" s="28" t="s">
        <v>51</v>
      </c>
      <c r="M3075" s="28" t="s">
        <v>51</v>
      </c>
      <c r="N3075" s="28" t="s">
        <v>51</v>
      </c>
    </row>
    <row r="3076" spans="1:14" hidden="1" outlineLevel="1" x14ac:dyDescent="0.15">
      <c r="A3076" s="23" t="str">
        <f>HYPERLINK("https://www.spark-marketing.ru/Card/Person/9849", "ГБУ ""ХОЗУ""")</f>
        <v>ГБУ "ХОЗУ"</v>
      </c>
      <c r="B3076" s="24" t="s">
        <v>1532</v>
      </c>
      <c r="C3076" s="25">
        <v>1027376.67</v>
      </c>
      <c r="D3076" s="22" t="s">
        <v>5433</v>
      </c>
      <c r="E3076" s="22" t="s">
        <v>51</v>
      </c>
      <c r="F3076" s="23" t="str">
        <f>HYPERLINK("https://www.spark-marketing.ru/Card/Lot/73390043", "Оказание услуг по организации питания и обслуживанию мероприятий")</f>
        <v>Оказание услуг по организации питания и обслуживанию мероприятий</v>
      </c>
      <c r="G3076" s="22" t="s">
        <v>543</v>
      </c>
      <c r="H3076" s="22" t="s">
        <v>543</v>
      </c>
      <c r="I3076" s="26">
        <v>43721.394444444399</v>
      </c>
      <c r="J3076" s="23" t="str">
        <f>HYPERLINK("https://www.spark-marketing.ru/Card/Person/2548612", "ООО ""ШОКОЛАД""")</f>
        <v>ООО "ШОКОЛАД"</v>
      </c>
      <c r="K3076" s="24" t="s">
        <v>5434</v>
      </c>
      <c r="L3076" s="22" t="s">
        <v>10</v>
      </c>
      <c r="M3076" s="28" t="s">
        <v>51</v>
      </c>
      <c r="N3076" s="28" t="s">
        <v>51</v>
      </c>
    </row>
    <row r="3077" spans="1:14" x14ac:dyDescent="0.15">
      <c r="A3077" s="23" t="str">
        <f>HYPERLINK("https://www.spark-marketing.ru/Card/Person/1045457", "ОМВД РОССИИ ПО ГОРОДСКОМУ ОКРУГУ ""АЛЕКСАНДРОВСК-САХАЛИНСКИЙ РАЙОН""")</f>
        <v>ОМВД РОССИИ ПО ГОРОДСКОМУ ОКРУГУ "АЛЕКСАНДРОВСК-САХАЛИНСКИЙ РАЙОН"</v>
      </c>
      <c r="B3077" s="24" t="s">
        <v>5435</v>
      </c>
      <c r="C3077" s="25">
        <v>758000</v>
      </c>
      <c r="D3077" s="22" t="s">
        <v>5436</v>
      </c>
      <c r="E3077" s="22" t="s">
        <v>48</v>
      </c>
      <c r="F3077" s="23" t="str">
        <f>HYPERLINK("https://www.spark-marketing.ru/Card/Lot/73390128", "услуги по питанию ИВС")</f>
        <v>услуги по питанию ИВС</v>
      </c>
      <c r="G3077" s="22" t="s">
        <v>260</v>
      </c>
      <c r="H3077" s="22" t="s">
        <v>5437</v>
      </c>
      <c r="I3077" s="26">
        <v>43721.378472222197</v>
      </c>
      <c r="J3077" s="23" t="str">
        <f>HYPERLINK("https://www.spark-marketing.ru/Card/Person/1475624", "Николаева Людмила Валерьевна")</f>
        <v>Николаева Людмила Валерьевна</v>
      </c>
      <c r="K3077" s="24" t="s">
        <v>5438</v>
      </c>
      <c r="L3077" s="22" t="s">
        <v>10</v>
      </c>
      <c r="M3077" s="28" t="s">
        <v>51</v>
      </c>
      <c r="N3077" s="28" t="s">
        <v>51</v>
      </c>
    </row>
    <row r="3078" spans="1:14" x14ac:dyDescent="0.15">
      <c r="A3078" s="23" t="str">
        <f>HYPERLINK("https://www.spark-marketing.ru/Card/Person/1005009", "МДОУ ДЕТСКИЙ САД ОБЩЕРАЗВИВАЮЩЕГО ВИДА №30 ""ЗОЛУШКА""")</f>
        <v>МДОУ ДЕТСКИЙ САД ОБЩЕРАЗВИВАЮЩЕГО ВИДА №30 "ЗОЛУШКА"</v>
      </c>
      <c r="B3078" s="24" t="s">
        <v>5439</v>
      </c>
      <c r="C3078" s="25">
        <v>7860750</v>
      </c>
      <c r="D3078" s="22" t="s">
        <v>5440</v>
      </c>
      <c r="E3078" s="22" t="s">
        <v>48</v>
      </c>
      <c r="F3078" s="23" t="str">
        <f>HYPERLINK("https://www.spark-marketing.ru/Card/Lot/73397204", "Оказание услуг по организации питания воспитанников")</f>
        <v>Оказание услуг по организации питания воспитанников</v>
      </c>
      <c r="G3078" s="22" t="s">
        <v>49</v>
      </c>
      <c r="H3078" s="22" t="s">
        <v>180</v>
      </c>
      <c r="I3078" s="26">
        <v>43721.390277777798</v>
      </c>
      <c r="J3078" s="28" t="s">
        <v>51</v>
      </c>
      <c r="K3078" s="28" t="s">
        <v>51</v>
      </c>
      <c r="L3078" s="28" t="s">
        <v>51</v>
      </c>
      <c r="M3078" s="28" t="s">
        <v>51</v>
      </c>
      <c r="N3078" s="28" t="s">
        <v>51</v>
      </c>
    </row>
    <row r="3079" spans="1:14" x14ac:dyDescent="0.15">
      <c r="A3079" s="23" t="str">
        <f>HYPERLINK("https://www.spark-marketing.ru/Card/Person/80177", "ГБУЗ ПК ""ПОЛАЗНЕНСКАЯ РБ""")</f>
        <v>ГБУЗ ПК "ПОЛАЗНЕНСКАЯ РБ"</v>
      </c>
      <c r="B3079" s="24" t="s">
        <v>5441</v>
      </c>
      <c r="C3079" s="25">
        <v>1401853.8</v>
      </c>
      <c r="D3079" s="22" t="s">
        <v>5442</v>
      </c>
      <c r="E3079" s="22" t="s">
        <v>96</v>
      </c>
      <c r="F3079" s="23" t="str">
        <f>HYPERLINK("https://www.spark-marketing.ru/Card/Lot/73393175", "Оказание услуг по организации лечебного питания для пациентов ГБУЗ ПК «Полазненская районная больница», находящихся на стационарном лечении")</f>
        <v>Оказание услуг по организации лечебного питания для пациентов ГБУЗ ПК «Полазненская районная больница», находящихся на стационарном лечении</v>
      </c>
      <c r="G3079" s="22" t="s">
        <v>153</v>
      </c>
      <c r="H3079" s="22" t="s">
        <v>153</v>
      </c>
      <c r="I3079" s="26">
        <v>43721.382638888899</v>
      </c>
      <c r="J3079" s="23" t="str">
        <f>HYPERLINK("https://www.spark-marketing.ru/Card/Person/47274", "ООО ""ЭЛИОНА""")</f>
        <v>ООО "ЭЛИОНА"</v>
      </c>
      <c r="K3079" s="24" t="s">
        <v>5443</v>
      </c>
      <c r="L3079" s="28" t="s">
        <v>51</v>
      </c>
      <c r="M3079" s="28" t="s">
        <v>51</v>
      </c>
      <c r="N3079" s="28" t="s">
        <v>51</v>
      </c>
    </row>
    <row r="3080" spans="1:14" ht="12.75" hidden="1" outlineLevel="1" x14ac:dyDescent="0.2">
      <c r="A3080" s="23" t="str">
        <f>HYPERLINK("https://www.spark-marketing.ru/Card/Person/80177", "ГБУЗ ПК ""ПОЛАЗНЕНСКАЯ РБ""")</f>
        <v>ГБУЗ ПК "ПОЛАЗНЕНСКАЯ РБ"</v>
      </c>
      <c r="B3080" s="24" t="s">
        <v>5441</v>
      </c>
      <c r="C3080" s="25">
        <v>1401853.8</v>
      </c>
      <c r="D3080" s="22" t="s">
        <v>5442</v>
      </c>
      <c r="E3080" s="22" t="s">
        <v>96</v>
      </c>
      <c r="F3080" s="23" t="str">
        <f>HYPERLINK("https://www.spark-marketing.ru/Card/Lot/73393175", "Оказание услуг по организации лечебного питания для пациентов ГБУЗ ПК «Полазненская районная больница», находящихся на стационарном лечении")</f>
        <v>Оказание услуг по организации лечебного питания для пациентов ГБУЗ ПК «Полазненская районная больница», находящихся на стационарном лечении</v>
      </c>
      <c r="G3080" s="22" t="s">
        <v>153</v>
      </c>
      <c r="H3080" s="22" t="s">
        <v>153</v>
      </c>
      <c r="I3080" s="26">
        <v>43721.382638888899</v>
      </c>
      <c r="J3080" s="23" t="str">
        <f>HYPERLINK("https://www.spark-marketing.ru/Card/Person/47274", "ООО ""ЭЛИОНА""")</f>
        <v>ООО "ЭЛИОНА"</v>
      </c>
      <c r="K3080" s="24" t="s">
        <v>5443</v>
      </c>
      <c r="L3080" s="22" t="s">
        <v>10</v>
      </c>
      <c r="M3080" s="25">
        <v>1394844.53</v>
      </c>
      <c r="N3080" s="27">
        <v>5.0000007133411484E-3</v>
      </c>
    </row>
    <row r="3081" spans="1:14" x14ac:dyDescent="0.15">
      <c r="A3081" s="23" t="str">
        <f>HYPERLINK("https://www.spark-marketing.ru/Card/Person/87841", "СПБ ГБУСОН ""ЦСПСИД""")</f>
        <v>СПБ ГБУСОН "ЦСПСИД"</v>
      </c>
      <c r="B3081" s="24" t="s">
        <v>5444</v>
      </c>
      <c r="C3081" s="25">
        <v>618900.14</v>
      </c>
      <c r="D3081" s="22" t="s">
        <v>5445</v>
      </c>
      <c r="E3081" s="22" t="s">
        <v>48</v>
      </c>
      <c r="F3081" s="23" t="str">
        <f>HYPERLINK("https://www.spark-marketing.ru/Card/Lot/73396822", "Оказание услуг по организации питания для детей, посещающих отделения дневного пребывания и стационарные отделения Санкт-Петербургского государственного бюджетного учреждения социального обслуживания населения «Центр социальной помощи семье и детям Н...")</f>
        <v>Оказание услуг по организации питания для детей, посещающих отделения дневного пребывания и стационарные отделения Санкт-Петербургского государственного бюджетного учреждения социального обслуживания населения «Центр социальной помощи семье и детям Н...</v>
      </c>
      <c r="G3081" s="22" t="s">
        <v>117</v>
      </c>
      <c r="H3081" s="22" t="s">
        <v>117</v>
      </c>
      <c r="I3081" s="26">
        <v>43721.399305555598</v>
      </c>
      <c r="J3081" s="23" t="str">
        <f>HYPERLINK("https://www.spark-marketing.ru/Card/Person/103647", "АО ""КСП ""ВОЛНА""")</f>
        <v>АО "КСП "ВОЛНА"</v>
      </c>
      <c r="K3081" s="24" t="s">
        <v>5446</v>
      </c>
      <c r="L3081" s="22" t="s">
        <v>10</v>
      </c>
      <c r="M3081" s="28" t="s">
        <v>51</v>
      </c>
      <c r="N3081" s="28" t="s">
        <v>51</v>
      </c>
    </row>
    <row r="3082" spans="1:14" x14ac:dyDescent="0.15">
      <c r="A3082" s="23" t="str">
        <f>HYPERLINK("https://www.spark-marketing.ru/Card/Person/1051107", "МБОУ СКОШИ ЧГО")</f>
        <v>МБОУ СКОШИ ЧГО</v>
      </c>
      <c r="B3082" s="24" t="s">
        <v>5447</v>
      </c>
      <c r="C3082" s="25">
        <v>3607570.06</v>
      </c>
      <c r="D3082" s="22" t="s">
        <v>5448</v>
      </c>
      <c r="E3082" s="22" t="s">
        <v>96</v>
      </c>
      <c r="F3082" s="23" t="str">
        <f>HYPERLINK("https://www.spark-marketing.ru/Card/Lot/73397055", "Оказание услуг по организации горячего питания")</f>
        <v>Оказание услуг по организации горячего питания</v>
      </c>
      <c r="G3082" s="22" t="s">
        <v>153</v>
      </c>
      <c r="H3082" s="22" t="s">
        <v>153</v>
      </c>
      <c r="I3082" s="26">
        <v>43721.464583333298</v>
      </c>
      <c r="J3082" s="28" t="s">
        <v>51</v>
      </c>
      <c r="K3082" s="28" t="s">
        <v>51</v>
      </c>
      <c r="L3082" s="28" t="s">
        <v>51</v>
      </c>
      <c r="M3082" s="28" t="s">
        <v>51</v>
      </c>
      <c r="N3082" s="28" t="s">
        <v>51</v>
      </c>
    </row>
    <row r="3083" spans="1:14" hidden="1" outlineLevel="1" x14ac:dyDescent="0.2">
      <c r="A3083" s="23" t="str">
        <f>HYPERLINK("https://www.spark-marketing.ru/Card/Person/1051107", "МБОУ СКОШИ ЧГО")</f>
        <v>МБОУ СКОШИ ЧГО</v>
      </c>
      <c r="B3083" s="24" t="s">
        <v>5447</v>
      </c>
      <c r="C3083" s="25">
        <v>3607570.06</v>
      </c>
      <c r="D3083" s="22" t="s">
        <v>5448</v>
      </c>
      <c r="E3083" s="22" t="s">
        <v>96</v>
      </c>
      <c r="F3083" s="23" t="str">
        <f>HYPERLINK("https://www.spark-marketing.ru/Card/Lot/73397055", "Оказание услуг по организации горячего питания")</f>
        <v>Оказание услуг по организации горячего питания</v>
      </c>
      <c r="G3083" s="22" t="s">
        <v>153</v>
      </c>
      <c r="H3083" s="22" t="s">
        <v>153</v>
      </c>
      <c r="I3083" s="26">
        <v>43721.464583333298</v>
      </c>
      <c r="J3083" s="23" t="str">
        <f>HYPERLINK("https://www.spark-marketing.ru/Card/Person/368651", "ООО ""ОСКАР""")</f>
        <v>ООО "ОСКАР"</v>
      </c>
      <c r="K3083" s="24" t="s">
        <v>5449</v>
      </c>
      <c r="L3083" s="28" t="s">
        <v>51</v>
      </c>
      <c r="M3083" s="25">
        <v>3607570.06</v>
      </c>
      <c r="N3083" s="27">
        <v>0</v>
      </c>
    </row>
    <row r="3084" spans="1:14" hidden="1" outlineLevel="1" x14ac:dyDescent="0.15">
      <c r="A3084" s="23" t="str">
        <f>HYPERLINK("https://www.spark-marketing.ru/Card/Person/1051107", "МБОУ СКОШИ ЧГО")</f>
        <v>МБОУ СКОШИ ЧГО</v>
      </c>
      <c r="B3084" s="24" t="s">
        <v>5447</v>
      </c>
      <c r="C3084" s="25">
        <v>3607570.06</v>
      </c>
      <c r="D3084" s="22" t="s">
        <v>5448</v>
      </c>
      <c r="E3084" s="22" t="s">
        <v>96</v>
      </c>
      <c r="F3084" s="23" t="str">
        <f>HYPERLINK("https://www.spark-marketing.ru/Card/Lot/73397055", "Оказание услуг по организации горячего питания")</f>
        <v>Оказание услуг по организации горячего питания</v>
      </c>
      <c r="G3084" s="22" t="s">
        <v>153</v>
      </c>
      <c r="H3084" s="22" t="s">
        <v>153</v>
      </c>
      <c r="I3084" s="26">
        <v>43721.464583333298</v>
      </c>
      <c r="J3084" s="23" t="str">
        <f>HYPERLINK("https://www.spark-marketing.ru/Card/Person/4438501", "Кобилов Зайлиддин Зокирович")</f>
        <v>Кобилов Зайлиддин Зокирович</v>
      </c>
      <c r="K3084" s="24" t="s">
        <v>5450</v>
      </c>
      <c r="L3084" s="28" t="s">
        <v>51</v>
      </c>
      <c r="M3084" s="28" t="s">
        <v>51</v>
      </c>
      <c r="N3084" s="28" t="s">
        <v>51</v>
      </c>
    </row>
    <row r="3085" spans="1:14" x14ac:dyDescent="0.15">
      <c r="A3085" s="23" t="str">
        <f>HYPERLINK("https://www.spark-marketing.ru/Card/Person/1006152", "МБДОУ ЦРР - Д/С №42 ""КОРАБЛИК""")</f>
        <v>МБДОУ ЦРР - Д/С №42 "КОРАБЛИК"</v>
      </c>
      <c r="B3085" s="24" t="s">
        <v>5451</v>
      </c>
      <c r="C3085" s="25">
        <v>19819548</v>
      </c>
      <c r="D3085" s="22" t="s">
        <v>5452</v>
      </c>
      <c r="E3085" s="22" t="s">
        <v>48</v>
      </c>
      <c r="F3085" s="23" t="str">
        <f>HYPERLINK("https://www.spark-marketing.ru/Card/Lot/73397255", "Оказание услуг по организации питания воспитанников")</f>
        <v>Оказание услуг по организации питания воспитанников</v>
      </c>
      <c r="G3085" s="22" t="s">
        <v>49</v>
      </c>
      <c r="H3085" s="22" t="s">
        <v>180</v>
      </c>
      <c r="I3085" s="26">
        <v>43721.389583333301</v>
      </c>
      <c r="J3085" s="28" t="s">
        <v>51</v>
      </c>
      <c r="K3085" s="28" t="s">
        <v>51</v>
      </c>
      <c r="L3085" s="28" t="s">
        <v>51</v>
      </c>
      <c r="M3085" s="28" t="s">
        <v>51</v>
      </c>
      <c r="N3085" s="28" t="s">
        <v>51</v>
      </c>
    </row>
    <row r="3086" spans="1:14" hidden="1" outlineLevel="1" x14ac:dyDescent="0.15">
      <c r="A3086" s="23" t="str">
        <f>HYPERLINK("https://www.spark-marketing.ru/Card/Person/1006152", "МБДОУ ЦРР - Д/С №42 ""КОРАБЛИК""")</f>
        <v>МБДОУ ЦРР - Д/С №42 "КОРАБЛИК"</v>
      </c>
      <c r="B3086" s="24" t="s">
        <v>5451</v>
      </c>
      <c r="C3086" s="25">
        <v>19819548</v>
      </c>
      <c r="D3086" s="22" t="s">
        <v>5452</v>
      </c>
      <c r="E3086" s="22" t="s">
        <v>48</v>
      </c>
      <c r="F3086" s="23" t="str">
        <f>HYPERLINK("https://www.spark-marketing.ru/Card/Lot/73397255", "Оказание услуг по организации питания воспитанников")</f>
        <v>Оказание услуг по организации питания воспитанников</v>
      </c>
      <c r="G3086" s="22" t="s">
        <v>49</v>
      </c>
      <c r="H3086" s="22" t="s">
        <v>180</v>
      </c>
      <c r="I3086" s="26">
        <v>43721.389583333301</v>
      </c>
      <c r="J3086" s="23" t="str">
        <f>HYPERLINK("https://www.spark-marketing.ru/Card/Person/60153", "ООО МОЛОЧНЫЙ ЗАВОД ""НАРО-ФОМИНСКИЙ""")</f>
        <v>ООО МОЛОЧНЫЙ ЗАВОД "НАРО-ФОМИНСКИЙ"</v>
      </c>
      <c r="K3086" s="24" t="s">
        <v>5326</v>
      </c>
      <c r="L3086" s="28" t="s">
        <v>51</v>
      </c>
      <c r="M3086" s="28" t="s">
        <v>51</v>
      </c>
      <c r="N3086" s="28" t="s">
        <v>51</v>
      </c>
    </row>
    <row r="3087" spans="1:14" hidden="1" outlineLevel="1" x14ac:dyDescent="0.15">
      <c r="A3087" s="23" t="str">
        <f>HYPERLINK("https://www.spark-marketing.ru/Card/Person/1006152", "МБДОУ ЦРР - Д/С №42 ""КОРАБЛИК""")</f>
        <v>МБДОУ ЦРР - Д/С №42 "КОРАБЛИК"</v>
      </c>
      <c r="B3087" s="24" t="s">
        <v>5451</v>
      </c>
      <c r="C3087" s="25">
        <v>19819548</v>
      </c>
      <c r="D3087" s="22" t="s">
        <v>5452</v>
      </c>
      <c r="E3087" s="22" t="s">
        <v>48</v>
      </c>
      <c r="F3087" s="23" t="str">
        <f>HYPERLINK("https://www.spark-marketing.ru/Card/Lot/73397255", "Оказание услуг по организации питания воспитанников")</f>
        <v>Оказание услуг по организации питания воспитанников</v>
      </c>
      <c r="G3087" s="22" t="s">
        <v>49</v>
      </c>
      <c r="H3087" s="22" t="s">
        <v>180</v>
      </c>
      <c r="I3087" s="26">
        <v>43721.389583333301</v>
      </c>
      <c r="J3087" s="23" t="str">
        <f>HYPERLINK("https://www.spark-marketing.ru/Card/Person/4890181", "ООО ""БОЛЬШАЯ ПЕРЕМЕНА""")</f>
        <v>ООО "БОЛЬШАЯ ПЕРЕМЕНА"</v>
      </c>
      <c r="K3087" s="24" t="s">
        <v>5419</v>
      </c>
      <c r="L3087" s="28" t="s">
        <v>51</v>
      </c>
      <c r="M3087" s="28" t="s">
        <v>51</v>
      </c>
      <c r="N3087" s="28" t="s">
        <v>51</v>
      </c>
    </row>
    <row r="3088" spans="1:14" hidden="1" outlineLevel="1" x14ac:dyDescent="0.15">
      <c r="A3088" s="23" t="str">
        <f>HYPERLINK("https://www.spark-marketing.ru/Card/Person/1006152", "МБДОУ ЦРР - Д/С №42 ""КОРАБЛИК""")</f>
        <v>МБДОУ ЦРР - Д/С №42 "КОРАБЛИК"</v>
      </c>
      <c r="B3088" s="24" t="s">
        <v>5451</v>
      </c>
      <c r="C3088" s="25">
        <v>19819548</v>
      </c>
      <c r="D3088" s="22" t="s">
        <v>5452</v>
      </c>
      <c r="E3088" s="22" t="s">
        <v>48</v>
      </c>
      <c r="F3088" s="23" t="str">
        <f>HYPERLINK("https://www.spark-marketing.ru/Card/Lot/73397255", "Оказание услуг по организации питания воспитанников")</f>
        <v>Оказание услуг по организации питания воспитанников</v>
      </c>
      <c r="G3088" s="22" t="s">
        <v>49</v>
      </c>
      <c r="H3088" s="22" t="s">
        <v>180</v>
      </c>
      <c r="I3088" s="26">
        <v>43721.389583333301</v>
      </c>
      <c r="J3088" s="23" t="str">
        <f>HYPERLINK("https://www.spark-marketing.ru/Card/Person/58232", "ООО ""АВАНГАРД""")</f>
        <v>ООО "АВАНГАРД"</v>
      </c>
      <c r="K3088" s="24" t="s">
        <v>5327</v>
      </c>
      <c r="L3088" s="28" t="s">
        <v>51</v>
      </c>
      <c r="M3088" s="28" t="s">
        <v>51</v>
      </c>
      <c r="N3088" s="28" t="s">
        <v>51</v>
      </c>
    </row>
    <row r="3089" spans="1:14" x14ac:dyDescent="0.15">
      <c r="A3089" s="23" t="str">
        <f>HYPERLINK("https://www.spark-marketing.ru/Card/Person/1024240", "МОУ НШДС КОМПЕНСИРУЮЩЕГО ВИДА №53")</f>
        <v>МОУ НШДС КОМПЕНСИРУЮЩЕГО ВИДА №53</v>
      </c>
      <c r="B3089" s="24" t="s">
        <v>5453</v>
      </c>
      <c r="C3089" s="25">
        <v>211926</v>
      </c>
      <c r="D3089" s="22" t="s">
        <v>5454</v>
      </c>
      <c r="E3089" s="22" t="s">
        <v>48</v>
      </c>
      <c r="F3089" s="23" t="str">
        <f>HYPERLINK("https://www.spark-marketing.ru/Card/Lot/73394597",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3089" s="22" t="s">
        <v>49</v>
      </c>
      <c r="H3089" s="22" t="s">
        <v>50</v>
      </c>
      <c r="I3089" s="26">
        <v>43721.378275463001</v>
      </c>
      <c r="J3089" s="28" t="s">
        <v>51</v>
      </c>
      <c r="K3089" s="28" t="s">
        <v>51</v>
      </c>
      <c r="L3089" s="28" t="s">
        <v>51</v>
      </c>
      <c r="M3089" s="28" t="s">
        <v>51</v>
      </c>
      <c r="N3089" s="28" t="s">
        <v>51</v>
      </c>
    </row>
    <row r="3090" spans="1:14" x14ac:dyDescent="0.15">
      <c r="A3090" s="23" t="str">
        <f>HYPERLINK("https://www.spark-marketing.ru/Card/Person/4858384", "МКДОУ ДЕТСКИЙ САД ОБЩЕРАЗВИВАЮЩЕГО ВИДА №29 ""ЛЕСНАЯ СКАЗКА""")</f>
        <v>МКДОУ ДЕТСКИЙ САД ОБЩЕРАЗВИВАЮЩЕГО ВИДА №29 "ЛЕСНАЯ СКАЗКА"</v>
      </c>
      <c r="B3090" s="24" t="s">
        <v>5455</v>
      </c>
      <c r="C3090" s="25">
        <v>8171278</v>
      </c>
      <c r="D3090" s="22" t="s">
        <v>5456</v>
      </c>
      <c r="E3090" s="22" t="s">
        <v>48</v>
      </c>
      <c r="F3090" s="23" t="str">
        <f>HYPERLINK("https://www.spark-marketing.ru/Card/Lot/73397226", "Оказание услуг по организации питания воспитанников")</f>
        <v>Оказание услуг по организации питания воспитанников</v>
      </c>
      <c r="G3090" s="22" t="s">
        <v>49</v>
      </c>
      <c r="H3090" s="22" t="s">
        <v>180</v>
      </c>
      <c r="I3090" s="26">
        <v>43721.406944444403</v>
      </c>
      <c r="J3090" s="28" t="s">
        <v>51</v>
      </c>
      <c r="K3090" s="28" t="s">
        <v>51</v>
      </c>
      <c r="L3090" s="28" t="s">
        <v>51</v>
      </c>
      <c r="M3090" s="28" t="s">
        <v>51</v>
      </c>
      <c r="N3090" s="28" t="s">
        <v>51</v>
      </c>
    </row>
    <row r="3091" spans="1:14" x14ac:dyDescent="0.15">
      <c r="A3091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3091" s="24" t="s">
        <v>2604</v>
      </c>
      <c r="C3091" s="25">
        <v>26320</v>
      </c>
      <c r="D3091" s="22" t="s">
        <v>5457</v>
      </c>
      <c r="E3091" s="22" t="s">
        <v>48</v>
      </c>
      <c r="F3091" s="23" t="str">
        <f>HYPERLINK("https://www.spark-marketing.ru/Card/Lot/73390369",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3091" s="22" t="s">
        <v>1096</v>
      </c>
      <c r="H3091" s="22" t="s">
        <v>1097</v>
      </c>
      <c r="I3091" s="26">
        <v>43721.3972222222</v>
      </c>
      <c r="J3091" s="28" t="s">
        <v>51</v>
      </c>
      <c r="K3091" s="28" t="s">
        <v>51</v>
      </c>
      <c r="L3091" s="28" t="s">
        <v>51</v>
      </c>
      <c r="M3091" s="28" t="s">
        <v>51</v>
      </c>
      <c r="N3091" s="28" t="s">
        <v>51</v>
      </c>
    </row>
    <row r="3092" spans="1:14" x14ac:dyDescent="0.15">
      <c r="A3092" s="23" t="str">
        <f>HYPERLINK("https://www.spark-marketing.ru/Card/Person/1005588", "МБДОУ ДЕТСКИЙ САД № 40 ""СОЛНЫШКО""")</f>
        <v>МБДОУ ДЕТСКИЙ САД № 40 "СОЛНЫШКО"</v>
      </c>
      <c r="B3092" s="24" t="s">
        <v>5458</v>
      </c>
      <c r="C3092" s="25">
        <v>12752640</v>
      </c>
      <c r="D3092" s="22" t="s">
        <v>5459</v>
      </c>
      <c r="E3092" s="22" t="s">
        <v>48</v>
      </c>
      <c r="F3092" s="23" t="str">
        <f>HYPERLINK("https://www.spark-marketing.ru/Card/Lot/73397245", "Оказание услуг по организации питания воспитанников")</f>
        <v>Оказание услуг по организации питания воспитанников</v>
      </c>
      <c r="G3092" s="22" t="s">
        <v>49</v>
      </c>
      <c r="H3092" s="22" t="s">
        <v>180</v>
      </c>
      <c r="I3092" s="26">
        <v>43721.406944444403</v>
      </c>
      <c r="J3092" s="28" t="s">
        <v>51</v>
      </c>
      <c r="K3092" s="28" t="s">
        <v>51</v>
      </c>
      <c r="L3092" s="28" t="s">
        <v>51</v>
      </c>
      <c r="M3092" s="28" t="s">
        <v>51</v>
      </c>
      <c r="N3092" s="28" t="s">
        <v>51</v>
      </c>
    </row>
    <row r="3093" spans="1:14" x14ac:dyDescent="0.15">
      <c r="A3093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3093" s="24" t="s">
        <v>2604</v>
      </c>
      <c r="C3093" s="25">
        <v>28200</v>
      </c>
      <c r="D3093" s="22" t="s">
        <v>5460</v>
      </c>
      <c r="E3093" s="22" t="s">
        <v>48</v>
      </c>
      <c r="F3093" s="23" t="str">
        <f>HYPERLINK("https://www.spark-marketing.ru/Card/Lot/73390362",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3093" s="22" t="s">
        <v>1096</v>
      </c>
      <c r="H3093" s="22" t="s">
        <v>1097</v>
      </c>
      <c r="I3093" s="26">
        <v>43721.395833333299</v>
      </c>
      <c r="J3093" s="28" t="s">
        <v>51</v>
      </c>
      <c r="K3093" s="28" t="s">
        <v>51</v>
      </c>
      <c r="L3093" s="28" t="s">
        <v>51</v>
      </c>
      <c r="M3093" s="28" t="s">
        <v>51</v>
      </c>
      <c r="N3093" s="28" t="s">
        <v>51</v>
      </c>
    </row>
    <row r="3094" spans="1:14" x14ac:dyDescent="0.15">
      <c r="A3094" s="23" t="str">
        <f>HYPERLINK("https://www.spark-marketing.ru/Card/Person/1030070", "МДОУ ДЕТСКИЙ САД ОБЩЕРАЗВИВАЮЩЕГО ВИДА № 28 ""ЛАСТОЧКА""")</f>
        <v>МДОУ ДЕТСКИЙ САД ОБЩЕРАЗВИВАЮЩЕГО ВИДА № 28 "ЛАСТОЧКА"</v>
      </c>
      <c r="B3094" s="24" t="s">
        <v>5461</v>
      </c>
      <c r="C3094" s="25">
        <v>7132100</v>
      </c>
      <c r="D3094" s="22" t="s">
        <v>5462</v>
      </c>
      <c r="E3094" s="22" t="s">
        <v>48</v>
      </c>
      <c r="F3094" s="23" t="str">
        <f>HYPERLINK("https://www.spark-marketing.ru/Card/Lot/73397064", "Оказание услуг по организации питания воспитанников")</f>
        <v>Оказание услуг по организации питания воспитанников</v>
      </c>
      <c r="G3094" s="22" t="s">
        <v>49</v>
      </c>
      <c r="H3094" s="22" t="s">
        <v>180</v>
      </c>
      <c r="I3094" s="26">
        <v>43721.406944444403</v>
      </c>
      <c r="J3094" s="28" t="s">
        <v>51</v>
      </c>
      <c r="K3094" s="28" t="s">
        <v>51</v>
      </c>
      <c r="L3094" s="28" t="s">
        <v>51</v>
      </c>
      <c r="M3094" s="28" t="s">
        <v>51</v>
      </c>
      <c r="N3094" s="28" t="s">
        <v>51</v>
      </c>
    </row>
    <row r="3095" spans="1:14" hidden="1" outlineLevel="1" x14ac:dyDescent="0.15">
      <c r="A3095" s="23" t="str">
        <f>HYPERLINK("https://www.spark-marketing.ru/Card/Person/1030070", "МДОУ ДЕТСКИЙ САД ОБЩЕРАЗВИВАЮЩЕГО ВИДА № 28 ""ЛАСТОЧКА""")</f>
        <v>МДОУ ДЕТСКИЙ САД ОБЩЕРАЗВИВАЮЩЕГО ВИДА № 28 "ЛАСТОЧКА"</v>
      </c>
      <c r="B3095" s="24" t="s">
        <v>5461</v>
      </c>
      <c r="C3095" s="25">
        <v>7132100</v>
      </c>
      <c r="D3095" s="22" t="s">
        <v>5462</v>
      </c>
      <c r="E3095" s="22" t="s">
        <v>48</v>
      </c>
      <c r="F3095" s="23" t="str">
        <f>HYPERLINK("https://www.spark-marketing.ru/Card/Lot/73397064", "Оказание услуг по организации питания воспитанников")</f>
        <v>Оказание услуг по организации питания воспитанников</v>
      </c>
      <c r="G3095" s="22" t="s">
        <v>49</v>
      </c>
      <c r="H3095" s="22" t="s">
        <v>180</v>
      </c>
      <c r="I3095" s="26">
        <v>43721.406944444403</v>
      </c>
      <c r="J3095" s="23" t="str">
        <f>HYPERLINK("https://www.spark-marketing.ru/Card/Person/60153", "ООО МОЛОЧНЫЙ ЗАВОД ""НАРО-ФОМИНСКИЙ""")</f>
        <v>ООО МОЛОЧНЫЙ ЗАВОД "НАРО-ФОМИНСКИЙ"</v>
      </c>
      <c r="K3095" s="24" t="s">
        <v>5326</v>
      </c>
      <c r="L3095" s="28" t="s">
        <v>51</v>
      </c>
      <c r="M3095" s="28" t="s">
        <v>51</v>
      </c>
      <c r="N3095" s="28" t="s">
        <v>51</v>
      </c>
    </row>
    <row r="3096" spans="1:14" hidden="1" outlineLevel="1" x14ac:dyDescent="0.15">
      <c r="A3096" s="23" t="str">
        <f>HYPERLINK("https://www.spark-marketing.ru/Card/Person/1030070", "МДОУ ДЕТСКИЙ САД ОБЩЕРАЗВИВАЮЩЕГО ВИДА № 28 ""ЛАСТОЧКА""")</f>
        <v>МДОУ ДЕТСКИЙ САД ОБЩЕРАЗВИВАЮЩЕГО ВИДА № 28 "ЛАСТОЧКА"</v>
      </c>
      <c r="B3096" s="24" t="s">
        <v>5461</v>
      </c>
      <c r="C3096" s="25">
        <v>7132100</v>
      </c>
      <c r="D3096" s="22" t="s">
        <v>5462</v>
      </c>
      <c r="E3096" s="22" t="s">
        <v>48</v>
      </c>
      <c r="F3096" s="23" t="str">
        <f>HYPERLINK("https://www.spark-marketing.ru/Card/Lot/73397064", "Оказание услуг по организации питания воспитанников")</f>
        <v>Оказание услуг по организации питания воспитанников</v>
      </c>
      <c r="G3096" s="22" t="s">
        <v>49</v>
      </c>
      <c r="H3096" s="22" t="s">
        <v>180</v>
      </c>
      <c r="I3096" s="26">
        <v>43721.406944444403</v>
      </c>
      <c r="J3096" s="23" t="str">
        <f>HYPERLINK("https://www.spark-marketing.ru/Card/Person/58232", "ООО ""АВАНГАРД""")</f>
        <v>ООО "АВАНГАРД"</v>
      </c>
      <c r="K3096" s="24" t="s">
        <v>5327</v>
      </c>
      <c r="L3096" s="28" t="s">
        <v>51</v>
      </c>
      <c r="M3096" s="28" t="s">
        <v>51</v>
      </c>
      <c r="N3096" s="28" t="s">
        <v>51</v>
      </c>
    </row>
    <row r="3097" spans="1:14" x14ac:dyDescent="0.15">
      <c r="A3097" s="23" t="str">
        <f>HYPERLINK("https://www.spark-marketing.ru/Card/Person/118491", "МБДОУ ЦРР-ДЕТСКИЙ САД №26 ""РОДНИЧОК""")</f>
        <v>МБДОУ ЦРР-ДЕТСКИЙ САД №26 "РОДНИЧОК"</v>
      </c>
      <c r="B3097" s="24" t="s">
        <v>5463</v>
      </c>
      <c r="C3097" s="25">
        <v>18224874</v>
      </c>
      <c r="D3097" s="22" t="s">
        <v>5464</v>
      </c>
      <c r="E3097" s="22" t="s">
        <v>48</v>
      </c>
      <c r="F3097" s="23" t="str">
        <f>HYPERLINK("https://www.spark-marketing.ru/Card/Lot/73397251", "Оказание услуг по организации питания воспитанников")</f>
        <v>Оказание услуг по организации питания воспитанников</v>
      </c>
      <c r="G3097" s="22" t="s">
        <v>49</v>
      </c>
      <c r="H3097" s="22" t="s">
        <v>180</v>
      </c>
      <c r="I3097" s="26">
        <v>43721.369444444397</v>
      </c>
      <c r="J3097" s="28" t="s">
        <v>51</v>
      </c>
      <c r="K3097" s="28" t="s">
        <v>51</v>
      </c>
      <c r="L3097" s="28" t="s">
        <v>51</v>
      </c>
      <c r="M3097" s="28" t="s">
        <v>51</v>
      </c>
      <c r="N3097" s="28" t="s">
        <v>51</v>
      </c>
    </row>
    <row r="3098" spans="1:14" x14ac:dyDescent="0.15">
      <c r="A3098" s="23" t="str">
        <f>HYPERLINK("https://www.spark-marketing.ru/Card/Person/1034267", "МКОУ ЯМЕНСКАЯ СОШ")</f>
        <v>МКОУ ЯМЕНСКАЯ СОШ</v>
      </c>
      <c r="B3098" s="24" t="s">
        <v>5465</v>
      </c>
      <c r="C3098" s="25">
        <v>3426662.5</v>
      </c>
      <c r="D3098" s="22" t="s">
        <v>5466</v>
      </c>
      <c r="E3098" s="22" t="s">
        <v>96</v>
      </c>
      <c r="F3098" s="23" t="str">
        <f>HYPERLINK("https://www.spark-marketing.ru/Card/Lot/73395151", "Оказание услуг по организации горячего питания в МКОУ Яменская СОШ на 2019-2020 учебный год.")</f>
        <v>Оказание услуг по организации горячего питания в МКОУ Яменская СОШ на 2019-2020 учебный год.</v>
      </c>
      <c r="G3098" s="22" t="s">
        <v>82</v>
      </c>
      <c r="H3098" s="22" t="s">
        <v>5467</v>
      </c>
      <c r="I3098" s="26">
        <v>43721.342361111099</v>
      </c>
      <c r="J3098" s="28" t="s">
        <v>51</v>
      </c>
      <c r="K3098" s="28" t="s">
        <v>51</v>
      </c>
      <c r="L3098" s="28" t="s">
        <v>51</v>
      </c>
      <c r="M3098" s="28" t="s">
        <v>51</v>
      </c>
      <c r="N3098" s="28" t="s">
        <v>51</v>
      </c>
    </row>
    <row r="3099" spans="1:14" hidden="1" outlineLevel="1" x14ac:dyDescent="0.2">
      <c r="A3099" s="23" t="str">
        <f>HYPERLINK("https://www.spark-marketing.ru/Card/Person/1034267", "МКОУ ЯМЕНСКАЯ СОШ")</f>
        <v>МКОУ ЯМЕНСКАЯ СОШ</v>
      </c>
      <c r="B3099" s="24" t="s">
        <v>5465</v>
      </c>
      <c r="C3099" s="25">
        <v>3426662.5</v>
      </c>
      <c r="D3099" s="22" t="s">
        <v>5466</v>
      </c>
      <c r="E3099" s="22" t="s">
        <v>96</v>
      </c>
      <c r="F3099" s="23" t="str">
        <f>HYPERLINK("https://www.spark-marketing.ru/Card/Lot/73395151", "Оказание услуг по организации горячего питания в МКОУ Яменская СОШ на 2019-2020 учебный год.")</f>
        <v>Оказание услуг по организации горячего питания в МКОУ Яменская СОШ на 2019-2020 учебный год.</v>
      </c>
      <c r="G3099" s="22" t="s">
        <v>82</v>
      </c>
      <c r="H3099" s="22" t="s">
        <v>5467</v>
      </c>
      <c r="I3099" s="26">
        <v>43721.342361111099</v>
      </c>
      <c r="J3099" s="23" t="str">
        <f>HYPERLINK("https://www.spark-marketing.ru/Card/Person/515260", "ООО ""ЛВД""")</f>
        <v>ООО "ЛВД"</v>
      </c>
      <c r="K3099" s="24" t="s">
        <v>5468</v>
      </c>
      <c r="L3099" s="28" t="s">
        <v>51</v>
      </c>
      <c r="M3099" s="25">
        <v>2707063.48</v>
      </c>
      <c r="N3099" s="27">
        <v>0.20999996935793938</v>
      </c>
    </row>
    <row r="3100" spans="1:14" ht="12.75" hidden="1" outlineLevel="1" x14ac:dyDescent="0.2">
      <c r="A3100" s="23" t="str">
        <f>HYPERLINK("https://www.spark-marketing.ru/Card/Person/1034267", "МКОУ ЯМЕНСКАЯ СОШ")</f>
        <v>МКОУ ЯМЕНСКАЯ СОШ</v>
      </c>
      <c r="B3100" s="24" t="s">
        <v>5465</v>
      </c>
      <c r="C3100" s="25">
        <v>3426662.5</v>
      </c>
      <c r="D3100" s="22" t="s">
        <v>5466</v>
      </c>
      <c r="E3100" s="22" t="s">
        <v>96</v>
      </c>
      <c r="F3100" s="23" t="str">
        <f>HYPERLINK("https://www.spark-marketing.ru/Card/Lot/73395151", "Оказание услуг по организации горячего питания в МКОУ Яменская СОШ на 2019-2020 учебный год.")</f>
        <v>Оказание услуг по организации горячего питания в МКОУ Яменская СОШ на 2019-2020 учебный год.</v>
      </c>
      <c r="G3100" s="22" t="s">
        <v>82</v>
      </c>
      <c r="H3100" s="22" t="s">
        <v>5467</v>
      </c>
      <c r="I3100" s="26">
        <v>43721.342361111099</v>
      </c>
      <c r="J3100" s="23" t="str">
        <f>HYPERLINK("https://www.spark-marketing.ru/Card/Person/525914", "Стрельникова Ирина Валерьевна")</f>
        <v>Стрельникова Ирина Валерьевна</v>
      </c>
      <c r="K3100" s="24" t="s">
        <v>5469</v>
      </c>
      <c r="L3100" s="22" t="s">
        <v>10</v>
      </c>
      <c r="M3100" s="25">
        <v>2689930.17</v>
      </c>
      <c r="N3100" s="27">
        <v>0.21499996862836651</v>
      </c>
    </row>
    <row r="3101" spans="1:14" x14ac:dyDescent="0.15">
      <c r="A3101" s="23" t="str">
        <f>HYPERLINK("https://www.spark-marketing.ru/Card/Person/51537", "АППАРАТ ПРАВИТЕЛЬСТВА ПЕРМСКОГО КРАЯ")</f>
        <v>АППАРАТ ПРАВИТЕЛЬСТВА ПЕРМСКОГО КРАЯ</v>
      </c>
      <c r="B3101" s="24" t="s">
        <v>1649</v>
      </c>
      <c r="C3101" s="25">
        <v>3200000</v>
      </c>
      <c r="D3101" s="22" t="s">
        <v>5470</v>
      </c>
      <c r="E3101" s="22" t="s">
        <v>96</v>
      </c>
      <c r="F3101" s="23" t="str">
        <f>HYPERLINK("https://www.spark-marketing.ru/Card/Lot/73392214", "Оказание услуг по организации обслуживания официальных мероприятий, проводимых Правительством Пермского края на территории комплекса международного аэропорта города Перми")</f>
        <v>Оказание услуг по организации обслуживания официальных мероприятий, проводимых Правительством Пермского края на территории комплекса международного аэропорта города Перми</v>
      </c>
      <c r="G3101" s="22" t="s">
        <v>153</v>
      </c>
      <c r="H3101" s="22" t="s">
        <v>153</v>
      </c>
      <c r="I3101" s="26">
        <v>43721.336805555598</v>
      </c>
      <c r="J3101" s="23" t="str">
        <f>HYPERLINK("https://www.spark-marketing.ru/Card/Person/2505026", "ООО ""БАР ХАМОВНИКИ""")</f>
        <v>ООО "БАР ХАМОВНИКИ"</v>
      </c>
      <c r="K3101" s="24" t="s">
        <v>5471</v>
      </c>
      <c r="L3101" s="22" t="s">
        <v>10</v>
      </c>
      <c r="M3101" s="28" t="s">
        <v>51</v>
      </c>
      <c r="N3101" s="28" t="s">
        <v>51</v>
      </c>
    </row>
    <row r="3102" spans="1:14" x14ac:dyDescent="0.15">
      <c r="A3102" s="23" t="str">
        <f>HYPERLINK("https://www.spark-marketing.ru/Card/Person/1005440", "МБДОУ ДЕТСКИЙ САД № 38 ""СОЛОВУШКИ""")</f>
        <v>МБДОУ ДЕТСКИЙ САД № 38 "СОЛОВУШКИ"</v>
      </c>
      <c r="B3102" s="24" t="s">
        <v>5472</v>
      </c>
      <c r="C3102" s="25">
        <v>10082860</v>
      </c>
      <c r="D3102" s="22" t="s">
        <v>5473</v>
      </c>
      <c r="E3102" s="22" t="s">
        <v>48</v>
      </c>
      <c r="F3102" s="23" t="str">
        <f>HYPERLINK("https://www.spark-marketing.ru/Card/Lot/73397240", "Оказание услуг по организации питания воспитанников")</f>
        <v>Оказание услуг по организации питания воспитанников</v>
      </c>
      <c r="G3102" s="22" t="s">
        <v>49</v>
      </c>
      <c r="H3102" s="22" t="s">
        <v>180</v>
      </c>
      <c r="I3102" s="26">
        <v>43721.370138888902</v>
      </c>
      <c r="J3102" s="28" t="s">
        <v>51</v>
      </c>
      <c r="K3102" s="28" t="s">
        <v>51</v>
      </c>
      <c r="L3102" s="28" t="s">
        <v>51</v>
      </c>
      <c r="M3102" s="28" t="s">
        <v>51</v>
      </c>
      <c r="N3102" s="28" t="s">
        <v>51</v>
      </c>
    </row>
    <row r="3103" spans="1:14" x14ac:dyDescent="0.15">
      <c r="A3103" s="23" t="str">
        <f>HYPERLINK("https://www.spark-marketing.ru/Card/Person/1005749", "МБДОУ ""ДЕТСКИЙ САД № 8""")</f>
        <v>МБДОУ "ДЕТСКИЙ САД № 8"</v>
      </c>
      <c r="B3103" s="24" t="s">
        <v>5474</v>
      </c>
      <c r="C3103" s="25">
        <v>11910998</v>
      </c>
      <c r="D3103" s="22" t="s">
        <v>5475</v>
      </c>
      <c r="E3103" s="22" t="s">
        <v>48</v>
      </c>
      <c r="F3103" s="23" t="str">
        <f>HYPERLINK("https://www.spark-marketing.ru/Card/Lot/73397244", "Оказание услуг по организации питания воспитанников")</f>
        <v>Оказание услуг по организации питания воспитанников</v>
      </c>
      <c r="G3103" s="22" t="s">
        <v>49</v>
      </c>
      <c r="H3103" s="22" t="s">
        <v>180</v>
      </c>
      <c r="I3103" s="26">
        <v>43721.369444444397</v>
      </c>
      <c r="J3103" s="28" t="s">
        <v>51</v>
      </c>
      <c r="K3103" s="28" t="s">
        <v>51</v>
      </c>
      <c r="L3103" s="28" t="s">
        <v>51</v>
      </c>
      <c r="M3103" s="28" t="s">
        <v>51</v>
      </c>
      <c r="N3103" s="28" t="s">
        <v>51</v>
      </c>
    </row>
    <row r="3104" spans="1:14" x14ac:dyDescent="0.15">
      <c r="A3104" s="23" t="str">
        <f>HYPERLINK("https://www.spark-marketing.ru/Card/Person/1004981", "МКДОУ ДЕТСКИЙ САД ""ЛУЧИКИ""")</f>
        <v>МКДОУ ДЕТСКИЙ САД "ЛУЧИКИ"</v>
      </c>
      <c r="B3104" s="24" t="s">
        <v>5476</v>
      </c>
      <c r="C3104" s="25">
        <v>7876158</v>
      </c>
      <c r="D3104" s="22" t="s">
        <v>5477</v>
      </c>
      <c r="E3104" s="22" t="s">
        <v>48</v>
      </c>
      <c r="F3104" s="23" t="str">
        <f>HYPERLINK("https://www.spark-marketing.ru/Card/Lot/73397206", "Оказание услуг по организации питания воспитанников")</f>
        <v>Оказание услуг по организации питания воспитанников</v>
      </c>
      <c r="G3104" s="22" t="s">
        <v>49</v>
      </c>
      <c r="H3104" s="22" t="s">
        <v>180</v>
      </c>
      <c r="I3104" s="26">
        <v>43721.368750000001</v>
      </c>
      <c r="J3104" s="28" t="s">
        <v>51</v>
      </c>
      <c r="K3104" s="28" t="s">
        <v>51</v>
      </c>
      <c r="L3104" s="28" t="s">
        <v>51</v>
      </c>
      <c r="M3104" s="28" t="s">
        <v>51</v>
      </c>
      <c r="N3104" s="28" t="s">
        <v>51</v>
      </c>
    </row>
    <row r="3105" spans="1:14" hidden="1" outlineLevel="1" x14ac:dyDescent="0.15">
      <c r="A3105" s="23" t="str">
        <f>HYPERLINK("https://www.spark-marketing.ru/Card/Person/1004981", "МКДОУ ДЕТСКИЙ САД ""ЛУЧИКИ""")</f>
        <v>МКДОУ ДЕТСКИЙ САД "ЛУЧИКИ"</v>
      </c>
      <c r="B3105" s="24" t="s">
        <v>5476</v>
      </c>
      <c r="C3105" s="25">
        <v>7876158</v>
      </c>
      <c r="D3105" s="22" t="s">
        <v>5477</v>
      </c>
      <c r="E3105" s="22" t="s">
        <v>48</v>
      </c>
      <c r="F3105" s="23" t="str">
        <f>HYPERLINK("https://www.spark-marketing.ru/Card/Lot/73397206", "Оказание услуг по организации питания воспитанников")</f>
        <v>Оказание услуг по организации питания воспитанников</v>
      </c>
      <c r="G3105" s="22" t="s">
        <v>49</v>
      </c>
      <c r="H3105" s="22" t="s">
        <v>180</v>
      </c>
      <c r="I3105" s="26">
        <v>43721.368750000001</v>
      </c>
      <c r="J3105" s="23" t="str">
        <f>HYPERLINK("https://www.spark-marketing.ru/Card/Person/60153", "ООО МОЛОЧНЫЙ ЗАВОД ""НАРО-ФОМИНСКИЙ""")</f>
        <v>ООО МОЛОЧНЫЙ ЗАВОД "НАРО-ФОМИНСКИЙ"</v>
      </c>
      <c r="K3105" s="24" t="s">
        <v>5326</v>
      </c>
      <c r="L3105" s="28" t="s">
        <v>51</v>
      </c>
      <c r="M3105" s="28" t="s">
        <v>51</v>
      </c>
      <c r="N3105" s="28" t="s">
        <v>51</v>
      </c>
    </row>
    <row r="3106" spans="1:14" hidden="1" outlineLevel="1" x14ac:dyDescent="0.15">
      <c r="A3106" s="23" t="str">
        <f>HYPERLINK("https://www.spark-marketing.ru/Card/Person/1004981", "МКДОУ ДЕТСКИЙ САД ""ЛУЧИКИ""")</f>
        <v>МКДОУ ДЕТСКИЙ САД "ЛУЧИКИ"</v>
      </c>
      <c r="B3106" s="24" t="s">
        <v>5476</v>
      </c>
      <c r="C3106" s="25">
        <v>7876158</v>
      </c>
      <c r="D3106" s="22" t="s">
        <v>5477</v>
      </c>
      <c r="E3106" s="22" t="s">
        <v>48</v>
      </c>
      <c r="F3106" s="23" t="str">
        <f>HYPERLINK("https://www.spark-marketing.ru/Card/Lot/73397206", "Оказание услуг по организации питания воспитанников")</f>
        <v>Оказание услуг по организации питания воспитанников</v>
      </c>
      <c r="G3106" s="22" t="s">
        <v>49</v>
      </c>
      <c r="H3106" s="22" t="s">
        <v>180</v>
      </c>
      <c r="I3106" s="26">
        <v>43721.368750000001</v>
      </c>
      <c r="J3106" s="23" t="str">
        <f>HYPERLINK("https://www.spark-marketing.ru/Card/Person/58232", "ООО ""АВАНГАРД""")</f>
        <v>ООО "АВАНГАРД"</v>
      </c>
      <c r="K3106" s="24" t="s">
        <v>5327</v>
      </c>
      <c r="L3106" s="28" t="s">
        <v>51</v>
      </c>
      <c r="M3106" s="28" t="s">
        <v>51</v>
      </c>
      <c r="N3106" s="28" t="s">
        <v>51</v>
      </c>
    </row>
    <row r="3107" spans="1:14" x14ac:dyDescent="0.15">
      <c r="A3107" s="23" t="str">
        <f>HYPERLINK("https://www.spark-marketing.ru/Card/Person/1005158", "МБДОУ ДЕТСКИЙ САД № 49 ""ПОЧЕМУЧКИ""")</f>
        <v>МБДОУ ДЕТСКИЙ САД № 49 "ПОЧЕМУЧКИ"</v>
      </c>
      <c r="B3107" s="24" t="s">
        <v>5478</v>
      </c>
      <c r="C3107" s="25">
        <v>18149786</v>
      </c>
      <c r="D3107" s="22" t="s">
        <v>5479</v>
      </c>
      <c r="E3107" s="22" t="s">
        <v>48</v>
      </c>
      <c r="F3107" s="23" t="str">
        <f>HYPERLINK("https://www.spark-marketing.ru/Card/Lot/73398867", "Оказание услуг по организации питания воспитанников")</f>
        <v>Оказание услуг по организации питания воспитанников</v>
      </c>
      <c r="G3107" s="22" t="s">
        <v>49</v>
      </c>
      <c r="H3107" s="22" t="s">
        <v>180</v>
      </c>
      <c r="I3107" s="26">
        <v>43721.368055555598</v>
      </c>
      <c r="J3107" s="28" t="s">
        <v>51</v>
      </c>
      <c r="K3107" s="28" t="s">
        <v>51</v>
      </c>
      <c r="L3107" s="28" t="s">
        <v>51</v>
      </c>
      <c r="M3107" s="28" t="s">
        <v>51</v>
      </c>
      <c r="N3107" s="28" t="s">
        <v>51</v>
      </c>
    </row>
    <row r="3108" spans="1:14" x14ac:dyDescent="0.15">
      <c r="A3108" s="23" t="str">
        <f>HYPERLINK("https://www.spark-marketing.ru/Card/Person/1030816", "МДОУ ДЕТСКИЙ САД ОБЩЕРАЗВИВАЮЩЕГО ВИДА № 25 ""ЧЕБУРАШКА""")</f>
        <v>МДОУ ДЕТСКИЙ САД ОБЩЕРАЗВИВАЮЩЕГО ВИДА № 25 "ЧЕБУРАШКА"</v>
      </c>
      <c r="B3108" s="24" t="s">
        <v>5480</v>
      </c>
      <c r="C3108" s="25">
        <v>4635482</v>
      </c>
      <c r="D3108" s="22" t="s">
        <v>5481</v>
      </c>
      <c r="E3108" s="22" t="s">
        <v>48</v>
      </c>
      <c r="F3108" s="23" t="str">
        <f>HYPERLINK("https://www.spark-marketing.ru/Card/Lot/73395125", "Оказание услуг по организации питания воспитанников")</f>
        <v>Оказание услуг по организации питания воспитанников</v>
      </c>
      <c r="G3108" s="22" t="s">
        <v>49</v>
      </c>
      <c r="H3108" s="22" t="s">
        <v>180</v>
      </c>
      <c r="I3108" s="26">
        <v>43721.367361111101</v>
      </c>
      <c r="J3108" s="28" t="s">
        <v>51</v>
      </c>
      <c r="K3108" s="28" t="s">
        <v>51</v>
      </c>
      <c r="L3108" s="28" t="s">
        <v>51</v>
      </c>
      <c r="M3108" s="28" t="s">
        <v>51</v>
      </c>
      <c r="N3108" s="28" t="s">
        <v>51</v>
      </c>
    </row>
    <row r="3109" spans="1:14" x14ac:dyDescent="0.15">
      <c r="A3109" s="23" t="str">
        <f>HYPERLINK("https://www.spark-marketing.ru/Card/Person/1006135", "МБДОУ ДЕТСКИЙ САД №21 ""КАЛИНКА""")</f>
        <v>МБДОУ ДЕТСКИЙ САД №21 "КАЛИНКА"</v>
      </c>
      <c r="B3109" s="24" t="s">
        <v>5482</v>
      </c>
      <c r="C3109" s="25">
        <v>10095704</v>
      </c>
      <c r="D3109" s="22" t="s">
        <v>5483</v>
      </c>
      <c r="E3109" s="22" t="s">
        <v>48</v>
      </c>
      <c r="F3109" s="23" t="str">
        <f>HYPERLINK("https://www.spark-marketing.ru/Card/Lot/73401581", "Оказание услуг по организации питания воспитанников")</f>
        <v>Оказание услуг по организации питания воспитанников</v>
      </c>
      <c r="G3109" s="22" t="s">
        <v>49</v>
      </c>
      <c r="H3109" s="22" t="s">
        <v>180</v>
      </c>
      <c r="I3109" s="26">
        <v>43721.368750000001</v>
      </c>
      <c r="J3109" s="28" t="s">
        <v>51</v>
      </c>
      <c r="K3109" s="28" t="s">
        <v>51</v>
      </c>
      <c r="L3109" s="28" t="s">
        <v>51</v>
      </c>
      <c r="M3109" s="28" t="s">
        <v>51</v>
      </c>
      <c r="N3109" s="28" t="s">
        <v>51</v>
      </c>
    </row>
    <row r="3110" spans="1:14" x14ac:dyDescent="0.15">
      <c r="A3110" s="23" t="str">
        <f>HYPERLINK("https://www.spark-marketing.ru/Card/Person/1005877", "МБДОУ ДЕТСКИЙ САД №14 ""ДЕЛЬФИНЯТА""")</f>
        <v>МБДОУ ДЕТСКИЙ САД №14 "ДЕЛЬФИНЯТА"</v>
      </c>
      <c r="B3110" s="24" t="s">
        <v>5484</v>
      </c>
      <c r="C3110" s="25">
        <v>35085634</v>
      </c>
      <c r="D3110" s="22" t="s">
        <v>5485</v>
      </c>
      <c r="E3110" s="22" t="s">
        <v>48</v>
      </c>
      <c r="F3110" s="23" t="str">
        <f>HYPERLINK("https://www.spark-marketing.ru/Card/Lot/73397257", "Оказание услуг по организации питания воспитанников")</f>
        <v>Оказание услуг по организации питания воспитанников</v>
      </c>
      <c r="G3110" s="22" t="s">
        <v>49</v>
      </c>
      <c r="H3110" s="22" t="s">
        <v>180</v>
      </c>
      <c r="I3110" s="26">
        <v>43721.368055555598</v>
      </c>
      <c r="J3110" s="28" t="s">
        <v>51</v>
      </c>
      <c r="K3110" s="28" t="s">
        <v>51</v>
      </c>
      <c r="L3110" s="28" t="s">
        <v>51</v>
      </c>
      <c r="M3110" s="28" t="s">
        <v>51</v>
      </c>
      <c r="N3110" s="28" t="s">
        <v>51</v>
      </c>
    </row>
    <row r="3111" spans="1:14" x14ac:dyDescent="0.15">
      <c r="A3111" s="23" t="str">
        <f>HYPERLINK("https://www.spark-marketing.ru/Card/Person/6440832", "ГБУЗ ПК ""КБ""")</f>
        <v>ГБУЗ ПК "КБ"</v>
      </c>
      <c r="B3111" s="24" t="s">
        <v>5486</v>
      </c>
      <c r="C3111" s="25">
        <v>2586760</v>
      </c>
      <c r="D3111" s="22" t="s">
        <v>5487</v>
      </c>
      <c r="E3111" s="22" t="s">
        <v>96</v>
      </c>
      <c r="F3111" s="23" t="str">
        <f>HYPERLINK("https://www.spark-marketing.ru/Card/Lot/73392223", "ОКАЗАНИЕ УСЛУГ ПО ОРГАНИЗАЦИИ ЛЕЧЕБНОГО (ДИЕТИЧЕСКОГО) ПИТАНИЯ ПАЦИЕНТОВ ГБУЗ ПК «КБ»")</f>
        <v>ОКАЗАНИЕ УСЛУГ ПО ОРГАНИЗАЦИИ ЛЕЧЕБНОГО (ДИЕТИЧЕСКОГО) ПИТАНИЯ ПАЦИЕНТОВ ГБУЗ ПК «КБ»</v>
      </c>
      <c r="G3111" s="22" t="s">
        <v>153</v>
      </c>
      <c r="H3111" s="22" t="s">
        <v>153</v>
      </c>
      <c r="I3111" s="26">
        <v>43721.336805555598</v>
      </c>
      <c r="J3111" s="23" t="str">
        <f>HYPERLINK("https://www.spark-marketing.ru/Card/Person/6060554", "Паршакова Анна Владимировна")</f>
        <v>Паршакова Анна Владимировна</v>
      </c>
      <c r="K3111" s="24" t="s">
        <v>5488</v>
      </c>
      <c r="L3111" s="28" t="s">
        <v>51</v>
      </c>
      <c r="M3111" s="28" t="s">
        <v>51</v>
      </c>
      <c r="N3111" s="28" t="s">
        <v>51</v>
      </c>
    </row>
    <row r="3112" spans="1:14" ht="12.75" hidden="1" outlineLevel="1" x14ac:dyDescent="0.2">
      <c r="A3112" s="23" t="str">
        <f>HYPERLINK("https://www.spark-marketing.ru/Card/Person/6440832", "ГБУЗ ПК ""КБ""")</f>
        <v>ГБУЗ ПК "КБ"</v>
      </c>
      <c r="B3112" s="24" t="s">
        <v>5486</v>
      </c>
      <c r="C3112" s="25">
        <v>2586760</v>
      </c>
      <c r="D3112" s="22" t="s">
        <v>5487</v>
      </c>
      <c r="E3112" s="22" t="s">
        <v>96</v>
      </c>
      <c r="F3112" s="23" t="str">
        <f>HYPERLINK("https://www.spark-marketing.ru/Card/Lot/73392223", "ОКАЗАНИЕ УСЛУГ ПО ОРГАНИЗАЦИИ ЛЕЧЕБНОГО (ДИЕТИЧЕСКОГО) ПИТАНИЯ ПАЦИЕНТОВ ГБУЗ ПК «КБ»")</f>
        <v>ОКАЗАНИЕ УСЛУГ ПО ОРГАНИЗАЦИИ ЛЕЧЕБНОГО (ДИЕТИЧЕСКОГО) ПИТАНИЯ ПАЦИЕНТОВ ГБУЗ ПК «КБ»</v>
      </c>
      <c r="G3112" s="22" t="s">
        <v>153</v>
      </c>
      <c r="H3112" s="22" t="s">
        <v>153</v>
      </c>
      <c r="I3112" s="26">
        <v>43721.336805555598</v>
      </c>
      <c r="J3112" s="23" t="str">
        <f>HYPERLINK("https://www.spark-marketing.ru/Card/Person/6060554", "Паршакова Анна Владимировна")</f>
        <v>Паршакова Анна Владимировна</v>
      </c>
      <c r="K3112" s="24" t="s">
        <v>5488</v>
      </c>
      <c r="L3112" s="22" t="s">
        <v>10</v>
      </c>
      <c r="M3112" s="25">
        <v>2573826.2000000002</v>
      </c>
      <c r="N3112" s="27">
        <v>5.0000000000000001E-3</v>
      </c>
    </row>
    <row r="3113" spans="1:14" x14ac:dyDescent="0.15">
      <c r="A3113" s="23" t="str">
        <f>HYPERLINK("https://www.spark-marketing.ru/Card/Person/1006398", "МБДОУ ЦРР - ДЕТСКИЙ САД 1")</f>
        <v>МБДОУ ЦРР - ДЕТСКИЙ САД 1</v>
      </c>
      <c r="B3113" s="24" t="s">
        <v>5489</v>
      </c>
      <c r="C3113" s="25">
        <v>17850394</v>
      </c>
      <c r="D3113" s="22" t="s">
        <v>5490</v>
      </c>
      <c r="E3113" s="22" t="s">
        <v>48</v>
      </c>
      <c r="F3113" s="23" t="str">
        <f>HYPERLINK("https://www.spark-marketing.ru/Card/Lot/73397250", "Оказание услуг по организации питания воспитанников")</f>
        <v>Оказание услуг по организации питания воспитанников</v>
      </c>
      <c r="G3113" s="22" t="s">
        <v>49</v>
      </c>
      <c r="H3113" s="22" t="s">
        <v>180</v>
      </c>
      <c r="I3113" s="26">
        <v>43721.368750000001</v>
      </c>
      <c r="J3113" s="28" t="s">
        <v>51</v>
      </c>
      <c r="K3113" s="28" t="s">
        <v>51</v>
      </c>
      <c r="L3113" s="28" t="s">
        <v>51</v>
      </c>
      <c r="M3113" s="28" t="s">
        <v>51</v>
      </c>
      <c r="N3113" s="28" t="s">
        <v>51</v>
      </c>
    </row>
    <row r="3114" spans="1:14" hidden="1" outlineLevel="1" x14ac:dyDescent="0.15">
      <c r="A3114" s="23" t="str">
        <f>HYPERLINK("https://www.spark-marketing.ru/Card/Person/1006398", "МБДОУ ЦРР - ДЕТСКИЙ САД 1")</f>
        <v>МБДОУ ЦРР - ДЕТСКИЙ САД 1</v>
      </c>
      <c r="B3114" s="24" t="s">
        <v>5489</v>
      </c>
      <c r="C3114" s="25">
        <v>17850394</v>
      </c>
      <c r="D3114" s="22" t="s">
        <v>5490</v>
      </c>
      <c r="E3114" s="22" t="s">
        <v>48</v>
      </c>
      <c r="F3114" s="23" t="str">
        <f>HYPERLINK("https://www.spark-marketing.ru/Card/Lot/73397250", "Оказание услуг по организации питания воспитанников")</f>
        <v>Оказание услуг по организации питания воспитанников</v>
      </c>
      <c r="G3114" s="22" t="s">
        <v>49</v>
      </c>
      <c r="H3114" s="22" t="s">
        <v>180</v>
      </c>
      <c r="I3114" s="26">
        <v>43721.368750000001</v>
      </c>
      <c r="J3114" s="23" t="str">
        <f>HYPERLINK("https://www.spark-marketing.ru/Card/Person/60153", "ООО МОЛОЧНЫЙ ЗАВОД ""НАРО-ФОМИНСКИЙ""")</f>
        <v>ООО МОЛОЧНЫЙ ЗАВОД "НАРО-ФОМИНСКИЙ"</v>
      </c>
      <c r="K3114" s="24" t="s">
        <v>5326</v>
      </c>
      <c r="L3114" s="28" t="s">
        <v>51</v>
      </c>
      <c r="M3114" s="28" t="s">
        <v>51</v>
      </c>
      <c r="N3114" s="28" t="s">
        <v>51</v>
      </c>
    </row>
    <row r="3115" spans="1:14" hidden="1" outlineLevel="1" x14ac:dyDescent="0.15">
      <c r="A3115" s="23" t="str">
        <f>HYPERLINK("https://www.spark-marketing.ru/Card/Person/1006398", "МБДОУ ЦРР - ДЕТСКИЙ САД 1")</f>
        <v>МБДОУ ЦРР - ДЕТСКИЙ САД 1</v>
      </c>
      <c r="B3115" s="24" t="s">
        <v>5489</v>
      </c>
      <c r="C3115" s="25">
        <v>17850394</v>
      </c>
      <c r="D3115" s="22" t="s">
        <v>5490</v>
      </c>
      <c r="E3115" s="22" t="s">
        <v>48</v>
      </c>
      <c r="F3115" s="23" t="str">
        <f>HYPERLINK("https://www.spark-marketing.ru/Card/Lot/73397250", "Оказание услуг по организации питания воспитанников")</f>
        <v>Оказание услуг по организации питания воспитанников</v>
      </c>
      <c r="G3115" s="22" t="s">
        <v>49</v>
      </c>
      <c r="H3115" s="22" t="s">
        <v>180</v>
      </c>
      <c r="I3115" s="26">
        <v>43721.368750000001</v>
      </c>
      <c r="J3115" s="23" t="str">
        <f>HYPERLINK("https://www.spark-marketing.ru/Card/Person/58232", "ООО ""АВАНГАРД""")</f>
        <v>ООО "АВАНГАРД"</v>
      </c>
      <c r="K3115" s="24" t="s">
        <v>5327</v>
      </c>
      <c r="L3115" s="28" t="s">
        <v>51</v>
      </c>
      <c r="M3115" s="28" t="s">
        <v>51</v>
      </c>
      <c r="N3115" s="28" t="s">
        <v>51</v>
      </c>
    </row>
    <row r="3116" spans="1:14" hidden="1" outlineLevel="1" x14ac:dyDescent="0.15">
      <c r="A3116" s="23" t="str">
        <f>HYPERLINK("https://www.spark-marketing.ru/Card/Person/1006398", "МБДОУ ЦРР - ДЕТСКИЙ САД 1")</f>
        <v>МБДОУ ЦРР - ДЕТСКИЙ САД 1</v>
      </c>
      <c r="B3116" s="24" t="s">
        <v>5489</v>
      </c>
      <c r="C3116" s="25">
        <v>17850394</v>
      </c>
      <c r="D3116" s="22" t="s">
        <v>5490</v>
      </c>
      <c r="E3116" s="22" t="s">
        <v>48</v>
      </c>
      <c r="F3116" s="23" t="str">
        <f>HYPERLINK("https://www.spark-marketing.ru/Card/Lot/73397250", "Оказание услуг по организации питания воспитанников")</f>
        <v>Оказание услуг по организации питания воспитанников</v>
      </c>
      <c r="G3116" s="22" t="s">
        <v>49</v>
      </c>
      <c r="H3116" s="22" t="s">
        <v>180</v>
      </c>
      <c r="I3116" s="26">
        <v>43721.368750000001</v>
      </c>
      <c r="J3116" s="23" t="str">
        <f>HYPERLINK("https://www.spark-marketing.ru/Card/Person/4890181", "ООО ""БОЛЬШАЯ ПЕРЕМЕНА""")</f>
        <v>ООО "БОЛЬШАЯ ПЕРЕМЕНА"</v>
      </c>
      <c r="K3116" s="24" t="s">
        <v>5419</v>
      </c>
      <c r="L3116" s="28" t="s">
        <v>51</v>
      </c>
      <c r="M3116" s="28" t="s">
        <v>51</v>
      </c>
      <c r="N3116" s="28" t="s">
        <v>51</v>
      </c>
    </row>
    <row r="3117" spans="1:14" x14ac:dyDescent="0.15">
      <c r="A3117" s="23" t="str">
        <f>HYPERLINK("https://www.spark-marketing.ru/Card/Person/1005095", "МБДОУ ЦРР-Д/С ""РАДУГА""")</f>
        <v>МБДОУ ЦРР-Д/С "РАДУГА"</v>
      </c>
      <c r="B3117" s="24" t="s">
        <v>5491</v>
      </c>
      <c r="C3117" s="25">
        <v>10774262</v>
      </c>
      <c r="D3117" s="22" t="s">
        <v>5492</v>
      </c>
      <c r="E3117" s="22" t="s">
        <v>48</v>
      </c>
      <c r="F3117" s="23" t="str">
        <f>HYPERLINK("https://www.spark-marketing.ru/Card/Lot/73397241", "Оказание услуг по организации питания воспитанников")</f>
        <v>Оказание услуг по организации питания воспитанников</v>
      </c>
      <c r="G3117" s="22" t="s">
        <v>49</v>
      </c>
      <c r="H3117" s="22" t="s">
        <v>180</v>
      </c>
      <c r="I3117" s="26">
        <v>43721.368750000001</v>
      </c>
      <c r="J3117" s="28" t="s">
        <v>51</v>
      </c>
      <c r="K3117" s="28" t="s">
        <v>51</v>
      </c>
      <c r="L3117" s="28" t="s">
        <v>51</v>
      </c>
      <c r="M3117" s="28" t="s">
        <v>51</v>
      </c>
      <c r="N3117" s="28" t="s">
        <v>51</v>
      </c>
    </row>
    <row r="3118" spans="1:14" x14ac:dyDescent="0.15">
      <c r="A3118" s="23" t="str">
        <f>HYPERLINK("https://www.spark-marketing.ru/Card/Person/996121", "МБДОУ ДЕТСКИЙ САД № 15 ""СВЕТЛЯЧОК""")</f>
        <v>МБДОУ ДЕТСКИЙ САД № 15 "СВЕТЛЯЧОК"</v>
      </c>
      <c r="B3118" s="24" t="s">
        <v>5493</v>
      </c>
      <c r="C3118" s="25">
        <v>16495084</v>
      </c>
      <c r="D3118" s="22" t="s">
        <v>5494</v>
      </c>
      <c r="E3118" s="22" t="s">
        <v>48</v>
      </c>
      <c r="F3118" s="23" t="str">
        <f>HYPERLINK("https://www.spark-marketing.ru/Card/Lot/73397246", "Оказание услуг по организации питания воспитанников")</f>
        <v>Оказание услуг по организации питания воспитанников</v>
      </c>
      <c r="G3118" s="22" t="s">
        <v>49</v>
      </c>
      <c r="H3118" s="22" t="s">
        <v>180</v>
      </c>
      <c r="I3118" s="26">
        <v>43721.369444444397</v>
      </c>
      <c r="J3118" s="28" t="s">
        <v>51</v>
      </c>
      <c r="K3118" s="28" t="s">
        <v>51</v>
      </c>
      <c r="L3118" s="28" t="s">
        <v>51</v>
      </c>
      <c r="M3118" s="28" t="s">
        <v>51</v>
      </c>
      <c r="N3118" s="28" t="s">
        <v>51</v>
      </c>
    </row>
    <row r="3119" spans="1:14" x14ac:dyDescent="0.15">
      <c r="A3119" s="23" t="str">
        <f>HYPERLINK("https://www.spark-marketing.ru/Card/Person/140249", "МБДОУ ДЕТСКИЙ САД № 46 ""ОРЛЁНОК""")</f>
        <v>МБДОУ ДЕТСКИЙ САД № 46 "ОРЛЁНОК"</v>
      </c>
      <c r="B3119" s="24" t="s">
        <v>5495</v>
      </c>
      <c r="C3119" s="25">
        <v>10774262</v>
      </c>
      <c r="D3119" s="22" t="s">
        <v>5496</v>
      </c>
      <c r="E3119" s="22" t="s">
        <v>48</v>
      </c>
      <c r="F3119" s="23" t="str">
        <f>HYPERLINK("https://www.spark-marketing.ru/Card/Lot/73398866", "Оказание услуг по организации питания воспитанников")</f>
        <v>Оказание услуг по организации питания воспитанников</v>
      </c>
      <c r="G3119" s="22" t="s">
        <v>49</v>
      </c>
      <c r="H3119" s="22" t="s">
        <v>180</v>
      </c>
      <c r="I3119" s="26">
        <v>43721.369444444397</v>
      </c>
      <c r="J3119" s="28" t="s">
        <v>51</v>
      </c>
      <c r="K3119" s="28" t="s">
        <v>51</v>
      </c>
      <c r="L3119" s="28" t="s">
        <v>51</v>
      </c>
      <c r="M3119" s="28" t="s">
        <v>51</v>
      </c>
      <c r="N3119" s="28" t="s">
        <v>51</v>
      </c>
    </row>
    <row r="3120" spans="1:14" hidden="1" outlineLevel="1" x14ac:dyDescent="0.15">
      <c r="A3120" s="23" t="str">
        <f>HYPERLINK("https://www.spark-marketing.ru/Card/Person/140249", "МБДОУ ДЕТСКИЙ САД № 46 ""ОРЛЁНОК""")</f>
        <v>МБДОУ ДЕТСКИЙ САД № 46 "ОРЛЁНОК"</v>
      </c>
      <c r="B3120" s="24" t="s">
        <v>5495</v>
      </c>
      <c r="C3120" s="25">
        <v>10774262</v>
      </c>
      <c r="D3120" s="22" t="s">
        <v>5496</v>
      </c>
      <c r="E3120" s="22" t="s">
        <v>48</v>
      </c>
      <c r="F3120" s="23" t="str">
        <f>HYPERLINK("https://www.spark-marketing.ru/Card/Lot/73398866", "Оказание услуг по организации питания воспитанников")</f>
        <v>Оказание услуг по организации питания воспитанников</v>
      </c>
      <c r="G3120" s="22" t="s">
        <v>49</v>
      </c>
      <c r="H3120" s="22" t="s">
        <v>180</v>
      </c>
      <c r="I3120" s="26">
        <v>43721.369444444397</v>
      </c>
      <c r="J3120" s="23" t="str">
        <f>HYPERLINK("https://www.spark-marketing.ru/Card/Person/60153", "ООО МОЛОЧНЫЙ ЗАВОД ""НАРО-ФОМИНСКИЙ""")</f>
        <v>ООО МОЛОЧНЫЙ ЗАВОД "НАРО-ФОМИНСКИЙ"</v>
      </c>
      <c r="K3120" s="24" t="s">
        <v>5326</v>
      </c>
      <c r="L3120" s="28" t="s">
        <v>51</v>
      </c>
      <c r="M3120" s="28" t="s">
        <v>51</v>
      </c>
      <c r="N3120" s="28" t="s">
        <v>51</v>
      </c>
    </row>
    <row r="3121" spans="1:14" hidden="1" outlineLevel="1" x14ac:dyDescent="0.15">
      <c r="A3121" s="23" t="str">
        <f>HYPERLINK("https://www.spark-marketing.ru/Card/Person/140249", "МБДОУ ДЕТСКИЙ САД № 46 ""ОРЛЁНОК""")</f>
        <v>МБДОУ ДЕТСКИЙ САД № 46 "ОРЛЁНОК"</v>
      </c>
      <c r="B3121" s="24" t="s">
        <v>5495</v>
      </c>
      <c r="C3121" s="25">
        <v>10774262</v>
      </c>
      <c r="D3121" s="22" t="s">
        <v>5496</v>
      </c>
      <c r="E3121" s="22" t="s">
        <v>48</v>
      </c>
      <c r="F3121" s="23" t="str">
        <f>HYPERLINK("https://www.spark-marketing.ru/Card/Lot/73398866", "Оказание услуг по организации питания воспитанников")</f>
        <v>Оказание услуг по организации питания воспитанников</v>
      </c>
      <c r="G3121" s="22" t="s">
        <v>49</v>
      </c>
      <c r="H3121" s="22" t="s">
        <v>180</v>
      </c>
      <c r="I3121" s="26">
        <v>43721.369444444397</v>
      </c>
      <c r="J3121" s="23" t="str">
        <f>HYPERLINK("https://www.spark-marketing.ru/Card/Person/58232", "ООО ""АВАНГАРД""")</f>
        <v>ООО "АВАНГАРД"</v>
      </c>
      <c r="K3121" s="24" t="s">
        <v>5327</v>
      </c>
      <c r="L3121" s="28" t="s">
        <v>51</v>
      </c>
      <c r="M3121" s="28" t="s">
        <v>51</v>
      </c>
      <c r="N3121" s="28" t="s">
        <v>51</v>
      </c>
    </row>
    <row r="3122" spans="1:14" x14ac:dyDescent="0.15">
      <c r="A3122" s="23" t="str">
        <f>HYPERLINK("https://www.spark-marketing.ru/Card/Person/5071", "ГБУЗ ПК ""ЧАЙКОВСКАЯ ДГБ""")</f>
        <v>ГБУЗ ПК "ЧАЙКОВСКАЯ ДГБ"</v>
      </c>
      <c r="B3122" s="24" t="s">
        <v>5497</v>
      </c>
      <c r="C3122" s="25">
        <v>2997032.7</v>
      </c>
      <c r="D3122" s="22" t="s">
        <v>5498</v>
      </c>
      <c r="E3122" s="22" t="s">
        <v>96</v>
      </c>
      <c r="F3122" s="23" t="str">
        <f>HYPERLINK("https://www.spark-marketing.ru/Card/Lot/73392212", "Оказание услуг по организации и обеспечению лечебным питанием пациентов, находящихся на стационарном лечении")</f>
        <v>Оказание услуг по организации и обеспечению лечебным питанием пациентов, находящихся на стационарном лечении</v>
      </c>
      <c r="G3122" s="22" t="s">
        <v>153</v>
      </c>
      <c r="H3122" s="22" t="s">
        <v>153</v>
      </c>
      <c r="I3122" s="26">
        <v>43721.337500000001</v>
      </c>
      <c r="J3122" s="28" t="s">
        <v>51</v>
      </c>
      <c r="K3122" s="28" t="s">
        <v>51</v>
      </c>
      <c r="L3122" s="28" t="s">
        <v>51</v>
      </c>
      <c r="M3122" s="28" t="s">
        <v>51</v>
      </c>
      <c r="N3122" s="28" t="s">
        <v>51</v>
      </c>
    </row>
    <row r="3123" spans="1:14" x14ac:dyDescent="0.15">
      <c r="A3123" s="23" t="str">
        <f>HYPERLINK("https://www.spark-marketing.ru/Card/Person/78693", "КОМИТЕТ ПО ИНФОРМАЦИОННОЙ ПОЛИТИКЕ И МАССОВЫМ КОММУНИКАЦИЯМ ПРАВИТЕЛЬСТВА ХАБАРОВСКОГО КРАЯ")</f>
        <v>КОМИТЕТ ПО ИНФОРМАЦИОННОЙ ПОЛИТИКЕ И МАССОВЫМ КОММУНИКАЦИЯМ ПРАВИТЕЛЬСТВА ХАБАРОВСКОГО КРАЯ</v>
      </c>
      <c r="B3123" s="24" t="s">
        <v>5499</v>
      </c>
      <c r="C3123" s="25">
        <v>23800</v>
      </c>
      <c r="D3123" s="22" t="s">
        <v>5500</v>
      </c>
      <c r="E3123" s="22" t="s">
        <v>48</v>
      </c>
      <c r="F3123" s="23" t="str">
        <f>HYPERLINK("https://www.spark-marketing.ru/Card/Lot/73390918", "Услуги по обеспечению питанием, осуществляемые по договору, 34 усл. ед")</f>
        <v>Услуги по обеспечению питанием, осуществляемые по договору, 34 усл. ед</v>
      </c>
      <c r="G3123" s="22" t="s">
        <v>1096</v>
      </c>
      <c r="H3123" s="22" t="s">
        <v>1097</v>
      </c>
      <c r="I3123" s="26">
        <v>43721.238356481503</v>
      </c>
      <c r="J3123" s="28" t="s">
        <v>51</v>
      </c>
      <c r="K3123" s="28" t="s">
        <v>51</v>
      </c>
      <c r="L3123" s="28" t="s">
        <v>51</v>
      </c>
      <c r="M3123" s="28" t="s">
        <v>51</v>
      </c>
      <c r="N3123" s="28" t="s">
        <v>51</v>
      </c>
    </row>
    <row r="3124" spans="1:14" x14ac:dyDescent="0.15">
      <c r="A3124" s="23" t="str">
        <f>HYPERLINK("https://www.spark-marketing.ru/Card/Person/746502", "МБДОУ Д/С № 10 ""КОЛОКОЛЬЧИК""")</f>
        <v>МБДОУ Д/С № 10 "КОЛОКОЛЬЧИК"</v>
      </c>
      <c r="B3124" s="24" t="s">
        <v>5501</v>
      </c>
      <c r="C3124" s="25">
        <v>415000</v>
      </c>
      <c r="D3124" s="22" t="s">
        <v>5502</v>
      </c>
      <c r="E3124" s="22" t="s">
        <v>362</v>
      </c>
      <c r="F3124" s="23" t="str">
        <f>HYPERLINK("https://www.spark-marketing.ru/Card/Lot/73406431", "Услуги по организации горячего питания")</f>
        <v>Услуги по организации горячего питания</v>
      </c>
      <c r="G3124" s="22" t="s">
        <v>145</v>
      </c>
      <c r="H3124" s="22" t="s">
        <v>145</v>
      </c>
      <c r="I3124" s="26">
        <v>43721</v>
      </c>
      <c r="J3124" s="28" t="s">
        <v>51</v>
      </c>
      <c r="K3124" s="28" t="s">
        <v>51</v>
      </c>
      <c r="L3124" s="28" t="s">
        <v>51</v>
      </c>
      <c r="M3124" s="28" t="s">
        <v>51</v>
      </c>
      <c r="N3124" s="28" t="s">
        <v>51</v>
      </c>
    </row>
    <row r="3125" spans="1:14" x14ac:dyDescent="0.15">
      <c r="A3125" s="23" t="str">
        <f>HYPERLINK("https://www.spark-marketing.ru/Card/Person/743244", "МБДОУ ЦРР-Д/С № 4 ""КОЛОСОК""")</f>
        <v>МБДОУ ЦРР-Д/С № 4 "КОЛОСОК"</v>
      </c>
      <c r="B3125" s="24" t="s">
        <v>5503</v>
      </c>
      <c r="C3125" s="25">
        <v>550000</v>
      </c>
      <c r="D3125" s="22" t="s">
        <v>5504</v>
      </c>
      <c r="E3125" s="22" t="s">
        <v>362</v>
      </c>
      <c r="F3125" s="23" t="str">
        <f>HYPERLINK("https://www.spark-marketing.ru/Card/Lot/73395883", "Услуги по организации горячего питания")</f>
        <v>Услуги по организации горячего питания</v>
      </c>
      <c r="G3125" s="22" t="s">
        <v>145</v>
      </c>
      <c r="H3125" s="22" t="s">
        <v>145</v>
      </c>
      <c r="I3125" s="26">
        <v>43721</v>
      </c>
      <c r="J3125" s="28" t="s">
        <v>51</v>
      </c>
      <c r="K3125" s="28" t="s">
        <v>51</v>
      </c>
      <c r="L3125" s="28" t="s">
        <v>51</v>
      </c>
      <c r="M3125" s="28" t="s">
        <v>51</v>
      </c>
      <c r="N3125" s="28" t="s">
        <v>51</v>
      </c>
    </row>
    <row r="3126" spans="1:14" x14ac:dyDescent="0.15">
      <c r="A3126" s="23" t="str">
        <f>HYPERLINK("https://www.spark-marketing.ru/Card/Person/743525", "МБДОУ Д/С № 9 ""МАЛЫШКА""")</f>
        <v>МБДОУ Д/С № 9 "МАЛЫШКА"</v>
      </c>
      <c r="B3126" s="24" t="s">
        <v>5505</v>
      </c>
      <c r="C3126" s="25">
        <v>265000</v>
      </c>
      <c r="D3126" s="22" t="s">
        <v>5506</v>
      </c>
      <c r="E3126" s="22" t="s">
        <v>362</v>
      </c>
      <c r="F3126" s="23" t="str">
        <f>HYPERLINK("https://www.spark-marketing.ru/Card/Lot/73406261", "Услуги по организации горячего питания")</f>
        <v>Услуги по организации горячего питания</v>
      </c>
      <c r="G3126" s="22" t="s">
        <v>145</v>
      </c>
      <c r="H3126" s="22" t="s">
        <v>145</v>
      </c>
      <c r="I3126" s="26">
        <v>43721</v>
      </c>
      <c r="J3126" s="28" t="s">
        <v>51</v>
      </c>
      <c r="K3126" s="28" t="s">
        <v>51</v>
      </c>
      <c r="L3126" s="28" t="s">
        <v>51</v>
      </c>
      <c r="M3126" s="28" t="s">
        <v>51</v>
      </c>
      <c r="N3126" s="28" t="s">
        <v>51</v>
      </c>
    </row>
    <row r="3127" spans="1:14" x14ac:dyDescent="0.2">
      <c r="A3127" s="23" t="str">
        <f>HYPERLINK("https://www.spark-marketing.ru/Card/Person/18539", "АУ ВО ОЦМИГИ ""СОДРУЖЕСТВО""")</f>
        <v>АУ ВО ОЦМИГИ "СОДРУЖЕСТВО"</v>
      </c>
      <c r="B3127" s="24" t="s">
        <v>959</v>
      </c>
      <c r="C3127" s="25">
        <v>188000</v>
      </c>
      <c r="D3127" s="22" t="s">
        <v>5507</v>
      </c>
      <c r="E3127" s="22" t="s">
        <v>5508</v>
      </c>
      <c r="F3127" s="23" t="str">
        <f>HYPERLINK("https://www.spark-marketing.ru/Card/Lot/73412055", "услуги по организации проживания и питания участников обучающих сборов для несовершеннолетних девушек с девиантным поведением «Шаг вперед»")</f>
        <v>услуги по организации проживания и питания участников обучающих сборов для несовершеннолетних девушек с девиантным поведением «Шаг вперед»</v>
      </c>
      <c r="G3127" s="22" t="s">
        <v>503</v>
      </c>
      <c r="H3127" s="22" t="s">
        <v>503</v>
      </c>
      <c r="I3127" s="26">
        <v>43721</v>
      </c>
      <c r="J3127" s="28" t="s">
        <v>51</v>
      </c>
      <c r="K3127" s="28" t="s">
        <v>51</v>
      </c>
      <c r="L3127" s="28" t="s">
        <v>51</v>
      </c>
      <c r="M3127" s="25">
        <v>188000</v>
      </c>
      <c r="N3127" s="27">
        <v>0</v>
      </c>
    </row>
    <row r="3128" spans="1:14" x14ac:dyDescent="0.2">
      <c r="A3128" s="23" t="str">
        <f>HYPERLINK("https://www.spark-marketing.ru/Card/Person/1759639", "МАОУ МАЛЬКОВСКАЯ СОШ")</f>
        <v>МАОУ МАЛЬКОВСКАЯ СОШ</v>
      </c>
      <c r="B3128" s="24" t="s">
        <v>5509</v>
      </c>
      <c r="C3128" s="25">
        <v>1966888</v>
      </c>
      <c r="D3128" s="22" t="s">
        <v>5510</v>
      </c>
      <c r="E3128" s="22" t="s">
        <v>362</v>
      </c>
      <c r="F3128" s="23" t="str">
        <f>HYPERLINK("https://www.spark-marketing.ru/Card/Lot/73409720", "Оказание услуг по организации питания обучающихся для нужд МАОУ Мальковская СОШ")</f>
        <v>Оказание услуг по организации питания обучающихся для нужд МАОУ Мальковская СОШ</v>
      </c>
      <c r="G3128" s="22" t="s">
        <v>766</v>
      </c>
      <c r="H3128" s="22" t="s">
        <v>766</v>
      </c>
      <c r="I3128" s="26">
        <v>43721</v>
      </c>
      <c r="J3128" s="28" t="s">
        <v>51</v>
      </c>
      <c r="K3128" s="28" t="s">
        <v>51</v>
      </c>
      <c r="L3128" s="28" t="s">
        <v>51</v>
      </c>
      <c r="M3128" s="25">
        <v>1966888</v>
      </c>
      <c r="N3128" s="27">
        <v>0</v>
      </c>
    </row>
    <row r="3129" spans="1:14" x14ac:dyDescent="0.15">
      <c r="A3129" s="23" t="str">
        <f>HYPERLINK("https://www.spark-marketing.ru/Card/Person/4365587", "ООО ""ГАЗПРОМ ДОБЫЧА НОЯБРЬСК""")</f>
        <v>ООО "ГАЗПРОМ ДОБЫЧА НОЯБРЬСК"</v>
      </c>
      <c r="B3129" s="24" t="s">
        <v>5511</v>
      </c>
      <c r="C3129" s="25">
        <v>74183702.390000001</v>
      </c>
      <c r="D3129" s="22" t="s">
        <v>5512</v>
      </c>
      <c r="E3129" s="22" t="s">
        <v>362</v>
      </c>
      <c r="F3129" s="23" t="str">
        <f>HYPERLINK("https://www.spark-marketing.ru/Card/Lot/73409660", "Оказание услуг по организации общественного питания и торгового обслуживания на Чаяндинском НГКМ для нужд ООО ""Газпром добыча Ноябрьск"" в 2020 г. (для субъектов малого и среднего предпринимательства)")</f>
        <v>Оказание услуг по организации общественного питания и торгового обслуживания на Чаяндинском НГКМ для нужд ООО "Газпром добыча Ноябрьск" в 2020 г. (для субъектов малого и среднего предпринимательства)</v>
      </c>
      <c r="G3129" s="22" t="s">
        <v>1056</v>
      </c>
      <c r="H3129" s="22" t="s">
        <v>1258</v>
      </c>
      <c r="I3129" s="26">
        <v>43721</v>
      </c>
      <c r="J3129" s="28" t="s">
        <v>51</v>
      </c>
      <c r="K3129" s="28" t="s">
        <v>51</v>
      </c>
      <c r="L3129" s="28" t="s">
        <v>51</v>
      </c>
      <c r="M3129" s="28" t="s">
        <v>51</v>
      </c>
      <c r="N3129" s="28" t="s">
        <v>51</v>
      </c>
    </row>
    <row r="3130" spans="1:14" x14ac:dyDescent="0.15">
      <c r="A3130" s="23" t="str">
        <f>HYPERLINK("https://www.spark-marketing.ru/Card/Person/92736", "ФБУЗ ""ЦЕНТР ГИГИЕНЫ И ЭПИДЕМИОЛОГИИ В МОСКОВСКОЙ ОБЛАСТИ"" ФБУЗ ""ЦГИЭ В МОСКОВСКОЙ ОБЛАСТИ")</f>
        <v>ФБУЗ "ЦЕНТР ГИГИЕНЫ И ЭПИДЕМИОЛОГИИ В МОСКОВСКОЙ ОБЛАСТИ" ФБУЗ "ЦГИЭ В МОСКОВСКОЙ ОБЛАСТИ</v>
      </c>
      <c r="B3130" s="24" t="s">
        <v>5513</v>
      </c>
      <c r="C3130" s="25">
        <v>85500</v>
      </c>
      <c r="D3130" s="22" t="s">
        <v>5514</v>
      </c>
      <c r="E3130" s="22" t="s">
        <v>5515</v>
      </c>
      <c r="F3130" s="23" t="str">
        <f>HYPERLINK("https://www.spark-marketing.ru/Card/Lot/73385952", "Оказание услуг по программе дополнительного профессионального образования: ""Органолнптический анализ продуктов питания""")</f>
        <v>Оказание услуг по программе дополнительного профессионального образования: "Органолнптический анализ продуктов питания"</v>
      </c>
      <c r="G3130" s="22" t="s">
        <v>49</v>
      </c>
      <c r="H3130" s="22" t="s">
        <v>537</v>
      </c>
      <c r="I3130" s="26">
        <v>43720</v>
      </c>
      <c r="J3130" s="28" t="s">
        <v>51</v>
      </c>
      <c r="K3130" s="28" t="s">
        <v>51</v>
      </c>
      <c r="L3130" s="28" t="s">
        <v>51</v>
      </c>
      <c r="M3130" s="28" t="s">
        <v>51</v>
      </c>
      <c r="N3130" s="28" t="s">
        <v>51</v>
      </c>
    </row>
    <row r="3131" spans="1:14" x14ac:dyDescent="0.15">
      <c r="A3131" s="23" t="str">
        <f>HYPERLINK("https://www.spark-marketing.ru/Card/Person/743149", "МБДОУ Д/С № 6 ""ТЕРЕМОК""")</f>
        <v>МБДОУ Д/С № 6 "ТЕРЕМОК"</v>
      </c>
      <c r="B3131" s="24" t="s">
        <v>5516</v>
      </c>
      <c r="C3131" s="25">
        <v>448000</v>
      </c>
      <c r="D3131" s="22" t="s">
        <v>5517</v>
      </c>
      <c r="E3131" s="22" t="s">
        <v>362</v>
      </c>
      <c r="F3131" s="23" t="str">
        <f>HYPERLINK("https://www.spark-marketing.ru/Card/Lot/73403355", "Услуги по организации горячего питания")</f>
        <v>Услуги по организации горячего питания</v>
      </c>
      <c r="G3131" s="22" t="s">
        <v>145</v>
      </c>
      <c r="H3131" s="22" t="s">
        <v>145</v>
      </c>
      <c r="I3131" s="26">
        <v>43721</v>
      </c>
      <c r="J3131" s="28" t="s">
        <v>51</v>
      </c>
      <c r="K3131" s="28" t="s">
        <v>51</v>
      </c>
      <c r="L3131" s="28" t="s">
        <v>51</v>
      </c>
      <c r="M3131" s="28" t="s">
        <v>51</v>
      </c>
      <c r="N3131" s="28" t="s">
        <v>51</v>
      </c>
    </row>
    <row r="3132" spans="1:14" x14ac:dyDescent="0.15">
      <c r="A3132" s="23" t="str">
        <f>HYPERLINK("https://www.spark-marketing.ru/Card/Person/743633", "МБДОУ Д/С № 8 ""ЛАДУШКИ""")</f>
        <v>МБДОУ Д/С № 8 "ЛАДУШКИ"</v>
      </c>
      <c r="B3132" s="24" t="s">
        <v>5518</v>
      </c>
      <c r="C3132" s="25">
        <v>460000</v>
      </c>
      <c r="D3132" s="22" t="s">
        <v>5519</v>
      </c>
      <c r="E3132" s="22" t="s">
        <v>362</v>
      </c>
      <c r="F3132" s="23" t="str">
        <f>HYPERLINK("https://www.spark-marketing.ru/Card/Lot/73403242", "Услуги по организации горячего питания")</f>
        <v>Услуги по организации горячего питания</v>
      </c>
      <c r="G3132" s="22" t="s">
        <v>145</v>
      </c>
      <c r="H3132" s="22" t="s">
        <v>145</v>
      </c>
      <c r="I3132" s="26">
        <v>43721</v>
      </c>
      <c r="J3132" s="28" t="s">
        <v>51</v>
      </c>
      <c r="K3132" s="28" t="s">
        <v>51</v>
      </c>
      <c r="L3132" s="28" t="s">
        <v>51</v>
      </c>
      <c r="M3132" s="28" t="s">
        <v>51</v>
      </c>
      <c r="N3132" s="28" t="s">
        <v>51</v>
      </c>
    </row>
    <row r="3133" spans="1:14" x14ac:dyDescent="0.15">
      <c r="A3133" s="23" t="str">
        <f>HYPERLINK("https://www.spark-marketing.ru/Card/Person/1732440", "ООО ""РТ-КОМПЛЕКТИМПЕКС""")</f>
        <v>ООО "РТ-КОМПЛЕКТИМПЕКС"</v>
      </c>
      <c r="B3133" s="24" t="s">
        <v>5520</v>
      </c>
      <c r="C3133" s="25">
        <v>4000000</v>
      </c>
      <c r="D3133" s="22" t="s">
        <v>5521</v>
      </c>
      <c r="E3133" s="22" t="s">
        <v>562</v>
      </c>
      <c r="F3133" s="23" t="str">
        <f>HYPERLINK("https://www.spark-marketing.ru/Card/Lot/73412661", "1170-2019-00019. Оказание услуг по организации питания для слушателей обучающих мероприятий (кофе-брейки)")</f>
        <v>1170-2019-00019. Оказание услуг по организации питания для слушателей обучающих мероприятий (кофе-брейки)</v>
      </c>
      <c r="G3133" s="22" t="s">
        <v>56</v>
      </c>
      <c r="H3133" s="22" t="s">
        <v>56</v>
      </c>
      <c r="I3133" s="26">
        <v>43721</v>
      </c>
      <c r="J3133" s="28" t="s">
        <v>51</v>
      </c>
      <c r="K3133" s="28" t="s">
        <v>51</v>
      </c>
      <c r="L3133" s="28" t="s">
        <v>51</v>
      </c>
      <c r="M3133" s="28" t="s">
        <v>51</v>
      </c>
      <c r="N3133" s="28" t="s">
        <v>51</v>
      </c>
    </row>
    <row r="3134" spans="1:14" x14ac:dyDescent="0.2">
      <c r="A3134" s="23" t="str">
        <f>HYPERLINK("https://www.spark-marketing.ru/Card/Person/81143", "ГБОУ КО КШИ ""АПКМК""")</f>
        <v>ГБОУ КО КШИ "АПКМК"</v>
      </c>
      <c r="B3134" s="24" t="s">
        <v>3203</v>
      </c>
      <c r="C3134" s="25">
        <v>252520</v>
      </c>
      <c r="D3134" s="22" t="s">
        <v>5522</v>
      </c>
      <c r="E3134" s="22" t="s">
        <v>362</v>
      </c>
      <c r="F3134" s="23" t="str">
        <f>HYPERLINK("https://www.spark-marketing.ru/Card/Lot/73389940", "оказание услуги по организации питания детей в детском оздоровительном лагере государственного бюджетного общеобразовательного учреждения Калининградской области кадетской школы-интерната «Андрея Первозванного Кадетский морской корпус»")</f>
        <v>оказание услуги по организации питания детей в детском оздоровительном лагере государственного бюджетного общеобразовательного учреждения Калининградской области кадетской школы-интерната «Андрея Первозванного Кадетский морской корпус»</v>
      </c>
      <c r="G3134" s="22" t="s">
        <v>400</v>
      </c>
      <c r="H3134" s="22" t="s">
        <v>400</v>
      </c>
      <c r="I3134" s="26">
        <v>43720.891967592601</v>
      </c>
      <c r="J3134" s="28" t="s">
        <v>51</v>
      </c>
      <c r="K3134" s="28" t="s">
        <v>51</v>
      </c>
      <c r="L3134" s="22" t="s">
        <v>10</v>
      </c>
      <c r="M3134" s="25">
        <v>252520</v>
      </c>
      <c r="N3134" s="27">
        <v>0</v>
      </c>
    </row>
    <row r="3135" spans="1:14" x14ac:dyDescent="0.15">
      <c r="A3135" s="23" t="str">
        <f>HYPERLINK("https://www.spark-marketing.ru/Card/Person/4378549", "ГАУК РК ""АЛУПКИНСКИЙ МУЗЕЙ-ЗАПОВЕДНИК""")</f>
        <v>ГАУК РК "АЛУПКИНСКИЙ МУЗЕЙ-ЗАПОВЕДНИК"</v>
      </c>
      <c r="B3135" s="24" t="s">
        <v>5523</v>
      </c>
      <c r="C3135" s="25">
        <v>185961</v>
      </c>
      <c r="D3135" s="22" t="s">
        <v>5524</v>
      </c>
      <c r="E3135" s="22" t="s">
        <v>362</v>
      </c>
      <c r="F3135" s="23" t="str">
        <f>HYPERLINK("https://www.spark-marketing.ru/Card/Lot/73411227", "Оказание услуги по организации питания для участников конференции")</f>
        <v>Оказание услуги по организации питания для участников конференции</v>
      </c>
      <c r="G3135" s="22" t="s">
        <v>108</v>
      </c>
      <c r="H3135" s="22" t="s">
        <v>108</v>
      </c>
      <c r="I3135" s="26">
        <v>43721</v>
      </c>
      <c r="J3135" s="28" t="s">
        <v>51</v>
      </c>
      <c r="K3135" s="28" t="s">
        <v>51</v>
      </c>
      <c r="L3135" s="28" t="s">
        <v>51</v>
      </c>
      <c r="M3135" s="28" t="s">
        <v>51</v>
      </c>
      <c r="N3135" s="28" t="s">
        <v>51</v>
      </c>
    </row>
    <row r="3136" spans="1:14" x14ac:dyDescent="0.2">
      <c r="A3136" s="23" t="str">
        <f>HYPERLINK("https://www.spark-marketing.ru/Card/Person/240535", "ГПОАУ АТК")</f>
        <v>ГПОАУ АТК</v>
      </c>
      <c r="B3136" s="24" t="s">
        <v>2228</v>
      </c>
      <c r="C3136" s="25">
        <v>392094</v>
      </c>
      <c r="D3136" s="22" t="s">
        <v>5525</v>
      </c>
      <c r="E3136" s="22" t="s">
        <v>362</v>
      </c>
      <c r="F3136" s="23" t="str">
        <f>HYPERLINK("https://www.spark-marketing.ru/Card/Lot/73395862", "Оказание услуг по организации горячего питания г. Шимановск")</f>
        <v>Оказание услуг по организации горячего питания г. Шимановск</v>
      </c>
      <c r="G3136" s="22" t="s">
        <v>210</v>
      </c>
      <c r="H3136" s="22" t="s">
        <v>210</v>
      </c>
      <c r="I3136" s="26">
        <v>43721</v>
      </c>
      <c r="J3136" s="28" t="s">
        <v>51</v>
      </c>
      <c r="K3136" s="28" t="s">
        <v>51</v>
      </c>
      <c r="L3136" s="28" t="s">
        <v>51</v>
      </c>
      <c r="M3136" s="25">
        <v>392094</v>
      </c>
      <c r="N3136" s="27">
        <v>0</v>
      </c>
    </row>
    <row r="3137" spans="1:14" x14ac:dyDescent="0.15">
      <c r="A3137" s="23" t="str">
        <f>HYPERLINK("https://www.spark-marketing.ru/Card/Person/3044", "ФГАУ ""НМИЦ ЗДОРОВЬЯ ДЕТЕЙ"" МИНЗДРАВА РОССИИ")</f>
        <v>ФГАУ "НМИЦ ЗДОРОВЬЯ ДЕТЕЙ" МИНЗДРАВА РОССИИ</v>
      </c>
      <c r="B3137" s="24" t="s">
        <v>5526</v>
      </c>
      <c r="C3137" s="25">
        <v>606053.65</v>
      </c>
      <c r="D3137" s="22" t="s">
        <v>5527</v>
      </c>
      <c r="E3137" s="22" t="s">
        <v>1403</v>
      </c>
      <c r="F3137" s="23" t="str">
        <f>HYPERLINK("https://www.spark-marketing.ru/Card/Lot/73386907", "Оказание услуг по ремонту источников бесперебойного питания")</f>
        <v>Оказание услуг по ремонту источников бесперебойного питания</v>
      </c>
      <c r="G3137" s="22" t="s">
        <v>56</v>
      </c>
      <c r="H3137" s="22" t="s">
        <v>56</v>
      </c>
      <c r="I3137" s="26">
        <v>43720</v>
      </c>
      <c r="J3137" s="28" t="s">
        <v>51</v>
      </c>
      <c r="K3137" s="28" t="s">
        <v>51</v>
      </c>
      <c r="L3137" s="28" t="s">
        <v>51</v>
      </c>
      <c r="M3137" s="28" t="s">
        <v>51</v>
      </c>
      <c r="N3137" s="28" t="s">
        <v>51</v>
      </c>
    </row>
    <row r="3138" spans="1:14" x14ac:dyDescent="0.15">
      <c r="A3138" s="23" t="str">
        <f>HYPERLINK("https://www.spark-marketing.ru/Card/Person/743422", "МБДОУ ЦРР - Д/С № 11 ""ДЮЙМОВОЧКА""")</f>
        <v>МБДОУ ЦРР - Д/С № 11 "ДЮЙМОВОЧКА"</v>
      </c>
      <c r="B3138" s="24" t="s">
        <v>5528</v>
      </c>
      <c r="C3138" s="25">
        <v>800000</v>
      </c>
      <c r="D3138" s="22" t="s">
        <v>5529</v>
      </c>
      <c r="E3138" s="22" t="s">
        <v>362</v>
      </c>
      <c r="F3138" s="23" t="str">
        <f>HYPERLINK("https://www.spark-marketing.ru/Card/Lot/73407868", "Услуги по организации горячего питания")</f>
        <v>Услуги по организации горячего питания</v>
      </c>
      <c r="G3138" s="22" t="s">
        <v>145</v>
      </c>
      <c r="H3138" s="22" t="s">
        <v>145</v>
      </c>
      <c r="I3138" s="26">
        <v>43721</v>
      </c>
      <c r="J3138" s="28" t="s">
        <v>51</v>
      </c>
      <c r="K3138" s="28" t="s">
        <v>51</v>
      </c>
      <c r="L3138" s="28" t="s">
        <v>51</v>
      </c>
      <c r="M3138" s="28" t="s">
        <v>51</v>
      </c>
      <c r="N3138" s="28" t="s">
        <v>51</v>
      </c>
    </row>
    <row r="3139" spans="1:14" x14ac:dyDescent="0.15">
      <c r="A3139" s="23" t="str">
        <f>HYPERLINK("https://www.spark-marketing.ru/Card/Person/743107", "МБДОУ Д/С № 3 ""ЧЕБУРАШКА""")</f>
        <v>МБДОУ Д/С № 3 "ЧЕБУРАШКА"</v>
      </c>
      <c r="B3139" s="24" t="s">
        <v>5530</v>
      </c>
      <c r="C3139" s="25">
        <v>112000</v>
      </c>
      <c r="D3139" s="22" t="s">
        <v>5531</v>
      </c>
      <c r="E3139" s="22" t="s">
        <v>362</v>
      </c>
      <c r="F3139" s="23" t="str">
        <f>HYPERLINK("https://www.spark-marketing.ru/Card/Lot/73395942", "Услуги по организации горячего питания")</f>
        <v>Услуги по организации горячего питания</v>
      </c>
      <c r="G3139" s="22" t="s">
        <v>145</v>
      </c>
      <c r="H3139" s="22" t="s">
        <v>145</v>
      </c>
      <c r="I3139" s="26">
        <v>43721</v>
      </c>
      <c r="J3139" s="28" t="s">
        <v>51</v>
      </c>
      <c r="K3139" s="28" t="s">
        <v>51</v>
      </c>
      <c r="L3139" s="28" t="s">
        <v>51</v>
      </c>
      <c r="M3139" s="28" t="s">
        <v>51</v>
      </c>
      <c r="N3139" s="28" t="s">
        <v>51</v>
      </c>
    </row>
    <row r="3140" spans="1:14" x14ac:dyDescent="0.15">
      <c r="A3140" s="23" t="str">
        <f>HYPERLINK("https://www.spark-marketing.ru/Card/Person/1360297", "ГАУЗ ТО ""ДПН ЛРЦ ""НАДЕЖДА""")</f>
        <v>ГАУЗ ТО "ДПН ЛРЦ "НАДЕЖДА"</v>
      </c>
      <c r="B3140" s="24" t="s">
        <v>5532</v>
      </c>
      <c r="C3140" s="25">
        <v>963400</v>
      </c>
      <c r="D3140" s="22" t="s">
        <v>5533</v>
      </c>
      <c r="E3140" s="22" t="s">
        <v>362</v>
      </c>
      <c r="F3140" s="23" t="str">
        <f>HYPERLINK("https://www.spark-marketing.ru/Card/Lot/73386861", "Оказание услуг по обеспечению горячим питанием пациентов Тобольского филиала ГАУЗ ТО «ДПН ЛРЦ «Надежда»")</f>
        <v>Оказание услуг по обеспечению горячим питанием пациентов Тобольского филиала ГАУЗ ТО «ДПН ЛРЦ «Надежда»</v>
      </c>
      <c r="G3140" s="22" t="s">
        <v>766</v>
      </c>
      <c r="H3140" s="22" t="s">
        <v>766</v>
      </c>
      <c r="I3140" s="26">
        <v>43720</v>
      </c>
      <c r="J3140" s="28" t="s">
        <v>51</v>
      </c>
      <c r="K3140" s="28" t="s">
        <v>51</v>
      </c>
      <c r="L3140" s="28" t="s">
        <v>51</v>
      </c>
      <c r="M3140" s="28" t="s">
        <v>51</v>
      </c>
      <c r="N3140" s="28" t="s">
        <v>51</v>
      </c>
    </row>
    <row r="3141" spans="1:14" x14ac:dyDescent="0.2">
      <c r="A3141" s="23" t="str">
        <f>HYPERLINK("https://www.spark-marketing.ru/Card/Person/292503", "ВОЛГУ, ФГАОУ ВО ""ВОЛГОГРАДСКИЙ ГОСУДАРСТВЕННЫЙ УНИВЕРСИТЕТ"", ВОЛГОГРАДСКИЙ ГОСУДАРСТВЕННЫЙ УНИВЕРСИТЕТ, ФГАОУ ВО ВОЛГУ")</f>
        <v>ВОЛГУ, ФГАОУ ВО "ВОЛГОГРАДСКИЙ ГОСУДАРСТВЕННЫЙ УНИВЕРСИТЕТ", ВОЛГОГРАДСКИЙ ГОСУДАРСТВЕННЫЙ УНИВЕРСИТЕТ, ФГАОУ ВО ВОЛГУ</v>
      </c>
      <c r="B3141" s="24" t="s">
        <v>1082</v>
      </c>
      <c r="C3141" s="25">
        <v>215800</v>
      </c>
      <c r="D3141" s="22" t="s">
        <v>5534</v>
      </c>
      <c r="E3141" s="22" t="s">
        <v>1079</v>
      </c>
      <c r="F3141" s="23" t="str">
        <f>HYPERLINK("https://www.spark-marketing.ru/Card/Lot/73385449", "Оказание услуг по организации питания и проживания участников выездного обучающего семинара студенческого актива ВолГУ.")</f>
        <v>Оказание услуг по организации питания и проживания участников выездного обучающего семинара студенческого актива ВолГУ.</v>
      </c>
      <c r="G3141" s="22" t="s">
        <v>158</v>
      </c>
      <c r="H3141" s="22" t="s">
        <v>158</v>
      </c>
      <c r="I3141" s="26">
        <v>43720</v>
      </c>
      <c r="J3141" s="28" t="s">
        <v>51</v>
      </c>
      <c r="K3141" s="28" t="s">
        <v>51</v>
      </c>
      <c r="L3141" s="22" t="s">
        <v>10</v>
      </c>
      <c r="M3141" s="25">
        <v>215800</v>
      </c>
      <c r="N3141" s="27">
        <v>0</v>
      </c>
    </row>
    <row r="3142" spans="1:14" x14ac:dyDescent="0.15">
      <c r="A3142" s="23" t="str">
        <f>HYPERLINK("https://www.spark-marketing.ru/Card/Person/1360297", "ГАУЗ ТО ""ДПН ЛРЦ ""НАДЕЖДА""")</f>
        <v>ГАУЗ ТО "ДПН ЛРЦ "НАДЕЖДА"</v>
      </c>
      <c r="B3142" s="24" t="s">
        <v>5532</v>
      </c>
      <c r="C3142" s="25">
        <v>499790</v>
      </c>
      <c r="D3142" s="22" t="s">
        <v>5535</v>
      </c>
      <c r="E3142" s="22" t="s">
        <v>362</v>
      </c>
      <c r="F3142" s="23" t="str">
        <f>HYPERLINK("https://www.spark-marketing.ru/Card/Lot/73401485", "Оказание услуг по обеспечению горячим питанием пациентов Тобольского филиала ГАУЗ ТО «ДПН ЛРЦ «Надежда")</f>
        <v>Оказание услуг по обеспечению горячим питанием пациентов Тобольского филиала ГАУЗ ТО «ДПН ЛРЦ «Надежда</v>
      </c>
      <c r="G3142" s="22" t="s">
        <v>766</v>
      </c>
      <c r="H3142" s="22" t="s">
        <v>766</v>
      </c>
      <c r="I3142" s="26">
        <v>43721</v>
      </c>
      <c r="J3142" s="28" t="s">
        <v>51</v>
      </c>
      <c r="K3142" s="28" t="s">
        <v>51</v>
      </c>
      <c r="L3142" s="28" t="s">
        <v>51</v>
      </c>
      <c r="M3142" s="28" t="s">
        <v>51</v>
      </c>
      <c r="N3142" s="28" t="s">
        <v>51</v>
      </c>
    </row>
    <row r="3143" spans="1:14" x14ac:dyDescent="0.15">
      <c r="A3143" s="23" t="str">
        <f>HYPERLINK("https://www.spark-marketing.ru/Card/Person/18539", "АУ ВО ОЦМИГИ ""СОДРУЖЕСТВО""")</f>
        <v>АУ ВО ОЦМИГИ "СОДРУЖЕСТВО"</v>
      </c>
      <c r="B3143" s="24" t="s">
        <v>959</v>
      </c>
      <c r="C3143" s="25">
        <v>352000</v>
      </c>
      <c r="D3143" s="22" t="s">
        <v>5536</v>
      </c>
      <c r="E3143" s="22" t="s">
        <v>5537</v>
      </c>
      <c r="F3143" s="23" t="str">
        <f>HYPERLINK("https://www.spark-marketing.ru/Card/Lot/73411786", "услуги по организации проживания и питания участников, предоставлению помещений для проведения образовательной и досуговой программ форума школьных активистов Вологодской области «Шаг в будущее»")</f>
        <v>услуги по организации проживания и питания участников, предоставлению помещений для проведения образовательной и досуговой программ форума школьных активистов Вологодской области «Шаг в будущее»</v>
      </c>
      <c r="G3143" s="22" t="s">
        <v>503</v>
      </c>
      <c r="H3143" s="22" t="s">
        <v>503</v>
      </c>
      <c r="I3143" s="26">
        <v>43721</v>
      </c>
      <c r="J3143" s="28" t="s">
        <v>51</v>
      </c>
      <c r="K3143" s="28" t="s">
        <v>51</v>
      </c>
      <c r="L3143" s="28" t="s">
        <v>51</v>
      </c>
      <c r="M3143" s="28" t="s">
        <v>51</v>
      </c>
      <c r="N3143" s="28" t="s">
        <v>51</v>
      </c>
    </row>
    <row r="3144" spans="1:14" x14ac:dyDescent="0.15">
      <c r="A3144" s="23" t="str">
        <f>HYPERLINK("https://www.spark-marketing.ru/Card/Person/743409", "МБДОУ Д/С № 5 ""АЛЕНУШКА""")</f>
        <v>МБДОУ Д/С № 5 "АЛЕНУШКА"</v>
      </c>
      <c r="B3144" s="24" t="s">
        <v>5538</v>
      </c>
      <c r="C3144" s="25">
        <v>280000</v>
      </c>
      <c r="D3144" s="22" t="s">
        <v>5539</v>
      </c>
      <c r="E3144" s="22" t="s">
        <v>362</v>
      </c>
      <c r="F3144" s="23" t="str">
        <f>HYPERLINK("https://www.spark-marketing.ru/Card/Lot/73401358", "Услуги по организации горячего питания")</f>
        <v>Услуги по организации горячего питания</v>
      </c>
      <c r="G3144" s="22" t="s">
        <v>145</v>
      </c>
      <c r="H3144" s="22" t="s">
        <v>145</v>
      </c>
      <c r="I3144" s="26">
        <v>43721</v>
      </c>
      <c r="J3144" s="28" t="s">
        <v>51</v>
      </c>
      <c r="K3144" s="28" t="s">
        <v>51</v>
      </c>
      <c r="L3144" s="28" t="s">
        <v>51</v>
      </c>
      <c r="M3144" s="28" t="s">
        <v>51</v>
      </c>
      <c r="N3144" s="28" t="s">
        <v>51</v>
      </c>
    </row>
    <row r="3145" spans="1:14" x14ac:dyDescent="0.15">
      <c r="A3145" s="23" t="str">
        <f>HYPERLINK("https://www.spark-marketing.ru/Card/Person/59218", "ФКУЗ ГКЦМСР ФСИН РОССИИ")</f>
        <v>ФКУЗ ГКЦМСР ФСИН РОССИИ</v>
      </c>
      <c r="B3145" s="24" t="s">
        <v>581</v>
      </c>
      <c r="C3145" s="25">
        <v>1030365</v>
      </c>
      <c r="D3145" s="22" t="s">
        <v>5540</v>
      </c>
      <c r="E3145" s="22" t="s">
        <v>583</v>
      </c>
      <c r="F3145" s="23" t="str">
        <f>HYPERLINK("https://www.spark-marketing.ru/Card/Lot/73387907", "Оказание услуг по ремонту медицинского оборудования в составе спирального компьютерного томографа Aquilion 16 производства Toshiba Medical Systems, источника бесперебойного питания JOVYSTAR delta 100кВА с/номер 103437 0001")</f>
        <v>Оказание услуг по ремонту медицинского оборудования в составе спирального компьютерного томографа Aquilion 16 производства Toshiba Medical Systems, источника бесперебойного питания JOVYSTAR delta 100кВА с/номер 103437 0001</v>
      </c>
      <c r="G3145" s="22" t="s">
        <v>56</v>
      </c>
      <c r="H3145" s="22" t="s">
        <v>56</v>
      </c>
      <c r="I3145" s="26">
        <v>43720.7993055556</v>
      </c>
      <c r="J3145" s="28" t="s">
        <v>51</v>
      </c>
      <c r="K3145" s="28" t="s">
        <v>51</v>
      </c>
      <c r="L3145" s="28" t="s">
        <v>51</v>
      </c>
      <c r="M3145" s="28" t="s">
        <v>51</v>
      </c>
      <c r="N3145" s="28" t="s">
        <v>51</v>
      </c>
    </row>
    <row r="3146" spans="1:14" x14ac:dyDescent="0.15">
      <c r="A3146" s="23" t="str">
        <f>HYPERLINK("https://www.spark-marketing.ru/Card/Person/261425", "МО МВД РОССИИ ""НАВЛИНСКИЙ""")</f>
        <v>МО МВД РОССИИ "НАВЛИНСКИЙ"</v>
      </c>
      <c r="B3146" s="24" t="s">
        <v>5541</v>
      </c>
      <c r="C3146" s="25">
        <v>90000</v>
      </c>
      <c r="D3146" s="22" t="s">
        <v>5542</v>
      </c>
      <c r="E3146" s="22" t="s">
        <v>96</v>
      </c>
      <c r="F3146" s="23" t="str">
        <f>HYPERLINK("https://www.spark-marketing.ru/Card/Lot/73383724", "Оказание услуг по организации питания (приготовлению и доставке), 268 шт")</f>
        <v>Оказание услуг по организации питания (приготовлению и доставке), 268 шт</v>
      </c>
      <c r="G3146" s="22" t="s">
        <v>475</v>
      </c>
      <c r="H3146" s="22" t="s">
        <v>5543</v>
      </c>
      <c r="I3146" s="26">
        <v>43720.793749999997</v>
      </c>
      <c r="J3146" s="28" t="s">
        <v>51</v>
      </c>
      <c r="K3146" s="28" t="s">
        <v>51</v>
      </c>
      <c r="L3146" s="28" t="s">
        <v>51</v>
      </c>
      <c r="M3146" s="28" t="s">
        <v>51</v>
      </c>
      <c r="N3146" s="28" t="s">
        <v>51</v>
      </c>
    </row>
    <row r="3147" spans="1:14" x14ac:dyDescent="0.15">
      <c r="A3147" s="23" t="s">
        <v>114</v>
      </c>
      <c r="B3147" s="28" t="s">
        <v>51</v>
      </c>
      <c r="C3147" s="25">
        <v>7517527.5</v>
      </c>
      <c r="D3147" s="22" t="s">
        <v>5544</v>
      </c>
      <c r="E3147" s="22" t="s">
        <v>48</v>
      </c>
      <c r="F3147" s="23" t="str">
        <f t="shared" ref="F3147:F3152" si="50">HYPERLINK("https://www.spark-marketing.ru/Card/Lot/73388939",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47" s="22" t="s">
        <v>51</v>
      </c>
      <c r="H3147" s="22" t="s">
        <v>51</v>
      </c>
      <c r="I3147" s="26">
        <v>43720.764513888898</v>
      </c>
      <c r="J3147" s="28" t="s">
        <v>51</v>
      </c>
      <c r="K3147" s="28" t="s">
        <v>51</v>
      </c>
      <c r="L3147" s="28" t="s">
        <v>51</v>
      </c>
      <c r="M3147" s="28" t="s">
        <v>51</v>
      </c>
      <c r="N3147" s="28" t="s">
        <v>51</v>
      </c>
    </row>
    <row r="3148" spans="1:14" hidden="1" outlineLevel="1" x14ac:dyDescent="0.15">
      <c r="A3148" s="23" t="str">
        <f>HYPERLINK("https://www.spark-marketing.ru/Card/Person/1001374", "МДОУ ДЕТСКИЙ САД №24")</f>
        <v>МДОУ ДЕТСКИЙ САД №24</v>
      </c>
      <c r="B3148" s="24" t="s">
        <v>5545</v>
      </c>
      <c r="C3148" s="25">
        <v>2980057.5</v>
      </c>
      <c r="D3148" s="22" t="s">
        <v>5544</v>
      </c>
      <c r="E3148" s="22" t="s">
        <v>48</v>
      </c>
      <c r="F3148" s="23" t="str">
        <f t="shared" si="50"/>
        <v>Оказание услуг по организации питания воспитанников дошкольной образовательной организации</v>
      </c>
      <c r="G3148" s="22" t="s">
        <v>49</v>
      </c>
      <c r="H3148" s="22" t="s">
        <v>1867</v>
      </c>
      <c r="I3148" s="26">
        <v>43720.764513888898</v>
      </c>
      <c r="J3148" s="28" t="s">
        <v>51</v>
      </c>
      <c r="K3148" s="28" t="s">
        <v>51</v>
      </c>
      <c r="L3148" s="28" t="s">
        <v>51</v>
      </c>
      <c r="M3148" s="28" t="s">
        <v>51</v>
      </c>
      <c r="N3148" s="28" t="s">
        <v>51</v>
      </c>
    </row>
    <row r="3149" spans="1:14" hidden="1" outlineLevel="1" x14ac:dyDescent="0.15">
      <c r="A3149" s="23" t="str">
        <f>HYPERLINK("https://www.spark-marketing.ru/Card/Person/1023081", "МДОУ Д/С № 21")</f>
        <v>МДОУ Д/С № 21</v>
      </c>
      <c r="B3149" s="24" t="s">
        <v>5546</v>
      </c>
      <c r="C3149" s="25">
        <v>3468433.5</v>
      </c>
      <c r="D3149" s="22" t="s">
        <v>5544</v>
      </c>
      <c r="E3149" s="22" t="s">
        <v>48</v>
      </c>
      <c r="F3149" s="23" t="str">
        <f t="shared" si="50"/>
        <v>Оказание услуг по организации питания воспитанников дошкольной образовательной организации</v>
      </c>
      <c r="G3149" s="22" t="s">
        <v>49</v>
      </c>
      <c r="H3149" s="22" t="s">
        <v>1867</v>
      </c>
      <c r="I3149" s="26">
        <v>43720.764513888898</v>
      </c>
      <c r="J3149" s="28" t="s">
        <v>51</v>
      </c>
      <c r="K3149" s="28" t="s">
        <v>51</v>
      </c>
      <c r="L3149" s="28" t="s">
        <v>51</v>
      </c>
      <c r="M3149" s="28" t="s">
        <v>51</v>
      </c>
      <c r="N3149" s="28" t="s">
        <v>51</v>
      </c>
    </row>
    <row r="3150" spans="1:14" hidden="1" outlineLevel="1" x14ac:dyDescent="0.15">
      <c r="A3150" s="23" t="str">
        <f>HYPERLINK("https://www.spark-marketing.ru/Card/Person/4375437", "МДОУ Д/С № 19")</f>
        <v>МДОУ Д/С № 19</v>
      </c>
      <c r="B3150" s="24" t="s">
        <v>5547</v>
      </c>
      <c r="C3150" s="25">
        <v>1069036.5</v>
      </c>
      <c r="D3150" s="22" t="s">
        <v>5544</v>
      </c>
      <c r="E3150" s="22" t="s">
        <v>48</v>
      </c>
      <c r="F3150" s="23" t="str">
        <f t="shared" si="50"/>
        <v>Оказание услуг по организации питания воспитанников дошкольной образовательной организации</v>
      </c>
      <c r="G3150" s="22" t="s">
        <v>49</v>
      </c>
      <c r="H3150" s="22" t="s">
        <v>1867</v>
      </c>
      <c r="I3150" s="26">
        <v>43720.764513888898</v>
      </c>
      <c r="J3150" s="28" t="s">
        <v>51</v>
      </c>
      <c r="K3150" s="28" t="s">
        <v>51</v>
      </c>
      <c r="L3150" s="28" t="s">
        <v>51</v>
      </c>
      <c r="M3150" s="28" t="s">
        <v>51</v>
      </c>
      <c r="N3150" s="28" t="s">
        <v>51</v>
      </c>
    </row>
    <row r="3151" spans="1:14" hidden="1" outlineLevel="1" x14ac:dyDescent="0.2">
      <c r="A3151" s="28" t="s">
        <v>51</v>
      </c>
      <c r="B3151" s="28" t="s">
        <v>51</v>
      </c>
      <c r="C3151" s="28" t="s">
        <v>51</v>
      </c>
      <c r="D3151" s="22" t="s">
        <v>5544</v>
      </c>
      <c r="E3151" s="22" t="s">
        <v>48</v>
      </c>
      <c r="F3151" s="23" t="str">
        <f t="shared" si="50"/>
        <v>Оказание услуг по организации питания воспитанников дошкольной образовательной организации</v>
      </c>
      <c r="G3151" s="22" t="s">
        <v>51</v>
      </c>
      <c r="H3151" s="22" t="s">
        <v>51</v>
      </c>
      <c r="I3151" s="26">
        <v>43720.764513888898</v>
      </c>
      <c r="J3151" s="23" t="str">
        <f>HYPERLINK("https://www.spark-marketing.ru/Card/Person/126568", "ООО ""КРИСТИНА""")</f>
        <v>ООО "КРИСТИНА"</v>
      </c>
      <c r="K3151" s="24" t="s">
        <v>5179</v>
      </c>
      <c r="L3151" s="22" t="s">
        <v>10</v>
      </c>
      <c r="M3151" s="25">
        <v>7159550</v>
      </c>
      <c r="N3151" s="27">
        <v>4.7619047619047616E-2</v>
      </c>
    </row>
    <row r="3152" spans="1:14" hidden="1" outlineLevel="1" x14ac:dyDescent="0.2">
      <c r="A3152" s="28" t="s">
        <v>51</v>
      </c>
      <c r="B3152" s="28" t="s">
        <v>51</v>
      </c>
      <c r="C3152" s="28" t="s">
        <v>51</v>
      </c>
      <c r="D3152" s="22" t="s">
        <v>5544</v>
      </c>
      <c r="E3152" s="22" t="s">
        <v>48</v>
      </c>
      <c r="F3152" s="23" t="str">
        <f t="shared" si="50"/>
        <v>Оказание услуг по организации питания воспитанников дошкольной образовательной организации</v>
      </c>
      <c r="G3152" s="22" t="s">
        <v>51</v>
      </c>
      <c r="H3152" s="22" t="s">
        <v>51</v>
      </c>
      <c r="I3152" s="26">
        <v>43720.764513888898</v>
      </c>
      <c r="J3152" s="23" t="str">
        <f>HYPERLINK("https://www.spark-marketing.ru/Card/Person/706197", "Русакова Нина Ивановна")</f>
        <v>Русакова Нина Ивановна</v>
      </c>
      <c r="K3152" s="24" t="s">
        <v>1818</v>
      </c>
      <c r="L3152" s="28" t="s">
        <v>51</v>
      </c>
      <c r="M3152" s="25">
        <v>7404764.5800000001</v>
      </c>
      <c r="N3152" s="27">
        <v>1.5000000997668449E-2</v>
      </c>
    </row>
    <row r="3153" spans="1:14" x14ac:dyDescent="0.15">
      <c r="A3153" s="23" t="str">
        <f>HYPERLINK("https://www.spark-marketing.ru/Card/Person/1030319", "МДОУ ДЕТСКИЙ САД № 4")</f>
        <v>МДОУ ДЕТСКИЙ САД № 4</v>
      </c>
      <c r="B3153" s="24" t="s">
        <v>5548</v>
      </c>
      <c r="C3153" s="25">
        <v>6773004</v>
      </c>
      <c r="D3153" s="22" t="s">
        <v>5549</v>
      </c>
      <c r="E3153" s="22" t="s">
        <v>48</v>
      </c>
      <c r="F3153" s="23" t="str">
        <f>HYPERLINK("https://www.spark-marketing.ru/Card/Lot/73388944",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53" s="22" t="s">
        <v>49</v>
      </c>
      <c r="H3153" s="22" t="s">
        <v>1867</v>
      </c>
      <c r="I3153" s="26">
        <v>43720.764513888898</v>
      </c>
      <c r="J3153" s="28" t="s">
        <v>51</v>
      </c>
      <c r="K3153" s="28" t="s">
        <v>51</v>
      </c>
      <c r="L3153" s="28" t="s">
        <v>51</v>
      </c>
      <c r="M3153" s="28" t="s">
        <v>51</v>
      </c>
      <c r="N3153" s="28" t="s">
        <v>51</v>
      </c>
    </row>
    <row r="3154" spans="1:14" ht="12.75" hidden="1" outlineLevel="1" x14ac:dyDescent="0.2">
      <c r="A3154" s="23" t="str">
        <f>HYPERLINK("https://www.spark-marketing.ru/Card/Person/1030319", "МДОУ ДЕТСКИЙ САД № 4")</f>
        <v>МДОУ ДЕТСКИЙ САД № 4</v>
      </c>
      <c r="B3154" s="24" t="s">
        <v>5548</v>
      </c>
      <c r="C3154" s="25">
        <v>6773004</v>
      </c>
      <c r="D3154" s="22" t="s">
        <v>5549</v>
      </c>
      <c r="E3154" s="22" t="s">
        <v>48</v>
      </c>
      <c r="F3154" s="23" t="str">
        <f>HYPERLINK("https://www.spark-marketing.ru/Card/Lot/73388944",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54" s="22" t="s">
        <v>49</v>
      </c>
      <c r="H3154" s="22" t="s">
        <v>1867</v>
      </c>
      <c r="I3154" s="26">
        <v>43720.764513888898</v>
      </c>
      <c r="J3154" s="23" t="str">
        <f>HYPERLINK("https://www.spark-marketing.ru/Card/Person/4621492", "Егорова Нина Федоровна")</f>
        <v>Егорова Нина Федоровна</v>
      </c>
      <c r="K3154" s="24" t="s">
        <v>5550</v>
      </c>
      <c r="L3154" s="22" t="s">
        <v>10</v>
      </c>
      <c r="M3154" s="25">
        <v>6450480</v>
      </c>
      <c r="N3154" s="27">
        <v>4.7619047619047616E-2</v>
      </c>
    </row>
    <row r="3155" spans="1:14" hidden="1" outlineLevel="1" x14ac:dyDescent="0.2">
      <c r="A3155" s="23" t="str">
        <f>HYPERLINK("https://www.spark-marketing.ru/Card/Person/1030319", "МДОУ ДЕТСКИЙ САД № 4")</f>
        <v>МДОУ ДЕТСКИЙ САД № 4</v>
      </c>
      <c r="B3155" s="24" t="s">
        <v>5548</v>
      </c>
      <c r="C3155" s="25">
        <v>6773004</v>
      </c>
      <c r="D3155" s="22" t="s">
        <v>5549</v>
      </c>
      <c r="E3155" s="22" t="s">
        <v>48</v>
      </c>
      <c r="F3155" s="23" t="str">
        <f>HYPERLINK("https://www.spark-marketing.ru/Card/Lot/73388944",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55" s="22" t="s">
        <v>49</v>
      </c>
      <c r="H3155" s="22" t="s">
        <v>1867</v>
      </c>
      <c r="I3155" s="26">
        <v>43720.764513888898</v>
      </c>
      <c r="J3155" s="23" t="str">
        <f>HYPERLINK("https://www.spark-marketing.ru/Card/Person/706197", "Русакова Нина Ивановна")</f>
        <v>Русакова Нина Ивановна</v>
      </c>
      <c r="K3155" s="24" t="s">
        <v>1818</v>
      </c>
      <c r="L3155" s="28" t="s">
        <v>51</v>
      </c>
      <c r="M3155" s="25">
        <v>6671408.9400000004</v>
      </c>
      <c r="N3155" s="27">
        <v>1.4999999999999999E-2</v>
      </c>
    </row>
    <row r="3156" spans="1:14" x14ac:dyDescent="0.15">
      <c r="A3156" s="23" t="str">
        <f>HYPERLINK("https://www.spark-marketing.ru/Card/Person/261425", "МО МВД РОССИИ ""НАВЛИНСКИЙ""")</f>
        <v>МО МВД РОССИИ "НАВЛИНСКИЙ"</v>
      </c>
      <c r="B3156" s="24" t="s">
        <v>5541</v>
      </c>
      <c r="C3156" s="25">
        <v>29540</v>
      </c>
      <c r="D3156" s="22" t="s">
        <v>5551</v>
      </c>
      <c r="E3156" s="22" t="s">
        <v>96</v>
      </c>
      <c r="F3156" s="23" t="str">
        <f>HYPERLINK("https://www.spark-marketing.ru/Card/Lot/73383720", "Оказание услуг по организации питания (приготовлению и доставке), 85 шт")</f>
        <v>Оказание услуг по организации питания (приготовлению и доставке), 85 шт</v>
      </c>
      <c r="G3156" s="22" t="s">
        <v>475</v>
      </c>
      <c r="H3156" s="22" t="s">
        <v>5552</v>
      </c>
      <c r="I3156" s="26">
        <v>43720.786979166704</v>
      </c>
      <c r="J3156" s="28" t="s">
        <v>51</v>
      </c>
      <c r="K3156" s="28" t="s">
        <v>51</v>
      </c>
      <c r="L3156" s="28" t="s">
        <v>51</v>
      </c>
      <c r="M3156" s="28" t="s">
        <v>51</v>
      </c>
      <c r="N3156" s="28" t="s">
        <v>51</v>
      </c>
    </row>
    <row r="3157" spans="1:14" x14ac:dyDescent="0.15">
      <c r="A3157" s="23" t="s">
        <v>114</v>
      </c>
      <c r="B3157" s="28" t="s">
        <v>51</v>
      </c>
      <c r="C3157" s="25">
        <v>7627126.5</v>
      </c>
      <c r="D3157" s="22" t="s">
        <v>5553</v>
      </c>
      <c r="E3157" s="22" t="s">
        <v>48</v>
      </c>
      <c r="F3157" s="23" t="str">
        <f>HYPERLINK("https://www.spark-marketing.ru/Card/Lot/73388889",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57" s="22" t="s">
        <v>51</v>
      </c>
      <c r="H3157" s="22" t="s">
        <v>51</v>
      </c>
      <c r="I3157" s="26">
        <v>43720.730081018497</v>
      </c>
      <c r="J3157" s="23" t="str">
        <f>HYPERLINK("https://www.spark-marketing.ru/Card/Person/126568", "ООО ""КРИСТИНА""")</f>
        <v>ООО "КРИСТИНА"</v>
      </c>
      <c r="K3157" s="24" t="s">
        <v>5179</v>
      </c>
      <c r="L3157" s="28" t="s">
        <v>51</v>
      </c>
      <c r="M3157" s="28" t="s">
        <v>51</v>
      </c>
      <c r="N3157" s="28" t="s">
        <v>51</v>
      </c>
    </row>
    <row r="3158" spans="1:14" hidden="1" outlineLevel="1" x14ac:dyDescent="0.15">
      <c r="A3158" s="23" t="str">
        <f>HYPERLINK("https://www.spark-marketing.ru/Card/Person/1021604", "МДОУ Д/С № 9 П. ВЕРЕЯ")</f>
        <v>МДОУ Д/С № 9 П. ВЕРЕЯ</v>
      </c>
      <c r="B3158" s="24" t="s">
        <v>5554</v>
      </c>
      <c r="C3158" s="25">
        <v>3368473.5</v>
      </c>
      <c r="D3158" s="22" t="s">
        <v>5553</v>
      </c>
      <c r="E3158" s="22" t="s">
        <v>48</v>
      </c>
      <c r="F3158" s="23" t="str">
        <f>HYPERLINK("https://www.spark-marketing.ru/Card/Lot/73388889",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58" s="22" t="s">
        <v>49</v>
      </c>
      <c r="H3158" s="22" t="s">
        <v>1867</v>
      </c>
      <c r="I3158" s="26">
        <v>43720.730081018497</v>
      </c>
      <c r="J3158" s="23" t="str">
        <f>HYPERLINK("https://www.spark-marketing.ru/Card/Person/126568", "ООО ""КРИСТИНА""")</f>
        <v>ООО "КРИСТИНА"</v>
      </c>
      <c r="K3158" s="24" t="s">
        <v>5179</v>
      </c>
      <c r="L3158" s="28" t="s">
        <v>51</v>
      </c>
      <c r="M3158" s="28" t="s">
        <v>51</v>
      </c>
      <c r="N3158" s="28" t="s">
        <v>51</v>
      </c>
    </row>
    <row r="3159" spans="1:14" hidden="1" outlineLevel="1" x14ac:dyDescent="0.15">
      <c r="A3159" s="23" t="str">
        <f>HYPERLINK("https://www.spark-marketing.ru/Card/Person/1023443", "МДОУ Д/С № 31 КОМПЕНСИРУЮЩЕГО ВИДА")</f>
        <v>МДОУ Д/С № 31 КОМПЕНСИРУЮЩЕГО ВИДА</v>
      </c>
      <c r="B3159" s="24" t="s">
        <v>5555</v>
      </c>
      <c r="C3159" s="25">
        <v>4258653</v>
      </c>
      <c r="D3159" s="22" t="s">
        <v>5553</v>
      </c>
      <c r="E3159" s="22" t="s">
        <v>48</v>
      </c>
      <c r="F3159" s="23" t="str">
        <f>HYPERLINK("https://www.spark-marketing.ru/Card/Lot/73388889",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59" s="22" t="s">
        <v>49</v>
      </c>
      <c r="H3159" s="22" t="s">
        <v>1867</v>
      </c>
      <c r="I3159" s="26">
        <v>43720.730081018497</v>
      </c>
      <c r="J3159" s="23" t="str">
        <f>HYPERLINK("https://www.spark-marketing.ru/Card/Person/126568", "ООО ""КРИСТИНА""")</f>
        <v>ООО "КРИСТИНА"</v>
      </c>
      <c r="K3159" s="24" t="s">
        <v>5179</v>
      </c>
      <c r="L3159" s="28" t="s">
        <v>51</v>
      </c>
      <c r="M3159" s="28" t="s">
        <v>51</v>
      </c>
      <c r="N3159" s="28" t="s">
        <v>51</v>
      </c>
    </row>
    <row r="3160" spans="1:14" hidden="1" outlineLevel="1" x14ac:dyDescent="0.2">
      <c r="A3160" s="28" t="s">
        <v>51</v>
      </c>
      <c r="B3160" s="28" t="s">
        <v>51</v>
      </c>
      <c r="C3160" s="28" t="s">
        <v>51</v>
      </c>
      <c r="D3160" s="22" t="s">
        <v>5553</v>
      </c>
      <c r="E3160" s="22" t="s">
        <v>48</v>
      </c>
      <c r="F3160" s="23" t="str">
        <f>HYPERLINK("https://www.spark-marketing.ru/Card/Lot/73388889",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60" s="22" t="s">
        <v>51</v>
      </c>
      <c r="H3160" s="22" t="s">
        <v>51</v>
      </c>
      <c r="I3160" s="26">
        <v>43720.730081018497</v>
      </c>
      <c r="J3160" s="23" t="str">
        <f>HYPERLINK("https://www.spark-marketing.ru/Card/Person/126568", "ООО ""КРИСТИНА""")</f>
        <v>ООО "КРИСТИНА"</v>
      </c>
      <c r="K3160" s="24" t="s">
        <v>5179</v>
      </c>
      <c r="L3160" s="22" t="s">
        <v>10</v>
      </c>
      <c r="M3160" s="25">
        <v>7263930</v>
      </c>
      <c r="N3160" s="27">
        <v>4.7619047619047616E-2</v>
      </c>
    </row>
    <row r="3161" spans="1:14" x14ac:dyDescent="0.2">
      <c r="A3161" s="23" t="str">
        <f>HYPERLINK("https://www.spark-marketing.ru/Card/Person/130942", "МБОУ ""ПОЛЯНСКАЯ СОШ""")</f>
        <v>МБОУ "ПОЛЯНСКАЯ СОШ"</v>
      </c>
      <c r="B3161" s="24" t="s">
        <v>5556</v>
      </c>
      <c r="C3161" s="25">
        <v>509002</v>
      </c>
      <c r="D3161" s="22" t="s">
        <v>5557</v>
      </c>
      <c r="E3161" s="22" t="s">
        <v>48</v>
      </c>
      <c r="F3161" s="23" t="str">
        <f>HYPERLINK("https://www.spark-marketing.ru/Card/Lot/73387524", "Оказание услуг по организации питания для льготных категорий обучающихся и обеспечение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обеспечение молоком (кисломолочными продуктами) обучающихся 1-4 классов</v>
      </c>
      <c r="G3161" s="22" t="s">
        <v>162</v>
      </c>
      <c r="H3161" s="22" t="s">
        <v>5558</v>
      </c>
      <c r="I3161" s="26">
        <v>43720.745833333298</v>
      </c>
      <c r="J3161" s="23" t="str">
        <f>HYPERLINK("https://www.spark-marketing.ru/Card/Person/1281490", "Разина Елена Викторовна")</f>
        <v>Разина Елена Викторовна</v>
      </c>
      <c r="K3161" s="24" t="s">
        <v>5559</v>
      </c>
      <c r="L3161" s="28" t="s">
        <v>51</v>
      </c>
      <c r="M3161" s="25">
        <v>509002</v>
      </c>
      <c r="N3161" s="27">
        <v>0</v>
      </c>
    </row>
    <row r="3162" spans="1:14" x14ac:dyDescent="0.15">
      <c r="A3162" s="23" t="str">
        <f>HYPERLINK("https://www.spark-marketing.ru/Card/Person/36236", "ГКУ РС (Я) ""ЦККЛ И ОГЗ""")</f>
        <v>ГКУ РС (Я) "ЦККЛ И ОГЗ"</v>
      </c>
      <c r="B3162" s="24" t="s">
        <v>5560</v>
      </c>
      <c r="C3162" s="25">
        <v>4996154.13</v>
      </c>
      <c r="D3162" s="22" t="s">
        <v>5561</v>
      </c>
      <c r="E3162" s="22" t="s">
        <v>1153</v>
      </c>
      <c r="F3162" s="23" t="str">
        <f>HYPERLINK("https://www.spark-marketing.ru/Card/Lot/73389539", "На оказание социальной услуги по приобретению, хранению, изготовлению и отпуску лекарственных препаратов, медицинских изделий и специализированных продуктов лечебного питания по рецептам врачей бесплатно отдельным категориям граждан, прикрепленным ГО...")</f>
        <v>На оказание социальной услуги по приобретению, хранению, изготовлению и отпуску лекарственных препаратов, медицинских изделий и специализированных продуктов лечебного питания по рецептам врачей бесплатно отдельным категориям граждан, прикрепленным ГО...</v>
      </c>
      <c r="G3162" s="22" t="s">
        <v>241</v>
      </c>
      <c r="H3162" s="22" t="s">
        <v>242</v>
      </c>
      <c r="I3162" s="26">
        <v>43720.7319444444</v>
      </c>
      <c r="J3162" s="23" t="str">
        <f>HYPERLINK("https://www.spark-marketing.ru/Card/Person/83751", "МУП ""АПТЕКИ ЯКУТСКА"" ГО ""ГОРОД ЯКУТСК""")</f>
        <v>МУП "АПТЕКИ ЯКУТСКА" ГО "ГОРОД ЯКУТСК"</v>
      </c>
      <c r="K3162" s="24" t="s">
        <v>5562</v>
      </c>
      <c r="L3162" s="22" t="s">
        <v>10</v>
      </c>
      <c r="M3162" s="28" t="s">
        <v>51</v>
      </c>
      <c r="N3162" s="28" t="s">
        <v>51</v>
      </c>
    </row>
    <row r="3163" spans="1:14" x14ac:dyDescent="0.15">
      <c r="A3163" s="23" t="str">
        <f>HYPERLINK("https://www.spark-marketing.ru/Card/Person/1028811", "МДОУ Д/С №20")</f>
        <v>МДОУ Д/С №20</v>
      </c>
      <c r="B3163" s="24" t="s">
        <v>5563</v>
      </c>
      <c r="C3163" s="25">
        <v>8123178</v>
      </c>
      <c r="D3163" s="22" t="s">
        <v>5564</v>
      </c>
      <c r="E3163" s="22" t="s">
        <v>48</v>
      </c>
      <c r="F3163" s="23" t="str">
        <f>HYPERLINK("https://www.spark-marketing.ru/Card/Lot/73388890",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63" s="22" t="s">
        <v>49</v>
      </c>
      <c r="H3163" s="22" t="s">
        <v>1867</v>
      </c>
      <c r="I3163" s="26">
        <v>43720.730092592603</v>
      </c>
      <c r="J3163" s="23" t="str">
        <f>HYPERLINK("https://www.spark-marketing.ru/Card/Person/4621492", "Егорова Нина Федоровна")</f>
        <v>Егорова Нина Федоровна</v>
      </c>
      <c r="K3163" s="24" t="s">
        <v>5550</v>
      </c>
      <c r="L3163" s="28" t="s">
        <v>51</v>
      </c>
      <c r="M3163" s="28" t="s">
        <v>51</v>
      </c>
      <c r="N3163" s="28" t="s">
        <v>51</v>
      </c>
    </row>
    <row r="3164" spans="1:14" ht="12.75" hidden="1" outlineLevel="1" x14ac:dyDescent="0.2">
      <c r="A3164" s="23" t="str">
        <f>HYPERLINK("https://www.spark-marketing.ru/Card/Person/1028811", "МДОУ Д/С №20")</f>
        <v>МДОУ Д/С №20</v>
      </c>
      <c r="B3164" s="24" t="s">
        <v>5563</v>
      </c>
      <c r="C3164" s="25">
        <v>8123178</v>
      </c>
      <c r="D3164" s="22" t="s">
        <v>5564</v>
      </c>
      <c r="E3164" s="22" t="s">
        <v>48</v>
      </c>
      <c r="F3164" s="23" t="str">
        <f>HYPERLINK("https://www.spark-marketing.ru/Card/Lot/73388890",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64" s="22" t="s">
        <v>49</v>
      </c>
      <c r="H3164" s="22" t="s">
        <v>1867</v>
      </c>
      <c r="I3164" s="26">
        <v>43720.730092592603</v>
      </c>
      <c r="J3164" s="23" t="str">
        <f>HYPERLINK("https://www.spark-marketing.ru/Card/Person/4621492", "Егорова Нина Федоровна")</f>
        <v>Егорова Нина Федоровна</v>
      </c>
      <c r="K3164" s="24" t="s">
        <v>5550</v>
      </c>
      <c r="L3164" s="22" t="s">
        <v>10</v>
      </c>
      <c r="M3164" s="25">
        <v>7736360</v>
      </c>
      <c r="N3164" s="27">
        <v>4.7619047619047616E-2</v>
      </c>
    </row>
    <row r="3165" spans="1:14" x14ac:dyDescent="0.15">
      <c r="A3165" s="23" t="str">
        <f>HYPERLINK("https://www.spark-marketing.ru/Card/Person/34205", "МВД ПО РЕСПУБЛИКЕ ТАТАРСТАН")</f>
        <v>МВД ПО РЕСПУБЛИКЕ ТАТАРСТАН</v>
      </c>
      <c r="B3165" s="24" t="s">
        <v>5565</v>
      </c>
      <c r="C3165" s="25">
        <v>655000</v>
      </c>
      <c r="D3165" s="22" t="s">
        <v>5566</v>
      </c>
      <c r="E3165" s="22" t="s">
        <v>48</v>
      </c>
      <c r="F3165" s="23" t="str">
        <f>HYPERLINK("https://www.spark-marketing.ru/Card/Lot/73387741", "Прочая закупка товаров, работ и услуг (Оказание услуг по организации питания лиц, содержащихся в центре временного содержания несовершеннолетних правонарушителей МВД по Республике Татарстан)")</f>
        <v>Прочая закупка товаров, работ и услуг (Оказание услуг по организации питания лиц, содержащихся в центре временного содержания несовершеннолетних правонарушителей МВД по Республике Татарстан)</v>
      </c>
      <c r="G3165" s="22" t="s">
        <v>217</v>
      </c>
      <c r="H3165" s="22" t="s">
        <v>937</v>
      </c>
      <c r="I3165" s="26">
        <v>43720.7319444444</v>
      </c>
      <c r="J3165" s="23" t="str">
        <f>HYPERLINK("https://www.spark-marketing.ru/Card/Person/4889913", "ООО АНТАРЕС-Х""")</f>
        <v>ООО АНТАРЕС-Х"</v>
      </c>
      <c r="K3165" s="24" t="s">
        <v>2877</v>
      </c>
      <c r="L3165" s="22" t="s">
        <v>10</v>
      </c>
      <c r="M3165" s="28" t="s">
        <v>51</v>
      </c>
      <c r="N3165" s="28" t="s">
        <v>51</v>
      </c>
    </row>
    <row r="3166" spans="1:14" x14ac:dyDescent="0.15">
      <c r="A3166" s="23" t="s">
        <v>114</v>
      </c>
      <c r="B3166" s="28" t="s">
        <v>51</v>
      </c>
      <c r="C3166" s="25">
        <v>8856456</v>
      </c>
      <c r="D3166" s="22" t="s">
        <v>5567</v>
      </c>
      <c r="E3166" s="22" t="s">
        <v>48</v>
      </c>
      <c r="F3166" s="23" t="str">
        <f>HYPERLINK("https://www.spark-marketing.ru/Card/Lot/73388895",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66" s="22" t="s">
        <v>51</v>
      </c>
      <c r="H3166" s="22" t="s">
        <v>51</v>
      </c>
      <c r="I3166" s="26">
        <v>43720.730127314797</v>
      </c>
      <c r="J3166" s="23" t="str">
        <f>HYPERLINK("https://www.spark-marketing.ru/Card/Person/4621492", "Егорова Нина Федоровна")</f>
        <v>Егорова Нина Федоровна</v>
      </c>
      <c r="K3166" s="24" t="s">
        <v>5550</v>
      </c>
      <c r="L3166" s="28" t="s">
        <v>51</v>
      </c>
      <c r="M3166" s="28" t="s">
        <v>51</v>
      </c>
      <c r="N3166" s="28" t="s">
        <v>51</v>
      </c>
    </row>
    <row r="3167" spans="1:14" hidden="1" outlineLevel="1" x14ac:dyDescent="0.15">
      <c r="A3167" s="23" t="str">
        <f>HYPERLINK("https://www.spark-marketing.ru/Card/Person/996367", "МДОУ Д/С №25 КОМПЕНСИРУЮЩЕГО ВИДА")</f>
        <v>МДОУ Д/С №25 КОМПЕНСИРУЮЩЕГО ВИДА</v>
      </c>
      <c r="B3167" s="24" t="s">
        <v>5568</v>
      </c>
      <c r="C3167" s="25">
        <v>2606100</v>
      </c>
      <c r="D3167" s="22" t="s">
        <v>5567</v>
      </c>
      <c r="E3167" s="22" t="s">
        <v>48</v>
      </c>
      <c r="F3167" s="23" t="str">
        <f>HYPERLINK("https://www.spark-marketing.ru/Card/Lot/73388895",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67" s="22" t="s">
        <v>49</v>
      </c>
      <c r="H3167" s="22" t="s">
        <v>1867</v>
      </c>
      <c r="I3167" s="26">
        <v>43720.730127314797</v>
      </c>
      <c r="J3167" s="23" t="str">
        <f>HYPERLINK("https://www.spark-marketing.ru/Card/Person/4621492", "Егорова Нина Федоровна")</f>
        <v>Егорова Нина Федоровна</v>
      </c>
      <c r="K3167" s="24" t="s">
        <v>5550</v>
      </c>
      <c r="L3167" s="28" t="s">
        <v>51</v>
      </c>
      <c r="M3167" s="28" t="s">
        <v>51</v>
      </c>
      <c r="N3167" s="28" t="s">
        <v>51</v>
      </c>
    </row>
    <row r="3168" spans="1:14" hidden="1" outlineLevel="1" x14ac:dyDescent="0.15">
      <c r="A3168" s="23" t="str">
        <f>HYPERLINK("https://www.spark-marketing.ru/Card/Person/1004071", "МДОУ ЦРР - ДЕТСКИЙ САД № 23")</f>
        <v>МДОУ ЦРР - ДЕТСКИЙ САД № 23</v>
      </c>
      <c r="B3168" s="24" t="s">
        <v>5569</v>
      </c>
      <c r="C3168" s="25">
        <v>6250356</v>
      </c>
      <c r="D3168" s="22" t="s">
        <v>5567</v>
      </c>
      <c r="E3168" s="22" t="s">
        <v>48</v>
      </c>
      <c r="F3168" s="23" t="str">
        <f>HYPERLINK("https://www.spark-marketing.ru/Card/Lot/73388895",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68" s="22" t="s">
        <v>49</v>
      </c>
      <c r="H3168" s="22" t="s">
        <v>1867</v>
      </c>
      <c r="I3168" s="26">
        <v>43720.730127314797</v>
      </c>
      <c r="J3168" s="23" t="str">
        <f>HYPERLINK("https://www.spark-marketing.ru/Card/Person/4621492", "Егорова Нина Федоровна")</f>
        <v>Егорова Нина Федоровна</v>
      </c>
      <c r="K3168" s="24" t="s">
        <v>5550</v>
      </c>
      <c r="L3168" s="28" t="s">
        <v>51</v>
      </c>
      <c r="M3168" s="28" t="s">
        <v>51</v>
      </c>
      <c r="N3168" s="28" t="s">
        <v>51</v>
      </c>
    </row>
    <row r="3169" spans="1:14" hidden="1" outlineLevel="1" x14ac:dyDescent="0.2">
      <c r="A3169" s="28" t="s">
        <v>51</v>
      </c>
      <c r="B3169" s="28" t="s">
        <v>51</v>
      </c>
      <c r="C3169" s="28" t="s">
        <v>51</v>
      </c>
      <c r="D3169" s="22" t="s">
        <v>5567</v>
      </c>
      <c r="E3169" s="22" t="s">
        <v>48</v>
      </c>
      <c r="F3169" s="23" t="str">
        <f>HYPERLINK("https://www.spark-marketing.ru/Card/Lot/73388895",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69" s="22" t="s">
        <v>51</v>
      </c>
      <c r="H3169" s="22" t="s">
        <v>51</v>
      </c>
      <c r="I3169" s="26">
        <v>43720.730127314797</v>
      </c>
      <c r="J3169" s="23" t="str">
        <f>HYPERLINK("https://www.spark-marketing.ru/Card/Person/4621492", "Егорова Нина Федоровна")</f>
        <v>Егорова Нина Федоровна</v>
      </c>
      <c r="K3169" s="24" t="s">
        <v>5550</v>
      </c>
      <c r="L3169" s="22" t="s">
        <v>10</v>
      </c>
      <c r="M3169" s="25">
        <v>8434720</v>
      </c>
      <c r="N3169" s="27">
        <v>4.7619047619047616E-2</v>
      </c>
    </row>
    <row r="3170" spans="1:14" x14ac:dyDescent="0.15">
      <c r="A3170" s="23" t="s">
        <v>114</v>
      </c>
      <c r="B3170" s="28" t="s">
        <v>51</v>
      </c>
      <c r="C3170" s="25">
        <v>9937987.5</v>
      </c>
      <c r="D3170" s="22" t="s">
        <v>5570</v>
      </c>
      <c r="E3170" s="22" t="s">
        <v>48</v>
      </c>
      <c r="F3170" s="23" t="str">
        <f>HYPERLINK("https://www.spark-marketing.ru/Card/Lot/73388880",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70" s="22" t="s">
        <v>51</v>
      </c>
      <c r="H3170" s="22" t="s">
        <v>51</v>
      </c>
      <c r="I3170" s="26">
        <v>43720.730069444398</v>
      </c>
      <c r="J3170" s="23" t="str">
        <f>HYPERLINK("https://www.spark-marketing.ru/Card/Person/126568", "ООО ""КРИСТИНА""")</f>
        <v>ООО "КРИСТИНА"</v>
      </c>
      <c r="K3170" s="24" t="s">
        <v>5179</v>
      </c>
      <c r="L3170" s="28" t="s">
        <v>51</v>
      </c>
      <c r="M3170" s="28" t="s">
        <v>51</v>
      </c>
      <c r="N3170" s="28" t="s">
        <v>51</v>
      </c>
    </row>
    <row r="3171" spans="1:14" hidden="1" outlineLevel="1" x14ac:dyDescent="0.15">
      <c r="A3171" s="23" t="str">
        <f>HYPERLINK("https://www.spark-marketing.ru/Card/Person/1004684", "МДОУ Д/С № 8")</f>
        <v>МДОУ Д/С № 8</v>
      </c>
      <c r="B3171" s="24" t="s">
        <v>5571</v>
      </c>
      <c r="C3171" s="25">
        <v>3374007</v>
      </c>
      <c r="D3171" s="22" t="s">
        <v>5570</v>
      </c>
      <c r="E3171" s="22" t="s">
        <v>48</v>
      </c>
      <c r="F3171" s="23" t="str">
        <f>HYPERLINK("https://www.spark-marketing.ru/Card/Lot/73388880",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71" s="22" t="s">
        <v>49</v>
      </c>
      <c r="H3171" s="22" t="s">
        <v>1867</v>
      </c>
      <c r="I3171" s="26">
        <v>43720.730069444398</v>
      </c>
      <c r="J3171" s="23" t="str">
        <f>HYPERLINK("https://www.spark-marketing.ru/Card/Person/126568", "ООО ""КРИСТИНА""")</f>
        <v>ООО "КРИСТИНА"</v>
      </c>
      <c r="K3171" s="24" t="s">
        <v>5179</v>
      </c>
      <c r="L3171" s="28" t="s">
        <v>51</v>
      </c>
      <c r="M3171" s="28" t="s">
        <v>51</v>
      </c>
      <c r="N3171" s="28" t="s">
        <v>51</v>
      </c>
    </row>
    <row r="3172" spans="1:14" hidden="1" outlineLevel="1" x14ac:dyDescent="0.15">
      <c r="A3172" s="23" t="str">
        <f>HYPERLINK("https://www.spark-marketing.ru/Card/Person/1022858", "МДОУ №10")</f>
        <v>МДОУ №10</v>
      </c>
      <c r="B3172" s="24" t="s">
        <v>5572</v>
      </c>
      <c r="C3172" s="25">
        <v>3385609.5</v>
      </c>
      <c r="D3172" s="22" t="s">
        <v>5570</v>
      </c>
      <c r="E3172" s="22" t="s">
        <v>48</v>
      </c>
      <c r="F3172" s="23" t="str">
        <f>HYPERLINK("https://www.spark-marketing.ru/Card/Lot/73388880",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72" s="22" t="s">
        <v>49</v>
      </c>
      <c r="H3172" s="22" t="s">
        <v>1867</v>
      </c>
      <c r="I3172" s="26">
        <v>43720.730069444398</v>
      </c>
      <c r="J3172" s="23" t="str">
        <f>HYPERLINK("https://www.spark-marketing.ru/Card/Person/126568", "ООО ""КРИСТИНА""")</f>
        <v>ООО "КРИСТИНА"</v>
      </c>
      <c r="K3172" s="24" t="s">
        <v>5179</v>
      </c>
      <c r="L3172" s="28" t="s">
        <v>51</v>
      </c>
      <c r="M3172" s="28" t="s">
        <v>51</v>
      </c>
      <c r="N3172" s="28" t="s">
        <v>51</v>
      </c>
    </row>
    <row r="3173" spans="1:14" hidden="1" outlineLevel="1" x14ac:dyDescent="0.15">
      <c r="A3173" s="23" t="str">
        <f>HYPERLINK("https://www.spark-marketing.ru/Card/Person/1022948", "МДОУ Д/С №45")</f>
        <v>МДОУ Д/С №45</v>
      </c>
      <c r="B3173" s="24" t="s">
        <v>5573</v>
      </c>
      <c r="C3173" s="25">
        <v>3178371</v>
      </c>
      <c r="D3173" s="22" t="s">
        <v>5570</v>
      </c>
      <c r="E3173" s="22" t="s">
        <v>48</v>
      </c>
      <c r="F3173" s="23" t="str">
        <f>HYPERLINK("https://www.spark-marketing.ru/Card/Lot/73388880",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73" s="22" t="s">
        <v>49</v>
      </c>
      <c r="H3173" s="22" t="s">
        <v>1867</v>
      </c>
      <c r="I3173" s="26">
        <v>43720.730069444398</v>
      </c>
      <c r="J3173" s="23" t="str">
        <f>HYPERLINK("https://www.spark-marketing.ru/Card/Person/126568", "ООО ""КРИСТИНА""")</f>
        <v>ООО "КРИСТИНА"</v>
      </c>
      <c r="K3173" s="24" t="s">
        <v>5179</v>
      </c>
      <c r="L3173" s="28" t="s">
        <v>51</v>
      </c>
      <c r="M3173" s="28" t="s">
        <v>51</v>
      </c>
      <c r="N3173" s="28" t="s">
        <v>51</v>
      </c>
    </row>
    <row r="3174" spans="1:14" hidden="1" outlineLevel="1" x14ac:dyDescent="0.2">
      <c r="A3174" s="28" t="s">
        <v>51</v>
      </c>
      <c r="B3174" s="28" t="s">
        <v>51</v>
      </c>
      <c r="C3174" s="28" t="s">
        <v>51</v>
      </c>
      <c r="D3174" s="22" t="s">
        <v>5570</v>
      </c>
      <c r="E3174" s="22" t="s">
        <v>48</v>
      </c>
      <c r="F3174" s="23" t="str">
        <f>HYPERLINK("https://www.spark-marketing.ru/Card/Lot/73388880",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74" s="22" t="s">
        <v>51</v>
      </c>
      <c r="H3174" s="22" t="s">
        <v>51</v>
      </c>
      <c r="I3174" s="26">
        <v>43720.730069444398</v>
      </c>
      <c r="J3174" s="23" t="str">
        <f>HYPERLINK("https://www.spark-marketing.ru/Card/Person/126568", "ООО ""КРИСТИНА""")</f>
        <v>ООО "КРИСТИНА"</v>
      </c>
      <c r="K3174" s="24" t="s">
        <v>5179</v>
      </c>
      <c r="L3174" s="22" t="s">
        <v>10</v>
      </c>
      <c r="M3174" s="25">
        <v>9464750</v>
      </c>
      <c r="N3174" s="27">
        <v>4.7619047619047616E-2</v>
      </c>
    </row>
    <row r="3175" spans="1:14" x14ac:dyDescent="0.15">
      <c r="A3175" s="23" t="s">
        <v>114</v>
      </c>
      <c r="B3175" s="28" t="s">
        <v>51</v>
      </c>
      <c r="C3175" s="25">
        <v>8081587.5</v>
      </c>
      <c r="D3175" s="22" t="s">
        <v>5574</v>
      </c>
      <c r="E3175" s="22" t="s">
        <v>48</v>
      </c>
      <c r="F3175" s="23" t="str">
        <f>HYPERLINK("https://www.spark-marketing.ru/Card/Lot/73388893", "Оказание услуг по организации питания для воспитанников дошкольной образовательной организации")</f>
        <v>Оказание услуг по организации питания для воспитанников дошкольной образовательной организации</v>
      </c>
      <c r="G3175" s="22" t="s">
        <v>51</v>
      </c>
      <c r="H3175" s="22" t="s">
        <v>51</v>
      </c>
      <c r="I3175" s="26">
        <v>43720.730115740698</v>
      </c>
      <c r="J3175" s="23" t="str">
        <f t="shared" ref="J3175:J3182" si="51">HYPERLINK("https://www.spark-marketing.ru/Card/Person/4621492", "Егорова Нина Федоровна")</f>
        <v>Егорова Нина Федоровна</v>
      </c>
      <c r="K3175" s="24" t="s">
        <v>5550</v>
      </c>
      <c r="L3175" s="28" t="s">
        <v>51</v>
      </c>
      <c r="M3175" s="28" t="s">
        <v>51</v>
      </c>
      <c r="N3175" s="28" t="s">
        <v>51</v>
      </c>
    </row>
    <row r="3176" spans="1:14" hidden="1" outlineLevel="1" x14ac:dyDescent="0.15">
      <c r="A3176" s="23" t="str">
        <f>HYPERLINK("https://www.spark-marketing.ru/Card/Person/129207", "МДОУ Д/С № 15 Д. ДЕМИХОВО")</f>
        <v>МДОУ Д/С № 15 Д. ДЕМИХОВО</v>
      </c>
      <c r="B3176" s="24" t="s">
        <v>5575</v>
      </c>
      <c r="C3176" s="25">
        <v>2056677</v>
      </c>
      <c r="D3176" s="22" t="s">
        <v>5574</v>
      </c>
      <c r="E3176" s="22" t="s">
        <v>48</v>
      </c>
      <c r="F3176" s="23" t="str">
        <f>HYPERLINK("https://www.spark-marketing.ru/Card/Lot/73388893", "Оказание услуг по организации питания для воспитанников дошкольной образовательной организации")</f>
        <v>Оказание услуг по организации питания для воспитанников дошкольной образовательной организации</v>
      </c>
      <c r="G3176" s="22" t="s">
        <v>49</v>
      </c>
      <c r="H3176" s="22" t="s">
        <v>1867</v>
      </c>
      <c r="I3176" s="26">
        <v>43720.730115740698</v>
      </c>
      <c r="J3176" s="23" t="str">
        <f t="shared" si="51"/>
        <v>Егорова Нина Федоровна</v>
      </c>
      <c r="K3176" s="24" t="s">
        <v>5550</v>
      </c>
      <c r="L3176" s="28" t="s">
        <v>51</v>
      </c>
      <c r="M3176" s="28" t="s">
        <v>51</v>
      </c>
      <c r="N3176" s="28" t="s">
        <v>51</v>
      </c>
    </row>
    <row r="3177" spans="1:14" hidden="1" outlineLevel="1" x14ac:dyDescent="0.15">
      <c r="A3177" s="23" t="str">
        <f>HYPERLINK("https://www.spark-marketing.ru/Card/Person/4371939", "МДОУ ЦРР- ДЕТСКИЙ САД №5")</f>
        <v>МДОУ ЦРР- ДЕТСКИЙ САД №5</v>
      </c>
      <c r="B3177" s="24" t="s">
        <v>5576</v>
      </c>
      <c r="C3177" s="25">
        <v>6024910.5</v>
      </c>
      <c r="D3177" s="22" t="s">
        <v>5574</v>
      </c>
      <c r="E3177" s="22" t="s">
        <v>48</v>
      </c>
      <c r="F3177" s="23" t="str">
        <f>HYPERLINK("https://www.spark-marketing.ru/Card/Lot/73388893", "Оказание услуг по организации питания для воспитанников дошкольной образовательной организации")</f>
        <v>Оказание услуг по организации питания для воспитанников дошкольной образовательной организации</v>
      </c>
      <c r="G3177" s="22" t="s">
        <v>49</v>
      </c>
      <c r="H3177" s="22" t="s">
        <v>1867</v>
      </c>
      <c r="I3177" s="26">
        <v>43720.730115740698</v>
      </c>
      <c r="J3177" s="23" t="str">
        <f t="shared" si="51"/>
        <v>Егорова Нина Федоровна</v>
      </c>
      <c r="K3177" s="24" t="s">
        <v>5550</v>
      </c>
      <c r="L3177" s="28" t="s">
        <v>51</v>
      </c>
      <c r="M3177" s="28" t="s">
        <v>51</v>
      </c>
      <c r="N3177" s="28" t="s">
        <v>51</v>
      </c>
    </row>
    <row r="3178" spans="1:14" hidden="1" outlineLevel="1" x14ac:dyDescent="0.2">
      <c r="A3178" s="28" t="s">
        <v>51</v>
      </c>
      <c r="B3178" s="28" t="s">
        <v>51</v>
      </c>
      <c r="C3178" s="28" t="s">
        <v>51</v>
      </c>
      <c r="D3178" s="22" t="s">
        <v>5574</v>
      </c>
      <c r="E3178" s="22" t="s">
        <v>48</v>
      </c>
      <c r="F3178" s="23" t="str">
        <f>HYPERLINK("https://www.spark-marketing.ru/Card/Lot/73388893", "Оказание услуг по организации питания для воспитанников дошкольной образовательной организации")</f>
        <v>Оказание услуг по организации питания для воспитанников дошкольной образовательной организации</v>
      </c>
      <c r="G3178" s="22" t="s">
        <v>51</v>
      </c>
      <c r="H3178" s="22" t="s">
        <v>51</v>
      </c>
      <c r="I3178" s="26">
        <v>43720.730115740698</v>
      </c>
      <c r="J3178" s="23" t="str">
        <f t="shared" si="51"/>
        <v>Егорова Нина Федоровна</v>
      </c>
      <c r="K3178" s="24" t="s">
        <v>5550</v>
      </c>
      <c r="L3178" s="22" t="s">
        <v>10</v>
      </c>
      <c r="M3178" s="25">
        <v>7696750</v>
      </c>
      <c r="N3178" s="27">
        <v>4.7619047619047616E-2</v>
      </c>
    </row>
    <row r="3179" spans="1:14" x14ac:dyDescent="0.15">
      <c r="A3179" s="23" t="s">
        <v>114</v>
      </c>
      <c r="B3179" s="28" t="s">
        <v>51</v>
      </c>
      <c r="C3179" s="25">
        <v>9427477.5</v>
      </c>
      <c r="D3179" s="22" t="s">
        <v>5577</v>
      </c>
      <c r="E3179" s="22" t="s">
        <v>48</v>
      </c>
      <c r="F3179" s="23" t="str">
        <f>HYPERLINK("https://www.spark-marketing.ru/Card/Lot/73388898",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79" s="22" t="s">
        <v>51</v>
      </c>
      <c r="H3179" s="22" t="s">
        <v>51</v>
      </c>
      <c r="I3179" s="26">
        <v>43720.730173611097</v>
      </c>
      <c r="J3179" s="23" t="str">
        <f t="shared" si="51"/>
        <v>Егорова Нина Федоровна</v>
      </c>
      <c r="K3179" s="24" t="s">
        <v>5550</v>
      </c>
      <c r="L3179" s="28" t="s">
        <v>51</v>
      </c>
      <c r="M3179" s="28" t="s">
        <v>51</v>
      </c>
      <c r="N3179" s="28" t="s">
        <v>51</v>
      </c>
    </row>
    <row r="3180" spans="1:14" hidden="1" outlineLevel="1" x14ac:dyDescent="0.15">
      <c r="A3180" s="23" t="str">
        <f>HYPERLINK("https://www.spark-marketing.ru/Card/Person/1028118", "МДОУ ДЕТСКИЙ САД № 43")</f>
        <v>МДОУ ДЕТСКИЙ САД № 43</v>
      </c>
      <c r="B3180" s="24" t="s">
        <v>5578</v>
      </c>
      <c r="C3180" s="25">
        <v>6394584</v>
      </c>
      <c r="D3180" s="22" t="s">
        <v>5577</v>
      </c>
      <c r="E3180" s="22" t="s">
        <v>48</v>
      </c>
      <c r="F3180" s="23" t="str">
        <f>HYPERLINK("https://www.spark-marketing.ru/Card/Lot/73388898",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80" s="22" t="s">
        <v>49</v>
      </c>
      <c r="H3180" s="22" t="s">
        <v>1867</v>
      </c>
      <c r="I3180" s="26">
        <v>43720.730173611097</v>
      </c>
      <c r="J3180" s="23" t="str">
        <f t="shared" si="51"/>
        <v>Егорова Нина Федоровна</v>
      </c>
      <c r="K3180" s="24" t="s">
        <v>5550</v>
      </c>
      <c r="L3180" s="28" t="s">
        <v>51</v>
      </c>
      <c r="M3180" s="28" t="s">
        <v>51</v>
      </c>
      <c r="N3180" s="28" t="s">
        <v>51</v>
      </c>
    </row>
    <row r="3181" spans="1:14" hidden="1" outlineLevel="1" x14ac:dyDescent="0.15">
      <c r="A3181" s="23" t="str">
        <f>HYPERLINK("https://www.spark-marketing.ru/Card/Person/1050648", "МДОУ ДЕТСКИЙ САД №26")</f>
        <v>МДОУ ДЕТСКИЙ САД №26</v>
      </c>
      <c r="B3181" s="24" t="s">
        <v>5579</v>
      </c>
      <c r="C3181" s="25">
        <v>3032893.5</v>
      </c>
      <c r="D3181" s="22" t="s">
        <v>5577</v>
      </c>
      <c r="E3181" s="22" t="s">
        <v>48</v>
      </c>
      <c r="F3181" s="23" t="str">
        <f>HYPERLINK("https://www.spark-marketing.ru/Card/Lot/73388898",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81" s="22" t="s">
        <v>49</v>
      </c>
      <c r="H3181" s="22" t="s">
        <v>1867</v>
      </c>
      <c r="I3181" s="26">
        <v>43720.730173611097</v>
      </c>
      <c r="J3181" s="23" t="str">
        <f t="shared" si="51"/>
        <v>Егорова Нина Федоровна</v>
      </c>
      <c r="K3181" s="24" t="s">
        <v>5550</v>
      </c>
      <c r="L3181" s="28" t="s">
        <v>51</v>
      </c>
      <c r="M3181" s="28" t="s">
        <v>51</v>
      </c>
      <c r="N3181" s="28" t="s">
        <v>51</v>
      </c>
    </row>
    <row r="3182" spans="1:14" hidden="1" outlineLevel="1" x14ac:dyDescent="0.2">
      <c r="A3182" s="28" t="s">
        <v>51</v>
      </c>
      <c r="B3182" s="28" t="s">
        <v>51</v>
      </c>
      <c r="C3182" s="28" t="s">
        <v>51</v>
      </c>
      <c r="D3182" s="22" t="s">
        <v>5577</v>
      </c>
      <c r="E3182" s="22" t="s">
        <v>48</v>
      </c>
      <c r="F3182" s="23" t="str">
        <f>HYPERLINK("https://www.spark-marketing.ru/Card/Lot/73388898",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82" s="22" t="s">
        <v>51</v>
      </c>
      <c r="H3182" s="22" t="s">
        <v>51</v>
      </c>
      <c r="I3182" s="26">
        <v>43720.730173611097</v>
      </c>
      <c r="J3182" s="23" t="str">
        <f t="shared" si="51"/>
        <v>Егорова Нина Федоровна</v>
      </c>
      <c r="K3182" s="24" t="s">
        <v>5550</v>
      </c>
      <c r="L3182" s="22" t="s">
        <v>10</v>
      </c>
      <c r="M3182" s="25">
        <v>8978550</v>
      </c>
      <c r="N3182" s="27">
        <v>4.7619047619047616E-2</v>
      </c>
    </row>
    <row r="3183" spans="1:14" x14ac:dyDescent="0.15">
      <c r="A3183" s="23" t="str">
        <f>HYPERLINK("https://www.spark-marketing.ru/Card/Person/82723", "МБДОУ ""ДЕТСКИЙ САД №9""")</f>
        <v>МБДОУ "ДЕТСКИЙ САД №9"</v>
      </c>
      <c r="B3183" s="24" t="s">
        <v>5580</v>
      </c>
      <c r="C3183" s="25">
        <v>8656351</v>
      </c>
      <c r="D3183" s="22" t="s">
        <v>5581</v>
      </c>
      <c r="E3183" s="22" t="s">
        <v>48</v>
      </c>
      <c r="F3183" s="23" t="str">
        <f>HYPERLINK("https://www.spark-marketing.ru/Card/Lot/73388876", "на оказание услуг по организации горячего питания в МБДОУ№9")</f>
        <v>на оказание услуг по организации горячего питания в МБДОУ№9</v>
      </c>
      <c r="G3183" s="22" t="s">
        <v>49</v>
      </c>
      <c r="H3183" s="22" t="s">
        <v>301</v>
      </c>
      <c r="I3183" s="26">
        <v>43720.724722222199</v>
      </c>
      <c r="J3183" s="28" t="s">
        <v>51</v>
      </c>
      <c r="K3183" s="28" t="s">
        <v>51</v>
      </c>
      <c r="L3183" s="28" t="s">
        <v>51</v>
      </c>
      <c r="M3183" s="28" t="s">
        <v>51</v>
      </c>
      <c r="N3183" s="28" t="s">
        <v>51</v>
      </c>
    </row>
    <row r="3184" spans="1:14" hidden="1" outlineLevel="1" x14ac:dyDescent="0.2">
      <c r="A3184" s="23" t="str">
        <f>HYPERLINK("https://www.spark-marketing.ru/Card/Person/82723", "МБДОУ ""ДЕТСКИЙ САД №9""")</f>
        <v>МБДОУ "ДЕТСКИЙ САД №9"</v>
      </c>
      <c r="B3184" s="24" t="s">
        <v>5580</v>
      </c>
      <c r="C3184" s="25">
        <v>8656351</v>
      </c>
      <c r="D3184" s="22" t="s">
        <v>5581</v>
      </c>
      <c r="E3184" s="22" t="s">
        <v>48</v>
      </c>
      <c r="F3184" s="23" t="str">
        <f>HYPERLINK("https://www.spark-marketing.ru/Card/Lot/73388876", "на оказание услуг по организации горячего питания в МБДОУ№9")</f>
        <v>на оказание услуг по организации горячего питания в МБДОУ№9</v>
      </c>
      <c r="G3184" s="22" t="s">
        <v>49</v>
      </c>
      <c r="H3184" s="22" t="s">
        <v>301</v>
      </c>
      <c r="I3184" s="26">
        <v>43720.724722222199</v>
      </c>
      <c r="J3184" s="23" t="str">
        <f>HYPERLINK("https://www.spark-marketing.ru/Card/Person/100937", "ООО ""ВЕРТИКАЛЬ""")</f>
        <v>ООО "ВЕРТИКАЛЬ"</v>
      </c>
      <c r="K3184" s="24" t="s">
        <v>4501</v>
      </c>
      <c r="L3184" s="28" t="s">
        <v>51</v>
      </c>
      <c r="M3184" s="25">
        <v>8223533.4500000002</v>
      </c>
      <c r="N3184" s="27">
        <v>0.05</v>
      </c>
    </row>
    <row r="3185" spans="1:14" ht="12.75" hidden="1" outlineLevel="1" x14ac:dyDescent="0.2">
      <c r="A3185" s="23" t="str">
        <f>HYPERLINK("https://www.spark-marketing.ru/Card/Person/82723", "МБДОУ ""ДЕТСКИЙ САД №9""")</f>
        <v>МБДОУ "ДЕТСКИЙ САД №9"</v>
      </c>
      <c r="B3185" s="24" t="s">
        <v>5580</v>
      </c>
      <c r="C3185" s="25">
        <v>8656351</v>
      </c>
      <c r="D3185" s="22" t="s">
        <v>5581</v>
      </c>
      <c r="E3185" s="22" t="s">
        <v>48</v>
      </c>
      <c r="F3185" s="23" t="str">
        <f>HYPERLINK("https://www.spark-marketing.ru/Card/Lot/73388876", "на оказание услуг по организации горячего питания в МБДОУ№9")</f>
        <v>на оказание услуг по организации горячего питания в МБДОУ№9</v>
      </c>
      <c r="G3185" s="22" t="s">
        <v>49</v>
      </c>
      <c r="H3185" s="22" t="s">
        <v>301</v>
      </c>
      <c r="I3185" s="26">
        <v>43720.724722222199</v>
      </c>
      <c r="J3185" s="23" t="str">
        <f>HYPERLINK("https://www.spark-marketing.ru/Card/Person/70733", "ООО ""ПЛАНЕТА ВКУСА""")</f>
        <v>ООО "ПЛАНЕТА ВКУСА"</v>
      </c>
      <c r="K3185" s="24" t="s">
        <v>4502</v>
      </c>
      <c r="L3185" s="22" t="s">
        <v>10</v>
      </c>
      <c r="M3185" s="25">
        <v>8245831</v>
      </c>
      <c r="N3185" s="27">
        <v>4.7424139802094437E-2</v>
      </c>
    </row>
    <row r="3186" spans="1:14" x14ac:dyDescent="0.15">
      <c r="A3186" s="23" t="s">
        <v>114</v>
      </c>
      <c r="B3186" s="28" t="s">
        <v>51</v>
      </c>
      <c r="C3186" s="25">
        <v>8200468.5</v>
      </c>
      <c r="D3186" s="22" t="s">
        <v>5582</v>
      </c>
      <c r="E3186" s="22" t="s">
        <v>48</v>
      </c>
      <c r="F3186" s="23" t="str">
        <f>HYPERLINK("https://www.spark-marketing.ru/Card/Lot/73388899",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86" s="22" t="s">
        <v>51</v>
      </c>
      <c r="H3186" s="22" t="s">
        <v>51</v>
      </c>
      <c r="I3186" s="26">
        <v>43720.730196759301</v>
      </c>
      <c r="J3186" s="23" t="str">
        <f t="shared" ref="J3186:J3199" si="52">HYPERLINK("https://www.spark-marketing.ru/Card/Person/126568", "ООО ""КРИСТИНА""")</f>
        <v>ООО "КРИСТИНА"</v>
      </c>
      <c r="K3186" s="24" t="s">
        <v>5179</v>
      </c>
      <c r="L3186" s="28" t="s">
        <v>51</v>
      </c>
      <c r="M3186" s="28" t="s">
        <v>51</v>
      </c>
      <c r="N3186" s="28" t="s">
        <v>51</v>
      </c>
    </row>
    <row r="3187" spans="1:14" hidden="1" outlineLevel="1" x14ac:dyDescent="0.15">
      <c r="A3187" s="23" t="str">
        <f>HYPERLINK("https://www.spark-marketing.ru/Card/Person/4374561", "МДОУ Д/С № 6")</f>
        <v>МДОУ Д/С № 6</v>
      </c>
      <c r="B3187" s="24" t="s">
        <v>5583</v>
      </c>
      <c r="C3187" s="25">
        <v>1254855</v>
      </c>
      <c r="D3187" s="22" t="s">
        <v>5582</v>
      </c>
      <c r="E3187" s="22" t="s">
        <v>48</v>
      </c>
      <c r="F3187" s="23" t="str">
        <f>HYPERLINK("https://www.spark-marketing.ru/Card/Lot/73388899",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87" s="22" t="s">
        <v>49</v>
      </c>
      <c r="H3187" s="22" t="s">
        <v>1867</v>
      </c>
      <c r="I3187" s="26">
        <v>43720.730196759301</v>
      </c>
      <c r="J3187" s="23" t="str">
        <f t="shared" si="52"/>
        <v>ООО "КРИСТИНА"</v>
      </c>
      <c r="K3187" s="24" t="s">
        <v>5179</v>
      </c>
      <c r="L3187" s="28" t="s">
        <v>51</v>
      </c>
      <c r="M3187" s="28" t="s">
        <v>51</v>
      </c>
      <c r="N3187" s="28" t="s">
        <v>51</v>
      </c>
    </row>
    <row r="3188" spans="1:14" hidden="1" outlineLevel="1" x14ac:dyDescent="0.15">
      <c r="A3188" s="23" t="str">
        <f>HYPERLINK("https://www.spark-marketing.ru/Card/Person/6179413", "МДОУ Д/С № 17")</f>
        <v>МДОУ Д/С № 17</v>
      </c>
      <c r="B3188" s="24" t="s">
        <v>5584</v>
      </c>
      <c r="C3188" s="25">
        <v>6945613.5</v>
      </c>
      <c r="D3188" s="22" t="s">
        <v>5582</v>
      </c>
      <c r="E3188" s="22" t="s">
        <v>48</v>
      </c>
      <c r="F3188" s="23" t="str">
        <f>HYPERLINK("https://www.spark-marketing.ru/Card/Lot/73388899",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88" s="22" t="s">
        <v>49</v>
      </c>
      <c r="H3188" s="22" t="s">
        <v>1867</v>
      </c>
      <c r="I3188" s="26">
        <v>43720.730196759301</v>
      </c>
      <c r="J3188" s="23" t="str">
        <f t="shared" si="52"/>
        <v>ООО "КРИСТИНА"</v>
      </c>
      <c r="K3188" s="24" t="s">
        <v>5179</v>
      </c>
      <c r="L3188" s="28" t="s">
        <v>51</v>
      </c>
      <c r="M3188" s="28" t="s">
        <v>51</v>
      </c>
      <c r="N3188" s="28" t="s">
        <v>51</v>
      </c>
    </row>
    <row r="3189" spans="1:14" hidden="1" outlineLevel="1" x14ac:dyDescent="0.2">
      <c r="A3189" s="28" t="s">
        <v>51</v>
      </c>
      <c r="B3189" s="28" t="s">
        <v>51</v>
      </c>
      <c r="C3189" s="28" t="s">
        <v>51</v>
      </c>
      <c r="D3189" s="22" t="s">
        <v>5582</v>
      </c>
      <c r="E3189" s="22" t="s">
        <v>48</v>
      </c>
      <c r="F3189" s="23" t="str">
        <f>HYPERLINK("https://www.spark-marketing.ru/Card/Lot/73388899",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89" s="22" t="s">
        <v>51</v>
      </c>
      <c r="H3189" s="22" t="s">
        <v>51</v>
      </c>
      <c r="I3189" s="26">
        <v>43720.730196759301</v>
      </c>
      <c r="J3189" s="23" t="str">
        <f t="shared" si="52"/>
        <v>ООО "КРИСТИНА"</v>
      </c>
      <c r="K3189" s="24" t="s">
        <v>5179</v>
      </c>
      <c r="L3189" s="22" t="s">
        <v>10</v>
      </c>
      <c r="M3189" s="25">
        <v>7809970</v>
      </c>
      <c r="N3189" s="27">
        <v>4.7619047619047616E-2</v>
      </c>
    </row>
    <row r="3190" spans="1:14" x14ac:dyDescent="0.15">
      <c r="A3190" s="23" t="str">
        <f>HYPERLINK("https://www.spark-marketing.ru/Card/Person/1029702", "МДОУ Д/С № 16 КОМБИНИРОВАННОГО ВИДА")</f>
        <v>МДОУ Д/С № 16 КОМБИНИРОВАННОГО ВИДА</v>
      </c>
      <c r="B3190" s="24" t="s">
        <v>5585</v>
      </c>
      <c r="C3190" s="25">
        <v>7208722.5</v>
      </c>
      <c r="D3190" s="22" t="s">
        <v>5586</v>
      </c>
      <c r="E3190" s="22" t="s">
        <v>48</v>
      </c>
      <c r="F3190" s="23" t="str">
        <f>HYPERLINK("https://www.spark-marketing.ru/Card/Lot/73388891",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90" s="22" t="s">
        <v>49</v>
      </c>
      <c r="H3190" s="22" t="s">
        <v>1867</v>
      </c>
      <c r="I3190" s="26">
        <v>43720.730104166701</v>
      </c>
      <c r="J3190" s="23" t="str">
        <f t="shared" si="52"/>
        <v>ООО "КРИСТИНА"</v>
      </c>
      <c r="K3190" s="24" t="s">
        <v>5179</v>
      </c>
      <c r="L3190" s="28" t="s">
        <v>51</v>
      </c>
      <c r="M3190" s="28" t="s">
        <v>51</v>
      </c>
      <c r="N3190" s="28" t="s">
        <v>51</v>
      </c>
    </row>
    <row r="3191" spans="1:14" ht="12.75" hidden="1" outlineLevel="1" x14ac:dyDescent="0.2">
      <c r="A3191" s="23" t="str">
        <f>HYPERLINK("https://www.spark-marketing.ru/Card/Person/1029702", "МДОУ Д/С № 16 КОМБИНИРОВАННОГО ВИДА")</f>
        <v>МДОУ Д/С № 16 КОМБИНИРОВАННОГО ВИДА</v>
      </c>
      <c r="B3191" s="24" t="s">
        <v>5585</v>
      </c>
      <c r="C3191" s="25">
        <v>7208722.5</v>
      </c>
      <c r="D3191" s="22" t="s">
        <v>5586</v>
      </c>
      <c r="E3191" s="22" t="s">
        <v>48</v>
      </c>
      <c r="F3191" s="23" t="str">
        <f>HYPERLINK("https://www.spark-marketing.ru/Card/Lot/73388891",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91" s="22" t="s">
        <v>49</v>
      </c>
      <c r="H3191" s="22" t="s">
        <v>1867</v>
      </c>
      <c r="I3191" s="26">
        <v>43720.730104166701</v>
      </c>
      <c r="J3191" s="23" t="str">
        <f t="shared" si="52"/>
        <v>ООО "КРИСТИНА"</v>
      </c>
      <c r="K3191" s="24" t="s">
        <v>5179</v>
      </c>
      <c r="L3191" s="22" t="s">
        <v>10</v>
      </c>
      <c r="M3191" s="25">
        <v>6865450</v>
      </c>
      <c r="N3191" s="27">
        <v>4.7619047619047616E-2</v>
      </c>
    </row>
    <row r="3192" spans="1:14" x14ac:dyDescent="0.15">
      <c r="A3192" s="23" t="s">
        <v>114</v>
      </c>
      <c r="B3192" s="28" t="s">
        <v>51</v>
      </c>
      <c r="C3192" s="25">
        <v>9398560.5</v>
      </c>
      <c r="D3192" s="22" t="s">
        <v>5587</v>
      </c>
      <c r="E3192" s="22" t="s">
        <v>48</v>
      </c>
      <c r="F3192" s="23" t="str">
        <f>HYPERLINK("https://www.spark-marketing.ru/Card/Lot/73388896",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92" s="22" t="s">
        <v>51</v>
      </c>
      <c r="H3192" s="22" t="s">
        <v>51</v>
      </c>
      <c r="I3192" s="26">
        <v>43720.730127314797</v>
      </c>
      <c r="J3192" s="23" t="str">
        <f t="shared" si="52"/>
        <v>ООО "КРИСТИНА"</v>
      </c>
      <c r="K3192" s="24" t="s">
        <v>5179</v>
      </c>
      <c r="L3192" s="28" t="s">
        <v>51</v>
      </c>
      <c r="M3192" s="28" t="s">
        <v>51</v>
      </c>
      <c r="N3192" s="28" t="s">
        <v>51</v>
      </c>
    </row>
    <row r="3193" spans="1:14" hidden="1" outlineLevel="1" x14ac:dyDescent="0.15">
      <c r="A3193" s="23" t="str">
        <f>HYPERLINK("https://www.spark-marketing.ru/Card/Person/1022271", "МДОУ ЦРР - ДЕТСКИЙ САД № 30")</f>
        <v>МДОУ ЦРР - ДЕТСКИЙ САД № 30</v>
      </c>
      <c r="B3193" s="24" t="s">
        <v>5588</v>
      </c>
      <c r="C3193" s="25">
        <v>6763722</v>
      </c>
      <c r="D3193" s="22" t="s">
        <v>5587</v>
      </c>
      <c r="E3193" s="22" t="s">
        <v>48</v>
      </c>
      <c r="F3193" s="23" t="str">
        <f>HYPERLINK("https://www.spark-marketing.ru/Card/Lot/73388896",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93" s="22" t="s">
        <v>49</v>
      </c>
      <c r="H3193" s="22" t="s">
        <v>1867</v>
      </c>
      <c r="I3193" s="26">
        <v>43720.730127314797</v>
      </c>
      <c r="J3193" s="23" t="str">
        <f t="shared" si="52"/>
        <v>ООО "КРИСТИНА"</v>
      </c>
      <c r="K3193" s="24" t="s">
        <v>5179</v>
      </c>
      <c r="L3193" s="28" t="s">
        <v>51</v>
      </c>
      <c r="M3193" s="28" t="s">
        <v>51</v>
      </c>
      <c r="N3193" s="28" t="s">
        <v>51</v>
      </c>
    </row>
    <row r="3194" spans="1:14" hidden="1" outlineLevel="1" x14ac:dyDescent="0.15">
      <c r="A3194" s="23" t="str">
        <f>HYPERLINK("https://www.spark-marketing.ru/Card/Person/1024123", "МДОУ Д/С № 27")</f>
        <v>МДОУ Д/С № 27</v>
      </c>
      <c r="B3194" s="24" t="s">
        <v>5589</v>
      </c>
      <c r="C3194" s="25">
        <v>2634838.5</v>
      </c>
      <c r="D3194" s="22" t="s">
        <v>5587</v>
      </c>
      <c r="E3194" s="22" t="s">
        <v>48</v>
      </c>
      <c r="F3194" s="23" t="str">
        <f>HYPERLINK("https://www.spark-marketing.ru/Card/Lot/73388896",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94" s="22" t="s">
        <v>49</v>
      </c>
      <c r="H3194" s="22" t="s">
        <v>1867</v>
      </c>
      <c r="I3194" s="26">
        <v>43720.730127314797</v>
      </c>
      <c r="J3194" s="23" t="str">
        <f t="shared" si="52"/>
        <v>ООО "КРИСТИНА"</v>
      </c>
      <c r="K3194" s="24" t="s">
        <v>5179</v>
      </c>
      <c r="L3194" s="28" t="s">
        <v>51</v>
      </c>
      <c r="M3194" s="28" t="s">
        <v>51</v>
      </c>
      <c r="N3194" s="28" t="s">
        <v>51</v>
      </c>
    </row>
    <row r="3195" spans="1:14" hidden="1" outlineLevel="1" x14ac:dyDescent="0.2">
      <c r="A3195" s="28" t="s">
        <v>51</v>
      </c>
      <c r="B3195" s="28" t="s">
        <v>51</v>
      </c>
      <c r="C3195" s="28" t="s">
        <v>51</v>
      </c>
      <c r="D3195" s="22" t="s">
        <v>5587</v>
      </c>
      <c r="E3195" s="22" t="s">
        <v>48</v>
      </c>
      <c r="F3195" s="23" t="str">
        <f>HYPERLINK("https://www.spark-marketing.ru/Card/Lot/73388896",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95" s="22" t="s">
        <v>51</v>
      </c>
      <c r="H3195" s="22" t="s">
        <v>51</v>
      </c>
      <c r="I3195" s="26">
        <v>43720.730127314797</v>
      </c>
      <c r="J3195" s="23" t="str">
        <f t="shared" si="52"/>
        <v>ООО "КРИСТИНА"</v>
      </c>
      <c r="K3195" s="24" t="s">
        <v>5179</v>
      </c>
      <c r="L3195" s="22" t="s">
        <v>10</v>
      </c>
      <c r="M3195" s="25">
        <v>8951010</v>
      </c>
      <c r="N3195" s="27">
        <v>4.7619047619047616E-2</v>
      </c>
    </row>
    <row r="3196" spans="1:14" x14ac:dyDescent="0.15">
      <c r="A3196" s="23" t="s">
        <v>114</v>
      </c>
      <c r="B3196" s="28" t="s">
        <v>51</v>
      </c>
      <c r="C3196" s="25">
        <v>9369643.5</v>
      </c>
      <c r="D3196" s="22" t="s">
        <v>5590</v>
      </c>
      <c r="E3196" s="22" t="s">
        <v>48</v>
      </c>
      <c r="F3196" s="23" t="str">
        <f>HYPERLINK("https://www.spark-marketing.ru/Card/Lot/73388897",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96" s="22" t="s">
        <v>51</v>
      </c>
      <c r="H3196" s="22" t="s">
        <v>51</v>
      </c>
      <c r="I3196" s="26">
        <v>43720.730138888903</v>
      </c>
      <c r="J3196" s="23" t="str">
        <f t="shared" si="52"/>
        <v>ООО "КРИСТИНА"</v>
      </c>
      <c r="K3196" s="24" t="s">
        <v>5179</v>
      </c>
      <c r="L3196" s="28" t="s">
        <v>51</v>
      </c>
      <c r="M3196" s="28" t="s">
        <v>51</v>
      </c>
      <c r="N3196" s="28" t="s">
        <v>51</v>
      </c>
    </row>
    <row r="3197" spans="1:14" hidden="1" outlineLevel="1" x14ac:dyDescent="0.15">
      <c r="A3197" s="23" t="str">
        <f>HYPERLINK("https://www.spark-marketing.ru/Card/Person/996180", "МДОУ Д/С №7")</f>
        <v>МДОУ Д/С №7</v>
      </c>
      <c r="B3197" s="24" t="s">
        <v>5591</v>
      </c>
      <c r="C3197" s="25">
        <v>3579460.5</v>
      </c>
      <c r="D3197" s="22" t="s">
        <v>5590</v>
      </c>
      <c r="E3197" s="22" t="s">
        <v>48</v>
      </c>
      <c r="F3197" s="23" t="str">
        <f>HYPERLINK("https://www.spark-marketing.ru/Card/Lot/73388897",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97" s="22" t="s">
        <v>49</v>
      </c>
      <c r="H3197" s="22" t="s">
        <v>1867</v>
      </c>
      <c r="I3197" s="26">
        <v>43720.730138888903</v>
      </c>
      <c r="J3197" s="23" t="str">
        <f t="shared" si="52"/>
        <v>ООО "КРИСТИНА"</v>
      </c>
      <c r="K3197" s="24" t="s">
        <v>5179</v>
      </c>
      <c r="L3197" s="28" t="s">
        <v>51</v>
      </c>
      <c r="M3197" s="28" t="s">
        <v>51</v>
      </c>
      <c r="N3197" s="28" t="s">
        <v>51</v>
      </c>
    </row>
    <row r="3198" spans="1:14" hidden="1" outlineLevel="1" x14ac:dyDescent="0.15">
      <c r="A3198" s="23" t="str">
        <f>HYPERLINK("https://www.spark-marketing.ru/Card/Person/1026332", "МДОУ ДЕТСКИЙ САД №38")</f>
        <v>МДОУ ДЕТСКИЙ САД №38</v>
      </c>
      <c r="B3198" s="24" t="s">
        <v>5592</v>
      </c>
      <c r="C3198" s="25">
        <v>5790183</v>
      </c>
      <c r="D3198" s="22" t="s">
        <v>5590</v>
      </c>
      <c r="E3198" s="22" t="s">
        <v>48</v>
      </c>
      <c r="F3198" s="23" t="str">
        <f>HYPERLINK("https://www.spark-marketing.ru/Card/Lot/73388897",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98" s="22" t="s">
        <v>49</v>
      </c>
      <c r="H3198" s="22" t="s">
        <v>1867</v>
      </c>
      <c r="I3198" s="26">
        <v>43720.730138888903</v>
      </c>
      <c r="J3198" s="23" t="str">
        <f t="shared" si="52"/>
        <v>ООО "КРИСТИНА"</v>
      </c>
      <c r="K3198" s="24" t="s">
        <v>5179</v>
      </c>
      <c r="L3198" s="28" t="s">
        <v>51</v>
      </c>
      <c r="M3198" s="28" t="s">
        <v>51</v>
      </c>
      <c r="N3198" s="28" t="s">
        <v>51</v>
      </c>
    </row>
    <row r="3199" spans="1:14" hidden="1" outlineLevel="1" x14ac:dyDescent="0.2">
      <c r="A3199" s="28" t="s">
        <v>51</v>
      </c>
      <c r="B3199" s="28" t="s">
        <v>51</v>
      </c>
      <c r="C3199" s="28" t="s">
        <v>51</v>
      </c>
      <c r="D3199" s="22" t="s">
        <v>5590</v>
      </c>
      <c r="E3199" s="22" t="s">
        <v>48</v>
      </c>
      <c r="F3199" s="23" t="str">
        <f>HYPERLINK("https://www.spark-marketing.ru/Card/Lot/73388897",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199" s="22" t="s">
        <v>51</v>
      </c>
      <c r="H3199" s="22" t="s">
        <v>51</v>
      </c>
      <c r="I3199" s="26">
        <v>43720.730138888903</v>
      </c>
      <c r="J3199" s="23" t="str">
        <f t="shared" si="52"/>
        <v>ООО "КРИСТИНА"</v>
      </c>
      <c r="K3199" s="24" t="s">
        <v>5179</v>
      </c>
      <c r="L3199" s="22" t="s">
        <v>10</v>
      </c>
      <c r="M3199" s="25">
        <v>8923470</v>
      </c>
      <c r="N3199" s="27">
        <v>4.7619047619047616E-2</v>
      </c>
    </row>
    <row r="3200" spans="1:14" x14ac:dyDescent="0.15">
      <c r="A3200" s="23" t="str">
        <f>HYPERLINK("https://www.spark-marketing.ru/Card/Person/172810", "ОТДЕЛ МВД РОССИИ ПО ГОРОДУ ГЕЛЕНДЖИКУ")</f>
        <v>ОТДЕЛ МВД РОССИИ ПО ГОРОДУ ГЕЛЕНДЖИКУ</v>
      </c>
      <c r="B3200" s="24" t="s">
        <v>3040</v>
      </c>
      <c r="C3200" s="25">
        <v>93700</v>
      </c>
      <c r="D3200" s="22" t="s">
        <v>5593</v>
      </c>
      <c r="E3200" s="22" t="s">
        <v>96</v>
      </c>
      <c r="F3200" s="23" t="str">
        <f>HYPERLINK("https://www.spark-marketing.ru/Card/Lot/73380874", "Услуга по питанию, 1 шт")</f>
        <v>Услуга по питанию, 1 шт</v>
      </c>
      <c r="G3200" s="22" t="s">
        <v>104</v>
      </c>
      <c r="H3200" s="22" t="s">
        <v>3042</v>
      </c>
      <c r="I3200" s="26">
        <v>43720.715150463002</v>
      </c>
      <c r="J3200" s="28" t="s">
        <v>51</v>
      </c>
      <c r="K3200" s="28" t="s">
        <v>51</v>
      </c>
      <c r="L3200" s="28" t="s">
        <v>51</v>
      </c>
      <c r="M3200" s="28" t="s">
        <v>51</v>
      </c>
      <c r="N3200" s="28" t="s">
        <v>51</v>
      </c>
    </row>
    <row r="3201" spans="1:14" x14ac:dyDescent="0.15">
      <c r="A320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201" s="24" t="s">
        <v>3255</v>
      </c>
      <c r="C3201" s="25">
        <v>550400</v>
      </c>
      <c r="D3201" s="22" t="s">
        <v>5594</v>
      </c>
      <c r="E3201" s="22" t="s">
        <v>52</v>
      </c>
      <c r="F3201" s="23" t="str">
        <f>HYPERLINK("https://www.spark-marketing.ru/Card/Lot/73379964", "Поставка лекарственного препарата для медицинского применения ""Эпоэтин бета""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специализированными...")</f>
        <v>Поставка лекарственного препарата для медицинского применения "Эпоэтин бета"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специализированными...</v>
      </c>
      <c r="G3201" s="22" t="s">
        <v>210</v>
      </c>
      <c r="H3201" s="22" t="s">
        <v>3257</v>
      </c>
      <c r="I3201" s="26">
        <v>43720.708333333299</v>
      </c>
      <c r="J3201" s="28" t="s">
        <v>51</v>
      </c>
      <c r="K3201" s="28" t="s">
        <v>51</v>
      </c>
      <c r="L3201" s="28" t="s">
        <v>51</v>
      </c>
      <c r="M3201" s="28" t="s">
        <v>51</v>
      </c>
      <c r="N3201" s="28" t="s">
        <v>51</v>
      </c>
    </row>
    <row r="3202" spans="1:14" hidden="1" outlineLevel="1" x14ac:dyDescent="0.2">
      <c r="A3202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202" s="24" t="s">
        <v>3255</v>
      </c>
      <c r="C3202" s="25">
        <v>550400</v>
      </c>
      <c r="D3202" s="22" t="s">
        <v>5594</v>
      </c>
      <c r="E3202" s="22" t="s">
        <v>52</v>
      </c>
      <c r="F3202" s="23" t="str">
        <f>HYPERLINK("https://www.spark-marketing.ru/Card/Lot/73379964", "Поставка лекарственного препарата для медицинского применения ""Эпоэтин бета""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специализированными...")</f>
        <v>Поставка лекарственного препарата для медицинского применения "Эпоэтин бета"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специализированными...</v>
      </c>
      <c r="G3202" s="22" t="s">
        <v>210</v>
      </c>
      <c r="H3202" s="22" t="s">
        <v>3257</v>
      </c>
      <c r="I3202" s="26">
        <v>43720.708333333299</v>
      </c>
      <c r="J3202" s="23" t="str">
        <f>HYPERLINK("https://www.spark-marketing.ru/Card/Person/783455", "ООО ""МЕДФАРМОПТ""")</f>
        <v>ООО "МЕДФАРМОПТ"</v>
      </c>
      <c r="K3202" s="24" t="s">
        <v>5595</v>
      </c>
      <c r="L3202" s="28" t="s">
        <v>51</v>
      </c>
      <c r="M3202" s="25">
        <v>542144</v>
      </c>
      <c r="N3202" s="27">
        <v>1.4999999999999999E-2</v>
      </c>
    </row>
    <row r="3203" spans="1:14" ht="12.75" hidden="1" outlineLevel="1" x14ac:dyDescent="0.2">
      <c r="A3203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203" s="24" t="s">
        <v>3255</v>
      </c>
      <c r="C3203" s="25">
        <v>550400</v>
      </c>
      <c r="D3203" s="22" t="s">
        <v>5594</v>
      </c>
      <c r="E3203" s="22" t="s">
        <v>52</v>
      </c>
      <c r="F3203" s="23" t="str">
        <f>HYPERLINK("https://www.spark-marketing.ru/Card/Lot/73379964", "Поставка лекарственного препарата для медицинского применения ""Эпоэтин бета""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специализированными...")</f>
        <v>Поставка лекарственного препарата для медицинского применения "Эпоэтин бета"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специализированными...</v>
      </c>
      <c r="G3203" s="22" t="s">
        <v>210</v>
      </c>
      <c r="H3203" s="22" t="s">
        <v>3257</v>
      </c>
      <c r="I3203" s="26">
        <v>43720.708333333299</v>
      </c>
      <c r="J3203" s="23" t="str">
        <f>HYPERLINK("https://www.spark-marketing.ru/Card/Person/6591831", "ООО ""ХАЛИФ""")</f>
        <v>ООО "ХАЛИФ"</v>
      </c>
      <c r="K3203" s="24" t="s">
        <v>5596</v>
      </c>
      <c r="L3203" s="22" t="s">
        <v>10</v>
      </c>
      <c r="M3203" s="25">
        <v>538800</v>
      </c>
      <c r="N3203" s="27">
        <v>2.1075581395348836E-2</v>
      </c>
    </row>
    <row r="3204" spans="1:14" x14ac:dyDescent="0.15">
      <c r="A3204" s="23" t="str">
        <f>HYPERLINK("https://www.spark-marketing.ru/Card/Person/1763286", "МАДОУ ""ДЕТСКИЙ САД № 39""")</f>
        <v>МАДОУ "ДЕТСКИЙ САД № 39"</v>
      </c>
      <c r="B3204" s="24" t="s">
        <v>5597</v>
      </c>
      <c r="C3204" s="25">
        <v>14056988</v>
      </c>
      <c r="D3204" s="22" t="s">
        <v>5598</v>
      </c>
      <c r="E3204" s="22" t="s">
        <v>48</v>
      </c>
      <c r="F3204" s="23" t="str">
        <f>HYPERLINK("https://www.spark-marketing.ru/Card/Lot/73388850",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3204" s="22" t="s">
        <v>49</v>
      </c>
      <c r="H3204" s="22" t="s">
        <v>301</v>
      </c>
      <c r="I3204" s="26">
        <v>43720.697719907403</v>
      </c>
      <c r="J3204" s="28" t="s">
        <v>51</v>
      </c>
      <c r="K3204" s="28" t="s">
        <v>51</v>
      </c>
      <c r="L3204" s="28" t="s">
        <v>51</v>
      </c>
      <c r="M3204" s="28" t="s">
        <v>51</v>
      </c>
      <c r="N3204" s="28" t="s">
        <v>51</v>
      </c>
    </row>
    <row r="3205" spans="1:14" hidden="1" outlineLevel="1" x14ac:dyDescent="0.2">
      <c r="A3205" s="23" t="str">
        <f>HYPERLINK("https://www.spark-marketing.ru/Card/Person/1763286", "МАДОУ ""ДЕТСКИЙ САД № 39""")</f>
        <v>МАДОУ "ДЕТСКИЙ САД № 39"</v>
      </c>
      <c r="B3205" s="24" t="s">
        <v>5597</v>
      </c>
      <c r="C3205" s="25">
        <v>14056988</v>
      </c>
      <c r="D3205" s="22" t="s">
        <v>5598</v>
      </c>
      <c r="E3205" s="22" t="s">
        <v>48</v>
      </c>
      <c r="F3205" s="23" t="str">
        <f>HYPERLINK("https://www.spark-marketing.ru/Card/Lot/73388850",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3205" s="22" t="s">
        <v>49</v>
      </c>
      <c r="H3205" s="22" t="s">
        <v>301</v>
      </c>
      <c r="I3205" s="26">
        <v>43720.697719907403</v>
      </c>
      <c r="J3205" s="23" t="str">
        <f>HYPERLINK("https://www.spark-marketing.ru/Card/Person/100937", "ООО ""ВЕРТИКАЛЬ""")</f>
        <v>ООО "ВЕРТИКАЛЬ"</v>
      </c>
      <c r="K3205" s="24" t="s">
        <v>4501</v>
      </c>
      <c r="L3205" s="28" t="s">
        <v>51</v>
      </c>
      <c r="M3205" s="25">
        <v>13072998.84</v>
      </c>
      <c r="N3205" s="27">
        <v>7.0000000000000007E-2</v>
      </c>
    </row>
    <row r="3206" spans="1:14" ht="12.75" hidden="1" outlineLevel="1" x14ac:dyDescent="0.2">
      <c r="A3206" s="23" t="str">
        <f>HYPERLINK("https://www.spark-marketing.ru/Card/Person/1763286", "МАДОУ ""ДЕТСКИЙ САД № 39""")</f>
        <v>МАДОУ "ДЕТСКИЙ САД № 39"</v>
      </c>
      <c r="B3206" s="24" t="s">
        <v>5597</v>
      </c>
      <c r="C3206" s="25">
        <v>14056988</v>
      </c>
      <c r="D3206" s="22" t="s">
        <v>5598</v>
      </c>
      <c r="E3206" s="22" t="s">
        <v>48</v>
      </c>
      <c r="F3206" s="23" t="str">
        <f>HYPERLINK("https://www.spark-marketing.ru/Card/Lot/73388850",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3206" s="22" t="s">
        <v>49</v>
      </c>
      <c r="H3206" s="22" t="s">
        <v>301</v>
      </c>
      <c r="I3206" s="26">
        <v>43720.697719907403</v>
      </c>
      <c r="J3206" s="23" t="str">
        <f>HYPERLINK("https://www.spark-marketing.ru/Card/Person/70733", "ООО ""ПЛАНЕТА ВКУСА""")</f>
        <v>ООО "ПЛАНЕТА ВКУСА"</v>
      </c>
      <c r="K3206" s="24" t="s">
        <v>4502</v>
      </c>
      <c r="L3206" s="22" t="s">
        <v>10</v>
      </c>
      <c r="M3206" s="25">
        <v>13354968</v>
      </c>
      <c r="N3206" s="27">
        <v>4.9940997317490771E-2</v>
      </c>
    </row>
    <row r="3207" spans="1:14" x14ac:dyDescent="0.15">
      <c r="A3207" s="23" t="str">
        <f>HYPERLINK("https://www.spark-marketing.ru/Card/Person/4679", "ОМВД РОССИИ ПО НАДЫМСКОМУ РАЙОНУ")</f>
        <v>ОМВД РОССИИ ПО НАДЫМСКОМУ РАЙОНУ</v>
      </c>
      <c r="B3207" s="24" t="s">
        <v>4091</v>
      </c>
      <c r="C3207" s="25">
        <v>53000</v>
      </c>
      <c r="D3207" s="22" t="s">
        <v>5599</v>
      </c>
      <c r="E3207" s="22" t="s">
        <v>91</v>
      </c>
      <c r="F3207" s="23" t="str">
        <f>HYPERLINK("https://www.spark-marketing.ru/Card/Lot/73381920", "Оказание услуг по ремонту компьютеров и периферийного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вооружения")</f>
        <v>Оказание услуг по ремонту компьютеров и периферийного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</v>
      </c>
      <c r="G3207" s="22" t="s">
        <v>1056</v>
      </c>
      <c r="H3207" s="22" t="s">
        <v>2702</v>
      </c>
      <c r="I3207" s="26">
        <v>43720.690972222197</v>
      </c>
      <c r="J3207" s="23" t="str">
        <f>HYPERLINK("https://www.spark-marketing.ru/Card/Person/137733", "ООО СЦ ""РЕММАРК""")</f>
        <v>ООО СЦ "РЕММАРК"</v>
      </c>
      <c r="K3207" s="24" t="s">
        <v>4093</v>
      </c>
      <c r="L3207" s="22" t="s">
        <v>10</v>
      </c>
      <c r="M3207" s="28" t="s">
        <v>51</v>
      </c>
      <c r="N3207" s="28" t="s">
        <v>51</v>
      </c>
    </row>
    <row r="3208" spans="1:14" x14ac:dyDescent="0.15">
      <c r="A3208" s="23" t="str">
        <f>HYPERLINK("https://www.spark-marketing.ru/Card/Person/152783", "МБДОУ ""ДЕТСКИЙ САД № 36 ""ЗВЁЗДНЫЙ""")</f>
        <v>МБДОУ "ДЕТСКИЙ САД № 36 "ЗВЁЗДНЫЙ"</v>
      </c>
      <c r="B3208" s="24" t="s">
        <v>5600</v>
      </c>
      <c r="C3208" s="25">
        <v>12029342</v>
      </c>
      <c r="D3208" s="22" t="s">
        <v>5601</v>
      </c>
      <c r="E3208" s="22" t="s">
        <v>48</v>
      </c>
      <c r="F3208" s="23" t="str">
        <f>HYPERLINK("https://www.spark-marketing.ru/Card/Lot/73388854", "на оказание услуг по организации горячего питания в МБДОУ№36")</f>
        <v>на оказание услуг по организации горячего питания в МБДОУ№36</v>
      </c>
      <c r="G3208" s="22" t="s">
        <v>49</v>
      </c>
      <c r="H3208" s="22" t="s">
        <v>301</v>
      </c>
      <c r="I3208" s="26">
        <v>43720.697905092602</v>
      </c>
      <c r="J3208" s="28" t="s">
        <v>51</v>
      </c>
      <c r="K3208" s="28" t="s">
        <v>51</v>
      </c>
      <c r="L3208" s="28" t="s">
        <v>51</v>
      </c>
      <c r="M3208" s="28" t="s">
        <v>51</v>
      </c>
      <c r="N3208" s="28" t="s">
        <v>51</v>
      </c>
    </row>
    <row r="3209" spans="1:14" hidden="1" outlineLevel="1" x14ac:dyDescent="0.2">
      <c r="A3209" s="23" t="str">
        <f>HYPERLINK("https://www.spark-marketing.ru/Card/Person/152783", "МБДОУ ""ДЕТСКИЙ САД № 36 ""ЗВЁЗДНЫЙ""")</f>
        <v>МБДОУ "ДЕТСКИЙ САД № 36 "ЗВЁЗДНЫЙ"</v>
      </c>
      <c r="B3209" s="24" t="s">
        <v>5600</v>
      </c>
      <c r="C3209" s="25">
        <v>12029342</v>
      </c>
      <c r="D3209" s="22" t="s">
        <v>5601</v>
      </c>
      <c r="E3209" s="22" t="s">
        <v>48</v>
      </c>
      <c r="F3209" s="23" t="str">
        <f>HYPERLINK("https://www.spark-marketing.ru/Card/Lot/73388854", "на оказание услуг по организации горячего питания в МБДОУ№36")</f>
        <v>на оказание услуг по организации горячего питания в МБДОУ№36</v>
      </c>
      <c r="G3209" s="22" t="s">
        <v>49</v>
      </c>
      <c r="H3209" s="22" t="s">
        <v>301</v>
      </c>
      <c r="I3209" s="26">
        <v>43720.697905092602</v>
      </c>
      <c r="J3209" s="23" t="str">
        <f>HYPERLINK("https://www.spark-marketing.ru/Card/Person/100937", "ООО ""ВЕРТИКАЛЬ""")</f>
        <v>ООО "ВЕРТИКАЛЬ"</v>
      </c>
      <c r="K3209" s="24" t="s">
        <v>4501</v>
      </c>
      <c r="L3209" s="28" t="s">
        <v>51</v>
      </c>
      <c r="M3209" s="25">
        <v>11187288.060000001</v>
      </c>
      <c r="N3209" s="27">
        <v>7.0000000000000007E-2</v>
      </c>
    </row>
    <row r="3210" spans="1:14" ht="12.75" hidden="1" outlineLevel="1" x14ac:dyDescent="0.2">
      <c r="A3210" s="23" t="str">
        <f>HYPERLINK("https://www.spark-marketing.ru/Card/Person/152783", "МБДОУ ""ДЕТСКИЙ САД № 36 ""ЗВЁЗДНЫЙ""")</f>
        <v>МБДОУ "ДЕТСКИЙ САД № 36 "ЗВЁЗДНЫЙ"</v>
      </c>
      <c r="B3210" s="24" t="s">
        <v>5600</v>
      </c>
      <c r="C3210" s="25">
        <v>12029342</v>
      </c>
      <c r="D3210" s="22" t="s">
        <v>5601</v>
      </c>
      <c r="E3210" s="22" t="s">
        <v>48</v>
      </c>
      <c r="F3210" s="23" t="str">
        <f>HYPERLINK("https://www.spark-marketing.ru/Card/Lot/73388854", "на оказание услуг по организации горячего питания в МБДОУ№36")</f>
        <v>на оказание услуг по организации горячего питания в МБДОУ№36</v>
      </c>
      <c r="G3210" s="22" t="s">
        <v>49</v>
      </c>
      <c r="H3210" s="22" t="s">
        <v>301</v>
      </c>
      <c r="I3210" s="26">
        <v>43720.697905092602</v>
      </c>
      <c r="J3210" s="23" t="str">
        <f>HYPERLINK("https://www.spark-marketing.ru/Card/Person/70733", "ООО ""ПЛАНЕТА ВКУСА""")</f>
        <v>ООО "ПЛАНЕТА ВКУСА"</v>
      </c>
      <c r="K3210" s="24" t="s">
        <v>4502</v>
      </c>
      <c r="L3210" s="22" t="s">
        <v>10</v>
      </c>
      <c r="M3210" s="25">
        <v>11424002</v>
      </c>
      <c r="N3210" s="27">
        <v>5.032195443441545E-2</v>
      </c>
    </row>
    <row r="3211" spans="1:14" x14ac:dyDescent="0.15">
      <c r="A3211" s="23" t="str">
        <f>HYPERLINK("https://www.spark-marketing.ru/Card/Person/254852", "МБДОУ ""ДЕТСКИЙ САД ""РУЧЕЕК"" С. БОЛЬШОЕ АФАНАСОВО"" НМР РТ")</f>
        <v>МБДОУ "ДЕТСКИЙ САД "РУЧЕЕК" С. БОЛЬШОЕ АФАНАСОВО" НМР РТ</v>
      </c>
      <c r="B3211" s="24" t="s">
        <v>5602</v>
      </c>
      <c r="C3211" s="25">
        <v>840186</v>
      </c>
      <c r="D3211" s="22" t="s">
        <v>5603</v>
      </c>
      <c r="E3211" s="22" t="s">
        <v>96</v>
      </c>
      <c r="F3211" s="23" t="str">
        <f>HYPERLINK("https://www.spark-marketing.ru/Card/Lot/73387833", "Оказание услуг по организации питания для МБДОУ ""Детский сад ""Ручеек"" с. Большое Афанасово"" НМР РТ (СМП и СОНО)")</f>
        <v>Оказание услуг по организации питания для МБДОУ "Детский сад "Ручеек" с. Большое Афанасово" НМР РТ (СМП и СОНО)</v>
      </c>
      <c r="G3211" s="22" t="s">
        <v>217</v>
      </c>
      <c r="H3211" s="22" t="s">
        <v>5604</v>
      </c>
      <c r="I3211" s="26">
        <v>43720.681944444397</v>
      </c>
      <c r="J3211" s="23" t="str">
        <f>HYPERLINK("https://www.spark-marketing.ru/Card/Person/5852030", "ООО ""АБК-ПЭЙМЕНТ""")</f>
        <v>ООО "АБК-ПЭЙМЕНТ"</v>
      </c>
      <c r="K3211" s="24" t="s">
        <v>5605</v>
      </c>
      <c r="L3211" s="22" t="s">
        <v>10</v>
      </c>
      <c r="M3211" s="28" t="s">
        <v>51</v>
      </c>
      <c r="N3211" s="28" t="s">
        <v>51</v>
      </c>
    </row>
    <row r="3212" spans="1:14" x14ac:dyDescent="0.15">
      <c r="A3212" s="23" t="str">
        <f>HYPERLINK("https://www.spark-marketing.ru/Card/Person/263953", "ОМВД РОССИИ ПО СЛЮДЯНСКОМУ РАЙОНУ")</f>
        <v>ОМВД РОССИИ ПО СЛЮДЯНСКОМУ РАЙОНУ</v>
      </c>
      <c r="B3212" s="24" t="s">
        <v>5364</v>
      </c>
      <c r="C3212" s="25">
        <v>954000</v>
      </c>
      <c r="D3212" s="22" t="s">
        <v>5606</v>
      </c>
      <c r="E3212" s="22" t="s">
        <v>48</v>
      </c>
      <c r="F3212" s="23" t="str">
        <f>HYPERLINK("https://www.spark-marketing.ru/Card/Lot/73380256", "питание ИВС")</f>
        <v>питание ИВС</v>
      </c>
      <c r="G3212" s="22" t="s">
        <v>263</v>
      </c>
      <c r="H3212" s="22" t="s">
        <v>263</v>
      </c>
      <c r="I3212" s="26">
        <v>43720.677777777797</v>
      </c>
      <c r="J3212" s="23" t="str">
        <f>HYPERLINK("https://www.spark-marketing.ru/Card/Person/86951", "ООО САНАТОРИЙ ""ЖЕМЧУЖИНА СИБИРИ""")</f>
        <v>ООО САНАТОРИЙ "ЖЕМЧУЖИНА СИБИРИ"</v>
      </c>
      <c r="K3212" s="24" t="s">
        <v>5367</v>
      </c>
      <c r="L3212" s="22" t="s">
        <v>10</v>
      </c>
      <c r="M3212" s="28" t="s">
        <v>51</v>
      </c>
      <c r="N3212" s="28" t="s">
        <v>51</v>
      </c>
    </row>
    <row r="3213" spans="1:14" x14ac:dyDescent="0.15">
      <c r="A3213" s="23" t="str">
        <f>HYPERLINK("https://www.spark-marketing.ru/Card/Person/4679", "ОМВД РОССИИ ПО НАДЫМСКОМУ РАЙОНУ")</f>
        <v>ОМВД РОССИИ ПО НАДЫМСКОМУ РАЙОНУ</v>
      </c>
      <c r="B3213" s="24" t="s">
        <v>4091</v>
      </c>
      <c r="C3213" s="25">
        <v>53000</v>
      </c>
      <c r="D3213" s="22" t="s">
        <v>5607</v>
      </c>
      <c r="E3213" s="22" t="s">
        <v>91</v>
      </c>
      <c r="F3213" s="23" t="str">
        <f>HYPERLINK("https://www.spark-marketing.ru/Card/Lot/73381973", "Оказание услуг по ремонту компьютеров и периферийного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вооружения")</f>
        <v>Оказание услуг по ремонту компьютеров и периферийного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</v>
      </c>
      <c r="G3213" s="22" t="s">
        <v>1056</v>
      </c>
      <c r="H3213" s="22" t="s">
        <v>2702</v>
      </c>
      <c r="I3213" s="26">
        <v>43720.690972222197</v>
      </c>
      <c r="J3213" s="23" t="str">
        <f>HYPERLINK("https://www.spark-marketing.ru/Card/Person/137733", "ООО СЦ ""РЕММАРК""")</f>
        <v>ООО СЦ "РЕММАРК"</v>
      </c>
      <c r="K3213" s="24" t="s">
        <v>4093</v>
      </c>
      <c r="L3213" s="22" t="s">
        <v>10</v>
      </c>
      <c r="M3213" s="28" t="s">
        <v>51</v>
      </c>
      <c r="N3213" s="28" t="s">
        <v>51</v>
      </c>
    </row>
    <row r="3214" spans="1:14" x14ac:dyDescent="0.15">
      <c r="A3214" s="23" t="str">
        <f>HYPERLINK("https://www.spark-marketing.ru/Card/Person/6158145", "МИНТРУДА И СОЦРАЗВИТИЯ НСО")</f>
        <v>МИНТРУДА И СОЦРАЗВИТИЯ НСО</v>
      </c>
      <c r="B3214" s="24" t="s">
        <v>977</v>
      </c>
      <c r="C3214" s="25">
        <v>296205</v>
      </c>
      <c r="D3214" s="22" t="s">
        <v>5608</v>
      </c>
      <c r="E3214" s="22" t="s">
        <v>51</v>
      </c>
      <c r="F3214" s="23" t="str">
        <f>HYPERLINK("https://www.spark-marketing.ru/Card/Lot/73376719", "Оказание услуг по санаторно-курортному лечению работников бюджетной сферы, количество путевок - 21 шт., с заболеваниями сердечно-сосудистой системы, расстройством питания и нарушением обмена веществ")</f>
        <v>Оказание услуг по санаторно-курортному лечению работников бюджетной сферы, количество путевок - 21 шт., с заболеваниями сердечно-сосудистой системы, расстройством питания и нарушением обмена веществ</v>
      </c>
      <c r="G3214" s="22" t="s">
        <v>195</v>
      </c>
      <c r="H3214" s="22" t="s">
        <v>196</v>
      </c>
      <c r="I3214" s="26">
        <v>43720.71875</v>
      </c>
      <c r="J3214" s="23" t="str">
        <f>HYPERLINK("https://www.spark-marketing.ru/Card/Person/4417838", "ООО ""САНАТОРИЙ ""ПАРУС""")</f>
        <v>ООО "САНАТОРИЙ "ПАРУС"</v>
      </c>
      <c r="K3214" s="24" t="s">
        <v>5609</v>
      </c>
      <c r="L3214" s="22" t="s">
        <v>10</v>
      </c>
      <c r="M3214" s="28" t="s">
        <v>51</v>
      </c>
      <c r="N3214" s="28" t="s">
        <v>51</v>
      </c>
    </row>
    <row r="3215" spans="1:14" x14ac:dyDescent="0.15">
      <c r="A3215" s="23" t="str">
        <f>HYPERLINK("https://www.spark-marketing.ru/Card/Person/1019335", "МОМВД РОССИИ ""НИЖНЕВАРТОВСКИЙ""")</f>
        <v>МОМВД РОССИИ "НИЖНЕВАРТОВСКИЙ"</v>
      </c>
      <c r="B3215" s="24" t="s">
        <v>5610</v>
      </c>
      <c r="C3215" s="25">
        <v>457500</v>
      </c>
      <c r="D3215" s="22" t="s">
        <v>5611</v>
      </c>
      <c r="E3215" s="22" t="s">
        <v>48</v>
      </c>
      <c r="F3215" s="23" t="str">
        <f>HYPERLINK("https://www.spark-marketing.ru/Card/Lot/73382859", "Питание лиц содержащихся в ИВС МОМВД России ""Нижневартовский""")</f>
        <v>Питание лиц содержащихся в ИВС МОМВД России "Нижневартовский"</v>
      </c>
      <c r="G3215" s="22" t="s">
        <v>766</v>
      </c>
      <c r="H3215" s="22" t="s">
        <v>766</v>
      </c>
      <c r="I3215" s="26">
        <v>43720.702777777798</v>
      </c>
      <c r="J3215" s="23" t="str">
        <f>HYPERLINK("https://www.spark-marketing.ru/Card/Person/53572", "ООО ""КАРАВАН""")</f>
        <v>ООО "КАРАВАН"</v>
      </c>
      <c r="K3215" s="24" t="s">
        <v>2373</v>
      </c>
      <c r="L3215" s="22" t="s">
        <v>10</v>
      </c>
      <c r="M3215" s="28" t="s">
        <v>51</v>
      </c>
      <c r="N3215" s="28" t="s">
        <v>51</v>
      </c>
    </row>
    <row r="3216" spans="1:14" x14ac:dyDescent="0.15">
      <c r="A3216" s="23" t="str">
        <f>HYPERLINK("https://www.spark-marketing.ru/Card/Person/1069130", "ТОГБУ ЦЕНТР ""РАДИ БУДУЩЕГО""")</f>
        <v>ТОГБУ ЦЕНТР "РАДИ БУДУЩЕГО"</v>
      </c>
      <c r="B3216" s="24" t="s">
        <v>5612</v>
      </c>
      <c r="C3216" s="25">
        <v>184600</v>
      </c>
      <c r="D3216" s="22" t="s">
        <v>5613</v>
      </c>
      <c r="E3216" s="22" t="s">
        <v>86</v>
      </c>
      <c r="F3216" s="23" t="str">
        <f>HYPERLINK("https://www.spark-marketing.ru/Card/Lot/73384632", "Оказание услуг по организации питания и проживания участников областного Форума приемных родителей Тамбовской области")</f>
        <v>Оказание услуг по организации питания и проживания участников областного Форума приемных родителей Тамбовской области</v>
      </c>
      <c r="G3216" s="22" t="s">
        <v>1370</v>
      </c>
      <c r="H3216" s="22" t="s">
        <v>2025</v>
      </c>
      <c r="I3216" s="26">
        <v>43720.649305555598</v>
      </c>
      <c r="J3216" s="28" t="s">
        <v>51</v>
      </c>
      <c r="K3216" s="28" t="s">
        <v>51</v>
      </c>
      <c r="L3216" s="28" t="s">
        <v>51</v>
      </c>
      <c r="M3216" s="28" t="s">
        <v>51</v>
      </c>
      <c r="N3216" s="28" t="s">
        <v>51</v>
      </c>
    </row>
    <row r="3217" spans="1:14" x14ac:dyDescent="0.15">
      <c r="A3217" s="23" t="str">
        <f>HYPERLINK("https://www.spark-marketing.ru/Card/Person/1019335", "МОМВД РОССИИ ""НИЖНЕВАРТОВСКИЙ""")</f>
        <v>МОМВД РОССИИ "НИЖНЕВАРТОВСКИЙ"</v>
      </c>
      <c r="B3217" s="24" t="s">
        <v>5610</v>
      </c>
      <c r="C3217" s="25">
        <v>457500</v>
      </c>
      <c r="D3217" s="22" t="s">
        <v>5614</v>
      </c>
      <c r="E3217" s="22" t="s">
        <v>48</v>
      </c>
      <c r="F3217" s="23" t="str">
        <f>HYPERLINK("https://www.spark-marketing.ru/Card/Lot/73383421", "Питание лиц  содержащихся в ИВС МОМВД России ""Нижневартовский""")</f>
        <v>Питание лиц  содержащихся в ИВС МОМВД России "Нижневартовский"</v>
      </c>
      <c r="G3217" s="22" t="s">
        <v>766</v>
      </c>
      <c r="H3217" s="22" t="s">
        <v>766</v>
      </c>
      <c r="I3217" s="26">
        <v>43720.65</v>
      </c>
      <c r="J3217" s="23" t="str">
        <f>HYPERLINK("https://www.spark-marketing.ru/Card/Person/53572", "ООО ""КАРАВАН""")</f>
        <v>ООО "КАРАВАН"</v>
      </c>
      <c r="K3217" s="24" t="s">
        <v>2373</v>
      </c>
      <c r="L3217" s="22" t="s">
        <v>10</v>
      </c>
      <c r="M3217" s="28" t="s">
        <v>51</v>
      </c>
      <c r="N3217" s="28" t="s">
        <v>51</v>
      </c>
    </row>
    <row r="3218" spans="1:14" x14ac:dyDescent="0.15">
      <c r="A3218" s="23" t="str">
        <f>HYPERLINK("https://www.spark-marketing.ru/Card/Person/6158145", "МИНТРУДА И СОЦРАЗВИТИЯ НСО")</f>
        <v>МИНТРУДА И СОЦРАЗВИТИЯ НСО</v>
      </c>
      <c r="B3218" s="24" t="s">
        <v>977</v>
      </c>
      <c r="C3218" s="25">
        <v>130200</v>
      </c>
      <c r="D3218" s="22" t="s">
        <v>5615</v>
      </c>
      <c r="E3218" s="22" t="s">
        <v>51</v>
      </c>
      <c r="F3218" s="23" t="str">
        <f>HYPERLINK("https://www.spark-marketing.ru/Card/Lot/73376370", "Оказание услуг по санаторно-курортному лечению ветеранов войны и труда, количество путевок - 6 шт., с заболеваниями сердечно-сосудистой системы, расстройством питания и нарушением обмена веществ")</f>
        <v>Оказание услуг по санаторно-курортному лечению ветеранов войны и труда, количество путевок - 6 шт., с заболеваниями сердечно-сосудистой системы, расстройством питания и нарушением обмена веществ</v>
      </c>
      <c r="G3218" s="22" t="s">
        <v>195</v>
      </c>
      <c r="H3218" s="22" t="s">
        <v>196</v>
      </c>
      <c r="I3218" s="26">
        <v>43720.629861111098</v>
      </c>
      <c r="J3218" s="23" t="str">
        <f>HYPERLINK("https://www.spark-marketing.ru/Card/Person/104049", "ЗАО ""ЛАЗУРНЫЙ""; ЗАО ""САНАТОРИЙ ""ЛАЗУРНЫЙ""")</f>
        <v>ЗАО "ЛАЗУРНЫЙ"; ЗАО "САНАТОРИЙ "ЛАЗУРНЫЙ"</v>
      </c>
      <c r="K3218" s="24" t="s">
        <v>5616</v>
      </c>
      <c r="L3218" s="22" t="s">
        <v>10</v>
      </c>
      <c r="M3218" s="28" t="s">
        <v>51</v>
      </c>
      <c r="N3218" s="28" t="s">
        <v>51</v>
      </c>
    </row>
    <row r="3219" spans="1:14" x14ac:dyDescent="0.15">
      <c r="A3219" s="23" t="str">
        <f>HYPERLINK("https://www.spark-marketing.ru/Card/Person/1028495", "МУ ДВОРЕЦ ТВОРЧЕСТВА МОЛОДЕЖИ")</f>
        <v>МУ ДВОРЕЦ ТВОРЧЕСТВА МОЛОДЕЖИ</v>
      </c>
      <c r="B3219" s="24" t="s">
        <v>5617</v>
      </c>
      <c r="C3219" s="25">
        <v>98800</v>
      </c>
      <c r="D3219" s="22" t="s">
        <v>5618</v>
      </c>
      <c r="E3219" s="22" t="s">
        <v>48</v>
      </c>
      <c r="F3219" s="23" t="str">
        <f>HYPERLINK("https://www.spark-marketing.ru/Card/Lot/73379016", "Услуги по организации питания участников культурно-массового мероприятия")</f>
        <v>Услуги по организации питания участников культурно-массового мероприятия</v>
      </c>
      <c r="G3219" s="22" t="s">
        <v>49</v>
      </c>
      <c r="H3219" s="22" t="s">
        <v>50</v>
      </c>
      <c r="I3219" s="26">
        <v>43720.627858796302</v>
      </c>
      <c r="J3219" s="28" t="s">
        <v>51</v>
      </c>
      <c r="K3219" s="28" t="s">
        <v>51</v>
      </c>
      <c r="L3219" s="28" t="s">
        <v>51</v>
      </c>
      <c r="M3219" s="28" t="s">
        <v>51</v>
      </c>
      <c r="N3219" s="28" t="s">
        <v>51</v>
      </c>
    </row>
    <row r="3220" spans="1:14" x14ac:dyDescent="0.15">
      <c r="A3220" s="23" t="str">
        <f>HYPERLINK("https://www.spark-marketing.ru/Card/Person/85541", "ГБУЗ КО ""МЫСКОВСКАЯ ГОРОДСКАЯ БОЛЬНИЦА""")</f>
        <v>ГБУЗ КО "МЫСКОВСКАЯ ГОРОДСКАЯ БОЛЬНИЦА"</v>
      </c>
      <c r="B3220" s="24" t="s">
        <v>302</v>
      </c>
      <c r="C3220" s="25">
        <v>242859.4</v>
      </c>
      <c r="D3220" s="22" t="s">
        <v>5619</v>
      </c>
      <c r="E3220" s="22" t="s">
        <v>91</v>
      </c>
      <c r="F3220" s="23" t="str">
        <f>HYPERLINK("https://www.spark-marketing.ru/Card/Lot/73376770", "Оказание услуг по ремонту и техническому обслуживанию DEPO Sky 251 N")</f>
        <v>Оказание услуг по ремонту и техническому обслуживанию DEPO Sky 251 N</v>
      </c>
      <c r="G3220" s="22" t="s">
        <v>304</v>
      </c>
      <c r="H3220" s="22" t="s">
        <v>305</v>
      </c>
      <c r="I3220" s="26">
        <v>43720.630555555603</v>
      </c>
      <c r="J3220" s="23" t="str">
        <f>HYPERLINK("https://www.spark-marketing.ru/Card/Person/6447662", "ООО ""ФОКС-ПРО""")</f>
        <v>ООО "ФОКС-ПРО"</v>
      </c>
      <c r="K3220" s="24" t="s">
        <v>3919</v>
      </c>
      <c r="L3220" s="22" t="s">
        <v>10</v>
      </c>
      <c r="M3220" s="28" t="s">
        <v>51</v>
      </c>
      <c r="N3220" s="28" t="s">
        <v>51</v>
      </c>
    </row>
    <row r="3221" spans="1:14" x14ac:dyDescent="0.15">
      <c r="A322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221" s="24" t="s">
        <v>3255</v>
      </c>
      <c r="C3221" s="25">
        <v>979141.5</v>
      </c>
      <c r="D3221" s="22" t="s">
        <v>5620</v>
      </c>
      <c r="E3221" s="22" t="s">
        <v>52</v>
      </c>
      <c r="F3221" s="23" t="str">
        <f>HYPERLINK("https://www.spark-marketing.ru/Card/Lot/73372229", "Поставка лекарственного препарата для медицинского применения ""Урсодезоксихолевая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специ...")</f>
        <v>Поставка лекарственного препарата для медицинского применения "Урсодезоксихолевая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</v>
      </c>
      <c r="G3221" s="22" t="s">
        <v>210</v>
      </c>
      <c r="H3221" s="22" t="s">
        <v>3257</v>
      </c>
      <c r="I3221" s="26">
        <v>43720.659027777801</v>
      </c>
      <c r="J3221" s="28" t="s">
        <v>51</v>
      </c>
      <c r="K3221" s="28" t="s">
        <v>51</v>
      </c>
      <c r="L3221" s="28" t="s">
        <v>51</v>
      </c>
      <c r="M3221" s="28" t="s">
        <v>51</v>
      </c>
      <c r="N3221" s="28" t="s">
        <v>51</v>
      </c>
    </row>
    <row r="3222" spans="1:14" hidden="1" outlineLevel="1" x14ac:dyDescent="0.2">
      <c r="A3222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222" s="24" t="s">
        <v>3255</v>
      </c>
      <c r="C3222" s="25">
        <v>979141.5</v>
      </c>
      <c r="D3222" s="22" t="s">
        <v>5620</v>
      </c>
      <c r="E3222" s="22" t="s">
        <v>52</v>
      </c>
      <c r="F3222" s="23" t="str">
        <f>HYPERLINK("https://www.spark-marketing.ru/Card/Lot/73372229", "Поставка лекарственного препарата для медицинского применения ""Урсодезоксихолевая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специ...")</f>
        <v>Поставка лекарственного препарата для медицинского применения "Урсодезоксихолевая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</v>
      </c>
      <c r="G3222" s="22" t="s">
        <v>210</v>
      </c>
      <c r="H3222" s="22" t="s">
        <v>3257</v>
      </c>
      <c r="I3222" s="26">
        <v>43720.659027777801</v>
      </c>
      <c r="J3222" s="23" t="str">
        <f>HYPERLINK("https://www.spark-marketing.ru/Card/Person/2592121", "ООО ""Ф-ФАРМ""")</f>
        <v>ООО "Ф-ФАРМ"</v>
      </c>
      <c r="K3222" s="24" t="s">
        <v>3711</v>
      </c>
      <c r="L3222" s="28" t="s">
        <v>51</v>
      </c>
      <c r="M3222" s="25">
        <v>750000</v>
      </c>
      <c r="N3222" s="27">
        <v>0.23402286594940569</v>
      </c>
    </row>
    <row r="3223" spans="1:14" ht="12.75" hidden="1" outlineLevel="1" x14ac:dyDescent="0.2">
      <c r="A3223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223" s="24" t="s">
        <v>3255</v>
      </c>
      <c r="C3223" s="25">
        <v>979141.5</v>
      </c>
      <c r="D3223" s="22" t="s">
        <v>5620</v>
      </c>
      <c r="E3223" s="22" t="s">
        <v>52</v>
      </c>
      <c r="F3223" s="23" t="str">
        <f>HYPERLINK("https://www.spark-marketing.ru/Card/Lot/73372229", "Поставка лекарственного препарата для медицинского применения ""Урсодезоксихолевая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специ...")</f>
        <v>Поставка лекарственного препарата для медицинского применения "Урсодезоксихолевая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</v>
      </c>
      <c r="G3223" s="22" t="s">
        <v>210</v>
      </c>
      <c r="H3223" s="22" t="s">
        <v>3257</v>
      </c>
      <c r="I3223" s="26">
        <v>43720.659027777801</v>
      </c>
      <c r="J3223" s="23" t="str">
        <f>HYPERLINK("https://www.spark-marketing.ru/Card/Person/34034", "ООО ""М-ТЕХФАРМ""")</f>
        <v>ООО "М-ТЕХФАРМ"</v>
      </c>
      <c r="K3223" s="24" t="s">
        <v>3861</v>
      </c>
      <c r="L3223" s="22" t="s">
        <v>10</v>
      </c>
      <c r="M3223" s="25">
        <v>704978</v>
      </c>
      <c r="N3223" s="27">
        <v>0.28000396265504013</v>
      </c>
    </row>
    <row r="3224" spans="1:14" hidden="1" outlineLevel="1" x14ac:dyDescent="0.2">
      <c r="A322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224" s="24" t="s">
        <v>3255</v>
      </c>
      <c r="C3224" s="25">
        <v>979141.5</v>
      </c>
      <c r="D3224" s="22" t="s">
        <v>5620</v>
      </c>
      <c r="E3224" s="22" t="s">
        <v>52</v>
      </c>
      <c r="F3224" s="23" t="str">
        <f>HYPERLINK("https://www.spark-marketing.ru/Card/Lot/73372229", "Поставка лекарственного препарата для медицинского применения ""Урсодезоксихолевая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специ...")</f>
        <v>Поставка лекарственного препарата для медицинского применения "Урсодезоксихолевая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</v>
      </c>
      <c r="G3224" s="22" t="s">
        <v>210</v>
      </c>
      <c r="H3224" s="22" t="s">
        <v>3257</v>
      </c>
      <c r="I3224" s="26">
        <v>43720.659027777801</v>
      </c>
      <c r="J3224" s="23" t="str">
        <f>HYPERLINK("https://www.spark-marketing.ru/Card/Person/5887470", "ООО ""ВИТАЛОН""")</f>
        <v>ООО "ВИТАЛОН"</v>
      </c>
      <c r="K3224" s="24" t="s">
        <v>2129</v>
      </c>
      <c r="L3224" s="28" t="s">
        <v>51</v>
      </c>
      <c r="M3224" s="25">
        <v>707600</v>
      </c>
      <c r="N3224" s="27">
        <v>0.27732610659439927</v>
      </c>
    </row>
    <row r="3225" spans="1:14" hidden="1" outlineLevel="1" x14ac:dyDescent="0.2">
      <c r="A3225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225" s="24" t="s">
        <v>3255</v>
      </c>
      <c r="C3225" s="25">
        <v>979141.5</v>
      </c>
      <c r="D3225" s="22" t="s">
        <v>5620</v>
      </c>
      <c r="E3225" s="22" t="s">
        <v>52</v>
      </c>
      <c r="F3225" s="23" t="str">
        <f>HYPERLINK("https://www.spark-marketing.ru/Card/Lot/73372229", "Поставка лекарственного препарата для медицинского применения ""Урсодезоксихолевая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специ...")</f>
        <v>Поставка лекарственного препарата для медицинского применения "Урсодезоксихолевая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</v>
      </c>
      <c r="G3225" s="22" t="s">
        <v>210</v>
      </c>
      <c r="H3225" s="22" t="s">
        <v>3257</v>
      </c>
      <c r="I3225" s="26">
        <v>43720.659027777801</v>
      </c>
      <c r="J3225" s="23" t="str">
        <f>HYPERLINK("https://www.spark-marketing.ru/Card/Person/4901952", "ООО ""ОРБИС ФАРМ""")</f>
        <v>ООО "ОРБИС ФАРМ"</v>
      </c>
      <c r="K3225" s="24" t="s">
        <v>4852</v>
      </c>
      <c r="L3225" s="28" t="s">
        <v>51</v>
      </c>
      <c r="M3225" s="25">
        <v>753000</v>
      </c>
      <c r="N3225" s="27">
        <v>0.2309589574132033</v>
      </c>
    </row>
    <row r="3226" spans="1:14" x14ac:dyDescent="0.15">
      <c r="A3226" s="23" t="str">
        <f>HYPERLINK("https://www.spark-marketing.ru/Card/Person/83602", "МБДОУ ""ДЕТСКИЙ САД № 11""")</f>
        <v>МБДОУ "ДЕТСКИЙ САД № 11"</v>
      </c>
      <c r="B3226" s="24" t="s">
        <v>5621</v>
      </c>
      <c r="C3226" s="25">
        <v>19333428</v>
      </c>
      <c r="D3226" s="22" t="s">
        <v>5622</v>
      </c>
      <c r="E3226" s="22" t="s">
        <v>48</v>
      </c>
      <c r="F3226" s="23" t="str">
        <f>HYPERLINK("https://www.spark-marketing.ru/Card/Lot/73388861", "на оказание услуг по организации горячего питания в МБДОУ №11")</f>
        <v>на оказание услуг по организации горячего питания в МБДОУ №11</v>
      </c>
      <c r="G3226" s="22" t="s">
        <v>49</v>
      </c>
      <c r="H3226" s="22" t="s">
        <v>301</v>
      </c>
      <c r="I3226" s="26">
        <v>43720.664803240703</v>
      </c>
      <c r="J3226" s="28" t="s">
        <v>51</v>
      </c>
      <c r="K3226" s="28" t="s">
        <v>51</v>
      </c>
      <c r="L3226" s="28" t="s">
        <v>51</v>
      </c>
      <c r="M3226" s="28" t="s">
        <v>51</v>
      </c>
      <c r="N3226" s="28" t="s">
        <v>51</v>
      </c>
    </row>
    <row r="3227" spans="1:14" hidden="1" outlineLevel="1" x14ac:dyDescent="0.2">
      <c r="A3227" s="23" t="str">
        <f>HYPERLINK("https://www.spark-marketing.ru/Card/Person/83602", "МБДОУ ""ДЕТСКИЙ САД № 11""")</f>
        <v>МБДОУ "ДЕТСКИЙ САД № 11"</v>
      </c>
      <c r="B3227" s="24" t="s">
        <v>5621</v>
      </c>
      <c r="C3227" s="25">
        <v>19333428</v>
      </c>
      <c r="D3227" s="22" t="s">
        <v>5622</v>
      </c>
      <c r="E3227" s="22" t="s">
        <v>48</v>
      </c>
      <c r="F3227" s="23" t="str">
        <f>HYPERLINK("https://www.spark-marketing.ru/Card/Lot/73388861", "на оказание услуг по организации горячего питания в МБДОУ №11")</f>
        <v>на оказание услуг по организации горячего питания в МБДОУ №11</v>
      </c>
      <c r="G3227" s="22" t="s">
        <v>49</v>
      </c>
      <c r="H3227" s="22" t="s">
        <v>301</v>
      </c>
      <c r="I3227" s="26">
        <v>43720.664803240703</v>
      </c>
      <c r="J3227" s="23" t="str">
        <f>HYPERLINK("https://www.spark-marketing.ru/Card/Person/100937", "ООО ""ВЕРТИКАЛЬ""")</f>
        <v>ООО "ВЕРТИКАЛЬ"</v>
      </c>
      <c r="K3227" s="24" t="s">
        <v>4501</v>
      </c>
      <c r="L3227" s="28" t="s">
        <v>51</v>
      </c>
      <c r="M3227" s="25">
        <v>17400085.199999999</v>
      </c>
      <c r="N3227" s="27">
        <v>0.1</v>
      </c>
    </row>
    <row r="3228" spans="1:14" ht="12.75" hidden="1" outlineLevel="1" x14ac:dyDescent="0.2">
      <c r="A3228" s="23" t="str">
        <f>HYPERLINK("https://www.spark-marketing.ru/Card/Person/83602", "МБДОУ ""ДЕТСКИЙ САД № 11""")</f>
        <v>МБДОУ "ДЕТСКИЙ САД № 11"</v>
      </c>
      <c r="B3228" s="24" t="s">
        <v>5621</v>
      </c>
      <c r="C3228" s="25">
        <v>19333428</v>
      </c>
      <c r="D3228" s="22" t="s">
        <v>5622</v>
      </c>
      <c r="E3228" s="22" t="s">
        <v>48</v>
      </c>
      <c r="F3228" s="23" t="str">
        <f>HYPERLINK("https://www.spark-marketing.ru/Card/Lot/73388861", "на оказание услуг по организации горячего питания в МБДОУ №11")</f>
        <v>на оказание услуг по организации горячего питания в МБДОУ №11</v>
      </c>
      <c r="G3228" s="22" t="s">
        <v>49</v>
      </c>
      <c r="H3228" s="22" t="s">
        <v>301</v>
      </c>
      <c r="I3228" s="26">
        <v>43720.664803240703</v>
      </c>
      <c r="J3228" s="23" t="str">
        <f>HYPERLINK("https://www.spark-marketing.ru/Card/Person/70733", "ООО ""ПЛАНЕТА ВКУСА""")</f>
        <v>ООО "ПЛАНЕТА ВКУСА"</v>
      </c>
      <c r="K3228" s="24" t="s">
        <v>4502</v>
      </c>
      <c r="L3228" s="22" t="s">
        <v>10</v>
      </c>
      <c r="M3228" s="25">
        <v>18364932</v>
      </c>
      <c r="N3228" s="27">
        <v>5.0094375399954941E-2</v>
      </c>
    </row>
    <row r="3229" spans="1:14" x14ac:dyDescent="0.15">
      <c r="A3229" s="23" t="str">
        <f t="shared" ref="A3229:A3235" si="53"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229" s="24" t="s">
        <v>3255</v>
      </c>
      <c r="C3229" s="25">
        <v>256129.16</v>
      </c>
      <c r="D3229" s="22" t="s">
        <v>5623</v>
      </c>
      <c r="E3229" s="22" t="s">
        <v>52</v>
      </c>
      <c r="F3229" s="23" t="str">
        <f>HYPERLINK("https://www.spark-marketing.ru/Card/Lot/73371875", "Поставка лекарственного препарата для медицинского применения ""Лакосамид""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пр...")</f>
        <v>Поставка лекарственного препарата для медицинского применения "Лакосамид"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</v>
      </c>
      <c r="G3229" s="22" t="s">
        <v>210</v>
      </c>
      <c r="H3229" s="22" t="s">
        <v>3257</v>
      </c>
      <c r="I3229" s="26">
        <v>43720.659027777801</v>
      </c>
      <c r="J3229" s="28" t="s">
        <v>51</v>
      </c>
      <c r="K3229" s="28" t="s">
        <v>51</v>
      </c>
      <c r="L3229" s="28" t="s">
        <v>51</v>
      </c>
      <c r="M3229" s="28" t="s">
        <v>51</v>
      </c>
      <c r="N3229" s="28" t="s">
        <v>51</v>
      </c>
    </row>
    <row r="3230" spans="1:14" hidden="1" outlineLevel="1" x14ac:dyDescent="0.2">
      <c r="A3230" s="23" t="str">
        <f t="shared" si="53"/>
        <v>МИНИСТЕРСТВО ЗДРАВООХРАНЕНИЯ АМУРСКОЙ ОБЛАСТИ</v>
      </c>
      <c r="B3230" s="24" t="s">
        <v>3255</v>
      </c>
      <c r="C3230" s="25">
        <v>256129.16</v>
      </c>
      <c r="D3230" s="22" t="s">
        <v>5623</v>
      </c>
      <c r="E3230" s="22" t="s">
        <v>52</v>
      </c>
      <c r="F3230" s="23" t="str">
        <f>HYPERLINK("https://www.spark-marketing.ru/Card/Lot/73371875", "Поставка лекарственного препарата для медицинского применения ""Лакосамид""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пр...")</f>
        <v>Поставка лекарственного препарата для медицинского применения "Лакосамид"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</v>
      </c>
      <c r="G3230" s="22" t="s">
        <v>210</v>
      </c>
      <c r="H3230" s="22" t="s">
        <v>3257</v>
      </c>
      <c r="I3230" s="26">
        <v>43720.659027777801</v>
      </c>
      <c r="J3230" s="23" t="str">
        <f>HYPERLINK("https://www.spark-marketing.ru/Card/Person/4903748", "ООО ""КОНДОР""")</f>
        <v>ООО "КОНДОР"</v>
      </c>
      <c r="K3230" s="24" t="s">
        <v>4848</v>
      </c>
      <c r="L3230" s="28" t="s">
        <v>51</v>
      </c>
      <c r="M3230" s="25">
        <v>244603.31</v>
      </c>
      <c r="N3230" s="27">
        <v>4.5000147581790377E-2</v>
      </c>
    </row>
    <row r="3231" spans="1:14" ht="12.75" hidden="1" outlineLevel="1" x14ac:dyDescent="0.2">
      <c r="A3231" s="23" t="str">
        <f t="shared" si="53"/>
        <v>МИНИСТЕРСТВО ЗДРАВООХРАНЕНИЯ АМУРСКОЙ ОБЛАСТИ</v>
      </c>
      <c r="B3231" s="24" t="s">
        <v>3255</v>
      </c>
      <c r="C3231" s="25">
        <v>256129.16</v>
      </c>
      <c r="D3231" s="22" t="s">
        <v>5623</v>
      </c>
      <c r="E3231" s="22" t="s">
        <v>52</v>
      </c>
      <c r="F3231" s="23" t="str">
        <f>HYPERLINK("https://www.spark-marketing.ru/Card/Lot/73371875", "Поставка лекарственного препарата для медицинского применения ""Лакосамид""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пр...")</f>
        <v>Поставка лекарственного препарата для медицинского применения "Лакосамид"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</v>
      </c>
      <c r="G3231" s="22" t="s">
        <v>210</v>
      </c>
      <c r="H3231" s="22" t="s">
        <v>3257</v>
      </c>
      <c r="I3231" s="26">
        <v>43720.659027777801</v>
      </c>
      <c r="J3231" s="23" t="str">
        <f>HYPERLINK("https://www.spark-marketing.ru/Card/Person/6591831", "ООО ""ХАЛИФ""")</f>
        <v>ООО "ХАЛИФ"</v>
      </c>
      <c r="K3231" s="24" t="s">
        <v>5596</v>
      </c>
      <c r="L3231" s="22" t="s">
        <v>10</v>
      </c>
      <c r="M3231" s="25">
        <v>243322.66</v>
      </c>
      <c r="N3231" s="27">
        <v>5.000016397976708E-2</v>
      </c>
    </row>
    <row r="3232" spans="1:14" x14ac:dyDescent="0.15">
      <c r="A3232" s="23" t="str">
        <f t="shared" si="53"/>
        <v>МИНИСТЕРСТВО ЗДРАВООХРАНЕНИЯ АМУРСКОЙ ОБЛАСТИ</v>
      </c>
      <c r="B3232" s="24" t="s">
        <v>3255</v>
      </c>
      <c r="C3232" s="25">
        <v>468261.6</v>
      </c>
      <c r="D3232" s="22" t="s">
        <v>5624</v>
      </c>
      <c r="E3232" s="22" t="s">
        <v>52</v>
      </c>
      <c r="F3232" s="23" t="str">
        <f>HYPERLINK("https://www.spark-marketing.ru/Card/Lot/73372019", "Поставка лекарственного препарата для медицинского применения ""Дабигатрана этексилат""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специализи...")</f>
        <v>Поставка лекарственного препарата для медицинского применения "Дабигатрана этексилат"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специализи...</v>
      </c>
      <c r="G3232" s="22" t="s">
        <v>210</v>
      </c>
      <c r="H3232" s="22" t="s">
        <v>3257</v>
      </c>
      <c r="I3232" s="26">
        <v>43720.659027777801</v>
      </c>
      <c r="J3232" s="28" t="s">
        <v>51</v>
      </c>
      <c r="K3232" s="28" t="s">
        <v>51</v>
      </c>
      <c r="L3232" s="28" t="s">
        <v>51</v>
      </c>
      <c r="M3232" s="28" t="s">
        <v>51</v>
      </c>
      <c r="N3232" s="28" t="s">
        <v>51</v>
      </c>
    </row>
    <row r="3233" spans="1:14" hidden="1" outlineLevel="1" x14ac:dyDescent="0.2">
      <c r="A3233" s="23" t="str">
        <f t="shared" si="53"/>
        <v>МИНИСТЕРСТВО ЗДРАВООХРАНЕНИЯ АМУРСКОЙ ОБЛАСТИ</v>
      </c>
      <c r="B3233" s="24" t="s">
        <v>3255</v>
      </c>
      <c r="C3233" s="25">
        <v>468261.6</v>
      </c>
      <c r="D3233" s="22" t="s">
        <v>5624</v>
      </c>
      <c r="E3233" s="22" t="s">
        <v>52</v>
      </c>
      <c r="F3233" s="23" t="str">
        <f>HYPERLINK("https://www.spark-marketing.ru/Card/Lot/73372019", "Поставка лекарственного препарата для медицинского применения ""Дабигатрана этексилат""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специализи...")</f>
        <v>Поставка лекарственного препарата для медицинского применения "Дабигатрана этексилат"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специализи...</v>
      </c>
      <c r="G3233" s="22" t="s">
        <v>210</v>
      </c>
      <c r="H3233" s="22" t="s">
        <v>3257</v>
      </c>
      <c r="I3233" s="26">
        <v>43720.659027777801</v>
      </c>
      <c r="J3233" s="23" t="str">
        <f>HYPERLINK("https://www.spark-marketing.ru/Card/Person/4903748", "ООО ""КОНДОР""")</f>
        <v>ООО "КОНДОР"</v>
      </c>
      <c r="K3233" s="24" t="s">
        <v>4848</v>
      </c>
      <c r="L3233" s="28" t="s">
        <v>51</v>
      </c>
      <c r="M3233" s="25">
        <v>419094.13</v>
      </c>
      <c r="N3233" s="27">
        <v>0.10500000427111683</v>
      </c>
    </row>
    <row r="3234" spans="1:14" ht="12.75" hidden="1" outlineLevel="1" x14ac:dyDescent="0.2">
      <c r="A3234" s="23" t="str">
        <f t="shared" si="53"/>
        <v>МИНИСТЕРСТВО ЗДРАВООХРАНЕНИЯ АМУРСКОЙ ОБЛАСТИ</v>
      </c>
      <c r="B3234" s="24" t="s">
        <v>3255</v>
      </c>
      <c r="C3234" s="25">
        <v>468261.6</v>
      </c>
      <c r="D3234" s="22" t="s">
        <v>5624</v>
      </c>
      <c r="E3234" s="22" t="s">
        <v>52</v>
      </c>
      <c r="F3234" s="23" t="str">
        <f>HYPERLINK("https://www.spark-marketing.ru/Card/Lot/73372019", "Поставка лекарственного препарата для медицинского применения ""Дабигатрана этексилат""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специализи...")</f>
        <v>Поставка лекарственного препарата для медицинского применения "Дабигатрана этексилат"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специализи...</v>
      </c>
      <c r="G3234" s="22" t="s">
        <v>210</v>
      </c>
      <c r="H3234" s="22" t="s">
        <v>3257</v>
      </c>
      <c r="I3234" s="26">
        <v>43720.659027777801</v>
      </c>
      <c r="J3234" s="23" t="str">
        <f>HYPERLINK("https://www.spark-marketing.ru/Card/Person/6591831", "ООО ""ХАЛИФ""")</f>
        <v>ООО "ХАЛИФ"</v>
      </c>
      <c r="K3234" s="24" t="s">
        <v>5596</v>
      </c>
      <c r="L3234" s="22" t="s">
        <v>10</v>
      </c>
      <c r="M3234" s="25">
        <v>416752.78</v>
      </c>
      <c r="N3234" s="27">
        <v>0.11000009396457024</v>
      </c>
    </row>
    <row r="3235" spans="1:14" hidden="1" outlineLevel="1" x14ac:dyDescent="0.2">
      <c r="A3235" s="23" t="str">
        <f t="shared" si="53"/>
        <v>МИНИСТЕРСТВО ЗДРАВООХРАНЕНИЯ АМУРСКОЙ ОБЛАСТИ</v>
      </c>
      <c r="B3235" s="24" t="s">
        <v>3255</v>
      </c>
      <c r="C3235" s="25">
        <v>468261.6</v>
      </c>
      <c r="D3235" s="22" t="s">
        <v>5624</v>
      </c>
      <c r="E3235" s="22" t="s">
        <v>52</v>
      </c>
      <c r="F3235" s="23" t="str">
        <f>HYPERLINK("https://www.spark-marketing.ru/Card/Lot/73372019", "Поставка лекарственного препарата для медицинского применения ""Дабигатрана этексилат""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специализи...")</f>
        <v>Поставка лекарственного препарата для медицинского применения "Дабигатрана этексилат"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специализи...</v>
      </c>
      <c r="G3235" s="22" t="s">
        <v>210</v>
      </c>
      <c r="H3235" s="22" t="s">
        <v>3257</v>
      </c>
      <c r="I3235" s="26">
        <v>43720.659027777801</v>
      </c>
      <c r="J3235" s="23" t="str">
        <f>HYPERLINK("https://www.spark-marketing.ru/Card/Person/19670", "ООО ""ПМ-ФАРМА""")</f>
        <v>ООО "ПМ-ФАРМА"</v>
      </c>
      <c r="K3235" s="24" t="s">
        <v>4521</v>
      </c>
      <c r="L3235" s="28" t="s">
        <v>51</v>
      </c>
      <c r="M3235" s="25">
        <v>418000</v>
      </c>
      <c r="N3235" s="27">
        <v>0.10733658279901662</v>
      </c>
    </row>
    <row r="3236" spans="1:14" x14ac:dyDescent="0.15">
      <c r="A3236" s="23" t="str">
        <f>HYPERLINK("https://www.spark-marketing.ru/Card/Person/6222037", "АО КУЙБЫШЕВСКИЙ НПЗ")</f>
        <v>АО КУЙБЫШЕВСКИЙ НПЗ</v>
      </c>
      <c r="B3236" s="28" t="s">
        <v>51</v>
      </c>
      <c r="C3236" s="25">
        <v>2918835</v>
      </c>
      <c r="D3236" s="22" t="s">
        <v>5625</v>
      </c>
      <c r="E3236" s="22" t="s">
        <v>765</v>
      </c>
      <c r="F3236" s="23" t="str">
        <f>HYPERLINK("https://www.spark-marketing.ru/Card/Lot/74010261", "Услуги по организации питания клиентов гостиницы ""Огни Заречья""")</f>
        <v>Услуги по организации питания клиентов гостиницы "Огни Заречья"</v>
      </c>
      <c r="G3236" s="22" t="s">
        <v>128</v>
      </c>
      <c r="H3236" s="22" t="s">
        <v>129</v>
      </c>
      <c r="I3236" s="26">
        <v>43720.660416666702</v>
      </c>
      <c r="J3236" s="28" t="s">
        <v>51</v>
      </c>
      <c r="K3236" s="28" t="s">
        <v>51</v>
      </c>
      <c r="L3236" s="28" t="s">
        <v>51</v>
      </c>
      <c r="M3236" s="28" t="s">
        <v>51</v>
      </c>
      <c r="N3236" s="28" t="s">
        <v>51</v>
      </c>
    </row>
    <row r="3237" spans="1:14" x14ac:dyDescent="0.15">
      <c r="A3237" s="23" t="str">
        <f>HYPERLINK("https://www.spark-marketing.ru/Card/Person/51787", "ГБУЗ КО ""НГКБ №29""")</f>
        <v>ГБУЗ КО "НГКБ №29"</v>
      </c>
      <c r="B3237" s="24" t="s">
        <v>5626</v>
      </c>
      <c r="C3237" s="25">
        <v>794270.56</v>
      </c>
      <c r="D3237" s="22" t="s">
        <v>5627</v>
      </c>
      <c r="E3237" s="22" t="s">
        <v>583</v>
      </c>
      <c r="F3237" s="23" t="str">
        <f>HYPERLINK("https://www.spark-marketing.ru/Card/Lot/73380323", "Оказание услуг по ремонту медицинской техники с заменой запасных частей")</f>
        <v>Оказание услуг по ремонту медицинской техники с заменой запасных частей</v>
      </c>
      <c r="G3237" s="22" t="s">
        <v>304</v>
      </c>
      <c r="H3237" s="22" t="s">
        <v>3190</v>
      </c>
      <c r="I3237" s="26">
        <v>43720.652777777803</v>
      </c>
      <c r="J3237" s="23" t="str">
        <f>HYPERLINK("https://www.spark-marketing.ru/Card/Person/50695", "ООО ""СИБИРСКОЕ ЗДОРОВЬЕ""")</f>
        <v>ООО "СИБИРСКОЕ ЗДОРОВЬЕ"</v>
      </c>
      <c r="K3237" s="24" t="s">
        <v>5628</v>
      </c>
      <c r="L3237" s="22" t="s">
        <v>10</v>
      </c>
      <c r="M3237" s="28" t="s">
        <v>51</v>
      </c>
      <c r="N3237" s="28" t="s">
        <v>51</v>
      </c>
    </row>
    <row r="3238" spans="1:14" x14ac:dyDescent="0.15">
      <c r="A3238" s="23" t="str">
        <f>HYPERLINK("https://www.spark-marketing.ru/Card/Person/132100", "ГУ ""МЕЖМУНИЦИПАЛЬНЫЙ ОТДЕЛ МВД РОССИИ ""САРАПУЛЬСКИЙ""")</f>
        <v>ГУ "МЕЖМУНИЦИПАЛЬНЫЙ ОТДЕЛ МВД РОССИИ "САРАПУЛЬСКИЙ"</v>
      </c>
      <c r="B3238" s="24" t="s">
        <v>5629</v>
      </c>
      <c r="C3238" s="25">
        <v>91123.74</v>
      </c>
      <c r="D3238" s="22" t="s">
        <v>5630</v>
      </c>
      <c r="E3238" s="22" t="s">
        <v>48</v>
      </c>
      <c r="F3238" s="23" t="str">
        <f>HYPERLINK("https://www.spark-marketing.ru/Card/Lot/73376503",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3238" s="22" t="s">
        <v>852</v>
      </c>
      <c r="H3238" s="22" t="s">
        <v>5631</v>
      </c>
      <c r="I3238" s="26">
        <v>43720.608043981498</v>
      </c>
      <c r="J3238" s="28" t="s">
        <v>51</v>
      </c>
      <c r="K3238" s="28" t="s">
        <v>51</v>
      </c>
      <c r="L3238" s="28" t="s">
        <v>51</v>
      </c>
      <c r="M3238" s="28" t="s">
        <v>51</v>
      </c>
      <c r="N3238" s="28" t="s">
        <v>51</v>
      </c>
    </row>
    <row r="3239" spans="1:14" x14ac:dyDescent="0.15">
      <c r="A3239" s="23" t="str">
        <f>HYPERLINK("https://www.spark-marketing.ru/Card/Person/132100", "ГУ ""МЕЖМУНИЦИПАЛЬНЫЙ ОТДЕЛ МВД РОССИИ ""САРАПУЛЬСКИЙ""")</f>
        <v>ГУ "МЕЖМУНИЦИПАЛЬНЫЙ ОТДЕЛ МВД РОССИИ "САРАПУЛЬСКИЙ"</v>
      </c>
      <c r="B3239" s="24" t="s">
        <v>5629</v>
      </c>
      <c r="C3239" s="25">
        <v>95495.42</v>
      </c>
      <c r="D3239" s="22" t="s">
        <v>5632</v>
      </c>
      <c r="E3239" s="22" t="s">
        <v>48</v>
      </c>
      <c r="F3239" s="23" t="str">
        <f>HYPERLINK("https://www.spark-marketing.ru/Card/Lot/73376455",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3239" s="22" t="s">
        <v>852</v>
      </c>
      <c r="H3239" s="22" t="s">
        <v>5631</v>
      </c>
      <c r="I3239" s="26">
        <v>43720.6104976852</v>
      </c>
      <c r="J3239" s="28" t="s">
        <v>51</v>
      </c>
      <c r="K3239" s="28" t="s">
        <v>51</v>
      </c>
      <c r="L3239" s="28" t="s">
        <v>51</v>
      </c>
      <c r="M3239" s="28" t="s">
        <v>51</v>
      </c>
      <c r="N3239" s="28" t="s">
        <v>51</v>
      </c>
    </row>
    <row r="3240" spans="1:14" x14ac:dyDescent="0.15">
      <c r="A3240" s="23" t="str">
        <f>HYPERLINK("https://www.spark-marketing.ru/Card/Person/79273", "КОГБУЗ ""НЕМСКАЯ ЦЕНТРАЛЬНАЯ РАЙОННАЯ БОЛЬНИЦА""")</f>
        <v>КОГБУЗ "НЕМСКАЯ ЦЕНТРАЛЬНАЯ РАЙОННАЯ БОЛЬНИЦА"</v>
      </c>
      <c r="B3240" s="24" t="s">
        <v>5633</v>
      </c>
      <c r="C3240" s="25">
        <v>1970000</v>
      </c>
      <c r="D3240" s="22" t="s">
        <v>5634</v>
      </c>
      <c r="E3240" s="22" t="s">
        <v>48</v>
      </c>
      <c r="F3240" s="23" t="str">
        <f>HYPERLINK("https://www.spark-marketing.ru/Card/Lot/73388977", "Оказание услуг по приготовлению и передаче ежедневного лечебного горячего питания для больных стационара Кировского областного государственного бюджетного учреждения здравоохранения «Немская центральная районная больница»")</f>
        <v>Оказание услуг по приготовлению и передаче ежедневного лечебного горячего питания для больных стационара Кировского областного государственного бюджетного учреждения здравоохранения «Немская центральная районная больница»</v>
      </c>
      <c r="G3240" s="22" t="s">
        <v>224</v>
      </c>
      <c r="H3240" s="22" t="s">
        <v>5635</v>
      </c>
      <c r="I3240" s="26">
        <v>43720.588032407402</v>
      </c>
      <c r="J3240" s="28" t="s">
        <v>51</v>
      </c>
      <c r="K3240" s="28" t="s">
        <v>51</v>
      </c>
      <c r="L3240" s="28" t="s">
        <v>51</v>
      </c>
      <c r="M3240" s="28" t="s">
        <v>51</v>
      </c>
      <c r="N3240" s="28" t="s">
        <v>51</v>
      </c>
    </row>
    <row r="3241" spans="1:14" x14ac:dyDescent="0.15">
      <c r="A3241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3241" s="24" t="s">
        <v>2576</v>
      </c>
      <c r="C3241" s="25">
        <v>100000</v>
      </c>
      <c r="D3241" s="22" t="s">
        <v>5636</v>
      </c>
      <c r="E3241" s="22" t="s">
        <v>91</v>
      </c>
      <c r="F3241" s="23" t="str">
        <f>HYPERLINK("https://www.spark-marketing.ru/Card/Lot/73381881", "Оказание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 области.")</f>
        <v>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 области.</v>
      </c>
      <c r="G3241" s="22" t="s">
        <v>292</v>
      </c>
      <c r="H3241" s="22" t="s">
        <v>292</v>
      </c>
      <c r="I3241" s="26">
        <v>43720.606249999997</v>
      </c>
      <c r="J3241" s="28" t="s">
        <v>51</v>
      </c>
      <c r="K3241" s="28" t="s">
        <v>51</v>
      </c>
      <c r="L3241" s="28" t="s">
        <v>51</v>
      </c>
      <c r="M3241" s="28" t="s">
        <v>51</v>
      </c>
      <c r="N3241" s="28" t="s">
        <v>51</v>
      </c>
    </row>
    <row r="3242" spans="1:14" hidden="1" outlineLevel="1" x14ac:dyDescent="0.2">
      <c r="A3242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3242" s="24" t="s">
        <v>2576</v>
      </c>
      <c r="C3242" s="25">
        <v>100000</v>
      </c>
      <c r="D3242" s="22" t="s">
        <v>5636</v>
      </c>
      <c r="E3242" s="22" t="s">
        <v>91</v>
      </c>
      <c r="F3242" s="23" t="str">
        <f>HYPERLINK("https://www.spark-marketing.ru/Card/Lot/73381881", "Оказание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 области.")</f>
        <v>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 области.</v>
      </c>
      <c r="G3242" s="22" t="s">
        <v>292</v>
      </c>
      <c r="H3242" s="22" t="s">
        <v>292</v>
      </c>
      <c r="I3242" s="26">
        <v>43720.606249999997</v>
      </c>
      <c r="J3242" s="23" t="str">
        <f>HYPERLINK("https://www.spark-marketing.ru/Card/Person/6204178", "Васильев Алексей Витальевич")</f>
        <v>Васильев Алексей Витальевич</v>
      </c>
      <c r="K3242" s="24" t="s">
        <v>5637</v>
      </c>
      <c r="L3242" s="28" t="s">
        <v>51</v>
      </c>
      <c r="M3242" s="25">
        <v>97000</v>
      </c>
      <c r="N3242" s="27">
        <v>0.03</v>
      </c>
    </row>
    <row r="3243" spans="1:14" hidden="1" outlineLevel="1" x14ac:dyDescent="0.2">
      <c r="A3243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3243" s="24" t="s">
        <v>2576</v>
      </c>
      <c r="C3243" s="25">
        <v>100000</v>
      </c>
      <c r="D3243" s="22" t="s">
        <v>5636</v>
      </c>
      <c r="E3243" s="22" t="s">
        <v>91</v>
      </c>
      <c r="F3243" s="23" t="str">
        <f>HYPERLINK("https://www.spark-marketing.ru/Card/Lot/73381881", "Оказание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 области.")</f>
        <v>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 области.</v>
      </c>
      <c r="G3243" s="22" t="s">
        <v>292</v>
      </c>
      <c r="H3243" s="22" t="s">
        <v>292</v>
      </c>
      <c r="I3243" s="26">
        <v>43720.606249999997</v>
      </c>
      <c r="J3243" s="23" t="str">
        <f>HYPERLINK("https://www.spark-marketing.ru/Card/Person/70248", "АО ""ФИРМА НТЦ КАМИ""")</f>
        <v>АО "ФИРМА НТЦ КАМИ"</v>
      </c>
      <c r="K3243" s="24" t="s">
        <v>5638</v>
      </c>
      <c r="L3243" s="28" t="s">
        <v>51</v>
      </c>
      <c r="M3243" s="25">
        <v>61100</v>
      </c>
      <c r="N3243" s="27">
        <v>0.38900000000000001</v>
      </c>
    </row>
    <row r="3244" spans="1:14" hidden="1" outlineLevel="1" x14ac:dyDescent="0.2">
      <c r="A3244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3244" s="24" t="s">
        <v>2576</v>
      </c>
      <c r="C3244" s="25">
        <v>100000</v>
      </c>
      <c r="D3244" s="22" t="s">
        <v>5636</v>
      </c>
      <c r="E3244" s="22" t="s">
        <v>91</v>
      </c>
      <c r="F3244" s="23" t="str">
        <f>HYPERLINK("https://www.spark-marketing.ru/Card/Lot/73381881", "Оказание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 области.")</f>
        <v>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 области.</v>
      </c>
      <c r="G3244" s="22" t="s">
        <v>292</v>
      </c>
      <c r="H3244" s="22" t="s">
        <v>292</v>
      </c>
      <c r="I3244" s="26">
        <v>43720.606249999997</v>
      </c>
      <c r="J3244" s="23" t="str">
        <f>HYPERLINK("https://www.spark-marketing.ru/Card/Person/364099", "ООО ""1АК""")</f>
        <v>ООО "1АК"</v>
      </c>
      <c r="K3244" s="24" t="s">
        <v>5639</v>
      </c>
      <c r="L3244" s="28" t="s">
        <v>51</v>
      </c>
      <c r="M3244" s="25">
        <v>61500</v>
      </c>
      <c r="N3244" s="27">
        <v>0.38500000000000001</v>
      </c>
    </row>
    <row r="3245" spans="1:14" ht="12.75" hidden="1" outlineLevel="1" x14ac:dyDescent="0.2">
      <c r="A3245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3245" s="24" t="s">
        <v>2576</v>
      </c>
      <c r="C3245" s="25">
        <v>100000</v>
      </c>
      <c r="D3245" s="22" t="s">
        <v>5636</v>
      </c>
      <c r="E3245" s="22" t="s">
        <v>91</v>
      </c>
      <c r="F3245" s="23" t="str">
        <f>HYPERLINK("https://www.spark-marketing.ru/Card/Lot/73381881", "Оказание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 области.")</f>
        <v>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 области.</v>
      </c>
      <c r="G3245" s="22" t="s">
        <v>292</v>
      </c>
      <c r="H3245" s="22" t="s">
        <v>292</v>
      </c>
      <c r="I3245" s="26">
        <v>43720.606249999997</v>
      </c>
      <c r="J3245" s="23" t="str">
        <f>HYPERLINK("https://www.spark-marketing.ru/Card/Person/1327917", "Попова Ирина Михайловна")</f>
        <v>Попова Ирина Михайловна</v>
      </c>
      <c r="K3245" s="24" t="s">
        <v>5640</v>
      </c>
      <c r="L3245" s="22" t="s">
        <v>10</v>
      </c>
      <c r="M3245" s="25">
        <v>60000</v>
      </c>
      <c r="N3245" s="27">
        <v>0.4</v>
      </c>
    </row>
    <row r="3246" spans="1:14" x14ac:dyDescent="0.15">
      <c r="A3246" s="23" t="str">
        <f>HYPERLINK("https://www.spark-marketing.ru/Card/Person/104714", """ОТДЕЛ МВД РОССИИ ПО ТАХТАМУКАЙСКОМУ РАЙОНУ""")</f>
        <v>"ОТДЕЛ МВД РОССИИ ПО ТАХТАМУКАЙСКОМУ РАЙОНУ"</v>
      </c>
      <c r="B3246" s="24" t="s">
        <v>3982</v>
      </c>
      <c r="C3246" s="25">
        <v>2130000</v>
      </c>
      <c r="D3246" s="22" t="s">
        <v>5641</v>
      </c>
      <c r="E3246" s="22" t="s">
        <v>96</v>
      </c>
      <c r="F3246" s="23" t="str">
        <f>HYPERLINK("https://www.spark-marketing.ru/Card/Lot/73388520", "Питание в ИВС")</f>
        <v>Питание в ИВС</v>
      </c>
      <c r="G3246" s="22" t="s">
        <v>925</v>
      </c>
      <c r="H3246" s="22" t="s">
        <v>3984</v>
      </c>
      <c r="I3246" s="26">
        <v>43720.610787037003</v>
      </c>
      <c r="J3246" s="28" t="s">
        <v>51</v>
      </c>
      <c r="K3246" s="28" t="s">
        <v>51</v>
      </c>
      <c r="L3246" s="28" t="s">
        <v>51</v>
      </c>
      <c r="M3246" s="28" t="s">
        <v>51</v>
      </c>
      <c r="N3246" s="28" t="s">
        <v>51</v>
      </c>
    </row>
    <row r="3247" spans="1:14" x14ac:dyDescent="0.15">
      <c r="A3247" s="23" t="str">
        <f>HYPERLINK("https://www.spark-marketing.ru/Card/Person/18481", "ФГУП ""РОСРАО""")</f>
        <v>ФГУП "РОСРАО"</v>
      </c>
      <c r="B3247" s="24" t="s">
        <v>2882</v>
      </c>
      <c r="C3247" s="25">
        <v>299800</v>
      </c>
      <c r="D3247" s="22" t="s">
        <v>5642</v>
      </c>
      <c r="E3247" s="22" t="s">
        <v>48</v>
      </c>
      <c r="F3247" s="23" t="str">
        <f>HYPERLINK("https://www.spark-marketing.ru/Card/Lot/73375985", "Услуги по обеспечению питанием, осуществляемые по договору, 2 усл. ед")</f>
        <v>Услуги по обеспечению питанием, осуществляемые по договору, 2 усл. ед</v>
      </c>
      <c r="G3247" s="22" t="s">
        <v>162</v>
      </c>
      <c r="H3247" s="22" t="s">
        <v>1620</v>
      </c>
      <c r="I3247" s="26">
        <v>43720.5921759259</v>
      </c>
      <c r="J3247" s="28" t="s">
        <v>51</v>
      </c>
      <c r="K3247" s="28" t="s">
        <v>51</v>
      </c>
      <c r="L3247" s="28" t="s">
        <v>51</v>
      </c>
      <c r="M3247" s="28" t="s">
        <v>51</v>
      </c>
      <c r="N3247" s="28" t="s">
        <v>51</v>
      </c>
    </row>
    <row r="3248" spans="1:14" x14ac:dyDescent="0.15">
      <c r="A3248" s="23" t="str">
        <f>HYPERLINK("https://www.spark-marketing.ru/Card/Person/44008", "ДЭЖКХ ГОРОДА")</f>
        <v>ДЭЖКХ ГОРОДА</v>
      </c>
      <c r="B3248" s="24" t="s">
        <v>5643</v>
      </c>
      <c r="C3248" s="25">
        <v>269000</v>
      </c>
      <c r="D3248" s="22" t="s">
        <v>5644</v>
      </c>
      <c r="E3248" s="22" t="s">
        <v>1862</v>
      </c>
      <c r="F3248" s="23" t="str">
        <f>HYPERLINK("https://www.spark-marketing.ru/Card/Lot/73373620", "Оказание услуг по организации и проведению экологических акций для дальнейшего сбора, транспортировки, обработки и утилизации отработанных гальванических элементов питания (батареек, аккумуляторов), образующихся на территории города Новосибирска")</f>
        <v>Оказание услуг по организации и проведению экологических акций для дальнейшего сбора, транспортировки, обработки и утилизации отработанных гальванических элементов питания (батареек, аккумуляторов), образующихся на территории города Новосибирска</v>
      </c>
      <c r="G3248" s="22" t="s">
        <v>195</v>
      </c>
      <c r="H3248" s="22" t="s">
        <v>196</v>
      </c>
      <c r="I3248" s="26">
        <v>43720.579861111102</v>
      </c>
      <c r="J3248" s="23" t="str">
        <f>HYPERLINK("https://www.spark-marketing.ru/Card/Person/1393875", "ООО "" ДЕМЕРКУРИЗАЦИЯ """)</f>
        <v>ООО " ДЕМЕРКУРИЗАЦИЯ "</v>
      </c>
      <c r="K3248" s="24" t="s">
        <v>5645</v>
      </c>
      <c r="L3248" s="22" t="s">
        <v>10</v>
      </c>
      <c r="M3248" s="28" t="s">
        <v>51</v>
      </c>
      <c r="N3248" s="28" t="s">
        <v>51</v>
      </c>
    </row>
    <row r="3249" spans="1:14" x14ac:dyDescent="0.15">
      <c r="A3249" s="23" t="str">
        <f>HYPERLINK("https://www.spark-marketing.ru/Card/Person/55545", "МО МВД РОССИИ ""БАРАБИНСКИЙ""")</f>
        <v>МО МВД РОССИИ "БАРАБИНСКИЙ"</v>
      </c>
      <c r="B3249" s="24" t="s">
        <v>5646</v>
      </c>
      <c r="C3249" s="25">
        <v>245.33</v>
      </c>
      <c r="D3249" s="22" t="s">
        <v>5647</v>
      </c>
      <c r="E3249" s="22" t="s">
        <v>48</v>
      </c>
      <c r="F3249" s="23" t="str">
        <f>HYPERLINK("https://www.spark-marketing.ru/Card/Lot/73373536", "Услуги по организации горячего питания, 1 усл. ед")</f>
        <v>Услуги по организации горячего питания, 1 усл. ед</v>
      </c>
      <c r="G3249" s="22" t="s">
        <v>195</v>
      </c>
      <c r="H3249" s="22" t="s">
        <v>5648</v>
      </c>
      <c r="I3249" s="26">
        <v>43720.524456018502</v>
      </c>
      <c r="J3249" s="28" t="s">
        <v>51</v>
      </c>
      <c r="K3249" s="28" t="s">
        <v>51</v>
      </c>
      <c r="L3249" s="28" t="s">
        <v>51</v>
      </c>
      <c r="M3249" s="28" t="s">
        <v>51</v>
      </c>
      <c r="N3249" s="28" t="s">
        <v>51</v>
      </c>
    </row>
    <row r="3250" spans="1:14" x14ac:dyDescent="0.15">
      <c r="A3250" s="23" t="str">
        <f>HYPERLINK("https://www.spark-marketing.ru/Card/Person/24579", "ГБУ МО ""ЦСППСНВС""")</f>
        <v>ГБУ МО "ЦСППСНВС"</v>
      </c>
      <c r="B3250" s="24" t="s">
        <v>4731</v>
      </c>
      <c r="C3250" s="25">
        <v>252000</v>
      </c>
      <c r="D3250" s="22" t="s">
        <v>5649</v>
      </c>
      <c r="E3250" s="22" t="s">
        <v>374</v>
      </c>
      <c r="F3250" s="23" t="str">
        <f>HYPERLINK("https://www.spark-marketing.ru/Card/Lot/73376777", "Оказание услуг по организации участия членов спортивных сборных команд Московской области в тренировочных мероприятиях по горным лыжам (ноябрь)")</f>
        <v>Оказание услуг по организации участия членов спортивных сборных команд Московской области в тренировочных мероприятиях по горным лыжам (ноябрь)</v>
      </c>
      <c r="G3250" s="22" t="s">
        <v>49</v>
      </c>
      <c r="H3250" s="22" t="s">
        <v>631</v>
      </c>
      <c r="I3250" s="26">
        <v>43720.521527777797</v>
      </c>
      <c r="J3250" s="28" t="s">
        <v>51</v>
      </c>
      <c r="K3250" s="28" t="s">
        <v>51</v>
      </c>
      <c r="L3250" s="28" t="s">
        <v>51</v>
      </c>
      <c r="M3250" s="28" t="s">
        <v>51</v>
      </c>
      <c r="N3250" s="28" t="s">
        <v>51</v>
      </c>
    </row>
    <row r="3251" spans="1:14" ht="12.75" hidden="1" outlineLevel="1" x14ac:dyDescent="0.2">
      <c r="A3251" s="23" t="str">
        <f>HYPERLINK("https://www.spark-marketing.ru/Card/Person/24579", "ГБУ МО ""ЦСППСНВС""")</f>
        <v>ГБУ МО "ЦСППСНВС"</v>
      </c>
      <c r="B3251" s="24" t="s">
        <v>4731</v>
      </c>
      <c r="C3251" s="25">
        <v>252000</v>
      </c>
      <c r="D3251" s="22" t="s">
        <v>5649</v>
      </c>
      <c r="E3251" s="22" t="s">
        <v>374</v>
      </c>
      <c r="F3251" s="23" t="str">
        <f>HYPERLINK("https://www.spark-marketing.ru/Card/Lot/73376777", "Оказание услуг по организации участия членов спортивных сборных команд Московской области в тренировочных мероприятиях по горным лыжам (ноябрь)")</f>
        <v>Оказание услуг по организации участия членов спортивных сборных команд Московской области в тренировочных мероприятиях по горным лыжам (ноябрь)</v>
      </c>
      <c r="G3251" s="22" t="s">
        <v>49</v>
      </c>
      <c r="H3251" s="22" t="s">
        <v>631</v>
      </c>
      <c r="I3251" s="26">
        <v>43720.521527777797</v>
      </c>
      <c r="J3251" s="23" t="str">
        <f>HYPERLINK("https://www.spark-marketing.ru/Card/Person/378346", "ООО ""ШУКОЛОВО ОТЕЛЬ""")</f>
        <v>ООО "ШУКОЛОВО ОТЕЛЬ"</v>
      </c>
      <c r="K3251" s="24" t="s">
        <v>5650</v>
      </c>
      <c r="L3251" s="22" t="s">
        <v>10</v>
      </c>
      <c r="M3251" s="25">
        <v>206640</v>
      </c>
      <c r="N3251" s="27">
        <v>0.18</v>
      </c>
    </row>
    <row r="3252" spans="1:14" hidden="1" outlineLevel="1" x14ac:dyDescent="0.2">
      <c r="A3252" s="23" t="str">
        <f>HYPERLINK("https://www.spark-marketing.ru/Card/Person/24579", "ГБУ МО ""ЦСППСНВС""")</f>
        <v>ГБУ МО "ЦСППСНВС"</v>
      </c>
      <c r="B3252" s="24" t="s">
        <v>4731</v>
      </c>
      <c r="C3252" s="25">
        <v>252000</v>
      </c>
      <c r="D3252" s="22" t="s">
        <v>5649</v>
      </c>
      <c r="E3252" s="22" t="s">
        <v>374</v>
      </c>
      <c r="F3252" s="23" t="str">
        <f>HYPERLINK("https://www.spark-marketing.ru/Card/Lot/73376777", "Оказание услуг по организации участия членов спортивных сборных команд Московской области в тренировочных мероприятиях по горным лыжам (ноябрь)")</f>
        <v>Оказание услуг по организации участия членов спортивных сборных команд Московской области в тренировочных мероприятиях по горным лыжам (ноябрь)</v>
      </c>
      <c r="G3252" s="22" t="s">
        <v>49</v>
      </c>
      <c r="H3252" s="22" t="s">
        <v>631</v>
      </c>
      <c r="I3252" s="26">
        <v>43720.521527777797</v>
      </c>
      <c r="J3252" s="23" t="str">
        <f>HYPERLINK("https://www.spark-marketing.ru/Card/Person/4590807", "ООО ""ИНСТАЙЛ ТУР""")</f>
        <v>ООО "ИНСТАЙЛ ТУР"</v>
      </c>
      <c r="K3252" s="24" t="s">
        <v>4734</v>
      </c>
      <c r="L3252" s="28" t="s">
        <v>51</v>
      </c>
      <c r="M3252" s="25">
        <v>216720</v>
      </c>
      <c r="N3252" s="27">
        <v>0.14000000000000001</v>
      </c>
    </row>
    <row r="3253" spans="1:14" hidden="1" outlineLevel="1" x14ac:dyDescent="0.2">
      <c r="A3253" s="23" t="str">
        <f>HYPERLINK("https://www.spark-marketing.ru/Card/Person/24579", "ГБУ МО ""ЦСППСНВС""")</f>
        <v>ГБУ МО "ЦСППСНВС"</v>
      </c>
      <c r="B3253" s="24" t="s">
        <v>4731</v>
      </c>
      <c r="C3253" s="25">
        <v>252000</v>
      </c>
      <c r="D3253" s="22" t="s">
        <v>5649</v>
      </c>
      <c r="E3253" s="22" t="s">
        <v>374</v>
      </c>
      <c r="F3253" s="23" t="str">
        <f>HYPERLINK("https://www.spark-marketing.ru/Card/Lot/73376777", "Оказание услуг по организации участия членов спортивных сборных команд Московской области в тренировочных мероприятиях по горным лыжам (ноябрь)")</f>
        <v>Оказание услуг по организации участия членов спортивных сборных команд Московской области в тренировочных мероприятиях по горным лыжам (ноябрь)</v>
      </c>
      <c r="G3253" s="22" t="s">
        <v>49</v>
      </c>
      <c r="H3253" s="22" t="s">
        <v>631</v>
      </c>
      <c r="I3253" s="26">
        <v>43720.521527777797</v>
      </c>
      <c r="J3253" s="23" t="str">
        <f>HYPERLINK("https://www.spark-marketing.ru/Card/Person/4919842", "ООО ""МАКСИ КО""")</f>
        <v>ООО "МАКСИ КО"</v>
      </c>
      <c r="K3253" s="24" t="s">
        <v>4581</v>
      </c>
      <c r="L3253" s="28" t="s">
        <v>51</v>
      </c>
      <c r="M3253" s="25">
        <v>207900</v>
      </c>
      <c r="N3253" s="27">
        <v>0.17499999999999999</v>
      </c>
    </row>
    <row r="3254" spans="1:14" hidden="1" outlineLevel="1" x14ac:dyDescent="0.2">
      <c r="A3254" s="23" t="str">
        <f>HYPERLINK("https://www.spark-marketing.ru/Card/Person/24579", "ГБУ МО ""ЦСППСНВС""")</f>
        <v>ГБУ МО "ЦСППСНВС"</v>
      </c>
      <c r="B3254" s="24" t="s">
        <v>4731</v>
      </c>
      <c r="C3254" s="25">
        <v>252000</v>
      </c>
      <c r="D3254" s="22" t="s">
        <v>5649</v>
      </c>
      <c r="E3254" s="22" t="s">
        <v>374</v>
      </c>
      <c r="F3254" s="23" t="str">
        <f>HYPERLINK("https://www.spark-marketing.ru/Card/Lot/73376777", "Оказание услуг по организации участия членов спортивных сборных команд Московской области в тренировочных мероприятиях по горным лыжам (ноябрь)")</f>
        <v>Оказание услуг по организации участия членов спортивных сборных команд Московской области в тренировочных мероприятиях по горным лыжам (ноябрь)</v>
      </c>
      <c r="G3254" s="22" t="s">
        <v>49</v>
      </c>
      <c r="H3254" s="22" t="s">
        <v>631</v>
      </c>
      <c r="I3254" s="26">
        <v>43720.521527777797</v>
      </c>
      <c r="J3254" s="23" t="str">
        <f>HYPERLINK("https://www.spark-marketing.ru/Card/Person/6369393", "ООО ""ВЕКТОР ГРУПП""")</f>
        <v>ООО "ВЕКТОР ГРУПП"</v>
      </c>
      <c r="K3254" s="24" t="s">
        <v>4733</v>
      </c>
      <c r="L3254" s="28" t="s">
        <v>51</v>
      </c>
      <c r="M3254" s="25">
        <v>209160</v>
      </c>
      <c r="N3254" s="27">
        <v>0.17</v>
      </c>
    </row>
    <row r="3255" spans="1:14" x14ac:dyDescent="0.15">
      <c r="A3255" s="23" t="str">
        <f t="shared" ref="A3255:A3262" si="54">HYPERLINK("https://www.spark-marketing.ru/Card/Person/53933", "СПБ ГБПОУ ""УОР № 2 (ТЕХНИКУМ)""")</f>
        <v>СПБ ГБПОУ "УОР № 2 (ТЕХНИКУМ)"</v>
      </c>
      <c r="B3255" s="24" t="s">
        <v>2322</v>
      </c>
      <c r="C3255" s="25">
        <v>636200</v>
      </c>
      <c r="D3255" s="22" t="s">
        <v>5651</v>
      </c>
      <c r="E3255" s="22" t="s">
        <v>51</v>
      </c>
      <c r="F3255" s="23" t="str">
        <f t="shared" ref="F3255:F3262" si="55">HYPERLINK("https://www.spark-marketing.ru/Card/Lot/73379983", "Оказание услуг по предоставлению проживания, питания, спортивных сооружений при проведении тренировочных мероприятий к Кубку России, Кубку Союза конькобежцев России, Первенству России и зональному Первенству России для занимающихся отделения ""Конько...")</f>
        <v>Оказание услуг по предоставлению проживания, питания, спортивных сооружений при проведении тренировочных мероприятий к Кубку России, Кубку Союза конькобежцев России, Первенству России и зональному Первенству России для занимающихся отделения "Конько...</v>
      </c>
      <c r="G3255" s="22" t="s">
        <v>117</v>
      </c>
      <c r="H3255" s="22" t="s">
        <v>117</v>
      </c>
      <c r="I3255" s="26">
        <v>43720.538194444402</v>
      </c>
      <c r="J3255" s="28" t="s">
        <v>51</v>
      </c>
      <c r="K3255" s="28" t="s">
        <v>51</v>
      </c>
      <c r="L3255" s="28" t="s">
        <v>51</v>
      </c>
      <c r="M3255" s="28" t="s">
        <v>51</v>
      </c>
      <c r="N3255" s="28" t="s">
        <v>51</v>
      </c>
    </row>
    <row r="3256" spans="1:14" ht="12.75" hidden="1" outlineLevel="1" x14ac:dyDescent="0.2">
      <c r="A3256" s="23" t="str">
        <f t="shared" si="54"/>
        <v>СПБ ГБПОУ "УОР № 2 (ТЕХНИКУМ)"</v>
      </c>
      <c r="B3256" s="24" t="s">
        <v>2322</v>
      </c>
      <c r="C3256" s="25">
        <v>636200</v>
      </c>
      <c r="D3256" s="22" t="s">
        <v>5651</v>
      </c>
      <c r="E3256" s="22" t="s">
        <v>51</v>
      </c>
      <c r="F3256" s="23" t="str">
        <f t="shared" si="55"/>
        <v>Оказание услуг по предоставлению проживания, питания, спортивных сооружений при проведении тренировочных мероприятий к Кубку России, Кубку Союза конькобежцев России, Первенству России и зональному Первенству России для занимающихся отделения "Конько...</v>
      </c>
      <c r="G3256" s="22" t="s">
        <v>117</v>
      </c>
      <c r="H3256" s="22" t="s">
        <v>117</v>
      </c>
      <c r="I3256" s="26">
        <v>43720.538194444402</v>
      </c>
      <c r="J3256" s="23" t="str">
        <f>HYPERLINK("https://www.spark-marketing.ru/Card/Person/6493147", "Чихачев Андрей Игоревич")</f>
        <v>Чихачев Андрей Игоревич</v>
      </c>
      <c r="K3256" s="24" t="s">
        <v>5652</v>
      </c>
      <c r="L3256" s="22" t="s">
        <v>10</v>
      </c>
      <c r="M3256" s="25">
        <v>550312.5</v>
      </c>
      <c r="N3256" s="27">
        <v>0.13500078591637849</v>
      </c>
    </row>
    <row r="3257" spans="1:14" hidden="1" outlineLevel="1" x14ac:dyDescent="0.2">
      <c r="A3257" s="23" t="str">
        <f t="shared" si="54"/>
        <v>СПБ ГБПОУ "УОР № 2 (ТЕХНИКУМ)"</v>
      </c>
      <c r="B3257" s="24" t="s">
        <v>2322</v>
      </c>
      <c r="C3257" s="25">
        <v>636200</v>
      </c>
      <c r="D3257" s="22" t="s">
        <v>5651</v>
      </c>
      <c r="E3257" s="22" t="s">
        <v>51</v>
      </c>
      <c r="F3257" s="23" t="str">
        <f t="shared" si="55"/>
        <v>Оказание услуг по предоставлению проживания, питания, спортивных сооружений при проведении тренировочных мероприятий к Кубку России, Кубку Союза конькобежцев России, Первенству России и зональному Первенству России для занимающихся отделения "Конько...</v>
      </c>
      <c r="G3257" s="22" t="s">
        <v>117</v>
      </c>
      <c r="H3257" s="22" t="s">
        <v>117</v>
      </c>
      <c r="I3257" s="26">
        <v>43720.538194444402</v>
      </c>
      <c r="J3257" s="23" t="str">
        <f>HYPERLINK("https://www.spark-marketing.ru/Card/Person/6199231", "Полочанская Ольга Геннадьевна")</f>
        <v>Полочанская Ольга Геннадьевна</v>
      </c>
      <c r="K3257" s="24" t="s">
        <v>2484</v>
      </c>
      <c r="L3257" s="28" t="s">
        <v>51</v>
      </c>
      <c r="M3257" s="25">
        <v>566218</v>
      </c>
      <c r="N3257" s="27">
        <v>0.11</v>
      </c>
    </row>
    <row r="3258" spans="1:14" hidden="1" outlineLevel="1" x14ac:dyDescent="0.2">
      <c r="A3258" s="23" t="str">
        <f t="shared" si="54"/>
        <v>СПБ ГБПОУ "УОР № 2 (ТЕХНИКУМ)"</v>
      </c>
      <c r="B3258" s="24" t="s">
        <v>2322</v>
      </c>
      <c r="C3258" s="25">
        <v>636200</v>
      </c>
      <c r="D3258" s="22" t="s">
        <v>5651</v>
      </c>
      <c r="E3258" s="22" t="s">
        <v>51</v>
      </c>
      <c r="F3258" s="23" t="str">
        <f t="shared" si="55"/>
        <v>Оказание услуг по предоставлению проживания, питания, спортивных сооружений при проведении тренировочных мероприятий к Кубку России, Кубку Союза конькобежцев России, Первенству России и зональному Первенству России для занимающихся отделения "Конько...</v>
      </c>
      <c r="G3258" s="22" t="s">
        <v>117</v>
      </c>
      <c r="H3258" s="22" t="s">
        <v>117</v>
      </c>
      <c r="I3258" s="26">
        <v>43720.538194444402</v>
      </c>
      <c r="J3258" s="23" t="str">
        <f>HYPERLINK("https://www.spark-marketing.ru/Card/Person/6402176", "ООО ""КОМПАНИЯ СТС""")</f>
        <v>ООО "КОМПАНИЯ СТС"</v>
      </c>
      <c r="K3258" s="24" t="s">
        <v>5653</v>
      </c>
      <c r="L3258" s="28" t="s">
        <v>51</v>
      </c>
      <c r="M3258" s="25">
        <v>607571</v>
      </c>
      <c r="N3258" s="27">
        <v>4.4999999999999998E-2</v>
      </c>
    </row>
    <row r="3259" spans="1:14" hidden="1" outlineLevel="1" x14ac:dyDescent="0.2">
      <c r="A3259" s="23" t="str">
        <f t="shared" si="54"/>
        <v>СПБ ГБПОУ "УОР № 2 (ТЕХНИКУМ)"</v>
      </c>
      <c r="B3259" s="24" t="s">
        <v>2322</v>
      </c>
      <c r="C3259" s="25">
        <v>636200</v>
      </c>
      <c r="D3259" s="22" t="s">
        <v>5651</v>
      </c>
      <c r="E3259" s="22" t="s">
        <v>51</v>
      </c>
      <c r="F3259" s="23" t="str">
        <f t="shared" si="55"/>
        <v>Оказание услуг по предоставлению проживания, питания, спортивных сооружений при проведении тренировочных мероприятий к Кубку России, Кубку Союза конькобежцев России, Первенству России и зональному Первенству России для занимающихся отделения "Конько...</v>
      </c>
      <c r="G3259" s="22" t="s">
        <v>117</v>
      </c>
      <c r="H3259" s="22" t="s">
        <v>117</v>
      </c>
      <c r="I3259" s="26">
        <v>43720.538194444402</v>
      </c>
      <c r="J3259" s="23" t="str">
        <f>HYPERLINK("https://www.spark-marketing.ru/Card/Person/4358897", "ООО ""ТРИНИТИ ТРЕВЕЛ""")</f>
        <v>ООО "ТРИНИТИ ТРЕВЕЛ"</v>
      </c>
      <c r="K3259" s="24" t="s">
        <v>2483</v>
      </c>
      <c r="L3259" s="28" t="s">
        <v>51</v>
      </c>
      <c r="M3259" s="25">
        <v>620295</v>
      </c>
      <c r="N3259" s="27">
        <v>2.5000000000000001E-2</v>
      </c>
    </row>
    <row r="3260" spans="1:14" hidden="1" outlineLevel="1" x14ac:dyDescent="0.2">
      <c r="A3260" s="23" t="str">
        <f t="shared" si="54"/>
        <v>СПБ ГБПОУ "УОР № 2 (ТЕХНИКУМ)"</v>
      </c>
      <c r="B3260" s="24" t="s">
        <v>2322</v>
      </c>
      <c r="C3260" s="25">
        <v>636200</v>
      </c>
      <c r="D3260" s="22" t="s">
        <v>5651</v>
      </c>
      <c r="E3260" s="22" t="s">
        <v>51</v>
      </c>
      <c r="F3260" s="23" t="str">
        <f t="shared" si="55"/>
        <v>Оказание услуг по предоставлению проживания, питания, спортивных сооружений при проведении тренировочных мероприятий к Кубку России, Кубку Союза конькобежцев России, Первенству России и зональному Первенству России для занимающихся отделения "Конько...</v>
      </c>
      <c r="G3260" s="22" t="s">
        <v>117</v>
      </c>
      <c r="H3260" s="22" t="s">
        <v>117</v>
      </c>
      <c r="I3260" s="26">
        <v>43720.538194444402</v>
      </c>
      <c r="J3260" s="23" t="str">
        <f>HYPERLINK("https://www.spark-marketing.ru/Card/Person/4953167", "ООО ""ЮПИТЕР""")</f>
        <v>ООО "ЮПИТЕР"</v>
      </c>
      <c r="K3260" s="24" t="s">
        <v>2324</v>
      </c>
      <c r="L3260" s="28" t="s">
        <v>51</v>
      </c>
      <c r="M3260" s="25">
        <v>569399</v>
      </c>
      <c r="N3260" s="27">
        <v>0.105</v>
      </c>
    </row>
    <row r="3261" spans="1:14" hidden="1" outlineLevel="1" x14ac:dyDescent="0.2">
      <c r="A3261" s="23" t="str">
        <f t="shared" si="54"/>
        <v>СПБ ГБПОУ "УОР № 2 (ТЕХНИКУМ)"</v>
      </c>
      <c r="B3261" s="24" t="s">
        <v>2322</v>
      </c>
      <c r="C3261" s="25">
        <v>636200</v>
      </c>
      <c r="D3261" s="22" t="s">
        <v>5651</v>
      </c>
      <c r="E3261" s="22" t="s">
        <v>51</v>
      </c>
      <c r="F3261" s="23" t="str">
        <f t="shared" si="55"/>
        <v>Оказание услуг по предоставлению проживания, питания, спортивных сооружений при проведении тренировочных мероприятий к Кубку России, Кубку Союза конькобежцев России, Первенству России и зональному Первенству России для занимающихся отделения "Конько...</v>
      </c>
      <c r="G3261" s="22" t="s">
        <v>117</v>
      </c>
      <c r="H3261" s="22" t="s">
        <v>117</v>
      </c>
      <c r="I3261" s="26">
        <v>43720.538194444402</v>
      </c>
      <c r="J3261" s="23" t="str">
        <f>HYPERLINK("https://www.spark-marketing.ru/Card/Person/4919842", "ООО ""МАКСИ КО""")</f>
        <v>ООО "МАКСИ КО"</v>
      </c>
      <c r="K3261" s="24" t="s">
        <v>4581</v>
      </c>
      <c r="L3261" s="28" t="s">
        <v>51</v>
      </c>
      <c r="M3261" s="25">
        <v>550312.6</v>
      </c>
      <c r="N3261" s="27">
        <v>0.13500062873310278</v>
      </c>
    </row>
    <row r="3262" spans="1:14" hidden="1" outlineLevel="1" x14ac:dyDescent="0.2">
      <c r="A3262" s="23" t="str">
        <f t="shared" si="54"/>
        <v>СПБ ГБПОУ "УОР № 2 (ТЕХНИКУМ)"</v>
      </c>
      <c r="B3262" s="24" t="s">
        <v>2322</v>
      </c>
      <c r="C3262" s="25">
        <v>636200</v>
      </c>
      <c r="D3262" s="22" t="s">
        <v>5651</v>
      </c>
      <c r="E3262" s="22" t="s">
        <v>51</v>
      </c>
      <c r="F3262" s="23" t="str">
        <f t="shared" si="55"/>
        <v>Оказание услуг по предоставлению проживания, питания, спортивных сооружений при проведении тренировочных мероприятий к Кубку России, Кубку Союза конькобежцев России, Первенству России и зональному Первенству России для занимающихся отделения "Конько...</v>
      </c>
      <c r="G3262" s="22" t="s">
        <v>117</v>
      </c>
      <c r="H3262" s="22" t="s">
        <v>117</v>
      </c>
      <c r="I3262" s="26">
        <v>43720.538194444402</v>
      </c>
      <c r="J3262" s="23" t="str">
        <f>HYPERLINK("https://www.spark-marketing.ru/Card/Person/6369393", "ООО ""ВЕКТОР ГРУПП""")</f>
        <v>ООО "ВЕКТОР ГРУПП"</v>
      </c>
      <c r="K3262" s="24" t="s">
        <v>4733</v>
      </c>
      <c r="L3262" s="28" t="s">
        <v>51</v>
      </c>
      <c r="M3262" s="25">
        <v>559856</v>
      </c>
      <c r="N3262" s="27">
        <v>0.12</v>
      </c>
    </row>
    <row r="3263" spans="1:14" x14ac:dyDescent="0.15">
      <c r="A3263" s="23" t="str">
        <f>HYPERLINK("https://www.spark-marketing.ru/Card/Person/107096", "ФКУ ДПО КИРОВСКИЙ ИПКР ФСИН РОССИИ")</f>
        <v>ФКУ ДПО КИРОВСКИЙ ИПКР ФСИН РОССИИ</v>
      </c>
      <c r="B3263" s="24" t="s">
        <v>5654</v>
      </c>
      <c r="C3263" s="25">
        <v>1000000</v>
      </c>
      <c r="D3263" s="22" t="s">
        <v>5655</v>
      </c>
      <c r="E3263" s="22" t="s">
        <v>48</v>
      </c>
      <c r="F3263" s="23" t="str">
        <f>HYPERLINK("https://www.spark-marketing.ru/Card/Lot/73380224", "Услуги по организации питания")</f>
        <v>Услуги по организации питания</v>
      </c>
      <c r="G3263" s="22" t="s">
        <v>224</v>
      </c>
      <c r="H3263" s="22" t="s">
        <v>225</v>
      </c>
      <c r="I3263" s="26">
        <v>43720.523611111101</v>
      </c>
      <c r="J3263" s="23" t="str">
        <f>HYPERLINK("https://www.spark-marketing.ru/Card/Person/5900796", "ООО ""ШАФРАН""")</f>
        <v>ООО "ШАФРАН"</v>
      </c>
      <c r="K3263" s="24" t="s">
        <v>5656</v>
      </c>
      <c r="L3263" s="22" t="s">
        <v>10</v>
      </c>
      <c r="M3263" s="28" t="s">
        <v>51</v>
      </c>
      <c r="N3263" s="28" t="s">
        <v>51</v>
      </c>
    </row>
    <row r="3264" spans="1:14" x14ac:dyDescent="0.15">
      <c r="A3264" s="23" t="str">
        <f>HYPERLINK("https://www.spark-marketing.ru/Card/Person/4347351", "ДАЛЬНЕВОСТОЧНОЕ ТАМОЖЕННОЕ УПРАВЛЕНИЕ")</f>
        <v>ДАЛЬНЕВОСТОЧНОЕ ТАМОЖЕННОЕ УПРАВЛЕНИЕ</v>
      </c>
      <c r="B3264" s="24" t="s">
        <v>5657</v>
      </c>
      <c r="C3264" s="25">
        <v>125300</v>
      </c>
      <c r="D3264" s="22" t="s">
        <v>5658</v>
      </c>
      <c r="E3264" s="22" t="s">
        <v>48</v>
      </c>
      <c r="F3264" s="23" t="str">
        <f>HYPERLINK("https://www.spark-marketing.ru/Card/Lot/73373661",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3264" s="22" t="s">
        <v>543</v>
      </c>
      <c r="H3264" s="22" t="s">
        <v>1440</v>
      </c>
      <c r="I3264" s="26">
        <v>43720.535983796297</v>
      </c>
      <c r="J3264" s="28" t="s">
        <v>51</v>
      </c>
      <c r="K3264" s="28" t="s">
        <v>51</v>
      </c>
      <c r="L3264" s="28" t="s">
        <v>51</v>
      </c>
      <c r="M3264" s="28" t="s">
        <v>51</v>
      </c>
      <c r="N3264" s="28" t="s">
        <v>51</v>
      </c>
    </row>
    <row r="3265" spans="1:14" x14ac:dyDescent="0.15">
      <c r="A3265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3265" s="24" t="s">
        <v>5659</v>
      </c>
      <c r="C3265" s="25">
        <v>350000</v>
      </c>
      <c r="D3265" s="22" t="s">
        <v>5660</v>
      </c>
      <c r="E3265" s="22" t="s">
        <v>48</v>
      </c>
      <c r="F3265" s="23" t="str">
        <f>HYPERLINK("https://www.spark-marketing.ru/Card/Lot/73365647", "Оказание услуг по организации ежедневного трехразового горячего питания спецконтингента содержащегося в в ИВС Мильковского МО МВД России по Камчатскому краю")</f>
        <v>Оказание услуг по организации ежедневного трехразового горячего питания спецконтингента содержащегося в в ИВС Мильковского МО МВД России по Камчатскому краю</v>
      </c>
      <c r="G3265" s="22" t="s">
        <v>246</v>
      </c>
      <c r="H3265" s="22" t="s">
        <v>5661</v>
      </c>
      <c r="I3265" s="26">
        <v>43720.467361111099</v>
      </c>
      <c r="J3265" s="23" t="str">
        <f>HYPERLINK("https://www.spark-marketing.ru/Card/Person/135051", "ФКУ ИК-7 УФСИН РОССИИ ПО КАМЧАТСКОМУ КРАЮ")</f>
        <v>ФКУ ИК-7 УФСИН РОССИИ ПО КАМЧАТСКОМУ КРАЮ</v>
      </c>
      <c r="K3265" s="24" t="s">
        <v>5662</v>
      </c>
      <c r="L3265" s="22" t="s">
        <v>10</v>
      </c>
      <c r="M3265" s="28" t="s">
        <v>51</v>
      </c>
      <c r="N3265" s="28" t="s">
        <v>51</v>
      </c>
    </row>
    <row r="3266" spans="1:14" x14ac:dyDescent="0.15">
      <c r="A3266" s="23" t="str">
        <f>HYPERLINK("https://www.spark-marketing.ru/Card/Person/947002", "ОМВД РОССИИ ПО Г.АРТЕМУ")</f>
        <v>ОМВД РОССИИ ПО Г.АРТЕМУ</v>
      </c>
      <c r="B3266" s="24" t="s">
        <v>5663</v>
      </c>
      <c r="C3266" s="25">
        <v>406640</v>
      </c>
      <c r="D3266" s="22" t="s">
        <v>5664</v>
      </c>
      <c r="E3266" s="22" t="s">
        <v>48</v>
      </c>
      <c r="F3266" s="23" t="str">
        <f>HYPERLINK("https://www.spark-marketing.ru/Card/Lot/73367200", "услуги по организации горячего питания лиц, содержащихся в ИВС ОМВД России по г.Артему")</f>
        <v>услуги по организации горячего питания лиц, содержащихся в ИВС ОМВД России по г.Артему</v>
      </c>
      <c r="G3266" s="22" t="s">
        <v>543</v>
      </c>
      <c r="H3266" s="22" t="s">
        <v>5665</v>
      </c>
      <c r="I3266" s="26">
        <v>43720.46875</v>
      </c>
      <c r="J3266" s="23" t="str">
        <f>HYPERLINK("https://www.spark-marketing.ru/Card/Person/208283", "Кабатова Ирина Степановна")</f>
        <v>Кабатова Ирина Степановна</v>
      </c>
      <c r="K3266" s="24" t="s">
        <v>5666</v>
      </c>
      <c r="L3266" s="22" t="s">
        <v>10</v>
      </c>
      <c r="M3266" s="28" t="s">
        <v>51</v>
      </c>
      <c r="N3266" s="28" t="s">
        <v>51</v>
      </c>
    </row>
    <row r="3267" spans="1:14" x14ac:dyDescent="0.15">
      <c r="A3267" s="23" t="str">
        <f>HYPERLINK("https://www.spark-marketing.ru/Card/Person/1778056", "МАДОУ ""ДЕТСКИЙ САД № 43""")</f>
        <v>МАДОУ "ДЕТСКИЙ САД № 43"</v>
      </c>
      <c r="B3267" s="24" t="s">
        <v>5667</v>
      </c>
      <c r="C3267" s="25">
        <v>24220730</v>
      </c>
      <c r="D3267" s="22" t="s">
        <v>5668</v>
      </c>
      <c r="E3267" s="22" t="s">
        <v>48</v>
      </c>
      <c r="F3267" s="23" t="str">
        <f>HYPERLINK("https://www.spark-marketing.ru/Card/Lot/73388769", "на оказание услуг по организации горячего питания в МАДОУ № 43")</f>
        <v>на оказание услуг по организации горячего питания в МАДОУ № 43</v>
      </c>
      <c r="G3267" s="22" t="s">
        <v>49</v>
      </c>
      <c r="H3267" s="22" t="s">
        <v>301</v>
      </c>
      <c r="I3267" s="26">
        <v>43720.498368055603</v>
      </c>
      <c r="J3267" s="28" t="s">
        <v>51</v>
      </c>
      <c r="K3267" s="28" t="s">
        <v>51</v>
      </c>
      <c r="L3267" s="28" t="s">
        <v>51</v>
      </c>
      <c r="M3267" s="28" t="s">
        <v>51</v>
      </c>
      <c r="N3267" s="28" t="s">
        <v>51</v>
      </c>
    </row>
    <row r="3268" spans="1:14" ht="12.75" hidden="1" outlineLevel="1" x14ac:dyDescent="0.2">
      <c r="A3268" s="23" t="str">
        <f>HYPERLINK("https://www.spark-marketing.ru/Card/Person/1778056", "МАДОУ ""ДЕТСКИЙ САД № 43""")</f>
        <v>МАДОУ "ДЕТСКИЙ САД № 43"</v>
      </c>
      <c r="B3268" s="24" t="s">
        <v>5667</v>
      </c>
      <c r="C3268" s="25">
        <v>24220730</v>
      </c>
      <c r="D3268" s="22" t="s">
        <v>5668</v>
      </c>
      <c r="E3268" s="22" t="s">
        <v>48</v>
      </c>
      <c r="F3268" s="23" t="str">
        <f>HYPERLINK("https://www.spark-marketing.ru/Card/Lot/73388769", "на оказание услуг по организации горячего питания в МАДОУ № 43")</f>
        <v>на оказание услуг по организации горячего питания в МАДОУ № 43</v>
      </c>
      <c r="G3268" s="22" t="s">
        <v>49</v>
      </c>
      <c r="H3268" s="22" t="s">
        <v>301</v>
      </c>
      <c r="I3268" s="26">
        <v>43720.498368055603</v>
      </c>
      <c r="J3268" s="23" t="str">
        <f>HYPERLINK("https://www.spark-marketing.ru/Card/Person/70733", "ООО ""ПЛАНЕТА ВКУСА""")</f>
        <v>ООО "ПЛАНЕТА ВКУСА"</v>
      </c>
      <c r="K3268" s="24" t="s">
        <v>4502</v>
      </c>
      <c r="L3268" s="22" t="s">
        <v>10</v>
      </c>
      <c r="M3268" s="25">
        <v>22999630</v>
      </c>
      <c r="N3268" s="27">
        <v>5.0415491192874862E-2</v>
      </c>
    </row>
    <row r="3269" spans="1:14" hidden="1" outlineLevel="1" x14ac:dyDescent="0.2">
      <c r="A3269" s="23" t="str">
        <f>HYPERLINK("https://www.spark-marketing.ru/Card/Person/1778056", "МАДОУ ""ДЕТСКИЙ САД № 43""")</f>
        <v>МАДОУ "ДЕТСКИЙ САД № 43"</v>
      </c>
      <c r="B3269" s="24" t="s">
        <v>5667</v>
      </c>
      <c r="C3269" s="25">
        <v>24220730</v>
      </c>
      <c r="D3269" s="22" t="s">
        <v>5668</v>
      </c>
      <c r="E3269" s="22" t="s">
        <v>48</v>
      </c>
      <c r="F3269" s="23" t="str">
        <f>HYPERLINK("https://www.spark-marketing.ru/Card/Lot/73388769", "на оказание услуг по организации горячего питания в МАДОУ № 43")</f>
        <v>на оказание услуг по организации горячего питания в МАДОУ № 43</v>
      </c>
      <c r="G3269" s="22" t="s">
        <v>49</v>
      </c>
      <c r="H3269" s="22" t="s">
        <v>301</v>
      </c>
      <c r="I3269" s="26">
        <v>43720.498368055603</v>
      </c>
      <c r="J3269" s="23" t="str">
        <f>HYPERLINK("https://www.spark-marketing.ru/Card/Person/100937", "ООО ""ВЕРТИКАЛЬ""")</f>
        <v>ООО "ВЕРТИКАЛЬ"</v>
      </c>
      <c r="K3269" s="24" t="s">
        <v>4501</v>
      </c>
      <c r="L3269" s="28" t="s">
        <v>51</v>
      </c>
      <c r="M3269" s="25">
        <v>23009693.5</v>
      </c>
      <c r="N3269" s="27">
        <v>0.05</v>
      </c>
    </row>
    <row r="3270" spans="1:14" x14ac:dyDescent="0.15">
      <c r="A3270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3270" s="24" t="s">
        <v>4297</v>
      </c>
      <c r="C3270" s="25">
        <v>100000</v>
      </c>
      <c r="D3270" s="22" t="s">
        <v>5669</v>
      </c>
      <c r="E3270" s="22" t="s">
        <v>48</v>
      </c>
      <c r="F3270" s="23" t="str">
        <f>HYPERLINK("https://www.spark-marketing.ru/Card/Lot/73366997", "Оказание услуг по организации питания граждан пожилого возраста в рамках проведения мероприятий посвященных Международному дню пожилых людей")</f>
        <v>Оказание услуг по организации питания граждан пожилого возраста в рамках проведения мероприятий посвященных Международному дню пожилых людей</v>
      </c>
      <c r="G3270" s="22" t="s">
        <v>1096</v>
      </c>
      <c r="H3270" s="22" t="s">
        <v>4299</v>
      </c>
      <c r="I3270" s="26">
        <v>43720.4819444444</v>
      </c>
      <c r="J3270" s="23" t="str">
        <f>HYPERLINK("https://www.spark-marketing.ru/Card/Person/4704071", "Рожина Наталья Александровна")</f>
        <v>Рожина Наталья Александровна</v>
      </c>
      <c r="K3270" s="24" t="s">
        <v>5670</v>
      </c>
      <c r="L3270" s="28" t="s">
        <v>51</v>
      </c>
      <c r="M3270" s="28" t="s">
        <v>51</v>
      </c>
      <c r="N3270" s="28" t="s">
        <v>51</v>
      </c>
    </row>
    <row r="3271" spans="1:14" ht="12.75" hidden="1" outlineLevel="1" x14ac:dyDescent="0.2">
      <c r="A3271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3271" s="24" t="s">
        <v>4297</v>
      </c>
      <c r="C3271" s="25">
        <v>100000</v>
      </c>
      <c r="D3271" s="22" t="s">
        <v>5669</v>
      </c>
      <c r="E3271" s="22" t="s">
        <v>48</v>
      </c>
      <c r="F3271" s="23" t="str">
        <f>HYPERLINK("https://www.spark-marketing.ru/Card/Lot/73366997", "Оказание услуг по организации питания граждан пожилого возраста в рамках проведения мероприятий посвященных Международному дню пожилых людей")</f>
        <v>Оказание услуг по организации питания граждан пожилого возраста в рамках проведения мероприятий посвященных Международному дню пожилых людей</v>
      </c>
      <c r="G3271" s="22" t="s">
        <v>1096</v>
      </c>
      <c r="H3271" s="22" t="s">
        <v>4299</v>
      </c>
      <c r="I3271" s="26">
        <v>43720.4819444444</v>
      </c>
      <c r="J3271" s="23" t="str">
        <f>HYPERLINK("https://www.spark-marketing.ru/Card/Person/4704071", "Рожина Наталья Александровна")</f>
        <v>Рожина Наталья Александровна</v>
      </c>
      <c r="K3271" s="24" t="s">
        <v>5670</v>
      </c>
      <c r="L3271" s="22" t="s">
        <v>10</v>
      </c>
      <c r="M3271" s="25">
        <v>99500</v>
      </c>
      <c r="N3271" s="27">
        <v>5.0000000000000001E-3</v>
      </c>
    </row>
    <row r="3272" spans="1:14" x14ac:dyDescent="0.15">
      <c r="A3272" s="23" t="str">
        <f>HYPERLINK("https://www.spark-marketing.ru/Card/Person/107267", "УМВД РОССИИ ПО Г. СУРГУТУ")</f>
        <v>УМВД РОССИИ ПО Г. СУРГУТУ</v>
      </c>
      <c r="B3272" s="24" t="s">
        <v>5245</v>
      </c>
      <c r="C3272" s="25">
        <v>290000</v>
      </c>
      <c r="D3272" s="22" t="s">
        <v>5671</v>
      </c>
      <c r="E3272" s="22" t="s">
        <v>48</v>
      </c>
      <c r="F3272" s="23" t="str">
        <f>HYPERLINK("https://www.spark-marketing.ru/Card/Lot/73371957", "Услуги по обеспечению питанием, осуществляемые по договору, 1160 усл. ед")</f>
        <v>Услуги по обеспечению питанием, осуществляемые по договору, 1160 усл. ед</v>
      </c>
      <c r="G3272" s="22" t="s">
        <v>97</v>
      </c>
      <c r="H3272" s="22" t="s">
        <v>3533</v>
      </c>
      <c r="I3272" s="26">
        <v>43720.488055555601</v>
      </c>
      <c r="J3272" s="28" t="s">
        <v>51</v>
      </c>
      <c r="K3272" s="28" t="s">
        <v>51</v>
      </c>
      <c r="L3272" s="28" t="s">
        <v>51</v>
      </c>
      <c r="M3272" s="28" t="s">
        <v>51</v>
      </c>
      <c r="N3272" s="28" t="s">
        <v>51</v>
      </c>
    </row>
    <row r="3273" spans="1:14" x14ac:dyDescent="0.15">
      <c r="A3273" s="23" t="str">
        <f>HYPERLINK("https://www.spark-marketing.ru/Card/Person/107267", "УМВД РОССИИ ПО Г. СУРГУТУ")</f>
        <v>УМВД РОССИИ ПО Г. СУРГУТУ</v>
      </c>
      <c r="B3273" s="24" t="s">
        <v>5245</v>
      </c>
      <c r="C3273" s="25">
        <v>290000</v>
      </c>
      <c r="D3273" s="22" t="s">
        <v>5672</v>
      </c>
      <c r="E3273" s="22" t="s">
        <v>48</v>
      </c>
      <c r="F3273" s="23" t="str">
        <f>HYPERLINK("https://www.spark-marketing.ru/Card/Lot/73371825", "Услуги по обеспечению питанием, осуществляемые по договору, 1160 усл. ед")</f>
        <v>Услуги по обеспечению питанием, осуществляемые по договору, 1160 усл. ед</v>
      </c>
      <c r="G3273" s="22" t="s">
        <v>97</v>
      </c>
      <c r="H3273" s="22" t="s">
        <v>3533</v>
      </c>
      <c r="I3273" s="26">
        <v>43720.477037037002</v>
      </c>
      <c r="J3273" s="28" t="s">
        <v>51</v>
      </c>
      <c r="K3273" s="28" t="s">
        <v>51</v>
      </c>
      <c r="L3273" s="28" t="s">
        <v>51</v>
      </c>
      <c r="M3273" s="28" t="s">
        <v>51</v>
      </c>
      <c r="N3273" s="28" t="s">
        <v>51</v>
      </c>
    </row>
    <row r="3274" spans="1:14" x14ac:dyDescent="0.15">
      <c r="A3274" s="23" t="str">
        <f>HYPERLINK("https://www.spark-marketing.ru/Card/Person/152767", "МБДОУ ""ДЕТСКИЙ САД №49""")</f>
        <v>МБДОУ "ДЕТСКИЙ САД №49"</v>
      </c>
      <c r="B3274" s="24" t="s">
        <v>5673</v>
      </c>
      <c r="C3274" s="25">
        <v>19336234</v>
      </c>
      <c r="D3274" s="22" t="s">
        <v>5674</v>
      </c>
      <c r="E3274" s="22" t="s">
        <v>48</v>
      </c>
      <c r="F3274" s="23" t="str">
        <f>HYPERLINK("https://www.spark-marketing.ru/Card/Lot/73388761", "на оказание услуг по организации горячего питания в МБДОУ№49")</f>
        <v>на оказание услуг по организации горячего питания в МБДОУ№49</v>
      </c>
      <c r="G3274" s="22" t="s">
        <v>49</v>
      </c>
      <c r="H3274" s="22" t="s">
        <v>301</v>
      </c>
      <c r="I3274" s="26">
        <v>43720.495682870402</v>
      </c>
      <c r="J3274" s="28" t="s">
        <v>51</v>
      </c>
      <c r="K3274" s="28" t="s">
        <v>51</v>
      </c>
      <c r="L3274" s="28" t="s">
        <v>51</v>
      </c>
      <c r="M3274" s="28" t="s">
        <v>51</v>
      </c>
      <c r="N3274" s="28" t="s">
        <v>51</v>
      </c>
    </row>
    <row r="3275" spans="1:14" hidden="1" outlineLevel="1" x14ac:dyDescent="0.2">
      <c r="A3275" s="23" t="str">
        <f>HYPERLINK("https://www.spark-marketing.ru/Card/Person/152767", "МБДОУ ""ДЕТСКИЙ САД №49""")</f>
        <v>МБДОУ "ДЕТСКИЙ САД №49"</v>
      </c>
      <c r="B3275" s="24" t="s">
        <v>5673</v>
      </c>
      <c r="C3275" s="25">
        <v>19336234</v>
      </c>
      <c r="D3275" s="22" t="s">
        <v>5674</v>
      </c>
      <c r="E3275" s="22" t="s">
        <v>48</v>
      </c>
      <c r="F3275" s="23" t="str">
        <f>HYPERLINK("https://www.spark-marketing.ru/Card/Lot/73388761", "на оказание услуг по организации горячего питания в МБДОУ№49")</f>
        <v>на оказание услуг по организации горячего питания в МБДОУ№49</v>
      </c>
      <c r="G3275" s="22" t="s">
        <v>49</v>
      </c>
      <c r="H3275" s="22" t="s">
        <v>301</v>
      </c>
      <c r="I3275" s="26">
        <v>43720.495682870402</v>
      </c>
      <c r="J3275" s="23" t="str">
        <f>HYPERLINK("https://www.spark-marketing.ru/Card/Person/100937", "ООО ""ВЕРТИКАЛЬ""")</f>
        <v>ООО "ВЕРТИКАЛЬ"</v>
      </c>
      <c r="K3275" s="24" t="s">
        <v>4501</v>
      </c>
      <c r="L3275" s="28" t="s">
        <v>51</v>
      </c>
      <c r="M3275" s="25">
        <v>17789335.280000001</v>
      </c>
      <c r="N3275" s="27">
        <v>0.08</v>
      </c>
    </row>
    <row r="3276" spans="1:14" ht="12.75" hidden="1" outlineLevel="1" x14ac:dyDescent="0.2">
      <c r="A3276" s="23" t="str">
        <f>HYPERLINK("https://www.spark-marketing.ru/Card/Person/152767", "МБДОУ ""ДЕТСКИЙ САД №49""")</f>
        <v>МБДОУ "ДЕТСКИЙ САД №49"</v>
      </c>
      <c r="B3276" s="24" t="s">
        <v>5673</v>
      </c>
      <c r="C3276" s="25">
        <v>19336234</v>
      </c>
      <c r="D3276" s="22" t="s">
        <v>5674</v>
      </c>
      <c r="E3276" s="22" t="s">
        <v>48</v>
      </c>
      <c r="F3276" s="23" t="str">
        <f>HYPERLINK("https://www.spark-marketing.ru/Card/Lot/73388761", "на оказание услуг по организации горячего питания в МБДОУ№49")</f>
        <v>на оказание услуг по организации горячего питания в МБДОУ№49</v>
      </c>
      <c r="G3276" s="22" t="s">
        <v>49</v>
      </c>
      <c r="H3276" s="22" t="s">
        <v>301</v>
      </c>
      <c r="I3276" s="26">
        <v>43720.495682870402</v>
      </c>
      <c r="J3276" s="23" t="str">
        <f>HYPERLINK("https://www.spark-marketing.ru/Card/Person/70733", "ООО ""ПЛАНЕТА ВКУСА""")</f>
        <v>ООО "ПЛАНЕТА ВКУСА"</v>
      </c>
      <c r="K3276" s="24" t="s">
        <v>4502</v>
      </c>
      <c r="L3276" s="22" t="s">
        <v>10</v>
      </c>
      <c r="M3276" s="25">
        <v>18337788</v>
      </c>
      <c r="N3276" s="27">
        <v>5.1636011438421774E-2</v>
      </c>
    </row>
    <row r="3277" spans="1:14" x14ac:dyDescent="0.15">
      <c r="A3277" s="23" t="str">
        <f>HYPERLINK("https://www.spark-marketing.ru/Card/Person/107267", "УМВД РОССИИ ПО Г. СУРГУТУ")</f>
        <v>УМВД РОССИИ ПО Г. СУРГУТУ</v>
      </c>
      <c r="B3277" s="24" t="s">
        <v>5245</v>
      </c>
      <c r="C3277" s="25">
        <v>290000</v>
      </c>
      <c r="D3277" s="22" t="s">
        <v>5675</v>
      </c>
      <c r="E3277" s="22" t="s">
        <v>48</v>
      </c>
      <c r="F3277" s="23" t="str">
        <f>HYPERLINK("https://www.spark-marketing.ru/Card/Lot/73371454", "Услуги по обеспечению питанием, осуществляемые по договору, 1160 усл. ед")</f>
        <v>Услуги по обеспечению питанием, осуществляемые по договору, 1160 усл. ед</v>
      </c>
      <c r="G3277" s="22" t="s">
        <v>97</v>
      </c>
      <c r="H3277" s="22" t="s">
        <v>3533</v>
      </c>
      <c r="I3277" s="26">
        <v>43720.471967592603</v>
      </c>
      <c r="J3277" s="28" t="s">
        <v>51</v>
      </c>
      <c r="K3277" s="28" t="s">
        <v>51</v>
      </c>
      <c r="L3277" s="28" t="s">
        <v>51</v>
      </c>
      <c r="M3277" s="28" t="s">
        <v>51</v>
      </c>
      <c r="N3277" s="28" t="s">
        <v>51</v>
      </c>
    </row>
    <row r="3278" spans="1:14" x14ac:dyDescent="0.15">
      <c r="A3278" s="23" t="str">
        <f>HYPERLINK("https://www.spark-marketing.ru/Card/Person/107267", "УМВД РОССИИ ПО Г. СУРГУТУ")</f>
        <v>УМВД РОССИИ ПО Г. СУРГУТУ</v>
      </c>
      <c r="B3278" s="24" t="s">
        <v>5245</v>
      </c>
      <c r="C3278" s="25">
        <v>290000</v>
      </c>
      <c r="D3278" s="22" t="s">
        <v>5676</v>
      </c>
      <c r="E3278" s="22" t="s">
        <v>48</v>
      </c>
      <c r="F3278" s="23" t="str">
        <f>HYPERLINK("https://www.spark-marketing.ru/Card/Lot/73371464", "Услуги по обеспечению питанием, осуществляемые по договору, 1160 усл. ед")</f>
        <v>Услуги по обеспечению питанием, осуществляемые по договору, 1160 усл. ед</v>
      </c>
      <c r="G3278" s="22" t="s">
        <v>97</v>
      </c>
      <c r="H3278" s="22" t="s">
        <v>3533</v>
      </c>
      <c r="I3278" s="26">
        <v>43720.474976851903</v>
      </c>
      <c r="J3278" s="28" t="s">
        <v>51</v>
      </c>
      <c r="K3278" s="28" t="s">
        <v>51</v>
      </c>
      <c r="L3278" s="28" t="s">
        <v>51</v>
      </c>
      <c r="M3278" s="28" t="s">
        <v>51</v>
      </c>
      <c r="N3278" s="28" t="s">
        <v>51</v>
      </c>
    </row>
    <row r="3279" spans="1:14" x14ac:dyDescent="0.15">
      <c r="A3279" s="23" t="str">
        <f>HYPERLINK("https://www.spark-marketing.ru/Card/Person/947002", "ОМВД РОССИИ ПО Г.АРТЕМУ")</f>
        <v>ОМВД РОССИИ ПО Г.АРТЕМУ</v>
      </c>
      <c r="B3279" s="24" t="s">
        <v>5663</v>
      </c>
      <c r="C3279" s="25">
        <v>494520</v>
      </c>
      <c r="D3279" s="22" t="s">
        <v>5677</v>
      </c>
      <c r="E3279" s="22" t="s">
        <v>48</v>
      </c>
      <c r="F3279" s="23" t="str">
        <f>HYPERLINK("https://www.spark-marketing.ru/Card/Lot/73367141", "услуги по организации горячего питания лиц, содержащихся в Спецприемнике ОМВД России по г.Артему")</f>
        <v>услуги по организации горячего питания лиц, содержащихся в Спецприемнике ОМВД России по г.Артему</v>
      </c>
      <c r="G3279" s="22" t="s">
        <v>543</v>
      </c>
      <c r="H3279" s="22" t="s">
        <v>5665</v>
      </c>
      <c r="I3279" s="26">
        <v>43720.432638888902</v>
      </c>
      <c r="J3279" s="23" t="str">
        <f>HYPERLINK("https://www.spark-marketing.ru/Card/Person/208283", "Кабатова Ирина Степановна")</f>
        <v>Кабатова Ирина Степановна</v>
      </c>
      <c r="K3279" s="24" t="s">
        <v>5666</v>
      </c>
      <c r="L3279" s="22" t="s">
        <v>10</v>
      </c>
      <c r="M3279" s="28" t="s">
        <v>51</v>
      </c>
      <c r="N3279" s="28" t="s">
        <v>51</v>
      </c>
    </row>
    <row r="3280" spans="1:14" x14ac:dyDescent="0.15">
      <c r="A3280" s="23" t="str">
        <f>HYPERLINK("https://www.spark-marketing.ru/Card/Person/4347351", "ДАЛЬНЕВОСТОЧНОЕ ТАМОЖЕННОЕ УПРАВЛЕНИЕ")</f>
        <v>ДАЛЬНЕВОСТОЧНОЕ ТАМОЖЕННОЕ УПРАВЛЕНИЕ</v>
      </c>
      <c r="B3280" s="24" t="s">
        <v>5657</v>
      </c>
      <c r="C3280" s="25">
        <v>42000</v>
      </c>
      <c r="D3280" s="22" t="s">
        <v>5678</v>
      </c>
      <c r="E3280" s="22" t="s">
        <v>48</v>
      </c>
      <c r="F3280" s="23" t="str">
        <f>HYPERLINK("https://www.spark-marketing.ru/Card/Lot/73369654",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3280" s="22" t="s">
        <v>543</v>
      </c>
      <c r="H3280" s="22" t="s">
        <v>1440</v>
      </c>
      <c r="I3280" s="26">
        <v>43720.422719907401</v>
      </c>
      <c r="J3280" s="28" t="s">
        <v>51</v>
      </c>
      <c r="K3280" s="28" t="s">
        <v>51</v>
      </c>
      <c r="L3280" s="28" t="s">
        <v>51</v>
      </c>
      <c r="M3280" s="28" t="s">
        <v>51</v>
      </c>
      <c r="N3280" s="28" t="s">
        <v>51</v>
      </c>
    </row>
    <row r="3281" spans="1:14" x14ac:dyDescent="0.15">
      <c r="A3281" s="23" t="str">
        <f>HYPERLINK("https://www.spark-marketing.ru/Card/Person/539565", "ОМВД РОССИИ ПО ГОРОДСКОМУ ОКРУГУ ""ДОЛИНСКИЙ""")</f>
        <v>ОМВД РОССИИ ПО ГОРОДСКОМУ ОКРУГУ "ДОЛИНСКИЙ"</v>
      </c>
      <c r="B3281" s="24" t="s">
        <v>1938</v>
      </c>
      <c r="C3281" s="25">
        <v>1173750</v>
      </c>
      <c r="D3281" s="22" t="s">
        <v>5679</v>
      </c>
      <c r="E3281" s="22" t="s">
        <v>48</v>
      </c>
      <c r="F3281" s="23" t="str">
        <f>HYPERLINK("https://www.spark-marketing.ru/Card/Lot/73365645", "Оказание услуг по организации комплексного горячего трехразового питания в интересах ОМВД России по городскому округу ""Долинский"" на 2020 год.")</f>
        <v>Оказание услуг по организации комплексного горячего трехразового питания в интересах ОМВД России по городскому округу "Долинский" на 2020 год.</v>
      </c>
      <c r="G3281" s="22" t="s">
        <v>260</v>
      </c>
      <c r="H3281" s="22" t="s">
        <v>1940</v>
      </c>
      <c r="I3281" s="26">
        <v>43720.425000000003</v>
      </c>
      <c r="J3281" s="23" t="str">
        <f>HYPERLINK("https://www.spark-marketing.ru/Card/Person/564068", "ООО ""САХАЛИН-МОНТАЖ+""")</f>
        <v>ООО "САХАЛИН-МОНТАЖ+"</v>
      </c>
      <c r="K3281" s="24" t="s">
        <v>1941</v>
      </c>
      <c r="L3281" s="22" t="s">
        <v>10</v>
      </c>
      <c r="M3281" s="28" t="s">
        <v>51</v>
      </c>
      <c r="N3281" s="28" t="s">
        <v>51</v>
      </c>
    </row>
    <row r="3282" spans="1:14" x14ac:dyDescent="0.15">
      <c r="A3282" s="23" t="str">
        <f>HYPERLINK("https://www.spark-marketing.ru/Card/Person/118752", "МО МВД РОССИИ ""КАРГАТСКИЙ""")</f>
        <v>МО МВД РОССИИ "КАРГАТСКИЙ"</v>
      </c>
      <c r="B3282" s="24" t="s">
        <v>5680</v>
      </c>
      <c r="C3282" s="25">
        <v>50000</v>
      </c>
      <c r="D3282" s="22" t="s">
        <v>5681</v>
      </c>
      <c r="E3282" s="22" t="s">
        <v>48</v>
      </c>
      <c r="F3282" s="23" t="str">
        <f>HYPERLINK("https://www.spark-marketing.ru/Card/Lot/73370529", "Услуги по обеспечению питанием, осуществляемые по договору, 500 усл. ед")</f>
        <v>Услуги по обеспечению питанием, осуществляемые по договору, 500 усл. ед</v>
      </c>
      <c r="G3282" s="22" t="s">
        <v>195</v>
      </c>
      <c r="H3282" s="22" t="s">
        <v>2276</v>
      </c>
      <c r="I3282" s="26">
        <v>43720.434340277803</v>
      </c>
      <c r="J3282" s="28" t="s">
        <v>51</v>
      </c>
      <c r="K3282" s="28" t="s">
        <v>51</v>
      </c>
      <c r="L3282" s="28" t="s">
        <v>51</v>
      </c>
      <c r="M3282" s="28" t="s">
        <v>51</v>
      </c>
      <c r="N3282" s="28" t="s">
        <v>51</v>
      </c>
    </row>
    <row r="3283" spans="1:14" x14ac:dyDescent="0.15">
      <c r="A3283" s="23" t="str">
        <f>HYPERLINK("https://www.spark-marketing.ru/Card/Person/539565", "ОМВД РОССИИ ПО ГОРОДСКОМУ ОКРУГУ ""ДОЛИНСКИЙ""")</f>
        <v>ОМВД РОССИИ ПО ГОРОДСКОМУ ОКРУГУ "ДОЛИНСКИЙ"</v>
      </c>
      <c r="B3283" s="24" t="s">
        <v>1938</v>
      </c>
      <c r="C3283" s="25">
        <v>1173750</v>
      </c>
      <c r="D3283" s="22" t="s">
        <v>5682</v>
      </c>
      <c r="E3283" s="22" t="s">
        <v>48</v>
      </c>
      <c r="F3283" s="23" t="str">
        <f>HYPERLINK("https://www.spark-marketing.ru/Card/Lot/73365644", "Оказание услуг по организации комплексного горячего трехразового питания в интересах ОМВД России по городскому округу ""Долинский"" на 2021 год.")</f>
        <v>Оказание услуг по организации комплексного горячего трехразового питания в интересах ОМВД России по городскому округу "Долинский" на 2021 год.</v>
      </c>
      <c r="G3283" s="22" t="s">
        <v>260</v>
      </c>
      <c r="H3283" s="22" t="s">
        <v>260</v>
      </c>
      <c r="I3283" s="26">
        <v>43720.425000000003</v>
      </c>
      <c r="J3283" s="23" t="str">
        <f>HYPERLINK("https://www.spark-marketing.ru/Card/Person/564068", "ООО ""САХАЛИН-МОНТАЖ+""")</f>
        <v>ООО "САХАЛИН-МОНТАЖ+"</v>
      </c>
      <c r="K3283" s="24" t="s">
        <v>1941</v>
      </c>
      <c r="L3283" s="22" t="s">
        <v>10</v>
      </c>
      <c r="M3283" s="28" t="s">
        <v>51</v>
      </c>
      <c r="N3283" s="28" t="s">
        <v>51</v>
      </c>
    </row>
    <row r="3284" spans="1:14" x14ac:dyDescent="0.15">
      <c r="A3284" s="23" t="str">
        <f>HYPERLINK("https://www.spark-marketing.ru/Card/Person/120971", "АДМИНИСТРАЦИЯ ЮЖНОГО ВНУТРИГОРОДСКОГО РАЙОНА Г.НОВОРОССИЙСКА")</f>
        <v>АДМИНИСТРАЦИЯ ЮЖНОГО ВНУТРИГОРОДСКОГО РАЙОНА Г.НОВОРОССИЙСКА</v>
      </c>
      <c r="B3284" s="24" t="s">
        <v>5683</v>
      </c>
      <c r="C3284" s="25">
        <v>27000</v>
      </c>
      <c r="D3284" s="22" t="s">
        <v>5684</v>
      </c>
      <c r="E3284" s="22" t="s">
        <v>48</v>
      </c>
      <c r="F3284" s="23" t="str">
        <f>HYPERLINK("https://www.spark-marketing.ru/Card/Lot/73369613",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3284" s="22" t="s">
        <v>104</v>
      </c>
      <c r="H3284" s="22" t="s">
        <v>1689</v>
      </c>
      <c r="I3284" s="26">
        <v>43720.415347222202</v>
      </c>
      <c r="J3284" s="28" t="s">
        <v>51</v>
      </c>
      <c r="K3284" s="28" t="s">
        <v>51</v>
      </c>
      <c r="L3284" s="28" t="s">
        <v>51</v>
      </c>
      <c r="M3284" s="28" t="s">
        <v>51</v>
      </c>
      <c r="N3284" s="28" t="s">
        <v>51</v>
      </c>
    </row>
    <row r="3285" spans="1:14" x14ac:dyDescent="0.15">
      <c r="A3285" s="23" t="str">
        <f>HYPERLINK("https://www.spark-marketing.ru/Card/Person/29704", "УПРАВЛЕНИЕ МВД РОССИИ ПО Г.САМАРЕ")</f>
        <v>УПРАВЛЕНИЕ МВД РОССИИ ПО Г.САМАРЕ</v>
      </c>
      <c r="B3285" s="24" t="s">
        <v>5685</v>
      </c>
      <c r="C3285" s="25">
        <v>707472</v>
      </c>
      <c r="D3285" s="22" t="s">
        <v>5686</v>
      </c>
      <c r="E3285" s="22" t="s">
        <v>48</v>
      </c>
      <c r="F3285" s="23" t="str">
        <f>HYPERLINK("https://www.spark-marketing.ru/Card/Lot/73372119", "Оказание услуг по ежедневной организации трехразового питания для административно арестованных граждан,содержащихся в специальном приемнике,лиц содержащихся в ИВС,лиц задержанных в административном порядке сроком более 3-х часов в КАЗ")</f>
        <v>Оказание услуг по ежедневной организации трехразового питания для административно арестованных граждан,содержащихся в специальном приемнике,лиц содержащихся в ИВС,лиц задержанных в административном порядке сроком более 3-х часов в КАЗ</v>
      </c>
      <c r="G3285" s="22" t="s">
        <v>128</v>
      </c>
      <c r="H3285" s="22" t="s">
        <v>129</v>
      </c>
      <c r="I3285" s="26">
        <v>43720.3972222222</v>
      </c>
      <c r="J3285" s="23" t="str">
        <f>HYPERLINK("https://www.spark-marketing.ru/Card/Person/6085428", "ООО ""ДЕЛОВЫЕ УСЛУГИ""")</f>
        <v>ООО "ДЕЛОВЫЕ УСЛУГИ"</v>
      </c>
      <c r="K3285" s="24" t="s">
        <v>5687</v>
      </c>
      <c r="L3285" s="22" t="s">
        <v>10</v>
      </c>
      <c r="M3285" s="28" t="s">
        <v>51</v>
      </c>
      <c r="N3285" s="28" t="s">
        <v>51</v>
      </c>
    </row>
    <row r="3286" spans="1:14" x14ac:dyDescent="0.15">
      <c r="A3286" s="23" t="str">
        <f>HYPERLINK("https://www.spark-marketing.ru/Card/Person/13630", "ФКУ ""ЦХИСО ГУ МВД РОССИИ ПО НИЖЕГОРОДСКОЙ ОБЛАСТИ""")</f>
        <v>ФКУ "ЦХИСО ГУ МВД РОССИИ ПО НИЖЕГОРОДСКОЙ ОБЛАСТИ"</v>
      </c>
      <c r="B3286" s="24" t="s">
        <v>5688</v>
      </c>
      <c r="C3286" s="25">
        <v>1475000</v>
      </c>
      <c r="D3286" s="22" t="s">
        <v>5689</v>
      </c>
      <c r="E3286" s="22" t="s">
        <v>48</v>
      </c>
      <c r="F3286" s="23" t="str">
        <f>HYPERLINK("https://www.spark-marketing.ru/Card/Lot/73373568", "Оказание услуг по организации питания несовершеннолетних правонарушителей, содержащихся в ЦВСНП ГУ МВД России по Нижегородской области")</f>
        <v>Оказание услуг по организации питания несовершеннолетних правонарушителей, содержащихся в ЦВСНП ГУ МВД России по Нижегородской области</v>
      </c>
      <c r="G3286" s="22" t="s">
        <v>76</v>
      </c>
      <c r="H3286" s="22" t="s">
        <v>76</v>
      </c>
      <c r="I3286" s="26">
        <v>43720.359722222202</v>
      </c>
      <c r="J3286" s="23" t="str">
        <f>HYPERLINK("https://www.spark-marketing.ru/Card/Person/1177901", "Лебедева Анастасия Ананьевна")</f>
        <v>Лебедева Анастасия Ананьевна</v>
      </c>
      <c r="K3286" s="24" t="s">
        <v>5690</v>
      </c>
      <c r="L3286" s="22" t="s">
        <v>10</v>
      </c>
      <c r="M3286" s="28" t="s">
        <v>51</v>
      </c>
      <c r="N3286" s="28" t="s">
        <v>51</v>
      </c>
    </row>
    <row r="3287" spans="1:14" x14ac:dyDescent="0.15">
      <c r="A3287" s="23" t="str">
        <f>HYPERLINK("https://www.spark-marketing.ru/Card/Person/107267", "УМВД РОССИИ ПО Г. СУРГУТУ")</f>
        <v>УМВД РОССИИ ПО Г. СУРГУТУ</v>
      </c>
      <c r="B3287" s="24" t="s">
        <v>5245</v>
      </c>
      <c r="C3287" s="25">
        <v>10000</v>
      </c>
      <c r="D3287" s="22" t="s">
        <v>5691</v>
      </c>
      <c r="E3287" s="22" t="s">
        <v>48</v>
      </c>
      <c r="F3287" s="23" t="str">
        <f>HYPERLINK("https://www.spark-marketing.ru/Card/Lot/73367051", "Услуги по обеспечению питанием, осуществляемые по договору, 80 усл. ед")</f>
        <v>Услуги по обеспечению питанием, осуществляемые по договору, 80 усл. ед</v>
      </c>
      <c r="G3287" s="22" t="s">
        <v>97</v>
      </c>
      <c r="H3287" s="22" t="s">
        <v>3533</v>
      </c>
      <c r="I3287" s="26">
        <v>43720.253194444398</v>
      </c>
      <c r="J3287" s="28" t="s">
        <v>51</v>
      </c>
      <c r="K3287" s="28" t="s">
        <v>51</v>
      </c>
      <c r="L3287" s="28" t="s">
        <v>51</v>
      </c>
      <c r="M3287" s="28" t="s">
        <v>51</v>
      </c>
      <c r="N3287" s="28" t="s">
        <v>51</v>
      </c>
    </row>
    <row r="3288" spans="1:14" x14ac:dyDescent="0.15">
      <c r="A3288" s="23" t="str">
        <f>HYPERLINK("https://www.spark-marketing.ru/Card/Person/78693", "КОМИТЕТ ПО ИНФОРМАЦИОННОЙ ПОЛИТИКЕ И МАССОВЫМ КОММУНИКАЦИЯМ ПРАВИТЕЛЬСТВА ХАБАРОВСКОГО КРАЯ")</f>
        <v>КОМИТЕТ ПО ИНФОРМАЦИОННОЙ ПОЛИТИКЕ И МАССОВЫМ КОММУНИКАЦИЯМ ПРАВИТЕЛЬСТВА ХАБАРОВСКОГО КРАЯ</v>
      </c>
      <c r="B3288" s="24" t="s">
        <v>5499</v>
      </c>
      <c r="C3288" s="25">
        <v>22425</v>
      </c>
      <c r="D3288" s="22" t="s">
        <v>5692</v>
      </c>
      <c r="E3288" s="22" t="s">
        <v>48</v>
      </c>
      <c r="F3288" s="23" t="str">
        <f>HYPERLINK("https://www.spark-marketing.ru/Card/Lot/73365909", "Услуги по обеспечению питанием, осуществляемые по договору, 65 усл. ед")</f>
        <v>Услуги по обеспечению питанием, осуществляемые по договору, 65 усл. ед</v>
      </c>
      <c r="G3288" s="22" t="s">
        <v>1096</v>
      </c>
      <c r="H3288" s="22" t="s">
        <v>1097</v>
      </c>
      <c r="I3288" s="26">
        <v>43720.200509259303</v>
      </c>
      <c r="J3288" s="28" t="s">
        <v>51</v>
      </c>
      <c r="K3288" s="28" t="s">
        <v>51</v>
      </c>
      <c r="L3288" s="28" t="s">
        <v>51</v>
      </c>
      <c r="M3288" s="28" t="s">
        <v>51</v>
      </c>
      <c r="N3288" s="28" t="s">
        <v>51</v>
      </c>
    </row>
    <row r="3289" spans="1:14" x14ac:dyDescent="0.15">
      <c r="A3289" s="23" t="str">
        <f>HYPERLINK("https://www.spark-marketing.ru/Card/Person/78693", "КОМИТЕТ ПО ИНФОРМАЦИОННОЙ ПОЛИТИКЕ И МАССОВЫМ КОММУНИКАЦИЯМ ПРАВИТЕЛЬСТВА ХАБАРОВСКОГО КРАЯ")</f>
        <v>КОМИТЕТ ПО ИНФОРМАЦИОННОЙ ПОЛИТИКЕ И МАССОВЫМ КОММУНИКАЦИЯМ ПРАВИТЕЛЬСТВА ХАБАРОВСКОГО КРАЯ</v>
      </c>
      <c r="B3289" s="24" t="s">
        <v>5499</v>
      </c>
      <c r="C3289" s="25">
        <v>12122</v>
      </c>
      <c r="D3289" s="22" t="s">
        <v>5693</v>
      </c>
      <c r="E3289" s="22" t="s">
        <v>48</v>
      </c>
      <c r="F3289" s="23" t="str">
        <f>HYPERLINK("https://www.spark-marketing.ru/Card/Lot/73365664", "Услуги по обеспечению питанием, осуществляемые по договору, 38 усл. ед")</f>
        <v>Услуги по обеспечению питанием, осуществляемые по договору, 38 усл. ед</v>
      </c>
      <c r="G3289" s="22" t="s">
        <v>1096</v>
      </c>
      <c r="H3289" s="22" t="s">
        <v>1097</v>
      </c>
      <c r="I3289" s="26">
        <v>43720.150138888901</v>
      </c>
      <c r="J3289" s="28" t="s">
        <v>51</v>
      </c>
      <c r="K3289" s="28" t="s">
        <v>51</v>
      </c>
      <c r="L3289" s="28" t="s">
        <v>51</v>
      </c>
      <c r="M3289" s="28" t="s">
        <v>51</v>
      </c>
      <c r="N3289" s="28" t="s">
        <v>51</v>
      </c>
    </row>
    <row r="3290" spans="1:14" x14ac:dyDescent="0.15">
      <c r="A3290" s="23" t="str">
        <f>HYPERLINK("https://www.spark-marketing.ru/Card/Person/94434", "МБДОУ Д/С №1 ""РОМАШКА""")</f>
        <v>МБДОУ Д/С №1 "РОМАШКА"</v>
      </c>
      <c r="B3290" s="24" t="s">
        <v>5694</v>
      </c>
      <c r="C3290" s="25">
        <v>200000</v>
      </c>
      <c r="D3290" s="22" t="s">
        <v>5695</v>
      </c>
      <c r="E3290" s="22" t="s">
        <v>362</v>
      </c>
      <c r="F3290" s="23" t="str">
        <f>HYPERLINK("https://www.spark-marketing.ru/Card/Lot/73383338", "Услуги по организации горячего питания")</f>
        <v>Услуги по организации горячего питания</v>
      </c>
      <c r="G3290" s="22" t="s">
        <v>145</v>
      </c>
      <c r="H3290" s="22" t="s">
        <v>145</v>
      </c>
      <c r="I3290" s="26">
        <v>43720</v>
      </c>
      <c r="J3290" s="28" t="s">
        <v>51</v>
      </c>
      <c r="K3290" s="28" t="s">
        <v>51</v>
      </c>
      <c r="L3290" s="28" t="s">
        <v>51</v>
      </c>
      <c r="M3290" s="28" t="s">
        <v>51</v>
      </c>
      <c r="N3290" s="28" t="s">
        <v>51</v>
      </c>
    </row>
    <row r="3291" spans="1:14" x14ac:dyDescent="0.15">
      <c r="A3291" s="23" t="str">
        <f>HYPERLINK("https://www.spark-marketing.ru/Card/Person/1324525", "МАОУ СОШ № 12")</f>
        <v>МАОУ СОШ № 12</v>
      </c>
      <c r="B3291" s="24" t="s">
        <v>5696</v>
      </c>
      <c r="C3291" s="25">
        <v>82476</v>
      </c>
      <c r="D3291" s="22" t="s">
        <v>5697</v>
      </c>
      <c r="E3291" s="22" t="s">
        <v>362</v>
      </c>
      <c r="F3291" s="23" t="str">
        <f>HYPERLINK("https://www.spark-marketing.ru/Card/Lot/73378397", "Оказание услуг по организации питания")</f>
        <v>Оказание услуг по организации питания</v>
      </c>
      <c r="G3291" s="22" t="s">
        <v>351</v>
      </c>
      <c r="H3291" s="22" t="s">
        <v>4221</v>
      </c>
      <c r="I3291" s="26">
        <v>43720</v>
      </c>
      <c r="J3291" s="28" t="s">
        <v>51</v>
      </c>
      <c r="K3291" s="28" t="s">
        <v>51</v>
      </c>
      <c r="L3291" s="28" t="s">
        <v>51</v>
      </c>
      <c r="M3291" s="28" t="s">
        <v>51</v>
      </c>
      <c r="N3291" s="28" t="s">
        <v>51</v>
      </c>
    </row>
    <row r="3292" spans="1:14" x14ac:dyDescent="0.15">
      <c r="A3292" s="23" t="str">
        <f>HYPERLINK("https://www.spark-marketing.ru/Card/Person/638498", "ГП ЧАО ""ЧУКОТАВИА""")</f>
        <v>ГП ЧАО "ЧУКОТАВИА"</v>
      </c>
      <c r="B3292" s="24" t="s">
        <v>5698</v>
      </c>
      <c r="C3292" s="25">
        <v>500000</v>
      </c>
      <c r="D3292" s="22" t="s">
        <v>5699</v>
      </c>
      <c r="E3292" s="22" t="s">
        <v>2273</v>
      </c>
      <c r="F3292" s="23" t="str">
        <f>HYPERLINK("https://www.spark-marketing.ru/Card/Lot/73383116", "Услуги по обеспечению горячим питанием и прохладительными напитками пассажиров задержанных рейсов в Аэропорту ""Марково""")</f>
        <v>Услуги по обеспечению горячим питанием и прохладительными напитками пассажиров задержанных рейсов в Аэропорту "Марково"</v>
      </c>
      <c r="G3292" s="22" t="s">
        <v>2674</v>
      </c>
      <c r="H3292" s="22" t="s">
        <v>5700</v>
      </c>
      <c r="I3292" s="26">
        <v>43720</v>
      </c>
      <c r="J3292" s="28" t="s">
        <v>51</v>
      </c>
      <c r="K3292" s="28" t="s">
        <v>51</v>
      </c>
      <c r="L3292" s="28" t="s">
        <v>51</v>
      </c>
      <c r="M3292" s="28" t="s">
        <v>51</v>
      </c>
      <c r="N3292" s="28" t="s">
        <v>51</v>
      </c>
    </row>
    <row r="3293" spans="1:14" x14ac:dyDescent="0.15">
      <c r="A3293" s="23" t="str">
        <f>HYPERLINK("https://www.spark-marketing.ru/Card/Person/638498", "ГП ЧАО ""ЧУКОТАВИА""")</f>
        <v>ГП ЧАО "ЧУКОТАВИА"</v>
      </c>
      <c r="B3293" s="24" t="s">
        <v>5698</v>
      </c>
      <c r="C3293" s="25">
        <v>500000</v>
      </c>
      <c r="D3293" s="22" t="s">
        <v>5701</v>
      </c>
      <c r="E3293" s="22" t="s">
        <v>2273</v>
      </c>
      <c r="F3293" s="23" t="str">
        <f>HYPERLINK("https://www.spark-marketing.ru/Card/Lot/73382175", "Услуги по обеспечению горячим питанием и прохладительными напитками пассажиров задержанных рейсов в Аэропорту ""Омолон""")</f>
        <v>Услуги по обеспечению горячим питанием и прохладительными напитками пассажиров задержанных рейсов в Аэропорту "Омолон"</v>
      </c>
      <c r="G3293" s="22" t="s">
        <v>2674</v>
      </c>
      <c r="H3293" s="22" t="s">
        <v>5700</v>
      </c>
      <c r="I3293" s="26">
        <v>43720</v>
      </c>
      <c r="J3293" s="28" t="s">
        <v>51</v>
      </c>
      <c r="K3293" s="28" t="s">
        <v>51</v>
      </c>
      <c r="L3293" s="28" t="s">
        <v>51</v>
      </c>
      <c r="M3293" s="28" t="s">
        <v>51</v>
      </c>
      <c r="N3293" s="28" t="s">
        <v>51</v>
      </c>
    </row>
    <row r="3294" spans="1:14" x14ac:dyDescent="0.15">
      <c r="A3294" s="23" t="str">
        <f>HYPERLINK("https://www.spark-marketing.ru/Card/Person/638498", "ГП ЧАО ""ЧУКОТАВИА""")</f>
        <v>ГП ЧАО "ЧУКОТАВИА"</v>
      </c>
      <c r="B3294" s="24" t="s">
        <v>5698</v>
      </c>
      <c r="C3294" s="25">
        <v>500000</v>
      </c>
      <c r="D3294" s="22" t="s">
        <v>5702</v>
      </c>
      <c r="E3294" s="22" t="s">
        <v>2273</v>
      </c>
      <c r="F3294" s="23" t="str">
        <f>HYPERLINK("https://www.spark-marketing.ru/Card/Lot/73382176", "Услуги по обеспечению горячим питанием и прохладительными напитками пассажиров задержанных рейсов в Аэропорту ""Певек""")</f>
        <v>Услуги по обеспечению горячим питанием и прохладительными напитками пассажиров задержанных рейсов в Аэропорту "Певек"</v>
      </c>
      <c r="G3294" s="22" t="s">
        <v>2674</v>
      </c>
      <c r="H3294" s="22" t="s">
        <v>5700</v>
      </c>
      <c r="I3294" s="26">
        <v>43720</v>
      </c>
      <c r="J3294" s="28" t="s">
        <v>51</v>
      </c>
      <c r="K3294" s="28" t="s">
        <v>51</v>
      </c>
      <c r="L3294" s="28" t="s">
        <v>51</v>
      </c>
      <c r="M3294" s="28" t="s">
        <v>51</v>
      </c>
      <c r="N3294" s="28" t="s">
        <v>51</v>
      </c>
    </row>
    <row r="3295" spans="1:14" x14ac:dyDescent="0.2">
      <c r="A3295" s="23" t="str">
        <f>HYPERLINK("https://www.spark-marketing.ru/Card/Person/4874743", "ГАУ ВО ""СК ""РОТОР""")</f>
        <v>ГАУ ВО "СК "РОТОР"</v>
      </c>
      <c r="B3295" s="24" t="s">
        <v>1208</v>
      </c>
      <c r="C3295" s="25">
        <v>725000</v>
      </c>
      <c r="D3295" s="22" t="s">
        <v>5703</v>
      </c>
      <c r="E3295" s="22" t="s">
        <v>2273</v>
      </c>
      <c r="F3295" s="23" t="str">
        <f>HYPERLINK("https://www.spark-marketing.ru/Card/Lot/73386101", "Услуги по организации питания спортсменов футбольной команды «Ротор-2» с 16.09.2019г.-06.11.2019г.")</f>
        <v>Услуги по организации питания спортсменов футбольной команды «Ротор-2» с 16.09.2019г.-06.11.2019г.</v>
      </c>
      <c r="G3295" s="22" t="s">
        <v>158</v>
      </c>
      <c r="H3295" s="22" t="s">
        <v>158</v>
      </c>
      <c r="I3295" s="26">
        <v>43720</v>
      </c>
      <c r="J3295" s="28" t="s">
        <v>51</v>
      </c>
      <c r="K3295" s="28" t="s">
        <v>51</v>
      </c>
      <c r="L3295" s="28" t="s">
        <v>51</v>
      </c>
      <c r="M3295" s="25">
        <v>725000</v>
      </c>
      <c r="N3295" s="27">
        <v>0</v>
      </c>
    </row>
    <row r="3296" spans="1:14" x14ac:dyDescent="0.15">
      <c r="A3296" s="23" t="str">
        <f>HYPERLINK("https://www.spark-marketing.ru/Card/Person/743481", "МБДОУ Д/С № 2 ""РАДУГА""")</f>
        <v>МБДОУ Д/С № 2 "РАДУГА"</v>
      </c>
      <c r="B3296" s="24" t="s">
        <v>5704</v>
      </c>
      <c r="C3296" s="25">
        <v>300000</v>
      </c>
      <c r="D3296" s="22" t="s">
        <v>5705</v>
      </c>
      <c r="E3296" s="22" t="s">
        <v>362</v>
      </c>
      <c r="F3296" s="23" t="str">
        <f>HYPERLINK("https://www.spark-marketing.ru/Card/Lot/73383825", "Услуги по организации горячего питания")</f>
        <v>Услуги по организации горячего питания</v>
      </c>
      <c r="G3296" s="22" t="s">
        <v>145</v>
      </c>
      <c r="H3296" s="22" t="s">
        <v>145</v>
      </c>
      <c r="I3296" s="26">
        <v>43720</v>
      </c>
      <c r="J3296" s="28" t="s">
        <v>51</v>
      </c>
      <c r="K3296" s="28" t="s">
        <v>51</v>
      </c>
      <c r="L3296" s="28" t="s">
        <v>51</v>
      </c>
      <c r="M3296" s="28" t="s">
        <v>51</v>
      </c>
      <c r="N3296" s="28" t="s">
        <v>51</v>
      </c>
    </row>
    <row r="3297" spans="1:14" x14ac:dyDescent="0.15">
      <c r="A3297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3297" s="24" t="s">
        <v>1909</v>
      </c>
      <c r="C3297" s="25">
        <v>958840</v>
      </c>
      <c r="D3297" s="22" t="s">
        <v>5706</v>
      </c>
      <c r="E3297" s="22" t="s">
        <v>769</v>
      </c>
      <c r="F3297" s="23" t="str">
        <f>HYPERLINK("https://www.spark-marketing.ru/Card/Lot/73386512", "Услуги по бронированию мест размещения (проживание), питания и транспортного обслуживания для Молодежной хоккейной команды ""АК-59""")</f>
        <v>Услуги по бронированию мест размещения (проживание), питания и транспортного обслуживания для Молодежной хоккейной команды "АК-59"</v>
      </c>
      <c r="G3297" s="22" t="s">
        <v>696</v>
      </c>
      <c r="H3297" s="22" t="s">
        <v>696</v>
      </c>
      <c r="I3297" s="26">
        <v>43720</v>
      </c>
      <c r="J3297" s="28" t="s">
        <v>51</v>
      </c>
      <c r="K3297" s="28" t="s">
        <v>51</v>
      </c>
      <c r="L3297" s="28" t="s">
        <v>51</v>
      </c>
      <c r="M3297" s="28" t="s">
        <v>51</v>
      </c>
      <c r="N3297" s="28" t="s">
        <v>51</v>
      </c>
    </row>
    <row r="3298" spans="1:14" x14ac:dyDescent="0.15">
      <c r="A3298" s="23" t="str">
        <f>HYPERLINK("https://www.spark-marketing.ru/Card/Person/638498", "ГП ЧАО ""ЧУКОТАВИА""")</f>
        <v>ГП ЧАО "ЧУКОТАВИА"</v>
      </c>
      <c r="B3298" s="24" t="s">
        <v>5698</v>
      </c>
      <c r="C3298" s="25">
        <v>500000</v>
      </c>
      <c r="D3298" s="22" t="s">
        <v>5707</v>
      </c>
      <c r="E3298" s="22" t="s">
        <v>2273</v>
      </c>
      <c r="F3298" s="23" t="str">
        <f>HYPERLINK("https://www.spark-marketing.ru/Card/Lot/73382173", "Услуги по обеспечению горячим питанием и прохладительными напитками пассажиров задержанных рейсов в Аэропорту ""Кепервеем""")</f>
        <v>Услуги по обеспечению горячим питанием и прохладительными напитками пассажиров задержанных рейсов в Аэропорту "Кепервеем"</v>
      </c>
      <c r="G3298" s="22" t="s">
        <v>2674</v>
      </c>
      <c r="H3298" s="22" t="s">
        <v>5700</v>
      </c>
      <c r="I3298" s="26">
        <v>43720</v>
      </c>
      <c r="J3298" s="28" t="s">
        <v>51</v>
      </c>
      <c r="K3298" s="28" t="s">
        <v>51</v>
      </c>
      <c r="L3298" s="28" t="s">
        <v>51</v>
      </c>
      <c r="M3298" s="28" t="s">
        <v>51</v>
      </c>
      <c r="N3298" s="28" t="s">
        <v>51</v>
      </c>
    </row>
    <row r="3299" spans="1:14" x14ac:dyDescent="0.15">
      <c r="A3299" s="23" t="str">
        <f>HYPERLINK("https://www.spark-marketing.ru/Card/Person/72890", "ГУП РК ""КАРЕЛФАРМ""")</f>
        <v>ГУП РК "КАРЕЛФАРМ"</v>
      </c>
      <c r="B3299" s="24" t="s">
        <v>1668</v>
      </c>
      <c r="C3299" s="25">
        <v>374895.35999999999</v>
      </c>
      <c r="D3299" s="22" t="s">
        <v>5708</v>
      </c>
      <c r="E3299" s="22" t="s">
        <v>3561</v>
      </c>
      <c r="F3299" s="23" t="str">
        <f>HYPERLINK("https://www.spark-marketing.ru/Card/Lot/73386884", "оказание услуг по приемке, хранению, комплектованию, доставке, отпуску и учёту лекарственных препаратов, изделий медицинского назначения и специализированных продуктов лечебного питания, приобретаемых за счет средств бюджета Республики Карелия для об...")</f>
        <v>оказание услуг по приемке, хранению, комплектованию, доставке, отпуску и учёту лекарственных препаратов, изделий медицинского назначения и специализированных продуктов лечебного питания, приобретаемых за счет средств бюджета Республики Карелия для об...</v>
      </c>
      <c r="G3299" s="22" t="s">
        <v>59</v>
      </c>
      <c r="H3299" s="22" t="s">
        <v>59</v>
      </c>
      <c r="I3299" s="26">
        <v>43720</v>
      </c>
      <c r="J3299" s="28" t="s">
        <v>51</v>
      </c>
      <c r="K3299" s="28" t="s">
        <v>51</v>
      </c>
      <c r="L3299" s="28" t="s">
        <v>51</v>
      </c>
      <c r="M3299" s="28" t="s">
        <v>51</v>
      </c>
      <c r="N3299" s="28" t="s">
        <v>51</v>
      </c>
    </row>
    <row r="3300" spans="1:14" x14ac:dyDescent="0.15">
      <c r="A3300" s="23" t="str">
        <f>HYPERLINK("https://www.spark-marketing.ru/Card/Person/235077", "КГАУ РЦСП ""АКАДЕМИЯ БИАТЛОНА""")</f>
        <v>КГАУ РЦСП "АКАДЕМИЯ БИАТЛОНА"</v>
      </c>
      <c r="B3300" s="24" t="s">
        <v>5709</v>
      </c>
      <c r="C3300" s="25">
        <v>164475</v>
      </c>
      <c r="D3300" s="22" t="s">
        <v>5710</v>
      </c>
      <c r="E3300" s="22" t="s">
        <v>769</v>
      </c>
      <c r="F3300" s="23" t="str">
        <f>HYPERLINK("https://www.spark-marketing.ru/Card/Lot/73382635", "оказание услуг проживания, питания и услуги спортивных сооружений на период тренировочных мероприятий")</f>
        <v>оказание услуг проживания, питания и услуги спортивных сооружений на период тренировочных мероприятий</v>
      </c>
      <c r="G3300" s="22" t="s">
        <v>145</v>
      </c>
      <c r="H3300" s="22" t="s">
        <v>145</v>
      </c>
      <c r="I3300" s="26">
        <v>43720</v>
      </c>
      <c r="J3300" s="28" t="s">
        <v>51</v>
      </c>
      <c r="K3300" s="28" t="s">
        <v>51</v>
      </c>
      <c r="L3300" s="28" t="s">
        <v>51</v>
      </c>
      <c r="M3300" s="28" t="s">
        <v>51</v>
      </c>
      <c r="N3300" s="28" t="s">
        <v>51</v>
      </c>
    </row>
    <row r="3301" spans="1:14" x14ac:dyDescent="0.15">
      <c r="A3301" s="23" t="str">
        <f>HYPERLINK("https://www.spark-marketing.ru/Card/Person/4369400", "ООО АВИАПРЕДПРИЯТИЕ ""ГАЗПРОМ АВИА""")</f>
        <v>ООО АВИАПРЕДПРИЯТИЕ "ГАЗПРОМ АВИА"</v>
      </c>
      <c r="B3301" s="24" t="s">
        <v>1724</v>
      </c>
      <c r="C3301" s="25">
        <v>89269</v>
      </c>
      <c r="D3301" s="22" t="s">
        <v>5711</v>
      </c>
      <c r="E3301" s="22" t="s">
        <v>1726</v>
      </c>
      <c r="F3301" s="23" t="str">
        <f>HYPERLINK("https://www.spark-marketing.ru/Card/Lot/73381744", "Оплата по счету№122 за услуги по обеспечению бортовым питанием в а/п г. Белгород")</f>
        <v>Оплата по счету№122 за услуги по обеспечению бортовым питанием в а/п г. Белгород</v>
      </c>
      <c r="G3301" s="22" t="s">
        <v>56</v>
      </c>
      <c r="H3301" s="22" t="s">
        <v>56</v>
      </c>
      <c r="I3301" s="26">
        <v>43720</v>
      </c>
      <c r="J3301" s="28" t="s">
        <v>51</v>
      </c>
      <c r="K3301" s="28" t="s">
        <v>51</v>
      </c>
      <c r="L3301" s="28" t="s">
        <v>51</v>
      </c>
      <c r="M3301" s="28" t="s">
        <v>51</v>
      </c>
      <c r="N3301" s="28" t="s">
        <v>51</v>
      </c>
    </row>
    <row r="3302" spans="1:14" x14ac:dyDescent="0.15">
      <c r="A3302" s="23" t="str">
        <f>HYPERLINK("https://www.spark-marketing.ru/Card/Person/638498", "ГП ЧАО ""ЧУКОТАВИА""")</f>
        <v>ГП ЧАО "ЧУКОТАВИА"</v>
      </c>
      <c r="B3302" s="24" t="s">
        <v>5698</v>
      </c>
      <c r="C3302" s="25">
        <v>500000</v>
      </c>
      <c r="D3302" s="22" t="s">
        <v>5712</v>
      </c>
      <c r="E3302" s="22" t="s">
        <v>2273</v>
      </c>
      <c r="F3302" s="23" t="str">
        <f>HYPERLINK("https://www.spark-marketing.ru/Card/Lot/73382174", "Услуги по обеспечению горячим питанием и прохладительными напитками пассажиров задержанных рейсов в Аэропорту ""Лаврентия""")</f>
        <v>Услуги по обеспечению горячим питанием и прохладительными напитками пассажиров задержанных рейсов в Аэропорту "Лаврентия"</v>
      </c>
      <c r="G3302" s="22" t="s">
        <v>2674</v>
      </c>
      <c r="H3302" s="22" t="s">
        <v>5700</v>
      </c>
      <c r="I3302" s="26">
        <v>43720</v>
      </c>
      <c r="J3302" s="28" t="s">
        <v>51</v>
      </c>
      <c r="K3302" s="28" t="s">
        <v>51</v>
      </c>
      <c r="L3302" s="28" t="s">
        <v>51</v>
      </c>
      <c r="M3302" s="28" t="s">
        <v>51</v>
      </c>
      <c r="N3302" s="28" t="s">
        <v>51</v>
      </c>
    </row>
    <row r="3303" spans="1:14" x14ac:dyDescent="0.15">
      <c r="A3303" s="23" t="str">
        <f>HYPERLINK("https://www.spark-marketing.ru/Card/Person/1759648", "МАОУ СОШ № 6")</f>
        <v>МАОУ СОШ № 6</v>
      </c>
      <c r="B3303" s="24" t="s">
        <v>5713</v>
      </c>
      <c r="C3303" s="25">
        <v>885226</v>
      </c>
      <c r="D3303" s="22" t="s">
        <v>5714</v>
      </c>
      <c r="E3303" s="22" t="s">
        <v>1412</v>
      </c>
      <c r="F3303" s="23" t="str">
        <f>HYPERLINK("https://www.spark-marketing.ru/Card/Lot/73382871", "Оказание услуг по организации питания учащихся в образовательной организации")</f>
        <v>Оказание услуг по организации питания учащихся в образовательной организации</v>
      </c>
      <c r="G3303" s="22" t="s">
        <v>766</v>
      </c>
      <c r="H3303" s="22" t="s">
        <v>766</v>
      </c>
      <c r="I3303" s="26">
        <v>43720</v>
      </c>
      <c r="J3303" s="28" t="s">
        <v>51</v>
      </c>
      <c r="K3303" s="28" t="s">
        <v>51</v>
      </c>
      <c r="L3303" s="28" t="s">
        <v>51</v>
      </c>
      <c r="M3303" s="28" t="s">
        <v>51</v>
      </c>
      <c r="N3303" s="28" t="s">
        <v>51</v>
      </c>
    </row>
    <row r="3304" spans="1:14" x14ac:dyDescent="0.15">
      <c r="A3304" s="23" t="str">
        <f>HYPERLINK("https://www.spark-marketing.ru/Card/Person/1662274", "ГАУК Г. МОСКВЫ ПКИО ""ЛИАНОЗОВСКИЙ""")</f>
        <v>ГАУК Г. МОСКВЫ ПКИО "ЛИАНОЗОВСКИЙ"</v>
      </c>
      <c r="B3304" s="24" t="s">
        <v>5715</v>
      </c>
      <c r="C3304" s="25">
        <v>153090</v>
      </c>
      <c r="D3304" s="22" t="s">
        <v>5716</v>
      </c>
      <c r="E3304" s="22" t="s">
        <v>52</v>
      </c>
      <c r="F3304" s="23" t="str">
        <f>HYPERLINK("https://www.spark-marketing.ru/Card/Lot/73365748",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Угличская 13, основная территория ГАУК г. Москвы ПКиО «Лианозовский» (парк «Лианозовский»), запад...")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Угличская 13, основная территория ГАУК г. Москвы ПКиО «Лианозовский» (парк «Лианозовский»), запад...</v>
      </c>
      <c r="G3304" s="22" t="s">
        <v>56</v>
      </c>
      <c r="H3304" s="22" t="s">
        <v>56</v>
      </c>
      <c r="I3304" s="26">
        <v>43720</v>
      </c>
      <c r="J3304" s="28" t="s">
        <v>51</v>
      </c>
      <c r="K3304" s="28" t="s">
        <v>51</v>
      </c>
      <c r="L3304" s="28" t="s">
        <v>51</v>
      </c>
      <c r="M3304" s="28" t="s">
        <v>51</v>
      </c>
      <c r="N3304" s="28" t="s">
        <v>51</v>
      </c>
    </row>
    <row r="3305" spans="1:14" x14ac:dyDescent="0.15">
      <c r="A3305" s="23" t="str">
        <f>HYPERLINK("https://www.spark-marketing.ru/Card/Person/638498", "ГП ЧАО ""ЧУКОТАВИА""")</f>
        <v>ГП ЧАО "ЧУКОТАВИА"</v>
      </c>
      <c r="B3305" s="24" t="s">
        <v>5698</v>
      </c>
      <c r="C3305" s="25">
        <v>500000</v>
      </c>
      <c r="D3305" s="22" t="s">
        <v>5717</v>
      </c>
      <c r="E3305" s="22" t="s">
        <v>2273</v>
      </c>
      <c r="F3305" s="23" t="str">
        <f>HYPERLINK("https://www.spark-marketing.ru/Card/Lot/73387404", "Услуги по обеспечению горячим питанием и прохладительными напитками пассажиров задержанных рейсов в Аэропорту ""Залив Креста""")</f>
        <v>Услуги по обеспечению горячим питанием и прохладительными напитками пассажиров задержанных рейсов в Аэропорту "Залив Креста"</v>
      </c>
      <c r="G3305" s="22" t="s">
        <v>2674</v>
      </c>
      <c r="H3305" s="22" t="s">
        <v>5700</v>
      </c>
      <c r="I3305" s="26">
        <v>43721</v>
      </c>
      <c r="J3305" s="28" t="s">
        <v>51</v>
      </c>
      <c r="K3305" s="28" t="s">
        <v>51</v>
      </c>
      <c r="L3305" s="28" t="s">
        <v>51</v>
      </c>
      <c r="M3305" s="28" t="s">
        <v>51</v>
      </c>
      <c r="N3305" s="28" t="s">
        <v>51</v>
      </c>
    </row>
    <row r="3306" spans="1:14" x14ac:dyDescent="0.15">
      <c r="A3306" s="23" t="str">
        <f>HYPERLINK("https://www.spark-marketing.ru/Card/Person/209890", "ГАУ ДО РС (Я) ""ЦОИОД ""СОСНОВЫЙ БОР""")</f>
        <v>ГАУ ДО РС (Я) "ЦОИОД "СОСНОВЫЙ БОР"</v>
      </c>
      <c r="B3306" s="24" t="s">
        <v>5718</v>
      </c>
      <c r="C3306" s="25">
        <v>755681.4</v>
      </c>
      <c r="D3306" s="22" t="s">
        <v>5719</v>
      </c>
      <c r="E3306" s="22" t="s">
        <v>362</v>
      </c>
      <c r="F3306" s="23" t="str">
        <f>HYPERLINK("https://www.spark-marketing.ru/Card/Lot/73538699", "Оказание услуг по организации горячего питания в дошкольном отделении Государственного автономного учреждения дополнительного образования Республики Саха (Якутия) «Центр отдыха и оздоровления детей «Сосновый бор» - детский сад «Лингва» (аутсорсинг)")</f>
        <v>Оказание услуг по организации горячего питания в дошкольном отделении Государственного автономного учреждения дополнительного образования Республики Саха (Якутия) «Центр отдыха и оздоровления детей «Сосновый бор» - детский сад «Лингва» (аутсорсинг)</v>
      </c>
      <c r="G3306" s="22" t="s">
        <v>241</v>
      </c>
      <c r="H3306" s="22" t="s">
        <v>241</v>
      </c>
      <c r="I3306" s="26">
        <v>43725</v>
      </c>
      <c r="J3306" s="28" t="s">
        <v>51</v>
      </c>
      <c r="K3306" s="28" t="s">
        <v>51</v>
      </c>
      <c r="L3306" s="28" t="s">
        <v>51</v>
      </c>
      <c r="M3306" s="28" t="s">
        <v>51</v>
      </c>
      <c r="N3306" s="28" t="s">
        <v>51</v>
      </c>
    </row>
    <row r="3307" spans="1:14" x14ac:dyDescent="0.15">
      <c r="A3307" s="23" t="str">
        <f>HYPERLINK("https://www.spark-marketing.ru/Card/Person/4349237", "АО ""АТК ""ЯМАЛ""")</f>
        <v>АО "АТК "ЯМАЛ"</v>
      </c>
      <c r="B3307" s="24" t="s">
        <v>4031</v>
      </c>
      <c r="C3307" s="25">
        <v>3000000</v>
      </c>
      <c r="D3307" s="22" t="s">
        <v>5720</v>
      </c>
      <c r="E3307" s="22" t="s">
        <v>769</v>
      </c>
      <c r="F3307" s="23" t="str">
        <f>HYPERLINK("https://www.spark-marketing.ru/Card/Lot/73356501", "Оказание гостиничных услуг (проживание, питание, трансфер) для работников АО «АТК «Ямал» и пассажиров задержанных и отмененных рейсов АО «АТК «Ямал» в г. Ноябрьск")</f>
        <v>Оказание гостиничных услуг (проживание, питание, трансфер) для работников АО «АТК «Ямал» и пассажиров задержанных и отмененных рейсов АО «АТК «Ямал» в г. Ноябрьск</v>
      </c>
      <c r="G3307" s="22" t="s">
        <v>1056</v>
      </c>
      <c r="H3307" s="22" t="s">
        <v>1056</v>
      </c>
      <c r="I3307" s="26">
        <v>43719</v>
      </c>
      <c r="J3307" s="28" t="s">
        <v>51</v>
      </c>
      <c r="K3307" s="28" t="s">
        <v>51</v>
      </c>
      <c r="L3307" s="28" t="s">
        <v>51</v>
      </c>
      <c r="M3307" s="28" t="s">
        <v>51</v>
      </c>
      <c r="N3307" s="28" t="s">
        <v>51</v>
      </c>
    </row>
    <row r="3308" spans="1:14" x14ac:dyDescent="0.15">
      <c r="A3308" s="23" t="str">
        <f>HYPERLINK("https://www.spark-marketing.ru/Card/Person/638498", "ГП ЧАО ""ЧУКОТАВИА""")</f>
        <v>ГП ЧАО "ЧУКОТАВИА"</v>
      </c>
      <c r="B3308" s="24" t="s">
        <v>5698</v>
      </c>
      <c r="C3308" s="25">
        <v>500000</v>
      </c>
      <c r="D3308" s="22" t="s">
        <v>5721</v>
      </c>
      <c r="E3308" s="22" t="s">
        <v>2273</v>
      </c>
      <c r="F3308" s="23" t="str">
        <f>HYPERLINK("https://www.spark-marketing.ru/Card/Lot/73382172", "Услуги по обеспечению горячим питанием и прохладительными напитками пассажиров задержанных рейсов в Аэропорту ""Беринговский""")</f>
        <v>Услуги по обеспечению горячим питанием и прохладительными напитками пассажиров задержанных рейсов в Аэропорту "Беринговский"</v>
      </c>
      <c r="G3308" s="22" t="s">
        <v>2674</v>
      </c>
      <c r="H3308" s="22" t="s">
        <v>5700</v>
      </c>
      <c r="I3308" s="26">
        <v>43720</v>
      </c>
      <c r="J3308" s="28" t="s">
        <v>51</v>
      </c>
      <c r="K3308" s="28" t="s">
        <v>51</v>
      </c>
      <c r="L3308" s="28" t="s">
        <v>51</v>
      </c>
      <c r="M3308" s="28" t="s">
        <v>51</v>
      </c>
      <c r="N3308" s="28" t="s">
        <v>51</v>
      </c>
    </row>
    <row r="3309" spans="1:14" x14ac:dyDescent="0.15">
      <c r="A3309" s="23" t="str">
        <f>HYPERLINK("https://www.spark-marketing.ru/Card/Person/1400", "ТЕНДЕРНЫЙ КОМИТЕТ")</f>
        <v>ТЕНДЕРНЫЙ КОМИТЕТ</v>
      </c>
      <c r="B3309" s="24" t="s">
        <v>5722</v>
      </c>
      <c r="C3309" s="25">
        <v>471166</v>
      </c>
      <c r="D3309" s="22" t="s">
        <v>5723</v>
      </c>
      <c r="E3309" s="22" t="s">
        <v>52</v>
      </c>
      <c r="F3309" s="23" t="str">
        <f>HYPERLINK("https://www.spark-marketing.ru/Card/Lot/73365751", "Право заключения договора на осуществление торговой деятельности (оказание услуг) в нестационарном торговом объекте ""Павильон"" по адресу: г. Москва, парк «Лефортово»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"Павильон" по адресу: г. Москва, парк «Лефортово» специализация «Общественное питание»</v>
      </c>
      <c r="G3309" s="22" t="s">
        <v>56</v>
      </c>
      <c r="H3309" s="22" t="s">
        <v>56</v>
      </c>
      <c r="I3309" s="26">
        <v>43720</v>
      </c>
      <c r="J3309" s="28" t="s">
        <v>51</v>
      </c>
      <c r="K3309" s="28" t="s">
        <v>51</v>
      </c>
      <c r="L3309" s="28" t="s">
        <v>51</v>
      </c>
      <c r="M3309" s="28" t="s">
        <v>51</v>
      </c>
      <c r="N3309" s="28" t="s">
        <v>51</v>
      </c>
    </row>
    <row r="3310" spans="1:14" x14ac:dyDescent="0.2">
      <c r="A3310" s="23" t="str">
        <f>HYPERLINK("https://www.spark-marketing.ru/Card/Person/14801", "ГАУКАО ""АМУРСКАЯ ОБЛАСТНАЯ ФИЛАРМОНИЯ""")</f>
        <v>ГАУКАО "АМУРСКАЯ ОБЛАСТНАЯ ФИЛАРМОНИЯ"</v>
      </c>
      <c r="B3310" s="24" t="s">
        <v>5724</v>
      </c>
      <c r="C3310" s="25">
        <v>625000</v>
      </c>
      <c r="D3310" s="22" t="s">
        <v>5725</v>
      </c>
      <c r="E3310" s="22" t="s">
        <v>1412</v>
      </c>
      <c r="F3310" s="23" t="str">
        <f>HYPERLINK("https://www.spark-marketing.ru/Card/Lot/73378573", "Оказание услуг по организации питания участников, фестиваля на торжественном мероприятии, посвященном закрытию XVII Открытого российского фестиваля кино и театра «Амурская осень»")</f>
        <v>Оказание услуг по организации питания участников, фестиваля на торжественном мероприятии, посвященном закрытию XVII Открытого российского фестиваля кино и театра «Амурская осень»</v>
      </c>
      <c r="G3310" s="22" t="s">
        <v>210</v>
      </c>
      <c r="H3310" s="22" t="s">
        <v>210</v>
      </c>
      <c r="I3310" s="26">
        <v>43720</v>
      </c>
      <c r="J3310" s="28" t="s">
        <v>51</v>
      </c>
      <c r="K3310" s="28" t="s">
        <v>51</v>
      </c>
      <c r="L3310" s="28" t="s">
        <v>51</v>
      </c>
      <c r="M3310" s="25">
        <v>625000</v>
      </c>
      <c r="N3310" s="27">
        <v>0</v>
      </c>
    </row>
    <row r="3311" spans="1:14" x14ac:dyDescent="0.2">
      <c r="A3311" s="23" t="str">
        <f>HYPERLINK("https://www.spark-marketing.ru/Card/Person/4874743", "ГАУ ВО ""СК ""РОТОР""")</f>
        <v>ГАУ ВО "СК "РОТОР"</v>
      </c>
      <c r="B3311" s="24" t="s">
        <v>1208</v>
      </c>
      <c r="C3311" s="25">
        <v>1000000</v>
      </c>
      <c r="D3311" s="22" t="s">
        <v>5726</v>
      </c>
      <c r="E3311" s="22" t="s">
        <v>2273</v>
      </c>
      <c r="F3311" s="23" t="str">
        <f>HYPERLINK("https://www.spark-marketing.ru/Card/Lot/73386864", "Услуги по организации питания спортсменов футбольной команды «Ротор» с 24.09.2019г.-20.10.2019г.")</f>
        <v>Услуги по организации питания спортсменов футбольной команды «Ротор» с 24.09.2019г.-20.10.2019г.</v>
      </c>
      <c r="G3311" s="22" t="s">
        <v>158</v>
      </c>
      <c r="H3311" s="22" t="s">
        <v>158</v>
      </c>
      <c r="I3311" s="26">
        <v>43720</v>
      </c>
      <c r="J3311" s="28" t="s">
        <v>51</v>
      </c>
      <c r="K3311" s="28" t="s">
        <v>51</v>
      </c>
      <c r="L3311" s="28" t="s">
        <v>51</v>
      </c>
      <c r="M3311" s="25">
        <v>1000000</v>
      </c>
      <c r="N3311" s="27">
        <v>0</v>
      </c>
    </row>
    <row r="3312" spans="1:14" x14ac:dyDescent="0.2">
      <c r="A3312" s="23" t="str">
        <f>HYPERLINK("https://www.spark-marketing.ru/Card/Person/657708", "ГАУК ""ПЕНЗЕНСКИЙ ДРАМАТИЧЕСКИЙ ТЕАТР""")</f>
        <v>ГАУК "ПЕНЗЕНСКИЙ ДРАМАТИЧЕСКИЙ ТЕАТР"</v>
      </c>
      <c r="B3312" s="24" t="s">
        <v>5727</v>
      </c>
      <c r="C3312" s="25">
        <v>572600</v>
      </c>
      <c r="D3312" s="22" t="s">
        <v>5728</v>
      </c>
      <c r="E3312" s="22" t="s">
        <v>1412</v>
      </c>
      <c r="F3312" s="23" t="str">
        <f>HYPERLINK("https://www.spark-marketing.ru/Card/Lot/73386273", "Организация питания участников III Международного театрального фестиваля ""Маскерадъ""")</f>
        <v>Организация питания участников III Международного театрального фестиваля "Маскерадъ"</v>
      </c>
      <c r="G3312" s="22" t="s">
        <v>72</v>
      </c>
      <c r="H3312" s="22" t="s">
        <v>72</v>
      </c>
      <c r="I3312" s="26">
        <v>43720</v>
      </c>
      <c r="J3312" s="28" t="s">
        <v>51</v>
      </c>
      <c r="K3312" s="28" t="s">
        <v>51</v>
      </c>
      <c r="L3312" s="22" t="s">
        <v>10</v>
      </c>
      <c r="M3312" s="25">
        <v>543900</v>
      </c>
      <c r="N3312" s="27">
        <v>5.0122249388753058E-2</v>
      </c>
    </row>
    <row r="3313" spans="1:14" x14ac:dyDescent="0.15">
      <c r="A3313" s="23" t="str">
        <f>HYPERLINK("https://www.spark-marketing.ru/Card/Person/1662274", "ГАУК Г. МОСКВЫ ПКИО ""ЛИАНОЗОВСКИЙ""")</f>
        <v>ГАУК Г. МОСКВЫ ПКИО "ЛИАНОЗОВСКИЙ"</v>
      </c>
      <c r="B3313" s="24" t="s">
        <v>5715</v>
      </c>
      <c r="C3313" s="25">
        <v>141750</v>
      </c>
      <c r="D3313" s="22" t="s">
        <v>5729</v>
      </c>
      <c r="E3313" s="22" t="s">
        <v>52</v>
      </c>
      <c r="F3313" s="23" t="str">
        <f>HYPERLINK("https://www.spark-marketing.ru/Card/Lot/73365747",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Угличская 13, основная территория ГАУК г. Москвы ПКиО «Лианозовский» (парк «Лианозовский»), с пра...")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Угличская 13, основная территория ГАУК г. Москвы ПКиО «Лианозовский» (парк «Лианозовский»), с пра...</v>
      </c>
      <c r="G3313" s="22" t="s">
        <v>56</v>
      </c>
      <c r="H3313" s="22" t="s">
        <v>56</v>
      </c>
      <c r="I3313" s="26">
        <v>43720</v>
      </c>
      <c r="J3313" s="28" t="s">
        <v>51</v>
      </c>
      <c r="K3313" s="28" t="s">
        <v>51</v>
      </c>
      <c r="L3313" s="28" t="s">
        <v>51</v>
      </c>
      <c r="M3313" s="28" t="s">
        <v>51</v>
      </c>
      <c r="N3313" s="28" t="s">
        <v>51</v>
      </c>
    </row>
    <row r="3314" spans="1:14" x14ac:dyDescent="0.15">
      <c r="A3314" s="23" t="str">
        <f>HYPERLINK("https://www.spark-marketing.ru/Card/Person/951582", "КГА ПОУ ""УКТУ""")</f>
        <v>КГА ПОУ "УКТУ"</v>
      </c>
      <c r="B3314" s="24" t="s">
        <v>2649</v>
      </c>
      <c r="C3314" s="25">
        <v>366000</v>
      </c>
      <c r="D3314" s="22" t="s">
        <v>5730</v>
      </c>
      <c r="E3314" s="22" t="s">
        <v>362</v>
      </c>
      <c r="F3314" s="23" t="str">
        <f>HYPERLINK("https://www.spark-marketing.ru/Card/Lot/73347679", "оказание услуг по организации питания обучающихся по очной форме обучения, проживающих в общежитиях")</f>
        <v>оказание услуг по организации питания обучающихся по очной форме обучения, проживающих в общежитиях</v>
      </c>
      <c r="G3314" s="22" t="s">
        <v>543</v>
      </c>
      <c r="H3314" s="22" t="s">
        <v>1052</v>
      </c>
      <c r="I3314" s="26">
        <v>43719</v>
      </c>
      <c r="J3314" s="28" t="s">
        <v>51</v>
      </c>
      <c r="K3314" s="28" t="s">
        <v>51</v>
      </c>
      <c r="L3314" s="28" t="s">
        <v>51</v>
      </c>
      <c r="M3314" s="28" t="s">
        <v>51</v>
      </c>
      <c r="N3314" s="28" t="s">
        <v>51</v>
      </c>
    </row>
    <row r="3315" spans="1:14" x14ac:dyDescent="0.15">
      <c r="A3315" s="23" t="str">
        <f>HYPERLINK("https://www.spark-marketing.ru/Card/Person/2097942", "АО ""КОНЦЕРН РОСЭНЕРГОАТОМ""")</f>
        <v>АО "КОНЦЕРН РОСЭНЕРГОАТОМ"</v>
      </c>
      <c r="B3315" s="24" t="s">
        <v>908</v>
      </c>
      <c r="C3315" s="25">
        <v>999399</v>
      </c>
      <c r="D3315" s="22" t="s">
        <v>5731</v>
      </c>
      <c r="E3315" s="22" t="s">
        <v>5732</v>
      </c>
      <c r="F3315" s="23" t="str">
        <f>HYPERLINK("https://www.spark-marketing.ru/Card/Lot/73382163", "Ф07: Оказание услуг по организации питания участников мероприятий, проживающих в санатории-профилактории «Энергетик»")</f>
        <v>Ф07: Оказание услуг по организации питания участников мероприятий, проживающих в санатории-профилактории «Энергетик»</v>
      </c>
      <c r="G3315" s="22" t="s">
        <v>56</v>
      </c>
      <c r="H3315" s="22" t="s">
        <v>56</v>
      </c>
      <c r="I3315" s="26">
        <v>43720</v>
      </c>
      <c r="J3315" s="28" t="s">
        <v>51</v>
      </c>
      <c r="K3315" s="28" t="s">
        <v>51</v>
      </c>
      <c r="L3315" s="28" t="s">
        <v>51</v>
      </c>
      <c r="M3315" s="28" t="s">
        <v>51</v>
      </c>
      <c r="N3315" s="28" t="s">
        <v>51</v>
      </c>
    </row>
    <row r="3316" spans="1:14" x14ac:dyDescent="0.15">
      <c r="A3316" s="23" t="str">
        <f>HYPERLINK("https://www.spark-marketing.ru/Card/Person/4369400", "ООО АВИАПРЕДПРИЯТИЕ ""ГАЗПРОМ АВИА""")</f>
        <v>ООО АВИАПРЕДПРИЯТИЕ "ГАЗПРОМ АВИА"</v>
      </c>
      <c r="B3316" s="24" t="s">
        <v>1724</v>
      </c>
      <c r="C3316" s="25">
        <v>55860</v>
      </c>
      <c r="D3316" s="22" t="s">
        <v>5733</v>
      </c>
      <c r="E3316" s="22" t="s">
        <v>1726</v>
      </c>
      <c r="F3316" s="23" t="str">
        <f>HYPERLINK("https://www.spark-marketing.ru/Card/Lot/73381730", "Услуги по обеспечению бортовым питанием пассажиров в аэропорту г. Новый Уренгой")</f>
        <v>Услуги по обеспечению бортовым питанием пассажиров в аэропорту г. Новый Уренгой</v>
      </c>
      <c r="G3316" s="22" t="s">
        <v>56</v>
      </c>
      <c r="H3316" s="22" t="s">
        <v>56</v>
      </c>
      <c r="I3316" s="26">
        <v>43720</v>
      </c>
      <c r="J3316" s="28" t="s">
        <v>51</v>
      </c>
      <c r="K3316" s="28" t="s">
        <v>51</v>
      </c>
      <c r="L3316" s="28" t="s">
        <v>51</v>
      </c>
      <c r="M3316" s="28" t="s">
        <v>51</v>
      </c>
      <c r="N3316" s="28" t="s">
        <v>51</v>
      </c>
    </row>
    <row r="3317" spans="1:14" x14ac:dyDescent="0.15">
      <c r="A3317" s="23" t="str">
        <f>HYPERLINK("https://www.spark-marketing.ru/Card/Person/638498", "ГП ЧАО ""ЧУКОТАВИА""")</f>
        <v>ГП ЧАО "ЧУКОТАВИА"</v>
      </c>
      <c r="B3317" s="24" t="s">
        <v>5698</v>
      </c>
      <c r="C3317" s="25">
        <v>500000</v>
      </c>
      <c r="D3317" s="22" t="s">
        <v>5734</v>
      </c>
      <c r="E3317" s="22" t="s">
        <v>2273</v>
      </c>
      <c r="F3317" s="23" t="str">
        <f>HYPERLINK("https://www.spark-marketing.ru/Card/Lot/73386895", "Услуги по обеспечению горячим питанием и прохладительными напитками пассажиров задержанных рейсов в Аэропорту ""Провидения""")</f>
        <v>Услуги по обеспечению горячим питанием и прохладительными напитками пассажиров задержанных рейсов в Аэропорту "Провидения"</v>
      </c>
      <c r="G3317" s="22" t="s">
        <v>2674</v>
      </c>
      <c r="H3317" s="22" t="s">
        <v>5700</v>
      </c>
      <c r="I3317" s="26">
        <v>43720</v>
      </c>
      <c r="J3317" s="28" t="s">
        <v>51</v>
      </c>
      <c r="K3317" s="28" t="s">
        <v>51</v>
      </c>
      <c r="L3317" s="28" t="s">
        <v>51</v>
      </c>
      <c r="M3317" s="28" t="s">
        <v>51</v>
      </c>
      <c r="N3317" s="28" t="s">
        <v>51</v>
      </c>
    </row>
    <row r="3318" spans="1:14" x14ac:dyDescent="0.2">
      <c r="A3318" s="23" t="str">
        <f>HYPERLINK("https://www.spark-marketing.ru/Card/Person/1759645", "МАОУ МУЛЛАШИНСКАЯ СОШ")</f>
        <v>МАОУ МУЛЛАШИНСКАЯ СОШ</v>
      </c>
      <c r="B3318" s="24" t="s">
        <v>5735</v>
      </c>
      <c r="C3318" s="25">
        <v>575897</v>
      </c>
      <c r="D3318" s="22" t="s">
        <v>5736</v>
      </c>
      <c r="E3318" s="22" t="s">
        <v>362</v>
      </c>
      <c r="F3318" s="23" t="str">
        <f>HYPERLINK("https://www.spark-marketing.ru/Card/Lot/73382203", "Оказание услуг по организации питания обучающихся и воспитанников")</f>
        <v>Оказание услуг по организации питания обучающихся и воспитанников</v>
      </c>
      <c r="G3318" s="22" t="s">
        <v>766</v>
      </c>
      <c r="H3318" s="22" t="s">
        <v>766</v>
      </c>
      <c r="I3318" s="26">
        <v>43720</v>
      </c>
      <c r="J3318" s="28" t="s">
        <v>51</v>
      </c>
      <c r="K3318" s="28" t="s">
        <v>51</v>
      </c>
      <c r="L3318" s="28" t="s">
        <v>51</v>
      </c>
      <c r="M3318" s="25">
        <v>575897</v>
      </c>
      <c r="N3318" s="27">
        <v>0</v>
      </c>
    </row>
    <row r="3319" spans="1:14" x14ac:dyDescent="0.2">
      <c r="A3319" s="23" t="str">
        <f>HYPERLINK("https://www.spark-marketing.ru/Card/Person/1763097", "КГАУ ""СШОР ПО ФУТБОЛУ ""ЕНИСЕЙ""")</f>
        <v>КГАУ "СШОР ПО ФУТБОЛУ "ЕНИСЕЙ"</v>
      </c>
      <c r="B3319" s="24" t="s">
        <v>4437</v>
      </c>
      <c r="C3319" s="25">
        <v>290400</v>
      </c>
      <c r="D3319" s="22" t="s">
        <v>5737</v>
      </c>
      <c r="E3319" s="22" t="s">
        <v>769</v>
      </c>
      <c r="F3319" s="23" t="str">
        <f>HYPERLINK("https://www.spark-marketing.ru/Card/Lot/73377499", "оказание услуг по организации проживания и питания спортсменов")</f>
        <v>оказание услуг по организации проживания и питания спортсменов</v>
      </c>
      <c r="G3319" s="22" t="s">
        <v>263</v>
      </c>
      <c r="H3319" s="22" t="s">
        <v>263</v>
      </c>
      <c r="I3319" s="26">
        <v>43720</v>
      </c>
      <c r="J3319" s="28" t="s">
        <v>51</v>
      </c>
      <c r="K3319" s="28" t="s">
        <v>51</v>
      </c>
      <c r="L3319" s="22" t="s">
        <v>10</v>
      </c>
      <c r="M3319" s="25">
        <v>290400</v>
      </c>
      <c r="N3319" s="27">
        <v>0</v>
      </c>
    </row>
    <row r="3320" spans="1:14" x14ac:dyDescent="0.15">
      <c r="A3320" s="23" t="str">
        <f>HYPERLINK("https://www.spark-marketing.ru/Card/Person/4369400", "ООО АВИАПРЕДПРИЯТИЕ ""ГАЗПРОМ АВИА""")</f>
        <v>ООО АВИАПРЕДПРИЯТИЕ "ГАЗПРОМ АВИА"</v>
      </c>
      <c r="B3320" s="24" t="s">
        <v>1724</v>
      </c>
      <c r="C3320" s="25">
        <v>9261</v>
      </c>
      <c r="D3320" s="22" t="s">
        <v>5738</v>
      </c>
      <c r="E3320" s="22" t="s">
        <v>1726</v>
      </c>
      <c r="F3320" s="23" t="str">
        <f>HYPERLINK("https://www.spark-marketing.ru/Card/Lot/73383062", "Оплата по счету№160 за услуги по обеспечению бортовым питанием в а/п г. Белгород")</f>
        <v>Оплата по счету№160 за услуги по обеспечению бортовым питанием в а/п г. Белгород</v>
      </c>
      <c r="G3320" s="22" t="s">
        <v>56</v>
      </c>
      <c r="H3320" s="22" t="s">
        <v>56</v>
      </c>
      <c r="I3320" s="26">
        <v>43720</v>
      </c>
      <c r="J3320" s="28" t="s">
        <v>51</v>
      </c>
      <c r="K3320" s="28" t="s">
        <v>51</v>
      </c>
      <c r="L3320" s="28" t="s">
        <v>51</v>
      </c>
      <c r="M3320" s="28" t="s">
        <v>51</v>
      </c>
      <c r="N3320" s="28" t="s">
        <v>51</v>
      </c>
    </row>
    <row r="3321" spans="1:14" x14ac:dyDescent="0.15">
      <c r="A3321" s="23" t="str">
        <f>HYPERLINK("https://www.spark-marketing.ru/Card/Person/4348382", "ООО ""ГАЗПРОМ ПИТАНИЕ""")</f>
        <v>ООО "ГАЗПРОМ ПИТАНИЕ"</v>
      </c>
      <c r="B3321" s="24" t="s">
        <v>2869</v>
      </c>
      <c r="C3321" s="25">
        <v>155000</v>
      </c>
      <c r="D3321" s="22" t="s">
        <v>5739</v>
      </c>
      <c r="E3321" s="22" t="s">
        <v>52</v>
      </c>
      <c r="F3321" s="23" t="str">
        <f>HYPERLINK("https://www.spark-marketing.ru/Card/Lot/73358667", "Оказание услуг по проведению периодических (предварительных) медицинских осмотров для работников подразделений ( бар 12 этажа, ресторан ""эксклюзив"", бар блока ""сd"") для нужд филиала ""московское управление по организации общественного питания"" о...")</f>
        <v>Оказание услуг по проведению периодических (предварительных) медицинских осмотров для работников подразделений ( бар 12 этажа, ресторан "эксклюзив", бар блока "сd") для нужд филиала "московское управление по организации общественного питания" о...</v>
      </c>
      <c r="G3321" s="22" t="s">
        <v>56</v>
      </c>
      <c r="H3321" s="22" t="s">
        <v>56</v>
      </c>
      <c r="I3321" s="26">
        <v>43719.775694444397</v>
      </c>
      <c r="J3321" s="28" t="s">
        <v>51</v>
      </c>
      <c r="K3321" s="28" t="s">
        <v>51</v>
      </c>
      <c r="L3321" s="28" t="s">
        <v>51</v>
      </c>
      <c r="M3321" s="28" t="s">
        <v>51</v>
      </c>
      <c r="N3321" s="28" t="s">
        <v>51</v>
      </c>
    </row>
    <row r="3322" spans="1:14" x14ac:dyDescent="0.15">
      <c r="A3322" s="23" t="str">
        <f>HYPERLINK("https://www.spark-marketing.ru/Card/Person/19966", "МВД ПО РЕСПУБЛИКЕ ХАКАСИЯ")</f>
        <v>МВД ПО РЕСПУБЛИКЕ ХАКАСИЯ</v>
      </c>
      <c r="B3322" s="24" t="s">
        <v>5740</v>
      </c>
      <c r="C3322" s="25">
        <v>192335.92</v>
      </c>
      <c r="D3322" s="22" t="s">
        <v>5741</v>
      </c>
      <c r="E3322" s="22" t="s">
        <v>603</v>
      </c>
      <c r="F3322" s="23" t="str">
        <f>HYPERLINK("https://www.spark-marketing.ru/Card/Lot/73354060", "Оказание услуг по ремонту средств измерений")</f>
        <v>Оказание услуг по ремонту средств измерений</v>
      </c>
      <c r="G3322" s="22" t="s">
        <v>92</v>
      </c>
      <c r="H3322" s="22" t="s">
        <v>92</v>
      </c>
      <c r="I3322" s="26">
        <v>43719.711805555598</v>
      </c>
      <c r="J3322" s="23" t="str">
        <f>HYPERLINK("https://www.spark-marketing.ru/Card/Person/106934", "ООО ""ТЕХНОРЕСУРС""")</f>
        <v>ООО "ТЕХНОРЕСУРС"</v>
      </c>
      <c r="K3322" s="24" t="s">
        <v>5742</v>
      </c>
      <c r="L3322" s="22" t="s">
        <v>10</v>
      </c>
      <c r="M3322" s="28" t="s">
        <v>51</v>
      </c>
      <c r="N3322" s="28" t="s">
        <v>51</v>
      </c>
    </row>
    <row r="3323" spans="1:14" x14ac:dyDescent="0.15">
      <c r="A3323" s="23" t="s">
        <v>114</v>
      </c>
      <c r="B3323" s="28" t="s">
        <v>51</v>
      </c>
      <c r="C3323" s="25">
        <v>239982</v>
      </c>
      <c r="D3323" s="22" t="s">
        <v>5743</v>
      </c>
      <c r="E3323" s="22" t="s">
        <v>48</v>
      </c>
      <c r="F3323" s="23" t="str">
        <f>HYPERLINK("https://www.spark-marketing.ru/Card/Lot/73361366", "Оказание услуг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семей).")</f>
        <v>Оказание услуг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семей).</v>
      </c>
      <c r="G3323" s="22" t="s">
        <v>51</v>
      </c>
      <c r="H3323" s="22" t="s">
        <v>51</v>
      </c>
      <c r="I3323" s="26">
        <v>43719.714583333298</v>
      </c>
      <c r="J3323" s="23" t="str">
        <f>HYPERLINK("https://www.spark-marketing.ru/Card/Person/6704702", "Оруджева Арзу Рамиз Кызы")</f>
        <v>Оруджева Арзу Рамиз Кызы</v>
      </c>
      <c r="K3323" s="24" t="s">
        <v>5744</v>
      </c>
      <c r="L3323" s="22" t="s">
        <v>10</v>
      </c>
      <c r="M3323" s="28" t="s">
        <v>51</v>
      </c>
      <c r="N3323" s="28" t="s">
        <v>51</v>
      </c>
    </row>
    <row r="3324" spans="1:14" hidden="1" outlineLevel="1" x14ac:dyDescent="0.15">
      <c r="A3324" s="23" t="str">
        <f>HYPERLINK("https://www.spark-marketing.ru/Card/Person/347502", "МКОУ ЕЛНАТСКАЯ СРЕДНЯЯ ШКОЛА")</f>
        <v>МКОУ ЕЛНАТСКАЯ СРЕДНЯЯ ШКОЛА</v>
      </c>
      <c r="B3324" s="24" t="s">
        <v>5745</v>
      </c>
      <c r="C3324" s="25">
        <v>58374</v>
      </c>
      <c r="D3324" s="22" t="s">
        <v>5743</v>
      </c>
      <c r="E3324" s="22" t="s">
        <v>48</v>
      </c>
      <c r="F3324" s="23" t="str">
        <f>HYPERLINK("https://www.spark-marketing.ru/Card/Lot/73361366", "Оказание услуг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семей).")</f>
        <v>Оказание услуг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семей).</v>
      </c>
      <c r="G3324" s="22" t="s">
        <v>1047</v>
      </c>
      <c r="H3324" s="22" t="s">
        <v>1047</v>
      </c>
      <c r="I3324" s="26">
        <v>43719.714583333298</v>
      </c>
      <c r="J3324" s="23" t="str">
        <f>HYPERLINK("https://www.spark-marketing.ru/Card/Person/6704702", "Оруджева Арзу Рамиз Кызы")</f>
        <v>Оруджева Арзу Рамиз Кызы</v>
      </c>
      <c r="K3324" s="24" t="s">
        <v>5744</v>
      </c>
      <c r="L3324" s="22" t="s">
        <v>10</v>
      </c>
      <c r="M3324" s="28" t="s">
        <v>51</v>
      </c>
      <c r="N3324" s="28" t="s">
        <v>51</v>
      </c>
    </row>
    <row r="3325" spans="1:14" hidden="1" outlineLevel="1" x14ac:dyDescent="0.15">
      <c r="A3325" s="23" t="str">
        <f>HYPERLINK("https://www.spark-marketing.ru/Card/Person/1019696", "МКОУ СШ №1 ИМ. А.С.ПУШКИНА")</f>
        <v>МКОУ СШ №1 ИМ. А.С.ПУШКИНА</v>
      </c>
      <c r="B3325" s="24" t="s">
        <v>5746</v>
      </c>
      <c r="C3325" s="25">
        <v>78568</v>
      </c>
      <c r="D3325" s="22" t="s">
        <v>5743</v>
      </c>
      <c r="E3325" s="22" t="s">
        <v>48</v>
      </c>
      <c r="F3325" s="23" t="str">
        <f>HYPERLINK("https://www.spark-marketing.ru/Card/Lot/73361366", "Оказание услуг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семей).")</f>
        <v>Оказание услуг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семей).</v>
      </c>
      <c r="G3325" s="22" t="s">
        <v>1047</v>
      </c>
      <c r="H3325" s="22" t="s">
        <v>1047</v>
      </c>
      <c r="I3325" s="26">
        <v>43719.714583333298</v>
      </c>
      <c r="J3325" s="23" t="str">
        <f>HYPERLINK("https://www.spark-marketing.ru/Card/Person/6704702", "Оруджева Арзу Рамиз Кызы")</f>
        <v>Оруджева Арзу Рамиз Кызы</v>
      </c>
      <c r="K3325" s="24" t="s">
        <v>5744</v>
      </c>
      <c r="L3325" s="22" t="s">
        <v>10</v>
      </c>
      <c r="M3325" s="28" t="s">
        <v>51</v>
      </c>
      <c r="N3325" s="28" t="s">
        <v>51</v>
      </c>
    </row>
    <row r="3326" spans="1:14" hidden="1" outlineLevel="1" x14ac:dyDescent="0.15">
      <c r="A3326" s="23" t="str">
        <f>HYPERLINK("https://www.spark-marketing.ru/Card/Person/1085365", "МКОУ СРЕДНЯЯ ШКОЛА №2")</f>
        <v>МКОУ СРЕДНЯЯ ШКОЛА №2</v>
      </c>
      <c r="B3326" s="24" t="s">
        <v>5747</v>
      </c>
      <c r="C3326" s="25">
        <v>103040</v>
      </c>
      <c r="D3326" s="22" t="s">
        <v>5743</v>
      </c>
      <c r="E3326" s="22" t="s">
        <v>48</v>
      </c>
      <c r="F3326" s="23" t="str">
        <f>HYPERLINK("https://www.spark-marketing.ru/Card/Lot/73361366", "Оказание услуг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семей).")</f>
        <v>Оказание услуг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семей).</v>
      </c>
      <c r="G3326" s="22" t="s">
        <v>1047</v>
      </c>
      <c r="H3326" s="22" t="s">
        <v>1047</v>
      </c>
      <c r="I3326" s="26">
        <v>43719.714583333298</v>
      </c>
      <c r="J3326" s="23" t="str">
        <f>HYPERLINK("https://www.spark-marketing.ru/Card/Person/6704702", "Оруджева Арзу Рамиз Кызы")</f>
        <v>Оруджева Арзу Рамиз Кызы</v>
      </c>
      <c r="K3326" s="24" t="s">
        <v>5744</v>
      </c>
      <c r="L3326" s="22" t="s">
        <v>10</v>
      </c>
      <c r="M3326" s="28" t="s">
        <v>51</v>
      </c>
      <c r="N3326" s="28" t="s">
        <v>51</v>
      </c>
    </row>
    <row r="3327" spans="1:14" x14ac:dyDescent="0.15">
      <c r="A3327" s="23" t="str">
        <f>HYPERLINK("https://www.spark-marketing.ru/Card/Person/1083559", "МКОУ СРЕДНЯЯ ШКОЛА №3")</f>
        <v>МКОУ СРЕДНЯЯ ШКОЛА №3</v>
      </c>
      <c r="B3327" s="24" t="s">
        <v>5748</v>
      </c>
      <c r="C3327" s="25">
        <v>38640</v>
      </c>
      <c r="D3327" s="22" t="s">
        <v>5749</v>
      </c>
      <c r="E3327" s="22" t="s">
        <v>48</v>
      </c>
      <c r="F3327" s="23" t="str">
        <f>HYPERLINK("https://www.spark-marketing.ru/Card/Lot/73361288", "Оказание услуг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семей)")</f>
        <v>Оказание услуг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</v>
      </c>
      <c r="G3327" s="22" t="s">
        <v>1047</v>
      </c>
      <c r="H3327" s="22" t="s">
        <v>1047</v>
      </c>
      <c r="I3327" s="26">
        <v>43719.716666666704</v>
      </c>
      <c r="J3327" s="23" t="str">
        <f>HYPERLINK("https://www.spark-marketing.ru/Card/Person/6704717", "Гальцева Ирина Александровна")</f>
        <v>Гальцева Ирина Александровна</v>
      </c>
      <c r="K3327" s="24" t="s">
        <v>5750</v>
      </c>
      <c r="L3327" s="22" t="s">
        <v>10</v>
      </c>
      <c r="M3327" s="28" t="s">
        <v>51</v>
      </c>
      <c r="N3327" s="28" t="s">
        <v>51</v>
      </c>
    </row>
    <row r="3328" spans="1:14" x14ac:dyDescent="0.15">
      <c r="A3328" s="23" t="str">
        <f>HYPERLINK("https://www.spark-marketing.ru/Card/Person/1762219", "МАДОУ ""ДЕТСКИЙ САД № 16""")</f>
        <v>МАДОУ "ДЕТСКИЙ САД № 16"</v>
      </c>
      <c r="B3328" s="24" t="s">
        <v>5751</v>
      </c>
      <c r="C3328" s="25">
        <v>22709642</v>
      </c>
      <c r="D3328" s="22" t="s">
        <v>5752</v>
      </c>
      <c r="E3328" s="22" t="s">
        <v>48</v>
      </c>
      <c r="F3328" s="23" t="str">
        <f>HYPERLINK("https://www.spark-marketing.ru/Card/Lot/73363025",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3328" s="22" t="s">
        <v>49</v>
      </c>
      <c r="H3328" s="22" t="s">
        <v>301</v>
      </c>
      <c r="I3328" s="26">
        <v>43719.670138888898</v>
      </c>
      <c r="J3328" s="28" t="s">
        <v>51</v>
      </c>
      <c r="K3328" s="28" t="s">
        <v>51</v>
      </c>
      <c r="L3328" s="28" t="s">
        <v>51</v>
      </c>
      <c r="M3328" s="28" t="s">
        <v>51</v>
      </c>
      <c r="N3328" s="28" t="s">
        <v>51</v>
      </c>
    </row>
    <row r="3329" spans="1:14" hidden="1" outlineLevel="1" x14ac:dyDescent="0.2">
      <c r="A3329" s="23" t="str">
        <f>HYPERLINK("https://www.spark-marketing.ru/Card/Person/1762219", "МАДОУ ""ДЕТСКИЙ САД № 16""")</f>
        <v>МАДОУ "ДЕТСКИЙ САД № 16"</v>
      </c>
      <c r="B3329" s="24" t="s">
        <v>5751</v>
      </c>
      <c r="C3329" s="25">
        <v>22709642</v>
      </c>
      <c r="D3329" s="22" t="s">
        <v>5752</v>
      </c>
      <c r="E3329" s="22" t="s">
        <v>48</v>
      </c>
      <c r="F3329" s="23" t="str">
        <f>HYPERLINK("https://www.spark-marketing.ru/Card/Lot/73363025",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3329" s="22" t="s">
        <v>49</v>
      </c>
      <c r="H3329" s="22" t="s">
        <v>301</v>
      </c>
      <c r="I3329" s="26">
        <v>43719.670138888898</v>
      </c>
      <c r="J3329" s="23" t="str">
        <f>HYPERLINK("https://www.spark-marketing.ru/Card/Person/100937", "ООО ""ВЕРТИКАЛЬ""")</f>
        <v>ООО "ВЕРТИКАЛЬ"</v>
      </c>
      <c r="K3329" s="24" t="s">
        <v>4501</v>
      </c>
      <c r="L3329" s="28" t="s">
        <v>51</v>
      </c>
      <c r="M3329" s="25">
        <v>20438677.800000001</v>
      </c>
      <c r="N3329" s="27">
        <v>0.1</v>
      </c>
    </row>
    <row r="3330" spans="1:14" ht="12.75" hidden="1" outlineLevel="1" x14ac:dyDescent="0.2">
      <c r="A3330" s="23" t="str">
        <f>HYPERLINK("https://www.spark-marketing.ru/Card/Person/1762219", "МАДОУ ""ДЕТСКИЙ САД № 16""")</f>
        <v>МАДОУ "ДЕТСКИЙ САД № 16"</v>
      </c>
      <c r="B3330" s="24" t="s">
        <v>5751</v>
      </c>
      <c r="C3330" s="25">
        <v>22709642</v>
      </c>
      <c r="D3330" s="22" t="s">
        <v>5752</v>
      </c>
      <c r="E3330" s="22" t="s">
        <v>48</v>
      </c>
      <c r="F3330" s="23" t="str">
        <f>HYPERLINK("https://www.spark-marketing.ru/Card/Lot/73363025",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3330" s="22" t="s">
        <v>49</v>
      </c>
      <c r="H3330" s="22" t="s">
        <v>301</v>
      </c>
      <c r="I3330" s="26">
        <v>43719.670138888898</v>
      </c>
      <c r="J3330" s="23" t="str">
        <f>HYPERLINK("https://www.spark-marketing.ru/Card/Person/70733", "ООО ""ПЛАНЕТА ВКУСА""")</f>
        <v>ООО "ПЛАНЕТА ВКУСА"</v>
      </c>
      <c r="K3330" s="24" t="s">
        <v>4502</v>
      </c>
      <c r="L3330" s="22" t="s">
        <v>10</v>
      </c>
      <c r="M3330" s="25">
        <v>21522858</v>
      </c>
      <c r="N3330" s="27">
        <v>5.2259036051735208E-2</v>
      </c>
    </row>
    <row r="3331" spans="1:14" x14ac:dyDescent="0.15">
      <c r="A3331" s="23" t="str">
        <f>HYPERLINK("https://www.spark-marketing.ru/Card/Person/134221", "МБДОУ ""ДЕТСКИЙ САД № 30""")</f>
        <v>МБДОУ "ДЕТСКИЙ САД № 30"</v>
      </c>
      <c r="B3331" s="24" t="s">
        <v>5753</v>
      </c>
      <c r="C3331" s="25">
        <v>18038075</v>
      </c>
      <c r="D3331" s="22" t="s">
        <v>5754</v>
      </c>
      <c r="E3331" s="22" t="s">
        <v>48</v>
      </c>
      <c r="F3331" s="23" t="str">
        <f>HYPERLINK("https://www.spark-marketing.ru/Card/Lot/73363442", "на оказание услуг по организации горячего питания в МБДОУ№30")</f>
        <v>на оказание услуг по организации горячего питания в МБДОУ№30</v>
      </c>
      <c r="G3331" s="22" t="s">
        <v>49</v>
      </c>
      <c r="H3331" s="22" t="s">
        <v>301</v>
      </c>
      <c r="I3331" s="26">
        <v>43719.675000000003</v>
      </c>
      <c r="J3331" s="28" t="s">
        <v>51</v>
      </c>
      <c r="K3331" s="28" t="s">
        <v>51</v>
      </c>
      <c r="L3331" s="28" t="s">
        <v>51</v>
      </c>
      <c r="M3331" s="28" t="s">
        <v>51</v>
      </c>
      <c r="N3331" s="28" t="s">
        <v>51</v>
      </c>
    </row>
    <row r="3332" spans="1:14" hidden="1" outlineLevel="1" x14ac:dyDescent="0.2">
      <c r="A3332" s="23" t="str">
        <f>HYPERLINK("https://www.spark-marketing.ru/Card/Person/134221", "МБДОУ ""ДЕТСКИЙ САД № 30""")</f>
        <v>МБДОУ "ДЕТСКИЙ САД № 30"</v>
      </c>
      <c r="B3332" s="24" t="s">
        <v>5753</v>
      </c>
      <c r="C3332" s="25">
        <v>18038075</v>
      </c>
      <c r="D3332" s="22" t="s">
        <v>5754</v>
      </c>
      <c r="E3332" s="22" t="s">
        <v>48</v>
      </c>
      <c r="F3332" s="23" t="str">
        <f>HYPERLINK("https://www.spark-marketing.ru/Card/Lot/73363442", "на оказание услуг по организации горячего питания в МБДОУ№30")</f>
        <v>на оказание услуг по организации горячего питания в МБДОУ№30</v>
      </c>
      <c r="G3332" s="22" t="s">
        <v>49</v>
      </c>
      <c r="H3332" s="22" t="s">
        <v>301</v>
      </c>
      <c r="I3332" s="26">
        <v>43719.675000000003</v>
      </c>
      <c r="J3332" s="23" t="str">
        <f>HYPERLINK("https://www.spark-marketing.ru/Card/Person/100937", "ООО ""ВЕРТИКАЛЬ""")</f>
        <v>ООО "ВЕРТИКАЛЬ"</v>
      </c>
      <c r="K3332" s="24" t="s">
        <v>4501</v>
      </c>
      <c r="L3332" s="28" t="s">
        <v>51</v>
      </c>
      <c r="M3332" s="25">
        <v>16595029</v>
      </c>
      <c r="N3332" s="27">
        <v>0.08</v>
      </c>
    </row>
    <row r="3333" spans="1:14" ht="12.75" hidden="1" outlineLevel="1" x14ac:dyDescent="0.2">
      <c r="A3333" s="23" t="str">
        <f>HYPERLINK("https://www.spark-marketing.ru/Card/Person/134221", "МБДОУ ""ДЕТСКИЙ САД № 30""")</f>
        <v>МБДОУ "ДЕТСКИЙ САД № 30"</v>
      </c>
      <c r="B3333" s="24" t="s">
        <v>5753</v>
      </c>
      <c r="C3333" s="25">
        <v>18038075</v>
      </c>
      <c r="D3333" s="22" t="s">
        <v>5754</v>
      </c>
      <c r="E3333" s="22" t="s">
        <v>48</v>
      </c>
      <c r="F3333" s="23" t="str">
        <f>HYPERLINK("https://www.spark-marketing.ru/Card/Lot/73363442", "на оказание услуг по организации горячего питания в МБДОУ№30")</f>
        <v>на оказание услуг по организации горячего питания в МБДОУ№30</v>
      </c>
      <c r="G3333" s="22" t="s">
        <v>49</v>
      </c>
      <c r="H3333" s="22" t="s">
        <v>301</v>
      </c>
      <c r="I3333" s="26">
        <v>43719.675000000003</v>
      </c>
      <c r="J3333" s="23" t="str">
        <f>HYPERLINK("https://www.spark-marketing.ru/Card/Person/70733", "ООО ""ПЛАНЕТА ВКУСА""")</f>
        <v>ООО "ПЛАНЕТА ВКУСА"</v>
      </c>
      <c r="K3333" s="24" t="s">
        <v>4502</v>
      </c>
      <c r="L3333" s="22" t="s">
        <v>10</v>
      </c>
      <c r="M3333" s="25">
        <v>17123109</v>
      </c>
      <c r="N3333" s="27">
        <v>5.0724148779733982E-2</v>
      </c>
    </row>
    <row r="3334" spans="1:14" x14ac:dyDescent="0.15">
      <c r="A3334" s="23" t="str">
        <f>HYPERLINK("https://www.spark-marketing.ru/Card/Person/93717", "ОБУЗ ""ГОСПИТАЛЬ ДЛЯ ВЕТЕРАНОВ ВОЙН""")</f>
        <v>ОБУЗ "ГОСПИТАЛЬ ДЛЯ ВЕТЕРАНОВ ВОЙН"</v>
      </c>
      <c r="B3334" s="24" t="s">
        <v>5755</v>
      </c>
      <c r="C3334" s="25">
        <v>4490298</v>
      </c>
      <c r="D3334" s="22" t="s">
        <v>5756</v>
      </c>
      <c r="E3334" s="22" t="s">
        <v>48</v>
      </c>
      <c r="F3334" s="23" t="str">
        <f>HYPERLINK("https://www.spark-marketing.ru/Card/Lot/73362224", "Оказание услуг по организации питания")</f>
        <v>Оказание услуг по организации питания</v>
      </c>
      <c r="G3334" s="22" t="s">
        <v>1111</v>
      </c>
      <c r="H3334" s="22" t="s">
        <v>1111</v>
      </c>
      <c r="I3334" s="26">
        <v>43719.682638888902</v>
      </c>
      <c r="J3334" s="28" t="s">
        <v>51</v>
      </c>
      <c r="K3334" s="28" t="s">
        <v>51</v>
      </c>
      <c r="L3334" s="28" t="s">
        <v>51</v>
      </c>
      <c r="M3334" s="28" t="s">
        <v>51</v>
      </c>
      <c r="N3334" s="28" t="s">
        <v>51</v>
      </c>
    </row>
    <row r="3335" spans="1:14" hidden="1" outlineLevel="1" x14ac:dyDescent="0.2">
      <c r="A3335" s="23" t="str">
        <f>HYPERLINK("https://www.spark-marketing.ru/Card/Person/93717", "ОБУЗ ""ГОСПИТАЛЬ ДЛЯ ВЕТЕРАНОВ ВОЙН""")</f>
        <v>ОБУЗ "ГОСПИТАЛЬ ДЛЯ ВЕТЕРАНОВ ВОЙН"</v>
      </c>
      <c r="B3335" s="24" t="s">
        <v>5755</v>
      </c>
      <c r="C3335" s="25">
        <v>4490298</v>
      </c>
      <c r="D3335" s="22" t="s">
        <v>5756</v>
      </c>
      <c r="E3335" s="22" t="s">
        <v>48</v>
      </c>
      <c r="F3335" s="23" t="str">
        <f>HYPERLINK("https://www.spark-marketing.ru/Card/Lot/73362224", "Оказание услуг по организации питания")</f>
        <v>Оказание услуг по организации питания</v>
      </c>
      <c r="G3335" s="22" t="s">
        <v>1111</v>
      </c>
      <c r="H3335" s="22" t="s">
        <v>1111</v>
      </c>
      <c r="I3335" s="26">
        <v>43719.682638888902</v>
      </c>
      <c r="J3335" s="23" t="str">
        <f>HYPERLINK("https://www.spark-marketing.ru/Card/Person/669739", "Иванова Елена Валерьевна")</f>
        <v>Иванова Елена Валерьевна</v>
      </c>
      <c r="K3335" s="24" t="s">
        <v>5757</v>
      </c>
      <c r="L3335" s="28" t="s">
        <v>51</v>
      </c>
      <c r="M3335" s="25">
        <v>4303800</v>
      </c>
      <c r="N3335" s="27">
        <v>4.1533546325878593E-2</v>
      </c>
    </row>
    <row r="3336" spans="1:14" ht="12.75" hidden="1" outlineLevel="1" x14ac:dyDescent="0.2">
      <c r="A3336" s="23" t="str">
        <f>HYPERLINK("https://www.spark-marketing.ru/Card/Person/93717", "ОБУЗ ""ГОСПИТАЛЬ ДЛЯ ВЕТЕРАНОВ ВОЙН""")</f>
        <v>ОБУЗ "ГОСПИТАЛЬ ДЛЯ ВЕТЕРАНОВ ВОЙН"</v>
      </c>
      <c r="B3336" s="24" t="s">
        <v>5755</v>
      </c>
      <c r="C3336" s="25">
        <v>4490298</v>
      </c>
      <c r="D3336" s="22" t="s">
        <v>5756</v>
      </c>
      <c r="E3336" s="22" t="s">
        <v>48</v>
      </c>
      <c r="F3336" s="23" t="str">
        <f>HYPERLINK("https://www.spark-marketing.ru/Card/Lot/73362224", "Оказание услуг по организации питания")</f>
        <v>Оказание услуг по организации питания</v>
      </c>
      <c r="G3336" s="22" t="s">
        <v>1111</v>
      </c>
      <c r="H3336" s="22" t="s">
        <v>1111</v>
      </c>
      <c r="I3336" s="26">
        <v>43719.682638888902</v>
      </c>
      <c r="J3336" s="23" t="str">
        <f>HYPERLINK("https://www.spark-marketing.ru/Card/Person/74825", "ООО ""ИНСТИТУТ ПИТАНИЯ""")</f>
        <v>ООО "ИНСТИТУТ ПИТАНИЯ"</v>
      </c>
      <c r="K3336" s="24" t="s">
        <v>1646</v>
      </c>
      <c r="L3336" s="22" t="s">
        <v>10</v>
      </c>
      <c r="M3336" s="25">
        <v>3156120</v>
      </c>
      <c r="N3336" s="27">
        <v>0.29712460063897761</v>
      </c>
    </row>
    <row r="3337" spans="1:14" hidden="1" outlineLevel="1" x14ac:dyDescent="0.2">
      <c r="A3337" s="23" t="str">
        <f>HYPERLINK("https://www.spark-marketing.ru/Card/Person/93717", "ОБУЗ ""ГОСПИТАЛЬ ДЛЯ ВЕТЕРАНОВ ВОЙН""")</f>
        <v>ОБУЗ "ГОСПИТАЛЬ ДЛЯ ВЕТЕРАНОВ ВОЙН"</v>
      </c>
      <c r="B3337" s="24" t="s">
        <v>5755</v>
      </c>
      <c r="C3337" s="25">
        <v>4490298</v>
      </c>
      <c r="D3337" s="22" t="s">
        <v>5756</v>
      </c>
      <c r="E3337" s="22" t="s">
        <v>48</v>
      </c>
      <c r="F3337" s="23" t="str">
        <f>HYPERLINK("https://www.spark-marketing.ru/Card/Lot/73362224", "Оказание услуг по организации питания")</f>
        <v>Оказание услуг по организации питания</v>
      </c>
      <c r="G3337" s="22" t="s">
        <v>1111</v>
      </c>
      <c r="H3337" s="22" t="s">
        <v>1111</v>
      </c>
      <c r="I3337" s="26">
        <v>43719.682638888902</v>
      </c>
      <c r="J3337" s="23" t="str">
        <f>HYPERLINK("https://www.spark-marketing.ru/Card/Person/59520", "ООО ""СКК""")</f>
        <v>ООО "СКК"</v>
      </c>
      <c r="K3337" s="24" t="s">
        <v>5758</v>
      </c>
      <c r="L3337" s="28" t="s">
        <v>51</v>
      </c>
      <c r="M3337" s="25">
        <v>2940930</v>
      </c>
      <c r="N3337" s="27">
        <v>0.34504792332268369</v>
      </c>
    </row>
    <row r="3338" spans="1:14" x14ac:dyDescent="0.15">
      <c r="A3338" s="23" t="str">
        <f>HYPERLINK("https://www.spark-marketing.ru/Card/Person/134222", "МБДОУ ""ДЕТСКИЙ САД №33""")</f>
        <v>МБДОУ "ДЕТСКИЙ САД №33"</v>
      </c>
      <c r="B3338" s="24" t="s">
        <v>5759</v>
      </c>
      <c r="C3338" s="25">
        <v>17764453</v>
      </c>
      <c r="D3338" s="22" t="s">
        <v>5760</v>
      </c>
      <c r="E3338" s="22" t="s">
        <v>48</v>
      </c>
      <c r="F3338" s="23" t="str">
        <f>HYPERLINK("https://www.spark-marketing.ru/Card/Lot/73363465", "на оказание услуг по организации горячего питания в МБДОУ №33")</f>
        <v>на оказание услуг по организации горячего питания в МБДОУ №33</v>
      </c>
      <c r="G3338" s="22" t="s">
        <v>49</v>
      </c>
      <c r="H3338" s="22" t="s">
        <v>301</v>
      </c>
      <c r="I3338" s="26">
        <v>43719.670138888898</v>
      </c>
      <c r="J3338" s="28" t="s">
        <v>51</v>
      </c>
      <c r="K3338" s="28" t="s">
        <v>51</v>
      </c>
      <c r="L3338" s="28" t="s">
        <v>51</v>
      </c>
      <c r="M3338" s="28" t="s">
        <v>51</v>
      </c>
      <c r="N3338" s="28" t="s">
        <v>51</v>
      </c>
    </row>
    <row r="3339" spans="1:14" hidden="1" outlineLevel="1" x14ac:dyDescent="0.2">
      <c r="A3339" s="23" t="str">
        <f>HYPERLINK("https://www.spark-marketing.ru/Card/Person/134222", "МБДОУ ""ДЕТСКИЙ САД №33""")</f>
        <v>МБДОУ "ДЕТСКИЙ САД №33"</v>
      </c>
      <c r="B3339" s="24" t="s">
        <v>5759</v>
      </c>
      <c r="C3339" s="25">
        <v>17764453</v>
      </c>
      <c r="D3339" s="22" t="s">
        <v>5760</v>
      </c>
      <c r="E3339" s="22" t="s">
        <v>48</v>
      </c>
      <c r="F3339" s="23" t="str">
        <f>HYPERLINK("https://www.spark-marketing.ru/Card/Lot/73363465", "на оказание услуг по организации горячего питания в МБДОУ №33")</f>
        <v>на оказание услуг по организации горячего питания в МБДОУ №33</v>
      </c>
      <c r="G3339" s="22" t="s">
        <v>49</v>
      </c>
      <c r="H3339" s="22" t="s">
        <v>301</v>
      </c>
      <c r="I3339" s="26">
        <v>43719.670138888898</v>
      </c>
      <c r="J3339" s="23" t="str">
        <f>HYPERLINK("https://www.spark-marketing.ru/Card/Person/100937", "ООО ""ВЕРТИКАЛЬ""")</f>
        <v>ООО "ВЕРТИКАЛЬ"</v>
      </c>
      <c r="K3339" s="24" t="s">
        <v>4501</v>
      </c>
      <c r="L3339" s="28" t="s">
        <v>51</v>
      </c>
      <c r="M3339" s="25">
        <v>16343296.76</v>
      </c>
      <c r="N3339" s="27">
        <v>0.08</v>
      </c>
    </row>
    <row r="3340" spans="1:14" ht="12.75" hidden="1" outlineLevel="1" x14ac:dyDescent="0.2">
      <c r="A3340" s="23" t="str">
        <f>HYPERLINK("https://www.spark-marketing.ru/Card/Person/134222", "МБДОУ ""ДЕТСКИЙ САД №33""")</f>
        <v>МБДОУ "ДЕТСКИЙ САД №33"</v>
      </c>
      <c r="B3340" s="24" t="s">
        <v>5759</v>
      </c>
      <c r="C3340" s="25">
        <v>17764453</v>
      </c>
      <c r="D3340" s="22" t="s">
        <v>5760</v>
      </c>
      <c r="E3340" s="22" t="s">
        <v>48</v>
      </c>
      <c r="F3340" s="23" t="str">
        <f>HYPERLINK("https://www.spark-marketing.ru/Card/Lot/73363465", "на оказание услуг по организации горячего питания в МБДОУ №33")</f>
        <v>на оказание услуг по организации горячего питания в МБДОУ №33</v>
      </c>
      <c r="G3340" s="22" t="s">
        <v>49</v>
      </c>
      <c r="H3340" s="22" t="s">
        <v>301</v>
      </c>
      <c r="I3340" s="26">
        <v>43719.670138888898</v>
      </c>
      <c r="J3340" s="23" t="str">
        <f>HYPERLINK("https://www.spark-marketing.ru/Card/Person/70733", "ООО ""ПЛАНЕТА ВКУСА""")</f>
        <v>ООО "ПЛАНЕТА ВКУСА"</v>
      </c>
      <c r="K3340" s="24" t="s">
        <v>4502</v>
      </c>
      <c r="L3340" s="22" t="s">
        <v>10</v>
      </c>
      <c r="M3340" s="25">
        <v>16867622</v>
      </c>
      <c r="N3340" s="27">
        <v>5.0484582891463084E-2</v>
      </c>
    </row>
    <row r="3341" spans="1:14" x14ac:dyDescent="0.15">
      <c r="A3341" s="23" t="str">
        <f>HYPERLINK("https://www.spark-marketing.ru/Card/Person/1762215", "МАДОУ ""ДЕТСКИЙ САД № 27""")</f>
        <v>МАДОУ "ДЕТСКИЙ САД № 27"</v>
      </c>
      <c r="B3341" s="24" t="s">
        <v>5761</v>
      </c>
      <c r="C3341" s="25">
        <v>23518044</v>
      </c>
      <c r="D3341" s="22" t="s">
        <v>5762</v>
      </c>
      <c r="E3341" s="22" t="s">
        <v>48</v>
      </c>
      <c r="F3341" s="23" t="str">
        <f>HYPERLINK("https://www.spark-marketing.ru/Card/Lot/73363026", "на оказание услуг по организации горячего питания в МАДОУ№27")</f>
        <v>на оказание услуг по организации горячего питания в МАДОУ№27</v>
      </c>
      <c r="G3341" s="22" t="s">
        <v>49</v>
      </c>
      <c r="H3341" s="22" t="s">
        <v>301</v>
      </c>
      <c r="I3341" s="26">
        <v>43719.697916666701</v>
      </c>
      <c r="J3341" s="28" t="s">
        <v>51</v>
      </c>
      <c r="K3341" s="28" t="s">
        <v>51</v>
      </c>
      <c r="L3341" s="28" t="s">
        <v>51</v>
      </c>
      <c r="M3341" s="28" t="s">
        <v>51</v>
      </c>
      <c r="N3341" s="28" t="s">
        <v>51</v>
      </c>
    </row>
    <row r="3342" spans="1:14" hidden="1" outlineLevel="1" x14ac:dyDescent="0.2">
      <c r="A3342" s="23" t="str">
        <f>HYPERLINK("https://www.spark-marketing.ru/Card/Person/1762215", "МАДОУ ""ДЕТСКИЙ САД № 27""")</f>
        <v>МАДОУ "ДЕТСКИЙ САД № 27"</v>
      </c>
      <c r="B3342" s="24" t="s">
        <v>5761</v>
      </c>
      <c r="C3342" s="25">
        <v>23518044</v>
      </c>
      <c r="D3342" s="22" t="s">
        <v>5762</v>
      </c>
      <c r="E3342" s="22" t="s">
        <v>48</v>
      </c>
      <c r="F3342" s="23" t="str">
        <f>HYPERLINK("https://www.spark-marketing.ru/Card/Lot/73363026", "на оказание услуг по организации горячего питания в МАДОУ№27")</f>
        <v>на оказание услуг по организации горячего питания в МАДОУ№27</v>
      </c>
      <c r="G3342" s="22" t="s">
        <v>49</v>
      </c>
      <c r="H3342" s="22" t="s">
        <v>301</v>
      </c>
      <c r="I3342" s="26">
        <v>43719.697916666701</v>
      </c>
      <c r="J3342" s="23" t="str">
        <f>HYPERLINK("https://www.spark-marketing.ru/Card/Person/100937", "ООО ""ВЕРТИКАЛЬ""")</f>
        <v>ООО "ВЕРТИКАЛЬ"</v>
      </c>
      <c r="K3342" s="24" t="s">
        <v>4501</v>
      </c>
      <c r="L3342" s="28" t="s">
        <v>51</v>
      </c>
      <c r="M3342" s="25">
        <v>21166239.600000001</v>
      </c>
      <c r="N3342" s="27">
        <v>0.1</v>
      </c>
    </row>
    <row r="3343" spans="1:14" ht="12.75" hidden="1" outlineLevel="1" x14ac:dyDescent="0.2">
      <c r="A3343" s="23" t="str">
        <f>HYPERLINK("https://www.spark-marketing.ru/Card/Person/1762215", "МАДОУ ""ДЕТСКИЙ САД № 27""")</f>
        <v>МАДОУ "ДЕТСКИЙ САД № 27"</v>
      </c>
      <c r="B3343" s="24" t="s">
        <v>5761</v>
      </c>
      <c r="C3343" s="25">
        <v>23518044</v>
      </c>
      <c r="D3343" s="22" t="s">
        <v>5762</v>
      </c>
      <c r="E3343" s="22" t="s">
        <v>48</v>
      </c>
      <c r="F3343" s="23" t="str">
        <f>HYPERLINK("https://www.spark-marketing.ru/Card/Lot/73363026", "на оказание услуг по организации горячего питания в МАДОУ№27")</f>
        <v>на оказание услуг по организации горячего питания в МАДОУ№27</v>
      </c>
      <c r="G3343" s="22" t="s">
        <v>49</v>
      </c>
      <c r="H3343" s="22" t="s">
        <v>301</v>
      </c>
      <c r="I3343" s="26">
        <v>43719.697916666701</v>
      </c>
      <c r="J3343" s="23" t="str">
        <f>HYPERLINK("https://www.spark-marketing.ru/Card/Person/70733", "ООО ""ПЛАНЕТА ВКУСА""")</f>
        <v>ООО "ПЛАНЕТА ВКУСА"</v>
      </c>
      <c r="K3343" s="24" t="s">
        <v>4502</v>
      </c>
      <c r="L3343" s="22" t="s">
        <v>10</v>
      </c>
      <c r="M3343" s="25">
        <v>22310858</v>
      </c>
      <c r="N3343" s="27">
        <v>5.1330204161536566E-2</v>
      </c>
    </row>
    <row r="3344" spans="1:14" x14ac:dyDescent="0.15">
      <c r="A3344" s="23" t="str">
        <f>HYPERLINK("https://www.spark-marketing.ru/Card/Person/639234", "ОТДЕЛ МВД РОССИИ ПО ЧЕКМАГУШЕВСКОМУ РАЙОНУ")</f>
        <v>ОТДЕЛ МВД РОССИИ ПО ЧЕКМАГУШЕВСКОМУ РАЙОНУ</v>
      </c>
      <c r="B3344" s="24" t="s">
        <v>5763</v>
      </c>
      <c r="C3344" s="25">
        <v>450000</v>
      </c>
      <c r="D3344" s="22" t="s">
        <v>5764</v>
      </c>
      <c r="E3344" s="22" t="s">
        <v>48</v>
      </c>
      <c r="F3344" s="23" t="str">
        <f>HYPERLINK("https://www.spark-marketing.ru/Card/Lot/73359914", "Прочая закупка услуг (Питание в ИВС)")</f>
        <v>Прочая закупка услуг (Питание в ИВС)</v>
      </c>
      <c r="G3344" s="22" t="s">
        <v>145</v>
      </c>
      <c r="H3344" s="22" t="s">
        <v>5765</v>
      </c>
      <c r="I3344" s="26">
        <v>43719.7055555556</v>
      </c>
      <c r="J3344" s="23" t="str">
        <f>HYPERLINK("https://www.spark-marketing.ru/Card/Person/1096637", "ПО ТПО ""КОЛОС"" ЧЕКМАГУШЕВСКОГО РАЙОНА")</f>
        <v>ПО ТПО "КОЛОС" ЧЕКМАГУШЕВСКОГО РАЙОНА</v>
      </c>
      <c r="K3344" s="24" t="s">
        <v>5766</v>
      </c>
      <c r="L3344" s="22" t="s">
        <v>10</v>
      </c>
      <c r="M3344" s="28" t="s">
        <v>51</v>
      </c>
      <c r="N3344" s="28" t="s">
        <v>51</v>
      </c>
    </row>
    <row r="3345" spans="1:14" x14ac:dyDescent="0.15">
      <c r="A3345" s="23" t="str">
        <f>HYPERLINK("https://www.spark-marketing.ru/Card/Person/153162", "МБДОУ ""ДЕТСКИЙ САД № 34""")</f>
        <v>МБДОУ "ДЕТСКИЙ САД № 34"</v>
      </c>
      <c r="B3345" s="24" t="s">
        <v>5767</v>
      </c>
      <c r="C3345" s="25">
        <v>37121288</v>
      </c>
      <c r="D3345" s="22" t="s">
        <v>5768</v>
      </c>
      <c r="E3345" s="22" t="s">
        <v>48</v>
      </c>
      <c r="F3345" s="23" t="str">
        <f>HYPERLINK("https://www.spark-marketing.ru/Card/Lot/73363027", "на оказание услуг по организации горячего питания в МБДОУ№34")</f>
        <v>на оказание услуг по организации горячего питания в МБДОУ№34</v>
      </c>
      <c r="G3345" s="22" t="s">
        <v>49</v>
      </c>
      <c r="H3345" s="22" t="s">
        <v>301</v>
      </c>
      <c r="I3345" s="26">
        <v>43719.662499999999</v>
      </c>
      <c r="J3345" s="28" t="s">
        <v>51</v>
      </c>
      <c r="K3345" s="28" t="s">
        <v>51</v>
      </c>
      <c r="L3345" s="28" t="s">
        <v>51</v>
      </c>
      <c r="M3345" s="28" t="s">
        <v>51</v>
      </c>
      <c r="N3345" s="28" t="s">
        <v>51</v>
      </c>
    </row>
    <row r="3346" spans="1:14" hidden="1" outlineLevel="1" x14ac:dyDescent="0.2">
      <c r="A3346" s="23" t="str">
        <f>HYPERLINK("https://www.spark-marketing.ru/Card/Person/153162", "МБДОУ ""ДЕТСКИЙ САД № 34""")</f>
        <v>МБДОУ "ДЕТСКИЙ САД № 34"</v>
      </c>
      <c r="B3346" s="24" t="s">
        <v>5767</v>
      </c>
      <c r="C3346" s="25">
        <v>37121288</v>
      </c>
      <c r="D3346" s="22" t="s">
        <v>5768</v>
      </c>
      <c r="E3346" s="22" t="s">
        <v>48</v>
      </c>
      <c r="F3346" s="23" t="str">
        <f>HYPERLINK("https://www.spark-marketing.ru/Card/Lot/73363027", "на оказание услуг по организации горячего питания в МБДОУ№34")</f>
        <v>на оказание услуг по организации горячего питания в МБДОУ№34</v>
      </c>
      <c r="G3346" s="22" t="s">
        <v>49</v>
      </c>
      <c r="H3346" s="22" t="s">
        <v>301</v>
      </c>
      <c r="I3346" s="26">
        <v>43719.662499999999</v>
      </c>
      <c r="J3346" s="23" t="str">
        <f>HYPERLINK("https://www.spark-marketing.ru/Card/Person/100937", "ООО ""ВЕРТИКАЛЬ""")</f>
        <v>ООО "ВЕРТИКАЛЬ"</v>
      </c>
      <c r="K3346" s="24" t="s">
        <v>4501</v>
      </c>
      <c r="L3346" s="28" t="s">
        <v>51</v>
      </c>
      <c r="M3346" s="25">
        <v>35265223.600000001</v>
      </c>
      <c r="N3346" s="27">
        <v>0.05</v>
      </c>
    </row>
    <row r="3347" spans="1:14" ht="12.75" hidden="1" outlineLevel="1" x14ac:dyDescent="0.2">
      <c r="A3347" s="23" t="str">
        <f>HYPERLINK("https://www.spark-marketing.ru/Card/Person/153162", "МБДОУ ""ДЕТСКИЙ САД № 34""")</f>
        <v>МБДОУ "ДЕТСКИЙ САД № 34"</v>
      </c>
      <c r="B3347" s="24" t="s">
        <v>5767</v>
      </c>
      <c r="C3347" s="25">
        <v>37121288</v>
      </c>
      <c r="D3347" s="22" t="s">
        <v>5768</v>
      </c>
      <c r="E3347" s="22" t="s">
        <v>48</v>
      </c>
      <c r="F3347" s="23" t="str">
        <f>HYPERLINK("https://www.spark-marketing.ru/Card/Lot/73363027", "на оказание услуг по организации горячего питания в МБДОУ№34")</f>
        <v>на оказание услуг по организации горячего питания в МБДОУ№34</v>
      </c>
      <c r="G3347" s="22" t="s">
        <v>49</v>
      </c>
      <c r="H3347" s="22" t="s">
        <v>301</v>
      </c>
      <c r="I3347" s="26">
        <v>43719.662499999999</v>
      </c>
      <c r="J3347" s="23" t="str">
        <f>HYPERLINK("https://www.spark-marketing.ru/Card/Person/70733", "ООО ""ПЛАНЕТА ВКУСА""")</f>
        <v>ООО "ПЛАНЕТА ВКУСА"</v>
      </c>
      <c r="K3347" s="24" t="s">
        <v>4502</v>
      </c>
      <c r="L3347" s="22" t="s">
        <v>10</v>
      </c>
      <c r="M3347" s="25">
        <v>35205818</v>
      </c>
      <c r="N3347" s="27">
        <v>5.1600310851282964E-2</v>
      </c>
    </row>
    <row r="3348" spans="1:14" x14ac:dyDescent="0.15">
      <c r="A3348" s="23" t="str">
        <f>HYPERLINK("https://www.spark-marketing.ru/Card/Person/148772", "БУНР ФСО ""АТЛАНТ""")</f>
        <v>БУНР ФСО "АТЛАНТ"</v>
      </c>
      <c r="B3348" s="24" t="s">
        <v>5769</v>
      </c>
      <c r="C3348" s="25">
        <v>2760000</v>
      </c>
      <c r="D3348" s="22" t="s">
        <v>5770</v>
      </c>
      <c r="E3348" s="22" t="s">
        <v>96</v>
      </c>
      <c r="F3348" s="23" t="str">
        <f>HYPERLINK("https://www.spark-marketing.ru/Card/Lot/73355682", "Оказание услуг по организации питания в дни соревнований спортсменов, судей, тренеров, представителей почетных гостей Традиционного Международного турнира по вольной борьбе")</f>
        <v>Оказание услуг по организации питания в дни соревнований спортсменов, судей, тренеров, представителей почетных гостей Традиционного Международного турнира по вольной борьбе</v>
      </c>
      <c r="G3348" s="22" t="s">
        <v>97</v>
      </c>
      <c r="H3348" s="22" t="s">
        <v>97</v>
      </c>
      <c r="I3348" s="26">
        <v>43719.655555555597</v>
      </c>
      <c r="J3348" s="23" t="str">
        <f>HYPERLINK("https://www.spark-marketing.ru/Card/Person/546927", "ООО "" ВОЗРОЖДЕНИЕ """)</f>
        <v>ООО " ВОЗРОЖДЕНИЕ "</v>
      </c>
      <c r="K3348" s="24" t="s">
        <v>5771</v>
      </c>
      <c r="L3348" s="22" t="s">
        <v>10</v>
      </c>
      <c r="M3348" s="28" t="s">
        <v>51</v>
      </c>
      <c r="N3348" s="28" t="s">
        <v>51</v>
      </c>
    </row>
    <row r="3349" spans="1:14" x14ac:dyDescent="0.15">
      <c r="A3349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3349" s="24" t="s">
        <v>5772</v>
      </c>
      <c r="C3349" s="25">
        <v>380000</v>
      </c>
      <c r="D3349" s="22" t="s">
        <v>5773</v>
      </c>
      <c r="E3349" s="22" t="s">
        <v>48</v>
      </c>
      <c r="F3349" s="23" t="str">
        <f>HYPERLINK("https://www.spark-marketing.ru/Card/Lot/73359034", "Питание в ИВС")</f>
        <v>Питание в ИВС</v>
      </c>
      <c r="G3349" s="22" t="s">
        <v>351</v>
      </c>
      <c r="H3349" s="22" t="s">
        <v>5774</v>
      </c>
      <c r="I3349" s="26">
        <v>43719.654861111099</v>
      </c>
      <c r="J3349" s="23" t="str">
        <f>HYPERLINK("https://www.spark-marketing.ru/Card/Person/571327", "ГАПОУ СО ""БТА""")</f>
        <v>ГАПОУ СО "БТА"</v>
      </c>
      <c r="K3349" s="24" t="s">
        <v>5775</v>
      </c>
      <c r="L3349" s="22" t="s">
        <v>10</v>
      </c>
      <c r="M3349" s="28" t="s">
        <v>51</v>
      </c>
      <c r="N3349" s="28" t="s">
        <v>51</v>
      </c>
    </row>
    <row r="3350" spans="1:14" x14ac:dyDescent="0.15">
      <c r="A3350" s="23" t="str">
        <f>HYPERLINK("https://www.spark-marketing.ru/Card/Person/92622", "ГКУСО МО ""СПДИП ""ДОМ ДОВЕРИЯ""")</f>
        <v>ГКУСО МО "СПДИП "ДОМ ДОВЕРИЯ"</v>
      </c>
      <c r="B3350" s="24" t="s">
        <v>5776</v>
      </c>
      <c r="C3350" s="25">
        <v>67500</v>
      </c>
      <c r="D3350" s="22" t="s">
        <v>5777</v>
      </c>
      <c r="E3350" s="22" t="s">
        <v>48</v>
      </c>
      <c r="F3350" s="23" t="str">
        <f>HYPERLINK("https://www.spark-marketing.ru/Card/Lot/73354489", "Услуги по организации питания для организаций социального обслуживания (2 пол. 2019 г.)")</f>
        <v>Услуги по организации питания для организаций социального обслуживания (2 пол. 2019 г.)</v>
      </c>
      <c r="G3350" s="22" t="s">
        <v>49</v>
      </c>
      <c r="H3350" s="22" t="s">
        <v>721</v>
      </c>
      <c r="I3350" s="26">
        <v>43719.628449074102</v>
      </c>
      <c r="J3350" s="28" t="s">
        <v>51</v>
      </c>
      <c r="K3350" s="28" t="s">
        <v>51</v>
      </c>
      <c r="L3350" s="28" t="s">
        <v>51</v>
      </c>
      <c r="M3350" s="28" t="s">
        <v>51</v>
      </c>
      <c r="N3350" s="28" t="s">
        <v>51</v>
      </c>
    </row>
    <row r="3351" spans="1:14" x14ac:dyDescent="0.15">
      <c r="A3351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3351" s="24" t="s">
        <v>5772</v>
      </c>
      <c r="C3351" s="25">
        <v>437540</v>
      </c>
      <c r="D3351" s="22" t="s">
        <v>5778</v>
      </c>
      <c r="E3351" s="22" t="s">
        <v>48</v>
      </c>
      <c r="F3351" s="23" t="str">
        <f>HYPERLINK("https://www.spark-marketing.ru/Card/Lot/73358946", "Питание в спецприемниках")</f>
        <v>Питание в спецприемниках</v>
      </c>
      <c r="G3351" s="22" t="s">
        <v>351</v>
      </c>
      <c r="H3351" s="22" t="s">
        <v>5779</v>
      </c>
      <c r="I3351" s="26">
        <v>43719.654861111099</v>
      </c>
      <c r="J3351" s="23" t="str">
        <f>HYPERLINK("https://www.spark-marketing.ru/Card/Person/571327", "ГАПОУ СО ""БТА""")</f>
        <v>ГАПОУ СО "БТА"</v>
      </c>
      <c r="K3351" s="24" t="s">
        <v>5775</v>
      </c>
      <c r="L3351" s="22" t="s">
        <v>10</v>
      </c>
      <c r="M3351" s="28" t="s">
        <v>51</v>
      </c>
      <c r="N3351" s="28" t="s">
        <v>51</v>
      </c>
    </row>
    <row r="3352" spans="1:14" x14ac:dyDescent="0.15">
      <c r="A3352" s="23" t="str">
        <f>HYPERLINK("https://www.spark-marketing.ru/Card/Person/82720", "МБДОУ ""ДЕТСКИЙ САД №6""")</f>
        <v>МБДОУ "ДЕТСКИЙ САД №6"</v>
      </c>
      <c r="B3352" s="24" t="s">
        <v>5780</v>
      </c>
      <c r="C3352" s="25">
        <v>7412158</v>
      </c>
      <c r="D3352" s="22" t="s">
        <v>5781</v>
      </c>
      <c r="E3352" s="22" t="s">
        <v>48</v>
      </c>
      <c r="F3352" s="23" t="str">
        <f>HYPERLINK("https://www.spark-marketing.ru/Card/Lot/73363441", "на оказание услуг по организации горячего питания в МБДОУ №6")</f>
        <v>на оказание услуг по организации горячего питания в МБДОУ №6</v>
      </c>
      <c r="G3352" s="22" t="s">
        <v>49</v>
      </c>
      <c r="H3352" s="22" t="s">
        <v>301</v>
      </c>
      <c r="I3352" s="26">
        <v>43719.652083333298</v>
      </c>
      <c r="J3352" s="28" t="s">
        <v>51</v>
      </c>
      <c r="K3352" s="28" t="s">
        <v>51</v>
      </c>
      <c r="L3352" s="28" t="s">
        <v>51</v>
      </c>
      <c r="M3352" s="28" t="s">
        <v>51</v>
      </c>
      <c r="N3352" s="28" t="s">
        <v>51</v>
      </c>
    </row>
    <row r="3353" spans="1:14" hidden="1" outlineLevel="1" x14ac:dyDescent="0.2">
      <c r="A3353" s="23" t="str">
        <f>HYPERLINK("https://www.spark-marketing.ru/Card/Person/82720", "МБДОУ ""ДЕТСКИЙ САД №6""")</f>
        <v>МБДОУ "ДЕТСКИЙ САД №6"</v>
      </c>
      <c r="B3353" s="24" t="s">
        <v>5780</v>
      </c>
      <c r="C3353" s="25">
        <v>7412158</v>
      </c>
      <c r="D3353" s="22" t="s">
        <v>5781</v>
      </c>
      <c r="E3353" s="22" t="s">
        <v>48</v>
      </c>
      <c r="F3353" s="23" t="str">
        <f>HYPERLINK("https://www.spark-marketing.ru/Card/Lot/73363441", "на оказание услуг по организации горячего питания в МБДОУ №6")</f>
        <v>на оказание услуг по организации горячего питания в МБДОУ №6</v>
      </c>
      <c r="G3353" s="22" t="s">
        <v>49</v>
      </c>
      <c r="H3353" s="22" t="s">
        <v>301</v>
      </c>
      <c r="I3353" s="26">
        <v>43719.652083333298</v>
      </c>
      <c r="J3353" s="23" t="str">
        <f>HYPERLINK("https://www.spark-marketing.ru/Card/Person/100937", "ООО ""ВЕРТИКАЛЬ""")</f>
        <v>ООО "ВЕРТИКАЛЬ"</v>
      </c>
      <c r="K3353" s="24" t="s">
        <v>4501</v>
      </c>
      <c r="L3353" s="28" t="s">
        <v>51</v>
      </c>
      <c r="M3353" s="25">
        <v>7115671</v>
      </c>
      <c r="N3353" s="27">
        <v>4.0000091741163639E-2</v>
      </c>
    </row>
    <row r="3354" spans="1:14" ht="12.75" hidden="1" outlineLevel="1" x14ac:dyDescent="0.2">
      <c r="A3354" s="23" t="str">
        <f>HYPERLINK("https://www.spark-marketing.ru/Card/Person/82720", "МБДОУ ""ДЕТСКИЙ САД №6""")</f>
        <v>МБДОУ "ДЕТСКИЙ САД №6"</v>
      </c>
      <c r="B3354" s="24" t="s">
        <v>5780</v>
      </c>
      <c r="C3354" s="25">
        <v>7412158</v>
      </c>
      <c r="D3354" s="22" t="s">
        <v>5781</v>
      </c>
      <c r="E3354" s="22" t="s">
        <v>48</v>
      </c>
      <c r="F3354" s="23" t="str">
        <f>HYPERLINK("https://www.spark-marketing.ru/Card/Lot/73363441", "на оказание услуг по организации горячего питания в МБДОУ №6")</f>
        <v>на оказание услуг по организации горячего питания в МБДОУ №6</v>
      </c>
      <c r="G3354" s="22" t="s">
        <v>49</v>
      </c>
      <c r="H3354" s="22" t="s">
        <v>301</v>
      </c>
      <c r="I3354" s="26">
        <v>43719.652083333298</v>
      </c>
      <c r="J3354" s="23" t="str">
        <f>HYPERLINK("https://www.spark-marketing.ru/Card/Person/70733", "ООО ""ПЛАНЕТА ВКУСА""")</f>
        <v>ООО "ПЛАНЕТА ВКУСА"</v>
      </c>
      <c r="K3354" s="24" t="s">
        <v>4502</v>
      </c>
      <c r="L3354" s="22" t="s">
        <v>10</v>
      </c>
      <c r="M3354" s="25">
        <v>7081648</v>
      </c>
      <c r="N3354" s="27">
        <v>4.4590252933086424E-2</v>
      </c>
    </row>
    <row r="3355" spans="1:14" x14ac:dyDescent="0.15">
      <c r="A3355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3355" s="24" t="s">
        <v>5772</v>
      </c>
      <c r="C3355" s="25">
        <v>380000</v>
      </c>
      <c r="D3355" s="22" t="s">
        <v>5782</v>
      </c>
      <c r="E3355" s="22" t="s">
        <v>48</v>
      </c>
      <c r="F3355" s="23" t="str">
        <f>HYPERLINK("https://www.spark-marketing.ru/Card/Lot/73359035", "Питание в ИВС")</f>
        <v>Питание в ИВС</v>
      </c>
      <c r="G3355" s="22" t="s">
        <v>351</v>
      </c>
      <c r="H3355" s="22" t="s">
        <v>5779</v>
      </c>
      <c r="I3355" s="26">
        <v>43719.654166666704</v>
      </c>
      <c r="J3355" s="23" t="str">
        <f>HYPERLINK("https://www.spark-marketing.ru/Card/Person/571327", "ГАПОУ СО ""БТА""")</f>
        <v>ГАПОУ СО "БТА"</v>
      </c>
      <c r="K3355" s="24" t="s">
        <v>5775</v>
      </c>
      <c r="L3355" s="22" t="s">
        <v>10</v>
      </c>
      <c r="M3355" s="28" t="s">
        <v>51</v>
      </c>
      <c r="N3355" s="28" t="s">
        <v>51</v>
      </c>
    </row>
    <row r="3356" spans="1:14" x14ac:dyDescent="0.15">
      <c r="A3356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3356" s="24" t="s">
        <v>5772</v>
      </c>
      <c r="C3356" s="25">
        <v>250000</v>
      </c>
      <c r="D3356" s="22" t="s">
        <v>5783</v>
      </c>
      <c r="E3356" s="22" t="s">
        <v>48</v>
      </c>
      <c r="F3356" s="23" t="str">
        <f>HYPERLINK("https://www.spark-marketing.ru/Card/Lot/73358917", "Питание в ИВС")</f>
        <v>Питание в ИВС</v>
      </c>
      <c r="G3356" s="22" t="s">
        <v>351</v>
      </c>
      <c r="H3356" s="22" t="s">
        <v>5784</v>
      </c>
      <c r="I3356" s="26">
        <v>43719.654861111099</v>
      </c>
      <c r="J3356" s="28" t="s">
        <v>51</v>
      </c>
      <c r="K3356" s="28" t="s">
        <v>51</v>
      </c>
      <c r="L3356" s="28" t="s">
        <v>51</v>
      </c>
      <c r="M3356" s="28" t="s">
        <v>51</v>
      </c>
      <c r="N3356" s="28" t="s">
        <v>51</v>
      </c>
    </row>
    <row r="3357" spans="1:14" x14ac:dyDescent="0.15">
      <c r="A3357" s="23" t="str">
        <f>HYPERLINK("https://www.spark-marketing.ru/Card/Person/13630", "ФКУ ""ЦХИСО ГУ МВД РОССИИ ПО НИЖЕГОРОДСКОЙ ОБЛАСТИ""")</f>
        <v>ФКУ "ЦХИСО ГУ МВД РОССИИ ПО НИЖЕГОРОДСКОЙ ОБЛАСТИ"</v>
      </c>
      <c r="B3357" s="24" t="s">
        <v>5688</v>
      </c>
      <c r="C3357" s="25">
        <v>10545000</v>
      </c>
      <c r="D3357" s="22" t="s">
        <v>5785</v>
      </c>
      <c r="E3357" s="22" t="s">
        <v>48</v>
      </c>
      <c r="F3357" s="23" t="str">
        <f>HYPERLINK("https://www.spark-marketing.ru/Card/Lot/73363297", "Оказание услуг по организации питания иностранных граждан и лиц без гражданства, содержащихся в центре временного содержания иностранных граждан ГУ МВД России по Нижегородской области")</f>
        <v>Оказание услуг по организации питания иностранных граждан и лиц без гражданства, содержащихся в центре временного содержания иностранных граждан ГУ МВД России по Нижегородской области</v>
      </c>
      <c r="G3357" s="22" t="s">
        <v>76</v>
      </c>
      <c r="H3357" s="22" t="s">
        <v>76</v>
      </c>
      <c r="I3357" s="26">
        <v>43719.655555555597</v>
      </c>
      <c r="J3357" s="28" t="s">
        <v>51</v>
      </c>
      <c r="K3357" s="28" t="s">
        <v>51</v>
      </c>
      <c r="L3357" s="28" t="s">
        <v>51</v>
      </c>
      <c r="M3357" s="28" t="s">
        <v>51</v>
      </c>
      <c r="N3357" s="28" t="s">
        <v>51</v>
      </c>
    </row>
    <row r="3358" spans="1:14" hidden="1" outlineLevel="1" x14ac:dyDescent="0.2">
      <c r="A3358" s="23" t="str">
        <f>HYPERLINK("https://www.spark-marketing.ru/Card/Person/13630", "ФКУ ""ЦХИСО ГУ МВД РОССИИ ПО НИЖЕГОРОДСКОЙ ОБЛАСТИ""")</f>
        <v>ФКУ "ЦХИСО ГУ МВД РОССИИ ПО НИЖЕГОРОДСКОЙ ОБЛАСТИ"</v>
      </c>
      <c r="B3358" s="24" t="s">
        <v>5688</v>
      </c>
      <c r="C3358" s="25">
        <v>10545000</v>
      </c>
      <c r="D3358" s="22" t="s">
        <v>5785</v>
      </c>
      <c r="E3358" s="22" t="s">
        <v>48</v>
      </c>
      <c r="F3358" s="23" t="str">
        <f>HYPERLINK("https://www.spark-marketing.ru/Card/Lot/73363297", "Оказание услуг по организации питания иностранных граждан и лиц без гражданства, содержащихся в центре временного содержания иностранных граждан ГУ МВД России по Нижегородской области")</f>
        <v>Оказание услуг по организации питания иностранных граждан и лиц без гражданства, содержащихся в центре временного содержания иностранных граждан ГУ МВД России по Нижегородской области</v>
      </c>
      <c r="G3358" s="22" t="s">
        <v>76</v>
      </c>
      <c r="H3358" s="22" t="s">
        <v>76</v>
      </c>
      <c r="I3358" s="26">
        <v>43719.655555555597</v>
      </c>
      <c r="J3358" s="23" t="str">
        <f>HYPERLINK("https://www.spark-marketing.ru/Card/Person/6634118", "Матвеева Ольга Юрьевна")</f>
        <v>Матвеева Ольга Юрьевна</v>
      </c>
      <c r="K3358" s="24" t="s">
        <v>5786</v>
      </c>
      <c r="L3358" s="28" t="s">
        <v>51</v>
      </c>
      <c r="M3358" s="25">
        <v>3134.96</v>
      </c>
      <c r="N3358" s="27">
        <v>0.99970270649596971</v>
      </c>
    </row>
    <row r="3359" spans="1:14" ht="12.75" hidden="1" outlineLevel="1" x14ac:dyDescent="0.2">
      <c r="A3359" s="23" t="str">
        <f>HYPERLINK("https://www.spark-marketing.ru/Card/Person/13630", "ФКУ ""ЦХИСО ГУ МВД РОССИИ ПО НИЖЕГОРОДСКОЙ ОБЛАСТИ""")</f>
        <v>ФКУ "ЦХИСО ГУ МВД РОССИИ ПО НИЖЕГОРОДСКОЙ ОБЛАСТИ"</v>
      </c>
      <c r="B3359" s="24" t="s">
        <v>5688</v>
      </c>
      <c r="C3359" s="25">
        <v>10545000</v>
      </c>
      <c r="D3359" s="22" t="s">
        <v>5785</v>
      </c>
      <c r="E3359" s="22" t="s">
        <v>48</v>
      </c>
      <c r="F3359" s="23" t="str">
        <f>HYPERLINK("https://www.spark-marketing.ru/Card/Lot/73363297", "Оказание услуг по организации питания иностранных граждан и лиц без гражданства, содержащихся в центре временного содержания иностранных граждан ГУ МВД России по Нижегородской области")</f>
        <v>Оказание услуг по организации питания иностранных граждан и лиц без гражданства, содержащихся в центре временного содержания иностранных граждан ГУ МВД России по Нижегородской области</v>
      </c>
      <c r="G3359" s="22" t="s">
        <v>76</v>
      </c>
      <c r="H3359" s="22" t="s">
        <v>76</v>
      </c>
      <c r="I3359" s="26">
        <v>43719.655555555597</v>
      </c>
      <c r="J3359" s="23" t="str">
        <f>HYPERLINK("https://www.spark-marketing.ru/Card/Person/6081973", "Румянцев Михаил Данилович")</f>
        <v>Румянцев Михаил Данилович</v>
      </c>
      <c r="K3359" s="24" t="s">
        <v>5787</v>
      </c>
      <c r="L3359" s="22" t="s">
        <v>10</v>
      </c>
      <c r="M3359" s="25">
        <v>3118.88</v>
      </c>
      <c r="N3359" s="27">
        <v>0.99970423138928399</v>
      </c>
    </row>
    <row r="3360" spans="1:14" x14ac:dyDescent="0.15">
      <c r="A3360" s="23" t="str">
        <f>HYPERLINK("https://www.spark-marketing.ru/Card/Person/737290", "ГКУ «ЦБЗ ПРИ МИНЗДРАВЕ КАРЕЛИИ»")</f>
        <v>ГКУ «ЦБЗ ПРИ МИНЗДРАВЕ КАРЕЛИИ»</v>
      </c>
      <c r="B3360" s="24" t="s">
        <v>312</v>
      </c>
      <c r="C3360" s="25">
        <v>378100.8</v>
      </c>
      <c r="D3360" s="22" t="s">
        <v>5788</v>
      </c>
      <c r="E3360" s="22" t="s">
        <v>52</v>
      </c>
      <c r="F3360" s="23" t="str">
        <f>HYPERLINK("https://www.spark-marketing.ru/Card/Lot/73354362", "Поставка лекарственного препарата Инсулин лизпро двухфазный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изд...")</f>
        <v>Поставка лекарственного препарата Инсулин лизпро двухфазный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</v>
      </c>
      <c r="G3360" s="22" t="s">
        <v>59</v>
      </c>
      <c r="H3360" s="22" t="s">
        <v>314</v>
      </c>
      <c r="I3360" s="26">
        <v>43719.595833333296</v>
      </c>
      <c r="J3360" s="23" t="str">
        <f>HYPERLINK("https://www.spark-marketing.ru/Card/Person/50726", "АО ""РУСМЕДКОМ""")</f>
        <v>АО "РУСМЕДКОМ"</v>
      </c>
      <c r="K3360" s="24" t="s">
        <v>4567</v>
      </c>
      <c r="L3360" s="22" t="s">
        <v>10</v>
      </c>
      <c r="M3360" s="28" t="s">
        <v>51</v>
      </c>
      <c r="N3360" s="28" t="s">
        <v>51</v>
      </c>
    </row>
    <row r="3361" spans="1:14" x14ac:dyDescent="0.15">
      <c r="A3361" s="23" t="str">
        <f>HYPERLINK("https://www.spark-marketing.ru/Card/Person/26891", "МО МВД РОССИИ ""КАЛИНИНСКИЙ"" САРАТОВСКОЙ ОБЛАСТИ")</f>
        <v>МО МВД РОССИИ "КАЛИНИНСКИЙ" САРАТОВСКОЙ ОБЛАСТИ</v>
      </c>
      <c r="B3361" s="24" t="s">
        <v>5789</v>
      </c>
      <c r="C3361" s="25">
        <v>189998.8</v>
      </c>
      <c r="D3361" s="22" t="s">
        <v>5790</v>
      </c>
      <c r="E3361" s="22" t="s">
        <v>96</v>
      </c>
      <c r="F3361" s="23" t="str">
        <f>HYPERLINK("https://www.spark-marketing.ru/Card/Lot/73354165", "Оказание услуг по организации питания")</f>
        <v>Оказание услуг по организации питания</v>
      </c>
      <c r="G3361" s="22" t="s">
        <v>351</v>
      </c>
      <c r="H3361" s="22" t="s">
        <v>5791</v>
      </c>
      <c r="I3361" s="26">
        <v>43719.615277777797</v>
      </c>
      <c r="J3361" s="23" t="str">
        <f>HYPERLINK("https://www.spark-marketing.ru/Card/Person/6698864", "Халова Ольга Александровна")</f>
        <v>Халова Ольга Александровна</v>
      </c>
      <c r="K3361" s="24" t="s">
        <v>5792</v>
      </c>
      <c r="L3361" s="22" t="s">
        <v>10</v>
      </c>
      <c r="M3361" s="28" t="s">
        <v>51</v>
      </c>
      <c r="N3361" s="28" t="s">
        <v>51</v>
      </c>
    </row>
    <row r="3362" spans="1:14" x14ac:dyDescent="0.15">
      <c r="A3362" s="23" t="str">
        <f>HYPERLINK("https://www.spark-marketing.ru/Card/Person/267554", "ОМВД РОССИИ ""НЯНДОМСКИЙ""")</f>
        <v>ОМВД РОССИИ "НЯНДОМСКИЙ"</v>
      </c>
      <c r="B3362" s="24" t="s">
        <v>5793</v>
      </c>
      <c r="C3362" s="25">
        <v>534614.55000000005</v>
      </c>
      <c r="D3362" s="22" t="s">
        <v>5794</v>
      </c>
      <c r="E3362" s="22" t="s">
        <v>48</v>
      </c>
      <c r="F3362" s="23" t="str">
        <f>HYPERLINK("https://www.spark-marketing.ru/Card/Lot/73362576", "Услуги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ОМВД России «Няндомский», в соответствии с нормой суточного довольствия, а т...")</f>
        <v>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ОМВД России «Няндомский», в соответствии с нормой суточного довольствия, а т...</v>
      </c>
      <c r="G3362" s="22" t="s">
        <v>214</v>
      </c>
      <c r="H3362" s="22" t="s">
        <v>214</v>
      </c>
      <c r="I3362" s="26">
        <v>43719.610416666699</v>
      </c>
      <c r="J3362" s="23" t="str">
        <f>HYPERLINK("https://www.spark-marketing.ru/Card/Person/6204506", "ООО ""ТРАНСАВТО""")</f>
        <v>ООО "ТРАНСАВТО"</v>
      </c>
      <c r="K3362" s="24" t="s">
        <v>5795</v>
      </c>
      <c r="L3362" s="22" t="s">
        <v>10</v>
      </c>
      <c r="M3362" s="28" t="s">
        <v>51</v>
      </c>
      <c r="N3362" s="28" t="s">
        <v>51</v>
      </c>
    </row>
    <row r="3363" spans="1:14" x14ac:dyDescent="0.15">
      <c r="A3363" s="23" t="str">
        <f>HYPERLINK("https://www.spark-marketing.ru/Card/Person/734331", "МОБУ СОШ № 4 ИМ. А.Я.ПЕРШИНА Г. БЛАГОВЕЩЕНСКА")</f>
        <v>МОБУ СОШ № 4 ИМ. А.Я.ПЕРШИНА Г. БЛАГОВЕЩЕНСКА</v>
      </c>
      <c r="B3363" s="24" t="s">
        <v>5796</v>
      </c>
      <c r="C3363" s="25">
        <v>495000</v>
      </c>
      <c r="D3363" s="22" t="s">
        <v>5797</v>
      </c>
      <c r="E3363" s="22" t="s">
        <v>48</v>
      </c>
      <c r="F3363" s="23" t="str">
        <f>HYPERLINK("https://www.spark-marketing.ru/Card/Lot/73361018",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363" s="22" t="s">
        <v>145</v>
      </c>
      <c r="H3363" s="22" t="s">
        <v>3257</v>
      </c>
      <c r="I3363" s="26">
        <v>43719.703472222202</v>
      </c>
      <c r="J3363" s="28" t="s">
        <v>51</v>
      </c>
      <c r="K3363" s="28" t="s">
        <v>51</v>
      </c>
      <c r="L3363" s="28" t="s">
        <v>51</v>
      </c>
      <c r="M3363" s="28" t="s">
        <v>51</v>
      </c>
      <c r="N3363" s="28" t="s">
        <v>51</v>
      </c>
    </row>
    <row r="3364" spans="1:14" ht="12.75" hidden="1" outlineLevel="1" x14ac:dyDescent="0.2">
      <c r="A3364" s="23" t="str">
        <f>HYPERLINK("https://www.spark-marketing.ru/Card/Person/734331", "МОБУ СОШ № 4 ИМ. А.Я.ПЕРШИНА Г. БЛАГОВЕЩЕНСКА")</f>
        <v>МОБУ СОШ № 4 ИМ. А.Я.ПЕРШИНА Г. БЛАГОВЕЩЕНСКА</v>
      </c>
      <c r="B3364" s="24" t="s">
        <v>5796</v>
      </c>
      <c r="C3364" s="25">
        <v>495000</v>
      </c>
      <c r="D3364" s="22" t="s">
        <v>5797</v>
      </c>
      <c r="E3364" s="22" t="s">
        <v>48</v>
      </c>
      <c r="F3364" s="23" t="str">
        <f>HYPERLINK("https://www.spark-marketing.ru/Card/Lot/73361018",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364" s="22" t="s">
        <v>145</v>
      </c>
      <c r="H3364" s="22" t="s">
        <v>3257</v>
      </c>
      <c r="I3364" s="26">
        <v>43719.703472222202</v>
      </c>
      <c r="J3364" s="23" t="str">
        <f>HYPERLINK("https://www.spark-marketing.ru/Card/Person/87029", "ООО ФИРМА ""ДОМОУСТРОИТЕЛЬ""")</f>
        <v>ООО ФИРМА "ДОМОУСТРОИТЕЛЬ"</v>
      </c>
      <c r="K3364" s="24" t="s">
        <v>5798</v>
      </c>
      <c r="L3364" s="22" t="s">
        <v>10</v>
      </c>
      <c r="M3364" s="25">
        <v>396000</v>
      </c>
      <c r="N3364" s="27">
        <v>0.2</v>
      </c>
    </row>
    <row r="3365" spans="1:14" hidden="1" outlineLevel="1" x14ac:dyDescent="0.2">
      <c r="A3365" s="23" t="str">
        <f>HYPERLINK("https://www.spark-marketing.ru/Card/Person/734331", "МОБУ СОШ № 4 ИМ. А.Я.ПЕРШИНА Г. БЛАГОВЕЩЕНСКА")</f>
        <v>МОБУ СОШ № 4 ИМ. А.Я.ПЕРШИНА Г. БЛАГОВЕЩЕНСКА</v>
      </c>
      <c r="B3365" s="24" t="s">
        <v>5796</v>
      </c>
      <c r="C3365" s="25">
        <v>495000</v>
      </c>
      <c r="D3365" s="22" t="s">
        <v>5797</v>
      </c>
      <c r="E3365" s="22" t="s">
        <v>48</v>
      </c>
      <c r="F3365" s="23" t="str">
        <f>HYPERLINK("https://www.spark-marketing.ru/Card/Lot/73361018",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365" s="22" t="s">
        <v>145</v>
      </c>
      <c r="H3365" s="22" t="s">
        <v>3257</v>
      </c>
      <c r="I3365" s="26">
        <v>43719.703472222202</v>
      </c>
      <c r="J3365" s="23" t="str">
        <f>HYPERLINK("https://www.spark-marketing.ru/Card/Person/201517", "ООО ""ВАРИАНТ""")</f>
        <v>ООО "ВАРИАНТ"</v>
      </c>
      <c r="K3365" s="24" t="s">
        <v>5799</v>
      </c>
      <c r="L3365" s="28" t="s">
        <v>51</v>
      </c>
      <c r="M3365" s="25">
        <v>495000</v>
      </c>
      <c r="N3365" s="27">
        <v>0</v>
      </c>
    </row>
    <row r="3366" spans="1:14" hidden="1" outlineLevel="1" x14ac:dyDescent="0.2">
      <c r="A3366" s="23" t="str">
        <f>HYPERLINK("https://www.spark-marketing.ru/Card/Person/734331", "МОБУ СОШ № 4 ИМ. А.Я.ПЕРШИНА Г. БЛАГОВЕЩЕНСКА")</f>
        <v>МОБУ СОШ № 4 ИМ. А.Я.ПЕРШИНА Г. БЛАГОВЕЩЕНСКА</v>
      </c>
      <c r="B3366" s="24" t="s">
        <v>5796</v>
      </c>
      <c r="C3366" s="25">
        <v>495000</v>
      </c>
      <c r="D3366" s="22" t="s">
        <v>5797</v>
      </c>
      <c r="E3366" s="22" t="s">
        <v>48</v>
      </c>
      <c r="F3366" s="23" t="str">
        <f>HYPERLINK("https://www.spark-marketing.ru/Card/Lot/73361018",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366" s="22" t="s">
        <v>145</v>
      </c>
      <c r="H3366" s="22" t="s">
        <v>3257</v>
      </c>
      <c r="I3366" s="26">
        <v>43719.703472222202</v>
      </c>
      <c r="J3366" s="23" t="str">
        <f>HYPERLINK("https://www.spark-marketing.ru/Card/Person/145110", "ООО ""ТК ""ЗК""")</f>
        <v>ООО "ТК "ЗК"</v>
      </c>
      <c r="K3366" s="24" t="s">
        <v>5800</v>
      </c>
      <c r="L3366" s="28" t="s">
        <v>51</v>
      </c>
      <c r="M3366" s="25">
        <v>396000</v>
      </c>
      <c r="N3366" s="27">
        <v>0.2</v>
      </c>
    </row>
    <row r="3367" spans="1:14" hidden="1" outlineLevel="1" x14ac:dyDescent="0.2">
      <c r="A3367" s="23" t="str">
        <f>HYPERLINK("https://www.spark-marketing.ru/Card/Person/734331", "МОБУ СОШ № 4 ИМ. А.Я.ПЕРШИНА Г. БЛАГОВЕЩЕНСКА")</f>
        <v>МОБУ СОШ № 4 ИМ. А.Я.ПЕРШИНА Г. БЛАГОВЕЩЕНСКА</v>
      </c>
      <c r="B3367" s="24" t="s">
        <v>5796</v>
      </c>
      <c r="C3367" s="25">
        <v>495000</v>
      </c>
      <c r="D3367" s="22" t="s">
        <v>5797</v>
      </c>
      <c r="E3367" s="22" t="s">
        <v>48</v>
      </c>
      <c r="F3367" s="23" t="str">
        <f>HYPERLINK("https://www.spark-marketing.ru/Card/Lot/73361018",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367" s="22" t="s">
        <v>145</v>
      </c>
      <c r="H3367" s="22" t="s">
        <v>3257</v>
      </c>
      <c r="I3367" s="26">
        <v>43719.703472222202</v>
      </c>
      <c r="J3367" s="23" t="str">
        <f>HYPERLINK("https://www.spark-marketing.ru/Card/Person/6704775", "ООО ""ЭКСПРЕСС""")</f>
        <v>ООО "ЭКСПРЕСС"</v>
      </c>
      <c r="K3367" s="24" t="s">
        <v>5801</v>
      </c>
      <c r="L3367" s="28" t="s">
        <v>51</v>
      </c>
      <c r="M3367" s="25">
        <v>470250</v>
      </c>
      <c r="N3367" s="27">
        <v>0.05</v>
      </c>
    </row>
    <row r="3368" spans="1:14" x14ac:dyDescent="0.15">
      <c r="A3368" s="23" t="str">
        <f>HYPERLINK("https://www.spark-marketing.ru/Card/Person/879335", "ОТДЕЛ МВД РОССИИ ПО ОТРАДНЕНСКОМУ РАЙОНУ")</f>
        <v>ОТДЕЛ МВД РОССИИ ПО ОТРАДНЕНСКОМУ РАЙОНУ</v>
      </c>
      <c r="B3368" s="24" t="s">
        <v>2489</v>
      </c>
      <c r="C3368" s="25">
        <v>1117000</v>
      </c>
      <c r="D3368" s="22" t="s">
        <v>5802</v>
      </c>
      <c r="E3368" s="22" t="s">
        <v>48</v>
      </c>
      <c r="F3368" s="23" t="str">
        <f>HYPERLINK("https://www.spark-marketing.ru/Card/Lot/73362099", "Оказание услуг по обеспечению 3-х разовым ежедневным горячим питанием лиц, содержащихся в ИВС ПиО и КСЗЛ дежурной части Отдела МВД России по Отрадненскому району Краснодарского края в 2021 году")</f>
        <v>Оказание услуг по обеспечению 3-х разовым ежедневным горячим питанием лиц, содержащихся в ИВС ПиО и КСЗЛ дежурной части Отдела МВД России по Отрадненскому району Краснодарского края в 2021 году</v>
      </c>
      <c r="G3368" s="22" t="s">
        <v>104</v>
      </c>
      <c r="H3368" s="22" t="s">
        <v>2491</v>
      </c>
      <c r="I3368" s="26">
        <v>43719.597916666702</v>
      </c>
      <c r="J3368" s="23" t="str">
        <f>HYPERLINK("https://www.spark-marketing.ru/Card/Person/891591", "ООО""ДОРОЖНОЕ""")</f>
        <v>ООО"ДОРОЖНОЕ"</v>
      </c>
      <c r="K3368" s="24" t="s">
        <v>2492</v>
      </c>
      <c r="L3368" s="22" t="s">
        <v>10</v>
      </c>
      <c r="M3368" s="28" t="s">
        <v>51</v>
      </c>
      <c r="N3368" s="28" t="s">
        <v>51</v>
      </c>
    </row>
    <row r="3369" spans="1:14" x14ac:dyDescent="0.15">
      <c r="A3369" s="23" t="str">
        <f>HYPERLINK("https://www.spark-marketing.ru/Card/Person/102358", "ОТДЕЛ МВД РОССИИ ПО АШИНСКОМУ РАЙОНУ ЧЕЛЯБИНСКОЙ ОБЛАСТИ")</f>
        <v>ОТДЕЛ МВД РОССИИ ПО АШИНСКОМУ РАЙОНУ ЧЕЛЯБИНСКОЙ ОБЛАСТИ</v>
      </c>
      <c r="B3369" s="24" t="s">
        <v>5803</v>
      </c>
      <c r="C3369" s="25">
        <v>200000</v>
      </c>
      <c r="D3369" s="22" t="s">
        <v>5804</v>
      </c>
      <c r="E3369" s="22" t="s">
        <v>48</v>
      </c>
      <c r="F3369" s="23" t="str">
        <f>HYPERLINK("https://www.spark-marketing.ru/Card/Lot/73354065", "Услуги   по обеспечению питанием административно-арестованных лиц содержащихся в ИВС")</f>
        <v>Услуги   по обеспечению питанием административно-арестованных лиц содержащихся в ИВС</v>
      </c>
      <c r="G3369" s="22" t="s">
        <v>469</v>
      </c>
      <c r="H3369" s="22" t="s">
        <v>469</v>
      </c>
      <c r="I3369" s="26">
        <v>43719.603472222203</v>
      </c>
      <c r="J3369" s="28" t="s">
        <v>51</v>
      </c>
      <c r="K3369" s="28" t="s">
        <v>51</v>
      </c>
      <c r="L3369" s="28" t="s">
        <v>51</v>
      </c>
      <c r="M3369" s="28" t="s">
        <v>51</v>
      </c>
      <c r="N3369" s="28" t="s">
        <v>51</v>
      </c>
    </row>
    <row r="3370" spans="1:14" x14ac:dyDescent="0.15">
      <c r="A3370" s="23" t="str">
        <f t="shared" ref="A3370:A3377" si="56">HYPERLINK("https://www.spark-marketing.ru/Card/Person/736757", "МОБУ ГИМНАЗИЯ № 1 Г. БЛАГОВЕЩЕНСКА")</f>
        <v>МОБУ ГИМНАЗИЯ № 1 Г. БЛАГОВЕЩЕНСКА</v>
      </c>
      <c r="B3370" s="24" t="s">
        <v>5805</v>
      </c>
      <c r="C3370" s="25">
        <v>437023.96</v>
      </c>
      <c r="D3370" s="22" t="s">
        <v>5806</v>
      </c>
      <c r="E3370" s="22" t="s">
        <v>48</v>
      </c>
      <c r="F3370" s="23" t="str">
        <f>HYPERLINK("https://www.spark-marketing.ru/Card/Lot/73359944", "Оказание услуг по организации питания воспитанников")</f>
        <v>Оказание услуг по организации питания воспитанников</v>
      </c>
      <c r="G3370" s="22" t="s">
        <v>145</v>
      </c>
      <c r="H3370" s="22" t="s">
        <v>3257</v>
      </c>
      <c r="I3370" s="26">
        <v>43719.702083333301</v>
      </c>
      <c r="J3370" s="28" t="s">
        <v>51</v>
      </c>
      <c r="K3370" s="28" t="s">
        <v>51</v>
      </c>
      <c r="L3370" s="28" t="s">
        <v>51</v>
      </c>
      <c r="M3370" s="28" t="s">
        <v>51</v>
      </c>
      <c r="N3370" s="28" t="s">
        <v>51</v>
      </c>
    </row>
    <row r="3371" spans="1:14" ht="12.75" hidden="1" outlineLevel="1" x14ac:dyDescent="0.2">
      <c r="A3371" s="23" t="str">
        <f t="shared" si="56"/>
        <v>МОБУ ГИМНАЗИЯ № 1 Г. БЛАГОВЕЩЕНСКА</v>
      </c>
      <c r="B3371" s="24" t="s">
        <v>5805</v>
      </c>
      <c r="C3371" s="25">
        <v>437023.96</v>
      </c>
      <c r="D3371" s="22" t="s">
        <v>5806</v>
      </c>
      <c r="E3371" s="22" t="s">
        <v>48</v>
      </c>
      <c r="F3371" s="23" t="str">
        <f>HYPERLINK("https://www.spark-marketing.ru/Card/Lot/73359944", "Оказание услуг по организации питания воспитанников")</f>
        <v>Оказание услуг по организации питания воспитанников</v>
      </c>
      <c r="G3371" s="22" t="s">
        <v>145</v>
      </c>
      <c r="H3371" s="22" t="s">
        <v>3257</v>
      </c>
      <c r="I3371" s="26">
        <v>43719.702083333301</v>
      </c>
      <c r="J3371" s="23" t="str">
        <f>HYPERLINK("https://www.spark-marketing.ru/Card/Person/6079477", "Хабибов Ильнар Наилович")</f>
        <v>Хабибов Ильнар Наилович</v>
      </c>
      <c r="K3371" s="24" t="s">
        <v>5807</v>
      </c>
      <c r="L3371" s="22" t="s">
        <v>10</v>
      </c>
      <c r="M3371" s="25">
        <v>340874.2</v>
      </c>
      <c r="N3371" s="27">
        <v>0.22001027129038875</v>
      </c>
    </row>
    <row r="3372" spans="1:14" hidden="1" outlineLevel="1" x14ac:dyDescent="0.2">
      <c r="A3372" s="23" t="str">
        <f t="shared" si="56"/>
        <v>МОБУ ГИМНАЗИЯ № 1 Г. БЛАГОВЕЩЕНСКА</v>
      </c>
      <c r="B3372" s="24" t="s">
        <v>5805</v>
      </c>
      <c r="C3372" s="25">
        <v>437023.96</v>
      </c>
      <c r="D3372" s="22" t="s">
        <v>5806</v>
      </c>
      <c r="E3372" s="22" t="s">
        <v>48</v>
      </c>
      <c r="F3372" s="23" t="str">
        <f>HYPERLINK("https://www.spark-marketing.ru/Card/Lot/73359944", "Оказание услуг по организации питания воспитанников")</f>
        <v>Оказание услуг по организации питания воспитанников</v>
      </c>
      <c r="G3372" s="22" t="s">
        <v>145</v>
      </c>
      <c r="H3372" s="22" t="s">
        <v>3257</v>
      </c>
      <c r="I3372" s="26">
        <v>43719.702083333301</v>
      </c>
      <c r="J3372" s="23" t="str">
        <f>HYPERLINK("https://www.spark-marketing.ru/Card/Person/145110", "ООО ""ТК ""ЗК""")</f>
        <v>ООО "ТК "ЗК"</v>
      </c>
      <c r="K3372" s="24" t="s">
        <v>5800</v>
      </c>
      <c r="L3372" s="28" t="s">
        <v>51</v>
      </c>
      <c r="M3372" s="25">
        <v>349619.17</v>
      </c>
      <c r="N3372" s="27">
        <v>0.19999999542359187</v>
      </c>
    </row>
    <row r="3373" spans="1:14" hidden="1" outlineLevel="1" x14ac:dyDescent="0.2">
      <c r="A3373" s="23" t="str">
        <f t="shared" si="56"/>
        <v>МОБУ ГИМНАЗИЯ № 1 Г. БЛАГОВЕЩЕНСКА</v>
      </c>
      <c r="B3373" s="24" t="s">
        <v>5805</v>
      </c>
      <c r="C3373" s="25">
        <v>437023.96</v>
      </c>
      <c r="D3373" s="22" t="s">
        <v>5806</v>
      </c>
      <c r="E3373" s="22" t="s">
        <v>48</v>
      </c>
      <c r="F3373" s="23" t="str">
        <f>HYPERLINK("https://www.spark-marketing.ru/Card/Lot/73359944", "Оказание услуг по организации питания воспитанников")</f>
        <v>Оказание услуг по организации питания воспитанников</v>
      </c>
      <c r="G3373" s="22" t="s">
        <v>145</v>
      </c>
      <c r="H3373" s="22" t="s">
        <v>3257</v>
      </c>
      <c r="I3373" s="26">
        <v>43719.702083333301</v>
      </c>
      <c r="J3373" s="23" t="str">
        <f>HYPERLINK("https://www.spark-marketing.ru/Card/Person/6704775", "ООО ""ЭКСПРЕСС""")</f>
        <v>ООО "ЭКСПРЕСС"</v>
      </c>
      <c r="K3373" s="24" t="s">
        <v>5801</v>
      </c>
      <c r="L3373" s="28" t="s">
        <v>51</v>
      </c>
      <c r="M3373" s="25">
        <v>428959.96</v>
      </c>
      <c r="N3373" s="27">
        <v>1.8452077547418681E-2</v>
      </c>
    </row>
    <row r="3374" spans="1:14" x14ac:dyDescent="0.15">
      <c r="A3374" s="23" t="str">
        <f t="shared" si="56"/>
        <v>МОБУ ГИМНАЗИЯ № 1 Г. БЛАГОВЕЩЕНСКА</v>
      </c>
      <c r="B3374" s="24" t="s">
        <v>5805</v>
      </c>
      <c r="C3374" s="25">
        <v>499968</v>
      </c>
      <c r="D3374" s="22" t="s">
        <v>5808</v>
      </c>
      <c r="E3374" s="22" t="s">
        <v>48</v>
      </c>
      <c r="F3374" s="23" t="str">
        <f>HYPERLINK("https://www.spark-marketing.ru/Card/Lot/73358914", "Оказание услуг по организации питания воспитанников")</f>
        <v>Оказание услуг по организации питания воспитанников</v>
      </c>
      <c r="G3374" s="22" t="s">
        <v>145</v>
      </c>
      <c r="H3374" s="22" t="s">
        <v>3257</v>
      </c>
      <c r="I3374" s="26">
        <v>43719.702777777798</v>
      </c>
      <c r="J3374" s="28" t="s">
        <v>51</v>
      </c>
      <c r="K3374" s="28" t="s">
        <v>51</v>
      </c>
      <c r="L3374" s="28" t="s">
        <v>51</v>
      </c>
      <c r="M3374" s="28" t="s">
        <v>51</v>
      </c>
      <c r="N3374" s="28" t="s">
        <v>51</v>
      </c>
    </row>
    <row r="3375" spans="1:14" ht="12.75" hidden="1" outlineLevel="1" x14ac:dyDescent="0.2">
      <c r="A3375" s="23" t="str">
        <f t="shared" si="56"/>
        <v>МОБУ ГИМНАЗИЯ № 1 Г. БЛАГОВЕЩЕНСКА</v>
      </c>
      <c r="B3375" s="24" t="s">
        <v>5805</v>
      </c>
      <c r="C3375" s="25">
        <v>499968</v>
      </c>
      <c r="D3375" s="22" t="s">
        <v>5808</v>
      </c>
      <c r="E3375" s="22" t="s">
        <v>48</v>
      </c>
      <c r="F3375" s="23" t="str">
        <f>HYPERLINK("https://www.spark-marketing.ru/Card/Lot/73358914", "Оказание услуг по организации питания воспитанников")</f>
        <v>Оказание услуг по организации питания воспитанников</v>
      </c>
      <c r="G3375" s="22" t="s">
        <v>145</v>
      </c>
      <c r="H3375" s="22" t="s">
        <v>3257</v>
      </c>
      <c r="I3375" s="26">
        <v>43719.702777777798</v>
      </c>
      <c r="J3375" s="23" t="str">
        <f>HYPERLINK("https://www.spark-marketing.ru/Card/Person/6079477", "Хабибов Ильнар Наилович")</f>
        <v>Хабибов Ильнар Наилович</v>
      </c>
      <c r="K3375" s="24" t="s">
        <v>5807</v>
      </c>
      <c r="L3375" s="22" t="s">
        <v>10</v>
      </c>
      <c r="M3375" s="25">
        <v>389975.03999999998</v>
      </c>
      <c r="N3375" s="27">
        <v>0.22</v>
      </c>
    </row>
    <row r="3376" spans="1:14" hidden="1" outlineLevel="1" x14ac:dyDescent="0.2">
      <c r="A3376" s="23" t="str">
        <f t="shared" si="56"/>
        <v>МОБУ ГИМНАЗИЯ № 1 Г. БЛАГОВЕЩЕНСКА</v>
      </c>
      <c r="B3376" s="24" t="s">
        <v>5805</v>
      </c>
      <c r="C3376" s="25">
        <v>499968</v>
      </c>
      <c r="D3376" s="22" t="s">
        <v>5808</v>
      </c>
      <c r="E3376" s="22" t="s">
        <v>48</v>
      </c>
      <c r="F3376" s="23" t="str">
        <f>HYPERLINK("https://www.spark-marketing.ru/Card/Lot/73358914", "Оказание услуг по организации питания воспитанников")</f>
        <v>Оказание услуг по организации питания воспитанников</v>
      </c>
      <c r="G3376" s="22" t="s">
        <v>145</v>
      </c>
      <c r="H3376" s="22" t="s">
        <v>3257</v>
      </c>
      <c r="I3376" s="26">
        <v>43719.702777777798</v>
      </c>
      <c r="J3376" s="23" t="str">
        <f>HYPERLINK("https://www.spark-marketing.ru/Card/Person/145110", "ООО ""ТК ""ЗК""")</f>
        <v>ООО "ТК "ЗК"</v>
      </c>
      <c r="K3376" s="24" t="s">
        <v>5800</v>
      </c>
      <c r="L3376" s="28" t="s">
        <v>51</v>
      </c>
      <c r="M3376" s="25">
        <v>394974.71999999997</v>
      </c>
      <c r="N3376" s="27">
        <v>0.21</v>
      </c>
    </row>
    <row r="3377" spans="1:14" hidden="1" outlineLevel="1" x14ac:dyDescent="0.2">
      <c r="A3377" s="23" t="str">
        <f t="shared" si="56"/>
        <v>МОБУ ГИМНАЗИЯ № 1 Г. БЛАГОВЕЩЕНСКА</v>
      </c>
      <c r="B3377" s="24" t="s">
        <v>5805</v>
      </c>
      <c r="C3377" s="25">
        <v>499968</v>
      </c>
      <c r="D3377" s="22" t="s">
        <v>5808</v>
      </c>
      <c r="E3377" s="22" t="s">
        <v>48</v>
      </c>
      <c r="F3377" s="23" t="str">
        <f>HYPERLINK("https://www.spark-marketing.ru/Card/Lot/73358914", "Оказание услуг по организации питания воспитанников")</f>
        <v>Оказание услуг по организации питания воспитанников</v>
      </c>
      <c r="G3377" s="22" t="s">
        <v>145</v>
      </c>
      <c r="H3377" s="22" t="s">
        <v>3257</v>
      </c>
      <c r="I3377" s="26">
        <v>43719.702777777798</v>
      </c>
      <c r="J3377" s="23" t="str">
        <f>HYPERLINK("https://www.spark-marketing.ru/Card/Person/6704775", "ООО ""ЭКСПРЕСС""")</f>
        <v>ООО "ЭКСПРЕСС"</v>
      </c>
      <c r="K3377" s="24" t="s">
        <v>5801</v>
      </c>
      <c r="L3377" s="28" t="s">
        <v>51</v>
      </c>
      <c r="M3377" s="25">
        <v>483840</v>
      </c>
      <c r="N3377" s="27">
        <v>3.2258064516129031E-2</v>
      </c>
    </row>
    <row r="3378" spans="1:14" x14ac:dyDescent="0.15">
      <c r="A3378" s="23" t="str">
        <f t="shared" ref="A3378:A3383" si="57">HYPERLINK("https://www.spark-marketing.ru/Card/Person/52585", "УМВД РОССИИ ПО ГОРОДСКОМУ ОКРУГУ ХИМКИ")</f>
        <v>УМВД РОССИИ ПО ГОРОДСКОМУ ОКРУГУ ХИМКИ</v>
      </c>
      <c r="B3378" s="24" t="s">
        <v>5809</v>
      </c>
      <c r="C3378" s="25">
        <v>996000</v>
      </c>
      <c r="D3378" s="22" t="s">
        <v>5810</v>
      </c>
      <c r="E3378" s="22" t="s">
        <v>96</v>
      </c>
      <c r="F3378" s="23" t="str">
        <f>HYPERLINK("https://www.spark-marketing.ru/Card/Lot/73361814", "Оказание услуг по питанию граждан, содержащихся в ИВС")</f>
        <v>Оказание услуг по питанию граждан, содержащихся в ИВС</v>
      </c>
      <c r="G3378" s="22" t="s">
        <v>49</v>
      </c>
      <c r="H3378" s="22" t="s">
        <v>631</v>
      </c>
      <c r="I3378" s="26">
        <v>43719.618055555598</v>
      </c>
      <c r="J3378" s="28" t="s">
        <v>51</v>
      </c>
      <c r="K3378" s="28" t="s">
        <v>51</v>
      </c>
      <c r="L3378" s="28" t="s">
        <v>51</v>
      </c>
      <c r="M3378" s="28" t="s">
        <v>51</v>
      </c>
      <c r="N3378" s="28" t="s">
        <v>51</v>
      </c>
    </row>
    <row r="3379" spans="1:14" ht="12.75" hidden="1" outlineLevel="1" x14ac:dyDescent="0.2">
      <c r="A3379" s="23" t="str">
        <f t="shared" si="57"/>
        <v>УМВД РОССИИ ПО ГОРОДСКОМУ ОКРУГУ ХИМКИ</v>
      </c>
      <c r="B3379" s="24" t="s">
        <v>5809</v>
      </c>
      <c r="C3379" s="25">
        <v>996000</v>
      </c>
      <c r="D3379" s="22" t="s">
        <v>5810</v>
      </c>
      <c r="E3379" s="22" t="s">
        <v>96</v>
      </c>
      <c r="F3379" s="23" t="str">
        <f>HYPERLINK("https://www.spark-marketing.ru/Card/Lot/73361814", "Оказание услуг по питанию граждан, содержащихся в ИВС")</f>
        <v>Оказание услуг по питанию граждан, содержащихся в ИВС</v>
      </c>
      <c r="G3379" s="22" t="s">
        <v>49</v>
      </c>
      <c r="H3379" s="22" t="s">
        <v>631</v>
      </c>
      <c r="I3379" s="26">
        <v>43719.618055555598</v>
      </c>
      <c r="J3379" s="23" t="str">
        <f>HYPERLINK("https://www.spark-marketing.ru/Card/Person/6501186", "Татевосян Амбарцум Рубенович")</f>
        <v>Татевосян Амбарцум Рубенович</v>
      </c>
      <c r="K3379" s="24" t="s">
        <v>5811</v>
      </c>
      <c r="L3379" s="22" t="s">
        <v>10</v>
      </c>
      <c r="M3379" s="25">
        <v>926280</v>
      </c>
      <c r="N3379" s="27">
        <v>7.0000000000000007E-2</v>
      </c>
    </row>
    <row r="3380" spans="1:14" hidden="1" outlineLevel="1" x14ac:dyDescent="0.2">
      <c r="A3380" s="23" t="str">
        <f t="shared" si="57"/>
        <v>УМВД РОССИИ ПО ГОРОДСКОМУ ОКРУГУ ХИМКИ</v>
      </c>
      <c r="B3380" s="24" t="s">
        <v>5809</v>
      </c>
      <c r="C3380" s="25">
        <v>996000</v>
      </c>
      <c r="D3380" s="22" t="s">
        <v>5810</v>
      </c>
      <c r="E3380" s="22" t="s">
        <v>96</v>
      </c>
      <c r="F3380" s="23" t="str">
        <f>HYPERLINK("https://www.spark-marketing.ru/Card/Lot/73361814", "Оказание услуг по питанию граждан, содержащихся в ИВС")</f>
        <v>Оказание услуг по питанию граждан, содержащихся в ИВС</v>
      </c>
      <c r="G3380" s="22" t="s">
        <v>49</v>
      </c>
      <c r="H3380" s="22" t="s">
        <v>631</v>
      </c>
      <c r="I3380" s="26">
        <v>43719.618055555598</v>
      </c>
      <c r="J3380" s="23" t="str">
        <f>HYPERLINK("https://www.spark-marketing.ru/Card/Person/115242", "Башмаков Николай Николаевич")</f>
        <v>Башмаков Николай Николаевич</v>
      </c>
      <c r="K3380" s="24" t="s">
        <v>5812</v>
      </c>
      <c r="L3380" s="28" t="s">
        <v>51</v>
      </c>
      <c r="M3380" s="25">
        <v>931260</v>
      </c>
      <c r="N3380" s="27">
        <v>6.5000000000000002E-2</v>
      </c>
    </row>
    <row r="3381" spans="1:14" x14ac:dyDescent="0.15">
      <c r="A3381" s="23" t="str">
        <f t="shared" si="57"/>
        <v>УМВД РОССИИ ПО ГОРОДСКОМУ ОКРУГУ ХИМКИ</v>
      </c>
      <c r="B3381" s="24" t="s">
        <v>5809</v>
      </c>
      <c r="C3381" s="25">
        <v>996000</v>
      </c>
      <c r="D3381" s="22" t="s">
        <v>5813</v>
      </c>
      <c r="E3381" s="22" t="s">
        <v>96</v>
      </c>
      <c r="F3381" s="23" t="str">
        <f>HYPERLINK("https://www.spark-marketing.ru/Card/Lot/73361815", "Оказание услуг по питанию граждан, содержащихся в ИВС")</f>
        <v>Оказание услуг по питанию граждан, содержащихся в ИВС</v>
      </c>
      <c r="G3381" s="22" t="s">
        <v>49</v>
      </c>
      <c r="H3381" s="22" t="s">
        <v>631</v>
      </c>
      <c r="I3381" s="26">
        <v>43719.616666666698</v>
      </c>
      <c r="J3381" s="28" t="s">
        <v>51</v>
      </c>
      <c r="K3381" s="28" t="s">
        <v>51</v>
      </c>
      <c r="L3381" s="28" t="s">
        <v>51</v>
      </c>
      <c r="M3381" s="28" t="s">
        <v>51</v>
      </c>
      <c r="N3381" s="28" t="s">
        <v>51</v>
      </c>
    </row>
    <row r="3382" spans="1:14" ht="12.75" hidden="1" outlineLevel="1" x14ac:dyDescent="0.2">
      <c r="A3382" s="23" t="str">
        <f t="shared" si="57"/>
        <v>УМВД РОССИИ ПО ГОРОДСКОМУ ОКРУГУ ХИМКИ</v>
      </c>
      <c r="B3382" s="24" t="s">
        <v>5809</v>
      </c>
      <c r="C3382" s="25">
        <v>996000</v>
      </c>
      <c r="D3382" s="22" t="s">
        <v>5813</v>
      </c>
      <c r="E3382" s="22" t="s">
        <v>96</v>
      </c>
      <c r="F3382" s="23" t="str">
        <f>HYPERLINK("https://www.spark-marketing.ru/Card/Lot/73361815", "Оказание услуг по питанию граждан, содержащихся в ИВС")</f>
        <v>Оказание услуг по питанию граждан, содержащихся в ИВС</v>
      </c>
      <c r="G3382" s="22" t="s">
        <v>49</v>
      </c>
      <c r="H3382" s="22" t="s">
        <v>631</v>
      </c>
      <c r="I3382" s="26">
        <v>43719.616666666698</v>
      </c>
      <c r="J3382" s="23" t="str">
        <f>HYPERLINK("https://www.spark-marketing.ru/Card/Person/6501186", "Татевосян Амбарцум Рубенович")</f>
        <v>Татевосян Амбарцум Рубенович</v>
      </c>
      <c r="K3382" s="24" t="s">
        <v>5811</v>
      </c>
      <c r="L3382" s="22" t="s">
        <v>10</v>
      </c>
      <c r="M3382" s="25">
        <v>906360</v>
      </c>
      <c r="N3382" s="27">
        <v>0.09</v>
      </c>
    </row>
    <row r="3383" spans="1:14" hidden="1" outlineLevel="1" x14ac:dyDescent="0.2">
      <c r="A3383" s="23" t="str">
        <f t="shared" si="57"/>
        <v>УМВД РОССИИ ПО ГОРОДСКОМУ ОКРУГУ ХИМКИ</v>
      </c>
      <c r="B3383" s="24" t="s">
        <v>5809</v>
      </c>
      <c r="C3383" s="25">
        <v>996000</v>
      </c>
      <c r="D3383" s="22" t="s">
        <v>5813</v>
      </c>
      <c r="E3383" s="22" t="s">
        <v>96</v>
      </c>
      <c r="F3383" s="23" t="str">
        <f>HYPERLINK("https://www.spark-marketing.ru/Card/Lot/73361815", "Оказание услуг по питанию граждан, содержащихся в ИВС")</f>
        <v>Оказание услуг по питанию граждан, содержащихся в ИВС</v>
      </c>
      <c r="G3383" s="22" t="s">
        <v>49</v>
      </c>
      <c r="H3383" s="22" t="s">
        <v>631</v>
      </c>
      <c r="I3383" s="26">
        <v>43719.616666666698</v>
      </c>
      <c r="J3383" s="23" t="str">
        <f>HYPERLINK("https://www.spark-marketing.ru/Card/Person/115242", "Башмаков Николай Николаевич")</f>
        <v>Башмаков Николай Николаевич</v>
      </c>
      <c r="K3383" s="24" t="s">
        <v>5812</v>
      </c>
      <c r="L3383" s="28" t="s">
        <v>51</v>
      </c>
      <c r="M3383" s="25">
        <v>911340</v>
      </c>
      <c r="N3383" s="27">
        <v>8.5000000000000006E-2</v>
      </c>
    </row>
    <row r="3384" spans="1:14" x14ac:dyDescent="0.15">
      <c r="A3384" s="23" t="str">
        <f>HYPERLINK("https://www.spark-marketing.ru/Card/Person/1073234", "ОТДЕЛЕНИЕ МВД РОССИИ ПО ОНГУДАЙСКОМУ РАЙОНУ")</f>
        <v>ОТДЕЛЕНИЕ МВД РОССИИ ПО ОНГУДАЙСКОМУ РАЙОНУ</v>
      </c>
      <c r="B3384" s="24" t="s">
        <v>5814</v>
      </c>
      <c r="C3384" s="25">
        <v>800000</v>
      </c>
      <c r="D3384" s="22" t="s">
        <v>5815</v>
      </c>
      <c r="E3384" s="22" t="s">
        <v>48</v>
      </c>
      <c r="F3384" s="23" t="str">
        <f>HYPERLINK("https://www.spark-marketing.ru/Card/Lot/73345755", "Оказание услуг по организации трехразового горячего питания лиц, содержащихся в ИВС и камере административного задержания")</f>
        <v>Оказание услуг по организации трехразового горячего питания лиц, содержащихся в ИВС и камере административного задержания</v>
      </c>
      <c r="G3384" s="22" t="s">
        <v>1141</v>
      </c>
      <c r="H3384" s="22" t="s">
        <v>5816</v>
      </c>
      <c r="I3384" s="26">
        <v>43719.541666666701</v>
      </c>
      <c r="J3384" s="28" t="s">
        <v>51</v>
      </c>
      <c r="K3384" s="28" t="s">
        <v>51</v>
      </c>
      <c r="L3384" s="28" t="s">
        <v>51</v>
      </c>
      <c r="M3384" s="28" t="s">
        <v>51</v>
      </c>
      <c r="N3384" s="28" t="s">
        <v>51</v>
      </c>
    </row>
    <row r="3385" spans="1:14" hidden="1" outlineLevel="1" x14ac:dyDescent="0.2">
      <c r="A3385" s="23" t="str">
        <f>HYPERLINK("https://www.spark-marketing.ru/Card/Person/1073234", "ОТДЕЛЕНИЕ МВД РОССИИ ПО ОНГУДАЙСКОМУ РАЙОНУ")</f>
        <v>ОТДЕЛЕНИЕ МВД РОССИИ ПО ОНГУДАЙСКОМУ РАЙОНУ</v>
      </c>
      <c r="B3385" s="24" t="s">
        <v>5814</v>
      </c>
      <c r="C3385" s="25">
        <v>800000</v>
      </c>
      <c r="D3385" s="22" t="s">
        <v>5815</v>
      </c>
      <c r="E3385" s="22" t="s">
        <v>48</v>
      </c>
      <c r="F3385" s="23" t="str">
        <f>HYPERLINK("https://www.spark-marketing.ru/Card/Lot/73345755", "Оказание услуг по организации трехразового горячего питания лиц, содержащихся в ИВС и камере административного задержания")</f>
        <v>Оказание услуг по организации трехразового горячего питания лиц, содержащихся в ИВС и камере административного задержания</v>
      </c>
      <c r="G3385" s="22" t="s">
        <v>1141</v>
      </c>
      <c r="H3385" s="22" t="s">
        <v>5816</v>
      </c>
      <c r="I3385" s="26">
        <v>43719.541666666701</v>
      </c>
      <c r="J3385" s="23" t="str">
        <f>HYPERLINK("https://www.spark-marketing.ru/Card/Person/6683754", "Сарбашева Ирина Маймановна")</f>
        <v>Сарбашева Ирина Маймановна</v>
      </c>
      <c r="K3385" s="24" t="s">
        <v>5817</v>
      </c>
      <c r="L3385" s="28" t="s">
        <v>51</v>
      </c>
      <c r="M3385" s="25">
        <v>776000</v>
      </c>
      <c r="N3385" s="27">
        <v>0.03</v>
      </c>
    </row>
    <row r="3386" spans="1:14" ht="12.75" hidden="1" outlineLevel="1" x14ac:dyDescent="0.2">
      <c r="A3386" s="23" t="str">
        <f>HYPERLINK("https://www.spark-marketing.ru/Card/Person/1073234", "ОТДЕЛЕНИЕ МВД РОССИИ ПО ОНГУДАЙСКОМУ РАЙОНУ")</f>
        <v>ОТДЕЛЕНИЕ МВД РОССИИ ПО ОНГУДАЙСКОМУ РАЙОНУ</v>
      </c>
      <c r="B3386" s="24" t="s">
        <v>5814</v>
      </c>
      <c r="C3386" s="25">
        <v>800000</v>
      </c>
      <c r="D3386" s="22" t="s">
        <v>5815</v>
      </c>
      <c r="E3386" s="22" t="s">
        <v>48</v>
      </c>
      <c r="F3386" s="23" t="str">
        <f>HYPERLINK("https://www.spark-marketing.ru/Card/Lot/73345755", "Оказание услуг по организации трехразового горячего питания лиц, содержащихся в ИВС и камере административного задержания")</f>
        <v>Оказание услуг по организации трехразового горячего питания лиц, содержащихся в ИВС и камере административного задержания</v>
      </c>
      <c r="G3386" s="22" t="s">
        <v>1141</v>
      </c>
      <c r="H3386" s="22" t="s">
        <v>5816</v>
      </c>
      <c r="I3386" s="26">
        <v>43719.541666666701</v>
      </c>
      <c r="J3386" s="23" t="str">
        <f>HYPERLINK("https://www.spark-marketing.ru/Card/Person/5896789", "Погребняк Ирина Федоровна")</f>
        <v>Погребняк Ирина Федоровна</v>
      </c>
      <c r="K3386" s="24" t="s">
        <v>5818</v>
      </c>
      <c r="L3386" s="22" t="s">
        <v>10</v>
      </c>
      <c r="M3386" s="25">
        <v>740000</v>
      </c>
      <c r="N3386" s="27">
        <v>7.4999999999999997E-2</v>
      </c>
    </row>
    <row r="3387" spans="1:14" x14ac:dyDescent="0.15">
      <c r="A3387" s="23" t="str">
        <f>HYPERLINK("https://www.spark-marketing.ru/Card/Person/4345970", "ФГУП ""ГХК""")</f>
        <v>ФГУП "ГХК"</v>
      </c>
      <c r="B3387" s="24" t="s">
        <v>5819</v>
      </c>
      <c r="C3387" s="25">
        <v>89960626</v>
      </c>
      <c r="D3387" s="22" t="s">
        <v>5820</v>
      </c>
      <c r="E3387" s="22" t="s">
        <v>52</v>
      </c>
      <c r="F3387" s="23" t="str">
        <f>HYPERLINK("https://www.spark-marketing.ru/Card/Lot/73352592", "ЕИС №31908290393 Право заключения договора на Услуги по организации и предоставлению питания работникам предприятия, по организации и предоставлению питания членам делегаций, прибывшим на ФГУП ""ГХК""")</f>
        <v>ЕИС №31908290393 Право заключения договора на Услуги по организации и предоставлению питания работникам предприятия, по организации и предоставлению питания членам делегаций, прибывшим на ФГУП "ГХК"</v>
      </c>
      <c r="G3387" s="22" t="s">
        <v>281</v>
      </c>
      <c r="H3387" s="22" t="s">
        <v>5821</v>
      </c>
      <c r="I3387" s="26">
        <v>43719.546030092599</v>
      </c>
      <c r="J3387" s="28" t="s">
        <v>51</v>
      </c>
      <c r="K3387" s="28" t="s">
        <v>51</v>
      </c>
      <c r="L3387" s="28" t="s">
        <v>51</v>
      </c>
      <c r="M3387" s="28" t="s">
        <v>51</v>
      </c>
      <c r="N3387" s="28" t="s">
        <v>51</v>
      </c>
    </row>
    <row r="3388" spans="1:14" x14ac:dyDescent="0.15">
      <c r="A3388" s="23" t="str">
        <f>HYPERLINK("https://www.spark-marketing.ru/Card/Person/879335", "ОТДЕЛ МВД РОССИИ ПО ОТРАДНЕНСКОМУ РАЙОНУ")</f>
        <v>ОТДЕЛ МВД РОССИИ ПО ОТРАДНЕНСКОМУ РАЙОНУ</v>
      </c>
      <c r="B3388" s="24" t="s">
        <v>2489</v>
      </c>
      <c r="C3388" s="25">
        <v>150000</v>
      </c>
      <c r="D3388" s="22" t="s">
        <v>5822</v>
      </c>
      <c r="E3388" s="22" t="s">
        <v>96</v>
      </c>
      <c r="F3388" s="23" t="str">
        <f>HYPERLINK("https://www.spark-marketing.ru/Card/Lot/73349455", "Оказание услуг по организации питания (приготовлению и доставке), 600 шт")</f>
        <v>Оказание услуг по организации питания (приготовлению и доставке), 600 шт</v>
      </c>
      <c r="G3388" s="22" t="s">
        <v>104</v>
      </c>
      <c r="H3388" s="22" t="s">
        <v>2491</v>
      </c>
      <c r="I3388" s="26">
        <v>43719.545925925901</v>
      </c>
      <c r="J3388" s="28" t="s">
        <v>51</v>
      </c>
      <c r="K3388" s="28" t="s">
        <v>51</v>
      </c>
      <c r="L3388" s="28" t="s">
        <v>51</v>
      </c>
      <c r="M3388" s="28" t="s">
        <v>51</v>
      </c>
      <c r="N3388" s="28" t="s">
        <v>51</v>
      </c>
    </row>
    <row r="3389" spans="1:14" x14ac:dyDescent="0.15">
      <c r="A3389" s="23" t="str">
        <f>HYPERLINK("https://www.spark-marketing.ru/Card/Person/18481", "ФГУП ""РОСРАО""")</f>
        <v>ФГУП "РОСРАО"</v>
      </c>
      <c r="B3389" s="24" t="s">
        <v>2882</v>
      </c>
      <c r="C3389" s="25">
        <v>299800</v>
      </c>
      <c r="D3389" s="22" t="s">
        <v>5823</v>
      </c>
      <c r="E3389" s="22" t="s">
        <v>48</v>
      </c>
      <c r="F3389" s="23" t="str">
        <f>HYPERLINK("https://www.spark-marketing.ru/Card/Lot/73348436",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3389" s="22" t="s">
        <v>162</v>
      </c>
      <c r="H3389" s="22" t="s">
        <v>1620</v>
      </c>
      <c r="I3389" s="26">
        <v>43719.518726851798</v>
      </c>
      <c r="J3389" s="28" t="s">
        <v>51</v>
      </c>
      <c r="K3389" s="28" t="s">
        <v>51</v>
      </c>
      <c r="L3389" s="28" t="s">
        <v>51</v>
      </c>
      <c r="M3389" s="28" t="s">
        <v>51</v>
      </c>
      <c r="N3389" s="28" t="s">
        <v>51</v>
      </c>
    </row>
    <row r="3390" spans="1:14" x14ac:dyDescent="0.15">
      <c r="A3390" s="23" t="str">
        <f>HYPERLINK("https://www.spark-marketing.ru/Card/Person/16901", "ГБУЗ СК ""ГКБ"" Г. ПЯТИГОРСКА")</f>
        <v>ГБУЗ СК "ГКБ" Г. ПЯТИГОРСКА</v>
      </c>
      <c r="B3390" s="24" t="s">
        <v>5824</v>
      </c>
      <c r="C3390" s="25">
        <v>38133.33</v>
      </c>
      <c r="D3390" s="22" t="s">
        <v>5825</v>
      </c>
      <c r="E3390" s="22" t="s">
        <v>3024</v>
      </c>
      <c r="F3390" s="23" t="str">
        <f>HYPERLINK("https://www.spark-marketing.ru/Card/Lot/73356027", "Оказание услуг на приобретение неисключительных прав (лицензий) на использование программного продукта ""1С:Медицина. Диетическое питание""")</f>
        <v>Оказание услуг на приобретение неисключительных прав (лицензий) на использование программного продукта "1С:Медицина. Диетическое питание"</v>
      </c>
      <c r="G3390" s="22" t="s">
        <v>87</v>
      </c>
      <c r="H3390" s="22" t="s">
        <v>5826</v>
      </c>
      <c r="I3390" s="26">
        <v>43719.5131944444</v>
      </c>
      <c r="J3390" s="28" t="s">
        <v>51</v>
      </c>
      <c r="K3390" s="28" t="s">
        <v>51</v>
      </c>
      <c r="L3390" s="28" t="s">
        <v>51</v>
      </c>
      <c r="M3390" s="28" t="s">
        <v>51</v>
      </c>
      <c r="N3390" s="28" t="s">
        <v>51</v>
      </c>
    </row>
    <row r="3391" spans="1:14" ht="12.75" hidden="1" outlineLevel="1" x14ac:dyDescent="0.2">
      <c r="A3391" s="23" t="str">
        <f>HYPERLINK("https://www.spark-marketing.ru/Card/Person/16901", "ГБУЗ СК ""ГКБ"" Г. ПЯТИГОРСКА")</f>
        <v>ГБУЗ СК "ГКБ" Г. ПЯТИГОРСКА</v>
      </c>
      <c r="B3391" s="24" t="s">
        <v>5824</v>
      </c>
      <c r="C3391" s="25">
        <v>38133.33</v>
      </c>
      <c r="D3391" s="22" t="s">
        <v>5825</v>
      </c>
      <c r="E3391" s="22" t="s">
        <v>3024</v>
      </c>
      <c r="F3391" s="23" t="str">
        <f>HYPERLINK("https://www.spark-marketing.ru/Card/Lot/73356027", "Оказание услуг на приобретение неисключительных прав (лицензий) на использование программного продукта ""1С:Медицина. Диетическое питание""")</f>
        <v>Оказание услуг на приобретение неисключительных прав (лицензий) на использование программного продукта "1С:Медицина. Диетическое питание"</v>
      </c>
      <c r="G3391" s="22" t="s">
        <v>87</v>
      </c>
      <c r="H3391" s="22" t="s">
        <v>5826</v>
      </c>
      <c r="I3391" s="26">
        <v>43719.5131944444</v>
      </c>
      <c r="J3391" s="23" t="str">
        <f>HYPERLINK("https://www.spark-marketing.ru/Card/Person/287940", "ООО ""1-Й СОВЕТНИК""")</f>
        <v>ООО "1-Й СОВЕТНИК"</v>
      </c>
      <c r="K3391" s="24" t="s">
        <v>5827</v>
      </c>
      <c r="L3391" s="22" t="s">
        <v>10</v>
      </c>
      <c r="M3391" s="25">
        <v>33790.660000000003</v>
      </c>
      <c r="N3391" s="27">
        <v>0.11388121624835806</v>
      </c>
    </row>
    <row r="3392" spans="1:14" hidden="1" outlineLevel="1" x14ac:dyDescent="0.2">
      <c r="A3392" s="23" t="str">
        <f>HYPERLINK("https://www.spark-marketing.ru/Card/Person/16901", "ГБУЗ СК ""ГКБ"" Г. ПЯТИГОРСКА")</f>
        <v>ГБУЗ СК "ГКБ" Г. ПЯТИГОРСКА</v>
      </c>
      <c r="B3392" s="24" t="s">
        <v>5824</v>
      </c>
      <c r="C3392" s="25">
        <v>38133.33</v>
      </c>
      <c r="D3392" s="22" t="s">
        <v>5825</v>
      </c>
      <c r="E3392" s="22" t="s">
        <v>3024</v>
      </c>
      <c r="F3392" s="23" t="str">
        <f>HYPERLINK("https://www.spark-marketing.ru/Card/Lot/73356027", "Оказание услуг на приобретение неисключительных прав (лицензий) на использование программного продукта ""1С:Медицина. Диетическое питание""")</f>
        <v>Оказание услуг на приобретение неисключительных прав (лицензий) на использование программного продукта "1С:Медицина. Диетическое питание"</v>
      </c>
      <c r="G3392" s="22" t="s">
        <v>87</v>
      </c>
      <c r="H3392" s="22" t="s">
        <v>5826</v>
      </c>
      <c r="I3392" s="26">
        <v>43719.5131944444</v>
      </c>
      <c r="J3392" s="23" t="str">
        <f>HYPERLINK("https://www.spark-marketing.ru/Card/Person/37603", "Кобяков Олег Генрихович")</f>
        <v>Кобяков Олег Генрихович</v>
      </c>
      <c r="K3392" s="24" t="s">
        <v>5828</v>
      </c>
      <c r="L3392" s="28" t="s">
        <v>51</v>
      </c>
      <c r="M3392" s="25">
        <v>35888</v>
      </c>
      <c r="N3392" s="27">
        <v>5.8881036615475231E-2</v>
      </c>
    </row>
    <row r="3393" spans="1:14" hidden="1" outlineLevel="1" x14ac:dyDescent="0.2">
      <c r="A3393" s="23" t="str">
        <f>HYPERLINK("https://www.spark-marketing.ru/Card/Person/16901", "ГБУЗ СК ""ГКБ"" Г. ПЯТИГОРСКА")</f>
        <v>ГБУЗ СК "ГКБ" Г. ПЯТИГОРСКА</v>
      </c>
      <c r="B3393" s="24" t="s">
        <v>5824</v>
      </c>
      <c r="C3393" s="25">
        <v>38133.33</v>
      </c>
      <c r="D3393" s="22" t="s">
        <v>5825</v>
      </c>
      <c r="E3393" s="22" t="s">
        <v>3024</v>
      </c>
      <c r="F3393" s="23" t="str">
        <f>HYPERLINK("https://www.spark-marketing.ru/Card/Lot/73356027", "Оказание услуг на приобретение неисключительных прав (лицензий) на использование программного продукта ""1С:Медицина. Диетическое питание""")</f>
        <v>Оказание услуг на приобретение неисключительных прав (лицензий) на использование программного продукта "1С:Медицина. Диетическое питание"</v>
      </c>
      <c r="G3393" s="22" t="s">
        <v>87</v>
      </c>
      <c r="H3393" s="22" t="s">
        <v>5826</v>
      </c>
      <c r="I3393" s="26">
        <v>43719.5131944444</v>
      </c>
      <c r="J3393" s="23" t="str">
        <f>HYPERLINK("https://www.spark-marketing.ru/Card/Person/24354", "ООО ""СОФТ БИЛДИНГ""")</f>
        <v>ООО "СОФТ БИЛДИНГ"</v>
      </c>
      <c r="K3393" s="24" t="s">
        <v>5829</v>
      </c>
      <c r="L3393" s="28" t="s">
        <v>51</v>
      </c>
      <c r="M3393" s="25">
        <v>33790.660000000003</v>
      </c>
      <c r="N3393" s="27">
        <v>0.11388121624835806</v>
      </c>
    </row>
    <row r="3394" spans="1:14" hidden="1" outlineLevel="1" x14ac:dyDescent="0.2">
      <c r="A3394" s="23" t="str">
        <f>HYPERLINK("https://www.spark-marketing.ru/Card/Person/16901", "ГБУЗ СК ""ГКБ"" Г. ПЯТИГОРСКА")</f>
        <v>ГБУЗ СК "ГКБ" Г. ПЯТИГОРСКА</v>
      </c>
      <c r="B3394" s="24" t="s">
        <v>5824</v>
      </c>
      <c r="C3394" s="25">
        <v>38133.33</v>
      </c>
      <c r="D3394" s="22" t="s">
        <v>5825</v>
      </c>
      <c r="E3394" s="22" t="s">
        <v>3024</v>
      </c>
      <c r="F3394" s="23" t="str">
        <f>HYPERLINK("https://www.spark-marketing.ru/Card/Lot/73356027", "Оказание услуг на приобретение неисключительных прав (лицензий) на использование программного продукта ""1С:Медицина. Диетическое питание""")</f>
        <v>Оказание услуг на приобретение неисключительных прав (лицензий) на использование программного продукта "1С:Медицина. Диетическое питание"</v>
      </c>
      <c r="G3394" s="22" t="s">
        <v>87</v>
      </c>
      <c r="H3394" s="22" t="s">
        <v>5826</v>
      </c>
      <c r="I3394" s="26">
        <v>43719.5131944444</v>
      </c>
      <c r="J3394" s="23" t="str">
        <f>HYPERLINK("https://www.spark-marketing.ru/Card/Person/6443610", "ООО ""СИСТЕМА УЧЕТА""")</f>
        <v>ООО "СИСТЕМА УЧЕТА"</v>
      </c>
      <c r="K3394" s="24" t="s">
        <v>5830</v>
      </c>
      <c r="L3394" s="28" t="s">
        <v>51</v>
      </c>
      <c r="M3394" s="25">
        <v>37942.660000000003</v>
      </c>
      <c r="N3394" s="27">
        <v>5.0000878496580291E-3</v>
      </c>
    </row>
    <row r="3395" spans="1:14" x14ac:dyDescent="0.15">
      <c r="A3395" s="23" t="str">
        <f>HYPERLINK("https://www.spark-marketing.ru/Card/Person/24579", "ГБУ МО ""ЦСППСНВС""")</f>
        <v>ГБУ МО "ЦСППСНВС"</v>
      </c>
      <c r="B3395" s="24" t="s">
        <v>4731</v>
      </c>
      <c r="C3395" s="25">
        <v>462000</v>
      </c>
      <c r="D3395" s="22" t="s">
        <v>5831</v>
      </c>
      <c r="E3395" s="22" t="s">
        <v>374</v>
      </c>
      <c r="F3395" s="23" t="str">
        <f>HYPERLINK("https://www.spark-marketing.ru/Card/Lot/73354371", "Оказание услуг по организации участия членов спортивных сборных команд Московской области в тренировочных мероприятиях по футзалу")</f>
        <v>Оказание услуг по организации участия членов спортивных сборных команд Московской области в тренировочных мероприятиях по футзалу</v>
      </c>
      <c r="G3395" s="22" t="s">
        <v>49</v>
      </c>
      <c r="H3395" s="22" t="s">
        <v>631</v>
      </c>
      <c r="I3395" s="26">
        <v>43719.531944444403</v>
      </c>
      <c r="J3395" s="28" t="s">
        <v>51</v>
      </c>
      <c r="K3395" s="28" t="s">
        <v>51</v>
      </c>
      <c r="L3395" s="28" t="s">
        <v>51</v>
      </c>
      <c r="M3395" s="28" t="s">
        <v>51</v>
      </c>
      <c r="N3395" s="28" t="s">
        <v>51</v>
      </c>
    </row>
    <row r="3396" spans="1:14" hidden="1" outlineLevel="1" x14ac:dyDescent="0.2">
      <c r="A3396" s="23" t="str">
        <f>HYPERLINK("https://www.spark-marketing.ru/Card/Person/24579", "ГБУ МО ""ЦСППСНВС""")</f>
        <v>ГБУ МО "ЦСППСНВС"</v>
      </c>
      <c r="B3396" s="24" t="s">
        <v>4731</v>
      </c>
      <c r="C3396" s="25">
        <v>462000</v>
      </c>
      <c r="D3396" s="22" t="s">
        <v>5831</v>
      </c>
      <c r="E3396" s="22" t="s">
        <v>374</v>
      </c>
      <c r="F3396" s="23" t="str">
        <f>HYPERLINK("https://www.spark-marketing.ru/Card/Lot/73354371", "Оказание услуг по организации участия членов спортивных сборных команд Московской области в тренировочных мероприятиях по футзалу")</f>
        <v>Оказание услуг по организации участия членов спортивных сборных команд Московской области в тренировочных мероприятиях по футзалу</v>
      </c>
      <c r="G3396" s="22" t="s">
        <v>49</v>
      </c>
      <c r="H3396" s="22" t="s">
        <v>631</v>
      </c>
      <c r="I3396" s="26">
        <v>43719.531944444403</v>
      </c>
      <c r="J3396" s="23" t="str">
        <f>HYPERLINK("https://www.spark-marketing.ru/Card/Person/6618588", "ООО ТД ""ДЕРЖАВНЫЙ-ЯРОСЛАВЛЬ""")</f>
        <v>ООО ТД "ДЕРЖАВНЫЙ-ЯРОСЛАВЛЬ"</v>
      </c>
      <c r="K3396" s="24" t="s">
        <v>5336</v>
      </c>
      <c r="L3396" s="28" t="s">
        <v>51</v>
      </c>
      <c r="M3396" s="25">
        <v>459690</v>
      </c>
      <c r="N3396" s="27">
        <v>5.0000000000000001E-3</v>
      </c>
    </row>
    <row r="3397" spans="1:14" hidden="1" outlineLevel="1" x14ac:dyDescent="0.2">
      <c r="A3397" s="23" t="str">
        <f>HYPERLINK("https://www.spark-marketing.ru/Card/Person/24579", "ГБУ МО ""ЦСППСНВС""")</f>
        <v>ГБУ МО "ЦСППСНВС"</v>
      </c>
      <c r="B3397" s="24" t="s">
        <v>4731</v>
      </c>
      <c r="C3397" s="25">
        <v>462000</v>
      </c>
      <c r="D3397" s="22" t="s">
        <v>5831</v>
      </c>
      <c r="E3397" s="22" t="s">
        <v>374</v>
      </c>
      <c r="F3397" s="23" t="str">
        <f>HYPERLINK("https://www.spark-marketing.ru/Card/Lot/73354371", "Оказание услуг по организации участия членов спортивных сборных команд Московской области в тренировочных мероприятиях по футзалу")</f>
        <v>Оказание услуг по организации участия членов спортивных сборных команд Московской области в тренировочных мероприятиях по футзалу</v>
      </c>
      <c r="G3397" s="22" t="s">
        <v>49</v>
      </c>
      <c r="H3397" s="22" t="s">
        <v>631</v>
      </c>
      <c r="I3397" s="26">
        <v>43719.531944444403</v>
      </c>
      <c r="J3397" s="23" t="str">
        <f>HYPERLINK("https://www.spark-marketing.ru/Card/Person/6369393", "ООО ""ВЕКТОР ГРУПП""")</f>
        <v>ООО "ВЕКТОР ГРУПП"</v>
      </c>
      <c r="K3397" s="24" t="s">
        <v>4733</v>
      </c>
      <c r="L3397" s="28" t="s">
        <v>51</v>
      </c>
      <c r="M3397" s="25">
        <v>385770</v>
      </c>
      <c r="N3397" s="27">
        <v>0.16500000000000001</v>
      </c>
    </row>
    <row r="3398" spans="1:14" ht="12.75" hidden="1" outlineLevel="1" x14ac:dyDescent="0.2">
      <c r="A3398" s="23" t="str">
        <f>HYPERLINK("https://www.spark-marketing.ru/Card/Person/24579", "ГБУ МО ""ЦСППСНВС""")</f>
        <v>ГБУ МО "ЦСППСНВС"</v>
      </c>
      <c r="B3398" s="24" t="s">
        <v>4731</v>
      </c>
      <c r="C3398" s="25">
        <v>462000</v>
      </c>
      <c r="D3398" s="22" t="s">
        <v>5831</v>
      </c>
      <c r="E3398" s="22" t="s">
        <v>374</v>
      </c>
      <c r="F3398" s="23" t="str">
        <f>HYPERLINK("https://www.spark-marketing.ru/Card/Lot/73354371", "Оказание услуг по организации участия членов спортивных сборных команд Московской области в тренировочных мероприятиях по футзалу")</f>
        <v>Оказание услуг по организации участия членов спортивных сборных команд Московской области в тренировочных мероприятиях по футзалу</v>
      </c>
      <c r="G3398" s="22" t="s">
        <v>49</v>
      </c>
      <c r="H3398" s="22" t="s">
        <v>631</v>
      </c>
      <c r="I3398" s="26">
        <v>43719.531944444403</v>
      </c>
      <c r="J3398" s="23" t="str">
        <f>HYPERLINK("https://www.spark-marketing.ru/Card/Person/4919842", "ООО ""МАКСИ КО""")</f>
        <v>ООО "МАКСИ КО"</v>
      </c>
      <c r="K3398" s="24" t="s">
        <v>4581</v>
      </c>
      <c r="L3398" s="22" t="s">
        <v>10</v>
      </c>
      <c r="M3398" s="25">
        <v>383460</v>
      </c>
      <c r="N3398" s="27">
        <v>0.17</v>
      </c>
    </row>
    <row r="3399" spans="1:14" x14ac:dyDescent="0.15">
      <c r="A3399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3399" s="24" t="s">
        <v>5832</v>
      </c>
      <c r="C3399" s="25">
        <v>64800</v>
      </c>
      <c r="D3399" s="22" t="s">
        <v>5833</v>
      </c>
      <c r="E3399" s="22" t="s">
        <v>48</v>
      </c>
      <c r="F3399" s="23" t="str">
        <f>HYPERLINK("https://www.spark-marketing.ru/Card/Lot/73348426", "Услуги по обеспечению питанием, осуществляемые по договору, 648 усл. ед")</f>
        <v>Услуги по обеспечению питанием, осуществляемые по договору, 648 усл. ед</v>
      </c>
      <c r="G3399" s="22" t="s">
        <v>153</v>
      </c>
      <c r="H3399" s="22" t="s">
        <v>5834</v>
      </c>
      <c r="I3399" s="26">
        <v>43719.516307870399</v>
      </c>
      <c r="J3399" s="28" t="s">
        <v>51</v>
      </c>
      <c r="K3399" s="28" t="s">
        <v>51</v>
      </c>
      <c r="L3399" s="28" t="s">
        <v>51</v>
      </c>
      <c r="M3399" s="28" t="s">
        <v>51</v>
      </c>
      <c r="N3399" s="28" t="s">
        <v>51</v>
      </c>
    </row>
    <row r="3400" spans="1:14" x14ac:dyDescent="0.15">
      <c r="A3400" s="23" t="str">
        <f>HYPERLINK("https://www.spark-marketing.ru/Card/Person/4359977", "ООО ""РН-ШЕЛЬФ-АРКТИКА""")</f>
        <v>ООО "РН-ШЕЛЬФ-АРКТИКА"</v>
      </c>
      <c r="B3400" s="24" t="s">
        <v>5835</v>
      </c>
      <c r="C3400" s="28" t="s">
        <v>51</v>
      </c>
      <c r="D3400" s="22" t="s">
        <v>5836</v>
      </c>
      <c r="E3400" s="22" t="s">
        <v>5837</v>
      </c>
      <c r="F3400" s="23" t="str">
        <f>HYPERLINK("https://www.spark-marketing.ru/Card/Lot/73992689", "Оказание комплексных услуг по перевозке вахтового персонала по маршруту аэропорт г. Оха-порт Москальво, включая проживание и питание для обеспечения бурения разведочной скважины «Пела-Лейч №2» на лицензионном участке, включающем месторождение «Кайган...")</f>
        <v>Оказание комплексных услуг по перевозке вахтового персонала по маршруту аэропорт г. Оха-порт Москальво, включая проживание и питание для обеспечения бурения разведочной скважины «Пела-Лейч №2» на лицензионном участке, включающем месторождение «Кайган...</v>
      </c>
      <c r="G3400" s="22" t="s">
        <v>56</v>
      </c>
      <c r="H3400" s="22" t="s">
        <v>56</v>
      </c>
      <c r="I3400" s="26">
        <v>43719.5</v>
      </c>
      <c r="J3400" s="28" t="s">
        <v>51</v>
      </c>
      <c r="K3400" s="28" t="s">
        <v>51</v>
      </c>
      <c r="L3400" s="28" t="s">
        <v>51</v>
      </c>
      <c r="M3400" s="28" t="s">
        <v>51</v>
      </c>
      <c r="N3400" s="28" t="s">
        <v>51</v>
      </c>
    </row>
    <row r="3401" spans="1:14" ht="12.75" x14ac:dyDescent="0.2">
      <c r="A3401" s="23" t="str">
        <f>HYPERLINK("https://www.spark-marketing.ru/Card/Person/26481", "ГБУЗ КО ТАШТАГОЛЬСКАЯ РБ")</f>
        <v>ГБУЗ КО ТАШТАГОЛЬСКАЯ РБ</v>
      </c>
      <c r="B3401" s="24" t="s">
        <v>5838</v>
      </c>
      <c r="C3401" s="25">
        <v>500000</v>
      </c>
      <c r="D3401" s="22" t="s">
        <v>5839</v>
      </c>
      <c r="E3401" s="22" t="s">
        <v>86</v>
      </c>
      <c r="F3401" s="23" t="str">
        <f>HYPERLINK("https://www.spark-marketing.ru/Card/Lot/73351795", "Услуги по обеспечению лекарственными препаратами, изделиями медицинского назначения и специализированными продуктами лечебного питания для детей-инвалидов отдельных категорий граждан (Бюджет)")</f>
        <v>Услуги по обеспечению лекарственными препаратами, изделиями медицинского назначения и специализированными продуктами лечебного питания для детей-инвалидов отдельных категорий граждан (Бюджет)</v>
      </c>
      <c r="G3401" s="22" t="s">
        <v>304</v>
      </c>
      <c r="H3401" s="22" t="s">
        <v>5840</v>
      </c>
      <c r="I3401" s="26">
        <v>43719.629166666702</v>
      </c>
      <c r="J3401" s="23" t="str">
        <f>HYPERLINK("https://www.spark-marketing.ru/Card/Person/626991", "МП ""ФАРМАЦИЯ""")</f>
        <v>МП "ФАРМАЦИЯ"</v>
      </c>
      <c r="K3401" s="24" t="s">
        <v>5841</v>
      </c>
      <c r="L3401" s="22" t="s">
        <v>10</v>
      </c>
      <c r="M3401" s="25">
        <v>500000</v>
      </c>
      <c r="N3401" s="27">
        <v>0</v>
      </c>
    </row>
    <row r="3402" spans="1:14" x14ac:dyDescent="0.15">
      <c r="A3402" s="23" t="str">
        <f>HYPERLINK("https://www.spark-marketing.ru/Card/Person/261425", "МО МВД РОССИИ ""НАВЛИНСКИЙ""")</f>
        <v>МО МВД РОССИИ "НАВЛИНСКИЙ"</v>
      </c>
      <c r="B3402" s="24" t="s">
        <v>5541</v>
      </c>
      <c r="C3402" s="25">
        <v>30000</v>
      </c>
      <c r="D3402" s="22" t="s">
        <v>5842</v>
      </c>
      <c r="E3402" s="22" t="s">
        <v>48</v>
      </c>
      <c r="F3402" s="23" t="str">
        <f>HYPERLINK("https://www.spark-marketing.ru/Card/Lot/73347406", "Оказание услуг по организации питания (приготовление и доставка) для несовершеннолетних лиц, 75 усл. ед")</f>
        <v>Оказание услуг по организации питания (приготовление и доставка) для несовершеннолетних лиц, 75 усл. ед</v>
      </c>
      <c r="G3402" s="22" t="s">
        <v>475</v>
      </c>
      <c r="H3402" s="22" t="s">
        <v>5552</v>
      </c>
      <c r="I3402" s="26">
        <v>43719.497372685197</v>
      </c>
      <c r="J3402" s="28" t="s">
        <v>51</v>
      </c>
      <c r="K3402" s="28" t="s">
        <v>51</v>
      </c>
      <c r="L3402" s="28" t="s">
        <v>51</v>
      </c>
      <c r="M3402" s="28" t="s">
        <v>51</v>
      </c>
      <c r="N3402" s="28" t="s">
        <v>51</v>
      </c>
    </row>
    <row r="3403" spans="1:14" x14ac:dyDescent="0.15">
      <c r="A3403" s="23" t="str">
        <f>HYPERLINK("https://www.spark-marketing.ru/Card/Person/1019323", "МО МВД РОССИИ ""НЕКОУЗСКИЙ""")</f>
        <v>МО МВД РОССИИ "НЕКОУЗСКИЙ"</v>
      </c>
      <c r="B3403" s="24" t="s">
        <v>3877</v>
      </c>
      <c r="C3403" s="25">
        <v>20000</v>
      </c>
      <c r="D3403" s="22" t="s">
        <v>5843</v>
      </c>
      <c r="E3403" s="22" t="s">
        <v>48</v>
      </c>
      <c r="F3403" s="23" t="str">
        <f>HYPERLINK("https://www.spark-marketing.ru/Card/Lot/73346118", "Услуги по обеспечению питанием, осуществляемые по договору, 200 усл. ед")</f>
        <v>Услуги по обеспечению питанием, осуществляемые по договору, 200 усл. ед</v>
      </c>
      <c r="G3403" s="22" t="s">
        <v>185</v>
      </c>
      <c r="H3403" s="22" t="s">
        <v>3879</v>
      </c>
      <c r="I3403" s="26">
        <v>43719.458090277803</v>
      </c>
      <c r="J3403" s="28" t="s">
        <v>51</v>
      </c>
      <c r="K3403" s="28" t="s">
        <v>51</v>
      </c>
      <c r="L3403" s="28" t="s">
        <v>51</v>
      </c>
      <c r="M3403" s="28" t="s">
        <v>51</v>
      </c>
      <c r="N3403" s="28" t="s">
        <v>51</v>
      </c>
    </row>
    <row r="3404" spans="1:14" x14ac:dyDescent="0.15">
      <c r="A3404" s="23" t="str">
        <f>HYPERLINK("https://www.spark-marketing.ru/Card/Person/224494", "ГАУСО ""РЦДПОВ ""РАДОСТЬ"" (""ШАТЛЫК"")")</f>
        <v>ГАУСО "РЦДПОВ "РАДОСТЬ" ("ШАТЛЫК")</v>
      </c>
      <c r="B3404" s="24" t="s">
        <v>5844</v>
      </c>
      <c r="C3404" s="25">
        <v>840061.67</v>
      </c>
      <c r="D3404" s="22" t="s">
        <v>5845</v>
      </c>
      <c r="E3404" s="22" t="s">
        <v>96</v>
      </c>
      <c r="F3404" s="23" t="str">
        <f>HYPERLINK("https://www.spark-marketing.ru/Card/Lot/73351866", "Услуга по организации готового горячего питания")</f>
        <v>Услуга по организации готового горячего питания</v>
      </c>
      <c r="G3404" s="22" t="s">
        <v>217</v>
      </c>
      <c r="H3404" s="22" t="s">
        <v>5020</v>
      </c>
      <c r="I3404" s="26">
        <v>43719.464583333298</v>
      </c>
      <c r="J3404" s="28" t="s">
        <v>51</v>
      </c>
      <c r="K3404" s="28" t="s">
        <v>51</v>
      </c>
      <c r="L3404" s="28" t="s">
        <v>51</v>
      </c>
      <c r="M3404" s="28" t="s">
        <v>51</v>
      </c>
      <c r="N3404" s="28" t="s">
        <v>51</v>
      </c>
    </row>
    <row r="3405" spans="1:14" ht="12.75" hidden="1" outlineLevel="1" x14ac:dyDescent="0.2">
      <c r="A3405" s="23" t="str">
        <f>HYPERLINK("https://www.spark-marketing.ru/Card/Person/224494", "ГАУСО ""РЦДПОВ ""РАДОСТЬ"" (""ШАТЛЫК"")")</f>
        <v>ГАУСО "РЦДПОВ "РАДОСТЬ" ("ШАТЛЫК")</v>
      </c>
      <c r="B3405" s="24" t="s">
        <v>5844</v>
      </c>
      <c r="C3405" s="25">
        <v>840061.67</v>
      </c>
      <c r="D3405" s="22" t="s">
        <v>5845</v>
      </c>
      <c r="E3405" s="22" t="s">
        <v>96</v>
      </c>
      <c r="F3405" s="23" t="str">
        <f>HYPERLINK("https://www.spark-marketing.ru/Card/Lot/73351866", "Услуга по организации готового горячего питания")</f>
        <v>Услуга по организации готового горячего питания</v>
      </c>
      <c r="G3405" s="22" t="s">
        <v>217</v>
      </c>
      <c r="H3405" s="22" t="s">
        <v>5020</v>
      </c>
      <c r="I3405" s="26">
        <v>43719.464583333298</v>
      </c>
      <c r="J3405" s="23" t="str">
        <f>HYPERLINK("https://www.spark-marketing.ru/Card/Person/6084653", "ООО ""ВИТАРА""")</f>
        <v>ООО "ВИТАРА"</v>
      </c>
      <c r="K3405" s="24" t="s">
        <v>2437</v>
      </c>
      <c r="L3405" s="22" t="s">
        <v>10</v>
      </c>
      <c r="M3405" s="25">
        <v>840061.67</v>
      </c>
      <c r="N3405" s="27">
        <v>0</v>
      </c>
    </row>
    <row r="3406" spans="1:14" hidden="1" outlineLevel="1" x14ac:dyDescent="0.2">
      <c r="A3406" s="23" t="str">
        <f>HYPERLINK("https://www.spark-marketing.ru/Card/Person/224494", "ГАУСО ""РЦДПОВ ""РАДОСТЬ"" (""ШАТЛЫК"")")</f>
        <v>ГАУСО "РЦДПОВ "РАДОСТЬ" ("ШАТЛЫК")</v>
      </c>
      <c r="B3406" s="24" t="s">
        <v>5844</v>
      </c>
      <c r="C3406" s="25">
        <v>840061.67</v>
      </c>
      <c r="D3406" s="22" t="s">
        <v>5845</v>
      </c>
      <c r="E3406" s="22" t="s">
        <v>96</v>
      </c>
      <c r="F3406" s="23" t="str">
        <f>HYPERLINK("https://www.spark-marketing.ru/Card/Lot/73351866", "Услуга по организации готового горячего питания")</f>
        <v>Услуга по организации готового горячего питания</v>
      </c>
      <c r="G3406" s="22" t="s">
        <v>217</v>
      </c>
      <c r="H3406" s="22" t="s">
        <v>5020</v>
      </c>
      <c r="I3406" s="26">
        <v>43719.464583333298</v>
      </c>
      <c r="J3406" s="23" t="str">
        <f>HYPERLINK("https://www.spark-marketing.ru/Card/Person/6075772", "ООО ""ЭТАЛОН+""")</f>
        <v>ООО "ЭТАЛОН+"</v>
      </c>
      <c r="K3406" s="24" t="s">
        <v>5846</v>
      </c>
      <c r="L3406" s="28" t="s">
        <v>51</v>
      </c>
      <c r="M3406" s="25">
        <v>840061.67</v>
      </c>
      <c r="N3406" s="27">
        <v>0</v>
      </c>
    </row>
    <row r="3407" spans="1:14" x14ac:dyDescent="0.2">
      <c r="A3407" s="23" t="str">
        <f>HYPERLINK("https://www.spark-marketing.ru/Card/Person/30329", "ГБУЗ ""ДЕТСКИЙ САНАТОРИЙ ""ГОЛУБАЯ ВОЛНА""")</f>
        <v>ГБУЗ "ДЕТСКИЙ САНАТОРИЙ "ГОЛУБАЯ ВОЛНА"</v>
      </c>
      <c r="B3407" s="24" t="s">
        <v>5847</v>
      </c>
      <c r="C3407" s="25">
        <v>7617032.6399999997</v>
      </c>
      <c r="D3407" s="22" t="s">
        <v>5848</v>
      </c>
      <c r="E3407" s="22" t="s">
        <v>96</v>
      </c>
      <c r="F3407" s="23" t="str">
        <f>HYPERLINK("https://www.spark-marketing.ru/Card/Lot/73352638", "Услуги по организации лечебного питания")</f>
        <v>Услуги по организации лечебного питания</v>
      </c>
      <c r="G3407" s="22" t="s">
        <v>104</v>
      </c>
      <c r="H3407" s="22" t="s">
        <v>104</v>
      </c>
      <c r="I3407" s="26">
        <v>43719.464583333298</v>
      </c>
      <c r="J3407" s="23" t="str">
        <f>HYPERLINK("https://www.spark-marketing.ru/Card/Person/4722721", "ООО ""ФОРМУЛА ВКУСА - ТИХОРЕЦК""")</f>
        <v>ООО "ФОРМУЛА ВКУСА - ТИХОРЕЦК"</v>
      </c>
      <c r="K3407" s="24" t="s">
        <v>5849</v>
      </c>
      <c r="L3407" s="28" t="s">
        <v>51</v>
      </c>
      <c r="M3407" s="25">
        <v>7617032.6399999997</v>
      </c>
      <c r="N3407" s="27">
        <v>0</v>
      </c>
    </row>
    <row r="3408" spans="1:14" x14ac:dyDescent="0.15">
      <c r="A3408" s="23" t="str">
        <f>HYPERLINK("https://www.spark-marketing.ru/Card/Person/1060342", "ОМВД РОССИИ ПО ЛЕНИНСКОМУ РАЙОНУ")</f>
        <v>ОМВД РОССИИ ПО ЛЕНИНСКОМУ РАЙОНУ</v>
      </c>
      <c r="B3408" s="24" t="s">
        <v>5850</v>
      </c>
      <c r="C3408" s="25">
        <v>133027.4</v>
      </c>
      <c r="D3408" s="22" t="s">
        <v>5851</v>
      </c>
      <c r="E3408" s="22" t="s">
        <v>96</v>
      </c>
      <c r="F3408" s="23" t="str">
        <f>HYPERLINK("https://www.spark-marketing.ru/Card/Lot/73347362",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3408" s="22" t="s">
        <v>108</v>
      </c>
      <c r="H3408" s="22" t="s">
        <v>5852</v>
      </c>
      <c r="I3408" s="26">
        <v>43719.487835648099</v>
      </c>
      <c r="J3408" s="28" t="s">
        <v>51</v>
      </c>
      <c r="K3408" s="28" t="s">
        <v>51</v>
      </c>
      <c r="L3408" s="28" t="s">
        <v>51</v>
      </c>
      <c r="M3408" s="28" t="s">
        <v>51</v>
      </c>
      <c r="N3408" s="28" t="s">
        <v>51</v>
      </c>
    </row>
    <row r="3409" spans="1:14" x14ac:dyDescent="0.15">
      <c r="A3409" s="23" t="str">
        <f>HYPERLINK("https://www.spark-marketing.ru/Card/Person/10607", "ГБУ ДСЗМ")</f>
        <v>ГБУ ДСЗМ</v>
      </c>
      <c r="B3409" s="24" t="s">
        <v>3052</v>
      </c>
      <c r="C3409" s="25">
        <v>1025000</v>
      </c>
      <c r="D3409" s="22" t="s">
        <v>5853</v>
      </c>
      <c r="E3409" s="22" t="s">
        <v>96</v>
      </c>
      <c r="F3409" s="23" t="str">
        <f>HYPERLINK("https://www.spark-marketing.ru/Card/Lot/73351667", "Услуги по организации питания и ресторанного обслуживания для подготовки и проведения Международных соревнований ИСУ Гран-При по фигурному катанию на коньках 2019/20 «Кубок Ростелеком»")</f>
        <v>Услуги по организации питания и ресторанного обслуживания для подготовки и проведения Международных соревнований ИСУ Гран-При по фигурному катанию на коньках 2019/20 «Кубок Ростелеком»</v>
      </c>
      <c r="G3409" s="22" t="s">
        <v>56</v>
      </c>
      <c r="H3409" s="22" t="s">
        <v>56</v>
      </c>
      <c r="I3409" s="26">
        <v>43719.493750000001</v>
      </c>
      <c r="J3409" s="28" t="s">
        <v>51</v>
      </c>
      <c r="K3409" s="28" t="s">
        <v>51</v>
      </c>
      <c r="L3409" s="28" t="s">
        <v>51</v>
      </c>
      <c r="M3409" s="28" t="s">
        <v>51</v>
      </c>
      <c r="N3409" s="28" t="s">
        <v>51</v>
      </c>
    </row>
    <row r="3410" spans="1:14" hidden="1" outlineLevel="1" x14ac:dyDescent="0.2">
      <c r="A3410" s="23" t="str">
        <f>HYPERLINK("https://www.spark-marketing.ru/Card/Person/10607", "ГБУ ДСЗМ")</f>
        <v>ГБУ ДСЗМ</v>
      </c>
      <c r="B3410" s="24" t="s">
        <v>3052</v>
      </c>
      <c r="C3410" s="25">
        <v>1025000</v>
      </c>
      <c r="D3410" s="22" t="s">
        <v>5853</v>
      </c>
      <c r="E3410" s="22" t="s">
        <v>96</v>
      </c>
      <c r="F3410" s="23" t="str">
        <f>HYPERLINK("https://www.spark-marketing.ru/Card/Lot/73351667", "Услуги по организации питания и ресторанного обслуживания для подготовки и проведения Международных соревнований ИСУ Гран-При по фигурному катанию на коньках 2019/20 «Кубок Ростелеком»")</f>
        <v>Услуги по организации питания и ресторанного обслуживания для подготовки и проведения Международных соревнований ИСУ Гран-При по фигурному катанию на коньках 2019/20 «Кубок Ростелеком»</v>
      </c>
      <c r="G3410" s="22" t="s">
        <v>56</v>
      </c>
      <c r="H3410" s="22" t="s">
        <v>56</v>
      </c>
      <c r="I3410" s="26">
        <v>43719.493750000001</v>
      </c>
      <c r="J3410" s="23" t="str">
        <f>HYPERLINK("https://www.spark-marketing.ru/Card/Person/2521266", "ООО ""ЕИФ""")</f>
        <v>ООО "ЕИФ"</v>
      </c>
      <c r="K3410" s="24" t="s">
        <v>5854</v>
      </c>
      <c r="L3410" s="28" t="s">
        <v>51</v>
      </c>
      <c r="M3410" s="25">
        <v>885654</v>
      </c>
      <c r="N3410" s="27">
        <v>0.13594731707317073</v>
      </c>
    </row>
    <row r="3411" spans="1:14" hidden="1" outlineLevel="1" x14ac:dyDescent="0.2">
      <c r="A3411" s="23" t="str">
        <f>HYPERLINK("https://www.spark-marketing.ru/Card/Person/10607", "ГБУ ДСЗМ")</f>
        <v>ГБУ ДСЗМ</v>
      </c>
      <c r="B3411" s="24" t="s">
        <v>3052</v>
      </c>
      <c r="C3411" s="25">
        <v>1025000</v>
      </c>
      <c r="D3411" s="22" t="s">
        <v>5853</v>
      </c>
      <c r="E3411" s="22" t="s">
        <v>96</v>
      </c>
      <c r="F3411" s="23" t="str">
        <f>HYPERLINK("https://www.spark-marketing.ru/Card/Lot/73351667", "Услуги по организации питания и ресторанного обслуживания для подготовки и проведения Международных соревнований ИСУ Гран-При по фигурному катанию на коньках 2019/20 «Кубок Ростелеком»")</f>
        <v>Услуги по организации питания и ресторанного обслуживания для подготовки и проведения Международных соревнований ИСУ Гран-При по фигурному катанию на коньках 2019/20 «Кубок Ростелеком»</v>
      </c>
      <c r="G3411" s="22" t="s">
        <v>56</v>
      </c>
      <c r="H3411" s="22" t="s">
        <v>56</v>
      </c>
      <c r="I3411" s="26">
        <v>43719.493750000001</v>
      </c>
      <c r="J3411" s="23" t="str">
        <f>HYPERLINK("https://www.spark-marketing.ru/Card/Person/6391853", "ООО ""АЛЬДЖЕНСА""")</f>
        <v>ООО "АЛЬДЖЕНСА"</v>
      </c>
      <c r="K3411" s="24" t="s">
        <v>2499</v>
      </c>
      <c r="L3411" s="28" t="s">
        <v>51</v>
      </c>
      <c r="M3411" s="25">
        <v>750000</v>
      </c>
      <c r="N3411" s="27">
        <v>0.26829268292682928</v>
      </c>
    </row>
    <row r="3412" spans="1:14" ht="12.75" hidden="1" outlineLevel="1" x14ac:dyDescent="0.2">
      <c r="A3412" s="23" t="str">
        <f>HYPERLINK("https://www.spark-marketing.ru/Card/Person/10607", "ГБУ ДСЗМ")</f>
        <v>ГБУ ДСЗМ</v>
      </c>
      <c r="B3412" s="24" t="s">
        <v>3052</v>
      </c>
      <c r="C3412" s="25">
        <v>1025000</v>
      </c>
      <c r="D3412" s="22" t="s">
        <v>5853</v>
      </c>
      <c r="E3412" s="22" t="s">
        <v>96</v>
      </c>
      <c r="F3412" s="23" t="str">
        <f>HYPERLINK("https://www.spark-marketing.ru/Card/Lot/73351667", "Услуги по организации питания и ресторанного обслуживания для подготовки и проведения Международных соревнований ИСУ Гран-При по фигурному катанию на коньках 2019/20 «Кубок Ростелеком»")</f>
        <v>Услуги по организации питания и ресторанного обслуживания для подготовки и проведения Международных соревнований ИСУ Гран-При по фигурному катанию на коньках 2019/20 «Кубок Ростелеком»</v>
      </c>
      <c r="G3412" s="22" t="s">
        <v>56</v>
      </c>
      <c r="H3412" s="22" t="s">
        <v>56</v>
      </c>
      <c r="I3412" s="26">
        <v>43719.493750000001</v>
      </c>
      <c r="J3412" s="23" t="str">
        <f>HYPERLINK("https://www.spark-marketing.ru/Card/Person/5903989", "ООО ""ВОСТОК""")</f>
        <v>ООО "ВОСТОК"</v>
      </c>
      <c r="K3412" s="24" t="s">
        <v>5855</v>
      </c>
      <c r="L3412" s="22" t="s">
        <v>10</v>
      </c>
      <c r="M3412" s="25">
        <v>953250</v>
      </c>
      <c r="N3412" s="27">
        <v>7.0000000000000007E-2</v>
      </c>
    </row>
    <row r="3413" spans="1:14" x14ac:dyDescent="0.15">
      <c r="A3413" s="23" t="str">
        <f>HYPERLINK("https://www.spark-marketing.ru/Card/Person/4359977", "ООО ""РН-ШЕЛЬФ-АРКТИКА""")</f>
        <v>ООО "РН-ШЕЛЬФ-АРКТИКА"</v>
      </c>
      <c r="B3413" s="24" t="s">
        <v>5835</v>
      </c>
      <c r="C3413" s="28" t="s">
        <v>51</v>
      </c>
      <c r="D3413" s="22" t="s">
        <v>5856</v>
      </c>
      <c r="E3413" s="22" t="s">
        <v>5837</v>
      </c>
      <c r="F3413" s="23" t="str">
        <f>HYPERLINK("https://www.spark-marketing.ru/Card/Lot/73992688", "Оказание комплексных услуг по перевозке вахтового персонала по маршруту ж/д вокзал пгт. Ноглики-порт Набиль, включая проживание и питание для обеспечения бурения разведочной скважины «Пела-Лейч №2» на лицензионном участке, включающем месторождение «К...")</f>
        <v>Оказание комплексных услуг по перевозке вахтового персонала по маршруту ж/д вокзал пгт. Ноглики-порт Набиль, включая проживание и питание для обеспечения бурения разведочной скважины «Пела-Лейч №2» на лицензионном участке, включающем месторождение «К...</v>
      </c>
      <c r="G3413" s="22" t="s">
        <v>56</v>
      </c>
      <c r="H3413" s="22" t="s">
        <v>56</v>
      </c>
      <c r="I3413" s="26">
        <v>43719.495138888902</v>
      </c>
      <c r="J3413" s="28" t="s">
        <v>51</v>
      </c>
      <c r="K3413" s="28" t="s">
        <v>51</v>
      </c>
      <c r="L3413" s="28" t="s">
        <v>51</v>
      </c>
      <c r="M3413" s="28" t="s">
        <v>51</v>
      </c>
      <c r="N3413" s="28" t="s">
        <v>51</v>
      </c>
    </row>
    <row r="3414" spans="1:14" x14ac:dyDescent="0.15">
      <c r="A3414" s="23" t="str">
        <f>HYPERLINK("https://www.spark-marketing.ru/Card/Person/155591", "АДМИНИСТРАЦИЯ ЦЕНТРАЛЬНОГО ВНУТРИГОРОДСКОГО РАЙОНА Г. НОВОРОССИЙСКА")</f>
        <v>АДМИНИСТРАЦИЯ ЦЕНТРАЛЬНОГО ВНУТРИГОРОДСКОГО РАЙОНА Г. НОВОРОССИЙСКА</v>
      </c>
      <c r="B3414" s="24" t="s">
        <v>1705</v>
      </c>
      <c r="C3414" s="25">
        <v>27000</v>
      </c>
      <c r="D3414" s="22" t="s">
        <v>5857</v>
      </c>
      <c r="E3414" s="22" t="s">
        <v>67</v>
      </c>
      <c r="F3414" s="23" t="str">
        <f>HYPERLINK("https://www.spark-marketing.ru/Card/Lot/73346218", "Услуги по обеспечению питанием с использованием средств передвижения, 1 усл. ед")</f>
        <v>Услуги по обеспечению питанием с использованием средств передвижения, 1 усл. ед</v>
      </c>
      <c r="G3414" s="22" t="s">
        <v>104</v>
      </c>
      <c r="H3414" s="22" t="s">
        <v>1689</v>
      </c>
      <c r="I3414" s="26">
        <v>43719.4598148148</v>
      </c>
      <c r="J3414" s="28" t="s">
        <v>51</v>
      </c>
      <c r="K3414" s="28" t="s">
        <v>51</v>
      </c>
      <c r="L3414" s="28" t="s">
        <v>51</v>
      </c>
      <c r="M3414" s="28" t="s">
        <v>51</v>
      </c>
      <c r="N3414" s="28" t="s">
        <v>51</v>
      </c>
    </row>
    <row r="3415" spans="1:14" x14ac:dyDescent="0.15">
      <c r="A3415" s="23" t="str">
        <f>HYPERLINK("https://www.spark-marketing.ru/Card/Person/78348", "ОТДЕЛ МВД РОССИИ ПО ГОРОДИЩЕНСКОМУ РАЙОНУ")</f>
        <v>ОТДЕЛ МВД РОССИИ ПО ГОРОДИЩЕНСКОМУ РАЙОНУ</v>
      </c>
      <c r="B3415" s="24" t="s">
        <v>827</v>
      </c>
      <c r="C3415" s="25">
        <v>490000</v>
      </c>
      <c r="D3415" s="22" t="s">
        <v>5858</v>
      </c>
      <c r="E3415" s="22" t="s">
        <v>48</v>
      </c>
      <c r="F3415" s="23" t="str">
        <f>HYPERLINK("https://www.spark-marketing.ru/Card/Lot/73351831", "Оказание услуг по обеспечению 3-х разовым горячим питание лиц содержащихся в ИВС подозреваемых и обвиняемых, КАЗ")</f>
        <v>Оказание услуг по обеспечению 3-х разовым горячим питание лиц содержащихся в ИВС подозреваемых и обвиняемых, КАЗ</v>
      </c>
      <c r="G3415" s="22" t="s">
        <v>158</v>
      </c>
      <c r="H3415" s="22" t="s">
        <v>829</v>
      </c>
      <c r="I3415" s="26">
        <v>43719.498611111099</v>
      </c>
      <c r="J3415" s="23" t="str">
        <f>HYPERLINK("https://www.spark-marketing.ru/Card/Person/6059347", "Цуцунава Владимир Степанович")</f>
        <v>Цуцунава Владимир Степанович</v>
      </c>
      <c r="K3415" s="24" t="s">
        <v>5859</v>
      </c>
      <c r="L3415" s="22" t="s">
        <v>10</v>
      </c>
      <c r="M3415" s="28" t="s">
        <v>51</v>
      </c>
      <c r="N3415" s="28" t="s">
        <v>51</v>
      </c>
    </row>
    <row r="3416" spans="1:14" x14ac:dyDescent="0.15">
      <c r="A3416" s="23" t="str">
        <f>HYPERLINK("https://www.spark-marketing.ru/Card/Person/261425", "МО МВД РОССИИ ""НАВЛИНСКИЙ""")</f>
        <v>МО МВД РОССИИ "НАВЛИНСКИЙ"</v>
      </c>
      <c r="B3416" s="24" t="s">
        <v>5541</v>
      </c>
      <c r="C3416" s="25">
        <v>90000</v>
      </c>
      <c r="D3416" s="22" t="s">
        <v>5860</v>
      </c>
      <c r="E3416" s="22" t="s">
        <v>48</v>
      </c>
      <c r="F3416" s="23" t="str">
        <f>HYPERLINK("https://www.spark-marketing.ru/Card/Lot/73347385", "Оказание услуг по организации питания (приготовление и доставка) для несовершеннолетних лиц, 225 усл. ед")</f>
        <v>Оказание услуг по организации питания (приготовление и доставка) для несовершеннолетних лиц, 225 усл. ед</v>
      </c>
      <c r="G3416" s="22" t="s">
        <v>475</v>
      </c>
      <c r="H3416" s="22" t="s">
        <v>5543</v>
      </c>
      <c r="I3416" s="26">
        <v>43719.493425925903</v>
      </c>
      <c r="J3416" s="28" t="s">
        <v>51</v>
      </c>
      <c r="K3416" s="28" t="s">
        <v>51</v>
      </c>
      <c r="L3416" s="28" t="s">
        <v>51</v>
      </c>
      <c r="M3416" s="28" t="s">
        <v>51</v>
      </c>
      <c r="N3416" s="28" t="s">
        <v>51</v>
      </c>
    </row>
    <row r="3417" spans="1:14" x14ac:dyDescent="0.15">
      <c r="A3417" s="23" t="str">
        <f>HYPERLINK("https://www.spark-marketing.ru/Card/Person/59897", "УПОДМС В КЕМЕРОВСКОЙ ОБЛАСТИ")</f>
        <v>УПОДМС В КЕМЕРОВСКОЙ ОБЛАСТИ</v>
      </c>
      <c r="B3417" s="24" t="s">
        <v>5861</v>
      </c>
      <c r="C3417" s="25">
        <v>560000</v>
      </c>
      <c r="D3417" s="22" t="s">
        <v>5862</v>
      </c>
      <c r="E3417" s="22" t="s">
        <v>91</v>
      </c>
      <c r="F3417" s="23" t="str">
        <f>HYPERLINK("https://www.spark-marketing.ru/Card/Lot/73343161", "Оказание услуг по техническому обслуживанию и ремонту оргтехники, восстановлению и заправке картриджей")</f>
        <v>Оказание услуг по техническому обслуживанию и ремонту оргтехники, восстановлению и заправке картриджей</v>
      </c>
      <c r="G3417" s="22" t="s">
        <v>304</v>
      </c>
      <c r="H3417" s="22" t="s">
        <v>1154</v>
      </c>
      <c r="I3417" s="26">
        <v>43719.451388888898</v>
      </c>
      <c r="J3417" s="28" t="s">
        <v>51</v>
      </c>
      <c r="K3417" s="28" t="s">
        <v>51</v>
      </c>
      <c r="L3417" s="28" t="s">
        <v>51</v>
      </c>
      <c r="M3417" s="28" t="s">
        <v>51</v>
      </c>
      <c r="N3417" s="28" t="s">
        <v>51</v>
      </c>
    </row>
    <row r="3418" spans="1:14" hidden="1" outlineLevel="1" x14ac:dyDescent="0.2">
      <c r="A3418" s="23" t="str">
        <f>HYPERLINK("https://www.spark-marketing.ru/Card/Person/59897", "УПОДМС В КЕМЕРОВСКОЙ ОБЛАСТИ")</f>
        <v>УПОДМС В КЕМЕРОВСКОЙ ОБЛАСТИ</v>
      </c>
      <c r="B3418" s="24" t="s">
        <v>5861</v>
      </c>
      <c r="C3418" s="25">
        <v>560000</v>
      </c>
      <c r="D3418" s="22" t="s">
        <v>5862</v>
      </c>
      <c r="E3418" s="22" t="s">
        <v>91</v>
      </c>
      <c r="F3418" s="23" t="str">
        <f>HYPERLINK("https://www.spark-marketing.ru/Card/Lot/73343161", "Оказание услуг по техническому обслуживанию и ремонту оргтехники, восстановлению и заправке картриджей")</f>
        <v>Оказание услуг по техническому обслуживанию и ремонту оргтехники, восстановлению и заправке картриджей</v>
      </c>
      <c r="G3418" s="22" t="s">
        <v>304</v>
      </c>
      <c r="H3418" s="22" t="s">
        <v>1154</v>
      </c>
      <c r="I3418" s="26">
        <v>43719.451388888898</v>
      </c>
      <c r="J3418" s="23" t="str">
        <f>HYPERLINK("https://www.spark-marketing.ru/Card/Person/626182", "ООО ""КАРТРИДЖ-СЕРВИС""")</f>
        <v>ООО "КАРТРИДЖ-СЕРВИС"</v>
      </c>
      <c r="K3418" s="24" t="s">
        <v>5863</v>
      </c>
      <c r="L3418" s="28" t="s">
        <v>51</v>
      </c>
      <c r="M3418" s="25">
        <v>149533.59</v>
      </c>
      <c r="N3418" s="27">
        <v>0.73297573214285716</v>
      </c>
    </row>
    <row r="3419" spans="1:14" hidden="1" outlineLevel="1" x14ac:dyDescent="0.2">
      <c r="A3419" s="23" t="str">
        <f>HYPERLINK("https://www.spark-marketing.ru/Card/Person/59897", "УПОДМС В КЕМЕРОВСКОЙ ОБЛАСТИ")</f>
        <v>УПОДМС В КЕМЕРОВСКОЙ ОБЛАСТИ</v>
      </c>
      <c r="B3419" s="24" t="s">
        <v>5861</v>
      </c>
      <c r="C3419" s="25">
        <v>560000</v>
      </c>
      <c r="D3419" s="22" t="s">
        <v>5862</v>
      </c>
      <c r="E3419" s="22" t="s">
        <v>91</v>
      </c>
      <c r="F3419" s="23" t="str">
        <f>HYPERLINK("https://www.spark-marketing.ru/Card/Lot/73343161", "Оказание услуг по техническому обслуживанию и ремонту оргтехники, восстановлению и заправке картриджей")</f>
        <v>Оказание услуг по техническому обслуживанию и ремонту оргтехники, восстановлению и заправке картриджей</v>
      </c>
      <c r="G3419" s="22" t="s">
        <v>304</v>
      </c>
      <c r="H3419" s="22" t="s">
        <v>1154</v>
      </c>
      <c r="I3419" s="26">
        <v>43719.451388888898</v>
      </c>
      <c r="J3419" s="23" t="str">
        <f>HYPERLINK("https://www.spark-marketing.ru/Card/Person/6447662", "ООО ""ФОКС-ПРО""")</f>
        <v>ООО "ФОКС-ПРО"</v>
      </c>
      <c r="K3419" s="24" t="s">
        <v>3919</v>
      </c>
      <c r="L3419" s="28" t="s">
        <v>51</v>
      </c>
      <c r="M3419" s="25">
        <v>106294.95</v>
      </c>
      <c r="N3419" s="27">
        <v>0.81018758928571433</v>
      </c>
    </row>
    <row r="3420" spans="1:14" ht="12.75" hidden="1" outlineLevel="1" x14ac:dyDescent="0.2">
      <c r="A3420" s="23" t="str">
        <f>HYPERLINK("https://www.spark-marketing.ru/Card/Person/59897", "УПОДМС В КЕМЕРОВСКОЙ ОБЛАСТИ")</f>
        <v>УПОДМС В КЕМЕРОВСКОЙ ОБЛАСТИ</v>
      </c>
      <c r="B3420" s="24" t="s">
        <v>5861</v>
      </c>
      <c r="C3420" s="25">
        <v>560000</v>
      </c>
      <c r="D3420" s="22" t="s">
        <v>5862</v>
      </c>
      <c r="E3420" s="22" t="s">
        <v>91</v>
      </c>
      <c r="F3420" s="23" t="str">
        <f>HYPERLINK("https://www.spark-marketing.ru/Card/Lot/73343161", "Оказание услуг по техническому обслуживанию и ремонту оргтехники, восстановлению и заправке картриджей")</f>
        <v>Оказание услуг по техническому обслуживанию и ремонту оргтехники, восстановлению и заправке картриджей</v>
      </c>
      <c r="G3420" s="22" t="s">
        <v>304</v>
      </c>
      <c r="H3420" s="22" t="s">
        <v>1154</v>
      </c>
      <c r="I3420" s="26">
        <v>43719.451388888898</v>
      </c>
      <c r="J3420" s="23" t="str">
        <f>HYPERLINK("https://www.spark-marketing.ru/Card/Person/57861", "ООО ""КОМТЕЛ""")</f>
        <v>ООО "КОМТЕЛ"</v>
      </c>
      <c r="K3420" s="24" t="s">
        <v>5864</v>
      </c>
      <c r="L3420" s="22" t="s">
        <v>10</v>
      </c>
      <c r="M3420" s="25">
        <v>39635.379999999997</v>
      </c>
      <c r="N3420" s="27">
        <v>0.9292225357142857</v>
      </c>
    </row>
    <row r="3421" spans="1:14" hidden="1" outlineLevel="1" x14ac:dyDescent="0.2">
      <c r="A3421" s="23" t="str">
        <f>HYPERLINK("https://www.spark-marketing.ru/Card/Person/59897", "УПОДМС В КЕМЕРОВСКОЙ ОБЛАСТИ")</f>
        <v>УПОДМС В КЕМЕРОВСКОЙ ОБЛАСТИ</v>
      </c>
      <c r="B3421" s="24" t="s">
        <v>5861</v>
      </c>
      <c r="C3421" s="25">
        <v>560000</v>
      </c>
      <c r="D3421" s="22" t="s">
        <v>5862</v>
      </c>
      <c r="E3421" s="22" t="s">
        <v>91</v>
      </c>
      <c r="F3421" s="23" t="str">
        <f>HYPERLINK("https://www.spark-marketing.ru/Card/Lot/73343161", "Оказание услуг по техническому обслуживанию и ремонту оргтехники, восстановлению и заправке картриджей")</f>
        <v>Оказание услуг по техническому обслуживанию и ремонту оргтехники, восстановлению и заправке картриджей</v>
      </c>
      <c r="G3421" s="22" t="s">
        <v>304</v>
      </c>
      <c r="H3421" s="22" t="s">
        <v>1154</v>
      </c>
      <c r="I3421" s="26">
        <v>43719.451388888898</v>
      </c>
      <c r="J3421" s="23" t="str">
        <f>HYPERLINK("https://www.spark-marketing.ru/Card/Person/622123", "ООО ""ЛАЗЕРПРИНТ""")</f>
        <v>ООО "ЛАЗЕРПРИНТ"</v>
      </c>
      <c r="K3421" s="24" t="s">
        <v>5865</v>
      </c>
      <c r="L3421" s="28" t="s">
        <v>51</v>
      </c>
      <c r="M3421" s="25">
        <v>39635.379999999997</v>
      </c>
      <c r="N3421" s="27">
        <v>0.9292225357142857</v>
      </c>
    </row>
    <row r="3422" spans="1:14" x14ac:dyDescent="0.15">
      <c r="A3422" s="23" t="str">
        <f>HYPERLINK("https://www.spark-marketing.ru/Card/Person/34925", "УМВД РОССИИ ПО РЯЗАНСКОЙ ОБЛАСТИ")</f>
        <v>УМВД РОССИИ ПО РЯЗАНСКОЙ ОБЛАСТИ</v>
      </c>
      <c r="B3422" s="24" t="s">
        <v>5866</v>
      </c>
      <c r="C3422" s="25">
        <v>8595200</v>
      </c>
      <c r="D3422" s="22" t="s">
        <v>5867</v>
      </c>
      <c r="E3422" s="22" t="s">
        <v>48</v>
      </c>
      <c r="F3422" s="23" t="str">
        <f>HYPERLINK("https://www.spark-marketing.ru/Card/Lot/73350202", "Оказание услуг по организации трехразового ежедневного горячего питания лиц, содержащихся в Изоляторе временного содержания, Спецприемнике и Центре временного содержания иностранных граждан УМВД России по Рязанской области среди субъектов малого пред...")</f>
        <v>Оказание услуг по организации трехразового ежедневного горячего питания лиц, содержащихся в Изоляторе временного содержания, Спецприемнике и Центре временного содержания иностранных граждан УМВД России по Рязанской области среди субъектов малого пред...</v>
      </c>
      <c r="G3422" s="22" t="s">
        <v>1522</v>
      </c>
      <c r="H3422" s="22" t="s">
        <v>1523</v>
      </c>
      <c r="I3422" s="26">
        <v>43719.427083333299</v>
      </c>
      <c r="J3422" s="28" t="s">
        <v>51</v>
      </c>
      <c r="K3422" s="28" t="s">
        <v>51</v>
      </c>
      <c r="L3422" s="28" t="s">
        <v>51</v>
      </c>
      <c r="M3422" s="28" t="s">
        <v>51</v>
      </c>
      <c r="N3422" s="28" t="s">
        <v>51</v>
      </c>
    </row>
    <row r="3423" spans="1:14" ht="12.75" hidden="1" outlineLevel="1" x14ac:dyDescent="0.2">
      <c r="A3423" s="23" t="str">
        <f>HYPERLINK("https://www.spark-marketing.ru/Card/Person/34925", "УМВД РОССИИ ПО РЯЗАНСКОЙ ОБЛАСТИ")</f>
        <v>УМВД РОССИИ ПО РЯЗАНСКОЙ ОБЛАСТИ</v>
      </c>
      <c r="B3423" s="24" t="s">
        <v>5866</v>
      </c>
      <c r="C3423" s="25">
        <v>8595200</v>
      </c>
      <c r="D3423" s="22" t="s">
        <v>5867</v>
      </c>
      <c r="E3423" s="22" t="s">
        <v>48</v>
      </c>
      <c r="F3423" s="23" t="str">
        <f>HYPERLINK("https://www.spark-marketing.ru/Card/Lot/73350202", "Оказание услуг по организации трехразового ежедневного горячего питания лиц, содержащихся в Изоляторе временного содержания, Спецприемнике и Центре временного содержания иностранных граждан УМВД России по Рязанской области среди субъектов малого пред...")</f>
        <v>Оказание услуг по организации трехразового ежедневного горячего питания лиц, содержащихся в Изоляторе временного содержания, Спецприемнике и Центре временного содержания иностранных граждан УМВД России по Рязанской области среди субъектов малого пред...</v>
      </c>
      <c r="G3423" s="22" t="s">
        <v>1522</v>
      </c>
      <c r="H3423" s="22" t="s">
        <v>1523</v>
      </c>
      <c r="I3423" s="26">
        <v>43719.427083333299</v>
      </c>
      <c r="J3423" s="23" t="str">
        <f>HYPERLINK("https://www.spark-marketing.ru/Card/Person/2545635", "ООО ""ЦАРСТВО ВКУСА""")</f>
        <v>ООО "ЦАРСТВО ВКУСА"</v>
      </c>
      <c r="K3423" s="24" t="s">
        <v>5868</v>
      </c>
      <c r="L3423" s="22" t="s">
        <v>10</v>
      </c>
      <c r="M3423" s="25">
        <v>1647.79</v>
      </c>
      <c r="N3423" s="27">
        <v>0.99980828951042444</v>
      </c>
    </row>
    <row r="3424" spans="1:14" hidden="1" outlineLevel="1" x14ac:dyDescent="0.2">
      <c r="A3424" s="23" t="str">
        <f>HYPERLINK("https://www.spark-marketing.ru/Card/Person/34925", "УМВД РОССИИ ПО РЯЗАНСКОЙ ОБЛАСТИ")</f>
        <v>УМВД РОССИИ ПО РЯЗАНСКОЙ ОБЛАСТИ</v>
      </c>
      <c r="B3424" s="24" t="s">
        <v>5866</v>
      </c>
      <c r="C3424" s="25">
        <v>8595200</v>
      </c>
      <c r="D3424" s="22" t="s">
        <v>5867</v>
      </c>
      <c r="E3424" s="22" t="s">
        <v>48</v>
      </c>
      <c r="F3424" s="23" t="str">
        <f>HYPERLINK("https://www.spark-marketing.ru/Card/Lot/73350202", "Оказание услуг по организации трехразового ежедневного горячего питания лиц, содержащихся в Изоляторе временного содержания, Спецприемнике и Центре временного содержания иностранных граждан УМВД России по Рязанской области среди субъектов малого пред...")</f>
        <v>Оказание услуг по организации трехразового ежедневного горячего питания лиц, содержащихся в Изоляторе временного содержания, Спецприемнике и Центре временного содержания иностранных граждан УМВД России по Рязанской области среди субъектов малого пред...</v>
      </c>
      <c r="G3424" s="22" t="s">
        <v>1522</v>
      </c>
      <c r="H3424" s="22" t="s">
        <v>1523</v>
      </c>
      <c r="I3424" s="26">
        <v>43719.427083333299</v>
      </c>
      <c r="J3424" s="23" t="str">
        <f>HYPERLINK("https://www.spark-marketing.ru/Card/Person/6708076", "ООО ""ЦПС""")</f>
        <v>ООО "ЦПС"</v>
      </c>
      <c r="K3424" s="24" t="s">
        <v>5869</v>
      </c>
      <c r="L3424" s="28" t="s">
        <v>51</v>
      </c>
      <c r="M3424" s="25">
        <v>1664.85</v>
      </c>
      <c r="N3424" s="27">
        <v>0.99980630468168274</v>
      </c>
    </row>
    <row r="3425" spans="1:14" x14ac:dyDescent="0.15">
      <c r="A3425" s="23" t="str">
        <f>HYPERLINK("https://www.spark-marketing.ru/Card/Person/6083845", "ГЛАВНОЕ УПРАВЛЕНИЕ РОСГВАРДИИ ПО КРАСНОДАРСКОМУ КРАЮ")</f>
        <v>ГЛАВНОЕ УПРАВЛЕНИЕ РОСГВАРДИИ ПО КРАСНОДАРСКОМУ КРАЮ</v>
      </c>
      <c r="B3425" s="24" t="s">
        <v>5870</v>
      </c>
      <c r="C3425" s="25">
        <v>150000</v>
      </c>
      <c r="D3425" s="22" t="s">
        <v>5871</v>
      </c>
      <c r="E3425" s="22" t="s">
        <v>5872</v>
      </c>
      <c r="F3425" s="23" t="str">
        <f>HYPERLINK("https://www.spark-marketing.ru/Card/Lot/73348520", "Поставки источников бесперебойного питания")</f>
        <v>Поставки источников бесперебойного питания</v>
      </c>
      <c r="G3425" s="22" t="s">
        <v>104</v>
      </c>
      <c r="H3425" s="22" t="s">
        <v>120</v>
      </c>
      <c r="I3425" s="26">
        <v>43719.456944444399</v>
      </c>
      <c r="J3425" s="28" t="s">
        <v>51</v>
      </c>
      <c r="K3425" s="28" t="s">
        <v>51</v>
      </c>
      <c r="L3425" s="28" t="s">
        <v>51</v>
      </c>
      <c r="M3425" s="28" t="s">
        <v>51</v>
      </c>
      <c r="N3425" s="28" t="s">
        <v>51</v>
      </c>
    </row>
    <row r="3426" spans="1:14" hidden="1" outlineLevel="1" x14ac:dyDescent="0.2">
      <c r="A3426" s="23" t="str">
        <f>HYPERLINK("https://www.spark-marketing.ru/Card/Person/6083845", "ГЛАВНОЕ УПРАВЛЕНИЕ РОСГВАРДИИ ПО КРАСНОДАРСКОМУ КРАЮ")</f>
        <v>ГЛАВНОЕ УПРАВЛЕНИЕ РОСГВАРДИИ ПО КРАСНОДАРСКОМУ КРАЮ</v>
      </c>
      <c r="B3426" s="24" t="s">
        <v>5870</v>
      </c>
      <c r="C3426" s="25">
        <v>150000</v>
      </c>
      <c r="D3426" s="22" t="s">
        <v>5871</v>
      </c>
      <c r="E3426" s="22" t="s">
        <v>5872</v>
      </c>
      <c r="F3426" s="23" t="str">
        <f>HYPERLINK("https://www.spark-marketing.ru/Card/Lot/73348520", "Поставки источников бесперебойного питания")</f>
        <v>Поставки источников бесперебойного питания</v>
      </c>
      <c r="G3426" s="22" t="s">
        <v>104</v>
      </c>
      <c r="H3426" s="22" t="s">
        <v>120</v>
      </c>
      <c r="I3426" s="26">
        <v>43719.456944444399</v>
      </c>
      <c r="J3426" s="23" t="str">
        <f>HYPERLINK("https://www.spark-marketing.ru/Card/Person/6179270", "ООО ""АТИС""")</f>
        <v>ООО "АТИС"</v>
      </c>
      <c r="K3426" s="24" t="s">
        <v>5873</v>
      </c>
      <c r="L3426" s="28" t="s">
        <v>51</v>
      </c>
      <c r="M3426" s="25">
        <v>119249.33</v>
      </c>
      <c r="N3426" s="27">
        <v>0.20500446666666666</v>
      </c>
    </row>
    <row r="3427" spans="1:14" ht="12.75" hidden="1" outlineLevel="1" x14ac:dyDescent="0.2">
      <c r="A3427" s="23" t="str">
        <f>HYPERLINK("https://www.spark-marketing.ru/Card/Person/6083845", "ГЛАВНОЕ УПРАВЛЕНИЕ РОСГВАРДИИ ПО КРАСНОДАРСКОМУ КРАЮ")</f>
        <v>ГЛАВНОЕ УПРАВЛЕНИЕ РОСГВАРДИИ ПО КРАСНОДАРСКОМУ КРАЮ</v>
      </c>
      <c r="B3427" s="24" t="s">
        <v>5870</v>
      </c>
      <c r="C3427" s="25">
        <v>150000</v>
      </c>
      <c r="D3427" s="22" t="s">
        <v>5871</v>
      </c>
      <c r="E3427" s="22" t="s">
        <v>5872</v>
      </c>
      <c r="F3427" s="23" t="str">
        <f>HYPERLINK("https://www.spark-marketing.ru/Card/Lot/73348520", "Поставки источников бесперебойного питания")</f>
        <v>Поставки источников бесперебойного питания</v>
      </c>
      <c r="G3427" s="22" t="s">
        <v>104</v>
      </c>
      <c r="H3427" s="22" t="s">
        <v>120</v>
      </c>
      <c r="I3427" s="26">
        <v>43719.456944444399</v>
      </c>
      <c r="J3427" s="23" t="str">
        <f>HYPERLINK("https://www.spark-marketing.ru/Card/Person/6697196", "ООО ""ГРИНЛАЙТ""")</f>
        <v>ООО "ГРИНЛАЙТ"</v>
      </c>
      <c r="K3427" s="24" t="s">
        <v>5874</v>
      </c>
      <c r="L3427" s="22" t="s">
        <v>10</v>
      </c>
      <c r="M3427" s="25">
        <v>116662.05</v>
      </c>
      <c r="N3427" s="27">
        <v>0.22225300000000001</v>
      </c>
    </row>
    <row r="3428" spans="1:14" x14ac:dyDescent="0.15">
      <c r="A3428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3428" s="24" t="s">
        <v>2604</v>
      </c>
      <c r="C3428" s="25">
        <v>57520</v>
      </c>
      <c r="D3428" s="22" t="s">
        <v>5875</v>
      </c>
      <c r="E3428" s="22" t="s">
        <v>48</v>
      </c>
      <c r="F3428" s="23" t="str">
        <f>HYPERLINK("https://www.spark-marketing.ru/Card/Lot/73339353",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(служебных обязанностей), детей из семей, находящихся ...</v>
      </c>
      <c r="G3428" s="22" t="s">
        <v>1096</v>
      </c>
      <c r="H3428" s="22" t="s">
        <v>1097</v>
      </c>
      <c r="I3428" s="26">
        <v>43719.443749999999</v>
      </c>
      <c r="J3428" s="23" t="str">
        <f>HYPERLINK("https://www.spark-marketing.ru/Card/Person/487394", "Козлова Наталья Николаевна")</f>
        <v>Козлова Наталья Николаевна</v>
      </c>
      <c r="K3428" s="24" t="s">
        <v>5876</v>
      </c>
      <c r="L3428" s="22" t="s">
        <v>10</v>
      </c>
      <c r="M3428" s="28" t="s">
        <v>51</v>
      </c>
      <c r="N3428" s="28" t="s">
        <v>51</v>
      </c>
    </row>
    <row r="3429" spans="1:14" x14ac:dyDescent="0.15">
      <c r="A3429" s="23" t="str">
        <f>HYPERLINK("https://www.spark-marketing.ru/Card/Person/2423", "УМВД РОССИИ ПО ГОРОДУ АРХАНГЕЛЬСКУ")</f>
        <v>УМВД РОССИИ ПО ГОРОДУ АРХАНГЕЛЬСКУ</v>
      </c>
      <c r="B3429" s="24" t="s">
        <v>5877</v>
      </c>
      <c r="C3429" s="25">
        <v>62508.81</v>
      </c>
      <c r="D3429" s="22" t="s">
        <v>5878</v>
      </c>
      <c r="E3429" s="22" t="s">
        <v>48</v>
      </c>
      <c r="F3429" s="23" t="str">
        <f>HYPERLINK("https://www.spark-marketing.ru/Card/Lot/73344503",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3429" s="22" t="s">
        <v>214</v>
      </c>
      <c r="H3429" s="22" t="s">
        <v>523</v>
      </c>
      <c r="I3429" s="26">
        <v>43719.406365740702</v>
      </c>
      <c r="J3429" s="28" t="s">
        <v>51</v>
      </c>
      <c r="K3429" s="28" t="s">
        <v>51</v>
      </c>
      <c r="L3429" s="28" t="s">
        <v>51</v>
      </c>
      <c r="M3429" s="28" t="s">
        <v>51</v>
      </c>
      <c r="N3429" s="28" t="s">
        <v>51</v>
      </c>
    </row>
    <row r="3430" spans="1:14" x14ac:dyDescent="0.2">
      <c r="A3430" s="23" t="str">
        <f>HYPERLINK("https://www.spark-marketing.ru/Card/Person/36800", "КОГБУЗ ""КОТЕЛЬНИЧСКАЯ ЦРБ""")</f>
        <v>КОГБУЗ "КОТЕЛЬНИЧСКАЯ ЦРБ"</v>
      </c>
      <c r="B3430" s="24" t="s">
        <v>5879</v>
      </c>
      <c r="C3430" s="25">
        <v>15209600</v>
      </c>
      <c r="D3430" s="22" t="s">
        <v>5880</v>
      </c>
      <c r="E3430" s="22" t="s">
        <v>48</v>
      </c>
      <c r="F3430" s="23" t="str">
        <f>HYPERLINK("https://www.spark-marketing.ru/Card/Lot/73350104", "Оказание услуг по приготовлению и передаче ежедневного лечебного горячего питания для снабжения больных стационаров КОГБУЗ «Котельничская ЦРБ»")</f>
        <v>Оказание услуг по приготовлению и передаче ежедневного лечебного горячего питания для снабжения больных стационаров КОГБУЗ «Котельничская ЦРБ»</v>
      </c>
      <c r="G3430" s="22" t="s">
        <v>224</v>
      </c>
      <c r="H3430" s="22" t="s">
        <v>885</v>
      </c>
      <c r="I3430" s="26">
        <v>43719.401388888902</v>
      </c>
      <c r="J3430" s="23" t="str">
        <f>HYPERLINK("https://www.spark-marketing.ru/Card/Person/51950", "ООО ""ЗДОРОВОЕ ПИТАНИЕ""")</f>
        <v>ООО "ЗДОРОВОЕ ПИТАНИЕ"</v>
      </c>
      <c r="K3430" s="24" t="s">
        <v>2336</v>
      </c>
      <c r="L3430" s="28" t="s">
        <v>51</v>
      </c>
      <c r="M3430" s="25">
        <v>15209600</v>
      </c>
      <c r="N3430" s="27">
        <v>0</v>
      </c>
    </row>
    <row r="3431" spans="1:14" x14ac:dyDescent="0.15">
      <c r="A3431" s="23" t="str">
        <f>HYPERLINK("https://www.spark-marketing.ru/Card/Person/2423", "УМВД РОССИИ ПО ГОРОДУ АРХАНГЕЛЬСКУ")</f>
        <v>УМВД РОССИИ ПО ГОРОДУ АРХАНГЕЛЬСКУ</v>
      </c>
      <c r="B3431" s="24" t="s">
        <v>5877</v>
      </c>
      <c r="C3431" s="25">
        <v>206451.12</v>
      </c>
      <c r="D3431" s="22" t="s">
        <v>5881</v>
      </c>
      <c r="E3431" s="22" t="s">
        <v>48</v>
      </c>
      <c r="F3431" s="23" t="str">
        <f>HYPERLINK("https://www.spark-marketing.ru/Card/Lot/73344402",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3431" s="22" t="s">
        <v>214</v>
      </c>
      <c r="H3431" s="22" t="s">
        <v>523</v>
      </c>
      <c r="I3431" s="26">
        <v>43719.394317129598</v>
      </c>
      <c r="J3431" s="28" t="s">
        <v>51</v>
      </c>
      <c r="K3431" s="28" t="s">
        <v>51</v>
      </c>
      <c r="L3431" s="28" t="s">
        <v>51</v>
      </c>
      <c r="M3431" s="28" t="s">
        <v>51</v>
      </c>
      <c r="N3431" s="28" t="s">
        <v>51</v>
      </c>
    </row>
    <row r="3432" spans="1:14" x14ac:dyDescent="0.15">
      <c r="A3432" s="23" t="str">
        <f>HYPERLINK("https://www.spark-marketing.ru/Card/Person/2423", "УМВД РОССИИ ПО ГОРОДУ АРХАНГЕЛЬСКУ")</f>
        <v>УМВД РОССИИ ПО ГОРОДУ АРХАНГЕЛЬСКУ</v>
      </c>
      <c r="B3432" s="24" t="s">
        <v>5877</v>
      </c>
      <c r="C3432" s="25">
        <v>206451.12</v>
      </c>
      <c r="D3432" s="22" t="s">
        <v>5882</v>
      </c>
      <c r="E3432" s="22" t="s">
        <v>48</v>
      </c>
      <c r="F3432" s="23" t="str">
        <f>HYPERLINK("https://www.spark-marketing.ru/Card/Lot/73344491",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3432" s="22" t="s">
        <v>214</v>
      </c>
      <c r="H3432" s="22" t="s">
        <v>523</v>
      </c>
      <c r="I3432" s="26">
        <v>43719.402465277803</v>
      </c>
      <c r="J3432" s="28" t="s">
        <v>51</v>
      </c>
      <c r="K3432" s="28" t="s">
        <v>51</v>
      </c>
      <c r="L3432" s="28" t="s">
        <v>51</v>
      </c>
      <c r="M3432" s="28" t="s">
        <v>51</v>
      </c>
      <c r="N3432" s="28" t="s">
        <v>51</v>
      </c>
    </row>
    <row r="3433" spans="1:14" x14ac:dyDescent="0.15">
      <c r="A3433" s="23" t="str">
        <f>HYPERLINK("https://www.spark-marketing.ru/Card/Person/11947", "ГБУ КО ""МФЦ КАЛУЖСКОЙ ОБЛАСТИ""")</f>
        <v>ГБУ КО "МФЦ КАЛУЖСКОЙ ОБЛАСТИ"</v>
      </c>
      <c r="B3433" s="24" t="s">
        <v>5883</v>
      </c>
      <c r="C3433" s="25">
        <v>17909.82</v>
      </c>
      <c r="D3433" s="22" t="s">
        <v>5884</v>
      </c>
      <c r="E3433" s="22" t="s">
        <v>437</v>
      </c>
      <c r="F3433" s="23" t="str">
        <f>HYPERLINK("https://www.spark-marketing.ru/Card/Lot/73347349", "Оказание услуг по экспертизе технического состояния оборудования и техники")</f>
        <v>Оказание услуг по экспертизе технического состояния оборудования и техники</v>
      </c>
      <c r="G3433" s="22" t="s">
        <v>112</v>
      </c>
      <c r="H3433" s="22" t="s">
        <v>5885</v>
      </c>
      <c r="I3433" s="26">
        <v>43719.395833333299</v>
      </c>
      <c r="J3433" s="28" t="s">
        <v>51</v>
      </c>
      <c r="K3433" s="28" t="s">
        <v>51</v>
      </c>
      <c r="L3433" s="28" t="s">
        <v>51</v>
      </c>
      <c r="M3433" s="28" t="s">
        <v>51</v>
      </c>
      <c r="N3433" s="28" t="s">
        <v>51</v>
      </c>
    </row>
    <row r="3434" spans="1:14" ht="12.75" hidden="1" outlineLevel="1" x14ac:dyDescent="0.2">
      <c r="A3434" s="23" t="str">
        <f>HYPERLINK("https://www.spark-marketing.ru/Card/Person/11947", "ГБУ КО ""МФЦ КАЛУЖСКОЙ ОБЛАСТИ""")</f>
        <v>ГБУ КО "МФЦ КАЛУЖСКОЙ ОБЛАСТИ"</v>
      </c>
      <c r="B3434" s="24" t="s">
        <v>5883</v>
      </c>
      <c r="C3434" s="25">
        <v>17909.82</v>
      </c>
      <c r="D3434" s="22" t="s">
        <v>5884</v>
      </c>
      <c r="E3434" s="22" t="s">
        <v>437</v>
      </c>
      <c r="F3434" s="23" t="str">
        <f>HYPERLINK("https://www.spark-marketing.ru/Card/Lot/73347349", "Оказание услуг по экспертизе технического состояния оборудования и техники")</f>
        <v>Оказание услуг по экспертизе технического состояния оборудования и техники</v>
      </c>
      <c r="G3434" s="22" t="s">
        <v>112</v>
      </c>
      <c r="H3434" s="22" t="s">
        <v>5885</v>
      </c>
      <c r="I3434" s="26">
        <v>43719.395833333299</v>
      </c>
      <c r="J3434" s="23" t="str">
        <f>HYPERLINK("https://www.spark-marketing.ru/Card/Person/6541593", "Полунин Алексей Иванович")</f>
        <v>Полунин Алексей Иванович</v>
      </c>
      <c r="K3434" s="24" t="s">
        <v>5886</v>
      </c>
      <c r="L3434" s="22" t="s">
        <v>10</v>
      </c>
      <c r="M3434" s="25">
        <v>7200</v>
      </c>
      <c r="N3434" s="27">
        <v>0.59798590940612473</v>
      </c>
    </row>
    <row r="3435" spans="1:14" hidden="1" outlineLevel="1" x14ac:dyDescent="0.2">
      <c r="A3435" s="23" t="str">
        <f>HYPERLINK("https://www.spark-marketing.ru/Card/Person/11947", "ГБУ КО ""МФЦ КАЛУЖСКОЙ ОБЛАСТИ""")</f>
        <v>ГБУ КО "МФЦ КАЛУЖСКОЙ ОБЛАСТИ"</v>
      </c>
      <c r="B3435" s="24" t="s">
        <v>5883</v>
      </c>
      <c r="C3435" s="25">
        <v>17909.82</v>
      </c>
      <c r="D3435" s="22" t="s">
        <v>5884</v>
      </c>
      <c r="E3435" s="22" t="s">
        <v>437</v>
      </c>
      <c r="F3435" s="23" t="str">
        <f>HYPERLINK("https://www.spark-marketing.ru/Card/Lot/73347349", "Оказание услуг по экспертизе технического состояния оборудования и техники")</f>
        <v>Оказание услуг по экспертизе технического состояния оборудования и техники</v>
      </c>
      <c r="G3435" s="22" t="s">
        <v>112</v>
      </c>
      <c r="H3435" s="22" t="s">
        <v>5885</v>
      </c>
      <c r="I3435" s="26">
        <v>43719.395833333299</v>
      </c>
      <c r="J3435" s="23" t="str">
        <f>HYPERLINK("https://www.spark-marketing.ru/Card/Person/65159", "ООО СГ ""ВЕКТОР""")</f>
        <v>ООО СГ "ВЕКТОР"</v>
      </c>
      <c r="K3435" s="24" t="s">
        <v>5887</v>
      </c>
      <c r="L3435" s="28" t="s">
        <v>51</v>
      </c>
      <c r="M3435" s="25">
        <v>12000</v>
      </c>
      <c r="N3435" s="27">
        <v>0.32997651567687447</v>
      </c>
    </row>
    <row r="3436" spans="1:14" hidden="1" outlineLevel="1" x14ac:dyDescent="0.2">
      <c r="A3436" s="23" t="str">
        <f>HYPERLINK("https://www.spark-marketing.ru/Card/Person/11947", "ГБУ КО ""МФЦ КАЛУЖСКОЙ ОБЛАСТИ""")</f>
        <v>ГБУ КО "МФЦ КАЛУЖСКОЙ ОБЛАСТИ"</v>
      </c>
      <c r="B3436" s="24" t="s">
        <v>5883</v>
      </c>
      <c r="C3436" s="25">
        <v>17909.82</v>
      </c>
      <c r="D3436" s="22" t="s">
        <v>5884</v>
      </c>
      <c r="E3436" s="22" t="s">
        <v>437</v>
      </c>
      <c r="F3436" s="23" t="str">
        <f>HYPERLINK("https://www.spark-marketing.ru/Card/Lot/73347349", "Оказание услуг по экспертизе технического состояния оборудования и техники")</f>
        <v>Оказание услуг по экспертизе технического состояния оборудования и техники</v>
      </c>
      <c r="G3436" s="22" t="s">
        <v>112</v>
      </c>
      <c r="H3436" s="22" t="s">
        <v>5885</v>
      </c>
      <c r="I3436" s="26">
        <v>43719.395833333299</v>
      </c>
      <c r="J3436" s="23" t="str">
        <f>HYPERLINK("https://www.spark-marketing.ru/Card/Person/518523", "ООО ""ИНТЕГРА""")</f>
        <v>ООО "ИНТЕГРА"</v>
      </c>
      <c r="K3436" s="24" t="s">
        <v>5888</v>
      </c>
      <c r="L3436" s="28" t="s">
        <v>51</v>
      </c>
      <c r="M3436" s="25">
        <v>14340</v>
      </c>
      <c r="N3436" s="27">
        <v>0.19932193623386499</v>
      </c>
    </row>
    <row r="3437" spans="1:14" hidden="1" outlineLevel="1" x14ac:dyDescent="0.2">
      <c r="A3437" s="23" t="str">
        <f>HYPERLINK("https://www.spark-marketing.ru/Card/Person/11947", "ГБУ КО ""МФЦ КАЛУЖСКОЙ ОБЛАСТИ""")</f>
        <v>ГБУ КО "МФЦ КАЛУЖСКОЙ ОБЛАСТИ"</v>
      </c>
      <c r="B3437" s="24" t="s">
        <v>5883</v>
      </c>
      <c r="C3437" s="25">
        <v>17909.82</v>
      </c>
      <c r="D3437" s="22" t="s">
        <v>5884</v>
      </c>
      <c r="E3437" s="22" t="s">
        <v>437</v>
      </c>
      <c r="F3437" s="23" t="str">
        <f>HYPERLINK("https://www.spark-marketing.ru/Card/Lot/73347349", "Оказание услуг по экспертизе технического состояния оборудования и техники")</f>
        <v>Оказание услуг по экспертизе технического состояния оборудования и техники</v>
      </c>
      <c r="G3437" s="22" t="s">
        <v>112</v>
      </c>
      <c r="H3437" s="22" t="s">
        <v>5885</v>
      </c>
      <c r="I3437" s="26">
        <v>43719.395833333299</v>
      </c>
      <c r="J3437" s="23" t="str">
        <f>HYPERLINK("https://www.spark-marketing.ru/Card/Person/140695", "ООО ""ЭКОЛОГИЧЕСКАЯ БЕЗОПАСНОСТЬ""")</f>
        <v>ООО "ЭКОЛОГИЧЕСКАЯ БЕЗОПАСНОСТЬ"</v>
      </c>
      <c r="K3437" s="24" t="s">
        <v>2464</v>
      </c>
      <c r="L3437" s="28" t="s">
        <v>51</v>
      </c>
      <c r="M3437" s="25">
        <v>17100</v>
      </c>
      <c r="N3437" s="27">
        <v>4.5216534839546123E-2</v>
      </c>
    </row>
    <row r="3438" spans="1:14" x14ac:dyDescent="0.15">
      <c r="A3438" s="23" t="str">
        <f>HYPERLINK("https://www.spark-marketing.ru/Card/Person/1024765", "ГКОУ СО ""ШКОЛА ГОРОДА ЛЕСНОГО""")</f>
        <v>ГКОУ СО "ШКОЛА ГОРОДА ЛЕСНОГО"</v>
      </c>
      <c r="B3438" s="24" t="s">
        <v>5889</v>
      </c>
      <c r="C3438" s="25">
        <v>381342.75</v>
      </c>
      <c r="D3438" s="22" t="s">
        <v>5890</v>
      </c>
      <c r="E3438" s="22" t="s">
        <v>51</v>
      </c>
      <c r="F3438" s="23" t="str">
        <f>HYPERLINK("https://www.spark-marketing.ru/Card/Lot/73343164", "Оказание услуг по организации и обеспечению горячим питанием")</f>
        <v>Оказание услуг по организации и обеспечению горячим питанием</v>
      </c>
      <c r="G3438" s="22" t="s">
        <v>174</v>
      </c>
      <c r="H3438" s="22" t="s">
        <v>5891</v>
      </c>
      <c r="I3438" s="26">
        <v>43719.363888888904</v>
      </c>
      <c r="J3438" s="23" t="str">
        <f>HYPERLINK("https://www.spark-marketing.ru/Card/Person/843949", "ООО ""САМОЦВЕТ""")</f>
        <v>ООО "САМОЦВЕТ"</v>
      </c>
      <c r="K3438" s="24" t="s">
        <v>5892</v>
      </c>
      <c r="L3438" s="22" t="s">
        <v>10</v>
      </c>
      <c r="M3438" s="28" t="s">
        <v>51</v>
      </c>
      <c r="N3438" s="28" t="s">
        <v>51</v>
      </c>
    </row>
    <row r="3439" spans="1:14" x14ac:dyDescent="0.15">
      <c r="A3439" s="23" t="str">
        <f>HYPERLINK("https://www.spark-marketing.ru/Card/Person/736757", "МОБУ ГИМНАЗИЯ № 1 Г. БЛАГОВЕЩЕНСКА")</f>
        <v>МОБУ ГИМНАЗИЯ № 1 Г. БЛАГОВЕЩЕНСКА</v>
      </c>
      <c r="B3439" s="24" t="s">
        <v>5805</v>
      </c>
      <c r="C3439" s="25">
        <v>499949.95</v>
      </c>
      <c r="D3439" s="22" t="s">
        <v>5893</v>
      </c>
      <c r="E3439" s="22" t="s">
        <v>48</v>
      </c>
      <c r="F3439" s="23" t="str">
        <f>HYPERLINK("https://www.spark-marketing.ru/Card/Lot/73344587", "Оказание услуг по организации питания воспитанников")</f>
        <v>Оказание услуг по организации питания воспитанников</v>
      </c>
      <c r="G3439" s="22" t="s">
        <v>145</v>
      </c>
      <c r="H3439" s="22" t="s">
        <v>3257</v>
      </c>
      <c r="I3439" s="26">
        <v>43719.426388888904</v>
      </c>
      <c r="J3439" s="28" t="s">
        <v>51</v>
      </c>
      <c r="K3439" s="28" t="s">
        <v>51</v>
      </c>
      <c r="L3439" s="28" t="s">
        <v>51</v>
      </c>
      <c r="M3439" s="28" t="s">
        <v>51</v>
      </c>
      <c r="N3439" s="28" t="s">
        <v>51</v>
      </c>
    </row>
    <row r="3440" spans="1:14" ht="12.75" hidden="1" outlineLevel="1" x14ac:dyDescent="0.2">
      <c r="A3440" s="23" t="str">
        <f>HYPERLINK("https://www.spark-marketing.ru/Card/Person/736757", "МОБУ ГИМНАЗИЯ № 1 Г. БЛАГОВЕЩЕНСКА")</f>
        <v>МОБУ ГИМНАЗИЯ № 1 Г. БЛАГОВЕЩЕНСКА</v>
      </c>
      <c r="B3440" s="24" t="s">
        <v>5805</v>
      </c>
      <c r="C3440" s="25">
        <v>499949.95</v>
      </c>
      <c r="D3440" s="22" t="s">
        <v>5893</v>
      </c>
      <c r="E3440" s="22" t="s">
        <v>48</v>
      </c>
      <c r="F3440" s="23" t="str">
        <f>HYPERLINK("https://www.spark-marketing.ru/Card/Lot/73344587", "Оказание услуг по организации питания воспитанников")</f>
        <v>Оказание услуг по организации питания воспитанников</v>
      </c>
      <c r="G3440" s="22" t="s">
        <v>145</v>
      </c>
      <c r="H3440" s="22" t="s">
        <v>3257</v>
      </c>
      <c r="I3440" s="26">
        <v>43719.426388888904</v>
      </c>
      <c r="J3440" s="23" t="str">
        <f>HYPERLINK("https://www.spark-marketing.ru/Card/Person/6079477", "Хабибов Ильнар Наилович")</f>
        <v>Хабибов Ильнар Наилович</v>
      </c>
      <c r="K3440" s="24" t="s">
        <v>5807</v>
      </c>
      <c r="L3440" s="22" t="s">
        <v>10</v>
      </c>
      <c r="M3440" s="25">
        <v>389930.95</v>
      </c>
      <c r="N3440" s="27">
        <v>0.22006002800880367</v>
      </c>
    </row>
    <row r="3441" spans="1:14" hidden="1" outlineLevel="1" x14ac:dyDescent="0.2">
      <c r="A3441" s="23" t="str">
        <f>HYPERLINK("https://www.spark-marketing.ru/Card/Person/736757", "МОБУ ГИМНАЗИЯ № 1 Г. БЛАГОВЕЩЕНСКА")</f>
        <v>МОБУ ГИМНАЗИЯ № 1 Г. БЛАГОВЕЩЕНСКА</v>
      </c>
      <c r="B3441" s="24" t="s">
        <v>5805</v>
      </c>
      <c r="C3441" s="25">
        <v>499949.95</v>
      </c>
      <c r="D3441" s="22" t="s">
        <v>5893</v>
      </c>
      <c r="E3441" s="22" t="s">
        <v>48</v>
      </c>
      <c r="F3441" s="23" t="str">
        <f>HYPERLINK("https://www.spark-marketing.ru/Card/Lot/73344587", "Оказание услуг по организации питания воспитанников")</f>
        <v>Оказание услуг по организации питания воспитанников</v>
      </c>
      <c r="G3441" s="22" t="s">
        <v>145</v>
      </c>
      <c r="H3441" s="22" t="s">
        <v>3257</v>
      </c>
      <c r="I3441" s="26">
        <v>43719.426388888904</v>
      </c>
      <c r="J3441" s="23" t="str">
        <f>HYPERLINK("https://www.spark-marketing.ru/Card/Person/145110", "ООО ""ТК ""ЗК""")</f>
        <v>ООО "ТК "ЗК"</v>
      </c>
      <c r="K3441" s="24" t="s">
        <v>5800</v>
      </c>
      <c r="L3441" s="28" t="s">
        <v>51</v>
      </c>
      <c r="M3441" s="25">
        <v>394960.46</v>
      </c>
      <c r="N3441" s="27">
        <v>0.21000000100010011</v>
      </c>
    </row>
    <row r="3442" spans="1:14" hidden="1" outlineLevel="1" x14ac:dyDescent="0.2">
      <c r="A3442" s="23" t="str">
        <f>HYPERLINK("https://www.spark-marketing.ru/Card/Person/736757", "МОБУ ГИМНАЗИЯ № 1 Г. БЛАГОВЕЩЕНСКА")</f>
        <v>МОБУ ГИМНАЗИЯ № 1 Г. БЛАГОВЕЩЕНСКА</v>
      </c>
      <c r="B3442" s="24" t="s">
        <v>5805</v>
      </c>
      <c r="C3442" s="25">
        <v>499949.95</v>
      </c>
      <c r="D3442" s="22" t="s">
        <v>5893</v>
      </c>
      <c r="E3442" s="22" t="s">
        <v>48</v>
      </c>
      <c r="F3442" s="23" t="str">
        <f>HYPERLINK("https://www.spark-marketing.ru/Card/Lot/73344587", "Оказание услуг по организации питания воспитанников")</f>
        <v>Оказание услуг по организации питания воспитанников</v>
      </c>
      <c r="G3442" s="22" t="s">
        <v>145</v>
      </c>
      <c r="H3442" s="22" t="s">
        <v>3257</v>
      </c>
      <c r="I3442" s="26">
        <v>43719.426388888904</v>
      </c>
      <c r="J3442" s="23" t="str">
        <f>HYPERLINK("https://www.spark-marketing.ru/Card/Person/6704775", "ООО ""ЭКСПРЕСС""")</f>
        <v>ООО "ЭКСПРЕСС"</v>
      </c>
      <c r="K3442" s="24" t="s">
        <v>5801</v>
      </c>
      <c r="L3442" s="28" t="s">
        <v>51</v>
      </c>
      <c r="M3442" s="25">
        <v>491579.95</v>
      </c>
      <c r="N3442" s="27">
        <v>1.674167584175176E-2</v>
      </c>
    </row>
    <row r="3443" spans="1:14" x14ac:dyDescent="0.15">
      <c r="A3443" s="23" t="str">
        <f>HYPERLINK("https://www.spark-marketing.ru/Card/Person/107267", "УМВД РОССИИ ПО Г. СУРГУТУ")</f>
        <v>УМВД РОССИИ ПО Г. СУРГУТУ</v>
      </c>
      <c r="B3443" s="24" t="s">
        <v>5245</v>
      </c>
      <c r="C3443" s="25">
        <v>10000</v>
      </c>
      <c r="D3443" s="22" t="s">
        <v>5894</v>
      </c>
      <c r="E3443" s="22" t="s">
        <v>48</v>
      </c>
      <c r="F3443" s="23" t="str">
        <f>HYPERLINK("https://www.spark-marketing.ru/Card/Lot/73343783", "Услуги по обеспечению питанием, осуществляемые по договору, 40 усл. ед")</f>
        <v>Услуги по обеспечению питанием, осуществляемые по договору, 40 усл. ед</v>
      </c>
      <c r="G3443" s="22" t="s">
        <v>97</v>
      </c>
      <c r="H3443" s="22" t="s">
        <v>3533</v>
      </c>
      <c r="I3443" s="26">
        <v>43719.371932870403</v>
      </c>
      <c r="J3443" s="28" t="s">
        <v>51</v>
      </c>
      <c r="K3443" s="28" t="s">
        <v>51</v>
      </c>
      <c r="L3443" s="28" t="s">
        <v>51</v>
      </c>
      <c r="M3443" s="28" t="s">
        <v>51</v>
      </c>
      <c r="N3443" s="28" t="s">
        <v>51</v>
      </c>
    </row>
    <row r="3444" spans="1:14" x14ac:dyDescent="0.2">
      <c r="A3444" s="23" t="str">
        <f>HYPERLINK("https://www.spark-marketing.ru/Card/Person/6489230", "ГБУЗ ПК ""ГБ № 6""")</f>
        <v>ГБУЗ ПК "ГБ № 6"</v>
      </c>
      <c r="B3444" s="24" t="s">
        <v>5895</v>
      </c>
      <c r="C3444" s="25">
        <v>9028879.5999999996</v>
      </c>
      <c r="D3444" s="22" t="s">
        <v>5896</v>
      </c>
      <c r="E3444" s="22" t="s">
        <v>96</v>
      </c>
      <c r="F3444" s="23" t="str">
        <f>HYPERLINK("https://www.spark-marketing.ru/Card/Lot/73343193", "Оказание услуг по обеспечению лечебным питанием пациентов, находящихся на стационарном лечении в Государственном бюджетном учреждении здравоохранения Пермского края «Городская больница № 6» по адресу: г. Пермь, ул. ПИСАРЕВА, 56")</f>
        <v>Оказание услуг по обеспечению лечебным питанием пациентов, находящихся на стационарном лечении в Государственном бюджетном учреждении здравоохранения Пермского края «Городская больница № 6» по адресу: г. Пермь, ул. ПИСАРЕВА, 56</v>
      </c>
      <c r="G3444" s="22" t="s">
        <v>153</v>
      </c>
      <c r="H3444" s="22" t="s">
        <v>153</v>
      </c>
      <c r="I3444" s="26">
        <v>43719.332638888904</v>
      </c>
      <c r="J3444" s="23" t="str">
        <f>HYPERLINK("https://www.spark-marketing.ru/Card/Person/52326", "Токарева Оксана Вячеславовна")</f>
        <v>Токарева Оксана Вячеславовна</v>
      </c>
      <c r="K3444" s="24" t="s">
        <v>1845</v>
      </c>
      <c r="L3444" s="28" t="s">
        <v>51</v>
      </c>
      <c r="M3444" s="25">
        <v>9028879.5999999996</v>
      </c>
      <c r="N3444" s="27">
        <v>0</v>
      </c>
    </row>
    <row r="3445" spans="1:14" x14ac:dyDescent="0.15">
      <c r="A3445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3445" s="24" t="s">
        <v>4141</v>
      </c>
      <c r="C3445" s="25">
        <v>15000</v>
      </c>
      <c r="D3445" s="22" t="s">
        <v>5897</v>
      </c>
      <c r="E3445" s="22" t="s">
        <v>48</v>
      </c>
      <c r="F3445" s="23" t="str">
        <f>HYPERLINK("https://www.spark-marketing.ru/Card/Lot/73339394",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3445" s="22" t="s">
        <v>263</v>
      </c>
      <c r="H3445" s="22" t="s">
        <v>540</v>
      </c>
      <c r="I3445" s="26">
        <v>43719.193414351903</v>
      </c>
      <c r="J3445" s="28" t="s">
        <v>51</v>
      </c>
      <c r="K3445" s="28" t="s">
        <v>51</v>
      </c>
      <c r="L3445" s="28" t="s">
        <v>51</v>
      </c>
      <c r="M3445" s="28" t="s">
        <v>51</v>
      </c>
      <c r="N3445" s="28" t="s">
        <v>51</v>
      </c>
    </row>
    <row r="3446" spans="1:14" x14ac:dyDescent="0.15">
      <c r="A3446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3446" s="24" t="s">
        <v>4141</v>
      </c>
      <c r="C3446" s="25">
        <v>10000</v>
      </c>
      <c r="D3446" s="22" t="s">
        <v>5898</v>
      </c>
      <c r="E3446" s="22" t="s">
        <v>48</v>
      </c>
      <c r="F3446" s="23" t="str">
        <f>HYPERLINK("https://www.spark-marketing.ru/Card/Lot/73339157",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3446" s="22" t="s">
        <v>263</v>
      </c>
      <c r="H3446" s="22" t="s">
        <v>540</v>
      </c>
      <c r="I3446" s="26">
        <v>43719.176574074103</v>
      </c>
      <c r="J3446" s="28" t="s">
        <v>51</v>
      </c>
      <c r="K3446" s="28" t="s">
        <v>51</v>
      </c>
      <c r="L3446" s="28" t="s">
        <v>51</v>
      </c>
      <c r="M3446" s="28" t="s">
        <v>51</v>
      </c>
      <c r="N3446" s="28" t="s">
        <v>51</v>
      </c>
    </row>
    <row r="3447" spans="1:14" x14ac:dyDescent="0.15">
      <c r="A3447" s="23" t="str">
        <f>HYPERLINK("https://www.spark-marketing.ru/Card/Person/1057677", "ГАУ ""ЦПМ ОО""")</f>
        <v>ГАУ "ЦПМ ОО"</v>
      </c>
      <c r="B3447" s="24" t="s">
        <v>5899</v>
      </c>
      <c r="C3447" s="25">
        <v>145800</v>
      </c>
      <c r="D3447" s="22" t="s">
        <v>5900</v>
      </c>
      <c r="E3447" s="22" t="s">
        <v>362</v>
      </c>
      <c r="F3447" s="23" t="str">
        <f>HYPERLINK("https://www.spark-marketing.ru/Card/Lot/73354900", "оказание услуги по осуществлению питания участниц XIV областного фестиваля женского спорта ""Оренбургская сударыня""")</f>
        <v>оказание услуги по осуществлению питания участниц XIV областного фестиваля женского спорта "Оренбургская сударыня"</v>
      </c>
      <c r="G3447" s="22" t="s">
        <v>132</v>
      </c>
      <c r="H3447" s="22" t="s">
        <v>132</v>
      </c>
      <c r="I3447" s="26">
        <v>43719</v>
      </c>
      <c r="J3447" s="28" t="s">
        <v>51</v>
      </c>
      <c r="K3447" s="28" t="s">
        <v>51</v>
      </c>
      <c r="L3447" s="28" t="s">
        <v>51</v>
      </c>
      <c r="M3447" s="28" t="s">
        <v>51</v>
      </c>
      <c r="N3447" s="28" t="s">
        <v>51</v>
      </c>
    </row>
    <row r="3448" spans="1:14" x14ac:dyDescent="0.15">
      <c r="A3448" s="23" t="str">
        <f>HYPERLINK("https://www.spark-marketing.ru/Card/Person/67592", "МАОУ ГИМНАЗИЯ № 23")</f>
        <v>МАОУ ГИМНАЗИЯ № 23</v>
      </c>
      <c r="B3448" s="24" t="s">
        <v>5901</v>
      </c>
      <c r="C3448" s="25">
        <v>129384.88</v>
      </c>
      <c r="D3448" s="22" t="s">
        <v>5902</v>
      </c>
      <c r="E3448" s="22" t="s">
        <v>362</v>
      </c>
      <c r="F3448" s="23" t="str">
        <f>HYPERLINK("https://www.spark-marketing.ru/Card/Lot/73355665", "Услуги по организации питания обучающихся")</f>
        <v>Услуги по организации питания обучающихся</v>
      </c>
      <c r="G3448" s="22" t="s">
        <v>104</v>
      </c>
      <c r="H3448" s="22" t="s">
        <v>104</v>
      </c>
      <c r="I3448" s="26">
        <v>43719</v>
      </c>
      <c r="J3448" s="28" t="s">
        <v>51</v>
      </c>
      <c r="K3448" s="28" t="s">
        <v>51</v>
      </c>
      <c r="L3448" s="28" t="s">
        <v>51</v>
      </c>
      <c r="M3448" s="28" t="s">
        <v>51</v>
      </c>
      <c r="N3448" s="28" t="s">
        <v>51</v>
      </c>
    </row>
    <row r="3449" spans="1:14" x14ac:dyDescent="0.15">
      <c r="A3449" s="23" t="str">
        <f>HYPERLINK("https://www.spark-marketing.ru/Card/Person/1496504", "ГАУК ""САХАЛИНСКАЯ ФИЛАРМОНИЯ""")</f>
        <v>ГАУК "САХАЛИНСКАЯ ФИЛАРМОНИЯ"</v>
      </c>
      <c r="B3449" s="24" t="s">
        <v>4413</v>
      </c>
      <c r="C3449" s="25">
        <v>876600</v>
      </c>
      <c r="D3449" s="22" t="s">
        <v>5903</v>
      </c>
      <c r="E3449" s="22" t="s">
        <v>562</v>
      </c>
      <c r="F3449" s="23" t="str">
        <f>HYPERLINK("https://www.spark-marketing.ru/Card/Lot/73345355", "услуги по обеспечению питанием участников , в рамках проведения фестивального мероприятия «Спасская башня на Сахалине»")</f>
        <v>услуги по обеспечению питанием участников , в рамках проведения фестивального мероприятия «Спасская башня на Сахалине»</v>
      </c>
      <c r="G3449" s="22" t="s">
        <v>260</v>
      </c>
      <c r="H3449" s="22" t="s">
        <v>260</v>
      </c>
      <c r="I3449" s="26">
        <v>43719</v>
      </c>
      <c r="J3449" s="28" t="s">
        <v>51</v>
      </c>
      <c r="K3449" s="28" t="s">
        <v>51</v>
      </c>
      <c r="L3449" s="28" t="s">
        <v>51</v>
      </c>
      <c r="M3449" s="28" t="s">
        <v>51</v>
      </c>
      <c r="N3449" s="28" t="s">
        <v>51</v>
      </c>
    </row>
    <row r="3450" spans="1:14" x14ac:dyDescent="0.2">
      <c r="A3450" s="23" t="str">
        <f>HYPERLINK("https://www.spark-marketing.ru/Card/Person/4377427", "БМАОУ СОШ №33")</f>
        <v>БМАОУ СОШ №33</v>
      </c>
      <c r="B3450" s="24" t="s">
        <v>943</v>
      </c>
      <c r="C3450" s="25">
        <v>780000</v>
      </c>
      <c r="D3450" s="22" t="s">
        <v>5904</v>
      </c>
      <c r="E3450" s="22" t="s">
        <v>362</v>
      </c>
      <c r="F3450" s="23" t="str">
        <f>HYPERLINK("https://www.spark-marketing.ru/Card/Lot/73336056", "Оказание услуг по организации питания обучающихся в октябре 2019 г.")</f>
        <v>Оказание услуг по организации питания обучающихся в октябре 2019 г.</v>
      </c>
      <c r="G3450" s="22" t="s">
        <v>174</v>
      </c>
      <c r="H3450" s="22" t="s">
        <v>174</v>
      </c>
      <c r="I3450" s="26">
        <v>43718</v>
      </c>
      <c r="J3450" s="28" t="s">
        <v>51</v>
      </c>
      <c r="K3450" s="28" t="s">
        <v>51</v>
      </c>
      <c r="L3450" s="22" t="s">
        <v>10</v>
      </c>
      <c r="M3450" s="25">
        <v>780000</v>
      </c>
      <c r="N3450" s="27">
        <v>0</v>
      </c>
    </row>
    <row r="3451" spans="1:14" x14ac:dyDescent="0.15">
      <c r="A3451" s="23" t="str">
        <f>HYPERLINK("https://www.spark-marketing.ru/Card/Person/643562", "АУ ""ОКРУЖНОЙ ДОМ НАРОДНОГО ТВОРЧЕСТВА""")</f>
        <v>АУ "ОКРУЖНОЙ ДОМ НАРОДНОГО ТВОРЧЕСТВА"</v>
      </c>
      <c r="B3451" s="24" t="s">
        <v>5905</v>
      </c>
      <c r="C3451" s="25">
        <v>180000</v>
      </c>
      <c r="D3451" s="22" t="s">
        <v>5906</v>
      </c>
      <c r="E3451" s="22" t="s">
        <v>580</v>
      </c>
      <c r="F3451" s="23" t="str">
        <f>HYPERLINK("https://www.spark-marketing.ru/Card/Lot/73359160", "Услуга по организации питания федеральных экспертов и проведение официального приема для почетных гостей (торжественный ужин) в рамках реализации проекта: организация и проведение Всероссийского форума национального единства")</f>
        <v>Услуга по организации питания федеральных экспертов и проведение официального приема для почетных гостей (торжественный ужин) в рамках реализации проекта: организация и проведение Всероссийского форума национального единства</v>
      </c>
      <c r="G3451" s="22" t="s">
        <v>97</v>
      </c>
      <c r="H3451" s="22" t="s">
        <v>98</v>
      </c>
      <c r="I3451" s="26">
        <v>43719</v>
      </c>
      <c r="J3451" s="28" t="s">
        <v>51</v>
      </c>
      <c r="K3451" s="28" t="s">
        <v>51</v>
      </c>
      <c r="L3451" s="28" t="s">
        <v>51</v>
      </c>
      <c r="M3451" s="28" t="s">
        <v>51</v>
      </c>
      <c r="N3451" s="28" t="s">
        <v>51</v>
      </c>
    </row>
    <row r="3452" spans="1:14" x14ac:dyDescent="0.15">
      <c r="A3452" s="23" t="str">
        <f>HYPERLINK("https://www.spark-marketing.ru/Card/Person/1037544", "МОУ СШ № 3")</f>
        <v>МОУ СШ № 3</v>
      </c>
      <c r="B3452" s="24" t="s">
        <v>5907</v>
      </c>
      <c r="C3452" s="25">
        <v>1114988.04</v>
      </c>
      <c r="D3452" s="22" t="s">
        <v>5908</v>
      </c>
      <c r="E3452" s="22" t="s">
        <v>362</v>
      </c>
      <c r="F3452" s="23" t="str">
        <f>HYPERLINK("https://www.spark-marketing.ru/Card/Lot/73355823", "на оказание услуг по организации питания")</f>
        <v>на оказание услуг по организации питания</v>
      </c>
      <c r="G3452" s="22" t="s">
        <v>158</v>
      </c>
      <c r="H3452" s="22" t="s">
        <v>158</v>
      </c>
      <c r="I3452" s="26">
        <v>43719</v>
      </c>
      <c r="J3452" s="28" t="s">
        <v>51</v>
      </c>
      <c r="K3452" s="28" t="s">
        <v>51</v>
      </c>
      <c r="L3452" s="28" t="s">
        <v>51</v>
      </c>
      <c r="M3452" s="28" t="s">
        <v>51</v>
      </c>
      <c r="N3452" s="28" t="s">
        <v>51</v>
      </c>
    </row>
    <row r="3453" spans="1:14" x14ac:dyDescent="0.15">
      <c r="A3453" s="23" t="str">
        <f>HYPERLINK("https://www.spark-marketing.ru/Card/Person/1778529", "КГАУ ЦСПСКХК")</f>
        <v>КГАУ ЦСПСКХК</v>
      </c>
      <c r="B3453" s="24" t="s">
        <v>5909</v>
      </c>
      <c r="C3453" s="25">
        <v>1429385</v>
      </c>
      <c r="D3453" s="22" t="s">
        <v>5910</v>
      </c>
      <c r="E3453" s="22" t="s">
        <v>562</v>
      </c>
      <c r="F3453" s="23" t="str">
        <f>HYPERLINK("https://www.spark-marketing.ru/Card/Lot/73588883", "Оказание услуг по организации питания участников кубка мира по прыжкам на батуте в 2019 году")</f>
        <v>Оказание услуг по организации питания участников кубка мира по прыжкам на батуте в 2019 году</v>
      </c>
      <c r="G3453" s="22" t="s">
        <v>1096</v>
      </c>
      <c r="H3453" s="22" t="s">
        <v>1096</v>
      </c>
      <c r="I3453" s="26">
        <v>43726</v>
      </c>
      <c r="J3453" s="28" t="s">
        <v>51</v>
      </c>
      <c r="K3453" s="28" t="s">
        <v>51</v>
      </c>
      <c r="L3453" s="28" t="s">
        <v>51</v>
      </c>
      <c r="M3453" s="28" t="s">
        <v>51</v>
      </c>
      <c r="N3453" s="28" t="s">
        <v>51</v>
      </c>
    </row>
    <row r="3454" spans="1:14" x14ac:dyDescent="0.2">
      <c r="A3454" s="23" t="str">
        <f>HYPERLINK("https://www.spark-marketing.ru/Card/Person/4345970", "ФГУП ""ГХК""")</f>
        <v>ФГУП "ГХК"</v>
      </c>
      <c r="B3454" s="24" t="s">
        <v>5819</v>
      </c>
      <c r="C3454" s="25">
        <v>89960626</v>
      </c>
      <c r="D3454" s="22" t="s">
        <v>5911</v>
      </c>
      <c r="E3454" s="22" t="s">
        <v>2217</v>
      </c>
      <c r="F3454" s="23" t="str">
        <f>HYPERLINK("https://www.spark-marketing.ru/Card/Lot/73356218", "Право заключения договора на Услуги по организации и предоставлению питания работникам предприятия, по организации и предоставлению питания членам делегаций, прибывшим на ФГУП ""ГХК""")</f>
        <v>Право заключения договора на Услуги по организации и предоставлению питания работникам предприятия, по организации и предоставлению питания членам делегаций, прибывшим на ФГУП "ГХК"</v>
      </c>
      <c r="G3454" s="22" t="s">
        <v>281</v>
      </c>
      <c r="H3454" s="22" t="s">
        <v>5821</v>
      </c>
      <c r="I3454" s="26">
        <v>43719</v>
      </c>
      <c r="J3454" s="28" t="s">
        <v>51</v>
      </c>
      <c r="K3454" s="28" t="s">
        <v>51</v>
      </c>
      <c r="L3454" s="28" t="s">
        <v>51</v>
      </c>
      <c r="M3454" s="25">
        <v>89476254</v>
      </c>
      <c r="N3454" s="27">
        <v>5.384266667953155E-3</v>
      </c>
    </row>
    <row r="3455" spans="1:14" x14ac:dyDescent="0.15">
      <c r="A3455" s="23" t="str">
        <f>HYPERLINK("https://www.spark-marketing.ru/Card/Person/1761498", "МАОУ ""СОШ № 8""")</f>
        <v>МАОУ "СОШ № 8"</v>
      </c>
      <c r="B3455" s="24" t="s">
        <v>5912</v>
      </c>
      <c r="C3455" s="25">
        <v>410461.88</v>
      </c>
      <c r="D3455" s="22" t="s">
        <v>5913</v>
      </c>
      <c r="E3455" s="22" t="s">
        <v>362</v>
      </c>
      <c r="F3455" s="23" t="str">
        <f>HYPERLINK("https://www.spark-marketing.ru/Card/Lot/73344899", "Услуги по организации питания учащихся (2 полугодие)")</f>
        <v>Услуги по организации питания учащихся (2 полугодие)</v>
      </c>
      <c r="G3455" s="22" t="s">
        <v>228</v>
      </c>
      <c r="H3455" s="22" t="s">
        <v>228</v>
      </c>
      <c r="I3455" s="26">
        <v>43719</v>
      </c>
      <c r="J3455" s="28" t="s">
        <v>51</v>
      </c>
      <c r="K3455" s="28" t="s">
        <v>51</v>
      </c>
      <c r="L3455" s="28" t="s">
        <v>51</v>
      </c>
      <c r="M3455" s="28" t="s">
        <v>51</v>
      </c>
      <c r="N3455" s="28" t="s">
        <v>51</v>
      </c>
    </row>
    <row r="3456" spans="1:14" x14ac:dyDescent="0.15">
      <c r="A3456" s="23" t="str">
        <f>HYPERLINK("https://www.spark-marketing.ru/Card/Person/540172", "ОГАУ ""ФК ""САХАЛИН""")</f>
        <v>ОГАУ "ФК "САХАЛИН"</v>
      </c>
      <c r="B3456" s="24" t="s">
        <v>1416</v>
      </c>
      <c r="C3456" s="25">
        <v>1394500</v>
      </c>
      <c r="D3456" s="22" t="s">
        <v>5914</v>
      </c>
      <c r="E3456" s="22" t="s">
        <v>5915</v>
      </c>
      <c r="F3456" s="23" t="str">
        <f>HYPERLINK("https://www.spark-marketing.ru/Card/Lot/73348311", "Оказание услуг по организации проживания и питания")</f>
        <v>Оказание услуг по организации проживания и питания</v>
      </c>
      <c r="G3456" s="22" t="s">
        <v>260</v>
      </c>
      <c r="H3456" s="22" t="s">
        <v>260</v>
      </c>
      <c r="I3456" s="26">
        <v>43719</v>
      </c>
      <c r="J3456" s="28" t="s">
        <v>51</v>
      </c>
      <c r="K3456" s="28" t="s">
        <v>51</v>
      </c>
      <c r="L3456" s="28" t="s">
        <v>51</v>
      </c>
      <c r="M3456" s="28" t="s">
        <v>51</v>
      </c>
      <c r="N3456" s="28" t="s">
        <v>51</v>
      </c>
    </row>
    <row r="3457" spans="1:14" x14ac:dyDescent="0.15">
      <c r="A3457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3457" s="24" t="s">
        <v>1909</v>
      </c>
      <c r="C3457" s="25">
        <v>188100</v>
      </c>
      <c r="D3457" s="22" t="s">
        <v>5916</v>
      </c>
      <c r="E3457" s="22" t="s">
        <v>769</v>
      </c>
      <c r="F3457" s="23" t="str">
        <f>HYPERLINK("https://www.spark-marketing.ru/Card/Lot/73359620", "Услуги по временному размещению и питанию спортсменов и тренеров")</f>
        <v>Услуги по временному размещению и питанию спортсменов и тренеров</v>
      </c>
      <c r="G3457" s="22" t="s">
        <v>153</v>
      </c>
      <c r="H3457" s="22" t="s">
        <v>153</v>
      </c>
      <c r="I3457" s="26">
        <v>43719</v>
      </c>
      <c r="J3457" s="28" t="s">
        <v>51</v>
      </c>
      <c r="K3457" s="28" t="s">
        <v>51</v>
      </c>
      <c r="L3457" s="28" t="s">
        <v>51</v>
      </c>
      <c r="M3457" s="28" t="s">
        <v>51</v>
      </c>
      <c r="N3457" s="28" t="s">
        <v>51</v>
      </c>
    </row>
    <row r="3458" spans="1:14" x14ac:dyDescent="0.15">
      <c r="A3458" s="23" t="str">
        <f>HYPERLINK("https://www.spark-marketing.ru/Card/Person/4867758", "МАУ ""ВЦТВФСК ""ГТО""")</f>
        <v>МАУ "ВЦТВФСК "ГТО"</v>
      </c>
      <c r="B3458" s="24" t="s">
        <v>5917</v>
      </c>
      <c r="C3458" s="25">
        <v>168000</v>
      </c>
      <c r="D3458" s="22" t="s">
        <v>5918</v>
      </c>
      <c r="E3458" s="22" t="s">
        <v>769</v>
      </c>
      <c r="F3458" s="23" t="str">
        <f>HYPERLINK("https://www.spark-marketing.ru/Card/Lot/73358819", "Услуги по организации питания и проживания г. Ейск 20 человек с 13.09.2019-20.09.2019г.")</f>
        <v>Услуги по организации питания и проживания г. Ейск 20 человек с 13.09.2019-20.09.2019г.</v>
      </c>
      <c r="G3458" s="22" t="s">
        <v>162</v>
      </c>
      <c r="H3458" s="22" t="s">
        <v>162</v>
      </c>
      <c r="I3458" s="26">
        <v>43719</v>
      </c>
      <c r="J3458" s="28" t="s">
        <v>51</v>
      </c>
      <c r="K3458" s="28" t="s">
        <v>51</v>
      </c>
      <c r="L3458" s="28" t="s">
        <v>51</v>
      </c>
      <c r="M3458" s="28" t="s">
        <v>51</v>
      </c>
      <c r="N3458" s="28" t="s">
        <v>51</v>
      </c>
    </row>
    <row r="3459" spans="1:14" x14ac:dyDescent="0.15">
      <c r="A3459" s="23" t="str">
        <f>HYPERLINK("https://www.spark-marketing.ru/Card/Person/1450401", "МАОУ ""СОШ № 47""")</f>
        <v>МАОУ "СОШ № 47"</v>
      </c>
      <c r="B3459" s="24" t="s">
        <v>5919</v>
      </c>
      <c r="C3459" s="25">
        <v>1531411.8</v>
      </c>
      <c r="D3459" s="22" t="s">
        <v>5920</v>
      </c>
      <c r="E3459" s="22" t="s">
        <v>362</v>
      </c>
      <c r="F3459" s="23" t="str">
        <f>HYPERLINK("https://www.spark-marketing.ru/Card/Lot/73271778", "Предоставление услуги общественного питания для нужд МАОУ ""СОШ № 47"" в 4 квартале 2019 года")</f>
        <v>Предоставление услуги общественного питания для нужд МАОУ "СОШ № 47" в 4 квартале 2019 года</v>
      </c>
      <c r="G3459" s="22" t="s">
        <v>415</v>
      </c>
      <c r="H3459" s="22" t="s">
        <v>415</v>
      </c>
      <c r="I3459" s="26">
        <v>43714</v>
      </c>
      <c r="J3459" s="28" t="s">
        <v>51</v>
      </c>
      <c r="K3459" s="28" t="s">
        <v>51</v>
      </c>
      <c r="L3459" s="28" t="s">
        <v>51</v>
      </c>
      <c r="M3459" s="28" t="s">
        <v>51</v>
      </c>
      <c r="N3459" s="28" t="s">
        <v>51</v>
      </c>
    </row>
    <row r="3460" spans="1:14" x14ac:dyDescent="0.2">
      <c r="A3460" s="23" t="str">
        <f>HYPERLINK("https://www.spark-marketing.ru/Card/Person/897186", "МАОУ ""ШКОЛА № 13 Г. БЛАГОВЕЩЕНСКА""")</f>
        <v>МАОУ "ШКОЛА № 13 Г. БЛАГОВЕЩЕНСКА"</v>
      </c>
      <c r="B3460" s="24" t="s">
        <v>941</v>
      </c>
      <c r="C3460" s="25">
        <v>636468.75</v>
      </c>
      <c r="D3460" s="22" t="s">
        <v>5921</v>
      </c>
      <c r="E3460" s="22" t="s">
        <v>362</v>
      </c>
      <c r="F3460" s="23" t="str">
        <f>HYPERLINK("https://www.spark-marketing.ru/Card/Lot/73342399", "Оказание услуг по предоставлению питания детям с ОВЗ")</f>
        <v>Оказание услуг по предоставлению питания детям с ОВЗ</v>
      </c>
      <c r="G3460" s="22" t="s">
        <v>210</v>
      </c>
      <c r="H3460" s="22" t="s">
        <v>210</v>
      </c>
      <c r="I3460" s="26">
        <v>43719</v>
      </c>
      <c r="J3460" s="28" t="s">
        <v>51</v>
      </c>
      <c r="K3460" s="28" t="s">
        <v>51</v>
      </c>
      <c r="L3460" s="28" t="s">
        <v>51</v>
      </c>
      <c r="M3460" s="25">
        <v>636468.75</v>
      </c>
      <c r="N3460" s="27">
        <v>0</v>
      </c>
    </row>
    <row r="3461" spans="1:14" x14ac:dyDescent="0.15">
      <c r="A3461" s="23" t="str">
        <f>HYPERLINK("https://www.spark-marketing.ru/Card/Person/1759639", "МАОУ МАЛЬКОВСКАЯ СОШ")</f>
        <v>МАОУ МАЛЬКОВСКАЯ СОШ</v>
      </c>
      <c r="B3461" s="24" t="s">
        <v>5509</v>
      </c>
      <c r="C3461" s="25">
        <v>295033.2</v>
      </c>
      <c r="D3461" s="22" t="s">
        <v>5922</v>
      </c>
      <c r="E3461" s="22" t="s">
        <v>362</v>
      </c>
      <c r="F3461" s="23" t="str">
        <f>HYPERLINK("https://www.spark-marketing.ru/Card/Lot/73345295", "Оказание услуг по организации питания обучающихся")</f>
        <v>Оказание услуг по организации питания обучающихся</v>
      </c>
      <c r="G3461" s="22" t="s">
        <v>766</v>
      </c>
      <c r="H3461" s="22" t="s">
        <v>766</v>
      </c>
      <c r="I3461" s="26">
        <v>43719</v>
      </c>
      <c r="J3461" s="28" t="s">
        <v>51</v>
      </c>
      <c r="K3461" s="28" t="s">
        <v>51</v>
      </c>
      <c r="L3461" s="28" t="s">
        <v>51</v>
      </c>
      <c r="M3461" s="28" t="s">
        <v>51</v>
      </c>
      <c r="N3461" s="28" t="s">
        <v>51</v>
      </c>
    </row>
    <row r="3462" spans="1:14" x14ac:dyDescent="0.15">
      <c r="A3462" s="23" t="str">
        <f>HYPERLINK("https://www.spark-marketing.ru/Card/Person/32283", "ФГБОУ ВО ""РГГУ"", РГГУ, РОССИЙСКИЙ ГОСУДАРСТВЕННЫЙ ГУМАНИТАРНЫЙ УНИВЕРСИТЕТ")</f>
        <v>ФГБОУ ВО "РГГУ", РГГУ, РОССИЙСКИЙ ГОСУДАРСТВЕННЫЙ ГУМАНИТАРНЫЙ УНИВЕРСИТЕТ</v>
      </c>
      <c r="B3462" s="24" t="s">
        <v>4794</v>
      </c>
      <c r="C3462" s="25">
        <v>582200</v>
      </c>
      <c r="D3462" s="22" t="s">
        <v>5923</v>
      </c>
      <c r="E3462" s="22" t="s">
        <v>5924</v>
      </c>
      <c r="F3462" s="23" t="str">
        <f>HYPERLINK("https://www.spark-marketing.ru/Card/Lot/73355782", "Оказание услуг по организации проживания, трансфера и питания 28 участников праздника «Середины осени»")</f>
        <v>Оказание услуг по организации проживания, трансфера и питания 28 участников праздника «Середины осени»</v>
      </c>
      <c r="G3462" s="22" t="s">
        <v>56</v>
      </c>
      <c r="H3462" s="22" t="s">
        <v>56</v>
      </c>
      <c r="I3462" s="26">
        <v>43719</v>
      </c>
      <c r="J3462" s="28" t="s">
        <v>51</v>
      </c>
      <c r="K3462" s="28" t="s">
        <v>51</v>
      </c>
      <c r="L3462" s="28" t="s">
        <v>51</v>
      </c>
      <c r="M3462" s="28" t="s">
        <v>51</v>
      </c>
      <c r="N3462" s="28" t="s">
        <v>51</v>
      </c>
    </row>
    <row r="3463" spans="1:14" x14ac:dyDescent="0.15">
      <c r="A3463" s="23" t="str">
        <f t="shared" ref="A3463:A3469" si="58"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463" s="24" t="s">
        <v>3255</v>
      </c>
      <c r="C3463" s="25">
        <v>1392640</v>
      </c>
      <c r="D3463" s="22" t="s">
        <v>5925</v>
      </c>
      <c r="E3463" s="22" t="s">
        <v>52</v>
      </c>
      <c r="F3463" s="23" t="str">
        <f>HYPERLINK("https://www.spark-marketing.ru/Card/Lot/73324993", "Поставка лекарственного препарата для медицинского применения ""Адеметионин""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"Адеметионин"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3463" s="22" t="s">
        <v>210</v>
      </c>
      <c r="H3463" s="22" t="s">
        <v>3257</v>
      </c>
      <c r="I3463" s="26">
        <v>43718.724999999999</v>
      </c>
      <c r="J3463" s="28" t="s">
        <v>51</v>
      </c>
      <c r="K3463" s="28" t="s">
        <v>51</v>
      </c>
      <c r="L3463" s="28" t="s">
        <v>51</v>
      </c>
      <c r="M3463" s="28" t="s">
        <v>51</v>
      </c>
      <c r="N3463" s="28" t="s">
        <v>51</v>
      </c>
    </row>
    <row r="3464" spans="1:14" hidden="1" outlineLevel="1" x14ac:dyDescent="0.2">
      <c r="A3464" s="23" t="str">
        <f t="shared" si="58"/>
        <v>МИНИСТЕРСТВО ЗДРАВООХРАНЕНИЯ АМУРСКОЙ ОБЛАСТИ</v>
      </c>
      <c r="B3464" s="24" t="s">
        <v>3255</v>
      </c>
      <c r="C3464" s="25">
        <v>1392640</v>
      </c>
      <c r="D3464" s="22" t="s">
        <v>5925</v>
      </c>
      <c r="E3464" s="22" t="s">
        <v>52</v>
      </c>
      <c r="F3464" s="23" t="str">
        <f>HYPERLINK("https://www.spark-marketing.ru/Card/Lot/73324993", "Поставка лекарственного препарата для медицинского применения ""Адеметионин""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"Адеметионин"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3464" s="22" t="s">
        <v>210</v>
      </c>
      <c r="H3464" s="22" t="s">
        <v>3257</v>
      </c>
      <c r="I3464" s="26">
        <v>43718.724999999999</v>
      </c>
      <c r="J3464" s="23" t="str">
        <f>HYPERLINK("https://www.spark-marketing.ru/Card/Person/4903748", "ООО ""КОНДОР""")</f>
        <v>ООО "КОНДОР"</v>
      </c>
      <c r="K3464" s="24" t="s">
        <v>4848</v>
      </c>
      <c r="L3464" s="28" t="s">
        <v>51</v>
      </c>
      <c r="M3464" s="25">
        <v>1274265.6000000001</v>
      </c>
      <c r="N3464" s="27">
        <v>8.5000000000000006E-2</v>
      </c>
    </row>
    <row r="3465" spans="1:14" hidden="1" outlineLevel="1" x14ac:dyDescent="0.2">
      <c r="A3465" s="23" t="str">
        <f t="shared" si="58"/>
        <v>МИНИСТЕРСТВО ЗДРАВООХРАНЕНИЯ АМУРСКОЙ ОБЛАСТИ</v>
      </c>
      <c r="B3465" s="24" t="s">
        <v>3255</v>
      </c>
      <c r="C3465" s="25">
        <v>1392640</v>
      </c>
      <c r="D3465" s="22" t="s">
        <v>5925</v>
      </c>
      <c r="E3465" s="22" t="s">
        <v>52</v>
      </c>
      <c r="F3465" s="23" t="str">
        <f>HYPERLINK("https://www.spark-marketing.ru/Card/Lot/73324993", "Поставка лекарственного препарата для медицинского применения ""Адеметионин""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"Адеметионин"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3465" s="22" t="s">
        <v>210</v>
      </c>
      <c r="H3465" s="22" t="s">
        <v>3257</v>
      </c>
      <c r="I3465" s="26">
        <v>43718.724999999999</v>
      </c>
      <c r="J3465" s="23" t="str">
        <f>HYPERLINK("https://www.spark-marketing.ru/Card/Person/6276188", "ООО ""ФАРМАЛАЙФ""")</f>
        <v>ООО "ФАРМАЛАЙФ"</v>
      </c>
      <c r="K3465" s="24" t="s">
        <v>5926</v>
      </c>
      <c r="L3465" s="28" t="s">
        <v>51</v>
      </c>
      <c r="M3465" s="25">
        <v>1190703.67</v>
      </c>
      <c r="N3465" s="27">
        <v>0.14500253475413602</v>
      </c>
    </row>
    <row r="3466" spans="1:14" ht="12.75" hidden="1" outlineLevel="1" x14ac:dyDescent="0.2">
      <c r="A3466" s="23" t="str">
        <f t="shared" si="58"/>
        <v>МИНИСТЕРСТВО ЗДРАВООХРАНЕНИЯ АМУРСКОЙ ОБЛАСТИ</v>
      </c>
      <c r="B3466" s="24" t="s">
        <v>3255</v>
      </c>
      <c r="C3466" s="25">
        <v>1392640</v>
      </c>
      <c r="D3466" s="22" t="s">
        <v>5925</v>
      </c>
      <c r="E3466" s="22" t="s">
        <v>52</v>
      </c>
      <c r="F3466" s="23" t="str">
        <f>HYPERLINK("https://www.spark-marketing.ru/Card/Lot/73324993", "Поставка лекарственного препарата для медицинского применения ""Адеметионин""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"Адеметионин"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3466" s="22" t="s">
        <v>210</v>
      </c>
      <c r="H3466" s="22" t="s">
        <v>3257</v>
      </c>
      <c r="I3466" s="26">
        <v>43718.724999999999</v>
      </c>
      <c r="J3466" s="23" t="str">
        <f>HYPERLINK("https://www.spark-marketing.ru/Card/Person/5942214", "ООО ""ЭКОФАРМ ПЛЮС""")</f>
        <v>ООО "ЭКОФАРМ ПЛЮС"</v>
      </c>
      <c r="K3466" s="24" t="s">
        <v>5927</v>
      </c>
      <c r="L3466" s="22" t="s">
        <v>10</v>
      </c>
      <c r="M3466" s="25">
        <v>1183740.47</v>
      </c>
      <c r="N3466" s="27">
        <v>0.15000253475413602</v>
      </c>
    </row>
    <row r="3467" spans="1:14" x14ac:dyDescent="0.15">
      <c r="A3467" s="23" t="str">
        <f t="shared" si="58"/>
        <v>МИНИСТЕРСТВО ЗДРАВООХРАНЕНИЯ АМУРСКОЙ ОБЛАСТИ</v>
      </c>
      <c r="B3467" s="24" t="s">
        <v>3255</v>
      </c>
      <c r="C3467" s="25">
        <v>731652</v>
      </c>
      <c r="D3467" s="22" t="s">
        <v>5928</v>
      </c>
      <c r="E3467" s="22" t="s">
        <v>52</v>
      </c>
      <c r="F3467" s="23" t="str">
        <f>HYPERLINK("https://www.spark-marketing.ru/Card/Lot/73324906", "Поставка лекарственного препарата для медицинского применения ""Валганцикловир""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специализированны...")</f>
        <v>Поставка лекарственного препарата для медицинского применения "Валганцикловир"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специализированны...</v>
      </c>
      <c r="G3467" s="22" t="s">
        <v>210</v>
      </c>
      <c r="H3467" s="22" t="s">
        <v>3257</v>
      </c>
      <c r="I3467" s="26">
        <v>43718.724999999999</v>
      </c>
      <c r="J3467" s="28" t="s">
        <v>51</v>
      </c>
      <c r="K3467" s="28" t="s">
        <v>51</v>
      </c>
      <c r="L3467" s="28" t="s">
        <v>51</v>
      </c>
      <c r="M3467" s="28" t="s">
        <v>51</v>
      </c>
      <c r="N3467" s="28" t="s">
        <v>51</v>
      </c>
    </row>
    <row r="3468" spans="1:14" ht="12.75" hidden="1" outlineLevel="1" x14ac:dyDescent="0.2">
      <c r="A3468" s="23" t="str">
        <f t="shared" si="58"/>
        <v>МИНИСТЕРСТВО ЗДРАВООХРАНЕНИЯ АМУРСКОЙ ОБЛАСТИ</v>
      </c>
      <c r="B3468" s="24" t="s">
        <v>3255</v>
      </c>
      <c r="C3468" s="25">
        <v>731652</v>
      </c>
      <c r="D3468" s="22" t="s">
        <v>5928</v>
      </c>
      <c r="E3468" s="22" t="s">
        <v>52</v>
      </c>
      <c r="F3468" s="23" t="str">
        <f>HYPERLINK("https://www.spark-marketing.ru/Card/Lot/73324906", "Поставка лекарственного препарата для медицинского применения ""Валганцикловир""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специализированны...")</f>
        <v>Поставка лекарственного препарата для медицинского применения "Валганцикловир"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специализированны...</v>
      </c>
      <c r="G3468" s="22" t="s">
        <v>210</v>
      </c>
      <c r="H3468" s="22" t="s">
        <v>3257</v>
      </c>
      <c r="I3468" s="26">
        <v>43718.724999999999</v>
      </c>
      <c r="J3468" s="23" t="str">
        <f>HYPERLINK("https://www.spark-marketing.ru/Card/Person/370621", "ООО ""ГАРМОНИЯ""")</f>
        <v>ООО "ГАРМОНИЯ"</v>
      </c>
      <c r="K3468" s="24" t="s">
        <v>5929</v>
      </c>
      <c r="L3468" s="22" t="s">
        <v>10</v>
      </c>
      <c r="M3468" s="25">
        <v>548739</v>
      </c>
      <c r="N3468" s="27">
        <v>0.25</v>
      </c>
    </row>
    <row r="3469" spans="1:14" hidden="1" outlineLevel="1" x14ac:dyDescent="0.2">
      <c r="A3469" s="23" t="str">
        <f t="shared" si="58"/>
        <v>МИНИСТЕРСТВО ЗДРАВООХРАНЕНИЯ АМУРСКОЙ ОБЛАСТИ</v>
      </c>
      <c r="B3469" s="24" t="s">
        <v>3255</v>
      </c>
      <c r="C3469" s="25">
        <v>731652</v>
      </c>
      <c r="D3469" s="22" t="s">
        <v>5928</v>
      </c>
      <c r="E3469" s="22" t="s">
        <v>52</v>
      </c>
      <c r="F3469" s="23" t="str">
        <f>HYPERLINK("https://www.spark-marketing.ru/Card/Lot/73324906", "Поставка лекарственного препарата для медицинского применения ""Валганцикловир""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специализированны...")</f>
        <v>Поставка лекарственного препарата для медицинского применения "Валганцикловир"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специализированны...</v>
      </c>
      <c r="G3469" s="22" t="s">
        <v>210</v>
      </c>
      <c r="H3469" s="22" t="s">
        <v>3257</v>
      </c>
      <c r="I3469" s="26">
        <v>43718.724999999999</v>
      </c>
      <c r="J3469" s="23" t="str">
        <f>HYPERLINK("https://www.spark-marketing.ru/Card/Person/2584515", "ООО ""ЛЕГЕ АРТИС ФАРМ""")</f>
        <v>ООО "ЛЕГЕ АРТИС ФАРМ"</v>
      </c>
      <c r="K3469" s="24" t="s">
        <v>2458</v>
      </c>
      <c r="L3469" s="28" t="s">
        <v>51</v>
      </c>
      <c r="M3469" s="25">
        <v>551000</v>
      </c>
      <c r="N3469" s="27">
        <v>0.24690973304248467</v>
      </c>
    </row>
    <row r="3470" spans="1:14" x14ac:dyDescent="0.15">
      <c r="A3470" s="23" t="str">
        <f>HYPERLINK("https://www.spark-marketing.ru/Card/Person/999653", "МОУ ""СРЕДНЯЯ ШКОЛА № 1""")</f>
        <v>МОУ "СРЕДНЯЯ ШКОЛА № 1"</v>
      </c>
      <c r="B3470" s="24" t="s">
        <v>5930</v>
      </c>
      <c r="C3470" s="25">
        <v>182400</v>
      </c>
      <c r="D3470" s="22" t="s">
        <v>5931</v>
      </c>
      <c r="E3470" s="22" t="s">
        <v>48</v>
      </c>
      <c r="F3470" s="23" t="str">
        <f>HYPERLINK("https://www.spark-marketing.ru/Card/Lot/73334749", "Оказание услуг по организации горячего питания учащихся МОУ «Средняя школа № 1»города Кимры Тверской области")</f>
        <v>Оказание услуг по организации горячего питания учащихся МОУ «Средняя школа № 1»города Кимры Тверской области</v>
      </c>
      <c r="G3470" s="22" t="s">
        <v>137</v>
      </c>
      <c r="H3470" s="22" t="s">
        <v>1431</v>
      </c>
      <c r="I3470" s="26">
        <v>43718.716666666704</v>
      </c>
      <c r="J3470" s="28" t="s">
        <v>51</v>
      </c>
      <c r="K3470" s="28" t="s">
        <v>51</v>
      </c>
      <c r="L3470" s="28" t="s">
        <v>51</v>
      </c>
      <c r="M3470" s="28" t="s">
        <v>51</v>
      </c>
      <c r="N3470" s="28" t="s">
        <v>51</v>
      </c>
    </row>
    <row r="3471" spans="1:14" hidden="1" outlineLevel="1" x14ac:dyDescent="0.2">
      <c r="A3471" s="23" t="str">
        <f>HYPERLINK("https://www.spark-marketing.ru/Card/Person/999653", "МОУ ""СРЕДНЯЯ ШКОЛА № 1""")</f>
        <v>МОУ "СРЕДНЯЯ ШКОЛА № 1"</v>
      </c>
      <c r="B3471" s="24" t="s">
        <v>5930</v>
      </c>
      <c r="C3471" s="25">
        <v>182400</v>
      </c>
      <c r="D3471" s="22" t="s">
        <v>5931</v>
      </c>
      <c r="E3471" s="22" t="s">
        <v>48</v>
      </c>
      <c r="F3471" s="23" t="str">
        <f>HYPERLINK("https://www.spark-marketing.ru/Card/Lot/73334749", "Оказание услуг по организации горячего питания учащихся МОУ «Средняя школа № 1»города Кимры Тверской области")</f>
        <v>Оказание услуг по организации горячего питания учащихся МОУ «Средняя школа № 1»города Кимры Тверской области</v>
      </c>
      <c r="G3471" s="22" t="s">
        <v>137</v>
      </c>
      <c r="H3471" s="22" t="s">
        <v>1431</v>
      </c>
      <c r="I3471" s="26">
        <v>43718.716666666704</v>
      </c>
      <c r="J3471" s="23" t="str">
        <f>HYPERLINK("https://www.spark-marketing.ru/Card/Person/331373", "Платонова Елена Павловна")</f>
        <v>Платонова Елена Павловна</v>
      </c>
      <c r="K3471" s="24" t="s">
        <v>1433</v>
      </c>
      <c r="L3471" s="28" t="s">
        <v>51</v>
      </c>
      <c r="M3471" s="25">
        <v>20582.060000000001</v>
      </c>
      <c r="N3471" s="27">
        <v>0.88715975877192987</v>
      </c>
    </row>
    <row r="3472" spans="1:14" ht="12.75" hidden="1" outlineLevel="1" x14ac:dyDescent="0.2">
      <c r="A3472" s="23" t="str">
        <f>HYPERLINK("https://www.spark-marketing.ru/Card/Person/999653", "МОУ ""СРЕДНЯЯ ШКОЛА № 1""")</f>
        <v>МОУ "СРЕДНЯЯ ШКОЛА № 1"</v>
      </c>
      <c r="B3472" s="24" t="s">
        <v>5930</v>
      </c>
      <c r="C3472" s="25">
        <v>182400</v>
      </c>
      <c r="D3472" s="22" t="s">
        <v>5931</v>
      </c>
      <c r="E3472" s="22" t="s">
        <v>48</v>
      </c>
      <c r="F3472" s="23" t="str">
        <f>HYPERLINK("https://www.spark-marketing.ru/Card/Lot/73334749", "Оказание услуг по организации горячего питания учащихся МОУ «Средняя школа № 1»города Кимры Тверской области")</f>
        <v>Оказание услуг по организации горячего питания учащихся МОУ «Средняя школа № 1»города Кимры Тверской области</v>
      </c>
      <c r="G3472" s="22" t="s">
        <v>137</v>
      </c>
      <c r="H3472" s="22" t="s">
        <v>1431</v>
      </c>
      <c r="I3472" s="26">
        <v>43718.716666666704</v>
      </c>
      <c r="J3472" s="23" t="str">
        <f>HYPERLINK("https://www.spark-marketing.ru/Card/Person/622548", "Лукьянова Мария Анатольевна")</f>
        <v>Лукьянова Мария Анатольевна</v>
      </c>
      <c r="K3472" s="24" t="s">
        <v>1432</v>
      </c>
      <c r="L3472" s="22" t="s">
        <v>10</v>
      </c>
      <c r="M3472" s="25">
        <v>21494.06</v>
      </c>
      <c r="N3472" s="27">
        <v>0.88215975877192987</v>
      </c>
    </row>
    <row r="3473" spans="1:14" x14ac:dyDescent="0.15">
      <c r="A3473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473" s="24" t="s">
        <v>3255</v>
      </c>
      <c r="C3473" s="25">
        <v>1191574.44</v>
      </c>
      <c r="D3473" s="22" t="s">
        <v>5932</v>
      </c>
      <c r="E3473" s="22" t="s">
        <v>52</v>
      </c>
      <c r="F3473" s="23" t="str">
        <f>HYPERLINK("https://www.spark-marketing.ru/Card/Lot/73327099", "Поставка лекарственного препарата для медицинского применения ""Этанерцепт""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п...")</f>
        <v>Поставка лекарственного препарата для медицинского применения "Этанерцепт"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</v>
      </c>
      <c r="G3473" s="22" t="s">
        <v>210</v>
      </c>
      <c r="H3473" s="22" t="s">
        <v>3257</v>
      </c>
      <c r="I3473" s="26">
        <v>43718.724999999999</v>
      </c>
      <c r="J3473" s="23" t="str">
        <f>HYPERLINK("https://www.spark-marketing.ru/Card/Person/4903748", "ООО ""КОНДОР""")</f>
        <v>ООО "КОНДОР"</v>
      </c>
      <c r="K3473" s="24" t="s">
        <v>4848</v>
      </c>
      <c r="L3473" s="22" t="s">
        <v>10</v>
      </c>
      <c r="M3473" s="28" t="s">
        <v>51</v>
      </c>
      <c r="N3473" s="28" t="s">
        <v>51</v>
      </c>
    </row>
    <row r="3474" spans="1:14" x14ac:dyDescent="0.15">
      <c r="A347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474" s="24" t="s">
        <v>3255</v>
      </c>
      <c r="C3474" s="25">
        <v>2125154.7599999998</v>
      </c>
      <c r="D3474" s="22" t="s">
        <v>5933</v>
      </c>
      <c r="E3474" s="22" t="s">
        <v>52</v>
      </c>
      <c r="F3474" s="23" t="str">
        <f>HYPERLINK("https://www.spark-marketing.ru/Card/Lot/73325002", "Поставка лекарственного препарата для медицинского применения ""Ривароксабан""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специализированными...")</f>
        <v>Поставка лекарственного препарата для медицинского применения "Ривароксабан"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специализированными...</v>
      </c>
      <c r="G3474" s="22" t="s">
        <v>210</v>
      </c>
      <c r="H3474" s="22" t="s">
        <v>3257</v>
      </c>
      <c r="I3474" s="26">
        <v>43718.734027777798</v>
      </c>
      <c r="J3474" s="23" t="str">
        <f>HYPERLINK("https://www.spark-marketing.ru/Card/Person/5915525", "ООО ""МЕДФАРМ""")</f>
        <v>ООО "МЕДФАРМ"</v>
      </c>
      <c r="K3474" s="24" t="s">
        <v>2340</v>
      </c>
      <c r="L3474" s="22" t="s">
        <v>10</v>
      </c>
      <c r="M3474" s="28" t="s">
        <v>51</v>
      </c>
      <c r="N3474" s="28" t="s">
        <v>51</v>
      </c>
    </row>
    <row r="3475" spans="1:14" x14ac:dyDescent="0.15">
      <c r="A3475" s="23" t="str">
        <f>HYPERLINK("https://www.spark-marketing.ru/Card/Person/736670", "МОБУ ООШ №3 Г.БЛАГОВЕЩЕНСКА")</f>
        <v>МОБУ ООШ №3 Г.БЛАГОВЕЩЕНСКА</v>
      </c>
      <c r="B3475" s="24" t="s">
        <v>5934</v>
      </c>
      <c r="C3475" s="25">
        <v>197175</v>
      </c>
      <c r="D3475" s="22" t="s">
        <v>5935</v>
      </c>
      <c r="E3475" s="22" t="s">
        <v>48</v>
      </c>
      <c r="F3475" s="23" t="str">
        <f>HYPERLINK("https://www.spark-marketing.ru/Card/Lot/73335019",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475" s="22" t="s">
        <v>145</v>
      </c>
      <c r="H3475" s="22" t="s">
        <v>3257</v>
      </c>
      <c r="I3475" s="26">
        <v>43718.753472222197</v>
      </c>
      <c r="J3475" s="28" t="s">
        <v>51</v>
      </c>
      <c r="K3475" s="28" t="s">
        <v>51</v>
      </c>
      <c r="L3475" s="28" t="s">
        <v>51</v>
      </c>
      <c r="M3475" s="28" t="s">
        <v>51</v>
      </c>
      <c r="N3475" s="28" t="s">
        <v>51</v>
      </c>
    </row>
    <row r="3476" spans="1:14" ht="12.75" hidden="1" outlineLevel="1" x14ac:dyDescent="0.2">
      <c r="A3476" s="23" t="str">
        <f>HYPERLINK("https://www.spark-marketing.ru/Card/Person/736670", "МОБУ ООШ №3 Г.БЛАГОВЕЩЕНСКА")</f>
        <v>МОБУ ООШ №3 Г.БЛАГОВЕЩЕНСКА</v>
      </c>
      <c r="B3476" s="24" t="s">
        <v>5934</v>
      </c>
      <c r="C3476" s="25">
        <v>197175</v>
      </c>
      <c r="D3476" s="22" t="s">
        <v>5935</v>
      </c>
      <c r="E3476" s="22" t="s">
        <v>48</v>
      </c>
      <c r="F3476" s="23" t="str">
        <f>HYPERLINK("https://www.spark-marketing.ru/Card/Lot/73335019",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476" s="22" t="s">
        <v>145</v>
      </c>
      <c r="H3476" s="22" t="s">
        <v>3257</v>
      </c>
      <c r="I3476" s="26">
        <v>43718.753472222197</v>
      </c>
      <c r="J3476" s="23" t="str">
        <f>HYPERLINK("https://www.spark-marketing.ru/Card/Person/87029", "ООО ФИРМА ""ДОМОУСТРОИТЕЛЬ""")</f>
        <v>ООО ФИРМА "ДОМОУСТРОИТЕЛЬ"</v>
      </c>
      <c r="K3476" s="24" t="s">
        <v>5798</v>
      </c>
      <c r="L3476" s="22" t="s">
        <v>10</v>
      </c>
      <c r="M3476" s="25">
        <v>178860</v>
      </c>
      <c r="N3476" s="27">
        <v>9.2887029288702933E-2</v>
      </c>
    </row>
    <row r="3477" spans="1:14" hidden="1" outlineLevel="1" x14ac:dyDescent="0.2">
      <c r="A3477" s="23" t="str">
        <f>HYPERLINK("https://www.spark-marketing.ru/Card/Person/736670", "МОБУ ООШ №3 Г.БЛАГОВЕЩЕНСКА")</f>
        <v>МОБУ ООШ №3 Г.БЛАГОВЕЩЕНСКА</v>
      </c>
      <c r="B3477" s="24" t="s">
        <v>5934</v>
      </c>
      <c r="C3477" s="25">
        <v>197175</v>
      </c>
      <c r="D3477" s="22" t="s">
        <v>5935</v>
      </c>
      <c r="E3477" s="22" t="s">
        <v>48</v>
      </c>
      <c r="F3477" s="23" t="str">
        <f>HYPERLINK("https://www.spark-marketing.ru/Card/Lot/73335019",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477" s="22" t="s">
        <v>145</v>
      </c>
      <c r="H3477" s="22" t="s">
        <v>3257</v>
      </c>
      <c r="I3477" s="26">
        <v>43718.753472222197</v>
      </c>
      <c r="J3477" s="23" t="str">
        <f>HYPERLINK("https://www.spark-marketing.ru/Card/Person/201517", "ООО ""ВАРИАНТ""")</f>
        <v>ООО "ВАРИАНТ"</v>
      </c>
      <c r="K3477" s="24" t="s">
        <v>5799</v>
      </c>
      <c r="L3477" s="28" t="s">
        <v>51</v>
      </c>
      <c r="M3477" s="25">
        <v>197175</v>
      </c>
      <c r="N3477" s="27">
        <v>0</v>
      </c>
    </row>
    <row r="3478" spans="1:14" hidden="1" outlineLevel="1" x14ac:dyDescent="0.2">
      <c r="A3478" s="23" t="str">
        <f>HYPERLINK("https://www.spark-marketing.ru/Card/Person/736670", "МОБУ ООШ №3 Г.БЛАГОВЕЩЕНСКА")</f>
        <v>МОБУ ООШ №3 Г.БЛАГОВЕЩЕНСКА</v>
      </c>
      <c r="B3478" s="24" t="s">
        <v>5934</v>
      </c>
      <c r="C3478" s="25">
        <v>197175</v>
      </c>
      <c r="D3478" s="22" t="s">
        <v>5935</v>
      </c>
      <c r="E3478" s="22" t="s">
        <v>48</v>
      </c>
      <c r="F3478" s="23" t="str">
        <f>HYPERLINK("https://www.spark-marketing.ru/Card/Lot/73335019",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478" s="22" t="s">
        <v>145</v>
      </c>
      <c r="H3478" s="22" t="s">
        <v>3257</v>
      </c>
      <c r="I3478" s="26">
        <v>43718.753472222197</v>
      </c>
      <c r="J3478" s="23" t="str">
        <f>HYPERLINK("https://www.spark-marketing.ru/Card/Person/145110", "ООО ""ТК ""ЗК""")</f>
        <v>ООО "ТК "ЗК"</v>
      </c>
      <c r="K3478" s="24" t="s">
        <v>5800</v>
      </c>
      <c r="L3478" s="28" t="s">
        <v>51</v>
      </c>
      <c r="M3478" s="25">
        <v>163655.25</v>
      </c>
      <c r="N3478" s="27">
        <v>0.17</v>
      </c>
    </row>
    <row r="3479" spans="1:14" hidden="1" outlineLevel="1" x14ac:dyDescent="0.2">
      <c r="A3479" s="23" t="str">
        <f>HYPERLINK("https://www.spark-marketing.ru/Card/Person/736670", "МОБУ ООШ №3 Г.БЛАГОВЕЩЕНСКА")</f>
        <v>МОБУ ООШ №3 Г.БЛАГОВЕЩЕНСКА</v>
      </c>
      <c r="B3479" s="24" t="s">
        <v>5934</v>
      </c>
      <c r="C3479" s="25">
        <v>197175</v>
      </c>
      <c r="D3479" s="22" t="s">
        <v>5935</v>
      </c>
      <c r="E3479" s="22" t="s">
        <v>48</v>
      </c>
      <c r="F3479" s="23" t="str">
        <f>HYPERLINK("https://www.spark-marketing.ru/Card/Lot/73335019",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479" s="22" t="s">
        <v>145</v>
      </c>
      <c r="H3479" s="22" t="s">
        <v>3257</v>
      </c>
      <c r="I3479" s="26">
        <v>43718.753472222197</v>
      </c>
      <c r="J3479" s="23" t="str">
        <f>HYPERLINK("https://www.spark-marketing.ru/Card/Person/6704775", "ООО ""ЭКСПРЕСС""")</f>
        <v>ООО "ЭКСПРЕСС"</v>
      </c>
      <c r="K3479" s="24" t="s">
        <v>5801</v>
      </c>
      <c r="L3479" s="28" t="s">
        <v>51</v>
      </c>
      <c r="M3479" s="25">
        <v>188100</v>
      </c>
      <c r="N3479" s="27">
        <v>4.6025104602510462E-2</v>
      </c>
    </row>
    <row r="3480" spans="1:14" x14ac:dyDescent="0.15">
      <c r="A3480" s="23" t="str">
        <f>HYPERLINK("https://www.spark-marketing.ru/Card/Person/734331", "МОБУ СОШ № 4 ИМ. А.Я.ПЕРШИНА Г. БЛАГОВЕЩЕНСКА")</f>
        <v>МОБУ СОШ № 4 ИМ. А.Я.ПЕРШИНА Г. БЛАГОВЕЩЕНСКА</v>
      </c>
      <c r="B3480" s="24" t="s">
        <v>5796</v>
      </c>
      <c r="C3480" s="25">
        <v>345125</v>
      </c>
      <c r="D3480" s="22" t="s">
        <v>5936</v>
      </c>
      <c r="E3480" s="22" t="s">
        <v>48</v>
      </c>
      <c r="F3480" s="23" t="str">
        <f>HYPERLINK("https://www.spark-marketing.ru/Card/Lot/73333284",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480" s="22" t="s">
        <v>145</v>
      </c>
      <c r="H3480" s="22" t="s">
        <v>3257</v>
      </c>
      <c r="I3480" s="26">
        <v>43718.752083333296</v>
      </c>
      <c r="J3480" s="28" t="s">
        <v>51</v>
      </c>
      <c r="K3480" s="28" t="s">
        <v>51</v>
      </c>
      <c r="L3480" s="28" t="s">
        <v>51</v>
      </c>
      <c r="M3480" s="28" t="s">
        <v>51</v>
      </c>
      <c r="N3480" s="28" t="s">
        <v>51</v>
      </c>
    </row>
    <row r="3481" spans="1:14" ht="12.75" hidden="1" outlineLevel="1" x14ac:dyDescent="0.2">
      <c r="A3481" s="23" t="str">
        <f>HYPERLINK("https://www.spark-marketing.ru/Card/Person/734331", "МОБУ СОШ № 4 ИМ. А.Я.ПЕРШИНА Г. БЛАГОВЕЩЕНСКА")</f>
        <v>МОБУ СОШ № 4 ИМ. А.Я.ПЕРШИНА Г. БЛАГОВЕЩЕНСКА</v>
      </c>
      <c r="B3481" s="24" t="s">
        <v>5796</v>
      </c>
      <c r="C3481" s="25">
        <v>345125</v>
      </c>
      <c r="D3481" s="22" t="s">
        <v>5936</v>
      </c>
      <c r="E3481" s="22" t="s">
        <v>48</v>
      </c>
      <c r="F3481" s="23" t="str">
        <f>HYPERLINK("https://www.spark-marketing.ru/Card/Lot/73333284",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481" s="22" t="s">
        <v>145</v>
      </c>
      <c r="H3481" s="22" t="s">
        <v>3257</v>
      </c>
      <c r="I3481" s="26">
        <v>43718.752083333296</v>
      </c>
      <c r="J3481" s="23" t="str">
        <f>HYPERLINK("https://www.spark-marketing.ru/Card/Person/87029", "ООО ФИРМА ""ДОМОУСТРОИТЕЛЬ""")</f>
        <v>ООО ФИРМА "ДОМОУСТРОИТЕЛЬ"</v>
      </c>
      <c r="K3481" s="24" t="s">
        <v>5798</v>
      </c>
      <c r="L3481" s="22" t="s">
        <v>10</v>
      </c>
      <c r="M3481" s="25">
        <v>310200</v>
      </c>
      <c r="N3481" s="27">
        <v>0.10119521912350597</v>
      </c>
    </row>
    <row r="3482" spans="1:14" hidden="1" outlineLevel="1" x14ac:dyDescent="0.2">
      <c r="A3482" s="23" t="str">
        <f>HYPERLINK("https://www.spark-marketing.ru/Card/Person/734331", "МОБУ СОШ № 4 ИМ. А.Я.ПЕРШИНА Г. БЛАГОВЕЩЕНСКА")</f>
        <v>МОБУ СОШ № 4 ИМ. А.Я.ПЕРШИНА Г. БЛАГОВЕЩЕНСКА</v>
      </c>
      <c r="B3482" s="24" t="s">
        <v>5796</v>
      </c>
      <c r="C3482" s="25">
        <v>345125</v>
      </c>
      <c r="D3482" s="22" t="s">
        <v>5936</v>
      </c>
      <c r="E3482" s="22" t="s">
        <v>48</v>
      </c>
      <c r="F3482" s="23" t="str">
        <f>HYPERLINK("https://www.spark-marketing.ru/Card/Lot/73333284",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482" s="22" t="s">
        <v>145</v>
      </c>
      <c r="H3482" s="22" t="s">
        <v>3257</v>
      </c>
      <c r="I3482" s="26">
        <v>43718.752083333296</v>
      </c>
      <c r="J3482" s="23" t="str">
        <f>HYPERLINK("https://www.spark-marketing.ru/Card/Person/6704775", "ООО ""ЭКСПРЕСС""")</f>
        <v>ООО "ЭКСПРЕСС"</v>
      </c>
      <c r="K3482" s="24" t="s">
        <v>5801</v>
      </c>
      <c r="L3482" s="28" t="s">
        <v>51</v>
      </c>
      <c r="M3482" s="25">
        <v>319000</v>
      </c>
      <c r="N3482" s="27">
        <v>7.5697211155378488E-2</v>
      </c>
    </row>
    <row r="3483" spans="1:14" hidden="1" outlineLevel="1" x14ac:dyDescent="0.2">
      <c r="A3483" s="23" t="str">
        <f>HYPERLINK("https://www.spark-marketing.ru/Card/Person/734331", "МОБУ СОШ № 4 ИМ. А.Я.ПЕРШИНА Г. БЛАГОВЕЩЕНСКА")</f>
        <v>МОБУ СОШ № 4 ИМ. А.Я.ПЕРШИНА Г. БЛАГОВЕЩЕНСКА</v>
      </c>
      <c r="B3483" s="24" t="s">
        <v>5796</v>
      </c>
      <c r="C3483" s="25">
        <v>345125</v>
      </c>
      <c r="D3483" s="22" t="s">
        <v>5936</v>
      </c>
      <c r="E3483" s="22" t="s">
        <v>48</v>
      </c>
      <c r="F3483" s="23" t="str">
        <f>HYPERLINK("https://www.spark-marketing.ru/Card/Lot/73333284",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483" s="22" t="s">
        <v>145</v>
      </c>
      <c r="H3483" s="22" t="s">
        <v>3257</v>
      </c>
      <c r="I3483" s="26">
        <v>43718.752083333296</v>
      </c>
      <c r="J3483" s="23" t="str">
        <f>HYPERLINK("https://www.spark-marketing.ru/Card/Person/201517", "ООО ""ВАРИАНТ""")</f>
        <v>ООО "ВАРИАНТ"</v>
      </c>
      <c r="K3483" s="24" t="s">
        <v>5799</v>
      </c>
      <c r="L3483" s="28" t="s">
        <v>51</v>
      </c>
      <c r="M3483" s="25">
        <v>345125</v>
      </c>
      <c r="N3483" s="27">
        <v>0</v>
      </c>
    </row>
    <row r="3484" spans="1:14" hidden="1" outlineLevel="1" x14ac:dyDescent="0.2">
      <c r="A3484" s="23" t="str">
        <f>HYPERLINK("https://www.spark-marketing.ru/Card/Person/734331", "МОБУ СОШ № 4 ИМ. А.Я.ПЕРШИНА Г. БЛАГОВЕЩЕНСКА")</f>
        <v>МОБУ СОШ № 4 ИМ. А.Я.ПЕРШИНА Г. БЛАГОВЕЩЕНСКА</v>
      </c>
      <c r="B3484" s="24" t="s">
        <v>5796</v>
      </c>
      <c r="C3484" s="25">
        <v>345125</v>
      </c>
      <c r="D3484" s="22" t="s">
        <v>5936</v>
      </c>
      <c r="E3484" s="22" t="s">
        <v>48</v>
      </c>
      <c r="F3484" s="23" t="str">
        <f>HYPERLINK("https://www.spark-marketing.ru/Card/Lot/73333284",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484" s="22" t="s">
        <v>145</v>
      </c>
      <c r="H3484" s="22" t="s">
        <v>3257</v>
      </c>
      <c r="I3484" s="26">
        <v>43718.752083333296</v>
      </c>
      <c r="J3484" s="23" t="str">
        <f>HYPERLINK("https://www.spark-marketing.ru/Card/Person/145110", "ООО ""ТК ""ЗК""")</f>
        <v>ООО "ТК "ЗК"</v>
      </c>
      <c r="K3484" s="24" t="s">
        <v>5800</v>
      </c>
      <c r="L3484" s="28" t="s">
        <v>51</v>
      </c>
      <c r="M3484" s="25">
        <v>286453.75</v>
      </c>
      <c r="N3484" s="27">
        <v>0.17</v>
      </c>
    </row>
    <row r="3485" spans="1:14" x14ac:dyDescent="0.15">
      <c r="A3485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3485" s="24" t="s">
        <v>2576</v>
      </c>
      <c r="C3485" s="25">
        <v>82533.33</v>
      </c>
      <c r="D3485" s="22" t="s">
        <v>5937</v>
      </c>
      <c r="E3485" s="22" t="s">
        <v>91</v>
      </c>
      <c r="F3485" s="23" t="str">
        <f>HYPERLINK("https://www.spark-marketing.ru/Card/Lot/73332060", "Оказание услуг по регламентно-профилактическому ремонту источника бесперебойного питания для обеспечения нужд Управления Федерального казначейства по Смоленской области.")</f>
        <v>Оказание услуг по регламентно-профилактическому ремонту источника бесперебойного питания для обеспечения нужд Управления Федерального казначейства по Смоленской области.</v>
      </c>
      <c r="G3485" s="22" t="s">
        <v>460</v>
      </c>
      <c r="H3485" s="22" t="s">
        <v>460</v>
      </c>
      <c r="I3485" s="26">
        <v>43718.688194444403</v>
      </c>
      <c r="J3485" s="28" t="s">
        <v>51</v>
      </c>
      <c r="K3485" s="28" t="s">
        <v>51</v>
      </c>
      <c r="L3485" s="28" t="s">
        <v>51</v>
      </c>
      <c r="M3485" s="28" t="s">
        <v>51</v>
      </c>
      <c r="N3485" s="28" t="s">
        <v>51</v>
      </c>
    </row>
    <row r="3486" spans="1:14" ht="12.75" hidden="1" outlineLevel="1" x14ac:dyDescent="0.2">
      <c r="A3486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3486" s="24" t="s">
        <v>2576</v>
      </c>
      <c r="C3486" s="25">
        <v>82533.33</v>
      </c>
      <c r="D3486" s="22" t="s">
        <v>5937</v>
      </c>
      <c r="E3486" s="22" t="s">
        <v>91</v>
      </c>
      <c r="F3486" s="23" t="str">
        <f>HYPERLINK("https://www.spark-marketing.ru/Card/Lot/73332060", "Оказание услуг по регламентно-профилактическому ремонту источника бесперебойного питания для обеспечения нужд Управления Федерального казначейства по Смоленской области.")</f>
        <v>Оказание услуг по регламентно-профилактическому ремонту источника бесперебойного питания для обеспечения нужд Управления Федерального казначейства по Смоленской области.</v>
      </c>
      <c r="G3486" s="22" t="s">
        <v>460</v>
      </c>
      <c r="H3486" s="22" t="s">
        <v>460</v>
      </c>
      <c r="I3486" s="26">
        <v>43718.688194444403</v>
      </c>
      <c r="J3486" s="23" t="str">
        <f>HYPERLINK("https://www.spark-marketing.ru/Card/Person/352743", "ООО ""КЛИМАТ-Т""")</f>
        <v>ООО "КЛИМАТ-Т"</v>
      </c>
      <c r="K3486" s="24" t="s">
        <v>5938</v>
      </c>
      <c r="L3486" s="22" t="s">
        <v>10</v>
      </c>
      <c r="M3486" s="25">
        <v>60249.15</v>
      </c>
      <c r="N3486" s="27">
        <v>0.27000219184176866</v>
      </c>
    </row>
    <row r="3487" spans="1:14" hidden="1" outlineLevel="1" x14ac:dyDescent="0.2">
      <c r="A3487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3487" s="24" t="s">
        <v>2576</v>
      </c>
      <c r="C3487" s="25">
        <v>82533.33</v>
      </c>
      <c r="D3487" s="22" t="s">
        <v>5937</v>
      </c>
      <c r="E3487" s="22" t="s">
        <v>91</v>
      </c>
      <c r="F3487" s="23" t="str">
        <f>HYPERLINK("https://www.spark-marketing.ru/Card/Lot/73332060", "Оказание услуг по регламентно-профилактическому ремонту источника бесперебойного питания для обеспечения нужд Управления Федерального казначейства по Смоленской области.")</f>
        <v>Оказание услуг по регламентно-профилактическому ремонту источника бесперебойного питания для обеспечения нужд Управления Федерального казначейства по Смоленской области.</v>
      </c>
      <c r="G3487" s="22" t="s">
        <v>460</v>
      </c>
      <c r="H3487" s="22" t="s">
        <v>460</v>
      </c>
      <c r="I3487" s="26">
        <v>43718.688194444403</v>
      </c>
      <c r="J3487" s="23" t="str">
        <f>HYPERLINK("https://www.spark-marketing.ru/Card/Person/88033", "ООО ""ЦЕНТРЭЛЕКТРОСВЯЗЬ""")</f>
        <v>ООО "ЦЕНТРЭЛЕКТРОСВЯЗЬ"</v>
      </c>
      <c r="K3487" s="24" t="s">
        <v>3397</v>
      </c>
      <c r="L3487" s="28" t="s">
        <v>51</v>
      </c>
      <c r="M3487" s="25">
        <v>60661.82</v>
      </c>
      <c r="N3487" s="27">
        <v>0.26500215125210624</v>
      </c>
    </row>
    <row r="3488" spans="1:14" hidden="1" outlineLevel="1" x14ac:dyDescent="0.2">
      <c r="A3488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3488" s="24" t="s">
        <v>2576</v>
      </c>
      <c r="C3488" s="25">
        <v>82533.33</v>
      </c>
      <c r="D3488" s="22" t="s">
        <v>5937</v>
      </c>
      <c r="E3488" s="22" t="s">
        <v>91</v>
      </c>
      <c r="F3488" s="23" t="str">
        <f>HYPERLINK("https://www.spark-marketing.ru/Card/Lot/73332060", "Оказание услуг по регламентно-профилактическому ремонту источника бесперебойного питания для обеспечения нужд Управления Федерального казначейства по Смоленской области.")</f>
        <v>Оказание услуг по регламентно-профилактическому ремонту источника бесперебойного питания для обеспечения нужд Управления Федерального казначейства по Смоленской области.</v>
      </c>
      <c r="G3488" s="22" t="s">
        <v>460</v>
      </c>
      <c r="H3488" s="22" t="s">
        <v>460</v>
      </c>
      <c r="I3488" s="26">
        <v>43718.688194444403</v>
      </c>
      <c r="J3488" s="23" t="str">
        <f>HYPERLINK("https://www.spark-marketing.ru/Card/Person/15106", "ООО ""ПКФ ""НОВАЯ ЦЕФЕЯ""")</f>
        <v>ООО "ПКФ "НОВАЯ ЦЕФЕЯ"</v>
      </c>
      <c r="K3488" s="24" t="s">
        <v>5939</v>
      </c>
      <c r="L3488" s="28" t="s">
        <v>51</v>
      </c>
      <c r="M3488" s="25">
        <v>66439.199999999997</v>
      </c>
      <c r="N3488" s="27">
        <v>0.19500158299683293</v>
      </c>
    </row>
    <row r="3489" spans="1:14" x14ac:dyDescent="0.15">
      <c r="A3489" s="23" t="str">
        <f>HYPERLINK("https://www.spark-marketing.ru/Card/Person/736757", "МОБУ ГИМНАЗИЯ № 1 Г. БЛАГОВЕЩЕНСКА")</f>
        <v>МОБУ ГИМНАЗИЯ № 1 Г. БЛАГОВЕЩЕНСКА</v>
      </c>
      <c r="B3489" s="24" t="s">
        <v>5805</v>
      </c>
      <c r="C3489" s="25">
        <v>143550</v>
      </c>
      <c r="D3489" s="22" t="s">
        <v>5940</v>
      </c>
      <c r="E3489" s="22" t="s">
        <v>48</v>
      </c>
      <c r="F3489" s="23" t="str">
        <f>HYPERLINK("https://www.spark-marketing.ru/Card/Lot/73332660",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</v>
      </c>
      <c r="G3489" s="22" t="s">
        <v>145</v>
      </c>
      <c r="H3489" s="22" t="s">
        <v>3257</v>
      </c>
      <c r="I3489" s="26">
        <v>43718.753472222197</v>
      </c>
      <c r="J3489" s="28" t="s">
        <v>51</v>
      </c>
      <c r="K3489" s="28" t="s">
        <v>51</v>
      </c>
      <c r="L3489" s="28" t="s">
        <v>51</v>
      </c>
      <c r="M3489" s="28" t="s">
        <v>51</v>
      </c>
      <c r="N3489" s="28" t="s">
        <v>51</v>
      </c>
    </row>
    <row r="3490" spans="1:14" hidden="1" outlineLevel="1" x14ac:dyDescent="0.2">
      <c r="A3490" s="23" t="str">
        <f>HYPERLINK("https://www.spark-marketing.ru/Card/Person/736757", "МОБУ ГИМНАЗИЯ № 1 Г. БЛАГОВЕЩЕНСКА")</f>
        <v>МОБУ ГИМНАЗИЯ № 1 Г. БЛАГОВЕЩЕНСКА</v>
      </c>
      <c r="B3490" s="24" t="s">
        <v>5805</v>
      </c>
      <c r="C3490" s="25">
        <v>143550</v>
      </c>
      <c r="D3490" s="22" t="s">
        <v>5940</v>
      </c>
      <c r="E3490" s="22" t="s">
        <v>48</v>
      </c>
      <c r="F3490" s="23" t="str">
        <f>HYPERLINK("https://www.spark-marketing.ru/Card/Lot/73332660",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</v>
      </c>
      <c r="G3490" s="22" t="s">
        <v>145</v>
      </c>
      <c r="H3490" s="22" t="s">
        <v>3257</v>
      </c>
      <c r="I3490" s="26">
        <v>43718.753472222197</v>
      </c>
      <c r="J3490" s="23" t="str">
        <f>HYPERLINK("https://www.spark-marketing.ru/Card/Person/145110", "ООО ""ТК ""ЗК""")</f>
        <v>ООО "ТК "ЗК"</v>
      </c>
      <c r="K3490" s="24" t="s">
        <v>5800</v>
      </c>
      <c r="L3490" s="28" t="s">
        <v>51</v>
      </c>
      <c r="M3490" s="25">
        <v>119146.5</v>
      </c>
      <c r="N3490" s="27">
        <v>0.17</v>
      </c>
    </row>
    <row r="3491" spans="1:14" ht="12.75" hidden="1" outlineLevel="1" x14ac:dyDescent="0.2">
      <c r="A3491" s="23" t="str">
        <f>HYPERLINK("https://www.spark-marketing.ru/Card/Person/736757", "МОБУ ГИМНАЗИЯ № 1 Г. БЛАГОВЕЩЕНСКА")</f>
        <v>МОБУ ГИМНАЗИЯ № 1 Г. БЛАГОВЕЩЕНСКА</v>
      </c>
      <c r="B3491" s="24" t="s">
        <v>5805</v>
      </c>
      <c r="C3491" s="25">
        <v>143550</v>
      </c>
      <c r="D3491" s="22" t="s">
        <v>5940</v>
      </c>
      <c r="E3491" s="22" t="s">
        <v>48</v>
      </c>
      <c r="F3491" s="23" t="str">
        <f>HYPERLINK("https://www.spark-marketing.ru/Card/Lot/73332660",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</v>
      </c>
      <c r="G3491" s="22" t="s">
        <v>145</v>
      </c>
      <c r="H3491" s="22" t="s">
        <v>3257</v>
      </c>
      <c r="I3491" s="26">
        <v>43718.753472222197</v>
      </c>
      <c r="J3491" s="23" t="str">
        <f>HYPERLINK("https://www.spark-marketing.ru/Card/Person/87029", "ООО ФИРМА ""ДОМОУСТРОИТЕЛЬ""")</f>
        <v>ООО ФИРМА "ДОМОУСТРОИТЕЛЬ"</v>
      </c>
      <c r="K3491" s="24" t="s">
        <v>5798</v>
      </c>
      <c r="L3491" s="22" t="s">
        <v>10</v>
      </c>
      <c r="M3491" s="25">
        <v>127600</v>
      </c>
      <c r="N3491" s="27">
        <v>0.1111111111111111</v>
      </c>
    </row>
    <row r="3492" spans="1:14" hidden="1" outlineLevel="1" x14ac:dyDescent="0.2">
      <c r="A3492" s="23" t="str">
        <f>HYPERLINK("https://www.spark-marketing.ru/Card/Person/736757", "МОБУ ГИМНАЗИЯ № 1 Г. БЛАГОВЕЩЕНСКА")</f>
        <v>МОБУ ГИМНАЗИЯ № 1 Г. БЛАГОВЕЩЕНСКА</v>
      </c>
      <c r="B3492" s="24" t="s">
        <v>5805</v>
      </c>
      <c r="C3492" s="25">
        <v>143550</v>
      </c>
      <c r="D3492" s="22" t="s">
        <v>5940</v>
      </c>
      <c r="E3492" s="22" t="s">
        <v>48</v>
      </c>
      <c r="F3492" s="23" t="str">
        <f>HYPERLINK("https://www.spark-marketing.ru/Card/Lot/73332660",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</v>
      </c>
      <c r="G3492" s="22" t="s">
        <v>145</v>
      </c>
      <c r="H3492" s="22" t="s">
        <v>3257</v>
      </c>
      <c r="I3492" s="26">
        <v>43718.753472222197</v>
      </c>
      <c r="J3492" s="23" t="str">
        <f>HYPERLINK("https://www.spark-marketing.ru/Card/Person/201517", "ООО ""ВАРИАНТ""")</f>
        <v>ООО "ВАРИАНТ"</v>
      </c>
      <c r="K3492" s="24" t="s">
        <v>5799</v>
      </c>
      <c r="L3492" s="28" t="s">
        <v>51</v>
      </c>
      <c r="M3492" s="25">
        <v>143550</v>
      </c>
      <c r="N3492" s="27">
        <v>0</v>
      </c>
    </row>
    <row r="3493" spans="1:14" hidden="1" outlineLevel="1" x14ac:dyDescent="0.2">
      <c r="A3493" s="23" t="str">
        <f>HYPERLINK("https://www.spark-marketing.ru/Card/Person/736757", "МОБУ ГИМНАЗИЯ № 1 Г. БЛАГОВЕЩЕНСКА")</f>
        <v>МОБУ ГИМНАЗИЯ № 1 Г. БЛАГОВЕЩЕНСКА</v>
      </c>
      <c r="B3493" s="24" t="s">
        <v>5805</v>
      </c>
      <c r="C3493" s="25">
        <v>143550</v>
      </c>
      <c r="D3493" s="22" t="s">
        <v>5940</v>
      </c>
      <c r="E3493" s="22" t="s">
        <v>48</v>
      </c>
      <c r="F3493" s="23" t="str">
        <f>HYPERLINK("https://www.spark-marketing.ru/Card/Lot/73332660",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</v>
      </c>
      <c r="G3493" s="22" t="s">
        <v>145</v>
      </c>
      <c r="H3493" s="22" t="s">
        <v>3257</v>
      </c>
      <c r="I3493" s="26">
        <v>43718.753472222197</v>
      </c>
      <c r="J3493" s="23" t="str">
        <f>HYPERLINK("https://www.spark-marketing.ru/Card/Person/6704775", "ООО ""ЭКСПРЕСС""")</f>
        <v>ООО "ЭКСПРЕСС"</v>
      </c>
      <c r="K3493" s="24" t="s">
        <v>5801</v>
      </c>
      <c r="L3493" s="28" t="s">
        <v>51</v>
      </c>
      <c r="M3493" s="25">
        <v>127600</v>
      </c>
      <c r="N3493" s="27">
        <v>0.1111111111111111</v>
      </c>
    </row>
    <row r="3494" spans="1:14" x14ac:dyDescent="0.15">
      <c r="A3494" s="23" t="str">
        <f t="shared" ref="A3494:A3499" si="59">HYPERLINK("https://www.spark-marketing.ru/Card/Person/306", "ОГБУЗ ""ДЕТСКАЯ ОБЛАСТНАЯ БОЛЬНИЦА""")</f>
        <v>ОГБУЗ "ДЕТСКАЯ ОБЛАСТНАЯ БОЛЬНИЦА"</v>
      </c>
      <c r="B3494" s="24" t="s">
        <v>5941</v>
      </c>
      <c r="C3494" s="25">
        <v>114105</v>
      </c>
      <c r="D3494" s="22" t="s">
        <v>5942</v>
      </c>
      <c r="E3494" s="22" t="s">
        <v>1807</v>
      </c>
      <c r="F3494" s="23" t="str">
        <f t="shared" ref="F3494:F3499" si="60">HYPERLINK("https://www.spark-marketing.ru/Card/Lot/73322832", "Поставка печатной продукции")</f>
        <v>Поставка печатной продукции</v>
      </c>
      <c r="G3494" s="22" t="s">
        <v>4451</v>
      </c>
      <c r="H3494" s="22" t="s">
        <v>4452</v>
      </c>
      <c r="I3494" s="26">
        <v>43718.7055555556</v>
      </c>
      <c r="J3494" s="28" t="s">
        <v>51</v>
      </c>
      <c r="K3494" s="28" t="s">
        <v>51</v>
      </c>
      <c r="L3494" s="28" t="s">
        <v>51</v>
      </c>
      <c r="M3494" s="28" t="s">
        <v>51</v>
      </c>
      <c r="N3494" s="28" t="s">
        <v>51</v>
      </c>
    </row>
    <row r="3495" spans="1:14" hidden="1" outlineLevel="1" x14ac:dyDescent="0.2">
      <c r="A3495" s="23" t="str">
        <f t="shared" si="59"/>
        <v>ОГБУЗ "ДЕТСКАЯ ОБЛАСТНАЯ БОЛЬНИЦА"</v>
      </c>
      <c r="B3495" s="24" t="s">
        <v>5941</v>
      </c>
      <c r="C3495" s="25">
        <v>114105</v>
      </c>
      <c r="D3495" s="22" t="s">
        <v>5942</v>
      </c>
      <c r="E3495" s="22" t="s">
        <v>1807</v>
      </c>
      <c r="F3495" s="23" t="str">
        <f t="shared" si="60"/>
        <v>Поставка печатной продукции</v>
      </c>
      <c r="G3495" s="22" t="s">
        <v>4451</v>
      </c>
      <c r="H3495" s="22" t="s">
        <v>4452</v>
      </c>
      <c r="I3495" s="26">
        <v>43718.7055555556</v>
      </c>
      <c r="J3495" s="23" t="str">
        <f>HYPERLINK("https://www.spark-marketing.ru/Card/Person/5332", "ООО ""ОФСЕТ СТУДИЯ""")</f>
        <v>ООО "ОФСЕТ СТУДИЯ"</v>
      </c>
      <c r="K3495" s="24" t="s">
        <v>5943</v>
      </c>
      <c r="L3495" s="28" t="s">
        <v>51</v>
      </c>
      <c r="M3495" s="25">
        <v>49581.47</v>
      </c>
      <c r="N3495" s="27">
        <v>0.56547504491477152</v>
      </c>
    </row>
    <row r="3496" spans="1:14" ht="12.75" hidden="1" outlineLevel="1" x14ac:dyDescent="0.2">
      <c r="A3496" s="23" t="str">
        <f t="shared" si="59"/>
        <v>ОГБУЗ "ДЕТСКАЯ ОБЛАСТНАЯ БОЛЬНИЦА"</v>
      </c>
      <c r="B3496" s="24" t="s">
        <v>5941</v>
      </c>
      <c r="C3496" s="25">
        <v>114105</v>
      </c>
      <c r="D3496" s="22" t="s">
        <v>5942</v>
      </c>
      <c r="E3496" s="22" t="s">
        <v>1807</v>
      </c>
      <c r="F3496" s="23" t="str">
        <f t="shared" si="60"/>
        <v>Поставка печатной продукции</v>
      </c>
      <c r="G3496" s="22" t="s">
        <v>4451</v>
      </c>
      <c r="H3496" s="22" t="s">
        <v>4452</v>
      </c>
      <c r="I3496" s="26">
        <v>43718.7055555556</v>
      </c>
      <c r="J3496" s="23" t="str">
        <f>HYPERLINK("https://www.spark-marketing.ru/Card/Person/166617", "ООО ""ЖАСО-АМУР""")</f>
        <v>ООО "ЖАСО-АМУР"</v>
      </c>
      <c r="K3496" s="24" t="s">
        <v>5944</v>
      </c>
      <c r="L3496" s="22" t="s">
        <v>10</v>
      </c>
      <c r="M3496" s="25">
        <v>49581.47</v>
      </c>
      <c r="N3496" s="27">
        <v>0.56547504491477152</v>
      </c>
    </row>
    <row r="3497" spans="1:14" hidden="1" outlineLevel="1" x14ac:dyDescent="0.2">
      <c r="A3497" s="23" t="str">
        <f t="shared" si="59"/>
        <v>ОГБУЗ "ДЕТСКАЯ ОБЛАСТНАЯ БОЛЬНИЦА"</v>
      </c>
      <c r="B3497" s="24" t="s">
        <v>5941</v>
      </c>
      <c r="C3497" s="25">
        <v>114105</v>
      </c>
      <c r="D3497" s="22" t="s">
        <v>5942</v>
      </c>
      <c r="E3497" s="22" t="s">
        <v>1807</v>
      </c>
      <c r="F3497" s="23" t="str">
        <f t="shared" si="60"/>
        <v>Поставка печатной продукции</v>
      </c>
      <c r="G3497" s="22" t="s">
        <v>4451</v>
      </c>
      <c r="H3497" s="22" t="s">
        <v>4452</v>
      </c>
      <c r="I3497" s="26">
        <v>43718.7055555556</v>
      </c>
      <c r="J3497" s="23" t="str">
        <f>HYPERLINK("https://www.spark-marketing.ru/Card/Person/170624", "ООО ""АГОРА""")</f>
        <v>ООО "АГОРА"</v>
      </c>
      <c r="K3497" s="24" t="s">
        <v>5945</v>
      </c>
      <c r="L3497" s="28" t="s">
        <v>51</v>
      </c>
      <c r="M3497" s="25">
        <v>64427.47</v>
      </c>
      <c r="N3497" s="27">
        <v>0.43536681127032117</v>
      </c>
    </row>
    <row r="3498" spans="1:14" hidden="1" outlineLevel="1" x14ac:dyDescent="0.2">
      <c r="A3498" s="23" t="str">
        <f t="shared" si="59"/>
        <v>ОГБУЗ "ДЕТСКАЯ ОБЛАСТНАЯ БОЛЬНИЦА"</v>
      </c>
      <c r="B3498" s="24" t="s">
        <v>5941</v>
      </c>
      <c r="C3498" s="25">
        <v>114105</v>
      </c>
      <c r="D3498" s="22" t="s">
        <v>5942</v>
      </c>
      <c r="E3498" s="22" t="s">
        <v>1807</v>
      </c>
      <c r="F3498" s="23" t="str">
        <f t="shared" si="60"/>
        <v>Поставка печатной продукции</v>
      </c>
      <c r="G3498" s="22" t="s">
        <v>4451</v>
      </c>
      <c r="H3498" s="22" t="s">
        <v>4452</v>
      </c>
      <c r="I3498" s="26">
        <v>43718.7055555556</v>
      </c>
      <c r="J3498" s="23" t="str">
        <f>HYPERLINK("https://www.spark-marketing.ru/Card/Person/481316", "ОГАУ ""ИЗДАТЕЛЬСКИЙ ДОМ ""БИРОБИДЖАН""")</f>
        <v>ОГАУ "ИЗДАТЕЛЬСКИЙ ДОМ "БИРОБИДЖАН"</v>
      </c>
      <c r="K3498" s="24" t="s">
        <v>5946</v>
      </c>
      <c r="L3498" s="28" t="s">
        <v>51</v>
      </c>
      <c r="M3498" s="25">
        <v>50152</v>
      </c>
      <c r="N3498" s="27">
        <v>0.56047500109548221</v>
      </c>
    </row>
    <row r="3499" spans="1:14" hidden="1" outlineLevel="1" x14ac:dyDescent="0.2">
      <c r="A3499" s="23" t="str">
        <f t="shared" si="59"/>
        <v>ОГБУЗ "ДЕТСКАЯ ОБЛАСТНАЯ БОЛЬНИЦА"</v>
      </c>
      <c r="B3499" s="24" t="s">
        <v>5941</v>
      </c>
      <c r="C3499" s="25">
        <v>114105</v>
      </c>
      <c r="D3499" s="22" t="s">
        <v>5942</v>
      </c>
      <c r="E3499" s="22" t="s">
        <v>1807</v>
      </c>
      <c r="F3499" s="23" t="str">
        <f t="shared" si="60"/>
        <v>Поставка печатной продукции</v>
      </c>
      <c r="G3499" s="22" t="s">
        <v>4451</v>
      </c>
      <c r="H3499" s="22" t="s">
        <v>4452</v>
      </c>
      <c r="I3499" s="26">
        <v>43718.7055555556</v>
      </c>
      <c r="J3499" s="23" t="str">
        <f>HYPERLINK("https://www.spark-marketing.ru/Card/Person/166863", "ООО ""ЭФФЕКТ +""")</f>
        <v>ООО "ЭФФЕКТ +"</v>
      </c>
      <c r="K3499" s="24" t="s">
        <v>5947</v>
      </c>
      <c r="L3499" s="28" t="s">
        <v>51</v>
      </c>
      <c r="M3499" s="25">
        <v>114105</v>
      </c>
      <c r="N3499" s="27">
        <v>0</v>
      </c>
    </row>
    <row r="3500" spans="1:14" x14ac:dyDescent="0.15">
      <c r="A3500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3500" s="24" t="s">
        <v>309</v>
      </c>
      <c r="C3500" s="25">
        <v>498960</v>
      </c>
      <c r="D3500" s="22" t="s">
        <v>5948</v>
      </c>
      <c r="E3500" s="22" t="s">
        <v>48</v>
      </c>
      <c r="F3500" s="23" t="str">
        <f>HYPERLINK("https://www.spark-marketing.ru/Card/Lot/73334438", "Оказание услуг по питанию граждан, находящихся в спец. приемнике для содержания лиц, подвергнутых административному аресту")</f>
        <v>Оказание услуг по питанию граждан, находящихся в спец. приемнике для содержания лиц, подвергнутых административному аресту</v>
      </c>
      <c r="G3500" s="22" t="s">
        <v>49</v>
      </c>
      <c r="H3500" s="22" t="s">
        <v>5949</v>
      </c>
      <c r="I3500" s="26">
        <v>43718.694444444402</v>
      </c>
      <c r="J3500" s="28" t="s">
        <v>51</v>
      </c>
      <c r="K3500" s="28" t="s">
        <v>51</v>
      </c>
      <c r="L3500" s="28" t="s">
        <v>51</v>
      </c>
      <c r="M3500" s="28" t="s">
        <v>51</v>
      </c>
      <c r="N3500" s="28" t="s">
        <v>51</v>
      </c>
    </row>
    <row r="3501" spans="1:14" x14ac:dyDescent="0.15">
      <c r="A3501" s="23" t="str">
        <f t="shared" ref="A3501:A3507" si="61">HYPERLINK("https://www.spark-marketing.ru/Card/Person/16358", "КГБУЗ ""АЛТАЙСКАЯ КРАЕВАЯ КЛИНИЧЕСКАЯ ПСИХИАТРИЧЕСКАЯ БОЛЬНИЦА ИМЕНИ ЭРДМАНА ЮРИЯ КАРЛОВИЧА""")</f>
        <v>КГБУЗ "АЛТАЙСКАЯ КРАЕВАЯ КЛИНИЧЕСКАЯ ПСИХИАТРИЧЕСКАЯ БОЛЬНИЦА ИМЕНИ ЭРДМАНА ЮРИЯ КАРЛОВИЧА"</v>
      </c>
      <c r="B3501" s="24" t="s">
        <v>5950</v>
      </c>
      <c r="C3501" s="25">
        <v>1097826.21</v>
      </c>
      <c r="D3501" s="22" t="s">
        <v>5951</v>
      </c>
      <c r="E3501" s="22" t="s">
        <v>62</v>
      </c>
      <c r="F3501" s="23" t="str">
        <f t="shared" ref="F3501:F3507" si="62">HYPERLINK("https://www.spark-marketing.ru/Card/Lot/73325909", "Поставка полиграфической продукции (журналы и бланки) для нужд КГБУЗ ""Алтайская краевая клиническая психиатрическая больница имени Эрдмана Юрия Карловича""")</f>
        <v>Поставка полиграфической продукции (журналы и бланки) для нужд КГБУЗ "Алтайская краевая клиническая психиатрическая больница имени Эрдмана Юрия Карловича"</v>
      </c>
      <c r="G3501" s="22" t="s">
        <v>63</v>
      </c>
      <c r="H3501" s="22" t="s">
        <v>177</v>
      </c>
      <c r="I3501" s="26">
        <v>43718.688888888901</v>
      </c>
      <c r="J3501" s="28" t="s">
        <v>51</v>
      </c>
      <c r="K3501" s="28" t="s">
        <v>51</v>
      </c>
      <c r="L3501" s="28" t="s">
        <v>51</v>
      </c>
      <c r="M3501" s="28" t="s">
        <v>51</v>
      </c>
      <c r="N3501" s="28" t="s">
        <v>51</v>
      </c>
    </row>
    <row r="3502" spans="1:14" hidden="1" outlineLevel="1" x14ac:dyDescent="0.2">
      <c r="A3502" s="23" t="str">
        <f t="shared" si="61"/>
        <v>КГБУЗ "АЛТАЙСКАЯ КРАЕВАЯ КЛИНИЧЕСКАЯ ПСИХИАТРИЧЕСКАЯ БОЛЬНИЦА ИМЕНИ ЭРДМАНА ЮРИЯ КАРЛОВИЧА"</v>
      </c>
      <c r="B3502" s="24" t="s">
        <v>5950</v>
      </c>
      <c r="C3502" s="25">
        <v>1097826.21</v>
      </c>
      <c r="D3502" s="22" t="s">
        <v>5951</v>
      </c>
      <c r="E3502" s="22" t="s">
        <v>62</v>
      </c>
      <c r="F3502" s="23" t="str">
        <f t="shared" si="62"/>
        <v>Поставка полиграфической продукции (журналы и бланки) для нужд КГБУЗ "Алтайская краевая клиническая психиатрическая больница имени Эрдмана Юрия Карловича"</v>
      </c>
      <c r="G3502" s="22" t="s">
        <v>63</v>
      </c>
      <c r="H3502" s="22" t="s">
        <v>177</v>
      </c>
      <c r="I3502" s="26">
        <v>43718.688888888901</v>
      </c>
      <c r="J3502" s="23" t="str">
        <f>HYPERLINK("https://www.spark-marketing.ru/Card/Person/6218421", "ООО ""ПРИНТА""")</f>
        <v>ООО "ПРИНТА"</v>
      </c>
      <c r="K3502" s="24" t="s">
        <v>4916</v>
      </c>
      <c r="L3502" s="28" t="s">
        <v>51</v>
      </c>
      <c r="M3502" s="25">
        <v>1086837.07</v>
      </c>
      <c r="N3502" s="27">
        <v>1.0009908581067671E-2</v>
      </c>
    </row>
    <row r="3503" spans="1:14" hidden="1" outlineLevel="1" x14ac:dyDescent="0.2">
      <c r="A3503" s="23" t="str">
        <f t="shared" si="61"/>
        <v>КГБУЗ "АЛТАЙСКАЯ КРАЕВАЯ КЛИНИЧЕСКАЯ ПСИХИАТРИЧЕСКАЯ БОЛЬНИЦА ИМЕНИ ЭРДМАНА ЮРИЯ КАРЛОВИЧА"</v>
      </c>
      <c r="B3503" s="24" t="s">
        <v>5950</v>
      </c>
      <c r="C3503" s="25">
        <v>1097826.21</v>
      </c>
      <c r="D3503" s="22" t="s">
        <v>5951</v>
      </c>
      <c r="E3503" s="22" t="s">
        <v>62</v>
      </c>
      <c r="F3503" s="23" t="str">
        <f t="shared" si="62"/>
        <v>Поставка полиграфической продукции (журналы и бланки) для нужд КГБУЗ "Алтайская краевая клиническая психиатрическая больница имени Эрдмана Юрия Карловича"</v>
      </c>
      <c r="G3503" s="22" t="s">
        <v>63</v>
      </c>
      <c r="H3503" s="22" t="s">
        <v>177</v>
      </c>
      <c r="I3503" s="26">
        <v>43718.688888888901</v>
      </c>
      <c r="J3503" s="23" t="str">
        <f>HYPERLINK("https://www.spark-marketing.ru/Card/Person/6626088", "Шмелева Лилия Анатольевна")</f>
        <v>Шмелева Лилия Анатольевна</v>
      </c>
      <c r="K3503" s="24" t="s">
        <v>5169</v>
      </c>
      <c r="L3503" s="28" t="s">
        <v>51</v>
      </c>
      <c r="M3503" s="25">
        <v>447415.76</v>
      </c>
      <c r="N3503" s="27">
        <v>0.59245301676665196</v>
      </c>
    </row>
    <row r="3504" spans="1:14" hidden="1" outlineLevel="1" x14ac:dyDescent="0.2">
      <c r="A3504" s="23" t="str">
        <f t="shared" si="61"/>
        <v>КГБУЗ "АЛТАЙСКАЯ КРАЕВАЯ КЛИНИЧЕСКАЯ ПСИХИАТРИЧЕСКАЯ БОЛЬНИЦА ИМЕНИ ЭРДМАНА ЮРИЯ КАРЛОВИЧА"</v>
      </c>
      <c r="B3504" s="24" t="s">
        <v>5950</v>
      </c>
      <c r="C3504" s="25">
        <v>1097826.21</v>
      </c>
      <c r="D3504" s="22" t="s">
        <v>5951</v>
      </c>
      <c r="E3504" s="22" t="s">
        <v>62</v>
      </c>
      <c r="F3504" s="23" t="str">
        <f t="shared" si="62"/>
        <v>Поставка полиграфической продукции (журналы и бланки) для нужд КГБУЗ "Алтайская краевая клиническая психиатрическая больница имени Эрдмана Юрия Карловича"</v>
      </c>
      <c r="G3504" s="22" t="s">
        <v>63</v>
      </c>
      <c r="H3504" s="22" t="s">
        <v>177</v>
      </c>
      <c r="I3504" s="26">
        <v>43718.688888888901</v>
      </c>
      <c r="J3504" s="23" t="str">
        <f>HYPERLINK("https://www.spark-marketing.ru/Card/Person/148599", "ООО ""БАРАБИНСКАЯ ТИПОГРАФИЯ""")</f>
        <v>ООО "БАРАБИНСКАЯ ТИПОГРАФИЯ"</v>
      </c>
      <c r="K3504" s="24" t="s">
        <v>4915</v>
      </c>
      <c r="L3504" s="28" t="s">
        <v>51</v>
      </c>
      <c r="M3504" s="25">
        <v>408991.78</v>
      </c>
      <c r="N3504" s="27">
        <v>0.62745307383397231</v>
      </c>
    </row>
    <row r="3505" spans="1:14" ht="12.75" hidden="1" outlineLevel="1" x14ac:dyDescent="0.2">
      <c r="A3505" s="23" t="str">
        <f t="shared" si="61"/>
        <v>КГБУЗ "АЛТАЙСКАЯ КРАЕВАЯ КЛИНИЧЕСКАЯ ПСИХИАТРИЧЕСКАЯ БОЛЬНИЦА ИМЕНИ ЭРДМАНА ЮРИЯ КАРЛОВИЧА"</v>
      </c>
      <c r="B3505" s="24" t="s">
        <v>5950</v>
      </c>
      <c r="C3505" s="25">
        <v>1097826.21</v>
      </c>
      <c r="D3505" s="22" t="s">
        <v>5951</v>
      </c>
      <c r="E3505" s="22" t="s">
        <v>62</v>
      </c>
      <c r="F3505" s="23" t="str">
        <f t="shared" si="62"/>
        <v>Поставка полиграфической продукции (журналы и бланки) для нужд КГБУЗ "Алтайская краевая клиническая психиатрическая больница имени Эрдмана Юрия Карловича"</v>
      </c>
      <c r="G3505" s="22" t="s">
        <v>63</v>
      </c>
      <c r="H3505" s="22" t="s">
        <v>177</v>
      </c>
      <c r="I3505" s="26">
        <v>43718.688888888901</v>
      </c>
      <c r="J3505" s="23" t="str">
        <f>HYPERLINK("https://www.spark-marketing.ru/Card/Person/447785", "Третьяков Александр Владиславович")</f>
        <v>Третьяков Александр Владиславович</v>
      </c>
      <c r="K3505" s="24" t="s">
        <v>5952</v>
      </c>
      <c r="L3505" s="22" t="s">
        <v>10</v>
      </c>
      <c r="M3505" s="25">
        <v>403502.64</v>
      </c>
      <c r="N3505" s="27">
        <v>0.63245308198644667</v>
      </c>
    </row>
    <row r="3506" spans="1:14" hidden="1" outlineLevel="1" x14ac:dyDescent="0.2">
      <c r="A3506" s="23" t="str">
        <f t="shared" si="61"/>
        <v>КГБУЗ "АЛТАЙСКАЯ КРАЕВАЯ КЛИНИЧЕСКАЯ ПСИХИАТРИЧЕСКАЯ БОЛЬНИЦА ИМЕНИ ЭРДМАНА ЮРИЯ КАРЛОВИЧА"</v>
      </c>
      <c r="B3506" s="24" t="s">
        <v>5950</v>
      </c>
      <c r="C3506" s="25">
        <v>1097826.21</v>
      </c>
      <c r="D3506" s="22" t="s">
        <v>5951</v>
      </c>
      <c r="E3506" s="22" t="s">
        <v>62</v>
      </c>
      <c r="F3506" s="23" t="str">
        <f t="shared" si="62"/>
        <v>Поставка полиграфической продукции (журналы и бланки) для нужд КГБУЗ "Алтайская краевая клиническая психиатрическая больница имени Эрдмана Юрия Карловича"</v>
      </c>
      <c r="G3506" s="22" t="s">
        <v>63</v>
      </c>
      <c r="H3506" s="22" t="s">
        <v>177</v>
      </c>
      <c r="I3506" s="26">
        <v>43718.688888888901</v>
      </c>
      <c r="J3506" s="23" t="str">
        <f>HYPERLINK("https://www.spark-marketing.ru/Card/Person/70363", "ООО ""ВИННЕР - ПРИНТ""")</f>
        <v>ООО "ВИННЕР - ПРИНТ"</v>
      </c>
      <c r="K3506" s="24" t="s">
        <v>3048</v>
      </c>
      <c r="L3506" s="28" t="s">
        <v>51</v>
      </c>
      <c r="M3506" s="25">
        <v>744500</v>
      </c>
      <c r="N3506" s="27">
        <v>0.32184166016586541</v>
      </c>
    </row>
    <row r="3507" spans="1:14" hidden="1" outlineLevel="1" x14ac:dyDescent="0.2">
      <c r="A3507" s="23" t="str">
        <f t="shared" si="61"/>
        <v>КГБУЗ "АЛТАЙСКАЯ КРАЕВАЯ КЛИНИЧЕСКАЯ ПСИХИАТРИЧЕСКАЯ БОЛЬНИЦА ИМЕНИ ЭРДМАНА ЮРИЯ КАРЛОВИЧА"</v>
      </c>
      <c r="B3507" s="24" t="s">
        <v>5950</v>
      </c>
      <c r="C3507" s="25">
        <v>1097826.21</v>
      </c>
      <c r="D3507" s="22" t="s">
        <v>5951</v>
      </c>
      <c r="E3507" s="22" t="s">
        <v>62</v>
      </c>
      <c r="F3507" s="23" t="str">
        <f t="shared" si="62"/>
        <v>Поставка полиграфической продукции (журналы и бланки) для нужд КГБУЗ "Алтайская краевая клиническая психиатрическая больница имени Эрдмана Юрия Карловича"</v>
      </c>
      <c r="G3507" s="22" t="s">
        <v>63</v>
      </c>
      <c r="H3507" s="22" t="s">
        <v>177</v>
      </c>
      <c r="I3507" s="26">
        <v>43718.688888888901</v>
      </c>
      <c r="J3507" s="23" t="str">
        <f>HYPERLINK("https://www.spark-marketing.ru/Card/Person/110731", "ООО ""ТИПОГРАФИЯ""")</f>
        <v>ООО "ТИПОГРАФИЯ"</v>
      </c>
      <c r="K3507" s="24" t="s">
        <v>5953</v>
      </c>
      <c r="L3507" s="28" t="s">
        <v>51</v>
      </c>
      <c r="M3507" s="25">
        <v>453415.76</v>
      </c>
      <c r="N3507" s="27">
        <v>0.58698767084455017</v>
      </c>
    </row>
    <row r="3508" spans="1:14" x14ac:dyDescent="0.15">
      <c r="A3508" s="23" t="str">
        <f>HYPERLINK("https://www.spark-marketing.ru/Card/Person/736645", "МОБУ СОШ №6 ИМ. М.А.КИНЯШОВА Г.БЛАГОВЕЩЕНСКА РБ")</f>
        <v>МОБУ СОШ №6 ИМ. М.А.КИНЯШОВА Г.БЛАГОВЕЩЕНСКА РБ</v>
      </c>
      <c r="B3508" s="24" t="s">
        <v>5954</v>
      </c>
      <c r="C3508" s="25">
        <v>352275</v>
      </c>
      <c r="D3508" s="22" t="s">
        <v>5955</v>
      </c>
      <c r="E3508" s="22" t="s">
        <v>48</v>
      </c>
      <c r="F3508" s="23" t="str">
        <f>HYPERLINK("https://www.spark-marketing.ru/Card/Lot/73335182",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508" s="22" t="s">
        <v>145</v>
      </c>
      <c r="H3508" s="22" t="s">
        <v>3257</v>
      </c>
      <c r="I3508" s="26">
        <v>43718.753472222197</v>
      </c>
      <c r="J3508" s="28" t="s">
        <v>51</v>
      </c>
      <c r="K3508" s="28" t="s">
        <v>51</v>
      </c>
      <c r="L3508" s="28" t="s">
        <v>51</v>
      </c>
      <c r="M3508" s="28" t="s">
        <v>51</v>
      </c>
      <c r="N3508" s="28" t="s">
        <v>51</v>
      </c>
    </row>
    <row r="3509" spans="1:14" ht="12.75" hidden="1" outlineLevel="1" x14ac:dyDescent="0.2">
      <c r="A3509" s="23" t="str">
        <f>HYPERLINK("https://www.spark-marketing.ru/Card/Person/736645", "МОБУ СОШ №6 ИМ. М.А.КИНЯШОВА Г.БЛАГОВЕЩЕНСКА РБ")</f>
        <v>МОБУ СОШ №6 ИМ. М.А.КИНЯШОВА Г.БЛАГОВЕЩЕНСКА РБ</v>
      </c>
      <c r="B3509" s="24" t="s">
        <v>5954</v>
      </c>
      <c r="C3509" s="25">
        <v>352275</v>
      </c>
      <c r="D3509" s="22" t="s">
        <v>5955</v>
      </c>
      <c r="E3509" s="22" t="s">
        <v>48</v>
      </c>
      <c r="F3509" s="23" t="str">
        <f>HYPERLINK("https://www.spark-marketing.ru/Card/Lot/73335182",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509" s="22" t="s">
        <v>145</v>
      </c>
      <c r="H3509" s="22" t="s">
        <v>3257</v>
      </c>
      <c r="I3509" s="26">
        <v>43718.753472222197</v>
      </c>
      <c r="J3509" s="23" t="str">
        <f>HYPERLINK("https://www.spark-marketing.ru/Card/Person/87029", "ООО ФИРМА ""ДОМОУСТРОИТЕЛЬ""")</f>
        <v>ООО ФИРМА "ДОМОУСТРОИТЕЛЬ"</v>
      </c>
      <c r="K3509" s="24" t="s">
        <v>5798</v>
      </c>
      <c r="L3509" s="22" t="s">
        <v>10</v>
      </c>
      <c r="M3509" s="25">
        <v>317240</v>
      </c>
      <c r="N3509" s="27">
        <v>9.94535519125683E-2</v>
      </c>
    </row>
    <row r="3510" spans="1:14" hidden="1" outlineLevel="1" x14ac:dyDescent="0.2">
      <c r="A3510" s="23" t="str">
        <f>HYPERLINK("https://www.spark-marketing.ru/Card/Person/736645", "МОБУ СОШ №6 ИМ. М.А.КИНЯШОВА Г.БЛАГОВЕЩЕНСКА РБ")</f>
        <v>МОБУ СОШ №6 ИМ. М.А.КИНЯШОВА Г.БЛАГОВЕЩЕНСКА РБ</v>
      </c>
      <c r="B3510" s="24" t="s">
        <v>5954</v>
      </c>
      <c r="C3510" s="25">
        <v>352275</v>
      </c>
      <c r="D3510" s="22" t="s">
        <v>5955</v>
      </c>
      <c r="E3510" s="22" t="s">
        <v>48</v>
      </c>
      <c r="F3510" s="23" t="str">
        <f>HYPERLINK("https://www.spark-marketing.ru/Card/Lot/73335182",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510" s="22" t="s">
        <v>145</v>
      </c>
      <c r="H3510" s="22" t="s">
        <v>3257</v>
      </c>
      <c r="I3510" s="26">
        <v>43718.753472222197</v>
      </c>
      <c r="J3510" s="23" t="str">
        <f>HYPERLINK("https://www.spark-marketing.ru/Card/Person/201517", "ООО ""ВАРИАНТ""")</f>
        <v>ООО "ВАРИАНТ"</v>
      </c>
      <c r="K3510" s="24" t="s">
        <v>5799</v>
      </c>
      <c r="L3510" s="28" t="s">
        <v>51</v>
      </c>
      <c r="M3510" s="25">
        <v>352275</v>
      </c>
      <c r="N3510" s="27">
        <v>0</v>
      </c>
    </row>
    <row r="3511" spans="1:14" hidden="1" outlineLevel="1" x14ac:dyDescent="0.2">
      <c r="A3511" s="23" t="str">
        <f>HYPERLINK("https://www.spark-marketing.ru/Card/Person/736645", "МОБУ СОШ №6 ИМ. М.А.КИНЯШОВА Г.БЛАГОВЕЩЕНСКА РБ")</f>
        <v>МОБУ СОШ №6 ИМ. М.А.КИНЯШОВА Г.БЛАГОВЕЩЕНСКА РБ</v>
      </c>
      <c r="B3511" s="24" t="s">
        <v>5954</v>
      </c>
      <c r="C3511" s="25">
        <v>352275</v>
      </c>
      <c r="D3511" s="22" t="s">
        <v>5955</v>
      </c>
      <c r="E3511" s="22" t="s">
        <v>48</v>
      </c>
      <c r="F3511" s="23" t="str">
        <f>HYPERLINK("https://www.spark-marketing.ru/Card/Lot/73335182",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511" s="22" t="s">
        <v>145</v>
      </c>
      <c r="H3511" s="22" t="s">
        <v>3257</v>
      </c>
      <c r="I3511" s="26">
        <v>43718.753472222197</v>
      </c>
      <c r="J3511" s="23" t="str">
        <f>HYPERLINK("https://www.spark-marketing.ru/Card/Person/145110", "ООО ""ТК ""ЗК""")</f>
        <v>ООО "ТК "ЗК"</v>
      </c>
      <c r="K3511" s="24" t="s">
        <v>5800</v>
      </c>
      <c r="L3511" s="28" t="s">
        <v>51</v>
      </c>
      <c r="M3511" s="25">
        <v>292388.25</v>
      </c>
      <c r="N3511" s="27">
        <v>0.17</v>
      </c>
    </row>
    <row r="3512" spans="1:14" hidden="1" outlineLevel="1" x14ac:dyDescent="0.2">
      <c r="A3512" s="23" t="str">
        <f>HYPERLINK("https://www.spark-marketing.ru/Card/Person/736645", "МОБУ СОШ №6 ИМ. М.А.КИНЯШОВА Г.БЛАГОВЕЩЕНСКА РБ")</f>
        <v>МОБУ СОШ №6 ИМ. М.А.КИНЯШОВА Г.БЛАГОВЕЩЕНСКА РБ</v>
      </c>
      <c r="B3512" s="24" t="s">
        <v>5954</v>
      </c>
      <c r="C3512" s="25">
        <v>352275</v>
      </c>
      <c r="D3512" s="22" t="s">
        <v>5955</v>
      </c>
      <c r="E3512" s="22" t="s">
        <v>48</v>
      </c>
      <c r="F3512" s="23" t="str">
        <f>HYPERLINK("https://www.spark-marketing.ru/Card/Lot/73335182",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512" s="22" t="s">
        <v>145</v>
      </c>
      <c r="H3512" s="22" t="s">
        <v>3257</v>
      </c>
      <c r="I3512" s="26">
        <v>43718.753472222197</v>
      </c>
      <c r="J3512" s="23" t="str">
        <f>HYPERLINK("https://www.spark-marketing.ru/Card/Person/6704775", "ООО ""ЭКСПРЕСС""")</f>
        <v>ООО "ЭКСПРЕСС"</v>
      </c>
      <c r="K3512" s="24" t="s">
        <v>5801</v>
      </c>
      <c r="L3512" s="28" t="s">
        <v>51</v>
      </c>
      <c r="M3512" s="25">
        <v>345675</v>
      </c>
      <c r="N3512" s="27">
        <v>1.873536299765808E-2</v>
      </c>
    </row>
    <row r="3513" spans="1:14" x14ac:dyDescent="0.15">
      <c r="A3513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3513" s="24" t="s">
        <v>309</v>
      </c>
      <c r="C3513" s="25">
        <v>734440</v>
      </c>
      <c r="D3513" s="22" t="s">
        <v>5956</v>
      </c>
      <c r="E3513" s="22" t="s">
        <v>48</v>
      </c>
      <c r="F3513" s="23" t="str">
        <f>HYPERLINK("https://www.spark-marketing.ru/Card/Lot/73334481", "Оказание услуг по питанию граждан находящихся в ИВС")</f>
        <v>Оказание услуг по питанию граждан находящихся в ИВС</v>
      </c>
      <c r="G3513" s="22" t="s">
        <v>49</v>
      </c>
      <c r="H3513" s="22" t="s">
        <v>5949</v>
      </c>
      <c r="I3513" s="26">
        <v>43718.693749999999</v>
      </c>
      <c r="J3513" s="28" t="s">
        <v>51</v>
      </c>
      <c r="K3513" s="28" t="s">
        <v>51</v>
      </c>
      <c r="L3513" s="28" t="s">
        <v>51</v>
      </c>
      <c r="M3513" s="28" t="s">
        <v>51</v>
      </c>
      <c r="N3513" s="28" t="s">
        <v>51</v>
      </c>
    </row>
    <row r="3514" spans="1:14" x14ac:dyDescent="0.15">
      <c r="A3514" s="23" t="str">
        <f>HYPERLINK("https://www.spark-marketing.ru/Card/Person/737322", "МОБУ ООШ №2 Г. БЛАГОВЕЩЕНСКА")</f>
        <v>МОБУ ООШ №2 Г. БЛАГОВЕЩЕНСКА</v>
      </c>
      <c r="B3514" s="24" t="s">
        <v>5957</v>
      </c>
      <c r="C3514" s="25">
        <v>271975</v>
      </c>
      <c r="D3514" s="22" t="s">
        <v>5958</v>
      </c>
      <c r="E3514" s="22" t="s">
        <v>48</v>
      </c>
      <c r="F3514" s="23" t="str">
        <f>HYPERLINK("https://www.spark-marketing.ru/Card/Lot/73335183",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514" s="22" t="s">
        <v>145</v>
      </c>
      <c r="H3514" s="22" t="s">
        <v>3257</v>
      </c>
      <c r="I3514" s="26">
        <v>43718.750694444403</v>
      </c>
      <c r="J3514" s="28" t="s">
        <v>51</v>
      </c>
      <c r="K3514" s="28" t="s">
        <v>51</v>
      </c>
      <c r="L3514" s="28" t="s">
        <v>51</v>
      </c>
      <c r="M3514" s="28" t="s">
        <v>51</v>
      </c>
      <c r="N3514" s="28" t="s">
        <v>51</v>
      </c>
    </row>
    <row r="3515" spans="1:14" ht="12.75" hidden="1" outlineLevel="1" x14ac:dyDescent="0.2">
      <c r="A3515" s="23" t="str">
        <f>HYPERLINK("https://www.spark-marketing.ru/Card/Person/737322", "МОБУ ООШ №2 Г. БЛАГОВЕЩЕНСКА")</f>
        <v>МОБУ ООШ №2 Г. БЛАГОВЕЩЕНСКА</v>
      </c>
      <c r="B3515" s="24" t="s">
        <v>5957</v>
      </c>
      <c r="C3515" s="25">
        <v>271975</v>
      </c>
      <c r="D3515" s="22" t="s">
        <v>5958</v>
      </c>
      <c r="E3515" s="22" t="s">
        <v>48</v>
      </c>
      <c r="F3515" s="23" t="str">
        <f>HYPERLINK("https://www.spark-marketing.ru/Card/Lot/73335183",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515" s="22" t="s">
        <v>145</v>
      </c>
      <c r="H3515" s="22" t="s">
        <v>3257</v>
      </c>
      <c r="I3515" s="26">
        <v>43718.750694444403</v>
      </c>
      <c r="J3515" s="23" t="str">
        <f>HYPERLINK("https://www.spark-marketing.ru/Card/Person/87029", "ООО ФИРМА ""ДОМОУСТРОИТЕЛЬ""")</f>
        <v>ООО ФИРМА "ДОМОУСТРОИТЕЛЬ"</v>
      </c>
      <c r="K3515" s="24" t="s">
        <v>5798</v>
      </c>
      <c r="L3515" s="22" t="s">
        <v>10</v>
      </c>
      <c r="M3515" s="25">
        <v>248600</v>
      </c>
      <c r="N3515" s="27">
        <v>8.5945399393326599E-2</v>
      </c>
    </row>
    <row r="3516" spans="1:14" hidden="1" outlineLevel="1" x14ac:dyDescent="0.2">
      <c r="A3516" s="23" t="str">
        <f>HYPERLINK("https://www.spark-marketing.ru/Card/Person/737322", "МОБУ ООШ №2 Г. БЛАГОВЕЩЕНСКА")</f>
        <v>МОБУ ООШ №2 Г. БЛАГОВЕЩЕНСКА</v>
      </c>
      <c r="B3516" s="24" t="s">
        <v>5957</v>
      </c>
      <c r="C3516" s="25">
        <v>271975</v>
      </c>
      <c r="D3516" s="22" t="s">
        <v>5958</v>
      </c>
      <c r="E3516" s="22" t="s">
        <v>48</v>
      </c>
      <c r="F3516" s="23" t="str">
        <f>HYPERLINK("https://www.spark-marketing.ru/Card/Lot/73335183",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516" s="22" t="s">
        <v>145</v>
      </c>
      <c r="H3516" s="22" t="s">
        <v>3257</v>
      </c>
      <c r="I3516" s="26">
        <v>43718.750694444403</v>
      </c>
      <c r="J3516" s="23" t="str">
        <f>HYPERLINK("https://www.spark-marketing.ru/Card/Person/201517", "ООО ""ВАРИАНТ""")</f>
        <v>ООО "ВАРИАНТ"</v>
      </c>
      <c r="K3516" s="24" t="s">
        <v>5799</v>
      </c>
      <c r="L3516" s="28" t="s">
        <v>51</v>
      </c>
      <c r="M3516" s="25">
        <v>271975</v>
      </c>
      <c r="N3516" s="27">
        <v>0</v>
      </c>
    </row>
    <row r="3517" spans="1:14" hidden="1" outlineLevel="1" x14ac:dyDescent="0.2">
      <c r="A3517" s="23" t="str">
        <f>HYPERLINK("https://www.spark-marketing.ru/Card/Person/737322", "МОБУ ООШ №2 Г. БЛАГОВЕЩЕНСКА")</f>
        <v>МОБУ ООШ №2 Г. БЛАГОВЕЩЕНСКА</v>
      </c>
      <c r="B3517" s="24" t="s">
        <v>5957</v>
      </c>
      <c r="C3517" s="25">
        <v>271975</v>
      </c>
      <c r="D3517" s="22" t="s">
        <v>5958</v>
      </c>
      <c r="E3517" s="22" t="s">
        <v>48</v>
      </c>
      <c r="F3517" s="23" t="str">
        <f>HYPERLINK("https://www.spark-marketing.ru/Card/Lot/73335183",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517" s="22" t="s">
        <v>145</v>
      </c>
      <c r="H3517" s="22" t="s">
        <v>3257</v>
      </c>
      <c r="I3517" s="26">
        <v>43718.750694444403</v>
      </c>
      <c r="J3517" s="23" t="str">
        <f>HYPERLINK("https://www.spark-marketing.ru/Card/Person/145110", "ООО ""ТК ""ЗК""")</f>
        <v>ООО "ТК "ЗК"</v>
      </c>
      <c r="K3517" s="24" t="s">
        <v>5800</v>
      </c>
      <c r="L3517" s="28" t="s">
        <v>51</v>
      </c>
      <c r="M3517" s="25">
        <v>225739.25</v>
      </c>
      <c r="N3517" s="27">
        <v>0.17</v>
      </c>
    </row>
    <row r="3518" spans="1:14" hidden="1" outlineLevel="1" x14ac:dyDescent="0.2">
      <c r="A3518" s="23" t="str">
        <f>HYPERLINK("https://www.spark-marketing.ru/Card/Person/737322", "МОБУ ООШ №2 Г. БЛАГОВЕЩЕНСКА")</f>
        <v>МОБУ ООШ №2 Г. БЛАГОВЕЩЕНСКА</v>
      </c>
      <c r="B3518" s="24" t="s">
        <v>5957</v>
      </c>
      <c r="C3518" s="25">
        <v>271975</v>
      </c>
      <c r="D3518" s="22" t="s">
        <v>5958</v>
      </c>
      <c r="E3518" s="22" t="s">
        <v>48</v>
      </c>
      <c r="F3518" s="23" t="str">
        <f>HYPERLINK("https://www.spark-marketing.ru/Card/Lot/73335183", "Оказание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организаци...")</f>
        <v>Оказание услуг по организации питания через предприятия общественного питания для обеспечения бесплатным питанием учащихся из многодетных малоимущих семей при школе , обучающихся с ограниченными возможностями здоровья в общеобразовательной организаци...</v>
      </c>
      <c r="G3518" s="22" t="s">
        <v>145</v>
      </c>
      <c r="H3518" s="22" t="s">
        <v>3257</v>
      </c>
      <c r="I3518" s="26">
        <v>43718.750694444403</v>
      </c>
      <c r="J3518" s="23" t="str">
        <f>HYPERLINK("https://www.spark-marketing.ru/Card/Person/6704775", "ООО ""ЭКСПРЕСС""")</f>
        <v>ООО "ЭКСПРЕСС"</v>
      </c>
      <c r="K3518" s="24" t="s">
        <v>5801</v>
      </c>
      <c r="L3518" s="28" t="s">
        <v>51</v>
      </c>
      <c r="M3518" s="25">
        <v>262200</v>
      </c>
      <c r="N3518" s="27">
        <v>3.5940803382663845E-2</v>
      </c>
    </row>
    <row r="3519" spans="1:14" x14ac:dyDescent="0.15">
      <c r="A3519" s="23" t="str">
        <f>HYPERLINK("https://www.spark-marketing.ru/Card/Person/1023879", "МОУ ""СОШ № 43""")</f>
        <v>МОУ "СОШ № 43"</v>
      </c>
      <c r="B3519" s="24" t="s">
        <v>5959</v>
      </c>
      <c r="C3519" s="25">
        <v>470764</v>
      </c>
      <c r="D3519" s="22" t="s">
        <v>5960</v>
      </c>
      <c r="E3519" s="22" t="s">
        <v>48</v>
      </c>
      <c r="F3519" s="23" t="str">
        <f>HYPERLINK("https://www.spark-marketing.ru/Card/Lot/73329433", "Оказание услуг по обеспечению льготным питанием детей из малообеспеченных семей и детей с нарушениями здоровья, обучающихся в муниципальной общеобразовательной организации Копейского городского округа")</f>
        <v>Оказание услуг по обеспечению льготным питанием детей из малообеспеченных семей и детей с нарушениями здоровья, обучающихся в муниципальной общеобразовательной организации Копейского городского округа</v>
      </c>
      <c r="G3519" s="22" t="s">
        <v>469</v>
      </c>
      <c r="H3519" s="22" t="s">
        <v>5961</v>
      </c>
      <c r="I3519" s="26">
        <v>43718.690972222197</v>
      </c>
      <c r="J3519" s="28" t="s">
        <v>51</v>
      </c>
      <c r="K3519" s="28" t="s">
        <v>51</v>
      </c>
      <c r="L3519" s="28" t="s">
        <v>51</v>
      </c>
      <c r="M3519" s="28" t="s">
        <v>51</v>
      </c>
      <c r="N3519" s="28" t="s">
        <v>51</v>
      </c>
    </row>
    <row r="3520" spans="1:14" ht="12.75" hidden="1" outlineLevel="1" x14ac:dyDescent="0.2">
      <c r="A3520" s="23" t="str">
        <f>HYPERLINK("https://www.spark-marketing.ru/Card/Person/1023879", "МОУ ""СОШ № 43""")</f>
        <v>МОУ "СОШ № 43"</v>
      </c>
      <c r="B3520" s="24" t="s">
        <v>5959</v>
      </c>
      <c r="C3520" s="25">
        <v>470764</v>
      </c>
      <c r="D3520" s="22" t="s">
        <v>5960</v>
      </c>
      <c r="E3520" s="22" t="s">
        <v>48</v>
      </c>
      <c r="F3520" s="23" t="str">
        <f>HYPERLINK("https://www.spark-marketing.ru/Card/Lot/73329433", "Оказание услуг по обеспечению льготным питанием детей из малообеспеченных семей и детей с нарушениями здоровья, обучающихся в муниципальной общеобразовательной организации Копейского городского округа")</f>
        <v>Оказание услуг по обеспечению льготным питанием детей из малообеспеченных семей и детей с нарушениями здоровья, обучающихся в муниципальной общеобразовательной организации Копейского городского округа</v>
      </c>
      <c r="G3520" s="22" t="s">
        <v>469</v>
      </c>
      <c r="H3520" s="22" t="s">
        <v>5961</v>
      </c>
      <c r="I3520" s="26">
        <v>43718.690972222197</v>
      </c>
      <c r="J3520" s="23" t="str">
        <f>HYPERLINK("https://www.spark-marketing.ru/Card/Person/134890", "ООО ""МИРОСЛАВА""")</f>
        <v>ООО "МИРОСЛАВА"</v>
      </c>
      <c r="K3520" s="24" t="s">
        <v>2329</v>
      </c>
      <c r="L3520" s="22" t="s">
        <v>10</v>
      </c>
      <c r="M3520" s="25">
        <v>250492.54</v>
      </c>
      <c r="N3520" s="27">
        <v>0.46790209106898573</v>
      </c>
    </row>
    <row r="3521" spans="1:14" hidden="1" outlineLevel="1" x14ac:dyDescent="0.2">
      <c r="A3521" s="23" t="str">
        <f>HYPERLINK("https://www.spark-marketing.ru/Card/Person/1023879", "МОУ ""СОШ № 43""")</f>
        <v>МОУ "СОШ № 43"</v>
      </c>
      <c r="B3521" s="24" t="s">
        <v>5959</v>
      </c>
      <c r="C3521" s="25">
        <v>470764</v>
      </c>
      <c r="D3521" s="22" t="s">
        <v>5960</v>
      </c>
      <c r="E3521" s="22" t="s">
        <v>48</v>
      </c>
      <c r="F3521" s="23" t="str">
        <f>HYPERLINK("https://www.spark-marketing.ru/Card/Lot/73329433", "Оказание услуг по обеспечению льготным питанием детей из малообеспеченных семей и детей с нарушениями здоровья, обучающихся в муниципальной общеобразовательной организации Копейского городского округа")</f>
        <v>Оказание услуг по обеспечению льготным питанием детей из малообеспеченных семей и детей с нарушениями здоровья, обучающихся в муниципальной общеобразовательной организации Копейского городского округа</v>
      </c>
      <c r="G3521" s="22" t="s">
        <v>469</v>
      </c>
      <c r="H3521" s="22" t="s">
        <v>5961</v>
      </c>
      <c r="I3521" s="26">
        <v>43718.690972222197</v>
      </c>
      <c r="J3521" s="23" t="str">
        <f>HYPERLINK("https://www.spark-marketing.ru/Card/Person/871137", "ООО ""ЧПК""")</f>
        <v>ООО "ЧПК"</v>
      </c>
      <c r="K3521" s="24" t="s">
        <v>5962</v>
      </c>
      <c r="L3521" s="28" t="s">
        <v>51</v>
      </c>
      <c r="M3521" s="25">
        <v>252846.36</v>
      </c>
      <c r="N3521" s="27">
        <v>0.46290209106898572</v>
      </c>
    </row>
    <row r="3522" spans="1:14" x14ac:dyDescent="0.15">
      <c r="A3522" s="23" t="str">
        <f>HYPERLINK("https://www.spark-marketing.ru/Card/Person/736670", "МОБУ ООШ №3 Г.БЛАГОВЕЩЕНСКА")</f>
        <v>МОБУ ООШ №3 Г.БЛАГОВЕЩЕНСКА</v>
      </c>
      <c r="B3522" s="24" t="s">
        <v>5934</v>
      </c>
      <c r="C3522" s="25">
        <v>495000</v>
      </c>
      <c r="D3522" s="22" t="s">
        <v>5963</v>
      </c>
      <c r="E3522" s="22" t="s">
        <v>48</v>
      </c>
      <c r="F3522" s="23" t="str">
        <f>HYPERLINK("https://www.spark-marketing.ru/Card/Lot/73335094",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22" s="22" t="s">
        <v>145</v>
      </c>
      <c r="H3522" s="22" t="s">
        <v>3257</v>
      </c>
      <c r="I3522" s="26">
        <v>43718.75</v>
      </c>
      <c r="J3522" s="28" t="s">
        <v>51</v>
      </c>
      <c r="K3522" s="28" t="s">
        <v>51</v>
      </c>
      <c r="L3522" s="28" t="s">
        <v>51</v>
      </c>
      <c r="M3522" s="28" t="s">
        <v>51</v>
      </c>
      <c r="N3522" s="28" t="s">
        <v>51</v>
      </c>
    </row>
    <row r="3523" spans="1:14" ht="12.75" hidden="1" outlineLevel="1" x14ac:dyDescent="0.2">
      <c r="A3523" s="23" t="str">
        <f>HYPERLINK("https://www.spark-marketing.ru/Card/Person/736670", "МОБУ ООШ №3 Г.БЛАГОВЕЩЕНСКА")</f>
        <v>МОБУ ООШ №3 Г.БЛАГОВЕЩЕНСКА</v>
      </c>
      <c r="B3523" s="24" t="s">
        <v>5934</v>
      </c>
      <c r="C3523" s="25">
        <v>495000</v>
      </c>
      <c r="D3523" s="22" t="s">
        <v>5963</v>
      </c>
      <c r="E3523" s="22" t="s">
        <v>48</v>
      </c>
      <c r="F3523" s="23" t="str">
        <f>HYPERLINK("https://www.spark-marketing.ru/Card/Lot/73335094",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23" s="22" t="s">
        <v>145</v>
      </c>
      <c r="H3523" s="22" t="s">
        <v>3257</v>
      </c>
      <c r="I3523" s="26">
        <v>43718.75</v>
      </c>
      <c r="J3523" s="23" t="str">
        <f>HYPERLINK("https://www.spark-marketing.ru/Card/Person/87029", "ООО ФИРМА ""ДОМОУСТРОИТЕЛЬ""")</f>
        <v>ООО ФИРМА "ДОМОУСТРОИТЕЛЬ"</v>
      </c>
      <c r="K3523" s="24" t="s">
        <v>5798</v>
      </c>
      <c r="L3523" s="22" t="s">
        <v>10</v>
      </c>
      <c r="M3523" s="25">
        <v>455400</v>
      </c>
      <c r="N3523" s="27">
        <v>0.08</v>
      </c>
    </row>
    <row r="3524" spans="1:14" hidden="1" outlineLevel="1" x14ac:dyDescent="0.2">
      <c r="A3524" s="23" t="str">
        <f>HYPERLINK("https://www.spark-marketing.ru/Card/Person/736670", "МОБУ ООШ №3 Г.БЛАГОВЕЩЕНСКА")</f>
        <v>МОБУ ООШ №3 Г.БЛАГОВЕЩЕНСКА</v>
      </c>
      <c r="B3524" s="24" t="s">
        <v>5934</v>
      </c>
      <c r="C3524" s="25">
        <v>495000</v>
      </c>
      <c r="D3524" s="22" t="s">
        <v>5963</v>
      </c>
      <c r="E3524" s="22" t="s">
        <v>48</v>
      </c>
      <c r="F3524" s="23" t="str">
        <f>HYPERLINK("https://www.spark-marketing.ru/Card/Lot/73335094",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24" s="22" t="s">
        <v>145</v>
      </c>
      <c r="H3524" s="22" t="s">
        <v>3257</v>
      </c>
      <c r="I3524" s="26">
        <v>43718.75</v>
      </c>
      <c r="J3524" s="23" t="str">
        <f>HYPERLINK("https://www.spark-marketing.ru/Card/Person/201517", "ООО ""ВАРИАНТ""")</f>
        <v>ООО "ВАРИАНТ"</v>
      </c>
      <c r="K3524" s="24" t="s">
        <v>5799</v>
      </c>
      <c r="L3524" s="28" t="s">
        <v>51</v>
      </c>
      <c r="M3524" s="25">
        <v>495000</v>
      </c>
      <c r="N3524" s="27">
        <v>0</v>
      </c>
    </row>
    <row r="3525" spans="1:14" hidden="1" outlineLevel="1" x14ac:dyDescent="0.2">
      <c r="A3525" s="23" t="str">
        <f>HYPERLINK("https://www.spark-marketing.ru/Card/Person/736670", "МОБУ ООШ №3 Г.БЛАГОВЕЩЕНСКА")</f>
        <v>МОБУ ООШ №3 Г.БЛАГОВЕЩЕНСКА</v>
      </c>
      <c r="B3525" s="24" t="s">
        <v>5934</v>
      </c>
      <c r="C3525" s="25">
        <v>495000</v>
      </c>
      <c r="D3525" s="22" t="s">
        <v>5963</v>
      </c>
      <c r="E3525" s="22" t="s">
        <v>48</v>
      </c>
      <c r="F3525" s="23" t="str">
        <f>HYPERLINK("https://www.spark-marketing.ru/Card/Lot/73335094",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25" s="22" t="s">
        <v>145</v>
      </c>
      <c r="H3525" s="22" t="s">
        <v>3257</v>
      </c>
      <c r="I3525" s="26">
        <v>43718.75</v>
      </c>
      <c r="J3525" s="23" t="str">
        <f>HYPERLINK("https://www.spark-marketing.ru/Card/Person/145110", "ООО ""ТК ""ЗК""")</f>
        <v>ООО "ТК "ЗК"</v>
      </c>
      <c r="K3525" s="24" t="s">
        <v>5800</v>
      </c>
      <c r="L3525" s="28" t="s">
        <v>51</v>
      </c>
      <c r="M3525" s="25">
        <v>410850</v>
      </c>
      <c r="N3525" s="27">
        <v>0.17</v>
      </c>
    </row>
    <row r="3526" spans="1:14" hidden="1" outlineLevel="1" x14ac:dyDescent="0.2">
      <c r="A3526" s="23" t="str">
        <f>HYPERLINK("https://www.spark-marketing.ru/Card/Person/736670", "МОБУ ООШ №3 Г.БЛАГОВЕЩЕНСКА")</f>
        <v>МОБУ ООШ №3 Г.БЛАГОВЕЩЕНСКА</v>
      </c>
      <c r="B3526" s="24" t="s">
        <v>5934</v>
      </c>
      <c r="C3526" s="25">
        <v>495000</v>
      </c>
      <c r="D3526" s="22" t="s">
        <v>5963</v>
      </c>
      <c r="E3526" s="22" t="s">
        <v>48</v>
      </c>
      <c r="F3526" s="23" t="str">
        <f>HYPERLINK("https://www.spark-marketing.ru/Card/Lot/73335094",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26" s="22" t="s">
        <v>145</v>
      </c>
      <c r="H3526" s="22" t="s">
        <v>3257</v>
      </c>
      <c r="I3526" s="26">
        <v>43718.75</v>
      </c>
      <c r="J3526" s="23" t="str">
        <f>HYPERLINK("https://www.spark-marketing.ru/Card/Person/6704775", "ООО ""ЭКСПРЕСС""")</f>
        <v>ООО "ЭКСПРЕСС"</v>
      </c>
      <c r="K3526" s="24" t="s">
        <v>5801</v>
      </c>
      <c r="L3526" s="28" t="s">
        <v>51</v>
      </c>
      <c r="M3526" s="25">
        <v>470250</v>
      </c>
      <c r="N3526" s="27">
        <v>0.05</v>
      </c>
    </row>
    <row r="3527" spans="1:14" x14ac:dyDescent="0.15">
      <c r="A3527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527" s="24" t="s">
        <v>3255</v>
      </c>
      <c r="C3527" s="25">
        <v>1053721</v>
      </c>
      <c r="D3527" s="22" t="s">
        <v>5964</v>
      </c>
      <c r="E3527" s="22" t="s">
        <v>52</v>
      </c>
      <c r="F3527" s="23" t="str">
        <f>HYPERLINK("https://www.spark-marketing.ru/Card/Lot/73321465", "Поставка лекарственного препарата для медицинского применения ""Фосфолипиды+глицирризиновая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так...")</f>
        <v>Поставка лекарственного препарата для медицинского применения "Фосфолипиды+глицирризиновая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так...</v>
      </c>
      <c r="G3527" s="22" t="s">
        <v>210</v>
      </c>
      <c r="H3527" s="22" t="s">
        <v>3257</v>
      </c>
      <c r="I3527" s="26">
        <v>43718.668055555601</v>
      </c>
      <c r="J3527" s="28" t="s">
        <v>51</v>
      </c>
      <c r="K3527" s="28" t="s">
        <v>51</v>
      </c>
      <c r="L3527" s="28" t="s">
        <v>51</v>
      </c>
      <c r="M3527" s="28" t="s">
        <v>51</v>
      </c>
      <c r="N3527" s="28" t="s">
        <v>51</v>
      </c>
    </row>
    <row r="3528" spans="1:14" hidden="1" outlineLevel="1" x14ac:dyDescent="0.2">
      <c r="A3528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528" s="24" t="s">
        <v>3255</v>
      </c>
      <c r="C3528" s="25">
        <v>1053721</v>
      </c>
      <c r="D3528" s="22" t="s">
        <v>5964</v>
      </c>
      <c r="E3528" s="22" t="s">
        <v>52</v>
      </c>
      <c r="F3528" s="23" t="str">
        <f>HYPERLINK("https://www.spark-marketing.ru/Card/Lot/73321465", "Поставка лекарственного препарата для медицинского применения ""Фосфолипиды+глицирризиновая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так...")</f>
        <v>Поставка лекарственного препарата для медицинского применения "Фосфолипиды+глицирризиновая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так...</v>
      </c>
      <c r="G3528" s="22" t="s">
        <v>210</v>
      </c>
      <c r="H3528" s="22" t="s">
        <v>3257</v>
      </c>
      <c r="I3528" s="26">
        <v>43718.668055555601</v>
      </c>
      <c r="J3528" s="23" t="str">
        <f>HYPERLINK("https://www.spark-marketing.ru/Card/Person/1399616", "ООО ""ВИТАЛЕНД""")</f>
        <v>ООО "ВИТАЛЕНД"</v>
      </c>
      <c r="K3528" s="24" t="s">
        <v>5965</v>
      </c>
      <c r="L3528" s="28" t="s">
        <v>51</v>
      </c>
      <c r="M3528" s="25">
        <v>958882.51</v>
      </c>
      <c r="N3528" s="27">
        <v>9.0003416464130445E-2</v>
      </c>
    </row>
    <row r="3529" spans="1:14" hidden="1" outlineLevel="1" x14ac:dyDescent="0.2">
      <c r="A3529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529" s="24" t="s">
        <v>3255</v>
      </c>
      <c r="C3529" s="25">
        <v>1053721</v>
      </c>
      <c r="D3529" s="22" t="s">
        <v>5964</v>
      </c>
      <c r="E3529" s="22" t="s">
        <v>52</v>
      </c>
      <c r="F3529" s="23" t="str">
        <f>HYPERLINK("https://www.spark-marketing.ru/Card/Lot/73321465", "Поставка лекарственного препарата для медицинского применения ""Фосфолипиды+глицирризиновая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так...")</f>
        <v>Поставка лекарственного препарата для медицинского применения "Фосфолипиды+глицирризиновая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так...</v>
      </c>
      <c r="G3529" s="22" t="s">
        <v>210</v>
      </c>
      <c r="H3529" s="22" t="s">
        <v>3257</v>
      </c>
      <c r="I3529" s="26">
        <v>43718.668055555601</v>
      </c>
      <c r="J3529" s="23" t="str">
        <f>HYPERLINK("https://www.spark-marketing.ru/Card/Person/6276188", "ООО ""ФАРМАЛАЙФ""")</f>
        <v>ООО "ФАРМАЛАЙФ"</v>
      </c>
      <c r="K3529" s="24" t="s">
        <v>5926</v>
      </c>
      <c r="L3529" s="28" t="s">
        <v>51</v>
      </c>
      <c r="M3529" s="25">
        <v>969420.12</v>
      </c>
      <c r="N3529" s="27">
        <v>8.0003036857004842E-2</v>
      </c>
    </row>
    <row r="3530" spans="1:14" ht="12.75" hidden="1" outlineLevel="1" x14ac:dyDescent="0.2">
      <c r="A3530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530" s="24" t="s">
        <v>3255</v>
      </c>
      <c r="C3530" s="25">
        <v>1053721</v>
      </c>
      <c r="D3530" s="22" t="s">
        <v>5964</v>
      </c>
      <c r="E3530" s="22" t="s">
        <v>52</v>
      </c>
      <c r="F3530" s="23" t="str">
        <f>HYPERLINK("https://www.spark-marketing.ru/Card/Lot/73321465", "Поставка лекарственного препарата для медицинского применения ""Фосфолипиды+глицирризиновая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так...")</f>
        <v>Поставка лекарственного препарата для медицинского применения "Фосфолипиды+глицирризиновая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так...</v>
      </c>
      <c r="G3530" s="22" t="s">
        <v>210</v>
      </c>
      <c r="H3530" s="22" t="s">
        <v>3257</v>
      </c>
      <c r="I3530" s="26">
        <v>43718.668055555601</v>
      </c>
      <c r="J3530" s="23" t="str">
        <f>HYPERLINK("https://www.spark-marketing.ru/Card/Person/6591831", "ООО ""ХАЛИФ""")</f>
        <v>ООО "ХАЛИФ"</v>
      </c>
      <c r="K3530" s="24" t="s">
        <v>5596</v>
      </c>
      <c r="L3530" s="22" t="s">
        <v>10</v>
      </c>
      <c r="M3530" s="25">
        <v>921335</v>
      </c>
      <c r="N3530" s="27">
        <v>0.12563667232597622</v>
      </c>
    </row>
    <row r="3531" spans="1:14" hidden="1" outlineLevel="1" x14ac:dyDescent="0.2">
      <c r="A353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531" s="24" t="s">
        <v>3255</v>
      </c>
      <c r="C3531" s="25">
        <v>1053721</v>
      </c>
      <c r="D3531" s="22" t="s">
        <v>5964</v>
      </c>
      <c r="E3531" s="22" t="s">
        <v>52</v>
      </c>
      <c r="F3531" s="23" t="str">
        <f>HYPERLINK("https://www.spark-marketing.ru/Card/Lot/73321465", "Поставка лекарственного препарата для медицинского применения ""Фосфолипиды+глицирризиновая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так...")</f>
        <v>Поставка лекарственного препарата для медицинского применения "Фосфолипиды+глицирризиновая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так...</v>
      </c>
      <c r="G3531" s="22" t="s">
        <v>210</v>
      </c>
      <c r="H3531" s="22" t="s">
        <v>3257</v>
      </c>
      <c r="I3531" s="26">
        <v>43718.668055555601</v>
      </c>
      <c r="J3531" s="23" t="str">
        <f>HYPERLINK("https://www.spark-marketing.ru/Card/Person/4903748", "ООО ""КОНДОР""")</f>
        <v>ООО "КОНДОР"</v>
      </c>
      <c r="K3531" s="24" t="s">
        <v>4848</v>
      </c>
      <c r="L3531" s="28" t="s">
        <v>51</v>
      </c>
      <c r="M3531" s="25">
        <v>922005.88</v>
      </c>
      <c r="N3531" s="27">
        <v>0.12499999525491093</v>
      </c>
    </row>
    <row r="3532" spans="1:14" x14ac:dyDescent="0.15">
      <c r="A3532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3532" s="24" t="s">
        <v>309</v>
      </c>
      <c r="C3532" s="25">
        <v>498960</v>
      </c>
      <c r="D3532" s="22" t="s">
        <v>5966</v>
      </c>
      <c r="E3532" s="22" t="s">
        <v>48</v>
      </c>
      <c r="F3532" s="23" t="str">
        <f>HYPERLINK("https://www.spark-marketing.ru/Card/Lot/73334439", "Оказание услуг по питанию граждан, находящихся в спец. приемнике для содержания лиц, подвергнутых административному аресту")</f>
        <v>Оказание услуг по питанию граждан, находящихся в спец. приемнике для содержания лиц, подвергнутых административному аресту</v>
      </c>
      <c r="G3532" s="22" t="s">
        <v>49</v>
      </c>
      <c r="H3532" s="22" t="s">
        <v>5949</v>
      </c>
      <c r="I3532" s="26">
        <v>43718.694444444402</v>
      </c>
      <c r="J3532" s="23" t="str">
        <f>HYPERLINK("https://www.spark-marketing.ru/Card/Person/4734781", "Румянцева Анастасия Сергеевна")</f>
        <v>Румянцева Анастасия Сергеевна</v>
      </c>
      <c r="K3532" s="24" t="s">
        <v>5967</v>
      </c>
      <c r="L3532" s="22" t="s">
        <v>10</v>
      </c>
      <c r="M3532" s="28" t="s">
        <v>51</v>
      </c>
      <c r="N3532" s="28" t="s">
        <v>51</v>
      </c>
    </row>
    <row r="3533" spans="1:14" x14ac:dyDescent="0.15">
      <c r="A3533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533" s="24" t="s">
        <v>3255</v>
      </c>
      <c r="C3533" s="25">
        <v>1923940.8</v>
      </c>
      <c r="D3533" s="22" t="s">
        <v>5968</v>
      </c>
      <c r="E3533" s="22" t="s">
        <v>52</v>
      </c>
      <c r="F3533" s="23" t="str">
        <f>HYPERLINK("https://www.spark-marketing.ru/Card/Lot/73322849", "Поставка лекарственного препарата для медицинского применения ""Комплекс бета-железа [III] оксигидроксида, сахарозы и крахмала"" для оказания отдельным категориям граждан социальной услуги по обеспечению лекарственными препаратами для медицинского пр...")</f>
        <v>Поставка лекарственного препарата для медицинского применения "Комплекс бета-железа [III] оксигидроксида, сахарозы и крахмала" для оказания отдельным категориям граждан социальной услуги по обеспечению лекарственными препаратами для медицинского пр...</v>
      </c>
      <c r="G3533" s="22" t="s">
        <v>210</v>
      </c>
      <c r="H3533" s="22" t="s">
        <v>3257</v>
      </c>
      <c r="I3533" s="26">
        <v>43718.668055555601</v>
      </c>
      <c r="J3533" s="23" t="str">
        <f>HYPERLINK("https://www.spark-marketing.ru/Card/Person/6518829", "ООО ""ЭКОМЕДИКА""")</f>
        <v>ООО "ЭКОМЕДИКА"</v>
      </c>
      <c r="K3533" s="24" t="s">
        <v>4851</v>
      </c>
      <c r="L3533" s="22" t="s">
        <v>10</v>
      </c>
      <c r="M3533" s="28" t="s">
        <v>51</v>
      </c>
      <c r="N3533" s="28" t="s">
        <v>51</v>
      </c>
    </row>
    <row r="3534" spans="1:14" x14ac:dyDescent="0.15">
      <c r="A3534" s="23" t="str">
        <f>HYPERLINK("https://www.spark-marketing.ru/Card/Person/4479", "ГЛАВНОЕ УПРАВЛЕНИЕ МЧС РОССИИ ПО ХАБАРОВСКОМУ КРАЮ")</f>
        <v>ГЛАВНОЕ УПРАВЛЕНИЕ МЧС РОССИИ ПО ХАБАРОВСКОМУ КРАЮ</v>
      </c>
      <c r="B3534" s="24" t="s">
        <v>5969</v>
      </c>
      <c r="C3534" s="25">
        <v>482300</v>
      </c>
      <c r="D3534" s="22" t="s">
        <v>5970</v>
      </c>
      <c r="E3534" s="22" t="s">
        <v>48</v>
      </c>
      <c r="F3534" s="23" t="str">
        <f>HYPERLINK("https://www.spark-marketing.ru/Card/Lot/73319697", "Оказание услуг по организации питания дежурной смены")</f>
        <v>Оказание услуг по организации питания дежурной смены</v>
      </c>
      <c r="G3534" s="22" t="s">
        <v>1096</v>
      </c>
      <c r="H3534" s="22" t="s">
        <v>1097</v>
      </c>
      <c r="I3534" s="26">
        <v>43718.670138888898</v>
      </c>
      <c r="J3534" s="23" t="str">
        <f>HYPERLINK("https://www.spark-marketing.ru/Card/Person/486941", "ООО ""ГРАНД-АМУР""")</f>
        <v>ООО "ГРАНД-АМУР"</v>
      </c>
      <c r="K3534" s="24" t="s">
        <v>3965</v>
      </c>
      <c r="L3534" s="28" t="s">
        <v>51</v>
      </c>
      <c r="M3534" s="28" t="s">
        <v>51</v>
      </c>
      <c r="N3534" s="28" t="s">
        <v>51</v>
      </c>
    </row>
    <row r="3535" spans="1:14" ht="12.75" hidden="1" outlineLevel="1" x14ac:dyDescent="0.2">
      <c r="A3535" s="23" t="str">
        <f>HYPERLINK("https://www.spark-marketing.ru/Card/Person/4479", "ГЛАВНОЕ УПРАВЛЕНИЕ МЧС РОССИИ ПО ХАБАРОВСКОМУ КРАЮ")</f>
        <v>ГЛАВНОЕ УПРАВЛЕНИЕ МЧС РОССИИ ПО ХАБАРОВСКОМУ КРАЮ</v>
      </c>
      <c r="B3535" s="24" t="s">
        <v>5969</v>
      </c>
      <c r="C3535" s="25">
        <v>482300</v>
      </c>
      <c r="D3535" s="22" t="s">
        <v>5970</v>
      </c>
      <c r="E3535" s="22" t="s">
        <v>48</v>
      </c>
      <c r="F3535" s="23" t="str">
        <f>HYPERLINK("https://www.spark-marketing.ru/Card/Lot/73319697", "Оказание услуг по организации питания дежурной смены")</f>
        <v>Оказание услуг по организации питания дежурной смены</v>
      </c>
      <c r="G3535" s="22" t="s">
        <v>1096</v>
      </c>
      <c r="H3535" s="22" t="s">
        <v>1097</v>
      </c>
      <c r="I3535" s="26">
        <v>43718.670138888898</v>
      </c>
      <c r="J3535" s="23" t="str">
        <f>HYPERLINK("https://www.spark-marketing.ru/Card/Person/486941", "ООО ""ГРАНД-АМУР""")</f>
        <v>ООО "ГРАНД-АМУР"</v>
      </c>
      <c r="K3535" s="24" t="s">
        <v>3965</v>
      </c>
      <c r="L3535" s="22" t="s">
        <v>10</v>
      </c>
      <c r="M3535" s="25">
        <v>479888.5</v>
      </c>
      <c r="N3535" s="27">
        <v>5.0000000000000001E-3</v>
      </c>
    </row>
    <row r="3536" spans="1:14" x14ac:dyDescent="0.15">
      <c r="A3536" s="23" t="str">
        <f>HYPERLINK("https://www.spark-marketing.ru/Card/Person/736757", "МОБУ ГИМНАЗИЯ № 1 Г. БЛАГОВЕЩЕНСКА")</f>
        <v>МОБУ ГИМНАЗИЯ № 1 Г. БЛАГОВЕЩЕНСКА</v>
      </c>
      <c r="B3536" s="24" t="s">
        <v>5805</v>
      </c>
      <c r="C3536" s="25">
        <v>462000</v>
      </c>
      <c r="D3536" s="22" t="s">
        <v>5971</v>
      </c>
      <c r="E3536" s="22" t="s">
        <v>48</v>
      </c>
      <c r="F3536" s="23" t="str">
        <f>HYPERLINK("https://www.spark-marketing.ru/Card/Lot/73335184",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36" s="22" t="s">
        <v>145</v>
      </c>
      <c r="H3536" s="22" t="s">
        <v>3257</v>
      </c>
      <c r="I3536" s="26">
        <v>43718.752083333296</v>
      </c>
      <c r="J3536" s="28" t="s">
        <v>51</v>
      </c>
      <c r="K3536" s="28" t="s">
        <v>51</v>
      </c>
      <c r="L3536" s="28" t="s">
        <v>51</v>
      </c>
      <c r="M3536" s="28" t="s">
        <v>51</v>
      </c>
      <c r="N3536" s="28" t="s">
        <v>51</v>
      </c>
    </row>
    <row r="3537" spans="1:14" ht="12.75" hidden="1" outlineLevel="1" x14ac:dyDescent="0.2">
      <c r="A3537" s="23" t="str">
        <f>HYPERLINK("https://www.spark-marketing.ru/Card/Person/736757", "МОБУ ГИМНАЗИЯ № 1 Г. БЛАГОВЕЩЕНСКА")</f>
        <v>МОБУ ГИМНАЗИЯ № 1 Г. БЛАГОВЕЩЕНСКА</v>
      </c>
      <c r="B3537" s="24" t="s">
        <v>5805</v>
      </c>
      <c r="C3537" s="25">
        <v>462000</v>
      </c>
      <c r="D3537" s="22" t="s">
        <v>5971</v>
      </c>
      <c r="E3537" s="22" t="s">
        <v>48</v>
      </c>
      <c r="F3537" s="23" t="str">
        <f>HYPERLINK("https://www.spark-marketing.ru/Card/Lot/73335184",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37" s="22" t="s">
        <v>145</v>
      </c>
      <c r="H3537" s="22" t="s">
        <v>3257</v>
      </c>
      <c r="I3537" s="26">
        <v>43718.752083333296</v>
      </c>
      <c r="J3537" s="23" t="str">
        <f>HYPERLINK("https://www.spark-marketing.ru/Card/Person/87029", "ООО ФИРМА ""ДОМОУСТРОИТЕЛЬ""")</f>
        <v>ООО ФИРМА "ДОМОУСТРОИТЕЛЬ"</v>
      </c>
      <c r="K3537" s="24" t="s">
        <v>5798</v>
      </c>
      <c r="L3537" s="22" t="s">
        <v>10</v>
      </c>
      <c r="M3537" s="25">
        <v>425040</v>
      </c>
      <c r="N3537" s="27">
        <v>0.08</v>
      </c>
    </row>
    <row r="3538" spans="1:14" hidden="1" outlineLevel="1" x14ac:dyDescent="0.2">
      <c r="A3538" s="23" t="str">
        <f>HYPERLINK("https://www.spark-marketing.ru/Card/Person/736757", "МОБУ ГИМНАЗИЯ № 1 Г. БЛАГОВЕЩЕНСКА")</f>
        <v>МОБУ ГИМНАЗИЯ № 1 Г. БЛАГОВЕЩЕНСКА</v>
      </c>
      <c r="B3538" s="24" t="s">
        <v>5805</v>
      </c>
      <c r="C3538" s="25">
        <v>462000</v>
      </c>
      <c r="D3538" s="22" t="s">
        <v>5971</v>
      </c>
      <c r="E3538" s="22" t="s">
        <v>48</v>
      </c>
      <c r="F3538" s="23" t="str">
        <f>HYPERLINK("https://www.spark-marketing.ru/Card/Lot/73335184",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38" s="22" t="s">
        <v>145</v>
      </c>
      <c r="H3538" s="22" t="s">
        <v>3257</v>
      </c>
      <c r="I3538" s="26">
        <v>43718.752083333296</v>
      </c>
      <c r="J3538" s="23" t="str">
        <f>HYPERLINK("https://www.spark-marketing.ru/Card/Person/6704775", "ООО ""ЭКСПРЕСС""")</f>
        <v>ООО "ЭКСПРЕСС"</v>
      </c>
      <c r="K3538" s="24" t="s">
        <v>5801</v>
      </c>
      <c r="L3538" s="28" t="s">
        <v>51</v>
      </c>
      <c r="M3538" s="25">
        <v>438900</v>
      </c>
      <c r="N3538" s="27">
        <v>0.05</v>
      </c>
    </row>
    <row r="3539" spans="1:14" hidden="1" outlineLevel="1" x14ac:dyDescent="0.2">
      <c r="A3539" s="23" t="str">
        <f>HYPERLINK("https://www.spark-marketing.ru/Card/Person/736757", "МОБУ ГИМНАЗИЯ № 1 Г. БЛАГОВЕЩЕНСКА")</f>
        <v>МОБУ ГИМНАЗИЯ № 1 Г. БЛАГОВЕЩЕНСКА</v>
      </c>
      <c r="B3539" s="24" t="s">
        <v>5805</v>
      </c>
      <c r="C3539" s="25">
        <v>462000</v>
      </c>
      <c r="D3539" s="22" t="s">
        <v>5971</v>
      </c>
      <c r="E3539" s="22" t="s">
        <v>48</v>
      </c>
      <c r="F3539" s="23" t="str">
        <f>HYPERLINK("https://www.spark-marketing.ru/Card/Lot/73335184",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39" s="22" t="s">
        <v>145</v>
      </c>
      <c r="H3539" s="22" t="s">
        <v>3257</v>
      </c>
      <c r="I3539" s="26">
        <v>43718.752083333296</v>
      </c>
      <c r="J3539" s="23" t="str">
        <f>HYPERLINK("https://www.spark-marketing.ru/Card/Person/201517", "ООО ""ВАРИАНТ""")</f>
        <v>ООО "ВАРИАНТ"</v>
      </c>
      <c r="K3539" s="24" t="s">
        <v>5799</v>
      </c>
      <c r="L3539" s="28" t="s">
        <v>51</v>
      </c>
      <c r="M3539" s="25">
        <v>462000</v>
      </c>
      <c r="N3539" s="27">
        <v>0</v>
      </c>
    </row>
    <row r="3540" spans="1:14" hidden="1" outlineLevel="1" x14ac:dyDescent="0.2">
      <c r="A3540" s="23" t="str">
        <f>HYPERLINK("https://www.spark-marketing.ru/Card/Person/736757", "МОБУ ГИМНАЗИЯ № 1 Г. БЛАГОВЕЩЕНСКА")</f>
        <v>МОБУ ГИМНАЗИЯ № 1 Г. БЛАГОВЕЩЕНСКА</v>
      </c>
      <c r="B3540" s="24" t="s">
        <v>5805</v>
      </c>
      <c r="C3540" s="25">
        <v>462000</v>
      </c>
      <c r="D3540" s="22" t="s">
        <v>5971</v>
      </c>
      <c r="E3540" s="22" t="s">
        <v>48</v>
      </c>
      <c r="F3540" s="23" t="str">
        <f>HYPERLINK("https://www.spark-marketing.ru/Card/Lot/73335184",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40" s="22" t="s">
        <v>145</v>
      </c>
      <c r="H3540" s="22" t="s">
        <v>3257</v>
      </c>
      <c r="I3540" s="26">
        <v>43718.752083333296</v>
      </c>
      <c r="J3540" s="23" t="str">
        <f>HYPERLINK("https://www.spark-marketing.ru/Card/Person/145110", "ООО ""ТК ""ЗК""")</f>
        <v>ООО "ТК "ЗК"</v>
      </c>
      <c r="K3540" s="24" t="s">
        <v>5800</v>
      </c>
      <c r="L3540" s="28" t="s">
        <v>51</v>
      </c>
      <c r="M3540" s="25">
        <v>383460</v>
      </c>
      <c r="N3540" s="27">
        <v>0.17</v>
      </c>
    </row>
    <row r="3541" spans="1:14" x14ac:dyDescent="0.15">
      <c r="A3541" s="23" t="str">
        <f>HYPERLINK("https://www.spark-marketing.ru/Card/Person/104362", "ГБУ РС (Я) ""ЭВЕНО-БЫТАНТАЙСКАЯ ЦРБ ИМ.К.А.СЕРЕБРЯКОВОЙ""")</f>
        <v>ГБУ РС (Я) "ЭВЕНО-БЫТАНТАЙСКАЯ ЦРБ ИМ.К.А.СЕРЕБРЯКОВОЙ"</v>
      </c>
      <c r="B3541" s="24" t="s">
        <v>5972</v>
      </c>
      <c r="C3541" s="25">
        <v>1887417.6</v>
      </c>
      <c r="D3541" s="22" t="s">
        <v>5973</v>
      </c>
      <c r="E3541" s="22" t="s">
        <v>48</v>
      </c>
      <c r="F3541" s="23" t="str">
        <f>HYPERLINK("https://www.spark-marketing.ru/Card/Lot/73324161", "услуги организации питания")</f>
        <v>услуги организации питания</v>
      </c>
      <c r="G3541" s="22" t="s">
        <v>241</v>
      </c>
      <c r="H3541" s="22" t="s">
        <v>5974</v>
      </c>
      <c r="I3541" s="26">
        <v>43718.695833333302</v>
      </c>
      <c r="J3541" s="23" t="str">
        <f>HYPERLINK("https://www.spark-marketing.ru/Card/Person/195060", "Андросова Валентина Семеновна")</f>
        <v>Андросова Валентина Семеновна</v>
      </c>
      <c r="K3541" s="24" t="s">
        <v>5975</v>
      </c>
      <c r="L3541" s="22" t="s">
        <v>10</v>
      </c>
      <c r="M3541" s="28" t="s">
        <v>51</v>
      </c>
      <c r="N3541" s="28" t="s">
        <v>51</v>
      </c>
    </row>
    <row r="3542" spans="1:14" x14ac:dyDescent="0.15">
      <c r="A3542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3542" s="24" t="s">
        <v>309</v>
      </c>
      <c r="C3542" s="25">
        <v>734440</v>
      </c>
      <c r="D3542" s="22" t="s">
        <v>5976</v>
      </c>
      <c r="E3542" s="22" t="s">
        <v>48</v>
      </c>
      <c r="F3542" s="23" t="str">
        <f>HYPERLINK("https://www.spark-marketing.ru/Card/Lot/73334480", "Оказание услуг по питанию граждан находящихся в ИВС")</f>
        <v>Оказание услуг по питанию граждан находящихся в ИВС</v>
      </c>
      <c r="G3542" s="22" t="s">
        <v>49</v>
      </c>
      <c r="H3542" s="22" t="s">
        <v>5949</v>
      </c>
      <c r="I3542" s="26">
        <v>43718.693749999999</v>
      </c>
      <c r="J3542" s="23" t="str">
        <f>HYPERLINK("https://www.spark-marketing.ru/Card/Person/4734781", "Румянцева Анастасия Сергеевна")</f>
        <v>Румянцева Анастасия Сергеевна</v>
      </c>
      <c r="K3542" s="24" t="s">
        <v>5967</v>
      </c>
      <c r="L3542" s="22" t="s">
        <v>10</v>
      </c>
      <c r="M3542" s="28" t="s">
        <v>51</v>
      </c>
      <c r="N3542" s="28" t="s">
        <v>51</v>
      </c>
    </row>
    <row r="3543" spans="1:14" x14ac:dyDescent="0.15">
      <c r="A3543" s="23" t="str">
        <f>HYPERLINK("https://www.spark-marketing.ru/Card/Person/737322", "МОБУ ООШ №2 Г. БЛАГОВЕЩЕНСКА")</f>
        <v>МОБУ ООШ №2 Г. БЛАГОВЕЩЕНСКА</v>
      </c>
      <c r="B3543" s="24" t="s">
        <v>5957</v>
      </c>
      <c r="C3543" s="25">
        <v>495000</v>
      </c>
      <c r="D3543" s="22" t="s">
        <v>5977</v>
      </c>
      <c r="E3543" s="22" t="s">
        <v>48</v>
      </c>
      <c r="F3543" s="23" t="str">
        <f>HYPERLINK("https://www.spark-marketing.ru/Card/Lot/73334436",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43" s="22" t="s">
        <v>145</v>
      </c>
      <c r="H3543" s="22" t="s">
        <v>3257</v>
      </c>
      <c r="I3543" s="26">
        <v>43718.745138888902</v>
      </c>
      <c r="J3543" s="28" t="s">
        <v>51</v>
      </c>
      <c r="K3543" s="28" t="s">
        <v>51</v>
      </c>
      <c r="L3543" s="28" t="s">
        <v>51</v>
      </c>
      <c r="M3543" s="28" t="s">
        <v>51</v>
      </c>
      <c r="N3543" s="28" t="s">
        <v>51</v>
      </c>
    </row>
    <row r="3544" spans="1:14" ht="12.75" hidden="1" outlineLevel="1" x14ac:dyDescent="0.2">
      <c r="A3544" s="23" t="str">
        <f>HYPERLINK("https://www.spark-marketing.ru/Card/Person/737322", "МОБУ ООШ №2 Г. БЛАГОВЕЩЕНСКА")</f>
        <v>МОБУ ООШ №2 Г. БЛАГОВЕЩЕНСКА</v>
      </c>
      <c r="B3544" s="24" t="s">
        <v>5957</v>
      </c>
      <c r="C3544" s="25">
        <v>495000</v>
      </c>
      <c r="D3544" s="22" t="s">
        <v>5977</v>
      </c>
      <c r="E3544" s="22" t="s">
        <v>48</v>
      </c>
      <c r="F3544" s="23" t="str">
        <f>HYPERLINK("https://www.spark-marketing.ru/Card/Lot/73334436",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44" s="22" t="s">
        <v>145</v>
      </c>
      <c r="H3544" s="22" t="s">
        <v>3257</v>
      </c>
      <c r="I3544" s="26">
        <v>43718.745138888902</v>
      </c>
      <c r="J3544" s="23" t="str">
        <f>HYPERLINK("https://www.spark-marketing.ru/Card/Person/87029", "ООО ФИРМА ""ДОМОУСТРОИТЕЛЬ""")</f>
        <v>ООО ФИРМА "ДОМОУСТРОИТЕЛЬ"</v>
      </c>
      <c r="K3544" s="24" t="s">
        <v>5798</v>
      </c>
      <c r="L3544" s="22" t="s">
        <v>10</v>
      </c>
      <c r="M3544" s="25">
        <v>455400</v>
      </c>
      <c r="N3544" s="27">
        <v>0.08</v>
      </c>
    </row>
    <row r="3545" spans="1:14" hidden="1" outlineLevel="1" x14ac:dyDescent="0.2">
      <c r="A3545" s="23" t="str">
        <f>HYPERLINK("https://www.spark-marketing.ru/Card/Person/737322", "МОБУ ООШ №2 Г. БЛАГОВЕЩЕНСКА")</f>
        <v>МОБУ ООШ №2 Г. БЛАГОВЕЩЕНСКА</v>
      </c>
      <c r="B3545" s="24" t="s">
        <v>5957</v>
      </c>
      <c r="C3545" s="25">
        <v>495000</v>
      </c>
      <c r="D3545" s="22" t="s">
        <v>5977</v>
      </c>
      <c r="E3545" s="22" t="s">
        <v>48</v>
      </c>
      <c r="F3545" s="23" t="str">
        <f>HYPERLINK("https://www.spark-marketing.ru/Card/Lot/73334436",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45" s="22" t="s">
        <v>145</v>
      </c>
      <c r="H3545" s="22" t="s">
        <v>3257</v>
      </c>
      <c r="I3545" s="26">
        <v>43718.745138888902</v>
      </c>
      <c r="J3545" s="23" t="str">
        <f>HYPERLINK("https://www.spark-marketing.ru/Card/Person/201517", "ООО ""ВАРИАНТ""")</f>
        <v>ООО "ВАРИАНТ"</v>
      </c>
      <c r="K3545" s="24" t="s">
        <v>5799</v>
      </c>
      <c r="L3545" s="28" t="s">
        <v>51</v>
      </c>
      <c r="M3545" s="25">
        <v>495000</v>
      </c>
      <c r="N3545" s="27">
        <v>0</v>
      </c>
    </row>
    <row r="3546" spans="1:14" hidden="1" outlineLevel="1" x14ac:dyDescent="0.2">
      <c r="A3546" s="23" t="str">
        <f>HYPERLINK("https://www.spark-marketing.ru/Card/Person/737322", "МОБУ ООШ №2 Г. БЛАГОВЕЩЕНСКА")</f>
        <v>МОБУ ООШ №2 Г. БЛАГОВЕЩЕНСКА</v>
      </c>
      <c r="B3546" s="24" t="s">
        <v>5957</v>
      </c>
      <c r="C3546" s="25">
        <v>495000</v>
      </c>
      <c r="D3546" s="22" t="s">
        <v>5977</v>
      </c>
      <c r="E3546" s="22" t="s">
        <v>48</v>
      </c>
      <c r="F3546" s="23" t="str">
        <f>HYPERLINK("https://www.spark-marketing.ru/Card/Lot/73334436",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46" s="22" t="s">
        <v>145</v>
      </c>
      <c r="H3546" s="22" t="s">
        <v>3257</v>
      </c>
      <c r="I3546" s="26">
        <v>43718.745138888902</v>
      </c>
      <c r="J3546" s="23" t="str">
        <f>HYPERLINK("https://www.spark-marketing.ru/Card/Person/145110", "ООО ""ТК ""ЗК""")</f>
        <v>ООО "ТК "ЗК"</v>
      </c>
      <c r="K3546" s="24" t="s">
        <v>5800</v>
      </c>
      <c r="L3546" s="28" t="s">
        <v>51</v>
      </c>
      <c r="M3546" s="25">
        <v>410580</v>
      </c>
      <c r="N3546" s="27">
        <v>0.17054545454545456</v>
      </c>
    </row>
    <row r="3547" spans="1:14" hidden="1" outlineLevel="1" x14ac:dyDescent="0.2">
      <c r="A3547" s="23" t="str">
        <f>HYPERLINK("https://www.spark-marketing.ru/Card/Person/737322", "МОБУ ООШ №2 Г. БЛАГОВЕЩЕНСКА")</f>
        <v>МОБУ ООШ №2 Г. БЛАГОВЕЩЕНСКА</v>
      </c>
      <c r="B3547" s="24" t="s">
        <v>5957</v>
      </c>
      <c r="C3547" s="25">
        <v>495000</v>
      </c>
      <c r="D3547" s="22" t="s">
        <v>5977</v>
      </c>
      <c r="E3547" s="22" t="s">
        <v>48</v>
      </c>
      <c r="F3547" s="23" t="str">
        <f>HYPERLINK("https://www.spark-marketing.ru/Card/Lot/73334436",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47" s="22" t="s">
        <v>145</v>
      </c>
      <c r="H3547" s="22" t="s">
        <v>3257</v>
      </c>
      <c r="I3547" s="26">
        <v>43718.745138888902</v>
      </c>
      <c r="J3547" s="23" t="str">
        <f>HYPERLINK("https://www.spark-marketing.ru/Card/Person/6704775", "ООО ""ЭКСПРЕСС""")</f>
        <v>ООО "ЭКСПРЕСС"</v>
      </c>
      <c r="K3547" s="24" t="s">
        <v>5801</v>
      </c>
      <c r="L3547" s="28" t="s">
        <v>51</v>
      </c>
      <c r="M3547" s="25">
        <v>470250</v>
      </c>
      <c r="N3547" s="27">
        <v>0.05</v>
      </c>
    </row>
    <row r="3548" spans="1:14" x14ac:dyDescent="0.15">
      <c r="A3548" s="23" t="str">
        <f>HYPERLINK("https://www.spark-marketing.ru/Card/Person/736645", "МОБУ СОШ №6 ИМ. М.А.КИНЯШОВА Г.БЛАГОВЕЩЕНСКА РБ")</f>
        <v>МОБУ СОШ №6 ИМ. М.А.КИНЯШОВА Г.БЛАГОВЕЩЕНСКА РБ</v>
      </c>
      <c r="B3548" s="24" t="s">
        <v>5954</v>
      </c>
      <c r="C3548" s="25">
        <v>495000</v>
      </c>
      <c r="D3548" s="22" t="s">
        <v>5978</v>
      </c>
      <c r="E3548" s="22" t="s">
        <v>48</v>
      </c>
      <c r="F3548" s="23" t="str">
        <f>HYPERLINK("https://www.spark-marketing.ru/Card/Lot/73334435",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48" s="22" t="s">
        <v>145</v>
      </c>
      <c r="H3548" s="22" t="s">
        <v>3257</v>
      </c>
      <c r="I3548" s="26">
        <v>43718.748611111099</v>
      </c>
      <c r="J3548" s="28" t="s">
        <v>51</v>
      </c>
      <c r="K3548" s="28" t="s">
        <v>51</v>
      </c>
      <c r="L3548" s="28" t="s">
        <v>51</v>
      </c>
      <c r="M3548" s="28" t="s">
        <v>51</v>
      </c>
      <c r="N3548" s="28" t="s">
        <v>51</v>
      </c>
    </row>
    <row r="3549" spans="1:14" hidden="1" outlineLevel="1" x14ac:dyDescent="0.2">
      <c r="A3549" s="23" t="str">
        <f>HYPERLINK("https://www.spark-marketing.ru/Card/Person/736645", "МОБУ СОШ №6 ИМ. М.А.КИНЯШОВА Г.БЛАГОВЕЩЕНСКА РБ")</f>
        <v>МОБУ СОШ №6 ИМ. М.А.КИНЯШОВА Г.БЛАГОВЕЩЕНСКА РБ</v>
      </c>
      <c r="B3549" s="24" t="s">
        <v>5954</v>
      </c>
      <c r="C3549" s="25">
        <v>495000</v>
      </c>
      <c r="D3549" s="22" t="s">
        <v>5978</v>
      </c>
      <c r="E3549" s="22" t="s">
        <v>48</v>
      </c>
      <c r="F3549" s="23" t="str">
        <f>HYPERLINK("https://www.spark-marketing.ru/Card/Lot/73334435",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49" s="22" t="s">
        <v>145</v>
      </c>
      <c r="H3549" s="22" t="s">
        <v>3257</v>
      </c>
      <c r="I3549" s="26">
        <v>43718.748611111099</v>
      </c>
      <c r="J3549" s="23" t="str">
        <f>HYPERLINK("https://www.spark-marketing.ru/Card/Person/145110", "ООО ""ТК ""ЗК""")</f>
        <v>ООО "ТК "ЗК"</v>
      </c>
      <c r="K3549" s="24" t="s">
        <v>5800</v>
      </c>
      <c r="L3549" s="28" t="s">
        <v>51</v>
      </c>
      <c r="M3549" s="25">
        <v>410850</v>
      </c>
      <c r="N3549" s="27">
        <v>0.17</v>
      </c>
    </row>
    <row r="3550" spans="1:14" ht="12.75" hidden="1" outlineLevel="1" x14ac:dyDescent="0.2">
      <c r="A3550" s="23" t="str">
        <f>HYPERLINK("https://www.spark-marketing.ru/Card/Person/736645", "МОБУ СОШ №6 ИМ. М.А.КИНЯШОВА Г.БЛАГОВЕЩЕНСКА РБ")</f>
        <v>МОБУ СОШ №6 ИМ. М.А.КИНЯШОВА Г.БЛАГОВЕЩЕНСКА РБ</v>
      </c>
      <c r="B3550" s="24" t="s">
        <v>5954</v>
      </c>
      <c r="C3550" s="25">
        <v>495000</v>
      </c>
      <c r="D3550" s="22" t="s">
        <v>5978</v>
      </c>
      <c r="E3550" s="22" t="s">
        <v>48</v>
      </c>
      <c r="F3550" s="23" t="str">
        <f>HYPERLINK("https://www.spark-marketing.ru/Card/Lot/73334435",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50" s="22" t="s">
        <v>145</v>
      </c>
      <c r="H3550" s="22" t="s">
        <v>3257</v>
      </c>
      <c r="I3550" s="26">
        <v>43718.748611111099</v>
      </c>
      <c r="J3550" s="23" t="str">
        <f>HYPERLINK("https://www.spark-marketing.ru/Card/Person/87029", "ООО ФИРМА ""ДОМОУСТРОИТЕЛЬ""")</f>
        <v>ООО ФИРМА "ДОМОУСТРОИТЕЛЬ"</v>
      </c>
      <c r="K3550" s="24" t="s">
        <v>5798</v>
      </c>
      <c r="L3550" s="22" t="s">
        <v>10</v>
      </c>
      <c r="M3550" s="25">
        <v>455400</v>
      </c>
      <c r="N3550" s="27">
        <v>0.08</v>
      </c>
    </row>
    <row r="3551" spans="1:14" hidden="1" outlineLevel="1" x14ac:dyDescent="0.2">
      <c r="A3551" s="23" t="str">
        <f>HYPERLINK("https://www.spark-marketing.ru/Card/Person/736645", "МОБУ СОШ №6 ИМ. М.А.КИНЯШОВА Г.БЛАГОВЕЩЕНСКА РБ")</f>
        <v>МОБУ СОШ №6 ИМ. М.А.КИНЯШОВА Г.БЛАГОВЕЩЕНСКА РБ</v>
      </c>
      <c r="B3551" s="24" t="s">
        <v>5954</v>
      </c>
      <c r="C3551" s="25">
        <v>495000</v>
      </c>
      <c r="D3551" s="22" t="s">
        <v>5978</v>
      </c>
      <c r="E3551" s="22" t="s">
        <v>48</v>
      </c>
      <c r="F3551" s="23" t="str">
        <f>HYPERLINK("https://www.spark-marketing.ru/Card/Lot/73334435",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51" s="22" t="s">
        <v>145</v>
      </c>
      <c r="H3551" s="22" t="s">
        <v>3257</v>
      </c>
      <c r="I3551" s="26">
        <v>43718.748611111099</v>
      </c>
      <c r="J3551" s="23" t="str">
        <f>HYPERLINK("https://www.spark-marketing.ru/Card/Person/6704775", "ООО ""ЭКСПРЕСС""")</f>
        <v>ООО "ЭКСПРЕСС"</v>
      </c>
      <c r="K3551" s="24" t="s">
        <v>5801</v>
      </c>
      <c r="L3551" s="28" t="s">
        <v>51</v>
      </c>
      <c r="M3551" s="25">
        <v>470250</v>
      </c>
      <c r="N3551" s="27">
        <v>0.05</v>
      </c>
    </row>
    <row r="3552" spans="1:14" hidden="1" outlineLevel="1" x14ac:dyDescent="0.2">
      <c r="A3552" s="23" t="str">
        <f>HYPERLINK("https://www.spark-marketing.ru/Card/Person/736645", "МОБУ СОШ №6 ИМ. М.А.КИНЯШОВА Г.БЛАГОВЕЩЕНСКА РБ")</f>
        <v>МОБУ СОШ №6 ИМ. М.А.КИНЯШОВА Г.БЛАГОВЕЩЕНСКА РБ</v>
      </c>
      <c r="B3552" s="24" t="s">
        <v>5954</v>
      </c>
      <c r="C3552" s="25">
        <v>495000</v>
      </c>
      <c r="D3552" s="22" t="s">
        <v>5978</v>
      </c>
      <c r="E3552" s="22" t="s">
        <v>48</v>
      </c>
      <c r="F3552" s="23" t="str">
        <f>HYPERLINK("https://www.spark-marketing.ru/Card/Lot/73334435", "Оказание услуг по организации питания обучающихся с ограниченными возможностями здоровья в общеобразовательной организации")</f>
        <v>Оказание услуг по организации питания обучающихся с ограниченными возможностями здоровья в общеобразовательной организации</v>
      </c>
      <c r="G3552" s="22" t="s">
        <v>145</v>
      </c>
      <c r="H3552" s="22" t="s">
        <v>3257</v>
      </c>
      <c r="I3552" s="26">
        <v>43718.748611111099</v>
      </c>
      <c r="J3552" s="23" t="str">
        <f>HYPERLINK("https://www.spark-marketing.ru/Card/Person/201517", "ООО ""ВАРИАНТ""")</f>
        <v>ООО "ВАРИАНТ"</v>
      </c>
      <c r="K3552" s="24" t="s">
        <v>5799</v>
      </c>
      <c r="L3552" s="28" t="s">
        <v>51</v>
      </c>
      <c r="M3552" s="25">
        <v>495000</v>
      </c>
      <c r="N3552" s="27">
        <v>0</v>
      </c>
    </row>
    <row r="3553" spans="1:14" x14ac:dyDescent="0.15">
      <c r="A3553" s="23" t="str">
        <f>HYPERLINK("https://www.spark-marketing.ru/Card/Person/34895", "УМВД РОССИИ ПО Г. АБАКАНУ")</f>
        <v>УМВД РОССИИ ПО Г. АБАКАНУ</v>
      </c>
      <c r="B3553" s="24" t="s">
        <v>5979</v>
      </c>
      <c r="C3553" s="25">
        <v>431000</v>
      </c>
      <c r="D3553" s="22" t="s">
        <v>5980</v>
      </c>
      <c r="E3553" s="22" t="s">
        <v>48</v>
      </c>
      <c r="F3553" s="23" t="str">
        <f>HYPERLINK("https://www.spark-marketing.ru/Card/Lot/73323428", "Оказание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3553" s="22" t="s">
        <v>92</v>
      </c>
      <c r="H3553" s="22" t="s">
        <v>93</v>
      </c>
      <c r="I3553" s="26">
        <v>43718.625694444403</v>
      </c>
      <c r="J3553" s="28" t="s">
        <v>51</v>
      </c>
      <c r="K3553" s="28" t="s">
        <v>51</v>
      </c>
      <c r="L3553" s="28" t="s">
        <v>51</v>
      </c>
      <c r="M3553" s="28" t="s">
        <v>51</v>
      </c>
      <c r="N3553" s="28" t="s">
        <v>51</v>
      </c>
    </row>
    <row r="3554" spans="1:14" hidden="1" outlineLevel="1" x14ac:dyDescent="0.2">
      <c r="A3554" s="23" t="str">
        <f>HYPERLINK("https://www.spark-marketing.ru/Card/Person/34895", "УМВД РОССИИ ПО Г. АБАКАНУ")</f>
        <v>УМВД РОССИИ ПО Г. АБАКАНУ</v>
      </c>
      <c r="B3554" s="24" t="s">
        <v>5979</v>
      </c>
      <c r="C3554" s="25">
        <v>431000</v>
      </c>
      <c r="D3554" s="22" t="s">
        <v>5980</v>
      </c>
      <c r="E3554" s="22" t="s">
        <v>48</v>
      </c>
      <c r="F3554" s="23" t="str">
        <f>HYPERLINK("https://www.spark-marketing.ru/Card/Lot/73323428", "Оказание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3554" s="22" t="s">
        <v>92</v>
      </c>
      <c r="H3554" s="22" t="s">
        <v>93</v>
      </c>
      <c r="I3554" s="26">
        <v>43718.625694444403</v>
      </c>
      <c r="J3554" s="23" t="str">
        <f>HYPERLINK("https://www.spark-marketing.ru/Card/Person/656154", "ООО ""ЗЕВС""")</f>
        <v>ООО "ЗЕВС"</v>
      </c>
      <c r="K3554" s="24" t="s">
        <v>5981</v>
      </c>
      <c r="L3554" s="28" t="s">
        <v>51</v>
      </c>
      <c r="M3554" s="25">
        <v>422380</v>
      </c>
      <c r="N3554" s="27">
        <v>0.02</v>
      </c>
    </row>
    <row r="3555" spans="1:14" hidden="1" outlineLevel="1" x14ac:dyDescent="0.2">
      <c r="A3555" s="23" t="str">
        <f>HYPERLINK("https://www.spark-marketing.ru/Card/Person/34895", "УМВД РОССИИ ПО Г. АБАКАНУ")</f>
        <v>УМВД РОССИИ ПО Г. АБАКАНУ</v>
      </c>
      <c r="B3555" s="24" t="s">
        <v>5979</v>
      </c>
      <c r="C3555" s="25">
        <v>431000</v>
      </c>
      <c r="D3555" s="22" t="s">
        <v>5980</v>
      </c>
      <c r="E3555" s="22" t="s">
        <v>48</v>
      </c>
      <c r="F3555" s="23" t="str">
        <f>HYPERLINK("https://www.spark-marketing.ru/Card/Lot/73323428", "Оказание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3555" s="22" t="s">
        <v>92</v>
      </c>
      <c r="H3555" s="22" t="s">
        <v>93</v>
      </c>
      <c r="I3555" s="26">
        <v>43718.625694444403</v>
      </c>
      <c r="J3555" s="23" t="str">
        <f>HYPERLINK("https://www.spark-marketing.ru/Card/Person/932796", "Шаповаленко Николай Антонович")</f>
        <v>Шаповаленко Николай Антонович</v>
      </c>
      <c r="K3555" s="24" t="s">
        <v>5982</v>
      </c>
      <c r="L3555" s="28" t="s">
        <v>51</v>
      </c>
      <c r="M3555" s="25">
        <v>254295</v>
      </c>
      <c r="N3555" s="27">
        <v>0.40998839907192575</v>
      </c>
    </row>
    <row r="3556" spans="1:14" ht="12.75" hidden="1" outlineLevel="1" x14ac:dyDescent="0.2">
      <c r="A3556" s="23" t="str">
        <f>HYPERLINK("https://www.spark-marketing.ru/Card/Person/34895", "УМВД РОССИИ ПО Г. АБАКАНУ")</f>
        <v>УМВД РОССИИ ПО Г. АБАКАНУ</v>
      </c>
      <c r="B3556" s="24" t="s">
        <v>5979</v>
      </c>
      <c r="C3556" s="25">
        <v>431000</v>
      </c>
      <c r="D3556" s="22" t="s">
        <v>5980</v>
      </c>
      <c r="E3556" s="22" t="s">
        <v>48</v>
      </c>
      <c r="F3556" s="23" t="str">
        <f>HYPERLINK("https://www.spark-marketing.ru/Card/Lot/73323428", "Оказание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3556" s="22" t="s">
        <v>92</v>
      </c>
      <c r="H3556" s="22" t="s">
        <v>93</v>
      </c>
      <c r="I3556" s="26">
        <v>43718.625694444403</v>
      </c>
      <c r="J3556" s="23" t="str">
        <f>HYPERLINK("https://www.spark-marketing.ru/Card/Person/4948502", "Будаева Ольга Борисовна")</f>
        <v>Будаева Ольга Борисовна</v>
      </c>
      <c r="K3556" s="24" t="s">
        <v>5983</v>
      </c>
      <c r="L3556" s="22" t="s">
        <v>10</v>
      </c>
      <c r="M3556" s="25">
        <v>252140</v>
      </c>
      <c r="N3556" s="27">
        <v>0.41498839907192575</v>
      </c>
    </row>
    <row r="3557" spans="1:14" x14ac:dyDescent="0.15">
      <c r="A3557" s="23" t="str">
        <f>HYPERLINK("https://www.spark-marketing.ru/Card/Person/182697", "ОМВД РОССИИ ПО СОВЕТСКО-ГАВАНСКОМУ РАЙОНУ")</f>
        <v>ОМВД РОССИИ ПО СОВЕТСКО-ГАВАНСКОМУ РАЙОНУ</v>
      </c>
      <c r="B3557" s="24" t="s">
        <v>5984</v>
      </c>
      <c r="C3557" s="25">
        <v>1642230</v>
      </c>
      <c r="D3557" s="22" t="s">
        <v>5985</v>
      </c>
      <c r="E3557" s="22" t="s">
        <v>96</v>
      </c>
      <c r="F3557" s="23" t="str">
        <f>HYPERLINK("https://www.spark-marketing.ru/Card/Lot/73319900", "Услуги по организации питания лиц, содержащихся в ИВС и в спецприемнике")</f>
        <v>Услуги по организации питания лиц, содержащихся в ИВС и в спецприемнике</v>
      </c>
      <c r="G3557" s="22" t="s">
        <v>1096</v>
      </c>
      <c r="H3557" s="22" t="s">
        <v>5986</v>
      </c>
      <c r="I3557" s="26">
        <v>43718.6430555556</v>
      </c>
      <c r="J3557" s="28" t="s">
        <v>51</v>
      </c>
      <c r="K3557" s="28" t="s">
        <v>51</v>
      </c>
      <c r="L3557" s="28" t="s">
        <v>51</v>
      </c>
      <c r="M3557" s="28" t="s">
        <v>51</v>
      </c>
      <c r="N3557" s="28" t="s">
        <v>51</v>
      </c>
    </row>
    <row r="3558" spans="1:14" x14ac:dyDescent="0.15">
      <c r="A3558" s="23" t="str">
        <f>HYPERLINK("https://www.spark-marketing.ru/Card/Person/182697", "ОМВД РОССИИ ПО СОВЕТСКО-ГАВАНСКОМУ РАЙОНУ")</f>
        <v>ОМВД РОССИИ ПО СОВЕТСКО-ГАВАНСКОМУ РАЙОНУ</v>
      </c>
      <c r="B3558" s="24" t="s">
        <v>5984</v>
      </c>
      <c r="C3558" s="25">
        <v>1642230</v>
      </c>
      <c r="D3558" s="22" t="s">
        <v>5987</v>
      </c>
      <c r="E3558" s="22" t="s">
        <v>96</v>
      </c>
      <c r="F3558" s="23" t="str">
        <f>HYPERLINK("https://www.spark-marketing.ru/Card/Lot/73319901", "Услуги по организации питания лиц, содержащихся в ИВС и в спецприемнике")</f>
        <v>Услуги по организации питания лиц, содержащихся в ИВС и в спецприемнике</v>
      </c>
      <c r="G3558" s="22" t="s">
        <v>1096</v>
      </c>
      <c r="H3558" s="22" t="s">
        <v>5986</v>
      </c>
      <c r="I3558" s="26">
        <v>43718.641666666699</v>
      </c>
      <c r="J3558" s="28" t="s">
        <v>51</v>
      </c>
      <c r="K3558" s="28" t="s">
        <v>51</v>
      </c>
      <c r="L3558" s="28" t="s">
        <v>51</v>
      </c>
      <c r="M3558" s="28" t="s">
        <v>51</v>
      </c>
      <c r="N3558" s="28" t="s">
        <v>51</v>
      </c>
    </row>
    <row r="3559" spans="1:14" x14ac:dyDescent="0.15">
      <c r="A3559" s="23" t="str">
        <f>HYPERLINK("https://www.spark-marketing.ru/Card/Person/34895", "УМВД РОССИИ ПО Г. АБАКАНУ")</f>
        <v>УМВД РОССИИ ПО Г. АБАКАНУ</v>
      </c>
      <c r="B3559" s="24" t="s">
        <v>5979</v>
      </c>
      <c r="C3559" s="25">
        <v>212750</v>
      </c>
      <c r="D3559" s="22" t="s">
        <v>5988</v>
      </c>
      <c r="E3559" s="22" t="s">
        <v>48</v>
      </c>
      <c r="F3559" s="23" t="str">
        <f>HYPERLINK("https://www.spark-marketing.ru/Card/Lot/73325123", "Оказание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3559" s="22" t="s">
        <v>92</v>
      </c>
      <c r="H3559" s="22" t="s">
        <v>93</v>
      </c>
      <c r="I3559" s="26">
        <v>43718.600694444402</v>
      </c>
      <c r="J3559" s="28" t="s">
        <v>51</v>
      </c>
      <c r="K3559" s="28" t="s">
        <v>51</v>
      </c>
      <c r="L3559" s="28" t="s">
        <v>51</v>
      </c>
      <c r="M3559" s="28" t="s">
        <v>51</v>
      </c>
      <c r="N3559" s="28" t="s">
        <v>51</v>
      </c>
    </row>
    <row r="3560" spans="1:14" hidden="1" outlineLevel="1" x14ac:dyDescent="0.2">
      <c r="A3560" s="23" t="str">
        <f>HYPERLINK("https://www.spark-marketing.ru/Card/Person/34895", "УМВД РОССИИ ПО Г. АБАКАНУ")</f>
        <v>УМВД РОССИИ ПО Г. АБАКАНУ</v>
      </c>
      <c r="B3560" s="24" t="s">
        <v>5979</v>
      </c>
      <c r="C3560" s="25">
        <v>212750</v>
      </c>
      <c r="D3560" s="22" t="s">
        <v>5988</v>
      </c>
      <c r="E3560" s="22" t="s">
        <v>48</v>
      </c>
      <c r="F3560" s="23" t="str">
        <f>HYPERLINK("https://www.spark-marketing.ru/Card/Lot/73325123", "Оказание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3560" s="22" t="s">
        <v>92</v>
      </c>
      <c r="H3560" s="22" t="s">
        <v>93</v>
      </c>
      <c r="I3560" s="26">
        <v>43718.600694444402</v>
      </c>
      <c r="J3560" s="23" t="str">
        <f>HYPERLINK("https://www.spark-marketing.ru/Card/Person/932796", "Шаповаленко Николай Антонович")</f>
        <v>Шаповаленко Николай Антонович</v>
      </c>
      <c r="K3560" s="24" t="s">
        <v>5982</v>
      </c>
      <c r="L3560" s="28" t="s">
        <v>51</v>
      </c>
      <c r="M3560" s="25">
        <v>136160</v>
      </c>
      <c r="N3560" s="27">
        <v>0.36</v>
      </c>
    </row>
    <row r="3561" spans="1:14" hidden="1" outlineLevel="1" x14ac:dyDescent="0.2">
      <c r="A3561" s="23" t="str">
        <f>HYPERLINK("https://www.spark-marketing.ru/Card/Person/34895", "УМВД РОССИИ ПО Г. АБАКАНУ")</f>
        <v>УМВД РОССИИ ПО Г. АБАКАНУ</v>
      </c>
      <c r="B3561" s="24" t="s">
        <v>5979</v>
      </c>
      <c r="C3561" s="25">
        <v>212750</v>
      </c>
      <c r="D3561" s="22" t="s">
        <v>5988</v>
      </c>
      <c r="E3561" s="22" t="s">
        <v>48</v>
      </c>
      <c r="F3561" s="23" t="str">
        <f>HYPERLINK("https://www.spark-marketing.ru/Card/Lot/73325123", "Оказание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3561" s="22" t="s">
        <v>92</v>
      </c>
      <c r="H3561" s="22" t="s">
        <v>93</v>
      </c>
      <c r="I3561" s="26">
        <v>43718.600694444402</v>
      </c>
      <c r="J3561" s="23" t="str">
        <f>HYPERLINK("https://www.spark-marketing.ru/Card/Person/656154", "ООО ""ЗЕВС""")</f>
        <v>ООО "ЗЕВС"</v>
      </c>
      <c r="K3561" s="24" t="s">
        <v>5981</v>
      </c>
      <c r="L3561" s="28" t="s">
        <v>51</v>
      </c>
      <c r="M3561" s="25">
        <v>206367.5</v>
      </c>
      <c r="N3561" s="27">
        <v>0.03</v>
      </c>
    </row>
    <row r="3562" spans="1:14" ht="12.75" hidden="1" outlineLevel="1" x14ac:dyDescent="0.2">
      <c r="A3562" s="23" t="str">
        <f>HYPERLINK("https://www.spark-marketing.ru/Card/Person/34895", "УМВД РОССИИ ПО Г. АБАКАНУ")</f>
        <v>УМВД РОССИИ ПО Г. АБАКАНУ</v>
      </c>
      <c r="B3562" s="24" t="s">
        <v>5979</v>
      </c>
      <c r="C3562" s="25">
        <v>212750</v>
      </c>
      <c r="D3562" s="22" t="s">
        <v>5988</v>
      </c>
      <c r="E3562" s="22" t="s">
        <v>48</v>
      </c>
      <c r="F3562" s="23" t="str">
        <f>HYPERLINK("https://www.spark-marketing.ru/Card/Lot/73325123", "Оказание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3562" s="22" t="s">
        <v>92</v>
      </c>
      <c r="H3562" s="22" t="s">
        <v>93</v>
      </c>
      <c r="I3562" s="26">
        <v>43718.600694444402</v>
      </c>
      <c r="J3562" s="23" t="str">
        <f>HYPERLINK("https://www.spark-marketing.ru/Card/Person/4948502", "Будаева Ольга Борисовна")</f>
        <v>Будаева Ольга Борисовна</v>
      </c>
      <c r="K3562" s="24" t="s">
        <v>5983</v>
      </c>
      <c r="L3562" s="22" t="s">
        <v>10</v>
      </c>
      <c r="M3562" s="25">
        <v>135096.25</v>
      </c>
      <c r="N3562" s="27">
        <v>0.36499999999999999</v>
      </c>
    </row>
    <row r="3563" spans="1:14" x14ac:dyDescent="0.15">
      <c r="A3563" s="23" t="str">
        <f>HYPERLINK("https://www.spark-marketing.ru/Card/Person/102701", "УМВД РОССИИ ПО ГОРОДСКОМУ ОКРУГУ КРАСНОГОРСК")</f>
        <v>УМВД РОССИИ ПО ГОРОДСКОМУ ОКРУГУ КРАСНОГОРСК</v>
      </c>
      <c r="B3563" s="24" t="s">
        <v>5989</v>
      </c>
      <c r="C3563" s="25">
        <v>300000</v>
      </c>
      <c r="D3563" s="22" t="s">
        <v>5990</v>
      </c>
      <c r="E3563" s="22" t="s">
        <v>48</v>
      </c>
      <c r="F3563" s="23" t="str">
        <f>HYPERLINK("https://www.spark-marketing.ru/Card/Lot/73326043", "Оказание услуг по предоставлению горячего питания в период проведения массового мероприятия с исполь, 1 усл. ед")</f>
        <v>Оказание услуг по предоставлению горячего питания в период проведения массового мероприятия с исполь, 1 усл. ед</v>
      </c>
      <c r="G3563" s="22" t="s">
        <v>49</v>
      </c>
      <c r="H3563" s="22" t="s">
        <v>1883</v>
      </c>
      <c r="I3563" s="26">
        <v>43718.6109490741</v>
      </c>
      <c r="J3563" s="28" t="s">
        <v>51</v>
      </c>
      <c r="K3563" s="28" t="s">
        <v>51</v>
      </c>
      <c r="L3563" s="28" t="s">
        <v>51</v>
      </c>
      <c r="M3563" s="28" t="s">
        <v>51</v>
      </c>
      <c r="N3563" s="28" t="s">
        <v>51</v>
      </c>
    </row>
    <row r="3564" spans="1:14" x14ac:dyDescent="0.15">
      <c r="A3564" s="23" t="str">
        <f>HYPERLINK("https://www.spark-marketing.ru/Card/Person/2937", "УМВД РОССИИ ПО Г. НИЖНЕВАРТОВСКУ")</f>
        <v>УМВД РОССИИ ПО Г. НИЖНЕВАРТОВСКУ</v>
      </c>
      <c r="B3564" s="24" t="s">
        <v>759</v>
      </c>
      <c r="C3564" s="25">
        <v>1033200</v>
      </c>
      <c r="D3564" s="22" t="s">
        <v>5991</v>
      </c>
      <c r="E3564" s="22" t="s">
        <v>48</v>
      </c>
      <c r="F3564" s="23" t="str">
        <f>HYPERLINK("https://www.spark-marketing.ru/Card/Lot/73325914", "питание в специальном приемнике")</f>
        <v>питание в специальном приемнике</v>
      </c>
      <c r="G3564" s="22" t="s">
        <v>766</v>
      </c>
      <c r="H3564" s="22" t="s">
        <v>766</v>
      </c>
      <c r="I3564" s="26">
        <v>43718.620138888902</v>
      </c>
      <c r="J3564" s="23" t="str">
        <f>HYPERLINK("https://www.spark-marketing.ru/Card/Person/53572", "ООО ""КАРАВАН""")</f>
        <v>ООО "КАРАВАН"</v>
      </c>
      <c r="K3564" s="24" t="s">
        <v>2373</v>
      </c>
      <c r="L3564" s="22" t="s">
        <v>10</v>
      </c>
      <c r="M3564" s="28" t="s">
        <v>51</v>
      </c>
      <c r="N3564" s="28" t="s">
        <v>51</v>
      </c>
    </row>
    <row r="3565" spans="1:14" x14ac:dyDescent="0.15">
      <c r="A3565" s="23" t="str">
        <f>HYPERLINK("https://www.spark-marketing.ru/Card/Person/883823", "ОТДЕЛ МВД РОССИИ ПО МОСТОВСКОМУ РАЙОНУ")</f>
        <v>ОТДЕЛ МВД РОССИИ ПО МОСТОВСКОМУ РАЙОНУ</v>
      </c>
      <c r="B3565" s="24" t="s">
        <v>5992</v>
      </c>
      <c r="C3565" s="25">
        <v>932000</v>
      </c>
      <c r="D3565" s="22" t="s">
        <v>5993</v>
      </c>
      <c r="E3565" s="22" t="s">
        <v>96</v>
      </c>
      <c r="F3565" s="23" t="str">
        <f>HYPERLINK("https://www.spark-marketing.ru/Card/Lot/73330005", "Оказание услуг по ежедневному приготовлению трехразового горячего питания, в том числе в выходные и праздничные дни для лиц, содержащихся в условиях ИВС и СПСЗЛ Отдела МВД России по Мостовскому району")</f>
        <v>Оказание услуг по ежедневному приготовлению трехразового горячего питания, в том числе в выходные и праздничные дни для лиц, содержащихся в условиях ИВС и СПСЗЛ Отдела МВД России по Мостовскому району</v>
      </c>
      <c r="G3565" s="22" t="s">
        <v>104</v>
      </c>
      <c r="H3565" s="22" t="s">
        <v>5994</v>
      </c>
      <c r="I3565" s="26">
        <v>43718.605555555601</v>
      </c>
      <c r="J3565" s="28" t="s">
        <v>51</v>
      </c>
      <c r="K3565" s="28" t="s">
        <v>51</v>
      </c>
      <c r="L3565" s="28" t="s">
        <v>51</v>
      </c>
      <c r="M3565" s="28" t="s">
        <v>51</v>
      </c>
      <c r="N3565" s="28" t="s">
        <v>51</v>
      </c>
    </row>
    <row r="3566" spans="1:14" x14ac:dyDescent="0.15">
      <c r="A3566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3566" s="24" t="s">
        <v>3255</v>
      </c>
      <c r="C3566" s="25">
        <v>828210.54</v>
      </c>
      <c r="D3566" s="22" t="s">
        <v>5995</v>
      </c>
      <c r="E3566" s="22" t="s">
        <v>52</v>
      </c>
      <c r="F3566" s="23" t="str">
        <f>HYPERLINK("https://www.spark-marketing.ru/Card/Lot/73319856", "Поставка лекарственного препарата для медицинского применения ""Голимумаб""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пр...")</f>
        <v>Поставка лекарственного препарата для медицинского применения "Голимумаб"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</v>
      </c>
      <c r="G3566" s="22" t="s">
        <v>210</v>
      </c>
      <c r="H3566" s="22" t="s">
        <v>3257</v>
      </c>
      <c r="I3566" s="26">
        <v>43718.595138888901</v>
      </c>
      <c r="J3566" s="23" t="str">
        <f>HYPERLINK("https://www.spark-marketing.ru/Card/Person/4903748", "ООО ""КОНДОР""")</f>
        <v>ООО "КОНДОР"</v>
      </c>
      <c r="K3566" s="24" t="s">
        <v>4848</v>
      </c>
      <c r="L3566" s="22" t="s">
        <v>10</v>
      </c>
      <c r="M3566" s="28" t="s">
        <v>51</v>
      </c>
      <c r="N3566" s="28" t="s">
        <v>51</v>
      </c>
    </row>
    <row r="3567" spans="1:14" x14ac:dyDescent="0.15">
      <c r="A3567" s="23" t="str">
        <f>HYPERLINK("https://www.spark-marketing.ru/Card/Person/56230", "ГАУЗ ""РКОД МЗ РТ""")</f>
        <v>ГАУЗ "РКОД МЗ РТ"</v>
      </c>
      <c r="B3567" s="24" t="s">
        <v>5996</v>
      </c>
      <c r="C3567" s="25">
        <v>413100</v>
      </c>
      <c r="D3567" s="22" t="s">
        <v>5997</v>
      </c>
      <c r="E3567" s="22" t="s">
        <v>48</v>
      </c>
      <c r="F3567" s="23" t="str">
        <f>HYPERLINK("https://www.spark-marketing.ru/Card/Lot/73330576", "Оказание услуг по организации готового лечебного питания для пациентов круглосуточного стационара Набережночелнинского ГАУЗ ""РКОД МЗ РТ"" на 4 квартал 2019 года")</f>
        <v>Оказание услуг по организации готового лечебного питания для пациентов круглосуточного стационара Набережночелнинского ГАУЗ "РКОД МЗ РТ" на 4 квартал 2019 года</v>
      </c>
      <c r="G3567" s="22" t="s">
        <v>217</v>
      </c>
      <c r="H3567" s="22" t="s">
        <v>1998</v>
      </c>
      <c r="I3567" s="26">
        <v>43718.6</v>
      </c>
      <c r="J3567" s="23" t="str">
        <f>HYPERLINK("https://www.spark-marketing.ru/Card/Person/234213", "ООО ""НИГМА""")</f>
        <v>ООО "НИГМА"</v>
      </c>
      <c r="K3567" s="24" t="s">
        <v>1999</v>
      </c>
      <c r="L3567" s="22" t="s">
        <v>10</v>
      </c>
      <c r="M3567" s="28" t="s">
        <v>51</v>
      </c>
      <c r="N3567" s="28" t="s">
        <v>51</v>
      </c>
    </row>
    <row r="3568" spans="1:14" x14ac:dyDescent="0.15">
      <c r="A3568" s="23" t="str">
        <f>HYPERLINK("https://www.spark-marketing.ru/Card/Person/2937", "УМВД РОССИИ ПО Г. НИЖНЕВАРТОВСКУ")</f>
        <v>УМВД РОССИИ ПО Г. НИЖНЕВАРТОВСКУ</v>
      </c>
      <c r="B3568" s="24" t="s">
        <v>759</v>
      </c>
      <c r="C3568" s="25">
        <v>291060</v>
      </c>
      <c r="D3568" s="22" t="s">
        <v>5998</v>
      </c>
      <c r="E3568" s="22" t="s">
        <v>48</v>
      </c>
      <c r="F3568" s="23" t="str">
        <f>HYPERLINK("https://www.spark-marketing.ru/Card/Lot/73329092", "Питание ИВС")</f>
        <v>Питание ИВС</v>
      </c>
      <c r="G3568" s="22" t="s">
        <v>766</v>
      </c>
      <c r="H3568" s="22" t="s">
        <v>766</v>
      </c>
      <c r="I3568" s="26">
        <v>43718.620138888902</v>
      </c>
      <c r="J3568" s="23" t="str">
        <f>HYPERLINK("https://www.spark-marketing.ru/Card/Person/53572", "ООО ""КАРАВАН""")</f>
        <v>ООО "КАРАВАН"</v>
      </c>
      <c r="K3568" s="24" t="s">
        <v>2373</v>
      </c>
      <c r="L3568" s="22" t="s">
        <v>10</v>
      </c>
      <c r="M3568" s="28" t="s">
        <v>51</v>
      </c>
      <c r="N3568" s="28" t="s">
        <v>51</v>
      </c>
    </row>
    <row r="3569" spans="1:14" x14ac:dyDescent="0.15">
      <c r="A3569" s="23" t="str">
        <f>HYPERLINK("https://www.spark-marketing.ru/Card/Person/883823", "ОТДЕЛ МВД РОССИИ ПО МОСТОВСКОМУ РАЙОНУ")</f>
        <v>ОТДЕЛ МВД РОССИИ ПО МОСТОВСКОМУ РАЙОНУ</v>
      </c>
      <c r="B3569" s="24" t="s">
        <v>5992</v>
      </c>
      <c r="C3569" s="25">
        <v>932000</v>
      </c>
      <c r="D3569" s="22" t="s">
        <v>5999</v>
      </c>
      <c r="E3569" s="22" t="s">
        <v>96</v>
      </c>
      <c r="F3569" s="23" t="str">
        <f>HYPERLINK("https://www.spark-marketing.ru/Card/Lot/73330006", "Оказание услуг по ежедневному приготовлению трехразового горячего питания, в том числе в выходные и праздничные дни для лиц, содержащихся в условиях ИВС и СПСЗЛ Отдела МВД России по Мостовскому району")</f>
        <v>Оказание услуг по ежедневному приготовлению трехразового горячего питания, в том числе в выходные и праздничные дни для лиц, содержащихся в условиях ИВС и СПСЗЛ Отдела МВД России по Мостовскому району</v>
      </c>
      <c r="G3569" s="22" t="s">
        <v>104</v>
      </c>
      <c r="H3569" s="22" t="s">
        <v>5994</v>
      </c>
      <c r="I3569" s="26">
        <v>43718.609722222202</v>
      </c>
      <c r="J3569" s="28" t="s">
        <v>51</v>
      </c>
      <c r="K3569" s="28" t="s">
        <v>51</v>
      </c>
      <c r="L3569" s="28" t="s">
        <v>51</v>
      </c>
      <c r="M3569" s="28" t="s">
        <v>51</v>
      </c>
      <c r="N3569" s="28" t="s">
        <v>51</v>
      </c>
    </row>
    <row r="3570" spans="1:14" x14ac:dyDescent="0.15">
      <c r="A3570" s="23" t="str">
        <f>HYPERLINK("https://www.spark-marketing.ru/Card/Person/25082", "ГБУЗ РК ""УСТЬ-КУЛОМСКАЯ ЦРБ""")</f>
        <v>ГБУЗ РК "УСТЬ-КУЛОМСКАЯ ЦРБ"</v>
      </c>
      <c r="B3570" s="24" t="s">
        <v>6000</v>
      </c>
      <c r="C3570" s="25">
        <v>990605</v>
      </c>
      <c r="D3570" s="22" t="s">
        <v>6001</v>
      </c>
      <c r="E3570" s="22" t="s">
        <v>48</v>
      </c>
      <c r="F3570" s="23" t="str">
        <f>HYPERLINK("https://www.spark-marketing.ru/Card/Lot/73331623", "Оказание услуг по организации питания пациентов ГБУЗ РК «Усть-Куломская центральная районная больница»")</f>
        <v>Оказание услуг по организации питания пациентов ГБУЗ РК «Усть-Куломская центральная районная больница»</v>
      </c>
      <c r="G3570" s="22" t="s">
        <v>271</v>
      </c>
      <c r="H3570" s="22" t="s">
        <v>6002</v>
      </c>
      <c r="I3570" s="26">
        <v>43718.588888888902</v>
      </c>
      <c r="J3570" s="23" t="str">
        <f>HYPERLINK("https://www.spark-marketing.ru/Card/Person/776948", "Першин Василий Степанович")</f>
        <v>Першин Василий Степанович</v>
      </c>
      <c r="K3570" s="24" t="s">
        <v>6003</v>
      </c>
      <c r="L3570" s="22" t="s">
        <v>10</v>
      </c>
      <c r="M3570" s="28" t="s">
        <v>51</v>
      </c>
      <c r="N3570" s="28" t="s">
        <v>51</v>
      </c>
    </row>
    <row r="3571" spans="1:14" x14ac:dyDescent="0.15">
      <c r="A3571" s="23" t="str">
        <f t="shared" ref="A3571:A3576" si="63">HYPERLINK("https://www.spark-marketing.ru/Card/Person/24579", "ГБУ МО ""ЦСППСНВС""")</f>
        <v>ГБУ МО "ЦСППСНВС"</v>
      </c>
      <c r="B3571" s="24" t="s">
        <v>4731</v>
      </c>
      <c r="C3571" s="25">
        <v>378000</v>
      </c>
      <c r="D3571" s="22" t="s">
        <v>6004</v>
      </c>
      <c r="E3571" s="22" t="s">
        <v>374</v>
      </c>
      <c r="F3571" s="23" t="str">
        <f t="shared" ref="F3571:F3576" si="64">HYPERLINK("https://www.spark-marketing.ru/Card/Lot/73329052", "Оказание услуг по организации участия членов спортивных сборных команд Московской области в тренировочных мероприятиях по горным лыжам (декабрь)")</f>
        <v>Оказание услуг по организации участия членов спортивных сборных команд Московской области в тренировочных мероприятиях по горным лыжам (декабрь)</v>
      </c>
      <c r="G3571" s="22" t="s">
        <v>49</v>
      </c>
      <c r="H3571" s="22" t="s">
        <v>631</v>
      </c>
      <c r="I3571" s="26">
        <v>43718.59375</v>
      </c>
      <c r="J3571" s="28" t="s">
        <v>51</v>
      </c>
      <c r="K3571" s="28" t="s">
        <v>51</v>
      </c>
      <c r="L3571" s="28" t="s">
        <v>51</v>
      </c>
      <c r="M3571" s="28" t="s">
        <v>51</v>
      </c>
      <c r="N3571" s="28" t="s">
        <v>51</v>
      </c>
    </row>
    <row r="3572" spans="1:14" hidden="1" outlineLevel="1" x14ac:dyDescent="0.2">
      <c r="A3572" s="23" t="str">
        <f t="shared" si="63"/>
        <v>ГБУ МО "ЦСППСНВС"</v>
      </c>
      <c r="B3572" s="24" t="s">
        <v>4731</v>
      </c>
      <c r="C3572" s="25">
        <v>378000</v>
      </c>
      <c r="D3572" s="22" t="s">
        <v>6004</v>
      </c>
      <c r="E3572" s="22" t="s">
        <v>374</v>
      </c>
      <c r="F3572" s="23" t="str">
        <f t="shared" si="64"/>
        <v>Оказание услуг по организации участия членов спортивных сборных команд Московской области в тренировочных мероприятиях по горным лыжам (декабрь)</v>
      </c>
      <c r="G3572" s="22" t="s">
        <v>49</v>
      </c>
      <c r="H3572" s="22" t="s">
        <v>631</v>
      </c>
      <c r="I3572" s="26">
        <v>43718.59375</v>
      </c>
      <c r="J3572" s="23" t="str">
        <f>HYPERLINK("https://www.spark-marketing.ru/Card/Person/139386", "ООО ""АВИАМИР""")</f>
        <v>ООО "АВИАМИР"</v>
      </c>
      <c r="K3572" s="24" t="s">
        <v>2326</v>
      </c>
      <c r="L3572" s="28" t="s">
        <v>51</v>
      </c>
      <c r="M3572" s="25">
        <v>370440</v>
      </c>
      <c r="N3572" s="27">
        <v>0.02</v>
      </c>
    </row>
    <row r="3573" spans="1:14" hidden="1" outlineLevel="1" x14ac:dyDescent="0.2">
      <c r="A3573" s="23" t="str">
        <f t="shared" si="63"/>
        <v>ГБУ МО "ЦСППСНВС"</v>
      </c>
      <c r="B3573" s="24" t="s">
        <v>4731</v>
      </c>
      <c r="C3573" s="25">
        <v>378000</v>
      </c>
      <c r="D3573" s="22" t="s">
        <v>6004</v>
      </c>
      <c r="E3573" s="22" t="s">
        <v>374</v>
      </c>
      <c r="F3573" s="23" t="str">
        <f t="shared" si="64"/>
        <v>Оказание услуг по организации участия членов спортивных сборных команд Московской области в тренировочных мероприятиях по горным лыжам (декабрь)</v>
      </c>
      <c r="G3573" s="22" t="s">
        <v>49</v>
      </c>
      <c r="H3573" s="22" t="s">
        <v>631</v>
      </c>
      <c r="I3573" s="26">
        <v>43718.59375</v>
      </c>
      <c r="J3573" s="23" t="str">
        <f>HYPERLINK("https://www.spark-marketing.ru/Card/Person/4590807", "ООО ""ИНСТАЙЛ ТУР""")</f>
        <v>ООО "ИНСТАЙЛ ТУР"</v>
      </c>
      <c r="K3573" s="24" t="s">
        <v>4734</v>
      </c>
      <c r="L3573" s="28" t="s">
        <v>51</v>
      </c>
      <c r="M3573" s="25">
        <v>325080</v>
      </c>
      <c r="N3573" s="27">
        <v>0.14000000000000001</v>
      </c>
    </row>
    <row r="3574" spans="1:14" ht="12.75" hidden="1" outlineLevel="1" x14ac:dyDescent="0.2">
      <c r="A3574" s="23" t="str">
        <f t="shared" si="63"/>
        <v>ГБУ МО "ЦСППСНВС"</v>
      </c>
      <c r="B3574" s="24" t="s">
        <v>4731</v>
      </c>
      <c r="C3574" s="25">
        <v>378000</v>
      </c>
      <c r="D3574" s="22" t="s">
        <v>6004</v>
      </c>
      <c r="E3574" s="22" t="s">
        <v>374</v>
      </c>
      <c r="F3574" s="23" t="str">
        <f t="shared" si="64"/>
        <v>Оказание услуг по организации участия членов спортивных сборных команд Московской области в тренировочных мероприятиях по горным лыжам (декабрь)</v>
      </c>
      <c r="G3574" s="22" t="s">
        <v>49</v>
      </c>
      <c r="H3574" s="22" t="s">
        <v>631</v>
      </c>
      <c r="I3574" s="26">
        <v>43718.59375</v>
      </c>
      <c r="J3574" s="23" t="str">
        <f>HYPERLINK("https://www.spark-marketing.ru/Card/Person/378346", "ООО ""ШУКОЛОВО ОТЕЛЬ""")</f>
        <v>ООО "ШУКОЛОВО ОТЕЛЬ"</v>
      </c>
      <c r="K3574" s="24" t="s">
        <v>5650</v>
      </c>
      <c r="L3574" s="22" t="s">
        <v>10</v>
      </c>
      <c r="M3574" s="25">
        <v>309960</v>
      </c>
      <c r="N3574" s="27">
        <v>0.18</v>
      </c>
    </row>
    <row r="3575" spans="1:14" hidden="1" outlineLevel="1" x14ac:dyDescent="0.2">
      <c r="A3575" s="23" t="str">
        <f t="shared" si="63"/>
        <v>ГБУ МО "ЦСППСНВС"</v>
      </c>
      <c r="B3575" s="24" t="s">
        <v>4731</v>
      </c>
      <c r="C3575" s="25">
        <v>378000</v>
      </c>
      <c r="D3575" s="22" t="s">
        <v>6004</v>
      </c>
      <c r="E3575" s="22" t="s">
        <v>374</v>
      </c>
      <c r="F3575" s="23" t="str">
        <f t="shared" si="64"/>
        <v>Оказание услуг по организации участия членов спортивных сборных команд Московской области в тренировочных мероприятиях по горным лыжам (декабрь)</v>
      </c>
      <c r="G3575" s="22" t="s">
        <v>49</v>
      </c>
      <c r="H3575" s="22" t="s">
        <v>631</v>
      </c>
      <c r="I3575" s="26">
        <v>43718.59375</v>
      </c>
      <c r="J3575" s="23" t="str">
        <f>HYPERLINK("https://www.spark-marketing.ru/Card/Person/6369393", "ООО ""ВЕКТОР ГРУПП""")</f>
        <v>ООО "ВЕКТОР ГРУПП"</v>
      </c>
      <c r="K3575" s="24" t="s">
        <v>4733</v>
      </c>
      <c r="L3575" s="28" t="s">
        <v>51</v>
      </c>
      <c r="M3575" s="25">
        <v>313740</v>
      </c>
      <c r="N3575" s="27">
        <v>0.17</v>
      </c>
    </row>
    <row r="3576" spans="1:14" hidden="1" outlineLevel="1" x14ac:dyDescent="0.2">
      <c r="A3576" s="23" t="str">
        <f t="shared" si="63"/>
        <v>ГБУ МО "ЦСППСНВС"</v>
      </c>
      <c r="B3576" s="24" t="s">
        <v>4731</v>
      </c>
      <c r="C3576" s="25">
        <v>378000</v>
      </c>
      <c r="D3576" s="22" t="s">
        <v>6004</v>
      </c>
      <c r="E3576" s="22" t="s">
        <v>374</v>
      </c>
      <c r="F3576" s="23" t="str">
        <f t="shared" si="64"/>
        <v>Оказание услуг по организации участия членов спортивных сборных команд Московской области в тренировочных мероприятиях по горным лыжам (декабрь)</v>
      </c>
      <c r="G3576" s="22" t="s">
        <v>49</v>
      </c>
      <c r="H3576" s="22" t="s">
        <v>631</v>
      </c>
      <c r="I3576" s="26">
        <v>43718.59375</v>
      </c>
      <c r="J3576" s="23" t="str">
        <f>HYPERLINK("https://www.spark-marketing.ru/Card/Person/4919842", "ООО ""МАКСИ КО""")</f>
        <v>ООО "МАКСИ КО"</v>
      </c>
      <c r="K3576" s="24" t="s">
        <v>4581</v>
      </c>
      <c r="L3576" s="28" t="s">
        <v>51</v>
      </c>
      <c r="M3576" s="25">
        <v>311850</v>
      </c>
      <c r="N3576" s="27">
        <v>0.17499999999999999</v>
      </c>
    </row>
    <row r="3577" spans="1:14" x14ac:dyDescent="0.15">
      <c r="A3577" s="23" t="str">
        <f>HYPERLINK("https://www.spark-marketing.ru/Card/Person/188185", "ОТДЕЛ МВД РОССИИ ПО УСПЕНСКОМУ РАЙОНУ")</f>
        <v>ОТДЕЛ МВД РОССИИ ПО УСПЕНСКОМУ РАЙОНУ</v>
      </c>
      <c r="B3577" s="24" t="s">
        <v>6005</v>
      </c>
      <c r="C3577" s="25">
        <v>150000</v>
      </c>
      <c r="D3577" s="22" t="s">
        <v>6006</v>
      </c>
      <c r="E3577" s="22" t="s">
        <v>48</v>
      </c>
      <c r="F3577" s="23" t="str">
        <f>HYPERLINK("https://www.spark-marketing.ru/Card/Lot/73328606", "питание ивс и сп")</f>
        <v>питание ивс и сп</v>
      </c>
      <c r="G3577" s="22" t="s">
        <v>104</v>
      </c>
      <c r="H3577" s="22" t="s">
        <v>104</v>
      </c>
      <c r="I3577" s="26">
        <v>43718.610416666699</v>
      </c>
      <c r="J3577" s="23" t="str">
        <f>HYPERLINK("https://www.spark-marketing.ru/Card/Person/5972284", "Костырин Алексей Михайлович")</f>
        <v>Костырин Алексей Михайлович</v>
      </c>
      <c r="K3577" s="24" t="s">
        <v>3202</v>
      </c>
      <c r="L3577" s="22" t="s">
        <v>10</v>
      </c>
      <c r="M3577" s="28" t="s">
        <v>51</v>
      </c>
      <c r="N3577" s="28" t="s">
        <v>51</v>
      </c>
    </row>
    <row r="3578" spans="1:14" x14ac:dyDescent="0.15">
      <c r="A3578" s="23" t="str">
        <f>HYPERLINK("https://www.spark-marketing.ru/Card/Person/536388", "ОМВД РОССИИ ПО АРТИНСКОМУ РАЙОНУ")</f>
        <v>ОМВД РОССИИ ПО АРТИНСКОМУ РАЙОНУ</v>
      </c>
      <c r="B3578" s="24" t="s">
        <v>6007</v>
      </c>
      <c r="C3578" s="25">
        <v>600000</v>
      </c>
      <c r="D3578" s="22" t="s">
        <v>6008</v>
      </c>
      <c r="E3578" s="22" t="s">
        <v>48</v>
      </c>
      <c r="F3578" s="23" t="str">
        <f>HYPERLINK("https://www.spark-marketing.ru/Card/Lot/73327108", "Обеспечение горячим питанием лиц содержащихся в ИВС")</f>
        <v>Обеспечение горячим питанием лиц содержащихся в ИВС</v>
      </c>
      <c r="G3578" s="22" t="s">
        <v>174</v>
      </c>
      <c r="H3578" s="22" t="s">
        <v>6009</v>
      </c>
      <c r="I3578" s="26">
        <v>43718.620138888902</v>
      </c>
      <c r="J3578" s="28" t="s">
        <v>51</v>
      </c>
      <c r="K3578" s="28" t="s">
        <v>51</v>
      </c>
      <c r="L3578" s="28" t="s">
        <v>51</v>
      </c>
      <c r="M3578" s="28" t="s">
        <v>51</v>
      </c>
      <c r="N3578" s="28" t="s">
        <v>51</v>
      </c>
    </row>
    <row r="3579" spans="1:14" x14ac:dyDescent="0.15">
      <c r="A3579" s="23" t="str">
        <f>HYPERLINK("https://www.spark-marketing.ru/Card/Person/1762527", "МБДОУ Д/С № 34 ""ЛУКОМОРЬЕ""")</f>
        <v>МБДОУ Д/С № 34 "ЛУКОМОРЬЕ"</v>
      </c>
      <c r="B3579" s="24" t="s">
        <v>6010</v>
      </c>
      <c r="C3579" s="25">
        <v>17236217.260000002</v>
      </c>
      <c r="D3579" s="22" t="s">
        <v>6011</v>
      </c>
      <c r="E3579" s="22" t="s">
        <v>96</v>
      </c>
      <c r="F3579" s="23" t="str">
        <f>HYPERLINK("https://www.spark-marketing.ru/Card/Lot/73325894", "Оказание услуг по организации горячего питания")</f>
        <v>Оказание услуг по организации горячего питания</v>
      </c>
      <c r="G3579" s="22" t="s">
        <v>153</v>
      </c>
      <c r="H3579" s="22" t="s">
        <v>153</v>
      </c>
      <c r="I3579" s="26">
        <v>43718.604166666701</v>
      </c>
      <c r="J3579" s="28" t="s">
        <v>51</v>
      </c>
      <c r="K3579" s="28" t="s">
        <v>51</v>
      </c>
      <c r="L3579" s="28" t="s">
        <v>51</v>
      </c>
      <c r="M3579" s="28" t="s">
        <v>51</v>
      </c>
      <c r="N3579" s="28" t="s">
        <v>51</v>
      </c>
    </row>
    <row r="3580" spans="1:14" hidden="1" outlineLevel="1" x14ac:dyDescent="0.2">
      <c r="A3580" s="23" t="str">
        <f>HYPERLINK("https://www.spark-marketing.ru/Card/Person/1762527", "МБДОУ Д/С № 34 ""ЛУКОМОРЬЕ""")</f>
        <v>МБДОУ Д/С № 34 "ЛУКОМОРЬЕ"</v>
      </c>
      <c r="B3580" s="24" t="s">
        <v>6010</v>
      </c>
      <c r="C3580" s="25">
        <v>17236217.260000002</v>
      </c>
      <c r="D3580" s="22" t="s">
        <v>6011</v>
      </c>
      <c r="E3580" s="22" t="s">
        <v>96</v>
      </c>
      <c r="F3580" s="23" t="str">
        <f>HYPERLINK("https://www.spark-marketing.ru/Card/Lot/73325894", "Оказание услуг по организации горячего питания")</f>
        <v>Оказание услуг по организации горячего питания</v>
      </c>
      <c r="G3580" s="22" t="s">
        <v>153</v>
      </c>
      <c r="H3580" s="22" t="s">
        <v>153</v>
      </c>
      <c r="I3580" s="26">
        <v>43718.604166666701</v>
      </c>
      <c r="J3580" s="23" t="str">
        <f>HYPERLINK("https://www.spark-marketing.ru/Card/Person/6141623", "ООО ""КОМБИНАТ ПИТАНИЯ""")</f>
        <v>ООО "КОМБИНАТ ПИТАНИЯ"</v>
      </c>
      <c r="K3580" s="24" t="s">
        <v>6012</v>
      </c>
      <c r="L3580" s="28" t="s">
        <v>51</v>
      </c>
      <c r="M3580" s="25">
        <v>17136000</v>
      </c>
      <c r="N3580" s="27">
        <v>5.8143418876816823E-3</v>
      </c>
    </row>
    <row r="3581" spans="1:14" hidden="1" outlineLevel="1" x14ac:dyDescent="0.15">
      <c r="A3581" s="23" t="str">
        <f>HYPERLINK("https://www.spark-marketing.ru/Card/Person/1762527", "МБДОУ Д/С № 34 ""ЛУКОМОРЬЕ""")</f>
        <v>МБДОУ Д/С № 34 "ЛУКОМОРЬЕ"</v>
      </c>
      <c r="B3581" s="24" t="s">
        <v>6010</v>
      </c>
      <c r="C3581" s="25">
        <v>17236217.260000002</v>
      </c>
      <c r="D3581" s="22" t="s">
        <v>6011</v>
      </c>
      <c r="E3581" s="22" t="s">
        <v>96</v>
      </c>
      <c r="F3581" s="23" t="str">
        <f>HYPERLINK("https://www.spark-marketing.ru/Card/Lot/73325894", "Оказание услуг по организации горячего питания")</f>
        <v>Оказание услуг по организации горячего питания</v>
      </c>
      <c r="G3581" s="22" t="s">
        <v>153</v>
      </c>
      <c r="H3581" s="22" t="s">
        <v>153</v>
      </c>
      <c r="I3581" s="26">
        <v>43718.604166666701</v>
      </c>
      <c r="J3581" s="23" t="str">
        <f>HYPERLINK("https://www.spark-marketing.ru/Card/Person/779487", "Логинов Василий Николаевич")</f>
        <v>Логинов Василий Николаевич</v>
      </c>
      <c r="K3581" s="24" t="s">
        <v>6013</v>
      </c>
      <c r="L3581" s="28" t="s">
        <v>51</v>
      </c>
      <c r="M3581" s="28" t="s">
        <v>51</v>
      </c>
      <c r="N3581" s="28" t="s">
        <v>51</v>
      </c>
    </row>
    <row r="3582" spans="1:14" hidden="1" outlineLevel="1" x14ac:dyDescent="0.15">
      <c r="A3582" s="23" t="str">
        <f>HYPERLINK("https://www.spark-marketing.ru/Card/Person/1762527", "МБДОУ Д/С № 34 ""ЛУКОМОРЬЕ""")</f>
        <v>МБДОУ Д/С № 34 "ЛУКОМОРЬЕ"</v>
      </c>
      <c r="B3582" s="24" t="s">
        <v>6010</v>
      </c>
      <c r="C3582" s="25">
        <v>17236217.260000002</v>
      </c>
      <c r="D3582" s="22" t="s">
        <v>6011</v>
      </c>
      <c r="E3582" s="22" t="s">
        <v>96</v>
      </c>
      <c r="F3582" s="23" t="str">
        <f>HYPERLINK("https://www.spark-marketing.ru/Card/Lot/73325894", "Оказание услуг по организации горячего питания")</f>
        <v>Оказание услуг по организации горячего питания</v>
      </c>
      <c r="G3582" s="22" t="s">
        <v>153</v>
      </c>
      <c r="H3582" s="22" t="s">
        <v>153</v>
      </c>
      <c r="I3582" s="26">
        <v>43718.604166666701</v>
      </c>
      <c r="J3582" s="23" t="str">
        <f>HYPERLINK("https://www.spark-marketing.ru/Card/Person/4438501", "Кобилов Зайлиддин Зокирович")</f>
        <v>Кобилов Зайлиддин Зокирович</v>
      </c>
      <c r="K3582" s="24" t="s">
        <v>5450</v>
      </c>
      <c r="L3582" s="28" t="s">
        <v>51</v>
      </c>
      <c r="M3582" s="28" t="s">
        <v>51</v>
      </c>
      <c r="N3582" s="28" t="s">
        <v>51</v>
      </c>
    </row>
    <row r="3583" spans="1:14" x14ac:dyDescent="0.15">
      <c r="A3583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583" s="24" t="s">
        <v>967</v>
      </c>
      <c r="C3583" s="25">
        <v>1067790.3600000001</v>
      </c>
      <c r="D3583" s="22" t="s">
        <v>6014</v>
      </c>
      <c r="E3583" s="22" t="s">
        <v>96</v>
      </c>
      <c r="F3583" s="23" t="str">
        <f>HYPERLINK("https://www.spark-marketing.ru/Card/Lot/73327182", "Питание спецконтенгента (Лазаревка 2020)")</f>
        <v>Питание спецконтенгента (Лазаревка 2020)</v>
      </c>
      <c r="G3583" s="22" t="s">
        <v>104</v>
      </c>
      <c r="H3583" s="22" t="s">
        <v>969</v>
      </c>
      <c r="I3583" s="26">
        <v>43718.531944444403</v>
      </c>
      <c r="J3583" s="23" t="str">
        <f>HYPERLINK("https://www.spark-marketing.ru/Card/Person/4903812", "Мальцева Валентина Владимировна")</f>
        <v>Мальцева Валентина Владимировна</v>
      </c>
      <c r="K3583" s="24" t="s">
        <v>6015</v>
      </c>
      <c r="L3583" s="22" t="s">
        <v>10</v>
      </c>
      <c r="M3583" s="28" t="s">
        <v>51</v>
      </c>
      <c r="N3583" s="28" t="s">
        <v>51</v>
      </c>
    </row>
    <row r="3584" spans="1:14" ht="12.75" x14ac:dyDescent="0.2">
      <c r="A3584" s="23" t="str">
        <f>HYPERLINK("https://www.spark-marketing.ru/Card/Person/173774", "МО МВД РОССИИ ""УСТЬ-КАЛМАНСКИЙ""")</f>
        <v>МО МВД РОССИИ "УСТЬ-КАЛМАНСКИЙ"</v>
      </c>
      <c r="B3584" s="24" t="s">
        <v>6016</v>
      </c>
      <c r="C3584" s="25">
        <v>365000</v>
      </c>
      <c r="D3584" s="22" t="s">
        <v>6017</v>
      </c>
      <c r="E3584" s="22" t="s">
        <v>48</v>
      </c>
      <c r="F3584" s="23" t="str">
        <f>HYPERLINK("https://www.spark-marketing.ru/Card/Lot/73324789", "Услуги по организации горячим трехразовым питанием лиц, содержащихся в ИВС и камере административно задержанных")</f>
        <v>Услуги по организации горячим трехразовым питанием лиц, содержащихся в ИВС и камере административно задержанных</v>
      </c>
      <c r="G3584" s="22" t="s">
        <v>63</v>
      </c>
      <c r="H3584" s="22" t="s">
        <v>6018</v>
      </c>
      <c r="I3584" s="26">
        <v>43718.658333333296</v>
      </c>
      <c r="J3584" s="23" t="str">
        <f>HYPERLINK("https://www.spark-marketing.ru/Card/Person/3989119", "ООО ""АГРО-ВОСТОЧНЫЙ""")</f>
        <v>ООО "АГРО-ВОСТОЧНЫЙ"</v>
      </c>
      <c r="K3584" s="24" t="s">
        <v>6019</v>
      </c>
      <c r="L3584" s="22" t="s">
        <v>10</v>
      </c>
      <c r="M3584" s="25">
        <v>365000</v>
      </c>
      <c r="N3584" s="27">
        <v>0</v>
      </c>
    </row>
    <row r="3585" spans="1:14" x14ac:dyDescent="0.15">
      <c r="A3585" s="23" t="str">
        <f>HYPERLINK("https://www.spark-marketing.ru/Card/Person/358649", "МО МВД РОССИИ ""ОПОЧЕЦКИЙ""")</f>
        <v>МО МВД РОССИИ "ОПОЧЕЦКИЙ"</v>
      </c>
      <c r="B3585" s="24" t="s">
        <v>413</v>
      </c>
      <c r="C3585" s="25">
        <v>406000</v>
      </c>
      <c r="D3585" s="22" t="s">
        <v>6020</v>
      </c>
      <c r="E3585" s="22" t="s">
        <v>48</v>
      </c>
      <c r="F3585" s="23" t="str">
        <f>HYPERLINK("https://www.spark-marketing.ru/Card/Lot/73323525", "Оказание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 в КСЗ более трех часов")</f>
        <v>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 в КСЗ более трех часов</v>
      </c>
      <c r="G3585" s="22" t="s">
        <v>415</v>
      </c>
      <c r="H3585" s="22" t="s">
        <v>6021</v>
      </c>
      <c r="I3585" s="26">
        <v>43718.461111111101</v>
      </c>
      <c r="J3585" s="28" t="s">
        <v>51</v>
      </c>
      <c r="K3585" s="28" t="s">
        <v>51</v>
      </c>
      <c r="L3585" s="28" t="s">
        <v>51</v>
      </c>
      <c r="M3585" s="28" t="s">
        <v>51</v>
      </c>
      <c r="N3585" s="28" t="s">
        <v>51</v>
      </c>
    </row>
    <row r="3586" spans="1:14" x14ac:dyDescent="0.15">
      <c r="A3586" s="23" t="str">
        <f>HYPERLINK("https://www.spark-marketing.ru/Card/Person/5873", "МУРМАНСКАЯ ТАМОЖНЯ")</f>
        <v>МУРМАНСКАЯ ТАМОЖНЯ</v>
      </c>
      <c r="B3586" s="24" t="s">
        <v>6022</v>
      </c>
      <c r="C3586" s="25">
        <v>132000</v>
      </c>
      <c r="D3586" s="22" t="s">
        <v>6023</v>
      </c>
      <c r="E3586" s="22" t="s">
        <v>355</v>
      </c>
      <c r="F3586" s="23" t="str">
        <f>HYPERLINK("https://www.spark-marketing.ru/Card/Lot/73323364", "Оказание услуг по диагностике и техническому обслуживанию источника бесперебойного питания, входящего в состав системы бесперебойного гарантированного электроснабжения служебно-производственного здания Мурманской таможни")</f>
        <v>Оказание услуг по диагностике и техническому обслуживанию источника бесперебойного питания, входящего в состав системы бесперебойного гарантированного электроснабжения служебно-производственного здания Мурманской таможни</v>
      </c>
      <c r="G3586" s="22" t="s">
        <v>340</v>
      </c>
      <c r="H3586" s="22" t="s">
        <v>340</v>
      </c>
      <c r="I3586" s="26">
        <v>43718.467361111099</v>
      </c>
      <c r="J3586" s="28" t="s">
        <v>51</v>
      </c>
      <c r="K3586" s="28" t="s">
        <v>51</v>
      </c>
      <c r="L3586" s="28" t="s">
        <v>51</v>
      </c>
      <c r="M3586" s="28" t="s">
        <v>51</v>
      </c>
      <c r="N3586" s="28" t="s">
        <v>51</v>
      </c>
    </row>
    <row r="3587" spans="1:14" hidden="1" outlineLevel="1" x14ac:dyDescent="0.2">
      <c r="A3587" s="23" t="str">
        <f>HYPERLINK("https://www.spark-marketing.ru/Card/Person/5873", "МУРМАНСКАЯ ТАМОЖНЯ")</f>
        <v>МУРМАНСКАЯ ТАМОЖНЯ</v>
      </c>
      <c r="B3587" s="24" t="s">
        <v>6022</v>
      </c>
      <c r="C3587" s="25">
        <v>132000</v>
      </c>
      <c r="D3587" s="22" t="s">
        <v>6023</v>
      </c>
      <c r="E3587" s="22" t="s">
        <v>355</v>
      </c>
      <c r="F3587" s="23" t="str">
        <f>HYPERLINK("https://www.spark-marketing.ru/Card/Lot/73323364", "Оказание услуг по диагностике и техническому обслуживанию источника бесперебойного питания, входящего в состав системы бесперебойного гарантированного электроснабжения служебно-производственного здания Мурманской таможни")</f>
        <v>Оказание услуг по диагностике и техническому обслуживанию источника бесперебойного питания, входящего в состав системы бесперебойного гарантированного электроснабжения служебно-производственного здания Мурманской таможни</v>
      </c>
      <c r="G3587" s="22" t="s">
        <v>340</v>
      </c>
      <c r="H3587" s="22" t="s">
        <v>340</v>
      </c>
      <c r="I3587" s="26">
        <v>43718.467361111099</v>
      </c>
      <c r="J3587" s="23" t="str">
        <f>HYPERLINK("https://www.spark-marketing.ru/Card/Person/4350975", "Кайданюк Дмитрий Андреевич")</f>
        <v>Кайданюк Дмитрий Андреевич</v>
      </c>
      <c r="K3587" s="24" t="s">
        <v>6024</v>
      </c>
      <c r="L3587" s="28" t="s">
        <v>51</v>
      </c>
      <c r="M3587" s="25">
        <v>130680</v>
      </c>
      <c r="N3587" s="27">
        <v>0.01</v>
      </c>
    </row>
    <row r="3588" spans="1:14" ht="12.75" hidden="1" outlineLevel="1" x14ac:dyDescent="0.2">
      <c r="A3588" s="23" t="str">
        <f>HYPERLINK("https://www.spark-marketing.ru/Card/Person/5873", "МУРМАНСКАЯ ТАМОЖНЯ")</f>
        <v>МУРМАНСКАЯ ТАМОЖНЯ</v>
      </c>
      <c r="B3588" s="24" t="s">
        <v>6022</v>
      </c>
      <c r="C3588" s="25">
        <v>132000</v>
      </c>
      <c r="D3588" s="22" t="s">
        <v>6023</v>
      </c>
      <c r="E3588" s="22" t="s">
        <v>355</v>
      </c>
      <c r="F3588" s="23" t="str">
        <f>HYPERLINK("https://www.spark-marketing.ru/Card/Lot/73323364", "Оказание услуг по диагностике и техническому обслуживанию источника бесперебойного питания, входящего в состав системы бесперебойного гарантированного электроснабжения служебно-производственного здания Мурманской таможни")</f>
        <v>Оказание услуг по диагностике и техническому обслуживанию источника бесперебойного питания, входящего в состав системы бесперебойного гарантированного электроснабжения служебно-производственного здания Мурманской таможни</v>
      </c>
      <c r="G3588" s="22" t="s">
        <v>340</v>
      </c>
      <c r="H3588" s="22" t="s">
        <v>340</v>
      </c>
      <c r="I3588" s="26">
        <v>43718.467361111099</v>
      </c>
      <c r="J3588" s="23" t="str">
        <f>HYPERLINK("https://www.spark-marketing.ru/Card/Person/6489162", "ООО ""АЛАС ЭНЕРГИЯ""")</f>
        <v>ООО "АЛАС ЭНЕРГИЯ"</v>
      </c>
      <c r="K3588" s="24" t="s">
        <v>6025</v>
      </c>
      <c r="L3588" s="22" t="s">
        <v>10</v>
      </c>
      <c r="M3588" s="25">
        <v>130020</v>
      </c>
      <c r="N3588" s="27">
        <v>1.4999999999999999E-2</v>
      </c>
    </row>
    <row r="3589" spans="1:14" x14ac:dyDescent="0.15">
      <c r="A3589" s="23" t="str">
        <f>HYPERLINK("https://www.spark-marketing.ru/Card/Person/153430", "ОМВД РОССИИ ПО ГОРОДУ КУЗНЕЦКУ")</f>
        <v>ОМВД РОССИИ ПО ГОРОДУ КУЗНЕЦКУ</v>
      </c>
      <c r="B3589" s="24" t="s">
        <v>6026</v>
      </c>
      <c r="C3589" s="25">
        <v>536890</v>
      </c>
      <c r="D3589" s="22" t="s">
        <v>6027</v>
      </c>
      <c r="E3589" s="22" t="s">
        <v>48</v>
      </c>
      <c r="F3589" s="23" t="str">
        <f>HYPERLINK("https://www.spark-marketing.ru/Card/Lot/73324837", "Питание ИВС и СП")</f>
        <v>Питание ИВС и СП</v>
      </c>
      <c r="G3589" s="22" t="s">
        <v>72</v>
      </c>
      <c r="H3589" s="22" t="s">
        <v>3356</v>
      </c>
      <c r="I3589" s="26">
        <v>43718.470833333296</v>
      </c>
      <c r="J3589" s="23" t="str">
        <f>HYPERLINK("https://www.spark-marketing.ru/Card/Person/5787283", "Манахов Александр Анатольевич")</f>
        <v>Манахов Александр Анатольевич</v>
      </c>
      <c r="K3589" s="24" t="s">
        <v>6028</v>
      </c>
      <c r="L3589" s="22" t="s">
        <v>10</v>
      </c>
      <c r="M3589" s="28" t="s">
        <v>51</v>
      </c>
      <c r="N3589" s="28" t="s">
        <v>51</v>
      </c>
    </row>
    <row r="3590" spans="1:14" ht="12.75" x14ac:dyDescent="0.2">
      <c r="A3590" s="23" t="str">
        <f>HYPERLINK("https://www.spark-marketing.ru/Card/Person/173774", "МО МВД РОССИИ ""УСТЬ-КАЛМАНСКИЙ""")</f>
        <v>МО МВД РОССИИ "УСТЬ-КАЛМАНСКИЙ"</v>
      </c>
      <c r="B3590" s="24" t="s">
        <v>6016</v>
      </c>
      <c r="C3590" s="25">
        <v>365000</v>
      </c>
      <c r="D3590" s="22" t="s">
        <v>6029</v>
      </c>
      <c r="E3590" s="22" t="s">
        <v>48</v>
      </c>
      <c r="F3590" s="23" t="str">
        <f>HYPERLINK("https://www.spark-marketing.ru/Card/Lot/73324790", "Услуги по организации горячим трехразовым питанием лиц, содержащихся в ИВС и камере административно задержанных")</f>
        <v>Услуги по организации горячим трехразовым питанием лиц, содержащихся в ИВС и камере административно задержанных</v>
      </c>
      <c r="G3590" s="22" t="s">
        <v>63</v>
      </c>
      <c r="H3590" s="22" t="s">
        <v>6018</v>
      </c>
      <c r="I3590" s="26">
        <v>43718.658333333296</v>
      </c>
      <c r="J3590" s="23" t="str">
        <f>HYPERLINK("https://www.spark-marketing.ru/Card/Person/3989119", "ООО ""АГРО-ВОСТОЧНЫЙ""")</f>
        <v>ООО "АГРО-ВОСТОЧНЫЙ"</v>
      </c>
      <c r="K3590" s="24" t="s">
        <v>6019</v>
      </c>
      <c r="L3590" s="22" t="s">
        <v>10</v>
      </c>
      <c r="M3590" s="25">
        <v>365000</v>
      </c>
      <c r="N3590" s="27">
        <v>0</v>
      </c>
    </row>
    <row r="3591" spans="1:14" x14ac:dyDescent="0.15">
      <c r="A3591" s="23" t="str">
        <f>HYPERLINK("https://www.spark-marketing.ru/Card/Person/18481", "ФГУП ""РОСРАО""")</f>
        <v>ФГУП "РОСРАО"</v>
      </c>
      <c r="B3591" s="24" t="s">
        <v>2882</v>
      </c>
      <c r="C3591" s="25">
        <v>299800</v>
      </c>
      <c r="D3591" s="22" t="s">
        <v>6030</v>
      </c>
      <c r="E3591" s="22" t="s">
        <v>48</v>
      </c>
      <c r="F3591" s="23" t="str">
        <f>HYPERLINK("https://www.spark-marketing.ru/Card/Lot/73321812",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3591" s="22" t="s">
        <v>162</v>
      </c>
      <c r="H3591" s="22" t="s">
        <v>1620</v>
      </c>
      <c r="I3591" s="26">
        <v>43718.490081018499</v>
      </c>
      <c r="J3591" s="28" t="s">
        <v>51</v>
      </c>
      <c r="K3591" s="28" t="s">
        <v>51</v>
      </c>
      <c r="L3591" s="28" t="s">
        <v>51</v>
      </c>
      <c r="M3591" s="28" t="s">
        <v>51</v>
      </c>
      <c r="N3591" s="28" t="s">
        <v>51</v>
      </c>
    </row>
    <row r="3592" spans="1:14" x14ac:dyDescent="0.15">
      <c r="A3592" s="23" t="str">
        <f>HYPERLINK("https://www.spark-marketing.ru/Card/Person/153430", "ОМВД РОССИИ ПО ГОРОДУ КУЗНЕЦКУ")</f>
        <v>ОМВД РОССИИ ПО ГОРОДУ КУЗНЕЦКУ</v>
      </c>
      <c r="B3592" s="24" t="s">
        <v>6026</v>
      </c>
      <c r="C3592" s="25">
        <v>536890</v>
      </c>
      <c r="D3592" s="22" t="s">
        <v>6031</v>
      </c>
      <c r="E3592" s="22" t="s">
        <v>48</v>
      </c>
      <c r="F3592" s="23" t="str">
        <f>HYPERLINK("https://www.spark-marketing.ru/Card/Lot/73324220", "Питание ИВС и СП")</f>
        <v>Питание ИВС и СП</v>
      </c>
      <c r="G3592" s="22" t="s">
        <v>72</v>
      </c>
      <c r="H3592" s="22" t="s">
        <v>3356</v>
      </c>
      <c r="I3592" s="26">
        <v>43718.464583333298</v>
      </c>
      <c r="J3592" s="23" t="str">
        <f>HYPERLINK("https://www.spark-marketing.ru/Card/Person/5787283", "Манахов Александр Анатольевич")</f>
        <v>Манахов Александр Анатольевич</v>
      </c>
      <c r="K3592" s="24" t="s">
        <v>6028</v>
      </c>
      <c r="L3592" s="22" t="s">
        <v>10</v>
      </c>
      <c r="M3592" s="28" t="s">
        <v>51</v>
      </c>
      <c r="N3592" s="28" t="s">
        <v>51</v>
      </c>
    </row>
    <row r="3593" spans="1:14" x14ac:dyDescent="0.15">
      <c r="A3593" s="23" t="str">
        <f>HYPERLINK("https://www.spark-marketing.ru/Card/Person/36304", "ГБУЗ ККВД")</f>
        <v>ГБУЗ ККВД</v>
      </c>
      <c r="B3593" s="24" t="s">
        <v>6032</v>
      </c>
      <c r="C3593" s="25">
        <v>339900</v>
      </c>
      <c r="D3593" s="22" t="s">
        <v>6033</v>
      </c>
      <c r="E3593" s="22" t="s">
        <v>48</v>
      </c>
      <c r="F3593" s="23" t="str">
        <f>HYPERLINK("https://www.spark-marketing.ru/Card/Lot/73324813", "Оказание услуг по обеспечению лечебным питанием (для Новороссийского филиала)")</f>
        <v>Оказание услуг по обеспечению лечебным питанием (для Новороссийского филиала)</v>
      </c>
      <c r="G3593" s="22" t="s">
        <v>104</v>
      </c>
      <c r="H3593" s="22" t="s">
        <v>120</v>
      </c>
      <c r="I3593" s="26">
        <v>43718.485416666699</v>
      </c>
      <c r="J3593" s="28" t="s">
        <v>51</v>
      </c>
      <c r="K3593" s="28" t="s">
        <v>51</v>
      </c>
      <c r="L3593" s="28" t="s">
        <v>51</v>
      </c>
      <c r="M3593" s="28" t="s">
        <v>51</v>
      </c>
      <c r="N3593" s="28" t="s">
        <v>51</v>
      </c>
    </row>
    <row r="3594" spans="1:14" hidden="1" outlineLevel="1" x14ac:dyDescent="0.2">
      <c r="A3594" s="23" t="str">
        <f>HYPERLINK("https://www.spark-marketing.ru/Card/Person/36304", "ГБУЗ ККВД")</f>
        <v>ГБУЗ ККВД</v>
      </c>
      <c r="B3594" s="24" t="s">
        <v>6032</v>
      </c>
      <c r="C3594" s="25">
        <v>339900</v>
      </c>
      <c r="D3594" s="22" t="s">
        <v>6033</v>
      </c>
      <c r="E3594" s="22" t="s">
        <v>48</v>
      </c>
      <c r="F3594" s="23" t="str">
        <f>HYPERLINK("https://www.spark-marketing.ru/Card/Lot/73324813", "Оказание услуг по обеспечению лечебным питанием (для Новороссийского филиала)")</f>
        <v>Оказание услуг по обеспечению лечебным питанием (для Новороссийского филиала)</v>
      </c>
      <c r="G3594" s="22" t="s">
        <v>104</v>
      </c>
      <c r="H3594" s="22" t="s">
        <v>120</v>
      </c>
      <c r="I3594" s="26">
        <v>43718.485416666699</v>
      </c>
      <c r="J3594" s="23" t="str">
        <f>HYPERLINK("https://www.spark-marketing.ru/Card/Person/54395", "Третьяков Вячеслав Викторович")</f>
        <v>Третьяков Вячеслав Викторович</v>
      </c>
      <c r="K3594" s="24" t="s">
        <v>1690</v>
      </c>
      <c r="L3594" s="28" t="s">
        <v>51</v>
      </c>
      <c r="M3594" s="25">
        <v>183546</v>
      </c>
      <c r="N3594" s="27">
        <v>0.46</v>
      </c>
    </row>
    <row r="3595" spans="1:14" ht="12.75" hidden="1" outlineLevel="1" x14ac:dyDescent="0.2">
      <c r="A3595" s="23" t="str">
        <f>HYPERLINK("https://www.spark-marketing.ru/Card/Person/36304", "ГБУЗ ККВД")</f>
        <v>ГБУЗ ККВД</v>
      </c>
      <c r="B3595" s="24" t="s">
        <v>6032</v>
      </c>
      <c r="C3595" s="25">
        <v>339900</v>
      </c>
      <c r="D3595" s="22" t="s">
        <v>6033</v>
      </c>
      <c r="E3595" s="22" t="s">
        <v>48</v>
      </c>
      <c r="F3595" s="23" t="str">
        <f>HYPERLINK("https://www.spark-marketing.ru/Card/Lot/73324813", "Оказание услуг по обеспечению лечебным питанием (для Новороссийского филиала)")</f>
        <v>Оказание услуг по обеспечению лечебным питанием (для Новороссийского филиала)</v>
      </c>
      <c r="G3595" s="22" t="s">
        <v>104</v>
      </c>
      <c r="H3595" s="22" t="s">
        <v>120</v>
      </c>
      <c r="I3595" s="26">
        <v>43718.485416666699</v>
      </c>
      <c r="J3595" s="23" t="str">
        <f>HYPERLINK("https://www.spark-marketing.ru/Card/Person/2461569", "ООО ""КОНСТАНТИНОВ""")</f>
        <v>ООО "КОНСТАНТИНОВ"</v>
      </c>
      <c r="K3595" s="24" t="s">
        <v>1691</v>
      </c>
      <c r="L3595" s="22" t="s">
        <v>10</v>
      </c>
      <c r="M3595" s="25">
        <v>181846.5</v>
      </c>
      <c r="N3595" s="27">
        <v>0.46500000000000002</v>
      </c>
    </row>
    <row r="3596" spans="1:14" x14ac:dyDescent="0.15">
      <c r="A3596" s="23" t="str">
        <f>HYPERLINK("https://www.spark-marketing.ru/Card/Person/357068", "ОТДЕЛ МВД РОССИИ ПО АКСАЙСКОМУ РАЙОНУ")</f>
        <v>ОТДЕЛ МВД РОССИИ ПО АКСАЙСКОМУ РАЙОНУ</v>
      </c>
      <c r="B3596" s="24" t="s">
        <v>265</v>
      </c>
      <c r="C3596" s="25">
        <v>244800</v>
      </c>
      <c r="D3596" s="22" t="s">
        <v>6034</v>
      </c>
      <c r="E3596" s="22" t="s">
        <v>48</v>
      </c>
      <c r="F3596" s="23" t="str">
        <f>HYPERLINK("https://www.spark-marketing.ru/Card/Lot/73329950", "Услуги по организации горячего питания для лиц, доставленных и арестованных в административном порядке в Отделе МВД России по Аксайскому району")</f>
        <v>Услуги по организации горячего питания для лиц, доставленных и арестованных в административном порядке в Отделе МВД России по Аксайскому району</v>
      </c>
      <c r="G3596" s="22" t="s">
        <v>267</v>
      </c>
      <c r="H3596" s="22" t="s">
        <v>267</v>
      </c>
      <c r="I3596" s="26">
        <v>43718.420833333301</v>
      </c>
      <c r="J3596" s="28" t="s">
        <v>51</v>
      </c>
      <c r="K3596" s="28" t="s">
        <v>51</v>
      </c>
      <c r="L3596" s="28" t="s">
        <v>51</v>
      </c>
      <c r="M3596" s="28" t="s">
        <v>51</v>
      </c>
      <c r="N3596" s="28" t="s">
        <v>51</v>
      </c>
    </row>
    <row r="3597" spans="1:14" x14ac:dyDescent="0.15">
      <c r="A3597" s="23" t="str">
        <f>HYPERLINK("https://www.spark-marketing.ru/Card/Person/149192", "МОУ КОЛЫЧЕВСКАЯ СОШ")</f>
        <v>МОУ КОЛЫЧЕВСКАЯ СОШ</v>
      </c>
      <c r="B3597" s="24" t="s">
        <v>6035</v>
      </c>
      <c r="C3597" s="25">
        <v>365806</v>
      </c>
      <c r="D3597" s="22" t="s">
        <v>6036</v>
      </c>
      <c r="E3597" s="22" t="s">
        <v>48</v>
      </c>
      <c r="F3597" s="23" t="str">
        <f>HYPERLINK("https://www.spark-marketing.ru/Card/Lot/73322824", "Оказание услуг по организации питания отдельным категориям обучающихся на 2 полугодие 2019 г.")</f>
        <v>Оказание услуг по организации питания отдельным категориям обучающихся на 2 полугодие 2019 г.</v>
      </c>
      <c r="G3597" s="22" t="s">
        <v>49</v>
      </c>
      <c r="H3597" s="22" t="s">
        <v>506</v>
      </c>
      <c r="I3597" s="26">
        <v>43718.418055555601</v>
      </c>
      <c r="J3597" s="28" t="s">
        <v>51</v>
      </c>
      <c r="K3597" s="28" t="s">
        <v>51</v>
      </c>
      <c r="L3597" s="28" t="s">
        <v>51</v>
      </c>
      <c r="M3597" s="28" t="s">
        <v>51</v>
      </c>
      <c r="N3597" s="28" t="s">
        <v>51</v>
      </c>
    </row>
    <row r="3598" spans="1:14" ht="12.75" hidden="1" outlineLevel="1" x14ac:dyDescent="0.2">
      <c r="A3598" s="23" t="str">
        <f>HYPERLINK("https://www.spark-marketing.ru/Card/Person/149192", "МОУ КОЛЫЧЕВСКАЯ СОШ")</f>
        <v>МОУ КОЛЫЧЕВСКАЯ СОШ</v>
      </c>
      <c r="B3598" s="24" t="s">
        <v>6035</v>
      </c>
      <c r="C3598" s="25">
        <v>365806</v>
      </c>
      <c r="D3598" s="22" t="s">
        <v>6036</v>
      </c>
      <c r="E3598" s="22" t="s">
        <v>48</v>
      </c>
      <c r="F3598" s="23" t="str">
        <f>HYPERLINK("https://www.spark-marketing.ru/Card/Lot/73322824", "Оказание услуг по организации питания отдельным категориям обучающихся на 2 полугодие 2019 г.")</f>
        <v>Оказание услуг по организации питания отдельным категориям обучающихся на 2 полугодие 2019 г.</v>
      </c>
      <c r="G3598" s="22" t="s">
        <v>49</v>
      </c>
      <c r="H3598" s="22" t="s">
        <v>506</v>
      </c>
      <c r="I3598" s="26">
        <v>43718.418055555601</v>
      </c>
      <c r="J3598" s="23" t="str">
        <f>HYPERLINK("https://www.spark-marketing.ru/Card/Person/707404", "Пригонюк Сергей Иванович")</f>
        <v>Пригонюк Сергей Иванович</v>
      </c>
      <c r="K3598" s="24" t="s">
        <v>6037</v>
      </c>
      <c r="L3598" s="22" t="s">
        <v>10</v>
      </c>
      <c r="M3598" s="25">
        <v>362732</v>
      </c>
      <c r="N3598" s="27">
        <v>8.4033613445378148E-3</v>
      </c>
    </row>
    <row r="3599" spans="1:14" hidden="1" outlineLevel="1" x14ac:dyDescent="0.2">
      <c r="A3599" s="23" t="str">
        <f>HYPERLINK("https://www.spark-marketing.ru/Card/Person/149192", "МОУ КОЛЫЧЕВСКАЯ СОШ")</f>
        <v>МОУ КОЛЫЧЕВСКАЯ СОШ</v>
      </c>
      <c r="B3599" s="24" t="s">
        <v>6035</v>
      </c>
      <c r="C3599" s="25">
        <v>365806</v>
      </c>
      <c r="D3599" s="22" t="s">
        <v>6036</v>
      </c>
      <c r="E3599" s="22" t="s">
        <v>48</v>
      </c>
      <c r="F3599" s="23" t="str">
        <f>HYPERLINK("https://www.spark-marketing.ru/Card/Lot/73322824", "Оказание услуг по организации питания отдельным категориям обучающихся на 2 полугодие 2019 г.")</f>
        <v>Оказание услуг по организации питания отдельным категориям обучающихся на 2 полугодие 2019 г.</v>
      </c>
      <c r="G3599" s="22" t="s">
        <v>49</v>
      </c>
      <c r="H3599" s="22" t="s">
        <v>506</v>
      </c>
      <c r="I3599" s="26">
        <v>43718.418055555601</v>
      </c>
      <c r="J3599" s="23" t="str">
        <f>HYPERLINK("https://www.spark-marketing.ru/Card/Person/6290196", "ООО ""РАМКЕЙТ""")</f>
        <v>ООО "РАМКЕЙТ"</v>
      </c>
      <c r="K3599" s="24" t="s">
        <v>5037</v>
      </c>
      <c r="L3599" s="28" t="s">
        <v>51</v>
      </c>
      <c r="M3599" s="25">
        <v>365806</v>
      </c>
      <c r="N3599" s="27">
        <v>0</v>
      </c>
    </row>
    <row r="3600" spans="1:14" x14ac:dyDescent="0.15">
      <c r="A3600" s="23" t="str">
        <f>HYPERLINK("https://www.spark-marketing.ru/Card/Person/735519", "МДОБУ ДЕТСКИЙ САД №1 С. ИНЗЕР")</f>
        <v>МДОБУ ДЕТСКИЙ САД №1 С. ИНЗЕР</v>
      </c>
      <c r="B3600" s="24" t="s">
        <v>6038</v>
      </c>
      <c r="C3600" s="25">
        <v>1613430</v>
      </c>
      <c r="D3600" s="22" t="s">
        <v>6039</v>
      </c>
      <c r="E3600" s="22" t="s">
        <v>48</v>
      </c>
      <c r="F3600" s="23" t="str">
        <f>HYPERLINK("https://www.spark-marketing.ru/Card/Lot/73321760", "Оказание услуги по организации горячего питания")</f>
        <v>Оказание услуги по организации горячего питания</v>
      </c>
      <c r="G3600" s="22" t="s">
        <v>145</v>
      </c>
      <c r="H3600" s="22" t="s">
        <v>6040</v>
      </c>
      <c r="I3600" s="26">
        <v>43718.459027777797</v>
      </c>
      <c r="J3600" s="28" t="s">
        <v>51</v>
      </c>
      <c r="K3600" s="28" t="s">
        <v>51</v>
      </c>
      <c r="L3600" s="28" t="s">
        <v>51</v>
      </c>
      <c r="M3600" s="28" t="s">
        <v>51</v>
      </c>
      <c r="N3600" s="28" t="s">
        <v>51</v>
      </c>
    </row>
    <row r="3601" spans="1:14" x14ac:dyDescent="0.15">
      <c r="A3601" s="23" t="str">
        <f>HYPERLINK("https://www.spark-marketing.ru/Card/Person/1692809", "МО МВД РОССИИ ""УНЕЧСКИЙ""")</f>
        <v>МО МВД РОССИИ "УНЕЧСКИЙ"</v>
      </c>
      <c r="B3601" s="24" t="s">
        <v>3703</v>
      </c>
      <c r="C3601" s="25">
        <v>1150800</v>
      </c>
      <c r="D3601" s="22" t="s">
        <v>6041</v>
      </c>
      <c r="E3601" s="22" t="s">
        <v>48</v>
      </c>
      <c r="F3601" s="23" t="str">
        <f>HYPERLINK("https://www.spark-marketing.ru/Card/Lot/73321563", "услуги по организации ежедневного трехразового горячего питания, в том числе в выходные и праздничные дни лиц, содержащихся в комнате административно-задержанных, изоляторе временного содержания и специальном приемнике для содержания лиц, подвергнуты...")</f>
        <v>услуги по организации ежедневного трехразового горячего питания, в том числе в выходные и праздничные дни лиц, содержащихся в комнате административно-задержанных, изоляторе временного содержания и специальном приемнике для содержания лиц, подвергнуты...</v>
      </c>
      <c r="G3601" s="22" t="s">
        <v>475</v>
      </c>
      <c r="H3601" s="22" t="s">
        <v>475</v>
      </c>
      <c r="I3601" s="26">
        <v>43718.397916666698</v>
      </c>
      <c r="J3601" s="23" t="str">
        <f>HYPERLINK("https://www.spark-marketing.ru/Card/Person/260705", "ПО ""КООПЕРАТОР"" УНЕЧСКОГО РАЙОНА")</f>
        <v>ПО "КООПЕРАТОР" УНЕЧСКОГО РАЙОНА</v>
      </c>
      <c r="K3601" s="24" t="s">
        <v>3705</v>
      </c>
      <c r="L3601" s="22" t="s">
        <v>10</v>
      </c>
      <c r="M3601" s="28" t="s">
        <v>51</v>
      </c>
      <c r="N3601" s="28" t="s">
        <v>51</v>
      </c>
    </row>
    <row r="3602" spans="1:14" x14ac:dyDescent="0.15">
      <c r="A3602" s="23" t="str">
        <f t="shared" ref="A3602:A3610" si="65">HYPERLINK("https://www.spark-marketing.ru/Card/Person/37828", "ГБУЗ НД")</f>
        <v>ГБУЗ НД</v>
      </c>
      <c r="B3602" s="24" t="s">
        <v>118</v>
      </c>
      <c r="C3602" s="25">
        <v>194133.03</v>
      </c>
      <c r="D3602" s="22" t="s">
        <v>6042</v>
      </c>
      <c r="E3602" s="22" t="s">
        <v>6043</v>
      </c>
      <c r="F3602" s="23" t="str">
        <f>HYPERLINK("https://www.spark-marketing.ru/Card/Lot/73322362", "Оказание услуг по найму транспортного средства с экипажем (водителем)")</f>
        <v>Оказание услуг по найму транспортного средства с экипажем (водителем)</v>
      </c>
      <c r="G3602" s="22" t="s">
        <v>104</v>
      </c>
      <c r="H3602" s="22" t="s">
        <v>120</v>
      </c>
      <c r="I3602" s="26">
        <v>43718.384722222203</v>
      </c>
      <c r="J3602" s="28" t="s">
        <v>51</v>
      </c>
      <c r="K3602" s="28" t="s">
        <v>51</v>
      </c>
      <c r="L3602" s="28" t="s">
        <v>51</v>
      </c>
      <c r="M3602" s="28" t="s">
        <v>51</v>
      </c>
      <c r="N3602" s="28" t="s">
        <v>51</v>
      </c>
    </row>
    <row r="3603" spans="1:14" hidden="1" outlineLevel="1" x14ac:dyDescent="0.2">
      <c r="A3603" s="23" t="str">
        <f t="shared" si="65"/>
        <v>ГБУЗ НД</v>
      </c>
      <c r="B3603" s="24" t="s">
        <v>118</v>
      </c>
      <c r="C3603" s="25">
        <v>194133.03</v>
      </c>
      <c r="D3603" s="22" t="s">
        <v>6042</v>
      </c>
      <c r="E3603" s="22" t="s">
        <v>6043</v>
      </c>
      <c r="F3603" s="23" t="str">
        <f>HYPERLINK("https://www.spark-marketing.ru/Card/Lot/73322362", "Оказание услуг по найму транспортного средства с экипажем (водителем)")</f>
        <v>Оказание услуг по найму транспортного средства с экипажем (водителем)</v>
      </c>
      <c r="G3603" s="22" t="s">
        <v>104</v>
      </c>
      <c r="H3603" s="22" t="s">
        <v>120</v>
      </c>
      <c r="I3603" s="26">
        <v>43718.384722222203</v>
      </c>
      <c r="J3603" s="23" t="str">
        <f>HYPERLINK("https://www.spark-marketing.ru/Card/Person/6693981", "Морозова Надежда Борисовна")</f>
        <v>Морозова Надежда Борисовна</v>
      </c>
      <c r="K3603" s="24" t="s">
        <v>4459</v>
      </c>
      <c r="L3603" s="28" t="s">
        <v>51</v>
      </c>
      <c r="M3603" s="25">
        <v>170000</v>
      </c>
      <c r="N3603" s="27">
        <v>0.1243118185504033</v>
      </c>
    </row>
    <row r="3604" spans="1:14" hidden="1" outlineLevel="1" x14ac:dyDescent="0.2">
      <c r="A3604" s="23" t="str">
        <f t="shared" si="65"/>
        <v>ГБУЗ НД</v>
      </c>
      <c r="B3604" s="24" t="s">
        <v>118</v>
      </c>
      <c r="C3604" s="25">
        <v>194133.03</v>
      </c>
      <c r="D3604" s="22" t="s">
        <v>6042</v>
      </c>
      <c r="E3604" s="22" t="s">
        <v>6043</v>
      </c>
      <c r="F3604" s="23" t="str">
        <f>HYPERLINK("https://www.spark-marketing.ru/Card/Lot/73322362", "Оказание услуг по найму транспортного средства с экипажем (водителем)")</f>
        <v>Оказание услуг по найму транспортного средства с экипажем (водителем)</v>
      </c>
      <c r="G3604" s="22" t="s">
        <v>104</v>
      </c>
      <c r="H3604" s="22" t="s">
        <v>120</v>
      </c>
      <c r="I3604" s="26">
        <v>43718.384722222203</v>
      </c>
      <c r="J3604" s="23" t="str">
        <f>HYPERLINK("https://www.spark-marketing.ru/Card/Person/4937723", "ООО ""БРОАВТО""")</f>
        <v>ООО "БРОАВТО"</v>
      </c>
      <c r="K3604" s="24" t="s">
        <v>6044</v>
      </c>
      <c r="L3604" s="28" t="s">
        <v>51</v>
      </c>
      <c r="M3604" s="25">
        <v>166954.37</v>
      </c>
      <c r="N3604" s="27">
        <v>0.1400001844096288</v>
      </c>
    </row>
    <row r="3605" spans="1:14" hidden="1" outlineLevel="1" x14ac:dyDescent="0.2">
      <c r="A3605" s="23" t="str">
        <f t="shared" si="65"/>
        <v>ГБУЗ НД</v>
      </c>
      <c r="B3605" s="24" t="s">
        <v>118</v>
      </c>
      <c r="C3605" s="25">
        <v>194133.03</v>
      </c>
      <c r="D3605" s="22" t="s">
        <v>6042</v>
      </c>
      <c r="E3605" s="22" t="s">
        <v>6043</v>
      </c>
      <c r="F3605" s="23" t="str">
        <f>HYPERLINK("https://www.spark-marketing.ru/Card/Lot/73322362", "Оказание услуг по найму транспортного средства с экипажем (водителем)")</f>
        <v>Оказание услуг по найму транспортного средства с экипажем (водителем)</v>
      </c>
      <c r="G3605" s="22" t="s">
        <v>104</v>
      </c>
      <c r="H3605" s="22" t="s">
        <v>120</v>
      </c>
      <c r="I3605" s="26">
        <v>43718.384722222203</v>
      </c>
      <c r="J3605" s="23" t="str">
        <f>HYPERLINK("https://www.spark-marketing.ru/Card/Person/1172866", "Найда Юрий Владимирович")</f>
        <v>Найда Юрий Владимирович</v>
      </c>
      <c r="K3605" s="24" t="s">
        <v>6045</v>
      </c>
      <c r="L3605" s="28" t="s">
        <v>51</v>
      </c>
      <c r="M3605" s="25">
        <v>80565.14</v>
      </c>
      <c r="N3605" s="27">
        <v>0.58500034744216378</v>
      </c>
    </row>
    <row r="3606" spans="1:14" ht="12.75" hidden="1" outlineLevel="1" x14ac:dyDescent="0.2">
      <c r="A3606" s="23" t="str">
        <f t="shared" si="65"/>
        <v>ГБУЗ НД</v>
      </c>
      <c r="B3606" s="24" t="s">
        <v>118</v>
      </c>
      <c r="C3606" s="25">
        <v>194133.03</v>
      </c>
      <c r="D3606" s="22" t="s">
        <v>6042</v>
      </c>
      <c r="E3606" s="22" t="s">
        <v>6043</v>
      </c>
      <c r="F3606" s="23" t="str">
        <f>HYPERLINK("https://www.spark-marketing.ru/Card/Lot/73322362", "Оказание услуг по найму транспортного средства с экипажем (водителем)")</f>
        <v>Оказание услуг по найму транспортного средства с экипажем (водителем)</v>
      </c>
      <c r="G3606" s="22" t="s">
        <v>104</v>
      </c>
      <c r="H3606" s="22" t="s">
        <v>120</v>
      </c>
      <c r="I3606" s="26">
        <v>43718.384722222203</v>
      </c>
      <c r="J3606" s="23" t="str">
        <f>HYPERLINK("https://www.spark-marketing.ru/Card/Person/6228431", "Амбарцумян Саркис Аликович")</f>
        <v>Амбарцумян Саркис Аликович</v>
      </c>
      <c r="K3606" s="24" t="s">
        <v>6046</v>
      </c>
      <c r="L3606" s="22" t="s">
        <v>10</v>
      </c>
      <c r="M3606" s="25">
        <v>79594.47</v>
      </c>
      <c r="N3606" s="27">
        <v>0.59000037242503245</v>
      </c>
    </row>
    <row r="3607" spans="1:14" x14ac:dyDescent="0.15">
      <c r="A3607" s="23" t="str">
        <f t="shared" si="65"/>
        <v>ГБУЗ НД</v>
      </c>
      <c r="B3607" s="24" t="s">
        <v>118</v>
      </c>
      <c r="C3607" s="25">
        <v>169866.97</v>
      </c>
      <c r="D3607" s="22" t="s">
        <v>6047</v>
      </c>
      <c r="E3607" s="22" t="s">
        <v>6043</v>
      </c>
      <c r="F3607" s="23" t="str">
        <f>HYPERLINK("https://www.spark-marketing.ru/Card/Lot/73319462", "Оказание услуг по найму транспортного средства с экипажем (водителем)")</f>
        <v>Оказание услуг по найму транспортного средства с экипажем (водителем)</v>
      </c>
      <c r="G3607" s="22" t="s">
        <v>104</v>
      </c>
      <c r="H3607" s="22" t="s">
        <v>120</v>
      </c>
      <c r="I3607" s="26">
        <v>43718.384722222203</v>
      </c>
      <c r="J3607" s="28" t="s">
        <v>51</v>
      </c>
      <c r="K3607" s="28" t="s">
        <v>51</v>
      </c>
      <c r="L3607" s="28" t="s">
        <v>51</v>
      </c>
      <c r="M3607" s="28" t="s">
        <v>51</v>
      </c>
      <c r="N3607" s="28" t="s">
        <v>51</v>
      </c>
    </row>
    <row r="3608" spans="1:14" hidden="1" outlineLevel="1" x14ac:dyDescent="0.2">
      <c r="A3608" s="23" t="str">
        <f t="shared" si="65"/>
        <v>ГБУЗ НД</v>
      </c>
      <c r="B3608" s="24" t="s">
        <v>118</v>
      </c>
      <c r="C3608" s="25">
        <v>169866.97</v>
      </c>
      <c r="D3608" s="22" t="s">
        <v>6047</v>
      </c>
      <c r="E3608" s="22" t="s">
        <v>6043</v>
      </c>
      <c r="F3608" s="23" t="str">
        <f>HYPERLINK("https://www.spark-marketing.ru/Card/Lot/73319462", "Оказание услуг по найму транспортного средства с экипажем (водителем)")</f>
        <v>Оказание услуг по найму транспортного средства с экипажем (водителем)</v>
      </c>
      <c r="G3608" s="22" t="s">
        <v>104</v>
      </c>
      <c r="H3608" s="22" t="s">
        <v>120</v>
      </c>
      <c r="I3608" s="26">
        <v>43718.384722222203</v>
      </c>
      <c r="J3608" s="23" t="str">
        <f>HYPERLINK("https://www.spark-marketing.ru/Card/Person/6693981", "Морозова Надежда Борисовна")</f>
        <v>Морозова Надежда Борисовна</v>
      </c>
      <c r="K3608" s="24" t="s">
        <v>4459</v>
      </c>
      <c r="L3608" s="28" t="s">
        <v>51</v>
      </c>
      <c r="M3608" s="25">
        <v>106150.67</v>
      </c>
      <c r="N3608" s="27">
        <v>0.37509528780080081</v>
      </c>
    </row>
    <row r="3609" spans="1:14" ht="12.75" hidden="1" outlineLevel="1" x14ac:dyDescent="0.2">
      <c r="A3609" s="23" t="str">
        <f t="shared" si="65"/>
        <v>ГБУЗ НД</v>
      </c>
      <c r="B3609" s="24" t="s">
        <v>118</v>
      </c>
      <c r="C3609" s="25">
        <v>169866.97</v>
      </c>
      <c r="D3609" s="22" t="s">
        <v>6047</v>
      </c>
      <c r="E3609" s="22" t="s">
        <v>6043</v>
      </c>
      <c r="F3609" s="23" t="str">
        <f>HYPERLINK("https://www.spark-marketing.ru/Card/Lot/73319462", "Оказание услуг по найму транспортного средства с экипажем (водителем)")</f>
        <v>Оказание услуг по найму транспортного средства с экипажем (водителем)</v>
      </c>
      <c r="G3609" s="22" t="s">
        <v>104</v>
      </c>
      <c r="H3609" s="22" t="s">
        <v>120</v>
      </c>
      <c r="I3609" s="26">
        <v>43718.384722222203</v>
      </c>
      <c r="J3609" s="23" t="str">
        <f>HYPERLINK("https://www.spark-marketing.ru/Card/Person/906414", "ООО ""ВОЯЖ И К""")</f>
        <v>ООО "ВОЯЖ И К"</v>
      </c>
      <c r="K3609" s="24" t="s">
        <v>6048</v>
      </c>
      <c r="L3609" s="22" t="s">
        <v>10</v>
      </c>
      <c r="M3609" s="25">
        <v>105000</v>
      </c>
      <c r="N3609" s="27">
        <v>0.38186923567306819</v>
      </c>
    </row>
    <row r="3610" spans="1:14" hidden="1" outlineLevel="1" x14ac:dyDescent="0.2">
      <c r="A3610" s="23" t="str">
        <f t="shared" si="65"/>
        <v>ГБУЗ НД</v>
      </c>
      <c r="B3610" s="24" t="s">
        <v>118</v>
      </c>
      <c r="C3610" s="25">
        <v>169866.97</v>
      </c>
      <c r="D3610" s="22" t="s">
        <v>6047</v>
      </c>
      <c r="E3610" s="22" t="s">
        <v>6043</v>
      </c>
      <c r="F3610" s="23" t="str">
        <f>HYPERLINK("https://www.spark-marketing.ru/Card/Lot/73319462", "Оказание услуг по найму транспортного средства с экипажем (водителем)")</f>
        <v>Оказание услуг по найму транспортного средства с экипажем (водителем)</v>
      </c>
      <c r="G3610" s="22" t="s">
        <v>104</v>
      </c>
      <c r="H3610" s="22" t="s">
        <v>120</v>
      </c>
      <c r="I3610" s="26">
        <v>43718.384722222203</v>
      </c>
      <c r="J3610" s="23" t="str">
        <f>HYPERLINK("https://www.spark-marketing.ru/Card/Person/4937723", "ООО ""БРОАВТО""")</f>
        <v>ООО "БРОАВТО"</v>
      </c>
      <c r="K3610" s="24" t="s">
        <v>6044</v>
      </c>
      <c r="L3610" s="28" t="s">
        <v>51</v>
      </c>
      <c r="M3610" s="25">
        <v>163921.34</v>
      </c>
      <c r="N3610" s="27">
        <v>3.5001683964810813E-2</v>
      </c>
    </row>
    <row r="3611" spans="1:14" x14ac:dyDescent="0.15">
      <c r="A3611" s="23" t="str">
        <f>HYPERLINK("https://www.spark-marketing.ru/Card/Person/18872", "ФГБУЗ КБ № 8 ФМБА РОССИИ")</f>
        <v>ФГБУЗ КБ № 8 ФМБА РОССИИ</v>
      </c>
      <c r="B3611" s="24" t="s">
        <v>6049</v>
      </c>
      <c r="C3611" s="25">
        <v>1016750</v>
      </c>
      <c r="D3611" s="22" t="s">
        <v>6050</v>
      </c>
      <c r="E3611" s="22" t="s">
        <v>48</v>
      </c>
      <c r="F3611" s="23" t="str">
        <f>HYPERLINK("https://www.spark-marketing.ru/Card/Lot/73321402", "Оказание услуг по обеспечению работников ФГБУЗ КБ №8 ФМБА России спецпитанием")</f>
        <v>Оказание услуг по обеспечению работников ФГБУЗ КБ №8 ФМБА России спецпитанием</v>
      </c>
      <c r="G3611" s="22" t="s">
        <v>112</v>
      </c>
      <c r="H3611" s="22" t="s">
        <v>1663</v>
      </c>
      <c r="I3611" s="26">
        <v>43718.410416666702</v>
      </c>
      <c r="J3611" s="23" t="str">
        <f>HYPERLINK("https://www.spark-marketing.ru/Card/Person/1229746", "ООО ""ТОРГОВАЯ СЕТЬ ""БУКЕТ""")</f>
        <v>ООО "ТОРГОВАЯ СЕТЬ "БУКЕТ"</v>
      </c>
      <c r="K3611" s="24" t="s">
        <v>6051</v>
      </c>
      <c r="L3611" s="22" t="s">
        <v>10</v>
      </c>
      <c r="M3611" s="28" t="s">
        <v>51</v>
      </c>
      <c r="N3611" s="28" t="s">
        <v>51</v>
      </c>
    </row>
    <row r="3612" spans="1:14" x14ac:dyDescent="0.2">
      <c r="A3612" s="23" t="str">
        <f>HYPERLINK("https://www.spark-marketing.ru/Card/Person/1086212", "МДОБУ ДЕТСКИЙ САД №5 ""РОМАШКА"" Г.БЕЛОРЕЦК")</f>
        <v>МДОБУ ДЕТСКИЙ САД №5 "РОМАШКА" Г.БЕЛОРЕЦК</v>
      </c>
      <c r="B3612" s="24" t="s">
        <v>6052</v>
      </c>
      <c r="C3612" s="25">
        <v>1243320</v>
      </c>
      <c r="D3612" s="22" t="s">
        <v>6053</v>
      </c>
      <c r="E3612" s="22" t="s">
        <v>48</v>
      </c>
      <c r="F3612" s="23" t="str">
        <f>HYPERLINK("https://www.spark-marketing.ru/Card/Lot/73321781", "Оказание услуги по организации горячего питания")</f>
        <v>Оказание услуги по организации горячего питания</v>
      </c>
      <c r="G3612" s="22" t="s">
        <v>145</v>
      </c>
      <c r="H3612" s="22" t="s">
        <v>6054</v>
      </c>
      <c r="I3612" s="26">
        <v>43718.458333333299</v>
      </c>
      <c r="J3612" s="23" t="str">
        <f>HYPERLINK("https://www.spark-marketing.ru/Card/Person/1990735", "Кваснина Татьяна Геннадьевна")</f>
        <v>Кваснина Татьяна Геннадьевна</v>
      </c>
      <c r="K3612" s="24" t="s">
        <v>1399</v>
      </c>
      <c r="L3612" s="28" t="s">
        <v>51</v>
      </c>
      <c r="M3612" s="25">
        <v>1243320</v>
      </c>
      <c r="N3612" s="27">
        <v>0</v>
      </c>
    </row>
    <row r="3613" spans="1:14" x14ac:dyDescent="0.15">
      <c r="A3613" s="23" t="str">
        <f>HYPERLINK("https://www.spark-marketing.ru/Card/Person/4348382", "ООО ""ГАЗПРОМ ПИТАНИЕ""")</f>
        <v>ООО "ГАЗПРОМ ПИТАНИЕ"</v>
      </c>
      <c r="B3613" s="24" t="s">
        <v>2869</v>
      </c>
      <c r="C3613" s="25">
        <v>28000</v>
      </c>
      <c r="D3613" s="22" t="s">
        <v>6055</v>
      </c>
      <c r="E3613" s="22" t="s">
        <v>52</v>
      </c>
      <c r="F3613" s="23" t="str">
        <f>HYPERLINK("https://www.spark-marketing.ru/Card/Lot/73317794", "Представление услуг по экспресс-доставке отправлений для нужд филиала ""чайковское управление по организации общественного питания"" ооо ""газпром питание""")</f>
        <v>Представление услуг по экспресс-доставке отправлений для нужд филиала "чайковское управление по организации общественного питания" ооо "газпром питание"</v>
      </c>
      <c r="G3613" s="22" t="s">
        <v>153</v>
      </c>
      <c r="H3613" s="22" t="s">
        <v>6056</v>
      </c>
      <c r="I3613" s="26">
        <v>43718.358333333301</v>
      </c>
      <c r="J3613" s="28" t="s">
        <v>51</v>
      </c>
      <c r="K3613" s="28" t="s">
        <v>51</v>
      </c>
      <c r="L3613" s="28" t="s">
        <v>51</v>
      </c>
      <c r="M3613" s="28" t="s">
        <v>51</v>
      </c>
      <c r="N3613" s="28" t="s">
        <v>51</v>
      </c>
    </row>
    <row r="3614" spans="1:14" x14ac:dyDescent="0.15">
      <c r="A3614" s="23" t="str">
        <f>HYPERLINK("https://www.spark-marketing.ru/Card/Person/1009910", "МБОУ ""СШ № 7""")</f>
        <v>МБОУ "СШ № 7"</v>
      </c>
      <c r="B3614" s="24" t="s">
        <v>6057</v>
      </c>
      <c r="C3614" s="25">
        <v>263796</v>
      </c>
      <c r="D3614" s="22" t="s">
        <v>6058</v>
      </c>
      <c r="E3614" s="22" t="s">
        <v>48</v>
      </c>
      <c r="F3614" s="23" t="str">
        <f>HYPERLINK("https://www.spark-marketing.ru/Card/Lot/73319765",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3614" s="22" t="s">
        <v>1522</v>
      </c>
      <c r="H3614" s="22" t="s">
        <v>6059</v>
      </c>
      <c r="I3614" s="26">
        <v>43718.350694444402</v>
      </c>
      <c r="J3614" s="23" t="str">
        <f>HYPERLINK("https://www.spark-marketing.ru/Card/Person/6704722", "Седова Мария Александровна")</f>
        <v>Седова Мария Александровна</v>
      </c>
      <c r="K3614" s="24" t="s">
        <v>6060</v>
      </c>
      <c r="L3614" s="22" t="s">
        <v>10</v>
      </c>
      <c r="M3614" s="28" t="s">
        <v>51</v>
      </c>
      <c r="N3614" s="28" t="s">
        <v>51</v>
      </c>
    </row>
    <row r="3615" spans="1:14" x14ac:dyDescent="0.15">
      <c r="A3615" s="23" t="str">
        <f>HYPERLINK("https://www.spark-marketing.ru/Card/Person/6489230", "ГБУЗ ПК ""ГБ № 6""")</f>
        <v>ГБУЗ ПК "ГБ № 6"</v>
      </c>
      <c r="B3615" s="24" t="s">
        <v>5895</v>
      </c>
      <c r="C3615" s="25">
        <v>9342708.6799999997</v>
      </c>
      <c r="D3615" s="22" t="s">
        <v>6061</v>
      </c>
      <c r="E3615" s="22" t="s">
        <v>96</v>
      </c>
      <c r="F3615" s="23" t="str">
        <f>HYPERLINK("https://www.spark-marketing.ru/Card/Lot/73317485", "ОКАЗАНИЕ УСЛУГ ПО ОБЕСПЕЧЕНИЮ ЛЕЧЕБНЫМ ПИТАНИЕМ ПАЦИЕНТОВ, НАХОДЯЩИХСЯ НА СТАЦИОНАРНОМ ЛЕЧЕНИИ В ГОСУДАРСТВЕННОМ БЮДЖЕТНОМ УЧРЕЖДЕНИИ ЗДРАВООХРАНЕНИЯ ПЕРМСКОГО КРАЯ «ГОРОДСКАЯ БОЛЬНИЦА № 6» ПО АДРЕСУ: Г. ПЕРМЬ, УЛ. ЛОБАЧЕВСКОГО,26; Г. ПЕРМЬ, УЛ. ПЕРВ...")</f>
        <v>ОКАЗАНИЕ УСЛУГ ПО ОБЕСПЕЧЕНИЮ ЛЕЧЕБНЫМ ПИТАНИЕМ ПАЦИЕНТОВ, НАХОДЯЩИХСЯ НА СТАЦИОНАРНОМ ЛЕЧЕНИИ В ГОСУДАРСТВЕННОМ БЮДЖЕТНОМ УЧРЕЖДЕНИИ ЗДРАВООХРАНЕНИЯ ПЕРМСКОГО КРАЯ «ГОРОДСКАЯ БОЛЬНИЦА № 6» ПО АДРЕСУ: Г. ПЕРМЬ, УЛ. ЛОБАЧЕВСКОГО,26; Г. ПЕРМЬ, УЛ. ПЕРВ...</v>
      </c>
      <c r="G3615" s="22" t="s">
        <v>153</v>
      </c>
      <c r="H3615" s="22" t="s">
        <v>153</v>
      </c>
      <c r="I3615" s="26">
        <v>43718.379861111098</v>
      </c>
      <c r="J3615" s="28" t="s">
        <v>51</v>
      </c>
      <c r="K3615" s="28" t="s">
        <v>51</v>
      </c>
      <c r="L3615" s="28" t="s">
        <v>51</v>
      </c>
      <c r="M3615" s="28" t="s">
        <v>51</v>
      </c>
      <c r="N3615" s="28" t="s">
        <v>51</v>
      </c>
    </row>
    <row r="3616" spans="1:14" ht="12.75" hidden="1" outlineLevel="1" x14ac:dyDescent="0.2">
      <c r="A3616" s="23" t="str">
        <f>HYPERLINK("https://www.spark-marketing.ru/Card/Person/6489230", "ГБУЗ ПК ""ГБ № 6""")</f>
        <v>ГБУЗ ПК "ГБ № 6"</v>
      </c>
      <c r="B3616" s="24" t="s">
        <v>5895</v>
      </c>
      <c r="C3616" s="25">
        <v>9342708.6799999997</v>
      </c>
      <c r="D3616" s="22" t="s">
        <v>6061</v>
      </c>
      <c r="E3616" s="22" t="s">
        <v>96</v>
      </c>
      <c r="F3616" s="23" t="str">
        <f>HYPERLINK("https://www.spark-marketing.ru/Card/Lot/73317485", "ОКАЗАНИЕ УСЛУГ ПО ОБЕСПЕЧЕНИЮ ЛЕЧЕБНЫМ ПИТАНИЕМ ПАЦИЕНТОВ, НАХОДЯЩИХСЯ НА СТАЦИОНАРНОМ ЛЕЧЕНИИ В ГОСУДАРСТВЕННОМ БЮДЖЕТНОМ УЧРЕЖДЕНИИ ЗДРАВООХРАНЕНИЯ ПЕРМСКОГО КРАЯ «ГОРОДСКАЯ БОЛЬНИЦА № 6» ПО АДРЕСУ: Г. ПЕРМЬ, УЛ. ЛОБАЧЕВСКОГО,26; Г. ПЕРМЬ, УЛ. ПЕРВ...")</f>
        <v>ОКАЗАНИЕ УСЛУГ ПО ОБЕСПЕЧЕНИЮ ЛЕЧЕБНЫМ ПИТАНИЕМ ПАЦИЕНТОВ, НАХОДЯЩИХСЯ НА СТАЦИОНАРНОМ ЛЕЧЕНИИ В ГОСУДАРСТВЕННОМ БЮДЖЕТНОМ УЧРЕЖДЕНИИ ЗДРАВООХРАНЕНИЯ ПЕРМСКОГО КРАЯ «ГОРОДСКАЯ БОЛЬНИЦА № 6» ПО АДРЕСУ: Г. ПЕРМЬ, УЛ. ЛОБАЧЕВСКОГО,26; Г. ПЕРМЬ, УЛ. ПЕРВ...</v>
      </c>
      <c r="G3616" s="22" t="s">
        <v>153</v>
      </c>
      <c r="H3616" s="22" t="s">
        <v>153</v>
      </c>
      <c r="I3616" s="26">
        <v>43718.379861111098</v>
      </c>
      <c r="J3616" s="23" t="str">
        <f>HYPERLINK("https://www.spark-marketing.ru/Card/Person/245836", "ООО ""АМЕГА""")</f>
        <v>ООО "АМЕГА"</v>
      </c>
      <c r="K3616" s="24" t="s">
        <v>1841</v>
      </c>
      <c r="L3616" s="22" t="s">
        <v>10</v>
      </c>
      <c r="M3616" s="25">
        <v>6979227</v>
      </c>
      <c r="N3616" s="27">
        <v>0.25297606518113119</v>
      </c>
    </row>
    <row r="3617" spans="1:14" hidden="1" outlineLevel="1" x14ac:dyDescent="0.2">
      <c r="A3617" s="23" t="str">
        <f>HYPERLINK("https://www.spark-marketing.ru/Card/Person/6489230", "ГБУЗ ПК ""ГБ № 6""")</f>
        <v>ГБУЗ ПК "ГБ № 6"</v>
      </c>
      <c r="B3617" s="24" t="s">
        <v>5895</v>
      </c>
      <c r="C3617" s="25">
        <v>9342708.6799999997</v>
      </c>
      <c r="D3617" s="22" t="s">
        <v>6061</v>
      </c>
      <c r="E3617" s="22" t="s">
        <v>96</v>
      </c>
      <c r="F3617" s="23" t="str">
        <f>HYPERLINK("https://www.spark-marketing.ru/Card/Lot/73317485", "ОКАЗАНИЕ УСЛУГ ПО ОБЕСПЕЧЕНИЮ ЛЕЧЕБНЫМ ПИТАНИЕМ ПАЦИЕНТОВ, НАХОДЯЩИХСЯ НА СТАЦИОНАРНОМ ЛЕЧЕНИИ В ГОСУДАРСТВЕННОМ БЮДЖЕТНОМ УЧРЕЖДЕНИИ ЗДРАВООХРАНЕНИЯ ПЕРМСКОГО КРАЯ «ГОРОДСКАЯ БОЛЬНИЦА № 6» ПО АДРЕСУ: Г. ПЕРМЬ, УЛ. ЛОБАЧЕВСКОГО,26; Г. ПЕРМЬ, УЛ. ПЕРВ...")</f>
        <v>ОКАЗАНИЕ УСЛУГ ПО ОБЕСПЕЧЕНИЮ ЛЕЧЕБНЫМ ПИТАНИЕМ ПАЦИЕНТОВ, НАХОДЯЩИХСЯ НА СТАЦИОНАРНОМ ЛЕЧЕНИИ В ГОСУДАРСТВЕННОМ БЮДЖЕТНОМ УЧРЕЖДЕНИИ ЗДРАВООХРАНЕНИЯ ПЕРМСКОГО КРАЯ «ГОРОДСКАЯ БОЛЬНИЦА № 6» ПО АДРЕСУ: Г. ПЕРМЬ, УЛ. ЛОБАЧЕВСКОГО,26; Г. ПЕРМЬ, УЛ. ПЕРВ...</v>
      </c>
      <c r="G3617" s="22" t="s">
        <v>153</v>
      </c>
      <c r="H3617" s="22" t="s">
        <v>153</v>
      </c>
      <c r="I3617" s="26">
        <v>43718.379861111098</v>
      </c>
      <c r="J3617" s="23" t="str">
        <f>HYPERLINK("https://www.spark-marketing.ru/Card/Person/104060", "Маринкина Светлана Алексеевна")</f>
        <v>Маринкина Светлана Алексеевна</v>
      </c>
      <c r="K3617" s="24" t="s">
        <v>1969</v>
      </c>
      <c r="L3617" s="28" t="s">
        <v>51</v>
      </c>
      <c r="M3617" s="25">
        <v>7741220</v>
      </c>
      <c r="N3617" s="27">
        <v>0.17141588535542349</v>
      </c>
    </row>
    <row r="3618" spans="1:14" x14ac:dyDescent="0.15">
      <c r="A3618" s="23" t="str">
        <f>HYPERLINK("https://www.spark-marketing.ru/Card/Person/1324516", "МАОУ СОШ №19")</f>
        <v>МАОУ СОШ №19</v>
      </c>
      <c r="B3618" s="24" t="s">
        <v>6062</v>
      </c>
      <c r="C3618" s="25">
        <v>404488.69</v>
      </c>
      <c r="D3618" s="22" t="s">
        <v>6063</v>
      </c>
      <c r="E3618" s="22" t="s">
        <v>362</v>
      </c>
      <c r="F3618" s="23" t="str">
        <f>HYPERLINK("https://www.spark-marketing.ru/Card/Lot/73321715", "Оказание услуг по организации питания")</f>
        <v>Оказание услуг по организации питания</v>
      </c>
      <c r="G3618" s="22" t="s">
        <v>351</v>
      </c>
      <c r="H3618" s="22" t="s">
        <v>351</v>
      </c>
      <c r="I3618" s="26">
        <v>43718</v>
      </c>
      <c r="J3618" s="28" t="s">
        <v>51</v>
      </c>
      <c r="K3618" s="28" t="s">
        <v>51</v>
      </c>
      <c r="L3618" s="28" t="s">
        <v>51</v>
      </c>
      <c r="M3618" s="28" t="s">
        <v>51</v>
      </c>
      <c r="N3618" s="28" t="s">
        <v>51</v>
      </c>
    </row>
    <row r="3619" spans="1:14" x14ac:dyDescent="0.2">
      <c r="A3619" s="23" t="str">
        <f>HYPERLINK("https://www.spark-marketing.ru/Card/Person/1323081", "МАОУ СОШ №22")</f>
        <v>МАОУ СОШ №22</v>
      </c>
      <c r="B3619" s="24" t="s">
        <v>6064</v>
      </c>
      <c r="C3619" s="25">
        <v>1115000</v>
      </c>
      <c r="D3619" s="22" t="s">
        <v>6065</v>
      </c>
      <c r="E3619" s="22" t="s">
        <v>362</v>
      </c>
      <c r="F3619" s="23" t="str">
        <f>HYPERLINK("https://www.spark-marketing.ru/Card/Lot/73310520", "Оказание услуг по организации горячего питания обучающихся в Муниципальном автономном общеобразовательном учреждении")</f>
        <v>Оказание услуг по организации горячего питания обучающихся в Муниципальном автономном общеобразовательном учреждении</v>
      </c>
      <c r="G3619" s="22" t="s">
        <v>1370</v>
      </c>
      <c r="H3619" s="22" t="s">
        <v>1370</v>
      </c>
      <c r="I3619" s="26">
        <v>43717</v>
      </c>
      <c r="J3619" s="28" t="s">
        <v>51</v>
      </c>
      <c r="K3619" s="28" t="s">
        <v>51</v>
      </c>
      <c r="L3619" s="28" t="s">
        <v>51</v>
      </c>
      <c r="M3619" s="25">
        <v>1115000</v>
      </c>
      <c r="N3619" s="27">
        <v>0</v>
      </c>
    </row>
    <row r="3620" spans="1:14" x14ac:dyDescent="0.15">
      <c r="A3620" s="23" t="str">
        <f>HYPERLINK("https://www.spark-marketing.ru/Card/Person/1756940", "ООО ""ГАЗПРОМ ИНВЕСТПРОЕКТ""")</f>
        <v>ООО "ГАЗПРОМ ИНВЕСТПРОЕКТ"</v>
      </c>
      <c r="B3620" s="24" t="s">
        <v>6066</v>
      </c>
      <c r="C3620" s="25">
        <v>5557500</v>
      </c>
      <c r="D3620" s="22" t="s">
        <v>6067</v>
      </c>
      <c r="E3620" s="22" t="s">
        <v>580</v>
      </c>
      <c r="F3620" s="23" t="str">
        <f>HYPERLINK("https://www.spark-marketing.ru/Card/Lot/73337896", "Оказание услуг по питанию сотрудников ООО «Газпром инвестпроект» в Санкт-Петербурге, Пулковское шоссе, дом 40, корп. 4, литер Д. в 2019-2020 гг. для нужд ООО «Газпром инвестпроект»")</f>
        <v>Оказание услуг по питанию сотрудников ООО «Газпром инвестпроект» в Санкт-Петербурге, Пулковское шоссе, дом 40, корп. 4, литер Д. в 2019-2020 гг. для нужд ООО «Газпром инвестпроект»</v>
      </c>
      <c r="G3620" s="22" t="s">
        <v>117</v>
      </c>
      <c r="H3620" s="22" t="s">
        <v>117</v>
      </c>
      <c r="I3620" s="26">
        <v>43718</v>
      </c>
      <c r="J3620" s="28" t="s">
        <v>51</v>
      </c>
      <c r="K3620" s="28" t="s">
        <v>51</v>
      </c>
      <c r="L3620" s="28" t="s">
        <v>51</v>
      </c>
      <c r="M3620" s="28" t="s">
        <v>51</v>
      </c>
      <c r="N3620" s="28" t="s">
        <v>51</v>
      </c>
    </row>
    <row r="3621" spans="1:14" x14ac:dyDescent="0.2">
      <c r="A3621" s="23" t="str">
        <f>HYPERLINK("https://www.spark-marketing.ru/Card/Person/4874743", "ГАУ ВО ""СК ""РОТОР""")</f>
        <v>ГАУ ВО "СК "РОТОР"</v>
      </c>
      <c r="B3621" s="24" t="s">
        <v>1208</v>
      </c>
      <c r="C3621" s="25">
        <v>427520</v>
      </c>
      <c r="D3621" s="22" t="s">
        <v>6068</v>
      </c>
      <c r="E3621" s="22" t="s">
        <v>362</v>
      </c>
      <c r="F3621" s="23" t="str">
        <f>HYPERLINK("https://www.spark-marketing.ru/Card/Lot/73337629", "Услуги по организации питания спортсменов футбольной команды «Ротор»")</f>
        <v>Услуги по организации питания спортсменов футбольной команды «Ротор»</v>
      </c>
      <c r="G3621" s="22" t="s">
        <v>158</v>
      </c>
      <c r="H3621" s="22" t="s">
        <v>158</v>
      </c>
      <c r="I3621" s="26">
        <v>43718</v>
      </c>
      <c r="J3621" s="28" t="s">
        <v>51</v>
      </c>
      <c r="K3621" s="28" t="s">
        <v>51</v>
      </c>
      <c r="L3621" s="28" t="s">
        <v>51</v>
      </c>
      <c r="M3621" s="25">
        <v>427520</v>
      </c>
      <c r="N3621" s="27">
        <v>0</v>
      </c>
    </row>
    <row r="3622" spans="1:14" x14ac:dyDescent="0.15">
      <c r="A3622" s="23" t="str">
        <f>HYPERLINK("https://www.spark-marketing.ru/Card/Person/25081", "ФГБУ ""НИИ ГРИППА ИМ. А.А. СМОРОДИНЦЕВА"" МИНЗДРАВА РОССИИ")</f>
        <v>ФГБУ "НИИ ГРИППА ИМ. А.А. СМОРОДИНЦЕВА" МИНЗДРАВА РОССИИ</v>
      </c>
      <c r="B3622" s="24" t="s">
        <v>6069</v>
      </c>
      <c r="C3622" s="25">
        <v>312480</v>
      </c>
      <c r="D3622" s="22" t="s">
        <v>6070</v>
      </c>
      <c r="E3622" s="22" t="s">
        <v>362</v>
      </c>
      <c r="F3622" s="23" t="str">
        <f>HYPERLINK("https://www.spark-marketing.ru/Card/Lot/73337560", "Услуги по организации и обеспечению питанием")</f>
        <v>Услуги по организации и обеспечению питанием</v>
      </c>
      <c r="G3622" s="22" t="s">
        <v>117</v>
      </c>
      <c r="H3622" s="22" t="s">
        <v>117</v>
      </c>
      <c r="I3622" s="26">
        <v>43718</v>
      </c>
      <c r="J3622" s="28" t="s">
        <v>51</v>
      </c>
      <c r="K3622" s="28" t="s">
        <v>51</v>
      </c>
      <c r="L3622" s="28" t="s">
        <v>51</v>
      </c>
      <c r="M3622" s="28" t="s">
        <v>51</v>
      </c>
      <c r="N3622" s="28" t="s">
        <v>51</v>
      </c>
    </row>
    <row r="3623" spans="1:14" x14ac:dyDescent="0.15">
      <c r="A3623" s="23" t="str">
        <f>HYPERLINK("https://www.spark-marketing.ru/Card/Person/1759787", "ГАУ ВО ЦСП ""ОЛИМП""")</f>
        <v>ГАУ ВО ЦСП "ОЛИМП"</v>
      </c>
      <c r="B3623" s="24" t="s">
        <v>4408</v>
      </c>
      <c r="C3623" s="25">
        <v>1905300</v>
      </c>
      <c r="D3623" s="22" t="s">
        <v>6071</v>
      </c>
      <c r="E3623" s="22" t="s">
        <v>5138</v>
      </c>
      <c r="F3623" s="23" t="str">
        <f>HYPERLINK("https://www.spark-marketing.ru/Card/Lot/73337786", "Услуги по проживанию и питанию 870 участников Финальных соревнований «XXXVII Летних Сельских спортивных игр Волгоградской области», которые состоятся в Среднеахтубинском муниципальном районе Волгоградской области 26-29 сентября 2019 года")</f>
        <v>Услуги по проживанию и питанию 870 участников Финальных соревнований «XXXVII Летних Сельских спортивных игр Волгоградской области», которые состоятся в Среднеахтубинском муниципальном районе Волгоградской области 26-29 сентября 2019 года</v>
      </c>
      <c r="G3623" s="22" t="s">
        <v>158</v>
      </c>
      <c r="H3623" s="22" t="s">
        <v>158</v>
      </c>
      <c r="I3623" s="26">
        <v>43718</v>
      </c>
      <c r="J3623" s="28" t="s">
        <v>51</v>
      </c>
      <c r="K3623" s="28" t="s">
        <v>51</v>
      </c>
      <c r="L3623" s="28" t="s">
        <v>51</v>
      </c>
      <c r="M3623" s="28" t="s">
        <v>51</v>
      </c>
      <c r="N3623" s="28" t="s">
        <v>51</v>
      </c>
    </row>
    <row r="3624" spans="1:14" x14ac:dyDescent="0.15">
      <c r="A3624" s="23" t="str">
        <f>HYPERLINK("https://www.spark-marketing.ru/Card/Person/1759787", "ГАУ ВО ЦСП ""ОЛИМП""")</f>
        <v>ГАУ ВО ЦСП "ОЛИМП"</v>
      </c>
      <c r="B3624" s="24" t="s">
        <v>4408</v>
      </c>
      <c r="C3624" s="25">
        <v>318000</v>
      </c>
      <c r="D3624" s="22" t="s">
        <v>6072</v>
      </c>
      <c r="E3624" s="22" t="s">
        <v>580</v>
      </c>
      <c r="F3624" s="23" t="str">
        <f>HYPERLINK("https://www.spark-marketing.ru/Card/Lot/73335502", "Услуги по питанию 480 участников Финальных соревнований «XXXVII Летних Сельских спортивных игр Волгоградской области», которые состоятся в Среднеахтубинском муниципальном районе Волгоградской области 26-29 сентября 2019 года")</f>
        <v>Услуги по питанию 480 участников Финальных соревнований «XXXVII Летних Сельских спортивных игр Волгоградской области», которые состоятся в Среднеахтубинском муниципальном районе Волгоградской области 26-29 сентября 2019 года</v>
      </c>
      <c r="G3624" s="22" t="s">
        <v>158</v>
      </c>
      <c r="H3624" s="22" t="s">
        <v>158</v>
      </c>
      <c r="I3624" s="26">
        <v>43718</v>
      </c>
      <c r="J3624" s="28" t="s">
        <v>51</v>
      </c>
      <c r="K3624" s="28" t="s">
        <v>51</v>
      </c>
      <c r="L3624" s="28" t="s">
        <v>51</v>
      </c>
      <c r="M3624" s="28" t="s">
        <v>51</v>
      </c>
      <c r="N3624" s="28" t="s">
        <v>51</v>
      </c>
    </row>
    <row r="3625" spans="1:14" x14ac:dyDescent="0.15">
      <c r="A3625" s="23" t="str">
        <f>HYPERLINK("https://www.spark-marketing.ru/Card/Person/307092", "МАУК ""ОКЦ""")</f>
        <v>МАУК "ОКЦ"</v>
      </c>
      <c r="B3625" s="24" t="s">
        <v>6073</v>
      </c>
      <c r="C3625" s="25">
        <v>480000</v>
      </c>
      <c r="D3625" s="22" t="s">
        <v>6074</v>
      </c>
      <c r="E3625" s="22" t="s">
        <v>6075</v>
      </c>
      <c r="F3625" s="23" t="str">
        <f>HYPERLINK("https://www.spark-marketing.ru/Card/Lot/73344902", "Оказание услуг по организации питания членов делегации - участников XVII Открытого российского фестиваля кино и театра ""Амурская осень""")</f>
        <v>Оказание услуг по организации питания членов делегации - участников XVII Открытого российского фестиваля кино и театра "Амурская осень"</v>
      </c>
      <c r="G3625" s="22" t="s">
        <v>210</v>
      </c>
      <c r="H3625" s="22" t="s">
        <v>210</v>
      </c>
      <c r="I3625" s="26">
        <v>43719</v>
      </c>
      <c r="J3625" s="28" t="s">
        <v>51</v>
      </c>
      <c r="K3625" s="28" t="s">
        <v>51</v>
      </c>
      <c r="L3625" s="28" t="s">
        <v>51</v>
      </c>
      <c r="M3625" s="28" t="s">
        <v>51</v>
      </c>
      <c r="N3625" s="28" t="s">
        <v>51</v>
      </c>
    </row>
    <row r="3626" spans="1:14" x14ac:dyDescent="0.15">
      <c r="A3626" s="23" t="str">
        <f>HYPERLINK("https://www.spark-marketing.ru/Card/Person/1324515", "МАОУ СОШ № 4")</f>
        <v>МАОУ СОШ № 4</v>
      </c>
      <c r="B3626" s="24" t="s">
        <v>6076</v>
      </c>
      <c r="C3626" s="25">
        <v>357343.01</v>
      </c>
      <c r="D3626" s="22" t="s">
        <v>6077</v>
      </c>
      <c r="E3626" s="22" t="s">
        <v>362</v>
      </c>
      <c r="F3626" s="23" t="str">
        <f>HYPERLINK("https://www.spark-marketing.ru/Card/Lot/73329830", "Оказание услуг по организации питания")</f>
        <v>Оказание услуг по организации питания</v>
      </c>
      <c r="G3626" s="22" t="s">
        <v>351</v>
      </c>
      <c r="H3626" s="22" t="s">
        <v>351</v>
      </c>
      <c r="I3626" s="26">
        <v>43718</v>
      </c>
      <c r="J3626" s="28" t="s">
        <v>51</v>
      </c>
      <c r="K3626" s="28" t="s">
        <v>51</v>
      </c>
      <c r="L3626" s="28" t="s">
        <v>51</v>
      </c>
      <c r="M3626" s="28" t="s">
        <v>51</v>
      </c>
      <c r="N3626" s="28" t="s">
        <v>51</v>
      </c>
    </row>
    <row r="3627" spans="1:14" x14ac:dyDescent="0.15">
      <c r="A3627" s="23" t="str">
        <f>HYPERLINK("https://www.spark-marketing.ru/Card/Person/1320369", "МАОУСОШ№22")</f>
        <v>МАОУСОШ№22</v>
      </c>
      <c r="B3627" s="24" t="s">
        <v>6078</v>
      </c>
      <c r="C3627" s="25">
        <v>254901</v>
      </c>
      <c r="D3627" s="22" t="s">
        <v>6079</v>
      </c>
      <c r="E3627" s="22" t="s">
        <v>362</v>
      </c>
      <c r="F3627" s="23" t="str">
        <f>HYPERLINK("https://www.spark-marketing.ru/Card/Lot/73322167", "Услуги по организации питания отдельных категорий учащихся МАОУСОШ№22")</f>
        <v>Услуги по организации питания отдельных категорий учащихся МАОУСОШ№22</v>
      </c>
      <c r="G3627" s="22" t="s">
        <v>267</v>
      </c>
      <c r="H3627" s="22" t="s">
        <v>267</v>
      </c>
      <c r="I3627" s="26">
        <v>43718</v>
      </c>
      <c r="J3627" s="28" t="s">
        <v>51</v>
      </c>
      <c r="K3627" s="28" t="s">
        <v>51</v>
      </c>
      <c r="L3627" s="28" t="s">
        <v>51</v>
      </c>
      <c r="M3627" s="28" t="s">
        <v>51</v>
      </c>
      <c r="N3627" s="28" t="s">
        <v>51</v>
      </c>
    </row>
    <row r="3628" spans="1:14" x14ac:dyDescent="0.15">
      <c r="A3628" s="23" t="str">
        <f>HYPERLINK("https://www.spark-marketing.ru/Card/Person/1324579", "МАОУ СОШ № 21")</f>
        <v>МАОУ СОШ № 21</v>
      </c>
      <c r="B3628" s="24" t="s">
        <v>6080</v>
      </c>
      <c r="C3628" s="25">
        <v>193392</v>
      </c>
      <c r="D3628" s="22" t="s">
        <v>6081</v>
      </c>
      <c r="E3628" s="22" t="s">
        <v>362</v>
      </c>
      <c r="F3628" s="23" t="str">
        <f>HYPERLINK("https://www.spark-marketing.ru/Card/Lot/73338207", "Оказание услуг по организации питания")</f>
        <v>Оказание услуг по организации питания</v>
      </c>
      <c r="G3628" s="22" t="s">
        <v>351</v>
      </c>
      <c r="H3628" s="22" t="s">
        <v>351</v>
      </c>
      <c r="I3628" s="26">
        <v>43718</v>
      </c>
      <c r="J3628" s="28" t="s">
        <v>51</v>
      </c>
      <c r="K3628" s="28" t="s">
        <v>51</v>
      </c>
      <c r="L3628" s="28" t="s">
        <v>51</v>
      </c>
      <c r="M3628" s="28" t="s">
        <v>51</v>
      </c>
      <c r="N3628" s="28" t="s">
        <v>51</v>
      </c>
    </row>
    <row r="3629" spans="1:14" x14ac:dyDescent="0.2">
      <c r="A3629" s="23" t="str">
        <f>HYPERLINK("https://www.spark-marketing.ru/Card/Person/11656", "ЛГТУ, ЛИПЕЦКИЙ ГОСУДАРСТВЕННЫЙ ТЕХНИЧЕСКИЙ УНИВЕРСИТЕТ, ФГБОУ ВО ""ЛГТУ"", ФГБОУ ВО ""ЛИПЕЦКИЙ ГОСУДАРСТВЕННЫЙ ТЕХНИЧЕСКИЙ УНИВЕРСИТЕТ""")</f>
        <v>ЛГТУ, ЛИПЕЦКИЙ ГОСУДАРСТВЕННЫЙ ТЕХНИЧЕСКИЙ УНИВЕРСИТЕТ, ФГБОУ ВО "ЛГТУ", ФГБОУ ВО "ЛИПЕЦКИЙ ГОСУДАРСТВЕННЫЙ ТЕХНИЧЕСКИЙ УНИВЕРСИТЕТ"</v>
      </c>
      <c r="B3629" s="24" t="s">
        <v>6082</v>
      </c>
      <c r="C3629" s="25">
        <v>480000</v>
      </c>
      <c r="D3629" s="22" t="s">
        <v>6083</v>
      </c>
      <c r="E3629" s="22" t="s">
        <v>362</v>
      </c>
      <c r="F3629" s="23" t="str">
        <f>HYPERLINK("https://www.spark-marketing.ru/Card/Lot/73335797", "Оказание услуг по организации питания участников Фестиваля достижений студенческих клубов Липецкой области 2019")</f>
        <v>Оказание услуг по организации питания участников Фестиваля достижений студенческих клубов Липецкой области 2019</v>
      </c>
      <c r="G3629" s="22" t="s">
        <v>101</v>
      </c>
      <c r="H3629" s="22" t="s">
        <v>101</v>
      </c>
      <c r="I3629" s="26">
        <v>43718</v>
      </c>
      <c r="J3629" s="28" t="s">
        <v>51</v>
      </c>
      <c r="K3629" s="28" t="s">
        <v>51</v>
      </c>
      <c r="L3629" s="28" t="s">
        <v>51</v>
      </c>
      <c r="M3629" s="25">
        <v>480000</v>
      </c>
      <c r="N3629" s="27">
        <v>0</v>
      </c>
    </row>
    <row r="3630" spans="1:14" x14ac:dyDescent="0.15">
      <c r="A3630" s="23" t="str">
        <f>HYPERLINK("https://www.spark-marketing.ru/Card/Person/1454304", "МАОУ ""КУЛТАЕВСКАЯ СРЕДНЯЯ ШКОЛА""")</f>
        <v>МАОУ "КУЛТАЕВСКАЯ СРЕДНЯЯ ШКОЛА"</v>
      </c>
      <c r="B3630" s="24" t="s">
        <v>6084</v>
      </c>
      <c r="C3630" s="25">
        <v>2865482</v>
      </c>
      <c r="D3630" s="22" t="s">
        <v>6085</v>
      </c>
      <c r="E3630" s="22" t="s">
        <v>362</v>
      </c>
      <c r="F3630" s="23" t="str">
        <f>HYPERLINK("https://www.spark-marketing.ru/Card/Lot/73336408", "Оказание услуги по организации горячего питания льготных категорий обучающихся")</f>
        <v>Оказание услуги по организации горячего питания льготных категорий обучающихся</v>
      </c>
      <c r="G3630" s="22" t="s">
        <v>153</v>
      </c>
      <c r="H3630" s="22" t="s">
        <v>153</v>
      </c>
      <c r="I3630" s="26">
        <v>43718</v>
      </c>
      <c r="J3630" s="28" t="s">
        <v>51</v>
      </c>
      <c r="K3630" s="28" t="s">
        <v>51</v>
      </c>
      <c r="L3630" s="28" t="s">
        <v>51</v>
      </c>
      <c r="M3630" s="28" t="s">
        <v>51</v>
      </c>
      <c r="N3630" s="28" t="s">
        <v>51</v>
      </c>
    </row>
    <row r="3631" spans="1:14" x14ac:dyDescent="0.15">
      <c r="A3631" s="23" t="str">
        <f>HYPERLINK("https://www.spark-marketing.ru/Card/Person/1759787", "ГАУ ВО ЦСП ""ОЛИМП""")</f>
        <v>ГАУ ВО ЦСП "ОЛИМП"</v>
      </c>
      <c r="B3631" s="24" t="s">
        <v>4408</v>
      </c>
      <c r="C3631" s="25">
        <v>258000</v>
      </c>
      <c r="D3631" s="22" t="s">
        <v>6086</v>
      </c>
      <c r="E3631" s="22" t="s">
        <v>580</v>
      </c>
      <c r="F3631" s="23" t="str">
        <f>HYPERLINK("https://www.spark-marketing.ru/Card/Lot/73338150", "Услуги по питанию 430 участников Финальных соревнований «XXXVII Летних Сельских спортивных игр Волгоградской области», которые состоятся в Среднеахтубинском муниципальном районе Волгоградской области 26-29 сентября 2019 года")</f>
        <v>Услуги по питанию 430 участников Финальных соревнований «XXXVII Летних Сельских спортивных игр Волгоградской области», которые состоятся в Среднеахтубинском муниципальном районе Волгоградской области 26-29 сентября 2019 года</v>
      </c>
      <c r="G3631" s="22" t="s">
        <v>158</v>
      </c>
      <c r="H3631" s="22" t="s">
        <v>158</v>
      </c>
      <c r="I3631" s="26">
        <v>43718</v>
      </c>
      <c r="J3631" s="28" t="s">
        <v>51</v>
      </c>
      <c r="K3631" s="28" t="s">
        <v>51</v>
      </c>
      <c r="L3631" s="28" t="s">
        <v>51</v>
      </c>
      <c r="M3631" s="28" t="s">
        <v>51</v>
      </c>
      <c r="N3631" s="28" t="s">
        <v>51</v>
      </c>
    </row>
    <row r="3632" spans="1:14" x14ac:dyDescent="0.2">
      <c r="A3632" s="23" t="str">
        <f>HYPERLINK("https://www.spark-marketing.ru/Card/Person/165704", "ФГАОУ ВО ""БЕЛГОРОДСКИЙ ГОСУДАРСТВЕННЫЙ НАЦИОНАЛЬНЫЙ ИССЛЕДОВАТЕЛЬСКИЙ УНИВЕРСИТЕТ"", БЕЛГОРОДСКИЙ ГОСУДАРСТВЕННЫЙ НАЦИОНАЛЬНЫЙ ИССЛЕДОВАТЕЛЬСКИЙ УНИВЕРСИТЕТ, НИУ ""БЕЛГУ""")</f>
        <v>ФГАОУ ВО "БЕЛГОРОДСКИЙ ГОСУДАРСТВЕННЫЙ НАЦИОНАЛЬНЫЙ ИССЛЕДОВАТЕЛЬСКИЙ УНИВЕРСИТЕТ", БЕЛГОРОДСКИЙ ГОСУДАРСТВЕННЫЙ НАЦИОНАЛЬНЫЙ ИССЛЕДОВАТЕЛЬСКИЙ УНИВЕРСИТЕТ, НИУ "БЕЛГУ"</v>
      </c>
      <c r="B3632" s="24" t="s">
        <v>6087</v>
      </c>
      <c r="C3632" s="25">
        <v>554988</v>
      </c>
      <c r="D3632" s="22" t="s">
        <v>6088</v>
      </c>
      <c r="E3632" s="22" t="s">
        <v>6089</v>
      </c>
      <c r="F3632" s="23" t="str">
        <f>HYPERLINK("https://www.spark-marketing.ru/Card/Lot/73337057", "Услуги по организации питания участников международной конференции «The XIII International Symposium «Radiation from Relativistic Electrons in Periodic Structures» (RREPS-19)")</f>
        <v>Услуги по организации питания участников международной конференции «The XIII International Symposium «Radiation from Relativistic Electrons in Periodic Structures» (RREPS-19)</v>
      </c>
      <c r="G3632" s="22" t="s">
        <v>696</v>
      </c>
      <c r="H3632" s="22" t="s">
        <v>696</v>
      </c>
      <c r="I3632" s="26">
        <v>43718</v>
      </c>
      <c r="J3632" s="28" t="s">
        <v>51</v>
      </c>
      <c r="K3632" s="28" t="s">
        <v>51</v>
      </c>
      <c r="L3632" s="22" t="s">
        <v>10</v>
      </c>
      <c r="M3632" s="25">
        <v>554988</v>
      </c>
      <c r="N3632" s="27">
        <v>0</v>
      </c>
    </row>
    <row r="3633" spans="1:14" x14ac:dyDescent="0.2">
      <c r="A3633" s="23" t="str">
        <f>HYPERLINK("https://www.spark-marketing.ru/Card/Person/4354116", "ФГБУН ФИЦ МГИ")</f>
        <v>ФГБУН ФИЦ МГИ</v>
      </c>
      <c r="B3633" s="24" t="s">
        <v>6090</v>
      </c>
      <c r="C3633" s="25">
        <v>463000</v>
      </c>
      <c r="D3633" s="22" t="s">
        <v>6091</v>
      </c>
      <c r="E3633" s="22" t="s">
        <v>554</v>
      </c>
      <c r="F3633" s="23" t="str">
        <f>HYPERLINK("https://www.spark-marketing.ru/Card/Lot/73337649", "Оказание услуг по организации конференции «Школа молодых ученых и специалистов «Оперативные модели и методы ассимиляции данных для систем непрерывного анализа и прогноза состояния Мирового океана» (обеспечение питанием участников конференции)»")</f>
        <v>Оказание услуг по организации конференции «Школа молодых ученых и специалистов «Оперативные модели и методы ассимиляции данных для систем непрерывного анализа и прогноза состояния Мирового океана» (обеспечение питанием участников конференции)»</v>
      </c>
      <c r="G3633" s="22" t="s">
        <v>322</v>
      </c>
      <c r="H3633" s="22" t="s">
        <v>322</v>
      </c>
      <c r="I3633" s="26">
        <v>43718</v>
      </c>
      <c r="J3633" s="28" t="s">
        <v>51</v>
      </c>
      <c r="K3633" s="28" t="s">
        <v>51</v>
      </c>
      <c r="L3633" s="22" t="s">
        <v>10</v>
      </c>
      <c r="M3633" s="25">
        <v>463000</v>
      </c>
      <c r="N3633" s="27">
        <v>0</v>
      </c>
    </row>
    <row r="3634" spans="1:14" x14ac:dyDescent="0.2">
      <c r="A3634" s="23" t="str">
        <f>HYPERLINK("https://www.spark-marketing.ru/Card/Person/50152", "ГБУ СОН АО ""КОРЯЖЕМСКИЙ КЦСО""")</f>
        <v>ГБУ СОН АО "КОРЯЖЕМСКИЙ КЦСО"</v>
      </c>
      <c r="B3634" s="24" t="s">
        <v>6092</v>
      </c>
      <c r="C3634" s="25">
        <v>1509742.08</v>
      </c>
      <c r="D3634" s="22" t="s">
        <v>6093</v>
      </c>
      <c r="E3634" s="22" t="s">
        <v>362</v>
      </c>
      <c r="F3634" s="23" t="str">
        <f>HYPERLINK("https://www.spark-marketing.ru/Card/Lot/73338284", "Оказание услуг по организации диетического питания для получателей социальных услуг, находящихся на социальном обслуживании в стационарном отделении для граждан пожилого возраста и инвалидов при Государственном бюджетном учреждении социального обслуж...")</f>
        <v>Оказание услуг по организации диетического питания для получателей социальных услуг, находящихся на социальном обслуживании в стационарном отделении для граждан пожилого возраста и инвалидов при Государственном бюджетном учреждении социального обслуж...</v>
      </c>
      <c r="G3634" s="22" t="s">
        <v>214</v>
      </c>
      <c r="H3634" s="22" t="s">
        <v>6094</v>
      </c>
      <c r="I3634" s="26">
        <v>43718</v>
      </c>
      <c r="J3634" s="28" t="s">
        <v>51</v>
      </c>
      <c r="K3634" s="28" t="s">
        <v>51</v>
      </c>
      <c r="L3634" s="22" t="s">
        <v>10</v>
      </c>
      <c r="M3634" s="25">
        <v>1509742.08</v>
      </c>
      <c r="N3634" s="27">
        <v>0</v>
      </c>
    </row>
    <row r="3635" spans="1:14" x14ac:dyDescent="0.15">
      <c r="A3635" s="23" t="str">
        <f>HYPERLINK("https://www.spark-marketing.ru/Card/Person/1012288", "ГАУ ""ЦСПСИД ""ОТРАДА"" ОКТЯБРЬСКОГО РАЙОНА Г. ЕКАТЕРИНБУРГА""")</f>
        <v>ГАУ "ЦСПСИД "ОТРАДА" ОКТЯБРЬСКОГО РАЙОНА Г. ЕКАТЕРИНБУРГА"</v>
      </c>
      <c r="B3635" s="24" t="s">
        <v>6095</v>
      </c>
      <c r="C3635" s="25">
        <v>400000</v>
      </c>
      <c r="D3635" s="22" t="s">
        <v>6096</v>
      </c>
      <c r="E3635" s="22" t="s">
        <v>362</v>
      </c>
      <c r="F3635" s="23" t="str">
        <f>HYPERLINK("https://www.spark-marketing.ru/Card/Lot/73321713", "Оказание услуг по организации питания")</f>
        <v>Оказание услуг по организации питания</v>
      </c>
      <c r="G3635" s="22" t="s">
        <v>174</v>
      </c>
      <c r="H3635" s="22" t="s">
        <v>174</v>
      </c>
      <c r="I3635" s="26">
        <v>43718</v>
      </c>
      <c r="J3635" s="28" t="s">
        <v>51</v>
      </c>
      <c r="K3635" s="28" t="s">
        <v>51</v>
      </c>
      <c r="L3635" s="28" t="s">
        <v>51</v>
      </c>
      <c r="M3635" s="28" t="s">
        <v>51</v>
      </c>
      <c r="N3635" s="28" t="s">
        <v>51</v>
      </c>
    </row>
    <row r="3636" spans="1:14" x14ac:dyDescent="0.2">
      <c r="A3636" s="23" t="str">
        <f>HYPERLINK("https://www.spark-marketing.ru/Card/Person/4874743", "ГАУ ВО ""СК ""РОТОР""")</f>
        <v>ГАУ ВО "СК "РОТОР"</v>
      </c>
      <c r="B3636" s="24" t="s">
        <v>1208</v>
      </c>
      <c r="C3636" s="25">
        <v>354200</v>
      </c>
      <c r="D3636" s="22" t="s">
        <v>6097</v>
      </c>
      <c r="E3636" s="22" t="s">
        <v>769</v>
      </c>
      <c r="F3636" s="23" t="str">
        <f>HYPERLINK("https://www.spark-marketing.ru/Card/Lot/73337502", "Оказание услуг по организации проживания и питания в отеле «Холидей Инн» для футбольной команды «Ротор», в период с 20 сентября 2019 года по 22 сентября 2019 года в городе Калининграде")</f>
        <v>Оказание услуг по организации проживания и питания в отеле «Холидей Инн» для футбольной команды «Ротор», в период с 20 сентября 2019 года по 22 сентября 2019 года в городе Калининграде</v>
      </c>
      <c r="G3636" s="22" t="s">
        <v>400</v>
      </c>
      <c r="H3636" s="22" t="s">
        <v>400</v>
      </c>
      <c r="I3636" s="26">
        <v>43718</v>
      </c>
      <c r="J3636" s="28" t="s">
        <v>51</v>
      </c>
      <c r="K3636" s="28" t="s">
        <v>51</v>
      </c>
      <c r="L3636" s="28" t="s">
        <v>51</v>
      </c>
      <c r="M3636" s="25">
        <v>354200</v>
      </c>
      <c r="N3636" s="27">
        <v>0</v>
      </c>
    </row>
    <row r="3637" spans="1:14" x14ac:dyDescent="0.15">
      <c r="A3637" s="23" t="str">
        <f>HYPERLINK("https://www.spark-marketing.ru/Card/Person/3591", "МИАН")</f>
        <v>МИАН</v>
      </c>
      <c r="B3637" s="24" t="s">
        <v>2215</v>
      </c>
      <c r="C3637" s="25">
        <v>120000</v>
      </c>
      <c r="D3637" s="22" t="s">
        <v>6098</v>
      </c>
      <c r="E3637" s="22" t="s">
        <v>2217</v>
      </c>
      <c r="F3637" s="23" t="str">
        <f>HYPERLINK("https://www.spark-marketing.ru/Card/Lot/73335375", "Оказание услуг по организации питания (кофе-брейк) участников мероприятия: Международная конференция «VIII Российско-Армянское Совещание по математической физике, комплексному анализу и смежным вопросам» (16-20 сентября 2019 г., Россия, г. Москва)")</f>
        <v>Оказание услуг по организации питания (кофе-брейк) участников мероприятия: Международная конференция «VIII Российско-Армянское Совещание по математической физике, комплексному анализу и смежным вопросам» (16-20 сентября 2019 г., Россия, г. Москва)</v>
      </c>
      <c r="G3637" s="22" t="s">
        <v>56</v>
      </c>
      <c r="H3637" s="22" t="s">
        <v>56</v>
      </c>
      <c r="I3637" s="26">
        <v>43718</v>
      </c>
      <c r="J3637" s="28" t="s">
        <v>51</v>
      </c>
      <c r="K3637" s="28" t="s">
        <v>51</v>
      </c>
      <c r="L3637" s="28" t="s">
        <v>51</v>
      </c>
      <c r="M3637" s="28" t="s">
        <v>51</v>
      </c>
      <c r="N3637" s="28" t="s">
        <v>51</v>
      </c>
    </row>
    <row r="3638" spans="1:14" x14ac:dyDescent="0.2">
      <c r="A3638" s="23" t="str">
        <f>HYPERLINK("https://www.spark-marketing.ru/Card/Person/4348382", "ООО ""ГАЗПРОМ ПИТАНИЕ""")</f>
        <v>ООО "ГАЗПРОМ ПИТАНИЕ"</v>
      </c>
      <c r="B3638" s="24" t="s">
        <v>2869</v>
      </c>
      <c r="C3638" s="25">
        <v>12187485.18</v>
      </c>
      <c r="D3638" s="22" t="s">
        <v>6099</v>
      </c>
      <c r="E3638" s="22" t="s">
        <v>5837</v>
      </c>
      <c r="F3638" s="23" t="str">
        <f>HYPERLINK("https://www.spark-marketing.ru/Card/Lot/73337935", "Оказание автотранспортных услуг для нужд Надымского УООП ООО ""Газпром питание"" в 2019-2020 гг. для нужд ООО «Газпром питание»")</f>
        <v>Оказание автотранспортных услуг для нужд Надымского УООП ООО "Газпром питание" в 2019-2020 гг. для нужд ООО «Газпром питание»</v>
      </c>
      <c r="G3638" s="22" t="s">
        <v>56</v>
      </c>
      <c r="H3638" s="22" t="s">
        <v>56</v>
      </c>
      <c r="I3638" s="26">
        <v>43718</v>
      </c>
      <c r="J3638" s="28" t="s">
        <v>51</v>
      </c>
      <c r="K3638" s="28" t="s">
        <v>51</v>
      </c>
      <c r="L3638" s="22" t="s">
        <v>10</v>
      </c>
      <c r="M3638" s="25">
        <v>12127379.1</v>
      </c>
      <c r="N3638" s="27">
        <v>4.9317869201298183E-3</v>
      </c>
    </row>
    <row r="3639" spans="1:14" x14ac:dyDescent="0.2">
      <c r="A3639" s="23" t="str">
        <f>HYPERLINK("https://www.spark-marketing.ru/Card/Person/357642", "УМП "" ВКХ""")</f>
        <v>УМП " ВКХ"</v>
      </c>
      <c r="B3639" s="24" t="s">
        <v>6100</v>
      </c>
      <c r="C3639" s="25">
        <v>166663</v>
      </c>
      <c r="D3639" s="22" t="s">
        <v>6101</v>
      </c>
      <c r="E3639" s="22" t="s">
        <v>562</v>
      </c>
      <c r="F3639" s="23" t="str">
        <f>HYPERLINK("https://www.spark-marketing.ru/Card/Lot/73338095", "Оказание услуг по организации питания в рамках проведения праздничного мероприятия для сотрудников УМП ""ВКХ""")</f>
        <v>Оказание услуг по организации питания в рамках проведения праздничного мероприятия для сотрудников УМП "ВКХ"</v>
      </c>
      <c r="G3639" s="22" t="s">
        <v>153</v>
      </c>
      <c r="H3639" s="22" t="s">
        <v>153</v>
      </c>
      <c r="I3639" s="26">
        <v>43718</v>
      </c>
      <c r="J3639" s="28" t="s">
        <v>51</v>
      </c>
      <c r="K3639" s="28" t="s">
        <v>51</v>
      </c>
      <c r="L3639" s="28" t="s">
        <v>51</v>
      </c>
      <c r="M3639" s="25">
        <v>166663</v>
      </c>
      <c r="N3639" s="27">
        <v>0</v>
      </c>
    </row>
    <row r="3640" spans="1:14" x14ac:dyDescent="0.15">
      <c r="A3640" s="23" t="str">
        <f>HYPERLINK("https://www.spark-marketing.ru/Card/Person/194480", "АО ""АВИАКОМПАНИЯ АЛРОСА""")</f>
        <v>АО "АВИАКОМПАНИЯ АЛРОСА"</v>
      </c>
      <c r="B3640" s="24" t="s">
        <v>6102</v>
      </c>
      <c r="C3640" s="25">
        <v>1235520</v>
      </c>
      <c r="D3640" s="22" t="s">
        <v>6103</v>
      </c>
      <c r="E3640" s="22" t="s">
        <v>580</v>
      </c>
      <c r="F3640" s="23" t="str">
        <f>HYPERLINK("https://www.spark-marketing.ru/Card/Lot/73327801", "Оказание услуг общественного питания, пассажиров задержанных и отмененных рейсов АО «Авиакомпания АЛРОСА» аэропорт Домодедово г. Москва")</f>
        <v>Оказание услуг общественного питания, пассажиров задержанных и отмененных рейсов АО «Авиакомпания АЛРОСА» аэропорт Домодедово г. Москва</v>
      </c>
      <c r="G3640" s="22" t="s">
        <v>241</v>
      </c>
      <c r="H3640" s="22" t="s">
        <v>3697</v>
      </c>
      <c r="I3640" s="26">
        <v>43718</v>
      </c>
      <c r="J3640" s="28" t="s">
        <v>51</v>
      </c>
      <c r="K3640" s="28" t="s">
        <v>51</v>
      </c>
      <c r="L3640" s="28" t="s">
        <v>51</v>
      </c>
      <c r="M3640" s="28" t="s">
        <v>51</v>
      </c>
      <c r="N3640" s="28" t="s">
        <v>51</v>
      </c>
    </row>
    <row r="3641" spans="1:14" x14ac:dyDescent="0.2">
      <c r="A3641" s="23" t="str">
        <f>HYPERLINK("https://www.spark-marketing.ru/Card/Person/143798", "ГОРОДИЩЕНСКАЯ СОШ")</f>
        <v>ГОРОДИЩЕНСКАЯ СОШ</v>
      </c>
      <c r="B3641" s="24" t="s">
        <v>6104</v>
      </c>
      <c r="C3641" s="25">
        <v>399890</v>
      </c>
      <c r="D3641" s="22" t="s">
        <v>6105</v>
      </c>
      <c r="E3641" s="22" t="s">
        <v>362</v>
      </c>
      <c r="F3641" s="23" t="str">
        <f>HYPERLINK("https://www.spark-marketing.ru/Card/Lot/73337517", "оказание услуг по организации питания обучающихся")</f>
        <v>оказание услуг по организации питания обучающихся</v>
      </c>
      <c r="G3641" s="22" t="s">
        <v>174</v>
      </c>
      <c r="H3641" s="22" t="s">
        <v>174</v>
      </c>
      <c r="I3641" s="26">
        <v>43718</v>
      </c>
      <c r="J3641" s="28" t="s">
        <v>51</v>
      </c>
      <c r="K3641" s="28" t="s">
        <v>51</v>
      </c>
      <c r="L3641" s="28" t="s">
        <v>51</v>
      </c>
      <c r="M3641" s="25">
        <v>399890</v>
      </c>
      <c r="N3641" s="27">
        <v>0</v>
      </c>
    </row>
    <row r="3642" spans="1:14" x14ac:dyDescent="0.2">
      <c r="A3642" s="23" t="str">
        <f>HYPERLINK("https://www.spark-marketing.ru/Card/Person/1361129", "МАОУ СОШ № 31")</f>
        <v>МАОУ СОШ № 31</v>
      </c>
      <c r="B3642" s="24" t="s">
        <v>6106</v>
      </c>
      <c r="C3642" s="25">
        <v>1564500</v>
      </c>
      <c r="D3642" s="22" t="s">
        <v>6107</v>
      </c>
      <c r="E3642" s="22" t="s">
        <v>362</v>
      </c>
      <c r="F3642" s="23" t="str">
        <f>HYPERLINK("https://www.spark-marketing.ru/Card/Lot/73310425", "Оказание услуг по организации горячего питания обучающихся на базе МАОУ СОШ № 31")</f>
        <v>Оказание услуг по организации горячего питания обучающихся на базе МАОУ СОШ № 31</v>
      </c>
      <c r="G3642" s="22" t="s">
        <v>766</v>
      </c>
      <c r="H3642" s="22" t="s">
        <v>4349</v>
      </c>
      <c r="I3642" s="26">
        <v>43717</v>
      </c>
      <c r="J3642" s="28" t="s">
        <v>51</v>
      </c>
      <c r="K3642" s="28" t="s">
        <v>51</v>
      </c>
      <c r="L3642" s="22" t="s">
        <v>10</v>
      </c>
      <c r="M3642" s="25">
        <v>1564500</v>
      </c>
      <c r="N3642" s="27">
        <v>0</v>
      </c>
    </row>
    <row r="3643" spans="1:14" x14ac:dyDescent="0.15">
      <c r="A3643" s="23" t="str">
        <f>HYPERLINK("https://www.spark-marketing.ru/Card/Person/27035", "ГБУ МО ""СШОР ""ИСТИНА""")</f>
        <v>ГБУ МО "СШОР "ИСТИНА"</v>
      </c>
      <c r="B3643" s="24" t="s">
        <v>6108</v>
      </c>
      <c r="C3643" s="25">
        <v>576000</v>
      </c>
      <c r="D3643" s="22" t="s">
        <v>6109</v>
      </c>
      <c r="E3643" s="22" t="s">
        <v>48</v>
      </c>
      <c r="F3643" s="23" t="str">
        <f>HYPERLINK("https://www.spark-marketing.ru/Card/Lot/73311541", "Оказание услуг по организации питания (ноябрь)")</f>
        <v>Оказание услуг по организации питания (ноябрь)</v>
      </c>
      <c r="G3643" s="22" t="s">
        <v>49</v>
      </c>
      <c r="H3643" s="22" t="s">
        <v>4820</v>
      </c>
      <c r="I3643" s="26">
        <v>43717.825659722199</v>
      </c>
      <c r="J3643" s="28" t="s">
        <v>51</v>
      </c>
      <c r="K3643" s="28" t="s">
        <v>51</v>
      </c>
      <c r="L3643" s="28" t="s">
        <v>51</v>
      </c>
      <c r="M3643" s="28" t="s">
        <v>51</v>
      </c>
      <c r="N3643" s="28" t="s">
        <v>51</v>
      </c>
    </row>
    <row r="3644" spans="1:14" x14ac:dyDescent="0.15">
      <c r="A3644" s="23" t="str">
        <f>HYPERLINK("https://www.spark-marketing.ru/Card/Person/27035", "ГБУ МО ""СШОР ""ИСТИНА""")</f>
        <v>ГБУ МО "СШОР "ИСТИНА"</v>
      </c>
      <c r="B3644" s="24" t="s">
        <v>6108</v>
      </c>
      <c r="C3644" s="25">
        <v>576000</v>
      </c>
      <c r="D3644" s="22" t="s">
        <v>6110</v>
      </c>
      <c r="E3644" s="22" t="s">
        <v>48</v>
      </c>
      <c r="F3644" s="23" t="str">
        <f>HYPERLINK("https://www.spark-marketing.ru/Card/Lot/73311542", "Оказание услуг по организации питания (декабрь)")</f>
        <v>Оказание услуг по организации питания (декабрь)</v>
      </c>
      <c r="G3644" s="22" t="s">
        <v>49</v>
      </c>
      <c r="H3644" s="22" t="s">
        <v>4820</v>
      </c>
      <c r="I3644" s="26">
        <v>43717.825682870403</v>
      </c>
      <c r="J3644" s="28" t="s">
        <v>51</v>
      </c>
      <c r="K3644" s="28" t="s">
        <v>51</v>
      </c>
      <c r="L3644" s="28" t="s">
        <v>51</v>
      </c>
      <c r="M3644" s="28" t="s">
        <v>51</v>
      </c>
      <c r="N3644" s="28" t="s">
        <v>51</v>
      </c>
    </row>
    <row r="3645" spans="1:14" x14ac:dyDescent="0.15">
      <c r="A3645" s="23" t="str">
        <f>HYPERLINK("https://www.spark-marketing.ru/Card/Person/4354855", "ООО ""ГАЗПРОМНЕФТЬ - СНАБЖЕНИЕ""")</f>
        <v>ООО "ГАЗПРОМНЕФТЬ - СНАБЖЕНИЕ"</v>
      </c>
      <c r="B3645" s="24" t="s">
        <v>1273</v>
      </c>
      <c r="C3645" s="28" t="s">
        <v>51</v>
      </c>
      <c r="D3645" s="22" t="s">
        <v>6111</v>
      </c>
      <c r="E3645" s="22" t="s">
        <v>52</v>
      </c>
      <c r="F3645" s="23" t="str">
        <f>HYPERLINK("https://www.spark-marketing.ru/Card/Lot/73308416", "Открытый отбор организаций, способных оказать услуги по организации питания на береговой базе Лескинского лицензионного участка для нужд филиала «Тюмень» «Газпромнефть-Снабжение» в 2019-2021гг.")</f>
        <v>Открытый отбор организаций, способных оказать услуги по организации питания на береговой базе Лескинского лицензионного участка для нужд филиала «Тюмень» «Газпромнефть-Снабжение» в 2019-2021гг.</v>
      </c>
      <c r="G3645" s="22" t="s">
        <v>487</v>
      </c>
      <c r="H3645" s="22" t="s">
        <v>488</v>
      </c>
      <c r="I3645" s="26">
        <v>43717.75</v>
      </c>
      <c r="J3645" s="28" t="s">
        <v>51</v>
      </c>
      <c r="K3645" s="28" t="s">
        <v>51</v>
      </c>
      <c r="L3645" s="28" t="s">
        <v>51</v>
      </c>
      <c r="M3645" s="28" t="s">
        <v>51</v>
      </c>
      <c r="N3645" s="28" t="s">
        <v>51</v>
      </c>
    </row>
    <row r="3646" spans="1:14" x14ac:dyDescent="0.15">
      <c r="A3646" s="23" t="str">
        <f>HYPERLINK("https://www.spark-marketing.ru/Card/Person/39127", "МИНЗДРАВ РТ")</f>
        <v>МИНЗДРАВ РТ</v>
      </c>
      <c r="B3646" s="24" t="s">
        <v>6112</v>
      </c>
      <c r="C3646" s="25">
        <v>29985211.629999999</v>
      </c>
      <c r="D3646" s="22" t="s">
        <v>6113</v>
      </c>
      <c r="E3646" s="22" t="s">
        <v>5173</v>
      </c>
      <c r="F3646" s="23" t="str">
        <f>HYPERLINK("https://www.spark-marketing.ru/Card/Lot/73313904", "Осуществление функций уполномоченной фармацевтической организации (склада) по оказанию услуги по обеспечению лекарственными препаратами, медицинскими изделиями, специализированными продуктами лечебного питания, а также лекарственными препаратами, под...")</f>
        <v>Осуществление функций уполномоченной фармацевтической организации (склада) по оказанию услуги по обеспечению лекарственными препаратами, медицинскими изделиями, специализированными продуктами лечебного питания, а также лекарственными препаратами, под...</v>
      </c>
      <c r="G3646" s="22" t="s">
        <v>327</v>
      </c>
      <c r="H3646" s="22" t="s">
        <v>328</v>
      </c>
      <c r="I3646" s="26">
        <v>43717.7590277778</v>
      </c>
      <c r="J3646" s="23" t="str">
        <f>HYPERLINK("https://www.spark-marketing.ru/Card/Person/202860", "ГБУ РТ ""РЕСФАРМАЦИЯ""")</f>
        <v>ГБУ РТ "РЕСФАРМАЦИЯ"</v>
      </c>
      <c r="K3646" s="24" t="s">
        <v>6114</v>
      </c>
      <c r="L3646" s="22" t="s">
        <v>10</v>
      </c>
      <c r="M3646" s="28" t="s">
        <v>51</v>
      </c>
      <c r="N3646" s="28" t="s">
        <v>51</v>
      </c>
    </row>
    <row r="3647" spans="1:14" x14ac:dyDescent="0.15">
      <c r="A3647" s="23" t="str">
        <f>HYPERLINK("https://www.spark-marketing.ru/Card/Person/16791", "ГУ-РО ФОНДА СОЦИАЛЬНОГО СТРАХОВАНИЯ РОССИЙСКОЙ ФЕДЕРАЦИИ ПО РЕСПУБЛИКЕ ДАГЕСТАН")</f>
        <v>ГУ-РО ФОНДА СОЦИАЛЬНОГО СТРАХОВАНИЯ РОССИЙСКОЙ ФЕДЕРАЦИИ ПО РЕСПУБЛИКЕ ДАГЕСТАН</v>
      </c>
      <c r="B3647" s="24" t="s">
        <v>6115</v>
      </c>
      <c r="C3647" s="25">
        <v>1503882</v>
      </c>
      <c r="D3647" s="22" t="s">
        <v>6116</v>
      </c>
      <c r="E3647" s="22" t="s">
        <v>86</v>
      </c>
      <c r="F3647" s="23" t="str">
        <f>HYPERLINK("https://www.spark-marketing.ru/Card/Lot/73313280", "Оказание услуг по санаторно-курортному лечению граждан-получателей набора социальных услуг в 2019 году. Профиль лечения: заболевания эндокринной системы. Место оказания услуг: Республика Дагестан.")</f>
        <v>Оказание услуг по санаторно-курортному лечению граждан-получателей набора социальных услуг в 2019 году. Профиль лечения: заболевания эндокринной системы. Место оказания услуг: Республика Дагестан.</v>
      </c>
      <c r="G3647" s="22" t="s">
        <v>1607</v>
      </c>
      <c r="H3647" s="22" t="s">
        <v>1607</v>
      </c>
      <c r="I3647" s="26">
        <v>43717.788888888899</v>
      </c>
      <c r="J3647" s="23" t="str">
        <f>HYPERLINK("https://www.spark-marketing.ru/Card/Person/4416460", "ООО ""КАСПИЙ""")</f>
        <v>ООО "КАСПИЙ"</v>
      </c>
      <c r="K3647" s="24" t="s">
        <v>6117</v>
      </c>
      <c r="L3647" s="22" t="s">
        <v>10</v>
      </c>
      <c r="M3647" s="28" t="s">
        <v>51</v>
      </c>
      <c r="N3647" s="28" t="s">
        <v>51</v>
      </c>
    </row>
    <row r="3648" spans="1:14" x14ac:dyDescent="0.15">
      <c r="A3648" s="23" t="str">
        <f>HYPERLINK("https://www.spark-marketing.ru/Card/Person/16791", "ГУ-РО ФОНДА СОЦИАЛЬНОГО СТРАХОВАНИЯ РОССИЙСКОЙ ФЕДЕРАЦИИ ПО РЕСПУБЛИКЕ ДАГЕСТАН")</f>
        <v>ГУ-РО ФОНДА СОЦИАЛЬНОГО СТРАХОВАНИЯ РОССИЙСКОЙ ФЕДЕРАЦИИ ПО РЕСПУБЛИКЕ ДАГЕСТАН</v>
      </c>
      <c r="B3648" s="24" t="s">
        <v>6115</v>
      </c>
      <c r="C3648" s="25">
        <v>2177262</v>
      </c>
      <c r="D3648" s="22" t="s">
        <v>6118</v>
      </c>
      <c r="E3648" s="22" t="s">
        <v>86</v>
      </c>
      <c r="F3648" s="23" t="str">
        <f>HYPERLINK("https://www.spark-marketing.ru/Card/Lot/73313549", "Оказание услуг по санаторно-курортному лечению граждан-получателей набора социальных услуг в 2019 году. Профиль лечения: заболевания эндокринной системы. Место оказания услуг: Республика Дагестан.")</f>
        <v>Оказание услуг по санаторно-курортному лечению граждан-получателей набора социальных услуг в 2019 году. Профиль лечения: заболевания эндокринной системы. Место оказания услуг: Республика Дагестан.</v>
      </c>
      <c r="G3648" s="22" t="s">
        <v>1607</v>
      </c>
      <c r="H3648" s="22" t="s">
        <v>1607</v>
      </c>
      <c r="I3648" s="26">
        <v>43717.789583333302</v>
      </c>
      <c r="J3648" s="23" t="str">
        <f>HYPERLINK("https://www.spark-marketing.ru/Card/Person/4416460", "ООО ""КАСПИЙ""")</f>
        <v>ООО "КАСПИЙ"</v>
      </c>
      <c r="K3648" s="24" t="s">
        <v>6117</v>
      </c>
      <c r="L3648" s="22" t="s">
        <v>10</v>
      </c>
      <c r="M3648" s="28" t="s">
        <v>51</v>
      </c>
      <c r="N3648" s="28" t="s">
        <v>51</v>
      </c>
    </row>
    <row r="3649" spans="1:14" x14ac:dyDescent="0.15">
      <c r="A3649" s="23" t="str">
        <f>HYPERLINK("https://www.spark-marketing.ru/Card/Person/1043069", "ГКУЗ ПО ""УПРАВЛЕНИЕ ФАРМАЦИИ""")</f>
        <v>ГКУЗ ПО "УПРАВЛЕНИЕ ФАРМАЦИИ"</v>
      </c>
      <c r="B3649" s="24" t="s">
        <v>6119</v>
      </c>
      <c r="C3649" s="25">
        <v>9997500</v>
      </c>
      <c r="D3649" s="22" t="s">
        <v>6120</v>
      </c>
      <c r="E3649" s="22" t="s">
        <v>86</v>
      </c>
      <c r="F3649" s="23" t="str">
        <f>HYPERLINK("https://www.spark-marketing.ru/Card/Lot/73313695", "Оказание услуги по приемке, хранению, комплектованию, доставке в пункты отпуска, отпуску лекарственных препаратов, медицинских изделий, специализированных продуктов лечебного питания (идентификационный номер: 889-А-ГЗ)")</f>
        <v>Оказание услуги по приемке, хранению, комплектованию, доставке в пункты отпуска, отпуску лекарственных препаратов, медицинских изделий, специализированных продуктов лечебного питания (идентификационный номер: 889-А-ГЗ)</v>
      </c>
      <c r="G3649" s="22" t="s">
        <v>415</v>
      </c>
      <c r="H3649" s="22" t="s">
        <v>4542</v>
      </c>
      <c r="I3649" s="26">
        <v>43717.720138888901</v>
      </c>
      <c r="J3649" s="23" t="str">
        <f>HYPERLINK("https://www.spark-marketing.ru/Card/Person/63178", "ГП ПСКОВСКОЙ ОБЛАСТИ ""ФАРМАЦИЯ""")</f>
        <v>ГП ПСКОВСКОЙ ОБЛАСТИ "ФАРМАЦИЯ"</v>
      </c>
      <c r="K3649" s="24" t="s">
        <v>6121</v>
      </c>
      <c r="L3649" s="22" t="s">
        <v>10</v>
      </c>
      <c r="M3649" s="28" t="s">
        <v>51</v>
      </c>
      <c r="N3649" s="28" t="s">
        <v>51</v>
      </c>
    </row>
    <row r="3650" spans="1:14" x14ac:dyDescent="0.15">
      <c r="A3650" s="23" t="str">
        <f>HYPERLINK("https://www.spark-marketing.ru/Card/Person/4857912", "МЕЖРЕГИОНАЛЬНЫЙ ФИЛИАЛ ФКУ ""ЦЕНТР ПО ОБЕСПЕЧЕНИЮ ДЕЯТЕЛЬНОСТИ КАЗНАЧЕЙСТВА РОССИИ"" В Г. ХАБАРОВСКЕ")</f>
        <v>МЕЖРЕГИОНАЛЬНЫЙ ФИЛИАЛ ФКУ "ЦЕНТР ПО ОБЕСПЕЧЕНИЮ ДЕЯТЕЛЬНОСТИ КАЗНАЧЕЙСТВА РОССИИ" В Г. ХАБАРОВСКЕ</v>
      </c>
      <c r="B3650" s="24" t="s">
        <v>2576</v>
      </c>
      <c r="C3650" s="25">
        <v>279999.99</v>
      </c>
      <c r="D3650" s="22" t="s">
        <v>6122</v>
      </c>
      <c r="E3650" s="22" t="s">
        <v>91</v>
      </c>
      <c r="F3650" s="23" t="str">
        <f>HYPERLINK("https://www.spark-marketing.ru/Card/Lot/73300557", "Оказание услуг по техническому обслуживанию систем бесперебойного питания для нужд Управления Федерального казначейства по Приморскому краю")</f>
        <v>Оказание услуг по техническому обслуживанию систем бесперебойного питания для нужд Управления Федерального казначейства по Приморскому краю</v>
      </c>
      <c r="G3650" s="22" t="s">
        <v>543</v>
      </c>
      <c r="H3650" s="22" t="s">
        <v>1440</v>
      </c>
      <c r="I3650" s="26">
        <v>43717.720833333296</v>
      </c>
      <c r="J3650" s="28" t="s">
        <v>51</v>
      </c>
      <c r="K3650" s="28" t="s">
        <v>51</v>
      </c>
      <c r="L3650" s="28" t="s">
        <v>51</v>
      </c>
      <c r="M3650" s="28" t="s">
        <v>51</v>
      </c>
      <c r="N3650" s="28" t="s">
        <v>51</v>
      </c>
    </row>
    <row r="3651" spans="1:14" x14ac:dyDescent="0.15">
      <c r="A3651" s="23" t="str">
        <f>HYPERLINK("https://www.spark-marketing.ru/Card/Person/6762", "МКУ ""ХОЗУ АДМИНИСТРАЦИИ Г. ВЛАДИВОСТОКА""")</f>
        <v>МКУ "ХОЗУ АДМИНИСТРАЦИИ Г. ВЛАДИВОСТОКА"</v>
      </c>
      <c r="B3651" s="24" t="s">
        <v>6123</v>
      </c>
      <c r="C3651" s="25">
        <v>100000</v>
      </c>
      <c r="D3651" s="22" t="s">
        <v>6124</v>
      </c>
      <c r="E3651" s="22" t="s">
        <v>91</v>
      </c>
      <c r="F3651" s="23" t="str">
        <f>HYPERLINK("https://www.spark-marketing.ru/Card/Lot/73298201", "услуги по диагностике средств вычислительной и копировально-множительной техники")</f>
        <v>услуги по диагностике средств вычислительной и копировально-множительной техники</v>
      </c>
      <c r="G3651" s="22" t="s">
        <v>543</v>
      </c>
      <c r="H3651" s="22" t="s">
        <v>1440</v>
      </c>
      <c r="I3651" s="26">
        <v>43717.727083333302</v>
      </c>
      <c r="J3651" s="23" t="str">
        <f>HYPERLINK("https://www.spark-marketing.ru/Card/Person/168003", "ООО НИЦ ""КОМПЬЮТЕРНЫЕ ТЕХНОЛОГИИ""")</f>
        <v>ООО НИЦ "КОМПЬЮТЕРНЫЕ ТЕХНОЛОГИИ"</v>
      </c>
      <c r="K3651" s="24" t="s">
        <v>6125</v>
      </c>
      <c r="L3651" s="28" t="s">
        <v>51</v>
      </c>
      <c r="M3651" s="28" t="s">
        <v>51</v>
      </c>
      <c r="N3651" s="28" t="s">
        <v>51</v>
      </c>
    </row>
    <row r="3652" spans="1:14" ht="12.75" hidden="1" outlineLevel="1" x14ac:dyDescent="0.2">
      <c r="A3652" s="23" t="str">
        <f>HYPERLINK("https://www.spark-marketing.ru/Card/Person/6762", "МКУ ""ХОЗУ АДМИНИСТРАЦИИ Г. ВЛАДИВОСТОКА""")</f>
        <v>МКУ "ХОЗУ АДМИНИСТРАЦИИ Г. ВЛАДИВОСТОКА"</v>
      </c>
      <c r="B3652" s="24" t="s">
        <v>6123</v>
      </c>
      <c r="C3652" s="25">
        <v>100000</v>
      </c>
      <c r="D3652" s="22" t="s">
        <v>6124</v>
      </c>
      <c r="E3652" s="22" t="s">
        <v>91</v>
      </c>
      <c r="F3652" s="23" t="str">
        <f>HYPERLINK("https://www.spark-marketing.ru/Card/Lot/73298201", "услуги по диагностике средств вычислительной и копировально-множительной техники")</f>
        <v>услуги по диагностике средств вычислительной и копировально-множительной техники</v>
      </c>
      <c r="G3652" s="22" t="s">
        <v>543</v>
      </c>
      <c r="H3652" s="22" t="s">
        <v>1440</v>
      </c>
      <c r="I3652" s="26">
        <v>43717.727083333302</v>
      </c>
      <c r="J3652" s="23" t="str">
        <f>HYPERLINK("https://www.spark-marketing.ru/Card/Person/168003", "ООО НИЦ ""КОМПЬЮТЕРНЫЕ ТЕХНОЛОГИИ""")</f>
        <v>ООО НИЦ "КОМПЬЮТЕРНЫЕ ТЕХНОЛОГИИ"</v>
      </c>
      <c r="K3652" s="24" t="s">
        <v>6125</v>
      </c>
      <c r="L3652" s="22" t="s">
        <v>10</v>
      </c>
      <c r="M3652" s="25">
        <v>5671.5</v>
      </c>
      <c r="N3652" s="27">
        <v>0.94328500000000004</v>
      </c>
    </row>
    <row r="3653" spans="1:14" x14ac:dyDescent="0.15">
      <c r="A3653" s="23" t="str">
        <f>HYPERLINK("https://www.spark-marketing.ru/Card/Person/4375664", "ММО МВД РОССИИ ""КРАСНОСЛОБОДСКИЙ""")</f>
        <v>ММО МВД РОССИИ "КРАСНОСЛОБОДСКИЙ"</v>
      </c>
      <c r="B3653" s="24" t="s">
        <v>6126</v>
      </c>
      <c r="C3653" s="25">
        <v>263784.21999999997</v>
      </c>
      <c r="D3653" s="22" t="s">
        <v>6127</v>
      </c>
      <c r="E3653" s="22" t="s">
        <v>48</v>
      </c>
      <c r="F3653" s="23" t="str">
        <f>HYPERLINK("https://www.spark-marketing.ru/Card/Lot/73311392", "Оказание услуг по организации ежедневного трехразового (включая выходные и праздничные дни) питания подозреваемых и обвиняемых, содержащихся в изоляторе временного содержания подозреваемых и обвиняемых отделения полиции №11 (по обслуживанию Ельниковс...")</f>
        <v>Оказание услуг по организации ежедневного трехразового (включая выходные и праздничные дни) питания подозреваемых и обвиняемых, содержащихся в изоляторе временного содержания подозреваемых и обвиняемых отделения полиции №11 (по обслуживанию Ельниковс...</v>
      </c>
      <c r="G3653" s="22" t="s">
        <v>277</v>
      </c>
      <c r="H3653" s="22" t="s">
        <v>6128</v>
      </c>
      <c r="I3653" s="26">
        <v>43717.713194444397</v>
      </c>
      <c r="J3653" s="23" t="str">
        <f>HYPERLINK("https://www.spark-marketing.ru/Card/Person/252092", "ООО ""ЕЛЬНИКОВСКОЕ РАЙПО""")</f>
        <v>ООО "ЕЛЬНИКОВСКОЕ РАЙПО"</v>
      </c>
      <c r="K3653" s="24" t="s">
        <v>6129</v>
      </c>
      <c r="L3653" s="22" t="s">
        <v>10</v>
      </c>
      <c r="M3653" s="28" t="s">
        <v>51</v>
      </c>
      <c r="N3653" s="28" t="s">
        <v>51</v>
      </c>
    </row>
    <row r="3654" spans="1:14" x14ac:dyDescent="0.15">
      <c r="A3654" s="23" t="str">
        <f>HYPERLINK("https://www.spark-marketing.ru/Card/Person/130365", "ОМВД РОССИИ ПО СОБИНСКОМУ РАЙОНУ")</f>
        <v>ОМВД РОССИИ ПО СОБИНСКОМУ РАЙОНУ</v>
      </c>
      <c r="B3654" s="24" t="s">
        <v>6130</v>
      </c>
      <c r="C3654" s="25">
        <v>1620000</v>
      </c>
      <c r="D3654" s="22" t="s">
        <v>6131</v>
      </c>
      <c r="E3654" s="22" t="s">
        <v>48</v>
      </c>
      <c r="F3654" s="23" t="str">
        <f>HYPERLINK("https://www.spark-marketing.ru/Card/Lot/73313301", "Прочая закупка товаров, работ и услуг ( услуги по организации трехразового горячего питания лиц, содержащихся в изоляторе временного содержания, специальном приемнике и камерах административного содержания ОМВД России по Собинскому району в мирное вр...")</f>
        <v>Прочая закупка товаров, работ и услуг ( услуги по организации трехразового горячего питания лиц, содержащихся в изоляторе временного содержания, специальном приемнике и камерах административного содержания ОМВД России по Собинскому району в мирное вр...</v>
      </c>
      <c r="G3654" s="22" t="s">
        <v>663</v>
      </c>
      <c r="H3654" s="22" t="s">
        <v>663</v>
      </c>
      <c r="I3654" s="26">
        <v>43717.71875</v>
      </c>
      <c r="J3654" s="23" t="str">
        <f>HYPERLINK("https://www.spark-marketing.ru/Card/Person/1253484", "Рожкова Римма Александровна")</f>
        <v>Рожкова Римма Александровна</v>
      </c>
      <c r="K3654" s="24" t="s">
        <v>6132</v>
      </c>
      <c r="L3654" s="22" t="s">
        <v>10</v>
      </c>
      <c r="M3654" s="28" t="s">
        <v>51</v>
      </c>
      <c r="N3654" s="28" t="s">
        <v>51</v>
      </c>
    </row>
    <row r="3655" spans="1:14" x14ac:dyDescent="0.15">
      <c r="A3655" s="23" t="str">
        <f>HYPERLINK("https://www.spark-marketing.ru/Card/Person/4375664", "ММО МВД РОССИИ ""КРАСНОСЛОБОДСКИЙ""")</f>
        <v>ММО МВД РОССИИ "КРАСНОСЛОБОДСКИЙ"</v>
      </c>
      <c r="B3655" s="24" t="s">
        <v>6126</v>
      </c>
      <c r="C3655" s="25">
        <v>263999.74</v>
      </c>
      <c r="D3655" s="22" t="s">
        <v>6133</v>
      </c>
      <c r="E3655" s="22" t="s">
        <v>48</v>
      </c>
      <c r="F3655" s="23" t="str">
        <f>HYPERLINK("https://www.spark-marketing.ru/Card/Lot/73311394", "Оказание услуг по организации ежедневного трехразового (включая выходные и праздничные дни) питания подозреваемых и обвиняемых, содержащихся в изоляторе временного содержания подозреваемых и обвиняемых отделения полиции №11 (по обслуживанию Ельниковс...")</f>
        <v>Оказание услуг по организации ежедневного трехразового (включая выходные и праздничные дни) питания подозреваемых и обвиняемых, содержащихся в изоляторе временного содержания подозреваемых и обвиняемых отделения полиции №11 (по обслуживанию Ельниковс...</v>
      </c>
      <c r="G3655" s="22" t="s">
        <v>277</v>
      </c>
      <c r="H3655" s="22" t="s">
        <v>6128</v>
      </c>
      <c r="I3655" s="26">
        <v>43717.716666666704</v>
      </c>
      <c r="J3655" s="23" t="str">
        <f>HYPERLINK("https://www.spark-marketing.ru/Card/Person/252092", "ООО ""ЕЛЬНИКОВСКОЕ РАЙПО""")</f>
        <v>ООО "ЕЛЬНИКОВСКОЕ РАЙПО"</v>
      </c>
      <c r="K3655" s="24" t="s">
        <v>6129</v>
      </c>
      <c r="L3655" s="22" t="s">
        <v>10</v>
      </c>
      <c r="M3655" s="28" t="s">
        <v>51</v>
      </c>
      <c r="N3655" s="28" t="s">
        <v>51</v>
      </c>
    </row>
    <row r="3656" spans="1:14" x14ac:dyDescent="0.15">
      <c r="A3656" s="23" t="str">
        <f>HYPERLINK("https://www.spark-marketing.ru/Card/Person/260478", "МО МВД РОССИИ ""ШУЙСКИЙ""")</f>
        <v>МО МВД РОССИИ "ШУЙСКИЙ"</v>
      </c>
      <c r="B3656" s="24" t="s">
        <v>6134</v>
      </c>
      <c r="C3656" s="25">
        <v>906155</v>
      </c>
      <c r="D3656" s="22" t="s">
        <v>6135</v>
      </c>
      <c r="E3656" s="22" t="s">
        <v>48</v>
      </c>
      <c r="F3656" s="23" t="str">
        <f>HYPERLINK("https://www.spark-marketing.ru/Card/Lot/73311967", "Прочая закупка товаров, работ и услуг (услуги по организации горячего питания)")</f>
        <v>Прочая закупка товаров, работ и услуг (услуги по организации горячего питания)</v>
      </c>
      <c r="G3656" s="22" t="s">
        <v>1047</v>
      </c>
      <c r="H3656" s="22" t="s">
        <v>1047</v>
      </c>
      <c r="I3656" s="26">
        <v>43717.703472222202</v>
      </c>
      <c r="J3656" s="23" t="str">
        <f>HYPERLINK("https://www.spark-marketing.ru/Card/Person/584279", "ООО ""СУДАРУШКА""")</f>
        <v>ООО "СУДАРУШКА"</v>
      </c>
      <c r="K3656" s="24" t="s">
        <v>6136</v>
      </c>
      <c r="L3656" s="22" t="s">
        <v>10</v>
      </c>
      <c r="M3656" s="28" t="s">
        <v>51</v>
      </c>
      <c r="N3656" s="28" t="s">
        <v>51</v>
      </c>
    </row>
    <row r="3657" spans="1:14" x14ac:dyDescent="0.15">
      <c r="A3657" s="23" t="str">
        <f>HYPERLINK("https://www.spark-marketing.ru/Card/Person/37353", "ГБУЗ ""КЕМСКАЯ ЦРБ""")</f>
        <v>ГБУЗ "КЕМСКАЯ ЦРБ"</v>
      </c>
      <c r="B3657" s="24" t="s">
        <v>614</v>
      </c>
      <c r="C3657" s="25">
        <v>445450.44</v>
      </c>
      <c r="D3657" s="22" t="s">
        <v>6137</v>
      </c>
      <c r="E3657" s="22" t="s">
        <v>603</v>
      </c>
      <c r="F3657" s="23" t="str">
        <f>HYPERLINK("https://www.spark-marketing.ru/Card/Lot/73311678", "Выполнение работ по метрологическому обслуживанию (поверке) средств измерения медицинского назначения")</f>
        <v>Выполнение работ по метрологическому обслуживанию (поверке) средств измерения медицинского назначения</v>
      </c>
      <c r="G3657" s="22" t="s">
        <v>59</v>
      </c>
      <c r="H3657" s="22" t="s">
        <v>59</v>
      </c>
      <c r="I3657" s="26">
        <v>43717.672916666699</v>
      </c>
      <c r="J3657" s="28" t="s">
        <v>51</v>
      </c>
      <c r="K3657" s="28" t="s">
        <v>51</v>
      </c>
      <c r="L3657" s="28" t="s">
        <v>51</v>
      </c>
      <c r="M3657" s="28" t="s">
        <v>51</v>
      </c>
      <c r="N3657" s="28" t="s">
        <v>51</v>
      </c>
    </row>
    <row r="3658" spans="1:14" x14ac:dyDescent="0.15">
      <c r="A3658" s="23" t="str">
        <f>HYPERLINK("https://www.spark-marketing.ru/Card/Person/9777", "ОМВД РОССИИ ПО ДЗЕРЖИНСКОМУ РАЙОНУ")</f>
        <v>ОМВД РОССИИ ПО ДЗЕРЖИНСКОМУ РАЙОНУ</v>
      </c>
      <c r="B3658" s="24" t="s">
        <v>6138</v>
      </c>
      <c r="C3658" s="25">
        <v>520000</v>
      </c>
      <c r="D3658" s="22" t="s">
        <v>6139</v>
      </c>
      <c r="E3658" s="22" t="s">
        <v>48</v>
      </c>
      <c r="F3658" s="23" t="str">
        <f>HYPERLINK("https://www.spark-marketing.ru/Card/Lot/73312307",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3658" s="22" t="s">
        <v>112</v>
      </c>
      <c r="H3658" s="22" t="s">
        <v>1115</v>
      </c>
      <c r="I3658" s="26">
        <v>43717.6965277778</v>
      </c>
      <c r="J3658" s="28" t="s">
        <v>51</v>
      </c>
      <c r="K3658" s="28" t="s">
        <v>51</v>
      </c>
      <c r="L3658" s="28" t="s">
        <v>51</v>
      </c>
      <c r="M3658" s="28" t="s">
        <v>51</v>
      </c>
      <c r="N3658" s="28" t="s">
        <v>51</v>
      </c>
    </row>
    <row r="3659" spans="1:14" ht="12.75" hidden="1" outlineLevel="1" x14ac:dyDescent="0.2">
      <c r="A3659" s="23" t="str">
        <f>HYPERLINK("https://www.spark-marketing.ru/Card/Person/9777", "ОМВД РОССИИ ПО ДЗЕРЖИНСКОМУ РАЙОНУ")</f>
        <v>ОМВД РОССИИ ПО ДЗЕРЖИНСКОМУ РАЙОНУ</v>
      </c>
      <c r="B3659" s="24" t="s">
        <v>6138</v>
      </c>
      <c r="C3659" s="25">
        <v>520000</v>
      </c>
      <c r="D3659" s="22" t="s">
        <v>6139</v>
      </c>
      <c r="E3659" s="22" t="s">
        <v>48</v>
      </c>
      <c r="F3659" s="23" t="str">
        <f>HYPERLINK("https://www.spark-marketing.ru/Card/Lot/73312307",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3659" s="22" t="s">
        <v>112</v>
      </c>
      <c r="H3659" s="22" t="s">
        <v>1115</v>
      </c>
      <c r="I3659" s="26">
        <v>43717.6965277778</v>
      </c>
      <c r="J3659" s="23" t="str">
        <f>HYPERLINK("https://www.spark-marketing.ru/Card/Person/4916563", "Халилов Арастун Алхады Оглы")</f>
        <v>Халилов Арастун Алхады Оглы</v>
      </c>
      <c r="K3659" s="24" t="s">
        <v>6140</v>
      </c>
      <c r="L3659" s="22" t="s">
        <v>10</v>
      </c>
      <c r="M3659" s="25">
        <v>417951</v>
      </c>
      <c r="N3659" s="27">
        <v>0.19624807692307691</v>
      </c>
    </row>
    <row r="3660" spans="1:14" hidden="1" outlineLevel="1" x14ac:dyDescent="0.2">
      <c r="A3660" s="23" t="str">
        <f>HYPERLINK("https://www.spark-marketing.ru/Card/Person/9777", "ОМВД РОССИИ ПО ДЗЕРЖИНСКОМУ РАЙОНУ")</f>
        <v>ОМВД РОССИИ ПО ДЗЕРЖИНСКОМУ РАЙОНУ</v>
      </c>
      <c r="B3660" s="24" t="s">
        <v>6138</v>
      </c>
      <c r="C3660" s="25">
        <v>520000</v>
      </c>
      <c r="D3660" s="22" t="s">
        <v>6139</v>
      </c>
      <c r="E3660" s="22" t="s">
        <v>48</v>
      </c>
      <c r="F3660" s="23" t="str">
        <f>HYPERLINK("https://www.spark-marketing.ru/Card/Lot/73312307",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3660" s="22" t="s">
        <v>112</v>
      </c>
      <c r="H3660" s="22" t="s">
        <v>1115</v>
      </c>
      <c r="I3660" s="26">
        <v>43717.6965277778</v>
      </c>
      <c r="J3660" s="23" t="str">
        <f>HYPERLINK("https://www.spark-marketing.ru/Card/Person/1251208", "ООО ""КАСКАД""")</f>
        <v>ООО "КАСКАД"</v>
      </c>
      <c r="K3660" s="24" t="s">
        <v>6141</v>
      </c>
      <c r="L3660" s="28" t="s">
        <v>51</v>
      </c>
      <c r="M3660" s="25">
        <v>420551</v>
      </c>
      <c r="N3660" s="27">
        <v>0.19124807692307691</v>
      </c>
    </row>
    <row r="3661" spans="1:14" x14ac:dyDescent="0.15">
      <c r="A3661" s="23" t="str">
        <f>HYPERLINK("https://www.spark-marketing.ru/Card/Person/260478", "МО МВД РОССИИ ""ШУЙСКИЙ""")</f>
        <v>МО МВД РОССИИ "ШУЙСКИЙ"</v>
      </c>
      <c r="B3661" s="24" t="s">
        <v>6134</v>
      </c>
      <c r="C3661" s="25">
        <v>906095.12</v>
      </c>
      <c r="D3661" s="22" t="s">
        <v>6142</v>
      </c>
      <c r="E3661" s="22" t="s">
        <v>48</v>
      </c>
      <c r="F3661" s="23" t="str">
        <f>HYPERLINK("https://www.spark-marketing.ru/Card/Lot/73312619", "Прочая закупка товаров, работ и услуг (услуги по организации горячего питания)")</f>
        <v>Прочая закупка товаров, работ и услуг (услуги по организации горячего питания)</v>
      </c>
      <c r="G3661" s="22" t="s">
        <v>1047</v>
      </c>
      <c r="H3661" s="22" t="s">
        <v>1047</v>
      </c>
      <c r="I3661" s="26">
        <v>43717.7055555556</v>
      </c>
      <c r="J3661" s="23" t="str">
        <f>HYPERLINK("https://www.spark-marketing.ru/Card/Person/584279", "ООО ""СУДАРУШКА""")</f>
        <v>ООО "СУДАРУШКА"</v>
      </c>
      <c r="K3661" s="24" t="s">
        <v>6136</v>
      </c>
      <c r="L3661" s="22" t="s">
        <v>10</v>
      </c>
      <c r="M3661" s="28" t="s">
        <v>51</v>
      </c>
      <c r="N3661" s="28" t="s">
        <v>51</v>
      </c>
    </row>
    <row r="3662" spans="1:14" x14ac:dyDescent="0.15">
      <c r="A3662" s="23" t="str">
        <f>HYPERLINK("https://www.spark-marketing.ru/Card/Person/253242", "ОМВД РОССИИ ПО БЕЛОМОРСКОМУ РАЙОНУ")</f>
        <v>ОМВД РОССИИ ПО БЕЛОМОРСКОМУ РАЙОНУ</v>
      </c>
      <c r="B3662" s="24" t="s">
        <v>3225</v>
      </c>
      <c r="C3662" s="25">
        <v>862000</v>
      </c>
      <c r="D3662" s="22" t="s">
        <v>6143</v>
      </c>
      <c r="E3662" s="22" t="s">
        <v>48</v>
      </c>
      <c r="F3662" s="23" t="str">
        <f>HYPERLINK("https://www.spark-marketing.ru/Card/Lot/73311982", "питание арестованных")</f>
        <v>питание арестованных</v>
      </c>
      <c r="G3662" s="22" t="s">
        <v>59</v>
      </c>
      <c r="H3662" s="22" t="s">
        <v>3227</v>
      </c>
      <c r="I3662" s="26">
        <v>43717.675000000003</v>
      </c>
      <c r="J3662" s="28" t="s">
        <v>51</v>
      </c>
      <c r="K3662" s="28" t="s">
        <v>51</v>
      </c>
      <c r="L3662" s="28" t="s">
        <v>51</v>
      </c>
      <c r="M3662" s="28" t="s">
        <v>51</v>
      </c>
      <c r="N3662" s="28" t="s">
        <v>51</v>
      </c>
    </row>
    <row r="3663" spans="1:14" x14ac:dyDescent="0.15">
      <c r="A3663" s="23" t="str">
        <f>HYPERLINK("https://www.spark-marketing.ru/Card/Person/4375664", "ММО МВД РОССИИ ""КРАСНОСЛОБОДСКИЙ""")</f>
        <v>ММО МВД РОССИИ "КРАСНОСЛОБОДСКИЙ"</v>
      </c>
      <c r="B3663" s="24" t="s">
        <v>6126</v>
      </c>
      <c r="C3663" s="25">
        <v>499791.24</v>
      </c>
      <c r="D3663" s="22" t="s">
        <v>6144</v>
      </c>
      <c r="E3663" s="22" t="s">
        <v>48</v>
      </c>
      <c r="F3663" s="23" t="str">
        <f>HYPERLINK("https://www.spark-marketing.ru/Card/Lot/73312259", "Оказание услуг по организации ежедневного трехразового (включая выходные и праздничные дни) питания подозреваемых и обвиняемых, содержащихся в изоляторе временного содержания подозреваемых и обвиняемых ММО МВД России ""Краснослободский"", расположенн...")</f>
        <v>Оказание услуг по организации ежедневного трехразового (включая выходные и праздничные дни) питания подозреваемых и обвиняемых, содержащихся в изоляторе временного содержания подозреваемых и обвиняемых ММО МВД России "Краснослободский", расположенн...</v>
      </c>
      <c r="G3663" s="22" t="s">
        <v>277</v>
      </c>
      <c r="H3663" s="22" t="s">
        <v>6145</v>
      </c>
      <c r="I3663" s="26">
        <v>43717.7055555556</v>
      </c>
      <c r="J3663" s="23" t="str">
        <f>HYPERLINK("https://www.spark-marketing.ru/Card/Person/205672", "ООО ""СЕРВИСПЛЮС""")</f>
        <v>ООО "СЕРВИСПЛЮС"</v>
      </c>
      <c r="K3663" s="24" t="s">
        <v>6146</v>
      </c>
      <c r="L3663" s="22" t="s">
        <v>10</v>
      </c>
      <c r="M3663" s="28" t="s">
        <v>51</v>
      </c>
      <c r="N3663" s="28" t="s">
        <v>51</v>
      </c>
    </row>
    <row r="3664" spans="1:14" x14ac:dyDescent="0.15">
      <c r="A3664" s="23" t="str">
        <f>HYPERLINK("https://www.spark-marketing.ru/Card/Person/4375664", "ММО МВД РОССИИ ""КРАСНОСЛОБОДСКИЙ""")</f>
        <v>ММО МВД РОССИИ "КРАСНОСЛОБОДСКИЙ"</v>
      </c>
      <c r="B3664" s="24" t="s">
        <v>6126</v>
      </c>
      <c r="C3664" s="25">
        <v>500025.54</v>
      </c>
      <c r="D3664" s="22" t="s">
        <v>6147</v>
      </c>
      <c r="E3664" s="22" t="s">
        <v>48</v>
      </c>
      <c r="F3664" s="23" t="str">
        <f>HYPERLINK("https://www.spark-marketing.ru/Card/Lot/73311625", "Оказание услуг по организации ежедневного трехразового (включая выходные и праздничные дни) питания подозреваемых и обвиняемых, содержащихся в изоляторе временного содержания подозреваемых и обвиняемых ММО МВД России ""Краснослободский"" , расположен...")</f>
        <v>Оказание услуг по организации ежедневного трехразового (включая выходные и праздничные дни) питания подозреваемых и обвиняемых, содержащихся в изоляторе временного содержания подозреваемых и обвиняемых ММО МВД России "Краснослободский" , расположен...</v>
      </c>
      <c r="G3664" s="22" t="s">
        <v>277</v>
      </c>
      <c r="H3664" s="22" t="s">
        <v>6145</v>
      </c>
      <c r="I3664" s="26">
        <v>43717.698611111096</v>
      </c>
      <c r="J3664" s="23" t="str">
        <f>HYPERLINK("https://www.spark-marketing.ru/Card/Person/205672", "ООО ""СЕРВИСПЛЮС""")</f>
        <v>ООО "СЕРВИСПЛЮС"</v>
      </c>
      <c r="K3664" s="24" t="s">
        <v>6146</v>
      </c>
      <c r="L3664" s="22" t="s">
        <v>10</v>
      </c>
      <c r="M3664" s="28" t="s">
        <v>51</v>
      </c>
      <c r="N3664" s="28" t="s">
        <v>51</v>
      </c>
    </row>
    <row r="3665" spans="1:14" x14ac:dyDescent="0.15">
      <c r="A3665" s="23" t="str">
        <f>HYPERLINK("https://www.spark-marketing.ru/Card/Person/4679", "ОМВД РОССИИ ПО НАДЫМСКОМУ РАЙОНУ")</f>
        <v>ОМВД РОССИИ ПО НАДЫМСКОМУ РАЙОНУ</v>
      </c>
      <c r="B3665" s="24" t="s">
        <v>4091</v>
      </c>
      <c r="C3665" s="25">
        <v>96044.26</v>
      </c>
      <c r="D3665" s="22" t="s">
        <v>6148</v>
      </c>
      <c r="E3665" s="22" t="s">
        <v>48</v>
      </c>
      <c r="F3665" s="23" t="str">
        <f>HYPERLINK("https://www.spark-marketing.ru/Card/Lot/73308985", "Оказание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району")</f>
        <v>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</v>
      </c>
      <c r="G3665" s="22" t="s">
        <v>1056</v>
      </c>
      <c r="H3665" s="22" t="s">
        <v>2702</v>
      </c>
      <c r="I3665" s="26">
        <v>43717.695833333302</v>
      </c>
      <c r="J3665" s="28" t="s">
        <v>51</v>
      </c>
      <c r="K3665" s="28" t="s">
        <v>51</v>
      </c>
      <c r="L3665" s="28" t="s">
        <v>51</v>
      </c>
      <c r="M3665" s="28" t="s">
        <v>51</v>
      </c>
      <c r="N3665" s="28" t="s">
        <v>51</v>
      </c>
    </row>
    <row r="3666" spans="1:14" hidden="1" outlineLevel="1" x14ac:dyDescent="0.2">
      <c r="A3666" s="23" t="str">
        <f>HYPERLINK("https://www.spark-marketing.ru/Card/Person/4679", "ОМВД РОССИИ ПО НАДЫМСКОМУ РАЙОНУ")</f>
        <v>ОМВД РОССИИ ПО НАДЫМСКОМУ РАЙОНУ</v>
      </c>
      <c r="B3666" s="24" t="s">
        <v>4091</v>
      </c>
      <c r="C3666" s="25">
        <v>96044.26</v>
      </c>
      <c r="D3666" s="22" t="s">
        <v>6148</v>
      </c>
      <c r="E3666" s="22" t="s">
        <v>48</v>
      </c>
      <c r="F3666" s="23" t="str">
        <f>HYPERLINK("https://www.spark-marketing.ru/Card/Lot/73308985", "Оказание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району")</f>
        <v>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</v>
      </c>
      <c r="G3666" s="22" t="s">
        <v>1056</v>
      </c>
      <c r="H3666" s="22" t="s">
        <v>2702</v>
      </c>
      <c r="I3666" s="26">
        <v>43717.695833333302</v>
      </c>
      <c r="J3666" s="23" t="str">
        <f>HYPERLINK("https://www.spark-marketing.ru/Card/Person/76164", "Гусак Жанна Алексеевна")</f>
        <v>Гусак Жанна Алексеевна</v>
      </c>
      <c r="K3666" s="24" t="s">
        <v>6149</v>
      </c>
      <c r="L3666" s="28" t="s">
        <v>51</v>
      </c>
      <c r="M3666" s="25">
        <v>796.58</v>
      </c>
      <c r="N3666" s="27">
        <v>0.99170611549300292</v>
      </c>
    </row>
    <row r="3667" spans="1:14" ht="12.75" hidden="1" outlineLevel="1" x14ac:dyDescent="0.2">
      <c r="A3667" s="23" t="str">
        <f>HYPERLINK("https://www.spark-marketing.ru/Card/Person/4679", "ОМВД РОССИИ ПО НАДЫМСКОМУ РАЙОНУ")</f>
        <v>ОМВД РОССИИ ПО НАДЫМСКОМУ РАЙОНУ</v>
      </c>
      <c r="B3667" s="24" t="s">
        <v>4091</v>
      </c>
      <c r="C3667" s="25">
        <v>96044.26</v>
      </c>
      <c r="D3667" s="22" t="s">
        <v>6148</v>
      </c>
      <c r="E3667" s="22" t="s">
        <v>48</v>
      </c>
      <c r="F3667" s="23" t="str">
        <f>HYPERLINK("https://www.spark-marketing.ru/Card/Lot/73308985", "Оказание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району")</f>
        <v>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</v>
      </c>
      <c r="G3667" s="22" t="s">
        <v>1056</v>
      </c>
      <c r="H3667" s="22" t="s">
        <v>2702</v>
      </c>
      <c r="I3667" s="26">
        <v>43717.695833333302</v>
      </c>
      <c r="J3667" s="23" t="str">
        <f>HYPERLINK("https://www.spark-marketing.ru/Card/Person/3954292", "Пуканюк Галина Михайловна")</f>
        <v>Пуканюк Галина Михайловна</v>
      </c>
      <c r="K3667" s="24" t="s">
        <v>6150</v>
      </c>
      <c r="L3667" s="22" t="s">
        <v>10</v>
      </c>
      <c r="M3667" s="25">
        <v>790.81</v>
      </c>
      <c r="N3667" s="27">
        <v>0.99176619196191418</v>
      </c>
    </row>
    <row r="3668" spans="1:14" x14ac:dyDescent="0.15">
      <c r="A3668" s="23" t="str">
        <f>HYPERLINK("https://www.spark-marketing.ru/Card/Person/55258", "ГЛАВНОЕ УПРАВЛЕНИЕ МЧС РОССИИ ПО ВОЛГОГРАДСКОЙ ОБЛАСТИ")</f>
        <v>ГЛАВНОЕ УПРАВЛЕНИЕ МЧС РОССИИ ПО ВОЛГОГРАДСКОЙ ОБЛАСТИ</v>
      </c>
      <c r="B3668" s="24" t="s">
        <v>6151</v>
      </c>
      <c r="C3668" s="25">
        <v>1000000</v>
      </c>
      <c r="D3668" s="22" t="s">
        <v>6152</v>
      </c>
      <c r="E3668" s="22" t="s">
        <v>48</v>
      </c>
      <c r="F3668" s="23" t="str">
        <f>HYPERLINK("https://www.spark-marketing.ru/Card/Lot/73305980", "Оказание услуг по обеспечению питанием")</f>
        <v>Оказание услуг по обеспечению питанием</v>
      </c>
      <c r="G3668" s="22" t="s">
        <v>158</v>
      </c>
      <c r="H3668" s="22" t="s">
        <v>171</v>
      </c>
      <c r="I3668" s="26">
        <v>43717.632638888899</v>
      </c>
      <c r="J3668" s="28" t="s">
        <v>51</v>
      </c>
      <c r="K3668" s="28" t="s">
        <v>51</v>
      </c>
      <c r="L3668" s="28" t="s">
        <v>51</v>
      </c>
      <c r="M3668" s="28" t="s">
        <v>51</v>
      </c>
      <c r="N3668" s="28" t="s">
        <v>51</v>
      </c>
    </row>
    <row r="3669" spans="1:14" ht="12.75" hidden="1" outlineLevel="1" x14ac:dyDescent="0.2">
      <c r="A3669" s="23" t="str">
        <f>HYPERLINK("https://www.spark-marketing.ru/Card/Person/55258", "ГЛАВНОЕ УПРАВЛЕНИЕ МЧС РОССИИ ПО ВОЛГОГРАДСКОЙ ОБЛАСТИ")</f>
        <v>ГЛАВНОЕ УПРАВЛЕНИЕ МЧС РОССИИ ПО ВОЛГОГРАДСКОЙ ОБЛАСТИ</v>
      </c>
      <c r="B3669" s="24" t="s">
        <v>6151</v>
      </c>
      <c r="C3669" s="25">
        <v>1000000</v>
      </c>
      <c r="D3669" s="22" t="s">
        <v>6152</v>
      </c>
      <c r="E3669" s="22" t="s">
        <v>48</v>
      </c>
      <c r="F3669" s="23" t="str">
        <f>HYPERLINK("https://www.spark-marketing.ru/Card/Lot/73305980", "Оказание услуг по обеспечению питанием")</f>
        <v>Оказание услуг по обеспечению питанием</v>
      </c>
      <c r="G3669" s="22" t="s">
        <v>158</v>
      </c>
      <c r="H3669" s="22" t="s">
        <v>171</v>
      </c>
      <c r="I3669" s="26">
        <v>43717.632638888899</v>
      </c>
      <c r="J3669" s="23" t="str">
        <f>HYPERLINK("https://www.spark-marketing.ru/Card/Person/6059347", "Цуцунава Владимир Степанович")</f>
        <v>Цуцунава Владимир Степанович</v>
      </c>
      <c r="K3669" s="24" t="s">
        <v>5859</v>
      </c>
      <c r="L3669" s="22" t="s">
        <v>10</v>
      </c>
      <c r="M3669" s="25">
        <v>447.75</v>
      </c>
      <c r="N3669" s="27">
        <v>0.99955225000000003</v>
      </c>
    </row>
    <row r="3670" spans="1:14" hidden="1" outlineLevel="1" x14ac:dyDescent="0.2">
      <c r="A3670" s="23" t="str">
        <f>HYPERLINK("https://www.spark-marketing.ru/Card/Person/55258", "ГЛАВНОЕ УПРАВЛЕНИЕ МЧС РОССИИ ПО ВОЛГОГРАДСКОЙ ОБЛАСТИ")</f>
        <v>ГЛАВНОЕ УПРАВЛЕНИЕ МЧС РОССИИ ПО ВОЛГОГРАДСКОЙ ОБЛАСТИ</v>
      </c>
      <c r="B3670" s="24" t="s">
        <v>6151</v>
      </c>
      <c r="C3670" s="25">
        <v>1000000</v>
      </c>
      <c r="D3670" s="22" t="s">
        <v>6152</v>
      </c>
      <c r="E3670" s="22" t="s">
        <v>48</v>
      </c>
      <c r="F3670" s="23" t="str">
        <f>HYPERLINK("https://www.spark-marketing.ru/Card/Lot/73305980", "Оказание услуг по обеспечению питанием")</f>
        <v>Оказание услуг по обеспечению питанием</v>
      </c>
      <c r="G3670" s="22" t="s">
        <v>158</v>
      </c>
      <c r="H3670" s="22" t="s">
        <v>171</v>
      </c>
      <c r="I3670" s="26">
        <v>43717.632638888899</v>
      </c>
      <c r="J3670" s="23" t="str">
        <f>HYPERLINK("https://www.spark-marketing.ru/Card/Person/6639875", "ООО ""ПИФАГОР""")</f>
        <v>ООО "ПИФАГОР"</v>
      </c>
      <c r="K3670" s="24" t="s">
        <v>6153</v>
      </c>
      <c r="L3670" s="28" t="s">
        <v>51</v>
      </c>
      <c r="M3670" s="25">
        <v>447.75</v>
      </c>
      <c r="N3670" s="27">
        <v>0.99955225000000003</v>
      </c>
    </row>
    <row r="3671" spans="1:14" x14ac:dyDescent="0.15">
      <c r="A3671" s="23" t="str">
        <f>HYPERLINK("https://www.spark-marketing.ru/Card/Person/166040", "МО МВД РОССИИ ""ТОПЧИХИНСКИЙ""")</f>
        <v>МО МВД РОССИИ "ТОПЧИХИНСКИЙ"</v>
      </c>
      <c r="B3671" s="24" t="s">
        <v>6154</v>
      </c>
      <c r="C3671" s="25">
        <v>241800</v>
      </c>
      <c r="D3671" s="22" t="s">
        <v>6155</v>
      </c>
      <c r="E3671" s="22" t="s">
        <v>48</v>
      </c>
      <c r="F3671" s="23" t="str">
        <f>HYPERLINK("https://www.spark-marketing.ru/Card/Lot/73301586", "Питание ИВС")</f>
        <v>Питание ИВС</v>
      </c>
      <c r="G3671" s="22" t="s">
        <v>63</v>
      </c>
      <c r="H3671" s="22" t="s">
        <v>6156</v>
      </c>
      <c r="I3671" s="26">
        <v>43717.655555555597</v>
      </c>
      <c r="J3671" s="23" t="str">
        <f>HYPERLINK("https://www.spark-marketing.ru/Card/Person/193114", "ООО ""НИВА""")</f>
        <v>ООО "НИВА"</v>
      </c>
      <c r="K3671" s="24" t="s">
        <v>6157</v>
      </c>
      <c r="L3671" s="22" t="s">
        <v>10</v>
      </c>
      <c r="M3671" s="28" t="s">
        <v>51</v>
      </c>
      <c r="N3671" s="28" t="s">
        <v>51</v>
      </c>
    </row>
    <row r="3672" spans="1:14" x14ac:dyDescent="0.15">
      <c r="A3672" s="23" t="str">
        <f>HYPERLINK("https://www.spark-marketing.ru/Card/Person/551385", "ОМВД РОССИИ ПО ПОРОНАЙСКОМУ ГОРОДСКОМУ ОКРУГУ")</f>
        <v>ОМВД РОССИИ ПО ПОРОНАЙСКОМУ ГОРОДСКОМУ ОКРУГУ</v>
      </c>
      <c r="B3672" s="24" t="s">
        <v>6158</v>
      </c>
      <c r="C3672" s="25">
        <v>1525000</v>
      </c>
      <c r="D3672" s="22" t="s">
        <v>6159</v>
      </c>
      <c r="E3672" s="22" t="s">
        <v>48</v>
      </c>
      <c r="F3672" s="23" t="str">
        <f>HYPERLINK("https://www.spark-marketing.ru/Card/Lot/73292802", "Услуги по приготовлению питания")</f>
        <v>Услуги по приготовлению питания</v>
      </c>
      <c r="G3672" s="22" t="s">
        <v>260</v>
      </c>
      <c r="H3672" s="22" t="s">
        <v>260</v>
      </c>
      <c r="I3672" s="26">
        <v>43717.65</v>
      </c>
      <c r="J3672" s="23" t="str">
        <f>HYPERLINK("https://www.spark-marketing.ru/Card/Person/58078", "ГБПОУ СПЦ № 3")</f>
        <v>ГБПОУ СПЦ № 3</v>
      </c>
      <c r="K3672" s="24" t="s">
        <v>6160</v>
      </c>
      <c r="L3672" s="22" t="s">
        <v>10</v>
      </c>
      <c r="M3672" s="28" t="s">
        <v>51</v>
      </c>
      <c r="N3672" s="28" t="s">
        <v>51</v>
      </c>
    </row>
    <row r="3673" spans="1:14" x14ac:dyDescent="0.15">
      <c r="A3673" s="23" t="str">
        <f>HYPERLINK("https://www.spark-marketing.ru/Card/Person/9777", "ОМВД РОССИИ ПО ДЗЕРЖИНСКОМУ РАЙОНУ")</f>
        <v>ОМВД РОССИИ ПО ДЗЕРЖИНСКОМУ РАЙОНУ</v>
      </c>
      <c r="B3673" s="24" t="s">
        <v>6138</v>
      </c>
      <c r="C3673" s="25">
        <v>520000</v>
      </c>
      <c r="D3673" s="22" t="s">
        <v>6161</v>
      </c>
      <c r="E3673" s="22" t="s">
        <v>48</v>
      </c>
      <c r="F3673" s="23" t="str">
        <f>HYPERLINK("https://www.spark-marketing.ru/Card/Lot/73311606",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3673" s="22" t="s">
        <v>112</v>
      </c>
      <c r="H3673" s="22" t="s">
        <v>1115</v>
      </c>
      <c r="I3673" s="26">
        <v>43717.640277777798</v>
      </c>
      <c r="J3673" s="28" t="s">
        <v>51</v>
      </c>
      <c r="K3673" s="28" t="s">
        <v>51</v>
      </c>
      <c r="L3673" s="28" t="s">
        <v>51</v>
      </c>
      <c r="M3673" s="28" t="s">
        <v>51</v>
      </c>
      <c r="N3673" s="28" t="s">
        <v>51</v>
      </c>
    </row>
    <row r="3674" spans="1:14" ht="12.75" hidden="1" outlineLevel="1" x14ac:dyDescent="0.2">
      <c r="A3674" s="23" t="str">
        <f>HYPERLINK("https://www.spark-marketing.ru/Card/Person/9777", "ОМВД РОССИИ ПО ДЗЕРЖИНСКОМУ РАЙОНУ")</f>
        <v>ОМВД РОССИИ ПО ДЗЕРЖИНСКОМУ РАЙОНУ</v>
      </c>
      <c r="B3674" s="24" t="s">
        <v>6138</v>
      </c>
      <c r="C3674" s="25">
        <v>520000</v>
      </c>
      <c r="D3674" s="22" t="s">
        <v>6161</v>
      </c>
      <c r="E3674" s="22" t="s">
        <v>48</v>
      </c>
      <c r="F3674" s="23" t="str">
        <f>HYPERLINK("https://www.spark-marketing.ru/Card/Lot/73311606",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3674" s="22" t="s">
        <v>112</v>
      </c>
      <c r="H3674" s="22" t="s">
        <v>1115</v>
      </c>
      <c r="I3674" s="26">
        <v>43717.640277777798</v>
      </c>
      <c r="J3674" s="23" t="str">
        <f>HYPERLINK("https://www.spark-marketing.ru/Card/Person/4916563", "Халилов Арастун Алхады Оглы")</f>
        <v>Халилов Арастун Алхады Оглы</v>
      </c>
      <c r="K3674" s="24" t="s">
        <v>6140</v>
      </c>
      <c r="L3674" s="22" t="s">
        <v>10</v>
      </c>
      <c r="M3674" s="25">
        <v>430500</v>
      </c>
      <c r="N3674" s="27">
        <v>0.17211538461538461</v>
      </c>
    </row>
    <row r="3675" spans="1:14" hidden="1" outlineLevel="1" x14ac:dyDescent="0.2">
      <c r="A3675" s="23" t="str">
        <f>HYPERLINK("https://www.spark-marketing.ru/Card/Person/9777", "ОМВД РОССИИ ПО ДЗЕРЖИНСКОМУ РАЙОНУ")</f>
        <v>ОМВД РОССИИ ПО ДЗЕРЖИНСКОМУ РАЙОНУ</v>
      </c>
      <c r="B3675" s="24" t="s">
        <v>6138</v>
      </c>
      <c r="C3675" s="25">
        <v>520000</v>
      </c>
      <c r="D3675" s="22" t="s">
        <v>6161</v>
      </c>
      <c r="E3675" s="22" t="s">
        <v>48</v>
      </c>
      <c r="F3675" s="23" t="str">
        <f>HYPERLINK("https://www.spark-marketing.ru/Card/Lot/73311606",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3675" s="22" t="s">
        <v>112</v>
      </c>
      <c r="H3675" s="22" t="s">
        <v>1115</v>
      </c>
      <c r="I3675" s="26">
        <v>43717.640277777798</v>
      </c>
      <c r="J3675" s="23" t="str">
        <f>HYPERLINK("https://www.spark-marketing.ru/Card/Person/1251208", "ООО ""КАСКАД""")</f>
        <v>ООО "КАСКАД"</v>
      </c>
      <c r="K3675" s="24" t="s">
        <v>6141</v>
      </c>
      <c r="L3675" s="28" t="s">
        <v>51</v>
      </c>
      <c r="M3675" s="25">
        <v>433100</v>
      </c>
      <c r="N3675" s="27">
        <v>0.16711538461538461</v>
      </c>
    </row>
    <row r="3676" spans="1:14" x14ac:dyDescent="0.15">
      <c r="A3676" s="23" t="str">
        <f>HYPERLINK("https://www.spark-marketing.ru/Card/Person/1033958", "МБДОУ ДЕТСКИЙ САД ОБЩЕРАЗВИВАЮЩЕГО ВИДА №23 ""ДЕЛЬФИНЕНОК""")</f>
        <v>МБДОУ ДЕТСКИЙ САД ОБЩЕРАЗВИВАЮЩЕГО ВИДА №23 "ДЕЛЬФИНЕНОК"</v>
      </c>
      <c r="B3676" s="24" t="s">
        <v>6162</v>
      </c>
      <c r="C3676" s="25">
        <v>228150</v>
      </c>
      <c r="D3676" s="22" t="s">
        <v>6163</v>
      </c>
      <c r="E3676" s="22" t="s">
        <v>48</v>
      </c>
      <c r="F3676" s="23" t="str">
        <f>HYPERLINK("https://www.spark-marketing.ru/Card/Lot/73304882",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3676" s="22" t="s">
        <v>49</v>
      </c>
      <c r="H3676" s="22" t="s">
        <v>50</v>
      </c>
      <c r="I3676" s="26">
        <v>43717.659236111103</v>
      </c>
      <c r="J3676" s="28" t="s">
        <v>51</v>
      </c>
      <c r="K3676" s="28" t="s">
        <v>51</v>
      </c>
      <c r="L3676" s="28" t="s">
        <v>51</v>
      </c>
      <c r="M3676" s="28" t="s">
        <v>51</v>
      </c>
      <c r="N3676" s="28" t="s">
        <v>51</v>
      </c>
    </row>
    <row r="3677" spans="1:14" x14ac:dyDescent="0.15">
      <c r="A3677" s="23" t="str">
        <f>HYPERLINK("https://www.spark-marketing.ru/Card/Person/41097", "МУ МВД РОССИИ ""КРАСНОЯРСКОЕ""")</f>
        <v>МУ МВД РОССИИ "КРАСНОЯРСКОЕ"</v>
      </c>
      <c r="B3677" s="24" t="s">
        <v>647</v>
      </c>
      <c r="C3677" s="25">
        <v>12552060</v>
      </c>
      <c r="D3677" s="22" t="s">
        <v>6164</v>
      </c>
      <c r="E3677" s="22" t="s">
        <v>48</v>
      </c>
      <c r="F3677" s="23" t="str">
        <f>HYPERLINK("https://www.spark-marketing.ru/Card/Lot/73302234", "Оказание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«Красноярское».")</f>
        <v>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</v>
      </c>
      <c r="G3677" s="22" t="s">
        <v>281</v>
      </c>
      <c r="H3677" s="22" t="s">
        <v>281</v>
      </c>
      <c r="I3677" s="26">
        <v>43717.633333333302</v>
      </c>
      <c r="J3677" s="28" t="s">
        <v>51</v>
      </c>
      <c r="K3677" s="28" t="s">
        <v>51</v>
      </c>
      <c r="L3677" s="28" t="s">
        <v>51</v>
      </c>
      <c r="M3677" s="28" t="s">
        <v>51</v>
      </c>
      <c r="N3677" s="28" t="s">
        <v>51</v>
      </c>
    </row>
    <row r="3678" spans="1:14" ht="12.75" hidden="1" outlineLevel="1" x14ac:dyDescent="0.2">
      <c r="A3678" s="23" t="str">
        <f>HYPERLINK("https://www.spark-marketing.ru/Card/Person/41097", "МУ МВД РОССИИ ""КРАСНОЯРСКОЕ""")</f>
        <v>МУ МВД РОССИИ "КРАСНОЯРСКОЕ"</v>
      </c>
      <c r="B3678" s="24" t="s">
        <v>647</v>
      </c>
      <c r="C3678" s="25">
        <v>12552060</v>
      </c>
      <c r="D3678" s="22" t="s">
        <v>6164</v>
      </c>
      <c r="E3678" s="22" t="s">
        <v>48</v>
      </c>
      <c r="F3678" s="23" t="str">
        <f>HYPERLINK("https://www.spark-marketing.ru/Card/Lot/73302234", "Оказание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«Красноярское».")</f>
        <v>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</v>
      </c>
      <c r="G3678" s="22" t="s">
        <v>281</v>
      </c>
      <c r="H3678" s="22" t="s">
        <v>281</v>
      </c>
      <c r="I3678" s="26">
        <v>43717.633333333302</v>
      </c>
      <c r="J3678" s="23" t="str">
        <f>HYPERLINK("https://www.spark-marketing.ru/Card/Person/6456373", "ООО ""ТЭКО""")</f>
        <v>ООО "ТЭКО"</v>
      </c>
      <c r="K3678" s="24" t="s">
        <v>2486</v>
      </c>
      <c r="L3678" s="22" t="s">
        <v>10</v>
      </c>
      <c r="M3678" s="25">
        <v>1067</v>
      </c>
      <c r="N3678" s="27">
        <v>0.999914994032852</v>
      </c>
    </row>
    <row r="3679" spans="1:14" hidden="1" outlineLevel="1" x14ac:dyDescent="0.2">
      <c r="A3679" s="23" t="str">
        <f>HYPERLINK("https://www.spark-marketing.ru/Card/Person/41097", "МУ МВД РОССИИ ""КРАСНОЯРСКОЕ""")</f>
        <v>МУ МВД РОССИИ "КРАСНОЯРСКОЕ"</v>
      </c>
      <c r="B3679" s="24" t="s">
        <v>647</v>
      </c>
      <c r="C3679" s="25">
        <v>12552060</v>
      </c>
      <c r="D3679" s="22" t="s">
        <v>6164</v>
      </c>
      <c r="E3679" s="22" t="s">
        <v>48</v>
      </c>
      <c r="F3679" s="23" t="str">
        <f>HYPERLINK("https://www.spark-marketing.ru/Card/Lot/73302234", "Оказание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«Красноярское».")</f>
        <v>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</v>
      </c>
      <c r="G3679" s="22" t="s">
        <v>281</v>
      </c>
      <c r="H3679" s="22" t="s">
        <v>281</v>
      </c>
      <c r="I3679" s="26">
        <v>43717.633333333302</v>
      </c>
      <c r="J3679" s="23" t="str">
        <f>HYPERLINK("https://www.spark-marketing.ru/Card/Person/5910323", "Федорова Елена Владимировна")</f>
        <v>Федорова Елена Владимировна</v>
      </c>
      <c r="K3679" s="24" t="s">
        <v>2487</v>
      </c>
      <c r="L3679" s="28" t="s">
        <v>51</v>
      </c>
      <c r="M3679" s="25">
        <v>1067</v>
      </c>
      <c r="N3679" s="27">
        <v>0.999914994032852</v>
      </c>
    </row>
    <row r="3680" spans="1:14" x14ac:dyDescent="0.15">
      <c r="A3680" s="23" t="str">
        <f>HYPERLINK("https://www.spark-marketing.ru/Card/Person/108558", "МУ МВД РОССИИ ""ЯКУТСКОЕ""")</f>
        <v>МУ МВД РОССИИ "ЯКУТСКОЕ"</v>
      </c>
      <c r="B3680" s="24" t="s">
        <v>6165</v>
      </c>
      <c r="C3680" s="25">
        <v>298025</v>
      </c>
      <c r="D3680" s="22" t="s">
        <v>6166</v>
      </c>
      <c r="E3680" s="22" t="s">
        <v>48</v>
      </c>
      <c r="F3680" s="23" t="str">
        <f>HYPERLINK("https://www.spark-marketing.ru/Card/Lot/73294956", "Оказание услуг по приготовлению и поставке горячего питания для лиц, содержащихся в Изоляторе временного содержания МУ МВД России «Якутское» на 2020-2021 годы")</f>
        <v>Оказание услуг по приготовлению и поставке горячего питания для лиц, содержащихся в Изоляторе временного содержания МУ МВД России «Якутское» на 2020-2021 годы</v>
      </c>
      <c r="G3680" s="22" t="s">
        <v>241</v>
      </c>
      <c r="H3680" s="22" t="s">
        <v>242</v>
      </c>
      <c r="I3680" s="26">
        <v>43717.6069444444</v>
      </c>
      <c r="J3680" s="28" t="s">
        <v>51</v>
      </c>
      <c r="K3680" s="28" t="s">
        <v>51</v>
      </c>
      <c r="L3680" s="28" t="s">
        <v>51</v>
      </c>
      <c r="M3680" s="28" t="s">
        <v>51</v>
      </c>
      <c r="N3680" s="28" t="s">
        <v>51</v>
      </c>
    </row>
    <row r="3681" spans="1:14" x14ac:dyDescent="0.15">
      <c r="A3681" s="23" t="str">
        <f>HYPERLINK("https://www.spark-marketing.ru/Card/Person/6073672", "ООО ""РН-БГПП""")</f>
        <v>ООО "РН-БГПП"</v>
      </c>
      <c r="B3681" s="24" t="s">
        <v>4192</v>
      </c>
      <c r="C3681" s="28" t="s">
        <v>51</v>
      </c>
      <c r="D3681" s="22" t="s">
        <v>6167</v>
      </c>
      <c r="E3681" s="22" t="s">
        <v>3561</v>
      </c>
      <c r="F3681" s="23" t="str">
        <f>HYPERLINK("https://www.spark-marketing.ru/Card/Lot/73302878", "оказание информационно-консультационных услуг по формированию здоровых привычек в питании в рамках программы ""Живите дольше"" в ООО ""РН-БГПП"" 2019г.")</f>
        <v>оказание информационно-консультационных услуг по формированию здоровых привычек в питании в рамках программы "Живите дольше" в ООО "РН-БГПП" 2019г.</v>
      </c>
      <c r="G3681" s="22" t="s">
        <v>132</v>
      </c>
      <c r="H3681" s="22" t="s">
        <v>133</v>
      </c>
      <c r="I3681" s="26">
        <v>43717.607638888898</v>
      </c>
      <c r="J3681" s="28" t="s">
        <v>51</v>
      </c>
      <c r="K3681" s="28" t="s">
        <v>51</v>
      </c>
      <c r="L3681" s="28" t="s">
        <v>51</v>
      </c>
      <c r="M3681" s="28" t="s">
        <v>51</v>
      </c>
      <c r="N3681" s="28" t="s">
        <v>51</v>
      </c>
    </row>
    <row r="3682" spans="1:14" x14ac:dyDescent="0.15">
      <c r="A3682" s="23" t="str">
        <f>HYPERLINK("https://www.spark-marketing.ru/Card/Person/4379690", "МО МВД РОССИИ ""ДАНКОВСКИЙ""")</f>
        <v>МО МВД РОССИИ "ДАНКОВСКИЙ"</v>
      </c>
      <c r="B3682" s="24" t="s">
        <v>6168</v>
      </c>
      <c r="C3682" s="25">
        <v>45000</v>
      </c>
      <c r="D3682" s="22" t="s">
        <v>6169</v>
      </c>
      <c r="E3682" s="22" t="s">
        <v>48</v>
      </c>
      <c r="F3682" s="23" t="str">
        <f>HYPERLINK("https://www.spark-marketing.ru/Card/Lot/73302439",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3682" s="22" t="s">
        <v>101</v>
      </c>
      <c r="H3682" s="22" t="s">
        <v>6170</v>
      </c>
      <c r="I3682" s="26">
        <v>43717.619398148097</v>
      </c>
      <c r="J3682" s="28" t="s">
        <v>51</v>
      </c>
      <c r="K3682" s="28" t="s">
        <v>51</v>
      </c>
      <c r="L3682" s="28" t="s">
        <v>51</v>
      </c>
      <c r="M3682" s="28" t="s">
        <v>51</v>
      </c>
      <c r="N3682" s="28" t="s">
        <v>51</v>
      </c>
    </row>
    <row r="3683" spans="1:14" x14ac:dyDescent="0.15">
      <c r="A3683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3683" s="24" t="s">
        <v>4496</v>
      </c>
      <c r="C3683" s="25">
        <v>410000</v>
      </c>
      <c r="D3683" s="22" t="s">
        <v>6171</v>
      </c>
      <c r="E3683" s="22" t="s">
        <v>48</v>
      </c>
      <c r="F3683" s="23" t="str">
        <f>HYPERLINK("https://www.spark-marketing.ru/Card/Lot/73305408", "Обеспечение горячим питанием арестованных и задержанных в 2021 году")</f>
        <v>Обеспечение горячим питанием арестованных и задержанных в 2021 году</v>
      </c>
      <c r="G3683" s="22" t="s">
        <v>469</v>
      </c>
      <c r="H3683" s="22" t="s">
        <v>469</v>
      </c>
      <c r="I3683" s="26">
        <v>43717.615277777797</v>
      </c>
      <c r="J3683" s="28" t="s">
        <v>51</v>
      </c>
      <c r="K3683" s="28" t="s">
        <v>51</v>
      </c>
      <c r="L3683" s="28" t="s">
        <v>51</v>
      </c>
      <c r="M3683" s="28" t="s">
        <v>51</v>
      </c>
      <c r="N3683" s="28" t="s">
        <v>51</v>
      </c>
    </row>
    <row r="3684" spans="1:14" x14ac:dyDescent="0.15">
      <c r="A3684" s="23" t="str">
        <f>HYPERLINK("https://www.spark-marketing.ru/Card/Person/4679", "ОМВД РОССИИ ПО НАДЫМСКОМУ РАЙОНУ")</f>
        <v>ОМВД РОССИИ ПО НАДЫМСКОМУ РАЙОНУ</v>
      </c>
      <c r="B3684" s="24" t="s">
        <v>4091</v>
      </c>
      <c r="C3684" s="25">
        <v>1093236.3400000001</v>
      </c>
      <c r="D3684" s="22" t="s">
        <v>6172</v>
      </c>
      <c r="E3684" s="22" t="s">
        <v>48</v>
      </c>
      <c r="F3684" s="23" t="str">
        <f>HYPERLINK("https://www.spark-marketing.ru/Card/Lot/73297711", "Оказание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району")</f>
        <v>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</v>
      </c>
      <c r="G3684" s="22" t="s">
        <v>1056</v>
      </c>
      <c r="H3684" s="22" t="s">
        <v>2702</v>
      </c>
      <c r="I3684" s="26">
        <v>43717.511805555601</v>
      </c>
      <c r="J3684" s="28" t="s">
        <v>51</v>
      </c>
      <c r="K3684" s="28" t="s">
        <v>51</v>
      </c>
      <c r="L3684" s="28" t="s">
        <v>51</v>
      </c>
      <c r="M3684" s="28" t="s">
        <v>51</v>
      </c>
      <c r="N3684" s="28" t="s">
        <v>51</v>
      </c>
    </row>
    <row r="3685" spans="1:14" hidden="1" outlineLevel="1" x14ac:dyDescent="0.2">
      <c r="A3685" s="23" t="str">
        <f>HYPERLINK("https://www.spark-marketing.ru/Card/Person/4679", "ОМВД РОССИИ ПО НАДЫМСКОМУ РАЙОНУ")</f>
        <v>ОМВД РОССИИ ПО НАДЫМСКОМУ РАЙОНУ</v>
      </c>
      <c r="B3685" s="24" t="s">
        <v>4091</v>
      </c>
      <c r="C3685" s="25">
        <v>1093236.3400000001</v>
      </c>
      <c r="D3685" s="22" t="s">
        <v>6172</v>
      </c>
      <c r="E3685" s="22" t="s">
        <v>48</v>
      </c>
      <c r="F3685" s="23" t="str">
        <f>HYPERLINK("https://www.spark-marketing.ru/Card/Lot/73297711", "Оказание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району")</f>
        <v>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</v>
      </c>
      <c r="G3685" s="22" t="s">
        <v>1056</v>
      </c>
      <c r="H3685" s="22" t="s">
        <v>2702</v>
      </c>
      <c r="I3685" s="26">
        <v>43717.511805555601</v>
      </c>
      <c r="J3685" s="23" t="str">
        <f>HYPERLINK("https://www.spark-marketing.ru/Card/Person/76164", "Гусак Жанна Алексеевна")</f>
        <v>Гусак Жанна Алексеевна</v>
      </c>
      <c r="K3685" s="24" t="s">
        <v>6149</v>
      </c>
      <c r="L3685" s="28" t="s">
        <v>51</v>
      </c>
      <c r="M3685" s="25">
        <v>1617.79</v>
      </c>
      <c r="N3685" s="27">
        <v>0.99852018274474852</v>
      </c>
    </row>
    <row r="3686" spans="1:14" ht="12.75" hidden="1" outlineLevel="1" x14ac:dyDescent="0.2">
      <c r="A3686" s="23" t="str">
        <f>HYPERLINK("https://www.spark-marketing.ru/Card/Person/4679", "ОМВД РОССИИ ПО НАДЫМСКОМУ РАЙОНУ")</f>
        <v>ОМВД РОССИИ ПО НАДЫМСКОМУ РАЙОНУ</v>
      </c>
      <c r="B3686" s="24" t="s">
        <v>4091</v>
      </c>
      <c r="C3686" s="25">
        <v>1093236.3400000001</v>
      </c>
      <c r="D3686" s="22" t="s">
        <v>6172</v>
      </c>
      <c r="E3686" s="22" t="s">
        <v>48</v>
      </c>
      <c r="F3686" s="23" t="str">
        <f>HYPERLINK("https://www.spark-marketing.ru/Card/Lot/73297711", "Оказание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району")</f>
        <v>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</v>
      </c>
      <c r="G3686" s="22" t="s">
        <v>1056</v>
      </c>
      <c r="H3686" s="22" t="s">
        <v>2702</v>
      </c>
      <c r="I3686" s="26">
        <v>43717.511805555601</v>
      </c>
      <c r="J3686" s="23" t="str">
        <f>HYPERLINK("https://www.spark-marketing.ru/Card/Person/3954292", "Пуканюк Галина Михайловна")</f>
        <v>Пуканюк Галина Михайловна</v>
      </c>
      <c r="K3686" s="24" t="s">
        <v>6150</v>
      </c>
      <c r="L3686" s="22" t="s">
        <v>10</v>
      </c>
      <c r="M3686" s="25">
        <v>1605.9</v>
      </c>
      <c r="N3686" s="27">
        <v>0.99853105870959247</v>
      </c>
    </row>
    <row r="3687" spans="1:14" x14ac:dyDescent="0.15">
      <c r="A3687" s="23" t="str">
        <f>HYPERLINK("https://www.spark-marketing.ru/Card/Person/1058995", "МБОУ ""ТОГУРСКАЯ СОШ""")</f>
        <v>МБОУ "ТОГУРСКАЯ СОШ"</v>
      </c>
      <c r="B3687" s="24" t="s">
        <v>147</v>
      </c>
      <c r="C3687" s="25">
        <v>500000</v>
      </c>
      <c r="D3687" s="22" t="s">
        <v>6173</v>
      </c>
      <c r="E3687" s="22" t="s">
        <v>48</v>
      </c>
      <c r="F3687" s="23" t="str">
        <f>HYPERLINK("https://www.spark-marketing.ru/Card/Lot/73305702", "Услуги по организации питания в школьной столовой обучающихся детей льготных категорий в МБОУ ""Тогурская СОШ""")</f>
        <v>Услуги по организации питания в школьной столовой обучающихся детей льготных категорий в МБОУ "Тогурская СОШ"</v>
      </c>
      <c r="G3687" s="22" t="s">
        <v>149</v>
      </c>
      <c r="H3687" s="22" t="s">
        <v>149</v>
      </c>
      <c r="I3687" s="26">
        <v>43717.675694444399</v>
      </c>
      <c r="J3687" s="23" t="str">
        <f>HYPERLINK("https://www.spark-marketing.ru/Card/Person/841451", "Пфафенрот Наталия Александровна")</f>
        <v>Пфафенрот Наталия Александровна</v>
      </c>
      <c r="K3687" s="24" t="s">
        <v>6174</v>
      </c>
      <c r="L3687" s="28" t="s">
        <v>51</v>
      </c>
      <c r="M3687" s="28" t="s">
        <v>51</v>
      </c>
      <c r="N3687" s="28" t="s">
        <v>51</v>
      </c>
    </row>
    <row r="3688" spans="1:14" x14ac:dyDescent="0.15">
      <c r="A3688" s="23" t="str">
        <f>HYPERLINK("https://www.spark-marketing.ru/Card/Person/6086", "ГКУ ""ДИРЕКЦИЯ ОДОТСЗН Г. МОСКВЫ""")</f>
        <v>ГКУ "ДИРЕКЦИЯ ОДОТСЗН Г. МОСКВЫ"</v>
      </c>
      <c r="B3688" s="24" t="s">
        <v>164</v>
      </c>
      <c r="C3688" s="25">
        <v>8874824.1199999992</v>
      </c>
      <c r="D3688" s="22" t="s">
        <v>6175</v>
      </c>
      <c r="E3688" s="22" t="s">
        <v>96</v>
      </c>
      <c r="F3688" s="23" t="str">
        <f>HYPERLINK("https://www.spark-marketing.ru/Card/Lot/73313726", "Организация горячего питания в ГБУ ПНИ № 4 в 2019 году (226-19-4-5)")</f>
        <v>Организация горячего питания в ГБУ ПНИ № 4 в 2019 году (226-19-4-5)</v>
      </c>
      <c r="G3688" s="22" t="s">
        <v>56</v>
      </c>
      <c r="H3688" s="22" t="s">
        <v>56</v>
      </c>
      <c r="I3688" s="26">
        <v>43717.518750000003</v>
      </c>
      <c r="J3688" s="28" t="s">
        <v>51</v>
      </c>
      <c r="K3688" s="28" t="s">
        <v>51</v>
      </c>
      <c r="L3688" s="28" t="s">
        <v>51</v>
      </c>
      <c r="M3688" s="28" t="s">
        <v>51</v>
      </c>
      <c r="N3688" s="28" t="s">
        <v>51</v>
      </c>
    </row>
    <row r="3689" spans="1:14" hidden="1" outlineLevel="1" x14ac:dyDescent="0.2">
      <c r="A3689" s="23" t="str">
        <f>HYPERLINK("https://www.spark-marketing.ru/Card/Person/6086", "ГКУ ""ДИРЕКЦИЯ ОДОТСЗН Г. МОСКВЫ""")</f>
        <v>ГКУ "ДИРЕКЦИЯ ОДОТСЗН Г. МОСКВЫ"</v>
      </c>
      <c r="B3689" s="24" t="s">
        <v>164</v>
      </c>
      <c r="C3689" s="25">
        <v>8874824.1199999992</v>
      </c>
      <c r="D3689" s="22" t="s">
        <v>6175</v>
      </c>
      <c r="E3689" s="22" t="s">
        <v>96</v>
      </c>
      <c r="F3689" s="23" t="str">
        <f>HYPERLINK("https://www.spark-marketing.ru/Card/Lot/73313726", "Организация горячего питания в ГБУ ПНИ № 4 в 2019 году (226-19-4-5)")</f>
        <v>Организация горячего питания в ГБУ ПНИ № 4 в 2019 году (226-19-4-5)</v>
      </c>
      <c r="G3689" s="22" t="s">
        <v>56</v>
      </c>
      <c r="H3689" s="22" t="s">
        <v>56</v>
      </c>
      <c r="I3689" s="26">
        <v>43717.518750000003</v>
      </c>
      <c r="J3689" s="23" t="str">
        <f>HYPERLINK("https://www.spark-marketing.ru/Card/Person/6626150", "ООО ""РУС-ТРЕЙД""")</f>
        <v>ООО "РУС-ТРЕЙД"</v>
      </c>
      <c r="K3689" s="24" t="s">
        <v>6176</v>
      </c>
      <c r="L3689" s="28" t="s">
        <v>51</v>
      </c>
      <c r="M3689" s="25">
        <v>8768365.5</v>
      </c>
      <c r="N3689" s="27">
        <v>1.1995575186677616E-2</v>
      </c>
    </row>
    <row r="3690" spans="1:14" ht="12.75" hidden="1" outlineLevel="1" x14ac:dyDescent="0.2">
      <c r="A3690" s="23" t="str">
        <f>HYPERLINK("https://www.spark-marketing.ru/Card/Person/6086", "ГКУ ""ДИРЕКЦИЯ ОДОТСЗН Г. МОСКВЫ""")</f>
        <v>ГКУ "ДИРЕКЦИЯ ОДОТСЗН Г. МОСКВЫ"</v>
      </c>
      <c r="B3690" s="24" t="s">
        <v>164</v>
      </c>
      <c r="C3690" s="25">
        <v>8874824.1199999992</v>
      </c>
      <c r="D3690" s="22" t="s">
        <v>6175</v>
      </c>
      <c r="E3690" s="22" t="s">
        <v>96</v>
      </c>
      <c r="F3690" s="23" t="str">
        <f>HYPERLINK("https://www.spark-marketing.ru/Card/Lot/73313726", "Организация горячего питания в ГБУ ПНИ № 4 в 2019 году (226-19-4-5)")</f>
        <v>Организация горячего питания в ГБУ ПНИ № 4 в 2019 году (226-19-4-5)</v>
      </c>
      <c r="G3690" s="22" t="s">
        <v>56</v>
      </c>
      <c r="H3690" s="22" t="s">
        <v>56</v>
      </c>
      <c r="I3690" s="26">
        <v>43717.518750000003</v>
      </c>
      <c r="J3690" s="23" t="str">
        <f>HYPERLINK("https://www.spark-marketing.ru/Card/Person/4438030", "ООО ""ЕСП-СЕРВИС""")</f>
        <v>ООО "ЕСП-СЕРВИС"</v>
      </c>
      <c r="K3690" s="24" t="s">
        <v>6177</v>
      </c>
      <c r="L3690" s="22" t="s">
        <v>10</v>
      </c>
      <c r="M3690" s="25">
        <v>8253586</v>
      </c>
      <c r="N3690" s="27">
        <v>7.0000048631949682E-2</v>
      </c>
    </row>
    <row r="3691" spans="1:14" x14ac:dyDescent="0.15">
      <c r="A3691" s="23" t="str">
        <f>HYPERLINK("https://www.spark-marketing.ru/Card/Person/242935", "ГБУ НСО ""ЦМТ""")</f>
        <v>ГБУ НСО "ЦМТ"</v>
      </c>
      <c r="B3691" s="24" t="s">
        <v>4918</v>
      </c>
      <c r="C3691" s="25">
        <v>245000</v>
      </c>
      <c r="D3691" s="22" t="s">
        <v>6178</v>
      </c>
      <c r="E3691" s="22" t="s">
        <v>1632</v>
      </c>
      <c r="F3691" s="23" t="str">
        <f>HYPERLINK("https://www.spark-marketing.ru/Card/Lot/73295193", "оказание услуг по организации проживания и питания для участников тренинг-курса для организаторов образовательных мероприятий для молодежи")</f>
        <v>оказание услуг по организации проживания и питания для участников тренинг-курса для организаторов образовательных мероприятий для молодежи</v>
      </c>
      <c r="G3691" s="22" t="s">
        <v>195</v>
      </c>
      <c r="H3691" s="22" t="s">
        <v>6179</v>
      </c>
      <c r="I3691" s="26">
        <v>43717.529166666704</v>
      </c>
      <c r="J3691" s="23" t="str">
        <f>HYPERLINK("https://www.spark-marketing.ru/Card/Person/361852", "ООО ""САНАТОРИЙ РАССВЕТ""")</f>
        <v>ООО "САНАТОРИЙ РАССВЕТ"</v>
      </c>
      <c r="K3691" s="24" t="s">
        <v>6180</v>
      </c>
      <c r="L3691" s="28" t="s">
        <v>51</v>
      </c>
      <c r="M3691" s="28" t="s">
        <v>51</v>
      </c>
      <c r="N3691" s="28" t="s">
        <v>51</v>
      </c>
    </row>
    <row r="3692" spans="1:14" hidden="1" outlineLevel="1" x14ac:dyDescent="0.15">
      <c r="A3692" s="23" t="str">
        <f>HYPERLINK("https://www.spark-marketing.ru/Card/Person/242935", "ГБУ НСО ""ЦМТ""")</f>
        <v>ГБУ НСО "ЦМТ"</v>
      </c>
      <c r="B3692" s="24" t="s">
        <v>4918</v>
      </c>
      <c r="C3692" s="25">
        <v>245000</v>
      </c>
      <c r="D3692" s="22" t="s">
        <v>6178</v>
      </c>
      <c r="E3692" s="22" t="s">
        <v>1632</v>
      </c>
      <c r="F3692" s="23" t="str">
        <f>HYPERLINK("https://www.spark-marketing.ru/Card/Lot/73295193", "оказание услуг по организации проживания и питания для участников тренинг-курса для организаторов образовательных мероприятий для молодежи")</f>
        <v>оказание услуг по организации проживания и питания для участников тренинг-курса для организаторов образовательных мероприятий для молодежи</v>
      </c>
      <c r="G3692" s="22" t="s">
        <v>195</v>
      </c>
      <c r="H3692" s="22" t="s">
        <v>6179</v>
      </c>
      <c r="I3692" s="26">
        <v>43717.529166666704</v>
      </c>
      <c r="J3692" s="23" t="str">
        <f>HYPERLINK("https://www.spark-marketing.ru/Card/Person/361852", "ООО ""САНАТОРИЙ РАССВЕТ""")</f>
        <v>ООО "САНАТОРИЙ РАССВЕТ"</v>
      </c>
      <c r="K3692" s="24" t="s">
        <v>6180</v>
      </c>
      <c r="L3692" s="22" t="s">
        <v>10</v>
      </c>
      <c r="M3692" s="28" t="s">
        <v>51</v>
      </c>
      <c r="N3692" s="28" t="s">
        <v>51</v>
      </c>
    </row>
    <row r="3693" spans="1:14" x14ac:dyDescent="0.2">
      <c r="A3693" s="23" t="str">
        <f>HYPERLINK("https://www.spark-marketing.ru/Card/Person/734388", "МДОБУ ДЕТСКИЙ САД № 19 Г.БЕЛОРЕЦК")</f>
        <v>МДОБУ ДЕТСКИЙ САД № 19 Г.БЕЛОРЕЦК</v>
      </c>
      <c r="B3693" s="24" t="s">
        <v>6181</v>
      </c>
      <c r="C3693" s="25">
        <v>798330</v>
      </c>
      <c r="D3693" s="22" t="s">
        <v>6182</v>
      </c>
      <c r="E3693" s="22" t="s">
        <v>48</v>
      </c>
      <c r="F3693" s="23" t="str">
        <f>HYPERLINK("https://www.spark-marketing.ru/Card/Lot/73305645", "Оказание услуги по организации горячего питания")</f>
        <v>Оказание услуги по организации горячего питания</v>
      </c>
      <c r="G3693" s="22" t="s">
        <v>145</v>
      </c>
      <c r="H3693" s="22" t="s">
        <v>6054</v>
      </c>
      <c r="I3693" s="26">
        <v>43717.599999999999</v>
      </c>
      <c r="J3693" s="23" t="str">
        <f>HYPERLINK("https://www.spark-marketing.ru/Card/Person/91854", "ООО ""УП ""МЕТАЛЛУРГ""")</f>
        <v>ООО "УП "МЕТАЛЛУРГ"</v>
      </c>
      <c r="K3693" s="24" t="s">
        <v>6183</v>
      </c>
      <c r="L3693" s="28" t="s">
        <v>51</v>
      </c>
      <c r="M3693" s="25">
        <v>798330</v>
      </c>
      <c r="N3693" s="27">
        <v>0</v>
      </c>
    </row>
    <row r="3694" spans="1:14" x14ac:dyDescent="0.15">
      <c r="A3694" s="23" t="str">
        <f>HYPERLINK("https://www.spark-marketing.ru/Card/Person/63188", "ГБПОУ МО ""УОР № 2""")</f>
        <v>ГБПОУ МО "УОР № 2"</v>
      </c>
      <c r="B3694" s="24" t="s">
        <v>6184</v>
      </c>
      <c r="C3694" s="25">
        <v>4348800</v>
      </c>
      <c r="D3694" s="22" t="s">
        <v>6185</v>
      </c>
      <c r="E3694" s="22" t="s">
        <v>48</v>
      </c>
      <c r="F3694" s="23" t="str">
        <f>HYPERLINK("https://www.spark-marketing.ru/Card/Lot/73298755", "Питание лиц проходящих спортивную подготовку на 4 квартал 2019 года")</f>
        <v>Питание лиц проходящих спортивную подготовку на 4 квартал 2019 года</v>
      </c>
      <c r="G3694" s="22" t="s">
        <v>49</v>
      </c>
      <c r="H3694" s="22" t="s">
        <v>6186</v>
      </c>
      <c r="I3694" s="26">
        <v>43717.458333333299</v>
      </c>
      <c r="J3694" s="28" t="s">
        <v>51</v>
      </c>
      <c r="K3694" s="28" t="s">
        <v>51</v>
      </c>
      <c r="L3694" s="28" t="s">
        <v>51</v>
      </c>
      <c r="M3694" s="28" t="s">
        <v>51</v>
      </c>
      <c r="N3694" s="28" t="s">
        <v>51</v>
      </c>
    </row>
    <row r="3695" spans="1:14" hidden="1" outlineLevel="1" x14ac:dyDescent="0.2">
      <c r="A3695" s="23" t="str">
        <f>HYPERLINK("https://www.spark-marketing.ru/Card/Person/63188", "ГБПОУ МО ""УОР № 2""")</f>
        <v>ГБПОУ МО "УОР № 2"</v>
      </c>
      <c r="B3695" s="24" t="s">
        <v>6184</v>
      </c>
      <c r="C3695" s="25">
        <v>4348800</v>
      </c>
      <c r="D3695" s="22" t="s">
        <v>6185</v>
      </c>
      <c r="E3695" s="22" t="s">
        <v>48</v>
      </c>
      <c r="F3695" s="23" t="str">
        <f>HYPERLINK("https://www.spark-marketing.ru/Card/Lot/73298755", "Питание лиц проходящих спортивную подготовку на 4 квартал 2019 года")</f>
        <v>Питание лиц проходящих спортивную подготовку на 4 квартал 2019 года</v>
      </c>
      <c r="G3695" s="22" t="s">
        <v>49</v>
      </c>
      <c r="H3695" s="22" t="s">
        <v>6186</v>
      </c>
      <c r="I3695" s="26">
        <v>43717.458333333299</v>
      </c>
      <c r="J3695" s="23" t="str">
        <f>HYPERLINK("https://www.spark-marketing.ru/Card/Person/4858060", "ООО ""ЦАРСКИЙ ЛЕС""")</f>
        <v>ООО "ЦАРСКИЙ ЛЕС"</v>
      </c>
      <c r="K3695" s="24" t="s">
        <v>6187</v>
      </c>
      <c r="L3695" s="28" t="s">
        <v>51</v>
      </c>
      <c r="M3695" s="25">
        <v>4066128</v>
      </c>
      <c r="N3695" s="27">
        <v>6.5000000000000002E-2</v>
      </c>
    </row>
    <row r="3696" spans="1:14" ht="12.75" hidden="1" outlineLevel="1" x14ac:dyDescent="0.2">
      <c r="A3696" s="23" t="str">
        <f>HYPERLINK("https://www.spark-marketing.ru/Card/Person/63188", "ГБПОУ МО ""УОР № 2""")</f>
        <v>ГБПОУ МО "УОР № 2"</v>
      </c>
      <c r="B3696" s="24" t="s">
        <v>6184</v>
      </c>
      <c r="C3696" s="25">
        <v>4348800</v>
      </c>
      <c r="D3696" s="22" t="s">
        <v>6185</v>
      </c>
      <c r="E3696" s="22" t="s">
        <v>48</v>
      </c>
      <c r="F3696" s="23" t="str">
        <f>HYPERLINK("https://www.spark-marketing.ru/Card/Lot/73298755", "Питание лиц проходящих спортивную подготовку на 4 квартал 2019 года")</f>
        <v>Питание лиц проходящих спортивную подготовку на 4 квартал 2019 года</v>
      </c>
      <c r="G3696" s="22" t="s">
        <v>49</v>
      </c>
      <c r="H3696" s="22" t="s">
        <v>6186</v>
      </c>
      <c r="I3696" s="26">
        <v>43717.458333333299</v>
      </c>
      <c r="J3696" s="23" t="str">
        <f>HYPERLINK("https://www.spark-marketing.ru/Card/Person/6438428", "ООО ""РЕГИОН""")</f>
        <v>ООО "РЕГИОН"</v>
      </c>
      <c r="K3696" s="24" t="s">
        <v>6188</v>
      </c>
      <c r="L3696" s="22" t="s">
        <v>10</v>
      </c>
      <c r="M3696" s="25">
        <v>4044384</v>
      </c>
      <c r="N3696" s="27">
        <v>7.0000000000000007E-2</v>
      </c>
    </row>
    <row r="3697" spans="1:14" x14ac:dyDescent="0.15">
      <c r="A3697" s="23" t="str">
        <f>HYPERLINK("https://www.spark-marketing.ru/Card/Person/54656", "ГБУЗ АО ""АОДКБ""")</f>
        <v>ГБУЗ АО "АОДКБ"</v>
      </c>
      <c r="B3697" s="24" t="s">
        <v>1703</v>
      </c>
      <c r="C3697" s="25">
        <v>78000000</v>
      </c>
      <c r="D3697" s="22" t="s">
        <v>6189</v>
      </c>
      <c r="E3697" s="22" t="s">
        <v>48</v>
      </c>
      <c r="F3697" s="23" t="str">
        <f>HYPERLINK("https://www.spark-marketing.ru/Card/Lot/73302222", "Оказание услуг по организации готового лечебного питания")</f>
        <v>Оказание услуг по организации готового лечебного питания</v>
      </c>
      <c r="G3697" s="22" t="s">
        <v>214</v>
      </c>
      <c r="H3697" s="22" t="s">
        <v>523</v>
      </c>
      <c r="I3697" s="26">
        <v>43717.493750000001</v>
      </c>
      <c r="J3697" s="28" t="s">
        <v>51</v>
      </c>
      <c r="K3697" s="28" t="s">
        <v>51</v>
      </c>
      <c r="L3697" s="28" t="s">
        <v>51</v>
      </c>
      <c r="M3697" s="28" t="s">
        <v>51</v>
      </c>
      <c r="N3697" s="28" t="s">
        <v>51</v>
      </c>
    </row>
    <row r="3698" spans="1:14" x14ac:dyDescent="0.15">
      <c r="A3698" s="23" t="str">
        <f t="shared" ref="A3698:A3704" si="66">HYPERLINK("https://www.spark-marketing.ru/Card/Person/27512", "ГБУЗ МО ""БГБ""")</f>
        <v>ГБУЗ МО "БГБ"</v>
      </c>
      <c r="B3698" s="24" t="s">
        <v>6190</v>
      </c>
      <c r="C3698" s="25">
        <v>123444.72</v>
      </c>
      <c r="D3698" s="22" t="s">
        <v>6191</v>
      </c>
      <c r="E3698" s="22" t="s">
        <v>62</v>
      </c>
      <c r="F3698" s="23" t="str">
        <f t="shared" ref="F3698:F3704" si="67">HYPERLINK("https://www.spark-marketing.ru/Card/Lot/73300457", "Закупка бланочной продукции")</f>
        <v>Закупка бланочной продукции</v>
      </c>
      <c r="G3698" s="22" t="s">
        <v>49</v>
      </c>
      <c r="H3698" s="22" t="s">
        <v>1773</v>
      </c>
      <c r="I3698" s="26">
        <v>43717.459027777797</v>
      </c>
      <c r="J3698" s="28" t="s">
        <v>51</v>
      </c>
      <c r="K3698" s="28" t="s">
        <v>51</v>
      </c>
      <c r="L3698" s="28" t="s">
        <v>51</v>
      </c>
      <c r="M3698" s="28" t="s">
        <v>51</v>
      </c>
      <c r="N3698" s="28" t="s">
        <v>51</v>
      </c>
    </row>
    <row r="3699" spans="1:14" hidden="1" outlineLevel="1" x14ac:dyDescent="0.2">
      <c r="A3699" s="23" t="str">
        <f t="shared" si="66"/>
        <v>ГБУЗ МО "БГБ"</v>
      </c>
      <c r="B3699" s="24" t="s">
        <v>6190</v>
      </c>
      <c r="C3699" s="25">
        <v>123444.72</v>
      </c>
      <c r="D3699" s="22" t="s">
        <v>6191</v>
      </c>
      <c r="E3699" s="22" t="s">
        <v>62</v>
      </c>
      <c r="F3699" s="23" t="str">
        <f t="shared" si="67"/>
        <v>Закупка бланочной продукции</v>
      </c>
      <c r="G3699" s="22" t="s">
        <v>49</v>
      </c>
      <c r="H3699" s="22" t="s">
        <v>1773</v>
      </c>
      <c r="I3699" s="26">
        <v>43717.459027777797</v>
      </c>
      <c r="J3699" s="23" t="str">
        <f>HYPERLINK("https://www.spark-marketing.ru/Card/Person/6265198", "Бугаков Александр Алексеевич")</f>
        <v>Бугаков Александр Алексеевич</v>
      </c>
      <c r="K3699" s="24" t="s">
        <v>5207</v>
      </c>
      <c r="L3699" s="28" t="s">
        <v>51</v>
      </c>
      <c r="M3699" s="25">
        <v>65000</v>
      </c>
      <c r="N3699" s="27">
        <v>0.47344852011491462</v>
      </c>
    </row>
    <row r="3700" spans="1:14" hidden="1" outlineLevel="1" x14ac:dyDescent="0.2">
      <c r="A3700" s="23" t="str">
        <f t="shared" si="66"/>
        <v>ГБУЗ МО "БГБ"</v>
      </c>
      <c r="B3700" s="24" t="s">
        <v>6190</v>
      </c>
      <c r="C3700" s="25">
        <v>123444.72</v>
      </c>
      <c r="D3700" s="22" t="s">
        <v>6191</v>
      </c>
      <c r="E3700" s="22" t="s">
        <v>62</v>
      </c>
      <c r="F3700" s="23" t="str">
        <f t="shared" si="67"/>
        <v>Закупка бланочной продукции</v>
      </c>
      <c r="G3700" s="22" t="s">
        <v>49</v>
      </c>
      <c r="H3700" s="22" t="s">
        <v>1773</v>
      </c>
      <c r="I3700" s="26">
        <v>43717.459027777797</v>
      </c>
      <c r="J3700" s="23" t="str">
        <f>HYPERLINK("https://www.spark-marketing.ru/Card/Person/497064", "ООО ИПК ""АВАНТА-ПРИНТ""")</f>
        <v>ООО ИПК "АВАНТА-ПРИНТ"</v>
      </c>
      <c r="K3700" s="24" t="s">
        <v>6192</v>
      </c>
      <c r="L3700" s="28" t="s">
        <v>51</v>
      </c>
      <c r="M3700" s="25">
        <v>63382.78</v>
      </c>
      <c r="N3700" s="27">
        <v>0.48654928295029548</v>
      </c>
    </row>
    <row r="3701" spans="1:14" hidden="1" outlineLevel="1" x14ac:dyDescent="0.2">
      <c r="A3701" s="23" t="str">
        <f t="shared" si="66"/>
        <v>ГБУЗ МО "БГБ"</v>
      </c>
      <c r="B3701" s="24" t="s">
        <v>6190</v>
      </c>
      <c r="C3701" s="25">
        <v>123444.72</v>
      </c>
      <c r="D3701" s="22" t="s">
        <v>6191</v>
      </c>
      <c r="E3701" s="22" t="s">
        <v>62</v>
      </c>
      <c r="F3701" s="23" t="str">
        <f t="shared" si="67"/>
        <v>Закупка бланочной продукции</v>
      </c>
      <c r="G3701" s="22" t="s">
        <v>49</v>
      </c>
      <c r="H3701" s="22" t="s">
        <v>1773</v>
      </c>
      <c r="I3701" s="26">
        <v>43717.459027777797</v>
      </c>
      <c r="J3701" s="23" t="str">
        <f>HYPERLINK("https://www.spark-marketing.ru/Card/Person/6421268", "Головатый Александр Николаевич")</f>
        <v>Головатый Александр Николаевич</v>
      </c>
      <c r="K3701" s="24" t="s">
        <v>5206</v>
      </c>
      <c r="L3701" s="28" t="s">
        <v>51</v>
      </c>
      <c r="M3701" s="25">
        <v>64382</v>
      </c>
      <c r="N3701" s="27">
        <v>0.478454809569822</v>
      </c>
    </row>
    <row r="3702" spans="1:14" ht="12.75" hidden="1" outlineLevel="1" x14ac:dyDescent="0.2">
      <c r="A3702" s="23" t="str">
        <f t="shared" si="66"/>
        <v>ГБУЗ МО "БГБ"</v>
      </c>
      <c r="B3702" s="24" t="s">
        <v>6190</v>
      </c>
      <c r="C3702" s="25">
        <v>123444.72</v>
      </c>
      <c r="D3702" s="22" t="s">
        <v>6191</v>
      </c>
      <c r="E3702" s="22" t="s">
        <v>62</v>
      </c>
      <c r="F3702" s="23" t="str">
        <f t="shared" si="67"/>
        <v>Закупка бланочной продукции</v>
      </c>
      <c r="G3702" s="22" t="s">
        <v>49</v>
      </c>
      <c r="H3702" s="22" t="s">
        <v>1773</v>
      </c>
      <c r="I3702" s="26">
        <v>43717.459027777797</v>
      </c>
      <c r="J3702" s="23" t="str">
        <f>HYPERLINK("https://www.spark-marketing.ru/Card/Person/6631976", "ООО ""ТИПОГРАФИЯ ФОРМАТ""")</f>
        <v>ООО "ТИПОГРАФИЯ ФОРМАТ"</v>
      </c>
      <c r="K3702" s="24" t="s">
        <v>6193</v>
      </c>
      <c r="L3702" s="22" t="s">
        <v>10</v>
      </c>
      <c r="M3702" s="25">
        <v>52500</v>
      </c>
      <c r="N3702" s="27">
        <v>0.57470842009281564</v>
      </c>
    </row>
    <row r="3703" spans="1:14" hidden="1" outlineLevel="1" x14ac:dyDescent="0.2">
      <c r="A3703" s="23" t="str">
        <f t="shared" si="66"/>
        <v>ГБУЗ МО "БГБ"</v>
      </c>
      <c r="B3703" s="24" t="s">
        <v>6190</v>
      </c>
      <c r="C3703" s="25">
        <v>123444.72</v>
      </c>
      <c r="D3703" s="22" t="s">
        <v>6191</v>
      </c>
      <c r="E3703" s="22" t="s">
        <v>62</v>
      </c>
      <c r="F3703" s="23" t="str">
        <f t="shared" si="67"/>
        <v>Закупка бланочной продукции</v>
      </c>
      <c r="G3703" s="22" t="s">
        <v>49</v>
      </c>
      <c r="H3703" s="22" t="s">
        <v>1773</v>
      </c>
      <c r="I3703" s="26">
        <v>43717.459027777797</v>
      </c>
      <c r="J3703" s="23" t="str">
        <f>HYPERLINK("https://www.spark-marketing.ru/Card/Person/496906", "Соболев Валерий Юрьевич")</f>
        <v>Соболев Валерий Юрьевич</v>
      </c>
      <c r="K3703" s="24" t="s">
        <v>6194</v>
      </c>
      <c r="L3703" s="28" t="s">
        <v>51</v>
      </c>
      <c r="M3703" s="25">
        <v>53380</v>
      </c>
      <c r="N3703" s="27">
        <v>0.56757972313437144</v>
      </c>
    </row>
    <row r="3704" spans="1:14" hidden="1" outlineLevel="1" x14ac:dyDescent="0.2">
      <c r="A3704" s="23" t="str">
        <f t="shared" si="66"/>
        <v>ГБУЗ МО "БГБ"</v>
      </c>
      <c r="B3704" s="24" t="s">
        <v>6190</v>
      </c>
      <c r="C3704" s="25">
        <v>123444.72</v>
      </c>
      <c r="D3704" s="22" t="s">
        <v>6191</v>
      </c>
      <c r="E3704" s="22" t="s">
        <v>62</v>
      </c>
      <c r="F3704" s="23" t="str">
        <f t="shared" si="67"/>
        <v>Закупка бланочной продукции</v>
      </c>
      <c r="G3704" s="22" t="s">
        <v>49</v>
      </c>
      <c r="H3704" s="22" t="s">
        <v>1773</v>
      </c>
      <c r="I3704" s="26">
        <v>43717.459027777797</v>
      </c>
      <c r="J3704" s="23" t="str">
        <f>HYPERLINK("https://www.spark-marketing.ru/Card/Person/159573", "ООО ""ПОЛИГРАФИЧЕСКИЕ РЕШЕНИЯ""")</f>
        <v>ООО "ПОЛИГРАФИЧЕСКИЕ РЕШЕНИЯ"</v>
      </c>
      <c r="K3704" s="24" t="s">
        <v>5208</v>
      </c>
      <c r="L3704" s="28" t="s">
        <v>51</v>
      </c>
      <c r="M3704" s="25">
        <v>55000</v>
      </c>
      <c r="N3704" s="27">
        <v>0.55445644009723538</v>
      </c>
    </row>
    <row r="3705" spans="1:14" x14ac:dyDescent="0.15">
      <c r="A3705" s="23" t="str">
        <f>HYPERLINK("https://www.spark-marketing.ru/Card/Person/28543", "ГВАРДЕЙСКАЯ ЦРБ")</f>
        <v>ГВАРДЕЙСКАЯ ЦРБ</v>
      </c>
      <c r="B3705" s="24" t="s">
        <v>6195</v>
      </c>
      <c r="C3705" s="25">
        <v>7829.25</v>
      </c>
      <c r="D3705" s="22" t="s">
        <v>6196</v>
      </c>
      <c r="E3705" s="22" t="s">
        <v>86</v>
      </c>
      <c r="F3705" s="23" t="str">
        <f>HYPERLINK("https://www.spark-marketing.ru/Card/Lot/73302460", "Оказание услуг на лабораторные исследования продуктов питания")</f>
        <v>Оказание услуг на лабораторные исследования продуктов питания</v>
      </c>
      <c r="G3705" s="22" t="s">
        <v>400</v>
      </c>
      <c r="H3705" s="22" t="s">
        <v>6197</v>
      </c>
      <c r="I3705" s="26">
        <v>43717.4909722222</v>
      </c>
      <c r="J3705" s="23" t="str">
        <f>HYPERLINK("https://www.spark-marketing.ru/Card/Person/16228", "ФБУЗ ""ЦЕНТР ГИГИЕНЫ И ЭПИДЕМИОЛОГИИ В КАЛИНИНГРАДСКОЙ ОБЛАСТИ""")</f>
        <v>ФБУЗ "ЦЕНТР ГИГИЕНЫ И ЭПИДЕМИОЛОГИИ В КАЛИНИНГРАДСКОЙ ОБЛАСТИ"</v>
      </c>
      <c r="K3705" s="24" t="s">
        <v>6198</v>
      </c>
      <c r="L3705" s="22" t="s">
        <v>10</v>
      </c>
      <c r="M3705" s="28" t="s">
        <v>51</v>
      </c>
      <c r="N3705" s="28" t="s">
        <v>51</v>
      </c>
    </row>
    <row r="3706" spans="1:14" x14ac:dyDescent="0.15">
      <c r="A3706" s="23" t="str">
        <f t="shared" ref="A3706:A3716" si="68">HYPERLINK("https://www.spark-marketing.ru/Card/Person/5855106", "ГБУЗ ПК ""ГКБ №3""")</f>
        <v>ГБУЗ ПК "ГКБ №3"</v>
      </c>
      <c r="B3706" s="24" t="s">
        <v>6199</v>
      </c>
      <c r="C3706" s="25">
        <v>499558.69</v>
      </c>
      <c r="D3706" s="22" t="s">
        <v>6200</v>
      </c>
      <c r="E3706" s="22" t="s">
        <v>62</v>
      </c>
      <c r="F3706" s="23" t="str">
        <f t="shared" ref="F3706:F3716" si="69">HYPERLINK("https://www.spark-marketing.ru/Card/Lot/73297199", "Право заключения гражданско-правового договора на поставку бланочной продукции")</f>
        <v>Право заключения гражданско-правового договора на поставку бланочной продукции</v>
      </c>
      <c r="G3706" s="22" t="s">
        <v>153</v>
      </c>
      <c r="H3706" s="22" t="s">
        <v>153</v>
      </c>
      <c r="I3706" s="26">
        <v>43717.464583333298</v>
      </c>
      <c r="J3706" s="28" t="s">
        <v>51</v>
      </c>
      <c r="K3706" s="28" t="s">
        <v>51</v>
      </c>
      <c r="L3706" s="28" t="s">
        <v>51</v>
      </c>
      <c r="M3706" s="28" t="s">
        <v>51</v>
      </c>
      <c r="N3706" s="28" t="s">
        <v>51</v>
      </c>
    </row>
    <row r="3707" spans="1:14" hidden="1" outlineLevel="1" x14ac:dyDescent="0.2">
      <c r="A3707" s="23" t="str">
        <f t="shared" si="68"/>
        <v>ГБУЗ ПК "ГКБ №3"</v>
      </c>
      <c r="B3707" s="24" t="s">
        <v>6199</v>
      </c>
      <c r="C3707" s="25">
        <v>499558.69</v>
      </c>
      <c r="D3707" s="22" t="s">
        <v>6200</v>
      </c>
      <c r="E3707" s="22" t="s">
        <v>62</v>
      </c>
      <c r="F3707" s="23" t="str">
        <f t="shared" si="69"/>
        <v>Право заключения гражданско-правового договора на поставку бланочной продукции</v>
      </c>
      <c r="G3707" s="22" t="s">
        <v>153</v>
      </c>
      <c r="H3707" s="22" t="s">
        <v>153</v>
      </c>
      <c r="I3707" s="26">
        <v>43717.464583333298</v>
      </c>
      <c r="J3707" s="23" t="str">
        <f>HYPERLINK("https://www.spark-marketing.ru/Card/Person/62815", "ООО ""КУНГУРСКАЯ ТИПОГРАФИЯ""")</f>
        <v>ООО "КУНГУРСКАЯ ТИПОГРАФИЯ"</v>
      </c>
      <c r="K3707" s="24" t="s">
        <v>6201</v>
      </c>
      <c r="L3707" s="28" t="s">
        <v>51</v>
      </c>
      <c r="M3707" s="25">
        <v>195011.22</v>
      </c>
      <c r="N3707" s="27">
        <v>0.60963301429107364</v>
      </c>
    </row>
    <row r="3708" spans="1:14" hidden="1" outlineLevel="1" x14ac:dyDescent="0.2">
      <c r="A3708" s="23" t="str">
        <f t="shared" si="68"/>
        <v>ГБУЗ ПК "ГКБ №3"</v>
      </c>
      <c r="B3708" s="24" t="s">
        <v>6199</v>
      </c>
      <c r="C3708" s="25">
        <v>499558.69</v>
      </c>
      <c r="D3708" s="22" t="s">
        <v>6200</v>
      </c>
      <c r="E3708" s="22" t="s">
        <v>62</v>
      </c>
      <c r="F3708" s="23" t="str">
        <f t="shared" si="69"/>
        <v>Право заключения гражданско-правового договора на поставку бланочной продукции</v>
      </c>
      <c r="G3708" s="22" t="s">
        <v>153</v>
      </c>
      <c r="H3708" s="22" t="s">
        <v>153</v>
      </c>
      <c r="I3708" s="26">
        <v>43717.464583333298</v>
      </c>
      <c r="J3708" s="23" t="str">
        <f>HYPERLINK("https://www.spark-marketing.ru/Card/Person/6421268", "Головатый Александр Николаевич")</f>
        <v>Головатый Александр Николаевич</v>
      </c>
      <c r="K3708" s="24" t="s">
        <v>5206</v>
      </c>
      <c r="L3708" s="28" t="s">
        <v>51</v>
      </c>
      <c r="M3708" s="25">
        <v>147522</v>
      </c>
      <c r="N3708" s="27">
        <v>0.70469535821706952</v>
      </c>
    </row>
    <row r="3709" spans="1:14" hidden="1" outlineLevel="1" x14ac:dyDescent="0.2">
      <c r="A3709" s="23" t="str">
        <f t="shared" si="68"/>
        <v>ГБУЗ ПК "ГКБ №3"</v>
      </c>
      <c r="B3709" s="24" t="s">
        <v>6199</v>
      </c>
      <c r="C3709" s="25">
        <v>499558.69</v>
      </c>
      <c r="D3709" s="22" t="s">
        <v>6200</v>
      </c>
      <c r="E3709" s="22" t="s">
        <v>62</v>
      </c>
      <c r="F3709" s="23" t="str">
        <f t="shared" si="69"/>
        <v>Право заключения гражданско-правового договора на поставку бланочной продукции</v>
      </c>
      <c r="G3709" s="22" t="s">
        <v>153</v>
      </c>
      <c r="H3709" s="22" t="s">
        <v>153</v>
      </c>
      <c r="I3709" s="26">
        <v>43717.464583333298</v>
      </c>
      <c r="J3709" s="23" t="str">
        <f>HYPERLINK("https://www.spark-marketing.ru/Card/Person/305591", "Коробченко Сергей Иванович")</f>
        <v>Коробченко Сергей Иванович</v>
      </c>
      <c r="K3709" s="24" t="s">
        <v>6202</v>
      </c>
      <c r="L3709" s="28" t="s">
        <v>51</v>
      </c>
      <c r="M3709" s="25">
        <v>170004.21</v>
      </c>
      <c r="N3709" s="27">
        <v>0.65969121666164987</v>
      </c>
    </row>
    <row r="3710" spans="1:14" hidden="1" outlineLevel="1" x14ac:dyDescent="0.2">
      <c r="A3710" s="23" t="str">
        <f t="shared" si="68"/>
        <v>ГБУЗ ПК "ГКБ №3"</v>
      </c>
      <c r="B3710" s="24" t="s">
        <v>6199</v>
      </c>
      <c r="C3710" s="25">
        <v>499558.69</v>
      </c>
      <c r="D3710" s="22" t="s">
        <v>6200</v>
      </c>
      <c r="E3710" s="22" t="s">
        <v>62</v>
      </c>
      <c r="F3710" s="23" t="str">
        <f t="shared" si="69"/>
        <v>Право заключения гражданско-правового договора на поставку бланочной продукции</v>
      </c>
      <c r="G3710" s="22" t="s">
        <v>153</v>
      </c>
      <c r="H3710" s="22" t="s">
        <v>153</v>
      </c>
      <c r="I3710" s="26">
        <v>43717.464583333298</v>
      </c>
      <c r="J3710" s="23" t="str">
        <f>HYPERLINK("https://www.spark-marketing.ru/Card/Person/59231", "ООО ""ПЕЧАТНИК""")</f>
        <v>ООО "ПЕЧАТНИК"</v>
      </c>
      <c r="K3710" s="24" t="s">
        <v>6203</v>
      </c>
      <c r="L3710" s="28" t="s">
        <v>51</v>
      </c>
      <c r="M3710" s="25">
        <v>450000</v>
      </c>
      <c r="N3710" s="27">
        <v>9.9204940264376137E-2</v>
      </c>
    </row>
    <row r="3711" spans="1:14" hidden="1" outlineLevel="1" x14ac:dyDescent="0.2">
      <c r="A3711" s="23" t="str">
        <f t="shared" si="68"/>
        <v>ГБУЗ ПК "ГКБ №3"</v>
      </c>
      <c r="B3711" s="24" t="s">
        <v>6199</v>
      </c>
      <c r="C3711" s="25">
        <v>499558.69</v>
      </c>
      <c r="D3711" s="22" t="s">
        <v>6200</v>
      </c>
      <c r="E3711" s="22" t="s">
        <v>62</v>
      </c>
      <c r="F3711" s="23" t="str">
        <f t="shared" si="69"/>
        <v>Право заключения гражданско-правового договора на поставку бланочной продукции</v>
      </c>
      <c r="G3711" s="22" t="s">
        <v>153</v>
      </c>
      <c r="H3711" s="22" t="s">
        <v>153</v>
      </c>
      <c r="I3711" s="26">
        <v>43717.464583333298</v>
      </c>
      <c r="J3711" s="23" t="str">
        <f>HYPERLINK("https://www.spark-marketing.ru/Card/Person/313171", "ООО ""ЦЕНТР ПЕЧАТИ""")</f>
        <v>ООО "ЦЕНТР ПЕЧАТИ"</v>
      </c>
      <c r="K3711" s="24" t="s">
        <v>6204</v>
      </c>
      <c r="L3711" s="28" t="s">
        <v>51</v>
      </c>
      <c r="M3711" s="25">
        <v>482000</v>
      </c>
      <c r="N3711" s="27">
        <v>3.5148402683176226E-2</v>
      </c>
    </row>
    <row r="3712" spans="1:14" hidden="1" outlineLevel="1" x14ac:dyDescent="0.2">
      <c r="A3712" s="23" t="str">
        <f t="shared" si="68"/>
        <v>ГБУЗ ПК "ГКБ №3"</v>
      </c>
      <c r="B3712" s="24" t="s">
        <v>6199</v>
      </c>
      <c r="C3712" s="25">
        <v>499558.69</v>
      </c>
      <c r="D3712" s="22" t="s">
        <v>6200</v>
      </c>
      <c r="E3712" s="22" t="s">
        <v>62</v>
      </c>
      <c r="F3712" s="23" t="str">
        <f t="shared" si="69"/>
        <v>Право заключения гражданско-правового договора на поставку бланочной продукции</v>
      </c>
      <c r="G3712" s="22" t="s">
        <v>153</v>
      </c>
      <c r="H3712" s="22" t="s">
        <v>153</v>
      </c>
      <c r="I3712" s="26">
        <v>43717.464583333298</v>
      </c>
      <c r="J3712" s="23" t="str">
        <f>HYPERLINK("https://www.spark-marketing.ru/Card/Person/59001", "Бугаенко Елена Александровна")</f>
        <v>Бугаенко Елена Александровна</v>
      </c>
      <c r="K3712" s="24" t="s">
        <v>6205</v>
      </c>
      <c r="L3712" s="28" t="s">
        <v>51</v>
      </c>
      <c r="M3712" s="25">
        <v>298107.57</v>
      </c>
      <c r="N3712" s="27">
        <v>0.40325816372046297</v>
      </c>
    </row>
    <row r="3713" spans="1:14" ht="12.75" hidden="1" outlineLevel="1" x14ac:dyDescent="0.2">
      <c r="A3713" s="23" t="str">
        <f t="shared" si="68"/>
        <v>ГБУЗ ПК "ГКБ №3"</v>
      </c>
      <c r="B3713" s="24" t="s">
        <v>6199</v>
      </c>
      <c r="C3713" s="25">
        <v>499558.69</v>
      </c>
      <c r="D3713" s="22" t="s">
        <v>6200</v>
      </c>
      <c r="E3713" s="22" t="s">
        <v>62</v>
      </c>
      <c r="F3713" s="23" t="str">
        <f t="shared" si="69"/>
        <v>Право заключения гражданско-правового договора на поставку бланочной продукции</v>
      </c>
      <c r="G3713" s="22" t="s">
        <v>153</v>
      </c>
      <c r="H3713" s="22" t="s">
        <v>153</v>
      </c>
      <c r="I3713" s="26">
        <v>43717.464583333298</v>
      </c>
      <c r="J3713" s="23" t="str">
        <f>HYPERLINK("https://www.spark-marketing.ru/Card/Person/1894384", "АНО ""РИЦ""ЗДРАВСТВУЙ""")</f>
        <v>АНО "РИЦ"ЗДРАВСТВУЙ"</v>
      </c>
      <c r="K3713" s="24" t="s">
        <v>6206</v>
      </c>
      <c r="L3713" s="22" t="s">
        <v>10</v>
      </c>
      <c r="M3713" s="25">
        <v>95068.41</v>
      </c>
      <c r="N3713" s="27">
        <v>0.8096952131890649</v>
      </c>
    </row>
    <row r="3714" spans="1:14" hidden="1" outlineLevel="1" x14ac:dyDescent="0.2">
      <c r="A3714" s="23" t="str">
        <f t="shared" si="68"/>
        <v>ГБУЗ ПК "ГКБ №3"</v>
      </c>
      <c r="B3714" s="24" t="s">
        <v>6199</v>
      </c>
      <c r="C3714" s="25">
        <v>499558.69</v>
      </c>
      <c r="D3714" s="22" t="s">
        <v>6200</v>
      </c>
      <c r="E3714" s="22" t="s">
        <v>62</v>
      </c>
      <c r="F3714" s="23" t="str">
        <f t="shared" si="69"/>
        <v>Право заключения гражданско-правового договора на поставку бланочной продукции</v>
      </c>
      <c r="G3714" s="22" t="s">
        <v>153</v>
      </c>
      <c r="H3714" s="22" t="s">
        <v>153</v>
      </c>
      <c r="I3714" s="26">
        <v>43717.464583333298</v>
      </c>
      <c r="J3714" s="23" t="str">
        <f>HYPERLINK("https://www.spark-marketing.ru/Card/Person/357644", "ООО ""ПЕРМСКОЕ КНИЖНОЕ ИЗДАТЕЛЬСТВО""")</f>
        <v>ООО "ПЕРМСКОЕ КНИЖНОЕ ИЗДАТЕЛЬСТВО"</v>
      </c>
      <c r="K3714" s="24" t="s">
        <v>6207</v>
      </c>
      <c r="L3714" s="28" t="s">
        <v>51</v>
      </c>
      <c r="M3714" s="25">
        <v>97566.2</v>
      </c>
      <c r="N3714" s="27">
        <v>0.80469522009516037</v>
      </c>
    </row>
    <row r="3715" spans="1:14" hidden="1" outlineLevel="1" x14ac:dyDescent="0.2">
      <c r="A3715" s="23" t="str">
        <f t="shared" si="68"/>
        <v>ГБУЗ ПК "ГКБ №3"</v>
      </c>
      <c r="B3715" s="24" t="s">
        <v>6199</v>
      </c>
      <c r="C3715" s="25">
        <v>499558.69</v>
      </c>
      <c r="D3715" s="22" t="s">
        <v>6200</v>
      </c>
      <c r="E3715" s="22" t="s">
        <v>62</v>
      </c>
      <c r="F3715" s="23" t="str">
        <f t="shared" si="69"/>
        <v>Право заключения гражданско-правового договора на поставку бланочной продукции</v>
      </c>
      <c r="G3715" s="22" t="s">
        <v>153</v>
      </c>
      <c r="H3715" s="22" t="s">
        <v>153</v>
      </c>
      <c r="I3715" s="26">
        <v>43717.464583333298</v>
      </c>
      <c r="J3715" s="23" t="str">
        <f>HYPERLINK("https://www.spark-marketing.ru/Card/Person/183917", "ООО ""КАНЦТОВАРЫ""")</f>
        <v>ООО "КАНЦТОВАРЫ"</v>
      </c>
      <c r="K3715" s="24" t="s">
        <v>6208</v>
      </c>
      <c r="L3715" s="28" t="s">
        <v>51</v>
      </c>
      <c r="M3715" s="25">
        <v>242000</v>
      </c>
      <c r="N3715" s="27">
        <v>0.51557243454217561</v>
      </c>
    </row>
    <row r="3716" spans="1:14" hidden="1" outlineLevel="1" x14ac:dyDescent="0.2">
      <c r="A3716" s="23" t="str">
        <f t="shared" si="68"/>
        <v>ГБУЗ ПК "ГКБ №3"</v>
      </c>
      <c r="B3716" s="24" t="s">
        <v>6199</v>
      </c>
      <c r="C3716" s="25">
        <v>499558.69</v>
      </c>
      <c r="D3716" s="22" t="s">
        <v>6200</v>
      </c>
      <c r="E3716" s="22" t="s">
        <v>62</v>
      </c>
      <c r="F3716" s="23" t="str">
        <f t="shared" si="69"/>
        <v>Право заключения гражданско-правового договора на поставку бланочной продукции</v>
      </c>
      <c r="G3716" s="22" t="s">
        <v>153</v>
      </c>
      <c r="H3716" s="22" t="s">
        <v>153</v>
      </c>
      <c r="I3716" s="26">
        <v>43717.464583333298</v>
      </c>
      <c r="J3716" s="23" t="str">
        <f>HYPERLINK("https://www.spark-marketing.ru/Card/Person/426437", "ООО ""ЧУСОВСКАЯ ТИПОГРАФИЯ""")</f>
        <v>ООО "ЧУСОВСКАЯ ТИПОГРАФИЯ"</v>
      </c>
      <c r="K3716" s="24" t="s">
        <v>6209</v>
      </c>
      <c r="L3716" s="28" t="s">
        <v>51</v>
      </c>
      <c r="M3716" s="25">
        <v>110055.15</v>
      </c>
      <c r="N3716" s="27">
        <v>0.77969525462563771</v>
      </c>
    </row>
    <row r="3717" spans="1:14" x14ac:dyDescent="0.15">
      <c r="A3717" s="23" t="str">
        <f>HYPERLINK("https://www.spark-marketing.ru/Card/Person/18481", "ФГУП ""РОСРАО""")</f>
        <v>ФГУП "РОСРАО"</v>
      </c>
      <c r="B3717" s="24" t="s">
        <v>2882</v>
      </c>
      <c r="C3717" s="25">
        <v>299800</v>
      </c>
      <c r="D3717" s="22" t="s">
        <v>6210</v>
      </c>
      <c r="E3717" s="22" t="s">
        <v>48</v>
      </c>
      <c r="F3717" s="23" t="str">
        <f>HYPERLINK("https://www.spark-marketing.ru/Card/Lot/73297018",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3717" s="22" t="s">
        <v>162</v>
      </c>
      <c r="H3717" s="22" t="s">
        <v>1620</v>
      </c>
      <c r="I3717" s="26">
        <v>43717.486967592602</v>
      </c>
      <c r="J3717" s="28" t="s">
        <v>51</v>
      </c>
      <c r="K3717" s="28" t="s">
        <v>51</v>
      </c>
      <c r="L3717" s="28" t="s">
        <v>51</v>
      </c>
      <c r="M3717" s="28" t="s">
        <v>51</v>
      </c>
      <c r="N3717" s="28" t="s">
        <v>51</v>
      </c>
    </row>
    <row r="3718" spans="1:14" x14ac:dyDescent="0.15">
      <c r="A3718" s="23" t="str">
        <f>HYPERLINK("https://www.spark-marketing.ru/Card/Person/1751878", "УМВД РОССИИ ПО ТОМСКОЙ ОБЛАСТИ")</f>
        <v>УМВД РОССИИ ПО ТОМСКОЙ ОБЛАСТИ</v>
      </c>
      <c r="B3718" s="24" t="s">
        <v>1665</v>
      </c>
      <c r="C3718" s="25">
        <v>2800</v>
      </c>
      <c r="D3718" s="22" t="s">
        <v>6211</v>
      </c>
      <c r="E3718" s="22" t="s">
        <v>48</v>
      </c>
      <c r="F3718" s="23" t="str">
        <f>HYPERLINK("https://www.spark-marketing.ru/Card/Lot/73296903", "Оказание услуг по организации питания (приготовление и доставка) для несовершеннолетних лиц, 7 усл. ед")</f>
        <v>Оказание услуг по организации питания (приготовление и доставка) для несовершеннолетних лиц, 7 усл. ед</v>
      </c>
      <c r="G3718" s="22" t="s">
        <v>149</v>
      </c>
      <c r="H3718" s="22" t="s">
        <v>496</v>
      </c>
      <c r="I3718" s="26">
        <v>43717.480729166702</v>
      </c>
      <c r="J3718" s="28" t="s">
        <v>51</v>
      </c>
      <c r="K3718" s="28" t="s">
        <v>51</v>
      </c>
      <c r="L3718" s="28" t="s">
        <v>51</v>
      </c>
      <c r="M3718" s="28" t="s">
        <v>51</v>
      </c>
      <c r="N3718" s="28" t="s">
        <v>51</v>
      </c>
    </row>
    <row r="3719" spans="1:14" x14ac:dyDescent="0.2">
      <c r="A3719" s="23" t="str">
        <f>HYPERLINK("https://www.spark-marketing.ru/Card/Person/732708", "МДОБУ ДЕТСКИЙ САД № 11 Г. БЕЛОРЕЦК")</f>
        <v>МДОБУ ДЕТСКИЙ САД № 11 Г. БЕЛОРЕЦК</v>
      </c>
      <c r="B3719" s="24" t="s">
        <v>6212</v>
      </c>
      <c r="C3719" s="25">
        <v>831480</v>
      </c>
      <c r="D3719" s="22" t="s">
        <v>6213</v>
      </c>
      <c r="E3719" s="22" t="s">
        <v>48</v>
      </c>
      <c r="F3719" s="23" t="str">
        <f>HYPERLINK("https://www.spark-marketing.ru/Card/Lot/73298595", "Оказание услуги по организации горячего питания")</f>
        <v>Оказание услуги по организации горячего питания</v>
      </c>
      <c r="G3719" s="22" t="s">
        <v>145</v>
      </c>
      <c r="H3719" s="22" t="s">
        <v>6054</v>
      </c>
      <c r="I3719" s="26">
        <v>43717.539583333302</v>
      </c>
      <c r="J3719" s="23" t="str">
        <f>HYPERLINK("https://www.spark-marketing.ru/Card/Person/91854", "ООО ""УП ""МЕТАЛЛУРГ""")</f>
        <v>ООО "УП "МЕТАЛЛУРГ"</v>
      </c>
      <c r="K3719" s="24" t="s">
        <v>6183</v>
      </c>
      <c r="L3719" s="28" t="s">
        <v>51</v>
      </c>
      <c r="M3719" s="25">
        <v>831480</v>
      </c>
      <c r="N3719" s="27">
        <v>0</v>
      </c>
    </row>
    <row r="3720" spans="1:14" x14ac:dyDescent="0.2">
      <c r="A3720" s="23" t="str">
        <f>HYPERLINK("https://www.spark-marketing.ru/Card/Person/732737", "МБ ДОУ № 23 Г. БЕЛОРЕЦК")</f>
        <v>МБ ДОУ № 23 Г. БЕЛОРЕЦК</v>
      </c>
      <c r="B3720" s="24" t="s">
        <v>6214</v>
      </c>
      <c r="C3720" s="25">
        <v>1025700</v>
      </c>
      <c r="D3720" s="22" t="s">
        <v>6215</v>
      </c>
      <c r="E3720" s="22" t="s">
        <v>48</v>
      </c>
      <c r="F3720" s="23" t="str">
        <f>HYPERLINK("https://www.spark-marketing.ru/Card/Lot/73300628", "Оказание услуги по организации горячего питания")</f>
        <v>Оказание услуги по организации горячего питания</v>
      </c>
      <c r="G3720" s="22" t="s">
        <v>145</v>
      </c>
      <c r="H3720" s="22" t="s">
        <v>6054</v>
      </c>
      <c r="I3720" s="26">
        <v>43717.539583333302</v>
      </c>
      <c r="J3720" s="23" t="str">
        <f>HYPERLINK("https://www.spark-marketing.ru/Card/Person/91854", "ООО ""УП ""МЕТАЛЛУРГ""")</f>
        <v>ООО "УП "МЕТАЛЛУРГ"</v>
      </c>
      <c r="K3720" s="24" t="s">
        <v>6183</v>
      </c>
      <c r="L3720" s="28" t="s">
        <v>51</v>
      </c>
      <c r="M3720" s="25">
        <v>1025700</v>
      </c>
      <c r="N3720" s="27">
        <v>0</v>
      </c>
    </row>
    <row r="3721" spans="1:14" x14ac:dyDescent="0.2">
      <c r="A3721" s="23" t="str">
        <f>HYPERLINK("https://www.spark-marketing.ru/Card/Person/733549", "МБОУ ""БЕЛОРЕЦКИЙ ЛИЦЕЙ-ИНТЕРНАТ"" МР БР РБ")</f>
        <v>МБОУ "БЕЛОРЕЦКИЙ ЛИЦЕЙ-ИНТЕРНАТ" МР БР РБ</v>
      </c>
      <c r="B3721" s="24" t="s">
        <v>6216</v>
      </c>
      <c r="C3721" s="25">
        <v>2173920</v>
      </c>
      <c r="D3721" s="22" t="s">
        <v>6217</v>
      </c>
      <c r="E3721" s="22" t="s">
        <v>48</v>
      </c>
      <c r="F3721" s="23" t="str">
        <f>HYPERLINK("https://www.spark-marketing.ru/Card/Lot/73298662", "Оказание услуги по организации горячего питания")</f>
        <v>Оказание услуги по организации горячего питания</v>
      </c>
      <c r="G3721" s="22" t="s">
        <v>145</v>
      </c>
      <c r="H3721" s="22" t="s">
        <v>6054</v>
      </c>
      <c r="I3721" s="26">
        <v>43717.539583333302</v>
      </c>
      <c r="J3721" s="23" t="str">
        <f>HYPERLINK("https://www.spark-marketing.ru/Card/Person/1990735", "Кваснина Татьяна Геннадьевна")</f>
        <v>Кваснина Татьяна Геннадьевна</v>
      </c>
      <c r="K3721" s="24" t="s">
        <v>1399</v>
      </c>
      <c r="L3721" s="28" t="s">
        <v>51</v>
      </c>
      <c r="M3721" s="25">
        <v>2173920</v>
      </c>
      <c r="N3721" s="27">
        <v>0</v>
      </c>
    </row>
    <row r="3722" spans="1:14" x14ac:dyDescent="0.15">
      <c r="A3722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722" s="24" t="s">
        <v>967</v>
      </c>
      <c r="C3722" s="25">
        <v>498528</v>
      </c>
      <c r="D3722" s="22" t="s">
        <v>6218</v>
      </c>
      <c r="E3722" s="22" t="s">
        <v>48</v>
      </c>
      <c r="F3722" s="23" t="str">
        <f>HYPERLINK("https://www.spark-marketing.ru/Card/Lot/73297185", "питание спецконтенгента 2019")</f>
        <v>питание спецконтенгента 2019</v>
      </c>
      <c r="G3722" s="22" t="s">
        <v>104</v>
      </c>
      <c r="H3722" s="22" t="s">
        <v>969</v>
      </c>
      <c r="I3722" s="26">
        <v>43717.4194444444</v>
      </c>
      <c r="J3722" s="28" t="s">
        <v>51</v>
      </c>
      <c r="K3722" s="28" t="s">
        <v>51</v>
      </c>
      <c r="L3722" s="28" t="s">
        <v>51</v>
      </c>
      <c r="M3722" s="28" t="s">
        <v>51</v>
      </c>
      <c r="N3722" s="28" t="s">
        <v>51</v>
      </c>
    </row>
    <row r="3723" spans="1:14" ht="12.75" hidden="1" outlineLevel="1" x14ac:dyDescent="0.2">
      <c r="A3723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723" s="24" t="s">
        <v>967</v>
      </c>
      <c r="C3723" s="25">
        <v>498528</v>
      </c>
      <c r="D3723" s="22" t="s">
        <v>6218</v>
      </c>
      <c r="E3723" s="22" t="s">
        <v>48</v>
      </c>
      <c r="F3723" s="23" t="str">
        <f>HYPERLINK("https://www.spark-marketing.ru/Card/Lot/73297185", "питание спецконтенгента 2019")</f>
        <v>питание спецконтенгента 2019</v>
      </c>
      <c r="G3723" s="22" t="s">
        <v>104</v>
      </c>
      <c r="H3723" s="22" t="s">
        <v>969</v>
      </c>
      <c r="I3723" s="26">
        <v>43717.4194444444</v>
      </c>
      <c r="J3723" s="23" t="str">
        <f>HYPERLINK("https://www.spark-marketing.ru/Card/Person/130915", "ООО ""НАДЕЖДА Д.""")</f>
        <v>ООО "НАДЕЖДА Д."</v>
      </c>
      <c r="K3723" s="24" t="s">
        <v>2749</v>
      </c>
      <c r="L3723" s="22" t="s">
        <v>10</v>
      </c>
      <c r="M3723" s="25">
        <v>388800</v>
      </c>
      <c r="N3723" s="27">
        <v>0.22010398613518198</v>
      </c>
    </row>
    <row r="3724" spans="1:14" hidden="1" outlineLevel="1" x14ac:dyDescent="0.2">
      <c r="A3724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724" s="24" t="s">
        <v>967</v>
      </c>
      <c r="C3724" s="25">
        <v>498528</v>
      </c>
      <c r="D3724" s="22" t="s">
        <v>6218</v>
      </c>
      <c r="E3724" s="22" t="s">
        <v>48</v>
      </c>
      <c r="F3724" s="23" t="str">
        <f>HYPERLINK("https://www.spark-marketing.ru/Card/Lot/73297185", "питание спецконтенгента 2019")</f>
        <v>питание спецконтенгента 2019</v>
      </c>
      <c r="G3724" s="22" t="s">
        <v>104</v>
      </c>
      <c r="H3724" s="22" t="s">
        <v>969</v>
      </c>
      <c r="I3724" s="26">
        <v>43717.4194444444</v>
      </c>
      <c r="J3724" s="23" t="str">
        <f>HYPERLINK("https://www.spark-marketing.ru/Card/Person/6703409", "Северов Михаил Карпович")</f>
        <v>Северов Михаил Карпович</v>
      </c>
      <c r="K3724" s="24" t="s">
        <v>2750</v>
      </c>
      <c r="L3724" s="28" t="s">
        <v>51</v>
      </c>
      <c r="M3724" s="25">
        <v>468528</v>
      </c>
      <c r="N3724" s="27">
        <v>6.0177161563643368E-2</v>
      </c>
    </row>
    <row r="3725" spans="1:14" hidden="1" outlineLevel="1" x14ac:dyDescent="0.2">
      <c r="A3725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725" s="24" t="s">
        <v>967</v>
      </c>
      <c r="C3725" s="25">
        <v>498528</v>
      </c>
      <c r="D3725" s="22" t="s">
        <v>6218</v>
      </c>
      <c r="E3725" s="22" t="s">
        <v>48</v>
      </c>
      <c r="F3725" s="23" t="str">
        <f>HYPERLINK("https://www.spark-marketing.ru/Card/Lot/73297185", "питание спецконтенгента 2019")</f>
        <v>питание спецконтенгента 2019</v>
      </c>
      <c r="G3725" s="22" t="s">
        <v>104</v>
      </c>
      <c r="H3725" s="22" t="s">
        <v>969</v>
      </c>
      <c r="I3725" s="26">
        <v>43717.4194444444</v>
      </c>
      <c r="J3725" s="23" t="str">
        <f>HYPERLINK("https://www.spark-marketing.ru/Card/Person/456807", "Галустова Астхик Владимировна")</f>
        <v>Галустова Астхик Владимировна</v>
      </c>
      <c r="K3725" s="24" t="s">
        <v>4938</v>
      </c>
      <c r="L3725" s="28" t="s">
        <v>51</v>
      </c>
      <c r="M3725" s="25">
        <v>475200</v>
      </c>
      <c r="N3725" s="27">
        <v>4.6793760831889082E-2</v>
      </c>
    </row>
    <row r="3726" spans="1:14" x14ac:dyDescent="0.2">
      <c r="A3726" s="23" t="str">
        <f>HYPERLINK("https://www.spark-marketing.ru/Card/Person/732730", "МДОБУ ДЕТСКИЙ САД №3 Г.БЕЛОРЕЦК")</f>
        <v>МДОБУ ДЕТСКИЙ САД №3 Г.БЕЛОРЕЦК</v>
      </c>
      <c r="B3726" s="24" t="s">
        <v>6219</v>
      </c>
      <c r="C3726" s="25">
        <v>1652820</v>
      </c>
      <c r="D3726" s="22" t="s">
        <v>6220</v>
      </c>
      <c r="E3726" s="22" t="s">
        <v>48</v>
      </c>
      <c r="F3726" s="23" t="str">
        <f>HYPERLINK("https://www.spark-marketing.ru/Card/Lot/73300719", "Оказание услуги по организации горячего питания")</f>
        <v>Оказание услуги по организации горячего питания</v>
      </c>
      <c r="G3726" s="22" t="s">
        <v>145</v>
      </c>
      <c r="H3726" s="22" t="s">
        <v>6054</v>
      </c>
      <c r="I3726" s="26">
        <v>43717.538888888899</v>
      </c>
      <c r="J3726" s="23" t="str">
        <f>HYPERLINK("https://www.spark-marketing.ru/Card/Person/1990735", "Кваснина Татьяна Геннадьевна")</f>
        <v>Кваснина Татьяна Геннадьевна</v>
      </c>
      <c r="K3726" s="24" t="s">
        <v>1399</v>
      </c>
      <c r="L3726" s="28" t="s">
        <v>51</v>
      </c>
      <c r="M3726" s="25">
        <v>1652820</v>
      </c>
      <c r="N3726" s="27">
        <v>0</v>
      </c>
    </row>
    <row r="3727" spans="1:14" x14ac:dyDescent="0.15">
      <c r="A3727" s="23" t="str">
        <f>HYPERLINK("https://www.spark-marketing.ru/Card/Person/132156", "МБОУ ""СРЕДНЯЯ ОБЩЕОБРАЗОВАТЕЛЬНАЯ ШКОЛА №5""")</f>
        <v>МБОУ "СРЕДНЯЯ ОБЩЕОБРАЗОВАТЕЛЬНАЯ ШКОЛА №5"</v>
      </c>
      <c r="B3727" s="24" t="s">
        <v>6221</v>
      </c>
      <c r="C3727" s="25">
        <v>3880890.26</v>
      </c>
      <c r="D3727" s="22" t="s">
        <v>6222</v>
      </c>
      <c r="E3727" s="22" t="s">
        <v>96</v>
      </c>
      <c r="F3727" s="23" t="str">
        <f>HYPERLINK("https://www.spark-marketing.ru/Card/Lot/73298750", "Оказание услуг по организации горячего питания и приготовлению пищи обучающихся из многодетных малоимущих, малоимущих семей и обучающихся с ограниченными возможностями здоровья МБОУ ""Средняя общеобразовательная школа №5""")</f>
        <v>Оказание услуг по организации горячего питания и приготовлению пищи обучающихся из многодетных малоимущих, малоимущих семей и обучающихся с ограниченными возможностями здоровья МБОУ "Средняя общеобразовательная школа №5"</v>
      </c>
      <c r="G3727" s="22" t="s">
        <v>153</v>
      </c>
      <c r="H3727" s="22" t="s">
        <v>153</v>
      </c>
      <c r="I3727" s="26">
        <v>43717.527777777803</v>
      </c>
      <c r="J3727" s="28" t="s">
        <v>51</v>
      </c>
      <c r="K3727" s="28" t="s">
        <v>51</v>
      </c>
      <c r="L3727" s="28" t="s">
        <v>51</v>
      </c>
      <c r="M3727" s="28" t="s">
        <v>51</v>
      </c>
      <c r="N3727" s="28" t="s">
        <v>51</v>
      </c>
    </row>
    <row r="3728" spans="1:14" hidden="1" outlineLevel="1" x14ac:dyDescent="0.2">
      <c r="A3728" s="23" t="str">
        <f>HYPERLINK("https://www.spark-marketing.ru/Card/Person/132156", "МБОУ ""СРЕДНЯЯ ОБЩЕОБРАЗОВАТЕЛЬНАЯ ШКОЛА №5""")</f>
        <v>МБОУ "СРЕДНЯЯ ОБЩЕОБРАЗОВАТЕЛЬНАЯ ШКОЛА №5"</v>
      </c>
      <c r="B3728" s="24" t="s">
        <v>6221</v>
      </c>
      <c r="C3728" s="25">
        <v>3880890.26</v>
      </c>
      <c r="D3728" s="22" t="s">
        <v>6222</v>
      </c>
      <c r="E3728" s="22" t="s">
        <v>96</v>
      </c>
      <c r="F3728" s="23" t="str">
        <f>HYPERLINK("https://www.spark-marketing.ru/Card/Lot/73298750", "Оказание услуг по организации горячего питания и приготовлению пищи обучающихся из многодетных малоимущих, малоимущих семей и обучающихся с ограниченными возможностями здоровья МБОУ ""Средняя общеобразовательная школа №5""")</f>
        <v>Оказание услуг по организации горячего питания и приготовлению пищи обучающихся из многодетных малоимущих, малоимущих семей и обучающихся с ограниченными возможностями здоровья МБОУ "Средняя общеобразовательная школа №5"</v>
      </c>
      <c r="G3728" s="22" t="s">
        <v>153</v>
      </c>
      <c r="H3728" s="22" t="s">
        <v>153</v>
      </c>
      <c r="I3728" s="26">
        <v>43717.527777777803</v>
      </c>
      <c r="J3728" s="23" t="str">
        <f>HYPERLINK("https://www.spark-marketing.ru/Card/Person/788397", "Меньшатов Станислав Николаевич")</f>
        <v>Меньшатов Станислав Николаевич</v>
      </c>
      <c r="K3728" s="24" t="s">
        <v>6223</v>
      </c>
      <c r="L3728" s="28" t="s">
        <v>51</v>
      </c>
      <c r="M3728" s="25">
        <v>2914548.57</v>
      </c>
      <c r="N3728" s="27">
        <v>0.24900000393208749</v>
      </c>
    </row>
    <row r="3729" spans="1:14" ht="12.75" hidden="1" outlineLevel="1" x14ac:dyDescent="0.2">
      <c r="A3729" s="23" t="str">
        <f>HYPERLINK("https://www.spark-marketing.ru/Card/Person/132156", "МБОУ ""СРЕДНЯЯ ОБЩЕОБРАЗОВАТЕЛЬНАЯ ШКОЛА №5""")</f>
        <v>МБОУ "СРЕДНЯЯ ОБЩЕОБРАЗОВАТЕЛЬНАЯ ШКОЛА №5"</v>
      </c>
      <c r="B3729" s="24" t="s">
        <v>6221</v>
      </c>
      <c r="C3729" s="25">
        <v>3880890.26</v>
      </c>
      <c r="D3729" s="22" t="s">
        <v>6222</v>
      </c>
      <c r="E3729" s="22" t="s">
        <v>96</v>
      </c>
      <c r="F3729" s="23" t="str">
        <f>HYPERLINK("https://www.spark-marketing.ru/Card/Lot/73298750", "Оказание услуг по организации горячего питания и приготовлению пищи обучающихся из многодетных малоимущих, малоимущих семей и обучающихся с ограниченными возможностями здоровья МБОУ ""Средняя общеобразовательная школа №5""")</f>
        <v>Оказание услуг по организации горячего питания и приготовлению пищи обучающихся из многодетных малоимущих, малоимущих семей и обучающихся с ограниченными возможностями здоровья МБОУ "Средняя общеобразовательная школа №5"</v>
      </c>
      <c r="G3729" s="22" t="s">
        <v>153</v>
      </c>
      <c r="H3729" s="22" t="s">
        <v>153</v>
      </c>
      <c r="I3729" s="26">
        <v>43717.527777777803</v>
      </c>
      <c r="J3729" s="23" t="str">
        <f>HYPERLINK("https://www.spark-marketing.ru/Card/Person/1016854", "МБУ ""КОМБИНАТ ПИТАНИЯ""")</f>
        <v>МБУ "КОМБИНАТ ПИТАНИЯ"</v>
      </c>
      <c r="K3729" s="24" t="s">
        <v>6224</v>
      </c>
      <c r="L3729" s="22" t="s">
        <v>10</v>
      </c>
      <c r="M3729" s="25">
        <v>2808279</v>
      </c>
      <c r="N3729" s="27">
        <v>0.27638278542820738</v>
      </c>
    </row>
    <row r="3730" spans="1:14" x14ac:dyDescent="0.15">
      <c r="A3730" s="23" t="str">
        <f>HYPERLINK("https://www.spark-marketing.ru/Card/Person/1692809", "МО МВД РОССИИ ""УНЕЧСКИЙ""")</f>
        <v>МО МВД РОССИИ "УНЕЧСКИЙ"</v>
      </c>
      <c r="B3730" s="24" t="s">
        <v>3703</v>
      </c>
      <c r="C3730" s="25">
        <v>1146600</v>
      </c>
      <c r="D3730" s="22" t="s">
        <v>6225</v>
      </c>
      <c r="E3730" s="22" t="s">
        <v>48</v>
      </c>
      <c r="F3730" s="23" t="str">
        <f>HYPERLINK("https://www.spark-marketing.ru/Card/Lot/73300633", "услуги по организации ежедневного трехразового горячего питания, в том числе в выходные и праздничные дни лиц, содержащихся в комнате административно-задержанных, изоляторе временного содержания и специальном приемнике для содержания лиц, подвергнуты...")</f>
        <v>услуги по организации ежедневного трехразового горячего питания, в том числе в выходные и праздничные дни лиц, содержащихся в комнате административно-задержанных, изоляторе временного содержания и специальном приемнике для содержания лиц, подвергнуты...</v>
      </c>
      <c r="G3730" s="22" t="s">
        <v>475</v>
      </c>
      <c r="H3730" s="22" t="s">
        <v>6226</v>
      </c>
      <c r="I3730" s="26">
        <v>43717.4506944444</v>
      </c>
      <c r="J3730" s="28" t="s">
        <v>51</v>
      </c>
      <c r="K3730" s="28" t="s">
        <v>51</v>
      </c>
      <c r="L3730" s="28" t="s">
        <v>51</v>
      </c>
      <c r="M3730" s="28" t="s">
        <v>51</v>
      </c>
      <c r="N3730" s="28" t="s">
        <v>51</v>
      </c>
    </row>
    <row r="3731" spans="1:14" x14ac:dyDescent="0.15">
      <c r="A3731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731" s="24" t="s">
        <v>967</v>
      </c>
      <c r="C3731" s="25">
        <v>498528</v>
      </c>
      <c r="D3731" s="22" t="s">
        <v>6227</v>
      </c>
      <c r="E3731" s="22" t="s">
        <v>48</v>
      </c>
      <c r="F3731" s="23" t="str">
        <f>HYPERLINK("https://www.spark-marketing.ru/Card/Lot/73297184", "питание спецконтенгента 2019")</f>
        <v>питание спецконтенгента 2019</v>
      </c>
      <c r="G3731" s="22" t="s">
        <v>104</v>
      </c>
      <c r="H3731" s="22" t="s">
        <v>969</v>
      </c>
      <c r="I3731" s="26">
        <v>43717.420138888898</v>
      </c>
      <c r="J3731" s="28" t="s">
        <v>51</v>
      </c>
      <c r="K3731" s="28" t="s">
        <v>51</v>
      </c>
      <c r="L3731" s="28" t="s">
        <v>51</v>
      </c>
      <c r="M3731" s="28" t="s">
        <v>51</v>
      </c>
      <c r="N3731" s="28" t="s">
        <v>51</v>
      </c>
    </row>
    <row r="3732" spans="1:14" ht="12.75" hidden="1" outlineLevel="1" x14ac:dyDescent="0.2">
      <c r="A3732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732" s="24" t="s">
        <v>967</v>
      </c>
      <c r="C3732" s="25">
        <v>498528</v>
      </c>
      <c r="D3732" s="22" t="s">
        <v>6227</v>
      </c>
      <c r="E3732" s="22" t="s">
        <v>48</v>
      </c>
      <c r="F3732" s="23" t="str">
        <f>HYPERLINK("https://www.spark-marketing.ru/Card/Lot/73297184", "питание спецконтенгента 2019")</f>
        <v>питание спецконтенгента 2019</v>
      </c>
      <c r="G3732" s="22" t="s">
        <v>104</v>
      </c>
      <c r="H3732" s="22" t="s">
        <v>969</v>
      </c>
      <c r="I3732" s="26">
        <v>43717.420138888898</v>
      </c>
      <c r="J3732" s="23" t="str">
        <f>HYPERLINK("https://www.spark-marketing.ru/Card/Person/130915", "ООО ""НАДЕЖДА Д.""")</f>
        <v>ООО "НАДЕЖДА Д."</v>
      </c>
      <c r="K3732" s="24" t="s">
        <v>2749</v>
      </c>
      <c r="L3732" s="22" t="s">
        <v>10</v>
      </c>
      <c r="M3732" s="25">
        <v>388800</v>
      </c>
      <c r="N3732" s="27">
        <v>0.22010398613518198</v>
      </c>
    </row>
    <row r="3733" spans="1:14" hidden="1" outlineLevel="1" x14ac:dyDescent="0.2">
      <c r="A3733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733" s="24" t="s">
        <v>967</v>
      </c>
      <c r="C3733" s="25">
        <v>498528</v>
      </c>
      <c r="D3733" s="22" t="s">
        <v>6227</v>
      </c>
      <c r="E3733" s="22" t="s">
        <v>48</v>
      </c>
      <c r="F3733" s="23" t="str">
        <f>HYPERLINK("https://www.spark-marketing.ru/Card/Lot/73297184", "питание спецконтенгента 2019")</f>
        <v>питание спецконтенгента 2019</v>
      </c>
      <c r="G3733" s="22" t="s">
        <v>104</v>
      </c>
      <c r="H3733" s="22" t="s">
        <v>969</v>
      </c>
      <c r="I3733" s="26">
        <v>43717.420138888898</v>
      </c>
      <c r="J3733" s="23" t="str">
        <f>HYPERLINK("https://www.spark-marketing.ru/Card/Person/6703409", "Северов Михаил Карпович")</f>
        <v>Северов Михаил Карпович</v>
      </c>
      <c r="K3733" s="24" t="s">
        <v>2750</v>
      </c>
      <c r="L3733" s="28" t="s">
        <v>51</v>
      </c>
      <c r="M3733" s="25">
        <v>468528</v>
      </c>
      <c r="N3733" s="27">
        <v>6.0177161563643368E-2</v>
      </c>
    </row>
    <row r="3734" spans="1:14" hidden="1" outlineLevel="1" x14ac:dyDescent="0.2">
      <c r="A3734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734" s="24" t="s">
        <v>967</v>
      </c>
      <c r="C3734" s="25">
        <v>498528</v>
      </c>
      <c r="D3734" s="22" t="s">
        <v>6227</v>
      </c>
      <c r="E3734" s="22" t="s">
        <v>48</v>
      </c>
      <c r="F3734" s="23" t="str">
        <f>HYPERLINK("https://www.spark-marketing.ru/Card/Lot/73297184", "питание спецконтенгента 2019")</f>
        <v>питание спецконтенгента 2019</v>
      </c>
      <c r="G3734" s="22" t="s">
        <v>104</v>
      </c>
      <c r="H3734" s="22" t="s">
        <v>969</v>
      </c>
      <c r="I3734" s="26">
        <v>43717.420138888898</v>
      </c>
      <c r="J3734" s="23" t="str">
        <f>HYPERLINK("https://www.spark-marketing.ru/Card/Person/456807", "Галустова Астхик Владимировна")</f>
        <v>Галустова Астхик Владимировна</v>
      </c>
      <c r="K3734" s="24" t="s">
        <v>4938</v>
      </c>
      <c r="L3734" s="28" t="s">
        <v>51</v>
      </c>
      <c r="M3734" s="25">
        <v>475200</v>
      </c>
      <c r="N3734" s="27">
        <v>4.6793760831889082E-2</v>
      </c>
    </row>
    <row r="3735" spans="1:14" x14ac:dyDescent="0.15">
      <c r="A3735" s="23" t="str">
        <f>HYPERLINK("https://www.spark-marketing.ru/Card/Person/60686", "ОМВД РОССИИ ПО КНЯЖПОГОСТСКОМУ РАЙОНУ")</f>
        <v>ОМВД РОССИИ ПО КНЯЖПОГОСТСКОМУ РАЙОНУ</v>
      </c>
      <c r="B3735" s="24" t="s">
        <v>2197</v>
      </c>
      <c r="C3735" s="25">
        <v>850000</v>
      </c>
      <c r="D3735" s="22" t="s">
        <v>6228</v>
      </c>
      <c r="E3735" s="22" t="s">
        <v>48</v>
      </c>
      <c r="F3735" s="23" t="str">
        <f>HYPERLINK("https://www.spark-marketing.ru/Card/Lot/73297501", "Услуги по организации трехразового  питания(приготовление холодной и горячей пищи) для лиц содержащихся  в ИВС,КАЗ ОМВД России по Княжпогостскому району")</f>
        <v>Услуги по организации трехразового  питания(приготовление холодной и горячей пищи) для лиц содержащихся  в ИВС,КАЗ ОМВД России по Княжпогостскому району</v>
      </c>
      <c r="G3735" s="22" t="s">
        <v>271</v>
      </c>
      <c r="H3735" s="22" t="s">
        <v>271</v>
      </c>
      <c r="I3735" s="26">
        <v>43717.411111111098</v>
      </c>
      <c r="J3735" s="28" t="s">
        <v>51</v>
      </c>
      <c r="K3735" s="28" t="s">
        <v>51</v>
      </c>
      <c r="L3735" s="28" t="s">
        <v>51</v>
      </c>
      <c r="M3735" s="28" t="s">
        <v>51</v>
      </c>
      <c r="N3735" s="28" t="s">
        <v>51</v>
      </c>
    </row>
    <row r="3736" spans="1:14" x14ac:dyDescent="0.2">
      <c r="A3736" s="23" t="str">
        <f>HYPERLINK("https://www.spark-marketing.ru/Card/Person/732701", "МДОБУ ДЕТСКИЙ САД №2 ""РАДУГА"" Г.БЕЛОРЕЦК")</f>
        <v>МДОБУ ДЕТСКИЙ САД №2 "РАДУГА" Г.БЕЛОРЕЦК</v>
      </c>
      <c r="B3736" s="24" t="s">
        <v>6229</v>
      </c>
      <c r="C3736" s="25">
        <v>1389960</v>
      </c>
      <c r="D3736" s="22" t="s">
        <v>6230</v>
      </c>
      <c r="E3736" s="22" t="s">
        <v>48</v>
      </c>
      <c r="F3736" s="23" t="str">
        <f>HYPERLINK("https://www.spark-marketing.ru/Card/Lot/73298885", "Оказание услуги по организации горячего питания")</f>
        <v>Оказание услуги по организации горячего питания</v>
      </c>
      <c r="G3736" s="22" t="s">
        <v>145</v>
      </c>
      <c r="H3736" s="22" t="s">
        <v>6054</v>
      </c>
      <c r="I3736" s="26">
        <v>43717.474305555603</v>
      </c>
      <c r="J3736" s="23" t="str">
        <f>HYPERLINK("https://www.spark-marketing.ru/Card/Person/91854", "ООО ""УП ""МЕТАЛЛУРГ""")</f>
        <v>ООО "УП "МЕТАЛЛУРГ"</v>
      </c>
      <c r="K3736" s="24" t="s">
        <v>6183</v>
      </c>
      <c r="L3736" s="28" t="s">
        <v>51</v>
      </c>
      <c r="M3736" s="25">
        <v>1389960</v>
      </c>
      <c r="N3736" s="27">
        <v>0</v>
      </c>
    </row>
    <row r="3737" spans="1:14" x14ac:dyDescent="0.15">
      <c r="A3737" s="23" t="str">
        <f>HYPERLINK("https://www.spark-marketing.ru/Card/Person/4347220", "АДМИНИСТРАЦИЯ ГОРОДА КРАСНОЯРСКА")</f>
        <v>АДМИНИСТРАЦИЯ ГОРОДА КРАСНОЯРСКА</v>
      </c>
      <c r="B3737" s="24" t="s">
        <v>6231</v>
      </c>
      <c r="C3737" s="25">
        <v>941200</v>
      </c>
      <c r="D3737" s="22" t="s">
        <v>6232</v>
      </c>
      <c r="E3737" s="22" t="s">
        <v>96</v>
      </c>
      <c r="F3737" s="23" t="str">
        <f>HYPERLINK("https://www.spark-marketing.ru/Card/Lot/73291741", "Оказание услуг по организации питания при проведении мероприятий протокольного характера и других официальных  мероприятий")</f>
        <v>Оказание услуг по организации питания при проведении мероприятий протокольного характера и других официальных  мероприятий</v>
      </c>
      <c r="G3737" s="22" t="s">
        <v>281</v>
      </c>
      <c r="H3737" s="22" t="s">
        <v>281</v>
      </c>
      <c r="I3737" s="26">
        <v>43717.3930555556</v>
      </c>
      <c r="J3737" s="28" t="s">
        <v>51</v>
      </c>
      <c r="K3737" s="28" t="s">
        <v>51</v>
      </c>
      <c r="L3737" s="28" t="s">
        <v>51</v>
      </c>
      <c r="M3737" s="28" t="s">
        <v>51</v>
      </c>
      <c r="N3737" s="28" t="s">
        <v>51</v>
      </c>
    </row>
    <row r="3738" spans="1:14" hidden="1" outlineLevel="1" x14ac:dyDescent="0.2">
      <c r="A3738" s="23" t="str">
        <f>HYPERLINK("https://www.spark-marketing.ru/Card/Person/4347220", "АДМИНИСТРАЦИЯ ГОРОДА КРАСНОЯРСКА")</f>
        <v>АДМИНИСТРАЦИЯ ГОРОДА КРАСНОЯРСКА</v>
      </c>
      <c r="B3738" s="24" t="s">
        <v>6231</v>
      </c>
      <c r="C3738" s="25">
        <v>941200</v>
      </c>
      <c r="D3738" s="22" t="s">
        <v>6232</v>
      </c>
      <c r="E3738" s="22" t="s">
        <v>96</v>
      </c>
      <c r="F3738" s="23" t="str">
        <f>HYPERLINK("https://www.spark-marketing.ru/Card/Lot/73291741", "Оказание услуг по организации питания при проведении мероприятий протокольного характера и других официальных  мероприятий")</f>
        <v>Оказание услуг по организации питания при проведении мероприятий протокольного характера и других официальных  мероприятий</v>
      </c>
      <c r="G3738" s="22" t="s">
        <v>281</v>
      </c>
      <c r="H3738" s="22" t="s">
        <v>281</v>
      </c>
      <c r="I3738" s="26">
        <v>43717.3930555556</v>
      </c>
      <c r="J3738" s="23" t="str">
        <f>HYPERLINK("https://www.spark-marketing.ru/Card/Person/1911223", "ООО ""ЛЕ РОЙ ТРЕЙДИНГ""")</f>
        <v>ООО "ЛЕ РОЙ ТРЕЙДИНГ"</v>
      </c>
      <c r="K3738" s="24" t="s">
        <v>6233</v>
      </c>
      <c r="L3738" s="28" t="s">
        <v>51</v>
      </c>
      <c r="M3738" s="25">
        <v>644722</v>
      </c>
      <c r="N3738" s="27">
        <v>0.315</v>
      </c>
    </row>
    <row r="3739" spans="1:14" hidden="1" outlineLevel="1" x14ac:dyDescent="0.2">
      <c r="A3739" s="23" t="str">
        <f>HYPERLINK("https://www.spark-marketing.ru/Card/Person/4347220", "АДМИНИСТРАЦИЯ ГОРОДА КРАСНОЯРСКА")</f>
        <v>АДМИНИСТРАЦИЯ ГОРОДА КРАСНОЯРСКА</v>
      </c>
      <c r="B3739" s="24" t="s">
        <v>6231</v>
      </c>
      <c r="C3739" s="25">
        <v>941200</v>
      </c>
      <c r="D3739" s="22" t="s">
        <v>6232</v>
      </c>
      <c r="E3739" s="22" t="s">
        <v>96</v>
      </c>
      <c r="F3739" s="23" t="str">
        <f>HYPERLINK("https://www.spark-marketing.ru/Card/Lot/73291741", "Оказание услуг по организации питания при проведении мероприятий протокольного характера и других официальных  мероприятий")</f>
        <v>Оказание услуг по организации питания при проведении мероприятий протокольного характера и других официальных  мероприятий</v>
      </c>
      <c r="G3739" s="22" t="s">
        <v>281</v>
      </c>
      <c r="H3739" s="22" t="s">
        <v>281</v>
      </c>
      <c r="I3739" s="26">
        <v>43717.3930555556</v>
      </c>
      <c r="J3739" s="23" t="str">
        <f>HYPERLINK("https://www.spark-marketing.ru/Card/Person/6460701", "ООО ""УСАДЬБА+""")</f>
        <v>ООО "УСАДЬБА+"</v>
      </c>
      <c r="K3739" s="24" t="s">
        <v>6234</v>
      </c>
      <c r="L3739" s="28" t="s">
        <v>51</v>
      </c>
      <c r="M3739" s="25">
        <v>738842</v>
      </c>
      <c r="N3739" s="27">
        <v>0.215</v>
      </c>
    </row>
    <row r="3740" spans="1:14" ht="12.75" hidden="1" outlineLevel="1" x14ac:dyDescent="0.2">
      <c r="A3740" s="23" t="str">
        <f>HYPERLINK("https://www.spark-marketing.ru/Card/Person/4347220", "АДМИНИСТРАЦИЯ ГОРОДА КРАСНОЯРСКА")</f>
        <v>АДМИНИСТРАЦИЯ ГОРОДА КРАСНОЯРСКА</v>
      </c>
      <c r="B3740" s="24" t="s">
        <v>6231</v>
      </c>
      <c r="C3740" s="25">
        <v>941200</v>
      </c>
      <c r="D3740" s="22" t="s">
        <v>6232</v>
      </c>
      <c r="E3740" s="22" t="s">
        <v>96</v>
      </c>
      <c r="F3740" s="23" t="str">
        <f>HYPERLINK("https://www.spark-marketing.ru/Card/Lot/73291741", "Оказание услуг по организации питания при проведении мероприятий протокольного характера и других официальных  мероприятий")</f>
        <v>Оказание услуг по организации питания при проведении мероприятий протокольного характера и других официальных  мероприятий</v>
      </c>
      <c r="G3740" s="22" t="s">
        <v>281</v>
      </c>
      <c r="H3740" s="22" t="s">
        <v>281</v>
      </c>
      <c r="I3740" s="26">
        <v>43717.3930555556</v>
      </c>
      <c r="J3740" s="23" t="str">
        <f>HYPERLINK("https://www.spark-marketing.ru/Card/Person/4395841", "ООО ""СИСТЕМНЫЕ РЕШЕНИЯ""")</f>
        <v>ООО "СИСТЕМНЫЕ РЕШЕНИЯ"</v>
      </c>
      <c r="K3740" s="24" t="s">
        <v>6235</v>
      </c>
      <c r="L3740" s="22" t="s">
        <v>10</v>
      </c>
      <c r="M3740" s="25">
        <v>640016</v>
      </c>
      <c r="N3740" s="27">
        <v>0.32</v>
      </c>
    </row>
    <row r="3741" spans="1:14" x14ac:dyDescent="0.15">
      <c r="A3741" s="23" t="str">
        <f>HYPERLINK("https://www.spark-marketing.ru/Card/Person/21947", "ГБУЗ СО ""КРАСНОУРАЛЬСКАЯ ГБ""")</f>
        <v>ГБУЗ СО "КРАСНОУРАЛЬСКАЯ ГБ"</v>
      </c>
      <c r="B3741" s="24" t="s">
        <v>1524</v>
      </c>
      <c r="C3741" s="25">
        <v>2392420</v>
      </c>
      <c r="D3741" s="22" t="s">
        <v>6236</v>
      </c>
      <c r="E3741" s="22" t="s">
        <v>48</v>
      </c>
      <c r="F3741" s="23" t="str">
        <f>HYPERLINK("https://www.spark-marketing.ru/Card/Lot/73292826", "Услуги по организации питания")</f>
        <v>Услуги по организации питания</v>
      </c>
      <c r="G3741" s="22" t="s">
        <v>174</v>
      </c>
      <c r="H3741" s="22" t="s">
        <v>1526</v>
      </c>
      <c r="I3741" s="26">
        <v>43717.375694444403</v>
      </c>
      <c r="J3741" s="28" t="s">
        <v>51</v>
      </c>
      <c r="K3741" s="28" t="s">
        <v>51</v>
      </c>
      <c r="L3741" s="28" t="s">
        <v>51</v>
      </c>
      <c r="M3741" s="28" t="s">
        <v>51</v>
      </c>
      <c r="N3741" s="28" t="s">
        <v>51</v>
      </c>
    </row>
    <row r="3742" spans="1:14" x14ac:dyDescent="0.15">
      <c r="A3742" s="23" t="str">
        <f>HYPERLINK("https://www.spark-marketing.ru/Card/Person/1083844", "ОМВД РОССИИ ПО ГОРОДУ САЯНОГОРСКУ")</f>
        <v>ОМВД РОССИИ ПО ГОРОДУ САЯНОГОРСКУ</v>
      </c>
      <c r="B3742" s="24" t="s">
        <v>6237</v>
      </c>
      <c r="C3742" s="25">
        <v>831953.38</v>
      </c>
      <c r="D3742" s="22" t="s">
        <v>6238</v>
      </c>
      <c r="E3742" s="22" t="s">
        <v>48</v>
      </c>
      <c r="F3742" s="23" t="str">
        <f>HYPERLINK("https://www.spark-marketing.ru/Card/Lot/73291678", "Прочая закупка услуг (Услуги по обеспечению горячим трехразовым питанием лиц, содержащихся в изоляторе временного содержания и лиц, находящихся в камерах содержания задержанных лиц более 3-х часов ОМВД России по городу Саяногорску)")</f>
        <v>Прочая закупка услуг (Услуги по обеспечению горячим трехразовым питанием лиц, содержащихся в изоляторе временного содержания и лиц, находящихся в камерах содержания задержанных лиц более 3-х часов ОМВД России по городу Саяногорску)</v>
      </c>
      <c r="G3742" s="22" t="s">
        <v>92</v>
      </c>
      <c r="H3742" s="22" t="s">
        <v>6239</v>
      </c>
      <c r="I3742" s="26">
        <v>43717.401388888902</v>
      </c>
      <c r="J3742" s="23" t="str">
        <f>HYPERLINK("https://www.spark-marketing.ru/Card/Person/652202", "Бурмагина Татьяна Александровна")</f>
        <v>Бурмагина Татьяна Александровна</v>
      </c>
      <c r="K3742" s="24" t="s">
        <v>6240</v>
      </c>
      <c r="L3742" s="22" t="s">
        <v>10</v>
      </c>
      <c r="M3742" s="28" t="s">
        <v>51</v>
      </c>
      <c r="N3742" s="28" t="s">
        <v>51</v>
      </c>
    </row>
    <row r="3743" spans="1:14" x14ac:dyDescent="0.15">
      <c r="A3743" s="23" t="str">
        <f>HYPERLINK("https://www.spark-marketing.ru/Card/Person/65701", "СПБ ГБУ СШОР ПО ВВС ""НЕВСКАЯ ВОЛНА""")</f>
        <v>СПБ ГБУ СШОР ПО ВВС "НЕВСКАЯ ВОЛНА"</v>
      </c>
      <c r="B3743" s="24" t="s">
        <v>6241</v>
      </c>
      <c r="C3743" s="25">
        <v>1414597.07</v>
      </c>
      <c r="D3743" s="22" t="s">
        <v>6242</v>
      </c>
      <c r="E3743" s="22" t="s">
        <v>6243</v>
      </c>
      <c r="F3743" s="23" t="str">
        <f>HYPERLINK("https://www.spark-marketing.ru/Card/Lot/73297653", "Оказание услуги по организации выездов обучающихся отделения «Прыжки в воду» и сопровождающих их лиц на тренировочные мероприятия за пределами Санкт-Петербурга и Ленинградской области для нужд СПб ГБУ СШОР по ВВС «Невская волна» в 2019 году .")</f>
        <v>Оказание услуги по организации выездов обучающихся отделения «Прыжки в воду» и сопровождающих их лиц на тренировочные мероприятия за пределами Санкт-Петербурга и Ленинградской области для нужд СПб ГБУ СШОР по ВВС «Невская волна» в 2019 году .</v>
      </c>
      <c r="G3743" s="22" t="s">
        <v>117</v>
      </c>
      <c r="H3743" s="22" t="s">
        <v>117</v>
      </c>
      <c r="I3743" s="26">
        <v>43717.390972222202</v>
      </c>
      <c r="J3743" s="28" t="s">
        <v>51</v>
      </c>
      <c r="K3743" s="28" t="s">
        <v>51</v>
      </c>
      <c r="L3743" s="28" t="s">
        <v>51</v>
      </c>
      <c r="M3743" s="28" t="s">
        <v>51</v>
      </c>
      <c r="N3743" s="28" t="s">
        <v>51</v>
      </c>
    </row>
    <row r="3744" spans="1:14" ht="12.75" hidden="1" outlineLevel="1" x14ac:dyDescent="0.2">
      <c r="A3744" s="23" t="str">
        <f>HYPERLINK("https://www.spark-marketing.ru/Card/Person/65701", "СПБ ГБУ СШОР ПО ВВС ""НЕВСКАЯ ВОЛНА""")</f>
        <v>СПБ ГБУ СШОР ПО ВВС "НЕВСКАЯ ВОЛНА"</v>
      </c>
      <c r="B3744" s="24" t="s">
        <v>6241</v>
      </c>
      <c r="C3744" s="25">
        <v>1414597.07</v>
      </c>
      <c r="D3744" s="22" t="s">
        <v>6242</v>
      </c>
      <c r="E3744" s="22" t="s">
        <v>6243</v>
      </c>
      <c r="F3744" s="23" t="str">
        <f>HYPERLINK("https://www.spark-marketing.ru/Card/Lot/73297653", "Оказание услуги по организации выездов обучающихся отделения «Прыжки в воду» и сопровождающих их лиц на тренировочные мероприятия за пределами Санкт-Петербурга и Ленинградской области для нужд СПб ГБУ СШОР по ВВС «Невская волна» в 2019 году .")</f>
        <v>Оказание услуги по организации выездов обучающихся отделения «Прыжки в воду» и сопровождающих их лиц на тренировочные мероприятия за пределами Санкт-Петербурга и Ленинградской области для нужд СПб ГБУ СШОР по ВВС «Невская волна» в 2019 году .</v>
      </c>
      <c r="G3744" s="22" t="s">
        <v>117</v>
      </c>
      <c r="H3744" s="22" t="s">
        <v>117</v>
      </c>
      <c r="I3744" s="26">
        <v>43717.390972222202</v>
      </c>
      <c r="J3744" s="23" t="str">
        <f>HYPERLINK("https://www.spark-marketing.ru/Card/Person/1567791", "ООО ""ТЕРРА""")</f>
        <v>ООО "ТЕРРА"</v>
      </c>
      <c r="K3744" s="24" t="s">
        <v>6244</v>
      </c>
      <c r="L3744" s="22" t="s">
        <v>10</v>
      </c>
      <c r="M3744" s="25">
        <v>1407524.08</v>
      </c>
      <c r="N3744" s="27">
        <v>5.0000032871551194E-3</v>
      </c>
    </row>
    <row r="3745" spans="1:14" hidden="1" outlineLevel="1" x14ac:dyDescent="0.2">
      <c r="A3745" s="23" t="str">
        <f>HYPERLINK("https://www.spark-marketing.ru/Card/Person/65701", "СПБ ГБУ СШОР ПО ВВС ""НЕВСКАЯ ВОЛНА""")</f>
        <v>СПБ ГБУ СШОР ПО ВВС "НЕВСКАЯ ВОЛНА"</v>
      </c>
      <c r="B3745" s="24" t="s">
        <v>6241</v>
      </c>
      <c r="C3745" s="25">
        <v>1414597.07</v>
      </c>
      <c r="D3745" s="22" t="s">
        <v>6242</v>
      </c>
      <c r="E3745" s="22" t="s">
        <v>6243</v>
      </c>
      <c r="F3745" s="23" t="str">
        <f>HYPERLINK("https://www.spark-marketing.ru/Card/Lot/73297653", "Оказание услуги по организации выездов обучающихся отделения «Прыжки в воду» и сопровождающих их лиц на тренировочные мероприятия за пределами Санкт-Петербурга и Ленинградской области для нужд СПб ГБУ СШОР по ВВС «Невская волна» в 2019 году .")</f>
        <v>Оказание услуги по организации выездов обучающихся отделения «Прыжки в воду» и сопровождающих их лиц на тренировочные мероприятия за пределами Санкт-Петербурга и Ленинградской области для нужд СПб ГБУ СШОР по ВВС «Невская волна» в 2019 году .</v>
      </c>
      <c r="G3745" s="22" t="s">
        <v>117</v>
      </c>
      <c r="H3745" s="22" t="s">
        <v>117</v>
      </c>
      <c r="I3745" s="26">
        <v>43717.390972222202</v>
      </c>
      <c r="J3745" s="23" t="str">
        <f>HYPERLINK("https://www.spark-marketing.ru/Card/Person/51418", "ООО ""ВОСХОД""")</f>
        <v>ООО "ВОСХОД"</v>
      </c>
      <c r="K3745" s="24" t="s">
        <v>3062</v>
      </c>
      <c r="L3745" s="28" t="s">
        <v>51</v>
      </c>
      <c r="M3745" s="25">
        <v>1406000</v>
      </c>
      <c r="N3745" s="27">
        <v>6.0773984213045203E-3</v>
      </c>
    </row>
    <row r="3746" spans="1:14" hidden="1" outlineLevel="1" x14ac:dyDescent="0.2">
      <c r="A3746" s="23" t="str">
        <f>HYPERLINK("https://www.spark-marketing.ru/Card/Person/65701", "СПБ ГБУ СШОР ПО ВВС ""НЕВСКАЯ ВОЛНА""")</f>
        <v>СПБ ГБУ СШОР ПО ВВС "НЕВСКАЯ ВОЛНА"</v>
      </c>
      <c r="B3746" s="24" t="s">
        <v>6241</v>
      </c>
      <c r="C3746" s="25">
        <v>1414597.07</v>
      </c>
      <c r="D3746" s="22" t="s">
        <v>6242</v>
      </c>
      <c r="E3746" s="22" t="s">
        <v>6243</v>
      </c>
      <c r="F3746" s="23" t="str">
        <f>HYPERLINK("https://www.spark-marketing.ru/Card/Lot/73297653", "Оказание услуги по организации выездов обучающихся отделения «Прыжки в воду» и сопровождающих их лиц на тренировочные мероприятия за пределами Санкт-Петербурга и Ленинградской области для нужд СПб ГБУ СШОР по ВВС «Невская волна» в 2019 году .")</f>
        <v>Оказание услуги по организации выездов обучающихся отделения «Прыжки в воду» и сопровождающих их лиц на тренировочные мероприятия за пределами Санкт-Петербурга и Ленинградской области для нужд СПб ГБУ СШОР по ВВС «Невская волна» в 2019 году .</v>
      </c>
      <c r="G3746" s="22" t="s">
        <v>117</v>
      </c>
      <c r="H3746" s="22" t="s">
        <v>117</v>
      </c>
      <c r="I3746" s="26">
        <v>43717.390972222202</v>
      </c>
      <c r="J3746" s="23" t="str">
        <f>HYPERLINK("https://www.spark-marketing.ru/Card/Person/6369393", "ООО ""ВЕКТОР ГРУПП""")</f>
        <v>ООО "ВЕКТОР ГРУПП"</v>
      </c>
      <c r="K3746" s="24" t="s">
        <v>4733</v>
      </c>
      <c r="L3746" s="28" t="s">
        <v>51</v>
      </c>
      <c r="M3746" s="25">
        <v>1145823.5</v>
      </c>
      <c r="N3746" s="27">
        <v>0.19000008956614056</v>
      </c>
    </row>
    <row r="3747" spans="1:14" hidden="1" outlineLevel="1" x14ac:dyDescent="0.2">
      <c r="A3747" s="23" t="str">
        <f>HYPERLINK("https://www.spark-marketing.ru/Card/Person/65701", "СПБ ГБУ СШОР ПО ВВС ""НЕВСКАЯ ВОЛНА""")</f>
        <v>СПБ ГБУ СШОР ПО ВВС "НЕВСКАЯ ВОЛНА"</v>
      </c>
      <c r="B3747" s="24" t="s">
        <v>6241</v>
      </c>
      <c r="C3747" s="25">
        <v>1414597.07</v>
      </c>
      <c r="D3747" s="22" t="s">
        <v>6242</v>
      </c>
      <c r="E3747" s="22" t="s">
        <v>6243</v>
      </c>
      <c r="F3747" s="23" t="str">
        <f>HYPERLINK("https://www.spark-marketing.ru/Card/Lot/73297653", "Оказание услуги по организации выездов обучающихся отделения «Прыжки в воду» и сопровождающих их лиц на тренировочные мероприятия за пределами Санкт-Петербурга и Ленинградской области для нужд СПб ГБУ СШОР по ВВС «Невская волна» в 2019 году .")</f>
        <v>Оказание услуги по организации выездов обучающихся отделения «Прыжки в воду» и сопровождающих их лиц на тренировочные мероприятия за пределами Санкт-Петербурга и Ленинградской области для нужд СПб ГБУ СШОР по ВВС «Невская волна» в 2019 году .</v>
      </c>
      <c r="G3747" s="22" t="s">
        <v>117</v>
      </c>
      <c r="H3747" s="22" t="s">
        <v>117</v>
      </c>
      <c r="I3747" s="26">
        <v>43717.390972222202</v>
      </c>
      <c r="J3747" s="23" t="str">
        <f>HYPERLINK("https://www.spark-marketing.ru/Card/Person/6497820", "ООО ""ГЛОБУС ТРЭВЭЛ""")</f>
        <v>ООО "ГЛОБУС ТРЭВЭЛ"</v>
      </c>
      <c r="K3747" s="24" t="s">
        <v>6245</v>
      </c>
      <c r="L3747" s="28" t="s">
        <v>51</v>
      </c>
      <c r="M3747" s="25">
        <v>1138750.51</v>
      </c>
      <c r="N3747" s="27">
        <v>0.19500009285329567</v>
      </c>
    </row>
    <row r="3748" spans="1:14" x14ac:dyDescent="0.15">
      <c r="A3748" s="23" t="str">
        <f>HYPERLINK("https://www.spark-marketing.ru/Card/Person/75900", "ПРОКУРАТУРА РЕСПУБЛИКИ ХАКАСИЯ")</f>
        <v>ПРОКУРАТУРА РЕСПУБЛИКИ ХАКАСИЯ</v>
      </c>
      <c r="B3748" s="24" t="s">
        <v>6246</v>
      </c>
      <c r="C3748" s="25">
        <v>100000</v>
      </c>
      <c r="D3748" s="22" t="s">
        <v>6247</v>
      </c>
      <c r="E3748" s="22" t="s">
        <v>91</v>
      </c>
      <c r="F3748" s="23" t="str">
        <f>HYPERLINK("https://www.spark-marketing.ru/Card/Lot/73291540", "Оказание услуг по обслуживанию копировально- множительной техники")</f>
        <v>Оказание услуг по обслуживанию копировально- множительной техники</v>
      </c>
      <c r="G3748" s="22" t="s">
        <v>92</v>
      </c>
      <c r="H3748" s="22" t="s">
        <v>92</v>
      </c>
      <c r="I3748" s="26">
        <v>43717.368055555598</v>
      </c>
      <c r="J3748" s="23" t="str">
        <f>HYPERLINK("https://www.spark-marketing.ru/Card/Person/932016", "Емашев Евгений Викторович")</f>
        <v>Емашев Евгений Викторович</v>
      </c>
      <c r="K3748" s="24" t="s">
        <v>6248</v>
      </c>
      <c r="L3748" s="28" t="s">
        <v>51</v>
      </c>
      <c r="M3748" s="28" t="s">
        <v>51</v>
      </c>
      <c r="N3748" s="28" t="s">
        <v>51</v>
      </c>
    </row>
    <row r="3749" spans="1:14" ht="12.75" hidden="1" outlineLevel="1" x14ac:dyDescent="0.2">
      <c r="A3749" s="23" t="str">
        <f>HYPERLINK("https://www.spark-marketing.ru/Card/Person/75900", "ПРОКУРАТУРА РЕСПУБЛИКИ ХАКАСИЯ")</f>
        <v>ПРОКУРАТУРА РЕСПУБЛИКИ ХАКАСИЯ</v>
      </c>
      <c r="B3749" s="24" t="s">
        <v>6246</v>
      </c>
      <c r="C3749" s="25">
        <v>100000</v>
      </c>
      <c r="D3749" s="22" t="s">
        <v>6247</v>
      </c>
      <c r="E3749" s="22" t="s">
        <v>91</v>
      </c>
      <c r="F3749" s="23" t="str">
        <f>HYPERLINK("https://www.spark-marketing.ru/Card/Lot/73291540", "Оказание услуг по обслуживанию копировально- множительной техники")</f>
        <v>Оказание услуг по обслуживанию копировально- множительной техники</v>
      </c>
      <c r="G3749" s="22" t="s">
        <v>92</v>
      </c>
      <c r="H3749" s="22" t="s">
        <v>92</v>
      </c>
      <c r="I3749" s="26">
        <v>43717.368055555598</v>
      </c>
      <c r="J3749" s="23" t="str">
        <f>HYPERLINK("https://www.spark-marketing.ru/Card/Person/932016", "Емашев Евгений Викторович")</f>
        <v>Емашев Евгений Викторович</v>
      </c>
      <c r="K3749" s="24" t="s">
        <v>6248</v>
      </c>
      <c r="L3749" s="22" t="s">
        <v>10</v>
      </c>
      <c r="M3749" s="25">
        <v>350468.85</v>
      </c>
      <c r="N3749" s="27">
        <v>-2.5046884999999999</v>
      </c>
    </row>
    <row r="3750" spans="1:14" x14ac:dyDescent="0.15">
      <c r="A3750" s="23" t="str">
        <f>HYPERLINK("https://www.spark-marketing.ru/Card/Person/101014", "МОУ ""ГИМНАЗИЯ №4""")</f>
        <v>МОУ "ГИМНАЗИЯ №4"</v>
      </c>
      <c r="B3750" s="24" t="s">
        <v>6249</v>
      </c>
      <c r="C3750" s="25">
        <v>16352912</v>
      </c>
      <c r="D3750" s="22" t="s">
        <v>6250</v>
      </c>
      <c r="E3750" s="22" t="s">
        <v>48</v>
      </c>
      <c r="F3750" s="23" t="str">
        <f>HYPERLINK("https://www.spark-marketing.ru/Card/Lot/73297677", "Оказание услуг по организации питания для обучающихся в муниципальном общеобразовательном учреждение «Гимназия №4»")</f>
        <v>Оказание услуг по организации питания для обучающихся в муниципальном общеобразовательном учреждение «Гимназия №4»</v>
      </c>
      <c r="G3750" s="22" t="s">
        <v>49</v>
      </c>
      <c r="H3750" s="22" t="s">
        <v>742</v>
      </c>
      <c r="I3750" s="26">
        <v>43717.373611111099</v>
      </c>
      <c r="J3750" s="28" t="s">
        <v>51</v>
      </c>
      <c r="K3750" s="28" t="s">
        <v>51</v>
      </c>
      <c r="L3750" s="28" t="s">
        <v>51</v>
      </c>
      <c r="M3750" s="28" t="s">
        <v>51</v>
      </c>
      <c r="N3750" s="28" t="s">
        <v>51</v>
      </c>
    </row>
    <row r="3751" spans="1:14" hidden="1" outlineLevel="1" x14ac:dyDescent="0.2">
      <c r="A3751" s="23" t="str">
        <f>HYPERLINK("https://www.spark-marketing.ru/Card/Person/101014", "МОУ ""ГИМНАЗИЯ №4""")</f>
        <v>МОУ "ГИМНАЗИЯ №4"</v>
      </c>
      <c r="B3751" s="24" t="s">
        <v>6249</v>
      </c>
      <c r="C3751" s="25">
        <v>16352912</v>
      </c>
      <c r="D3751" s="22" t="s">
        <v>6250</v>
      </c>
      <c r="E3751" s="22" t="s">
        <v>48</v>
      </c>
      <c r="F3751" s="23" t="str">
        <f>HYPERLINK("https://www.spark-marketing.ru/Card/Lot/73297677", "Оказание услуг по организации питания для обучающихся в муниципальном общеобразовательном учреждение «Гимназия №4»")</f>
        <v>Оказание услуг по организации питания для обучающихся в муниципальном общеобразовательном учреждение «Гимназия №4»</v>
      </c>
      <c r="G3751" s="22" t="s">
        <v>49</v>
      </c>
      <c r="H3751" s="22" t="s">
        <v>742</v>
      </c>
      <c r="I3751" s="26">
        <v>43717.373611111099</v>
      </c>
      <c r="J3751" s="23" t="str">
        <f>HYPERLINK("https://www.spark-marketing.ru/Card/Person/60153", "ООО МОЛОЧНЫЙ ЗАВОД ""НАРО-ФОМИНСКИЙ""")</f>
        <v>ООО МОЛОЧНЫЙ ЗАВОД "НАРО-ФОМИНСКИЙ"</v>
      </c>
      <c r="K3751" s="24" t="s">
        <v>5326</v>
      </c>
      <c r="L3751" s="28" t="s">
        <v>51</v>
      </c>
      <c r="M3751" s="25">
        <v>15310064</v>
      </c>
      <c r="N3751" s="27">
        <v>6.3771394354717986E-2</v>
      </c>
    </row>
    <row r="3752" spans="1:14" ht="12.75" hidden="1" outlineLevel="1" x14ac:dyDescent="0.2">
      <c r="A3752" s="23" t="str">
        <f>HYPERLINK("https://www.spark-marketing.ru/Card/Person/101014", "МОУ ""ГИМНАЗИЯ №4""")</f>
        <v>МОУ "ГИМНАЗИЯ №4"</v>
      </c>
      <c r="B3752" s="24" t="s">
        <v>6249</v>
      </c>
      <c r="C3752" s="25">
        <v>16352912</v>
      </c>
      <c r="D3752" s="22" t="s">
        <v>6250</v>
      </c>
      <c r="E3752" s="22" t="s">
        <v>48</v>
      </c>
      <c r="F3752" s="23" t="str">
        <f>HYPERLINK("https://www.spark-marketing.ru/Card/Lot/73297677", "Оказание услуг по организации питания для обучающихся в муниципальном общеобразовательном учреждение «Гимназия №4»")</f>
        <v>Оказание услуг по организации питания для обучающихся в муниципальном общеобразовательном учреждение «Гимназия №4»</v>
      </c>
      <c r="G3752" s="22" t="s">
        <v>49</v>
      </c>
      <c r="H3752" s="22" t="s">
        <v>742</v>
      </c>
      <c r="I3752" s="26">
        <v>43717.373611111099</v>
      </c>
      <c r="J3752" s="23" t="str">
        <f>HYPERLINK("https://www.spark-marketing.ru/Card/Person/57370", "ООО ""КП ""ЭКОПРОДУКТ""")</f>
        <v>ООО "КП "ЭКОПРОДУКТ"</v>
      </c>
      <c r="K3752" s="24" t="s">
        <v>6251</v>
      </c>
      <c r="L3752" s="22" t="s">
        <v>10</v>
      </c>
      <c r="M3752" s="25">
        <v>16352912</v>
      </c>
      <c r="N3752" s="27">
        <v>0</v>
      </c>
    </row>
    <row r="3753" spans="1:14" ht="12.75" x14ac:dyDescent="0.2">
      <c r="A3753" s="23" t="str">
        <f>HYPERLINK("https://www.spark-marketing.ru/Card/Person/538247", "МОМВД РОССИИ ""ЗНАМЕНСКИЙ""")</f>
        <v>МОМВД РОССИИ "ЗНАМЕНСКИЙ"</v>
      </c>
      <c r="B3753" s="24" t="s">
        <v>6252</v>
      </c>
      <c r="C3753" s="25">
        <v>113500</v>
      </c>
      <c r="D3753" s="22" t="s">
        <v>6253</v>
      </c>
      <c r="E3753" s="22" t="s">
        <v>48</v>
      </c>
      <c r="F3753" s="23" t="str">
        <f>HYPERLINK("https://www.spark-marketing.ru/Card/Lot/73294735", "Оказание услуг по приготовлению и поставке питания для лиц содержащихся в ИВС и СПЗЛ МОМВД России ""Знаменский""")</f>
        <v>Оказание услуг по приготовлению и поставке питания для лиц содержащихся в ИВС и СПЗЛ МОМВД России "Знаменский"</v>
      </c>
      <c r="G3753" s="22" t="s">
        <v>1370</v>
      </c>
      <c r="H3753" s="22" t="s">
        <v>6254</v>
      </c>
      <c r="I3753" s="26">
        <v>43717.357638888898</v>
      </c>
      <c r="J3753" s="23" t="str">
        <f>HYPERLINK("https://www.spark-marketing.ru/Card/Person/6553501", "Шефлер Павел Николаевич")</f>
        <v>Шефлер Павел Николаевич</v>
      </c>
      <c r="K3753" s="24" t="s">
        <v>6255</v>
      </c>
      <c r="L3753" s="22" t="s">
        <v>10</v>
      </c>
      <c r="M3753" s="25">
        <v>113500</v>
      </c>
      <c r="N3753" s="27">
        <v>0</v>
      </c>
    </row>
    <row r="3754" spans="1:14" x14ac:dyDescent="0.15">
      <c r="A3754" s="23" t="str">
        <f>HYPERLINK("https://www.spark-marketing.ru/Card/Person/150965", "МО МВД РОССИИ ""КИРОВО-ЧЕПЕЦКИЙ""")</f>
        <v>МО МВД РОССИИ "КИРОВО-ЧЕПЕЦКИЙ"</v>
      </c>
      <c r="B3754" s="24" t="s">
        <v>6256</v>
      </c>
      <c r="C3754" s="25">
        <v>777192</v>
      </c>
      <c r="D3754" s="22" t="s">
        <v>6257</v>
      </c>
      <c r="E3754" s="22" t="s">
        <v>48</v>
      </c>
      <c r="F3754" s="23" t="str">
        <f>HYPERLINK("https://www.spark-marketing.ru/Card/Lot/73293699", "оказание услуг по организации питания лиц содержащихся в специальных помещениях содержания задержанных лиц")</f>
        <v>оказание услуг по организации питания лиц содержащихся в специальных помещениях содержания задержанных лиц</v>
      </c>
      <c r="G3754" s="22" t="s">
        <v>224</v>
      </c>
      <c r="H3754" s="22" t="s">
        <v>224</v>
      </c>
      <c r="I3754" s="26">
        <v>43717.333333333299</v>
      </c>
      <c r="J3754" s="23" t="str">
        <f>HYPERLINK("https://www.spark-marketing.ru/Card/Person/51950", "ООО ""ЗДОРОВОЕ ПИТАНИЕ""")</f>
        <v>ООО "ЗДОРОВОЕ ПИТАНИЕ"</v>
      </c>
      <c r="K3754" s="24" t="s">
        <v>2336</v>
      </c>
      <c r="L3754" s="22" t="s">
        <v>10</v>
      </c>
      <c r="M3754" s="28" t="s">
        <v>51</v>
      </c>
      <c r="N3754" s="28" t="s">
        <v>51</v>
      </c>
    </row>
    <row r="3755" spans="1:14" x14ac:dyDescent="0.15">
      <c r="A3755" s="23" t="str">
        <f>HYPERLINK("https://www.spark-marketing.ru/Card/Person/150965", "МО МВД РОССИИ ""КИРОВО-ЧЕПЕЦКИЙ""")</f>
        <v>МО МВД РОССИИ "КИРОВО-ЧЕПЕЦКИЙ"</v>
      </c>
      <c r="B3755" s="24" t="s">
        <v>6256</v>
      </c>
      <c r="C3755" s="25">
        <v>777150</v>
      </c>
      <c r="D3755" s="22" t="s">
        <v>6258</v>
      </c>
      <c r="E3755" s="22" t="s">
        <v>48</v>
      </c>
      <c r="F3755" s="23" t="str">
        <f>HYPERLINK("https://www.spark-marketing.ru/Card/Lot/73294778", "оказание услуг по организации питания лиц содержащихся в  специальных помещениях содержания задержанных лиц")</f>
        <v>оказание услуг по организации питания лиц содержащихся в  специальных помещениях содержания задержанных лиц</v>
      </c>
      <c r="G3755" s="22" t="s">
        <v>224</v>
      </c>
      <c r="H3755" s="22" t="s">
        <v>224</v>
      </c>
      <c r="I3755" s="26">
        <v>43717.34375</v>
      </c>
      <c r="J3755" s="23" t="str">
        <f>HYPERLINK("https://www.spark-marketing.ru/Card/Person/51950", "ООО ""ЗДОРОВОЕ ПИТАНИЕ""")</f>
        <v>ООО "ЗДОРОВОЕ ПИТАНИЕ"</v>
      </c>
      <c r="K3755" s="24" t="s">
        <v>2336</v>
      </c>
      <c r="L3755" s="22" t="s">
        <v>10</v>
      </c>
      <c r="M3755" s="28" t="s">
        <v>51</v>
      </c>
      <c r="N3755" s="28" t="s">
        <v>51</v>
      </c>
    </row>
    <row r="3756" spans="1:14" x14ac:dyDescent="0.15">
      <c r="A3756" s="23" t="str">
        <f>HYPERLINK("https://www.spark-marketing.ru/Card/Person/1069097", "ОТДЕЛЕНИЕ МВД РОССИИ ПО НЯЗЕПЕТРОВСКОМУ МУНИЦИПАЛЬНОМУ РАЙОНУ ЧЕЛЯБИНСКОЙ ОБЛАСТИ")</f>
        <v>ОТДЕЛЕНИЕ МВД РОССИИ ПО НЯЗЕПЕТРОВСКОМУ МУНИЦИПАЛЬНОМУ РАЙОНУ ЧЕЛЯБИНСКОЙ ОБЛАСТИ</v>
      </c>
      <c r="B3756" s="24" t="s">
        <v>1381</v>
      </c>
      <c r="C3756" s="25">
        <v>45000</v>
      </c>
      <c r="D3756" s="22" t="s">
        <v>6259</v>
      </c>
      <c r="E3756" s="22" t="s">
        <v>48</v>
      </c>
      <c r="F3756" s="23" t="str">
        <f>HYPERLINK("https://www.spark-marketing.ru/Card/Lot/73291780", "Услуги по обеспечению питания лиц содержащихся в спец. помещениях задержанных лиц, 3 усл. ед")</f>
        <v>Услуги по обеспечению питания лиц содержащихся в спец. помещениях задержанных лиц, 3 усл. ед</v>
      </c>
      <c r="G3756" s="22" t="s">
        <v>469</v>
      </c>
      <c r="H3756" s="22" t="s">
        <v>1383</v>
      </c>
      <c r="I3756" s="26">
        <v>43717.291215277801</v>
      </c>
      <c r="J3756" s="28" t="s">
        <v>51</v>
      </c>
      <c r="K3756" s="28" t="s">
        <v>51</v>
      </c>
      <c r="L3756" s="28" t="s">
        <v>51</v>
      </c>
      <c r="M3756" s="28" t="s">
        <v>51</v>
      </c>
      <c r="N3756" s="28" t="s">
        <v>51</v>
      </c>
    </row>
    <row r="3757" spans="1:14" ht="12.75" x14ac:dyDescent="0.2">
      <c r="A3757" s="23" t="str">
        <f>HYPERLINK("https://www.spark-marketing.ru/Card/Person/4344165", "ПРАВИТЕЛЬСТВО КРАЯ")</f>
        <v>ПРАВИТЕЛЬСТВО КРАЯ</v>
      </c>
      <c r="B3757" s="24" t="s">
        <v>3971</v>
      </c>
      <c r="C3757" s="25">
        <v>500000</v>
      </c>
      <c r="D3757" s="22" t="s">
        <v>6260</v>
      </c>
      <c r="E3757" s="22" t="s">
        <v>48</v>
      </c>
      <c r="F3757" s="23" t="str">
        <f>HYPERLINK("https://www.spark-marketing.ru/Card/Lot/73291052", "Оказание услуг по организации общественного питания")</f>
        <v>Оказание услуг по организации общественного питания</v>
      </c>
      <c r="G3757" s="22" t="s">
        <v>1096</v>
      </c>
      <c r="H3757" s="22" t="s">
        <v>1097</v>
      </c>
      <c r="I3757" s="26">
        <v>43717.4284722222</v>
      </c>
      <c r="J3757" s="23" t="str">
        <f>HYPERLINK("https://www.spark-marketing.ru/Card/Person/490269", "ООО ""РЕЖЕНТ СЕРВИС""")</f>
        <v>ООО "РЕЖЕНТ СЕРВИС"</v>
      </c>
      <c r="K3757" s="24" t="s">
        <v>6261</v>
      </c>
      <c r="L3757" s="22" t="s">
        <v>10</v>
      </c>
      <c r="M3757" s="25">
        <v>11550</v>
      </c>
      <c r="N3757" s="27">
        <v>0.97689999999999999</v>
      </c>
    </row>
    <row r="3758" spans="1:14" x14ac:dyDescent="0.2">
      <c r="A3758" s="23" t="str">
        <f>HYPERLINK("https://www.spark-marketing.ru/Card/Person/763", "ФГБОУ ВО РНИМУ ИМ. Н.И. ПИРОГОВА МИНЗДРАВА РОССИИ")</f>
        <v>ФГБОУ ВО РНИМУ ИМ. Н.И. ПИРОГОВА МИНЗДРАВА РОССИИ</v>
      </c>
      <c r="B3758" s="24" t="s">
        <v>1375</v>
      </c>
      <c r="C3758" s="25">
        <v>115000</v>
      </c>
      <c r="D3758" s="22" t="s">
        <v>6262</v>
      </c>
      <c r="E3758" s="22" t="s">
        <v>362</v>
      </c>
      <c r="F3758" s="23" t="str">
        <f>HYPERLINK("https://www.spark-marketing.ru/Card/Lot/73306528", "Оказание услуг по организации общественного питания на базе производственно-пищевого комплекса - студенческой столовой, Игнатович О. А., с 09.09.2019 по 08.10.2019.")</f>
        <v>Оказание услуг по организации общественного питания на базе производственно-пищевого комплекса - студенческой столовой, Игнатович О. А., с 09.09.2019 по 08.10.2019.</v>
      </c>
      <c r="G3758" s="22" t="s">
        <v>56</v>
      </c>
      <c r="H3758" s="22" t="s">
        <v>56</v>
      </c>
      <c r="I3758" s="26">
        <v>43717</v>
      </c>
      <c r="J3758" s="28" t="s">
        <v>51</v>
      </c>
      <c r="K3758" s="28" t="s">
        <v>51</v>
      </c>
      <c r="L3758" s="28" t="s">
        <v>51</v>
      </c>
      <c r="M3758" s="25">
        <v>115000</v>
      </c>
      <c r="N3758" s="27">
        <v>0</v>
      </c>
    </row>
    <row r="3759" spans="1:14" x14ac:dyDescent="0.15">
      <c r="A3759" s="23" t="str">
        <f>HYPERLINK("https://www.spark-marketing.ru/Card/Person/1484023", "МАОУ ""СОШ № 16""")</f>
        <v>МАОУ "СОШ № 16"</v>
      </c>
      <c r="B3759" s="24" t="s">
        <v>6263</v>
      </c>
      <c r="C3759" s="25">
        <v>1310232</v>
      </c>
      <c r="D3759" s="22" t="s">
        <v>6264</v>
      </c>
      <c r="E3759" s="22" t="s">
        <v>362</v>
      </c>
      <c r="F3759" s="23" t="str">
        <f>HYPERLINK("https://www.spark-marketing.ru/Card/Lot/73312434", "На оказание услуг по организации питания учащихся муниципального автономного общеобразовательного учреждения «Средняя общеобразовательная школа №16»")</f>
        <v>На оказание услуг по организации питания учащихся муниципального автономного общеобразовательного учреждения «Средняя общеобразовательная школа №16»</v>
      </c>
      <c r="G3759" s="22" t="s">
        <v>174</v>
      </c>
      <c r="H3759" s="22" t="s">
        <v>174</v>
      </c>
      <c r="I3759" s="26">
        <v>43717</v>
      </c>
      <c r="J3759" s="28" t="s">
        <v>51</v>
      </c>
      <c r="K3759" s="28" t="s">
        <v>51</v>
      </c>
      <c r="L3759" s="28" t="s">
        <v>51</v>
      </c>
      <c r="M3759" s="28" t="s">
        <v>51</v>
      </c>
      <c r="N3759" s="28" t="s">
        <v>51</v>
      </c>
    </row>
    <row r="3760" spans="1:14" x14ac:dyDescent="0.15">
      <c r="A3760" s="23" t="str">
        <f>HYPERLINK("https://www.spark-marketing.ru/Card/Person/33250", "ФГБОУ ВО ""ВГУ""")</f>
        <v>ФГБОУ ВО "ВГУ"</v>
      </c>
      <c r="B3760" s="24" t="s">
        <v>3566</v>
      </c>
      <c r="C3760" s="25">
        <v>441000</v>
      </c>
      <c r="D3760" s="22" t="s">
        <v>6265</v>
      </c>
      <c r="E3760" s="22" t="s">
        <v>362</v>
      </c>
      <c r="F3760" s="23" t="str">
        <f>HYPERLINK("https://www.spark-marketing.ru/Card/Lot/73314362", "Оказание услуг общественного питания")</f>
        <v>Оказание услуг общественного питания</v>
      </c>
      <c r="G3760" s="22" t="s">
        <v>82</v>
      </c>
      <c r="H3760" s="22" t="s">
        <v>83</v>
      </c>
      <c r="I3760" s="26">
        <v>43717</v>
      </c>
      <c r="J3760" s="28" t="s">
        <v>51</v>
      </c>
      <c r="K3760" s="28" t="s">
        <v>51</v>
      </c>
      <c r="L3760" s="28" t="s">
        <v>51</v>
      </c>
      <c r="M3760" s="28" t="s">
        <v>51</v>
      </c>
      <c r="N3760" s="28" t="s">
        <v>51</v>
      </c>
    </row>
    <row r="3761" spans="1:14" x14ac:dyDescent="0.15">
      <c r="A3761" s="23" t="str">
        <f>HYPERLINK("https://www.spark-marketing.ru/Card/Person/1014183", "ФГУП ""ПВС"" МВД РОССИИ")</f>
        <v>ФГУП "ПВС" МВД РОССИИ</v>
      </c>
      <c r="B3761" s="24" t="s">
        <v>6266</v>
      </c>
      <c r="C3761" s="25">
        <v>220661.3</v>
      </c>
      <c r="D3761" s="22" t="s">
        <v>6267</v>
      </c>
      <c r="E3761" s="22" t="s">
        <v>362</v>
      </c>
      <c r="F3761" s="23" t="str">
        <f>HYPERLINK("https://www.spark-marketing.ru/Card/Lot/73321729", "Оказание услуг по организации питания артистов на выездном фуршетном мероприятии")</f>
        <v>Оказание услуг по организации питания артистов на выездном фуршетном мероприятии</v>
      </c>
      <c r="G3761" s="22" t="s">
        <v>56</v>
      </c>
      <c r="H3761" s="22" t="s">
        <v>56</v>
      </c>
      <c r="I3761" s="26">
        <v>43718</v>
      </c>
      <c r="J3761" s="28" t="s">
        <v>51</v>
      </c>
      <c r="K3761" s="28" t="s">
        <v>51</v>
      </c>
      <c r="L3761" s="28" t="s">
        <v>51</v>
      </c>
      <c r="M3761" s="28" t="s">
        <v>51</v>
      </c>
      <c r="N3761" s="28" t="s">
        <v>51</v>
      </c>
    </row>
    <row r="3762" spans="1:14" x14ac:dyDescent="0.2">
      <c r="A3762" s="23" t="str">
        <f>HYPERLINK("https://www.spark-marketing.ru/Card/Person/1324524", "МАОУ СОШ № 25")</f>
        <v>МАОУ СОШ № 25</v>
      </c>
      <c r="B3762" s="24" t="s">
        <v>6268</v>
      </c>
      <c r="C3762" s="25">
        <v>333696</v>
      </c>
      <c r="D3762" s="22" t="s">
        <v>6269</v>
      </c>
      <c r="E3762" s="22" t="s">
        <v>362</v>
      </c>
      <c r="F3762" s="23" t="str">
        <f>HYPERLINK("https://www.spark-marketing.ru/Card/Lot/73313017", "Оказание услуг по организации питания")</f>
        <v>Оказание услуг по организации питания</v>
      </c>
      <c r="G3762" s="22" t="s">
        <v>351</v>
      </c>
      <c r="H3762" s="22" t="s">
        <v>351</v>
      </c>
      <c r="I3762" s="26">
        <v>43717</v>
      </c>
      <c r="J3762" s="28" t="s">
        <v>51</v>
      </c>
      <c r="K3762" s="28" t="s">
        <v>51</v>
      </c>
      <c r="L3762" s="22" t="s">
        <v>10</v>
      </c>
      <c r="M3762" s="25">
        <v>333696</v>
      </c>
      <c r="N3762" s="27">
        <v>0</v>
      </c>
    </row>
    <row r="3763" spans="1:14" x14ac:dyDescent="0.15">
      <c r="A3763" s="23" t="str">
        <f>HYPERLINK("https://www.spark-marketing.ru/Card/Person/1567811", "МАДОУ - ДЕТСКИЙ САД КОМПЕНСИРУЮЩЕГО ВИДА № 82")</f>
        <v>МАДОУ - ДЕТСКИЙ САД КОМПЕНСИРУЮЩЕГО ВИДА № 82</v>
      </c>
      <c r="B3763" s="24" t="s">
        <v>6270</v>
      </c>
      <c r="C3763" s="25">
        <v>302642</v>
      </c>
      <c r="D3763" s="22" t="s">
        <v>6271</v>
      </c>
      <c r="E3763" s="22" t="s">
        <v>362</v>
      </c>
      <c r="F3763" s="23" t="str">
        <f>HYPERLINK("https://www.spark-marketing.ru/Card/Lot/73314346", "Услуга по обеспечению 5-ти разовым питанием воспитанников, одноразового питанием сотрудников ДОУ")</f>
        <v>Услуга по обеспечению 5-ти разовым питанием воспитанников, одноразового питанием сотрудников ДОУ</v>
      </c>
      <c r="G3763" s="22" t="s">
        <v>469</v>
      </c>
      <c r="H3763" s="22" t="s">
        <v>469</v>
      </c>
      <c r="I3763" s="26">
        <v>43717.967523148101</v>
      </c>
      <c r="J3763" s="28" t="s">
        <v>51</v>
      </c>
      <c r="K3763" s="28" t="s">
        <v>51</v>
      </c>
      <c r="L3763" s="28" t="s">
        <v>51</v>
      </c>
      <c r="M3763" s="28" t="s">
        <v>51</v>
      </c>
      <c r="N3763" s="28" t="s">
        <v>51</v>
      </c>
    </row>
    <row r="3764" spans="1:14" x14ac:dyDescent="0.2">
      <c r="A3764" s="23" t="str">
        <f>HYPERLINK("https://www.spark-marketing.ru/Card/Person/6285987", "МАОУ СОШ № 214")</f>
        <v>МАОУ СОШ № 214</v>
      </c>
      <c r="B3764" s="24" t="s">
        <v>6272</v>
      </c>
      <c r="C3764" s="25">
        <v>642960</v>
      </c>
      <c r="D3764" s="22" t="s">
        <v>6273</v>
      </c>
      <c r="E3764" s="22" t="s">
        <v>362</v>
      </c>
      <c r="F3764" s="23" t="str">
        <f>HYPERLINK("https://www.spark-marketing.ru/Card/Lot/73299198", "оказание услуг по организации горячего питания обучающихся МАО СОШ № 214")</f>
        <v>оказание услуг по организации горячего питания обучающихся МАО СОШ № 214</v>
      </c>
      <c r="G3764" s="22" t="s">
        <v>195</v>
      </c>
      <c r="H3764" s="22" t="s">
        <v>196</v>
      </c>
      <c r="I3764" s="26">
        <v>43717</v>
      </c>
      <c r="J3764" s="28" t="s">
        <v>51</v>
      </c>
      <c r="K3764" s="28" t="s">
        <v>51</v>
      </c>
      <c r="L3764" s="28" t="s">
        <v>51</v>
      </c>
      <c r="M3764" s="25">
        <v>642960</v>
      </c>
      <c r="N3764" s="27">
        <v>0</v>
      </c>
    </row>
    <row r="3765" spans="1:14" x14ac:dyDescent="0.15">
      <c r="A3765" s="23" t="str">
        <f>HYPERLINK("https://www.spark-marketing.ru/Card/Person/95245", "ОАО ""РЖД""")</f>
        <v>ОАО "РЖД"</v>
      </c>
      <c r="B3765" s="24" t="s">
        <v>330</v>
      </c>
      <c r="C3765" s="25">
        <v>301000</v>
      </c>
      <c r="D3765" s="22" t="s">
        <v>6274</v>
      </c>
      <c r="E3765" s="22" t="s">
        <v>362</v>
      </c>
      <c r="F3765" s="23" t="str">
        <f>HYPERLINK("https://www.spark-marketing.ru/Card/Lot/73302640", "Оказание услуг по обеспечению приемных и экипировке вагонов продуктами питания")</f>
        <v>Оказание услуг по обеспечению приемных и экипировке вагонов продуктами питания</v>
      </c>
      <c r="G3765" s="22" t="s">
        <v>56</v>
      </c>
      <c r="H3765" s="22" t="s">
        <v>56</v>
      </c>
      <c r="I3765" s="26">
        <v>43717</v>
      </c>
      <c r="J3765" s="28" t="s">
        <v>51</v>
      </c>
      <c r="K3765" s="28" t="s">
        <v>51</v>
      </c>
      <c r="L3765" s="28" t="s">
        <v>51</v>
      </c>
      <c r="M3765" s="28" t="s">
        <v>51</v>
      </c>
      <c r="N3765" s="28" t="s">
        <v>51</v>
      </c>
    </row>
    <row r="3766" spans="1:14" x14ac:dyDescent="0.15">
      <c r="A3766" s="23" t="str">
        <f>HYPERLINK("https://www.spark-marketing.ru/Card/Person/33250", "ФГБОУ ВО ""ВГУ""")</f>
        <v>ФГБОУ ВО "ВГУ"</v>
      </c>
      <c r="B3766" s="24" t="s">
        <v>3566</v>
      </c>
      <c r="C3766" s="25">
        <v>485500</v>
      </c>
      <c r="D3766" s="22" t="s">
        <v>6275</v>
      </c>
      <c r="E3766" s="22" t="s">
        <v>362</v>
      </c>
      <c r="F3766" s="23" t="str">
        <f>HYPERLINK("https://www.spark-marketing.ru/Card/Lot/73314364", "Оказание услуг общественного питания")</f>
        <v>Оказание услуг общественного питания</v>
      </c>
      <c r="G3766" s="22" t="s">
        <v>82</v>
      </c>
      <c r="H3766" s="22" t="s">
        <v>83</v>
      </c>
      <c r="I3766" s="26">
        <v>43717</v>
      </c>
      <c r="J3766" s="28" t="s">
        <v>51</v>
      </c>
      <c r="K3766" s="28" t="s">
        <v>51</v>
      </c>
      <c r="L3766" s="28" t="s">
        <v>51</v>
      </c>
      <c r="M3766" s="28" t="s">
        <v>51</v>
      </c>
      <c r="N3766" s="28" t="s">
        <v>51</v>
      </c>
    </row>
    <row r="3767" spans="1:14" x14ac:dyDescent="0.15">
      <c r="A3767" s="23" t="str">
        <f>HYPERLINK("https://www.spark-marketing.ru/Card/Person/1758508", "МАУ ""СШОР ""КРАСНЫЙ ЯР""")</f>
        <v>МАУ "СШОР "КРАСНЫЙ ЯР"</v>
      </c>
      <c r="B3767" s="24" t="s">
        <v>2680</v>
      </c>
      <c r="C3767" s="25">
        <v>831600</v>
      </c>
      <c r="D3767" s="22" t="s">
        <v>6276</v>
      </c>
      <c r="E3767" s="22" t="s">
        <v>2682</v>
      </c>
      <c r="F3767" s="23" t="str">
        <f>HYPERLINK("https://www.spark-marketing.ru/Card/Lot/73292476", "Предоставление гостиничных услуг с учетом питания")</f>
        <v>Предоставление гостиничных услуг с учетом питания</v>
      </c>
      <c r="G3767" s="22" t="s">
        <v>56</v>
      </c>
      <c r="H3767" s="22" t="s">
        <v>56</v>
      </c>
      <c r="I3767" s="26">
        <v>43717</v>
      </c>
      <c r="J3767" s="28" t="s">
        <v>51</v>
      </c>
      <c r="K3767" s="28" t="s">
        <v>51</v>
      </c>
      <c r="L3767" s="28" t="s">
        <v>51</v>
      </c>
      <c r="M3767" s="28" t="s">
        <v>51</v>
      </c>
      <c r="N3767" s="28" t="s">
        <v>51</v>
      </c>
    </row>
    <row r="3768" spans="1:14" x14ac:dyDescent="0.15">
      <c r="A3768" s="23" t="str">
        <f>HYPERLINK("https://www.spark-marketing.ru/Card/Person/789035", "МАОУ СОШ № 12")</f>
        <v>МАОУ СОШ № 12</v>
      </c>
      <c r="B3768" s="24" t="s">
        <v>6277</v>
      </c>
      <c r="C3768" s="25">
        <v>327223</v>
      </c>
      <c r="D3768" s="22" t="s">
        <v>6278</v>
      </c>
      <c r="E3768" s="22" t="s">
        <v>362</v>
      </c>
      <c r="F3768" s="23" t="str">
        <f>HYPERLINK("https://www.spark-marketing.ru/Card/Lot/73302651", "Оказание услуг по организации бесплатного питания отдельных категорий обучающихся во 2-м полугодии 2019 г.")</f>
        <v>Оказание услуг по организации бесплатного питания отдельных категорий обучающихся во 2-м полугодии 2019 г.</v>
      </c>
      <c r="G3768" s="22" t="s">
        <v>267</v>
      </c>
      <c r="H3768" s="22" t="s">
        <v>267</v>
      </c>
      <c r="I3768" s="26">
        <v>43717</v>
      </c>
      <c r="J3768" s="28" t="s">
        <v>51</v>
      </c>
      <c r="K3768" s="28" t="s">
        <v>51</v>
      </c>
      <c r="L3768" s="28" t="s">
        <v>51</v>
      </c>
      <c r="M3768" s="28" t="s">
        <v>51</v>
      </c>
      <c r="N3768" s="28" t="s">
        <v>51</v>
      </c>
    </row>
    <row r="3769" spans="1:14" x14ac:dyDescent="0.15">
      <c r="A3769" s="23" t="str">
        <f>HYPERLINK("https://www.spark-marketing.ru/Card/Person/964053", "КГА ПОУ ""ВСК""")</f>
        <v>КГА ПОУ "ВСК"</v>
      </c>
      <c r="B3769" s="24" t="s">
        <v>6279</v>
      </c>
      <c r="C3769" s="25">
        <v>500000</v>
      </c>
      <c r="D3769" s="22" t="s">
        <v>6280</v>
      </c>
      <c r="E3769" s="22" t="s">
        <v>576</v>
      </c>
      <c r="F3769" s="23" t="str">
        <f>HYPERLINK("https://www.spark-marketing.ru/Card/Lot/73293279", "услуги по организации питания студентов Заказчика")</f>
        <v>услуги по организации питания студентов Заказчика</v>
      </c>
      <c r="G3769" s="22" t="s">
        <v>543</v>
      </c>
      <c r="H3769" s="22" t="s">
        <v>543</v>
      </c>
      <c r="I3769" s="26">
        <v>43717</v>
      </c>
      <c r="J3769" s="28" t="s">
        <v>51</v>
      </c>
      <c r="K3769" s="28" t="s">
        <v>51</v>
      </c>
      <c r="L3769" s="28" t="s">
        <v>51</v>
      </c>
      <c r="M3769" s="28" t="s">
        <v>51</v>
      </c>
      <c r="N3769" s="28" t="s">
        <v>51</v>
      </c>
    </row>
    <row r="3770" spans="1:14" x14ac:dyDescent="0.15">
      <c r="A3770" s="23" t="str">
        <f>HYPERLINK("https://www.spark-marketing.ru/Card/Person/1309327", "МАОУ СОШ № 11")</f>
        <v>МАОУ СОШ № 11</v>
      </c>
      <c r="B3770" s="24" t="s">
        <v>6281</v>
      </c>
      <c r="C3770" s="25">
        <v>130350</v>
      </c>
      <c r="D3770" s="22" t="s">
        <v>6282</v>
      </c>
      <c r="E3770" s="22" t="s">
        <v>362</v>
      </c>
      <c r="F3770" s="23" t="str">
        <f>HYPERLINK("https://www.spark-marketing.ru/Card/Lot/73289955", "Оказание услуг по организации горячего двухразоваго питания (завтрак, обед детей (ОВЗ) МАУ СОШ № 11")</f>
        <v>Оказание услуг по организации горячего двухразоваго питания (завтрак, обед детей (ОВЗ) МАУ СОШ № 11</v>
      </c>
      <c r="G3770" s="22" t="s">
        <v>153</v>
      </c>
      <c r="H3770" s="22" t="s">
        <v>153</v>
      </c>
      <c r="I3770" s="26">
        <v>43716</v>
      </c>
      <c r="J3770" s="28" t="s">
        <v>51</v>
      </c>
      <c r="K3770" s="28" t="s">
        <v>51</v>
      </c>
      <c r="L3770" s="28" t="s">
        <v>51</v>
      </c>
      <c r="M3770" s="28" t="s">
        <v>51</v>
      </c>
      <c r="N3770" s="28" t="s">
        <v>51</v>
      </c>
    </row>
    <row r="3771" spans="1:14" x14ac:dyDescent="0.15">
      <c r="A3771" s="23" t="str">
        <f>HYPERLINK("https://www.spark-marketing.ru/Card/Person/10139", "ФГБОУ ВО ""ВГПУ""")</f>
        <v>ФГБОУ ВО "ВГПУ"</v>
      </c>
      <c r="B3771" s="24" t="s">
        <v>6283</v>
      </c>
      <c r="C3771" s="25">
        <v>300000</v>
      </c>
      <c r="D3771" s="22" t="s">
        <v>6284</v>
      </c>
      <c r="E3771" s="22" t="s">
        <v>2217</v>
      </c>
      <c r="F3771" s="23" t="str">
        <f>HYPERLINK("https://www.spark-marketing.ru/Card/Lot/73301117", "Услуги по организации питания студентов ВГПУ при проведении мероприятий в УОК ""Спутник""")</f>
        <v>Услуги по организации питания студентов ВГПУ при проведении мероприятий в УОК "Спутник"</v>
      </c>
      <c r="G3771" s="22" t="s">
        <v>82</v>
      </c>
      <c r="H3771" s="22" t="s">
        <v>82</v>
      </c>
      <c r="I3771" s="26">
        <v>43717</v>
      </c>
      <c r="J3771" s="28" t="s">
        <v>51</v>
      </c>
      <c r="K3771" s="28" t="s">
        <v>51</v>
      </c>
      <c r="L3771" s="28" t="s">
        <v>51</v>
      </c>
      <c r="M3771" s="28" t="s">
        <v>51</v>
      </c>
      <c r="N3771" s="28" t="s">
        <v>51</v>
      </c>
    </row>
    <row r="3772" spans="1:14" x14ac:dyDescent="0.15">
      <c r="A3772" s="23" t="str">
        <f>HYPERLINK("https://www.spark-marketing.ru/Card/Person/1310737", "МАОУ ""МОРГУНОВСКАЯ ООШ""")</f>
        <v>МАОУ "МОРГУНОВСКАЯ ООШ"</v>
      </c>
      <c r="B3772" s="24" t="s">
        <v>6285</v>
      </c>
      <c r="C3772" s="25">
        <v>410000</v>
      </c>
      <c r="D3772" s="22" t="s">
        <v>6286</v>
      </c>
      <c r="E3772" s="22" t="s">
        <v>6287</v>
      </c>
      <c r="F3772" s="23" t="str">
        <f>HYPERLINK("https://www.spark-marketing.ru/Card/Lot/73313350", "Услуги по организации горячего питания учащихся из малоимущих и многодетных семей")</f>
        <v>Услуги по организации горячего питания учащихся из малоимущих и многодетных семей</v>
      </c>
      <c r="G3772" s="22" t="s">
        <v>153</v>
      </c>
      <c r="H3772" s="22" t="s">
        <v>153</v>
      </c>
      <c r="I3772" s="26">
        <v>43717</v>
      </c>
      <c r="J3772" s="28" t="s">
        <v>51</v>
      </c>
      <c r="K3772" s="28" t="s">
        <v>51</v>
      </c>
      <c r="L3772" s="28" t="s">
        <v>51</v>
      </c>
      <c r="M3772" s="28" t="s">
        <v>51</v>
      </c>
      <c r="N3772" s="28" t="s">
        <v>51</v>
      </c>
    </row>
    <row r="3773" spans="1:14" x14ac:dyDescent="0.2">
      <c r="A3773" s="23" t="str">
        <f>HYPERLINK("https://www.spark-marketing.ru/Card/Person/1763097", "КГАУ ""СШОР ПО ФУТБОЛУ ""ЕНИСЕЙ""")</f>
        <v>КГАУ "СШОР ПО ФУТБОЛУ "ЕНИСЕЙ"</v>
      </c>
      <c r="B3773" s="24" t="s">
        <v>4437</v>
      </c>
      <c r="C3773" s="25">
        <v>147000</v>
      </c>
      <c r="D3773" s="22" t="s">
        <v>6288</v>
      </c>
      <c r="E3773" s="22" t="s">
        <v>769</v>
      </c>
      <c r="F3773" s="23" t="str">
        <f>HYPERLINK("https://www.spark-marketing.ru/Card/Lot/73294838", "оказание услуг по организации проживания и питания спортсменов")</f>
        <v>оказание услуг по организации проживания и питания спортсменов</v>
      </c>
      <c r="G3773" s="22" t="s">
        <v>104</v>
      </c>
      <c r="H3773" s="22" t="s">
        <v>104</v>
      </c>
      <c r="I3773" s="26">
        <v>43717</v>
      </c>
      <c r="J3773" s="28" t="s">
        <v>51</v>
      </c>
      <c r="K3773" s="28" t="s">
        <v>51</v>
      </c>
      <c r="L3773" s="22" t="s">
        <v>10</v>
      </c>
      <c r="M3773" s="25">
        <v>147000</v>
      </c>
      <c r="N3773" s="27">
        <v>0</v>
      </c>
    </row>
    <row r="3774" spans="1:14" x14ac:dyDescent="0.2">
      <c r="A3774" s="23" t="str">
        <f>HYPERLINK("https://www.spark-marketing.ru/Card/Person/6696636", "МАДОУ Д/С №5""НЕПОСЕДЫ""")</f>
        <v>МАДОУ Д/С №5"НЕПОСЕДЫ"</v>
      </c>
      <c r="B3774" s="24" t="s">
        <v>6289</v>
      </c>
      <c r="C3774" s="25">
        <v>2252250</v>
      </c>
      <c r="D3774" s="22" t="s">
        <v>6290</v>
      </c>
      <c r="E3774" s="22" t="s">
        <v>362</v>
      </c>
      <c r="F3774" s="23" t="str">
        <f>HYPERLINK("https://www.spark-marketing.ru/Card/Lot/73307992", "Оказание услуг по обеспечению питанием детского дошкольного учереждения")</f>
        <v>Оказание услуг по обеспечению питанием детского дошкольного учереждения</v>
      </c>
      <c r="G3774" s="22" t="s">
        <v>49</v>
      </c>
      <c r="H3774" s="22" t="s">
        <v>49</v>
      </c>
      <c r="I3774" s="26">
        <v>43717</v>
      </c>
      <c r="J3774" s="28" t="s">
        <v>51</v>
      </c>
      <c r="K3774" s="28" t="s">
        <v>51</v>
      </c>
      <c r="L3774" s="22" t="s">
        <v>10</v>
      </c>
      <c r="M3774" s="25">
        <v>2252250</v>
      </c>
      <c r="N3774" s="27">
        <v>0</v>
      </c>
    </row>
    <row r="3775" spans="1:14" x14ac:dyDescent="0.2">
      <c r="A3775" s="23" t="str">
        <f>HYPERLINK("https://www.spark-marketing.ru/Card/Person/212857", "ФГУП ""СТАНДАРТИНФОРМ""")</f>
        <v>ФГУП "СТАНДАРТИНФОРМ"</v>
      </c>
      <c r="B3775" s="24" t="s">
        <v>6291</v>
      </c>
      <c r="C3775" s="25">
        <v>910000</v>
      </c>
      <c r="D3775" s="22" t="s">
        <v>6292</v>
      </c>
      <c r="E3775" s="22" t="s">
        <v>1268</v>
      </c>
      <c r="F3775" s="23" t="str">
        <f>HYPERLINK("https://www.spark-marketing.ru/Card/Lot/73312512", "Услуги по эксплуатационно-техническому обслуживанию системы бесперебойного питания в здании по адресу: г.Москва, Нахимовский проспект, 31, корп. 2")</f>
        <v>Услуги по эксплуатационно-техническому обслуживанию системы бесперебойного питания в здании по адресу: г.Москва, Нахимовский проспект, 31, корп. 2</v>
      </c>
      <c r="G3775" s="22" t="s">
        <v>56</v>
      </c>
      <c r="H3775" s="22" t="s">
        <v>56</v>
      </c>
      <c r="I3775" s="26">
        <v>43717</v>
      </c>
      <c r="J3775" s="28" t="s">
        <v>51</v>
      </c>
      <c r="K3775" s="28" t="s">
        <v>51</v>
      </c>
      <c r="L3775" s="22" t="s">
        <v>10</v>
      </c>
      <c r="M3775" s="25">
        <v>910000</v>
      </c>
      <c r="N3775" s="27">
        <v>0</v>
      </c>
    </row>
    <row r="3776" spans="1:14" x14ac:dyDescent="0.15">
      <c r="A3776" s="23" t="str">
        <f>HYPERLINK("https://www.spark-marketing.ru/Card/Person/1716154", "ООО ""ТРАНСНЕФТЬ - БАЛТИКА""")</f>
        <v>ООО "ТРАНСНЕФТЬ - БАЛТИКА"</v>
      </c>
      <c r="B3776" s="24" t="s">
        <v>6293</v>
      </c>
      <c r="C3776" s="25">
        <v>526236.91</v>
      </c>
      <c r="D3776" s="22" t="s">
        <v>6294</v>
      </c>
      <c r="E3776" s="22" t="s">
        <v>362</v>
      </c>
      <c r="F3776" s="23" t="str">
        <f>HYPERLINK("https://www.spark-marketing.ru/Card/Lot/73274671", "1800-H05-К-Y12-00243-2020 «""2020-ОСР-ТНБ-03 ""Оказание услуг по организации питания в столовой НПС ""Борисово"" и буфетного обслуживания руководящего состава""»")</f>
        <v>1800-H05-К-Y12-00243-2020 «"2020-ОСР-ТНБ-03 "Оказание услуг по организации питания в столовой НПС "Борисово" и буфетного обслуживания руководящего состава"»</v>
      </c>
      <c r="G3776" s="22" t="s">
        <v>117</v>
      </c>
      <c r="H3776" s="22" t="s">
        <v>117</v>
      </c>
      <c r="I3776" s="26">
        <v>43714</v>
      </c>
      <c r="J3776" s="28" t="s">
        <v>51</v>
      </c>
      <c r="K3776" s="28" t="s">
        <v>51</v>
      </c>
      <c r="L3776" s="28" t="s">
        <v>51</v>
      </c>
      <c r="M3776" s="28" t="s">
        <v>51</v>
      </c>
      <c r="N3776" s="28" t="s">
        <v>51</v>
      </c>
    </row>
    <row r="3777" spans="1:14" x14ac:dyDescent="0.15">
      <c r="A3777" s="23" t="str">
        <f>HYPERLINK("https://www.spark-marketing.ru/Card/Person/32283", "ФГБОУ ВО ""РГГУ"", РГГУ, РОССИЙСКИЙ ГОСУДАРСТВЕННЫЙ ГУМАНИТАРНЫЙ УНИВЕРСИТЕТ")</f>
        <v>ФГБОУ ВО "РГГУ", РГГУ, РОССИЙСКИЙ ГОСУДАРСТВЕННЫЙ ГУМАНИТАРНЫЙ УНИВЕРСИТЕТ</v>
      </c>
      <c r="B3777" s="24" t="s">
        <v>4794</v>
      </c>
      <c r="C3777" s="25">
        <v>480000</v>
      </c>
      <c r="D3777" s="22" t="s">
        <v>6295</v>
      </c>
      <c r="E3777" s="22" t="s">
        <v>952</v>
      </c>
      <c r="F3777" s="23" t="str">
        <f>HYPERLINK("https://www.spark-marketing.ru/Card/Lot/73309761", "Оказание услуг по организации питания на мероприятиях РГГУ")</f>
        <v>Оказание услуг по организации питания на мероприятиях РГГУ</v>
      </c>
      <c r="G3777" s="22" t="s">
        <v>56</v>
      </c>
      <c r="H3777" s="22" t="s">
        <v>56</v>
      </c>
      <c r="I3777" s="26">
        <v>43717</v>
      </c>
      <c r="J3777" s="28" t="s">
        <v>51</v>
      </c>
      <c r="K3777" s="28" t="s">
        <v>51</v>
      </c>
      <c r="L3777" s="28" t="s">
        <v>51</v>
      </c>
      <c r="M3777" s="28" t="s">
        <v>51</v>
      </c>
      <c r="N3777" s="28" t="s">
        <v>51</v>
      </c>
    </row>
    <row r="3778" spans="1:14" x14ac:dyDescent="0.15">
      <c r="A3778" s="23" t="str">
        <f>HYPERLINK("https://www.spark-marketing.ru/Card/Person/148548", "МБДОУ ""ДЕТСКИЙ САД ОБЩЕРАЗВИВАЮЩЕГО ВИДА №37"" НМР РТ")</f>
        <v>МБДОУ "ДЕТСКИЙ САД ОБЩЕРАЗВИВАЮЩЕГО ВИДА №37" НМР РТ</v>
      </c>
      <c r="B3778" s="24" t="s">
        <v>6296</v>
      </c>
      <c r="C3778" s="25">
        <v>134508</v>
      </c>
      <c r="D3778" s="22" t="s">
        <v>6297</v>
      </c>
      <c r="E3778" s="22" t="s">
        <v>52</v>
      </c>
      <c r="F3778" s="23" t="str">
        <f>HYPERLINK("https://www.spark-marketing.ru/Card/Lot/73800828", "Услуги по организации питания")</f>
        <v>Услуги по организации питания</v>
      </c>
      <c r="G3778" s="22" t="s">
        <v>217</v>
      </c>
      <c r="H3778" s="22" t="s">
        <v>218</v>
      </c>
      <c r="I3778" s="26">
        <v>43717.388888888898</v>
      </c>
      <c r="J3778" s="28" t="s">
        <v>51</v>
      </c>
      <c r="K3778" s="28" t="s">
        <v>51</v>
      </c>
      <c r="L3778" s="28" t="s">
        <v>51</v>
      </c>
      <c r="M3778" s="28" t="s">
        <v>51</v>
      </c>
      <c r="N3778" s="28" t="s">
        <v>51</v>
      </c>
    </row>
    <row r="3779" spans="1:14" x14ac:dyDescent="0.15">
      <c r="A3779" s="23" t="str">
        <f>HYPERLINK("https://www.spark-marketing.ru/Card/Person/33250", "ФГБОУ ВО ""ВГУ""")</f>
        <v>ФГБОУ ВО "ВГУ"</v>
      </c>
      <c r="B3779" s="24" t="s">
        <v>3566</v>
      </c>
      <c r="C3779" s="25">
        <v>396500</v>
      </c>
      <c r="D3779" s="22" t="s">
        <v>6298</v>
      </c>
      <c r="E3779" s="22" t="s">
        <v>362</v>
      </c>
      <c r="F3779" s="23" t="str">
        <f>HYPERLINK("https://www.spark-marketing.ru/Card/Lot/73314361", "Оказание услуг общественного питания")</f>
        <v>Оказание услуг общественного питания</v>
      </c>
      <c r="G3779" s="22" t="s">
        <v>82</v>
      </c>
      <c r="H3779" s="22" t="s">
        <v>83</v>
      </c>
      <c r="I3779" s="26">
        <v>43717</v>
      </c>
      <c r="J3779" s="28" t="s">
        <v>51</v>
      </c>
      <c r="K3779" s="28" t="s">
        <v>51</v>
      </c>
      <c r="L3779" s="28" t="s">
        <v>51</v>
      </c>
      <c r="M3779" s="28" t="s">
        <v>51</v>
      </c>
      <c r="N3779" s="28" t="s">
        <v>51</v>
      </c>
    </row>
    <row r="3780" spans="1:14" x14ac:dyDescent="0.15">
      <c r="A3780" s="23" t="str">
        <f>HYPERLINK("https://www.spark-marketing.ru/Card/Person/89979", "ПЕНЗЕНСКИЙ ГОСУДАРСТВЕННЫЙ ТЕХНОЛОГИЧЕСКИЙ УНИВЕРСИТЕТ, ПЕНЗГТУ, ФГБОУ ВО ""ПЕНЗЕНСКИЙ ГОСУДАРСТВЕННЫЙ ТЕХНОЛОГИЧЕСКИЙ УНИВЕРСИТЕТ""")</f>
        <v>ПЕНЗЕНСКИЙ ГОСУДАРСТВЕННЫЙ ТЕХНОЛОГИЧЕСКИЙ УНИВЕРСИТЕТ, ПЕНЗГТУ, ФГБОУ ВО "ПЕНЗЕНСКИЙ ГОСУДАРСТВЕННЫЙ ТЕХНОЛОГИЧЕСКИЙ УНИВЕРСИТЕТ"</v>
      </c>
      <c r="B3780" s="24" t="s">
        <v>6299</v>
      </c>
      <c r="C3780" s="25">
        <v>180000</v>
      </c>
      <c r="D3780" s="22" t="s">
        <v>6300</v>
      </c>
      <c r="E3780" s="22" t="s">
        <v>362</v>
      </c>
      <c r="F3780" s="23" t="str">
        <f>HYPERLINK("https://www.spark-marketing.ru/Card/Lot/73302604", "Услуги по организации питания 100 участников регионального медиафорума «МедиаПовод»")</f>
        <v>Услуги по организации питания 100 участников регионального медиафорума «МедиаПовод»</v>
      </c>
      <c r="G3780" s="22" t="s">
        <v>72</v>
      </c>
      <c r="H3780" s="22" t="s">
        <v>72</v>
      </c>
      <c r="I3780" s="26">
        <v>43717</v>
      </c>
      <c r="J3780" s="28" t="s">
        <v>51</v>
      </c>
      <c r="K3780" s="28" t="s">
        <v>51</v>
      </c>
      <c r="L3780" s="28" t="s">
        <v>51</v>
      </c>
      <c r="M3780" s="28" t="s">
        <v>51</v>
      </c>
      <c r="N3780" s="28" t="s">
        <v>51</v>
      </c>
    </row>
    <row r="3781" spans="1:14" x14ac:dyDescent="0.15">
      <c r="A3781" s="23" t="str">
        <f>HYPERLINK("https://www.spark-marketing.ru/Card/Person/1758527", "МАОУ ""ГИМНАЗИЯ №4"" ГОРОДСКОГО ОКРУГА Г. СТЕРЛИТАМАК РБ")</f>
        <v>МАОУ "ГИМНАЗИЯ №4" ГОРОДСКОГО ОКРУГА Г. СТЕРЛИТАМАК РБ</v>
      </c>
      <c r="B3781" s="24" t="s">
        <v>6301</v>
      </c>
      <c r="C3781" s="25">
        <v>148400</v>
      </c>
      <c r="D3781" s="22" t="s">
        <v>6302</v>
      </c>
      <c r="E3781" s="22" t="s">
        <v>362</v>
      </c>
      <c r="F3781" s="23" t="str">
        <f>HYPERLINK("https://www.spark-marketing.ru/Card/Lot/73288789", "оказание услуги по организации питания обучающихся из многодетных и малообеспеченных семей")</f>
        <v>оказание услуги по организации питания обучающихся из многодетных и малообеспеченных семей</v>
      </c>
      <c r="G3781" s="22" t="s">
        <v>145</v>
      </c>
      <c r="H3781" s="22" t="s">
        <v>145</v>
      </c>
      <c r="I3781" s="26">
        <v>43715</v>
      </c>
      <c r="J3781" s="28" t="s">
        <v>51</v>
      </c>
      <c r="K3781" s="28" t="s">
        <v>51</v>
      </c>
      <c r="L3781" s="28" t="s">
        <v>51</v>
      </c>
      <c r="M3781" s="28" t="s">
        <v>51</v>
      </c>
      <c r="N3781" s="28" t="s">
        <v>51</v>
      </c>
    </row>
    <row r="3782" spans="1:14" x14ac:dyDescent="0.2">
      <c r="A3782" s="23" t="str">
        <f>HYPERLINK("https://www.spark-marketing.ru/Card/Person/1403119", "МАОУ ""ШКОЛА-ИНТЕРНАТ № 85"" Г.ПЕРМИ")</f>
        <v>МАОУ "ШКОЛА-ИНТЕРНАТ № 85" Г.ПЕРМИ</v>
      </c>
      <c r="B3782" s="24" t="s">
        <v>6303</v>
      </c>
      <c r="C3782" s="25">
        <v>7806304.7999999998</v>
      </c>
      <c r="D3782" s="22" t="s">
        <v>6304</v>
      </c>
      <c r="E3782" s="22" t="s">
        <v>362</v>
      </c>
      <c r="F3782" s="23" t="str">
        <f>HYPERLINK("https://www.spark-marketing.ru/Card/Lot/73275131", "оказание услуги по организации горячего питания")</f>
        <v>оказание услуги по организации горячего питания</v>
      </c>
      <c r="G3782" s="22" t="s">
        <v>153</v>
      </c>
      <c r="H3782" s="22" t="s">
        <v>153</v>
      </c>
      <c r="I3782" s="26">
        <v>43714</v>
      </c>
      <c r="J3782" s="28" t="s">
        <v>51</v>
      </c>
      <c r="K3782" s="28" t="s">
        <v>51</v>
      </c>
      <c r="L3782" s="22" t="s">
        <v>10</v>
      </c>
      <c r="M3782" s="25">
        <v>7806304.7999999998</v>
      </c>
      <c r="N3782" s="27">
        <v>0</v>
      </c>
    </row>
    <row r="3783" spans="1:14" x14ac:dyDescent="0.15">
      <c r="A3783" s="23" t="str">
        <f>HYPERLINK("https://www.spark-marketing.ru/Card/Person/6200943", "ООО УК ПОЛЮС")</f>
        <v>ООО УК ПОЛЮС</v>
      </c>
      <c r="B3783" s="28" t="s">
        <v>51</v>
      </c>
      <c r="C3783" s="28" t="s">
        <v>51</v>
      </c>
      <c r="D3783" s="22" t="s">
        <v>6305</v>
      </c>
      <c r="E3783" s="22" t="s">
        <v>52</v>
      </c>
      <c r="F3783" s="23" t="str">
        <f>HYPERLINK("https://www.spark-marketing.ru/Card/Lot/73288909", "Предоставление услуг по организации питания, бытового и эксплуатационнного обслуживания объектов компании Полюс (1 этап)")</f>
        <v>Предоставление услуг по организации питания, бытового и эксплуатационнного обслуживания объектов компании Полюс (1 этап)</v>
      </c>
      <c r="G3783" s="22" t="s">
        <v>51</v>
      </c>
      <c r="H3783" s="22" t="s">
        <v>51</v>
      </c>
      <c r="I3783" s="26">
        <v>43715</v>
      </c>
      <c r="J3783" s="28" t="s">
        <v>51</v>
      </c>
      <c r="K3783" s="28" t="s">
        <v>51</v>
      </c>
      <c r="L3783" s="28" t="s">
        <v>51</v>
      </c>
      <c r="M3783" s="28" t="s">
        <v>51</v>
      </c>
      <c r="N3783" s="28" t="s">
        <v>51</v>
      </c>
    </row>
    <row r="3784" spans="1:14" x14ac:dyDescent="0.15">
      <c r="A3784" s="23" t="str">
        <f>HYPERLINK("https://www.spark-marketing.ru/Card/Person/1482912", "МАОУ ЛИЦЕЙ №2")</f>
        <v>МАОУ ЛИЦЕЙ №2</v>
      </c>
      <c r="B3784" s="24" t="s">
        <v>6306</v>
      </c>
      <c r="C3784" s="25">
        <v>173024</v>
      </c>
      <c r="D3784" s="22" t="s">
        <v>6307</v>
      </c>
      <c r="E3784" s="22" t="s">
        <v>362</v>
      </c>
      <c r="F3784" s="23" t="str">
        <f>HYPERLINK("https://www.spark-marketing.ru/Card/Lot/73288766", "Оказание услуг по организации питания")</f>
        <v>Оказание услуг по организации питания</v>
      </c>
      <c r="G3784" s="22" t="s">
        <v>351</v>
      </c>
      <c r="H3784" s="22" t="s">
        <v>351</v>
      </c>
      <c r="I3784" s="26">
        <v>43715</v>
      </c>
      <c r="J3784" s="28" t="s">
        <v>51</v>
      </c>
      <c r="K3784" s="28" t="s">
        <v>51</v>
      </c>
      <c r="L3784" s="28" t="s">
        <v>51</v>
      </c>
      <c r="M3784" s="28" t="s">
        <v>51</v>
      </c>
      <c r="N3784" s="28" t="s">
        <v>51</v>
      </c>
    </row>
    <row r="3785" spans="1:14" x14ac:dyDescent="0.2">
      <c r="A3785" s="23" t="str">
        <f>HYPERLINK("https://www.spark-marketing.ru/Card/Person/1412", "ГБУЗ ""ГКБ № 2 ИМ.Ф.Х.ГРАЛЯ""")</f>
        <v>ГБУЗ "ГКБ № 2 ИМ.Ф.Х.ГРАЛЯ"</v>
      </c>
      <c r="B3785" s="24" t="s">
        <v>6308</v>
      </c>
      <c r="C3785" s="25">
        <v>28853220</v>
      </c>
      <c r="D3785" s="22" t="s">
        <v>6309</v>
      </c>
      <c r="E3785" s="22" t="s">
        <v>96</v>
      </c>
      <c r="F3785" s="23" t="str">
        <f>HYPERLINK("https://www.spark-marketing.ru/Card/Lot/73286475", "Услуги по организации питания в учреждении здравоохранения")</f>
        <v>Услуги по организации питания в учреждении здравоохранения</v>
      </c>
      <c r="G3785" s="22" t="s">
        <v>153</v>
      </c>
      <c r="H3785" s="22" t="s">
        <v>153</v>
      </c>
      <c r="I3785" s="26">
        <v>43714.844444444403</v>
      </c>
      <c r="J3785" s="23" t="str">
        <f>HYPERLINK("https://www.spark-marketing.ru/Card/Person/52326", "Токарева Оксана Вячеславовна")</f>
        <v>Токарева Оксана Вячеславовна</v>
      </c>
      <c r="K3785" s="24" t="s">
        <v>1845</v>
      </c>
      <c r="L3785" s="28" t="s">
        <v>51</v>
      </c>
      <c r="M3785" s="25">
        <v>157</v>
      </c>
      <c r="N3785" s="27">
        <v>0.99999455866624243</v>
      </c>
    </row>
    <row r="3786" spans="1:14" x14ac:dyDescent="0.15">
      <c r="A3786" s="23" t="str">
        <f>HYPERLINK("https://www.spark-marketing.ru/Card/Person/21172", "ГБУ СК ""ЦМП""")</f>
        <v>ГБУ СК "ЦМП"</v>
      </c>
      <c r="B3786" s="24" t="s">
        <v>1933</v>
      </c>
      <c r="C3786" s="25">
        <v>20000</v>
      </c>
      <c r="D3786" s="22" t="s">
        <v>6310</v>
      </c>
      <c r="E3786" s="22" t="s">
        <v>48</v>
      </c>
      <c r="F3786" s="23" t="str">
        <f>HYPERLINK("https://www.spark-marketing.ru/Card/Lot/73284139", "Оказание услуг по организации питания участников и организаторов очного этапа краевого конкурса «Молодой предприниматель Ставропольского края» для обеспечения государственных нужд Ставропольского края")</f>
        <v>Оказание услуг по организации питания участников и организаторов очного этапа краевого конкурса «Молодой предприниматель Ставропольского края» для обеспечения государственных нужд Ставропольского края</v>
      </c>
      <c r="G3786" s="22" t="s">
        <v>87</v>
      </c>
      <c r="H3786" s="22" t="s">
        <v>686</v>
      </c>
      <c r="I3786" s="26">
        <v>43714.746527777803</v>
      </c>
      <c r="J3786" s="28" t="s">
        <v>51</v>
      </c>
      <c r="K3786" s="28" t="s">
        <v>51</v>
      </c>
      <c r="L3786" s="28" t="s">
        <v>51</v>
      </c>
      <c r="M3786" s="28" t="s">
        <v>51</v>
      </c>
      <c r="N3786" s="28" t="s">
        <v>51</v>
      </c>
    </row>
    <row r="3787" spans="1:14" ht="12.75" hidden="1" outlineLevel="1" x14ac:dyDescent="0.2">
      <c r="A3787" s="23" t="str">
        <f>HYPERLINK("https://www.spark-marketing.ru/Card/Person/21172", "ГБУ СК ""ЦМП""")</f>
        <v>ГБУ СК "ЦМП"</v>
      </c>
      <c r="B3787" s="24" t="s">
        <v>1933</v>
      </c>
      <c r="C3787" s="25">
        <v>20000</v>
      </c>
      <c r="D3787" s="22" t="s">
        <v>6310</v>
      </c>
      <c r="E3787" s="22" t="s">
        <v>48</v>
      </c>
      <c r="F3787" s="23" t="str">
        <f>HYPERLINK("https://www.spark-marketing.ru/Card/Lot/73284139", "Оказание услуг по организации питания участников и организаторов очного этапа краевого конкурса «Молодой предприниматель Ставропольского края» для обеспечения государственных нужд Ставропольского края")</f>
        <v>Оказание услуг по организации питания участников и организаторов очного этапа краевого конкурса «Молодой предприниматель Ставропольского края» для обеспечения государственных нужд Ставропольского края</v>
      </c>
      <c r="G3787" s="22" t="s">
        <v>87</v>
      </c>
      <c r="H3787" s="22" t="s">
        <v>686</v>
      </c>
      <c r="I3787" s="26">
        <v>43714.746527777803</v>
      </c>
      <c r="J3787" s="23" t="str">
        <f>HYPERLINK("https://www.spark-marketing.ru/Card/Person/6702806", "Рыжова Екатерина Александровна")</f>
        <v>Рыжова Екатерина Александровна</v>
      </c>
      <c r="K3787" s="24" t="s">
        <v>6311</v>
      </c>
      <c r="L3787" s="22" t="s">
        <v>10</v>
      </c>
      <c r="M3787" s="25">
        <v>20000</v>
      </c>
      <c r="N3787" s="27">
        <v>0</v>
      </c>
    </row>
    <row r="3788" spans="1:14" hidden="1" outlineLevel="1" x14ac:dyDescent="0.2">
      <c r="A3788" s="23" t="str">
        <f>HYPERLINK("https://www.spark-marketing.ru/Card/Person/21172", "ГБУ СК ""ЦМП""")</f>
        <v>ГБУ СК "ЦМП"</v>
      </c>
      <c r="B3788" s="24" t="s">
        <v>1933</v>
      </c>
      <c r="C3788" s="25">
        <v>20000</v>
      </c>
      <c r="D3788" s="22" t="s">
        <v>6310</v>
      </c>
      <c r="E3788" s="22" t="s">
        <v>48</v>
      </c>
      <c r="F3788" s="23" t="str">
        <f>HYPERLINK("https://www.spark-marketing.ru/Card/Lot/73284139", "Оказание услуг по организации питания участников и организаторов очного этапа краевого конкурса «Молодой предприниматель Ставропольского края» для обеспечения государственных нужд Ставропольского края")</f>
        <v>Оказание услуг по организации питания участников и организаторов очного этапа краевого конкурса «Молодой предприниматель Ставропольского края» для обеспечения государственных нужд Ставропольского края</v>
      </c>
      <c r="G3788" s="22" t="s">
        <v>87</v>
      </c>
      <c r="H3788" s="22" t="s">
        <v>686</v>
      </c>
      <c r="I3788" s="26">
        <v>43714.746527777803</v>
      </c>
      <c r="J3788" s="23" t="str">
        <f>HYPERLINK("https://www.spark-marketing.ru/Card/Person/5905019", "Фурсова Мария Алексеевна")</f>
        <v>Фурсова Мария Алексеевна</v>
      </c>
      <c r="K3788" s="24" t="s">
        <v>6312</v>
      </c>
      <c r="L3788" s="28" t="s">
        <v>51</v>
      </c>
      <c r="M3788" s="25">
        <v>20000</v>
      </c>
      <c r="N3788" s="27">
        <v>0</v>
      </c>
    </row>
    <row r="3789" spans="1:14" x14ac:dyDescent="0.2">
      <c r="A3789" s="23" t="str">
        <f>HYPERLINK("https://www.spark-marketing.ru/Card/Person/55239", "ГБУЗ ВО ""ВЯЗНИКОВСКАЯ РБ""")</f>
        <v>ГБУЗ ВО "ВЯЗНИКОВСКАЯ РБ"</v>
      </c>
      <c r="B3789" s="24" t="s">
        <v>6313</v>
      </c>
      <c r="C3789" s="25">
        <v>6099665</v>
      </c>
      <c r="D3789" s="22" t="s">
        <v>6314</v>
      </c>
      <c r="E3789" s="22" t="s">
        <v>48</v>
      </c>
      <c r="F3789" s="23" t="str">
        <f>HYPERLINK("https://www.spark-marketing.ru/Card/Lot/73287114", "Оказание услуг по организации и доставке лечебного питания пациентам стационара ГБУЗ ВО ""Вязниковская РБ"" в 2019 году")</f>
        <v>Оказание услуг по организации и доставке лечебного питания пациентам стационара ГБУЗ ВО "Вязниковская РБ" в 2019 году</v>
      </c>
      <c r="G3789" s="22" t="s">
        <v>663</v>
      </c>
      <c r="H3789" s="22" t="s">
        <v>663</v>
      </c>
      <c r="I3789" s="26">
        <v>43714.669884259303</v>
      </c>
      <c r="J3789" s="23" t="str">
        <f>HYPERLINK("https://www.spark-marketing.ru/Card/Person/91571", "ООО ""ВЭП""")</f>
        <v>ООО "ВЭП"</v>
      </c>
      <c r="K3789" s="24" t="s">
        <v>4578</v>
      </c>
      <c r="L3789" s="28" t="s">
        <v>51</v>
      </c>
      <c r="M3789" s="25">
        <v>6099665</v>
      </c>
      <c r="N3789" s="27">
        <v>0</v>
      </c>
    </row>
    <row r="3790" spans="1:14" x14ac:dyDescent="0.15">
      <c r="A3790" s="23" t="str">
        <f>HYPERLINK("https://www.spark-marketing.ru/Card/Person/125680", "МО МВД РОССИИ ""КУРЧАТОВСКИЙ""")</f>
        <v>МО МВД РОССИИ "КУРЧАТОВСКИЙ"</v>
      </c>
      <c r="B3790" s="24" t="s">
        <v>6315</v>
      </c>
      <c r="C3790" s="25">
        <v>1383600</v>
      </c>
      <c r="D3790" s="22" t="s">
        <v>6316</v>
      </c>
      <c r="E3790" s="22" t="s">
        <v>96</v>
      </c>
      <c r="F3790" s="23" t="str">
        <f>HYPERLINK("https://www.spark-marketing.ru/Card/Lot/73285658", "Услуги по обеспечению питанием, лиц содержащихся в комнате содержания задержанных лиц и изоляторе временного содержания Межмуниципального отдела Министерства внутренних дел Российской Федерации «Курчатовский»")</f>
        <v>Услуги по обеспечению питанием, лиц содержащихся в комнате содержания задержанных лиц и изоляторе временного содержания Межмуниципального отдела Министерства внутренних дел Российской Федерации «Курчатовский»</v>
      </c>
      <c r="G3790" s="22" t="s">
        <v>1111</v>
      </c>
      <c r="H3790" s="22" t="s">
        <v>6317</v>
      </c>
      <c r="I3790" s="26">
        <v>43714.667361111096</v>
      </c>
      <c r="J3790" s="23" t="str">
        <f>HYPERLINK("https://www.spark-marketing.ru/Card/Person/671861", "ООО ""КОНГРЕСС""")</f>
        <v>ООО "КОНГРЕСС"</v>
      </c>
      <c r="K3790" s="24" t="s">
        <v>4512</v>
      </c>
      <c r="L3790" s="22" t="s">
        <v>10</v>
      </c>
      <c r="M3790" s="28" t="s">
        <v>51</v>
      </c>
      <c r="N3790" s="28" t="s">
        <v>51</v>
      </c>
    </row>
    <row r="3791" spans="1:14" x14ac:dyDescent="0.15">
      <c r="A3791" s="23" t="str">
        <f>HYPERLINK("https://www.spark-marketing.ru/Card/Person/55328", "УМВД РОССИИ ПО Г. КАЛУГЕ")</f>
        <v>УМВД РОССИИ ПО Г. КАЛУГЕ</v>
      </c>
      <c r="B3791" s="24" t="s">
        <v>6318</v>
      </c>
      <c r="C3791" s="25">
        <v>438000</v>
      </c>
      <c r="D3791" s="22" t="s">
        <v>6319</v>
      </c>
      <c r="E3791" s="22" t="s">
        <v>48</v>
      </c>
      <c r="F3791" s="23" t="str">
        <f>HYPERLINK("https://www.spark-marketing.ru/Card/Lot/73285049", "Ежедневная поставка трехразового горячего питания для лиц, содержащихся в специальном помещении для содержания задержанных лиц УМВД России по г.Калуге")</f>
        <v>Ежедневная поставка трехразового горячего питания для лиц, содержащихся в специальном помещении для содержания задержанных лиц УМВД России по г.Калуге</v>
      </c>
      <c r="G3791" s="22" t="s">
        <v>112</v>
      </c>
      <c r="H3791" s="22" t="s">
        <v>389</v>
      </c>
      <c r="I3791" s="26">
        <v>43714.637499999997</v>
      </c>
      <c r="J3791" s="23" t="str">
        <f>HYPERLINK("https://www.spark-marketing.ru/Card/Person/4916563", "Халилов Арастун Алхады Оглы")</f>
        <v>Халилов Арастун Алхады Оглы</v>
      </c>
      <c r="K3791" s="24" t="s">
        <v>6140</v>
      </c>
      <c r="L3791" s="22" t="s">
        <v>10</v>
      </c>
      <c r="M3791" s="28" t="s">
        <v>51</v>
      </c>
      <c r="N3791" s="28" t="s">
        <v>51</v>
      </c>
    </row>
    <row r="3792" spans="1:14" x14ac:dyDescent="0.15">
      <c r="A3792" s="23" t="str">
        <f>HYPERLINK("https://www.spark-marketing.ru/Card/Person/1032900", "МДОУ ДЕТСКИЙ САД ОБЩЕРАЗВИВАЮЩЕГО ВИДА №38 ""ИСКОРКА""")</f>
        <v>МДОУ ДЕТСКИЙ САД ОБЩЕРАЗВИВАЮЩЕГО ВИДА №38 "ИСКОРКА"</v>
      </c>
      <c r="B3792" s="24" t="s">
        <v>6320</v>
      </c>
      <c r="C3792" s="25">
        <v>278850</v>
      </c>
      <c r="D3792" s="22" t="s">
        <v>6321</v>
      </c>
      <c r="E3792" s="22" t="s">
        <v>48</v>
      </c>
      <c r="F3792" s="23" t="str">
        <f>HYPERLINK("https://www.spark-marketing.ru/Card/Lot/73279893",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3792" s="22" t="s">
        <v>49</v>
      </c>
      <c r="H3792" s="22" t="s">
        <v>50</v>
      </c>
      <c r="I3792" s="26">
        <v>43714.649432870399</v>
      </c>
      <c r="J3792" s="28" t="s">
        <v>51</v>
      </c>
      <c r="K3792" s="28" t="s">
        <v>51</v>
      </c>
      <c r="L3792" s="28" t="s">
        <v>51</v>
      </c>
      <c r="M3792" s="28" t="s">
        <v>51</v>
      </c>
      <c r="N3792" s="28" t="s">
        <v>51</v>
      </c>
    </row>
    <row r="3793" spans="1:14" x14ac:dyDescent="0.15">
      <c r="A3793" s="23" t="str">
        <f>HYPERLINK("https://www.spark-marketing.ru/Card/Person/15678", "САНКТ-ПЕТЕРБУРГСКИЙ УНИВЕРСИТЕТ МВД РОССИИ,ФГКОУ ВО СПБУ МВД РОССИИ,СПБУ МВД РОССИИ")</f>
        <v>САНКТ-ПЕТЕРБУРГСКИЙ УНИВЕРСИТЕТ МВД РОССИИ,ФГКОУ ВО СПБУ МВД РОССИИ,СПБУ МВД РОССИИ</v>
      </c>
      <c r="B3793" s="24" t="s">
        <v>4289</v>
      </c>
      <c r="C3793" s="25">
        <v>52420860</v>
      </c>
      <c r="D3793" s="22" t="s">
        <v>6322</v>
      </c>
      <c r="E3793" s="22" t="s">
        <v>48</v>
      </c>
      <c r="F3793" s="23" t="str">
        <f>HYPERLINK("https://www.spark-marketing.ru/Card/Lot/73037116", "Услуги по организации трехразового горячего питания курсантов и слушателей")</f>
        <v>Услуги по организации трехразового горячего питания курсантов и слушателей</v>
      </c>
      <c r="G3793" s="22" t="s">
        <v>117</v>
      </c>
      <c r="H3793" s="22" t="s">
        <v>117</v>
      </c>
      <c r="I3793" s="26">
        <v>43703.526550925897</v>
      </c>
      <c r="J3793" s="28" t="s">
        <v>51</v>
      </c>
      <c r="K3793" s="28" t="s">
        <v>51</v>
      </c>
      <c r="L3793" s="28" t="s">
        <v>51</v>
      </c>
      <c r="M3793" s="28" t="s">
        <v>51</v>
      </c>
      <c r="N3793" s="28" t="s">
        <v>51</v>
      </c>
    </row>
    <row r="3794" spans="1:14" hidden="1" outlineLevel="1" x14ac:dyDescent="0.15">
      <c r="A3794" s="23" t="str">
        <f>HYPERLINK("https://www.spark-marketing.ru/Card/Person/15678", "САНКТ-ПЕТЕРБУРГСКИЙ УНИВЕРСИТЕТ МВД РОССИИ,ФГКОУ ВО СПБУ МВД РОССИИ,СПБУ МВД РОССИИ")</f>
        <v>САНКТ-ПЕТЕРБУРГСКИЙ УНИВЕРСИТЕТ МВД РОССИИ,ФГКОУ ВО СПБУ МВД РОССИИ,СПБУ МВД РОССИИ</v>
      </c>
      <c r="B3794" s="24" t="s">
        <v>4289</v>
      </c>
      <c r="C3794" s="25">
        <v>52420860</v>
      </c>
      <c r="D3794" s="22" t="s">
        <v>6322</v>
      </c>
      <c r="E3794" s="22" t="s">
        <v>48</v>
      </c>
      <c r="F3794" s="23" t="str">
        <f>HYPERLINK("https://www.spark-marketing.ru/Card/Lot/73037116", "Услуги по организации трехразового горячего питания курсантов и слушателей")</f>
        <v>Услуги по организации трехразового горячего питания курсантов и слушателей</v>
      </c>
      <c r="G3794" s="22" t="s">
        <v>117</v>
      </c>
      <c r="H3794" s="22" t="s">
        <v>117</v>
      </c>
      <c r="I3794" s="26">
        <v>43703.526550925897</v>
      </c>
      <c r="J3794" s="23" t="str">
        <f>HYPERLINK("https://www.spark-marketing.ru/Card/Person/133629", "ООО ""АУРУМ ПЛЮС""")</f>
        <v>ООО "АУРУМ ПЛЮС"</v>
      </c>
      <c r="K3794" s="24" t="s">
        <v>4291</v>
      </c>
      <c r="L3794" s="28" t="s">
        <v>51</v>
      </c>
      <c r="M3794" s="28" t="s">
        <v>51</v>
      </c>
      <c r="N3794" s="28" t="s">
        <v>51</v>
      </c>
    </row>
    <row r="3795" spans="1:14" hidden="1" outlineLevel="1" x14ac:dyDescent="0.2">
      <c r="A3795" s="23" t="str">
        <f>HYPERLINK("https://www.spark-marketing.ru/Card/Person/15678", "САНКТ-ПЕТЕРБУРГСКИЙ УНИВЕРСИТЕТ МВД РОССИИ,ФГКОУ ВО СПБУ МВД РОССИИ,СПБУ МВД РОССИИ")</f>
        <v>САНКТ-ПЕТЕРБУРГСКИЙ УНИВЕРСИТЕТ МВД РОССИИ,ФГКОУ ВО СПБУ МВД РОССИИ,СПБУ МВД РОССИИ</v>
      </c>
      <c r="B3795" s="24" t="s">
        <v>4289</v>
      </c>
      <c r="C3795" s="25">
        <v>52420860</v>
      </c>
      <c r="D3795" s="22" t="s">
        <v>6322</v>
      </c>
      <c r="E3795" s="22" t="s">
        <v>48</v>
      </c>
      <c r="F3795" s="23" t="str">
        <f>HYPERLINK("https://www.spark-marketing.ru/Card/Lot/73037116", "Услуги по организации трехразового горячего питания курсантов и слушателей")</f>
        <v>Услуги по организации трехразового горячего питания курсантов и слушателей</v>
      </c>
      <c r="G3795" s="22" t="s">
        <v>117</v>
      </c>
      <c r="H3795" s="22" t="s">
        <v>117</v>
      </c>
      <c r="I3795" s="26">
        <v>43703.526550925897</v>
      </c>
      <c r="J3795" s="23" t="str">
        <f>HYPERLINK("https://www.spark-marketing.ru/Card/Person/54261", "ООО ""ТРЕЙДСЕРВИС""")</f>
        <v>ООО "ТРЕЙДСЕРВИС"</v>
      </c>
      <c r="K3795" s="24" t="s">
        <v>4292</v>
      </c>
      <c r="L3795" s="28" t="s">
        <v>51</v>
      </c>
      <c r="M3795" s="25">
        <v>52420860</v>
      </c>
      <c r="N3795" s="27">
        <v>0</v>
      </c>
    </row>
    <row r="3796" spans="1:14" x14ac:dyDescent="0.15">
      <c r="A3796" s="23" t="str">
        <f>HYPERLINK("https://www.spark-marketing.ru/Card/Person/26241", "ФКУ ""ЦВР МВД РОССИИ, С. ПЕРЕСЫПКИНО-2""")</f>
        <v>ФКУ "ЦВР МВД РОССИИ, С. ПЕРЕСЫПКИНО-2"</v>
      </c>
      <c r="B3796" s="24" t="s">
        <v>6323</v>
      </c>
      <c r="C3796" s="25">
        <v>851000</v>
      </c>
      <c r="D3796" s="22" t="s">
        <v>6324</v>
      </c>
      <c r="E3796" s="22" t="s">
        <v>96</v>
      </c>
      <c r="F3796" s="23" t="str">
        <f>HYPERLINK("https://www.spark-marketing.ru/Card/Lot/73287136", "Оказание услуг по приготовлению ежедневного трёхразового горячего питания для беженцев")</f>
        <v>Оказание услуг по приготовлению ежедневного трёхразового горячего питания для беженцев</v>
      </c>
      <c r="G3796" s="22" t="s">
        <v>1370</v>
      </c>
      <c r="H3796" s="22" t="s">
        <v>6325</v>
      </c>
      <c r="I3796" s="26">
        <v>43714.665208333303</v>
      </c>
      <c r="J3796" s="23" t="str">
        <f>HYPERLINK("https://www.spark-marketing.ru/Card/Person/1506426", "Штыркин Николай Иванович")</f>
        <v>Штыркин Николай Иванович</v>
      </c>
      <c r="K3796" s="24" t="s">
        <v>6326</v>
      </c>
      <c r="L3796" s="22" t="s">
        <v>10</v>
      </c>
      <c r="M3796" s="28" t="s">
        <v>51</v>
      </c>
      <c r="N3796" s="28" t="s">
        <v>51</v>
      </c>
    </row>
    <row r="3797" spans="1:14" x14ac:dyDescent="0.15">
      <c r="A3797" s="23" t="str">
        <f>HYPERLINK("https://www.spark-marketing.ru/Card/Person/364646", "ОТДЕЛ МВД РОССИИ ПО ЧАНОВСКОМУ РАЙОНУ")</f>
        <v>ОТДЕЛ МВД РОССИИ ПО ЧАНОВСКОМУ РАЙОНУ</v>
      </c>
      <c r="B3797" s="24" t="s">
        <v>6327</v>
      </c>
      <c r="C3797" s="25">
        <v>227000</v>
      </c>
      <c r="D3797" s="22" t="s">
        <v>6328</v>
      </c>
      <c r="E3797" s="22" t="s">
        <v>48</v>
      </c>
      <c r="F3797" s="23" t="str">
        <f>HYPERLINK("https://www.spark-marketing.ru/Card/Lot/73281393", "Услуги по приготовлению и поставки ежедневного трехразового, горячего питания лиц, содержащихся в изоляторе временного содержания подозреваемых и обвиняемых, в том числе для лиц, арестованных в административном порядке и помещенных в изолятор временн...")</f>
        <v>Услуги по приготовлению и поставки ежедневного трехразового, горячего питания лиц, содержащихся в изоляторе временного содержания подозреваемых и обвиняемых, в том числе для лиц, арестованных в административном порядке и помещенных в изолятор временн...</v>
      </c>
      <c r="G3797" s="22" t="s">
        <v>195</v>
      </c>
      <c r="H3797" s="22" t="s">
        <v>6329</v>
      </c>
      <c r="I3797" s="26">
        <v>43714.661805555603</v>
      </c>
      <c r="J3797" s="23" t="str">
        <f>HYPERLINK("https://www.spark-marketing.ru/Card/Person/1367337", "Мелкозерова Ольга Сергеевна")</f>
        <v>Мелкозерова Ольга Сергеевна</v>
      </c>
      <c r="K3797" s="24" t="s">
        <v>2787</v>
      </c>
      <c r="L3797" s="22" t="s">
        <v>10</v>
      </c>
      <c r="M3797" s="28" t="s">
        <v>51</v>
      </c>
      <c r="N3797" s="28" t="s">
        <v>51</v>
      </c>
    </row>
    <row r="3798" spans="1:14" x14ac:dyDescent="0.15">
      <c r="A3798" s="23" t="str">
        <f>HYPERLINK("https://www.spark-marketing.ru/Card/Person/150965", "МО МВД РОССИИ ""КИРОВО-ЧЕПЕЦКИЙ""")</f>
        <v>МО МВД РОССИИ "КИРОВО-ЧЕПЕЦКИЙ"</v>
      </c>
      <c r="B3798" s="24" t="s">
        <v>6256</v>
      </c>
      <c r="C3798" s="25">
        <v>545094.40000000002</v>
      </c>
      <c r="D3798" s="22" t="s">
        <v>6330</v>
      </c>
      <c r="E3798" s="22" t="s">
        <v>48</v>
      </c>
      <c r="F3798" s="23" t="str">
        <f>HYPERLINK("https://www.spark-marketing.ru/Card/Lot/73285352", "оказание услуг по организации питания лиц содержащихся в ИВС")</f>
        <v>оказание услуг по организации питания лиц содержащихся в ИВС</v>
      </c>
      <c r="G3798" s="22" t="s">
        <v>224</v>
      </c>
      <c r="H3798" s="22" t="s">
        <v>224</v>
      </c>
      <c r="I3798" s="26">
        <v>43714.648611111101</v>
      </c>
      <c r="J3798" s="23" t="str">
        <f>HYPERLINK("https://www.spark-marketing.ru/Card/Person/51950", "ООО ""ЗДОРОВОЕ ПИТАНИЕ""")</f>
        <v>ООО "ЗДОРОВОЕ ПИТАНИЕ"</v>
      </c>
      <c r="K3798" s="24" t="s">
        <v>2336</v>
      </c>
      <c r="L3798" s="22" t="s">
        <v>10</v>
      </c>
      <c r="M3798" s="28" t="s">
        <v>51</v>
      </c>
      <c r="N3798" s="28" t="s">
        <v>51</v>
      </c>
    </row>
    <row r="3799" spans="1:14" x14ac:dyDescent="0.15">
      <c r="A3799" s="23" t="str">
        <f>HYPERLINK("https://www.spark-marketing.ru/Card/Person/1016125", "МБОУ СОШ № 4")</f>
        <v>МБОУ СОШ № 4</v>
      </c>
      <c r="B3799" s="24" t="s">
        <v>1125</v>
      </c>
      <c r="C3799" s="25">
        <v>1275956</v>
      </c>
      <c r="D3799" s="22" t="s">
        <v>6331</v>
      </c>
      <c r="E3799" s="22" t="s">
        <v>48</v>
      </c>
      <c r="F3799" s="23" t="str">
        <f>HYPERLINK("https://www.spark-marketing.ru/Card/Lot/73286898", "Оказание услуг по организации питания обучающихся")</f>
        <v>Оказание услуг по организации питания обучающихся</v>
      </c>
      <c r="G3799" s="22" t="s">
        <v>97</v>
      </c>
      <c r="H3799" s="22" t="s">
        <v>1127</v>
      </c>
      <c r="I3799" s="26">
        <v>43714.646134259303</v>
      </c>
      <c r="J3799" s="23" t="str">
        <f>HYPERLINK("https://www.spark-marketing.ru/Card/Person/930688", "УП ""КОМБИНАТ ОБЩЕСТВЕННОГО ПИТАНИЯ"" ГОРОДА РАДУЖНЫЙ")</f>
        <v>УП "КОМБИНАТ ОБЩЕСТВЕННОГО ПИТАНИЯ" ГОРОДА РАДУЖНЫЙ</v>
      </c>
      <c r="K3799" s="24" t="s">
        <v>1428</v>
      </c>
      <c r="L3799" s="22" t="s">
        <v>10</v>
      </c>
      <c r="M3799" s="28" t="s">
        <v>51</v>
      </c>
      <c r="N3799" s="28" t="s">
        <v>51</v>
      </c>
    </row>
    <row r="3800" spans="1:14" x14ac:dyDescent="0.15">
      <c r="A3800" s="23" t="str">
        <f>HYPERLINK("https://www.spark-marketing.ru/Card/Person/364646", "ОТДЕЛ МВД РОССИИ ПО ЧАНОВСКОМУ РАЙОНУ")</f>
        <v>ОТДЕЛ МВД РОССИИ ПО ЧАНОВСКОМУ РАЙОНУ</v>
      </c>
      <c r="B3800" s="24" t="s">
        <v>6327</v>
      </c>
      <c r="C3800" s="25">
        <v>227000</v>
      </c>
      <c r="D3800" s="22" t="s">
        <v>6332</v>
      </c>
      <c r="E3800" s="22" t="s">
        <v>48</v>
      </c>
      <c r="F3800" s="23" t="str">
        <f>HYPERLINK("https://www.spark-marketing.ru/Card/Lot/73276269", "Услуги по приготовлению и поставки ежедневного трехразового, горячего питания лиц, содержащихся в изоляторе временного содержания подозреваемых и обвиняемых, в том числе для лиц, арестованных в административном порядке и помещенных в изолятор временн...")</f>
        <v>Услуги по приготовлению и поставки ежедневного трехразового, горячего питания лиц, содержащихся в изоляторе временного содержания подозреваемых и обвиняемых, в том числе для лиц, арестованных в административном порядке и помещенных в изолятор временн...</v>
      </c>
      <c r="G3800" s="22" t="s">
        <v>195</v>
      </c>
      <c r="H3800" s="22" t="s">
        <v>6329</v>
      </c>
      <c r="I3800" s="26">
        <v>43714.661805555603</v>
      </c>
      <c r="J3800" s="23" t="str">
        <f>HYPERLINK("https://www.spark-marketing.ru/Card/Person/1367337", "Мелкозерова Ольга Сергеевна")</f>
        <v>Мелкозерова Ольга Сергеевна</v>
      </c>
      <c r="K3800" s="24" t="s">
        <v>2787</v>
      </c>
      <c r="L3800" s="22" t="s">
        <v>10</v>
      </c>
      <c r="M3800" s="28" t="s">
        <v>51</v>
      </c>
      <c r="N3800" s="28" t="s">
        <v>51</v>
      </c>
    </row>
    <row r="3801" spans="1:14" x14ac:dyDescent="0.15">
      <c r="A3801" s="23" t="str">
        <f>HYPERLINK("https://www.spark-marketing.ru/Card/Person/150965", "МО МВД РОССИИ ""КИРОВО-ЧЕПЕЦКИЙ""")</f>
        <v>МО МВД РОССИИ "КИРОВО-ЧЕПЕЦКИЙ"</v>
      </c>
      <c r="B3801" s="24" t="s">
        <v>6256</v>
      </c>
      <c r="C3801" s="25">
        <v>545040</v>
      </c>
      <c r="D3801" s="22" t="s">
        <v>6333</v>
      </c>
      <c r="E3801" s="22" t="s">
        <v>48</v>
      </c>
      <c r="F3801" s="23" t="str">
        <f>HYPERLINK("https://www.spark-marketing.ru/Card/Lot/73285363", "оказание услуг по организации питания лиц содержащихся в ИВС")</f>
        <v>оказание услуг по организации питания лиц содержащихся в ИВС</v>
      </c>
      <c r="G3801" s="22" t="s">
        <v>224</v>
      </c>
      <c r="H3801" s="22" t="s">
        <v>224</v>
      </c>
      <c r="I3801" s="26">
        <v>43714.656944444403</v>
      </c>
      <c r="J3801" s="23" t="str">
        <f>HYPERLINK("https://www.spark-marketing.ru/Card/Person/51950", "ООО ""ЗДОРОВОЕ ПИТАНИЕ""")</f>
        <v>ООО "ЗДОРОВОЕ ПИТАНИЕ"</v>
      </c>
      <c r="K3801" s="24" t="s">
        <v>2336</v>
      </c>
      <c r="L3801" s="22" t="s">
        <v>10</v>
      </c>
      <c r="M3801" s="28" t="s">
        <v>51</v>
      </c>
      <c r="N3801" s="28" t="s">
        <v>51</v>
      </c>
    </row>
    <row r="3802" spans="1:14" x14ac:dyDescent="0.15">
      <c r="A3802" s="23" t="str">
        <f>HYPERLINK("https://www.spark-marketing.ru/Card/Person/55328", "УМВД РОССИИ ПО Г. КАЛУГЕ")</f>
        <v>УМВД РОССИИ ПО Г. КАЛУГЕ</v>
      </c>
      <c r="B3802" s="24" t="s">
        <v>6318</v>
      </c>
      <c r="C3802" s="25">
        <v>439200</v>
      </c>
      <c r="D3802" s="22" t="s">
        <v>6334</v>
      </c>
      <c r="E3802" s="22" t="s">
        <v>48</v>
      </c>
      <c r="F3802" s="23" t="str">
        <f>HYPERLINK("https://www.spark-marketing.ru/Card/Lot/73285052", "Ежедневная поставка трехразового горячего питания для лиц, содержащихся в специальном помещении для содержания задержанных лиц УМВД России по г.Калуге")</f>
        <v>Ежедневная поставка трехразового горячего питания для лиц, содержащихся в специальном помещении для содержания задержанных лиц УМВД России по г.Калуге</v>
      </c>
      <c r="G3802" s="22" t="s">
        <v>112</v>
      </c>
      <c r="H3802" s="22" t="s">
        <v>389</v>
      </c>
      <c r="I3802" s="26">
        <v>43714.6381944444</v>
      </c>
      <c r="J3802" s="23" t="str">
        <f>HYPERLINK("https://www.spark-marketing.ru/Card/Person/4916563", "Халилов Арастун Алхады Оглы")</f>
        <v>Халилов Арастун Алхады Оглы</v>
      </c>
      <c r="K3802" s="24" t="s">
        <v>6140</v>
      </c>
      <c r="L3802" s="22" t="s">
        <v>10</v>
      </c>
      <c r="M3802" s="28" t="s">
        <v>51</v>
      </c>
      <c r="N3802" s="28" t="s">
        <v>51</v>
      </c>
    </row>
    <row r="3803" spans="1:14" x14ac:dyDescent="0.15">
      <c r="A3803" s="23" t="str">
        <f>HYPERLINK("https://www.spark-marketing.ru/Card/Person/4453815", "ООО ""РН-СНАБЖЕНИЕ-НЕФТЕЮГАНСК""")</f>
        <v>ООО "РН-СНАБЖЕНИЕ-НЕФТЕЮГАНСК"</v>
      </c>
      <c r="B3803" s="24" t="s">
        <v>6335</v>
      </c>
      <c r="C3803" s="28" t="s">
        <v>51</v>
      </c>
      <c r="D3803" s="22" t="s">
        <v>6336</v>
      </c>
      <c r="E3803" s="22" t="s">
        <v>952</v>
      </c>
      <c r="F3803" s="23" t="str">
        <f>HYPERLINK("https://www.spark-marketing.ru/Card/Lot/73279186", "«Оказание услуг по обеспечению питанием работников на ЮТМ »")</f>
        <v>«Оказание услуг по обеспечению питанием работников на ЮТМ »</v>
      </c>
      <c r="G3803" s="22" t="s">
        <v>97</v>
      </c>
      <c r="H3803" s="22" t="s">
        <v>363</v>
      </c>
      <c r="I3803" s="26">
        <v>43714.627777777801</v>
      </c>
      <c r="J3803" s="28" t="s">
        <v>51</v>
      </c>
      <c r="K3803" s="28" t="s">
        <v>51</v>
      </c>
      <c r="L3803" s="28" t="s">
        <v>51</v>
      </c>
      <c r="M3803" s="28" t="s">
        <v>51</v>
      </c>
      <c r="N3803" s="28" t="s">
        <v>51</v>
      </c>
    </row>
    <row r="3804" spans="1:14" x14ac:dyDescent="0.15">
      <c r="A3804" s="23" t="str">
        <f>HYPERLINK("https://www.spark-marketing.ru/Card/Person/55851", "ГБУЗ КВД")</f>
        <v>ГБУЗ КВД</v>
      </c>
      <c r="B3804" s="24" t="s">
        <v>6337</v>
      </c>
      <c r="C3804" s="25">
        <v>393343.6</v>
      </c>
      <c r="D3804" s="22" t="s">
        <v>6338</v>
      </c>
      <c r="E3804" s="22" t="s">
        <v>48</v>
      </c>
      <c r="F3804" s="23" t="str">
        <f>HYPERLINK("https://www.spark-marketing.ru/Card/Lot/73285077", "Оказание услуг по приготовлению и поставке готового питания для пациентов круглосуточного стационара ГБУЗ «Кожно-венерологический диспансер Псковской области» (идентификационный номер: 5233-А-ГЗ-Л)")</f>
        <v>Оказание услуг по приготовлению и поставке готового питания для пациентов круглосуточного стационара ГБУЗ «Кожно-венерологический диспансер Псковской области» (идентификационный номер: 5233-А-ГЗ-Л)</v>
      </c>
      <c r="G3804" s="22" t="s">
        <v>415</v>
      </c>
      <c r="H3804" s="22" t="s">
        <v>4542</v>
      </c>
      <c r="I3804" s="26">
        <v>43714.593055555597</v>
      </c>
      <c r="J3804" s="23" t="str">
        <f>HYPERLINK("https://www.spark-marketing.ru/Card/Person/393246", "ООО ""ЛАРНАКА""")</f>
        <v>ООО "ЛАРНАКА"</v>
      </c>
      <c r="K3804" s="24" t="s">
        <v>6339</v>
      </c>
      <c r="L3804" s="22" t="s">
        <v>10</v>
      </c>
      <c r="M3804" s="28" t="s">
        <v>51</v>
      </c>
      <c r="N3804" s="28" t="s">
        <v>51</v>
      </c>
    </row>
    <row r="3805" spans="1:14" x14ac:dyDescent="0.15">
      <c r="A3805" s="23" t="str">
        <f>HYPERLINK("https://www.spark-marketing.ru/Card/Person/55851", "ГБУЗ КВД")</f>
        <v>ГБУЗ КВД</v>
      </c>
      <c r="B3805" s="24" t="s">
        <v>6337</v>
      </c>
      <c r="C3805" s="25">
        <v>385735.59</v>
      </c>
      <c r="D3805" s="22" t="s">
        <v>6340</v>
      </c>
      <c r="E3805" s="22" t="s">
        <v>48</v>
      </c>
      <c r="F3805" s="23" t="str">
        <f>HYPERLINK("https://www.spark-marketing.ru/Card/Lot/73285076", "Оказание услуг по приготовлению и поставке готового питания для пациентов круглосуточного стационара Филиала «Великолукский» ГБУЗ «Кожно-венерологический диспансер Псковской области» (идентификационный номер: 5234-А-ГЗ-Л)")</f>
        <v>Оказание услуг по приготовлению и поставке готового питания для пациентов круглосуточного стационара Филиала «Великолукский» ГБУЗ «Кожно-венерологический диспансер Псковской области» (идентификационный номер: 5234-А-ГЗ-Л)</v>
      </c>
      <c r="G3805" s="22" t="s">
        <v>415</v>
      </c>
      <c r="H3805" s="22" t="s">
        <v>3840</v>
      </c>
      <c r="I3805" s="26">
        <v>43714.590972222199</v>
      </c>
      <c r="J3805" s="23" t="str">
        <f>HYPERLINK("https://www.spark-marketing.ru/Card/Person/6457099", "Веркеенко Наталия Николаевна")</f>
        <v>Веркеенко Наталия Николаевна</v>
      </c>
      <c r="K3805" s="24" t="s">
        <v>3841</v>
      </c>
      <c r="L3805" s="22" t="s">
        <v>10</v>
      </c>
      <c r="M3805" s="28" t="s">
        <v>51</v>
      </c>
      <c r="N3805" s="28" t="s">
        <v>51</v>
      </c>
    </row>
    <row r="3806" spans="1:14" x14ac:dyDescent="0.15">
      <c r="A3806" s="23" t="str">
        <f>HYPERLINK("https://www.spark-marketing.ru/Card/Person/49399", "МО МВД РОССИИ ""КИНЕШЕМСКИЙ""")</f>
        <v>МО МВД РОССИИ "КИНЕШЕМСКИЙ"</v>
      </c>
      <c r="B3806" s="24" t="s">
        <v>2206</v>
      </c>
      <c r="C3806" s="25">
        <v>200</v>
      </c>
      <c r="D3806" s="22" t="s">
        <v>6341</v>
      </c>
      <c r="E3806" s="22" t="s">
        <v>48</v>
      </c>
      <c r="F3806" s="23" t="str">
        <f>HYPERLINK("https://www.spark-marketing.ru/Card/Lot/73275980",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3806" s="22" t="s">
        <v>1047</v>
      </c>
      <c r="H3806" s="22" t="s">
        <v>2208</v>
      </c>
      <c r="I3806" s="26">
        <v>43714.605937499997</v>
      </c>
      <c r="J3806" s="28" t="s">
        <v>51</v>
      </c>
      <c r="K3806" s="28" t="s">
        <v>51</v>
      </c>
      <c r="L3806" s="28" t="s">
        <v>51</v>
      </c>
      <c r="M3806" s="28" t="s">
        <v>51</v>
      </c>
      <c r="N3806" s="28" t="s">
        <v>51</v>
      </c>
    </row>
    <row r="3807" spans="1:14" x14ac:dyDescent="0.15">
      <c r="A3807" s="23" t="str">
        <f>HYPERLINK("https://www.spark-marketing.ru/Card/Person/49075", "ГАУЗ ""ДРКБ МЗ РТ""")</f>
        <v>ГАУЗ "ДРКБ МЗ РТ"</v>
      </c>
      <c r="B3807" s="24" t="s">
        <v>6342</v>
      </c>
      <c r="C3807" s="25">
        <v>26334132.460000001</v>
      </c>
      <c r="D3807" s="22" t="s">
        <v>6343</v>
      </c>
      <c r="E3807" s="22" t="s">
        <v>96</v>
      </c>
      <c r="F3807" s="23" t="str">
        <f>HYPERLINK("https://www.spark-marketing.ru/Card/Lot/73286369", "Оказание услуг по организации лечебного питания пациентов, в том числе новорожденных детей и детей грудного возраста, находящихся на лечении, и ухаживающих за ними в ГАУЗ ""ДРКБ МЗ РТ"" на 3 месяца 2019 г.")</f>
        <v>Оказание услуг по организации лечебного питания пациентов, в том числе новорожденных детей и детей грудного возраста, находящихся на лечении, и ухаживающих за ними в ГАУЗ "ДРКБ МЗ РТ" на 3 месяца 2019 г.</v>
      </c>
      <c r="G3807" s="22" t="s">
        <v>217</v>
      </c>
      <c r="H3807" s="22" t="s">
        <v>937</v>
      </c>
      <c r="I3807" s="26">
        <v>43714.619444444397</v>
      </c>
      <c r="J3807" s="23" t="str">
        <f>HYPERLINK("https://www.spark-marketing.ru/Card/Person/49008", "АО ""ДЕПАРТАМЕНТ ПРОДОВОЛЬСТВИЯ""")</f>
        <v>АО "ДЕПАРТАМЕНТ ПРОДОВОЛЬСТВИЯ"</v>
      </c>
      <c r="K3807" s="24" t="s">
        <v>2101</v>
      </c>
      <c r="L3807" s="22" t="s">
        <v>10</v>
      </c>
      <c r="M3807" s="28" t="s">
        <v>51</v>
      </c>
      <c r="N3807" s="28" t="s">
        <v>51</v>
      </c>
    </row>
    <row r="3808" spans="1:14" x14ac:dyDescent="0.15">
      <c r="A3808" s="23" t="str">
        <f>HYPERLINK("https://www.spark-marketing.ru/Card/Person/80216", "МБУК КТ ""РУСЬ""")</f>
        <v>МБУК КТ "РУСЬ"</v>
      </c>
      <c r="B3808" s="24" t="s">
        <v>6344</v>
      </c>
      <c r="C3808" s="25">
        <v>65998</v>
      </c>
      <c r="D3808" s="22" t="s">
        <v>6345</v>
      </c>
      <c r="E3808" s="22" t="s">
        <v>48</v>
      </c>
      <c r="F3808" s="23" t="str">
        <f>HYPERLINK("https://www.spark-marketing.ru/Card/Lot/73276924", "Организация питания участников мероприятий в 4кв.")</f>
        <v>Организация питания участников мероприятий в 4кв.</v>
      </c>
      <c r="G3808" s="22" t="s">
        <v>49</v>
      </c>
      <c r="H3808" s="22" t="s">
        <v>5949</v>
      </c>
      <c r="I3808" s="26">
        <v>43714.607418981497</v>
      </c>
      <c r="J3808" s="28" t="s">
        <v>51</v>
      </c>
      <c r="K3808" s="28" t="s">
        <v>51</v>
      </c>
      <c r="L3808" s="28" t="s">
        <v>51</v>
      </c>
      <c r="M3808" s="28" t="s">
        <v>51</v>
      </c>
      <c r="N3808" s="28" t="s">
        <v>51</v>
      </c>
    </row>
    <row r="3809" spans="1:14" x14ac:dyDescent="0.15">
      <c r="A3809" s="23" t="str">
        <f>HYPERLINK("https://www.spark-marketing.ru/Card/Person/818633", "МКОУ ""КШ № 7""")</f>
        <v>МКОУ "КШ № 7"</v>
      </c>
      <c r="B3809" s="24" t="s">
        <v>6346</v>
      </c>
      <c r="C3809" s="25">
        <v>922060.80000000005</v>
      </c>
      <c r="D3809" s="22" t="s">
        <v>6347</v>
      </c>
      <c r="E3809" s="22" t="s">
        <v>48</v>
      </c>
      <c r="F3809" s="23" t="str">
        <f>HYPERLINK("https://www.spark-marketing.ru/Card/Lot/73278106", "№ зз-30297-19 Обеспечение питанием учащихся МКОУ ''КШ №7'' города Можги Удмуртской Республики")</f>
        <v>№ зз-30297-19 Обеспечение питанием учащихся МКОУ ''КШ №7'' города Можги Удмуртской Республики</v>
      </c>
      <c r="G3809" s="22" t="s">
        <v>852</v>
      </c>
      <c r="H3809" s="22" t="s">
        <v>6348</v>
      </c>
      <c r="I3809" s="26">
        <v>43714.556944444397</v>
      </c>
      <c r="J3809" s="28" t="s">
        <v>51</v>
      </c>
      <c r="K3809" s="28" t="s">
        <v>51</v>
      </c>
      <c r="L3809" s="28" t="s">
        <v>51</v>
      </c>
      <c r="M3809" s="28" t="s">
        <v>51</v>
      </c>
      <c r="N3809" s="28" t="s">
        <v>51</v>
      </c>
    </row>
    <row r="3810" spans="1:14" ht="12.75" hidden="1" outlineLevel="1" x14ac:dyDescent="0.2">
      <c r="A3810" s="23" t="str">
        <f>HYPERLINK("https://www.spark-marketing.ru/Card/Person/818633", "МКОУ ""КШ № 7""")</f>
        <v>МКОУ "КШ № 7"</v>
      </c>
      <c r="B3810" s="24" t="s">
        <v>6346</v>
      </c>
      <c r="C3810" s="25">
        <v>922060.80000000005</v>
      </c>
      <c r="D3810" s="22" t="s">
        <v>6347</v>
      </c>
      <c r="E3810" s="22" t="s">
        <v>48</v>
      </c>
      <c r="F3810" s="23" t="str">
        <f>HYPERLINK("https://www.spark-marketing.ru/Card/Lot/73278106", "№ зз-30297-19 Обеспечение питанием учащихся МКОУ ''КШ №7'' города Можги Удмуртской Республики")</f>
        <v>№ зз-30297-19 Обеспечение питанием учащихся МКОУ ''КШ №7'' города Можги Удмуртской Республики</v>
      </c>
      <c r="G3810" s="22" t="s">
        <v>852</v>
      </c>
      <c r="H3810" s="22" t="s">
        <v>6348</v>
      </c>
      <c r="I3810" s="26">
        <v>43714.556944444397</v>
      </c>
      <c r="J3810" s="23" t="str">
        <f>HYPERLINK("https://www.spark-marketing.ru/Card/Person/4409135", "МУП ""ШКОЛЬНОЕ ПИТАНИЕ""")</f>
        <v>МУП "ШКОЛЬНОЕ ПИТАНИЕ"</v>
      </c>
      <c r="K3810" s="24" t="s">
        <v>6349</v>
      </c>
      <c r="L3810" s="22" t="s">
        <v>10</v>
      </c>
      <c r="M3810" s="25">
        <v>825243</v>
      </c>
      <c r="N3810" s="27">
        <v>0.10500153569048809</v>
      </c>
    </row>
    <row r="3811" spans="1:14" hidden="1" outlineLevel="1" x14ac:dyDescent="0.2">
      <c r="A3811" s="23" t="str">
        <f>HYPERLINK("https://www.spark-marketing.ru/Card/Person/818633", "МКОУ ""КШ № 7""")</f>
        <v>МКОУ "КШ № 7"</v>
      </c>
      <c r="B3811" s="24" t="s">
        <v>6346</v>
      </c>
      <c r="C3811" s="25">
        <v>922060.80000000005</v>
      </c>
      <c r="D3811" s="22" t="s">
        <v>6347</v>
      </c>
      <c r="E3811" s="22" t="s">
        <v>48</v>
      </c>
      <c r="F3811" s="23" t="str">
        <f>HYPERLINK("https://www.spark-marketing.ru/Card/Lot/73278106", "№ зз-30297-19 Обеспечение питанием учащихся МКОУ ''КШ №7'' города Можги Удмуртской Республики")</f>
        <v>№ зз-30297-19 Обеспечение питанием учащихся МКОУ ''КШ №7'' города Можги Удмуртской Республики</v>
      </c>
      <c r="G3811" s="22" t="s">
        <v>852</v>
      </c>
      <c r="H3811" s="22" t="s">
        <v>6348</v>
      </c>
      <c r="I3811" s="26">
        <v>43714.556944444397</v>
      </c>
      <c r="J3811" s="23" t="str">
        <f>HYPERLINK("https://www.spark-marketing.ru/Card/Person/2026384", "ООО МЕДИЦИНСКИЙ ЦЕНТР ""ЖЕМЧУГ""")</f>
        <v>ООО МЕДИЦИНСКИЙ ЦЕНТР "ЖЕМЧУГ"</v>
      </c>
      <c r="K3811" s="24" t="s">
        <v>6350</v>
      </c>
      <c r="L3811" s="28" t="s">
        <v>51</v>
      </c>
      <c r="M3811" s="25">
        <v>829853.7</v>
      </c>
      <c r="N3811" s="27">
        <v>0.10000110621772447</v>
      </c>
    </row>
    <row r="3812" spans="1:14" x14ac:dyDescent="0.15">
      <c r="A3812" s="23" t="str">
        <f>HYPERLINK("https://www.spark-marketing.ru/Card/Person/119629", "ГБПОУ РО ""НПГК""")</f>
        <v>ГБПОУ РО "НПГК"</v>
      </c>
      <c r="B3812" s="24" t="s">
        <v>6351</v>
      </c>
      <c r="C3812" s="25">
        <v>2056387.5</v>
      </c>
      <c r="D3812" s="22" t="s">
        <v>6352</v>
      </c>
      <c r="E3812" s="22" t="s">
        <v>51</v>
      </c>
      <c r="F3812" s="23" t="str">
        <f>HYPERLINK("https://www.spark-marketing.ru/Card/Lot/73285609", "Оказание услуг по обеспечению питанием для обучающихся в Государственном бюджетном профессиональном образовательном учреждении Ростовской области «Новочеркасский промышленно-гуманитарный колледж»")</f>
        <v>Оказание услуг по обеспечению питанием для обучающихся в Государственном бюджетном профессиональном образовательном учреждении Ростовской области «Новочеркасский промышленно-гуманитарный колледж»</v>
      </c>
      <c r="G3812" s="22" t="s">
        <v>267</v>
      </c>
      <c r="H3812" s="22" t="s">
        <v>6353</v>
      </c>
      <c r="I3812" s="26">
        <v>43714.565277777801</v>
      </c>
      <c r="J3812" s="28" t="s">
        <v>51</v>
      </c>
      <c r="K3812" s="28" t="s">
        <v>51</v>
      </c>
      <c r="L3812" s="28" t="s">
        <v>51</v>
      </c>
      <c r="M3812" s="28" t="s">
        <v>51</v>
      </c>
      <c r="N3812" s="28" t="s">
        <v>51</v>
      </c>
    </row>
    <row r="3813" spans="1:14" x14ac:dyDescent="0.15">
      <c r="A3813" s="23" t="str">
        <f>HYPERLINK("https://www.spark-marketing.ru/Card/Person/6688764", "МБДОУ ""ДЕТСКИЙ САД №121 ""САБАНТУЙ""")</f>
        <v>МБДОУ "ДЕТСКИЙ САД №121 "САБАНТУЙ"</v>
      </c>
      <c r="B3813" s="24" t="s">
        <v>6354</v>
      </c>
      <c r="C3813" s="25">
        <v>1104363.52</v>
      </c>
      <c r="D3813" s="22" t="s">
        <v>6355</v>
      </c>
      <c r="E3813" s="22" t="s">
        <v>48</v>
      </c>
      <c r="F3813" s="23" t="str">
        <f>HYPERLINK("https://www.spark-marketing.ru/Card/Lot/73285519", "оказание услуг по организации сбалансированного питания воспитанников для нужд МБДОУ «Центр развития ребенка - детский сад №121 «Сабантуй»")</f>
        <v>оказание услуг по организации сбалансированного питания воспитанников для нужд МБДОУ «Центр развития ребенка - детский сад №121 «Сабантуй»</v>
      </c>
      <c r="G3813" s="22" t="s">
        <v>217</v>
      </c>
      <c r="H3813" s="22" t="s">
        <v>1998</v>
      </c>
      <c r="I3813" s="26">
        <v>43714.579861111102</v>
      </c>
      <c r="J3813" s="23" t="str">
        <f>HYPERLINK("https://www.spark-marketing.ru/Card/Person/87385", "ООО ""ШКОЛЬНОЕ ПИТАНИЕ""")</f>
        <v>ООО "ШКОЛЬНОЕ ПИТАНИЕ"</v>
      </c>
      <c r="K3813" s="24" t="s">
        <v>6356</v>
      </c>
      <c r="L3813" s="22" t="s">
        <v>10</v>
      </c>
      <c r="M3813" s="28" t="s">
        <v>51</v>
      </c>
      <c r="N3813" s="28" t="s">
        <v>51</v>
      </c>
    </row>
    <row r="3814" spans="1:14" x14ac:dyDescent="0.15">
      <c r="A3814" s="23" t="str">
        <f t="shared" ref="A3814:A3820" si="70">HYPERLINK("https://www.spark-marketing.ru/Card/Person/24579", "ГБУ МО ""ЦСППСНВС""")</f>
        <v>ГБУ МО "ЦСППСНВС"</v>
      </c>
      <c r="B3814" s="24" t="s">
        <v>4731</v>
      </c>
      <c r="C3814" s="25">
        <v>882000</v>
      </c>
      <c r="D3814" s="22" t="s">
        <v>6357</v>
      </c>
      <c r="E3814" s="22" t="s">
        <v>374</v>
      </c>
      <c r="F3814" s="23" t="str">
        <f t="shared" ref="F3814:F3820" si="71">HYPERLINK("https://www.spark-marketing.ru/Card/Lot/73278051", "Оказание услуг по организации участия членов спортивных сборных команд Московской области в тренировочных мероприятиях по волейболу")</f>
        <v>Оказание услуг по организации участия членов спортивных сборных команд Московской области в тренировочных мероприятиях по волейболу</v>
      </c>
      <c r="G3814" s="22" t="s">
        <v>49</v>
      </c>
      <c r="H3814" s="22" t="s">
        <v>631</v>
      </c>
      <c r="I3814" s="26">
        <v>43714.530555555597</v>
      </c>
      <c r="J3814" s="28" t="s">
        <v>51</v>
      </c>
      <c r="K3814" s="28" t="s">
        <v>51</v>
      </c>
      <c r="L3814" s="28" t="s">
        <v>51</v>
      </c>
      <c r="M3814" s="28" t="s">
        <v>51</v>
      </c>
      <c r="N3814" s="28" t="s">
        <v>51</v>
      </c>
    </row>
    <row r="3815" spans="1:14" ht="12.75" hidden="1" outlineLevel="1" x14ac:dyDescent="0.2">
      <c r="A3815" s="23" t="str">
        <f t="shared" si="70"/>
        <v>ГБУ МО "ЦСППСНВС"</v>
      </c>
      <c r="B3815" s="24" t="s">
        <v>4731</v>
      </c>
      <c r="C3815" s="25">
        <v>882000</v>
      </c>
      <c r="D3815" s="22" t="s">
        <v>6357</v>
      </c>
      <c r="E3815" s="22" t="s">
        <v>374</v>
      </c>
      <c r="F3815" s="23" t="str">
        <f t="shared" si="71"/>
        <v>Оказание услуг по организации участия членов спортивных сборных команд Московской области в тренировочных мероприятиях по волейболу</v>
      </c>
      <c r="G3815" s="22" t="s">
        <v>49</v>
      </c>
      <c r="H3815" s="22" t="s">
        <v>631</v>
      </c>
      <c r="I3815" s="26">
        <v>43714.530555555597</v>
      </c>
      <c r="J3815" s="23" t="str">
        <f>HYPERLINK("https://www.spark-marketing.ru/Card/Person/6472335", "ООО ""ЮГ-АП""")</f>
        <v>ООО "ЮГ-АП"</v>
      </c>
      <c r="K3815" s="24" t="s">
        <v>6358</v>
      </c>
      <c r="L3815" s="22" t="s">
        <v>10</v>
      </c>
      <c r="M3815" s="25">
        <v>683360</v>
      </c>
      <c r="N3815" s="27">
        <v>0.22521541950113377</v>
      </c>
    </row>
    <row r="3816" spans="1:14" hidden="1" outlineLevel="1" x14ac:dyDescent="0.2">
      <c r="A3816" s="23" t="str">
        <f t="shared" si="70"/>
        <v>ГБУ МО "ЦСППСНВС"</v>
      </c>
      <c r="B3816" s="24" t="s">
        <v>4731</v>
      </c>
      <c r="C3816" s="25">
        <v>882000</v>
      </c>
      <c r="D3816" s="22" t="s">
        <v>6357</v>
      </c>
      <c r="E3816" s="22" t="s">
        <v>374</v>
      </c>
      <c r="F3816" s="23" t="str">
        <f t="shared" si="71"/>
        <v>Оказание услуг по организации участия членов спортивных сборных команд Московской области в тренировочных мероприятиях по волейболу</v>
      </c>
      <c r="G3816" s="22" t="s">
        <v>49</v>
      </c>
      <c r="H3816" s="22" t="s">
        <v>631</v>
      </c>
      <c r="I3816" s="26">
        <v>43714.530555555597</v>
      </c>
      <c r="J3816" s="23" t="str">
        <f>HYPERLINK("https://www.spark-marketing.ru/Card/Person/139386", "ООО ""АВИАМИР""")</f>
        <v>ООО "АВИАМИР"</v>
      </c>
      <c r="K3816" s="24" t="s">
        <v>2326</v>
      </c>
      <c r="L3816" s="28" t="s">
        <v>51</v>
      </c>
      <c r="M3816" s="25">
        <v>864360</v>
      </c>
      <c r="N3816" s="27">
        <v>0.02</v>
      </c>
    </row>
    <row r="3817" spans="1:14" hidden="1" outlineLevel="1" x14ac:dyDescent="0.2">
      <c r="A3817" s="23" t="str">
        <f t="shared" si="70"/>
        <v>ГБУ МО "ЦСППСНВС"</v>
      </c>
      <c r="B3817" s="24" t="s">
        <v>4731</v>
      </c>
      <c r="C3817" s="25">
        <v>882000</v>
      </c>
      <c r="D3817" s="22" t="s">
        <v>6357</v>
      </c>
      <c r="E3817" s="22" t="s">
        <v>374</v>
      </c>
      <c r="F3817" s="23" t="str">
        <f t="shared" si="71"/>
        <v>Оказание услуг по организации участия членов спортивных сборных команд Московской области в тренировочных мероприятиях по волейболу</v>
      </c>
      <c r="G3817" s="22" t="s">
        <v>49</v>
      </c>
      <c r="H3817" s="22" t="s">
        <v>631</v>
      </c>
      <c r="I3817" s="26">
        <v>43714.530555555597</v>
      </c>
      <c r="J3817" s="23" t="str">
        <f>HYPERLINK("https://www.spark-marketing.ru/Card/Person/6618588", "ООО ТД ""ДЕРЖАВНЫЙ-ЯРОСЛАВЛЬ""")</f>
        <v>ООО ТД "ДЕРЖАВНЫЙ-ЯРОСЛАВЛЬ"</v>
      </c>
      <c r="K3817" s="24" t="s">
        <v>5336</v>
      </c>
      <c r="L3817" s="28" t="s">
        <v>51</v>
      </c>
      <c r="M3817" s="25">
        <v>873180</v>
      </c>
      <c r="N3817" s="27">
        <v>0.01</v>
      </c>
    </row>
    <row r="3818" spans="1:14" hidden="1" outlineLevel="1" x14ac:dyDescent="0.2">
      <c r="A3818" s="23" t="str">
        <f t="shared" si="70"/>
        <v>ГБУ МО "ЦСППСНВС"</v>
      </c>
      <c r="B3818" s="24" t="s">
        <v>4731</v>
      </c>
      <c r="C3818" s="25">
        <v>882000</v>
      </c>
      <c r="D3818" s="22" t="s">
        <v>6357</v>
      </c>
      <c r="E3818" s="22" t="s">
        <v>374</v>
      </c>
      <c r="F3818" s="23" t="str">
        <f t="shared" si="71"/>
        <v>Оказание услуг по организации участия членов спортивных сборных команд Московской области в тренировочных мероприятиях по волейболу</v>
      </c>
      <c r="G3818" s="22" t="s">
        <v>49</v>
      </c>
      <c r="H3818" s="22" t="s">
        <v>631</v>
      </c>
      <c r="I3818" s="26">
        <v>43714.530555555597</v>
      </c>
      <c r="J3818" s="23" t="str">
        <f>HYPERLINK("https://www.spark-marketing.ru/Card/Person/6369393", "ООО ""ВЕКТОР ГРУПП""")</f>
        <v>ООО "ВЕКТОР ГРУПП"</v>
      </c>
      <c r="K3818" s="24" t="s">
        <v>4733</v>
      </c>
      <c r="L3818" s="28" t="s">
        <v>51</v>
      </c>
      <c r="M3818" s="25">
        <v>750000</v>
      </c>
      <c r="N3818" s="27">
        <v>0.14965986394557823</v>
      </c>
    </row>
    <row r="3819" spans="1:14" hidden="1" outlineLevel="1" x14ac:dyDescent="0.2">
      <c r="A3819" s="23" t="str">
        <f t="shared" si="70"/>
        <v>ГБУ МО "ЦСППСНВС"</v>
      </c>
      <c r="B3819" s="24" t="s">
        <v>4731</v>
      </c>
      <c r="C3819" s="25">
        <v>882000</v>
      </c>
      <c r="D3819" s="22" t="s">
        <v>6357</v>
      </c>
      <c r="E3819" s="22" t="s">
        <v>374</v>
      </c>
      <c r="F3819" s="23" t="str">
        <f t="shared" si="71"/>
        <v>Оказание услуг по организации участия членов спортивных сборных команд Московской области в тренировочных мероприятиях по волейболу</v>
      </c>
      <c r="G3819" s="22" t="s">
        <v>49</v>
      </c>
      <c r="H3819" s="22" t="s">
        <v>631</v>
      </c>
      <c r="I3819" s="26">
        <v>43714.530555555597</v>
      </c>
      <c r="J3819" s="23" t="str">
        <f>HYPERLINK("https://www.spark-marketing.ru/Card/Person/6497820", "ООО ""ГЛОБУС ТРЭВЭЛ""")</f>
        <v>ООО "ГЛОБУС ТРЭВЭЛ"</v>
      </c>
      <c r="K3819" s="24" t="s">
        <v>6245</v>
      </c>
      <c r="L3819" s="28" t="s">
        <v>51</v>
      </c>
      <c r="M3819" s="25">
        <v>701000</v>
      </c>
      <c r="N3819" s="27">
        <v>0.20521541950113378</v>
      </c>
    </row>
    <row r="3820" spans="1:14" hidden="1" outlineLevel="1" x14ac:dyDescent="0.2">
      <c r="A3820" s="23" t="str">
        <f t="shared" si="70"/>
        <v>ГБУ МО "ЦСППСНВС"</v>
      </c>
      <c r="B3820" s="24" t="s">
        <v>4731</v>
      </c>
      <c r="C3820" s="25">
        <v>882000</v>
      </c>
      <c r="D3820" s="22" t="s">
        <v>6357</v>
      </c>
      <c r="E3820" s="22" t="s">
        <v>374</v>
      </c>
      <c r="F3820" s="23" t="str">
        <f t="shared" si="71"/>
        <v>Оказание услуг по организации участия членов спортивных сборных команд Московской области в тренировочных мероприятиях по волейболу</v>
      </c>
      <c r="G3820" s="22" t="s">
        <v>49</v>
      </c>
      <c r="H3820" s="22" t="s">
        <v>631</v>
      </c>
      <c r="I3820" s="26">
        <v>43714.530555555597</v>
      </c>
      <c r="J3820" s="23" t="str">
        <f>HYPERLINK("https://www.spark-marketing.ru/Card/Person/4919842", "ООО ""МАКСИ КО""")</f>
        <v>ООО "МАКСИ КО"</v>
      </c>
      <c r="K3820" s="24" t="s">
        <v>4581</v>
      </c>
      <c r="L3820" s="28" t="s">
        <v>51</v>
      </c>
      <c r="M3820" s="25">
        <v>687770</v>
      </c>
      <c r="N3820" s="27">
        <v>0.2202154195011338</v>
      </c>
    </row>
    <row r="3821" spans="1:14" x14ac:dyDescent="0.15">
      <c r="A3821" s="23" t="str">
        <f>HYPERLINK("https://www.spark-marketing.ru/Card/Person/38622", "АО ""СХК""")</f>
        <v>АО "СХК"</v>
      </c>
      <c r="B3821" s="24" t="s">
        <v>6359</v>
      </c>
      <c r="C3821" s="25">
        <v>0</v>
      </c>
      <c r="D3821" s="22" t="s">
        <v>6360</v>
      </c>
      <c r="E3821" s="22" t="s">
        <v>52</v>
      </c>
      <c r="F3821" s="23" t="str">
        <f>HYPERLINK("https://www.spark-marketing.ru/Card/Lot/73277670", "мониторинг цен в электронной форме на Оказание услуг по питанию делегаций (а именно предоставление завтраков и бутилированной воды в гостиницах АО ""СХК"" на 2020-2021гг.)")</f>
        <v>мониторинг цен в электронной форме на Оказание услуг по питанию делегаций (а именно предоставление завтраков и бутилированной воды в гостиницах АО "СХК" на 2020-2021гг.)</v>
      </c>
      <c r="G3821" s="22" t="s">
        <v>149</v>
      </c>
      <c r="H3821" s="22" t="s">
        <v>6361</v>
      </c>
      <c r="I3821" s="26">
        <v>43714.535451388903</v>
      </c>
      <c r="J3821" s="28" t="s">
        <v>51</v>
      </c>
      <c r="K3821" s="28" t="s">
        <v>51</v>
      </c>
      <c r="L3821" s="28" t="s">
        <v>51</v>
      </c>
      <c r="M3821" s="28" t="s">
        <v>51</v>
      </c>
      <c r="N3821" s="28" t="s">
        <v>51</v>
      </c>
    </row>
    <row r="3822" spans="1:14" x14ac:dyDescent="0.15">
      <c r="A3822" s="23" t="str">
        <f>HYPERLINK("https://www.spark-marketing.ru/Card/Person/1033836", "МДОУ ЦЕНТР РАЗВИТИЯ РЕБЕНКА - ДЕТСКИЙ САД № 19")</f>
        <v>МДОУ ЦЕНТР РАЗВИТИЯ РЕБЕНКА - ДЕТСКИЙ САД № 19</v>
      </c>
      <c r="B3822" s="24" t="s">
        <v>6362</v>
      </c>
      <c r="C3822" s="25">
        <v>390555</v>
      </c>
      <c r="D3822" s="22" t="s">
        <v>6363</v>
      </c>
      <c r="E3822" s="22" t="s">
        <v>48</v>
      </c>
      <c r="F3822" s="23" t="str">
        <f>HYPERLINK("https://www.spark-marketing.ru/Card/Lot/73273861",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3822" s="22" t="s">
        <v>49</v>
      </c>
      <c r="H3822" s="22" t="s">
        <v>50</v>
      </c>
      <c r="I3822" s="26">
        <v>43714.503888888903</v>
      </c>
      <c r="J3822" s="28" t="s">
        <v>51</v>
      </c>
      <c r="K3822" s="28" t="s">
        <v>51</v>
      </c>
      <c r="L3822" s="28" t="s">
        <v>51</v>
      </c>
      <c r="M3822" s="28" t="s">
        <v>51</v>
      </c>
      <c r="N3822" s="28" t="s">
        <v>51</v>
      </c>
    </row>
    <row r="3823" spans="1:14" x14ac:dyDescent="0.15">
      <c r="A3823" s="23" t="str">
        <f>HYPERLINK("https://www.spark-marketing.ru/Card/Person/24579", "ГБУ МО ""ЦСППСНВС""")</f>
        <v>ГБУ МО "ЦСППСНВС"</v>
      </c>
      <c r="B3823" s="24" t="s">
        <v>4731</v>
      </c>
      <c r="C3823" s="25">
        <v>623350.07999999996</v>
      </c>
      <c r="D3823" s="22" t="s">
        <v>6364</v>
      </c>
      <c r="E3823" s="22" t="s">
        <v>374</v>
      </c>
      <c r="F3823" s="23" t="str">
        <f>HYPERLINK("https://www.spark-marketing.ru/Card/Lot/73277217", "Оказание услуг по организации участия членов спортивных сборных команд Московской области в Чемпионате России по волейболу сидя")</f>
        <v>Оказание услуг по организации участия членов спортивных сборных команд Московской области в Чемпионате России по волейболу сидя</v>
      </c>
      <c r="G3823" s="22" t="s">
        <v>49</v>
      </c>
      <c r="H3823" s="22" t="s">
        <v>631</v>
      </c>
      <c r="I3823" s="26">
        <v>43714.534027777801</v>
      </c>
      <c r="J3823" s="28" t="s">
        <v>51</v>
      </c>
      <c r="K3823" s="28" t="s">
        <v>51</v>
      </c>
      <c r="L3823" s="28" t="s">
        <v>51</v>
      </c>
      <c r="M3823" s="28" t="s">
        <v>51</v>
      </c>
      <c r="N3823" s="28" t="s">
        <v>51</v>
      </c>
    </row>
    <row r="3824" spans="1:14" hidden="1" outlineLevel="1" x14ac:dyDescent="0.2">
      <c r="A3824" s="23" t="str">
        <f>HYPERLINK("https://www.spark-marketing.ru/Card/Person/24579", "ГБУ МО ""ЦСППСНВС""")</f>
        <v>ГБУ МО "ЦСППСНВС"</v>
      </c>
      <c r="B3824" s="24" t="s">
        <v>4731</v>
      </c>
      <c r="C3824" s="25">
        <v>623350.07999999996</v>
      </c>
      <c r="D3824" s="22" t="s">
        <v>6364</v>
      </c>
      <c r="E3824" s="22" t="s">
        <v>374</v>
      </c>
      <c r="F3824" s="23" t="str">
        <f>HYPERLINK("https://www.spark-marketing.ru/Card/Lot/73277217", "Оказание услуг по организации участия членов спортивных сборных команд Московской области в Чемпионате России по волейболу сидя")</f>
        <v>Оказание услуг по организации участия членов спортивных сборных команд Московской области в Чемпионате России по волейболу сидя</v>
      </c>
      <c r="G3824" s="22" t="s">
        <v>49</v>
      </c>
      <c r="H3824" s="22" t="s">
        <v>631</v>
      </c>
      <c r="I3824" s="26">
        <v>43714.534027777801</v>
      </c>
      <c r="J3824" s="23" t="str">
        <f>HYPERLINK("https://www.spark-marketing.ru/Card/Person/4590807", "ООО ""ИНСТАЙЛ ТУР""")</f>
        <v>ООО "ИНСТАЙЛ ТУР"</v>
      </c>
      <c r="K3824" s="24" t="s">
        <v>4734</v>
      </c>
      <c r="L3824" s="28" t="s">
        <v>51</v>
      </c>
      <c r="M3824" s="25">
        <v>570365.16</v>
      </c>
      <c r="N3824" s="27">
        <v>8.500026181114792E-2</v>
      </c>
    </row>
    <row r="3825" spans="1:14" hidden="1" outlineLevel="1" x14ac:dyDescent="0.2">
      <c r="A3825" s="23" t="str">
        <f>HYPERLINK("https://www.spark-marketing.ru/Card/Person/24579", "ГБУ МО ""ЦСППСНВС""")</f>
        <v>ГБУ МО "ЦСППСНВС"</v>
      </c>
      <c r="B3825" s="24" t="s">
        <v>4731</v>
      </c>
      <c r="C3825" s="25">
        <v>623350.07999999996</v>
      </c>
      <c r="D3825" s="22" t="s">
        <v>6364</v>
      </c>
      <c r="E3825" s="22" t="s">
        <v>374</v>
      </c>
      <c r="F3825" s="23" t="str">
        <f>HYPERLINK("https://www.spark-marketing.ru/Card/Lot/73277217", "Оказание услуг по организации участия членов спортивных сборных команд Московской области в Чемпионате России по волейболу сидя")</f>
        <v>Оказание услуг по организации участия членов спортивных сборных команд Московской области в Чемпионате России по волейболу сидя</v>
      </c>
      <c r="G3825" s="22" t="s">
        <v>49</v>
      </c>
      <c r="H3825" s="22" t="s">
        <v>631</v>
      </c>
      <c r="I3825" s="26">
        <v>43714.534027777801</v>
      </c>
      <c r="J3825" s="23" t="str">
        <f>HYPERLINK("https://www.spark-marketing.ru/Card/Person/139386", "ООО ""АВИАМИР""")</f>
        <v>ООО "АВИАМИР"</v>
      </c>
      <c r="K3825" s="24" t="s">
        <v>2326</v>
      </c>
      <c r="L3825" s="28" t="s">
        <v>51</v>
      </c>
      <c r="M3825" s="25">
        <v>617116.56000000006</v>
      </c>
      <c r="N3825" s="27">
        <v>1.0000030801311521E-2</v>
      </c>
    </row>
    <row r="3826" spans="1:14" ht="12.75" hidden="1" outlineLevel="1" x14ac:dyDescent="0.2">
      <c r="A3826" s="23" t="str">
        <f>HYPERLINK("https://www.spark-marketing.ru/Card/Person/24579", "ГБУ МО ""ЦСППСНВС""")</f>
        <v>ГБУ МО "ЦСППСНВС"</v>
      </c>
      <c r="B3826" s="24" t="s">
        <v>4731</v>
      </c>
      <c r="C3826" s="25">
        <v>623350.07999999996</v>
      </c>
      <c r="D3826" s="22" t="s">
        <v>6364</v>
      </c>
      <c r="E3826" s="22" t="s">
        <v>374</v>
      </c>
      <c r="F3826" s="23" t="str">
        <f>HYPERLINK("https://www.spark-marketing.ru/Card/Lot/73277217", "Оказание услуг по организации участия членов спортивных сборных команд Московской области в Чемпионате России по волейболу сидя")</f>
        <v>Оказание услуг по организации участия членов спортивных сборных команд Московской области в Чемпионате России по волейболу сидя</v>
      </c>
      <c r="G3826" s="22" t="s">
        <v>49</v>
      </c>
      <c r="H3826" s="22" t="s">
        <v>631</v>
      </c>
      <c r="I3826" s="26">
        <v>43714.534027777801</v>
      </c>
      <c r="J3826" s="23" t="str">
        <f>HYPERLINK("https://www.spark-marketing.ru/Card/Person/6369393", "ООО ""ВЕКТОР ГРУПП""")</f>
        <v>ООО "ВЕКТОР ГРУПП"</v>
      </c>
      <c r="K3826" s="24" t="s">
        <v>4733</v>
      </c>
      <c r="L3826" s="22" t="s">
        <v>10</v>
      </c>
      <c r="M3826" s="25">
        <v>567248.4</v>
      </c>
      <c r="N3826" s="27">
        <v>9.0000277211803675E-2</v>
      </c>
    </row>
    <row r="3827" spans="1:14" hidden="1" outlineLevel="1" x14ac:dyDescent="0.2">
      <c r="A3827" s="23" t="str">
        <f>HYPERLINK("https://www.spark-marketing.ru/Card/Person/24579", "ГБУ МО ""ЦСППСНВС""")</f>
        <v>ГБУ МО "ЦСППСНВС"</v>
      </c>
      <c r="B3827" s="24" t="s">
        <v>4731</v>
      </c>
      <c r="C3827" s="25">
        <v>623350.07999999996</v>
      </c>
      <c r="D3827" s="22" t="s">
        <v>6364</v>
      </c>
      <c r="E3827" s="22" t="s">
        <v>374</v>
      </c>
      <c r="F3827" s="23" t="str">
        <f>HYPERLINK("https://www.spark-marketing.ru/Card/Lot/73277217", "Оказание услуг по организации участия членов спортивных сборных команд Московской области в Чемпионате России по волейболу сидя")</f>
        <v>Оказание услуг по организации участия членов спортивных сборных команд Московской области в Чемпионате России по волейболу сидя</v>
      </c>
      <c r="G3827" s="22" t="s">
        <v>49</v>
      </c>
      <c r="H3827" s="22" t="s">
        <v>631</v>
      </c>
      <c r="I3827" s="26">
        <v>43714.534027777801</v>
      </c>
      <c r="J3827" s="23" t="str">
        <f>HYPERLINK("https://www.spark-marketing.ru/Card/Person/6618588", "ООО ТД ""ДЕРЖАВНЫЙ-ЯРОСЛАВЛЬ""")</f>
        <v>ООО ТД "ДЕРЖАВНЫЙ-ЯРОСЛАВЛЬ"</v>
      </c>
      <c r="K3827" s="24" t="s">
        <v>5336</v>
      </c>
      <c r="L3827" s="28" t="s">
        <v>51</v>
      </c>
      <c r="M3827" s="25">
        <v>604649.52</v>
      </c>
      <c r="N3827" s="27">
        <v>3.0000092403934558E-2</v>
      </c>
    </row>
    <row r="3828" spans="1:14" x14ac:dyDescent="0.15">
      <c r="A3828" s="23" t="str">
        <f>HYPERLINK("https://www.spark-marketing.ru/Card/Person/4348562", "АО ""АТОМТЕХЭНЕРГО""")</f>
        <v>АО "АТОМТЕХЭНЕРГО"</v>
      </c>
      <c r="B3828" s="24" t="s">
        <v>6365</v>
      </c>
      <c r="C3828" s="28" t="s">
        <v>51</v>
      </c>
      <c r="D3828" s="22" t="s">
        <v>6366</v>
      </c>
      <c r="E3828" s="22" t="s">
        <v>48</v>
      </c>
      <c r="F3828" s="23" t="str">
        <f>HYPERLINK("https://www.spark-marketing.ru/Card/Lot/73279650", "Оказание услуг по организации питания сотрудников АО ""Атомтехэнерго"", на время проведения пусконаладочных работ на ПАТЭС, в г. Певеке Чукотского АО.")</f>
        <v>Оказание услуг по организации питания сотрудников АО "Атомтехэнерго", на время проведения пусконаладочных работ на ПАТЭС, в г. Певеке Чукотского АО.</v>
      </c>
      <c r="G3828" s="22" t="s">
        <v>56</v>
      </c>
      <c r="H3828" s="22" t="s">
        <v>56</v>
      </c>
      <c r="I3828" s="26">
        <v>43714.504571759302</v>
      </c>
      <c r="J3828" s="28" t="s">
        <v>51</v>
      </c>
      <c r="K3828" s="28" t="s">
        <v>51</v>
      </c>
      <c r="L3828" s="28" t="s">
        <v>51</v>
      </c>
      <c r="M3828" s="28" t="s">
        <v>51</v>
      </c>
      <c r="N3828" s="28" t="s">
        <v>51</v>
      </c>
    </row>
    <row r="3829" spans="1:14" x14ac:dyDescent="0.15">
      <c r="A3829" s="23" t="str">
        <f>HYPERLINK("https://www.spark-marketing.ru/Card/Person/948275", "МБОУ ""ПАРТИЗАНСКАЯ СОШ""")</f>
        <v>МБОУ "ПАРТИЗАНСКАЯ СОШ"</v>
      </c>
      <c r="B3829" s="24" t="s">
        <v>6367</v>
      </c>
      <c r="C3829" s="25">
        <v>834080</v>
      </c>
      <c r="D3829" s="22" t="s">
        <v>6368</v>
      </c>
      <c r="E3829" s="22" t="s">
        <v>6369</v>
      </c>
      <c r="F3829" s="23" t="str">
        <f>HYPERLINK("https://www.spark-marketing.ru/Card/Lot/73267902", "Закупка продуктов питания для МБОУ ""Партизанская СОШ"" на сентябрь-декабрь 2019 г.")</f>
        <v>Закупка продуктов питания для МБОУ "Партизанская СОШ" на сентябрь-декабрь 2019 г.</v>
      </c>
      <c r="G3829" s="22" t="s">
        <v>281</v>
      </c>
      <c r="H3829" s="22" t="s">
        <v>6370</v>
      </c>
      <c r="I3829" s="26">
        <v>43714.517361111102</v>
      </c>
      <c r="J3829" s="28" t="s">
        <v>51</v>
      </c>
      <c r="K3829" s="28" t="s">
        <v>51</v>
      </c>
      <c r="L3829" s="28" t="s">
        <v>51</v>
      </c>
      <c r="M3829" s="28" t="s">
        <v>51</v>
      </c>
      <c r="N3829" s="28" t="s">
        <v>51</v>
      </c>
    </row>
    <row r="3830" spans="1:14" hidden="1" outlineLevel="1" x14ac:dyDescent="0.2">
      <c r="A3830" s="23" t="str">
        <f>HYPERLINK("https://www.spark-marketing.ru/Card/Person/948275", "МБОУ ""ПАРТИЗАНСКАЯ СОШ""")</f>
        <v>МБОУ "ПАРТИЗАНСКАЯ СОШ"</v>
      </c>
      <c r="B3830" s="24" t="s">
        <v>6367</v>
      </c>
      <c r="C3830" s="25">
        <v>834080</v>
      </c>
      <c r="D3830" s="22" t="s">
        <v>6368</v>
      </c>
      <c r="E3830" s="22" t="s">
        <v>6369</v>
      </c>
      <c r="F3830" s="23" t="str">
        <f>HYPERLINK("https://www.spark-marketing.ru/Card/Lot/73267902", "Закупка продуктов питания для МБОУ ""Партизанская СОШ"" на сентябрь-декабрь 2019 г.")</f>
        <v>Закупка продуктов питания для МБОУ "Партизанская СОШ" на сентябрь-декабрь 2019 г.</v>
      </c>
      <c r="G3830" s="22" t="s">
        <v>281</v>
      </c>
      <c r="H3830" s="22" t="s">
        <v>6370</v>
      </c>
      <c r="I3830" s="26">
        <v>43714.517361111102</v>
      </c>
      <c r="J3830" s="23" t="str">
        <f>HYPERLINK("https://www.spark-marketing.ru/Card/Person/4355937", "Сидорчук Людмила Витальевна")</f>
        <v>Сидорчук Людмила Витальевна</v>
      </c>
      <c r="K3830" s="24" t="s">
        <v>6371</v>
      </c>
      <c r="L3830" s="28" t="s">
        <v>51</v>
      </c>
      <c r="M3830" s="25">
        <v>613048.80000000005</v>
      </c>
      <c r="N3830" s="27">
        <v>0.26500000000000001</v>
      </c>
    </row>
    <row r="3831" spans="1:14" ht="12.75" hidden="1" outlineLevel="1" x14ac:dyDescent="0.2">
      <c r="A3831" s="23" t="str">
        <f>HYPERLINK("https://www.spark-marketing.ru/Card/Person/948275", "МБОУ ""ПАРТИЗАНСКАЯ СОШ""")</f>
        <v>МБОУ "ПАРТИЗАНСКАЯ СОШ"</v>
      </c>
      <c r="B3831" s="24" t="s">
        <v>6367</v>
      </c>
      <c r="C3831" s="25">
        <v>834080</v>
      </c>
      <c r="D3831" s="22" t="s">
        <v>6368</v>
      </c>
      <c r="E3831" s="22" t="s">
        <v>6369</v>
      </c>
      <c r="F3831" s="23" t="str">
        <f>HYPERLINK("https://www.spark-marketing.ru/Card/Lot/73267902", "Закупка продуктов питания для МБОУ ""Партизанская СОШ"" на сентябрь-декабрь 2019 г.")</f>
        <v>Закупка продуктов питания для МБОУ "Партизанская СОШ" на сентябрь-декабрь 2019 г.</v>
      </c>
      <c r="G3831" s="22" t="s">
        <v>281</v>
      </c>
      <c r="H3831" s="22" t="s">
        <v>6370</v>
      </c>
      <c r="I3831" s="26">
        <v>43714.517361111102</v>
      </c>
      <c r="J3831" s="23" t="str">
        <f>HYPERLINK("https://www.spark-marketing.ru/Card/Person/66965", "ООО ""ВЕСНА""")</f>
        <v>ООО "ВЕСНА"</v>
      </c>
      <c r="K3831" s="24" t="s">
        <v>6372</v>
      </c>
      <c r="L3831" s="22" t="s">
        <v>10</v>
      </c>
      <c r="M3831" s="25">
        <v>571344.80000000005</v>
      </c>
      <c r="N3831" s="27">
        <v>0.315</v>
      </c>
    </row>
    <row r="3832" spans="1:14" x14ac:dyDescent="0.15">
      <c r="A3832" s="23" t="str">
        <f>HYPERLINK("https://www.spark-marketing.ru/Card/Person/4348562", "АО ""АТОМТЕХЭНЕРГО""")</f>
        <v>АО "АТОМТЕХЭНЕРГО"</v>
      </c>
      <c r="B3832" s="24" t="s">
        <v>6365</v>
      </c>
      <c r="C3832" s="25">
        <v>0</v>
      </c>
      <c r="D3832" s="22" t="s">
        <v>6373</v>
      </c>
      <c r="E3832" s="22" t="s">
        <v>52</v>
      </c>
      <c r="F3832" s="23" t="str">
        <f>HYPERLINK("https://www.spark-marketing.ru/Card/Lot/73277649", "мониторинг цен в электронной форме на Оказание услуг по организации питания сотрудников АО ""Атомтехэнерго"", на время проведения пусконаладочных работ на ПАТЭС, в г. Певеке Чукотского АО.")</f>
        <v>мониторинг цен в электронной форме на Оказание услуг по организации питания сотрудников АО "Атомтехэнерго", на время проведения пусконаладочных работ на ПАТЭС, в г. Певеке Чукотского АО.</v>
      </c>
      <c r="G3832" s="22" t="s">
        <v>56</v>
      </c>
      <c r="H3832" s="22" t="s">
        <v>56</v>
      </c>
      <c r="I3832" s="26">
        <v>43714.504502314798</v>
      </c>
      <c r="J3832" s="28" t="s">
        <v>51</v>
      </c>
      <c r="K3832" s="28" t="s">
        <v>51</v>
      </c>
      <c r="L3832" s="28" t="s">
        <v>51</v>
      </c>
      <c r="M3832" s="28" t="s">
        <v>51</v>
      </c>
      <c r="N3832" s="28" t="s">
        <v>51</v>
      </c>
    </row>
    <row r="3833" spans="1:14" x14ac:dyDescent="0.15">
      <c r="A3833" s="23" t="str">
        <f>HYPERLINK("https://www.spark-marketing.ru/Card/Person/55328", "УМВД РОССИИ ПО Г. КАЛУГЕ")</f>
        <v>УМВД РОССИИ ПО Г. КАЛУГЕ</v>
      </c>
      <c r="B3833" s="24" t="s">
        <v>6318</v>
      </c>
      <c r="C3833" s="25">
        <v>1800000</v>
      </c>
      <c r="D3833" s="22" t="s">
        <v>6374</v>
      </c>
      <c r="E3833" s="22" t="s">
        <v>48</v>
      </c>
      <c r="F3833" s="23" t="str">
        <f>HYPERLINK("https://www.spark-marketing.ru/Card/Lot/73279726", "Ежедневная поставка трехразового горячего питания для лиц, содержащихся в специальном приемнике для содержания  лиц, арестованных в административном порядке УМВД России по г.Калуге")</f>
        <v>Ежедневная поставка трехразового горячего питания для лиц, содержащихся в специальном приемнике для содержания  лиц, арестованных в административном порядке УМВД России по г.Калуге</v>
      </c>
      <c r="G3833" s="22" t="s">
        <v>112</v>
      </c>
      <c r="H3833" s="22" t="s">
        <v>389</v>
      </c>
      <c r="I3833" s="26">
        <v>43714.504861111098</v>
      </c>
      <c r="J3833" s="23" t="str">
        <f>HYPERLINK("https://www.spark-marketing.ru/Card/Person/4916563", "Халилов Арастун Алхады Оглы")</f>
        <v>Халилов Арастун Алхады Оглы</v>
      </c>
      <c r="K3833" s="24" t="s">
        <v>6140</v>
      </c>
      <c r="L3833" s="22" t="s">
        <v>10</v>
      </c>
      <c r="M3833" s="28" t="s">
        <v>51</v>
      </c>
      <c r="N3833" s="28" t="s">
        <v>51</v>
      </c>
    </row>
    <row r="3834" spans="1:14" x14ac:dyDescent="0.15">
      <c r="A3834" s="23" t="str">
        <f>HYPERLINK("https://www.spark-marketing.ru/Card/Person/1630", "АДМИНИСТРАЦИЯ ГОРОДСКОГО ОКРУГА МЫТИЩИ МОСКОВСКОЙ ОБЛАСТИ")</f>
        <v>АДМИНИСТРАЦИЯ ГОРОДСКОГО ОКРУГА МЫТИЩИ МОСКОВСКОЙ ОБЛАСТИ</v>
      </c>
      <c r="B3834" s="24" t="s">
        <v>6375</v>
      </c>
      <c r="C3834" s="25">
        <v>100000</v>
      </c>
      <c r="D3834" s="22" t="s">
        <v>6376</v>
      </c>
      <c r="E3834" s="22" t="s">
        <v>48</v>
      </c>
      <c r="F3834" s="23" t="str">
        <f>HYPERLINK("https://www.spark-marketing.ru/Card/Lot/73273859", "Оказание услуг по организации питания для нужд администрации городского округа Мытищи")</f>
        <v>Оказание услуг по организации питания для нужд администрации городского округа Мытищи</v>
      </c>
      <c r="G3834" s="22" t="s">
        <v>49</v>
      </c>
      <c r="H3834" s="22" t="s">
        <v>537</v>
      </c>
      <c r="I3834" s="26">
        <v>43714.503692129598</v>
      </c>
      <c r="J3834" s="28" t="s">
        <v>51</v>
      </c>
      <c r="K3834" s="28" t="s">
        <v>51</v>
      </c>
      <c r="L3834" s="28" t="s">
        <v>51</v>
      </c>
      <c r="M3834" s="28" t="s">
        <v>51</v>
      </c>
      <c r="N3834" s="28" t="s">
        <v>51</v>
      </c>
    </row>
    <row r="3835" spans="1:14" x14ac:dyDescent="0.15">
      <c r="A3835" s="23" t="str">
        <f>HYPERLINK("https://www.spark-marketing.ru/Card/Person/38622", "АО ""СХК""")</f>
        <v>АО "СХК"</v>
      </c>
      <c r="B3835" s="24" t="s">
        <v>6359</v>
      </c>
      <c r="C3835" s="28" t="s">
        <v>51</v>
      </c>
      <c r="D3835" s="22" t="s">
        <v>6377</v>
      </c>
      <c r="E3835" s="22" t="s">
        <v>96</v>
      </c>
      <c r="F3835" s="23" t="str">
        <f>HYPERLINK("https://www.spark-marketing.ru/Card/Lot/73279738", "Оказание услуг по питанию делегаций (а именно предоставление завтраков и бутилированной воды в гостиницах АО ""СХК"" на 2020-2021гг.)")</f>
        <v>Оказание услуг по питанию делегаций (а именно предоставление завтраков и бутилированной воды в гостиницах АО "СХК" на 2020-2021гг.)</v>
      </c>
      <c r="G3835" s="22" t="s">
        <v>149</v>
      </c>
      <c r="H3835" s="22" t="s">
        <v>6361</v>
      </c>
      <c r="I3835" s="26">
        <v>43714.534768518497</v>
      </c>
      <c r="J3835" s="28" t="s">
        <v>51</v>
      </c>
      <c r="K3835" s="28" t="s">
        <v>51</v>
      </c>
      <c r="L3835" s="28" t="s">
        <v>51</v>
      </c>
      <c r="M3835" s="28" t="s">
        <v>51</v>
      </c>
      <c r="N3835" s="28" t="s">
        <v>51</v>
      </c>
    </row>
    <row r="3836" spans="1:14" x14ac:dyDescent="0.15">
      <c r="A3836" s="23" t="str">
        <f>HYPERLINK("https://www.spark-marketing.ru/Card/Person/4628", "ГБУЗ СО ""ПОХВИСТНЕВСКАЯ ЦБГР""")</f>
        <v>ГБУЗ СО "ПОХВИСТНЕВСКАЯ ЦБГР"</v>
      </c>
      <c r="B3836" s="24" t="s">
        <v>6378</v>
      </c>
      <c r="C3836" s="25">
        <v>14639895</v>
      </c>
      <c r="D3836" s="22" t="s">
        <v>6379</v>
      </c>
      <c r="E3836" s="22" t="s">
        <v>48</v>
      </c>
      <c r="F3836" s="23" t="str">
        <f>HYPERLINK("https://www.spark-marketing.ru/Card/Lot/73274911", "Оказание услуг по приготовлению диетического лечебного питания для нужд Государственного бюджетного учреждения здравоохранения Самарской области «Похвистневская центральная больница города и района»")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«Похвистневская центральная больница города и района»</v>
      </c>
      <c r="G3836" s="22" t="s">
        <v>128</v>
      </c>
      <c r="H3836" s="22" t="s">
        <v>6380</v>
      </c>
      <c r="I3836" s="26">
        <v>43714.488888888904</v>
      </c>
      <c r="J3836" s="28" t="s">
        <v>51</v>
      </c>
      <c r="K3836" s="28" t="s">
        <v>51</v>
      </c>
      <c r="L3836" s="28" t="s">
        <v>51</v>
      </c>
      <c r="M3836" s="28" t="s">
        <v>51</v>
      </c>
      <c r="N3836" s="28" t="s">
        <v>51</v>
      </c>
    </row>
    <row r="3837" spans="1:14" hidden="1" outlineLevel="1" x14ac:dyDescent="0.2">
      <c r="A3837" s="23" t="str">
        <f>HYPERLINK("https://www.spark-marketing.ru/Card/Person/4628", "ГБУЗ СО ""ПОХВИСТНЕВСКАЯ ЦБГР""")</f>
        <v>ГБУЗ СО "ПОХВИСТНЕВСКАЯ ЦБГР"</v>
      </c>
      <c r="B3837" s="24" t="s">
        <v>6378</v>
      </c>
      <c r="C3837" s="25">
        <v>14639895</v>
      </c>
      <c r="D3837" s="22" t="s">
        <v>6379</v>
      </c>
      <c r="E3837" s="22" t="s">
        <v>48</v>
      </c>
      <c r="F3837" s="23" t="str">
        <f>HYPERLINK("https://www.spark-marketing.ru/Card/Lot/73274911", "Оказание услуг по приготовлению диетического лечебного питания для нужд Государственного бюджетного учреждения здравоохранения Самарской области «Похвистневская центральная больница города и района»")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«Похвистневская центральная больница города и района»</v>
      </c>
      <c r="G3837" s="22" t="s">
        <v>128</v>
      </c>
      <c r="H3837" s="22" t="s">
        <v>6380</v>
      </c>
      <c r="I3837" s="26">
        <v>43714.488888888904</v>
      </c>
      <c r="J3837" s="23" t="str">
        <f>HYPERLINK("https://www.spark-marketing.ru/Card/Person/6527865", "ООО ""БРИГ""")</f>
        <v>ООО "БРИГ"</v>
      </c>
      <c r="K3837" s="24" t="s">
        <v>6381</v>
      </c>
      <c r="L3837" s="28" t="s">
        <v>51</v>
      </c>
      <c r="M3837" s="25">
        <v>14200000</v>
      </c>
      <c r="N3837" s="27">
        <v>3.0047688183555962E-2</v>
      </c>
    </row>
    <row r="3838" spans="1:14" ht="12.75" hidden="1" outlineLevel="1" x14ac:dyDescent="0.2">
      <c r="A3838" s="23" t="str">
        <f>HYPERLINK("https://www.spark-marketing.ru/Card/Person/4628", "ГБУЗ СО ""ПОХВИСТНЕВСКАЯ ЦБГР""")</f>
        <v>ГБУЗ СО "ПОХВИСТНЕВСКАЯ ЦБГР"</v>
      </c>
      <c r="B3838" s="24" t="s">
        <v>6378</v>
      </c>
      <c r="C3838" s="25">
        <v>14639895</v>
      </c>
      <c r="D3838" s="22" t="s">
        <v>6379</v>
      </c>
      <c r="E3838" s="22" t="s">
        <v>48</v>
      </c>
      <c r="F3838" s="23" t="str">
        <f>HYPERLINK("https://www.spark-marketing.ru/Card/Lot/73274911", "Оказание услуг по приготовлению диетического лечебного питания для нужд Государственного бюджетного учреждения здравоохранения Самарской области «Похвистневская центральная больница города и района»")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«Похвистневская центральная больница города и района»</v>
      </c>
      <c r="G3838" s="22" t="s">
        <v>128</v>
      </c>
      <c r="H3838" s="22" t="s">
        <v>6380</v>
      </c>
      <c r="I3838" s="26">
        <v>43714.488888888904</v>
      </c>
      <c r="J3838" s="23" t="str">
        <f>HYPERLINK("https://www.spark-marketing.ru/Card/Person/6633295", "ООО ""КРИСТЕЛЬ""")</f>
        <v>ООО "КРИСТЕЛЬ"</v>
      </c>
      <c r="K3838" s="24" t="s">
        <v>2792</v>
      </c>
      <c r="L3838" s="22" t="s">
        <v>10</v>
      </c>
      <c r="M3838" s="25">
        <v>9121606.2400000002</v>
      </c>
      <c r="N3838" s="27">
        <v>0.37693499577695061</v>
      </c>
    </row>
    <row r="3839" spans="1:14" hidden="1" outlineLevel="1" x14ac:dyDescent="0.2">
      <c r="A3839" s="23" t="str">
        <f>HYPERLINK("https://www.spark-marketing.ru/Card/Person/4628", "ГБУЗ СО ""ПОХВИСТНЕВСКАЯ ЦБГР""")</f>
        <v>ГБУЗ СО "ПОХВИСТНЕВСКАЯ ЦБГР"</v>
      </c>
      <c r="B3839" s="24" t="s">
        <v>6378</v>
      </c>
      <c r="C3839" s="25">
        <v>14639895</v>
      </c>
      <c r="D3839" s="22" t="s">
        <v>6379</v>
      </c>
      <c r="E3839" s="22" t="s">
        <v>48</v>
      </c>
      <c r="F3839" s="23" t="str">
        <f>HYPERLINK("https://www.spark-marketing.ru/Card/Lot/73274911", "Оказание услуг по приготовлению диетического лечебного питания для нужд Государственного бюджетного учреждения здравоохранения Самарской области «Похвистневская центральная больница города и района»")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«Похвистневская центральная больница города и района»</v>
      </c>
      <c r="G3839" s="22" t="s">
        <v>128</v>
      </c>
      <c r="H3839" s="22" t="s">
        <v>6380</v>
      </c>
      <c r="I3839" s="26">
        <v>43714.488888888904</v>
      </c>
      <c r="J3839" s="23" t="str">
        <f>HYPERLINK("https://www.spark-marketing.ru/Card/Person/6697059", "ООО ""ПРОДМАРКЕТ""")</f>
        <v>ООО "ПРОДМАРКЕТ"</v>
      </c>
      <c r="K3839" s="24" t="s">
        <v>6382</v>
      </c>
      <c r="L3839" s="28" t="s">
        <v>51</v>
      </c>
      <c r="M3839" s="25">
        <v>9194805.7200000007</v>
      </c>
      <c r="N3839" s="27">
        <v>0.37193499543541808</v>
      </c>
    </row>
    <row r="3840" spans="1:14" hidden="1" outlineLevel="1" x14ac:dyDescent="0.2">
      <c r="A3840" s="23" t="str">
        <f>HYPERLINK("https://www.spark-marketing.ru/Card/Person/4628", "ГБУЗ СО ""ПОХВИСТНЕВСКАЯ ЦБГР""")</f>
        <v>ГБУЗ СО "ПОХВИСТНЕВСКАЯ ЦБГР"</v>
      </c>
      <c r="B3840" s="24" t="s">
        <v>6378</v>
      </c>
      <c r="C3840" s="25">
        <v>14639895</v>
      </c>
      <c r="D3840" s="22" t="s">
        <v>6379</v>
      </c>
      <c r="E3840" s="22" t="s">
        <v>48</v>
      </c>
      <c r="F3840" s="23" t="str">
        <f>HYPERLINK("https://www.spark-marketing.ru/Card/Lot/73274911", "Оказание услуг по приготовлению диетического лечебного питания для нужд Государственного бюджетного учреждения здравоохранения Самарской области «Похвистневская центральная больница города и района»")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«Похвистневская центральная больница города и района»</v>
      </c>
      <c r="G3840" s="22" t="s">
        <v>128</v>
      </c>
      <c r="H3840" s="22" t="s">
        <v>6380</v>
      </c>
      <c r="I3840" s="26">
        <v>43714.488888888904</v>
      </c>
      <c r="J3840" s="23" t="str">
        <f>HYPERLINK("https://www.spark-marketing.ru/Card/Person/1242795", "ООО ""КОНТИНЕНТ - КУЛИНАРИЯ""")</f>
        <v>ООО "КОНТИНЕНТ - КУЛИНАРИЯ"</v>
      </c>
      <c r="K3840" s="24" t="s">
        <v>6383</v>
      </c>
      <c r="L3840" s="28" t="s">
        <v>51</v>
      </c>
      <c r="M3840" s="25">
        <v>13677777</v>
      </c>
      <c r="N3840" s="27">
        <v>6.5718913967620668E-2</v>
      </c>
    </row>
    <row r="3841" spans="1:14" x14ac:dyDescent="0.15">
      <c r="A3841" s="23" t="str">
        <f>HYPERLINK("https://www.spark-marketing.ru/Card/Person/88541", "ГБУЗ ""ДГБ Г. НОВОРОССИЙСКА"" МЗ КК")</f>
        <v>ГБУЗ "ДГБ Г. НОВОРОССИЙСКА" МЗ КК</v>
      </c>
      <c r="B3841" s="24" t="s">
        <v>1687</v>
      </c>
      <c r="C3841" s="25">
        <v>499800</v>
      </c>
      <c r="D3841" s="22" t="s">
        <v>6384</v>
      </c>
      <c r="E3841" s="22" t="s">
        <v>96</v>
      </c>
      <c r="F3841" s="23" t="str">
        <f>HYPERLINK("https://www.spark-marketing.ru/Card/Lot/73277235", "Оказание услуг по обеспечению лечебным горячим питанием пациентов, находящихся на стационарном лечении")</f>
        <v>Оказание услуг по обеспечению лечебным горячим питанием пациентов, находящихся на стационарном лечении</v>
      </c>
      <c r="G3841" s="22" t="s">
        <v>104</v>
      </c>
      <c r="H3841" s="22" t="s">
        <v>1689</v>
      </c>
      <c r="I3841" s="26">
        <v>43714.461111111101</v>
      </c>
      <c r="J3841" s="28" t="s">
        <v>51</v>
      </c>
      <c r="K3841" s="28" t="s">
        <v>51</v>
      </c>
      <c r="L3841" s="28" t="s">
        <v>51</v>
      </c>
      <c r="M3841" s="28" t="s">
        <v>51</v>
      </c>
      <c r="N3841" s="28" t="s">
        <v>51</v>
      </c>
    </row>
    <row r="3842" spans="1:14" hidden="1" outlineLevel="1" x14ac:dyDescent="0.2">
      <c r="A3842" s="23" t="str">
        <f>HYPERLINK("https://www.spark-marketing.ru/Card/Person/88541", "ГБУЗ ""ДГБ Г. НОВОРОССИЙСКА"" МЗ КК")</f>
        <v>ГБУЗ "ДГБ Г. НОВОРОССИЙСКА" МЗ КК</v>
      </c>
      <c r="B3842" s="24" t="s">
        <v>1687</v>
      </c>
      <c r="C3842" s="25">
        <v>499800</v>
      </c>
      <c r="D3842" s="22" t="s">
        <v>6384</v>
      </c>
      <c r="E3842" s="22" t="s">
        <v>96</v>
      </c>
      <c r="F3842" s="23" t="str">
        <f>HYPERLINK("https://www.spark-marketing.ru/Card/Lot/73277235", "Оказание услуг по обеспечению лечебным горячим питанием пациентов, находящихся на стационарном лечении")</f>
        <v>Оказание услуг по обеспечению лечебным горячим питанием пациентов, находящихся на стационарном лечении</v>
      </c>
      <c r="G3842" s="22" t="s">
        <v>104</v>
      </c>
      <c r="H3842" s="22" t="s">
        <v>1689</v>
      </c>
      <c r="I3842" s="26">
        <v>43714.461111111101</v>
      </c>
      <c r="J3842" s="23" t="str">
        <f>HYPERLINK("https://www.spark-marketing.ru/Card/Person/54395", "Третьяков Вячеслав Викторович")</f>
        <v>Третьяков Вячеслав Викторович</v>
      </c>
      <c r="K3842" s="24" t="s">
        <v>1690</v>
      </c>
      <c r="L3842" s="28" t="s">
        <v>51</v>
      </c>
      <c r="M3842" s="25">
        <v>239904</v>
      </c>
      <c r="N3842" s="27">
        <v>0.52</v>
      </c>
    </row>
    <row r="3843" spans="1:14" ht="12.75" hidden="1" outlineLevel="1" x14ac:dyDescent="0.2">
      <c r="A3843" s="23" t="str">
        <f>HYPERLINK("https://www.spark-marketing.ru/Card/Person/88541", "ГБУЗ ""ДГБ Г. НОВОРОССИЙСКА"" МЗ КК")</f>
        <v>ГБУЗ "ДГБ Г. НОВОРОССИЙСКА" МЗ КК</v>
      </c>
      <c r="B3843" s="24" t="s">
        <v>1687</v>
      </c>
      <c r="C3843" s="25">
        <v>499800</v>
      </c>
      <c r="D3843" s="22" t="s">
        <v>6384</v>
      </c>
      <c r="E3843" s="22" t="s">
        <v>96</v>
      </c>
      <c r="F3843" s="23" t="str">
        <f>HYPERLINK("https://www.spark-marketing.ru/Card/Lot/73277235", "Оказание услуг по обеспечению лечебным горячим питанием пациентов, находящихся на стационарном лечении")</f>
        <v>Оказание услуг по обеспечению лечебным горячим питанием пациентов, находящихся на стационарном лечении</v>
      </c>
      <c r="G3843" s="22" t="s">
        <v>104</v>
      </c>
      <c r="H3843" s="22" t="s">
        <v>1689</v>
      </c>
      <c r="I3843" s="26">
        <v>43714.461111111101</v>
      </c>
      <c r="J3843" s="23" t="str">
        <f>HYPERLINK("https://www.spark-marketing.ru/Card/Person/2461569", "ООО ""КОНСТАНТИНОВ""")</f>
        <v>ООО "КОНСТАНТИНОВ"</v>
      </c>
      <c r="K3843" s="24" t="s">
        <v>1691</v>
      </c>
      <c r="L3843" s="22" t="s">
        <v>10</v>
      </c>
      <c r="M3843" s="25">
        <v>237405</v>
      </c>
      <c r="N3843" s="27">
        <v>0.52500000000000002</v>
      </c>
    </row>
    <row r="3844" spans="1:14" x14ac:dyDescent="0.15">
      <c r="A3844" s="23" t="str">
        <f>HYPERLINK("https://www.spark-marketing.ru/Card/Person/589137", "МОУ ""СОШ №12 ГОРОДА ШИХАНЫ""")</f>
        <v>МОУ "СОШ №12 ГОРОДА ШИХАНЫ"</v>
      </c>
      <c r="B3844" s="24" t="s">
        <v>6385</v>
      </c>
      <c r="C3844" s="25">
        <v>1523439</v>
      </c>
      <c r="D3844" s="22" t="s">
        <v>6386</v>
      </c>
      <c r="E3844" s="22" t="s">
        <v>48</v>
      </c>
      <c r="F3844" s="23" t="str">
        <f>HYPERLINK("https://www.spark-marketing.ru/Card/Lot/73279085",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3844" s="22" t="s">
        <v>351</v>
      </c>
      <c r="H3844" s="22" t="s">
        <v>6387</v>
      </c>
      <c r="I3844" s="26">
        <v>43714.497916666704</v>
      </c>
      <c r="J3844" s="23" t="str">
        <f>HYPERLINK("https://www.spark-marketing.ru/Card/Person/6238358", "МУП ЦОП")</f>
        <v>МУП ЦОП</v>
      </c>
      <c r="K3844" s="24" t="s">
        <v>6388</v>
      </c>
      <c r="L3844" s="22" t="s">
        <v>10</v>
      </c>
      <c r="M3844" s="28" t="s">
        <v>51</v>
      </c>
      <c r="N3844" s="28" t="s">
        <v>51</v>
      </c>
    </row>
    <row r="3845" spans="1:14" x14ac:dyDescent="0.15">
      <c r="A3845" s="23" t="str">
        <f>HYPERLINK("https://www.spark-marketing.ru/Card/Person/32663", "АДМИНИСТРАЦИЯ АГО")</f>
        <v>АДМИНИСТРАЦИЯ АГО</v>
      </c>
      <c r="B3845" s="24" t="s">
        <v>6389</v>
      </c>
      <c r="C3845" s="25">
        <v>49500</v>
      </c>
      <c r="D3845" s="22" t="s">
        <v>6390</v>
      </c>
      <c r="E3845" s="22" t="s">
        <v>67</v>
      </c>
      <c r="F3845" s="23" t="str">
        <f>HYPERLINK("https://www.spark-marketing.ru/Card/Lot/73275802", "Услуги по организации общественного питания и обслуживания на праздничном мероприятии, посвященном Дню пожилого человека, для первичной организации Общественной организации ветеранов (пенсионеров) войны, труда, Вооруженных сил и правоохранительных ор...")</f>
        <v>Услуги по организации общественного питания и обслуживания на праздничном мероприятии, посвященном Дню пожилого человека, для первичной организации Общественной организации ветеранов (пенсионеров) войны, труда, Вооруженных сил и правоохранительных ор...</v>
      </c>
      <c r="G3845" s="22" t="s">
        <v>263</v>
      </c>
      <c r="H3845" s="22" t="s">
        <v>540</v>
      </c>
      <c r="I3845" s="26">
        <v>43714.672916666699</v>
      </c>
      <c r="J3845" s="28" t="s">
        <v>51</v>
      </c>
      <c r="K3845" s="28" t="s">
        <v>51</v>
      </c>
      <c r="L3845" s="28" t="s">
        <v>51</v>
      </c>
      <c r="M3845" s="28" t="s">
        <v>51</v>
      </c>
      <c r="N3845" s="28" t="s">
        <v>51</v>
      </c>
    </row>
    <row r="3846" spans="1:14" ht="12.75" hidden="1" outlineLevel="1" x14ac:dyDescent="0.2">
      <c r="A3846" s="23" t="str">
        <f>HYPERLINK("https://www.spark-marketing.ru/Card/Person/32663", "АДМИНИСТРАЦИЯ АГО")</f>
        <v>АДМИНИСТРАЦИЯ АГО</v>
      </c>
      <c r="B3846" s="24" t="s">
        <v>6389</v>
      </c>
      <c r="C3846" s="25">
        <v>49500</v>
      </c>
      <c r="D3846" s="22" t="s">
        <v>6390</v>
      </c>
      <c r="E3846" s="22" t="s">
        <v>67</v>
      </c>
      <c r="F3846" s="23" t="str">
        <f>HYPERLINK("https://www.spark-marketing.ru/Card/Lot/73275802", "Услуги по организации общественного питания и обслуживания на праздничном мероприятии, посвященном Дню пожилого человека, для первичной организации Общественной организации ветеранов (пенсионеров) войны, труда, Вооруженных сил и правоохранительных ор...")</f>
        <v>Услуги по организации общественного питания и обслуживания на праздничном мероприятии, посвященном Дню пожилого человека, для первичной организации Общественной организации ветеранов (пенсионеров) войны, труда, Вооруженных сил и правоохранительных ор...</v>
      </c>
      <c r="G3846" s="22" t="s">
        <v>263</v>
      </c>
      <c r="H3846" s="22" t="s">
        <v>540</v>
      </c>
      <c r="I3846" s="26">
        <v>43714.672916666699</v>
      </c>
      <c r="J3846" s="23" t="str">
        <f>HYPERLINK("https://www.spark-marketing.ru/Card/Person/4705633", "ООО ""БУРЖУАЗ""")</f>
        <v>ООО "БУРЖУАЗ"</v>
      </c>
      <c r="K3846" s="24" t="s">
        <v>6391</v>
      </c>
      <c r="L3846" s="22" t="s">
        <v>10</v>
      </c>
      <c r="M3846" s="25">
        <v>49400</v>
      </c>
      <c r="N3846" s="27">
        <v>2.0202020202020202E-3</v>
      </c>
    </row>
    <row r="3847" spans="1:14" hidden="1" outlineLevel="1" x14ac:dyDescent="0.2">
      <c r="A3847" s="23" t="str">
        <f>HYPERLINK("https://www.spark-marketing.ru/Card/Person/32663", "АДМИНИСТРАЦИЯ АГО")</f>
        <v>АДМИНИСТРАЦИЯ АГО</v>
      </c>
      <c r="B3847" s="24" t="s">
        <v>6389</v>
      </c>
      <c r="C3847" s="25">
        <v>49500</v>
      </c>
      <c r="D3847" s="22" t="s">
        <v>6390</v>
      </c>
      <c r="E3847" s="22" t="s">
        <v>67</v>
      </c>
      <c r="F3847" s="23" t="str">
        <f>HYPERLINK("https://www.spark-marketing.ru/Card/Lot/73275802", "Услуги по организации общественного питания и обслуживания на праздничном мероприятии, посвященном Дню пожилого человека, для первичной организации Общественной организации ветеранов (пенсионеров) войны, труда, Вооруженных сил и правоохранительных ор...")</f>
        <v>Услуги по организации общественного питания и обслуживания на праздничном мероприятии, посвященном Дню пожилого человека, для первичной организации Общественной организации ветеранов (пенсионеров) войны, труда, Вооруженных сил и правоохранительных ор...</v>
      </c>
      <c r="G3847" s="22" t="s">
        <v>263</v>
      </c>
      <c r="H3847" s="22" t="s">
        <v>540</v>
      </c>
      <c r="I3847" s="26">
        <v>43714.672916666699</v>
      </c>
      <c r="J3847" s="23" t="str">
        <f>HYPERLINK("https://www.spark-marketing.ru/Card/Person/349870", "ГАПОУ ИО АТОПТ")</f>
        <v>ГАПОУ ИО АТОПТ</v>
      </c>
      <c r="K3847" s="24" t="s">
        <v>6392</v>
      </c>
      <c r="L3847" s="28" t="s">
        <v>51</v>
      </c>
      <c r="M3847" s="25">
        <v>49500</v>
      </c>
      <c r="N3847" s="27">
        <v>0</v>
      </c>
    </row>
    <row r="3848" spans="1:14" x14ac:dyDescent="0.15">
      <c r="A3848" s="23" t="str">
        <f>HYPERLINK("https://www.spark-marketing.ru/Card/Person/4637", "ГБУЗ СК ""ССМП"" Г. СТАВРОПОЛЯ")</f>
        <v>ГБУЗ СК "ССМП" Г. СТАВРОПОЛЯ</v>
      </c>
      <c r="B3848" s="24" t="s">
        <v>6393</v>
      </c>
      <c r="C3848" s="25">
        <v>119359.4</v>
      </c>
      <c r="D3848" s="22" t="s">
        <v>6394</v>
      </c>
      <c r="E3848" s="22" t="s">
        <v>437</v>
      </c>
      <c r="F3848" s="23" t="str">
        <f>HYPERLINK("https://www.spark-marketing.ru/Card/Lot/73270907", "Оказание услуг по нормативным испытаниям электрооборудования и аппаратов электроустановок")</f>
        <v>Оказание услуг по нормативным испытаниям электрооборудования и аппаратов электроустановок</v>
      </c>
      <c r="G3848" s="22" t="s">
        <v>87</v>
      </c>
      <c r="H3848" s="22" t="s">
        <v>686</v>
      </c>
      <c r="I3848" s="26">
        <v>43714.420138888898</v>
      </c>
      <c r="J3848" s="28" t="s">
        <v>51</v>
      </c>
      <c r="K3848" s="28" t="s">
        <v>51</v>
      </c>
      <c r="L3848" s="28" t="s">
        <v>51</v>
      </c>
      <c r="M3848" s="28" t="s">
        <v>51</v>
      </c>
      <c r="N3848" s="28" t="s">
        <v>51</v>
      </c>
    </row>
    <row r="3849" spans="1:14" ht="12.75" hidden="1" outlineLevel="1" x14ac:dyDescent="0.2">
      <c r="A3849" s="23" t="str">
        <f>HYPERLINK("https://www.spark-marketing.ru/Card/Person/4637", "ГБУЗ СК ""ССМП"" Г. СТАВРОПОЛЯ")</f>
        <v>ГБУЗ СК "ССМП" Г. СТАВРОПОЛЯ</v>
      </c>
      <c r="B3849" s="24" t="s">
        <v>6393</v>
      </c>
      <c r="C3849" s="25">
        <v>119359.4</v>
      </c>
      <c r="D3849" s="22" t="s">
        <v>6394</v>
      </c>
      <c r="E3849" s="22" t="s">
        <v>437</v>
      </c>
      <c r="F3849" s="23" t="str">
        <f>HYPERLINK("https://www.spark-marketing.ru/Card/Lot/73270907", "Оказание услуг по нормативным испытаниям электрооборудования и аппаратов электроустановок")</f>
        <v>Оказание услуг по нормативным испытаниям электрооборудования и аппаратов электроустановок</v>
      </c>
      <c r="G3849" s="22" t="s">
        <v>87</v>
      </c>
      <c r="H3849" s="22" t="s">
        <v>686</v>
      </c>
      <c r="I3849" s="26">
        <v>43714.420138888898</v>
      </c>
      <c r="J3849" s="23" t="str">
        <f>HYPERLINK("https://www.spark-marketing.ru/Card/Person/5853035", "ООО ""СТАНДАРТ-М""")</f>
        <v>ООО "СТАНДАРТ-М"</v>
      </c>
      <c r="K3849" s="24" t="s">
        <v>6395</v>
      </c>
      <c r="L3849" s="22" t="s">
        <v>10</v>
      </c>
      <c r="M3849" s="25">
        <v>48078.58</v>
      </c>
      <c r="N3849" s="27">
        <v>0.59719485855324339</v>
      </c>
    </row>
    <row r="3850" spans="1:14" hidden="1" outlineLevel="1" x14ac:dyDescent="0.2">
      <c r="A3850" s="23" t="str">
        <f>HYPERLINK("https://www.spark-marketing.ru/Card/Person/4637", "ГБУЗ СК ""ССМП"" Г. СТАВРОПОЛЯ")</f>
        <v>ГБУЗ СК "ССМП" Г. СТАВРОПОЛЯ</v>
      </c>
      <c r="B3850" s="24" t="s">
        <v>6393</v>
      </c>
      <c r="C3850" s="25">
        <v>119359.4</v>
      </c>
      <c r="D3850" s="22" t="s">
        <v>6394</v>
      </c>
      <c r="E3850" s="22" t="s">
        <v>437</v>
      </c>
      <c r="F3850" s="23" t="str">
        <f>HYPERLINK("https://www.spark-marketing.ru/Card/Lot/73270907", "Оказание услуг по нормативным испытаниям электрооборудования и аппаратов электроустановок")</f>
        <v>Оказание услуг по нормативным испытаниям электрооборудования и аппаратов электроустановок</v>
      </c>
      <c r="G3850" s="22" t="s">
        <v>87</v>
      </c>
      <c r="H3850" s="22" t="s">
        <v>686</v>
      </c>
      <c r="I3850" s="26">
        <v>43714.420138888898</v>
      </c>
      <c r="J3850" s="23" t="str">
        <f>HYPERLINK("https://www.spark-marketing.ru/Card/Person/1211795", "Тихинький Сергей Александрович")</f>
        <v>Тихинький Сергей Александрович</v>
      </c>
      <c r="K3850" s="24" t="s">
        <v>6396</v>
      </c>
      <c r="L3850" s="28" t="s">
        <v>51</v>
      </c>
      <c r="M3850" s="25">
        <v>70160.12</v>
      </c>
      <c r="N3850" s="27">
        <v>0.41219443127227517</v>
      </c>
    </row>
    <row r="3851" spans="1:14" hidden="1" outlineLevel="1" x14ac:dyDescent="0.2">
      <c r="A3851" s="23" t="str">
        <f>HYPERLINK("https://www.spark-marketing.ru/Card/Person/4637", "ГБУЗ СК ""ССМП"" Г. СТАВРОПОЛЯ")</f>
        <v>ГБУЗ СК "ССМП" Г. СТАВРОПОЛЯ</v>
      </c>
      <c r="B3851" s="24" t="s">
        <v>6393</v>
      </c>
      <c r="C3851" s="25">
        <v>119359.4</v>
      </c>
      <c r="D3851" s="22" t="s">
        <v>6394</v>
      </c>
      <c r="E3851" s="22" t="s">
        <v>437</v>
      </c>
      <c r="F3851" s="23" t="str">
        <f>HYPERLINK("https://www.spark-marketing.ru/Card/Lot/73270907", "Оказание услуг по нормативным испытаниям электрооборудования и аппаратов электроустановок")</f>
        <v>Оказание услуг по нормативным испытаниям электрооборудования и аппаратов электроустановок</v>
      </c>
      <c r="G3851" s="22" t="s">
        <v>87</v>
      </c>
      <c r="H3851" s="22" t="s">
        <v>686</v>
      </c>
      <c r="I3851" s="26">
        <v>43714.420138888898</v>
      </c>
      <c r="J3851" s="23" t="str">
        <f>HYPERLINK("https://www.spark-marketing.ru/Card/Person/1215936", "ООО ""ЭНЕРГОСЕРВИС ПРЕМИУМ""")</f>
        <v>ООО "ЭНЕРГОСЕРВИС ПРЕМИУМ"</v>
      </c>
      <c r="K3851" s="24" t="s">
        <v>6397</v>
      </c>
      <c r="L3851" s="28" t="s">
        <v>51</v>
      </c>
      <c r="M3851" s="25">
        <v>100000</v>
      </c>
      <c r="N3851" s="27">
        <v>0.16219417993052915</v>
      </c>
    </row>
    <row r="3852" spans="1:14" hidden="1" outlineLevel="1" x14ac:dyDescent="0.2">
      <c r="A3852" s="23" t="str">
        <f>HYPERLINK("https://www.spark-marketing.ru/Card/Person/4637", "ГБУЗ СК ""ССМП"" Г. СТАВРОПОЛЯ")</f>
        <v>ГБУЗ СК "ССМП" Г. СТАВРОПОЛЯ</v>
      </c>
      <c r="B3852" s="24" t="s">
        <v>6393</v>
      </c>
      <c r="C3852" s="25">
        <v>119359.4</v>
      </c>
      <c r="D3852" s="22" t="s">
        <v>6394</v>
      </c>
      <c r="E3852" s="22" t="s">
        <v>437</v>
      </c>
      <c r="F3852" s="23" t="str">
        <f>HYPERLINK("https://www.spark-marketing.ru/Card/Lot/73270907", "Оказание услуг по нормативным испытаниям электрооборудования и аппаратов электроустановок")</f>
        <v>Оказание услуг по нормативным испытаниям электрооборудования и аппаратов электроустановок</v>
      </c>
      <c r="G3852" s="22" t="s">
        <v>87</v>
      </c>
      <c r="H3852" s="22" t="s">
        <v>686</v>
      </c>
      <c r="I3852" s="26">
        <v>43714.420138888898</v>
      </c>
      <c r="J3852" s="23" t="str">
        <f>HYPERLINK("https://www.spark-marketing.ru/Card/Person/320478", "ООО ""ЭНЕРГОСИСТЕМЫ""")</f>
        <v>ООО "ЭНЕРГОСИСТЕМЫ"</v>
      </c>
      <c r="K3852" s="24" t="s">
        <v>6398</v>
      </c>
      <c r="L3852" s="28" t="s">
        <v>51</v>
      </c>
      <c r="M3852" s="25">
        <v>48675.38</v>
      </c>
      <c r="N3852" s="27">
        <v>0.59219483341906876</v>
      </c>
    </row>
    <row r="3853" spans="1:14" x14ac:dyDescent="0.15">
      <c r="A3853" s="23" t="str">
        <f>HYPERLINK("https://www.spark-marketing.ru/Card/Person/149442", "УПРАВЛЕНИЕ МИНКУЛЬТУРЫ РОССИИ ПО ЮФО И СКФО")</f>
        <v>УПРАВЛЕНИЕ МИНКУЛЬТУРЫ РОССИИ ПО ЮФО И СКФО</v>
      </c>
      <c r="B3853" s="24" t="s">
        <v>6399</v>
      </c>
      <c r="C3853" s="25">
        <v>12000</v>
      </c>
      <c r="D3853" s="22" t="s">
        <v>6400</v>
      </c>
      <c r="E3853" s="22" t="s">
        <v>6401</v>
      </c>
      <c r="F3853" s="23" t="str">
        <f>HYPERLINK("https://www.spark-marketing.ru/Card/Lot/73270101", "услуги по монтажу, демонтажу блока бесперебойного питания БИРП 12/6, 12В,6А (Блок бесперебойного питания БИРП 12/6,12В,6А - 1шт., аккумулятор 12В, 12 А/ч -2 шт.)")</f>
        <v>услуги по монтажу, демонтажу блока бесперебойного питания БИРП 12/6, 12В,6А (Блок бесперебойного питания БИРП 12/6,12В,6А - 1шт., аккумулятор 12В, 12 А/ч -2 шт.)</v>
      </c>
      <c r="G3853" s="22" t="s">
        <v>267</v>
      </c>
      <c r="H3853" s="22" t="s">
        <v>590</v>
      </c>
      <c r="I3853" s="26">
        <v>43714.448321759301</v>
      </c>
      <c r="J3853" s="28" t="s">
        <v>51</v>
      </c>
      <c r="K3853" s="28" t="s">
        <v>51</v>
      </c>
      <c r="L3853" s="28" t="s">
        <v>51</v>
      </c>
      <c r="M3853" s="28" t="s">
        <v>51</v>
      </c>
      <c r="N3853" s="28" t="s">
        <v>51</v>
      </c>
    </row>
    <row r="3854" spans="1:14" x14ac:dyDescent="0.15">
      <c r="A3854" s="23" t="str">
        <f>HYPERLINK("https://www.spark-marketing.ru/Card/Person/101122", "МАОУ ""СОШ № 13 С УИОП""")</f>
        <v>МАОУ "СОШ № 13 С УИОП"</v>
      </c>
      <c r="B3854" s="24" t="s">
        <v>6402</v>
      </c>
      <c r="C3854" s="25">
        <v>15610148</v>
      </c>
      <c r="D3854" s="22" t="s">
        <v>6403</v>
      </c>
      <c r="E3854" s="22" t="s">
        <v>48</v>
      </c>
      <c r="F3854" s="23" t="str">
        <f>HYPERLINK("https://www.spark-marketing.ru/Card/Lot/73281304", "Оказание услуг по организации питания для обучающихся в муниципальном автономном общеобразовательном учреждение «Средней общеобразовательной школы № 13 с углублённым изучением отдельных предметов»""")</f>
        <v>Оказание услуг по организации питания для обучающихся в муниципальном автономном общеобразовательном учреждение «Средней общеобразовательной школы № 13 с углублённым изучением отдельных предметов»"</v>
      </c>
      <c r="G3854" s="22" t="s">
        <v>49</v>
      </c>
      <c r="H3854" s="22" t="s">
        <v>742</v>
      </c>
      <c r="I3854" s="26">
        <v>43714.444444444402</v>
      </c>
      <c r="J3854" s="28" t="s">
        <v>51</v>
      </c>
      <c r="K3854" s="28" t="s">
        <v>51</v>
      </c>
      <c r="L3854" s="28" t="s">
        <v>51</v>
      </c>
      <c r="M3854" s="28" t="s">
        <v>51</v>
      </c>
      <c r="N3854" s="28" t="s">
        <v>51</v>
      </c>
    </row>
    <row r="3855" spans="1:14" hidden="1" outlineLevel="1" x14ac:dyDescent="0.2">
      <c r="A3855" s="23" t="str">
        <f>HYPERLINK("https://www.spark-marketing.ru/Card/Person/101122", "МАОУ ""СОШ № 13 С УИОП""")</f>
        <v>МАОУ "СОШ № 13 С УИОП"</v>
      </c>
      <c r="B3855" s="24" t="s">
        <v>6402</v>
      </c>
      <c r="C3855" s="25">
        <v>15610148</v>
      </c>
      <c r="D3855" s="22" t="s">
        <v>6403</v>
      </c>
      <c r="E3855" s="22" t="s">
        <v>48</v>
      </c>
      <c r="F3855" s="23" t="str">
        <f>HYPERLINK("https://www.spark-marketing.ru/Card/Lot/73281304", "Оказание услуг по организации питания для обучающихся в муниципальном автономном общеобразовательном учреждение «Средней общеобразовательной школы № 13 с углублённым изучением отдельных предметов»""")</f>
        <v>Оказание услуг по организации питания для обучающихся в муниципальном автономном общеобразовательном учреждение «Средней общеобразовательной школы № 13 с углублённым изучением отдельных предметов»"</v>
      </c>
      <c r="G3855" s="22" t="s">
        <v>49</v>
      </c>
      <c r="H3855" s="22" t="s">
        <v>742</v>
      </c>
      <c r="I3855" s="26">
        <v>43714.444444444402</v>
      </c>
      <c r="J3855" s="23" t="str">
        <f>HYPERLINK("https://www.spark-marketing.ru/Card/Person/60153", "ООО МОЛОЧНЫЙ ЗАВОД ""НАРО-ФОМИНСКИЙ""")</f>
        <v>ООО МОЛОЧНЫЙ ЗАВОД "НАРО-ФОМИНСКИЙ"</v>
      </c>
      <c r="K3855" s="24" t="s">
        <v>5326</v>
      </c>
      <c r="L3855" s="28" t="s">
        <v>51</v>
      </c>
      <c r="M3855" s="25">
        <v>14843516</v>
      </c>
      <c r="N3855" s="27">
        <v>4.9111129503704901E-2</v>
      </c>
    </row>
    <row r="3856" spans="1:14" ht="12.75" hidden="1" outlineLevel="1" x14ac:dyDescent="0.2">
      <c r="A3856" s="23" t="str">
        <f>HYPERLINK("https://www.spark-marketing.ru/Card/Person/101122", "МАОУ ""СОШ № 13 С УИОП""")</f>
        <v>МАОУ "СОШ № 13 С УИОП"</v>
      </c>
      <c r="B3856" s="24" t="s">
        <v>6402</v>
      </c>
      <c r="C3856" s="25">
        <v>15610148</v>
      </c>
      <c r="D3856" s="22" t="s">
        <v>6403</v>
      </c>
      <c r="E3856" s="22" t="s">
        <v>48</v>
      </c>
      <c r="F3856" s="23" t="str">
        <f>HYPERLINK("https://www.spark-marketing.ru/Card/Lot/73281304", "Оказание услуг по организации питания для обучающихся в муниципальном автономном общеобразовательном учреждение «Средней общеобразовательной школы № 13 с углублённым изучением отдельных предметов»""")</f>
        <v>Оказание услуг по организации питания для обучающихся в муниципальном автономном общеобразовательном учреждение «Средней общеобразовательной школы № 13 с углублённым изучением отдельных предметов»"</v>
      </c>
      <c r="G3856" s="22" t="s">
        <v>49</v>
      </c>
      <c r="H3856" s="22" t="s">
        <v>742</v>
      </c>
      <c r="I3856" s="26">
        <v>43714.444444444402</v>
      </c>
      <c r="J3856" s="23" t="str">
        <f>HYPERLINK("https://www.spark-marketing.ru/Card/Person/57370", "ООО ""КП ""ЭКОПРОДУКТ""")</f>
        <v>ООО "КП "ЭКОПРОДУКТ"</v>
      </c>
      <c r="K3856" s="24" t="s">
        <v>6251</v>
      </c>
      <c r="L3856" s="22" t="s">
        <v>10</v>
      </c>
      <c r="M3856" s="25">
        <v>15610148</v>
      </c>
      <c r="N3856" s="27">
        <v>0</v>
      </c>
    </row>
    <row r="3857" spans="1:14" x14ac:dyDescent="0.15">
      <c r="A3857" s="23" t="str">
        <f>HYPERLINK("https://www.spark-marketing.ru/Card/Person/17125", "ФКУ ""ЦХИСО УМВД РОССИИ ПО ТУЛЬСКОЙ ОБЛАСТИ""")</f>
        <v>ФКУ "ЦХИСО УМВД РОССИИ ПО ТУЛЬСКОЙ ОБЛАСТИ"</v>
      </c>
      <c r="B3857" s="24" t="s">
        <v>6404</v>
      </c>
      <c r="C3857" s="25">
        <v>500000</v>
      </c>
      <c r="D3857" s="22" t="s">
        <v>6405</v>
      </c>
      <c r="E3857" s="22" t="s">
        <v>152</v>
      </c>
      <c r="F3857" s="23" t="str">
        <f>HYPERLINK("https://www.spark-marketing.ru/Card/Lot/73273596", "Оказание услуг по ремонту источников бесперебойного питания УМВД России по Тульской области в рамках государственного оборонного заказа вне государственной программы вооружения")</f>
        <v>Оказание услуг по ремонту источников бесперебойного питания УМВД России по Тульской области в рамках государственного оборонного заказа вне государственной программы вооружения</v>
      </c>
      <c r="G3857" s="22" t="s">
        <v>68</v>
      </c>
      <c r="H3857" s="22" t="s">
        <v>68</v>
      </c>
      <c r="I3857" s="26">
        <v>43714.4465277778</v>
      </c>
      <c r="J3857" s="23" t="str">
        <f>HYPERLINK("https://www.spark-marketing.ru/Card/Person/6575851", "ООО ""МИТА""")</f>
        <v>ООО "МИТА"</v>
      </c>
      <c r="K3857" s="24" t="s">
        <v>6406</v>
      </c>
      <c r="L3857" s="22" t="s">
        <v>10</v>
      </c>
      <c r="M3857" s="28" t="s">
        <v>51</v>
      </c>
      <c r="N3857" s="28" t="s">
        <v>51</v>
      </c>
    </row>
    <row r="3858" spans="1:14" x14ac:dyDescent="0.15">
      <c r="A3858" s="23" t="str">
        <f>HYPERLINK("https://www.spark-marketing.ru/Card/Person/101996", "МОУ ""СОШ № 1""")</f>
        <v>МОУ "СОШ № 1"</v>
      </c>
      <c r="B3858" s="24" t="s">
        <v>6407</v>
      </c>
      <c r="C3858" s="25">
        <v>15368816</v>
      </c>
      <c r="D3858" s="22" t="s">
        <v>6408</v>
      </c>
      <c r="E3858" s="22" t="s">
        <v>48</v>
      </c>
      <c r="F3858" s="23" t="str">
        <f>HYPERLINK("https://www.spark-marketing.ru/Card/Lot/73272221", "Оказание услуг по организации питания для обучающихся в муниципальном общеобразовательном учреждении ""Средняя общеобразовательная школа №1""")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№1"</v>
      </c>
      <c r="G3858" s="22" t="s">
        <v>49</v>
      </c>
      <c r="H3858" s="22" t="s">
        <v>742</v>
      </c>
      <c r="I3858" s="26">
        <v>43714.391666666699</v>
      </c>
      <c r="J3858" s="28" t="s">
        <v>51</v>
      </c>
      <c r="K3858" s="28" t="s">
        <v>51</v>
      </c>
      <c r="L3858" s="28" t="s">
        <v>51</v>
      </c>
      <c r="M3858" s="28" t="s">
        <v>51</v>
      </c>
      <c r="N3858" s="28" t="s">
        <v>51</v>
      </c>
    </row>
    <row r="3859" spans="1:14" hidden="1" outlineLevel="1" x14ac:dyDescent="0.2">
      <c r="A3859" s="23" t="str">
        <f>HYPERLINK("https://www.spark-marketing.ru/Card/Person/101996", "МОУ ""СОШ № 1""")</f>
        <v>МОУ "СОШ № 1"</v>
      </c>
      <c r="B3859" s="24" t="s">
        <v>6407</v>
      </c>
      <c r="C3859" s="25">
        <v>15368816</v>
      </c>
      <c r="D3859" s="22" t="s">
        <v>6408</v>
      </c>
      <c r="E3859" s="22" t="s">
        <v>48</v>
      </c>
      <c r="F3859" s="23" t="str">
        <f>HYPERLINK("https://www.spark-marketing.ru/Card/Lot/73272221", "Оказание услуг по организации питания для обучающихся в муниципальном общеобразовательном учреждении ""Средняя общеобразовательная школа №1""")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№1"</v>
      </c>
      <c r="G3859" s="22" t="s">
        <v>49</v>
      </c>
      <c r="H3859" s="22" t="s">
        <v>742</v>
      </c>
      <c r="I3859" s="26">
        <v>43714.391666666699</v>
      </c>
      <c r="J3859" s="23" t="str">
        <f>HYPERLINK("https://www.spark-marketing.ru/Card/Person/60153", "ООО МОЛОЧНЫЙ ЗАВОД ""НАРО-ФОМИНСКИЙ""")</f>
        <v>ООО МОЛОЧНЫЙ ЗАВОД "НАРО-ФОМИНСКИЙ"</v>
      </c>
      <c r="K3859" s="24" t="s">
        <v>5326</v>
      </c>
      <c r="L3859" s="28" t="s">
        <v>51</v>
      </c>
      <c r="M3859" s="25">
        <v>14225192</v>
      </c>
      <c r="N3859" s="27">
        <v>7.4411978125055303E-2</v>
      </c>
    </row>
    <row r="3860" spans="1:14" ht="12.75" hidden="1" outlineLevel="1" x14ac:dyDescent="0.2">
      <c r="A3860" s="23" t="str">
        <f>HYPERLINK("https://www.spark-marketing.ru/Card/Person/101996", "МОУ ""СОШ № 1""")</f>
        <v>МОУ "СОШ № 1"</v>
      </c>
      <c r="B3860" s="24" t="s">
        <v>6407</v>
      </c>
      <c r="C3860" s="25">
        <v>15368816</v>
      </c>
      <c r="D3860" s="22" t="s">
        <v>6408</v>
      </c>
      <c r="E3860" s="22" t="s">
        <v>48</v>
      </c>
      <c r="F3860" s="23" t="str">
        <f>HYPERLINK("https://www.spark-marketing.ru/Card/Lot/73272221", "Оказание услуг по организации питания для обучающихся в муниципальном общеобразовательном учреждении ""Средняя общеобразовательная школа №1""")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№1"</v>
      </c>
      <c r="G3860" s="22" t="s">
        <v>49</v>
      </c>
      <c r="H3860" s="22" t="s">
        <v>742</v>
      </c>
      <c r="I3860" s="26">
        <v>43714.391666666699</v>
      </c>
      <c r="J3860" s="23" t="str">
        <f>HYPERLINK("https://www.spark-marketing.ru/Card/Person/57370", "ООО ""КП ""ЭКОПРОДУКТ""")</f>
        <v>ООО "КП "ЭКОПРОДУКТ"</v>
      </c>
      <c r="K3860" s="24" t="s">
        <v>6251</v>
      </c>
      <c r="L3860" s="22" t="s">
        <v>10</v>
      </c>
      <c r="M3860" s="25">
        <v>15368816</v>
      </c>
      <c r="N3860" s="27">
        <v>0</v>
      </c>
    </row>
    <row r="3861" spans="1:14" x14ac:dyDescent="0.15">
      <c r="A3861" s="23" t="str">
        <f>HYPERLINK("https://www.spark-marketing.ru/Card/Person/102226", "МОУ ""СОШ № 5""")</f>
        <v>МОУ "СОШ № 5"</v>
      </c>
      <c r="B3861" s="24" t="s">
        <v>6409</v>
      </c>
      <c r="C3861" s="25">
        <v>17045084</v>
      </c>
      <c r="D3861" s="22" t="s">
        <v>6410</v>
      </c>
      <c r="E3861" s="22" t="s">
        <v>48</v>
      </c>
      <c r="F3861" s="23" t="str">
        <f>HYPERLINK("https://www.spark-marketing.ru/Card/Lot/73272253", "Оказание услуг по организации питания для обучающихся в муниципальном общеобразовательном учреждении ""Средняя общеобразовательная школа № 5""")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 5"</v>
      </c>
      <c r="G3861" s="22" t="s">
        <v>49</v>
      </c>
      <c r="H3861" s="22" t="s">
        <v>742</v>
      </c>
      <c r="I3861" s="26">
        <v>43714.3881944444</v>
      </c>
      <c r="J3861" s="28" t="s">
        <v>51</v>
      </c>
      <c r="K3861" s="28" t="s">
        <v>51</v>
      </c>
      <c r="L3861" s="28" t="s">
        <v>51</v>
      </c>
      <c r="M3861" s="28" t="s">
        <v>51</v>
      </c>
      <c r="N3861" s="28" t="s">
        <v>51</v>
      </c>
    </row>
    <row r="3862" spans="1:14" hidden="1" outlineLevel="1" x14ac:dyDescent="0.2">
      <c r="A3862" s="23" t="str">
        <f>HYPERLINK("https://www.spark-marketing.ru/Card/Person/102226", "МОУ ""СОШ № 5""")</f>
        <v>МОУ "СОШ № 5"</v>
      </c>
      <c r="B3862" s="24" t="s">
        <v>6409</v>
      </c>
      <c r="C3862" s="25">
        <v>17045084</v>
      </c>
      <c r="D3862" s="22" t="s">
        <v>6410</v>
      </c>
      <c r="E3862" s="22" t="s">
        <v>48</v>
      </c>
      <c r="F3862" s="23" t="str">
        <f>HYPERLINK("https://www.spark-marketing.ru/Card/Lot/73272253", "Оказание услуг по организации питания для обучающихся в муниципальном общеобразовательном учреждении ""Средняя общеобразовательная школа № 5""")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 5"</v>
      </c>
      <c r="G3862" s="22" t="s">
        <v>49</v>
      </c>
      <c r="H3862" s="22" t="s">
        <v>742</v>
      </c>
      <c r="I3862" s="26">
        <v>43714.3881944444</v>
      </c>
      <c r="J3862" s="23" t="str">
        <f>HYPERLINK("https://www.spark-marketing.ru/Card/Person/60153", "ООО МОЛОЧНЫЙ ЗАВОД ""НАРО-ФОМИНСКИЙ""")</f>
        <v>ООО МОЛОЧНЫЙ ЗАВОД "НАРО-ФОМИНСКИЙ"</v>
      </c>
      <c r="K3862" s="24" t="s">
        <v>5326</v>
      </c>
      <c r="L3862" s="28" t="s">
        <v>51</v>
      </c>
      <c r="M3862" s="25">
        <v>16001148</v>
      </c>
      <c r="N3862" s="27">
        <v>6.1245576730510683E-2</v>
      </c>
    </row>
    <row r="3863" spans="1:14" ht="12.75" hidden="1" outlineLevel="1" x14ac:dyDescent="0.2">
      <c r="A3863" s="23" t="str">
        <f>HYPERLINK("https://www.spark-marketing.ru/Card/Person/102226", "МОУ ""СОШ № 5""")</f>
        <v>МОУ "СОШ № 5"</v>
      </c>
      <c r="B3863" s="24" t="s">
        <v>6409</v>
      </c>
      <c r="C3863" s="25">
        <v>17045084</v>
      </c>
      <c r="D3863" s="22" t="s">
        <v>6410</v>
      </c>
      <c r="E3863" s="22" t="s">
        <v>48</v>
      </c>
      <c r="F3863" s="23" t="str">
        <f>HYPERLINK("https://www.spark-marketing.ru/Card/Lot/73272253", "Оказание услуг по организации питания для обучающихся в муниципальном общеобразовательном учреждении ""Средняя общеобразовательная школа № 5""")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 5"</v>
      </c>
      <c r="G3863" s="22" t="s">
        <v>49</v>
      </c>
      <c r="H3863" s="22" t="s">
        <v>742</v>
      </c>
      <c r="I3863" s="26">
        <v>43714.3881944444</v>
      </c>
      <c r="J3863" s="23" t="str">
        <f>HYPERLINK("https://www.spark-marketing.ru/Card/Person/57370", "ООО ""КП ""ЭКОПРОДУКТ""")</f>
        <v>ООО "КП "ЭКОПРОДУКТ"</v>
      </c>
      <c r="K3863" s="24" t="s">
        <v>6251</v>
      </c>
      <c r="L3863" s="22" t="s">
        <v>10</v>
      </c>
      <c r="M3863" s="25">
        <v>17045084</v>
      </c>
      <c r="N3863" s="27">
        <v>0</v>
      </c>
    </row>
    <row r="3864" spans="1:14" x14ac:dyDescent="0.15">
      <c r="A3864" s="23" t="str">
        <f>HYPERLINK("https://www.spark-marketing.ru/Card/Person/101199", "МОУ ""СОШ №11""")</f>
        <v>МОУ "СОШ №11"</v>
      </c>
      <c r="B3864" s="24" t="s">
        <v>6411</v>
      </c>
      <c r="C3864" s="25">
        <v>15428656</v>
      </c>
      <c r="D3864" s="22" t="s">
        <v>6412</v>
      </c>
      <c r="E3864" s="22" t="s">
        <v>48</v>
      </c>
      <c r="F3864" s="23" t="str">
        <f>HYPERLINK("https://www.spark-marketing.ru/Card/Lot/73270060", "Оказание услуг по организации питания для обучающихся в муниципальном образовательном учреждение ""Средняя общеобразовательная школа №11""")</f>
        <v>Оказание услуг по организации питания для обучающихся в муниципальном образовательном учреждение "Средняя общеобразовательная школа №11"</v>
      </c>
      <c r="G3864" s="22" t="s">
        <v>49</v>
      </c>
      <c r="H3864" s="22" t="s">
        <v>742</v>
      </c>
      <c r="I3864" s="26">
        <v>43714.377777777801</v>
      </c>
      <c r="J3864" s="28" t="s">
        <v>51</v>
      </c>
      <c r="K3864" s="28" t="s">
        <v>51</v>
      </c>
      <c r="L3864" s="28" t="s">
        <v>51</v>
      </c>
      <c r="M3864" s="28" t="s">
        <v>51</v>
      </c>
      <c r="N3864" s="28" t="s">
        <v>51</v>
      </c>
    </row>
    <row r="3865" spans="1:14" hidden="1" outlineLevel="1" x14ac:dyDescent="0.2">
      <c r="A3865" s="23" t="str">
        <f>HYPERLINK("https://www.spark-marketing.ru/Card/Person/101199", "МОУ ""СОШ №11""")</f>
        <v>МОУ "СОШ №11"</v>
      </c>
      <c r="B3865" s="24" t="s">
        <v>6411</v>
      </c>
      <c r="C3865" s="25">
        <v>15428656</v>
      </c>
      <c r="D3865" s="22" t="s">
        <v>6412</v>
      </c>
      <c r="E3865" s="22" t="s">
        <v>48</v>
      </c>
      <c r="F3865" s="23" t="str">
        <f>HYPERLINK("https://www.spark-marketing.ru/Card/Lot/73270060", "Оказание услуг по организации питания для обучающихся в муниципальном образовательном учреждение ""Средняя общеобразовательная школа №11""")</f>
        <v>Оказание услуг по организации питания для обучающихся в муниципальном образовательном учреждение "Средняя общеобразовательная школа №11"</v>
      </c>
      <c r="G3865" s="22" t="s">
        <v>49</v>
      </c>
      <c r="H3865" s="22" t="s">
        <v>742</v>
      </c>
      <c r="I3865" s="26">
        <v>43714.377777777801</v>
      </c>
      <c r="J3865" s="23" t="str">
        <f>HYPERLINK("https://www.spark-marketing.ru/Card/Person/60153", "ООО МОЛОЧНЫЙ ЗАВОД ""НАРО-ФОМИНСКИЙ""")</f>
        <v>ООО МОЛОЧНЫЙ ЗАВОД "НАРО-ФОМИНСКИЙ"</v>
      </c>
      <c r="K3865" s="24" t="s">
        <v>5326</v>
      </c>
      <c r="L3865" s="28" t="s">
        <v>51</v>
      </c>
      <c r="M3865" s="25">
        <v>14685312</v>
      </c>
      <c r="N3865" s="27">
        <v>4.8179439608997697E-2</v>
      </c>
    </row>
    <row r="3866" spans="1:14" ht="12.75" hidden="1" outlineLevel="1" x14ac:dyDescent="0.2">
      <c r="A3866" s="23" t="str">
        <f>HYPERLINK("https://www.spark-marketing.ru/Card/Person/101199", "МОУ ""СОШ №11""")</f>
        <v>МОУ "СОШ №11"</v>
      </c>
      <c r="B3866" s="24" t="s">
        <v>6411</v>
      </c>
      <c r="C3866" s="25">
        <v>15428656</v>
      </c>
      <c r="D3866" s="22" t="s">
        <v>6412</v>
      </c>
      <c r="E3866" s="22" t="s">
        <v>48</v>
      </c>
      <c r="F3866" s="23" t="str">
        <f>HYPERLINK("https://www.spark-marketing.ru/Card/Lot/73270060", "Оказание услуг по организации питания для обучающихся в муниципальном образовательном учреждение ""Средняя общеобразовательная школа №11""")</f>
        <v>Оказание услуг по организации питания для обучающихся в муниципальном образовательном учреждение "Средняя общеобразовательная школа №11"</v>
      </c>
      <c r="G3866" s="22" t="s">
        <v>49</v>
      </c>
      <c r="H3866" s="22" t="s">
        <v>742</v>
      </c>
      <c r="I3866" s="26">
        <v>43714.377777777801</v>
      </c>
      <c r="J3866" s="23" t="str">
        <f>HYPERLINK("https://www.spark-marketing.ru/Card/Person/57370", "ООО ""КП ""ЭКОПРОДУКТ""")</f>
        <v>ООО "КП "ЭКОПРОДУКТ"</v>
      </c>
      <c r="K3866" s="24" t="s">
        <v>6251</v>
      </c>
      <c r="L3866" s="22" t="s">
        <v>10</v>
      </c>
      <c r="M3866" s="25">
        <v>15428656</v>
      </c>
      <c r="N3866" s="27">
        <v>0</v>
      </c>
    </row>
    <row r="3867" spans="1:14" x14ac:dyDescent="0.15">
      <c r="A3867" s="23" t="str">
        <f>HYPERLINK("https://www.spark-marketing.ru/Card/Person/1024201", "МОУ ""СОШ № 20""")</f>
        <v>МОУ "СОШ № 20"</v>
      </c>
      <c r="B3867" s="24" t="s">
        <v>6413</v>
      </c>
      <c r="C3867" s="25">
        <v>10730672</v>
      </c>
      <c r="D3867" s="22" t="s">
        <v>6414</v>
      </c>
      <c r="E3867" s="22" t="s">
        <v>48</v>
      </c>
      <c r="F3867" s="23" t="str">
        <f>HYPERLINK("https://www.spark-marketing.ru/Card/Lot/73272174", "Оказание услуг по организации питания для обучающихся в муниципальном образовательном учреждении ""Средняя общеобразовательная школа №20""")</f>
        <v>Оказание услуг по организации питания для обучающихся в муниципальном образовательном учреждении "Средняя общеобразовательная школа №20"</v>
      </c>
      <c r="G3867" s="22" t="s">
        <v>49</v>
      </c>
      <c r="H3867" s="22" t="s">
        <v>742</v>
      </c>
      <c r="I3867" s="26">
        <v>43714.395833333299</v>
      </c>
      <c r="J3867" s="28" t="s">
        <v>51</v>
      </c>
      <c r="K3867" s="28" t="s">
        <v>51</v>
      </c>
      <c r="L3867" s="28" t="s">
        <v>51</v>
      </c>
      <c r="M3867" s="28" t="s">
        <v>51</v>
      </c>
      <c r="N3867" s="28" t="s">
        <v>51</v>
      </c>
    </row>
    <row r="3868" spans="1:14" hidden="1" outlineLevel="1" x14ac:dyDescent="0.2">
      <c r="A3868" s="23" t="str">
        <f>HYPERLINK("https://www.spark-marketing.ru/Card/Person/1024201", "МОУ ""СОШ № 20""")</f>
        <v>МОУ "СОШ № 20"</v>
      </c>
      <c r="B3868" s="24" t="s">
        <v>6413</v>
      </c>
      <c r="C3868" s="25">
        <v>10730672</v>
      </c>
      <c r="D3868" s="22" t="s">
        <v>6414</v>
      </c>
      <c r="E3868" s="22" t="s">
        <v>48</v>
      </c>
      <c r="F3868" s="23" t="str">
        <f>HYPERLINK("https://www.spark-marketing.ru/Card/Lot/73272174", "Оказание услуг по организации питания для обучающихся в муниципальном образовательном учреждении ""Средняя общеобразовательная школа №20""")</f>
        <v>Оказание услуг по организации питания для обучающихся в муниципальном образовательном учреждении "Средняя общеобразовательная школа №20"</v>
      </c>
      <c r="G3868" s="22" t="s">
        <v>49</v>
      </c>
      <c r="H3868" s="22" t="s">
        <v>742</v>
      </c>
      <c r="I3868" s="26">
        <v>43714.395833333299</v>
      </c>
      <c r="J3868" s="23" t="str">
        <f>HYPERLINK("https://www.spark-marketing.ru/Card/Person/60153", "ООО МОЛОЧНЫЙ ЗАВОД ""НАРО-ФОМИНСКИЙ""")</f>
        <v>ООО МОЛОЧНЫЙ ЗАВОД "НАРО-ФОМИНСКИЙ"</v>
      </c>
      <c r="K3868" s="24" t="s">
        <v>5326</v>
      </c>
      <c r="L3868" s="28" t="s">
        <v>51</v>
      </c>
      <c r="M3868" s="25">
        <v>10120984</v>
      </c>
      <c r="N3868" s="27">
        <v>5.6817317685229782E-2</v>
      </c>
    </row>
    <row r="3869" spans="1:14" ht="12.75" hidden="1" outlineLevel="1" x14ac:dyDescent="0.2">
      <c r="A3869" s="23" t="str">
        <f>HYPERLINK("https://www.spark-marketing.ru/Card/Person/1024201", "МОУ ""СОШ № 20""")</f>
        <v>МОУ "СОШ № 20"</v>
      </c>
      <c r="B3869" s="24" t="s">
        <v>6413</v>
      </c>
      <c r="C3869" s="25">
        <v>10730672</v>
      </c>
      <c r="D3869" s="22" t="s">
        <v>6414</v>
      </c>
      <c r="E3869" s="22" t="s">
        <v>48</v>
      </c>
      <c r="F3869" s="23" t="str">
        <f>HYPERLINK("https://www.spark-marketing.ru/Card/Lot/73272174", "Оказание услуг по организации питания для обучающихся в муниципальном образовательном учреждении ""Средняя общеобразовательная школа №20""")</f>
        <v>Оказание услуг по организации питания для обучающихся в муниципальном образовательном учреждении "Средняя общеобразовательная школа №20"</v>
      </c>
      <c r="G3869" s="22" t="s">
        <v>49</v>
      </c>
      <c r="H3869" s="22" t="s">
        <v>742</v>
      </c>
      <c r="I3869" s="26">
        <v>43714.395833333299</v>
      </c>
      <c r="J3869" s="23" t="str">
        <f>HYPERLINK("https://www.spark-marketing.ru/Card/Person/57370", "ООО ""КП ""ЭКОПРОДУКТ""")</f>
        <v>ООО "КП "ЭКОПРОДУКТ"</v>
      </c>
      <c r="K3869" s="24" t="s">
        <v>6251</v>
      </c>
      <c r="L3869" s="22" t="s">
        <v>10</v>
      </c>
      <c r="M3869" s="25">
        <v>10730672</v>
      </c>
      <c r="N3869" s="27">
        <v>0</v>
      </c>
    </row>
    <row r="3870" spans="1:14" x14ac:dyDescent="0.15">
      <c r="A3870" s="23" t="str">
        <f>HYPERLINK("https://www.spark-marketing.ru/Card/Person/101230", "МОУ ""СОШ №15 С УИОП""")</f>
        <v>МОУ "СОШ №15 С УИОП"</v>
      </c>
      <c r="B3870" s="24" t="s">
        <v>6415</v>
      </c>
      <c r="C3870" s="25">
        <v>14399884</v>
      </c>
      <c r="D3870" s="22" t="s">
        <v>6416</v>
      </c>
      <c r="E3870" s="22" t="s">
        <v>48</v>
      </c>
      <c r="F3870" s="23" t="str">
        <f>HYPERLINK("https://www.spark-marketing.ru/Card/Lot/73272218", "Оказание услуг по организации питания для обучающихся в муниципальном общеобразовательном учреждении «Средняя общеобразовательная школа №15 с углубленным изучением отдельных предметов»")</f>
        <v>Оказание услуг по организации питания для обучающихся в муниципальном общеобразовательном учреждении «Средняя общеобразовательная школа №15 с углубленным изучением отдельных предметов»</v>
      </c>
      <c r="G3870" s="22" t="s">
        <v>49</v>
      </c>
      <c r="H3870" s="22" t="s">
        <v>742</v>
      </c>
      <c r="I3870" s="26">
        <v>43714.385416666701</v>
      </c>
      <c r="J3870" s="28" t="s">
        <v>51</v>
      </c>
      <c r="K3870" s="28" t="s">
        <v>51</v>
      </c>
      <c r="L3870" s="28" t="s">
        <v>51</v>
      </c>
      <c r="M3870" s="28" t="s">
        <v>51</v>
      </c>
      <c r="N3870" s="28" t="s">
        <v>51</v>
      </c>
    </row>
    <row r="3871" spans="1:14" hidden="1" outlineLevel="1" x14ac:dyDescent="0.2">
      <c r="A3871" s="23" t="str">
        <f>HYPERLINK("https://www.spark-marketing.ru/Card/Person/101230", "МОУ ""СОШ №15 С УИОП""")</f>
        <v>МОУ "СОШ №15 С УИОП"</v>
      </c>
      <c r="B3871" s="24" t="s">
        <v>6415</v>
      </c>
      <c r="C3871" s="25">
        <v>14399884</v>
      </c>
      <c r="D3871" s="22" t="s">
        <v>6416</v>
      </c>
      <c r="E3871" s="22" t="s">
        <v>48</v>
      </c>
      <c r="F3871" s="23" t="str">
        <f>HYPERLINK("https://www.spark-marketing.ru/Card/Lot/73272218", "Оказание услуг по организации питания для обучающихся в муниципальном общеобразовательном учреждении «Средняя общеобразовательная школа №15 с углубленным изучением отдельных предметов»")</f>
        <v>Оказание услуг по организации питания для обучающихся в муниципальном общеобразовательном учреждении «Средняя общеобразовательная школа №15 с углубленным изучением отдельных предметов»</v>
      </c>
      <c r="G3871" s="22" t="s">
        <v>49</v>
      </c>
      <c r="H3871" s="22" t="s">
        <v>742</v>
      </c>
      <c r="I3871" s="26">
        <v>43714.385416666701</v>
      </c>
      <c r="J3871" s="23" t="str">
        <f>HYPERLINK("https://www.spark-marketing.ru/Card/Person/60153", "ООО МОЛОЧНЫЙ ЗАВОД ""НАРО-ФОМИНСКИЙ""")</f>
        <v>ООО МОЛОЧНЫЙ ЗАВОД "НАРО-ФОМИНСКИЙ"</v>
      </c>
      <c r="K3871" s="24" t="s">
        <v>5326</v>
      </c>
      <c r="L3871" s="28" t="s">
        <v>51</v>
      </c>
      <c r="M3871" s="25">
        <v>13643588</v>
      </c>
      <c r="N3871" s="27">
        <v>5.2520978641216833E-2</v>
      </c>
    </row>
    <row r="3872" spans="1:14" ht="12.75" hidden="1" outlineLevel="1" x14ac:dyDescent="0.2">
      <c r="A3872" s="23" t="str">
        <f>HYPERLINK("https://www.spark-marketing.ru/Card/Person/101230", "МОУ ""СОШ №15 С УИОП""")</f>
        <v>МОУ "СОШ №15 С УИОП"</v>
      </c>
      <c r="B3872" s="24" t="s">
        <v>6415</v>
      </c>
      <c r="C3872" s="25">
        <v>14399884</v>
      </c>
      <c r="D3872" s="22" t="s">
        <v>6416</v>
      </c>
      <c r="E3872" s="22" t="s">
        <v>48</v>
      </c>
      <c r="F3872" s="23" t="str">
        <f>HYPERLINK("https://www.spark-marketing.ru/Card/Lot/73272218", "Оказание услуг по организации питания для обучающихся в муниципальном общеобразовательном учреждении «Средняя общеобразовательная школа №15 с углубленным изучением отдельных предметов»")</f>
        <v>Оказание услуг по организации питания для обучающихся в муниципальном общеобразовательном учреждении «Средняя общеобразовательная школа №15 с углубленным изучением отдельных предметов»</v>
      </c>
      <c r="G3872" s="22" t="s">
        <v>49</v>
      </c>
      <c r="H3872" s="22" t="s">
        <v>742</v>
      </c>
      <c r="I3872" s="26">
        <v>43714.385416666701</v>
      </c>
      <c r="J3872" s="23" t="str">
        <f>HYPERLINK("https://www.spark-marketing.ru/Card/Person/57370", "ООО ""КП ""ЭКОПРОДУКТ""")</f>
        <v>ООО "КП "ЭКОПРОДУКТ"</v>
      </c>
      <c r="K3872" s="24" t="s">
        <v>6251</v>
      </c>
      <c r="L3872" s="22" t="s">
        <v>10</v>
      </c>
      <c r="M3872" s="25">
        <v>14399884</v>
      </c>
      <c r="N3872" s="27">
        <v>0</v>
      </c>
    </row>
    <row r="3873" spans="1:14" x14ac:dyDescent="0.15">
      <c r="A3873" s="23" t="str">
        <f>HYPERLINK("https://www.spark-marketing.ru/Card/Person/92853", "МБОУ ""ФРЯЗЕВСКАЯ СОШ №41 ИМ. Б.А.ВОРОБЬЕВА""")</f>
        <v>МБОУ "ФРЯЗЕВСКАЯ СОШ №41 ИМ. Б.А.ВОРОБЬЕВА"</v>
      </c>
      <c r="B3873" s="24" t="s">
        <v>6417</v>
      </c>
      <c r="C3873" s="25">
        <v>5108908</v>
      </c>
      <c r="D3873" s="22" t="s">
        <v>6418</v>
      </c>
      <c r="E3873" s="22" t="s">
        <v>48</v>
      </c>
      <c r="F3873" s="23" t="str">
        <f>HYPERLINK("https://www.spark-marketing.ru/Card/Lot/73270022", "Оказание услуг по организации питания для обучающихся в Муниципальном бюджетном общеобразовательном учреждении ""Фрязевская средняя общеобразовательная школа №41 им. Б.А. Воробьева""")</f>
        <v>Оказание услуг по организации питания для обучающихся в Муниципальном бюджетном общеобразовательном учреждении "Фрязевская средняя общеобразовательная школа №41 им. Б.А. Воробьева"</v>
      </c>
      <c r="G3873" s="22" t="s">
        <v>49</v>
      </c>
      <c r="H3873" s="22" t="s">
        <v>742</v>
      </c>
      <c r="I3873" s="26">
        <v>43714.382638888899</v>
      </c>
      <c r="J3873" s="28" t="s">
        <v>51</v>
      </c>
      <c r="K3873" s="28" t="s">
        <v>51</v>
      </c>
      <c r="L3873" s="28" t="s">
        <v>51</v>
      </c>
      <c r="M3873" s="28" t="s">
        <v>51</v>
      </c>
      <c r="N3873" s="28" t="s">
        <v>51</v>
      </c>
    </row>
    <row r="3874" spans="1:14" hidden="1" outlineLevel="1" x14ac:dyDescent="0.2">
      <c r="A3874" s="23" t="str">
        <f>HYPERLINK("https://www.spark-marketing.ru/Card/Person/92853", "МБОУ ""ФРЯЗЕВСКАЯ СОШ №41 ИМ. Б.А.ВОРОБЬЕВА""")</f>
        <v>МБОУ "ФРЯЗЕВСКАЯ СОШ №41 ИМ. Б.А.ВОРОБЬЕВА"</v>
      </c>
      <c r="B3874" s="24" t="s">
        <v>6417</v>
      </c>
      <c r="C3874" s="25">
        <v>5108908</v>
      </c>
      <c r="D3874" s="22" t="s">
        <v>6418</v>
      </c>
      <c r="E3874" s="22" t="s">
        <v>48</v>
      </c>
      <c r="F3874" s="23" t="str">
        <f>HYPERLINK("https://www.spark-marketing.ru/Card/Lot/73270022", "Оказание услуг по организации питания для обучающихся в Муниципальном бюджетном общеобразовательном учреждении ""Фрязевская средняя общеобразовательная школа №41 им. Б.А. Воробьева""")</f>
        <v>Оказание услуг по организации питания для обучающихся в Муниципальном бюджетном общеобразовательном учреждении "Фрязевская средняя общеобразовательная школа №41 им. Б.А. Воробьева"</v>
      </c>
      <c r="G3874" s="22" t="s">
        <v>49</v>
      </c>
      <c r="H3874" s="22" t="s">
        <v>742</v>
      </c>
      <c r="I3874" s="26">
        <v>43714.382638888899</v>
      </c>
      <c r="J3874" s="23" t="str">
        <f>HYPERLINK("https://www.spark-marketing.ru/Card/Person/60153", "ООО МОЛОЧНЫЙ ЗАВОД ""НАРО-ФОМИНСКИЙ""")</f>
        <v>ООО МОЛОЧНЫЙ ЗАВОД "НАРО-ФОМИНСКИЙ"</v>
      </c>
      <c r="K3874" s="24" t="s">
        <v>5326</v>
      </c>
      <c r="L3874" s="28" t="s">
        <v>51</v>
      </c>
      <c r="M3874" s="25">
        <v>4775436</v>
      </c>
      <c r="N3874" s="27">
        <v>6.5272657092278821E-2</v>
      </c>
    </row>
    <row r="3875" spans="1:14" ht="12.75" hidden="1" outlineLevel="1" x14ac:dyDescent="0.2">
      <c r="A3875" s="23" t="str">
        <f>HYPERLINK("https://www.spark-marketing.ru/Card/Person/92853", "МБОУ ""ФРЯЗЕВСКАЯ СОШ №41 ИМ. Б.А.ВОРОБЬЕВА""")</f>
        <v>МБОУ "ФРЯЗЕВСКАЯ СОШ №41 ИМ. Б.А.ВОРОБЬЕВА"</v>
      </c>
      <c r="B3875" s="24" t="s">
        <v>6417</v>
      </c>
      <c r="C3875" s="25">
        <v>5108908</v>
      </c>
      <c r="D3875" s="22" t="s">
        <v>6418</v>
      </c>
      <c r="E3875" s="22" t="s">
        <v>48</v>
      </c>
      <c r="F3875" s="23" t="str">
        <f>HYPERLINK("https://www.spark-marketing.ru/Card/Lot/73270022", "Оказание услуг по организации питания для обучающихся в Муниципальном бюджетном общеобразовательном учреждении ""Фрязевская средняя общеобразовательная школа №41 им. Б.А. Воробьева""")</f>
        <v>Оказание услуг по организации питания для обучающихся в Муниципальном бюджетном общеобразовательном учреждении "Фрязевская средняя общеобразовательная школа №41 им. Б.А. Воробьева"</v>
      </c>
      <c r="G3875" s="22" t="s">
        <v>49</v>
      </c>
      <c r="H3875" s="22" t="s">
        <v>742</v>
      </c>
      <c r="I3875" s="26">
        <v>43714.382638888899</v>
      </c>
      <c r="J3875" s="23" t="str">
        <f>HYPERLINK("https://www.spark-marketing.ru/Card/Person/57370", "ООО ""КП ""ЭКОПРОДУКТ""")</f>
        <v>ООО "КП "ЭКОПРОДУКТ"</v>
      </c>
      <c r="K3875" s="24" t="s">
        <v>6251</v>
      </c>
      <c r="L3875" s="22" t="s">
        <v>10</v>
      </c>
      <c r="M3875" s="25">
        <v>5108908</v>
      </c>
      <c r="N3875" s="27">
        <v>0</v>
      </c>
    </row>
    <row r="3876" spans="1:14" x14ac:dyDescent="0.15">
      <c r="A3876" s="23" t="str">
        <f>HYPERLINK("https://www.spark-marketing.ru/Card/Person/100976", "МОУ ""СОШ № 16 УИОП""")</f>
        <v>МОУ "СОШ № 16 УИОП"</v>
      </c>
      <c r="B3876" s="24" t="s">
        <v>6419</v>
      </c>
      <c r="C3876" s="25">
        <v>14217100</v>
      </c>
      <c r="D3876" s="22" t="s">
        <v>6420</v>
      </c>
      <c r="E3876" s="22" t="s">
        <v>48</v>
      </c>
      <c r="F3876" s="23" t="str">
        <f>HYPERLINK("https://www.spark-marketing.ru/Card/Lot/73272217", "Оказание услуг по организации питания для обучающихся в муниципальном общеобразовательном учреждении ""Средняя общеобразовательная школа № 16 с углубленным изучением отдельных предметов""")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 16 с углубленным изучением отдельных предметов"</v>
      </c>
      <c r="G3876" s="22" t="s">
        <v>49</v>
      </c>
      <c r="H3876" s="22" t="s">
        <v>742</v>
      </c>
      <c r="I3876" s="26">
        <v>43714.386805555601</v>
      </c>
      <c r="J3876" s="28" t="s">
        <v>51</v>
      </c>
      <c r="K3876" s="28" t="s">
        <v>51</v>
      </c>
      <c r="L3876" s="28" t="s">
        <v>51</v>
      </c>
      <c r="M3876" s="28" t="s">
        <v>51</v>
      </c>
      <c r="N3876" s="28" t="s">
        <v>51</v>
      </c>
    </row>
    <row r="3877" spans="1:14" hidden="1" outlineLevel="1" x14ac:dyDescent="0.2">
      <c r="A3877" s="23" t="str">
        <f>HYPERLINK("https://www.spark-marketing.ru/Card/Person/100976", "МОУ ""СОШ № 16 УИОП""")</f>
        <v>МОУ "СОШ № 16 УИОП"</v>
      </c>
      <c r="B3877" s="24" t="s">
        <v>6419</v>
      </c>
      <c r="C3877" s="25">
        <v>14217100</v>
      </c>
      <c r="D3877" s="22" t="s">
        <v>6420</v>
      </c>
      <c r="E3877" s="22" t="s">
        <v>48</v>
      </c>
      <c r="F3877" s="23" t="str">
        <f>HYPERLINK("https://www.spark-marketing.ru/Card/Lot/73272217", "Оказание услуг по организации питания для обучающихся в муниципальном общеобразовательном учреждении ""Средняя общеобразовательная школа № 16 с углубленным изучением отдельных предметов""")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 16 с углубленным изучением отдельных предметов"</v>
      </c>
      <c r="G3877" s="22" t="s">
        <v>49</v>
      </c>
      <c r="H3877" s="22" t="s">
        <v>742</v>
      </c>
      <c r="I3877" s="26">
        <v>43714.386805555601</v>
      </c>
      <c r="J3877" s="23" t="str">
        <f>HYPERLINK("https://www.spark-marketing.ru/Card/Person/60153", "ООО МОЛОЧНЫЙ ЗАВОД ""НАРО-ФОМИНСКИЙ""")</f>
        <v>ООО МОЛОЧНЫЙ ЗАВОД "НАРО-ФОМИНСКИЙ"</v>
      </c>
      <c r="K3877" s="24" t="s">
        <v>5326</v>
      </c>
      <c r="L3877" s="28" t="s">
        <v>51</v>
      </c>
      <c r="M3877" s="25">
        <v>13414700</v>
      </c>
      <c r="N3877" s="27">
        <v>5.6439076886284828E-2</v>
      </c>
    </row>
    <row r="3878" spans="1:14" ht="12.75" hidden="1" outlineLevel="1" x14ac:dyDescent="0.2">
      <c r="A3878" s="23" t="str">
        <f>HYPERLINK("https://www.spark-marketing.ru/Card/Person/100976", "МОУ ""СОШ № 16 УИОП""")</f>
        <v>МОУ "СОШ № 16 УИОП"</v>
      </c>
      <c r="B3878" s="24" t="s">
        <v>6419</v>
      </c>
      <c r="C3878" s="25">
        <v>14217100</v>
      </c>
      <c r="D3878" s="22" t="s">
        <v>6420</v>
      </c>
      <c r="E3878" s="22" t="s">
        <v>48</v>
      </c>
      <c r="F3878" s="23" t="str">
        <f>HYPERLINK("https://www.spark-marketing.ru/Card/Lot/73272217", "Оказание услуг по организации питания для обучающихся в муниципальном общеобразовательном учреждении ""Средняя общеобразовательная школа № 16 с углубленным изучением отдельных предметов""")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 16 с углубленным изучением отдельных предметов"</v>
      </c>
      <c r="G3878" s="22" t="s">
        <v>49</v>
      </c>
      <c r="H3878" s="22" t="s">
        <v>742</v>
      </c>
      <c r="I3878" s="26">
        <v>43714.386805555601</v>
      </c>
      <c r="J3878" s="23" t="str">
        <f>HYPERLINK("https://www.spark-marketing.ru/Card/Person/57370", "ООО ""КП ""ЭКОПРОДУКТ""")</f>
        <v>ООО "КП "ЭКОПРОДУКТ"</v>
      </c>
      <c r="K3878" s="24" t="s">
        <v>6251</v>
      </c>
      <c r="L3878" s="22" t="s">
        <v>10</v>
      </c>
      <c r="M3878" s="25">
        <v>14217100</v>
      </c>
      <c r="N3878" s="27">
        <v>0</v>
      </c>
    </row>
    <row r="3879" spans="1:14" x14ac:dyDescent="0.15">
      <c r="A3879" s="23" t="str">
        <f>HYPERLINK("https://www.spark-marketing.ru/Card/Person/571422", "ООО ""СМОЛЕНСКАЯ АЭС-СЕРВИС""")</f>
        <v>ООО "СМОЛЕНСКАЯ АЭС-СЕРВИС"</v>
      </c>
      <c r="B3879" s="24" t="s">
        <v>1747</v>
      </c>
      <c r="C3879" s="28" t="s">
        <v>51</v>
      </c>
      <c r="D3879" s="22" t="s">
        <v>6421</v>
      </c>
      <c r="E3879" s="22" t="s">
        <v>6422</v>
      </c>
      <c r="F3879" s="23" t="str">
        <f>HYPERLINK("https://www.spark-marketing.ru/Card/Lot/73272729", "Аренда нежилых помещений для оказания услуг по организации лечебно-профилактического и общественного питания работников Смоленской АЭС")</f>
        <v>Аренда нежилых помещений для оказания услуг по организации лечебно-профилактического и общественного питания работников Смоленской АЭС</v>
      </c>
      <c r="G3879" s="22" t="s">
        <v>460</v>
      </c>
      <c r="H3879" s="22" t="s">
        <v>1749</v>
      </c>
      <c r="I3879" s="26">
        <v>43714.410775463002</v>
      </c>
      <c r="J3879" s="28" t="s">
        <v>51</v>
      </c>
      <c r="K3879" s="28" t="s">
        <v>51</v>
      </c>
      <c r="L3879" s="28" t="s">
        <v>51</v>
      </c>
      <c r="M3879" s="28" t="s">
        <v>51</v>
      </c>
      <c r="N3879" s="28" t="s">
        <v>51</v>
      </c>
    </row>
    <row r="3880" spans="1:14" x14ac:dyDescent="0.15">
      <c r="A3880" s="23" t="str">
        <f>HYPERLINK("https://www.spark-marketing.ru/Card/Person/90723", "МУ МВД РОССИИ ""ЩЕЛКОВСКОЕ""")</f>
        <v>МУ МВД РОССИИ "ЩЕЛКОВСКОЕ"</v>
      </c>
      <c r="B3880" s="24" t="s">
        <v>6423</v>
      </c>
      <c r="C3880" s="25">
        <v>2508000</v>
      </c>
      <c r="D3880" s="22" t="s">
        <v>6424</v>
      </c>
      <c r="E3880" s="22" t="s">
        <v>48</v>
      </c>
      <c r="F3880" s="23" t="str">
        <f>HYPERLINK("https://www.spark-marketing.ru/Card/Lot/73272342", "Оказание услуг по обеспечению трёх разовым питанием лиц подозреваемых и обвиняемых в совершении преступлений содержащихся в изоляторе временного содержания на 2021 год")</f>
        <v>Оказание услуг по обеспечению трёх разовым питанием лиц подозреваемых и обвиняемых в совершении преступлений содержащихся в изоляторе временного содержания на 2021 год</v>
      </c>
      <c r="G3880" s="22" t="s">
        <v>49</v>
      </c>
      <c r="H3880" s="22" t="s">
        <v>4644</v>
      </c>
      <c r="I3880" s="26">
        <v>43714.389583333301</v>
      </c>
      <c r="J3880" s="28" t="s">
        <v>51</v>
      </c>
      <c r="K3880" s="28" t="s">
        <v>51</v>
      </c>
      <c r="L3880" s="28" t="s">
        <v>51</v>
      </c>
      <c r="M3880" s="28" t="s">
        <v>51</v>
      </c>
      <c r="N3880" s="28" t="s">
        <v>51</v>
      </c>
    </row>
    <row r="3881" spans="1:14" ht="12.75" hidden="1" outlineLevel="1" x14ac:dyDescent="0.2">
      <c r="A3881" s="23" t="str">
        <f>HYPERLINK("https://www.spark-marketing.ru/Card/Person/90723", "МУ МВД РОССИИ ""ЩЕЛКОВСКОЕ""")</f>
        <v>МУ МВД РОССИИ "ЩЕЛКОВСКОЕ"</v>
      </c>
      <c r="B3881" s="24" t="s">
        <v>6423</v>
      </c>
      <c r="C3881" s="25">
        <v>2508000</v>
      </c>
      <c r="D3881" s="22" t="s">
        <v>6424</v>
      </c>
      <c r="E3881" s="22" t="s">
        <v>48</v>
      </c>
      <c r="F3881" s="23" t="str">
        <f>HYPERLINK("https://www.spark-marketing.ru/Card/Lot/73272342", "Оказание услуг по обеспечению трёх разовым питанием лиц подозреваемых и обвиняемых в совершении преступлений содержащихся в изоляторе временного содержания на 2021 год")</f>
        <v>Оказание услуг по обеспечению трёх разовым питанием лиц подозреваемых и обвиняемых в совершении преступлений содержащихся в изоляторе временного содержания на 2021 год</v>
      </c>
      <c r="G3881" s="22" t="s">
        <v>49</v>
      </c>
      <c r="H3881" s="22" t="s">
        <v>4644</v>
      </c>
      <c r="I3881" s="26">
        <v>43714.389583333301</v>
      </c>
      <c r="J3881" s="23" t="str">
        <f>HYPERLINK("https://www.spark-marketing.ru/Card/Person/131113", "ООО ""НИКА""")</f>
        <v>ООО "НИКА"</v>
      </c>
      <c r="K3881" s="24" t="s">
        <v>6425</v>
      </c>
      <c r="L3881" s="22" t="s">
        <v>10</v>
      </c>
      <c r="M3881" s="25">
        <v>326.08</v>
      </c>
      <c r="N3881" s="27">
        <v>0.99986998405103666</v>
      </c>
    </row>
    <row r="3882" spans="1:14" hidden="1" outlineLevel="1" x14ac:dyDescent="0.2">
      <c r="A3882" s="23" t="str">
        <f>HYPERLINK("https://www.spark-marketing.ru/Card/Person/90723", "МУ МВД РОССИИ ""ЩЕЛКОВСКОЕ""")</f>
        <v>МУ МВД РОССИИ "ЩЕЛКОВСКОЕ"</v>
      </c>
      <c r="B3882" s="24" t="s">
        <v>6423</v>
      </c>
      <c r="C3882" s="25">
        <v>2508000</v>
      </c>
      <c r="D3882" s="22" t="s">
        <v>6424</v>
      </c>
      <c r="E3882" s="22" t="s">
        <v>48</v>
      </c>
      <c r="F3882" s="23" t="str">
        <f>HYPERLINK("https://www.spark-marketing.ru/Card/Lot/73272342", "Оказание услуг по обеспечению трёх разовым питанием лиц подозреваемых и обвиняемых в совершении преступлений содержащихся в изоляторе временного содержания на 2021 год")</f>
        <v>Оказание услуг по обеспечению трёх разовым питанием лиц подозреваемых и обвиняемых в совершении преступлений содержащихся в изоляторе временного содержания на 2021 год</v>
      </c>
      <c r="G3882" s="22" t="s">
        <v>49</v>
      </c>
      <c r="H3882" s="22" t="s">
        <v>4644</v>
      </c>
      <c r="I3882" s="26">
        <v>43714.389583333301</v>
      </c>
      <c r="J3882" s="23" t="str">
        <f>HYPERLINK("https://www.spark-marketing.ru/Card/Person/6310318", "ООО ""ОТДЕЛ МАРКЕТИНГА""")</f>
        <v>ООО "ОТДЕЛ МАРКЕТИНГА"</v>
      </c>
      <c r="K3882" s="24" t="s">
        <v>6426</v>
      </c>
      <c r="L3882" s="28" t="s">
        <v>51</v>
      </c>
      <c r="M3882" s="25">
        <v>328.35</v>
      </c>
      <c r="N3882" s="27">
        <v>0.99986907894736843</v>
      </c>
    </row>
    <row r="3883" spans="1:14" x14ac:dyDescent="0.15">
      <c r="A3883" s="23" t="str">
        <f>HYPERLINK("https://www.spark-marketing.ru/Card/Person/101437", "МОУ ""СОШ № 18""")</f>
        <v>МОУ "СОШ № 18"</v>
      </c>
      <c r="B3883" s="24" t="s">
        <v>6427</v>
      </c>
      <c r="C3883" s="25">
        <v>14688272</v>
      </c>
      <c r="D3883" s="22" t="s">
        <v>6428</v>
      </c>
      <c r="E3883" s="22" t="s">
        <v>48</v>
      </c>
      <c r="F3883" s="23" t="str">
        <f>HYPERLINK("https://www.spark-marketing.ru/Card/Lot/73272220", "Оказание услуг по организации питания для обучающихся в муниципальном общеобразовательном учреждении ""Средняя общеобразовательная школа №18""")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№18"</v>
      </c>
      <c r="G3883" s="22" t="s">
        <v>49</v>
      </c>
      <c r="H3883" s="22" t="s">
        <v>742</v>
      </c>
      <c r="I3883" s="26">
        <v>43714.396527777797</v>
      </c>
      <c r="J3883" s="28" t="s">
        <v>51</v>
      </c>
      <c r="K3883" s="28" t="s">
        <v>51</v>
      </c>
      <c r="L3883" s="28" t="s">
        <v>51</v>
      </c>
      <c r="M3883" s="28" t="s">
        <v>51</v>
      </c>
      <c r="N3883" s="28" t="s">
        <v>51</v>
      </c>
    </row>
    <row r="3884" spans="1:14" hidden="1" outlineLevel="1" x14ac:dyDescent="0.2">
      <c r="A3884" s="23" t="str">
        <f>HYPERLINK("https://www.spark-marketing.ru/Card/Person/101437", "МОУ ""СОШ № 18""")</f>
        <v>МОУ "СОШ № 18"</v>
      </c>
      <c r="B3884" s="24" t="s">
        <v>6427</v>
      </c>
      <c r="C3884" s="25">
        <v>14688272</v>
      </c>
      <c r="D3884" s="22" t="s">
        <v>6428</v>
      </c>
      <c r="E3884" s="22" t="s">
        <v>48</v>
      </c>
      <c r="F3884" s="23" t="str">
        <f>HYPERLINK("https://www.spark-marketing.ru/Card/Lot/73272220", "Оказание услуг по организации питания для обучающихся в муниципальном общеобразовательном учреждении ""Средняя общеобразовательная школа №18""")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№18"</v>
      </c>
      <c r="G3884" s="22" t="s">
        <v>49</v>
      </c>
      <c r="H3884" s="22" t="s">
        <v>742</v>
      </c>
      <c r="I3884" s="26">
        <v>43714.396527777797</v>
      </c>
      <c r="J3884" s="23" t="str">
        <f>HYPERLINK("https://www.spark-marketing.ru/Card/Person/60153", "ООО МОЛОЧНЫЙ ЗАВОД ""НАРО-ФОМИНСКИЙ""")</f>
        <v>ООО МОЛОЧНЫЙ ЗАВОД "НАРО-ФОМИНСКИЙ"</v>
      </c>
      <c r="K3884" s="24" t="s">
        <v>5326</v>
      </c>
      <c r="L3884" s="28" t="s">
        <v>51</v>
      </c>
      <c r="M3884" s="25">
        <v>13688264</v>
      </c>
      <c r="N3884" s="27">
        <v>6.8082072554211961E-2</v>
      </c>
    </row>
    <row r="3885" spans="1:14" ht="12.75" hidden="1" outlineLevel="1" x14ac:dyDescent="0.2">
      <c r="A3885" s="23" t="str">
        <f>HYPERLINK("https://www.spark-marketing.ru/Card/Person/101437", "МОУ ""СОШ № 18""")</f>
        <v>МОУ "СОШ № 18"</v>
      </c>
      <c r="B3885" s="24" t="s">
        <v>6427</v>
      </c>
      <c r="C3885" s="25">
        <v>14688272</v>
      </c>
      <c r="D3885" s="22" t="s">
        <v>6428</v>
      </c>
      <c r="E3885" s="22" t="s">
        <v>48</v>
      </c>
      <c r="F3885" s="23" t="str">
        <f>HYPERLINK("https://www.spark-marketing.ru/Card/Lot/73272220", "Оказание услуг по организации питания для обучающихся в муниципальном общеобразовательном учреждении ""Средняя общеобразовательная школа №18""")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№18"</v>
      </c>
      <c r="G3885" s="22" t="s">
        <v>49</v>
      </c>
      <c r="H3885" s="22" t="s">
        <v>742</v>
      </c>
      <c r="I3885" s="26">
        <v>43714.396527777797</v>
      </c>
      <c r="J3885" s="23" t="str">
        <f>HYPERLINK("https://www.spark-marketing.ru/Card/Person/57370", "ООО ""КП ""ЭКОПРОДУКТ""")</f>
        <v>ООО "КП "ЭКОПРОДУКТ"</v>
      </c>
      <c r="K3885" s="24" t="s">
        <v>6251</v>
      </c>
      <c r="L3885" s="22" t="s">
        <v>10</v>
      </c>
      <c r="M3885" s="25">
        <v>14688272</v>
      </c>
      <c r="N3885" s="27">
        <v>0</v>
      </c>
    </row>
    <row r="3886" spans="1:14" x14ac:dyDescent="0.15">
      <c r="A3886" s="23" t="str">
        <f>HYPERLINK("https://www.spark-marketing.ru/Card/Person/101097", "МОУ ""СОШ №12 С УИИЯ""")</f>
        <v>МОУ "СОШ №12 С УИИЯ"</v>
      </c>
      <c r="B3886" s="24" t="s">
        <v>6429</v>
      </c>
      <c r="C3886" s="25">
        <v>15531744</v>
      </c>
      <c r="D3886" s="22" t="s">
        <v>6430</v>
      </c>
      <c r="E3886" s="22" t="s">
        <v>48</v>
      </c>
      <c r="F3886" s="23" t="str">
        <f>HYPERLINK("https://www.spark-marketing.ru/Card/Lot/73270061", "Оказание услуг по организации питания для обучающихся в муниципальном образовательном учреждение ""Средняя общеобразовательная школа №12 с углубленным изучением иностранного языка""")</f>
        <v>Оказание услуг по организации питания для обучающихся в муниципальном образовательном учреждение "Средняя общеобразовательная школа №12 с углубленным изучением иностранного языка"</v>
      </c>
      <c r="G3886" s="22" t="s">
        <v>49</v>
      </c>
      <c r="H3886" s="22" t="s">
        <v>742</v>
      </c>
      <c r="I3886" s="26">
        <v>43714.379166666702</v>
      </c>
      <c r="J3886" s="28" t="s">
        <v>51</v>
      </c>
      <c r="K3886" s="28" t="s">
        <v>51</v>
      </c>
      <c r="L3886" s="28" t="s">
        <v>51</v>
      </c>
      <c r="M3886" s="28" t="s">
        <v>51</v>
      </c>
      <c r="N3886" s="28" t="s">
        <v>51</v>
      </c>
    </row>
    <row r="3887" spans="1:14" hidden="1" outlineLevel="1" x14ac:dyDescent="0.2">
      <c r="A3887" s="23" t="str">
        <f>HYPERLINK("https://www.spark-marketing.ru/Card/Person/101097", "МОУ ""СОШ №12 С УИИЯ""")</f>
        <v>МОУ "СОШ №12 С УИИЯ"</v>
      </c>
      <c r="B3887" s="24" t="s">
        <v>6429</v>
      </c>
      <c r="C3887" s="25">
        <v>15531744</v>
      </c>
      <c r="D3887" s="22" t="s">
        <v>6430</v>
      </c>
      <c r="E3887" s="22" t="s">
        <v>48</v>
      </c>
      <c r="F3887" s="23" t="str">
        <f>HYPERLINK("https://www.spark-marketing.ru/Card/Lot/73270061", "Оказание услуг по организации питания для обучающихся в муниципальном образовательном учреждение ""Средняя общеобразовательная школа №12 с углубленным изучением иностранного языка""")</f>
        <v>Оказание услуг по организации питания для обучающихся в муниципальном образовательном учреждение "Средняя общеобразовательная школа №12 с углубленным изучением иностранного языка"</v>
      </c>
      <c r="G3887" s="22" t="s">
        <v>49</v>
      </c>
      <c r="H3887" s="22" t="s">
        <v>742</v>
      </c>
      <c r="I3887" s="26">
        <v>43714.379166666702</v>
      </c>
      <c r="J3887" s="23" t="str">
        <f>HYPERLINK("https://www.spark-marketing.ru/Card/Person/60153", "ООО МОЛОЧНЫЙ ЗАВОД ""НАРО-ФОМИНСКИЙ""")</f>
        <v>ООО МОЛОЧНЫЙ ЗАВОД "НАРО-ФОМИНСКИЙ"</v>
      </c>
      <c r="K3887" s="24" t="s">
        <v>5326</v>
      </c>
      <c r="L3887" s="28" t="s">
        <v>51</v>
      </c>
      <c r="M3887" s="25">
        <v>14600008</v>
      </c>
      <c r="N3887" s="27">
        <v>5.9989142236699239E-2</v>
      </c>
    </row>
    <row r="3888" spans="1:14" ht="12.75" hidden="1" outlineLevel="1" x14ac:dyDescent="0.2">
      <c r="A3888" s="23" t="str">
        <f>HYPERLINK("https://www.spark-marketing.ru/Card/Person/101097", "МОУ ""СОШ №12 С УИИЯ""")</f>
        <v>МОУ "СОШ №12 С УИИЯ"</v>
      </c>
      <c r="B3888" s="24" t="s">
        <v>6429</v>
      </c>
      <c r="C3888" s="25">
        <v>15531744</v>
      </c>
      <c r="D3888" s="22" t="s">
        <v>6430</v>
      </c>
      <c r="E3888" s="22" t="s">
        <v>48</v>
      </c>
      <c r="F3888" s="23" t="str">
        <f>HYPERLINK("https://www.spark-marketing.ru/Card/Lot/73270061", "Оказание услуг по организации питания для обучающихся в муниципальном образовательном учреждение ""Средняя общеобразовательная школа №12 с углубленным изучением иностранного языка""")</f>
        <v>Оказание услуг по организации питания для обучающихся в муниципальном образовательном учреждение "Средняя общеобразовательная школа №12 с углубленным изучением иностранного языка"</v>
      </c>
      <c r="G3888" s="22" t="s">
        <v>49</v>
      </c>
      <c r="H3888" s="22" t="s">
        <v>742</v>
      </c>
      <c r="I3888" s="26">
        <v>43714.379166666702</v>
      </c>
      <c r="J3888" s="23" t="str">
        <f>HYPERLINK("https://www.spark-marketing.ru/Card/Person/57370", "ООО ""КП ""ЭКОПРОДУКТ""")</f>
        <v>ООО "КП "ЭКОПРОДУКТ"</v>
      </c>
      <c r="K3888" s="24" t="s">
        <v>6251</v>
      </c>
      <c r="L3888" s="22" t="s">
        <v>10</v>
      </c>
      <c r="M3888" s="25">
        <v>15531744</v>
      </c>
      <c r="N3888" s="27">
        <v>0</v>
      </c>
    </row>
    <row r="3889" spans="1:14" x14ac:dyDescent="0.15">
      <c r="A3889" s="23" t="str">
        <f>HYPERLINK("https://www.spark-marketing.ru/Card/Person/101071", "МОУ ""ЛИЦЕЙ №14""")</f>
        <v>МОУ "ЛИЦЕЙ №14"</v>
      </c>
      <c r="B3889" s="24" t="s">
        <v>6431</v>
      </c>
      <c r="C3889" s="25">
        <v>7053164</v>
      </c>
      <c r="D3889" s="22" t="s">
        <v>6432</v>
      </c>
      <c r="E3889" s="22" t="s">
        <v>48</v>
      </c>
      <c r="F3889" s="23" t="str">
        <f>HYPERLINK("https://www.spark-marketing.ru/Card/Lot/73270059", "Оказание услуг по организации питания для обучающихся в муниципальном общеобразовательном учреждение «Лицей №14»")</f>
        <v>Оказание услуг по организации питания для обучающихся в муниципальном общеобразовательном учреждение «Лицей №14»</v>
      </c>
      <c r="G3889" s="22" t="s">
        <v>49</v>
      </c>
      <c r="H3889" s="22" t="s">
        <v>742</v>
      </c>
      <c r="I3889" s="26">
        <v>43714.3840277778</v>
      </c>
      <c r="J3889" s="28" t="s">
        <v>51</v>
      </c>
      <c r="K3889" s="28" t="s">
        <v>51</v>
      </c>
      <c r="L3889" s="28" t="s">
        <v>51</v>
      </c>
      <c r="M3889" s="28" t="s">
        <v>51</v>
      </c>
      <c r="N3889" s="28" t="s">
        <v>51</v>
      </c>
    </row>
    <row r="3890" spans="1:14" hidden="1" outlineLevel="1" x14ac:dyDescent="0.2">
      <c r="A3890" s="23" t="str">
        <f>HYPERLINK("https://www.spark-marketing.ru/Card/Person/101071", "МОУ ""ЛИЦЕЙ №14""")</f>
        <v>МОУ "ЛИЦЕЙ №14"</v>
      </c>
      <c r="B3890" s="24" t="s">
        <v>6431</v>
      </c>
      <c r="C3890" s="25">
        <v>7053164</v>
      </c>
      <c r="D3890" s="22" t="s">
        <v>6432</v>
      </c>
      <c r="E3890" s="22" t="s">
        <v>48</v>
      </c>
      <c r="F3890" s="23" t="str">
        <f>HYPERLINK("https://www.spark-marketing.ru/Card/Lot/73270059", "Оказание услуг по организации питания для обучающихся в муниципальном общеобразовательном учреждение «Лицей №14»")</f>
        <v>Оказание услуг по организации питания для обучающихся в муниципальном общеобразовательном учреждение «Лицей №14»</v>
      </c>
      <c r="G3890" s="22" t="s">
        <v>49</v>
      </c>
      <c r="H3890" s="22" t="s">
        <v>742</v>
      </c>
      <c r="I3890" s="26">
        <v>43714.3840277778</v>
      </c>
      <c r="J3890" s="23" t="str">
        <f>HYPERLINK("https://www.spark-marketing.ru/Card/Person/60153", "ООО МОЛОЧНЫЙ ЗАВОД ""НАРО-ФОМИНСКИЙ""")</f>
        <v>ООО МОЛОЧНЫЙ ЗАВОД "НАРО-ФОМИНСКИЙ"</v>
      </c>
      <c r="K3890" s="24" t="s">
        <v>5326</v>
      </c>
      <c r="L3890" s="28" t="s">
        <v>51</v>
      </c>
      <c r="M3890" s="25">
        <v>6690588</v>
      </c>
      <c r="N3890" s="27">
        <v>5.140614907011945E-2</v>
      </c>
    </row>
    <row r="3891" spans="1:14" ht="12.75" hidden="1" outlineLevel="1" x14ac:dyDescent="0.2">
      <c r="A3891" s="23" t="str">
        <f>HYPERLINK("https://www.spark-marketing.ru/Card/Person/101071", "МОУ ""ЛИЦЕЙ №14""")</f>
        <v>МОУ "ЛИЦЕЙ №14"</v>
      </c>
      <c r="B3891" s="24" t="s">
        <v>6431</v>
      </c>
      <c r="C3891" s="25">
        <v>7053164</v>
      </c>
      <c r="D3891" s="22" t="s">
        <v>6432</v>
      </c>
      <c r="E3891" s="22" t="s">
        <v>48</v>
      </c>
      <c r="F3891" s="23" t="str">
        <f>HYPERLINK("https://www.spark-marketing.ru/Card/Lot/73270059", "Оказание услуг по организации питания для обучающихся в муниципальном общеобразовательном учреждение «Лицей №14»")</f>
        <v>Оказание услуг по организации питания для обучающихся в муниципальном общеобразовательном учреждение «Лицей №14»</v>
      </c>
      <c r="G3891" s="22" t="s">
        <v>49</v>
      </c>
      <c r="H3891" s="22" t="s">
        <v>742</v>
      </c>
      <c r="I3891" s="26">
        <v>43714.3840277778</v>
      </c>
      <c r="J3891" s="23" t="str">
        <f>HYPERLINK("https://www.spark-marketing.ru/Card/Person/57370", "ООО ""КП ""ЭКОПРОДУКТ""")</f>
        <v>ООО "КП "ЭКОПРОДУКТ"</v>
      </c>
      <c r="K3891" s="24" t="s">
        <v>6251</v>
      </c>
      <c r="L3891" s="22" t="s">
        <v>10</v>
      </c>
      <c r="M3891" s="25">
        <v>7053164</v>
      </c>
      <c r="N3891" s="27">
        <v>0</v>
      </c>
    </row>
    <row r="3892" spans="1:14" x14ac:dyDescent="0.15">
      <c r="A3892" s="23" t="str">
        <f>HYPERLINK("https://www.spark-marketing.ru/Card/Person/101201", "МОУ ""ГИМНАЗИЯ №17""")</f>
        <v>МОУ "ГИМНАЗИЯ №17"</v>
      </c>
      <c r="B3892" s="24" t="s">
        <v>6433</v>
      </c>
      <c r="C3892" s="25">
        <v>14505488</v>
      </c>
      <c r="D3892" s="22" t="s">
        <v>6434</v>
      </c>
      <c r="E3892" s="22" t="s">
        <v>48</v>
      </c>
      <c r="F3892" s="23" t="str">
        <f>HYPERLINK("https://www.spark-marketing.ru/Card/Lot/73272219", "Оказание услуг по организации питания для обучающихся в муниципальном общеобразовательном учреждении ""Гимназия №17""")</f>
        <v>Оказание услуг по организации питания для обучающихся в муниципальном общеобразовательном учреждении "Гимназия №17"</v>
      </c>
      <c r="G3892" s="22" t="s">
        <v>49</v>
      </c>
      <c r="H3892" s="22" t="s">
        <v>742</v>
      </c>
      <c r="I3892" s="26">
        <v>43714.387499999997</v>
      </c>
      <c r="J3892" s="28" t="s">
        <v>51</v>
      </c>
      <c r="K3892" s="28" t="s">
        <v>51</v>
      </c>
      <c r="L3892" s="28" t="s">
        <v>51</v>
      </c>
      <c r="M3892" s="28" t="s">
        <v>51</v>
      </c>
      <c r="N3892" s="28" t="s">
        <v>51</v>
      </c>
    </row>
    <row r="3893" spans="1:14" hidden="1" outlineLevel="1" x14ac:dyDescent="0.2">
      <c r="A3893" s="23" t="str">
        <f>HYPERLINK("https://www.spark-marketing.ru/Card/Person/101201", "МОУ ""ГИМНАЗИЯ №17""")</f>
        <v>МОУ "ГИМНАЗИЯ №17"</v>
      </c>
      <c r="B3893" s="24" t="s">
        <v>6433</v>
      </c>
      <c r="C3893" s="25">
        <v>14505488</v>
      </c>
      <c r="D3893" s="22" t="s">
        <v>6434</v>
      </c>
      <c r="E3893" s="22" t="s">
        <v>48</v>
      </c>
      <c r="F3893" s="23" t="str">
        <f>HYPERLINK("https://www.spark-marketing.ru/Card/Lot/73272219", "Оказание услуг по организации питания для обучающихся в муниципальном общеобразовательном учреждении ""Гимназия №17""")</f>
        <v>Оказание услуг по организации питания для обучающихся в муниципальном общеобразовательном учреждении "Гимназия №17"</v>
      </c>
      <c r="G3893" s="22" t="s">
        <v>49</v>
      </c>
      <c r="H3893" s="22" t="s">
        <v>742</v>
      </c>
      <c r="I3893" s="26">
        <v>43714.387499999997</v>
      </c>
      <c r="J3893" s="23" t="str">
        <f>HYPERLINK("https://www.spark-marketing.ru/Card/Person/60153", "ООО МОЛОЧНЫЙ ЗАВОД ""НАРО-ФОМИНСКИЙ""")</f>
        <v>ООО МОЛОЧНЫЙ ЗАВОД "НАРО-ФОМИНСКИЙ"</v>
      </c>
      <c r="K3893" s="24" t="s">
        <v>5326</v>
      </c>
      <c r="L3893" s="28" t="s">
        <v>51</v>
      </c>
      <c r="M3893" s="25">
        <v>13676976</v>
      </c>
      <c r="N3893" s="27">
        <v>5.7117140767687376E-2</v>
      </c>
    </row>
    <row r="3894" spans="1:14" ht="12.75" hidden="1" outlineLevel="1" x14ac:dyDescent="0.2">
      <c r="A3894" s="23" t="str">
        <f>HYPERLINK("https://www.spark-marketing.ru/Card/Person/101201", "МОУ ""ГИМНАЗИЯ №17""")</f>
        <v>МОУ "ГИМНАЗИЯ №17"</v>
      </c>
      <c r="B3894" s="24" t="s">
        <v>6433</v>
      </c>
      <c r="C3894" s="25">
        <v>14505488</v>
      </c>
      <c r="D3894" s="22" t="s">
        <v>6434</v>
      </c>
      <c r="E3894" s="22" t="s">
        <v>48</v>
      </c>
      <c r="F3894" s="23" t="str">
        <f>HYPERLINK("https://www.spark-marketing.ru/Card/Lot/73272219", "Оказание услуг по организации питания для обучающихся в муниципальном общеобразовательном учреждении ""Гимназия №17""")</f>
        <v>Оказание услуг по организации питания для обучающихся в муниципальном общеобразовательном учреждении "Гимназия №17"</v>
      </c>
      <c r="G3894" s="22" t="s">
        <v>49</v>
      </c>
      <c r="H3894" s="22" t="s">
        <v>742</v>
      </c>
      <c r="I3894" s="26">
        <v>43714.387499999997</v>
      </c>
      <c r="J3894" s="23" t="str">
        <f>HYPERLINK("https://www.spark-marketing.ru/Card/Person/57370", "ООО ""КП ""ЭКОПРОДУКТ""")</f>
        <v>ООО "КП "ЭКОПРОДУКТ"</v>
      </c>
      <c r="K3894" s="24" t="s">
        <v>6251</v>
      </c>
      <c r="L3894" s="22" t="s">
        <v>10</v>
      </c>
      <c r="M3894" s="25">
        <v>14505488</v>
      </c>
      <c r="N3894" s="27">
        <v>0</v>
      </c>
    </row>
    <row r="3895" spans="1:14" x14ac:dyDescent="0.15">
      <c r="A3895" s="23" t="str">
        <f>HYPERLINK("https://www.spark-marketing.ru/Card/Person/101090", "МОУ ""СОШ № 2""")</f>
        <v>МОУ "СОШ № 2"</v>
      </c>
      <c r="B3895" s="24" t="s">
        <v>6435</v>
      </c>
      <c r="C3895" s="25">
        <v>10501852</v>
      </c>
      <c r="D3895" s="22" t="s">
        <v>6436</v>
      </c>
      <c r="E3895" s="22" t="s">
        <v>48</v>
      </c>
      <c r="F3895" s="23" t="str">
        <f>HYPERLINK("https://www.spark-marketing.ru/Card/Lot/73272173", "Оказание услуг по организации питания для обучающихся в муниципальном общеобразовательном учреждении ""Средняя общеобразовательная школа №2""")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№2"</v>
      </c>
      <c r="G3895" s="22" t="s">
        <v>49</v>
      </c>
      <c r="H3895" s="22" t="s">
        <v>742</v>
      </c>
      <c r="I3895" s="26">
        <v>43714.390972222202</v>
      </c>
      <c r="J3895" s="28" t="s">
        <v>51</v>
      </c>
      <c r="K3895" s="28" t="s">
        <v>51</v>
      </c>
      <c r="L3895" s="28" t="s">
        <v>51</v>
      </c>
      <c r="M3895" s="28" t="s">
        <v>51</v>
      </c>
      <c r="N3895" s="28" t="s">
        <v>51</v>
      </c>
    </row>
    <row r="3896" spans="1:14" hidden="1" outlineLevel="1" x14ac:dyDescent="0.2">
      <c r="A3896" s="23" t="str">
        <f>HYPERLINK("https://www.spark-marketing.ru/Card/Person/101090", "МОУ ""СОШ № 2""")</f>
        <v>МОУ "СОШ № 2"</v>
      </c>
      <c r="B3896" s="24" t="s">
        <v>6435</v>
      </c>
      <c r="C3896" s="25">
        <v>10501852</v>
      </c>
      <c r="D3896" s="22" t="s">
        <v>6436</v>
      </c>
      <c r="E3896" s="22" t="s">
        <v>48</v>
      </c>
      <c r="F3896" s="23" t="str">
        <f>HYPERLINK("https://www.spark-marketing.ru/Card/Lot/73272173", "Оказание услуг по организации питания для обучающихся в муниципальном общеобразовательном учреждении ""Средняя общеобразовательная школа №2""")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№2"</v>
      </c>
      <c r="G3896" s="22" t="s">
        <v>49</v>
      </c>
      <c r="H3896" s="22" t="s">
        <v>742</v>
      </c>
      <c r="I3896" s="26">
        <v>43714.390972222202</v>
      </c>
      <c r="J3896" s="23" t="str">
        <f>HYPERLINK("https://www.spark-marketing.ru/Card/Person/60153", "ООО МОЛОЧНЫЙ ЗАВОД ""НАРО-ФОМИНСКИЙ""")</f>
        <v>ООО МОЛОЧНЫЙ ЗАВОД "НАРО-ФОМИНСКИЙ"</v>
      </c>
      <c r="K3896" s="24" t="s">
        <v>5326</v>
      </c>
      <c r="L3896" s="28" t="s">
        <v>51</v>
      </c>
      <c r="M3896" s="25">
        <v>9538564</v>
      </c>
      <c r="N3896" s="27">
        <v>9.1725535648378972E-2</v>
      </c>
    </row>
    <row r="3897" spans="1:14" ht="12.75" hidden="1" outlineLevel="1" x14ac:dyDescent="0.2">
      <c r="A3897" s="23" t="str">
        <f>HYPERLINK("https://www.spark-marketing.ru/Card/Person/101090", "МОУ ""СОШ № 2""")</f>
        <v>МОУ "СОШ № 2"</v>
      </c>
      <c r="B3897" s="24" t="s">
        <v>6435</v>
      </c>
      <c r="C3897" s="25">
        <v>10501852</v>
      </c>
      <c r="D3897" s="22" t="s">
        <v>6436</v>
      </c>
      <c r="E3897" s="22" t="s">
        <v>48</v>
      </c>
      <c r="F3897" s="23" t="str">
        <f>HYPERLINK("https://www.spark-marketing.ru/Card/Lot/73272173", "Оказание услуг по организации питания для обучающихся в муниципальном общеобразовательном учреждении ""Средняя общеобразовательная школа №2""")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№2"</v>
      </c>
      <c r="G3897" s="22" t="s">
        <v>49</v>
      </c>
      <c r="H3897" s="22" t="s">
        <v>742</v>
      </c>
      <c r="I3897" s="26">
        <v>43714.390972222202</v>
      </c>
      <c r="J3897" s="23" t="str">
        <f>HYPERLINK("https://www.spark-marketing.ru/Card/Person/57370", "ООО ""КП ""ЭКОПРОДУКТ""")</f>
        <v>ООО "КП "ЭКОПРОДУКТ"</v>
      </c>
      <c r="K3897" s="24" t="s">
        <v>6251</v>
      </c>
      <c r="L3897" s="22" t="s">
        <v>10</v>
      </c>
      <c r="M3897" s="25">
        <v>10501852</v>
      </c>
      <c r="N3897" s="27">
        <v>0</v>
      </c>
    </row>
    <row r="3898" spans="1:14" x14ac:dyDescent="0.15">
      <c r="A3898" s="23" t="str">
        <f>HYPERLINK("https://www.spark-marketing.ru/Card/Person/1034516", "МОУ ""ЛИЦЕЙ №8""")</f>
        <v>МОУ "ЛИЦЕЙ №8"</v>
      </c>
      <c r="B3898" s="24" t="s">
        <v>6437</v>
      </c>
      <c r="C3898" s="25">
        <v>4588572</v>
      </c>
      <c r="D3898" s="22" t="s">
        <v>6438</v>
      </c>
      <c r="E3898" s="22" t="s">
        <v>48</v>
      </c>
      <c r="F3898" s="23" t="str">
        <f>HYPERLINK("https://www.spark-marketing.ru/Card/Lot/73270023", "Оказание услуг по организации питания для обучающихся в муниципальном общеобразовательном учреждении ""Лицей №8""")</f>
        <v>Оказание услуг по организации питания для обучающихся в муниципальном общеобразовательном учреждении "Лицей №8"</v>
      </c>
      <c r="G3898" s="22" t="s">
        <v>49</v>
      </c>
      <c r="H3898" s="22" t="s">
        <v>742</v>
      </c>
      <c r="I3898" s="26">
        <v>43714.378472222197</v>
      </c>
      <c r="J3898" s="28" t="s">
        <v>51</v>
      </c>
      <c r="K3898" s="28" t="s">
        <v>51</v>
      </c>
      <c r="L3898" s="28" t="s">
        <v>51</v>
      </c>
      <c r="M3898" s="28" t="s">
        <v>51</v>
      </c>
      <c r="N3898" s="28" t="s">
        <v>51</v>
      </c>
    </row>
    <row r="3899" spans="1:14" hidden="1" outlineLevel="1" x14ac:dyDescent="0.2">
      <c r="A3899" s="23" t="str">
        <f>HYPERLINK("https://www.spark-marketing.ru/Card/Person/1034516", "МОУ ""ЛИЦЕЙ №8""")</f>
        <v>МОУ "ЛИЦЕЙ №8"</v>
      </c>
      <c r="B3899" s="24" t="s">
        <v>6437</v>
      </c>
      <c r="C3899" s="25">
        <v>4588572</v>
      </c>
      <c r="D3899" s="22" t="s">
        <v>6438</v>
      </c>
      <c r="E3899" s="22" t="s">
        <v>48</v>
      </c>
      <c r="F3899" s="23" t="str">
        <f>HYPERLINK("https://www.spark-marketing.ru/Card/Lot/73270023", "Оказание услуг по организации питания для обучающихся в муниципальном общеобразовательном учреждении ""Лицей №8""")</f>
        <v>Оказание услуг по организации питания для обучающихся в муниципальном общеобразовательном учреждении "Лицей №8"</v>
      </c>
      <c r="G3899" s="22" t="s">
        <v>49</v>
      </c>
      <c r="H3899" s="22" t="s">
        <v>742</v>
      </c>
      <c r="I3899" s="26">
        <v>43714.378472222197</v>
      </c>
      <c r="J3899" s="23" t="str">
        <f>HYPERLINK("https://www.spark-marketing.ru/Card/Person/60153", "ООО МОЛОЧНЫЙ ЗАВОД ""НАРО-ФОМИНСКИЙ""")</f>
        <v>ООО МОЛОЧНЫЙ ЗАВОД "НАРО-ФОМИНСКИЙ"</v>
      </c>
      <c r="K3899" s="24" t="s">
        <v>5326</v>
      </c>
      <c r="L3899" s="28" t="s">
        <v>51</v>
      </c>
      <c r="M3899" s="25">
        <v>4290324</v>
      </c>
      <c r="N3899" s="27">
        <v>6.4997999377584131E-2</v>
      </c>
    </row>
    <row r="3900" spans="1:14" ht="12.75" hidden="1" outlineLevel="1" x14ac:dyDescent="0.2">
      <c r="A3900" s="23" t="str">
        <f>HYPERLINK("https://www.spark-marketing.ru/Card/Person/1034516", "МОУ ""ЛИЦЕЙ №8""")</f>
        <v>МОУ "ЛИЦЕЙ №8"</v>
      </c>
      <c r="B3900" s="24" t="s">
        <v>6437</v>
      </c>
      <c r="C3900" s="25">
        <v>4588572</v>
      </c>
      <c r="D3900" s="22" t="s">
        <v>6438</v>
      </c>
      <c r="E3900" s="22" t="s">
        <v>48</v>
      </c>
      <c r="F3900" s="23" t="str">
        <f>HYPERLINK("https://www.spark-marketing.ru/Card/Lot/73270023", "Оказание услуг по организации питания для обучающихся в муниципальном общеобразовательном учреждении ""Лицей №8""")</f>
        <v>Оказание услуг по организации питания для обучающихся в муниципальном общеобразовательном учреждении "Лицей №8"</v>
      </c>
      <c r="G3900" s="22" t="s">
        <v>49</v>
      </c>
      <c r="H3900" s="22" t="s">
        <v>742</v>
      </c>
      <c r="I3900" s="26">
        <v>43714.378472222197</v>
      </c>
      <c r="J3900" s="23" t="str">
        <f>HYPERLINK("https://www.spark-marketing.ru/Card/Person/57370", "ООО ""КП ""ЭКОПРОДУКТ""")</f>
        <v>ООО "КП "ЭКОПРОДУКТ"</v>
      </c>
      <c r="K3900" s="24" t="s">
        <v>6251</v>
      </c>
      <c r="L3900" s="22" t="s">
        <v>10</v>
      </c>
      <c r="M3900" s="25">
        <v>4588572</v>
      </c>
      <c r="N3900" s="27">
        <v>0</v>
      </c>
    </row>
    <row r="3901" spans="1:14" x14ac:dyDescent="0.15">
      <c r="A3901" s="23" t="str">
        <f>HYPERLINK("https://www.spark-marketing.ru/Card/Person/101945", "МОУ ""СОШ №22 С УИОП""")</f>
        <v>МОУ "СОШ №22 С УИОП"</v>
      </c>
      <c r="B3901" s="24" t="s">
        <v>6439</v>
      </c>
      <c r="C3901" s="25">
        <v>19821116</v>
      </c>
      <c r="D3901" s="22" t="s">
        <v>6440</v>
      </c>
      <c r="E3901" s="22" t="s">
        <v>48</v>
      </c>
      <c r="F3901" s="23" t="str">
        <f>HYPERLINK("https://www.spark-marketing.ru/Card/Lot/73272280", "Оказание услуг по организации питания для обучающихся в муниципальном образовательном учреждении «Средняя общеобразовательная школа №22 с углубленным изучением отдельных предметов»")</f>
        <v>Оказание услуг по организации питания для обучающихся в муниципальном образовательном учреждении «Средняя общеобразовательная школа №22 с углубленным изучением отдельных предметов»</v>
      </c>
      <c r="G3901" s="22" t="s">
        <v>49</v>
      </c>
      <c r="H3901" s="22" t="s">
        <v>742</v>
      </c>
      <c r="I3901" s="26">
        <v>43714.384722222203</v>
      </c>
      <c r="J3901" s="28" t="s">
        <v>51</v>
      </c>
      <c r="K3901" s="28" t="s">
        <v>51</v>
      </c>
      <c r="L3901" s="28" t="s">
        <v>51</v>
      </c>
      <c r="M3901" s="28" t="s">
        <v>51</v>
      </c>
      <c r="N3901" s="28" t="s">
        <v>51</v>
      </c>
    </row>
    <row r="3902" spans="1:14" hidden="1" outlineLevel="1" x14ac:dyDescent="0.2">
      <c r="A3902" s="23" t="str">
        <f>HYPERLINK("https://www.spark-marketing.ru/Card/Person/101945", "МОУ ""СОШ №22 С УИОП""")</f>
        <v>МОУ "СОШ №22 С УИОП"</v>
      </c>
      <c r="B3902" s="24" t="s">
        <v>6439</v>
      </c>
      <c r="C3902" s="25">
        <v>19821116</v>
      </c>
      <c r="D3902" s="22" t="s">
        <v>6440</v>
      </c>
      <c r="E3902" s="22" t="s">
        <v>48</v>
      </c>
      <c r="F3902" s="23" t="str">
        <f>HYPERLINK("https://www.spark-marketing.ru/Card/Lot/73272280", "Оказание услуг по организации питания для обучающихся в муниципальном образовательном учреждении «Средняя общеобразовательная школа №22 с углубленным изучением отдельных предметов»")</f>
        <v>Оказание услуг по организации питания для обучающихся в муниципальном образовательном учреждении «Средняя общеобразовательная школа №22 с углубленным изучением отдельных предметов»</v>
      </c>
      <c r="G3902" s="22" t="s">
        <v>49</v>
      </c>
      <c r="H3902" s="22" t="s">
        <v>742</v>
      </c>
      <c r="I3902" s="26">
        <v>43714.384722222203</v>
      </c>
      <c r="J3902" s="23" t="str">
        <f>HYPERLINK("https://www.spark-marketing.ru/Card/Person/60153", "ООО МОЛОЧНЫЙ ЗАВОД ""НАРО-ФОМИНСКИЙ""")</f>
        <v>ООО МОЛОЧНЫЙ ЗАВОД "НАРО-ФОМИНСКИЙ"</v>
      </c>
      <c r="K3902" s="24" t="s">
        <v>5326</v>
      </c>
      <c r="L3902" s="28" t="s">
        <v>51</v>
      </c>
      <c r="M3902" s="25">
        <v>18718292</v>
      </c>
      <c r="N3902" s="27">
        <v>5.5638844957064983E-2</v>
      </c>
    </row>
    <row r="3903" spans="1:14" ht="12.75" hidden="1" outlineLevel="1" x14ac:dyDescent="0.2">
      <c r="A3903" s="23" t="str">
        <f>HYPERLINK("https://www.spark-marketing.ru/Card/Person/101945", "МОУ ""СОШ №22 С УИОП""")</f>
        <v>МОУ "СОШ №22 С УИОП"</v>
      </c>
      <c r="B3903" s="24" t="s">
        <v>6439</v>
      </c>
      <c r="C3903" s="25">
        <v>19821116</v>
      </c>
      <c r="D3903" s="22" t="s">
        <v>6440</v>
      </c>
      <c r="E3903" s="22" t="s">
        <v>48</v>
      </c>
      <c r="F3903" s="23" t="str">
        <f>HYPERLINK("https://www.spark-marketing.ru/Card/Lot/73272280", "Оказание услуг по организации питания для обучающихся в муниципальном образовательном учреждении «Средняя общеобразовательная школа №22 с углубленным изучением отдельных предметов»")</f>
        <v>Оказание услуг по организации питания для обучающихся в муниципальном образовательном учреждении «Средняя общеобразовательная школа №22 с углубленным изучением отдельных предметов»</v>
      </c>
      <c r="G3903" s="22" t="s">
        <v>49</v>
      </c>
      <c r="H3903" s="22" t="s">
        <v>742</v>
      </c>
      <c r="I3903" s="26">
        <v>43714.384722222203</v>
      </c>
      <c r="J3903" s="23" t="str">
        <f>HYPERLINK("https://www.spark-marketing.ru/Card/Person/57370", "ООО ""КП ""ЭКОПРОДУКТ""")</f>
        <v>ООО "КП "ЭКОПРОДУКТ"</v>
      </c>
      <c r="K3903" s="24" t="s">
        <v>6251</v>
      </c>
      <c r="L3903" s="22" t="s">
        <v>10</v>
      </c>
      <c r="M3903" s="25">
        <v>19821116</v>
      </c>
      <c r="N3903" s="27">
        <v>0</v>
      </c>
    </row>
    <row r="3904" spans="1:14" x14ac:dyDescent="0.15">
      <c r="A3904" s="23" t="str">
        <f>HYPERLINK("https://www.spark-marketing.ru/Card/Person/100920", "МОУ ""ГИМНАЗИЯ №21""")</f>
        <v>МОУ "ГИМНАЗИЯ №21"</v>
      </c>
      <c r="B3904" s="24" t="s">
        <v>6441</v>
      </c>
      <c r="C3904" s="25">
        <v>16953556</v>
      </c>
      <c r="D3904" s="22" t="s">
        <v>6442</v>
      </c>
      <c r="E3904" s="22" t="s">
        <v>48</v>
      </c>
      <c r="F3904" s="23" t="str">
        <f>HYPERLINK("https://www.spark-marketing.ru/Card/Lot/73272252", "Оказание услуг по организации питания для обучающихся в муниципальном общеобразовательном учреждении ""Гимназия №21""")</f>
        <v>Оказание услуг по организации питания для обучающихся в муниципальном общеобразовательном учреждении "Гимназия №21"</v>
      </c>
      <c r="G3904" s="22" t="s">
        <v>49</v>
      </c>
      <c r="H3904" s="22" t="s">
        <v>742</v>
      </c>
      <c r="I3904" s="26">
        <v>43714.386805555601</v>
      </c>
      <c r="J3904" s="28" t="s">
        <v>51</v>
      </c>
      <c r="K3904" s="28" t="s">
        <v>51</v>
      </c>
      <c r="L3904" s="28" t="s">
        <v>51</v>
      </c>
      <c r="M3904" s="28" t="s">
        <v>51</v>
      </c>
      <c r="N3904" s="28" t="s">
        <v>51</v>
      </c>
    </row>
    <row r="3905" spans="1:14" hidden="1" outlineLevel="1" x14ac:dyDescent="0.2">
      <c r="A3905" s="23" t="str">
        <f>HYPERLINK("https://www.spark-marketing.ru/Card/Person/100920", "МОУ ""ГИМНАЗИЯ №21""")</f>
        <v>МОУ "ГИМНАЗИЯ №21"</v>
      </c>
      <c r="B3905" s="24" t="s">
        <v>6441</v>
      </c>
      <c r="C3905" s="25">
        <v>16953556</v>
      </c>
      <c r="D3905" s="22" t="s">
        <v>6442</v>
      </c>
      <c r="E3905" s="22" t="s">
        <v>48</v>
      </c>
      <c r="F3905" s="23" t="str">
        <f>HYPERLINK("https://www.spark-marketing.ru/Card/Lot/73272252", "Оказание услуг по организации питания для обучающихся в муниципальном общеобразовательном учреждении ""Гимназия №21""")</f>
        <v>Оказание услуг по организации питания для обучающихся в муниципальном общеобразовательном учреждении "Гимназия №21"</v>
      </c>
      <c r="G3905" s="22" t="s">
        <v>49</v>
      </c>
      <c r="H3905" s="22" t="s">
        <v>742</v>
      </c>
      <c r="I3905" s="26">
        <v>43714.386805555601</v>
      </c>
      <c r="J3905" s="23" t="str">
        <f>HYPERLINK("https://www.spark-marketing.ru/Card/Person/60153", "ООО МОЛОЧНЫЙ ЗАВОД ""НАРО-ФОМИНСКИЙ""")</f>
        <v>ООО МОЛОЧНЫЙ ЗАВОД "НАРО-ФОМИНСКИЙ"</v>
      </c>
      <c r="K3905" s="24" t="s">
        <v>5326</v>
      </c>
      <c r="L3905" s="28" t="s">
        <v>51</v>
      </c>
      <c r="M3905" s="25">
        <v>16049972</v>
      </c>
      <c r="N3905" s="27">
        <v>5.3297609067973706E-2</v>
      </c>
    </row>
    <row r="3906" spans="1:14" ht="12.75" hidden="1" outlineLevel="1" x14ac:dyDescent="0.2">
      <c r="A3906" s="23" t="str">
        <f>HYPERLINK("https://www.spark-marketing.ru/Card/Person/100920", "МОУ ""ГИМНАЗИЯ №21""")</f>
        <v>МОУ "ГИМНАЗИЯ №21"</v>
      </c>
      <c r="B3906" s="24" t="s">
        <v>6441</v>
      </c>
      <c r="C3906" s="25">
        <v>16953556</v>
      </c>
      <c r="D3906" s="22" t="s">
        <v>6442</v>
      </c>
      <c r="E3906" s="22" t="s">
        <v>48</v>
      </c>
      <c r="F3906" s="23" t="str">
        <f>HYPERLINK("https://www.spark-marketing.ru/Card/Lot/73272252", "Оказание услуг по организации питания для обучающихся в муниципальном общеобразовательном учреждении ""Гимназия №21""")</f>
        <v>Оказание услуг по организации питания для обучающихся в муниципальном общеобразовательном учреждении "Гимназия №21"</v>
      </c>
      <c r="G3906" s="22" t="s">
        <v>49</v>
      </c>
      <c r="H3906" s="22" t="s">
        <v>742</v>
      </c>
      <c r="I3906" s="26">
        <v>43714.386805555601</v>
      </c>
      <c r="J3906" s="23" t="str">
        <f>HYPERLINK("https://www.spark-marketing.ru/Card/Person/57370", "ООО ""КП ""ЭКОПРОДУКТ""")</f>
        <v>ООО "КП "ЭКОПРОДУКТ"</v>
      </c>
      <c r="K3906" s="24" t="s">
        <v>6251</v>
      </c>
      <c r="L3906" s="22" t="s">
        <v>10</v>
      </c>
      <c r="M3906" s="25">
        <v>16953556</v>
      </c>
      <c r="N3906" s="27">
        <v>0</v>
      </c>
    </row>
    <row r="3907" spans="1:14" x14ac:dyDescent="0.15">
      <c r="A3907" s="23" t="str">
        <f>HYPERLINK("https://www.spark-marketing.ru/Card/Person/264271", "МО МВД РОССИИ ""БУРЕЙСКИЙ""")</f>
        <v>МО МВД РОССИИ "БУРЕЙСКИЙ"</v>
      </c>
      <c r="B3907" s="24" t="s">
        <v>6443</v>
      </c>
      <c r="C3907" s="25">
        <v>1150000</v>
      </c>
      <c r="D3907" s="22" t="s">
        <v>6444</v>
      </c>
      <c r="E3907" s="22" t="s">
        <v>67</v>
      </c>
      <c r="F3907" s="23" t="str">
        <f>HYPERLINK("https://www.spark-marketing.ru/Card/Lot/73263880", "Оказание услуг по приготовлению и доставке горячего питания арестованным, содержащимся в ИВС МО МВД")</f>
        <v>Оказание услуг по приготовлению и доставке горячего питания арестованным, содержащимся в ИВС МО МВД</v>
      </c>
      <c r="G3907" s="22" t="s">
        <v>210</v>
      </c>
      <c r="H3907" s="22" t="s">
        <v>210</v>
      </c>
      <c r="I3907" s="26">
        <v>43714.409722222197</v>
      </c>
      <c r="J3907" s="23" t="str">
        <f>HYPERLINK("https://www.spark-marketing.ru/Card/Person/276437", "УМПОПИТ ""ВАРИАНТ""")</f>
        <v>УМПОПИТ "ВАРИАНТ"</v>
      </c>
      <c r="K3907" s="24" t="s">
        <v>6445</v>
      </c>
      <c r="L3907" s="22" t="s">
        <v>10</v>
      </c>
      <c r="M3907" s="28" t="s">
        <v>51</v>
      </c>
      <c r="N3907" s="28" t="s">
        <v>51</v>
      </c>
    </row>
    <row r="3908" spans="1:14" x14ac:dyDescent="0.15">
      <c r="A3908" s="23" t="str">
        <f>HYPERLINK("https://www.spark-marketing.ru/Card/Person/102228", "МОУ ""СОШ №19""")</f>
        <v>МОУ "СОШ №19"</v>
      </c>
      <c r="B3908" s="24" t="s">
        <v>6446</v>
      </c>
      <c r="C3908" s="25">
        <v>12202668</v>
      </c>
      <c r="D3908" s="22" t="s">
        <v>6447</v>
      </c>
      <c r="E3908" s="22" t="s">
        <v>48</v>
      </c>
      <c r="F3908" s="23" t="str">
        <f>HYPERLINK("https://www.spark-marketing.ru/Card/Lot/73272176", "Оказание услуг по организации питания для обучающихся в муниципальном общеобразовательном учреждении ""Средняя общеобразовательная школа № 19""")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 19"</v>
      </c>
      <c r="G3908" s="22" t="s">
        <v>49</v>
      </c>
      <c r="H3908" s="22" t="s">
        <v>742</v>
      </c>
      <c r="I3908" s="26">
        <v>43714.395138888904</v>
      </c>
      <c r="J3908" s="28" t="s">
        <v>51</v>
      </c>
      <c r="K3908" s="28" t="s">
        <v>51</v>
      </c>
      <c r="L3908" s="28" t="s">
        <v>51</v>
      </c>
      <c r="M3908" s="28" t="s">
        <v>51</v>
      </c>
      <c r="N3908" s="28" t="s">
        <v>51</v>
      </c>
    </row>
    <row r="3909" spans="1:14" hidden="1" outlineLevel="1" x14ac:dyDescent="0.2">
      <c r="A3909" s="23" t="str">
        <f>HYPERLINK("https://www.spark-marketing.ru/Card/Person/102228", "МОУ ""СОШ №19""")</f>
        <v>МОУ "СОШ №19"</v>
      </c>
      <c r="B3909" s="24" t="s">
        <v>6446</v>
      </c>
      <c r="C3909" s="25">
        <v>12202668</v>
      </c>
      <c r="D3909" s="22" t="s">
        <v>6447</v>
      </c>
      <c r="E3909" s="22" t="s">
        <v>48</v>
      </c>
      <c r="F3909" s="23" t="str">
        <f>HYPERLINK("https://www.spark-marketing.ru/Card/Lot/73272176", "Оказание услуг по организации питания для обучающихся в муниципальном общеобразовательном учреждении ""Средняя общеобразовательная школа № 19""")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 19"</v>
      </c>
      <c r="G3909" s="22" t="s">
        <v>49</v>
      </c>
      <c r="H3909" s="22" t="s">
        <v>742</v>
      </c>
      <c r="I3909" s="26">
        <v>43714.395138888904</v>
      </c>
      <c r="J3909" s="23" t="str">
        <f>HYPERLINK("https://www.spark-marketing.ru/Card/Person/60153", "ООО МОЛОЧНЫЙ ЗАВОД ""НАРО-ФОМИНСКИЙ""")</f>
        <v>ООО МОЛОЧНЫЙ ЗАВОД "НАРО-ФОМИНСКИЙ"</v>
      </c>
      <c r="K3909" s="24" t="s">
        <v>5326</v>
      </c>
      <c r="L3909" s="28" t="s">
        <v>51</v>
      </c>
      <c r="M3909" s="25">
        <v>11358516</v>
      </c>
      <c r="N3909" s="27">
        <v>6.9177658525168426E-2</v>
      </c>
    </row>
    <row r="3910" spans="1:14" ht="12.75" hidden="1" outlineLevel="1" x14ac:dyDescent="0.2">
      <c r="A3910" s="23" t="str">
        <f>HYPERLINK("https://www.spark-marketing.ru/Card/Person/102228", "МОУ ""СОШ №19""")</f>
        <v>МОУ "СОШ №19"</v>
      </c>
      <c r="B3910" s="24" t="s">
        <v>6446</v>
      </c>
      <c r="C3910" s="25">
        <v>12202668</v>
      </c>
      <c r="D3910" s="22" t="s">
        <v>6447</v>
      </c>
      <c r="E3910" s="22" t="s">
        <v>48</v>
      </c>
      <c r="F3910" s="23" t="str">
        <f>HYPERLINK("https://www.spark-marketing.ru/Card/Lot/73272176", "Оказание услуг по организации питания для обучающихся в муниципальном общеобразовательном учреждении ""Средняя общеобразовательная школа № 19""")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 19"</v>
      </c>
      <c r="G3910" s="22" t="s">
        <v>49</v>
      </c>
      <c r="H3910" s="22" t="s">
        <v>742</v>
      </c>
      <c r="I3910" s="26">
        <v>43714.395138888904</v>
      </c>
      <c r="J3910" s="23" t="str">
        <f>HYPERLINK("https://www.spark-marketing.ru/Card/Person/57370", "ООО ""КП ""ЭКОПРОДУКТ""")</f>
        <v>ООО "КП "ЭКОПРОДУКТ"</v>
      </c>
      <c r="K3910" s="24" t="s">
        <v>6251</v>
      </c>
      <c r="L3910" s="22" t="s">
        <v>10</v>
      </c>
      <c r="M3910" s="25">
        <v>12202668</v>
      </c>
      <c r="N3910" s="27">
        <v>0</v>
      </c>
    </row>
    <row r="3911" spans="1:14" x14ac:dyDescent="0.15">
      <c r="A3911" s="23" t="str">
        <f>HYPERLINK("https://www.spark-marketing.ru/Card/Person/827513", "АО ""ИГИРГИ""")</f>
        <v>АО "ИГИРГИ"</v>
      </c>
      <c r="B3911" s="24" t="s">
        <v>916</v>
      </c>
      <c r="C3911" s="28" t="s">
        <v>51</v>
      </c>
      <c r="D3911" s="22" t="s">
        <v>6448</v>
      </c>
      <c r="E3911" s="22" t="s">
        <v>6089</v>
      </c>
      <c r="F3911" s="23" t="str">
        <f>HYPERLINK("https://www.spark-marketing.ru/Card/Lot/73268830", "оказание услуг по выездному обслуживанию и организации питания (кейтеринга) для планируемых мероприятий в здании АО ""ИГиРГИ"" в 2019 году")</f>
        <v>оказание услуг по выездному обслуживанию и организации питания (кейтеринга) для планируемых мероприятий в здании АО "ИГиРГИ" в 2019 году</v>
      </c>
      <c r="G3911" s="22" t="s">
        <v>56</v>
      </c>
      <c r="H3911" s="22" t="s">
        <v>56</v>
      </c>
      <c r="I3911" s="26">
        <v>43714.388888888898</v>
      </c>
      <c r="J3911" s="28" t="s">
        <v>51</v>
      </c>
      <c r="K3911" s="28" t="s">
        <v>51</v>
      </c>
      <c r="L3911" s="28" t="s">
        <v>51</v>
      </c>
      <c r="M3911" s="28" t="s">
        <v>51</v>
      </c>
      <c r="N3911" s="28" t="s">
        <v>51</v>
      </c>
    </row>
    <row r="3912" spans="1:14" x14ac:dyDescent="0.15">
      <c r="A3912" s="23" t="str">
        <f>HYPERLINK("https://www.spark-marketing.ru/Card/Person/101251", "МОУ ""СОШ №3""")</f>
        <v>МОУ "СОШ №3"</v>
      </c>
      <c r="B3912" s="24" t="s">
        <v>6449</v>
      </c>
      <c r="C3912" s="25">
        <v>12537840</v>
      </c>
      <c r="D3912" s="22" t="s">
        <v>6450</v>
      </c>
      <c r="E3912" s="22" t="s">
        <v>48</v>
      </c>
      <c r="F3912" s="23" t="str">
        <f>HYPERLINK("https://www.spark-marketing.ru/Card/Lot/73272177", "Оказание услуг по организации питания для обучающихся в муниципальном общеобразовательном учреждении ""Средняя общеобразовательная школа № 3""")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 3"</v>
      </c>
      <c r="G3912" s="22" t="s">
        <v>49</v>
      </c>
      <c r="H3912" s="22" t="s">
        <v>742</v>
      </c>
      <c r="I3912" s="26">
        <v>43714.390277777798</v>
      </c>
      <c r="J3912" s="28" t="s">
        <v>51</v>
      </c>
      <c r="K3912" s="28" t="s">
        <v>51</v>
      </c>
      <c r="L3912" s="28" t="s">
        <v>51</v>
      </c>
      <c r="M3912" s="28" t="s">
        <v>51</v>
      </c>
      <c r="N3912" s="28" t="s">
        <v>51</v>
      </c>
    </row>
    <row r="3913" spans="1:14" hidden="1" outlineLevel="1" x14ac:dyDescent="0.2">
      <c r="A3913" s="23" t="str">
        <f>HYPERLINK("https://www.spark-marketing.ru/Card/Person/101251", "МОУ ""СОШ №3""")</f>
        <v>МОУ "СОШ №3"</v>
      </c>
      <c r="B3913" s="24" t="s">
        <v>6449</v>
      </c>
      <c r="C3913" s="25">
        <v>12537840</v>
      </c>
      <c r="D3913" s="22" t="s">
        <v>6450</v>
      </c>
      <c r="E3913" s="22" t="s">
        <v>48</v>
      </c>
      <c r="F3913" s="23" t="str">
        <f>HYPERLINK("https://www.spark-marketing.ru/Card/Lot/73272177", "Оказание услуг по организации питания для обучающихся в муниципальном общеобразовательном учреждении ""Средняя общеобразовательная школа № 3""")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 3"</v>
      </c>
      <c r="G3913" s="22" t="s">
        <v>49</v>
      </c>
      <c r="H3913" s="22" t="s">
        <v>742</v>
      </c>
      <c r="I3913" s="26">
        <v>43714.390277777798</v>
      </c>
      <c r="J3913" s="23" t="str">
        <f>HYPERLINK("https://www.spark-marketing.ru/Card/Person/60153", "ООО МОЛОЧНЫЙ ЗАВОД ""НАРО-ФОМИНСКИЙ""")</f>
        <v>ООО МОЛОЧНЫЙ ЗАВОД "НАРО-ФОМИНСКИЙ"</v>
      </c>
      <c r="K3913" s="24" t="s">
        <v>5326</v>
      </c>
      <c r="L3913" s="28" t="s">
        <v>51</v>
      </c>
      <c r="M3913" s="25">
        <v>11591960</v>
      </c>
      <c r="N3913" s="27">
        <v>7.5442021911270196E-2</v>
      </c>
    </row>
    <row r="3914" spans="1:14" ht="12.75" hidden="1" outlineLevel="1" x14ac:dyDescent="0.2">
      <c r="A3914" s="23" t="str">
        <f>HYPERLINK("https://www.spark-marketing.ru/Card/Person/101251", "МОУ ""СОШ №3""")</f>
        <v>МОУ "СОШ №3"</v>
      </c>
      <c r="B3914" s="24" t="s">
        <v>6449</v>
      </c>
      <c r="C3914" s="25">
        <v>12537840</v>
      </c>
      <c r="D3914" s="22" t="s">
        <v>6450</v>
      </c>
      <c r="E3914" s="22" t="s">
        <v>48</v>
      </c>
      <c r="F3914" s="23" t="str">
        <f>HYPERLINK("https://www.spark-marketing.ru/Card/Lot/73272177", "Оказание услуг по организации питания для обучающихся в муниципальном общеобразовательном учреждении ""Средняя общеобразовательная школа № 3""")</f>
        <v>Оказание услуг по организации питания для обучающихся в муниципальном общеобразовательном учреждении "Средняя общеобразовательная школа № 3"</v>
      </c>
      <c r="G3914" s="22" t="s">
        <v>49</v>
      </c>
      <c r="H3914" s="22" t="s">
        <v>742</v>
      </c>
      <c r="I3914" s="26">
        <v>43714.390277777798</v>
      </c>
      <c r="J3914" s="23" t="str">
        <f>HYPERLINK("https://www.spark-marketing.ru/Card/Person/57370", "ООО ""КП ""ЭКОПРОДУКТ""")</f>
        <v>ООО "КП "ЭКОПРОДУКТ"</v>
      </c>
      <c r="K3914" s="24" t="s">
        <v>6251</v>
      </c>
      <c r="L3914" s="22" t="s">
        <v>10</v>
      </c>
      <c r="M3914" s="25">
        <v>12537840</v>
      </c>
      <c r="N3914" s="27">
        <v>0</v>
      </c>
    </row>
    <row r="3915" spans="1:14" x14ac:dyDescent="0.15">
      <c r="A3915" s="23" t="str">
        <f>HYPERLINK("https://www.spark-marketing.ru/Card/Person/7643", "ГУ-РО ФОНДА СОЦИАЛЬНОГО СТРАХОВАНИЯ РОССИЙСКОЙ ФЕДЕРАЦИИ ПО РЕСПУБЛИКЕ БУРЯТИЯ")</f>
        <v>ГУ-РО ФОНДА СОЦИАЛЬНОГО СТРАХОВАНИЯ РОССИЙСКОЙ ФЕДЕРАЦИИ ПО РЕСПУБЛИКЕ БУРЯТИЯ</v>
      </c>
      <c r="B3915" s="24" t="s">
        <v>6451</v>
      </c>
      <c r="C3915" s="25">
        <v>916310.88</v>
      </c>
      <c r="D3915" s="22" t="s">
        <v>6452</v>
      </c>
      <c r="E3915" s="22" t="s">
        <v>86</v>
      </c>
      <c r="F3915" s="23" t="str">
        <f>HYPERLINK("https://www.spark-marketing.ru/Card/Lot/73265524", "Оказание услуг по санаторно-курортному лечению в 2019 году гражданам-получателям набора социальных услуг (кроме детей-инвалидов) по профилям лечения - болезни нервной системы, болезни системы кровообращения, болезни костно-мышечной системы, болезни о...")</f>
        <v>Оказание услуг по санаторно-курортному лечению в 2019 году гражданам-получателям набора социальных услуг (кроме детей-инвалидов) по профилям лечения - болезни нервной системы, болезни системы кровообращения, болезни костно-мышечной системы, болезни о...</v>
      </c>
      <c r="G3915" s="22" t="s">
        <v>433</v>
      </c>
      <c r="H3915" s="22" t="s">
        <v>433</v>
      </c>
      <c r="I3915" s="26">
        <v>43714.4152777778</v>
      </c>
      <c r="J3915" s="23" t="str">
        <f>HYPERLINK("https://www.spark-marketing.ru/Card/Person/63656", "СКУП РБ ""БАЙКАЛКУРОРТ""")</f>
        <v>СКУП РБ "БАЙКАЛКУРОРТ"</v>
      </c>
      <c r="K3915" s="24" t="s">
        <v>6453</v>
      </c>
      <c r="L3915" s="22" t="s">
        <v>10</v>
      </c>
      <c r="M3915" s="28" t="s">
        <v>51</v>
      </c>
      <c r="N3915" s="28" t="s">
        <v>51</v>
      </c>
    </row>
    <row r="3916" spans="1:14" x14ac:dyDescent="0.15">
      <c r="A3916" s="23" t="str">
        <f>HYPERLINK("https://www.spark-marketing.ru/Card/Person/1051405", "МБОУ ""ВСЕВОЛОДОВСКАЯ СОШ №42""")</f>
        <v>МБОУ "ВСЕВОЛОДОВСКАЯ СОШ №42"</v>
      </c>
      <c r="B3916" s="24" t="s">
        <v>6454</v>
      </c>
      <c r="C3916" s="25">
        <v>4780468</v>
      </c>
      <c r="D3916" s="22" t="s">
        <v>6455</v>
      </c>
      <c r="E3916" s="22" t="s">
        <v>48</v>
      </c>
      <c r="F3916" s="23" t="str">
        <f>HYPERLINK("https://www.spark-marketing.ru/Card/Lot/73270057", "«Оказание услуг по организации питания для обучающихся в Муниципальном бюджетном общеобразовательном учреждении ""Всеволодовская средняя общеобразовательная школа №42""")</f>
        <v>«Оказание услуг по организации питания для обучающихся в Муниципальном бюджетном общеобразовательном учреждении "Всеволодовская средняя общеобразовательная школа №42"</v>
      </c>
      <c r="G3916" s="22" t="s">
        <v>49</v>
      </c>
      <c r="H3916" s="22" t="s">
        <v>742</v>
      </c>
      <c r="I3916" s="26">
        <v>43714.381249999999</v>
      </c>
      <c r="J3916" s="28" t="s">
        <v>51</v>
      </c>
      <c r="K3916" s="28" t="s">
        <v>51</v>
      </c>
      <c r="L3916" s="28" t="s">
        <v>51</v>
      </c>
      <c r="M3916" s="28" t="s">
        <v>51</v>
      </c>
      <c r="N3916" s="28" t="s">
        <v>51</v>
      </c>
    </row>
    <row r="3917" spans="1:14" hidden="1" outlineLevel="1" x14ac:dyDescent="0.2">
      <c r="A3917" s="23" t="str">
        <f>HYPERLINK("https://www.spark-marketing.ru/Card/Person/1051405", "МБОУ ""ВСЕВОЛОДОВСКАЯ СОШ №42""")</f>
        <v>МБОУ "ВСЕВОЛОДОВСКАЯ СОШ №42"</v>
      </c>
      <c r="B3917" s="24" t="s">
        <v>6454</v>
      </c>
      <c r="C3917" s="25">
        <v>4780468</v>
      </c>
      <c r="D3917" s="22" t="s">
        <v>6455</v>
      </c>
      <c r="E3917" s="22" t="s">
        <v>48</v>
      </c>
      <c r="F3917" s="23" t="str">
        <f>HYPERLINK("https://www.spark-marketing.ru/Card/Lot/73270057", "«Оказание услуг по организации питания для обучающихся в Муниципальном бюджетном общеобразовательном учреждении ""Всеволодовская средняя общеобразовательная школа №42""")</f>
        <v>«Оказание услуг по организации питания для обучающихся в Муниципальном бюджетном общеобразовательном учреждении "Всеволодовская средняя общеобразовательная школа №42"</v>
      </c>
      <c r="G3917" s="22" t="s">
        <v>49</v>
      </c>
      <c r="H3917" s="22" t="s">
        <v>742</v>
      </c>
      <c r="I3917" s="26">
        <v>43714.381249999999</v>
      </c>
      <c r="J3917" s="23" t="str">
        <f>HYPERLINK("https://www.spark-marketing.ru/Card/Person/60153", "ООО МОЛОЧНЫЙ ЗАВОД ""НАРО-ФОМИНСКИЙ""")</f>
        <v>ООО МОЛОЧНЫЙ ЗАВОД "НАРО-ФОМИНСКИЙ"</v>
      </c>
      <c r="K3917" s="24" t="s">
        <v>5326</v>
      </c>
      <c r="L3917" s="28" t="s">
        <v>51</v>
      </c>
      <c r="M3917" s="25">
        <v>4453796</v>
      </c>
      <c r="N3917" s="27">
        <v>6.8334732080624738E-2</v>
      </c>
    </row>
    <row r="3918" spans="1:14" ht="12.75" hidden="1" outlineLevel="1" x14ac:dyDescent="0.2">
      <c r="A3918" s="23" t="str">
        <f>HYPERLINK("https://www.spark-marketing.ru/Card/Person/1051405", "МБОУ ""ВСЕВОЛОДОВСКАЯ СОШ №42""")</f>
        <v>МБОУ "ВСЕВОЛОДОВСКАЯ СОШ №42"</v>
      </c>
      <c r="B3918" s="24" t="s">
        <v>6454</v>
      </c>
      <c r="C3918" s="25">
        <v>4780468</v>
      </c>
      <c r="D3918" s="22" t="s">
        <v>6455</v>
      </c>
      <c r="E3918" s="22" t="s">
        <v>48</v>
      </c>
      <c r="F3918" s="23" t="str">
        <f>HYPERLINK("https://www.spark-marketing.ru/Card/Lot/73270057", "«Оказание услуг по организации питания для обучающихся в Муниципальном бюджетном общеобразовательном учреждении ""Всеволодовская средняя общеобразовательная школа №42""")</f>
        <v>«Оказание услуг по организации питания для обучающихся в Муниципальном бюджетном общеобразовательном учреждении "Всеволодовская средняя общеобразовательная школа №42"</v>
      </c>
      <c r="G3918" s="22" t="s">
        <v>49</v>
      </c>
      <c r="H3918" s="22" t="s">
        <v>742</v>
      </c>
      <c r="I3918" s="26">
        <v>43714.381249999999</v>
      </c>
      <c r="J3918" s="23" t="str">
        <f>HYPERLINK("https://www.spark-marketing.ru/Card/Person/57370", "ООО ""КП ""ЭКОПРОДУКТ""")</f>
        <v>ООО "КП "ЭКОПРОДУКТ"</v>
      </c>
      <c r="K3918" s="24" t="s">
        <v>6251</v>
      </c>
      <c r="L3918" s="22" t="s">
        <v>10</v>
      </c>
      <c r="M3918" s="25">
        <v>4780468</v>
      </c>
      <c r="N3918" s="27">
        <v>0</v>
      </c>
    </row>
    <row r="3919" spans="1:14" x14ac:dyDescent="0.15">
      <c r="A3919" s="23" t="str">
        <f>HYPERLINK("https://www.spark-marketing.ru/Card/Person/101034", "МОУ ""ЛИЦЕЙ №7""")</f>
        <v>МОУ "ЛИЦЕЙ №7"</v>
      </c>
      <c r="B3919" s="24" t="s">
        <v>6456</v>
      </c>
      <c r="C3919" s="25">
        <v>18052300</v>
      </c>
      <c r="D3919" s="22" t="s">
        <v>6457</v>
      </c>
      <c r="E3919" s="22" t="s">
        <v>48</v>
      </c>
      <c r="F3919" s="23" t="str">
        <f>HYPERLINK("https://www.spark-marketing.ru/Card/Lot/73272254", "Оказание услуг по организации питания для обучающихся в муниципальном общеобразовательном учреждение «Лицей №7»")</f>
        <v>Оказание услуг по организации питания для обучающихся в муниципальном общеобразовательном учреждение «Лицей №7»</v>
      </c>
      <c r="G3919" s="22" t="s">
        <v>49</v>
      </c>
      <c r="H3919" s="22" t="s">
        <v>742</v>
      </c>
      <c r="I3919" s="26">
        <v>43714.389583333301</v>
      </c>
      <c r="J3919" s="28" t="s">
        <v>51</v>
      </c>
      <c r="K3919" s="28" t="s">
        <v>51</v>
      </c>
      <c r="L3919" s="28" t="s">
        <v>51</v>
      </c>
      <c r="M3919" s="28" t="s">
        <v>51</v>
      </c>
      <c r="N3919" s="28" t="s">
        <v>51</v>
      </c>
    </row>
    <row r="3920" spans="1:14" hidden="1" outlineLevel="1" x14ac:dyDescent="0.2">
      <c r="A3920" s="23" t="str">
        <f>HYPERLINK("https://www.spark-marketing.ru/Card/Person/101034", "МОУ ""ЛИЦЕЙ №7""")</f>
        <v>МОУ "ЛИЦЕЙ №7"</v>
      </c>
      <c r="B3920" s="24" t="s">
        <v>6456</v>
      </c>
      <c r="C3920" s="25">
        <v>18052300</v>
      </c>
      <c r="D3920" s="22" t="s">
        <v>6457</v>
      </c>
      <c r="E3920" s="22" t="s">
        <v>48</v>
      </c>
      <c r="F3920" s="23" t="str">
        <f>HYPERLINK("https://www.spark-marketing.ru/Card/Lot/73272254", "Оказание услуг по организации питания для обучающихся в муниципальном общеобразовательном учреждение «Лицей №7»")</f>
        <v>Оказание услуг по организации питания для обучающихся в муниципальном общеобразовательном учреждение «Лицей №7»</v>
      </c>
      <c r="G3920" s="22" t="s">
        <v>49</v>
      </c>
      <c r="H3920" s="22" t="s">
        <v>742</v>
      </c>
      <c r="I3920" s="26">
        <v>43714.389583333301</v>
      </c>
      <c r="J3920" s="23" t="str">
        <f>HYPERLINK("https://www.spark-marketing.ru/Card/Person/60153", "ООО МОЛОЧНЫЙ ЗАВОД ""НАРО-ФОМИНСКИЙ""")</f>
        <v>ООО МОЛОЧНЫЙ ЗАВОД "НАРО-ФОМИНСКИЙ"</v>
      </c>
      <c r="K3920" s="24" t="s">
        <v>5326</v>
      </c>
      <c r="L3920" s="28" t="s">
        <v>51</v>
      </c>
      <c r="M3920" s="25">
        <v>17146540</v>
      </c>
      <c r="N3920" s="27">
        <v>5.0174216027874564E-2</v>
      </c>
    </row>
    <row r="3921" spans="1:14" ht="12.75" hidden="1" outlineLevel="1" x14ac:dyDescent="0.2">
      <c r="A3921" s="23" t="str">
        <f>HYPERLINK("https://www.spark-marketing.ru/Card/Person/101034", "МОУ ""ЛИЦЕЙ №7""")</f>
        <v>МОУ "ЛИЦЕЙ №7"</v>
      </c>
      <c r="B3921" s="24" t="s">
        <v>6456</v>
      </c>
      <c r="C3921" s="25">
        <v>18052300</v>
      </c>
      <c r="D3921" s="22" t="s">
        <v>6457</v>
      </c>
      <c r="E3921" s="22" t="s">
        <v>48</v>
      </c>
      <c r="F3921" s="23" t="str">
        <f>HYPERLINK("https://www.spark-marketing.ru/Card/Lot/73272254", "Оказание услуг по организации питания для обучающихся в муниципальном общеобразовательном учреждение «Лицей №7»")</f>
        <v>Оказание услуг по организации питания для обучающихся в муниципальном общеобразовательном учреждение «Лицей №7»</v>
      </c>
      <c r="G3921" s="22" t="s">
        <v>49</v>
      </c>
      <c r="H3921" s="22" t="s">
        <v>742</v>
      </c>
      <c r="I3921" s="26">
        <v>43714.389583333301</v>
      </c>
      <c r="J3921" s="23" t="str">
        <f>HYPERLINK("https://www.spark-marketing.ru/Card/Person/57370", "ООО ""КП ""ЭКОПРОДУКТ""")</f>
        <v>ООО "КП "ЭКОПРОДУКТ"</v>
      </c>
      <c r="K3921" s="24" t="s">
        <v>6251</v>
      </c>
      <c r="L3921" s="22" t="s">
        <v>10</v>
      </c>
      <c r="M3921" s="25">
        <v>18052300</v>
      </c>
      <c r="N3921" s="27">
        <v>0</v>
      </c>
    </row>
    <row r="3922" spans="1:14" x14ac:dyDescent="0.15">
      <c r="A3922" s="23" t="str">
        <f>HYPERLINK("https://www.spark-marketing.ru/Card/Person/101183", "МОУ ""ГИМНАЗИЯ № 9""")</f>
        <v>МОУ "ГИМНАЗИЯ № 9"</v>
      </c>
      <c r="B3922" s="24" t="s">
        <v>6458</v>
      </c>
      <c r="C3922" s="25">
        <v>6534256</v>
      </c>
      <c r="D3922" s="22" t="s">
        <v>6459</v>
      </c>
      <c r="E3922" s="22" t="s">
        <v>48</v>
      </c>
      <c r="F3922" s="23" t="str">
        <f>HYPERLINK("https://www.spark-marketing.ru/Card/Lot/73270058", "Оказание услуг по организации питания для обучающихся в муниципальном образовательном учреждение ""Гимназия №9""")</f>
        <v>Оказание услуг по организации питания для обучающихся в муниципальном образовательном учреждение "Гимназия №9"</v>
      </c>
      <c r="G3922" s="22" t="s">
        <v>49</v>
      </c>
      <c r="H3922" s="22" t="s">
        <v>742</v>
      </c>
      <c r="I3922" s="26">
        <v>43714.374305555597</v>
      </c>
      <c r="J3922" s="28" t="s">
        <v>51</v>
      </c>
      <c r="K3922" s="28" t="s">
        <v>51</v>
      </c>
      <c r="L3922" s="28" t="s">
        <v>51</v>
      </c>
      <c r="M3922" s="28" t="s">
        <v>51</v>
      </c>
      <c r="N3922" s="28" t="s">
        <v>51</v>
      </c>
    </row>
    <row r="3923" spans="1:14" hidden="1" outlineLevel="1" x14ac:dyDescent="0.2">
      <c r="A3923" s="23" t="str">
        <f>HYPERLINK("https://www.spark-marketing.ru/Card/Person/101183", "МОУ ""ГИМНАЗИЯ № 9""")</f>
        <v>МОУ "ГИМНАЗИЯ № 9"</v>
      </c>
      <c r="B3923" s="24" t="s">
        <v>6458</v>
      </c>
      <c r="C3923" s="25">
        <v>6534256</v>
      </c>
      <c r="D3923" s="22" t="s">
        <v>6459</v>
      </c>
      <c r="E3923" s="22" t="s">
        <v>48</v>
      </c>
      <c r="F3923" s="23" t="str">
        <f>HYPERLINK("https://www.spark-marketing.ru/Card/Lot/73270058", "Оказание услуг по организации питания для обучающихся в муниципальном образовательном учреждение ""Гимназия №9""")</f>
        <v>Оказание услуг по организации питания для обучающихся в муниципальном образовательном учреждение "Гимназия №9"</v>
      </c>
      <c r="G3923" s="22" t="s">
        <v>49</v>
      </c>
      <c r="H3923" s="22" t="s">
        <v>742</v>
      </c>
      <c r="I3923" s="26">
        <v>43714.374305555597</v>
      </c>
      <c r="J3923" s="23" t="str">
        <f>HYPERLINK("https://www.spark-marketing.ru/Card/Person/60153", "ООО МОЛОЧНЫЙ ЗАВОД ""НАРО-ФОМИНСКИЙ""")</f>
        <v>ООО МОЛОЧНЫЙ ЗАВОД "НАРО-ФОМИНСКИЙ"</v>
      </c>
      <c r="K3923" s="24" t="s">
        <v>5326</v>
      </c>
      <c r="L3923" s="28" t="s">
        <v>51</v>
      </c>
      <c r="M3923" s="25">
        <v>6088312</v>
      </c>
      <c r="N3923" s="27">
        <v>6.8247096532489698E-2</v>
      </c>
    </row>
    <row r="3924" spans="1:14" ht="12.75" hidden="1" outlineLevel="1" x14ac:dyDescent="0.2">
      <c r="A3924" s="23" t="str">
        <f>HYPERLINK("https://www.spark-marketing.ru/Card/Person/101183", "МОУ ""ГИМНАЗИЯ № 9""")</f>
        <v>МОУ "ГИМНАЗИЯ № 9"</v>
      </c>
      <c r="B3924" s="24" t="s">
        <v>6458</v>
      </c>
      <c r="C3924" s="25">
        <v>6534256</v>
      </c>
      <c r="D3924" s="22" t="s">
        <v>6459</v>
      </c>
      <c r="E3924" s="22" t="s">
        <v>48</v>
      </c>
      <c r="F3924" s="23" t="str">
        <f>HYPERLINK("https://www.spark-marketing.ru/Card/Lot/73270058", "Оказание услуг по организации питания для обучающихся в муниципальном образовательном учреждение ""Гимназия №9""")</f>
        <v>Оказание услуг по организации питания для обучающихся в муниципальном образовательном учреждение "Гимназия №9"</v>
      </c>
      <c r="G3924" s="22" t="s">
        <v>49</v>
      </c>
      <c r="H3924" s="22" t="s">
        <v>742</v>
      </c>
      <c r="I3924" s="26">
        <v>43714.374305555597</v>
      </c>
      <c r="J3924" s="23" t="str">
        <f>HYPERLINK("https://www.spark-marketing.ru/Card/Person/57370", "ООО ""КП ""ЭКОПРОДУКТ""")</f>
        <v>ООО "КП "ЭКОПРОДУКТ"</v>
      </c>
      <c r="K3924" s="24" t="s">
        <v>6251</v>
      </c>
      <c r="L3924" s="22" t="s">
        <v>10</v>
      </c>
      <c r="M3924" s="25">
        <v>6534256</v>
      </c>
      <c r="N3924" s="27">
        <v>0</v>
      </c>
    </row>
    <row r="3925" spans="1:14" x14ac:dyDescent="0.2">
      <c r="A3925" s="23" t="str">
        <f>HYPERLINK("https://www.spark-marketing.ru/Card/Person/811044", "ГАУ СО ""УРФА""")</f>
        <v>ГАУ СО "УРФА"</v>
      </c>
      <c r="B3925" s="24" t="s">
        <v>6460</v>
      </c>
      <c r="C3925" s="25">
        <v>117300</v>
      </c>
      <c r="D3925" s="22" t="s">
        <v>6461</v>
      </c>
      <c r="E3925" s="22" t="s">
        <v>6462</v>
      </c>
      <c r="F3925" s="23" t="str">
        <f>HYPERLINK("https://www.spark-marketing.ru/Card/Lot/73273408", "Оказание услуг по временному размещению и питанию спортсменов и тренеров")</f>
        <v>Оказание услуг по временному размещению и питанию спортсменов и тренеров</v>
      </c>
      <c r="G3925" s="22" t="s">
        <v>153</v>
      </c>
      <c r="H3925" s="22" t="s">
        <v>153</v>
      </c>
      <c r="I3925" s="26">
        <v>43714</v>
      </c>
      <c r="J3925" s="28" t="s">
        <v>51</v>
      </c>
      <c r="K3925" s="28" t="s">
        <v>51</v>
      </c>
      <c r="L3925" s="22" t="s">
        <v>10</v>
      </c>
      <c r="M3925" s="25">
        <v>117300</v>
      </c>
      <c r="N3925" s="27">
        <v>0</v>
      </c>
    </row>
    <row r="3926" spans="1:14" x14ac:dyDescent="0.15">
      <c r="A3926" s="23" t="str">
        <f>HYPERLINK("https://www.spark-marketing.ru/Card/Person/4357373", "ООО ""ТРЕСТ РОССЭМ""")</f>
        <v>ООО "ТРЕСТ РОССЭМ"</v>
      </c>
      <c r="B3926" s="24" t="s">
        <v>6463</v>
      </c>
      <c r="C3926" s="25">
        <v>198000</v>
      </c>
      <c r="D3926" s="22" t="s">
        <v>6464</v>
      </c>
      <c r="E3926" s="22" t="s">
        <v>52</v>
      </c>
      <c r="F3926" s="23" t="str">
        <f>HYPERLINK("https://www.spark-marketing.ru/Card/Lot/73282935", "Право заключения договора на оказание услуг по диагностике и ремонту аппаратов рентгеновских переносных РПД-150")</f>
        <v>Право заключения договора на оказание услуг по диагностике и ремонту аппаратов рентгеновских переносных РПД-150</v>
      </c>
      <c r="G3926" s="22" t="s">
        <v>76</v>
      </c>
      <c r="H3926" s="22" t="s">
        <v>940</v>
      </c>
      <c r="I3926" s="26">
        <v>43714</v>
      </c>
      <c r="J3926" s="28" t="s">
        <v>51</v>
      </c>
      <c r="K3926" s="28" t="s">
        <v>51</v>
      </c>
      <c r="L3926" s="28" t="s">
        <v>51</v>
      </c>
      <c r="M3926" s="28" t="s">
        <v>51</v>
      </c>
      <c r="N3926" s="28" t="s">
        <v>51</v>
      </c>
    </row>
    <row r="3927" spans="1:14" x14ac:dyDescent="0.15">
      <c r="A3927" s="23" t="str">
        <f>HYPERLINK("https://www.spark-marketing.ru/Card/Person/4434811", "МАОУ ""АКСАРИНСКАЯ СОШ""")</f>
        <v>МАОУ "АКСАРИНСКАЯ СОШ"</v>
      </c>
      <c r="B3927" s="24" t="s">
        <v>1278</v>
      </c>
      <c r="C3927" s="25">
        <v>136682.70000000001</v>
      </c>
      <c r="D3927" s="22" t="s">
        <v>6465</v>
      </c>
      <c r="E3927" s="22" t="s">
        <v>362</v>
      </c>
      <c r="F3927" s="23" t="str">
        <f>HYPERLINK("https://www.spark-marketing.ru/Card/Lot/73275723", "Оказание услуг по организации питания")</f>
        <v>Оказание услуг по организации питания</v>
      </c>
      <c r="G3927" s="22" t="s">
        <v>766</v>
      </c>
      <c r="H3927" s="22" t="s">
        <v>766</v>
      </c>
      <c r="I3927" s="26">
        <v>43714</v>
      </c>
      <c r="J3927" s="28" t="s">
        <v>51</v>
      </c>
      <c r="K3927" s="28" t="s">
        <v>51</v>
      </c>
      <c r="L3927" s="28" t="s">
        <v>51</v>
      </c>
      <c r="M3927" s="28" t="s">
        <v>51</v>
      </c>
      <c r="N3927" s="28" t="s">
        <v>51</v>
      </c>
    </row>
    <row r="3928" spans="1:14" x14ac:dyDescent="0.15">
      <c r="A3928" s="23" t="str">
        <f>HYPERLINK("https://www.spark-marketing.ru/Card/Person/1758526", "МАОУ ""НОШ № 1""")</f>
        <v>МАОУ "НОШ № 1"</v>
      </c>
      <c r="B3928" s="24" t="s">
        <v>945</v>
      </c>
      <c r="C3928" s="25">
        <v>107018.73</v>
      </c>
      <c r="D3928" s="22" t="s">
        <v>6466</v>
      </c>
      <c r="E3928" s="22" t="s">
        <v>362</v>
      </c>
      <c r="F3928" s="23" t="str">
        <f>HYPERLINK("https://www.spark-marketing.ru/Card/Lot/73283296", "оказание услуг по организации питания учащихся с ограниченными возможностями здоровья")</f>
        <v>оказание услуг по организации питания учащихся с ограниченными возможностями здоровья</v>
      </c>
      <c r="G3928" s="22" t="s">
        <v>153</v>
      </c>
      <c r="H3928" s="22" t="s">
        <v>153</v>
      </c>
      <c r="I3928" s="26">
        <v>43714</v>
      </c>
      <c r="J3928" s="28" t="s">
        <v>51</v>
      </c>
      <c r="K3928" s="28" t="s">
        <v>51</v>
      </c>
      <c r="L3928" s="28" t="s">
        <v>51</v>
      </c>
      <c r="M3928" s="28" t="s">
        <v>51</v>
      </c>
      <c r="N3928" s="28" t="s">
        <v>51</v>
      </c>
    </row>
    <row r="3929" spans="1:14" x14ac:dyDescent="0.15">
      <c r="A3929" s="23" t="str">
        <f>HYPERLINK("https://www.spark-marketing.ru/Card/Person/1660862", "ГАУК Г. МОСКВЫ ""САД КИО ИМ. Н. Э. БАУМАНА""")</f>
        <v>ГАУК Г. МОСКВЫ "САД КИО ИМ. Н. Э. БАУМАНА"</v>
      </c>
      <c r="B3929" s="24" t="s">
        <v>2693</v>
      </c>
      <c r="C3929" s="25">
        <v>29463.08</v>
      </c>
      <c r="D3929" s="22" t="s">
        <v>6467</v>
      </c>
      <c r="E3929" s="22" t="s">
        <v>52</v>
      </c>
      <c r="F3929" s="23" t="str">
        <f>HYPERLINK("https://www.spark-marketing.ru/Card/Lot/73265785", "Право заключения договора на осуществление торговой деятельности (оказание услуг) в нестационарном торговом объекте «Киоск» по адресу: г. Москва, ул. Старая Басманная, ул. Новая Басманная, вл. 15, «Сад им. Баумана», на спортивной площадке (НТО 5) спе...")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ул. Старая Басманная, ул. Новая Басманная, вл. 15, «Сад им. Баумана», на спортивной площадке (НТО 5) спе...</v>
      </c>
      <c r="G3929" s="22" t="s">
        <v>56</v>
      </c>
      <c r="H3929" s="22" t="s">
        <v>56</v>
      </c>
      <c r="I3929" s="26">
        <v>43714</v>
      </c>
      <c r="J3929" s="28" t="s">
        <v>51</v>
      </c>
      <c r="K3929" s="28" t="s">
        <v>51</v>
      </c>
      <c r="L3929" s="28" t="s">
        <v>51</v>
      </c>
      <c r="M3929" s="28" t="s">
        <v>51</v>
      </c>
      <c r="N3929" s="28" t="s">
        <v>51</v>
      </c>
    </row>
    <row r="3930" spans="1:14" x14ac:dyDescent="0.15">
      <c r="A3930" s="23" t="str">
        <f>HYPERLINK("https://www.spark-marketing.ru/Card/Person/1662687", "ГАУК Г. МОСКВЫ ""ПКИО БАБУШКИНСКИЙ""")</f>
        <v>ГАУК Г. МОСКВЫ "ПКИО БАБУШКИНСКИЙ"</v>
      </c>
      <c r="B3930" s="24" t="s">
        <v>6468</v>
      </c>
      <c r="C3930" s="25">
        <v>126000</v>
      </c>
      <c r="D3930" s="22" t="s">
        <v>6469</v>
      </c>
      <c r="E3930" s="22" t="s">
        <v>52</v>
      </c>
      <c r="F3930" s="23" t="str">
        <f>HYPERLINK("https://www.spark-marketing.ru/Card/Lot/73265786", "Право заключения договора на осуществление торговой деятельности (оказание услуг) в нестационарном торговом объекте «Павильон» по адресу: г. Москва, ГАУК г. Москвы «ПКиО «Бабушкинский», Сквер по Олонецкому проезду, площадка на аллее парка напротив ул...")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ГАУК г. Москвы «ПКиО «Бабушкинский», Сквер по Олонецкому проезду, площадка на аллее парка напротив ул...</v>
      </c>
      <c r="G3930" s="22" t="s">
        <v>56</v>
      </c>
      <c r="H3930" s="22" t="s">
        <v>56</v>
      </c>
      <c r="I3930" s="26">
        <v>43714</v>
      </c>
      <c r="J3930" s="28" t="s">
        <v>51</v>
      </c>
      <c r="K3930" s="28" t="s">
        <v>51</v>
      </c>
      <c r="L3930" s="28" t="s">
        <v>51</v>
      </c>
      <c r="M3930" s="28" t="s">
        <v>51</v>
      </c>
      <c r="N3930" s="28" t="s">
        <v>51</v>
      </c>
    </row>
    <row r="3931" spans="1:14" x14ac:dyDescent="0.15">
      <c r="A3931" s="23" t="str">
        <f>HYPERLINK("https://www.spark-marketing.ru/Card/Person/277524", "ГУП АО ""ФОНД ИМУЩЕСТВА И ИНВЕСТИЦИЙ""")</f>
        <v>ГУП АО "ФОНД ИМУЩЕСТВА И ИНВЕСТИЦИЙ"</v>
      </c>
      <c r="B3931" s="24" t="s">
        <v>6470</v>
      </c>
      <c r="C3931" s="25">
        <v>970000</v>
      </c>
      <c r="D3931" s="22" t="s">
        <v>6471</v>
      </c>
      <c r="E3931" s="22" t="s">
        <v>580</v>
      </c>
      <c r="F3931" s="23" t="str">
        <f>HYPERLINK("https://www.spark-marketing.ru/Card/Lot/73284865", "на оказание услуг по организации питания проживающих в Бизнес-центр-отеле «Столица Поморья»")</f>
        <v>на оказание услуг по организации питания проживающих в Бизнес-центр-отеле «Столица Поморья»</v>
      </c>
      <c r="G3931" s="22" t="s">
        <v>214</v>
      </c>
      <c r="H3931" s="22" t="s">
        <v>214</v>
      </c>
      <c r="I3931" s="26">
        <v>43714</v>
      </c>
      <c r="J3931" s="28" t="s">
        <v>51</v>
      </c>
      <c r="K3931" s="28" t="s">
        <v>51</v>
      </c>
      <c r="L3931" s="28" t="s">
        <v>51</v>
      </c>
      <c r="M3931" s="28" t="s">
        <v>51</v>
      </c>
      <c r="N3931" s="28" t="s">
        <v>51</v>
      </c>
    </row>
    <row r="3932" spans="1:14" x14ac:dyDescent="0.15">
      <c r="A3932" s="23" t="str">
        <f>HYPERLINK("https://www.spark-marketing.ru/Card/Person/1748", "ФГАОУ ВО ПЕРВЫЙ МГМУ ИМ.И.М. СЕЧЕНОВА МИНЗДРАВА РОССИИ (СЕЧЕНОВСКИЙ УНИВЕРСИТЕТ)")</f>
        <v>ФГАОУ ВО ПЕРВЫЙ МГМУ ИМ.И.М. СЕЧЕНОВА МИНЗДРАВА РОССИИ (СЕЧЕНОВСКИЙ УНИВЕРСИТЕТ)</v>
      </c>
      <c r="B3932" s="24" t="s">
        <v>6472</v>
      </c>
      <c r="C3932" s="25">
        <v>888552</v>
      </c>
      <c r="D3932" s="22" t="s">
        <v>6473</v>
      </c>
      <c r="E3932" s="22" t="s">
        <v>562</v>
      </c>
      <c r="F3932" s="23" t="str">
        <f>HYPERLINK("https://www.spark-marketing.ru/Card/Lot/73254783", "Оказание услуг по организации питания обучающихся в Ресурсном центре ""Московский Сеченовский Предуниверсарий"" из числа инвалидов, многодетных и социально необеспеченных семей для нужд ФГАОУ ВО Первый МГМУ им. И.М. Сеченова Минздрава России (Сеченов...")</f>
        <v>Оказание услуг по организации питания обучающихся в Ресурсном центре "Московский Сеченовский Предуниверсарий" из числа инвалидов, многодетных и социально необеспеченных семей для нужд ФГАОУ ВО Первый МГМУ им. И.М. Сеченова Минздрава России (Сеченов...</v>
      </c>
      <c r="G3932" s="22" t="s">
        <v>56</v>
      </c>
      <c r="H3932" s="22" t="s">
        <v>56</v>
      </c>
      <c r="I3932" s="26">
        <v>43713</v>
      </c>
      <c r="J3932" s="28" t="s">
        <v>51</v>
      </c>
      <c r="K3932" s="28" t="s">
        <v>51</v>
      </c>
      <c r="L3932" s="28" t="s">
        <v>51</v>
      </c>
      <c r="M3932" s="28" t="s">
        <v>51</v>
      </c>
      <c r="N3932" s="28" t="s">
        <v>51</v>
      </c>
    </row>
    <row r="3933" spans="1:14" x14ac:dyDescent="0.2">
      <c r="A3933" s="23" t="str">
        <f>HYPERLINK("https://www.spark-marketing.ru/Card/Person/1758708", "МАОУ ГИМНАЗИЯ № 2")</f>
        <v>МАОУ ГИМНАЗИЯ № 2</v>
      </c>
      <c r="B3933" s="24" t="s">
        <v>6474</v>
      </c>
      <c r="C3933" s="25">
        <v>214880</v>
      </c>
      <c r="D3933" s="22" t="s">
        <v>6475</v>
      </c>
      <c r="E3933" s="22" t="s">
        <v>362</v>
      </c>
      <c r="F3933" s="23" t="str">
        <f>HYPERLINK("https://www.spark-marketing.ru/Card/Lot/73277946", "Оказание услуг по организации питания учащихся в школьной столовой для обеспечения нужд МАОУ Гимназия № 2 г. Балаково")</f>
        <v>Оказание услуг по организации питания учащихся в школьной столовой для обеспечения нужд МАОУ Гимназия № 2 г. Балаково</v>
      </c>
      <c r="G3933" s="22" t="s">
        <v>351</v>
      </c>
      <c r="H3933" s="22" t="s">
        <v>351</v>
      </c>
      <c r="I3933" s="26">
        <v>43714</v>
      </c>
      <c r="J3933" s="28" t="s">
        <v>51</v>
      </c>
      <c r="K3933" s="28" t="s">
        <v>51</v>
      </c>
      <c r="L3933" s="22" t="s">
        <v>10</v>
      </c>
      <c r="M3933" s="25">
        <v>214880</v>
      </c>
      <c r="N3933" s="27">
        <v>0</v>
      </c>
    </row>
    <row r="3934" spans="1:14" x14ac:dyDescent="0.15">
      <c r="A3934" s="23" t="str">
        <f>HYPERLINK("https://www.spark-marketing.ru/Card/Person/1716154", "ООО ""ТРАНСНЕФТЬ - БАЛТИКА""")</f>
        <v>ООО "ТРАНСНЕФТЬ - БАЛТИКА"</v>
      </c>
      <c r="B3934" s="24" t="s">
        <v>6293</v>
      </c>
      <c r="C3934" s="25">
        <v>760728.53</v>
      </c>
      <c r="D3934" s="22" t="s">
        <v>6476</v>
      </c>
      <c r="E3934" s="22" t="s">
        <v>362</v>
      </c>
      <c r="F3934" s="23" t="str">
        <f>HYPERLINK("https://www.spark-marketing.ru/Card/Lot/73242240", "1800-H05-К-Y12-00224-2020 «""2020-ОСР-ТНБ-01 ""Оказание услуг по организации питания в столовой НПС ""Инякино"" и буфетного обслуживания руководящего состава""»")</f>
        <v>1800-H05-К-Y12-00224-2020 «"2020-ОСР-ТНБ-01 "Оказание услуг по организации питания в столовой НПС "Инякино" и буфетного обслуживания руководящего состава"»</v>
      </c>
      <c r="G3934" s="22" t="s">
        <v>117</v>
      </c>
      <c r="H3934" s="22" t="s">
        <v>117</v>
      </c>
      <c r="I3934" s="26">
        <v>43713</v>
      </c>
      <c r="J3934" s="28" t="s">
        <v>51</v>
      </c>
      <c r="K3934" s="28" t="s">
        <v>51</v>
      </c>
      <c r="L3934" s="28" t="s">
        <v>51</v>
      </c>
      <c r="M3934" s="28" t="s">
        <v>51</v>
      </c>
      <c r="N3934" s="28" t="s">
        <v>51</v>
      </c>
    </row>
    <row r="3935" spans="1:14" x14ac:dyDescent="0.15">
      <c r="A3935" s="23" t="str">
        <f>HYPERLINK("https://www.spark-marketing.ru/Card/Person/1758526", "МАОУ ""НОШ № 1""")</f>
        <v>МАОУ "НОШ № 1"</v>
      </c>
      <c r="B3935" s="24" t="s">
        <v>945</v>
      </c>
      <c r="C3935" s="25">
        <v>293202</v>
      </c>
      <c r="D3935" s="22" t="s">
        <v>6477</v>
      </c>
      <c r="E3935" s="22" t="s">
        <v>362</v>
      </c>
      <c r="F3935" s="23" t="str">
        <f>HYPERLINK("https://www.spark-marketing.ru/Card/Lot/73282166", "оказание услуг по организации питания льготной категории учащихся муниципального автономного общеобразовательного учреждения «Начальная общеобразовательная школа №1»")</f>
        <v>оказание услуг по организации питания льготной категории учащихся муниципального автономного общеобразовательного учреждения «Начальная общеобразовательная школа №1»</v>
      </c>
      <c r="G3935" s="22" t="s">
        <v>153</v>
      </c>
      <c r="H3935" s="22" t="s">
        <v>153</v>
      </c>
      <c r="I3935" s="26">
        <v>43714</v>
      </c>
      <c r="J3935" s="28" t="s">
        <v>51</v>
      </c>
      <c r="K3935" s="28" t="s">
        <v>51</v>
      </c>
      <c r="L3935" s="28" t="s">
        <v>51</v>
      </c>
      <c r="M3935" s="28" t="s">
        <v>51</v>
      </c>
      <c r="N3935" s="28" t="s">
        <v>51</v>
      </c>
    </row>
    <row r="3936" spans="1:14" x14ac:dyDescent="0.15">
      <c r="A3936" s="23" t="str">
        <f>HYPERLINK("https://www.spark-marketing.ru/Card/Person/1324514", "МАОУ ООШ № 10")</f>
        <v>МАОУ ООШ № 10</v>
      </c>
      <c r="B3936" s="24" t="s">
        <v>6478</v>
      </c>
      <c r="C3936" s="25">
        <v>232796.58</v>
      </c>
      <c r="D3936" s="22" t="s">
        <v>6479</v>
      </c>
      <c r="E3936" s="22" t="s">
        <v>362</v>
      </c>
      <c r="F3936" s="23" t="str">
        <f>HYPERLINK("https://www.spark-marketing.ru/Card/Lot/73281935", "Оказание услуг по организации питания")</f>
        <v>Оказание услуг по организации питания</v>
      </c>
      <c r="G3936" s="22" t="s">
        <v>351</v>
      </c>
      <c r="H3936" s="22" t="s">
        <v>351</v>
      </c>
      <c r="I3936" s="26">
        <v>43714</v>
      </c>
      <c r="J3936" s="28" t="s">
        <v>51</v>
      </c>
      <c r="K3936" s="28" t="s">
        <v>51</v>
      </c>
      <c r="L3936" s="28" t="s">
        <v>51</v>
      </c>
      <c r="M3936" s="28" t="s">
        <v>51</v>
      </c>
      <c r="N3936" s="28" t="s">
        <v>51</v>
      </c>
    </row>
    <row r="3937" spans="1:14" x14ac:dyDescent="0.2">
      <c r="A3937" s="23" t="str">
        <f>HYPERLINK("https://www.spark-marketing.ru/Card/Person/120057", "МУ ДО ""ДООЦ ""ДУБКИ""")</f>
        <v>МУ ДО "ДООЦ "ДУБКИ"</v>
      </c>
      <c r="B3937" s="24" t="s">
        <v>6480</v>
      </c>
      <c r="C3937" s="25">
        <v>120000</v>
      </c>
      <c r="D3937" s="22" t="s">
        <v>6481</v>
      </c>
      <c r="E3937" s="22" t="s">
        <v>362</v>
      </c>
      <c r="F3937" s="23" t="str">
        <f>HYPERLINK("https://www.spark-marketing.ru/Card/Lot/73269611", "Услуги по организации питания")</f>
        <v>Услуги по организации питания</v>
      </c>
      <c r="G3937" s="22" t="s">
        <v>351</v>
      </c>
      <c r="H3937" s="22" t="s">
        <v>351</v>
      </c>
      <c r="I3937" s="26">
        <v>43714</v>
      </c>
      <c r="J3937" s="28" t="s">
        <v>51</v>
      </c>
      <c r="K3937" s="28" t="s">
        <v>51</v>
      </c>
      <c r="L3937" s="28" t="s">
        <v>51</v>
      </c>
      <c r="M3937" s="25">
        <v>120000</v>
      </c>
      <c r="N3937" s="27">
        <v>0</v>
      </c>
    </row>
    <row r="3938" spans="1:14" x14ac:dyDescent="0.15">
      <c r="A3938" s="23" t="str">
        <f>HYPERLINK("https://www.spark-marketing.ru/Card/Person/4413858", "ГАУК Г. МОСКВЫ ""МПК ""СЕВЕРНОЕ ТУШИНО""")</f>
        <v>ГАУК Г. МОСКВЫ "МПК "СЕВЕРНОЕ ТУШИНО"</v>
      </c>
      <c r="B3938" s="24" t="s">
        <v>2689</v>
      </c>
      <c r="C3938" s="25">
        <v>42000</v>
      </c>
      <c r="D3938" s="22" t="s">
        <v>6482</v>
      </c>
      <c r="E3938" s="22" t="s">
        <v>52</v>
      </c>
      <c r="F3938" s="23" t="str">
        <f>HYPERLINK("https://www.spark-marketing.ru/Card/Lot/73265781", "Право заключения договора на осуществление торговой деятельности (оказание услуг) в нестационарном торговом объекте «Павильон» по адресу: г. Москва, ГАУК г. Москвы «МПК» Северное Тушино» (парк между каналом им. Москвы и Левобережной улицей), ул. Лево...")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ГАУК г. Москвы «МПК» Северное Тушино» (парк между каналом им. Москвы и Левобережной улицей), ул. Лево...</v>
      </c>
      <c r="G3938" s="22" t="s">
        <v>56</v>
      </c>
      <c r="H3938" s="22" t="s">
        <v>56</v>
      </c>
      <c r="I3938" s="26">
        <v>43714</v>
      </c>
      <c r="J3938" s="28" t="s">
        <v>51</v>
      </c>
      <c r="K3938" s="28" t="s">
        <v>51</v>
      </c>
      <c r="L3938" s="28" t="s">
        <v>51</v>
      </c>
      <c r="M3938" s="28" t="s">
        <v>51</v>
      </c>
      <c r="N3938" s="28" t="s">
        <v>51</v>
      </c>
    </row>
    <row r="3939" spans="1:14" x14ac:dyDescent="0.15">
      <c r="A3939" s="23" t="str">
        <f>HYPERLINK("https://www.spark-marketing.ru/Card/Person/2571928", "ООО ""КРОКУС НАНОЭЛЕКТРОНИКА""")</f>
        <v>ООО "КРОКУС НАНОЭЛЕКТРОНИКА"</v>
      </c>
      <c r="B3939" s="24" t="s">
        <v>1555</v>
      </c>
      <c r="C3939" s="25">
        <v>513791.67</v>
      </c>
      <c r="D3939" s="22" t="s">
        <v>6483</v>
      </c>
      <c r="E3939" s="22" t="s">
        <v>362</v>
      </c>
      <c r="F3939" s="23" t="str">
        <f>HYPERLINK("https://www.spark-marketing.ru/Card/Lot/73278902", "Оказание услуг по организации питания за август 2019 г.")</f>
        <v>Оказание услуг по организации питания за август 2019 г.</v>
      </c>
      <c r="G3939" s="22" t="s">
        <v>56</v>
      </c>
      <c r="H3939" s="22" t="s">
        <v>56</v>
      </c>
      <c r="I3939" s="26">
        <v>43714</v>
      </c>
      <c r="J3939" s="28" t="s">
        <v>51</v>
      </c>
      <c r="K3939" s="28" t="s">
        <v>51</v>
      </c>
      <c r="L3939" s="28" t="s">
        <v>51</v>
      </c>
      <c r="M3939" s="28" t="s">
        <v>51</v>
      </c>
      <c r="N3939" s="28" t="s">
        <v>51</v>
      </c>
    </row>
    <row r="3940" spans="1:14" x14ac:dyDescent="0.15">
      <c r="A3940" s="23" t="str">
        <f>HYPERLINK("https://www.spark-marketing.ru/Card/Person/4855449", "МОСКОВСКИЙ ПОЛИТЕХНИЧЕСКИЙ УНИВЕРСИТЕТ, МОСКОВСКИЙ ПОЛИТЕХ, ПОЛИТЕХ")</f>
        <v>МОСКОВСКИЙ ПОЛИТЕХНИЧЕСКИЙ УНИВЕРСИТЕТ, МОСКОВСКИЙ ПОЛИТЕХ, ПОЛИТЕХ</v>
      </c>
      <c r="B3940" s="24" t="s">
        <v>6484</v>
      </c>
      <c r="C3940" s="25">
        <v>361100</v>
      </c>
      <c r="D3940" s="22" t="s">
        <v>6485</v>
      </c>
      <c r="E3940" s="22" t="s">
        <v>6486</v>
      </c>
      <c r="F3940" s="23" t="str">
        <f>HYPERLINK("https://www.spark-marketing.ru/Card/Lot/73280026", "Оказание услуг по организации питания участников мероприятий Московского Политеха")</f>
        <v>Оказание услуг по организации питания участников мероприятий Московского Политеха</v>
      </c>
      <c r="G3940" s="22" t="s">
        <v>56</v>
      </c>
      <c r="H3940" s="22" t="s">
        <v>56</v>
      </c>
      <c r="I3940" s="26">
        <v>43714</v>
      </c>
      <c r="J3940" s="28" t="s">
        <v>51</v>
      </c>
      <c r="K3940" s="28" t="s">
        <v>51</v>
      </c>
      <c r="L3940" s="28" t="s">
        <v>51</v>
      </c>
      <c r="M3940" s="28" t="s">
        <v>51</v>
      </c>
      <c r="N3940" s="28" t="s">
        <v>51</v>
      </c>
    </row>
    <row r="3941" spans="1:14" x14ac:dyDescent="0.15">
      <c r="A3941" s="23" t="str">
        <f>HYPERLINK("https://www.spark-marketing.ru/Card/Person/6239", "ЮРГПУ(НПИ) ФГБОУ ВО ""ЮРГПУ(НПИ) ИМЕНИ М.И.ПЛАТОВА"" ЮЖНО-РОССИЙСКИЙ ГОСУДАРСТВЕННЫЙ ПОЛИТЕХНИЧЕСКИЙ УНИВЕРСИТЕТ (НПИ) ИМЕНИ М.И. ПЛАТОВА ФГБОУ ВО ""ЮЖНО-РОССИЙСКИЙ ГОСУДАРСТВЕННЫЙ ПОЛИТЕХНИЧЕСКИЙ УНИВЕРСИТЕТ (НПИ) ИМЕНИ М.И. ПЛАТОВА""")</f>
        <v>ЮРГПУ(НПИ) ФГБОУ ВО "ЮРГПУ(НПИ) ИМЕНИ М.И.ПЛАТОВА" ЮЖНО-РОССИЙСКИЙ ГОСУДАРСТВЕННЫЙ ПОЛИТЕХНИЧЕСКИЙ УНИВЕРСИТЕТ (НПИ) ИМЕНИ М.И. ПЛАТОВА ФГБОУ ВО "ЮЖНО-РОССИЙСКИЙ ГОСУДАРСТВЕННЫЙ ПОЛИТЕХНИЧЕСКИЙ УНИВЕРСИТЕТ (НПИ) ИМЕНИ М.И. ПЛАТОВА"</v>
      </c>
      <c r="B3941" s="24" t="s">
        <v>6487</v>
      </c>
      <c r="C3941" s="25">
        <v>500000</v>
      </c>
      <c r="D3941" s="22" t="s">
        <v>6488</v>
      </c>
      <c r="E3941" s="22" t="s">
        <v>362</v>
      </c>
      <c r="F3941" s="23" t="str">
        <f>HYPERLINK("https://www.spark-marketing.ru/Card/Lot/73276524", "Оказание услуг общественного питания (кейтеринговое обслуживание) участников мероприятий, проводимых ФГБОУ ВО ""ЮРГПУ (НПИ) имени М.И. Платова""")</f>
        <v>Оказание услуг общественного питания (кейтеринговое обслуживание) участников мероприятий, проводимых ФГБОУ ВО "ЮРГПУ (НПИ) имени М.И. Платова"</v>
      </c>
      <c r="G3941" s="22" t="s">
        <v>267</v>
      </c>
      <c r="H3941" s="22" t="s">
        <v>267</v>
      </c>
      <c r="I3941" s="26">
        <v>43714</v>
      </c>
      <c r="J3941" s="28" t="s">
        <v>51</v>
      </c>
      <c r="K3941" s="28" t="s">
        <v>51</v>
      </c>
      <c r="L3941" s="28" t="s">
        <v>51</v>
      </c>
      <c r="M3941" s="28" t="s">
        <v>51</v>
      </c>
      <c r="N3941" s="28" t="s">
        <v>51</v>
      </c>
    </row>
    <row r="3942" spans="1:14" x14ac:dyDescent="0.15">
      <c r="A3942" s="23" t="str">
        <f>HYPERLINK("https://www.spark-marketing.ru/Card/Person/1453923", "МАОУ СОШ № 30")</f>
        <v>МАОУ СОШ № 30</v>
      </c>
      <c r="B3942" s="24" t="s">
        <v>6489</v>
      </c>
      <c r="C3942" s="25">
        <v>518240</v>
      </c>
      <c r="D3942" s="22" t="s">
        <v>6490</v>
      </c>
      <c r="E3942" s="22" t="s">
        <v>362</v>
      </c>
      <c r="F3942" s="23" t="str">
        <f>HYPERLINK("https://www.spark-marketing.ru/Card/Lot/73270642", "оказание услуг по организации горячим питанием детей")</f>
        <v>оказание услуг по организации горячим питанием детей</v>
      </c>
      <c r="G3942" s="22" t="s">
        <v>153</v>
      </c>
      <c r="H3942" s="22" t="s">
        <v>153</v>
      </c>
      <c r="I3942" s="26">
        <v>43714</v>
      </c>
      <c r="J3942" s="28" t="s">
        <v>51</v>
      </c>
      <c r="K3942" s="28" t="s">
        <v>51</v>
      </c>
      <c r="L3942" s="28" t="s">
        <v>51</v>
      </c>
      <c r="M3942" s="28" t="s">
        <v>51</v>
      </c>
      <c r="N3942" s="28" t="s">
        <v>51</v>
      </c>
    </row>
    <row r="3943" spans="1:14" x14ac:dyDescent="0.2">
      <c r="A3943" s="23" t="str">
        <f>HYPERLINK("https://www.spark-marketing.ru/Card/Person/1481691", "МАОУ ООШ С. ЕЛАНКА")</f>
        <v>МАОУ ООШ С. ЕЛАНКА</v>
      </c>
      <c r="B3943" s="24" t="s">
        <v>6491</v>
      </c>
      <c r="C3943" s="25">
        <v>101555.79</v>
      </c>
      <c r="D3943" s="22" t="s">
        <v>6492</v>
      </c>
      <c r="E3943" s="22" t="s">
        <v>6493</v>
      </c>
      <c r="F3943" s="23" t="str">
        <f>HYPERLINK("https://www.spark-marketing.ru/Card/Lot/73245888", "поставка продуктов питания")</f>
        <v>поставка продуктов питания</v>
      </c>
      <c r="G3943" s="22" t="s">
        <v>351</v>
      </c>
      <c r="H3943" s="22" t="s">
        <v>351</v>
      </c>
      <c r="I3943" s="26">
        <v>43713</v>
      </c>
      <c r="J3943" s="28" t="s">
        <v>51</v>
      </c>
      <c r="K3943" s="28" t="s">
        <v>51</v>
      </c>
      <c r="L3943" s="22" t="s">
        <v>10</v>
      </c>
      <c r="M3943" s="25">
        <v>101375.5</v>
      </c>
      <c r="N3943" s="27">
        <v>1.7752803656000313E-3</v>
      </c>
    </row>
    <row r="3944" spans="1:14" x14ac:dyDescent="0.2">
      <c r="A3944" s="23" t="str">
        <f>HYPERLINK("https://www.spark-marketing.ru/Card/Person/1759787", "ГАУ ВО ЦСП ""ОЛИМП""")</f>
        <v>ГАУ ВО ЦСП "ОЛИМП"</v>
      </c>
      <c r="B3944" s="24" t="s">
        <v>4408</v>
      </c>
      <c r="C3944" s="25">
        <v>105400</v>
      </c>
      <c r="D3944" s="22" t="s">
        <v>6494</v>
      </c>
      <c r="E3944" s="22" t="s">
        <v>6495</v>
      </c>
      <c r="F3944" s="23" t="str">
        <f>HYPERLINK("https://www.spark-marketing.ru/Card/Lot/73279317", "Услуги по обеспечению участия команды Волгоградской области во Всероссийских спортивных играх школьников «Президентские спортивные игры», команды МОУ «Средняя школа № 100 Кировского района Волгограда», с 09 по 30 сентября 2019 г. (проезд, проживание,...")</f>
        <v>Услуги по обеспечению участия команды Волгоградской области во Всероссийских спортивных играх школьников «Президентские спортивные игры», команды МОУ «Средняя школа № 100 Кировского района Волгограда», с 09 по 30 сентября 2019 г. (проезд, проживание,...</v>
      </c>
      <c r="G3944" s="22" t="s">
        <v>104</v>
      </c>
      <c r="H3944" s="22" t="s">
        <v>104</v>
      </c>
      <c r="I3944" s="26">
        <v>43714</v>
      </c>
      <c r="J3944" s="28" t="s">
        <v>51</v>
      </c>
      <c r="K3944" s="28" t="s">
        <v>51</v>
      </c>
      <c r="L3944" s="22" t="s">
        <v>10</v>
      </c>
      <c r="M3944" s="25">
        <v>105400</v>
      </c>
      <c r="N3944" s="27">
        <v>0</v>
      </c>
    </row>
    <row r="3945" spans="1:14" x14ac:dyDescent="0.15">
      <c r="A3945" s="23" t="str">
        <f>HYPERLINK("https://www.spark-marketing.ru/Card/Person/1463554", "ГАУ СО ""УСМ""")</f>
        <v>ГАУ СО "УСМ"</v>
      </c>
      <c r="B3945" s="24" t="s">
        <v>6496</v>
      </c>
      <c r="C3945" s="25">
        <v>499500</v>
      </c>
      <c r="D3945" s="22" t="s">
        <v>6497</v>
      </c>
      <c r="E3945" s="22" t="s">
        <v>362</v>
      </c>
      <c r="F3945" s="23" t="str">
        <f>HYPERLINK("https://www.spark-marketing.ru/Card/Lot/73330640", "Услуги по организации питания волонтеров Чемпионата мира по пожарно-спасательному спорту")</f>
        <v>Услуги по организации питания волонтеров Чемпионата мира по пожарно-спасательному спорту</v>
      </c>
      <c r="G3945" s="22" t="s">
        <v>351</v>
      </c>
      <c r="H3945" s="22" t="s">
        <v>351</v>
      </c>
      <c r="I3945" s="26">
        <v>43718</v>
      </c>
      <c r="J3945" s="28" t="s">
        <v>51</v>
      </c>
      <c r="K3945" s="28" t="s">
        <v>51</v>
      </c>
      <c r="L3945" s="28" t="s">
        <v>51</v>
      </c>
      <c r="M3945" s="28" t="s">
        <v>51</v>
      </c>
      <c r="N3945" s="28" t="s">
        <v>51</v>
      </c>
    </row>
    <row r="3946" spans="1:14" x14ac:dyDescent="0.15">
      <c r="A3946" s="23" t="str">
        <f>HYPERLINK("https://www.spark-marketing.ru/Card/Person/4384094", "МАОУ СОШ № 16")</f>
        <v>МАОУ СОШ № 16</v>
      </c>
      <c r="B3946" s="24" t="s">
        <v>6498</v>
      </c>
      <c r="C3946" s="25">
        <v>239212</v>
      </c>
      <c r="D3946" s="22" t="s">
        <v>6499</v>
      </c>
      <c r="E3946" s="22" t="s">
        <v>362</v>
      </c>
      <c r="F3946" s="23" t="str">
        <f>HYPERLINK("https://www.spark-marketing.ru/Card/Lot/73270581", "Оказание услуг по организации питания")</f>
        <v>Оказание услуг по организации питания</v>
      </c>
      <c r="G3946" s="22" t="s">
        <v>351</v>
      </c>
      <c r="H3946" s="22" t="s">
        <v>351</v>
      </c>
      <c r="I3946" s="26">
        <v>43714</v>
      </c>
      <c r="J3946" s="28" t="s">
        <v>51</v>
      </c>
      <c r="K3946" s="28" t="s">
        <v>51</v>
      </c>
      <c r="L3946" s="28" t="s">
        <v>51</v>
      </c>
      <c r="M3946" s="28" t="s">
        <v>51</v>
      </c>
      <c r="N3946" s="28" t="s">
        <v>51</v>
      </c>
    </row>
    <row r="3947" spans="1:14" x14ac:dyDescent="0.15">
      <c r="A3947" s="23" t="str">
        <f>HYPERLINK("https://www.spark-marketing.ru/Card/Person/540172", "ОГАУ ""ФК ""САХАЛИН""")</f>
        <v>ОГАУ "ФК "САХАЛИН"</v>
      </c>
      <c r="B3947" s="24" t="s">
        <v>1416</v>
      </c>
      <c r="C3947" s="25">
        <v>1070550</v>
      </c>
      <c r="D3947" s="22" t="s">
        <v>6500</v>
      </c>
      <c r="E3947" s="22" t="s">
        <v>1418</v>
      </c>
      <c r="F3947" s="23" t="str">
        <f>HYPERLINK("https://www.spark-marketing.ru/Card/Lot/73269400", "Оказание услуг по организации проживания и питания")</f>
        <v>Оказание услуг по организации проживания и питания</v>
      </c>
      <c r="G3947" s="22" t="s">
        <v>260</v>
      </c>
      <c r="H3947" s="22" t="s">
        <v>260</v>
      </c>
      <c r="I3947" s="26">
        <v>43714</v>
      </c>
      <c r="J3947" s="28" t="s">
        <v>51</v>
      </c>
      <c r="K3947" s="28" t="s">
        <v>51</v>
      </c>
      <c r="L3947" s="28" t="s">
        <v>51</v>
      </c>
      <c r="M3947" s="28" t="s">
        <v>51</v>
      </c>
      <c r="N3947" s="28" t="s">
        <v>51</v>
      </c>
    </row>
    <row r="3948" spans="1:14" x14ac:dyDescent="0.2">
      <c r="A3948" s="23" t="str">
        <f>HYPERLINK("https://www.spark-marketing.ru/Card/Person/4348376", "АО ""ЖТК""")</f>
        <v>АО "ЖТК"</v>
      </c>
      <c r="B3948" s="24" t="s">
        <v>2312</v>
      </c>
      <c r="C3948" s="25">
        <v>994000</v>
      </c>
      <c r="D3948" s="22" t="s">
        <v>6501</v>
      </c>
      <c r="E3948" s="22" t="s">
        <v>6502</v>
      </c>
      <c r="F3948" s="23" t="str">
        <f>HYPERLINK("https://www.spark-marketing.ru/Card/Lot/73310537", "Поставка безалкогольных напитков для предприятий общественного питания Свободненского ТПО, оказывающих услуги питания работникам ОАО ""РЖД""")</f>
        <v>Поставка безалкогольных напитков для предприятий общественного питания Свободненского ТПО, оказывающих услуги питания работникам ОАО "РЖД"</v>
      </c>
      <c r="G3948" s="22" t="s">
        <v>210</v>
      </c>
      <c r="H3948" s="22" t="s">
        <v>210</v>
      </c>
      <c r="I3948" s="26">
        <v>43717</v>
      </c>
      <c r="J3948" s="28" t="s">
        <v>51</v>
      </c>
      <c r="K3948" s="28" t="s">
        <v>51</v>
      </c>
      <c r="L3948" s="28" t="s">
        <v>51</v>
      </c>
      <c r="M3948" s="25">
        <v>994000</v>
      </c>
      <c r="N3948" s="27">
        <v>0</v>
      </c>
    </row>
    <row r="3949" spans="1:14" x14ac:dyDescent="0.15">
      <c r="A3949" s="23" t="str">
        <f>HYPERLINK("https://www.spark-marketing.ru/Card/Person/1756753", "ГАУ МО ""ЦСП № 6""")</f>
        <v>ГАУ МО "ЦСП № 6"</v>
      </c>
      <c r="B3949" s="24" t="s">
        <v>6503</v>
      </c>
      <c r="C3949" s="25">
        <v>241400</v>
      </c>
      <c r="D3949" s="22" t="s">
        <v>6504</v>
      </c>
      <c r="E3949" s="22" t="s">
        <v>6505</v>
      </c>
      <c r="F3949" s="23" t="str">
        <f>HYPERLINK("https://www.spark-marketing.ru/Card/Lot/73269505", "Услуги по организации спортивных мероприятий ( обеспечение проживания и питание, ВК Искра, Кубок России Предварительный этап)")</f>
        <v>Услуги по организации спортивных мероприятий ( обеспечение проживания и питание, ВК Искра, Кубок России Предварительный этап)</v>
      </c>
      <c r="G3949" s="22" t="s">
        <v>49</v>
      </c>
      <c r="H3949" s="22" t="s">
        <v>577</v>
      </c>
      <c r="I3949" s="26">
        <v>43714</v>
      </c>
      <c r="J3949" s="28" t="s">
        <v>51</v>
      </c>
      <c r="K3949" s="28" t="s">
        <v>51</v>
      </c>
      <c r="L3949" s="28" t="s">
        <v>51</v>
      </c>
      <c r="M3949" s="28" t="s">
        <v>51</v>
      </c>
      <c r="N3949" s="28" t="s">
        <v>51</v>
      </c>
    </row>
    <row r="3950" spans="1:14" x14ac:dyDescent="0.15">
      <c r="A3950" s="23" t="str">
        <f>HYPERLINK("https://www.spark-marketing.ru/Card/Person/13502", "АДМИНИСТРАЦИЯ АРОМАШЕВСКОГО РАЙОНА")</f>
        <v>АДМИНИСТРАЦИЯ АРОМАШЕВСКОГО РАЙОНА</v>
      </c>
      <c r="B3950" s="24" t="s">
        <v>6506</v>
      </c>
      <c r="C3950" s="28" t="s">
        <v>51</v>
      </c>
      <c r="D3950" s="22" t="s">
        <v>6507</v>
      </c>
      <c r="E3950" s="22" t="s">
        <v>6508</v>
      </c>
      <c r="F3950" s="23" t="str">
        <f>HYPERLINK("https://www.spark-marketing.ru/Card/Lot/73251799", "предварительный отбор участников закупки в целях ликвидации последствий чрезвычайных ситуаций природного или техногенного характера, в целях формирования перечня поставщиков для последующего осуществления у них закупок товаров путем проведения запрос...")</f>
        <v>предварительный отбор участников закупки в целях ликвидации последствий чрезвычайных ситуаций природного или техногенного характера, в целях формирования перечня поставщиков для последующего осуществления у них закупок товаров путем проведения запрос...</v>
      </c>
      <c r="G3950" s="22" t="s">
        <v>766</v>
      </c>
      <c r="H3950" s="22" t="s">
        <v>6509</v>
      </c>
      <c r="I3950" s="26">
        <v>43713.642361111102</v>
      </c>
      <c r="J3950" s="28" t="s">
        <v>51</v>
      </c>
      <c r="K3950" s="28" t="s">
        <v>51</v>
      </c>
      <c r="L3950" s="28" t="s">
        <v>51</v>
      </c>
      <c r="M3950" s="28" t="s">
        <v>51</v>
      </c>
      <c r="N3950" s="28" t="s">
        <v>51</v>
      </c>
    </row>
    <row r="3951" spans="1:14" hidden="1" outlineLevel="1" x14ac:dyDescent="0.15">
      <c r="A3951" s="23" t="str">
        <f>HYPERLINK("https://www.spark-marketing.ru/Card/Person/13502", "АДМИНИСТРАЦИЯ АРОМАШЕВСКОГО РАЙОНА")</f>
        <v>АДМИНИСТРАЦИЯ АРОМАШЕВСКОГО РАЙОНА</v>
      </c>
      <c r="B3951" s="24" t="s">
        <v>6506</v>
      </c>
      <c r="C3951" s="28" t="s">
        <v>51</v>
      </c>
      <c r="D3951" s="22" t="s">
        <v>6507</v>
      </c>
      <c r="E3951" s="22" t="s">
        <v>6508</v>
      </c>
      <c r="F3951" s="23" t="str">
        <f>HYPERLINK("https://www.spark-marketing.ru/Card/Lot/73251799", "предварительный отбор участников закупки в целях ликвидации последствий чрезвычайных ситуаций природного или техногенного характера, в целях формирования перечня поставщиков для последующего осуществления у них закупок товаров путем проведения запрос...")</f>
        <v>предварительный отбор участников закупки в целях ликвидации последствий чрезвычайных ситуаций природного или техногенного характера, в целях формирования перечня поставщиков для последующего осуществления у них закупок товаров путем проведения запрос...</v>
      </c>
      <c r="G3951" s="22" t="s">
        <v>766</v>
      </c>
      <c r="H3951" s="22" t="s">
        <v>6509</v>
      </c>
      <c r="I3951" s="26">
        <v>43713.642361111102</v>
      </c>
      <c r="J3951" s="23" t="str">
        <f>HYPERLINK("https://www.spark-marketing.ru/Card/Person/2295344", "СПО")</f>
        <v>СПО</v>
      </c>
      <c r="K3951" s="24" t="s">
        <v>6510</v>
      </c>
      <c r="L3951" s="28" t="s">
        <v>51</v>
      </c>
      <c r="M3951" s="28" t="s">
        <v>51</v>
      </c>
      <c r="N3951" s="28" t="s">
        <v>51</v>
      </c>
    </row>
    <row r="3952" spans="1:14" hidden="1" outlineLevel="1" x14ac:dyDescent="0.15">
      <c r="A3952" s="23" t="str">
        <f>HYPERLINK("https://www.spark-marketing.ru/Card/Person/13502", "АДМИНИСТРАЦИЯ АРОМАШЕВСКОГО РАЙОНА")</f>
        <v>АДМИНИСТРАЦИЯ АРОМАШЕВСКОГО РАЙОНА</v>
      </c>
      <c r="B3952" s="24" t="s">
        <v>6506</v>
      </c>
      <c r="C3952" s="28" t="s">
        <v>51</v>
      </c>
      <c r="D3952" s="22" t="s">
        <v>6507</v>
      </c>
      <c r="E3952" s="22" t="s">
        <v>6508</v>
      </c>
      <c r="F3952" s="23" t="str">
        <f>HYPERLINK("https://www.spark-marketing.ru/Card/Lot/73251799", "предварительный отбор участников закупки в целях ликвидации последствий чрезвычайных ситуаций природного или техногенного характера, в целях формирования перечня поставщиков для последующего осуществления у них закупок товаров путем проведения запрос...")</f>
        <v>предварительный отбор участников закупки в целях ликвидации последствий чрезвычайных ситуаций природного или техногенного характера, в целях формирования перечня поставщиков для последующего осуществления у них закупок товаров путем проведения запрос...</v>
      </c>
      <c r="G3952" s="22" t="s">
        <v>766</v>
      </c>
      <c r="H3952" s="22" t="s">
        <v>6509</v>
      </c>
      <c r="I3952" s="26">
        <v>43713.642361111102</v>
      </c>
      <c r="J3952" s="23" t="str">
        <f>HYPERLINK("https://www.spark-marketing.ru/Card/Person/6709616", "Коробейникова Наталья Анатольевна")</f>
        <v>Коробейникова Наталья Анатольевна</v>
      </c>
      <c r="K3952" s="24" t="s">
        <v>6511</v>
      </c>
      <c r="L3952" s="28" t="s">
        <v>51</v>
      </c>
      <c r="M3952" s="28" t="s">
        <v>51</v>
      </c>
      <c r="N3952" s="28" t="s">
        <v>51</v>
      </c>
    </row>
    <row r="3953" spans="1:14" hidden="1" outlineLevel="1" x14ac:dyDescent="0.15">
      <c r="A3953" s="23" t="str">
        <f>HYPERLINK("https://www.spark-marketing.ru/Card/Person/13502", "АДМИНИСТРАЦИЯ АРОМАШЕВСКОГО РАЙОНА")</f>
        <v>АДМИНИСТРАЦИЯ АРОМАШЕВСКОГО РАЙОНА</v>
      </c>
      <c r="B3953" s="24" t="s">
        <v>6506</v>
      </c>
      <c r="C3953" s="28" t="s">
        <v>51</v>
      </c>
      <c r="D3953" s="22" t="s">
        <v>6507</v>
      </c>
      <c r="E3953" s="22" t="s">
        <v>6508</v>
      </c>
      <c r="F3953" s="23" t="str">
        <f>HYPERLINK("https://www.spark-marketing.ru/Card/Lot/73251799", "предварительный отбор участников закупки в целях ликвидации последствий чрезвычайных ситуаций природного или техногенного характера, в целях формирования перечня поставщиков для последующего осуществления у них закупок товаров путем проведения запрос...")</f>
        <v>предварительный отбор участников закупки в целях ликвидации последствий чрезвычайных ситуаций природного или техногенного характера, в целях формирования перечня поставщиков для последующего осуществления у них закупок товаров путем проведения запрос...</v>
      </c>
      <c r="G3953" s="22" t="s">
        <v>766</v>
      </c>
      <c r="H3953" s="22" t="s">
        <v>6509</v>
      </c>
      <c r="I3953" s="26">
        <v>43713.642361111102</v>
      </c>
      <c r="J3953" s="23" t="str">
        <f>HYPERLINK("https://www.spark-marketing.ru/Card/Person/4924247", "Суходоев Никита Дмитриевич")</f>
        <v>Суходоев Никита Дмитриевич</v>
      </c>
      <c r="K3953" s="24" t="s">
        <v>6512</v>
      </c>
      <c r="L3953" s="28" t="s">
        <v>51</v>
      </c>
      <c r="M3953" s="28" t="s">
        <v>51</v>
      </c>
      <c r="N3953" s="28" t="s">
        <v>51</v>
      </c>
    </row>
    <row r="3954" spans="1:14" x14ac:dyDescent="0.2">
      <c r="A3954" s="23" t="str">
        <f>HYPERLINK("https://www.spark-marketing.ru/Card/Person/1019157", "МБОУ Г. АСТРАХАНИ ""СОШ № 74 ИМЕНИ Г.ТУКАЯ""")</f>
        <v>МБОУ Г. АСТРАХАНИ "СОШ № 74 ИМЕНИ Г.ТУКАЯ"</v>
      </c>
      <c r="B3954" s="24" t="s">
        <v>6513</v>
      </c>
      <c r="C3954" s="25">
        <v>359986.8</v>
      </c>
      <c r="D3954" s="22" t="s">
        <v>6514</v>
      </c>
      <c r="E3954" s="22" t="s">
        <v>52</v>
      </c>
      <c r="F3954" s="23" t="str">
        <f>HYPERLINK("https://www.spark-marketing.ru/Card/Lot/73800382", "Услуги по организации питания детей в группах продленного дня")</f>
        <v>Услуги по организации питания детей в группах продленного дня</v>
      </c>
      <c r="G3954" s="22" t="s">
        <v>141</v>
      </c>
      <c r="H3954" s="22" t="s">
        <v>2201</v>
      </c>
      <c r="I3954" s="26">
        <v>43713.959027777797</v>
      </c>
      <c r="J3954" s="28" t="s">
        <v>51</v>
      </c>
      <c r="K3954" s="28" t="s">
        <v>51</v>
      </c>
      <c r="L3954" s="28" t="s">
        <v>51</v>
      </c>
      <c r="M3954" s="25">
        <v>359986.8</v>
      </c>
      <c r="N3954" s="27">
        <v>0</v>
      </c>
    </row>
    <row r="3955" spans="1:14" x14ac:dyDescent="0.15">
      <c r="A3955" s="23" t="str">
        <f>HYPERLINK("https://www.spark-marketing.ru/Card/Person/1014339", "МБОУ СОШ № 2")</f>
        <v>МБОУ СОШ № 2</v>
      </c>
      <c r="B3955" s="24" t="s">
        <v>6515</v>
      </c>
      <c r="C3955" s="25">
        <v>820600</v>
      </c>
      <c r="D3955" s="22" t="s">
        <v>6516</v>
      </c>
      <c r="E3955" s="22" t="s">
        <v>48</v>
      </c>
      <c r="F3955" s="23" t="str">
        <f>HYPERLINK("https://www.spark-marketing.ru/Card/Lot/73260277", "Оказание услуг по организации питания учащихся")</f>
        <v>Оказание услуг по организации питания учащихся</v>
      </c>
      <c r="G3955" s="22" t="s">
        <v>97</v>
      </c>
      <c r="H3955" s="22" t="s">
        <v>1127</v>
      </c>
      <c r="I3955" s="26">
        <v>43713.708333333299</v>
      </c>
      <c r="J3955" s="23" t="str">
        <f>HYPERLINK("https://www.spark-marketing.ru/Card/Person/930688", "УП ""КОМБИНАТ ОБЩЕСТВЕННОГО ПИТАНИЯ"" ГОРОДА РАДУЖНЫЙ")</f>
        <v>УП "КОМБИНАТ ОБЩЕСТВЕННОГО ПИТАНИЯ" ГОРОДА РАДУЖНЫЙ</v>
      </c>
      <c r="K3955" s="24" t="s">
        <v>1428</v>
      </c>
      <c r="L3955" s="22" t="s">
        <v>10</v>
      </c>
      <c r="M3955" s="28" t="s">
        <v>51</v>
      </c>
      <c r="N3955" s="28" t="s">
        <v>51</v>
      </c>
    </row>
    <row r="3956" spans="1:14" x14ac:dyDescent="0.15">
      <c r="A3956" s="23" t="str">
        <f>HYPERLINK("https://www.spark-marketing.ru/Card/Person/3025", "ФКУ ""ЦХИСО УМВД ПО ЕВРЕЙСКОЙ АВТОНОМНОЙ ОБЛАСТИ""")</f>
        <v>ФКУ "ЦХИСО УМВД ПО ЕВРЕЙСКОЙ АВТОНОМНОЙ ОБЛАСТИ"</v>
      </c>
      <c r="B3956" s="24" t="s">
        <v>6517</v>
      </c>
      <c r="C3956" s="25">
        <v>6000000</v>
      </c>
      <c r="D3956" s="22" t="s">
        <v>6518</v>
      </c>
      <c r="E3956" s="22" t="s">
        <v>96</v>
      </c>
      <c r="F3956" s="23" t="str">
        <f>HYPERLINK("https://www.spark-marketing.ru/Card/Lot/73246487", "Оказание услуг по организации питания лиц, содержащихся в изоляторе временного содержания, лиц подвергнутых административному аресту содержащихся в специальном приемнике, лиц содержащихся в специальном помещении дежурной части МОМВД России «Биробиджа...")</f>
        <v>Оказание услуг по организации питания лиц, содержащихся в изоляторе временного содержания, лиц подвергнутых административному аресту содержащихся в специальном приемнике, лиц содержащихся в специальном помещении дежурной части МОМВД России «Биробиджа...</v>
      </c>
      <c r="G3956" s="22" t="s">
        <v>4451</v>
      </c>
      <c r="H3956" s="22" t="s">
        <v>4452</v>
      </c>
      <c r="I3956" s="26">
        <v>43713.711805555598</v>
      </c>
      <c r="J3956" s="23" t="str">
        <f>HYPERLINK("https://www.spark-marketing.ru/Card/Person/4900001", "Борохович Татьяна Александровна")</f>
        <v>Борохович Татьяна Александровна</v>
      </c>
      <c r="K3956" s="24" t="s">
        <v>6519</v>
      </c>
      <c r="L3956" s="22" t="s">
        <v>10</v>
      </c>
      <c r="M3956" s="28" t="s">
        <v>51</v>
      </c>
      <c r="N3956" s="28" t="s">
        <v>51</v>
      </c>
    </row>
    <row r="3957" spans="1:14" x14ac:dyDescent="0.15">
      <c r="A3957" s="23" t="str">
        <f>HYPERLINK("https://www.spark-marketing.ru/Card/Person/4191", "МВД ПО РЕСПУБЛИКЕ КОМИ")</f>
        <v>МВД ПО РЕСПУБЛИКЕ КОМИ</v>
      </c>
      <c r="B3957" s="24" t="s">
        <v>6520</v>
      </c>
      <c r="C3957" s="25">
        <v>270000</v>
      </c>
      <c r="D3957" s="22" t="s">
        <v>6521</v>
      </c>
      <c r="E3957" s="22" t="s">
        <v>48</v>
      </c>
      <c r="F3957" s="23" t="str">
        <f>HYPERLINK("https://www.spark-marketing.ru/Card/Lot/73257618", "Оказание услуг по организации питания (приготовление и доставка) для несовершеннолетних лиц, 1 усл. ед")</f>
        <v>Оказание услуг по организации питания (приготовление и доставка) для несовершеннолетних лиц, 1 усл. ед</v>
      </c>
      <c r="G3957" s="22" t="s">
        <v>271</v>
      </c>
      <c r="H3957" s="22" t="s">
        <v>1282</v>
      </c>
      <c r="I3957" s="26">
        <v>43713.732974537001</v>
      </c>
      <c r="J3957" s="28" t="s">
        <v>51</v>
      </c>
      <c r="K3957" s="28" t="s">
        <v>51</v>
      </c>
      <c r="L3957" s="28" t="s">
        <v>51</v>
      </c>
      <c r="M3957" s="28" t="s">
        <v>51</v>
      </c>
      <c r="N3957" s="28" t="s">
        <v>51</v>
      </c>
    </row>
    <row r="3958" spans="1:14" x14ac:dyDescent="0.15">
      <c r="A3958" s="23" t="str">
        <f>HYPERLINK("https://www.spark-marketing.ru/Card/Person/101107", "УМВД РОССИИ ПО Г.ЧЕРЕПОВЦУ")</f>
        <v>УМВД РОССИИ ПО Г.ЧЕРЕПОВЦУ</v>
      </c>
      <c r="B3958" s="24" t="s">
        <v>6522</v>
      </c>
      <c r="C3958" s="25">
        <v>842000</v>
      </c>
      <c r="D3958" s="22" t="s">
        <v>6523</v>
      </c>
      <c r="E3958" s="22" t="s">
        <v>48</v>
      </c>
      <c r="F3958" s="23" t="str">
        <f>HYPERLINK("https://www.spark-marketing.ru/Card/Lot/73261213", "услуги по обеспечению трёхразовым горячим питанием")</f>
        <v>услуги по обеспечению трёхразовым горячим питанием</v>
      </c>
      <c r="G3958" s="22" t="s">
        <v>503</v>
      </c>
      <c r="H3958" s="22" t="s">
        <v>1157</v>
      </c>
      <c r="I3958" s="26">
        <v>43713.701388888898</v>
      </c>
      <c r="J3958" s="23" t="str">
        <f>HYPERLINK("https://www.spark-marketing.ru/Card/Person/5852111", "ООО ""ФАБРИКА ПИТАНИЯ""")</f>
        <v>ООО "ФАБРИКА ПИТАНИЯ"</v>
      </c>
      <c r="K3958" s="24" t="s">
        <v>6524</v>
      </c>
      <c r="L3958" s="22" t="s">
        <v>10</v>
      </c>
      <c r="M3958" s="28" t="s">
        <v>51</v>
      </c>
      <c r="N3958" s="28" t="s">
        <v>51</v>
      </c>
    </row>
    <row r="3959" spans="1:14" x14ac:dyDescent="0.15">
      <c r="A3959" s="23" t="str">
        <f>HYPERLINK("https://www.spark-marketing.ru/Card/Person/571422", "ООО ""СМОЛЕНСКАЯ АЭС-СЕРВИС""")</f>
        <v>ООО "СМОЛЕНСКАЯ АЭС-СЕРВИС"</v>
      </c>
      <c r="B3959" s="24" t="s">
        <v>1747</v>
      </c>
      <c r="C3959" s="25">
        <v>0</v>
      </c>
      <c r="D3959" s="22" t="s">
        <v>6525</v>
      </c>
      <c r="E3959" s="22" t="s">
        <v>52</v>
      </c>
      <c r="F3959" s="23" t="str">
        <f>HYPERLINK("https://www.spark-marketing.ru/Card/Lot/73262911", "мониторинг цен в электронной форме на Аренда нежилых помещений для оказания услуг по организации лечебно-профилактического и общественного питания работников Смоленской АЭС")</f>
        <v>мониторинг цен в электронной форме на Аренда нежилых помещений для оказания услуг по организации лечебно-профилактического и общественного питания работников Смоленской АЭС</v>
      </c>
      <c r="G3959" s="22" t="s">
        <v>460</v>
      </c>
      <c r="H3959" s="22" t="s">
        <v>1749</v>
      </c>
      <c r="I3959" s="26">
        <v>43713.674895833297</v>
      </c>
      <c r="J3959" s="28" t="s">
        <v>51</v>
      </c>
      <c r="K3959" s="28" t="s">
        <v>51</v>
      </c>
      <c r="L3959" s="28" t="s">
        <v>51</v>
      </c>
      <c r="M3959" s="28" t="s">
        <v>51</v>
      </c>
      <c r="N3959" s="28" t="s">
        <v>51</v>
      </c>
    </row>
    <row r="3960" spans="1:14" ht="12.75" x14ac:dyDescent="0.2">
      <c r="A3960" s="23" t="str">
        <f>HYPERLINK("https://www.spark-marketing.ru/Card/Person/147467", "ГБПОУ ВО ""МИК""")</f>
        <v>ГБПОУ ВО "МИК"</v>
      </c>
      <c r="B3960" s="24" t="s">
        <v>6526</v>
      </c>
      <c r="C3960" s="25">
        <v>268348.5</v>
      </c>
      <c r="D3960" s="22" t="s">
        <v>6527</v>
      </c>
      <c r="E3960" s="22" t="s">
        <v>48</v>
      </c>
      <c r="F3960" s="23" t="str">
        <f>HYPERLINK("https://www.spark-marketing.ru/Card/Lot/73259516", "Оказание услуг по организации питания обучающихся для нужд государственного бюджетного профессионального образовательного учреждения Владимирской области ""Муромский индустриальный колледж""")</f>
        <v>Оказание услуг по организации питания обучающихся для нужд государственного бюджетного профессионального образовательного учреждения Владимирской области "Муромский индустриальный колледж"</v>
      </c>
      <c r="G3960" s="22" t="s">
        <v>663</v>
      </c>
      <c r="H3960" s="22" t="s">
        <v>6528</v>
      </c>
      <c r="I3960" s="26">
        <v>43713.701388888898</v>
      </c>
      <c r="J3960" s="23" t="str">
        <f>HYPERLINK("https://www.spark-marketing.ru/Card/Person/6455838", "Савченко Игорь Владимирович")</f>
        <v>Савченко Игорь Владимирович</v>
      </c>
      <c r="K3960" s="24" t="s">
        <v>6529</v>
      </c>
      <c r="L3960" s="22" t="s">
        <v>10</v>
      </c>
      <c r="M3960" s="25">
        <v>268348.5</v>
      </c>
      <c r="N3960" s="27">
        <v>0</v>
      </c>
    </row>
    <row r="3961" spans="1:14" ht="12.75" x14ac:dyDescent="0.2">
      <c r="A3961" s="23" t="str">
        <f>HYPERLINK("https://www.spark-marketing.ru/Card/Person/69590", "ОГБУЗ ""СМОЛЕНСКИЙ ОБЛАСТНОЙ ПСИХОНЕВРОЛОГИЧЕСКИЙ КЛИНИЧЕСКИЙ ДИСПАНСЕР""")</f>
        <v>ОГБУЗ "СМОЛЕНСКИЙ ОБЛАСТНОЙ ПСИХОНЕВРОЛОГИЧЕСКИЙ КЛИНИЧЕСКИЙ ДИСПАНСЕР"</v>
      </c>
      <c r="B3961" s="24" t="s">
        <v>6530</v>
      </c>
      <c r="C3961" s="25">
        <v>464000</v>
      </c>
      <c r="D3961" s="22" t="s">
        <v>6531</v>
      </c>
      <c r="E3961" s="22" t="s">
        <v>48</v>
      </c>
      <c r="F3961" s="23" t="str">
        <f>HYPERLINK("https://www.spark-marketing.ru/Card/Lot/73259800", "Запрос котировок в электронной форме на право заключить контракт на оказание услуг по предоставлению готового питания (комплексного обеда) для больных отделений дневных стационаров ОГБУЗ «Смоленский областной психоневрологический клинический диспансе...")</f>
        <v>Запрос котировок в электронной форме на право заключить контракт на оказание услуг по предоставлению готового питания (комплексного обеда) для больных отделений дневных стационаров ОГБУЗ «Смоленский областной психоневрологический клинический диспансе...</v>
      </c>
      <c r="G3961" s="22" t="s">
        <v>460</v>
      </c>
      <c r="H3961" s="22" t="s">
        <v>461</v>
      </c>
      <c r="I3961" s="26">
        <v>43713.704166666699</v>
      </c>
      <c r="J3961" s="23" t="str">
        <f>HYPERLINK("https://www.spark-marketing.ru/Card/Person/836702", "МУП ""КСП""")</f>
        <v>МУП "КСП"</v>
      </c>
      <c r="K3961" s="24" t="s">
        <v>6532</v>
      </c>
      <c r="L3961" s="22" t="s">
        <v>10</v>
      </c>
      <c r="M3961" s="25">
        <v>464000</v>
      </c>
      <c r="N3961" s="27">
        <v>0</v>
      </c>
    </row>
    <row r="3962" spans="1:14" x14ac:dyDescent="0.15">
      <c r="A3962" s="23" t="str">
        <f>HYPERLINK("https://www.spark-marketing.ru/Card/Person/6489140", "ООО ""КОРСИС""")</f>
        <v>ООО "КОРСИС"</v>
      </c>
      <c r="B3962" s="24" t="s">
        <v>6533</v>
      </c>
      <c r="C3962" s="28" t="s">
        <v>51</v>
      </c>
      <c r="D3962" s="22" t="s">
        <v>6534</v>
      </c>
      <c r="E3962" s="22" t="s">
        <v>51</v>
      </c>
      <c r="F3962" s="23" t="str">
        <f>HYPERLINK("https://www.spark-marketing.ru/Card/Lot/73261800", "Сервисное обслуживание источников бесперебойного питания (ИБП) Riello для АО ««РУССКИЙ АЛЮМИНИЙ Менеджмент»» в г. Москве")</f>
        <v>Сервисное обслуживание источников бесперебойного питания (ИБП) Riello для АО ««РУССКИЙ АЛЮМИНИЙ Менеджмент»» в г. Москве</v>
      </c>
      <c r="G3962" s="22" t="s">
        <v>56</v>
      </c>
      <c r="H3962" s="22" t="s">
        <v>56</v>
      </c>
      <c r="I3962" s="26">
        <v>43713.711585648103</v>
      </c>
      <c r="J3962" s="28" t="s">
        <v>51</v>
      </c>
      <c r="K3962" s="28" t="s">
        <v>51</v>
      </c>
      <c r="L3962" s="28" t="s">
        <v>51</v>
      </c>
      <c r="M3962" s="28" t="s">
        <v>51</v>
      </c>
      <c r="N3962" s="28" t="s">
        <v>51</v>
      </c>
    </row>
    <row r="3963" spans="1:14" x14ac:dyDescent="0.15">
      <c r="A3963" s="23" t="str">
        <f>HYPERLINK("https://www.spark-marketing.ru/Card/Person/90982", "МБДОУ - Д/С №9 СТ. СТАРОВЕЛИЧКОВСКОЙ")</f>
        <v>МБДОУ - Д/С №9 СТ. СТАРОВЕЛИЧКОВСКОЙ</v>
      </c>
      <c r="B3963" s="24" t="s">
        <v>6535</v>
      </c>
      <c r="C3963" s="25">
        <v>299684</v>
      </c>
      <c r="D3963" s="22" t="s">
        <v>6536</v>
      </c>
      <c r="E3963" s="22" t="s">
        <v>48</v>
      </c>
      <c r="F3963" s="23" t="str">
        <f>HYPERLINK("https://www.spark-marketing.ru/Card/Lot/73259010", "Оказание услуг по организации горячего питания детей")</f>
        <v>Оказание услуг по организации горячего питания детей</v>
      </c>
      <c r="G3963" s="22" t="s">
        <v>104</v>
      </c>
      <c r="H3963" s="22" t="s">
        <v>5791</v>
      </c>
      <c r="I3963" s="26">
        <v>43713.692361111098</v>
      </c>
      <c r="J3963" s="28" t="s">
        <v>51</v>
      </c>
      <c r="K3963" s="28" t="s">
        <v>51</v>
      </c>
      <c r="L3963" s="28" t="s">
        <v>51</v>
      </c>
      <c r="M3963" s="28" t="s">
        <v>51</v>
      </c>
      <c r="N3963" s="28" t="s">
        <v>51</v>
      </c>
    </row>
    <row r="3964" spans="1:14" ht="12.75" hidden="1" outlineLevel="1" x14ac:dyDescent="0.2">
      <c r="A3964" s="23" t="str">
        <f>HYPERLINK("https://www.spark-marketing.ru/Card/Person/90982", "МБДОУ - Д/С №9 СТ. СТАРОВЕЛИЧКОВСКОЙ")</f>
        <v>МБДОУ - Д/С №9 СТ. СТАРОВЕЛИЧКОВСКОЙ</v>
      </c>
      <c r="B3964" s="24" t="s">
        <v>6535</v>
      </c>
      <c r="C3964" s="25">
        <v>299684</v>
      </c>
      <c r="D3964" s="22" t="s">
        <v>6536</v>
      </c>
      <c r="E3964" s="22" t="s">
        <v>48</v>
      </c>
      <c r="F3964" s="23" t="str">
        <f>HYPERLINK("https://www.spark-marketing.ru/Card/Lot/73259010", "Оказание услуг по организации горячего питания детей")</f>
        <v>Оказание услуг по организации горячего питания детей</v>
      </c>
      <c r="G3964" s="22" t="s">
        <v>104</v>
      </c>
      <c r="H3964" s="22" t="s">
        <v>5791</v>
      </c>
      <c r="I3964" s="26">
        <v>43713.692361111098</v>
      </c>
      <c r="J3964" s="23" t="str">
        <f>HYPERLINK("https://www.spark-marketing.ru/Card/Person/5867920", "Фирсанова Татьяна Викторовна")</f>
        <v>Фирсанова Татьяна Викторовна</v>
      </c>
      <c r="K3964" s="24" t="s">
        <v>6537</v>
      </c>
      <c r="L3964" s="22" t="s">
        <v>10</v>
      </c>
      <c r="M3964" s="25">
        <v>260725.08</v>
      </c>
      <c r="N3964" s="27">
        <v>0.13</v>
      </c>
    </row>
    <row r="3965" spans="1:14" hidden="1" outlineLevel="1" x14ac:dyDescent="0.2">
      <c r="A3965" s="23" t="str">
        <f>HYPERLINK("https://www.spark-marketing.ru/Card/Person/90982", "МБДОУ - Д/С №9 СТ. СТАРОВЕЛИЧКОВСКОЙ")</f>
        <v>МБДОУ - Д/С №9 СТ. СТАРОВЕЛИЧКОВСКОЙ</v>
      </c>
      <c r="B3965" s="24" t="s">
        <v>6535</v>
      </c>
      <c r="C3965" s="25">
        <v>299684</v>
      </c>
      <c r="D3965" s="22" t="s">
        <v>6536</v>
      </c>
      <c r="E3965" s="22" t="s">
        <v>48</v>
      </c>
      <c r="F3965" s="23" t="str">
        <f>HYPERLINK("https://www.spark-marketing.ru/Card/Lot/73259010", "Оказание услуг по организации горячего питания детей")</f>
        <v>Оказание услуг по организации горячего питания детей</v>
      </c>
      <c r="G3965" s="22" t="s">
        <v>104</v>
      </c>
      <c r="H3965" s="22" t="s">
        <v>5791</v>
      </c>
      <c r="I3965" s="26">
        <v>43713.692361111098</v>
      </c>
      <c r="J3965" s="23" t="str">
        <f>HYPERLINK("https://www.spark-marketing.ru/Card/Person/56423", "ООО ""ВОЛГАСЕРВИСПРОДУКТ""")</f>
        <v>ООО "ВОЛГАСЕРВИСПРОДУКТ"</v>
      </c>
      <c r="K3965" s="24" t="s">
        <v>3035</v>
      </c>
      <c r="L3965" s="28" t="s">
        <v>51</v>
      </c>
      <c r="M3965" s="25">
        <v>262223.5</v>
      </c>
      <c r="N3965" s="27">
        <v>0.125</v>
      </c>
    </row>
    <row r="3966" spans="1:14" ht="12.75" x14ac:dyDescent="0.2">
      <c r="A3966" s="23" t="str">
        <f>HYPERLINK("https://www.spark-marketing.ru/Card/Person/4345824", "ОБЛКОМЭКОНОМРАЗВИТИЯ")</f>
        <v>ОБЛКОМЭКОНОМРАЗВИТИЯ</v>
      </c>
      <c r="B3966" s="24" t="s">
        <v>6538</v>
      </c>
      <c r="C3966" s="25">
        <v>485000</v>
      </c>
      <c r="D3966" s="22" t="s">
        <v>6539</v>
      </c>
      <c r="E3966" s="22" t="s">
        <v>96</v>
      </c>
      <c r="F3966" s="23" t="str">
        <f>HYPERLINK("https://www.spark-marketing.ru/Card/Lot/73258973", "оказание услуг по организации общественного питания гостей прибывших в Волгоградскую область с деловым или рабочим визитом")</f>
        <v>оказание услуг по организации общественного питания гостей прибывших в Волгоградскую область с деловым или рабочим визитом</v>
      </c>
      <c r="G3966" s="22" t="s">
        <v>158</v>
      </c>
      <c r="H3966" s="22" t="s">
        <v>171</v>
      </c>
      <c r="I3966" s="26">
        <v>43713.697222222203</v>
      </c>
      <c r="J3966" s="23" t="str">
        <f>HYPERLINK("https://www.spark-marketing.ru/Card/Person/280989", "ООО ""ПАРУС""")</f>
        <v>ООО "ПАРУС"</v>
      </c>
      <c r="K3966" s="24" t="s">
        <v>6540</v>
      </c>
      <c r="L3966" s="22" t="s">
        <v>10</v>
      </c>
      <c r="M3966" s="25">
        <v>20102</v>
      </c>
      <c r="N3966" s="27">
        <v>0.95855257731958765</v>
      </c>
    </row>
    <row r="3967" spans="1:14" x14ac:dyDescent="0.15">
      <c r="A3967" s="23" t="str">
        <f>HYPERLINK("https://www.spark-marketing.ru/Card/Person/1017024", "МБОУ ""СЕРГИНСКАЯ СОШ""")</f>
        <v>МБОУ "СЕРГИНСКАЯ СОШ"</v>
      </c>
      <c r="B3967" s="24" t="s">
        <v>6541</v>
      </c>
      <c r="C3967" s="25">
        <v>1221652.8999999999</v>
      </c>
      <c r="D3967" s="22" t="s">
        <v>6542</v>
      </c>
      <c r="E3967" s="22" t="s">
        <v>96</v>
      </c>
      <c r="F3967" s="23" t="str">
        <f>HYPERLINK("https://www.spark-marketing.ru/Card/Lot/73255274", "Услуги по организации горячего питания учащихся и воспитанников структурного подразделения для детей дошкольного возраста")</f>
        <v>Услуги по организации горячего питания учащихся и воспитанников структурного подразделения для детей дошкольного возраста</v>
      </c>
      <c r="G3967" s="22" t="s">
        <v>153</v>
      </c>
      <c r="H3967" s="22" t="s">
        <v>153</v>
      </c>
      <c r="I3967" s="26">
        <v>43713.649305555598</v>
      </c>
      <c r="J3967" s="28" t="s">
        <v>51</v>
      </c>
      <c r="K3967" s="28" t="s">
        <v>51</v>
      </c>
      <c r="L3967" s="28" t="s">
        <v>51</v>
      </c>
      <c r="M3967" s="28" t="s">
        <v>51</v>
      </c>
      <c r="N3967" s="28" t="s">
        <v>51</v>
      </c>
    </row>
    <row r="3968" spans="1:14" ht="12.75" hidden="1" outlineLevel="1" x14ac:dyDescent="0.2">
      <c r="A3968" s="23" t="str">
        <f>HYPERLINK("https://www.spark-marketing.ru/Card/Person/1017024", "МБОУ ""СЕРГИНСКАЯ СОШ""")</f>
        <v>МБОУ "СЕРГИНСКАЯ СОШ"</v>
      </c>
      <c r="B3968" s="24" t="s">
        <v>6541</v>
      </c>
      <c r="C3968" s="25">
        <v>1221652.8999999999</v>
      </c>
      <c r="D3968" s="22" t="s">
        <v>6542</v>
      </c>
      <c r="E3968" s="22" t="s">
        <v>96</v>
      </c>
      <c r="F3968" s="23" t="str">
        <f>HYPERLINK("https://www.spark-marketing.ru/Card/Lot/73255274", "Услуги по организации горячего питания учащихся и воспитанников структурного подразделения для детей дошкольного возраста")</f>
        <v>Услуги по организации горячего питания учащихся и воспитанников структурного подразделения для детей дошкольного возраста</v>
      </c>
      <c r="G3968" s="22" t="s">
        <v>153</v>
      </c>
      <c r="H3968" s="22" t="s">
        <v>153</v>
      </c>
      <c r="I3968" s="26">
        <v>43713.649305555598</v>
      </c>
      <c r="J3968" s="23" t="str">
        <f>HYPERLINK("https://www.spark-marketing.ru/Card/Person/99923", "Антонов Леонид Валентинович")</f>
        <v>Антонов Леонид Валентинович</v>
      </c>
      <c r="K3968" s="24" t="s">
        <v>5257</v>
      </c>
      <c r="L3968" s="22" t="s">
        <v>10</v>
      </c>
      <c r="M3968" s="25">
        <v>971214.24</v>
      </c>
      <c r="N3968" s="27">
        <v>0.20499984897510579</v>
      </c>
    </row>
    <row r="3969" spans="1:14" hidden="1" outlineLevel="1" x14ac:dyDescent="0.2">
      <c r="A3969" s="23" t="str">
        <f>HYPERLINK("https://www.spark-marketing.ru/Card/Person/1017024", "МБОУ ""СЕРГИНСКАЯ СОШ""")</f>
        <v>МБОУ "СЕРГИНСКАЯ СОШ"</v>
      </c>
      <c r="B3969" s="24" t="s">
        <v>6541</v>
      </c>
      <c r="C3969" s="25">
        <v>1221652.8999999999</v>
      </c>
      <c r="D3969" s="22" t="s">
        <v>6542</v>
      </c>
      <c r="E3969" s="22" t="s">
        <v>96</v>
      </c>
      <c r="F3969" s="23" t="str">
        <f>HYPERLINK("https://www.spark-marketing.ru/Card/Lot/73255274", "Услуги по организации горячего питания учащихся и воспитанников структурного подразделения для детей дошкольного возраста")</f>
        <v>Услуги по организации горячего питания учащихся и воспитанников структурного подразделения для детей дошкольного возраста</v>
      </c>
      <c r="G3969" s="22" t="s">
        <v>153</v>
      </c>
      <c r="H3969" s="22" t="s">
        <v>153</v>
      </c>
      <c r="I3969" s="26">
        <v>43713.649305555598</v>
      </c>
      <c r="J3969" s="23" t="str">
        <f>HYPERLINK("https://www.spark-marketing.ru/Card/Person/152577", "Калыпин Владимир Владимирович")</f>
        <v>Калыпин Владимир Владимирович</v>
      </c>
      <c r="K3969" s="24" t="s">
        <v>5258</v>
      </c>
      <c r="L3969" s="28" t="s">
        <v>51</v>
      </c>
      <c r="M3969" s="25">
        <v>1142245.52</v>
      </c>
      <c r="N3969" s="27">
        <v>6.4999952114057929E-2</v>
      </c>
    </row>
    <row r="3970" spans="1:14" hidden="1" outlineLevel="1" x14ac:dyDescent="0.2">
      <c r="A3970" s="23" t="str">
        <f>HYPERLINK("https://www.spark-marketing.ru/Card/Person/1017024", "МБОУ ""СЕРГИНСКАЯ СОШ""")</f>
        <v>МБОУ "СЕРГИНСКАЯ СОШ"</v>
      </c>
      <c r="B3970" s="24" t="s">
        <v>6541</v>
      </c>
      <c r="C3970" s="25">
        <v>1221652.8999999999</v>
      </c>
      <c r="D3970" s="22" t="s">
        <v>6542</v>
      </c>
      <c r="E3970" s="22" t="s">
        <v>96</v>
      </c>
      <c r="F3970" s="23" t="str">
        <f>HYPERLINK("https://www.spark-marketing.ru/Card/Lot/73255274", "Услуги по организации горячего питания учащихся и воспитанников структурного подразделения для детей дошкольного возраста")</f>
        <v>Услуги по организации горячего питания учащихся и воспитанников структурного подразделения для детей дошкольного возраста</v>
      </c>
      <c r="G3970" s="22" t="s">
        <v>153</v>
      </c>
      <c r="H3970" s="22" t="s">
        <v>153</v>
      </c>
      <c r="I3970" s="26">
        <v>43713.649305555598</v>
      </c>
      <c r="J3970" s="23" t="str">
        <f>HYPERLINK("https://www.spark-marketing.ru/Card/Person/1428200", "Ярушина Вера Борисовна")</f>
        <v>Ярушина Вера Борисовна</v>
      </c>
      <c r="K3970" s="24" t="s">
        <v>5255</v>
      </c>
      <c r="L3970" s="28" t="s">
        <v>51</v>
      </c>
      <c r="M3970" s="25">
        <v>971214.24</v>
      </c>
      <c r="N3970" s="27">
        <v>0.20499984897510579</v>
      </c>
    </row>
    <row r="3971" spans="1:14" hidden="1" outlineLevel="1" x14ac:dyDescent="0.2">
      <c r="A3971" s="23" t="str">
        <f>HYPERLINK("https://www.spark-marketing.ru/Card/Person/1017024", "МБОУ ""СЕРГИНСКАЯ СОШ""")</f>
        <v>МБОУ "СЕРГИНСКАЯ СОШ"</v>
      </c>
      <c r="B3971" s="24" t="s">
        <v>6541</v>
      </c>
      <c r="C3971" s="25">
        <v>1221652.8999999999</v>
      </c>
      <c r="D3971" s="22" t="s">
        <v>6542</v>
      </c>
      <c r="E3971" s="22" t="s">
        <v>96</v>
      </c>
      <c r="F3971" s="23" t="str">
        <f>HYPERLINK("https://www.spark-marketing.ru/Card/Lot/73255274", "Услуги по организации горячего питания учащихся и воспитанников структурного подразделения для детей дошкольного возраста")</f>
        <v>Услуги по организации горячего питания учащихся и воспитанников структурного подразделения для детей дошкольного возраста</v>
      </c>
      <c r="G3971" s="22" t="s">
        <v>153</v>
      </c>
      <c r="H3971" s="22" t="s">
        <v>153</v>
      </c>
      <c r="I3971" s="26">
        <v>43713.649305555598</v>
      </c>
      <c r="J3971" s="23" t="str">
        <f>HYPERLINK("https://www.spark-marketing.ru/Card/Person/6703307", "Валов Евгений Анатольевич")</f>
        <v>Валов Евгений Анатольевич</v>
      </c>
      <c r="K3971" s="24" t="s">
        <v>5256</v>
      </c>
      <c r="L3971" s="28" t="s">
        <v>51</v>
      </c>
      <c r="M3971" s="25">
        <v>971214.24</v>
      </c>
      <c r="N3971" s="27">
        <v>0.20499984897510579</v>
      </c>
    </row>
    <row r="3972" spans="1:14" x14ac:dyDescent="0.15">
      <c r="A3972" s="23" t="str">
        <f>HYPERLINK("https://www.spark-marketing.ru/Card/Person/1051415", "ОМВД РОССИИ ПО ЗАЛЕГОЩЕНСКОМУ РАЙОНУ")</f>
        <v>ОМВД РОССИИ ПО ЗАЛЕГОЩЕНСКОМУ РАЙОНУ</v>
      </c>
      <c r="B3972" s="24" t="s">
        <v>6543</v>
      </c>
      <c r="C3972" s="25">
        <v>19750</v>
      </c>
      <c r="D3972" s="22" t="s">
        <v>6544</v>
      </c>
      <c r="E3972" s="22" t="s">
        <v>48</v>
      </c>
      <c r="F3972" s="23" t="str">
        <f>HYPERLINK("https://www.spark-marketing.ru/Card/Lot/73253422", "Услуги общественного питания, 79 усл. ед")</f>
        <v>Услуги общественного питания, 79 усл. ед</v>
      </c>
      <c r="G3972" s="22" t="s">
        <v>1066</v>
      </c>
      <c r="H3972" s="22" t="s">
        <v>6545</v>
      </c>
      <c r="I3972" s="26">
        <v>43713.645046296297</v>
      </c>
      <c r="J3972" s="28" t="s">
        <v>51</v>
      </c>
      <c r="K3972" s="28" t="s">
        <v>51</v>
      </c>
      <c r="L3972" s="28" t="s">
        <v>51</v>
      </c>
      <c r="M3972" s="28" t="s">
        <v>51</v>
      </c>
      <c r="N3972" s="28" t="s">
        <v>51</v>
      </c>
    </row>
    <row r="3973" spans="1:14" x14ac:dyDescent="0.15">
      <c r="A3973" s="23" t="str">
        <f>HYPERLINK("https://www.spark-marketing.ru/Card/Person/1051415", "ОМВД РОССИИ ПО ЗАЛЕГОЩЕНСКОМУ РАЙОНУ")</f>
        <v>ОМВД РОССИИ ПО ЗАЛЕГОЩЕНСКОМУ РАЙОНУ</v>
      </c>
      <c r="B3973" s="24" t="s">
        <v>6543</v>
      </c>
      <c r="C3973" s="25">
        <v>5250</v>
      </c>
      <c r="D3973" s="22" t="s">
        <v>6546</v>
      </c>
      <c r="E3973" s="22" t="s">
        <v>48</v>
      </c>
      <c r="F3973" s="23" t="str">
        <f>HYPERLINK("https://www.spark-marketing.ru/Card/Lot/73251268", "Услуги общественного питания, 21 усл. ед")</f>
        <v>Услуги общественного питания, 21 усл. ед</v>
      </c>
      <c r="G3973" s="22" t="s">
        <v>1066</v>
      </c>
      <c r="H3973" s="22" t="s">
        <v>6545</v>
      </c>
      <c r="I3973" s="26">
        <v>43713.6319560185</v>
      </c>
      <c r="J3973" s="28" t="s">
        <v>51</v>
      </c>
      <c r="K3973" s="28" t="s">
        <v>51</v>
      </c>
      <c r="L3973" s="28" t="s">
        <v>51</v>
      </c>
      <c r="M3973" s="28" t="s">
        <v>51</v>
      </c>
      <c r="N3973" s="28" t="s">
        <v>51</v>
      </c>
    </row>
    <row r="3974" spans="1:14" x14ac:dyDescent="0.15">
      <c r="A3974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974" s="24" t="s">
        <v>967</v>
      </c>
      <c r="C3974" s="25">
        <v>298949.40000000002</v>
      </c>
      <c r="D3974" s="22" t="s">
        <v>6547</v>
      </c>
      <c r="E3974" s="22" t="s">
        <v>48</v>
      </c>
      <c r="F3974" s="23" t="str">
        <f>HYPERLINK("https://www.spark-marketing.ru/Card/Lot/73251053", "Оказание услуг по организации питания (приготовлению и доставке) для ИВС, 1380 усл. ед")</f>
        <v>Оказание услуг по организации питания (приготовлению и доставке) для ИВС, 1380 усл. ед</v>
      </c>
      <c r="G3974" s="22" t="s">
        <v>104</v>
      </c>
      <c r="H3974" s="22" t="s">
        <v>969</v>
      </c>
      <c r="I3974" s="26">
        <v>43713.627719907403</v>
      </c>
      <c r="J3974" s="28" t="s">
        <v>51</v>
      </c>
      <c r="K3974" s="28" t="s">
        <v>51</v>
      </c>
      <c r="L3974" s="28" t="s">
        <v>51</v>
      </c>
      <c r="M3974" s="28" t="s">
        <v>51</v>
      </c>
      <c r="N3974" s="28" t="s">
        <v>51</v>
      </c>
    </row>
    <row r="3975" spans="1:14" x14ac:dyDescent="0.15">
      <c r="A3975" s="23" t="str">
        <f>HYPERLINK("https://www.spark-marketing.ru/Card/Person/24968", "УМВД РОССИИ ПО Г. КУРГАНУ")</f>
        <v>УМВД РОССИИ ПО Г. КУРГАНУ</v>
      </c>
      <c r="B3975" s="24" t="s">
        <v>1970</v>
      </c>
      <c r="C3975" s="25">
        <v>713068.44</v>
      </c>
      <c r="D3975" s="22" t="s">
        <v>6548</v>
      </c>
      <c r="E3975" s="22" t="s">
        <v>96</v>
      </c>
      <c r="F3975" s="23" t="str">
        <f>HYPERLINK("https://www.spark-marketing.ru/Card/Lot/73254867", "Оказание услуг по организации трехразового горячего питания для спецконтингента содержащихся в СПСЛПАА и ИВС России по г. Кургану")</f>
        <v>Оказание услуг по организации трехразового горячего питания для спецконтингента содержащихся в СПСЛПАА и ИВС России по г. Кургану</v>
      </c>
      <c r="G3975" s="22" t="s">
        <v>1972</v>
      </c>
      <c r="H3975" s="22" t="s">
        <v>1973</v>
      </c>
      <c r="I3975" s="26">
        <v>43713.662499999999</v>
      </c>
      <c r="J3975" s="23" t="str">
        <f>HYPERLINK("https://www.spark-marketing.ru/Card/Person/394857", "Даурцева Нина Александровна")</f>
        <v>Даурцева Нина Александровна</v>
      </c>
      <c r="K3975" s="24" t="s">
        <v>1974</v>
      </c>
      <c r="L3975" s="28" t="s">
        <v>51</v>
      </c>
      <c r="M3975" s="28" t="s">
        <v>51</v>
      </c>
      <c r="N3975" s="28" t="s">
        <v>51</v>
      </c>
    </row>
    <row r="3976" spans="1:14" ht="12.75" hidden="1" outlineLevel="1" x14ac:dyDescent="0.2">
      <c r="A3976" s="23" t="str">
        <f>HYPERLINK("https://www.spark-marketing.ru/Card/Person/24968", "УМВД РОССИИ ПО Г. КУРГАНУ")</f>
        <v>УМВД РОССИИ ПО Г. КУРГАНУ</v>
      </c>
      <c r="B3976" s="24" t="s">
        <v>1970</v>
      </c>
      <c r="C3976" s="25">
        <v>713068.44</v>
      </c>
      <c r="D3976" s="22" t="s">
        <v>6548</v>
      </c>
      <c r="E3976" s="22" t="s">
        <v>96</v>
      </c>
      <c r="F3976" s="23" t="str">
        <f>HYPERLINK("https://www.spark-marketing.ru/Card/Lot/73254867", "Оказание услуг по организации трехразового горячего питания для спецконтингента содержащихся в СПСЛПАА и ИВС России по г. Кургану")</f>
        <v>Оказание услуг по организации трехразового горячего питания для спецконтингента содержащихся в СПСЛПАА и ИВС России по г. Кургану</v>
      </c>
      <c r="G3976" s="22" t="s">
        <v>1972</v>
      </c>
      <c r="H3976" s="22" t="s">
        <v>1973</v>
      </c>
      <c r="I3976" s="26">
        <v>43713.662499999999</v>
      </c>
      <c r="J3976" s="23" t="str">
        <f>HYPERLINK("https://www.spark-marketing.ru/Card/Person/394857", "Даурцева Нина Александровна")</f>
        <v>Даурцева Нина Александровна</v>
      </c>
      <c r="K3976" s="24" t="s">
        <v>1974</v>
      </c>
      <c r="L3976" s="22" t="s">
        <v>10</v>
      </c>
      <c r="M3976" s="25">
        <v>709503.1</v>
      </c>
      <c r="N3976" s="27">
        <v>4.9999969147421532E-3</v>
      </c>
    </row>
    <row r="3977" spans="1:14" x14ac:dyDescent="0.15">
      <c r="A3977" s="23" t="str">
        <f>HYPERLINK("https://www.spark-marketing.ru/Card/Person/6511954", "МБОУ ""ЛОПАТИНСКАЯ СРЕДНЯЯ ОБЩЕОБРАЗОВАТЕЛЬНАЯ ШКОЛА""")</f>
        <v>МБОУ "ЛОПАТИНСКАЯ СРЕДНЯЯ ОБЩЕОБРАЗОВАТЕЛЬНАЯ ШКОЛА"</v>
      </c>
      <c r="B3977" s="24" t="s">
        <v>4164</v>
      </c>
      <c r="C3977" s="25">
        <v>594500</v>
      </c>
      <c r="D3977" s="22" t="s">
        <v>6549</v>
      </c>
      <c r="E3977" s="22" t="s">
        <v>48</v>
      </c>
      <c r="F3977" s="23" t="str">
        <f>HYPERLINK("https://www.spark-marketing.ru/Card/Lot/73254478", "Услуги по оказанию горячего питания")</f>
        <v>Услуги по оказанию горячего питания</v>
      </c>
      <c r="G3977" s="22" t="s">
        <v>49</v>
      </c>
      <c r="H3977" s="22" t="s">
        <v>654</v>
      </c>
      <c r="I3977" s="26">
        <v>43713.660034722197</v>
      </c>
      <c r="J3977" s="28" t="s">
        <v>51</v>
      </c>
      <c r="K3977" s="28" t="s">
        <v>51</v>
      </c>
      <c r="L3977" s="28" t="s">
        <v>51</v>
      </c>
      <c r="M3977" s="28" t="s">
        <v>51</v>
      </c>
      <c r="N3977" s="28" t="s">
        <v>51</v>
      </c>
    </row>
    <row r="3978" spans="1:14" x14ac:dyDescent="0.2">
      <c r="A3978" s="23" t="str">
        <f>HYPERLINK("https://www.spark-marketing.ru/Card/Person/104964", "МБОУ СОШУИП № 3")</f>
        <v>МБОУ СОШУИП № 3</v>
      </c>
      <c r="B3978" s="24" t="s">
        <v>6550</v>
      </c>
      <c r="C3978" s="25">
        <v>2389934</v>
      </c>
      <c r="D3978" s="22" t="s">
        <v>6551</v>
      </c>
      <c r="E3978" s="22" t="s">
        <v>48</v>
      </c>
      <c r="F3978" s="23" t="str">
        <f>HYPERLINK("https://www.spark-marketing.ru/Card/Lot/73261846", "Оказание услуг квалифицированным, опытным персоналом по организации сбалансированного и диетического (щадящего) горячего питания обучающихся муниципального бюджетного общеобразовательного учреждения «Средняя общеобразовательная школа №3 с углубленным...")</f>
        <v>Оказание услуг квалифицированным, опытным персоналом по организации сбалансированного и диетического (щадящего) горячего питания обучающихся муниципального бюджетного общеобразовательного учреждения «Средняя общеобразовательная школа №3 с углубленным...</v>
      </c>
      <c r="G3978" s="22" t="s">
        <v>1056</v>
      </c>
      <c r="H3978" s="22" t="s">
        <v>1056</v>
      </c>
      <c r="I3978" s="26">
        <v>43713.710416666698</v>
      </c>
      <c r="J3978" s="23" t="str">
        <f>HYPERLINK("https://www.spark-marketing.ru/Card/Person/696707", "МП ГО ""СЕМЬ ЛИСТВЕННИЦ""")</f>
        <v>МП ГО "СЕМЬ ЛИСТВЕННИЦ"</v>
      </c>
      <c r="K3978" s="24" t="s">
        <v>6552</v>
      </c>
      <c r="L3978" s="28" t="s">
        <v>51</v>
      </c>
      <c r="M3978" s="25">
        <v>2389934</v>
      </c>
      <c r="N3978" s="27">
        <v>0</v>
      </c>
    </row>
    <row r="3979" spans="1:14" x14ac:dyDescent="0.15">
      <c r="A3979" s="23" t="str">
        <f>HYPERLINK("https://www.spark-marketing.ru/Card/Person/1009940", "ОМВД РОССИИ ПО КОЛЬЧУГИНСКОМУ РАЙОНУ")</f>
        <v>ОМВД РОССИИ ПО КОЛЬЧУГИНСКОМУ РАЙОНУ</v>
      </c>
      <c r="B3979" s="24" t="s">
        <v>6553</v>
      </c>
      <c r="C3979" s="25">
        <v>500000</v>
      </c>
      <c r="D3979" s="22" t="s">
        <v>6554</v>
      </c>
      <c r="E3979" s="22" t="s">
        <v>48</v>
      </c>
      <c r="F3979" s="23" t="str">
        <f>HYPERLINK("https://www.spark-marketing.ru/Card/Lot/73259821", "Питание ИВС")</f>
        <v>Питание ИВС</v>
      </c>
      <c r="G3979" s="22" t="s">
        <v>663</v>
      </c>
      <c r="H3979" s="22" t="s">
        <v>663</v>
      </c>
      <c r="I3979" s="26">
        <v>43713.665972222203</v>
      </c>
      <c r="J3979" s="23" t="str">
        <f>HYPERLINK("https://www.spark-marketing.ru/Card/Person/4401310", "Макарова Елена Александровна")</f>
        <v>Макарова Елена Александровна</v>
      </c>
      <c r="K3979" s="24" t="s">
        <v>6555</v>
      </c>
      <c r="L3979" s="22" t="s">
        <v>10</v>
      </c>
      <c r="M3979" s="28" t="s">
        <v>51</v>
      </c>
      <c r="N3979" s="28" t="s">
        <v>51</v>
      </c>
    </row>
    <row r="3980" spans="1:14" x14ac:dyDescent="0.15">
      <c r="A3980" s="23" t="str">
        <f>HYPERLINK("https://www.spark-marketing.ru/Card/Person/1013939", "МБОУ ""ЧЕРНОВСКАЯ СОШ""")</f>
        <v>МБОУ "ЧЕРНОВСКАЯ СОШ"</v>
      </c>
      <c r="B3980" s="24" t="s">
        <v>6556</v>
      </c>
      <c r="C3980" s="25">
        <v>426462.4</v>
      </c>
      <c r="D3980" s="22" t="s">
        <v>6557</v>
      </c>
      <c r="E3980" s="22" t="s">
        <v>96</v>
      </c>
      <c r="F3980" s="23" t="str">
        <f>HYPERLINK("https://www.spark-marketing.ru/Card/Lot/73254930", "Оказание услуг по организации питания")</f>
        <v>Оказание услуг по организации питания</v>
      </c>
      <c r="G3980" s="22" t="s">
        <v>153</v>
      </c>
      <c r="H3980" s="22" t="s">
        <v>153</v>
      </c>
      <c r="I3980" s="26">
        <v>43713.599999999999</v>
      </c>
      <c r="J3980" s="23" t="str">
        <f>HYPERLINK("https://www.spark-marketing.ru/Card/Person/1401152", "МУП ЦШП ""ВЕСТА""")</f>
        <v>МУП ЦШП "ВЕСТА"</v>
      </c>
      <c r="K3980" s="24" t="s">
        <v>6558</v>
      </c>
      <c r="L3980" s="28" t="s">
        <v>51</v>
      </c>
      <c r="M3980" s="28" t="s">
        <v>51</v>
      </c>
      <c r="N3980" s="28" t="s">
        <v>51</v>
      </c>
    </row>
    <row r="3981" spans="1:14" ht="12.75" hidden="1" outlineLevel="1" x14ac:dyDescent="0.2">
      <c r="A3981" s="23" t="str">
        <f>HYPERLINK("https://www.spark-marketing.ru/Card/Person/1013939", "МБОУ ""ЧЕРНОВСКАЯ СОШ""")</f>
        <v>МБОУ "ЧЕРНОВСКАЯ СОШ"</v>
      </c>
      <c r="B3981" s="24" t="s">
        <v>6556</v>
      </c>
      <c r="C3981" s="25">
        <v>426462.4</v>
      </c>
      <c r="D3981" s="22" t="s">
        <v>6557</v>
      </c>
      <c r="E3981" s="22" t="s">
        <v>96</v>
      </c>
      <c r="F3981" s="23" t="str">
        <f>HYPERLINK("https://www.spark-marketing.ru/Card/Lot/73254930", "Оказание услуг по организации питания")</f>
        <v>Оказание услуг по организации питания</v>
      </c>
      <c r="G3981" s="22" t="s">
        <v>153</v>
      </c>
      <c r="H3981" s="22" t="s">
        <v>153</v>
      </c>
      <c r="I3981" s="26">
        <v>43713.599999999999</v>
      </c>
      <c r="J3981" s="23" t="str">
        <f>HYPERLINK("https://www.spark-marketing.ru/Card/Person/1401152", "МУП ЦШП ""ВЕСТА""")</f>
        <v>МУП ЦШП "ВЕСТА"</v>
      </c>
      <c r="K3981" s="24" t="s">
        <v>6558</v>
      </c>
      <c r="L3981" s="22" t="s">
        <v>10</v>
      </c>
      <c r="M3981" s="25">
        <v>424330.08</v>
      </c>
      <c r="N3981" s="27">
        <v>5.0000187589808618E-3</v>
      </c>
    </row>
    <row r="3982" spans="1:14" x14ac:dyDescent="0.15">
      <c r="A3982" s="23" t="str">
        <f>HYPERLINK("https://www.spark-marketing.ru/Card/Person/102694", "МУ МВД РОССИИ ""ИРКУТСКОЕ""")</f>
        <v>МУ МВД РОССИИ "ИРКУТСКОЕ"</v>
      </c>
      <c r="B3982" s="24" t="s">
        <v>2766</v>
      </c>
      <c r="C3982" s="25">
        <v>646132</v>
      </c>
      <c r="D3982" s="22" t="s">
        <v>6559</v>
      </c>
      <c r="E3982" s="22" t="s">
        <v>48</v>
      </c>
      <c r="F3982" s="23" t="str">
        <f>HYPERLINK("https://www.spark-marketing.ru/Card/Lot/73245720", "Прочая закупка товаров, работ и услуг (оказание услуг по организации комплексного питания для лиц, содержащихся в изоляторе временного содержания подозреваемых и обвиняемых МУ МВД России «Иркутское»)")</f>
        <v>Прочая закупка товаров, работ и услуг (оказание услуг по организации комплексного питания для лиц, содержащихся в изоляторе временного содержания подозреваемых и обвиняемых МУ МВД России «Иркутское»)</v>
      </c>
      <c r="G3982" s="22" t="s">
        <v>263</v>
      </c>
      <c r="H3982" s="22" t="s">
        <v>2768</v>
      </c>
      <c r="I3982" s="26">
        <v>43713.615277777797</v>
      </c>
      <c r="J3982" s="28" t="s">
        <v>51</v>
      </c>
      <c r="K3982" s="28" t="s">
        <v>51</v>
      </c>
      <c r="L3982" s="28" t="s">
        <v>51</v>
      </c>
      <c r="M3982" s="28" t="s">
        <v>51</v>
      </c>
      <c r="N3982" s="28" t="s">
        <v>51</v>
      </c>
    </row>
    <row r="3983" spans="1:14" x14ac:dyDescent="0.15">
      <c r="A3983" s="23" t="str">
        <f>HYPERLINK("https://www.spark-marketing.ru/Card/Person/109531", "МО МВД РОССИИ ""ДИМИТРОВГРАДСКИЙ""")</f>
        <v>МО МВД РОССИИ "ДИМИТРОВГРАДСКИЙ"</v>
      </c>
      <c r="B3983" s="24" t="s">
        <v>2774</v>
      </c>
      <c r="C3983" s="25">
        <v>2879967.23</v>
      </c>
      <c r="D3983" s="22" t="s">
        <v>6560</v>
      </c>
      <c r="E3983" s="22" t="s">
        <v>48</v>
      </c>
      <c r="F3983" s="23" t="str">
        <f>HYPERLINK("https://www.spark-marketing.ru/Card/Lot/73255361", "Оказание услуг по организации, доставке ежедневного трехразового горячего питания для лиц, содержащихся в центре временного содержания иностранных граждан МО МВД России «Димитровградский»")</f>
        <v>Оказание услуг по организации, доставке ежедневного трехразового горячего питания для лиц, содержащихся в центре временного содержания иностранных граждан МО МВД России «Димитровградский»</v>
      </c>
      <c r="G3983" s="22" t="s">
        <v>1918</v>
      </c>
      <c r="H3983" s="22" t="s">
        <v>2776</v>
      </c>
      <c r="I3983" s="26">
        <v>43713.621527777803</v>
      </c>
      <c r="J3983" s="23" t="str">
        <f>HYPERLINK("https://www.spark-marketing.ru/Card/Person/5873566", "Игнашкина Ирина Николаевна")</f>
        <v>Игнашкина Ирина Николаевна</v>
      </c>
      <c r="K3983" s="24" t="s">
        <v>2777</v>
      </c>
      <c r="L3983" s="22" t="s">
        <v>10</v>
      </c>
      <c r="M3983" s="28" t="s">
        <v>51</v>
      </c>
      <c r="N3983" s="28" t="s">
        <v>51</v>
      </c>
    </row>
    <row r="3984" spans="1:14" x14ac:dyDescent="0.15">
      <c r="A3984" s="23" t="str">
        <f>HYPERLINK("https://www.spark-marketing.ru/Card/Person/1026690", "СРЕДНЯЯ ШКОЛА С. СОКОЛЬНИКОВО")</f>
        <v>СРЕДНЯЯ ШКОЛА С. СОКОЛЬНИКОВО</v>
      </c>
      <c r="B3984" s="24" t="s">
        <v>6561</v>
      </c>
      <c r="C3984" s="25">
        <v>448630</v>
      </c>
      <c r="D3984" s="22" t="s">
        <v>6562</v>
      </c>
      <c r="E3984" s="22" t="s">
        <v>48</v>
      </c>
      <c r="F3984" s="23" t="str">
        <f>HYPERLINK("https://www.spark-marketing.ru/Card/Lot/73259360", "Оказание услуг по организации питания отдельным категориям обучающихся во 2 полугодии 2019 года")</f>
        <v>Оказание услуг по организации питания отдельным категориям обучающихся во 2 полугодии 2019 года</v>
      </c>
      <c r="G3984" s="22" t="s">
        <v>49</v>
      </c>
      <c r="H3984" s="22" t="s">
        <v>506</v>
      </c>
      <c r="I3984" s="26">
        <v>43713.603472222203</v>
      </c>
      <c r="J3984" s="28" t="s">
        <v>51</v>
      </c>
      <c r="K3984" s="28" t="s">
        <v>51</v>
      </c>
      <c r="L3984" s="28" t="s">
        <v>51</v>
      </c>
      <c r="M3984" s="28" t="s">
        <v>51</v>
      </c>
      <c r="N3984" s="28" t="s">
        <v>51</v>
      </c>
    </row>
    <row r="3985" spans="1:14" ht="12.75" hidden="1" outlineLevel="1" x14ac:dyDescent="0.2">
      <c r="A3985" s="23" t="str">
        <f>HYPERLINK("https://www.spark-marketing.ru/Card/Person/1026690", "СРЕДНЯЯ ШКОЛА С. СОКОЛЬНИКОВО")</f>
        <v>СРЕДНЯЯ ШКОЛА С. СОКОЛЬНИКОВО</v>
      </c>
      <c r="B3985" s="24" t="s">
        <v>6561</v>
      </c>
      <c r="C3985" s="25">
        <v>448630</v>
      </c>
      <c r="D3985" s="22" t="s">
        <v>6562</v>
      </c>
      <c r="E3985" s="22" t="s">
        <v>48</v>
      </c>
      <c r="F3985" s="23" t="str">
        <f>HYPERLINK("https://www.spark-marketing.ru/Card/Lot/73259360", "Оказание услуг по организации питания отдельным категориям обучающихся во 2 полугодии 2019 года")</f>
        <v>Оказание услуг по организации питания отдельным категориям обучающихся во 2 полугодии 2019 года</v>
      </c>
      <c r="G3985" s="22" t="s">
        <v>49</v>
      </c>
      <c r="H3985" s="22" t="s">
        <v>506</v>
      </c>
      <c r="I3985" s="26">
        <v>43713.603472222203</v>
      </c>
      <c r="J3985" s="23" t="str">
        <f>HYPERLINK("https://www.spark-marketing.ru/Card/Person/707404", "Пригонюк Сергей Иванович")</f>
        <v>Пригонюк Сергей Иванович</v>
      </c>
      <c r="K3985" s="24" t="s">
        <v>6037</v>
      </c>
      <c r="L3985" s="22" t="s">
        <v>10</v>
      </c>
      <c r="M3985" s="25">
        <v>444860</v>
      </c>
      <c r="N3985" s="27">
        <v>8.4033613445378148E-3</v>
      </c>
    </row>
    <row r="3986" spans="1:14" hidden="1" outlineLevel="1" x14ac:dyDescent="0.2">
      <c r="A3986" s="23" t="str">
        <f>HYPERLINK("https://www.spark-marketing.ru/Card/Person/1026690", "СРЕДНЯЯ ШКОЛА С. СОКОЛЬНИКОВО")</f>
        <v>СРЕДНЯЯ ШКОЛА С. СОКОЛЬНИКОВО</v>
      </c>
      <c r="B3986" s="24" t="s">
        <v>6561</v>
      </c>
      <c r="C3986" s="25">
        <v>448630</v>
      </c>
      <c r="D3986" s="22" t="s">
        <v>6562</v>
      </c>
      <c r="E3986" s="22" t="s">
        <v>48</v>
      </c>
      <c r="F3986" s="23" t="str">
        <f>HYPERLINK("https://www.spark-marketing.ru/Card/Lot/73259360", "Оказание услуг по организации питания отдельным категориям обучающихся во 2 полугодии 2019 года")</f>
        <v>Оказание услуг по организации питания отдельным категориям обучающихся во 2 полугодии 2019 года</v>
      </c>
      <c r="G3986" s="22" t="s">
        <v>49</v>
      </c>
      <c r="H3986" s="22" t="s">
        <v>506</v>
      </c>
      <c r="I3986" s="26">
        <v>43713.603472222203</v>
      </c>
      <c r="J3986" s="23" t="str">
        <f>HYPERLINK("https://www.spark-marketing.ru/Card/Person/6290196", "ООО ""РАМКЕЙТ""")</f>
        <v>ООО "РАМКЕЙТ"</v>
      </c>
      <c r="K3986" s="24" t="s">
        <v>5037</v>
      </c>
      <c r="L3986" s="28" t="s">
        <v>51</v>
      </c>
      <c r="M3986" s="25">
        <v>448630</v>
      </c>
      <c r="N3986" s="27">
        <v>0</v>
      </c>
    </row>
    <row r="3987" spans="1:14" x14ac:dyDescent="0.15">
      <c r="A3987" s="23" t="str">
        <f>HYPERLINK("https://www.spark-marketing.ru/Card/Person/1692809", "МО МВД РОССИИ ""УНЕЧСКИЙ""")</f>
        <v>МО МВД РОССИИ "УНЕЧСКИЙ"</v>
      </c>
      <c r="B3987" s="24" t="s">
        <v>3703</v>
      </c>
      <c r="C3987" s="25">
        <v>99750</v>
      </c>
      <c r="D3987" s="22" t="s">
        <v>6563</v>
      </c>
      <c r="E3987" s="22" t="s">
        <v>48</v>
      </c>
      <c r="F3987" s="23" t="str">
        <f>HYPERLINK("https://www.spark-marketing.ru/Card/Lot/73250754", "Оказание услуг по питанию граждан содержищихся в ИВС и СПСЗЛ, 1 усл. ед")</f>
        <v>Оказание услуг по питанию граждан содержищихся в ИВС и СПСЗЛ, 1 усл. ед</v>
      </c>
      <c r="G3987" s="22" t="s">
        <v>475</v>
      </c>
      <c r="H3987" s="22" t="s">
        <v>6564</v>
      </c>
      <c r="I3987" s="26">
        <v>43713.607905092598</v>
      </c>
      <c r="J3987" s="28" t="s">
        <v>51</v>
      </c>
      <c r="K3987" s="28" t="s">
        <v>51</v>
      </c>
      <c r="L3987" s="28" t="s">
        <v>51</v>
      </c>
      <c r="M3987" s="28" t="s">
        <v>51</v>
      </c>
      <c r="N3987" s="28" t="s">
        <v>51</v>
      </c>
    </row>
    <row r="3988" spans="1:14" x14ac:dyDescent="0.15">
      <c r="A3988" s="23" t="str">
        <f>HYPERLINK("https://www.spark-marketing.ru/Card/Person/4347351", "ДАЛЬНЕВОСТОЧНОЕ ТАМОЖЕННОЕ УПРАВЛЕНИЕ")</f>
        <v>ДАЛЬНЕВОСТОЧНОЕ ТАМОЖЕННОЕ УПРАВЛЕНИЕ</v>
      </c>
      <c r="B3988" s="24" t="s">
        <v>5657</v>
      </c>
      <c r="C3988" s="25">
        <v>103453.3</v>
      </c>
      <c r="D3988" s="22" t="s">
        <v>6565</v>
      </c>
      <c r="E3988" s="22" t="s">
        <v>437</v>
      </c>
      <c r="F3988" s="23" t="str">
        <f>HYPERLINK("https://www.spark-marketing.ru/Card/Lot/73241465", "Оказание услуг по испытаниям электроустановок ДВТУ")</f>
        <v>Оказание услуг по испытаниям электроустановок ДВТУ</v>
      </c>
      <c r="G3988" s="22" t="s">
        <v>543</v>
      </c>
      <c r="H3988" s="22" t="s">
        <v>543</v>
      </c>
      <c r="I3988" s="26">
        <v>43713.5805555556</v>
      </c>
      <c r="J3988" s="28" t="s">
        <v>51</v>
      </c>
      <c r="K3988" s="28" t="s">
        <v>51</v>
      </c>
      <c r="L3988" s="28" t="s">
        <v>51</v>
      </c>
      <c r="M3988" s="28" t="s">
        <v>51</v>
      </c>
      <c r="N3988" s="28" t="s">
        <v>51</v>
      </c>
    </row>
    <row r="3989" spans="1:14" hidden="1" outlineLevel="1" x14ac:dyDescent="0.2">
      <c r="A3989" s="23" t="str">
        <f>HYPERLINK("https://www.spark-marketing.ru/Card/Person/4347351", "ДАЛЬНЕВОСТОЧНОЕ ТАМОЖЕННОЕ УПРАВЛЕНИЕ")</f>
        <v>ДАЛЬНЕВОСТОЧНОЕ ТАМОЖЕННОЕ УПРАВЛЕНИЕ</v>
      </c>
      <c r="B3989" s="24" t="s">
        <v>5657</v>
      </c>
      <c r="C3989" s="25">
        <v>103453.3</v>
      </c>
      <c r="D3989" s="22" t="s">
        <v>6565</v>
      </c>
      <c r="E3989" s="22" t="s">
        <v>437</v>
      </c>
      <c r="F3989" s="23" t="str">
        <f>HYPERLINK("https://www.spark-marketing.ru/Card/Lot/73241465", "Оказание услуг по испытаниям электроустановок ДВТУ")</f>
        <v>Оказание услуг по испытаниям электроустановок ДВТУ</v>
      </c>
      <c r="G3989" s="22" t="s">
        <v>543</v>
      </c>
      <c r="H3989" s="22" t="s">
        <v>543</v>
      </c>
      <c r="I3989" s="26">
        <v>43713.5805555556</v>
      </c>
      <c r="J3989" s="23" t="str">
        <f>HYPERLINK("https://www.spark-marketing.ru/Card/Person/4364195", "ООО ""ПРИМТЕХНОПОЛИС""")</f>
        <v>ООО "ПРИМТЕХНОПОЛИС"</v>
      </c>
      <c r="K3989" s="24" t="s">
        <v>6566</v>
      </c>
      <c r="L3989" s="28" t="s">
        <v>51</v>
      </c>
      <c r="M3989" s="25">
        <v>100000</v>
      </c>
      <c r="N3989" s="27">
        <v>3.3380278831124766E-2</v>
      </c>
    </row>
    <row r="3990" spans="1:14" hidden="1" outlineLevel="1" x14ac:dyDescent="0.2">
      <c r="A3990" s="23" t="str">
        <f>HYPERLINK("https://www.spark-marketing.ru/Card/Person/4347351", "ДАЛЬНЕВОСТОЧНОЕ ТАМОЖЕННОЕ УПРАВЛЕНИЕ")</f>
        <v>ДАЛЬНЕВОСТОЧНОЕ ТАМОЖЕННОЕ УПРАВЛЕНИЕ</v>
      </c>
      <c r="B3990" s="24" t="s">
        <v>5657</v>
      </c>
      <c r="C3990" s="25">
        <v>103453.3</v>
      </c>
      <c r="D3990" s="22" t="s">
        <v>6565</v>
      </c>
      <c r="E3990" s="22" t="s">
        <v>437</v>
      </c>
      <c r="F3990" s="23" t="str">
        <f>HYPERLINK("https://www.spark-marketing.ru/Card/Lot/73241465", "Оказание услуг по испытаниям электроустановок ДВТУ")</f>
        <v>Оказание услуг по испытаниям электроустановок ДВТУ</v>
      </c>
      <c r="G3990" s="22" t="s">
        <v>543</v>
      </c>
      <c r="H3990" s="22" t="s">
        <v>543</v>
      </c>
      <c r="I3990" s="26">
        <v>43713.5805555556</v>
      </c>
      <c r="J3990" s="23" t="str">
        <f>HYPERLINK("https://www.spark-marketing.ru/Card/Person/221071", "ООО ""ЛОГИСТИК ТЕХНОЛОДЖИ""")</f>
        <v>ООО "ЛОГИСТИК ТЕХНОЛОДЖИ"</v>
      </c>
      <c r="K3990" s="24" t="s">
        <v>6567</v>
      </c>
      <c r="L3990" s="28" t="s">
        <v>51</v>
      </c>
      <c r="M3990" s="25">
        <v>47142.559999999998</v>
      </c>
      <c r="N3990" s="27">
        <v>0.54431071797613029</v>
      </c>
    </row>
    <row r="3991" spans="1:14" hidden="1" outlineLevel="1" x14ac:dyDescent="0.2">
      <c r="A3991" s="23" t="str">
        <f>HYPERLINK("https://www.spark-marketing.ru/Card/Person/4347351", "ДАЛЬНЕВОСТОЧНОЕ ТАМОЖЕННОЕ УПРАВЛЕНИЕ")</f>
        <v>ДАЛЬНЕВОСТОЧНОЕ ТАМОЖЕННОЕ УПРАВЛЕНИЕ</v>
      </c>
      <c r="B3991" s="24" t="s">
        <v>5657</v>
      </c>
      <c r="C3991" s="25">
        <v>103453.3</v>
      </c>
      <c r="D3991" s="22" t="s">
        <v>6565</v>
      </c>
      <c r="E3991" s="22" t="s">
        <v>437</v>
      </c>
      <c r="F3991" s="23" t="str">
        <f>HYPERLINK("https://www.spark-marketing.ru/Card/Lot/73241465", "Оказание услуг по испытаниям электроустановок ДВТУ")</f>
        <v>Оказание услуг по испытаниям электроустановок ДВТУ</v>
      </c>
      <c r="G3991" s="22" t="s">
        <v>543</v>
      </c>
      <c r="H3991" s="22" t="s">
        <v>543</v>
      </c>
      <c r="I3991" s="26">
        <v>43713.5805555556</v>
      </c>
      <c r="J3991" s="23" t="str">
        <f>HYPERLINK("https://www.spark-marketing.ru/Card/Person/6504644", "Самсоненко Жанна Валерьевна")</f>
        <v>Самсоненко Жанна Валерьевна</v>
      </c>
      <c r="K3991" s="24" t="s">
        <v>6568</v>
      </c>
      <c r="L3991" s="28" t="s">
        <v>51</v>
      </c>
      <c r="M3991" s="25">
        <v>98000</v>
      </c>
      <c r="N3991" s="27">
        <v>5.2712673254502275E-2</v>
      </c>
    </row>
    <row r="3992" spans="1:14" ht="12.75" hidden="1" outlineLevel="1" x14ac:dyDescent="0.2">
      <c r="A3992" s="23" t="str">
        <f>HYPERLINK("https://www.spark-marketing.ru/Card/Person/4347351", "ДАЛЬНЕВОСТОЧНОЕ ТАМОЖЕННОЕ УПРАВЛЕНИЕ")</f>
        <v>ДАЛЬНЕВОСТОЧНОЕ ТАМОЖЕННОЕ УПРАВЛЕНИЕ</v>
      </c>
      <c r="B3992" s="24" t="s">
        <v>5657</v>
      </c>
      <c r="C3992" s="25">
        <v>103453.3</v>
      </c>
      <c r="D3992" s="22" t="s">
        <v>6565</v>
      </c>
      <c r="E3992" s="22" t="s">
        <v>437</v>
      </c>
      <c r="F3992" s="23" t="str">
        <f>HYPERLINK("https://www.spark-marketing.ru/Card/Lot/73241465", "Оказание услуг по испытаниям электроустановок ДВТУ")</f>
        <v>Оказание услуг по испытаниям электроустановок ДВТУ</v>
      </c>
      <c r="G3992" s="22" t="s">
        <v>543</v>
      </c>
      <c r="H3992" s="22" t="s">
        <v>543</v>
      </c>
      <c r="I3992" s="26">
        <v>43713.5805555556</v>
      </c>
      <c r="J3992" s="23" t="str">
        <f>HYPERLINK("https://www.spark-marketing.ru/Card/Person/473149", "ООО ""ЕВГЕНИЙ ПЛЮС""")</f>
        <v>ООО "ЕВГЕНИЙ ПЛЮС"</v>
      </c>
      <c r="K3992" s="24" t="s">
        <v>6569</v>
      </c>
      <c r="L3992" s="22" t="s">
        <v>10</v>
      </c>
      <c r="M3992" s="25">
        <v>46625.29</v>
      </c>
      <c r="N3992" s="27">
        <v>0.54931075180782052</v>
      </c>
    </row>
    <row r="3993" spans="1:14" x14ac:dyDescent="0.15">
      <c r="A3993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993" s="24" t="s">
        <v>967</v>
      </c>
      <c r="C3993" s="25">
        <v>298949.40000000002</v>
      </c>
      <c r="D3993" s="22" t="s">
        <v>6570</v>
      </c>
      <c r="E3993" s="22" t="s">
        <v>48</v>
      </c>
      <c r="F3993" s="23" t="str">
        <f>HYPERLINK("https://www.spark-marketing.ru/Card/Lot/73250435", "Оказание услуг по организации питания (приготовлению и доставке) для ИВС, 1380 усл. ед")</f>
        <v>Оказание услуг по организации питания (приготовлению и доставке) для ИВС, 1380 усл. ед</v>
      </c>
      <c r="G3993" s="22" t="s">
        <v>104</v>
      </c>
      <c r="H3993" s="22" t="s">
        <v>969</v>
      </c>
      <c r="I3993" s="26">
        <v>43713.581261574102</v>
      </c>
      <c r="J3993" s="28" t="s">
        <v>51</v>
      </c>
      <c r="K3993" s="28" t="s">
        <v>51</v>
      </c>
      <c r="L3993" s="28" t="s">
        <v>51</v>
      </c>
      <c r="M3993" s="28" t="s">
        <v>51</v>
      </c>
      <c r="N3993" s="28" t="s">
        <v>51</v>
      </c>
    </row>
    <row r="3994" spans="1:14" x14ac:dyDescent="0.15">
      <c r="A3994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3994" s="24" t="s">
        <v>967</v>
      </c>
      <c r="C3994" s="25">
        <v>78820.08</v>
      </c>
      <c r="D3994" s="22" t="s">
        <v>6571</v>
      </c>
      <c r="E3994" s="22" t="s">
        <v>48</v>
      </c>
      <c r="F3994" s="23" t="str">
        <f>HYPERLINK("https://www.spark-marketing.ru/Card/Lot/73249610", "Оказание услуг по организации питания (приготовление и доставка) для несовершеннолетних лиц, 184 усл. ед")</f>
        <v>Оказание услуг по организации питания (приготовление и доставка) для несовершеннолетних лиц, 184 усл. ед</v>
      </c>
      <c r="G3994" s="22" t="s">
        <v>104</v>
      </c>
      <c r="H3994" s="22" t="s">
        <v>969</v>
      </c>
      <c r="I3994" s="26">
        <v>43713.576736111099</v>
      </c>
      <c r="J3994" s="28" t="s">
        <v>51</v>
      </c>
      <c r="K3994" s="28" t="s">
        <v>51</v>
      </c>
      <c r="L3994" s="28" t="s">
        <v>51</v>
      </c>
      <c r="M3994" s="28" t="s">
        <v>51</v>
      </c>
      <c r="N3994" s="28" t="s">
        <v>51</v>
      </c>
    </row>
    <row r="3995" spans="1:14" x14ac:dyDescent="0.15">
      <c r="A3995" s="23" t="str">
        <f>HYPERLINK("https://www.spark-marketing.ru/Card/Person/235381", "МОУ ""СОШ № 5""")</f>
        <v>МОУ "СОШ № 5"</v>
      </c>
      <c r="B3995" s="24" t="s">
        <v>6572</v>
      </c>
      <c r="C3995" s="25">
        <v>155040</v>
      </c>
      <c r="D3995" s="22" t="s">
        <v>6573</v>
      </c>
      <c r="E3995" s="22" t="s">
        <v>48</v>
      </c>
      <c r="F3995" s="23" t="str">
        <f>HYPERLINK("https://www.spark-marketing.ru/Card/Lot/73250937", "Обеспечение питанием детей из малообеспеченных семей и детей с нарушениями здоровья, обучающихся в муниципальных общеобразовательных организациях")</f>
        <v>Обеспечение питанием детей из малообеспеченных семей и детей с нарушениями здоровья, обучающихся в муниципальных общеобразовательных организациях</v>
      </c>
      <c r="G3995" s="22" t="s">
        <v>469</v>
      </c>
      <c r="H3995" s="22" t="s">
        <v>5961</v>
      </c>
      <c r="I3995" s="26">
        <v>43713.547222222202</v>
      </c>
      <c r="J3995" s="23" t="str">
        <f>HYPERLINK("https://www.spark-marketing.ru/Card/Person/134890", "ООО ""МИРОСЛАВА""")</f>
        <v>ООО "МИРОСЛАВА"</v>
      </c>
      <c r="K3995" s="24" t="s">
        <v>2329</v>
      </c>
      <c r="L3995" s="22" t="s">
        <v>10</v>
      </c>
      <c r="M3995" s="28" t="s">
        <v>51</v>
      </c>
      <c r="N3995" s="28" t="s">
        <v>51</v>
      </c>
    </row>
    <row r="3996" spans="1:14" x14ac:dyDescent="0.15">
      <c r="A3996" s="23" t="str">
        <f>HYPERLINK("https://www.spark-marketing.ru/Card/Person/1007776", "МДОУ ЦРР - ДЕТСКИЙ САД №11")</f>
        <v>МДОУ ЦРР - ДЕТСКИЙ САД №11</v>
      </c>
      <c r="B3996" s="24" t="s">
        <v>6574</v>
      </c>
      <c r="C3996" s="25">
        <v>7813302</v>
      </c>
      <c r="D3996" s="22" t="s">
        <v>6575</v>
      </c>
      <c r="E3996" s="22" t="s">
        <v>48</v>
      </c>
      <c r="F3996" s="23" t="str">
        <f>HYPERLINK("https://www.spark-marketing.ru/Card/Lot/73250218", "Оказание услуг по организации питания для воспитанников дошкольной образовательной организации")</f>
        <v>Оказание услуг по организации питания для воспитанников дошкольной образовательной организации</v>
      </c>
      <c r="G3996" s="22" t="s">
        <v>49</v>
      </c>
      <c r="H3996" s="22" t="s">
        <v>1867</v>
      </c>
      <c r="I3996" s="26">
        <v>43713.479861111096</v>
      </c>
      <c r="J3996" s="28" t="s">
        <v>51</v>
      </c>
      <c r="K3996" s="28" t="s">
        <v>51</v>
      </c>
      <c r="L3996" s="28" t="s">
        <v>51</v>
      </c>
      <c r="M3996" s="28" t="s">
        <v>51</v>
      </c>
      <c r="N3996" s="28" t="s">
        <v>51</v>
      </c>
    </row>
    <row r="3997" spans="1:14" hidden="1" outlineLevel="1" x14ac:dyDescent="0.2">
      <c r="A3997" s="23" t="str">
        <f>HYPERLINK("https://www.spark-marketing.ru/Card/Person/1007776", "МДОУ ЦРР - ДЕТСКИЙ САД №11")</f>
        <v>МДОУ ЦРР - ДЕТСКИЙ САД №11</v>
      </c>
      <c r="B3997" s="24" t="s">
        <v>6574</v>
      </c>
      <c r="C3997" s="25">
        <v>7813302</v>
      </c>
      <c r="D3997" s="22" t="s">
        <v>6575</v>
      </c>
      <c r="E3997" s="22" t="s">
        <v>48</v>
      </c>
      <c r="F3997" s="23" t="str">
        <f>HYPERLINK("https://www.spark-marketing.ru/Card/Lot/73250218", "Оказание услуг по организации питания для воспитанников дошкольной образовательной организации")</f>
        <v>Оказание услуг по организации питания для воспитанников дошкольной образовательной организации</v>
      </c>
      <c r="G3997" s="22" t="s">
        <v>49</v>
      </c>
      <c r="H3997" s="22" t="s">
        <v>1867</v>
      </c>
      <c r="I3997" s="26">
        <v>43713.479861111096</v>
      </c>
      <c r="J3997" s="23" t="str">
        <f>HYPERLINK("https://www.spark-marketing.ru/Card/Person/126568", "ООО ""КРИСТИНА""")</f>
        <v>ООО "КРИСТИНА"</v>
      </c>
      <c r="K3997" s="24" t="s">
        <v>5179</v>
      </c>
      <c r="L3997" s="28" t="s">
        <v>51</v>
      </c>
      <c r="M3997" s="25">
        <v>7774235.4900000002</v>
      </c>
      <c r="N3997" s="27">
        <v>5.0000000000000001E-3</v>
      </c>
    </row>
    <row r="3998" spans="1:14" ht="12.75" hidden="1" outlineLevel="1" x14ac:dyDescent="0.2">
      <c r="A3998" s="23" t="str">
        <f>HYPERLINK("https://www.spark-marketing.ru/Card/Person/1007776", "МДОУ ЦРР - ДЕТСКИЙ САД №11")</f>
        <v>МДОУ ЦРР - ДЕТСКИЙ САД №11</v>
      </c>
      <c r="B3998" s="24" t="s">
        <v>6574</v>
      </c>
      <c r="C3998" s="25">
        <v>7813302</v>
      </c>
      <c r="D3998" s="22" t="s">
        <v>6575</v>
      </c>
      <c r="E3998" s="22" t="s">
        <v>48</v>
      </c>
      <c r="F3998" s="23" t="str">
        <f>HYPERLINK("https://www.spark-marketing.ru/Card/Lot/73250218", "Оказание услуг по организации питания для воспитанников дошкольной образовательной организации")</f>
        <v>Оказание услуг по организации питания для воспитанников дошкольной образовательной организации</v>
      </c>
      <c r="G3998" s="22" t="s">
        <v>49</v>
      </c>
      <c r="H3998" s="22" t="s">
        <v>1867</v>
      </c>
      <c r="I3998" s="26">
        <v>43713.479861111096</v>
      </c>
      <c r="J3998" s="23" t="str">
        <f>HYPERLINK("https://www.spark-marketing.ru/Card/Person/4621492", "Егорова Нина Федоровна")</f>
        <v>Егорова Нина Федоровна</v>
      </c>
      <c r="K3998" s="24" t="s">
        <v>5550</v>
      </c>
      <c r="L3998" s="22" t="s">
        <v>10</v>
      </c>
      <c r="M3998" s="25">
        <v>7441240</v>
      </c>
      <c r="N3998" s="27">
        <v>4.7619047619047616E-2</v>
      </c>
    </row>
    <row r="3999" spans="1:14" x14ac:dyDescent="0.15">
      <c r="A3999" s="23" t="str">
        <f>HYPERLINK("https://www.spark-marketing.ru/Card/Person/996287", "МДОУ ЦРР - Д/С №12")</f>
        <v>МДОУ ЦРР - Д/С №12</v>
      </c>
      <c r="B3999" s="24" t="s">
        <v>6576</v>
      </c>
      <c r="C3999" s="25">
        <v>7268341.5</v>
      </c>
      <c r="D3999" s="22" t="s">
        <v>6577</v>
      </c>
      <c r="E3999" s="22" t="s">
        <v>48</v>
      </c>
      <c r="F3999" s="23" t="str">
        <f>HYPERLINK("https://www.spark-marketing.ru/Card/Lot/73250216",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3999" s="22" t="s">
        <v>49</v>
      </c>
      <c r="H3999" s="22" t="s">
        <v>1867</v>
      </c>
      <c r="I3999" s="26">
        <v>43713.479861111096</v>
      </c>
      <c r="J3999" s="28" t="s">
        <v>51</v>
      </c>
      <c r="K3999" s="28" t="s">
        <v>51</v>
      </c>
      <c r="L3999" s="28" t="s">
        <v>51</v>
      </c>
      <c r="M3999" s="28" t="s">
        <v>51</v>
      </c>
      <c r="N3999" s="28" t="s">
        <v>51</v>
      </c>
    </row>
    <row r="4000" spans="1:14" ht="12.75" hidden="1" outlineLevel="1" x14ac:dyDescent="0.2">
      <c r="A4000" s="23" t="str">
        <f>HYPERLINK("https://www.spark-marketing.ru/Card/Person/996287", "МДОУ ЦРР - Д/С №12")</f>
        <v>МДОУ ЦРР - Д/С №12</v>
      </c>
      <c r="B4000" s="24" t="s">
        <v>6576</v>
      </c>
      <c r="C4000" s="25">
        <v>7268341.5</v>
      </c>
      <c r="D4000" s="22" t="s">
        <v>6577</v>
      </c>
      <c r="E4000" s="22" t="s">
        <v>48</v>
      </c>
      <c r="F4000" s="23" t="str">
        <f>HYPERLINK("https://www.spark-marketing.ru/Card/Lot/73250216",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00" s="22" t="s">
        <v>49</v>
      </c>
      <c r="H4000" s="22" t="s">
        <v>1867</v>
      </c>
      <c r="I4000" s="26">
        <v>43713.479861111096</v>
      </c>
      <c r="J4000" s="23" t="str">
        <f>HYPERLINK("https://www.spark-marketing.ru/Card/Person/126568", "ООО ""КРИСТИНА""")</f>
        <v>ООО "КРИСТИНА"</v>
      </c>
      <c r="K4000" s="24" t="s">
        <v>5179</v>
      </c>
      <c r="L4000" s="22" t="s">
        <v>10</v>
      </c>
      <c r="M4000" s="25">
        <v>6922230</v>
      </c>
      <c r="N4000" s="27">
        <v>4.7619047619047616E-2</v>
      </c>
    </row>
    <row r="4001" spans="1:14" hidden="1" outlineLevel="1" x14ac:dyDescent="0.2">
      <c r="A4001" s="23" t="str">
        <f>HYPERLINK("https://www.spark-marketing.ru/Card/Person/996287", "МДОУ ЦРР - Д/С №12")</f>
        <v>МДОУ ЦРР - Д/С №12</v>
      </c>
      <c r="B4001" s="24" t="s">
        <v>6576</v>
      </c>
      <c r="C4001" s="25">
        <v>7268341.5</v>
      </c>
      <c r="D4001" s="22" t="s">
        <v>6577</v>
      </c>
      <c r="E4001" s="22" t="s">
        <v>48</v>
      </c>
      <c r="F4001" s="23" t="str">
        <f>HYPERLINK("https://www.spark-marketing.ru/Card/Lot/73250216",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01" s="22" t="s">
        <v>49</v>
      </c>
      <c r="H4001" s="22" t="s">
        <v>1867</v>
      </c>
      <c r="I4001" s="26">
        <v>43713.479861111096</v>
      </c>
      <c r="J4001" s="23" t="str">
        <f>HYPERLINK("https://www.spark-marketing.ru/Card/Person/4621492", "Егорова Нина Федоровна")</f>
        <v>Егорова Нина Федоровна</v>
      </c>
      <c r="K4001" s="24" t="s">
        <v>5550</v>
      </c>
      <c r="L4001" s="28" t="s">
        <v>51</v>
      </c>
      <c r="M4001" s="25">
        <v>7159316.3700000001</v>
      </c>
      <c r="N4001" s="27">
        <v>1.5000001031872264E-2</v>
      </c>
    </row>
    <row r="4002" spans="1:14" x14ac:dyDescent="0.15">
      <c r="A4002" s="23" t="str">
        <f>HYPERLINK("https://www.spark-marketing.ru/Card/Person/1002504", "МДОУ ЦРР - ДЕТСКИЙ САД №1")</f>
        <v>МДОУ ЦРР - ДЕТСКИЙ САД №1</v>
      </c>
      <c r="B4002" s="24" t="s">
        <v>6578</v>
      </c>
      <c r="C4002" s="25">
        <v>9328053</v>
      </c>
      <c r="D4002" s="22" t="s">
        <v>6579</v>
      </c>
      <c r="E4002" s="22" t="s">
        <v>48</v>
      </c>
      <c r="F4002" s="23" t="str">
        <f>HYPERLINK("https://www.spark-marketing.ru/Card/Lot/73250925", "Оказание услуг по организации питания для воспитанников дошкольной образовательной организации")</f>
        <v>Оказание услуг по организации питания для воспитанников дошкольной образовательной организации</v>
      </c>
      <c r="G4002" s="22" t="s">
        <v>49</v>
      </c>
      <c r="H4002" s="22" t="s">
        <v>1867</v>
      </c>
      <c r="I4002" s="26">
        <v>43713.479861111096</v>
      </c>
      <c r="J4002" s="28" t="s">
        <v>51</v>
      </c>
      <c r="K4002" s="28" t="s">
        <v>51</v>
      </c>
      <c r="L4002" s="28" t="s">
        <v>51</v>
      </c>
      <c r="M4002" s="28" t="s">
        <v>51</v>
      </c>
      <c r="N4002" s="28" t="s">
        <v>51</v>
      </c>
    </row>
    <row r="4003" spans="1:14" hidden="1" outlineLevel="1" x14ac:dyDescent="0.2">
      <c r="A4003" s="23" t="str">
        <f>HYPERLINK("https://www.spark-marketing.ru/Card/Person/1002504", "МДОУ ЦРР - ДЕТСКИЙ САД №1")</f>
        <v>МДОУ ЦРР - ДЕТСКИЙ САД №1</v>
      </c>
      <c r="B4003" s="24" t="s">
        <v>6578</v>
      </c>
      <c r="C4003" s="25">
        <v>9328053</v>
      </c>
      <c r="D4003" s="22" t="s">
        <v>6579</v>
      </c>
      <c r="E4003" s="22" t="s">
        <v>48</v>
      </c>
      <c r="F4003" s="23" t="str">
        <f>HYPERLINK("https://www.spark-marketing.ru/Card/Lot/73250925", "Оказание услуг по организации питания для воспитанников дошкольной образовательной организации")</f>
        <v>Оказание услуг по организации питания для воспитанников дошкольной образовательной организации</v>
      </c>
      <c r="G4003" s="22" t="s">
        <v>49</v>
      </c>
      <c r="H4003" s="22" t="s">
        <v>1867</v>
      </c>
      <c r="I4003" s="26">
        <v>43713.479861111096</v>
      </c>
      <c r="J4003" s="23" t="str">
        <f>HYPERLINK("https://www.spark-marketing.ru/Card/Person/126568", "ООО ""КРИСТИНА""")</f>
        <v>ООО "КРИСТИНА"</v>
      </c>
      <c r="K4003" s="24" t="s">
        <v>5179</v>
      </c>
      <c r="L4003" s="28" t="s">
        <v>51</v>
      </c>
      <c r="M4003" s="25">
        <v>9188132.1899999995</v>
      </c>
      <c r="N4003" s="27">
        <v>1.5000001608052612E-2</v>
      </c>
    </row>
    <row r="4004" spans="1:14" ht="12.75" hidden="1" outlineLevel="1" x14ac:dyDescent="0.2">
      <c r="A4004" s="23" t="str">
        <f>HYPERLINK("https://www.spark-marketing.ru/Card/Person/1002504", "МДОУ ЦРР - ДЕТСКИЙ САД №1")</f>
        <v>МДОУ ЦРР - ДЕТСКИЙ САД №1</v>
      </c>
      <c r="B4004" s="24" t="s">
        <v>6578</v>
      </c>
      <c r="C4004" s="25">
        <v>9328053</v>
      </c>
      <c r="D4004" s="22" t="s">
        <v>6579</v>
      </c>
      <c r="E4004" s="22" t="s">
        <v>48</v>
      </c>
      <c r="F4004" s="23" t="str">
        <f>HYPERLINK("https://www.spark-marketing.ru/Card/Lot/73250925", "Оказание услуг по организации питания для воспитанников дошкольной образовательной организации")</f>
        <v>Оказание услуг по организации питания для воспитанников дошкольной образовательной организации</v>
      </c>
      <c r="G4004" s="22" t="s">
        <v>49</v>
      </c>
      <c r="H4004" s="22" t="s">
        <v>1867</v>
      </c>
      <c r="I4004" s="26">
        <v>43713.479861111096</v>
      </c>
      <c r="J4004" s="23" t="str">
        <f>HYPERLINK("https://www.spark-marketing.ru/Card/Person/4621492", "Егорова Нина Федоровна")</f>
        <v>Егорова Нина Федоровна</v>
      </c>
      <c r="K4004" s="24" t="s">
        <v>5550</v>
      </c>
      <c r="L4004" s="22" t="s">
        <v>10</v>
      </c>
      <c r="M4004" s="25">
        <v>8883860</v>
      </c>
      <c r="N4004" s="27">
        <v>4.7619047619047616E-2</v>
      </c>
    </row>
    <row r="4005" spans="1:14" x14ac:dyDescent="0.15">
      <c r="A4005" s="23" t="str">
        <f>HYPERLINK("https://www.spark-marketing.ru/Card/Person/1027248", "МДОУ ЦРР - Д/С № 3")</f>
        <v>МДОУ ЦРР - Д/С № 3</v>
      </c>
      <c r="B4005" s="24" t="s">
        <v>6580</v>
      </c>
      <c r="C4005" s="25">
        <v>7523061</v>
      </c>
      <c r="D4005" s="22" t="s">
        <v>6581</v>
      </c>
      <c r="E4005" s="22" t="s">
        <v>48</v>
      </c>
      <c r="F4005" s="23" t="str">
        <f>HYPERLINK("https://www.spark-marketing.ru/Card/Lot/73250217",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05" s="22" t="s">
        <v>49</v>
      </c>
      <c r="H4005" s="22" t="s">
        <v>1867</v>
      </c>
      <c r="I4005" s="26">
        <v>43713.479861111096</v>
      </c>
      <c r="J4005" s="28" t="s">
        <v>51</v>
      </c>
      <c r="K4005" s="28" t="s">
        <v>51</v>
      </c>
      <c r="L4005" s="28" t="s">
        <v>51</v>
      </c>
      <c r="M4005" s="28" t="s">
        <v>51</v>
      </c>
      <c r="N4005" s="28" t="s">
        <v>51</v>
      </c>
    </row>
    <row r="4006" spans="1:14" hidden="1" outlineLevel="1" x14ac:dyDescent="0.2">
      <c r="A4006" s="23" t="str">
        <f>HYPERLINK("https://www.spark-marketing.ru/Card/Person/1027248", "МДОУ ЦРР - Д/С № 3")</f>
        <v>МДОУ ЦРР - Д/С № 3</v>
      </c>
      <c r="B4006" s="24" t="s">
        <v>6580</v>
      </c>
      <c r="C4006" s="25">
        <v>7523061</v>
      </c>
      <c r="D4006" s="22" t="s">
        <v>6581</v>
      </c>
      <c r="E4006" s="22" t="s">
        <v>48</v>
      </c>
      <c r="F4006" s="23" t="str">
        <f>HYPERLINK("https://www.spark-marketing.ru/Card/Lot/73250217",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06" s="22" t="s">
        <v>49</v>
      </c>
      <c r="H4006" s="22" t="s">
        <v>1867</v>
      </c>
      <c r="I4006" s="26">
        <v>43713.479861111096</v>
      </c>
      <c r="J4006" s="23" t="str">
        <f>HYPERLINK("https://www.spark-marketing.ru/Card/Person/126568", "ООО ""КРИСТИНА""")</f>
        <v>ООО "КРИСТИНА"</v>
      </c>
      <c r="K4006" s="24" t="s">
        <v>5179</v>
      </c>
      <c r="L4006" s="28" t="s">
        <v>51</v>
      </c>
      <c r="M4006" s="25">
        <v>7485445.6900000004</v>
      </c>
      <c r="N4006" s="27">
        <v>5.0000006646230832E-3</v>
      </c>
    </row>
    <row r="4007" spans="1:14" ht="12.75" hidden="1" outlineLevel="1" x14ac:dyDescent="0.2">
      <c r="A4007" s="23" t="str">
        <f>HYPERLINK("https://www.spark-marketing.ru/Card/Person/1027248", "МДОУ ЦРР - Д/С № 3")</f>
        <v>МДОУ ЦРР - Д/С № 3</v>
      </c>
      <c r="B4007" s="24" t="s">
        <v>6580</v>
      </c>
      <c r="C4007" s="25">
        <v>7523061</v>
      </c>
      <c r="D4007" s="22" t="s">
        <v>6581</v>
      </c>
      <c r="E4007" s="22" t="s">
        <v>48</v>
      </c>
      <c r="F4007" s="23" t="str">
        <f>HYPERLINK("https://www.spark-marketing.ru/Card/Lot/73250217",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07" s="22" t="s">
        <v>49</v>
      </c>
      <c r="H4007" s="22" t="s">
        <v>1867</v>
      </c>
      <c r="I4007" s="26">
        <v>43713.479861111096</v>
      </c>
      <c r="J4007" s="23" t="str">
        <f>HYPERLINK("https://www.spark-marketing.ru/Card/Person/4621492", "Егорова Нина Федоровна")</f>
        <v>Егорова Нина Федоровна</v>
      </c>
      <c r="K4007" s="24" t="s">
        <v>5550</v>
      </c>
      <c r="L4007" s="22" t="s">
        <v>10</v>
      </c>
      <c r="M4007" s="25">
        <v>7164820</v>
      </c>
      <c r="N4007" s="27">
        <v>4.7619047619047616E-2</v>
      </c>
    </row>
    <row r="4008" spans="1:14" x14ac:dyDescent="0.15">
      <c r="A4008" s="23" t="str">
        <f>HYPERLINK("https://www.spark-marketing.ru/Card/Person/38501", "МБУ ""ЦРБ КУЙБЫШЕВСКОГО РАЙОНА РО""")</f>
        <v>МБУ "ЦРБ КУЙБЫШЕВСКОГО РАЙОНА РО"</v>
      </c>
      <c r="B4008" s="24" t="s">
        <v>6582</v>
      </c>
      <c r="C4008" s="25">
        <v>153402.70000000001</v>
      </c>
      <c r="D4008" s="22" t="s">
        <v>6583</v>
      </c>
      <c r="E4008" s="22" t="s">
        <v>603</v>
      </c>
      <c r="F4008" s="23" t="str">
        <f>HYPERLINK("https://www.spark-marketing.ru/Card/Lot/73251034", "Оказание услуг по поверке и техническому обслуживанию медицинского оборудования для нужд МБУ ""ЦРБ Куйбышевского района РО"" в 2019 году")</f>
        <v>Оказание услуг по поверке и техническому обслуживанию медицинского оборудования для нужд МБУ "ЦРБ Куйбышевского района РО" в 2019 году</v>
      </c>
      <c r="G4008" s="22" t="s">
        <v>267</v>
      </c>
      <c r="H4008" s="22" t="s">
        <v>6584</v>
      </c>
      <c r="I4008" s="26">
        <v>43713.475694444402</v>
      </c>
      <c r="J4008" s="28" t="s">
        <v>51</v>
      </c>
      <c r="K4008" s="28" t="s">
        <v>51</v>
      </c>
      <c r="L4008" s="28" t="s">
        <v>51</v>
      </c>
      <c r="M4008" s="28" t="s">
        <v>51</v>
      </c>
      <c r="N4008" s="28" t="s">
        <v>51</v>
      </c>
    </row>
    <row r="4009" spans="1:14" ht="12.75" hidden="1" outlineLevel="1" x14ac:dyDescent="0.2">
      <c r="A4009" s="23" t="str">
        <f>HYPERLINK("https://www.spark-marketing.ru/Card/Person/38501", "МБУ ""ЦРБ КУЙБЫШЕВСКОГО РАЙОНА РО""")</f>
        <v>МБУ "ЦРБ КУЙБЫШЕВСКОГО РАЙОНА РО"</v>
      </c>
      <c r="B4009" s="24" t="s">
        <v>6582</v>
      </c>
      <c r="C4009" s="25">
        <v>153402.70000000001</v>
      </c>
      <c r="D4009" s="22" t="s">
        <v>6583</v>
      </c>
      <c r="E4009" s="22" t="s">
        <v>603</v>
      </c>
      <c r="F4009" s="23" t="str">
        <f>HYPERLINK("https://www.spark-marketing.ru/Card/Lot/73251034", "Оказание услуг по поверке и техническому обслуживанию медицинского оборудования для нужд МБУ ""ЦРБ Куйбышевского района РО"" в 2019 году")</f>
        <v>Оказание услуг по поверке и техническому обслуживанию медицинского оборудования для нужд МБУ "ЦРБ Куйбышевского района РО" в 2019 году</v>
      </c>
      <c r="G4009" s="22" t="s">
        <v>267</v>
      </c>
      <c r="H4009" s="22" t="s">
        <v>6584</v>
      </c>
      <c r="I4009" s="26">
        <v>43713.475694444402</v>
      </c>
      <c r="J4009" s="23" t="str">
        <f>HYPERLINK("https://www.spark-marketing.ru/Card/Person/246671", "ООО ""ЮМЦ""")</f>
        <v>ООО "ЮМЦ"</v>
      </c>
      <c r="K4009" s="24" t="s">
        <v>6585</v>
      </c>
      <c r="L4009" s="22" t="s">
        <v>10</v>
      </c>
      <c r="M4009" s="25">
        <v>151868.68</v>
      </c>
      <c r="N4009" s="27">
        <v>9.999954368469394E-3</v>
      </c>
    </row>
    <row r="4010" spans="1:14" hidden="1" outlineLevel="1" x14ac:dyDescent="0.2">
      <c r="A4010" s="23" t="str">
        <f>HYPERLINK("https://www.spark-marketing.ru/Card/Person/38501", "МБУ ""ЦРБ КУЙБЫШЕВСКОГО РАЙОНА РО""")</f>
        <v>МБУ "ЦРБ КУЙБЫШЕВСКОГО РАЙОНА РО"</v>
      </c>
      <c r="B4010" s="24" t="s">
        <v>6582</v>
      </c>
      <c r="C4010" s="25">
        <v>153402.70000000001</v>
      </c>
      <c r="D4010" s="22" t="s">
        <v>6583</v>
      </c>
      <c r="E4010" s="22" t="s">
        <v>603</v>
      </c>
      <c r="F4010" s="23" t="str">
        <f>HYPERLINK("https://www.spark-marketing.ru/Card/Lot/73251034", "Оказание услуг по поверке и техническому обслуживанию медицинского оборудования для нужд МБУ ""ЦРБ Куйбышевского района РО"" в 2019 году")</f>
        <v>Оказание услуг по поверке и техническому обслуживанию медицинского оборудования для нужд МБУ "ЦРБ Куйбышевского района РО" в 2019 году</v>
      </c>
      <c r="G4010" s="22" t="s">
        <v>267</v>
      </c>
      <c r="H4010" s="22" t="s">
        <v>6584</v>
      </c>
      <c r="I4010" s="26">
        <v>43713.475694444402</v>
      </c>
      <c r="J4010" s="23" t="str">
        <f>HYPERLINK("https://www.spark-marketing.ru/Card/Person/342808", "ФБУ ""РОСТОВСКИЙ ЦСМ""")</f>
        <v>ФБУ "РОСТОВСКИЙ ЦСМ"</v>
      </c>
      <c r="K4010" s="24" t="s">
        <v>6586</v>
      </c>
      <c r="L4010" s="28" t="s">
        <v>51</v>
      </c>
      <c r="M4010" s="25">
        <v>152635.69</v>
      </c>
      <c r="N4010" s="27">
        <v>4.999977184234697E-3</v>
      </c>
    </row>
    <row r="4011" spans="1:14" x14ac:dyDescent="0.15">
      <c r="A4011" s="23" t="str">
        <f>HYPERLINK("https://www.spark-marketing.ru/Card/Person/6217322", "АНО ДПО ""ТЕХНИЧЕСКАЯ АКАДЕМИЯ РОСАТОМА""")</f>
        <v>АНО ДПО "ТЕХНИЧЕСКАЯ АКАДЕМИЯ РОСАТОМА"</v>
      </c>
      <c r="B4011" s="24" t="s">
        <v>1661</v>
      </c>
      <c r="C4011" s="28" t="s">
        <v>51</v>
      </c>
      <c r="D4011" s="22" t="s">
        <v>6587</v>
      </c>
      <c r="E4011" s="22" t="s">
        <v>67</v>
      </c>
      <c r="F4011" s="23" t="str">
        <f>HYPERLINK("https://www.spark-marketing.ru/Card/Lot/73247656", "Оказание услуг питания в рамках мероприятия «XIV Международный ядерный форум «Безопасность ядерных технологий: культура безопасности» для Санкт-Петербургского филиала АНО ДПО «Техническая академия Росатома»")</f>
        <v>Оказание услуг питания в рамках мероприятия «XIV Международный ядерный форум «Безопасность ядерных технологий: культура безопасности» для Санкт-Петербургского филиала АНО ДПО «Техническая академия Росатома»</v>
      </c>
      <c r="G4011" s="22" t="s">
        <v>112</v>
      </c>
      <c r="H4011" s="22" t="s">
        <v>1663</v>
      </c>
      <c r="I4011" s="26">
        <v>43713.490011574097</v>
      </c>
      <c r="J4011" s="28" t="s">
        <v>51</v>
      </c>
      <c r="K4011" s="28" t="s">
        <v>51</v>
      </c>
      <c r="L4011" s="28" t="s">
        <v>51</v>
      </c>
      <c r="M4011" s="28" t="s">
        <v>51</v>
      </c>
      <c r="N4011" s="28" t="s">
        <v>51</v>
      </c>
    </row>
    <row r="4012" spans="1:14" x14ac:dyDescent="0.15">
      <c r="A4012" s="23" t="str">
        <f>HYPERLINK("https://www.spark-marketing.ru/Card/Person/265917", "ОМВД РОССИИ ПО СЕРЫШЕВСКОМУ РАЙОНУ")</f>
        <v>ОМВД РОССИИ ПО СЕРЫШЕВСКОМУ РАЙОНУ</v>
      </c>
      <c r="B4012" s="24" t="s">
        <v>6588</v>
      </c>
      <c r="C4012" s="25">
        <v>795000</v>
      </c>
      <c r="D4012" s="22" t="s">
        <v>6589</v>
      </c>
      <c r="E4012" s="22" t="s">
        <v>48</v>
      </c>
      <c r="F4012" s="23" t="str">
        <f>HYPERLINK("https://www.spark-marketing.ru/Card/Lot/73240533", "Оказание услуг по приготовлению горячего питания для лиц, содержащихся в ИВС ОМВД России по Серышевскому району")</f>
        <v>Оказание услуг по приготовлению горячего питания для лиц, содержащихся в ИВС ОМВД России по Серышевскому району</v>
      </c>
      <c r="G4012" s="22" t="s">
        <v>210</v>
      </c>
      <c r="H4012" s="22" t="s">
        <v>6590</v>
      </c>
      <c r="I4012" s="26">
        <v>43713.465972222199</v>
      </c>
      <c r="J4012" s="23" t="str">
        <f>HYPERLINK("https://www.spark-marketing.ru/Card/Person/293050", "СЕРЫШЕВСКОЕ РАЙПО")</f>
        <v>СЕРЫШЕВСКОЕ РАЙПО</v>
      </c>
      <c r="K4012" s="24" t="s">
        <v>6591</v>
      </c>
      <c r="L4012" s="22" t="s">
        <v>10</v>
      </c>
      <c r="M4012" s="28" t="s">
        <v>51</v>
      </c>
      <c r="N4012" s="28" t="s">
        <v>51</v>
      </c>
    </row>
    <row r="4013" spans="1:14" x14ac:dyDescent="0.15">
      <c r="A4013" s="23" t="str">
        <f t="shared" ref="A4013:A4020" si="72">HYPERLINK("https://www.spark-marketing.ru/Card/Person/102219", "КГКУ УСЗН ПО ГОРОДАМ СЛАВГОРОДУ И ЯРОВОЕ, БУРЛИНСКОМУ И ТАБУНСКОМУ РАЙОНАМ")</f>
        <v>КГКУ УСЗН ПО ГОРОДАМ СЛАВГОРОДУ И ЯРОВОЕ, БУРЛИНСКОМУ И ТАБУНСКОМУ РАЙОНАМ</v>
      </c>
      <c r="B4013" s="24" t="s">
        <v>6592</v>
      </c>
      <c r="C4013" s="25">
        <v>58666.720000000001</v>
      </c>
      <c r="D4013" s="22" t="s">
        <v>6593</v>
      </c>
      <c r="E4013" s="22" t="s">
        <v>1018</v>
      </c>
      <c r="F4013" s="23" t="str">
        <f t="shared" ref="F4013:F4020" si="73">HYPERLINK("https://www.spark-marketing.ru/Card/Lot/73241481", "Оказание услуг по разработке паспортов отходов I-IV класса опасности")</f>
        <v>Оказание услуг по разработке паспортов отходов I-IV класса опасности</v>
      </c>
      <c r="G4013" s="22" t="s">
        <v>63</v>
      </c>
      <c r="H4013" s="22" t="s">
        <v>6594</v>
      </c>
      <c r="I4013" s="26">
        <v>43713.463194444397</v>
      </c>
      <c r="J4013" s="28" t="s">
        <v>51</v>
      </c>
      <c r="K4013" s="28" t="s">
        <v>51</v>
      </c>
      <c r="L4013" s="28" t="s">
        <v>51</v>
      </c>
      <c r="M4013" s="28" t="s">
        <v>51</v>
      </c>
      <c r="N4013" s="28" t="s">
        <v>51</v>
      </c>
    </row>
    <row r="4014" spans="1:14" hidden="1" outlineLevel="1" x14ac:dyDescent="0.2">
      <c r="A4014" s="23" t="str">
        <f t="shared" si="72"/>
        <v>КГКУ УСЗН ПО ГОРОДАМ СЛАВГОРОДУ И ЯРОВОЕ, БУРЛИНСКОМУ И ТАБУНСКОМУ РАЙОНАМ</v>
      </c>
      <c r="B4014" s="24" t="s">
        <v>6592</v>
      </c>
      <c r="C4014" s="25">
        <v>58666.720000000001</v>
      </c>
      <c r="D4014" s="22" t="s">
        <v>6593</v>
      </c>
      <c r="E4014" s="22" t="s">
        <v>1018</v>
      </c>
      <c r="F4014" s="23" t="str">
        <f t="shared" si="73"/>
        <v>Оказание услуг по разработке паспортов отходов I-IV класса опасности</v>
      </c>
      <c r="G4014" s="22" t="s">
        <v>63</v>
      </c>
      <c r="H4014" s="22" t="s">
        <v>6594</v>
      </c>
      <c r="I4014" s="26">
        <v>43713.463194444397</v>
      </c>
      <c r="J4014" s="23" t="str">
        <f>HYPERLINK("https://www.spark-marketing.ru/Card/Person/182252", "Хижняк Владислав Геннадьевич")</f>
        <v>Хижняк Владислав Геннадьевич</v>
      </c>
      <c r="K4014" s="24" t="s">
        <v>6595</v>
      </c>
      <c r="L4014" s="28" t="s">
        <v>51</v>
      </c>
      <c r="M4014" s="25">
        <v>48000</v>
      </c>
      <c r="N4014" s="27">
        <v>0.18181892561915852</v>
      </c>
    </row>
    <row r="4015" spans="1:14" hidden="1" outlineLevel="1" x14ac:dyDescent="0.2">
      <c r="A4015" s="23" t="str">
        <f t="shared" si="72"/>
        <v>КГКУ УСЗН ПО ГОРОДАМ СЛАВГОРОДУ И ЯРОВОЕ, БУРЛИНСКОМУ И ТАБУНСКОМУ РАЙОНАМ</v>
      </c>
      <c r="B4015" s="24" t="s">
        <v>6592</v>
      </c>
      <c r="C4015" s="25">
        <v>58666.720000000001</v>
      </c>
      <c r="D4015" s="22" t="s">
        <v>6593</v>
      </c>
      <c r="E4015" s="22" t="s">
        <v>1018</v>
      </c>
      <c r="F4015" s="23" t="str">
        <f t="shared" si="73"/>
        <v>Оказание услуг по разработке паспортов отходов I-IV класса опасности</v>
      </c>
      <c r="G4015" s="22" t="s">
        <v>63</v>
      </c>
      <c r="H4015" s="22" t="s">
        <v>6594</v>
      </c>
      <c r="I4015" s="26">
        <v>43713.463194444397</v>
      </c>
      <c r="J4015" s="23" t="str">
        <f>HYPERLINK("https://www.spark-marketing.ru/Card/Person/4543718", "ФЛ ""ЦЛАТИ по Алтайскому краю""")</f>
        <v>ФЛ "ЦЛАТИ по Алтайскому краю"</v>
      </c>
      <c r="K4015" s="24" t="s">
        <v>6596</v>
      </c>
      <c r="L4015" s="28" t="s">
        <v>51</v>
      </c>
      <c r="M4015" s="25">
        <v>50000</v>
      </c>
      <c r="N4015" s="27">
        <v>0.1477280475199568</v>
      </c>
    </row>
    <row r="4016" spans="1:14" hidden="1" outlineLevel="1" x14ac:dyDescent="0.2">
      <c r="A4016" s="23" t="str">
        <f t="shared" si="72"/>
        <v>КГКУ УСЗН ПО ГОРОДАМ СЛАВГОРОДУ И ЯРОВОЕ, БУРЛИНСКОМУ И ТАБУНСКОМУ РАЙОНАМ</v>
      </c>
      <c r="B4016" s="24" t="s">
        <v>6592</v>
      </c>
      <c r="C4016" s="25">
        <v>58666.720000000001</v>
      </c>
      <c r="D4016" s="22" t="s">
        <v>6593</v>
      </c>
      <c r="E4016" s="22" t="s">
        <v>1018</v>
      </c>
      <c r="F4016" s="23" t="str">
        <f t="shared" si="73"/>
        <v>Оказание услуг по разработке паспортов отходов I-IV класса опасности</v>
      </c>
      <c r="G4016" s="22" t="s">
        <v>63</v>
      </c>
      <c r="H4016" s="22" t="s">
        <v>6594</v>
      </c>
      <c r="I4016" s="26">
        <v>43713.463194444397</v>
      </c>
      <c r="J4016" s="23" t="str">
        <f>HYPERLINK("https://www.spark-marketing.ru/Card/Person/144887", "ООО ""РИЭБ""")</f>
        <v>ООО "РИЭБ"</v>
      </c>
      <c r="K4016" s="24" t="s">
        <v>6597</v>
      </c>
      <c r="L4016" s="28" t="s">
        <v>51</v>
      </c>
      <c r="M4016" s="25">
        <v>26200</v>
      </c>
      <c r="N4016" s="27">
        <v>0.55340949690045738</v>
      </c>
    </row>
    <row r="4017" spans="1:14" hidden="1" outlineLevel="1" x14ac:dyDescent="0.2">
      <c r="A4017" s="23" t="str">
        <f t="shared" si="72"/>
        <v>КГКУ УСЗН ПО ГОРОДАМ СЛАВГОРОДУ И ЯРОВОЕ, БУРЛИНСКОМУ И ТАБУНСКОМУ РАЙОНАМ</v>
      </c>
      <c r="B4017" s="24" t="s">
        <v>6592</v>
      </c>
      <c r="C4017" s="25">
        <v>58666.720000000001</v>
      </c>
      <c r="D4017" s="22" t="s">
        <v>6593</v>
      </c>
      <c r="E4017" s="22" t="s">
        <v>1018</v>
      </c>
      <c r="F4017" s="23" t="str">
        <f t="shared" si="73"/>
        <v>Оказание услуг по разработке паспортов отходов I-IV класса опасности</v>
      </c>
      <c r="G4017" s="22" t="s">
        <v>63</v>
      </c>
      <c r="H4017" s="22" t="s">
        <v>6594</v>
      </c>
      <c r="I4017" s="26">
        <v>43713.463194444397</v>
      </c>
      <c r="J4017" s="23" t="str">
        <f>HYPERLINK("https://www.spark-marketing.ru/Card/Person/6702879", "Огородников Сергей Сергеевич")</f>
        <v>Огородников Сергей Сергеевич</v>
      </c>
      <c r="K4017" s="24" t="s">
        <v>6598</v>
      </c>
      <c r="L4017" s="28" t="s">
        <v>51</v>
      </c>
      <c r="M4017" s="25">
        <v>19413.32</v>
      </c>
      <c r="N4017" s="27">
        <v>0.66909143718960251</v>
      </c>
    </row>
    <row r="4018" spans="1:14" hidden="1" outlineLevel="1" x14ac:dyDescent="0.2">
      <c r="A4018" s="23" t="str">
        <f t="shared" si="72"/>
        <v>КГКУ УСЗН ПО ГОРОДАМ СЛАВГОРОДУ И ЯРОВОЕ, БУРЛИНСКОМУ И ТАБУНСКОМУ РАЙОНАМ</v>
      </c>
      <c r="B4018" s="24" t="s">
        <v>6592</v>
      </c>
      <c r="C4018" s="25">
        <v>58666.720000000001</v>
      </c>
      <c r="D4018" s="22" t="s">
        <v>6593</v>
      </c>
      <c r="E4018" s="22" t="s">
        <v>1018</v>
      </c>
      <c r="F4018" s="23" t="str">
        <f t="shared" si="73"/>
        <v>Оказание услуг по разработке паспортов отходов I-IV класса опасности</v>
      </c>
      <c r="G4018" s="22" t="s">
        <v>63</v>
      </c>
      <c r="H4018" s="22" t="s">
        <v>6594</v>
      </c>
      <c r="I4018" s="26">
        <v>43713.463194444397</v>
      </c>
      <c r="J4018" s="23" t="str">
        <f>HYPERLINK("https://www.spark-marketing.ru/Card/Person/4755732", "Еловиков Алексей Дмитриевич")</f>
        <v>Еловиков Алексей Дмитриевич</v>
      </c>
      <c r="K4018" s="24" t="s">
        <v>6599</v>
      </c>
      <c r="L4018" s="28" t="s">
        <v>51</v>
      </c>
      <c r="M4018" s="25">
        <v>30000</v>
      </c>
      <c r="N4018" s="27">
        <v>0.4886368285119741</v>
      </c>
    </row>
    <row r="4019" spans="1:14" hidden="1" outlineLevel="1" x14ac:dyDescent="0.2">
      <c r="A4019" s="23" t="str">
        <f t="shared" si="72"/>
        <v>КГКУ УСЗН ПО ГОРОДАМ СЛАВГОРОДУ И ЯРОВОЕ, БУРЛИНСКОМУ И ТАБУНСКОМУ РАЙОНАМ</v>
      </c>
      <c r="B4019" s="24" t="s">
        <v>6592</v>
      </c>
      <c r="C4019" s="25">
        <v>58666.720000000001</v>
      </c>
      <c r="D4019" s="22" t="s">
        <v>6593</v>
      </c>
      <c r="E4019" s="22" t="s">
        <v>1018</v>
      </c>
      <c r="F4019" s="23" t="str">
        <f t="shared" si="73"/>
        <v>Оказание услуг по разработке паспортов отходов I-IV класса опасности</v>
      </c>
      <c r="G4019" s="22" t="s">
        <v>63</v>
      </c>
      <c r="H4019" s="22" t="s">
        <v>6594</v>
      </c>
      <c r="I4019" s="26">
        <v>43713.463194444397</v>
      </c>
      <c r="J4019" s="23" t="str">
        <f>HYPERLINK("https://www.spark-marketing.ru/Card/Person/164442", "ООО ""ЭКО-ПАРТНЁР""")</f>
        <v>ООО "ЭКО-ПАРТНЁР"</v>
      </c>
      <c r="K4019" s="24" t="s">
        <v>6600</v>
      </c>
      <c r="L4019" s="28" t="s">
        <v>51</v>
      </c>
      <c r="M4019" s="25">
        <v>14426.61</v>
      </c>
      <c r="N4019" s="27">
        <v>0.7540920985526377</v>
      </c>
    </row>
    <row r="4020" spans="1:14" ht="12.75" hidden="1" outlineLevel="1" x14ac:dyDescent="0.2">
      <c r="A4020" s="23" t="str">
        <f t="shared" si="72"/>
        <v>КГКУ УСЗН ПО ГОРОДАМ СЛАВГОРОДУ И ЯРОВОЕ, БУРЛИНСКОМУ И ТАБУНСКОМУ РАЙОНАМ</v>
      </c>
      <c r="B4020" s="24" t="s">
        <v>6592</v>
      </c>
      <c r="C4020" s="25">
        <v>58666.720000000001</v>
      </c>
      <c r="D4020" s="22" t="s">
        <v>6593</v>
      </c>
      <c r="E4020" s="22" t="s">
        <v>1018</v>
      </c>
      <c r="F4020" s="23" t="str">
        <f t="shared" si="73"/>
        <v>Оказание услуг по разработке паспортов отходов I-IV класса опасности</v>
      </c>
      <c r="G4020" s="22" t="s">
        <v>63</v>
      </c>
      <c r="H4020" s="22" t="s">
        <v>6594</v>
      </c>
      <c r="I4020" s="26">
        <v>43713.463194444397</v>
      </c>
      <c r="J4020" s="23" t="str">
        <f>HYPERLINK("https://www.spark-marketing.ru/Card/Person/4853353", "Ганай Мария Ивановна")</f>
        <v>Ганай Мария Ивановна</v>
      </c>
      <c r="K4020" s="24" t="s">
        <v>6601</v>
      </c>
      <c r="L4020" s="22" t="s">
        <v>10</v>
      </c>
      <c r="M4020" s="25">
        <v>14133.27</v>
      </c>
      <c r="N4020" s="27">
        <v>0.75909220764344765</v>
      </c>
    </row>
    <row r="4021" spans="1:14" x14ac:dyDescent="0.15">
      <c r="A4021" s="23" t="str">
        <f>HYPERLINK("https://www.spark-marketing.ru/Card/Person/996264", "МДОУ ЦРР - Д/С №28")</f>
        <v>МДОУ ЦРР - Д/С №28</v>
      </c>
      <c r="B4021" s="24" t="s">
        <v>6602</v>
      </c>
      <c r="C4021" s="25">
        <v>11288340</v>
      </c>
      <c r="D4021" s="22" t="s">
        <v>6603</v>
      </c>
      <c r="E4021" s="22" t="s">
        <v>48</v>
      </c>
      <c r="F4021" s="23" t="str">
        <f>HYPERLINK("https://www.spark-marketing.ru/Card/Lot/73250261",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21" s="22" t="s">
        <v>49</v>
      </c>
      <c r="H4021" s="22" t="s">
        <v>1867</v>
      </c>
      <c r="I4021" s="26">
        <v>43713.479861111096</v>
      </c>
      <c r="J4021" s="28" t="s">
        <v>51</v>
      </c>
      <c r="K4021" s="28" t="s">
        <v>51</v>
      </c>
      <c r="L4021" s="28" t="s">
        <v>51</v>
      </c>
      <c r="M4021" s="28" t="s">
        <v>51</v>
      </c>
      <c r="N4021" s="28" t="s">
        <v>51</v>
      </c>
    </row>
    <row r="4022" spans="1:14" hidden="1" outlineLevel="1" x14ac:dyDescent="0.2">
      <c r="A4022" s="23" t="str">
        <f>HYPERLINK("https://www.spark-marketing.ru/Card/Person/996264", "МДОУ ЦРР - Д/С №28")</f>
        <v>МДОУ ЦРР - Д/С №28</v>
      </c>
      <c r="B4022" s="24" t="s">
        <v>6602</v>
      </c>
      <c r="C4022" s="25">
        <v>11288340</v>
      </c>
      <c r="D4022" s="22" t="s">
        <v>6603</v>
      </c>
      <c r="E4022" s="22" t="s">
        <v>48</v>
      </c>
      <c r="F4022" s="23" t="str">
        <f>HYPERLINK("https://www.spark-marketing.ru/Card/Lot/73250261",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22" s="22" t="s">
        <v>49</v>
      </c>
      <c r="H4022" s="22" t="s">
        <v>1867</v>
      </c>
      <c r="I4022" s="26">
        <v>43713.479861111096</v>
      </c>
      <c r="J4022" s="23" t="str">
        <f>HYPERLINK("https://www.spark-marketing.ru/Card/Person/126568", "ООО ""КРИСТИНА""")</f>
        <v>ООО "КРИСТИНА"</v>
      </c>
      <c r="K4022" s="24" t="s">
        <v>5179</v>
      </c>
      <c r="L4022" s="28" t="s">
        <v>51</v>
      </c>
      <c r="M4022" s="25">
        <v>11119014.9</v>
      </c>
      <c r="N4022" s="27">
        <v>1.4999999999999999E-2</v>
      </c>
    </row>
    <row r="4023" spans="1:14" ht="12.75" hidden="1" outlineLevel="1" x14ac:dyDescent="0.2">
      <c r="A4023" s="23" t="str">
        <f>HYPERLINK("https://www.spark-marketing.ru/Card/Person/996264", "МДОУ ЦРР - Д/С №28")</f>
        <v>МДОУ ЦРР - Д/С №28</v>
      </c>
      <c r="B4023" s="24" t="s">
        <v>6602</v>
      </c>
      <c r="C4023" s="25">
        <v>11288340</v>
      </c>
      <c r="D4023" s="22" t="s">
        <v>6603</v>
      </c>
      <c r="E4023" s="22" t="s">
        <v>48</v>
      </c>
      <c r="F4023" s="23" t="str">
        <f>HYPERLINK("https://www.spark-marketing.ru/Card/Lot/73250261",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23" s="22" t="s">
        <v>49</v>
      </c>
      <c r="H4023" s="22" t="s">
        <v>1867</v>
      </c>
      <c r="I4023" s="26">
        <v>43713.479861111096</v>
      </c>
      <c r="J4023" s="23" t="str">
        <f>HYPERLINK("https://www.spark-marketing.ru/Card/Person/4621492", "Егорова Нина Федоровна")</f>
        <v>Егорова Нина Федоровна</v>
      </c>
      <c r="K4023" s="24" t="s">
        <v>5550</v>
      </c>
      <c r="L4023" s="22" t="s">
        <v>10</v>
      </c>
      <c r="M4023" s="25">
        <v>10750800</v>
      </c>
      <c r="N4023" s="27">
        <v>4.7619047619047616E-2</v>
      </c>
    </row>
    <row r="4024" spans="1:14" x14ac:dyDescent="0.15">
      <c r="A4024" s="23" t="str">
        <f>HYPERLINK("https://www.spark-marketing.ru/Card/Person/265917", "ОМВД РОССИИ ПО СЕРЫШЕВСКОМУ РАЙОНУ")</f>
        <v>ОМВД РОССИИ ПО СЕРЫШЕВСКОМУ РАЙОНУ</v>
      </c>
      <c r="B4024" s="24" t="s">
        <v>6588</v>
      </c>
      <c r="C4024" s="25">
        <v>795000</v>
      </c>
      <c r="D4024" s="22" t="s">
        <v>6604</v>
      </c>
      <c r="E4024" s="22" t="s">
        <v>48</v>
      </c>
      <c r="F4024" s="23" t="str">
        <f>HYPERLINK("https://www.spark-marketing.ru/Card/Lot/73240776", "Оказание услуг по приготовлению горячего питания для лиц, содержащихся в ИВС ОМВД России по Серышевскому району")</f>
        <v>Оказание услуг по приготовлению горячего питания для лиц, содержащихся в ИВС ОМВД России по Серышевскому району</v>
      </c>
      <c r="G4024" s="22" t="s">
        <v>210</v>
      </c>
      <c r="H4024" s="22" t="s">
        <v>6590</v>
      </c>
      <c r="I4024" s="26">
        <v>43713.465277777803</v>
      </c>
      <c r="J4024" s="23" t="str">
        <f>HYPERLINK("https://www.spark-marketing.ru/Card/Person/293050", "СЕРЫШЕВСКОЕ РАЙПО")</f>
        <v>СЕРЫШЕВСКОЕ РАЙПО</v>
      </c>
      <c r="K4024" s="24" t="s">
        <v>6591</v>
      </c>
      <c r="L4024" s="22" t="s">
        <v>10</v>
      </c>
      <c r="M4024" s="28" t="s">
        <v>51</v>
      </c>
      <c r="N4024" s="28" t="s">
        <v>51</v>
      </c>
    </row>
    <row r="4025" spans="1:14" x14ac:dyDescent="0.15">
      <c r="A4025" s="23" t="str">
        <f>HYPERLINK("https://www.spark-marketing.ru/Card/Person/997972", "МДОУ ДЕТСКИЙ САД № 18")</f>
        <v>МДОУ ДЕТСКИЙ САД № 18</v>
      </c>
      <c r="B4025" s="24" t="s">
        <v>6605</v>
      </c>
      <c r="C4025" s="25">
        <v>10369779</v>
      </c>
      <c r="D4025" s="22" t="s">
        <v>6606</v>
      </c>
      <c r="E4025" s="22" t="s">
        <v>48</v>
      </c>
      <c r="F4025" s="23" t="str">
        <f>HYPERLINK("https://www.spark-marketing.ru/Card/Lot/73250260",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25" s="22" t="s">
        <v>49</v>
      </c>
      <c r="H4025" s="22" t="s">
        <v>1867</v>
      </c>
      <c r="I4025" s="26">
        <v>43713.479166666701</v>
      </c>
      <c r="J4025" s="28" t="s">
        <v>51</v>
      </c>
      <c r="K4025" s="28" t="s">
        <v>51</v>
      </c>
      <c r="L4025" s="28" t="s">
        <v>51</v>
      </c>
      <c r="M4025" s="28" t="s">
        <v>51</v>
      </c>
      <c r="N4025" s="28" t="s">
        <v>51</v>
      </c>
    </row>
    <row r="4026" spans="1:14" hidden="1" outlineLevel="1" x14ac:dyDescent="0.2">
      <c r="A4026" s="23" t="str">
        <f>HYPERLINK("https://www.spark-marketing.ru/Card/Person/997972", "МДОУ ДЕТСКИЙ САД № 18")</f>
        <v>МДОУ ДЕТСКИЙ САД № 18</v>
      </c>
      <c r="B4026" s="24" t="s">
        <v>6605</v>
      </c>
      <c r="C4026" s="25">
        <v>10369779</v>
      </c>
      <c r="D4026" s="22" t="s">
        <v>6606</v>
      </c>
      <c r="E4026" s="22" t="s">
        <v>48</v>
      </c>
      <c r="F4026" s="23" t="str">
        <f>HYPERLINK("https://www.spark-marketing.ru/Card/Lot/73250260",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26" s="22" t="s">
        <v>49</v>
      </c>
      <c r="H4026" s="22" t="s">
        <v>1867</v>
      </c>
      <c r="I4026" s="26">
        <v>43713.479166666701</v>
      </c>
      <c r="J4026" s="23" t="str">
        <f>HYPERLINK("https://www.spark-marketing.ru/Card/Person/126568", "ООО ""КРИСТИНА""")</f>
        <v>ООО "КРИСТИНА"</v>
      </c>
      <c r="K4026" s="24" t="s">
        <v>5179</v>
      </c>
      <c r="L4026" s="28" t="s">
        <v>51</v>
      </c>
      <c r="M4026" s="25">
        <v>10214232.300000001</v>
      </c>
      <c r="N4026" s="27">
        <v>1.5000001446511058E-2</v>
      </c>
    </row>
    <row r="4027" spans="1:14" ht="12.75" hidden="1" outlineLevel="1" x14ac:dyDescent="0.2">
      <c r="A4027" s="23" t="str">
        <f>HYPERLINK("https://www.spark-marketing.ru/Card/Person/997972", "МДОУ ДЕТСКИЙ САД № 18")</f>
        <v>МДОУ ДЕТСКИЙ САД № 18</v>
      </c>
      <c r="B4027" s="24" t="s">
        <v>6605</v>
      </c>
      <c r="C4027" s="25">
        <v>10369779</v>
      </c>
      <c r="D4027" s="22" t="s">
        <v>6606</v>
      </c>
      <c r="E4027" s="22" t="s">
        <v>48</v>
      </c>
      <c r="F4027" s="23" t="str">
        <f>HYPERLINK("https://www.spark-marketing.ru/Card/Lot/73250260",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27" s="22" t="s">
        <v>49</v>
      </c>
      <c r="H4027" s="22" t="s">
        <v>1867</v>
      </c>
      <c r="I4027" s="26">
        <v>43713.479166666701</v>
      </c>
      <c r="J4027" s="23" t="str">
        <f>HYPERLINK("https://www.spark-marketing.ru/Card/Person/4621492", "Егорова Нина Федоровна")</f>
        <v>Егорова Нина Федоровна</v>
      </c>
      <c r="K4027" s="24" t="s">
        <v>5550</v>
      </c>
      <c r="L4027" s="22" t="s">
        <v>10</v>
      </c>
      <c r="M4027" s="25">
        <v>9875980</v>
      </c>
      <c r="N4027" s="27">
        <v>4.7619047619047616E-2</v>
      </c>
    </row>
    <row r="4028" spans="1:14" x14ac:dyDescent="0.15">
      <c r="A4028" s="23" t="str">
        <f>HYPERLINK("https://www.spark-marketing.ru/Card/Person/129581", "МДОУ ЦРР Д/С № 14")</f>
        <v>МДОУ ЦРР Д/С № 14</v>
      </c>
      <c r="B4028" s="24" t="s">
        <v>6607</v>
      </c>
      <c r="C4028" s="25">
        <v>8764707</v>
      </c>
      <c r="D4028" s="22" t="s">
        <v>6608</v>
      </c>
      <c r="E4028" s="22" t="s">
        <v>48</v>
      </c>
      <c r="F4028" s="23" t="str">
        <f>HYPERLINK("https://www.spark-marketing.ru/Card/Lot/73250259",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28" s="22" t="s">
        <v>49</v>
      </c>
      <c r="H4028" s="22" t="s">
        <v>1867</v>
      </c>
      <c r="I4028" s="26">
        <v>43713.479861111096</v>
      </c>
      <c r="J4028" s="28" t="s">
        <v>51</v>
      </c>
      <c r="K4028" s="28" t="s">
        <v>51</v>
      </c>
      <c r="L4028" s="28" t="s">
        <v>51</v>
      </c>
      <c r="M4028" s="28" t="s">
        <v>51</v>
      </c>
      <c r="N4028" s="28" t="s">
        <v>51</v>
      </c>
    </row>
    <row r="4029" spans="1:14" hidden="1" outlineLevel="1" x14ac:dyDescent="0.2">
      <c r="A4029" s="23" t="str">
        <f>HYPERLINK("https://www.spark-marketing.ru/Card/Person/129581", "МДОУ ЦРР Д/С № 14")</f>
        <v>МДОУ ЦРР Д/С № 14</v>
      </c>
      <c r="B4029" s="24" t="s">
        <v>6607</v>
      </c>
      <c r="C4029" s="25">
        <v>8764707</v>
      </c>
      <c r="D4029" s="22" t="s">
        <v>6608</v>
      </c>
      <c r="E4029" s="22" t="s">
        <v>48</v>
      </c>
      <c r="F4029" s="23" t="str">
        <f>HYPERLINK("https://www.spark-marketing.ru/Card/Lot/73250259",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29" s="22" t="s">
        <v>49</v>
      </c>
      <c r="H4029" s="22" t="s">
        <v>1867</v>
      </c>
      <c r="I4029" s="26">
        <v>43713.479861111096</v>
      </c>
      <c r="J4029" s="23" t="str">
        <f>HYPERLINK("https://www.spark-marketing.ru/Card/Person/126568", "ООО ""КРИСТИНА""")</f>
        <v>ООО "КРИСТИНА"</v>
      </c>
      <c r="K4029" s="24" t="s">
        <v>5179</v>
      </c>
      <c r="L4029" s="28" t="s">
        <v>51</v>
      </c>
      <c r="M4029" s="25">
        <v>8720883.4600000009</v>
      </c>
      <c r="N4029" s="27">
        <v>5.0000005704697262E-3</v>
      </c>
    </row>
    <row r="4030" spans="1:14" ht="12.75" hidden="1" outlineLevel="1" x14ac:dyDescent="0.2">
      <c r="A4030" s="23" t="str">
        <f>HYPERLINK("https://www.spark-marketing.ru/Card/Person/129581", "МДОУ ЦРР Д/С № 14")</f>
        <v>МДОУ ЦРР Д/С № 14</v>
      </c>
      <c r="B4030" s="24" t="s">
        <v>6607</v>
      </c>
      <c r="C4030" s="25">
        <v>8764707</v>
      </c>
      <c r="D4030" s="22" t="s">
        <v>6608</v>
      </c>
      <c r="E4030" s="22" t="s">
        <v>48</v>
      </c>
      <c r="F4030" s="23" t="str">
        <f>HYPERLINK("https://www.spark-marketing.ru/Card/Lot/73250259",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30" s="22" t="s">
        <v>49</v>
      </c>
      <c r="H4030" s="22" t="s">
        <v>1867</v>
      </c>
      <c r="I4030" s="26">
        <v>43713.479861111096</v>
      </c>
      <c r="J4030" s="23" t="str">
        <f>HYPERLINK("https://www.spark-marketing.ru/Card/Person/4621492", "Егорова Нина Федоровна")</f>
        <v>Егорова Нина Федоровна</v>
      </c>
      <c r="K4030" s="24" t="s">
        <v>5550</v>
      </c>
      <c r="L4030" s="22" t="s">
        <v>10</v>
      </c>
      <c r="M4030" s="25">
        <v>8347340</v>
      </c>
      <c r="N4030" s="27">
        <v>4.7619047619047616E-2</v>
      </c>
    </row>
    <row r="4031" spans="1:14" x14ac:dyDescent="0.15">
      <c r="A4031" s="23" t="str">
        <f>HYPERLINK("https://www.spark-marketing.ru/Card/Person/1030609", "МДОУ Д/С № 73")</f>
        <v>МДОУ Д/С № 73</v>
      </c>
      <c r="B4031" s="24" t="s">
        <v>6609</v>
      </c>
      <c r="C4031" s="25">
        <v>8488746</v>
      </c>
      <c r="D4031" s="22" t="s">
        <v>6610</v>
      </c>
      <c r="E4031" s="22" t="s">
        <v>48</v>
      </c>
      <c r="F4031" s="23" t="str">
        <f>HYPERLINK("https://www.spark-marketing.ru/Card/Lot/73250219",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31" s="22" t="s">
        <v>49</v>
      </c>
      <c r="H4031" s="22" t="s">
        <v>1867</v>
      </c>
      <c r="I4031" s="26">
        <v>43713.479861111096</v>
      </c>
      <c r="J4031" s="28" t="s">
        <v>51</v>
      </c>
      <c r="K4031" s="28" t="s">
        <v>51</v>
      </c>
      <c r="L4031" s="28" t="s">
        <v>51</v>
      </c>
      <c r="M4031" s="28" t="s">
        <v>51</v>
      </c>
      <c r="N4031" s="28" t="s">
        <v>51</v>
      </c>
    </row>
    <row r="4032" spans="1:14" ht="12.75" hidden="1" outlineLevel="1" x14ac:dyDescent="0.2">
      <c r="A4032" s="23" t="str">
        <f>HYPERLINK("https://www.spark-marketing.ru/Card/Person/1030609", "МДОУ Д/С № 73")</f>
        <v>МДОУ Д/С № 73</v>
      </c>
      <c r="B4032" s="24" t="s">
        <v>6609</v>
      </c>
      <c r="C4032" s="25">
        <v>8488746</v>
      </c>
      <c r="D4032" s="22" t="s">
        <v>6610</v>
      </c>
      <c r="E4032" s="22" t="s">
        <v>48</v>
      </c>
      <c r="F4032" s="23" t="str">
        <f>HYPERLINK("https://www.spark-marketing.ru/Card/Lot/73250219",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32" s="22" t="s">
        <v>49</v>
      </c>
      <c r="H4032" s="22" t="s">
        <v>1867</v>
      </c>
      <c r="I4032" s="26">
        <v>43713.479861111096</v>
      </c>
      <c r="J4032" s="23" t="str">
        <f>HYPERLINK("https://www.spark-marketing.ru/Card/Person/126568", "ООО ""КРИСТИНА""")</f>
        <v>ООО "КРИСТИНА"</v>
      </c>
      <c r="K4032" s="24" t="s">
        <v>5179</v>
      </c>
      <c r="L4032" s="22" t="s">
        <v>10</v>
      </c>
      <c r="M4032" s="25">
        <v>8084520</v>
      </c>
      <c r="N4032" s="27">
        <v>4.7619047619047616E-2</v>
      </c>
    </row>
    <row r="4033" spans="1:14" hidden="1" outlineLevel="1" x14ac:dyDescent="0.2">
      <c r="A4033" s="23" t="str">
        <f>HYPERLINK("https://www.spark-marketing.ru/Card/Person/1030609", "МДОУ Д/С № 73")</f>
        <v>МДОУ Д/С № 73</v>
      </c>
      <c r="B4033" s="24" t="s">
        <v>6609</v>
      </c>
      <c r="C4033" s="25">
        <v>8488746</v>
      </c>
      <c r="D4033" s="22" t="s">
        <v>6610</v>
      </c>
      <c r="E4033" s="22" t="s">
        <v>48</v>
      </c>
      <c r="F4033" s="23" t="str">
        <f>HYPERLINK("https://www.spark-marketing.ru/Card/Lot/73250219", "Оказание услуг по организации питания воспитанников дошкольной образовательной организации")</f>
        <v>Оказание услуг по организации питания воспитанников дошкольной образовательной организации</v>
      </c>
      <c r="G4033" s="22" t="s">
        <v>49</v>
      </c>
      <c r="H4033" s="22" t="s">
        <v>1867</v>
      </c>
      <c r="I4033" s="26">
        <v>43713.479861111096</v>
      </c>
      <c r="J4033" s="23" t="str">
        <f>HYPERLINK("https://www.spark-marketing.ru/Card/Person/4621492", "Егорова Нина Федоровна")</f>
        <v>Егорова Нина Федоровна</v>
      </c>
      <c r="K4033" s="24" t="s">
        <v>5550</v>
      </c>
      <c r="L4033" s="28" t="s">
        <v>51</v>
      </c>
      <c r="M4033" s="25">
        <v>8361414</v>
      </c>
      <c r="N4033" s="27">
        <v>1.5000095420454329E-2</v>
      </c>
    </row>
    <row r="4034" spans="1:14" x14ac:dyDescent="0.15">
      <c r="A4034" s="23" t="str">
        <f>HYPERLINK("https://www.spark-marketing.ru/Card/Person/6217322", "АНО ДПО ""ТЕХНИЧЕСКАЯ АКАДЕМИЯ РОСАТОМА""")</f>
        <v>АНО ДПО "ТЕХНИЧЕСКАЯ АКАДЕМИЯ РОСАТОМА"</v>
      </c>
      <c r="B4034" s="24" t="s">
        <v>1661</v>
      </c>
      <c r="C4034" s="25">
        <v>0</v>
      </c>
      <c r="D4034" s="22" t="s">
        <v>6611</v>
      </c>
      <c r="E4034" s="22" t="s">
        <v>52</v>
      </c>
      <c r="F4034" s="23" t="str">
        <f>HYPERLINK("https://www.spark-marketing.ru/Card/Lot/73262726", "мониторинг цен в электронной форме на Оказание услуг питания в рамках мероприятия «XIV Международный ядерный форум «Безопасность ядерных технологий: культура безопасности» для Санкт-Петербургского филиала АНО ДПО «Техническая академия Росатома»")</f>
        <v>мониторинг цен в электронной форме на Оказание услуг питания в рамках мероприятия «XIV Международный ядерный форум «Безопасность ядерных технологий: культура безопасности» для Санкт-Петербургского филиала АНО ДПО «Техническая академия Росатома»</v>
      </c>
      <c r="G4034" s="22" t="s">
        <v>112</v>
      </c>
      <c r="H4034" s="22" t="s">
        <v>1663</v>
      </c>
      <c r="I4034" s="26">
        <v>43713.489953703698</v>
      </c>
      <c r="J4034" s="28" t="s">
        <v>51</v>
      </c>
      <c r="K4034" s="28" t="s">
        <v>51</v>
      </c>
      <c r="L4034" s="28" t="s">
        <v>51</v>
      </c>
      <c r="M4034" s="28" t="s">
        <v>51</v>
      </c>
      <c r="N4034" s="28" t="s">
        <v>51</v>
      </c>
    </row>
    <row r="4035" spans="1:14" x14ac:dyDescent="0.15">
      <c r="A4035" s="23" t="str">
        <f>HYPERLINK("https://www.spark-marketing.ru/Card/Person/129406", "МОМВД РОССИИ ""КИРСАНОВСКИЙ""")</f>
        <v>МОМВД РОССИИ "КИРСАНОВСКИЙ"</v>
      </c>
      <c r="B4035" s="24" t="s">
        <v>6612</v>
      </c>
      <c r="C4035" s="25">
        <v>1163300</v>
      </c>
      <c r="D4035" s="22" t="s">
        <v>6613</v>
      </c>
      <c r="E4035" s="22" t="s">
        <v>96</v>
      </c>
      <c r="F4035" s="23" t="str">
        <f>HYPERLINK("https://www.spark-marketing.ru/Card/Lot/73250466", "оказание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специал...")</f>
        <v>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</v>
      </c>
      <c r="G4035" s="22" t="s">
        <v>1370</v>
      </c>
      <c r="H4035" s="22" t="s">
        <v>6614</v>
      </c>
      <c r="I4035" s="26">
        <v>43713.493055555598</v>
      </c>
      <c r="J4035" s="23" t="str">
        <f>HYPERLINK("https://www.spark-marketing.ru/Card/Person/536401", "ООО ""КОНТИНЕНТ-М""")</f>
        <v>ООО "КОНТИНЕНТ-М"</v>
      </c>
      <c r="K4035" s="24" t="s">
        <v>6615</v>
      </c>
      <c r="L4035" s="22" t="s">
        <v>10</v>
      </c>
      <c r="M4035" s="28" t="s">
        <v>51</v>
      </c>
      <c r="N4035" s="28" t="s">
        <v>51</v>
      </c>
    </row>
    <row r="4036" spans="1:14" x14ac:dyDescent="0.15">
      <c r="A4036" s="23" t="str">
        <f>HYPERLINK("https://www.spark-marketing.ru/Card/Person/1038835", "ОГБУЗ МАКАРЬЕВСКАЯ РБ")</f>
        <v>ОГБУЗ МАКАРЬЕВСКАЯ РБ</v>
      </c>
      <c r="B4036" s="24" t="s">
        <v>290</v>
      </c>
      <c r="C4036" s="25">
        <v>250000</v>
      </c>
      <c r="D4036" s="22" t="s">
        <v>6616</v>
      </c>
      <c r="E4036" s="22" t="s">
        <v>48</v>
      </c>
      <c r="F4036" s="23" t="str">
        <f>HYPERLINK("https://www.spark-marketing.ru/Card/Lot/73248496", "Услуги по организации питания больных, находящихся на стационарном лечении")</f>
        <v>Услуги по организации питания больных, находящихся на стационарном лечении</v>
      </c>
      <c r="G4036" s="22" t="s">
        <v>292</v>
      </c>
      <c r="H4036" s="22" t="s">
        <v>292</v>
      </c>
      <c r="I4036" s="26">
        <v>43713.4777777778</v>
      </c>
      <c r="J4036" s="23" t="str">
        <f>HYPERLINK("https://www.spark-marketing.ru/Card/Person/6363000", "Братанова Светлана Александровна")</f>
        <v>Братанова Светлана Александровна</v>
      </c>
      <c r="K4036" s="24" t="s">
        <v>6617</v>
      </c>
      <c r="L4036" s="22" t="s">
        <v>10</v>
      </c>
      <c r="M4036" s="28" t="s">
        <v>51</v>
      </c>
      <c r="N4036" s="28" t="s">
        <v>51</v>
      </c>
    </row>
    <row r="4037" spans="1:14" x14ac:dyDescent="0.15">
      <c r="A4037" s="23" t="str">
        <f>HYPERLINK("https://www.spark-marketing.ru/Card/Person/1022874", "МДОУ ДЕТСКИЙ САД КОМБИНИРОВАННОГО ВИДА № 56 ""РЯБИНКА""")</f>
        <v>МДОУ ДЕТСКИЙ САД КОМБИНИРОВАННОГО ВИДА № 56 "РЯБИНКА"</v>
      </c>
      <c r="B4037" s="24" t="s">
        <v>6618</v>
      </c>
      <c r="C4037" s="25">
        <v>278284.27</v>
      </c>
      <c r="D4037" s="22" t="s">
        <v>6619</v>
      </c>
      <c r="E4037" s="22" t="s">
        <v>48</v>
      </c>
      <c r="F4037" s="23" t="str">
        <f>HYPERLINK("https://www.spark-marketing.ru/Card/Lot/73244801",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4037" s="22" t="s">
        <v>49</v>
      </c>
      <c r="H4037" s="22" t="s">
        <v>50</v>
      </c>
      <c r="I4037" s="26">
        <v>43713.472349536998</v>
      </c>
      <c r="J4037" s="28" t="s">
        <v>51</v>
      </c>
      <c r="K4037" s="28" t="s">
        <v>51</v>
      </c>
      <c r="L4037" s="28" t="s">
        <v>51</v>
      </c>
      <c r="M4037" s="28" t="s">
        <v>51</v>
      </c>
      <c r="N4037" s="28" t="s">
        <v>51</v>
      </c>
    </row>
    <row r="4038" spans="1:14" x14ac:dyDescent="0.15">
      <c r="A4038" s="23" t="str">
        <f>HYPERLINK("https://www.spark-marketing.ru/Card/Person/5111", "ГУ-РО ФОНДА СОЦИАЛЬНОГО СТРАХОВАНИЯ РОССИЙСКОЙ ФЕДЕРАЦИИ ПО РЕСПУБЛИКЕ СЕВЕРНАЯ ОСЕТИЯ-АЛАНИЯ")</f>
        <v>ГУ-РО ФОНДА СОЦИАЛЬНОГО СТРАХОВАНИЯ РОССИЙСКОЙ ФЕДЕРАЦИИ ПО РЕСПУБЛИКЕ СЕВЕРНАЯ ОСЕТИЯ-АЛАНИЯ</v>
      </c>
      <c r="B4038" s="24" t="s">
        <v>6620</v>
      </c>
      <c r="C4038" s="25">
        <v>449172</v>
      </c>
      <c r="D4038" s="22" t="s">
        <v>6621</v>
      </c>
      <c r="E4038" s="22" t="s">
        <v>86</v>
      </c>
      <c r="F4038" s="23" t="str">
        <f>HYPERLINK("https://www.spark-marketing.ru/Card/Lot/73250993", "№ 150. Оказание услуг по санаторно-курортному лечению граждан - получателей государственной социальной помощи в виде набора социальных услуг с заболеваниями эндокринной системы, расстройства питания и нарушения обмена веществ в 2019 году")</f>
        <v>№ 150. Оказание услуг по санаторно-курортному лечению граждан - получателей государственной социальной помощи в виде набора социальных услуг с заболеваниями эндокринной системы, расстройства питания и нарушения обмена веществ в 2019 году</v>
      </c>
      <c r="G4038" s="22" t="s">
        <v>783</v>
      </c>
      <c r="H4038" s="22" t="s">
        <v>6622</v>
      </c>
      <c r="I4038" s="26">
        <v>43713.444444444402</v>
      </c>
      <c r="J4038" s="23" t="str">
        <f>HYPERLINK("https://www.spark-marketing.ru/Card/Person/63242", "ЛПУ ""БАЗОВЫЙ САНАТОРИЙ ""ВИКТОРИЯ"" (СКРЦ)")</f>
        <v>ЛПУ "БАЗОВЫЙ САНАТОРИЙ "ВИКТОРИЯ" (СКРЦ)</v>
      </c>
      <c r="K4038" s="24" t="s">
        <v>5297</v>
      </c>
      <c r="L4038" s="22" t="s">
        <v>10</v>
      </c>
      <c r="M4038" s="28" t="s">
        <v>51</v>
      </c>
      <c r="N4038" s="28" t="s">
        <v>51</v>
      </c>
    </row>
    <row r="4039" spans="1:14" x14ac:dyDescent="0.15">
      <c r="A4039" s="23" t="str">
        <f>HYPERLINK("https://www.spark-marketing.ru/Card/Person/88455", "ГКУ ""УПРАВЛЕНИЕ ЗДАНИЯМИ ПСК""")</f>
        <v>ГКУ "УПРАВЛЕНИЕ ЗДАНИЯМИ ПСК"</v>
      </c>
      <c r="B4039" s="24" t="s">
        <v>684</v>
      </c>
      <c r="C4039" s="25">
        <v>1000000</v>
      </c>
      <c r="D4039" s="22" t="s">
        <v>6623</v>
      </c>
      <c r="E4039" s="22" t="s">
        <v>96</v>
      </c>
      <c r="F4039" s="23" t="str">
        <f>HYPERLINK("https://www.spark-marketing.ru/Card/Lot/73249449", "Оказание услуг по организации питания и обслуживания участников мероприятий, проводимых по инициативе Губернатора Ставропольского края или Правительства Ставропольского края, для обеспечения государственных нужд Ставропольского края")</f>
        <v>Оказание услуг по организации питания и обслуживания участников мероприятий, проводимых по инициативе Губернатора Ставропольского края или Правительства Ставропольского края, для обеспечения государственных нужд Ставропольского края</v>
      </c>
      <c r="G4039" s="22" t="s">
        <v>87</v>
      </c>
      <c r="H4039" s="22" t="s">
        <v>686</v>
      </c>
      <c r="I4039" s="26">
        <v>43713.445833333302</v>
      </c>
      <c r="J4039" s="23" t="str">
        <f>HYPERLINK("https://www.spark-marketing.ru/Card/Person/201815", "Папукашвили Тамара Валикоевна")</f>
        <v>Папукашвили Тамара Валикоевна</v>
      </c>
      <c r="K4039" s="24" t="s">
        <v>6624</v>
      </c>
      <c r="L4039" s="22" t="s">
        <v>10</v>
      </c>
      <c r="M4039" s="28" t="s">
        <v>51</v>
      </c>
      <c r="N4039" s="28" t="s">
        <v>51</v>
      </c>
    </row>
    <row r="4040" spans="1:14" x14ac:dyDescent="0.15">
      <c r="A4040" s="23" t="str">
        <f>HYPERLINK("https://www.spark-marketing.ru/Card/Person/129406", "МОМВД РОССИИ ""КИРСАНОВСКИЙ""")</f>
        <v>МОМВД РОССИИ "КИРСАНОВСКИЙ"</v>
      </c>
      <c r="B4040" s="24" t="s">
        <v>6612</v>
      </c>
      <c r="C4040" s="25">
        <v>1163300</v>
      </c>
      <c r="D4040" s="22" t="s">
        <v>6625</v>
      </c>
      <c r="E4040" s="22" t="s">
        <v>96</v>
      </c>
      <c r="F4040" s="23" t="str">
        <f>HYPERLINK("https://www.spark-marketing.ru/Card/Lot/73245628", "оказание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специал...")</f>
        <v>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</v>
      </c>
      <c r="G4040" s="22" t="s">
        <v>1370</v>
      </c>
      <c r="H4040" s="22" t="s">
        <v>6614</v>
      </c>
      <c r="I4040" s="26">
        <v>43713.433333333298</v>
      </c>
      <c r="J4040" s="23" t="str">
        <f>HYPERLINK("https://www.spark-marketing.ru/Card/Person/536401", "ООО ""КОНТИНЕНТ-М""")</f>
        <v>ООО "КОНТИНЕНТ-М"</v>
      </c>
      <c r="K4040" s="24" t="s">
        <v>6615</v>
      </c>
      <c r="L4040" s="22" t="s">
        <v>10</v>
      </c>
      <c r="M4040" s="28" t="s">
        <v>51</v>
      </c>
      <c r="N4040" s="28" t="s">
        <v>51</v>
      </c>
    </row>
    <row r="4041" spans="1:14" x14ac:dyDescent="0.15">
      <c r="A4041" s="23" t="str">
        <f>HYPERLINK("https://www.spark-marketing.ru/Card/Person/1022403", "МДОУ ЦЕНТР РАЗВИТИЯ РЕБЕНКА - ДЕТСКИЙ САД № 60 ""ЖУРАВУШКА""")</f>
        <v>МДОУ ЦЕНТР РАЗВИТИЯ РЕБЕНКА - ДЕТСКИЙ САД № 60 "ЖУРАВУШКА"</v>
      </c>
      <c r="B4041" s="24" t="s">
        <v>6626</v>
      </c>
      <c r="C4041" s="25">
        <v>281050</v>
      </c>
      <c r="D4041" s="22" t="s">
        <v>6627</v>
      </c>
      <c r="E4041" s="22" t="s">
        <v>48</v>
      </c>
      <c r="F4041" s="23" t="str">
        <f>HYPERLINK("https://www.spark-marketing.ru/Card/Lot/73244750",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4041" s="22" t="s">
        <v>49</v>
      </c>
      <c r="H4041" s="22" t="s">
        <v>50</v>
      </c>
      <c r="I4041" s="26">
        <v>43713.430370370399</v>
      </c>
      <c r="J4041" s="28" t="s">
        <v>51</v>
      </c>
      <c r="K4041" s="28" t="s">
        <v>51</v>
      </c>
      <c r="L4041" s="28" t="s">
        <v>51</v>
      </c>
      <c r="M4041" s="28" t="s">
        <v>51</v>
      </c>
      <c r="N4041" s="28" t="s">
        <v>51</v>
      </c>
    </row>
    <row r="4042" spans="1:14" x14ac:dyDescent="0.15">
      <c r="A4042" s="23" t="str">
        <f>HYPERLINK("https://www.spark-marketing.ru/Card/Person/737290", "ГКУ «ЦБЗ ПРИ МИНЗДРАВЕ КАРЕЛИИ»")</f>
        <v>ГКУ «ЦБЗ ПРИ МИНЗДРАВЕ КАРЕЛИИ»</v>
      </c>
      <c r="B4042" s="24" t="s">
        <v>312</v>
      </c>
      <c r="C4042" s="25">
        <v>51545.760000000002</v>
      </c>
      <c r="D4042" s="22" t="s">
        <v>6628</v>
      </c>
      <c r="E4042" s="22" t="s">
        <v>52</v>
      </c>
      <c r="F4042" s="23" t="str">
        <f>HYPERLINK("https://www.spark-marketing.ru/Card/Lot/73247815", "Поставка лекарственного препарата Ривароксабан,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рецепт...")</f>
        <v>Поставка лекарственного препарата Ривароксабан,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</v>
      </c>
      <c r="G4042" s="22" t="s">
        <v>59</v>
      </c>
      <c r="H4042" s="22" t="s">
        <v>314</v>
      </c>
      <c r="I4042" s="26">
        <v>43713.434027777803</v>
      </c>
      <c r="J4042" s="23" t="str">
        <f>HYPERLINK("https://www.spark-marketing.ru/Card/Person/6073224", "ООО ""ЛЕКСТОР""")</f>
        <v>ООО "ЛЕКСТОР"</v>
      </c>
      <c r="K4042" s="24" t="s">
        <v>2797</v>
      </c>
      <c r="L4042" s="22" t="s">
        <v>10</v>
      </c>
      <c r="M4042" s="28" t="s">
        <v>51</v>
      </c>
      <c r="N4042" s="28" t="s">
        <v>51</v>
      </c>
    </row>
    <row r="4043" spans="1:14" x14ac:dyDescent="0.15">
      <c r="A4043" s="23" t="str">
        <f>HYPERLINK("https://www.spark-marketing.ru/Card/Person/246263", "ОТДЕЛ МВД РОССИИ ПО БОГОРОДСКОМУ РАЙОНУ")</f>
        <v>ОТДЕЛ МВД РОССИИ ПО БОГОРОДСКОМУ РАЙОНУ</v>
      </c>
      <c r="B4043" s="24" t="s">
        <v>6629</v>
      </c>
      <c r="C4043" s="25">
        <v>938776.02</v>
      </c>
      <c r="D4043" s="22" t="s">
        <v>6630</v>
      </c>
      <c r="E4043" s="22" t="s">
        <v>48</v>
      </c>
      <c r="F4043" s="23" t="str">
        <f>HYPERLINK("https://www.spark-marketing.ru/Card/Lot/73244095", "Услуги по ежедневному трехразовому горячему питанию лиц, подозреваемых либо обвиняемых в совершении преступлений, находящихся в изоляторе временного содержания и лиц, находящихся в специальном помещении , для задержанных лиц, задержанных в администра...")</f>
        <v>Услуги по ежедневному трехразовому горячему питанию лиц, подозреваемых либо обвиняемых в совершении преступлений, находящихся в изоляторе временного содержания и лиц, находящихся в специальном помещении , для задержанных лиц, задержанных в администра...</v>
      </c>
      <c r="G4043" s="22" t="s">
        <v>76</v>
      </c>
      <c r="H4043" s="22" t="s">
        <v>6631</v>
      </c>
      <c r="I4043" s="26">
        <v>43713.381249999999</v>
      </c>
      <c r="J4043" s="23" t="str">
        <f>HYPERLINK("https://www.spark-marketing.ru/Card/Person/6081973", "Румянцев Михаил Данилович")</f>
        <v>Румянцев Михаил Данилович</v>
      </c>
      <c r="K4043" s="24" t="s">
        <v>5787</v>
      </c>
      <c r="L4043" s="22" t="s">
        <v>10</v>
      </c>
      <c r="M4043" s="28" t="s">
        <v>51</v>
      </c>
      <c r="N4043" s="28" t="s">
        <v>51</v>
      </c>
    </row>
    <row r="4044" spans="1:14" x14ac:dyDescent="0.15">
      <c r="A4044" s="23" t="str">
        <f>HYPERLINK("https://www.spark-marketing.ru/Card/Person/65064", "ГБУ СО «КЦСОН РК»")</f>
        <v>ГБУ СО «КЦСОН РК»</v>
      </c>
      <c r="B4044" s="24" t="s">
        <v>6632</v>
      </c>
      <c r="C4044" s="25">
        <v>637749.39</v>
      </c>
      <c r="D4044" s="22" t="s">
        <v>6633</v>
      </c>
      <c r="E4044" s="22" t="s">
        <v>48</v>
      </c>
      <c r="F4044" s="23" t="str">
        <f>HYPERLINK("https://www.spark-marketing.ru/Card/Lot/73246812", "оказание услуг по организации питания получателей социальных услуг Подразделения ГБУ РК СО «КЦСОН РК» по Медвежьегорскому району")</f>
        <v>оказание услуг по организации питания получателей социальных услуг Подразделения ГБУ РК СО «КЦСОН РК» по Медвежьегорскому району</v>
      </c>
      <c r="G4044" s="22" t="s">
        <v>59</v>
      </c>
      <c r="H4044" s="22" t="s">
        <v>3116</v>
      </c>
      <c r="I4044" s="26">
        <v>43713.402777777803</v>
      </c>
      <c r="J4044" s="23" t="str">
        <f>HYPERLINK("https://www.spark-marketing.ru/Card/Person/61318", "ООО ""СЕВЕРПРОДУКТ""")</f>
        <v>ООО "СЕВЕРПРОДУКТ"</v>
      </c>
      <c r="K4044" s="24" t="s">
        <v>6634</v>
      </c>
      <c r="L4044" s="22" t="s">
        <v>10</v>
      </c>
      <c r="M4044" s="28" t="s">
        <v>51</v>
      </c>
      <c r="N4044" s="28" t="s">
        <v>51</v>
      </c>
    </row>
    <row r="4045" spans="1:14" x14ac:dyDescent="0.15">
      <c r="A4045" s="23" t="str">
        <f>HYPERLINK("https://www.spark-marketing.ru/Card/Person/4375433", "МИНСЕЛЬХОЗ РЕСПУБЛИКИ АЛТАЙ")</f>
        <v>МИНСЕЛЬХОЗ РЕСПУБЛИКИ АЛТАЙ</v>
      </c>
      <c r="B4045" s="24" t="s">
        <v>3931</v>
      </c>
      <c r="C4045" s="25">
        <v>310000</v>
      </c>
      <c r="D4045" s="22" t="s">
        <v>6635</v>
      </c>
      <c r="E4045" s="22" t="s">
        <v>67</v>
      </c>
      <c r="F4045" s="23" t="str">
        <f>HYPERLINK("https://www.spark-marketing.ru/Card/Lot/73240320", "Оказание услуги по проведению мероприятия ""День работника сельского хозяйства"" для нужд Министерства сельского хозяйства Республики Алтай (организация питания)")</f>
        <v>Оказание услуги по проведению мероприятия "День работника сельского хозяйства" для нужд Министерства сельского хозяйства Республики Алтай (организация питания)</v>
      </c>
      <c r="G4045" s="22" t="s">
        <v>1141</v>
      </c>
      <c r="H4045" s="22" t="s">
        <v>1142</v>
      </c>
      <c r="I4045" s="26">
        <v>43713.353472222203</v>
      </c>
      <c r="J4045" s="28" t="s">
        <v>51</v>
      </c>
      <c r="K4045" s="28" t="s">
        <v>51</v>
      </c>
      <c r="L4045" s="28" t="s">
        <v>51</v>
      </c>
      <c r="M4045" s="28" t="s">
        <v>51</v>
      </c>
      <c r="N4045" s="28" t="s">
        <v>51</v>
      </c>
    </row>
    <row r="4046" spans="1:14" x14ac:dyDescent="0.15">
      <c r="A4046" s="23" t="str">
        <f>HYPERLINK("https://www.spark-marketing.ru/Card/Person/537184", "МО МВД РОССИИ ""БАРЫШСКИЙ""")</f>
        <v>МО МВД РОССИИ "БАРЫШСКИЙ"</v>
      </c>
      <c r="B4046" s="24" t="s">
        <v>4608</v>
      </c>
      <c r="C4046" s="25">
        <v>50000</v>
      </c>
      <c r="D4046" s="22" t="s">
        <v>6636</v>
      </c>
      <c r="E4046" s="22" t="s">
        <v>48</v>
      </c>
      <c r="F4046" s="23" t="str">
        <f>HYPERLINK("https://www.spark-marketing.ru/Card/Lot/73241525",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4046" s="22" t="s">
        <v>1918</v>
      </c>
      <c r="H4046" s="22" t="s">
        <v>4610</v>
      </c>
      <c r="I4046" s="26">
        <v>43713.368055555598</v>
      </c>
      <c r="J4046" s="28" t="s">
        <v>51</v>
      </c>
      <c r="K4046" s="28" t="s">
        <v>51</v>
      </c>
      <c r="L4046" s="28" t="s">
        <v>51</v>
      </c>
      <c r="M4046" s="28" t="s">
        <v>51</v>
      </c>
      <c r="N4046" s="28" t="s">
        <v>51</v>
      </c>
    </row>
    <row r="4047" spans="1:14" x14ac:dyDescent="0.15">
      <c r="A4047" s="23" t="str">
        <f>HYPERLINK("https://www.spark-marketing.ru/Card/Person/437664", "ГБУЗ ПК ""КПБ №7""")</f>
        <v>ГБУЗ ПК "КПБ №7"</v>
      </c>
      <c r="B4047" s="24" t="s">
        <v>6637</v>
      </c>
      <c r="C4047" s="25">
        <v>499904</v>
      </c>
      <c r="D4047" s="22" t="s">
        <v>6638</v>
      </c>
      <c r="E4047" s="22" t="s">
        <v>96</v>
      </c>
      <c r="F4047" s="23" t="str">
        <f>HYPERLINK("https://www.spark-marketing.ru/Card/Lot/73241423", "ПРАВО ЗАКЛЮЧЕНИЯ ДОГОВОРА ГРАЖДАНСКО-ПРАВОВОГО ХАРАКТЕРА БЮДЖЕТНОГО УЧРЕЖДЕНИЯ НА ОКАЗАНИЕ УСЛУГ ПО ОРГАНИЗАЦИИ ЕЖЕДНЕВНОГО ГОРЯЧЕГО ПИТАНИЯ ПАЦИЕНТОВ, НАХОДЯЩИХСЯ НА СТАЦИОНАРНОМ ЛЕЧЕНИИ В ГБУЗ ПК «КРАЕВАЯ ПСИХИАТРИЧЕСКАЯ БОЛЬНИЦА №7»")</f>
        <v>ПРАВО ЗАКЛЮЧЕНИЯ ДОГОВОРА ГРАЖДАНСКО-ПРАВОВОГО ХАРАКТЕРА БЮДЖЕТНОГО УЧРЕЖДЕНИЯ НА ОКАЗАНИЕ УСЛУГ ПО ОРГАНИЗАЦИИ ЕЖЕДНЕВНОГО ГОРЯЧЕГО ПИТАНИЯ ПАЦИЕНТОВ, НАХОДЯЩИХСЯ НА СТАЦИОНАРНОМ ЛЕЧЕНИИ В ГБУЗ ПК «КРАЕВАЯ ПСИХИАТРИЧЕСКАЯ БОЛЬНИЦА №7»</v>
      </c>
      <c r="G4047" s="22" t="s">
        <v>153</v>
      </c>
      <c r="H4047" s="22" t="s">
        <v>153</v>
      </c>
      <c r="I4047" s="26">
        <v>43713.339583333298</v>
      </c>
      <c r="J4047" s="23" t="str">
        <f>HYPERLINK("https://www.spark-marketing.ru/Card/Person/6577318", "Иванов Алексей Насимович")</f>
        <v>Иванов Алексей Насимович</v>
      </c>
      <c r="K4047" s="24" t="s">
        <v>6639</v>
      </c>
      <c r="L4047" s="22" t="s">
        <v>10</v>
      </c>
      <c r="M4047" s="28" t="s">
        <v>51</v>
      </c>
      <c r="N4047" s="28" t="s">
        <v>51</v>
      </c>
    </row>
    <row r="4048" spans="1:14" x14ac:dyDescent="0.15">
      <c r="A4048" s="23" t="str">
        <f>HYPERLINK("https://www.spark-marketing.ru/Card/Person/136405", "МО МВД РОССИИ ""КЛИНЦОВСКИЙ""")</f>
        <v>МО МВД РОССИИ "КЛИНЦОВСКИЙ"</v>
      </c>
      <c r="B4048" s="24" t="s">
        <v>3014</v>
      </c>
      <c r="C4048" s="25">
        <v>1415000</v>
      </c>
      <c r="D4048" s="22" t="s">
        <v>6640</v>
      </c>
      <c r="E4048" s="22" t="s">
        <v>48</v>
      </c>
      <c r="F4048" s="23" t="str">
        <f>HYPERLINK("https://www.spark-marketing.ru/Card/Lot/73244106", "услуги по организации питания")</f>
        <v>услуги по организации питания</v>
      </c>
      <c r="G4048" s="22" t="s">
        <v>475</v>
      </c>
      <c r="H4048" s="22" t="s">
        <v>3016</v>
      </c>
      <c r="I4048" s="26">
        <v>43713.373611111099</v>
      </c>
      <c r="J4048" s="23" t="str">
        <f>HYPERLINK("https://www.spark-marketing.ru/Card/Person/266819", "ООО ""ЛИРА""")</f>
        <v>ООО "ЛИРА"</v>
      </c>
      <c r="K4048" s="24" t="s">
        <v>6641</v>
      </c>
      <c r="L4048" s="22" t="s">
        <v>10</v>
      </c>
      <c r="M4048" s="28" t="s">
        <v>51</v>
      </c>
      <c r="N4048" s="28" t="s">
        <v>51</v>
      </c>
    </row>
    <row r="4049" spans="1:14" x14ac:dyDescent="0.15">
      <c r="A4049" s="23" t="str">
        <f>HYPERLINK("https://www.spark-marketing.ru/Card/Person/1005477", "ОМВД РОССИИ ПО ТАРСКОМУ РАЙОНУ")</f>
        <v>ОМВД РОССИИ ПО ТАРСКОМУ РАЙОНУ</v>
      </c>
      <c r="B4049" s="24" t="s">
        <v>6642</v>
      </c>
      <c r="C4049" s="25">
        <v>215100</v>
      </c>
      <c r="D4049" s="22" t="s">
        <v>6643</v>
      </c>
      <c r="E4049" s="22" t="s">
        <v>48</v>
      </c>
      <c r="F4049" s="23" t="str">
        <f>HYPERLINK("https://www.spark-marketing.ru/Card/Lot/73240444", "Оказание услуг по организации питания (приготовлению и доставке) для ИВС, 1075 усл. ед")</f>
        <v>Оказание услуг по организации питания (приготовлению и доставке) для ИВС, 1075 усл. ед</v>
      </c>
      <c r="G4049" s="22" t="s">
        <v>487</v>
      </c>
      <c r="H4049" s="22" t="s">
        <v>6644</v>
      </c>
      <c r="I4049" s="26">
        <v>43713.279976851903</v>
      </c>
      <c r="J4049" s="28" t="s">
        <v>51</v>
      </c>
      <c r="K4049" s="28" t="s">
        <v>51</v>
      </c>
      <c r="L4049" s="28" t="s">
        <v>51</v>
      </c>
      <c r="M4049" s="28" t="s">
        <v>51</v>
      </c>
      <c r="N4049" s="28" t="s">
        <v>51</v>
      </c>
    </row>
    <row r="4050" spans="1:14" ht="12.75" x14ac:dyDescent="0.2">
      <c r="A4050" s="23" t="str">
        <f>HYPERLINK("https://www.spark-marketing.ru/Card/Person/6225614", "ГБУ РЦОКОСО")</f>
        <v>ГБУ РЦОКОСО</v>
      </c>
      <c r="B4050" s="24" t="s">
        <v>6645</v>
      </c>
      <c r="C4050" s="25">
        <v>38500</v>
      </c>
      <c r="D4050" s="22" t="s">
        <v>6646</v>
      </c>
      <c r="E4050" s="22" t="s">
        <v>96</v>
      </c>
      <c r="F4050" s="23" t="str">
        <f>HYPERLINK("https://www.spark-marketing.ru/Card/Lot/73239099", "Оказание услуг по организации питания в период проведения интенсивной образовательной (профильной) смены для одаренных детей по направлению «Наука» (информатика) в 2019г.")</f>
        <v>Оказание услуг по организации питания в период проведения интенсивной образовательной (профильной) смены для одаренных детей по направлению «Наука» (информатика) в 2019г.</v>
      </c>
      <c r="G4050" s="22" t="s">
        <v>260</v>
      </c>
      <c r="H4050" s="22" t="s">
        <v>804</v>
      </c>
      <c r="I4050" s="26">
        <v>43713.438194444403</v>
      </c>
      <c r="J4050" s="23" t="str">
        <f>HYPERLINK("https://www.spark-marketing.ru/Card/Person/2108319", "Кухтина Екатерина Сергеевна")</f>
        <v>Кухтина Екатерина Сергеевна</v>
      </c>
      <c r="K4050" s="24" t="s">
        <v>6647</v>
      </c>
      <c r="L4050" s="22" t="s">
        <v>10</v>
      </c>
      <c r="M4050" s="25">
        <v>250</v>
      </c>
      <c r="N4050" s="27">
        <v>0.99350649350649356</v>
      </c>
    </row>
    <row r="4051" spans="1:14" x14ac:dyDescent="0.15">
      <c r="A4051" s="23" t="str">
        <f>HYPERLINK("https://www.spark-marketing.ru/Card/Person/58881", "ФГБОУ ВО ""ТАМБОВСКИЙ ГОСУДАРСТВЕННЫЙ УНИВЕРСИТЕТ ИМЕНИ Г.Р. ДЕРЖАВИНА"", ТГУ ИМ. Г.Р. ДЕРЖАВИНА")</f>
        <v>ФГБОУ ВО "ТАМБОВСКИЙ ГОСУДАРСТВЕННЫЙ УНИВЕРСИТЕТ ИМЕНИ Г.Р. ДЕРЖАВИНА", ТГУ ИМ. Г.Р. ДЕРЖАВИНА</v>
      </c>
      <c r="B4051" s="24" t="s">
        <v>1476</v>
      </c>
      <c r="C4051" s="25">
        <v>4151700</v>
      </c>
      <c r="D4051" s="22" t="s">
        <v>6648</v>
      </c>
      <c r="E4051" s="22" t="s">
        <v>580</v>
      </c>
      <c r="F4051" s="23" t="str">
        <f>HYPERLINK("https://www.spark-marketing.ru/Card/Lot/73258548", "Оказание услуг по организации питания")</f>
        <v>Оказание услуг по организации питания</v>
      </c>
      <c r="G4051" s="22" t="s">
        <v>1370</v>
      </c>
      <c r="H4051" s="22" t="s">
        <v>1370</v>
      </c>
      <c r="I4051" s="26">
        <v>43713</v>
      </c>
      <c r="J4051" s="28" t="s">
        <v>51</v>
      </c>
      <c r="K4051" s="28" t="s">
        <v>51</v>
      </c>
      <c r="L4051" s="28" t="s">
        <v>51</v>
      </c>
      <c r="M4051" s="28" t="s">
        <v>51</v>
      </c>
      <c r="N4051" s="28" t="s">
        <v>51</v>
      </c>
    </row>
    <row r="4052" spans="1:14" x14ac:dyDescent="0.2">
      <c r="A4052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4052" s="24" t="s">
        <v>6649</v>
      </c>
      <c r="C4052" s="25">
        <v>1500000</v>
      </c>
      <c r="D4052" s="22" t="s">
        <v>6650</v>
      </c>
      <c r="E4052" s="22" t="s">
        <v>362</v>
      </c>
      <c r="F4052" s="23" t="str">
        <f>HYPERLINK("https://www.spark-marketing.ru/Card/Lot/73245394", "Оказание услуг по организации питания во время проведения мероприятия «ВАХТА ПАМЯТИ»")</f>
        <v>Оказание услуг по организации питания во время проведения мероприятия «ВАХТА ПАМЯТИ»</v>
      </c>
      <c r="G4052" s="22" t="s">
        <v>108</v>
      </c>
      <c r="H4052" s="22" t="s">
        <v>108</v>
      </c>
      <c r="I4052" s="26">
        <v>43713</v>
      </c>
      <c r="J4052" s="28" t="s">
        <v>51</v>
      </c>
      <c r="K4052" s="28" t="s">
        <v>51</v>
      </c>
      <c r="L4052" s="22" t="s">
        <v>10</v>
      </c>
      <c r="M4052" s="25">
        <v>1500000</v>
      </c>
      <c r="N4052" s="27">
        <v>0</v>
      </c>
    </row>
    <row r="4053" spans="1:14" x14ac:dyDescent="0.2">
      <c r="A4053" s="23" t="str">
        <f>HYPERLINK("https://www.spark-marketing.ru/Card/Person/1311072", "МАОУ ""ЮГО-КАМСКАЯ СРЕДНЯЯ ШКОЛА""")</f>
        <v>МАОУ "ЮГО-КАМСКАЯ СРЕДНЯЯ ШКОЛА"</v>
      </c>
      <c r="B4053" s="24" t="s">
        <v>4005</v>
      </c>
      <c r="C4053" s="25">
        <v>2492895.1</v>
      </c>
      <c r="D4053" s="22" t="s">
        <v>6651</v>
      </c>
      <c r="E4053" s="22" t="s">
        <v>362</v>
      </c>
      <c r="F4053" s="23" t="str">
        <f>HYPERLINK("https://www.spark-marketing.ru/Card/Lot/73249796", "Оказание услуги по обеспечению горячим питанием в здании основной школы по адресу: Пермский край, Пермский район, пос.Юго-Камский, ул. Школьная, д.9")</f>
        <v>Оказание услуги по обеспечению горячим питанием в здании основной школы по адресу: Пермский край, Пермский район, пос.Юго-Камский, ул. Школьная, д.9</v>
      </c>
      <c r="G4053" s="22" t="s">
        <v>153</v>
      </c>
      <c r="H4053" s="22" t="s">
        <v>153</v>
      </c>
      <c r="I4053" s="26">
        <v>43713</v>
      </c>
      <c r="J4053" s="28" t="s">
        <v>51</v>
      </c>
      <c r="K4053" s="28" t="s">
        <v>51</v>
      </c>
      <c r="L4053" s="22" t="s">
        <v>10</v>
      </c>
      <c r="M4053" s="25">
        <v>2492895.1</v>
      </c>
      <c r="N4053" s="27">
        <v>0</v>
      </c>
    </row>
    <row r="4054" spans="1:14" x14ac:dyDescent="0.15">
      <c r="A4054" s="23" t="str">
        <f>HYPERLINK("https://www.spark-marketing.ru/Card/Person/1778939", "МАУ ""ЦСК""")</f>
        <v>МАУ "ЦСК"</v>
      </c>
      <c r="B4054" s="24" t="s">
        <v>6652</v>
      </c>
      <c r="C4054" s="25">
        <v>542650</v>
      </c>
      <c r="D4054" s="22" t="s">
        <v>6653</v>
      </c>
      <c r="E4054" s="22" t="s">
        <v>1921</v>
      </c>
      <c r="F4054" s="23" t="str">
        <f>HYPERLINK("https://www.spark-marketing.ru/Card/Lot/73240925", "Услуги по проживанию и питанию участников XV открытого Кубка Главы города Красноярска по регби «Будущие звезды овального мяча»")</f>
        <v>Услуги по проживанию и питанию участников XV открытого Кубка Главы города Красноярска по регби «Будущие звезды овального мяча»</v>
      </c>
      <c r="G4054" s="22" t="s">
        <v>281</v>
      </c>
      <c r="H4054" s="22" t="s">
        <v>281</v>
      </c>
      <c r="I4054" s="26">
        <v>43713</v>
      </c>
      <c r="J4054" s="28" t="s">
        <v>51</v>
      </c>
      <c r="K4054" s="28" t="s">
        <v>51</v>
      </c>
      <c r="L4054" s="28" t="s">
        <v>51</v>
      </c>
      <c r="M4054" s="28" t="s">
        <v>51</v>
      </c>
      <c r="N4054" s="28" t="s">
        <v>51</v>
      </c>
    </row>
    <row r="4055" spans="1:14" x14ac:dyDescent="0.15">
      <c r="A4055" s="23" t="str">
        <f>HYPERLINK("https://www.spark-marketing.ru/Card/Person/540172", "ОГАУ ""ФК ""САХАЛИН""")</f>
        <v>ОГАУ "ФК "САХАЛИН"</v>
      </c>
      <c r="B4055" s="24" t="s">
        <v>1416</v>
      </c>
      <c r="C4055" s="25">
        <v>369000</v>
      </c>
      <c r="D4055" s="22" t="s">
        <v>6654</v>
      </c>
      <c r="E4055" s="22" t="s">
        <v>362</v>
      </c>
      <c r="F4055" s="23" t="str">
        <f>HYPERLINK("https://www.spark-marketing.ru/Card/Lot/73245904", "Оказание услуг по организации кофе-брейка и питания")</f>
        <v>Оказание услуг по организации кофе-брейка и питания</v>
      </c>
      <c r="G4055" s="22" t="s">
        <v>260</v>
      </c>
      <c r="H4055" s="22" t="s">
        <v>260</v>
      </c>
      <c r="I4055" s="26">
        <v>43713</v>
      </c>
      <c r="J4055" s="28" t="s">
        <v>51</v>
      </c>
      <c r="K4055" s="28" t="s">
        <v>51</v>
      </c>
      <c r="L4055" s="28" t="s">
        <v>51</v>
      </c>
      <c r="M4055" s="28" t="s">
        <v>51</v>
      </c>
      <c r="N4055" s="28" t="s">
        <v>51</v>
      </c>
    </row>
    <row r="4056" spans="1:14" x14ac:dyDescent="0.2">
      <c r="A4056" s="23" t="str">
        <f>HYPERLINK("https://www.spark-marketing.ru/Card/Person/1777959", "МАДОУ ""ДЕТСКИЙ САД № 396"" Г. ПЕРМИ")</f>
        <v>МАДОУ "ДЕТСКИЙ САД № 396" Г. ПЕРМИ</v>
      </c>
      <c r="B4056" s="24" t="s">
        <v>6655</v>
      </c>
      <c r="C4056" s="25">
        <v>31183055</v>
      </c>
      <c r="D4056" s="22" t="s">
        <v>6656</v>
      </c>
      <c r="E4056" s="22" t="s">
        <v>362</v>
      </c>
      <c r="F4056" s="23" t="str">
        <f>HYPERLINK("https://www.spark-marketing.ru/Card/Lot/73257012", "Оказание услуги по организации питания воспитанников в МАДОУ «Детский сад № 396» г.Перми.")</f>
        <v>Оказание услуги по организации питания воспитанников в МАДОУ «Детский сад № 396» г.Перми.</v>
      </c>
      <c r="G4056" s="22" t="s">
        <v>153</v>
      </c>
      <c r="H4056" s="22" t="s">
        <v>153</v>
      </c>
      <c r="I4056" s="26">
        <v>43713</v>
      </c>
      <c r="J4056" s="28" t="s">
        <v>51</v>
      </c>
      <c r="K4056" s="28" t="s">
        <v>51</v>
      </c>
      <c r="L4056" s="22" t="s">
        <v>10</v>
      </c>
      <c r="M4056" s="25">
        <v>30780763</v>
      </c>
      <c r="N4056" s="27">
        <v>1.2900980997532153E-2</v>
      </c>
    </row>
    <row r="4057" spans="1:14" x14ac:dyDescent="0.15">
      <c r="A4057" s="23" t="str">
        <f>HYPERLINK("https://www.spark-marketing.ru/Card/Person/1014183", "ФГУП ""ПВС"" МВД РОССИИ")</f>
        <v>ФГУП "ПВС" МВД РОССИИ</v>
      </c>
      <c r="B4057" s="24" t="s">
        <v>6266</v>
      </c>
      <c r="C4057" s="25">
        <v>149980.29999999999</v>
      </c>
      <c r="D4057" s="22" t="s">
        <v>6657</v>
      </c>
      <c r="E4057" s="22" t="s">
        <v>362</v>
      </c>
      <c r="F4057" s="23" t="str">
        <f>HYPERLINK("https://www.spark-marketing.ru/Card/Lot/73256914", "Оказание услуг по организации питания на выездном мероприятии")</f>
        <v>Оказание услуг по организации питания на выездном мероприятии</v>
      </c>
      <c r="G4057" s="22" t="s">
        <v>132</v>
      </c>
      <c r="H4057" s="22" t="s">
        <v>132</v>
      </c>
      <c r="I4057" s="26">
        <v>43713</v>
      </c>
      <c r="J4057" s="28" t="s">
        <v>51</v>
      </c>
      <c r="K4057" s="28" t="s">
        <v>51</v>
      </c>
      <c r="L4057" s="28" t="s">
        <v>51</v>
      </c>
      <c r="M4057" s="28" t="s">
        <v>51</v>
      </c>
      <c r="N4057" s="28" t="s">
        <v>51</v>
      </c>
    </row>
    <row r="4058" spans="1:14" x14ac:dyDescent="0.2">
      <c r="A4058" s="23" t="str">
        <f>HYPERLINK("https://www.spark-marketing.ru/Card/Person/742948", "МАОУ ""СОШ №2"" ГОРОДСКОГО ОКРУГА Г. СТЕРЛИТАМАК РБ")</f>
        <v>МАОУ "СОШ №2" ГОРОДСКОГО ОКРУГА Г. СТЕРЛИТАМАК РБ</v>
      </c>
      <c r="B4058" s="24" t="s">
        <v>6658</v>
      </c>
      <c r="C4058" s="25">
        <v>215600</v>
      </c>
      <c r="D4058" s="22" t="s">
        <v>6659</v>
      </c>
      <c r="E4058" s="22" t="s">
        <v>362</v>
      </c>
      <c r="F4058" s="23" t="str">
        <f>HYPERLINK("https://www.spark-marketing.ru/Card/Lot/73242194", "Оказание услуг по организации питания обучающихся многодетных и малообеспеченных семей")</f>
        <v>Оказание услуг по организации питания обучающихся многодетных и малообеспеченных семей</v>
      </c>
      <c r="G4058" s="22" t="s">
        <v>145</v>
      </c>
      <c r="H4058" s="22" t="s">
        <v>145</v>
      </c>
      <c r="I4058" s="26">
        <v>43713</v>
      </c>
      <c r="J4058" s="28" t="s">
        <v>51</v>
      </c>
      <c r="K4058" s="28" t="s">
        <v>51</v>
      </c>
      <c r="L4058" s="28" t="s">
        <v>51</v>
      </c>
      <c r="M4058" s="25">
        <v>215600</v>
      </c>
      <c r="N4058" s="27">
        <v>0</v>
      </c>
    </row>
    <row r="4059" spans="1:14" x14ac:dyDescent="0.15">
      <c r="A4059" s="23" t="str">
        <f>HYPERLINK("https://www.spark-marketing.ru/Card/Person/4348382", "ООО ""ГАЗПРОМ ПИТАНИЕ""")</f>
        <v>ООО "ГАЗПРОМ ПИТАНИЕ"</v>
      </c>
      <c r="B4059" s="24" t="s">
        <v>2869</v>
      </c>
      <c r="C4059" s="25">
        <v>44367750</v>
      </c>
      <c r="D4059" s="22" t="s">
        <v>6660</v>
      </c>
      <c r="E4059" s="22" t="s">
        <v>5837</v>
      </c>
      <c r="F4059" s="23" t="str">
        <f>HYPERLINK("https://www.spark-marketing.ru/Card/Lot/73257025", "Оказание автотранспортных услуг (грузоперевозки) для нужд Санкт-Петербургского УООП ООО ""Газпром питание"" в 2019-2020гг. для нужд ООО «Газпром питание»")</f>
        <v>Оказание автотранспортных услуг (грузоперевозки) для нужд Санкт-Петербургского УООП ООО "Газпром питание" в 2019-2020гг. для нужд ООО «Газпром питание»</v>
      </c>
      <c r="G4059" s="22" t="s">
        <v>56</v>
      </c>
      <c r="H4059" s="22" t="s">
        <v>56</v>
      </c>
      <c r="I4059" s="26">
        <v>43713</v>
      </c>
      <c r="J4059" s="28" t="s">
        <v>51</v>
      </c>
      <c r="K4059" s="28" t="s">
        <v>51</v>
      </c>
      <c r="L4059" s="28" t="s">
        <v>51</v>
      </c>
      <c r="M4059" s="28" t="s">
        <v>51</v>
      </c>
      <c r="N4059" s="28" t="s">
        <v>51</v>
      </c>
    </row>
    <row r="4060" spans="1:14" x14ac:dyDescent="0.2">
      <c r="A4060" s="23" t="str">
        <f>HYPERLINK("https://www.spark-marketing.ru/Card/Person/44377", "НАЦИОНАЛЬНЫЙ ИССЛЕДОВАТЕЛЬСКИЙ УНИВЕРСИТЕТ ""ВЫСШАЯ ШКОЛА ЭКОНОМИКИ"";ВЫСШАЯ ШКОЛА ЭКОНОМИКИ;НИУ ВШЭ;ВШЭ")</f>
        <v>НАЦИОНАЛЬНЫЙ ИССЛЕДОВАТЕЛЬСКИЙ УНИВЕРСИТЕТ "ВЫСШАЯ ШКОЛА ЭКОНОМИКИ";ВЫСШАЯ ШКОЛА ЭКОНОМИКИ;НИУ ВШЭ;ВШЭ</v>
      </c>
      <c r="B4060" s="24" t="s">
        <v>1925</v>
      </c>
      <c r="C4060" s="25">
        <v>876300</v>
      </c>
      <c r="D4060" s="22" t="s">
        <v>6661</v>
      </c>
      <c r="E4060" s="22" t="s">
        <v>362</v>
      </c>
      <c r="F4060" s="23" t="str">
        <f>HYPERLINK("https://www.spark-marketing.ru/Card/Lot/73249670", "Оказание услуг по обеспечению питанием участников международной конференции «Архитектура и механизмы языковых процессов (AMLAP 2019)», проводимой НИУ ВШЭ")</f>
        <v>Оказание услуг по обеспечению питанием участников международной конференции «Архитектура и механизмы языковых процессов (AMLAP 2019)», проводимой НИУ ВШЭ</v>
      </c>
      <c r="G4060" s="22" t="s">
        <v>56</v>
      </c>
      <c r="H4060" s="22" t="s">
        <v>56</v>
      </c>
      <c r="I4060" s="26">
        <v>43713</v>
      </c>
      <c r="J4060" s="28" t="s">
        <v>51</v>
      </c>
      <c r="K4060" s="28" t="s">
        <v>51</v>
      </c>
      <c r="L4060" s="22" t="s">
        <v>10</v>
      </c>
      <c r="M4060" s="25">
        <v>876300</v>
      </c>
      <c r="N4060" s="27">
        <v>0</v>
      </c>
    </row>
    <row r="4061" spans="1:14" x14ac:dyDescent="0.15">
      <c r="A4061" s="23" t="str">
        <f>HYPERLINK("https://www.spark-marketing.ru/Card/Person/1003129", "МОУ ""СОШ ""ПАТРИОТ"" С КАДЕТСКИМИ КЛАССАМИ""")</f>
        <v>МОУ "СОШ "ПАТРИОТ" С КАДЕТСКИМИ КЛАССАМИ"</v>
      </c>
      <c r="B4061" s="24" t="s">
        <v>6662</v>
      </c>
      <c r="C4061" s="25">
        <v>113952</v>
      </c>
      <c r="D4061" s="22" t="s">
        <v>6663</v>
      </c>
      <c r="E4061" s="22" t="s">
        <v>362</v>
      </c>
      <c r="F4061" s="23" t="str">
        <f>HYPERLINK("https://www.spark-marketing.ru/Card/Lot/73249737", "оказание услуги по организации питания учащихся")</f>
        <v>оказание услуги по организации питания учащихся</v>
      </c>
      <c r="G4061" s="22" t="s">
        <v>351</v>
      </c>
      <c r="H4061" s="22" t="s">
        <v>351</v>
      </c>
      <c r="I4061" s="26">
        <v>43713</v>
      </c>
      <c r="J4061" s="28" t="s">
        <v>51</v>
      </c>
      <c r="K4061" s="28" t="s">
        <v>51</v>
      </c>
      <c r="L4061" s="28" t="s">
        <v>51</v>
      </c>
      <c r="M4061" s="28" t="s">
        <v>51</v>
      </c>
      <c r="N4061" s="28" t="s">
        <v>51</v>
      </c>
    </row>
    <row r="4062" spans="1:14" x14ac:dyDescent="0.2">
      <c r="A4062" s="23" t="str">
        <f>HYPERLINK("https://www.spark-marketing.ru/Card/Person/4371011", "МАОУ ""ЯРКОВСКАЯ СОШ""")</f>
        <v>МАОУ "ЯРКОВСКАЯ СОШ"</v>
      </c>
      <c r="B4062" s="24" t="s">
        <v>2637</v>
      </c>
      <c r="C4062" s="25">
        <v>935960</v>
      </c>
      <c r="D4062" s="22" t="s">
        <v>6664</v>
      </c>
      <c r="E4062" s="22" t="s">
        <v>362</v>
      </c>
      <c r="F4062" s="23" t="str">
        <f>HYPERLINK("https://www.spark-marketing.ru/Card/Lot/73250248", "Оказание услуг по организации горячего питания учащихся.")</f>
        <v>Оказание услуг по организации горячего питания учащихся.</v>
      </c>
      <c r="G4062" s="22" t="s">
        <v>766</v>
      </c>
      <c r="H4062" s="22" t="s">
        <v>766</v>
      </c>
      <c r="I4062" s="26">
        <v>43713</v>
      </c>
      <c r="J4062" s="28" t="s">
        <v>51</v>
      </c>
      <c r="K4062" s="28" t="s">
        <v>51</v>
      </c>
      <c r="L4062" s="22" t="s">
        <v>10</v>
      </c>
      <c r="M4062" s="25">
        <v>935960</v>
      </c>
      <c r="N4062" s="27">
        <v>0</v>
      </c>
    </row>
    <row r="4063" spans="1:14" x14ac:dyDescent="0.15">
      <c r="A4063" s="23" t="str">
        <f>HYPERLINK("https://www.spark-marketing.ru/Card/Person/1757464", "КГАУ ""СШОР ПО РЕГБИ ""ЕНИСЕЙ - СТМ""")</f>
        <v>КГАУ "СШОР ПО РЕГБИ "ЕНИСЕЙ - СТМ"</v>
      </c>
      <c r="B4063" s="24" t="s">
        <v>3563</v>
      </c>
      <c r="C4063" s="25">
        <v>1100000</v>
      </c>
      <c r="D4063" s="22" t="s">
        <v>6665</v>
      </c>
      <c r="E4063" s="22" t="s">
        <v>4218</v>
      </c>
      <c r="F4063" s="23" t="str">
        <f>HYPERLINK("https://www.spark-marketing.ru/Card/Lot/73249698", "Договор на оказание услуг по проживанию и питанию спортсменов (для исполнения календарного плана)")</f>
        <v>Договор на оказание услуг по проживанию и питанию спортсменов (для исполнения календарного плана)</v>
      </c>
      <c r="G4063" s="22" t="s">
        <v>56</v>
      </c>
      <c r="H4063" s="22" t="s">
        <v>56</v>
      </c>
      <c r="I4063" s="26">
        <v>43713</v>
      </c>
      <c r="J4063" s="28" t="s">
        <v>51</v>
      </c>
      <c r="K4063" s="28" t="s">
        <v>51</v>
      </c>
      <c r="L4063" s="28" t="s">
        <v>51</v>
      </c>
      <c r="M4063" s="28" t="s">
        <v>51</v>
      </c>
      <c r="N4063" s="28" t="s">
        <v>51</v>
      </c>
    </row>
    <row r="4064" spans="1:14" x14ac:dyDescent="0.2">
      <c r="A4064" s="23" t="str">
        <f>HYPERLINK("https://www.spark-marketing.ru/Card/Person/1311072", "МАОУ ""ЮГО-КАМСКАЯ СРЕДНЯЯ ШКОЛА""")</f>
        <v>МАОУ "ЮГО-КАМСКАЯ СРЕДНЯЯ ШКОЛА"</v>
      </c>
      <c r="B4064" s="24" t="s">
        <v>4005</v>
      </c>
      <c r="C4064" s="25">
        <v>1422883.65</v>
      </c>
      <c r="D4064" s="22" t="s">
        <v>6666</v>
      </c>
      <c r="E4064" s="22" t="s">
        <v>362</v>
      </c>
      <c r="F4064" s="23" t="str">
        <f>HYPERLINK("https://www.spark-marketing.ru/Card/Lot/73249748", "Оказание услуги по обеспечению горячим питанием в здании начальной школы по адресу: Пермский край, Пермский район, пос.Юго-Камский, ул. Декабристов, д.14")</f>
        <v>Оказание услуги по обеспечению горячим питанием в здании начальной школы по адресу: Пермский край, Пермский район, пос.Юго-Камский, ул. Декабристов, д.14</v>
      </c>
      <c r="G4064" s="22" t="s">
        <v>153</v>
      </c>
      <c r="H4064" s="22" t="s">
        <v>153</v>
      </c>
      <c r="I4064" s="26">
        <v>43713</v>
      </c>
      <c r="J4064" s="28" t="s">
        <v>51</v>
      </c>
      <c r="K4064" s="28" t="s">
        <v>51</v>
      </c>
      <c r="L4064" s="22" t="s">
        <v>10</v>
      </c>
      <c r="M4064" s="25">
        <v>1422883.65</v>
      </c>
      <c r="N4064" s="27">
        <v>0</v>
      </c>
    </row>
    <row r="4065" spans="1:14" x14ac:dyDescent="0.2">
      <c r="A4065" s="23" t="str">
        <f>HYPERLINK("https://www.spark-marketing.ru/Card/Person/4371011", "МАОУ ""ЯРКОВСКАЯ СОШ""")</f>
        <v>МАОУ "ЯРКОВСКАЯ СОШ"</v>
      </c>
      <c r="B4065" s="24" t="s">
        <v>2637</v>
      </c>
      <c r="C4065" s="25">
        <v>870652.8</v>
      </c>
      <c r="D4065" s="22" t="s">
        <v>6667</v>
      </c>
      <c r="E4065" s="22" t="s">
        <v>362</v>
      </c>
      <c r="F4065" s="23" t="str">
        <f>HYPERLINK("https://www.spark-marketing.ru/Card/Lot/73250212", "Оказание услуг по организации горячего питания учащихся.")</f>
        <v>Оказание услуг по организации горячего питания учащихся.</v>
      </c>
      <c r="G4065" s="22" t="s">
        <v>766</v>
      </c>
      <c r="H4065" s="22" t="s">
        <v>766</v>
      </c>
      <c r="I4065" s="26">
        <v>43713</v>
      </c>
      <c r="J4065" s="28" t="s">
        <v>51</v>
      </c>
      <c r="K4065" s="28" t="s">
        <v>51</v>
      </c>
      <c r="L4065" s="22" t="s">
        <v>10</v>
      </c>
      <c r="M4065" s="25">
        <v>870652.8</v>
      </c>
      <c r="N4065" s="27">
        <v>0</v>
      </c>
    </row>
    <row r="4066" spans="1:14" x14ac:dyDescent="0.15">
      <c r="A4066" s="23" t="str">
        <f>HYPERLINK("https://www.spark-marketing.ru/Card/Person/1403119", "МАОУ ""ШКОЛА-ИНТЕРНАТ № 85"" Г.ПЕРМИ")</f>
        <v>МАОУ "ШКОЛА-ИНТЕРНАТ № 85" Г.ПЕРМИ</v>
      </c>
      <c r="B4066" s="24" t="s">
        <v>6303</v>
      </c>
      <c r="C4066" s="25">
        <v>6102547.7999999998</v>
      </c>
      <c r="D4066" s="22" t="s">
        <v>6668</v>
      </c>
      <c r="E4066" s="22" t="s">
        <v>362</v>
      </c>
      <c r="F4066" s="23" t="str">
        <f>HYPERLINK("https://www.spark-marketing.ru/Card/Lot/71867727", "Оказание услуги по организации горячего питания")</f>
        <v>Оказание услуги по организации горячего питания</v>
      </c>
      <c r="G4066" s="22" t="s">
        <v>153</v>
      </c>
      <c r="H4066" s="22" t="s">
        <v>153</v>
      </c>
      <c r="I4066" s="26">
        <v>43649.629814814798</v>
      </c>
      <c r="J4066" s="28" t="s">
        <v>51</v>
      </c>
      <c r="K4066" s="28" t="s">
        <v>51</v>
      </c>
      <c r="L4066" s="28" t="s">
        <v>51</v>
      </c>
      <c r="M4066" s="28" t="s">
        <v>51</v>
      </c>
      <c r="N4066" s="28" t="s">
        <v>51</v>
      </c>
    </row>
    <row r="4067" spans="1:14" x14ac:dyDescent="0.15">
      <c r="A4067" s="23" t="str">
        <f>HYPERLINK("https://www.spark-marketing.ru/Card/Person/4392821", "МАОУ СОШ № 15")</f>
        <v>МАОУ СОШ № 15</v>
      </c>
      <c r="B4067" s="24" t="s">
        <v>6669</v>
      </c>
      <c r="C4067" s="25">
        <v>173168</v>
      </c>
      <c r="D4067" s="22" t="s">
        <v>6670</v>
      </c>
      <c r="E4067" s="22" t="s">
        <v>1412</v>
      </c>
      <c r="F4067" s="23" t="str">
        <f>HYPERLINK("https://www.spark-marketing.ru/Card/Lot/73261975", "оказание услуг по организации питания")</f>
        <v>оказание услуг по организации питания</v>
      </c>
      <c r="G4067" s="22" t="s">
        <v>351</v>
      </c>
      <c r="H4067" s="22" t="s">
        <v>351</v>
      </c>
      <c r="I4067" s="26">
        <v>43713</v>
      </c>
      <c r="J4067" s="28" t="s">
        <v>51</v>
      </c>
      <c r="K4067" s="28" t="s">
        <v>51</v>
      </c>
      <c r="L4067" s="28" t="s">
        <v>51</v>
      </c>
      <c r="M4067" s="28" t="s">
        <v>51</v>
      </c>
      <c r="N4067" s="28" t="s">
        <v>51</v>
      </c>
    </row>
    <row r="4068" spans="1:14" x14ac:dyDescent="0.15">
      <c r="A4068" s="23" t="str">
        <f>HYPERLINK("https://www.spark-marketing.ru/Card/Person/1176121", "ГАУ КО ""ЦСП СК""")</f>
        <v>ГАУ КО "ЦСП СК"</v>
      </c>
      <c r="B4068" s="24" t="s">
        <v>6671</v>
      </c>
      <c r="C4068" s="25">
        <v>223200</v>
      </c>
      <c r="D4068" s="22" t="s">
        <v>6672</v>
      </c>
      <c r="E4068" s="22" t="s">
        <v>362</v>
      </c>
      <c r="F4068" s="23" t="str">
        <f>HYPERLINK("https://www.spark-marketing.ru/Card/Lot/73258168", "Услуги по организации питания участников спортивных соревнований")</f>
        <v>Услуги по организации питания участников спортивных соревнований</v>
      </c>
      <c r="G4068" s="22" t="s">
        <v>400</v>
      </c>
      <c r="H4068" s="22" t="s">
        <v>400</v>
      </c>
      <c r="I4068" s="26">
        <v>43713</v>
      </c>
      <c r="J4068" s="28" t="s">
        <v>51</v>
      </c>
      <c r="K4068" s="28" t="s">
        <v>51</v>
      </c>
      <c r="L4068" s="28" t="s">
        <v>51</v>
      </c>
      <c r="M4068" s="28" t="s">
        <v>51</v>
      </c>
      <c r="N4068" s="28" t="s">
        <v>51</v>
      </c>
    </row>
    <row r="4069" spans="1:14" x14ac:dyDescent="0.2">
      <c r="A4069" s="23" t="str">
        <f>HYPERLINK("https://www.spark-marketing.ru/Card/Person/4371011", "МАОУ ""ЯРКОВСКАЯ СОШ""")</f>
        <v>МАОУ "ЯРКОВСКАЯ СОШ"</v>
      </c>
      <c r="B4069" s="24" t="s">
        <v>2637</v>
      </c>
      <c r="C4069" s="25">
        <v>1226234.7</v>
      </c>
      <c r="D4069" s="22" t="s">
        <v>6673</v>
      </c>
      <c r="E4069" s="22" t="s">
        <v>362</v>
      </c>
      <c r="F4069" s="23" t="str">
        <f>HYPERLINK("https://www.spark-marketing.ru/Card/Lot/73249741", "Оказание услуг по организации горячего питания учащихся.")</f>
        <v>Оказание услуг по организации горячего питания учащихся.</v>
      </c>
      <c r="G4069" s="22" t="s">
        <v>766</v>
      </c>
      <c r="H4069" s="22" t="s">
        <v>766</v>
      </c>
      <c r="I4069" s="26">
        <v>43713</v>
      </c>
      <c r="J4069" s="28" t="s">
        <v>51</v>
      </c>
      <c r="K4069" s="28" t="s">
        <v>51</v>
      </c>
      <c r="L4069" s="22" t="s">
        <v>10</v>
      </c>
      <c r="M4069" s="25">
        <v>1226234.7</v>
      </c>
      <c r="N4069" s="27">
        <v>0</v>
      </c>
    </row>
    <row r="4070" spans="1:14" x14ac:dyDescent="0.2">
      <c r="A4070" s="23" t="str">
        <f>HYPERLINK("https://www.spark-marketing.ru/Card/Person/4371011", "МАОУ ""ЯРКОВСКАЯ СОШ""")</f>
        <v>МАОУ "ЯРКОВСКАЯ СОШ"</v>
      </c>
      <c r="B4070" s="24" t="s">
        <v>2637</v>
      </c>
      <c r="C4070" s="25">
        <v>793176</v>
      </c>
      <c r="D4070" s="22" t="s">
        <v>6674</v>
      </c>
      <c r="E4070" s="22" t="s">
        <v>362</v>
      </c>
      <c r="F4070" s="23" t="str">
        <f>HYPERLINK("https://www.spark-marketing.ru/Card/Lot/73250207", "Оказание услуг по организации горячего питания учащихся.")</f>
        <v>Оказание услуг по организации горячего питания учащихся.</v>
      </c>
      <c r="G4070" s="22" t="s">
        <v>766</v>
      </c>
      <c r="H4070" s="22" t="s">
        <v>766</v>
      </c>
      <c r="I4070" s="26">
        <v>43713</v>
      </c>
      <c r="J4070" s="28" t="s">
        <v>51</v>
      </c>
      <c r="K4070" s="28" t="s">
        <v>51</v>
      </c>
      <c r="L4070" s="22" t="s">
        <v>10</v>
      </c>
      <c r="M4070" s="25">
        <v>793176</v>
      </c>
      <c r="N4070" s="27">
        <v>0</v>
      </c>
    </row>
    <row r="4071" spans="1:14" x14ac:dyDescent="0.15">
      <c r="A4071" s="23" t="str">
        <f>HYPERLINK("https://www.spark-marketing.ru/Card/Person/1573122", "МАУ ""СШОР № 8""")</f>
        <v>МАУ "СШОР № 8"</v>
      </c>
      <c r="B4071" s="24" t="s">
        <v>1074</v>
      </c>
      <c r="C4071" s="25">
        <v>1008000</v>
      </c>
      <c r="D4071" s="22" t="s">
        <v>6675</v>
      </c>
      <c r="E4071" s="22" t="s">
        <v>6676</v>
      </c>
      <c r="F4071" s="23" t="str">
        <f>HYPERLINK("https://www.spark-marketing.ru/Card/Lot/73254692", "оказание услуг по организации питания и проживания во время проведения первого тура чемпионата России по водному поло среди женских команд сезона 2019-2020 для нужд Муниципального автономного учреждения «Спортивная школа олимпийского резерва № 8 «Ура...")</f>
        <v>оказание услуг по организации питания и проживания во время проведения первого тура чемпионата России по водному поло среди женских команд сезона 2019-2020 для нужд Муниципального автономного учреждения «Спортивная школа олимпийского резерва № 8 «Ура...</v>
      </c>
      <c r="G4071" s="22" t="s">
        <v>158</v>
      </c>
      <c r="H4071" s="22" t="s">
        <v>158</v>
      </c>
      <c r="I4071" s="26">
        <v>43713</v>
      </c>
      <c r="J4071" s="28" t="s">
        <v>51</v>
      </c>
      <c r="K4071" s="28" t="s">
        <v>51</v>
      </c>
      <c r="L4071" s="28" t="s">
        <v>51</v>
      </c>
      <c r="M4071" s="28" t="s">
        <v>51</v>
      </c>
      <c r="N4071" s="28" t="s">
        <v>51</v>
      </c>
    </row>
    <row r="4072" spans="1:14" x14ac:dyDescent="0.2">
      <c r="A4072" s="23" t="str">
        <f>HYPERLINK("https://www.spark-marketing.ru/Card/Person/6576036", "МАДОУ ""ДЕТСКИЙ САД № 118 ""ЗВЕЗДОЧКА""")</f>
        <v>МАДОУ "ДЕТСКИЙ САД № 118 "ЗВЕЗДОЧКА"</v>
      </c>
      <c r="B4072" s="24" t="s">
        <v>6677</v>
      </c>
      <c r="C4072" s="25">
        <v>3260621.72</v>
      </c>
      <c r="D4072" s="22" t="s">
        <v>6678</v>
      </c>
      <c r="E4072" s="22" t="s">
        <v>362</v>
      </c>
      <c r="F4072" s="23" t="str">
        <f>HYPERLINK("https://www.spark-marketing.ru/Card/Lot/73262619", "оказание услуг при организации питания")</f>
        <v>оказание услуг при организации питания</v>
      </c>
      <c r="G4072" s="22" t="s">
        <v>503</v>
      </c>
      <c r="H4072" s="22" t="s">
        <v>503</v>
      </c>
      <c r="I4072" s="26">
        <v>43713</v>
      </c>
      <c r="J4072" s="28" t="s">
        <v>51</v>
      </c>
      <c r="K4072" s="28" t="s">
        <v>51</v>
      </c>
      <c r="L4072" s="28" t="s">
        <v>51</v>
      </c>
      <c r="M4072" s="25">
        <v>3260621.72</v>
      </c>
      <c r="N4072" s="27">
        <v>0</v>
      </c>
    </row>
    <row r="4073" spans="1:14" x14ac:dyDescent="0.15">
      <c r="A4073" s="23" t="str">
        <f>HYPERLINK("https://www.spark-marketing.ru/Card/Person/1716154", "ООО ""ТРАНСНЕФТЬ - БАЛТИКА""")</f>
        <v>ООО "ТРАНСНЕФТЬ - БАЛТИКА"</v>
      </c>
      <c r="B4073" s="24" t="s">
        <v>6293</v>
      </c>
      <c r="C4073" s="25">
        <v>1365502.32</v>
      </c>
      <c r="D4073" s="22" t="s">
        <v>6679</v>
      </c>
      <c r="E4073" s="22" t="s">
        <v>362</v>
      </c>
      <c r="F4073" s="23" t="str">
        <f>HYPERLINK("https://www.spark-marketing.ru/Card/Lot/73242162", "1800-H05-К-Y12-00175-2020 «""2020-ОСР-ТНБ-04 ""Оказание услуг по организации питания в столовой НПС ""Великие Луки"" и буфетного обслуживания руководящего состава""»")</f>
        <v>1800-H05-К-Y12-00175-2020 «"2020-ОСР-ТНБ-04 "Оказание услуг по организации питания в столовой НПС "Великие Луки" и буфетного обслуживания руководящего состава"»</v>
      </c>
      <c r="G4073" s="22" t="s">
        <v>117</v>
      </c>
      <c r="H4073" s="22" t="s">
        <v>117</v>
      </c>
      <c r="I4073" s="26">
        <v>43713</v>
      </c>
      <c r="J4073" s="28" t="s">
        <v>51</v>
      </c>
      <c r="K4073" s="28" t="s">
        <v>51</v>
      </c>
      <c r="L4073" s="28" t="s">
        <v>51</v>
      </c>
      <c r="M4073" s="28" t="s">
        <v>51</v>
      </c>
      <c r="N4073" s="28" t="s">
        <v>51</v>
      </c>
    </row>
    <row r="4074" spans="1:14" x14ac:dyDescent="0.2">
      <c r="A4074" s="23" t="str">
        <f>HYPERLINK("https://www.spark-marketing.ru/Card/Person/1311072", "МАОУ ""ЮГО-КАМСКАЯ СРЕДНЯЯ ШКОЛА""")</f>
        <v>МАОУ "ЮГО-КАМСКАЯ СРЕДНЯЯ ШКОЛА"</v>
      </c>
      <c r="B4074" s="24" t="s">
        <v>4005</v>
      </c>
      <c r="C4074" s="25">
        <v>666002.64</v>
      </c>
      <c r="D4074" s="22" t="s">
        <v>6680</v>
      </c>
      <c r="E4074" s="22" t="s">
        <v>362</v>
      </c>
      <c r="F4074" s="23" t="str">
        <f>HYPERLINK("https://www.spark-marketing.ru/Card/Lot/73249603", "Оказание услуги по обеспечению горячим питанием в здании профильной школы по адресу: Пермский край, Пермский район, пос.Юго-Камский, ул. Советская, д.155")</f>
        <v>Оказание услуги по обеспечению горячим питанием в здании профильной школы по адресу: Пермский край, Пермский район, пос.Юго-Камский, ул. Советская, д.155</v>
      </c>
      <c r="G4074" s="22" t="s">
        <v>153</v>
      </c>
      <c r="H4074" s="22" t="s">
        <v>153</v>
      </c>
      <c r="I4074" s="26">
        <v>43713</v>
      </c>
      <c r="J4074" s="28" t="s">
        <v>51</v>
      </c>
      <c r="K4074" s="28" t="s">
        <v>51</v>
      </c>
      <c r="L4074" s="22" t="s">
        <v>10</v>
      </c>
      <c r="M4074" s="25">
        <v>666002.64</v>
      </c>
      <c r="N4074" s="27">
        <v>0</v>
      </c>
    </row>
    <row r="4075" spans="1:14" x14ac:dyDescent="0.15">
      <c r="A4075" s="23" t="str">
        <f>HYPERLINK("https://www.spark-marketing.ru/Card/Person/1716154", "ООО ""ТРАНСНЕФТЬ - БАЛТИКА""")</f>
        <v>ООО "ТРАНСНЕФТЬ - БАЛТИКА"</v>
      </c>
      <c r="B4075" s="24" t="s">
        <v>6293</v>
      </c>
      <c r="C4075" s="25">
        <v>1355864.11</v>
      </c>
      <c r="D4075" s="22" t="s">
        <v>6681</v>
      </c>
      <c r="E4075" s="22" t="s">
        <v>362</v>
      </c>
      <c r="F4075" s="23" t="str">
        <f>HYPERLINK("https://www.spark-marketing.ru/Card/Lot/73242161", "1800-H05-К-Y12-00196-2020 «""2020-ОСР-ТНБ-02 ""Оказание услуг по организации питания в столовой ЛПДС ""Торжок"" и буфетного обслуживания руководящего состава""»")</f>
        <v>1800-H05-К-Y12-00196-2020 «"2020-ОСР-ТНБ-02 "Оказание услуг по организации питания в столовой ЛПДС "Торжок" и буфетного обслуживания руководящего состава"»</v>
      </c>
      <c r="G4075" s="22" t="s">
        <v>117</v>
      </c>
      <c r="H4075" s="22" t="s">
        <v>117</v>
      </c>
      <c r="I4075" s="26">
        <v>43713</v>
      </c>
      <c r="J4075" s="28" t="s">
        <v>51</v>
      </c>
      <c r="K4075" s="28" t="s">
        <v>51</v>
      </c>
      <c r="L4075" s="28" t="s">
        <v>51</v>
      </c>
      <c r="M4075" s="28" t="s">
        <v>51</v>
      </c>
      <c r="N4075" s="28" t="s">
        <v>51</v>
      </c>
    </row>
    <row r="4076" spans="1:14" x14ac:dyDescent="0.15">
      <c r="A4076" s="23" t="str">
        <f>HYPERLINK("https://www.spark-marketing.ru/Card/Person/1035252", "МОУ СШ № 27")</f>
        <v>МОУ СШ № 27</v>
      </c>
      <c r="B4076" s="24" t="s">
        <v>6682</v>
      </c>
      <c r="C4076" s="25">
        <v>390280</v>
      </c>
      <c r="D4076" s="22" t="s">
        <v>6683</v>
      </c>
      <c r="E4076" s="22" t="s">
        <v>362</v>
      </c>
      <c r="F4076" s="23" t="str">
        <f>HYPERLINK("https://www.spark-marketing.ru/Card/Lot/73255696", "оказание услуг по организации питания учащихся")</f>
        <v>оказание услуг по организации питания учащихся</v>
      </c>
      <c r="G4076" s="22" t="s">
        <v>158</v>
      </c>
      <c r="H4076" s="22" t="s">
        <v>158</v>
      </c>
      <c r="I4076" s="26">
        <v>43713</v>
      </c>
      <c r="J4076" s="28" t="s">
        <v>51</v>
      </c>
      <c r="K4076" s="28" t="s">
        <v>51</v>
      </c>
      <c r="L4076" s="28" t="s">
        <v>51</v>
      </c>
      <c r="M4076" s="28" t="s">
        <v>51</v>
      </c>
      <c r="N4076" s="28" t="s">
        <v>51</v>
      </c>
    </row>
    <row r="4077" spans="1:14" x14ac:dyDescent="0.15">
      <c r="A4077" s="23" t="str">
        <f>HYPERLINK("https://www.spark-marketing.ru/Card/Person/4348382", "ООО ""ГАЗПРОМ ПИТАНИЕ""")</f>
        <v>ООО "ГАЗПРОМ ПИТАНИЕ"</v>
      </c>
      <c r="B4077" s="24" t="s">
        <v>2869</v>
      </c>
      <c r="C4077" s="25">
        <v>26884862.059999999</v>
      </c>
      <c r="D4077" s="22" t="s">
        <v>6684</v>
      </c>
      <c r="E4077" s="22" t="s">
        <v>6685</v>
      </c>
      <c r="F4077" s="23" t="str">
        <f>HYPERLINK("https://www.spark-marketing.ru/Card/Lot/73257009", "Оказание автотранспортных услуг для нужд филиала ""Московское управление по организации общественного питания"" ООО ""Газпром питание"" в 2019-2020гг.")</f>
        <v>Оказание автотранспортных услуг для нужд филиала "Московское управление по организации общественного питания" ООО "Газпром питание" в 2019-2020гг.</v>
      </c>
      <c r="G4077" s="22" t="s">
        <v>56</v>
      </c>
      <c r="H4077" s="22" t="s">
        <v>56</v>
      </c>
      <c r="I4077" s="26">
        <v>43713</v>
      </c>
      <c r="J4077" s="28" t="s">
        <v>51</v>
      </c>
      <c r="K4077" s="28" t="s">
        <v>51</v>
      </c>
      <c r="L4077" s="28" t="s">
        <v>51</v>
      </c>
      <c r="M4077" s="28" t="s">
        <v>51</v>
      </c>
      <c r="N4077" s="28" t="s">
        <v>51</v>
      </c>
    </row>
    <row r="4078" spans="1:14" x14ac:dyDescent="0.2">
      <c r="A4078" s="23" t="str">
        <f>HYPERLINK("https://www.spark-marketing.ru/Card/Person/1755980", "ООО ""НТС""")</f>
        <v>ООО "НТС"</v>
      </c>
      <c r="B4078" s="24" t="s">
        <v>1730</v>
      </c>
      <c r="C4078" s="25">
        <v>91062995.959999993</v>
      </c>
      <c r="D4078" s="22" t="s">
        <v>6686</v>
      </c>
      <c r="E4078" s="22" t="s">
        <v>362</v>
      </c>
      <c r="F4078" s="23" t="str">
        <f>HYPERLINK("https://www.spark-marketing.ru/Card/Lot/73252119", "Оказание комплекса услуг: поставка продовольственной продукции (скомплектованные рационы питания в ассортименте для поездов СТРИЖ) и сопутствующих обеспечению питания на поездах СТРИЖ услуг")</f>
        <v>Оказание комплекса услуг: поставка продовольственной продукции (скомплектованные рационы питания в ассортименте для поездов СТРИЖ) и сопутствующих обеспечению питания на поездах СТРИЖ услуг</v>
      </c>
      <c r="G4078" s="22" t="s">
        <v>76</v>
      </c>
      <c r="H4078" s="22" t="s">
        <v>940</v>
      </c>
      <c r="I4078" s="26">
        <v>43713</v>
      </c>
      <c r="J4078" s="28" t="s">
        <v>51</v>
      </c>
      <c r="K4078" s="28" t="s">
        <v>51</v>
      </c>
      <c r="L4078" s="22" t="s">
        <v>10</v>
      </c>
      <c r="M4078" s="25">
        <v>0</v>
      </c>
      <c r="N4078" s="27">
        <v>1</v>
      </c>
    </row>
    <row r="4079" spans="1:14" x14ac:dyDescent="0.2">
      <c r="A4079" s="23" t="str">
        <f>HYPERLINK("https://www.spark-marketing.ru/Card/Person/1752414", "ГАУ ТО ЦЗН ГОРОДА ТЮМЕНИ И ТЮМЕНСКОГО РАЙОНА")</f>
        <v>ГАУ ТО ЦЗН ГОРОДА ТЮМЕНИ И ТЮМЕНСКОГО РАЙОНА</v>
      </c>
      <c r="B4079" s="24" t="s">
        <v>6687</v>
      </c>
      <c r="C4079" s="25">
        <v>145000</v>
      </c>
      <c r="D4079" s="22" t="s">
        <v>6688</v>
      </c>
      <c r="E4079" s="22" t="s">
        <v>580</v>
      </c>
      <c r="F4079" s="23" t="str">
        <f>HYPERLINK("https://www.spark-marketing.ru/Card/Lot/73261888", "Услуги по организации одноразового питания участников, экспертов, волонтеров Регионального Чемпионата ""Абилимпикс"" Тюменская область - 2019")</f>
        <v>Услуги по организации одноразового питания участников, экспертов, волонтеров Регионального Чемпионата "Абилимпикс" Тюменская область - 2019</v>
      </c>
      <c r="G4079" s="22" t="s">
        <v>766</v>
      </c>
      <c r="H4079" s="22" t="s">
        <v>766</v>
      </c>
      <c r="I4079" s="26">
        <v>43713</v>
      </c>
      <c r="J4079" s="28" t="s">
        <v>51</v>
      </c>
      <c r="K4079" s="28" t="s">
        <v>51</v>
      </c>
      <c r="L4079" s="22" t="s">
        <v>10</v>
      </c>
      <c r="M4079" s="25">
        <v>145000</v>
      </c>
      <c r="N4079" s="27">
        <v>0</v>
      </c>
    </row>
    <row r="4080" spans="1:14" x14ac:dyDescent="0.15">
      <c r="A4080" s="23" t="str">
        <f>HYPERLINK("https://www.spark-marketing.ru/Card/Person/1078098", "МАОУ СОШ № 15 Г. БАЛАШОВА")</f>
        <v>МАОУ СОШ № 15 Г. БАЛАШОВА</v>
      </c>
      <c r="B4080" s="24" t="s">
        <v>6689</v>
      </c>
      <c r="C4080" s="25">
        <v>109280</v>
      </c>
      <c r="D4080" s="22" t="s">
        <v>6690</v>
      </c>
      <c r="E4080" s="22" t="s">
        <v>362</v>
      </c>
      <c r="F4080" s="23" t="str">
        <f>HYPERLINK("https://www.spark-marketing.ru/Card/Lot/73255795", "Оказание услуг по организации питания учащимся в школьной столовой для муниципальных нужд")</f>
        <v>Оказание услуг по организации питания учащимся в школьной столовой для муниципальных нужд</v>
      </c>
      <c r="G4080" s="22" t="s">
        <v>351</v>
      </c>
      <c r="H4080" s="22" t="s">
        <v>351</v>
      </c>
      <c r="I4080" s="26">
        <v>43713</v>
      </c>
      <c r="J4080" s="28" t="s">
        <v>51</v>
      </c>
      <c r="K4080" s="28" t="s">
        <v>51</v>
      </c>
      <c r="L4080" s="28" t="s">
        <v>51</v>
      </c>
      <c r="M4080" s="28" t="s">
        <v>51</v>
      </c>
      <c r="N4080" s="28" t="s">
        <v>51</v>
      </c>
    </row>
    <row r="4081" spans="1:14" x14ac:dyDescent="0.2">
      <c r="A4081" s="23" t="str">
        <f>HYPERLINK("https://www.spark-marketing.ru/Card/Person/4371011", "МАОУ ""ЯРКОВСКАЯ СОШ""")</f>
        <v>МАОУ "ЯРКОВСКАЯ СОШ"</v>
      </c>
      <c r="B4081" s="24" t="s">
        <v>2637</v>
      </c>
      <c r="C4081" s="25">
        <v>1121566.5</v>
      </c>
      <c r="D4081" s="22" t="s">
        <v>6691</v>
      </c>
      <c r="E4081" s="22" t="s">
        <v>362</v>
      </c>
      <c r="F4081" s="23" t="str">
        <f>HYPERLINK("https://www.spark-marketing.ru/Card/Lot/73249701", "Оказание услуг по организации горячего питания учащихся.")</f>
        <v>Оказание услуг по организации горячего питания учащихся.</v>
      </c>
      <c r="G4081" s="22" t="s">
        <v>766</v>
      </c>
      <c r="H4081" s="22" t="s">
        <v>766</v>
      </c>
      <c r="I4081" s="26">
        <v>43713</v>
      </c>
      <c r="J4081" s="28" t="s">
        <v>51</v>
      </c>
      <c r="K4081" s="28" t="s">
        <v>51</v>
      </c>
      <c r="L4081" s="22" t="s">
        <v>10</v>
      </c>
      <c r="M4081" s="25">
        <v>1121566.5</v>
      </c>
      <c r="N4081" s="27">
        <v>0</v>
      </c>
    </row>
    <row r="4082" spans="1:14" x14ac:dyDescent="0.15">
      <c r="A4082" s="23" t="str">
        <f>HYPERLINK("https://www.spark-marketing.ru/Card/Person/739235", "ОТДЕЛ МВД РФ ПО ЗАИГРАЕВСКОМУ РАЙОНУ")</f>
        <v>ОТДЕЛ МВД РФ ПО ЗАИГРАЕВСКОМУ РАЙОНУ</v>
      </c>
      <c r="B4082" s="24" t="s">
        <v>6692</v>
      </c>
      <c r="C4082" s="25">
        <v>1031723.6</v>
      </c>
      <c r="D4082" s="22" t="s">
        <v>6693</v>
      </c>
      <c r="E4082" s="22" t="s">
        <v>96</v>
      </c>
      <c r="F4082" s="23" t="str">
        <f>HYPERLINK("https://www.spark-marketing.ru/Card/Lot/73235544", "услуги по обеспечению горячим трехразовым питанием лиц, подозреваемых и обвиняемых в совершении преступлений, лиц арестованных в административном порядке, содержащихся в ИВС и лиц задержанных на срок более 3х часов")</f>
        <v>услуги по обеспечению горячим трехразовым питанием лиц, подозреваемых и обвиняемых в совершении преступлений, лиц арестованных в административном порядке, содержащихся в ИВС и лиц задержанных на срок более 3х часов</v>
      </c>
      <c r="G4082" s="22" t="s">
        <v>433</v>
      </c>
      <c r="H4082" s="22" t="s">
        <v>6694</v>
      </c>
      <c r="I4082" s="26">
        <v>43712.920833333301</v>
      </c>
      <c r="J4082" s="23" t="str">
        <f>HYPERLINK("https://www.spark-marketing.ru/Card/Person/214151", "ПО ""УТБ БКС""")</f>
        <v>ПО "УТБ БКС"</v>
      </c>
      <c r="K4082" s="24" t="s">
        <v>6695</v>
      </c>
      <c r="L4082" s="22" t="s">
        <v>10</v>
      </c>
      <c r="M4082" s="28" t="s">
        <v>51</v>
      </c>
      <c r="N4082" s="28" t="s">
        <v>51</v>
      </c>
    </row>
    <row r="4083" spans="1:14" x14ac:dyDescent="0.15">
      <c r="A4083" s="23" t="str">
        <f>HYPERLINK("https://www.spark-marketing.ru/Card/Person/4346063", "ГБОУ ДПО ЦПВШС")</f>
        <v>ГБОУ ДПО ЦПВШС</v>
      </c>
      <c r="B4083" s="24" t="s">
        <v>1092</v>
      </c>
      <c r="C4083" s="25">
        <v>717200.4</v>
      </c>
      <c r="D4083" s="22" t="s">
        <v>6696</v>
      </c>
      <c r="E4083" s="22" t="s">
        <v>603</v>
      </c>
      <c r="F4083" s="23" t="str">
        <f>HYPERLINK("https://www.spark-marketing.ru/Card/Lot/73237108", "Оказание услуг по проведению санитарно-эпидемиологической экспертизы продуктов питания и бутилированной питьевой воды.")</f>
        <v>Оказание услуг по проведению санитарно-эпидемиологической экспертизы продуктов питания и бутилированной питьевой воды.</v>
      </c>
      <c r="G4083" s="22" t="s">
        <v>56</v>
      </c>
      <c r="H4083" s="22" t="s">
        <v>56</v>
      </c>
      <c r="I4083" s="26">
        <v>43712.810416666704</v>
      </c>
      <c r="J4083" s="28" t="s">
        <v>51</v>
      </c>
      <c r="K4083" s="28" t="s">
        <v>51</v>
      </c>
      <c r="L4083" s="28" t="s">
        <v>51</v>
      </c>
      <c r="M4083" s="28" t="s">
        <v>51</v>
      </c>
      <c r="N4083" s="28" t="s">
        <v>51</v>
      </c>
    </row>
    <row r="4084" spans="1:14" x14ac:dyDescent="0.15">
      <c r="A4084" s="23" t="str">
        <f>HYPERLINK("https://www.spark-marketing.ru/Card/Person/18481", "ФГУП ""РОСРАО""")</f>
        <v>ФГУП "РОСРАО"</v>
      </c>
      <c r="B4084" s="24" t="s">
        <v>2882</v>
      </c>
      <c r="C4084" s="25">
        <v>299800</v>
      </c>
      <c r="D4084" s="22" t="s">
        <v>6697</v>
      </c>
      <c r="E4084" s="22" t="s">
        <v>48</v>
      </c>
      <c r="F4084" s="23" t="str">
        <f>HYPERLINK("https://www.spark-marketing.ru/Card/Lot/73231947",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4084" s="22" t="s">
        <v>162</v>
      </c>
      <c r="H4084" s="22" t="s">
        <v>1620</v>
      </c>
      <c r="I4084" s="26">
        <v>43712.710046296299</v>
      </c>
      <c r="J4084" s="28" t="s">
        <v>51</v>
      </c>
      <c r="K4084" s="28" t="s">
        <v>51</v>
      </c>
      <c r="L4084" s="28" t="s">
        <v>51</v>
      </c>
      <c r="M4084" s="28" t="s">
        <v>51</v>
      </c>
      <c r="N4084" s="28" t="s">
        <v>51</v>
      </c>
    </row>
    <row r="4085" spans="1:14" x14ac:dyDescent="0.15">
      <c r="A4085" s="23" t="str">
        <f>HYPERLINK("https://www.spark-marketing.ru/Card/Person/123686", "МДОУ ДСКВ № 14 ""ЖУРАВУШКА""")</f>
        <v>МДОУ ДСКВ № 14 "ЖУРАВУШКА"</v>
      </c>
      <c r="B4085" s="24" t="s">
        <v>734</v>
      </c>
      <c r="C4085" s="25">
        <v>414726</v>
      </c>
      <c r="D4085" s="22" t="s">
        <v>6698</v>
      </c>
      <c r="E4085" s="22" t="s">
        <v>48</v>
      </c>
      <c r="F4085" s="23" t="str">
        <f>HYPERLINK("https://www.spark-marketing.ru/Card/Lot/73235099", "Оказание услуг по приготовлению и организации горячего питания воспитанников МДОУ ДСКВ №14 ""Журавушка""")</f>
        <v>Оказание услуг по приготовлению и организации горячего питания воспитанников МДОУ ДСКВ №14 "Журавушка"</v>
      </c>
      <c r="G4085" s="22" t="s">
        <v>49</v>
      </c>
      <c r="H4085" s="22" t="s">
        <v>49</v>
      </c>
      <c r="I4085" s="26">
        <v>43712.729166666701</v>
      </c>
      <c r="J4085" s="28" t="s">
        <v>51</v>
      </c>
      <c r="K4085" s="28" t="s">
        <v>51</v>
      </c>
      <c r="L4085" s="28" t="s">
        <v>51</v>
      </c>
      <c r="M4085" s="28" t="s">
        <v>51</v>
      </c>
      <c r="N4085" s="28" t="s">
        <v>51</v>
      </c>
    </row>
    <row r="4086" spans="1:14" hidden="1" outlineLevel="1" x14ac:dyDescent="0.15">
      <c r="A4086" s="23" t="str">
        <f>HYPERLINK("https://www.spark-marketing.ru/Card/Person/123686", "МДОУ ДСКВ № 14 ""ЖУРАВУШКА""")</f>
        <v>МДОУ ДСКВ № 14 "ЖУРАВУШКА"</v>
      </c>
      <c r="B4086" s="24" t="s">
        <v>734</v>
      </c>
      <c r="C4086" s="25">
        <v>414726</v>
      </c>
      <c r="D4086" s="22" t="s">
        <v>6698</v>
      </c>
      <c r="E4086" s="22" t="s">
        <v>48</v>
      </c>
      <c r="F4086" s="23" t="str">
        <f>HYPERLINK("https://www.spark-marketing.ru/Card/Lot/73235099", "Оказание услуг по приготовлению и организации горячего питания воспитанников МДОУ ДСКВ №14 ""Журавушка""")</f>
        <v>Оказание услуг по приготовлению и организации горячего питания воспитанников МДОУ ДСКВ №14 "Журавушка"</v>
      </c>
      <c r="G4086" s="22" t="s">
        <v>49</v>
      </c>
      <c r="H4086" s="22" t="s">
        <v>49</v>
      </c>
      <c r="I4086" s="26">
        <v>43712.729166666701</v>
      </c>
      <c r="J4086" s="23" t="str">
        <f>HYPERLINK("https://www.spark-marketing.ru/Card/Person/31262", "ООО ""АЛЬЯНС""")</f>
        <v>ООО "АЛЬЯНС"</v>
      </c>
      <c r="K4086" s="24" t="s">
        <v>1718</v>
      </c>
      <c r="L4086" s="28" t="s">
        <v>51</v>
      </c>
      <c r="M4086" s="28" t="s">
        <v>51</v>
      </c>
      <c r="N4086" s="28" t="s">
        <v>51</v>
      </c>
    </row>
    <row r="4087" spans="1:14" ht="12.75" hidden="1" outlineLevel="1" x14ac:dyDescent="0.2">
      <c r="A4087" s="23" t="str">
        <f>HYPERLINK("https://www.spark-marketing.ru/Card/Person/123686", "МДОУ ДСКВ № 14 ""ЖУРАВУШКА""")</f>
        <v>МДОУ ДСКВ № 14 "ЖУРАВУШКА"</v>
      </c>
      <c r="B4087" s="24" t="s">
        <v>734</v>
      </c>
      <c r="C4087" s="25">
        <v>414726</v>
      </c>
      <c r="D4087" s="22" t="s">
        <v>6698</v>
      </c>
      <c r="E4087" s="22" t="s">
        <v>48</v>
      </c>
      <c r="F4087" s="23" t="str">
        <f>HYPERLINK("https://www.spark-marketing.ru/Card/Lot/73235099", "Оказание услуг по приготовлению и организации горячего питания воспитанников МДОУ ДСКВ №14 ""Журавушка""")</f>
        <v>Оказание услуг по приготовлению и организации горячего питания воспитанников МДОУ ДСКВ №14 "Журавушка"</v>
      </c>
      <c r="G4087" s="22" t="s">
        <v>49</v>
      </c>
      <c r="H4087" s="22" t="s">
        <v>49</v>
      </c>
      <c r="I4087" s="26">
        <v>43712.729166666701</v>
      </c>
      <c r="J4087" s="23" t="str">
        <f>HYPERLINK("https://www.spark-marketing.ru/Card/Person/75516", "ООО ""КОНЦЕПТ""")</f>
        <v>ООО "КОНЦЕПТ"</v>
      </c>
      <c r="K4087" s="24" t="s">
        <v>1717</v>
      </c>
      <c r="L4087" s="22" t="s">
        <v>10</v>
      </c>
      <c r="M4087" s="25">
        <v>414726</v>
      </c>
      <c r="N4087" s="27">
        <v>0</v>
      </c>
    </row>
    <row r="4088" spans="1:14" x14ac:dyDescent="0.15">
      <c r="A4088" s="23" t="str">
        <f>HYPERLINK("https://www.spark-marketing.ru/Card/Person/66525", "ФГБУ ЦР МИНЗДРАВА РОССИИ")</f>
        <v>ФГБУ ЦР МИНЗДРАВА РОССИИ</v>
      </c>
      <c r="B4088" s="24" t="s">
        <v>3004</v>
      </c>
      <c r="C4088" s="25">
        <v>3071361</v>
      </c>
      <c r="D4088" s="22" t="s">
        <v>6699</v>
      </c>
      <c r="E4088" s="22" t="s">
        <v>48</v>
      </c>
      <c r="F4088" s="23" t="str">
        <f>HYPERLINK("https://www.spark-marketing.ru/Card/Lot/73235410", "Поставка продуктов питания")</f>
        <v>Поставка продуктов питания</v>
      </c>
      <c r="G4088" s="22" t="s">
        <v>56</v>
      </c>
      <c r="H4088" s="22" t="s">
        <v>56</v>
      </c>
      <c r="I4088" s="26">
        <v>43712.743750000001</v>
      </c>
      <c r="J4088" s="23" t="str">
        <f>HYPERLINK("https://www.spark-marketing.ru/Card/Person/79005", "ООО ""АЛЬФАТРЕЙД""")</f>
        <v>ООО "АЛЬФАТРЕЙД"</v>
      </c>
      <c r="K4088" s="24" t="s">
        <v>3006</v>
      </c>
      <c r="L4088" s="22" t="s">
        <v>10</v>
      </c>
      <c r="M4088" s="28" t="s">
        <v>51</v>
      </c>
      <c r="N4088" s="28" t="s">
        <v>51</v>
      </c>
    </row>
    <row r="4089" spans="1:14" x14ac:dyDescent="0.15">
      <c r="A4089" s="23" t="str">
        <f>HYPERLINK("https://www.spark-marketing.ru/Card/Person/21039", "ФКУ ""ЦХИСО ГУ МВД РОССИИ ПО САРАТОВСКОЙ ОБЛАСТИ""")</f>
        <v>ФКУ "ЦХИСО ГУ МВД РОССИИ ПО САРАТОВСКОЙ ОБЛАСТИ"</v>
      </c>
      <c r="B4089" s="24" t="s">
        <v>1991</v>
      </c>
      <c r="C4089" s="25">
        <v>278880</v>
      </c>
      <c r="D4089" s="22" t="s">
        <v>6700</v>
      </c>
      <c r="E4089" s="22" t="s">
        <v>48</v>
      </c>
      <c r="F4089" s="23" t="str">
        <f>HYPERLINK("https://www.spark-marketing.ru/Card/Lot/73231561", "Услуги общественного питания, 1 усл. ед")</f>
        <v>Услуги общественного питания, 1 усл. ед</v>
      </c>
      <c r="G4089" s="22" t="s">
        <v>351</v>
      </c>
      <c r="H4089" s="22" t="s">
        <v>2983</v>
      </c>
      <c r="I4089" s="26">
        <v>43712.686388888898</v>
      </c>
      <c r="J4089" s="28" t="s">
        <v>51</v>
      </c>
      <c r="K4089" s="28" t="s">
        <v>51</v>
      </c>
      <c r="L4089" s="28" t="s">
        <v>51</v>
      </c>
      <c r="M4089" s="28" t="s">
        <v>51</v>
      </c>
      <c r="N4089" s="28" t="s">
        <v>51</v>
      </c>
    </row>
    <row r="4090" spans="1:14" x14ac:dyDescent="0.15">
      <c r="A4090" s="23" t="str">
        <f>HYPERLINK("https://www.spark-marketing.ru/Card/Person/80341", "МУ МВД РОССИИ ""СЫЗРАНСКОЕ""")</f>
        <v>МУ МВД РОССИИ "СЫЗРАНСКОЕ"</v>
      </c>
      <c r="B4090" s="24" t="s">
        <v>306</v>
      </c>
      <c r="C4090" s="25">
        <v>176902.1</v>
      </c>
      <c r="D4090" s="22" t="s">
        <v>6701</v>
      </c>
      <c r="E4090" s="22" t="s">
        <v>48</v>
      </c>
      <c r="F4090" s="23" t="str">
        <f>HYPERLINK("https://www.spark-marketing.ru/Card/Lot/73230829", "Оказание услуг по изготовлению и поставке горячего питания для лиц, содержащихся в ИВС МУ МВД России ""Сызранское""")</f>
        <v>Оказание услуг по изготовлению и поставке горячего питания для лиц, содержащихся в ИВС МУ МВД России "Сызранское"</v>
      </c>
      <c r="G4090" s="22" t="s">
        <v>128</v>
      </c>
      <c r="H4090" s="22" t="s">
        <v>308</v>
      </c>
      <c r="I4090" s="26">
        <v>43712.666666666701</v>
      </c>
      <c r="J4090" s="28" t="s">
        <v>51</v>
      </c>
      <c r="K4090" s="28" t="s">
        <v>51</v>
      </c>
      <c r="L4090" s="28" t="s">
        <v>51</v>
      </c>
      <c r="M4090" s="28" t="s">
        <v>51</v>
      </c>
      <c r="N4090" s="28" t="s">
        <v>51</v>
      </c>
    </row>
    <row r="4091" spans="1:14" hidden="1" outlineLevel="1" x14ac:dyDescent="0.2">
      <c r="A4091" s="23" t="str">
        <f>HYPERLINK("https://www.spark-marketing.ru/Card/Person/80341", "МУ МВД РОССИИ ""СЫЗРАНСКОЕ""")</f>
        <v>МУ МВД РОССИИ "СЫЗРАНСКОЕ"</v>
      </c>
      <c r="B4091" s="24" t="s">
        <v>306</v>
      </c>
      <c r="C4091" s="25">
        <v>176902.1</v>
      </c>
      <c r="D4091" s="22" t="s">
        <v>6701</v>
      </c>
      <c r="E4091" s="22" t="s">
        <v>48</v>
      </c>
      <c r="F4091" s="23" t="str">
        <f>HYPERLINK("https://www.spark-marketing.ru/Card/Lot/73230829", "Оказание услуг по изготовлению и поставке горячего питания для лиц, содержащихся в ИВС МУ МВД России ""Сызранское""")</f>
        <v>Оказание услуг по изготовлению и поставке горячего питания для лиц, содержащихся в ИВС МУ МВД России "Сызранское"</v>
      </c>
      <c r="G4091" s="22" t="s">
        <v>128</v>
      </c>
      <c r="H4091" s="22" t="s">
        <v>308</v>
      </c>
      <c r="I4091" s="26">
        <v>43712.666666666701</v>
      </c>
      <c r="J4091" s="23" t="str">
        <f>HYPERLINK("https://www.spark-marketing.ru/Card/Person/2044050", "ООО ""22 АМБАР""")</f>
        <v>ООО "22 АМБАР"</v>
      </c>
      <c r="K4091" s="24" t="s">
        <v>6702</v>
      </c>
      <c r="L4091" s="28" t="s">
        <v>51</v>
      </c>
      <c r="M4091" s="25">
        <v>93758.080000000002</v>
      </c>
      <c r="N4091" s="27">
        <v>0.47000018654385672</v>
      </c>
    </row>
    <row r="4092" spans="1:14" ht="12.75" hidden="1" outlineLevel="1" x14ac:dyDescent="0.2">
      <c r="A4092" s="23" t="str">
        <f>HYPERLINK("https://www.spark-marketing.ru/Card/Person/80341", "МУ МВД РОССИИ ""СЫЗРАНСКОЕ""")</f>
        <v>МУ МВД РОССИИ "СЫЗРАНСКОЕ"</v>
      </c>
      <c r="B4092" s="24" t="s">
        <v>306</v>
      </c>
      <c r="C4092" s="25">
        <v>176902.1</v>
      </c>
      <c r="D4092" s="22" t="s">
        <v>6701</v>
      </c>
      <c r="E4092" s="22" t="s">
        <v>48</v>
      </c>
      <c r="F4092" s="23" t="str">
        <f>HYPERLINK("https://www.spark-marketing.ru/Card/Lot/73230829", "Оказание услуг по изготовлению и поставке горячего питания для лиц, содержащихся в ИВС МУ МВД России ""Сызранское""")</f>
        <v>Оказание услуг по изготовлению и поставке горячего питания для лиц, содержащихся в ИВС МУ МВД России "Сызранское"</v>
      </c>
      <c r="G4092" s="22" t="s">
        <v>128</v>
      </c>
      <c r="H4092" s="22" t="s">
        <v>308</v>
      </c>
      <c r="I4092" s="26">
        <v>43712.666666666701</v>
      </c>
      <c r="J4092" s="23" t="str">
        <f>HYPERLINK("https://www.spark-marketing.ru/Card/Person/2544469", "ООО ""ЛДМ ГРУПП""")</f>
        <v>ООО "ЛДМ ГРУПП"</v>
      </c>
      <c r="K4092" s="24" t="s">
        <v>6703</v>
      </c>
      <c r="L4092" s="22" t="s">
        <v>10</v>
      </c>
      <c r="M4092" s="25">
        <v>92873.57</v>
      </c>
      <c r="N4092" s="27">
        <v>0.47500018371743469</v>
      </c>
    </row>
    <row r="4093" spans="1:14" x14ac:dyDescent="0.15">
      <c r="A4093" s="23" t="str">
        <f>HYPERLINK("https://www.spark-marketing.ru/Card/Person/397646", "ООО ""РН - СТАВРОПОЛЬНЕФТЕГАЗ""")</f>
        <v>ООО "РН - СТАВРОПОЛЬНЕФТЕГАЗ"</v>
      </c>
      <c r="B4093" s="24" t="s">
        <v>858</v>
      </c>
      <c r="C4093" s="28" t="s">
        <v>51</v>
      </c>
      <c r="D4093" s="22" t="s">
        <v>6704</v>
      </c>
      <c r="E4093" s="22" t="s">
        <v>362</v>
      </c>
      <c r="F4093" s="23" t="str">
        <f>HYPERLINK("https://www.spark-marketing.ru/Card/Lot/73992031", "ООО ""РН-Ставропольнефтегаз""")</f>
        <v>ООО "РН-Ставропольнефтегаз"</v>
      </c>
      <c r="G4093" s="22" t="s">
        <v>87</v>
      </c>
      <c r="H4093" s="22" t="s">
        <v>861</v>
      </c>
      <c r="I4093" s="26">
        <v>43712.688888888901</v>
      </c>
      <c r="J4093" s="28" t="s">
        <v>51</v>
      </c>
      <c r="K4093" s="28" t="s">
        <v>51</v>
      </c>
      <c r="L4093" s="28" t="s">
        <v>51</v>
      </c>
      <c r="M4093" s="28" t="s">
        <v>51</v>
      </c>
      <c r="N4093" s="28" t="s">
        <v>51</v>
      </c>
    </row>
    <row r="4094" spans="1:14" x14ac:dyDescent="0.15">
      <c r="A4094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4094" s="24" t="s">
        <v>6705</v>
      </c>
      <c r="C4094" s="25">
        <v>4155000</v>
      </c>
      <c r="D4094" s="22" t="s">
        <v>6706</v>
      </c>
      <c r="E4094" s="22" t="s">
        <v>48</v>
      </c>
      <c r="F4094" s="23" t="str">
        <f>HYPERLINK("https://www.spark-marketing.ru/Card/Lot/73235478", "Оказание услуг по обеспечению трехразовым питанием (горячим) лиц, содержащихся в изоляторе временного содержания подозреваемых и обвиняемых (2021)")</f>
        <v>Оказание услуг по обеспечению трехразовым питанием (горячим) лиц, содержащихся в изоляторе временного содержания подозреваемых и обвиняемых (2021)</v>
      </c>
      <c r="G4094" s="22" t="s">
        <v>104</v>
      </c>
      <c r="H4094" s="22" t="s">
        <v>1689</v>
      </c>
      <c r="I4094" s="26">
        <v>43712.691666666702</v>
      </c>
      <c r="J4094" s="23" t="str">
        <f>HYPERLINK("https://www.spark-marketing.ru/Card/Person/6623914", "ООО ""ПРОФИСТАР""")</f>
        <v>ООО "ПРОФИСТАР"</v>
      </c>
      <c r="K4094" s="24" t="s">
        <v>6707</v>
      </c>
      <c r="L4094" s="22" t="s">
        <v>10</v>
      </c>
      <c r="M4094" s="28" t="s">
        <v>51</v>
      </c>
      <c r="N4094" s="28" t="s">
        <v>51</v>
      </c>
    </row>
    <row r="4095" spans="1:14" x14ac:dyDescent="0.15">
      <c r="A4095" s="23" t="str">
        <f>HYPERLINK("https://www.spark-marketing.ru/Card/Person/1002713", "ГБПОУ НСО ""ИСКИТИМСКИЙ ЦЕНТР ПРОФЕССИОНАЛЬНОГО ОБУЧЕНИЯ""")</f>
        <v>ГБПОУ НСО "ИСКИТИМСКИЙ ЦЕНТР ПРОФЕССИОНАЛЬНОГО ОБУЧЕНИЯ"</v>
      </c>
      <c r="B4095" s="24" t="s">
        <v>6708</v>
      </c>
      <c r="C4095" s="25">
        <v>64856</v>
      </c>
      <c r="D4095" s="22" t="s">
        <v>6709</v>
      </c>
      <c r="E4095" s="22" t="s">
        <v>48</v>
      </c>
      <c r="F4095" s="23" t="str">
        <f>HYPERLINK("https://www.spark-marketing.ru/Card/Lot/73227199", "Оказание услуг по организации пятиразового питания для учащихся ГБПОУ НСО «Искитимский центр профессионального обучения» из числа детей сирот оставшихся без попечения родителей")</f>
        <v>Оказание услуг по организации пятиразового питания для учащихся ГБПОУ НСО «Искитимский центр профессионального обучения» из числа детей сирот оставшихся без попечения родителей</v>
      </c>
      <c r="G4095" s="22" t="s">
        <v>195</v>
      </c>
      <c r="H4095" s="22" t="s">
        <v>6710</v>
      </c>
      <c r="I4095" s="26">
        <v>43712.702777777798</v>
      </c>
      <c r="J4095" s="23" t="str">
        <f>HYPERLINK("https://www.spark-marketing.ru/Card/Person/5906461", "ООО ""ТРАНС-ПИТ""")</f>
        <v>ООО "ТРАНС-ПИТ"</v>
      </c>
      <c r="K4095" s="24" t="s">
        <v>6711</v>
      </c>
      <c r="L4095" s="22" t="s">
        <v>10</v>
      </c>
      <c r="M4095" s="28" t="s">
        <v>51</v>
      </c>
      <c r="N4095" s="28" t="s">
        <v>51</v>
      </c>
    </row>
    <row r="4096" spans="1:14" x14ac:dyDescent="0.15">
      <c r="A4096" s="23" t="str">
        <f>HYPERLINK("https://www.spark-marketing.ru/Card/Person/21039", "ФКУ ""ЦХИСО ГУ МВД РОССИИ ПО САРАТОВСКОЙ ОБЛАСТИ""")</f>
        <v>ФКУ "ЦХИСО ГУ МВД РОССИИ ПО САРАТОВСКОЙ ОБЛАСТИ"</v>
      </c>
      <c r="B4096" s="24" t="s">
        <v>1991</v>
      </c>
      <c r="C4096" s="25">
        <v>278880</v>
      </c>
      <c r="D4096" s="22" t="s">
        <v>6712</v>
      </c>
      <c r="E4096" s="22" t="s">
        <v>48</v>
      </c>
      <c r="F4096" s="23" t="str">
        <f>HYPERLINK("https://www.spark-marketing.ru/Card/Lot/73231204", "Услуги общественного питания, 1 усл. ед")</f>
        <v>Услуги общественного питания, 1 усл. ед</v>
      </c>
      <c r="G4096" s="22" t="s">
        <v>351</v>
      </c>
      <c r="H4096" s="22" t="s">
        <v>2983</v>
      </c>
      <c r="I4096" s="26">
        <v>43712.6938310185</v>
      </c>
      <c r="J4096" s="28" t="s">
        <v>51</v>
      </c>
      <c r="K4096" s="28" t="s">
        <v>51</v>
      </c>
      <c r="L4096" s="28" t="s">
        <v>51</v>
      </c>
      <c r="M4096" s="28" t="s">
        <v>51</v>
      </c>
      <c r="N4096" s="28" t="s">
        <v>51</v>
      </c>
    </row>
    <row r="4097" spans="1:14" x14ac:dyDescent="0.15">
      <c r="A4097" s="23" t="str">
        <f>HYPERLINK("https://www.spark-marketing.ru/Card/Person/1002713", "ГБПОУ НСО ""ИСКИТИМСКИЙ ЦЕНТР ПРОФЕССИОНАЛЬНОГО ОБУЧЕНИЯ""")</f>
        <v>ГБПОУ НСО "ИСКИТИМСКИЙ ЦЕНТР ПРОФЕССИОНАЛЬНОГО ОБУЧЕНИЯ"</v>
      </c>
      <c r="B4097" s="24" t="s">
        <v>6708</v>
      </c>
      <c r="C4097" s="25">
        <v>410048</v>
      </c>
      <c r="D4097" s="22" t="s">
        <v>6713</v>
      </c>
      <c r="E4097" s="22" t="s">
        <v>48</v>
      </c>
      <c r="F4097" s="23" t="str">
        <f>HYPERLINK("https://www.spark-marketing.ru/Card/Lot/73228584", "Оказание услуг по организации двухразового питания учащихся ГБПОУ НСО «Искитимский центр профессионального обучения» из числа детей с ограниченными возможностями здоровья, а так же детей из многодетных и малообеспеченных семей")</f>
        <v>Оказание услуг по организации двухразового питания учащихся ГБПОУ НСО «Искитимский центр профессионального обучения» из числа детей с ограниченными возможностями здоровья, а так же детей из многодетных и малообеспеченных семей</v>
      </c>
      <c r="G4097" s="22" t="s">
        <v>195</v>
      </c>
      <c r="H4097" s="22" t="s">
        <v>6710</v>
      </c>
      <c r="I4097" s="26">
        <v>43712.704166666699</v>
      </c>
      <c r="J4097" s="23" t="str">
        <f>HYPERLINK("https://www.spark-marketing.ru/Card/Person/5906461", "ООО ""ТРАНС-ПИТ""")</f>
        <v>ООО "ТРАНС-ПИТ"</v>
      </c>
      <c r="K4097" s="24" t="s">
        <v>6711</v>
      </c>
      <c r="L4097" s="22" t="s">
        <v>10</v>
      </c>
      <c r="M4097" s="28" t="s">
        <v>51</v>
      </c>
      <c r="N4097" s="28" t="s">
        <v>51</v>
      </c>
    </row>
    <row r="4098" spans="1:14" x14ac:dyDescent="0.15">
      <c r="A4098" s="23" t="str">
        <f>HYPERLINK("https://www.spark-marketing.ru/Card/Person/153110", "ОТДЕЛЕНИЕ МВД РОССИИ ПО СЕВЕРО-ЕНИСЕЙСКОМУ РАЙОНУ")</f>
        <v>ОТДЕЛЕНИЕ МВД РОССИИ ПО СЕВЕРО-ЕНИСЕЙСКОМУ РАЙОНУ</v>
      </c>
      <c r="B4098" s="24" t="s">
        <v>6714</v>
      </c>
      <c r="C4098" s="25">
        <v>300000</v>
      </c>
      <c r="D4098" s="22" t="s">
        <v>6715</v>
      </c>
      <c r="E4098" s="22" t="s">
        <v>48</v>
      </c>
      <c r="F4098" s="23" t="str">
        <f>HYPERLINK("https://www.spark-marketing.ru/Card/Lot/73227866", "Услуги по организации горячего питания в ИВС")</f>
        <v>Услуги по организации горячего питания в ИВС</v>
      </c>
      <c r="G4098" s="22" t="s">
        <v>281</v>
      </c>
      <c r="H4098" s="22" t="s">
        <v>6716</v>
      </c>
      <c r="I4098" s="26">
        <v>43712.686111111099</v>
      </c>
      <c r="J4098" s="28" t="s">
        <v>51</v>
      </c>
      <c r="K4098" s="28" t="s">
        <v>51</v>
      </c>
      <c r="L4098" s="28" t="s">
        <v>51</v>
      </c>
      <c r="M4098" s="28" t="s">
        <v>51</v>
      </c>
      <c r="N4098" s="28" t="s">
        <v>51</v>
      </c>
    </row>
    <row r="4099" spans="1:14" x14ac:dyDescent="0.15">
      <c r="A4099" s="23" t="str">
        <f>HYPERLINK("https://www.spark-marketing.ru/Card/Person/21039", "ФКУ ""ЦХИСО ГУ МВД РОССИИ ПО САРАТОВСКОЙ ОБЛАСТИ""")</f>
        <v>ФКУ "ЦХИСО ГУ МВД РОССИИ ПО САРАТОВСКОЙ ОБЛАСТИ"</v>
      </c>
      <c r="B4099" s="24" t="s">
        <v>1991</v>
      </c>
      <c r="C4099" s="25">
        <v>283528</v>
      </c>
      <c r="D4099" s="22" t="s">
        <v>6717</v>
      </c>
      <c r="E4099" s="22" t="s">
        <v>48</v>
      </c>
      <c r="F4099" s="23" t="str">
        <f>HYPERLINK("https://www.spark-marketing.ru/Card/Lot/73231763", "Услуги общественного питания, 1 усл. ед")</f>
        <v>Услуги общественного питания, 1 усл. ед</v>
      </c>
      <c r="G4099" s="22" t="s">
        <v>351</v>
      </c>
      <c r="H4099" s="22" t="s">
        <v>2983</v>
      </c>
      <c r="I4099" s="26">
        <v>43712.706215277802</v>
      </c>
      <c r="J4099" s="28" t="s">
        <v>51</v>
      </c>
      <c r="K4099" s="28" t="s">
        <v>51</v>
      </c>
      <c r="L4099" s="28" t="s">
        <v>51</v>
      </c>
      <c r="M4099" s="28" t="s">
        <v>51</v>
      </c>
      <c r="N4099" s="28" t="s">
        <v>51</v>
      </c>
    </row>
    <row r="4100" spans="1:14" x14ac:dyDescent="0.15">
      <c r="A4100" s="23" t="str">
        <f>HYPERLINK("https://www.spark-marketing.ru/Card/Person/1010515", "МБОУ СОШ № 8")</f>
        <v>МБОУ СОШ № 8</v>
      </c>
      <c r="B4100" s="24" t="s">
        <v>122</v>
      </c>
      <c r="C4100" s="25">
        <v>1861904</v>
      </c>
      <c r="D4100" s="22" t="s">
        <v>6718</v>
      </c>
      <c r="E4100" s="22" t="s">
        <v>48</v>
      </c>
      <c r="F4100" s="23" t="str">
        <f>HYPERLINK("https://www.spark-marketing.ru/Card/Lot/73233550", "Оказание услуг по обеспечению питанием обучающихся")</f>
        <v>Оказание услуг по обеспечению питанием обучающихся</v>
      </c>
      <c r="G4100" s="22" t="s">
        <v>97</v>
      </c>
      <c r="H4100" s="22" t="s">
        <v>1127</v>
      </c>
      <c r="I4100" s="26">
        <v>43712.7</v>
      </c>
      <c r="J4100" s="23" t="str">
        <f>HYPERLINK("https://www.spark-marketing.ru/Card/Person/930688", "УП ""КОМБИНАТ ОБЩЕСТВЕННОГО ПИТАНИЯ"" ГОРОДА РАДУЖНЫЙ")</f>
        <v>УП "КОМБИНАТ ОБЩЕСТВЕННОГО ПИТАНИЯ" ГОРОДА РАДУЖНЫЙ</v>
      </c>
      <c r="K4100" s="24" t="s">
        <v>1428</v>
      </c>
      <c r="L4100" s="22" t="s">
        <v>10</v>
      </c>
      <c r="M4100" s="28" t="s">
        <v>51</v>
      </c>
      <c r="N4100" s="28" t="s">
        <v>51</v>
      </c>
    </row>
    <row r="4101" spans="1:14" x14ac:dyDescent="0.15">
      <c r="A4101" s="23" t="str">
        <f>HYPERLINK("https://www.spark-marketing.ru/Card/Person/127033", "ОМВД РОССИИ ПО ГАВРИЛОВ-ЯМСКОМУ РАЙОНУ")</f>
        <v>ОМВД РОССИИ ПО ГАВРИЛОВ-ЯМСКОМУ РАЙОНУ</v>
      </c>
      <c r="B4101" s="24" t="s">
        <v>6719</v>
      </c>
      <c r="C4101" s="25">
        <v>700000</v>
      </c>
      <c r="D4101" s="22" t="s">
        <v>6720</v>
      </c>
      <c r="E4101" s="22" t="s">
        <v>48</v>
      </c>
      <c r="F4101" s="23" t="str">
        <f>HYPERLINK("https://www.spark-marketing.ru/Card/Lot/73234830", "обеспечение трехразовым питанием лиц, содержащихся в ивс")</f>
        <v>обеспечение трехразовым питанием лиц, содержащихся в ивс</v>
      </c>
      <c r="G4101" s="22" t="s">
        <v>185</v>
      </c>
      <c r="H4101" s="22" t="s">
        <v>6721</v>
      </c>
      <c r="I4101" s="26">
        <v>43712.699305555601</v>
      </c>
      <c r="J4101" s="28" t="s">
        <v>51</v>
      </c>
      <c r="K4101" s="28" t="s">
        <v>51</v>
      </c>
      <c r="L4101" s="28" t="s">
        <v>51</v>
      </c>
      <c r="M4101" s="28" t="s">
        <v>51</v>
      </c>
      <c r="N4101" s="28" t="s">
        <v>51</v>
      </c>
    </row>
    <row r="4102" spans="1:14" x14ac:dyDescent="0.15">
      <c r="A4102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4102" s="24" t="s">
        <v>6705</v>
      </c>
      <c r="C4102" s="25">
        <v>4155000</v>
      </c>
      <c r="D4102" s="22" t="s">
        <v>6722</v>
      </c>
      <c r="E4102" s="22" t="s">
        <v>48</v>
      </c>
      <c r="F4102" s="23" t="str">
        <f>HYPERLINK("https://www.spark-marketing.ru/Card/Lot/73235479", "Оказание услуг по обеспечению трехразовым питанием (горячим) лиц, содержащихся в изоляторе временного содержания подозреваемых и обвиняемых (2020)")</f>
        <v>Оказание услуг по обеспечению трехразовым питанием (горячим) лиц, содержащихся в изоляторе временного содержания подозреваемых и обвиняемых (2020)</v>
      </c>
      <c r="G4102" s="22" t="s">
        <v>104</v>
      </c>
      <c r="H4102" s="22" t="s">
        <v>1689</v>
      </c>
      <c r="I4102" s="26">
        <v>43712.691666666702</v>
      </c>
      <c r="J4102" s="28" t="s">
        <v>51</v>
      </c>
      <c r="K4102" s="28" t="s">
        <v>51</v>
      </c>
      <c r="L4102" s="28" t="s">
        <v>51</v>
      </c>
      <c r="M4102" s="28" t="s">
        <v>51</v>
      </c>
      <c r="N4102" s="28" t="s">
        <v>51</v>
      </c>
    </row>
    <row r="4103" spans="1:14" hidden="1" outlineLevel="1" x14ac:dyDescent="0.2">
      <c r="A4103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4103" s="24" t="s">
        <v>6705</v>
      </c>
      <c r="C4103" s="25">
        <v>4155000</v>
      </c>
      <c r="D4103" s="22" t="s">
        <v>6722</v>
      </c>
      <c r="E4103" s="22" t="s">
        <v>48</v>
      </c>
      <c r="F4103" s="23" t="str">
        <f>HYPERLINK("https://www.spark-marketing.ru/Card/Lot/73235479", "Оказание услуг по обеспечению трехразовым питанием (горячим) лиц, содержащихся в изоляторе временного содержания подозреваемых и обвиняемых (2020)")</f>
        <v>Оказание услуг по обеспечению трехразовым питанием (горячим) лиц, содержащихся в изоляторе временного содержания подозреваемых и обвиняемых (2020)</v>
      </c>
      <c r="G4103" s="22" t="s">
        <v>104</v>
      </c>
      <c r="H4103" s="22" t="s">
        <v>1689</v>
      </c>
      <c r="I4103" s="26">
        <v>43712.691666666702</v>
      </c>
      <c r="J4103" s="23" t="str">
        <f>HYPERLINK("https://www.spark-marketing.ru/Card/Person/6384277", "Сенченко Нина Владимировна")</f>
        <v>Сенченко Нина Владимировна</v>
      </c>
      <c r="K4103" s="24" t="s">
        <v>6723</v>
      </c>
      <c r="L4103" s="28" t="s">
        <v>51</v>
      </c>
      <c r="M4103" s="25">
        <v>4092675</v>
      </c>
      <c r="N4103" s="27">
        <v>1.4999999999999999E-2</v>
      </c>
    </row>
    <row r="4104" spans="1:14" ht="12.75" hidden="1" outlineLevel="1" x14ac:dyDescent="0.2">
      <c r="A4104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4104" s="24" t="s">
        <v>6705</v>
      </c>
      <c r="C4104" s="25">
        <v>4155000</v>
      </c>
      <c r="D4104" s="22" t="s">
        <v>6722</v>
      </c>
      <c r="E4104" s="22" t="s">
        <v>48</v>
      </c>
      <c r="F4104" s="23" t="str">
        <f>HYPERLINK("https://www.spark-marketing.ru/Card/Lot/73235479", "Оказание услуг по обеспечению трехразовым питанием (горячим) лиц, содержащихся в изоляторе временного содержания подозреваемых и обвиняемых (2020)")</f>
        <v>Оказание услуг по обеспечению трехразовым питанием (горячим) лиц, содержащихся в изоляторе временного содержания подозреваемых и обвиняемых (2020)</v>
      </c>
      <c r="G4104" s="22" t="s">
        <v>104</v>
      </c>
      <c r="H4104" s="22" t="s">
        <v>1689</v>
      </c>
      <c r="I4104" s="26">
        <v>43712.691666666702</v>
      </c>
      <c r="J4104" s="23" t="str">
        <f>HYPERLINK("https://www.spark-marketing.ru/Card/Person/6458315", "ООО ""СТАРТ""")</f>
        <v>ООО "СТАРТ"</v>
      </c>
      <c r="K4104" s="24" t="s">
        <v>6724</v>
      </c>
      <c r="L4104" s="22" t="s">
        <v>10</v>
      </c>
      <c r="M4104" s="25">
        <v>4071900</v>
      </c>
      <c r="N4104" s="27">
        <v>0.02</v>
      </c>
    </row>
    <row r="4105" spans="1:14" x14ac:dyDescent="0.15">
      <c r="A4105" s="23" t="str">
        <f>HYPERLINK("https://www.spark-marketing.ru/Card/Person/17114", "УМВД РОССИИ ПО КОСТРОМСКОЙ ОБЛАСТИ")</f>
        <v>УМВД РОССИИ ПО КОСТРОМСКОЙ ОБЛАСТИ</v>
      </c>
      <c r="B4105" s="24" t="s">
        <v>6725</v>
      </c>
      <c r="C4105" s="25">
        <v>300000</v>
      </c>
      <c r="D4105" s="22" t="s">
        <v>6726</v>
      </c>
      <c r="E4105" s="22" t="s">
        <v>48</v>
      </c>
      <c r="F4105" s="23" t="str">
        <f>HYPERLINK("https://www.spark-marketing.ru/Card/Lot/73234898", "Оказание услуг по обеспечению горячим питанием лиц, содержащихся в центре временного содержания для несовершеннолетних правонарушителей УМВД России по Костромской области")</f>
        <v>Оказание услуг по обеспечению горячим питанием лиц, содержащихся в центре временного содержания для несовершеннолетних правонарушителей УМВД России по Костромской области</v>
      </c>
      <c r="G4105" s="22" t="s">
        <v>292</v>
      </c>
      <c r="H4105" s="22" t="s">
        <v>292</v>
      </c>
      <c r="I4105" s="26">
        <v>43712.693055555603</v>
      </c>
      <c r="J4105" s="23" t="str">
        <f>HYPERLINK("https://www.spark-marketing.ru/Card/Person/6682764", "ОВЕЧКИНА ЕЛЕНА ВАЛЕНТИНОВНА")</f>
        <v>ОВЕЧКИНА ЕЛЕНА ВАЛЕНТИНОВНА</v>
      </c>
      <c r="K4105" s="24" t="s">
        <v>3510</v>
      </c>
      <c r="L4105" s="28" t="s">
        <v>51</v>
      </c>
      <c r="M4105" s="28" t="s">
        <v>51</v>
      </c>
      <c r="N4105" s="28" t="s">
        <v>51</v>
      </c>
    </row>
    <row r="4106" spans="1:14" ht="12.75" hidden="1" outlineLevel="1" x14ac:dyDescent="0.2">
      <c r="A4106" s="23" t="str">
        <f>HYPERLINK("https://www.spark-marketing.ru/Card/Person/17114", "УМВД РОССИИ ПО КОСТРОМСКОЙ ОБЛАСТИ")</f>
        <v>УМВД РОССИИ ПО КОСТРОМСКОЙ ОБЛАСТИ</v>
      </c>
      <c r="B4106" s="24" t="s">
        <v>6725</v>
      </c>
      <c r="C4106" s="25">
        <v>300000</v>
      </c>
      <c r="D4106" s="22" t="s">
        <v>6726</v>
      </c>
      <c r="E4106" s="22" t="s">
        <v>48</v>
      </c>
      <c r="F4106" s="23" t="str">
        <f>HYPERLINK("https://www.spark-marketing.ru/Card/Lot/73234898", "Оказание услуг по обеспечению горячим питанием лиц, содержащихся в центре временного содержания для несовершеннолетних правонарушителей УМВД России по Костромской области")</f>
        <v>Оказание услуг по обеспечению горячим питанием лиц, содержащихся в центре временного содержания для несовершеннолетних правонарушителей УМВД России по Костромской области</v>
      </c>
      <c r="G4106" s="22" t="s">
        <v>292</v>
      </c>
      <c r="H4106" s="22" t="s">
        <v>292</v>
      </c>
      <c r="I4106" s="26">
        <v>43712.693055555603</v>
      </c>
      <c r="J4106" s="23" t="str">
        <f>HYPERLINK("https://www.spark-marketing.ru/Card/Person/6682764", "ОВЕЧКИНА ЕЛЕНА ВАЛЕНТИНОВНА")</f>
        <v>ОВЕЧКИНА ЕЛЕНА ВАЛЕНТИНОВНА</v>
      </c>
      <c r="K4106" s="24" t="s">
        <v>3510</v>
      </c>
      <c r="L4106" s="22" t="s">
        <v>10</v>
      </c>
      <c r="M4106" s="25">
        <v>966.47</v>
      </c>
      <c r="N4106" s="27">
        <v>0.99677843333333338</v>
      </c>
    </row>
    <row r="4107" spans="1:14" x14ac:dyDescent="0.15">
      <c r="A4107" s="23" t="str">
        <f>HYPERLINK("https://www.spark-marketing.ru/Card/Person/1013025", "ФКУ ""ЦУКС ГУ МЧС РОССИИ ПО РЯЗАНСКОЙ ОБЛАСТИ""")</f>
        <v>ФКУ "ЦУКС ГУ МЧС РОССИИ ПО РЯЗАНСКОЙ ОБЛАСТИ"</v>
      </c>
      <c r="B4107" s="24" t="s">
        <v>4839</v>
      </c>
      <c r="C4107" s="25">
        <v>60000</v>
      </c>
      <c r="D4107" s="22" t="s">
        <v>6727</v>
      </c>
      <c r="E4107" s="22" t="s">
        <v>48</v>
      </c>
      <c r="F4107" s="23" t="str">
        <f>HYPERLINK("https://www.spark-marketing.ru/Card/Lot/73227630", "Услуги по обеспечению питанием, осуществляемые по договору, 150 усл. ед")</f>
        <v>Услуги по обеспечению питанием, осуществляемые по договору, 150 усл. ед</v>
      </c>
      <c r="G4107" s="22" t="s">
        <v>1522</v>
      </c>
      <c r="H4107" s="22" t="s">
        <v>1523</v>
      </c>
      <c r="I4107" s="26">
        <v>43712.631724537001</v>
      </c>
      <c r="J4107" s="28" t="s">
        <v>51</v>
      </c>
      <c r="K4107" s="28" t="s">
        <v>51</v>
      </c>
      <c r="L4107" s="28" t="s">
        <v>51</v>
      </c>
      <c r="M4107" s="28" t="s">
        <v>51</v>
      </c>
      <c r="N4107" s="28" t="s">
        <v>51</v>
      </c>
    </row>
    <row r="4108" spans="1:14" x14ac:dyDescent="0.15">
      <c r="A4108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4108" s="24" t="s">
        <v>6728</v>
      </c>
      <c r="C4108" s="25">
        <v>229927.55</v>
      </c>
      <c r="D4108" s="22" t="s">
        <v>6729</v>
      </c>
      <c r="E4108" s="22" t="s">
        <v>48</v>
      </c>
      <c r="F4108" s="23" t="str">
        <f>HYPERLINK("https://www.spark-marketing.ru/Card/Lot/73227767", "Услуги по обеспечению питанием, осуществляемые по договору, прочие (услуги по обеспечению 3-х разовым ежедневным горячим питанием лиц, содержащихся в изоляторе временного содержания подозреваемых и обвиняемых, и административно задержанных отдела МВД...")</f>
        <v>Услуги по обеспечению питанием, осуществляемые по договору, прочие (услуги по обеспечению 3-х разовым ежедневным горячим питанием лиц, содержащихся в изоляторе временного содержания подозреваемых и обвиняемых, и административно задержанных отдела МВД...</v>
      </c>
      <c r="G4108" s="22" t="s">
        <v>469</v>
      </c>
      <c r="H4108" s="22" t="s">
        <v>6730</v>
      </c>
      <c r="I4108" s="26">
        <v>43712.636111111096</v>
      </c>
      <c r="J4108" s="28" t="s">
        <v>51</v>
      </c>
      <c r="K4108" s="28" t="s">
        <v>51</v>
      </c>
      <c r="L4108" s="28" t="s">
        <v>51</v>
      </c>
      <c r="M4108" s="28" t="s">
        <v>51</v>
      </c>
      <c r="N4108" s="28" t="s">
        <v>51</v>
      </c>
    </row>
    <row r="4109" spans="1:14" x14ac:dyDescent="0.2">
      <c r="A4109" s="23" t="str">
        <f>HYPERLINK("https://www.spark-marketing.ru/Card/Person/17861", "СПБ ГБУЗ ""ГОРОДСКАЯ БОЛЬНИЦА № 40 """)</f>
        <v>СПБ ГБУЗ "ГОРОДСКАЯ БОЛЬНИЦА № 40 "</v>
      </c>
      <c r="B4109" s="24" t="s">
        <v>6731</v>
      </c>
      <c r="C4109" s="25">
        <v>20000000</v>
      </c>
      <c r="D4109" s="22" t="s">
        <v>6732</v>
      </c>
      <c r="E4109" s="22" t="s">
        <v>48</v>
      </c>
      <c r="F4109" s="23" t="str">
        <f>HYPERLINK("https://www.spark-marketing.ru/Card/Lot/73233858", "Оказание услуг по организации питания пациентов СПб ГБУЗ «Городская больница № 40» в 2019 году")</f>
        <v>Оказание услуг по организации питания пациентов СПб ГБУЗ «Городская больница № 40» в 2019 году</v>
      </c>
      <c r="G4109" s="22" t="s">
        <v>117</v>
      </c>
      <c r="H4109" s="22" t="s">
        <v>117</v>
      </c>
      <c r="I4109" s="26">
        <v>43712.665972222203</v>
      </c>
      <c r="J4109" s="23" t="str">
        <f>HYPERLINK("https://www.spark-marketing.ru/Card/Person/60670", "ОАО ""БЗУ""")</f>
        <v>ОАО "БЗУ"</v>
      </c>
      <c r="K4109" s="24" t="s">
        <v>6733</v>
      </c>
      <c r="L4109" s="28" t="s">
        <v>51</v>
      </c>
      <c r="M4109" s="25">
        <v>15258.65</v>
      </c>
      <c r="N4109" s="27">
        <v>0.99923706749999996</v>
      </c>
    </row>
    <row r="4110" spans="1:14" x14ac:dyDescent="0.15">
      <c r="A4110" s="23" t="str">
        <f>HYPERLINK("https://www.spark-marketing.ru/Card/Person/80341", "МУ МВД РОССИИ ""СЫЗРАНСКОЕ""")</f>
        <v>МУ МВД РОССИИ "СЫЗРАНСКОЕ"</v>
      </c>
      <c r="B4110" s="24" t="s">
        <v>306</v>
      </c>
      <c r="C4110" s="25">
        <v>176902.1</v>
      </c>
      <c r="D4110" s="22" t="s">
        <v>6734</v>
      </c>
      <c r="E4110" s="22" t="s">
        <v>48</v>
      </c>
      <c r="F4110" s="23" t="str">
        <f>HYPERLINK("https://www.spark-marketing.ru/Card/Lot/73230830", "Оказание услуг по изготовлению и поставке горячего питания для лиц, содержащихся в ИВС МУ МВД России ""Сызранское""")</f>
        <v>Оказание услуг по изготовлению и поставке горячего питания для лиц, содержащихся в ИВС МУ МВД России "Сызранское"</v>
      </c>
      <c r="G4110" s="22" t="s">
        <v>128</v>
      </c>
      <c r="H4110" s="22" t="s">
        <v>308</v>
      </c>
      <c r="I4110" s="26">
        <v>43712.6652777778</v>
      </c>
      <c r="J4110" s="23" t="str">
        <f>HYPERLINK("https://www.spark-marketing.ru/Card/Person/2044050", "ООО ""22 АМБАР""")</f>
        <v>ООО "22 АМБАР"</v>
      </c>
      <c r="K4110" s="24" t="s">
        <v>6702</v>
      </c>
      <c r="L4110" s="22" t="s">
        <v>10</v>
      </c>
      <c r="M4110" s="28" t="s">
        <v>51</v>
      </c>
      <c r="N4110" s="28" t="s">
        <v>51</v>
      </c>
    </row>
    <row r="4111" spans="1:14" x14ac:dyDescent="0.15">
      <c r="A4111" s="23" t="str">
        <f>HYPERLINK("https://www.spark-marketing.ru/Card/Person/8520", "УМВД РОССИИ ПО КУРГАНСКОЙ ОБЛАСТИ")</f>
        <v>УМВД РОССИИ ПО КУРГАНСКОЙ ОБЛАСТИ</v>
      </c>
      <c r="B4111" s="24" t="s">
        <v>3908</v>
      </c>
      <c r="C4111" s="25">
        <v>3650000</v>
      </c>
      <c r="D4111" s="22" t="s">
        <v>6735</v>
      </c>
      <c r="E4111" s="22" t="s">
        <v>96</v>
      </c>
      <c r="F4111" s="23" t="str">
        <f>HYPERLINK("https://www.spark-marketing.ru/Card/Lot/73233286", "Оказание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области.")</f>
        <v>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</v>
      </c>
      <c r="G4111" s="22" t="s">
        <v>1972</v>
      </c>
      <c r="H4111" s="22" t="s">
        <v>1972</v>
      </c>
      <c r="I4111" s="26">
        <v>43712.65625</v>
      </c>
      <c r="J4111" s="28" t="s">
        <v>51</v>
      </c>
      <c r="K4111" s="28" t="s">
        <v>51</v>
      </c>
      <c r="L4111" s="28" t="s">
        <v>51</v>
      </c>
      <c r="M4111" s="28" t="s">
        <v>51</v>
      </c>
      <c r="N4111" s="28" t="s">
        <v>51</v>
      </c>
    </row>
    <row r="4112" spans="1:14" hidden="1" outlineLevel="1" x14ac:dyDescent="0.2">
      <c r="A4112" s="23" t="str">
        <f>HYPERLINK("https://www.spark-marketing.ru/Card/Person/8520", "УМВД РОССИИ ПО КУРГАНСКОЙ ОБЛАСТИ")</f>
        <v>УМВД РОССИИ ПО КУРГАНСКОЙ ОБЛАСТИ</v>
      </c>
      <c r="B4112" s="24" t="s">
        <v>3908</v>
      </c>
      <c r="C4112" s="25">
        <v>3650000</v>
      </c>
      <c r="D4112" s="22" t="s">
        <v>6735</v>
      </c>
      <c r="E4112" s="22" t="s">
        <v>96</v>
      </c>
      <c r="F4112" s="23" t="str">
        <f>HYPERLINK("https://www.spark-marketing.ru/Card/Lot/73233286", "Оказание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области.")</f>
        <v>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</v>
      </c>
      <c r="G4112" s="22" t="s">
        <v>1972</v>
      </c>
      <c r="H4112" s="22" t="s">
        <v>1972</v>
      </c>
      <c r="I4112" s="26">
        <v>43712.65625</v>
      </c>
      <c r="J4112" s="23" t="str">
        <f>HYPERLINK("https://www.spark-marketing.ru/Card/Person/236230", "Черников Евгений Юрьевич")</f>
        <v>Черников Евгений Юрьевич</v>
      </c>
      <c r="K4112" s="24" t="s">
        <v>3910</v>
      </c>
      <c r="L4112" s="28" t="s">
        <v>51</v>
      </c>
      <c r="M4112" s="25">
        <v>549.98</v>
      </c>
      <c r="N4112" s="27">
        <v>0.99984932054794518</v>
      </c>
    </row>
    <row r="4113" spans="1:14" ht="12.75" hidden="1" outlineLevel="1" x14ac:dyDescent="0.2">
      <c r="A4113" s="23" t="str">
        <f>HYPERLINK("https://www.spark-marketing.ru/Card/Person/8520", "УМВД РОССИИ ПО КУРГАНСКОЙ ОБЛАСТИ")</f>
        <v>УМВД РОССИИ ПО КУРГАНСКОЙ ОБЛАСТИ</v>
      </c>
      <c r="B4113" s="24" t="s">
        <v>3908</v>
      </c>
      <c r="C4113" s="25">
        <v>3650000</v>
      </c>
      <c r="D4113" s="22" t="s">
        <v>6735</v>
      </c>
      <c r="E4113" s="22" t="s">
        <v>96</v>
      </c>
      <c r="F4113" s="23" t="str">
        <f>HYPERLINK("https://www.spark-marketing.ru/Card/Lot/73233286", "Оказание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области.")</f>
        <v>Оказание услуг по организации ежедневного горячего питания лиц, содержащихся в центре временного содержания иностранных граждан УМВД России по Курганской области.</v>
      </c>
      <c r="G4113" s="22" t="s">
        <v>1972</v>
      </c>
      <c r="H4113" s="22" t="s">
        <v>1972</v>
      </c>
      <c r="I4113" s="26">
        <v>43712.65625</v>
      </c>
      <c r="J4113" s="23" t="str">
        <f>HYPERLINK("https://www.spark-marketing.ru/Card/Person/394857", "Даурцева Нина Александровна")</f>
        <v>Даурцева Нина Александровна</v>
      </c>
      <c r="K4113" s="24" t="s">
        <v>1974</v>
      </c>
      <c r="L4113" s="22" t="s">
        <v>10</v>
      </c>
      <c r="M4113" s="25">
        <v>549.98</v>
      </c>
      <c r="N4113" s="27">
        <v>0.99984932054794518</v>
      </c>
    </row>
    <row r="4114" spans="1:14" x14ac:dyDescent="0.15">
      <c r="A4114" s="23" t="str">
        <f>HYPERLINK("https://www.spark-marketing.ru/Card/Person/246263", "ОТДЕЛ МВД РОССИИ ПО БОГОРОДСКОМУ РАЙОНУ")</f>
        <v>ОТДЕЛ МВД РОССИИ ПО БОГОРОДСКОМУ РАЙОНУ</v>
      </c>
      <c r="B4114" s="24" t="s">
        <v>6629</v>
      </c>
      <c r="C4114" s="25">
        <v>832175.08</v>
      </c>
      <c r="D4114" s="22" t="s">
        <v>6736</v>
      </c>
      <c r="E4114" s="22" t="s">
        <v>48</v>
      </c>
      <c r="F4114" s="23" t="str">
        <f>HYPERLINK("https://www.spark-marketing.ru/Card/Lot/73233587", "Услуги по ежедневному трехразовому горячему питанию лиц, подозреваемых либо обвиняемых в совершении преступлений, находящихся в изоляторе временного содержания и лиц, находящихся в специальном помещении , для задержанных лиц, задержанных в администра...")</f>
        <v>Услуги по ежедневному трехразовому горячему питанию лиц, подозреваемых либо обвиняемых в совершении преступлений, находящихся в изоляторе временного содержания и лиц, находящихся в специальном помещении , для задержанных лиц, задержанных в администра...</v>
      </c>
      <c r="G4114" s="22" t="s">
        <v>76</v>
      </c>
      <c r="H4114" s="22" t="s">
        <v>6631</v>
      </c>
      <c r="I4114" s="26">
        <v>43712.656944444403</v>
      </c>
      <c r="J4114" s="23" t="str">
        <f>HYPERLINK("https://www.spark-marketing.ru/Card/Person/6081973", "Румянцев Михаил Данилович")</f>
        <v>Румянцев Михаил Данилович</v>
      </c>
      <c r="K4114" s="24" t="s">
        <v>5787</v>
      </c>
      <c r="L4114" s="22" t="s">
        <v>10</v>
      </c>
      <c r="M4114" s="28" t="s">
        <v>51</v>
      </c>
      <c r="N4114" s="28" t="s">
        <v>51</v>
      </c>
    </row>
    <row r="4115" spans="1:14" x14ac:dyDescent="0.15">
      <c r="A4115" s="23" t="str">
        <f>HYPERLINK("https://www.spark-marketing.ru/Card/Person/90932", "МБДОУ - Д/С №2 СТ. КАЛИНИНСКОЙ")</f>
        <v>МБДОУ - Д/С №2 СТ. КАЛИНИНСКОЙ</v>
      </c>
      <c r="B4115" s="24" t="s">
        <v>6737</v>
      </c>
      <c r="C4115" s="25">
        <v>394810.5</v>
      </c>
      <c r="D4115" s="22" t="s">
        <v>6738</v>
      </c>
      <c r="E4115" s="22" t="s">
        <v>48</v>
      </c>
      <c r="F4115" s="23" t="str">
        <f>HYPERLINK("https://www.spark-marketing.ru/Card/Lot/73232650", "Оказание услуг по организации горячего питания воспитанников")</f>
        <v>Оказание услуг по организации горячего питания воспитанников</v>
      </c>
      <c r="G4115" s="22" t="s">
        <v>104</v>
      </c>
      <c r="H4115" s="22" t="s">
        <v>5791</v>
      </c>
      <c r="I4115" s="26">
        <v>43712.652777777803</v>
      </c>
      <c r="J4115" s="23" t="str">
        <f>HYPERLINK("https://www.spark-marketing.ru/Card/Person/56423", "ООО ""ВОЛГАСЕРВИСПРОДУКТ""")</f>
        <v>ООО "ВОЛГАСЕРВИСПРОДУКТ"</v>
      </c>
      <c r="K4115" s="24" t="s">
        <v>3035</v>
      </c>
      <c r="L4115" s="22" t="s">
        <v>10</v>
      </c>
      <c r="M4115" s="28" t="s">
        <v>51</v>
      </c>
      <c r="N4115" s="28" t="s">
        <v>51</v>
      </c>
    </row>
    <row r="4116" spans="1:14" x14ac:dyDescent="0.15">
      <c r="A4116" s="23" t="str">
        <f>HYPERLINK("https://www.spark-marketing.ru/Card/Person/875632", "МБОУ-СОШ №6 СТ. СТАРОВЕЛИЧКОВСКОЙ")</f>
        <v>МБОУ-СОШ №6 СТ. СТАРОВЕЛИЧКОВСКОЙ</v>
      </c>
      <c r="B4116" s="24" t="s">
        <v>6739</v>
      </c>
      <c r="C4116" s="25">
        <v>303352.44</v>
      </c>
      <c r="D4116" s="22" t="s">
        <v>6740</v>
      </c>
      <c r="E4116" s="22" t="s">
        <v>48</v>
      </c>
      <c r="F4116" s="23" t="str">
        <f>HYPERLINK("https://www.spark-marketing.ru/Card/Lot/73234864", "Оказание услуг по организации горячего питания")</f>
        <v>Оказание услуг по организации горячего питания</v>
      </c>
      <c r="G4116" s="22" t="s">
        <v>104</v>
      </c>
      <c r="H4116" s="22" t="s">
        <v>5791</v>
      </c>
      <c r="I4116" s="26">
        <v>43712.652777777803</v>
      </c>
      <c r="J4116" s="23" t="str">
        <f>HYPERLINK("https://www.spark-marketing.ru/Card/Person/56423", "ООО ""ВОЛГАСЕРВИСПРОДУКТ""")</f>
        <v>ООО "ВОЛГАСЕРВИСПРОДУКТ"</v>
      </c>
      <c r="K4116" s="24" t="s">
        <v>3035</v>
      </c>
      <c r="L4116" s="22" t="s">
        <v>10</v>
      </c>
      <c r="M4116" s="28" t="s">
        <v>51</v>
      </c>
      <c r="N4116" s="28" t="s">
        <v>51</v>
      </c>
    </row>
    <row r="4117" spans="1:14" x14ac:dyDescent="0.15">
      <c r="A4117" s="23" t="str">
        <f>HYPERLINK("https://www.spark-marketing.ru/Card/Person/105928", "УПРАВЛЕНИЕ ПО КУЛЬТУРЕ, СПОРТУ И РАБОТЕ С МОЛОДЕЖЬЮ")</f>
        <v>УПРАВЛЕНИЕ ПО КУЛЬТУРЕ, СПОРТУ И РАБОТЕ С МОЛОДЕЖЬЮ</v>
      </c>
      <c r="B4117" s="24" t="s">
        <v>6741</v>
      </c>
      <c r="C4117" s="25">
        <v>100000</v>
      </c>
      <c r="D4117" s="22" t="s">
        <v>6742</v>
      </c>
      <c r="E4117" s="22" t="s">
        <v>48</v>
      </c>
      <c r="F4117" s="23" t="str">
        <f>HYPERLINK("https://www.spark-marketing.ru/Card/Lot/73230503", "Оказание услуг по организации рационального горячего питания участников военно-спортивной игры «Зарница»")</f>
        <v>Оказание услуг по организации рационального горячего питания участников военно-спортивной игры «Зарница»</v>
      </c>
      <c r="G4117" s="22" t="s">
        <v>49</v>
      </c>
      <c r="H4117" s="22" t="s">
        <v>1789</v>
      </c>
      <c r="I4117" s="26">
        <v>43712.6397222222</v>
      </c>
      <c r="J4117" s="28" t="s">
        <v>51</v>
      </c>
      <c r="K4117" s="28" t="s">
        <v>51</v>
      </c>
      <c r="L4117" s="28" t="s">
        <v>51</v>
      </c>
      <c r="M4117" s="28" t="s">
        <v>51</v>
      </c>
      <c r="N4117" s="28" t="s">
        <v>51</v>
      </c>
    </row>
    <row r="4118" spans="1:14" x14ac:dyDescent="0.15">
      <c r="A4118" s="23" t="str">
        <f>HYPERLINK("https://www.spark-marketing.ru/Card/Person/1069565", "ОМВД РОССИИ ПО АЛЕКСАНДРОВСКОМУ РАЙОНУ")</f>
        <v>ОМВД РОССИИ ПО АЛЕКСАНДРОВСКОМУ РАЙОНУ</v>
      </c>
      <c r="B4118" s="24" t="s">
        <v>1010</v>
      </c>
      <c r="C4118" s="25">
        <v>159276.15</v>
      </c>
      <c r="D4118" s="22" t="s">
        <v>6743</v>
      </c>
      <c r="E4118" s="22" t="s">
        <v>48</v>
      </c>
      <c r="F4118" s="23" t="str">
        <f>HYPERLINK("https://www.spark-marketing.ru/Card/Lot/73230906", "Услуги по обеспечению питания лиц, содержащихся в ИВС")</f>
        <v>Услуги по обеспечению питания лиц, содержащихся в ИВС</v>
      </c>
      <c r="G4118" s="22" t="s">
        <v>663</v>
      </c>
      <c r="H4118" s="22" t="s">
        <v>663</v>
      </c>
      <c r="I4118" s="26">
        <v>43712.609722222202</v>
      </c>
      <c r="J4118" s="28" t="s">
        <v>51</v>
      </c>
      <c r="K4118" s="28" t="s">
        <v>51</v>
      </c>
      <c r="L4118" s="28" t="s">
        <v>51</v>
      </c>
      <c r="M4118" s="28" t="s">
        <v>51</v>
      </c>
      <c r="N4118" s="28" t="s">
        <v>51</v>
      </c>
    </row>
    <row r="4119" spans="1:14" hidden="1" outlineLevel="1" x14ac:dyDescent="0.2">
      <c r="A4119" s="23" t="str">
        <f>HYPERLINK("https://www.spark-marketing.ru/Card/Person/1069565", "ОМВД РОССИИ ПО АЛЕКСАНДРОВСКОМУ РАЙОНУ")</f>
        <v>ОМВД РОССИИ ПО АЛЕКСАНДРОВСКОМУ РАЙОНУ</v>
      </c>
      <c r="B4119" s="24" t="s">
        <v>1010</v>
      </c>
      <c r="C4119" s="25">
        <v>159276.15</v>
      </c>
      <c r="D4119" s="22" t="s">
        <v>6743</v>
      </c>
      <c r="E4119" s="22" t="s">
        <v>48</v>
      </c>
      <c r="F4119" s="23" t="str">
        <f>HYPERLINK("https://www.spark-marketing.ru/Card/Lot/73230906", "Услуги по обеспечению питания лиц, содержащихся в ИВС")</f>
        <v>Услуги по обеспечению питания лиц, содержащихся в ИВС</v>
      </c>
      <c r="G4119" s="22" t="s">
        <v>663</v>
      </c>
      <c r="H4119" s="22" t="s">
        <v>663</v>
      </c>
      <c r="I4119" s="26">
        <v>43712.609722222202</v>
      </c>
      <c r="J4119" s="23" t="str">
        <f>HYPERLINK("https://www.spark-marketing.ru/Card/Person/5785323", "Семенов Сергей Николаевич")</f>
        <v>Семенов Сергей Николаевич</v>
      </c>
      <c r="K4119" s="24" t="s">
        <v>6744</v>
      </c>
      <c r="L4119" s="28" t="s">
        <v>51</v>
      </c>
      <c r="M4119" s="25">
        <v>100344.03</v>
      </c>
      <c r="N4119" s="27">
        <v>0.369999651548584</v>
      </c>
    </row>
    <row r="4120" spans="1:14" ht="12.75" hidden="1" outlineLevel="1" x14ac:dyDescent="0.2">
      <c r="A4120" s="23" t="str">
        <f>HYPERLINK("https://www.spark-marketing.ru/Card/Person/1069565", "ОМВД РОССИИ ПО АЛЕКСАНДРОВСКОМУ РАЙОНУ")</f>
        <v>ОМВД РОССИИ ПО АЛЕКСАНДРОВСКОМУ РАЙОНУ</v>
      </c>
      <c r="B4120" s="24" t="s">
        <v>1010</v>
      </c>
      <c r="C4120" s="25">
        <v>159276.15</v>
      </c>
      <c r="D4120" s="22" t="s">
        <v>6743</v>
      </c>
      <c r="E4120" s="22" t="s">
        <v>48</v>
      </c>
      <c r="F4120" s="23" t="str">
        <f>HYPERLINK("https://www.spark-marketing.ru/Card/Lot/73230906", "Услуги по обеспечению питания лиц, содержащихся в ИВС")</f>
        <v>Услуги по обеспечению питания лиц, содержащихся в ИВС</v>
      </c>
      <c r="G4120" s="22" t="s">
        <v>663</v>
      </c>
      <c r="H4120" s="22" t="s">
        <v>663</v>
      </c>
      <c r="I4120" s="26">
        <v>43712.609722222202</v>
      </c>
      <c r="J4120" s="23" t="str">
        <f>HYPERLINK("https://www.spark-marketing.ru/Card/Person/271456", "Лобанов Роман Юрьевич")</f>
        <v>Лобанов Роман Юрьевич</v>
      </c>
      <c r="K4120" s="24" t="s">
        <v>6745</v>
      </c>
      <c r="L4120" s="22" t="s">
        <v>10</v>
      </c>
      <c r="M4120" s="25">
        <v>99547.65</v>
      </c>
      <c r="N4120" s="27">
        <v>0.3749996468397811</v>
      </c>
    </row>
    <row r="4121" spans="1:14" x14ac:dyDescent="0.15">
      <c r="A4121" s="23" t="str">
        <f>HYPERLINK("https://www.spark-marketing.ru/Card/Person/80341", "МУ МВД РОССИИ ""СЫЗРАНСКОЕ""")</f>
        <v>МУ МВД РОССИИ "СЫЗРАНСКОЕ"</v>
      </c>
      <c r="B4121" s="24" t="s">
        <v>306</v>
      </c>
      <c r="C4121" s="25">
        <v>45551.46</v>
      </c>
      <c r="D4121" s="22" t="s">
        <v>6746</v>
      </c>
      <c r="E4121" s="22" t="s">
        <v>48</v>
      </c>
      <c r="F4121" s="23" t="str">
        <f>HYPERLINK("https://www.spark-marketing.ru/Card/Lot/73227127",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4121" s="22" t="s">
        <v>128</v>
      </c>
      <c r="H4121" s="22" t="s">
        <v>308</v>
      </c>
      <c r="I4121" s="26">
        <v>43712.584027777797</v>
      </c>
      <c r="J4121" s="28" t="s">
        <v>51</v>
      </c>
      <c r="K4121" s="28" t="s">
        <v>51</v>
      </c>
      <c r="L4121" s="28" t="s">
        <v>51</v>
      </c>
      <c r="M4121" s="28" t="s">
        <v>51</v>
      </c>
      <c r="N4121" s="28" t="s">
        <v>51</v>
      </c>
    </row>
    <row r="4122" spans="1:14" ht="12.75" hidden="1" outlineLevel="1" x14ac:dyDescent="0.2">
      <c r="A4122" s="23" t="str">
        <f>HYPERLINK("https://www.spark-marketing.ru/Card/Person/80341", "МУ МВД РОССИИ ""СЫЗРАНСКОЕ""")</f>
        <v>МУ МВД РОССИИ "СЫЗРАНСКОЕ"</v>
      </c>
      <c r="B4122" s="24" t="s">
        <v>306</v>
      </c>
      <c r="C4122" s="25">
        <v>45551.46</v>
      </c>
      <c r="D4122" s="22" t="s">
        <v>6746</v>
      </c>
      <c r="E4122" s="22" t="s">
        <v>48</v>
      </c>
      <c r="F4122" s="23" t="str">
        <f>HYPERLINK("https://www.spark-marketing.ru/Card/Lot/73227127",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4122" s="22" t="s">
        <v>128</v>
      </c>
      <c r="H4122" s="22" t="s">
        <v>308</v>
      </c>
      <c r="I4122" s="26">
        <v>43712.584027777797</v>
      </c>
      <c r="J4122" s="23" t="str">
        <f>HYPERLINK("https://www.spark-marketing.ru/Card/Person/2044050", "ООО ""22 АМБАР""")</f>
        <v>ООО "22 АМБАР"</v>
      </c>
      <c r="K4122" s="24" t="s">
        <v>6702</v>
      </c>
      <c r="L4122" s="22" t="s">
        <v>10</v>
      </c>
      <c r="M4122" s="25">
        <v>21636.93</v>
      </c>
      <c r="N4122" s="27">
        <v>0.52500029636810763</v>
      </c>
    </row>
    <row r="4123" spans="1:14" hidden="1" outlineLevel="1" x14ac:dyDescent="0.2">
      <c r="A4123" s="23" t="str">
        <f>HYPERLINK("https://www.spark-marketing.ru/Card/Person/80341", "МУ МВД РОССИИ ""СЫЗРАНСКОЕ""")</f>
        <v>МУ МВД РОССИИ "СЫЗРАНСКОЕ"</v>
      </c>
      <c r="B4123" s="24" t="s">
        <v>306</v>
      </c>
      <c r="C4123" s="25">
        <v>45551.46</v>
      </c>
      <c r="D4123" s="22" t="s">
        <v>6746</v>
      </c>
      <c r="E4123" s="22" t="s">
        <v>48</v>
      </c>
      <c r="F4123" s="23" t="str">
        <f>HYPERLINK("https://www.spark-marketing.ru/Card/Lot/73227127",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4123" s="22" t="s">
        <v>128</v>
      </c>
      <c r="H4123" s="22" t="s">
        <v>308</v>
      </c>
      <c r="I4123" s="26">
        <v>43712.584027777797</v>
      </c>
      <c r="J4123" s="23" t="str">
        <f>HYPERLINK("https://www.spark-marketing.ru/Card/Person/2544469", "ООО ""ЛДМ ГРУПП""")</f>
        <v>ООО "ЛДМ ГРУПП"</v>
      </c>
      <c r="K4123" s="24" t="s">
        <v>6703</v>
      </c>
      <c r="L4123" s="28" t="s">
        <v>51</v>
      </c>
      <c r="M4123" s="25">
        <v>23914.5</v>
      </c>
      <c r="N4123" s="27">
        <v>0.4750003622276871</v>
      </c>
    </row>
    <row r="4124" spans="1:14" x14ac:dyDescent="0.15">
      <c r="A4124" s="23" t="str">
        <f>HYPERLINK("https://www.spark-marketing.ru/Card/Person/80341", "МУ МВД РОССИИ ""СЫЗРАНСКОЕ""")</f>
        <v>МУ МВД РОССИИ "СЫЗРАНСКОЕ"</v>
      </c>
      <c r="B4124" s="24" t="s">
        <v>306</v>
      </c>
      <c r="C4124" s="25">
        <v>204905.43</v>
      </c>
      <c r="D4124" s="22" t="s">
        <v>6747</v>
      </c>
      <c r="E4124" s="22" t="s">
        <v>48</v>
      </c>
      <c r="F4124" s="23" t="str">
        <f>HYPERLINK("https://www.spark-marketing.ru/Card/Lot/73227853",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4124" s="22" t="s">
        <v>128</v>
      </c>
      <c r="H4124" s="22" t="s">
        <v>308</v>
      </c>
      <c r="I4124" s="26">
        <v>43712.586805555598</v>
      </c>
      <c r="J4124" s="23" t="str">
        <f>HYPERLINK("https://www.spark-marketing.ru/Card/Person/2044050", "ООО ""22 АМБАР""")</f>
        <v>ООО "22 АМБАР"</v>
      </c>
      <c r="K4124" s="24" t="s">
        <v>6702</v>
      </c>
      <c r="L4124" s="22" t="s">
        <v>10</v>
      </c>
      <c r="M4124" s="28" t="s">
        <v>51</v>
      </c>
      <c r="N4124" s="28" t="s">
        <v>51</v>
      </c>
    </row>
    <row r="4125" spans="1:14" x14ac:dyDescent="0.15">
      <c r="A4125" s="23" t="str">
        <f>HYPERLINK("https://www.spark-marketing.ru/Card/Person/80341", "МУ МВД РОССИИ ""СЫЗРАНСКОЕ""")</f>
        <v>МУ МВД РОССИИ "СЫЗРАНСКОЕ"</v>
      </c>
      <c r="B4125" s="24" t="s">
        <v>306</v>
      </c>
      <c r="C4125" s="25">
        <v>212036.39</v>
      </c>
      <c r="D4125" s="22" t="s">
        <v>6748</v>
      </c>
      <c r="E4125" s="22" t="s">
        <v>48</v>
      </c>
      <c r="F4125" s="23" t="str">
        <f>HYPERLINK("https://www.spark-marketing.ru/Card/Lot/73227854", "Оказание услуг по изготовлению и поставке горячего питания для лиц, содержащихся в Специальном приемнике МУ МВД России ""Сызранское""")</f>
        <v>Оказание услуг по изготовлению и поставке горячего питания для лиц, содержащихся в Специальном приемнике МУ МВД России "Сызранское"</v>
      </c>
      <c r="G4125" s="22" t="s">
        <v>128</v>
      </c>
      <c r="H4125" s="22" t="s">
        <v>308</v>
      </c>
      <c r="I4125" s="26">
        <v>43712.585416666698</v>
      </c>
      <c r="J4125" s="23" t="str">
        <f>HYPERLINK("https://www.spark-marketing.ru/Card/Person/2044050", "ООО ""22 АМБАР""")</f>
        <v>ООО "22 АМБАР"</v>
      </c>
      <c r="K4125" s="24" t="s">
        <v>6702</v>
      </c>
      <c r="L4125" s="22" t="s">
        <v>10</v>
      </c>
      <c r="M4125" s="28" t="s">
        <v>51</v>
      </c>
      <c r="N4125" s="28" t="s">
        <v>51</v>
      </c>
    </row>
    <row r="4126" spans="1:14" x14ac:dyDescent="0.15">
      <c r="A4126" s="23" t="str">
        <f>HYPERLINK("https://www.spark-marketing.ru/Card/Person/437134", "ФКУ СИЗО-3 ГУФСИН РОССИИ ПО НОВОСИБИРСКОЙ ОБЛАСТИ")</f>
        <v>ФКУ СИЗО-3 ГУФСИН РОССИИ ПО НОВОСИБИРСКОЙ ОБЛАСТИ</v>
      </c>
      <c r="B4126" s="24" t="s">
        <v>6749</v>
      </c>
      <c r="C4126" s="25">
        <v>200000</v>
      </c>
      <c r="D4126" s="22" t="s">
        <v>6750</v>
      </c>
      <c r="E4126" s="22" t="s">
        <v>468</v>
      </c>
      <c r="F4126" s="23" t="str">
        <f>HYPERLINK("https://www.spark-marketing.ru/Card/Lot/73218498", "Перевозка продуктов питания и ТМЦ")</f>
        <v>Перевозка продуктов питания и ТМЦ</v>
      </c>
      <c r="G4126" s="22" t="s">
        <v>195</v>
      </c>
      <c r="H4126" s="22" t="s">
        <v>6710</v>
      </c>
      <c r="I4126" s="26">
        <v>43712.5</v>
      </c>
      <c r="J4126" s="28" t="s">
        <v>51</v>
      </c>
      <c r="K4126" s="28" t="s">
        <v>51</v>
      </c>
      <c r="L4126" s="28" t="s">
        <v>51</v>
      </c>
      <c r="M4126" s="28" t="s">
        <v>51</v>
      </c>
      <c r="N4126" s="28" t="s">
        <v>51</v>
      </c>
    </row>
    <row r="4127" spans="1:14" ht="12.75" hidden="1" outlineLevel="1" x14ac:dyDescent="0.2">
      <c r="A4127" s="23" t="str">
        <f>HYPERLINK("https://www.spark-marketing.ru/Card/Person/437134", "ФКУ СИЗО-3 ГУФСИН РОССИИ ПО НОВОСИБИРСКОЙ ОБЛАСТИ")</f>
        <v>ФКУ СИЗО-3 ГУФСИН РОССИИ ПО НОВОСИБИРСКОЙ ОБЛАСТИ</v>
      </c>
      <c r="B4127" s="24" t="s">
        <v>6749</v>
      </c>
      <c r="C4127" s="25">
        <v>200000</v>
      </c>
      <c r="D4127" s="22" t="s">
        <v>6750</v>
      </c>
      <c r="E4127" s="22" t="s">
        <v>468</v>
      </c>
      <c r="F4127" s="23" t="str">
        <f>HYPERLINK("https://www.spark-marketing.ru/Card/Lot/73218498", "Перевозка продуктов питания и ТМЦ")</f>
        <v>Перевозка продуктов питания и ТМЦ</v>
      </c>
      <c r="G4127" s="22" t="s">
        <v>195</v>
      </c>
      <c r="H4127" s="22" t="s">
        <v>6710</v>
      </c>
      <c r="I4127" s="26">
        <v>43712.5</v>
      </c>
      <c r="J4127" s="23" t="str">
        <f>HYPERLINK("https://www.spark-marketing.ru/Card/Person/718366", "Ковалев Алексей Викторович")</f>
        <v>Ковалев Алексей Викторович</v>
      </c>
      <c r="K4127" s="24" t="s">
        <v>6751</v>
      </c>
      <c r="L4127" s="22" t="s">
        <v>10</v>
      </c>
      <c r="M4127" s="25">
        <v>112313</v>
      </c>
      <c r="N4127" s="27">
        <v>0.43843500000000002</v>
      </c>
    </row>
    <row r="4128" spans="1:14" hidden="1" outlineLevel="1" x14ac:dyDescent="0.2">
      <c r="A4128" s="23" t="str">
        <f>HYPERLINK("https://www.spark-marketing.ru/Card/Person/437134", "ФКУ СИЗО-3 ГУФСИН РОССИИ ПО НОВОСИБИРСКОЙ ОБЛАСТИ")</f>
        <v>ФКУ СИЗО-3 ГУФСИН РОССИИ ПО НОВОСИБИРСКОЙ ОБЛАСТИ</v>
      </c>
      <c r="B4128" s="24" t="s">
        <v>6749</v>
      </c>
      <c r="C4128" s="25">
        <v>200000</v>
      </c>
      <c r="D4128" s="22" t="s">
        <v>6750</v>
      </c>
      <c r="E4128" s="22" t="s">
        <v>468</v>
      </c>
      <c r="F4128" s="23" t="str">
        <f>HYPERLINK("https://www.spark-marketing.ru/Card/Lot/73218498", "Перевозка продуктов питания и ТМЦ")</f>
        <v>Перевозка продуктов питания и ТМЦ</v>
      </c>
      <c r="G4128" s="22" t="s">
        <v>195</v>
      </c>
      <c r="H4128" s="22" t="s">
        <v>6710</v>
      </c>
      <c r="I4128" s="26">
        <v>43712.5</v>
      </c>
      <c r="J4128" s="23" t="str">
        <f>HYPERLINK("https://www.spark-marketing.ru/Card/Person/6498518", "Голованов Сергей Олегович")</f>
        <v>Голованов Сергей Олегович</v>
      </c>
      <c r="K4128" s="24" t="s">
        <v>6752</v>
      </c>
      <c r="L4128" s="28" t="s">
        <v>51</v>
      </c>
      <c r="M4128" s="25">
        <v>113313</v>
      </c>
      <c r="N4128" s="27">
        <v>0.43343500000000001</v>
      </c>
    </row>
    <row r="4129" spans="1:14" hidden="1" outlineLevel="1" x14ac:dyDescent="0.2">
      <c r="A4129" s="23" t="str">
        <f>HYPERLINK("https://www.spark-marketing.ru/Card/Person/437134", "ФКУ СИЗО-3 ГУФСИН РОССИИ ПО НОВОСИБИРСКОЙ ОБЛАСТИ")</f>
        <v>ФКУ СИЗО-3 ГУФСИН РОССИИ ПО НОВОСИБИРСКОЙ ОБЛАСТИ</v>
      </c>
      <c r="B4129" s="24" t="s">
        <v>6749</v>
      </c>
      <c r="C4129" s="25">
        <v>200000</v>
      </c>
      <c r="D4129" s="22" t="s">
        <v>6750</v>
      </c>
      <c r="E4129" s="22" t="s">
        <v>468</v>
      </c>
      <c r="F4129" s="23" t="str">
        <f>HYPERLINK("https://www.spark-marketing.ru/Card/Lot/73218498", "Перевозка продуктов питания и ТМЦ")</f>
        <v>Перевозка продуктов питания и ТМЦ</v>
      </c>
      <c r="G4129" s="22" t="s">
        <v>195</v>
      </c>
      <c r="H4129" s="22" t="s">
        <v>6710</v>
      </c>
      <c r="I4129" s="26">
        <v>43712.5</v>
      </c>
      <c r="J4129" s="23" t="str">
        <f>HYPERLINK("https://www.spark-marketing.ru/Card/Person/6384433", "ООО ""УРАЛМЕТИЗ""")</f>
        <v>ООО "УРАЛМЕТИЗ"</v>
      </c>
      <c r="K4129" s="24" t="s">
        <v>4780</v>
      </c>
      <c r="L4129" s="28" t="s">
        <v>51</v>
      </c>
      <c r="M4129" s="25">
        <v>180000</v>
      </c>
      <c r="N4129" s="27">
        <v>0.1</v>
      </c>
    </row>
    <row r="4130" spans="1:14" x14ac:dyDescent="0.15">
      <c r="A4130" s="23" t="str">
        <f>HYPERLINK("https://www.spark-marketing.ru/Card/Person/16404", "АДМИНИСТРАЦИЯ ГОРОДСКОГО ОКРУГА ЛЫТКАРИНО")</f>
        <v>АДМИНИСТРАЦИЯ ГОРОДСКОГО ОКРУГА ЛЫТКАРИНО</v>
      </c>
      <c r="B4130" s="24" t="s">
        <v>6753</v>
      </c>
      <c r="C4130" s="25">
        <v>80000</v>
      </c>
      <c r="D4130" s="22" t="s">
        <v>6754</v>
      </c>
      <c r="E4130" s="22" t="s">
        <v>6508</v>
      </c>
      <c r="F4130" s="23" t="str">
        <f>HYPERLINK("https://www.spark-marketing.ru/Card/Lot/73223995", "На оказание услуг по замене элементов питания в автономных пожарных извещателях")</f>
        <v>На оказание услуг по замене элементов питания в автономных пожарных извещателях</v>
      </c>
      <c r="G4130" s="22" t="s">
        <v>49</v>
      </c>
      <c r="H4130" s="22" t="s">
        <v>1902</v>
      </c>
      <c r="I4130" s="26">
        <v>43712.524317129602</v>
      </c>
      <c r="J4130" s="28" t="s">
        <v>51</v>
      </c>
      <c r="K4130" s="28" t="s">
        <v>51</v>
      </c>
      <c r="L4130" s="28" t="s">
        <v>51</v>
      </c>
      <c r="M4130" s="28" t="s">
        <v>51</v>
      </c>
      <c r="N4130" s="28" t="s">
        <v>51</v>
      </c>
    </row>
    <row r="4131" spans="1:14" x14ac:dyDescent="0.15">
      <c r="A4131" s="23" t="str">
        <f>HYPERLINK("https://www.spark-marketing.ru/Card/Person/737290", "ГКУ «ЦБЗ ПРИ МИНЗДРАВЕ КАРЕЛИИ»")</f>
        <v>ГКУ «ЦБЗ ПРИ МИНЗДРАВЕ КАРЕЛИИ»</v>
      </c>
      <c r="B4131" s="24" t="s">
        <v>312</v>
      </c>
      <c r="C4131" s="25">
        <v>4450083.3</v>
      </c>
      <c r="D4131" s="22" t="s">
        <v>6755</v>
      </c>
      <c r="E4131" s="22" t="s">
        <v>52</v>
      </c>
      <c r="F4131" s="23" t="str">
        <f>HYPERLINK("https://www.spark-marketing.ru/Card/Lot/73229174", "Поставка лекарственного препарата Инсулин гларгин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по...")</f>
        <v>Поставка лекарственного препарата Инсулин гларгин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по...</v>
      </c>
      <c r="G4131" s="22" t="s">
        <v>59</v>
      </c>
      <c r="H4131" s="22" t="s">
        <v>314</v>
      </c>
      <c r="I4131" s="26">
        <v>43712.536111111098</v>
      </c>
      <c r="J4131" s="23" t="str">
        <f>HYPERLINK("https://www.spark-marketing.ru/Card/Person/6231467", "ООО ""ОБЛФАРМ АЛЬЯНС""")</f>
        <v>ООО "ОБЛФАРМ АЛЬЯНС"</v>
      </c>
      <c r="K4131" s="24" t="s">
        <v>2175</v>
      </c>
      <c r="L4131" s="22" t="s">
        <v>10</v>
      </c>
      <c r="M4131" s="28" t="s">
        <v>51</v>
      </c>
      <c r="N4131" s="28" t="s">
        <v>51</v>
      </c>
    </row>
    <row r="4132" spans="1:14" x14ac:dyDescent="0.15">
      <c r="A4132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4132" s="24" t="s">
        <v>5832</v>
      </c>
      <c r="C4132" s="25">
        <v>64800</v>
      </c>
      <c r="D4132" s="22" t="s">
        <v>6756</v>
      </c>
      <c r="E4132" s="22" t="s">
        <v>48</v>
      </c>
      <c r="F4132" s="23" t="str">
        <f>HYPERLINK("https://www.spark-marketing.ru/Card/Lot/73221894", "Услуги по обеспечению питанием, осуществляемые по договору, 648 усл. ед")</f>
        <v>Услуги по обеспечению питанием, осуществляемые по договору, 648 усл. ед</v>
      </c>
      <c r="G4132" s="22" t="s">
        <v>153</v>
      </c>
      <c r="H4132" s="22" t="s">
        <v>5834</v>
      </c>
      <c r="I4132" s="26">
        <v>43712.504513888904</v>
      </c>
      <c r="J4132" s="28" t="s">
        <v>51</v>
      </c>
      <c r="K4132" s="28" t="s">
        <v>51</v>
      </c>
      <c r="L4132" s="28" t="s">
        <v>51</v>
      </c>
      <c r="M4132" s="28" t="s">
        <v>51</v>
      </c>
      <c r="N4132" s="28" t="s">
        <v>51</v>
      </c>
    </row>
    <row r="4133" spans="1:14" x14ac:dyDescent="0.15">
      <c r="A4133" s="23" t="str">
        <f>HYPERLINK("https://www.spark-marketing.ru/Card/Person/65418", "УМВД РОССИИ ПО Г.КОСТРОМЕ")</f>
        <v>УМВД РОССИИ ПО Г.КОСТРОМЕ</v>
      </c>
      <c r="B4133" s="24" t="s">
        <v>3507</v>
      </c>
      <c r="C4133" s="25">
        <v>803116.8</v>
      </c>
      <c r="D4133" s="22" t="s">
        <v>6757</v>
      </c>
      <c r="E4133" s="22" t="s">
        <v>48</v>
      </c>
      <c r="F4133" s="23" t="str">
        <f>HYPERLINK("https://www.spark-marketing.ru/Card/Lot/73228454", "Оказание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...")</f>
        <v>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</v>
      </c>
      <c r="G4133" s="22" t="s">
        <v>292</v>
      </c>
      <c r="H4133" s="22" t="s">
        <v>292</v>
      </c>
      <c r="I4133" s="26">
        <v>43712.505555555603</v>
      </c>
      <c r="J4133" s="28" t="s">
        <v>51</v>
      </c>
      <c r="K4133" s="28" t="s">
        <v>51</v>
      </c>
      <c r="L4133" s="28" t="s">
        <v>51</v>
      </c>
      <c r="M4133" s="28" t="s">
        <v>51</v>
      </c>
      <c r="N4133" s="28" t="s">
        <v>51</v>
      </c>
    </row>
    <row r="4134" spans="1:14" ht="12.75" hidden="1" outlineLevel="1" x14ac:dyDescent="0.2">
      <c r="A4134" s="23" t="str">
        <f>HYPERLINK("https://www.spark-marketing.ru/Card/Person/65418", "УМВД РОССИИ ПО Г.КОСТРОМЕ")</f>
        <v>УМВД РОССИИ ПО Г.КОСТРОМЕ</v>
      </c>
      <c r="B4134" s="24" t="s">
        <v>3507</v>
      </c>
      <c r="C4134" s="25">
        <v>803116.8</v>
      </c>
      <c r="D4134" s="22" t="s">
        <v>6757</v>
      </c>
      <c r="E4134" s="22" t="s">
        <v>48</v>
      </c>
      <c r="F4134" s="23" t="str">
        <f>HYPERLINK("https://www.spark-marketing.ru/Card/Lot/73228454", "Оказание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...")</f>
        <v>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</v>
      </c>
      <c r="G4134" s="22" t="s">
        <v>292</v>
      </c>
      <c r="H4134" s="22" t="s">
        <v>292</v>
      </c>
      <c r="I4134" s="26">
        <v>43712.505555555603</v>
      </c>
      <c r="J4134" s="23" t="str">
        <f>HYPERLINK("https://www.spark-marketing.ru/Card/Person/234123", "ООО ""ЛИКА""")</f>
        <v>ООО "ЛИКА"</v>
      </c>
      <c r="K4134" s="24" t="s">
        <v>3509</v>
      </c>
      <c r="L4134" s="22" t="s">
        <v>10</v>
      </c>
      <c r="M4134" s="25">
        <v>803116.8</v>
      </c>
      <c r="N4134" s="27">
        <v>0</v>
      </c>
    </row>
    <row r="4135" spans="1:14" hidden="1" outlineLevel="1" x14ac:dyDescent="0.2">
      <c r="A4135" s="23" t="str">
        <f>HYPERLINK("https://www.spark-marketing.ru/Card/Person/65418", "УМВД РОССИИ ПО Г.КОСТРОМЕ")</f>
        <v>УМВД РОССИИ ПО Г.КОСТРОМЕ</v>
      </c>
      <c r="B4135" s="24" t="s">
        <v>3507</v>
      </c>
      <c r="C4135" s="25">
        <v>803116.8</v>
      </c>
      <c r="D4135" s="22" t="s">
        <v>6757</v>
      </c>
      <c r="E4135" s="22" t="s">
        <v>48</v>
      </c>
      <c r="F4135" s="23" t="str">
        <f>HYPERLINK("https://www.spark-marketing.ru/Card/Lot/73228454", "Оказание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...")</f>
        <v>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</v>
      </c>
      <c r="G4135" s="22" t="s">
        <v>292</v>
      </c>
      <c r="H4135" s="22" t="s">
        <v>292</v>
      </c>
      <c r="I4135" s="26">
        <v>43712.505555555603</v>
      </c>
      <c r="J4135" s="23" t="str">
        <f>HYPERLINK("https://www.spark-marketing.ru/Card/Person/6682764", "ОВЕЧКИНА ЕЛЕНА ВАЛЕНТИНОВНА")</f>
        <v>ОВЕЧКИНА ЕЛЕНА ВАЛЕНТИНОВНА</v>
      </c>
      <c r="K4135" s="24" t="s">
        <v>3510</v>
      </c>
      <c r="L4135" s="28" t="s">
        <v>51</v>
      </c>
      <c r="M4135" s="25">
        <v>803116.8</v>
      </c>
      <c r="N4135" s="27">
        <v>0</v>
      </c>
    </row>
    <row r="4136" spans="1:14" x14ac:dyDescent="0.15">
      <c r="A4136" s="23" t="str">
        <f>HYPERLINK("https://www.spark-marketing.ru/Card/Person/92582", "УМВД РОССИИ ПО ДМИТРОВСКОМУ Г.О.")</f>
        <v>УМВД РОССИИ ПО ДМИТРОВСКОМУ Г.О.</v>
      </c>
      <c r="B4136" s="24" t="s">
        <v>6758</v>
      </c>
      <c r="C4136" s="25">
        <v>999735</v>
      </c>
      <c r="D4136" s="22" t="s">
        <v>6759</v>
      </c>
      <c r="E4136" s="22" t="s">
        <v>48</v>
      </c>
      <c r="F4136" s="23" t="str">
        <f>HYPERLINK("https://www.spark-marketing.ru/Card/Lot/73229631", "Оказание услуг по питанию граждан находящихся в ИВС")</f>
        <v>Оказание услуг по питанию граждан находящихся в ИВС</v>
      </c>
      <c r="G4136" s="22" t="s">
        <v>49</v>
      </c>
      <c r="H4136" s="22" t="s">
        <v>49</v>
      </c>
      <c r="I4136" s="26">
        <v>43712.529166666704</v>
      </c>
      <c r="J4136" s="23" t="str">
        <f>HYPERLINK("https://www.spark-marketing.ru/Card/Person/115242", "Башмаков Николай Николаевич")</f>
        <v>Башмаков Николай Николаевич</v>
      </c>
      <c r="K4136" s="24" t="s">
        <v>5812</v>
      </c>
      <c r="L4136" s="22" t="s">
        <v>10</v>
      </c>
      <c r="M4136" s="28" t="s">
        <v>51</v>
      </c>
      <c r="N4136" s="28" t="s">
        <v>51</v>
      </c>
    </row>
    <row r="4137" spans="1:14" x14ac:dyDescent="0.15">
      <c r="A4137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4137" s="24" t="s">
        <v>5832</v>
      </c>
      <c r="C4137" s="25">
        <v>64800</v>
      </c>
      <c r="D4137" s="22" t="s">
        <v>6760</v>
      </c>
      <c r="E4137" s="22" t="s">
        <v>48</v>
      </c>
      <c r="F4137" s="23" t="str">
        <f>HYPERLINK("https://www.spark-marketing.ru/Card/Lot/73221905", "Услуги по обеспечению питанием, осуществляемые по договору, 648 усл. ед")</f>
        <v>Услуги по обеспечению питанием, осуществляемые по договору, 648 усл. ед</v>
      </c>
      <c r="G4137" s="22" t="s">
        <v>153</v>
      </c>
      <c r="H4137" s="22" t="s">
        <v>5834</v>
      </c>
      <c r="I4137" s="26">
        <v>43712.506354166697</v>
      </c>
      <c r="J4137" s="28" t="s">
        <v>51</v>
      </c>
      <c r="K4137" s="28" t="s">
        <v>51</v>
      </c>
      <c r="L4137" s="28" t="s">
        <v>51</v>
      </c>
      <c r="M4137" s="28" t="s">
        <v>51</v>
      </c>
      <c r="N4137" s="28" t="s">
        <v>51</v>
      </c>
    </row>
    <row r="4138" spans="1:14" x14ac:dyDescent="0.15">
      <c r="A4138" s="23" t="str">
        <f>HYPERLINK("https://www.spark-marketing.ru/Card/Person/92582", "УМВД РОССИИ ПО ДМИТРОВСКОМУ Г.О.")</f>
        <v>УМВД РОССИИ ПО ДМИТРОВСКОМУ Г.О.</v>
      </c>
      <c r="B4138" s="24" t="s">
        <v>6758</v>
      </c>
      <c r="C4138" s="25">
        <v>999735</v>
      </c>
      <c r="D4138" s="22" t="s">
        <v>6761</v>
      </c>
      <c r="E4138" s="22" t="s">
        <v>48</v>
      </c>
      <c r="F4138" s="23" t="str">
        <f>HYPERLINK("https://www.spark-marketing.ru/Card/Lot/73228486", "Оказание услуг по питанию граждан находящихся в ИВС")</f>
        <v>Оказание услуг по питанию граждан находящихся в ИВС</v>
      </c>
      <c r="G4138" s="22" t="s">
        <v>49</v>
      </c>
      <c r="H4138" s="22" t="s">
        <v>49</v>
      </c>
      <c r="I4138" s="26">
        <v>43712.529166666704</v>
      </c>
      <c r="J4138" s="23" t="str">
        <f>HYPERLINK("https://www.spark-marketing.ru/Card/Person/115242", "Башмаков Николай Николаевич")</f>
        <v>Башмаков Николай Николаевич</v>
      </c>
      <c r="K4138" s="24" t="s">
        <v>5812</v>
      </c>
      <c r="L4138" s="22" t="s">
        <v>10</v>
      </c>
      <c r="M4138" s="28" t="s">
        <v>51</v>
      </c>
      <c r="N4138" s="28" t="s">
        <v>51</v>
      </c>
    </row>
    <row r="4139" spans="1:14" x14ac:dyDescent="0.15">
      <c r="A4139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4139" s="24" t="s">
        <v>967</v>
      </c>
      <c r="C4139" s="25">
        <v>78820.08</v>
      </c>
      <c r="D4139" s="22" t="s">
        <v>6762</v>
      </c>
      <c r="E4139" s="22" t="s">
        <v>48</v>
      </c>
      <c r="F4139" s="23" t="str">
        <f>HYPERLINK("https://www.spark-marketing.ru/Card/Lot/73221361", "Оказание услуг по организации питания (приготовление и доставка) для несовершеннолетних лиц, 186 усл. ед")</f>
        <v>Оказание услуг по организации питания (приготовление и доставка) для несовершеннолетних лиц, 186 усл. ед</v>
      </c>
      <c r="G4139" s="22" t="s">
        <v>104</v>
      </c>
      <c r="H4139" s="22" t="s">
        <v>969</v>
      </c>
      <c r="I4139" s="26">
        <v>43712.498668981498</v>
      </c>
      <c r="J4139" s="28" t="s">
        <v>51</v>
      </c>
      <c r="K4139" s="28" t="s">
        <v>51</v>
      </c>
      <c r="L4139" s="28" t="s">
        <v>51</v>
      </c>
      <c r="M4139" s="28" t="s">
        <v>51</v>
      </c>
      <c r="N4139" s="28" t="s">
        <v>51</v>
      </c>
    </row>
    <row r="4140" spans="1:14" x14ac:dyDescent="0.15">
      <c r="A4140" s="23" t="str">
        <f>HYPERLINK("https://www.spark-marketing.ru/Card/Person/16780", "ГУ - ЗАБАЙКАЛЬСКОЕ РО ФОНДА СОЦИАЛЬНОГО СТРАХОВАНИЯ РОССИЙСКОЙ ФЕДЕРАЦИИ")</f>
        <v>ГУ - ЗАБАЙКАЛЬСКОЕ РО ФОНДА СОЦИАЛЬНОГО СТРАХОВАНИЯ РОССИЙСКОЙ ФЕДЕРАЦИИ</v>
      </c>
      <c r="B4140" s="24" t="s">
        <v>6763</v>
      </c>
      <c r="C4140" s="25">
        <v>1104963.1200000001</v>
      </c>
      <c r="D4140" s="22" t="s">
        <v>6764</v>
      </c>
      <c r="E4140" s="22" t="s">
        <v>86</v>
      </c>
      <c r="F4140" s="23" t="str">
        <f>HYPERLINK("https://www.spark-marketing.ru/Card/Lot/73216773", "Оказание услуг в 2019 году, на территории Забайкальского края, по санаторно-курортному лечению граждан-получателей набора социальных услуг   и лиц их сопровождающих (профиль лечения -  болезни органов дыхания, болезни системы кровообращения, болезни ...")</f>
        <v>Оказание услуг в 2019 году, на территории Забайкальского края, по санаторно-курортному лечению граждан-получателей набора социальных услуг   и лиц их сопровождающих (профиль лечения -  болезни органов дыхания, болезни системы кровообращения, болезни ...</v>
      </c>
      <c r="G4140" s="22" t="s">
        <v>228</v>
      </c>
      <c r="H4140" s="22" t="s">
        <v>394</v>
      </c>
      <c r="I4140" s="26">
        <v>43712.4597222222</v>
      </c>
      <c r="J4140" s="23" t="str">
        <f>HYPERLINK("https://www.spark-marketing.ru/Card/Person/52695", "ГАУЗ ""ЦМР ДАРАСУН""")</f>
        <v>ГАУЗ "ЦМР ДАРАСУН"</v>
      </c>
      <c r="K4140" s="24" t="s">
        <v>6765</v>
      </c>
      <c r="L4140" s="22" t="s">
        <v>10</v>
      </c>
      <c r="M4140" s="28" t="s">
        <v>51</v>
      </c>
      <c r="N4140" s="28" t="s">
        <v>51</v>
      </c>
    </row>
    <row r="4141" spans="1:14" x14ac:dyDescent="0.15">
      <c r="A4141" s="23" t="str">
        <f>HYPERLINK("https://www.spark-marketing.ru/Card/Person/1005147", "ОМВД РОССИИ ПО КАМЫЗЯКСКОМУ РАЙОНУ")</f>
        <v>ОМВД РОССИИ ПО КАМЫЗЯКСКОМУ РАЙОНУ</v>
      </c>
      <c r="B4141" s="24" t="s">
        <v>6766</v>
      </c>
      <c r="C4141" s="25">
        <v>156000</v>
      </c>
      <c r="D4141" s="22" t="s">
        <v>6767</v>
      </c>
      <c r="E4141" s="22" t="s">
        <v>48</v>
      </c>
      <c r="F4141" s="23" t="str">
        <f>HYPERLINK("https://www.spark-marketing.ru/Card/Lot/73219510", "Оказание услуг по организации питания (приготовлению и доставке) для ИВС, 780 усл. ед")</f>
        <v>Оказание услуг по организации питания (приготовлению и доставке) для ИВС, 780 усл. ед</v>
      </c>
      <c r="G4141" s="22" t="s">
        <v>141</v>
      </c>
      <c r="H4141" s="22" t="s">
        <v>6768</v>
      </c>
      <c r="I4141" s="26">
        <v>43712.439490740697</v>
      </c>
      <c r="J4141" s="28" t="s">
        <v>51</v>
      </c>
      <c r="K4141" s="28" t="s">
        <v>51</v>
      </c>
      <c r="L4141" s="28" t="s">
        <v>51</v>
      </c>
      <c r="M4141" s="28" t="s">
        <v>51</v>
      </c>
      <c r="N4141" s="28" t="s">
        <v>51</v>
      </c>
    </row>
    <row r="4142" spans="1:14" x14ac:dyDescent="0.15">
      <c r="A4142" s="23" t="str">
        <f>HYPERLINK("https://www.spark-marketing.ru/Card/Person/56385", "ОТДЕЛ МВД РОССИИ ПО ГОРОДУ КОПЕЙСКУ ЧЕЛЯБИНСКОЙ ОБЛАСТИ")</f>
        <v>ОТДЕЛ МВД РОССИИ ПО ГОРОДУ КОПЕЙСКУ ЧЕЛЯБИНСКОЙ ОБЛАСТИ</v>
      </c>
      <c r="B4142" s="24" t="s">
        <v>6769</v>
      </c>
      <c r="C4142" s="25">
        <v>1646740</v>
      </c>
      <c r="D4142" s="22" t="s">
        <v>6770</v>
      </c>
      <c r="E4142" s="22" t="s">
        <v>48</v>
      </c>
      <c r="F4142" s="23" t="str">
        <f>HYPERLINK("https://www.spark-marketing.ru/Card/Lot/73219564", "Услуги по обеспечению трехразовым питанием лиц, подозреваемых и обвиняемых в совершении преступлений, задержанных за совершение административных правонарушений, находящихся в ИВС и лиц, содержащихся в комнатах для задержанных дежурных частей более 3-...")</f>
        <v>Услуги по обеспечению трехразовым питанием лиц, подозреваемых и обвиняемых в совершении преступлений, задержанных за совершение административных правонарушений, находящихся в ИВС и лиц, содержащихся в комнатах для задержанных дежурных частей более 3-...</v>
      </c>
      <c r="G4142" s="22" t="s">
        <v>469</v>
      </c>
      <c r="H4142" s="22" t="s">
        <v>5961</v>
      </c>
      <c r="I4142" s="26">
        <v>43712.429166666698</v>
      </c>
      <c r="J4142" s="23" t="str">
        <f>HYPERLINK("https://www.spark-marketing.ru/Card/Person/55373", "Биткулова Алевтина Владимировна")</f>
        <v>Биткулова Алевтина Владимировна</v>
      </c>
      <c r="K4142" s="24" t="s">
        <v>6771</v>
      </c>
      <c r="L4142" s="22" t="s">
        <v>10</v>
      </c>
      <c r="M4142" s="28" t="s">
        <v>51</v>
      </c>
      <c r="N4142" s="28" t="s">
        <v>51</v>
      </c>
    </row>
    <row r="4143" spans="1:14" x14ac:dyDescent="0.15">
      <c r="A4143" s="23" t="str">
        <f>HYPERLINK("https://www.spark-marketing.ru/Card/Person/1005147", "ОМВД РОССИИ ПО КАМЫЗЯКСКОМУ РАЙОНУ")</f>
        <v>ОМВД РОССИИ ПО КАМЫЗЯКСКОМУ РАЙОНУ</v>
      </c>
      <c r="B4143" s="24" t="s">
        <v>6766</v>
      </c>
      <c r="C4143" s="25">
        <v>156000</v>
      </c>
      <c r="D4143" s="22" t="s">
        <v>6772</v>
      </c>
      <c r="E4143" s="22" t="s">
        <v>48</v>
      </c>
      <c r="F4143" s="23" t="str">
        <f>HYPERLINK("https://www.spark-marketing.ru/Card/Lot/73219504", "Оказание услуг по организации питания (приготовлению и доставке) для ИВС, 780 усл. ед")</f>
        <v>Оказание услуг по организации питания (приготовлению и доставке) для ИВС, 780 усл. ед</v>
      </c>
      <c r="G4143" s="22" t="s">
        <v>141</v>
      </c>
      <c r="H4143" s="22" t="s">
        <v>6768</v>
      </c>
      <c r="I4143" s="26">
        <v>43712.437395833302</v>
      </c>
      <c r="J4143" s="28" t="s">
        <v>51</v>
      </c>
      <c r="K4143" s="28" t="s">
        <v>51</v>
      </c>
      <c r="L4143" s="28" t="s">
        <v>51</v>
      </c>
      <c r="M4143" s="28" t="s">
        <v>51</v>
      </c>
      <c r="N4143" s="28" t="s">
        <v>51</v>
      </c>
    </row>
    <row r="4144" spans="1:14" x14ac:dyDescent="0.15">
      <c r="A4144" s="23" t="str">
        <f>HYPERLINK("https://www.spark-marketing.ru/Card/Person/149423", "ФКУ ИК-7 УФСИН РОССИИ ПО ЛИПЕЦКОЙ ОБЛАСТИ")</f>
        <v>ФКУ ИК-7 УФСИН РОССИИ ПО ЛИПЕЦКОЙ ОБЛАСТИ</v>
      </c>
      <c r="B4144" s="24" t="s">
        <v>6773</v>
      </c>
      <c r="C4144" s="25">
        <v>9493.33</v>
      </c>
      <c r="D4144" s="22" t="s">
        <v>6774</v>
      </c>
      <c r="E4144" s="22" t="s">
        <v>91</v>
      </c>
      <c r="F4144" s="23" t="str">
        <f>HYPERLINK("https://www.spark-marketing.ru/Card/Lot/73220440", "Услуги по ремонту жесткого диска и блока питания в рамках государственного оборонного заказа")</f>
        <v>Услуги по ремонту жесткого диска и блока питания в рамках государственного оборонного заказа</v>
      </c>
      <c r="G4144" s="22" t="s">
        <v>101</v>
      </c>
      <c r="H4144" s="22" t="s">
        <v>6775</v>
      </c>
      <c r="I4144" s="26">
        <v>43712.411805555603</v>
      </c>
      <c r="J4144" s="28" t="s">
        <v>51</v>
      </c>
      <c r="K4144" s="28" t="s">
        <v>51</v>
      </c>
      <c r="L4144" s="28" t="s">
        <v>51</v>
      </c>
      <c r="M4144" s="28" t="s">
        <v>51</v>
      </c>
      <c r="N4144" s="28" t="s">
        <v>51</v>
      </c>
    </row>
    <row r="4145" spans="1:14" x14ac:dyDescent="0.15">
      <c r="A4145" s="23" t="str">
        <f>HYPERLINK("https://www.spark-marketing.ru/Card/Person/60285", "МОУ ""СРЕДНЯЯ ОБЩЕОБРАЗОВАТЕЛЬНАЯ ШКОЛА №2 Г.НАДЫМА""")</f>
        <v>МОУ "СРЕДНЯЯ ОБЩЕОБРАЗОВАТЕЛЬНАЯ ШКОЛА №2 Г.НАДЫМА"</v>
      </c>
      <c r="B4145" s="24" t="s">
        <v>6776</v>
      </c>
      <c r="C4145" s="25">
        <v>554610</v>
      </c>
      <c r="D4145" s="22" t="s">
        <v>6777</v>
      </c>
      <c r="E4145" s="22" t="s">
        <v>48</v>
      </c>
      <c r="F4145" s="23" t="str">
        <f>HYPERLINK("https://www.spark-marketing.ru/Card/Lot/73218529", "Оказание услуг по организации обеспечения горячим питанием учащихся")</f>
        <v>Оказание услуг по организации обеспечения горячим питанием учащихся</v>
      </c>
      <c r="G4145" s="22" t="s">
        <v>1056</v>
      </c>
      <c r="H4145" s="22" t="s">
        <v>2702</v>
      </c>
      <c r="I4145" s="26">
        <v>43712.402777777803</v>
      </c>
      <c r="J4145" s="23" t="str">
        <f>HYPERLINK("https://www.spark-marketing.ru/Card/Person/124407", "Глушкова Рузиля Рашитовна")</f>
        <v>Глушкова Рузиля Рашитовна</v>
      </c>
      <c r="K4145" s="24" t="s">
        <v>2703</v>
      </c>
      <c r="L4145" s="22" t="s">
        <v>10</v>
      </c>
      <c r="M4145" s="28" t="s">
        <v>51</v>
      </c>
      <c r="N4145" s="28" t="s">
        <v>51</v>
      </c>
    </row>
    <row r="4146" spans="1:14" x14ac:dyDescent="0.2">
      <c r="A4146" s="23" t="str">
        <f>HYPERLINK("https://www.spark-marketing.ru/Card/Person/4372911", "МБОУ ""ЯСШ № 4""")</f>
        <v>МБОУ "ЯСШ № 4"</v>
      </c>
      <c r="B4146" s="24" t="s">
        <v>6778</v>
      </c>
      <c r="C4146" s="25">
        <v>4999973</v>
      </c>
      <c r="D4146" s="22" t="s">
        <v>6779</v>
      </c>
      <c r="E4146" s="22" t="s">
        <v>48</v>
      </c>
      <c r="F4146" s="23" t="str">
        <f>HYPERLINK("https://www.spark-marketing.ru/Card/Lot/73222115", "Услуги по организации горячего питания (завтраки и обеды) обучающихся")</f>
        <v>Услуги по организации горячего питания (завтраки и обеды) обучающихся</v>
      </c>
      <c r="G4146" s="22" t="s">
        <v>108</v>
      </c>
      <c r="H4146" s="22" t="s">
        <v>1321</v>
      </c>
      <c r="I4146" s="26">
        <v>43712.393750000003</v>
      </c>
      <c r="J4146" s="23" t="str">
        <f>HYPERLINK("https://www.spark-marketing.ru/Card/Person/6171161", "Фартушная-Близнюк Галина Николаевна")</f>
        <v>Фартушная-Близнюк Галина Николаевна</v>
      </c>
      <c r="K4146" s="24" t="s">
        <v>6780</v>
      </c>
      <c r="L4146" s="28" t="s">
        <v>51</v>
      </c>
      <c r="M4146" s="25">
        <v>4999973</v>
      </c>
      <c r="N4146" s="27">
        <v>0</v>
      </c>
    </row>
    <row r="4147" spans="1:14" x14ac:dyDescent="0.15">
      <c r="A4147" s="23" t="str">
        <f>HYPERLINK("https://www.spark-marketing.ru/Card/Person/88572", "МБДОУ ""ДЕТСКИЙ САД №85 ""КАПЕЛЬКА""")</f>
        <v>МБДОУ "ДЕТСКИЙ САД №85 "КАПЕЛЬКА"</v>
      </c>
      <c r="B4147" s="24" t="s">
        <v>6781</v>
      </c>
      <c r="C4147" s="25">
        <v>292331.52000000002</v>
      </c>
      <c r="D4147" s="22" t="s">
        <v>6782</v>
      </c>
      <c r="E4147" s="22" t="s">
        <v>48</v>
      </c>
      <c r="F4147" s="23" t="str">
        <f>HYPERLINK("https://www.spark-marketing.ru/Card/Lot/73221797", "оказание услуг по организации сбалансированного питания воспитанников для нужд МБДОУ «Детский сад №85 «Капелька»")</f>
        <v>оказание услуг по организации сбалансированного питания воспитанников для нужд МБДОУ «Детский сад №85 «Капелька»</v>
      </c>
      <c r="G4147" s="22" t="s">
        <v>217</v>
      </c>
      <c r="H4147" s="22" t="s">
        <v>1998</v>
      </c>
      <c r="I4147" s="26">
        <v>43712.400694444397</v>
      </c>
      <c r="J4147" s="23" t="str">
        <f>HYPERLINK("https://www.spark-marketing.ru/Card/Person/87385", "ООО ""ШКОЛЬНОЕ ПИТАНИЕ""")</f>
        <v>ООО "ШКОЛЬНОЕ ПИТАНИЕ"</v>
      </c>
      <c r="K4147" s="24" t="s">
        <v>6356</v>
      </c>
      <c r="L4147" s="22" t="s">
        <v>10</v>
      </c>
      <c r="M4147" s="28" t="s">
        <v>51</v>
      </c>
      <c r="N4147" s="28" t="s">
        <v>51</v>
      </c>
    </row>
    <row r="4148" spans="1:14" x14ac:dyDescent="0.15">
      <c r="A4148" s="23" t="str">
        <f>HYPERLINK("https://www.spark-marketing.ru/Card/Person/4344124", "ДЕПЗДРАВ ЮГРЫ")</f>
        <v>ДЕПЗДРАВ ЮГРЫ</v>
      </c>
      <c r="B4148" s="24" t="s">
        <v>6783</v>
      </c>
      <c r="C4148" s="25">
        <v>3962666.4</v>
      </c>
      <c r="D4148" s="22" t="s">
        <v>6784</v>
      </c>
      <c r="E4148" s="22" t="s">
        <v>86</v>
      </c>
      <c r="F4148" s="23" t="str">
        <f>HYPERLINK("https://www.spark-marketing.ru/Card/Lot/73218905", "Оказание услуг санаторно-курортного лечения взрослому населению с хроническими болезнями нервной, эндокринной системы, расстройствами питания и нарушения обмена веществ, органов пищеварения, костно-мышечной системы")</f>
        <v>Оказание услуг санаторно-курортного лечения взрослому населению с хроническими болезнями нервной, эндокринной системы, расстройствами питания и нарушения обмена веществ, органов пищеварения, костно-мышечной системы</v>
      </c>
      <c r="G4148" s="22" t="s">
        <v>97</v>
      </c>
      <c r="H4148" s="22" t="s">
        <v>98</v>
      </c>
      <c r="I4148" s="26">
        <v>43712.3840277778</v>
      </c>
      <c r="J4148" s="23" t="str">
        <f>HYPERLINK("https://www.spark-marketing.ru/Card/Person/2580663", "ООО ЦР ""НЕФТЯНИК САМОТЛОРА""")</f>
        <v>ООО ЦР "НЕФТЯНИК САМОТЛОРА"</v>
      </c>
      <c r="K4148" s="24" t="s">
        <v>6785</v>
      </c>
      <c r="L4148" s="22" t="s">
        <v>10</v>
      </c>
      <c r="M4148" s="28" t="s">
        <v>51</v>
      </c>
      <c r="N4148" s="28" t="s">
        <v>51</v>
      </c>
    </row>
    <row r="4149" spans="1:14" x14ac:dyDescent="0.15">
      <c r="A4149" s="23" t="str">
        <f>HYPERLINK("https://www.spark-marketing.ru/Card/Person/61055", "СПБ ГБУЗ ""ГОРОДСКАЯ ПОЛИКЛИНИКА №6""")</f>
        <v>СПБ ГБУЗ "ГОРОДСКАЯ ПОЛИКЛИНИКА №6"</v>
      </c>
      <c r="B4149" s="24" t="s">
        <v>6786</v>
      </c>
      <c r="C4149" s="25">
        <v>45000</v>
      </c>
      <c r="D4149" s="22" t="s">
        <v>6787</v>
      </c>
      <c r="E4149" s="22" t="s">
        <v>317</v>
      </c>
      <c r="F4149" s="23" t="str">
        <f>HYPERLINK("https://www.spark-marketing.ru/Card/Lot/73220649", "Поставка медицинского изделия (тонометр офтальмологический для определения ВГД), включая услуги по сборке, вводу в эксплуатацию медицинского изделия, обучению правилам эксплуатации и инструктажу специалистов Заказчика, эксплуатирующих медицинское изд...")</f>
        <v>Поставка медицинского изделия (тонометр офтальмологический для определения ВГД), включая услуги по сборке, вводу в эксплуатацию медицинского изделия, обучению правилам эксплуатации и инструктажу специалистов Заказчика, эксплуатирующих медицинское изд...</v>
      </c>
      <c r="G4149" s="22" t="s">
        <v>117</v>
      </c>
      <c r="H4149" s="22" t="s">
        <v>117</v>
      </c>
      <c r="I4149" s="26">
        <v>43712.397916666698</v>
      </c>
      <c r="J4149" s="28" t="s">
        <v>51</v>
      </c>
      <c r="K4149" s="28" t="s">
        <v>51</v>
      </c>
      <c r="L4149" s="28" t="s">
        <v>51</v>
      </c>
      <c r="M4149" s="28" t="s">
        <v>51</v>
      </c>
      <c r="N4149" s="28" t="s">
        <v>51</v>
      </c>
    </row>
    <row r="4150" spans="1:14" hidden="1" outlineLevel="1" x14ac:dyDescent="0.2">
      <c r="A4150" s="23" t="str">
        <f>HYPERLINK("https://www.spark-marketing.ru/Card/Person/61055", "СПБ ГБУЗ ""ГОРОДСКАЯ ПОЛИКЛИНИКА №6""")</f>
        <v>СПБ ГБУЗ "ГОРОДСКАЯ ПОЛИКЛИНИКА №6"</v>
      </c>
      <c r="B4150" s="24" t="s">
        <v>6786</v>
      </c>
      <c r="C4150" s="25">
        <v>45000</v>
      </c>
      <c r="D4150" s="22" t="s">
        <v>6787</v>
      </c>
      <c r="E4150" s="22" t="s">
        <v>317</v>
      </c>
      <c r="F4150" s="23" t="str">
        <f>HYPERLINK("https://www.spark-marketing.ru/Card/Lot/73220649", "Поставка медицинского изделия (тонометр офтальмологический для определения ВГД), включая услуги по сборке, вводу в эксплуатацию медицинского изделия, обучению правилам эксплуатации и инструктажу специалистов Заказчика, эксплуатирующих медицинское изд...")</f>
        <v>Поставка медицинского изделия (тонометр офтальмологический для определения ВГД), включая услуги по сборке, вводу в эксплуатацию медицинского изделия, обучению правилам эксплуатации и инструктажу специалистов Заказчика, эксплуатирующих медицинское изд...</v>
      </c>
      <c r="G4150" s="22" t="s">
        <v>117</v>
      </c>
      <c r="H4150" s="22" t="s">
        <v>117</v>
      </c>
      <c r="I4150" s="26">
        <v>43712.397916666698</v>
      </c>
      <c r="J4150" s="23" t="str">
        <f>HYPERLINK("https://www.spark-marketing.ru/Card/Person/188560", "ООО ""ГЕОПУЛЬС""")</f>
        <v>ООО "ГЕОПУЛЬС"</v>
      </c>
      <c r="K4150" s="24" t="s">
        <v>6788</v>
      </c>
      <c r="L4150" s="28" t="s">
        <v>51</v>
      </c>
      <c r="M4150" s="25">
        <v>36075</v>
      </c>
      <c r="N4150" s="27">
        <v>0.19833333333333333</v>
      </c>
    </row>
    <row r="4151" spans="1:14" ht="12.75" hidden="1" outlineLevel="1" x14ac:dyDescent="0.2">
      <c r="A4151" s="23" t="str">
        <f>HYPERLINK("https://www.spark-marketing.ru/Card/Person/61055", "СПБ ГБУЗ ""ГОРОДСКАЯ ПОЛИКЛИНИКА №6""")</f>
        <v>СПБ ГБУЗ "ГОРОДСКАЯ ПОЛИКЛИНИКА №6"</v>
      </c>
      <c r="B4151" s="24" t="s">
        <v>6786</v>
      </c>
      <c r="C4151" s="25">
        <v>45000</v>
      </c>
      <c r="D4151" s="22" t="s">
        <v>6787</v>
      </c>
      <c r="E4151" s="22" t="s">
        <v>317</v>
      </c>
      <c r="F4151" s="23" t="str">
        <f>HYPERLINK("https://www.spark-marketing.ru/Card/Lot/73220649", "Поставка медицинского изделия (тонометр офтальмологический для определения ВГД), включая услуги по сборке, вводу в эксплуатацию медицинского изделия, обучению правилам эксплуатации и инструктажу специалистов Заказчика, эксплуатирующих медицинское изд...")</f>
        <v>Поставка медицинского изделия (тонометр офтальмологический для определения ВГД), включая услуги по сборке, вводу в эксплуатацию медицинского изделия, обучению правилам эксплуатации и инструктажу специалистов Заказчика, эксплуатирующих медицинское изд...</v>
      </c>
      <c r="G4151" s="22" t="s">
        <v>117</v>
      </c>
      <c r="H4151" s="22" t="s">
        <v>117</v>
      </c>
      <c r="I4151" s="26">
        <v>43712.397916666698</v>
      </c>
      <c r="J4151" s="23" t="str">
        <f>HYPERLINK("https://www.spark-marketing.ru/Card/Person/307826", "Богданова Ольга Сергеевна")</f>
        <v>Богданова Ольга Сергеевна</v>
      </c>
      <c r="K4151" s="24" t="s">
        <v>6789</v>
      </c>
      <c r="L4151" s="22" t="s">
        <v>10</v>
      </c>
      <c r="M4151" s="25">
        <v>36075</v>
      </c>
      <c r="N4151" s="27">
        <v>0.19833333333333333</v>
      </c>
    </row>
    <row r="4152" spans="1:14" hidden="1" outlineLevel="1" x14ac:dyDescent="0.2">
      <c r="A4152" s="23" t="str">
        <f>HYPERLINK("https://www.spark-marketing.ru/Card/Person/61055", "СПБ ГБУЗ ""ГОРОДСКАЯ ПОЛИКЛИНИКА №6""")</f>
        <v>СПБ ГБУЗ "ГОРОДСКАЯ ПОЛИКЛИНИКА №6"</v>
      </c>
      <c r="B4152" s="24" t="s">
        <v>6786</v>
      </c>
      <c r="C4152" s="25">
        <v>45000</v>
      </c>
      <c r="D4152" s="22" t="s">
        <v>6787</v>
      </c>
      <c r="E4152" s="22" t="s">
        <v>317</v>
      </c>
      <c r="F4152" s="23" t="str">
        <f>HYPERLINK("https://www.spark-marketing.ru/Card/Lot/73220649", "Поставка медицинского изделия (тонометр офтальмологический для определения ВГД), включая услуги по сборке, вводу в эксплуатацию медицинского изделия, обучению правилам эксплуатации и инструктажу специалистов Заказчика, эксплуатирующих медицинское изд...")</f>
        <v>Поставка медицинского изделия (тонометр офтальмологический для определения ВГД), включая услуги по сборке, вводу в эксплуатацию медицинского изделия, обучению правилам эксплуатации и инструктажу специалистов Заказчика, эксплуатирующих медицинское изд...</v>
      </c>
      <c r="G4152" s="22" t="s">
        <v>117</v>
      </c>
      <c r="H4152" s="22" t="s">
        <v>117</v>
      </c>
      <c r="I4152" s="26">
        <v>43712.397916666698</v>
      </c>
      <c r="J4152" s="23" t="str">
        <f>HYPERLINK("https://www.spark-marketing.ru/Card/Person/49690", "ООО ""АСПЕКТ""")</f>
        <v>ООО "АСПЕКТ"</v>
      </c>
      <c r="K4152" s="24" t="s">
        <v>6790</v>
      </c>
      <c r="L4152" s="28" t="s">
        <v>51</v>
      </c>
      <c r="M4152" s="25">
        <v>38925</v>
      </c>
      <c r="N4152" s="27">
        <v>0.13500000000000001</v>
      </c>
    </row>
    <row r="4153" spans="1:14" x14ac:dyDescent="0.15">
      <c r="A4153" s="23" t="str">
        <f>HYPERLINK("https://www.spark-marketing.ru/Card/Person/60285", "МОУ ""СРЕДНЯЯ ОБЩЕОБРАЗОВАТЕЛЬНАЯ ШКОЛА №2 Г.НАДЫМА""")</f>
        <v>МОУ "СРЕДНЯЯ ОБЩЕОБРАЗОВАТЕЛЬНАЯ ШКОЛА №2 Г.НАДЫМА"</v>
      </c>
      <c r="B4153" s="24" t="s">
        <v>6776</v>
      </c>
      <c r="C4153" s="25">
        <v>966606</v>
      </c>
      <c r="D4153" s="22" t="s">
        <v>6791</v>
      </c>
      <c r="E4153" s="22" t="s">
        <v>48</v>
      </c>
      <c r="F4153" s="23" t="str">
        <f>HYPERLINK("https://www.spark-marketing.ru/Card/Lot/73218504", "Оказание услуг по организации обеспечения горячим питанием учащихся")</f>
        <v>Оказание услуг по организации обеспечения горячим питанием учащихся</v>
      </c>
      <c r="G4153" s="22" t="s">
        <v>1056</v>
      </c>
      <c r="H4153" s="22" t="s">
        <v>1056</v>
      </c>
      <c r="I4153" s="26">
        <v>43712.374305555597</v>
      </c>
      <c r="J4153" s="23" t="str">
        <f>HYPERLINK("https://www.spark-marketing.ru/Card/Person/124407", "Глушкова Рузиля Рашитовна")</f>
        <v>Глушкова Рузиля Рашитовна</v>
      </c>
      <c r="K4153" s="24" t="s">
        <v>2703</v>
      </c>
      <c r="L4153" s="22" t="s">
        <v>10</v>
      </c>
      <c r="M4153" s="28" t="s">
        <v>51</v>
      </c>
      <c r="N4153" s="28" t="s">
        <v>51</v>
      </c>
    </row>
    <row r="4154" spans="1:14" x14ac:dyDescent="0.15">
      <c r="A4154" s="23" t="str">
        <f>HYPERLINK("https://www.spark-marketing.ru/Card/Person/6493201", "ОТД МВД РОССИИ ПО КУРУМКАНСКОМУ РАЙОНУ")</f>
        <v>ОТД МВД РОССИИ ПО КУРУМКАНСКОМУ РАЙОНУ</v>
      </c>
      <c r="B4154" s="24" t="s">
        <v>6792</v>
      </c>
      <c r="C4154" s="25">
        <v>657000</v>
      </c>
      <c r="D4154" s="22" t="s">
        <v>6793</v>
      </c>
      <c r="E4154" s="22" t="s">
        <v>48</v>
      </c>
      <c r="F4154" s="23" t="str">
        <f>HYPERLINK("https://www.spark-marketing.ru/Card/Lot/73214225", "Услуги по обеспечению питанием подозреваемых и обвиняемых лиц,административно арестованных содержащихся в ИВС и в комнате содержания задержанных лиц в дежурной части")</f>
        <v>Услуги по обеспечению питанием подозреваемых и обвиняемых лиц,административно арестованных содержащихся в ИВС и в комнате содержания задержанных лиц в дежурной части</v>
      </c>
      <c r="G4154" s="22" t="s">
        <v>433</v>
      </c>
      <c r="H4154" s="22" t="s">
        <v>6794</v>
      </c>
      <c r="I4154" s="26">
        <v>43712.374305555597</v>
      </c>
      <c r="J4154" s="23" t="str">
        <f>HYPERLINK("https://www.spark-marketing.ru/Card/Person/214457", "АУСО РБ ""КУРУМКАНСКИЙ ДИ""")</f>
        <v>АУСО РБ "КУРУМКАНСКИЙ ДИ"</v>
      </c>
      <c r="K4154" s="24" t="s">
        <v>6795</v>
      </c>
      <c r="L4154" s="22" t="s">
        <v>10</v>
      </c>
      <c r="M4154" s="28" t="s">
        <v>51</v>
      </c>
      <c r="N4154" s="28" t="s">
        <v>51</v>
      </c>
    </row>
    <row r="4155" spans="1:14" x14ac:dyDescent="0.15">
      <c r="A4155" s="23" t="str">
        <f>HYPERLINK("https://www.spark-marketing.ru/Card/Person/52594", "ОТДЕЛ МВД РОССИИ ПО ГОРОДУ АРМАВИРУ")</f>
        <v>ОТДЕЛ МВД РОССИИ ПО ГОРОДУ АРМАВИРУ</v>
      </c>
      <c r="B4155" s="24" t="s">
        <v>6796</v>
      </c>
      <c r="C4155" s="25">
        <v>693750</v>
      </c>
      <c r="D4155" s="22" t="s">
        <v>6797</v>
      </c>
      <c r="E4155" s="22" t="s">
        <v>48</v>
      </c>
      <c r="F4155" s="23" t="str">
        <f>HYPERLINK("https://www.spark-marketing.ru/Card/Lot/73219532", "питание ивс и сп")</f>
        <v>питание ивс и сп</v>
      </c>
      <c r="G4155" s="22" t="s">
        <v>104</v>
      </c>
      <c r="H4155" s="22" t="s">
        <v>3800</v>
      </c>
      <c r="I4155" s="26">
        <v>43712.368055555598</v>
      </c>
      <c r="J4155" s="28" t="s">
        <v>51</v>
      </c>
      <c r="K4155" s="28" t="s">
        <v>51</v>
      </c>
      <c r="L4155" s="28" t="s">
        <v>51</v>
      </c>
      <c r="M4155" s="28" t="s">
        <v>51</v>
      </c>
      <c r="N4155" s="28" t="s">
        <v>51</v>
      </c>
    </row>
    <row r="4156" spans="1:14" ht="12.75" hidden="1" outlineLevel="1" x14ac:dyDescent="0.2">
      <c r="A4156" s="23" t="str">
        <f>HYPERLINK("https://www.spark-marketing.ru/Card/Person/52594", "ОТДЕЛ МВД РОССИИ ПО ГОРОДУ АРМАВИРУ")</f>
        <v>ОТДЕЛ МВД РОССИИ ПО ГОРОДУ АРМАВИРУ</v>
      </c>
      <c r="B4156" s="24" t="s">
        <v>6796</v>
      </c>
      <c r="C4156" s="25">
        <v>693750</v>
      </c>
      <c r="D4156" s="22" t="s">
        <v>6797</v>
      </c>
      <c r="E4156" s="22" t="s">
        <v>48</v>
      </c>
      <c r="F4156" s="23" t="str">
        <f>HYPERLINK("https://www.spark-marketing.ru/Card/Lot/73219532", "питание ивс и сп")</f>
        <v>питание ивс и сп</v>
      </c>
      <c r="G4156" s="22" t="s">
        <v>104</v>
      </c>
      <c r="H4156" s="22" t="s">
        <v>3800</v>
      </c>
      <c r="I4156" s="26">
        <v>43712.368055555598</v>
      </c>
      <c r="J4156" s="23" t="str">
        <f>HYPERLINK("https://www.spark-marketing.ru/Card/Person/1944082", "ООО ""ВИЗАВИА""")</f>
        <v>ООО "ВИЗАВИА"</v>
      </c>
      <c r="K4156" s="24" t="s">
        <v>6798</v>
      </c>
      <c r="L4156" s="22" t="s">
        <v>10</v>
      </c>
      <c r="M4156" s="25">
        <v>464812.5</v>
      </c>
      <c r="N4156" s="27">
        <v>0.33</v>
      </c>
    </row>
    <row r="4157" spans="1:14" hidden="1" outlineLevel="1" x14ac:dyDescent="0.2">
      <c r="A4157" s="23" t="str">
        <f>HYPERLINK("https://www.spark-marketing.ru/Card/Person/52594", "ОТДЕЛ МВД РОССИИ ПО ГОРОДУ АРМАВИРУ")</f>
        <v>ОТДЕЛ МВД РОССИИ ПО ГОРОДУ АРМАВИРУ</v>
      </c>
      <c r="B4157" s="24" t="s">
        <v>6796</v>
      </c>
      <c r="C4157" s="25">
        <v>693750</v>
      </c>
      <c r="D4157" s="22" t="s">
        <v>6797</v>
      </c>
      <c r="E4157" s="22" t="s">
        <v>48</v>
      </c>
      <c r="F4157" s="23" t="str">
        <f>HYPERLINK("https://www.spark-marketing.ru/Card/Lot/73219532", "питание ивс и сп")</f>
        <v>питание ивс и сп</v>
      </c>
      <c r="G4157" s="22" t="s">
        <v>104</v>
      </c>
      <c r="H4157" s="22" t="s">
        <v>3800</v>
      </c>
      <c r="I4157" s="26">
        <v>43712.368055555598</v>
      </c>
      <c r="J4157" s="23" t="str">
        <f>HYPERLINK("https://www.spark-marketing.ru/Card/Person/6684459", "Лазаренко Светлана Анатольевна")</f>
        <v>Лазаренко Светлана Анатольевна</v>
      </c>
      <c r="K4157" s="24" t="s">
        <v>6799</v>
      </c>
      <c r="L4157" s="28" t="s">
        <v>51</v>
      </c>
      <c r="M4157" s="25">
        <v>468281.25</v>
      </c>
      <c r="N4157" s="27">
        <v>0.32500000000000001</v>
      </c>
    </row>
    <row r="4158" spans="1:14" hidden="1" outlineLevel="1" x14ac:dyDescent="0.2">
      <c r="A4158" s="23" t="str">
        <f>HYPERLINK("https://www.spark-marketing.ru/Card/Person/52594", "ОТДЕЛ МВД РОССИИ ПО ГОРОДУ АРМАВИРУ")</f>
        <v>ОТДЕЛ МВД РОССИИ ПО ГОРОДУ АРМАВИРУ</v>
      </c>
      <c r="B4158" s="24" t="s">
        <v>6796</v>
      </c>
      <c r="C4158" s="25">
        <v>693750</v>
      </c>
      <c r="D4158" s="22" t="s">
        <v>6797</v>
      </c>
      <c r="E4158" s="22" t="s">
        <v>48</v>
      </c>
      <c r="F4158" s="23" t="str">
        <f>HYPERLINK("https://www.spark-marketing.ru/Card/Lot/73219532", "питание ивс и сп")</f>
        <v>питание ивс и сп</v>
      </c>
      <c r="G4158" s="22" t="s">
        <v>104</v>
      </c>
      <c r="H4158" s="22" t="s">
        <v>3800</v>
      </c>
      <c r="I4158" s="26">
        <v>43712.368055555598</v>
      </c>
      <c r="J4158" s="23" t="str">
        <f>HYPERLINK("https://www.spark-marketing.ru/Card/Person/4310488", "ООО ""КОСМОС""")</f>
        <v>ООО "КОСМОС"</v>
      </c>
      <c r="K4158" s="24" t="s">
        <v>6800</v>
      </c>
      <c r="L4158" s="28" t="s">
        <v>51</v>
      </c>
      <c r="M4158" s="25">
        <v>475218.75</v>
      </c>
      <c r="N4158" s="27">
        <v>0.315</v>
      </c>
    </row>
    <row r="4159" spans="1:14" x14ac:dyDescent="0.15">
      <c r="A4159" s="23" t="str">
        <f>HYPERLINK("https://www.spark-marketing.ru/Card/Person/6694997", "ФЛ РУДНИК ЧЕРЕМШАНСКИЙ АО КРЕМНИЙ")</f>
        <v>ФЛ РУДНИК ЧЕРЕМШАНСКИЙ АО КРЕМНИЙ</v>
      </c>
      <c r="B4159" s="28" t="s">
        <v>51</v>
      </c>
      <c r="C4159" s="28" t="s">
        <v>51</v>
      </c>
      <c r="D4159" s="22" t="s">
        <v>6801</v>
      </c>
      <c r="E4159" s="22" t="s">
        <v>6802</v>
      </c>
      <c r="F4159" s="23" t="str">
        <f>HYPERLINK("https://www.spark-marketing.ru/Card/Lot/73216732", "Предоставление услуг корпоративного питания сотрудников")</f>
        <v>Предоставление услуг корпоративного питания сотрудников</v>
      </c>
      <c r="G4159" s="22" t="s">
        <v>51</v>
      </c>
      <c r="H4159" s="22" t="s">
        <v>51</v>
      </c>
      <c r="I4159" s="26">
        <v>43712.2574537037</v>
      </c>
      <c r="J4159" s="28" t="s">
        <v>51</v>
      </c>
      <c r="K4159" s="28" t="s">
        <v>51</v>
      </c>
      <c r="L4159" s="28" t="s">
        <v>51</v>
      </c>
      <c r="M4159" s="28" t="s">
        <v>51</v>
      </c>
      <c r="N4159" s="28" t="s">
        <v>51</v>
      </c>
    </row>
    <row r="4160" spans="1:14" x14ac:dyDescent="0.15">
      <c r="A4160" s="23" t="str">
        <f>HYPERLINK("https://www.spark-marketing.ru/Card/Person/1016245", "ОТД МВД РОССИИ ПО ОЛЬСКОМУ РАЙОНУ")</f>
        <v>ОТД МВД РОССИИ ПО ОЛЬСКОМУ РАЙОНУ</v>
      </c>
      <c r="B4160" s="24" t="s">
        <v>6803</v>
      </c>
      <c r="C4160" s="25">
        <v>500</v>
      </c>
      <c r="D4160" s="22" t="s">
        <v>6804</v>
      </c>
      <c r="E4160" s="22" t="s">
        <v>48</v>
      </c>
      <c r="F4160" s="23" t="str">
        <f>HYPERLINK("https://www.spark-marketing.ru/Card/Lot/73213895", "Услуги по доставке горячего питания (завтрак, обед, ужин), 1 усл. ед")</f>
        <v>Услуги по доставке горячего питания (завтрак, обед, ужин), 1 усл. ед</v>
      </c>
      <c r="G4160" s="22" t="s">
        <v>548</v>
      </c>
      <c r="H4160" s="22" t="s">
        <v>6805</v>
      </c>
      <c r="I4160" s="26">
        <v>43712.120925925898</v>
      </c>
      <c r="J4160" s="28" t="s">
        <v>51</v>
      </c>
      <c r="K4160" s="28" t="s">
        <v>51</v>
      </c>
      <c r="L4160" s="28" t="s">
        <v>51</v>
      </c>
      <c r="M4160" s="28" t="s">
        <v>51</v>
      </c>
      <c r="N4160" s="28" t="s">
        <v>51</v>
      </c>
    </row>
    <row r="4161" spans="1:14" x14ac:dyDescent="0.15">
      <c r="A4161" s="23" t="str">
        <f>HYPERLINK("https://www.spark-marketing.ru/Card/Person/1053704", "МАОУ СОШ № 3 ИМ. ПУШКИНА")</f>
        <v>МАОУ СОШ № 3 ИМ. ПУШКИНА</v>
      </c>
      <c r="B4161" s="24" t="s">
        <v>6806</v>
      </c>
      <c r="C4161" s="25">
        <v>4440640</v>
      </c>
      <c r="D4161" s="22" t="s">
        <v>6807</v>
      </c>
      <c r="E4161" s="22" t="s">
        <v>362</v>
      </c>
      <c r="F4161" s="23" t="str">
        <f>HYPERLINK("https://www.spark-marketing.ru/Card/Lot/73234251", "Оказание услуги по организации питания обучающихся МАОУ СОШ № 3 им. Пушкина в 1 полугодии 2019-2020 учебного года")</f>
        <v>Оказание услуги по организации питания обучающихся МАОУ СОШ № 3 им. Пушкина в 1 полугодии 2019-2020 учебного года</v>
      </c>
      <c r="G4161" s="22" t="s">
        <v>104</v>
      </c>
      <c r="H4161" s="22" t="s">
        <v>104</v>
      </c>
      <c r="I4161" s="26">
        <v>43712</v>
      </c>
      <c r="J4161" s="28" t="s">
        <v>51</v>
      </c>
      <c r="K4161" s="28" t="s">
        <v>51</v>
      </c>
      <c r="L4161" s="28" t="s">
        <v>51</v>
      </c>
      <c r="M4161" s="28" t="s">
        <v>51</v>
      </c>
      <c r="N4161" s="28" t="s">
        <v>51</v>
      </c>
    </row>
    <row r="4162" spans="1:14" x14ac:dyDescent="0.15">
      <c r="A4162" s="23" t="str">
        <f>HYPERLINK("https://www.spark-marketing.ru/Card/Person/1236009", "МАОУ ""ООШ №32""")</f>
        <v>МАОУ "ООШ №32"</v>
      </c>
      <c r="B4162" s="24" t="s">
        <v>6808</v>
      </c>
      <c r="C4162" s="25">
        <v>236880</v>
      </c>
      <c r="D4162" s="22" t="s">
        <v>6809</v>
      </c>
      <c r="E4162" s="22" t="s">
        <v>362</v>
      </c>
      <c r="F4162" s="23" t="str">
        <f>HYPERLINK("https://www.spark-marketing.ru/Card/Lot/73342303", "услуги по организации питания, обучающихся (горячие завтраки и обеды)")</f>
        <v>услуги по организации питания, обучающихся (горячие завтраки и обеды)</v>
      </c>
      <c r="G4162" s="22" t="s">
        <v>304</v>
      </c>
      <c r="H4162" s="22" t="s">
        <v>304</v>
      </c>
      <c r="I4162" s="26">
        <v>43719</v>
      </c>
      <c r="J4162" s="28" t="s">
        <v>51</v>
      </c>
      <c r="K4162" s="28" t="s">
        <v>51</v>
      </c>
      <c r="L4162" s="28" t="s">
        <v>51</v>
      </c>
      <c r="M4162" s="28" t="s">
        <v>51</v>
      </c>
      <c r="N4162" s="28" t="s">
        <v>51</v>
      </c>
    </row>
    <row r="4163" spans="1:14" x14ac:dyDescent="0.15">
      <c r="A4163" s="23" t="str">
        <f>HYPERLINK("https://www.spark-marketing.ru/Card/Person/540172", "ОГАУ ""ФК ""САХАЛИН""")</f>
        <v>ОГАУ "ФК "САХАЛИН"</v>
      </c>
      <c r="B4163" s="24" t="s">
        <v>1416</v>
      </c>
      <c r="C4163" s="25">
        <v>416000</v>
      </c>
      <c r="D4163" s="22" t="s">
        <v>6810</v>
      </c>
      <c r="E4163" s="22" t="s">
        <v>362</v>
      </c>
      <c r="F4163" s="23" t="str">
        <f>HYPERLINK("https://www.spark-marketing.ru/Card/Lot/73221700", "Оказание услуг по организации питания")</f>
        <v>Оказание услуг по организации питания</v>
      </c>
      <c r="G4163" s="22" t="s">
        <v>260</v>
      </c>
      <c r="H4163" s="22" t="s">
        <v>260</v>
      </c>
      <c r="I4163" s="26">
        <v>43712</v>
      </c>
      <c r="J4163" s="28" t="s">
        <v>51</v>
      </c>
      <c r="K4163" s="28" t="s">
        <v>51</v>
      </c>
      <c r="L4163" s="28" t="s">
        <v>51</v>
      </c>
      <c r="M4163" s="28" t="s">
        <v>51</v>
      </c>
      <c r="N4163" s="28" t="s">
        <v>51</v>
      </c>
    </row>
    <row r="4164" spans="1:14" x14ac:dyDescent="0.15">
      <c r="A4164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4164" s="24" t="s">
        <v>1909</v>
      </c>
      <c r="C4164" s="25">
        <v>123500</v>
      </c>
      <c r="D4164" s="22" t="s">
        <v>6811</v>
      </c>
      <c r="E4164" s="22" t="s">
        <v>769</v>
      </c>
      <c r="F4164" s="23" t="str">
        <f>HYPERLINK("https://www.spark-marketing.ru/Card/Lot/73229764", "Услуги по организации питания и проживания участников турнира в ДСОЛ «Связист»")</f>
        <v>Услуги по организации питания и проживания участников турнира в ДСОЛ «Связист»</v>
      </c>
      <c r="G4164" s="22" t="s">
        <v>145</v>
      </c>
      <c r="H4164" s="22" t="s">
        <v>145</v>
      </c>
      <c r="I4164" s="26">
        <v>43712</v>
      </c>
      <c r="J4164" s="28" t="s">
        <v>51</v>
      </c>
      <c r="K4164" s="28" t="s">
        <v>51</v>
      </c>
      <c r="L4164" s="28" t="s">
        <v>51</v>
      </c>
      <c r="M4164" s="28" t="s">
        <v>51</v>
      </c>
      <c r="N4164" s="28" t="s">
        <v>51</v>
      </c>
    </row>
    <row r="4165" spans="1:14" x14ac:dyDescent="0.15">
      <c r="A4165" s="23" t="str">
        <f>HYPERLINK("https://www.spark-marketing.ru/Card/Person/1297605", "ОАУСО ""БОРОВИЧСКИЙ КЦСО""")</f>
        <v>ОАУСО "БОРОВИЧСКИЙ КЦСО"</v>
      </c>
      <c r="B4165" s="24" t="s">
        <v>6812</v>
      </c>
      <c r="C4165" s="25">
        <v>983664</v>
      </c>
      <c r="D4165" s="22" t="s">
        <v>6813</v>
      </c>
      <c r="E4165" s="22" t="s">
        <v>362</v>
      </c>
      <c r="F4165" s="23" t="str">
        <f>HYPERLINK("https://www.spark-marketing.ru/Card/Lot/73203091", "услуги по организации готового полноценного ежедневного четырехразового питания")</f>
        <v>услуги по организации готового полноценного ежедневного четырехразового питания</v>
      </c>
      <c r="G4165" s="22" t="s">
        <v>849</v>
      </c>
      <c r="H4165" s="22" t="s">
        <v>849</v>
      </c>
      <c r="I4165" s="26">
        <v>43711</v>
      </c>
      <c r="J4165" s="28" t="s">
        <v>51</v>
      </c>
      <c r="K4165" s="28" t="s">
        <v>51</v>
      </c>
      <c r="L4165" s="28" t="s">
        <v>51</v>
      </c>
      <c r="M4165" s="28" t="s">
        <v>51</v>
      </c>
      <c r="N4165" s="28" t="s">
        <v>51</v>
      </c>
    </row>
    <row r="4166" spans="1:14" x14ac:dyDescent="0.15">
      <c r="A4166" s="23" t="str">
        <f>HYPERLINK("https://www.spark-marketing.ru/Card/Person/4366144", "ООО ""ГАЗПРОМ ЭНЕРГО""")</f>
        <v>ООО "ГАЗПРОМ ЭНЕРГО"</v>
      </c>
      <c r="B4166" s="24" t="s">
        <v>6814</v>
      </c>
      <c r="C4166" s="25">
        <v>15895318.59</v>
      </c>
      <c r="D4166" s="22" t="s">
        <v>6815</v>
      </c>
      <c r="E4166" s="22" t="s">
        <v>6816</v>
      </c>
      <c r="F4166" s="23" t="str">
        <f>HYPERLINK("https://www.spark-marketing.ru/Card/Lot/73237911", "Поставка электрооборудования для нужд ООО «Газпром энерго»")</f>
        <v>Поставка электрооборудования для нужд ООО «Газпром энерго»</v>
      </c>
      <c r="G4166" s="22" t="s">
        <v>56</v>
      </c>
      <c r="H4166" s="22" t="s">
        <v>56</v>
      </c>
      <c r="I4166" s="26">
        <v>43712</v>
      </c>
      <c r="J4166" s="28" t="s">
        <v>51</v>
      </c>
      <c r="K4166" s="28" t="s">
        <v>51</v>
      </c>
      <c r="L4166" s="28" t="s">
        <v>51</v>
      </c>
      <c r="M4166" s="28" t="s">
        <v>51</v>
      </c>
      <c r="N4166" s="28" t="s">
        <v>51</v>
      </c>
    </row>
    <row r="4167" spans="1:14" x14ac:dyDescent="0.2">
      <c r="A4167" s="23" t="str">
        <f>HYPERLINK("https://www.spark-marketing.ru/Card/Person/4390549", "АО ""ЯКУТСКГЕОФИЗИКА""")</f>
        <v>АО "ЯКУТСКГЕОФИЗИКА"</v>
      </c>
      <c r="B4167" s="24" t="s">
        <v>6817</v>
      </c>
      <c r="C4167" s="25">
        <v>660000</v>
      </c>
      <c r="D4167" s="22" t="s">
        <v>6818</v>
      </c>
      <c r="E4167" s="22" t="s">
        <v>6819</v>
      </c>
      <c r="F4167" s="23" t="str">
        <f>HYPERLINK("https://www.spark-marketing.ru/Card/Lot/73217497", "Оказание услуг по доставке водным путем грузов (запасные части, продукты питания) по маршруту п. Подволошино - п. Ербогачен для нужд СП №7 АО «Якутскгеофизика»")</f>
        <v>Оказание услуг по доставке водным путем грузов (запасные части, продукты питания) по маршруту п. Подволошино - п. Ербогачен для нужд СП №7 АО «Якутскгеофизика»</v>
      </c>
      <c r="G4167" s="22" t="s">
        <v>263</v>
      </c>
      <c r="H4167" s="22" t="s">
        <v>263</v>
      </c>
      <c r="I4167" s="26">
        <v>43712</v>
      </c>
      <c r="J4167" s="28" t="s">
        <v>51</v>
      </c>
      <c r="K4167" s="28" t="s">
        <v>51</v>
      </c>
      <c r="L4167" s="28" t="s">
        <v>51</v>
      </c>
      <c r="M4167" s="25">
        <v>660000</v>
      </c>
      <c r="N4167" s="27">
        <v>0</v>
      </c>
    </row>
    <row r="4168" spans="1:14" x14ac:dyDescent="0.15">
      <c r="A4168" s="23" t="str">
        <f>HYPERLINK("https://www.spark-marketing.ru/Card/Person/1324526", "МАОУ ООШ №6")</f>
        <v>МАОУ ООШ №6</v>
      </c>
      <c r="B4168" s="24" t="s">
        <v>6820</v>
      </c>
      <c r="C4168" s="25">
        <v>412772.22</v>
      </c>
      <c r="D4168" s="22" t="s">
        <v>6821</v>
      </c>
      <c r="E4168" s="22" t="s">
        <v>362</v>
      </c>
      <c r="F4168" s="23" t="str">
        <f>HYPERLINK("https://www.spark-marketing.ru/Card/Lot/73227492", "Оказание услуг по организации питания")</f>
        <v>Оказание услуг по организации питания</v>
      </c>
      <c r="G4168" s="22" t="s">
        <v>351</v>
      </c>
      <c r="H4168" s="22" t="s">
        <v>351</v>
      </c>
      <c r="I4168" s="26">
        <v>43712</v>
      </c>
      <c r="J4168" s="28" t="s">
        <v>51</v>
      </c>
      <c r="K4168" s="28" t="s">
        <v>51</v>
      </c>
      <c r="L4168" s="28" t="s">
        <v>51</v>
      </c>
      <c r="M4168" s="28" t="s">
        <v>51</v>
      </c>
      <c r="N4168" s="28" t="s">
        <v>51</v>
      </c>
    </row>
    <row r="4169" spans="1:14" x14ac:dyDescent="0.15">
      <c r="A4169" s="23" t="str">
        <f>HYPERLINK("https://www.spark-marketing.ru/Card/Person/1322608", "МАОУ СОШ № 3")</f>
        <v>МАОУ СОШ № 3</v>
      </c>
      <c r="B4169" s="24" t="s">
        <v>2068</v>
      </c>
      <c r="C4169" s="25">
        <v>999930</v>
      </c>
      <c r="D4169" s="22" t="s">
        <v>6822</v>
      </c>
      <c r="E4169" s="22" t="s">
        <v>362</v>
      </c>
      <c r="F4169" s="23" t="str">
        <f>HYPERLINK("https://www.spark-marketing.ru/Card/Lot/73219199", "Услуги по организации горячего питания обучающихся")</f>
        <v>Услуги по организации горячего питания обучающихся</v>
      </c>
      <c r="G4169" s="22" t="s">
        <v>174</v>
      </c>
      <c r="H4169" s="22" t="s">
        <v>174</v>
      </c>
      <c r="I4169" s="26">
        <v>43712</v>
      </c>
      <c r="J4169" s="28" t="s">
        <v>51</v>
      </c>
      <c r="K4169" s="28" t="s">
        <v>51</v>
      </c>
      <c r="L4169" s="28" t="s">
        <v>51</v>
      </c>
      <c r="M4169" s="28" t="s">
        <v>51</v>
      </c>
      <c r="N4169" s="28" t="s">
        <v>51</v>
      </c>
    </row>
    <row r="4170" spans="1:14" x14ac:dyDescent="0.15">
      <c r="A4170" s="23" t="str">
        <f>HYPERLINK("https://www.spark-marketing.ru/Card/Person/1311233", "МАОУ СОШ № 10")</f>
        <v>МАОУ СОШ № 10</v>
      </c>
      <c r="B4170" s="24" t="s">
        <v>6823</v>
      </c>
      <c r="C4170" s="25">
        <v>1419001.74</v>
      </c>
      <c r="D4170" s="22" t="s">
        <v>6824</v>
      </c>
      <c r="E4170" s="22" t="s">
        <v>362</v>
      </c>
      <c r="F4170" s="23" t="str">
        <f>HYPERLINK("https://www.spark-marketing.ru/Card/Lot/73205971", "Оказание услуг по организации горячего питания для обучающихся из многодетных малоимущих и малоимущих семей, обучающихся с ограниченными возможностями здоровья")</f>
        <v>Оказание услуг по организации горячего питания для обучающихся из многодетных малоимущих и малоимущих семей, обучающихся с ограниченными возможностями здоровья</v>
      </c>
      <c r="G4170" s="22" t="s">
        <v>153</v>
      </c>
      <c r="H4170" s="22" t="s">
        <v>153</v>
      </c>
      <c r="I4170" s="26">
        <v>43711</v>
      </c>
      <c r="J4170" s="28" t="s">
        <v>51</v>
      </c>
      <c r="K4170" s="28" t="s">
        <v>51</v>
      </c>
      <c r="L4170" s="28" t="s">
        <v>51</v>
      </c>
      <c r="M4170" s="28" t="s">
        <v>51</v>
      </c>
      <c r="N4170" s="28" t="s">
        <v>51</v>
      </c>
    </row>
    <row r="4171" spans="1:14" x14ac:dyDescent="0.15">
      <c r="A4171" s="23" t="str">
        <f>HYPERLINK("https://www.spark-marketing.ru/Card/Person/1049357", "МАОУ ""СОШ № 19""")</f>
        <v>МАОУ "СОШ № 19"</v>
      </c>
      <c r="B4171" s="24" t="s">
        <v>6825</v>
      </c>
      <c r="C4171" s="25">
        <v>2640883.1</v>
      </c>
      <c r="D4171" s="22" t="s">
        <v>6826</v>
      </c>
      <c r="E4171" s="22" t="s">
        <v>362</v>
      </c>
      <c r="F4171" s="23" t="str">
        <f>HYPERLINK("https://www.spark-marketing.ru/Card/Lot/73227504", "Оказание услуги по обеспечению питанием обучающихся (сентябрь-декабрь 2019г.)")</f>
        <v>Оказание услуги по обеспечению питанием обучающихся (сентябрь-декабрь 2019г.)</v>
      </c>
      <c r="G4171" s="22" t="s">
        <v>174</v>
      </c>
      <c r="H4171" s="22" t="s">
        <v>174</v>
      </c>
      <c r="I4171" s="26">
        <v>43712</v>
      </c>
      <c r="J4171" s="28" t="s">
        <v>51</v>
      </c>
      <c r="K4171" s="28" t="s">
        <v>51</v>
      </c>
      <c r="L4171" s="28" t="s">
        <v>51</v>
      </c>
      <c r="M4171" s="28" t="s">
        <v>51</v>
      </c>
      <c r="N4171" s="28" t="s">
        <v>51</v>
      </c>
    </row>
    <row r="4172" spans="1:14" x14ac:dyDescent="0.15">
      <c r="A4172" s="23" t="str">
        <f>HYPERLINK("https://www.spark-marketing.ru/Card/Person/1180779", "ООО ""ЛУКОЙЛ-КНТ""")</f>
        <v>ООО "ЛУКОЙЛ-КНТ"</v>
      </c>
      <c r="B4172" s="24" t="s">
        <v>6827</v>
      </c>
      <c r="C4172" s="25">
        <v>1122121.28</v>
      </c>
      <c r="D4172" s="22" t="s">
        <v>6828</v>
      </c>
      <c r="E4172" s="22" t="s">
        <v>6829</v>
      </c>
      <c r="F4172" s="23" t="str">
        <f>HYPERLINK("https://www.spark-marketing.ru/Card/Lot/73197097", "Оказание услуг по организации питания работников")</f>
        <v>Оказание услуг по организации питания работников</v>
      </c>
      <c r="G4172" s="22" t="s">
        <v>400</v>
      </c>
      <c r="H4172" s="22" t="s">
        <v>400</v>
      </c>
      <c r="I4172" s="26">
        <v>43711</v>
      </c>
      <c r="J4172" s="28" t="s">
        <v>51</v>
      </c>
      <c r="K4172" s="28" t="s">
        <v>51</v>
      </c>
      <c r="L4172" s="28" t="s">
        <v>51</v>
      </c>
      <c r="M4172" s="28" t="s">
        <v>51</v>
      </c>
      <c r="N4172" s="28" t="s">
        <v>51</v>
      </c>
    </row>
    <row r="4173" spans="1:14" x14ac:dyDescent="0.15">
      <c r="A4173" s="23" t="str">
        <f>HYPERLINK("https://www.spark-marketing.ru/Card/Person/1134202", "МАОУ ""СОШ №2""")</f>
        <v>МАОУ "СОШ №2"</v>
      </c>
      <c r="B4173" s="24" t="s">
        <v>6830</v>
      </c>
      <c r="C4173" s="25">
        <v>750000</v>
      </c>
      <c r="D4173" s="22" t="s">
        <v>6831</v>
      </c>
      <c r="E4173" s="22" t="s">
        <v>362</v>
      </c>
      <c r="F4173" s="23" t="str">
        <f>HYPERLINK("https://www.spark-marketing.ru/Card/Lot/73237985", "Выполнение полного комплекса оказания услуг по организации питания в столовой")</f>
        <v>Выполнение полного комплекса оказания услуг по организации питания в столовой</v>
      </c>
      <c r="G4173" s="22" t="s">
        <v>663</v>
      </c>
      <c r="H4173" s="22" t="s">
        <v>663</v>
      </c>
      <c r="I4173" s="26">
        <v>43712</v>
      </c>
      <c r="J4173" s="28" t="s">
        <v>51</v>
      </c>
      <c r="K4173" s="28" t="s">
        <v>51</v>
      </c>
      <c r="L4173" s="28" t="s">
        <v>51</v>
      </c>
      <c r="M4173" s="28" t="s">
        <v>51</v>
      </c>
      <c r="N4173" s="28" t="s">
        <v>51</v>
      </c>
    </row>
    <row r="4174" spans="1:14" x14ac:dyDescent="0.2">
      <c r="A4174" s="23" t="str">
        <f>HYPERLINK("https://www.spark-marketing.ru/Card/Person/126803", "ОГАУЗ ""ТОМСКАЯ РБ""")</f>
        <v>ОГАУЗ "ТОМСКАЯ РБ"</v>
      </c>
      <c r="B4174" s="24" t="s">
        <v>6832</v>
      </c>
      <c r="C4174" s="25">
        <v>14687500</v>
      </c>
      <c r="D4174" s="22" t="s">
        <v>6833</v>
      </c>
      <c r="E4174" s="22" t="s">
        <v>362</v>
      </c>
      <c r="F4174" s="23" t="str">
        <f>HYPERLINK("https://www.spark-marketing.ru/Card/Lot/73189960", "Оказание услуг по организации питания пациентов для нужд ОГАУЗ «Томская РБ»")</f>
        <v>Оказание услуг по организации питания пациентов для нужд ОГАУЗ «Томская РБ»</v>
      </c>
      <c r="G4174" s="22" t="s">
        <v>149</v>
      </c>
      <c r="H4174" s="22" t="s">
        <v>149</v>
      </c>
      <c r="I4174" s="26">
        <v>43711</v>
      </c>
      <c r="J4174" s="28" t="s">
        <v>51</v>
      </c>
      <c r="K4174" s="28" t="s">
        <v>51</v>
      </c>
      <c r="L4174" s="22" t="s">
        <v>10</v>
      </c>
      <c r="M4174" s="25">
        <v>14687500</v>
      </c>
      <c r="N4174" s="27">
        <v>0</v>
      </c>
    </row>
    <row r="4175" spans="1:14" x14ac:dyDescent="0.15">
      <c r="A4175" s="23" t="str">
        <f>HYPERLINK("https://www.spark-marketing.ru/Card/Person/4375909", "МАОУ ""СТАРОАЛЕКСАНДРОВСКАЯ СОШ ИМ. КАЛИЕВА А.М.""")</f>
        <v>МАОУ "СТАРОАЛЕКСАНДРОВСКАЯ СОШ ИМ. КАЛИЕВА А.М."</v>
      </c>
      <c r="B4175" s="24" t="s">
        <v>2257</v>
      </c>
      <c r="C4175" s="25">
        <v>294630</v>
      </c>
      <c r="D4175" s="22" t="s">
        <v>6834</v>
      </c>
      <c r="E4175" s="22" t="s">
        <v>362</v>
      </c>
      <c r="F4175" s="23" t="str">
        <f>HYPERLINK("https://www.spark-marketing.ru/Card/Lot/73221691", "Оказание услуг по организации питания учащихся")</f>
        <v>Оказание услуг по организации питания учащихся</v>
      </c>
      <c r="G4175" s="22" t="s">
        <v>766</v>
      </c>
      <c r="H4175" s="22" t="s">
        <v>766</v>
      </c>
      <c r="I4175" s="26">
        <v>43712</v>
      </c>
      <c r="J4175" s="28" t="s">
        <v>51</v>
      </c>
      <c r="K4175" s="28" t="s">
        <v>51</v>
      </c>
      <c r="L4175" s="28" t="s">
        <v>51</v>
      </c>
      <c r="M4175" s="28" t="s">
        <v>51</v>
      </c>
      <c r="N4175" s="28" t="s">
        <v>51</v>
      </c>
    </row>
    <row r="4176" spans="1:14" x14ac:dyDescent="0.2">
      <c r="A4176" s="23" t="str">
        <f>HYPERLINK("https://www.spark-marketing.ru/Card/Person/4434632", "МАОУ СОШ № 2")</f>
        <v>МАОУ СОШ № 2</v>
      </c>
      <c r="B4176" s="24" t="s">
        <v>790</v>
      </c>
      <c r="C4176" s="25">
        <v>399000</v>
      </c>
      <c r="D4176" s="22" t="s">
        <v>6835</v>
      </c>
      <c r="E4176" s="22" t="s">
        <v>362</v>
      </c>
      <c r="F4176" s="23" t="str">
        <f>HYPERLINK("https://www.spark-marketing.ru/Card/Lot/73223665", "услуги по организации горячего питания")</f>
        <v>услуги по организации горячего питания</v>
      </c>
      <c r="G4176" s="22" t="s">
        <v>174</v>
      </c>
      <c r="H4176" s="22" t="s">
        <v>174</v>
      </c>
      <c r="I4176" s="26">
        <v>43712</v>
      </c>
      <c r="J4176" s="28" t="s">
        <v>51</v>
      </c>
      <c r="K4176" s="28" t="s">
        <v>51</v>
      </c>
      <c r="L4176" s="28" t="s">
        <v>51</v>
      </c>
      <c r="M4176" s="25">
        <v>399000</v>
      </c>
      <c r="N4176" s="27">
        <v>0</v>
      </c>
    </row>
    <row r="4177" spans="1:14" x14ac:dyDescent="0.15">
      <c r="A4177" s="23" t="str">
        <f>HYPERLINK("https://www.spark-marketing.ru/Card/Person/1759639", "МАОУ МАЛЬКОВСКАЯ СОШ")</f>
        <v>МАОУ МАЛЬКОВСКАЯ СОШ</v>
      </c>
      <c r="B4177" s="24" t="s">
        <v>5509</v>
      </c>
      <c r="C4177" s="25">
        <v>2093330.8</v>
      </c>
      <c r="D4177" s="22" t="s">
        <v>6836</v>
      </c>
      <c r="E4177" s="22" t="s">
        <v>362</v>
      </c>
      <c r="F4177" s="23" t="str">
        <f>HYPERLINK("https://www.spark-marketing.ru/Card/Lot/73219221", "Оказание услуг по организации питания обучающихся для нужд МАОУ Мальковская СОШ")</f>
        <v>Оказание услуг по организации питания обучающихся для нужд МАОУ Мальковская СОШ</v>
      </c>
      <c r="G4177" s="22" t="s">
        <v>766</v>
      </c>
      <c r="H4177" s="22" t="s">
        <v>766</v>
      </c>
      <c r="I4177" s="26">
        <v>43712</v>
      </c>
      <c r="J4177" s="28" t="s">
        <v>51</v>
      </c>
      <c r="K4177" s="28" t="s">
        <v>51</v>
      </c>
      <c r="L4177" s="28" t="s">
        <v>51</v>
      </c>
      <c r="M4177" s="28" t="s">
        <v>51</v>
      </c>
      <c r="N4177" s="28" t="s">
        <v>51</v>
      </c>
    </row>
    <row r="4178" spans="1:14" x14ac:dyDescent="0.2">
      <c r="A4178" s="23" t="str">
        <f>HYPERLINK("https://www.spark-marketing.ru/Card/Person/1099893", "ГАОУ ШКОЛА №7")</f>
        <v>ГАОУ ШКОЛА №7</v>
      </c>
      <c r="B4178" s="24" t="s">
        <v>6837</v>
      </c>
      <c r="C4178" s="25">
        <v>1950946</v>
      </c>
      <c r="D4178" s="22" t="s">
        <v>6838</v>
      </c>
      <c r="E4178" s="22" t="s">
        <v>362</v>
      </c>
      <c r="F4178" s="23" t="str">
        <f>HYPERLINK("https://www.spark-marketing.ru/Card/Lot/73221538", "Оказание услуг по организации горячего питания для учащихся")</f>
        <v>Оказание услуг по организации горячего питания для учащихся</v>
      </c>
      <c r="G4178" s="22" t="s">
        <v>210</v>
      </c>
      <c r="H4178" s="22" t="s">
        <v>210</v>
      </c>
      <c r="I4178" s="26">
        <v>43712</v>
      </c>
      <c r="J4178" s="28" t="s">
        <v>51</v>
      </c>
      <c r="K4178" s="28" t="s">
        <v>51</v>
      </c>
      <c r="L4178" s="22" t="s">
        <v>10</v>
      </c>
      <c r="M4178" s="25">
        <v>1803220</v>
      </c>
      <c r="N4178" s="27">
        <v>7.5720189077503941E-2</v>
      </c>
    </row>
    <row r="4179" spans="1:14" x14ac:dyDescent="0.15">
      <c r="A4179" s="23" t="str">
        <f>HYPERLINK("https://www.spark-marketing.ru/Card/Person/1390375", "ФГАУ ""УПРАВЛЕНИЕ СПОРТМЕРОПРИЯТИЙ""")</f>
        <v>ФГАУ "УПРАВЛЕНИЕ СПОРТМЕРОПРИЯТИЙ"</v>
      </c>
      <c r="B4179" s="24" t="s">
        <v>2632</v>
      </c>
      <c r="C4179" s="25">
        <v>3515400</v>
      </c>
      <c r="D4179" s="22" t="s">
        <v>6839</v>
      </c>
      <c r="E4179" s="22" t="s">
        <v>769</v>
      </c>
      <c r="F4179" s="23" t="str">
        <f>HYPERLINK("https://www.spark-marketing.ru/Card/Lot/73261901", "Оказание услуг по организации проживания и питания участников Всероссийских соревнований по футболу ""Кожаный мяч"" - финальные соревнования среди мальчиков 2004-2005 г.р.")</f>
        <v>Оказание услуг по организации проживания и питания участников Всероссийских соревнований по футболу "Кожаный мяч" - финальные соревнования среди мальчиков 2004-2005 г.р.</v>
      </c>
      <c r="G4179" s="22" t="s">
        <v>158</v>
      </c>
      <c r="H4179" s="22" t="s">
        <v>158</v>
      </c>
      <c r="I4179" s="26">
        <v>43713</v>
      </c>
      <c r="J4179" s="28" t="s">
        <v>51</v>
      </c>
      <c r="K4179" s="28" t="s">
        <v>51</v>
      </c>
      <c r="L4179" s="28" t="s">
        <v>51</v>
      </c>
      <c r="M4179" s="28" t="s">
        <v>51</v>
      </c>
      <c r="N4179" s="28" t="s">
        <v>51</v>
      </c>
    </row>
    <row r="4180" spans="1:14" x14ac:dyDescent="0.15">
      <c r="A4180" s="23" t="str">
        <f>HYPERLINK("https://www.spark-marketing.ru/Card/Person/4434758", "МАОУ ""СОШ П. ДЕМЬЯНКА"" УВАТСКОГО МУНИЦИПАЛЬНОГО РАЙОНА")</f>
        <v>МАОУ "СОШ П. ДЕМЬЯНКА" УВАТСКОГО МУНИЦИПАЛЬНОГО РАЙОНА</v>
      </c>
      <c r="B4180" s="24" t="s">
        <v>6840</v>
      </c>
      <c r="C4180" s="25">
        <v>454240</v>
      </c>
      <c r="D4180" s="22" t="s">
        <v>6841</v>
      </c>
      <c r="E4180" s="22" t="s">
        <v>362</v>
      </c>
      <c r="F4180" s="23" t="str">
        <f>HYPERLINK("https://www.spark-marketing.ru/Card/Lot/73227469", "Услуги по организации питания обучающихся")</f>
        <v>Услуги по организации питания обучающихся</v>
      </c>
      <c r="G4180" s="22" t="s">
        <v>766</v>
      </c>
      <c r="H4180" s="22" t="s">
        <v>766</v>
      </c>
      <c r="I4180" s="26">
        <v>43712</v>
      </c>
      <c r="J4180" s="28" t="s">
        <v>51</v>
      </c>
      <c r="K4180" s="28" t="s">
        <v>51</v>
      </c>
      <c r="L4180" s="28" t="s">
        <v>51</v>
      </c>
      <c r="M4180" s="28" t="s">
        <v>51</v>
      </c>
      <c r="N4180" s="28" t="s">
        <v>51</v>
      </c>
    </row>
    <row r="4181" spans="1:14" x14ac:dyDescent="0.15">
      <c r="A4181" s="23" t="str">
        <f>HYPERLINK("https://www.spark-marketing.ru/Card/Person/4346957", "МОСКОВСКИЙ ПЕДАГОГИЧЕСКИЙ ГОСУДАРСТВЕННЫЙ УНИВЕРСИТЕТ, ФГБОУ ВО ""МПГУ"", МПГУ")</f>
        <v>МОСКОВСКИЙ ПЕДАГОГИЧЕСКИЙ ГОСУДАРСТВЕННЫЙ УНИВЕРСИТЕТ, ФГБОУ ВО "МПГУ", МПГУ</v>
      </c>
      <c r="B4181" s="24" t="s">
        <v>6842</v>
      </c>
      <c r="C4181" s="25">
        <v>424830</v>
      </c>
      <c r="D4181" s="22" t="s">
        <v>6843</v>
      </c>
      <c r="E4181" s="22" t="s">
        <v>362</v>
      </c>
      <c r="F4181" s="23" t="str">
        <f>HYPERLINK("https://www.spark-marketing.ru/Card/Lot/73223634", "Услуги по организации и обеспечению питанием обучающихся Заказчика")</f>
        <v>Услуги по организации и обеспечению питанием обучающихся Заказчика</v>
      </c>
      <c r="G4181" s="22" t="s">
        <v>56</v>
      </c>
      <c r="H4181" s="22" t="s">
        <v>56</v>
      </c>
      <c r="I4181" s="26">
        <v>43712</v>
      </c>
      <c r="J4181" s="28" t="s">
        <v>51</v>
      </c>
      <c r="K4181" s="28" t="s">
        <v>51</v>
      </c>
      <c r="L4181" s="28" t="s">
        <v>51</v>
      </c>
      <c r="M4181" s="28" t="s">
        <v>51</v>
      </c>
      <c r="N4181" s="28" t="s">
        <v>51</v>
      </c>
    </row>
    <row r="4182" spans="1:14" x14ac:dyDescent="0.2">
      <c r="A4182" s="23" t="str">
        <f>HYPERLINK("https://www.spark-marketing.ru/Card/Person/1001877", "МОУ ""СОШ № 42""")</f>
        <v>МОУ "СОШ № 42"</v>
      </c>
      <c r="B4182" s="24" t="s">
        <v>6844</v>
      </c>
      <c r="C4182" s="25">
        <v>130656</v>
      </c>
      <c r="D4182" s="22" t="s">
        <v>6845</v>
      </c>
      <c r="E4182" s="22" t="s">
        <v>362</v>
      </c>
      <c r="F4182" s="23" t="str">
        <f>HYPERLINK("https://www.spark-marketing.ru/Card/Lot/73227466", "Услуги по организации питания учащихся")</f>
        <v>Услуги по организации питания учащихся</v>
      </c>
      <c r="G4182" s="22" t="s">
        <v>351</v>
      </c>
      <c r="H4182" s="22" t="s">
        <v>351</v>
      </c>
      <c r="I4182" s="26">
        <v>43712</v>
      </c>
      <c r="J4182" s="28" t="s">
        <v>51</v>
      </c>
      <c r="K4182" s="28" t="s">
        <v>51</v>
      </c>
      <c r="L4182" s="28" t="s">
        <v>51</v>
      </c>
      <c r="M4182" s="25">
        <v>130656</v>
      </c>
      <c r="N4182" s="27">
        <v>0</v>
      </c>
    </row>
    <row r="4183" spans="1:14" x14ac:dyDescent="0.15">
      <c r="A4183" s="23" t="str">
        <f>HYPERLINK("https://www.spark-marketing.ru/Card/Person/1759830", "МАОУ ""СОШ №30"" Г. СТЕРЛИТАМАК РЕСПУБЛИКИ БАШКОРТОСТАН")</f>
        <v>МАОУ "СОШ №30" Г. СТЕРЛИТАМАК РЕСПУБЛИКИ БАШКОРТОСТАН</v>
      </c>
      <c r="B4183" s="24" t="s">
        <v>6846</v>
      </c>
      <c r="C4183" s="25">
        <v>257600</v>
      </c>
      <c r="D4183" s="22" t="s">
        <v>6847</v>
      </c>
      <c r="E4183" s="22" t="s">
        <v>362</v>
      </c>
      <c r="F4183" s="23" t="str">
        <f>HYPERLINK("https://www.spark-marketing.ru/Card/Lot/73221218", "Организация питания обучающихся их многодетных малообеспеченных семей")</f>
        <v>Организация питания обучающихся их многодетных малообеспеченных семей</v>
      </c>
      <c r="G4183" s="22" t="s">
        <v>145</v>
      </c>
      <c r="H4183" s="22" t="s">
        <v>145</v>
      </c>
      <c r="I4183" s="26">
        <v>43712</v>
      </c>
      <c r="J4183" s="28" t="s">
        <v>51</v>
      </c>
      <c r="K4183" s="28" t="s">
        <v>51</v>
      </c>
      <c r="L4183" s="28" t="s">
        <v>51</v>
      </c>
      <c r="M4183" s="28" t="s">
        <v>51</v>
      </c>
      <c r="N4183" s="28" t="s">
        <v>51</v>
      </c>
    </row>
    <row r="4184" spans="1:14" x14ac:dyDescent="0.15">
      <c r="A4184" s="23" t="str">
        <f>HYPERLINK("https://www.spark-marketing.ru/Card/Person/150161", "ФГБУ ""КОМБИНАТ ПИТАНИЯ ""КРЕМЛЕВСКИЙ""")</f>
        <v>ФГБУ "КОМБИНАТ ПИТАНИЯ "КРЕМЛЕВСКИЙ"</v>
      </c>
      <c r="B4184" s="24" t="s">
        <v>574</v>
      </c>
      <c r="C4184" s="25">
        <v>600000</v>
      </c>
      <c r="D4184" s="22" t="s">
        <v>6848</v>
      </c>
      <c r="E4184" s="22" t="s">
        <v>362</v>
      </c>
      <c r="F4184" s="23" t="str">
        <f>HYPERLINK("https://www.spark-marketing.ru/Card/Lot/73231375", "Организация обслуживания мероприятий, связанных с оказанием услуг общественного питания")</f>
        <v>Организация обслуживания мероприятий, связанных с оказанием услуг общественного питания</v>
      </c>
      <c r="G4184" s="22" t="s">
        <v>56</v>
      </c>
      <c r="H4184" s="22" t="s">
        <v>56</v>
      </c>
      <c r="I4184" s="26">
        <v>43712</v>
      </c>
      <c r="J4184" s="28" t="s">
        <v>51</v>
      </c>
      <c r="K4184" s="28" t="s">
        <v>51</v>
      </c>
      <c r="L4184" s="28" t="s">
        <v>51</v>
      </c>
      <c r="M4184" s="28" t="s">
        <v>51</v>
      </c>
      <c r="N4184" s="28" t="s">
        <v>51</v>
      </c>
    </row>
    <row r="4185" spans="1:14" x14ac:dyDescent="0.2">
      <c r="A4185" s="23" t="str">
        <f>HYPERLINK("https://www.spark-marketing.ru/Card/Person/68391", "АСТРАХАНСКИЙ ГОСУДАРСТВЕННЫЙ УНИВЕРСИТЕТ")</f>
        <v>АСТРАХАНСКИЙ ГОСУДАРСТВЕННЫЙ УНИВЕРСИТЕТ</v>
      </c>
      <c r="B4185" s="24" t="s">
        <v>3288</v>
      </c>
      <c r="C4185" s="25">
        <v>600000</v>
      </c>
      <c r="D4185" s="22" t="s">
        <v>6849</v>
      </c>
      <c r="E4185" s="22" t="s">
        <v>794</v>
      </c>
      <c r="F4185" s="23" t="str">
        <f>HYPERLINK("https://www.spark-marketing.ru/Card/Lot/73232006", "Оказание услуг по организации проживания и питания участников в рамках проекта ""Клуб дружбы народов мира""")</f>
        <v>Оказание услуг по организации проживания и питания участников в рамках проекта "Клуб дружбы народов мира"</v>
      </c>
      <c r="G4185" s="22" t="s">
        <v>141</v>
      </c>
      <c r="H4185" s="22" t="s">
        <v>141</v>
      </c>
      <c r="I4185" s="26">
        <v>43712</v>
      </c>
      <c r="J4185" s="28" t="s">
        <v>51</v>
      </c>
      <c r="K4185" s="28" t="s">
        <v>51</v>
      </c>
      <c r="L4185" s="22" t="s">
        <v>10</v>
      </c>
      <c r="M4185" s="25">
        <v>600000</v>
      </c>
      <c r="N4185" s="27">
        <v>0</v>
      </c>
    </row>
    <row r="4186" spans="1:14" x14ac:dyDescent="0.2">
      <c r="A4186" s="23" t="str">
        <f>HYPERLINK("https://www.spark-marketing.ru/Card/Person/491009", "ОАУ ""ЦОТ БО""")</f>
        <v>ОАУ "ЦОТ БО"</v>
      </c>
      <c r="B4186" s="24" t="s">
        <v>6850</v>
      </c>
      <c r="C4186" s="25">
        <v>409445</v>
      </c>
      <c r="D4186" s="22" t="s">
        <v>6851</v>
      </c>
      <c r="E4186" s="22" t="s">
        <v>6852</v>
      </c>
      <c r="F4186" s="23" t="str">
        <f>HYPERLINK("https://www.spark-marketing.ru/Card/Lot/73201761", "Поставка и монтаж оборудования для учебного класса для осуществления деятельности учебного центра при совете по квалификациям, на базе ОАУ «Центр охраны труда Белгородской области»")</f>
        <v>Поставка и монтаж оборудования для учебного класса для осуществления деятельности учебного центра при совете по квалификациям, на базе ОАУ «Центр охраны труда Белгородской области»</v>
      </c>
      <c r="G4186" s="22" t="s">
        <v>696</v>
      </c>
      <c r="H4186" s="22" t="s">
        <v>696</v>
      </c>
      <c r="I4186" s="26">
        <v>43711</v>
      </c>
      <c r="J4186" s="28" t="s">
        <v>51</v>
      </c>
      <c r="K4186" s="28" t="s">
        <v>51</v>
      </c>
      <c r="L4186" s="22" t="s">
        <v>10</v>
      </c>
      <c r="M4186" s="25">
        <v>409445</v>
      </c>
      <c r="N4186" s="27">
        <v>0</v>
      </c>
    </row>
    <row r="4187" spans="1:14" x14ac:dyDescent="0.15">
      <c r="A4187" s="23" t="str">
        <f>HYPERLINK("https://www.spark-marketing.ru/Card/Person/1759830", "МАОУ ""СОШ №30"" Г. СТЕРЛИТАМАК РЕСПУБЛИКИ БАШКОРТОСТАН")</f>
        <v>МАОУ "СОШ №30" Г. СТЕРЛИТАМАК РЕСПУБЛИКИ БАШКОРТОСТАН</v>
      </c>
      <c r="B4187" s="24" t="s">
        <v>6846</v>
      </c>
      <c r="C4187" s="25">
        <v>181071</v>
      </c>
      <c r="D4187" s="22" t="s">
        <v>6853</v>
      </c>
      <c r="E4187" s="22" t="s">
        <v>362</v>
      </c>
      <c r="F4187" s="23" t="str">
        <f>HYPERLINK("https://www.spark-marketing.ru/Card/Lot/73221291", "Организация питания обучающихся с ограниченными возможностями здоровья")</f>
        <v>Организация питания обучающихся с ограниченными возможностями здоровья</v>
      </c>
      <c r="G4187" s="22" t="s">
        <v>145</v>
      </c>
      <c r="H4187" s="22" t="s">
        <v>145</v>
      </c>
      <c r="I4187" s="26">
        <v>43712</v>
      </c>
      <c r="J4187" s="28" t="s">
        <v>51</v>
      </c>
      <c r="K4187" s="28" t="s">
        <v>51</v>
      </c>
      <c r="L4187" s="28" t="s">
        <v>51</v>
      </c>
      <c r="M4187" s="28" t="s">
        <v>51</v>
      </c>
      <c r="N4187" s="28" t="s">
        <v>51</v>
      </c>
    </row>
    <row r="4188" spans="1:14" x14ac:dyDescent="0.15">
      <c r="A4188" s="23" t="str">
        <f>HYPERLINK("https://www.spark-marketing.ru/Card/Person/4372058", "МАДОУ - ДЕТСКИЙ САД №3 ""ТРЕТЬЕ КОРОЛЕВСТВО""")</f>
        <v>МАДОУ - ДЕТСКИЙ САД №3 "ТРЕТЬЕ КОРОЛЕВСТВО"</v>
      </c>
      <c r="B4188" s="24" t="s">
        <v>2247</v>
      </c>
      <c r="C4188" s="25">
        <v>550000</v>
      </c>
      <c r="D4188" s="22" t="s">
        <v>6854</v>
      </c>
      <c r="E4188" s="22" t="s">
        <v>362</v>
      </c>
      <c r="F4188" s="23" t="str">
        <f>HYPERLINK("https://www.spark-marketing.ru/Card/Lot/73220551", "Услуги по организации детского питания")</f>
        <v>Услуги по организации детского питания</v>
      </c>
      <c r="G4188" s="22" t="s">
        <v>174</v>
      </c>
      <c r="H4188" s="22" t="s">
        <v>174</v>
      </c>
      <c r="I4188" s="26">
        <v>43712</v>
      </c>
      <c r="J4188" s="28" t="s">
        <v>51</v>
      </c>
      <c r="K4188" s="28" t="s">
        <v>51</v>
      </c>
      <c r="L4188" s="28" t="s">
        <v>51</v>
      </c>
      <c r="M4188" s="28" t="s">
        <v>51</v>
      </c>
      <c r="N4188" s="28" t="s">
        <v>51</v>
      </c>
    </row>
    <row r="4189" spans="1:14" x14ac:dyDescent="0.15">
      <c r="A4189" s="23" t="str">
        <f>HYPERLINK("https://www.spark-marketing.ru/Card/Person/1274676", "МАОУ СОШ №23 Г. ЛИПЕЦКА")</f>
        <v>МАОУ СОШ №23 Г. ЛИПЕЦКА</v>
      </c>
      <c r="B4189" s="24" t="s">
        <v>6855</v>
      </c>
      <c r="C4189" s="25">
        <v>929864</v>
      </c>
      <c r="D4189" s="22" t="s">
        <v>6856</v>
      </c>
      <c r="E4189" s="22" t="s">
        <v>362</v>
      </c>
      <c r="F4189" s="23" t="str">
        <f>HYPERLINK("https://www.spark-marketing.ru/Card/Lot/73203088", "Услуга по организации питания учащихся муниципального автономного общеобразовательного учреждения средней общеобразовательной школы №23 имени С.В. Добрина города Липецка")</f>
        <v>Услуга по организации питания учащихся муниципального автономного общеобразовательного учреждения средней общеобразовательной школы №23 имени С.В. Добрина города Липецка</v>
      </c>
      <c r="G4189" s="22" t="s">
        <v>101</v>
      </c>
      <c r="H4189" s="22" t="s">
        <v>728</v>
      </c>
      <c r="I4189" s="26">
        <v>43711</v>
      </c>
      <c r="J4189" s="28" t="s">
        <v>51</v>
      </c>
      <c r="K4189" s="28" t="s">
        <v>51</v>
      </c>
      <c r="L4189" s="28" t="s">
        <v>51</v>
      </c>
      <c r="M4189" s="28" t="s">
        <v>51</v>
      </c>
      <c r="N4189" s="28" t="s">
        <v>51</v>
      </c>
    </row>
    <row r="4190" spans="1:14" x14ac:dyDescent="0.15">
      <c r="A4190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4190" s="24" t="s">
        <v>1909</v>
      </c>
      <c r="C4190" s="25">
        <v>135500</v>
      </c>
      <c r="D4190" s="22" t="s">
        <v>6857</v>
      </c>
      <c r="E4190" s="22" t="s">
        <v>580</v>
      </c>
      <c r="F4190" s="23" t="str">
        <f>HYPERLINK("https://www.spark-marketing.ru/Card/Lot/73229768", "Услуги по организации пятиразового питания в летний период спортсменов в периоды проведения тренировочных мероприятий")</f>
        <v>Услуги по организации пятиразового питания в летний период спортсменов в периоды проведения тренировочных мероприятий</v>
      </c>
      <c r="G4190" s="22" t="s">
        <v>153</v>
      </c>
      <c r="H4190" s="22" t="s">
        <v>153</v>
      </c>
      <c r="I4190" s="26">
        <v>43712</v>
      </c>
      <c r="J4190" s="28" t="s">
        <v>51</v>
      </c>
      <c r="K4190" s="28" t="s">
        <v>51</v>
      </c>
      <c r="L4190" s="28" t="s">
        <v>51</v>
      </c>
      <c r="M4190" s="28" t="s">
        <v>51</v>
      </c>
      <c r="N4190" s="28" t="s">
        <v>51</v>
      </c>
    </row>
    <row r="4191" spans="1:14" x14ac:dyDescent="0.15">
      <c r="A4191" s="23" t="str">
        <f>HYPERLINK("https://www.spark-marketing.ru/Card/Person/1236009", "МАОУ ""ООШ №32""")</f>
        <v>МАОУ "ООШ №32"</v>
      </c>
      <c r="B4191" s="24" t="s">
        <v>6808</v>
      </c>
      <c r="C4191" s="25">
        <v>399500</v>
      </c>
      <c r="D4191" s="22" t="s">
        <v>6858</v>
      </c>
      <c r="E4191" s="22" t="s">
        <v>362</v>
      </c>
      <c r="F4191" s="23" t="str">
        <f>HYPERLINK("https://www.spark-marketing.ru/Card/Lot/73342311", "услуги по организации питания обучающихся (горячие завтраки и обеды)")</f>
        <v>услуги по организации питания обучающихся (горячие завтраки и обеды)</v>
      </c>
      <c r="G4191" s="22" t="s">
        <v>304</v>
      </c>
      <c r="H4191" s="22" t="s">
        <v>304</v>
      </c>
      <c r="I4191" s="26">
        <v>43719</v>
      </c>
      <c r="J4191" s="28" t="s">
        <v>51</v>
      </c>
      <c r="K4191" s="28" t="s">
        <v>51</v>
      </c>
      <c r="L4191" s="28" t="s">
        <v>51</v>
      </c>
      <c r="M4191" s="28" t="s">
        <v>51</v>
      </c>
      <c r="N4191" s="28" t="s">
        <v>51</v>
      </c>
    </row>
    <row r="4192" spans="1:14" x14ac:dyDescent="0.15">
      <c r="A4192" s="23" t="str">
        <f>HYPERLINK("https://www.spark-marketing.ru/Card/Person/1046795", "МО МВД РОССИИ ""СЕНГИЛЕЕВСКИЙ""")</f>
        <v>МО МВД РОССИИ "СЕНГИЛЕЕВСКИЙ"</v>
      </c>
      <c r="B4192" s="24" t="s">
        <v>6859</v>
      </c>
      <c r="C4192" s="25">
        <v>1500</v>
      </c>
      <c r="D4192" s="22" t="s">
        <v>6860</v>
      </c>
      <c r="E4192" s="22" t="s">
        <v>96</v>
      </c>
      <c r="F4192" s="23" t="str">
        <f>HYPERLINK("https://www.spark-marketing.ru/Card/Lot/73208940",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4192" s="22" t="s">
        <v>1918</v>
      </c>
      <c r="H4192" s="22" t="s">
        <v>6861</v>
      </c>
      <c r="I4192" s="26">
        <v>43711.831932870402</v>
      </c>
      <c r="J4192" s="28" t="s">
        <v>51</v>
      </c>
      <c r="K4192" s="28" t="s">
        <v>51</v>
      </c>
      <c r="L4192" s="28" t="s">
        <v>51</v>
      </c>
      <c r="M4192" s="28" t="s">
        <v>51</v>
      </c>
      <c r="N4192" s="28" t="s">
        <v>51</v>
      </c>
    </row>
    <row r="4193" spans="1:14" x14ac:dyDescent="0.15">
      <c r="A4193" s="23" t="str">
        <f>HYPERLINK("https://www.spark-marketing.ru/Card/Person/52594", "ОТДЕЛ МВД РОССИИ ПО ГОРОДУ АРМАВИРУ")</f>
        <v>ОТДЕЛ МВД РОССИИ ПО ГОРОДУ АРМАВИРУ</v>
      </c>
      <c r="B4193" s="24" t="s">
        <v>6796</v>
      </c>
      <c r="C4193" s="25">
        <v>740000</v>
      </c>
      <c r="D4193" s="22" t="s">
        <v>6862</v>
      </c>
      <c r="E4193" s="22" t="s">
        <v>48</v>
      </c>
      <c r="F4193" s="23" t="str">
        <f>HYPERLINK("https://www.spark-marketing.ru/Card/Lot/73207397", "питание ивс и сп")</f>
        <v>питание ивс и сп</v>
      </c>
      <c r="G4193" s="22" t="s">
        <v>104</v>
      </c>
      <c r="H4193" s="22" t="s">
        <v>3800</v>
      </c>
      <c r="I4193" s="26">
        <v>43711.725694444402</v>
      </c>
      <c r="J4193" s="23" t="str">
        <f>HYPERLINK("https://www.spark-marketing.ru/Card/Person/6684459", "Лазаренко Светлана Анатольевна")</f>
        <v>Лазаренко Светлана Анатольевна</v>
      </c>
      <c r="K4193" s="24" t="s">
        <v>6799</v>
      </c>
      <c r="L4193" s="28" t="s">
        <v>51</v>
      </c>
      <c r="M4193" s="28" t="s">
        <v>51</v>
      </c>
      <c r="N4193" s="28" t="s">
        <v>51</v>
      </c>
    </row>
    <row r="4194" spans="1:14" ht="12.75" hidden="1" outlineLevel="1" x14ac:dyDescent="0.2">
      <c r="A4194" s="23" t="str">
        <f>HYPERLINK("https://www.spark-marketing.ru/Card/Person/52594", "ОТДЕЛ МВД РОССИИ ПО ГОРОДУ АРМАВИРУ")</f>
        <v>ОТДЕЛ МВД РОССИИ ПО ГОРОДУ АРМАВИРУ</v>
      </c>
      <c r="B4194" s="24" t="s">
        <v>6796</v>
      </c>
      <c r="C4194" s="25">
        <v>740000</v>
      </c>
      <c r="D4194" s="22" t="s">
        <v>6862</v>
      </c>
      <c r="E4194" s="22" t="s">
        <v>48</v>
      </c>
      <c r="F4194" s="23" t="str">
        <f>HYPERLINK("https://www.spark-marketing.ru/Card/Lot/73207397", "питание ивс и сп")</f>
        <v>питание ивс и сп</v>
      </c>
      <c r="G4194" s="22" t="s">
        <v>104</v>
      </c>
      <c r="H4194" s="22" t="s">
        <v>3800</v>
      </c>
      <c r="I4194" s="26">
        <v>43711.725694444402</v>
      </c>
      <c r="J4194" s="23" t="str">
        <f>HYPERLINK("https://www.spark-marketing.ru/Card/Person/6684459", "Лазаренко Светлана Анатольевна")</f>
        <v>Лазаренко Светлана Анатольевна</v>
      </c>
      <c r="K4194" s="24" t="s">
        <v>6799</v>
      </c>
      <c r="L4194" s="22" t="s">
        <v>10</v>
      </c>
      <c r="M4194" s="25">
        <v>736300</v>
      </c>
      <c r="N4194" s="27">
        <v>5.0000000000000001E-3</v>
      </c>
    </row>
    <row r="4195" spans="1:14" x14ac:dyDescent="0.15">
      <c r="A4195" s="23" t="str">
        <f>HYPERLINK("https://www.spark-marketing.ru/Card/Person/52594", "ОТДЕЛ МВД РОССИИ ПО ГОРОДУ АРМАВИРУ")</f>
        <v>ОТДЕЛ МВД РОССИИ ПО ГОРОДУ АРМАВИРУ</v>
      </c>
      <c r="B4195" s="24" t="s">
        <v>6796</v>
      </c>
      <c r="C4195" s="25">
        <v>400000</v>
      </c>
      <c r="D4195" s="22" t="s">
        <v>6863</v>
      </c>
      <c r="E4195" s="22" t="s">
        <v>48</v>
      </c>
      <c r="F4195" s="23" t="str">
        <f>HYPERLINK("https://www.spark-marketing.ru/Card/Lot/73207487", "питание ивс и сп")</f>
        <v>питание ивс и сп</v>
      </c>
      <c r="G4195" s="22" t="s">
        <v>104</v>
      </c>
      <c r="H4195" s="22" t="s">
        <v>3800</v>
      </c>
      <c r="I4195" s="26">
        <v>43711.724305555603</v>
      </c>
      <c r="J4195" s="23" t="str">
        <f>HYPERLINK("https://www.spark-marketing.ru/Card/Person/1944082", "ООО ""ВИЗАВИА""")</f>
        <v>ООО "ВИЗАВИА"</v>
      </c>
      <c r="K4195" s="24" t="s">
        <v>6798</v>
      </c>
      <c r="L4195" s="28" t="s">
        <v>51</v>
      </c>
      <c r="M4195" s="28" t="s">
        <v>51</v>
      </c>
      <c r="N4195" s="28" t="s">
        <v>51</v>
      </c>
    </row>
    <row r="4196" spans="1:14" ht="12.75" hidden="1" outlineLevel="1" x14ac:dyDescent="0.2">
      <c r="A4196" s="23" t="str">
        <f>HYPERLINK("https://www.spark-marketing.ru/Card/Person/52594", "ОТДЕЛ МВД РОССИИ ПО ГОРОДУ АРМАВИРУ")</f>
        <v>ОТДЕЛ МВД РОССИИ ПО ГОРОДУ АРМАВИРУ</v>
      </c>
      <c r="B4196" s="24" t="s">
        <v>6796</v>
      </c>
      <c r="C4196" s="25">
        <v>400000</v>
      </c>
      <c r="D4196" s="22" t="s">
        <v>6863</v>
      </c>
      <c r="E4196" s="22" t="s">
        <v>48</v>
      </c>
      <c r="F4196" s="23" t="str">
        <f>HYPERLINK("https://www.spark-marketing.ru/Card/Lot/73207487", "питание ивс и сп")</f>
        <v>питание ивс и сп</v>
      </c>
      <c r="G4196" s="22" t="s">
        <v>104</v>
      </c>
      <c r="H4196" s="22" t="s">
        <v>3800</v>
      </c>
      <c r="I4196" s="26">
        <v>43711.724305555603</v>
      </c>
      <c r="J4196" s="23" t="str">
        <f>HYPERLINK("https://www.spark-marketing.ru/Card/Person/1944082", "ООО ""ВИЗАВИА""")</f>
        <v>ООО "ВИЗАВИА"</v>
      </c>
      <c r="K4196" s="24" t="s">
        <v>6798</v>
      </c>
      <c r="L4196" s="22" t="s">
        <v>10</v>
      </c>
      <c r="M4196" s="25">
        <v>398000</v>
      </c>
      <c r="N4196" s="27">
        <v>5.0000000000000001E-3</v>
      </c>
    </row>
    <row r="4197" spans="1:14" x14ac:dyDescent="0.15">
      <c r="A4197" s="23" t="str">
        <f>HYPERLINK("https://www.spark-marketing.ru/Card/Person/90206", "ГУЗ ""БПТД""")</f>
        <v>ГУЗ "БПТД"</v>
      </c>
      <c r="B4197" s="24" t="s">
        <v>6864</v>
      </c>
      <c r="C4197" s="25">
        <v>626637</v>
      </c>
      <c r="D4197" s="22" t="s">
        <v>6865</v>
      </c>
      <c r="E4197" s="22" t="s">
        <v>48</v>
      </c>
      <c r="F4197" s="23" t="str">
        <f>HYPERLINK("https://www.spark-marketing.ru/Card/Lot/73207150", "Оказание услуг по организации питания в 2019 году для нужд ГУЗ «БПТД»")</f>
        <v>Оказание услуг по организации питания в 2019 году для нужд ГУЗ «БПТД»</v>
      </c>
      <c r="G4197" s="22" t="s">
        <v>351</v>
      </c>
      <c r="H4197" s="22" t="s">
        <v>4221</v>
      </c>
      <c r="I4197" s="26">
        <v>43711.739583333299</v>
      </c>
      <c r="J4197" s="23" t="str">
        <f>HYPERLINK("https://www.spark-marketing.ru/Card/Person/6448438", "Болякин Юрий Александрович")</f>
        <v>Болякин Юрий Александрович</v>
      </c>
      <c r="K4197" s="24" t="s">
        <v>6866</v>
      </c>
      <c r="L4197" s="22" t="s">
        <v>10</v>
      </c>
      <c r="M4197" s="28" t="s">
        <v>51</v>
      </c>
      <c r="N4197" s="28" t="s">
        <v>51</v>
      </c>
    </row>
    <row r="4198" spans="1:14" x14ac:dyDescent="0.15">
      <c r="A4198" s="23" t="str">
        <f>HYPERLINK("https://www.spark-marketing.ru/Card/Person/59359", "УМВД РОССИИ ПО Г. ТУЛЕ")</f>
        <v>УМВД РОССИИ ПО Г. ТУЛЕ</v>
      </c>
      <c r="B4198" s="24" t="s">
        <v>6867</v>
      </c>
      <c r="C4198" s="25">
        <v>1340000</v>
      </c>
      <c r="D4198" s="22" t="s">
        <v>6868</v>
      </c>
      <c r="E4198" s="22" t="s">
        <v>48</v>
      </c>
      <c r="F4198" s="23" t="str">
        <f>HYPERLINK("https://www.spark-marketing.ru/Card/Lot/73206808", "Оказание услуг по организации питания лиц, содержащихся в Спецприемнике")</f>
        <v>Оказание услуг по организации питания лиц, содержащихся в Спецприемнике</v>
      </c>
      <c r="G4198" s="22" t="s">
        <v>68</v>
      </c>
      <c r="H4198" s="22" t="s">
        <v>69</v>
      </c>
      <c r="I4198" s="26">
        <v>43711.698611111096</v>
      </c>
      <c r="J4198" s="28" t="s">
        <v>51</v>
      </c>
      <c r="K4198" s="28" t="s">
        <v>51</v>
      </c>
      <c r="L4198" s="28" t="s">
        <v>51</v>
      </c>
      <c r="M4198" s="28" t="s">
        <v>51</v>
      </c>
      <c r="N4198" s="28" t="s">
        <v>51</v>
      </c>
    </row>
    <row r="4199" spans="1:14" hidden="1" outlineLevel="1" x14ac:dyDescent="0.2">
      <c r="A4199" s="23" t="str">
        <f>HYPERLINK("https://www.spark-marketing.ru/Card/Person/59359", "УМВД РОССИИ ПО Г. ТУЛЕ")</f>
        <v>УМВД РОССИИ ПО Г. ТУЛЕ</v>
      </c>
      <c r="B4199" s="24" t="s">
        <v>6867</v>
      </c>
      <c r="C4199" s="25">
        <v>1340000</v>
      </c>
      <c r="D4199" s="22" t="s">
        <v>6868</v>
      </c>
      <c r="E4199" s="22" t="s">
        <v>48</v>
      </c>
      <c r="F4199" s="23" t="str">
        <f>HYPERLINK("https://www.spark-marketing.ru/Card/Lot/73206808", "Оказание услуг по организации питания лиц, содержащихся в Спецприемнике")</f>
        <v>Оказание услуг по организации питания лиц, содержащихся в Спецприемнике</v>
      </c>
      <c r="G4199" s="22" t="s">
        <v>68</v>
      </c>
      <c r="H4199" s="22" t="s">
        <v>69</v>
      </c>
      <c r="I4199" s="26">
        <v>43711.698611111096</v>
      </c>
      <c r="J4199" s="23" t="str">
        <f>HYPERLINK("https://www.spark-marketing.ru/Card/Person/51530", "ООО ""ЛЕГЕНДА""")</f>
        <v>ООО "ЛЕГЕНДА"</v>
      </c>
      <c r="K4199" s="24" t="s">
        <v>6869</v>
      </c>
      <c r="L4199" s="28" t="s">
        <v>51</v>
      </c>
      <c r="M4199" s="25">
        <v>1051900</v>
      </c>
      <c r="N4199" s="27">
        <v>0.215</v>
      </c>
    </row>
    <row r="4200" spans="1:14" ht="12.75" hidden="1" outlineLevel="1" x14ac:dyDescent="0.2">
      <c r="A4200" s="23" t="str">
        <f>HYPERLINK("https://www.spark-marketing.ru/Card/Person/59359", "УМВД РОССИИ ПО Г. ТУЛЕ")</f>
        <v>УМВД РОССИИ ПО Г. ТУЛЕ</v>
      </c>
      <c r="B4200" s="24" t="s">
        <v>6867</v>
      </c>
      <c r="C4200" s="25">
        <v>1340000</v>
      </c>
      <c r="D4200" s="22" t="s">
        <v>6868</v>
      </c>
      <c r="E4200" s="22" t="s">
        <v>48</v>
      </c>
      <c r="F4200" s="23" t="str">
        <f>HYPERLINK("https://www.spark-marketing.ru/Card/Lot/73206808", "Оказание услуг по организации питания лиц, содержащихся в Спецприемнике")</f>
        <v>Оказание услуг по организации питания лиц, содержащихся в Спецприемнике</v>
      </c>
      <c r="G4200" s="22" t="s">
        <v>68</v>
      </c>
      <c r="H4200" s="22" t="s">
        <v>69</v>
      </c>
      <c r="I4200" s="26">
        <v>43711.698611111096</v>
      </c>
      <c r="J4200" s="23" t="str">
        <f>HYPERLINK("https://www.spark-marketing.ru/Card/Person/4313665", "ООО ""ПИЩЕВИК""")</f>
        <v>ООО "ПИЩЕВИК"</v>
      </c>
      <c r="K4200" s="24" t="s">
        <v>6870</v>
      </c>
      <c r="L4200" s="22" t="s">
        <v>10</v>
      </c>
      <c r="M4200" s="25">
        <v>1005000</v>
      </c>
      <c r="N4200" s="27">
        <v>0.25</v>
      </c>
    </row>
    <row r="4201" spans="1:14" x14ac:dyDescent="0.15">
      <c r="A4201" s="23" t="str">
        <f>HYPERLINK("https://www.spark-marketing.ru/Card/Person/1024902", "МБОУ СОШ № 5")</f>
        <v>МБОУ СОШ № 5</v>
      </c>
      <c r="B4201" s="24" t="s">
        <v>6871</v>
      </c>
      <c r="C4201" s="25">
        <v>2142404</v>
      </c>
      <c r="D4201" s="22" t="s">
        <v>6872</v>
      </c>
      <c r="E4201" s="22" t="s">
        <v>48</v>
      </c>
      <c r="F4201" s="23" t="str">
        <f>HYPERLINK("https://www.spark-marketing.ru/Card/Lot/73204159", "Оказание услуг по организации питания")</f>
        <v>Оказание услуг по организации питания</v>
      </c>
      <c r="G4201" s="22" t="s">
        <v>97</v>
      </c>
      <c r="H4201" s="22" t="s">
        <v>1127</v>
      </c>
      <c r="I4201" s="26">
        <v>43711.6694444444</v>
      </c>
      <c r="J4201" s="23" t="str">
        <f>HYPERLINK("https://www.spark-marketing.ru/Card/Person/930688", "УП ""КОМБИНАТ ОБЩЕСТВЕННОГО ПИТАНИЯ"" ГОРОДА РАДУЖНЫЙ")</f>
        <v>УП "КОМБИНАТ ОБЩЕСТВЕННОГО ПИТАНИЯ" ГОРОДА РАДУЖНЫЙ</v>
      </c>
      <c r="K4201" s="24" t="s">
        <v>1428</v>
      </c>
      <c r="L4201" s="22" t="s">
        <v>10</v>
      </c>
      <c r="M4201" s="28" t="s">
        <v>51</v>
      </c>
      <c r="N4201" s="28" t="s">
        <v>51</v>
      </c>
    </row>
    <row r="4202" spans="1:14" x14ac:dyDescent="0.15">
      <c r="A4202" s="23" t="str">
        <f>HYPERLINK("https://www.spark-marketing.ru/Card/Person/737290", "ГКУ «ЦБЗ ПРИ МИНЗДРАВЕ КАРЕЛИИ»")</f>
        <v>ГКУ «ЦБЗ ПРИ МИНЗДРАВЕ КАРЕЛИИ»</v>
      </c>
      <c r="B4202" s="24" t="s">
        <v>312</v>
      </c>
      <c r="C4202" s="25">
        <v>1010666.72</v>
      </c>
      <c r="D4202" s="22" t="s">
        <v>6873</v>
      </c>
      <c r="E4202" s="22" t="s">
        <v>52</v>
      </c>
      <c r="F4202" s="23" t="str">
        <f>HYPERLINK("https://www.spark-marketing.ru/Card/Lot/73206651", "Поставка лекарственного препарата Галантамин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Галантамин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4202" s="22" t="s">
        <v>59</v>
      </c>
      <c r="H4202" s="22" t="s">
        <v>314</v>
      </c>
      <c r="I4202" s="26">
        <v>43711.6875</v>
      </c>
      <c r="J4202" s="23" t="str">
        <f>HYPERLINK("https://www.spark-marketing.ru/Card/Person/2561407", "ООО ""ЕТМ""")</f>
        <v>ООО "ЕТМ"</v>
      </c>
      <c r="K4202" s="24" t="s">
        <v>2185</v>
      </c>
      <c r="L4202" s="22" t="s">
        <v>10</v>
      </c>
      <c r="M4202" s="28" t="s">
        <v>51</v>
      </c>
      <c r="N4202" s="28" t="s">
        <v>51</v>
      </c>
    </row>
    <row r="4203" spans="1:14" x14ac:dyDescent="0.15">
      <c r="A4203" s="23" t="str">
        <f>HYPERLINK("https://www.spark-marketing.ru/Card/Person/737290", "ГКУ «ЦБЗ ПРИ МИНЗДРАВЕ КАРЕЛИИ»")</f>
        <v>ГКУ «ЦБЗ ПРИ МИНЗДРАВЕ КАРЕЛИИ»</v>
      </c>
      <c r="B4203" s="24" t="s">
        <v>312</v>
      </c>
      <c r="C4203" s="25">
        <v>92296.5</v>
      </c>
      <c r="D4203" s="22" t="s">
        <v>6874</v>
      </c>
      <c r="E4203" s="22" t="s">
        <v>52</v>
      </c>
      <c r="F4203" s="23" t="str">
        <f>HYPERLINK("https://www.spark-marketing.ru/Card/Lot/73205883", "Поставка лекарственного препарата Месалазин,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...")</f>
        <v>Поставка лекарственного препарата Месалазин,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...</v>
      </c>
      <c r="G4203" s="22" t="s">
        <v>59</v>
      </c>
      <c r="H4203" s="22" t="s">
        <v>314</v>
      </c>
      <c r="I4203" s="26">
        <v>43711.6875</v>
      </c>
      <c r="J4203" s="23" t="str">
        <f>HYPERLINK("https://www.spark-marketing.ru/Card/Person/6276188", "ООО ""ФАРМАЛАЙФ""")</f>
        <v>ООО "ФАРМАЛАЙФ"</v>
      </c>
      <c r="K4203" s="24" t="s">
        <v>5926</v>
      </c>
      <c r="L4203" s="22" t="s">
        <v>10</v>
      </c>
      <c r="M4203" s="28" t="s">
        <v>51</v>
      </c>
      <c r="N4203" s="28" t="s">
        <v>51</v>
      </c>
    </row>
    <row r="4204" spans="1:14" x14ac:dyDescent="0.15">
      <c r="A4204" s="23" t="str">
        <f>HYPERLINK("https://www.spark-marketing.ru/Card/Person/1855", "АСТРАХАНСКАЯ ТАМОЖНЯ")</f>
        <v>АСТРАХАНСКАЯ ТАМОЖНЯ</v>
      </c>
      <c r="B4204" s="24" t="s">
        <v>6875</v>
      </c>
      <c r="C4204" s="25">
        <v>4968228</v>
      </c>
      <c r="D4204" s="22" t="s">
        <v>6876</v>
      </c>
      <c r="E4204" s="22" t="s">
        <v>355</v>
      </c>
      <c r="F4204" s="23" t="str">
        <f>HYPERLINK("https://www.spark-marketing.ru/Card/Lot/73207004", "Выполнение регламентных работ дизель-генераторных установок и сервисного обслуживания источников бесперебойного питания, входящих в систему бесперебойного гарантированного электроснабжения на объектах Астраханской таможни")</f>
        <v>Выполнение регламентных работ дизель-генераторных установок и сервисного обслуживания источников бесперебойного питания, входящих в систему бесперебойного гарантированного электроснабжения на объектах Астраханской таможни</v>
      </c>
      <c r="G4204" s="22" t="s">
        <v>141</v>
      </c>
      <c r="H4204" s="22" t="s">
        <v>141</v>
      </c>
      <c r="I4204" s="26">
        <v>43711.704861111102</v>
      </c>
      <c r="J4204" s="28" t="s">
        <v>51</v>
      </c>
      <c r="K4204" s="28" t="s">
        <v>51</v>
      </c>
      <c r="L4204" s="28" t="s">
        <v>51</v>
      </c>
      <c r="M4204" s="28" t="s">
        <v>51</v>
      </c>
      <c r="N4204" s="28" t="s">
        <v>51</v>
      </c>
    </row>
    <row r="4205" spans="1:14" hidden="1" outlineLevel="1" x14ac:dyDescent="0.2">
      <c r="A4205" s="23" t="str">
        <f>HYPERLINK("https://www.spark-marketing.ru/Card/Person/1855", "АСТРАХАНСКАЯ ТАМОЖНЯ")</f>
        <v>АСТРАХАНСКАЯ ТАМОЖНЯ</v>
      </c>
      <c r="B4205" s="24" t="s">
        <v>6875</v>
      </c>
      <c r="C4205" s="25">
        <v>4968228</v>
      </c>
      <c r="D4205" s="22" t="s">
        <v>6876</v>
      </c>
      <c r="E4205" s="22" t="s">
        <v>355</v>
      </c>
      <c r="F4205" s="23" t="str">
        <f>HYPERLINK("https://www.spark-marketing.ru/Card/Lot/73207004", "Выполнение регламентных работ дизель-генераторных установок и сервисного обслуживания источников бесперебойного питания, входящих в систему бесперебойного гарантированного электроснабжения на объектах Астраханской таможни")</f>
        <v>Выполнение регламентных работ дизель-генераторных установок и сервисного обслуживания источников бесперебойного питания, входящих в систему бесперебойного гарантированного электроснабжения на объектах Астраханской таможни</v>
      </c>
      <c r="G4205" s="22" t="s">
        <v>141</v>
      </c>
      <c r="H4205" s="22" t="s">
        <v>141</v>
      </c>
      <c r="I4205" s="26">
        <v>43711.704861111102</v>
      </c>
      <c r="J4205" s="23" t="str">
        <f>HYPERLINK("https://www.spark-marketing.ru/Card/Person/5916612", "ООО ""МИЛЕН""")</f>
        <v>ООО "МИЛЕН"</v>
      </c>
      <c r="K4205" s="24" t="s">
        <v>6877</v>
      </c>
      <c r="L4205" s="28" t="s">
        <v>51</v>
      </c>
      <c r="M4205" s="25">
        <v>4297517.22</v>
      </c>
      <c r="N4205" s="27">
        <v>0.13500000000000001</v>
      </c>
    </row>
    <row r="4206" spans="1:14" ht="12.75" hidden="1" outlineLevel="1" x14ac:dyDescent="0.2">
      <c r="A4206" s="23" t="str">
        <f>HYPERLINK("https://www.spark-marketing.ru/Card/Person/1855", "АСТРАХАНСКАЯ ТАМОЖНЯ")</f>
        <v>АСТРАХАНСКАЯ ТАМОЖНЯ</v>
      </c>
      <c r="B4206" s="24" t="s">
        <v>6875</v>
      </c>
      <c r="C4206" s="25">
        <v>4968228</v>
      </c>
      <c r="D4206" s="22" t="s">
        <v>6876</v>
      </c>
      <c r="E4206" s="22" t="s">
        <v>355</v>
      </c>
      <c r="F4206" s="23" t="str">
        <f>HYPERLINK("https://www.spark-marketing.ru/Card/Lot/73207004", "Выполнение регламентных работ дизель-генераторных установок и сервисного обслуживания источников бесперебойного питания, входящих в систему бесперебойного гарантированного электроснабжения на объектах Астраханской таможни")</f>
        <v>Выполнение регламентных работ дизель-генераторных установок и сервисного обслуживания источников бесперебойного питания, входящих в систему бесперебойного гарантированного электроснабжения на объектах Астраханской таможни</v>
      </c>
      <c r="G4206" s="22" t="s">
        <v>141</v>
      </c>
      <c r="H4206" s="22" t="s">
        <v>141</v>
      </c>
      <c r="I4206" s="26">
        <v>43711.704861111102</v>
      </c>
      <c r="J4206" s="23" t="str">
        <f>HYPERLINK("https://www.spark-marketing.ru/Card/Person/172900", "Коряков Сергей Владимирович")</f>
        <v>Коряков Сергей Владимирович</v>
      </c>
      <c r="K4206" s="24" t="s">
        <v>3836</v>
      </c>
      <c r="L4206" s="22" t="s">
        <v>10</v>
      </c>
      <c r="M4206" s="25">
        <v>4272676.08</v>
      </c>
      <c r="N4206" s="27">
        <v>0.14000000000000001</v>
      </c>
    </row>
    <row r="4207" spans="1:14" x14ac:dyDescent="0.15">
      <c r="A4207" s="23" t="str">
        <f>HYPERLINK("https://www.spark-marketing.ru/Card/Person/1010105", "МБОУ СОШ № 6")</f>
        <v>МБОУ СОШ № 6</v>
      </c>
      <c r="B4207" s="24" t="s">
        <v>1317</v>
      </c>
      <c r="C4207" s="25">
        <v>2165768</v>
      </c>
      <c r="D4207" s="22" t="s">
        <v>6878</v>
      </c>
      <c r="E4207" s="22" t="s">
        <v>48</v>
      </c>
      <c r="F4207" s="23" t="str">
        <f>HYPERLINK("https://www.spark-marketing.ru/Card/Lot/73204160", "Оказание услуг по организации питания учащихся")</f>
        <v>Оказание услуг по организации питания учащихся</v>
      </c>
      <c r="G4207" s="22" t="s">
        <v>97</v>
      </c>
      <c r="H4207" s="22" t="s">
        <v>1127</v>
      </c>
      <c r="I4207" s="26">
        <v>43711.704861111102</v>
      </c>
      <c r="J4207" s="23" t="str">
        <f>HYPERLINK("https://www.spark-marketing.ru/Card/Person/930688", "УП ""КОМБИНАТ ОБЩЕСТВЕННОГО ПИТАНИЯ"" ГОРОДА РАДУЖНЫЙ")</f>
        <v>УП "КОМБИНАТ ОБЩЕСТВЕННОГО ПИТАНИЯ" ГОРОДА РАДУЖНЫЙ</v>
      </c>
      <c r="K4207" s="24" t="s">
        <v>1428</v>
      </c>
      <c r="L4207" s="22" t="s">
        <v>10</v>
      </c>
      <c r="M4207" s="28" t="s">
        <v>51</v>
      </c>
      <c r="N4207" s="28" t="s">
        <v>51</v>
      </c>
    </row>
    <row r="4208" spans="1:14" x14ac:dyDescent="0.15">
      <c r="A4208" s="23" t="str">
        <f>HYPERLINK("https://www.spark-marketing.ru/Card/Person/737290", "ГКУ «ЦБЗ ПРИ МИНЗДРАВЕ КАРЕЛИИ»")</f>
        <v>ГКУ «ЦБЗ ПРИ МИНЗДРАВЕ КАРЕЛИИ»</v>
      </c>
      <c r="B4208" s="24" t="s">
        <v>312</v>
      </c>
      <c r="C4208" s="25">
        <v>335736</v>
      </c>
      <c r="D4208" s="22" t="s">
        <v>6879</v>
      </c>
      <c r="E4208" s="22" t="s">
        <v>52</v>
      </c>
      <c r="F4208" s="23" t="str">
        <f>HYPERLINK("https://www.spark-marketing.ru/Card/Lot/73207007", "Поставка лекарственного препарата Этанерцепт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рецеп...")</f>
        <v>Поставка лекарственного препарата Этанерцепт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</v>
      </c>
      <c r="G4208" s="22" t="s">
        <v>59</v>
      </c>
      <c r="H4208" s="22" t="s">
        <v>314</v>
      </c>
      <c r="I4208" s="26">
        <v>43711.686805555597</v>
      </c>
      <c r="J4208" s="23" t="str">
        <f>HYPERLINK("https://www.spark-marketing.ru/Card/Person/5950409", "ООО ""БИАНТ""")</f>
        <v>ООО "БИАНТ"</v>
      </c>
      <c r="K4208" s="24" t="s">
        <v>3870</v>
      </c>
      <c r="L4208" s="22" t="s">
        <v>10</v>
      </c>
      <c r="M4208" s="28" t="s">
        <v>51</v>
      </c>
      <c r="N4208" s="28" t="s">
        <v>51</v>
      </c>
    </row>
    <row r="4209" spans="1:14" x14ac:dyDescent="0.15">
      <c r="A4209" s="23" t="str">
        <f>HYPERLINK("https://www.spark-marketing.ru/Card/Person/53322", "ГУ - ТАМБОВСКОЕ РО ФОНДА СОЦИАЛЬНОГО СТРАХОВАНИЯ РОССИЙСКОЙ ФЕДЕРАЦИИ")</f>
        <v>ГУ - ТАМБОВСКОЕ РО ФОНДА СОЦИАЛЬНОГО СТРАХОВАНИЯ РОССИЙСКОЙ ФЕДЕРАЦИИ</v>
      </c>
      <c r="B4209" s="24" t="s">
        <v>3458</v>
      </c>
      <c r="C4209" s="25">
        <v>1347516</v>
      </c>
      <c r="D4209" s="22" t="s">
        <v>6880</v>
      </c>
      <c r="E4209" s="22" t="s">
        <v>86</v>
      </c>
      <c r="F4209" s="23" t="str">
        <f>HYPERLINK("https://www.spark-marketing.ru/Card/Lot/73204409", "Оказание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нервной системы», «болезни костно-мышечной системы и соед...")</f>
        <v>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нервной системы», «болезни костно-мышечной системы и соед...</v>
      </c>
      <c r="G4209" s="22" t="s">
        <v>1370</v>
      </c>
      <c r="H4209" s="22" t="s">
        <v>1370</v>
      </c>
      <c r="I4209" s="26">
        <v>43711.629861111098</v>
      </c>
      <c r="J4209" s="28" t="s">
        <v>51</v>
      </c>
      <c r="K4209" s="28" t="s">
        <v>51</v>
      </c>
      <c r="L4209" s="28" t="s">
        <v>51</v>
      </c>
      <c r="M4209" s="28" t="s">
        <v>51</v>
      </c>
      <c r="N4209" s="28" t="s">
        <v>51</v>
      </c>
    </row>
    <row r="4210" spans="1:14" x14ac:dyDescent="0.15">
      <c r="A4210" s="23" t="str">
        <f>HYPERLINK("https://www.spark-marketing.ru/Card/Person/137902", "МБОУ СОШ №1")</f>
        <v>МБОУ СОШ №1</v>
      </c>
      <c r="B4210" s="24" t="s">
        <v>6881</v>
      </c>
      <c r="C4210" s="25">
        <v>232986</v>
      </c>
      <c r="D4210" s="22" t="s">
        <v>6882</v>
      </c>
      <c r="E4210" s="22" t="s">
        <v>48</v>
      </c>
      <c r="F4210" s="23" t="str">
        <f>HYPERLINK("https://www.spark-marketing.ru/Card/Lot/73202720", "Оказание")</f>
        <v>Оказание</v>
      </c>
      <c r="G4210" s="22" t="s">
        <v>49</v>
      </c>
      <c r="H4210" s="22" t="s">
        <v>6883</v>
      </c>
      <c r="I4210" s="26">
        <v>43711.639062499999</v>
      </c>
      <c r="J4210" s="28" t="s">
        <v>51</v>
      </c>
      <c r="K4210" s="28" t="s">
        <v>51</v>
      </c>
      <c r="L4210" s="28" t="s">
        <v>51</v>
      </c>
      <c r="M4210" s="28" t="s">
        <v>51</v>
      </c>
      <c r="N4210" s="28" t="s">
        <v>51</v>
      </c>
    </row>
    <row r="4211" spans="1:14" x14ac:dyDescent="0.15">
      <c r="A4211" s="23" t="str">
        <f>HYPERLINK("https://www.spark-marketing.ru/Card/Person/18886", "ОГБУЗ ""ЖЕЛЕЗНОГОРСКАЯ РБ""")</f>
        <v>ОГБУЗ "ЖЕЛЕЗНОГОРСКАЯ РБ"</v>
      </c>
      <c r="B4211" s="24" t="s">
        <v>6884</v>
      </c>
      <c r="C4211" s="25">
        <v>458674.16</v>
      </c>
      <c r="D4211" s="22" t="s">
        <v>6885</v>
      </c>
      <c r="E4211" s="22" t="s">
        <v>6886</v>
      </c>
      <c r="F4211" s="23" t="str">
        <f>HYPERLINK("https://www.spark-marketing.ru/Card/Lot/73195886", "Поставка и изготовление бланочной продукции")</f>
        <v>Поставка и изготовление бланочной продукции</v>
      </c>
      <c r="G4211" s="22" t="s">
        <v>263</v>
      </c>
      <c r="H4211" s="22" t="s">
        <v>6887</v>
      </c>
      <c r="I4211" s="26">
        <v>43711.6472222222</v>
      </c>
      <c r="J4211" s="28" t="s">
        <v>51</v>
      </c>
      <c r="K4211" s="28" t="s">
        <v>51</v>
      </c>
      <c r="L4211" s="28" t="s">
        <v>51</v>
      </c>
      <c r="M4211" s="28" t="s">
        <v>51</v>
      </c>
      <c r="N4211" s="28" t="s">
        <v>51</v>
      </c>
    </row>
    <row r="4212" spans="1:14" hidden="1" outlineLevel="1" x14ac:dyDescent="0.2">
      <c r="A4212" s="23" t="str">
        <f>HYPERLINK("https://www.spark-marketing.ru/Card/Person/18886", "ОГБУЗ ""ЖЕЛЕЗНОГОРСКАЯ РБ""")</f>
        <v>ОГБУЗ "ЖЕЛЕЗНОГОРСКАЯ РБ"</v>
      </c>
      <c r="B4212" s="24" t="s">
        <v>6884</v>
      </c>
      <c r="C4212" s="25">
        <v>458674.16</v>
      </c>
      <c r="D4212" s="22" t="s">
        <v>6885</v>
      </c>
      <c r="E4212" s="22" t="s">
        <v>6886</v>
      </c>
      <c r="F4212" s="23" t="str">
        <f>HYPERLINK("https://www.spark-marketing.ru/Card/Lot/73195886", "Поставка и изготовление бланочной продукции")</f>
        <v>Поставка и изготовление бланочной продукции</v>
      </c>
      <c r="G4212" s="22" t="s">
        <v>263</v>
      </c>
      <c r="H4212" s="22" t="s">
        <v>6887</v>
      </c>
      <c r="I4212" s="26">
        <v>43711.6472222222</v>
      </c>
      <c r="J4212" s="23" t="str">
        <f>HYPERLINK("https://www.spark-marketing.ru/Card/Person/182593", "ООО ""ДОМИНАНТА""")</f>
        <v>ООО "ДОМИНАНТА"</v>
      </c>
      <c r="K4212" s="24" t="s">
        <v>6888</v>
      </c>
      <c r="L4212" s="28" t="s">
        <v>51</v>
      </c>
      <c r="M4212" s="25">
        <v>204109.38</v>
      </c>
      <c r="N4212" s="27">
        <v>0.55500135433833897</v>
      </c>
    </row>
    <row r="4213" spans="1:14" hidden="1" outlineLevel="1" x14ac:dyDescent="0.2">
      <c r="A4213" s="23" t="str">
        <f>HYPERLINK("https://www.spark-marketing.ru/Card/Person/18886", "ОГБУЗ ""ЖЕЛЕЗНОГОРСКАЯ РБ""")</f>
        <v>ОГБУЗ "ЖЕЛЕЗНОГОРСКАЯ РБ"</v>
      </c>
      <c r="B4213" s="24" t="s">
        <v>6884</v>
      </c>
      <c r="C4213" s="25">
        <v>458674.16</v>
      </c>
      <c r="D4213" s="22" t="s">
        <v>6885</v>
      </c>
      <c r="E4213" s="22" t="s">
        <v>6886</v>
      </c>
      <c r="F4213" s="23" t="str">
        <f>HYPERLINK("https://www.spark-marketing.ru/Card/Lot/73195886", "Поставка и изготовление бланочной продукции")</f>
        <v>Поставка и изготовление бланочной продукции</v>
      </c>
      <c r="G4213" s="22" t="s">
        <v>263</v>
      </c>
      <c r="H4213" s="22" t="s">
        <v>6887</v>
      </c>
      <c r="I4213" s="26">
        <v>43711.6472222222</v>
      </c>
      <c r="J4213" s="23" t="str">
        <f>HYPERLINK("https://www.spark-marketing.ru/Card/Person/6053684", "ООО ""ТИПОГРАФИЯ БЛАНКОМ""")</f>
        <v>ООО "ТИПОГРАФИЯ БЛАНКОМ"</v>
      </c>
      <c r="K4213" s="24" t="s">
        <v>6889</v>
      </c>
      <c r="L4213" s="28" t="s">
        <v>51</v>
      </c>
      <c r="M4213" s="25">
        <v>160535.16</v>
      </c>
      <c r="N4213" s="27">
        <v>0.65000173543676409</v>
      </c>
    </row>
    <row r="4214" spans="1:14" hidden="1" outlineLevel="1" x14ac:dyDescent="0.2">
      <c r="A4214" s="23" t="str">
        <f>HYPERLINK("https://www.spark-marketing.ru/Card/Person/18886", "ОГБУЗ ""ЖЕЛЕЗНОГОРСКАЯ РБ""")</f>
        <v>ОГБУЗ "ЖЕЛЕЗНОГОРСКАЯ РБ"</v>
      </c>
      <c r="B4214" s="24" t="s">
        <v>6884</v>
      </c>
      <c r="C4214" s="25">
        <v>458674.16</v>
      </c>
      <c r="D4214" s="22" t="s">
        <v>6885</v>
      </c>
      <c r="E4214" s="22" t="s">
        <v>6886</v>
      </c>
      <c r="F4214" s="23" t="str">
        <f>HYPERLINK("https://www.spark-marketing.ru/Card/Lot/73195886", "Поставка и изготовление бланочной продукции")</f>
        <v>Поставка и изготовление бланочной продукции</v>
      </c>
      <c r="G4214" s="22" t="s">
        <v>263</v>
      </c>
      <c r="H4214" s="22" t="s">
        <v>6887</v>
      </c>
      <c r="I4214" s="26">
        <v>43711.6472222222</v>
      </c>
      <c r="J4214" s="23" t="str">
        <f>HYPERLINK("https://www.spark-marketing.ru/Card/Person/220486", "ООО ""ПАРИТЕТ""")</f>
        <v>ООО "ПАРИТЕТ"</v>
      </c>
      <c r="K4214" s="24" t="s">
        <v>6890</v>
      </c>
      <c r="L4214" s="28" t="s">
        <v>51</v>
      </c>
      <c r="M4214" s="25">
        <v>213282.9</v>
      </c>
      <c r="N4214" s="27">
        <v>0.53500127410709164</v>
      </c>
    </row>
    <row r="4215" spans="1:14" ht="12.75" hidden="1" outlineLevel="1" x14ac:dyDescent="0.2">
      <c r="A4215" s="23" t="str">
        <f>HYPERLINK("https://www.spark-marketing.ru/Card/Person/18886", "ОГБУЗ ""ЖЕЛЕЗНОГОРСКАЯ РБ""")</f>
        <v>ОГБУЗ "ЖЕЛЕЗНОГОРСКАЯ РБ"</v>
      </c>
      <c r="B4215" s="24" t="s">
        <v>6884</v>
      </c>
      <c r="C4215" s="25">
        <v>458674.16</v>
      </c>
      <c r="D4215" s="22" t="s">
        <v>6885</v>
      </c>
      <c r="E4215" s="22" t="s">
        <v>6886</v>
      </c>
      <c r="F4215" s="23" t="str">
        <f>HYPERLINK("https://www.spark-marketing.ru/Card/Lot/73195886", "Поставка и изготовление бланочной продукции")</f>
        <v>Поставка и изготовление бланочной продукции</v>
      </c>
      <c r="G4215" s="22" t="s">
        <v>263</v>
      </c>
      <c r="H4215" s="22" t="s">
        <v>6887</v>
      </c>
      <c r="I4215" s="26">
        <v>43711.6472222222</v>
      </c>
      <c r="J4215" s="23" t="str">
        <f>HYPERLINK("https://www.spark-marketing.ru/Card/Person/50940", "Зимина Светлана Владимировна")</f>
        <v>Зимина Светлана Владимировна</v>
      </c>
      <c r="K4215" s="24" t="s">
        <v>6891</v>
      </c>
      <c r="L4215" s="22" t="s">
        <v>10</v>
      </c>
      <c r="M4215" s="25">
        <v>158241.78</v>
      </c>
      <c r="N4215" s="27">
        <v>0.65500175549457595</v>
      </c>
    </row>
    <row r="4216" spans="1:14" x14ac:dyDescent="0.15">
      <c r="A4216" s="23" t="str">
        <f>HYPERLINK("https://www.spark-marketing.ru/Card/Person/134712", "ОМВД РОССИИ ПО БЕРЕЗОВСКОМУ РАЙОНУ")</f>
        <v>ОМВД РОССИИ ПО БЕРЕЗОВСКОМУ РАЙОНУ</v>
      </c>
      <c r="B4216" s="24" t="s">
        <v>480</v>
      </c>
      <c r="C4216" s="25">
        <v>1819946.25</v>
      </c>
      <c r="D4216" s="22" t="s">
        <v>6892</v>
      </c>
      <c r="E4216" s="22" t="s">
        <v>96</v>
      </c>
      <c r="F4216" s="23" t="str">
        <f>HYPERLINK("https://www.spark-marketing.ru/Card/Lot/73200499", "Оказание услуг по организации горячего трехразового питания лицам, содержащимся в ИВС ОМВД России по Березовскому району")</f>
        <v>Оказание услуг по организации горячего трехразового питания лицам, содержащимся в ИВС ОМВД России по Березовскому району</v>
      </c>
      <c r="G4216" s="22" t="s">
        <v>97</v>
      </c>
      <c r="H4216" s="22" t="s">
        <v>482</v>
      </c>
      <c r="I4216" s="26">
        <v>43711.647916666698</v>
      </c>
      <c r="J4216" s="23" t="str">
        <f>HYPERLINK("https://www.spark-marketing.ru/Card/Person/4950766", "Маммаев Магомед Ашурбегович")</f>
        <v>Маммаев Магомед Ашурбегович</v>
      </c>
      <c r="K4216" s="24" t="s">
        <v>6893</v>
      </c>
      <c r="L4216" s="22" t="s">
        <v>10</v>
      </c>
      <c r="M4216" s="28" t="s">
        <v>51</v>
      </c>
      <c r="N4216" s="28" t="s">
        <v>51</v>
      </c>
    </row>
    <row r="4217" spans="1:14" x14ac:dyDescent="0.15">
      <c r="A4217" s="23" t="str">
        <f>HYPERLINK("https://www.spark-marketing.ru/Card/Person/2834", "ГУ-РО ФОНДА СОЦИАЛЬНОГО СТРАХОВАНИЯ РОССИЙСКОЙ ФЕДЕРАЦИИ ПО ЧУВАШСКОЙ РЕСПУБЛИКЕ - ЧУВАШИИ")</f>
        <v>ГУ-РО ФОНДА СОЦИАЛЬНОГО СТРАХОВАНИЯ РОССИЙСКОЙ ФЕДЕРАЦИИ ПО ЧУВАШСКОЙ РЕСПУБЛИКЕ - ЧУВАШИИ</v>
      </c>
      <c r="B4217" s="24" t="s">
        <v>6894</v>
      </c>
      <c r="C4217" s="25">
        <v>5334000</v>
      </c>
      <c r="D4217" s="22" t="s">
        <v>6895</v>
      </c>
      <c r="E4217" s="22" t="s">
        <v>86</v>
      </c>
      <c r="F4217" s="23" t="str">
        <f>HYPERLINK("https://www.spark-marketing.ru/Card/Lot/73204457", "Оказание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заболеваниями органов пищева...")</f>
        <v>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заболеваниями органов пищева...</v>
      </c>
      <c r="G4217" s="22" t="s">
        <v>618</v>
      </c>
      <c r="H4217" s="22" t="s">
        <v>2842</v>
      </c>
      <c r="I4217" s="26">
        <v>43711.660416666702</v>
      </c>
      <c r="J4217" s="28" t="s">
        <v>51</v>
      </c>
      <c r="K4217" s="28" t="s">
        <v>51</v>
      </c>
      <c r="L4217" s="28" t="s">
        <v>51</v>
      </c>
      <c r="M4217" s="28" t="s">
        <v>51</v>
      </c>
      <c r="N4217" s="28" t="s">
        <v>51</v>
      </c>
    </row>
    <row r="4218" spans="1:14" hidden="1" outlineLevel="1" x14ac:dyDescent="0.2">
      <c r="A4218" s="23" t="str">
        <f>HYPERLINK("https://www.spark-marketing.ru/Card/Person/2834", "ГУ-РО ФОНДА СОЦИАЛЬНОГО СТРАХОВАНИЯ РОССИЙСКОЙ ФЕДЕРАЦИИ ПО ЧУВАШСКОЙ РЕСПУБЛИКЕ - ЧУВАШИИ")</f>
        <v>ГУ-РО ФОНДА СОЦИАЛЬНОГО СТРАХОВАНИЯ РОССИЙСКОЙ ФЕДЕРАЦИИ ПО ЧУВАШСКОЙ РЕСПУБЛИКЕ - ЧУВАШИИ</v>
      </c>
      <c r="B4218" s="24" t="s">
        <v>6894</v>
      </c>
      <c r="C4218" s="25">
        <v>5334000</v>
      </c>
      <c r="D4218" s="22" t="s">
        <v>6895</v>
      </c>
      <c r="E4218" s="22" t="s">
        <v>86</v>
      </c>
      <c r="F4218" s="23" t="str">
        <f>HYPERLINK("https://www.spark-marketing.ru/Card/Lot/73204457", "Оказание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заболеваниями органов пищева...")</f>
        <v>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заболеваниями органов пищева...</v>
      </c>
      <c r="G4218" s="22" t="s">
        <v>618</v>
      </c>
      <c r="H4218" s="22" t="s">
        <v>2842</v>
      </c>
      <c r="I4218" s="26">
        <v>43711.660416666702</v>
      </c>
      <c r="J4218" s="23" t="str">
        <f>HYPERLINK("https://www.spark-marketing.ru/Card/Person/4394069", "АО ""ГАЗПРОМ ГАЗОРАСПРЕДЕЛЕНИЕ ЧЕБОКСАРЫ""")</f>
        <v>АО "ГАЗПРОМ ГАЗОРАСПРЕДЕЛЕНИЕ ЧЕБОКСАРЫ"</v>
      </c>
      <c r="K4218" s="24" t="s">
        <v>6896</v>
      </c>
      <c r="L4218" s="28" t="s">
        <v>51</v>
      </c>
      <c r="M4218" s="25">
        <v>2573121.6</v>
      </c>
      <c r="N4218" s="27">
        <v>0.51759999999999995</v>
      </c>
    </row>
    <row r="4219" spans="1:14" hidden="1" outlineLevel="1" x14ac:dyDescent="0.2">
      <c r="A4219" s="23" t="str">
        <f>HYPERLINK("https://www.spark-marketing.ru/Card/Person/2834", "ГУ-РО ФОНДА СОЦИАЛЬНОГО СТРАХОВАНИЯ РОССИЙСКОЙ ФЕДЕРАЦИИ ПО ЧУВАШСКОЙ РЕСПУБЛИКЕ - ЧУВАШИИ")</f>
        <v>ГУ-РО ФОНДА СОЦИАЛЬНОГО СТРАХОВАНИЯ РОССИЙСКОЙ ФЕДЕРАЦИИ ПО ЧУВАШСКОЙ РЕСПУБЛИКЕ - ЧУВАШИИ</v>
      </c>
      <c r="B4219" s="24" t="s">
        <v>6894</v>
      </c>
      <c r="C4219" s="25">
        <v>5334000</v>
      </c>
      <c r="D4219" s="22" t="s">
        <v>6895</v>
      </c>
      <c r="E4219" s="22" t="s">
        <v>86</v>
      </c>
      <c r="F4219" s="23" t="str">
        <f>HYPERLINK("https://www.spark-marketing.ru/Card/Lot/73204457", "Оказание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заболеваниями органов пищева...")</f>
        <v>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заболеваниями органов пищева...</v>
      </c>
      <c r="G4219" s="22" t="s">
        <v>618</v>
      </c>
      <c r="H4219" s="22" t="s">
        <v>2842</v>
      </c>
      <c r="I4219" s="26">
        <v>43711.660416666702</v>
      </c>
      <c r="J4219" s="23" t="str">
        <f>HYPERLINK("https://www.spark-marketing.ru/Card/Person/75384", "АО ""САНАТОРИЙ ""ЧУВАШИЯ""")</f>
        <v>АО "САНАТОРИЙ "ЧУВАШИЯ"</v>
      </c>
      <c r="K4219" s="24" t="s">
        <v>6897</v>
      </c>
      <c r="L4219" s="28" t="s">
        <v>51</v>
      </c>
      <c r="M4219" s="25">
        <v>3479901.6</v>
      </c>
      <c r="N4219" s="27">
        <v>0.34760000000000002</v>
      </c>
    </row>
    <row r="4220" spans="1:14" ht="12.75" hidden="1" outlineLevel="1" x14ac:dyDescent="0.2">
      <c r="A4220" s="23" t="str">
        <f>HYPERLINK("https://www.spark-marketing.ru/Card/Person/2834", "ГУ-РО ФОНДА СОЦИАЛЬНОГО СТРАХОВАНИЯ РОССИЙСКОЙ ФЕДЕРАЦИИ ПО ЧУВАШСКОЙ РЕСПУБЛИКЕ - ЧУВАШИИ")</f>
        <v>ГУ-РО ФОНДА СОЦИАЛЬНОГО СТРАХОВАНИЯ РОССИЙСКОЙ ФЕДЕРАЦИИ ПО ЧУВАШСКОЙ РЕСПУБЛИКЕ - ЧУВАШИИ</v>
      </c>
      <c r="B4220" s="24" t="s">
        <v>6894</v>
      </c>
      <c r="C4220" s="25">
        <v>5334000</v>
      </c>
      <c r="D4220" s="22" t="s">
        <v>6895</v>
      </c>
      <c r="E4220" s="22" t="s">
        <v>86</v>
      </c>
      <c r="F4220" s="23" t="str">
        <f>HYPERLINK("https://www.spark-marketing.ru/Card/Lot/73204457", "Оказание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заболеваниями органов пищева...")</f>
        <v>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заболеваниями органов пищева...</v>
      </c>
      <c r="G4220" s="22" t="s">
        <v>618</v>
      </c>
      <c r="H4220" s="22" t="s">
        <v>2842</v>
      </c>
      <c r="I4220" s="26">
        <v>43711.660416666702</v>
      </c>
      <c r="J4220" s="23" t="str">
        <f>HYPERLINK("https://www.spark-marketing.ru/Card/Person/156493", "АО ""САНАТОРИЙ ""ЧУВАШИЯКУРОРТ""")</f>
        <v>АО "САНАТОРИЙ "ЧУВАШИЯКУРОРТ"</v>
      </c>
      <c r="K4220" s="24" t="s">
        <v>6898</v>
      </c>
      <c r="L4220" s="22" t="s">
        <v>10</v>
      </c>
      <c r="M4220" s="25">
        <v>2573121.6</v>
      </c>
      <c r="N4220" s="27">
        <v>0.51759999999999995</v>
      </c>
    </row>
    <row r="4221" spans="1:14" x14ac:dyDescent="0.15">
      <c r="A4221" s="23" t="str">
        <f>HYPERLINK("https://www.spark-marketing.ru/Card/Person/264564", "ОТДЕЛ МВД РОССИИ ПО ВЕРХНЕХАВСКОМУ РАЙОНУ")</f>
        <v>ОТДЕЛ МВД РОССИИ ПО ВЕРХНЕХАВСКОМУ РАЙОНУ</v>
      </c>
      <c r="B4221" s="24" t="s">
        <v>6899</v>
      </c>
      <c r="C4221" s="25">
        <v>120700</v>
      </c>
      <c r="D4221" s="22" t="s">
        <v>6900</v>
      </c>
      <c r="E4221" s="22" t="s">
        <v>48</v>
      </c>
      <c r="F4221" s="23" t="str">
        <f>HYPERLINK("https://www.spark-marketing.ru/Card/Lot/73202230",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4221" s="22" t="s">
        <v>82</v>
      </c>
      <c r="H4221" s="22" t="s">
        <v>6901</v>
      </c>
      <c r="I4221" s="26">
        <v>43711.659004629597</v>
      </c>
      <c r="J4221" s="28" t="s">
        <v>51</v>
      </c>
      <c r="K4221" s="28" t="s">
        <v>51</v>
      </c>
      <c r="L4221" s="28" t="s">
        <v>51</v>
      </c>
      <c r="M4221" s="28" t="s">
        <v>51</v>
      </c>
      <c r="N4221" s="28" t="s">
        <v>51</v>
      </c>
    </row>
    <row r="4222" spans="1:14" x14ac:dyDescent="0.15">
      <c r="A4222" s="23" t="str">
        <f>HYPERLINK("https://www.spark-marketing.ru/Card/Person/264564", "ОТДЕЛ МВД РОССИИ ПО ВЕРХНЕХАВСКОМУ РАЙОНУ")</f>
        <v>ОТДЕЛ МВД РОССИИ ПО ВЕРХНЕХАВСКОМУ РАЙОНУ</v>
      </c>
      <c r="B4222" s="24" t="s">
        <v>6899</v>
      </c>
      <c r="C4222" s="25">
        <v>120700</v>
      </c>
      <c r="D4222" s="22" t="s">
        <v>6902</v>
      </c>
      <c r="E4222" s="22" t="s">
        <v>48</v>
      </c>
      <c r="F4222" s="23" t="str">
        <f>HYPERLINK("https://www.spark-marketing.ru/Card/Lot/73202233",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4222" s="22" t="s">
        <v>82</v>
      </c>
      <c r="H4222" s="22" t="s">
        <v>6901</v>
      </c>
      <c r="I4222" s="26">
        <v>43711.660324074102</v>
      </c>
      <c r="J4222" s="28" t="s">
        <v>51</v>
      </c>
      <c r="K4222" s="28" t="s">
        <v>51</v>
      </c>
      <c r="L4222" s="28" t="s">
        <v>51</v>
      </c>
      <c r="M4222" s="28" t="s">
        <v>51</v>
      </c>
      <c r="N4222" s="28" t="s">
        <v>51</v>
      </c>
    </row>
    <row r="4223" spans="1:14" x14ac:dyDescent="0.15">
      <c r="A4223" s="23" t="str">
        <f>HYPERLINK("https://www.spark-marketing.ru/Card/Person/2834", "ГУ-РО ФОНДА СОЦИАЛЬНОГО СТРАХОВАНИЯ РОССИЙСКОЙ ФЕДЕРАЦИИ ПО ЧУВАШСКОЙ РЕСПУБЛИКЕ - ЧУВАШИИ")</f>
        <v>ГУ-РО ФОНДА СОЦИАЛЬНОГО СТРАХОВАНИЯ РОССИЙСКОЙ ФЕДЕРАЦИИ ПО ЧУВАШСКОЙ РЕСПУБЛИКЕ - ЧУВАШИИ</v>
      </c>
      <c r="B4223" s="24" t="s">
        <v>6894</v>
      </c>
      <c r="C4223" s="25">
        <v>5334000</v>
      </c>
      <c r="D4223" s="22" t="s">
        <v>6903</v>
      </c>
      <c r="E4223" s="22" t="s">
        <v>86</v>
      </c>
      <c r="F4223" s="23" t="str">
        <f>HYPERLINK("https://www.spark-marketing.ru/Card/Lot/73204814", "Оказание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костно-мышечной системы и со...")</f>
        <v>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костно-мышечной системы и со...</v>
      </c>
      <c r="G4223" s="22" t="s">
        <v>618</v>
      </c>
      <c r="H4223" s="22" t="s">
        <v>2842</v>
      </c>
      <c r="I4223" s="26">
        <v>43711.659722222197</v>
      </c>
      <c r="J4223" s="28" t="s">
        <v>51</v>
      </c>
      <c r="K4223" s="28" t="s">
        <v>51</v>
      </c>
      <c r="L4223" s="28" t="s">
        <v>51</v>
      </c>
      <c r="M4223" s="28" t="s">
        <v>51</v>
      </c>
      <c r="N4223" s="28" t="s">
        <v>51</v>
      </c>
    </row>
    <row r="4224" spans="1:14" ht="12.75" hidden="1" outlineLevel="1" x14ac:dyDescent="0.2">
      <c r="A4224" s="23" t="str">
        <f>HYPERLINK("https://www.spark-marketing.ru/Card/Person/2834", "ГУ-РО ФОНДА СОЦИАЛЬНОГО СТРАХОВАНИЯ РОССИЙСКОЙ ФЕДЕРАЦИИ ПО ЧУВАШСКОЙ РЕСПУБЛИКЕ - ЧУВАШИИ")</f>
        <v>ГУ-РО ФОНДА СОЦИАЛЬНОГО СТРАХОВАНИЯ РОССИЙСКОЙ ФЕДЕРАЦИИ ПО ЧУВАШСКОЙ РЕСПУБЛИКЕ - ЧУВАШИИ</v>
      </c>
      <c r="B4224" s="24" t="s">
        <v>6894</v>
      </c>
      <c r="C4224" s="25">
        <v>5334000</v>
      </c>
      <c r="D4224" s="22" t="s">
        <v>6903</v>
      </c>
      <c r="E4224" s="22" t="s">
        <v>86</v>
      </c>
      <c r="F4224" s="23" t="str">
        <f>HYPERLINK("https://www.spark-marketing.ru/Card/Lot/73204814", "Оказание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костно-мышечной системы и со...")</f>
        <v>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костно-мышечной системы и со...</v>
      </c>
      <c r="G4224" s="22" t="s">
        <v>618</v>
      </c>
      <c r="H4224" s="22" t="s">
        <v>2842</v>
      </c>
      <c r="I4224" s="26">
        <v>43711.659722222197</v>
      </c>
      <c r="J4224" s="23" t="str">
        <f>HYPERLINK("https://www.spark-marketing.ru/Card/Person/4394069", "АО ""ГАЗПРОМ ГАЗОРАСПРЕДЕЛЕНИЕ ЧЕБОКСАРЫ""")</f>
        <v>АО "ГАЗПРОМ ГАЗОРАСПРЕДЕЛЕНИЕ ЧЕБОКСАРЫ"</v>
      </c>
      <c r="K4224" s="24" t="s">
        <v>6896</v>
      </c>
      <c r="L4224" s="22" t="s">
        <v>10</v>
      </c>
      <c r="M4224" s="25">
        <v>2476520</v>
      </c>
      <c r="N4224" s="27">
        <v>0.53571053618297715</v>
      </c>
    </row>
    <row r="4225" spans="1:14" hidden="1" outlineLevel="1" x14ac:dyDescent="0.2">
      <c r="A4225" s="23" t="str">
        <f>HYPERLINK("https://www.spark-marketing.ru/Card/Person/2834", "ГУ-РО ФОНДА СОЦИАЛЬНОГО СТРАХОВАНИЯ РОССИЙСКОЙ ФЕДЕРАЦИИ ПО ЧУВАШСКОЙ РЕСПУБЛИКЕ - ЧУВАШИИ")</f>
        <v>ГУ-РО ФОНДА СОЦИАЛЬНОГО СТРАХОВАНИЯ РОССИЙСКОЙ ФЕДЕРАЦИИ ПО ЧУВАШСКОЙ РЕСПУБЛИКЕ - ЧУВАШИИ</v>
      </c>
      <c r="B4225" s="24" t="s">
        <v>6894</v>
      </c>
      <c r="C4225" s="25">
        <v>5334000</v>
      </c>
      <c r="D4225" s="22" t="s">
        <v>6903</v>
      </c>
      <c r="E4225" s="22" t="s">
        <v>86</v>
      </c>
      <c r="F4225" s="23" t="str">
        <f>HYPERLINK("https://www.spark-marketing.ru/Card/Lot/73204814", "Оказание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костно-мышечной системы и со...")</f>
        <v>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костно-мышечной системы и со...</v>
      </c>
      <c r="G4225" s="22" t="s">
        <v>618</v>
      </c>
      <c r="H4225" s="22" t="s">
        <v>2842</v>
      </c>
      <c r="I4225" s="26">
        <v>43711.659722222197</v>
      </c>
      <c r="J4225" s="23" t="str">
        <f>HYPERLINK("https://www.spark-marketing.ru/Card/Person/156493", "АО ""САНАТОРИЙ ""ЧУВАШИЯКУРОРТ""")</f>
        <v>АО "САНАТОРИЙ "ЧУВАШИЯКУРОРТ"</v>
      </c>
      <c r="K4225" s="24" t="s">
        <v>6898</v>
      </c>
      <c r="L4225" s="28" t="s">
        <v>51</v>
      </c>
      <c r="M4225" s="25">
        <v>2503190</v>
      </c>
      <c r="N4225" s="27">
        <v>0.53071053618297714</v>
      </c>
    </row>
    <row r="4226" spans="1:14" hidden="1" outlineLevel="1" x14ac:dyDescent="0.2">
      <c r="A4226" s="23" t="str">
        <f>HYPERLINK("https://www.spark-marketing.ru/Card/Person/2834", "ГУ-РО ФОНДА СОЦИАЛЬНОГО СТРАХОВАНИЯ РОССИЙСКОЙ ФЕДЕРАЦИИ ПО ЧУВАШСКОЙ РЕСПУБЛИКЕ - ЧУВАШИИ")</f>
        <v>ГУ-РО ФОНДА СОЦИАЛЬНОГО СТРАХОВАНИЯ РОССИЙСКОЙ ФЕДЕРАЦИИ ПО ЧУВАШСКОЙ РЕСПУБЛИКЕ - ЧУВАШИИ</v>
      </c>
      <c r="B4226" s="24" t="s">
        <v>6894</v>
      </c>
      <c r="C4226" s="25">
        <v>5334000</v>
      </c>
      <c r="D4226" s="22" t="s">
        <v>6903</v>
      </c>
      <c r="E4226" s="22" t="s">
        <v>86</v>
      </c>
      <c r="F4226" s="23" t="str">
        <f>HYPERLINK("https://www.spark-marketing.ru/Card/Lot/73204814", "Оказание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костно-мышечной системы и со...")</f>
        <v>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костно-мышечной системы и со...</v>
      </c>
      <c r="G4226" s="22" t="s">
        <v>618</v>
      </c>
      <c r="H4226" s="22" t="s">
        <v>2842</v>
      </c>
      <c r="I4226" s="26">
        <v>43711.659722222197</v>
      </c>
      <c r="J4226" s="23" t="str">
        <f>HYPERLINK("https://www.spark-marketing.ru/Card/Person/75384", "АО ""САНАТОРИЙ ""ЧУВАШИЯ""")</f>
        <v>АО "САНАТОРИЙ "ЧУВАШИЯ"</v>
      </c>
      <c r="K4226" s="24" t="s">
        <v>6897</v>
      </c>
      <c r="L4226" s="28" t="s">
        <v>51</v>
      </c>
      <c r="M4226" s="25">
        <v>4747260</v>
      </c>
      <c r="N4226" s="27">
        <v>0.11</v>
      </c>
    </row>
    <row r="4227" spans="1:14" hidden="1" outlineLevel="1" x14ac:dyDescent="0.2">
      <c r="A4227" s="23" t="str">
        <f>HYPERLINK("https://www.spark-marketing.ru/Card/Person/2834", "ГУ-РО ФОНДА СОЦИАЛЬНОГО СТРАХОВАНИЯ РОССИЙСКОЙ ФЕДЕРАЦИИ ПО ЧУВАШСКОЙ РЕСПУБЛИКЕ - ЧУВАШИИ")</f>
        <v>ГУ-РО ФОНДА СОЦИАЛЬНОГО СТРАХОВАНИЯ РОССИЙСКОЙ ФЕДЕРАЦИИ ПО ЧУВАШСКОЙ РЕСПУБЛИКЕ - ЧУВАШИИ</v>
      </c>
      <c r="B4227" s="24" t="s">
        <v>6894</v>
      </c>
      <c r="C4227" s="25">
        <v>5334000</v>
      </c>
      <c r="D4227" s="22" t="s">
        <v>6903</v>
      </c>
      <c r="E4227" s="22" t="s">
        <v>86</v>
      </c>
      <c r="F4227" s="23" t="str">
        <f>HYPERLINK("https://www.spark-marketing.ru/Card/Lot/73204814", "Оказание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костно-мышечной системы и со...")</f>
        <v>Оказание услуг по медицинской реабилитации застрахованных лиц, пострадавших вследствие несчастных случаев на производстве и профессиональных заболеваний, в санаторно-курортных организациях с заболеваниями нервной системы, костно-мышечной системы и со...</v>
      </c>
      <c r="G4227" s="22" t="s">
        <v>618</v>
      </c>
      <c r="H4227" s="22" t="s">
        <v>2842</v>
      </c>
      <c r="I4227" s="26">
        <v>43711.659722222197</v>
      </c>
      <c r="J4227" s="23" t="str">
        <f>HYPERLINK("https://www.spark-marketing.ru/Card/Person/5824866", "АНО ""САНАТОРИЙ-ПРОФИЛАКТОРИЙ ""ГОЛУБОЕ ОЗЕРО""")</f>
        <v>АНО "САНАТОРИЙ-ПРОФИЛАКТОРИЙ "ГОЛУБОЕ ОЗЕРО"</v>
      </c>
      <c r="K4227" s="24" t="s">
        <v>4448</v>
      </c>
      <c r="L4227" s="28" t="s">
        <v>51</v>
      </c>
      <c r="M4227" s="25">
        <v>3063260</v>
      </c>
      <c r="N4227" s="27">
        <v>0.42571053618297711</v>
      </c>
    </row>
    <row r="4228" spans="1:14" x14ac:dyDescent="0.15">
      <c r="A4228" s="23" t="str">
        <f>HYPERLINK("https://www.spark-marketing.ru/Card/Person/134712", "ОМВД РОССИИ ПО БЕРЕЗОВСКОМУ РАЙОНУ")</f>
        <v>ОМВД РОССИИ ПО БЕРЕЗОВСКОМУ РАЙОНУ</v>
      </c>
      <c r="B4228" s="24" t="s">
        <v>480</v>
      </c>
      <c r="C4228" s="25">
        <v>1819946.25</v>
      </c>
      <c r="D4228" s="22" t="s">
        <v>6904</v>
      </c>
      <c r="E4228" s="22" t="s">
        <v>96</v>
      </c>
      <c r="F4228" s="23" t="str">
        <f>HYPERLINK("https://www.spark-marketing.ru/Card/Lot/73200498", "Оказание услуг по организации горячего трехразового питания лицам, содержащимся в ИВС ОМВД России по Березовскому району")</f>
        <v>Оказание услуг по организации горячего трехразового питания лицам, содержащимся в ИВС ОМВД России по Березовскому району</v>
      </c>
      <c r="G4228" s="22" t="s">
        <v>97</v>
      </c>
      <c r="H4228" s="22" t="s">
        <v>482</v>
      </c>
      <c r="I4228" s="26">
        <v>43711.6381944444</v>
      </c>
      <c r="J4228" s="28" t="s">
        <v>51</v>
      </c>
      <c r="K4228" s="28" t="s">
        <v>51</v>
      </c>
      <c r="L4228" s="28" t="s">
        <v>51</v>
      </c>
      <c r="M4228" s="28" t="s">
        <v>51</v>
      </c>
      <c r="N4228" s="28" t="s">
        <v>51</v>
      </c>
    </row>
    <row r="4229" spans="1:14" x14ac:dyDescent="0.15">
      <c r="A4229" s="23" t="str">
        <f>HYPERLINK("https://www.spark-marketing.ru/Card/Person/131642", "АДМИНИСТРАЦИЯ МО ""ПАРАНЬГИНСКИЙ МУНИЦИПАЛЬНЫЙ РАЙОН""")</f>
        <v>АДМИНИСТРАЦИЯ МО "ПАРАНЬГИНСКИЙ МУНИЦИПАЛЬНЫЙ РАЙОН"</v>
      </c>
      <c r="B4229" s="24" t="s">
        <v>6905</v>
      </c>
      <c r="C4229" s="28" t="s">
        <v>51</v>
      </c>
      <c r="D4229" s="22" t="s">
        <v>6906</v>
      </c>
      <c r="E4229" s="22" t="s">
        <v>96</v>
      </c>
      <c r="F4229" s="23" t="str">
        <f>HYPERLINK("https://www.spark-marketing.ru/Card/Lot/73200918", "Предварительный отбор участников закупки для включения в Перечень поставщиков, подрядчиков, исполнителей на поставку необходимых товаров, выполнения работ, оказания услуг, в целях ликвидации последствий чрезвычайных ситуаций природного или техногенно...")</f>
        <v>Предварительный отбор участников закупки для включения в Перечень поставщиков, подрядчиков, исполнителей на поставку необходимых товаров, выполнения работ, оказания услуг, в целях ликвидации последствий чрезвычайных ситуаций природного или техногенно...</v>
      </c>
      <c r="G4229" s="22" t="s">
        <v>3249</v>
      </c>
      <c r="H4229" s="22" t="s">
        <v>6907</v>
      </c>
      <c r="I4229" s="26">
        <v>43711.595833333296</v>
      </c>
      <c r="J4229" s="28" t="s">
        <v>51</v>
      </c>
      <c r="K4229" s="28" t="s">
        <v>51</v>
      </c>
      <c r="L4229" s="28" t="s">
        <v>51</v>
      </c>
      <c r="M4229" s="28" t="s">
        <v>51</v>
      </c>
      <c r="N4229" s="28" t="s">
        <v>51</v>
      </c>
    </row>
    <row r="4230" spans="1:14" hidden="1" outlineLevel="1" x14ac:dyDescent="0.15">
      <c r="A4230" s="23" t="str">
        <f>HYPERLINK("https://www.spark-marketing.ru/Card/Person/131642", "АДМИНИСТРАЦИЯ МО ""ПАРАНЬГИНСКИЙ МУНИЦИПАЛЬНЫЙ РАЙОН""")</f>
        <v>АДМИНИСТРАЦИЯ МО "ПАРАНЬГИНСКИЙ МУНИЦИПАЛЬНЫЙ РАЙОН"</v>
      </c>
      <c r="B4230" s="24" t="s">
        <v>6905</v>
      </c>
      <c r="C4230" s="28" t="s">
        <v>51</v>
      </c>
      <c r="D4230" s="22" t="s">
        <v>6906</v>
      </c>
      <c r="E4230" s="22" t="s">
        <v>96</v>
      </c>
      <c r="F4230" s="23" t="str">
        <f>HYPERLINK("https://www.spark-marketing.ru/Card/Lot/73200918", "Предварительный отбор участников закупки для включения в Перечень поставщиков, подрядчиков, исполнителей на поставку необходимых товаров, выполнения работ, оказания услуг, в целях ликвидации последствий чрезвычайных ситуаций природного или техногенно...")</f>
        <v>Предварительный отбор участников закупки для включения в Перечень поставщиков, подрядчиков, исполнителей на поставку необходимых товаров, выполнения работ, оказания услуг, в целях ликвидации последствий чрезвычайных ситуаций природного или техногенно...</v>
      </c>
      <c r="G4230" s="22" t="s">
        <v>3249</v>
      </c>
      <c r="H4230" s="22" t="s">
        <v>6907</v>
      </c>
      <c r="I4230" s="26">
        <v>43711.595833333296</v>
      </c>
      <c r="J4230" s="23" t="str">
        <f>HYPERLINK("https://www.spark-marketing.ru/Card/Person/1119308", "Ахмедгараева Венера Мударисовна")</f>
        <v>Ахмедгараева Венера Мударисовна</v>
      </c>
      <c r="K4230" s="24" t="s">
        <v>6908</v>
      </c>
      <c r="L4230" s="28" t="s">
        <v>51</v>
      </c>
      <c r="M4230" s="28" t="s">
        <v>51</v>
      </c>
      <c r="N4230" s="28" t="s">
        <v>51</v>
      </c>
    </row>
    <row r="4231" spans="1:14" hidden="1" outlineLevel="1" x14ac:dyDescent="0.15">
      <c r="A4231" s="23" t="str">
        <f>HYPERLINK("https://www.spark-marketing.ru/Card/Person/131642", "АДМИНИСТРАЦИЯ МО ""ПАРАНЬГИНСКИЙ МУНИЦИПАЛЬНЫЙ РАЙОН""")</f>
        <v>АДМИНИСТРАЦИЯ МО "ПАРАНЬГИНСКИЙ МУНИЦИПАЛЬНЫЙ РАЙОН"</v>
      </c>
      <c r="B4231" s="24" t="s">
        <v>6905</v>
      </c>
      <c r="C4231" s="28" t="s">
        <v>51</v>
      </c>
      <c r="D4231" s="22" t="s">
        <v>6906</v>
      </c>
      <c r="E4231" s="22" t="s">
        <v>96</v>
      </c>
      <c r="F4231" s="23" t="str">
        <f>HYPERLINK("https://www.spark-marketing.ru/Card/Lot/73200918", "Предварительный отбор участников закупки для включения в Перечень поставщиков, подрядчиков, исполнителей на поставку необходимых товаров, выполнения работ, оказания услуг, в целях ликвидации последствий чрезвычайных ситуаций природного или техногенно...")</f>
        <v>Предварительный отбор участников закупки для включения в Перечень поставщиков, подрядчиков, исполнителей на поставку необходимых товаров, выполнения работ, оказания услуг, в целях ликвидации последствий чрезвычайных ситуаций природного или техногенно...</v>
      </c>
      <c r="G4231" s="22" t="s">
        <v>3249</v>
      </c>
      <c r="H4231" s="22" t="s">
        <v>6907</v>
      </c>
      <c r="I4231" s="26">
        <v>43711.595833333296</v>
      </c>
      <c r="J4231" s="23" t="str">
        <f>HYPERLINK("https://www.spark-marketing.ru/Card/Person/1121633", "ООО ""РАМАЗАН""")</f>
        <v>ООО "РАМАЗАН"</v>
      </c>
      <c r="K4231" s="24" t="s">
        <v>6909</v>
      </c>
      <c r="L4231" s="28" t="s">
        <v>51</v>
      </c>
      <c r="M4231" s="28" t="s">
        <v>51</v>
      </c>
      <c r="N4231" s="28" t="s">
        <v>51</v>
      </c>
    </row>
    <row r="4232" spans="1:14" x14ac:dyDescent="0.15">
      <c r="A4232" s="23" t="str">
        <f>HYPERLINK("https://www.spark-marketing.ru/Card/Person/32494", "МИНИСТЕРСТВО ИНФОРМАЦИОННЫХ ТЕХНОЛОГИЙ И СВЯЗИ ХАБАРОВСКОГО КРАЯ")</f>
        <v>МИНИСТЕРСТВО ИНФОРМАЦИОННЫХ ТЕХНОЛОГИЙ И СВЯЗИ ХАБАРОВСКОГО КРАЯ</v>
      </c>
      <c r="B4232" s="24" t="s">
        <v>6910</v>
      </c>
      <c r="C4232" s="25">
        <v>1700000</v>
      </c>
      <c r="D4232" s="22" t="s">
        <v>6911</v>
      </c>
      <c r="E4232" s="22" t="s">
        <v>91</v>
      </c>
      <c r="F4232" s="23" t="str">
        <f>HYPERLINK("https://www.spark-marketing.ru/Card/Lot/73193685", "Оказание услуг по техническому обслуживанию и ремонту оборудования для обеспечения бесперебойного питания в коммутационных помещениях")</f>
        <v>Оказание услуг по техническому обслуживанию и ремонту оборудования для обеспечения бесперебойного питания в коммутационных помещениях</v>
      </c>
      <c r="G4232" s="22" t="s">
        <v>1096</v>
      </c>
      <c r="H4232" s="22" t="s">
        <v>1097</v>
      </c>
      <c r="I4232" s="26">
        <v>43711.615277777797</v>
      </c>
      <c r="J4232" s="23" t="str">
        <f>HYPERLINK("https://www.spark-marketing.ru/Card/Person/65310", "ООО ""ХАБЭКО-ПАРТНЕР""")</f>
        <v>ООО "ХАБЭКО-ПАРТНЕР"</v>
      </c>
      <c r="K4232" s="24" t="s">
        <v>2195</v>
      </c>
      <c r="L4232" s="22" t="s">
        <v>10</v>
      </c>
      <c r="M4232" s="28" t="s">
        <v>51</v>
      </c>
      <c r="N4232" s="28" t="s">
        <v>51</v>
      </c>
    </row>
    <row r="4233" spans="1:14" x14ac:dyDescent="0.15">
      <c r="A4233" s="23" t="str">
        <f>HYPERLINK("https://www.spark-marketing.ru/Card/Person/107267", "УМВД РОССИИ ПО Г. СУРГУТУ")</f>
        <v>УМВД РОССИИ ПО Г. СУРГУТУ</v>
      </c>
      <c r="B4233" s="24" t="s">
        <v>5245</v>
      </c>
      <c r="C4233" s="25">
        <v>28856921.699999999</v>
      </c>
      <c r="D4233" s="22" t="s">
        <v>6912</v>
      </c>
      <c r="E4233" s="22" t="s">
        <v>96</v>
      </c>
      <c r="F4233" s="23" t="str">
        <f>HYPERLINK("https://www.spark-marketing.ru/Card/Lot/73200526", "Оказание услуг по организации комплексного горячего питания лиц, находящихся в изоляторах временного содержания, административно-задержанных и административно-арестованных")</f>
        <v>Оказание услуг по организации комплексного горячего питания лиц, находящихся в изоляторах временного содержания, административно-задержанных и административно-арестованных</v>
      </c>
      <c r="G4233" s="22" t="s">
        <v>97</v>
      </c>
      <c r="H4233" s="22" t="s">
        <v>3533</v>
      </c>
      <c r="I4233" s="26">
        <v>43711.609027777798</v>
      </c>
      <c r="J4233" s="28" t="s">
        <v>51</v>
      </c>
      <c r="K4233" s="28" t="s">
        <v>51</v>
      </c>
      <c r="L4233" s="28" t="s">
        <v>51</v>
      </c>
      <c r="M4233" s="28" t="s">
        <v>51</v>
      </c>
      <c r="N4233" s="28" t="s">
        <v>51</v>
      </c>
    </row>
    <row r="4234" spans="1:14" hidden="1" outlineLevel="1" x14ac:dyDescent="0.2">
      <c r="A4234" s="23" t="str">
        <f>HYPERLINK("https://www.spark-marketing.ru/Card/Person/107267", "УМВД РОССИИ ПО Г. СУРГУТУ")</f>
        <v>УМВД РОССИИ ПО Г. СУРГУТУ</v>
      </c>
      <c r="B4234" s="24" t="s">
        <v>5245</v>
      </c>
      <c r="C4234" s="25">
        <v>28856921.699999999</v>
      </c>
      <c r="D4234" s="22" t="s">
        <v>6912</v>
      </c>
      <c r="E4234" s="22" t="s">
        <v>96</v>
      </c>
      <c r="F4234" s="23" t="str">
        <f>HYPERLINK("https://www.spark-marketing.ru/Card/Lot/73200526", "Оказание услуг по организации комплексного горячего питания лиц, находящихся в изоляторах временного содержания, административно-задержанных и административно-арестованных")</f>
        <v>Оказание услуг по организации комплексного горячего питания лиц, находящихся в изоляторах временного содержания, административно-задержанных и административно-арестованных</v>
      </c>
      <c r="G4234" s="22" t="s">
        <v>97</v>
      </c>
      <c r="H4234" s="22" t="s">
        <v>3533</v>
      </c>
      <c r="I4234" s="26">
        <v>43711.609027777798</v>
      </c>
      <c r="J4234" s="23" t="str">
        <f>HYPERLINK("https://www.spark-marketing.ru/Card/Person/6438916", "ООО ""УСАДЬБА""")</f>
        <v>ООО "УСАДЬБА"</v>
      </c>
      <c r="K4234" s="24" t="s">
        <v>5247</v>
      </c>
      <c r="L4234" s="28" t="s">
        <v>51</v>
      </c>
      <c r="M4234" s="25">
        <v>2137.13</v>
      </c>
      <c r="N4234" s="27">
        <v>0.99992594047202199</v>
      </c>
    </row>
    <row r="4235" spans="1:14" ht="12.75" hidden="1" outlineLevel="1" x14ac:dyDescent="0.2">
      <c r="A4235" s="23" t="str">
        <f>HYPERLINK("https://www.spark-marketing.ru/Card/Person/107267", "УМВД РОССИИ ПО Г. СУРГУТУ")</f>
        <v>УМВД РОССИИ ПО Г. СУРГУТУ</v>
      </c>
      <c r="B4235" s="24" t="s">
        <v>5245</v>
      </c>
      <c r="C4235" s="25">
        <v>28856921.699999999</v>
      </c>
      <c r="D4235" s="22" t="s">
        <v>6912</v>
      </c>
      <c r="E4235" s="22" t="s">
        <v>96</v>
      </c>
      <c r="F4235" s="23" t="str">
        <f>HYPERLINK("https://www.spark-marketing.ru/Card/Lot/73200526", "Оказание услуг по организации комплексного горячего питания лиц, находящихся в изоляторах временного содержания, административно-задержанных и административно-арестованных")</f>
        <v>Оказание услуг по организации комплексного горячего питания лиц, находящихся в изоляторах временного содержания, административно-задержанных и административно-арестованных</v>
      </c>
      <c r="G4235" s="22" t="s">
        <v>97</v>
      </c>
      <c r="H4235" s="22" t="s">
        <v>3533</v>
      </c>
      <c r="I4235" s="26">
        <v>43711.609027777798</v>
      </c>
      <c r="J4235" s="23" t="str">
        <f>HYPERLINK("https://www.spark-marketing.ru/Card/Person/54874", "ООО ""РУССКОМПЛЕКТ ПИТ""")</f>
        <v>ООО "РУССКОМПЛЕКТ ПИТ"</v>
      </c>
      <c r="K4235" s="24" t="s">
        <v>3534</v>
      </c>
      <c r="L4235" s="22" t="s">
        <v>10</v>
      </c>
      <c r="M4235" s="25">
        <v>2125.5100000000002</v>
      </c>
      <c r="N4235" s="27">
        <v>0.99992634314837536</v>
      </c>
    </row>
    <row r="4236" spans="1:14" x14ac:dyDescent="0.15">
      <c r="A4236" s="23" t="str">
        <f>HYPERLINK("https://www.spark-marketing.ru/Card/Person/875818", "ГБУ ДО КК ЭБЦ")</f>
        <v>ГБУ ДО КК ЭБЦ</v>
      </c>
      <c r="B4236" s="24" t="s">
        <v>6913</v>
      </c>
      <c r="C4236" s="25">
        <v>414750</v>
      </c>
      <c r="D4236" s="22" t="s">
        <v>6914</v>
      </c>
      <c r="E4236" s="22" t="s">
        <v>6915</v>
      </c>
      <c r="F4236" s="23" t="str">
        <f>HYPERLINK("https://www.spark-marketing.ru/Card/Lot/73203438", "Оказание услуг по проживанию и трехразовому питанию участников краевого интеллектуального мероприятия «Слет юных экологов и членов школьных лесничеств»")</f>
        <v>Оказание услуг по проживанию и трехразовому питанию участников краевого интеллектуального мероприятия «Слет юных экологов и членов школьных лесничеств»</v>
      </c>
      <c r="G4236" s="22" t="s">
        <v>104</v>
      </c>
      <c r="H4236" s="22" t="s">
        <v>104</v>
      </c>
      <c r="I4236" s="26">
        <v>43711.616666666698</v>
      </c>
      <c r="J4236" s="28" t="s">
        <v>51</v>
      </c>
      <c r="K4236" s="28" t="s">
        <v>51</v>
      </c>
      <c r="L4236" s="28" t="s">
        <v>51</v>
      </c>
      <c r="M4236" s="28" t="s">
        <v>51</v>
      </c>
      <c r="N4236" s="28" t="s">
        <v>51</v>
      </c>
    </row>
    <row r="4237" spans="1:14" hidden="1" outlineLevel="1" x14ac:dyDescent="0.2">
      <c r="A4237" s="23" t="str">
        <f>HYPERLINK("https://www.spark-marketing.ru/Card/Person/875818", "ГБУ ДО КК ЭБЦ")</f>
        <v>ГБУ ДО КК ЭБЦ</v>
      </c>
      <c r="B4237" s="24" t="s">
        <v>6913</v>
      </c>
      <c r="C4237" s="25">
        <v>414750</v>
      </c>
      <c r="D4237" s="22" t="s">
        <v>6914</v>
      </c>
      <c r="E4237" s="22" t="s">
        <v>6915</v>
      </c>
      <c r="F4237" s="23" t="str">
        <f>HYPERLINK("https://www.spark-marketing.ru/Card/Lot/73203438", "Оказание услуг по проживанию и трехразовому питанию участников краевого интеллектуального мероприятия «Слет юных экологов и членов школьных лесничеств»")</f>
        <v>Оказание услуг по проживанию и трехразовому питанию участников краевого интеллектуального мероприятия «Слет юных экологов и членов школьных лесничеств»</v>
      </c>
      <c r="G4237" s="22" t="s">
        <v>104</v>
      </c>
      <c r="H4237" s="22" t="s">
        <v>104</v>
      </c>
      <c r="I4237" s="26">
        <v>43711.616666666698</v>
      </c>
      <c r="J4237" s="23" t="str">
        <f>HYPERLINK("https://www.spark-marketing.ru/Card/Person/34901", "ЗАО ""САНАТОРИЙ ""ЖЕМЧУЖИНА МОРЯ""")</f>
        <v>ЗАО "САНАТОРИЙ "ЖЕМЧУЖИНА МОРЯ"</v>
      </c>
      <c r="K4237" s="24" t="s">
        <v>6916</v>
      </c>
      <c r="L4237" s="28" t="s">
        <v>51</v>
      </c>
      <c r="M4237" s="25">
        <v>385717.5</v>
      </c>
      <c r="N4237" s="27">
        <v>7.0000000000000007E-2</v>
      </c>
    </row>
    <row r="4238" spans="1:14" ht="12.75" hidden="1" outlineLevel="1" x14ac:dyDescent="0.2">
      <c r="A4238" s="23" t="str">
        <f>HYPERLINK("https://www.spark-marketing.ru/Card/Person/875818", "ГБУ ДО КК ЭБЦ")</f>
        <v>ГБУ ДО КК ЭБЦ</v>
      </c>
      <c r="B4238" s="24" t="s">
        <v>6913</v>
      </c>
      <c r="C4238" s="25">
        <v>414750</v>
      </c>
      <c r="D4238" s="22" t="s">
        <v>6914</v>
      </c>
      <c r="E4238" s="22" t="s">
        <v>6915</v>
      </c>
      <c r="F4238" s="23" t="str">
        <f>HYPERLINK("https://www.spark-marketing.ru/Card/Lot/73203438", "Оказание услуг по проживанию и трехразовому питанию участников краевого интеллектуального мероприятия «Слет юных экологов и членов школьных лесничеств»")</f>
        <v>Оказание услуг по проживанию и трехразовому питанию участников краевого интеллектуального мероприятия «Слет юных экологов и членов школьных лесничеств»</v>
      </c>
      <c r="G4238" s="22" t="s">
        <v>104</v>
      </c>
      <c r="H4238" s="22" t="s">
        <v>104</v>
      </c>
      <c r="I4238" s="26">
        <v>43711.616666666698</v>
      </c>
      <c r="J4238" s="23" t="str">
        <f>HYPERLINK("https://www.spark-marketing.ru/Card/Person/99883", "ООО ""САНАТОРИЙ ЯНТАРЬ""")</f>
        <v>ООО "САНАТОРИЙ ЯНТАРЬ"</v>
      </c>
      <c r="K4238" s="24" t="s">
        <v>6917</v>
      </c>
      <c r="L4238" s="22" t="s">
        <v>10</v>
      </c>
      <c r="M4238" s="25">
        <v>385717.5</v>
      </c>
      <c r="N4238" s="27">
        <v>7.0000000000000007E-2</v>
      </c>
    </row>
    <row r="4239" spans="1:14" x14ac:dyDescent="0.15">
      <c r="A4239" s="23" t="str">
        <f>HYPERLINK("https://www.spark-marketing.ru/Card/Person/56553", "ГБУЗ ИБ № 3")</f>
        <v>ГБУЗ ИБ № 3</v>
      </c>
      <c r="B4239" s="24" t="s">
        <v>254</v>
      </c>
      <c r="C4239" s="25">
        <v>499330</v>
      </c>
      <c r="D4239" s="22" t="s">
        <v>6918</v>
      </c>
      <c r="E4239" s="22" t="s">
        <v>96</v>
      </c>
      <c r="F4239" s="23" t="str">
        <f>HYPERLINK("https://www.spark-marketing.ru/Card/Lot/73201919", "Оказание услуг по обеспечению лечебным питанием")</f>
        <v>Оказание услуг по обеспечению лечебным питанием</v>
      </c>
      <c r="G4239" s="22" t="s">
        <v>104</v>
      </c>
      <c r="H4239" s="22" t="s">
        <v>104</v>
      </c>
      <c r="I4239" s="26">
        <v>43711.593055555597</v>
      </c>
      <c r="J4239" s="28" t="s">
        <v>51</v>
      </c>
      <c r="K4239" s="28" t="s">
        <v>51</v>
      </c>
      <c r="L4239" s="28" t="s">
        <v>51</v>
      </c>
      <c r="M4239" s="28" t="s">
        <v>51</v>
      </c>
      <c r="N4239" s="28" t="s">
        <v>51</v>
      </c>
    </row>
    <row r="4240" spans="1:14" hidden="1" outlineLevel="1" x14ac:dyDescent="0.2">
      <c r="A4240" s="23" t="str">
        <f>HYPERLINK("https://www.spark-marketing.ru/Card/Person/56553", "ГБУЗ ИБ № 3")</f>
        <v>ГБУЗ ИБ № 3</v>
      </c>
      <c r="B4240" s="24" t="s">
        <v>254</v>
      </c>
      <c r="C4240" s="25">
        <v>499330</v>
      </c>
      <c r="D4240" s="22" t="s">
        <v>6918</v>
      </c>
      <c r="E4240" s="22" t="s">
        <v>96</v>
      </c>
      <c r="F4240" s="23" t="str">
        <f>HYPERLINK("https://www.spark-marketing.ru/Card/Lot/73201919", "Оказание услуг по обеспечению лечебным питанием")</f>
        <v>Оказание услуг по обеспечению лечебным питанием</v>
      </c>
      <c r="G4240" s="22" t="s">
        <v>104</v>
      </c>
      <c r="H4240" s="22" t="s">
        <v>104</v>
      </c>
      <c r="I4240" s="26">
        <v>43711.593055555597</v>
      </c>
      <c r="J4240" s="23" t="str">
        <f>HYPERLINK("https://www.spark-marketing.ru/Card/Person/2461569", "ООО ""КОНСТАНТИНОВ""")</f>
        <v>ООО "КОНСТАНТИНОВ"</v>
      </c>
      <c r="K4240" s="24" t="s">
        <v>1691</v>
      </c>
      <c r="L4240" s="28" t="s">
        <v>51</v>
      </c>
      <c r="M4240" s="25">
        <v>332054.45</v>
      </c>
      <c r="N4240" s="27">
        <v>0.33500000000000002</v>
      </c>
    </row>
    <row r="4241" spans="1:14" ht="12.75" hidden="1" outlineLevel="1" x14ac:dyDescent="0.2">
      <c r="A4241" s="23" t="str">
        <f>HYPERLINK("https://www.spark-marketing.ru/Card/Person/56553", "ГБУЗ ИБ № 3")</f>
        <v>ГБУЗ ИБ № 3</v>
      </c>
      <c r="B4241" s="24" t="s">
        <v>254</v>
      </c>
      <c r="C4241" s="25">
        <v>499330</v>
      </c>
      <c r="D4241" s="22" t="s">
        <v>6918</v>
      </c>
      <c r="E4241" s="22" t="s">
        <v>96</v>
      </c>
      <c r="F4241" s="23" t="str">
        <f>HYPERLINK("https://www.spark-marketing.ru/Card/Lot/73201919", "Оказание услуг по обеспечению лечебным питанием")</f>
        <v>Оказание услуг по обеспечению лечебным питанием</v>
      </c>
      <c r="G4241" s="22" t="s">
        <v>104</v>
      </c>
      <c r="H4241" s="22" t="s">
        <v>104</v>
      </c>
      <c r="I4241" s="26">
        <v>43711.593055555597</v>
      </c>
      <c r="J4241" s="23" t="str">
        <f>HYPERLINK("https://www.spark-marketing.ru/Card/Person/54395", "Третьяков Вячеслав Викторович")</f>
        <v>Третьяков Вячеслав Викторович</v>
      </c>
      <c r="K4241" s="24" t="s">
        <v>1690</v>
      </c>
      <c r="L4241" s="22" t="s">
        <v>10</v>
      </c>
      <c r="M4241" s="25">
        <v>329557.8</v>
      </c>
      <c r="N4241" s="27">
        <v>0.34</v>
      </c>
    </row>
    <row r="4242" spans="1:14" x14ac:dyDescent="0.15">
      <c r="A4242" s="23" t="str">
        <f>HYPERLINK("https://www.spark-marketing.ru/Card/Person/1069561", "МО МВД РОССИИ ""НАВАШИНСКИЙ""")</f>
        <v>МО МВД РОССИИ "НАВАШИНСКИЙ"</v>
      </c>
      <c r="B4242" s="24" t="s">
        <v>6919</v>
      </c>
      <c r="C4242" s="25">
        <v>700000</v>
      </c>
      <c r="D4242" s="22" t="s">
        <v>6920</v>
      </c>
      <c r="E4242" s="22" t="s">
        <v>48</v>
      </c>
      <c r="F4242" s="23" t="str">
        <f>HYPERLINK("https://www.spark-marketing.ru/Card/Lot/73201973", "Услуги по организации питания лиц, содержащихся в изоляторе временного содержания и камере для административных задержанных")</f>
        <v>Услуги по организации питания лиц, содержащихся в изоляторе временного содержания и камере для административных задержанных</v>
      </c>
      <c r="G4242" s="22" t="s">
        <v>76</v>
      </c>
      <c r="H4242" s="22" t="s">
        <v>76</v>
      </c>
      <c r="I4242" s="26">
        <v>43711.599305555603</v>
      </c>
      <c r="J4242" s="23" t="str">
        <f>HYPERLINK("https://www.spark-marketing.ru/Card/Person/1184409", "ООО ""ВЕНЕРА""")</f>
        <v>ООО "ВЕНЕРА"</v>
      </c>
      <c r="K4242" s="24" t="s">
        <v>6921</v>
      </c>
      <c r="L4242" s="22" t="s">
        <v>10</v>
      </c>
      <c r="M4242" s="28" t="s">
        <v>51</v>
      </c>
      <c r="N4242" s="28" t="s">
        <v>51</v>
      </c>
    </row>
    <row r="4243" spans="1:14" x14ac:dyDescent="0.15">
      <c r="A4243" s="23" t="str">
        <f>HYPERLINK("https://www.spark-marketing.ru/Card/Person/1025244", "МБОУ СОШ № 3")</f>
        <v>МБОУ СОШ № 3</v>
      </c>
      <c r="B4243" s="24" t="s">
        <v>6922</v>
      </c>
      <c r="C4243" s="25">
        <v>1610400</v>
      </c>
      <c r="D4243" s="22" t="s">
        <v>6923</v>
      </c>
      <c r="E4243" s="22" t="s">
        <v>48</v>
      </c>
      <c r="F4243" s="23" t="str">
        <f>HYPERLINK("https://www.spark-marketing.ru/Card/Lot/73200552", "оказание услуг по организации питания учащихся")</f>
        <v>оказание услуг по организации питания учащихся</v>
      </c>
      <c r="G4243" s="22" t="s">
        <v>97</v>
      </c>
      <c r="H4243" s="22" t="s">
        <v>1127</v>
      </c>
      <c r="I4243" s="26">
        <v>43711.606249999997</v>
      </c>
      <c r="J4243" s="23" t="str">
        <f>HYPERLINK("https://www.spark-marketing.ru/Card/Person/930688", "УП ""КОМБИНАТ ОБЩЕСТВЕННОГО ПИТАНИЯ"" ГОРОДА РАДУЖНЫЙ")</f>
        <v>УП "КОМБИНАТ ОБЩЕСТВЕННОГО ПИТАНИЯ" ГОРОДА РАДУЖНЫЙ</v>
      </c>
      <c r="K4243" s="24" t="s">
        <v>1428</v>
      </c>
      <c r="L4243" s="22" t="s">
        <v>10</v>
      </c>
      <c r="M4243" s="28" t="s">
        <v>51</v>
      </c>
      <c r="N4243" s="28" t="s">
        <v>51</v>
      </c>
    </row>
    <row r="4244" spans="1:14" x14ac:dyDescent="0.2">
      <c r="A4244" s="23" t="str">
        <f>HYPERLINK("https://www.spark-marketing.ru/Card/Person/4377985", "МАОУ СОШ № 2")</f>
        <v>МАОУ СОШ № 2</v>
      </c>
      <c r="B4244" s="24" t="s">
        <v>2061</v>
      </c>
      <c r="C4244" s="25">
        <v>999930</v>
      </c>
      <c r="D4244" s="22" t="s">
        <v>6924</v>
      </c>
      <c r="E4244" s="22" t="s">
        <v>362</v>
      </c>
      <c r="F4244" s="23" t="str">
        <f>HYPERLINK("https://www.spark-marketing.ru/Card/Lot/73213560", "Услуги по организации питания")</f>
        <v>Услуги по организации питания</v>
      </c>
      <c r="G4244" s="22" t="s">
        <v>174</v>
      </c>
      <c r="H4244" s="22" t="s">
        <v>174</v>
      </c>
      <c r="I4244" s="26">
        <v>43711.623773148101</v>
      </c>
      <c r="J4244" s="28" t="s">
        <v>51</v>
      </c>
      <c r="K4244" s="28" t="s">
        <v>51</v>
      </c>
      <c r="L4244" s="28" t="s">
        <v>51</v>
      </c>
      <c r="M4244" s="25">
        <v>999930</v>
      </c>
      <c r="N4244" s="27">
        <v>0</v>
      </c>
    </row>
    <row r="4245" spans="1:14" x14ac:dyDescent="0.15">
      <c r="A4245" s="23" t="str">
        <f>HYPERLINK("https://www.spark-marketing.ru/Card/Person/18461", "УМВД РОССИИ ПО ВЛАДИМИРСКОЙ ОБЛАСТИ")</f>
        <v>УМВД РОССИИ ПО ВЛАДИМИРСКОЙ ОБЛАСТИ</v>
      </c>
      <c r="B4245" s="24" t="s">
        <v>6925</v>
      </c>
      <c r="C4245" s="25">
        <v>25000</v>
      </c>
      <c r="D4245" s="22" t="s">
        <v>6926</v>
      </c>
      <c r="E4245" s="22" t="s">
        <v>6927</v>
      </c>
      <c r="F4245" s="23" t="str">
        <f>HYPERLINK("https://www.spark-marketing.ru/Card/Lot/73203766", "Приобретение вооружения, военной и специальной техники и военно-технического имущества, иных товаров, работ и услуг в рамках государственного оборонного заказа в целях обеспечения государственной программы вооружения (автономный источник бесперебойно...")</f>
        <v>Приобретение вооружения, военной и специальной техники и военно-технического имущества, иных товаров, работ и услуг в рамках государственного оборонного заказа в целях обеспечения государственной программы вооружения (автономный источник бесперебойно...</v>
      </c>
      <c r="G4245" s="22" t="s">
        <v>663</v>
      </c>
      <c r="H4245" s="22" t="s">
        <v>664</v>
      </c>
      <c r="I4245" s="26">
        <v>43711.597222222197</v>
      </c>
      <c r="J4245" s="28" t="s">
        <v>51</v>
      </c>
      <c r="K4245" s="28" t="s">
        <v>51</v>
      </c>
      <c r="L4245" s="28" t="s">
        <v>51</v>
      </c>
      <c r="M4245" s="28" t="s">
        <v>51</v>
      </c>
      <c r="N4245" s="28" t="s">
        <v>51</v>
      </c>
    </row>
    <row r="4246" spans="1:14" x14ac:dyDescent="0.15">
      <c r="A4246" s="23" t="str">
        <f>HYPERLINK("https://www.spark-marketing.ru/Card/Person/253308", "ОМВД РОССИИ ПО МУХОРШИБИРСКОМУ РАЙОНУ")</f>
        <v>ОМВД РОССИИ ПО МУХОРШИБИРСКОМУ РАЙОНУ</v>
      </c>
      <c r="B4246" s="24" t="s">
        <v>6928</v>
      </c>
      <c r="C4246" s="25">
        <v>851690</v>
      </c>
      <c r="D4246" s="22" t="s">
        <v>6929</v>
      </c>
      <c r="E4246" s="22" t="s">
        <v>48</v>
      </c>
      <c r="F4246" s="23" t="str">
        <f>HYPERLINK("https://www.spark-marketing.ru/Card/Lot/73193866", "Услуги по организации питания лиц, содержащихся в ИВС и КАЗ")</f>
        <v>Услуги по организации питания лиц, содержащихся в ИВС и КАЗ</v>
      </c>
      <c r="G4246" s="22" t="s">
        <v>433</v>
      </c>
      <c r="H4246" s="22" t="s">
        <v>433</v>
      </c>
      <c r="I4246" s="26">
        <v>43711.581250000003</v>
      </c>
      <c r="J4246" s="28" t="s">
        <v>51</v>
      </c>
      <c r="K4246" s="28" t="s">
        <v>51</v>
      </c>
      <c r="L4246" s="28" t="s">
        <v>51</v>
      </c>
      <c r="M4246" s="28" t="s">
        <v>51</v>
      </c>
      <c r="N4246" s="28" t="s">
        <v>51</v>
      </c>
    </row>
    <row r="4247" spans="1:14" x14ac:dyDescent="0.15">
      <c r="A4247" s="23" t="str">
        <f>HYPERLINK("https://www.spark-marketing.ru/Card/Person/31264", "МБОУ ""ЛИЦЕЙ № 6 ""ПАРУС""")</f>
        <v>МБОУ "ЛИЦЕЙ № 6 "ПАРУС"</v>
      </c>
      <c r="B4247" s="24" t="s">
        <v>6930</v>
      </c>
      <c r="C4247" s="25">
        <v>423696</v>
      </c>
      <c r="D4247" s="22" t="s">
        <v>6931</v>
      </c>
      <c r="E4247" s="22" t="s">
        <v>48</v>
      </c>
      <c r="F4247" s="23" t="str">
        <f>HYPERLINK("https://www.spark-marketing.ru/Card/Lot/73199308", "Оказание услуг по организации школьного горячего питания льготной категории обучающихся на сентябрь 2019г.")</f>
        <v>Оказание услуг по организации школьного горячего питания льготной категории обучающихся на сентябрь 2019г.</v>
      </c>
      <c r="G4247" s="22" t="s">
        <v>49</v>
      </c>
      <c r="H4247" s="22" t="s">
        <v>6883</v>
      </c>
      <c r="I4247" s="26">
        <v>43711.555324074099</v>
      </c>
      <c r="J4247" s="28" t="s">
        <v>51</v>
      </c>
      <c r="K4247" s="28" t="s">
        <v>51</v>
      </c>
      <c r="L4247" s="28" t="s">
        <v>51</v>
      </c>
      <c r="M4247" s="28" t="s">
        <v>51</v>
      </c>
      <c r="N4247" s="28" t="s">
        <v>51</v>
      </c>
    </row>
    <row r="4248" spans="1:14" x14ac:dyDescent="0.15">
      <c r="A4248" s="23" t="str">
        <f>HYPERLINK("https://www.spark-marketing.ru/Card/Person/70472", "АМР ""БОТЛИХСКИЙ РАЙОН""")</f>
        <v>АМР "БОТЛИХСКИЙ РАЙОН"</v>
      </c>
      <c r="B4248" s="24" t="s">
        <v>6932</v>
      </c>
      <c r="C4248" s="25">
        <v>400000</v>
      </c>
      <c r="D4248" s="22" t="s">
        <v>6933</v>
      </c>
      <c r="E4248" s="22" t="s">
        <v>96</v>
      </c>
      <c r="F4248" s="23" t="str">
        <f>HYPERLINK("https://www.spark-marketing.ru/Card/Lot/73200270", "Услуги предоставления питания.")</f>
        <v>Услуги предоставления питания.</v>
      </c>
      <c r="G4248" s="22" t="s">
        <v>1607</v>
      </c>
      <c r="H4248" s="22" t="s">
        <v>6934</v>
      </c>
      <c r="I4248" s="26">
        <v>43711.567361111098</v>
      </c>
      <c r="J4248" s="23" t="str">
        <f>HYPERLINK("https://www.spark-marketing.ru/Card/Person/6701554", "Магомедалиев Магомед Лабазангаджиевич")</f>
        <v>Магомедалиев Магомед Лабазангаджиевич</v>
      </c>
      <c r="K4248" s="24" t="s">
        <v>6935</v>
      </c>
      <c r="L4248" s="22" t="s">
        <v>10</v>
      </c>
      <c r="M4248" s="28" t="s">
        <v>51</v>
      </c>
      <c r="N4248" s="28" t="s">
        <v>51</v>
      </c>
    </row>
    <row r="4249" spans="1:14" x14ac:dyDescent="0.15">
      <c r="A4249" s="23" t="str">
        <f>HYPERLINK("https://www.spark-marketing.ru/Card/Person/253308", "ОМВД РОССИИ ПО МУХОРШИБИРСКОМУ РАЙОНУ")</f>
        <v>ОМВД РОССИИ ПО МУХОРШИБИРСКОМУ РАЙОНУ</v>
      </c>
      <c r="B4249" s="24" t="s">
        <v>6928</v>
      </c>
      <c r="C4249" s="25">
        <v>851690</v>
      </c>
      <c r="D4249" s="22" t="s">
        <v>6936</v>
      </c>
      <c r="E4249" s="22" t="s">
        <v>48</v>
      </c>
      <c r="F4249" s="23" t="str">
        <f>HYPERLINK("https://www.spark-marketing.ru/Card/Lot/73193867", "Услуги по организации питания лиц, содержащихся в ИВС и КАЗ")</f>
        <v>Услуги по организации питания лиц, содержащихся в ИВС и КАЗ</v>
      </c>
      <c r="G4249" s="22" t="s">
        <v>433</v>
      </c>
      <c r="H4249" s="22" t="s">
        <v>433</v>
      </c>
      <c r="I4249" s="26">
        <v>43711.581250000003</v>
      </c>
      <c r="J4249" s="28" t="s">
        <v>51</v>
      </c>
      <c r="K4249" s="28" t="s">
        <v>51</v>
      </c>
      <c r="L4249" s="28" t="s">
        <v>51</v>
      </c>
      <c r="M4249" s="28" t="s">
        <v>51</v>
      </c>
      <c r="N4249" s="28" t="s">
        <v>51</v>
      </c>
    </row>
    <row r="4250" spans="1:14" x14ac:dyDescent="0.15">
      <c r="A4250" s="23" t="str">
        <f>HYPERLINK("https://www.spark-marketing.ru/Card/Person/1112", "ВОЙСКОВАЯ ЧАСТЬ 7605")</f>
        <v>ВОЙСКОВАЯ ЧАСТЬ 7605</v>
      </c>
      <c r="B4250" s="24" t="s">
        <v>6937</v>
      </c>
      <c r="C4250" s="25">
        <v>100000</v>
      </c>
      <c r="D4250" s="22" t="s">
        <v>6938</v>
      </c>
      <c r="E4250" s="22" t="s">
        <v>91</v>
      </c>
      <c r="F4250" s="23" t="str">
        <f>HYPERLINK("https://www.spark-marketing.ru/Card/Lot/73197271", "оказание услуг по ремонту и техническому обслуживанию контролера видеостены  Jupiter Fusion 960 и источников бесперебойного питания")</f>
        <v>оказание услуг по ремонту и техническому обслуживанию контролера видеостены  Jupiter Fusion 960 и источников бесперебойного питания</v>
      </c>
      <c r="G4250" s="22" t="s">
        <v>174</v>
      </c>
      <c r="H4250" s="22" t="s">
        <v>174</v>
      </c>
      <c r="I4250" s="26">
        <v>43711.5131944444</v>
      </c>
      <c r="J4250" s="23" t="str">
        <f>HYPERLINK("https://www.spark-marketing.ru/Card/Person/1480631", "ООО ""АЙТИБОКС""")</f>
        <v>ООО "АЙТИБОКС"</v>
      </c>
      <c r="K4250" s="24" t="s">
        <v>6939</v>
      </c>
      <c r="L4250" s="22" t="s">
        <v>10</v>
      </c>
      <c r="M4250" s="28" t="s">
        <v>51</v>
      </c>
      <c r="N4250" s="28" t="s">
        <v>51</v>
      </c>
    </row>
    <row r="4251" spans="1:14" x14ac:dyDescent="0.15">
      <c r="A4251" s="23" t="str">
        <f>HYPERLINK("https://www.spark-marketing.ru/Card/Person/140796", "МОУ НОВО-ХАРИТОНОВСКАЯ СОШ № 10 С УИОП")</f>
        <v>МОУ НОВО-ХАРИТОНОВСКАЯ СОШ № 10 С УИОП</v>
      </c>
      <c r="B4251" s="24" t="s">
        <v>6940</v>
      </c>
      <c r="C4251" s="25">
        <v>2285411</v>
      </c>
      <c r="D4251" s="22" t="s">
        <v>6941</v>
      </c>
      <c r="E4251" s="22" t="s">
        <v>48</v>
      </c>
      <c r="F4251" s="23" t="str">
        <f>HYPERLINK("https://www.spark-marketing.ru/Card/Lot/73200509", "Услуги по организации питания")</f>
        <v>Услуги по организации питания</v>
      </c>
      <c r="G4251" s="22" t="s">
        <v>49</v>
      </c>
      <c r="H4251" s="22" t="s">
        <v>6942</v>
      </c>
      <c r="I4251" s="26">
        <v>43711.5180555556</v>
      </c>
      <c r="J4251" s="28" t="s">
        <v>51</v>
      </c>
      <c r="K4251" s="28" t="s">
        <v>51</v>
      </c>
      <c r="L4251" s="28" t="s">
        <v>51</v>
      </c>
      <c r="M4251" s="28" t="s">
        <v>51</v>
      </c>
      <c r="N4251" s="28" t="s">
        <v>51</v>
      </c>
    </row>
    <row r="4252" spans="1:14" ht="12.75" hidden="1" outlineLevel="1" x14ac:dyDescent="0.2">
      <c r="A4252" s="23" t="str">
        <f>HYPERLINK("https://www.spark-marketing.ru/Card/Person/140796", "МОУ НОВО-ХАРИТОНОВСКАЯ СОШ № 10 С УИОП")</f>
        <v>МОУ НОВО-ХАРИТОНОВСКАЯ СОШ № 10 С УИОП</v>
      </c>
      <c r="B4252" s="24" t="s">
        <v>6940</v>
      </c>
      <c r="C4252" s="25">
        <v>2285411</v>
      </c>
      <c r="D4252" s="22" t="s">
        <v>6941</v>
      </c>
      <c r="E4252" s="22" t="s">
        <v>48</v>
      </c>
      <c r="F4252" s="23" t="str">
        <f>HYPERLINK("https://www.spark-marketing.ru/Card/Lot/73200509", "Услуги по организации питания")</f>
        <v>Услуги по организации питания</v>
      </c>
      <c r="G4252" s="22" t="s">
        <v>49</v>
      </c>
      <c r="H4252" s="22" t="s">
        <v>6942</v>
      </c>
      <c r="I4252" s="26">
        <v>43711.5180555556</v>
      </c>
      <c r="J4252" s="23" t="str">
        <f>HYPERLINK("https://www.spark-marketing.ru/Card/Person/1337652", "ООО ""ГОНЧАР""")</f>
        <v>ООО "ГОНЧАР"</v>
      </c>
      <c r="K4252" s="24" t="s">
        <v>6943</v>
      </c>
      <c r="L4252" s="22" t="s">
        <v>10</v>
      </c>
      <c r="M4252" s="25">
        <v>2022588.62</v>
      </c>
      <c r="N4252" s="27">
        <v>0.11500005031917672</v>
      </c>
    </row>
    <row r="4253" spans="1:14" hidden="1" outlineLevel="1" x14ac:dyDescent="0.2">
      <c r="A4253" s="23" t="str">
        <f>HYPERLINK("https://www.spark-marketing.ru/Card/Person/140796", "МОУ НОВО-ХАРИТОНОВСКАЯ СОШ № 10 С УИОП")</f>
        <v>МОУ НОВО-ХАРИТОНОВСКАЯ СОШ № 10 С УИОП</v>
      </c>
      <c r="B4253" s="24" t="s">
        <v>6940</v>
      </c>
      <c r="C4253" s="25">
        <v>2285411</v>
      </c>
      <c r="D4253" s="22" t="s">
        <v>6941</v>
      </c>
      <c r="E4253" s="22" t="s">
        <v>48</v>
      </c>
      <c r="F4253" s="23" t="str">
        <f>HYPERLINK("https://www.spark-marketing.ru/Card/Lot/73200509", "Услуги по организации питания")</f>
        <v>Услуги по организации питания</v>
      </c>
      <c r="G4253" s="22" t="s">
        <v>49</v>
      </c>
      <c r="H4253" s="22" t="s">
        <v>6942</v>
      </c>
      <c r="I4253" s="26">
        <v>43711.5180555556</v>
      </c>
      <c r="J4253" s="23" t="str">
        <f>HYPERLINK("https://www.spark-marketing.ru/Card/Person/6571544", "Кустарев Николай Сергеевич")</f>
        <v>Кустарев Николай Сергеевич</v>
      </c>
      <c r="K4253" s="24" t="s">
        <v>6944</v>
      </c>
      <c r="L4253" s="28" t="s">
        <v>51</v>
      </c>
      <c r="M4253" s="25">
        <v>2045442.74</v>
      </c>
      <c r="N4253" s="27">
        <v>0.10500004594359615</v>
      </c>
    </row>
    <row r="4254" spans="1:14" hidden="1" outlineLevel="1" x14ac:dyDescent="0.2">
      <c r="A4254" s="23" t="str">
        <f>HYPERLINK("https://www.spark-marketing.ru/Card/Person/140796", "МОУ НОВО-ХАРИТОНОВСКАЯ СОШ № 10 С УИОП")</f>
        <v>МОУ НОВО-ХАРИТОНОВСКАЯ СОШ № 10 С УИОП</v>
      </c>
      <c r="B4254" s="24" t="s">
        <v>6940</v>
      </c>
      <c r="C4254" s="25">
        <v>2285411</v>
      </c>
      <c r="D4254" s="22" t="s">
        <v>6941</v>
      </c>
      <c r="E4254" s="22" t="s">
        <v>48</v>
      </c>
      <c r="F4254" s="23" t="str">
        <f>HYPERLINK("https://www.spark-marketing.ru/Card/Lot/73200509", "Услуги по организации питания")</f>
        <v>Услуги по организации питания</v>
      </c>
      <c r="G4254" s="22" t="s">
        <v>49</v>
      </c>
      <c r="H4254" s="22" t="s">
        <v>6942</v>
      </c>
      <c r="I4254" s="26">
        <v>43711.5180555556</v>
      </c>
      <c r="J4254" s="23" t="str">
        <f>HYPERLINK("https://www.spark-marketing.ru/Card/Person/6080164", "ООО ""МОЛОЧНЫЙ МИР""")</f>
        <v>ООО "МОЛОЧНЫЙ МИР"</v>
      </c>
      <c r="K4254" s="24" t="s">
        <v>5185</v>
      </c>
      <c r="L4254" s="28" t="s">
        <v>51</v>
      </c>
      <c r="M4254" s="25">
        <v>2056869.8</v>
      </c>
      <c r="N4254" s="27">
        <v>0.10000004375580585</v>
      </c>
    </row>
    <row r="4255" spans="1:14" hidden="1" outlineLevel="1" x14ac:dyDescent="0.2">
      <c r="A4255" s="23" t="str">
        <f>HYPERLINK("https://www.spark-marketing.ru/Card/Person/140796", "МОУ НОВО-ХАРИТОНОВСКАЯ СОШ № 10 С УИОП")</f>
        <v>МОУ НОВО-ХАРИТОНОВСКАЯ СОШ № 10 С УИОП</v>
      </c>
      <c r="B4255" s="24" t="s">
        <v>6940</v>
      </c>
      <c r="C4255" s="25">
        <v>2285411</v>
      </c>
      <c r="D4255" s="22" t="s">
        <v>6941</v>
      </c>
      <c r="E4255" s="22" t="s">
        <v>48</v>
      </c>
      <c r="F4255" s="23" t="str">
        <f>HYPERLINK("https://www.spark-marketing.ru/Card/Lot/73200509", "Услуги по организации питания")</f>
        <v>Услуги по организации питания</v>
      </c>
      <c r="G4255" s="22" t="s">
        <v>49</v>
      </c>
      <c r="H4255" s="22" t="s">
        <v>6942</v>
      </c>
      <c r="I4255" s="26">
        <v>43711.5180555556</v>
      </c>
      <c r="J4255" s="23" t="str">
        <f>HYPERLINK("https://www.spark-marketing.ru/Card/Person/708967", "Меркулова Надежда Евгеньевна")</f>
        <v>Меркулова Надежда Евгеньевна</v>
      </c>
      <c r="K4255" s="24" t="s">
        <v>5184</v>
      </c>
      <c r="L4255" s="28" t="s">
        <v>51</v>
      </c>
      <c r="M4255" s="25">
        <v>2034015.68</v>
      </c>
      <c r="N4255" s="27">
        <v>0.11000004813138643</v>
      </c>
    </row>
    <row r="4256" spans="1:14" x14ac:dyDescent="0.15">
      <c r="A4256" s="23" t="str">
        <f>HYPERLINK("https://www.spark-marketing.ru/Card/Person/1025772", "МО МВД РОССИИ ""ДИВЕЕВСКИЙ""")</f>
        <v>МО МВД РОССИИ "ДИВЕЕВСКИЙ"</v>
      </c>
      <c r="B4256" s="24" t="s">
        <v>6945</v>
      </c>
      <c r="C4256" s="25">
        <v>1020350</v>
      </c>
      <c r="D4256" s="22" t="s">
        <v>6946</v>
      </c>
      <c r="E4256" s="22" t="s">
        <v>48</v>
      </c>
      <c r="F4256" s="23" t="str">
        <f>HYPERLINK("https://www.spark-marketing.ru/Card/Lot/73200296", "Оказание услуг по организации горячего трехразового питания лиц, содержащихся в изоляторе временного содержания МО МВД России ""Дивеевский""")</f>
        <v>Оказание услуг по организации горячего трехразового питания лиц, содержащихся в изоляторе временного содержания МО МВД России "Дивеевский"</v>
      </c>
      <c r="G4256" s="22" t="s">
        <v>76</v>
      </c>
      <c r="H4256" s="22" t="s">
        <v>76</v>
      </c>
      <c r="I4256" s="26">
        <v>43711.501388888901</v>
      </c>
      <c r="J4256" s="28" t="s">
        <v>51</v>
      </c>
      <c r="K4256" s="28" t="s">
        <v>51</v>
      </c>
      <c r="L4256" s="28" t="s">
        <v>51</v>
      </c>
      <c r="M4256" s="28" t="s">
        <v>51</v>
      </c>
      <c r="N4256" s="28" t="s">
        <v>51</v>
      </c>
    </row>
    <row r="4257" spans="1:14" x14ac:dyDescent="0.15">
      <c r="A4257" s="23" t="str">
        <f>HYPERLINK("https://www.spark-marketing.ru/Card/Person/879433", "КГБУ ""КРАЕВОЙ ШАХМАТНЫЙ КЛУБ""")</f>
        <v>КГБУ "КРАЕВОЙ ШАХМАТНЫЙ КЛУБ"</v>
      </c>
      <c r="B4257" s="24" t="s">
        <v>6947</v>
      </c>
      <c r="C4257" s="25">
        <v>151200</v>
      </c>
      <c r="D4257" s="22" t="s">
        <v>6948</v>
      </c>
      <c r="E4257" s="22" t="s">
        <v>6949</v>
      </c>
      <c r="F4257" s="23" t="str">
        <f>HYPERLINK("https://www.spark-marketing.ru/Card/Lot/73193950", "Оказание услуги по организации и проведению сессии гроссмейстерской школы Алтайского края (проживание и питание) на базе оздоровительного учреждения")</f>
        <v>Оказание услуги по организации и проведению сессии гроссмейстерской школы Алтайского края (проживание и питание) на базе оздоровительного учреждения</v>
      </c>
      <c r="G4257" s="22" t="s">
        <v>63</v>
      </c>
      <c r="H4257" s="22" t="s">
        <v>177</v>
      </c>
      <c r="I4257" s="26">
        <v>43711.508333333302</v>
      </c>
      <c r="J4257" s="23" t="str">
        <f>HYPERLINK("https://www.spark-marketing.ru/Card/Person/115155", "ООО ""КЛИНИКА ВОССТАНОВИТЕЛЬНОЙ МЕДИЦИНЫ ""МЕДИКАЛ ЭСТЕЙТ""")</f>
        <v>ООО "КЛИНИКА ВОССТАНОВИТЕЛЬНОЙ МЕДИЦИНЫ "МЕДИКАЛ ЭСТЕЙТ"</v>
      </c>
      <c r="K4257" s="24" t="s">
        <v>6950</v>
      </c>
      <c r="L4257" s="22" t="s">
        <v>10</v>
      </c>
      <c r="M4257" s="28" t="s">
        <v>51</v>
      </c>
      <c r="N4257" s="28" t="s">
        <v>51</v>
      </c>
    </row>
    <row r="4258" spans="1:14" x14ac:dyDescent="0.15">
      <c r="A4258" s="23" t="str">
        <f>HYPERLINK("https://www.spark-marketing.ru/Card/Person/17872", "ОКРУЖНАЯ АДМИНИСТРАЦИЯ ГО ""ЖАТАЙ""")</f>
        <v>ОКРУЖНАЯ АДМИНИСТРАЦИЯ ГО "ЖАТАЙ"</v>
      </c>
      <c r="B4258" s="24" t="s">
        <v>6951</v>
      </c>
      <c r="C4258" s="25">
        <v>55920</v>
      </c>
      <c r="D4258" s="22" t="s">
        <v>6952</v>
      </c>
      <c r="E4258" s="22" t="s">
        <v>6953</v>
      </c>
      <c r="F4258" s="23" t="str">
        <f>HYPERLINK("https://www.spark-marketing.ru/Card/Lot/73193989", "Оказание услуг по поставке технических средств, прошедших специальную проверку для нужд Окружной Администрации Городского округа ""Жатай""")</f>
        <v>Оказание услуг по поставке технических средств, прошедших специальную проверку для нужд Окружной Администрации Городского округа "Жатай"</v>
      </c>
      <c r="G4258" s="22" t="s">
        <v>241</v>
      </c>
      <c r="H4258" s="22" t="s">
        <v>241</v>
      </c>
      <c r="I4258" s="26">
        <v>43711.510416666701</v>
      </c>
      <c r="J4258" s="23" t="str">
        <f>HYPERLINK("https://www.spark-marketing.ru/Card/Person/149722", "ООО ""ЦБС""")</f>
        <v>ООО "ЦБС"</v>
      </c>
      <c r="K4258" s="24" t="s">
        <v>6954</v>
      </c>
      <c r="L4258" s="22" t="s">
        <v>10</v>
      </c>
      <c r="M4258" s="28" t="s">
        <v>51</v>
      </c>
      <c r="N4258" s="28" t="s">
        <v>51</v>
      </c>
    </row>
    <row r="4259" spans="1:14" x14ac:dyDescent="0.2">
      <c r="A4259" s="23" t="str">
        <f>HYPERLINK("https://www.spark-marketing.ru/Card/Person/4379124", "МБОУ ""ЯСШ № 6""")</f>
        <v>МБОУ "ЯСШ № 6"</v>
      </c>
      <c r="B4259" s="24" t="s">
        <v>6955</v>
      </c>
      <c r="C4259" s="25">
        <v>4540754</v>
      </c>
      <c r="D4259" s="22" t="s">
        <v>6956</v>
      </c>
      <c r="E4259" s="22" t="s">
        <v>48</v>
      </c>
      <c r="F4259" s="23" t="str">
        <f>HYPERLINK("https://www.spark-marketing.ru/Card/Lot/73200597", "Услуги  по организации горячего питания (завтраки и обеды) обучающихся")</f>
        <v>Услуги  по организации горячего питания (завтраки и обеды) обучающихся</v>
      </c>
      <c r="G4259" s="22" t="s">
        <v>108</v>
      </c>
      <c r="H4259" s="22" t="s">
        <v>1321</v>
      </c>
      <c r="I4259" s="26">
        <v>43711.497222222199</v>
      </c>
      <c r="J4259" s="23" t="str">
        <f>HYPERLINK("https://www.spark-marketing.ru/Card/Person/6171161", "Фартушная-Близнюк Галина Николаевна")</f>
        <v>Фартушная-Близнюк Галина Николаевна</v>
      </c>
      <c r="K4259" s="24" t="s">
        <v>6780</v>
      </c>
      <c r="L4259" s="28" t="s">
        <v>51</v>
      </c>
      <c r="M4259" s="25">
        <v>4540754</v>
      </c>
      <c r="N4259" s="27">
        <v>0</v>
      </c>
    </row>
    <row r="4260" spans="1:14" x14ac:dyDescent="0.15">
      <c r="A4260" s="23" t="str">
        <f>HYPERLINK("https://www.spark-marketing.ru/Card/Person/4348382", "ООО ""ГАЗПРОМ ПИТАНИЕ""")</f>
        <v>ООО "ГАЗПРОМ ПИТАНИЕ"</v>
      </c>
      <c r="B4260" s="24" t="s">
        <v>2869</v>
      </c>
      <c r="C4260" s="25">
        <v>15000</v>
      </c>
      <c r="D4260" s="22" t="s">
        <v>6957</v>
      </c>
      <c r="E4260" s="22" t="s">
        <v>52</v>
      </c>
      <c r="F4260" s="23" t="str">
        <f>HYPERLINK("https://www.spark-marketing.ru/Card/Lot/73193050", "Оказание услуг по проведению специальной оценки условий труда для нужд филиала ""ухтинское управление по организации общественного питания"" ооо ""газпром питание""")</f>
        <v>Оказание услуг по проведению специальной оценки условий труда для нужд филиала "ухтинское управление по организации общественного питания" ооо "газпром питание"</v>
      </c>
      <c r="G4260" s="22" t="s">
        <v>271</v>
      </c>
      <c r="H4260" s="22" t="s">
        <v>6958</v>
      </c>
      <c r="I4260" s="26">
        <v>43711.460416666698</v>
      </c>
      <c r="J4260" s="28" t="s">
        <v>51</v>
      </c>
      <c r="K4260" s="28" t="s">
        <v>51</v>
      </c>
      <c r="L4260" s="28" t="s">
        <v>51</v>
      </c>
      <c r="M4260" s="28" t="s">
        <v>51</v>
      </c>
      <c r="N4260" s="28" t="s">
        <v>51</v>
      </c>
    </row>
    <row r="4261" spans="1:14" x14ac:dyDescent="0.15">
      <c r="A4261" s="23" t="str">
        <f>HYPERLINK("https://www.spark-marketing.ru/Card/Person/30071", "ГБСУСО МО ""СЕРГИЕВО-ПОСАДСКИЙ ДЕТСКИЙ ДОМ-ИНТЕРНАТ ""БЕРЕЗКА""")</f>
        <v>ГБСУСО МО "СЕРГИЕВО-ПОСАДСКИЙ ДЕТСКИЙ ДОМ-ИНТЕРНАТ "БЕРЕЗКА"</v>
      </c>
      <c r="B4261" s="24" t="s">
        <v>6959</v>
      </c>
      <c r="C4261" s="25">
        <v>176040</v>
      </c>
      <c r="D4261" s="22" t="s">
        <v>6960</v>
      </c>
      <c r="E4261" s="22" t="s">
        <v>86</v>
      </c>
      <c r="F4261" s="23" t="str">
        <f>HYPERLINK("https://www.spark-marketing.ru/Card/Lot/73195214", "Услугу по разработке примерных рационов питания и нормативно-технологической документации (технологические карты) на осенне-зимний сезон")</f>
        <v>Услугу по разработке примерных рационов питания и нормативно-технологической документации (технологические карты) на осенне-зимний сезон</v>
      </c>
      <c r="G4261" s="22" t="s">
        <v>49</v>
      </c>
      <c r="H4261" s="22" t="s">
        <v>1185</v>
      </c>
      <c r="I4261" s="26">
        <v>43711.461273148103</v>
      </c>
      <c r="J4261" s="28" t="s">
        <v>51</v>
      </c>
      <c r="K4261" s="28" t="s">
        <v>51</v>
      </c>
      <c r="L4261" s="28" t="s">
        <v>51</v>
      </c>
      <c r="M4261" s="28" t="s">
        <v>51</v>
      </c>
      <c r="N4261" s="28" t="s">
        <v>51</v>
      </c>
    </row>
    <row r="4262" spans="1:14" x14ac:dyDescent="0.15">
      <c r="A4262" s="23" t="str">
        <f>HYPERLINK("https://www.spark-marketing.ru/Card/Person/4348382", "ООО ""ГАЗПРОМ ПИТАНИЕ""")</f>
        <v>ООО "ГАЗПРОМ ПИТАНИЕ"</v>
      </c>
      <c r="B4262" s="24" t="s">
        <v>2869</v>
      </c>
      <c r="C4262" s="25">
        <v>1200</v>
      </c>
      <c r="D4262" s="22" t="s">
        <v>6961</v>
      </c>
      <c r="E4262" s="22" t="s">
        <v>52</v>
      </c>
      <c r="F4262" s="23" t="str">
        <f>HYPERLINK("https://www.spark-marketing.ru/Card/Lot/73195114", "Оказание услуг по проведению специальной оценки условий труда для нужд филиала ""саратовское управление по организации общественного питания"" ооо ""газпром питание""")</f>
        <v>Оказание услуг по проведению специальной оценки условий труда для нужд филиала "саратовское управление по организации общественного питания" ооо "газпром питание"</v>
      </c>
      <c r="G4262" s="22" t="s">
        <v>351</v>
      </c>
      <c r="H4262" s="22" t="s">
        <v>2983</v>
      </c>
      <c r="I4262" s="26">
        <v>43711.465972222199</v>
      </c>
      <c r="J4262" s="28" t="s">
        <v>51</v>
      </c>
      <c r="K4262" s="28" t="s">
        <v>51</v>
      </c>
      <c r="L4262" s="28" t="s">
        <v>51</v>
      </c>
      <c r="M4262" s="28" t="s">
        <v>51</v>
      </c>
      <c r="N4262" s="28" t="s">
        <v>51</v>
      </c>
    </row>
    <row r="4263" spans="1:14" x14ac:dyDescent="0.15">
      <c r="A4263" s="23" t="str">
        <f>HYPERLINK("https://www.spark-marketing.ru/Card/Person/107267", "УМВД РОССИИ ПО Г. СУРГУТУ")</f>
        <v>УМВД РОССИИ ПО Г. СУРГУТУ</v>
      </c>
      <c r="B4263" s="24" t="s">
        <v>5245</v>
      </c>
      <c r="C4263" s="25">
        <v>19900000</v>
      </c>
      <c r="D4263" s="22" t="s">
        <v>6962</v>
      </c>
      <c r="E4263" s="22" t="s">
        <v>96</v>
      </c>
      <c r="F4263" s="23" t="str">
        <f>HYPERLINK("https://www.spark-marketing.ru/Card/Lot/73197823", "Оказание услуг по организации комплексного горячего питания иностранных лиц, находящихся в Центре временного содержания иностранных граждан")</f>
        <v>Оказание услуг по организации комплексного горячего питания иностранных лиц, находящихся в Центре временного содержания иностранных граждан</v>
      </c>
      <c r="G4263" s="22" t="s">
        <v>97</v>
      </c>
      <c r="H4263" s="22" t="s">
        <v>3533</v>
      </c>
      <c r="I4263" s="26">
        <v>43711.479166666701</v>
      </c>
      <c r="J4263" s="23" t="str">
        <f>HYPERLINK("https://www.spark-marketing.ru/Card/Person/6438916", "ООО ""УСАДЬБА""")</f>
        <v>ООО "УСАДЬБА"</v>
      </c>
      <c r="K4263" s="24" t="s">
        <v>5247</v>
      </c>
      <c r="L4263" s="28" t="s">
        <v>51</v>
      </c>
      <c r="M4263" s="28" t="s">
        <v>51</v>
      </c>
      <c r="N4263" s="28" t="s">
        <v>51</v>
      </c>
    </row>
    <row r="4264" spans="1:14" ht="12.75" hidden="1" outlineLevel="1" x14ac:dyDescent="0.2">
      <c r="A4264" s="23" t="str">
        <f>HYPERLINK("https://www.spark-marketing.ru/Card/Person/107267", "УМВД РОССИИ ПО Г. СУРГУТУ")</f>
        <v>УМВД РОССИИ ПО Г. СУРГУТУ</v>
      </c>
      <c r="B4264" s="24" t="s">
        <v>5245</v>
      </c>
      <c r="C4264" s="25">
        <v>19900000</v>
      </c>
      <c r="D4264" s="22" t="s">
        <v>6962</v>
      </c>
      <c r="E4264" s="22" t="s">
        <v>96</v>
      </c>
      <c r="F4264" s="23" t="str">
        <f>HYPERLINK("https://www.spark-marketing.ru/Card/Lot/73197823", "Оказание услуг по организации комплексного горячего питания иностранных лиц, находящихся в Центре временного содержания иностранных граждан")</f>
        <v>Оказание услуг по организации комплексного горячего питания иностранных лиц, находящихся в Центре временного содержания иностранных граждан</v>
      </c>
      <c r="G4264" s="22" t="s">
        <v>97</v>
      </c>
      <c r="H4264" s="22" t="s">
        <v>3533</v>
      </c>
      <c r="I4264" s="26">
        <v>43711.479166666701</v>
      </c>
      <c r="J4264" s="23" t="str">
        <f>HYPERLINK("https://www.spark-marketing.ru/Card/Person/6438916", "ООО ""УСАДЬБА""")</f>
        <v>ООО "УСАДЬБА"</v>
      </c>
      <c r="K4264" s="24" t="s">
        <v>5247</v>
      </c>
      <c r="L4264" s="22" t="s">
        <v>10</v>
      </c>
      <c r="M4264" s="25">
        <v>3666.57</v>
      </c>
      <c r="N4264" s="27">
        <v>0.99981575025125624</v>
      </c>
    </row>
    <row r="4265" spans="1:14" x14ac:dyDescent="0.15">
      <c r="A4265" s="23" t="str">
        <f>HYPERLINK("https://www.spark-marketing.ru/Card/Person/4348382", "ООО ""ГАЗПРОМ ПИТАНИЕ""")</f>
        <v>ООО "ГАЗПРОМ ПИТАНИЕ"</v>
      </c>
      <c r="B4265" s="24" t="s">
        <v>2869</v>
      </c>
      <c r="C4265" s="25">
        <v>12000</v>
      </c>
      <c r="D4265" s="22" t="s">
        <v>6963</v>
      </c>
      <c r="E4265" s="22" t="s">
        <v>52</v>
      </c>
      <c r="F4265" s="23" t="str">
        <f>HYPERLINK("https://www.spark-marketing.ru/Card/Lot/73193054", "Оказание услуг по проведению специальной оценки условий труда для нужд филиала ""краснодарское управление по организации общественного питания"" ооо ""газпром питание""")</f>
        <v>Оказание услуг по проведению специальной оценки условий труда для нужд филиала "краснодарское управление по организации общественного питания" ооо "газпром питание"</v>
      </c>
      <c r="G4265" s="22" t="s">
        <v>56</v>
      </c>
      <c r="H4265" s="22" t="s">
        <v>56</v>
      </c>
      <c r="I4265" s="26">
        <v>43711.461805555598</v>
      </c>
      <c r="J4265" s="28" t="s">
        <v>51</v>
      </c>
      <c r="K4265" s="28" t="s">
        <v>51</v>
      </c>
      <c r="L4265" s="28" t="s">
        <v>51</v>
      </c>
      <c r="M4265" s="28" t="s">
        <v>51</v>
      </c>
      <c r="N4265" s="28" t="s">
        <v>51</v>
      </c>
    </row>
    <row r="4266" spans="1:14" x14ac:dyDescent="0.15">
      <c r="A4266" s="23" t="str">
        <f>HYPERLINK("https://www.spark-marketing.ru/Card/Person/4348382", "ООО ""ГАЗПРОМ ПИТАНИЕ""")</f>
        <v>ООО "ГАЗПРОМ ПИТАНИЕ"</v>
      </c>
      <c r="B4266" s="24" t="s">
        <v>2869</v>
      </c>
      <c r="C4266" s="25">
        <v>7200</v>
      </c>
      <c r="D4266" s="22" t="s">
        <v>6964</v>
      </c>
      <c r="E4266" s="22" t="s">
        <v>52</v>
      </c>
      <c r="F4266" s="23" t="str">
        <f>HYPERLINK("https://www.spark-marketing.ru/Card/Lot/73195115", "Оказание услуг по проведению специальной оценки условий труда для нужд филиала ""чайковское управление по организации общественного питания"" ооо ""газпром питание""")</f>
        <v>Оказание услуг по проведению специальной оценки условий труда для нужд филиала "чайковское управление по организации общественного питания" ооо "газпром питание"</v>
      </c>
      <c r="G4266" s="22" t="s">
        <v>56</v>
      </c>
      <c r="H4266" s="22" t="s">
        <v>56</v>
      </c>
      <c r="I4266" s="26">
        <v>43711.467361111099</v>
      </c>
      <c r="J4266" s="28" t="s">
        <v>51</v>
      </c>
      <c r="K4266" s="28" t="s">
        <v>51</v>
      </c>
      <c r="L4266" s="28" t="s">
        <v>51</v>
      </c>
      <c r="M4266" s="28" t="s">
        <v>51</v>
      </c>
      <c r="N4266" s="28" t="s">
        <v>51</v>
      </c>
    </row>
    <row r="4267" spans="1:14" x14ac:dyDescent="0.15">
      <c r="A4267" s="23" t="str">
        <f>HYPERLINK("https://www.spark-marketing.ru/Card/Person/4348382", "ООО ""ГАЗПРОМ ПИТАНИЕ""")</f>
        <v>ООО "ГАЗПРОМ ПИТАНИЕ"</v>
      </c>
      <c r="B4267" s="24" t="s">
        <v>2869</v>
      </c>
      <c r="C4267" s="25">
        <v>10000</v>
      </c>
      <c r="D4267" s="22" t="s">
        <v>6965</v>
      </c>
      <c r="E4267" s="22" t="s">
        <v>52</v>
      </c>
      <c r="F4267" s="23" t="str">
        <f>HYPERLINK("https://www.spark-marketing.ru/Card/Lot/73195110", "Оказание услуг по проведению специальной оценки условий труда для нужд филиала ""казанское управление по организации общественного питания"" ооо ""газпром питание""")</f>
        <v>Оказание услуг по проведению специальной оценки условий труда для нужд филиала "казанское управление по организации общественного питания" ооо "газпром питание"</v>
      </c>
      <c r="G4267" s="22" t="s">
        <v>217</v>
      </c>
      <c r="H4267" s="22" t="s">
        <v>937</v>
      </c>
      <c r="I4267" s="26">
        <v>43711.463888888902</v>
      </c>
      <c r="J4267" s="28" t="s">
        <v>51</v>
      </c>
      <c r="K4267" s="28" t="s">
        <v>51</v>
      </c>
      <c r="L4267" s="28" t="s">
        <v>51</v>
      </c>
      <c r="M4267" s="28" t="s">
        <v>51</v>
      </c>
      <c r="N4267" s="28" t="s">
        <v>51</v>
      </c>
    </row>
    <row r="4268" spans="1:14" x14ac:dyDescent="0.15">
      <c r="A4268" s="23" t="str">
        <f>HYPERLINK("https://www.spark-marketing.ru/Card/Person/4348382", "ООО ""ГАЗПРОМ ПИТАНИЕ""")</f>
        <v>ООО "ГАЗПРОМ ПИТАНИЕ"</v>
      </c>
      <c r="B4268" s="24" t="s">
        <v>2869</v>
      </c>
      <c r="C4268" s="25">
        <v>1000</v>
      </c>
      <c r="D4268" s="22" t="s">
        <v>6966</v>
      </c>
      <c r="E4268" s="22" t="s">
        <v>52</v>
      </c>
      <c r="F4268" s="23" t="str">
        <f>HYPERLINK("https://www.spark-marketing.ru/Card/Lot/73195109", "Оказание услуг по проведению специальной оценки условий труда на рабочих местах для нужд филиала ""ставропольское управление по организации общественного питания"" ""ооо ""газпром питание""")</f>
        <v>Оказание услуг по проведению специальной оценки условий труда на рабочих местах для нужд филиала "ставропольское управление по организации общественного питания" "ооо "газпром питание"</v>
      </c>
      <c r="G4268" s="22" t="s">
        <v>87</v>
      </c>
      <c r="H4268" s="22" t="s">
        <v>6967</v>
      </c>
      <c r="I4268" s="26">
        <v>43711.462500000001</v>
      </c>
      <c r="J4268" s="28" t="s">
        <v>51</v>
      </c>
      <c r="K4268" s="28" t="s">
        <v>51</v>
      </c>
      <c r="L4268" s="28" t="s">
        <v>51</v>
      </c>
      <c r="M4268" s="28" t="s">
        <v>51</v>
      </c>
      <c r="N4268" s="28" t="s">
        <v>51</v>
      </c>
    </row>
    <row r="4269" spans="1:14" x14ac:dyDescent="0.15">
      <c r="A4269" s="23" t="str">
        <f>HYPERLINK("https://www.spark-marketing.ru/Card/Person/36114", "КГБУЗ ""ДАЛЬНЕГОРСКАЯ ЦГБ""")</f>
        <v>КГБУЗ "ДАЛЬНЕГОРСКАЯ ЦГБ"</v>
      </c>
      <c r="B4269" s="24" t="s">
        <v>6968</v>
      </c>
      <c r="C4269" s="25">
        <v>3296204</v>
      </c>
      <c r="D4269" s="22" t="s">
        <v>6969</v>
      </c>
      <c r="E4269" s="22" t="s">
        <v>48</v>
      </c>
      <c r="F4269" s="23" t="str">
        <f>HYPERLINK("https://www.spark-marketing.ru/Card/Lot/73194200", "Оказание услуг по обеспечению горячим готовым питанием пациентов, находящихся в стационарных отделениях КГБУЗ «Дальнегорская ЦГБ» в 4 квартале 2019 г.")</f>
        <v>Оказание услуг по обеспечению горячим готовым питанием пациентов, находящихся в стационарных отделениях КГБУЗ «Дальнегорская ЦГБ» в 4 квартале 2019 г.</v>
      </c>
      <c r="G4269" s="22" t="s">
        <v>543</v>
      </c>
      <c r="H4269" s="22" t="s">
        <v>6970</v>
      </c>
      <c r="I4269" s="26">
        <v>43711.470138888901</v>
      </c>
      <c r="J4269" s="23" t="str">
        <f>HYPERLINK("https://www.spark-marketing.ru/Card/Person/470520", "ООО ""ДАЛЬМЕГАСТРОЙ""")</f>
        <v>ООО "ДАЛЬМЕГАСТРОЙ"</v>
      </c>
      <c r="K4269" s="24" t="s">
        <v>6971</v>
      </c>
      <c r="L4269" s="22" t="s">
        <v>10</v>
      </c>
      <c r="M4269" s="28" t="s">
        <v>51</v>
      </c>
      <c r="N4269" s="28" t="s">
        <v>51</v>
      </c>
    </row>
    <row r="4270" spans="1:14" x14ac:dyDescent="0.15">
      <c r="A4270" s="23" t="str">
        <f>HYPERLINK("https://www.spark-marketing.ru/Card/Person/4348382", "ООО ""ГАЗПРОМ ПИТАНИЕ""")</f>
        <v>ООО "ГАЗПРОМ ПИТАНИЕ"</v>
      </c>
      <c r="B4270" s="24" t="s">
        <v>2869</v>
      </c>
      <c r="C4270" s="25">
        <v>4800</v>
      </c>
      <c r="D4270" s="22" t="s">
        <v>6972</v>
      </c>
      <c r="E4270" s="22" t="s">
        <v>52</v>
      </c>
      <c r="F4270" s="23" t="str">
        <f>HYPERLINK("https://www.spark-marketing.ru/Card/Lot/73195117", "Оказание услуг по проведению специальной оценки условий труда для нужд филиала ""волгоградское управление по организации общественного питания"" ооо ""газпром питание""")</f>
        <v>Оказание услуг по проведению специальной оценки условий труда для нужд филиала "волгоградское управление по организации общественного питания" ооо "газпром питание"</v>
      </c>
      <c r="G4270" s="22" t="s">
        <v>56</v>
      </c>
      <c r="H4270" s="22" t="s">
        <v>56</v>
      </c>
      <c r="I4270" s="26">
        <v>43711.46875</v>
      </c>
      <c r="J4270" s="28" t="s">
        <v>51</v>
      </c>
      <c r="K4270" s="28" t="s">
        <v>51</v>
      </c>
      <c r="L4270" s="28" t="s">
        <v>51</v>
      </c>
      <c r="M4270" s="28" t="s">
        <v>51</v>
      </c>
      <c r="N4270" s="28" t="s">
        <v>51</v>
      </c>
    </row>
    <row r="4271" spans="1:14" x14ac:dyDescent="0.15">
      <c r="A4271" s="23" t="str">
        <f>HYPERLINK("https://www.spark-marketing.ru/Card/Person/4348382", "ООО ""ГАЗПРОМ ПИТАНИЕ""")</f>
        <v>ООО "ГАЗПРОМ ПИТАНИЕ"</v>
      </c>
      <c r="B4271" s="24" t="s">
        <v>2869</v>
      </c>
      <c r="C4271" s="25">
        <v>1200</v>
      </c>
      <c r="D4271" s="22" t="s">
        <v>6973</v>
      </c>
      <c r="E4271" s="22" t="s">
        <v>52</v>
      </c>
      <c r="F4271" s="23" t="str">
        <f>HYPERLINK("https://www.spark-marketing.ru/Card/Lot/73193049", "Оказание услуг по проведению специальной оценки условий труда для нужд филиала ""югорское управление по организации общественного питания"" ооо ""газпром питание""")</f>
        <v>Оказание услуг по проведению специальной оценки условий труда для нужд филиала "югорское управление по организации общественного питания" ооо "газпром питание"</v>
      </c>
      <c r="G4271" s="22" t="s">
        <v>56</v>
      </c>
      <c r="H4271" s="22" t="s">
        <v>56</v>
      </c>
      <c r="I4271" s="26">
        <v>43711.454861111102</v>
      </c>
      <c r="J4271" s="28" t="s">
        <v>51</v>
      </c>
      <c r="K4271" s="28" t="s">
        <v>51</v>
      </c>
      <c r="L4271" s="28" t="s">
        <v>51</v>
      </c>
      <c r="M4271" s="28" t="s">
        <v>51</v>
      </c>
      <c r="N4271" s="28" t="s">
        <v>51</v>
      </c>
    </row>
    <row r="4272" spans="1:14" x14ac:dyDescent="0.15">
      <c r="A4272" s="23" t="str">
        <f>HYPERLINK("https://www.spark-marketing.ru/Card/Person/1024582", "МБДОУ ЦРР - ДЕТСКИЙ САД № 13 ""ТЕРЕМОК""")</f>
        <v>МБДОУ ЦРР - ДЕТСКИЙ САД № 13 "ТЕРЕМОК"</v>
      </c>
      <c r="B4272" s="24" t="s">
        <v>6974</v>
      </c>
      <c r="C4272" s="25">
        <v>398555</v>
      </c>
      <c r="D4272" s="22" t="s">
        <v>6975</v>
      </c>
      <c r="E4272" s="22" t="s">
        <v>48</v>
      </c>
      <c r="F4272" s="23" t="str">
        <f>HYPERLINK("https://www.spark-marketing.ru/Card/Lot/73192942", "Оказание услуг по организации горячего питания воспитанников")</f>
        <v>Оказание услуг по организации горячего питания воспитанников</v>
      </c>
      <c r="G4272" s="22" t="s">
        <v>49</v>
      </c>
      <c r="H4272" s="22" t="s">
        <v>50</v>
      </c>
      <c r="I4272" s="26">
        <v>43711.440972222197</v>
      </c>
      <c r="J4272" s="28" t="s">
        <v>51</v>
      </c>
      <c r="K4272" s="28" t="s">
        <v>51</v>
      </c>
      <c r="L4272" s="28" t="s">
        <v>51</v>
      </c>
      <c r="M4272" s="28" t="s">
        <v>51</v>
      </c>
      <c r="N4272" s="28" t="s">
        <v>51</v>
      </c>
    </row>
    <row r="4273" spans="1:14" x14ac:dyDescent="0.15">
      <c r="A4273" s="23" t="str">
        <f>HYPERLINK("https://www.spark-marketing.ru/Card/Person/1074168", "ОМВД РОССИИ ПО НИЖНЕГОРСКОМУ РАЙОНУ")</f>
        <v>ОМВД РОССИИ ПО НИЖНЕГОРСКОМУ РАЙОНУ</v>
      </c>
      <c r="B4273" s="24" t="s">
        <v>6976</v>
      </c>
      <c r="C4273" s="25">
        <v>83875</v>
      </c>
      <c r="D4273" s="22" t="s">
        <v>6977</v>
      </c>
      <c r="E4273" s="22" t="s">
        <v>48</v>
      </c>
      <c r="F4273" s="23" t="str">
        <f>HYPERLINK("https://www.spark-marketing.ru/Card/Lot/73192394", "Оказание услуг по организации питания (приготовлению и доставке) для ИВС, 430 усл. ед")</f>
        <v>Оказание услуг по организации питания (приготовлению и доставке) для ИВС, 430 усл. ед</v>
      </c>
      <c r="G4273" s="22" t="s">
        <v>108</v>
      </c>
      <c r="H4273" s="22" t="s">
        <v>6978</v>
      </c>
      <c r="I4273" s="26">
        <v>43711.441064814797</v>
      </c>
      <c r="J4273" s="28" t="s">
        <v>51</v>
      </c>
      <c r="K4273" s="28" t="s">
        <v>51</v>
      </c>
      <c r="L4273" s="28" t="s">
        <v>51</v>
      </c>
      <c r="M4273" s="28" t="s">
        <v>51</v>
      </c>
      <c r="N4273" s="28" t="s">
        <v>51</v>
      </c>
    </row>
    <row r="4274" spans="1:14" x14ac:dyDescent="0.15">
      <c r="A4274" s="23" t="str">
        <f>HYPERLINK("https://www.spark-marketing.ru/Card/Person/9325", "МЭРИЯ ГОРОДА ЧЕРЕПОВЦА")</f>
        <v>МЭРИЯ ГОРОДА ЧЕРЕПОВЦА</v>
      </c>
      <c r="B4274" s="24" t="s">
        <v>4588</v>
      </c>
      <c r="C4274" s="25">
        <v>60000</v>
      </c>
      <c r="D4274" s="22" t="s">
        <v>6979</v>
      </c>
      <c r="E4274" s="22" t="s">
        <v>96</v>
      </c>
      <c r="F4274" s="23" t="str">
        <f>HYPERLINK("https://www.spark-marketing.ru/Card/Lot/73199108", "Оказание услуг по организации питания участников мероприятий, посвящённых празднованию Дня пожилого человека")</f>
        <v>Оказание услуг по организации питания участников мероприятий, посвящённых празднованию Дня пожилого человека</v>
      </c>
      <c r="G4274" s="22" t="s">
        <v>503</v>
      </c>
      <c r="H4274" s="22" t="s">
        <v>1157</v>
      </c>
      <c r="I4274" s="26">
        <v>43711.427777777797</v>
      </c>
      <c r="J4274" s="23" t="str">
        <f>HYPERLINK("https://www.spark-marketing.ru/Card/Person/263895", "ООО ""РЕСТОРАН ДВОРЦА МЕТАЛЛУРГОВ""")</f>
        <v>ООО "РЕСТОРАН ДВОРЦА МЕТАЛЛУРГОВ"</v>
      </c>
      <c r="K4274" s="24" t="s">
        <v>4590</v>
      </c>
      <c r="L4274" s="22" t="s">
        <v>10</v>
      </c>
      <c r="M4274" s="28" t="s">
        <v>51</v>
      </c>
      <c r="N4274" s="28" t="s">
        <v>51</v>
      </c>
    </row>
    <row r="4275" spans="1:14" x14ac:dyDescent="0.15">
      <c r="A4275" s="23" t="str">
        <f>HYPERLINK("https://www.spark-marketing.ru/Card/Person/12412", "ГУ-ЯРОСЛАВСКОЕ РО ФОНДА СОЦИАЛЬНОГО СТРАХОВАНИЯ РОССИЙСКОЙ ФЕДЕРАЦИИ")</f>
        <v>ГУ-ЯРОСЛАВСКОЕ РО ФОНДА СОЦИАЛЬНОГО СТРАХОВАНИЯ РОССИЙСКОЙ ФЕДЕРАЦИИ</v>
      </c>
      <c r="B4275" s="24" t="s">
        <v>6980</v>
      </c>
      <c r="C4275" s="25">
        <v>1212764.3999999999</v>
      </c>
      <c r="D4275" s="22" t="s">
        <v>6981</v>
      </c>
      <c r="E4275" s="22" t="s">
        <v>86</v>
      </c>
      <c r="F4275" s="23" t="str">
        <f>HYPERLINK("https://www.spark-marketing.ru/Card/Lot/73195929", "Оказание услуг по санаторно-курортному лечению граждан - получателей набора социальных услуг с заболеваниями по Классу IX МКБ-10 «Болезни органов кровообращения», по Классу XIII МКБ-10 «Болезни костно-мышечной системы и соединительной ткани», по Клас...")</f>
        <v>Оказание услуг по санаторно-курортному лечению граждан - получателей набора социальных услуг с заболеваниями по Классу IX МКБ-10 «Болезни органов кровообращения», по Классу XIII МКБ-10 «Болезни костно-мышечной системы и соединительной ткани», по Клас...</v>
      </c>
      <c r="G4275" s="22" t="s">
        <v>185</v>
      </c>
      <c r="H4275" s="22" t="s">
        <v>3365</v>
      </c>
      <c r="I4275" s="26">
        <v>43711.425000000003</v>
      </c>
      <c r="J4275" s="28" t="s">
        <v>51</v>
      </c>
      <c r="K4275" s="28" t="s">
        <v>51</v>
      </c>
      <c r="L4275" s="28" t="s">
        <v>51</v>
      </c>
      <c r="M4275" s="28" t="s">
        <v>51</v>
      </c>
      <c r="N4275" s="28" t="s">
        <v>51</v>
      </c>
    </row>
    <row r="4276" spans="1:14" hidden="1" outlineLevel="1" x14ac:dyDescent="0.2">
      <c r="A4276" s="23" t="str">
        <f>HYPERLINK("https://www.spark-marketing.ru/Card/Person/12412", "ГУ-ЯРОСЛАВСКОЕ РО ФОНДА СОЦИАЛЬНОГО СТРАХОВАНИЯ РОССИЙСКОЙ ФЕДЕРАЦИИ")</f>
        <v>ГУ-ЯРОСЛАВСКОЕ РО ФОНДА СОЦИАЛЬНОГО СТРАХОВАНИЯ РОССИЙСКОЙ ФЕДЕРАЦИИ</v>
      </c>
      <c r="B4276" s="24" t="s">
        <v>6980</v>
      </c>
      <c r="C4276" s="25">
        <v>1212764.3999999999</v>
      </c>
      <c r="D4276" s="22" t="s">
        <v>6981</v>
      </c>
      <c r="E4276" s="22" t="s">
        <v>86</v>
      </c>
      <c r="F4276" s="23" t="str">
        <f>HYPERLINK("https://www.spark-marketing.ru/Card/Lot/73195929", "Оказание услуг по санаторно-курортному лечению граждан - получателей набора социальных услуг с заболеваниями по Классу IX МКБ-10 «Болезни органов кровообращения», по Классу XIII МКБ-10 «Болезни костно-мышечной системы и соединительной ткани», по Клас...")</f>
        <v>Оказание услуг по санаторно-курортному лечению граждан - получателей набора социальных услуг с заболеваниями по Классу IX МКБ-10 «Болезни органов кровообращения», по Классу XIII МКБ-10 «Болезни костно-мышечной системы и соединительной ткани», по Клас...</v>
      </c>
      <c r="G4276" s="22" t="s">
        <v>185</v>
      </c>
      <c r="H4276" s="22" t="s">
        <v>3365</v>
      </c>
      <c r="I4276" s="26">
        <v>43711.425000000003</v>
      </c>
      <c r="J4276" s="23" t="str">
        <f>HYPERLINK("https://www.spark-marketing.ru/Card/Person/1517351", "МУЗ ""САНАТОРИЙ ""ЯСНЫЕ ЗОРИ""")</f>
        <v>МУЗ "САНАТОРИЙ "ЯСНЫЕ ЗОРИ"</v>
      </c>
      <c r="K4276" s="24" t="s">
        <v>6982</v>
      </c>
      <c r="L4276" s="28" t="s">
        <v>51</v>
      </c>
      <c r="M4276" s="25">
        <v>921063.82</v>
      </c>
      <c r="N4276" s="27">
        <v>0.24052534853430724</v>
      </c>
    </row>
    <row r="4277" spans="1:14" ht="12.75" hidden="1" outlineLevel="1" x14ac:dyDescent="0.2">
      <c r="A4277" s="23" t="str">
        <f>HYPERLINK("https://www.spark-marketing.ru/Card/Person/12412", "ГУ-ЯРОСЛАВСКОЕ РО ФОНДА СОЦИАЛЬНОГО СТРАХОВАНИЯ РОССИЙСКОЙ ФЕДЕРАЦИИ")</f>
        <v>ГУ-ЯРОСЛАВСКОЕ РО ФОНДА СОЦИАЛЬНОГО СТРАХОВАНИЯ РОССИЙСКОЙ ФЕДЕРАЦИИ</v>
      </c>
      <c r="B4277" s="24" t="s">
        <v>6980</v>
      </c>
      <c r="C4277" s="25">
        <v>1212764.3999999999</v>
      </c>
      <c r="D4277" s="22" t="s">
        <v>6981</v>
      </c>
      <c r="E4277" s="22" t="s">
        <v>86</v>
      </c>
      <c r="F4277" s="23" t="str">
        <f>HYPERLINK("https://www.spark-marketing.ru/Card/Lot/73195929", "Оказание услуг по санаторно-курортному лечению граждан - получателей набора социальных услуг с заболеваниями по Классу IX МКБ-10 «Болезни органов кровообращения», по Классу XIII МКБ-10 «Болезни костно-мышечной системы и соединительной ткани», по Клас...")</f>
        <v>Оказание услуг по санаторно-курортному лечению граждан - получателей набора социальных услуг с заболеваниями по Классу IX МКБ-10 «Болезни органов кровообращения», по Классу XIII МКБ-10 «Болезни костно-мышечной системы и соединительной ткани», по Клас...</v>
      </c>
      <c r="G4277" s="22" t="s">
        <v>185</v>
      </c>
      <c r="H4277" s="22" t="s">
        <v>3365</v>
      </c>
      <c r="I4277" s="26">
        <v>43711.425000000003</v>
      </c>
      <c r="J4277" s="23" t="str">
        <f>HYPERLINK("https://www.spark-marketing.ru/Card/Person/398063", "ООО ""САНАТОРИЙ ""ЗОЛОТОЙ КОЛОС""")</f>
        <v>ООО "САНАТОРИЙ "ЗОЛОТОЙ КОЛОС"</v>
      </c>
      <c r="K4277" s="24" t="s">
        <v>6983</v>
      </c>
      <c r="L4277" s="22" t="s">
        <v>10</v>
      </c>
      <c r="M4277" s="25">
        <v>914999.99</v>
      </c>
      <c r="N4277" s="27">
        <v>0.24552535513080695</v>
      </c>
    </row>
    <row r="4278" spans="1:14" x14ac:dyDescent="0.15">
      <c r="A4278" s="23" t="str">
        <f>HYPERLINK("https://www.spark-marketing.ru/Card/Person/29282", "ФКУ ДПО ТОМСКИЙ ИПКР ФСИН РОССИИ")</f>
        <v>ФКУ ДПО ТОМСКИЙ ИПКР ФСИН РОССИИ</v>
      </c>
      <c r="B4278" s="24" t="s">
        <v>6984</v>
      </c>
      <c r="C4278" s="25">
        <v>1189920.24</v>
      </c>
      <c r="D4278" s="22" t="s">
        <v>6985</v>
      </c>
      <c r="E4278" s="22" t="s">
        <v>48</v>
      </c>
      <c r="F4278" s="23" t="str">
        <f>HYPERLINK("https://www.spark-marketing.ru/Card/Lot/73194102", "Услуги по организации питания")</f>
        <v>Услуги по организации питания</v>
      </c>
      <c r="G4278" s="22" t="s">
        <v>149</v>
      </c>
      <c r="H4278" s="22" t="s">
        <v>496</v>
      </c>
      <c r="I4278" s="26">
        <v>43711.406944444403</v>
      </c>
      <c r="J4278" s="28" t="s">
        <v>51</v>
      </c>
      <c r="K4278" s="28" t="s">
        <v>51</v>
      </c>
      <c r="L4278" s="28" t="s">
        <v>51</v>
      </c>
      <c r="M4278" s="28" t="s">
        <v>51</v>
      </c>
      <c r="N4278" s="28" t="s">
        <v>51</v>
      </c>
    </row>
    <row r="4279" spans="1:14" hidden="1" outlineLevel="1" x14ac:dyDescent="0.2">
      <c r="A4279" s="23" t="str">
        <f>HYPERLINK("https://www.spark-marketing.ru/Card/Person/29282", "ФКУ ДПО ТОМСКИЙ ИПКР ФСИН РОССИИ")</f>
        <v>ФКУ ДПО ТОМСКИЙ ИПКР ФСИН РОССИИ</v>
      </c>
      <c r="B4279" s="24" t="s">
        <v>6984</v>
      </c>
      <c r="C4279" s="25">
        <v>1189920.24</v>
      </c>
      <c r="D4279" s="22" t="s">
        <v>6985</v>
      </c>
      <c r="E4279" s="22" t="s">
        <v>48</v>
      </c>
      <c r="F4279" s="23" t="str">
        <f>HYPERLINK("https://www.spark-marketing.ru/Card/Lot/73194102", "Услуги по организации питания")</f>
        <v>Услуги по организации питания</v>
      </c>
      <c r="G4279" s="22" t="s">
        <v>149</v>
      </c>
      <c r="H4279" s="22" t="s">
        <v>496</v>
      </c>
      <c r="I4279" s="26">
        <v>43711.406944444403</v>
      </c>
      <c r="J4279" s="23" t="str">
        <f>HYPERLINK("https://www.spark-marketing.ru/Card/Person/1510007", "ООО ""УКП""")</f>
        <v>ООО "УКП"</v>
      </c>
      <c r="K4279" s="24" t="s">
        <v>3939</v>
      </c>
      <c r="L4279" s="28" t="s">
        <v>51</v>
      </c>
      <c r="M4279" s="25">
        <v>993583.11</v>
      </c>
      <c r="N4279" s="27">
        <v>0.16500024404997093</v>
      </c>
    </row>
    <row r="4280" spans="1:14" ht="12.75" hidden="1" outlineLevel="1" x14ac:dyDescent="0.2">
      <c r="A4280" s="23" t="str">
        <f>HYPERLINK("https://www.spark-marketing.ru/Card/Person/29282", "ФКУ ДПО ТОМСКИЙ ИПКР ФСИН РОССИИ")</f>
        <v>ФКУ ДПО ТОМСКИЙ ИПКР ФСИН РОССИИ</v>
      </c>
      <c r="B4280" s="24" t="s">
        <v>6984</v>
      </c>
      <c r="C4280" s="25">
        <v>1189920.24</v>
      </c>
      <c r="D4280" s="22" t="s">
        <v>6985</v>
      </c>
      <c r="E4280" s="22" t="s">
        <v>48</v>
      </c>
      <c r="F4280" s="23" t="str">
        <f>HYPERLINK("https://www.spark-marketing.ru/Card/Lot/73194102", "Услуги по организации питания")</f>
        <v>Услуги по организации питания</v>
      </c>
      <c r="G4280" s="22" t="s">
        <v>149</v>
      </c>
      <c r="H4280" s="22" t="s">
        <v>496</v>
      </c>
      <c r="I4280" s="26">
        <v>43711.406944444403</v>
      </c>
      <c r="J4280" s="23" t="str">
        <f>HYPERLINK("https://www.spark-marketing.ru/Card/Person/839334", "ООО ""БЕЗЕ""")</f>
        <v>ООО "БЕЗЕ"</v>
      </c>
      <c r="K4280" s="24" t="s">
        <v>3938</v>
      </c>
      <c r="L4280" s="22" t="s">
        <v>10</v>
      </c>
      <c r="M4280" s="25">
        <v>993583.11</v>
      </c>
      <c r="N4280" s="27">
        <v>0.16500024404997093</v>
      </c>
    </row>
    <row r="4281" spans="1:14" x14ac:dyDescent="0.15">
      <c r="A4281" s="23" t="str">
        <f>HYPERLINK("https://www.spark-marketing.ru/Card/Person/1009739", "ОТДЕЛ ЗДРАВООХРАНЕНИЯ")</f>
        <v>ОТДЕЛ ЗДРАВООХРАНЕНИЯ</v>
      </c>
      <c r="B4281" s="24" t="s">
        <v>3572</v>
      </c>
      <c r="C4281" s="25">
        <v>9510</v>
      </c>
      <c r="D4281" s="22" t="s">
        <v>6986</v>
      </c>
      <c r="E4281" s="22" t="s">
        <v>52</v>
      </c>
      <c r="F4281" s="23" t="str">
        <f>HYPERLINK("https://www.spark-marketing.ru/Card/Lot/73189920",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4281" s="22" t="s">
        <v>3574</v>
      </c>
      <c r="H4281" s="22" t="s">
        <v>3574</v>
      </c>
      <c r="I4281" s="26">
        <v>43711.400694444397</v>
      </c>
      <c r="J4281" s="28" t="s">
        <v>51</v>
      </c>
      <c r="K4281" s="28" t="s">
        <v>51</v>
      </c>
      <c r="L4281" s="28" t="s">
        <v>51</v>
      </c>
      <c r="M4281" s="28" t="s">
        <v>51</v>
      </c>
      <c r="N4281" s="28" t="s">
        <v>51</v>
      </c>
    </row>
    <row r="4282" spans="1:14" x14ac:dyDescent="0.15">
      <c r="A4282" s="23" t="str">
        <f>HYPERLINK("https://www.spark-marketing.ru/Card/Person/1009739", "ОТДЕЛ ЗДРАВООХРАНЕНИЯ")</f>
        <v>ОТДЕЛ ЗДРАВООХРАНЕНИЯ</v>
      </c>
      <c r="B4282" s="24" t="s">
        <v>3572</v>
      </c>
      <c r="C4282" s="25">
        <v>12660</v>
      </c>
      <c r="D4282" s="22" t="s">
        <v>6987</v>
      </c>
      <c r="E4282" s="22" t="s">
        <v>52</v>
      </c>
      <c r="F4282" s="23" t="str">
        <f>HYPERLINK("https://www.spark-marketing.ru/Card/Lot/73189921",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4282" s="22" t="s">
        <v>3574</v>
      </c>
      <c r="H4282" s="22" t="s">
        <v>3574</v>
      </c>
      <c r="I4282" s="26">
        <v>43711.4</v>
      </c>
      <c r="J4282" s="28" t="s">
        <v>51</v>
      </c>
      <c r="K4282" s="28" t="s">
        <v>51</v>
      </c>
      <c r="L4282" s="28" t="s">
        <v>51</v>
      </c>
      <c r="M4282" s="28" t="s">
        <v>51</v>
      </c>
      <c r="N4282" s="28" t="s">
        <v>51</v>
      </c>
    </row>
    <row r="4283" spans="1:14" x14ac:dyDescent="0.15">
      <c r="A4283" s="23" t="str">
        <f>HYPERLINK("https://www.spark-marketing.ru/Card/Person/36630", "ГБУЗ ЯНАО ""ЛГБ""")</f>
        <v>ГБУЗ ЯНАО "ЛГБ"</v>
      </c>
      <c r="B4283" s="24" t="s">
        <v>6988</v>
      </c>
      <c r="C4283" s="25">
        <v>152520.20000000001</v>
      </c>
      <c r="D4283" s="22" t="s">
        <v>6989</v>
      </c>
      <c r="E4283" s="22" t="s">
        <v>603</v>
      </c>
      <c r="F4283" s="23" t="str">
        <f>HYPERLINK("https://www.spark-marketing.ru/Card/Lot/73197733", "Оказание услуг по поверке и калибровке средств измерений")</f>
        <v>Оказание услуг по поверке и калибровке средств измерений</v>
      </c>
      <c r="G4283" s="22" t="s">
        <v>1056</v>
      </c>
      <c r="H4283" s="22" t="s">
        <v>6990</v>
      </c>
      <c r="I4283" s="26">
        <v>43711.389583333301</v>
      </c>
      <c r="J4283" s="23" t="str">
        <f>HYPERLINK("https://www.spark-marketing.ru/Card/Person/537205", "ФБУ ""ТЮМЕНСКИЙ ЦСМ""")</f>
        <v>ФБУ "ТЮМЕНСКИЙ ЦСМ"</v>
      </c>
      <c r="K4283" s="24" t="s">
        <v>6991</v>
      </c>
      <c r="L4283" s="22" t="s">
        <v>10</v>
      </c>
      <c r="M4283" s="28" t="s">
        <v>51</v>
      </c>
      <c r="N4283" s="28" t="s">
        <v>51</v>
      </c>
    </row>
    <row r="4284" spans="1:14" x14ac:dyDescent="0.15">
      <c r="A4284" s="23" t="str">
        <f>HYPERLINK("https://www.spark-marketing.ru/Card/Person/19253", "УПРАВЛЕНИЕ МВД РОССИИ ПО ГОРОДУ СТАВРОПОЛЮ")</f>
        <v>УПРАВЛЕНИЕ МВД РОССИИ ПО ГОРОДУ СТАВРОПОЛЮ</v>
      </c>
      <c r="B4284" s="24" t="s">
        <v>6992</v>
      </c>
      <c r="C4284" s="25">
        <v>1500000</v>
      </c>
      <c r="D4284" s="22" t="s">
        <v>6993</v>
      </c>
      <c r="E4284" s="22" t="s">
        <v>48</v>
      </c>
      <c r="F4284" s="23" t="str">
        <f>HYPERLINK("https://www.spark-marketing.ru/Card/Lot/73193977", "Оказание услуг по регулярному приготовлению 3-х разового питания (готовых комплексных завтраков, обедов и ужинов) для лиц, содержащимся в специальном приёмнике Управления МВД России по городу Ставрополю и лиц, подозреваемых и обвиняемых в совершении ...")</f>
        <v>Оказание услуг по регулярному приготовлению 3-х разового питания (готовых комплексных завтраков, обедов и ужинов) для лиц, содержащимся в специальном приёмнике Управления МВД России по городу Ставрополю и лиц, подозреваемых и обвиняемых в совершении ...</v>
      </c>
      <c r="G4284" s="22" t="s">
        <v>87</v>
      </c>
      <c r="H4284" s="22" t="s">
        <v>87</v>
      </c>
      <c r="I4284" s="26">
        <v>43711.348611111098</v>
      </c>
      <c r="J4284" s="23" t="str">
        <f>HYPERLINK("https://www.spark-marketing.ru/Card/Person/950178", "Левин Евгений Николаевич")</f>
        <v>Левин Евгений Николаевич</v>
      </c>
      <c r="K4284" s="24" t="s">
        <v>6994</v>
      </c>
      <c r="L4284" s="22" t="s">
        <v>10</v>
      </c>
      <c r="M4284" s="28" t="s">
        <v>51</v>
      </c>
      <c r="N4284" s="28" t="s">
        <v>51</v>
      </c>
    </row>
    <row r="4285" spans="1:14" x14ac:dyDescent="0.15">
      <c r="A4285" s="23" t="str">
        <f>HYPERLINK("https://www.spark-marketing.ru/Card/Person/19253", "УПРАВЛЕНИЕ МВД РОССИИ ПО ГОРОДУ СТАВРОПОЛЮ")</f>
        <v>УПРАВЛЕНИЕ МВД РОССИИ ПО ГОРОДУ СТАВРОПОЛЮ</v>
      </c>
      <c r="B4285" s="24" t="s">
        <v>6992</v>
      </c>
      <c r="C4285" s="25">
        <v>1500000</v>
      </c>
      <c r="D4285" s="22" t="s">
        <v>6995</v>
      </c>
      <c r="E4285" s="22" t="s">
        <v>48</v>
      </c>
      <c r="F4285" s="23" t="str">
        <f>HYPERLINK("https://www.spark-marketing.ru/Card/Lot/73194400", "Оказание услуг по регулярному приготовлению 3-х разового питания (готовых завтраков, обедов и ужинов) для лиц, содержащимся в специальном приемнике и лиц, подозреваемых и обвиняемых в совершении преступлений, содержащихся в ИВС Управления МВД России ...")</f>
        <v>Оказание услуг по регулярному приготовлению 3-х разового питания (готовых завтраков, обедов и ужинов) для лиц, содержащимся в специальном приемнике и лиц, подозреваемых и обвиняемых в совершении преступлений, содержащихся в ИВС Управления МВД России ...</v>
      </c>
      <c r="G4285" s="22" t="s">
        <v>87</v>
      </c>
      <c r="H4285" s="22" t="s">
        <v>87</v>
      </c>
      <c r="I4285" s="26">
        <v>43711.349305555603</v>
      </c>
      <c r="J4285" s="23" t="str">
        <f>HYPERLINK("https://www.spark-marketing.ru/Card/Person/950178", "Левин Евгений Николаевич")</f>
        <v>Левин Евгений Николаевич</v>
      </c>
      <c r="K4285" s="24" t="s">
        <v>6994</v>
      </c>
      <c r="L4285" s="22" t="s">
        <v>10</v>
      </c>
      <c r="M4285" s="28" t="s">
        <v>51</v>
      </c>
      <c r="N4285" s="28" t="s">
        <v>51</v>
      </c>
    </row>
    <row r="4286" spans="1:14" x14ac:dyDescent="0.15">
      <c r="A4286" s="23" t="str">
        <f>HYPERLINK("https://www.spark-marketing.ru/Card/Person/19253", "УПРАВЛЕНИЕ МВД РОССИИ ПО ГОРОДУ СТАВРОПОЛЮ")</f>
        <v>УПРАВЛЕНИЕ МВД РОССИИ ПО ГОРОДУ СТАВРОПОЛЮ</v>
      </c>
      <c r="B4286" s="24" t="s">
        <v>6992</v>
      </c>
      <c r="C4286" s="25">
        <v>1500000</v>
      </c>
      <c r="D4286" s="22" t="s">
        <v>6996</v>
      </c>
      <c r="E4286" s="22" t="s">
        <v>48</v>
      </c>
      <c r="F4286" s="23" t="str">
        <f>HYPERLINK("https://www.spark-marketing.ru/Card/Lot/73193976", "Оказание услуг по регулярному приготовлению 3-х разового питания (готовых комплексных завтраков, обедов и ужинов) для лиц, содержащимся в специальном приёмнике Управления МВД России по городу Ставрополю и лиц, подозреваемых и обвиняемых в совершении ...")</f>
        <v>Оказание услуг по регулярному приготовлению 3-х разового питания (готовых комплексных завтраков, обедов и ужинов) для лиц, содержащимся в специальном приёмнике Управления МВД России по городу Ставрополю и лиц, подозреваемых и обвиняемых в совершении ...</v>
      </c>
      <c r="G4286" s="22" t="s">
        <v>87</v>
      </c>
      <c r="H4286" s="22" t="s">
        <v>87</v>
      </c>
      <c r="I4286" s="26">
        <v>43711.349305555603</v>
      </c>
      <c r="J4286" s="23" t="str">
        <f>HYPERLINK("https://www.spark-marketing.ru/Card/Person/950178", "Левин Евгений Николаевич")</f>
        <v>Левин Евгений Николаевич</v>
      </c>
      <c r="K4286" s="24" t="s">
        <v>6994</v>
      </c>
      <c r="L4286" s="22" t="s">
        <v>10</v>
      </c>
      <c r="M4286" s="28" t="s">
        <v>51</v>
      </c>
      <c r="N4286" s="28" t="s">
        <v>51</v>
      </c>
    </row>
    <row r="4287" spans="1:14" x14ac:dyDescent="0.15">
      <c r="A4287" s="23" t="str">
        <f>HYPERLINK("https://www.spark-marketing.ru/Card/Person/19253", "УПРАВЛЕНИЕ МВД РОССИИ ПО ГОРОДУ СТАВРОПОЛЮ")</f>
        <v>УПРАВЛЕНИЕ МВД РОССИИ ПО ГОРОДУ СТАВРОПОЛЮ</v>
      </c>
      <c r="B4287" s="24" t="s">
        <v>6992</v>
      </c>
      <c r="C4287" s="25">
        <v>812000</v>
      </c>
      <c r="D4287" s="22" t="s">
        <v>6997</v>
      </c>
      <c r="E4287" s="22" t="s">
        <v>48</v>
      </c>
      <c r="F4287" s="23" t="str">
        <f>HYPERLINK("https://www.spark-marketing.ru/Card/Lot/73193920", "Оказание услуг по регулярному приготовлению 3-х разового питания (готовых комплексных завтраков, обедов и ужинов) для лиц, содержащимся в специальном приёмнике Управления МВД России по городу Ставрополю и лиц, подозреваемых и обвиняемых в совершении ...")</f>
        <v>Оказание услуг по регулярному приготовлению 3-х разового питания (готовых комплексных завтраков, обедов и ужинов) для лиц, содержащимся в специальном приёмнике Управления МВД России по городу Ставрополю и лиц, подозреваемых и обвиняемых в совершении ...</v>
      </c>
      <c r="G4287" s="22" t="s">
        <v>87</v>
      </c>
      <c r="H4287" s="22" t="s">
        <v>87</v>
      </c>
      <c r="I4287" s="26">
        <v>43711.349305555603</v>
      </c>
      <c r="J4287" s="23" t="str">
        <f>HYPERLINK("https://www.spark-marketing.ru/Card/Person/950178", "Левин Евгений Николаевич")</f>
        <v>Левин Евгений Николаевич</v>
      </c>
      <c r="K4287" s="24" t="s">
        <v>6994</v>
      </c>
      <c r="L4287" s="22" t="s">
        <v>10</v>
      </c>
      <c r="M4287" s="28" t="s">
        <v>51</v>
      </c>
      <c r="N4287" s="28" t="s">
        <v>51</v>
      </c>
    </row>
    <row r="4288" spans="1:14" x14ac:dyDescent="0.15">
      <c r="A4288" s="23" t="str">
        <f>HYPERLINK("https://www.spark-marketing.ru/Card/Person/19253", "УПРАВЛЕНИЕ МВД РОССИИ ПО ГОРОДУ СТАВРОПОЛЮ")</f>
        <v>УПРАВЛЕНИЕ МВД РОССИИ ПО ГОРОДУ СТАВРОПОЛЮ</v>
      </c>
      <c r="B4288" s="24" t="s">
        <v>6992</v>
      </c>
      <c r="C4288" s="25">
        <v>1172000</v>
      </c>
      <c r="D4288" s="22" t="s">
        <v>6998</v>
      </c>
      <c r="E4288" s="22" t="s">
        <v>48</v>
      </c>
      <c r="F4288" s="23" t="str">
        <f>HYPERLINK("https://www.spark-marketing.ru/Card/Lot/73194421", "Оказание услуг по регулярному приготовлению 3-х разового питания (готовых комплексных завтраков, обедов и ужинов) для лиц, содержащимся в специальном приёмнике Управления МВД России по городу Ставрополю и лиц, подозреваемых и обвиняемых в совершении ...")</f>
        <v>Оказание услуг по регулярному приготовлению 3-х разового питания (готовых комплексных завтраков, обедов и ужинов) для лиц, содержащимся в специальном приёмнике Управления МВД России по городу Ставрополю и лиц, подозреваемых и обвиняемых в совершении ...</v>
      </c>
      <c r="G4288" s="22" t="s">
        <v>87</v>
      </c>
      <c r="H4288" s="22" t="s">
        <v>87</v>
      </c>
      <c r="I4288" s="26">
        <v>43711.348611111098</v>
      </c>
      <c r="J4288" s="23" t="str">
        <f>HYPERLINK("https://www.spark-marketing.ru/Card/Person/950178", "Левин Евгений Николаевич")</f>
        <v>Левин Евгений Николаевич</v>
      </c>
      <c r="K4288" s="24" t="s">
        <v>6994</v>
      </c>
      <c r="L4288" s="22" t="s">
        <v>10</v>
      </c>
      <c r="M4288" s="28" t="s">
        <v>51</v>
      </c>
      <c r="N4288" s="28" t="s">
        <v>51</v>
      </c>
    </row>
    <row r="4289" spans="1:14" x14ac:dyDescent="0.15">
      <c r="A4289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4289" s="24" t="s">
        <v>2576</v>
      </c>
      <c r="C4289" s="25">
        <v>286333.34000000003</v>
      </c>
      <c r="D4289" s="22" t="s">
        <v>6999</v>
      </c>
      <c r="E4289" s="22" t="s">
        <v>91</v>
      </c>
      <c r="F4289" s="23" t="str">
        <f>HYPERLINK("https://www.spark-marketing.ru/Card/Lot/73194472", "Оказание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Белгородской области.")</f>
        <v>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Белгородской области.</v>
      </c>
      <c r="G4289" s="22" t="s">
        <v>696</v>
      </c>
      <c r="H4289" s="22" t="s">
        <v>696</v>
      </c>
      <c r="I4289" s="26">
        <v>43711.354166666701</v>
      </c>
      <c r="J4289" s="28" t="s">
        <v>51</v>
      </c>
      <c r="K4289" s="28" t="s">
        <v>51</v>
      </c>
      <c r="L4289" s="28" t="s">
        <v>51</v>
      </c>
      <c r="M4289" s="28" t="s">
        <v>51</v>
      </c>
      <c r="N4289" s="28" t="s">
        <v>51</v>
      </c>
    </row>
    <row r="4290" spans="1:14" ht="12.75" hidden="1" outlineLevel="1" x14ac:dyDescent="0.2">
      <c r="A4290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4290" s="24" t="s">
        <v>2576</v>
      </c>
      <c r="C4290" s="25">
        <v>286333.34000000003</v>
      </c>
      <c r="D4290" s="22" t="s">
        <v>6999</v>
      </c>
      <c r="E4290" s="22" t="s">
        <v>91</v>
      </c>
      <c r="F4290" s="23" t="str">
        <f>HYPERLINK("https://www.spark-marketing.ru/Card/Lot/73194472", "Оказание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Белгородской области.")</f>
        <v>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Белгородской области.</v>
      </c>
      <c r="G4290" s="22" t="s">
        <v>696</v>
      </c>
      <c r="H4290" s="22" t="s">
        <v>696</v>
      </c>
      <c r="I4290" s="26">
        <v>43711.354166666701</v>
      </c>
      <c r="J4290" s="23" t="str">
        <f>HYPERLINK("https://www.spark-marketing.ru/Card/Person/6489162", "ООО ""АЛАС ЭНЕРГИЯ""")</f>
        <v>ООО "АЛАС ЭНЕРГИЯ"</v>
      </c>
      <c r="K4290" s="24" t="s">
        <v>6025</v>
      </c>
      <c r="L4290" s="22" t="s">
        <v>10</v>
      </c>
      <c r="M4290" s="25">
        <v>236224.89</v>
      </c>
      <c r="N4290" s="27">
        <v>0.17500040337600922</v>
      </c>
    </row>
    <row r="4291" spans="1:14" hidden="1" outlineLevel="1" x14ac:dyDescent="0.2">
      <c r="A4291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4291" s="24" t="s">
        <v>2576</v>
      </c>
      <c r="C4291" s="25">
        <v>286333.34000000003</v>
      </c>
      <c r="D4291" s="22" t="s">
        <v>6999</v>
      </c>
      <c r="E4291" s="22" t="s">
        <v>91</v>
      </c>
      <c r="F4291" s="23" t="str">
        <f>HYPERLINK("https://www.spark-marketing.ru/Card/Lot/73194472", "Оказание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Белгородской области.")</f>
        <v>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Белгородской области.</v>
      </c>
      <c r="G4291" s="22" t="s">
        <v>696</v>
      </c>
      <c r="H4291" s="22" t="s">
        <v>696</v>
      </c>
      <c r="I4291" s="26">
        <v>43711.354166666701</v>
      </c>
      <c r="J4291" s="23" t="str">
        <f>HYPERLINK("https://www.spark-marketing.ru/Card/Person/6204178", "Васильев Алексей Витальевич")</f>
        <v>Васильев Алексей Витальевич</v>
      </c>
      <c r="K4291" s="24" t="s">
        <v>5637</v>
      </c>
      <c r="L4291" s="28" t="s">
        <v>51</v>
      </c>
      <c r="M4291" s="25">
        <v>237656.56</v>
      </c>
      <c r="N4291" s="27">
        <v>0.1700003918509804</v>
      </c>
    </row>
    <row r="4292" spans="1:14" x14ac:dyDescent="0.15">
      <c r="A4292" s="23" t="str">
        <f>HYPERLINK("https://www.spark-marketing.ru/Card/Person/31990", "ГОБУЗ ""ОКОД""")</f>
        <v>ГОБУЗ "ОКОД"</v>
      </c>
      <c r="B4292" s="24" t="s">
        <v>7000</v>
      </c>
      <c r="C4292" s="25">
        <v>177085.71</v>
      </c>
      <c r="D4292" s="22" t="s">
        <v>7001</v>
      </c>
      <c r="E4292" s="22" t="s">
        <v>152</v>
      </c>
      <c r="F4292" s="23" t="str">
        <f>HYPERLINK("https://www.spark-marketing.ru/Card/Lot/73194475", "оказание услуг по техническому обслуживанию источников бесперебойного питания")</f>
        <v>оказание услуг по техническому обслуживанию источников бесперебойного питания</v>
      </c>
      <c r="G4292" s="22" t="s">
        <v>849</v>
      </c>
      <c r="H4292" s="22" t="s">
        <v>7002</v>
      </c>
      <c r="I4292" s="26">
        <v>43711.356249999997</v>
      </c>
      <c r="J4292" s="28" t="s">
        <v>51</v>
      </c>
      <c r="K4292" s="28" t="s">
        <v>51</v>
      </c>
      <c r="L4292" s="28" t="s">
        <v>51</v>
      </c>
      <c r="M4292" s="28" t="s">
        <v>51</v>
      </c>
      <c r="N4292" s="28" t="s">
        <v>51</v>
      </c>
    </row>
    <row r="4293" spans="1:14" hidden="1" outlineLevel="1" x14ac:dyDescent="0.2">
      <c r="A4293" s="23" t="str">
        <f>HYPERLINK("https://www.spark-marketing.ru/Card/Person/31990", "ГОБУЗ ""ОКОД""")</f>
        <v>ГОБУЗ "ОКОД"</v>
      </c>
      <c r="B4293" s="24" t="s">
        <v>7000</v>
      </c>
      <c r="C4293" s="25">
        <v>177085.71</v>
      </c>
      <c r="D4293" s="22" t="s">
        <v>7001</v>
      </c>
      <c r="E4293" s="22" t="s">
        <v>152</v>
      </c>
      <c r="F4293" s="23" t="str">
        <f>HYPERLINK("https://www.spark-marketing.ru/Card/Lot/73194475", "оказание услуг по техническому обслуживанию источников бесперебойного питания")</f>
        <v>оказание услуг по техническому обслуживанию источников бесперебойного питания</v>
      </c>
      <c r="G4293" s="22" t="s">
        <v>849</v>
      </c>
      <c r="H4293" s="22" t="s">
        <v>7002</v>
      </c>
      <c r="I4293" s="26">
        <v>43711.356249999997</v>
      </c>
      <c r="J4293" s="23" t="str">
        <f>HYPERLINK("https://www.spark-marketing.ru/Card/Person/29675", "ООО ""ТРИАЛ ЭНЕРГО""")</f>
        <v>ООО "ТРИАЛ ЭНЕРГО"</v>
      </c>
      <c r="K4293" s="24" t="s">
        <v>7003</v>
      </c>
      <c r="L4293" s="28" t="s">
        <v>51</v>
      </c>
      <c r="M4293" s="25">
        <v>57030.559999999998</v>
      </c>
      <c r="N4293" s="27">
        <v>0.67794939523917541</v>
      </c>
    </row>
    <row r="4294" spans="1:14" hidden="1" outlineLevel="1" x14ac:dyDescent="0.2">
      <c r="A4294" s="23" t="str">
        <f>HYPERLINK("https://www.spark-marketing.ru/Card/Person/31990", "ГОБУЗ ""ОКОД""")</f>
        <v>ГОБУЗ "ОКОД"</v>
      </c>
      <c r="B4294" s="24" t="s">
        <v>7000</v>
      </c>
      <c r="C4294" s="25">
        <v>177085.71</v>
      </c>
      <c r="D4294" s="22" t="s">
        <v>7001</v>
      </c>
      <c r="E4294" s="22" t="s">
        <v>152</v>
      </c>
      <c r="F4294" s="23" t="str">
        <f>HYPERLINK("https://www.spark-marketing.ru/Card/Lot/73194475", "оказание услуг по техническому обслуживанию источников бесперебойного питания")</f>
        <v>оказание услуг по техническому обслуживанию источников бесперебойного питания</v>
      </c>
      <c r="G4294" s="22" t="s">
        <v>849</v>
      </c>
      <c r="H4294" s="22" t="s">
        <v>7002</v>
      </c>
      <c r="I4294" s="26">
        <v>43711.356249999997</v>
      </c>
      <c r="J4294" s="23" t="str">
        <f>HYPERLINK("https://www.spark-marketing.ru/Card/Person/6511493", "ООО ""СИТИПРОФ""")</f>
        <v>ООО "СИТИПРОФ"</v>
      </c>
      <c r="K4294" s="24" t="s">
        <v>7004</v>
      </c>
      <c r="L4294" s="28" t="s">
        <v>51</v>
      </c>
      <c r="M4294" s="25">
        <v>55000</v>
      </c>
      <c r="N4294" s="27">
        <v>0.68941593310945304</v>
      </c>
    </row>
    <row r="4295" spans="1:14" ht="12.75" hidden="1" outlineLevel="1" x14ac:dyDescent="0.2">
      <c r="A4295" s="23" t="str">
        <f>HYPERLINK("https://www.spark-marketing.ru/Card/Person/31990", "ГОБУЗ ""ОКОД""")</f>
        <v>ГОБУЗ "ОКОД"</v>
      </c>
      <c r="B4295" s="24" t="s">
        <v>7000</v>
      </c>
      <c r="C4295" s="25">
        <v>177085.71</v>
      </c>
      <c r="D4295" s="22" t="s">
        <v>7001</v>
      </c>
      <c r="E4295" s="22" t="s">
        <v>152</v>
      </c>
      <c r="F4295" s="23" t="str">
        <f>HYPERLINK("https://www.spark-marketing.ru/Card/Lot/73194475", "оказание услуг по техническому обслуживанию источников бесперебойного питания")</f>
        <v>оказание услуг по техническому обслуживанию источников бесперебойного питания</v>
      </c>
      <c r="G4295" s="22" t="s">
        <v>849</v>
      </c>
      <c r="H4295" s="22" t="s">
        <v>7002</v>
      </c>
      <c r="I4295" s="26">
        <v>43711.356249999997</v>
      </c>
      <c r="J4295" s="23" t="str">
        <f>HYPERLINK("https://www.spark-marketing.ru/Card/Person/233701", "ООО ""МЕДТЕХФАРМ""")</f>
        <v>ООО "МЕДТЕХФАРМ"</v>
      </c>
      <c r="K4295" s="24" t="s">
        <v>7005</v>
      </c>
      <c r="L4295" s="22" t="s">
        <v>10</v>
      </c>
      <c r="M4295" s="25">
        <v>154949.96</v>
      </c>
      <c r="N4295" s="27">
        <v>0.125000204703135</v>
      </c>
    </row>
    <row r="4296" spans="1:14" x14ac:dyDescent="0.15">
      <c r="A4296" s="23" t="str">
        <f>HYPERLINK("https://www.spark-marketing.ru/Card/Person/245494", "ООО ""С/П ЮБИЛЕЙНЫЙ ГХК""")</f>
        <v>ООО "С/П ЮБИЛЕЙНЫЙ ГХК"</v>
      </c>
      <c r="B4296" s="24" t="s">
        <v>7006</v>
      </c>
      <c r="C4296" s="25">
        <v>0</v>
      </c>
      <c r="D4296" s="22" t="s">
        <v>7007</v>
      </c>
      <c r="E4296" s="22" t="s">
        <v>52</v>
      </c>
      <c r="F4296" s="23" t="str">
        <f>HYPERLINK("https://www.spark-marketing.ru/Card/Lot/73205080", "мониторинг цен в электронной форме на Оказание услуг по организации питания в ООО «С/п Юбилейный ГХК»")</f>
        <v>мониторинг цен в электронной форме на Оказание услуг по организации питания в ООО «С/п Юбилейный ГХК»</v>
      </c>
      <c r="G4296" s="22" t="s">
        <v>281</v>
      </c>
      <c r="H4296" s="22" t="s">
        <v>5821</v>
      </c>
      <c r="I4296" s="26">
        <v>43711.322268518503</v>
      </c>
      <c r="J4296" s="28" t="s">
        <v>51</v>
      </c>
      <c r="K4296" s="28" t="s">
        <v>51</v>
      </c>
      <c r="L4296" s="28" t="s">
        <v>51</v>
      </c>
      <c r="M4296" s="28" t="s">
        <v>51</v>
      </c>
      <c r="N4296" s="28" t="s">
        <v>51</v>
      </c>
    </row>
    <row r="4297" spans="1:14" x14ac:dyDescent="0.15">
      <c r="A4297" s="23" t="str">
        <f>HYPERLINK("https://www.spark-marketing.ru/Card/Person/245494", "ООО ""С/П ЮБИЛЕЙНЫЙ ГХК""")</f>
        <v>ООО "С/П ЮБИЛЕЙНЫЙ ГХК"</v>
      </c>
      <c r="B4297" s="24" t="s">
        <v>7006</v>
      </c>
      <c r="C4297" s="28" t="s">
        <v>51</v>
      </c>
      <c r="D4297" s="22" t="s">
        <v>7008</v>
      </c>
      <c r="E4297" s="22" t="s">
        <v>48</v>
      </c>
      <c r="F4297" s="23" t="str">
        <f>HYPERLINK("https://www.spark-marketing.ru/Card/Lot/73190206", "Оказание услуг по организации питания в ООО «С/п Юбилейный ГХК»")</f>
        <v>Оказание услуг по организации питания в ООО «С/п Юбилейный ГХК»</v>
      </c>
      <c r="G4297" s="22" t="s">
        <v>281</v>
      </c>
      <c r="H4297" s="22" t="s">
        <v>5821</v>
      </c>
      <c r="I4297" s="26">
        <v>43711.322974536997</v>
      </c>
      <c r="J4297" s="28" t="s">
        <v>51</v>
      </c>
      <c r="K4297" s="28" t="s">
        <v>51</v>
      </c>
      <c r="L4297" s="28" t="s">
        <v>51</v>
      </c>
      <c r="M4297" s="28" t="s">
        <v>51</v>
      </c>
      <c r="N4297" s="28" t="s">
        <v>51</v>
      </c>
    </row>
    <row r="4298" spans="1:14" x14ac:dyDescent="0.15">
      <c r="A4298" s="23" t="str">
        <f>HYPERLINK("https://www.spark-marketing.ru/Card/Person/27464", "ОКУ ""УПРАВЛЕНИЕ ОМ ГО, ЧС И ПБ""")</f>
        <v>ОКУ "УПРАВЛЕНИЕ ОМ ГО, ЧС И ПБ"</v>
      </c>
      <c r="B4298" s="24" t="s">
        <v>7009</v>
      </c>
      <c r="C4298" s="25">
        <v>463170.71</v>
      </c>
      <c r="D4298" s="22" t="s">
        <v>7010</v>
      </c>
      <c r="E4298" s="22" t="s">
        <v>48</v>
      </c>
      <c r="F4298" s="23" t="str">
        <f>HYPERLINK("https://www.spark-marketing.ru/Card/Lot/73197932", "Оказание услуг по предоставлению 2-х разового горячего питания дежурному экипажу и инженерно-техническому составу авиационного звена")</f>
        <v>Оказание услуг по предоставлению 2-х разового горячего питания дежурному экипажу и инженерно-техническому составу авиационного звена</v>
      </c>
      <c r="G4298" s="22" t="s">
        <v>260</v>
      </c>
      <c r="H4298" s="22" t="s">
        <v>804</v>
      </c>
      <c r="I4298" s="26">
        <v>43711.536805555603</v>
      </c>
      <c r="J4298" s="28" t="s">
        <v>51</v>
      </c>
      <c r="K4298" s="28" t="s">
        <v>51</v>
      </c>
      <c r="L4298" s="28" t="s">
        <v>51</v>
      </c>
      <c r="M4298" s="28" t="s">
        <v>51</v>
      </c>
      <c r="N4298" s="28" t="s">
        <v>51</v>
      </c>
    </row>
    <row r="4299" spans="1:14" ht="12.75" hidden="1" outlineLevel="1" x14ac:dyDescent="0.2">
      <c r="A4299" s="23" t="str">
        <f>HYPERLINK("https://www.spark-marketing.ru/Card/Person/27464", "ОКУ ""УПРАВЛЕНИЕ ОМ ГО, ЧС И ПБ""")</f>
        <v>ОКУ "УПРАВЛЕНИЕ ОМ ГО, ЧС И ПБ"</v>
      </c>
      <c r="B4299" s="24" t="s">
        <v>7009</v>
      </c>
      <c r="C4299" s="25">
        <v>463170.71</v>
      </c>
      <c r="D4299" s="22" t="s">
        <v>7010</v>
      </c>
      <c r="E4299" s="22" t="s">
        <v>48</v>
      </c>
      <c r="F4299" s="23" t="str">
        <f>HYPERLINK("https://www.spark-marketing.ru/Card/Lot/73197932", "Оказание услуг по предоставлению 2-х разового горячего питания дежурному экипажу и инженерно-техническому составу авиационного звена")</f>
        <v>Оказание услуг по предоставлению 2-х разового горячего питания дежурному экипажу и инженерно-техническому составу авиационного звена</v>
      </c>
      <c r="G4299" s="22" t="s">
        <v>260</v>
      </c>
      <c r="H4299" s="22" t="s">
        <v>804</v>
      </c>
      <c r="I4299" s="26">
        <v>43711.536805555603</v>
      </c>
      <c r="J4299" s="23" t="str">
        <f>HYPERLINK("https://www.spark-marketing.ru/Card/Person/114046", "Ко Радмила Гвансуновна")</f>
        <v>Ко Радмила Гвансуновна</v>
      </c>
      <c r="K4299" s="24" t="s">
        <v>3538</v>
      </c>
      <c r="L4299" s="22" t="s">
        <v>10</v>
      </c>
      <c r="M4299" s="25">
        <v>328600</v>
      </c>
      <c r="N4299" s="27">
        <v>0.2905423574819746</v>
      </c>
    </row>
    <row r="4300" spans="1:14" hidden="1" outlineLevel="1" x14ac:dyDescent="0.2">
      <c r="A4300" s="23" t="str">
        <f>HYPERLINK("https://www.spark-marketing.ru/Card/Person/27464", "ОКУ ""УПРАВЛЕНИЕ ОМ ГО, ЧС И ПБ""")</f>
        <v>ОКУ "УПРАВЛЕНИЕ ОМ ГО, ЧС И ПБ"</v>
      </c>
      <c r="B4300" s="24" t="s">
        <v>7009</v>
      </c>
      <c r="C4300" s="25">
        <v>463170.71</v>
      </c>
      <c r="D4300" s="22" t="s">
        <v>7010</v>
      </c>
      <c r="E4300" s="22" t="s">
        <v>48</v>
      </c>
      <c r="F4300" s="23" t="str">
        <f>HYPERLINK("https://www.spark-marketing.ru/Card/Lot/73197932", "Оказание услуг по предоставлению 2-х разового горячего питания дежурному экипажу и инженерно-техническому составу авиационного звена")</f>
        <v>Оказание услуг по предоставлению 2-х разового горячего питания дежурному экипажу и инженерно-техническому составу авиационного звена</v>
      </c>
      <c r="G4300" s="22" t="s">
        <v>260</v>
      </c>
      <c r="H4300" s="22" t="s">
        <v>804</v>
      </c>
      <c r="I4300" s="26">
        <v>43711.536805555603</v>
      </c>
      <c r="J4300" s="23" t="str">
        <f>HYPERLINK("https://www.spark-marketing.ru/Card/Person/236429", "ООО ""АЛЛЕГРА""")</f>
        <v>ООО "АЛЛЕГРА"</v>
      </c>
      <c r="K4300" s="24" t="s">
        <v>7011</v>
      </c>
      <c r="L4300" s="28" t="s">
        <v>51</v>
      </c>
      <c r="M4300" s="25">
        <v>458981.06</v>
      </c>
      <c r="N4300" s="27">
        <v>9.0455849421048236E-3</v>
      </c>
    </row>
    <row r="4301" spans="1:14" x14ac:dyDescent="0.15">
      <c r="A4301" s="23" t="str">
        <f>HYPERLINK("https://www.spark-marketing.ru/Card/Person/261528", "МО МВД РОССИИ ""КУМЕНСКИЙ""")</f>
        <v>МО МВД РОССИИ "КУМЕНСКИЙ"</v>
      </c>
      <c r="B4301" s="24" t="s">
        <v>7012</v>
      </c>
      <c r="C4301" s="25">
        <v>45400</v>
      </c>
      <c r="D4301" s="22" t="s">
        <v>7013</v>
      </c>
      <c r="E4301" s="22" t="s">
        <v>48</v>
      </c>
      <c r="F4301" s="23" t="str">
        <f>HYPERLINK("https://www.spark-marketing.ru/Card/Lot/73188838", "Оказание услуг по обеспечению 3-х разовым ежедневным горячим питанием лиц, содержащихся в ИВС, 1 усл. ед")</f>
        <v>Оказание услуг по обеспечению 3-х разовым ежедневным горячим питанием лиц, содержащихся в ИВС, 1 усл. ед</v>
      </c>
      <c r="G4301" s="22" t="s">
        <v>224</v>
      </c>
      <c r="H4301" s="22" t="s">
        <v>7014</v>
      </c>
      <c r="I4301" s="26">
        <v>43711.122083333299</v>
      </c>
      <c r="J4301" s="28" t="s">
        <v>51</v>
      </c>
      <c r="K4301" s="28" t="s">
        <v>51</v>
      </c>
      <c r="L4301" s="28" t="s">
        <v>51</v>
      </c>
      <c r="M4301" s="28" t="s">
        <v>51</v>
      </c>
      <c r="N4301" s="28" t="s">
        <v>51</v>
      </c>
    </row>
    <row r="4302" spans="1:14" x14ac:dyDescent="0.15">
      <c r="A4302" s="23" t="str">
        <f>HYPERLINK("https://www.spark-marketing.ru/Card/Person/73338", "ОГУ ИМЕНИ И.С. ТУРГЕНЕВА, ФГБОУ ВО ""ОРЛОВСКИЙ ГОСУДАРСТВЕННЫЙ УНИВЕРСИТЕТ ИМЕНИ И.С. ТУРГЕНЕВА"", ОРЛОВСКИЙ ГОСУДАРСТВЕННЫЙ УНИВЕРСИТЕТ ИМЕНИ И.С. ТУРГЕНЕВА, ФГБОУ ВО ""ОГУ ИМ. И.С. ТУРГЕНЕВА"", ОГУ ИМ. И.С. ТУРГЕНЕВА")</f>
        <v>ОГУ ИМЕНИ И.С. ТУРГЕНЕВА, ФГБОУ ВО "ОРЛОВСКИЙ ГОСУДАРСТВЕННЫЙ УНИВЕРСИТЕТ ИМЕНИ И.С. ТУРГЕНЕВА", ОРЛОВСКИЙ ГОСУДАРСТВЕННЫЙ УНИВЕРСИТЕТ ИМЕНИ И.С. ТУРГЕНЕВА, ФГБОУ ВО "ОГУ ИМ. И.С. ТУРГЕНЕВА", ОГУ ИМ. И.С. ТУРГЕНЕВА</v>
      </c>
      <c r="B4302" s="24" t="s">
        <v>1218</v>
      </c>
      <c r="C4302" s="25">
        <v>451170</v>
      </c>
      <c r="D4302" s="22" t="s">
        <v>7015</v>
      </c>
      <c r="E4302" s="22" t="s">
        <v>580</v>
      </c>
      <c r="F4302" s="23" t="str">
        <f>HYPERLINK("https://www.spark-marketing.ru/Card/Lot/73198482", "Оказание услуги по организации горячего питания учащихся Гимназии ОГУ им. И. С. Тургенева в г. Мценске")</f>
        <v>Оказание услуги по организации горячего питания учащихся Гимназии ОГУ им. И. С. Тургенева в г. Мценске</v>
      </c>
      <c r="G4302" s="22" t="s">
        <v>1066</v>
      </c>
      <c r="H4302" s="22" t="s">
        <v>1066</v>
      </c>
      <c r="I4302" s="26">
        <v>43711</v>
      </c>
      <c r="J4302" s="28" t="s">
        <v>51</v>
      </c>
      <c r="K4302" s="28" t="s">
        <v>51</v>
      </c>
      <c r="L4302" s="28" t="s">
        <v>51</v>
      </c>
      <c r="M4302" s="28" t="s">
        <v>51</v>
      </c>
      <c r="N4302" s="28" t="s">
        <v>51</v>
      </c>
    </row>
    <row r="4303" spans="1:14" x14ac:dyDescent="0.15">
      <c r="A4303" s="23" t="str">
        <f>HYPERLINK("https://www.spark-marketing.ru/Card/Person/1766257", "МАОУ ""НЕЖИНСКИЙ ЛИЦЕЙ ОРЕНБУРГСКОГО РАЙОНА""")</f>
        <v>МАОУ "НЕЖИНСКИЙ ЛИЦЕЙ ОРЕНБУРГСКОГО РАЙОНА"</v>
      </c>
      <c r="B4303" s="24" t="s">
        <v>1232</v>
      </c>
      <c r="C4303" s="25">
        <v>1314190</v>
      </c>
      <c r="D4303" s="22" t="s">
        <v>7016</v>
      </c>
      <c r="E4303" s="22" t="s">
        <v>6493</v>
      </c>
      <c r="F4303" s="23" t="str">
        <f>HYPERLINK("https://www.spark-marketing.ru/Card/Lot/73207342", "Оказание услуг по поставке продуктов питания")</f>
        <v>Оказание услуг по поставке продуктов питания</v>
      </c>
      <c r="G4303" s="22" t="s">
        <v>132</v>
      </c>
      <c r="H4303" s="22" t="s">
        <v>132</v>
      </c>
      <c r="I4303" s="26">
        <v>43711</v>
      </c>
      <c r="J4303" s="28" t="s">
        <v>51</v>
      </c>
      <c r="K4303" s="28" t="s">
        <v>51</v>
      </c>
      <c r="L4303" s="28" t="s">
        <v>51</v>
      </c>
      <c r="M4303" s="28" t="s">
        <v>51</v>
      </c>
      <c r="N4303" s="28" t="s">
        <v>51</v>
      </c>
    </row>
    <row r="4304" spans="1:14" x14ac:dyDescent="0.2">
      <c r="A4304" s="23" t="str">
        <f>HYPERLINK("https://www.spark-marketing.ru/Card/Person/1763097", "КГАУ ""СШОР ПО ФУТБОЛУ ""ЕНИСЕЙ""")</f>
        <v>КГАУ "СШОР ПО ФУТБОЛУ "ЕНИСЕЙ"</v>
      </c>
      <c r="B4304" s="24" t="s">
        <v>4437</v>
      </c>
      <c r="C4304" s="25">
        <v>142600</v>
      </c>
      <c r="D4304" s="22" t="s">
        <v>7017</v>
      </c>
      <c r="E4304" s="22" t="s">
        <v>362</v>
      </c>
      <c r="F4304" s="23" t="str">
        <f>HYPERLINK("https://www.spark-marketing.ru/Card/Lot/73198975", "Оказание услуг по организации питания спортсменов")</f>
        <v>Оказание услуг по организации питания спортсменов</v>
      </c>
      <c r="G4304" s="22" t="s">
        <v>281</v>
      </c>
      <c r="H4304" s="22" t="s">
        <v>281</v>
      </c>
      <c r="I4304" s="26">
        <v>43711</v>
      </c>
      <c r="J4304" s="28" t="s">
        <v>51</v>
      </c>
      <c r="K4304" s="28" t="s">
        <v>51</v>
      </c>
      <c r="L4304" s="22" t="s">
        <v>10</v>
      </c>
      <c r="M4304" s="25">
        <v>142600</v>
      </c>
      <c r="N4304" s="27">
        <v>0</v>
      </c>
    </row>
    <row r="4305" spans="1:14" x14ac:dyDescent="0.2">
      <c r="A4305" s="23" t="str">
        <f>HYPERLINK("https://www.spark-marketing.ru/Card/Person/4389673", "АО ""НЭСК-ЭЛЕКТРОСЕТИ""")</f>
        <v>АО "НЭСК-ЭЛЕКТРОСЕТИ"</v>
      </c>
      <c r="B4305" s="24" t="s">
        <v>7018</v>
      </c>
      <c r="C4305" s="25">
        <v>1200000</v>
      </c>
      <c r="D4305" s="22" t="s">
        <v>7019</v>
      </c>
      <c r="E4305" s="22" t="s">
        <v>4655</v>
      </c>
      <c r="F4305" s="23" t="str">
        <f>HYPERLINK("https://www.spark-marketing.ru/Card/Lot/73204853", "Оказание услуг по размещению и обеспечению питанием участников спартакиады АО «НЭСК-электросети».")</f>
        <v>Оказание услуг по размещению и обеспечению питанием участников спартакиады АО «НЭСК-электросети».</v>
      </c>
      <c r="G4305" s="22" t="s">
        <v>104</v>
      </c>
      <c r="H4305" s="22" t="s">
        <v>104</v>
      </c>
      <c r="I4305" s="26">
        <v>43711</v>
      </c>
      <c r="J4305" s="28" t="s">
        <v>51</v>
      </c>
      <c r="K4305" s="28" t="s">
        <v>51</v>
      </c>
      <c r="L4305" s="28" t="s">
        <v>51</v>
      </c>
      <c r="M4305" s="25">
        <v>1200000</v>
      </c>
      <c r="N4305" s="27">
        <v>0</v>
      </c>
    </row>
    <row r="4306" spans="1:14" x14ac:dyDescent="0.15">
      <c r="A4306" s="23" t="str">
        <f>HYPERLINK("https://www.spark-marketing.ru/Card/Person/4434736", "МАОУ ""НОВОЗАИМСКАЯ СОШ""")</f>
        <v>МАОУ "НОВОЗАИМСКАЯ СОШ"</v>
      </c>
      <c r="B4306" s="24" t="s">
        <v>788</v>
      </c>
      <c r="C4306" s="25">
        <v>1074216</v>
      </c>
      <c r="D4306" s="22" t="s">
        <v>7020</v>
      </c>
      <c r="E4306" s="22" t="s">
        <v>362</v>
      </c>
      <c r="F4306" s="23" t="str">
        <f>HYPERLINK("https://www.spark-marketing.ru/Card/Lot/73191778", "Услуги по организации питания обучающихся")</f>
        <v>Услуги по организации питания обучающихся</v>
      </c>
      <c r="G4306" s="22" t="s">
        <v>766</v>
      </c>
      <c r="H4306" s="22" t="s">
        <v>766</v>
      </c>
      <c r="I4306" s="26">
        <v>43711</v>
      </c>
      <c r="J4306" s="28" t="s">
        <v>51</v>
      </c>
      <c r="K4306" s="28" t="s">
        <v>51</v>
      </c>
      <c r="L4306" s="28" t="s">
        <v>51</v>
      </c>
      <c r="M4306" s="28" t="s">
        <v>51</v>
      </c>
      <c r="N4306" s="28" t="s">
        <v>51</v>
      </c>
    </row>
    <row r="4307" spans="1:14" x14ac:dyDescent="0.15">
      <c r="A4307" s="23" t="str">
        <f>HYPERLINK("https://www.spark-marketing.ru/Card/Person/50743", "МП ""ДЕТСКОЕ ПИТАНИЕ""")</f>
        <v>МП "ДЕТСКОЕ ПИТАНИЕ"</v>
      </c>
      <c r="B4307" s="24" t="s">
        <v>1562</v>
      </c>
      <c r="C4307" s="25">
        <v>1427150</v>
      </c>
      <c r="D4307" s="22" t="s">
        <v>7021</v>
      </c>
      <c r="E4307" s="22" t="s">
        <v>7022</v>
      </c>
      <c r="F4307" s="23" t="str">
        <f>HYPERLINK("https://www.spark-marketing.ru/Card/Lot/73204974", "Поставка колбасы вареной (для оказания услуг по предоставлению питания школьникам")</f>
        <v>Поставка колбасы вареной (для оказания услуг по предоставлению питания школьникам</v>
      </c>
      <c r="G4307" s="22" t="s">
        <v>1522</v>
      </c>
      <c r="H4307" s="22" t="s">
        <v>1522</v>
      </c>
      <c r="I4307" s="26">
        <v>43711</v>
      </c>
      <c r="J4307" s="28" t="s">
        <v>51</v>
      </c>
      <c r="K4307" s="28" t="s">
        <v>51</v>
      </c>
      <c r="L4307" s="28" t="s">
        <v>51</v>
      </c>
      <c r="M4307" s="28" t="s">
        <v>51</v>
      </c>
      <c r="N4307" s="28" t="s">
        <v>51</v>
      </c>
    </row>
    <row r="4308" spans="1:14" x14ac:dyDescent="0.2">
      <c r="A4308" s="23" t="str">
        <f>HYPERLINK("https://www.spark-marketing.ru/Card/Person/1180446", "МАОУ ПОБЕДИНСКАЯ СОШ")</f>
        <v>МАОУ ПОБЕДИНСКАЯ СОШ</v>
      </c>
      <c r="B4308" s="24" t="s">
        <v>7023</v>
      </c>
      <c r="C4308" s="25">
        <v>241284.4</v>
      </c>
      <c r="D4308" s="22" t="s">
        <v>7024</v>
      </c>
      <c r="E4308" s="22" t="s">
        <v>362</v>
      </c>
      <c r="F4308" s="23" t="str">
        <f>HYPERLINK("https://www.spark-marketing.ru/Card/Lot/73278759", "Оказание услуг по организации школьного питания обучающихся")</f>
        <v>Оказание услуг по организации школьного питания обучающихся</v>
      </c>
      <c r="G4308" s="22" t="s">
        <v>400</v>
      </c>
      <c r="H4308" s="22" t="s">
        <v>400</v>
      </c>
      <c r="I4308" s="26">
        <v>43714</v>
      </c>
      <c r="J4308" s="28" t="s">
        <v>51</v>
      </c>
      <c r="K4308" s="28" t="s">
        <v>51</v>
      </c>
      <c r="L4308" s="22" t="s">
        <v>10</v>
      </c>
      <c r="M4308" s="25">
        <v>241284.4</v>
      </c>
      <c r="N4308" s="27">
        <v>0</v>
      </c>
    </row>
    <row r="4309" spans="1:14" x14ac:dyDescent="0.2">
      <c r="A4309" s="23" t="str">
        <f>HYPERLINK("https://www.spark-marketing.ru/Card/Person/20065", "ФГБОУ ВО ""ГМУ ИМ. АДМ. Ф.Ф. УШАКОВА""")</f>
        <v>ФГБОУ ВО "ГМУ ИМ. АДМ. Ф.Ф. УШАКОВА"</v>
      </c>
      <c r="B4309" s="24" t="s">
        <v>7025</v>
      </c>
      <c r="C4309" s="25">
        <v>4969614</v>
      </c>
      <c r="D4309" s="22" t="s">
        <v>7026</v>
      </c>
      <c r="E4309" s="22" t="s">
        <v>362</v>
      </c>
      <c r="F4309" s="23" t="str">
        <f>HYPERLINK("https://www.spark-marketing.ru/Card/Lot/73198119", "организация питания")</f>
        <v>организация питания</v>
      </c>
      <c r="G4309" s="22" t="s">
        <v>104</v>
      </c>
      <c r="H4309" s="22" t="s">
        <v>1689</v>
      </c>
      <c r="I4309" s="26">
        <v>43711</v>
      </c>
      <c r="J4309" s="28" t="s">
        <v>51</v>
      </c>
      <c r="K4309" s="28" t="s">
        <v>51</v>
      </c>
      <c r="L4309" s="22" t="s">
        <v>10</v>
      </c>
      <c r="M4309" s="25">
        <v>4969614</v>
      </c>
      <c r="N4309" s="27">
        <v>0</v>
      </c>
    </row>
    <row r="4310" spans="1:14" x14ac:dyDescent="0.15">
      <c r="A4310" s="23" t="str">
        <f>HYPERLINK("https://www.spark-marketing.ru/Card/Person/3044", "ФГАУ ""НМИЦ ЗДОРОВЬЯ ДЕТЕЙ"" МИНЗДРАВА РОССИИ")</f>
        <v>ФГАУ "НМИЦ ЗДОРОВЬЯ ДЕТЕЙ" МИНЗДРАВА РОССИИ</v>
      </c>
      <c r="B4310" s="24" t="s">
        <v>5526</v>
      </c>
      <c r="C4310" s="25">
        <v>59089.33</v>
      </c>
      <c r="D4310" s="22" t="s">
        <v>7027</v>
      </c>
      <c r="E4310" s="22" t="s">
        <v>1403</v>
      </c>
      <c r="F4310" s="23" t="str">
        <f>HYPERLINK("https://www.spark-marketing.ru/Card/Lot/73176462", "Оказание услуг по ремонту источника бесперебойного питания")</f>
        <v>Оказание услуг по ремонту источника бесперебойного питания</v>
      </c>
      <c r="G4310" s="22" t="s">
        <v>56</v>
      </c>
      <c r="H4310" s="22" t="s">
        <v>56</v>
      </c>
      <c r="I4310" s="26">
        <v>43710</v>
      </c>
      <c r="J4310" s="28" t="s">
        <v>51</v>
      </c>
      <c r="K4310" s="28" t="s">
        <v>51</v>
      </c>
      <c r="L4310" s="28" t="s">
        <v>51</v>
      </c>
      <c r="M4310" s="28" t="s">
        <v>51</v>
      </c>
      <c r="N4310" s="28" t="s">
        <v>51</v>
      </c>
    </row>
    <row r="4311" spans="1:14" x14ac:dyDescent="0.15">
      <c r="A4311" s="23" t="str">
        <f>HYPERLINK("https://www.spark-marketing.ru/Card/Person/734832", "МАОУ "" СОШ № 19 Г. УЛАН-УДЭ""")</f>
        <v>МАОУ " СОШ № 19 Г. УЛАН-УДЭ"</v>
      </c>
      <c r="B4311" s="24" t="s">
        <v>7028</v>
      </c>
      <c r="C4311" s="25">
        <v>116317.56</v>
      </c>
      <c r="D4311" s="22" t="s">
        <v>7029</v>
      </c>
      <c r="E4311" s="22" t="s">
        <v>1412</v>
      </c>
      <c r="F4311" s="23" t="str">
        <f>HYPERLINK("https://www.spark-marketing.ru/Card/Lot/73206687", "Услуги по приготовление блюд трехразового горячего питания в пред. школе")</f>
        <v>Услуги по приготовление блюд трехразового горячего питания в пред. школе</v>
      </c>
      <c r="G4311" s="22" t="s">
        <v>433</v>
      </c>
      <c r="H4311" s="22" t="s">
        <v>433</v>
      </c>
      <c r="I4311" s="26">
        <v>43711</v>
      </c>
      <c r="J4311" s="28" t="s">
        <v>51</v>
      </c>
      <c r="K4311" s="28" t="s">
        <v>51</v>
      </c>
      <c r="L4311" s="28" t="s">
        <v>51</v>
      </c>
      <c r="M4311" s="28" t="s">
        <v>51</v>
      </c>
      <c r="N4311" s="28" t="s">
        <v>51</v>
      </c>
    </row>
    <row r="4312" spans="1:14" x14ac:dyDescent="0.15">
      <c r="A4312" s="23" t="str">
        <f>HYPERLINK("https://www.spark-marketing.ru/Card/Person/4434736", "МАОУ ""НОВОЗАИМСКАЯ СОШ""")</f>
        <v>МАОУ "НОВОЗАИМСКАЯ СОШ"</v>
      </c>
      <c r="B4312" s="24" t="s">
        <v>788</v>
      </c>
      <c r="C4312" s="25">
        <v>1986600</v>
      </c>
      <c r="D4312" s="22" t="s">
        <v>7030</v>
      </c>
      <c r="E4312" s="22" t="s">
        <v>362</v>
      </c>
      <c r="F4312" s="23" t="str">
        <f>HYPERLINK("https://www.spark-marketing.ru/Card/Lot/73191752", "Услуги по организации питания воспитанников отделения дошкольного образования.")</f>
        <v>Услуги по организации питания воспитанников отделения дошкольного образования.</v>
      </c>
      <c r="G4312" s="22" t="s">
        <v>766</v>
      </c>
      <c r="H4312" s="22" t="s">
        <v>766</v>
      </c>
      <c r="I4312" s="26">
        <v>43711</v>
      </c>
      <c r="J4312" s="28" t="s">
        <v>51</v>
      </c>
      <c r="K4312" s="28" t="s">
        <v>51</v>
      </c>
      <c r="L4312" s="28" t="s">
        <v>51</v>
      </c>
      <c r="M4312" s="28" t="s">
        <v>51</v>
      </c>
      <c r="N4312" s="28" t="s">
        <v>51</v>
      </c>
    </row>
    <row r="4313" spans="1:14" x14ac:dyDescent="0.2">
      <c r="A4313" s="23" t="str">
        <f>HYPERLINK("https://www.spark-marketing.ru/Card/Person/74951", "АО ""ОЭЗ ""ИННОПОЛИС""")</f>
        <v>АО "ОЭЗ "ИННОПОЛИС"</v>
      </c>
      <c r="B4313" s="24" t="s">
        <v>7031</v>
      </c>
      <c r="C4313" s="25">
        <v>270000</v>
      </c>
      <c r="D4313" s="22" t="s">
        <v>7032</v>
      </c>
      <c r="E4313" s="22" t="s">
        <v>580</v>
      </c>
      <c r="F4313" s="23" t="str">
        <f>HYPERLINK("https://www.spark-marketing.ru/Card/Lot/73275031", "Организация услуг питания")</f>
        <v>Организация услуг питания</v>
      </c>
      <c r="G4313" s="22" t="s">
        <v>217</v>
      </c>
      <c r="H4313" s="22" t="s">
        <v>217</v>
      </c>
      <c r="I4313" s="26">
        <v>43714</v>
      </c>
      <c r="J4313" s="28" t="s">
        <v>51</v>
      </c>
      <c r="K4313" s="28" t="s">
        <v>51</v>
      </c>
      <c r="L4313" s="22" t="s">
        <v>10</v>
      </c>
      <c r="M4313" s="25">
        <v>270000</v>
      </c>
      <c r="N4313" s="27">
        <v>0</v>
      </c>
    </row>
    <row r="4314" spans="1:14" x14ac:dyDescent="0.15">
      <c r="A4314" s="23" t="str">
        <f>HYPERLINK("https://www.spark-marketing.ru/Card/Person/50743", "МП ""ДЕТСКОЕ ПИТАНИЕ""")</f>
        <v>МП "ДЕТСКОЕ ПИТАНИЕ"</v>
      </c>
      <c r="B4314" s="24" t="s">
        <v>1562</v>
      </c>
      <c r="C4314" s="25">
        <v>1882580</v>
      </c>
      <c r="D4314" s="22" t="s">
        <v>7021</v>
      </c>
      <c r="E4314" s="22" t="s">
        <v>7033</v>
      </c>
      <c r="F4314" s="23" t="str">
        <f>HYPERLINK("https://www.spark-marketing.ru/Card/Lot/73204975", "Поставка колбасных изделий вареных (сардельки, категория А, сосиски, категория Б). (для оказания услуг по предоставлению питания школьникам).")</f>
        <v>Поставка колбасных изделий вареных (сардельки, категория А, сосиски, категория Б). (для оказания услуг по предоставлению питания школьникам).</v>
      </c>
      <c r="G4314" s="22" t="s">
        <v>1522</v>
      </c>
      <c r="H4314" s="22" t="s">
        <v>1522</v>
      </c>
      <c r="I4314" s="26">
        <v>43711</v>
      </c>
      <c r="J4314" s="28" t="s">
        <v>51</v>
      </c>
      <c r="K4314" s="28" t="s">
        <v>51</v>
      </c>
      <c r="L4314" s="28" t="s">
        <v>51</v>
      </c>
      <c r="M4314" s="28" t="s">
        <v>51</v>
      </c>
      <c r="N4314" s="28" t="s">
        <v>51</v>
      </c>
    </row>
    <row r="4315" spans="1:14" x14ac:dyDescent="0.15">
      <c r="A4315" s="23" t="str">
        <f>HYPERLINK("https://www.spark-marketing.ru/Card/Person/1766257", "МАОУ ""НЕЖИНСКИЙ ЛИЦЕЙ ОРЕНБУРГСКОГО РАЙОНА""")</f>
        <v>МАОУ "НЕЖИНСКИЙ ЛИЦЕЙ ОРЕНБУРГСКОГО РАЙОНА"</v>
      </c>
      <c r="B4315" s="24" t="s">
        <v>1232</v>
      </c>
      <c r="C4315" s="25">
        <v>165000</v>
      </c>
      <c r="D4315" s="22" t="s">
        <v>7034</v>
      </c>
      <c r="E4315" s="22" t="s">
        <v>7035</v>
      </c>
      <c r="F4315" s="23" t="str">
        <f>HYPERLINK("https://www.spark-marketing.ru/Card/Lot/73207900", "Оказание услуг по поставке продуктов питания (хлебобулочные изделия)")</f>
        <v>Оказание услуг по поставке продуктов питания (хлебобулочные изделия)</v>
      </c>
      <c r="G4315" s="22" t="s">
        <v>132</v>
      </c>
      <c r="H4315" s="22" t="s">
        <v>132</v>
      </c>
      <c r="I4315" s="26">
        <v>43711</v>
      </c>
      <c r="J4315" s="28" t="s">
        <v>51</v>
      </c>
      <c r="K4315" s="28" t="s">
        <v>51</v>
      </c>
      <c r="L4315" s="28" t="s">
        <v>51</v>
      </c>
      <c r="M4315" s="28" t="s">
        <v>51</v>
      </c>
      <c r="N4315" s="28" t="s">
        <v>51</v>
      </c>
    </row>
    <row r="4316" spans="1:14" x14ac:dyDescent="0.2">
      <c r="A4316" s="23" t="str">
        <f>HYPERLINK("https://www.spark-marketing.ru/Card/Person/6460079", "МАДОУ ""ДЕТСКИЙ САД № 18""")</f>
        <v>МАДОУ "ДЕТСКИЙ САД № 18"</v>
      </c>
      <c r="B4316" s="24" t="s">
        <v>7036</v>
      </c>
      <c r="C4316" s="25">
        <v>2172600</v>
      </c>
      <c r="D4316" s="22" t="s">
        <v>7037</v>
      </c>
      <c r="E4316" s="22" t="s">
        <v>362</v>
      </c>
      <c r="F4316" s="23" t="str">
        <f>HYPERLINK("https://www.spark-marketing.ru/Card/Lot/73227395", "Услуга по организации питания воспитанников")</f>
        <v>Услуга по организации питания воспитанников</v>
      </c>
      <c r="G4316" s="22" t="s">
        <v>351</v>
      </c>
      <c r="H4316" s="22" t="s">
        <v>351</v>
      </c>
      <c r="I4316" s="26">
        <v>43712</v>
      </c>
      <c r="J4316" s="28" t="s">
        <v>51</v>
      </c>
      <c r="K4316" s="28" t="s">
        <v>51</v>
      </c>
      <c r="L4316" s="22" t="s">
        <v>10</v>
      </c>
      <c r="M4316" s="25">
        <v>2172600</v>
      </c>
      <c r="N4316" s="27">
        <v>0</v>
      </c>
    </row>
    <row r="4317" spans="1:14" x14ac:dyDescent="0.2">
      <c r="A4317" s="23" t="str">
        <f>HYPERLINK("https://www.spark-marketing.ru/Card/Person/1481691", "МАОУ ООШ С. ЕЛАНКА")</f>
        <v>МАОУ ООШ С. ЕЛАНКА</v>
      </c>
      <c r="B4317" s="24" t="s">
        <v>6491</v>
      </c>
      <c r="C4317" s="25">
        <v>32217.599999999999</v>
      </c>
      <c r="D4317" s="22" t="s">
        <v>7038</v>
      </c>
      <c r="E4317" s="22" t="s">
        <v>6493</v>
      </c>
      <c r="F4317" s="23" t="str">
        <f>HYPERLINK("https://www.spark-marketing.ru/Card/Lot/73195071", "поставка продуктов питания")</f>
        <v>поставка продуктов питания</v>
      </c>
      <c r="G4317" s="22" t="s">
        <v>351</v>
      </c>
      <c r="H4317" s="22" t="s">
        <v>351</v>
      </c>
      <c r="I4317" s="26">
        <v>43711</v>
      </c>
      <c r="J4317" s="28" t="s">
        <v>51</v>
      </c>
      <c r="K4317" s="28" t="s">
        <v>51</v>
      </c>
      <c r="L4317" s="22" t="s">
        <v>10</v>
      </c>
      <c r="M4317" s="25">
        <v>32156.28</v>
      </c>
      <c r="N4317" s="27">
        <v>1.9033075089392134E-3</v>
      </c>
    </row>
    <row r="4318" spans="1:14" x14ac:dyDescent="0.15">
      <c r="A4318" s="23" t="str">
        <f>HYPERLINK("https://www.spark-marketing.ru/Card/Person/120052", "МАОУ СШ № 149")</f>
        <v>МАОУ СШ № 149</v>
      </c>
      <c r="B4318" s="24" t="s">
        <v>7039</v>
      </c>
      <c r="C4318" s="25">
        <v>291999.03999999998</v>
      </c>
      <c r="D4318" s="22" t="s">
        <v>7040</v>
      </c>
      <c r="E4318" s="22" t="s">
        <v>362</v>
      </c>
      <c r="F4318" s="23" t="str">
        <f>HYPERLINK("https://www.spark-marketing.ru/Card/Lot/73195672", "оказание услуг по организации горячего питания малообеспеченных обучающихся в муниципальном автономном общеобразовательном учреждении «Средняя школа № 149».")</f>
        <v>оказание услуг по организации горячего питания малообеспеченных обучающихся в муниципальном автономном общеобразовательном учреждении «Средняя школа № 149».</v>
      </c>
      <c r="G4318" s="22" t="s">
        <v>281</v>
      </c>
      <c r="H4318" s="22" t="s">
        <v>281</v>
      </c>
      <c r="I4318" s="26">
        <v>43711</v>
      </c>
      <c r="J4318" s="28" t="s">
        <v>51</v>
      </c>
      <c r="K4318" s="28" t="s">
        <v>51</v>
      </c>
      <c r="L4318" s="28" t="s">
        <v>51</v>
      </c>
      <c r="M4318" s="28" t="s">
        <v>51</v>
      </c>
      <c r="N4318" s="28" t="s">
        <v>51</v>
      </c>
    </row>
    <row r="4319" spans="1:14" x14ac:dyDescent="0.15">
      <c r="A4319" s="23" t="str">
        <f>HYPERLINK("https://www.spark-marketing.ru/Card/Person/244639", "МАОУ СШ № 150")</f>
        <v>МАОУ СШ № 150</v>
      </c>
      <c r="B4319" s="24" t="s">
        <v>1222</v>
      </c>
      <c r="C4319" s="25">
        <v>249614.8</v>
      </c>
      <c r="D4319" s="22" t="s">
        <v>7041</v>
      </c>
      <c r="E4319" s="22" t="s">
        <v>362</v>
      </c>
      <c r="F4319" s="23" t="str">
        <f>HYPERLINK("https://www.spark-marketing.ru/Card/Lot/73203146", "Договор на оказание услуг по организации горячего питания учащихся")</f>
        <v>Договор на оказание услуг по организации горячего питания учащихся</v>
      </c>
      <c r="G4319" s="22" t="s">
        <v>281</v>
      </c>
      <c r="H4319" s="22" t="s">
        <v>281</v>
      </c>
      <c r="I4319" s="26">
        <v>43711</v>
      </c>
      <c r="J4319" s="28" t="s">
        <v>51</v>
      </c>
      <c r="K4319" s="28" t="s">
        <v>51</v>
      </c>
      <c r="L4319" s="28" t="s">
        <v>51</v>
      </c>
      <c r="M4319" s="28" t="s">
        <v>51</v>
      </c>
      <c r="N4319" s="28" t="s">
        <v>51</v>
      </c>
    </row>
    <row r="4320" spans="1:14" x14ac:dyDescent="0.15">
      <c r="A4320" s="23" t="str">
        <f>HYPERLINK("https://www.spark-marketing.ru/Card/Person/33250", "ФГБОУ ВО ""ВГУ""")</f>
        <v>ФГБОУ ВО "ВГУ"</v>
      </c>
      <c r="B4320" s="24" t="s">
        <v>3566</v>
      </c>
      <c r="C4320" s="25">
        <v>240000</v>
      </c>
      <c r="D4320" s="22" t="s">
        <v>7042</v>
      </c>
      <c r="E4320" s="22" t="s">
        <v>362</v>
      </c>
      <c r="F4320" s="23" t="str">
        <f>HYPERLINK("https://www.spark-marketing.ru/Card/Lot/73198821", "Услуги общественного питания международной научной конференции «Региональные стратегии международной безопасности: Россия, ЕС и Ближний Восток» 16 октября 2019 г.")</f>
        <v>Услуги общественного питания международной научной конференции «Региональные стратегии международной безопасности: Россия, ЕС и Ближний Восток» 16 октября 2019 г.</v>
      </c>
      <c r="G4320" s="22" t="s">
        <v>82</v>
      </c>
      <c r="H4320" s="22" t="s">
        <v>83</v>
      </c>
      <c r="I4320" s="26">
        <v>43711</v>
      </c>
      <c r="J4320" s="28" t="s">
        <v>51</v>
      </c>
      <c r="K4320" s="28" t="s">
        <v>51</v>
      </c>
      <c r="L4320" s="28" t="s">
        <v>51</v>
      </c>
      <c r="M4320" s="28" t="s">
        <v>51</v>
      </c>
      <c r="N4320" s="28" t="s">
        <v>51</v>
      </c>
    </row>
    <row r="4321" spans="1:14" x14ac:dyDescent="0.15">
      <c r="A4321" s="23" t="str">
        <f>HYPERLINK("https://www.spark-marketing.ru/Card/Person/796945", "ГАУЗ ""ЭГКБ № 1""")</f>
        <v>ГАУЗ "ЭГКБ № 1"</v>
      </c>
      <c r="B4321" s="24" t="s">
        <v>2044</v>
      </c>
      <c r="C4321" s="25">
        <v>2390213.33</v>
      </c>
      <c r="D4321" s="22" t="s">
        <v>7043</v>
      </c>
      <c r="E4321" s="22" t="s">
        <v>765</v>
      </c>
      <c r="F4321" s="23" t="str">
        <f>HYPERLINK("https://www.spark-marketing.ru/Card/Lot/73199414", "Оказание услуг по приготовлению и доставке питания для пациентов государственного автономного учреждения здравоохранения «Энгельсская городская клиническая больница № 1»")</f>
        <v>Оказание услуг по приготовлению и доставке питания для пациентов государственного автономного учреждения здравоохранения «Энгельсская городская клиническая больница № 1»</v>
      </c>
      <c r="G4321" s="22" t="s">
        <v>351</v>
      </c>
      <c r="H4321" s="22" t="s">
        <v>2046</v>
      </c>
      <c r="I4321" s="26">
        <v>43711</v>
      </c>
      <c r="J4321" s="28" t="s">
        <v>51</v>
      </c>
      <c r="K4321" s="28" t="s">
        <v>51</v>
      </c>
      <c r="L4321" s="28" t="s">
        <v>51</v>
      </c>
      <c r="M4321" s="28" t="s">
        <v>51</v>
      </c>
      <c r="N4321" s="28" t="s">
        <v>51</v>
      </c>
    </row>
    <row r="4322" spans="1:14" x14ac:dyDescent="0.2">
      <c r="A4322" s="23" t="str">
        <f>HYPERLINK("https://www.spark-marketing.ru/Card/Person/1763106", "ГАУ МО ""ЦСП № 3""")</f>
        <v>ГАУ МО "ЦСП № 3"</v>
      </c>
      <c r="B4322" s="24" t="s">
        <v>7044</v>
      </c>
      <c r="C4322" s="25">
        <v>1679200</v>
      </c>
      <c r="D4322" s="22" t="s">
        <v>7045</v>
      </c>
      <c r="E4322" s="22" t="s">
        <v>7046</v>
      </c>
      <c r="F4322" s="23" t="str">
        <f>HYPERLINK("https://www.spark-marketing.ru/Card/Lot/73205724", "Оказание услуг по организации спортивных мероприятий (проживание и питание) с сентября по декабрь 2019г.")</f>
        <v>Оказание услуг по организации спортивных мероприятий (проживание и питание) с сентября по декабрь 2019г.</v>
      </c>
      <c r="G4322" s="22" t="s">
        <v>49</v>
      </c>
      <c r="H4322" s="22" t="s">
        <v>49</v>
      </c>
      <c r="I4322" s="26">
        <v>43711</v>
      </c>
      <c r="J4322" s="28" t="s">
        <v>51</v>
      </c>
      <c r="K4322" s="28" t="s">
        <v>51</v>
      </c>
      <c r="L4322" s="28" t="s">
        <v>51</v>
      </c>
      <c r="M4322" s="25">
        <v>1679200</v>
      </c>
      <c r="N4322" s="27">
        <v>0</v>
      </c>
    </row>
    <row r="4323" spans="1:14" x14ac:dyDescent="0.15">
      <c r="A4323" s="23" t="str">
        <f>HYPERLINK("https://www.spark-marketing.ru/Card/Person/1366268", "МАОУ СОШ № 3")</f>
        <v>МАОУ СОШ № 3</v>
      </c>
      <c r="B4323" s="24" t="s">
        <v>7047</v>
      </c>
      <c r="C4323" s="25">
        <v>300500</v>
      </c>
      <c r="D4323" s="22" t="s">
        <v>7048</v>
      </c>
      <c r="E4323" s="22" t="s">
        <v>362</v>
      </c>
      <c r="F4323" s="23" t="str">
        <f>HYPERLINK("https://www.spark-marketing.ru/Card/Lot/73199494", "Услуги по организации ежедневного горячего питания учащихся")</f>
        <v>Услуги по организации ежедневного горячего питания учащихся</v>
      </c>
      <c r="G4323" s="22" t="s">
        <v>469</v>
      </c>
      <c r="H4323" s="22" t="s">
        <v>469</v>
      </c>
      <c r="I4323" s="26">
        <v>43711</v>
      </c>
      <c r="J4323" s="28" t="s">
        <v>51</v>
      </c>
      <c r="K4323" s="28" t="s">
        <v>51</v>
      </c>
      <c r="L4323" s="28" t="s">
        <v>51</v>
      </c>
      <c r="M4323" s="28" t="s">
        <v>51</v>
      </c>
      <c r="N4323" s="28" t="s">
        <v>51</v>
      </c>
    </row>
    <row r="4324" spans="1:14" x14ac:dyDescent="0.15">
      <c r="A4324" s="23" t="str">
        <f>HYPERLINK("https://www.spark-marketing.ru/Card/Person/87695", "МП ""ЕДИНЫЙ ЦЕНТР МУНИЦИПАЛЬНОГО ЗАКАЗА""")</f>
        <v>МП "ЕДИНЫЙ ЦЕНТР МУНИЦИПАЛЬНОГО ЗАКАЗА"</v>
      </c>
      <c r="B4324" s="24" t="s">
        <v>7049</v>
      </c>
      <c r="C4324" s="25">
        <v>980000</v>
      </c>
      <c r="D4324" s="22" t="s">
        <v>7050</v>
      </c>
      <c r="E4324" s="22" t="s">
        <v>7051</v>
      </c>
      <c r="F4324" s="23" t="str">
        <f>HYPERLINK("https://www.spark-marketing.ru/Card/Lot/73202028", "Оказание услуг по внедрению, адаптации и модификации программы для электронно-вычислительной машины (ЭВМ) и баз данных Автоматизированной системы учета питания (АСУП), а так же услуги по сопровождeнию Системы АСУП, включающие в себя интеграцию Систем...")</f>
        <v>Оказание услуг по внедрению, адаптации и модификации программы для электронно-вычислительной машины (ЭВМ) и баз данных Автоматизированной системы учета питания (АСУП), а так же услуги по сопровождeнию Системы АСУП, включающие в себя интеграцию Систем...</v>
      </c>
      <c r="G4324" s="22" t="s">
        <v>76</v>
      </c>
      <c r="H4324" s="22" t="s">
        <v>76</v>
      </c>
      <c r="I4324" s="26">
        <v>43711</v>
      </c>
      <c r="J4324" s="28" t="s">
        <v>51</v>
      </c>
      <c r="K4324" s="28" t="s">
        <v>51</v>
      </c>
      <c r="L4324" s="28" t="s">
        <v>51</v>
      </c>
      <c r="M4324" s="28" t="s">
        <v>51</v>
      </c>
      <c r="N4324" s="28" t="s">
        <v>51</v>
      </c>
    </row>
    <row r="4325" spans="1:14" x14ac:dyDescent="0.15">
      <c r="A4325" s="23" t="str">
        <f>HYPERLINK("https://www.spark-marketing.ru/Card/Person/4346781", "ПАО ""МСЗ""")</f>
        <v>ПАО "МСЗ"</v>
      </c>
      <c r="B4325" s="24" t="s">
        <v>7052</v>
      </c>
      <c r="C4325" s="25">
        <v>4436500</v>
      </c>
      <c r="D4325" s="22" t="s">
        <v>7053</v>
      </c>
      <c r="E4325" s="22" t="s">
        <v>52</v>
      </c>
      <c r="F4325" s="23" t="str">
        <f>HYPERLINK("https://www.spark-marketing.ru/Card/Lot/73199620", "Право заключения договора на Оказание услуг по обеспечению питания делегаций")</f>
        <v>Право заключения договора на Оказание услуг по обеспечению питания делегаций</v>
      </c>
      <c r="G4325" s="22" t="s">
        <v>49</v>
      </c>
      <c r="H4325" s="22" t="s">
        <v>742</v>
      </c>
      <c r="I4325" s="26">
        <v>43711</v>
      </c>
      <c r="J4325" s="28" t="s">
        <v>51</v>
      </c>
      <c r="K4325" s="28" t="s">
        <v>51</v>
      </c>
      <c r="L4325" s="28" t="s">
        <v>51</v>
      </c>
      <c r="M4325" s="28" t="s">
        <v>51</v>
      </c>
      <c r="N4325" s="28" t="s">
        <v>51</v>
      </c>
    </row>
    <row r="4326" spans="1:14" x14ac:dyDescent="0.15">
      <c r="A4326" s="23" t="str">
        <f>HYPERLINK("https://www.spark-marketing.ru/Card/Person/73015", "ГУ-САРАТОВСКОЕ РО ФОНДА СОЦИАЛЬНОГО СТРАХОВАНИЯ РОССИЙСКОЙ ФЕДЕРАЦИИ")</f>
        <v>ГУ-САРАТОВСКОЕ РО ФОНДА СОЦИАЛЬНОГО СТРАХОВАНИЯ РОССИЙСКОЙ ФЕДЕРАЦИИ</v>
      </c>
      <c r="B4326" s="24" t="s">
        <v>7054</v>
      </c>
      <c r="C4326" s="25">
        <v>898344</v>
      </c>
      <c r="D4326" s="22" t="s">
        <v>7055</v>
      </c>
      <c r="E4326" s="22" t="s">
        <v>86</v>
      </c>
      <c r="F4326" s="23" t="str">
        <f>HYPERLINK("https://www.spark-marketing.ru/Card/Lot/73185649", "Оказание услуг по санаторно-курортному лечению граждан-получателей государственной социальной помощи в виде набора социальных услуг, а также лиц, сопровождающих граждан, имеющих инвалидность 1 группы, с болезнями эндокринной системы, расстройствами п...")</f>
        <v>Оказание услуг по санаторно-курортному лечению граждан-получателей государственной социальной помощи в виде набора социальных услуг, а также лиц, сопровождающих граждан, имеющих инвалидность 1 группы, с болезнями эндокринной системы, расстройствами п...</v>
      </c>
      <c r="G4326" s="22" t="s">
        <v>351</v>
      </c>
      <c r="H4326" s="22" t="s">
        <v>351</v>
      </c>
      <c r="I4326" s="26">
        <v>43710.852141203701</v>
      </c>
      <c r="J4326" s="23" t="str">
        <f>HYPERLINK("https://www.spark-marketing.ru/Card/Person/537515", "АО САНАТОРИЙ ""СИНЯЯ ПТИЦА""")</f>
        <v>АО САНАТОРИЙ "СИНЯЯ ПТИЦА"</v>
      </c>
      <c r="K4326" s="24" t="s">
        <v>7056</v>
      </c>
      <c r="L4326" s="22" t="s">
        <v>10</v>
      </c>
      <c r="M4326" s="28" t="s">
        <v>51</v>
      </c>
      <c r="N4326" s="28" t="s">
        <v>51</v>
      </c>
    </row>
    <row r="4327" spans="1:14" x14ac:dyDescent="0.15">
      <c r="A4327" s="23" t="str">
        <f>HYPERLINK("https://www.spark-marketing.ru/Card/Person/73015", "ГУ-САРАТОВСКОЕ РО ФОНДА СОЦИАЛЬНОГО СТРАХОВАНИЯ РОССИЙСКОЙ ФЕДЕРАЦИИ")</f>
        <v>ГУ-САРАТОВСКОЕ РО ФОНДА СОЦИАЛЬНОГО СТРАХОВАНИЯ РОССИЙСКОЙ ФЕДЕРАЦИИ</v>
      </c>
      <c r="B4327" s="24" t="s">
        <v>7054</v>
      </c>
      <c r="C4327" s="25">
        <v>898344</v>
      </c>
      <c r="D4327" s="22" t="s">
        <v>7057</v>
      </c>
      <c r="E4327" s="22" t="s">
        <v>86</v>
      </c>
      <c r="F4327" s="23" t="str">
        <f>HYPERLINK("https://www.spark-marketing.ru/Card/Lot/73185595", "Оказание услуг по санаторно-курортному лечению граждан-получателей государственной социальной помощи в виде набора социальных услуг, а также лиц, сопровождающих граждан, имеющих инвалидность 1 группы, с болезнями эндокринной системы, расстройствами п...")</f>
        <v>Оказание услуг по санаторно-курортному лечению граждан-получателей государственной социальной помощи в виде набора социальных услуг, а также лиц, сопровождающих граждан, имеющих инвалидность 1 группы, с болезнями эндокринной системы, расстройствами п...</v>
      </c>
      <c r="G4327" s="22" t="s">
        <v>351</v>
      </c>
      <c r="H4327" s="22" t="s">
        <v>351</v>
      </c>
      <c r="I4327" s="26">
        <v>43710.835567129601</v>
      </c>
      <c r="J4327" s="23" t="str">
        <f>HYPERLINK("https://www.spark-marketing.ru/Card/Person/537671", "АО ""САНАТОРИЙ ОКТЯБРЬСКОЕ УЩЕЛЬЕ""")</f>
        <v>АО "САНАТОРИЙ ОКТЯБРЬСКОЕ УЩЕЛЬЕ"</v>
      </c>
      <c r="K4327" s="24" t="s">
        <v>7058</v>
      </c>
      <c r="L4327" s="22" t="s">
        <v>10</v>
      </c>
      <c r="M4327" s="28" t="s">
        <v>51</v>
      </c>
      <c r="N4327" s="28" t="s">
        <v>51</v>
      </c>
    </row>
    <row r="4328" spans="1:14" x14ac:dyDescent="0.15">
      <c r="A4328" s="23" t="str">
        <f>HYPERLINK("https://www.spark-marketing.ru/Card/Person/88409", "МБОУ ""ГИМНАЗИЯ № 5""")</f>
        <v>МБОУ "ГИМНАЗИЯ № 5"</v>
      </c>
      <c r="B4328" s="24" t="s">
        <v>7059</v>
      </c>
      <c r="C4328" s="25">
        <v>451116</v>
      </c>
      <c r="D4328" s="22" t="s">
        <v>7060</v>
      </c>
      <c r="E4328" s="22" t="s">
        <v>48</v>
      </c>
      <c r="F4328" s="23" t="str">
        <f>HYPERLINK("https://www.spark-marketing.ru/Card/Lot/73181082", "Оказание услуги по организации школьного горячего питания льготной категории обучающихся на сентябрь 2019г.")</f>
        <v>Оказание услуги по организации школьного горячего питания льготной категории обучающихся на сентябрь 2019г.</v>
      </c>
      <c r="G4328" s="22" t="s">
        <v>49</v>
      </c>
      <c r="H4328" s="22" t="s">
        <v>6883</v>
      </c>
      <c r="I4328" s="26">
        <v>43710.826180555603</v>
      </c>
      <c r="J4328" s="28" t="s">
        <v>51</v>
      </c>
      <c r="K4328" s="28" t="s">
        <v>51</v>
      </c>
      <c r="L4328" s="28" t="s">
        <v>51</v>
      </c>
      <c r="M4328" s="28" t="s">
        <v>51</v>
      </c>
      <c r="N4328" s="28" t="s">
        <v>51</v>
      </c>
    </row>
    <row r="4329" spans="1:14" x14ac:dyDescent="0.15">
      <c r="A4329" s="23" t="str">
        <f>HYPERLINK("https://www.spark-marketing.ru/Card/Person/88409", "МБОУ ""ГИМНАЗИЯ № 5""")</f>
        <v>МБОУ "ГИМНАЗИЯ № 5"</v>
      </c>
      <c r="B4329" s="24" t="s">
        <v>7059</v>
      </c>
      <c r="C4329" s="25">
        <v>526302</v>
      </c>
      <c r="D4329" s="22" t="s">
        <v>7061</v>
      </c>
      <c r="E4329" s="22" t="s">
        <v>48</v>
      </c>
      <c r="F4329" s="23" t="str">
        <f>HYPERLINK("https://www.spark-marketing.ru/Card/Lot/73181078", "Оказание услуги по организации школьного горячего питания льготной категории обучающихся на сентябрь 2019г.")</f>
        <v>Оказание услуги по организации школьного горячего питания льготной категории обучающихся на сентябрь 2019г.</v>
      </c>
      <c r="G4329" s="22" t="s">
        <v>49</v>
      </c>
      <c r="H4329" s="22" t="s">
        <v>6883</v>
      </c>
      <c r="I4329" s="26">
        <v>43710.805011574099</v>
      </c>
      <c r="J4329" s="28" t="s">
        <v>51</v>
      </c>
      <c r="K4329" s="28" t="s">
        <v>51</v>
      </c>
      <c r="L4329" s="28" t="s">
        <v>51</v>
      </c>
      <c r="M4329" s="28" t="s">
        <v>51</v>
      </c>
      <c r="N4329" s="28" t="s">
        <v>51</v>
      </c>
    </row>
    <row r="4330" spans="1:14" x14ac:dyDescent="0.15">
      <c r="A4330" s="23" t="str">
        <f>HYPERLINK("https://www.spark-marketing.ru/Card/Person/135823", "МБОУ ""ЛИЦЕЙ №3""")</f>
        <v>МБОУ "ЛИЦЕЙ №3"</v>
      </c>
      <c r="B4330" s="24" t="s">
        <v>7062</v>
      </c>
      <c r="C4330" s="25">
        <v>420966</v>
      </c>
      <c r="D4330" s="22" t="s">
        <v>7063</v>
      </c>
      <c r="E4330" s="22" t="s">
        <v>48</v>
      </c>
      <c r="F4330" s="23" t="str">
        <f>HYPERLINK("https://www.spark-marketing.ru/Card/Lot/73179635", "Оказание услуги по организации горячего льготного питания учащихся")</f>
        <v>Оказание услуги по организации горячего льготного питания учащихся</v>
      </c>
      <c r="G4330" s="22" t="s">
        <v>49</v>
      </c>
      <c r="H4330" s="22" t="s">
        <v>6883</v>
      </c>
      <c r="I4330" s="26">
        <v>43710.773865740703</v>
      </c>
      <c r="J4330" s="28" t="s">
        <v>51</v>
      </c>
      <c r="K4330" s="28" t="s">
        <v>51</v>
      </c>
      <c r="L4330" s="28" t="s">
        <v>51</v>
      </c>
      <c r="M4330" s="28" t="s">
        <v>51</v>
      </c>
      <c r="N4330" s="28" t="s">
        <v>51</v>
      </c>
    </row>
    <row r="4331" spans="1:14" x14ac:dyDescent="0.15">
      <c r="A4331" s="23" t="str">
        <f>HYPERLINK("https://www.spark-marketing.ru/Card/Person/4374474", "ГБУ РК ""БЕЛОГОРСКИЙ ДОМ-ИНТЕРНАТ ДЛЯ ДЕТЕЙ-ИНВАЛИДОВ""")</f>
        <v>ГБУ РК "БЕЛОГОРСКИЙ ДОМ-ИНТЕРНАТ ДЛЯ ДЕТЕЙ-ИНВАЛИДОВ"</v>
      </c>
      <c r="B4331" s="24" t="s">
        <v>7064</v>
      </c>
      <c r="C4331" s="25">
        <v>4360800</v>
      </c>
      <c r="D4331" s="22" t="s">
        <v>7065</v>
      </c>
      <c r="E4331" s="22" t="s">
        <v>48</v>
      </c>
      <c r="F4331" s="23" t="str">
        <f>HYPERLINK("https://www.spark-marketing.ru/Card/Lot/73183312",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4331" s="22" t="s">
        <v>108</v>
      </c>
      <c r="H4331" s="22" t="s">
        <v>108</v>
      </c>
      <c r="I4331" s="26">
        <v>43710.762615740699</v>
      </c>
      <c r="J4331" s="23" t="str">
        <f>HYPERLINK("https://www.spark-marketing.ru/Card/Person/6171130", "Заднепровский Олег Иванович")</f>
        <v>Заднепровский Олег Иванович</v>
      </c>
      <c r="K4331" s="24" t="s">
        <v>7066</v>
      </c>
      <c r="L4331" s="22" t="s">
        <v>10</v>
      </c>
      <c r="M4331" s="28" t="s">
        <v>51</v>
      </c>
      <c r="N4331" s="28" t="s">
        <v>51</v>
      </c>
    </row>
    <row r="4332" spans="1:14" x14ac:dyDescent="0.15">
      <c r="A4332" s="23" t="str">
        <f>HYPERLINK("https://www.spark-marketing.ru/Card/Person/20208", "КГБУЗ ККОКБ ИМ. ПРОФЕССОРА П.Г.МАКАРОВА")</f>
        <v>КГБУЗ ККОКБ ИМ. ПРОФЕССОРА П.Г.МАКАРОВА</v>
      </c>
      <c r="B4332" s="24" t="s">
        <v>1784</v>
      </c>
      <c r="C4332" s="25">
        <v>499961.25</v>
      </c>
      <c r="D4332" s="22" t="s">
        <v>7067</v>
      </c>
      <c r="E4332" s="22" t="s">
        <v>48</v>
      </c>
      <c r="F4332" s="23" t="str">
        <f>HYPERLINK("https://www.spark-marketing.ru/Card/Lot/73183290", "Оказание услуг по организации и обеспечению лечебным питанием пациентов стационара (взрослых и детей)")</f>
        <v>Оказание услуг по организации и обеспечению лечебным питанием пациентов стационара (взрослых и детей)</v>
      </c>
      <c r="G4332" s="22" t="s">
        <v>281</v>
      </c>
      <c r="H4332" s="22" t="s">
        <v>1036</v>
      </c>
      <c r="I4332" s="26">
        <v>43710.756620370397</v>
      </c>
      <c r="J4332" s="23" t="str">
        <f>HYPERLINK("https://www.spark-marketing.ru/Card/Person/10897", "КГБУЗ ККБ")</f>
        <v>КГБУЗ ККБ</v>
      </c>
      <c r="K4332" s="24" t="s">
        <v>1786</v>
      </c>
      <c r="L4332" s="22" t="s">
        <v>10</v>
      </c>
      <c r="M4332" s="28" t="s">
        <v>51</v>
      </c>
      <c r="N4332" s="28" t="s">
        <v>51</v>
      </c>
    </row>
    <row r="4333" spans="1:14" x14ac:dyDescent="0.15">
      <c r="A4333" s="23" t="str">
        <f>HYPERLINK("https://www.spark-marketing.ru/Card/Person/35959", "МО МВД РОССИИ ""БЛАГОВЕЩЕНСКИЙ""")</f>
        <v>МО МВД РОССИИ "БЛАГОВЕЩЕНСКИЙ"</v>
      </c>
      <c r="B4333" s="24" t="s">
        <v>7068</v>
      </c>
      <c r="C4333" s="25">
        <v>1650000</v>
      </c>
      <c r="D4333" s="22" t="s">
        <v>7069</v>
      </c>
      <c r="E4333" s="22" t="s">
        <v>96</v>
      </c>
      <c r="F4333" s="23" t="str">
        <f>HYPERLINK("https://www.spark-marketing.ru/Card/Lot/73187253", "Оказание услуг по обеспечению 3-х разовым ежедневным горячим питанием лиц, содержащихся в ИВС МО МВД России ""Благовещенский""")</f>
        <v>Оказание услуг по обеспечению 3-х разовым ежедневным горячим питанием лиц, содержащихся в ИВС МО МВД России "Благовещенский"</v>
      </c>
      <c r="G4333" s="22" t="s">
        <v>210</v>
      </c>
      <c r="H4333" s="22" t="s">
        <v>3257</v>
      </c>
      <c r="I4333" s="26">
        <v>43710.746863425898</v>
      </c>
      <c r="J4333" s="23" t="str">
        <f>HYPERLINK("https://www.spark-marketing.ru/Card/Person/90159", "ООО ""ФАБРИКА-КУХНЯ""")</f>
        <v>ООО "ФАБРИКА-КУХНЯ"</v>
      </c>
      <c r="K4333" s="24" t="s">
        <v>7070</v>
      </c>
      <c r="L4333" s="28" t="s">
        <v>51</v>
      </c>
      <c r="M4333" s="28" t="s">
        <v>51</v>
      </c>
      <c r="N4333" s="28" t="s">
        <v>51</v>
      </c>
    </row>
    <row r="4334" spans="1:14" ht="12.75" hidden="1" outlineLevel="1" x14ac:dyDescent="0.2">
      <c r="A4334" s="23" t="str">
        <f>HYPERLINK("https://www.spark-marketing.ru/Card/Person/35959", "МО МВД РОССИИ ""БЛАГОВЕЩЕНСКИЙ""")</f>
        <v>МО МВД РОССИИ "БЛАГОВЕЩЕНСКИЙ"</v>
      </c>
      <c r="B4334" s="24" t="s">
        <v>7068</v>
      </c>
      <c r="C4334" s="25">
        <v>1650000</v>
      </c>
      <c r="D4334" s="22" t="s">
        <v>7069</v>
      </c>
      <c r="E4334" s="22" t="s">
        <v>96</v>
      </c>
      <c r="F4334" s="23" t="str">
        <f>HYPERLINK("https://www.spark-marketing.ru/Card/Lot/73187253", "Оказание услуг по обеспечению 3-х разовым ежедневным горячим питанием лиц, содержащихся в ИВС МО МВД России ""Благовещенский""")</f>
        <v>Оказание услуг по обеспечению 3-х разовым ежедневным горячим питанием лиц, содержащихся в ИВС МО МВД России "Благовещенский"</v>
      </c>
      <c r="G4334" s="22" t="s">
        <v>210</v>
      </c>
      <c r="H4334" s="22" t="s">
        <v>3257</v>
      </c>
      <c r="I4334" s="26">
        <v>43710.746863425898</v>
      </c>
      <c r="J4334" s="23" t="str">
        <f>HYPERLINK("https://www.spark-marketing.ru/Card/Person/90159", "ООО ""ФАБРИКА-КУХНЯ""")</f>
        <v>ООО "ФАБРИКА-КУХНЯ"</v>
      </c>
      <c r="K4334" s="24" t="s">
        <v>7070</v>
      </c>
      <c r="L4334" s="22" t="s">
        <v>10</v>
      </c>
      <c r="M4334" s="25">
        <v>1748.31</v>
      </c>
      <c r="N4334" s="27">
        <v>0.99894041818181822</v>
      </c>
    </row>
    <row r="4335" spans="1:14" x14ac:dyDescent="0.15">
      <c r="A4335" s="23" t="str">
        <f>HYPERLINK("https://www.spark-marketing.ru/Card/Person/56420", "ОТДЕЛ МВД РОССИИ ПО ГОРОДУ АНАПЕ")</f>
        <v>ОТДЕЛ МВД РОССИИ ПО ГОРОДУ АНАПЕ</v>
      </c>
      <c r="B4335" s="24" t="s">
        <v>7071</v>
      </c>
      <c r="C4335" s="25">
        <v>2656000</v>
      </c>
      <c r="D4335" s="22" t="s">
        <v>7072</v>
      </c>
      <c r="E4335" s="22" t="s">
        <v>48</v>
      </c>
      <c r="F4335" s="23" t="str">
        <f>HYPERLINK("https://www.spark-marketing.ru/Card/Lot/73186395", "Обеспечение питанием лиц содержащихся в изоляторе временного содержания и задержанных лиц за административные правонарушения на срок более трех часов в Отделе МВД России по городу Анапе.")</f>
        <v>Обеспечение питанием лиц содержащихся в изоляторе временного содержания и задержанных лиц за административные правонарушения на срок более трех часов в Отделе МВД России по городу Анапе.</v>
      </c>
      <c r="G4335" s="22" t="s">
        <v>104</v>
      </c>
      <c r="H4335" s="22" t="s">
        <v>104</v>
      </c>
      <c r="I4335" s="26">
        <v>43710.725196759297</v>
      </c>
      <c r="J4335" s="28" t="s">
        <v>51</v>
      </c>
      <c r="K4335" s="28" t="s">
        <v>51</v>
      </c>
      <c r="L4335" s="28" t="s">
        <v>51</v>
      </c>
      <c r="M4335" s="28" t="s">
        <v>51</v>
      </c>
      <c r="N4335" s="28" t="s">
        <v>51</v>
      </c>
    </row>
    <row r="4336" spans="1:14" ht="12.75" hidden="1" outlineLevel="1" x14ac:dyDescent="0.2">
      <c r="A4336" s="23" t="str">
        <f>HYPERLINK("https://www.spark-marketing.ru/Card/Person/56420", "ОТДЕЛ МВД РОССИИ ПО ГОРОДУ АНАПЕ")</f>
        <v>ОТДЕЛ МВД РОССИИ ПО ГОРОДУ АНАПЕ</v>
      </c>
      <c r="B4336" s="24" t="s">
        <v>7071</v>
      </c>
      <c r="C4336" s="25">
        <v>2656000</v>
      </c>
      <c r="D4336" s="22" t="s">
        <v>7072</v>
      </c>
      <c r="E4336" s="22" t="s">
        <v>48</v>
      </c>
      <c r="F4336" s="23" t="str">
        <f>HYPERLINK("https://www.spark-marketing.ru/Card/Lot/73186395", "Обеспечение питанием лиц содержащихся в изоляторе временного содержания и задержанных лиц за административные правонарушения на срок более трех часов в Отделе МВД России по городу Анапе.")</f>
        <v>Обеспечение питанием лиц содержащихся в изоляторе временного содержания и задержанных лиц за административные правонарушения на срок более трех часов в Отделе МВД России по городу Анапе.</v>
      </c>
      <c r="G4336" s="22" t="s">
        <v>104</v>
      </c>
      <c r="H4336" s="22" t="s">
        <v>104</v>
      </c>
      <c r="I4336" s="26">
        <v>43710.725196759297</v>
      </c>
      <c r="J4336" s="23" t="str">
        <f>HYPERLINK("https://www.spark-marketing.ru/Card/Person/91001", "Зайкова Елена Игорьевна")</f>
        <v>Зайкова Елена Игорьевна</v>
      </c>
      <c r="K4336" s="24" t="s">
        <v>7073</v>
      </c>
      <c r="L4336" s="22" t="s">
        <v>10</v>
      </c>
      <c r="M4336" s="25">
        <v>1826640</v>
      </c>
      <c r="N4336" s="27">
        <v>0.31225903614457834</v>
      </c>
    </row>
    <row r="4337" spans="1:14" hidden="1" outlineLevel="1" x14ac:dyDescent="0.2">
      <c r="A4337" s="23" t="str">
        <f>HYPERLINK("https://www.spark-marketing.ru/Card/Person/56420", "ОТДЕЛ МВД РОССИИ ПО ГОРОДУ АНАПЕ")</f>
        <v>ОТДЕЛ МВД РОССИИ ПО ГОРОДУ АНАПЕ</v>
      </c>
      <c r="B4337" s="24" t="s">
        <v>7071</v>
      </c>
      <c r="C4337" s="25">
        <v>2656000</v>
      </c>
      <c r="D4337" s="22" t="s">
        <v>7072</v>
      </c>
      <c r="E4337" s="22" t="s">
        <v>48</v>
      </c>
      <c r="F4337" s="23" t="str">
        <f>HYPERLINK("https://www.spark-marketing.ru/Card/Lot/73186395", "Обеспечение питанием лиц содержащихся в изоляторе временного содержания и задержанных лиц за административные правонарушения на срок более трех часов в Отделе МВД России по городу Анапе.")</f>
        <v>Обеспечение питанием лиц содержащихся в изоляторе временного содержания и задержанных лиц за административные правонарушения на срок более трех часов в Отделе МВД России по городу Анапе.</v>
      </c>
      <c r="G4337" s="22" t="s">
        <v>104</v>
      </c>
      <c r="H4337" s="22" t="s">
        <v>104</v>
      </c>
      <c r="I4337" s="26">
        <v>43710.725196759297</v>
      </c>
      <c r="J4337" s="23" t="str">
        <f>HYPERLINK("https://www.spark-marketing.ru/Card/Person/6384277", "Сенченко Нина Владимировна")</f>
        <v>Сенченко Нина Владимировна</v>
      </c>
      <c r="K4337" s="24" t="s">
        <v>6723</v>
      </c>
      <c r="L4337" s="28" t="s">
        <v>51</v>
      </c>
      <c r="M4337" s="25">
        <v>1839920</v>
      </c>
      <c r="N4337" s="27">
        <v>0.30725903614457833</v>
      </c>
    </row>
    <row r="4338" spans="1:14" x14ac:dyDescent="0.15">
      <c r="A4338" s="23" t="str">
        <f>HYPERLINK("https://www.spark-marketing.ru/Card/Person/6334", "УМВД РОССИИ ПО ПЕНЗЕНСКОЙ ОБЛАСТИ")</f>
        <v>УМВД РОССИИ ПО ПЕНЗЕНСКОЙ ОБЛАСТИ</v>
      </c>
      <c r="B4338" s="24" t="s">
        <v>7074</v>
      </c>
      <c r="C4338" s="25">
        <v>300000</v>
      </c>
      <c r="D4338" s="22" t="s">
        <v>7075</v>
      </c>
      <c r="E4338" s="22" t="s">
        <v>48</v>
      </c>
      <c r="F4338" s="23" t="str">
        <f>HYPERLINK("https://www.spark-marketing.ru/Card/Lot/73176750", "Услуги по организации горячего питания, 1 усл. ед")</f>
        <v>Услуги по организации горячего питания, 1 усл. ед</v>
      </c>
      <c r="G4338" s="22" t="s">
        <v>72</v>
      </c>
      <c r="H4338" s="22" t="s">
        <v>829</v>
      </c>
      <c r="I4338" s="26">
        <v>43710.716990740701</v>
      </c>
      <c r="J4338" s="28" t="s">
        <v>51</v>
      </c>
      <c r="K4338" s="28" t="s">
        <v>51</v>
      </c>
      <c r="L4338" s="28" t="s">
        <v>51</v>
      </c>
      <c r="M4338" s="28" t="s">
        <v>51</v>
      </c>
      <c r="N4338" s="28" t="s">
        <v>51</v>
      </c>
    </row>
    <row r="4339" spans="1:14" x14ac:dyDescent="0.15">
      <c r="A4339" s="23" t="str">
        <f>HYPERLINK("https://www.spark-marketing.ru/Card/Person/76461", "ГБОУ ""ЛИЦЕЙ-ИНТЕРНАТ ДЛЯ ОДАРЕННЫХ ДЕТЕЙ""")</f>
        <v>ГБОУ "ЛИЦЕЙ-ИНТЕРНАТ ДЛЯ ОДАРЕННЫХ ДЕТЕЙ"</v>
      </c>
      <c r="B4339" s="24" t="s">
        <v>7076</v>
      </c>
      <c r="C4339" s="25">
        <v>2379000</v>
      </c>
      <c r="D4339" s="22" t="s">
        <v>7077</v>
      </c>
      <c r="E4339" s="22" t="s">
        <v>7078</v>
      </c>
      <c r="F4339" s="23" t="str">
        <f>HYPERLINK("https://www.spark-marketing.ru/Card/Lot/73182687", "Оказание услуг по организации проживания и питания участников тематических смен «ЛЕТО IT» по передовым направлениям дискретной математики, информатики, цифровых технологий в рамках федерального проекта «Кадры для цифровой экономики» национального про...")</f>
        <v>Оказание услуг по организации проживания и питания участников тематических смен «ЛЕТО IT» по передовым направлениям дискретной математики, информатики, цифровых технологий в рамках федерального проекта «Кадры для цифровой экономики» национального про...</v>
      </c>
      <c r="G4339" s="22" t="s">
        <v>1972</v>
      </c>
      <c r="H4339" s="22" t="s">
        <v>7079</v>
      </c>
      <c r="I4339" s="26">
        <v>43710.733807870398</v>
      </c>
      <c r="J4339" s="23" t="str">
        <f>HYPERLINK("https://www.spark-marketing.ru/Card/Person/365632", "ОГУП ""ДЕТИ ПЛЮС, ОСОЛКД""")</f>
        <v>ОГУП "ДЕТИ ПЛЮС, ОСОЛКД"</v>
      </c>
      <c r="K4339" s="24" t="s">
        <v>7080</v>
      </c>
      <c r="L4339" s="22" t="s">
        <v>10</v>
      </c>
      <c r="M4339" s="28" t="s">
        <v>51</v>
      </c>
      <c r="N4339" s="28" t="s">
        <v>51</v>
      </c>
    </row>
    <row r="4340" spans="1:14" x14ac:dyDescent="0.15">
      <c r="A4340" s="23" t="str">
        <f>HYPERLINK("https://www.spark-marketing.ru/Card/Person/947616", "ГКУ ""ЦЗН Г. НЕВИННОМЫССКА""")</f>
        <v>ГКУ "ЦЗН Г. НЕВИННОМЫССКА"</v>
      </c>
      <c r="B4340" s="24" t="s">
        <v>7081</v>
      </c>
      <c r="C4340" s="25">
        <v>264000</v>
      </c>
      <c r="D4340" s="22" t="s">
        <v>7082</v>
      </c>
      <c r="E4340" s="22" t="s">
        <v>7083</v>
      </c>
      <c r="F4340" s="23" t="str">
        <f>HYPERLINK("https://www.spark-marketing.ru/Card/Lot/73184058", "Оказание образовательных услуг по профессиональному обучению по программам профессиональной переподготовки по профессии «Повар детского питания» граждан предпенсионного возраста, проживающих на территории Ставропольского края")</f>
        <v>Оказание образовательных услуг по профессиональному обучению по программам профессиональной переподготовки по профессии «Повар детского питания» граждан предпенсионного возраста, проживающих на территории Ставропольского края</v>
      </c>
      <c r="G4340" s="22" t="s">
        <v>87</v>
      </c>
      <c r="H4340" s="22" t="s">
        <v>7084</v>
      </c>
      <c r="I4340" s="26">
        <v>43710.6925694444</v>
      </c>
      <c r="J4340" s="28" t="s">
        <v>51</v>
      </c>
      <c r="K4340" s="28" t="s">
        <v>51</v>
      </c>
      <c r="L4340" s="28" t="s">
        <v>51</v>
      </c>
      <c r="M4340" s="28" t="s">
        <v>51</v>
      </c>
      <c r="N4340" s="28" t="s">
        <v>51</v>
      </c>
    </row>
    <row r="4341" spans="1:14" ht="12.75" hidden="1" outlineLevel="1" x14ac:dyDescent="0.2">
      <c r="A4341" s="23" t="str">
        <f>HYPERLINK("https://www.spark-marketing.ru/Card/Person/947616", "ГКУ ""ЦЗН Г. НЕВИННОМЫССКА""")</f>
        <v>ГКУ "ЦЗН Г. НЕВИННОМЫССКА"</v>
      </c>
      <c r="B4341" s="24" t="s">
        <v>7081</v>
      </c>
      <c r="C4341" s="25">
        <v>264000</v>
      </c>
      <c r="D4341" s="22" t="s">
        <v>7082</v>
      </c>
      <c r="E4341" s="22" t="s">
        <v>7083</v>
      </c>
      <c r="F4341" s="23" t="str">
        <f>HYPERLINK("https://www.spark-marketing.ru/Card/Lot/73184058", "Оказание образовательных услуг по профессиональному обучению по программам профессиональной переподготовки по профессии «Повар детского питания» граждан предпенсионного возраста, проживающих на территории Ставропольского края")</f>
        <v>Оказание образовательных услуг по профессиональному обучению по программам профессиональной переподготовки по профессии «Повар детского питания» граждан предпенсионного возраста, проживающих на территории Ставропольского края</v>
      </c>
      <c r="G4341" s="22" t="s">
        <v>87</v>
      </c>
      <c r="H4341" s="22" t="s">
        <v>7084</v>
      </c>
      <c r="I4341" s="26">
        <v>43710.6925694444</v>
      </c>
      <c r="J4341" s="23" t="str">
        <f>HYPERLINK("https://www.spark-marketing.ru/Card/Person/6514531", "ЧОУ ДПО ""СК УЦ ЛИДЕР""")</f>
        <v>ЧОУ ДПО "СК УЦ ЛИДЕР"</v>
      </c>
      <c r="K4341" s="24" t="s">
        <v>7085</v>
      </c>
      <c r="L4341" s="22" t="s">
        <v>10</v>
      </c>
      <c r="M4341" s="25">
        <v>80020.13</v>
      </c>
      <c r="N4341" s="27">
        <v>0.69689344696969702</v>
      </c>
    </row>
    <row r="4342" spans="1:14" hidden="1" outlineLevel="1" x14ac:dyDescent="0.2">
      <c r="A4342" s="23" t="str">
        <f>HYPERLINK("https://www.spark-marketing.ru/Card/Person/947616", "ГКУ ""ЦЗН Г. НЕВИННОМЫССКА""")</f>
        <v>ГКУ "ЦЗН Г. НЕВИННОМЫССКА"</v>
      </c>
      <c r="B4342" s="24" t="s">
        <v>7081</v>
      </c>
      <c r="C4342" s="25">
        <v>264000</v>
      </c>
      <c r="D4342" s="22" t="s">
        <v>7082</v>
      </c>
      <c r="E4342" s="22" t="s">
        <v>7083</v>
      </c>
      <c r="F4342" s="23" t="str">
        <f>HYPERLINK("https://www.spark-marketing.ru/Card/Lot/73184058", "Оказание образовательных услуг по профессиональному обучению по программам профессиональной переподготовки по профессии «Повар детского питания» граждан предпенсионного возраста, проживающих на территории Ставропольского края")</f>
        <v>Оказание образовательных услуг по профессиональному обучению по программам профессиональной переподготовки по профессии «Повар детского питания» граждан предпенсионного возраста, проживающих на территории Ставропольского края</v>
      </c>
      <c r="G4342" s="22" t="s">
        <v>87</v>
      </c>
      <c r="H4342" s="22" t="s">
        <v>7084</v>
      </c>
      <c r="I4342" s="26">
        <v>43710.6925694444</v>
      </c>
      <c r="J4342" s="23" t="str">
        <f>HYPERLINK("https://www.spark-marketing.ru/Card/Person/186734", "СКИПК")</f>
        <v>СКИПК</v>
      </c>
      <c r="K4342" s="24" t="s">
        <v>7086</v>
      </c>
      <c r="L4342" s="28" t="s">
        <v>51</v>
      </c>
      <c r="M4342" s="25">
        <v>82746</v>
      </c>
      <c r="N4342" s="27">
        <v>0.6865681818181818</v>
      </c>
    </row>
    <row r="4343" spans="1:14" x14ac:dyDescent="0.15">
      <c r="A4343" s="23" t="str">
        <f>HYPERLINK("https://www.spark-marketing.ru/Card/Person/4365627", "ООО ""РН-БУРЕНИЕ""")</f>
        <v>ООО "РН-БУРЕНИЕ"</v>
      </c>
      <c r="B4343" s="24" t="s">
        <v>7087</v>
      </c>
      <c r="C4343" s="25">
        <v>3723148.8</v>
      </c>
      <c r="D4343" s="22" t="s">
        <v>7088</v>
      </c>
      <c r="E4343" s="22" t="s">
        <v>362</v>
      </c>
      <c r="F4343" s="23" t="str">
        <f>HYPERLINK("https://www.spark-marketing.ru/Card/Lot/73176951", "Оказание услуг по организации питания работников буровых бригад для Краснодарского филиала ООО ""РН-Бурение""")</f>
        <v>Оказание услуг по организации питания работников буровых бригад для Краснодарского филиала ООО "РН-Бурение"</v>
      </c>
      <c r="G4343" s="22" t="s">
        <v>56</v>
      </c>
      <c r="H4343" s="22" t="s">
        <v>56</v>
      </c>
      <c r="I4343" s="26">
        <v>43710.667361111096</v>
      </c>
      <c r="J4343" s="28" t="s">
        <v>51</v>
      </c>
      <c r="K4343" s="28" t="s">
        <v>51</v>
      </c>
      <c r="L4343" s="28" t="s">
        <v>51</v>
      </c>
      <c r="M4343" s="28" t="s">
        <v>51</v>
      </c>
      <c r="N4343" s="28" t="s">
        <v>51</v>
      </c>
    </row>
    <row r="4344" spans="1:14" x14ac:dyDescent="0.15">
      <c r="A4344" s="23" t="str">
        <f>HYPERLINK("https://www.spark-marketing.ru/Card/Person/4686", "ГУ - ХАБАРОВСКОЕ РО ФОНДА СОЦИАЛЬНОГО СТРАХОВАНИЯ РОССИЙСКОЙ ФЕДЕРАЦИИ")</f>
        <v>ГУ - ХАБАРОВСКОЕ РО ФОНДА СОЦИАЛЬНОГО СТРАХОВАНИЯ РОССИЙСКОЙ ФЕДЕРАЦИИ</v>
      </c>
      <c r="B4344" s="24" t="s">
        <v>7089</v>
      </c>
      <c r="C4344" s="25">
        <v>830968.2</v>
      </c>
      <c r="D4344" s="22" t="s">
        <v>7090</v>
      </c>
      <c r="E4344" s="22" t="s">
        <v>86</v>
      </c>
      <c r="F4344" s="23" t="str">
        <f>HYPERLINK("https://www.spark-marketing.ru/Card/Lot/73184752", "Оказание услуг в 2019 году по организации санаторно-курортного лечения граждан - получателей государственной социальной помощи и сопровождающих их лиц, в том числе передвигающихся на кресло-колясках (кроме детей-инвалидов) по Классу VI МКБ-10 «Болезн...")</f>
        <v>Оказание услуг в 2019 году по организации санаторно-курортного лечения граждан - получателей государственной социальной помощи и сопровождающих их лиц, в том числе передвигающихся на кресло-колясках (кроме детей-инвалидов) по Классу VI МКБ-10 «Болезн...</v>
      </c>
      <c r="G4344" s="22" t="s">
        <v>1096</v>
      </c>
      <c r="H4344" s="22" t="s">
        <v>1097</v>
      </c>
      <c r="I4344" s="26">
        <v>43710.683460648099</v>
      </c>
      <c r="J4344" s="28" t="s">
        <v>51</v>
      </c>
      <c r="K4344" s="28" t="s">
        <v>51</v>
      </c>
      <c r="L4344" s="28" t="s">
        <v>51</v>
      </c>
      <c r="M4344" s="28" t="s">
        <v>51</v>
      </c>
      <c r="N4344" s="28" t="s">
        <v>51</v>
      </c>
    </row>
    <row r="4345" spans="1:14" hidden="1" outlineLevel="1" x14ac:dyDescent="0.2">
      <c r="A4345" s="23" t="str">
        <f>HYPERLINK("https://www.spark-marketing.ru/Card/Person/4686", "ГУ - ХАБАРОВСКОЕ РО ФОНДА СОЦИАЛЬНОГО СТРАХОВАНИЯ РОССИЙСКОЙ ФЕДЕРАЦИИ")</f>
        <v>ГУ - ХАБАРОВСКОЕ РО ФОНДА СОЦИАЛЬНОГО СТРАХОВАНИЯ РОССИЙСКОЙ ФЕДЕРАЦИИ</v>
      </c>
      <c r="B4345" s="24" t="s">
        <v>7089</v>
      </c>
      <c r="C4345" s="25">
        <v>830968.2</v>
      </c>
      <c r="D4345" s="22" t="s">
        <v>7090</v>
      </c>
      <c r="E4345" s="22" t="s">
        <v>86</v>
      </c>
      <c r="F4345" s="23" t="str">
        <f>HYPERLINK("https://www.spark-marketing.ru/Card/Lot/73184752", "Оказание услуг в 2019 году по организации санаторно-курортного лечения граждан - получателей государственной социальной помощи и сопровождающих их лиц, в том числе передвигающихся на кресло-колясках (кроме детей-инвалидов) по Классу VI МКБ-10 «Болезн...")</f>
        <v>Оказание услуг в 2019 году по организации санаторно-курортного лечения граждан - получателей государственной социальной помощи и сопровождающих их лиц, в том числе передвигающихся на кресло-колясках (кроме детей-инвалидов) по Классу VI МКБ-10 «Болезн...</v>
      </c>
      <c r="G4345" s="22" t="s">
        <v>1096</v>
      </c>
      <c r="H4345" s="22" t="s">
        <v>1097</v>
      </c>
      <c r="I4345" s="26">
        <v>43710.683460648099</v>
      </c>
      <c r="J4345" s="23" t="str">
        <f>HYPERLINK("https://www.spark-marketing.ru/Card/Person/109312", "ООО САНАТОРИЙ ""ДОЛИНСК""")</f>
        <v>ООО САНАТОРИЙ "ДОЛИНСК"</v>
      </c>
      <c r="K4345" s="24" t="s">
        <v>7091</v>
      </c>
      <c r="L4345" s="28" t="s">
        <v>51</v>
      </c>
      <c r="M4345" s="25">
        <v>714561.28</v>
      </c>
      <c r="N4345" s="27">
        <v>0.14008589017004502</v>
      </c>
    </row>
    <row r="4346" spans="1:14" hidden="1" outlineLevel="1" x14ac:dyDescent="0.2">
      <c r="A4346" s="23" t="str">
        <f>HYPERLINK("https://www.spark-marketing.ru/Card/Person/4686", "ГУ - ХАБАРОВСКОЕ РО ФОНДА СОЦИАЛЬНОГО СТРАХОВАНИЯ РОССИЙСКОЙ ФЕДЕРАЦИИ")</f>
        <v>ГУ - ХАБАРОВСКОЕ РО ФОНДА СОЦИАЛЬНОГО СТРАХОВАНИЯ РОССИЙСКОЙ ФЕДЕРАЦИИ</v>
      </c>
      <c r="B4346" s="24" t="s">
        <v>7089</v>
      </c>
      <c r="C4346" s="25">
        <v>830968.2</v>
      </c>
      <c r="D4346" s="22" t="s">
        <v>7090</v>
      </c>
      <c r="E4346" s="22" t="s">
        <v>86</v>
      </c>
      <c r="F4346" s="23" t="str">
        <f>HYPERLINK("https://www.spark-marketing.ru/Card/Lot/73184752", "Оказание услуг в 2019 году по организации санаторно-курортного лечения граждан - получателей государственной социальной помощи и сопровождающих их лиц, в том числе передвигающихся на кресло-колясках (кроме детей-инвалидов) по Классу VI МКБ-10 «Болезн...")</f>
        <v>Оказание услуг в 2019 году по организации санаторно-курортного лечения граждан - получателей государственной социальной помощи и сопровождающих их лиц, в том числе передвигающихся на кресло-колясках (кроме детей-инвалидов) по Классу VI МКБ-10 «Болезн...</v>
      </c>
      <c r="G4346" s="22" t="s">
        <v>1096</v>
      </c>
      <c r="H4346" s="22" t="s">
        <v>1097</v>
      </c>
      <c r="I4346" s="26">
        <v>43710.683460648099</v>
      </c>
      <c r="J4346" s="23" t="str">
        <f>HYPERLINK("https://www.spark-marketing.ru/Card/Person/5859440", "ООО ""ГОЛУБАЯ ВОЛНА""")</f>
        <v>ООО "ГОЛУБАЯ ВОЛНА"</v>
      </c>
      <c r="K4346" s="24" t="s">
        <v>7092</v>
      </c>
      <c r="L4346" s="28" t="s">
        <v>51</v>
      </c>
      <c r="M4346" s="25">
        <v>789419.7</v>
      </c>
      <c r="N4346" s="27">
        <v>5.0000108307393709E-2</v>
      </c>
    </row>
    <row r="4347" spans="1:14" ht="12.75" hidden="1" outlineLevel="1" x14ac:dyDescent="0.2">
      <c r="A4347" s="23" t="str">
        <f>HYPERLINK("https://www.spark-marketing.ru/Card/Person/4686", "ГУ - ХАБАРОВСКОЕ РО ФОНДА СОЦИАЛЬНОГО СТРАХОВАНИЯ РОССИЙСКОЙ ФЕДЕРАЦИИ")</f>
        <v>ГУ - ХАБАРОВСКОЕ РО ФОНДА СОЦИАЛЬНОГО СТРАХОВАНИЯ РОССИЙСКОЙ ФЕДЕРАЦИИ</v>
      </c>
      <c r="B4347" s="24" t="s">
        <v>7089</v>
      </c>
      <c r="C4347" s="25">
        <v>830968.2</v>
      </c>
      <c r="D4347" s="22" t="s">
        <v>7090</v>
      </c>
      <c r="E4347" s="22" t="s">
        <v>86</v>
      </c>
      <c r="F4347" s="23" t="str">
        <f>HYPERLINK("https://www.spark-marketing.ru/Card/Lot/73184752", "Оказание услуг в 2019 году по организации санаторно-курортного лечения граждан - получателей государственной социальной помощи и сопровождающих их лиц, в том числе передвигающихся на кресло-колясках (кроме детей-инвалидов) по Классу VI МКБ-10 «Болезн...")</f>
        <v>Оказание услуг в 2019 году по организации санаторно-курортного лечения граждан - получателей государственной социальной помощи и сопровождающих их лиц, в том числе передвигающихся на кресло-колясках (кроме детей-инвалидов) по Классу VI МКБ-10 «Болезн...</v>
      </c>
      <c r="G4347" s="22" t="s">
        <v>1096</v>
      </c>
      <c r="H4347" s="22" t="s">
        <v>1097</v>
      </c>
      <c r="I4347" s="26">
        <v>43710.683460648099</v>
      </c>
      <c r="J4347" s="23" t="str">
        <f>HYPERLINK("https://www.spark-marketing.ru/Card/Person/177813", "ООО ""КСКК ""АКВАЛОО""")</f>
        <v>ООО "КСКК "АКВАЛОО"</v>
      </c>
      <c r="K4347" s="24" t="s">
        <v>4517</v>
      </c>
      <c r="L4347" s="22" t="s">
        <v>10</v>
      </c>
      <c r="M4347" s="25">
        <v>710406.44</v>
      </c>
      <c r="N4347" s="27">
        <v>0.14508588896662952</v>
      </c>
    </row>
    <row r="4348" spans="1:14" x14ac:dyDescent="0.15">
      <c r="A4348" s="23" t="str">
        <f>HYPERLINK("https://www.spark-marketing.ru/Card/Person/6158145", "МИНТРУДА И СОЦРАЗВИТИЯ НСО")</f>
        <v>МИНТРУДА И СОЦРАЗВИТИЯ НСО</v>
      </c>
      <c r="B4348" s="24" t="s">
        <v>977</v>
      </c>
      <c r="C4348" s="25">
        <v>303800</v>
      </c>
      <c r="D4348" s="22" t="s">
        <v>7093</v>
      </c>
      <c r="E4348" s="22" t="s">
        <v>51</v>
      </c>
      <c r="F4348" s="23" t="str">
        <f>HYPERLINK("https://www.spark-marketing.ru/Card/Lot/73184472", "Оказание услуг по санаторно-курортному лечению ветеранов труда, количество путевок - 14 шт., с заболеваниями опорно-двигательного аппарата, расстройством питания и нарушением обмена веществ, гинекологическими заболеваниями")</f>
        <v>Оказание услуг по санаторно-курортному лечению ветеранов труда, количество путевок - 14 шт., с заболеваниями опорно-двигательного аппарата, расстройством питания и нарушением обмена веществ, гинекологическими заболеваниями</v>
      </c>
      <c r="G4348" s="22" t="s">
        <v>195</v>
      </c>
      <c r="H4348" s="22" t="s">
        <v>196</v>
      </c>
      <c r="I4348" s="26">
        <v>43710.678495370397</v>
      </c>
      <c r="J4348" s="23" t="str">
        <f>HYPERLINK("https://www.spark-marketing.ru/Card/Person/385400", "ООО ПАНСИОНАТ ""ЛЕСНАЯ СКАЗКА""")</f>
        <v>ООО ПАНСИОНАТ "ЛЕСНАЯ СКАЗКА"</v>
      </c>
      <c r="K4348" s="24" t="s">
        <v>7094</v>
      </c>
      <c r="L4348" s="22" t="s">
        <v>10</v>
      </c>
      <c r="M4348" s="28" t="s">
        <v>51</v>
      </c>
      <c r="N4348" s="28" t="s">
        <v>51</v>
      </c>
    </row>
    <row r="4349" spans="1:14" x14ac:dyDescent="0.15">
      <c r="A4349" s="23" t="str">
        <f>HYPERLINK("https://www.spark-marketing.ru/Card/Person/58262", "Самарский филиал ФГБОУ ВО ""ВГУВТ""")</f>
        <v>Самарский филиал ФГБОУ ВО "ВГУВТ"</v>
      </c>
      <c r="B4349" s="24" t="s">
        <v>7095</v>
      </c>
      <c r="C4349" s="25">
        <v>2087600</v>
      </c>
      <c r="D4349" s="22" t="s">
        <v>7096</v>
      </c>
      <c r="E4349" s="22" t="s">
        <v>48</v>
      </c>
      <c r="F4349" s="23" t="str">
        <f>HYPERLINK("https://www.spark-marketing.ru/Card/Lot/73188350", "Оказание услуг по обеспечению готовым (привозным) горячим питанием студентов")</f>
        <v>Оказание услуг по обеспечению готовым (привозным) горячим питанием студентов</v>
      </c>
      <c r="G4349" s="22" t="s">
        <v>128</v>
      </c>
      <c r="H4349" s="22" t="s">
        <v>129</v>
      </c>
      <c r="I4349" s="26">
        <v>43710.686504629601</v>
      </c>
      <c r="J4349" s="28" t="s">
        <v>51</v>
      </c>
      <c r="K4349" s="28" t="s">
        <v>51</v>
      </c>
      <c r="L4349" s="28" t="s">
        <v>51</v>
      </c>
      <c r="M4349" s="28" t="s">
        <v>51</v>
      </c>
      <c r="N4349" s="28" t="s">
        <v>51</v>
      </c>
    </row>
    <row r="4350" spans="1:14" hidden="1" outlineLevel="1" x14ac:dyDescent="0.2">
      <c r="A4350" s="23" t="str">
        <f>HYPERLINK("https://www.spark-marketing.ru/Card/Person/58262", "Самарский филиал ФГБОУ ВО ""ВГУВТ""")</f>
        <v>Самарский филиал ФГБОУ ВО "ВГУВТ"</v>
      </c>
      <c r="B4350" s="24" t="s">
        <v>7095</v>
      </c>
      <c r="C4350" s="25">
        <v>2087600</v>
      </c>
      <c r="D4350" s="22" t="s">
        <v>7096</v>
      </c>
      <c r="E4350" s="22" t="s">
        <v>48</v>
      </c>
      <c r="F4350" s="23" t="str">
        <f>HYPERLINK("https://www.spark-marketing.ru/Card/Lot/73188350", "Оказание услуг по обеспечению готовым (привозным) горячим питанием студентов")</f>
        <v>Оказание услуг по обеспечению готовым (привозным) горячим питанием студентов</v>
      </c>
      <c r="G4350" s="22" t="s">
        <v>128</v>
      </c>
      <c r="H4350" s="22" t="s">
        <v>129</v>
      </c>
      <c r="I4350" s="26">
        <v>43710.686504629601</v>
      </c>
      <c r="J4350" s="23" t="str">
        <f>HYPERLINK("https://www.spark-marketing.ru/Card/Person/2395558", "ООО ""РЕСТОРИЯ""")</f>
        <v>ООО "РЕСТОРИЯ"</v>
      </c>
      <c r="K4350" s="24" t="s">
        <v>2093</v>
      </c>
      <c r="L4350" s="28" t="s">
        <v>51</v>
      </c>
      <c r="M4350" s="25">
        <v>1388254</v>
      </c>
      <c r="N4350" s="27">
        <v>0.33500000000000002</v>
      </c>
    </row>
    <row r="4351" spans="1:14" hidden="1" outlineLevel="1" x14ac:dyDescent="0.2">
      <c r="A4351" s="23" t="str">
        <f>HYPERLINK("https://www.spark-marketing.ru/Card/Person/58262", "Самарский филиал ФГБОУ ВО ""ВГУВТ""")</f>
        <v>Самарский филиал ФГБОУ ВО "ВГУВТ"</v>
      </c>
      <c r="B4351" s="24" t="s">
        <v>7095</v>
      </c>
      <c r="C4351" s="25">
        <v>2087600</v>
      </c>
      <c r="D4351" s="22" t="s">
        <v>7096</v>
      </c>
      <c r="E4351" s="22" t="s">
        <v>48</v>
      </c>
      <c r="F4351" s="23" t="str">
        <f>HYPERLINK("https://www.spark-marketing.ru/Card/Lot/73188350", "Оказание услуг по обеспечению готовым (привозным) горячим питанием студентов")</f>
        <v>Оказание услуг по обеспечению готовым (привозным) горячим питанием студентов</v>
      </c>
      <c r="G4351" s="22" t="s">
        <v>128</v>
      </c>
      <c r="H4351" s="22" t="s">
        <v>129</v>
      </c>
      <c r="I4351" s="26">
        <v>43710.686504629601</v>
      </c>
      <c r="J4351" s="23" t="str">
        <f>HYPERLINK("https://www.spark-marketing.ru/Card/Person/1282238", "ООО ""ФАРАОН""")</f>
        <v>ООО "ФАРАОН"</v>
      </c>
      <c r="K4351" s="24" t="s">
        <v>7097</v>
      </c>
      <c r="L4351" s="28" t="s">
        <v>51</v>
      </c>
      <c r="M4351" s="25">
        <v>699346</v>
      </c>
      <c r="N4351" s="27">
        <v>0.66500000000000004</v>
      </c>
    </row>
    <row r="4352" spans="1:14" ht="12.75" hidden="1" outlineLevel="1" x14ac:dyDescent="0.2">
      <c r="A4352" s="23" t="str">
        <f>HYPERLINK("https://www.spark-marketing.ru/Card/Person/58262", "Самарский филиал ФГБОУ ВО ""ВГУВТ""")</f>
        <v>Самарский филиал ФГБОУ ВО "ВГУВТ"</v>
      </c>
      <c r="B4352" s="24" t="s">
        <v>7095</v>
      </c>
      <c r="C4352" s="25">
        <v>2087600</v>
      </c>
      <c r="D4352" s="22" t="s">
        <v>7096</v>
      </c>
      <c r="E4352" s="22" t="s">
        <v>48</v>
      </c>
      <c r="F4352" s="23" t="str">
        <f>HYPERLINK("https://www.spark-marketing.ru/Card/Lot/73188350", "Оказание услуг по обеспечению готовым (привозным) горячим питанием студентов")</f>
        <v>Оказание услуг по обеспечению готовым (привозным) горячим питанием студентов</v>
      </c>
      <c r="G4352" s="22" t="s">
        <v>128</v>
      </c>
      <c r="H4352" s="22" t="s">
        <v>129</v>
      </c>
      <c r="I4352" s="26">
        <v>43710.686504629601</v>
      </c>
      <c r="J4352" s="23" t="str">
        <f>HYPERLINK("https://www.spark-marketing.ru/Card/Person/6288850", "ООО ""ЭКОСФЕРА""")</f>
        <v>ООО "ЭКОСФЕРА"</v>
      </c>
      <c r="K4352" s="24" t="s">
        <v>7098</v>
      </c>
      <c r="L4352" s="22" t="s">
        <v>10</v>
      </c>
      <c r="M4352" s="25">
        <v>688908</v>
      </c>
      <c r="N4352" s="27">
        <v>0.67</v>
      </c>
    </row>
    <row r="4353" spans="1:14" x14ac:dyDescent="0.15">
      <c r="A4353" s="23" t="str">
        <f>HYPERLINK("https://www.spark-marketing.ru/Card/Person/4344472", "МИНИСТЕРСТВО ЭКОНОМИКИ РЕСПУБЛИКИ САХА (ЯКУТИЯ)")</f>
        <v>МИНИСТЕРСТВО ЭКОНОМИКИ РЕСПУБЛИКИ САХА (ЯКУТИЯ)</v>
      </c>
      <c r="B4353" s="24" t="s">
        <v>7099</v>
      </c>
      <c r="C4353" s="25">
        <v>290000</v>
      </c>
      <c r="D4353" s="22" t="s">
        <v>7100</v>
      </c>
      <c r="E4353" s="22" t="s">
        <v>91</v>
      </c>
      <c r="F4353" s="23" t="str">
        <f>HYPERLINK("https://www.spark-marketing.ru/Card/Lot/73188414", "Оказание услуг по техническому обслуживанию, ремонту вычислительной и оргтехники")</f>
        <v>Оказание услуг по техническому обслуживанию, ремонту вычислительной и оргтехники</v>
      </c>
      <c r="G4353" s="22" t="s">
        <v>241</v>
      </c>
      <c r="H4353" s="22" t="s">
        <v>242</v>
      </c>
      <c r="I4353" s="26">
        <v>43710.693680555603</v>
      </c>
      <c r="J4353" s="28" t="s">
        <v>51</v>
      </c>
      <c r="K4353" s="28" t="s">
        <v>51</v>
      </c>
      <c r="L4353" s="28" t="s">
        <v>51</v>
      </c>
      <c r="M4353" s="28" t="s">
        <v>51</v>
      </c>
      <c r="N4353" s="28" t="s">
        <v>51</v>
      </c>
    </row>
    <row r="4354" spans="1:14" hidden="1" outlineLevel="1" x14ac:dyDescent="0.2">
      <c r="A4354" s="23" t="str">
        <f>HYPERLINK("https://www.spark-marketing.ru/Card/Person/4344472", "МИНИСТЕРСТВО ЭКОНОМИКИ РЕСПУБЛИКИ САХА (ЯКУТИЯ)")</f>
        <v>МИНИСТЕРСТВО ЭКОНОМИКИ РЕСПУБЛИКИ САХА (ЯКУТИЯ)</v>
      </c>
      <c r="B4354" s="24" t="s">
        <v>7099</v>
      </c>
      <c r="C4354" s="25">
        <v>290000</v>
      </c>
      <c r="D4354" s="22" t="s">
        <v>7100</v>
      </c>
      <c r="E4354" s="22" t="s">
        <v>91</v>
      </c>
      <c r="F4354" s="23" t="str">
        <f>HYPERLINK("https://www.spark-marketing.ru/Card/Lot/73188414", "Оказание услуг по техническому обслуживанию, ремонту вычислительной и оргтехники")</f>
        <v>Оказание услуг по техническому обслуживанию, ремонту вычислительной и оргтехники</v>
      </c>
      <c r="G4354" s="22" t="s">
        <v>241</v>
      </c>
      <c r="H4354" s="22" t="s">
        <v>242</v>
      </c>
      <c r="I4354" s="26">
        <v>43710.693680555603</v>
      </c>
      <c r="J4354" s="23" t="str">
        <f>HYPERLINK("https://www.spark-marketing.ru/Card/Person/243820", "ООО ""ДИСПЛЕЙ-СЕРВИС""")</f>
        <v>ООО "ДИСПЛЕЙ-СЕРВИС"</v>
      </c>
      <c r="K4354" s="24" t="s">
        <v>7101</v>
      </c>
      <c r="L4354" s="28" t="s">
        <v>51</v>
      </c>
      <c r="M4354" s="25">
        <v>45149.99</v>
      </c>
      <c r="N4354" s="27">
        <v>0.84431037931034481</v>
      </c>
    </row>
    <row r="4355" spans="1:14" ht="12.75" hidden="1" outlineLevel="1" x14ac:dyDescent="0.2">
      <c r="A4355" s="23" t="str">
        <f>HYPERLINK("https://www.spark-marketing.ru/Card/Person/4344472", "МИНИСТЕРСТВО ЭКОНОМИКИ РЕСПУБЛИКИ САХА (ЯКУТИЯ)")</f>
        <v>МИНИСТЕРСТВО ЭКОНОМИКИ РЕСПУБЛИКИ САХА (ЯКУТИЯ)</v>
      </c>
      <c r="B4355" s="24" t="s">
        <v>7099</v>
      </c>
      <c r="C4355" s="25">
        <v>290000</v>
      </c>
      <c r="D4355" s="22" t="s">
        <v>7100</v>
      </c>
      <c r="E4355" s="22" t="s">
        <v>91</v>
      </c>
      <c r="F4355" s="23" t="str">
        <f>HYPERLINK("https://www.spark-marketing.ru/Card/Lot/73188414", "Оказание услуг по техническому обслуживанию, ремонту вычислительной и оргтехники")</f>
        <v>Оказание услуг по техническому обслуживанию, ремонту вычислительной и оргтехники</v>
      </c>
      <c r="G4355" s="22" t="s">
        <v>241</v>
      </c>
      <c r="H4355" s="22" t="s">
        <v>242</v>
      </c>
      <c r="I4355" s="26">
        <v>43710.693680555603</v>
      </c>
      <c r="J4355" s="23" t="str">
        <f>HYPERLINK("https://www.spark-marketing.ru/Card/Person/180603", "ООО ""СК - КТС""")</f>
        <v>ООО "СК - КТС"</v>
      </c>
      <c r="K4355" s="24" t="s">
        <v>7102</v>
      </c>
      <c r="L4355" s="22" t="s">
        <v>10</v>
      </c>
      <c r="M4355" s="25">
        <v>44796</v>
      </c>
      <c r="N4355" s="27">
        <v>0.84553103448275857</v>
      </c>
    </row>
    <row r="4356" spans="1:14" x14ac:dyDescent="0.2">
      <c r="A4356" s="23" t="str">
        <f>HYPERLINK("https://www.spark-marketing.ru/Card/Person/4372008", "МБОУ ХАНТЫ-МАНСИЙСКОГО РАЙОНА СОШ П.ГОРНОПРАВДИНСК")</f>
        <v>МБОУ ХАНТЫ-МАНСИЙСКОГО РАЙОНА СОШ П.ГОРНОПРАВДИНСК</v>
      </c>
      <c r="B4356" s="24" t="s">
        <v>7103</v>
      </c>
      <c r="C4356" s="25">
        <v>1524969.6</v>
      </c>
      <c r="D4356" s="22" t="s">
        <v>7104</v>
      </c>
      <c r="E4356" s="22" t="s">
        <v>48</v>
      </c>
      <c r="F4356" s="23" t="str">
        <f>HYPERLINK("https://www.spark-marketing.ru/Card/Lot/73186137", "Оказание услуг по организации горячего питания")</f>
        <v>Оказание услуг по организации горячего питания</v>
      </c>
      <c r="G4356" s="22" t="s">
        <v>97</v>
      </c>
      <c r="H4356" s="22" t="s">
        <v>7105</v>
      </c>
      <c r="I4356" s="26">
        <v>43710.737199074101</v>
      </c>
      <c r="J4356" s="23" t="str">
        <f>HYPERLINK("https://www.spark-marketing.ru/Card/Person/4563327", "Поступинская Марина Сергеевна")</f>
        <v>Поступинская Марина Сергеевна</v>
      </c>
      <c r="K4356" s="24" t="s">
        <v>7106</v>
      </c>
      <c r="L4356" s="28" t="s">
        <v>51</v>
      </c>
      <c r="M4356" s="25">
        <v>1524969.6</v>
      </c>
      <c r="N4356" s="27">
        <v>0</v>
      </c>
    </row>
    <row r="4357" spans="1:14" x14ac:dyDescent="0.15">
      <c r="A4357" s="23" t="str">
        <f>HYPERLINK("https://www.spark-marketing.ru/Card/Person/4346919", "ГБУЗ ТО ""ОБЛАСТНОЙ ПРОТИВОТУБЕРКУЛЕЗНЫЙ ДИСПАНСЕР""")</f>
        <v>ГБУЗ ТО "ОБЛАСТНОЙ ПРОТИВОТУБЕРКУЛЕЗНЫЙ ДИСПАНСЕР"</v>
      </c>
      <c r="B4357" s="24" t="s">
        <v>4120</v>
      </c>
      <c r="C4357" s="25">
        <v>30641750</v>
      </c>
      <c r="D4357" s="22" t="s">
        <v>7107</v>
      </c>
      <c r="E4357" s="22" t="s">
        <v>96</v>
      </c>
      <c r="F4357" s="23" t="str">
        <f>HYPERLINK("https://www.spark-marketing.ru/Card/Lot/73183528", "оказание услуг по обеспечению горячим питанием пациентов ГБУЗ ТО «Областной противотуберкулезный диспансер»")</f>
        <v>оказание услуг по обеспечению горячим питанием пациентов ГБУЗ ТО «Областной противотуберкулезный диспансер»</v>
      </c>
      <c r="G4357" s="22" t="s">
        <v>766</v>
      </c>
      <c r="H4357" s="22" t="s">
        <v>1028</v>
      </c>
      <c r="I4357" s="26">
        <v>43710.6307407407</v>
      </c>
      <c r="J4357" s="28" t="s">
        <v>51</v>
      </c>
      <c r="K4357" s="28" t="s">
        <v>51</v>
      </c>
      <c r="L4357" s="28" t="s">
        <v>51</v>
      </c>
      <c r="M4357" s="28" t="s">
        <v>51</v>
      </c>
      <c r="N4357" s="28" t="s">
        <v>51</v>
      </c>
    </row>
    <row r="4358" spans="1:14" ht="12.75" hidden="1" outlineLevel="1" x14ac:dyDescent="0.2">
      <c r="A4358" s="23" t="str">
        <f>HYPERLINK("https://www.spark-marketing.ru/Card/Person/4346919", "ГБУЗ ТО ""ОБЛАСТНОЙ ПРОТИВОТУБЕРКУЛЕЗНЫЙ ДИСПАНСЕР""")</f>
        <v>ГБУЗ ТО "ОБЛАСТНОЙ ПРОТИВОТУБЕРКУЛЕЗНЫЙ ДИСПАНСЕР"</v>
      </c>
      <c r="B4358" s="24" t="s">
        <v>4120</v>
      </c>
      <c r="C4358" s="25">
        <v>30641750</v>
      </c>
      <c r="D4358" s="22" t="s">
        <v>7107</v>
      </c>
      <c r="E4358" s="22" t="s">
        <v>96</v>
      </c>
      <c r="F4358" s="23" t="str">
        <f>HYPERLINK("https://www.spark-marketing.ru/Card/Lot/73183528", "оказание услуг по обеспечению горячим питанием пациентов ГБУЗ ТО «Областной противотуберкулезный диспансер»")</f>
        <v>оказание услуг по обеспечению горячим питанием пациентов ГБУЗ ТО «Областной противотуберкулезный диспансер»</v>
      </c>
      <c r="G4358" s="22" t="s">
        <v>766</v>
      </c>
      <c r="H4358" s="22" t="s">
        <v>1028</v>
      </c>
      <c r="I4358" s="26">
        <v>43710.6307407407</v>
      </c>
      <c r="J4358" s="23" t="str">
        <f>HYPERLINK("https://www.spark-marketing.ru/Card/Person/245022", "ООО ""ВИСТЕРИЯ""")</f>
        <v>ООО "ВИСТЕРИЯ"</v>
      </c>
      <c r="K4358" s="24" t="s">
        <v>3387</v>
      </c>
      <c r="L4358" s="22" t="s">
        <v>10</v>
      </c>
      <c r="M4358" s="25">
        <v>26568573</v>
      </c>
      <c r="N4358" s="27">
        <v>0.13292899393800942</v>
      </c>
    </row>
    <row r="4359" spans="1:14" hidden="1" outlineLevel="1" x14ac:dyDescent="0.2">
      <c r="A4359" s="23" t="str">
        <f>HYPERLINK("https://www.spark-marketing.ru/Card/Person/4346919", "ГБУЗ ТО ""ОБЛАСТНОЙ ПРОТИВОТУБЕРКУЛЕЗНЫЙ ДИСПАНСЕР""")</f>
        <v>ГБУЗ ТО "ОБЛАСТНОЙ ПРОТИВОТУБЕРКУЛЕЗНЫЙ ДИСПАНСЕР"</v>
      </c>
      <c r="B4359" s="24" t="s">
        <v>4120</v>
      </c>
      <c r="C4359" s="25">
        <v>30641750</v>
      </c>
      <c r="D4359" s="22" t="s">
        <v>7107</v>
      </c>
      <c r="E4359" s="22" t="s">
        <v>96</v>
      </c>
      <c r="F4359" s="23" t="str">
        <f>HYPERLINK("https://www.spark-marketing.ru/Card/Lot/73183528", "оказание услуг по обеспечению горячим питанием пациентов ГБУЗ ТО «Областной противотуберкулезный диспансер»")</f>
        <v>оказание услуг по обеспечению горячим питанием пациентов ГБУЗ ТО «Областной противотуберкулезный диспансер»</v>
      </c>
      <c r="G4359" s="22" t="s">
        <v>766</v>
      </c>
      <c r="H4359" s="22" t="s">
        <v>1028</v>
      </c>
      <c r="I4359" s="26">
        <v>43710.6307407407</v>
      </c>
      <c r="J4359" s="23" t="str">
        <f>HYPERLINK("https://www.spark-marketing.ru/Card/Person/1777660", "АУ СОН ТО И ДПО ""ОБЛАСТНОЙ ГЕРОНТОЛОГИЧЕСКИЙ ЦЕНТР""")</f>
        <v>АУ СОН ТО И ДПО "ОБЛАСТНОЙ ГЕРОНТОЛОГИЧЕСКИЙ ЦЕНТР"</v>
      </c>
      <c r="K4359" s="24" t="s">
        <v>7108</v>
      </c>
      <c r="L4359" s="28" t="s">
        <v>51</v>
      </c>
      <c r="M4359" s="25">
        <v>26721781.75</v>
      </c>
      <c r="N4359" s="27">
        <v>0.12792899393800941</v>
      </c>
    </row>
    <row r="4360" spans="1:14" x14ac:dyDescent="0.15">
      <c r="A4360" s="23" t="str">
        <f>HYPERLINK("https://www.spark-marketing.ru/Card/Person/5971208", "УПРАВЛЕНИЕ РОСГВАРДИИ ПО РЕСПУБЛИКЕ ХАКАСИЯ")</f>
        <v>УПРАВЛЕНИЕ РОСГВАРДИИ ПО РЕСПУБЛИКЕ ХАКАСИЯ</v>
      </c>
      <c r="B4360" s="24" t="s">
        <v>89</v>
      </c>
      <c r="C4360" s="25">
        <v>150000</v>
      </c>
      <c r="D4360" s="22" t="s">
        <v>7109</v>
      </c>
      <c r="E4360" s="22" t="s">
        <v>48</v>
      </c>
      <c r="F4360" s="23" t="str">
        <f>HYPERLINK("https://www.spark-marketing.ru/Card/Lot/73184522", "Оказание услуг по организации горячим питанием летного состава АОСН Управления Росгвардии по Республике Хакасия.")</f>
        <v>Оказание услуг по организации горячим питанием летного состава АОСН Управления Росгвардии по Республике Хакасия.</v>
      </c>
      <c r="G4360" s="22" t="s">
        <v>92</v>
      </c>
      <c r="H4360" s="22" t="s">
        <v>93</v>
      </c>
      <c r="I4360" s="26">
        <v>43710.6636111111</v>
      </c>
      <c r="J4360" s="23" t="str">
        <f>HYPERLINK("https://www.spark-marketing.ru/Card/Person/6493557", "ООО ""ГОСТИНИЦА ""АЭРООТЕЛЬ""")</f>
        <v>ООО "ГОСТИНИЦА "АЭРООТЕЛЬ"</v>
      </c>
      <c r="K4360" s="24" t="s">
        <v>7110</v>
      </c>
      <c r="L4360" s="22" t="s">
        <v>10</v>
      </c>
      <c r="M4360" s="28" t="s">
        <v>51</v>
      </c>
      <c r="N4360" s="28" t="s">
        <v>51</v>
      </c>
    </row>
    <row r="4361" spans="1:14" x14ac:dyDescent="0.15">
      <c r="A4361" s="23" t="str">
        <f>HYPERLINK("https://www.spark-marketing.ru/Card/Person/1024498", "СЕМЕНОВСКАЯ СРЕДНЯЯ ШКОЛА")</f>
        <v>СЕМЕНОВСКАЯ СРЕДНЯЯ ШКОЛА</v>
      </c>
      <c r="B4361" s="24" t="s">
        <v>2164</v>
      </c>
      <c r="C4361" s="25">
        <v>89964</v>
      </c>
      <c r="D4361" s="22" t="s">
        <v>7111</v>
      </c>
      <c r="E4361" s="22" t="s">
        <v>48</v>
      </c>
      <c r="F4361" s="23" t="str">
        <f>HYPERLINK("https://www.spark-marketing.ru/Card/Lot/73174259", "Оказание услуг по организации питания отдельным категориям обучающихся")</f>
        <v>Оказание услуг по организации питания отдельным категориям обучающихся</v>
      </c>
      <c r="G4361" s="22" t="s">
        <v>49</v>
      </c>
      <c r="H4361" s="22" t="s">
        <v>506</v>
      </c>
      <c r="I4361" s="26">
        <v>43710.597025463001</v>
      </c>
      <c r="J4361" s="28" t="s">
        <v>51</v>
      </c>
      <c r="K4361" s="28" t="s">
        <v>51</v>
      </c>
      <c r="L4361" s="28" t="s">
        <v>51</v>
      </c>
      <c r="M4361" s="28" t="s">
        <v>51</v>
      </c>
      <c r="N4361" s="28" t="s">
        <v>51</v>
      </c>
    </row>
    <row r="4362" spans="1:14" x14ac:dyDescent="0.15">
      <c r="A4362" s="23" t="str">
        <f>HYPERLINK("https://www.spark-marketing.ru/Card/Person/88572", "МБДОУ ""ДЕТСКИЙ САД №85 ""КАПЕЛЬКА""")</f>
        <v>МБДОУ "ДЕТСКИЙ САД №85 "КАПЕЛЬКА"</v>
      </c>
      <c r="B4362" s="24" t="s">
        <v>6781</v>
      </c>
      <c r="C4362" s="25">
        <v>136301.44</v>
      </c>
      <c r="D4362" s="22" t="s">
        <v>7112</v>
      </c>
      <c r="E4362" s="22" t="s">
        <v>48</v>
      </c>
      <c r="F4362" s="23" t="str">
        <f>HYPERLINK("https://www.spark-marketing.ru/Card/Lot/73183398", "оказание услуг по организации сбалансированного питания воспитанников для нужд МБДОУ «Детский сад №85 «Капелька»")</f>
        <v>оказание услуг по организации сбалансированного питания воспитанников для нужд МБДОУ «Детский сад №85 «Капелька»</v>
      </c>
      <c r="G4362" s="22" t="s">
        <v>217</v>
      </c>
      <c r="H4362" s="22" t="s">
        <v>1998</v>
      </c>
      <c r="I4362" s="26">
        <v>43710.605486111097</v>
      </c>
      <c r="J4362" s="28" t="s">
        <v>51</v>
      </c>
      <c r="K4362" s="28" t="s">
        <v>51</v>
      </c>
      <c r="L4362" s="28" t="s">
        <v>51</v>
      </c>
      <c r="M4362" s="28" t="s">
        <v>51</v>
      </c>
      <c r="N4362" s="28" t="s">
        <v>51</v>
      </c>
    </row>
    <row r="4363" spans="1:14" ht="12.75" hidden="1" outlineLevel="1" x14ac:dyDescent="0.2">
      <c r="A4363" s="23" t="str">
        <f>HYPERLINK("https://www.spark-marketing.ru/Card/Person/88572", "МБДОУ ""ДЕТСКИЙ САД №85 ""КАПЕЛЬКА""")</f>
        <v>МБДОУ "ДЕТСКИЙ САД №85 "КАПЕЛЬКА"</v>
      </c>
      <c r="B4363" s="24" t="s">
        <v>6781</v>
      </c>
      <c r="C4363" s="25">
        <v>136301.44</v>
      </c>
      <c r="D4363" s="22" t="s">
        <v>7112</v>
      </c>
      <c r="E4363" s="22" t="s">
        <v>48</v>
      </c>
      <c r="F4363" s="23" t="str">
        <f>HYPERLINK("https://www.spark-marketing.ru/Card/Lot/73183398", "оказание услуг по организации сбалансированного питания воспитанников для нужд МБДОУ «Детский сад №85 «Капелька»")</f>
        <v>оказание услуг по организации сбалансированного питания воспитанников для нужд МБДОУ «Детский сад №85 «Капелька»</v>
      </c>
      <c r="G4363" s="22" t="s">
        <v>217</v>
      </c>
      <c r="H4363" s="22" t="s">
        <v>1998</v>
      </c>
      <c r="I4363" s="26">
        <v>43710.605486111097</v>
      </c>
      <c r="J4363" s="23" t="str">
        <f>HYPERLINK("https://www.spark-marketing.ru/Card/Person/87385", "ООО ""ШКОЛЬНОЕ ПИТАНИЕ""")</f>
        <v>ООО "ШКОЛЬНОЕ ПИТАНИЕ"</v>
      </c>
      <c r="K4363" s="24" t="s">
        <v>6356</v>
      </c>
      <c r="L4363" s="22" t="s">
        <v>10</v>
      </c>
      <c r="M4363" s="25">
        <v>136301.44</v>
      </c>
      <c r="N4363" s="27">
        <v>0</v>
      </c>
    </row>
    <row r="4364" spans="1:14" hidden="1" outlineLevel="1" x14ac:dyDescent="0.2">
      <c r="A4364" s="23" t="str">
        <f>HYPERLINK("https://www.spark-marketing.ru/Card/Person/88572", "МБДОУ ""ДЕТСКИЙ САД №85 ""КАПЕЛЬКА""")</f>
        <v>МБДОУ "ДЕТСКИЙ САД №85 "КАПЕЛЬКА"</v>
      </c>
      <c r="B4364" s="24" t="s">
        <v>6781</v>
      </c>
      <c r="C4364" s="25">
        <v>136301.44</v>
      </c>
      <c r="D4364" s="22" t="s">
        <v>7112</v>
      </c>
      <c r="E4364" s="22" t="s">
        <v>48</v>
      </c>
      <c r="F4364" s="23" t="str">
        <f>HYPERLINK("https://www.spark-marketing.ru/Card/Lot/73183398", "оказание услуг по организации сбалансированного питания воспитанников для нужд МБДОУ «Детский сад №85 «Капелька»")</f>
        <v>оказание услуг по организации сбалансированного питания воспитанников для нужд МБДОУ «Детский сад №85 «Капелька»</v>
      </c>
      <c r="G4364" s="22" t="s">
        <v>217</v>
      </c>
      <c r="H4364" s="22" t="s">
        <v>1998</v>
      </c>
      <c r="I4364" s="26">
        <v>43710.605486111097</v>
      </c>
      <c r="J4364" s="23" t="str">
        <f>HYPERLINK("https://www.spark-marketing.ru/Card/Person/6474291", "ООО ""АЛЬЯНС""")</f>
        <v>ООО "АЛЬЯНС"</v>
      </c>
      <c r="K4364" s="24" t="s">
        <v>7113</v>
      </c>
      <c r="L4364" s="28" t="s">
        <v>51</v>
      </c>
      <c r="M4364" s="25">
        <v>136301.44</v>
      </c>
      <c r="N4364" s="27">
        <v>0</v>
      </c>
    </row>
    <row r="4365" spans="1:14" x14ac:dyDescent="0.15">
      <c r="A4365" s="23" t="str">
        <f>HYPERLINK("https://www.spark-marketing.ru/Card/Person/106386", "УПРАВЛЕНИЕ МВД РОССИИ ПО Г. КЕМЕРОВО")</f>
        <v>УПРАВЛЕНИЕ МВД РОССИИ ПО Г. КЕМЕРОВО</v>
      </c>
      <c r="B4365" s="24" t="s">
        <v>7114</v>
      </c>
      <c r="C4365" s="25">
        <v>3630000</v>
      </c>
      <c r="D4365" s="22" t="s">
        <v>7115</v>
      </c>
      <c r="E4365" s="22" t="s">
        <v>48</v>
      </c>
      <c r="F4365" s="23" t="str">
        <f>HYPERLINK("https://www.spark-marketing.ru/Card/Lot/73186370", "Оказание услуги по обеспечению горячим трехразовым питанием лиц, содержащихся в изоляторе временного содержания подозреваемых и обвиняемых и специальном приемнике для лиц, подвергнутых административному аресту, Управления МВД России по г. Кемерово")</f>
        <v>Оказание услуги по обеспечению горячим трехразовым питанием лиц, содержащихся в изоляторе временного содержания подозреваемых и обвиняемых и специальном приемнике для лиц, подвергнутых административному аресту, Управления МВД России по г. Кемерово</v>
      </c>
      <c r="G4365" s="22" t="s">
        <v>304</v>
      </c>
      <c r="H4365" s="22" t="s">
        <v>1154</v>
      </c>
      <c r="I4365" s="26">
        <v>43710.610601851899</v>
      </c>
      <c r="J4365" s="28" t="s">
        <v>51</v>
      </c>
      <c r="K4365" s="28" t="s">
        <v>51</v>
      </c>
      <c r="L4365" s="28" t="s">
        <v>51</v>
      </c>
      <c r="M4365" s="28" t="s">
        <v>51</v>
      </c>
      <c r="N4365" s="28" t="s">
        <v>51</v>
      </c>
    </row>
    <row r="4366" spans="1:14" hidden="1" outlineLevel="1" x14ac:dyDescent="0.2">
      <c r="A4366" s="23" t="str">
        <f>HYPERLINK("https://www.spark-marketing.ru/Card/Person/106386", "УПРАВЛЕНИЕ МВД РОССИИ ПО Г. КЕМЕРОВО")</f>
        <v>УПРАВЛЕНИЕ МВД РОССИИ ПО Г. КЕМЕРОВО</v>
      </c>
      <c r="B4366" s="24" t="s">
        <v>7114</v>
      </c>
      <c r="C4366" s="25">
        <v>3630000</v>
      </c>
      <c r="D4366" s="22" t="s">
        <v>7115</v>
      </c>
      <c r="E4366" s="22" t="s">
        <v>48</v>
      </c>
      <c r="F4366" s="23" t="str">
        <f>HYPERLINK("https://www.spark-marketing.ru/Card/Lot/73186370", "Оказание услуги по обеспечению горячим трехразовым питанием лиц, содержащихся в изоляторе временного содержания подозреваемых и обвиняемых и специальном приемнике для лиц, подвергнутых административному аресту, Управления МВД России по г. Кемерово")</f>
        <v>Оказание услуги по обеспечению горячим трехразовым питанием лиц, содержащихся в изоляторе временного содержания подозреваемых и обвиняемых и специальном приемнике для лиц, подвергнутых административному аресту, Управления МВД России по г. Кемерово</v>
      </c>
      <c r="G4366" s="22" t="s">
        <v>304</v>
      </c>
      <c r="H4366" s="22" t="s">
        <v>1154</v>
      </c>
      <c r="I4366" s="26">
        <v>43710.610601851899</v>
      </c>
      <c r="J4366" s="23" t="str">
        <f>HYPERLINK("https://www.spark-marketing.ru/Card/Person/153415", "Пригаров Денис Владимирович")</f>
        <v>Пригаров Денис Владимирович</v>
      </c>
      <c r="K4366" s="24" t="s">
        <v>2754</v>
      </c>
      <c r="L4366" s="28" t="s">
        <v>51</v>
      </c>
      <c r="M4366" s="25">
        <v>2196150</v>
      </c>
      <c r="N4366" s="27">
        <v>0.39500000000000002</v>
      </c>
    </row>
    <row r="4367" spans="1:14" ht="12.75" hidden="1" outlineLevel="1" x14ac:dyDescent="0.2">
      <c r="A4367" s="23" t="str">
        <f>HYPERLINK("https://www.spark-marketing.ru/Card/Person/106386", "УПРАВЛЕНИЕ МВД РОССИИ ПО Г. КЕМЕРОВО")</f>
        <v>УПРАВЛЕНИЕ МВД РОССИИ ПО Г. КЕМЕРОВО</v>
      </c>
      <c r="B4367" s="24" t="s">
        <v>7114</v>
      </c>
      <c r="C4367" s="25">
        <v>3630000</v>
      </c>
      <c r="D4367" s="22" t="s">
        <v>7115</v>
      </c>
      <c r="E4367" s="22" t="s">
        <v>48</v>
      </c>
      <c r="F4367" s="23" t="str">
        <f>HYPERLINK("https://www.spark-marketing.ru/Card/Lot/73186370", "Оказание услуги по обеспечению горячим трехразовым питанием лиц, содержащихся в изоляторе временного содержания подозреваемых и обвиняемых и специальном приемнике для лиц, подвергнутых административному аресту, Управления МВД России по г. Кемерово")</f>
        <v>Оказание услуги по обеспечению горячим трехразовым питанием лиц, содержащихся в изоляторе временного содержания подозреваемых и обвиняемых и специальном приемнике для лиц, подвергнутых административному аресту, Управления МВД России по г. Кемерово</v>
      </c>
      <c r="G4367" s="22" t="s">
        <v>304</v>
      </c>
      <c r="H4367" s="22" t="s">
        <v>1154</v>
      </c>
      <c r="I4367" s="26">
        <v>43710.610601851899</v>
      </c>
      <c r="J4367" s="23" t="str">
        <f>HYPERLINK("https://www.spark-marketing.ru/Card/Person/3302800", "ООО""ФОРТА""")</f>
        <v>ООО"ФОРТА"</v>
      </c>
      <c r="K4367" s="24" t="s">
        <v>7116</v>
      </c>
      <c r="L4367" s="22" t="s">
        <v>10</v>
      </c>
      <c r="M4367" s="25">
        <v>2178000</v>
      </c>
      <c r="N4367" s="27">
        <v>0.4</v>
      </c>
    </row>
    <row r="4368" spans="1:14" x14ac:dyDescent="0.15">
      <c r="A4368" s="23" t="str">
        <f>HYPERLINK("https://www.spark-marketing.ru/Card/Person/151055", "МБОУ СОШ №3 Г.О. ПУЩИНО")</f>
        <v>МБОУ СОШ №3 Г.О. ПУЩИНО</v>
      </c>
      <c r="B4368" s="24" t="s">
        <v>5288</v>
      </c>
      <c r="C4368" s="25">
        <v>581272.5</v>
      </c>
      <c r="D4368" s="22" t="s">
        <v>7117</v>
      </c>
      <c r="E4368" s="22" t="s">
        <v>48</v>
      </c>
      <c r="F4368" s="23" t="str">
        <f>HYPERLINK("https://www.spark-marketing.ru/Card/Lot/73171003", "Оказание услуг по организации горячего питания и буфетного обслуживания учащихся в МБОУ СОШ №3 г.о. Пущино")</f>
        <v>Оказание услуг по организации горячего питания и буфетного обслуживания учащихся в МБОУ СОШ №3 г.о. Пущино</v>
      </c>
      <c r="G4368" s="22" t="s">
        <v>49</v>
      </c>
      <c r="H4368" s="22" t="s">
        <v>426</v>
      </c>
      <c r="I4368" s="26">
        <v>43710.503206018497</v>
      </c>
      <c r="J4368" s="28" t="s">
        <v>51</v>
      </c>
      <c r="K4368" s="28" t="s">
        <v>51</v>
      </c>
      <c r="L4368" s="28" t="s">
        <v>51</v>
      </c>
      <c r="M4368" s="28" t="s">
        <v>51</v>
      </c>
      <c r="N4368" s="28" t="s">
        <v>51</v>
      </c>
    </row>
    <row r="4369" spans="1:14" x14ac:dyDescent="0.15">
      <c r="A4369" s="23" t="str">
        <f t="shared" ref="A4369:A4375" si="74">HYPERLINK("https://www.spark-marketing.ru/Card/Person/737290", "ГКУ «ЦБЗ ПРИ МИНЗДРАВЕ КАРЕЛИИ»")</f>
        <v>ГКУ «ЦБЗ ПРИ МИНЗДРАВЕ КАРЕЛИИ»</v>
      </c>
      <c r="B4369" s="24" t="s">
        <v>312</v>
      </c>
      <c r="C4369" s="25">
        <v>559191.6</v>
      </c>
      <c r="D4369" s="22" t="s">
        <v>7118</v>
      </c>
      <c r="E4369" s="22" t="s">
        <v>52</v>
      </c>
      <c r="F4369" s="23" t="str">
        <f>HYPERLINK("https://www.spark-marketing.ru/Card/Lot/73181887", "Поставка лекарственного препарата Гликлазид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рецепт...")</f>
        <v>Поставка лекарственного препарата Гликлазид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</v>
      </c>
      <c r="G4369" s="22" t="s">
        <v>59</v>
      </c>
      <c r="H4369" s="22" t="s">
        <v>314</v>
      </c>
      <c r="I4369" s="26">
        <v>43710.536111111098</v>
      </c>
      <c r="J4369" s="28" t="s">
        <v>51</v>
      </c>
      <c r="K4369" s="28" t="s">
        <v>51</v>
      </c>
      <c r="L4369" s="28" t="s">
        <v>51</v>
      </c>
      <c r="M4369" s="28" t="s">
        <v>51</v>
      </c>
      <c r="N4369" s="28" t="s">
        <v>51</v>
      </c>
    </row>
    <row r="4370" spans="1:14" hidden="1" outlineLevel="1" x14ac:dyDescent="0.2">
      <c r="A4370" s="23" t="str">
        <f t="shared" si="74"/>
        <v>ГКУ «ЦБЗ ПРИ МИНЗДРАВЕ КАРЕЛИИ»</v>
      </c>
      <c r="B4370" s="24" t="s">
        <v>312</v>
      </c>
      <c r="C4370" s="25">
        <v>559191.6</v>
      </c>
      <c r="D4370" s="22" t="s">
        <v>7118</v>
      </c>
      <c r="E4370" s="22" t="s">
        <v>52</v>
      </c>
      <c r="F4370" s="23" t="str">
        <f>HYPERLINK("https://www.spark-marketing.ru/Card/Lot/73181887", "Поставка лекарственного препарата Гликлазид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рецепт...")</f>
        <v>Поставка лекарственного препарата Гликлазид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</v>
      </c>
      <c r="G4370" s="22" t="s">
        <v>59</v>
      </c>
      <c r="H4370" s="22" t="s">
        <v>314</v>
      </c>
      <c r="I4370" s="26">
        <v>43710.536111111098</v>
      </c>
      <c r="J4370" s="23" t="str">
        <f>HYPERLINK("https://www.spark-marketing.ru/Card/Person/1607891", "ООО ""МОСОБЛФАРМ""")</f>
        <v>ООО "МОСОБЛФАРМ"</v>
      </c>
      <c r="K4370" s="24" t="s">
        <v>2523</v>
      </c>
      <c r="L4370" s="28" t="s">
        <v>51</v>
      </c>
      <c r="M4370" s="25">
        <v>542415.84</v>
      </c>
      <c r="N4370" s="27">
        <v>3.000002145954982E-2</v>
      </c>
    </row>
    <row r="4371" spans="1:14" ht="12.75" hidden="1" outlineLevel="1" x14ac:dyDescent="0.2">
      <c r="A4371" s="23" t="str">
        <f t="shared" si="74"/>
        <v>ГКУ «ЦБЗ ПРИ МИНЗДРАВЕ КАРЕЛИИ»</v>
      </c>
      <c r="B4371" s="24" t="s">
        <v>312</v>
      </c>
      <c r="C4371" s="25">
        <v>559191.6</v>
      </c>
      <c r="D4371" s="22" t="s">
        <v>7118</v>
      </c>
      <c r="E4371" s="22" t="s">
        <v>52</v>
      </c>
      <c r="F4371" s="23" t="str">
        <f>HYPERLINK("https://www.spark-marketing.ru/Card/Lot/73181887", "Поставка лекарственного препарата Гликлазид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рецепт...")</f>
        <v>Поставка лекарственного препарата Гликлазид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</v>
      </c>
      <c r="G4371" s="22" t="s">
        <v>59</v>
      </c>
      <c r="H4371" s="22" t="s">
        <v>314</v>
      </c>
      <c r="I4371" s="26">
        <v>43710.536111111098</v>
      </c>
      <c r="J4371" s="23" t="str">
        <f>HYPERLINK("https://www.spark-marketing.ru/Card/Person/6231467", "ООО ""ОБЛФАРМ АЛЬЯНС""")</f>
        <v>ООО "ОБЛФАРМ АЛЬЯНС"</v>
      </c>
      <c r="K4371" s="24" t="s">
        <v>2175</v>
      </c>
      <c r="L4371" s="22" t="s">
        <v>10</v>
      </c>
      <c r="M4371" s="25">
        <v>539619.88</v>
      </c>
      <c r="N4371" s="27">
        <v>3.5000025036141462E-2</v>
      </c>
    </row>
    <row r="4372" spans="1:14" hidden="1" outlineLevel="1" x14ac:dyDescent="0.2">
      <c r="A4372" s="23" t="str">
        <f t="shared" si="74"/>
        <v>ГКУ «ЦБЗ ПРИ МИНЗДРАВЕ КАРЕЛИИ»</v>
      </c>
      <c r="B4372" s="24" t="s">
        <v>312</v>
      </c>
      <c r="C4372" s="25">
        <v>559191.6</v>
      </c>
      <c r="D4372" s="22" t="s">
        <v>7118</v>
      </c>
      <c r="E4372" s="22" t="s">
        <v>52</v>
      </c>
      <c r="F4372" s="23" t="str">
        <f>HYPERLINK("https://www.spark-marketing.ru/Card/Lot/73181887", "Поставка лекарственного препарата Гликлазид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рецепт...")</f>
        <v>Поставка лекарственного препарата Гликлазид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</v>
      </c>
      <c r="G4372" s="22" t="s">
        <v>59</v>
      </c>
      <c r="H4372" s="22" t="s">
        <v>314</v>
      </c>
      <c r="I4372" s="26">
        <v>43710.536111111098</v>
      </c>
      <c r="J4372" s="23" t="str">
        <f>HYPERLINK("https://www.spark-marketing.ru/Card/Person/5915525", "ООО ""МЕДФАРМ""")</f>
        <v>ООО "МЕДФАРМ"</v>
      </c>
      <c r="K4372" s="24" t="s">
        <v>2340</v>
      </c>
      <c r="L4372" s="28" t="s">
        <v>51</v>
      </c>
      <c r="M4372" s="25">
        <v>539619.88</v>
      </c>
      <c r="N4372" s="27">
        <v>3.5000025036141462E-2</v>
      </c>
    </row>
    <row r="4373" spans="1:14" collapsed="1" x14ac:dyDescent="0.15">
      <c r="A4373" s="23" t="str">
        <f t="shared" si="74"/>
        <v>ГКУ «ЦБЗ ПРИ МИНЗДРАВЕ КАРЕЛИИ»</v>
      </c>
      <c r="B4373" s="24" t="s">
        <v>312</v>
      </c>
      <c r="C4373" s="25">
        <v>409134</v>
      </c>
      <c r="D4373" s="22" t="s">
        <v>7119</v>
      </c>
      <c r="E4373" s="22" t="s">
        <v>52</v>
      </c>
      <c r="F4373" s="23" t="str">
        <f>HYPERLINK("https://www.spark-marketing.ru/Card/Lot/73180931", "Поставка лекарственного препарата Ривастигмин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Ривастигмин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4373" s="22" t="s">
        <v>59</v>
      </c>
      <c r="H4373" s="22" t="s">
        <v>314</v>
      </c>
      <c r="I4373" s="26">
        <v>43710.536111111098</v>
      </c>
      <c r="J4373" s="28" t="s">
        <v>51</v>
      </c>
      <c r="K4373" s="28" t="s">
        <v>51</v>
      </c>
      <c r="L4373" s="28" t="s">
        <v>51</v>
      </c>
      <c r="M4373" s="28" t="s">
        <v>51</v>
      </c>
      <c r="N4373" s="28" t="s">
        <v>51</v>
      </c>
    </row>
    <row r="4374" spans="1:14" hidden="1" outlineLevel="1" x14ac:dyDescent="0.2">
      <c r="A4374" s="23" t="str">
        <f t="shared" si="74"/>
        <v>ГКУ «ЦБЗ ПРИ МИНЗДРАВЕ КАРЕЛИИ»</v>
      </c>
      <c r="B4374" s="24" t="s">
        <v>312</v>
      </c>
      <c r="C4374" s="25">
        <v>409134</v>
      </c>
      <c r="D4374" s="22" t="s">
        <v>7119</v>
      </c>
      <c r="E4374" s="22" t="s">
        <v>52</v>
      </c>
      <c r="F4374" s="23" t="str">
        <f>HYPERLINK("https://www.spark-marketing.ru/Card/Lot/73180931", "Поставка лекарственного препарата Ривастигмин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Ривастигмин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4374" s="22" t="s">
        <v>59</v>
      </c>
      <c r="H4374" s="22" t="s">
        <v>314</v>
      </c>
      <c r="I4374" s="26">
        <v>43710.536111111098</v>
      </c>
      <c r="J4374" s="23" t="str">
        <f>HYPERLINK("https://www.spark-marketing.ru/Card/Person/53120", "ЗАО ""ЭКОФАРМ""")</f>
        <v>ЗАО "ЭКОФАРМ"</v>
      </c>
      <c r="K4374" s="24" t="s">
        <v>7120</v>
      </c>
      <c r="L4374" s="28" t="s">
        <v>51</v>
      </c>
      <c r="M4374" s="25">
        <v>360026.33</v>
      </c>
      <c r="N4374" s="27">
        <v>0.12002832812721505</v>
      </c>
    </row>
    <row r="4375" spans="1:14" ht="12.75" hidden="1" outlineLevel="1" x14ac:dyDescent="0.2">
      <c r="A4375" s="23" t="str">
        <f t="shared" si="74"/>
        <v>ГКУ «ЦБЗ ПРИ МИНЗДРАВЕ КАРЕЛИИ»</v>
      </c>
      <c r="B4375" s="24" t="s">
        <v>312</v>
      </c>
      <c r="C4375" s="25">
        <v>409134</v>
      </c>
      <c r="D4375" s="22" t="s">
        <v>7119</v>
      </c>
      <c r="E4375" s="22" t="s">
        <v>52</v>
      </c>
      <c r="F4375" s="23" t="str">
        <f>HYPERLINK("https://www.spark-marketing.ru/Card/Lot/73180931", "Поставка лекарственного препарата Ривастигмин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реце...")</f>
        <v>Поставка лекарственного препарата Ривастигмин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реце...</v>
      </c>
      <c r="G4375" s="22" t="s">
        <v>59</v>
      </c>
      <c r="H4375" s="22" t="s">
        <v>314</v>
      </c>
      <c r="I4375" s="26">
        <v>43710.536111111098</v>
      </c>
      <c r="J4375" s="23" t="str">
        <f>HYPERLINK("https://www.spark-marketing.ru/Card/Person/4896101", "ООО ""НПО МЕДИКА""")</f>
        <v>ООО "НПО МЕДИКА"</v>
      </c>
      <c r="K4375" s="24" t="s">
        <v>7121</v>
      </c>
      <c r="L4375" s="22" t="s">
        <v>10</v>
      </c>
      <c r="M4375" s="25">
        <v>357980</v>
      </c>
      <c r="N4375" s="27">
        <v>0.1250299412906285</v>
      </c>
    </row>
    <row r="4376" spans="1:14" x14ac:dyDescent="0.15">
      <c r="A4376" s="23" t="str">
        <f>HYPERLINK("https://www.spark-marketing.ru/Card/Person/1000635", "МБОУ ГИМНАЗИЯ №19 ИМ. Н.З. ПОПОВИЧЕВОЙ Г.ЛИПЕЦКА")</f>
        <v>МБОУ ГИМНАЗИЯ №19 ИМ. Н.З. ПОПОВИЧЕВОЙ Г.ЛИПЕЦКА</v>
      </c>
      <c r="B4376" s="24" t="s">
        <v>3136</v>
      </c>
      <c r="C4376" s="25">
        <v>780745</v>
      </c>
      <c r="D4376" s="22" t="s">
        <v>7122</v>
      </c>
      <c r="E4376" s="22" t="s">
        <v>48</v>
      </c>
      <c r="F4376" s="23" t="str">
        <f>HYPERLINK("https://www.spark-marketing.ru/Card/Lot/73185837", "Оказание услуги по предоставлению питания учащимся.")</f>
        <v>Оказание услуги по предоставлению питания учащимся.</v>
      </c>
      <c r="G4376" s="22" t="s">
        <v>101</v>
      </c>
      <c r="H4376" s="22" t="s">
        <v>728</v>
      </c>
      <c r="I4376" s="26">
        <v>43710.516990740703</v>
      </c>
      <c r="J4376" s="23" t="str">
        <f>HYPERLINK("https://www.spark-marketing.ru/Card/Person/16210", "ООО ""ГК ФЬЮЖЕН МЕНЕДЖМЕНТ""")</f>
        <v>ООО "ГК ФЬЮЖЕН МЕНЕДЖМЕНТ"</v>
      </c>
      <c r="K4376" s="24" t="s">
        <v>1675</v>
      </c>
      <c r="L4376" s="22" t="s">
        <v>10</v>
      </c>
      <c r="M4376" s="28" t="s">
        <v>51</v>
      </c>
      <c r="N4376" s="28" t="s">
        <v>51</v>
      </c>
    </row>
    <row r="4377" spans="1:14" x14ac:dyDescent="0.15">
      <c r="A4377" s="23" t="str">
        <f>HYPERLINK("https://www.spark-marketing.ru/Card/Person/1577243", "ОМВД РОССИИ ПО НЕКРАСОВСКОМУ РАЙОНУ")</f>
        <v>ОМВД РОССИИ ПО НЕКРАСОВСКОМУ РАЙОНУ</v>
      </c>
      <c r="B4377" s="24" t="s">
        <v>7123</v>
      </c>
      <c r="C4377" s="25">
        <v>300000</v>
      </c>
      <c r="D4377" s="22" t="s">
        <v>7124</v>
      </c>
      <c r="E4377" s="22" t="s">
        <v>48</v>
      </c>
      <c r="F4377" s="23" t="str">
        <f>HYPERLINK("https://www.spark-marketing.ru/Card/Lot/73169944", "Оказание услуг по организации питания (приготовлению и доставке) для ИВС, 667 усл. ед")</f>
        <v>Оказание услуг по организации питания (приготовлению и доставке) для ИВС, 667 усл. ед</v>
      </c>
      <c r="G4377" s="22" t="s">
        <v>185</v>
      </c>
      <c r="H4377" s="22" t="s">
        <v>7125</v>
      </c>
      <c r="I4377" s="26">
        <v>43710.490821759297</v>
      </c>
      <c r="J4377" s="28" t="s">
        <v>51</v>
      </c>
      <c r="K4377" s="28" t="s">
        <v>51</v>
      </c>
      <c r="L4377" s="28" t="s">
        <v>51</v>
      </c>
      <c r="M4377" s="28" t="s">
        <v>51</v>
      </c>
      <c r="N4377" s="28" t="s">
        <v>51</v>
      </c>
    </row>
    <row r="4378" spans="1:14" collapsed="1" x14ac:dyDescent="0.15">
      <c r="A4378" s="23" t="str">
        <f>HYPERLINK("https://www.spark-marketing.ru/Card/Person/1031994", "МБУК ""МОЛЧАНОВСКАЯ МЦБС""")</f>
        <v>МБУК "МОЛЧАНОВСКАЯ МЦБС"</v>
      </c>
      <c r="B4378" s="24" t="s">
        <v>7126</v>
      </c>
      <c r="C4378" s="25">
        <v>1092557.24</v>
      </c>
      <c r="D4378" s="22" t="s">
        <v>7127</v>
      </c>
      <c r="E4378" s="22" t="s">
        <v>716</v>
      </c>
      <c r="F4378" s="23" t="str">
        <f>HYPERLINK("https://www.spark-marketing.ru/Card/Lot/73187080", "Поставка книжной продукции для комплектования библиотечного фонда МБУК ""Молчановская МЦБС""")</f>
        <v>Поставка книжной продукции для комплектования библиотечного фонда МБУК "Молчановская МЦБС"</v>
      </c>
      <c r="G4378" s="22" t="s">
        <v>149</v>
      </c>
      <c r="H4378" s="22" t="s">
        <v>7128</v>
      </c>
      <c r="I4378" s="26">
        <v>43710.474861111099</v>
      </c>
      <c r="J4378" s="28" t="s">
        <v>51</v>
      </c>
      <c r="K4378" s="28" t="s">
        <v>51</v>
      </c>
      <c r="L4378" s="28" t="s">
        <v>51</v>
      </c>
      <c r="M4378" s="28" t="s">
        <v>51</v>
      </c>
      <c r="N4378" s="28" t="s">
        <v>51</v>
      </c>
    </row>
    <row r="4379" spans="1:14" hidden="1" outlineLevel="1" x14ac:dyDescent="0.2">
      <c r="A4379" s="23" t="str">
        <f>HYPERLINK("https://www.spark-marketing.ru/Card/Person/1031994", "МБУК ""МОЛЧАНОВСКАЯ МЦБС""")</f>
        <v>МБУК "МОЛЧАНОВСКАЯ МЦБС"</v>
      </c>
      <c r="B4379" s="24" t="s">
        <v>7126</v>
      </c>
      <c r="C4379" s="25">
        <v>1092557.24</v>
      </c>
      <c r="D4379" s="22" t="s">
        <v>7127</v>
      </c>
      <c r="E4379" s="22" t="s">
        <v>716</v>
      </c>
      <c r="F4379" s="23" t="str">
        <f>HYPERLINK("https://www.spark-marketing.ru/Card/Lot/73187080", "Поставка книжной продукции для комплектования библиотечного фонда МБУК ""Молчановская МЦБС""")</f>
        <v>Поставка книжной продукции для комплектования библиотечного фонда МБУК "Молчановская МЦБС"</v>
      </c>
      <c r="G4379" s="22" t="s">
        <v>149</v>
      </c>
      <c r="H4379" s="22" t="s">
        <v>7128</v>
      </c>
      <c r="I4379" s="26">
        <v>43710.474861111099</v>
      </c>
      <c r="J4379" s="23" t="str">
        <f>HYPERLINK("https://www.spark-marketing.ru/Card/Person/4359157", "ООО ""ИЗДАТЕЛЬСКИЙ ДОМ ""ФОРУМ""")</f>
        <v>ООО "ИЗДАТЕЛЬСКИЙ ДОМ "ФОРУМ"</v>
      </c>
      <c r="K4379" s="24" t="s">
        <v>7129</v>
      </c>
      <c r="L4379" s="28" t="s">
        <v>51</v>
      </c>
      <c r="M4379" s="25">
        <v>879508.43</v>
      </c>
      <c r="N4379" s="27">
        <v>0.19500013564506699</v>
      </c>
    </row>
    <row r="4380" spans="1:14" ht="12.75" hidden="1" outlineLevel="1" x14ac:dyDescent="0.2">
      <c r="A4380" s="23" t="str">
        <f>HYPERLINK("https://www.spark-marketing.ru/Card/Person/1031994", "МБУК ""МОЛЧАНОВСКАЯ МЦБС""")</f>
        <v>МБУК "МОЛЧАНОВСКАЯ МЦБС"</v>
      </c>
      <c r="B4380" s="24" t="s">
        <v>7126</v>
      </c>
      <c r="C4380" s="25">
        <v>1092557.24</v>
      </c>
      <c r="D4380" s="22" t="s">
        <v>7127</v>
      </c>
      <c r="E4380" s="22" t="s">
        <v>716</v>
      </c>
      <c r="F4380" s="23" t="str">
        <f>HYPERLINK("https://www.spark-marketing.ru/Card/Lot/73187080", "Поставка книжной продукции для комплектования библиотечного фонда МБУК ""Молчановская МЦБС""")</f>
        <v>Поставка книжной продукции для комплектования библиотечного фонда МБУК "Молчановская МЦБС"</v>
      </c>
      <c r="G4380" s="22" t="s">
        <v>149</v>
      </c>
      <c r="H4380" s="22" t="s">
        <v>7128</v>
      </c>
      <c r="I4380" s="26">
        <v>43710.474861111099</v>
      </c>
      <c r="J4380" s="23" t="str">
        <f>HYPERLINK("https://www.spark-marketing.ru/Card/Person/4437645", "ООО ""МНОГО КНИГ""")</f>
        <v>ООО "МНОГО КНИГ"</v>
      </c>
      <c r="K4380" s="24" t="s">
        <v>7130</v>
      </c>
      <c r="L4380" s="22" t="s">
        <v>10</v>
      </c>
      <c r="M4380" s="25">
        <v>874045.64</v>
      </c>
      <c r="N4380" s="27">
        <v>0.20000013912314563</v>
      </c>
    </row>
    <row r="4381" spans="1:14" x14ac:dyDescent="0.15">
      <c r="A4381" s="23" t="str">
        <f>HYPERLINK("https://www.spark-marketing.ru/Card/Person/110163", "ГБУЗ ОНКОЛОГИЧЕСКИЙ ДИСПАНСЕР № 4")</f>
        <v>ГБУЗ ОНКОЛОГИЧЕСКИЙ ДИСПАНСЕР № 4</v>
      </c>
      <c r="B4381" s="24" t="s">
        <v>7131</v>
      </c>
      <c r="C4381" s="25">
        <v>496400</v>
      </c>
      <c r="D4381" s="22" t="s">
        <v>7132</v>
      </c>
      <c r="E4381" s="22" t="s">
        <v>48</v>
      </c>
      <c r="F4381" s="23" t="str">
        <f>HYPERLINK("https://www.spark-marketing.ru/Card/Lot/73183340", "Оказание услуг по обеспечению питанием")</f>
        <v>Оказание услуг по обеспечению питанием</v>
      </c>
      <c r="G4381" s="22" t="s">
        <v>104</v>
      </c>
      <c r="H4381" s="22" t="s">
        <v>7133</v>
      </c>
      <c r="I4381" s="26">
        <v>43710.483773148102</v>
      </c>
      <c r="J4381" s="23" t="str">
        <f>HYPERLINK("https://www.spark-marketing.ru/Card/Person/4922904", "ООО ""КЕЙТЕРИНГ-ЮГ""")</f>
        <v>ООО "КЕЙТЕРИНГ-ЮГ"</v>
      </c>
      <c r="K4381" s="24" t="s">
        <v>7134</v>
      </c>
      <c r="L4381" s="22" t="s">
        <v>10</v>
      </c>
      <c r="M4381" s="28" t="s">
        <v>51</v>
      </c>
      <c r="N4381" s="28" t="s">
        <v>51</v>
      </c>
    </row>
    <row r="4382" spans="1:14" x14ac:dyDescent="0.15">
      <c r="A4382" s="23" t="str">
        <f>HYPERLINK("https://www.spark-marketing.ru/Card/Person/1577243", "ОМВД РОССИИ ПО НЕКРАСОВСКОМУ РАЙОНУ")</f>
        <v>ОМВД РОССИИ ПО НЕКРАСОВСКОМУ РАЙОНУ</v>
      </c>
      <c r="B4382" s="24" t="s">
        <v>7123</v>
      </c>
      <c r="C4382" s="25">
        <v>300000</v>
      </c>
      <c r="D4382" s="22" t="s">
        <v>7135</v>
      </c>
      <c r="E4382" s="22" t="s">
        <v>48</v>
      </c>
      <c r="F4382" s="23" t="str">
        <f>HYPERLINK("https://www.spark-marketing.ru/Card/Lot/73169935", "Оказание услуг по организации питания (приготовлению и доставке) для ИВС, 667 усл. ед")</f>
        <v>Оказание услуг по организации питания (приготовлению и доставке) для ИВС, 667 усл. ед</v>
      </c>
      <c r="G4382" s="22" t="s">
        <v>185</v>
      </c>
      <c r="H4382" s="22" t="s">
        <v>7125</v>
      </c>
      <c r="I4382" s="26">
        <v>43710.486956018503</v>
      </c>
      <c r="J4382" s="28" t="s">
        <v>51</v>
      </c>
      <c r="K4382" s="28" t="s">
        <v>51</v>
      </c>
      <c r="L4382" s="28" t="s">
        <v>51</v>
      </c>
      <c r="M4382" s="28" t="s">
        <v>51</v>
      </c>
      <c r="N4382" s="28" t="s">
        <v>51</v>
      </c>
    </row>
    <row r="4383" spans="1:14" x14ac:dyDescent="0.15">
      <c r="A4383" s="23" t="str">
        <f>HYPERLINK("https://www.spark-marketing.ru/Card/Person/293681", "ОТДЕЛ МВД РОССИИ ПО ТОПКИНСКОМУ РАЙОНУ")</f>
        <v>ОТДЕЛ МВД РОССИИ ПО ТОПКИНСКОМУ РАЙОНУ</v>
      </c>
      <c r="B4383" s="24" t="s">
        <v>7136</v>
      </c>
      <c r="C4383" s="25">
        <v>450000</v>
      </c>
      <c r="D4383" s="22" t="s">
        <v>7137</v>
      </c>
      <c r="E4383" s="22" t="s">
        <v>48</v>
      </c>
      <c r="F4383" s="23" t="str">
        <f>HYPERLINK("https://www.spark-marketing.ru/Card/Lot/73186330", "Оказание услуг по обеспечению ежедневным трехразовым питанием лиц подвергнутых административному задержанию, подозреваемых и обвиняемых в совершении преступлений и находящихся в изоляторе временного содержания")</f>
        <v>Оказание услуг по обеспечению ежедневным трехразовым питанием лиц подвергнутых административному задержанию, подозреваемых и обвиняемых в совершении преступлений и находящихся в изоляторе временного содержания</v>
      </c>
      <c r="G4383" s="22" t="s">
        <v>304</v>
      </c>
      <c r="H4383" s="22" t="s">
        <v>7138</v>
      </c>
      <c r="I4383" s="26">
        <v>43710.432511574101</v>
      </c>
      <c r="J4383" s="28" t="s">
        <v>51</v>
      </c>
      <c r="K4383" s="28" t="s">
        <v>51</v>
      </c>
      <c r="L4383" s="28" t="s">
        <v>51</v>
      </c>
      <c r="M4383" s="28" t="s">
        <v>51</v>
      </c>
      <c r="N4383" s="28" t="s">
        <v>51</v>
      </c>
    </row>
    <row r="4384" spans="1:14" x14ac:dyDescent="0.15">
      <c r="A4384" s="23" t="str">
        <f>HYPERLINK("https://www.spark-marketing.ru/Card/Person/34726", "УПРАВЛЕНИЕ МВД РОССИИ ПО Г. РОСТОВУ-НА-ДОНУ")</f>
        <v>УПРАВЛЕНИЕ МВД РОССИИ ПО Г. РОСТОВУ-НА-ДОНУ</v>
      </c>
      <c r="B4384" s="24" t="s">
        <v>7139</v>
      </c>
      <c r="C4384" s="25">
        <v>295074.59999999998</v>
      </c>
      <c r="D4384" s="22" t="s">
        <v>7140</v>
      </c>
      <c r="E4384" s="22" t="s">
        <v>48</v>
      </c>
      <c r="F4384" s="23" t="str">
        <f>HYPERLINK("https://www.spark-marketing.ru/Card/Lot/73187793", "оказание услуг по обеспечению бесперебойным ежедневным трехразовым горячим питанием (порционно в одноразовой посуде с пластиковыми приборами для принятия пищи) лицам, подвергнутым административному аресту, содержащихся в специальном приемнике Управле...")</f>
        <v>оказание услуг по обеспечению бесперебойным ежедневным трехразовым горячим питанием (порционно в одноразовой посуде с пластиковыми приборами для принятия пищи) лицам, подвергнутым административному аресту, содержащихся в специальном приемнике Управле...</v>
      </c>
      <c r="G4384" s="22" t="s">
        <v>267</v>
      </c>
      <c r="H4384" s="22" t="s">
        <v>267</v>
      </c>
      <c r="I4384" s="26">
        <v>43710.430034722202</v>
      </c>
      <c r="J4384" s="23" t="str">
        <f>HYPERLINK("https://www.spark-marketing.ru/Card/Person/365298", "ООО ""ЛЕЛЬ""")</f>
        <v>ООО "ЛЕЛЬ"</v>
      </c>
      <c r="K4384" s="24" t="s">
        <v>7141</v>
      </c>
      <c r="L4384" s="22" t="s">
        <v>10</v>
      </c>
      <c r="M4384" s="28" t="s">
        <v>51</v>
      </c>
      <c r="N4384" s="28" t="s">
        <v>51</v>
      </c>
    </row>
    <row r="4385" spans="1:14" x14ac:dyDescent="0.15">
      <c r="A4385" s="23" t="str">
        <f>HYPERLINK("https://www.spark-marketing.ru/Card/Person/47857", "ГБУЗ НО ""НОНД""")</f>
        <v>ГБУЗ НО "НОНД"</v>
      </c>
      <c r="B4385" s="24" t="s">
        <v>7142</v>
      </c>
      <c r="C4385" s="25">
        <v>917217</v>
      </c>
      <c r="D4385" s="22" t="s">
        <v>7143</v>
      </c>
      <c r="E4385" s="22" t="s">
        <v>67</v>
      </c>
      <c r="F4385" s="23" t="str">
        <f>HYPERLINK("https://www.spark-marketing.ru/Card/Lot/73182715", "Оказание услуг по организации трехразового горячего питания для больных ГБУЗ НО «Нижегородский областной наркологический диспансер» в IV квартале 2019 г.")</f>
        <v>Оказание услуг по организации трехразового горячего питания для больных ГБУЗ НО «Нижегородский областной наркологический диспансер» в IV квартале 2019 г.</v>
      </c>
      <c r="G4385" s="22" t="s">
        <v>76</v>
      </c>
      <c r="H4385" s="22" t="s">
        <v>3057</v>
      </c>
      <c r="I4385" s="26">
        <v>43710.442395833299</v>
      </c>
      <c r="J4385" s="23" t="str">
        <f>HYPERLINK("https://www.spark-marketing.ru/Card/Person/1184338", "Осинина Ирина Васильевна")</f>
        <v>Осинина Ирина Васильевна</v>
      </c>
      <c r="K4385" s="24" t="s">
        <v>7144</v>
      </c>
      <c r="L4385" s="22" t="s">
        <v>10</v>
      </c>
      <c r="M4385" s="28" t="s">
        <v>51</v>
      </c>
      <c r="N4385" s="28" t="s">
        <v>51</v>
      </c>
    </row>
    <row r="4386" spans="1:14" collapsed="1" x14ac:dyDescent="0.15">
      <c r="A4386" s="23" t="str">
        <f>HYPERLINK("https://www.spark-marketing.ru/Card/Person/4346271", "УПРАВЛЕНИЕ МВД РФ ПО Г.О. НАЛЬЧИК")</f>
        <v>УПРАВЛЕНИЕ МВД РФ ПО Г.О. НАЛЬЧИК</v>
      </c>
      <c r="B4386" s="24" t="s">
        <v>7145</v>
      </c>
      <c r="C4386" s="25">
        <v>700000</v>
      </c>
      <c r="D4386" s="22" t="s">
        <v>7146</v>
      </c>
      <c r="E4386" s="22" t="s">
        <v>96</v>
      </c>
      <c r="F4386" s="23" t="str">
        <f>HYPERLINK("https://www.spark-marketing.ru/Card/Lot/73183741", "Оказание услуги по осуществлению трехразового горячего питания лиц, задержанных за административные правонарушения содержащихся в Специальном приёмнике и в  Изоляторе временного содержания Управления МВД России по г.о. Нальчик")</f>
        <v>Оказание услуги по осуществлению трехразового горячего питания лиц, задержанных за административные правонарушения содержащихся в Специальном приёмнике и в  Изоляторе временного содержания Управления МВД России по г.о. Нальчик</v>
      </c>
      <c r="G4386" s="22" t="s">
        <v>986</v>
      </c>
      <c r="H4386" s="22" t="s">
        <v>987</v>
      </c>
      <c r="I4386" s="26">
        <v>43710.4394328704</v>
      </c>
      <c r="J4386" s="23" t="str">
        <f>HYPERLINK("https://www.spark-marketing.ru/Card/Person/4355058", "ООО ""АХМАТ""")</f>
        <v>ООО "АХМАТ"</v>
      </c>
      <c r="K4386" s="24" t="s">
        <v>7147</v>
      </c>
      <c r="L4386" s="28" t="s">
        <v>51</v>
      </c>
      <c r="M4386" s="28" t="s">
        <v>51</v>
      </c>
      <c r="N4386" s="28" t="s">
        <v>51</v>
      </c>
    </row>
    <row r="4387" spans="1:14" ht="12.75" hidden="1" outlineLevel="1" x14ac:dyDescent="0.2">
      <c r="A4387" s="23" t="str">
        <f>HYPERLINK("https://www.spark-marketing.ru/Card/Person/4346271", "УПРАВЛЕНИЕ МВД РФ ПО Г.О. НАЛЬЧИК")</f>
        <v>УПРАВЛЕНИЕ МВД РФ ПО Г.О. НАЛЬЧИК</v>
      </c>
      <c r="B4387" s="24" t="s">
        <v>7145</v>
      </c>
      <c r="C4387" s="25">
        <v>700000</v>
      </c>
      <c r="D4387" s="22" t="s">
        <v>7146</v>
      </c>
      <c r="E4387" s="22" t="s">
        <v>96</v>
      </c>
      <c r="F4387" s="23" t="str">
        <f>HYPERLINK("https://www.spark-marketing.ru/Card/Lot/73183741", "Оказание услуги по осуществлению трехразового горячего питания лиц, задержанных за административные правонарушения содержащихся в Специальном приёмнике и в  Изоляторе временного содержания Управления МВД России по г.о. Нальчик")</f>
        <v>Оказание услуги по осуществлению трехразового горячего питания лиц, задержанных за административные правонарушения содержащихся в Специальном приёмнике и в  Изоляторе временного содержания Управления МВД России по г.о. Нальчик</v>
      </c>
      <c r="G4387" s="22" t="s">
        <v>986</v>
      </c>
      <c r="H4387" s="22" t="s">
        <v>987</v>
      </c>
      <c r="I4387" s="26">
        <v>43710.4394328704</v>
      </c>
      <c r="J4387" s="23" t="str">
        <f>HYPERLINK("https://www.spark-marketing.ru/Card/Person/4355058", "ООО ""АХМАТ""")</f>
        <v>ООО "АХМАТ"</v>
      </c>
      <c r="K4387" s="24" t="s">
        <v>7147</v>
      </c>
      <c r="L4387" s="22" t="s">
        <v>10</v>
      </c>
      <c r="M4387" s="25">
        <v>2069.8200000000002</v>
      </c>
      <c r="N4387" s="27">
        <v>0.99704311428571424</v>
      </c>
    </row>
    <row r="4388" spans="1:14" x14ac:dyDescent="0.15">
      <c r="A4388" s="23" t="str">
        <f>HYPERLINK("https://www.spark-marketing.ru/Card/Person/1031248", "МДОУ № 1 Г. МОЖАЙСКА")</f>
        <v>МДОУ № 1 Г. МОЖАЙСКА</v>
      </c>
      <c r="B4388" s="24" t="s">
        <v>7148</v>
      </c>
      <c r="C4388" s="25">
        <v>132440</v>
      </c>
      <c r="D4388" s="22" t="s">
        <v>7149</v>
      </c>
      <c r="E4388" s="22" t="s">
        <v>48</v>
      </c>
      <c r="F4388" s="23" t="str">
        <f>HYPERLINK("https://www.spark-marketing.ru/Card/Lot/73169424", "Оказание услуг по организации питания воспитанников")</f>
        <v>Оказание услуг по организации питания воспитанников</v>
      </c>
      <c r="G4388" s="22" t="s">
        <v>49</v>
      </c>
      <c r="H4388" s="22" t="s">
        <v>3718</v>
      </c>
      <c r="I4388" s="26">
        <v>43710.430011574099</v>
      </c>
      <c r="J4388" s="28" t="s">
        <v>51</v>
      </c>
      <c r="K4388" s="28" t="s">
        <v>51</v>
      </c>
      <c r="L4388" s="28" t="s">
        <v>51</v>
      </c>
      <c r="M4388" s="28" t="s">
        <v>51</v>
      </c>
      <c r="N4388" s="28" t="s">
        <v>51</v>
      </c>
    </row>
    <row r="4389" spans="1:14" x14ac:dyDescent="0.15">
      <c r="A4389" s="23" t="str">
        <f>HYPERLINK("https://www.spark-marketing.ru/Card/Person/70495", "ОМВД РОССИИ ПО АРТЕМОВСКОМУ РАЙОНУ")</f>
        <v>ОМВД РОССИИ ПО АРТЕМОВСКОМУ РАЙОНУ</v>
      </c>
      <c r="B4389" s="24" t="s">
        <v>3231</v>
      </c>
      <c r="C4389" s="25">
        <v>58400</v>
      </c>
      <c r="D4389" s="22" t="s">
        <v>7150</v>
      </c>
      <c r="E4389" s="22" t="s">
        <v>96</v>
      </c>
      <c r="F4389" s="23" t="str">
        <f>HYPERLINK("https://www.spark-marketing.ru/Card/Lot/73167971", "Оказание услуг по организации питания (приготовлению и доставке), 146 шт")</f>
        <v>Оказание услуг по организации питания (приготовлению и доставке), 146 шт</v>
      </c>
      <c r="G4389" s="22" t="s">
        <v>174</v>
      </c>
      <c r="H4389" s="22" t="s">
        <v>3233</v>
      </c>
      <c r="I4389" s="26">
        <v>43710.403923611098</v>
      </c>
      <c r="J4389" s="28" t="s">
        <v>51</v>
      </c>
      <c r="K4389" s="28" t="s">
        <v>51</v>
      </c>
      <c r="L4389" s="28" t="s">
        <v>51</v>
      </c>
      <c r="M4389" s="28" t="s">
        <v>51</v>
      </c>
      <c r="N4389" s="28" t="s">
        <v>51</v>
      </c>
    </row>
    <row r="4390" spans="1:14" x14ac:dyDescent="0.15">
      <c r="A4390" s="23" t="str">
        <f>HYPERLINK("https://www.spark-marketing.ru/Card/Person/134189", "МБУ СШОР ""ТРАКТОР"" Г. ЧЕЛЯБИНСКА")</f>
        <v>МБУ СШОР "ТРАКТОР" Г. ЧЕЛЯБИНСКА</v>
      </c>
      <c r="B4390" s="24" t="s">
        <v>7151</v>
      </c>
      <c r="C4390" s="25">
        <v>756000</v>
      </c>
      <c r="D4390" s="22" t="s">
        <v>7152</v>
      </c>
      <c r="E4390" s="22" t="s">
        <v>48</v>
      </c>
      <c r="F4390" s="23" t="str">
        <f>HYPERLINK("https://www.spark-marketing.ru/Card/Lot/73183721", "19-75434Э Оказание услуг организации горячего питания спортсменов .")</f>
        <v>19-75434Э Оказание услуг организации горячего питания спортсменов .</v>
      </c>
      <c r="G4390" s="22" t="s">
        <v>469</v>
      </c>
      <c r="H4390" s="22" t="s">
        <v>491</v>
      </c>
      <c r="I4390" s="26">
        <v>43710.402511574102</v>
      </c>
      <c r="J4390" s="23" t="str">
        <f>HYPERLINK("https://www.spark-marketing.ru/Card/Person/1587408", "Панов Сергей Викторович")</f>
        <v>Панов Сергей Викторович</v>
      </c>
      <c r="K4390" s="24" t="s">
        <v>7153</v>
      </c>
      <c r="L4390" s="22" t="s">
        <v>10</v>
      </c>
      <c r="M4390" s="28" t="s">
        <v>51</v>
      </c>
      <c r="N4390" s="28" t="s">
        <v>51</v>
      </c>
    </row>
    <row r="4391" spans="1:14" x14ac:dyDescent="0.15">
      <c r="A4391" s="23" t="str">
        <f>HYPERLINK("https://www.spark-marketing.ru/Card/Person/265357", "МО МВД РОССИИ ""БЕЖЕЦКИЙ""")</f>
        <v>МО МВД РОССИИ "БЕЖЕЦКИЙ"</v>
      </c>
      <c r="B4391" s="24" t="s">
        <v>7154</v>
      </c>
      <c r="C4391" s="25">
        <v>1100000</v>
      </c>
      <c r="D4391" s="22" t="s">
        <v>7155</v>
      </c>
      <c r="E4391" s="22" t="s">
        <v>96</v>
      </c>
      <c r="F4391" s="23" t="str">
        <f>HYPERLINK("https://www.spark-marketing.ru/Card/Lot/73185182", "Услуги по организации горячего питания 3-х разового лиц содержащихся в ИВС и КАЗ")</f>
        <v>Услуги по организации горячего питания 3-х разового лиц содержащихся в ИВС и КАЗ</v>
      </c>
      <c r="G4391" s="22" t="s">
        <v>137</v>
      </c>
      <c r="H4391" s="22" t="s">
        <v>7156</v>
      </c>
      <c r="I4391" s="26">
        <v>43710.392858796302</v>
      </c>
      <c r="J4391" s="28" t="s">
        <v>51</v>
      </c>
      <c r="K4391" s="28" t="s">
        <v>51</v>
      </c>
      <c r="L4391" s="28" t="s">
        <v>51</v>
      </c>
      <c r="M4391" s="28" t="s">
        <v>51</v>
      </c>
      <c r="N4391" s="28" t="s">
        <v>51</v>
      </c>
    </row>
    <row r="4392" spans="1:14" x14ac:dyDescent="0.15">
      <c r="A4392" s="23" t="str">
        <f>HYPERLINK("https://www.spark-marketing.ru/Card/Person/265357", "МО МВД РОССИИ ""БЕЖЕЦКИЙ""")</f>
        <v>МО МВД РОССИИ "БЕЖЕЦКИЙ"</v>
      </c>
      <c r="B4392" s="24" t="s">
        <v>7154</v>
      </c>
      <c r="C4392" s="25">
        <v>1139000</v>
      </c>
      <c r="D4392" s="22" t="s">
        <v>7157</v>
      </c>
      <c r="E4392" s="22" t="s">
        <v>96</v>
      </c>
      <c r="F4392" s="23" t="str">
        <f>HYPERLINK("https://www.spark-marketing.ru/Card/Lot/73185181", "оказание услуг по организации 3-х разовым питанием лиц содержащихся в ИВС и в КАЗ МО МВД России ""Бежецкий""")</f>
        <v>оказание услуг по организации 3-х разовым питанием лиц содержащихся в ИВС и в КАЗ МО МВД России "Бежецкий"</v>
      </c>
      <c r="G4392" s="22" t="s">
        <v>137</v>
      </c>
      <c r="H4392" s="22" t="s">
        <v>7156</v>
      </c>
      <c r="I4392" s="26">
        <v>43710.392233796301</v>
      </c>
      <c r="J4392" s="23" t="str">
        <f>HYPERLINK("https://www.spark-marketing.ru/Card/Person/291450", "ООО ""ВИТЯЗЬ""")</f>
        <v>ООО "ВИТЯЗЬ"</v>
      </c>
      <c r="K4392" s="24" t="s">
        <v>7158</v>
      </c>
      <c r="L4392" s="22" t="s">
        <v>10</v>
      </c>
      <c r="M4392" s="28" t="s">
        <v>51</v>
      </c>
      <c r="N4392" s="28" t="s">
        <v>51</v>
      </c>
    </row>
    <row r="4393" spans="1:14" collapsed="1" x14ac:dyDescent="0.15">
      <c r="A4393" s="23" t="str">
        <f>HYPERLINK("https://www.spark-marketing.ru/Card/Person/19690", "ГБУЗ ""ДЦ № 3 ДЗМ""")</f>
        <v>ГБУЗ "ДЦ № 3 ДЗМ"</v>
      </c>
      <c r="B4393" s="24" t="s">
        <v>7159</v>
      </c>
      <c r="C4393" s="25">
        <v>1466710.76</v>
      </c>
      <c r="D4393" s="22" t="s">
        <v>7160</v>
      </c>
      <c r="E4393" s="22" t="s">
        <v>152</v>
      </c>
      <c r="F4393" s="23" t="str">
        <f>HYPERLINK("https://www.spark-marketing.ru/Card/Lot/73184932", "Аукцион в электронной форме на право заключения гражданско-правового договора на оказание услуг по ремонту источника бесперебойного питания с заменой запасных частей для магнитно-резонансного томографа для нужд Государственного бюджетного учреждения ...")</f>
        <v>Аукцион в электронной форме на право заключения гражданско-правового договора на оказание услуг по ремонту источника бесперебойного питания с заменой запасных частей для магнитно-резонансного томографа для нужд Государственного бюджетного учреждения ...</v>
      </c>
      <c r="G4393" s="22" t="s">
        <v>56</v>
      </c>
      <c r="H4393" s="22" t="s">
        <v>56</v>
      </c>
      <c r="I4393" s="26">
        <v>43710.4116319444</v>
      </c>
      <c r="J4393" s="23" t="str">
        <f>HYPERLINK("https://www.spark-marketing.ru/Card/Person/1640127", "ООО ""МТО""")</f>
        <v>ООО "МТО"</v>
      </c>
      <c r="K4393" s="24" t="s">
        <v>7161</v>
      </c>
      <c r="L4393" s="28" t="s">
        <v>51</v>
      </c>
      <c r="M4393" s="28" t="s">
        <v>51</v>
      </c>
      <c r="N4393" s="28" t="s">
        <v>51</v>
      </c>
    </row>
    <row r="4394" spans="1:14" hidden="1" outlineLevel="1" x14ac:dyDescent="0.15">
      <c r="A4394" s="23" t="str">
        <f>HYPERLINK("https://www.spark-marketing.ru/Card/Person/19690", "ГБУЗ ""ДЦ № 3 ДЗМ""")</f>
        <v>ГБУЗ "ДЦ № 3 ДЗМ"</v>
      </c>
      <c r="B4394" s="24" t="s">
        <v>7159</v>
      </c>
      <c r="C4394" s="25">
        <v>1466710.76</v>
      </c>
      <c r="D4394" s="22" t="s">
        <v>7160</v>
      </c>
      <c r="E4394" s="22" t="s">
        <v>152</v>
      </c>
      <c r="F4394" s="23" t="str">
        <f>HYPERLINK("https://www.spark-marketing.ru/Card/Lot/73184932", "Аукцион в электронной форме на право заключения гражданско-правового договора на оказание услуг по ремонту источника бесперебойного питания с заменой запасных частей для магнитно-резонансного томографа для нужд Государственного бюджетного учреждения ...")</f>
        <v>Аукцион в электронной форме на право заключения гражданско-правового договора на оказание услуг по ремонту источника бесперебойного питания с заменой запасных частей для магнитно-резонансного томографа для нужд Государственного бюджетного учреждения ...</v>
      </c>
      <c r="G4394" s="22" t="s">
        <v>56</v>
      </c>
      <c r="H4394" s="22" t="s">
        <v>56</v>
      </c>
      <c r="I4394" s="26">
        <v>43710.4116319444</v>
      </c>
      <c r="J4394" s="23" t="str">
        <f>HYPERLINK("https://www.spark-marketing.ru/Card/Person/1640127", "ООО ""МТО""")</f>
        <v>ООО "МТО"</v>
      </c>
      <c r="K4394" s="24" t="s">
        <v>7161</v>
      </c>
      <c r="L4394" s="22" t="s">
        <v>10</v>
      </c>
      <c r="M4394" s="28" t="s">
        <v>51</v>
      </c>
      <c r="N4394" s="28" t="s">
        <v>51</v>
      </c>
    </row>
    <row r="4395" spans="1:14" collapsed="1" x14ac:dyDescent="0.15">
      <c r="A4395" s="23" t="str">
        <f>HYPERLINK("https://www.spark-marketing.ru/Card/Person/1223", "ФКУ ""ЦХИСО УМВД РОССИИ ПО ХАНТЫ-МАНСИЙСКОМУ АВТОНОМНОМУ ОКРУГУ - ЮГРЕ""")</f>
        <v>ФКУ "ЦХИСО УМВД РОССИИ ПО ХАНТЫ-МАНСИЙСКОМУ АВТОНОМНОМУ ОКРУГУ - ЮГРЕ"</v>
      </c>
      <c r="B4395" s="24" t="s">
        <v>3531</v>
      </c>
      <c r="C4395" s="25">
        <v>1039699.68</v>
      </c>
      <c r="D4395" s="22" t="s">
        <v>7162</v>
      </c>
      <c r="E4395" s="22" t="s">
        <v>48</v>
      </c>
      <c r="F4395" s="23" t="str">
        <f>HYPERLINK("https://www.spark-marketing.ru/Card/Lot/73187098", "Услуги по организации 3-х разового горячего питания слушателей, находящихся на обучение в Центре профессиональной подготовки УМВД России по Ханты-Мансийскому автономному округу - Югре")</f>
        <v>Услуги по организации 3-х разового горячего питания слушателей, находящихся на обучение в Центре профессиональной подготовки УМВД России по Ханты-Мансийскому автономному округу - Югре</v>
      </c>
      <c r="G4395" s="22" t="s">
        <v>97</v>
      </c>
      <c r="H4395" s="22" t="s">
        <v>3533</v>
      </c>
      <c r="I4395" s="26">
        <v>43710.4008680556</v>
      </c>
      <c r="J4395" s="23" t="str">
        <f>HYPERLINK("https://www.spark-marketing.ru/Card/Person/54874", "ООО ""РУССКОМПЛЕКТ ПИТ""")</f>
        <v>ООО "РУССКОМПЛЕКТ ПИТ"</v>
      </c>
      <c r="K4395" s="24" t="s">
        <v>3534</v>
      </c>
      <c r="L4395" s="28" t="s">
        <v>51</v>
      </c>
      <c r="M4395" s="28" t="s">
        <v>51</v>
      </c>
      <c r="N4395" s="28" t="s">
        <v>51</v>
      </c>
    </row>
    <row r="4396" spans="1:14" ht="12.75" hidden="1" outlineLevel="1" x14ac:dyDescent="0.2">
      <c r="A4396" s="23" t="str">
        <f>HYPERLINK("https://www.spark-marketing.ru/Card/Person/1223", "ФКУ ""ЦХИСО УМВД РОССИИ ПО ХАНТЫ-МАНСИЙСКОМУ АВТОНОМНОМУ ОКРУГУ - ЮГРЕ""")</f>
        <v>ФКУ "ЦХИСО УМВД РОССИИ ПО ХАНТЫ-МАНСИЙСКОМУ АВТОНОМНОМУ ОКРУГУ - ЮГРЕ"</v>
      </c>
      <c r="B4396" s="24" t="s">
        <v>3531</v>
      </c>
      <c r="C4396" s="25">
        <v>1039699.68</v>
      </c>
      <c r="D4396" s="22" t="s">
        <v>7162</v>
      </c>
      <c r="E4396" s="22" t="s">
        <v>48</v>
      </c>
      <c r="F4396" s="23" t="str">
        <f>HYPERLINK("https://www.spark-marketing.ru/Card/Lot/73187098", "Услуги по организации 3-х разового горячего питания слушателей, находящихся на обучение в Центре профессиональной подготовки УМВД России по Ханты-Мансийскому автономному округу - Югре")</f>
        <v>Услуги по организации 3-х разового горячего питания слушателей, находящихся на обучение в Центре профессиональной подготовки УМВД России по Ханты-Мансийскому автономному округу - Югре</v>
      </c>
      <c r="G4396" s="22" t="s">
        <v>97</v>
      </c>
      <c r="H4396" s="22" t="s">
        <v>3533</v>
      </c>
      <c r="I4396" s="26">
        <v>43710.4008680556</v>
      </c>
      <c r="J4396" s="23" t="str">
        <f>HYPERLINK("https://www.spark-marketing.ru/Card/Person/54874", "ООО ""РУССКОМПЛЕКТ ПИТ""")</f>
        <v>ООО "РУССКОМПЛЕКТ ПИТ"</v>
      </c>
      <c r="K4396" s="24" t="s">
        <v>3534</v>
      </c>
      <c r="L4396" s="22" t="s">
        <v>10</v>
      </c>
      <c r="M4396" s="25">
        <v>1034501.18</v>
      </c>
      <c r="N4396" s="27">
        <v>5.0000015389059273E-3</v>
      </c>
    </row>
    <row r="4397" spans="1:14" collapsed="1" x14ac:dyDescent="0.15">
      <c r="A4397" s="23" t="str">
        <f>HYPERLINK("https://www.spark-marketing.ru/Card/Person/4393", "МУЗ ""ДЕТСКАЯ ГОРОДСКАЯ БОЛЬНИЦА""")</f>
        <v>МУЗ "ДЕТСКАЯ ГОРОДСКАЯ БОЛЬНИЦА"</v>
      </c>
      <c r="B4397" s="24" t="s">
        <v>7163</v>
      </c>
      <c r="C4397" s="25">
        <v>142730</v>
      </c>
      <c r="D4397" s="22" t="s">
        <v>7164</v>
      </c>
      <c r="E4397" s="22" t="s">
        <v>91</v>
      </c>
      <c r="F4397" s="23" t="str">
        <f>HYPERLINK("https://www.spark-marketing.ru/Card/Lot/73187699", "Оказание услуг по ремонту оргтехники")</f>
        <v>Оказание услуг по ремонту оргтехники</v>
      </c>
      <c r="G4397" s="22" t="s">
        <v>267</v>
      </c>
      <c r="H4397" s="22" t="s">
        <v>267</v>
      </c>
      <c r="I4397" s="26">
        <v>43710.378171296303</v>
      </c>
      <c r="J4397" s="28" t="s">
        <v>51</v>
      </c>
      <c r="K4397" s="28" t="s">
        <v>51</v>
      </c>
      <c r="L4397" s="28" t="s">
        <v>51</v>
      </c>
      <c r="M4397" s="28" t="s">
        <v>51</v>
      </c>
      <c r="N4397" s="28" t="s">
        <v>51</v>
      </c>
    </row>
    <row r="4398" spans="1:14" ht="12.75" hidden="1" outlineLevel="1" x14ac:dyDescent="0.2">
      <c r="A4398" s="23" t="str">
        <f>HYPERLINK("https://www.spark-marketing.ru/Card/Person/4393", "МУЗ ""ДЕТСКАЯ ГОРОДСКАЯ БОЛЬНИЦА""")</f>
        <v>МУЗ "ДЕТСКАЯ ГОРОДСКАЯ БОЛЬНИЦА"</v>
      </c>
      <c r="B4398" s="24" t="s">
        <v>7163</v>
      </c>
      <c r="C4398" s="25">
        <v>142730</v>
      </c>
      <c r="D4398" s="22" t="s">
        <v>7164</v>
      </c>
      <c r="E4398" s="22" t="s">
        <v>91</v>
      </c>
      <c r="F4398" s="23" t="str">
        <f>HYPERLINK("https://www.spark-marketing.ru/Card/Lot/73187699", "Оказание услуг по ремонту оргтехники")</f>
        <v>Оказание услуг по ремонту оргтехники</v>
      </c>
      <c r="G4398" s="22" t="s">
        <v>267</v>
      </c>
      <c r="H4398" s="22" t="s">
        <v>267</v>
      </c>
      <c r="I4398" s="26">
        <v>43710.378171296303</v>
      </c>
      <c r="J4398" s="23" t="str">
        <f>HYPERLINK("https://www.spark-marketing.ru/Card/Person/5794964", "Виноградов Алексей Геннадьевич")</f>
        <v>Виноградов Алексей Геннадьевич</v>
      </c>
      <c r="K4398" s="24" t="s">
        <v>7165</v>
      </c>
      <c r="L4398" s="22" t="s">
        <v>10</v>
      </c>
      <c r="M4398" s="25">
        <v>65655.8</v>
      </c>
      <c r="N4398" s="27">
        <v>0.54</v>
      </c>
    </row>
    <row r="4399" spans="1:14" hidden="1" outlineLevel="1" x14ac:dyDescent="0.2">
      <c r="A4399" s="23" t="str">
        <f>HYPERLINK("https://www.spark-marketing.ru/Card/Person/4393", "МУЗ ""ДЕТСКАЯ ГОРОДСКАЯ БОЛЬНИЦА""")</f>
        <v>МУЗ "ДЕТСКАЯ ГОРОДСКАЯ БОЛЬНИЦА"</v>
      </c>
      <c r="B4399" s="24" t="s">
        <v>7163</v>
      </c>
      <c r="C4399" s="25">
        <v>142730</v>
      </c>
      <c r="D4399" s="22" t="s">
        <v>7164</v>
      </c>
      <c r="E4399" s="22" t="s">
        <v>91</v>
      </c>
      <c r="F4399" s="23" t="str">
        <f>HYPERLINK("https://www.spark-marketing.ru/Card/Lot/73187699", "Оказание услуг по ремонту оргтехники")</f>
        <v>Оказание услуг по ремонту оргтехники</v>
      </c>
      <c r="G4399" s="22" t="s">
        <v>267</v>
      </c>
      <c r="H4399" s="22" t="s">
        <v>267</v>
      </c>
      <c r="I4399" s="26">
        <v>43710.378171296303</v>
      </c>
      <c r="J4399" s="23" t="str">
        <f>HYPERLINK("https://www.spark-marketing.ru/Card/Person/67896", "ООО ""СЕРВИС-КМ""")</f>
        <v>ООО "СЕРВИС-КМ"</v>
      </c>
      <c r="K4399" s="24" t="s">
        <v>7166</v>
      </c>
      <c r="L4399" s="28" t="s">
        <v>51</v>
      </c>
      <c r="M4399" s="25">
        <v>66369.45</v>
      </c>
      <c r="N4399" s="27">
        <v>0.53500000000000003</v>
      </c>
    </row>
    <row r="4400" spans="1:14" x14ac:dyDescent="0.15">
      <c r="A4400" s="23" t="str">
        <f>HYPERLINK("https://www.spark-marketing.ru/Card/Person/87398", "ГБПОУ ЧИК")</f>
        <v>ГБПОУ ЧИК</v>
      </c>
      <c r="B4400" s="24" t="s">
        <v>7167</v>
      </c>
      <c r="C4400" s="25">
        <v>450186.35</v>
      </c>
      <c r="D4400" s="22" t="s">
        <v>7168</v>
      </c>
      <c r="E4400" s="22" t="s">
        <v>96</v>
      </c>
      <c r="F4400" s="23" t="str">
        <f>HYPERLINK("https://www.spark-marketing.ru/Card/Lot/73187645", "Услуги по предоставлению заказчику персонала для организации питания в столовой заказчика")</f>
        <v>Услуги по предоставлению заказчику персонала для организации питания в столовой заказчика</v>
      </c>
      <c r="G4400" s="22" t="s">
        <v>153</v>
      </c>
      <c r="H4400" s="22" t="s">
        <v>153</v>
      </c>
      <c r="I4400" s="26">
        <v>43710.359317129602</v>
      </c>
      <c r="J4400" s="23" t="str">
        <f>HYPERLINK("https://www.spark-marketing.ru/Card/Person/1411204", "Хапутдинова Роза Рахимзяновна")</f>
        <v>Хапутдинова Роза Рахимзяновна</v>
      </c>
      <c r="K4400" s="24" t="s">
        <v>7169</v>
      </c>
      <c r="L4400" s="22" t="s">
        <v>10</v>
      </c>
      <c r="M4400" s="28" t="s">
        <v>51</v>
      </c>
      <c r="N4400" s="28" t="s">
        <v>51</v>
      </c>
    </row>
    <row r="4401" spans="1:14" x14ac:dyDescent="0.15">
      <c r="A4401" s="23" t="str">
        <f>HYPERLINK("https://www.spark-marketing.ru/Card/Person/1015772", "ОМВД РОССИИ ПО УВАТСКОМУ РАЙОНУ")</f>
        <v>ОМВД РОССИИ ПО УВАТСКОМУ РАЙОНУ</v>
      </c>
      <c r="B4401" s="24" t="s">
        <v>7170</v>
      </c>
      <c r="C4401" s="25">
        <v>300000</v>
      </c>
      <c r="D4401" s="22" t="s">
        <v>7171</v>
      </c>
      <c r="E4401" s="22" t="s">
        <v>96</v>
      </c>
      <c r="F4401" s="23" t="str">
        <f>HYPERLINK("https://www.spark-marketing.ru/Card/Lot/73167290", "Оказание услуг по организации питания (приготовлению и доставке), 1000 шт")</f>
        <v>Оказание услуг по организации питания (приготовлению и доставке), 1000 шт</v>
      </c>
      <c r="G4401" s="22" t="s">
        <v>766</v>
      </c>
      <c r="H4401" s="22" t="s">
        <v>7172</v>
      </c>
      <c r="I4401" s="26">
        <v>43710.363692129598</v>
      </c>
      <c r="J4401" s="28" t="s">
        <v>51</v>
      </c>
      <c r="K4401" s="28" t="s">
        <v>51</v>
      </c>
      <c r="L4401" s="28" t="s">
        <v>51</v>
      </c>
      <c r="M4401" s="28" t="s">
        <v>51</v>
      </c>
      <c r="N4401" s="28" t="s">
        <v>51</v>
      </c>
    </row>
    <row r="4402" spans="1:14" x14ac:dyDescent="0.15">
      <c r="A4402" s="23" t="str">
        <f>HYPERLINK("https://www.spark-marketing.ru/Card/Person/25892", "УМВД РОССИИ ПО Г.ВОРОНЕЖУ")</f>
        <v>УМВД РОССИИ ПО Г.ВОРОНЕЖУ</v>
      </c>
      <c r="B4402" s="24" t="s">
        <v>7173</v>
      </c>
      <c r="C4402" s="25">
        <v>1547145</v>
      </c>
      <c r="D4402" s="22" t="s">
        <v>7174</v>
      </c>
      <c r="E4402" s="22" t="s">
        <v>48</v>
      </c>
      <c r="F4402" s="23" t="str">
        <f>HYPERLINK("https://www.spark-marketing.ru/Card/Lot/73182521", "питание ИВС и спецприемника")</f>
        <v>питание ИВС и спецприемника</v>
      </c>
      <c r="G4402" s="22" t="s">
        <v>82</v>
      </c>
      <c r="H4402" s="22" t="s">
        <v>82</v>
      </c>
      <c r="I4402" s="26">
        <v>43710.367372685199</v>
      </c>
      <c r="J4402" s="23" t="str">
        <f>HYPERLINK("https://www.spark-marketing.ru/Card/Person/1271665", "Смагина Ольга Владимировна")</f>
        <v>Смагина Ольга Владимировна</v>
      </c>
      <c r="K4402" s="24" t="s">
        <v>7175</v>
      </c>
      <c r="L4402" s="22" t="s">
        <v>10</v>
      </c>
      <c r="M4402" s="28" t="s">
        <v>51</v>
      </c>
      <c r="N4402" s="28" t="s">
        <v>51</v>
      </c>
    </row>
    <row r="4403" spans="1:14" x14ac:dyDescent="0.15">
      <c r="A4403" s="23" t="str">
        <f>HYPERLINK("https://www.spark-marketing.ru/Card/Person/1324648", "МАОУ СОШ № 5")</f>
        <v>МАОУ СОШ № 5</v>
      </c>
      <c r="B4403" s="24" t="s">
        <v>7176</v>
      </c>
      <c r="C4403" s="25">
        <v>159264</v>
      </c>
      <c r="D4403" s="22" t="s">
        <v>7177</v>
      </c>
      <c r="E4403" s="22" t="s">
        <v>362</v>
      </c>
      <c r="F4403" s="23" t="str">
        <f>HYPERLINK("https://www.spark-marketing.ru/Card/Lot/73171414", "Оказание услуг по организации питания")</f>
        <v>Оказание услуг по организации питания</v>
      </c>
      <c r="G4403" s="22" t="s">
        <v>351</v>
      </c>
      <c r="H4403" s="22" t="s">
        <v>351</v>
      </c>
      <c r="I4403" s="26">
        <v>43710</v>
      </c>
      <c r="J4403" s="28" t="s">
        <v>51</v>
      </c>
      <c r="K4403" s="28" t="s">
        <v>51</v>
      </c>
      <c r="L4403" s="28" t="s">
        <v>51</v>
      </c>
      <c r="M4403" s="28" t="s">
        <v>51</v>
      </c>
      <c r="N4403" s="28" t="s">
        <v>51</v>
      </c>
    </row>
    <row r="4404" spans="1:14" x14ac:dyDescent="0.15">
      <c r="A4404" s="23" t="str">
        <f>HYPERLINK("https://www.spark-marketing.ru/Card/Person/1479539", "МАОУ ООШ С. КРАСНЫЙ ЯР")</f>
        <v>МАОУ ООШ С. КРАСНЫЙ ЯР</v>
      </c>
      <c r="B4404" s="24" t="s">
        <v>7178</v>
      </c>
      <c r="C4404" s="25">
        <v>169990.9</v>
      </c>
      <c r="D4404" s="22" t="s">
        <v>7179</v>
      </c>
      <c r="E4404" s="22" t="s">
        <v>362</v>
      </c>
      <c r="F4404" s="23" t="str">
        <f>HYPERLINK("https://www.spark-marketing.ru/Card/Lot/73171415", "Оказание услуг по организации питания для нужд МАОУ ООШ с. Красный Яр")</f>
        <v>Оказание услуг по организации питания для нужд МАОУ ООШ с. Красный Яр</v>
      </c>
      <c r="G4404" s="22" t="s">
        <v>351</v>
      </c>
      <c r="H4404" s="22" t="s">
        <v>7180</v>
      </c>
      <c r="I4404" s="26">
        <v>43710</v>
      </c>
      <c r="J4404" s="28" t="s">
        <v>51</v>
      </c>
      <c r="K4404" s="28" t="s">
        <v>51</v>
      </c>
      <c r="L4404" s="28" t="s">
        <v>51</v>
      </c>
      <c r="M4404" s="28" t="s">
        <v>51</v>
      </c>
      <c r="N4404" s="28" t="s">
        <v>51</v>
      </c>
    </row>
    <row r="4405" spans="1:14" x14ac:dyDescent="0.15">
      <c r="A4405" s="23" t="str">
        <f>HYPERLINK("https://www.spark-marketing.ru/Card/Person/734420", "МАОУ ""ЛИЦЕЙ №12"" Г. СТЕРЛИТАМАК РБ")</f>
        <v>МАОУ "ЛИЦЕЙ №12" Г. СТЕРЛИТАМАК РБ</v>
      </c>
      <c r="B4405" s="24" t="s">
        <v>7181</v>
      </c>
      <c r="C4405" s="25">
        <v>259250</v>
      </c>
      <c r="D4405" s="22" t="s">
        <v>7182</v>
      </c>
      <c r="E4405" s="22" t="s">
        <v>362</v>
      </c>
      <c r="F4405" s="23" t="str">
        <f>HYPERLINK("https://www.spark-marketing.ru/Card/Lot/73173671", "Оказание услуг по организации питания обучающихся из многодетных малообеспеченных семей")</f>
        <v>Оказание услуг по организации питания обучающихся из многодетных малообеспеченных семей</v>
      </c>
      <c r="G4405" s="22" t="s">
        <v>145</v>
      </c>
      <c r="H4405" s="22" t="s">
        <v>145</v>
      </c>
      <c r="I4405" s="26">
        <v>43710</v>
      </c>
      <c r="J4405" s="28" t="s">
        <v>51</v>
      </c>
      <c r="K4405" s="28" t="s">
        <v>51</v>
      </c>
      <c r="L4405" s="28" t="s">
        <v>51</v>
      </c>
      <c r="M4405" s="28" t="s">
        <v>51</v>
      </c>
      <c r="N4405" s="28" t="s">
        <v>51</v>
      </c>
    </row>
    <row r="4406" spans="1:14" x14ac:dyDescent="0.15">
      <c r="A4406" s="23" t="str">
        <f>HYPERLINK("https://www.spark-marketing.ru/Card/Person/142759", "МОУ СОШ №1 Г.МОЖАЙСКА")</f>
        <v>МОУ СОШ №1 Г.МОЖАЙСКА</v>
      </c>
      <c r="B4406" s="24" t="s">
        <v>7183</v>
      </c>
      <c r="C4406" s="25">
        <v>1009120</v>
      </c>
      <c r="D4406" s="22" t="s">
        <v>7184</v>
      </c>
      <c r="E4406" s="22" t="s">
        <v>362</v>
      </c>
      <c r="F4406" s="23" t="str">
        <f>HYPERLINK("https://www.spark-marketing.ru/Card/Lot/73157439", "на оказание социальных услуг по организации питания отдельным категориям обучающихся (октябрь-декабрь 2019 г.)")</f>
        <v>на оказание социальных услуг по организации питания отдельным категориям обучающихся (октябрь-декабрь 2019 г.)</v>
      </c>
      <c r="G4406" s="22" t="s">
        <v>49</v>
      </c>
      <c r="H4406" s="22" t="s">
        <v>49</v>
      </c>
      <c r="I4406" s="26">
        <v>43707</v>
      </c>
      <c r="J4406" s="28" t="s">
        <v>51</v>
      </c>
      <c r="K4406" s="28" t="s">
        <v>51</v>
      </c>
      <c r="L4406" s="28" t="s">
        <v>51</v>
      </c>
      <c r="M4406" s="28" t="s">
        <v>51</v>
      </c>
      <c r="N4406" s="28" t="s">
        <v>51</v>
      </c>
    </row>
    <row r="4407" spans="1:14" x14ac:dyDescent="0.15">
      <c r="A4407" s="23" t="str">
        <f>HYPERLINK("https://www.spark-marketing.ru/Card/Person/1759851", "МАОУ ""СОШ №5"" ГОРОДСКОГО ОКРУГА Г.СТЕРЛИТАМАК РБ")</f>
        <v>МАОУ "СОШ №5" ГОРОДСКОГО ОКРУГА Г.СТЕРЛИТАМАК РБ</v>
      </c>
      <c r="B4407" s="24" t="s">
        <v>7185</v>
      </c>
      <c r="C4407" s="25">
        <v>138996</v>
      </c>
      <c r="D4407" s="22" t="s">
        <v>7186</v>
      </c>
      <c r="E4407" s="22" t="s">
        <v>362</v>
      </c>
      <c r="F4407" s="23" t="str">
        <f>HYPERLINK("https://www.spark-marketing.ru/Card/Lot/73173216", "Оказание услуг по организации питания обучающихся с ограниченными возможностями здоровья")</f>
        <v>Оказание услуг по организации питания обучающихся с ограниченными возможностями здоровья</v>
      </c>
      <c r="G4407" s="22" t="s">
        <v>145</v>
      </c>
      <c r="H4407" s="22" t="s">
        <v>145</v>
      </c>
      <c r="I4407" s="26">
        <v>43710</v>
      </c>
      <c r="J4407" s="28" t="s">
        <v>51</v>
      </c>
      <c r="K4407" s="28" t="s">
        <v>51</v>
      </c>
      <c r="L4407" s="28" t="s">
        <v>51</v>
      </c>
      <c r="M4407" s="28" t="s">
        <v>51</v>
      </c>
      <c r="N4407" s="28" t="s">
        <v>51</v>
      </c>
    </row>
    <row r="4408" spans="1:14" x14ac:dyDescent="0.15">
      <c r="A4408" s="23" t="str">
        <f>HYPERLINK("https://www.spark-marketing.ru/Card/Person/1482897", "МАОУ ЛИЦЕЙ №1")</f>
        <v>МАОУ ЛИЦЕЙ №1</v>
      </c>
      <c r="B4408" s="24" t="s">
        <v>7187</v>
      </c>
      <c r="C4408" s="25">
        <v>195120</v>
      </c>
      <c r="D4408" s="22" t="s">
        <v>7188</v>
      </c>
      <c r="E4408" s="22" t="s">
        <v>362</v>
      </c>
      <c r="F4408" s="23" t="str">
        <f>HYPERLINK("https://www.spark-marketing.ru/Card/Lot/73174111", "Организация общественного питания")</f>
        <v>Организация общественного питания</v>
      </c>
      <c r="G4408" s="22" t="s">
        <v>351</v>
      </c>
      <c r="H4408" s="22" t="s">
        <v>351</v>
      </c>
      <c r="I4408" s="26">
        <v>43710</v>
      </c>
      <c r="J4408" s="28" t="s">
        <v>51</v>
      </c>
      <c r="K4408" s="28" t="s">
        <v>51</v>
      </c>
      <c r="L4408" s="28" t="s">
        <v>51</v>
      </c>
      <c r="M4408" s="28" t="s">
        <v>51</v>
      </c>
      <c r="N4408" s="28" t="s">
        <v>51</v>
      </c>
    </row>
    <row r="4409" spans="1:14" x14ac:dyDescent="0.2">
      <c r="A4409" s="23" t="str">
        <f>HYPERLINK("https://www.spark-marketing.ru/Card/Person/234778", "МДОУ Д/С № 90")</f>
        <v>МДОУ Д/С № 90</v>
      </c>
      <c r="B4409" s="24" t="s">
        <v>2220</v>
      </c>
      <c r="C4409" s="25">
        <v>342532.21</v>
      </c>
      <c r="D4409" s="22" t="s">
        <v>7189</v>
      </c>
      <c r="E4409" s="22" t="s">
        <v>362</v>
      </c>
      <c r="F4409" s="23" t="str">
        <f>HYPERLINK("https://www.spark-marketing.ru/Card/Lot/73167984", "Оказание услуг по организации питания детей")</f>
        <v>Оказание услуг по организации питания детей</v>
      </c>
      <c r="G4409" s="22" t="s">
        <v>158</v>
      </c>
      <c r="H4409" s="22" t="s">
        <v>158</v>
      </c>
      <c r="I4409" s="26">
        <v>43710</v>
      </c>
      <c r="J4409" s="28" t="s">
        <v>51</v>
      </c>
      <c r="K4409" s="28" t="s">
        <v>51</v>
      </c>
      <c r="L4409" s="28" t="s">
        <v>51</v>
      </c>
      <c r="M4409" s="25">
        <v>342532.21</v>
      </c>
      <c r="N4409" s="27">
        <v>0</v>
      </c>
    </row>
    <row r="4410" spans="1:14" x14ac:dyDescent="0.2">
      <c r="A4410" s="23" t="str">
        <f>HYPERLINK("https://www.spark-marketing.ru/Card/Person/444947", "МАОУ ""УСТЬ-КАЧКИНСКАЯ СРЕДНЯЯ ШКОЛА""")</f>
        <v>МАОУ "УСТЬ-КАЧКИНСКАЯ СРЕДНЯЯ ШКОЛА"</v>
      </c>
      <c r="B4410" s="24" t="s">
        <v>2041</v>
      </c>
      <c r="C4410" s="25">
        <v>2000000</v>
      </c>
      <c r="D4410" s="22" t="s">
        <v>7190</v>
      </c>
      <c r="E4410" s="22" t="s">
        <v>362</v>
      </c>
      <c r="F4410" s="23" t="str">
        <f>HYPERLINK("https://www.spark-marketing.ru/Card/Lot/73173581", "Оказание услуг по организации горячего питания льготных категорий учащихся")</f>
        <v>Оказание услуг по организации горячего питания льготных категорий учащихся</v>
      </c>
      <c r="G4410" s="22" t="s">
        <v>153</v>
      </c>
      <c r="H4410" s="22" t="s">
        <v>153</v>
      </c>
      <c r="I4410" s="26">
        <v>43710</v>
      </c>
      <c r="J4410" s="28" t="s">
        <v>51</v>
      </c>
      <c r="K4410" s="28" t="s">
        <v>51</v>
      </c>
      <c r="L4410" s="22" t="s">
        <v>10</v>
      </c>
      <c r="M4410" s="25">
        <v>2000000</v>
      </c>
      <c r="N4410" s="27">
        <v>0</v>
      </c>
    </row>
    <row r="4411" spans="1:14" x14ac:dyDescent="0.15">
      <c r="A4411" s="23" t="str">
        <f>HYPERLINK("https://www.spark-marketing.ru/Card/Person/1805964", "МАОУ СОШ № 4")</f>
        <v>МАОУ СОШ № 4</v>
      </c>
      <c r="B4411" s="24" t="s">
        <v>7191</v>
      </c>
      <c r="C4411" s="25">
        <v>336747.6</v>
      </c>
      <c r="D4411" s="22" t="s">
        <v>7192</v>
      </c>
      <c r="E4411" s="22" t="s">
        <v>362</v>
      </c>
      <c r="F4411" s="23" t="str">
        <f>HYPERLINK("https://www.spark-marketing.ru/Card/Lot/73255668", "Оказание услуг по организации питания")</f>
        <v>Оказание услуг по организации питания</v>
      </c>
      <c r="G4411" s="22" t="s">
        <v>400</v>
      </c>
      <c r="H4411" s="22" t="s">
        <v>400</v>
      </c>
      <c r="I4411" s="26">
        <v>43713</v>
      </c>
      <c r="J4411" s="28" t="s">
        <v>51</v>
      </c>
      <c r="K4411" s="28" t="s">
        <v>51</v>
      </c>
      <c r="L4411" s="28" t="s">
        <v>51</v>
      </c>
      <c r="M4411" s="28" t="s">
        <v>51</v>
      </c>
      <c r="N4411" s="28" t="s">
        <v>51</v>
      </c>
    </row>
    <row r="4412" spans="1:14" x14ac:dyDescent="0.2">
      <c r="A4412" s="23" t="str">
        <f>HYPERLINK("https://www.spark-marketing.ru/Card/Person/1040942", "МДОУ Д/С № 60")</f>
        <v>МДОУ Д/С № 60</v>
      </c>
      <c r="B4412" s="24" t="s">
        <v>7193</v>
      </c>
      <c r="C4412" s="25">
        <v>535400.38</v>
      </c>
      <c r="D4412" s="22" t="s">
        <v>7194</v>
      </c>
      <c r="E4412" s="22" t="s">
        <v>362</v>
      </c>
      <c r="F4412" s="23" t="str">
        <f>HYPERLINK("https://www.spark-marketing.ru/Card/Lot/73262347", "оказание услуг по организации питания детей")</f>
        <v>оказание услуг по организации питания детей</v>
      </c>
      <c r="G4412" s="22" t="s">
        <v>158</v>
      </c>
      <c r="H4412" s="22" t="s">
        <v>158</v>
      </c>
      <c r="I4412" s="26">
        <v>43713</v>
      </c>
      <c r="J4412" s="28" t="s">
        <v>51</v>
      </c>
      <c r="K4412" s="28" t="s">
        <v>51</v>
      </c>
      <c r="L4412" s="22" t="s">
        <v>10</v>
      </c>
      <c r="M4412" s="25">
        <v>535400.38</v>
      </c>
      <c r="N4412" s="27">
        <v>0</v>
      </c>
    </row>
    <row r="4413" spans="1:14" x14ac:dyDescent="0.2">
      <c r="A4413" s="23" t="str">
        <f>HYPERLINK("https://www.spark-marketing.ru/Card/Person/1081057", "МАОУ ""ШКОЛА № 10""")</f>
        <v>МАОУ "ШКОЛА № 10"</v>
      </c>
      <c r="B4413" s="24" t="s">
        <v>7195</v>
      </c>
      <c r="C4413" s="25">
        <v>2198469</v>
      </c>
      <c r="D4413" s="22" t="s">
        <v>7196</v>
      </c>
      <c r="E4413" s="22" t="s">
        <v>362</v>
      </c>
      <c r="F4413" s="23" t="str">
        <f>HYPERLINK("https://www.spark-marketing.ru/Card/Lot/73175196", "Оказание услуг по организации горячего питания учащихся во время образовательного процесса")</f>
        <v>Оказание услуг по организации горячего питания учащихся во время образовательного процесса</v>
      </c>
      <c r="G4413" s="22" t="s">
        <v>174</v>
      </c>
      <c r="H4413" s="22" t="s">
        <v>174</v>
      </c>
      <c r="I4413" s="26">
        <v>43710</v>
      </c>
      <c r="J4413" s="28" t="s">
        <v>51</v>
      </c>
      <c r="K4413" s="28" t="s">
        <v>51</v>
      </c>
      <c r="L4413" s="28" t="s">
        <v>51</v>
      </c>
      <c r="M4413" s="25">
        <v>2198469</v>
      </c>
      <c r="N4413" s="27">
        <v>0</v>
      </c>
    </row>
    <row r="4414" spans="1:14" x14ac:dyDescent="0.2">
      <c r="A4414" s="23" t="str">
        <f>HYPERLINK("https://www.spark-marketing.ru/Card/Person/1321748", "МАОУ ""ООШ № 29""")</f>
        <v>МАОУ "ООШ № 29"</v>
      </c>
      <c r="B4414" s="24" t="s">
        <v>7197</v>
      </c>
      <c r="C4414" s="25">
        <v>171840</v>
      </c>
      <c r="D4414" s="22" t="s">
        <v>7198</v>
      </c>
      <c r="E4414" s="22" t="s">
        <v>362</v>
      </c>
      <c r="F4414" s="23" t="str">
        <f>HYPERLINK("https://www.spark-marketing.ru/Card/Lot/73203599", "Оказание услуги по организации питания детей")</f>
        <v>Оказание услуги по организации питания детей</v>
      </c>
      <c r="G4414" s="22" t="s">
        <v>351</v>
      </c>
      <c r="H4414" s="22" t="s">
        <v>351</v>
      </c>
      <c r="I4414" s="26">
        <v>43711</v>
      </c>
      <c r="J4414" s="28" t="s">
        <v>51</v>
      </c>
      <c r="K4414" s="28" t="s">
        <v>51</v>
      </c>
      <c r="L4414" s="22" t="s">
        <v>10</v>
      </c>
      <c r="M4414" s="25">
        <v>171840</v>
      </c>
      <c r="N4414" s="27">
        <v>0</v>
      </c>
    </row>
    <row r="4415" spans="1:14" x14ac:dyDescent="0.15">
      <c r="A4415" s="23" t="str">
        <f>HYPERLINK("https://www.spark-marketing.ru/Card/Person/1759562", "МАДОУ ДЕТСКИЙ САД № 37")</f>
        <v>МАДОУ ДЕТСКИЙ САД № 37</v>
      </c>
      <c r="B4415" s="24" t="s">
        <v>2037</v>
      </c>
      <c r="C4415" s="25">
        <v>229026</v>
      </c>
      <c r="D4415" s="22" t="s">
        <v>7199</v>
      </c>
      <c r="E4415" s="22" t="s">
        <v>1412</v>
      </c>
      <c r="F4415" s="23" t="str">
        <f>HYPERLINK("https://www.spark-marketing.ru/Card/Lot/73167043", "Услуги организации питания")</f>
        <v>Услуги организации питания</v>
      </c>
      <c r="G4415" s="22" t="s">
        <v>145</v>
      </c>
      <c r="H4415" s="22" t="s">
        <v>145</v>
      </c>
      <c r="I4415" s="26">
        <v>43710</v>
      </c>
      <c r="J4415" s="28" t="s">
        <v>51</v>
      </c>
      <c r="K4415" s="28" t="s">
        <v>51</v>
      </c>
      <c r="L4415" s="28" t="s">
        <v>51</v>
      </c>
      <c r="M4415" s="28" t="s">
        <v>51</v>
      </c>
      <c r="N4415" s="28" t="s">
        <v>51</v>
      </c>
    </row>
    <row r="4416" spans="1:14" x14ac:dyDescent="0.2">
      <c r="A4416" s="23" t="str">
        <f>HYPERLINK("https://www.spark-marketing.ru/Card/Person/256269", "МАОУ ""СОШ № 19"" ГОРОДСКОГО ОКРУГА Г. СТЕРЛИТАМАК РБ")</f>
        <v>МАОУ "СОШ № 19" ГОРОДСКОГО ОКРУГА Г. СТЕРЛИТАМАК РБ</v>
      </c>
      <c r="B4416" s="24" t="s">
        <v>7200</v>
      </c>
      <c r="C4416" s="25">
        <v>103700</v>
      </c>
      <c r="D4416" s="22" t="s">
        <v>7201</v>
      </c>
      <c r="E4416" s="22" t="s">
        <v>362</v>
      </c>
      <c r="F4416" s="23" t="str">
        <f>HYPERLINK("https://www.spark-marketing.ru/Card/Lot/73170838", "на оказание услуг по организации питания из многодетных малообеспеченных семей")</f>
        <v>на оказание услуг по организации питания из многодетных малообеспеченных семей</v>
      </c>
      <c r="G4416" s="22" t="s">
        <v>145</v>
      </c>
      <c r="H4416" s="22" t="s">
        <v>145</v>
      </c>
      <c r="I4416" s="26">
        <v>43710</v>
      </c>
      <c r="J4416" s="28" t="s">
        <v>51</v>
      </c>
      <c r="K4416" s="28" t="s">
        <v>51</v>
      </c>
      <c r="L4416" s="28" t="s">
        <v>51</v>
      </c>
      <c r="M4416" s="25">
        <v>103700</v>
      </c>
      <c r="N4416" s="27">
        <v>0</v>
      </c>
    </row>
    <row r="4417" spans="1:14" x14ac:dyDescent="0.15">
      <c r="A4417" s="23" t="str">
        <f>HYPERLINK("https://www.spark-marketing.ru/Card/Person/1324518", "МАОУ СОШ №18")</f>
        <v>МАОУ СОШ №18</v>
      </c>
      <c r="B4417" s="24" t="s">
        <v>7202</v>
      </c>
      <c r="C4417" s="25">
        <v>384057.14</v>
      </c>
      <c r="D4417" s="22" t="s">
        <v>7203</v>
      </c>
      <c r="E4417" s="22" t="s">
        <v>362</v>
      </c>
      <c r="F4417" s="23" t="str">
        <f>HYPERLINK("https://www.spark-marketing.ru/Card/Lot/73120620", "Оказание услуг по организации питания обучающихся и воспитанников")</f>
        <v>Оказание услуг по организации питания обучающихся и воспитанников</v>
      </c>
      <c r="G4417" s="22" t="s">
        <v>351</v>
      </c>
      <c r="H4417" s="22" t="s">
        <v>351</v>
      </c>
      <c r="I4417" s="26">
        <v>43706</v>
      </c>
      <c r="J4417" s="28" t="s">
        <v>51</v>
      </c>
      <c r="K4417" s="28" t="s">
        <v>51</v>
      </c>
      <c r="L4417" s="28" t="s">
        <v>51</v>
      </c>
      <c r="M4417" s="28" t="s">
        <v>51</v>
      </c>
      <c r="N4417" s="28" t="s">
        <v>51</v>
      </c>
    </row>
    <row r="4418" spans="1:14" x14ac:dyDescent="0.15">
      <c r="A4418" s="23" t="str">
        <f>HYPERLINK("https://www.spark-marketing.ru/Card/Person/1324584", "МАОУ СОШ № 7")</f>
        <v>МАОУ СОШ № 7</v>
      </c>
      <c r="B4418" s="24" t="s">
        <v>7204</v>
      </c>
      <c r="C4418" s="25">
        <v>276816</v>
      </c>
      <c r="D4418" s="22" t="s">
        <v>7205</v>
      </c>
      <c r="E4418" s="22" t="s">
        <v>7206</v>
      </c>
      <c r="F4418" s="23" t="str">
        <f>HYPERLINK("https://www.spark-marketing.ru/Card/Lot/73203152", "Оказание услуг по организации питания")</f>
        <v>Оказание услуг по организации питания</v>
      </c>
      <c r="G4418" s="22" t="s">
        <v>351</v>
      </c>
      <c r="H4418" s="22" t="s">
        <v>351</v>
      </c>
      <c r="I4418" s="26">
        <v>43711</v>
      </c>
      <c r="J4418" s="28" t="s">
        <v>51</v>
      </c>
      <c r="K4418" s="28" t="s">
        <v>51</v>
      </c>
      <c r="L4418" s="28" t="s">
        <v>51</v>
      </c>
      <c r="M4418" s="28" t="s">
        <v>51</v>
      </c>
      <c r="N4418" s="28" t="s">
        <v>51</v>
      </c>
    </row>
    <row r="4419" spans="1:14" x14ac:dyDescent="0.15">
      <c r="A4419" s="23" t="str">
        <f>HYPERLINK("https://www.spark-marketing.ru/Card/Person/951344", "КГАУ ""ЦСП ПК""")</f>
        <v>КГАУ "ЦСП ПК"</v>
      </c>
      <c r="B4419" s="24" t="s">
        <v>1559</v>
      </c>
      <c r="C4419" s="25">
        <v>2955520</v>
      </c>
      <c r="D4419" s="22" t="s">
        <v>7207</v>
      </c>
      <c r="E4419" s="22" t="s">
        <v>7208</v>
      </c>
      <c r="F4419" s="23" t="str">
        <f>HYPERLINK("https://www.spark-marketing.ru/Card/Lot/73201853", "Оказание гостиничных услуг и услуг питания в рамках официальных спортивных мероприятий для нужд КГАУ ""ЦСП ПК""")</f>
        <v>Оказание гостиничных услуг и услуг питания в рамках официальных спортивных мероприятий для нужд КГАУ "ЦСП ПК"</v>
      </c>
      <c r="G4419" s="22" t="s">
        <v>543</v>
      </c>
      <c r="H4419" s="22" t="s">
        <v>543</v>
      </c>
      <c r="I4419" s="26">
        <v>43711</v>
      </c>
      <c r="J4419" s="28" t="s">
        <v>51</v>
      </c>
      <c r="K4419" s="28" t="s">
        <v>51</v>
      </c>
      <c r="L4419" s="28" t="s">
        <v>51</v>
      </c>
      <c r="M4419" s="28" t="s">
        <v>51</v>
      </c>
      <c r="N4419" s="28" t="s">
        <v>51</v>
      </c>
    </row>
    <row r="4420" spans="1:14" x14ac:dyDescent="0.2">
      <c r="A4420" s="23" t="str">
        <f>HYPERLINK("https://www.spark-marketing.ru/Card/Person/4397861", "ООО ""ГАЗПРОМ ТРАНСГАЗ ВОЛГОГРАД""")</f>
        <v>ООО "ГАЗПРОМ ТРАНСГАЗ ВОЛГОГРАД"</v>
      </c>
      <c r="B4420" s="24" t="s">
        <v>2271</v>
      </c>
      <c r="C4420" s="25">
        <v>552397.68000000005</v>
      </c>
      <c r="D4420" s="22" t="s">
        <v>7209</v>
      </c>
      <c r="E4420" s="22" t="s">
        <v>362</v>
      </c>
      <c r="F4420" s="23" t="str">
        <f>HYPERLINK("https://www.spark-marketing.ru/Card/Lot/73167315", "Оказание услуг по организации питания служебных собак сухими кормами для нужд ООО «Газпром трансгаз Волгоград» в 2020 году.")</f>
        <v>Оказание услуг по организации питания служебных собак сухими кормами для нужд ООО «Газпром трансгаз Волгоград» в 2020 году.</v>
      </c>
      <c r="G4420" s="22" t="s">
        <v>158</v>
      </c>
      <c r="H4420" s="22" t="s">
        <v>171</v>
      </c>
      <c r="I4420" s="26">
        <v>43710</v>
      </c>
      <c r="J4420" s="28" t="s">
        <v>51</v>
      </c>
      <c r="K4420" s="28" t="s">
        <v>51</v>
      </c>
      <c r="L4420" s="22" t="s">
        <v>10</v>
      </c>
      <c r="M4420" s="25">
        <v>460330.44</v>
      </c>
      <c r="N4420" s="27">
        <v>0.1666684045450734</v>
      </c>
    </row>
    <row r="4421" spans="1:14" x14ac:dyDescent="0.2">
      <c r="A4421" s="23" t="str">
        <f>HYPERLINK("https://www.spark-marketing.ru/Card/Person/1777767", "МАОУ НСОШ")</f>
        <v>МАОУ НСОШ</v>
      </c>
      <c r="B4421" s="24" t="s">
        <v>7210</v>
      </c>
      <c r="C4421" s="25">
        <v>2055000</v>
      </c>
      <c r="D4421" s="22" t="s">
        <v>7211</v>
      </c>
      <c r="E4421" s="22" t="s">
        <v>362</v>
      </c>
      <c r="F4421" s="23" t="str">
        <f>HYPERLINK("https://www.spark-marketing.ru/Card/Lot/73175194", "Услуги по организации горячего питания учащихся")</f>
        <v>Услуги по организации горячего питания учащихся</v>
      </c>
      <c r="G4421" s="22" t="s">
        <v>766</v>
      </c>
      <c r="H4421" s="22" t="s">
        <v>766</v>
      </c>
      <c r="I4421" s="26">
        <v>43710</v>
      </c>
      <c r="J4421" s="28" t="s">
        <v>51</v>
      </c>
      <c r="K4421" s="28" t="s">
        <v>51</v>
      </c>
      <c r="L4421" s="28" t="s">
        <v>51</v>
      </c>
      <c r="M4421" s="25">
        <v>2055000</v>
      </c>
      <c r="N4421" s="27">
        <v>0</v>
      </c>
    </row>
    <row r="4422" spans="1:14" x14ac:dyDescent="0.15">
      <c r="A4422" s="23" t="str">
        <f>HYPERLINK("https://www.spark-marketing.ru/Card/Person/874768", "МАДОУ МО Г.КРАСНОДАР ""ДЕТСКИЙ САД № 136 ""ТОПОЛЁК""")</f>
        <v>МАДОУ МО Г.КРАСНОДАР "ДЕТСКИЙ САД № 136 "ТОПОЛЁК"</v>
      </c>
      <c r="B4422" s="24" t="s">
        <v>2047</v>
      </c>
      <c r="C4422" s="25">
        <v>1639821.75</v>
      </c>
      <c r="D4422" s="22" t="s">
        <v>7212</v>
      </c>
      <c r="E4422" s="22" t="s">
        <v>2049</v>
      </c>
      <c r="F4422" s="23" t="str">
        <f>HYPERLINK("https://www.spark-marketing.ru/Card/Lot/73179476", "Оказание услуг по организации горячего питания воспитанников (09)")</f>
        <v>Оказание услуг по организации горячего питания воспитанников (09)</v>
      </c>
      <c r="G4422" s="22" t="s">
        <v>104</v>
      </c>
      <c r="H4422" s="22" t="s">
        <v>104</v>
      </c>
      <c r="I4422" s="26">
        <v>43710</v>
      </c>
      <c r="J4422" s="28" t="s">
        <v>51</v>
      </c>
      <c r="K4422" s="28" t="s">
        <v>51</v>
      </c>
      <c r="L4422" s="28" t="s">
        <v>51</v>
      </c>
      <c r="M4422" s="28" t="s">
        <v>51</v>
      </c>
      <c r="N4422" s="28" t="s">
        <v>51</v>
      </c>
    </row>
    <row r="4423" spans="1:14" x14ac:dyDescent="0.2">
      <c r="A4423" s="23" t="str">
        <f>HYPERLINK("https://www.spark-marketing.ru/Card/Person/1758058", "МАДОУ ""ГАРДАРИКА"" Г.ПЕРМИ")</f>
        <v>МАДОУ "ГАРДАРИКА" Г.ПЕРМИ</v>
      </c>
      <c r="B4423" s="24" t="s">
        <v>7213</v>
      </c>
      <c r="C4423" s="25">
        <v>71113770</v>
      </c>
      <c r="D4423" s="22" t="s">
        <v>7214</v>
      </c>
      <c r="E4423" s="22" t="s">
        <v>362</v>
      </c>
      <c r="F4423" s="23" t="str">
        <f>HYPERLINK("https://www.spark-marketing.ru/Card/Lot/73173726", "Оказание услуг по организации питания воспитанников в МАДОУ ""ГАРДАРИКА"" г. Перми")</f>
        <v>Оказание услуг по организации питания воспитанников в МАДОУ "ГАРДАРИКА" г. Перми</v>
      </c>
      <c r="G4423" s="22" t="s">
        <v>153</v>
      </c>
      <c r="H4423" s="22" t="s">
        <v>153</v>
      </c>
      <c r="I4423" s="26">
        <v>43710</v>
      </c>
      <c r="J4423" s="28" t="s">
        <v>51</v>
      </c>
      <c r="K4423" s="28" t="s">
        <v>51</v>
      </c>
      <c r="L4423" s="22" t="s">
        <v>10</v>
      </c>
      <c r="M4423" s="25">
        <v>68338725</v>
      </c>
      <c r="N4423" s="27">
        <v>3.9022611232676876E-2</v>
      </c>
    </row>
    <row r="4424" spans="1:14" x14ac:dyDescent="0.2">
      <c r="A4424" s="23" t="str">
        <f>HYPERLINK("https://www.spark-marketing.ru/Card/Person/1006849", "МДОУ Д/С № 111")</f>
        <v>МДОУ Д/С № 111</v>
      </c>
      <c r="B4424" s="24" t="s">
        <v>7215</v>
      </c>
      <c r="C4424" s="25">
        <v>933544</v>
      </c>
      <c r="D4424" s="22" t="s">
        <v>7216</v>
      </c>
      <c r="E4424" s="22" t="s">
        <v>362</v>
      </c>
      <c r="F4424" s="23" t="str">
        <f>HYPERLINK("https://www.spark-marketing.ru/Card/Lot/73173616", "Оказание услуг по организации питания детей")</f>
        <v>Оказание услуг по организации питания детей</v>
      </c>
      <c r="G4424" s="22" t="s">
        <v>158</v>
      </c>
      <c r="H4424" s="22" t="s">
        <v>158</v>
      </c>
      <c r="I4424" s="26">
        <v>43710</v>
      </c>
      <c r="J4424" s="28" t="s">
        <v>51</v>
      </c>
      <c r="K4424" s="28" t="s">
        <v>51</v>
      </c>
      <c r="L4424" s="22" t="s">
        <v>10</v>
      </c>
      <c r="M4424" s="25">
        <v>933544</v>
      </c>
      <c r="N4424" s="27">
        <v>0</v>
      </c>
    </row>
    <row r="4425" spans="1:14" x14ac:dyDescent="0.15">
      <c r="A4425" s="23" t="str">
        <f>HYPERLINK("https://www.spark-marketing.ru/Card/Person/734420", "МАОУ ""ЛИЦЕЙ №12"" Г. СТЕРЛИТАМАК РБ")</f>
        <v>МАОУ "ЛИЦЕЙ №12" Г. СТЕРЛИТАМАК РБ</v>
      </c>
      <c r="B4425" s="24" t="s">
        <v>7181</v>
      </c>
      <c r="C4425" s="25">
        <v>256608</v>
      </c>
      <c r="D4425" s="22" t="s">
        <v>7217</v>
      </c>
      <c r="E4425" s="22" t="s">
        <v>362</v>
      </c>
      <c r="F4425" s="23" t="str">
        <f>HYPERLINK("https://www.spark-marketing.ru/Card/Lot/73174177", "Оказание услуг по организации питания обучающихся с ограниченными возможностями здоровья")</f>
        <v>Оказание услуг по организации питания обучающихся с ограниченными возможностями здоровья</v>
      </c>
      <c r="G4425" s="22" t="s">
        <v>145</v>
      </c>
      <c r="H4425" s="22" t="s">
        <v>145</v>
      </c>
      <c r="I4425" s="26">
        <v>43710</v>
      </c>
      <c r="J4425" s="28" t="s">
        <v>51</v>
      </c>
      <c r="K4425" s="28" t="s">
        <v>51</v>
      </c>
      <c r="L4425" s="28" t="s">
        <v>51</v>
      </c>
      <c r="M4425" s="28" t="s">
        <v>51</v>
      </c>
      <c r="N4425" s="28" t="s">
        <v>51</v>
      </c>
    </row>
    <row r="4426" spans="1:14" x14ac:dyDescent="0.15">
      <c r="A4426" s="23" t="str">
        <f>HYPERLINK("https://www.spark-marketing.ru/Card/Person/15058", "МИИГАИК")</f>
        <v>МИИГАИК</v>
      </c>
      <c r="B4426" s="24" t="s">
        <v>7218</v>
      </c>
      <c r="C4426" s="25">
        <v>500000</v>
      </c>
      <c r="D4426" s="22" t="s">
        <v>7219</v>
      </c>
      <c r="E4426" s="22" t="s">
        <v>362</v>
      </c>
      <c r="F4426" s="23" t="str">
        <f>HYPERLINK("https://www.spark-marketing.ru/Card/Lot/73173554", "Оказание услуг по организации питания для студентов, преподавателей и сотрудников для Кировского государственного колледжа строительства, экономики и права (филиал) федерального государственного бюджетного образовательного учреждения высшего образова...")</f>
        <v>Оказание услуг по организации питания для студентов, преподавателей и сотрудников для Кировского государственного колледжа строительства, экономики и права (филиал) федерального государственного бюджетного образовательного учреждения высшего образова...</v>
      </c>
      <c r="G4426" s="22" t="s">
        <v>56</v>
      </c>
      <c r="H4426" s="22" t="s">
        <v>56</v>
      </c>
      <c r="I4426" s="26">
        <v>43710</v>
      </c>
      <c r="J4426" s="28" t="s">
        <v>51</v>
      </c>
      <c r="K4426" s="28" t="s">
        <v>51</v>
      </c>
      <c r="L4426" s="28" t="s">
        <v>51</v>
      </c>
      <c r="M4426" s="28" t="s">
        <v>51</v>
      </c>
      <c r="N4426" s="28" t="s">
        <v>51</v>
      </c>
    </row>
    <row r="4427" spans="1:14" x14ac:dyDescent="0.2">
      <c r="A4427" s="23" t="str">
        <f>HYPERLINK("https://www.spark-marketing.ru/Card/Person/234400", "МДОУ Д/С № 30")</f>
        <v>МДОУ Д/С № 30</v>
      </c>
      <c r="B4427" s="24" t="s">
        <v>7220</v>
      </c>
      <c r="C4427" s="25">
        <v>469831.46</v>
      </c>
      <c r="D4427" s="22" t="s">
        <v>7221</v>
      </c>
      <c r="E4427" s="22" t="s">
        <v>362</v>
      </c>
      <c r="F4427" s="23" t="str">
        <f>HYPERLINK("https://www.spark-marketing.ru/Card/Lot/73169975", "Оказание услуг по организации питания детей")</f>
        <v>Оказание услуг по организации питания детей</v>
      </c>
      <c r="G4427" s="22" t="s">
        <v>158</v>
      </c>
      <c r="H4427" s="22" t="s">
        <v>158</v>
      </c>
      <c r="I4427" s="26">
        <v>43710</v>
      </c>
      <c r="J4427" s="28" t="s">
        <v>51</v>
      </c>
      <c r="K4427" s="28" t="s">
        <v>51</v>
      </c>
      <c r="L4427" s="22" t="s">
        <v>10</v>
      </c>
      <c r="M4427" s="25">
        <v>469831.46</v>
      </c>
      <c r="N4427" s="27">
        <v>0</v>
      </c>
    </row>
    <row r="4428" spans="1:14" x14ac:dyDescent="0.15">
      <c r="A4428" s="23" t="str">
        <f>HYPERLINK("https://www.spark-marketing.ru/Card/Person/1758755", "ООО ""ААУК""")</f>
        <v>ООО "ААУК"</v>
      </c>
      <c r="B4428" s="24" t="s">
        <v>7222</v>
      </c>
      <c r="C4428" s="25">
        <v>434029</v>
      </c>
      <c r="D4428" s="22" t="s">
        <v>7223</v>
      </c>
      <c r="E4428" s="22" t="s">
        <v>580</v>
      </c>
      <c r="F4428" s="23" t="str">
        <f>HYPERLINK("https://www.spark-marketing.ru/Card/Lot/73179052", "Закупка услуг по организации питания на мероприятии")</f>
        <v>Закупка услуг по организации питания на мероприятии</v>
      </c>
      <c r="G4428" s="22" t="s">
        <v>56</v>
      </c>
      <c r="H4428" s="22" t="s">
        <v>56</v>
      </c>
      <c r="I4428" s="26">
        <v>43710</v>
      </c>
      <c r="J4428" s="28" t="s">
        <v>51</v>
      </c>
      <c r="K4428" s="28" t="s">
        <v>51</v>
      </c>
      <c r="L4428" s="28" t="s">
        <v>51</v>
      </c>
      <c r="M4428" s="28" t="s">
        <v>51</v>
      </c>
      <c r="N4428" s="28" t="s">
        <v>51</v>
      </c>
    </row>
    <row r="4429" spans="1:14" x14ac:dyDescent="0.2">
      <c r="A4429" s="23" t="str">
        <f>HYPERLINK("https://www.spark-marketing.ru/Card/Person/1480364", "МАОУ СОШ П. НОВОНИКОЛАЕВСКИЙ")</f>
        <v>МАОУ СОШ П. НОВОНИКОЛАЕВСКИЙ</v>
      </c>
      <c r="B4429" s="24" t="s">
        <v>7224</v>
      </c>
      <c r="C4429" s="25">
        <v>276280.11</v>
      </c>
      <c r="D4429" s="22" t="s">
        <v>7225</v>
      </c>
      <c r="E4429" s="22" t="s">
        <v>362</v>
      </c>
      <c r="F4429" s="23" t="str">
        <f>HYPERLINK("https://www.spark-marketing.ru/Card/Lot/73116021", "Оказание услуг питания в образовательном учреждении")</f>
        <v>Оказание услуг питания в образовательном учреждении</v>
      </c>
      <c r="G4429" s="22" t="s">
        <v>351</v>
      </c>
      <c r="H4429" s="22" t="s">
        <v>351</v>
      </c>
      <c r="I4429" s="26">
        <v>43706</v>
      </c>
      <c r="J4429" s="28" t="s">
        <v>51</v>
      </c>
      <c r="K4429" s="28" t="s">
        <v>51</v>
      </c>
      <c r="L4429" s="28" t="s">
        <v>51</v>
      </c>
      <c r="M4429" s="25">
        <v>276280.11</v>
      </c>
      <c r="N4429" s="27">
        <v>0</v>
      </c>
    </row>
    <row r="4430" spans="1:14" x14ac:dyDescent="0.2">
      <c r="A4430" s="23" t="str">
        <f>HYPERLINK("https://www.spark-marketing.ru/Card/Person/234419", "МДОУ Д/С № 88")</f>
        <v>МДОУ Д/С № 88</v>
      </c>
      <c r="B4430" s="24" t="s">
        <v>7226</v>
      </c>
      <c r="C4430" s="25">
        <v>1194650.48</v>
      </c>
      <c r="D4430" s="22" t="s">
        <v>7227</v>
      </c>
      <c r="E4430" s="22" t="s">
        <v>362</v>
      </c>
      <c r="F4430" s="23" t="str">
        <f>HYPERLINK("https://www.spark-marketing.ru/Card/Lot/73173658", "Оказание услуг по организации питания детей")</f>
        <v>Оказание услуг по организации питания детей</v>
      </c>
      <c r="G4430" s="22" t="s">
        <v>158</v>
      </c>
      <c r="H4430" s="22" t="s">
        <v>158</v>
      </c>
      <c r="I4430" s="26">
        <v>43710</v>
      </c>
      <c r="J4430" s="28" t="s">
        <v>51</v>
      </c>
      <c r="K4430" s="28" t="s">
        <v>51</v>
      </c>
      <c r="L4430" s="22" t="s">
        <v>10</v>
      </c>
      <c r="M4430" s="25">
        <v>1194650.48</v>
      </c>
      <c r="N4430" s="27">
        <v>0</v>
      </c>
    </row>
    <row r="4431" spans="1:14" x14ac:dyDescent="0.15">
      <c r="A4431" s="23" t="str">
        <f>HYPERLINK("https://www.spark-marketing.ru/Card/Person/4414981", "МАОУ СОШ №1 Г. ТУРИНСКА")</f>
        <v>МАОУ СОШ №1 Г. ТУРИНСКА</v>
      </c>
      <c r="B4431" s="24" t="s">
        <v>2054</v>
      </c>
      <c r="C4431" s="25">
        <v>976320</v>
      </c>
      <c r="D4431" s="22" t="s">
        <v>7228</v>
      </c>
      <c r="E4431" s="22" t="s">
        <v>362</v>
      </c>
      <c r="F4431" s="23" t="str">
        <f>HYPERLINK("https://www.spark-marketing.ru/Card/Lot/73173647", "оказание услуг по организации питания учащихся")</f>
        <v>оказание услуг по организации питания учащихся</v>
      </c>
      <c r="G4431" s="22" t="s">
        <v>174</v>
      </c>
      <c r="H4431" s="22" t="s">
        <v>174</v>
      </c>
      <c r="I4431" s="26">
        <v>43710</v>
      </c>
      <c r="J4431" s="28" t="s">
        <v>51</v>
      </c>
      <c r="K4431" s="28" t="s">
        <v>51</v>
      </c>
      <c r="L4431" s="28" t="s">
        <v>51</v>
      </c>
      <c r="M4431" s="28" t="s">
        <v>51</v>
      </c>
      <c r="N4431" s="28" t="s">
        <v>51</v>
      </c>
    </row>
    <row r="4432" spans="1:14" x14ac:dyDescent="0.15">
      <c r="A4432" s="23" t="str">
        <f>HYPERLINK("https://www.spark-marketing.ru/Card/Person/1084088", "МАОУ СОШ №18 ИМЕНИ 30-ЛЕТИЯ ПОБЕДЫ")</f>
        <v>МАОУ СОШ №18 ИМЕНИ 30-ЛЕТИЯ ПОБЕДЫ</v>
      </c>
      <c r="B4432" s="24" t="s">
        <v>1220</v>
      </c>
      <c r="C4432" s="25">
        <v>598100</v>
      </c>
      <c r="D4432" s="22" t="s">
        <v>7229</v>
      </c>
      <c r="E4432" s="22" t="s">
        <v>362</v>
      </c>
      <c r="F4432" s="23" t="str">
        <f>HYPERLINK("https://www.spark-marketing.ru/Card/Lot/73182014", "Оказание услуг по организациипитания")</f>
        <v>Оказание услуг по организациипитания</v>
      </c>
      <c r="G4432" s="22" t="s">
        <v>104</v>
      </c>
      <c r="H4432" s="22" t="s">
        <v>104</v>
      </c>
      <c r="I4432" s="26">
        <v>43710</v>
      </c>
      <c r="J4432" s="28" t="s">
        <v>51</v>
      </c>
      <c r="K4432" s="28" t="s">
        <v>51</v>
      </c>
      <c r="L4432" s="28" t="s">
        <v>51</v>
      </c>
      <c r="M4432" s="28" t="s">
        <v>51</v>
      </c>
      <c r="N4432" s="28" t="s">
        <v>51</v>
      </c>
    </row>
    <row r="4433" spans="1:14" x14ac:dyDescent="0.2">
      <c r="A4433" s="23" t="str">
        <f>HYPERLINK("https://www.spark-marketing.ru/Card/Person/734808", "МАОУ СОШ № 36 Г. УЛАН-УДЭ")</f>
        <v>МАОУ СОШ № 36 Г. УЛАН-УДЭ</v>
      </c>
      <c r="B4433" s="24" t="s">
        <v>7230</v>
      </c>
      <c r="C4433" s="25">
        <v>116317.56</v>
      </c>
      <c r="D4433" s="22" t="s">
        <v>7231</v>
      </c>
      <c r="E4433" s="22" t="s">
        <v>362</v>
      </c>
      <c r="F4433" s="23" t="str">
        <f>HYPERLINK("https://www.spark-marketing.ru/Card/Lot/73168838", "организация трех разового горячего питания в пред школе. Услуги повара")</f>
        <v>организация трех разового горячего питания в пред школе. Услуги повара</v>
      </c>
      <c r="G4433" s="22" t="s">
        <v>433</v>
      </c>
      <c r="H4433" s="22" t="s">
        <v>433</v>
      </c>
      <c r="I4433" s="26">
        <v>43710</v>
      </c>
      <c r="J4433" s="28" t="s">
        <v>51</v>
      </c>
      <c r="K4433" s="28" t="s">
        <v>51</v>
      </c>
      <c r="L4433" s="28" t="s">
        <v>51</v>
      </c>
      <c r="M4433" s="25">
        <v>116317.56</v>
      </c>
      <c r="N4433" s="27">
        <v>0</v>
      </c>
    </row>
    <row r="4434" spans="1:14" x14ac:dyDescent="0.2">
      <c r="A4434" s="23" t="str">
        <f>HYPERLINK("https://www.spark-marketing.ru/Card/Person/1067924", "МДОУ Д/С № 8")</f>
        <v>МДОУ Д/С № 8</v>
      </c>
      <c r="B4434" s="24" t="s">
        <v>7232</v>
      </c>
      <c r="C4434" s="25">
        <v>971965.38</v>
      </c>
      <c r="D4434" s="22" t="s">
        <v>7233</v>
      </c>
      <c r="E4434" s="22" t="s">
        <v>362</v>
      </c>
      <c r="F4434" s="23" t="str">
        <f>HYPERLINK("https://www.spark-marketing.ru/Card/Lot/73169298", "Оказание услуг по организации питания детей")</f>
        <v>Оказание услуг по организации питания детей</v>
      </c>
      <c r="G4434" s="22" t="s">
        <v>158</v>
      </c>
      <c r="H4434" s="22" t="s">
        <v>158</v>
      </c>
      <c r="I4434" s="26">
        <v>43710</v>
      </c>
      <c r="J4434" s="28" t="s">
        <v>51</v>
      </c>
      <c r="K4434" s="28" t="s">
        <v>51</v>
      </c>
      <c r="L4434" s="22" t="s">
        <v>10</v>
      </c>
      <c r="M4434" s="25">
        <v>971965.38</v>
      </c>
      <c r="N4434" s="27">
        <v>0</v>
      </c>
    </row>
    <row r="4435" spans="1:14" x14ac:dyDescent="0.2">
      <c r="A4435" s="23" t="str">
        <f>HYPERLINK("https://www.spark-marketing.ru/Card/Person/234815", "МДОУ Д/С № 62")</f>
        <v>МДОУ Д/С № 62</v>
      </c>
      <c r="B4435" s="24" t="s">
        <v>7234</v>
      </c>
      <c r="C4435" s="25">
        <v>929898.82</v>
      </c>
      <c r="D4435" s="22" t="s">
        <v>7235</v>
      </c>
      <c r="E4435" s="22" t="s">
        <v>362</v>
      </c>
      <c r="F4435" s="23" t="str">
        <f>HYPERLINK("https://www.spark-marketing.ru/Card/Lot/73171070", "Оказание услуг по организации питания детей")</f>
        <v>Оказание услуг по организации питания детей</v>
      </c>
      <c r="G4435" s="22" t="s">
        <v>158</v>
      </c>
      <c r="H4435" s="22" t="s">
        <v>158</v>
      </c>
      <c r="I4435" s="26">
        <v>43710</v>
      </c>
      <c r="J4435" s="28" t="s">
        <v>51</v>
      </c>
      <c r="K4435" s="28" t="s">
        <v>51</v>
      </c>
      <c r="L4435" s="22" t="s">
        <v>10</v>
      </c>
      <c r="M4435" s="25">
        <v>929898.82</v>
      </c>
      <c r="N4435" s="27">
        <v>0</v>
      </c>
    </row>
    <row r="4436" spans="1:14" x14ac:dyDescent="0.2">
      <c r="A4436" s="23" t="str">
        <f>HYPERLINK("https://www.spark-marketing.ru/Card/Person/1112944", "ГАУК ВО ""ВЛАДИМИРСКИЙ ОБЛАСТНОЙ ТЕАТР КУКОЛ""")</f>
        <v>ГАУК ВО "ВЛАДИМИРСКИЙ ОБЛАСТНОЙ ТЕАТР КУКОЛ"</v>
      </c>
      <c r="B4436" s="24" t="s">
        <v>7236</v>
      </c>
      <c r="C4436" s="25">
        <v>443935</v>
      </c>
      <c r="D4436" s="22" t="s">
        <v>7237</v>
      </c>
      <c r="E4436" s="22" t="s">
        <v>362</v>
      </c>
      <c r="F4436" s="23" t="str">
        <f>HYPERLINK("https://www.spark-marketing.ru/Card/Lot/73175073", "Услуги по организации питания для участников III Межрегионального фестиваля театров кукол «Золотое колечко»")</f>
        <v>Услуги по организации питания для участников III Межрегионального фестиваля театров кукол «Золотое колечко»</v>
      </c>
      <c r="G4436" s="22" t="s">
        <v>663</v>
      </c>
      <c r="H4436" s="22" t="s">
        <v>663</v>
      </c>
      <c r="I4436" s="26">
        <v>43710</v>
      </c>
      <c r="J4436" s="28" t="s">
        <v>51</v>
      </c>
      <c r="K4436" s="28" t="s">
        <v>51</v>
      </c>
      <c r="L4436" s="22" t="s">
        <v>10</v>
      </c>
      <c r="M4436" s="25">
        <v>443935</v>
      </c>
      <c r="N4436" s="27">
        <v>0</v>
      </c>
    </row>
    <row r="4437" spans="1:14" x14ac:dyDescent="0.15">
      <c r="A4437" s="23" t="str">
        <f>HYPERLINK("https://www.spark-marketing.ru/Card/Person/4353137", "ПАО ""МОСЭНЕРГО""")</f>
        <v>ПАО "МОСЭНЕРГО"</v>
      </c>
      <c r="B4437" s="24" t="s">
        <v>7238</v>
      </c>
      <c r="C4437" s="25">
        <v>505369.2</v>
      </c>
      <c r="D4437" s="22" t="s">
        <v>7239</v>
      </c>
      <c r="E4437" s="22" t="s">
        <v>7240</v>
      </c>
      <c r="F4437" s="23" t="str">
        <f>HYPERLINK("https://www.spark-marketing.ru/Card/Lot/73175078", "КО №5373 - Определение лучших условий поставки блоков питания для нужд Публичное акционерное общество энергетики и электрификации ""Мосэнерго"" (G19P200488)")</f>
        <v>КО №5373 - Определение лучших условий поставки блоков питания для нужд Публичное акционерное общество энергетики и электрификации "Мосэнерго" (G19P200488)</v>
      </c>
      <c r="G4437" s="22" t="s">
        <v>56</v>
      </c>
      <c r="H4437" s="22" t="s">
        <v>56</v>
      </c>
      <c r="I4437" s="26">
        <v>43710</v>
      </c>
      <c r="J4437" s="28" t="s">
        <v>51</v>
      </c>
      <c r="K4437" s="28" t="s">
        <v>51</v>
      </c>
      <c r="L4437" s="28" t="s">
        <v>51</v>
      </c>
      <c r="M4437" s="28" t="s">
        <v>51</v>
      </c>
      <c r="N4437" s="28" t="s">
        <v>51</v>
      </c>
    </row>
    <row r="4438" spans="1:14" x14ac:dyDescent="0.2">
      <c r="A4438" s="23" t="str">
        <f>HYPERLINK("https://www.spark-marketing.ru/Card/Person/4348841", "АО АСЭ")</f>
        <v>АО АСЭ</v>
      </c>
      <c r="B4438" s="24" t="s">
        <v>938</v>
      </c>
      <c r="C4438" s="25">
        <v>5900000</v>
      </c>
      <c r="D4438" s="22" t="s">
        <v>7241</v>
      </c>
      <c r="E4438" s="22" t="s">
        <v>362</v>
      </c>
      <c r="F4438" s="23" t="str">
        <f>HYPERLINK("https://www.spark-marketing.ru/Card/Lot/73170690", "Право заключения договора на Организация питания работников на строительной площадке АЭС ""Эль-Дабаа""")</f>
        <v>Право заключения договора на Организация питания работников на строительной площадке АЭС "Эль-Дабаа"</v>
      </c>
      <c r="G4438" s="22" t="s">
        <v>76</v>
      </c>
      <c r="H4438" s="22" t="s">
        <v>940</v>
      </c>
      <c r="I4438" s="26">
        <v>43710</v>
      </c>
      <c r="J4438" s="28" t="s">
        <v>51</v>
      </c>
      <c r="K4438" s="28" t="s">
        <v>51</v>
      </c>
      <c r="L4438" s="28" t="s">
        <v>51</v>
      </c>
      <c r="M4438" s="25">
        <v>5900000</v>
      </c>
      <c r="N4438" s="27">
        <v>0</v>
      </c>
    </row>
    <row r="4439" spans="1:14" x14ac:dyDescent="0.2">
      <c r="A4439" s="23" t="str">
        <f>HYPERLINK("https://www.spark-marketing.ru/Card/Person/1112944", "ГАУК ВО ""ВЛАДИМИРСКИЙ ОБЛАСТНОЙ ТЕАТР КУКОЛ""")</f>
        <v>ГАУК ВО "ВЛАДИМИРСКИЙ ОБЛАСТНОЙ ТЕАТР КУКОЛ"</v>
      </c>
      <c r="B4439" s="24" t="s">
        <v>7236</v>
      </c>
      <c r="C4439" s="25">
        <v>120690</v>
      </c>
      <c r="D4439" s="22" t="s">
        <v>7242</v>
      </c>
      <c r="E4439" s="22" t="s">
        <v>769</v>
      </c>
      <c r="F4439" s="23" t="str">
        <f>HYPERLINK("https://www.spark-marketing.ru/Card/Lot/73174927", "Услуги по проживанию и питанию (обед, ужин) в гостинице для членов жюри III Межрегионального фестиваля театров кукол «Золотое колечко»")</f>
        <v>Услуги по проживанию и питанию (обед, ужин) в гостинице для членов жюри III Межрегионального фестиваля театров кукол «Золотое колечко»</v>
      </c>
      <c r="G4439" s="22" t="s">
        <v>663</v>
      </c>
      <c r="H4439" s="22" t="s">
        <v>663</v>
      </c>
      <c r="I4439" s="26">
        <v>43710</v>
      </c>
      <c r="J4439" s="28" t="s">
        <v>51</v>
      </c>
      <c r="K4439" s="28" t="s">
        <v>51</v>
      </c>
      <c r="L4439" s="22" t="s">
        <v>10</v>
      </c>
      <c r="M4439" s="25">
        <v>120690</v>
      </c>
      <c r="N4439" s="27">
        <v>0</v>
      </c>
    </row>
    <row r="4440" spans="1:14" x14ac:dyDescent="0.15">
      <c r="A4440" s="23" t="str">
        <f>HYPERLINK("https://www.spark-marketing.ru/Card/Person/4345851", "БАНК ВТБ (ПАО)")</f>
        <v>БАНК ВТБ (ПАО)</v>
      </c>
      <c r="B4440" s="24" t="s">
        <v>4635</v>
      </c>
      <c r="C4440" s="25">
        <v>4527741.51</v>
      </c>
      <c r="D4440" s="22" t="s">
        <v>7243</v>
      </c>
      <c r="E4440" s="22" t="s">
        <v>7244</v>
      </c>
      <c r="F4440" s="23" t="str">
        <f>HYPERLINK("https://www.spark-marketing.ru/Card/Lot/73181385", "Проведение работ по техническому обслуживанию источников бесперебойного питания (ИБП), установленных на объектах Банка ВТБ (ПАО).")</f>
        <v>Проведение работ по техническому обслуживанию источников бесперебойного питания (ИБП), установленных на объектах Банка ВТБ (ПАО).</v>
      </c>
      <c r="G4440" s="22" t="s">
        <v>117</v>
      </c>
      <c r="H4440" s="22" t="s">
        <v>117</v>
      </c>
      <c r="I4440" s="26">
        <v>43710</v>
      </c>
      <c r="J4440" s="28" t="s">
        <v>51</v>
      </c>
      <c r="K4440" s="28" t="s">
        <v>51</v>
      </c>
      <c r="L4440" s="28" t="s">
        <v>51</v>
      </c>
      <c r="M4440" s="28" t="s">
        <v>51</v>
      </c>
      <c r="N4440" s="28" t="s">
        <v>51</v>
      </c>
    </row>
    <row r="4441" spans="1:14" x14ac:dyDescent="0.15">
      <c r="A4441" s="23" t="str">
        <f>HYPERLINK("https://www.spark-marketing.ru/Card/Person/4414833", "МАОУ СОШ №2")</f>
        <v>МАОУ СОШ №2</v>
      </c>
      <c r="B4441" s="24" t="s">
        <v>2222</v>
      </c>
      <c r="C4441" s="25">
        <v>499991.2</v>
      </c>
      <c r="D4441" s="22" t="s">
        <v>7245</v>
      </c>
      <c r="E4441" s="22" t="s">
        <v>2224</v>
      </c>
      <c r="F4441" s="23" t="str">
        <f>HYPERLINK("https://www.spark-marketing.ru/Card/Lot/73249460", "оказание услуг по организации питания обучающихся в Муниципальном автономном общеобразовательном учреждении «Средняя общеобразовательная школа № 2» в 2019 году")</f>
        <v>оказание услуг по организации питания обучающихся в Муниципальном автономном общеобразовательном учреждении «Средняя общеобразовательная школа № 2» в 2019 году</v>
      </c>
      <c r="G4441" s="22" t="s">
        <v>174</v>
      </c>
      <c r="H4441" s="22" t="s">
        <v>174</v>
      </c>
      <c r="I4441" s="26">
        <v>43713</v>
      </c>
      <c r="J4441" s="28" t="s">
        <v>51</v>
      </c>
      <c r="K4441" s="28" t="s">
        <v>51</v>
      </c>
      <c r="L4441" s="28" t="s">
        <v>51</v>
      </c>
      <c r="M4441" s="28" t="s">
        <v>51</v>
      </c>
      <c r="N4441" s="28" t="s">
        <v>51</v>
      </c>
    </row>
    <row r="4442" spans="1:14" x14ac:dyDescent="0.15">
      <c r="A4442" s="23" t="str">
        <f>HYPERLINK("https://www.spark-marketing.ru/Card/Person/4369400", "ООО АВИАПРЕДПРИЯТИЕ ""ГАЗПРОМ АВИА""")</f>
        <v>ООО АВИАПРЕДПРИЯТИЕ "ГАЗПРОМ АВИА"</v>
      </c>
      <c r="B4442" s="24" t="s">
        <v>1724</v>
      </c>
      <c r="C4442" s="25">
        <v>2462167.84</v>
      </c>
      <c r="D4442" s="22" t="s">
        <v>7246</v>
      </c>
      <c r="E4442" s="22" t="s">
        <v>362</v>
      </c>
      <c r="F4442" s="23" t="str">
        <f>HYPERLINK("https://www.spark-marketing.ru/Card/Lot/73165700", "Оказание услуг по обеспечению пассажиров и экипажей воздушных судов бортовым питанием в а/п г. Челябинск")</f>
        <v>Оказание услуг по обеспечению пассажиров и экипажей воздушных судов бортовым питанием в а/п г. Челябинск</v>
      </c>
      <c r="G4442" s="22" t="s">
        <v>56</v>
      </c>
      <c r="H4442" s="22" t="s">
        <v>56</v>
      </c>
      <c r="I4442" s="26">
        <v>43709</v>
      </c>
      <c r="J4442" s="28" t="s">
        <v>51</v>
      </c>
      <c r="K4442" s="28" t="s">
        <v>51</v>
      </c>
      <c r="L4442" s="28" t="s">
        <v>51</v>
      </c>
      <c r="M4442" s="28" t="s">
        <v>51</v>
      </c>
      <c r="N4442" s="28" t="s">
        <v>51</v>
      </c>
    </row>
    <row r="4443" spans="1:14" x14ac:dyDescent="0.15">
      <c r="A4443" s="23" t="str">
        <f>HYPERLINK("https://www.spark-marketing.ru/Card/Person/4369400", "ООО АВИАПРЕДПРИЯТИЕ ""ГАЗПРОМ АВИА""")</f>
        <v>ООО АВИАПРЕДПРИЯТИЕ "ГАЗПРОМ АВИА"</v>
      </c>
      <c r="B4443" s="24" t="s">
        <v>1724</v>
      </c>
      <c r="C4443" s="25">
        <v>688603.45</v>
      </c>
      <c r="D4443" s="22" t="s">
        <v>7247</v>
      </c>
      <c r="E4443" s="22" t="s">
        <v>362</v>
      </c>
      <c r="F4443" s="23" t="str">
        <f>HYPERLINK("https://www.spark-marketing.ru/Card/Lot/73165786", "Оказание услуг по обеспечению пассажиров и экипажей воздушных судов бортовым питанием в а/п г. Нерюнгри")</f>
        <v>Оказание услуг по обеспечению пассажиров и экипажей воздушных судов бортовым питанием в а/п г. Нерюнгри</v>
      </c>
      <c r="G4443" s="22" t="s">
        <v>56</v>
      </c>
      <c r="H4443" s="22" t="s">
        <v>56</v>
      </c>
      <c r="I4443" s="26">
        <v>43709</v>
      </c>
      <c r="J4443" s="28" t="s">
        <v>51</v>
      </c>
      <c r="K4443" s="28" t="s">
        <v>51</v>
      </c>
      <c r="L4443" s="28" t="s">
        <v>51</v>
      </c>
      <c r="M4443" s="28" t="s">
        <v>51</v>
      </c>
      <c r="N4443" s="28" t="s">
        <v>51</v>
      </c>
    </row>
    <row r="4444" spans="1:14" x14ac:dyDescent="0.15">
      <c r="A4444" s="23" t="str">
        <f>HYPERLINK("https://www.spark-marketing.ru/Card/Person/4369400", "ООО АВИАПРЕДПРИЯТИЕ ""ГАЗПРОМ АВИА""")</f>
        <v>ООО АВИАПРЕДПРИЯТИЕ "ГАЗПРОМ АВИА"</v>
      </c>
      <c r="B4444" s="24" t="s">
        <v>1724</v>
      </c>
      <c r="C4444" s="25">
        <v>2775549.5</v>
      </c>
      <c r="D4444" s="22" t="s">
        <v>7248</v>
      </c>
      <c r="E4444" s="22" t="s">
        <v>362</v>
      </c>
      <c r="F4444" s="23" t="str">
        <f>HYPERLINK("https://www.spark-marketing.ru/Card/Lot/73165807", "Оказание услуг по обеспечению пассажиров и экипажей воздушных судов бортовым питанием в а/п г. Южно-Сахалинск")</f>
        <v>Оказание услуг по обеспечению пассажиров и экипажей воздушных судов бортовым питанием в а/п г. Южно-Сахалинск</v>
      </c>
      <c r="G4444" s="22" t="s">
        <v>56</v>
      </c>
      <c r="H4444" s="22" t="s">
        <v>56</v>
      </c>
      <c r="I4444" s="26">
        <v>43709</v>
      </c>
      <c r="J4444" s="28" t="s">
        <v>51</v>
      </c>
      <c r="K4444" s="28" t="s">
        <v>51</v>
      </c>
      <c r="L4444" s="28" t="s">
        <v>51</v>
      </c>
      <c r="M4444" s="28" t="s">
        <v>51</v>
      </c>
      <c r="N4444" s="28" t="s">
        <v>51</v>
      </c>
    </row>
    <row r="4445" spans="1:14" x14ac:dyDescent="0.15">
      <c r="A4445" s="23" t="str">
        <f>HYPERLINK("https://www.spark-marketing.ru/Card/Person/152066", "ОМВД РОССИИ ""ПРИМОРСКИЙ""")</f>
        <v>ОМВД РОССИИ "ПРИМОРСКИЙ"</v>
      </c>
      <c r="B4445" s="24" t="s">
        <v>7249</v>
      </c>
      <c r="C4445" s="25">
        <v>55000</v>
      </c>
      <c r="D4445" s="22" t="s">
        <v>7250</v>
      </c>
      <c r="E4445" s="22" t="s">
        <v>96</v>
      </c>
      <c r="F4445" s="23" t="str">
        <f>HYPERLINK("https://www.spark-marketing.ru/Card/Lot/73164929", "Услуга по питанию, 128 шт")</f>
        <v>Услуга по питанию, 128 шт</v>
      </c>
      <c r="G4445" s="22" t="s">
        <v>214</v>
      </c>
      <c r="H4445" s="22" t="s">
        <v>7251</v>
      </c>
      <c r="I4445" s="26">
        <v>43708.604976851799</v>
      </c>
      <c r="J4445" s="28" t="s">
        <v>51</v>
      </c>
      <c r="K4445" s="28" t="s">
        <v>51</v>
      </c>
      <c r="L4445" s="28" t="s">
        <v>51</v>
      </c>
      <c r="M4445" s="28" t="s">
        <v>51</v>
      </c>
      <c r="N4445" s="28" t="s">
        <v>51</v>
      </c>
    </row>
    <row r="4446" spans="1:14" x14ac:dyDescent="0.15">
      <c r="A4446" s="23" t="str">
        <f>HYPERLINK("https://www.spark-marketing.ru/Card/Person/19439", "ГУ-ВОЛОГОДСКОЕ РО ФОНДА СОЦИАЛЬНОГО СТРАХОВАНИЯ РОССИЙСКОЙ ФЕДЕРАЦИИ")</f>
        <v>ГУ-ВОЛОГОДСКОЕ РО ФОНДА СОЦИАЛЬНОГО СТРАХОВАНИЯ РОССИЙСКОЙ ФЕДЕРАЦИИ</v>
      </c>
      <c r="B4446" s="24" t="s">
        <v>7252</v>
      </c>
      <c r="C4446" s="25">
        <v>2318573.29</v>
      </c>
      <c r="D4446" s="22" t="s">
        <v>7253</v>
      </c>
      <c r="E4446" s="22" t="s">
        <v>317</v>
      </c>
      <c r="F4446" s="23" t="str">
        <f>HYPERLINK("https://www.spark-marketing.ru/Card/Lot/73165008", "Оказание услуг по обеспечению в 2019 году инвалидов с нарушением слуха слуховыми аппаратами")</f>
        <v>Оказание услуг по обеспечению в 2019 году инвалидов с нарушением слуха слуховыми аппаратами</v>
      </c>
      <c r="G4446" s="22" t="s">
        <v>503</v>
      </c>
      <c r="H4446" s="22" t="s">
        <v>962</v>
      </c>
      <c r="I4446" s="26">
        <v>43708.600601851896</v>
      </c>
      <c r="J4446" s="23" t="str">
        <f>HYPERLINK("https://www.spark-marketing.ru/Card/Person/233380", "ООО ТПК ""РИТМ""")</f>
        <v>ООО ТПК "РИТМ"</v>
      </c>
      <c r="K4446" s="24" t="s">
        <v>7254</v>
      </c>
      <c r="L4446" s="22" t="s">
        <v>10</v>
      </c>
      <c r="M4446" s="28" t="s">
        <v>51</v>
      </c>
      <c r="N4446" s="28" t="s">
        <v>51</v>
      </c>
    </row>
    <row r="4447" spans="1:14" x14ac:dyDescent="0.15">
      <c r="A4447" s="23" t="str">
        <f>HYPERLINK("https://www.spark-marketing.ru/Card/Person/152066", "ОМВД РОССИИ ""ПРИМОРСКИЙ""")</f>
        <v>ОМВД РОССИИ "ПРИМОРСКИЙ"</v>
      </c>
      <c r="B4447" s="24" t="s">
        <v>7249</v>
      </c>
      <c r="C4447" s="25">
        <v>55000</v>
      </c>
      <c r="D4447" s="22" t="s">
        <v>7255</v>
      </c>
      <c r="E4447" s="22" t="s">
        <v>96</v>
      </c>
      <c r="F4447" s="23" t="str">
        <f>HYPERLINK("https://www.spark-marketing.ru/Card/Lot/73164899", "Услуга по питанию, 128 шт")</f>
        <v>Услуга по питанию, 128 шт</v>
      </c>
      <c r="G4447" s="22" t="s">
        <v>214</v>
      </c>
      <c r="H4447" s="22" t="s">
        <v>7251</v>
      </c>
      <c r="I4447" s="26">
        <v>43708.615937499999</v>
      </c>
      <c r="J4447" s="28" t="s">
        <v>51</v>
      </c>
      <c r="K4447" s="28" t="s">
        <v>51</v>
      </c>
      <c r="L4447" s="28" t="s">
        <v>51</v>
      </c>
      <c r="M4447" s="28" t="s">
        <v>51</v>
      </c>
      <c r="N4447" s="28" t="s">
        <v>51</v>
      </c>
    </row>
    <row r="4448" spans="1:14" x14ac:dyDescent="0.15">
      <c r="A4448" s="23" t="str">
        <f>HYPERLINK("https://www.spark-marketing.ru/Card/Person/152066", "ОМВД РОССИИ ""ПРИМОРСКИЙ""")</f>
        <v>ОМВД РОССИИ "ПРИМОРСКИЙ"</v>
      </c>
      <c r="B4448" s="24" t="s">
        <v>7249</v>
      </c>
      <c r="C4448" s="25">
        <v>35000</v>
      </c>
      <c r="D4448" s="22" t="s">
        <v>7256</v>
      </c>
      <c r="E4448" s="22" t="s">
        <v>96</v>
      </c>
      <c r="F4448" s="23" t="str">
        <f>HYPERLINK("https://www.spark-marketing.ru/Card/Lot/73164878", "Услуга по питанию, 65 шт")</f>
        <v>Услуга по питанию, 65 шт</v>
      </c>
      <c r="G4448" s="22" t="s">
        <v>214</v>
      </c>
      <c r="H4448" s="22" t="s">
        <v>7251</v>
      </c>
      <c r="I4448" s="26">
        <v>43708.592662037001</v>
      </c>
      <c r="J4448" s="28" t="s">
        <v>51</v>
      </c>
      <c r="K4448" s="28" t="s">
        <v>51</v>
      </c>
      <c r="L4448" s="28" t="s">
        <v>51</v>
      </c>
      <c r="M4448" s="28" t="s">
        <v>51</v>
      </c>
      <c r="N4448" s="28" t="s">
        <v>51</v>
      </c>
    </row>
    <row r="4449" spans="1:14" x14ac:dyDescent="0.15">
      <c r="A4449" s="23" t="str">
        <f>HYPERLINK("https://www.spark-marketing.ru/Card/Person/152066", "ОМВД РОССИИ ""ПРИМОРСКИЙ""")</f>
        <v>ОМВД РОССИИ "ПРИМОРСКИЙ"</v>
      </c>
      <c r="B4449" s="24" t="s">
        <v>7249</v>
      </c>
      <c r="C4449" s="25">
        <v>35000</v>
      </c>
      <c r="D4449" s="22" t="s">
        <v>7257</v>
      </c>
      <c r="E4449" s="22" t="s">
        <v>96</v>
      </c>
      <c r="F4449" s="23" t="str">
        <f>HYPERLINK("https://www.spark-marketing.ru/Card/Lot/73164903", "Услуга по питанию, 69 шт")</f>
        <v>Услуга по питанию, 69 шт</v>
      </c>
      <c r="G4449" s="22" t="s">
        <v>214</v>
      </c>
      <c r="H4449" s="22" t="s">
        <v>7251</v>
      </c>
      <c r="I4449" s="26">
        <v>43708.6178587963</v>
      </c>
      <c r="J4449" s="28" t="s">
        <v>51</v>
      </c>
      <c r="K4449" s="28" t="s">
        <v>51</v>
      </c>
      <c r="L4449" s="28" t="s">
        <v>51</v>
      </c>
      <c r="M4449" s="28" t="s">
        <v>51</v>
      </c>
      <c r="N4449" s="28" t="s">
        <v>51</v>
      </c>
    </row>
    <row r="4450" spans="1:14" x14ac:dyDescent="0.15">
      <c r="A4450" s="23" t="str">
        <f>HYPERLINK("https://www.spark-marketing.ru/Card/Person/152066", "ОМВД РОССИИ ""ПРИМОРСКИЙ""")</f>
        <v>ОМВД РОССИИ "ПРИМОРСКИЙ"</v>
      </c>
      <c r="B4450" s="24" t="s">
        <v>7249</v>
      </c>
      <c r="C4450" s="25">
        <v>35000</v>
      </c>
      <c r="D4450" s="22" t="s">
        <v>7258</v>
      </c>
      <c r="E4450" s="22" t="s">
        <v>96</v>
      </c>
      <c r="F4450" s="23" t="str">
        <f>HYPERLINK("https://www.spark-marketing.ru/Card/Lot/73164877", "Услуга по питанию, 65 шт")</f>
        <v>Услуга по питанию, 65 шт</v>
      </c>
      <c r="G4450" s="22" t="s">
        <v>214</v>
      </c>
      <c r="H4450" s="22" t="s">
        <v>7251</v>
      </c>
      <c r="I4450" s="26">
        <v>43708.590462963002</v>
      </c>
      <c r="J4450" s="28" t="s">
        <v>51</v>
      </c>
      <c r="K4450" s="28" t="s">
        <v>51</v>
      </c>
      <c r="L4450" s="28" t="s">
        <v>51</v>
      </c>
      <c r="M4450" s="28" t="s">
        <v>51</v>
      </c>
      <c r="N4450" s="28" t="s">
        <v>51</v>
      </c>
    </row>
    <row r="4451" spans="1:14" x14ac:dyDescent="0.15">
      <c r="A4451" s="23" t="str">
        <f>HYPERLINK("https://www.spark-marketing.ru/Card/Person/268773", "ОМВД РОССИИ ПО ГРАЙВОРОНСКОМУ ГОРОДСКОМУ ОКРУГУ")</f>
        <v>ОМВД РОССИИ ПО ГРАЙВОРОНСКОМУ ГОРОДСКОМУ ОКРУГУ</v>
      </c>
      <c r="B4451" s="24" t="s">
        <v>3568</v>
      </c>
      <c r="C4451" s="25">
        <v>94811</v>
      </c>
      <c r="D4451" s="22" t="s">
        <v>7259</v>
      </c>
      <c r="E4451" s="22" t="s">
        <v>48</v>
      </c>
      <c r="F4451" s="23" t="str">
        <f>HYPERLINK("https://www.spark-marketing.ru/Card/Lot/73164647",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4451" s="22" t="s">
        <v>696</v>
      </c>
      <c r="H4451" s="22" t="s">
        <v>3570</v>
      </c>
      <c r="I4451" s="26">
        <v>43708.492523148103</v>
      </c>
      <c r="J4451" s="28" t="s">
        <v>51</v>
      </c>
      <c r="K4451" s="28" t="s">
        <v>51</v>
      </c>
      <c r="L4451" s="28" t="s">
        <v>51</v>
      </c>
      <c r="M4451" s="28" t="s">
        <v>51</v>
      </c>
      <c r="N4451" s="28" t="s">
        <v>51</v>
      </c>
    </row>
    <row r="4452" spans="1:14" x14ac:dyDescent="0.15">
      <c r="A4452" s="23" t="str">
        <f>HYPERLINK("https://www.spark-marketing.ru/Card/Person/1753627", "МУП ""ГЭТ""")</f>
        <v>МУП "ГЭТ"</v>
      </c>
      <c r="B4452" s="24" t="s">
        <v>7260</v>
      </c>
      <c r="C4452" s="25">
        <v>1806806.4</v>
      </c>
      <c r="D4452" s="22" t="s">
        <v>7261</v>
      </c>
      <c r="E4452" s="22" t="s">
        <v>48</v>
      </c>
      <c r="F4452" s="23" t="str">
        <f>HYPERLINK("https://www.spark-marketing.ru/Card/Lot/73164811", "Оказание услуг по организации готового горячего питания для работников предприятия МУП ""ГЭТ""")</f>
        <v>Оказание услуг по организации готового горячего питания для работников предприятия МУП "ГЭТ"</v>
      </c>
      <c r="G4452" s="22" t="s">
        <v>217</v>
      </c>
      <c r="H4452" s="22" t="s">
        <v>217</v>
      </c>
      <c r="I4452" s="26">
        <v>43708.489467592597</v>
      </c>
      <c r="J4452" s="28" t="s">
        <v>51</v>
      </c>
      <c r="K4452" s="28" t="s">
        <v>51</v>
      </c>
      <c r="L4452" s="28" t="s">
        <v>51</v>
      </c>
      <c r="M4452" s="28" t="s">
        <v>51</v>
      </c>
      <c r="N4452" s="28" t="s">
        <v>51</v>
      </c>
    </row>
    <row r="4453" spans="1:14" ht="12.75" hidden="1" outlineLevel="1" x14ac:dyDescent="0.2">
      <c r="A4453" s="23" t="str">
        <f>HYPERLINK("https://www.spark-marketing.ru/Card/Person/1753627", "МУП ""ГЭТ""")</f>
        <v>МУП "ГЭТ"</v>
      </c>
      <c r="B4453" s="24" t="s">
        <v>7260</v>
      </c>
      <c r="C4453" s="25">
        <v>1806806.4</v>
      </c>
      <c r="D4453" s="22" t="s">
        <v>7261</v>
      </c>
      <c r="E4453" s="22" t="s">
        <v>48</v>
      </c>
      <c r="F4453" s="23" t="str">
        <f>HYPERLINK("https://www.spark-marketing.ru/Card/Lot/73164811", "Оказание услуг по организации готового горячего питания для работников предприятия МУП ""ГЭТ""")</f>
        <v>Оказание услуг по организации готового горячего питания для работников предприятия МУП "ГЭТ"</v>
      </c>
      <c r="G4453" s="22" t="s">
        <v>217</v>
      </c>
      <c r="H4453" s="22" t="s">
        <v>217</v>
      </c>
      <c r="I4453" s="26">
        <v>43708.489467592597</v>
      </c>
      <c r="J4453" s="23" t="str">
        <f>HYPERLINK("https://www.spark-marketing.ru/Card/Person/6084653", "ООО ""ВИТАРА""")</f>
        <v>ООО "ВИТАРА"</v>
      </c>
      <c r="K4453" s="24" t="s">
        <v>2437</v>
      </c>
      <c r="L4453" s="22" t="s">
        <v>10</v>
      </c>
      <c r="M4453" s="25">
        <v>1228628.48</v>
      </c>
      <c r="N4453" s="27">
        <v>0.31999992915677078</v>
      </c>
    </row>
    <row r="4454" spans="1:14" hidden="1" outlineLevel="1" x14ac:dyDescent="0.2">
      <c r="A4454" s="23" t="str">
        <f>HYPERLINK("https://www.spark-marketing.ru/Card/Person/1753627", "МУП ""ГЭТ""")</f>
        <v>МУП "ГЭТ"</v>
      </c>
      <c r="B4454" s="24" t="s">
        <v>7260</v>
      </c>
      <c r="C4454" s="25">
        <v>1806806.4</v>
      </c>
      <c r="D4454" s="22" t="s">
        <v>7261</v>
      </c>
      <c r="E4454" s="22" t="s">
        <v>48</v>
      </c>
      <c r="F4454" s="23" t="str">
        <f>HYPERLINK("https://www.spark-marketing.ru/Card/Lot/73164811", "Оказание услуг по организации готового горячего питания для работников предприятия МУП ""ГЭТ""")</f>
        <v>Оказание услуг по организации готового горячего питания для работников предприятия МУП "ГЭТ"</v>
      </c>
      <c r="G4454" s="22" t="s">
        <v>217</v>
      </c>
      <c r="H4454" s="22" t="s">
        <v>217</v>
      </c>
      <c r="I4454" s="26">
        <v>43708.489467592597</v>
      </c>
      <c r="J4454" s="23" t="str">
        <f>HYPERLINK("https://www.spark-marketing.ru/Card/Person/1682808", "ООО ""СТОЛОВАЯ №4""")</f>
        <v>ООО "СТОЛОВАЯ №4"</v>
      </c>
      <c r="K4454" s="24" t="s">
        <v>4684</v>
      </c>
      <c r="L4454" s="28" t="s">
        <v>51</v>
      </c>
      <c r="M4454" s="25">
        <v>1237662.51</v>
      </c>
      <c r="N4454" s="27">
        <v>0.31499993026369622</v>
      </c>
    </row>
    <row r="4455" spans="1:14" x14ac:dyDescent="0.15">
      <c r="A4455" s="23" t="str">
        <f>HYPERLINK("https://www.spark-marketing.ru/Card/Person/1758527", "МАОУ ""ГИМНАЗИЯ №4"" ГОРОДСКОГО ОКРУГА Г. СТЕРЛИТАМАК РБ")</f>
        <v>МАОУ "ГИМНАЗИЯ №4" ГОРОДСКОГО ОКРУГА Г. СТЕРЛИТАМАК РБ</v>
      </c>
      <c r="B4455" s="24" t="s">
        <v>6301</v>
      </c>
      <c r="C4455" s="25">
        <v>161650</v>
      </c>
      <c r="D4455" s="22" t="s">
        <v>7262</v>
      </c>
      <c r="E4455" s="22" t="s">
        <v>362</v>
      </c>
      <c r="F4455" s="23" t="str">
        <f>HYPERLINK("https://www.spark-marketing.ru/Card/Lot/73164897", "оказание услуг по организации питания обучающихся из многодетных и малообеспеченных семей")</f>
        <v>оказание услуг по организации питания обучающихся из многодетных и малообеспеченных семей</v>
      </c>
      <c r="G4455" s="22" t="s">
        <v>145</v>
      </c>
      <c r="H4455" s="22" t="s">
        <v>145</v>
      </c>
      <c r="I4455" s="26">
        <v>43708</v>
      </c>
      <c r="J4455" s="28" t="s">
        <v>51</v>
      </c>
      <c r="K4455" s="28" t="s">
        <v>51</v>
      </c>
      <c r="L4455" s="28" t="s">
        <v>51</v>
      </c>
      <c r="M4455" s="28" t="s">
        <v>51</v>
      </c>
      <c r="N4455" s="28" t="s">
        <v>51</v>
      </c>
    </row>
    <row r="4456" spans="1:14" x14ac:dyDescent="0.15">
      <c r="A4456" s="23" t="str">
        <f>HYPERLINK("https://www.spark-marketing.ru/Card/Person/1324523", "МАОУ СОШ №3")</f>
        <v>МАОУ СОШ №3</v>
      </c>
      <c r="B4456" s="24" t="s">
        <v>7263</v>
      </c>
      <c r="C4456" s="25">
        <v>132246</v>
      </c>
      <c r="D4456" s="22" t="s">
        <v>7264</v>
      </c>
      <c r="E4456" s="22" t="s">
        <v>362</v>
      </c>
      <c r="F4456" s="23" t="str">
        <f>HYPERLINK("https://www.spark-marketing.ru/Card/Lot/73164454", "Оказание услуг по организации питания")</f>
        <v>Оказание услуг по организации питания</v>
      </c>
      <c r="G4456" s="22" t="s">
        <v>351</v>
      </c>
      <c r="H4456" s="22" t="s">
        <v>351</v>
      </c>
      <c r="I4456" s="26">
        <v>43708</v>
      </c>
      <c r="J4456" s="28" t="s">
        <v>51</v>
      </c>
      <c r="K4456" s="28" t="s">
        <v>51</v>
      </c>
      <c r="L4456" s="28" t="s">
        <v>51</v>
      </c>
      <c r="M4456" s="28" t="s">
        <v>51</v>
      </c>
      <c r="N4456" s="28" t="s">
        <v>51</v>
      </c>
    </row>
    <row r="4457" spans="1:14" x14ac:dyDescent="0.2">
      <c r="A4457" s="23" t="str">
        <f>HYPERLINK("https://www.spark-marketing.ru/Card/Person/1759314", "МОУ ""СОШ № 7""")</f>
        <v>МОУ "СОШ № 7"</v>
      </c>
      <c r="B4457" s="24" t="s">
        <v>7265</v>
      </c>
      <c r="C4457" s="25">
        <v>678300</v>
      </c>
      <c r="D4457" s="22" t="s">
        <v>7266</v>
      </c>
      <c r="E4457" s="22" t="s">
        <v>362</v>
      </c>
      <c r="F4457" s="23" t="str">
        <f>HYPERLINK("https://www.spark-marketing.ru/Card/Lot/73165073", "Оказание услуг по обеспечению льготным питанием детей из малообеспеченных семей и детей с нарушениями здоровья, обучающихся в МОУ ""СОШ № 7""")</f>
        <v>Оказание услуг по обеспечению льготным питанием детей из малообеспеченных семей и детей с нарушениями здоровья, обучающихся в МОУ "СОШ № 7"</v>
      </c>
      <c r="G4457" s="22" t="s">
        <v>469</v>
      </c>
      <c r="H4457" s="22" t="s">
        <v>469</v>
      </c>
      <c r="I4457" s="26">
        <v>43708</v>
      </c>
      <c r="J4457" s="28" t="s">
        <v>51</v>
      </c>
      <c r="K4457" s="28" t="s">
        <v>51</v>
      </c>
      <c r="L4457" s="22" t="s">
        <v>10</v>
      </c>
      <c r="M4457" s="25">
        <v>0</v>
      </c>
      <c r="N4457" s="27">
        <v>1</v>
      </c>
    </row>
    <row r="4458" spans="1:14" x14ac:dyDescent="0.15">
      <c r="A4458" s="23" t="str">
        <f>HYPERLINK("https://www.spark-marketing.ru/Card/Person/1324585", "МАОУ СОШ №11")</f>
        <v>МАОУ СОШ №11</v>
      </c>
      <c r="B4458" s="24" t="s">
        <v>7267</v>
      </c>
      <c r="C4458" s="25">
        <v>463585.99</v>
      </c>
      <c r="D4458" s="22" t="s">
        <v>7268</v>
      </c>
      <c r="E4458" s="22" t="s">
        <v>7206</v>
      </c>
      <c r="F4458" s="23" t="str">
        <f>HYPERLINK("https://www.spark-marketing.ru/Card/Lot/73164537", "Оказание услуг по организации питания")</f>
        <v>Оказание услуг по организации питания</v>
      </c>
      <c r="G4458" s="22" t="s">
        <v>351</v>
      </c>
      <c r="H4458" s="22" t="s">
        <v>351</v>
      </c>
      <c r="I4458" s="26">
        <v>43708</v>
      </c>
      <c r="J4458" s="28" t="s">
        <v>51</v>
      </c>
      <c r="K4458" s="28" t="s">
        <v>51</v>
      </c>
      <c r="L4458" s="28" t="s">
        <v>51</v>
      </c>
      <c r="M4458" s="28" t="s">
        <v>51</v>
      </c>
      <c r="N4458" s="28" t="s">
        <v>51</v>
      </c>
    </row>
    <row r="4459" spans="1:14" x14ac:dyDescent="0.15">
      <c r="A4459" s="23" t="str">
        <f>HYPERLINK("https://www.spark-marketing.ru/Card/Person/1479470", "МАОУ ЧУКРЕЕВСКАЯ СОШ")</f>
        <v>МАОУ ЧУКРЕЕВСКАЯ СОШ</v>
      </c>
      <c r="B4459" s="24" t="s">
        <v>7269</v>
      </c>
      <c r="C4459" s="25">
        <v>399890</v>
      </c>
      <c r="D4459" s="22" t="s">
        <v>7270</v>
      </c>
      <c r="E4459" s="22" t="s">
        <v>362</v>
      </c>
      <c r="F4459" s="23" t="str">
        <f>HYPERLINK("https://www.spark-marketing.ru/Card/Lot/73164856", "услуги по организации горячего питания")</f>
        <v>услуги по организации горячего питания</v>
      </c>
      <c r="G4459" s="22" t="s">
        <v>174</v>
      </c>
      <c r="H4459" s="22" t="s">
        <v>174</v>
      </c>
      <c r="I4459" s="26">
        <v>43708</v>
      </c>
      <c r="J4459" s="28" t="s">
        <v>51</v>
      </c>
      <c r="K4459" s="28" t="s">
        <v>51</v>
      </c>
      <c r="L4459" s="28" t="s">
        <v>51</v>
      </c>
      <c r="M4459" s="28" t="s">
        <v>51</v>
      </c>
      <c r="N4459" s="28" t="s">
        <v>51</v>
      </c>
    </row>
    <row r="4460" spans="1:14" x14ac:dyDescent="0.2">
      <c r="A4460" s="23" t="str">
        <f>HYPERLINK("https://www.spark-marketing.ru/Card/Person/147110", "МАОУ ""СОШ № 35"" ГОРОДСКОГО ОКРУГА Г. СТЕРЛИТАМАК РБ")</f>
        <v>МАОУ "СОШ № 35" ГОРОДСКОГО ОКРУГА Г. СТЕРЛИТАМАК РБ</v>
      </c>
      <c r="B4460" s="24" t="s">
        <v>7271</v>
      </c>
      <c r="C4460" s="25">
        <v>228750</v>
      </c>
      <c r="D4460" s="22" t="s">
        <v>7272</v>
      </c>
      <c r="E4460" s="22" t="s">
        <v>362</v>
      </c>
      <c r="F4460" s="23" t="str">
        <f>HYPERLINK("https://www.spark-marketing.ru/Card/Lot/73164455", "оказание услуг по организации питания обучающихся из многодетных малообеспеченных семей")</f>
        <v>оказание услуг по организации питания обучающихся из многодетных малообеспеченных семей</v>
      </c>
      <c r="G4460" s="22" t="s">
        <v>145</v>
      </c>
      <c r="H4460" s="22" t="s">
        <v>145</v>
      </c>
      <c r="I4460" s="26">
        <v>43708</v>
      </c>
      <c r="J4460" s="28" t="s">
        <v>51</v>
      </c>
      <c r="K4460" s="28" t="s">
        <v>51</v>
      </c>
      <c r="L4460" s="28" t="s">
        <v>51</v>
      </c>
      <c r="M4460" s="25">
        <v>228750</v>
      </c>
      <c r="N4460" s="27">
        <v>0</v>
      </c>
    </row>
    <row r="4461" spans="1:14" x14ac:dyDescent="0.2">
      <c r="A4461" s="23" t="str">
        <f>HYPERLINK("https://www.spark-marketing.ru/Card/Person/147110", "МАОУ ""СОШ № 35"" ГОРОДСКОГО ОКРУГА Г. СТЕРЛИТАМАК РБ")</f>
        <v>МАОУ "СОШ № 35" ГОРОДСКОГО ОКРУГА Г. СТЕРЛИТАМАК РБ</v>
      </c>
      <c r="B4461" s="24" t="s">
        <v>7271</v>
      </c>
      <c r="C4461" s="25">
        <v>253044</v>
      </c>
      <c r="D4461" s="22" t="s">
        <v>7273</v>
      </c>
      <c r="E4461" s="22" t="s">
        <v>362</v>
      </c>
      <c r="F4461" s="23" t="str">
        <f>HYPERLINK("https://www.spark-marketing.ru/Card/Lot/73164456", "оказание услуг по организации питания обучающихся с ограниченными возможностями здоровья")</f>
        <v>оказание услуг по организации питания обучающихся с ограниченными возможностями здоровья</v>
      </c>
      <c r="G4461" s="22" t="s">
        <v>145</v>
      </c>
      <c r="H4461" s="22" t="s">
        <v>145</v>
      </c>
      <c r="I4461" s="26">
        <v>43708</v>
      </c>
      <c r="J4461" s="28" t="s">
        <v>51</v>
      </c>
      <c r="K4461" s="28" t="s">
        <v>51</v>
      </c>
      <c r="L4461" s="28" t="s">
        <v>51</v>
      </c>
      <c r="M4461" s="25">
        <v>253044</v>
      </c>
      <c r="N4461" s="27">
        <v>0</v>
      </c>
    </row>
    <row r="4462" spans="1:14" x14ac:dyDescent="0.15">
      <c r="A4462" s="23" t="str">
        <f>HYPERLINK("https://www.spark-marketing.ru/Card/Person/4415405", "МАОУ ЛЕНСКАЯ СОШ")</f>
        <v>МАОУ ЛЕНСКАЯ СОШ</v>
      </c>
      <c r="B4462" s="24" t="s">
        <v>7274</v>
      </c>
      <c r="C4462" s="25">
        <v>399890</v>
      </c>
      <c r="D4462" s="22" t="s">
        <v>7275</v>
      </c>
      <c r="E4462" s="22" t="s">
        <v>7206</v>
      </c>
      <c r="F4462" s="23" t="str">
        <f>HYPERLINK("https://www.spark-marketing.ru/Card/Lot/73164380", "услуги по организации горячего питания обучающихся в МАОУ Ленская СОШ")</f>
        <v>услуги по организации горячего питания обучающихся в МАОУ Ленская СОШ</v>
      </c>
      <c r="G4462" s="22" t="s">
        <v>174</v>
      </c>
      <c r="H4462" s="22" t="s">
        <v>174</v>
      </c>
      <c r="I4462" s="26">
        <v>43708</v>
      </c>
      <c r="J4462" s="28" t="s">
        <v>51</v>
      </c>
      <c r="K4462" s="28" t="s">
        <v>51</v>
      </c>
      <c r="L4462" s="28" t="s">
        <v>51</v>
      </c>
      <c r="M4462" s="28" t="s">
        <v>51</v>
      </c>
      <c r="N4462" s="28" t="s">
        <v>51</v>
      </c>
    </row>
    <row r="4463" spans="1:14" x14ac:dyDescent="0.15">
      <c r="A4463" s="23" t="str">
        <f>HYPERLINK("https://www.spark-marketing.ru/Card/Person/1777959", "МАДОУ ""ДЕТСКИЙ САД № 396"" Г. ПЕРМИ")</f>
        <v>МАДОУ "ДЕТСКИЙ САД № 396" Г. ПЕРМИ</v>
      </c>
      <c r="B4463" s="24" t="s">
        <v>6655</v>
      </c>
      <c r="C4463" s="25">
        <v>29104195</v>
      </c>
      <c r="D4463" s="22" t="s">
        <v>7276</v>
      </c>
      <c r="E4463" s="22" t="s">
        <v>362</v>
      </c>
      <c r="F4463" s="23" t="str">
        <f>HYPERLINK("https://www.spark-marketing.ru/Card/Lot/73164619", "Оказание услуги по организации питания воспитанников в МАДОУ «Детский сад № 396» г.Перми.")</f>
        <v>Оказание услуги по организации питания воспитанников в МАДОУ «Детский сад № 396» г.Перми.</v>
      </c>
      <c r="G4463" s="22" t="s">
        <v>153</v>
      </c>
      <c r="H4463" s="22" t="s">
        <v>153</v>
      </c>
      <c r="I4463" s="26">
        <v>43708</v>
      </c>
      <c r="J4463" s="28" t="s">
        <v>51</v>
      </c>
      <c r="K4463" s="28" t="s">
        <v>51</v>
      </c>
      <c r="L4463" s="28" t="s">
        <v>51</v>
      </c>
      <c r="M4463" s="28" t="s">
        <v>51</v>
      </c>
      <c r="N4463" s="28" t="s">
        <v>51</v>
      </c>
    </row>
    <row r="4464" spans="1:14" x14ac:dyDescent="0.15">
      <c r="A4464" s="23" t="str">
        <f>HYPERLINK("https://www.spark-marketing.ru/Card/Person/268773", "ОМВД РОССИИ ПО ГРАЙВОРОНСКОМУ ГОРОДСКОМУ ОКРУГУ")</f>
        <v>ОМВД РОССИИ ПО ГРАЙВОРОНСКОМУ ГОРОДСКОМУ ОКРУГУ</v>
      </c>
      <c r="B4464" s="24" t="s">
        <v>3568</v>
      </c>
      <c r="C4464" s="25">
        <v>94811</v>
      </c>
      <c r="D4464" s="22" t="s">
        <v>7277</v>
      </c>
      <c r="E4464" s="22" t="s">
        <v>48</v>
      </c>
      <c r="F4464" s="23" t="str">
        <f>HYPERLINK("https://www.spark-marketing.ru/Card/Lot/73157626",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4464" s="22" t="s">
        <v>696</v>
      </c>
      <c r="H4464" s="22" t="s">
        <v>3570</v>
      </c>
      <c r="I4464" s="26">
        <v>43707.827233796299</v>
      </c>
      <c r="J4464" s="28" t="s">
        <v>51</v>
      </c>
      <c r="K4464" s="28" t="s">
        <v>51</v>
      </c>
      <c r="L4464" s="28" t="s">
        <v>51</v>
      </c>
      <c r="M4464" s="28" t="s">
        <v>51</v>
      </c>
      <c r="N4464" s="28" t="s">
        <v>51</v>
      </c>
    </row>
    <row r="4465" spans="1:14" x14ac:dyDescent="0.15">
      <c r="A4465" s="23" t="str">
        <f>HYPERLINK("https://www.spark-marketing.ru/Card/Person/1037225", "ГБОУ СО ""ШКОЛА АОП № 11 Г.БАЛАШОВА""")</f>
        <v>ГБОУ СО "ШКОЛА АОП № 11 Г.БАЛАШОВА"</v>
      </c>
      <c r="B4465" s="24" t="s">
        <v>7278</v>
      </c>
      <c r="C4465" s="25">
        <v>480000</v>
      </c>
      <c r="D4465" s="22" t="s">
        <v>7279</v>
      </c>
      <c r="E4465" s="22" t="s">
        <v>48</v>
      </c>
      <c r="F4465" s="23" t="str">
        <f>HYPERLINK("https://www.spark-marketing.ru/Card/Lot/73158098", "Оказание услуг по организации питания детей")</f>
        <v>Оказание услуг по организации питания детей</v>
      </c>
      <c r="G4465" s="22" t="s">
        <v>351</v>
      </c>
      <c r="H4465" s="22" t="s">
        <v>7280</v>
      </c>
      <c r="I4465" s="26">
        <v>43707.667847222197</v>
      </c>
      <c r="J4465" s="23" t="str">
        <f>HYPERLINK("https://www.spark-marketing.ru/Card/Person/6445613", "Журавлев Владимир Викторович")</f>
        <v>Журавлев Владимир Викторович</v>
      </c>
      <c r="K4465" s="24" t="s">
        <v>7281</v>
      </c>
      <c r="L4465" s="22" t="s">
        <v>10</v>
      </c>
      <c r="M4465" s="28" t="s">
        <v>51</v>
      </c>
      <c r="N4465" s="28" t="s">
        <v>51</v>
      </c>
    </row>
    <row r="4466" spans="1:14" x14ac:dyDescent="0.15">
      <c r="A4466" s="23" t="str">
        <f>HYPERLINK("https://www.spark-marketing.ru/Card/Person/383088", "ОМВД РОССИИ ПО СОЛЕЦКОМУ РАЙОНУ")</f>
        <v>ОМВД РОССИИ ПО СОЛЕЦКОМУ РАЙОНУ</v>
      </c>
      <c r="B4466" s="24" t="s">
        <v>7282</v>
      </c>
      <c r="C4466" s="25">
        <v>226800</v>
      </c>
      <c r="D4466" s="22" t="s">
        <v>7283</v>
      </c>
      <c r="E4466" s="22" t="s">
        <v>96</v>
      </c>
      <c r="F4466" s="23" t="str">
        <f>HYPERLINK("https://www.spark-marketing.ru/Card/Lot/73153571", "Оказание услуг по организации питания (приготовлению и доставке), 756 шт")</f>
        <v>Оказание услуг по организации питания (приготовлению и доставке), 756 шт</v>
      </c>
      <c r="G4466" s="22" t="s">
        <v>849</v>
      </c>
      <c r="H4466" s="22" t="s">
        <v>7284</v>
      </c>
      <c r="I4466" s="26">
        <v>43707.745613425897</v>
      </c>
      <c r="J4466" s="28" t="s">
        <v>51</v>
      </c>
      <c r="K4466" s="28" t="s">
        <v>51</v>
      </c>
      <c r="L4466" s="28" t="s">
        <v>51</v>
      </c>
      <c r="M4466" s="28" t="s">
        <v>51</v>
      </c>
      <c r="N4466" s="28" t="s">
        <v>51</v>
      </c>
    </row>
    <row r="4467" spans="1:14" x14ac:dyDescent="0.15">
      <c r="A4467" s="23" t="str">
        <f t="shared" ref="A4467:A4474" si="75">HYPERLINK("https://www.spark-marketing.ru/Card/Person/6086", "ГКУ ""ДИРЕКЦИЯ ОДОТСЗН Г. МОСКВЫ""")</f>
        <v>ГКУ "ДИРЕКЦИЯ ОДОТСЗН Г. МОСКВЫ"</v>
      </c>
      <c r="B4467" s="24" t="s">
        <v>164</v>
      </c>
      <c r="C4467" s="25">
        <v>13100850</v>
      </c>
      <c r="D4467" s="22" t="s">
        <v>7285</v>
      </c>
      <c r="E4467" s="22" t="s">
        <v>86</v>
      </c>
      <c r="F4467" s="23" t="str">
        <f>HYPERLINK("https://www.spark-marketing.ru/Card/Lot/73163605", "Оказание услуг по предоставлению санаторно-курортного лечения (по путевкам) в 2020 году в санатории  для лечения болезней дорсопатии, спондилопатии, болезней мягких тканей, остеопатии и хондропатии, артропатии, артрозов, других поражений суставов, эн...")</f>
        <v>Оказание услуг по предоставлению санаторно-курортного лечения (по путевкам) в 2020 году в санатории  для лечения болезней дорсопатии, спондилопатии, болезней мягких тканей, остеопатии и хондропатии, артропатии, артрозов, других поражений суставов, эн...</v>
      </c>
      <c r="G4467" s="22" t="s">
        <v>56</v>
      </c>
      <c r="H4467" s="22" t="s">
        <v>56</v>
      </c>
      <c r="I4467" s="26">
        <v>43707.724710648101</v>
      </c>
      <c r="J4467" s="28" t="s">
        <v>51</v>
      </c>
      <c r="K4467" s="28" t="s">
        <v>51</v>
      </c>
      <c r="L4467" s="28" t="s">
        <v>51</v>
      </c>
      <c r="M4467" s="28" t="s">
        <v>51</v>
      </c>
      <c r="N4467" s="28" t="s">
        <v>51</v>
      </c>
    </row>
    <row r="4468" spans="1:14" ht="12.75" hidden="1" outlineLevel="1" x14ac:dyDescent="0.2">
      <c r="A4468" s="23" t="str">
        <f t="shared" si="75"/>
        <v>ГКУ "ДИРЕКЦИЯ ОДОТСЗН Г. МОСКВЫ"</v>
      </c>
      <c r="B4468" s="24" t="s">
        <v>164</v>
      </c>
      <c r="C4468" s="25">
        <v>13100850</v>
      </c>
      <c r="D4468" s="22" t="s">
        <v>7285</v>
      </c>
      <c r="E4468" s="22" t="s">
        <v>86</v>
      </c>
      <c r="F4468" s="23" t="str">
        <f>HYPERLINK("https://www.spark-marketing.ru/Card/Lot/73163605", "Оказание услуг по предоставлению санаторно-курортного лечения (по путевкам) в 2020 году в санатории  для лечения болезней дорсопатии, спондилопатии, болезней мягких тканей, остеопатии и хондропатии, артропатии, артрозов, других поражений суставов, эн...")</f>
        <v>Оказание услуг по предоставлению санаторно-курортного лечения (по путевкам) в 2020 году в санатории  для лечения болезней дорсопатии, спондилопатии, болезней мягких тканей, остеопатии и хондропатии, артропатии, артрозов, других поражений суставов, эн...</v>
      </c>
      <c r="G4468" s="22" t="s">
        <v>56</v>
      </c>
      <c r="H4468" s="22" t="s">
        <v>56</v>
      </c>
      <c r="I4468" s="26">
        <v>43707.724710648101</v>
      </c>
      <c r="J4468" s="23" t="str">
        <f>HYPERLINK("https://www.spark-marketing.ru/Card/Person/53935", "АО ""САНАТОРИЙ ""ИЗВЕСТИЯ""")</f>
        <v>АО "САНАТОРИЙ "ИЗВЕСТИЯ"</v>
      </c>
      <c r="K4468" s="24" t="s">
        <v>7286</v>
      </c>
      <c r="L4468" s="22" t="s">
        <v>10</v>
      </c>
      <c r="M4468" s="25">
        <v>13020000</v>
      </c>
      <c r="N4468" s="27">
        <v>6.1713552937404824E-3</v>
      </c>
    </row>
    <row r="4469" spans="1:14" ht="12.75" hidden="1" outlineLevel="1" x14ac:dyDescent="0.2">
      <c r="A4469" s="23" t="str">
        <f t="shared" si="75"/>
        <v>ГКУ "ДИРЕКЦИЯ ОДОТСЗН Г. МОСКВЫ"</v>
      </c>
      <c r="B4469" s="24" t="s">
        <v>164</v>
      </c>
      <c r="C4469" s="25">
        <v>13100850</v>
      </c>
      <c r="D4469" s="22" t="s">
        <v>7285</v>
      </c>
      <c r="E4469" s="22" t="s">
        <v>86</v>
      </c>
      <c r="F4469" s="23" t="str">
        <f>HYPERLINK("https://www.spark-marketing.ru/Card/Lot/73163605", "Оказание услуг по предоставлению санаторно-курортного лечения (по путевкам) в 2020 году в санатории  для лечения болезней дорсопатии, спондилопатии, болезней мягких тканей, остеопатии и хондропатии, артропатии, артрозов, других поражений суставов, эн...")</f>
        <v>Оказание услуг по предоставлению санаторно-курортного лечения (по путевкам) в 2020 году в санатории  для лечения болезней дорсопатии, спондилопатии, болезней мягких тканей, остеопатии и хондропатии, артропатии, артрозов, других поражений суставов, эн...</v>
      </c>
      <c r="G4469" s="22" t="s">
        <v>56</v>
      </c>
      <c r="H4469" s="22" t="s">
        <v>56</v>
      </c>
      <c r="I4469" s="26">
        <v>43707.724710648101</v>
      </c>
      <c r="J4469" s="23" t="str">
        <f>HYPERLINK("https://www.spark-marketing.ru/Card/Person/645060", "ООО ""САНАТОРИЙ ""СЛАВУТИЧ""")</f>
        <v>ООО "САНАТОРИЙ "СЛАВУТИЧ"</v>
      </c>
      <c r="K4469" s="24" t="s">
        <v>7287</v>
      </c>
      <c r="L4469" s="22" t="s">
        <v>10</v>
      </c>
      <c r="M4469" s="25">
        <v>13035345</v>
      </c>
      <c r="N4469" s="27">
        <v>5.0000572481938193E-3</v>
      </c>
    </row>
    <row r="4470" spans="1:14" x14ac:dyDescent="0.15">
      <c r="A4470" s="23" t="str">
        <f t="shared" si="75"/>
        <v>ГКУ "ДИРЕКЦИЯ ОДОТСЗН Г. МОСКВЫ"</v>
      </c>
      <c r="B4470" s="24" t="s">
        <v>164</v>
      </c>
      <c r="C4470" s="25">
        <v>7860510</v>
      </c>
      <c r="D4470" s="22" t="s">
        <v>7288</v>
      </c>
      <c r="E4470" s="22" t="s">
        <v>86</v>
      </c>
      <c r="F4470" s="23" t="str">
        <f>HYPERLINK("https://www.spark-marketing.ru/Card/Lot/73163699", "Оказание услуг по предоставлению санаторно-курортного лечения (по путевкам) в 2020 году в санатории для лечения болезней эндокринной системы, расстройства питания и нарушения обмена веществ, а также сопутствующих заболеваний,  являющихся профильными ...")</f>
        <v>Оказание услуг по предоставлению санаторно-курортного лечения (по путевкам) в 2020 году в санатории для лечения болезней эндокринной системы, расстройства питания и нарушения обмена веществ, а также сопутствующих заболеваний,  являющихся профильными ...</v>
      </c>
      <c r="G4470" s="22" t="s">
        <v>56</v>
      </c>
      <c r="H4470" s="22" t="s">
        <v>56</v>
      </c>
      <c r="I4470" s="26">
        <v>43707.734884259298</v>
      </c>
      <c r="J4470" s="28" t="s">
        <v>51</v>
      </c>
      <c r="K4470" s="28" t="s">
        <v>51</v>
      </c>
      <c r="L4470" s="28" t="s">
        <v>51</v>
      </c>
      <c r="M4470" s="28" t="s">
        <v>51</v>
      </c>
      <c r="N4470" s="28" t="s">
        <v>51</v>
      </c>
    </row>
    <row r="4471" spans="1:14" ht="12.75" hidden="1" outlineLevel="1" x14ac:dyDescent="0.2">
      <c r="A4471" s="23" t="str">
        <f t="shared" si="75"/>
        <v>ГКУ "ДИРЕКЦИЯ ОДОТСЗН Г. МОСКВЫ"</v>
      </c>
      <c r="B4471" s="24" t="s">
        <v>164</v>
      </c>
      <c r="C4471" s="25">
        <v>7860510</v>
      </c>
      <c r="D4471" s="22" t="s">
        <v>7288</v>
      </c>
      <c r="E4471" s="22" t="s">
        <v>86</v>
      </c>
      <c r="F4471" s="23" t="str">
        <f>HYPERLINK("https://www.spark-marketing.ru/Card/Lot/73163699", "Оказание услуг по предоставлению санаторно-курортного лечения (по путевкам) в 2020 году в санатории для лечения болезней эндокринной системы, расстройства питания и нарушения обмена веществ, а также сопутствующих заболеваний,  являющихся профильными ...")</f>
        <v>Оказание услуг по предоставлению санаторно-курортного лечения (по путевкам) в 2020 году в санатории для лечения болезней эндокринной системы, расстройства питания и нарушения обмена веществ, а также сопутствующих заболеваний,  являющихся профильными ...</v>
      </c>
      <c r="G4471" s="22" t="s">
        <v>56</v>
      </c>
      <c r="H4471" s="22" t="s">
        <v>56</v>
      </c>
      <c r="I4471" s="26">
        <v>43707.734884259298</v>
      </c>
      <c r="J4471" s="23" t="str">
        <f>HYPERLINK("https://www.spark-marketing.ru/Card/Person/848343", "ООО САНАТОРИЙ ""РЯБИНУШКА""")</f>
        <v>ООО САНАТОРИЙ "РЯБИНУШКА"</v>
      </c>
      <c r="K4471" s="24" t="s">
        <v>7289</v>
      </c>
      <c r="L4471" s="22" t="s">
        <v>10</v>
      </c>
      <c r="M4471" s="25">
        <v>7856100</v>
      </c>
      <c r="N4471" s="27">
        <v>5.6103229943095295E-4</v>
      </c>
    </row>
    <row r="4472" spans="1:14" hidden="1" outlineLevel="1" x14ac:dyDescent="0.2">
      <c r="A4472" s="23" t="str">
        <f t="shared" si="75"/>
        <v>ГКУ "ДИРЕКЦИЯ ОДОТСЗН Г. МОСКВЫ"</v>
      </c>
      <c r="B4472" s="24" t="s">
        <v>164</v>
      </c>
      <c r="C4472" s="25">
        <v>7860510</v>
      </c>
      <c r="D4472" s="22" t="s">
        <v>7288</v>
      </c>
      <c r="E4472" s="22" t="s">
        <v>86</v>
      </c>
      <c r="F4472" s="23" t="str">
        <f>HYPERLINK("https://www.spark-marketing.ru/Card/Lot/73163699", "Оказание услуг по предоставлению санаторно-курортного лечения (по путевкам) в 2020 году в санатории для лечения болезней эндокринной системы, расстройства питания и нарушения обмена веществ, а также сопутствующих заболеваний,  являющихся профильными ...")</f>
        <v>Оказание услуг по предоставлению санаторно-курортного лечения (по путевкам) в 2020 году в санатории для лечения болезней эндокринной системы, расстройства питания и нарушения обмена веществ, а также сопутствующих заболеваний,  являющихся профильными ...</v>
      </c>
      <c r="G4472" s="22" t="s">
        <v>56</v>
      </c>
      <c r="H4472" s="22" t="s">
        <v>56</v>
      </c>
      <c r="I4472" s="26">
        <v>43707.734884259298</v>
      </c>
      <c r="J4472" s="23" t="str">
        <f>HYPERLINK("https://www.spark-marketing.ru/Card/Person/56552", "АО ""САНАТОРИЙ ""КУБАНЬ""")</f>
        <v>АО "САНАТОРИЙ "КУБАНЬ"</v>
      </c>
      <c r="K4472" s="24" t="s">
        <v>7290</v>
      </c>
      <c r="L4472" s="28" t="s">
        <v>51</v>
      </c>
      <c r="M4472" s="25">
        <v>7780500</v>
      </c>
      <c r="N4472" s="27">
        <v>1.0178728861104432E-2</v>
      </c>
    </row>
    <row r="4473" spans="1:14" hidden="1" outlineLevel="1" x14ac:dyDescent="0.2">
      <c r="A4473" s="23" t="str">
        <f t="shared" si="75"/>
        <v>ГКУ "ДИРЕКЦИЯ ОДОТСЗН Г. МОСКВЫ"</v>
      </c>
      <c r="B4473" s="24" t="s">
        <v>164</v>
      </c>
      <c r="C4473" s="25">
        <v>7860510</v>
      </c>
      <c r="D4473" s="22" t="s">
        <v>7288</v>
      </c>
      <c r="E4473" s="22" t="s">
        <v>86</v>
      </c>
      <c r="F4473" s="23" t="str">
        <f>HYPERLINK("https://www.spark-marketing.ru/Card/Lot/73163699", "Оказание услуг по предоставлению санаторно-курортного лечения (по путевкам) в 2020 году в санатории для лечения болезней эндокринной системы, расстройства питания и нарушения обмена веществ, а также сопутствующих заболеваний,  являющихся профильными ...")</f>
        <v>Оказание услуг по предоставлению санаторно-курортного лечения (по путевкам) в 2020 году в санатории для лечения болезней эндокринной системы, расстройства питания и нарушения обмена веществ, а также сопутствующих заболеваний,  являющихся профильными ...</v>
      </c>
      <c r="G4473" s="22" t="s">
        <v>56</v>
      </c>
      <c r="H4473" s="22" t="s">
        <v>56</v>
      </c>
      <c r="I4473" s="26">
        <v>43707.734884259298</v>
      </c>
      <c r="J4473" s="23" t="str">
        <f>HYPERLINK("https://www.spark-marketing.ru/Card/Person/167580", "ООО САНАТОРИЙ ""ЗВЕЗДОЧКА""")</f>
        <v>ООО САНАТОРИЙ "ЗВЕЗДОЧКА"</v>
      </c>
      <c r="K4473" s="24" t="s">
        <v>7291</v>
      </c>
      <c r="L4473" s="28" t="s">
        <v>51</v>
      </c>
      <c r="M4473" s="25">
        <v>7793100</v>
      </c>
      <c r="N4473" s="27">
        <v>8.5757794341588516E-3</v>
      </c>
    </row>
    <row r="4474" spans="1:14" ht="12.75" hidden="1" outlineLevel="1" x14ac:dyDescent="0.2">
      <c r="A4474" s="23" t="str">
        <f t="shared" si="75"/>
        <v>ГКУ "ДИРЕКЦИЯ ОДОТСЗН Г. МОСКВЫ"</v>
      </c>
      <c r="B4474" s="24" t="s">
        <v>164</v>
      </c>
      <c r="C4474" s="25">
        <v>7860510</v>
      </c>
      <c r="D4474" s="22" t="s">
        <v>7288</v>
      </c>
      <c r="E4474" s="22" t="s">
        <v>86</v>
      </c>
      <c r="F4474" s="23" t="str">
        <f>HYPERLINK("https://www.spark-marketing.ru/Card/Lot/73163699", "Оказание услуг по предоставлению санаторно-курортного лечения (по путевкам) в 2020 году в санатории для лечения болезней эндокринной системы, расстройства питания и нарушения обмена веществ, а также сопутствующих заболеваний,  являющихся профильными ...")</f>
        <v>Оказание услуг по предоставлению санаторно-курортного лечения (по путевкам) в 2020 году в санатории для лечения болезней эндокринной системы, расстройства питания и нарушения обмена веществ, а также сопутствующих заболеваний,  являющихся профильными ...</v>
      </c>
      <c r="G4474" s="22" t="s">
        <v>56</v>
      </c>
      <c r="H4474" s="22" t="s">
        <v>56</v>
      </c>
      <c r="I4474" s="26">
        <v>43707.734884259298</v>
      </c>
      <c r="J4474" s="23" t="str">
        <f>HYPERLINK("https://www.spark-marketing.ru/Card/Person/645060", "ООО ""САНАТОРИЙ ""СЛАВУТИЧ""")</f>
        <v>ООО "САНАТОРИЙ "СЛАВУТИЧ"</v>
      </c>
      <c r="K4474" s="24" t="s">
        <v>7287</v>
      </c>
      <c r="L4474" s="22" t="s">
        <v>10</v>
      </c>
      <c r="M4474" s="25">
        <v>7821207</v>
      </c>
      <c r="N4474" s="27">
        <v>5.0000572481938193E-3</v>
      </c>
    </row>
    <row r="4475" spans="1:14" x14ac:dyDescent="0.15">
      <c r="A4475" s="23" t="str">
        <f>HYPERLINK("https://www.spark-marketing.ru/Card/Person/51435", "ДЕПАРТАМЕНТ ЗДРАВООХРАНЕНИЯ ИВАНОВСКОЙ ОБЛАСТИ")</f>
        <v>ДЕПАРТАМЕНТ ЗДРАВООХРАНЕНИЯ ИВАНОВСКОЙ ОБЛАСТИ</v>
      </c>
      <c r="B4475" s="24" t="s">
        <v>3899</v>
      </c>
      <c r="C4475" s="25">
        <v>125797.06</v>
      </c>
      <c r="D4475" s="22" t="s">
        <v>7292</v>
      </c>
      <c r="E4475" s="22" t="s">
        <v>86</v>
      </c>
      <c r="F4475" s="23" t="str">
        <f>HYPERLINK("https://www.spark-marketing.ru/Card/Lot/73155496", "Оказание логистических услуг по приемке, хранению и транспортировке до аптек/аптечных пунктов и отпуска аптеками/аптечными пунктами лекарственных препаратов, специализированных продуктов лечебного питания и медицинских изделий для обеспечения отдельн...")</f>
        <v>Оказание логистических услуг по приемке, хранению и транспортировке до аптек/аптечных пунктов и отпуска аптеками/аптечными пунктами лекарственных препаратов, специализированных продуктов лечебного питания и медицинских изделий для обеспечения отдельн...</v>
      </c>
      <c r="G4475" s="22" t="s">
        <v>1047</v>
      </c>
      <c r="H4475" s="22" t="s">
        <v>1953</v>
      </c>
      <c r="I4475" s="26">
        <v>43707.7133680556</v>
      </c>
      <c r="J4475" s="23" t="str">
        <f>HYPERLINK("https://www.spark-marketing.ru/Card/Person/324957", "ОГУП ""ФАРМАЦИЯ""")</f>
        <v>ОГУП "ФАРМАЦИЯ"</v>
      </c>
      <c r="K4475" s="24" t="s">
        <v>3901</v>
      </c>
      <c r="L4475" s="22" t="s">
        <v>10</v>
      </c>
      <c r="M4475" s="28" t="s">
        <v>51</v>
      </c>
      <c r="N4475" s="28" t="s">
        <v>51</v>
      </c>
    </row>
    <row r="4476" spans="1:14" x14ac:dyDescent="0.15">
      <c r="A4476" s="23" t="str">
        <f>HYPERLINK("https://www.spark-marketing.ru/Card/Person/51435", "ДЕПАРТАМЕНТ ЗДРАВООХРАНЕНИЯ ИВАНОВСКОЙ ОБЛАСТИ")</f>
        <v>ДЕПАРТАМЕНТ ЗДРАВООХРАНЕНИЯ ИВАНОВСКОЙ ОБЛАСТИ</v>
      </c>
      <c r="B4476" s="24" t="s">
        <v>3899</v>
      </c>
      <c r="C4476" s="25">
        <v>167701.98000000001</v>
      </c>
      <c r="D4476" s="22" t="s">
        <v>7293</v>
      </c>
      <c r="E4476" s="22" t="s">
        <v>86</v>
      </c>
      <c r="F4476" s="23" t="str">
        <f>HYPERLINK("https://www.spark-marketing.ru/Card/Lot/73155284", "Оказание логистических услуг по приемке, хранению и транспортировке до аптек/аптечных пунктов и отпуска аптеками/аптечными пунктами лекарственных препаратов, специализированных продуктов лечебного питания и медицинских изделий для обеспечения отдельн...")</f>
        <v>Оказание логистических услуг по приемке, хранению и транспортировке до аптек/аптечных пунктов и отпуска аптеками/аптечными пунктами лекарственных препаратов, специализированных продуктов лечебного питания и медицинских изделий для обеспечения отдельн...</v>
      </c>
      <c r="G4476" s="22" t="s">
        <v>1047</v>
      </c>
      <c r="H4476" s="22" t="s">
        <v>1953</v>
      </c>
      <c r="I4476" s="26">
        <v>43707.712256944404</v>
      </c>
      <c r="J4476" s="23" t="str">
        <f>HYPERLINK("https://www.spark-marketing.ru/Card/Person/324957", "ОГУП ""ФАРМАЦИЯ""")</f>
        <v>ОГУП "ФАРМАЦИЯ"</v>
      </c>
      <c r="K4476" s="24" t="s">
        <v>3901</v>
      </c>
      <c r="L4476" s="22" t="s">
        <v>10</v>
      </c>
      <c r="M4476" s="28" t="s">
        <v>51</v>
      </c>
      <c r="N4476" s="28" t="s">
        <v>51</v>
      </c>
    </row>
    <row r="4477" spans="1:14" x14ac:dyDescent="0.15">
      <c r="A4477" s="23" t="str">
        <f>HYPERLINK("https://www.spark-marketing.ru/Card/Person/4346304", "ФКУ ""ЦХИСО МВД ПО ЧЕЧЕНСКОЙ РЕСПУБЛИКЕ""")</f>
        <v>ФКУ "ЦХИСО МВД ПО ЧЕЧЕНСКОЙ РЕСПУБЛИКЕ"</v>
      </c>
      <c r="B4477" s="24" t="s">
        <v>1981</v>
      </c>
      <c r="C4477" s="25">
        <v>980000</v>
      </c>
      <c r="D4477" s="22" t="s">
        <v>7294</v>
      </c>
      <c r="E4477" s="22" t="s">
        <v>96</v>
      </c>
      <c r="F4477" s="23" t="str">
        <f>HYPERLINK("https://www.spark-marketing.ru/Card/Lot/73158380", "Организация ежедневного горячего питания, в том числе в выходные и праздничные дни, лиц содержащихся в специальном приемнике для содержания лиц арестованных в административном порядке при МВД по Чеченской Республике")</f>
        <v>Организация ежедневного горячего питания, в том числе в выходные и праздничные дни, лиц содержащихся в специальном приемнике для содержания лиц арестованных в административном порядке при МВД по Чеченской Республике</v>
      </c>
      <c r="G4477" s="22" t="s">
        <v>1983</v>
      </c>
      <c r="H4477" s="22" t="s">
        <v>1983</v>
      </c>
      <c r="I4477" s="26">
        <v>43707.602916666699</v>
      </c>
      <c r="J4477" s="23" t="str">
        <f>HYPERLINK("https://www.spark-marketing.ru/Card/Person/6685064", "ООО ТОРГОВАЯ ФИРМА ""ХАН-013""")</f>
        <v>ООО ТОРГОВАЯ ФИРМА "ХАН-013"</v>
      </c>
      <c r="K4477" s="24" t="s">
        <v>7295</v>
      </c>
      <c r="L4477" s="22" t="s">
        <v>10</v>
      </c>
      <c r="M4477" s="28" t="s">
        <v>51</v>
      </c>
      <c r="N4477" s="28" t="s">
        <v>51</v>
      </c>
    </row>
    <row r="4478" spans="1:14" x14ac:dyDescent="0.15">
      <c r="A4478" s="23" t="str">
        <f>HYPERLINK("https://www.spark-marketing.ru/Card/Person/70383", "АДМИНИСТРАЦИЯ СЕРГИЕВО-ПОСАДСКОГО МУНИЦИПАЛЬНОГО РАЙОНА")</f>
        <v>АДМИНИСТРАЦИЯ СЕРГИЕВО-ПОСАДСКОГО МУНИЦИПАЛЬНОГО РАЙОНА</v>
      </c>
      <c r="B4478" s="24" t="s">
        <v>7296</v>
      </c>
      <c r="C4478" s="25">
        <v>382000</v>
      </c>
      <c r="D4478" s="22" t="s">
        <v>7297</v>
      </c>
      <c r="E4478" s="22" t="s">
        <v>7298</v>
      </c>
      <c r="F4478" s="23" t="str">
        <f>HYPERLINK("https://www.spark-marketing.ru/Card/Lot/73157244", "Поставка индивидуальных рационов питания")</f>
        <v>Поставка индивидуальных рационов питания</v>
      </c>
      <c r="G4478" s="22" t="s">
        <v>49</v>
      </c>
      <c r="H4478" s="22" t="s">
        <v>1185</v>
      </c>
      <c r="I4478" s="26">
        <v>43707.4510069444</v>
      </c>
      <c r="J4478" s="28" t="s">
        <v>51</v>
      </c>
      <c r="K4478" s="28" t="s">
        <v>51</v>
      </c>
      <c r="L4478" s="28" t="s">
        <v>51</v>
      </c>
      <c r="M4478" s="28" t="s">
        <v>51</v>
      </c>
      <c r="N4478" s="28" t="s">
        <v>51</v>
      </c>
    </row>
    <row r="4479" spans="1:14" hidden="1" outlineLevel="1" x14ac:dyDescent="0.2">
      <c r="A4479" s="23" t="str">
        <f>HYPERLINK("https://www.spark-marketing.ru/Card/Person/70383", "АДМИНИСТРАЦИЯ СЕРГИЕВО-ПОСАДСКОГО МУНИЦИПАЛЬНОГО РАЙОНА")</f>
        <v>АДМИНИСТРАЦИЯ СЕРГИЕВО-ПОСАДСКОГО МУНИЦИПАЛЬНОГО РАЙОНА</v>
      </c>
      <c r="B4479" s="24" t="s">
        <v>7296</v>
      </c>
      <c r="C4479" s="25">
        <v>382000</v>
      </c>
      <c r="D4479" s="22" t="s">
        <v>7297</v>
      </c>
      <c r="E4479" s="22" t="s">
        <v>7298</v>
      </c>
      <c r="F4479" s="23" t="str">
        <f>HYPERLINK("https://www.spark-marketing.ru/Card/Lot/73157244", "Поставка индивидуальных рационов питания")</f>
        <v>Поставка индивидуальных рационов питания</v>
      </c>
      <c r="G4479" s="22" t="s">
        <v>49</v>
      </c>
      <c r="H4479" s="22" t="s">
        <v>1185</v>
      </c>
      <c r="I4479" s="26">
        <v>43707.4510069444</v>
      </c>
      <c r="J4479" s="23" t="str">
        <f>HYPERLINK("https://www.spark-marketing.ru/Card/Person/1463258", "ООО ""КОМПАНИЯ ПОЛИПРИБОР""")</f>
        <v>ООО "КОМПАНИЯ ПОЛИПРИБОР"</v>
      </c>
      <c r="K4479" s="24" t="s">
        <v>7299</v>
      </c>
      <c r="L4479" s="28" t="s">
        <v>51</v>
      </c>
      <c r="M4479" s="25">
        <v>360000</v>
      </c>
      <c r="N4479" s="27">
        <v>5.7591623036649213E-2</v>
      </c>
    </row>
    <row r="4480" spans="1:14" ht="12.75" hidden="1" outlineLevel="1" x14ac:dyDescent="0.2">
      <c r="A4480" s="23" t="str">
        <f>HYPERLINK("https://www.spark-marketing.ru/Card/Person/70383", "АДМИНИСТРАЦИЯ СЕРГИЕВО-ПОСАДСКОГО МУНИЦИПАЛЬНОГО РАЙОНА")</f>
        <v>АДМИНИСТРАЦИЯ СЕРГИЕВО-ПОСАДСКОГО МУНИЦИПАЛЬНОГО РАЙОНА</v>
      </c>
      <c r="B4480" s="24" t="s">
        <v>7296</v>
      </c>
      <c r="C4480" s="25">
        <v>382000</v>
      </c>
      <c r="D4480" s="22" t="s">
        <v>7297</v>
      </c>
      <c r="E4480" s="22" t="s">
        <v>7298</v>
      </c>
      <c r="F4480" s="23" t="str">
        <f>HYPERLINK("https://www.spark-marketing.ru/Card/Lot/73157244", "Поставка индивидуальных рационов питания")</f>
        <v>Поставка индивидуальных рационов питания</v>
      </c>
      <c r="G4480" s="22" t="s">
        <v>49</v>
      </c>
      <c r="H4480" s="22" t="s">
        <v>1185</v>
      </c>
      <c r="I4480" s="26">
        <v>43707.4510069444</v>
      </c>
      <c r="J4480" s="23" t="str">
        <f>HYPERLINK("https://www.spark-marketing.ru/Card/Person/526007", "ООО ""ЦАРЬСЕЙФ""")</f>
        <v>ООО "ЦАРЬСЕЙФ"</v>
      </c>
      <c r="K4480" s="24" t="s">
        <v>7300</v>
      </c>
      <c r="L4480" s="22" t="s">
        <v>10</v>
      </c>
      <c r="M4480" s="25">
        <v>287870</v>
      </c>
      <c r="N4480" s="27">
        <v>0.24641361256544503</v>
      </c>
    </row>
    <row r="4481" spans="1:14" hidden="1" outlineLevel="1" x14ac:dyDescent="0.2">
      <c r="A4481" s="23" t="str">
        <f>HYPERLINK("https://www.spark-marketing.ru/Card/Person/70383", "АДМИНИСТРАЦИЯ СЕРГИЕВО-ПОСАДСКОГО МУНИЦИПАЛЬНОГО РАЙОНА")</f>
        <v>АДМИНИСТРАЦИЯ СЕРГИЕВО-ПОСАДСКОГО МУНИЦИПАЛЬНОГО РАЙОНА</v>
      </c>
      <c r="B4481" s="24" t="s">
        <v>7296</v>
      </c>
      <c r="C4481" s="25">
        <v>382000</v>
      </c>
      <c r="D4481" s="22" t="s">
        <v>7297</v>
      </c>
      <c r="E4481" s="22" t="s">
        <v>7298</v>
      </c>
      <c r="F4481" s="23" t="str">
        <f>HYPERLINK("https://www.spark-marketing.ru/Card/Lot/73157244", "Поставка индивидуальных рационов питания")</f>
        <v>Поставка индивидуальных рационов питания</v>
      </c>
      <c r="G4481" s="22" t="s">
        <v>49</v>
      </c>
      <c r="H4481" s="22" t="s">
        <v>1185</v>
      </c>
      <c r="I4481" s="26">
        <v>43707.4510069444</v>
      </c>
      <c r="J4481" s="23" t="str">
        <f>HYPERLINK("https://www.spark-marketing.ru/Card/Person/147204", "ООО ""РТК""")</f>
        <v>ООО "РТК"</v>
      </c>
      <c r="K4481" s="24" t="s">
        <v>7301</v>
      </c>
      <c r="L4481" s="28" t="s">
        <v>51</v>
      </c>
      <c r="M4481" s="25">
        <v>289780</v>
      </c>
      <c r="N4481" s="27">
        <v>0.24141361256544502</v>
      </c>
    </row>
    <row r="4482" spans="1:14" x14ac:dyDescent="0.15">
      <c r="A4482" s="23" t="str">
        <f t="shared" ref="A4482:A4488" si="76">HYPERLINK("https://www.spark-marketing.ru/Card/Person/62132", "ГБУЗ ГОРОДСКАЯ БОЛЬНИЦА ЗАТО ОЗЕРНЫЙ")</f>
        <v>ГБУЗ ГОРОДСКАЯ БОЛЬНИЦА ЗАТО ОЗЕРНЫЙ</v>
      </c>
      <c r="B4482" s="24" t="s">
        <v>7302</v>
      </c>
      <c r="C4482" s="25">
        <v>240399.5</v>
      </c>
      <c r="D4482" s="22" t="s">
        <v>7303</v>
      </c>
      <c r="E4482" s="22" t="s">
        <v>62</v>
      </c>
      <c r="F4482" s="23" t="str">
        <f t="shared" ref="F4482:F4488" si="77">HYPERLINK("https://www.spark-marketing.ru/Card/Lot/73155283", "Поставка печатной продукции для нужд Государственного бюджетного учреждения здравоохранения Тверской области городская больница закрытого административно-территориального образования Озерный")</f>
        <v>Поставка печатной продукции для нужд Государственного бюджетного учреждения здравоохранения Тверской области городская больница закрытого административно-территориального образования Озерный</v>
      </c>
      <c r="G4482" s="22" t="s">
        <v>137</v>
      </c>
      <c r="H4482" s="22" t="s">
        <v>7304</v>
      </c>
      <c r="I4482" s="26">
        <v>43707.712222222202</v>
      </c>
      <c r="J4482" s="28" t="s">
        <v>51</v>
      </c>
      <c r="K4482" s="28" t="s">
        <v>51</v>
      </c>
      <c r="L4482" s="28" t="s">
        <v>51</v>
      </c>
      <c r="M4482" s="28" t="s">
        <v>51</v>
      </c>
      <c r="N4482" s="28" t="s">
        <v>51</v>
      </c>
    </row>
    <row r="4483" spans="1:14" hidden="1" outlineLevel="1" x14ac:dyDescent="0.2">
      <c r="A4483" s="23" t="str">
        <f t="shared" si="76"/>
        <v>ГБУЗ ГОРОДСКАЯ БОЛЬНИЦА ЗАТО ОЗЕРНЫЙ</v>
      </c>
      <c r="B4483" s="24" t="s">
        <v>7302</v>
      </c>
      <c r="C4483" s="25">
        <v>240399.5</v>
      </c>
      <c r="D4483" s="22" t="s">
        <v>7303</v>
      </c>
      <c r="E4483" s="22" t="s">
        <v>62</v>
      </c>
      <c r="F4483" s="23" t="str">
        <f t="shared" si="77"/>
        <v>Поставка печатной продукции для нужд Государственного бюджетного учреждения здравоохранения Тверской области городская больница закрытого административно-территориального образования Озерный</v>
      </c>
      <c r="G4483" s="22" t="s">
        <v>137</v>
      </c>
      <c r="H4483" s="22" t="s">
        <v>7304</v>
      </c>
      <c r="I4483" s="26">
        <v>43707.712222222202</v>
      </c>
      <c r="J4483" s="23" t="str">
        <f>HYPERLINK("https://www.spark-marketing.ru/Card/Person/6421268", "Головатый Александр Николаевич")</f>
        <v>Головатый Александр Николаевич</v>
      </c>
      <c r="K4483" s="24" t="s">
        <v>5206</v>
      </c>
      <c r="L4483" s="28" t="s">
        <v>51</v>
      </c>
      <c r="M4483" s="25">
        <v>68798</v>
      </c>
      <c r="N4483" s="27">
        <v>0.71381804038693919</v>
      </c>
    </row>
    <row r="4484" spans="1:14" hidden="1" outlineLevel="1" x14ac:dyDescent="0.2">
      <c r="A4484" s="23" t="str">
        <f t="shared" si="76"/>
        <v>ГБУЗ ГОРОДСКАЯ БОЛЬНИЦА ЗАТО ОЗЕРНЫЙ</v>
      </c>
      <c r="B4484" s="24" t="s">
        <v>7302</v>
      </c>
      <c r="C4484" s="25">
        <v>240399.5</v>
      </c>
      <c r="D4484" s="22" t="s">
        <v>7303</v>
      </c>
      <c r="E4484" s="22" t="s">
        <v>62</v>
      </c>
      <c r="F4484" s="23" t="str">
        <f t="shared" si="77"/>
        <v>Поставка печатной продукции для нужд Государственного бюджетного учреждения здравоохранения Тверской области городская больница закрытого административно-территориального образования Озерный</v>
      </c>
      <c r="G4484" s="22" t="s">
        <v>137</v>
      </c>
      <c r="H4484" s="22" t="s">
        <v>7304</v>
      </c>
      <c r="I4484" s="26">
        <v>43707.712222222202</v>
      </c>
      <c r="J4484" s="23" t="str">
        <f>HYPERLINK("https://www.spark-marketing.ru/Card/Person/105032", "ООО ""ТОРЖОКСКАЯ ТИПОГРАФИЯ""")</f>
        <v>ООО "ТОРЖОКСКАЯ ТИПОГРАФИЯ"</v>
      </c>
      <c r="K4484" s="24" t="s">
        <v>7305</v>
      </c>
      <c r="L4484" s="28" t="s">
        <v>51</v>
      </c>
      <c r="M4484" s="25">
        <v>98000</v>
      </c>
      <c r="N4484" s="27">
        <v>0.5923452419826164</v>
      </c>
    </row>
    <row r="4485" spans="1:14" hidden="1" outlineLevel="1" x14ac:dyDescent="0.2">
      <c r="A4485" s="23" t="str">
        <f t="shared" si="76"/>
        <v>ГБУЗ ГОРОДСКАЯ БОЛЬНИЦА ЗАТО ОЗЕРНЫЙ</v>
      </c>
      <c r="B4485" s="24" t="s">
        <v>7302</v>
      </c>
      <c r="C4485" s="25">
        <v>240399.5</v>
      </c>
      <c r="D4485" s="22" t="s">
        <v>7303</v>
      </c>
      <c r="E4485" s="22" t="s">
        <v>62</v>
      </c>
      <c r="F4485" s="23" t="str">
        <f t="shared" si="77"/>
        <v>Поставка печатной продукции для нужд Государственного бюджетного учреждения здравоохранения Тверской области городская больница закрытого административно-территориального образования Озерный</v>
      </c>
      <c r="G4485" s="22" t="s">
        <v>137</v>
      </c>
      <c r="H4485" s="22" t="s">
        <v>7304</v>
      </c>
      <c r="I4485" s="26">
        <v>43707.712222222202</v>
      </c>
      <c r="J4485" s="23" t="str">
        <f>HYPERLINK("https://www.spark-marketing.ru/Card/Person/317671", "ООО ""МАРС-ПРИНТ""")</f>
        <v>ООО "МАРС-ПРИНТ"</v>
      </c>
      <c r="K4485" s="24" t="s">
        <v>7306</v>
      </c>
      <c r="L4485" s="28" t="s">
        <v>51</v>
      </c>
      <c r="M4485" s="25">
        <v>63798</v>
      </c>
      <c r="N4485" s="27">
        <v>0.73461675253068326</v>
      </c>
    </row>
    <row r="4486" spans="1:14" hidden="1" outlineLevel="1" x14ac:dyDescent="0.2">
      <c r="A4486" s="23" t="str">
        <f t="shared" si="76"/>
        <v>ГБУЗ ГОРОДСКАЯ БОЛЬНИЦА ЗАТО ОЗЕРНЫЙ</v>
      </c>
      <c r="B4486" s="24" t="s">
        <v>7302</v>
      </c>
      <c r="C4486" s="25">
        <v>240399.5</v>
      </c>
      <c r="D4486" s="22" t="s">
        <v>7303</v>
      </c>
      <c r="E4486" s="22" t="s">
        <v>62</v>
      </c>
      <c r="F4486" s="23" t="str">
        <f t="shared" si="77"/>
        <v>Поставка печатной продукции для нужд Государственного бюджетного учреждения здравоохранения Тверской области городская больница закрытого административно-территориального образования Озерный</v>
      </c>
      <c r="G4486" s="22" t="s">
        <v>137</v>
      </c>
      <c r="H4486" s="22" t="s">
        <v>7304</v>
      </c>
      <c r="I4486" s="26">
        <v>43707.712222222202</v>
      </c>
      <c r="J4486" s="23" t="str">
        <f>HYPERLINK("https://www.spark-marketing.ru/Card/Person/70363", "ООО ""ВИННЕР - ПРИНТ""")</f>
        <v>ООО "ВИННЕР - ПРИНТ"</v>
      </c>
      <c r="K4486" s="24" t="s">
        <v>3048</v>
      </c>
      <c r="L4486" s="28" t="s">
        <v>51</v>
      </c>
      <c r="M4486" s="25">
        <v>80000</v>
      </c>
      <c r="N4486" s="27">
        <v>0.667220605700095</v>
      </c>
    </row>
    <row r="4487" spans="1:14" hidden="1" outlineLevel="1" x14ac:dyDescent="0.2">
      <c r="A4487" s="23" t="str">
        <f t="shared" si="76"/>
        <v>ГБУЗ ГОРОДСКАЯ БОЛЬНИЦА ЗАТО ОЗЕРНЫЙ</v>
      </c>
      <c r="B4487" s="24" t="s">
        <v>7302</v>
      </c>
      <c r="C4487" s="25">
        <v>240399.5</v>
      </c>
      <c r="D4487" s="22" t="s">
        <v>7303</v>
      </c>
      <c r="E4487" s="22" t="s">
        <v>62</v>
      </c>
      <c r="F4487" s="23" t="str">
        <f t="shared" si="77"/>
        <v>Поставка печатной продукции для нужд Государственного бюджетного учреждения здравоохранения Тверской области городская больница закрытого административно-территориального образования Озерный</v>
      </c>
      <c r="G4487" s="22" t="s">
        <v>137</v>
      </c>
      <c r="H4487" s="22" t="s">
        <v>7304</v>
      </c>
      <c r="I4487" s="26">
        <v>43707.712222222202</v>
      </c>
      <c r="J4487" s="23" t="str">
        <f>HYPERLINK("https://www.spark-marketing.ru/Card/Person/6182293", "Беляев Евгений Александрович")</f>
        <v>Беляев Евгений Александрович</v>
      </c>
      <c r="K4487" s="24" t="s">
        <v>7307</v>
      </c>
      <c r="L4487" s="28" t="s">
        <v>51</v>
      </c>
      <c r="M4487" s="25">
        <v>88798</v>
      </c>
      <c r="N4487" s="27">
        <v>0.63062319181196302</v>
      </c>
    </row>
    <row r="4488" spans="1:14" ht="12.75" hidden="1" outlineLevel="1" x14ac:dyDescent="0.2">
      <c r="A4488" s="23" t="str">
        <f t="shared" si="76"/>
        <v>ГБУЗ ГОРОДСКАЯ БОЛЬНИЦА ЗАТО ОЗЕРНЫЙ</v>
      </c>
      <c r="B4488" s="24" t="s">
        <v>7302</v>
      </c>
      <c r="C4488" s="25">
        <v>240399.5</v>
      </c>
      <c r="D4488" s="22" t="s">
        <v>7303</v>
      </c>
      <c r="E4488" s="22" t="s">
        <v>62</v>
      </c>
      <c r="F4488" s="23" t="str">
        <f t="shared" si="77"/>
        <v>Поставка печатной продукции для нужд Государственного бюджетного учреждения здравоохранения Тверской области городская больница закрытого административно-территориального образования Озерный</v>
      </c>
      <c r="G4488" s="22" t="s">
        <v>137</v>
      </c>
      <c r="H4488" s="22" t="s">
        <v>7304</v>
      </c>
      <c r="I4488" s="26">
        <v>43707.712222222202</v>
      </c>
      <c r="J4488" s="23" t="str">
        <f>HYPERLINK("https://www.spark-marketing.ru/Card/Person/6631976", "ООО ""ТИПОГРАФИЯ ФОРМАТ""")</f>
        <v>ООО "ТИПОГРАФИЯ ФОРМАТ"</v>
      </c>
      <c r="K4488" s="24" t="s">
        <v>6193</v>
      </c>
      <c r="L4488" s="22" t="s">
        <v>10</v>
      </c>
      <c r="M4488" s="25">
        <v>60000</v>
      </c>
      <c r="N4488" s="27">
        <v>0.75041545427507128</v>
      </c>
    </row>
    <row r="4489" spans="1:14" x14ac:dyDescent="0.15">
      <c r="A4489" s="23" t="str">
        <f>HYPERLINK("https://www.spark-marketing.ru/Card/Person/5836", "БУЗ УР ""ГКБ № 6 МЗ УР""")</f>
        <v>БУЗ УР "ГКБ № 6 МЗ УР"</v>
      </c>
      <c r="B4489" s="24" t="s">
        <v>7308</v>
      </c>
      <c r="C4489" s="25">
        <v>2604900</v>
      </c>
      <c r="D4489" s="22" t="s">
        <v>7309</v>
      </c>
      <c r="E4489" s="22" t="s">
        <v>51</v>
      </c>
      <c r="F4489" s="23" t="str">
        <f>HYPERLINK("https://www.spark-marketing.ru/Card/Lot/73161666", "№ зз-29270-19 Услуги по организации лечебного питания")</f>
        <v>№ зз-29270-19 Услуги по организации лечебного питания</v>
      </c>
      <c r="G4489" s="22" t="s">
        <v>852</v>
      </c>
      <c r="H4489" s="22" t="s">
        <v>2477</v>
      </c>
      <c r="I4489" s="26">
        <v>43707.679502314801</v>
      </c>
      <c r="J4489" s="28" t="s">
        <v>51</v>
      </c>
      <c r="K4489" s="28" t="s">
        <v>51</v>
      </c>
      <c r="L4489" s="28" t="s">
        <v>51</v>
      </c>
      <c r="M4489" s="28" t="s">
        <v>51</v>
      </c>
      <c r="N4489" s="28" t="s">
        <v>51</v>
      </c>
    </row>
    <row r="4490" spans="1:14" ht="12.75" hidden="1" outlineLevel="1" x14ac:dyDescent="0.2">
      <c r="A4490" s="23" t="str">
        <f>HYPERLINK("https://www.spark-marketing.ru/Card/Person/5836", "БУЗ УР ""ГКБ № 6 МЗ УР""")</f>
        <v>БУЗ УР "ГКБ № 6 МЗ УР"</v>
      </c>
      <c r="B4490" s="24" t="s">
        <v>7308</v>
      </c>
      <c r="C4490" s="25">
        <v>2604900</v>
      </c>
      <c r="D4490" s="22" t="s">
        <v>7309</v>
      </c>
      <c r="E4490" s="22" t="s">
        <v>51</v>
      </c>
      <c r="F4490" s="23" t="str">
        <f>HYPERLINK("https://www.spark-marketing.ru/Card/Lot/73161666", "№ зз-29270-19 Услуги по организации лечебного питания")</f>
        <v>№ зз-29270-19 Услуги по организации лечебного питания</v>
      </c>
      <c r="G4490" s="22" t="s">
        <v>852</v>
      </c>
      <c r="H4490" s="22" t="s">
        <v>2477</v>
      </c>
      <c r="I4490" s="26">
        <v>43707.679502314801</v>
      </c>
      <c r="J4490" s="23" t="str">
        <f>HYPERLINK("https://www.spark-marketing.ru/Card/Person/138888", "ООО ""РАИДА""")</f>
        <v>ООО "РАИДА"</v>
      </c>
      <c r="K4490" s="24" t="s">
        <v>7310</v>
      </c>
      <c r="L4490" s="22" t="s">
        <v>10</v>
      </c>
      <c r="M4490" s="25">
        <v>1899520.5</v>
      </c>
      <c r="N4490" s="27">
        <v>0.27078947368421052</v>
      </c>
    </row>
    <row r="4491" spans="1:14" hidden="1" outlineLevel="1" x14ac:dyDescent="0.2">
      <c r="A4491" s="23" t="str">
        <f>HYPERLINK("https://www.spark-marketing.ru/Card/Person/5836", "БУЗ УР ""ГКБ № 6 МЗ УР""")</f>
        <v>БУЗ УР "ГКБ № 6 МЗ УР"</v>
      </c>
      <c r="B4491" s="24" t="s">
        <v>7308</v>
      </c>
      <c r="C4491" s="25">
        <v>2604900</v>
      </c>
      <c r="D4491" s="22" t="s">
        <v>7309</v>
      </c>
      <c r="E4491" s="22" t="s">
        <v>51</v>
      </c>
      <c r="F4491" s="23" t="str">
        <f>HYPERLINK("https://www.spark-marketing.ru/Card/Lot/73161666", "№ зз-29270-19 Услуги по организации лечебного питания")</f>
        <v>№ зз-29270-19 Услуги по организации лечебного питания</v>
      </c>
      <c r="G4491" s="22" t="s">
        <v>852</v>
      </c>
      <c r="H4491" s="22" t="s">
        <v>2477</v>
      </c>
      <c r="I4491" s="26">
        <v>43707.679502314801</v>
      </c>
      <c r="J4491" s="23" t="str">
        <f>HYPERLINK("https://www.spark-marketing.ru/Card/Person/2039993", "ООО ""ЛИГУРИЯ""")</f>
        <v>ООО "ЛИГУРИЯ"</v>
      </c>
      <c r="K4491" s="24" t="s">
        <v>7311</v>
      </c>
      <c r="L4491" s="28" t="s">
        <v>51</v>
      </c>
      <c r="M4491" s="25">
        <v>1912545</v>
      </c>
      <c r="N4491" s="27">
        <v>0.26578947368421052</v>
      </c>
    </row>
    <row r="4492" spans="1:14" x14ac:dyDescent="0.15">
      <c r="A4492" s="23" t="str">
        <f>HYPERLINK("https://www.spark-marketing.ru/Card/Person/10756", "МГОУ")</f>
        <v>МГОУ</v>
      </c>
      <c r="B4492" s="24" t="s">
        <v>7312</v>
      </c>
      <c r="C4492" s="25">
        <v>400000</v>
      </c>
      <c r="D4492" s="22" t="s">
        <v>7313</v>
      </c>
      <c r="E4492" s="22" t="s">
        <v>48</v>
      </c>
      <c r="F4492" s="23" t="str">
        <f>HYPERLINK("https://www.spark-marketing.ru/Card/Lot/73152528", "Оказание услуг по организации питания участников в рамках проведения Московского областного слёта отрядов юных друзей полиции")</f>
        <v>Оказание услуг по организации питания участников в рамках проведения Московского областного слёта отрядов юных друзей полиции</v>
      </c>
      <c r="G4492" s="22" t="s">
        <v>49</v>
      </c>
      <c r="H4492" s="22" t="s">
        <v>537</v>
      </c>
      <c r="I4492" s="26">
        <v>43707.690995370402</v>
      </c>
      <c r="J4492" s="28" t="s">
        <v>51</v>
      </c>
      <c r="K4492" s="28" t="s">
        <v>51</v>
      </c>
      <c r="L4492" s="28" t="s">
        <v>51</v>
      </c>
      <c r="M4492" s="28" t="s">
        <v>51</v>
      </c>
      <c r="N4492" s="28" t="s">
        <v>51</v>
      </c>
    </row>
    <row r="4493" spans="1:14" x14ac:dyDescent="0.15">
      <c r="A4493" s="23" t="str">
        <f>HYPERLINK("https://www.spark-marketing.ru/Card/Person/83830", "ОГКУ ""УСЗН ПО ГОРОДУ ИРКУТСКУ""")</f>
        <v>ОГКУ "УСЗН ПО ГОРОДУ ИРКУТСКУ"</v>
      </c>
      <c r="B4493" s="24" t="s">
        <v>7314</v>
      </c>
      <c r="C4493" s="25">
        <v>27550</v>
      </c>
      <c r="D4493" s="22" t="s">
        <v>7315</v>
      </c>
      <c r="E4493" s="22" t="s">
        <v>1166</v>
      </c>
      <c r="F4493" s="23" t="str">
        <f>HYPERLINK("https://www.spark-marketing.ru/Card/Lot/73145230", "Оказание услуг по утилизации компьютерной и офисной техники")</f>
        <v>Оказание услуг по утилизации компьютерной и офисной техники</v>
      </c>
      <c r="G4493" s="22" t="s">
        <v>263</v>
      </c>
      <c r="H4493" s="22" t="s">
        <v>2768</v>
      </c>
      <c r="I4493" s="26">
        <v>43707.667280092603</v>
      </c>
      <c r="J4493" s="28" t="s">
        <v>51</v>
      </c>
      <c r="K4493" s="28" t="s">
        <v>51</v>
      </c>
      <c r="L4493" s="28" t="s">
        <v>51</v>
      </c>
      <c r="M4493" s="28" t="s">
        <v>51</v>
      </c>
      <c r="N4493" s="28" t="s">
        <v>51</v>
      </c>
    </row>
    <row r="4494" spans="1:14" ht="12.75" hidden="1" outlineLevel="1" x14ac:dyDescent="0.2">
      <c r="A4494" s="23" t="str">
        <f>HYPERLINK("https://www.spark-marketing.ru/Card/Person/83830", "ОГКУ ""УСЗН ПО ГОРОДУ ИРКУТСКУ""")</f>
        <v>ОГКУ "УСЗН ПО ГОРОДУ ИРКУТСКУ"</v>
      </c>
      <c r="B4494" s="24" t="s">
        <v>7314</v>
      </c>
      <c r="C4494" s="25">
        <v>27550</v>
      </c>
      <c r="D4494" s="22" t="s">
        <v>7315</v>
      </c>
      <c r="E4494" s="22" t="s">
        <v>1166</v>
      </c>
      <c r="F4494" s="23" t="str">
        <f>HYPERLINK("https://www.spark-marketing.ru/Card/Lot/73145230", "Оказание услуг по утилизации компьютерной и офисной техники")</f>
        <v>Оказание услуг по утилизации компьютерной и офисной техники</v>
      </c>
      <c r="G4494" s="22" t="s">
        <v>263</v>
      </c>
      <c r="H4494" s="22" t="s">
        <v>2768</v>
      </c>
      <c r="I4494" s="26">
        <v>43707.667280092603</v>
      </c>
      <c r="J4494" s="23" t="str">
        <f>HYPERLINK("https://www.spark-marketing.ru/Card/Person/825879", "Закиров Рустем Рифкатович")</f>
        <v>Закиров Рустем Рифкатович</v>
      </c>
      <c r="K4494" s="24" t="s">
        <v>2466</v>
      </c>
      <c r="L4494" s="22" t="s">
        <v>10</v>
      </c>
      <c r="M4494" s="25">
        <v>13184</v>
      </c>
      <c r="N4494" s="27">
        <v>0.5214519056261343</v>
      </c>
    </row>
    <row r="4495" spans="1:14" hidden="1" outlineLevel="1" x14ac:dyDescent="0.2">
      <c r="A4495" s="23" t="str">
        <f>HYPERLINK("https://www.spark-marketing.ru/Card/Person/83830", "ОГКУ ""УСЗН ПО ГОРОДУ ИРКУТСКУ""")</f>
        <v>ОГКУ "УСЗН ПО ГОРОДУ ИРКУТСКУ"</v>
      </c>
      <c r="B4495" s="24" t="s">
        <v>7314</v>
      </c>
      <c r="C4495" s="25">
        <v>27550</v>
      </c>
      <c r="D4495" s="22" t="s">
        <v>7315</v>
      </c>
      <c r="E4495" s="22" t="s">
        <v>1166</v>
      </c>
      <c r="F4495" s="23" t="str">
        <f>HYPERLINK("https://www.spark-marketing.ru/Card/Lot/73145230", "Оказание услуг по утилизации компьютерной и офисной техники")</f>
        <v>Оказание услуг по утилизации компьютерной и офисной техники</v>
      </c>
      <c r="G4495" s="22" t="s">
        <v>263</v>
      </c>
      <c r="H4495" s="22" t="s">
        <v>2768</v>
      </c>
      <c r="I4495" s="26">
        <v>43707.667280092603</v>
      </c>
      <c r="J4495" s="23" t="str">
        <f>HYPERLINK("https://www.spark-marketing.ru/Card/Person/140695", "ООО ""ЭКОЛОГИЧЕСКАЯ БЕЗОПАСНОСТЬ""")</f>
        <v>ООО "ЭКОЛОГИЧЕСКАЯ БЕЗОПАСНОСТЬ"</v>
      </c>
      <c r="K4495" s="24" t="s">
        <v>2464</v>
      </c>
      <c r="L4495" s="28" t="s">
        <v>51</v>
      </c>
      <c r="M4495" s="25">
        <v>14030</v>
      </c>
      <c r="N4495" s="27">
        <v>0.49074410163339383</v>
      </c>
    </row>
    <row r="4496" spans="1:14" x14ac:dyDescent="0.15">
      <c r="A4496" s="23" t="str">
        <f>HYPERLINK("https://www.spark-marketing.ru/Card/Person/24996", "ОТДЕЛ МВД РОССИИ ПО ЛЕНИНГРАДСКОМУ РАЙОНУ")</f>
        <v>ОТДЕЛ МВД РОССИИ ПО ЛЕНИНГРАДСКОМУ РАЙОНУ</v>
      </c>
      <c r="B4496" s="24" t="s">
        <v>7316</v>
      </c>
      <c r="C4496" s="25">
        <v>260000</v>
      </c>
      <c r="D4496" s="22" t="s">
        <v>7317</v>
      </c>
      <c r="E4496" s="22" t="s">
        <v>48</v>
      </c>
      <c r="F4496" s="23" t="str">
        <f>HYPERLINK("https://www.spark-marketing.ru/Card/Lot/73154763", "Оказание услуг по обеспечению 3-х разовым ежедневным горячим питанием лиц, содержащихся в изоляторе временного содержания и лиц, содержащихся в камере административно задержанных Отдела МВД России по Ленинградскому району")</f>
        <v>Оказание услуг по обеспечению 3-х разовым ежедневным горячим питанием лиц, содержащихся в изоляторе временного содержания и лиц, содержащихся в камере административно задержанных Отдела МВД России по Ленинградскому району</v>
      </c>
      <c r="G4496" s="22" t="s">
        <v>104</v>
      </c>
      <c r="H4496" s="22" t="s">
        <v>7318</v>
      </c>
      <c r="I4496" s="26">
        <v>43707.442743055602</v>
      </c>
      <c r="J4496" s="23" t="str">
        <f>HYPERLINK("https://www.spark-marketing.ru/Card/Person/1156686", "Ткаченко Любовь Васильевна")</f>
        <v>Ткаченко Любовь Васильевна</v>
      </c>
      <c r="K4496" s="24" t="s">
        <v>7319</v>
      </c>
      <c r="L4496" s="22" t="s">
        <v>10</v>
      </c>
      <c r="M4496" s="28" t="s">
        <v>51</v>
      </c>
      <c r="N4496" s="28" t="s">
        <v>51</v>
      </c>
    </row>
    <row r="4497" spans="1:14" x14ac:dyDescent="0.15">
      <c r="A4497" s="23" t="str">
        <f>HYPERLINK("https://www.spark-marketing.ru/Card/Person/1050139", "ГКОУ СО ""ЕКАТЕРИНБУРГСКАЯ ШКОЛА № 2""")</f>
        <v>ГКОУ СО "ЕКАТЕРИНБУРГСКАЯ ШКОЛА № 2"</v>
      </c>
      <c r="B4497" s="24" t="s">
        <v>7320</v>
      </c>
      <c r="C4497" s="25">
        <v>999283.19999999995</v>
      </c>
      <c r="D4497" s="22" t="s">
        <v>7321</v>
      </c>
      <c r="E4497" s="22" t="s">
        <v>48</v>
      </c>
      <c r="F4497" s="23" t="str">
        <f>HYPERLINK("https://www.spark-marketing.ru/Card/Lot/73159417", "Услуга по организации 2-х разового горячего питания")</f>
        <v>Услуга по организации 2-х разового горячего питания</v>
      </c>
      <c r="G4497" s="22" t="s">
        <v>174</v>
      </c>
      <c r="H4497" s="22" t="s">
        <v>530</v>
      </c>
      <c r="I4497" s="26">
        <v>43707.651435185202</v>
      </c>
      <c r="J4497" s="28" t="s">
        <v>51</v>
      </c>
      <c r="K4497" s="28" t="s">
        <v>51</v>
      </c>
      <c r="L4497" s="28" t="s">
        <v>51</v>
      </c>
      <c r="M4497" s="28" t="s">
        <v>51</v>
      </c>
      <c r="N4497" s="28" t="s">
        <v>51</v>
      </c>
    </row>
    <row r="4498" spans="1:14" ht="12.75" hidden="1" outlineLevel="1" x14ac:dyDescent="0.2">
      <c r="A4498" s="23" t="str">
        <f>HYPERLINK("https://www.spark-marketing.ru/Card/Person/1050139", "ГКОУ СО ""ЕКАТЕРИНБУРГСКАЯ ШКОЛА № 2""")</f>
        <v>ГКОУ СО "ЕКАТЕРИНБУРГСКАЯ ШКОЛА № 2"</v>
      </c>
      <c r="B4498" s="24" t="s">
        <v>7320</v>
      </c>
      <c r="C4498" s="25">
        <v>999283.19999999995</v>
      </c>
      <c r="D4498" s="22" t="s">
        <v>7321</v>
      </c>
      <c r="E4498" s="22" t="s">
        <v>48</v>
      </c>
      <c r="F4498" s="23" t="str">
        <f>HYPERLINK("https://www.spark-marketing.ru/Card/Lot/73159417", "Услуга по организации 2-х разового горячего питания")</f>
        <v>Услуга по организации 2-х разового горячего питания</v>
      </c>
      <c r="G4498" s="22" t="s">
        <v>174</v>
      </c>
      <c r="H4498" s="22" t="s">
        <v>530</v>
      </c>
      <c r="I4498" s="26">
        <v>43707.651435185202</v>
      </c>
      <c r="J4498" s="23" t="str">
        <f>HYPERLINK("https://www.spark-marketing.ru/Card/Person/4770077", "ООО ""КОМФОРТ""")</f>
        <v>ООО "КОМФОРТ"</v>
      </c>
      <c r="K4498" s="24" t="s">
        <v>7322</v>
      </c>
      <c r="L4498" s="22" t="s">
        <v>10</v>
      </c>
      <c r="M4498" s="25">
        <v>940331.36</v>
      </c>
      <c r="N4498" s="27">
        <v>5.8994126990226596E-2</v>
      </c>
    </row>
    <row r="4499" spans="1:14" hidden="1" outlineLevel="1" x14ac:dyDescent="0.2">
      <c r="A4499" s="23" t="str">
        <f>HYPERLINK("https://www.spark-marketing.ru/Card/Person/1050139", "ГКОУ СО ""ЕКАТЕРИНБУРГСКАЯ ШКОЛА № 2""")</f>
        <v>ГКОУ СО "ЕКАТЕРИНБУРГСКАЯ ШКОЛА № 2"</v>
      </c>
      <c r="B4499" s="24" t="s">
        <v>7320</v>
      </c>
      <c r="C4499" s="25">
        <v>999283.19999999995</v>
      </c>
      <c r="D4499" s="22" t="s">
        <v>7321</v>
      </c>
      <c r="E4499" s="22" t="s">
        <v>48</v>
      </c>
      <c r="F4499" s="23" t="str">
        <f>HYPERLINK("https://www.spark-marketing.ru/Card/Lot/73159417", "Услуга по организации 2-х разового горячего питания")</f>
        <v>Услуга по организации 2-х разового горячего питания</v>
      </c>
      <c r="G4499" s="22" t="s">
        <v>174</v>
      </c>
      <c r="H4499" s="22" t="s">
        <v>530</v>
      </c>
      <c r="I4499" s="26">
        <v>43707.651435185202</v>
      </c>
      <c r="J4499" s="23" t="str">
        <f>HYPERLINK("https://www.spark-marketing.ru/Card/Person/1480679", "ООО ""КШП""")</f>
        <v>ООО "КШП"</v>
      </c>
      <c r="K4499" s="24" t="s">
        <v>5252</v>
      </c>
      <c r="L4499" s="28" t="s">
        <v>51</v>
      </c>
      <c r="M4499" s="25">
        <v>940331.36</v>
      </c>
      <c r="N4499" s="27">
        <v>5.8994126990226596E-2</v>
      </c>
    </row>
    <row r="4500" spans="1:14" x14ac:dyDescent="0.15">
      <c r="A4500" s="23" t="str">
        <f>HYPERLINK("https://www.spark-marketing.ru/Card/Person/55899", "ГБУЗ ""УСТЬ-ЛАБИНСКАЯ ЦРБ"" МЗ КК")</f>
        <v>ГБУЗ "УСТЬ-ЛАБИНСКАЯ ЦРБ" МЗ КК</v>
      </c>
      <c r="B4500" s="24" t="s">
        <v>1602</v>
      </c>
      <c r="C4500" s="25">
        <v>497300</v>
      </c>
      <c r="D4500" s="22" t="s">
        <v>7323</v>
      </c>
      <c r="E4500" s="22" t="s">
        <v>48</v>
      </c>
      <c r="F4500" s="23" t="str">
        <f>HYPERLINK("https://www.spark-marketing.ru/Card/Lot/73157628", "Оказание услуг по обеспечению лечебным питанием пациентов ГБУЗ ""Усть-Лабинская ЦРБ"" МЗ КК")</f>
        <v>Оказание услуг по обеспечению лечебным питанием пациентов ГБУЗ "Усть-Лабинская ЦРБ" МЗ КК</v>
      </c>
      <c r="G4500" s="22" t="s">
        <v>104</v>
      </c>
      <c r="H4500" s="22" t="s">
        <v>1424</v>
      </c>
      <c r="I4500" s="26">
        <v>43706.378402777802</v>
      </c>
      <c r="J4500" s="23" t="str">
        <f>HYPERLINK("https://www.spark-marketing.ru/Card/Person/878131", "ООО "" АГРОПРОМСЕРВИС """)</f>
        <v>ООО " АГРОПРОМСЕРВИС "</v>
      </c>
      <c r="K4500" s="24" t="s">
        <v>1425</v>
      </c>
      <c r="L4500" s="22" t="s">
        <v>10</v>
      </c>
      <c r="M4500" s="28" t="s">
        <v>51</v>
      </c>
      <c r="N4500" s="28" t="s">
        <v>51</v>
      </c>
    </row>
    <row r="4501" spans="1:14" x14ac:dyDescent="0.15">
      <c r="A4501" s="23" t="str">
        <f>HYPERLINK("https://www.spark-marketing.ru/Card/Person/6443901", "ГКУ ВО ""БЕЗОПАСНЫЙ РЕГИОН""")</f>
        <v>ГКУ ВО "БЕЗОПАСНЫЙ РЕГИОН"</v>
      </c>
      <c r="B4501" s="24" t="s">
        <v>3823</v>
      </c>
      <c r="C4501" s="25">
        <v>30364377.489999998</v>
      </c>
      <c r="D4501" s="22" t="s">
        <v>7324</v>
      </c>
      <c r="E4501" s="22" t="s">
        <v>7325</v>
      </c>
      <c r="F4501" s="23" t="str">
        <f>HYPERLINK("https://www.spark-marketing.ru/Card/Lot/73163034", "Оказание услуг по созданию комплекса средств автоматизации «Единый центр оперативного реагирования» на территории города Волжский Волгоградской области и модуля интеллектуального центра городского управления")</f>
        <v>Оказание услуг по созданию комплекса средств автоматизации «Единый центр оперативного реагирования» на территории города Волжский Волгоградской области и модуля интеллектуального центра городского управления</v>
      </c>
      <c r="G4501" s="22" t="s">
        <v>158</v>
      </c>
      <c r="H4501" s="22" t="s">
        <v>171</v>
      </c>
      <c r="I4501" s="26">
        <v>43707.664699074099</v>
      </c>
      <c r="J4501" s="28" t="s">
        <v>51</v>
      </c>
      <c r="K4501" s="28" t="s">
        <v>51</v>
      </c>
      <c r="L4501" s="28" t="s">
        <v>51</v>
      </c>
      <c r="M4501" s="28" t="s">
        <v>51</v>
      </c>
      <c r="N4501" s="28" t="s">
        <v>51</v>
      </c>
    </row>
    <row r="4502" spans="1:14" x14ac:dyDescent="0.15">
      <c r="A4502" s="23" t="str">
        <f>HYPERLINK("https://www.spark-marketing.ru/Card/Person/1387", "БУЗ УР ""ГКБ № 8 МЗ УР""")</f>
        <v>БУЗ УР "ГКБ № 8 МЗ УР"</v>
      </c>
      <c r="B4502" s="24" t="s">
        <v>7326</v>
      </c>
      <c r="C4502" s="25">
        <v>3962000</v>
      </c>
      <c r="D4502" s="22" t="s">
        <v>7327</v>
      </c>
      <c r="E4502" s="22" t="s">
        <v>51</v>
      </c>
      <c r="F4502" s="23" t="str">
        <f>HYPERLINK("https://www.spark-marketing.ru/Card/Lot/73162167", "№ зз-28935-19 Услуги по организации и обеспечению лечебным питанием пациентов, находящихся на стационарном лечении в Бюджетном учреждении здравоохранения Удмуртской Республики «Городская клиническая больница №8 имени Однопозова Ильи Борисовича Минист...")</f>
        <v>№ зз-28935-19 Услуги по организации и обеспечению лечебным питанием пациентов, находящихся на стационарном лечении в Бюджетном учреждении здравоохранения Удмуртской Республики «Городская клиническая больница №8 имени Однопозова Ильи Борисовича Минист...</v>
      </c>
      <c r="G4502" s="22" t="s">
        <v>852</v>
      </c>
      <c r="H4502" s="22" t="s">
        <v>2477</v>
      </c>
      <c r="I4502" s="26">
        <v>43707.677106481497</v>
      </c>
      <c r="J4502" s="23" t="str">
        <f>HYPERLINK("https://www.spark-marketing.ru/Card/Person/87602", "Фефилов Андрей Геннадьевич")</f>
        <v>Фефилов Андрей Геннадьевич</v>
      </c>
      <c r="K4502" s="24" t="s">
        <v>7328</v>
      </c>
      <c r="L4502" s="22" t="s">
        <v>10</v>
      </c>
      <c r="M4502" s="28" t="s">
        <v>51</v>
      </c>
      <c r="N4502" s="28" t="s">
        <v>51</v>
      </c>
    </row>
    <row r="4503" spans="1:14" x14ac:dyDescent="0.15">
      <c r="A4503" s="23" t="str">
        <f>HYPERLINK("https://www.spark-marketing.ru/Card/Person/8052", "ОПФР ПО ТУЛЬСКОЙ ОБЛАСТИ")</f>
        <v>ОПФР ПО ТУЛЬСКОЙ ОБЛАСТИ</v>
      </c>
      <c r="B4503" s="24" t="s">
        <v>7329</v>
      </c>
      <c r="C4503" s="25">
        <v>324288</v>
      </c>
      <c r="D4503" s="22" t="s">
        <v>7330</v>
      </c>
      <c r="E4503" s="22" t="s">
        <v>355</v>
      </c>
      <c r="F4503" s="23" t="str">
        <f>HYPERLINK("https://www.spark-marketing.ru/Card/Lot/73155056", "Оказание услуг по ремонту оборудования системы бесперебойного питания ЛВС (источник бесперебойного питания ""Еатон"")")</f>
        <v>Оказание услуг по ремонту оборудования системы бесперебойного питания ЛВС (источник бесперебойного питания "Еатон")</v>
      </c>
      <c r="G4503" s="22" t="s">
        <v>68</v>
      </c>
      <c r="H4503" s="22" t="s">
        <v>69</v>
      </c>
      <c r="I4503" s="26">
        <v>43707.679930555598</v>
      </c>
      <c r="J4503" s="28" t="s">
        <v>51</v>
      </c>
      <c r="K4503" s="28" t="s">
        <v>51</v>
      </c>
      <c r="L4503" s="28" t="s">
        <v>51</v>
      </c>
      <c r="M4503" s="28" t="s">
        <v>51</v>
      </c>
      <c r="N4503" s="28" t="s">
        <v>51</v>
      </c>
    </row>
    <row r="4504" spans="1:14" ht="12.75" hidden="1" outlineLevel="1" x14ac:dyDescent="0.2">
      <c r="A4504" s="23" t="str">
        <f>HYPERLINK("https://www.spark-marketing.ru/Card/Person/8052", "ОПФР ПО ТУЛЬСКОЙ ОБЛАСТИ")</f>
        <v>ОПФР ПО ТУЛЬСКОЙ ОБЛАСТИ</v>
      </c>
      <c r="B4504" s="24" t="s">
        <v>7329</v>
      </c>
      <c r="C4504" s="25">
        <v>324288</v>
      </c>
      <c r="D4504" s="22" t="s">
        <v>7330</v>
      </c>
      <c r="E4504" s="22" t="s">
        <v>355</v>
      </c>
      <c r="F4504" s="23" t="str">
        <f>HYPERLINK("https://www.spark-marketing.ru/Card/Lot/73155056", "Оказание услуг по ремонту оборудования системы бесперебойного питания ЛВС (источник бесперебойного питания ""Еатон"")")</f>
        <v>Оказание услуг по ремонту оборудования системы бесперебойного питания ЛВС (источник бесперебойного питания "Еатон")</v>
      </c>
      <c r="G4504" s="22" t="s">
        <v>68</v>
      </c>
      <c r="H4504" s="22" t="s">
        <v>69</v>
      </c>
      <c r="I4504" s="26">
        <v>43707.679930555598</v>
      </c>
      <c r="J4504" s="23" t="str">
        <f>HYPERLINK("https://www.spark-marketing.ru/Card/Person/6489162", "ООО ""АЛАС ЭНЕРГИЯ""")</f>
        <v>ООО "АЛАС ЭНЕРГИЯ"</v>
      </c>
      <c r="K4504" s="24" t="s">
        <v>6025</v>
      </c>
      <c r="L4504" s="22" t="s">
        <v>10</v>
      </c>
      <c r="M4504" s="25">
        <v>190000</v>
      </c>
      <c r="N4504" s="27">
        <v>0.41410104598381686</v>
      </c>
    </row>
    <row r="4505" spans="1:14" hidden="1" outlineLevel="1" x14ac:dyDescent="0.2">
      <c r="A4505" s="23" t="str">
        <f>HYPERLINK("https://www.spark-marketing.ru/Card/Person/8052", "ОПФР ПО ТУЛЬСКОЙ ОБЛАСТИ")</f>
        <v>ОПФР ПО ТУЛЬСКОЙ ОБЛАСТИ</v>
      </c>
      <c r="B4505" s="24" t="s">
        <v>7329</v>
      </c>
      <c r="C4505" s="25">
        <v>324288</v>
      </c>
      <c r="D4505" s="22" t="s">
        <v>7330</v>
      </c>
      <c r="E4505" s="22" t="s">
        <v>355</v>
      </c>
      <c r="F4505" s="23" t="str">
        <f>HYPERLINK("https://www.spark-marketing.ru/Card/Lot/73155056", "Оказание услуг по ремонту оборудования системы бесперебойного питания ЛВС (источник бесперебойного питания ""Еатон"")")</f>
        <v>Оказание услуг по ремонту оборудования системы бесперебойного питания ЛВС (источник бесперебойного питания "Еатон")</v>
      </c>
      <c r="G4505" s="22" t="s">
        <v>68</v>
      </c>
      <c r="H4505" s="22" t="s">
        <v>69</v>
      </c>
      <c r="I4505" s="26">
        <v>43707.679930555598</v>
      </c>
      <c r="J4505" s="23" t="str">
        <f>HYPERLINK("https://www.spark-marketing.ru/Card/Person/986548", "ООО ""ЯРМИКА""")</f>
        <v>ООО "ЯРМИКА"</v>
      </c>
      <c r="K4505" s="24" t="s">
        <v>7331</v>
      </c>
      <c r="L4505" s="28" t="s">
        <v>51</v>
      </c>
      <c r="M4505" s="25">
        <v>193000</v>
      </c>
      <c r="N4505" s="27">
        <v>0.40485000986777187</v>
      </c>
    </row>
    <row r="4506" spans="1:14" hidden="1" outlineLevel="1" x14ac:dyDescent="0.2">
      <c r="A4506" s="23" t="str">
        <f>HYPERLINK("https://www.spark-marketing.ru/Card/Person/8052", "ОПФР ПО ТУЛЬСКОЙ ОБЛАСТИ")</f>
        <v>ОПФР ПО ТУЛЬСКОЙ ОБЛАСТИ</v>
      </c>
      <c r="B4506" s="24" t="s">
        <v>7329</v>
      </c>
      <c r="C4506" s="25">
        <v>324288</v>
      </c>
      <c r="D4506" s="22" t="s">
        <v>7330</v>
      </c>
      <c r="E4506" s="22" t="s">
        <v>355</v>
      </c>
      <c r="F4506" s="23" t="str">
        <f>HYPERLINK("https://www.spark-marketing.ru/Card/Lot/73155056", "Оказание услуг по ремонту оборудования системы бесперебойного питания ЛВС (источник бесперебойного питания ""Еатон"")")</f>
        <v>Оказание услуг по ремонту оборудования системы бесперебойного питания ЛВС (источник бесперебойного питания "Еатон")</v>
      </c>
      <c r="G4506" s="22" t="s">
        <v>68</v>
      </c>
      <c r="H4506" s="22" t="s">
        <v>69</v>
      </c>
      <c r="I4506" s="26">
        <v>43707.679930555598</v>
      </c>
      <c r="J4506" s="23" t="str">
        <f>HYPERLINK("https://www.spark-marketing.ru/Card/Person/4406821", "ООО ""ЭПИЦЕНТР")</f>
        <v>ООО "ЭПИЦЕНТР</v>
      </c>
      <c r="K4506" s="24" t="s">
        <v>7332</v>
      </c>
      <c r="L4506" s="28" t="s">
        <v>51</v>
      </c>
      <c r="M4506" s="25">
        <v>288378.56</v>
      </c>
      <c r="N4506" s="27">
        <v>0.11073317544898362</v>
      </c>
    </row>
    <row r="4507" spans="1:14" x14ac:dyDescent="0.15">
      <c r="A4507" s="23" t="str">
        <f>HYPERLINK("https://www.spark-marketing.ru/Card/Person/5897", "ГБУЗ ВО ""АРБ""")</f>
        <v>ГБУЗ ВО "АРБ"</v>
      </c>
      <c r="B4507" s="24" t="s">
        <v>1365</v>
      </c>
      <c r="C4507" s="25">
        <v>74684456</v>
      </c>
      <c r="D4507" s="22" t="s">
        <v>7333</v>
      </c>
      <c r="E4507" s="22" t="s">
        <v>48</v>
      </c>
      <c r="F4507" s="23" t="str">
        <f>HYPERLINK("https://www.spark-marketing.ru/Card/Lot/73164128", "Оказание услуг по ежедневному приготовлению и доставке горячего лечебного питания для пациентов круглосуточных стационаров, включая беременных и рожениц на 2020-2021 гг для нужд ГБУЗ ВО ""АРБ""")</f>
        <v>Оказание услуг по ежедневному приготовлению и доставке горячего лечебного питания для пациентов круглосуточных стационаров, включая беременных и рожениц на 2020-2021 гг для нужд ГБУЗ ВО "АРБ"</v>
      </c>
      <c r="G4507" s="22" t="s">
        <v>663</v>
      </c>
      <c r="H4507" s="22" t="s">
        <v>663</v>
      </c>
      <c r="I4507" s="26">
        <v>43707.680775462999</v>
      </c>
      <c r="J4507" s="28" t="s">
        <v>51</v>
      </c>
      <c r="K4507" s="28" t="s">
        <v>51</v>
      </c>
      <c r="L4507" s="28" t="s">
        <v>51</v>
      </c>
      <c r="M4507" s="28" t="s">
        <v>51</v>
      </c>
      <c r="N4507" s="28" t="s">
        <v>51</v>
      </c>
    </row>
    <row r="4508" spans="1:14" hidden="1" outlineLevel="1" x14ac:dyDescent="0.15">
      <c r="A4508" s="23" t="str">
        <f>HYPERLINK("https://www.spark-marketing.ru/Card/Person/5897", "ГБУЗ ВО ""АРБ""")</f>
        <v>ГБУЗ ВО "АРБ"</v>
      </c>
      <c r="B4508" s="24" t="s">
        <v>1365</v>
      </c>
      <c r="C4508" s="25">
        <v>74684456</v>
      </c>
      <c r="D4508" s="22" t="s">
        <v>7333</v>
      </c>
      <c r="E4508" s="22" t="s">
        <v>48</v>
      </c>
      <c r="F4508" s="23" t="str">
        <f>HYPERLINK("https://www.spark-marketing.ru/Card/Lot/73164128", "Оказание услуг по ежедневному приготовлению и доставке горячего лечебного питания для пациентов круглосуточных стационаров, включая беременных и рожениц на 2020-2021 гг для нужд ГБУЗ ВО ""АРБ""")</f>
        <v>Оказание услуг по ежедневному приготовлению и доставке горячего лечебного питания для пациентов круглосуточных стационаров, включая беременных и рожениц на 2020-2021 гг для нужд ГБУЗ ВО "АРБ"</v>
      </c>
      <c r="G4508" s="22" t="s">
        <v>663</v>
      </c>
      <c r="H4508" s="22" t="s">
        <v>663</v>
      </c>
      <c r="I4508" s="26">
        <v>43707.680775462999</v>
      </c>
      <c r="J4508" s="23" t="str">
        <f>HYPERLINK("https://www.spark-marketing.ru/Card/Person/4351217", "ООО ""2М""")</f>
        <v>ООО "2М"</v>
      </c>
      <c r="K4508" s="24" t="s">
        <v>4577</v>
      </c>
      <c r="L4508" s="28" t="s">
        <v>51</v>
      </c>
      <c r="M4508" s="28" t="s">
        <v>51</v>
      </c>
      <c r="N4508" s="28" t="s">
        <v>51</v>
      </c>
    </row>
    <row r="4509" spans="1:14" hidden="1" outlineLevel="1" x14ac:dyDescent="0.2">
      <c r="A4509" s="23" t="str">
        <f>HYPERLINK("https://www.spark-marketing.ru/Card/Person/5897", "ГБУЗ ВО ""АРБ""")</f>
        <v>ГБУЗ ВО "АРБ"</v>
      </c>
      <c r="B4509" s="24" t="s">
        <v>1365</v>
      </c>
      <c r="C4509" s="25">
        <v>74684456</v>
      </c>
      <c r="D4509" s="22" t="s">
        <v>7333</v>
      </c>
      <c r="E4509" s="22" t="s">
        <v>48</v>
      </c>
      <c r="F4509" s="23" t="str">
        <f>HYPERLINK("https://www.spark-marketing.ru/Card/Lot/73164128", "Оказание услуг по ежедневному приготовлению и доставке горячего лечебного питания для пациентов круглосуточных стационаров, включая беременных и рожениц на 2020-2021 гг для нужд ГБУЗ ВО ""АРБ""")</f>
        <v>Оказание услуг по ежедневному приготовлению и доставке горячего лечебного питания для пациентов круглосуточных стационаров, включая беременных и рожениц на 2020-2021 гг для нужд ГБУЗ ВО "АРБ"</v>
      </c>
      <c r="G4509" s="22" t="s">
        <v>663</v>
      </c>
      <c r="H4509" s="22" t="s">
        <v>663</v>
      </c>
      <c r="I4509" s="26">
        <v>43707.680775462999</v>
      </c>
      <c r="J4509" s="23" t="str">
        <f>HYPERLINK("https://www.spark-marketing.ru/Card/Person/91571", "ООО ""ВЭП""")</f>
        <v>ООО "ВЭП"</v>
      </c>
      <c r="K4509" s="24" t="s">
        <v>4578</v>
      </c>
      <c r="L4509" s="28" t="s">
        <v>51</v>
      </c>
      <c r="M4509" s="25">
        <v>74340288</v>
      </c>
      <c r="N4509" s="27">
        <v>4.608294930875576E-3</v>
      </c>
    </row>
    <row r="4510" spans="1:14" hidden="1" outlineLevel="1" x14ac:dyDescent="0.15">
      <c r="A4510" s="23" t="str">
        <f>HYPERLINK("https://www.spark-marketing.ru/Card/Person/5897", "ГБУЗ ВО ""АРБ""")</f>
        <v>ГБУЗ ВО "АРБ"</v>
      </c>
      <c r="B4510" s="24" t="s">
        <v>1365</v>
      </c>
      <c r="C4510" s="25">
        <v>74684456</v>
      </c>
      <c r="D4510" s="22" t="s">
        <v>7333</v>
      </c>
      <c r="E4510" s="22" t="s">
        <v>48</v>
      </c>
      <c r="F4510" s="23" t="str">
        <f>HYPERLINK("https://www.spark-marketing.ru/Card/Lot/73164128", "Оказание услуг по ежедневному приготовлению и доставке горячего лечебного питания для пациентов круглосуточных стационаров, включая беременных и рожениц на 2020-2021 гг для нужд ГБУЗ ВО ""АРБ""")</f>
        <v>Оказание услуг по ежедневному приготовлению и доставке горячего лечебного питания для пациентов круглосуточных стационаров, включая беременных и рожениц на 2020-2021 гг для нужд ГБУЗ ВО "АРБ"</v>
      </c>
      <c r="G4510" s="22" t="s">
        <v>663</v>
      </c>
      <c r="H4510" s="22" t="s">
        <v>663</v>
      </c>
      <c r="I4510" s="26">
        <v>43707.680775462999</v>
      </c>
      <c r="J4510" s="23" t="str">
        <f>HYPERLINK("https://www.spark-marketing.ru/Card/Person/61415", "ООО ""ПЕЛИКАН""")</f>
        <v>ООО "ПЕЛИКАН"</v>
      </c>
      <c r="K4510" s="24" t="s">
        <v>7334</v>
      </c>
      <c r="L4510" s="28" t="s">
        <v>51</v>
      </c>
      <c r="M4510" s="28" t="s">
        <v>51</v>
      </c>
      <c r="N4510" s="28" t="s">
        <v>51</v>
      </c>
    </row>
    <row r="4511" spans="1:14" ht="12.75" x14ac:dyDescent="0.2">
      <c r="A4511" s="23" t="str">
        <f>HYPERLINK("https://www.spark-marketing.ru/Card/Person/1004934", "ОМВД РОССИИ ПО ТАЛДОМСКОМУ РАЙОНУ")</f>
        <v>ОМВД РОССИИ ПО ТАЛДОМСКОМУ РАЙОНУ</v>
      </c>
      <c r="B4511" s="24" t="s">
        <v>7335</v>
      </c>
      <c r="C4511" s="25">
        <v>301000</v>
      </c>
      <c r="D4511" s="22" t="s">
        <v>7336</v>
      </c>
      <c r="E4511" s="22" t="s">
        <v>48</v>
      </c>
      <c r="F4511" s="23" t="str">
        <f>HYPERLINK("https://www.spark-marketing.ru/Card/Lot/73154904", "Оказание услуг по питанию граждан содержащихся в ИВС и в спец. помещении задержанных лиц за административные нарушения")</f>
        <v>Оказание услуг по питанию граждан содержащихся в ИВС и в спец. помещении задержанных лиц за административные нарушения</v>
      </c>
      <c r="G4511" s="22" t="s">
        <v>49</v>
      </c>
      <c r="H4511" s="22" t="s">
        <v>49</v>
      </c>
      <c r="I4511" s="26">
        <v>43707.6349305556</v>
      </c>
      <c r="J4511" s="23" t="str">
        <f>HYPERLINK("https://www.spark-marketing.ru/Card/Person/6698819", "Шабанова Юлия Игоревна")</f>
        <v>Шабанова Юлия Игоревна</v>
      </c>
      <c r="K4511" s="24" t="s">
        <v>7337</v>
      </c>
      <c r="L4511" s="22" t="s">
        <v>10</v>
      </c>
      <c r="M4511" s="25">
        <v>301000</v>
      </c>
      <c r="N4511" s="27">
        <v>0</v>
      </c>
    </row>
    <row r="4512" spans="1:14" x14ac:dyDescent="0.15">
      <c r="A4512" s="23" t="str">
        <f>HYPERLINK("https://www.spark-marketing.ru/Card/Person/947205", "МБОУ ""СОШ № 7"" С. ЧКАЛОВСКОЕ")</f>
        <v>МБОУ "СОШ № 7" С. ЧКАЛОВСКОЕ</v>
      </c>
      <c r="B4512" s="24" t="s">
        <v>7338</v>
      </c>
      <c r="C4512" s="25">
        <v>134945.20000000001</v>
      </c>
      <c r="D4512" s="22" t="s">
        <v>7339</v>
      </c>
      <c r="E4512" s="22" t="s">
        <v>7340</v>
      </c>
      <c r="F4512" s="23" t="str">
        <f>HYPERLINK("https://www.spark-marketing.ru/Card/Lot/73143193", "Поставка продуктов питания (бакалея)")</f>
        <v>Поставка продуктов питания (бакалея)</v>
      </c>
      <c r="G4512" s="22" t="s">
        <v>543</v>
      </c>
      <c r="H4512" s="22" t="s">
        <v>622</v>
      </c>
      <c r="I4512" s="26">
        <v>43707.698587963001</v>
      </c>
      <c r="J4512" s="28" t="s">
        <v>51</v>
      </c>
      <c r="K4512" s="28" t="s">
        <v>51</v>
      </c>
      <c r="L4512" s="28" t="s">
        <v>51</v>
      </c>
      <c r="M4512" s="28" t="s">
        <v>51</v>
      </c>
      <c r="N4512" s="28" t="s">
        <v>51</v>
      </c>
    </row>
    <row r="4513" spans="1:14" hidden="1" outlineLevel="1" x14ac:dyDescent="0.2">
      <c r="A4513" s="23" t="str">
        <f>HYPERLINK("https://www.spark-marketing.ru/Card/Person/947205", "МБОУ ""СОШ № 7"" С. ЧКАЛОВСКОЕ")</f>
        <v>МБОУ "СОШ № 7" С. ЧКАЛОВСКОЕ</v>
      </c>
      <c r="B4513" s="24" t="s">
        <v>7338</v>
      </c>
      <c r="C4513" s="25">
        <v>134945.20000000001</v>
      </c>
      <c r="D4513" s="22" t="s">
        <v>7339</v>
      </c>
      <c r="E4513" s="22" t="s">
        <v>7340</v>
      </c>
      <c r="F4513" s="23" t="str">
        <f>HYPERLINK("https://www.spark-marketing.ru/Card/Lot/73143193", "Поставка продуктов питания (бакалея)")</f>
        <v>Поставка продуктов питания (бакалея)</v>
      </c>
      <c r="G4513" s="22" t="s">
        <v>543</v>
      </c>
      <c r="H4513" s="22" t="s">
        <v>622</v>
      </c>
      <c r="I4513" s="26">
        <v>43707.698587963001</v>
      </c>
      <c r="J4513" s="23" t="str">
        <f>HYPERLINK("https://www.spark-marketing.ru/Card/Person/52661", "ООО ""ЮЖЕН""")</f>
        <v>ООО "ЮЖЕН"</v>
      </c>
      <c r="K4513" s="24" t="s">
        <v>7341</v>
      </c>
      <c r="L4513" s="28" t="s">
        <v>51</v>
      </c>
      <c r="M4513" s="25">
        <v>122800.06</v>
      </c>
      <c r="N4513" s="27">
        <v>9.0000533549915079E-2</v>
      </c>
    </row>
    <row r="4514" spans="1:14" hidden="1" outlineLevel="1" x14ac:dyDescent="0.2">
      <c r="A4514" s="23" t="str">
        <f>HYPERLINK("https://www.spark-marketing.ru/Card/Person/947205", "МБОУ ""СОШ № 7"" С. ЧКАЛОВСКОЕ")</f>
        <v>МБОУ "СОШ № 7" С. ЧКАЛОВСКОЕ</v>
      </c>
      <c r="B4514" s="24" t="s">
        <v>7338</v>
      </c>
      <c r="C4514" s="25">
        <v>134945.20000000001</v>
      </c>
      <c r="D4514" s="22" t="s">
        <v>7339</v>
      </c>
      <c r="E4514" s="22" t="s">
        <v>7340</v>
      </c>
      <c r="F4514" s="23" t="str">
        <f>HYPERLINK("https://www.spark-marketing.ru/Card/Lot/73143193", "Поставка продуктов питания (бакалея)")</f>
        <v>Поставка продуктов питания (бакалея)</v>
      </c>
      <c r="G4514" s="22" t="s">
        <v>543</v>
      </c>
      <c r="H4514" s="22" t="s">
        <v>622</v>
      </c>
      <c r="I4514" s="26">
        <v>43707.698587963001</v>
      </c>
      <c r="J4514" s="23" t="str">
        <f>HYPERLINK("https://www.spark-marketing.ru/Card/Person/482323", "Кущевой Владимир Юрьевич")</f>
        <v>Кущевой Владимир Юрьевич</v>
      </c>
      <c r="K4514" s="24" t="s">
        <v>7342</v>
      </c>
      <c r="L4514" s="28" t="s">
        <v>51</v>
      </c>
      <c r="M4514" s="25">
        <v>120101.14</v>
      </c>
      <c r="N4514" s="27">
        <v>0.11000065211656287</v>
      </c>
    </row>
    <row r="4515" spans="1:14" ht="12.75" hidden="1" outlineLevel="1" x14ac:dyDescent="0.2">
      <c r="A4515" s="23" t="str">
        <f>HYPERLINK("https://www.spark-marketing.ru/Card/Person/947205", "МБОУ ""СОШ № 7"" С. ЧКАЛОВСКОЕ")</f>
        <v>МБОУ "СОШ № 7" С. ЧКАЛОВСКОЕ</v>
      </c>
      <c r="B4515" s="24" t="s">
        <v>7338</v>
      </c>
      <c r="C4515" s="25">
        <v>134945.20000000001</v>
      </c>
      <c r="D4515" s="22" t="s">
        <v>7339</v>
      </c>
      <c r="E4515" s="22" t="s">
        <v>7340</v>
      </c>
      <c r="F4515" s="23" t="str">
        <f>HYPERLINK("https://www.spark-marketing.ru/Card/Lot/73143193", "Поставка продуктов питания (бакалея)")</f>
        <v>Поставка продуктов питания (бакалея)</v>
      </c>
      <c r="G4515" s="22" t="s">
        <v>543</v>
      </c>
      <c r="H4515" s="22" t="s">
        <v>622</v>
      </c>
      <c r="I4515" s="26">
        <v>43707.698587963001</v>
      </c>
      <c r="J4515" s="23" t="str">
        <f>HYPERLINK("https://www.spark-marketing.ru/Card/Person/6071948", "ООО ""ЛЕСТОРГ""")</f>
        <v>ООО "ЛЕСТОРГ"</v>
      </c>
      <c r="K4515" s="24" t="s">
        <v>7343</v>
      </c>
      <c r="L4515" s="22" t="s">
        <v>10</v>
      </c>
      <c r="M4515" s="25">
        <v>119426.41</v>
      </c>
      <c r="N4515" s="27">
        <v>0.11500068175822482</v>
      </c>
    </row>
    <row r="4516" spans="1:14" x14ac:dyDescent="0.15">
      <c r="A4516" s="23" t="str">
        <f>HYPERLINK("https://www.spark-marketing.ru/Card/Person/55899", "ГБУЗ ""УСТЬ-ЛАБИНСКАЯ ЦРБ"" МЗ КК")</f>
        <v>ГБУЗ "УСТЬ-ЛАБИНСКАЯ ЦРБ" МЗ КК</v>
      </c>
      <c r="B4516" s="24" t="s">
        <v>1602</v>
      </c>
      <c r="C4516" s="25">
        <v>497300</v>
      </c>
      <c r="D4516" s="22" t="s">
        <v>7344</v>
      </c>
      <c r="E4516" s="22" t="s">
        <v>48</v>
      </c>
      <c r="F4516" s="23" t="str">
        <f>HYPERLINK("https://www.spark-marketing.ru/Card/Lot/73157629", "Оказание услуг по обеспечению лечебным питанием пациентов ГБУЗ ""Усть-Лабинская ЦРБ"" МЗ КК")</f>
        <v>Оказание услуг по обеспечению лечебным питанием пациентов ГБУЗ "Усть-Лабинская ЦРБ" МЗ КК</v>
      </c>
      <c r="G4516" s="22" t="s">
        <v>104</v>
      </c>
      <c r="H4516" s="22" t="s">
        <v>1424</v>
      </c>
      <c r="I4516" s="26">
        <v>43706.527187500003</v>
      </c>
      <c r="J4516" s="23" t="str">
        <f>HYPERLINK("https://www.spark-marketing.ru/Card/Person/878131", "ООО "" АГРОПРОМСЕРВИС """)</f>
        <v>ООО " АГРОПРОМСЕРВИС "</v>
      </c>
      <c r="K4516" s="24" t="s">
        <v>1425</v>
      </c>
      <c r="L4516" s="22" t="s">
        <v>10</v>
      </c>
      <c r="M4516" s="28" t="s">
        <v>51</v>
      </c>
      <c r="N4516" s="28" t="s">
        <v>51</v>
      </c>
    </row>
    <row r="4517" spans="1:14" x14ac:dyDescent="0.15">
      <c r="A4517" s="23" t="str">
        <f>HYPERLINK("https://www.spark-marketing.ru/Card/Person/6691025", "МОУ ""ИНЖЕНЕРНО-ТЕХНОЛОГИЧЕСКИЙ ЛИЦЕЙ""")</f>
        <v>МОУ "ИНЖЕНЕРНО-ТЕХНОЛОГИЧЕСКИЙ ЛИЦЕЙ"</v>
      </c>
      <c r="B4517" s="24" t="s">
        <v>2993</v>
      </c>
      <c r="C4517" s="25">
        <v>582712.5</v>
      </c>
      <c r="D4517" s="22" t="s">
        <v>7345</v>
      </c>
      <c r="E4517" s="22" t="s">
        <v>48</v>
      </c>
      <c r="F4517" s="23" t="str">
        <f>HYPERLINK("https://www.spark-marketing.ru/Card/Lot/73152533", "Оказание услуг по организации горячего питания")</f>
        <v>Оказание услуг по организации горячего питания</v>
      </c>
      <c r="G4517" s="22" t="s">
        <v>49</v>
      </c>
      <c r="H4517" s="22" t="s">
        <v>7346</v>
      </c>
      <c r="I4517" s="26">
        <v>43707.700868055603</v>
      </c>
      <c r="J4517" s="28" t="s">
        <v>51</v>
      </c>
      <c r="K4517" s="28" t="s">
        <v>51</v>
      </c>
      <c r="L4517" s="28" t="s">
        <v>51</v>
      </c>
      <c r="M4517" s="28" t="s">
        <v>51</v>
      </c>
      <c r="N4517" s="28" t="s">
        <v>51</v>
      </c>
    </row>
    <row r="4518" spans="1:14" x14ac:dyDescent="0.15">
      <c r="A4518" s="23" t="str">
        <f>HYPERLINK("https://www.spark-marketing.ru/Card/Person/55328", "УМВД РОССИИ ПО Г. КАЛУГЕ")</f>
        <v>УМВД РОССИИ ПО Г. КАЛУГЕ</v>
      </c>
      <c r="B4518" s="24" t="s">
        <v>6318</v>
      </c>
      <c r="C4518" s="25">
        <v>1800000</v>
      </c>
      <c r="D4518" s="22" t="s">
        <v>7347</v>
      </c>
      <c r="E4518" s="22" t="s">
        <v>48</v>
      </c>
      <c r="F4518" s="23" t="str">
        <f>HYPERLINK("https://www.spark-marketing.ru/Card/Lot/73161390", "Ежедневная поставка трехразового горячего питания для лиц, содержащихся в специальном приемнике для содержания  лиц, арестованных в административном порядке УМВД России по г.Калуге")</f>
        <v>Ежедневная поставка трехразового горячего питания для лиц, содержащихся в специальном приемнике для содержания  лиц, арестованных в административном порядке УМВД России по г.Калуге</v>
      </c>
      <c r="G4518" s="22" t="s">
        <v>112</v>
      </c>
      <c r="H4518" s="22" t="s">
        <v>389</v>
      </c>
      <c r="I4518" s="26">
        <v>43707.664618055598</v>
      </c>
      <c r="J4518" s="28" t="s">
        <v>51</v>
      </c>
      <c r="K4518" s="28" t="s">
        <v>51</v>
      </c>
      <c r="L4518" s="28" t="s">
        <v>51</v>
      </c>
      <c r="M4518" s="28" t="s">
        <v>51</v>
      </c>
      <c r="N4518" s="28" t="s">
        <v>51</v>
      </c>
    </row>
    <row r="4519" spans="1:14" hidden="1" outlineLevel="1" x14ac:dyDescent="0.2">
      <c r="A4519" s="23" t="str">
        <f>HYPERLINK("https://www.spark-marketing.ru/Card/Person/55328", "УМВД РОССИИ ПО Г. КАЛУГЕ")</f>
        <v>УМВД РОССИИ ПО Г. КАЛУГЕ</v>
      </c>
      <c r="B4519" s="24" t="s">
        <v>6318</v>
      </c>
      <c r="C4519" s="25">
        <v>1800000</v>
      </c>
      <c r="D4519" s="22" t="s">
        <v>7347</v>
      </c>
      <c r="E4519" s="22" t="s">
        <v>48</v>
      </c>
      <c r="F4519" s="23" t="str">
        <f>HYPERLINK("https://www.spark-marketing.ru/Card/Lot/73161390", "Ежедневная поставка трехразового горячего питания для лиц, содержащихся в специальном приемнике для содержания  лиц, арестованных в административном порядке УМВД России по г.Калуге")</f>
        <v>Ежедневная поставка трехразового горячего питания для лиц, содержащихся в специальном приемнике для содержания  лиц, арестованных в административном порядке УМВД России по г.Калуге</v>
      </c>
      <c r="G4519" s="22" t="s">
        <v>112</v>
      </c>
      <c r="H4519" s="22" t="s">
        <v>389</v>
      </c>
      <c r="I4519" s="26">
        <v>43707.664618055598</v>
      </c>
      <c r="J4519" s="23" t="str">
        <f>HYPERLINK("https://www.spark-marketing.ru/Card/Person/4916563", "Халилов Арастун Алхады Оглы")</f>
        <v>Халилов Арастун Алхады Оглы</v>
      </c>
      <c r="K4519" s="24" t="s">
        <v>6140</v>
      </c>
      <c r="L4519" s="28" t="s">
        <v>51</v>
      </c>
      <c r="M4519" s="25">
        <v>1125000</v>
      </c>
      <c r="N4519" s="27">
        <v>0.375</v>
      </c>
    </row>
    <row r="4520" spans="1:14" ht="12.75" hidden="1" outlineLevel="1" x14ac:dyDescent="0.2">
      <c r="A4520" s="23" t="str">
        <f>HYPERLINK("https://www.spark-marketing.ru/Card/Person/55328", "УМВД РОССИИ ПО Г. КАЛУГЕ")</f>
        <v>УМВД РОССИИ ПО Г. КАЛУГЕ</v>
      </c>
      <c r="B4520" s="24" t="s">
        <v>6318</v>
      </c>
      <c r="C4520" s="25">
        <v>1800000</v>
      </c>
      <c r="D4520" s="22" t="s">
        <v>7347</v>
      </c>
      <c r="E4520" s="22" t="s">
        <v>48</v>
      </c>
      <c r="F4520" s="23" t="str">
        <f>HYPERLINK("https://www.spark-marketing.ru/Card/Lot/73161390", "Ежедневная поставка трехразового горячего питания для лиц, содержащихся в специальном приемнике для содержания  лиц, арестованных в административном порядке УМВД России по г.Калуге")</f>
        <v>Ежедневная поставка трехразового горячего питания для лиц, содержащихся в специальном приемнике для содержания  лиц, арестованных в административном порядке УМВД России по г.Калуге</v>
      </c>
      <c r="G4520" s="22" t="s">
        <v>112</v>
      </c>
      <c r="H4520" s="22" t="s">
        <v>389</v>
      </c>
      <c r="I4520" s="26">
        <v>43707.664618055598</v>
      </c>
      <c r="J4520" s="23" t="str">
        <f>HYPERLINK("https://www.spark-marketing.ru/Card/Person/54026", "ООО ""КПК""")</f>
        <v>ООО "КПК"</v>
      </c>
      <c r="K4520" s="24" t="s">
        <v>7348</v>
      </c>
      <c r="L4520" s="22" t="s">
        <v>10</v>
      </c>
      <c r="M4520" s="25">
        <v>1116000</v>
      </c>
      <c r="N4520" s="27">
        <v>0.38</v>
      </c>
    </row>
    <row r="4521" spans="1:14" x14ac:dyDescent="0.15">
      <c r="A4521" s="23" t="str">
        <f>HYPERLINK("https://www.spark-marketing.ru/Card/Person/4855364", "МОУ ""МАКАРОВСКАЯ ООШ""")</f>
        <v>МОУ "МАКАРОВСКАЯ ООШ"</v>
      </c>
      <c r="B4521" s="24" t="s">
        <v>7349</v>
      </c>
      <c r="C4521" s="25">
        <v>178031</v>
      </c>
      <c r="D4521" s="22" t="s">
        <v>7350</v>
      </c>
      <c r="E4521" s="22" t="s">
        <v>48</v>
      </c>
      <c r="F4521" s="23" t="str">
        <f>HYPERLINK("https://www.spark-marketing.ru/Card/Lot/73150323",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4521" s="22" t="s">
        <v>49</v>
      </c>
      <c r="H4521" s="22" t="s">
        <v>7351</v>
      </c>
      <c r="I4521" s="26">
        <v>43707.659606481502</v>
      </c>
      <c r="J4521" s="28" t="s">
        <v>51</v>
      </c>
      <c r="K4521" s="28" t="s">
        <v>51</v>
      </c>
      <c r="L4521" s="28" t="s">
        <v>51</v>
      </c>
      <c r="M4521" s="28" t="s">
        <v>51</v>
      </c>
      <c r="N4521" s="28" t="s">
        <v>51</v>
      </c>
    </row>
    <row r="4522" spans="1:14" x14ac:dyDescent="0.15">
      <c r="A4522" s="23" t="str">
        <f>HYPERLINK("https://www.spark-marketing.ru/Card/Person/815", "ДЕПАРТАМЕНТ ИМУЩЕСТВЕННЫХ ОТНОШЕНИЙ АДМИНИСТРАЦИИ ГОРОДА ОМСКА")</f>
        <v>ДЕПАРТАМЕНТ ИМУЩЕСТВЕННЫХ ОТНОШЕНИЙ АДМИНИСТРАЦИИ ГОРОДА ОМСКА</v>
      </c>
      <c r="B4522" s="24" t="s">
        <v>7352</v>
      </c>
      <c r="C4522" s="25">
        <v>600000</v>
      </c>
      <c r="D4522" s="22" t="s">
        <v>7353</v>
      </c>
      <c r="E4522" s="22" t="s">
        <v>91</v>
      </c>
      <c r="F4522" s="23" t="str">
        <f>HYPERLINK("https://www.spark-marketing.ru/Card/Lot/73149895", "Оказание услуг по техническому обслуживанию и ремонту оргтехники (Реестровый номер ""32.1025.19"")")</f>
        <v>Оказание услуг по техническому обслуживанию и ремонту оргтехники (Реестровый номер "32.1025.19")</v>
      </c>
      <c r="G4522" s="22" t="s">
        <v>487</v>
      </c>
      <c r="H4522" s="22" t="s">
        <v>488</v>
      </c>
      <c r="I4522" s="26">
        <v>43707.541932870401</v>
      </c>
      <c r="J4522" s="23" t="str">
        <f>HYPERLINK("https://www.spark-marketing.ru/Card/Person/719051", "ООО ""ЭТАЛОН""")</f>
        <v>ООО "ЭТАЛОН"</v>
      </c>
      <c r="K4522" s="24" t="s">
        <v>7354</v>
      </c>
      <c r="L4522" s="22" t="s">
        <v>10</v>
      </c>
      <c r="M4522" s="28" t="s">
        <v>51</v>
      </c>
      <c r="N4522" s="28" t="s">
        <v>51</v>
      </c>
    </row>
    <row r="4523" spans="1:14" x14ac:dyDescent="0.15">
      <c r="A4523" s="23" t="str">
        <f>HYPERLINK("https://www.spark-marketing.ru/Card/Person/71660", "ОМВД РОССИИ ПО ТРОИЦКО-ПЕЧОРСКОМУ РАЙОНУ")</f>
        <v>ОМВД РОССИИ ПО ТРОИЦКО-ПЕЧОРСКОМУ РАЙОНУ</v>
      </c>
      <c r="B4523" s="24" t="s">
        <v>7355</v>
      </c>
      <c r="C4523" s="25">
        <v>680000</v>
      </c>
      <c r="D4523" s="22" t="s">
        <v>7356</v>
      </c>
      <c r="E4523" s="22" t="s">
        <v>48</v>
      </c>
      <c r="F4523" s="23" t="str">
        <f>HYPERLINK("https://www.spark-marketing.ru/Card/Lot/73152633", "Оказание услуг по обеспечению питания лиц содержащихся в ИВС ОМВД России по Троицко-Печорскому району")</f>
        <v>Оказание услуг по обеспечению питания лиц содержащихся в ИВС ОМВД России по Троицко-Печорскому району</v>
      </c>
      <c r="G4523" s="22" t="s">
        <v>271</v>
      </c>
      <c r="H4523" s="22" t="s">
        <v>1282</v>
      </c>
      <c r="I4523" s="26">
        <v>43707.582442129598</v>
      </c>
      <c r="J4523" s="23" t="str">
        <f>HYPERLINK("https://www.spark-marketing.ru/Card/Person/195299", "ОАО ГОСТИНИЦА ""ПЕЧОРА""")</f>
        <v>ОАО ГОСТИНИЦА "ПЕЧОРА"</v>
      </c>
      <c r="K4523" s="24" t="s">
        <v>7357</v>
      </c>
      <c r="L4523" s="22" t="s">
        <v>10</v>
      </c>
      <c r="M4523" s="28" t="s">
        <v>51</v>
      </c>
      <c r="N4523" s="28" t="s">
        <v>51</v>
      </c>
    </row>
    <row r="4524" spans="1:14" x14ac:dyDescent="0.15">
      <c r="A4524" s="23" t="str">
        <f>HYPERLINK("https://www.spark-marketing.ru/Card/Person/10533", "УПРАВЛЕНИЕ МВД РОССИИ ПО Г. ПЕРМИ")</f>
        <v>УПРАВЛЕНИЕ МВД РОССИИ ПО Г. ПЕРМИ</v>
      </c>
      <c r="B4524" s="24" t="s">
        <v>7358</v>
      </c>
      <c r="C4524" s="25">
        <v>7032911.8700000001</v>
      </c>
      <c r="D4524" s="22" t="s">
        <v>7359</v>
      </c>
      <c r="E4524" s="22" t="s">
        <v>48</v>
      </c>
      <c r="F4524" s="23" t="str">
        <f>HYPERLINK("https://www.spark-marketing.ru/Card/Lot/73162556", "Оказание услуг по обеспечению горячим питанием лиц, содержащихся в Изоляторе временного содержания Управления МВД России г. Перми, в Спецприемнике для лиц, подвергнутых административному аресту Управления МВД России г. Перми и в СПЗЛ дежурных частей ...")</f>
        <v>Оказание услуг по обеспечению горячим питанием лиц, содержащихся в Изоляторе временного содержания Управления МВД России г. Перми, в Спецприемнике для лиц, подвергнутых административному аресту Управления МВД России г. Перми и в СПЗЛ дежурных частей ...</v>
      </c>
      <c r="G4524" s="22" t="s">
        <v>153</v>
      </c>
      <c r="H4524" s="22" t="s">
        <v>3981</v>
      </c>
      <c r="I4524" s="26">
        <v>43707.536932870396</v>
      </c>
      <c r="J4524" s="23" t="str">
        <f>HYPERLINK("https://www.spark-marketing.ru/Card/Person/1403619", "ООО ""ГП АРТЭКС""")</f>
        <v>ООО "ГП АРТЭКС"</v>
      </c>
      <c r="K4524" s="24" t="s">
        <v>7360</v>
      </c>
      <c r="L4524" s="28" t="s">
        <v>51</v>
      </c>
      <c r="M4524" s="28" t="s">
        <v>51</v>
      </c>
      <c r="N4524" s="28" t="s">
        <v>51</v>
      </c>
    </row>
    <row r="4525" spans="1:14" ht="12.75" hidden="1" outlineLevel="1" x14ac:dyDescent="0.2">
      <c r="A4525" s="23" t="str">
        <f>HYPERLINK("https://www.spark-marketing.ru/Card/Person/10533", "УПРАВЛЕНИЕ МВД РОССИИ ПО Г. ПЕРМИ")</f>
        <v>УПРАВЛЕНИЕ МВД РОССИИ ПО Г. ПЕРМИ</v>
      </c>
      <c r="B4525" s="24" t="s">
        <v>7358</v>
      </c>
      <c r="C4525" s="25">
        <v>7032911.8700000001</v>
      </c>
      <c r="D4525" s="22" t="s">
        <v>7359</v>
      </c>
      <c r="E4525" s="22" t="s">
        <v>48</v>
      </c>
      <c r="F4525" s="23" t="str">
        <f>HYPERLINK("https://www.spark-marketing.ru/Card/Lot/73162556", "Оказание услуг по обеспечению горячим питанием лиц, содержащихся в Изоляторе временного содержания Управления МВД России г. Перми, в Спецприемнике для лиц, подвергнутых административному аресту Управления МВД России г. Перми и в СПЗЛ дежурных частей ...")</f>
        <v>Оказание услуг по обеспечению горячим питанием лиц, содержащихся в Изоляторе временного содержания Управления МВД России г. Перми, в Спецприемнике для лиц, подвергнутых административному аресту Управления МВД России г. Перми и в СПЗЛ дежурных частей ...</v>
      </c>
      <c r="G4525" s="22" t="s">
        <v>153</v>
      </c>
      <c r="H4525" s="22" t="s">
        <v>3981</v>
      </c>
      <c r="I4525" s="26">
        <v>43707.536932870396</v>
      </c>
      <c r="J4525" s="23" t="str">
        <f>HYPERLINK("https://www.spark-marketing.ru/Card/Person/1403619", "ООО ""ГП АРТЭКС""")</f>
        <v>ООО "ГП АРТЭКС"</v>
      </c>
      <c r="K4525" s="24" t="s">
        <v>7360</v>
      </c>
      <c r="L4525" s="22" t="s">
        <v>10</v>
      </c>
      <c r="M4525" s="25">
        <v>2099.85</v>
      </c>
      <c r="N4525" s="27">
        <v>0.99970142523625849</v>
      </c>
    </row>
    <row r="4526" spans="1:14" x14ac:dyDescent="0.15">
      <c r="A4526" s="23" t="str">
        <f>HYPERLINK("https://www.spark-marketing.ru/Card/Person/6086", "ГКУ ""ДИРЕКЦИЯ ОДОТСЗН Г. МОСКВЫ""")</f>
        <v>ГКУ "ДИРЕКЦИЯ ОДОТСЗН Г. МОСКВЫ"</v>
      </c>
      <c r="B4526" s="24" t="s">
        <v>164</v>
      </c>
      <c r="C4526" s="25">
        <v>2534742.4500000002</v>
      </c>
      <c r="D4526" s="22" t="s">
        <v>7361</v>
      </c>
      <c r="E4526" s="22" t="s">
        <v>96</v>
      </c>
      <c r="F4526" s="23" t="str">
        <f>HYPERLINK("https://www.spark-marketing.ru/Card/Lot/73163804", "Организация горячего питания в ГБУ ПНИ № 4 в 2019 году (226-19-4-3)")</f>
        <v>Организация горячего питания в ГБУ ПНИ № 4 в 2019 году (226-19-4-3)</v>
      </c>
      <c r="G4526" s="22" t="s">
        <v>56</v>
      </c>
      <c r="H4526" s="22" t="s">
        <v>56</v>
      </c>
      <c r="I4526" s="26">
        <v>43707.665439814802</v>
      </c>
      <c r="J4526" s="28" t="s">
        <v>51</v>
      </c>
      <c r="K4526" s="28" t="s">
        <v>51</v>
      </c>
      <c r="L4526" s="28" t="s">
        <v>51</v>
      </c>
      <c r="M4526" s="28" t="s">
        <v>51</v>
      </c>
      <c r="N4526" s="28" t="s">
        <v>51</v>
      </c>
    </row>
    <row r="4527" spans="1:14" hidden="1" outlineLevel="1" x14ac:dyDescent="0.2">
      <c r="A4527" s="23" t="str">
        <f>HYPERLINK("https://www.spark-marketing.ru/Card/Person/6086", "ГКУ ""ДИРЕКЦИЯ ОДОТСЗН Г. МОСКВЫ""")</f>
        <v>ГКУ "ДИРЕКЦИЯ ОДОТСЗН Г. МОСКВЫ"</v>
      </c>
      <c r="B4527" s="24" t="s">
        <v>164</v>
      </c>
      <c r="C4527" s="25">
        <v>2534742.4500000002</v>
      </c>
      <c r="D4527" s="22" t="s">
        <v>7361</v>
      </c>
      <c r="E4527" s="22" t="s">
        <v>96</v>
      </c>
      <c r="F4527" s="23" t="str">
        <f>HYPERLINK("https://www.spark-marketing.ru/Card/Lot/73163804", "Организация горячего питания в ГБУ ПНИ № 4 в 2019 году (226-19-4-3)")</f>
        <v>Организация горячего питания в ГБУ ПНИ № 4 в 2019 году (226-19-4-3)</v>
      </c>
      <c r="G4527" s="22" t="s">
        <v>56</v>
      </c>
      <c r="H4527" s="22" t="s">
        <v>56</v>
      </c>
      <c r="I4527" s="26">
        <v>43707.665439814802</v>
      </c>
      <c r="J4527" s="23" t="str">
        <f>HYPERLINK("https://www.spark-marketing.ru/Card/Person/6699850", "ООО ""АСТАРТА""")</f>
        <v>ООО "АСТАРТА"</v>
      </c>
      <c r="K4527" s="24" t="s">
        <v>7362</v>
      </c>
      <c r="L4527" s="28" t="s">
        <v>51</v>
      </c>
      <c r="M4527" s="25">
        <v>2471365.5099999998</v>
      </c>
      <c r="N4527" s="27">
        <v>2.5003305562661799E-2</v>
      </c>
    </row>
    <row r="4528" spans="1:14" ht="12.75" hidden="1" outlineLevel="1" x14ac:dyDescent="0.2">
      <c r="A4528" s="23" t="str">
        <f>HYPERLINK("https://www.spark-marketing.ru/Card/Person/6086", "ГКУ ""ДИРЕКЦИЯ ОДОТСЗН Г. МОСКВЫ""")</f>
        <v>ГКУ "ДИРЕКЦИЯ ОДОТСЗН Г. МОСКВЫ"</v>
      </c>
      <c r="B4528" s="24" t="s">
        <v>164</v>
      </c>
      <c r="C4528" s="25">
        <v>2534742.4500000002</v>
      </c>
      <c r="D4528" s="22" t="s">
        <v>7361</v>
      </c>
      <c r="E4528" s="22" t="s">
        <v>96</v>
      </c>
      <c r="F4528" s="23" t="str">
        <f>HYPERLINK("https://www.spark-marketing.ru/Card/Lot/73163804", "Организация горячего питания в ГБУ ПНИ № 4 в 2019 году (226-19-4-3)")</f>
        <v>Организация горячего питания в ГБУ ПНИ № 4 в 2019 году (226-19-4-3)</v>
      </c>
      <c r="G4528" s="22" t="s">
        <v>56</v>
      </c>
      <c r="H4528" s="22" t="s">
        <v>56</v>
      </c>
      <c r="I4528" s="26">
        <v>43707.665439814802</v>
      </c>
      <c r="J4528" s="23" t="str">
        <f>HYPERLINK("https://www.spark-marketing.ru/Card/Person/5953802", "ООО ""РБЕ""")</f>
        <v>ООО "РБЕ"</v>
      </c>
      <c r="K4528" s="24" t="s">
        <v>7363</v>
      </c>
      <c r="L4528" s="22" t="s">
        <v>10</v>
      </c>
      <c r="M4528" s="25">
        <v>2027793.96</v>
      </c>
      <c r="N4528" s="27">
        <v>0.2</v>
      </c>
    </row>
    <row r="4529" spans="1:14" hidden="1" outlineLevel="1" x14ac:dyDescent="0.2">
      <c r="A4529" s="23" t="str">
        <f>HYPERLINK("https://www.spark-marketing.ru/Card/Person/6086", "ГКУ ""ДИРЕКЦИЯ ОДОТСЗН Г. МОСКВЫ""")</f>
        <v>ГКУ "ДИРЕКЦИЯ ОДОТСЗН Г. МОСКВЫ"</v>
      </c>
      <c r="B4529" s="24" t="s">
        <v>164</v>
      </c>
      <c r="C4529" s="25">
        <v>2534742.4500000002</v>
      </c>
      <c r="D4529" s="22" t="s">
        <v>7361</v>
      </c>
      <c r="E4529" s="22" t="s">
        <v>96</v>
      </c>
      <c r="F4529" s="23" t="str">
        <f>HYPERLINK("https://www.spark-marketing.ru/Card/Lot/73163804", "Организация горячего питания в ГБУ ПНИ № 4 в 2019 году (226-19-4-3)")</f>
        <v>Организация горячего питания в ГБУ ПНИ № 4 в 2019 году (226-19-4-3)</v>
      </c>
      <c r="G4529" s="22" t="s">
        <v>56</v>
      </c>
      <c r="H4529" s="22" t="s">
        <v>56</v>
      </c>
      <c r="I4529" s="26">
        <v>43707.665439814802</v>
      </c>
      <c r="J4529" s="23" t="str">
        <f>HYPERLINK("https://www.spark-marketing.ru/Card/Person/593174", "ООО ""А.М.К.+""")</f>
        <v>ООО "А.М.К.+"</v>
      </c>
      <c r="K4529" s="24" t="s">
        <v>7364</v>
      </c>
      <c r="L4529" s="28" t="s">
        <v>51</v>
      </c>
      <c r="M4529" s="25">
        <v>1377500</v>
      </c>
      <c r="N4529" s="27">
        <v>0.45655228206715837</v>
      </c>
    </row>
    <row r="4530" spans="1:14" x14ac:dyDescent="0.15">
      <c r="A4530" s="23" t="str">
        <f>HYPERLINK("https://www.spark-marketing.ru/Card/Person/20903", "ГБУЗ ""ООКБ""")</f>
        <v>ГБУЗ "ООКБ"</v>
      </c>
      <c r="B4530" s="24" t="s">
        <v>7365</v>
      </c>
      <c r="C4530" s="25">
        <v>636000</v>
      </c>
      <c r="D4530" s="22" t="s">
        <v>7366</v>
      </c>
      <c r="E4530" s="22" t="s">
        <v>51</v>
      </c>
      <c r="F4530" s="23" t="str">
        <f>HYPERLINK("https://www.spark-marketing.ru/Card/Lot/73150222", "на поставку медицинских изделий для травматолога-ортопедического отделения , ввод в эксплуатацию медицинского изделия, обучение правилам эксплуатации специалистов, эксплуатирующих медицинское изделие")</f>
        <v>на поставку медицинских изделий для травматолога-ортопедического отделения , ввод в эксплуатацию медицинского изделия, обучение правилам эксплуатации специалистов, эксплуатирующих медицинское изделие</v>
      </c>
      <c r="G4530" s="22" t="s">
        <v>132</v>
      </c>
      <c r="H4530" s="22" t="s">
        <v>587</v>
      </c>
      <c r="I4530" s="26">
        <v>43707.622349537</v>
      </c>
      <c r="J4530" s="23" t="str">
        <f>HYPERLINK("https://www.spark-marketing.ru/Card/Person/4401353", "ООО ""ДЕЛЬРУС-ЗУРЦ""")</f>
        <v>ООО "ДЕЛЬРУС-ЗУРЦ"</v>
      </c>
      <c r="K4530" s="24" t="s">
        <v>7367</v>
      </c>
      <c r="L4530" s="22" t="s">
        <v>10</v>
      </c>
      <c r="M4530" s="28" t="s">
        <v>51</v>
      </c>
      <c r="N4530" s="28" t="s">
        <v>51</v>
      </c>
    </row>
    <row r="4531" spans="1:14" x14ac:dyDescent="0.15">
      <c r="A4531" s="23" t="str">
        <f>HYPERLINK("https://www.spark-marketing.ru/Card/Person/21172", "ГБУ СК ""ЦМП""")</f>
        <v>ГБУ СК "ЦМП"</v>
      </c>
      <c r="B4531" s="24" t="s">
        <v>1933</v>
      </c>
      <c r="C4531" s="25">
        <v>130000</v>
      </c>
      <c r="D4531" s="22" t="s">
        <v>7368</v>
      </c>
      <c r="E4531" s="22" t="s">
        <v>48</v>
      </c>
      <c r="F4531" s="23" t="str">
        <f>HYPERLINK("https://www.spark-marketing.ru/Card/Lot/73155013", "Оказание услуг по организации питания участников и организаторов Межрегионального фестиваля студенческих отрядов Северо-Кавказского федерального округа и Южного федерального округа")</f>
        <v>Оказание услуг по организации питания участников и организаторов Межрегионального фестиваля студенческих отрядов Северо-Кавказского федерального округа и Южного федерального округа</v>
      </c>
      <c r="G4531" s="22" t="s">
        <v>87</v>
      </c>
      <c r="H4531" s="22" t="s">
        <v>686</v>
      </c>
      <c r="I4531" s="26">
        <v>43707.656909722202</v>
      </c>
      <c r="J4531" s="23" t="str">
        <f>HYPERLINK("https://www.spark-marketing.ru/Card/Person/6335309", "ООО ""АФМ КОНСАЛТИНГ""")</f>
        <v>ООО "АФМ КОНСАЛТИНГ"</v>
      </c>
      <c r="K4531" s="24" t="s">
        <v>1935</v>
      </c>
      <c r="L4531" s="28" t="s">
        <v>51</v>
      </c>
      <c r="M4531" s="28" t="s">
        <v>51</v>
      </c>
      <c r="N4531" s="28" t="s">
        <v>51</v>
      </c>
    </row>
    <row r="4532" spans="1:14" ht="12.75" hidden="1" outlineLevel="1" x14ac:dyDescent="0.2">
      <c r="A4532" s="23" t="str">
        <f>HYPERLINK("https://www.spark-marketing.ru/Card/Person/21172", "ГБУ СК ""ЦМП""")</f>
        <v>ГБУ СК "ЦМП"</v>
      </c>
      <c r="B4532" s="24" t="s">
        <v>1933</v>
      </c>
      <c r="C4532" s="25">
        <v>130000</v>
      </c>
      <c r="D4532" s="22" t="s">
        <v>7368</v>
      </c>
      <c r="E4532" s="22" t="s">
        <v>48</v>
      </c>
      <c r="F4532" s="23" t="str">
        <f>HYPERLINK("https://www.spark-marketing.ru/Card/Lot/73155013", "Оказание услуг по организации питания участников и организаторов Межрегионального фестиваля студенческих отрядов Северо-Кавказского федерального округа и Южного федерального округа")</f>
        <v>Оказание услуг по организации питания участников и организаторов Межрегионального фестиваля студенческих отрядов Северо-Кавказского федерального округа и Южного федерального округа</v>
      </c>
      <c r="G4532" s="22" t="s">
        <v>87</v>
      </c>
      <c r="H4532" s="22" t="s">
        <v>686</v>
      </c>
      <c r="I4532" s="26">
        <v>43707.656909722202</v>
      </c>
      <c r="J4532" s="23" t="str">
        <f>HYPERLINK("https://www.spark-marketing.ru/Card/Person/6335309", "ООО ""АФМ КОНСАЛТИНГ""")</f>
        <v>ООО "АФМ КОНСАЛТИНГ"</v>
      </c>
      <c r="K4532" s="24" t="s">
        <v>1935</v>
      </c>
      <c r="L4532" s="22" t="s">
        <v>10</v>
      </c>
      <c r="M4532" s="25">
        <v>129350</v>
      </c>
      <c r="N4532" s="27">
        <v>5.0000000000000001E-3</v>
      </c>
    </row>
    <row r="4533" spans="1:14" x14ac:dyDescent="0.15">
      <c r="A4533" s="23" t="str">
        <f t="shared" ref="A4533:A4538" si="78">HYPERLINK("https://www.spark-marketing.ru/Card/Person/435820", "ГУ МВД РОССИИ ПО НОВОСИБИРСКОЙ ОБЛАСТИ")</f>
        <v>ГУ МВД РОССИИ ПО НОВОСИБИРСКОЙ ОБЛАСТИ</v>
      </c>
      <c r="B4533" s="24" t="s">
        <v>7369</v>
      </c>
      <c r="C4533" s="25">
        <v>10200000</v>
      </c>
      <c r="D4533" s="22" t="s">
        <v>7370</v>
      </c>
      <c r="E4533" s="22" t="s">
        <v>48</v>
      </c>
      <c r="F4533" s="23" t="str">
        <f t="shared" ref="F4533:F4538" si="79">HYPERLINK("https://www.spark-marketing.ru/Card/Lot/73162304", "Оказание услуг по организации трехразового горячего питания лиц, содержащихся в Центре временного содержания иностранных граждан ГУ МВД России по новосибирской области")</f>
        <v>Оказание услуг по организации трехразового горячего питания лиц, содержащихся в Центре временного содержания иностранных граждан ГУ МВД России по новосибирской области</v>
      </c>
      <c r="G4533" s="22" t="s">
        <v>195</v>
      </c>
      <c r="H4533" s="22" t="s">
        <v>195</v>
      </c>
      <c r="I4533" s="26">
        <v>43707.315810185202</v>
      </c>
      <c r="J4533" s="28" t="s">
        <v>51</v>
      </c>
      <c r="K4533" s="28" t="s">
        <v>51</v>
      </c>
      <c r="L4533" s="28" t="s">
        <v>51</v>
      </c>
      <c r="M4533" s="28" t="s">
        <v>51</v>
      </c>
      <c r="N4533" s="28" t="s">
        <v>51</v>
      </c>
    </row>
    <row r="4534" spans="1:14" ht="12.75" hidden="1" outlineLevel="1" x14ac:dyDescent="0.2">
      <c r="A4534" s="23" t="str">
        <f t="shared" si="78"/>
        <v>ГУ МВД РОССИИ ПО НОВОСИБИРСКОЙ ОБЛАСТИ</v>
      </c>
      <c r="B4534" s="24" t="s">
        <v>7369</v>
      </c>
      <c r="C4534" s="25">
        <v>10200000</v>
      </c>
      <c r="D4534" s="22" t="s">
        <v>7370</v>
      </c>
      <c r="E4534" s="22" t="s">
        <v>48</v>
      </c>
      <c r="F4534" s="23" t="str">
        <f t="shared" si="79"/>
        <v>Оказание услуг по организации трехразового горячего питания лиц, содержащихся в Центре временного содержания иностранных граждан ГУ МВД России по новосибирской области</v>
      </c>
      <c r="G4534" s="22" t="s">
        <v>195</v>
      </c>
      <c r="H4534" s="22" t="s">
        <v>195</v>
      </c>
      <c r="I4534" s="26">
        <v>43707.315810185202</v>
      </c>
      <c r="J4534" s="23" t="str">
        <f>HYPERLINK("https://www.spark-marketing.ru/Card/Person/53779", "ООО ""АЛЛЕГРО БП""")</f>
        <v>ООО "АЛЛЕГРО БП"</v>
      </c>
      <c r="K4534" s="24" t="s">
        <v>2937</v>
      </c>
      <c r="L4534" s="22" t="s">
        <v>10</v>
      </c>
      <c r="M4534" s="25">
        <v>188.42</v>
      </c>
      <c r="N4534" s="27">
        <v>0.99998152745098035</v>
      </c>
    </row>
    <row r="4535" spans="1:14" hidden="1" outlineLevel="1" x14ac:dyDescent="0.2">
      <c r="A4535" s="23" t="str">
        <f t="shared" si="78"/>
        <v>ГУ МВД РОССИИ ПО НОВОСИБИРСКОЙ ОБЛАСТИ</v>
      </c>
      <c r="B4535" s="24" t="s">
        <v>7369</v>
      </c>
      <c r="C4535" s="25">
        <v>10200000</v>
      </c>
      <c r="D4535" s="22" t="s">
        <v>7370</v>
      </c>
      <c r="E4535" s="22" t="s">
        <v>48</v>
      </c>
      <c r="F4535" s="23" t="str">
        <f t="shared" si="79"/>
        <v>Оказание услуг по организации трехразового горячего питания лиц, содержащихся в Центре временного содержания иностранных граждан ГУ МВД России по новосибирской области</v>
      </c>
      <c r="G4535" s="22" t="s">
        <v>195</v>
      </c>
      <c r="H4535" s="22" t="s">
        <v>195</v>
      </c>
      <c r="I4535" s="26">
        <v>43707.315810185202</v>
      </c>
      <c r="J4535" s="23" t="str">
        <f>HYPERLINK("https://www.spark-marketing.ru/Card/Person/1921199", "Зосимова Вера Константиновна")</f>
        <v>Зосимова Вера Константиновна</v>
      </c>
      <c r="K4535" s="24" t="s">
        <v>7371</v>
      </c>
      <c r="L4535" s="28" t="s">
        <v>51</v>
      </c>
      <c r="M4535" s="25">
        <v>355.81</v>
      </c>
      <c r="N4535" s="27">
        <v>0.99996511666666665</v>
      </c>
    </row>
    <row r="4536" spans="1:14" hidden="1" outlineLevel="1" x14ac:dyDescent="0.2">
      <c r="A4536" s="23" t="str">
        <f t="shared" si="78"/>
        <v>ГУ МВД РОССИИ ПО НОВОСИБИРСКОЙ ОБЛАСТИ</v>
      </c>
      <c r="B4536" s="24" t="s">
        <v>7369</v>
      </c>
      <c r="C4536" s="25">
        <v>10200000</v>
      </c>
      <c r="D4536" s="22" t="s">
        <v>7370</v>
      </c>
      <c r="E4536" s="22" t="s">
        <v>48</v>
      </c>
      <c r="F4536" s="23" t="str">
        <f t="shared" si="79"/>
        <v>Оказание услуг по организации трехразового горячего питания лиц, содержащихся в Центре временного содержания иностранных граждан ГУ МВД России по новосибирской области</v>
      </c>
      <c r="G4536" s="22" t="s">
        <v>195</v>
      </c>
      <c r="H4536" s="22" t="s">
        <v>195</v>
      </c>
      <c r="I4536" s="26">
        <v>43707.315810185202</v>
      </c>
      <c r="J4536" s="23" t="str">
        <f>HYPERLINK("https://www.spark-marketing.ru/Card/Person/153415", "Пригаров Денис Владимирович")</f>
        <v>Пригаров Денис Владимирович</v>
      </c>
      <c r="K4536" s="24" t="s">
        <v>2754</v>
      </c>
      <c r="L4536" s="28" t="s">
        <v>51</v>
      </c>
      <c r="M4536" s="25">
        <v>190.21</v>
      </c>
      <c r="N4536" s="27">
        <v>0.9999813519607843</v>
      </c>
    </row>
    <row r="4537" spans="1:14" hidden="1" outlineLevel="1" x14ac:dyDescent="0.2">
      <c r="A4537" s="23" t="str">
        <f t="shared" si="78"/>
        <v>ГУ МВД РОССИИ ПО НОВОСИБИРСКОЙ ОБЛАСТИ</v>
      </c>
      <c r="B4537" s="24" t="s">
        <v>7369</v>
      </c>
      <c r="C4537" s="25">
        <v>10200000</v>
      </c>
      <c r="D4537" s="22" t="s">
        <v>7370</v>
      </c>
      <c r="E4537" s="22" t="s">
        <v>48</v>
      </c>
      <c r="F4537" s="23" t="str">
        <f t="shared" si="79"/>
        <v>Оказание услуг по организации трехразового горячего питания лиц, содержащихся в Центре временного содержания иностранных граждан ГУ МВД России по новосибирской области</v>
      </c>
      <c r="G4537" s="22" t="s">
        <v>195</v>
      </c>
      <c r="H4537" s="22" t="s">
        <v>195</v>
      </c>
      <c r="I4537" s="26">
        <v>43707.315810185202</v>
      </c>
      <c r="J4537" s="23" t="str">
        <f>HYPERLINK("https://www.spark-marketing.ru/Card/Person/57364", "ООО ""АГРОН""")</f>
        <v>ООО "АГРОН"</v>
      </c>
      <c r="K4537" s="24" t="s">
        <v>7372</v>
      </c>
      <c r="L4537" s="28" t="s">
        <v>51</v>
      </c>
      <c r="M4537" s="25">
        <v>316.47000000000003</v>
      </c>
      <c r="N4537" s="27">
        <v>0.99996897352941172</v>
      </c>
    </row>
    <row r="4538" spans="1:14" hidden="1" outlineLevel="1" x14ac:dyDescent="0.2">
      <c r="A4538" s="23" t="str">
        <f t="shared" si="78"/>
        <v>ГУ МВД РОССИИ ПО НОВОСИБИРСКОЙ ОБЛАСТИ</v>
      </c>
      <c r="B4538" s="24" t="s">
        <v>7369</v>
      </c>
      <c r="C4538" s="25">
        <v>10200000</v>
      </c>
      <c r="D4538" s="22" t="s">
        <v>7370</v>
      </c>
      <c r="E4538" s="22" t="s">
        <v>48</v>
      </c>
      <c r="F4538" s="23" t="str">
        <f t="shared" si="79"/>
        <v>Оказание услуг по организации трехразового горячего питания лиц, содержащихся в Центре временного содержания иностранных граждан ГУ МВД России по новосибирской области</v>
      </c>
      <c r="G4538" s="22" t="s">
        <v>195</v>
      </c>
      <c r="H4538" s="22" t="s">
        <v>195</v>
      </c>
      <c r="I4538" s="26">
        <v>43707.315810185202</v>
      </c>
      <c r="J4538" s="23" t="str">
        <f>HYPERLINK("https://www.spark-marketing.ru/Card/Person/1393521", "ООО ""ЛОГИСТИК ГРУПП""")</f>
        <v>ООО "ЛОГИСТИК ГРУПП"</v>
      </c>
      <c r="K4538" s="24" t="s">
        <v>7373</v>
      </c>
      <c r="L4538" s="28" t="s">
        <v>51</v>
      </c>
      <c r="M4538" s="25">
        <v>276.33999999999997</v>
      </c>
      <c r="N4538" s="27">
        <v>0.9999729078431373</v>
      </c>
    </row>
    <row r="4539" spans="1:14" x14ac:dyDescent="0.15">
      <c r="A4539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4539" s="24" t="s">
        <v>3377</v>
      </c>
      <c r="C4539" s="25">
        <v>1000000</v>
      </c>
      <c r="D4539" s="22" t="s">
        <v>7374</v>
      </c>
      <c r="E4539" s="22" t="s">
        <v>96</v>
      </c>
      <c r="F4539" s="23" t="str">
        <f>HYPERLINK("https://www.spark-marketing.ru/Card/Lot/73158318", "Оказание услуг по организации общественного питания членов делегаций стран СНГ, Абхазии, Грузии, Южной Осетии, регионов РФ и руководителей регионов РФ и лиц аналогичного ранга в 2019 году при проведении мероприятий, проводимых Заказчиком")</f>
        <v>Оказание услуг по организации общественного питания членов делегаций стран СНГ, Абхазии, Грузии, Южной Осетии, регионов РФ и руководителей регионов РФ и лиц аналогичного ранга в 2019 году при проведении мероприятий, проводимых Заказчиком</v>
      </c>
      <c r="G4539" s="22" t="s">
        <v>117</v>
      </c>
      <c r="H4539" s="22" t="s">
        <v>117</v>
      </c>
      <c r="I4539" s="26">
        <v>43707.509756944397</v>
      </c>
      <c r="J4539" s="23" t="str">
        <f>HYPERLINK("https://www.spark-marketing.ru/Card/Person/2232828", "ООО ""АРПИНА""")</f>
        <v>ООО "АРПИНА"</v>
      </c>
      <c r="K4539" s="24" t="s">
        <v>3380</v>
      </c>
      <c r="L4539" s="22" t="s">
        <v>10</v>
      </c>
      <c r="M4539" s="28" t="s">
        <v>51</v>
      </c>
      <c r="N4539" s="28" t="s">
        <v>51</v>
      </c>
    </row>
    <row r="4540" spans="1:14" x14ac:dyDescent="0.15">
      <c r="A4540" s="23" t="str">
        <f>HYPERLINK("https://www.spark-marketing.ru/Card/Person/55328", "УМВД РОССИИ ПО Г. КАЛУГЕ")</f>
        <v>УМВД РОССИИ ПО Г. КАЛУГЕ</v>
      </c>
      <c r="B4540" s="24" t="s">
        <v>6318</v>
      </c>
      <c r="C4540" s="25">
        <v>360000</v>
      </c>
      <c r="D4540" s="22" t="s">
        <v>7375</v>
      </c>
      <c r="E4540" s="22" t="s">
        <v>48</v>
      </c>
      <c r="F4540" s="23" t="str">
        <f>HYPERLINK("https://www.spark-marketing.ru/Card/Lot/73154853", "Поставка питания для лиц, содержащихся в изоляторе временного содержания подозреваемых и обвиняемых УМВД России по г.Калуге")</f>
        <v>Поставка питания для лиц, содержащихся в изоляторе временного содержания подозреваемых и обвиняемых УМВД России по г.Калуге</v>
      </c>
      <c r="G4540" s="22" t="s">
        <v>112</v>
      </c>
      <c r="H4540" s="22" t="s">
        <v>389</v>
      </c>
      <c r="I4540" s="26">
        <v>43707.511076388902</v>
      </c>
      <c r="J4540" s="23" t="str">
        <f>HYPERLINK("https://www.spark-marketing.ru/Card/Person/4916563", "Халилов Арастун Алхады Оглы")</f>
        <v>Халилов Арастун Алхады Оглы</v>
      </c>
      <c r="K4540" s="24" t="s">
        <v>6140</v>
      </c>
      <c r="L4540" s="22" t="s">
        <v>10</v>
      </c>
      <c r="M4540" s="28" t="s">
        <v>51</v>
      </c>
      <c r="N4540" s="28" t="s">
        <v>51</v>
      </c>
    </row>
    <row r="4541" spans="1:14" x14ac:dyDescent="0.15">
      <c r="A4541" s="23" t="str">
        <f>HYPERLINK("https://www.spark-marketing.ru/Card/Person/6271273", "МКУ ""БЛАГОУСТРОЙСТВО""")</f>
        <v>МКУ "БЛАГОУСТРОЙСТВО"</v>
      </c>
      <c r="B4541" s="24" t="s">
        <v>7376</v>
      </c>
      <c r="C4541" s="25">
        <v>74500</v>
      </c>
      <c r="D4541" s="22" t="s">
        <v>7377</v>
      </c>
      <c r="E4541" s="22" t="s">
        <v>91</v>
      </c>
      <c r="F4541" s="23" t="str">
        <f>HYPERLINK("https://www.spark-marketing.ru/Card/Lot/73150692", "Оказание услуг по техническому обслуживанию и ремонту офисной техники")</f>
        <v>Оказание услуг по техническому обслуживанию и ремонту офисной техники</v>
      </c>
      <c r="G4541" s="22" t="s">
        <v>49</v>
      </c>
      <c r="H4541" s="22" t="s">
        <v>191</v>
      </c>
      <c r="I4541" s="26">
        <v>43707.639340277798</v>
      </c>
      <c r="J4541" s="28" t="s">
        <v>51</v>
      </c>
      <c r="K4541" s="28" t="s">
        <v>51</v>
      </c>
      <c r="L4541" s="28" t="s">
        <v>51</v>
      </c>
      <c r="M4541" s="28" t="s">
        <v>51</v>
      </c>
      <c r="N4541" s="28" t="s">
        <v>51</v>
      </c>
    </row>
    <row r="4542" spans="1:14" x14ac:dyDescent="0.15">
      <c r="A4542" s="23" t="str">
        <f>HYPERLINK("https://www.spark-marketing.ru/Card/Person/383088", "ОМВД РОССИИ ПО СОЛЕЦКОМУ РАЙОНУ")</f>
        <v>ОМВД РОССИИ ПО СОЛЕЦКОМУ РАЙОНУ</v>
      </c>
      <c r="B4542" s="24" t="s">
        <v>7282</v>
      </c>
      <c r="C4542" s="25">
        <v>400000</v>
      </c>
      <c r="D4542" s="22" t="s">
        <v>7378</v>
      </c>
      <c r="E4542" s="22" t="s">
        <v>96</v>
      </c>
      <c r="F4542" s="23" t="str">
        <f>HYPERLINK("https://www.spark-marketing.ru/Card/Lot/73154932", "Услуги по приготовлению горячего питания")</f>
        <v>Услуги по приготовлению горячего питания</v>
      </c>
      <c r="G4542" s="22" t="s">
        <v>849</v>
      </c>
      <c r="H4542" s="22" t="s">
        <v>849</v>
      </c>
      <c r="I4542" s="26">
        <v>43707.6505555556</v>
      </c>
      <c r="J4542" s="28" t="s">
        <v>51</v>
      </c>
      <c r="K4542" s="28" t="s">
        <v>51</v>
      </c>
      <c r="L4542" s="28" t="s">
        <v>51</v>
      </c>
      <c r="M4542" s="28" t="s">
        <v>51</v>
      </c>
      <c r="N4542" s="28" t="s">
        <v>51</v>
      </c>
    </row>
    <row r="4543" spans="1:14" x14ac:dyDescent="0.15">
      <c r="A4543" s="23" t="s">
        <v>114</v>
      </c>
      <c r="B4543" s="28" t="s">
        <v>51</v>
      </c>
      <c r="C4543" s="25">
        <v>1591200</v>
      </c>
      <c r="D4543" s="22" t="s">
        <v>7379</v>
      </c>
      <c r="E4543" s="22" t="s">
        <v>48</v>
      </c>
      <c r="F4543" s="23" t="str">
        <f>HYPERLINK("https://www.spark-marketing.ru/Card/Lot/73161258", "Организация горячего питания")</f>
        <v>Организация горячего питания</v>
      </c>
      <c r="G4543" s="22" t="s">
        <v>51</v>
      </c>
      <c r="H4543" s="22" t="s">
        <v>51</v>
      </c>
      <c r="I4543" s="26">
        <v>43707.53875</v>
      </c>
      <c r="J4543" s="28" t="s">
        <v>51</v>
      </c>
      <c r="K4543" s="28" t="s">
        <v>51</v>
      </c>
      <c r="L4543" s="28" t="s">
        <v>51</v>
      </c>
      <c r="M4543" s="28" t="s">
        <v>51</v>
      </c>
      <c r="N4543" s="28" t="s">
        <v>51</v>
      </c>
    </row>
    <row r="4544" spans="1:14" hidden="1" outlineLevel="1" x14ac:dyDescent="0.15">
      <c r="A4544" s="23" t="str">
        <f>HYPERLINK("https://www.spark-marketing.ru/Card/Person/1019505", "МОБУ""ЛИЦЕЙ""")</f>
        <v>МОБУ"ЛИЦЕЙ"</v>
      </c>
      <c r="B4544" s="24" t="s">
        <v>7380</v>
      </c>
      <c r="C4544" s="25">
        <v>474825</v>
      </c>
      <c r="D4544" s="22" t="s">
        <v>7379</v>
      </c>
      <c r="E4544" s="22" t="s">
        <v>48</v>
      </c>
      <c r="F4544" s="23" t="str">
        <f>HYPERLINK("https://www.spark-marketing.ru/Card/Lot/73161258", "Организация горячего питания")</f>
        <v>Организация горячего питания</v>
      </c>
      <c r="G4544" s="22" t="s">
        <v>132</v>
      </c>
      <c r="H4544" s="22" t="s">
        <v>132</v>
      </c>
      <c r="I4544" s="26">
        <v>43707.53875</v>
      </c>
      <c r="J4544" s="28" t="s">
        <v>51</v>
      </c>
      <c r="K4544" s="28" t="s">
        <v>51</v>
      </c>
      <c r="L4544" s="28" t="s">
        <v>51</v>
      </c>
      <c r="M4544" s="28" t="s">
        <v>51</v>
      </c>
      <c r="N4544" s="28" t="s">
        <v>51</v>
      </c>
    </row>
    <row r="4545" spans="1:14" hidden="1" outlineLevel="1" x14ac:dyDescent="0.15">
      <c r="A4545" s="23" t="str">
        <f>HYPERLINK("https://www.spark-marketing.ru/Card/Person/1021752", "МОБУ ""СОШ №7 Г.СОЛЬ-ИЛЕЦКА""")</f>
        <v>МОБУ "СОШ №7 Г.СОЛЬ-ИЛЕЦКА"</v>
      </c>
      <c r="B4545" s="24" t="s">
        <v>7381</v>
      </c>
      <c r="C4545" s="25">
        <v>670800</v>
      </c>
      <c r="D4545" s="22" t="s">
        <v>7379</v>
      </c>
      <c r="E4545" s="22" t="s">
        <v>48</v>
      </c>
      <c r="F4545" s="23" t="str">
        <f>HYPERLINK("https://www.spark-marketing.ru/Card/Lot/73161258", "Организация горячего питания")</f>
        <v>Организация горячего питания</v>
      </c>
      <c r="G4545" s="22" t="s">
        <v>132</v>
      </c>
      <c r="H4545" s="22" t="s">
        <v>132</v>
      </c>
      <c r="I4545" s="26">
        <v>43707.53875</v>
      </c>
      <c r="J4545" s="28" t="s">
        <v>51</v>
      </c>
      <c r="K4545" s="28" t="s">
        <v>51</v>
      </c>
      <c r="L4545" s="28" t="s">
        <v>51</v>
      </c>
      <c r="M4545" s="28" t="s">
        <v>51</v>
      </c>
      <c r="N4545" s="28" t="s">
        <v>51</v>
      </c>
    </row>
    <row r="4546" spans="1:14" hidden="1" outlineLevel="1" x14ac:dyDescent="0.15">
      <c r="A4546" s="23" t="str">
        <f>HYPERLINK("https://www.spark-marketing.ru/Card/Person/1083280", "МОБУ ""СОШ №1 Г. СОЛЬ-ИЛЕЦКА""")</f>
        <v>МОБУ "СОШ №1 Г. СОЛЬ-ИЛЕЦКА"</v>
      </c>
      <c r="B4546" s="24" t="s">
        <v>7382</v>
      </c>
      <c r="C4546" s="25">
        <v>445575</v>
      </c>
      <c r="D4546" s="22" t="s">
        <v>7379</v>
      </c>
      <c r="E4546" s="22" t="s">
        <v>48</v>
      </c>
      <c r="F4546" s="23" t="str">
        <f>HYPERLINK("https://www.spark-marketing.ru/Card/Lot/73161258", "Организация горячего питания")</f>
        <v>Организация горячего питания</v>
      </c>
      <c r="G4546" s="22" t="s">
        <v>132</v>
      </c>
      <c r="H4546" s="22" t="s">
        <v>132</v>
      </c>
      <c r="I4546" s="26">
        <v>43707.53875</v>
      </c>
      <c r="J4546" s="28" t="s">
        <v>51</v>
      </c>
      <c r="K4546" s="28" t="s">
        <v>51</v>
      </c>
      <c r="L4546" s="28" t="s">
        <v>51</v>
      </c>
      <c r="M4546" s="28" t="s">
        <v>51</v>
      </c>
      <c r="N4546" s="28" t="s">
        <v>51</v>
      </c>
    </row>
    <row r="4547" spans="1:14" x14ac:dyDescent="0.15">
      <c r="A4547" s="23" t="str">
        <f>HYPERLINK("https://www.spark-marketing.ru/Card/Person/383088", "ОМВД РОССИИ ПО СОЛЕЦКОМУ РАЙОНУ")</f>
        <v>ОМВД РОССИИ ПО СОЛЕЦКОМУ РАЙОНУ</v>
      </c>
      <c r="B4547" s="24" t="s">
        <v>7282</v>
      </c>
      <c r="C4547" s="25">
        <v>400000</v>
      </c>
      <c r="D4547" s="22" t="s">
        <v>7383</v>
      </c>
      <c r="E4547" s="22" t="s">
        <v>96</v>
      </c>
      <c r="F4547" s="23" t="str">
        <f>HYPERLINK("https://www.spark-marketing.ru/Card/Lot/73154936", "Услуги по приготовлению горячего питания")</f>
        <v>Услуги по приготовлению горячего питания</v>
      </c>
      <c r="G4547" s="22" t="s">
        <v>849</v>
      </c>
      <c r="H4547" s="22" t="s">
        <v>849</v>
      </c>
      <c r="I4547" s="26">
        <v>43707.645810185197</v>
      </c>
      <c r="J4547" s="28" t="s">
        <v>51</v>
      </c>
      <c r="K4547" s="28" t="s">
        <v>51</v>
      </c>
      <c r="L4547" s="28" t="s">
        <v>51</v>
      </c>
      <c r="M4547" s="28" t="s">
        <v>51</v>
      </c>
      <c r="N4547" s="28" t="s">
        <v>51</v>
      </c>
    </row>
    <row r="4548" spans="1:14" x14ac:dyDescent="0.15">
      <c r="A4548" s="23" t="str">
        <f t="shared" ref="A4548:A4558" si="80">HYPERLINK("https://www.spark-marketing.ru/Card/Person/24371", "ГКУ ""ЦЕНТР СОЦИАЛЬНОЙ ПОДДЕРЖКИ НАСЕЛЕНИЯ""")</f>
        <v>ГКУ "ЦЕНТР СОЦИАЛЬНОЙ ПОДДЕРЖКИ НАСЕЛЕНИЯ"</v>
      </c>
      <c r="B4548" s="24" t="s">
        <v>7384</v>
      </c>
      <c r="C4548" s="25">
        <v>176000</v>
      </c>
      <c r="D4548" s="22" t="s">
        <v>7385</v>
      </c>
      <c r="E4548" s="22" t="s">
        <v>7386</v>
      </c>
      <c r="F4548" s="23" t="str">
        <f t="shared" ref="F4548:F4558" si="81">HYPERLINK("https://www.spark-marketing.ru/Card/Lot/73163807", "на поставку аккумуляторных батарей для источников бесперебойного питания")</f>
        <v>на поставку аккумуляторных батарей для источников бесперебойного питания</v>
      </c>
      <c r="G4548" s="22" t="s">
        <v>132</v>
      </c>
      <c r="H4548" s="22" t="s">
        <v>587</v>
      </c>
      <c r="I4548" s="26">
        <v>43707.646203703698</v>
      </c>
      <c r="J4548" s="28" t="s">
        <v>51</v>
      </c>
      <c r="K4548" s="28" t="s">
        <v>51</v>
      </c>
      <c r="L4548" s="28" t="s">
        <v>51</v>
      </c>
      <c r="M4548" s="28" t="s">
        <v>51</v>
      </c>
      <c r="N4548" s="28" t="s">
        <v>51</v>
      </c>
    </row>
    <row r="4549" spans="1:14" hidden="1" outlineLevel="1" x14ac:dyDescent="0.2">
      <c r="A4549" s="23" t="str">
        <f t="shared" si="80"/>
        <v>ГКУ "ЦЕНТР СОЦИАЛЬНОЙ ПОДДЕРЖКИ НАСЕЛЕНИЯ"</v>
      </c>
      <c r="B4549" s="24" t="s">
        <v>7384</v>
      </c>
      <c r="C4549" s="25">
        <v>176000</v>
      </c>
      <c r="D4549" s="22" t="s">
        <v>7385</v>
      </c>
      <c r="E4549" s="22" t="s">
        <v>7386</v>
      </c>
      <c r="F4549" s="23" t="str">
        <f t="shared" si="81"/>
        <v>на поставку аккумуляторных батарей для источников бесперебойного питания</v>
      </c>
      <c r="G4549" s="22" t="s">
        <v>132</v>
      </c>
      <c r="H4549" s="22" t="s">
        <v>587</v>
      </c>
      <c r="I4549" s="26">
        <v>43707.646203703698</v>
      </c>
      <c r="J4549" s="23" t="str">
        <f>HYPERLINK("https://www.spark-marketing.ru/Card/Person/274165", "ООО ""ЭКСТРА ГРУПП""")</f>
        <v>ООО "ЭКСТРА ГРУПП"</v>
      </c>
      <c r="K4549" s="24" t="s">
        <v>7387</v>
      </c>
      <c r="L4549" s="28" t="s">
        <v>51</v>
      </c>
      <c r="M4549" s="25">
        <v>89960</v>
      </c>
      <c r="N4549" s="27">
        <v>0.48886363636363639</v>
      </c>
    </row>
    <row r="4550" spans="1:14" hidden="1" outlineLevel="1" x14ac:dyDescent="0.2">
      <c r="A4550" s="23" t="str">
        <f t="shared" si="80"/>
        <v>ГКУ "ЦЕНТР СОЦИАЛЬНОЙ ПОДДЕРЖКИ НАСЕЛЕНИЯ"</v>
      </c>
      <c r="B4550" s="24" t="s">
        <v>7384</v>
      </c>
      <c r="C4550" s="25">
        <v>176000</v>
      </c>
      <c r="D4550" s="22" t="s">
        <v>7385</v>
      </c>
      <c r="E4550" s="22" t="s">
        <v>7386</v>
      </c>
      <c r="F4550" s="23" t="str">
        <f t="shared" si="81"/>
        <v>на поставку аккумуляторных батарей для источников бесперебойного питания</v>
      </c>
      <c r="G4550" s="22" t="s">
        <v>132</v>
      </c>
      <c r="H4550" s="22" t="s">
        <v>587</v>
      </c>
      <c r="I4550" s="26">
        <v>43707.646203703698</v>
      </c>
      <c r="J4550" s="23" t="str">
        <f>HYPERLINK("https://www.spark-marketing.ru/Card/Person/6219058", "ООО ""СПУТНИК""")</f>
        <v>ООО "СПУТНИК"</v>
      </c>
      <c r="K4550" s="24" t="s">
        <v>7388</v>
      </c>
      <c r="L4550" s="28" t="s">
        <v>51</v>
      </c>
      <c r="M4550" s="25">
        <v>90840</v>
      </c>
      <c r="N4550" s="27">
        <v>0.48386363636363638</v>
      </c>
    </row>
    <row r="4551" spans="1:14" hidden="1" outlineLevel="1" x14ac:dyDescent="0.2">
      <c r="A4551" s="23" t="str">
        <f t="shared" si="80"/>
        <v>ГКУ "ЦЕНТР СОЦИАЛЬНОЙ ПОДДЕРЖКИ НАСЕЛЕНИЯ"</v>
      </c>
      <c r="B4551" s="24" t="s">
        <v>7384</v>
      </c>
      <c r="C4551" s="25">
        <v>176000</v>
      </c>
      <c r="D4551" s="22" t="s">
        <v>7385</v>
      </c>
      <c r="E4551" s="22" t="s">
        <v>7386</v>
      </c>
      <c r="F4551" s="23" t="str">
        <f t="shared" si="81"/>
        <v>на поставку аккумуляторных батарей для источников бесперебойного питания</v>
      </c>
      <c r="G4551" s="22" t="s">
        <v>132</v>
      </c>
      <c r="H4551" s="22" t="s">
        <v>587</v>
      </c>
      <c r="I4551" s="26">
        <v>43707.646203703698</v>
      </c>
      <c r="J4551" s="23" t="str">
        <f>HYPERLINK("https://www.spark-marketing.ru/Card/Person/3291243", "ООО ""ПРОМЕТЕЙ""")</f>
        <v>ООО "ПРОМЕТЕЙ"</v>
      </c>
      <c r="K4551" s="24" t="s">
        <v>7389</v>
      </c>
      <c r="L4551" s="28" t="s">
        <v>51</v>
      </c>
      <c r="M4551" s="25">
        <v>68839.600000000006</v>
      </c>
      <c r="N4551" s="27">
        <v>0.6088659090909091</v>
      </c>
    </row>
    <row r="4552" spans="1:14" ht="12.75" hidden="1" outlineLevel="1" x14ac:dyDescent="0.2">
      <c r="A4552" s="23" t="str">
        <f t="shared" si="80"/>
        <v>ГКУ "ЦЕНТР СОЦИАЛЬНОЙ ПОДДЕРЖКИ НАСЕЛЕНИЯ"</v>
      </c>
      <c r="B4552" s="24" t="s">
        <v>7384</v>
      </c>
      <c r="C4552" s="25">
        <v>176000</v>
      </c>
      <c r="D4552" s="22" t="s">
        <v>7385</v>
      </c>
      <c r="E4552" s="22" t="s">
        <v>7386</v>
      </c>
      <c r="F4552" s="23" t="str">
        <f t="shared" si="81"/>
        <v>на поставку аккумуляторных батарей для источников бесперебойного питания</v>
      </c>
      <c r="G4552" s="22" t="s">
        <v>132</v>
      </c>
      <c r="H4552" s="22" t="s">
        <v>587</v>
      </c>
      <c r="I4552" s="26">
        <v>43707.646203703698</v>
      </c>
      <c r="J4552" s="23" t="str">
        <f>HYPERLINK("https://www.spark-marketing.ru/Card/Person/893262", "ООО ""ПРОФИ""")</f>
        <v>ООО "ПРОФИ"</v>
      </c>
      <c r="K4552" s="24" t="s">
        <v>7390</v>
      </c>
      <c r="L4552" s="22" t="s">
        <v>10</v>
      </c>
      <c r="M4552" s="25">
        <v>67959.600000000006</v>
      </c>
      <c r="N4552" s="27">
        <v>0.6138659090909091</v>
      </c>
    </row>
    <row r="4553" spans="1:14" hidden="1" outlineLevel="1" x14ac:dyDescent="0.2">
      <c r="A4553" s="23" t="str">
        <f t="shared" si="80"/>
        <v>ГКУ "ЦЕНТР СОЦИАЛЬНОЙ ПОДДЕРЖКИ НАСЕЛЕНИЯ"</v>
      </c>
      <c r="B4553" s="24" t="s">
        <v>7384</v>
      </c>
      <c r="C4553" s="25">
        <v>176000</v>
      </c>
      <c r="D4553" s="22" t="s">
        <v>7385</v>
      </c>
      <c r="E4553" s="22" t="s">
        <v>7386</v>
      </c>
      <c r="F4553" s="23" t="str">
        <f t="shared" si="81"/>
        <v>на поставку аккумуляторных батарей для источников бесперебойного питания</v>
      </c>
      <c r="G4553" s="22" t="s">
        <v>132</v>
      </c>
      <c r="H4553" s="22" t="s">
        <v>587</v>
      </c>
      <c r="I4553" s="26">
        <v>43707.646203703698</v>
      </c>
      <c r="J4553" s="23" t="str">
        <f>HYPERLINK("https://www.spark-marketing.ru/Card/Person/375745", "ООО ""ИК-С""")</f>
        <v>ООО "ИК-С"</v>
      </c>
      <c r="K4553" s="24" t="s">
        <v>7391</v>
      </c>
      <c r="L4553" s="28" t="s">
        <v>51</v>
      </c>
      <c r="M4553" s="25">
        <v>124720</v>
      </c>
      <c r="N4553" s="27">
        <v>0.29136363636363638</v>
      </c>
    </row>
    <row r="4554" spans="1:14" hidden="1" outlineLevel="1" x14ac:dyDescent="0.2">
      <c r="A4554" s="23" t="str">
        <f t="shared" si="80"/>
        <v>ГКУ "ЦЕНТР СОЦИАЛЬНОЙ ПОДДЕРЖКИ НАСЕЛЕНИЯ"</v>
      </c>
      <c r="B4554" s="24" t="s">
        <v>7384</v>
      </c>
      <c r="C4554" s="25">
        <v>176000</v>
      </c>
      <c r="D4554" s="22" t="s">
        <v>7385</v>
      </c>
      <c r="E4554" s="22" t="s">
        <v>7386</v>
      </c>
      <c r="F4554" s="23" t="str">
        <f t="shared" si="81"/>
        <v>на поставку аккумуляторных батарей для источников бесперебойного питания</v>
      </c>
      <c r="G4554" s="22" t="s">
        <v>132</v>
      </c>
      <c r="H4554" s="22" t="s">
        <v>587</v>
      </c>
      <c r="I4554" s="26">
        <v>43707.646203703698</v>
      </c>
      <c r="J4554" s="23" t="str">
        <f>HYPERLINK("https://www.spark-marketing.ru/Card/Person/1307637", "ООО ""СКТ""")</f>
        <v>ООО "СКТ"</v>
      </c>
      <c r="K4554" s="24" t="s">
        <v>7392</v>
      </c>
      <c r="L4554" s="28" t="s">
        <v>51</v>
      </c>
      <c r="M4554" s="25">
        <v>119000</v>
      </c>
      <c r="N4554" s="27">
        <v>0.32386363636363635</v>
      </c>
    </row>
    <row r="4555" spans="1:14" hidden="1" outlineLevel="1" x14ac:dyDescent="0.2">
      <c r="A4555" s="23" t="str">
        <f t="shared" si="80"/>
        <v>ГКУ "ЦЕНТР СОЦИАЛЬНОЙ ПОДДЕРЖКИ НАСЕЛЕНИЯ"</v>
      </c>
      <c r="B4555" s="24" t="s">
        <v>7384</v>
      </c>
      <c r="C4555" s="25">
        <v>176000</v>
      </c>
      <c r="D4555" s="22" t="s">
        <v>7385</v>
      </c>
      <c r="E4555" s="22" t="s">
        <v>7386</v>
      </c>
      <c r="F4555" s="23" t="str">
        <f t="shared" si="81"/>
        <v>на поставку аккумуляторных батарей для источников бесперебойного питания</v>
      </c>
      <c r="G4555" s="22" t="s">
        <v>132</v>
      </c>
      <c r="H4555" s="22" t="s">
        <v>587</v>
      </c>
      <c r="I4555" s="26">
        <v>43707.646203703698</v>
      </c>
      <c r="J4555" s="23" t="str">
        <f>HYPERLINK("https://www.spark-marketing.ru/Card/Person/379343", "ООО ""СЕРВИС ПЛЮС""")</f>
        <v>ООО "СЕРВИС ПЛЮС"</v>
      </c>
      <c r="K4555" s="24" t="s">
        <v>7393</v>
      </c>
      <c r="L4555" s="28" t="s">
        <v>51</v>
      </c>
      <c r="M4555" s="25">
        <v>84679.6</v>
      </c>
      <c r="N4555" s="27">
        <v>0.51886590909090913</v>
      </c>
    </row>
    <row r="4556" spans="1:14" hidden="1" outlineLevel="1" x14ac:dyDescent="0.2">
      <c r="A4556" s="23" t="str">
        <f t="shared" si="80"/>
        <v>ГКУ "ЦЕНТР СОЦИАЛЬНОЙ ПОДДЕРЖКИ НАСЕЛЕНИЯ"</v>
      </c>
      <c r="B4556" s="24" t="s">
        <v>7384</v>
      </c>
      <c r="C4556" s="25">
        <v>176000</v>
      </c>
      <c r="D4556" s="22" t="s">
        <v>7385</v>
      </c>
      <c r="E4556" s="22" t="s">
        <v>7386</v>
      </c>
      <c r="F4556" s="23" t="str">
        <f t="shared" si="81"/>
        <v>на поставку аккумуляторных батарей для источников бесперебойного питания</v>
      </c>
      <c r="G4556" s="22" t="s">
        <v>132</v>
      </c>
      <c r="H4556" s="22" t="s">
        <v>587</v>
      </c>
      <c r="I4556" s="26">
        <v>43707.646203703698</v>
      </c>
      <c r="J4556" s="23" t="str">
        <f>HYPERLINK("https://www.spark-marketing.ru/Card/Person/6224971", "ООО ""СЭТ-УРАЛ""")</f>
        <v>ООО "СЭТ-УРАЛ"</v>
      </c>
      <c r="K4556" s="24" t="s">
        <v>7394</v>
      </c>
      <c r="L4556" s="28" t="s">
        <v>51</v>
      </c>
      <c r="M4556" s="25">
        <v>103160</v>
      </c>
      <c r="N4556" s="27">
        <v>0.41386363636363638</v>
      </c>
    </row>
    <row r="4557" spans="1:14" hidden="1" outlineLevel="1" x14ac:dyDescent="0.2">
      <c r="A4557" s="23" t="str">
        <f t="shared" si="80"/>
        <v>ГКУ "ЦЕНТР СОЦИАЛЬНОЙ ПОДДЕРЖКИ НАСЕЛЕНИЯ"</v>
      </c>
      <c r="B4557" s="24" t="s">
        <v>7384</v>
      </c>
      <c r="C4557" s="25">
        <v>176000</v>
      </c>
      <c r="D4557" s="22" t="s">
        <v>7385</v>
      </c>
      <c r="E4557" s="22" t="s">
        <v>7386</v>
      </c>
      <c r="F4557" s="23" t="str">
        <f t="shared" si="81"/>
        <v>на поставку аккумуляторных батарей для источников бесперебойного питания</v>
      </c>
      <c r="G4557" s="22" t="s">
        <v>132</v>
      </c>
      <c r="H4557" s="22" t="s">
        <v>587</v>
      </c>
      <c r="I4557" s="26">
        <v>43707.646203703698</v>
      </c>
      <c r="J4557" s="23" t="str">
        <f>HYPERLINK("https://www.spark-marketing.ru/Card/Person/4356186", "ООО ""ФИРМА АЛЬФА-ПЛЮС""")</f>
        <v>ООО "ФИРМА АЛЬФА-ПЛЮС"</v>
      </c>
      <c r="K4557" s="24" t="s">
        <v>7395</v>
      </c>
      <c r="L4557" s="28" t="s">
        <v>51</v>
      </c>
      <c r="M4557" s="25">
        <v>101600</v>
      </c>
      <c r="N4557" s="27">
        <v>0.42272727272727273</v>
      </c>
    </row>
    <row r="4558" spans="1:14" hidden="1" outlineLevel="1" x14ac:dyDescent="0.2">
      <c r="A4558" s="23" t="str">
        <f t="shared" si="80"/>
        <v>ГКУ "ЦЕНТР СОЦИАЛЬНОЙ ПОДДЕРЖКИ НАСЕЛЕНИЯ"</v>
      </c>
      <c r="B4558" s="24" t="s">
        <v>7384</v>
      </c>
      <c r="C4558" s="25">
        <v>176000</v>
      </c>
      <c r="D4558" s="22" t="s">
        <v>7385</v>
      </c>
      <c r="E4558" s="22" t="s">
        <v>7386</v>
      </c>
      <c r="F4558" s="23" t="str">
        <f t="shared" si="81"/>
        <v>на поставку аккумуляторных батарей для источников бесперебойного питания</v>
      </c>
      <c r="G4558" s="22" t="s">
        <v>132</v>
      </c>
      <c r="H4558" s="22" t="s">
        <v>587</v>
      </c>
      <c r="I4558" s="26">
        <v>43707.646203703698</v>
      </c>
      <c r="J4558" s="23" t="str">
        <f>HYPERLINK("https://www.spark-marketing.ru/Card/Person/475524", "ООО ""ТЕХНОЛАЙН""")</f>
        <v>ООО "ТЕХНОЛАЙН"</v>
      </c>
      <c r="K4558" s="24" t="s">
        <v>7396</v>
      </c>
      <c r="L4558" s="28" t="s">
        <v>51</v>
      </c>
      <c r="M4558" s="25">
        <v>83799.600000000006</v>
      </c>
      <c r="N4558" s="27">
        <v>0.52386590909090913</v>
      </c>
    </row>
    <row r="4559" spans="1:14" x14ac:dyDescent="0.15">
      <c r="A4559" s="23" t="str">
        <f>HYPERLINK("https://www.spark-marketing.ru/Card/Person/10533", "УПРАВЛЕНИЕ МВД РОССИИ ПО Г. ПЕРМИ")</f>
        <v>УПРАВЛЕНИЕ МВД РОССИИ ПО Г. ПЕРМИ</v>
      </c>
      <c r="B4559" s="24" t="s">
        <v>7358</v>
      </c>
      <c r="C4559" s="25">
        <v>10232700</v>
      </c>
      <c r="D4559" s="22" t="s">
        <v>7397</v>
      </c>
      <c r="E4559" s="22" t="s">
        <v>48</v>
      </c>
      <c r="F4559" s="23" t="str">
        <f>HYPERLINK("https://www.spark-marketing.ru/Card/Lot/73162576", "Оказание услуг по обеспечению горячим питанием лиц, содержащихся в Изоляторе временного содержания Управления МВД России г. Перми, в Спецприемнике для лиц, подвергнутых административному аресту Управления МВД России г. Перми и в СПЗЛ дежурных частей ...")</f>
        <v>Оказание услуг по обеспечению горячим питанием лиц, содержащихся в Изоляторе временного содержания Управления МВД России г. Перми, в Спецприемнике для лиц, подвергнутых административному аресту Управления МВД России г. Перми и в СПЗЛ дежурных частей ...</v>
      </c>
      <c r="G4559" s="22" t="s">
        <v>153</v>
      </c>
      <c r="H4559" s="22" t="s">
        <v>3981</v>
      </c>
      <c r="I4559" s="26">
        <v>43707.545069444401</v>
      </c>
      <c r="J4559" s="23" t="str">
        <f>HYPERLINK("https://www.spark-marketing.ru/Card/Person/1403619", "ООО ""ГП АРТЭКС""")</f>
        <v>ООО "ГП АРТЭКС"</v>
      </c>
      <c r="K4559" s="24" t="s">
        <v>7360</v>
      </c>
      <c r="L4559" s="28" t="s">
        <v>51</v>
      </c>
      <c r="M4559" s="28" t="s">
        <v>51</v>
      </c>
      <c r="N4559" s="28" t="s">
        <v>51</v>
      </c>
    </row>
    <row r="4560" spans="1:14" ht="12.75" hidden="1" outlineLevel="1" x14ac:dyDescent="0.2">
      <c r="A4560" s="23" t="str">
        <f>HYPERLINK("https://www.spark-marketing.ru/Card/Person/10533", "УПРАВЛЕНИЕ МВД РОССИИ ПО Г. ПЕРМИ")</f>
        <v>УПРАВЛЕНИЕ МВД РОССИИ ПО Г. ПЕРМИ</v>
      </c>
      <c r="B4560" s="24" t="s">
        <v>7358</v>
      </c>
      <c r="C4560" s="25">
        <v>10232700</v>
      </c>
      <c r="D4560" s="22" t="s">
        <v>7397</v>
      </c>
      <c r="E4560" s="22" t="s">
        <v>48</v>
      </c>
      <c r="F4560" s="23" t="str">
        <f>HYPERLINK("https://www.spark-marketing.ru/Card/Lot/73162576", "Оказание услуг по обеспечению горячим питанием лиц, содержащихся в Изоляторе временного содержания Управления МВД России г. Перми, в Спецприемнике для лиц, подвергнутых административному аресту Управления МВД России г. Перми и в СПЗЛ дежурных частей ...")</f>
        <v>Оказание услуг по обеспечению горячим питанием лиц, содержащихся в Изоляторе временного содержания Управления МВД России г. Перми, в Спецприемнике для лиц, подвергнутых административному аресту Управления МВД России г. Перми и в СПЗЛ дежурных частей ...</v>
      </c>
      <c r="G4560" s="22" t="s">
        <v>153</v>
      </c>
      <c r="H4560" s="22" t="s">
        <v>3981</v>
      </c>
      <c r="I4560" s="26">
        <v>43707.545069444401</v>
      </c>
      <c r="J4560" s="23" t="str">
        <f>HYPERLINK("https://www.spark-marketing.ru/Card/Person/1403619", "ООО ""ГП АРТЭКС""")</f>
        <v>ООО "ГП АРТЭКС"</v>
      </c>
      <c r="K4560" s="24" t="s">
        <v>7360</v>
      </c>
      <c r="L4560" s="22" t="s">
        <v>10</v>
      </c>
      <c r="M4560" s="25">
        <v>2309.83</v>
      </c>
      <c r="N4560" s="27">
        <v>0.99977426974307859</v>
      </c>
    </row>
    <row r="4561" spans="1:14" x14ac:dyDescent="0.15">
      <c r="A4561" s="23" t="str">
        <f>HYPERLINK("https://www.spark-marketing.ru/Card/Person/1028815", "МУ МЦ ""РОВЕСНИК""")</f>
        <v>МУ МЦ "РОВЕСНИК"</v>
      </c>
      <c r="B4561" s="24" t="s">
        <v>7398</v>
      </c>
      <c r="C4561" s="25">
        <v>54340</v>
      </c>
      <c r="D4561" s="22" t="s">
        <v>7399</v>
      </c>
      <c r="E4561" s="22" t="s">
        <v>48</v>
      </c>
      <c r="F4561" s="23" t="str">
        <f>HYPERLINK("https://www.spark-marketing.ru/Card/Lot/73148161", "оказание услуг по организации питания в рамках проведения мероприятий")</f>
        <v>оказание услуг по организации питания в рамках проведения мероприятий</v>
      </c>
      <c r="G4561" s="22" t="s">
        <v>49</v>
      </c>
      <c r="H4561" s="22" t="s">
        <v>50</v>
      </c>
      <c r="I4561" s="26">
        <v>43707.597349536998</v>
      </c>
      <c r="J4561" s="28" t="s">
        <v>51</v>
      </c>
      <c r="K4561" s="28" t="s">
        <v>51</v>
      </c>
      <c r="L4561" s="28" t="s">
        <v>51</v>
      </c>
      <c r="M4561" s="28" t="s">
        <v>51</v>
      </c>
      <c r="N4561" s="28" t="s">
        <v>51</v>
      </c>
    </row>
    <row r="4562" spans="1:14" x14ac:dyDescent="0.15">
      <c r="A4562" s="23" t="str">
        <f>HYPERLINK("https://www.spark-marketing.ru/Card/Person/536388", "ОМВД РОССИИ ПО АРТИНСКОМУ РАЙОНУ")</f>
        <v>ОМВД РОССИИ ПО АРТИНСКОМУ РАЙОНУ</v>
      </c>
      <c r="B4562" s="24" t="s">
        <v>6007</v>
      </c>
      <c r="C4562" s="25">
        <v>600000</v>
      </c>
      <c r="D4562" s="22" t="s">
        <v>7400</v>
      </c>
      <c r="E4562" s="22" t="s">
        <v>48</v>
      </c>
      <c r="F4562" s="23" t="str">
        <f>HYPERLINK("https://www.spark-marketing.ru/Card/Lot/73149837", "Обеспечение горячим питанием лиц содержащихся в ИВС")</f>
        <v>Обеспечение горячим питанием лиц содержащихся в ИВС</v>
      </c>
      <c r="G4562" s="22" t="s">
        <v>174</v>
      </c>
      <c r="H4562" s="22" t="s">
        <v>6009</v>
      </c>
      <c r="I4562" s="26">
        <v>43707.492314814801</v>
      </c>
      <c r="J4562" s="28" t="s">
        <v>51</v>
      </c>
      <c r="K4562" s="28" t="s">
        <v>51</v>
      </c>
      <c r="L4562" s="28" t="s">
        <v>51</v>
      </c>
      <c r="M4562" s="28" t="s">
        <v>51</v>
      </c>
      <c r="N4562" s="28" t="s">
        <v>51</v>
      </c>
    </row>
    <row r="4563" spans="1:14" x14ac:dyDescent="0.15">
      <c r="A4563" s="23" t="str">
        <f>HYPERLINK("https://www.spark-marketing.ru/Card/Person/4347022", "РФФИ")</f>
        <v>РФФИ</v>
      </c>
      <c r="B4563" s="24" t="s">
        <v>7401</v>
      </c>
      <c r="C4563" s="25">
        <v>480000</v>
      </c>
      <c r="D4563" s="22" t="s">
        <v>7402</v>
      </c>
      <c r="E4563" s="22" t="s">
        <v>48</v>
      </c>
      <c r="F4563" s="23" t="str">
        <f>HYPERLINK("https://www.spark-marketing.ru/Card/Lot/73152049", "Оказание услуг по организации питания, официальных обедов и буфетного обслуживания при приеме иностранных делегаций и других мероприятиях, проводимых Фондом")</f>
        <v>Оказание услуг по организации питания, официальных обедов и буфетного обслуживания при приеме иностранных делегаций и других мероприятиях, проводимых Фондом</v>
      </c>
      <c r="G4563" s="22" t="s">
        <v>56</v>
      </c>
      <c r="H4563" s="22" t="s">
        <v>56</v>
      </c>
      <c r="I4563" s="26">
        <v>43707.581041666701</v>
      </c>
      <c r="J4563" s="28" t="s">
        <v>51</v>
      </c>
      <c r="K4563" s="28" t="s">
        <v>51</v>
      </c>
      <c r="L4563" s="28" t="s">
        <v>51</v>
      </c>
      <c r="M4563" s="28" t="s">
        <v>51</v>
      </c>
      <c r="N4563" s="28" t="s">
        <v>51</v>
      </c>
    </row>
    <row r="4564" spans="1:14" hidden="1" outlineLevel="1" x14ac:dyDescent="0.2">
      <c r="A4564" s="23" t="str">
        <f>HYPERLINK("https://www.spark-marketing.ru/Card/Person/4347022", "РФФИ")</f>
        <v>РФФИ</v>
      </c>
      <c r="B4564" s="24" t="s">
        <v>7401</v>
      </c>
      <c r="C4564" s="25">
        <v>480000</v>
      </c>
      <c r="D4564" s="22" t="s">
        <v>7402</v>
      </c>
      <c r="E4564" s="22" t="s">
        <v>48</v>
      </c>
      <c r="F4564" s="23" t="str">
        <f>HYPERLINK("https://www.spark-marketing.ru/Card/Lot/73152049", "Оказание услуг по организации питания, официальных обедов и буфетного обслуживания при приеме иностранных делегаций и других мероприятиях, проводимых Фондом")</f>
        <v>Оказание услуг по организации питания, официальных обедов и буфетного обслуживания при приеме иностранных делегаций и других мероприятиях, проводимых Фондом</v>
      </c>
      <c r="G4564" s="22" t="s">
        <v>56</v>
      </c>
      <c r="H4564" s="22" t="s">
        <v>56</v>
      </c>
      <c r="I4564" s="26">
        <v>43707.581041666701</v>
      </c>
      <c r="J4564" s="23" t="str">
        <f>HYPERLINK("https://www.spark-marketing.ru/Card/Person/6633519", "ООО ""КОММЕРЦПРО""")</f>
        <v>ООО "КОММЕРЦПРО"</v>
      </c>
      <c r="K4564" s="24" t="s">
        <v>7403</v>
      </c>
      <c r="L4564" s="28" t="s">
        <v>51</v>
      </c>
      <c r="M4564" s="25">
        <v>439000</v>
      </c>
      <c r="N4564" s="27">
        <v>8.5416666666666669E-2</v>
      </c>
    </row>
    <row r="4565" spans="1:14" hidden="1" outlineLevel="1" x14ac:dyDescent="0.2">
      <c r="A4565" s="23" t="str">
        <f>HYPERLINK("https://www.spark-marketing.ru/Card/Person/4347022", "РФФИ")</f>
        <v>РФФИ</v>
      </c>
      <c r="B4565" s="24" t="s">
        <v>7401</v>
      </c>
      <c r="C4565" s="25">
        <v>480000</v>
      </c>
      <c r="D4565" s="22" t="s">
        <v>7402</v>
      </c>
      <c r="E4565" s="22" t="s">
        <v>48</v>
      </c>
      <c r="F4565" s="23" t="str">
        <f>HYPERLINK("https://www.spark-marketing.ru/Card/Lot/73152049", "Оказание услуг по организации питания, официальных обедов и буфетного обслуживания при приеме иностранных делегаций и других мероприятиях, проводимых Фондом")</f>
        <v>Оказание услуг по организации питания, официальных обедов и буфетного обслуживания при приеме иностранных делегаций и других мероприятиях, проводимых Фондом</v>
      </c>
      <c r="G4565" s="22" t="s">
        <v>56</v>
      </c>
      <c r="H4565" s="22" t="s">
        <v>56</v>
      </c>
      <c r="I4565" s="26">
        <v>43707.581041666701</v>
      </c>
      <c r="J4565" s="23" t="str">
        <f>HYPERLINK("https://www.spark-marketing.ru/Card/Person/1524310", "ФГБУ УКХО")</f>
        <v>ФГБУ УКХО</v>
      </c>
      <c r="K4565" s="24" t="s">
        <v>7404</v>
      </c>
      <c r="L4565" s="28" t="s">
        <v>51</v>
      </c>
      <c r="M4565" s="25">
        <v>435000</v>
      </c>
      <c r="N4565" s="27">
        <v>9.375E-2</v>
      </c>
    </row>
    <row r="4566" spans="1:14" ht="12.75" hidden="1" outlineLevel="1" x14ac:dyDescent="0.2">
      <c r="A4566" s="23" t="str">
        <f>HYPERLINK("https://www.spark-marketing.ru/Card/Person/4347022", "РФФИ")</f>
        <v>РФФИ</v>
      </c>
      <c r="B4566" s="24" t="s">
        <v>7401</v>
      </c>
      <c r="C4566" s="25">
        <v>480000</v>
      </c>
      <c r="D4566" s="22" t="s">
        <v>7402</v>
      </c>
      <c r="E4566" s="22" t="s">
        <v>48</v>
      </c>
      <c r="F4566" s="23" t="str">
        <f>HYPERLINK("https://www.spark-marketing.ru/Card/Lot/73152049", "Оказание услуг по организации питания, официальных обедов и буфетного обслуживания при приеме иностранных делегаций и других мероприятиях, проводимых Фондом")</f>
        <v>Оказание услуг по организации питания, официальных обедов и буфетного обслуживания при приеме иностранных делегаций и других мероприятиях, проводимых Фондом</v>
      </c>
      <c r="G4566" s="22" t="s">
        <v>56</v>
      </c>
      <c r="H4566" s="22" t="s">
        <v>56</v>
      </c>
      <c r="I4566" s="26">
        <v>43707.581041666701</v>
      </c>
      <c r="J4566" s="23" t="str">
        <f>HYPERLINK("https://www.spark-marketing.ru/Card/Person/1591756", "ООО ""АКАДЕМ КЛУБ""")</f>
        <v>ООО "АКАДЕМ КЛУБ"</v>
      </c>
      <c r="K4566" s="24" t="s">
        <v>7405</v>
      </c>
      <c r="L4566" s="22" t="s">
        <v>10</v>
      </c>
      <c r="M4566" s="25">
        <v>374500</v>
      </c>
      <c r="N4566" s="27">
        <v>0.21979166666666666</v>
      </c>
    </row>
    <row r="4567" spans="1:14" x14ac:dyDescent="0.15">
      <c r="A4567" s="23" t="str">
        <f>HYPERLINK("https://www.spark-marketing.ru/Card/Person/131201", "МДОУ № 37")</f>
        <v>МДОУ № 37</v>
      </c>
      <c r="B4567" s="24" t="s">
        <v>7406</v>
      </c>
      <c r="C4567" s="25">
        <v>14158836.359999999</v>
      </c>
      <c r="D4567" s="22" t="s">
        <v>7407</v>
      </c>
      <c r="E4567" s="22" t="s">
        <v>48</v>
      </c>
      <c r="F4567" s="23" t="str">
        <f>HYPERLINK("https://www.spark-marketing.ru/Card/Lot/73163675", "Оказание услуг по организации питания воспитанников муниципального дошкольного образовательного учреждения «Детский сад № 37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 37 общеразвивающего вида»</v>
      </c>
      <c r="G4567" s="22" t="s">
        <v>49</v>
      </c>
      <c r="H4567" s="22" t="s">
        <v>742</v>
      </c>
      <c r="I4567" s="26">
        <v>43707.593356481499</v>
      </c>
      <c r="J4567" s="28" t="s">
        <v>51</v>
      </c>
      <c r="K4567" s="28" t="s">
        <v>51</v>
      </c>
      <c r="L4567" s="28" t="s">
        <v>51</v>
      </c>
      <c r="M4567" s="28" t="s">
        <v>51</v>
      </c>
      <c r="N4567" s="28" t="s">
        <v>51</v>
      </c>
    </row>
    <row r="4568" spans="1:14" hidden="1" outlineLevel="1" x14ac:dyDescent="0.15">
      <c r="A4568" s="23" t="str">
        <f>HYPERLINK("https://www.spark-marketing.ru/Card/Person/131201", "МДОУ № 37")</f>
        <v>МДОУ № 37</v>
      </c>
      <c r="B4568" s="24" t="s">
        <v>7406</v>
      </c>
      <c r="C4568" s="25">
        <v>14158836.359999999</v>
      </c>
      <c r="D4568" s="22" t="s">
        <v>7407</v>
      </c>
      <c r="E4568" s="22" t="s">
        <v>48</v>
      </c>
      <c r="F4568" s="23" t="str">
        <f>HYPERLINK("https://www.spark-marketing.ru/Card/Lot/73163675", "Оказание услуг по организации питания воспитанников муниципального дошкольного образовательного учреждения «Детский сад № 37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 37 общеразвивающего вида»</v>
      </c>
      <c r="G4568" s="22" t="s">
        <v>49</v>
      </c>
      <c r="H4568" s="22" t="s">
        <v>742</v>
      </c>
      <c r="I4568" s="26">
        <v>43707.593356481499</v>
      </c>
      <c r="J4568" s="23" t="str">
        <f>HYPERLINK("https://www.spark-marketing.ru/Card/Person/55369", "ООО ""КОМБИНАТ ОБЩЕСТВЕННОГО ПИТАНИЯ""")</f>
        <v>ООО "КОМБИНАТ ОБЩЕСТВЕННОГО ПИТАНИЯ"</v>
      </c>
      <c r="K4568" s="24" t="s">
        <v>1516</v>
      </c>
      <c r="L4568" s="28" t="s">
        <v>51</v>
      </c>
      <c r="M4568" s="28" t="s">
        <v>51</v>
      </c>
      <c r="N4568" s="28" t="s">
        <v>51</v>
      </c>
    </row>
    <row r="4569" spans="1:14" hidden="1" outlineLevel="1" x14ac:dyDescent="0.2">
      <c r="A4569" s="23" t="str">
        <f>HYPERLINK("https://www.spark-marketing.ru/Card/Person/131201", "МДОУ № 37")</f>
        <v>МДОУ № 37</v>
      </c>
      <c r="B4569" s="24" t="s">
        <v>7406</v>
      </c>
      <c r="C4569" s="25">
        <v>14158836.359999999</v>
      </c>
      <c r="D4569" s="22" t="s">
        <v>7407</v>
      </c>
      <c r="E4569" s="22" t="s">
        <v>48</v>
      </c>
      <c r="F4569" s="23" t="str">
        <f>HYPERLINK("https://www.spark-marketing.ru/Card/Lot/73163675", "Оказание услуг по организации питания воспитанников муниципального дошкольного образовательного учреждения «Детский сад № 37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 37 общеразвивающего вида»</v>
      </c>
      <c r="G4569" s="22" t="s">
        <v>49</v>
      </c>
      <c r="H4569" s="22" t="s">
        <v>742</v>
      </c>
      <c r="I4569" s="26">
        <v>43707.593356481499</v>
      </c>
      <c r="J4569" s="23" t="str">
        <f>HYPERLINK("https://www.spark-marketing.ru/Card/Person/57370", "ООО ""КП ""ЭКОПРОДУКТ""")</f>
        <v>ООО "КП "ЭКОПРОДУКТ"</v>
      </c>
      <c r="K4569" s="24" t="s">
        <v>6251</v>
      </c>
      <c r="L4569" s="28" t="s">
        <v>51</v>
      </c>
      <c r="M4569" s="25">
        <v>12743113.439999999</v>
      </c>
      <c r="N4569" s="27">
        <v>9.9988649067203436E-2</v>
      </c>
    </row>
    <row r="4570" spans="1:14" ht="12.75" hidden="1" outlineLevel="1" x14ac:dyDescent="0.2">
      <c r="A4570" s="23" t="str">
        <f>HYPERLINK("https://www.spark-marketing.ru/Card/Person/131201", "МДОУ № 37")</f>
        <v>МДОУ № 37</v>
      </c>
      <c r="B4570" s="24" t="s">
        <v>7406</v>
      </c>
      <c r="C4570" s="25">
        <v>14158836.359999999</v>
      </c>
      <c r="D4570" s="22" t="s">
        <v>7407</v>
      </c>
      <c r="E4570" s="22" t="s">
        <v>48</v>
      </c>
      <c r="F4570" s="23" t="str">
        <f>HYPERLINK("https://www.spark-marketing.ru/Card/Lot/73163675", "Оказание услуг по организации питания воспитанников муниципального дошкольного образовательного учреждения «Детский сад № 37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 37 общеразвивающего вида»</v>
      </c>
      <c r="G4570" s="22" t="s">
        <v>49</v>
      </c>
      <c r="H4570" s="22" t="s">
        <v>742</v>
      </c>
      <c r="I4570" s="26">
        <v>43707.593356481499</v>
      </c>
      <c r="J4570" s="23" t="str">
        <f>HYPERLINK("https://www.spark-marketing.ru/Card/Person/100937", "ООО ""ВЕРТИКАЛЬ""")</f>
        <v>ООО "ВЕРТИКАЛЬ"</v>
      </c>
      <c r="K4570" s="24" t="s">
        <v>4501</v>
      </c>
      <c r="L4570" s="22" t="s">
        <v>10</v>
      </c>
      <c r="M4570" s="25">
        <v>14156078.52</v>
      </c>
      <c r="N4570" s="27">
        <v>1.9477871838332342E-4</v>
      </c>
    </row>
    <row r="4571" spans="1:14" x14ac:dyDescent="0.15">
      <c r="A4571" s="23" t="str">
        <f>HYPERLINK("https://www.spark-marketing.ru/Card/Person/536388", "ОМВД РОССИИ ПО АРТИНСКОМУ РАЙОНУ")</f>
        <v>ОМВД РОССИИ ПО АРТИНСКОМУ РАЙОНУ</v>
      </c>
      <c r="B4571" s="24" t="s">
        <v>6007</v>
      </c>
      <c r="C4571" s="25">
        <v>600000</v>
      </c>
      <c r="D4571" s="22" t="s">
        <v>7408</v>
      </c>
      <c r="E4571" s="22" t="s">
        <v>48</v>
      </c>
      <c r="F4571" s="23" t="str">
        <f>HYPERLINK("https://www.spark-marketing.ru/Card/Lot/73153143", "Обеспечение горячим питанием лиц содержащихся в ИВС")</f>
        <v>Обеспечение горячим питанием лиц содержащихся в ИВС</v>
      </c>
      <c r="G4571" s="22" t="s">
        <v>174</v>
      </c>
      <c r="H4571" s="22" t="s">
        <v>6009</v>
      </c>
      <c r="I4571" s="26">
        <v>43707.4914699074</v>
      </c>
      <c r="J4571" s="23" t="str">
        <f>HYPERLINK("https://www.spark-marketing.ru/Card/Person/806740", "ООО ""АРТИНСКИЙ ОБЩЕПИТ""")</f>
        <v>ООО "АРТИНСКИЙ ОБЩЕПИТ"</v>
      </c>
      <c r="K4571" s="24" t="s">
        <v>7409</v>
      </c>
      <c r="L4571" s="22" t="s">
        <v>10</v>
      </c>
      <c r="M4571" s="28" t="s">
        <v>51</v>
      </c>
      <c r="N4571" s="28" t="s">
        <v>51</v>
      </c>
    </row>
    <row r="4572" spans="1:14" x14ac:dyDescent="0.15">
      <c r="A4572" s="23" t="str">
        <f>HYPERLINK("https://www.spark-marketing.ru/Card/Person/158376", "ОМВД РОССИИ ПО Г. НОВОЧЕБОКСАРСК")</f>
        <v>ОМВД РОССИИ ПО Г. НОВОЧЕБОКСАРСК</v>
      </c>
      <c r="B4572" s="24" t="s">
        <v>7410</v>
      </c>
      <c r="C4572" s="25">
        <v>800000</v>
      </c>
      <c r="D4572" s="22" t="s">
        <v>7411</v>
      </c>
      <c r="E4572" s="22" t="s">
        <v>48</v>
      </c>
      <c r="F4572" s="23" t="str">
        <f>HYPERLINK("https://www.spark-marketing.ru/Card/Lot/73151848", "Услуги по обеспечению горячим питанием лиц содержащихся в ИВС и КЗЛ")</f>
        <v>Услуги по обеспечению горячим питанием лиц содержащихся в ИВС и КЗЛ</v>
      </c>
      <c r="G4572" s="22" t="s">
        <v>618</v>
      </c>
      <c r="H4572" s="22" t="s">
        <v>7412</v>
      </c>
      <c r="I4572" s="26">
        <v>43707.464398148099</v>
      </c>
      <c r="J4572" s="28" t="s">
        <v>51</v>
      </c>
      <c r="K4572" s="28" t="s">
        <v>51</v>
      </c>
      <c r="L4572" s="28" t="s">
        <v>51</v>
      </c>
      <c r="M4572" s="28" t="s">
        <v>51</v>
      </c>
      <c r="N4572" s="28" t="s">
        <v>51</v>
      </c>
    </row>
    <row r="4573" spans="1:14" hidden="1" outlineLevel="1" x14ac:dyDescent="0.2">
      <c r="A4573" s="23" t="str">
        <f>HYPERLINK("https://www.spark-marketing.ru/Card/Person/158376", "ОМВД РОССИИ ПО Г. НОВОЧЕБОКСАРСК")</f>
        <v>ОМВД РОССИИ ПО Г. НОВОЧЕБОКСАРСК</v>
      </c>
      <c r="B4573" s="24" t="s">
        <v>7410</v>
      </c>
      <c r="C4573" s="25">
        <v>800000</v>
      </c>
      <c r="D4573" s="22" t="s">
        <v>7411</v>
      </c>
      <c r="E4573" s="22" t="s">
        <v>48</v>
      </c>
      <c r="F4573" s="23" t="str">
        <f>HYPERLINK("https://www.spark-marketing.ru/Card/Lot/73151848", "Услуги по обеспечению горячим питанием лиц содержащихся в ИВС и КЗЛ")</f>
        <v>Услуги по обеспечению горячим питанием лиц содержащихся в ИВС и КЗЛ</v>
      </c>
      <c r="G4573" s="22" t="s">
        <v>618</v>
      </c>
      <c r="H4573" s="22" t="s">
        <v>7412</v>
      </c>
      <c r="I4573" s="26">
        <v>43707.464398148099</v>
      </c>
      <c r="J4573" s="23" t="str">
        <f>HYPERLINK("https://www.spark-marketing.ru/Card/Person/449724", "ООО ""СТОЛОВАЯ № 2""")</f>
        <v>ООО "СТОЛОВАЯ № 2"</v>
      </c>
      <c r="K4573" s="24" t="s">
        <v>7413</v>
      </c>
      <c r="L4573" s="28" t="s">
        <v>51</v>
      </c>
      <c r="M4573" s="25">
        <v>1206.1300000000001</v>
      </c>
      <c r="N4573" s="27">
        <v>0.99849233749999999</v>
      </c>
    </row>
    <row r="4574" spans="1:14" ht="12.75" hidden="1" outlineLevel="1" x14ac:dyDescent="0.2">
      <c r="A4574" s="23" t="str">
        <f>HYPERLINK("https://www.spark-marketing.ru/Card/Person/158376", "ОМВД РОССИИ ПО Г. НОВОЧЕБОКСАРСК")</f>
        <v>ОМВД РОССИИ ПО Г. НОВОЧЕБОКСАРСК</v>
      </c>
      <c r="B4574" s="24" t="s">
        <v>7410</v>
      </c>
      <c r="C4574" s="25">
        <v>800000</v>
      </c>
      <c r="D4574" s="22" t="s">
        <v>7411</v>
      </c>
      <c r="E4574" s="22" t="s">
        <v>48</v>
      </c>
      <c r="F4574" s="23" t="str">
        <f>HYPERLINK("https://www.spark-marketing.ru/Card/Lot/73151848", "Услуги по обеспечению горячим питанием лиц содержащихся в ИВС и КЗЛ")</f>
        <v>Услуги по обеспечению горячим питанием лиц содержащихся в ИВС и КЗЛ</v>
      </c>
      <c r="G4574" s="22" t="s">
        <v>618</v>
      </c>
      <c r="H4574" s="22" t="s">
        <v>7412</v>
      </c>
      <c r="I4574" s="26">
        <v>43707.464398148099</v>
      </c>
      <c r="J4574" s="23" t="str">
        <f>HYPERLINK("https://www.spark-marketing.ru/Card/Person/365221", "ООО ""НОВОЕ""")</f>
        <v>ООО "НОВОЕ"</v>
      </c>
      <c r="K4574" s="24" t="s">
        <v>7414</v>
      </c>
      <c r="L4574" s="22" t="s">
        <v>10</v>
      </c>
      <c r="M4574" s="25">
        <v>1128.31</v>
      </c>
      <c r="N4574" s="27">
        <v>0.9985896125</v>
      </c>
    </row>
    <row r="4575" spans="1:14" hidden="1" outlineLevel="1" x14ac:dyDescent="0.2">
      <c r="A4575" s="23" t="str">
        <f>HYPERLINK("https://www.spark-marketing.ru/Card/Person/158376", "ОМВД РОССИИ ПО Г. НОВОЧЕБОКСАРСК")</f>
        <v>ОМВД РОССИИ ПО Г. НОВОЧЕБОКСАРСК</v>
      </c>
      <c r="B4575" s="24" t="s">
        <v>7410</v>
      </c>
      <c r="C4575" s="25">
        <v>800000</v>
      </c>
      <c r="D4575" s="22" t="s">
        <v>7411</v>
      </c>
      <c r="E4575" s="22" t="s">
        <v>48</v>
      </c>
      <c r="F4575" s="23" t="str">
        <f>HYPERLINK("https://www.spark-marketing.ru/Card/Lot/73151848", "Услуги по обеспечению горячим питанием лиц содержащихся в ИВС и КЗЛ")</f>
        <v>Услуги по обеспечению горячим питанием лиц содержащихся в ИВС и КЗЛ</v>
      </c>
      <c r="G4575" s="22" t="s">
        <v>618</v>
      </c>
      <c r="H4575" s="22" t="s">
        <v>7412</v>
      </c>
      <c r="I4575" s="26">
        <v>43707.464398148099</v>
      </c>
      <c r="J4575" s="23" t="str">
        <f>HYPERLINK("https://www.spark-marketing.ru/Card/Person/2046621", "Якимов Виктор Николаевич")</f>
        <v>Якимов Виктор Николаевич</v>
      </c>
      <c r="K4575" s="24" t="s">
        <v>7415</v>
      </c>
      <c r="L4575" s="28" t="s">
        <v>51</v>
      </c>
      <c r="M4575" s="25">
        <v>1470.71</v>
      </c>
      <c r="N4575" s="27">
        <v>0.99816161250000002</v>
      </c>
    </row>
    <row r="4576" spans="1:14" x14ac:dyDescent="0.15">
      <c r="A4576" s="23" t="str">
        <f>HYPERLINK("https://www.spark-marketing.ru/Card/Person/594", "ГБУЗ РБ ГКБ № 21 Г. УФА")</f>
        <v>ГБУЗ РБ ГКБ № 21 Г. УФА</v>
      </c>
      <c r="B4576" s="24" t="s">
        <v>7416</v>
      </c>
      <c r="C4576" s="25">
        <v>16120254.16</v>
      </c>
      <c r="D4576" s="22" t="s">
        <v>7417</v>
      </c>
      <c r="E4576" s="22" t="s">
        <v>48</v>
      </c>
      <c r="F4576" s="23" t="str">
        <f>HYPERLINK("https://www.spark-marketing.ru/Card/Lot/73163461", "Оказание услуг по организации лечебного питания стационарных больных ГБУЗ РБ ГКБ №21 г. Уфа")</f>
        <v>Оказание услуг по организации лечебного питания стационарных больных ГБУЗ РБ ГКБ №21 г. Уфа</v>
      </c>
      <c r="G4576" s="22" t="s">
        <v>145</v>
      </c>
      <c r="H4576" s="22" t="s">
        <v>145</v>
      </c>
      <c r="I4576" s="26">
        <v>43707.6926157407</v>
      </c>
      <c r="J4576" s="28" t="s">
        <v>51</v>
      </c>
      <c r="K4576" s="28" t="s">
        <v>51</v>
      </c>
      <c r="L4576" s="28" t="s">
        <v>51</v>
      </c>
      <c r="M4576" s="28" t="s">
        <v>51</v>
      </c>
      <c r="N4576" s="28" t="s">
        <v>51</v>
      </c>
    </row>
    <row r="4577" spans="1:14" ht="12.75" hidden="1" outlineLevel="1" x14ac:dyDescent="0.2">
      <c r="A4577" s="23" t="str">
        <f>HYPERLINK("https://www.spark-marketing.ru/Card/Person/594", "ГБУЗ РБ ГКБ № 21 Г. УФА")</f>
        <v>ГБУЗ РБ ГКБ № 21 Г. УФА</v>
      </c>
      <c r="B4577" s="24" t="s">
        <v>7416</v>
      </c>
      <c r="C4577" s="25">
        <v>16120254.16</v>
      </c>
      <c r="D4577" s="22" t="s">
        <v>7417</v>
      </c>
      <c r="E4577" s="22" t="s">
        <v>48</v>
      </c>
      <c r="F4577" s="23" t="str">
        <f>HYPERLINK("https://www.spark-marketing.ru/Card/Lot/73163461", "Оказание услуг по организации лечебного питания стационарных больных ГБУЗ РБ ГКБ №21 г. Уфа")</f>
        <v>Оказание услуг по организации лечебного питания стационарных больных ГБУЗ РБ ГКБ №21 г. Уфа</v>
      </c>
      <c r="G4577" s="22" t="s">
        <v>145</v>
      </c>
      <c r="H4577" s="22" t="s">
        <v>145</v>
      </c>
      <c r="I4577" s="26">
        <v>43707.6926157407</v>
      </c>
      <c r="J4577" s="23" t="str">
        <f>HYPERLINK("https://www.spark-marketing.ru/Card/Person/64420", "ООО ПЕРВАЯ АУТСОРСИНГОВАЯ КОМПАНИЯ ПО ОРГАНИЗАЦИИ ЛЕЧЕБНОГО ПИТАНИЯ ""ДИЕТ-ГРУПП 2009""")</f>
        <v>ООО ПЕРВАЯ АУТСОРСИНГОВАЯ КОМПАНИЯ ПО ОРГАНИЗАЦИИ ЛЕЧЕБНОГО ПИТАНИЯ "ДИЕТ-ГРУПП 2009"</v>
      </c>
      <c r="K4577" s="24" t="s">
        <v>7418</v>
      </c>
      <c r="L4577" s="22" t="s">
        <v>10</v>
      </c>
      <c r="M4577" s="25">
        <v>14998000</v>
      </c>
      <c r="N4577" s="27">
        <v>6.9617646772884387E-2</v>
      </c>
    </row>
    <row r="4578" spans="1:14" hidden="1" outlineLevel="1" x14ac:dyDescent="0.2">
      <c r="A4578" s="23" t="str">
        <f>HYPERLINK("https://www.spark-marketing.ru/Card/Person/594", "ГБУЗ РБ ГКБ № 21 Г. УФА")</f>
        <v>ГБУЗ РБ ГКБ № 21 Г. УФА</v>
      </c>
      <c r="B4578" s="24" t="s">
        <v>7416</v>
      </c>
      <c r="C4578" s="25">
        <v>16120254.16</v>
      </c>
      <c r="D4578" s="22" t="s">
        <v>7417</v>
      </c>
      <c r="E4578" s="22" t="s">
        <v>48</v>
      </c>
      <c r="F4578" s="23" t="str">
        <f>HYPERLINK("https://www.spark-marketing.ru/Card/Lot/73163461", "Оказание услуг по организации лечебного питания стационарных больных ГБУЗ РБ ГКБ №21 г. Уфа")</f>
        <v>Оказание услуг по организации лечебного питания стационарных больных ГБУЗ РБ ГКБ №21 г. Уфа</v>
      </c>
      <c r="G4578" s="22" t="s">
        <v>145</v>
      </c>
      <c r="H4578" s="22" t="s">
        <v>145</v>
      </c>
      <c r="I4578" s="26">
        <v>43707.6926157407</v>
      </c>
      <c r="J4578" s="23" t="str">
        <f>HYPERLINK("https://www.spark-marketing.ru/Card/Person/83887", "ООО ""ФАНОЛ""")</f>
        <v>ООО "ФАНОЛ"</v>
      </c>
      <c r="K4578" s="24" t="s">
        <v>7419</v>
      </c>
      <c r="L4578" s="28" t="s">
        <v>51</v>
      </c>
      <c r="M4578" s="25">
        <v>16120254.16</v>
      </c>
      <c r="N4578" s="27">
        <v>0</v>
      </c>
    </row>
    <row r="4579" spans="1:14" hidden="1" outlineLevel="1" x14ac:dyDescent="0.2">
      <c r="A4579" s="23" t="str">
        <f>HYPERLINK("https://www.spark-marketing.ru/Card/Person/594", "ГБУЗ РБ ГКБ № 21 Г. УФА")</f>
        <v>ГБУЗ РБ ГКБ № 21 Г. УФА</v>
      </c>
      <c r="B4579" s="24" t="s">
        <v>7416</v>
      </c>
      <c r="C4579" s="25">
        <v>16120254.16</v>
      </c>
      <c r="D4579" s="22" t="s">
        <v>7417</v>
      </c>
      <c r="E4579" s="22" t="s">
        <v>48</v>
      </c>
      <c r="F4579" s="23" t="str">
        <f>HYPERLINK("https://www.spark-marketing.ru/Card/Lot/73163461", "Оказание услуг по организации лечебного питания стационарных больных ГБУЗ РБ ГКБ №21 г. Уфа")</f>
        <v>Оказание услуг по организации лечебного питания стационарных больных ГБУЗ РБ ГКБ №21 г. Уфа</v>
      </c>
      <c r="G4579" s="22" t="s">
        <v>145</v>
      </c>
      <c r="H4579" s="22" t="s">
        <v>145</v>
      </c>
      <c r="I4579" s="26">
        <v>43707.6926157407</v>
      </c>
      <c r="J4579" s="23" t="str">
        <f>HYPERLINK("https://www.spark-marketing.ru/Card/Person/6620532", "ООО ""АГРОТРЕЙД""")</f>
        <v>ООО "АГРОТРЕЙД"</v>
      </c>
      <c r="K4579" s="24" t="s">
        <v>7420</v>
      </c>
      <c r="L4579" s="28" t="s">
        <v>51</v>
      </c>
      <c r="M4579" s="25">
        <v>15636646.529999999</v>
      </c>
      <c r="N4579" s="27">
        <v>3.0000000322575559E-2</v>
      </c>
    </row>
    <row r="4580" spans="1:14" ht="12.75" x14ac:dyDescent="0.2">
      <c r="A4580" s="23" t="str">
        <f>HYPERLINK("https://www.spark-marketing.ru/Card/Person/1004934", "ОМВД РОССИИ ПО ТАЛДОМСКОМУ РАЙОНУ")</f>
        <v>ОМВД РОССИИ ПО ТАЛДОМСКОМУ РАЙОНУ</v>
      </c>
      <c r="B4580" s="24" t="s">
        <v>7335</v>
      </c>
      <c r="C4580" s="25">
        <v>222250</v>
      </c>
      <c r="D4580" s="22" t="s">
        <v>7421</v>
      </c>
      <c r="E4580" s="22" t="s">
        <v>48</v>
      </c>
      <c r="F4580" s="23" t="str">
        <f>HYPERLINK("https://www.spark-marketing.ru/Card/Lot/73163705", "Оказание услуг по питанию граждан содержащихся в ИВС,  а также граждан содержащихся в специальном помещении содержания задержанных лиц за административные правонарушения")</f>
        <v>Оказание услуг по питанию граждан содержащихся в ИВС,  а также граждан содержащихся в специальном помещении содержания задержанных лиц за административные правонарушения</v>
      </c>
      <c r="G4580" s="22" t="s">
        <v>49</v>
      </c>
      <c r="H4580" s="22" t="s">
        <v>49</v>
      </c>
      <c r="I4580" s="26">
        <v>43707.574351851901</v>
      </c>
      <c r="J4580" s="23" t="str">
        <f>HYPERLINK("https://www.spark-marketing.ru/Card/Person/6698819", "Шабанова Юлия Игоревна")</f>
        <v>Шабанова Юлия Игоревна</v>
      </c>
      <c r="K4580" s="24" t="s">
        <v>7337</v>
      </c>
      <c r="L4580" s="22" t="s">
        <v>10</v>
      </c>
      <c r="M4580" s="25">
        <v>222250</v>
      </c>
      <c r="N4580" s="27">
        <v>0</v>
      </c>
    </row>
    <row r="4581" spans="1:14" ht="12.75" x14ac:dyDescent="0.2">
      <c r="A4581" s="23" t="str">
        <f>HYPERLINK("https://www.spark-marketing.ru/Card/Person/1004934", "ОМВД РОССИИ ПО ТАЛДОМСКОМУ РАЙОНУ")</f>
        <v>ОМВД РОССИИ ПО ТАЛДОМСКОМУ РАЙОНУ</v>
      </c>
      <c r="B4581" s="24" t="s">
        <v>7335</v>
      </c>
      <c r="C4581" s="25">
        <v>499800</v>
      </c>
      <c r="D4581" s="22" t="s">
        <v>7422</v>
      </c>
      <c r="E4581" s="22" t="s">
        <v>48</v>
      </c>
      <c r="F4581" s="23" t="str">
        <f>HYPERLINK("https://www.spark-marketing.ru/Card/Lot/73149913", "Оказание услуг по питанию граждан содержащихся в ИВС,  а также граждан содержащихся в специальном помещении содержания задержанных лиц за административные правонарушения")</f>
        <v>Оказание услуг по питанию граждан содержащихся в ИВС,  а также граждан содержащихся в специальном помещении содержания задержанных лиц за административные правонарушения</v>
      </c>
      <c r="G4581" s="22" t="s">
        <v>49</v>
      </c>
      <c r="H4581" s="22" t="s">
        <v>49</v>
      </c>
      <c r="I4581" s="26">
        <v>43707.499432870398</v>
      </c>
      <c r="J4581" s="23" t="str">
        <f>HYPERLINK("https://www.spark-marketing.ru/Card/Person/6698819", "Шабанова Юлия Игоревна")</f>
        <v>Шабанова Юлия Игоревна</v>
      </c>
      <c r="K4581" s="24" t="s">
        <v>7337</v>
      </c>
      <c r="L4581" s="22" t="s">
        <v>10</v>
      </c>
      <c r="M4581" s="25">
        <v>499800</v>
      </c>
      <c r="N4581" s="27">
        <v>0</v>
      </c>
    </row>
    <row r="4582" spans="1:14" x14ac:dyDescent="0.15">
      <c r="A4582" s="23" t="str">
        <f>HYPERLINK("https://www.spark-marketing.ru/Card/Person/21039", "ФКУ ""ЦХИСО ГУ МВД РОССИИ ПО САРАТОВСКОЙ ОБЛАСТИ""")</f>
        <v>ФКУ "ЦХИСО ГУ МВД РОССИИ ПО САРАТОВСКОЙ ОБЛАСТИ"</v>
      </c>
      <c r="B4582" s="24" t="s">
        <v>1991</v>
      </c>
      <c r="C4582" s="25">
        <v>219120</v>
      </c>
      <c r="D4582" s="22" t="s">
        <v>7423</v>
      </c>
      <c r="E4582" s="22" t="s">
        <v>48</v>
      </c>
      <c r="F4582" s="23" t="str">
        <f>HYPERLINK("https://www.spark-marketing.ru/Card/Lot/73145258", "Услуги общественного питания, 1 усл. ед")</f>
        <v>Услуги общественного питания, 1 усл. ед</v>
      </c>
      <c r="G4582" s="22" t="s">
        <v>351</v>
      </c>
      <c r="H4582" s="22" t="s">
        <v>2983</v>
      </c>
      <c r="I4582" s="26">
        <v>43707.572465277801</v>
      </c>
      <c r="J4582" s="28" t="s">
        <v>51</v>
      </c>
      <c r="K4582" s="28" t="s">
        <v>51</v>
      </c>
      <c r="L4582" s="28" t="s">
        <v>51</v>
      </c>
      <c r="M4582" s="28" t="s">
        <v>51</v>
      </c>
      <c r="N4582" s="28" t="s">
        <v>51</v>
      </c>
    </row>
    <row r="4583" spans="1:14" x14ac:dyDescent="0.15">
      <c r="A4583" s="23" t="str">
        <f>HYPERLINK("https://www.spark-marketing.ru/Card/Person/112485", "МБОУ ""СРЕДНЯЯ ОБЩЕОБРАЗОВАТЕЛЬНАЯ ШКОЛА №4""")</f>
        <v>МБОУ "СРЕДНЯЯ ОБЩЕОБРАЗОВАТЕЛЬНАЯ ШКОЛА №4"</v>
      </c>
      <c r="B4583" s="24" t="s">
        <v>1193</v>
      </c>
      <c r="C4583" s="25">
        <v>566784</v>
      </c>
      <c r="D4583" s="22" t="s">
        <v>7424</v>
      </c>
      <c r="E4583" s="22" t="s">
        <v>48</v>
      </c>
      <c r="F4583" s="23" t="str">
        <f>HYPERLINK("https://www.spark-marketing.ru/Card/Lot/73146675", "Услуги по организации питания для учащихся Муниципального бюджетного общеобразовательного учреждения «Средняя общеобразовательная школа №4»")</f>
        <v>Услуги по организации питания для учащихся Муниципального бюджетного общеобразовательного учреждения «Средняя общеобразовательная школа №4»</v>
      </c>
      <c r="G4583" s="22" t="s">
        <v>49</v>
      </c>
      <c r="H4583" s="22" t="s">
        <v>1185</v>
      </c>
      <c r="I4583" s="26">
        <v>43707.565949074102</v>
      </c>
      <c r="J4583" s="28" t="s">
        <v>51</v>
      </c>
      <c r="K4583" s="28" t="s">
        <v>51</v>
      </c>
      <c r="L4583" s="28" t="s">
        <v>51</v>
      </c>
      <c r="M4583" s="28" t="s">
        <v>51</v>
      </c>
      <c r="N4583" s="28" t="s">
        <v>51</v>
      </c>
    </row>
    <row r="4584" spans="1:14" x14ac:dyDescent="0.15">
      <c r="A4584" s="23" t="str">
        <f>HYPERLINK("https://www.spark-marketing.ru/Card/Person/80341", "МУ МВД РОССИИ ""СЫЗРАНСКОЕ""")</f>
        <v>МУ МВД РОССИИ "СЫЗРАНСКОЕ"</v>
      </c>
      <c r="B4584" s="24" t="s">
        <v>306</v>
      </c>
      <c r="C4584" s="25">
        <v>148800.37</v>
      </c>
      <c r="D4584" s="22" t="s">
        <v>7425</v>
      </c>
      <c r="E4584" s="22" t="s">
        <v>48</v>
      </c>
      <c r="F4584" s="23" t="str">
        <f>HYPERLINK("https://www.spark-marketing.ru/Card/Lot/73148409", "Оказание услуг по изготовлению и поставке горячего питания для лиц, содержащихся в  СП МУ МВД России ""Сызранское""")</f>
        <v>Оказание услуг по изготовлению и поставке горячего питания для лиц, содержащихся в  СП МУ МВД России "Сызранское"</v>
      </c>
      <c r="G4584" s="22" t="s">
        <v>128</v>
      </c>
      <c r="H4584" s="22" t="s">
        <v>308</v>
      </c>
      <c r="I4584" s="26">
        <v>43707.514560185198</v>
      </c>
      <c r="J4584" s="23" t="str">
        <f>HYPERLINK("https://www.spark-marketing.ru/Card/Person/2044050", "ООО ""22 АМБАР""")</f>
        <v>ООО "22 АМБАР"</v>
      </c>
      <c r="K4584" s="24" t="s">
        <v>6702</v>
      </c>
      <c r="L4584" s="22" t="s">
        <v>10</v>
      </c>
      <c r="M4584" s="28" t="s">
        <v>51</v>
      </c>
      <c r="N4584" s="28" t="s">
        <v>51</v>
      </c>
    </row>
    <row r="4585" spans="1:14" x14ac:dyDescent="0.15">
      <c r="A4585" s="23" t="str">
        <f>HYPERLINK("https://www.spark-marketing.ru/Card/Person/62346", "ГБОУ ""АДЫГЕЙСКАЯ РЕСПУБЛИКАНСКАЯ ГИМНАЗИЯ""")</f>
        <v>ГБОУ "АДЫГЕЙСКАЯ РЕСПУБЛИКАНСКАЯ ГИМНАЗИЯ"</v>
      </c>
      <c r="B4585" s="24" t="s">
        <v>7426</v>
      </c>
      <c r="C4585" s="25">
        <v>1819600</v>
      </c>
      <c r="D4585" s="22" t="s">
        <v>7427</v>
      </c>
      <c r="E4585" s="22" t="s">
        <v>51</v>
      </c>
      <c r="F4585" s="23" t="str">
        <f>HYPERLINK("https://www.spark-marketing.ru/Card/Lot/73161213", "Организация питания")</f>
        <v>Организация питания</v>
      </c>
      <c r="G4585" s="22" t="s">
        <v>925</v>
      </c>
      <c r="H4585" s="22" t="s">
        <v>926</v>
      </c>
      <c r="I4585" s="26">
        <v>43707.490474537</v>
      </c>
      <c r="J4585" s="28" t="s">
        <v>51</v>
      </c>
      <c r="K4585" s="28" t="s">
        <v>51</v>
      </c>
      <c r="L4585" s="28" t="s">
        <v>51</v>
      </c>
      <c r="M4585" s="28" t="s">
        <v>51</v>
      </c>
      <c r="N4585" s="28" t="s">
        <v>51</v>
      </c>
    </row>
    <row r="4586" spans="1:14" ht="12.75" hidden="1" outlineLevel="1" x14ac:dyDescent="0.2">
      <c r="A4586" s="23" t="str">
        <f>HYPERLINK("https://www.spark-marketing.ru/Card/Person/62346", "ГБОУ ""АДЫГЕЙСКАЯ РЕСПУБЛИКАНСКАЯ ГИМНАЗИЯ""")</f>
        <v>ГБОУ "АДЫГЕЙСКАЯ РЕСПУБЛИКАНСКАЯ ГИМНАЗИЯ"</v>
      </c>
      <c r="B4586" s="24" t="s">
        <v>7426</v>
      </c>
      <c r="C4586" s="25">
        <v>1819600</v>
      </c>
      <c r="D4586" s="22" t="s">
        <v>7427</v>
      </c>
      <c r="E4586" s="22" t="s">
        <v>51</v>
      </c>
      <c r="F4586" s="23" t="str">
        <f>HYPERLINK("https://www.spark-marketing.ru/Card/Lot/73161213", "Организация питания")</f>
        <v>Организация питания</v>
      </c>
      <c r="G4586" s="22" t="s">
        <v>925</v>
      </c>
      <c r="H4586" s="22" t="s">
        <v>926</v>
      </c>
      <c r="I4586" s="26">
        <v>43707.490474537</v>
      </c>
      <c r="J4586" s="23" t="str">
        <f>HYPERLINK("https://www.spark-marketing.ru/Card/Person/287556", "ООО ""ХОДЗЬ""")</f>
        <v>ООО "ХОДЗЬ"</v>
      </c>
      <c r="K4586" s="24" t="s">
        <v>7428</v>
      </c>
      <c r="L4586" s="22" t="s">
        <v>10</v>
      </c>
      <c r="M4586" s="25">
        <v>1801404</v>
      </c>
      <c r="N4586" s="27">
        <v>0.01</v>
      </c>
    </row>
    <row r="4587" spans="1:14" hidden="1" outlineLevel="1" x14ac:dyDescent="0.2">
      <c r="A4587" s="23" t="str">
        <f>HYPERLINK("https://www.spark-marketing.ru/Card/Person/62346", "ГБОУ ""АДЫГЕЙСКАЯ РЕСПУБЛИКАНСКАЯ ГИМНАЗИЯ""")</f>
        <v>ГБОУ "АДЫГЕЙСКАЯ РЕСПУБЛИКАНСКАЯ ГИМНАЗИЯ"</v>
      </c>
      <c r="B4587" s="24" t="s">
        <v>7426</v>
      </c>
      <c r="C4587" s="25">
        <v>1819600</v>
      </c>
      <c r="D4587" s="22" t="s">
        <v>7427</v>
      </c>
      <c r="E4587" s="22" t="s">
        <v>51</v>
      </c>
      <c r="F4587" s="23" t="str">
        <f>HYPERLINK("https://www.spark-marketing.ru/Card/Lot/73161213", "Организация питания")</f>
        <v>Организация питания</v>
      </c>
      <c r="G4587" s="22" t="s">
        <v>925</v>
      </c>
      <c r="H4587" s="22" t="s">
        <v>926</v>
      </c>
      <c r="I4587" s="26">
        <v>43707.490474537</v>
      </c>
      <c r="J4587" s="23" t="str">
        <f>HYPERLINK("https://www.spark-marketing.ru/Card/Person/4710936", "Терчуков Магамед Нурбиевич")</f>
        <v>Терчуков Магамед Нурбиевич</v>
      </c>
      <c r="K4587" s="24" t="s">
        <v>7429</v>
      </c>
      <c r="L4587" s="28" t="s">
        <v>51</v>
      </c>
      <c r="M4587" s="25">
        <v>1810502</v>
      </c>
      <c r="N4587" s="27">
        <v>5.0000000000000001E-3</v>
      </c>
    </row>
    <row r="4588" spans="1:14" x14ac:dyDescent="0.15">
      <c r="A4588" s="23" t="str">
        <f>HYPERLINK("https://www.spark-marketing.ru/Card/Person/843", "ФКУ ""ГЦХТИСО ГУ МВД РОССИИ ПО Г. МОСКВЕ""")</f>
        <v>ФКУ "ГЦХТИСО ГУ МВД РОССИИ ПО Г. МОСКВЕ"</v>
      </c>
      <c r="B4588" s="24" t="s">
        <v>7430</v>
      </c>
      <c r="C4588" s="25">
        <v>1800000</v>
      </c>
      <c r="D4588" s="22" t="s">
        <v>7431</v>
      </c>
      <c r="E4588" s="22" t="s">
        <v>7432</v>
      </c>
      <c r="F4588" s="23" t="str">
        <f>HYPERLINK("https://www.spark-marketing.ru/Card/Lot/73161086", "Оказание услуг по ремонту источников бесперебойного питания на объектах ГУ МВД России по г. Москве в 2020-2021 г. г.")</f>
        <v>Оказание услуг по ремонту источников бесперебойного питания на объектах ГУ МВД России по г. Москве в 2020-2021 г. г.</v>
      </c>
      <c r="G4588" s="22" t="s">
        <v>56</v>
      </c>
      <c r="H4588" s="22" t="s">
        <v>56</v>
      </c>
      <c r="I4588" s="26">
        <v>43706.846053240697</v>
      </c>
      <c r="J4588" s="28" t="s">
        <v>51</v>
      </c>
      <c r="K4588" s="28" t="s">
        <v>51</v>
      </c>
      <c r="L4588" s="28" t="s">
        <v>51</v>
      </c>
      <c r="M4588" s="28" t="s">
        <v>51</v>
      </c>
      <c r="N4588" s="28" t="s">
        <v>51</v>
      </c>
    </row>
    <row r="4589" spans="1:14" hidden="1" outlineLevel="1" x14ac:dyDescent="0.2">
      <c r="A4589" s="23" t="str">
        <f>HYPERLINK("https://www.spark-marketing.ru/Card/Person/843", "ФКУ ""ГЦХТИСО ГУ МВД РОССИИ ПО Г. МОСКВЕ""")</f>
        <v>ФКУ "ГЦХТИСО ГУ МВД РОССИИ ПО Г. МОСКВЕ"</v>
      </c>
      <c r="B4589" s="24" t="s">
        <v>7430</v>
      </c>
      <c r="C4589" s="25">
        <v>1800000</v>
      </c>
      <c r="D4589" s="22" t="s">
        <v>7431</v>
      </c>
      <c r="E4589" s="22" t="s">
        <v>7432</v>
      </c>
      <c r="F4589" s="23" t="str">
        <f>HYPERLINK("https://www.spark-marketing.ru/Card/Lot/73161086", "Оказание услуг по ремонту источников бесперебойного питания на объектах ГУ МВД России по г. Москве в 2020-2021 г. г.")</f>
        <v>Оказание услуг по ремонту источников бесперебойного питания на объектах ГУ МВД России по г. Москве в 2020-2021 г. г.</v>
      </c>
      <c r="G4589" s="22" t="s">
        <v>56</v>
      </c>
      <c r="H4589" s="22" t="s">
        <v>56</v>
      </c>
      <c r="I4589" s="26">
        <v>43706.846053240697</v>
      </c>
      <c r="J4589" s="23" t="str">
        <f>HYPERLINK("https://www.spark-marketing.ru/Card/Person/496362", "ООО ""ЭНЕРГОДИАГНОСТИКА""")</f>
        <v>ООО "ЭНЕРГОДИАГНОСТИКА"</v>
      </c>
      <c r="K4589" s="24" t="s">
        <v>7433</v>
      </c>
      <c r="L4589" s="28" t="s">
        <v>51</v>
      </c>
      <c r="M4589" s="25">
        <v>11845.23</v>
      </c>
      <c r="N4589" s="27">
        <v>0.99341931666666672</v>
      </c>
    </row>
    <row r="4590" spans="1:14" ht="12.75" hidden="1" outlineLevel="1" x14ac:dyDescent="0.2">
      <c r="A4590" s="23" t="str">
        <f>HYPERLINK("https://www.spark-marketing.ru/Card/Person/843", "ФКУ ""ГЦХТИСО ГУ МВД РОССИИ ПО Г. МОСКВЕ""")</f>
        <v>ФКУ "ГЦХТИСО ГУ МВД РОССИИ ПО Г. МОСКВЕ"</v>
      </c>
      <c r="B4590" s="24" t="s">
        <v>7430</v>
      </c>
      <c r="C4590" s="25">
        <v>1800000</v>
      </c>
      <c r="D4590" s="22" t="s">
        <v>7431</v>
      </c>
      <c r="E4590" s="22" t="s">
        <v>7432</v>
      </c>
      <c r="F4590" s="23" t="str">
        <f>HYPERLINK("https://www.spark-marketing.ru/Card/Lot/73161086", "Оказание услуг по ремонту источников бесперебойного питания на объектах ГУ МВД России по г. Москве в 2020-2021 г. г.")</f>
        <v>Оказание услуг по ремонту источников бесперебойного питания на объектах ГУ МВД России по г. Москве в 2020-2021 г. г.</v>
      </c>
      <c r="G4590" s="22" t="s">
        <v>56</v>
      </c>
      <c r="H4590" s="22" t="s">
        <v>56</v>
      </c>
      <c r="I4590" s="26">
        <v>43706.846053240697</v>
      </c>
      <c r="J4590" s="23" t="str">
        <f>HYPERLINK("https://www.spark-marketing.ru/Card/Person/83641", "ООО ""Е+Е СЕРВИС""")</f>
        <v>ООО "Е+Е СЕРВИС"</v>
      </c>
      <c r="K4590" s="24" t="s">
        <v>7434</v>
      </c>
      <c r="L4590" s="22" t="s">
        <v>10</v>
      </c>
      <c r="M4590" s="25">
        <v>11782.22</v>
      </c>
      <c r="N4590" s="27">
        <v>0.99345432222222219</v>
      </c>
    </row>
    <row r="4591" spans="1:14" x14ac:dyDescent="0.15">
      <c r="A4591" s="23" t="str">
        <f>HYPERLINK("https://www.spark-marketing.ru/Card/Person/1692792", "УМВД РОССИИ ПО ХАБАРОВСКОМУ КРАЮ")</f>
        <v>УМВД РОССИИ ПО ХАБАРОВСКОМУ КРАЮ</v>
      </c>
      <c r="B4591" s="24" t="s">
        <v>7435</v>
      </c>
      <c r="C4591" s="25">
        <v>225000</v>
      </c>
      <c r="D4591" s="22" t="s">
        <v>7436</v>
      </c>
      <c r="E4591" s="22" t="s">
        <v>152</v>
      </c>
      <c r="F4591" s="23" t="str">
        <f>HYPERLINK("https://www.spark-marketing.ru/Card/Lot/73133120", "Оказание услуг по ремонту источников бесперебойного питания.")</f>
        <v>Оказание услуг по ремонту источников бесперебойного питания.</v>
      </c>
      <c r="G4591" s="22" t="s">
        <v>1096</v>
      </c>
      <c r="H4591" s="22" t="s">
        <v>1097</v>
      </c>
      <c r="I4591" s="26">
        <v>43706.807233796302</v>
      </c>
      <c r="J4591" s="28" t="s">
        <v>51</v>
      </c>
      <c r="K4591" s="28" t="s">
        <v>51</v>
      </c>
      <c r="L4591" s="28" t="s">
        <v>51</v>
      </c>
      <c r="M4591" s="28" t="s">
        <v>51</v>
      </c>
      <c r="N4591" s="28" t="s">
        <v>51</v>
      </c>
    </row>
    <row r="4592" spans="1:14" x14ac:dyDescent="0.15">
      <c r="A4592" s="23" t="str">
        <f>HYPERLINK("https://www.spark-marketing.ru/Card/Person/1000297", "МОУ СОШ № 20 ИМ. Н.З. БИРЮКОВА")</f>
        <v>МОУ СОШ № 20 ИМ. Н.З. БИРЮКОВА</v>
      </c>
      <c r="B4592" s="24" t="s">
        <v>7437</v>
      </c>
      <c r="C4592" s="25">
        <v>7340646.3200000003</v>
      </c>
      <c r="D4592" s="22" t="s">
        <v>7438</v>
      </c>
      <c r="E4592" s="22" t="s">
        <v>48</v>
      </c>
      <c r="F4592" s="23" t="str">
        <f>HYPERLINK("https://www.spark-marketing.ru/Card/Lot/73162762", "Оказание услуг по организации питания учащихся")</f>
        <v>Оказание услуг по организации питания учащихся</v>
      </c>
      <c r="G4592" s="22" t="s">
        <v>49</v>
      </c>
      <c r="H4592" s="22" t="s">
        <v>1867</v>
      </c>
      <c r="I4592" s="26">
        <v>43707.453067129602</v>
      </c>
      <c r="J4592" s="28" t="s">
        <v>51</v>
      </c>
      <c r="K4592" s="28" t="s">
        <v>51</v>
      </c>
      <c r="L4592" s="28" t="s">
        <v>51</v>
      </c>
      <c r="M4592" s="28" t="s">
        <v>51</v>
      </c>
      <c r="N4592" s="28" t="s">
        <v>51</v>
      </c>
    </row>
    <row r="4593" spans="1:14" hidden="1" outlineLevel="1" x14ac:dyDescent="0.2">
      <c r="A4593" s="23" t="str">
        <f>HYPERLINK("https://www.spark-marketing.ru/Card/Person/1000297", "МОУ СОШ № 20 ИМ. Н.З. БИРЮКОВА")</f>
        <v>МОУ СОШ № 20 ИМ. Н.З. БИРЮКОВА</v>
      </c>
      <c r="B4593" s="24" t="s">
        <v>7437</v>
      </c>
      <c r="C4593" s="25">
        <v>7340646.3200000003</v>
      </c>
      <c r="D4593" s="22" t="s">
        <v>7438</v>
      </c>
      <c r="E4593" s="22" t="s">
        <v>48</v>
      </c>
      <c r="F4593" s="23" t="str">
        <f>HYPERLINK("https://www.spark-marketing.ru/Card/Lot/73162762", "Оказание услуг по организации питания учащихся")</f>
        <v>Оказание услуг по организации питания учащихся</v>
      </c>
      <c r="G4593" s="22" t="s">
        <v>49</v>
      </c>
      <c r="H4593" s="22" t="s">
        <v>1867</v>
      </c>
      <c r="I4593" s="26">
        <v>43707.453067129602</v>
      </c>
      <c r="J4593" s="23" t="str">
        <f>HYPERLINK("https://www.spark-marketing.ru/Card/Person/1335068", "Кулешова Светлана Владимировна")</f>
        <v>Кулешова Светлана Владимировна</v>
      </c>
      <c r="K4593" s="24" t="s">
        <v>1702</v>
      </c>
      <c r="L4593" s="28" t="s">
        <v>51</v>
      </c>
      <c r="M4593" s="25">
        <v>7267239.8399999999</v>
      </c>
      <c r="N4593" s="27">
        <v>1.0000002288626814E-2</v>
      </c>
    </row>
    <row r="4594" spans="1:14" hidden="1" outlineLevel="1" x14ac:dyDescent="0.2">
      <c r="A4594" s="23" t="str">
        <f>HYPERLINK("https://www.spark-marketing.ru/Card/Person/1000297", "МОУ СОШ № 20 ИМ. Н.З. БИРЮКОВА")</f>
        <v>МОУ СОШ № 20 ИМ. Н.З. БИРЮКОВА</v>
      </c>
      <c r="B4594" s="24" t="s">
        <v>7437</v>
      </c>
      <c r="C4594" s="25">
        <v>7340646.3200000003</v>
      </c>
      <c r="D4594" s="22" t="s">
        <v>7438</v>
      </c>
      <c r="E4594" s="22" t="s">
        <v>48</v>
      </c>
      <c r="F4594" s="23" t="str">
        <f>HYPERLINK("https://www.spark-marketing.ru/Card/Lot/73162762", "Оказание услуг по организации питания учащихся")</f>
        <v>Оказание услуг по организации питания учащихся</v>
      </c>
      <c r="G4594" s="22" t="s">
        <v>49</v>
      </c>
      <c r="H4594" s="22" t="s">
        <v>1867</v>
      </c>
      <c r="I4594" s="26">
        <v>43707.453067129602</v>
      </c>
      <c r="J4594" s="23" t="str">
        <f>HYPERLINK("https://www.spark-marketing.ru/Card/Person/6458516", "Хахалина Ирина Юрьевна")</f>
        <v>Хахалина Ирина Юрьевна</v>
      </c>
      <c r="K4594" s="24" t="s">
        <v>1701</v>
      </c>
      <c r="L4594" s="28" t="s">
        <v>51</v>
      </c>
      <c r="M4594" s="25">
        <v>7083723.6399999997</v>
      </c>
      <c r="N4594" s="27">
        <v>3.5000008010193852E-2</v>
      </c>
    </row>
    <row r="4595" spans="1:14" ht="12.75" hidden="1" outlineLevel="1" x14ac:dyDescent="0.2">
      <c r="A4595" s="23" t="str">
        <f>HYPERLINK("https://www.spark-marketing.ru/Card/Person/1000297", "МОУ СОШ № 20 ИМ. Н.З. БИРЮКОВА")</f>
        <v>МОУ СОШ № 20 ИМ. Н.З. БИРЮКОВА</v>
      </c>
      <c r="B4595" s="24" t="s">
        <v>7437</v>
      </c>
      <c r="C4595" s="25">
        <v>7340646.3200000003</v>
      </c>
      <c r="D4595" s="22" t="s">
        <v>7438</v>
      </c>
      <c r="E4595" s="22" t="s">
        <v>48</v>
      </c>
      <c r="F4595" s="23" t="str">
        <f>HYPERLINK("https://www.spark-marketing.ru/Card/Lot/73162762", "Оказание услуг по организации питания учащихся")</f>
        <v>Оказание услуг по организации питания учащихся</v>
      </c>
      <c r="G4595" s="22" t="s">
        <v>49</v>
      </c>
      <c r="H4595" s="22" t="s">
        <v>1867</v>
      </c>
      <c r="I4595" s="26">
        <v>43707.453067129602</v>
      </c>
      <c r="J4595" s="23" t="str">
        <f>HYPERLINK("https://www.spark-marketing.ru/Card/Person/4351169", "Русаков Анатолий Сидорович")</f>
        <v>Русаков Анатолий Сидорович</v>
      </c>
      <c r="K4595" s="24" t="s">
        <v>1700</v>
      </c>
      <c r="L4595" s="22" t="s">
        <v>10</v>
      </c>
      <c r="M4595" s="25">
        <v>6973613.9199999999</v>
      </c>
      <c r="N4595" s="27">
        <v>5.0000011443134068E-2</v>
      </c>
    </row>
    <row r="4596" spans="1:14" x14ac:dyDescent="0.15">
      <c r="A4596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4596" s="24" t="s">
        <v>5832</v>
      </c>
      <c r="C4596" s="25">
        <v>64800</v>
      </c>
      <c r="D4596" s="22" t="s">
        <v>7439</v>
      </c>
      <c r="E4596" s="22" t="s">
        <v>48</v>
      </c>
      <c r="F4596" s="23" t="str">
        <f>HYPERLINK("https://www.spark-marketing.ru/Card/Lot/73141470", "Услуги по обеспечению питанием, осуществляемые по договору, 648 усл. ед")</f>
        <v>Услуги по обеспечению питанием, осуществляемые по договору, 648 усл. ед</v>
      </c>
      <c r="G4596" s="22" t="s">
        <v>153</v>
      </c>
      <c r="H4596" s="22" t="s">
        <v>5834</v>
      </c>
      <c r="I4596" s="26">
        <v>43707.502500000002</v>
      </c>
      <c r="J4596" s="28" t="s">
        <v>51</v>
      </c>
      <c r="K4596" s="28" t="s">
        <v>51</v>
      </c>
      <c r="L4596" s="28" t="s">
        <v>51</v>
      </c>
      <c r="M4596" s="28" t="s">
        <v>51</v>
      </c>
      <c r="N4596" s="28" t="s">
        <v>51</v>
      </c>
    </row>
    <row r="4597" spans="1:14" x14ac:dyDescent="0.15">
      <c r="A4597" s="23" t="str">
        <f>HYPERLINK("https://www.spark-marketing.ru/Card/Person/14605", "МУ МВД РОССИИ ""БАЛАШИХИНСКОЕ""")</f>
        <v>МУ МВД РОССИИ "БАЛАШИХИНСКОЕ"</v>
      </c>
      <c r="B4597" s="24" t="s">
        <v>7440</v>
      </c>
      <c r="C4597" s="25">
        <v>3000000</v>
      </c>
      <c r="D4597" s="22" t="s">
        <v>7441</v>
      </c>
      <c r="E4597" s="22" t="s">
        <v>48</v>
      </c>
      <c r="F4597" s="23" t="str">
        <f>HYPERLINK("https://www.spark-marketing.ru/Card/Lot/73162100", "Оказание услуг по организации комплексного горячего питания осужденных, подозреваемых и обвиняемых в совершении преступлений, содержащихся в ИВС и административно-задержанных, содержащихся в КАЗ более трех часов согласно предусмотренного объема бюдже...")</f>
        <v>Оказание услуг по организации комплексного горячего питания осужденных, подозреваемых и обвиняемых в совершении преступлений, содержащихся в ИВС и административно-задержанных, содержащихся в КАЗ более трех часов согласно предусмотренного объема бюдже...</v>
      </c>
      <c r="G4597" s="22" t="s">
        <v>49</v>
      </c>
      <c r="H4597" s="22" t="s">
        <v>7442</v>
      </c>
      <c r="I4597" s="26">
        <v>43707.494131944397</v>
      </c>
      <c r="J4597" s="23" t="str">
        <f>HYPERLINK("https://www.spark-marketing.ru/Card/Person/1389811", "Величкина Елена Ивановна")</f>
        <v>Величкина Елена Ивановна</v>
      </c>
      <c r="K4597" s="24" t="s">
        <v>7443</v>
      </c>
      <c r="L4597" s="22" t="s">
        <v>10</v>
      </c>
      <c r="M4597" s="28" t="s">
        <v>51</v>
      </c>
      <c r="N4597" s="28" t="s">
        <v>51</v>
      </c>
    </row>
    <row r="4598" spans="1:14" x14ac:dyDescent="0.15">
      <c r="A4598" s="23" t="str">
        <f>HYPERLINK("https://www.spark-marketing.ru/Card/Person/88926", "УМВД РОССИИ ПО Г. ХАБАРОВСКУ")</f>
        <v>УМВД РОССИИ ПО Г. ХАБАРОВСКУ</v>
      </c>
      <c r="B4598" s="24" t="s">
        <v>4099</v>
      </c>
      <c r="C4598" s="25">
        <v>5386296.96</v>
      </c>
      <c r="D4598" s="22" t="s">
        <v>7444</v>
      </c>
      <c r="E4598" s="22" t="s">
        <v>96</v>
      </c>
      <c r="F4598" s="23" t="str">
        <f>HYPERLINK("https://www.spark-marketing.ru/Card/Lot/73133502", "Оказание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г.Хабаровску")</f>
        <v>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</v>
      </c>
      <c r="G4598" s="22" t="s">
        <v>1096</v>
      </c>
      <c r="H4598" s="22" t="s">
        <v>1097</v>
      </c>
      <c r="I4598" s="26">
        <v>43706.4526736111</v>
      </c>
      <c r="J4598" s="28" t="s">
        <v>51</v>
      </c>
      <c r="K4598" s="28" t="s">
        <v>51</v>
      </c>
      <c r="L4598" s="28" t="s">
        <v>51</v>
      </c>
      <c r="M4598" s="28" t="s">
        <v>51</v>
      </c>
      <c r="N4598" s="28" t="s">
        <v>51</v>
      </c>
    </row>
    <row r="4599" spans="1:14" ht="12.75" hidden="1" outlineLevel="1" x14ac:dyDescent="0.2">
      <c r="A4599" s="23" t="str">
        <f>HYPERLINK("https://www.spark-marketing.ru/Card/Person/88926", "УМВД РОССИИ ПО Г. ХАБАРОВСКУ")</f>
        <v>УМВД РОССИИ ПО Г. ХАБАРОВСКУ</v>
      </c>
      <c r="B4599" s="24" t="s">
        <v>4099</v>
      </c>
      <c r="C4599" s="25">
        <v>5386296.96</v>
      </c>
      <c r="D4599" s="22" t="s">
        <v>7444</v>
      </c>
      <c r="E4599" s="22" t="s">
        <v>96</v>
      </c>
      <c r="F4599" s="23" t="str">
        <f>HYPERLINK("https://www.spark-marketing.ru/Card/Lot/73133502", "Оказание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г.Хабаровску")</f>
        <v>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</v>
      </c>
      <c r="G4599" s="22" t="s">
        <v>1096</v>
      </c>
      <c r="H4599" s="22" t="s">
        <v>1097</v>
      </c>
      <c r="I4599" s="26">
        <v>43706.4526736111</v>
      </c>
      <c r="J4599" s="23" t="str">
        <f>HYPERLINK("https://www.spark-marketing.ru/Card/Person/4349415", "ООО ""РОКОС""")</f>
        <v>ООО "РОКОС"</v>
      </c>
      <c r="K4599" s="24" t="s">
        <v>4101</v>
      </c>
      <c r="L4599" s="22" t="s">
        <v>10</v>
      </c>
      <c r="M4599" s="25">
        <v>5063119.1500000004</v>
      </c>
      <c r="N4599" s="27">
        <v>5.9999998589012067E-2</v>
      </c>
    </row>
    <row r="4600" spans="1:14" hidden="1" outlineLevel="1" x14ac:dyDescent="0.2">
      <c r="A4600" s="23" t="str">
        <f>HYPERLINK("https://www.spark-marketing.ru/Card/Person/88926", "УМВД РОССИИ ПО Г. ХАБАРОВСКУ")</f>
        <v>УМВД РОССИИ ПО Г. ХАБАРОВСКУ</v>
      </c>
      <c r="B4600" s="24" t="s">
        <v>4099</v>
      </c>
      <c r="C4600" s="25">
        <v>5386296.96</v>
      </c>
      <c r="D4600" s="22" t="s">
        <v>7444</v>
      </c>
      <c r="E4600" s="22" t="s">
        <v>96</v>
      </c>
      <c r="F4600" s="23" t="str">
        <f>HYPERLINK("https://www.spark-marketing.ru/Card/Lot/73133502", "Оказание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г.Хабаровску")</f>
        <v>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</v>
      </c>
      <c r="G4600" s="22" t="s">
        <v>1096</v>
      </c>
      <c r="H4600" s="22" t="s">
        <v>1097</v>
      </c>
      <c r="I4600" s="26">
        <v>43706.4526736111</v>
      </c>
      <c r="J4600" s="23" t="str">
        <f>HYPERLINK("https://www.spark-marketing.ru/Card/Person/1842508", "ООО ""БЛЕСК ПЛЮС""")</f>
        <v>ООО "БЛЕСК ПЛЮС"</v>
      </c>
      <c r="K4600" s="24" t="s">
        <v>7445</v>
      </c>
      <c r="L4600" s="28" t="s">
        <v>51</v>
      </c>
      <c r="M4600" s="25">
        <v>5332434</v>
      </c>
      <c r="N4600" s="27">
        <v>9.9999982176994569E-3</v>
      </c>
    </row>
    <row r="4601" spans="1:14" x14ac:dyDescent="0.15">
      <c r="A4601" s="23" t="str">
        <f>HYPERLINK("https://www.spark-marketing.ru/Card/Person/261528", "МО МВД РОССИИ ""КУМЕНСКИЙ""")</f>
        <v>МО МВД РОССИИ "КУМЕНСКИЙ"</v>
      </c>
      <c r="B4601" s="24" t="s">
        <v>7012</v>
      </c>
      <c r="C4601" s="25">
        <v>159600</v>
      </c>
      <c r="D4601" s="22" t="s">
        <v>7446</v>
      </c>
      <c r="E4601" s="22" t="s">
        <v>48</v>
      </c>
      <c r="F4601" s="23" t="str">
        <f>HYPERLINK("https://www.spark-marketing.ru/Card/Lot/73142708", "Оказание услуг по питанию граждан содержищихся в ИВС и СПСЗЛ, 1 усл. ед")</f>
        <v>Оказание услуг по питанию граждан содержищихся в ИВС и СПСЗЛ, 1 усл. ед</v>
      </c>
      <c r="G4601" s="22" t="s">
        <v>224</v>
      </c>
      <c r="H4601" s="22" t="s">
        <v>7014</v>
      </c>
      <c r="I4601" s="26">
        <v>43707.534317129597</v>
      </c>
      <c r="J4601" s="28" t="s">
        <v>51</v>
      </c>
      <c r="K4601" s="28" t="s">
        <v>51</v>
      </c>
      <c r="L4601" s="28" t="s">
        <v>51</v>
      </c>
      <c r="M4601" s="28" t="s">
        <v>51</v>
      </c>
      <c r="N4601" s="28" t="s">
        <v>51</v>
      </c>
    </row>
    <row r="4602" spans="1:14" x14ac:dyDescent="0.15">
      <c r="A4602" s="23" t="str">
        <f>HYPERLINK("https://www.spark-marketing.ru/Card/Person/88926", "УМВД РОССИИ ПО Г. ХАБАРОВСКУ")</f>
        <v>УМВД РОССИИ ПО Г. ХАБАРОВСКУ</v>
      </c>
      <c r="B4602" s="24" t="s">
        <v>4099</v>
      </c>
      <c r="C4602" s="25">
        <v>5377582.7999999998</v>
      </c>
      <c r="D4602" s="22" t="s">
        <v>7447</v>
      </c>
      <c r="E4602" s="22" t="s">
        <v>96</v>
      </c>
      <c r="F4602" s="23" t="str">
        <f>HYPERLINK("https://www.spark-marketing.ru/Card/Lot/73133500", "Оказание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г.Хабаровску")</f>
        <v>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</v>
      </c>
      <c r="G4602" s="22" t="s">
        <v>1096</v>
      </c>
      <c r="H4602" s="22" t="s">
        <v>1097</v>
      </c>
      <c r="I4602" s="26">
        <v>43706.426805555602</v>
      </c>
      <c r="J4602" s="28" t="s">
        <v>51</v>
      </c>
      <c r="K4602" s="28" t="s">
        <v>51</v>
      </c>
      <c r="L4602" s="28" t="s">
        <v>51</v>
      </c>
      <c r="M4602" s="28" t="s">
        <v>51</v>
      </c>
      <c r="N4602" s="28" t="s">
        <v>51</v>
      </c>
    </row>
    <row r="4603" spans="1:14" ht="12.75" hidden="1" outlineLevel="1" x14ac:dyDescent="0.2">
      <c r="A4603" s="23" t="str">
        <f>HYPERLINK("https://www.spark-marketing.ru/Card/Person/88926", "УМВД РОССИИ ПО Г. ХАБАРОВСКУ")</f>
        <v>УМВД РОССИИ ПО Г. ХАБАРОВСКУ</v>
      </c>
      <c r="B4603" s="24" t="s">
        <v>4099</v>
      </c>
      <c r="C4603" s="25">
        <v>5377582.7999999998</v>
      </c>
      <c r="D4603" s="22" t="s">
        <v>7447</v>
      </c>
      <c r="E4603" s="22" t="s">
        <v>96</v>
      </c>
      <c r="F4603" s="23" t="str">
        <f>HYPERLINK("https://www.spark-marketing.ru/Card/Lot/73133500", "Оказание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г.Хабаровску")</f>
        <v>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</v>
      </c>
      <c r="G4603" s="22" t="s">
        <v>1096</v>
      </c>
      <c r="H4603" s="22" t="s">
        <v>1097</v>
      </c>
      <c r="I4603" s="26">
        <v>43706.426805555602</v>
      </c>
      <c r="J4603" s="23" t="str">
        <f>HYPERLINK("https://www.spark-marketing.ru/Card/Person/4349415", "ООО ""РОКОС""")</f>
        <v>ООО "РОКОС"</v>
      </c>
      <c r="K4603" s="24" t="s">
        <v>4101</v>
      </c>
      <c r="L4603" s="22" t="s">
        <v>10</v>
      </c>
      <c r="M4603" s="25">
        <v>3280325.62</v>
      </c>
      <c r="N4603" s="27">
        <v>0.38999997917279861</v>
      </c>
    </row>
    <row r="4604" spans="1:14" hidden="1" outlineLevel="1" x14ac:dyDescent="0.2">
      <c r="A4604" s="23" t="str">
        <f>HYPERLINK("https://www.spark-marketing.ru/Card/Person/88926", "УМВД РОССИИ ПО Г. ХАБАРОВСКУ")</f>
        <v>УМВД РОССИИ ПО Г. ХАБАРОВСКУ</v>
      </c>
      <c r="B4604" s="24" t="s">
        <v>4099</v>
      </c>
      <c r="C4604" s="25">
        <v>5377582.7999999998</v>
      </c>
      <c r="D4604" s="22" t="s">
        <v>7447</v>
      </c>
      <c r="E4604" s="22" t="s">
        <v>96</v>
      </c>
      <c r="F4604" s="23" t="str">
        <f>HYPERLINK("https://www.spark-marketing.ru/Card/Lot/73133500", "Оказание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г.Хабаровску")</f>
        <v>Оказание услуг по организации питания граждан, содержащихся в Специальном приемнике для содержания лиц, подвергнутых административному аресту УМВД России по г.Хабаровску</v>
      </c>
      <c r="G4604" s="22" t="s">
        <v>1096</v>
      </c>
      <c r="H4604" s="22" t="s">
        <v>1097</v>
      </c>
      <c r="I4604" s="26">
        <v>43706.426805555602</v>
      </c>
      <c r="J4604" s="23" t="str">
        <f>HYPERLINK("https://www.spark-marketing.ru/Card/Person/486941", "ООО ""ГРАНД-АМУР""")</f>
        <v>ООО "ГРАНД-АМУР"</v>
      </c>
      <c r="K4604" s="24" t="s">
        <v>3965</v>
      </c>
      <c r="L4604" s="28" t="s">
        <v>51</v>
      </c>
      <c r="M4604" s="25">
        <v>3307213.53</v>
      </c>
      <c r="N4604" s="27">
        <v>0.38499997991662721</v>
      </c>
    </row>
    <row r="4605" spans="1:14" ht="12.75" x14ac:dyDescent="0.2">
      <c r="A4605" s="23" t="str">
        <f>HYPERLINK("https://www.spark-marketing.ru/Card/Person/1004934", "ОМВД РОССИИ ПО ТАЛДОМСКОМУ РАЙОНУ")</f>
        <v>ОМВД РОССИИ ПО ТАЛДОМСКОМУ РАЙОНУ</v>
      </c>
      <c r="B4605" s="24" t="s">
        <v>7335</v>
      </c>
      <c r="C4605" s="25">
        <v>499800</v>
      </c>
      <c r="D4605" s="22" t="s">
        <v>7448</v>
      </c>
      <c r="E4605" s="22" t="s">
        <v>48</v>
      </c>
      <c r="F4605" s="23" t="str">
        <f>HYPERLINK("https://www.spark-marketing.ru/Card/Lot/73149910", "Оказание услуг по питанию граждан содержащихся в ИВС,  а также граждан содержащихся в специальном помещении содержания задержанных лиц за административные правонарушения")</f>
        <v>Оказание услуг по питанию граждан содержащихся в ИВС,  а также граждан содержащихся в специальном помещении содержания задержанных лиц за административные правонарушения</v>
      </c>
      <c r="G4605" s="22" t="s">
        <v>49</v>
      </c>
      <c r="H4605" s="22" t="s">
        <v>49</v>
      </c>
      <c r="I4605" s="26">
        <v>43707.496631944399</v>
      </c>
      <c r="J4605" s="23" t="str">
        <f>HYPERLINK("https://www.spark-marketing.ru/Card/Person/6698819", "Шабанова Юлия Игоревна")</f>
        <v>Шабанова Юлия Игоревна</v>
      </c>
      <c r="K4605" s="24" t="s">
        <v>7337</v>
      </c>
      <c r="L4605" s="22" t="s">
        <v>10</v>
      </c>
      <c r="M4605" s="25">
        <v>499800</v>
      </c>
      <c r="N4605" s="27">
        <v>0</v>
      </c>
    </row>
    <row r="4606" spans="1:14" x14ac:dyDescent="0.15">
      <c r="A4606" s="23" t="str">
        <f>HYPERLINK("https://www.spark-marketing.ru/Card/Person/14605", "МУ МВД РОССИИ ""БАЛАШИХИНСКОЕ""")</f>
        <v>МУ МВД РОССИИ "БАЛАШИХИНСКОЕ"</v>
      </c>
      <c r="B4606" s="24" t="s">
        <v>7440</v>
      </c>
      <c r="C4606" s="25">
        <v>3319170</v>
      </c>
      <c r="D4606" s="22" t="s">
        <v>7449</v>
      </c>
      <c r="E4606" s="22" t="s">
        <v>48</v>
      </c>
      <c r="F4606" s="23" t="str">
        <f>HYPERLINK("https://www.spark-marketing.ru/Card/Lot/73162128", "оказание услуг по организации комплексного горячего питания осужденных, подозреваемых и обвиняемых в совершении преступлений, содержащихся в ИВС и административно-задержанных, содержащихся в КАЗ более трех часов")</f>
        <v>оказание услуг по организации комплексного горячего питания осужденных, подозреваемых и обвиняемых в совершении преступлений, содержащихся в ИВС и административно-задержанных, содержащихся в КАЗ более трех часов</v>
      </c>
      <c r="G4606" s="22" t="s">
        <v>49</v>
      </c>
      <c r="H4606" s="22" t="s">
        <v>7442</v>
      </c>
      <c r="I4606" s="26">
        <v>43707.5058796296</v>
      </c>
      <c r="J4606" s="23" t="str">
        <f>HYPERLINK("https://www.spark-marketing.ru/Card/Person/6516523", "ООО ""ВИТА""")</f>
        <v>ООО "ВИТА"</v>
      </c>
      <c r="K4606" s="24" t="s">
        <v>7450</v>
      </c>
      <c r="L4606" s="22" t="s">
        <v>10</v>
      </c>
      <c r="M4606" s="28" t="s">
        <v>51</v>
      </c>
      <c r="N4606" s="28" t="s">
        <v>51</v>
      </c>
    </row>
    <row r="4607" spans="1:14" x14ac:dyDescent="0.15">
      <c r="A4607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4607" s="24" t="s">
        <v>5832</v>
      </c>
      <c r="C4607" s="25">
        <v>64800</v>
      </c>
      <c r="D4607" s="22" t="s">
        <v>7451</v>
      </c>
      <c r="E4607" s="22" t="s">
        <v>48</v>
      </c>
      <c r="F4607" s="23" t="str">
        <f>HYPERLINK("https://www.spark-marketing.ru/Card/Lot/73141599", "Услуги по обеспечению питанием, осуществляемые по договору, 648 усл. ед")</f>
        <v>Услуги по обеспечению питанием, осуществляемые по договору, 648 усл. ед</v>
      </c>
      <c r="G4607" s="22" t="s">
        <v>153</v>
      </c>
      <c r="H4607" s="22" t="s">
        <v>5834</v>
      </c>
      <c r="I4607" s="26">
        <v>43707.5078587963</v>
      </c>
      <c r="J4607" s="28" t="s">
        <v>51</v>
      </c>
      <c r="K4607" s="28" t="s">
        <v>51</v>
      </c>
      <c r="L4607" s="28" t="s">
        <v>51</v>
      </c>
      <c r="M4607" s="28" t="s">
        <v>51</v>
      </c>
      <c r="N4607" s="28" t="s">
        <v>51</v>
      </c>
    </row>
    <row r="4608" spans="1:14" x14ac:dyDescent="0.15">
      <c r="A4608" s="23" t="str">
        <f>HYPERLINK("https://www.spark-marketing.ru/Card/Person/55328", "УМВД РОССИИ ПО Г. КАЛУГЕ")</f>
        <v>УМВД РОССИИ ПО Г. КАЛУГЕ</v>
      </c>
      <c r="B4608" s="24" t="s">
        <v>6318</v>
      </c>
      <c r="C4608" s="25">
        <v>360000</v>
      </c>
      <c r="D4608" s="22" t="s">
        <v>7452</v>
      </c>
      <c r="E4608" s="22" t="s">
        <v>48</v>
      </c>
      <c r="F4608" s="23" t="str">
        <f>HYPERLINK("https://www.spark-marketing.ru/Card/Lot/73163567", "Поставка питания для лиц, содержащихся в изоляторе временного содержания подозреваемых и обвиняемых УМВД России по г.Калуге")</f>
        <v>Поставка питания для лиц, содержащихся в изоляторе временного содержания подозреваемых и обвиняемых УМВД России по г.Калуге</v>
      </c>
      <c r="G4608" s="22" t="s">
        <v>112</v>
      </c>
      <c r="H4608" s="22" t="s">
        <v>389</v>
      </c>
      <c r="I4608" s="26">
        <v>43707.491712962998</v>
      </c>
      <c r="J4608" s="23" t="str">
        <f>HYPERLINK("https://www.spark-marketing.ru/Card/Person/4916563", "Халилов Арастун Алхады Оглы")</f>
        <v>Халилов Арастун Алхады Оглы</v>
      </c>
      <c r="K4608" s="24" t="s">
        <v>6140</v>
      </c>
      <c r="L4608" s="22" t="s">
        <v>10</v>
      </c>
      <c r="M4608" s="28" t="s">
        <v>51</v>
      </c>
      <c r="N4608" s="28" t="s">
        <v>51</v>
      </c>
    </row>
    <row r="4609" spans="1:14" x14ac:dyDescent="0.15">
      <c r="A4609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4609" s="24" t="s">
        <v>5832</v>
      </c>
      <c r="C4609" s="25">
        <v>64800</v>
      </c>
      <c r="D4609" s="22" t="s">
        <v>7453</v>
      </c>
      <c r="E4609" s="22" t="s">
        <v>48</v>
      </c>
      <c r="F4609" s="23" t="str">
        <f>HYPERLINK("https://www.spark-marketing.ru/Card/Lot/73141299", "Услуги по обеспечению питанием, осуществляемые по договору, 648 усл. ед")</f>
        <v>Услуги по обеспечению питанием, осуществляемые по договору, 648 усл. ед</v>
      </c>
      <c r="G4609" s="22" t="s">
        <v>153</v>
      </c>
      <c r="H4609" s="22" t="s">
        <v>5834</v>
      </c>
      <c r="I4609" s="26">
        <v>43707.499803240702</v>
      </c>
      <c r="J4609" s="28" t="s">
        <v>51</v>
      </c>
      <c r="K4609" s="28" t="s">
        <v>51</v>
      </c>
      <c r="L4609" s="28" t="s">
        <v>51</v>
      </c>
      <c r="M4609" s="28" t="s">
        <v>51</v>
      </c>
      <c r="N4609" s="28" t="s">
        <v>51</v>
      </c>
    </row>
    <row r="4610" spans="1:14" x14ac:dyDescent="0.15">
      <c r="A4610" s="23" t="str">
        <f>HYPERLINK("https://www.spark-marketing.ru/Card/Person/27333", "МИНФИН КК")</f>
        <v>МИНФИН КК</v>
      </c>
      <c r="B4610" s="24" t="s">
        <v>7454</v>
      </c>
      <c r="C4610" s="25">
        <v>1450000</v>
      </c>
      <c r="D4610" s="22" t="s">
        <v>7455</v>
      </c>
      <c r="E4610" s="22" t="s">
        <v>91</v>
      </c>
      <c r="F4610" s="23" t="str">
        <f>HYPERLINK("https://www.spark-marketing.ru/Card/Lot/73160731", "Выполнение работ по ремонту вычислительной техники, модулей бесперебойного питания, принтеров, многофункциональных устройств, копировальных аппаратов и иной оргтехники")</f>
        <v>Выполнение работ по ремонту вычислительной техники, модулей бесперебойного питания, принтеров, многофункциональных устройств, копировальных аппаратов и иной оргтехники</v>
      </c>
      <c r="G4610" s="22" t="s">
        <v>104</v>
      </c>
      <c r="H4610" s="22" t="s">
        <v>120</v>
      </c>
      <c r="I4610" s="26">
        <v>43706.858344907399</v>
      </c>
      <c r="J4610" s="28" t="s">
        <v>51</v>
      </c>
      <c r="K4610" s="28" t="s">
        <v>51</v>
      </c>
      <c r="L4610" s="28" t="s">
        <v>51</v>
      </c>
      <c r="M4610" s="28" t="s">
        <v>51</v>
      </c>
      <c r="N4610" s="28" t="s">
        <v>51</v>
      </c>
    </row>
    <row r="4611" spans="1:14" ht="12.75" hidden="1" outlineLevel="1" x14ac:dyDescent="0.2">
      <c r="A4611" s="23" t="str">
        <f>HYPERLINK("https://www.spark-marketing.ru/Card/Person/27333", "МИНФИН КК")</f>
        <v>МИНФИН КК</v>
      </c>
      <c r="B4611" s="24" t="s">
        <v>7454</v>
      </c>
      <c r="C4611" s="25">
        <v>1450000</v>
      </c>
      <c r="D4611" s="22" t="s">
        <v>7455</v>
      </c>
      <c r="E4611" s="22" t="s">
        <v>91</v>
      </c>
      <c r="F4611" s="23" t="str">
        <f>HYPERLINK("https://www.spark-marketing.ru/Card/Lot/73160731", "Выполнение работ по ремонту вычислительной техники, модулей бесперебойного питания, принтеров, многофункциональных устройств, копировальных аппаратов и иной оргтехники")</f>
        <v>Выполнение работ по ремонту вычислительной техники, модулей бесперебойного питания, принтеров, многофункциональных устройств, копировальных аппаратов и иной оргтехники</v>
      </c>
      <c r="G4611" s="22" t="s">
        <v>104</v>
      </c>
      <c r="H4611" s="22" t="s">
        <v>120</v>
      </c>
      <c r="I4611" s="26">
        <v>43706.858344907399</v>
      </c>
      <c r="J4611" s="23" t="str">
        <f>HYPERLINK("https://www.spark-marketing.ru/Card/Person/6685016", "Кугук Юлия Игоревна")</f>
        <v>Кугук Юлия Игоревна</v>
      </c>
      <c r="K4611" s="24" t="s">
        <v>7456</v>
      </c>
      <c r="L4611" s="22" t="s">
        <v>10</v>
      </c>
      <c r="M4611" s="25">
        <v>1359983.3</v>
      </c>
      <c r="N4611" s="27">
        <v>6.2080482758620686E-2</v>
      </c>
    </row>
    <row r="4612" spans="1:14" hidden="1" outlineLevel="1" x14ac:dyDescent="0.2">
      <c r="A4612" s="23" t="str">
        <f>HYPERLINK("https://www.spark-marketing.ru/Card/Person/27333", "МИНФИН КК")</f>
        <v>МИНФИН КК</v>
      </c>
      <c r="B4612" s="24" t="s">
        <v>7454</v>
      </c>
      <c r="C4612" s="25">
        <v>1450000</v>
      </c>
      <c r="D4612" s="22" t="s">
        <v>7455</v>
      </c>
      <c r="E4612" s="22" t="s">
        <v>91</v>
      </c>
      <c r="F4612" s="23" t="str">
        <f>HYPERLINK("https://www.spark-marketing.ru/Card/Lot/73160731", "Выполнение работ по ремонту вычислительной техники, модулей бесперебойного питания, принтеров, многофункциональных устройств, копировальных аппаратов и иной оргтехники")</f>
        <v>Выполнение работ по ремонту вычислительной техники, модулей бесперебойного питания, принтеров, многофункциональных устройств, копировальных аппаратов и иной оргтехники</v>
      </c>
      <c r="G4612" s="22" t="s">
        <v>104</v>
      </c>
      <c r="H4612" s="22" t="s">
        <v>120</v>
      </c>
      <c r="I4612" s="26">
        <v>43706.858344907399</v>
      </c>
      <c r="J4612" s="23" t="str">
        <f>HYPERLINK("https://www.spark-marketing.ru/Card/Person/135271", "ООО ""РСС КУБАНЬ""")</f>
        <v>ООО "РСС КУБАНЬ"</v>
      </c>
      <c r="K4612" s="24" t="s">
        <v>7457</v>
      </c>
      <c r="L4612" s="28" t="s">
        <v>51</v>
      </c>
      <c r="M4612" s="25">
        <v>2125310.54</v>
      </c>
      <c r="N4612" s="27">
        <v>-0.46573140689655174</v>
      </c>
    </row>
    <row r="4613" spans="1:14" hidden="1" outlineLevel="1" x14ac:dyDescent="0.2">
      <c r="A4613" s="23" t="str">
        <f>HYPERLINK("https://www.spark-marketing.ru/Card/Person/27333", "МИНФИН КК")</f>
        <v>МИНФИН КК</v>
      </c>
      <c r="B4613" s="24" t="s">
        <v>7454</v>
      </c>
      <c r="C4613" s="25">
        <v>1450000</v>
      </c>
      <c r="D4613" s="22" t="s">
        <v>7455</v>
      </c>
      <c r="E4613" s="22" t="s">
        <v>91</v>
      </c>
      <c r="F4613" s="23" t="str">
        <f>HYPERLINK("https://www.spark-marketing.ru/Card/Lot/73160731", "Выполнение работ по ремонту вычислительной техники, модулей бесперебойного питания, принтеров, многофункциональных устройств, копировальных аппаратов и иной оргтехники")</f>
        <v>Выполнение работ по ремонту вычислительной техники, модулей бесперебойного питания, принтеров, многофункциональных устройств, копировальных аппаратов и иной оргтехники</v>
      </c>
      <c r="G4613" s="22" t="s">
        <v>104</v>
      </c>
      <c r="H4613" s="22" t="s">
        <v>120</v>
      </c>
      <c r="I4613" s="26">
        <v>43706.858344907399</v>
      </c>
      <c r="J4613" s="23" t="str">
        <f>HYPERLINK("https://www.spark-marketing.ru/Card/Person/67896", "ООО ""СЕРВИС-КМ""")</f>
        <v>ООО "СЕРВИС-КМ"</v>
      </c>
      <c r="K4613" s="24" t="s">
        <v>7166</v>
      </c>
      <c r="L4613" s="28" t="s">
        <v>51</v>
      </c>
      <c r="M4613" s="25">
        <v>1381317.19</v>
      </c>
      <c r="N4613" s="27">
        <v>4.7367455172413794E-2</v>
      </c>
    </row>
    <row r="4614" spans="1:14" hidden="1" outlineLevel="1" x14ac:dyDescent="0.2">
      <c r="A4614" s="23" t="str">
        <f>HYPERLINK("https://www.spark-marketing.ru/Card/Person/27333", "МИНФИН КК")</f>
        <v>МИНФИН КК</v>
      </c>
      <c r="B4614" s="24" t="s">
        <v>7454</v>
      </c>
      <c r="C4614" s="25">
        <v>1450000</v>
      </c>
      <c r="D4614" s="22" t="s">
        <v>7455</v>
      </c>
      <c r="E4614" s="22" t="s">
        <v>91</v>
      </c>
      <c r="F4614" s="23" t="str">
        <f>HYPERLINK("https://www.spark-marketing.ru/Card/Lot/73160731", "Выполнение работ по ремонту вычислительной техники, модулей бесперебойного питания, принтеров, многофункциональных устройств, копировальных аппаратов и иной оргтехники")</f>
        <v>Выполнение работ по ремонту вычислительной техники, модулей бесперебойного питания, принтеров, многофункциональных устройств, копировальных аппаратов и иной оргтехники</v>
      </c>
      <c r="G4614" s="22" t="s">
        <v>104</v>
      </c>
      <c r="H4614" s="22" t="s">
        <v>120</v>
      </c>
      <c r="I4614" s="26">
        <v>43706.858344907399</v>
      </c>
      <c r="J4614" s="23" t="str">
        <f>HYPERLINK("https://www.spark-marketing.ru/Card/Person/52321", "ООО ""ГАЛАТ""")</f>
        <v>ООО "ГАЛАТ"</v>
      </c>
      <c r="K4614" s="24" t="s">
        <v>7458</v>
      </c>
      <c r="L4614" s="28" t="s">
        <v>51</v>
      </c>
      <c r="M4614" s="25">
        <v>2125000</v>
      </c>
      <c r="N4614" s="27">
        <v>-0.46551724137931033</v>
      </c>
    </row>
    <row r="4615" spans="1:14" x14ac:dyDescent="0.15">
      <c r="A4615" s="23" t="s">
        <v>114</v>
      </c>
      <c r="B4615" s="28" t="s">
        <v>51</v>
      </c>
      <c r="C4615" s="25">
        <v>2551160</v>
      </c>
      <c r="D4615" s="22" t="s">
        <v>7459</v>
      </c>
      <c r="E4615" s="22" t="s">
        <v>48</v>
      </c>
      <c r="F4615" s="23" t="str">
        <f>HYPERLINK("https://www.spark-marketing.ru/Card/Lot/73161579", "Оказание услуг по организации горячего питания (реестровый номер 2415Э-20/19сб)")</f>
        <v>Оказание услуг по организации горячего питания (реестровый номер 2415Э-20/19сб)</v>
      </c>
      <c r="G4615" s="22" t="s">
        <v>51</v>
      </c>
      <c r="H4615" s="22" t="s">
        <v>51</v>
      </c>
      <c r="I4615" s="26">
        <v>43707.488715277803</v>
      </c>
      <c r="J4615" s="23" t="str">
        <f>HYPERLINK("https://www.spark-marketing.ru/Card/Person/54026", "ООО ""КПК""")</f>
        <v>ООО "КПК"</v>
      </c>
      <c r="K4615" s="24" t="s">
        <v>7348</v>
      </c>
      <c r="L4615" s="22" t="s">
        <v>10</v>
      </c>
      <c r="M4615" s="28" t="s">
        <v>51</v>
      </c>
      <c r="N4615" s="28" t="s">
        <v>51</v>
      </c>
    </row>
    <row r="4616" spans="1:14" hidden="1" outlineLevel="1" x14ac:dyDescent="0.15">
      <c r="A4616" s="23" t="str">
        <f>HYPERLINK("https://www.spark-marketing.ru/Card/Person/1063496", "МБОУ ""СОШ №2""")</f>
        <v>МБОУ "СОШ №2"</v>
      </c>
      <c r="B4616" s="24" t="s">
        <v>7460</v>
      </c>
      <c r="C4616" s="25">
        <v>1276750</v>
      </c>
      <c r="D4616" s="22" t="s">
        <v>7459</v>
      </c>
      <c r="E4616" s="22" t="s">
        <v>48</v>
      </c>
      <c r="F4616" s="23" t="str">
        <f>HYPERLINK("https://www.spark-marketing.ru/Card/Lot/73161579", "Оказание услуг по организации горячего питания (реестровый номер 2415Э-20/19сб)")</f>
        <v>Оказание услуг по организации горячего питания (реестровый номер 2415Э-20/19сб)</v>
      </c>
      <c r="G4616" s="22" t="s">
        <v>112</v>
      </c>
      <c r="H4616" s="22" t="s">
        <v>112</v>
      </c>
      <c r="I4616" s="26">
        <v>43707.488715277803</v>
      </c>
      <c r="J4616" s="23" t="str">
        <f>HYPERLINK("https://www.spark-marketing.ru/Card/Person/54026", "ООО ""КПК""")</f>
        <v>ООО "КПК"</v>
      </c>
      <c r="K4616" s="24" t="s">
        <v>7348</v>
      </c>
      <c r="L4616" s="22" t="s">
        <v>10</v>
      </c>
      <c r="M4616" s="28" t="s">
        <v>51</v>
      </c>
      <c r="N4616" s="28" t="s">
        <v>51</v>
      </c>
    </row>
    <row r="4617" spans="1:14" hidden="1" outlineLevel="1" x14ac:dyDescent="0.15">
      <c r="A4617" s="23" t="str">
        <f>HYPERLINK("https://www.spark-marketing.ru/Card/Person/1065689", "МБОУ ТСОШ № 1 ИМ. М. Г. ЕФРЕМОВА")</f>
        <v>МБОУ ТСОШ № 1 ИМ. М. Г. ЕФРЕМОВА</v>
      </c>
      <c r="B4617" s="24" t="s">
        <v>7461</v>
      </c>
      <c r="C4617" s="25">
        <v>1274410</v>
      </c>
      <c r="D4617" s="22" t="s">
        <v>7459</v>
      </c>
      <c r="E4617" s="22" t="s">
        <v>48</v>
      </c>
      <c r="F4617" s="23" t="str">
        <f>HYPERLINK("https://www.spark-marketing.ru/Card/Lot/73161579", "Оказание услуг по организации горячего питания (реестровый номер 2415Э-20/19сб)")</f>
        <v>Оказание услуг по организации горячего питания (реестровый номер 2415Э-20/19сб)</v>
      </c>
      <c r="G4617" s="22" t="s">
        <v>112</v>
      </c>
      <c r="H4617" s="22" t="s">
        <v>112</v>
      </c>
      <c r="I4617" s="26">
        <v>43707.488715277803</v>
      </c>
      <c r="J4617" s="23" t="str">
        <f>HYPERLINK("https://www.spark-marketing.ru/Card/Person/54026", "ООО ""КПК""")</f>
        <v>ООО "КПК"</v>
      </c>
      <c r="K4617" s="24" t="s">
        <v>7348</v>
      </c>
      <c r="L4617" s="22" t="s">
        <v>10</v>
      </c>
      <c r="M4617" s="28" t="s">
        <v>51</v>
      </c>
      <c r="N4617" s="28" t="s">
        <v>51</v>
      </c>
    </row>
    <row r="4618" spans="1:14" x14ac:dyDescent="0.15">
      <c r="A4618" s="23" t="str">
        <f>HYPERLINK("https://www.spark-marketing.ru/Card/Person/1030444", "МБОУ ""ШКОЛА-ИНТЕРНАТ № 1""")</f>
        <v>МБОУ "ШКОЛА-ИНТЕРНАТ № 1"</v>
      </c>
      <c r="B4618" s="24" t="s">
        <v>7462</v>
      </c>
      <c r="C4618" s="25">
        <v>668304</v>
      </c>
      <c r="D4618" s="22" t="s">
        <v>7463</v>
      </c>
      <c r="E4618" s="22" t="s">
        <v>48</v>
      </c>
      <c r="F4618" s="23" t="str">
        <f>HYPERLINK("https://www.spark-marketing.ru/Card/Lot/73150160", "Оказание услуг по организации питания учащихся МБОУ ""Школа - интернат № 1"" в период с сентября 2019 года по декабрь 2019 года")</f>
        <v>Оказание услуг по организации питания учащихся МБОУ "Школа - интернат № 1" в период с сентября 2019 года по декабрь 2019 года</v>
      </c>
      <c r="G4618" s="22" t="s">
        <v>76</v>
      </c>
      <c r="H4618" s="22" t="s">
        <v>76</v>
      </c>
      <c r="I4618" s="26">
        <v>43707.494143518503</v>
      </c>
      <c r="J4618" s="23" t="str">
        <f>HYPERLINK("https://www.spark-marketing.ru/Card/Person/514248", "МУП ""КШП""")</f>
        <v>МУП "КШП"</v>
      </c>
      <c r="K4618" s="24" t="s">
        <v>7464</v>
      </c>
      <c r="L4618" s="22" t="s">
        <v>10</v>
      </c>
      <c r="M4618" s="28" t="s">
        <v>51</v>
      </c>
      <c r="N4618" s="28" t="s">
        <v>51</v>
      </c>
    </row>
    <row r="4619" spans="1:14" x14ac:dyDescent="0.15">
      <c r="A4619" s="23" t="str">
        <f>HYPERLINK("https://www.spark-marketing.ru/Card/Person/75866", "ОМВД РОССИИ ПО Г. УСИНСКУ")</f>
        <v>ОМВД РОССИИ ПО Г. УСИНСКУ</v>
      </c>
      <c r="B4619" s="24" t="s">
        <v>7465</v>
      </c>
      <c r="C4619" s="25">
        <v>1250000</v>
      </c>
      <c r="D4619" s="22" t="s">
        <v>7466</v>
      </c>
      <c r="E4619" s="22" t="s">
        <v>48</v>
      </c>
      <c r="F4619" s="23" t="str">
        <f>HYPERLINK("https://www.spark-marketing.ru/Card/Lot/73160696", "Организация трехразового питания для лиц, содержащихся в ИВС")</f>
        <v>Организация трехразового питания для лиц, содержащихся в ИВС</v>
      </c>
      <c r="G4619" s="22" t="s">
        <v>271</v>
      </c>
      <c r="H4619" s="22" t="s">
        <v>271</v>
      </c>
      <c r="I4619" s="26">
        <v>43707.379467592596</v>
      </c>
      <c r="J4619" s="23" t="str">
        <f>HYPERLINK("https://www.spark-marketing.ru/Card/Person/290010", "ООО ""КСТ""")</f>
        <v>ООО "КСТ"</v>
      </c>
      <c r="K4619" s="24" t="s">
        <v>7467</v>
      </c>
      <c r="L4619" s="22" t="s">
        <v>10</v>
      </c>
      <c r="M4619" s="28" t="s">
        <v>51</v>
      </c>
      <c r="N4619" s="28" t="s">
        <v>51</v>
      </c>
    </row>
    <row r="4620" spans="1:14" x14ac:dyDescent="0.15">
      <c r="A4620" s="23" t="str">
        <f>HYPERLINK("https://www.spark-marketing.ru/Card/Person/3423", "ОТДЕЛ МВД РОССИИ ПО ТУЙМАЗИНСКОМУ РАЙОНУ")</f>
        <v>ОТДЕЛ МВД РОССИИ ПО ТУЙМАЗИНСКОМУ РАЙОНУ</v>
      </c>
      <c r="B4620" s="24" t="s">
        <v>7468</v>
      </c>
      <c r="C4620" s="25">
        <v>2100000</v>
      </c>
      <c r="D4620" s="22" t="s">
        <v>7469</v>
      </c>
      <c r="E4620" s="22" t="s">
        <v>96</v>
      </c>
      <c r="F4620" s="23" t="str">
        <f>HYPERLINK("https://www.spark-marketing.ru/Card/Lot/73141028", "обеспечение трех разовым горячим питанием спецконтингента, содержащегося в ИВС")</f>
        <v>обеспечение трех разовым горячим питанием спецконтингента, содержащегося в ИВС</v>
      </c>
      <c r="G4620" s="22" t="s">
        <v>145</v>
      </c>
      <c r="H4620" s="22" t="s">
        <v>7470</v>
      </c>
      <c r="I4620" s="26">
        <v>43707.476504629602</v>
      </c>
      <c r="J4620" s="23" t="str">
        <f>HYPERLINK("https://www.spark-marketing.ru/Card/Person/648967", "АО ""ОБЩЕПИТ""")</f>
        <v>АО "ОБЩЕПИТ"</v>
      </c>
      <c r="K4620" s="24" t="s">
        <v>7471</v>
      </c>
      <c r="L4620" s="22" t="s">
        <v>10</v>
      </c>
      <c r="M4620" s="28" t="s">
        <v>51</v>
      </c>
      <c r="N4620" s="28" t="s">
        <v>51</v>
      </c>
    </row>
    <row r="4621" spans="1:14" x14ac:dyDescent="0.15">
      <c r="A4621" s="23" t="str">
        <f>HYPERLINK("https://www.spark-marketing.ru/Card/Person/4347002", "ОМВД РОССИИ ПО УСТЬ-КУЛОМСКОМУ РАЙОНУ")</f>
        <v>ОМВД РОССИИ ПО УСТЬ-КУЛОМСКОМУ РАЙОНУ</v>
      </c>
      <c r="B4621" s="24" t="s">
        <v>7472</v>
      </c>
      <c r="C4621" s="25">
        <v>412000</v>
      </c>
      <c r="D4621" s="22" t="s">
        <v>7473</v>
      </c>
      <c r="E4621" s="22" t="s">
        <v>48</v>
      </c>
      <c r="F4621" s="23" t="str">
        <f>HYPERLINK("https://www.spark-marketing.ru/Card/Lot/73143783", "услуги по 3-ех разовому питанию для лиц, содержащихся в ИВС")</f>
        <v>услуги по 3-ех разовому питанию для лиц, содержащихся в ИВС</v>
      </c>
      <c r="G4621" s="22" t="s">
        <v>271</v>
      </c>
      <c r="H4621" s="22" t="s">
        <v>271</v>
      </c>
      <c r="I4621" s="26">
        <v>43707.386701388903</v>
      </c>
      <c r="J4621" s="23" t="str">
        <f>HYPERLINK("https://www.spark-marketing.ru/Card/Person/776948", "Першин Василий Степанович")</f>
        <v>Першин Василий Степанович</v>
      </c>
      <c r="K4621" s="24" t="s">
        <v>6003</v>
      </c>
      <c r="L4621" s="22" t="s">
        <v>10</v>
      </c>
      <c r="M4621" s="28" t="s">
        <v>51</v>
      </c>
      <c r="N4621" s="28" t="s">
        <v>51</v>
      </c>
    </row>
    <row r="4622" spans="1:14" x14ac:dyDescent="0.2">
      <c r="A4622" s="23" t="str">
        <f>HYPERLINK("https://www.spark-marketing.ru/Card/Person/64132", "СОВЕТСКАЯ ЦГБ")</f>
        <v>СОВЕТСКАЯ ЦГБ</v>
      </c>
      <c r="B4622" s="24" t="s">
        <v>7474</v>
      </c>
      <c r="C4622" s="25">
        <v>11685822.5</v>
      </c>
      <c r="D4622" s="22" t="s">
        <v>7475</v>
      </c>
      <c r="E4622" s="22" t="s">
        <v>48</v>
      </c>
      <c r="F4622" s="23" t="str">
        <f>HYPERLINK("https://www.spark-marketing.ru/Card/Lot/73163494", "Оказание услуг по организации горячего лечебного питания пациентов стационара Советской центральной городской больницы")</f>
        <v>Оказание услуг по организации горячего лечебного питания пациентов стационара Советской центральной городской больницы</v>
      </c>
      <c r="G4622" s="22" t="s">
        <v>400</v>
      </c>
      <c r="H4622" s="22" t="s">
        <v>2279</v>
      </c>
      <c r="I4622" s="26">
        <v>43707.418923611098</v>
      </c>
      <c r="J4622" s="23" t="str">
        <f>HYPERLINK("https://www.spark-marketing.ru/Card/Person/91371", "ООО ""КК""РУССКИЙ ПИР""")</f>
        <v>ООО "КК"РУССКИЙ ПИР"</v>
      </c>
      <c r="K4622" s="24" t="s">
        <v>7476</v>
      </c>
      <c r="L4622" s="28" t="s">
        <v>51</v>
      </c>
      <c r="M4622" s="25">
        <v>11685822.5</v>
      </c>
      <c r="N4622" s="27">
        <v>0</v>
      </c>
    </row>
    <row r="4623" spans="1:14" x14ac:dyDescent="0.15">
      <c r="A4623" s="23" t="str">
        <f>HYPERLINK("https://www.spark-marketing.ru/Card/Person/1692792", "УМВД РОССИИ ПО ХАБАРОВСКОМУ КРАЮ")</f>
        <v>УМВД РОССИИ ПО ХАБАРОВСКОМУ КРАЮ</v>
      </c>
      <c r="B4623" s="24" t="s">
        <v>7435</v>
      </c>
      <c r="C4623" s="25">
        <v>225000</v>
      </c>
      <c r="D4623" s="22" t="s">
        <v>7477</v>
      </c>
      <c r="E4623" s="22" t="s">
        <v>152</v>
      </c>
      <c r="F4623" s="23" t="str">
        <f>HYPERLINK("https://www.spark-marketing.ru/Card/Lot/73132782", "Оказание услуг по ремонту источников бесперебойного питания.")</f>
        <v>Оказание услуг по ремонту источников бесперебойного питания.</v>
      </c>
      <c r="G4623" s="22" t="s">
        <v>1096</v>
      </c>
      <c r="H4623" s="22" t="s">
        <v>1097</v>
      </c>
      <c r="I4623" s="26">
        <v>43706.787314814799</v>
      </c>
      <c r="J4623" s="23" t="str">
        <f>HYPERLINK("https://www.spark-marketing.ru/Card/Person/82635", "ООО ""ДРСЦ ""КОМПЬЮЛИНК""")</f>
        <v>ООО "ДРСЦ "КОМПЬЮЛИНК"</v>
      </c>
      <c r="K4623" s="24" t="s">
        <v>4453</v>
      </c>
      <c r="L4623" s="22" t="s">
        <v>10</v>
      </c>
      <c r="M4623" s="28" t="s">
        <v>51</v>
      </c>
      <c r="N4623" s="28" t="s">
        <v>51</v>
      </c>
    </row>
    <row r="4624" spans="1:14" x14ac:dyDescent="0.15">
      <c r="A4624" s="23" t="str">
        <f>HYPERLINK("https://www.spark-marketing.ru/Card/Person/1030444", "МБОУ ""ШКОЛА-ИНТЕРНАТ № 1""")</f>
        <v>МБОУ "ШКОЛА-ИНТЕРНАТ № 1"</v>
      </c>
      <c r="B4624" s="24" t="s">
        <v>7462</v>
      </c>
      <c r="C4624" s="25">
        <v>1838050.5</v>
      </c>
      <c r="D4624" s="22" t="s">
        <v>7478</v>
      </c>
      <c r="E4624" s="22" t="s">
        <v>48</v>
      </c>
      <c r="F4624" s="23" t="str">
        <f>HYPERLINK("https://www.spark-marketing.ru/Card/Lot/73161118", "Оказание услуг по организации питания воспитанников МБОУ ""Школа - интернат № 1"" в период с сентября 2019 года по декабрь 2019 года")</f>
        <v>Оказание услуг по организации питания воспитанников МБОУ "Школа - интернат № 1" в период с сентября 2019 года по декабрь 2019 года</v>
      </c>
      <c r="G4624" s="22" t="s">
        <v>76</v>
      </c>
      <c r="H4624" s="22" t="s">
        <v>76</v>
      </c>
      <c r="I4624" s="26">
        <v>43707.432488425897</v>
      </c>
      <c r="J4624" s="23" t="str">
        <f>HYPERLINK("https://www.spark-marketing.ru/Card/Person/514248", "МУП ""КШП""")</f>
        <v>МУП "КШП"</v>
      </c>
      <c r="K4624" s="24" t="s">
        <v>7464</v>
      </c>
      <c r="L4624" s="22" t="s">
        <v>10</v>
      </c>
      <c r="M4624" s="28" t="s">
        <v>51</v>
      </c>
      <c r="N4624" s="28" t="s">
        <v>51</v>
      </c>
    </row>
    <row r="4625" spans="1:14" x14ac:dyDescent="0.15">
      <c r="A4625" s="23" t="str">
        <f>HYPERLINK("https://www.spark-marketing.ru/Card/Person/542082", "МО МВД РОССИИ ""ИНЗЕНСКИЙ""")</f>
        <v>МО МВД РОССИИ "ИНЗЕНСКИЙ"</v>
      </c>
      <c r="B4625" s="24" t="s">
        <v>7479</v>
      </c>
      <c r="C4625" s="25">
        <v>115644.84</v>
      </c>
      <c r="D4625" s="22" t="s">
        <v>7480</v>
      </c>
      <c r="E4625" s="22" t="s">
        <v>48</v>
      </c>
      <c r="F4625" s="23" t="str">
        <f>HYPERLINK("https://www.spark-marketing.ru/Card/Lot/73138889",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4625" s="22" t="s">
        <v>1918</v>
      </c>
      <c r="H4625" s="22" t="s">
        <v>7481</v>
      </c>
      <c r="I4625" s="26">
        <v>43707.4585069444</v>
      </c>
      <c r="J4625" s="28" t="s">
        <v>51</v>
      </c>
      <c r="K4625" s="28" t="s">
        <v>51</v>
      </c>
      <c r="L4625" s="28" t="s">
        <v>51</v>
      </c>
      <c r="M4625" s="28" t="s">
        <v>51</v>
      </c>
      <c r="N4625" s="28" t="s">
        <v>51</v>
      </c>
    </row>
    <row r="4626" spans="1:14" x14ac:dyDescent="0.15">
      <c r="A4626" s="23" t="str">
        <f>HYPERLINK("https://www.spark-marketing.ru/Card/Person/188213", "ОТДЕЛ МВД РОССИИ ПО КРЫЛОВСКОМУ РАЙОНУ")</f>
        <v>ОТДЕЛ МВД РОССИИ ПО КРЫЛОВСКОМУ РАЙОНУ</v>
      </c>
      <c r="B4626" s="24" t="s">
        <v>7482</v>
      </c>
      <c r="C4626" s="25">
        <v>1598913</v>
      </c>
      <c r="D4626" s="22" t="s">
        <v>7483</v>
      </c>
      <c r="E4626" s="22" t="s">
        <v>48</v>
      </c>
      <c r="F4626" s="23" t="str">
        <f>HYPERLINK("https://www.spark-marketing.ru/Card/Lot/73161207", "Оказание услуг по организации ежедневного горячего трехразового питания для лиц,  содержащихся в ИВС и ДЧ Отдела МВД России по Крыловскому району")</f>
        <v>Оказание услуг по организации ежедневного горячего трехразового питания для лиц,  содержащихся в ИВС и ДЧ Отдела МВД России по Крыловскому району</v>
      </c>
      <c r="G4626" s="22" t="s">
        <v>104</v>
      </c>
      <c r="H4626" s="22" t="s">
        <v>7484</v>
      </c>
      <c r="I4626" s="26">
        <v>43707.4766087963</v>
      </c>
      <c r="J4626" s="23" t="str">
        <f>HYPERLINK("https://www.spark-marketing.ru/Card/Person/1944082", "ООО ""ВИЗАВИА""")</f>
        <v>ООО "ВИЗАВИА"</v>
      </c>
      <c r="K4626" s="24" t="s">
        <v>6798</v>
      </c>
      <c r="L4626" s="22" t="s">
        <v>10</v>
      </c>
      <c r="M4626" s="28" t="s">
        <v>51</v>
      </c>
      <c r="N4626" s="28" t="s">
        <v>51</v>
      </c>
    </row>
    <row r="4627" spans="1:14" x14ac:dyDescent="0.15">
      <c r="A4627" s="23" t="str">
        <f>HYPERLINK("https://www.spark-marketing.ru/Card/Person/4347002", "ОМВД РОССИИ ПО УСТЬ-КУЛОМСКОМУ РАЙОНУ")</f>
        <v>ОМВД РОССИИ ПО УСТЬ-КУЛОМСКОМУ РАЙОНУ</v>
      </c>
      <c r="B4627" s="24" t="s">
        <v>7472</v>
      </c>
      <c r="C4627" s="25">
        <v>760000</v>
      </c>
      <c r="D4627" s="22" t="s">
        <v>7485</v>
      </c>
      <c r="E4627" s="22" t="s">
        <v>48</v>
      </c>
      <c r="F4627" s="23" t="str">
        <f>HYPERLINK("https://www.spark-marketing.ru/Card/Lot/73151760", "услуги по 3-ех разовому питанию для лиц, содержащихся в ИВС")</f>
        <v>услуги по 3-ех разовому питанию для лиц, содержащихся в ИВС</v>
      </c>
      <c r="G4627" s="22" t="s">
        <v>271</v>
      </c>
      <c r="H4627" s="22" t="s">
        <v>271</v>
      </c>
      <c r="I4627" s="26">
        <v>43707.391967592601</v>
      </c>
      <c r="J4627" s="23" t="str">
        <f>HYPERLINK("https://www.spark-marketing.ru/Card/Person/776948", "Першин Василий Степанович")</f>
        <v>Першин Василий Степанович</v>
      </c>
      <c r="K4627" s="24" t="s">
        <v>6003</v>
      </c>
      <c r="L4627" s="22" t="s">
        <v>10</v>
      </c>
      <c r="M4627" s="28" t="s">
        <v>51</v>
      </c>
      <c r="N4627" s="28" t="s">
        <v>51</v>
      </c>
    </row>
    <row r="4628" spans="1:14" x14ac:dyDescent="0.15">
      <c r="A4628" s="23" t="str">
        <f>HYPERLINK("https://www.spark-marketing.ru/Card/Person/243025", "УМВД РОССИИ ПО Г. ВЛАДИВОСТОКУ")</f>
        <v>УМВД РОССИИ ПО Г. ВЛАДИВОСТОКУ</v>
      </c>
      <c r="B4628" s="24" t="s">
        <v>7486</v>
      </c>
      <c r="C4628" s="25">
        <v>2300000</v>
      </c>
      <c r="D4628" s="22" t="s">
        <v>7487</v>
      </c>
      <c r="E4628" s="22" t="s">
        <v>96</v>
      </c>
      <c r="F4628" s="23" t="str">
        <f>HYPERLINK("https://www.spark-marketing.ru/Card/Lot/73131352", "Оказание услуг по доставке горячего питания лицам содержащимся в ивс и СП")</f>
        <v>Оказание услуг по доставке горячего питания лицам содержащимся в ивс и СП</v>
      </c>
      <c r="G4628" s="22" t="s">
        <v>543</v>
      </c>
      <c r="H4628" s="22" t="s">
        <v>1440</v>
      </c>
      <c r="I4628" s="26">
        <v>43706.727812500001</v>
      </c>
      <c r="J4628" s="28" t="s">
        <v>51</v>
      </c>
      <c r="K4628" s="28" t="s">
        <v>51</v>
      </c>
      <c r="L4628" s="28" t="s">
        <v>51</v>
      </c>
      <c r="M4628" s="28" t="s">
        <v>51</v>
      </c>
      <c r="N4628" s="28" t="s">
        <v>51</v>
      </c>
    </row>
    <row r="4629" spans="1:14" hidden="1" outlineLevel="1" x14ac:dyDescent="0.2">
      <c r="A4629" s="23" t="str">
        <f>HYPERLINK("https://www.spark-marketing.ru/Card/Person/243025", "УМВД РОССИИ ПО Г. ВЛАДИВОСТОКУ")</f>
        <v>УМВД РОССИИ ПО Г. ВЛАДИВОСТОКУ</v>
      </c>
      <c r="B4629" s="24" t="s">
        <v>7486</v>
      </c>
      <c r="C4629" s="25">
        <v>2300000</v>
      </c>
      <c r="D4629" s="22" t="s">
        <v>7487</v>
      </c>
      <c r="E4629" s="22" t="s">
        <v>96</v>
      </c>
      <c r="F4629" s="23" t="str">
        <f>HYPERLINK("https://www.spark-marketing.ru/Card/Lot/73131352", "Оказание услуг по доставке горячего питания лицам содержащимся в ивс и СП")</f>
        <v>Оказание услуг по доставке горячего питания лицам содержащимся в ивс и СП</v>
      </c>
      <c r="G4629" s="22" t="s">
        <v>543</v>
      </c>
      <c r="H4629" s="22" t="s">
        <v>1440</v>
      </c>
      <c r="I4629" s="26">
        <v>43706.727812500001</v>
      </c>
      <c r="J4629" s="23" t="str">
        <f>HYPERLINK("https://www.spark-marketing.ru/Card/Person/6431449", "ООО ""ФУДСЕРВИС""")</f>
        <v>ООО "ФУДСЕРВИС"</v>
      </c>
      <c r="K4629" s="24" t="s">
        <v>7488</v>
      </c>
      <c r="L4629" s="28" t="s">
        <v>51</v>
      </c>
      <c r="M4629" s="25">
        <v>2288500</v>
      </c>
      <c r="N4629" s="27">
        <v>5.0000000000000001E-3</v>
      </c>
    </row>
    <row r="4630" spans="1:14" ht="12.75" hidden="1" outlineLevel="1" x14ac:dyDescent="0.2">
      <c r="A4630" s="23" t="str">
        <f>HYPERLINK("https://www.spark-marketing.ru/Card/Person/243025", "УМВД РОССИИ ПО Г. ВЛАДИВОСТОКУ")</f>
        <v>УМВД РОССИИ ПО Г. ВЛАДИВОСТОКУ</v>
      </c>
      <c r="B4630" s="24" t="s">
        <v>7486</v>
      </c>
      <c r="C4630" s="25">
        <v>2300000</v>
      </c>
      <c r="D4630" s="22" t="s">
        <v>7487</v>
      </c>
      <c r="E4630" s="22" t="s">
        <v>96</v>
      </c>
      <c r="F4630" s="23" t="str">
        <f>HYPERLINK("https://www.spark-marketing.ru/Card/Lot/73131352", "Оказание услуг по доставке горячего питания лицам содержащимся в ивс и СП")</f>
        <v>Оказание услуг по доставке горячего питания лицам содержащимся в ивс и СП</v>
      </c>
      <c r="G4630" s="22" t="s">
        <v>543</v>
      </c>
      <c r="H4630" s="22" t="s">
        <v>1440</v>
      </c>
      <c r="I4630" s="26">
        <v>43706.727812500001</v>
      </c>
      <c r="J4630" s="23" t="str">
        <f>HYPERLINK("https://www.spark-marketing.ru/Card/Person/244420", "ООО ""ФАКТ""")</f>
        <v>ООО "ФАКТ"</v>
      </c>
      <c r="K4630" s="24" t="s">
        <v>7489</v>
      </c>
      <c r="L4630" s="22" t="s">
        <v>10</v>
      </c>
      <c r="M4630" s="25">
        <v>2277000</v>
      </c>
      <c r="N4630" s="27">
        <v>0.01</v>
      </c>
    </row>
    <row r="4631" spans="1:14" x14ac:dyDescent="0.15">
      <c r="A4631" s="23" t="str">
        <f>HYPERLINK("https://www.spark-marketing.ru/Card/Person/60276", "ОМВД РОССИИ ПО УДОРСКОМУ РАЙОНУ")</f>
        <v>ОМВД РОССИИ ПО УДОРСКОМУ РАЙОНУ</v>
      </c>
      <c r="B4631" s="24" t="s">
        <v>7490</v>
      </c>
      <c r="C4631" s="25">
        <v>324000</v>
      </c>
      <c r="D4631" s="22" t="s">
        <v>7491</v>
      </c>
      <c r="E4631" s="22" t="s">
        <v>48</v>
      </c>
      <c r="F4631" s="23" t="str">
        <f>HYPERLINK("https://www.spark-marketing.ru/Card/Lot/73146831", "услуги по организации питания для нужд ИВС ОМВД России по Удорскому району")</f>
        <v>услуги по организации питания для нужд ИВС ОМВД России по Удорскому району</v>
      </c>
      <c r="G4631" s="22" t="s">
        <v>271</v>
      </c>
      <c r="H4631" s="22" t="s">
        <v>271</v>
      </c>
      <c r="I4631" s="26">
        <v>43707.4073263889</v>
      </c>
      <c r="J4631" s="23" t="str">
        <f>HYPERLINK("https://www.spark-marketing.ru/Card/Person/460299", "Остапов Валерий Васильевич")</f>
        <v>Остапов Валерий Васильевич</v>
      </c>
      <c r="K4631" s="24" t="s">
        <v>7492</v>
      </c>
      <c r="L4631" s="22" t="s">
        <v>10</v>
      </c>
      <c r="M4631" s="28" t="s">
        <v>51</v>
      </c>
      <c r="N4631" s="28" t="s">
        <v>51</v>
      </c>
    </row>
    <row r="4632" spans="1:14" x14ac:dyDescent="0.15">
      <c r="A4632" s="23" t="str">
        <f>HYPERLINK("https://www.spark-marketing.ru/Card/Person/253249", "ОМВД РОССИИ ПО ЛАХДЕНПОХСКОМУ РАЙОНУ")</f>
        <v>ОМВД РОССИИ ПО ЛАХДЕНПОХСКОМУ РАЙОНУ</v>
      </c>
      <c r="B4632" s="24" t="s">
        <v>57</v>
      </c>
      <c r="C4632" s="25">
        <v>1120000</v>
      </c>
      <c r="D4632" s="22" t="s">
        <v>7493</v>
      </c>
      <c r="E4632" s="22" t="s">
        <v>48</v>
      </c>
      <c r="F4632" s="23" t="str">
        <f>HYPERLINK("https://www.spark-marketing.ru/Card/Lot/73158984", "Оказание услуг по организации ежедневного (включая выходные и праздничные дни) горячего питания")</f>
        <v>Оказание услуг по организации ежедневного (включая выходные и праздничные дни) горячего питания</v>
      </c>
      <c r="G4632" s="22" t="s">
        <v>59</v>
      </c>
      <c r="H4632" s="22" t="s">
        <v>59</v>
      </c>
      <c r="I4632" s="26">
        <v>43706.8346759259</v>
      </c>
      <c r="J4632" s="28" t="s">
        <v>51</v>
      </c>
      <c r="K4632" s="28" t="s">
        <v>51</v>
      </c>
      <c r="L4632" s="28" t="s">
        <v>51</v>
      </c>
      <c r="M4632" s="28" t="s">
        <v>51</v>
      </c>
      <c r="N4632" s="28" t="s">
        <v>51</v>
      </c>
    </row>
    <row r="4633" spans="1:14" x14ac:dyDescent="0.15">
      <c r="A4633" s="23" t="str">
        <f>HYPERLINK("https://www.spark-marketing.ru/Card/Person/60276", "ОМВД РОССИИ ПО УДОРСКОМУ РАЙОНУ")</f>
        <v>ОМВД РОССИИ ПО УДОРСКОМУ РАЙОНУ</v>
      </c>
      <c r="B4633" s="24" t="s">
        <v>7490</v>
      </c>
      <c r="C4633" s="25">
        <v>500000</v>
      </c>
      <c r="D4633" s="22" t="s">
        <v>7494</v>
      </c>
      <c r="E4633" s="22" t="s">
        <v>48</v>
      </c>
      <c r="F4633" s="23" t="str">
        <f>HYPERLINK("https://www.spark-marketing.ru/Card/Lot/73143810", "услуги по организации питания для нужд ИВС ОМВД России по Удорскому району")</f>
        <v>услуги по организации питания для нужд ИВС ОМВД России по Удорскому району</v>
      </c>
      <c r="G4633" s="22" t="s">
        <v>271</v>
      </c>
      <c r="H4633" s="22" t="s">
        <v>271</v>
      </c>
      <c r="I4633" s="26">
        <v>43707.410300925898</v>
      </c>
      <c r="J4633" s="23" t="str">
        <f>HYPERLINK("https://www.spark-marketing.ru/Card/Person/460299", "Остапов Валерий Васильевич")</f>
        <v>Остапов Валерий Васильевич</v>
      </c>
      <c r="K4633" s="24" t="s">
        <v>7492</v>
      </c>
      <c r="L4633" s="22" t="s">
        <v>10</v>
      </c>
      <c r="M4633" s="28" t="s">
        <v>51</v>
      </c>
      <c r="N4633" s="28" t="s">
        <v>51</v>
      </c>
    </row>
    <row r="4634" spans="1:14" x14ac:dyDescent="0.15">
      <c r="A4634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4634" s="24" t="s">
        <v>5832</v>
      </c>
      <c r="C4634" s="25">
        <v>64800</v>
      </c>
      <c r="D4634" s="22" t="s">
        <v>7495</v>
      </c>
      <c r="E4634" s="22" t="s">
        <v>48</v>
      </c>
      <c r="F4634" s="23" t="str">
        <f>HYPERLINK("https://www.spark-marketing.ru/Card/Lot/73138585", "Услуги по обеспечению питанием, осуществляемые по договору, 648 усл. ед")</f>
        <v>Услуги по обеспечению питанием, осуществляемые по договору, 648 усл. ед</v>
      </c>
      <c r="G4634" s="22" t="s">
        <v>153</v>
      </c>
      <c r="H4634" s="22" t="s">
        <v>5834</v>
      </c>
      <c r="I4634" s="26">
        <v>43707.448634259301</v>
      </c>
      <c r="J4634" s="28" t="s">
        <v>51</v>
      </c>
      <c r="K4634" s="28" t="s">
        <v>51</v>
      </c>
      <c r="L4634" s="28" t="s">
        <v>51</v>
      </c>
      <c r="M4634" s="28" t="s">
        <v>51</v>
      </c>
      <c r="N4634" s="28" t="s">
        <v>51</v>
      </c>
    </row>
    <row r="4635" spans="1:14" x14ac:dyDescent="0.15">
      <c r="A4635" s="23" t="str">
        <f>HYPERLINK("https://www.spark-marketing.ru/Card/Person/104471", "ИНСПЕКЦИЯ ГОСТЕХНАДЗОРА БЕЛГОРОДСКОЙ ОБЛАСТИ")</f>
        <v>ИНСПЕКЦИЯ ГОСТЕХНАДЗОРА БЕЛГОРОДСКОЙ ОБЛАСТИ</v>
      </c>
      <c r="B4635" s="24" t="s">
        <v>7496</v>
      </c>
      <c r="C4635" s="25">
        <v>247350</v>
      </c>
      <c r="D4635" s="22" t="s">
        <v>7497</v>
      </c>
      <c r="E4635" s="22" t="s">
        <v>51</v>
      </c>
      <c r="F4635" s="23" t="str">
        <f>HYPERLINK("https://www.spark-marketing.ru/Card/Lot/73143326", "Выполнение работ по установке комплекта газобаллонного оборудования для питания двигателей автомобилей компримированным природным газом и документальное сопровождение перевода автотранспортных средств на газовое оборудование")</f>
        <v>Выполнение работ по установке комплекта газобаллонного оборудования для питания двигателей автомобилей компримированным природным газом и документальное сопровождение перевода автотранспортных средств на газовое оборудование</v>
      </c>
      <c r="G4635" s="22" t="s">
        <v>696</v>
      </c>
      <c r="H4635" s="22" t="s">
        <v>1163</v>
      </c>
      <c r="I4635" s="26">
        <v>43706.794421296298</v>
      </c>
      <c r="J4635" s="23" t="str">
        <f>HYPERLINK("https://www.spark-marketing.ru/Card/Person/1108851", "Быков Андрей Анатольевич")</f>
        <v>Быков Андрей Анатольевич</v>
      </c>
      <c r="K4635" s="24" t="s">
        <v>7498</v>
      </c>
      <c r="L4635" s="22" t="s">
        <v>10</v>
      </c>
      <c r="M4635" s="28" t="s">
        <v>51</v>
      </c>
      <c r="N4635" s="28" t="s">
        <v>51</v>
      </c>
    </row>
    <row r="4636" spans="1:14" x14ac:dyDescent="0.15">
      <c r="A4636" s="23" t="str">
        <f>HYPERLINK("https://www.spark-marketing.ru/Card/Person/56576", "МО МВД РОССИИ ""АПАТИТСКИЙ""")</f>
        <v>МО МВД РОССИИ "АПАТИТСКИЙ"</v>
      </c>
      <c r="B4636" s="24" t="s">
        <v>7499</v>
      </c>
      <c r="C4636" s="25">
        <v>1200000</v>
      </c>
      <c r="D4636" s="22" t="s">
        <v>7500</v>
      </c>
      <c r="E4636" s="22" t="s">
        <v>48</v>
      </c>
      <c r="F4636" s="23" t="str">
        <f>HYPERLINK("https://www.spark-marketing.ru/Card/Lot/73160792", "Услуги питания (г. Апатиты)")</f>
        <v>Услуги питания (г. Апатиты)</v>
      </c>
      <c r="G4636" s="22" t="s">
        <v>340</v>
      </c>
      <c r="H4636" s="22" t="s">
        <v>7501</v>
      </c>
      <c r="I4636" s="26">
        <v>43707.449317129598</v>
      </c>
      <c r="J4636" s="23" t="str">
        <f>HYPERLINK("https://www.spark-marketing.ru/Card/Person/4364166", "МУП ""ЗАПОЛЯРЬЕ""")</f>
        <v>МУП "ЗАПОЛЯРЬЕ"</v>
      </c>
      <c r="K4636" s="24" t="s">
        <v>7502</v>
      </c>
      <c r="L4636" s="22" t="s">
        <v>10</v>
      </c>
      <c r="M4636" s="28" t="s">
        <v>51</v>
      </c>
      <c r="N4636" s="28" t="s">
        <v>51</v>
      </c>
    </row>
    <row r="4637" spans="1:14" x14ac:dyDescent="0.2">
      <c r="A4637" s="23" t="str">
        <f>HYPERLINK("https://www.spark-marketing.ru/Card/Person/6086", "ГКУ ""ДИРЕКЦИЯ ОДОТСЗН Г. МОСКВЫ""")</f>
        <v>ГКУ "ДИРЕКЦИЯ ОДОТСЗН Г. МОСКВЫ"</v>
      </c>
      <c r="B4637" s="24" t="s">
        <v>164</v>
      </c>
      <c r="C4637" s="25">
        <v>24479874</v>
      </c>
      <c r="D4637" s="22" t="s">
        <v>7503</v>
      </c>
      <c r="E4637" s="22" t="s">
        <v>86</v>
      </c>
      <c r="F4637" s="23" t="str">
        <f>HYPERLINK("https://www.spark-marketing.ru/Card/Lot/73163742", "Оказание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болезней эндокринной системы, расстройства питания и нарушение об...")</f>
        <v>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болезней эндокринной системы, расстройства питания и нарушение об...</v>
      </c>
      <c r="G4637" s="22" t="s">
        <v>56</v>
      </c>
      <c r="H4637" s="22" t="s">
        <v>56</v>
      </c>
      <c r="I4637" s="26">
        <v>43707.428032407399</v>
      </c>
      <c r="J4637" s="23" t="str">
        <f>HYPERLINK("https://www.spark-marketing.ru/Card/Person/79551", "ЛПУ ""САНАТОРИЙ ""ПРАВДА""")</f>
        <v>ЛПУ "САНАТОРИЙ "ПРАВДА"</v>
      </c>
      <c r="K4637" s="24" t="s">
        <v>7504</v>
      </c>
      <c r="L4637" s="28" t="s">
        <v>51</v>
      </c>
      <c r="M4637" s="25">
        <v>23975640</v>
      </c>
      <c r="N4637" s="27">
        <v>2.0597900136250701E-2</v>
      </c>
    </row>
    <row r="4638" spans="1:14" x14ac:dyDescent="0.15">
      <c r="A4638" s="23" t="str">
        <f>HYPERLINK("https://www.spark-marketing.ru/Card/Person/112645", "МДОУ №53")</f>
        <v>МДОУ №53</v>
      </c>
      <c r="B4638" s="24" t="s">
        <v>7505</v>
      </c>
      <c r="C4638" s="25">
        <v>24040805.600000001</v>
      </c>
      <c r="D4638" s="22" t="s">
        <v>7506</v>
      </c>
      <c r="E4638" s="22" t="s">
        <v>48</v>
      </c>
      <c r="F4638" s="23" t="str">
        <f>HYPERLINK("https://www.spark-marketing.ru/Card/Lot/73163657", "«Оказание услуг по организации питания воспитанников муниципального дошкольного образовательного учреждения «Детский сад № 53 общеразвивающего вида»")</f>
        <v>«Оказание услуг по организации питания воспитанников муниципального дошкольного образовательного учреждения «Детский сад № 53 общеразвивающего вида»</v>
      </c>
      <c r="G4638" s="22" t="s">
        <v>49</v>
      </c>
      <c r="H4638" s="22" t="s">
        <v>742</v>
      </c>
      <c r="I4638" s="26">
        <v>43707.4535763889</v>
      </c>
      <c r="J4638" s="28" t="s">
        <v>51</v>
      </c>
      <c r="K4638" s="28" t="s">
        <v>51</v>
      </c>
      <c r="L4638" s="28" t="s">
        <v>51</v>
      </c>
      <c r="M4638" s="28" t="s">
        <v>51</v>
      </c>
      <c r="N4638" s="28" t="s">
        <v>51</v>
      </c>
    </row>
    <row r="4639" spans="1:14" hidden="1" outlineLevel="1" x14ac:dyDescent="0.15">
      <c r="A4639" s="23" t="str">
        <f>HYPERLINK("https://www.spark-marketing.ru/Card/Person/112645", "МДОУ №53")</f>
        <v>МДОУ №53</v>
      </c>
      <c r="B4639" s="24" t="s">
        <v>7505</v>
      </c>
      <c r="C4639" s="25">
        <v>24040805.600000001</v>
      </c>
      <c r="D4639" s="22" t="s">
        <v>7506</v>
      </c>
      <c r="E4639" s="22" t="s">
        <v>48</v>
      </c>
      <c r="F4639" s="23" t="str">
        <f>HYPERLINK("https://www.spark-marketing.ru/Card/Lot/73163657", "«Оказание услуг по организации питания воспитанников муниципального дошкольного образовательного учреждения «Детский сад № 53 общеразвивающего вида»")</f>
        <v>«Оказание услуг по организации питания воспитанников муниципального дошкольного образовательного учреждения «Детский сад № 53 общеразвивающего вида»</v>
      </c>
      <c r="G4639" s="22" t="s">
        <v>49</v>
      </c>
      <c r="H4639" s="22" t="s">
        <v>742</v>
      </c>
      <c r="I4639" s="26">
        <v>43707.4535763889</v>
      </c>
      <c r="J4639" s="23" t="str">
        <f>HYPERLINK("https://www.spark-marketing.ru/Card/Person/55369", "ООО ""КОМБИНАТ ОБЩЕСТВЕННОГО ПИТАНИЯ""")</f>
        <v>ООО "КОМБИНАТ ОБЩЕСТВЕННОГО ПИТАНИЯ"</v>
      </c>
      <c r="K4639" s="24" t="s">
        <v>1516</v>
      </c>
      <c r="L4639" s="28" t="s">
        <v>51</v>
      </c>
      <c r="M4639" s="28" t="s">
        <v>51</v>
      </c>
      <c r="N4639" s="28" t="s">
        <v>51</v>
      </c>
    </row>
    <row r="4640" spans="1:14" hidden="1" outlineLevel="1" x14ac:dyDescent="0.2">
      <c r="A4640" s="23" t="str">
        <f>HYPERLINK("https://www.spark-marketing.ru/Card/Person/112645", "МДОУ №53")</f>
        <v>МДОУ №53</v>
      </c>
      <c r="B4640" s="24" t="s">
        <v>7505</v>
      </c>
      <c r="C4640" s="25">
        <v>24040805.600000001</v>
      </c>
      <c r="D4640" s="22" t="s">
        <v>7506</v>
      </c>
      <c r="E4640" s="22" t="s">
        <v>48</v>
      </c>
      <c r="F4640" s="23" t="str">
        <f>HYPERLINK("https://www.spark-marketing.ru/Card/Lot/73163657", "«Оказание услуг по организации питания воспитанников муниципального дошкольного образовательного учреждения «Детский сад № 53 общеразвивающего вида»")</f>
        <v>«Оказание услуг по организации питания воспитанников муниципального дошкольного образовательного учреждения «Детский сад № 53 общеразвивающего вида»</v>
      </c>
      <c r="G4640" s="22" t="s">
        <v>49</v>
      </c>
      <c r="H4640" s="22" t="s">
        <v>742</v>
      </c>
      <c r="I4640" s="26">
        <v>43707.4535763889</v>
      </c>
      <c r="J4640" s="23" t="str">
        <f>HYPERLINK("https://www.spark-marketing.ru/Card/Person/57370", "ООО ""КП ""ЭКОПРОДУКТ""")</f>
        <v>ООО "КП "ЭКОПРОДУКТ"</v>
      </c>
      <c r="K4640" s="24" t="s">
        <v>6251</v>
      </c>
      <c r="L4640" s="28" t="s">
        <v>51</v>
      </c>
      <c r="M4640" s="25">
        <v>21637250.98</v>
      </c>
      <c r="N4640" s="27">
        <v>9.9978123029288171E-2</v>
      </c>
    </row>
    <row r="4641" spans="1:14" ht="12.75" hidden="1" outlineLevel="1" x14ac:dyDescent="0.2">
      <c r="A4641" s="23" t="str">
        <f>HYPERLINK("https://www.spark-marketing.ru/Card/Person/112645", "МДОУ №53")</f>
        <v>МДОУ №53</v>
      </c>
      <c r="B4641" s="24" t="s">
        <v>7505</v>
      </c>
      <c r="C4641" s="25">
        <v>24040805.600000001</v>
      </c>
      <c r="D4641" s="22" t="s">
        <v>7506</v>
      </c>
      <c r="E4641" s="22" t="s">
        <v>48</v>
      </c>
      <c r="F4641" s="23" t="str">
        <f>HYPERLINK("https://www.spark-marketing.ru/Card/Lot/73163657", "«Оказание услуг по организации питания воспитанников муниципального дошкольного образовательного учреждения «Детский сад № 53 общеразвивающего вида»")</f>
        <v>«Оказание услуг по организации питания воспитанников муниципального дошкольного образовательного учреждения «Детский сад № 53 общеразвивающего вида»</v>
      </c>
      <c r="G4641" s="22" t="s">
        <v>49</v>
      </c>
      <c r="H4641" s="22" t="s">
        <v>742</v>
      </c>
      <c r="I4641" s="26">
        <v>43707.4535763889</v>
      </c>
      <c r="J4641" s="23" t="str">
        <f>HYPERLINK("https://www.spark-marketing.ru/Card/Person/100937", "ООО ""ВЕРТИКАЛЬ""")</f>
        <v>ООО "ВЕРТИКАЛЬ"</v>
      </c>
      <c r="K4641" s="24" t="s">
        <v>4501</v>
      </c>
      <c r="L4641" s="22" t="s">
        <v>10</v>
      </c>
      <c r="M4641" s="25">
        <v>24036243.68</v>
      </c>
      <c r="N4641" s="27">
        <v>1.8975736819734526E-4</v>
      </c>
    </row>
    <row r="4642" spans="1:14" x14ac:dyDescent="0.15">
      <c r="A4642" s="23" t="str">
        <f>HYPERLINK("https://www.spark-marketing.ru/Card/Person/243025", "УМВД РОССИИ ПО Г. ВЛАДИВОСТОКУ")</f>
        <v>УМВД РОССИИ ПО Г. ВЛАДИВОСТОКУ</v>
      </c>
      <c r="B4642" s="24" t="s">
        <v>7486</v>
      </c>
      <c r="C4642" s="25">
        <v>790000</v>
      </c>
      <c r="D4642" s="22" t="s">
        <v>7507</v>
      </c>
      <c r="E4642" s="22" t="s">
        <v>96</v>
      </c>
      <c r="F4642" s="23" t="str">
        <f>HYPERLINK("https://www.spark-marketing.ru/Card/Lot/73131339", "Оказание услуг по доставке горячего питания лицам подвергнутым административному аресту на срок более 3-х часов")</f>
        <v>Оказание услуг по доставке горячего питания лицам подвергнутым административному аресту на срок более 3-х часов</v>
      </c>
      <c r="G4642" s="22" t="s">
        <v>543</v>
      </c>
      <c r="H4642" s="22" t="s">
        <v>1440</v>
      </c>
      <c r="I4642" s="26">
        <v>43706.7130092593</v>
      </c>
      <c r="J4642" s="23" t="str">
        <f>HYPERLINK("https://www.spark-marketing.ru/Card/Person/244420", "ООО ""ФАКТ""")</f>
        <v>ООО "ФАКТ"</v>
      </c>
      <c r="K4642" s="24" t="s">
        <v>7489</v>
      </c>
      <c r="L4642" s="28" t="s">
        <v>51</v>
      </c>
      <c r="M4642" s="28" t="s">
        <v>51</v>
      </c>
      <c r="N4642" s="28" t="s">
        <v>51</v>
      </c>
    </row>
    <row r="4643" spans="1:14" ht="12.75" hidden="1" outlineLevel="1" x14ac:dyDescent="0.2">
      <c r="A4643" s="23" t="str">
        <f>HYPERLINK("https://www.spark-marketing.ru/Card/Person/243025", "УМВД РОССИИ ПО Г. ВЛАДИВОСТОКУ")</f>
        <v>УМВД РОССИИ ПО Г. ВЛАДИВОСТОКУ</v>
      </c>
      <c r="B4643" s="24" t="s">
        <v>7486</v>
      </c>
      <c r="C4643" s="25">
        <v>790000</v>
      </c>
      <c r="D4643" s="22" t="s">
        <v>7507</v>
      </c>
      <c r="E4643" s="22" t="s">
        <v>96</v>
      </c>
      <c r="F4643" s="23" t="str">
        <f>HYPERLINK("https://www.spark-marketing.ru/Card/Lot/73131339", "Оказание услуг по доставке горячего питания лицам подвергнутым административному аресту на срок более 3-х часов")</f>
        <v>Оказание услуг по доставке горячего питания лицам подвергнутым административному аресту на срок более 3-х часов</v>
      </c>
      <c r="G4643" s="22" t="s">
        <v>543</v>
      </c>
      <c r="H4643" s="22" t="s">
        <v>1440</v>
      </c>
      <c r="I4643" s="26">
        <v>43706.7130092593</v>
      </c>
      <c r="J4643" s="23" t="str">
        <f>HYPERLINK("https://www.spark-marketing.ru/Card/Person/244420", "ООО ""ФАКТ""")</f>
        <v>ООО "ФАКТ"</v>
      </c>
      <c r="K4643" s="24" t="s">
        <v>7489</v>
      </c>
      <c r="L4643" s="22" t="s">
        <v>10</v>
      </c>
      <c r="M4643" s="25">
        <v>786050</v>
      </c>
      <c r="N4643" s="27">
        <v>5.0000000000000001E-3</v>
      </c>
    </row>
    <row r="4644" spans="1:14" x14ac:dyDescent="0.15">
      <c r="A4644" s="23" t="str">
        <f>HYPERLINK("https://www.spark-marketing.ru/Card/Person/1032150", "ОТД МВД РОССИИ ПО КАЗАНСКОМУ РАЙОНУ")</f>
        <v>ОТД МВД РОССИИ ПО КАЗАНСКОМУ РАЙОНУ</v>
      </c>
      <c r="B4644" s="24" t="s">
        <v>7508</v>
      </c>
      <c r="C4644" s="25">
        <v>290524.59999999998</v>
      </c>
      <c r="D4644" s="22" t="s">
        <v>7509</v>
      </c>
      <c r="E4644" s="22" t="s">
        <v>48</v>
      </c>
      <c r="F4644" s="23" t="str">
        <f>HYPERLINK("https://www.spark-marketing.ru/Card/Lot/73138632", "Оказание услуг по организации питания (приготовлению и доставке) для ИВС, 1034 усл. ед")</f>
        <v>Оказание услуг по организации питания (приготовлению и доставке) для ИВС, 1034 усл. ед</v>
      </c>
      <c r="G4644" s="22" t="s">
        <v>766</v>
      </c>
      <c r="H4644" s="22" t="s">
        <v>7510</v>
      </c>
      <c r="I4644" s="26">
        <v>43707.444374999999</v>
      </c>
      <c r="J4644" s="28" t="s">
        <v>51</v>
      </c>
      <c r="K4644" s="28" t="s">
        <v>51</v>
      </c>
      <c r="L4644" s="28" t="s">
        <v>51</v>
      </c>
      <c r="M4644" s="28" t="s">
        <v>51</v>
      </c>
      <c r="N4644" s="28" t="s">
        <v>51</v>
      </c>
    </row>
    <row r="4645" spans="1:14" x14ac:dyDescent="0.15">
      <c r="A4645" s="23" t="str">
        <f>HYPERLINK("https://www.spark-marketing.ru/Card/Person/5003", "УМВД РОССИИ ПО МУРМАНСКОЙ ОБЛАСТИ")</f>
        <v>УМВД РОССИИ ПО МУРМАНСКОЙ ОБЛАСТИ</v>
      </c>
      <c r="B4645" s="24" t="s">
        <v>1683</v>
      </c>
      <c r="C4645" s="25">
        <v>890000</v>
      </c>
      <c r="D4645" s="22" t="s">
        <v>7511</v>
      </c>
      <c r="E4645" s="22" t="s">
        <v>48</v>
      </c>
      <c r="F4645" s="23" t="str">
        <f>HYPERLINK("https://www.spark-marketing.ru/Card/Lot/73158265", "Оказание услуг по организации питания лиц, содержащихся в ЦВСНП УМВД России по Мурманской области на 2020 год")</f>
        <v>Оказание услуг по организации питания лиц, содержащихся в ЦВСНП УМВД России по Мурманской области на 2020 год</v>
      </c>
      <c r="G4645" s="22" t="s">
        <v>340</v>
      </c>
      <c r="H4645" s="22" t="s">
        <v>340</v>
      </c>
      <c r="I4645" s="26">
        <v>43707.399675925903</v>
      </c>
      <c r="J4645" s="28" t="s">
        <v>51</v>
      </c>
      <c r="K4645" s="28" t="s">
        <v>51</v>
      </c>
      <c r="L4645" s="28" t="s">
        <v>51</v>
      </c>
      <c r="M4645" s="28" t="s">
        <v>51</v>
      </c>
      <c r="N4645" s="28" t="s">
        <v>51</v>
      </c>
    </row>
    <row r="4646" spans="1:14" x14ac:dyDescent="0.15">
      <c r="A4646" s="23" t="str">
        <f>HYPERLINK("https://www.spark-marketing.ru/Card/Person/542082", "МО МВД РОССИИ ""ИНЗЕНСКИЙ""")</f>
        <v>МО МВД РОССИИ "ИНЗЕНСКИЙ"</v>
      </c>
      <c r="B4646" s="24" t="s">
        <v>7479</v>
      </c>
      <c r="C4646" s="25">
        <v>50000</v>
      </c>
      <c r="D4646" s="22" t="s">
        <v>7512</v>
      </c>
      <c r="E4646" s="22" t="s">
        <v>96</v>
      </c>
      <c r="F4646" s="23" t="str">
        <f>HYPERLINK("https://www.spark-marketing.ru/Card/Lot/73137610",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4646" s="22" t="s">
        <v>1918</v>
      </c>
      <c r="H4646" s="22" t="s">
        <v>7481</v>
      </c>
      <c r="I4646" s="26">
        <v>43707.424942129597</v>
      </c>
      <c r="J4646" s="28" t="s">
        <v>51</v>
      </c>
      <c r="K4646" s="28" t="s">
        <v>51</v>
      </c>
      <c r="L4646" s="28" t="s">
        <v>51</v>
      </c>
      <c r="M4646" s="28" t="s">
        <v>51</v>
      </c>
      <c r="N4646" s="28" t="s">
        <v>51</v>
      </c>
    </row>
    <row r="4647" spans="1:14" x14ac:dyDescent="0.2">
      <c r="A4647" s="23" t="str">
        <f>HYPERLINK("https://www.spark-marketing.ru/Card/Person/21231", "ГБУ РД ""ПЦ Г. ХАСАВЮРТА""")</f>
        <v>ГБУ РД "ПЦ Г. ХАСАВЮРТА"</v>
      </c>
      <c r="B4647" s="24" t="s">
        <v>7513</v>
      </c>
      <c r="C4647" s="25">
        <v>8064000</v>
      </c>
      <c r="D4647" s="22" t="s">
        <v>7514</v>
      </c>
      <c r="E4647" s="22" t="s">
        <v>48</v>
      </c>
      <c r="F4647" s="23" t="str">
        <f>HYPERLINK("https://www.spark-marketing.ru/Card/Lot/73066133", "Оказание услуг по обеспечению питанием.")</f>
        <v>Оказание услуг по обеспечению питанием.</v>
      </c>
      <c r="G4647" s="22" t="s">
        <v>1607</v>
      </c>
      <c r="H4647" s="22" t="s">
        <v>1607</v>
      </c>
      <c r="I4647" s="26">
        <v>43704.704004629602</v>
      </c>
      <c r="J4647" s="23" t="str">
        <f>HYPERLINK("https://www.spark-marketing.ru/Card/Person/280517", "МБУ ""ПРОМЖИЛСТРОЙТОРГ""")</f>
        <v>МБУ "ПРОМЖИЛСТРОЙТОРГ"</v>
      </c>
      <c r="K4647" s="24" t="s">
        <v>7515</v>
      </c>
      <c r="L4647" s="28" t="s">
        <v>51</v>
      </c>
      <c r="M4647" s="25">
        <v>8064000</v>
      </c>
      <c r="N4647" s="27">
        <v>0</v>
      </c>
    </row>
    <row r="4648" spans="1:14" x14ac:dyDescent="0.15">
      <c r="A4648" s="23" t="str">
        <f>HYPERLINK("https://www.spark-marketing.ru/Card/Person/272640", "МО МВД РОССИИ ""ПАВЛОВСКИЙ""")</f>
        <v>МО МВД РОССИИ "ПАВЛОВСКИЙ"</v>
      </c>
      <c r="B4648" s="24" t="s">
        <v>7516</v>
      </c>
      <c r="C4648" s="25">
        <v>100067</v>
      </c>
      <c r="D4648" s="22" t="s">
        <v>7517</v>
      </c>
      <c r="E4648" s="22" t="s">
        <v>48</v>
      </c>
      <c r="F4648" s="23" t="str">
        <f>HYPERLINK("https://www.spark-marketing.ru/Card/Lot/73143078", "Поставка сухих пайков для содержащихся в ИВС МО МВД России ""Павловский""")</f>
        <v>Поставка сухих пайков для содержащихся в ИВС МО МВД России "Павловский"</v>
      </c>
      <c r="G4648" s="22" t="s">
        <v>76</v>
      </c>
      <c r="H4648" s="22" t="s">
        <v>7518</v>
      </c>
      <c r="I4648" s="26">
        <v>43706.711053240702</v>
      </c>
      <c r="J4648" s="23" t="str">
        <f>HYPERLINK("https://www.spark-marketing.ru/Card/Person/521355", "ООО ""МАТРИЦА""")</f>
        <v>ООО "МАТРИЦА"</v>
      </c>
      <c r="K4648" s="24" t="s">
        <v>7519</v>
      </c>
      <c r="L4648" s="22" t="s">
        <v>10</v>
      </c>
      <c r="M4648" s="28" t="s">
        <v>51</v>
      </c>
      <c r="N4648" s="28" t="s">
        <v>51</v>
      </c>
    </row>
    <row r="4649" spans="1:14" x14ac:dyDescent="0.15">
      <c r="A4649" s="23" t="str">
        <f>HYPERLINK("https://www.spark-marketing.ru/Card/Person/5003", "УМВД РОССИИ ПО МУРМАНСКОЙ ОБЛАСТИ")</f>
        <v>УМВД РОССИИ ПО МУРМАНСКОЙ ОБЛАСТИ</v>
      </c>
      <c r="B4649" s="24" t="s">
        <v>1683</v>
      </c>
      <c r="C4649" s="25">
        <v>890000</v>
      </c>
      <c r="D4649" s="22" t="s">
        <v>7520</v>
      </c>
      <c r="E4649" s="22" t="s">
        <v>48</v>
      </c>
      <c r="F4649" s="23" t="str">
        <f>HYPERLINK("https://www.spark-marketing.ru/Card/Lot/73158258", "Оказание услуг по организации питания лиц, содержащихся в ЦВСНП УМВД России по Мурманской области на 2021 год")</f>
        <v>Оказание услуг по организации питания лиц, содержащихся в ЦВСНП УМВД России по Мурманской области на 2021 год</v>
      </c>
      <c r="G4649" s="22" t="s">
        <v>340</v>
      </c>
      <c r="H4649" s="22" t="s">
        <v>340</v>
      </c>
      <c r="I4649" s="26">
        <v>43707.433819444399</v>
      </c>
      <c r="J4649" s="28" t="s">
        <v>51</v>
      </c>
      <c r="K4649" s="28" t="s">
        <v>51</v>
      </c>
      <c r="L4649" s="28" t="s">
        <v>51</v>
      </c>
      <c r="M4649" s="28" t="s">
        <v>51</v>
      </c>
      <c r="N4649" s="28" t="s">
        <v>51</v>
      </c>
    </row>
    <row r="4650" spans="1:14" x14ac:dyDescent="0.15">
      <c r="A4650" s="23" t="str">
        <f>HYPERLINK("https://www.spark-marketing.ru/Card/Person/542082", "МО МВД РОССИИ ""ИНЗЕНСКИЙ""")</f>
        <v>МО МВД РОССИИ "ИНЗЕНСКИЙ"</v>
      </c>
      <c r="B4650" s="24" t="s">
        <v>7479</v>
      </c>
      <c r="C4650" s="25">
        <v>50000</v>
      </c>
      <c r="D4650" s="22" t="s">
        <v>7521</v>
      </c>
      <c r="E4650" s="22" t="s">
        <v>48</v>
      </c>
      <c r="F4650" s="23" t="str">
        <f>HYPERLINK("https://www.spark-marketing.ru/Card/Lot/73137596", "Оказание услуг по обеспечению 3-х разовым ежедневным горячим питанием лиц, содержащихся в ИВС, 1 усл. ед")</f>
        <v>Оказание услуг по обеспечению 3-х разовым ежедневным горячим питанием лиц, содержащихся в ИВС, 1 усл. ед</v>
      </c>
      <c r="G4650" s="22" t="s">
        <v>1918</v>
      </c>
      <c r="H4650" s="22" t="s">
        <v>7481</v>
      </c>
      <c r="I4650" s="26">
        <v>43707.420960648102</v>
      </c>
      <c r="J4650" s="28" t="s">
        <v>51</v>
      </c>
      <c r="K4650" s="28" t="s">
        <v>51</v>
      </c>
      <c r="L4650" s="28" t="s">
        <v>51</v>
      </c>
      <c r="M4650" s="28" t="s">
        <v>51</v>
      </c>
      <c r="N4650" s="28" t="s">
        <v>51</v>
      </c>
    </row>
    <row r="4651" spans="1:14" x14ac:dyDescent="0.15">
      <c r="A4651" s="23" t="str">
        <f>HYPERLINK("https://www.spark-marketing.ru/Card/Person/398059", "ОМВД РОССИИ ПО ОКТЯБРЬСКОМУ РАЙОНУ")</f>
        <v>ОМВД РОССИИ ПО ОКТЯБРЬСКОМУ РАЙОНУ</v>
      </c>
      <c r="B4651" s="24" t="s">
        <v>7522</v>
      </c>
      <c r="C4651" s="25">
        <v>3835000</v>
      </c>
      <c r="D4651" s="22" t="s">
        <v>7523</v>
      </c>
      <c r="E4651" s="22" t="s">
        <v>48</v>
      </c>
      <c r="F4651" s="23" t="str">
        <f>HYPERLINK("https://www.spark-marketing.ru/Card/Lot/73162278", "Питание ЦВСИГ")</f>
        <v>Питание ЦВСИГ</v>
      </c>
      <c r="G4651" s="22" t="s">
        <v>1111</v>
      </c>
      <c r="H4651" s="22" t="s">
        <v>465</v>
      </c>
      <c r="I4651" s="26">
        <v>43707.414386574099</v>
      </c>
      <c r="J4651" s="23" t="str">
        <f>HYPERLINK("https://www.spark-marketing.ru/Card/Person/148940", "Давыдова Ирина Львовна")</f>
        <v>Давыдова Ирина Львовна</v>
      </c>
      <c r="K4651" s="24" t="s">
        <v>7524</v>
      </c>
      <c r="L4651" s="22" t="s">
        <v>10</v>
      </c>
      <c r="M4651" s="28" t="s">
        <v>51</v>
      </c>
      <c r="N4651" s="28" t="s">
        <v>51</v>
      </c>
    </row>
    <row r="4652" spans="1:14" x14ac:dyDescent="0.2">
      <c r="A4652" s="23" t="str">
        <f>HYPERLINK("https://www.spark-marketing.ru/Card/Person/6086", "ГКУ ""ДИРЕКЦИЯ ОДОТСЗН Г. МОСКВЫ""")</f>
        <v>ГКУ "ДИРЕКЦИЯ ОДОТСЗН Г. МОСКВЫ"</v>
      </c>
      <c r="B4652" s="24" t="s">
        <v>164</v>
      </c>
      <c r="C4652" s="25">
        <v>46938474</v>
      </c>
      <c r="D4652" s="22" t="s">
        <v>7525</v>
      </c>
      <c r="E4652" s="22" t="s">
        <v>86</v>
      </c>
      <c r="F4652" s="23" t="str">
        <f>HYPERLINK("https://www.spark-marketing.ru/Card/Lot/73163752", "Оказание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эндокринной системы, болезней характеризующихся повышенным кровян...")</f>
        <v>Оказание услуг по предоставлению санаторно-курортного лечения (по путевкам) в 2020-2021 годах отдельным льготным категориям граждан, проживающим в городе Москва в санатории для лечения эндокринной системы, болезней характеризующихся повышенным кровян...</v>
      </c>
      <c r="G4652" s="22" t="s">
        <v>56</v>
      </c>
      <c r="H4652" s="22" t="s">
        <v>56</v>
      </c>
      <c r="I4652" s="26">
        <v>43707.439143518503</v>
      </c>
      <c r="J4652" s="23" t="str">
        <f>HYPERLINK("https://www.spark-marketing.ru/Card/Person/4349041", "ГУП ""МЕДИЦИНСКИЙ ЦЕНТР""")</f>
        <v>ГУП "МЕДИЦИНСКИЙ ЦЕНТР"</v>
      </c>
      <c r="K4652" s="24" t="s">
        <v>7526</v>
      </c>
      <c r="L4652" s="28" t="s">
        <v>51</v>
      </c>
      <c r="M4652" s="25">
        <v>46938474</v>
      </c>
      <c r="N4652" s="27">
        <v>0</v>
      </c>
    </row>
    <row r="4653" spans="1:14" x14ac:dyDescent="0.15">
      <c r="A4653" s="23" t="str">
        <f>HYPERLINK("https://www.spark-marketing.ru/Card/Person/5003", "УМВД РОССИИ ПО МУРМАНСКОЙ ОБЛАСТИ")</f>
        <v>УМВД РОССИИ ПО МУРМАНСКОЙ ОБЛАСТИ</v>
      </c>
      <c r="B4653" s="24" t="s">
        <v>1683</v>
      </c>
      <c r="C4653" s="25">
        <v>6580000</v>
      </c>
      <c r="D4653" s="22" t="s">
        <v>7527</v>
      </c>
      <c r="E4653" s="22" t="s">
        <v>48</v>
      </c>
      <c r="F4653" s="23" t="str">
        <f>HYPERLINK("https://www.spark-marketing.ru/Card/Lot/73163199", "Оказание услуг по организации питания слушателей ЦПП для государственных нужд УМВД России по Мурманской области на 2021 год")</f>
        <v>Оказание услуг по организации питания слушателей ЦПП для государственных нужд УМВД России по Мурманской области на 2021 год</v>
      </c>
      <c r="G4653" s="22" t="s">
        <v>340</v>
      </c>
      <c r="H4653" s="22" t="s">
        <v>340</v>
      </c>
      <c r="I4653" s="26">
        <v>43707.436053240701</v>
      </c>
      <c r="J4653" s="28" t="s">
        <v>51</v>
      </c>
      <c r="K4653" s="28" t="s">
        <v>51</v>
      </c>
      <c r="L4653" s="28" t="s">
        <v>51</v>
      </c>
      <c r="M4653" s="28" t="s">
        <v>51</v>
      </c>
      <c r="N4653" s="28" t="s">
        <v>51</v>
      </c>
    </row>
    <row r="4654" spans="1:14" ht="12.75" hidden="1" outlineLevel="1" x14ac:dyDescent="0.2">
      <c r="A4654" s="23" t="str">
        <f>HYPERLINK("https://www.spark-marketing.ru/Card/Person/5003", "УМВД РОССИИ ПО МУРМАНСКОЙ ОБЛАСТИ")</f>
        <v>УМВД РОССИИ ПО МУРМАНСКОЙ ОБЛАСТИ</v>
      </c>
      <c r="B4654" s="24" t="s">
        <v>1683</v>
      </c>
      <c r="C4654" s="25">
        <v>6580000</v>
      </c>
      <c r="D4654" s="22" t="s">
        <v>7527</v>
      </c>
      <c r="E4654" s="22" t="s">
        <v>48</v>
      </c>
      <c r="F4654" s="23" t="str">
        <f>HYPERLINK("https://www.spark-marketing.ru/Card/Lot/73163199", "Оказание услуг по организации питания слушателей ЦПП для государственных нужд УМВД России по Мурманской области на 2021 год")</f>
        <v>Оказание услуг по организации питания слушателей ЦПП для государственных нужд УМВД России по Мурманской области на 2021 год</v>
      </c>
      <c r="G4654" s="22" t="s">
        <v>340</v>
      </c>
      <c r="H4654" s="22" t="s">
        <v>340</v>
      </c>
      <c r="I4654" s="26">
        <v>43707.436053240701</v>
      </c>
      <c r="J4654" s="23" t="str">
        <f>HYPERLINK("https://www.spark-marketing.ru/Card/Person/107642", "ООО ""КОМПИТ51""")</f>
        <v>ООО "КОМПИТ51"</v>
      </c>
      <c r="K4654" s="24" t="s">
        <v>7528</v>
      </c>
      <c r="L4654" s="22" t="s">
        <v>10</v>
      </c>
      <c r="M4654" s="25">
        <v>530</v>
      </c>
      <c r="N4654" s="27">
        <v>0.99991945288753803</v>
      </c>
    </row>
    <row r="4655" spans="1:14" hidden="1" outlineLevel="1" x14ac:dyDescent="0.2">
      <c r="A4655" s="23" t="str">
        <f>HYPERLINK("https://www.spark-marketing.ru/Card/Person/5003", "УМВД РОССИИ ПО МУРМАНСКОЙ ОБЛАСТИ")</f>
        <v>УМВД РОССИИ ПО МУРМАНСКОЙ ОБЛАСТИ</v>
      </c>
      <c r="B4655" s="24" t="s">
        <v>1683</v>
      </c>
      <c r="C4655" s="25">
        <v>6580000</v>
      </c>
      <c r="D4655" s="22" t="s">
        <v>7527</v>
      </c>
      <c r="E4655" s="22" t="s">
        <v>48</v>
      </c>
      <c r="F4655" s="23" t="str">
        <f>HYPERLINK("https://www.spark-marketing.ru/Card/Lot/73163199", "Оказание услуг по организации питания слушателей ЦПП для государственных нужд УМВД России по Мурманской области на 2021 год")</f>
        <v>Оказание услуг по организации питания слушателей ЦПП для государственных нужд УМВД России по Мурманской области на 2021 год</v>
      </c>
      <c r="G4655" s="22" t="s">
        <v>340</v>
      </c>
      <c r="H4655" s="22" t="s">
        <v>340</v>
      </c>
      <c r="I4655" s="26">
        <v>43707.436053240701</v>
      </c>
      <c r="J4655" s="23" t="str">
        <f>HYPERLINK("https://www.spark-marketing.ru/Card/Person/1842508", "ООО ""БЛЕСК ПЛЮС""")</f>
        <v>ООО "БЛЕСК ПЛЮС"</v>
      </c>
      <c r="K4655" s="24" t="s">
        <v>7445</v>
      </c>
      <c r="L4655" s="28" t="s">
        <v>51</v>
      </c>
      <c r="M4655" s="25">
        <v>530</v>
      </c>
      <c r="N4655" s="27">
        <v>0.99991945288753803</v>
      </c>
    </row>
    <row r="4656" spans="1:14" x14ac:dyDescent="0.15">
      <c r="A4656" s="23" t="str">
        <f>HYPERLINK("https://www.spark-marketing.ru/Card/Person/56576", "МО МВД РОССИИ ""АПАТИТСКИЙ""")</f>
        <v>МО МВД РОССИИ "АПАТИТСКИЙ"</v>
      </c>
      <c r="B4656" s="24" t="s">
        <v>7499</v>
      </c>
      <c r="C4656" s="25">
        <v>1200000</v>
      </c>
      <c r="D4656" s="22" t="s">
        <v>7529</v>
      </c>
      <c r="E4656" s="22" t="s">
        <v>48</v>
      </c>
      <c r="F4656" s="23" t="str">
        <f>HYPERLINK("https://www.spark-marketing.ru/Card/Lot/73160787", "Услуги питания (г.Апатиты)")</f>
        <v>Услуги питания (г.Апатиты)</v>
      </c>
      <c r="G4656" s="22" t="s">
        <v>340</v>
      </c>
      <c r="H4656" s="22" t="s">
        <v>7501</v>
      </c>
      <c r="I4656" s="26">
        <v>43707.439606481501</v>
      </c>
      <c r="J4656" s="23" t="str">
        <f>HYPERLINK("https://www.spark-marketing.ru/Card/Person/4364166", "МУП ""ЗАПОЛЯРЬЕ""")</f>
        <v>МУП "ЗАПОЛЯРЬЕ"</v>
      </c>
      <c r="K4656" s="24" t="s">
        <v>7502</v>
      </c>
      <c r="L4656" s="22" t="s">
        <v>10</v>
      </c>
      <c r="M4656" s="28" t="s">
        <v>51</v>
      </c>
      <c r="N4656" s="28" t="s">
        <v>51</v>
      </c>
    </row>
    <row r="4657" spans="1:14" x14ac:dyDescent="0.15">
      <c r="A4657" s="23" t="str">
        <f>HYPERLINK("https://www.spark-marketing.ru/Card/Person/737290", "ГКУ «ЦБЗ ПРИ МИНЗДРАВЕ КАРЕЛИИ»")</f>
        <v>ГКУ «ЦБЗ ПРИ МИНЗДРАВЕ КАРЕЛИИ»</v>
      </c>
      <c r="B4657" s="24" t="s">
        <v>312</v>
      </c>
      <c r="C4657" s="25">
        <v>9326079.8399999999</v>
      </c>
      <c r="D4657" s="22" t="s">
        <v>7530</v>
      </c>
      <c r="E4657" s="22" t="s">
        <v>52</v>
      </c>
      <c r="F4657" s="23" t="str">
        <f>HYPERLINK("https://www.spark-marketing.ru/Card/Lot/73162382", "Поставка лекарственного препарата Ривароксабан,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Ривароксабан,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4657" s="22" t="s">
        <v>59</v>
      </c>
      <c r="H4657" s="22" t="s">
        <v>314</v>
      </c>
      <c r="I4657" s="26">
        <v>43707.370428240698</v>
      </c>
      <c r="J4657" s="23" t="str">
        <f>HYPERLINK("https://www.spark-marketing.ru/Card/Person/6073224", "ООО ""ЛЕКСТОР""")</f>
        <v>ООО "ЛЕКСТОР"</v>
      </c>
      <c r="K4657" s="24" t="s">
        <v>2797</v>
      </c>
      <c r="L4657" s="22" t="s">
        <v>10</v>
      </c>
      <c r="M4657" s="28" t="s">
        <v>51</v>
      </c>
      <c r="N4657" s="28" t="s">
        <v>51</v>
      </c>
    </row>
    <row r="4658" spans="1:14" x14ac:dyDescent="0.15">
      <c r="A4658" s="23" t="str">
        <f>HYPERLINK("https://www.spark-marketing.ru/Card/Person/62324", "ГБУЗ ""ВЫШНЕВОЛОЦКАЯ ЦРБ""")</f>
        <v>ГБУЗ "ВЫШНЕВОЛОЦКАЯ ЦРБ"</v>
      </c>
      <c r="B4658" s="24" t="s">
        <v>7531</v>
      </c>
      <c r="C4658" s="25">
        <v>736000</v>
      </c>
      <c r="D4658" s="22" t="s">
        <v>7532</v>
      </c>
      <c r="E4658" s="22" t="s">
        <v>48</v>
      </c>
      <c r="F4658" s="23" t="str">
        <f>HYPERLINK("https://www.spark-marketing.ru/Card/Lot/73151931", "Оказание услуг по организации горячего питания больных")</f>
        <v>Оказание услуг по организации горячего питания больных</v>
      </c>
      <c r="G4658" s="22" t="s">
        <v>137</v>
      </c>
      <c r="H4658" s="22" t="s">
        <v>1044</v>
      </c>
      <c r="I4658" s="26">
        <v>43707.414907407401</v>
      </c>
      <c r="J4658" s="23" t="str">
        <f>HYPERLINK("https://www.spark-marketing.ru/Card/Person/137941", "Пушкина Светлана Александровна")</f>
        <v>Пушкина Светлана Александровна</v>
      </c>
      <c r="K4658" s="24" t="s">
        <v>3193</v>
      </c>
      <c r="L4658" s="22" t="s">
        <v>10</v>
      </c>
      <c r="M4658" s="28" t="s">
        <v>51</v>
      </c>
      <c r="N4658" s="28" t="s">
        <v>51</v>
      </c>
    </row>
    <row r="4659" spans="1:14" x14ac:dyDescent="0.15">
      <c r="A4659" s="23" t="str">
        <f>HYPERLINK("https://www.spark-marketing.ru/Card/Person/737290", "ГКУ «ЦБЗ ПРИ МИНЗДРАВЕ КАРЕЛИИ»")</f>
        <v>ГКУ «ЦБЗ ПРИ МИНЗДРАВЕ КАРЕЛИИ»</v>
      </c>
      <c r="B4659" s="24" t="s">
        <v>312</v>
      </c>
      <c r="C4659" s="25">
        <v>300518</v>
      </c>
      <c r="D4659" s="22" t="s">
        <v>7533</v>
      </c>
      <c r="E4659" s="22" t="s">
        <v>52</v>
      </c>
      <c r="F4659" s="23" t="str">
        <f>HYPERLINK("https://www.spark-marketing.ru/Card/Lot/73143385", "Поставка лекарственного препарата Лактулоза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рецепт...")</f>
        <v>Поставка лекарственного препарата Лактулоза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</v>
      </c>
      <c r="G4659" s="22" t="s">
        <v>59</v>
      </c>
      <c r="H4659" s="22" t="s">
        <v>314</v>
      </c>
      <c r="I4659" s="26">
        <v>43707.3809259259</v>
      </c>
      <c r="J4659" s="23" t="str">
        <f>HYPERLINK("https://www.spark-marketing.ru/Card/Person/6231467", "ООО ""ОБЛФАРМ АЛЬЯНС""")</f>
        <v>ООО "ОБЛФАРМ АЛЬЯНС"</v>
      </c>
      <c r="K4659" s="24" t="s">
        <v>2175</v>
      </c>
      <c r="L4659" s="22" t="s">
        <v>10</v>
      </c>
      <c r="M4659" s="28" t="s">
        <v>51</v>
      </c>
      <c r="N4659" s="28" t="s">
        <v>51</v>
      </c>
    </row>
    <row r="4660" spans="1:14" x14ac:dyDescent="0.15">
      <c r="A4660" s="23" t="str">
        <f>HYPERLINK("https://www.spark-marketing.ru/Card/Person/112824", "МДОУ № 55")</f>
        <v>МДОУ № 55</v>
      </c>
      <c r="B4660" s="24" t="s">
        <v>7534</v>
      </c>
      <c r="C4660" s="25">
        <v>10204851.359999999</v>
      </c>
      <c r="D4660" s="22" t="s">
        <v>7535</v>
      </c>
      <c r="E4660" s="22" t="s">
        <v>48</v>
      </c>
      <c r="F4660" s="23" t="str">
        <f>HYPERLINK("https://www.spark-marketing.ru/Card/Lot/73163671", "Оказание услуг по организации питания воспитанников муниципального дошкольного образовательного учреждения «Детский сад № 55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 55 общеразвивающего вида»</v>
      </c>
      <c r="G4660" s="22" t="s">
        <v>49</v>
      </c>
      <c r="H4660" s="22" t="s">
        <v>742</v>
      </c>
      <c r="I4660" s="26">
        <v>43707.379537036999</v>
      </c>
      <c r="J4660" s="28" t="s">
        <v>51</v>
      </c>
      <c r="K4660" s="28" t="s">
        <v>51</v>
      </c>
      <c r="L4660" s="28" t="s">
        <v>51</v>
      </c>
      <c r="M4660" s="28" t="s">
        <v>51</v>
      </c>
      <c r="N4660" s="28" t="s">
        <v>51</v>
      </c>
    </row>
    <row r="4661" spans="1:14" hidden="1" outlineLevel="1" x14ac:dyDescent="0.2">
      <c r="A4661" s="23" t="str">
        <f>HYPERLINK("https://www.spark-marketing.ru/Card/Person/112824", "МДОУ № 55")</f>
        <v>МДОУ № 55</v>
      </c>
      <c r="B4661" s="24" t="s">
        <v>7534</v>
      </c>
      <c r="C4661" s="25">
        <v>10204851.359999999</v>
      </c>
      <c r="D4661" s="22" t="s">
        <v>7535</v>
      </c>
      <c r="E4661" s="22" t="s">
        <v>48</v>
      </c>
      <c r="F4661" s="23" t="str">
        <f>HYPERLINK("https://www.spark-marketing.ru/Card/Lot/73163671", "Оказание услуг по организации питания воспитанников муниципального дошкольного образовательного учреждения «Детский сад № 55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 55 общеразвивающего вида»</v>
      </c>
      <c r="G4661" s="22" t="s">
        <v>49</v>
      </c>
      <c r="H4661" s="22" t="s">
        <v>742</v>
      </c>
      <c r="I4661" s="26">
        <v>43707.379537036999</v>
      </c>
      <c r="J4661" s="23" t="str">
        <f>HYPERLINK("https://www.spark-marketing.ru/Card/Person/57370", "ООО ""КП ""ЭКОПРОДУКТ""")</f>
        <v>ООО "КП "ЭКОПРОДУКТ"</v>
      </c>
      <c r="K4661" s="24" t="s">
        <v>6251</v>
      </c>
      <c r="L4661" s="28" t="s">
        <v>51</v>
      </c>
      <c r="M4661" s="25">
        <v>9184557.6799999997</v>
      </c>
      <c r="N4661" s="27">
        <v>9.9981238727224336E-2</v>
      </c>
    </row>
    <row r="4662" spans="1:14" hidden="1" outlineLevel="1" x14ac:dyDescent="0.15">
      <c r="A4662" s="23" t="str">
        <f>HYPERLINK("https://www.spark-marketing.ru/Card/Person/112824", "МДОУ № 55")</f>
        <v>МДОУ № 55</v>
      </c>
      <c r="B4662" s="24" t="s">
        <v>7534</v>
      </c>
      <c r="C4662" s="25">
        <v>10204851.359999999</v>
      </c>
      <c r="D4662" s="22" t="s">
        <v>7535</v>
      </c>
      <c r="E4662" s="22" t="s">
        <v>48</v>
      </c>
      <c r="F4662" s="23" t="str">
        <f>HYPERLINK("https://www.spark-marketing.ru/Card/Lot/73163671", "Оказание услуг по организации питания воспитанников муниципального дошкольного образовательного учреждения «Детский сад № 55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 55 общеразвивающего вида»</v>
      </c>
      <c r="G4662" s="22" t="s">
        <v>49</v>
      </c>
      <c r="H4662" s="22" t="s">
        <v>742</v>
      </c>
      <c r="I4662" s="26">
        <v>43707.379537036999</v>
      </c>
      <c r="J4662" s="23" t="str">
        <f>HYPERLINK("https://www.spark-marketing.ru/Card/Person/55369", "ООО ""КОМБИНАТ ОБЩЕСТВЕННОГО ПИТАНИЯ""")</f>
        <v>ООО "КОМБИНАТ ОБЩЕСТВЕННОГО ПИТАНИЯ"</v>
      </c>
      <c r="K4662" s="24" t="s">
        <v>1516</v>
      </c>
      <c r="L4662" s="28" t="s">
        <v>51</v>
      </c>
      <c r="M4662" s="28" t="s">
        <v>51</v>
      </c>
      <c r="N4662" s="28" t="s">
        <v>51</v>
      </c>
    </row>
    <row r="4663" spans="1:14" ht="12.75" hidden="1" outlineLevel="1" x14ac:dyDescent="0.2">
      <c r="A4663" s="23" t="str">
        <f>HYPERLINK("https://www.spark-marketing.ru/Card/Person/112824", "МДОУ № 55")</f>
        <v>МДОУ № 55</v>
      </c>
      <c r="B4663" s="24" t="s">
        <v>7534</v>
      </c>
      <c r="C4663" s="25">
        <v>10204851.359999999</v>
      </c>
      <c r="D4663" s="22" t="s">
        <v>7535</v>
      </c>
      <c r="E4663" s="22" t="s">
        <v>48</v>
      </c>
      <c r="F4663" s="23" t="str">
        <f>HYPERLINK("https://www.spark-marketing.ru/Card/Lot/73163671", "Оказание услуг по организации питания воспитанников муниципального дошкольного образовательного учреждения «Детский сад № 55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 55 общеразвивающего вида»</v>
      </c>
      <c r="G4663" s="22" t="s">
        <v>49</v>
      </c>
      <c r="H4663" s="22" t="s">
        <v>742</v>
      </c>
      <c r="I4663" s="26">
        <v>43707.379537036999</v>
      </c>
      <c r="J4663" s="23" t="str">
        <f>HYPERLINK("https://www.spark-marketing.ru/Card/Person/100937", "ООО ""ВЕРТИКАЛЬ""")</f>
        <v>ООО "ВЕРТИКАЛЬ"</v>
      </c>
      <c r="K4663" s="24" t="s">
        <v>4501</v>
      </c>
      <c r="L4663" s="22" t="s">
        <v>10</v>
      </c>
      <c r="M4663" s="25">
        <v>10202899.68</v>
      </c>
      <c r="N4663" s="27">
        <v>1.9125021336910487E-4</v>
      </c>
    </row>
    <row r="4664" spans="1:14" x14ac:dyDescent="0.15">
      <c r="A4664" s="23" t="str">
        <f>HYPERLINK("https://www.spark-marketing.ru/Card/Person/9555", "ОМВД РОССИИ ПО ОНЕЖСКОМУ РАЙОНУ")</f>
        <v>ОМВД РОССИИ ПО ОНЕЖСКОМУ РАЙОНУ</v>
      </c>
      <c r="B4664" s="24" t="s">
        <v>7536</v>
      </c>
      <c r="C4664" s="25">
        <v>1560000</v>
      </c>
      <c r="D4664" s="22" t="s">
        <v>7537</v>
      </c>
      <c r="E4664" s="22" t="s">
        <v>48</v>
      </c>
      <c r="F4664" s="23" t="str">
        <f>HYPERLINK("https://www.spark-marketing.ru/Card/Lot/73141043", "Услуги по обеспечению питанием ИВС и СПСЗЛ")</f>
        <v>Услуги по обеспечению питанием ИВС и СПСЗЛ</v>
      </c>
      <c r="G4664" s="22" t="s">
        <v>214</v>
      </c>
      <c r="H4664" s="22" t="s">
        <v>214</v>
      </c>
      <c r="I4664" s="26">
        <v>43707.398587962998</v>
      </c>
      <c r="J4664" s="23" t="str">
        <f>HYPERLINK("https://www.spark-marketing.ru/Card/Person/6226821", "Вострокнутова Наталья Васильевна")</f>
        <v>Вострокнутова Наталья Васильевна</v>
      </c>
      <c r="K4664" s="24" t="s">
        <v>7538</v>
      </c>
      <c r="L4664" s="22" t="s">
        <v>10</v>
      </c>
      <c r="M4664" s="28" t="s">
        <v>51</v>
      </c>
      <c r="N4664" s="28" t="s">
        <v>51</v>
      </c>
    </row>
    <row r="4665" spans="1:14" x14ac:dyDescent="0.15">
      <c r="A4665" s="23" t="str">
        <f>HYPERLINK("https://www.spark-marketing.ru/Card/Person/4355919", "МО МВД РОССИИ ""РОДНИКОВСКИЙ""")</f>
        <v>МО МВД РОССИИ "РОДНИКОВСКИЙ"</v>
      </c>
      <c r="B4665" s="24" t="s">
        <v>7539</v>
      </c>
      <c r="C4665" s="25">
        <v>284900</v>
      </c>
      <c r="D4665" s="22" t="s">
        <v>7540</v>
      </c>
      <c r="E4665" s="22" t="s">
        <v>48</v>
      </c>
      <c r="F4665" s="23" t="str">
        <f>HYPERLINK("https://www.spark-marketing.ru/Card/Lot/73136342", "Оказание услуг по организации питания (приготовлению и доставке) для ИВС, 1295 усл. ед")</f>
        <v>Оказание услуг по организации питания (приготовлению и доставке) для ИВС, 1295 усл. ед</v>
      </c>
      <c r="G4665" s="22" t="s">
        <v>1047</v>
      </c>
      <c r="H4665" s="22" t="s">
        <v>7541</v>
      </c>
      <c r="I4665" s="26">
        <v>43707.392592592601</v>
      </c>
      <c r="J4665" s="28" t="s">
        <v>51</v>
      </c>
      <c r="K4665" s="28" t="s">
        <v>51</v>
      </c>
      <c r="L4665" s="28" t="s">
        <v>51</v>
      </c>
      <c r="M4665" s="28" t="s">
        <v>51</v>
      </c>
      <c r="N4665" s="28" t="s">
        <v>51</v>
      </c>
    </row>
    <row r="4666" spans="1:14" x14ac:dyDescent="0.15">
      <c r="A4666" s="23" t="str">
        <f>HYPERLINK("https://www.spark-marketing.ru/Card/Person/6710818", "АО ЖЕЛЕЗНОДОРОЖНАЯ ТОРГОВАЯ КОМПАНИЯ ЧИТИНСКИЙ ФЛ")</f>
        <v>АО ЖЕЛЕЗНОДОРОЖНАЯ ТОРГОВАЯ КОМПАНИЯ ЧИТИНСКИЙ ФЛ</v>
      </c>
      <c r="B4666" s="28" t="s">
        <v>51</v>
      </c>
      <c r="C4666" s="25">
        <v>3646832.6</v>
      </c>
      <c r="D4666" s="22" t="s">
        <v>7542</v>
      </c>
      <c r="E4666" s="22" t="s">
        <v>2314</v>
      </c>
      <c r="F4666" s="23" t="str">
        <f>HYPERLINK("https://www.spark-marketing.ru/Card/Lot/73988244", "Поставка бакалейной продукции для предприятий общественного питания Читинского ТПО, оказывающих услуги питания работникам ОАО ""РЖД""")</f>
        <v>Поставка бакалейной продукции для предприятий общественного питания Читинского ТПО, оказывающих услуги питания работникам ОАО "РЖД"</v>
      </c>
      <c r="G4666" s="22" t="s">
        <v>51</v>
      </c>
      <c r="H4666" s="22" t="s">
        <v>51</v>
      </c>
      <c r="I4666" s="26">
        <v>43707.381944444402</v>
      </c>
      <c r="J4666" s="28" t="s">
        <v>51</v>
      </c>
      <c r="K4666" s="28" t="s">
        <v>51</v>
      </c>
      <c r="L4666" s="28" t="s">
        <v>51</v>
      </c>
      <c r="M4666" s="28" t="s">
        <v>51</v>
      </c>
      <c r="N4666" s="28" t="s">
        <v>51</v>
      </c>
    </row>
    <row r="4667" spans="1:14" x14ac:dyDescent="0.15">
      <c r="A4667" s="23" t="str">
        <f>HYPERLINK("https://www.spark-marketing.ru/Card/Person/4347342", "ГБУЗРК ""КРКПБ № 1 ИМ. Н.И. БАЛАБАНА""")</f>
        <v>ГБУЗРК "КРКПБ № 1 ИМ. Н.И. БАЛАБАНА"</v>
      </c>
      <c r="B4667" s="24" t="s">
        <v>1353</v>
      </c>
      <c r="C4667" s="25">
        <v>4900000</v>
      </c>
      <c r="D4667" s="22" t="s">
        <v>7543</v>
      </c>
      <c r="E4667" s="22" t="s">
        <v>48</v>
      </c>
      <c r="F4667" s="23" t="str">
        <f>HYPERLINK("https://www.spark-marketing.ru/Card/Lot/73141638", "Услуги по обеспечению питанием больных")</f>
        <v>Услуги по обеспечению питанием больных</v>
      </c>
      <c r="G4667" s="22" t="s">
        <v>108</v>
      </c>
      <c r="H4667" s="22" t="s">
        <v>1355</v>
      </c>
      <c r="I4667" s="26">
        <v>43707.3578472222</v>
      </c>
      <c r="J4667" s="23" t="str">
        <f>HYPERLINK("https://www.spark-marketing.ru/Card/Person/6074992", "ООО ""ОПДП""")</f>
        <v>ООО "ОПДП"</v>
      </c>
      <c r="K4667" s="24" t="s">
        <v>1356</v>
      </c>
      <c r="L4667" s="22" t="s">
        <v>10</v>
      </c>
      <c r="M4667" s="28" t="s">
        <v>51</v>
      </c>
      <c r="N4667" s="28" t="s">
        <v>51</v>
      </c>
    </row>
    <row r="4668" spans="1:14" x14ac:dyDescent="0.15">
      <c r="A4668" s="23" t="str">
        <f>HYPERLINK("https://www.spark-marketing.ru/Card/Person/112911", "МДОУ № 47")</f>
        <v>МДОУ № 47</v>
      </c>
      <c r="B4668" s="24" t="s">
        <v>7544</v>
      </c>
      <c r="C4668" s="25">
        <v>22650715.120000001</v>
      </c>
      <c r="D4668" s="22" t="s">
        <v>7545</v>
      </c>
      <c r="E4668" s="22" t="s">
        <v>48</v>
      </c>
      <c r="F4668" s="23" t="str">
        <f>HYPERLINK("https://www.spark-marketing.ru/Card/Lot/73163672", "Оказание услуг по организации питания воспитанников муниципального дошкольного образовательного учреждения «Центр развития ребенка- детский сад № 47»")</f>
        <v>Оказание услуг по организации питания воспитанников муниципального дошкольного образовательного учреждения «Центр развития ребенка- детский сад № 47»</v>
      </c>
      <c r="G4668" s="22" t="s">
        <v>49</v>
      </c>
      <c r="H4668" s="22" t="s">
        <v>742</v>
      </c>
      <c r="I4668" s="26">
        <v>43707.380243055602</v>
      </c>
      <c r="J4668" s="28" t="s">
        <v>51</v>
      </c>
      <c r="K4668" s="28" t="s">
        <v>51</v>
      </c>
      <c r="L4668" s="28" t="s">
        <v>51</v>
      </c>
      <c r="M4668" s="28" t="s">
        <v>51</v>
      </c>
      <c r="N4668" s="28" t="s">
        <v>51</v>
      </c>
    </row>
    <row r="4669" spans="1:14" hidden="1" outlineLevel="1" x14ac:dyDescent="0.15">
      <c r="A4669" s="23" t="str">
        <f>HYPERLINK("https://www.spark-marketing.ru/Card/Person/112911", "МДОУ № 47")</f>
        <v>МДОУ № 47</v>
      </c>
      <c r="B4669" s="24" t="s">
        <v>7544</v>
      </c>
      <c r="C4669" s="25">
        <v>22650715.120000001</v>
      </c>
      <c r="D4669" s="22" t="s">
        <v>7545</v>
      </c>
      <c r="E4669" s="22" t="s">
        <v>48</v>
      </c>
      <c r="F4669" s="23" t="str">
        <f>HYPERLINK("https://www.spark-marketing.ru/Card/Lot/73163672", "Оказание услуг по организации питания воспитанников муниципального дошкольного образовательного учреждения «Центр развития ребенка- детский сад № 47»")</f>
        <v>Оказание услуг по организации питания воспитанников муниципального дошкольного образовательного учреждения «Центр развития ребенка- детский сад № 47»</v>
      </c>
      <c r="G4669" s="22" t="s">
        <v>49</v>
      </c>
      <c r="H4669" s="22" t="s">
        <v>742</v>
      </c>
      <c r="I4669" s="26">
        <v>43707.380243055602</v>
      </c>
      <c r="J4669" s="23" t="str">
        <f>HYPERLINK("https://www.spark-marketing.ru/Card/Person/55369", "ООО ""КОМБИНАТ ОБЩЕСТВЕННОГО ПИТАНИЯ""")</f>
        <v>ООО "КОМБИНАТ ОБЩЕСТВЕННОГО ПИТАНИЯ"</v>
      </c>
      <c r="K4669" s="24" t="s">
        <v>1516</v>
      </c>
      <c r="L4669" s="28" t="s">
        <v>51</v>
      </c>
      <c r="M4669" s="28" t="s">
        <v>51</v>
      </c>
      <c r="N4669" s="28" t="s">
        <v>51</v>
      </c>
    </row>
    <row r="4670" spans="1:14" hidden="1" outlineLevel="1" x14ac:dyDescent="0.2">
      <c r="A4670" s="23" t="str">
        <f>HYPERLINK("https://www.spark-marketing.ru/Card/Person/112911", "МДОУ № 47")</f>
        <v>МДОУ № 47</v>
      </c>
      <c r="B4670" s="24" t="s">
        <v>7544</v>
      </c>
      <c r="C4670" s="25">
        <v>22650715.120000001</v>
      </c>
      <c r="D4670" s="22" t="s">
        <v>7545</v>
      </c>
      <c r="E4670" s="22" t="s">
        <v>48</v>
      </c>
      <c r="F4670" s="23" t="str">
        <f>HYPERLINK("https://www.spark-marketing.ru/Card/Lot/73163672", "Оказание услуг по организации питания воспитанников муниципального дошкольного образовательного учреждения «Центр развития ребенка- детский сад № 47»")</f>
        <v>Оказание услуг по организации питания воспитанников муниципального дошкольного образовательного учреждения «Центр развития ребенка- детский сад № 47»</v>
      </c>
      <c r="G4670" s="22" t="s">
        <v>49</v>
      </c>
      <c r="H4670" s="22" t="s">
        <v>742</v>
      </c>
      <c r="I4670" s="26">
        <v>43707.380243055602</v>
      </c>
      <c r="J4670" s="23" t="str">
        <f>HYPERLINK("https://www.spark-marketing.ru/Card/Person/57370", "ООО ""КП ""ЭКОПРОДУКТ""")</f>
        <v>ООО "КП "ЭКОПРОДУКТ"</v>
      </c>
      <c r="K4670" s="24" t="s">
        <v>6251</v>
      </c>
      <c r="L4670" s="28" t="s">
        <v>51</v>
      </c>
      <c r="M4670" s="25">
        <v>20386115.399999999</v>
      </c>
      <c r="N4670" s="27">
        <v>9.9979170988752433E-2</v>
      </c>
    </row>
    <row r="4671" spans="1:14" ht="12.75" hidden="1" outlineLevel="1" x14ac:dyDescent="0.2">
      <c r="A4671" s="23" t="str">
        <f>HYPERLINK("https://www.spark-marketing.ru/Card/Person/112911", "МДОУ № 47")</f>
        <v>МДОУ № 47</v>
      </c>
      <c r="B4671" s="24" t="s">
        <v>7544</v>
      </c>
      <c r="C4671" s="25">
        <v>22650715.120000001</v>
      </c>
      <c r="D4671" s="22" t="s">
        <v>7545</v>
      </c>
      <c r="E4671" s="22" t="s">
        <v>48</v>
      </c>
      <c r="F4671" s="23" t="str">
        <f>HYPERLINK("https://www.spark-marketing.ru/Card/Lot/73163672", "Оказание услуг по организации питания воспитанников муниципального дошкольного образовательного учреждения «Центр развития ребенка- детский сад № 47»")</f>
        <v>Оказание услуг по организации питания воспитанников муниципального дошкольного образовательного учреждения «Центр развития ребенка- детский сад № 47»</v>
      </c>
      <c r="G4671" s="22" t="s">
        <v>49</v>
      </c>
      <c r="H4671" s="22" t="s">
        <v>742</v>
      </c>
      <c r="I4671" s="26">
        <v>43707.380243055602</v>
      </c>
      <c r="J4671" s="23" t="str">
        <f>HYPERLINK("https://www.spark-marketing.ru/Card/Person/100937", "ООО ""ВЕРТИКАЛЬ""")</f>
        <v>ООО "ВЕРТИКАЛЬ"</v>
      </c>
      <c r="K4671" s="24" t="s">
        <v>4501</v>
      </c>
      <c r="L4671" s="22" t="s">
        <v>10</v>
      </c>
      <c r="M4671" s="25">
        <v>22646405.559999999</v>
      </c>
      <c r="N4671" s="27">
        <v>1.9026154261216985E-4</v>
      </c>
    </row>
    <row r="4672" spans="1:14" x14ac:dyDescent="0.15">
      <c r="A4672" s="23" t="str">
        <f>HYPERLINK("https://www.spark-marketing.ru/Card/Person/1069213", "ОТДЕЛ МВД РОССИИ ПО КОТОВСКОМУ РАЙОНУ")</f>
        <v>ОТДЕЛ МВД РОССИИ ПО КОТОВСКОМУ РАЙОНУ</v>
      </c>
      <c r="B4672" s="24" t="s">
        <v>3845</v>
      </c>
      <c r="C4672" s="25">
        <v>555000</v>
      </c>
      <c r="D4672" s="22" t="s">
        <v>7546</v>
      </c>
      <c r="E4672" s="22" t="s">
        <v>48</v>
      </c>
      <c r="F4672" s="23" t="str">
        <f>HYPERLINK("https://www.spark-marketing.ru/Card/Lot/73136870", "Услуги по обеспечению горячим питанием лиц, содержащихся в ИВС и КАЗ")</f>
        <v>Услуги по обеспечению горячим питанием лиц, содержащихся в ИВС и КАЗ</v>
      </c>
      <c r="G4672" s="22" t="s">
        <v>158</v>
      </c>
      <c r="H4672" s="22" t="s">
        <v>158</v>
      </c>
      <c r="I4672" s="26">
        <v>43706.541018518503</v>
      </c>
      <c r="J4672" s="28" t="s">
        <v>51</v>
      </c>
      <c r="K4672" s="28" t="s">
        <v>51</v>
      </c>
      <c r="L4672" s="28" t="s">
        <v>51</v>
      </c>
      <c r="M4672" s="28" t="s">
        <v>51</v>
      </c>
      <c r="N4672" s="28" t="s">
        <v>51</v>
      </c>
    </row>
    <row r="4673" spans="1:14" x14ac:dyDescent="0.15">
      <c r="A4673" s="23" t="str">
        <f t="shared" ref="A4673:A4682" si="82">HYPERLINK("https://www.spark-marketing.ru/Card/Person/20282", """ГБУ ГП №180 ДЗМ""")</f>
        <v>"ГБУ ГП №180 ДЗМ"</v>
      </c>
      <c r="B4673" s="24" t="s">
        <v>7547</v>
      </c>
      <c r="C4673" s="25">
        <v>499748.76</v>
      </c>
      <c r="D4673" s="22" t="s">
        <v>7548</v>
      </c>
      <c r="E4673" s="22" t="s">
        <v>756</v>
      </c>
      <c r="F4673" s="23" t="str">
        <f t="shared" ref="F4673:F4682" si="83">HYPERLINK("https://www.spark-marketing.ru/Card/Lot/73140782", "Оказание услуг по техническому обслуживанию систем автоматической пожарной сигнализации")</f>
        <v>Оказание услуг по техническому обслуживанию систем автоматической пожарной сигнализации</v>
      </c>
      <c r="G4673" s="22" t="s">
        <v>56</v>
      </c>
      <c r="H4673" s="22" t="s">
        <v>56</v>
      </c>
      <c r="I4673" s="26">
        <v>43707.397407407399</v>
      </c>
      <c r="J4673" s="28" t="s">
        <v>51</v>
      </c>
      <c r="K4673" s="28" t="s">
        <v>51</v>
      </c>
      <c r="L4673" s="28" t="s">
        <v>51</v>
      </c>
      <c r="M4673" s="28" t="s">
        <v>51</v>
      </c>
      <c r="N4673" s="28" t="s">
        <v>51</v>
      </c>
    </row>
    <row r="4674" spans="1:14" ht="12.75" hidden="1" outlineLevel="1" x14ac:dyDescent="0.2">
      <c r="A4674" s="23" t="str">
        <f t="shared" si="82"/>
        <v>"ГБУ ГП №180 ДЗМ"</v>
      </c>
      <c r="B4674" s="24" t="s">
        <v>7547</v>
      </c>
      <c r="C4674" s="25">
        <v>499748.76</v>
      </c>
      <c r="D4674" s="22" t="s">
        <v>7548</v>
      </c>
      <c r="E4674" s="22" t="s">
        <v>756</v>
      </c>
      <c r="F4674" s="23" t="str">
        <f t="shared" si="83"/>
        <v>Оказание услуг по техническому обслуживанию систем автоматической пожарной сигнализации</v>
      </c>
      <c r="G4674" s="22" t="s">
        <v>56</v>
      </c>
      <c r="H4674" s="22" t="s">
        <v>56</v>
      </c>
      <c r="I4674" s="26">
        <v>43707.397407407399</v>
      </c>
      <c r="J4674" s="23" t="str">
        <f>HYPERLINK("https://www.spark-marketing.ru/Card/Person/6062577", "ООО ""АЛЬФАПАРТНЕР""")</f>
        <v>ООО "АЛЬФАПАРТНЕР"</v>
      </c>
      <c r="K4674" s="24" t="s">
        <v>7549</v>
      </c>
      <c r="L4674" s="22" t="s">
        <v>10</v>
      </c>
      <c r="M4674" s="25">
        <v>37481.22</v>
      </c>
      <c r="N4674" s="27">
        <v>0.92499987393665573</v>
      </c>
    </row>
    <row r="4675" spans="1:14" hidden="1" outlineLevel="1" x14ac:dyDescent="0.2">
      <c r="A4675" s="23" t="str">
        <f t="shared" si="82"/>
        <v>"ГБУ ГП №180 ДЗМ"</v>
      </c>
      <c r="B4675" s="24" t="s">
        <v>7547</v>
      </c>
      <c r="C4675" s="25">
        <v>499748.76</v>
      </c>
      <c r="D4675" s="22" t="s">
        <v>7548</v>
      </c>
      <c r="E4675" s="22" t="s">
        <v>756</v>
      </c>
      <c r="F4675" s="23" t="str">
        <f t="shared" si="83"/>
        <v>Оказание услуг по техническому обслуживанию систем автоматической пожарной сигнализации</v>
      </c>
      <c r="G4675" s="22" t="s">
        <v>56</v>
      </c>
      <c r="H4675" s="22" t="s">
        <v>56</v>
      </c>
      <c r="I4675" s="26">
        <v>43707.397407407399</v>
      </c>
      <c r="J4675" s="23" t="str">
        <f>HYPERLINK("https://www.spark-marketing.ru/Card/Person/102518", "ООО ""ЧОП ""Т-СИСТЕМЫ ОХРАНЫ""")</f>
        <v>ООО "ЧОП "Т-СИСТЕМЫ ОХРАНЫ"</v>
      </c>
      <c r="K4675" s="24" t="s">
        <v>7550</v>
      </c>
      <c r="L4675" s="28" t="s">
        <v>51</v>
      </c>
      <c r="M4675" s="25">
        <v>107445.98</v>
      </c>
      <c r="N4675" s="27">
        <v>0.78500000680341853</v>
      </c>
    </row>
    <row r="4676" spans="1:14" hidden="1" outlineLevel="1" x14ac:dyDescent="0.2">
      <c r="A4676" s="23" t="str">
        <f t="shared" si="82"/>
        <v>"ГБУ ГП №180 ДЗМ"</v>
      </c>
      <c r="B4676" s="24" t="s">
        <v>7547</v>
      </c>
      <c r="C4676" s="25">
        <v>499748.76</v>
      </c>
      <c r="D4676" s="22" t="s">
        <v>7548</v>
      </c>
      <c r="E4676" s="22" t="s">
        <v>756</v>
      </c>
      <c r="F4676" s="23" t="str">
        <f t="shared" si="83"/>
        <v>Оказание услуг по техническому обслуживанию систем автоматической пожарной сигнализации</v>
      </c>
      <c r="G4676" s="22" t="s">
        <v>56</v>
      </c>
      <c r="H4676" s="22" t="s">
        <v>56</v>
      </c>
      <c r="I4676" s="26">
        <v>43707.397407407399</v>
      </c>
      <c r="J4676" s="23" t="str">
        <f>HYPERLINK("https://www.spark-marketing.ru/Card/Person/1844754", "ООО ""ТСБ""")</f>
        <v>ООО "ТСБ"</v>
      </c>
      <c r="K4676" s="24" t="s">
        <v>7551</v>
      </c>
      <c r="L4676" s="28" t="s">
        <v>51</v>
      </c>
      <c r="M4676" s="25">
        <v>412292.74</v>
      </c>
      <c r="N4676" s="27">
        <v>0.17499997398692896</v>
      </c>
    </row>
    <row r="4677" spans="1:14" hidden="1" outlineLevel="1" x14ac:dyDescent="0.2">
      <c r="A4677" s="23" t="str">
        <f t="shared" si="82"/>
        <v>"ГБУ ГП №180 ДЗМ"</v>
      </c>
      <c r="B4677" s="24" t="s">
        <v>7547</v>
      </c>
      <c r="C4677" s="25">
        <v>499748.76</v>
      </c>
      <c r="D4677" s="22" t="s">
        <v>7548</v>
      </c>
      <c r="E4677" s="22" t="s">
        <v>756</v>
      </c>
      <c r="F4677" s="23" t="str">
        <f t="shared" si="83"/>
        <v>Оказание услуг по техническому обслуживанию систем автоматической пожарной сигнализации</v>
      </c>
      <c r="G4677" s="22" t="s">
        <v>56</v>
      </c>
      <c r="H4677" s="22" t="s">
        <v>56</v>
      </c>
      <c r="I4677" s="26">
        <v>43707.397407407399</v>
      </c>
      <c r="J4677" s="23" t="str">
        <f>HYPERLINK("https://www.spark-marketing.ru/Card/Person/78214", "ООО ""ЦСТС""")</f>
        <v>ООО "ЦСТС"</v>
      </c>
      <c r="K4677" s="24" t="s">
        <v>7552</v>
      </c>
      <c r="L4677" s="28" t="s">
        <v>51</v>
      </c>
      <c r="M4677" s="25">
        <v>437280.18</v>
      </c>
      <c r="N4677" s="27">
        <v>0.12499996998491802</v>
      </c>
    </row>
    <row r="4678" spans="1:14" hidden="1" outlineLevel="1" x14ac:dyDescent="0.2">
      <c r="A4678" s="23" t="str">
        <f t="shared" si="82"/>
        <v>"ГБУ ГП №180 ДЗМ"</v>
      </c>
      <c r="B4678" s="24" t="s">
        <v>7547</v>
      </c>
      <c r="C4678" s="25">
        <v>499748.76</v>
      </c>
      <c r="D4678" s="22" t="s">
        <v>7548</v>
      </c>
      <c r="E4678" s="22" t="s">
        <v>756</v>
      </c>
      <c r="F4678" s="23" t="str">
        <f t="shared" si="83"/>
        <v>Оказание услуг по техническому обслуживанию систем автоматической пожарной сигнализации</v>
      </c>
      <c r="G4678" s="22" t="s">
        <v>56</v>
      </c>
      <c r="H4678" s="22" t="s">
        <v>56</v>
      </c>
      <c r="I4678" s="26">
        <v>43707.397407407399</v>
      </c>
      <c r="J4678" s="23" t="str">
        <f>HYPERLINK("https://www.spark-marketing.ru/Card/Person/5921742", "ООО ""КСБ""")</f>
        <v>ООО "КСБ"</v>
      </c>
      <c r="K4678" s="24" t="s">
        <v>7553</v>
      </c>
      <c r="L4678" s="28" t="s">
        <v>51</v>
      </c>
      <c r="M4678" s="25">
        <v>115000</v>
      </c>
      <c r="N4678" s="27">
        <v>0.7698843714989908</v>
      </c>
    </row>
    <row r="4679" spans="1:14" hidden="1" outlineLevel="1" x14ac:dyDescent="0.2">
      <c r="A4679" s="23" t="str">
        <f t="shared" si="82"/>
        <v>"ГБУ ГП №180 ДЗМ"</v>
      </c>
      <c r="B4679" s="24" t="s">
        <v>7547</v>
      </c>
      <c r="C4679" s="25">
        <v>499748.76</v>
      </c>
      <c r="D4679" s="22" t="s">
        <v>7548</v>
      </c>
      <c r="E4679" s="22" t="s">
        <v>756</v>
      </c>
      <c r="F4679" s="23" t="str">
        <f t="shared" si="83"/>
        <v>Оказание услуг по техническому обслуживанию систем автоматической пожарной сигнализации</v>
      </c>
      <c r="G4679" s="22" t="s">
        <v>56</v>
      </c>
      <c r="H4679" s="22" t="s">
        <v>56</v>
      </c>
      <c r="I4679" s="26">
        <v>43707.397407407399</v>
      </c>
      <c r="J4679" s="23" t="str">
        <f>HYPERLINK("https://www.spark-marketing.ru/Card/Person/61590", "ООО ""ВЕНТПОЖСЕРВИС""")</f>
        <v>ООО "ВЕНТПОЖСЕРВИС"</v>
      </c>
      <c r="K4679" s="24" t="s">
        <v>7554</v>
      </c>
      <c r="L4679" s="28" t="s">
        <v>51</v>
      </c>
      <c r="M4679" s="25">
        <v>39979.96</v>
      </c>
      <c r="N4679" s="27">
        <v>0.91999988154047641</v>
      </c>
    </row>
    <row r="4680" spans="1:14" hidden="1" outlineLevel="1" x14ac:dyDescent="0.2">
      <c r="A4680" s="23" t="str">
        <f t="shared" si="82"/>
        <v>"ГБУ ГП №180 ДЗМ"</v>
      </c>
      <c r="B4680" s="24" t="s">
        <v>7547</v>
      </c>
      <c r="C4680" s="25">
        <v>499748.76</v>
      </c>
      <c r="D4680" s="22" t="s">
        <v>7548</v>
      </c>
      <c r="E4680" s="22" t="s">
        <v>756</v>
      </c>
      <c r="F4680" s="23" t="str">
        <f t="shared" si="83"/>
        <v>Оказание услуг по техническому обслуживанию систем автоматической пожарной сигнализации</v>
      </c>
      <c r="G4680" s="22" t="s">
        <v>56</v>
      </c>
      <c r="H4680" s="22" t="s">
        <v>56</v>
      </c>
      <c r="I4680" s="26">
        <v>43707.397407407399</v>
      </c>
      <c r="J4680" s="23" t="str">
        <f>HYPERLINK("https://www.spark-marketing.ru/Card/Person/1602555", "ООО ""ПОЖМОНТАЖГРУПП""")</f>
        <v>ООО "ПОЖМОНТАЖГРУПП"</v>
      </c>
      <c r="K4680" s="24" t="s">
        <v>7555</v>
      </c>
      <c r="L4680" s="28" t="s">
        <v>51</v>
      </c>
      <c r="M4680" s="25">
        <v>100000</v>
      </c>
      <c r="N4680" s="27">
        <v>0.79989945347738334</v>
      </c>
    </row>
    <row r="4681" spans="1:14" hidden="1" outlineLevel="1" x14ac:dyDescent="0.2">
      <c r="A4681" s="23" t="str">
        <f t="shared" si="82"/>
        <v>"ГБУ ГП №180 ДЗМ"</v>
      </c>
      <c r="B4681" s="24" t="s">
        <v>7547</v>
      </c>
      <c r="C4681" s="25">
        <v>499748.76</v>
      </c>
      <c r="D4681" s="22" t="s">
        <v>7548</v>
      </c>
      <c r="E4681" s="22" t="s">
        <v>756</v>
      </c>
      <c r="F4681" s="23" t="str">
        <f t="shared" si="83"/>
        <v>Оказание услуг по техническому обслуживанию систем автоматической пожарной сигнализации</v>
      </c>
      <c r="G4681" s="22" t="s">
        <v>56</v>
      </c>
      <c r="H4681" s="22" t="s">
        <v>56</v>
      </c>
      <c r="I4681" s="26">
        <v>43707.397407407399</v>
      </c>
      <c r="J4681" s="23" t="str">
        <f>HYPERLINK("https://www.spark-marketing.ru/Card/Person/77060", "ООО ""ЭРТЕЛ""")</f>
        <v>ООО "ЭРТЕЛ"</v>
      </c>
      <c r="K4681" s="24" t="s">
        <v>7556</v>
      </c>
      <c r="L4681" s="28" t="s">
        <v>51</v>
      </c>
      <c r="M4681" s="25">
        <v>234881.92000000001</v>
      </c>
      <c r="N4681" s="27">
        <v>0.5299999943971847</v>
      </c>
    </row>
    <row r="4682" spans="1:14" hidden="1" outlineLevel="1" x14ac:dyDescent="0.2">
      <c r="A4682" s="23" t="str">
        <f t="shared" si="82"/>
        <v>"ГБУ ГП №180 ДЗМ"</v>
      </c>
      <c r="B4682" s="24" t="s">
        <v>7547</v>
      </c>
      <c r="C4682" s="25">
        <v>499748.76</v>
      </c>
      <c r="D4682" s="22" t="s">
        <v>7548</v>
      </c>
      <c r="E4682" s="22" t="s">
        <v>756</v>
      </c>
      <c r="F4682" s="23" t="str">
        <f t="shared" si="83"/>
        <v>Оказание услуг по техническому обслуживанию систем автоматической пожарной сигнализации</v>
      </c>
      <c r="G4682" s="22" t="s">
        <v>56</v>
      </c>
      <c r="H4682" s="22" t="s">
        <v>56</v>
      </c>
      <c r="I4682" s="26">
        <v>43707.397407407399</v>
      </c>
      <c r="J4682" s="23" t="str">
        <f>HYPERLINK("https://www.spark-marketing.ru/Card/Person/6634445", "ООО ""АКТ.РУ""")</f>
        <v>ООО "АКТ.РУ"</v>
      </c>
      <c r="K4682" s="24" t="s">
        <v>7557</v>
      </c>
      <c r="L4682" s="28" t="s">
        <v>51</v>
      </c>
      <c r="M4682" s="25">
        <v>499748.59</v>
      </c>
      <c r="N4682" s="27">
        <v>3.4017092908844839E-7</v>
      </c>
    </row>
    <row r="4683" spans="1:14" x14ac:dyDescent="0.15">
      <c r="A4683" s="23" t="str">
        <f>HYPERLINK("https://www.spark-marketing.ru/Card/Person/131178", "МДОУ № 44")</f>
        <v>МДОУ № 44</v>
      </c>
      <c r="B4683" s="24" t="s">
        <v>7558</v>
      </c>
      <c r="C4683" s="25">
        <v>22143268.300000001</v>
      </c>
      <c r="D4683" s="22" t="s">
        <v>7559</v>
      </c>
      <c r="E4683" s="22" t="s">
        <v>48</v>
      </c>
      <c r="F4683" s="23" t="str">
        <f>HYPERLINK("https://www.spark-marketing.ru/Card/Lot/73163670", "Оказание услуг по организации питания воспитанников муниципального дошкольного образовательного учреждения «Детский сад №44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№44 общеразвивающего вида»</v>
      </c>
      <c r="G4683" s="22" t="s">
        <v>49</v>
      </c>
      <c r="H4683" s="22" t="s">
        <v>742</v>
      </c>
      <c r="I4683" s="26">
        <v>43707.378796296303</v>
      </c>
      <c r="J4683" s="28" t="s">
        <v>51</v>
      </c>
      <c r="K4683" s="28" t="s">
        <v>51</v>
      </c>
      <c r="L4683" s="28" t="s">
        <v>51</v>
      </c>
      <c r="M4683" s="28" t="s">
        <v>51</v>
      </c>
      <c r="N4683" s="28" t="s">
        <v>51</v>
      </c>
    </row>
    <row r="4684" spans="1:14" hidden="1" outlineLevel="1" x14ac:dyDescent="0.15">
      <c r="A4684" s="23" t="str">
        <f>HYPERLINK("https://www.spark-marketing.ru/Card/Person/131178", "МДОУ № 44")</f>
        <v>МДОУ № 44</v>
      </c>
      <c r="B4684" s="24" t="s">
        <v>7558</v>
      </c>
      <c r="C4684" s="25">
        <v>22143268.300000001</v>
      </c>
      <c r="D4684" s="22" t="s">
        <v>7559</v>
      </c>
      <c r="E4684" s="22" t="s">
        <v>48</v>
      </c>
      <c r="F4684" s="23" t="str">
        <f>HYPERLINK("https://www.spark-marketing.ru/Card/Lot/73163670", "Оказание услуг по организации питания воспитанников муниципального дошкольного образовательного учреждения «Детский сад №44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№44 общеразвивающего вида»</v>
      </c>
      <c r="G4684" s="22" t="s">
        <v>49</v>
      </c>
      <c r="H4684" s="22" t="s">
        <v>742</v>
      </c>
      <c r="I4684" s="26">
        <v>43707.378796296303</v>
      </c>
      <c r="J4684" s="23" t="str">
        <f>HYPERLINK("https://www.spark-marketing.ru/Card/Person/55369", "ООО ""КОМБИНАТ ОБЩЕСТВЕННОГО ПИТАНИЯ""")</f>
        <v>ООО "КОМБИНАТ ОБЩЕСТВЕННОГО ПИТАНИЯ"</v>
      </c>
      <c r="K4684" s="24" t="s">
        <v>1516</v>
      </c>
      <c r="L4684" s="28" t="s">
        <v>51</v>
      </c>
      <c r="M4684" s="28" t="s">
        <v>51</v>
      </c>
      <c r="N4684" s="28" t="s">
        <v>51</v>
      </c>
    </row>
    <row r="4685" spans="1:14" hidden="1" outlineLevel="1" x14ac:dyDescent="0.2">
      <c r="A4685" s="23" t="str">
        <f>HYPERLINK("https://www.spark-marketing.ru/Card/Person/131178", "МДОУ № 44")</f>
        <v>МДОУ № 44</v>
      </c>
      <c r="B4685" s="24" t="s">
        <v>7558</v>
      </c>
      <c r="C4685" s="25">
        <v>22143268.300000001</v>
      </c>
      <c r="D4685" s="22" t="s">
        <v>7559</v>
      </c>
      <c r="E4685" s="22" t="s">
        <v>48</v>
      </c>
      <c r="F4685" s="23" t="str">
        <f>HYPERLINK("https://www.spark-marketing.ru/Card/Lot/73163670", "Оказание услуг по организации питания воспитанников муниципального дошкольного образовательного учреждения «Детский сад №44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№44 общеразвивающего вида»</v>
      </c>
      <c r="G4685" s="22" t="s">
        <v>49</v>
      </c>
      <c r="H4685" s="22" t="s">
        <v>742</v>
      </c>
      <c r="I4685" s="26">
        <v>43707.378796296303</v>
      </c>
      <c r="J4685" s="23" t="str">
        <f>HYPERLINK("https://www.spark-marketing.ru/Card/Person/57370", "ООО ""КП ""ЭКОПРОДУКТ""")</f>
        <v>ООО "КП "ЭКОПРОДУКТ"</v>
      </c>
      <c r="K4685" s="24" t="s">
        <v>6251</v>
      </c>
      <c r="L4685" s="28" t="s">
        <v>51</v>
      </c>
      <c r="M4685" s="25">
        <v>19929327.640000001</v>
      </c>
      <c r="N4685" s="27">
        <v>9.9982560388341593E-2</v>
      </c>
    </row>
    <row r="4686" spans="1:14" ht="12.75" hidden="1" outlineLevel="1" x14ac:dyDescent="0.2">
      <c r="A4686" s="23" t="str">
        <f>HYPERLINK("https://www.spark-marketing.ru/Card/Person/131178", "МДОУ № 44")</f>
        <v>МДОУ № 44</v>
      </c>
      <c r="B4686" s="24" t="s">
        <v>7558</v>
      </c>
      <c r="C4686" s="25">
        <v>22143268.300000001</v>
      </c>
      <c r="D4686" s="22" t="s">
        <v>7559</v>
      </c>
      <c r="E4686" s="22" t="s">
        <v>48</v>
      </c>
      <c r="F4686" s="23" t="str">
        <f>HYPERLINK("https://www.spark-marketing.ru/Card/Lot/73163670", "Оказание услуг по организации питания воспитанников муниципального дошкольного образовательного учреждения «Детский сад №44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№44 общеразвивающего вида»</v>
      </c>
      <c r="G4686" s="22" t="s">
        <v>49</v>
      </c>
      <c r="H4686" s="22" t="s">
        <v>742</v>
      </c>
      <c r="I4686" s="26">
        <v>43707.378796296303</v>
      </c>
      <c r="J4686" s="23" t="str">
        <f>HYPERLINK("https://www.spark-marketing.ru/Card/Person/100937", "ООО ""ВЕРТИКАЛЬ""")</f>
        <v>ООО "ВЕРТИКАЛЬ"</v>
      </c>
      <c r="K4686" s="24" t="s">
        <v>4501</v>
      </c>
      <c r="L4686" s="22" t="s">
        <v>10</v>
      </c>
      <c r="M4686" s="25">
        <v>22139019.52</v>
      </c>
      <c r="N4686" s="27">
        <v>1.9187682425362657E-4</v>
      </c>
    </row>
    <row r="4687" spans="1:14" x14ac:dyDescent="0.15">
      <c r="A4687" s="23" t="str">
        <f>HYPERLINK("https://www.spark-marketing.ru/Card/Person/769", "ФКУ ""ЦОКР""")</f>
        <v>ФКУ "ЦОКР"</v>
      </c>
      <c r="B4687" s="24" t="s">
        <v>2576</v>
      </c>
      <c r="C4687" s="25">
        <v>64929.99</v>
      </c>
      <c r="D4687" s="22" t="s">
        <v>7560</v>
      </c>
      <c r="E4687" s="22" t="s">
        <v>1018</v>
      </c>
      <c r="F4687" s="23" t="str">
        <f>HYPERLINK("https://www.spark-marketing.ru/Card/Lot/73133125", "Оказание услуг по проведению специальных проверок и специальных исследований технических средств в сфере информационных технологий для обеспечения государственных нужд Управления Федерального казначейства по Республике Хакасия")</f>
        <v>Оказание услуг по проведению специальных проверок и специальных исследований технических средств в сфере информационных технологий для обеспечения государственных нужд Управления Федерального казначейства по Республике Хакасия</v>
      </c>
      <c r="G4687" s="22" t="s">
        <v>92</v>
      </c>
      <c r="H4687" s="22" t="s">
        <v>92</v>
      </c>
      <c r="I4687" s="26">
        <v>43706.888599537</v>
      </c>
      <c r="J4687" s="28" t="s">
        <v>51</v>
      </c>
      <c r="K4687" s="28" t="s">
        <v>51</v>
      </c>
      <c r="L4687" s="28" t="s">
        <v>51</v>
      </c>
      <c r="M4687" s="28" t="s">
        <v>51</v>
      </c>
      <c r="N4687" s="28" t="s">
        <v>51</v>
      </c>
    </row>
    <row r="4688" spans="1:14" hidden="1" outlineLevel="1" x14ac:dyDescent="0.2">
      <c r="A4688" s="23" t="str">
        <f>HYPERLINK("https://www.spark-marketing.ru/Card/Person/769", "ФКУ ""ЦОКР""")</f>
        <v>ФКУ "ЦОКР"</v>
      </c>
      <c r="B4688" s="24" t="s">
        <v>2576</v>
      </c>
      <c r="C4688" s="25">
        <v>64929.99</v>
      </c>
      <c r="D4688" s="22" t="s">
        <v>7560</v>
      </c>
      <c r="E4688" s="22" t="s">
        <v>1018</v>
      </c>
      <c r="F4688" s="23" t="str">
        <f>HYPERLINK("https://www.spark-marketing.ru/Card/Lot/73133125", "Оказание услуг по проведению специальных проверок и специальных исследований технических средств в сфере информационных технологий для обеспечения государственных нужд Управления Федерального казначейства по Республике Хакасия")</f>
        <v>Оказание услуг по проведению специальных проверок и специальных исследований технических средств в сфере информационных технологий для обеспечения государственных нужд Управления Федерального казначейства по Республике Хакасия</v>
      </c>
      <c r="G4688" s="22" t="s">
        <v>92</v>
      </c>
      <c r="H4688" s="22" t="s">
        <v>92</v>
      </c>
      <c r="I4688" s="26">
        <v>43706.888599537</v>
      </c>
      <c r="J4688" s="23" t="str">
        <f>HYPERLINK("https://www.spark-marketing.ru/Card/Person/58301", "ООО ЧОО ""АРГУМЕНТ""")</f>
        <v>ООО ЧОО "АРГУМЕНТ"</v>
      </c>
      <c r="K4688" s="24" t="s">
        <v>2430</v>
      </c>
      <c r="L4688" s="28" t="s">
        <v>51</v>
      </c>
      <c r="M4688" s="25">
        <v>28000</v>
      </c>
      <c r="N4688" s="27">
        <v>0.56876629736120399</v>
      </c>
    </row>
    <row r="4689" spans="1:14" ht="12.75" hidden="1" outlineLevel="1" x14ac:dyDescent="0.2">
      <c r="A4689" s="23" t="str">
        <f>HYPERLINK("https://www.spark-marketing.ru/Card/Person/769", "ФКУ ""ЦОКР""")</f>
        <v>ФКУ "ЦОКР"</v>
      </c>
      <c r="B4689" s="24" t="s">
        <v>2576</v>
      </c>
      <c r="C4689" s="25">
        <v>64929.99</v>
      </c>
      <c r="D4689" s="22" t="s">
        <v>7560</v>
      </c>
      <c r="E4689" s="22" t="s">
        <v>1018</v>
      </c>
      <c r="F4689" s="23" t="str">
        <f>HYPERLINK("https://www.spark-marketing.ru/Card/Lot/73133125", "Оказание услуг по проведению специальных проверок и специальных исследований технических средств в сфере информационных технологий для обеспечения государственных нужд Управления Федерального казначейства по Республике Хакасия")</f>
        <v>Оказание услуг по проведению специальных проверок и специальных исследований технических средств в сфере информационных технологий для обеспечения государственных нужд Управления Федерального казначейства по Республике Хакасия</v>
      </c>
      <c r="G4689" s="22" t="s">
        <v>92</v>
      </c>
      <c r="H4689" s="22" t="s">
        <v>92</v>
      </c>
      <c r="I4689" s="26">
        <v>43706.888599537</v>
      </c>
      <c r="J4689" s="23" t="str">
        <f>HYPERLINK("https://www.spark-marketing.ru/Card/Person/295572", "АО СА ""ОМЕГА""")</f>
        <v>АО СА "ОМЕГА"</v>
      </c>
      <c r="K4689" s="24" t="s">
        <v>7561</v>
      </c>
      <c r="L4689" s="22" t="s">
        <v>10</v>
      </c>
      <c r="M4689" s="25">
        <v>27899.94</v>
      </c>
      <c r="N4689" s="27">
        <v>0.57030734179999099</v>
      </c>
    </row>
    <row r="4690" spans="1:14" x14ac:dyDescent="0.15">
      <c r="A4690" s="23" t="str">
        <f>HYPERLINK("https://www.spark-marketing.ru/Card/Person/62820", "УПРАВЛЕНИЕ КУЛЬТУРЫ КИРОВСКОГО РАЙОНА ЛО")</f>
        <v>УПРАВЛЕНИЕ КУЛЬТУРЫ КИРОВСКОГО РАЙОНА ЛО</v>
      </c>
      <c r="B4690" s="24" t="s">
        <v>7562</v>
      </c>
      <c r="C4690" s="25">
        <v>165532</v>
      </c>
      <c r="D4690" s="22" t="s">
        <v>7563</v>
      </c>
      <c r="E4690" s="22" t="s">
        <v>67</v>
      </c>
      <c r="F4690" s="23" t="str">
        <f>HYPERLINK("https://www.spark-marketing.ru/Card/Lot/73139688", "Услуги по организации общественного питания при проведении межпоселенческих и районных мероприятий")</f>
        <v>Услуги по организации общественного питания при проведении межпоселенческих и районных мероприятий</v>
      </c>
      <c r="G4690" s="22" t="s">
        <v>162</v>
      </c>
      <c r="H4690" s="22" t="s">
        <v>7564</v>
      </c>
      <c r="I4690" s="26">
        <v>43707.389027777797</v>
      </c>
      <c r="J4690" s="23" t="str">
        <f>HYPERLINK("https://www.spark-marketing.ru/Card/Person/1318650", "Тарасова Елена Сергеевна")</f>
        <v>Тарасова Елена Сергеевна</v>
      </c>
      <c r="K4690" s="24" t="s">
        <v>7565</v>
      </c>
      <c r="L4690" s="22" t="s">
        <v>10</v>
      </c>
      <c r="M4690" s="28" t="s">
        <v>51</v>
      </c>
      <c r="N4690" s="28" t="s">
        <v>51</v>
      </c>
    </row>
    <row r="4691" spans="1:14" x14ac:dyDescent="0.15">
      <c r="A4691" s="23" t="str">
        <f>HYPERLINK("https://www.spark-marketing.ru/Card/Person/103799", "МДОУ № 1")</f>
        <v>МДОУ № 1</v>
      </c>
      <c r="B4691" s="24" t="s">
        <v>7566</v>
      </c>
      <c r="C4691" s="25">
        <v>16977009.920000002</v>
      </c>
      <c r="D4691" s="22" t="s">
        <v>7567</v>
      </c>
      <c r="E4691" s="22" t="s">
        <v>48</v>
      </c>
      <c r="F4691" s="23" t="str">
        <f>HYPERLINK("https://www.spark-marketing.ru/Card/Lot/73163668", "«Оказание услуг по организации питания воспитанников муниципального дошкольного образовательного учреждения «Детский сад №1 общеразвивающего вида»")</f>
        <v>«Оказание услуг по организации питания воспитанников муниципального дошкольного образовательного учреждения «Детский сад №1 общеразвивающего вида»</v>
      </c>
      <c r="G4691" s="22" t="s">
        <v>49</v>
      </c>
      <c r="H4691" s="22" t="s">
        <v>742</v>
      </c>
      <c r="I4691" s="26">
        <v>43707.376400462999</v>
      </c>
      <c r="J4691" s="28" t="s">
        <v>51</v>
      </c>
      <c r="K4691" s="28" t="s">
        <v>51</v>
      </c>
      <c r="L4691" s="28" t="s">
        <v>51</v>
      </c>
      <c r="M4691" s="28" t="s">
        <v>51</v>
      </c>
      <c r="N4691" s="28" t="s">
        <v>51</v>
      </c>
    </row>
    <row r="4692" spans="1:14" hidden="1" outlineLevel="1" x14ac:dyDescent="0.15">
      <c r="A4692" s="23" t="str">
        <f>HYPERLINK("https://www.spark-marketing.ru/Card/Person/103799", "МДОУ № 1")</f>
        <v>МДОУ № 1</v>
      </c>
      <c r="B4692" s="24" t="s">
        <v>7566</v>
      </c>
      <c r="C4692" s="25">
        <v>16977009.920000002</v>
      </c>
      <c r="D4692" s="22" t="s">
        <v>7567</v>
      </c>
      <c r="E4692" s="22" t="s">
        <v>48</v>
      </c>
      <c r="F4692" s="23" t="str">
        <f>HYPERLINK("https://www.spark-marketing.ru/Card/Lot/73163668", "«Оказание услуг по организации питания воспитанников муниципального дошкольного образовательного учреждения «Детский сад №1 общеразвивающего вида»")</f>
        <v>«Оказание услуг по организации питания воспитанников муниципального дошкольного образовательного учреждения «Детский сад №1 общеразвивающего вида»</v>
      </c>
      <c r="G4692" s="22" t="s">
        <v>49</v>
      </c>
      <c r="H4692" s="22" t="s">
        <v>742</v>
      </c>
      <c r="I4692" s="26">
        <v>43707.376400462999</v>
      </c>
      <c r="J4692" s="23" t="str">
        <f>HYPERLINK("https://www.spark-marketing.ru/Card/Person/55369", "ООО ""КОМБИНАТ ОБЩЕСТВЕННОГО ПИТАНИЯ""")</f>
        <v>ООО "КОМБИНАТ ОБЩЕСТВЕННОГО ПИТАНИЯ"</v>
      </c>
      <c r="K4692" s="24" t="s">
        <v>1516</v>
      </c>
      <c r="L4692" s="28" t="s">
        <v>51</v>
      </c>
      <c r="M4692" s="28" t="s">
        <v>51</v>
      </c>
      <c r="N4692" s="28" t="s">
        <v>51</v>
      </c>
    </row>
    <row r="4693" spans="1:14" hidden="1" outlineLevel="1" x14ac:dyDescent="0.2">
      <c r="A4693" s="23" t="str">
        <f>HYPERLINK("https://www.spark-marketing.ru/Card/Person/103799", "МДОУ № 1")</f>
        <v>МДОУ № 1</v>
      </c>
      <c r="B4693" s="24" t="s">
        <v>7566</v>
      </c>
      <c r="C4693" s="25">
        <v>16977009.920000002</v>
      </c>
      <c r="D4693" s="22" t="s">
        <v>7567</v>
      </c>
      <c r="E4693" s="22" t="s">
        <v>48</v>
      </c>
      <c r="F4693" s="23" t="str">
        <f>HYPERLINK("https://www.spark-marketing.ru/Card/Lot/73163668", "«Оказание услуг по организации питания воспитанников муниципального дошкольного образовательного учреждения «Детский сад №1 общеразвивающего вида»")</f>
        <v>«Оказание услуг по организации питания воспитанников муниципального дошкольного образовательного учреждения «Детский сад №1 общеразвивающего вида»</v>
      </c>
      <c r="G4693" s="22" t="s">
        <v>49</v>
      </c>
      <c r="H4693" s="22" t="s">
        <v>742</v>
      </c>
      <c r="I4693" s="26">
        <v>43707.376400462999</v>
      </c>
      <c r="J4693" s="23" t="str">
        <f>HYPERLINK("https://www.spark-marketing.ru/Card/Person/57370", "ООО ""КП ""ЭКОПРОДУКТ""")</f>
        <v>ООО "КП "ЭКОПРОДУКТ"</v>
      </c>
      <c r="K4693" s="24" t="s">
        <v>6251</v>
      </c>
      <c r="L4693" s="28" t="s">
        <v>51</v>
      </c>
      <c r="M4693" s="25">
        <v>15279678.720000001</v>
      </c>
      <c r="N4693" s="27">
        <v>9.997821807245548E-2</v>
      </c>
    </row>
    <row r="4694" spans="1:14" ht="12.75" hidden="1" outlineLevel="1" x14ac:dyDescent="0.2">
      <c r="A4694" s="23" t="str">
        <f>HYPERLINK("https://www.spark-marketing.ru/Card/Person/103799", "МДОУ № 1")</f>
        <v>МДОУ № 1</v>
      </c>
      <c r="B4694" s="24" t="s">
        <v>7566</v>
      </c>
      <c r="C4694" s="25">
        <v>16977009.920000002</v>
      </c>
      <c r="D4694" s="22" t="s">
        <v>7567</v>
      </c>
      <c r="E4694" s="22" t="s">
        <v>48</v>
      </c>
      <c r="F4694" s="23" t="str">
        <f>HYPERLINK("https://www.spark-marketing.ru/Card/Lot/73163668", "«Оказание услуг по организации питания воспитанников муниципального дошкольного образовательного учреждения «Детский сад №1 общеразвивающего вида»")</f>
        <v>«Оказание услуг по организации питания воспитанников муниципального дошкольного образовательного учреждения «Детский сад №1 общеразвивающего вида»</v>
      </c>
      <c r="G4694" s="22" t="s">
        <v>49</v>
      </c>
      <c r="H4694" s="22" t="s">
        <v>742</v>
      </c>
      <c r="I4694" s="26">
        <v>43707.376400462999</v>
      </c>
      <c r="J4694" s="23" t="str">
        <f>HYPERLINK("https://www.spark-marketing.ru/Card/Person/100937", "ООО ""ВЕРТИКАЛЬ""")</f>
        <v>ООО "ВЕРТИКАЛЬ"</v>
      </c>
      <c r="K4694" s="24" t="s">
        <v>4501</v>
      </c>
      <c r="L4694" s="22" t="s">
        <v>10</v>
      </c>
      <c r="M4694" s="25">
        <v>16973787.800000001</v>
      </c>
      <c r="N4694" s="27">
        <v>1.8979313879083839E-4</v>
      </c>
    </row>
    <row r="4695" spans="1:14" x14ac:dyDescent="0.15">
      <c r="A4695" s="23" t="str">
        <f>HYPERLINK("https://www.spark-marketing.ru/Card/Person/102278", "МДОУ № 22")</f>
        <v>МДОУ № 22</v>
      </c>
      <c r="B4695" s="24" t="s">
        <v>7568</v>
      </c>
      <c r="C4695" s="25">
        <v>7416356.04</v>
      </c>
      <c r="D4695" s="22" t="s">
        <v>7569</v>
      </c>
      <c r="E4695" s="22" t="s">
        <v>48</v>
      </c>
      <c r="F4695" s="23" t="str">
        <f>HYPERLINK("https://www.spark-marketing.ru/Card/Lot/73163669", "Оказание услуг по организации питания воспитанников муниципального дошкольного образовательного учреждения ""Детский сад № 22 комбинированного вида""")</f>
        <v>Оказание услуг по организации питания воспитанников муниципального дошкольного образовательного учреждения "Детский сад № 22 комбинированного вида"</v>
      </c>
      <c r="G4695" s="22" t="s">
        <v>49</v>
      </c>
      <c r="H4695" s="22" t="s">
        <v>742</v>
      </c>
      <c r="I4695" s="26">
        <v>43707.377187500002</v>
      </c>
      <c r="J4695" s="28" t="s">
        <v>51</v>
      </c>
      <c r="K4695" s="28" t="s">
        <v>51</v>
      </c>
      <c r="L4695" s="28" t="s">
        <v>51</v>
      </c>
      <c r="M4695" s="28" t="s">
        <v>51</v>
      </c>
      <c r="N4695" s="28" t="s">
        <v>51</v>
      </c>
    </row>
    <row r="4696" spans="1:14" hidden="1" outlineLevel="1" x14ac:dyDescent="0.15">
      <c r="A4696" s="23" t="str">
        <f>HYPERLINK("https://www.spark-marketing.ru/Card/Person/102278", "МДОУ № 22")</f>
        <v>МДОУ № 22</v>
      </c>
      <c r="B4696" s="24" t="s">
        <v>7568</v>
      </c>
      <c r="C4696" s="25">
        <v>7416356.04</v>
      </c>
      <c r="D4696" s="22" t="s">
        <v>7569</v>
      </c>
      <c r="E4696" s="22" t="s">
        <v>48</v>
      </c>
      <c r="F4696" s="23" t="str">
        <f>HYPERLINK("https://www.spark-marketing.ru/Card/Lot/73163669", "Оказание услуг по организации питания воспитанников муниципального дошкольного образовательного учреждения ""Детский сад № 22 комбинированного вида""")</f>
        <v>Оказание услуг по организации питания воспитанников муниципального дошкольного образовательного учреждения "Детский сад № 22 комбинированного вида"</v>
      </c>
      <c r="G4696" s="22" t="s">
        <v>49</v>
      </c>
      <c r="H4696" s="22" t="s">
        <v>742</v>
      </c>
      <c r="I4696" s="26">
        <v>43707.377187500002</v>
      </c>
      <c r="J4696" s="23" t="str">
        <f>HYPERLINK("https://www.spark-marketing.ru/Card/Person/55369", "ООО ""КОМБИНАТ ОБЩЕСТВЕННОГО ПИТАНИЯ""")</f>
        <v>ООО "КОМБИНАТ ОБЩЕСТВЕННОГО ПИТАНИЯ"</v>
      </c>
      <c r="K4696" s="24" t="s">
        <v>1516</v>
      </c>
      <c r="L4696" s="28" t="s">
        <v>51</v>
      </c>
      <c r="M4696" s="28" t="s">
        <v>51</v>
      </c>
      <c r="N4696" s="28" t="s">
        <v>51</v>
      </c>
    </row>
    <row r="4697" spans="1:14" hidden="1" outlineLevel="1" x14ac:dyDescent="0.2">
      <c r="A4697" s="23" t="str">
        <f>HYPERLINK("https://www.spark-marketing.ru/Card/Person/102278", "МДОУ № 22")</f>
        <v>МДОУ № 22</v>
      </c>
      <c r="B4697" s="24" t="s">
        <v>7568</v>
      </c>
      <c r="C4697" s="25">
        <v>7416356.04</v>
      </c>
      <c r="D4697" s="22" t="s">
        <v>7569</v>
      </c>
      <c r="E4697" s="22" t="s">
        <v>48</v>
      </c>
      <c r="F4697" s="23" t="str">
        <f>HYPERLINK("https://www.spark-marketing.ru/Card/Lot/73163669", "Оказание услуг по организации питания воспитанников муниципального дошкольного образовательного учреждения ""Детский сад № 22 комбинированного вида""")</f>
        <v>Оказание услуг по организации питания воспитанников муниципального дошкольного образовательного учреждения "Детский сад № 22 комбинированного вида"</v>
      </c>
      <c r="G4697" s="22" t="s">
        <v>49</v>
      </c>
      <c r="H4697" s="22" t="s">
        <v>742</v>
      </c>
      <c r="I4697" s="26">
        <v>43707.377187500002</v>
      </c>
      <c r="J4697" s="23" t="str">
        <f>HYPERLINK("https://www.spark-marketing.ru/Card/Person/57370", "ООО ""КП ""ЭКОПРОДУКТ""")</f>
        <v>ООО "КП "ЭКОПРОДУКТ"</v>
      </c>
      <c r="K4697" s="24" t="s">
        <v>6251</v>
      </c>
      <c r="L4697" s="28" t="s">
        <v>51</v>
      </c>
      <c r="M4697" s="25">
        <v>6674887.7999999998</v>
      </c>
      <c r="N4697" s="27">
        <v>9.9977433122264175E-2</v>
      </c>
    </row>
    <row r="4698" spans="1:14" ht="12.75" hidden="1" outlineLevel="1" x14ac:dyDescent="0.2">
      <c r="A4698" s="23" t="str">
        <f>HYPERLINK("https://www.spark-marketing.ru/Card/Person/102278", "МДОУ № 22")</f>
        <v>МДОУ № 22</v>
      </c>
      <c r="B4698" s="24" t="s">
        <v>7568</v>
      </c>
      <c r="C4698" s="25">
        <v>7416356.04</v>
      </c>
      <c r="D4698" s="22" t="s">
        <v>7569</v>
      </c>
      <c r="E4698" s="22" t="s">
        <v>48</v>
      </c>
      <c r="F4698" s="23" t="str">
        <f>HYPERLINK("https://www.spark-marketing.ru/Card/Lot/73163669", "Оказание услуг по организации питания воспитанников муниципального дошкольного образовательного учреждения ""Детский сад № 22 комбинированного вида""")</f>
        <v>Оказание услуг по организации питания воспитанников муниципального дошкольного образовательного учреждения "Детский сад № 22 комбинированного вида"</v>
      </c>
      <c r="G4698" s="22" t="s">
        <v>49</v>
      </c>
      <c r="H4698" s="22" t="s">
        <v>742</v>
      </c>
      <c r="I4698" s="26">
        <v>43707.377187500002</v>
      </c>
      <c r="J4698" s="23" t="str">
        <f>HYPERLINK("https://www.spark-marketing.ru/Card/Person/100937", "ООО ""ВЕРТИКАЛЬ""")</f>
        <v>ООО "ВЕРТИКАЛЬ"</v>
      </c>
      <c r="K4698" s="24" t="s">
        <v>4501</v>
      </c>
      <c r="L4698" s="22" t="s">
        <v>10</v>
      </c>
      <c r="M4698" s="25">
        <v>7414951.4400000004</v>
      </c>
      <c r="N4698" s="27">
        <v>1.8939220183393461E-4</v>
      </c>
    </row>
    <row r="4699" spans="1:14" x14ac:dyDescent="0.15">
      <c r="A4699" s="23" t="str">
        <f>HYPERLINK("https://www.spark-marketing.ru/Card/Person/4355919", "МО МВД РОССИИ ""РОДНИКОВСКИЙ""")</f>
        <v>МО МВД РОССИИ "РОДНИКОВСКИЙ"</v>
      </c>
      <c r="B4699" s="24" t="s">
        <v>7539</v>
      </c>
      <c r="C4699" s="25">
        <v>284740</v>
      </c>
      <c r="D4699" s="22" t="s">
        <v>7570</v>
      </c>
      <c r="E4699" s="22" t="s">
        <v>48</v>
      </c>
      <c r="F4699" s="23" t="str">
        <f>HYPERLINK("https://www.spark-marketing.ru/Card/Lot/73136377", "Оказание услуг по организации питания (приготовлению и доставке) для ИВС, 1238 усл. ед")</f>
        <v>Оказание услуг по организации питания (приготовлению и доставке) для ИВС, 1238 усл. ед</v>
      </c>
      <c r="G4699" s="22" t="s">
        <v>1047</v>
      </c>
      <c r="H4699" s="22" t="s">
        <v>7541</v>
      </c>
      <c r="I4699" s="26">
        <v>43707.398206018501</v>
      </c>
      <c r="J4699" s="28" t="s">
        <v>51</v>
      </c>
      <c r="K4699" s="28" t="s">
        <v>51</v>
      </c>
      <c r="L4699" s="28" t="s">
        <v>51</v>
      </c>
      <c r="M4699" s="28" t="s">
        <v>51</v>
      </c>
      <c r="N4699" s="28" t="s">
        <v>51</v>
      </c>
    </row>
    <row r="4700" spans="1:14" x14ac:dyDescent="0.15">
      <c r="A4700" s="23" t="str">
        <f>HYPERLINK("https://www.spark-marketing.ru/Card/Person/1023779", "ОМВД РОССИИ ПО ПЛЕСЕЦКОМУ РАЙОНУ")</f>
        <v>ОМВД РОССИИ ПО ПЛЕСЕЦКОМУ РАЙОНУ</v>
      </c>
      <c r="B4700" s="24" t="s">
        <v>7571</v>
      </c>
      <c r="C4700" s="25">
        <v>1629000</v>
      </c>
      <c r="D4700" s="22" t="s">
        <v>7572</v>
      </c>
      <c r="E4700" s="22" t="s">
        <v>96</v>
      </c>
      <c r="F4700" s="23" t="str">
        <f>HYPERLINK("https://www.spark-marketing.ru/Card/Lot/73140920", "Оказание услуг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ОМВД России по Плесецкому району, в соответствии с нормой суточного ...")</f>
        <v>Оказание услуг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ОМВД России по Плесецкому району, в соответствии с нормой суточного ...</v>
      </c>
      <c r="G4700" s="22" t="s">
        <v>214</v>
      </c>
      <c r="H4700" s="22" t="s">
        <v>214</v>
      </c>
      <c r="I4700" s="26">
        <v>43706.738356481503</v>
      </c>
      <c r="J4700" s="28" t="s">
        <v>51</v>
      </c>
      <c r="K4700" s="28" t="s">
        <v>51</v>
      </c>
      <c r="L4700" s="28" t="s">
        <v>51</v>
      </c>
      <c r="M4700" s="28" t="s">
        <v>51</v>
      </c>
      <c r="N4700" s="28" t="s">
        <v>51</v>
      </c>
    </row>
    <row r="4701" spans="1:14" x14ac:dyDescent="0.15">
      <c r="A4701" s="23" t="str">
        <f>HYPERLINK("https://www.spark-marketing.ru/Card/Person/1069213", "ОТДЕЛ МВД РОССИИ ПО КОТОВСКОМУ РАЙОНУ")</f>
        <v>ОТДЕЛ МВД РОССИИ ПО КОТОВСКОМУ РАЙОНУ</v>
      </c>
      <c r="B4701" s="24" t="s">
        <v>3845</v>
      </c>
      <c r="C4701" s="25">
        <v>430000</v>
      </c>
      <c r="D4701" s="22" t="s">
        <v>7573</v>
      </c>
      <c r="E4701" s="22" t="s">
        <v>48</v>
      </c>
      <c r="F4701" s="23" t="str">
        <f>HYPERLINK("https://www.spark-marketing.ru/Card/Lot/73136952", "Услуги по обеспечению горячим питанием лиц, содержащихся в ИВС и КАЗ")</f>
        <v>Услуги по обеспечению горячим питанием лиц, содержащихся в ИВС и КАЗ</v>
      </c>
      <c r="G4701" s="22" t="s">
        <v>158</v>
      </c>
      <c r="H4701" s="22" t="s">
        <v>158</v>
      </c>
      <c r="I4701" s="26">
        <v>43706.627349536997</v>
      </c>
      <c r="J4701" s="28" t="s">
        <v>51</v>
      </c>
      <c r="K4701" s="28" t="s">
        <v>51</v>
      </c>
      <c r="L4701" s="28" t="s">
        <v>51</v>
      </c>
      <c r="M4701" s="28" t="s">
        <v>51</v>
      </c>
      <c r="N4701" s="28" t="s">
        <v>51</v>
      </c>
    </row>
    <row r="4702" spans="1:14" x14ac:dyDescent="0.15">
      <c r="A4702" s="23" t="str">
        <f>HYPERLINK("https://www.spark-marketing.ru/Card/Person/111475", "МДОУ № 63")</f>
        <v>МДОУ № 63</v>
      </c>
      <c r="B4702" s="24" t="s">
        <v>7574</v>
      </c>
      <c r="C4702" s="25">
        <v>11845487.560000001</v>
      </c>
      <c r="D4702" s="22" t="s">
        <v>7575</v>
      </c>
      <c r="E4702" s="22" t="s">
        <v>48</v>
      </c>
      <c r="F4702" s="23" t="str">
        <f>HYPERLINK("https://www.spark-marketing.ru/Card/Lot/73163655", "Оказание услуг по организации питания воспитанников муниципального дошкольного образовательного учреждения ""Детский сад № 63 общеразвивающего вида""")</f>
        <v>Оказание услуг по организации питания воспитанников муниципального дошкольного образовательного учреждения "Детский сад № 63 общеразвивающего вида"</v>
      </c>
      <c r="G4702" s="22" t="s">
        <v>49</v>
      </c>
      <c r="H4702" s="22" t="s">
        <v>742</v>
      </c>
      <c r="I4702" s="26">
        <v>43707.371481481503</v>
      </c>
      <c r="J4702" s="28" t="s">
        <v>51</v>
      </c>
      <c r="K4702" s="28" t="s">
        <v>51</v>
      </c>
      <c r="L4702" s="28" t="s">
        <v>51</v>
      </c>
      <c r="M4702" s="28" t="s">
        <v>51</v>
      </c>
      <c r="N4702" s="28" t="s">
        <v>51</v>
      </c>
    </row>
    <row r="4703" spans="1:14" hidden="1" outlineLevel="1" x14ac:dyDescent="0.15">
      <c r="A4703" s="23" t="str">
        <f>HYPERLINK("https://www.spark-marketing.ru/Card/Person/111475", "МДОУ № 63")</f>
        <v>МДОУ № 63</v>
      </c>
      <c r="B4703" s="24" t="s">
        <v>7574</v>
      </c>
      <c r="C4703" s="25">
        <v>11845487.560000001</v>
      </c>
      <c r="D4703" s="22" t="s">
        <v>7575</v>
      </c>
      <c r="E4703" s="22" t="s">
        <v>48</v>
      </c>
      <c r="F4703" s="23" t="str">
        <f>HYPERLINK("https://www.spark-marketing.ru/Card/Lot/73163655", "Оказание услуг по организации питания воспитанников муниципального дошкольного образовательного учреждения ""Детский сад № 63 общеразвивающего вида""")</f>
        <v>Оказание услуг по организации питания воспитанников муниципального дошкольного образовательного учреждения "Детский сад № 63 общеразвивающего вида"</v>
      </c>
      <c r="G4703" s="22" t="s">
        <v>49</v>
      </c>
      <c r="H4703" s="22" t="s">
        <v>742</v>
      </c>
      <c r="I4703" s="26">
        <v>43707.371481481503</v>
      </c>
      <c r="J4703" s="23" t="str">
        <f>HYPERLINK("https://www.spark-marketing.ru/Card/Person/55369", "ООО ""КОМБИНАТ ОБЩЕСТВЕННОГО ПИТАНИЯ""")</f>
        <v>ООО "КОМБИНАТ ОБЩЕСТВЕННОГО ПИТАНИЯ"</v>
      </c>
      <c r="K4703" s="24" t="s">
        <v>1516</v>
      </c>
      <c r="L4703" s="28" t="s">
        <v>51</v>
      </c>
      <c r="M4703" s="28" t="s">
        <v>51</v>
      </c>
      <c r="N4703" s="28" t="s">
        <v>51</v>
      </c>
    </row>
    <row r="4704" spans="1:14" hidden="1" outlineLevel="1" x14ac:dyDescent="0.2">
      <c r="A4704" s="23" t="str">
        <f>HYPERLINK("https://www.spark-marketing.ru/Card/Person/111475", "МДОУ № 63")</f>
        <v>МДОУ № 63</v>
      </c>
      <c r="B4704" s="24" t="s">
        <v>7574</v>
      </c>
      <c r="C4704" s="25">
        <v>11845487.560000001</v>
      </c>
      <c r="D4704" s="22" t="s">
        <v>7575</v>
      </c>
      <c r="E4704" s="22" t="s">
        <v>48</v>
      </c>
      <c r="F4704" s="23" t="str">
        <f>HYPERLINK("https://www.spark-marketing.ru/Card/Lot/73163655", "Оказание услуг по организации питания воспитанников муниципального дошкольного образовательного учреждения ""Детский сад № 63 общеразвивающего вида""")</f>
        <v>Оказание услуг по организации питания воспитанников муниципального дошкольного образовательного учреждения "Детский сад № 63 общеразвивающего вида"</v>
      </c>
      <c r="G4704" s="22" t="s">
        <v>49</v>
      </c>
      <c r="H4704" s="22" t="s">
        <v>742</v>
      </c>
      <c r="I4704" s="26">
        <v>43707.371481481503</v>
      </c>
      <c r="J4704" s="23" t="str">
        <f>HYPERLINK("https://www.spark-marketing.ru/Card/Person/57370", "ООО ""КП ""ЭКОПРОДУКТ""")</f>
        <v>ООО "КП "ЭКОПРОДУКТ"</v>
      </c>
      <c r="K4704" s="24" t="s">
        <v>6251</v>
      </c>
      <c r="L4704" s="28" t="s">
        <v>51</v>
      </c>
      <c r="M4704" s="25">
        <v>10661109.119999999</v>
      </c>
      <c r="N4704" s="27">
        <v>9.9985621866627503E-2</v>
      </c>
    </row>
    <row r="4705" spans="1:14" ht="12.75" hidden="1" outlineLevel="1" x14ac:dyDescent="0.2">
      <c r="A4705" s="23" t="str">
        <f>HYPERLINK("https://www.spark-marketing.ru/Card/Person/111475", "МДОУ № 63")</f>
        <v>МДОУ № 63</v>
      </c>
      <c r="B4705" s="24" t="s">
        <v>7574</v>
      </c>
      <c r="C4705" s="25">
        <v>11845487.560000001</v>
      </c>
      <c r="D4705" s="22" t="s">
        <v>7575</v>
      </c>
      <c r="E4705" s="22" t="s">
        <v>48</v>
      </c>
      <c r="F4705" s="23" t="str">
        <f>HYPERLINK("https://www.spark-marketing.ru/Card/Lot/73163655", "Оказание услуг по организации питания воспитанников муниципального дошкольного образовательного учреждения ""Детский сад № 63 общеразвивающего вида""")</f>
        <v>Оказание услуг по организации питания воспитанников муниципального дошкольного образовательного учреждения "Детский сад № 63 общеразвивающего вида"</v>
      </c>
      <c r="G4705" s="22" t="s">
        <v>49</v>
      </c>
      <c r="H4705" s="22" t="s">
        <v>742</v>
      </c>
      <c r="I4705" s="26">
        <v>43707.371481481503</v>
      </c>
      <c r="J4705" s="23" t="str">
        <f>HYPERLINK("https://www.spark-marketing.ru/Card/Person/100937", "ООО ""ВЕРТИКАЛЬ""")</f>
        <v>ООО "ВЕРТИКАЛЬ"</v>
      </c>
      <c r="K4705" s="24" t="s">
        <v>4501</v>
      </c>
      <c r="L4705" s="22" t="s">
        <v>10</v>
      </c>
      <c r="M4705" s="25">
        <v>11843197.48</v>
      </c>
      <c r="N4705" s="27">
        <v>1.9332931535322975E-4</v>
      </c>
    </row>
    <row r="4706" spans="1:14" x14ac:dyDescent="0.15">
      <c r="A4706" s="23" t="str">
        <f>HYPERLINK("https://www.spark-marketing.ru/Card/Person/102248", "МДОУ № 4")</f>
        <v>МДОУ № 4</v>
      </c>
      <c r="B4706" s="24" t="s">
        <v>7576</v>
      </c>
      <c r="C4706" s="25">
        <v>24841898.899999999</v>
      </c>
      <c r="D4706" s="22" t="s">
        <v>7577</v>
      </c>
      <c r="E4706" s="22" t="s">
        <v>48</v>
      </c>
      <c r="F4706" s="23" t="str">
        <f>HYPERLINK("https://www.spark-marketing.ru/Card/Lot/73163639",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№4»")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№4»</v>
      </c>
      <c r="G4706" s="22" t="s">
        <v>49</v>
      </c>
      <c r="H4706" s="22" t="s">
        <v>742</v>
      </c>
      <c r="I4706" s="26">
        <v>43707.369444444397</v>
      </c>
      <c r="J4706" s="28" t="s">
        <v>51</v>
      </c>
      <c r="K4706" s="28" t="s">
        <v>51</v>
      </c>
      <c r="L4706" s="28" t="s">
        <v>51</v>
      </c>
      <c r="M4706" s="28" t="s">
        <v>51</v>
      </c>
      <c r="N4706" s="28" t="s">
        <v>51</v>
      </c>
    </row>
    <row r="4707" spans="1:14" hidden="1" outlineLevel="1" x14ac:dyDescent="0.15">
      <c r="A4707" s="23" t="str">
        <f>HYPERLINK("https://www.spark-marketing.ru/Card/Person/102248", "МДОУ № 4")</f>
        <v>МДОУ № 4</v>
      </c>
      <c r="B4707" s="24" t="s">
        <v>7576</v>
      </c>
      <c r="C4707" s="25">
        <v>24841898.899999999</v>
      </c>
      <c r="D4707" s="22" t="s">
        <v>7577</v>
      </c>
      <c r="E4707" s="22" t="s">
        <v>48</v>
      </c>
      <c r="F4707" s="23" t="str">
        <f>HYPERLINK("https://www.spark-marketing.ru/Card/Lot/73163639",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№4»")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№4»</v>
      </c>
      <c r="G4707" s="22" t="s">
        <v>49</v>
      </c>
      <c r="H4707" s="22" t="s">
        <v>742</v>
      </c>
      <c r="I4707" s="26">
        <v>43707.369444444397</v>
      </c>
      <c r="J4707" s="23" t="str">
        <f>HYPERLINK("https://www.spark-marketing.ru/Card/Person/55369", "ООО ""КОМБИНАТ ОБЩЕСТВЕННОГО ПИТАНИЯ""")</f>
        <v>ООО "КОМБИНАТ ОБЩЕСТВЕННОГО ПИТАНИЯ"</v>
      </c>
      <c r="K4707" s="24" t="s">
        <v>1516</v>
      </c>
      <c r="L4707" s="28" t="s">
        <v>51</v>
      </c>
      <c r="M4707" s="28" t="s">
        <v>51</v>
      </c>
      <c r="N4707" s="28" t="s">
        <v>51</v>
      </c>
    </row>
    <row r="4708" spans="1:14" hidden="1" outlineLevel="1" x14ac:dyDescent="0.2">
      <c r="A4708" s="23" t="str">
        <f>HYPERLINK("https://www.spark-marketing.ru/Card/Person/102248", "МДОУ № 4")</f>
        <v>МДОУ № 4</v>
      </c>
      <c r="B4708" s="24" t="s">
        <v>7576</v>
      </c>
      <c r="C4708" s="25">
        <v>24841898.899999999</v>
      </c>
      <c r="D4708" s="22" t="s">
        <v>7577</v>
      </c>
      <c r="E4708" s="22" t="s">
        <v>48</v>
      </c>
      <c r="F4708" s="23" t="str">
        <f>HYPERLINK("https://www.spark-marketing.ru/Card/Lot/73163639",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№4»")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№4»</v>
      </c>
      <c r="G4708" s="22" t="s">
        <v>49</v>
      </c>
      <c r="H4708" s="22" t="s">
        <v>742</v>
      </c>
      <c r="I4708" s="26">
        <v>43707.369444444397</v>
      </c>
      <c r="J4708" s="23" t="str">
        <f>HYPERLINK("https://www.spark-marketing.ru/Card/Person/57370", "ООО ""КП ""ЭКОПРОДУКТ""")</f>
        <v>ООО "КП "ЭКОПРОДУКТ"</v>
      </c>
      <c r="K4708" s="24" t="s">
        <v>6251</v>
      </c>
      <c r="L4708" s="28" t="s">
        <v>51</v>
      </c>
      <c r="M4708" s="25">
        <v>22358191.16</v>
      </c>
      <c r="N4708" s="27">
        <v>9.9980591258263266E-2</v>
      </c>
    </row>
    <row r="4709" spans="1:14" ht="12.75" hidden="1" outlineLevel="1" x14ac:dyDescent="0.2">
      <c r="A4709" s="23" t="str">
        <f>HYPERLINK("https://www.spark-marketing.ru/Card/Person/102248", "МДОУ № 4")</f>
        <v>МДОУ № 4</v>
      </c>
      <c r="B4709" s="24" t="s">
        <v>7576</v>
      </c>
      <c r="C4709" s="25">
        <v>24841898.899999999</v>
      </c>
      <c r="D4709" s="22" t="s">
        <v>7577</v>
      </c>
      <c r="E4709" s="22" t="s">
        <v>48</v>
      </c>
      <c r="F4709" s="23" t="str">
        <f>HYPERLINK("https://www.spark-marketing.ru/Card/Lot/73163639",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№4»")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№4»</v>
      </c>
      <c r="G4709" s="22" t="s">
        <v>49</v>
      </c>
      <c r="H4709" s="22" t="s">
        <v>742</v>
      </c>
      <c r="I4709" s="26">
        <v>43707.369444444397</v>
      </c>
      <c r="J4709" s="23" t="str">
        <f>HYPERLINK("https://www.spark-marketing.ru/Card/Person/100937", "ООО ""ВЕРТИКАЛЬ""")</f>
        <v>ООО "ВЕРТИКАЛЬ"</v>
      </c>
      <c r="K4709" s="24" t="s">
        <v>4501</v>
      </c>
      <c r="L4709" s="22" t="s">
        <v>10</v>
      </c>
      <c r="M4709" s="25">
        <v>24837155.600000001</v>
      </c>
      <c r="N4709" s="27">
        <v>1.9093950986170385E-4</v>
      </c>
    </row>
    <row r="4710" spans="1:14" x14ac:dyDescent="0.15">
      <c r="A4710" s="23" t="str">
        <f>HYPERLINK("https://www.spark-marketing.ru/Card/Person/102411", "МДОУ № 33")</f>
        <v>МДОУ № 33</v>
      </c>
      <c r="B4710" s="24" t="s">
        <v>7578</v>
      </c>
      <c r="C4710" s="25">
        <v>22303527.920000002</v>
      </c>
      <c r="D4710" s="22" t="s">
        <v>7579</v>
      </c>
      <c r="E4710" s="22" t="s">
        <v>48</v>
      </c>
      <c r="F4710" s="23" t="str">
        <f>HYPERLINK("https://www.spark-marketing.ru/Card/Lot/73163642", "Оказание услуг по организации питания воспитанников Муниципального дошкольного образовательного учреждения ""Детский сад № 33 комбинированного вида""")</f>
        <v>Оказание услуг по организации питания воспитанников Муниципального дошкольного образовательного учреждения "Детский сад № 33 комбинированного вида"</v>
      </c>
      <c r="G4710" s="22" t="s">
        <v>49</v>
      </c>
      <c r="H4710" s="22" t="s">
        <v>742</v>
      </c>
      <c r="I4710" s="26">
        <v>43707.369652777801</v>
      </c>
      <c r="J4710" s="28" t="s">
        <v>51</v>
      </c>
      <c r="K4710" s="28" t="s">
        <v>51</v>
      </c>
      <c r="L4710" s="28" t="s">
        <v>51</v>
      </c>
      <c r="M4710" s="28" t="s">
        <v>51</v>
      </c>
      <c r="N4710" s="28" t="s">
        <v>51</v>
      </c>
    </row>
    <row r="4711" spans="1:14" hidden="1" outlineLevel="1" x14ac:dyDescent="0.15">
      <c r="A4711" s="23" t="str">
        <f>HYPERLINK("https://www.spark-marketing.ru/Card/Person/102411", "МДОУ № 33")</f>
        <v>МДОУ № 33</v>
      </c>
      <c r="B4711" s="24" t="s">
        <v>7578</v>
      </c>
      <c r="C4711" s="25">
        <v>22303527.920000002</v>
      </c>
      <c r="D4711" s="22" t="s">
        <v>7579</v>
      </c>
      <c r="E4711" s="22" t="s">
        <v>48</v>
      </c>
      <c r="F4711" s="23" t="str">
        <f>HYPERLINK("https://www.spark-marketing.ru/Card/Lot/73163642", "Оказание услуг по организации питания воспитанников Муниципального дошкольного образовательного учреждения ""Детский сад № 33 комбинированного вида""")</f>
        <v>Оказание услуг по организации питания воспитанников Муниципального дошкольного образовательного учреждения "Детский сад № 33 комбинированного вида"</v>
      </c>
      <c r="G4711" s="22" t="s">
        <v>49</v>
      </c>
      <c r="H4711" s="22" t="s">
        <v>742</v>
      </c>
      <c r="I4711" s="26">
        <v>43707.369652777801</v>
      </c>
      <c r="J4711" s="23" t="str">
        <f>HYPERLINK("https://www.spark-marketing.ru/Card/Person/55369", "ООО ""КОМБИНАТ ОБЩЕСТВЕННОГО ПИТАНИЯ""")</f>
        <v>ООО "КОМБИНАТ ОБЩЕСТВЕННОГО ПИТАНИЯ"</v>
      </c>
      <c r="K4711" s="24" t="s">
        <v>1516</v>
      </c>
      <c r="L4711" s="28" t="s">
        <v>51</v>
      </c>
      <c r="M4711" s="28" t="s">
        <v>51</v>
      </c>
      <c r="N4711" s="28" t="s">
        <v>51</v>
      </c>
    </row>
    <row r="4712" spans="1:14" hidden="1" outlineLevel="1" x14ac:dyDescent="0.2">
      <c r="A4712" s="23" t="str">
        <f>HYPERLINK("https://www.spark-marketing.ru/Card/Person/102411", "МДОУ № 33")</f>
        <v>МДОУ № 33</v>
      </c>
      <c r="B4712" s="24" t="s">
        <v>7578</v>
      </c>
      <c r="C4712" s="25">
        <v>22303527.920000002</v>
      </c>
      <c r="D4712" s="22" t="s">
        <v>7579</v>
      </c>
      <c r="E4712" s="22" t="s">
        <v>48</v>
      </c>
      <c r="F4712" s="23" t="str">
        <f>HYPERLINK("https://www.spark-marketing.ru/Card/Lot/73163642", "Оказание услуг по организации питания воспитанников Муниципального дошкольного образовательного учреждения ""Детский сад № 33 комбинированного вида""")</f>
        <v>Оказание услуг по организации питания воспитанников Муниципального дошкольного образовательного учреждения "Детский сад № 33 комбинированного вида"</v>
      </c>
      <c r="G4712" s="22" t="s">
        <v>49</v>
      </c>
      <c r="H4712" s="22" t="s">
        <v>742</v>
      </c>
      <c r="I4712" s="26">
        <v>43707.369652777801</v>
      </c>
      <c r="J4712" s="23" t="str">
        <f>HYPERLINK("https://www.spark-marketing.ru/Card/Person/57370", "ООО ""КП ""ЭКОПРОДУКТ""")</f>
        <v>ООО "КП "ЭКОПРОДУКТ"</v>
      </c>
      <c r="K4712" s="24" t="s">
        <v>6251</v>
      </c>
      <c r="L4712" s="28" t="s">
        <v>51</v>
      </c>
      <c r="M4712" s="25">
        <v>20073624.800000001</v>
      </c>
      <c r="N4712" s="27">
        <v>9.9979838525922321E-2</v>
      </c>
    </row>
    <row r="4713" spans="1:14" ht="12.75" hidden="1" outlineLevel="1" x14ac:dyDescent="0.2">
      <c r="A4713" s="23" t="str">
        <f>HYPERLINK("https://www.spark-marketing.ru/Card/Person/102411", "МДОУ № 33")</f>
        <v>МДОУ № 33</v>
      </c>
      <c r="B4713" s="24" t="s">
        <v>7578</v>
      </c>
      <c r="C4713" s="25">
        <v>22303527.920000002</v>
      </c>
      <c r="D4713" s="22" t="s">
        <v>7579</v>
      </c>
      <c r="E4713" s="22" t="s">
        <v>48</v>
      </c>
      <c r="F4713" s="23" t="str">
        <f>HYPERLINK("https://www.spark-marketing.ru/Card/Lot/73163642", "Оказание услуг по организации питания воспитанников Муниципального дошкольного образовательного учреждения ""Детский сад № 33 комбинированного вида""")</f>
        <v>Оказание услуг по организации питания воспитанников Муниципального дошкольного образовательного учреждения "Детский сад № 33 комбинированного вида"</v>
      </c>
      <c r="G4713" s="22" t="s">
        <v>49</v>
      </c>
      <c r="H4713" s="22" t="s">
        <v>742</v>
      </c>
      <c r="I4713" s="26">
        <v>43707.369652777801</v>
      </c>
      <c r="J4713" s="23" t="str">
        <f>HYPERLINK("https://www.spark-marketing.ru/Card/Person/100937", "ООО ""ВЕРТИКАЛЬ""")</f>
        <v>ООО "ВЕРТИКАЛЬ"</v>
      </c>
      <c r="K4713" s="24" t="s">
        <v>4501</v>
      </c>
      <c r="L4713" s="22" t="s">
        <v>10</v>
      </c>
      <c r="M4713" s="25">
        <v>22299277.399999999</v>
      </c>
      <c r="N4713" s="27">
        <v>1.9057612837063671E-4</v>
      </c>
    </row>
    <row r="4714" spans="1:14" x14ac:dyDescent="0.15">
      <c r="A4714" s="23" t="str">
        <f>HYPERLINK("https://www.spark-marketing.ru/Card/Person/101256", "МДОУ № 30")</f>
        <v>МДОУ № 30</v>
      </c>
      <c r="B4714" s="24" t="s">
        <v>7580</v>
      </c>
      <c r="C4714" s="25">
        <v>17304358.02</v>
      </c>
      <c r="D4714" s="22" t="s">
        <v>7581</v>
      </c>
      <c r="E4714" s="22" t="s">
        <v>48</v>
      </c>
      <c r="F4714" s="23" t="str">
        <f>HYPERLINK("https://www.spark-marketing.ru/Card/Lot/73163649", "Оказание услуг по организации питания воспитанников муниципального дошкольного образовательного учреждения «Детский сад №30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№30 общеразвивающего вида»</v>
      </c>
      <c r="G4714" s="22" t="s">
        <v>49</v>
      </c>
      <c r="H4714" s="22" t="s">
        <v>742</v>
      </c>
      <c r="I4714" s="26">
        <v>43707.370509259301</v>
      </c>
      <c r="J4714" s="28" t="s">
        <v>51</v>
      </c>
      <c r="K4714" s="28" t="s">
        <v>51</v>
      </c>
      <c r="L4714" s="28" t="s">
        <v>51</v>
      </c>
      <c r="M4714" s="28" t="s">
        <v>51</v>
      </c>
      <c r="N4714" s="28" t="s">
        <v>51</v>
      </c>
    </row>
    <row r="4715" spans="1:14" hidden="1" outlineLevel="1" x14ac:dyDescent="0.15">
      <c r="A4715" s="23" t="str">
        <f>HYPERLINK("https://www.spark-marketing.ru/Card/Person/101256", "МДОУ № 30")</f>
        <v>МДОУ № 30</v>
      </c>
      <c r="B4715" s="24" t="s">
        <v>7580</v>
      </c>
      <c r="C4715" s="25">
        <v>17304358.02</v>
      </c>
      <c r="D4715" s="22" t="s">
        <v>7581</v>
      </c>
      <c r="E4715" s="22" t="s">
        <v>48</v>
      </c>
      <c r="F4715" s="23" t="str">
        <f>HYPERLINK("https://www.spark-marketing.ru/Card/Lot/73163649", "Оказание услуг по организации питания воспитанников муниципального дошкольного образовательного учреждения «Детский сад №30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№30 общеразвивающего вида»</v>
      </c>
      <c r="G4715" s="22" t="s">
        <v>49</v>
      </c>
      <c r="H4715" s="22" t="s">
        <v>742</v>
      </c>
      <c r="I4715" s="26">
        <v>43707.370509259301</v>
      </c>
      <c r="J4715" s="23" t="str">
        <f>HYPERLINK("https://www.spark-marketing.ru/Card/Person/55369", "ООО ""КОМБИНАТ ОБЩЕСТВЕННОГО ПИТАНИЯ""")</f>
        <v>ООО "КОМБИНАТ ОБЩЕСТВЕННОГО ПИТАНИЯ"</v>
      </c>
      <c r="K4715" s="24" t="s">
        <v>1516</v>
      </c>
      <c r="L4715" s="28" t="s">
        <v>51</v>
      </c>
      <c r="M4715" s="28" t="s">
        <v>51</v>
      </c>
      <c r="N4715" s="28" t="s">
        <v>51</v>
      </c>
    </row>
    <row r="4716" spans="1:14" hidden="1" outlineLevel="1" x14ac:dyDescent="0.2">
      <c r="A4716" s="23" t="str">
        <f>HYPERLINK("https://www.spark-marketing.ru/Card/Person/101256", "МДОУ № 30")</f>
        <v>МДОУ № 30</v>
      </c>
      <c r="B4716" s="24" t="s">
        <v>7580</v>
      </c>
      <c r="C4716" s="25">
        <v>17304358.02</v>
      </c>
      <c r="D4716" s="22" t="s">
        <v>7581</v>
      </c>
      <c r="E4716" s="22" t="s">
        <v>48</v>
      </c>
      <c r="F4716" s="23" t="str">
        <f>HYPERLINK("https://www.spark-marketing.ru/Card/Lot/73163649", "Оказание услуг по организации питания воспитанников муниципального дошкольного образовательного учреждения «Детский сад №30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№30 общеразвивающего вида»</v>
      </c>
      <c r="G4716" s="22" t="s">
        <v>49</v>
      </c>
      <c r="H4716" s="22" t="s">
        <v>742</v>
      </c>
      <c r="I4716" s="26">
        <v>43707.370509259301</v>
      </c>
      <c r="J4716" s="23" t="str">
        <f>HYPERLINK("https://www.spark-marketing.ru/Card/Person/57370", "ООО ""КП ""ЭКОПРОДУКТ""")</f>
        <v>ООО "КП "ЭКОПРОДУКТ"</v>
      </c>
      <c r="K4716" s="24" t="s">
        <v>6251</v>
      </c>
      <c r="L4716" s="28" t="s">
        <v>51</v>
      </c>
      <c r="M4716" s="25">
        <v>15574278.779999999</v>
      </c>
      <c r="N4716" s="27">
        <v>9.9979394670429961E-2</v>
      </c>
    </row>
    <row r="4717" spans="1:14" ht="12.75" hidden="1" outlineLevel="1" x14ac:dyDescent="0.2">
      <c r="A4717" s="23" t="str">
        <f>HYPERLINK("https://www.spark-marketing.ru/Card/Person/101256", "МДОУ № 30")</f>
        <v>МДОУ № 30</v>
      </c>
      <c r="B4717" s="24" t="s">
        <v>7580</v>
      </c>
      <c r="C4717" s="25">
        <v>17304358.02</v>
      </c>
      <c r="D4717" s="22" t="s">
        <v>7581</v>
      </c>
      <c r="E4717" s="22" t="s">
        <v>48</v>
      </c>
      <c r="F4717" s="23" t="str">
        <f>HYPERLINK("https://www.spark-marketing.ru/Card/Lot/73163649", "Оказание услуг по организации питания воспитанников муниципального дошкольного образовательного учреждения «Детский сад №30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№30 общеразвивающего вида»</v>
      </c>
      <c r="G4717" s="22" t="s">
        <v>49</v>
      </c>
      <c r="H4717" s="22" t="s">
        <v>742</v>
      </c>
      <c r="I4717" s="26">
        <v>43707.370509259301</v>
      </c>
      <c r="J4717" s="23" t="str">
        <f>HYPERLINK("https://www.spark-marketing.ru/Card/Person/100937", "ООО ""ВЕРТИКАЛЬ""")</f>
        <v>ООО "ВЕРТИКАЛЬ"</v>
      </c>
      <c r="K4717" s="24" t="s">
        <v>4501</v>
      </c>
      <c r="L4717" s="22" t="s">
        <v>10</v>
      </c>
      <c r="M4717" s="25">
        <v>17301064.199999999</v>
      </c>
      <c r="N4717" s="27">
        <v>1.9034626977742109E-4</v>
      </c>
    </row>
    <row r="4718" spans="1:14" x14ac:dyDescent="0.15">
      <c r="A4718" s="23" t="str">
        <f>HYPERLINK("https://www.spark-marketing.ru/Card/Person/102495", "МДОУ № 17")</f>
        <v>МДОУ № 17</v>
      </c>
      <c r="B4718" s="24" t="s">
        <v>7582</v>
      </c>
      <c r="C4718" s="25">
        <v>24597372.98</v>
      </c>
      <c r="D4718" s="22" t="s">
        <v>7583</v>
      </c>
      <c r="E4718" s="22" t="s">
        <v>48</v>
      </c>
      <c r="F4718" s="23" t="str">
        <f>HYPERLINK("https://www.spark-marketing.ru/Card/Lot/73163638", "Оказание услуг по организации питания воспитанников муниципального дошкольного образовательного учреждения «Детский сад № 17 комбинированного вида»")</f>
        <v>Оказание услуг по организации питания воспитанников муниципального дошкольного образовательного учреждения «Детский сад № 17 комбинированного вида»</v>
      </c>
      <c r="G4718" s="22" t="s">
        <v>49</v>
      </c>
      <c r="H4718" s="22" t="s">
        <v>742</v>
      </c>
      <c r="I4718" s="26">
        <v>43707.369224536997</v>
      </c>
      <c r="J4718" s="28" t="s">
        <v>51</v>
      </c>
      <c r="K4718" s="28" t="s">
        <v>51</v>
      </c>
      <c r="L4718" s="28" t="s">
        <v>51</v>
      </c>
      <c r="M4718" s="28" t="s">
        <v>51</v>
      </c>
      <c r="N4718" s="28" t="s">
        <v>51</v>
      </c>
    </row>
    <row r="4719" spans="1:14" hidden="1" outlineLevel="1" x14ac:dyDescent="0.2">
      <c r="A4719" s="23" t="str">
        <f>HYPERLINK("https://www.spark-marketing.ru/Card/Person/102495", "МДОУ № 17")</f>
        <v>МДОУ № 17</v>
      </c>
      <c r="B4719" s="24" t="s">
        <v>7582</v>
      </c>
      <c r="C4719" s="25">
        <v>24597372.98</v>
      </c>
      <c r="D4719" s="22" t="s">
        <v>7583</v>
      </c>
      <c r="E4719" s="22" t="s">
        <v>48</v>
      </c>
      <c r="F4719" s="23" t="str">
        <f>HYPERLINK("https://www.spark-marketing.ru/Card/Lot/73163638", "Оказание услуг по организации питания воспитанников муниципального дошкольного образовательного учреждения «Детский сад № 17 комбинированного вида»")</f>
        <v>Оказание услуг по организации питания воспитанников муниципального дошкольного образовательного учреждения «Детский сад № 17 комбинированного вида»</v>
      </c>
      <c r="G4719" s="22" t="s">
        <v>49</v>
      </c>
      <c r="H4719" s="22" t="s">
        <v>742</v>
      </c>
      <c r="I4719" s="26">
        <v>43707.369224536997</v>
      </c>
      <c r="J4719" s="23" t="str">
        <f>HYPERLINK("https://www.spark-marketing.ru/Card/Person/57370", "ООО ""КП ""ЭКОПРОДУКТ""")</f>
        <v>ООО "КП "ЭКОПРОДУКТ"</v>
      </c>
      <c r="K4719" s="24" t="s">
        <v>6251</v>
      </c>
      <c r="L4719" s="28" t="s">
        <v>51</v>
      </c>
      <c r="M4719" s="25">
        <v>22138165.359999999</v>
      </c>
      <c r="N4719" s="27">
        <v>9.9978466074388081E-2</v>
      </c>
    </row>
    <row r="4720" spans="1:14" ht="12.75" hidden="1" outlineLevel="1" x14ac:dyDescent="0.2">
      <c r="A4720" s="23" t="str">
        <f>HYPERLINK("https://www.spark-marketing.ru/Card/Person/102495", "МДОУ № 17")</f>
        <v>МДОУ № 17</v>
      </c>
      <c r="B4720" s="24" t="s">
        <v>7582</v>
      </c>
      <c r="C4720" s="25">
        <v>24597372.98</v>
      </c>
      <c r="D4720" s="22" t="s">
        <v>7583</v>
      </c>
      <c r="E4720" s="22" t="s">
        <v>48</v>
      </c>
      <c r="F4720" s="23" t="str">
        <f>HYPERLINK("https://www.spark-marketing.ru/Card/Lot/73163638", "Оказание услуг по организации питания воспитанников муниципального дошкольного образовательного учреждения «Детский сад № 17 комбинированного вида»")</f>
        <v>Оказание услуг по организации питания воспитанников муниципального дошкольного образовательного учреждения «Детский сад № 17 комбинированного вида»</v>
      </c>
      <c r="G4720" s="22" t="s">
        <v>49</v>
      </c>
      <c r="H4720" s="22" t="s">
        <v>742</v>
      </c>
      <c r="I4720" s="26">
        <v>43707.369224536997</v>
      </c>
      <c r="J4720" s="23" t="str">
        <f>HYPERLINK("https://www.spark-marketing.ru/Card/Person/100937", "ООО ""ВЕРТИКАЛЬ""")</f>
        <v>ООО "ВЕРТИКАЛЬ"</v>
      </c>
      <c r="K4720" s="24" t="s">
        <v>4501</v>
      </c>
      <c r="L4720" s="22" t="s">
        <v>10</v>
      </c>
      <c r="M4720" s="25">
        <v>24592701.32</v>
      </c>
      <c r="N4720" s="27">
        <v>1.8992516004853459E-4</v>
      </c>
    </row>
    <row r="4721" spans="1:14" hidden="1" outlineLevel="1" x14ac:dyDescent="0.15">
      <c r="A4721" s="23" t="str">
        <f>HYPERLINK("https://www.spark-marketing.ru/Card/Person/102495", "МДОУ № 17")</f>
        <v>МДОУ № 17</v>
      </c>
      <c r="B4721" s="24" t="s">
        <v>7582</v>
      </c>
      <c r="C4721" s="25">
        <v>24597372.98</v>
      </c>
      <c r="D4721" s="22" t="s">
        <v>7583</v>
      </c>
      <c r="E4721" s="22" t="s">
        <v>48</v>
      </c>
      <c r="F4721" s="23" t="str">
        <f>HYPERLINK("https://www.spark-marketing.ru/Card/Lot/73163638", "Оказание услуг по организации питания воспитанников муниципального дошкольного образовательного учреждения «Детский сад № 17 комбинированного вида»")</f>
        <v>Оказание услуг по организации питания воспитанников муниципального дошкольного образовательного учреждения «Детский сад № 17 комбинированного вида»</v>
      </c>
      <c r="G4721" s="22" t="s">
        <v>49</v>
      </c>
      <c r="H4721" s="22" t="s">
        <v>742</v>
      </c>
      <c r="I4721" s="26">
        <v>43707.369224536997</v>
      </c>
      <c r="J4721" s="23" t="str">
        <f>HYPERLINK("https://www.spark-marketing.ru/Card/Person/55369", "ООО ""КОМБИНАТ ОБЩЕСТВЕННОГО ПИТАНИЯ""")</f>
        <v>ООО "КОМБИНАТ ОБЩЕСТВЕННОГО ПИТАНИЯ"</v>
      </c>
      <c r="K4721" s="24" t="s">
        <v>1516</v>
      </c>
      <c r="L4721" s="28" t="s">
        <v>51</v>
      </c>
      <c r="M4721" s="28" t="s">
        <v>51</v>
      </c>
      <c r="N4721" s="28" t="s">
        <v>51</v>
      </c>
    </row>
    <row r="4722" spans="1:14" x14ac:dyDescent="0.15">
      <c r="A4722" s="23" t="str">
        <f>HYPERLINK("https://www.spark-marketing.ru/Card/Person/100982", "МДОУ № 24")</f>
        <v>МДОУ № 24</v>
      </c>
      <c r="B4722" s="24" t="s">
        <v>7584</v>
      </c>
      <c r="C4722" s="25">
        <v>16405836.619999999</v>
      </c>
      <c r="D4722" s="22" t="s">
        <v>7585</v>
      </c>
      <c r="E4722" s="22" t="s">
        <v>48</v>
      </c>
      <c r="F4722" s="23" t="str">
        <f>HYPERLINK("https://www.spark-marketing.ru/Card/Lot/73163656", "Оказание услуг по организации питания воспитанников муниципального дошкольного образовательного учреждения ""Детский сад №24 комбинированного вида""")</f>
        <v>Оказание услуг по организации питания воспитанников муниципального дошкольного образовательного учреждения "Детский сад №24 комбинированного вида"</v>
      </c>
      <c r="G4722" s="22" t="s">
        <v>49</v>
      </c>
      <c r="H4722" s="22" t="s">
        <v>742</v>
      </c>
      <c r="I4722" s="26">
        <v>43707.371493055602</v>
      </c>
      <c r="J4722" s="28" t="s">
        <v>51</v>
      </c>
      <c r="K4722" s="28" t="s">
        <v>51</v>
      </c>
      <c r="L4722" s="28" t="s">
        <v>51</v>
      </c>
      <c r="M4722" s="28" t="s">
        <v>51</v>
      </c>
      <c r="N4722" s="28" t="s">
        <v>51</v>
      </c>
    </row>
    <row r="4723" spans="1:14" hidden="1" outlineLevel="1" x14ac:dyDescent="0.15">
      <c r="A4723" s="23" t="str">
        <f>HYPERLINK("https://www.spark-marketing.ru/Card/Person/100982", "МДОУ № 24")</f>
        <v>МДОУ № 24</v>
      </c>
      <c r="B4723" s="24" t="s">
        <v>7584</v>
      </c>
      <c r="C4723" s="25">
        <v>16405836.619999999</v>
      </c>
      <c r="D4723" s="22" t="s">
        <v>7585</v>
      </c>
      <c r="E4723" s="22" t="s">
        <v>48</v>
      </c>
      <c r="F4723" s="23" t="str">
        <f>HYPERLINK("https://www.spark-marketing.ru/Card/Lot/73163656", "Оказание услуг по организации питания воспитанников муниципального дошкольного образовательного учреждения ""Детский сад №24 комбинированного вида""")</f>
        <v>Оказание услуг по организации питания воспитанников муниципального дошкольного образовательного учреждения "Детский сад №24 комбинированного вида"</v>
      </c>
      <c r="G4723" s="22" t="s">
        <v>49</v>
      </c>
      <c r="H4723" s="22" t="s">
        <v>742</v>
      </c>
      <c r="I4723" s="26">
        <v>43707.371493055602</v>
      </c>
      <c r="J4723" s="23" t="str">
        <f>HYPERLINK("https://www.spark-marketing.ru/Card/Person/55369", "ООО ""КОМБИНАТ ОБЩЕСТВЕННОГО ПИТАНИЯ""")</f>
        <v>ООО "КОМБИНАТ ОБЩЕСТВЕННОГО ПИТАНИЯ"</v>
      </c>
      <c r="K4723" s="24" t="s">
        <v>1516</v>
      </c>
      <c r="L4723" s="28" t="s">
        <v>51</v>
      </c>
      <c r="M4723" s="28" t="s">
        <v>51</v>
      </c>
      <c r="N4723" s="28" t="s">
        <v>51</v>
      </c>
    </row>
    <row r="4724" spans="1:14" hidden="1" outlineLevel="1" x14ac:dyDescent="0.2">
      <c r="A4724" s="23" t="str">
        <f>HYPERLINK("https://www.spark-marketing.ru/Card/Person/100982", "МДОУ № 24")</f>
        <v>МДОУ № 24</v>
      </c>
      <c r="B4724" s="24" t="s">
        <v>7584</v>
      </c>
      <c r="C4724" s="25">
        <v>16405836.619999999</v>
      </c>
      <c r="D4724" s="22" t="s">
        <v>7585</v>
      </c>
      <c r="E4724" s="22" t="s">
        <v>48</v>
      </c>
      <c r="F4724" s="23" t="str">
        <f>HYPERLINK("https://www.spark-marketing.ru/Card/Lot/73163656", "Оказание услуг по организации питания воспитанников муниципального дошкольного образовательного учреждения ""Детский сад №24 комбинированного вида""")</f>
        <v>Оказание услуг по организации питания воспитанников муниципального дошкольного образовательного учреждения "Детский сад №24 комбинированного вида"</v>
      </c>
      <c r="G4724" s="22" t="s">
        <v>49</v>
      </c>
      <c r="H4724" s="22" t="s">
        <v>742</v>
      </c>
      <c r="I4724" s="26">
        <v>43707.371493055602</v>
      </c>
      <c r="J4724" s="23" t="str">
        <f>HYPERLINK("https://www.spark-marketing.ru/Card/Person/57370", "ООО ""КП ""ЭКОПРОДУКТ""")</f>
        <v>ООО "КП "ЭКОПРОДУКТ"</v>
      </c>
      <c r="K4724" s="24" t="s">
        <v>6251</v>
      </c>
      <c r="L4724" s="28" t="s">
        <v>51</v>
      </c>
      <c r="M4724" s="25">
        <v>14765515.279999999</v>
      </c>
      <c r="N4724" s="27">
        <v>9.998401044664311E-2</v>
      </c>
    </row>
    <row r="4725" spans="1:14" ht="12.75" hidden="1" outlineLevel="1" x14ac:dyDescent="0.2">
      <c r="A4725" s="23" t="str">
        <f>HYPERLINK("https://www.spark-marketing.ru/Card/Person/100982", "МДОУ № 24")</f>
        <v>МДОУ № 24</v>
      </c>
      <c r="B4725" s="24" t="s">
        <v>7584</v>
      </c>
      <c r="C4725" s="25">
        <v>16405836.619999999</v>
      </c>
      <c r="D4725" s="22" t="s">
        <v>7585</v>
      </c>
      <c r="E4725" s="22" t="s">
        <v>48</v>
      </c>
      <c r="F4725" s="23" t="str">
        <f>HYPERLINK("https://www.spark-marketing.ru/Card/Lot/73163656", "Оказание услуг по организации питания воспитанников муниципального дошкольного образовательного учреждения ""Детский сад №24 комбинированного вида""")</f>
        <v>Оказание услуг по организации питания воспитанников муниципального дошкольного образовательного учреждения "Детский сад №24 комбинированного вида"</v>
      </c>
      <c r="G4725" s="22" t="s">
        <v>49</v>
      </c>
      <c r="H4725" s="22" t="s">
        <v>742</v>
      </c>
      <c r="I4725" s="26">
        <v>43707.371493055602</v>
      </c>
      <c r="J4725" s="23" t="str">
        <f>HYPERLINK("https://www.spark-marketing.ru/Card/Person/100937", "ООО ""ВЕРТИКАЛЬ""")</f>
        <v>ООО "ВЕРТИКАЛЬ"</v>
      </c>
      <c r="K4725" s="24" t="s">
        <v>4501</v>
      </c>
      <c r="L4725" s="22" t="s">
        <v>10</v>
      </c>
      <c r="M4725" s="25">
        <v>16402677.560000001</v>
      </c>
      <c r="N4725" s="27">
        <v>1.925570803349863E-4</v>
      </c>
    </row>
    <row r="4726" spans="1:14" x14ac:dyDescent="0.15">
      <c r="A4726" s="23" t="str">
        <f>HYPERLINK("https://www.spark-marketing.ru/Card/Person/114798", "АРБИТРАЖНЫЙ СУД КИРОВСКОЙ ОБЛАСТИ")</f>
        <v>АРБИТРАЖНЫЙ СУД КИРОВСКОЙ ОБЛАСТИ</v>
      </c>
      <c r="B4726" s="24" t="s">
        <v>7586</v>
      </c>
      <c r="C4726" s="25">
        <v>37390</v>
      </c>
      <c r="D4726" s="22" t="s">
        <v>7587</v>
      </c>
      <c r="E4726" s="22" t="s">
        <v>91</v>
      </c>
      <c r="F4726" s="23" t="str">
        <f>HYPERLINK("https://www.spark-marketing.ru/Card/Lot/73135824", "Услуги по ремонту источников бесперебойного питания отн. к сфере ИКТ")</f>
        <v>Услуги по ремонту источников бесперебойного питания отн. к сфере ИКТ</v>
      </c>
      <c r="G4726" s="22" t="s">
        <v>224</v>
      </c>
      <c r="H4726" s="22" t="s">
        <v>225</v>
      </c>
      <c r="I4726" s="26">
        <v>43707.351886574099</v>
      </c>
      <c r="J4726" s="23" t="str">
        <f>HYPERLINK("https://www.spark-marketing.ru/Card/Person/114559", "ООО ""СЛУЖБА Ф1""")</f>
        <v>ООО "СЛУЖБА Ф1"</v>
      </c>
      <c r="K4726" s="24" t="s">
        <v>7588</v>
      </c>
      <c r="L4726" s="22" t="s">
        <v>10</v>
      </c>
      <c r="M4726" s="28" t="s">
        <v>51</v>
      </c>
      <c r="N4726" s="28" t="s">
        <v>51</v>
      </c>
    </row>
    <row r="4727" spans="1:14" x14ac:dyDescent="0.15">
      <c r="A4727" s="23" t="str">
        <f>HYPERLINK("https://www.spark-marketing.ru/Card/Person/131199", "МДОУ №43")</f>
        <v>МДОУ №43</v>
      </c>
      <c r="B4727" s="24" t="s">
        <v>7589</v>
      </c>
      <c r="C4727" s="25">
        <v>8251996.9000000004</v>
      </c>
      <c r="D4727" s="22" t="s">
        <v>7590</v>
      </c>
      <c r="E4727" s="22" t="s">
        <v>48</v>
      </c>
      <c r="F4727" s="23" t="str">
        <f>HYPERLINK("https://www.spark-marketing.ru/Card/Lot/73163632", "«Оказание услуг по организации питания воспитанников муниципального дошкольного образовательного учреждения ""Детский сад № 43 комбинированного вида""")</f>
        <v>«Оказание услуг по организации питания воспитанников муниципального дошкольного образовательного учреждения "Детский сад № 43 комбинированного вида"</v>
      </c>
      <c r="G4727" s="22" t="s">
        <v>49</v>
      </c>
      <c r="H4727" s="22" t="s">
        <v>742</v>
      </c>
      <c r="I4727" s="26">
        <v>43707.365983796299</v>
      </c>
      <c r="J4727" s="28" t="s">
        <v>51</v>
      </c>
      <c r="K4727" s="28" t="s">
        <v>51</v>
      </c>
      <c r="L4727" s="28" t="s">
        <v>51</v>
      </c>
      <c r="M4727" s="28" t="s">
        <v>51</v>
      </c>
      <c r="N4727" s="28" t="s">
        <v>51</v>
      </c>
    </row>
    <row r="4728" spans="1:14" hidden="1" outlineLevel="1" x14ac:dyDescent="0.15">
      <c r="A4728" s="23" t="str">
        <f>HYPERLINK("https://www.spark-marketing.ru/Card/Person/131199", "МДОУ №43")</f>
        <v>МДОУ №43</v>
      </c>
      <c r="B4728" s="24" t="s">
        <v>7589</v>
      </c>
      <c r="C4728" s="25">
        <v>8251996.9000000004</v>
      </c>
      <c r="D4728" s="22" t="s">
        <v>7590</v>
      </c>
      <c r="E4728" s="22" t="s">
        <v>48</v>
      </c>
      <c r="F4728" s="23" t="str">
        <f>HYPERLINK("https://www.spark-marketing.ru/Card/Lot/73163632", "«Оказание услуг по организации питания воспитанников муниципального дошкольного образовательного учреждения ""Детский сад № 43 комбинированного вида""")</f>
        <v>«Оказание услуг по организации питания воспитанников муниципального дошкольного образовательного учреждения "Детский сад № 43 комбинированного вида"</v>
      </c>
      <c r="G4728" s="22" t="s">
        <v>49</v>
      </c>
      <c r="H4728" s="22" t="s">
        <v>742</v>
      </c>
      <c r="I4728" s="26">
        <v>43707.365983796299</v>
      </c>
      <c r="J4728" s="23" t="str">
        <f>HYPERLINK("https://www.spark-marketing.ru/Card/Person/55369", "ООО ""КОМБИНАТ ОБЩЕСТВЕННОГО ПИТАНИЯ""")</f>
        <v>ООО "КОМБИНАТ ОБЩЕСТВЕННОГО ПИТАНИЯ"</v>
      </c>
      <c r="K4728" s="24" t="s">
        <v>1516</v>
      </c>
      <c r="L4728" s="28" t="s">
        <v>51</v>
      </c>
      <c r="M4728" s="28" t="s">
        <v>51</v>
      </c>
      <c r="N4728" s="28" t="s">
        <v>51</v>
      </c>
    </row>
    <row r="4729" spans="1:14" ht="12.75" hidden="1" outlineLevel="1" x14ac:dyDescent="0.2">
      <c r="A4729" s="23" t="str">
        <f>HYPERLINK("https://www.spark-marketing.ru/Card/Person/131199", "МДОУ №43")</f>
        <v>МДОУ №43</v>
      </c>
      <c r="B4729" s="24" t="s">
        <v>7589</v>
      </c>
      <c r="C4729" s="25">
        <v>8251996.9000000004</v>
      </c>
      <c r="D4729" s="22" t="s">
        <v>7590</v>
      </c>
      <c r="E4729" s="22" t="s">
        <v>48</v>
      </c>
      <c r="F4729" s="23" t="str">
        <f>HYPERLINK("https://www.spark-marketing.ru/Card/Lot/73163632", "«Оказание услуг по организации питания воспитанников муниципального дошкольного образовательного учреждения ""Детский сад № 43 комбинированного вида""")</f>
        <v>«Оказание услуг по организации питания воспитанников муниципального дошкольного образовательного учреждения "Детский сад № 43 комбинированного вида"</v>
      </c>
      <c r="G4729" s="22" t="s">
        <v>49</v>
      </c>
      <c r="H4729" s="22" t="s">
        <v>742</v>
      </c>
      <c r="I4729" s="26">
        <v>43707.365983796299</v>
      </c>
      <c r="J4729" s="23" t="str">
        <f>HYPERLINK("https://www.spark-marketing.ru/Card/Person/100937", "ООО ""ВЕРТИКАЛЬ""")</f>
        <v>ООО "ВЕРТИКАЛЬ"</v>
      </c>
      <c r="K4729" s="24" t="s">
        <v>4501</v>
      </c>
      <c r="L4729" s="22" t="s">
        <v>10</v>
      </c>
      <c r="M4729" s="25">
        <v>8250436.7199999997</v>
      </c>
      <c r="N4729" s="27">
        <v>1.8906696390058023E-4</v>
      </c>
    </row>
    <row r="4730" spans="1:14" hidden="1" outlineLevel="1" x14ac:dyDescent="0.2">
      <c r="A4730" s="23" t="str">
        <f>HYPERLINK("https://www.spark-marketing.ru/Card/Person/131199", "МДОУ №43")</f>
        <v>МДОУ №43</v>
      </c>
      <c r="B4730" s="24" t="s">
        <v>7589</v>
      </c>
      <c r="C4730" s="25">
        <v>8251996.9000000004</v>
      </c>
      <c r="D4730" s="22" t="s">
        <v>7590</v>
      </c>
      <c r="E4730" s="22" t="s">
        <v>48</v>
      </c>
      <c r="F4730" s="23" t="str">
        <f>HYPERLINK("https://www.spark-marketing.ru/Card/Lot/73163632", "«Оказание услуг по организации питания воспитанников муниципального дошкольного образовательного учреждения ""Детский сад № 43 комбинированного вида""")</f>
        <v>«Оказание услуг по организации питания воспитанников муниципального дошкольного образовательного учреждения "Детский сад № 43 комбинированного вида"</v>
      </c>
      <c r="G4730" s="22" t="s">
        <v>49</v>
      </c>
      <c r="H4730" s="22" t="s">
        <v>742</v>
      </c>
      <c r="I4730" s="26">
        <v>43707.365983796299</v>
      </c>
      <c r="J4730" s="23" t="str">
        <f>HYPERLINK("https://www.spark-marketing.ru/Card/Person/57370", "ООО ""КП ""ЭКОПРОДУКТ""")</f>
        <v>ООО "КП "ЭКОПРОДУКТ"</v>
      </c>
      <c r="K4730" s="24" t="s">
        <v>6251</v>
      </c>
      <c r="L4730" s="28" t="s">
        <v>51</v>
      </c>
      <c r="M4730" s="25">
        <v>7426989.1600000001</v>
      </c>
      <c r="N4730" s="27">
        <v>9.9976738963631948E-2</v>
      </c>
    </row>
    <row r="4731" spans="1:14" x14ac:dyDescent="0.15">
      <c r="A4731" s="23" t="str">
        <f>HYPERLINK("https://www.spark-marketing.ru/Card/Person/110970", "МДОУ № 65")</f>
        <v>МДОУ № 65</v>
      </c>
      <c r="B4731" s="24" t="s">
        <v>7591</v>
      </c>
      <c r="C4731" s="25">
        <v>27313886.98</v>
      </c>
      <c r="D4731" s="22" t="s">
        <v>7592</v>
      </c>
      <c r="E4731" s="22" t="s">
        <v>48</v>
      </c>
      <c r="F4731" s="23" t="str">
        <f>HYPERLINK("https://www.spark-marketing.ru/Card/Lot/73163653",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№65»")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№65»</v>
      </c>
      <c r="G4731" s="22" t="s">
        <v>49</v>
      </c>
      <c r="H4731" s="22" t="s">
        <v>742</v>
      </c>
      <c r="I4731" s="26">
        <v>43707.371273148201</v>
      </c>
      <c r="J4731" s="28" t="s">
        <v>51</v>
      </c>
      <c r="K4731" s="28" t="s">
        <v>51</v>
      </c>
      <c r="L4731" s="28" t="s">
        <v>51</v>
      </c>
      <c r="M4731" s="28" t="s">
        <v>51</v>
      </c>
      <c r="N4731" s="28" t="s">
        <v>51</v>
      </c>
    </row>
    <row r="4732" spans="1:14" hidden="1" outlineLevel="1" x14ac:dyDescent="0.15">
      <c r="A4732" s="23" t="str">
        <f>HYPERLINK("https://www.spark-marketing.ru/Card/Person/110970", "МДОУ № 65")</f>
        <v>МДОУ № 65</v>
      </c>
      <c r="B4732" s="24" t="s">
        <v>7591</v>
      </c>
      <c r="C4732" s="25">
        <v>27313886.98</v>
      </c>
      <c r="D4732" s="22" t="s">
        <v>7592</v>
      </c>
      <c r="E4732" s="22" t="s">
        <v>48</v>
      </c>
      <c r="F4732" s="23" t="str">
        <f>HYPERLINK("https://www.spark-marketing.ru/Card/Lot/73163653",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№65»")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№65»</v>
      </c>
      <c r="G4732" s="22" t="s">
        <v>49</v>
      </c>
      <c r="H4732" s="22" t="s">
        <v>742</v>
      </c>
      <c r="I4732" s="26">
        <v>43707.371273148201</v>
      </c>
      <c r="J4732" s="23" t="str">
        <f>HYPERLINK("https://www.spark-marketing.ru/Card/Person/55369", "ООО ""КОМБИНАТ ОБЩЕСТВЕННОГО ПИТАНИЯ""")</f>
        <v>ООО "КОМБИНАТ ОБЩЕСТВЕННОГО ПИТАНИЯ"</v>
      </c>
      <c r="K4732" s="24" t="s">
        <v>1516</v>
      </c>
      <c r="L4732" s="28" t="s">
        <v>51</v>
      </c>
      <c r="M4732" s="28" t="s">
        <v>51</v>
      </c>
      <c r="N4732" s="28" t="s">
        <v>51</v>
      </c>
    </row>
    <row r="4733" spans="1:14" hidden="1" outlineLevel="1" x14ac:dyDescent="0.2">
      <c r="A4733" s="23" t="str">
        <f>HYPERLINK("https://www.spark-marketing.ru/Card/Person/110970", "МДОУ № 65")</f>
        <v>МДОУ № 65</v>
      </c>
      <c r="B4733" s="24" t="s">
        <v>7591</v>
      </c>
      <c r="C4733" s="25">
        <v>27313886.98</v>
      </c>
      <c r="D4733" s="22" t="s">
        <v>7592</v>
      </c>
      <c r="E4733" s="22" t="s">
        <v>48</v>
      </c>
      <c r="F4733" s="23" t="str">
        <f>HYPERLINK("https://www.spark-marketing.ru/Card/Lot/73163653",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№65»")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№65»</v>
      </c>
      <c r="G4733" s="22" t="s">
        <v>49</v>
      </c>
      <c r="H4733" s="22" t="s">
        <v>742</v>
      </c>
      <c r="I4733" s="26">
        <v>43707.371273148201</v>
      </c>
      <c r="J4733" s="23" t="str">
        <f>HYPERLINK("https://www.spark-marketing.ru/Card/Person/57370", "ООО ""КП ""ЭКОПРОДУКТ""")</f>
        <v>ООО "КП "ЭКОПРОДУКТ"</v>
      </c>
      <c r="K4733" s="24" t="s">
        <v>6251</v>
      </c>
      <c r="L4733" s="28" t="s">
        <v>51</v>
      </c>
      <c r="M4733" s="25">
        <v>24583069.039999999</v>
      </c>
      <c r="N4733" s="27">
        <v>9.9979103743073339E-2</v>
      </c>
    </row>
    <row r="4734" spans="1:14" ht="12.75" hidden="1" outlineLevel="1" x14ac:dyDescent="0.2">
      <c r="A4734" s="23" t="str">
        <f>HYPERLINK("https://www.spark-marketing.ru/Card/Person/110970", "МДОУ № 65")</f>
        <v>МДОУ № 65</v>
      </c>
      <c r="B4734" s="24" t="s">
        <v>7591</v>
      </c>
      <c r="C4734" s="25">
        <v>27313886.98</v>
      </c>
      <c r="D4734" s="22" t="s">
        <v>7592</v>
      </c>
      <c r="E4734" s="22" t="s">
        <v>48</v>
      </c>
      <c r="F4734" s="23" t="str">
        <f>HYPERLINK("https://www.spark-marketing.ru/Card/Lot/73163653",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№65»")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№65»</v>
      </c>
      <c r="G4734" s="22" t="s">
        <v>49</v>
      </c>
      <c r="H4734" s="22" t="s">
        <v>742</v>
      </c>
      <c r="I4734" s="26">
        <v>43707.371273148201</v>
      </c>
      <c r="J4734" s="23" t="str">
        <f>HYPERLINK("https://www.spark-marketing.ru/Card/Person/100937", "ООО ""ВЕРТИКАЛЬ""")</f>
        <v>ООО "ВЕРТИКАЛЬ"</v>
      </c>
      <c r="K4734" s="24" t="s">
        <v>4501</v>
      </c>
      <c r="L4734" s="22" t="s">
        <v>10</v>
      </c>
      <c r="M4734" s="25">
        <v>27308691.039999999</v>
      </c>
      <c r="N4734" s="27">
        <v>1.9023070586052487E-4</v>
      </c>
    </row>
    <row r="4735" spans="1:14" x14ac:dyDescent="0.15">
      <c r="A4735" s="23" t="str">
        <f>HYPERLINK("https://www.spark-marketing.ru/Card/Person/112574", "МДОУ № 59")</f>
        <v>МДОУ № 59</v>
      </c>
      <c r="B4735" s="24" t="s">
        <v>7593</v>
      </c>
      <c r="C4735" s="25">
        <v>22263411.800000001</v>
      </c>
      <c r="D4735" s="22" t="s">
        <v>7594</v>
      </c>
      <c r="E4735" s="22" t="s">
        <v>48</v>
      </c>
      <c r="F4735" s="23" t="str">
        <f>HYPERLINK("https://www.spark-marketing.ru/Card/Lot/73163663", "Оказание услуг по организации питания воспитанников муниципального дошкольного образовательного учреждения «Детский сад № 59 общеразвивающего вида")</f>
        <v>Оказание услуг по организации питания воспитанников муниципального дошкольного образовательного учреждения «Детский сад № 59 общеразвивающего вида</v>
      </c>
      <c r="G4735" s="22" t="s">
        <v>49</v>
      </c>
      <c r="H4735" s="22" t="s">
        <v>742</v>
      </c>
      <c r="I4735" s="26">
        <v>43707.372685185197</v>
      </c>
      <c r="J4735" s="28" t="s">
        <v>51</v>
      </c>
      <c r="K4735" s="28" t="s">
        <v>51</v>
      </c>
      <c r="L4735" s="28" t="s">
        <v>51</v>
      </c>
      <c r="M4735" s="28" t="s">
        <v>51</v>
      </c>
      <c r="N4735" s="28" t="s">
        <v>51</v>
      </c>
    </row>
    <row r="4736" spans="1:14" hidden="1" outlineLevel="1" x14ac:dyDescent="0.15">
      <c r="A4736" s="23" t="str">
        <f>HYPERLINK("https://www.spark-marketing.ru/Card/Person/112574", "МДОУ № 59")</f>
        <v>МДОУ № 59</v>
      </c>
      <c r="B4736" s="24" t="s">
        <v>7593</v>
      </c>
      <c r="C4736" s="25">
        <v>22263411.800000001</v>
      </c>
      <c r="D4736" s="22" t="s">
        <v>7594</v>
      </c>
      <c r="E4736" s="22" t="s">
        <v>48</v>
      </c>
      <c r="F4736" s="23" t="str">
        <f>HYPERLINK("https://www.spark-marketing.ru/Card/Lot/73163663", "Оказание услуг по организации питания воспитанников муниципального дошкольного образовательного учреждения «Детский сад № 59 общеразвивающего вида")</f>
        <v>Оказание услуг по организации питания воспитанников муниципального дошкольного образовательного учреждения «Детский сад № 59 общеразвивающего вида</v>
      </c>
      <c r="G4736" s="22" t="s">
        <v>49</v>
      </c>
      <c r="H4736" s="22" t="s">
        <v>742</v>
      </c>
      <c r="I4736" s="26">
        <v>43707.372685185197</v>
      </c>
      <c r="J4736" s="23" t="str">
        <f>HYPERLINK("https://www.spark-marketing.ru/Card/Person/55369", "ООО ""КОМБИНАТ ОБЩЕСТВЕННОГО ПИТАНИЯ""")</f>
        <v>ООО "КОМБИНАТ ОБЩЕСТВЕННОГО ПИТАНИЯ"</v>
      </c>
      <c r="K4736" s="24" t="s">
        <v>1516</v>
      </c>
      <c r="L4736" s="28" t="s">
        <v>51</v>
      </c>
      <c r="M4736" s="28" t="s">
        <v>51</v>
      </c>
      <c r="N4736" s="28" t="s">
        <v>51</v>
      </c>
    </row>
    <row r="4737" spans="1:14" hidden="1" outlineLevel="1" x14ac:dyDescent="0.2">
      <c r="A4737" s="23" t="str">
        <f>HYPERLINK("https://www.spark-marketing.ru/Card/Person/112574", "МДОУ № 59")</f>
        <v>МДОУ № 59</v>
      </c>
      <c r="B4737" s="24" t="s">
        <v>7593</v>
      </c>
      <c r="C4737" s="25">
        <v>22263411.800000001</v>
      </c>
      <c r="D4737" s="22" t="s">
        <v>7594</v>
      </c>
      <c r="E4737" s="22" t="s">
        <v>48</v>
      </c>
      <c r="F4737" s="23" t="str">
        <f>HYPERLINK("https://www.spark-marketing.ru/Card/Lot/73163663", "Оказание услуг по организации питания воспитанников муниципального дошкольного образовательного учреждения «Детский сад № 59 общеразвивающего вида")</f>
        <v>Оказание услуг по организации питания воспитанников муниципального дошкольного образовательного учреждения «Детский сад № 59 общеразвивающего вида</v>
      </c>
      <c r="G4737" s="22" t="s">
        <v>49</v>
      </c>
      <c r="H4737" s="22" t="s">
        <v>742</v>
      </c>
      <c r="I4737" s="26">
        <v>43707.372685185197</v>
      </c>
      <c r="J4737" s="23" t="str">
        <f>HYPERLINK("https://www.spark-marketing.ru/Card/Person/57370", "ООО ""КП ""ЭКОПРОДУКТ""")</f>
        <v>ООО "КП "ЭКОПРОДУКТ"</v>
      </c>
      <c r="K4737" s="24" t="s">
        <v>6251</v>
      </c>
      <c r="L4737" s="28" t="s">
        <v>51</v>
      </c>
      <c r="M4737" s="25">
        <v>20037526.199999999</v>
      </c>
      <c r="N4737" s="27">
        <v>9.9979536829121585E-2</v>
      </c>
    </row>
    <row r="4738" spans="1:14" ht="12.75" hidden="1" outlineLevel="1" x14ac:dyDescent="0.2">
      <c r="A4738" s="23" t="str">
        <f>HYPERLINK("https://www.spark-marketing.ru/Card/Person/112574", "МДОУ № 59")</f>
        <v>МДОУ № 59</v>
      </c>
      <c r="B4738" s="24" t="s">
        <v>7593</v>
      </c>
      <c r="C4738" s="25">
        <v>22263411.800000001</v>
      </c>
      <c r="D4738" s="22" t="s">
        <v>7594</v>
      </c>
      <c r="E4738" s="22" t="s">
        <v>48</v>
      </c>
      <c r="F4738" s="23" t="str">
        <f>HYPERLINK("https://www.spark-marketing.ru/Card/Lot/73163663", "Оказание услуг по организации питания воспитанников муниципального дошкольного образовательного учреждения «Детский сад № 59 общеразвивающего вида")</f>
        <v>Оказание услуг по организации питания воспитанников муниципального дошкольного образовательного учреждения «Детский сад № 59 общеразвивающего вида</v>
      </c>
      <c r="G4738" s="22" t="s">
        <v>49</v>
      </c>
      <c r="H4738" s="22" t="s">
        <v>742</v>
      </c>
      <c r="I4738" s="26">
        <v>43707.372685185197</v>
      </c>
      <c r="J4738" s="23" t="str">
        <f>HYPERLINK("https://www.spark-marketing.ru/Card/Person/100937", "ООО ""ВЕРТИКАЛЬ""")</f>
        <v>ООО "ВЕРТИКАЛЬ"</v>
      </c>
      <c r="K4738" s="24" t="s">
        <v>4501</v>
      </c>
      <c r="L4738" s="22" t="s">
        <v>10</v>
      </c>
      <c r="M4738" s="25">
        <v>22259172.32</v>
      </c>
      <c r="N4738" s="27">
        <v>1.9042364387294853E-4</v>
      </c>
    </row>
    <row r="4739" spans="1:14" x14ac:dyDescent="0.15">
      <c r="A4739" s="23" t="str">
        <f>HYPERLINK("https://www.spark-marketing.ru/Card/Person/106131", "ОМВД РОССИИ ПО КОНДИНСКОМУ РАЙОНУ")</f>
        <v>ОМВД РОССИИ ПО КОНДИНСКОМУ РАЙОНУ</v>
      </c>
      <c r="B4739" s="24" t="s">
        <v>7595</v>
      </c>
      <c r="C4739" s="25">
        <v>237562.5</v>
      </c>
      <c r="D4739" s="22" t="s">
        <v>7596</v>
      </c>
      <c r="E4739" s="22" t="s">
        <v>96</v>
      </c>
      <c r="F4739" s="23" t="str">
        <f>HYPERLINK("https://www.spark-marketing.ru/Card/Lot/73135109", "Оказание услуг по организации питания (приготовлению и доставке), 516 шт")</f>
        <v>Оказание услуг по организации питания (приготовлению и доставке), 516 шт</v>
      </c>
      <c r="G4739" s="22" t="s">
        <v>97</v>
      </c>
      <c r="H4739" s="22" t="s">
        <v>7597</v>
      </c>
      <c r="I4739" s="26">
        <v>43707.356168981503</v>
      </c>
      <c r="J4739" s="28" t="s">
        <v>51</v>
      </c>
      <c r="K4739" s="28" t="s">
        <v>51</v>
      </c>
      <c r="L4739" s="28" t="s">
        <v>51</v>
      </c>
      <c r="M4739" s="28" t="s">
        <v>51</v>
      </c>
      <c r="N4739" s="28" t="s">
        <v>51</v>
      </c>
    </row>
    <row r="4740" spans="1:14" x14ac:dyDescent="0.15">
      <c r="A4740" s="23" t="str">
        <f>HYPERLINK("https://www.spark-marketing.ru/Card/Person/4902654", "ГБУ ""ПЕРМСКИЙ КРАЕВОЙ ЦЕНТР ВОЕННО-ПАТРИОТИЧЕСКОГО ВОСПИТАНИЯ""")</f>
        <v>ГБУ "ПЕРМСКИЙ КРАЕВОЙ ЦЕНТР ВОЕННО-ПАТРИОТИЧЕСКОГО ВОСПИТАНИЯ"</v>
      </c>
      <c r="B4740" s="24" t="s">
        <v>7598</v>
      </c>
      <c r="C4740" s="25">
        <v>2970000</v>
      </c>
      <c r="D4740" s="22" t="s">
        <v>7599</v>
      </c>
      <c r="E4740" s="22" t="s">
        <v>7600</v>
      </c>
      <c r="F4740" s="23" t="str">
        <f>HYPERLINK("https://www.spark-marketing.ru/Card/Lot/73134481", "Услуги проживания, питания и предоставления территории и учебных мест для проведения сборов по обучению граждан начальным знаниям в области обороны и их подготовке по основам военной службы с сентября по декабрь (включительно) 2019 года")</f>
        <v>Услуги проживания, питания и предоставления территории и учебных мест для проведения сборов по обучению граждан начальным знаниям в области обороны и их подготовке по основам военной службы с сентября по декабрь (включительно) 2019 года</v>
      </c>
      <c r="G4740" s="22" t="s">
        <v>153</v>
      </c>
      <c r="H4740" s="22" t="s">
        <v>153</v>
      </c>
      <c r="I4740" s="26">
        <v>43706.735034722202</v>
      </c>
      <c r="J4740" s="28" t="s">
        <v>51</v>
      </c>
      <c r="K4740" s="28" t="s">
        <v>51</v>
      </c>
      <c r="L4740" s="28" t="s">
        <v>51</v>
      </c>
      <c r="M4740" s="28" t="s">
        <v>51</v>
      </c>
      <c r="N4740" s="28" t="s">
        <v>51</v>
      </c>
    </row>
    <row r="4741" spans="1:14" hidden="1" outlineLevel="1" x14ac:dyDescent="0.2">
      <c r="A4741" s="23" t="str">
        <f>HYPERLINK("https://www.spark-marketing.ru/Card/Person/4902654", "ГБУ ""ПЕРМСКИЙ КРАЕВОЙ ЦЕНТР ВОЕННО-ПАТРИОТИЧЕСКОГО ВОСПИТАНИЯ""")</f>
        <v>ГБУ "ПЕРМСКИЙ КРАЕВОЙ ЦЕНТР ВОЕННО-ПАТРИОТИЧЕСКОГО ВОСПИТАНИЯ"</v>
      </c>
      <c r="B4741" s="24" t="s">
        <v>7598</v>
      </c>
      <c r="C4741" s="25">
        <v>2970000</v>
      </c>
      <c r="D4741" s="22" t="s">
        <v>7599</v>
      </c>
      <c r="E4741" s="22" t="s">
        <v>7600</v>
      </c>
      <c r="F4741" s="23" t="str">
        <f>HYPERLINK("https://www.spark-marketing.ru/Card/Lot/73134481", "Услуги проживания, питания и предоставления территории и учебных мест для проведения сборов по обучению граждан начальным знаниям в области обороны и их подготовке по основам военной службы с сентября по декабрь (включительно) 2019 года")</f>
        <v>Услуги проживания, питания и предоставления территории и учебных мест для проведения сборов по обучению граждан начальным знаниям в области обороны и их подготовке по основам военной службы с сентября по декабрь (включительно) 2019 года</v>
      </c>
      <c r="G4741" s="22" t="s">
        <v>153</v>
      </c>
      <c r="H4741" s="22" t="s">
        <v>153</v>
      </c>
      <c r="I4741" s="26">
        <v>43706.735034722202</v>
      </c>
      <c r="J4741" s="23" t="str">
        <f>HYPERLINK("https://www.spark-marketing.ru/Card/Person/30283", "ООО ""ООЦ ""ЗВЕЗДНЫЙ""")</f>
        <v>ООО "ООЦ "ЗВЕЗДНЫЙ"</v>
      </c>
      <c r="K4741" s="24" t="s">
        <v>7601</v>
      </c>
      <c r="L4741" s="28" t="s">
        <v>51</v>
      </c>
      <c r="M4741" s="25">
        <v>2583000</v>
      </c>
      <c r="N4741" s="27">
        <v>0.13030303030303031</v>
      </c>
    </row>
    <row r="4742" spans="1:14" ht="12.75" hidden="1" outlineLevel="1" x14ac:dyDescent="0.2">
      <c r="A4742" s="23" t="str">
        <f>HYPERLINK("https://www.spark-marketing.ru/Card/Person/4902654", "ГБУ ""ПЕРМСКИЙ КРАЕВОЙ ЦЕНТР ВОЕННО-ПАТРИОТИЧЕСКОГО ВОСПИТАНИЯ""")</f>
        <v>ГБУ "ПЕРМСКИЙ КРАЕВОЙ ЦЕНТР ВОЕННО-ПАТРИОТИЧЕСКОГО ВОСПИТАНИЯ"</v>
      </c>
      <c r="B4742" s="24" t="s">
        <v>7598</v>
      </c>
      <c r="C4742" s="25">
        <v>2970000</v>
      </c>
      <c r="D4742" s="22" t="s">
        <v>7599</v>
      </c>
      <c r="E4742" s="22" t="s">
        <v>7600</v>
      </c>
      <c r="F4742" s="23" t="str">
        <f>HYPERLINK("https://www.spark-marketing.ru/Card/Lot/73134481", "Услуги проживания, питания и предоставления территории и учебных мест для проведения сборов по обучению граждан начальным знаниям в области обороны и их подготовке по основам военной службы с сентября по декабрь (включительно) 2019 года")</f>
        <v>Услуги проживания, питания и предоставления территории и учебных мест для проведения сборов по обучению граждан начальным знаниям в области обороны и их подготовке по основам военной службы с сентября по декабрь (включительно) 2019 года</v>
      </c>
      <c r="G4742" s="22" t="s">
        <v>153</v>
      </c>
      <c r="H4742" s="22" t="s">
        <v>153</v>
      </c>
      <c r="I4742" s="26">
        <v>43706.735034722202</v>
      </c>
      <c r="J4742" s="23" t="str">
        <f>HYPERLINK("https://www.spark-marketing.ru/Card/Person/6413962", "ООО ""ИЛИАНДР""")</f>
        <v>ООО "ИЛИАНДР"</v>
      </c>
      <c r="K4742" s="24" t="s">
        <v>7602</v>
      </c>
      <c r="L4742" s="22" t="s">
        <v>10</v>
      </c>
      <c r="M4742" s="25">
        <v>2568150</v>
      </c>
      <c r="N4742" s="27">
        <v>0.13530303030303031</v>
      </c>
    </row>
    <row r="4743" spans="1:14" x14ac:dyDescent="0.15">
      <c r="A4743" s="23" t="str">
        <f>HYPERLINK("https://www.spark-marketing.ru/Card/Person/101035", "МДОУ № 23")</f>
        <v>МДОУ № 23</v>
      </c>
      <c r="B4743" s="24" t="s">
        <v>7603</v>
      </c>
      <c r="C4743" s="25">
        <v>36796081.880000003</v>
      </c>
      <c r="D4743" s="22" t="s">
        <v>7604</v>
      </c>
      <c r="E4743" s="22" t="s">
        <v>48</v>
      </c>
      <c r="F4743" s="23" t="str">
        <f>HYPERLINK("https://www.spark-marketing.ru/Card/Lot/73163659",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№23»")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№23»</v>
      </c>
      <c r="G4743" s="22" t="s">
        <v>49</v>
      </c>
      <c r="H4743" s="22" t="s">
        <v>742</v>
      </c>
      <c r="I4743" s="26">
        <v>43707.371990740699</v>
      </c>
      <c r="J4743" s="28" t="s">
        <v>51</v>
      </c>
      <c r="K4743" s="28" t="s">
        <v>51</v>
      </c>
      <c r="L4743" s="28" t="s">
        <v>51</v>
      </c>
      <c r="M4743" s="28" t="s">
        <v>51</v>
      </c>
      <c r="N4743" s="28" t="s">
        <v>51</v>
      </c>
    </row>
    <row r="4744" spans="1:14" hidden="1" outlineLevel="1" x14ac:dyDescent="0.15">
      <c r="A4744" s="23" t="str">
        <f>HYPERLINK("https://www.spark-marketing.ru/Card/Person/101035", "МДОУ № 23")</f>
        <v>МДОУ № 23</v>
      </c>
      <c r="B4744" s="24" t="s">
        <v>7603</v>
      </c>
      <c r="C4744" s="25">
        <v>36796081.880000003</v>
      </c>
      <c r="D4744" s="22" t="s">
        <v>7604</v>
      </c>
      <c r="E4744" s="22" t="s">
        <v>48</v>
      </c>
      <c r="F4744" s="23" t="str">
        <f>HYPERLINK("https://www.spark-marketing.ru/Card/Lot/73163659",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№23»")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№23»</v>
      </c>
      <c r="G4744" s="22" t="s">
        <v>49</v>
      </c>
      <c r="H4744" s="22" t="s">
        <v>742</v>
      </c>
      <c r="I4744" s="26">
        <v>43707.371990740699</v>
      </c>
      <c r="J4744" s="23" t="str">
        <f>HYPERLINK("https://www.spark-marketing.ru/Card/Person/55369", "ООО ""КОМБИНАТ ОБЩЕСТВЕННОГО ПИТАНИЯ""")</f>
        <v>ООО "КОМБИНАТ ОБЩЕСТВЕННОГО ПИТАНИЯ"</v>
      </c>
      <c r="K4744" s="24" t="s">
        <v>1516</v>
      </c>
      <c r="L4744" s="28" t="s">
        <v>51</v>
      </c>
      <c r="M4744" s="28" t="s">
        <v>51</v>
      </c>
      <c r="N4744" s="28" t="s">
        <v>51</v>
      </c>
    </row>
    <row r="4745" spans="1:14" hidden="1" outlineLevel="1" x14ac:dyDescent="0.2">
      <c r="A4745" s="23" t="str">
        <f>HYPERLINK("https://www.spark-marketing.ru/Card/Person/101035", "МДОУ № 23")</f>
        <v>МДОУ № 23</v>
      </c>
      <c r="B4745" s="24" t="s">
        <v>7603</v>
      </c>
      <c r="C4745" s="25">
        <v>36796081.880000003</v>
      </c>
      <c r="D4745" s="22" t="s">
        <v>7604</v>
      </c>
      <c r="E4745" s="22" t="s">
        <v>48</v>
      </c>
      <c r="F4745" s="23" t="str">
        <f>HYPERLINK("https://www.spark-marketing.ru/Card/Lot/73163659",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№23»")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№23»</v>
      </c>
      <c r="G4745" s="22" t="s">
        <v>49</v>
      </c>
      <c r="H4745" s="22" t="s">
        <v>742</v>
      </c>
      <c r="I4745" s="26">
        <v>43707.371990740699</v>
      </c>
      <c r="J4745" s="23" t="str">
        <f>HYPERLINK("https://www.spark-marketing.ru/Card/Person/57370", "ООО ""КП ""ЭКОПРОДУКТ""")</f>
        <v>ООО "КП "ЭКОПРОДУКТ"</v>
      </c>
      <c r="K4745" s="24" t="s">
        <v>6251</v>
      </c>
      <c r="L4745" s="28" t="s">
        <v>51</v>
      </c>
      <c r="M4745" s="25">
        <v>33117259.399999999</v>
      </c>
      <c r="N4745" s="27">
        <v>9.9978646965658946E-2</v>
      </c>
    </row>
    <row r="4746" spans="1:14" ht="12.75" hidden="1" outlineLevel="1" x14ac:dyDescent="0.2">
      <c r="A4746" s="23" t="str">
        <f>HYPERLINK("https://www.spark-marketing.ru/Card/Person/101035", "МДОУ № 23")</f>
        <v>МДОУ № 23</v>
      </c>
      <c r="B4746" s="24" t="s">
        <v>7603</v>
      </c>
      <c r="C4746" s="25">
        <v>36796081.880000003</v>
      </c>
      <c r="D4746" s="22" t="s">
        <v>7604</v>
      </c>
      <c r="E4746" s="22" t="s">
        <v>48</v>
      </c>
      <c r="F4746" s="23" t="str">
        <f>HYPERLINK("https://www.spark-marketing.ru/Card/Lot/73163659",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№23»")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№23»</v>
      </c>
      <c r="G4746" s="22" t="s">
        <v>49</v>
      </c>
      <c r="H4746" s="22" t="s">
        <v>742</v>
      </c>
      <c r="I4746" s="26">
        <v>43707.371990740699</v>
      </c>
      <c r="J4746" s="23" t="str">
        <f>HYPERLINK("https://www.spark-marketing.ru/Card/Person/100937", "ООО ""ВЕРТИКАЛЬ""")</f>
        <v>ООО "ВЕРТИКАЛЬ"</v>
      </c>
      <c r="K4746" s="24" t="s">
        <v>4501</v>
      </c>
      <c r="L4746" s="22" t="s">
        <v>10</v>
      </c>
      <c r="M4746" s="25">
        <v>36789089.840000004</v>
      </c>
      <c r="N4746" s="27">
        <v>1.9002131865024537E-4</v>
      </c>
    </row>
    <row r="4747" spans="1:14" x14ac:dyDescent="0.15">
      <c r="A4747" s="23" t="str">
        <f>HYPERLINK("https://www.spark-marketing.ru/Card/Person/102274", "МАДОУ № 35")</f>
        <v>МАДОУ № 35</v>
      </c>
      <c r="B4747" s="24" t="s">
        <v>7605</v>
      </c>
      <c r="C4747" s="25">
        <v>21606808.239999998</v>
      </c>
      <c r="D4747" s="22" t="s">
        <v>7606</v>
      </c>
      <c r="E4747" s="22" t="s">
        <v>48</v>
      </c>
      <c r="F4747" s="23" t="str">
        <f>HYPERLINK("https://www.spark-marketing.ru/Card/Lot/73163665", "Оказание услуг по организации питания воспитанников муниципального автономного дошкольного образовательного учреждения ""Центр развития ребенка - детский сад № 35""")</f>
        <v>Оказание услуг по организации питания воспитанников муниципального автономного дошкольного образовательного учреждения "Центр развития ребенка - детский сад № 35"</v>
      </c>
      <c r="G4747" s="22" t="s">
        <v>49</v>
      </c>
      <c r="H4747" s="22" t="s">
        <v>742</v>
      </c>
      <c r="I4747" s="26">
        <v>43707.373715277798</v>
      </c>
      <c r="J4747" s="28" t="s">
        <v>51</v>
      </c>
      <c r="K4747" s="28" t="s">
        <v>51</v>
      </c>
      <c r="L4747" s="28" t="s">
        <v>51</v>
      </c>
      <c r="M4747" s="28" t="s">
        <v>51</v>
      </c>
      <c r="N4747" s="28" t="s">
        <v>51</v>
      </c>
    </row>
    <row r="4748" spans="1:14" ht="12.75" hidden="1" outlineLevel="1" x14ac:dyDescent="0.2">
      <c r="A4748" s="23" t="str">
        <f>HYPERLINK("https://www.spark-marketing.ru/Card/Person/102274", "МАДОУ № 35")</f>
        <v>МАДОУ № 35</v>
      </c>
      <c r="B4748" s="24" t="s">
        <v>7605</v>
      </c>
      <c r="C4748" s="25">
        <v>21606808.239999998</v>
      </c>
      <c r="D4748" s="22" t="s">
        <v>7606</v>
      </c>
      <c r="E4748" s="22" t="s">
        <v>48</v>
      </c>
      <c r="F4748" s="23" t="str">
        <f>HYPERLINK("https://www.spark-marketing.ru/Card/Lot/73163665", "Оказание услуг по организации питания воспитанников муниципального автономного дошкольного образовательного учреждения ""Центр развития ребенка - детский сад № 35""")</f>
        <v>Оказание услуг по организации питания воспитанников муниципального автономного дошкольного образовательного учреждения "Центр развития ребенка - детский сад № 35"</v>
      </c>
      <c r="G4748" s="22" t="s">
        <v>49</v>
      </c>
      <c r="H4748" s="22" t="s">
        <v>742</v>
      </c>
      <c r="I4748" s="26">
        <v>43707.373715277798</v>
      </c>
      <c r="J4748" s="23" t="str">
        <f>HYPERLINK("https://www.spark-marketing.ru/Card/Person/100937", "ООО ""ВЕРТИКАЛЬ""")</f>
        <v>ООО "ВЕРТИКАЛЬ"</v>
      </c>
      <c r="K4748" s="24" t="s">
        <v>4501</v>
      </c>
      <c r="L4748" s="22" t="s">
        <v>10</v>
      </c>
      <c r="M4748" s="25">
        <v>21602692.84</v>
      </c>
      <c r="N4748" s="27">
        <v>1.904677430506043E-4</v>
      </c>
    </row>
    <row r="4749" spans="1:14" hidden="1" outlineLevel="1" x14ac:dyDescent="0.15">
      <c r="A4749" s="23" t="str">
        <f>HYPERLINK("https://www.spark-marketing.ru/Card/Person/102274", "МАДОУ № 35")</f>
        <v>МАДОУ № 35</v>
      </c>
      <c r="B4749" s="24" t="s">
        <v>7605</v>
      </c>
      <c r="C4749" s="25">
        <v>21606808.239999998</v>
      </c>
      <c r="D4749" s="22" t="s">
        <v>7606</v>
      </c>
      <c r="E4749" s="22" t="s">
        <v>48</v>
      </c>
      <c r="F4749" s="23" t="str">
        <f>HYPERLINK("https://www.spark-marketing.ru/Card/Lot/73163665", "Оказание услуг по организации питания воспитанников муниципального автономного дошкольного образовательного учреждения ""Центр развития ребенка - детский сад № 35""")</f>
        <v>Оказание услуг по организации питания воспитанников муниципального автономного дошкольного образовательного учреждения "Центр развития ребенка - детский сад № 35"</v>
      </c>
      <c r="G4749" s="22" t="s">
        <v>49</v>
      </c>
      <c r="H4749" s="22" t="s">
        <v>742</v>
      </c>
      <c r="I4749" s="26">
        <v>43707.373715277798</v>
      </c>
      <c r="J4749" s="23" t="str">
        <f>HYPERLINK("https://www.spark-marketing.ru/Card/Person/55369", "ООО ""КОМБИНАТ ОБЩЕСТВЕННОГО ПИТАНИЯ""")</f>
        <v>ООО "КОМБИНАТ ОБЩЕСТВЕННОГО ПИТАНИЯ"</v>
      </c>
      <c r="K4749" s="24" t="s">
        <v>1516</v>
      </c>
      <c r="L4749" s="28" t="s">
        <v>51</v>
      </c>
      <c r="M4749" s="28" t="s">
        <v>51</v>
      </c>
      <c r="N4749" s="28" t="s">
        <v>51</v>
      </c>
    </row>
    <row r="4750" spans="1:14" hidden="1" outlineLevel="1" x14ac:dyDescent="0.2">
      <c r="A4750" s="23" t="str">
        <f>HYPERLINK("https://www.spark-marketing.ru/Card/Person/102274", "МАДОУ № 35")</f>
        <v>МАДОУ № 35</v>
      </c>
      <c r="B4750" s="24" t="s">
        <v>7605</v>
      </c>
      <c r="C4750" s="25">
        <v>21606808.239999998</v>
      </c>
      <c r="D4750" s="22" t="s">
        <v>7606</v>
      </c>
      <c r="E4750" s="22" t="s">
        <v>48</v>
      </c>
      <c r="F4750" s="23" t="str">
        <f>HYPERLINK("https://www.spark-marketing.ru/Card/Lot/73163665", "Оказание услуг по организации питания воспитанников муниципального автономного дошкольного образовательного учреждения ""Центр развития ребенка - детский сад № 35""")</f>
        <v>Оказание услуг по организации питания воспитанников муниципального автономного дошкольного образовательного учреждения "Центр развития ребенка - детский сад № 35"</v>
      </c>
      <c r="G4750" s="22" t="s">
        <v>49</v>
      </c>
      <c r="H4750" s="22" t="s">
        <v>742</v>
      </c>
      <c r="I4750" s="26">
        <v>43707.373715277798</v>
      </c>
      <c r="J4750" s="23" t="str">
        <f>HYPERLINK("https://www.spark-marketing.ru/Card/Person/57370", "ООО ""КП ""ЭКОПРОДУКТ""")</f>
        <v>ООО "КП "ЭКОПРОДУКТ"</v>
      </c>
      <c r="K4750" s="24" t="s">
        <v>6251</v>
      </c>
      <c r="L4750" s="28" t="s">
        <v>51</v>
      </c>
      <c r="M4750" s="25">
        <v>19446568.120000001</v>
      </c>
      <c r="N4750" s="27">
        <v>9.997960346594903E-2</v>
      </c>
    </row>
    <row r="4751" spans="1:14" x14ac:dyDescent="0.15">
      <c r="A4751" s="23" t="str">
        <f>HYPERLINK("https://www.spark-marketing.ru/Card/Person/101314", "МДОУ № 5")</f>
        <v>МДОУ № 5</v>
      </c>
      <c r="B4751" s="24" t="s">
        <v>7607</v>
      </c>
      <c r="C4751" s="25">
        <v>19858021.16</v>
      </c>
      <c r="D4751" s="22" t="s">
        <v>7608</v>
      </c>
      <c r="E4751" s="22" t="s">
        <v>48</v>
      </c>
      <c r="F4751" s="23" t="str">
        <f>HYPERLINK("https://www.spark-marketing.ru/Card/Lot/73163654", "Оказание услуг по организации питания воспитанников муниципального дошкольного образовательного учреждения ""Центр развития ребенка - детский сад №5""")</f>
        <v>Оказание услуг по организации питания воспитанников муниципального дошкольного образовательного учреждения "Центр развития ребенка - детский сад №5"</v>
      </c>
      <c r="G4751" s="22" t="s">
        <v>49</v>
      </c>
      <c r="H4751" s="22" t="s">
        <v>742</v>
      </c>
      <c r="I4751" s="26">
        <v>43707.371354166702</v>
      </c>
      <c r="J4751" s="28" t="s">
        <v>51</v>
      </c>
      <c r="K4751" s="28" t="s">
        <v>51</v>
      </c>
      <c r="L4751" s="28" t="s">
        <v>51</v>
      </c>
      <c r="M4751" s="28" t="s">
        <v>51</v>
      </c>
      <c r="N4751" s="28" t="s">
        <v>51</v>
      </c>
    </row>
    <row r="4752" spans="1:14" hidden="1" outlineLevel="1" x14ac:dyDescent="0.15">
      <c r="A4752" s="23" t="str">
        <f>HYPERLINK("https://www.spark-marketing.ru/Card/Person/101314", "МДОУ № 5")</f>
        <v>МДОУ № 5</v>
      </c>
      <c r="B4752" s="24" t="s">
        <v>7607</v>
      </c>
      <c r="C4752" s="25">
        <v>19858021.16</v>
      </c>
      <c r="D4752" s="22" t="s">
        <v>7608</v>
      </c>
      <c r="E4752" s="22" t="s">
        <v>48</v>
      </c>
      <c r="F4752" s="23" t="str">
        <f>HYPERLINK("https://www.spark-marketing.ru/Card/Lot/73163654", "Оказание услуг по организации питания воспитанников муниципального дошкольного образовательного учреждения ""Центр развития ребенка - детский сад №5""")</f>
        <v>Оказание услуг по организации питания воспитанников муниципального дошкольного образовательного учреждения "Центр развития ребенка - детский сад №5"</v>
      </c>
      <c r="G4752" s="22" t="s">
        <v>49</v>
      </c>
      <c r="H4752" s="22" t="s">
        <v>742</v>
      </c>
      <c r="I4752" s="26">
        <v>43707.371354166702</v>
      </c>
      <c r="J4752" s="23" t="str">
        <f>HYPERLINK("https://www.spark-marketing.ru/Card/Person/55369", "ООО ""КОМБИНАТ ОБЩЕСТВЕННОГО ПИТАНИЯ""")</f>
        <v>ООО "КОМБИНАТ ОБЩЕСТВЕННОГО ПИТАНИЯ"</v>
      </c>
      <c r="K4752" s="24" t="s">
        <v>1516</v>
      </c>
      <c r="L4752" s="28" t="s">
        <v>51</v>
      </c>
      <c r="M4752" s="28" t="s">
        <v>51</v>
      </c>
      <c r="N4752" s="28" t="s">
        <v>51</v>
      </c>
    </row>
    <row r="4753" spans="1:14" hidden="1" outlineLevel="1" x14ac:dyDescent="0.2">
      <c r="A4753" s="23" t="str">
        <f>HYPERLINK("https://www.spark-marketing.ru/Card/Person/101314", "МДОУ № 5")</f>
        <v>МДОУ № 5</v>
      </c>
      <c r="B4753" s="24" t="s">
        <v>7607</v>
      </c>
      <c r="C4753" s="25">
        <v>19858021.16</v>
      </c>
      <c r="D4753" s="22" t="s">
        <v>7608</v>
      </c>
      <c r="E4753" s="22" t="s">
        <v>48</v>
      </c>
      <c r="F4753" s="23" t="str">
        <f>HYPERLINK("https://www.spark-marketing.ru/Card/Lot/73163654", "Оказание услуг по организации питания воспитанников муниципального дошкольного образовательного учреждения ""Центр развития ребенка - детский сад №5""")</f>
        <v>Оказание услуг по организации питания воспитанников муниципального дошкольного образовательного учреждения "Центр развития ребенка - детский сад №5"</v>
      </c>
      <c r="G4753" s="22" t="s">
        <v>49</v>
      </c>
      <c r="H4753" s="22" t="s">
        <v>742</v>
      </c>
      <c r="I4753" s="26">
        <v>43707.371354166702</v>
      </c>
      <c r="J4753" s="23" t="str">
        <f>HYPERLINK("https://www.spark-marketing.ru/Card/Person/57370", "ООО ""КП ""ЭКОПРОДУКТ""")</f>
        <v>ООО "КП "ЭКОПРОДУКТ"</v>
      </c>
      <c r="K4753" s="24" t="s">
        <v>6251</v>
      </c>
      <c r="L4753" s="28" t="s">
        <v>51</v>
      </c>
      <c r="M4753" s="25">
        <v>17872619.32</v>
      </c>
      <c r="N4753" s="27">
        <v>9.9979843107388444E-2</v>
      </c>
    </row>
    <row r="4754" spans="1:14" ht="12.75" hidden="1" outlineLevel="1" x14ac:dyDescent="0.2">
      <c r="A4754" s="23" t="str">
        <f>HYPERLINK("https://www.spark-marketing.ru/Card/Person/101314", "МДОУ № 5")</f>
        <v>МДОУ № 5</v>
      </c>
      <c r="B4754" s="24" t="s">
        <v>7607</v>
      </c>
      <c r="C4754" s="25">
        <v>19858021.16</v>
      </c>
      <c r="D4754" s="22" t="s">
        <v>7608</v>
      </c>
      <c r="E4754" s="22" t="s">
        <v>48</v>
      </c>
      <c r="F4754" s="23" t="str">
        <f>HYPERLINK("https://www.spark-marketing.ru/Card/Lot/73163654", "Оказание услуг по организации питания воспитанников муниципального дошкольного образовательного учреждения ""Центр развития ребенка - детский сад №5""")</f>
        <v>Оказание услуг по организации питания воспитанников муниципального дошкольного образовательного учреждения "Центр развития ребенка - детский сад №5"</v>
      </c>
      <c r="G4754" s="22" t="s">
        <v>49</v>
      </c>
      <c r="H4754" s="22" t="s">
        <v>742</v>
      </c>
      <c r="I4754" s="26">
        <v>43707.371354166702</v>
      </c>
      <c r="J4754" s="23" t="str">
        <f>HYPERLINK("https://www.spark-marketing.ru/Card/Person/100937", "ООО ""ВЕРТИКАЛЬ""")</f>
        <v>ООО "ВЕРТИКАЛЬ"</v>
      </c>
      <c r="K4754" s="24" t="s">
        <v>4501</v>
      </c>
      <c r="L4754" s="22" t="s">
        <v>10</v>
      </c>
      <c r="M4754" s="25">
        <v>19854236.600000001</v>
      </c>
      <c r="N4754" s="27">
        <v>1.9058092291810208E-4</v>
      </c>
    </row>
    <row r="4755" spans="1:14" x14ac:dyDescent="0.15">
      <c r="A4755" s="23" t="str">
        <f>HYPERLINK("https://www.spark-marketing.ru/Card/Person/1065638", "МО МВД РОССИИ ""ЗУЕВСКИЙ""")</f>
        <v>МО МВД РОССИИ "ЗУЕВСКИЙ"</v>
      </c>
      <c r="B4755" s="24" t="s">
        <v>7609</v>
      </c>
      <c r="C4755" s="25">
        <v>489682.2</v>
      </c>
      <c r="D4755" s="22" t="s">
        <v>7610</v>
      </c>
      <c r="E4755" s="22" t="s">
        <v>48</v>
      </c>
      <c r="F4755" s="23" t="str">
        <f>HYPERLINK("https://www.spark-marketing.ru/Card/Lot/73135649", "Оказание услуг по организации ежедневного трехразового горячего питания лиц подвергнутых административному аресту и содержащихся в изоляторе временного содержания (ИВС) и специальных помещениях для содержания задержанных лиц (СПСЗЛ) МО МВД России «Зу...")</f>
        <v>Оказание услуг по организации ежедневного трехразового горячего питания лиц подвергнутых административному аресту и содержащихся в изоляторе временного содержания (ИВС) и специальных помещениях для содержания задержанных лиц (СПСЗЛ) МО МВД России «Зу...</v>
      </c>
      <c r="G4755" s="22" t="s">
        <v>224</v>
      </c>
      <c r="H4755" s="22" t="s">
        <v>7611</v>
      </c>
      <c r="I4755" s="26">
        <v>43706.731469907398</v>
      </c>
      <c r="J4755" s="23" t="str">
        <f>HYPERLINK("https://www.spark-marketing.ru/Card/Person/51950", "ООО ""ЗДОРОВОЕ ПИТАНИЕ""")</f>
        <v>ООО "ЗДОРОВОЕ ПИТАНИЕ"</v>
      </c>
      <c r="K4755" s="24" t="s">
        <v>2336</v>
      </c>
      <c r="L4755" s="22" t="s">
        <v>10</v>
      </c>
      <c r="M4755" s="28" t="s">
        <v>51</v>
      </c>
      <c r="N4755" s="28" t="s">
        <v>51</v>
      </c>
    </row>
    <row r="4756" spans="1:14" x14ac:dyDescent="0.15">
      <c r="A4756" s="23" t="str">
        <f>HYPERLINK("https://www.spark-marketing.ru/Card/Person/153430", "ОМВД РОССИИ ПО ГОРОДУ КУЗНЕЦКУ")</f>
        <v>ОМВД РОССИИ ПО ГОРОДУ КУЗНЕЦКУ</v>
      </c>
      <c r="B4756" s="24" t="s">
        <v>6026</v>
      </c>
      <c r="C4756" s="25">
        <v>536890</v>
      </c>
      <c r="D4756" s="22" t="s">
        <v>7612</v>
      </c>
      <c r="E4756" s="22" t="s">
        <v>48</v>
      </c>
      <c r="F4756" s="23" t="str">
        <f>HYPERLINK("https://www.spark-marketing.ru/Card/Lot/73136972", "Питание ИВС и СП")</f>
        <v>Питание ИВС и СП</v>
      </c>
      <c r="G4756" s="22" t="s">
        <v>72</v>
      </c>
      <c r="H4756" s="22" t="s">
        <v>3356</v>
      </c>
      <c r="I4756" s="26">
        <v>43706.739930555603</v>
      </c>
      <c r="J4756" s="28" t="s">
        <v>51</v>
      </c>
      <c r="K4756" s="28" t="s">
        <v>51</v>
      </c>
      <c r="L4756" s="28" t="s">
        <v>51</v>
      </c>
      <c r="M4756" s="28" t="s">
        <v>51</v>
      </c>
      <c r="N4756" s="28" t="s">
        <v>51</v>
      </c>
    </row>
    <row r="4757" spans="1:14" x14ac:dyDescent="0.15">
      <c r="A4757" s="23" t="str">
        <f>HYPERLINK("https://www.spark-marketing.ru/Card/Person/102174", "МДОУ № 28")</f>
        <v>МДОУ № 28</v>
      </c>
      <c r="B4757" s="24" t="s">
        <v>7613</v>
      </c>
      <c r="C4757" s="25">
        <v>15910722.560000001</v>
      </c>
      <c r="D4757" s="22" t="s">
        <v>7614</v>
      </c>
      <c r="E4757" s="22" t="s">
        <v>48</v>
      </c>
      <c r="F4757" s="23" t="str">
        <f>HYPERLINK("https://www.spark-marketing.ru/Card/Lot/73163662", "Оказание услуг по организации питания воспитанников муниципального дошкольного образовательного учреждения ""Детский сад № 28 общеразвивающего вида""")</f>
        <v>Оказание услуг по организации питания воспитанников муниципального дошкольного образовательного учреждения "Детский сад № 28 общеразвивающего вида"</v>
      </c>
      <c r="G4757" s="22" t="s">
        <v>49</v>
      </c>
      <c r="H4757" s="22" t="s">
        <v>742</v>
      </c>
      <c r="I4757" s="26">
        <v>43707.372685185197</v>
      </c>
      <c r="J4757" s="28" t="s">
        <v>51</v>
      </c>
      <c r="K4757" s="28" t="s">
        <v>51</v>
      </c>
      <c r="L4757" s="28" t="s">
        <v>51</v>
      </c>
      <c r="M4757" s="28" t="s">
        <v>51</v>
      </c>
      <c r="N4757" s="28" t="s">
        <v>51</v>
      </c>
    </row>
    <row r="4758" spans="1:14" hidden="1" outlineLevel="1" x14ac:dyDescent="0.15">
      <c r="A4758" s="23" t="str">
        <f>HYPERLINK("https://www.spark-marketing.ru/Card/Person/102174", "МДОУ № 28")</f>
        <v>МДОУ № 28</v>
      </c>
      <c r="B4758" s="24" t="s">
        <v>7613</v>
      </c>
      <c r="C4758" s="25">
        <v>15910722.560000001</v>
      </c>
      <c r="D4758" s="22" t="s">
        <v>7614</v>
      </c>
      <c r="E4758" s="22" t="s">
        <v>48</v>
      </c>
      <c r="F4758" s="23" t="str">
        <f>HYPERLINK("https://www.spark-marketing.ru/Card/Lot/73163662", "Оказание услуг по организации питания воспитанников муниципального дошкольного образовательного учреждения ""Детский сад № 28 общеразвивающего вида""")</f>
        <v>Оказание услуг по организации питания воспитанников муниципального дошкольного образовательного учреждения "Детский сад № 28 общеразвивающего вида"</v>
      </c>
      <c r="G4758" s="22" t="s">
        <v>49</v>
      </c>
      <c r="H4758" s="22" t="s">
        <v>742</v>
      </c>
      <c r="I4758" s="26">
        <v>43707.372685185197</v>
      </c>
      <c r="J4758" s="23" t="str">
        <f>HYPERLINK("https://www.spark-marketing.ru/Card/Person/55369", "ООО ""КОМБИНАТ ОБЩЕСТВЕННОГО ПИТАНИЯ""")</f>
        <v>ООО "КОМБИНАТ ОБЩЕСТВЕННОГО ПИТАНИЯ"</v>
      </c>
      <c r="K4758" s="24" t="s">
        <v>1516</v>
      </c>
      <c r="L4758" s="28" t="s">
        <v>51</v>
      </c>
      <c r="M4758" s="28" t="s">
        <v>51</v>
      </c>
      <c r="N4758" s="28" t="s">
        <v>51</v>
      </c>
    </row>
    <row r="4759" spans="1:14" hidden="1" outlineLevel="1" x14ac:dyDescent="0.2">
      <c r="A4759" s="23" t="str">
        <f>HYPERLINK("https://www.spark-marketing.ru/Card/Person/102174", "МДОУ № 28")</f>
        <v>МДОУ № 28</v>
      </c>
      <c r="B4759" s="24" t="s">
        <v>7613</v>
      </c>
      <c r="C4759" s="25">
        <v>15910722.560000001</v>
      </c>
      <c r="D4759" s="22" t="s">
        <v>7614</v>
      </c>
      <c r="E4759" s="22" t="s">
        <v>48</v>
      </c>
      <c r="F4759" s="23" t="str">
        <f>HYPERLINK("https://www.spark-marketing.ru/Card/Lot/73163662", "Оказание услуг по организации питания воспитанников муниципального дошкольного образовательного учреждения ""Детский сад № 28 общеразвивающего вида""")</f>
        <v>Оказание услуг по организации питания воспитанников муниципального дошкольного образовательного учреждения "Детский сад № 28 общеразвивающего вида"</v>
      </c>
      <c r="G4759" s="22" t="s">
        <v>49</v>
      </c>
      <c r="H4759" s="22" t="s">
        <v>742</v>
      </c>
      <c r="I4759" s="26">
        <v>43707.372685185197</v>
      </c>
      <c r="J4759" s="23" t="str">
        <f>HYPERLINK("https://www.spark-marketing.ru/Card/Person/57370", "ООО ""КП ""ЭКОПРОДУКТ""")</f>
        <v>ООО "КП "ЭКОПРОДУКТ"</v>
      </c>
      <c r="K4759" s="24" t="s">
        <v>6251</v>
      </c>
      <c r="L4759" s="28" t="s">
        <v>51</v>
      </c>
      <c r="M4759" s="25">
        <v>14319834.720000001</v>
      </c>
      <c r="N4759" s="27">
        <v>9.9988409325892993E-2</v>
      </c>
    </row>
    <row r="4760" spans="1:14" ht="12.75" hidden="1" outlineLevel="1" x14ac:dyDescent="0.2">
      <c r="A4760" s="23" t="str">
        <f>HYPERLINK("https://www.spark-marketing.ru/Card/Person/102174", "МДОУ № 28")</f>
        <v>МДОУ № 28</v>
      </c>
      <c r="B4760" s="24" t="s">
        <v>7613</v>
      </c>
      <c r="C4760" s="25">
        <v>15910722.560000001</v>
      </c>
      <c r="D4760" s="22" t="s">
        <v>7614</v>
      </c>
      <c r="E4760" s="22" t="s">
        <v>48</v>
      </c>
      <c r="F4760" s="23" t="str">
        <f>HYPERLINK("https://www.spark-marketing.ru/Card/Lot/73163662", "Оказание услуг по организации питания воспитанников муниципального дошкольного образовательного учреждения ""Детский сад № 28 общеразвивающего вида""")</f>
        <v>Оказание услуг по организации питания воспитанников муниципального дошкольного образовательного учреждения "Детский сад № 28 общеразвивающего вида"</v>
      </c>
      <c r="G4760" s="22" t="s">
        <v>49</v>
      </c>
      <c r="H4760" s="22" t="s">
        <v>742</v>
      </c>
      <c r="I4760" s="26">
        <v>43707.372685185197</v>
      </c>
      <c r="J4760" s="23" t="str">
        <f>HYPERLINK("https://www.spark-marketing.ru/Card/Person/100937", "ООО ""ВЕРТИКАЛЬ""")</f>
        <v>ООО "ВЕРТИКАЛЬ"</v>
      </c>
      <c r="K4760" s="24" t="s">
        <v>4501</v>
      </c>
      <c r="L4760" s="22" t="s">
        <v>10</v>
      </c>
      <c r="M4760" s="25">
        <v>15907625</v>
      </c>
      <c r="N4760" s="27">
        <v>1.9468380447958738E-4</v>
      </c>
    </row>
    <row r="4761" spans="1:14" x14ac:dyDescent="0.15">
      <c r="A4761" s="23" t="str">
        <f>HYPERLINK("https://www.spark-marketing.ru/Card/Person/131237", "МДОУ № 36")</f>
        <v>МДОУ № 36</v>
      </c>
      <c r="B4761" s="24" t="s">
        <v>7615</v>
      </c>
      <c r="C4761" s="25">
        <v>16103010.84</v>
      </c>
      <c r="D4761" s="22" t="s">
        <v>7616</v>
      </c>
      <c r="E4761" s="22" t="s">
        <v>48</v>
      </c>
      <c r="F4761" s="23" t="str">
        <f>HYPERLINK("https://www.spark-marketing.ru/Card/Lot/73163661",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№36""")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№36"</v>
      </c>
      <c r="G4761" s="22" t="s">
        <v>49</v>
      </c>
      <c r="H4761" s="22" t="s">
        <v>742</v>
      </c>
      <c r="I4761" s="26">
        <v>43707.372372685197</v>
      </c>
      <c r="J4761" s="28" t="s">
        <v>51</v>
      </c>
      <c r="K4761" s="28" t="s">
        <v>51</v>
      </c>
      <c r="L4761" s="28" t="s">
        <v>51</v>
      </c>
      <c r="M4761" s="28" t="s">
        <v>51</v>
      </c>
      <c r="N4761" s="28" t="s">
        <v>51</v>
      </c>
    </row>
    <row r="4762" spans="1:14" hidden="1" outlineLevel="1" x14ac:dyDescent="0.15">
      <c r="A4762" s="23" t="str">
        <f>HYPERLINK("https://www.spark-marketing.ru/Card/Person/131237", "МДОУ № 36")</f>
        <v>МДОУ № 36</v>
      </c>
      <c r="B4762" s="24" t="s">
        <v>7615</v>
      </c>
      <c r="C4762" s="25">
        <v>16103010.84</v>
      </c>
      <c r="D4762" s="22" t="s">
        <v>7616</v>
      </c>
      <c r="E4762" s="22" t="s">
        <v>48</v>
      </c>
      <c r="F4762" s="23" t="str">
        <f>HYPERLINK("https://www.spark-marketing.ru/Card/Lot/73163661",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№36""")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№36"</v>
      </c>
      <c r="G4762" s="22" t="s">
        <v>49</v>
      </c>
      <c r="H4762" s="22" t="s">
        <v>742</v>
      </c>
      <c r="I4762" s="26">
        <v>43707.372372685197</v>
      </c>
      <c r="J4762" s="23" t="str">
        <f>HYPERLINK("https://www.spark-marketing.ru/Card/Person/55369", "ООО ""КОМБИНАТ ОБЩЕСТВЕННОГО ПИТАНИЯ""")</f>
        <v>ООО "КОМБИНАТ ОБЩЕСТВЕННОГО ПИТАНИЯ"</v>
      </c>
      <c r="K4762" s="24" t="s">
        <v>1516</v>
      </c>
      <c r="L4762" s="28" t="s">
        <v>51</v>
      </c>
      <c r="M4762" s="28" t="s">
        <v>51</v>
      </c>
      <c r="N4762" s="28" t="s">
        <v>51</v>
      </c>
    </row>
    <row r="4763" spans="1:14" hidden="1" outlineLevel="1" x14ac:dyDescent="0.2">
      <c r="A4763" s="23" t="str">
        <f>HYPERLINK("https://www.spark-marketing.ru/Card/Person/131237", "МДОУ № 36")</f>
        <v>МДОУ № 36</v>
      </c>
      <c r="B4763" s="24" t="s">
        <v>7615</v>
      </c>
      <c r="C4763" s="25">
        <v>16103010.84</v>
      </c>
      <c r="D4763" s="22" t="s">
        <v>7616</v>
      </c>
      <c r="E4763" s="22" t="s">
        <v>48</v>
      </c>
      <c r="F4763" s="23" t="str">
        <f>HYPERLINK("https://www.spark-marketing.ru/Card/Lot/73163661",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№36""")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№36"</v>
      </c>
      <c r="G4763" s="22" t="s">
        <v>49</v>
      </c>
      <c r="H4763" s="22" t="s">
        <v>742</v>
      </c>
      <c r="I4763" s="26">
        <v>43707.372372685197</v>
      </c>
      <c r="J4763" s="23" t="str">
        <f>HYPERLINK("https://www.spark-marketing.ru/Card/Person/57370", "ООО ""КП ""ЭКОПРОДУКТ""")</f>
        <v>ООО "КП "ЭКОПРОДУКТ"</v>
      </c>
      <c r="K4763" s="24" t="s">
        <v>6251</v>
      </c>
      <c r="L4763" s="28" t="s">
        <v>51</v>
      </c>
      <c r="M4763" s="25">
        <v>14493051.76</v>
      </c>
      <c r="N4763" s="27">
        <v>9.9978761487314508E-2</v>
      </c>
    </row>
    <row r="4764" spans="1:14" ht="12.75" hidden="1" outlineLevel="1" x14ac:dyDescent="0.2">
      <c r="A4764" s="23" t="str">
        <f>HYPERLINK("https://www.spark-marketing.ru/Card/Person/131237", "МДОУ № 36")</f>
        <v>МДОУ № 36</v>
      </c>
      <c r="B4764" s="24" t="s">
        <v>7615</v>
      </c>
      <c r="C4764" s="25">
        <v>16103010.84</v>
      </c>
      <c r="D4764" s="22" t="s">
        <v>7616</v>
      </c>
      <c r="E4764" s="22" t="s">
        <v>48</v>
      </c>
      <c r="F4764" s="23" t="str">
        <f>HYPERLINK("https://www.spark-marketing.ru/Card/Lot/73163661",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№36""")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№36"</v>
      </c>
      <c r="G4764" s="22" t="s">
        <v>49</v>
      </c>
      <c r="H4764" s="22" t="s">
        <v>742</v>
      </c>
      <c r="I4764" s="26">
        <v>43707.372372685197</v>
      </c>
      <c r="J4764" s="23" t="str">
        <f>HYPERLINK("https://www.spark-marketing.ru/Card/Person/100937", "ООО ""ВЕРТИКАЛЬ""")</f>
        <v>ООО "ВЕРТИКАЛЬ"</v>
      </c>
      <c r="K4764" s="24" t="s">
        <v>4501</v>
      </c>
      <c r="L4764" s="22" t="s">
        <v>10</v>
      </c>
      <c r="M4764" s="25">
        <v>16099950.359999999</v>
      </c>
      <c r="N4764" s="27">
        <v>1.9005638326950291E-4</v>
      </c>
    </row>
    <row r="4765" spans="1:14" x14ac:dyDescent="0.15">
      <c r="A4765" s="23" t="str">
        <f>HYPERLINK("https://www.spark-marketing.ru/Card/Person/131200", "МДОУ № 38")</f>
        <v>МДОУ № 38</v>
      </c>
      <c r="B4765" s="24" t="s">
        <v>7617</v>
      </c>
      <c r="C4765" s="25">
        <v>16706803.68</v>
      </c>
      <c r="D4765" s="22" t="s">
        <v>7618</v>
      </c>
      <c r="E4765" s="22" t="s">
        <v>48</v>
      </c>
      <c r="F4765" s="23" t="str">
        <f>HYPERLINK("https://www.spark-marketing.ru/Card/Lot/73163631", "Оказаеие услуг по организации питания воспитанников муниципального дошкольного образовательного учреждения ""Детский сад №38 комбинированного вида""")</f>
        <v>Оказаеие услуг по организации питания воспитанников муниципального дошкольного образовательного учреждения "Детский сад №38 комбинированного вида"</v>
      </c>
      <c r="G4765" s="22" t="s">
        <v>49</v>
      </c>
      <c r="H4765" s="22" t="s">
        <v>742</v>
      </c>
      <c r="I4765" s="26">
        <v>43707.3652083333</v>
      </c>
      <c r="J4765" s="28" t="s">
        <v>51</v>
      </c>
      <c r="K4765" s="28" t="s">
        <v>51</v>
      </c>
      <c r="L4765" s="28" t="s">
        <v>51</v>
      </c>
      <c r="M4765" s="28" t="s">
        <v>51</v>
      </c>
      <c r="N4765" s="28" t="s">
        <v>51</v>
      </c>
    </row>
    <row r="4766" spans="1:14" hidden="1" outlineLevel="1" x14ac:dyDescent="0.15">
      <c r="A4766" s="23" t="str">
        <f>HYPERLINK("https://www.spark-marketing.ru/Card/Person/131200", "МДОУ № 38")</f>
        <v>МДОУ № 38</v>
      </c>
      <c r="B4766" s="24" t="s">
        <v>7617</v>
      </c>
      <c r="C4766" s="25">
        <v>16706803.68</v>
      </c>
      <c r="D4766" s="22" t="s">
        <v>7618</v>
      </c>
      <c r="E4766" s="22" t="s">
        <v>48</v>
      </c>
      <c r="F4766" s="23" t="str">
        <f>HYPERLINK("https://www.spark-marketing.ru/Card/Lot/73163631", "Оказаеие услуг по организации питания воспитанников муниципального дошкольного образовательного учреждения ""Детский сад №38 комбинированного вида""")</f>
        <v>Оказаеие услуг по организации питания воспитанников муниципального дошкольного образовательного учреждения "Детский сад №38 комбинированного вида"</v>
      </c>
      <c r="G4766" s="22" t="s">
        <v>49</v>
      </c>
      <c r="H4766" s="22" t="s">
        <v>742</v>
      </c>
      <c r="I4766" s="26">
        <v>43707.3652083333</v>
      </c>
      <c r="J4766" s="23" t="str">
        <f>HYPERLINK("https://www.spark-marketing.ru/Card/Person/55369", "ООО ""КОМБИНАТ ОБЩЕСТВЕННОГО ПИТАНИЯ""")</f>
        <v>ООО "КОМБИНАТ ОБЩЕСТВЕННОГО ПИТАНИЯ"</v>
      </c>
      <c r="K4766" s="24" t="s">
        <v>1516</v>
      </c>
      <c r="L4766" s="28" t="s">
        <v>51</v>
      </c>
      <c r="M4766" s="28" t="s">
        <v>51</v>
      </c>
      <c r="N4766" s="28" t="s">
        <v>51</v>
      </c>
    </row>
    <row r="4767" spans="1:14" ht="12.75" hidden="1" outlineLevel="1" x14ac:dyDescent="0.2">
      <c r="A4767" s="23" t="str">
        <f>HYPERLINK("https://www.spark-marketing.ru/Card/Person/131200", "МДОУ № 38")</f>
        <v>МДОУ № 38</v>
      </c>
      <c r="B4767" s="24" t="s">
        <v>7617</v>
      </c>
      <c r="C4767" s="25">
        <v>16706803.68</v>
      </c>
      <c r="D4767" s="22" t="s">
        <v>7618</v>
      </c>
      <c r="E4767" s="22" t="s">
        <v>48</v>
      </c>
      <c r="F4767" s="23" t="str">
        <f>HYPERLINK("https://www.spark-marketing.ru/Card/Lot/73163631", "Оказаеие услуг по организации питания воспитанников муниципального дошкольного образовательного учреждения ""Детский сад №38 комбинированного вида""")</f>
        <v>Оказаеие услуг по организации питания воспитанников муниципального дошкольного образовательного учреждения "Детский сад №38 комбинированного вида"</v>
      </c>
      <c r="G4767" s="22" t="s">
        <v>49</v>
      </c>
      <c r="H4767" s="22" t="s">
        <v>742</v>
      </c>
      <c r="I4767" s="26">
        <v>43707.3652083333</v>
      </c>
      <c r="J4767" s="23" t="str">
        <f>HYPERLINK("https://www.spark-marketing.ru/Card/Person/100937", "ООО ""ВЕРТИКАЛЬ""")</f>
        <v>ООО "ВЕРТИКАЛЬ"</v>
      </c>
      <c r="K4767" s="24" t="s">
        <v>4501</v>
      </c>
      <c r="L4767" s="22" t="s">
        <v>10</v>
      </c>
      <c r="M4767" s="25">
        <v>16703622.48</v>
      </c>
      <c r="N4767" s="27">
        <v>1.9041344238744296E-4</v>
      </c>
    </row>
    <row r="4768" spans="1:14" hidden="1" outlineLevel="1" x14ac:dyDescent="0.2">
      <c r="A4768" s="23" t="str">
        <f>HYPERLINK("https://www.spark-marketing.ru/Card/Person/131200", "МДОУ № 38")</f>
        <v>МДОУ № 38</v>
      </c>
      <c r="B4768" s="24" t="s">
        <v>7617</v>
      </c>
      <c r="C4768" s="25">
        <v>16706803.68</v>
      </c>
      <c r="D4768" s="22" t="s">
        <v>7618</v>
      </c>
      <c r="E4768" s="22" t="s">
        <v>48</v>
      </c>
      <c r="F4768" s="23" t="str">
        <f>HYPERLINK("https://www.spark-marketing.ru/Card/Lot/73163631", "Оказаеие услуг по организации питания воспитанников муниципального дошкольного образовательного учреждения ""Детский сад №38 комбинированного вида""")</f>
        <v>Оказаеие услуг по организации питания воспитанников муниципального дошкольного образовательного учреждения "Детский сад №38 комбинированного вида"</v>
      </c>
      <c r="G4768" s="22" t="s">
        <v>49</v>
      </c>
      <c r="H4768" s="22" t="s">
        <v>742</v>
      </c>
      <c r="I4768" s="26">
        <v>43707.3652083333</v>
      </c>
      <c r="J4768" s="23" t="str">
        <f>HYPERLINK("https://www.spark-marketing.ru/Card/Person/57370", "ООО ""КП ""ЭКОПРОДУКТ""")</f>
        <v>ООО "КП "ЭКОПРОДУКТ"</v>
      </c>
      <c r="K4768" s="24" t="s">
        <v>6251</v>
      </c>
      <c r="L4768" s="28" t="s">
        <v>51</v>
      </c>
      <c r="M4768" s="25">
        <v>15036465.279999999</v>
      </c>
      <c r="N4768" s="27">
        <v>9.9979531213357745E-2</v>
      </c>
    </row>
    <row r="4769" spans="1:14" x14ac:dyDescent="0.15">
      <c r="A4769" s="23" t="str">
        <f>HYPERLINK("https://www.spark-marketing.ru/Card/Person/112777", "МДОУ № 56")</f>
        <v>МДОУ № 56</v>
      </c>
      <c r="B4769" s="24" t="s">
        <v>7619</v>
      </c>
      <c r="C4769" s="25">
        <v>25058796.859999999</v>
      </c>
      <c r="D4769" s="22" t="s">
        <v>7620</v>
      </c>
      <c r="E4769" s="22" t="s">
        <v>48</v>
      </c>
      <c r="F4769" s="23" t="str">
        <f>HYPERLINK("https://www.spark-marketing.ru/Card/Lot/73163637", "Оказание услуг по организации питания воспитанников муниципального дошкольного образовательного учреждения ""Детский сад № 56 общеразвивающего вида""")</f>
        <v>Оказание услуг по организации питания воспитанников муниципального дошкольного образовательного учреждения "Детский сад № 56 общеразвивающего вида"</v>
      </c>
      <c r="G4769" s="22" t="s">
        <v>49</v>
      </c>
      <c r="H4769" s="22" t="s">
        <v>742</v>
      </c>
      <c r="I4769" s="26">
        <v>43707.367789351898</v>
      </c>
      <c r="J4769" s="28" t="s">
        <v>51</v>
      </c>
      <c r="K4769" s="28" t="s">
        <v>51</v>
      </c>
      <c r="L4769" s="28" t="s">
        <v>51</v>
      </c>
      <c r="M4769" s="28" t="s">
        <v>51</v>
      </c>
      <c r="N4769" s="28" t="s">
        <v>51</v>
      </c>
    </row>
    <row r="4770" spans="1:14" hidden="1" outlineLevel="1" x14ac:dyDescent="0.15">
      <c r="A4770" s="23" t="str">
        <f>HYPERLINK("https://www.spark-marketing.ru/Card/Person/112777", "МДОУ № 56")</f>
        <v>МДОУ № 56</v>
      </c>
      <c r="B4770" s="24" t="s">
        <v>7619</v>
      </c>
      <c r="C4770" s="25">
        <v>25058796.859999999</v>
      </c>
      <c r="D4770" s="22" t="s">
        <v>7620</v>
      </c>
      <c r="E4770" s="22" t="s">
        <v>48</v>
      </c>
      <c r="F4770" s="23" t="str">
        <f>HYPERLINK("https://www.spark-marketing.ru/Card/Lot/73163637", "Оказание услуг по организации питания воспитанников муниципального дошкольного образовательного учреждения ""Детский сад № 56 общеразвивающего вида""")</f>
        <v>Оказание услуг по организации питания воспитанников муниципального дошкольного образовательного учреждения "Детский сад № 56 общеразвивающего вида"</v>
      </c>
      <c r="G4770" s="22" t="s">
        <v>49</v>
      </c>
      <c r="H4770" s="22" t="s">
        <v>742</v>
      </c>
      <c r="I4770" s="26">
        <v>43707.367789351898</v>
      </c>
      <c r="J4770" s="23" t="str">
        <f>HYPERLINK("https://www.spark-marketing.ru/Card/Person/55369", "ООО ""КОМБИНАТ ОБЩЕСТВЕННОГО ПИТАНИЯ""")</f>
        <v>ООО "КОМБИНАТ ОБЩЕСТВЕННОГО ПИТАНИЯ"</v>
      </c>
      <c r="K4770" s="24" t="s">
        <v>1516</v>
      </c>
      <c r="L4770" s="28" t="s">
        <v>51</v>
      </c>
      <c r="M4770" s="28" t="s">
        <v>51</v>
      </c>
      <c r="N4770" s="28" t="s">
        <v>51</v>
      </c>
    </row>
    <row r="4771" spans="1:14" hidden="1" outlineLevel="1" x14ac:dyDescent="0.2">
      <c r="A4771" s="23" t="str">
        <f>HYPERLINK("https://www.spark-marketing.ru/Card/Person/112777", "МДОУ № 56")</f>
        <v>МДОУ № 56</v>
      </c>
      <c r="B4771" s="24" t="s">
        <v>7619</v>
      </c>
      <c r="C4771" s="25">
        <v>25058796.859999999</v>
      </c>
      <c r="D4771" s="22" t="s">
        <v>7620</v>
      </c>
      <c r="E4771" s="22" t="s">
        <v>48</v>
      </c>
      <c r="F4771" s="23" t="str">
        <f>HYPERLINK("https://www.spark-marketing.ru/Card/Lot/73163637", "Оказание услуг по организации питания воспитанников муниципального дошкольного образовательного учреждения ""Детский сад № 56 общеразвивающего вида""")</f>
        <v>Оказание услуг по организации питания воспитанников муниципального дошкольного образовательного учреждения "Детский сад № 56 общеразвивающего вида"</v>
      </c>
      <c r="G4771" s="22" t="s">
        <v>49</v>
      </c>
      <c r="H4771" s="22" t="s">
        <v>742</v>
      </c>
      <c r="I4771" s="26">
        <v>43707.367789351898</v>
      </c>
      <c r="J4771" s="23" t="str">
        <f>HYPERLINK("https://www.spark-marketing.ru/Card/Person/57370", "ООО ""КП ""ЭКОПРОДУКТ""")</f>
        <v>ООО "КП "ЭКОПРОДУКТ"</v>
      </c>
      <c r="K4771" s="24" t="s">
        <v>6251</v>
      </c>
      <c r="L4771" s="28" t="s">
        <v>51</v>
      </c>
      <c r="M4771" s="25">
        <v>22553485.960000001</v>
      </c>
      <c r="N4771" s="27">
        <v>9.9977301942979241E-2</v>
      </c>
    </row>
    <row r="4772" spans="1:14" ht="12.75" hidden="1" outlineLevel="1" x14ac:dyDescent="0.2">
      <c r="A4772" s="23" t="str">
        <f>HYPERLINK("https://www.spark-marketing.ru/Card/Person/112777", "МДОУ № 56")</f>
        <v>МДОУ № 56</v>
      </c>
      <c r="B4772" s="24" t="s">
        <v>7619</v>
      </c>
      <c r="C4772" s="25">
        <v>25058796.859999999</v>
      </c>
      <c r="D4772" s="22" t="s">
        <v>7620</v>
      </c>
      <c r="E4772" s="22" t="s">
        <v>48</v>
      </c>
      <c r="F4772" s="23" t="str">
        <f>HYPERLINK("https://www.spark-marketing.ru/Card/Lot/73163637", "Оказание услуг по организации питания воспитанников муниципального дошкольного образовательного учреждения ""Детский сад № 56 общеразвивающего вида""")</f>
        <v>Оказание услуг по организации питания воспитанников муниципального дошкольного образовательного учреждения "Детский сад № 56 общеразвивающего вида"</v>
      </c>
      <c r="G4772" s="22" t="s">
        <v>49</v>
      </c>
      <c r="H4772" s="22" t="s">
        <v>742</v>
      </c>
      <c r="I4772" s="26">
        <v>43707.367789351898</v>
      </c>
      <c r="J4772" s="23" t="str">
        <f>HYPERLINK("https://www.spark-marketing.ru/Card/Person/100937", "ООО ""ВЕРТИКАЛЬ""")</f>
        <v>ООО "ВЕРТИКАЛЬ"</v>
      </c>
      <c r="K4772" s="24" t="s">
        <v>4501</v>
      </c>
      <c r="L4772" s="22" t="s">
        <v>10</v>
      </c>
      <c r="M4772" s="25">
        <v>25054051.760000002</v>
      </c>
      <c r="N4772" s="27">
        <v>1.8935865223339377E-4</v>
      </c>
    </row>
    <row r="4773" spans="1:14" x14ac:dyDescent="0.15">
      <c r="A4773" s="23" t="str">
        <f>HYPERLINK("https://www.spark-marketing.ru/Card/Person/85773", "МБДОУ № 99")</f>
        <v>МБДОУ № 99</v>
      </c>
      <c r="B4773" s="24" t="s">
        <v>7621</v>
      </c>
      <c r="C4773" s="25">
        <v>14421217.859999999</v>
      </c>
      <c r="D4773" s="22" t="s">
        <v>7622</v>
      </c>
      <c r="E4773" s="22" t="s">
        <v>48</v>
      </c>
      <c r="F4773" s="23" t="str">
        <f>HYPERLINK("https://www.spark-marketing.ru/Card/Lot/73163644", "Оказание услуг по организации питания воспитанников муниципального бюджетного дошкольного образовательного учреждения ""Детский сад № 99""")</f>
        <v>Оказание услуг по организации питания воспитанников муниципального бюджетного дошкольного образовательного учреждения "Детский сад № 99"</v>
      </c>
      <c r="G4773" s="22" t="s">
        <v>49</v>
      </c>
      <c r="H4773" s="22" t="s">
        <v>742</v>
      </c>
      <c r="I4773" s="26">
        <v>43707.370173611103</v>
      </c>
      <c r="J4773" s="28" t="s">
        <v>51</v>
      </c>
      <c r="K4773" s="28" t="s">
        <v>51</v>
      </c>
      <c r="L4773" s="28" t="s">
        <v>51</v>
      </c>
      <c r="M4773" s="28" t="s">
        <v>51</v>
      </c>
      <c r="N4773" s="28" t="s">
        <v>51</v>
      </c>
    </row>
    <row r="4774" spans="1:14" hidden="1" outlineLevel="1" x14ac:dyDescent="0.15">
      <c r="A4774" s="23" t="str">
        <f>HYPERLINK("https://www.spark-marketing.ru/Card/Person/85773", "МБДОУ № 99")</f>
        <v>МБДОУ № 99</v>
      </c>
      <c r="B4774" s="24" t="s">
        <v>7621</v>
      </c>
      <c r="C4774" s="25">
        <v>14421217.859999999</v>
      </c>
      <c r="D4774" s="22" t="s">
        <v>7622</v>
      </c>
      <c r="E4774" s="22" t="s">
        <v>48</v>
      </c>
      <c r="F4774" s="23" t="str">
        <f>HYPERLINK("https://www.spark-marketing.ru/Card/Lot/73163644", "Оказание услуг по организации питания воспитанников муниципального бюджетного дошкольного образовательного учреждения ""Детский сад № 99""")</f>
        <v>Оказание услуг по организации питания воспитанников муниципального бюджетного дошкольного образовательного учреждения "Детский сад № 99"</v>
      </c>
      <c r="G4774" s="22" t="s">
        <v>49</v>
      </c>
      <c r="H4774" s="22" t="s">
        <v>742</v>
      </c>
      <c r="I4774" s="26">
        <v>43707.370173611103</v>
      </c>
      <c r="J4774" s="23" t="str">
        <f>HYPERLINK("https://www.spark-marketing.ru/Card/Person/55369", "ООО ""КОМБИНАТ ОБЩЕСТВЕННОГО ПИТАНИЯ""")</f>
        <v>ООО "КОМБИНАТ ОБЩЕСТВЕННОГО ПИТАНИЯ"</v>
      </c>
      <c r="K4774" s="24" t="s">
        <v>1516</v>
      </c>
      <c r="L4774" s="28" t="s">
        <v>51</v>
      </c>
      <c r="M4774" s="28" t="s">
        <v>51</v>
      </c>
      <c r="N4774" s="28" t="s">
        <v>51</v>
      </c>
    </row>
    <row r="4775" spans="1:14" hidden="1" outlineLevel="1" x14ac:dyDescent="0.2">
      <c r="A4775" s="23" t="str">
        <f>HYPERLINK("https://www.spark-marketing.ru/Card/Person/85773", "МБДОУ № 99")</f>
        <v>МБДОУ № 99</v>
      </c>
      <c r="B4775" s="24" t="s">
        <v>7621</v>
      </c>
      <c r="C4775" s="25">
        <v>14421217.859999999</v>
      </c>
      <c r="D4775" s="22" t="s">
        <v>7622</v>
      </c>
      <c r="E4775" s="22" t="s">
        <v>48</v>
      </c>
      <c r="F4775" s="23" t="str">
        <f>HYPERLINK("https://www.spark-marketing.ru/Card/Lot/73163644", "Оказание услуг по организации питания воспитанников муниципального бюджетного дошкольного образовательного учреждения ""Детский сад № 99""")</f>
        <v>Оказание услуг по организации питания воспитанников муниципального бюджетного дошкольного образовательного учреждения "Детский сад № 99"</v>
      </c>
      <c r="G4775" s="22" t="s">
        <v>49</v>
      </c>
      <c r="H4775" s="22" t="s">
        <v>742</v>
      </c>
      <c r="I4775" s="26">
        <v>43707.370173611103</v>
      </c>
      <c r="J4775" s="23" t="str">
        <f>HYPERLINK("https://www.spark-marketing.ru/Card/Person/57370", "ООО ""КП ""ЭКОПРОДУКТ""")</f>
        <v>ООО "КП "ЭКОПРОДУКТ"</v>
      </c>
      <c r="K4775" s="24" t="s">
        <v>6251</v>
      </c>
      <c r="L4775" s="28" t="s">
        <v>51</v>
      </c>
      <c r="M4775" s="25">
        <v>12979389.880000001</v>
      </c>
      <c r="N4775" s="27">
        <v>9.9979626824665421E-2</v>
      </c>
    </row>
    <row r="4776" spans="1:14" ht="12.75" hidden="1" outlineLevel="1" x14ac:dyDescent="0.2">
      <c r="A4776" s="23" t="str">
        <f>HYPERLINK("https://www.spark-marketing.ru/Card/Person/85773", "МБДОУ № 99")</f>
        <v>МБДОУ № 99</v>
      </c>
      <c r="B4776" s="24" t="s">
        <v>7621</v>
      </c>
      <c r="C4776" s="25">
        <v>14421217.859999999</v>
      </c>
      <c r="D4776" s="22" t="s">
        <v>7622</v>
      </c>
      <c r="E4776" s="22" t="s">
        <v>48</v>
      </c>
      <c r="F4776" s="23" t="str">
        <f>HYPERLINK("https://www.spark-marketing.ru/Card/Lot/73163644", "Оказание услуг по организации питания воспитанников муниципального бюджетного дошкольного образовательного учреждения ""Детский сад № 99""")</f>
        <v>Оказание услуг по организации питания воспитанников муниципального бюджетного дошкольного образовательного учреждения "Детский сад № 99"</v>
      </c>
      <c r="G4776" s="22" t="s">
        <v>49</v>
      </c>
      <c r="H4776" s="22" t="s">
        <v>742</v>
      </c>
      <c r="I4776" s="26">
        <v>43707.370173611103</v>
      </c>
      <c r="J4776" s="23" t="str">
        <f>HYPERLINK("https://www.spark-marketing.ru/Card/Person/100937", "ООО ""ВЕРТИКАЛЬ""")</f>
        <v>ООО "ВЕРТИКАЛЬ"</v>
      </c>
      <c r="K4776" s="24" t="s">
        <v>4501</v>
      </c>
      <c r="L4776" s="22" t="s">
        <v>10</v>
      </c>
      <c r="M4776" s="25">
        <v>14418471.119999999</v>
      </c>
      <c r="N4776" s="27">
        <v>1.90465190018286E-4</v>
      </c>
    </row>
    <row r="4777" spans="1:14" x14ac:dyDescent="0.15">
      <c r="A4777" s="23" t="str">
        <f>HYPERLINK("https://www.spark-marketing.ru/Card/Person/19253", "УПРАВЛЕНИЕ МВД РОССИИ ПО ГОРОДУ СТАВРОПОЛЮ")</f>
        <v>УПРАВЛЕНИЕ МВД РОССИИ ПО ГОРОДУ СТАВРОПОЛЮ</v>
      </c>
      <c r="B4777" s="24" t="s">
        <v>6992</v>
      </c>
      <c r="C4777" s="25">
        <v>1500000</v>
      </c>
      <c r="D4777" s="22" t="s">
        <v>7623</v>
      </c>
      <c r="E4777" s="22" t="s">
        <v>48</v>
      </c>
      <c r="F4777" s="23" t="str">
        <f>HYPERLINK("https://www.spark-marketing.ru/Card/Lot/73140951", "Оказание услуг по регулярному приготовлению 3-х разового питания (готовых завтраков, обедов и ужинов) для лиц, содержащимся в специальном приемнике и лиц, подозреваемых и обвиняемых в совершении преступлений, содержащихся в ИВС Управления МВД России ...")</f>
        <v>Оказание услуг по регулярному приготовлению 3-х разового питания (готовых завтраков, обедов и ужинов) для лиц, содержащимся в специальном приемнике и лиц, подозреваемых и обвиняемых в совершении преступлений, содержащихся в ИВС Управления МВД России ...</v>
      </c>
      <c r="G4777" s="22" t="s">
        <v>87</v>
      </c>
      <c r="H4777" s="22" t="s">
        <v>87</v>
      </c>
      <c r="I4777" s="26">
        <v>43707.061226851903</v>
      </c>
      <c r="J4777" s="23" t="str">
        <f>HYPERLINK("https://www.spark-marketing.ru/Card/Person/950178", "Левин Евгений Николаевич")</f>
        <v>Левин Евгений Николаевич</v>
      </c>
      <c r="K4777" s="24" t="s">
        <v>6994</v>
      </c>
      <c r="L4777" s="22" t="s">
        <v>10</v>
      </c>
      <c r="M4777" s="28" t="s">
        <v>51</v>
      </c>
      <c r="N4777" s="28" t="s">
        <v>51</v>
      </c>
    </row>
    <row r="4778" spans="1:14" x14ac:dyDescent="0.15">
      <c r="A4778" s="23" t="str">
        <f>HYPERLINK("https://www.spark-marketing.ru/Card/Person/153430", "ОМВД РОССИИ ПО ГОРОДУ КУЗНЕЦКУ")</f>
        <v>ОМВД РОССИИ ПО ГОРОДУ КУЗНЕЦКУ</v>
      </c>
      <c r="B4778" s="24" t="s">
        <v>6026</v>
      </c>
      <c r="C4778" s="25">
        <v>536890</v>
      </c>
      <c r="D4778" s="22" t="s">
        <v>7624</v>
      </c>
      <c r="E4778" s="22" t="s">
        <v>48</v>
      </c>
      <c r="F4778" s="23" t="str">
        <f>HYPERLINK("https://www.spark-marketing.ru/Card/Lot/73136910", "Питание ИВС и СП")</f>
        <v>Питание ИВС и СП</v>
      </c>
      <c r="G4778" s="22" t="s">
        <v>72</v>
      </c>
      <c r="H4778" s="22" t="s">
        <v>3356</v>
      </c>
      <c r="I4778" s="26">
        <v>43706.731006944399</v>
      </c>
      <c r="J4778" s="28" t="s">
        <v>51</v>
      </c>
      <c r="K4778" s="28" t="s">
        <v>51</v>
      </c>
      <c r="L4778" s="28" t="s">
        <v>51</v>
      </c>
      <c r="M4778" s="28" t="s">
        <v>51</v>
      </c>
      <c r="N4778" s="28" t="s">
        <v>51</v>
      </c>
    </row>
    <row r="4779" spans="1:14" x14ac:dyDescent="0.15">
      <c r="A4779" s="23" t="str">
        <f>HYPERLINK("https://www.spark-marketing.ru/Card/Person/101073", "МДОУ № 26")</f>
        <v>МДОУ № 26</v>
      </c>
      <c r="B4779" s="24" t="s">
        <v>7625</v>
      </c>
      <c r="C4779" s="25">
        <v>27149607.039999999</v>
      </c>
      <c r="D4779" s="22" t="s">
        <v>7626</v>
      </c>
      <c r="E4779" s="22" t="s">
        <v>48</v>
      </c>
      <c r="F4779" s="23" t="str">
        <f>HYPERLINK("https://www.spark-marketing.ru/Card/Lot/73163666", "«Оказание услуг по организации питания воспитанников муниципального дошкольного образовательного учреждения «Центр развития ребенка - детский сад №26»")</f>
        <v>«Оказание услуг по организации питания воспитанников муниципального дошкольного образовательного учреждения «Центр развития ребенка - детский сад №26»</v>
      </c>
      <c r="G4779" s="22" t="s">
        <v>49</v>
      </c>
      <c r="H4779" s="22" t="s">
        <v>742</v>
      </c>
      <c r="I4779" s="26">
        <v>43707.373969907399</v>
      </c>
      <c r="J4779" s="28" t="s">
        <v>51</v>
      </c>
      <c r="K4779" s="28" t="s">
        <v>51</v>
      </c>
      <c r="L4779" s="28" t="s">
        <v>51</v>
      </c>
      <c r="M4779" s="28" t="s">
        <v>51</v>
      </c>
      <c r="N4779" s="28" t="s">
        <v>51</v>
      </c>
    </row>
    <row r="4780" spans="1:14" hidden="1" outlineLevel="1" x14ac:dyDescent="0.15">
      <c r="A4780" s="23" t="str">
        <f>HYPERLINK("https://www.spark-marketing.ru/Card/Person/101073", "МДОУ № 26")</f>
        <v>МДОУ № 26</v>
      </c>
      <c r="B4780" s="24" t="s">
        <v>7625</v>
      </c>
      <c r="C4780" s="25">
        <v>27149607.039999999</v>
      </c>
      <c r="D4780" s="22" t="s">
        <v>7626</v>
      </c>
      <c r="E4780" s="22" t="s">
        <v>48</v>
      </c>
      <c r="F4780" s="23" t="str">
        <f>HYPERLINK("https://www.spark-marketing.ru/Card/Lot/73163666", "«Оказание услуг по организации питания воспитанников муниципального дошкольного образовательного учреждения «Центр развития ребенка - детский сад №26»")</f>
        <v>«Оказание услуг по организации питания воспитанников муниципального дошкольного образовательного учреждения «Центр развития ребенка - детский сад №26»</v>
      </c>
      <c r="G4780" s="22" t="s">
        <v>49</v>
      </c>
      <c r="H4780" s="22" t="s">
        <v>742</v>
      </c>
      <c r="I4780" s="26">
        <v>43707.373969907399</v>
      </c>
      <c r="J4780" s="23" t="str">
        <f>HYPERLINK("https://www.spark-marketing.ru/Card/Person/55369", "ООО ""КОМБИНАТ ОБЩЕСТВЕННОГО ПИТАНИЯ""")</f>
        <v>ООО "КОМБИНАТ ОБЩЕСТВЕННОГО ПИТАНИЯ"</v>
      </c>
      <c r="K4780" s="24" t="s">
        <v>1516</v>
      </c>
      <c r="L4780" s="28" t="s">
        <v>51</v>
      </c>
      <c r="M4780" s="28" t="s">
        <v>51</v>
      </c>
      <c r="N4780" s="28" t="s">
        <v>51</v>
      </c>
    </row>
    <row r="4781" spans="1:14" hidden="1" outlineLevel="1" x14ac:dyDescent="0.2">
      <c r="A4781" s="23" t="str">
        <f>HYPERLINK("https://www.spark-marketing.ru/Card/Person/101073", "МДОУ № 26")</f>
        <v>МДОУ № 26</v>
      </c>
      <c r="B4781" s="24" t="s">
        <v>7625</v>
      </c>
      <c r="C4781" s="25">
        <v>27149607.039999999</v>
      </c>
      <c r="D4781" s="22" t="s">
        <v>7626</v>
      </c>
      <c r="E4781" s="22" t="s">
        <v>48</v>
      </c>
      <c r="F4781" s="23" t="str">
        <f>HYPERLINK("https://www.spark-marketing.ru/Card/Lot/73163666", "«Оказание услуг по организации питания воспитанников муниципального дошкольного образовательного учреждения «Центр развития ребенка - детский сад №26»")</f>
        <v>«Оказание услуг по организации питания воспитанников муниципального дошкольного образовательного учреждения «Центр развития ребенка - детский сад №26»</v>
      </c>
      <c r="G4781" s="22" t="s">
        <v>49</v>
      </c>
      <c r="H4781" s="22" t="s">
        <v>742</v>
      </c>
      <c r="I4781" s="26">
        <v>43707.373969907399</v>
      </c>
      <c r="J4781" s="23" t="str">
        <f>HYPERLINK("https://www.spark-marketing.ru/Card/Person/57370", "ООО ""КП ""ЭКОПРОДУКТ""")</f>
        <v>ООО "КП "ЭКОПРОДУКТ"</v>
      </c>
      <c r="K4781" s="24" t="s">
        <v>6251</v>
      </c>
      <c r="L4781" s="28" t="s">
        <v>51</v>
      </c>
      <c r="M4781" s="25">
        <v>24435284.02</v>
      </c>
      <c r="N4781" s="27">
        <v>9.9976512219898409E-2</v>
      </c>
    </row>
    <row r="4782" spans="1:14" ht="12.75" hidden="1" outlineLevel="1" x14ac:dyDescent="0.2">
      <c r="A4782" s="23" t="str">
        <f>HYPERLINK("https://www.spark-marketing.ru/Card/Person/101073", "МДОУ № 26")</f>
        <v>МДОУ № 26</v>
      </c>
      <c r="B4782" s="24" t="s">
        <v>7625</v>
      </c>
      <c r="C4782" s="25">
        <v>27149607.039999999</v>
      </c>
      <c r="D4782" s="22" t="s">
        <v>7626</v>
      </c>
      <c r="E4782" s="22" t="s">
        <v>48</v>
      </c>
      <c r="F4782" s="23" t="str">
        <f>HYPERLINK("https://www.spark-marketing.ru/Card/Lot/73163666", "«Оказание услуг по организации питания воспитанников муниципального дошкольного образовательного учреждения «Центр развития ребенка - детский сад №26»")</f>
        <v>«Оказание услуг по организации питания воспитанников муниципального дошкольного образовательного учреждения «Центр развития ребенка - детский сад №26»</v>
      </c>
      <c r="G4782" s="22" t="s">
        <v>49</v>
      </c>
      <c r="H4782" s="22" t="s">
        <v>742</v>
      </c>
      <c r="I4782" s="26">
        <v>43707.373969907399</v>
      </c>
      <c r="J4782" s="23" t="str">
        <f>HYPERLINK("https://www.spark-marketing.ru/Card/Person/100937", "ООО ""ВЕРТИКАЛЬ""")</f>
        <v>ООО "ВЕРТИКАЛЬ"</v>
      </c>
      <c r="K4782" s="24" t="s">
        <v>4501</v>
      </c>
      <c r="L4782" s="22" t="s">
        <v>10</v>
      </c>
      <c r="M4782" s="25">
        <v>27144476.32</v>
      </c>
      <c r="N4782" s="27">
        <v>1.8897953080649818E-4</v>
      </c>
    </row>
    <row r="4783" spans="1:14" x14ac:dyDescent="0.15">
      <c r="A4783" s="23" t="str">
        <f>HYPERLINK("https://www.spark-marketing.ru/Card/Person/102262", "МДОУ № 7")</f>
        <v>МДОУ № 7</v>
      </c>
      <c r="B4783" s="24" t="s">
        <v>7627</v>
      </c>
      <c r="C4783" s="25">
        <v>21989153.059999999</v>
      </c>
      <c r="D4783" s="22" t="s">
        <v>7628</v>
      </c>
      <c r="E4783" s="22" t="s">
        <v>48</v>
      </c>
      <c r="F4783" s="23" t="str">
        <f>HYPERLINK("https://www.spark-marketing.ru/Card/Lot/73163645", "Оказание услуг по организации питания воспитанников муниципального дошкольного образовательного учреждения «Центр развития ребёнка - детский сад №7»")</f>
        <v>Оказание услуг по организации питания воспитанников муниципального дошкольного образовательного учреждения «Центр развития ребёнка - детский сад №7»</v>
      </c>
      <c r="G4783" s="22" t="s">
        <v>49</v>
      </c>
      <c r="H4783" s="22" t="s">
        <v>742</v>
      </c>
      <c r="I4783" s="26">
        <v>43707.370208333297</v>
      </c>
      <c r="J4783" s="28" t="s">
        <v>51</v>
      </c>
      <c r="K4783" s="28" t="s">
        <v>51</v>
      </c>
      <c r="L4783" s="28" t="s">
        <v>51</v>
      </c>
      <c r="M4783" s="28" t="s">
        <v>51</v>
      </c>
      <c r="N4783" s="28" t="s">
        <v>51</v>
      </c>
    </row>
    <row r="4784" spans="1:14" hidden="1" outlineLevel="1" x14ac:dyDescent="0.15">
      <c r="A4784" s="23" t="str">
        <f>HYPERLINK("https://www.spark-marketing.ru/Card/Person/102262", "МДОУ № 7")</f>
        <v>МДОУ № 7</v>
      </c>
      <c r="B4784" s="24" t="s">
        <v>7627</v>
      </c>
      <c r="C4784" s="25">
        <v>21989153.059999999</v>
      </c>
      <c r="D4784" s="22" t="s">
        <v>7628</v>
      </c>
      <c r="E4784" s="22" t="s">
        <v>48</v>
      </c>
      <c r="F4784" s="23" t="str">
        <f>HYPERLINK("https://www.spark-marketing.ru/Card/Lot/73163645", "Оказание услуг по организации питания воспитанников муниципального дошкольного образовательного учреждения «Центр развития ребёнка - детский сад №7»")</f>
        <v>Оказание услуг по организации питания воспитанников муниципального дошкольного образовательного учреждения «Центр развития ребёнка - детский сад №7»</v>
      </c>
      <c r="G4784" s="22" t="s">
        <v>49</v>
      </c>
      <c r="H4784" s="22" t="s">
        <v>742</v>
      </c>
      <c r="I4784" s="26">
        <v>43707.370208333297</v>
      </c>
      <c r="J4784" s="23" t="str">
        <f>HYPERLINK("https://www.spark-marketing.ru/Card/Person/55369", "ООО ""КОМБИНАТ ОБЩЕСТВЕННОГО ПИТАНИЯ""")</f>
        <v>ООО "КОМБИНАТ ОБЩЕСТВЕННОГО ПИТАНИЯ"</v>
      </c>
      <c r="K4784" s="24" t="s">
        <v>1516</v>
      </c>
      <c r="L4784" s="28" t="s">
        <v>51</v>
      </c>
      <c r="M4784" s="28" t="s">
        <v>51</v>
      </c>
      <c r="N4784" s="28" t="s">
        <v>51</v>
      </c>
    </row>
    <row r="4785" spans="1:14" hidden="1" outlineLevel="1" x14ac:dyDescent="0.2">
      <c r="A4785" s="23" t="str">
        <f>HYPERLINK("https://www.spark-marketing.ru/Card/Person/102262", "МДОУ № 7")</f>
        <v>МДОУ № 7</v>
      </c>
      <c r="B4785" s="24" t="s">
        <v>7627</v>
      </c>
      <c r="C4785" s="25">
        <v>21989153.059999999</v>
      </c>
      <c r="D4785" s="22" t="s">
        <v>7628</v>
      </c>
      <c r="E4785" s="22" t="s">
        <v>48</v>
      </c>
      <c r="F4785" s="23" t="str">
        <f>HYPERLINK("https://www.spark-marketing.ru/Card/Lot/73163645", "Оказание услуг по организации питания воспитанников муниципального дошкольного образовательного учреждения «Центр развития ребёнка - детский сад №7»")</f>
        <v>Оказание услуг по организации питания воспитанников муниципального дошкольного образовательного учреждения «Центр развития ребёнка - детский сад №7»</v>
      </c>
      <c r="G4785" s="22" t="s">
        <v>49</v>
      </c>
      <c r="H4785" s="22" t="s">
        <v>742</v>
      </c>
      <c r="I4785" s="26">
        <v>43707.370208333297</v>
      </c>
      <c r="J4785" s="23" t="str">
        <f>HYPERLINK("https://www.spark-marketing.ru/Card/Person/57370", "ООО ""КП ""ЭКОПРОДУКТ""")</f>
        <v>ООО "КП "ЭКОПРОДУКТ"</v>
      </c>
      <c r="K4785" s="24" t="s">
        <v>6251</v>
      </c>
      <c r="L4785" s="28" t="s">
        <v>51</v>
      </c>
      <c r="M4785" s="25">
        <v>19790667.559999999</v>
      </c>
      <c r="N4785" s="27">
        <v>9.9980453726488366E-2</v>
      </c>
    </row>
    <row r="4786" spans="1:14" ht="12.75" hidden="1" outlineLevel="1" x14ac:dyDescent="0.2">
      <c r="A4786" s="23" t="str">
        <f>HYPERLINK("https://www.spark-marketing.ru/Card/Person/102262", "МДОУ № 7")</f>
        <v>МДОУ № 7</v>
      </c>
      <c r="B4786" s="24" t="s">
        <v>7627</v>
      </c>
      <c r="C4786" s="25">
        <v>21989153.059999999</v>
      </c>
      <c r="D4786" s="22" t="s">
        <v>7628</v>
      </c>
      <c r="E4786" s="22" t="s">
        <v>48</v>
      </c>
      <c r="F4786" s="23" t="str">
        <f>HYPERLINK("https://www.spark-marketing.ru/Card/Lot/73163645", "Оказание услуг по организации питания воспитанников муниципального дошкольного образовательного учреждения «Центр развития ребёнка - детский сад №7»")</f>
        <v>Оказание услуг по организации питания воспитанников муниципального дошкольного образовательного учреждения «Центр развития ребёнка - детский сад №7»</v>
      </c>
      <c r="G4786" s="22" t="s">
        <v>49</v>
      </c>
      <c r="H4786" s="22" t="s">
        <v>742</v>
      </c>
      <c r="I4786" s="26">
        <v>43707.370208333297</v>
      </c>
      <c r="J4786" s="23" t="str">
        <f>HYPERLINK("https://www.spark-marketing.ru/Card/Person/100937", "ООО ""ВЕРТИКАЛЬ""")</f>
        <v>ООО "ВЕРТИКАЛЬ"</v>
      </c>
      <c r="K4786" s="24" t="s">
        <v>4501</v>
      </c>
      <c r="L4786" s="22" t="s">
        <v>10</v>
      </c>
      <c r="M4786" s="25">
        <v>21984956</v>
      </c>
      <c r="N4786" s="27">
        <v>1.9086956139455788E-4</v>
      </c>
    </row>
    <row r="4787" spans="1:14" x14ac:dyDescent="0.15">
      <c r="A4787" s="23" t="str">
        <f>HYPERLINK("https://www.spark-marketing.ru/Card/Person/112441", "МДОУ № 46")</f>
        <v>МДОУ № 46</v>
      </c>
      <c r="B4787" s="24" t="s">
        <v>7629</v>
      </c>
      <c r="C4787" s="25">
        <v>12447122.26</v>
      </c>
      <c r="D4787" s="22" t="s">
        <v>7630</v>
      </c>
      <c r="E4787" s="22" t="s">
        <v>48</v>
      </c>
      <c r="F4787" s="23" t="str">
        <f>HYPERLINK("https://www.spark-marketing.ru/Card/Lot/73163635",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№46")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№46</v>
      </c>
      <c r="G4787" s="22" t="s">
        <v>49</v>
      </c>
      <c r="H4787" s="22" t="s">
        <v>742</v>
      </c>
      <c r="I4787" s="26">
        <v>43707.366550925901</v>
      </c>
      <c r="J4787" s="28" t="s">
        <v>51</v>
      </c>
      <c r="K4787" s="28" t="s">
        <v>51</v>
      </c>
      <c r="L4787" s="28" t="s">
        <v>51</v>
      </c>
      <c r="M4787" s="28" t="s">
        <v>51</v>
      </c>
      <c r="N4787" s="28" t="s">
        <v>51</v>
      </c>
    </row>
    <row r="4788" spans="1:14" hidden="1" outlineLevel="1" x14ac:dyDescent="0.15">
      <c r="A4788" s="23" t="str">
        <f>HYPERLINK("https://www.spark-marketing.ru/Card/Person/112441", "МДОУ № 46")</f>
        <v>МДОУ № 46</v>
      </c>
      <c r="B4788" s="24" t="s">
        <v>7629</v>
      </c>
      <c r="C4788" s="25">
        <v>12447122.26</v>
      </c>
      <c r="D4788" s="22" t="s">
        <v>7630</v>
      </c>
      <c r="E4788" s="22" t="s">
        <v>48</v>
      </c>
      <c r="F4788" s="23" t="str">
        <f>HYPERLINK("https://www.spark-marketing.ru/Card/Lot/73163635",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№46")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№46</v>
      </c>
      <c r="G4788" s="22" t="s">
        <v>49</v>
      </c>
      <c r="H4788" s="22" t="s">
        <v>742</v>
      </c>
      <c r="I4788" s="26">
        <v>43707.366550925901</v>
      </c>
      <c r="J4788" s="23" t="str">
        <f>HYPERLINK("https://www.spark-marketing.ru/Card/Person/55369", "ООО ""КОМБИНАТ ОБЩЕСТВЕННОГО ПИТАНИЯ""")</f>
        <v>ООО "КОМБИНАТ ОБЩЕСТВЕННОГО ПИТАНИЯ"</v>
      </c>
      <c r="K4788" s="24" t="s">
        <v>1516</v>
      </c>
      <c r="L4788" s="28" t="s">
        <v>51</v>
      </c>
      <c r="M4788" s="28" t="s">
        <v>51</v>
      </c>
      <c r="N4788" s="28" t="s">
        <v>51</v>
      </c>
    </row>
    <row r="4789" spans="1:14" hidden="1" outlineLevel="1" x14ac:dyDescent="0.2">
      <c r="A4789" s="23" t="str">
        <f>HYPERLINK("https://www.spark-marketing.ru/Card/Person/112441", "МДОУ № 46")</f>
        <v>МДОУ № 46</v>
      </c>
      <c r="B4789" s="24" t="s">
        <v>7629</v>
      </c>
      <c r="C4789" s="25">
        <v>12447122.26</v>
      </c>
      <c r="D4789" s="22" t="s">
        <v>7630</v>
      </c>
      <c r="E4789" s="22" t="s">
        <v>48</v>
      </c>
      <c r="F4789" s="23" t="str">
        <f>HYPERLINK("https://www.spark-marketing.ru/Card/Lot/73163635",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№46")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№46</v>
      </c>
      <c r="G4789" s="22" t="s">
        <v>49</v>
      </c>
      <c r="H4789" s="22" t="s">
        <v>742</v>
      </c>
      <c r="I4789" s="26">
        <v>43707.366550925901</v>
      </c>
      <c r="J4789" s="23" t="str">
        <f>HYPERLINK("https://www.spark-marketing.ru/Card/Person/57370", "ООО ""КП ""ЭКОПРОДУКТ""")</f>
        <v>ООО "КП "ЭКОПРОДУКТ"</v>
      </c>
      <c r="K4789" s="24" t="s">
        <v>6251</v>
      </c>
      <c r="L4789" s="28" t="s">
        <v>51</v>
      </c>
      <c r="M4789" s="25">
        <v>11202650.5</v>
      </c>
      <c r="N4789" s="27">
        <v>9.9980680996379967E-2</v>
      </c>
    </row>
    <row r="4790" spans="1:14" ht="12.75" hidden="1" outlineLevel="1" x14ac:dyDescent="0.2">
      <c r="A4790" s="23" t="str">
        <f>HYPERLINK("https://www.spark-marketing.ru/Card/Person/112441", "МДОУ № 46")</f>
        <v>МДОУ № 46</v>
      </c>
      <c r="B4790" s="24" t="s">
        <v>7629</v>
      </c>
      <c r="C4790" s="25">
        <v>12447122.26</v>
      </c>
      <c r="D4790" s="22" t="s">
        <v>7630</v>
      </c>
      <c r="E4790" s="22" t="s">
        <v>48</v>
      </c>
      <c r="F4790" s="23" t="str">
        <f>HYPERLINK("https://www.spark-marketing.ru/Card/Lot/73163635",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№46")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№46</v>
      </c>
      <c r="G4790" s="22" t="s">
        <v>49</v>
      </c>
      <c r="H4790" s="22" t="s">
        <v>742</v>
      </c>
      <c r="I4790" s="26">
        <v>43707.366550925901</v>
      </c>
      <c r="J4790" s="23" t="str">
        <f>HYPERLINK("https://www.spark-marketing.ru/Card/Person/100937", "ООО ""ВЕРТИКАЛЬ""")</f>
        <v>ООО "ВЕРТИКАЛЬ"</v>
      </c>
      <c r="K4790" s="24" t="s">
        <v>4501</v>
      </c>
      <c r="L4790" s="22" t="s">
        <v>10</v>
      </c>
      <c r="M4790" s="25">
        <v>12444745.359999999</v>
      </c>
      <c r="N4790" s="27">
        <v>1.9095980182008752E-4</v>
      </c>
    </row>
    <row r="4791" spans="1:14" x14ac:dyDescent="0.15">
      <c r="A4791" s="23" t="str">
        <f>HYPERLINK("https://www.spark-marketing.ru/Card/Person/112871", "МДОУ № 51")</f>
        <v>МДОУ № 51</v>
      </c>
      <c r="B4791" s="24" t="s">
        <v>7631</v>
      </c>
      <c r="C4791" s="25">
        <v>24009618.219999999</v>
      </c>
      <c r="D4791" s="22" t="s">
        <v>7632</v>
      </c>
      <c r="E4791" s="22" t="s">
        <v>48</v>
      </c>
      <c r="F4791" s="23" t="str">
        <f>HYPERLINK("https://www.spark-marketing.ru/Card/Lot/73163664", "«Оказание услуг по организации питания воспитанников муниципального дошкольного образовательного учреждения «Центр развития ребенка - детский сад №51»")</f>
        <v>«Оказание услуг по организации питания воспитанников муниципального дошкольного образовательного учреждения «Центр развития ребенка - детский сад №51»</v>
      </c>
      <c r="G4791" s="22" t="s">
        <v>49</v>
      </c>
      <c r="H4791" s="22" t="s">
        <v>742</v>
      </c>
      <c r="I4791" s="26">
        <v>43707.373182870397</v>
      </c>
      <c r="J4791" s="28" t="s">
        <v>51</v>
      </c>
      <c r="K4791" s="28" t="s">
        <v>51</v>
      </c>
      <c r="L4791" s="28" t="s">
        <v>51</v>
      </c>
      <c r="M4791" s="28" t="s">
        <v>51</v>
      </c>
      <c r="N4791" s="28" t="s">
        <v>51</v>
      </c>
    </row>
    <row r="4792" spans="1:14" hidden="1" outlineLevel="1" x14ac:dyDescent="0.15">
      <c r="A4792" s="23" t="str">
        <f>HYPERLINK("https://www.spark-marketing.ru/Card/Person/112871", "МДОУ № 51")</f>
        <v>МДОУ № 51</v>
      </c>
      <c r="B4792" s="24" t="s">
        <v>7631</v>
      </c>
      <c r="C4792" s="25">
        <v>24009618.219999999</v>
      </c>
      <c r="D4792" s="22" t="s">
        <v>7632</v>
      </c>
      <c r="E4792" s="22" t="s">
        <v>48</v>
      </c>
      <c r="F4792" s="23" t="str">
        <f>HYPERLINK("https://www.spark-marketing.ru/Card/Lot/73163664", "«Оказание услуг по организации питания воспитанников муниципального дошкольного образовательного учреждения «Центр развития ребенка - детский сад №51»")</f>
        <v>«Оказание услуг по организации питания воспитанников муниципального дошкольного образовательного учреждения «Центр развития ребенка - детский сад №51»</v>
      </c>
      <c r="G4792" s="22" t="s">
        <v>49</v>
      </c>
      <c r="H4792" s="22" t="s">
        <v>742</v>
      </c>
      <c r="I4792" s="26">
        <v>43707.373182870397</v>
      </c>
      <c r="J4792" s="23" t="str">
        <f>HYPERLINK("https://www.spark-marketing.ru/Card/Person/55369", "ООО ""КОМБИНАТ ОБЩЕСТВЕННОГО ПИТАНИЯ""")</f>
        <v>ООО "КОМБИНАТ ОБЩЕСТВЕННОГО ПИТАНИЯ"</v>
      </c>
      <c r="K4792" s="24" t="s">
        <v>1516</v>
      </c>
      <c r="L4792" s="28" t="s">
        <v>51</v>
      </c>
      <c r="M4792" s="28" t="s">
        <v>51</v>
      </c>
      <c r="N4792" s="28" t="s">
        <v>51</v>
      </c>
    </row>
    <row r="4793" spans="1:14" hidden="1" outlineLevel="1" x14ac:dyDescent="0.2">
      <c r="A4793" s="23" t="str">
        <f>HYPERLINK("https://www.spark-marketing.ru/Card/Person/112871", "МДОУ № 51")</f>
        <v>МДОУ № 51</v>
      </c>
      <c r="B4793" s="24" t="s">
        <v>7631</v>
      </c>
      <c r="C4793" s="25">
        <v>24009618.219999999</v>
      </c>
      <c r="D4793" s="22" t="s">
        <v>7632</v>
      </c>
      <c r="E4793" s="22" t="s">
        <v>48</v>
      </c>
      <c r="F4793" s="23" t="str">
        <f>HYPERLINK("https://www.spark-marketing.ru/Card/Lot/73163664", "«Оказание услуг по организации питания воспитанников муниципального дошкольного образовательного учреждения «Центр развития ребенка - детский сад №51»")</f>
        <v>«Оказание услуг по организации питания воспитанников муниципального дошкольного образовательного учреждения «Центр развития ребенка - детский сад №51»</v>
      </c>
      <c r="G4793" s="22" t="s">
        <v>49</v>
      </c>
      <c r="H4793" s="22" t="s">
        <v>742</v>
      </c>
      <c r="I4793" s="26">
        <v>43707.373182870397</v>
      </c>
      <c r="J4793" s="23" t="str">
        <f>HYPERLINK("https://www.spark-marketing.ru/Card/Person/57370", "ООО ""КП ""ЭКОПРОДУКТ""")</f>
        <v>ООО "КП "ЭКОПРОДУКТ"</v>
      </c>
      <c r="K4793" s="24" t="s">
        <v>6251</v>
      </c>
      <c r="L4793" s="28" t="s">
        <v>51</v>
      </c>
      <c r="M4793" s="25">
        <v>21609126.559999999</v>
      </c>
      <c r="N4793" s="27">
        <v>9.9980417764427079E-2</v>
      </c>
    </row>
    <row r="4794" spans="1:14" ht="12.75" hidden="1" outlineLevel="1" x14ac:dyDescent="0.2">
      <c r="A4794" s="23" t="str">
        <f>HYPERLINK("https://www.spark-marketing.ru/Card/Person/112871", "МДОУ № 51")</f>
        <v>МДОУ № 51</v>
      </c>
      <c r="B4794" s="24" t="s">
        <v>7631</v>
      </c>
      <c r="C4794" s="25">
        <v>24009618.219999999</v>
      </c>
      <c r="D4794" s="22" t="s">
        <v>7632</v>
      </c>
      <c r="E4794" s="22" t="s">
        <v>48</v>
      </c>
      <c r="F4794" s="23" t="str">
        <f>HYPERLINK("https://www.spark-marketing.ru/Card/Lot/73163664", "«Оказание услуг по организации питания воспитанников муниципального дошкольного образовательного учреждения «Центр развития ребенка - детский сад №51»")</f>
        <v>«Оказание услуг по организации питания воспитанников муниципального дошкольного образовательного учреждения «Центр развития ребенка - детский сад №51»</v>
      </c>
      <c r="G4794" s="22" t="s">
        <v>49</v>
      </c>
      <c r="H4794" s="22" t="s">
        <v>742</v>
      </c>
      <c r="I4794" s="26">
        <v>43707.373182870397</v>
      </c>
      <c r="J4794" s="23" t="str">
        <f>HYPERLINK("https://www.spark-marketing.ru/Card/Person/100937", "ООО ""ВЕРТИКАЛЬ""")</f>
        <v>ООО "ВЕРТИКАЛЬ"</v>
      </c>
      <c r="K4794" s="24" t="s">
        <v>4501</v>
      </c>
      <c r="L4794" s="22" t="s">
        <v>10</v>
      </c>
      <c r="M4794" s="25">
        <v>24005035.960000001</v>
      </c>
      <c r="N4794" s="27">
        <v>1.9085101470638877E-4</v>
      </c>
    </row>
    <row r="4795" spans="1:14" x14ac:dyDescent="0.15">
      <c r="A4795" s="23" t="str">
        <f>HYPERLINK("https://www.spark-marketing.ru/Card/Person/107544", "МБДОУ № 87")</f>
        <v>МБДОУ № 87</v>
      </c>
      <c r="B4795" s="24" t="s">
        <v>7633</v>
      </c>
      <c r="C4795" s="25">
        <v>11436627.52</v>
      </c>
      <c r="D4795" s="22" t="s">
        <v>7634</v>
      </c>
      <c r="E4795" s="22" t="s">
        <v>48</v>
      </c>
      <c r="F4795" s="23" t="str">
        <f>HYPERLINK("https://www.spark-marketing.ru/Card/Lot/73163660", "Оказание услуг по организации питания воспитанников муниципального бюджетного дошкольного образовательного учреждения «Детский сад № 87»")</f>
        <v>Оказание услуг по организации питания воспитанников муниципального бюджетного дошкольного образовательного учреждения «Детский сад № 87»</v>
      </c>
      <c r="G4795" s="22" t="s">
        <v>49</v>
      </c>
      <c r="H4795" s="22" t="s">
        <v>742</v>
      </c>
      <c r="I4795" s="26">
        <v>43707.372141203698</v>
      </c>
      <c r="J4795" s="28" t="s">
        <v>51</v>
      </c>
      <c r="K4795" s="28" t="s">
        <v>51</v>
      </c>
      <c r="L4795" s="28" t="s">
        <v>51</v>
      </c>
      <c r="M4795" s="28" t="s">
        <v>51</v>
      </c>
      <c r="N4795" s="28" t="s">
        <v>51</v>
      </c>
    </row>
    <row r="4796" spans="1:14" hidden="1" outlineLevel="1" x14ac:dyDescent="0.15">
      <c r="A4796" s="23" t="str">
        <f>HYPERLINK("https://www.spark-marketing.ru/Card/Person/107544", "МБДОУ № 87")</f>
        <v>МБДОУ № 87</v>
      </c>
      <c r="B4796" s="24" t="s">
        <v>7633</v>
      </c>
      <c r="C4796" s="25">
        <v>11436627.52</v>
      </c>
      <c r="D4796" s="22" t="s">
        <v>7634</v>
      </c>
      <c r="E4796" s="22" t="s">
        <v>48</v>
      </c>
      <c r="F4796" s="23" t="str">
        <f>HYPERLINK("https://www.spark-marketing.ru/Card/Lot/73163660", "Оказание услуг по организации питания воспитанников муниципального бюджетного дошкольного образовательного учреждения «Детский сад № 87»")</f>
        <v>Оказание услуг по организации питания воспитанников муниципального бюджетного дошкольного образовательного учреждения «Детский сад № 87»</v>
      </c>
      <c r="G4796" s="22" t="s">
        <v>49</v>
      </c>
      <c r="H4796" s="22" t="s">
        <v>742</v>
      </c>
      <c r="I4796" s="26">
        <v>43707.372141203698</v>
      </c>
      <c r="J4796" s="23" t="str">
        <f>HYPERLINK("https://www.spark-marketing.ru/Card/Person/55369", "ООО ""КОМБИНАТ ОБЩЕСТВЕННОГО ПИТАНИЯ""")</f>
        <v>ООО "КОМБИНАТ ОБЩЕСТВЕННОГО ПИТАНИЯ"</v>
      </c>
      <c r="K4796" s="24" t="s">
        <v>1516</v>
      </c>
      <c r="L4796" s="28" t="s">
        <v>51</v>
      </c>
      <c r="M4796" s="28" t="s">
        <v>51</v>
      </c>
      <c r="N4796" s="28" t="s">
        <v>51</v>
      </c>
    </row>
    <row r="4797" spans="1:14" hidden="1" outlineLevel="1" x14ac:dyDescent="0.2">
      <c r="A4797" s="23" t="str">
        <f>HYPERLINK("https://www.spark-marketing.ru/Card/Person/107544", "МБДОУ № 87")</f>
        <v>МБДОУ № 87</v>
      </c>
      <c r="B4797" s="24" t="s">
        <v>7633</v>
      </c>
      <c r="C4797" s="25">
        <v>11436627.52</v>
      </c>
      <c r="D4797" s="22" t="s">
        <v>7634</v>
      </c>
      <c r="E4797" s="22" t="s">
        <v>48</v>
      </c>
      <c r="F4797" s="23" t="str">
        <f>HYPERLINK("https://www.spark-marketing.ru/Card/Lot/73163660", "Оказание услуг по организации питания воспитанников муниципального бюджетного дошкольного образовательного учреждения «Детский сад № 87»")</f>
        <v>Оказание услуг по организации питания воспитанников муниципального бюджетного дошкольного образовательного учреждения «Детский сад № 87»</v>
      </c>
      <c r="G4797" s="22" t="s">
        <v>49</v>
      </c>
      <c r="H4797" s="22" t="s">
        <v>742</v>
      </c>
      <c r="I4797" s="26">
        <v>43707.372141203698</v>
      </c>
      <c r="J4797" s="23" t="str">
        <f>HYPERLINK("https://www.spark-marketing.ru/Card/Person/57370", "ООО ""КП ""ЭКОПРОДУКТ""")</f>
        <v>ООО "КП "ЭКОПРОДУКТ"</v>
      </c>
      <c r="K4797" s="24" t="s">
        <v>6251</v>
      </c>
      <c r="L4797" s="28" t="s">
        <v>51</v>
      </c>
      <c r="M4797" s="25">
        <v>10293171.560000001</v>
      </c>
      <c r="N4797" s="27">
        <v>9.998191844583218E-2</v>
      </c>
    </row>
    <row r="4798" spans="1:14" ht="12.75" hidden="1" outlineLevel="1" x14ac:dyDescent="0.2">
      <c r="A4798" s="23" t="str">
        <f>HYPERLINK("https://www.spark-marketing.ru/Card/Person/107544", "МБДОУ № 87")</f>
        <v>МБДОУ № 87</v>
      </c>
      <c r="B4798" s="24" t="s">
        <v>7633</v>
      </c>
      <c r="C4798" s="25">
        <v>11436627.52</v>
      </c>
      <c r="D4798" s="22" t="s">
        <v>7634</v>
      </c>
      <c r="E4798" s="22" t="s">
        <v>48</v>
      </c>
      <c r="F4798" s="23" t="str">
        <f>HYPERLINK("https://www.spark-marketing.ru/Card/Lot/73163660", "Оказание услуг по организации питания воспитанников муниципального бюджетного дошкольного образовательного учреждения «Детский сад № 87»")</f>
        <v>Оказание услуг по организации питания воспитанников муниципального бюджетного дошкольного образовательного учреждения «Детский сад № 87»</v>
      </c>
      <c r="G4798" s="22" t="s">
        <v>49</v>
      </c>
      <c r="H4798" s="22" t="s">
        <v>742</v>
      </c>
      <c r="I4798" s="26">
        <v>43707.372141203698</v>
      </c>
      <c r="J4798" s="23" t="str">
        <f>HYPERLINK("https://www.spark-marketing.ru/Card/Person/100937", "ООО ""ВЕРТИКАЛЬ""")</f>
        <v>ООО "ВЕРТИКАЛЬ"</v>
      </c>
      <c r="K4798" s="24" t="s">
        <v>4501</v>
      </c>
      <c r="L4798" s="22" t="s">
        <v>10</v>
      </c>
      <c r="M4798" s="25">
        <v>11434436.800000001</v>
      </c>
      <c r="N4798" s="27">
        <v>1.9155297277706566E-4</v>
      </c>
    </row>
    <row r="4799" spans="1:14" x14ac:dyDescent="0.15">
      <c r="A4799" s="23" t="str">
        <f>HYPERLINK("https://www.spark-marketing.ru/Card/Person/101170", "МДОУ № 12")</f>
        <v>МДОУ № 12</v>
      </c>
      <c r="B4799" s="24" t="s">
        <v>7635</v>
      </c>
      <c r="C4799" s="25">
        <v>34327162.240000002</v>
      </c>
      <c r="D4799" s="22" t="s">
        <v>7636</v>
      </c>
      <c r="E4799" s="22" t="s">
        <v>48</v>
      </c>
      <c r="F4799" s="23" t="str">
        <f>HYPERLINK("https://www.spark-marketing.ru/Card/Lot/73163658",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№12")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№12</v>
      </c>
      <c r="G4799" s="22" t="s">
        <v>49</v>
      </c>
      <c r="H4799" s="22" t="s">
        <v>742</v>
      </c>
      <c r="I4799" s="26">
        <v>43707.371770833299</v>
      </c>
      <c r="J4799" s="28" t="s">
        <v>51</v>
      </c>
      <c r="K4799" s="28" t="s">
        <v>51</v>
      </c>
      <c r="L4799" s="28" t="s">
        <v>51</v>
      </c>
      <c r="M4799" s="28" t="s">
        <v>51</v>
      </c>
      <c r="N4799" s="28" t="s">
        <v>51</v>
      </c>
    </row>
    <row r="4800" spans="1:14" hidden="1" outlineLevel="1" x14ac:dyDescent="0.15">
      <c r="A4800" s="23" t="str">
        <f>HYPERLINK("https://www.spark-marketing.ru/Card/Person/101170", "МДОУ № 12")</f>
        <v>МДОУ № 12</v>
      </c>
      <c r="B4800" s="24" t="s">
        <v>7635</v>
      </c>
      <c r="C4800" s="25">
        <v>34327162.240000002</v>
      </c>
      <c r="D4800" s="22" t="s">
        <v>7636</v>
      </c>
      <c r="E4800" s="22" t="s">
        <v>48</v>
      </c>
      <c r="F4800" s="23" t="str">
        <f>HYPERLINK("https://www.spark-marketing.ru/Card/Lot/73163658",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№12")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№12</v>
      </c>
      <c r="G4800" s="22" t="s">
        <v>49</v>
      </c>
      <c r="H4800" s="22" t="s">
        <v>742</v>
      </c>
      <c r="I4800" s="26">
        <v>43707.371770833299</v>
      </c>
      <c r="J4800" s="23" t="str">
        <f>HYPERLINK("https://www.spark-marketing.ru/Card/Person/55369", "ООО ""КОМБИНАТ ОБЩЕСТВЕННОГО ПИТАНИЯ""")</f>
        <v>ООО "КОМБИНАТ ОБЩЕСТВЕННОГО ПИТАНИЯ"</v>
      </c>
      <c r="K4800" s="24" t="s">
        <v>1516</v>
      </c>
      <c r="L4800" s="28" t="s">
        <v>51</v>
      </c>
      <c r="M4800" s="28" t="s">
        <v>51</v>
      </c>
      <c r="N4800" s="28" t="s">
        <v>51</v>
      </c>
    </row>
    <row r="4801" spans="1:14" hidden="1" outlineLevel="1" x14ac:dyDescent="0.2">
      <c r="A4801" s="23" t="str">
        <f>HYPERLINK("https://www.spark-marketing.ru/Card/Person/101170", "МДОУ № 12")</f>
        <v>МДОУ № 12</v>
      </c>
      <c r="B4801" s="24" t="s">
        <v>7635</v>
      </c>
      <c r="C4801" s="25">
        <v>34327162.240000002</v>
      </c>
      <c r="D4801" s="22" t="s">
        <v>7636</v>
      </c>
      <c r="E4801" s="22" t="s">
        <v>48</v>
      </c>
      <c r="F4801" s="23" t="str">
        <f>HYPERLINK("https://www.spark-marketing.ru/Card/Lot/73163658",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№12")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№12</v>
      </c>
      <c r="G4801" s="22" t="s">
        <v>49</v>
      </c>
      <c r="H4801" s="22" t="s">
        <v>742</v>
      </c>
      <c r="I4801" s="26">
        <v>43707.371770833299</v>
      </c>
      <c r="J4801" s="23" t="str">
        <f>HYPERLINK("https://www.spark-marketing.ru/Card/Person/57370", "ООО ""КП ""ЭКОПРОДУКТ""")</f>
        <v>ООО "КП "ЭКОПРОДУКТ"</v>
      </c>
      <c r="K4801" s="24" t="s">
        <v>6251</v>
      </c>
      <c r="L4801" s="28" t="s">
        <v>51</v>
      </c>
      <c r="M4801" s="25">
        <v>30895225.280000001</v>
      </c>
      <c r="N4801" s="27">
        <v>9.9977298909984122E-2</v>
      </c>
    </row>
    <row r="4802" spans="1:14" ht="12.75" hidden="1" outlineLevel="1" x14ac:dyDescent="0.2">
      <c r="A4802" s="23" t="str">
        <f>HYPERLINK("https://www.spark-marketing.ru/Card/Person/101170", "МДОУ № 12")</f>
        <v>МДОУ № 12</v>
      </c>
      <c r="B4802" s="24" t="s">
        <v>7635</v>
      </c>
      <c r="C4802" s="25">
        <v>34327162.240000002</v>
      </c>
      <c r="D4802" s="22" t="s">
        <v>7636</v>
      </c>
      <c r="E4802" s="22" t="s">
        <v>48</v>
      </c>
      <c r="F4802" s="23" t="str">
        <f>HYPERLINK("https://www.spark-marketing.ru/Card/Lot/73163658", "Оказание услуг по организации питания воспитанников муниципального дошкольного образовательного учреждения «Центр развития ребенка - детский сад №12")</f>
        <v>Оказание услуг по организации питания воспитанников муниципального дошкольного образовательного учреждения «Центр развития ребенка - детский сад №12</v>
      </c>
      <c r="G4802" s="22" t="s">
        <v>49</v>
      </c>
      <c r="H4802" s="22" t="s">
        <v>742</v>
      </c>
      <c r="I4802" s="26">
        <v>43707.371770833299</v>
      </c>
      <c r="J4802" s="23" t="str">
        <f>HYPERLINK("https://www.spark-marketing.ru/Card/Person/100937", "ООО ""ВЕРТИКАЛЬ""")</f>
        <v>ООО "ВЕРТИКАЛЬ"</v>
      </c>
      <c r="K4802" s="24" t="s">
        <v>4501</v>
      </c>
      <c r="L4802" s="22" t="s">
        <v>10</v>
      </c>
      <c r="M4802" s="25">
        <v>34320661.719999999</v>
      </c>
      <c r="N4802" s="27">
        <v>1.8936957137765431E-4</v>
      </c>
    </row>
    <row r="4803" spans="1:14" x14ac:dyDescent="0.15">
      <c r="A4803" s="23" t="str">
        <f>HYPERLINK("https://www.spark-marketing.ru/Card/Person/102515", "МДОУ № 9")</f>
        <v>МДОУ № 9</v>
      </c>
      <c r="B4803" s="24" t="s">
        <v>7637</v>
      </c>
      <c r="C4803" s="25">
        <v>17129145.399999999</v>
      </c>
      <c r="D4803" s="22" t="s">
        <v>7638</v>
      </c>
      <c r="E4803" s="22" t="s">
        <v>48</v>
      </c>
      <c r="F4803" s="23" t="str">
        <f>HYPERLINK("https://www.spark-marketing.ru/Card/Lot/73163650", "Оказание услуг по организации питания воспитанников муниципального дошкольного образовательного учреждения «Детский сад №9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№9 общеразвивающего вида»</v>
      </c>
      <c r="G4803" s="22" t="s">
        <v>49</v>
      </c>
      <c r="H4803" s="22" t="s">
        <v>742</v>
      </c>
      <c r="I4803" s="26">
        <v>43707.370740740698</v>
      </c>
      <c r="J4803" s="28" t="s">
        <v>51</v>
      </c>
      <c r="K4803" s="28" t="s">
        <v>51</v>
      </c>
      <c r="L4803" s="28" t="s">
        <v>51</v>
      </c>
      <c r="M4803" s="28" t="s">
        <v>51</v>
      </c>
      <c r="N4803" s="28" t="s">
        <v>51</v>
      </c>
    </row>
    <row r="4804" spans="1:14" hidden="1" outlineLevel="1" x14ac:dyDescent="0.15">
      <c r="A4804" s="23" t="str">
        <f>HYPERLINK("https://www.spark-marketing.ru/Card/Person/102515", "МДОУ № 9")</f>
        <v>МДОУ № 9</v>
      </c>
      <c r="B4804" s="24" t="s">
        <v>7637</v>
      </c>
      <c r="C4804" s="25">
        <v>17129145.399999999</v>
      </c>
      <c r="D4804" s="22" t="s">
        <v>7638</v>
      </c>
      <c r="E4804" s="22" t="s">
        <v>48</v>
      </c>
      <c r="F4804" s="23" t="str">
        <f>HYPERLINK("https://www.spark-marketing.ru/Card/Lot/73163650", "Оказание услуг по организации питания воспитанников муниципального дошкольного образовательного учреждения «Детский сад №9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№9 общеразвивающего вида»</v>
      </c>
      <c r="G4804" s="22" t="s">
        <v>49</v>
      </c>
      <c r="H4804" s="22" t="s">
        <v>742</v>
      </c>
      <c r="I4804" s="26">
        <v>43707.370740740698</v>
      </c>
      <c r="J4804" s="23" t="str">
        <f>HYPERLINK("https://www.spark-marketing.ru/Card/Person/55369", "ООО ""КОМБИНАТ ОБЩЕСТВЕННОГО ПИТАНИЯ""")</f>
        <v>ООО "КОМБИНАТ ОБЩЕСТВЕННОГО ПИТАНИЯ"</v>
      </c>
      <c r="K4804" s="24" t="s">
        <v>1516</v>
      </c>
      <c r="L4804" s="28" t="s">
        <v>51</v>
      </c>
      <c r="M4804" s="28" t="s">
        <v>51</v>
      </c>
      <c r="N4804" s="28" t="s">
        <v>51</v>
      </c>
    </row>
    <row r="4805" spans="1:14" hidden="1" outlineLevel="1" x14ac:dyDescent="0.2">
      <c r="A4805" s="23" t="str">
        <f>HYPERLINK("https://www.spark-marketing.ru/Card/Person/102515", "МДОУ № 9")</f>
        <v>МДОУ № 9</v>
      </c>
      <c r="B4805" s="24" t="s">
        <v>7637</v>
      </c>
      <c r="C4805" s="25">
        <v>17129145.399999999</v>
      </c>
      <c r="D4805" s="22" t="s">
        <v>7638</v>
      </c>
      <c r="E4805" s="22" t="s">
        <v>48</v>
      </c>
      <c r="F4805" s="23" t="str">
        <f>HYPERLINK("https://www.spark-marketing.ru/Card/Lot/73163650", "Оказание услуг по организации питания воспитанников муниципального дошкольного образовательного учреждения «Детский сад №9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№9 общеразвивающего вида»</v>
      </c>
      <c r="G4805" s="22" t="s">
        <v>49</v>
      </c>
      <c r="H4805" s="22" t="s">
        <v>742</v>
      </c>
      <c r="I4805" s="26">
        <v>43707.370740740698</v>
      </c>
      <c r="J4805" s="23" t="str">
        <f>HYPERLINK("https://www.spark-marketing.ru/Card/Person/57370", "ООО ""КП ""ЭКОПРОДУКТ""")</f>
        <v>ООО "КП "ЭКОПРОДУКТ"</v>
      </c>
      <c r="K4805" s="24" t="s">
        <v>6251</v>
      </c>
      <c r="L4805" s="28" t="s">
        <v>51</v>
      </c>
      <c r="M4805" s="25">
        <v>15416639.32</v>
      </c>
      <c r="N4805" s="27">
        <v>9.9976154093478597E-2</v>
      </c>
    </row>
    <row r="4806" spans="1:14" ht="12.75" hidden="1" outlineLevel="1" x14ac:dyDescent="0.2">
      <c r="A4806" s="23" t="str">
        <f>HYPERLINK("https://www.spark-marketing.ru/Card/Person/102515", "МДОУ № 9")</f>
        <v>МДОУ № 9</v>
      </c>
      <c r="B4806" s="24" t="s">
        <v>7637</v>
      </c>
      <c r="C4806" s="25">
        <v>17129145.399999999</v>
      </c>
      <c r="D4806" s="22" t="s">
        <v>7638</v>
      </c>
      <c r="E4806" s="22" t="s">
        <v>48</v>
      </c>
      <c r="F4806" s="23" t="str">
        <f>HYPERLINK("https://www.spark-marketing.ru/Card/Lot/73163650", "Оказание услуг по организации питания воспитанников муниципального дошкольного образовательного учреждения «Детский сад №9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№9 общеразвивающего вида»</v>
      </c>
      <c r="G4806" s="22" t="s">
        <v>49</v>
      </c>
      <c r="H4806" s="22" t="s">
        <v>742</v>
      </c>
      <c r="I4806" s="26">
        <v>43707.370740740698</v>
      </c>
      <c r="J4806" s="23" t="str">
        <f>HYPERLINK("https://www.spark-marketing.ru/Card/Person/100937", "ООО ""ВЕРТИКАЛЬ""")</f>
        <v>ООО "ВЕРТИКАЛЬ"</v>
      </c>
      <c r="K4806" s="24" t="s">
        <v>4501</v>
      </c>
      <c r="L4806" s="22" t="s">
        <v>10</v>
      </c>
      <c r="M4806" s="25">
        <v>17125911.52</v>
      </c>
      <c r="N4806" s="27">
        <v>1.8879400720131666E-4</v>
      </c>
    </row>
    <row r="4807" spans="1:14" x14ac:dyDescent="0.15">
      <c r="A4807" s="23" t="str">
        <f>HYPERLINK("https://www.spark-marketing.ru/Card/Person/1084838", "МДОУ №2")</f>
        <v>МДОУ №2</v>
      </c>
      <c r="B4807" s="24" t="s">
        <v>7639</v>
      </c>
      <c r="C4807" s="25">
        <v>25687439.140000001</v>
      </c>
      <c r="D4807" s="22" t="s">
        <v>7640</v>
      </c>
      <c r="E4807" s="22" t="s">
        <v>48</v>
      </c>
      <c r="F4807" s="23" t="str">
        <f>HYPERLINK("https://www.spark-marketing.ru/Card/Lot/73163643", "Оказание услуг по организации питания воспитанников муниципального дошкольного образовательного учреждения «Центр развития ребёнка-детский сад №2»")</f>
        <v>Оказание услуг по организации питания воспитанников муниципального дошкольного образовательного учреждения «Центр развития ребёнка-детский сад №2»</v>
      </c>
      <c r="G4807" s="22" t="s">
        <v>49</v>
      </c>
      <c r="H4807" s="22" t="s">
        <v>742</v>
      </c>
      <c r="I4807" s="26">
        <v>43707.3699305556</v>
      </c>
      <c r="J4807" s="28" t="s">
        <v>51</v>
      </c>
      <c r="K4807" s="28" t="s">
        <v>51</v>
      </c>
      <c r="L4807" s="28" t="s">
        <v>51</v>
      </c>
      <c r="M4807" s="28" t="s">
        <v>51</v>
      </c>
      <c r="N4807" s="28" t="s">
        <v>51</v>
      </c>
    </row>
    <row r="4808" spans="1:14" hidden="1" outlineLevel="1" x14ac:dyDescent="0.15">
      <c r="A4808" s="23" t="str">
        <f>HYPERLINK("https://www.spark-marketing.ru/Card/Person/1084838", "МДОУ №2")</f>
        <v>МДОУ №2</v>
      </c>
      <c r="B4808" s="24" t="s">
        <v>7639</v>
      </c>
      <c r="C4808" s="25">
        <v>25687439.140000001</v>
      </c>
      <c r="D4808" s="22" t="s">
        <v>7640</v>
      </c>
      <c r="E4808" s="22" t="s">
        <v>48</v>
      </c>
      <c r="F4808" s="23" t="str">
        <f>HYPERLINK("https://www.spark-marketing.ru/Card/Lot/73163643", "Оказание услуг по организации питания воспитанников муниципального дошкольного образовательного учреждения «Центр развития ребёнка-детский сад №2»")</f>
        <v>Оказание услуг по организации питания воспитанников муниципального дошкольного образовательного учреждения «Центр развития ребёнка-детский сад №2»</v>
      </c>
      <c r="G4808" s="22" t="s">
        <v>49</v>
      </c>
      <c r="H4808" s="22" t="s">
        <v>742</v>
      </c>
      <c r="I4808" s="26">
        <v>43707.3699305556</v>
      </c>
      <c r="J4808" s="23" t="str">
        <f>HYPERLINK("https://www.spark-marketing.ru/Card/Person/55369", "ООО ""КОМБИНАТ ОБЩЕСТВЕННОГО ПИТАНИЯ""")</f>
        <v>ООО "КОМБИНАТ ОБЩЕСТВЕННОГО ПИТАНИЯ"</v>
      </c>
      <c r="K4808" s="24" t="s">
        <v>1516</v>
      </c>
      <c r="L4808" s="28" t="s">
        <v>51</v>
      </c>
      <c r="M4808" s="28" t="s">
        <v>51</v>
      </c>
      <c r="N4808" s="28" t="s">
        <v>51</v>
      </c>
    </row>
    <row r="4809" spans="1:14" hidden="1" outlineLevel="1" x14ac:dyDescent="0.2">
      <c r="A4809" s="23" t="str">
        <f>HYPERLINK("https://www.spark-marketing.ru/Card/Person/1084838", "МДОУ №2")</f>
        <v>МДОУ №2</v>
      </c>
      <c r="B4809" s="24" t="s">
        <v>7639</v>
      </c>
      <c r="C4809" s="25">
        <v>25687439.140000001</v>
      </c>
      <c r="D4809" s="22" t="s">
        <v>7640</v>
      </c>
      <c r="E4809" s="22" t="s">
        <v>48</v>
      </c>
      <c r="F4809" s="23" t="str">
        <f>HYPERLINK("https://www.spark-marketing.ru/Card/Lot/73163643", "Оказание услуг по организации питания воспитанников муниципального дошкольного образовательного учреждения «Центр развития ребёнка-детский сад №2»")</f>
        <v>Оказание услуг по организации питания воспитанников муниципального дошкольного образовательного учреждения «Центр развития ребёнка-детский сад №2»</v>
      </c>
      <c r="G4809" s="22" t="s">
        <v>49</v>
      </c>
      <c r="H4809" s="22" t="s">
        <v>742</v>
      </c>
      <c r="I4809" s="26">
        <v>43707.3699305556</v>
      </c>
      <c r="J4809" s="23" t="str">
        <f>HYPERLINK("https://www.spark-marketing.ru/Card/Person/57370", "ООО ""КП ""ЭКОПРОДУКТ""")</f>
        <v>ООО "КП "ЭКОПРОДУКТ"</v>
      </c>
      <c r="K4809" s="24" t="s">
        <v>6251</v>
      </c>
      <c r="L4809" s="28" t="s">
        <v>51</v>
      </c>
      <c r="M4809" s="25">
        <v>23119229.920000002</v>
      </c>
      <c r="N4809" s="27">
        <v>9.9979184612483715E-2</v>
      </c>
    </row>
    <row r="4810" spans="1:14" ht="12.75" hidden="1" outlineLevel="1" x14ac:dyDescent="0.2">
      <c r="A4810" s="23" t="str">
        <f>HYPERLINK("https://www.spark-marketing.ru/Card/Person/1084838", "МДОУ №2")</f>
        <v>МДОУ №2</v>
      </c>
      <c r="B4810" s="24" t="s">
        <v>7639</v>
      </c>
      <c r="C4810" s="25">
        <v>25687439.140000001</v>
      </c>
      <c r="D4810" s="22" t="s">
        <v>7640</v>
      </c>
      <c r="E4810" s="22" t="s">
        <v>48</v>
      </c>
      <c r="F4810" s="23" t="str">
        <f>HYPERLINK("https://www.spark-marketing.ru/Card/Lot/73163643", "Оказание услуг по организации питания воспитанников муниципального дошкольного образовательного учреждения «Центр развития ребёнка-детский сад №2»")</f>
        <v>Оказание услуг по организации питания воспитанников муниципального дошкольного образовательного учреждения «Центр развития ребёнка-детский сад №2»</v>
      </c>
      <c r="G4810" s="22" t="s">
        <v>49</v>
      </c>
      <c r="H4810" s="22" t="s">
        <v>742</v>
      </c>
      <c r="I4810" s="26">
        <v>43707.3699305556</v>
      </c>
      <c r="J4810" s="23" t="str">
        <f>HYPERLINK("https://www.spark-marketing.ru/Card/Person/100937", "ООО ""ВЕРТИКАЛЬ""")</f>
        <v>ООО "ВЕРТИКАЛЬ"</v>
      </c>
      <c r="K4810" s="24" t="s">
        <v>4501</v>
      </c>
      <c r="L4810" s="22" t="s">
        <v>10</v>
      </c>
      <c r="M4810" s="25">
        <v>25682551.719999999</v>
      </c>
      <c r="N4810" s="27">
        <v>1.9026497633193031E-4</v>
      </c>
    </row>
    <row r="4811" spans="1:14" x14ac:dyDescent="0.15">
      <c r="A4811" s="23" t="str">
        <f>HYPERLINK("https://www.spark-marketing.ru/Card/Person/112830", "МДОУ № 50")</f>
        <v>МДОУ № 50</v>
      </c>
      <c r="B4811" s="24" t="s">
        <v>7641</v>
      </c>
      <c r="C4811" s="25">
        <v>17697740.379999999</v>
      </c>
      <c r="D4811" s="22" t="s">
        <v>7642</v>
      </c>
      <c r="E4811" s="22" t="s">
        <v>48</v>
      </c>
      <c r="F4811" s="23" t="str">
        <f>HYPERLINK("https://www.spark-marketing.ru/Card/Lot/73163636", "Оказание услуг по организации питания воспитанников муниципального дошкольного образовательного учреждения «Детский сад № 50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 50 общеразвивающего вида»</v>
      </c>
      <c r="G4811" s="22" t="s">
        <v>49</v>
      </c>
      <c r="H4811" s="22" t="s">
        <v>742</v>
      </c>
      <c r="I4811" s="26">
        <v>43707.367037037002</v>
      </c>
      <c r="J4811" s="28" t="s">
        <v>51</v>
      </c>
      <c r="K4811" s="28" t="s">
        <v>51</v>
      </c>
      <c r="L4811" s="28" t="s">
        <v>51</v>
      </c>
      <c r="M4811" s="28" t="s">
        <v>51</v>
      </c>
      <c r="N4811" s="28" t="s">
        <v>51</v>
      </c>
    </row>
    <row r="4812" spans="1:14" hidden="1" outlineLevel="1" x14ac:dyDescent="0.15">
      <c r="A4812" s="23" t="str">
        <f>HYPERLINK("https://www.spark-marketing.ru/Card/Person/112830", "МДОУ № 50")</f>
        <v>МДОУ № 50</v>
      </c>
      <c r="B4812" s="24" t="s">
        <v>7641</v>
      </c>
      <c r="C4812" s="25">
        <v>17697740.379999999</v>
      </c>
      <c r="D4812" s="22" t="s">
        <v>7642</v>
      </c>
      <c r="E4812" s="22" t="s">
        <v>48</v>
      </c>
      <c r="F4812" s="23" t="str">
        <f>HYPERLINK("https://www.spark-marketing.ru/Card/Lot/73163636", "Оказание услуг по организации питания воспитанников муниципального дошкольного образовательного учреждения «Детский сад № 50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 50 общеразвивающего вида»</v>
      </c>
      <c r="G4812" s="22" t="s">
        <v>49</v>
      </c>
      <c r="H4812" s="22" t="s">
        <v>742</v>
      </c>
      <c r="I4812" s="26">
        <v>43707.367037037002</v>
      </c>
      <c r="J4812" s="23" t="str">
        <f>HYPERLINK("https://www.spark-marketing.ru/Card/Person/55369", "ООО ""КОМБИНАТ ОБЩЕСТВЕННОГО ПИТАНИЯ""")</f>
        <v>ООО "КОМБИНАТ ОБЩЕСТВЕННОГО ПИТАНИЯ"</v>
      </c>
      <c r="K4812" s="24" t="s">
        <v>1516</v>
      </c>
      <c r="L4812" s="28" t="s">
        <v>51</v>
      </c>
      <c r="M4812" s="28" t="s">
        <v>51</v>
      </c>
      <c r="N4812" s="28" t="s">
        <v>51</v>
      </c>
    </row>
    <row r="4813" spans="1:14" hidden="1" outlineLevel="1" x14ac:dyDescent="0.2">
      <c r="A4813" s="23" t="str">
        <f>HYPERLINK("https://www.spark-marketing.ru/Card/Person/112830", "МДОУ № 50")</f>
        <v>МДОУ № 50</v>
      </c>
      <c r="B4813" s="24" t="s">
        <v>7641</v>
      </c>
      <c r="C4813" s="25">
        <v>17697740.379999999</v>
      </c>
      <c r="D4813" s="22" t="s">
        <v>7642</v>
      </c>
      <c r="E4813" s="22" t="s">
        <v>48</v>
      </c>
      <c r="F4813" s="23" t="str">
        <f>HYPERLINK("https://www.spark-marketing.ru/Card/Lot/73163636", "Оказание услуг по организации питания воспитанников муниципального дошкольного образовательного учреждения «Детский сад № 50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 50 общеразвивающего вида»</v>
      </c>
      <c r="G4813" s="22" t="s">
        <v>49</v>
      </c>
      <c r="H4813" s="22" t="s">
        <v>742</v>
      </c>
      <c r="I4813" s="26">
        <v>43707.367037037002</v>
      </c>
      <c r="J4813" s="23" t="str">
        <f>HYPERLINK("https://www.spark-marketing.ru/Card/Person/57370", "ООО ""КП ""ЭКОПРОДУКТ""")</f>
        <v>ООО "КП "ЭКОПРОДУКТ"</v>
      </c>
      <c r="K4813" s="24" t="s">
        <v>6251</v>
      </c>
      <c r="L4813" s="28" t="s">
        <v>51</v>
      </c>
      <c r="M4813" s="25">
        <v>15928307.26</v>
      </c>
      <c r="N4813" s="27">
        <v>9.9980736636842898E-2</v>
      </c>
    </row>
    <row r="4814" spans="1:14" ht="12.75" hidden="1" outlineLevel="1" x14ac:dyDescent="0.2">
      <c r="A4814" s="23" t="str">
        <f>HYPERLINK("https://www.spark-marketing.ru/Card/Person/112830", "МДОУ № 50")</f>
        <v>МДОУ № 50</v>
      </c>
      <c r="B4814" s="24" t="s">
        <v>7641</v>
      </c>
      <c r="C4814" s="25">
        <v>17697740.379999999</v>
      </c>
      <c r="D4814" s="22" t="s">
        <v>7642</v>
      </c>
      <c r="E4814" s="22" t="s">
        <v>48</v>
      </c>
      <c r="F4814" s="23" t="str">
        <f>HYPERLINK("https://www.spark-marketing.ru/Card/Lot/73163636", "Оказание услуг по организации питания воспитанников муниципального дошкольного образовательного учреждения «Детский сад № 50 общеразвивающего вида»")</f>
        <v>Оказание услуг по организации питания воспитанников муниципального дошкольного образовательного учреждения «Детский сад № 50 общеразвивающего вида»</v>
      </c>
      <c r="G4814" s="22" t="s">
        <v>49</v>
      </c>
      <c r="H4814" s="22" t="s">
        <v>742</v>
      </c>
      <c r="I4814" s="26">
        <v>43707.367037037002</v>
      </c>
      <c r="J4814" s="23" t="str">
        <f>HYPERLINK("https://www.spark-marketing.ru/Card/Person/100937", "ООО ""ВЕРТИКАЛЬ""")</f>
        <v>ООО "ВЕРТИКАЛЬ"</v>
      </c>
      <c r="K4814" s="24" t="s">
        <v>4501</v>
      </c>
      <c r="L4814" s="22" t="s">
        <v>10</v>
      </c>
      <c r="M4814" s="25">
        <v>17694360.399999999</v>
      </c>
      <c r="N4814" s="27">
        <v>1.9098370342349885E-4</v>
      </c>
    </row>
    <row r="4815" spans="1:14" x14ac:dyDescent="0.2">
      <c r="A4815" s="23" t="str">
        <f>HYPERLINK("https://www.spark-marketing.ru/Card/Person/75015", "МБДОУ №183")</f>
        <v>МБДОУ №183</v>
      </c>
      <c r="B4815" s="24" t="s">
        <v>7643</v>
      </c>
      <c r="C4815" s="25">
        <v>3174000</v>
      </c>
      <c r="D4815" s="22" t="s">
        <v>7644</v>
      </c>
      <c r="E4815" s="22" t="s">
        <v>48</v>
      </c>
      <c r="F4815" s="23" t="str">
        <f>HYPERLINK("https://www.spark-marketing.ru/Card/Lot/73164305", "Оказание услуг по организации питания детей в детской дошкольной образовательной организации")</f>
        <v>Оказание услуг по организации питания детей в детской дошкольной образовательной организации</v>
      </c>
      <c r="G4815" s="22" t="s">
        <v>1918</v>
      </c>
      <c r="H4815" s="22" t="s">
        <v>2140</v>
      </c>
      <c r="I4815" s="26">
        <v>43707.346990740698</v>
      </c>
      <c r="J4815" s="23" t="str">
        <f>HYPERLINK("https://www.spark-marketing.ru/Card/Person/75328", "ООО ""АЛЬТЕРНАТИВА""")</f>
        <v>ООО "АЛЬТЕРНАТИВА"</v>
      </c>
      <c r="K4815" s="24" t="s">
        <v>7645</v>
      </c>
      <c r="L4815" s="28" t="s">
        <v>51</v>
      </c>
      <c r="M4815" s="25">
        <v>3174000</v>
      </c>
      <c r="N4815" s="27">
        <v>0</v>
      </c>
    </row>
    <row r="4816" spans="1:14" x14ac:dyDescent="0.15">
      <c r="A4816" s="23" t="str">
        <f>HYPERLINK("https://www.spark-marketing.ru/Card/Person/949251", "ОМВД РОССИИ ПО ХОРОЛЬСКОМУ РАЙОНУ")</f>
        <v>ОМВД РОССИИ ПО ХОРОЛЬСКОМУ РАЙОНУ</v>
      </c>
      <c r="B4816" s="24" t="s">
        <v>7646</v>
      </c>
      <c r="C4816" s="25">
        <v>300000</v>
      </c>
      <c r="D4816" s="22" t="s">
        <v>7647</v>
      </c>
      <c r="E4816" s="22" t="s">
        <v>96</v>
      </c>
      <c r="F4816" s="23" t="str">
        <f>HYPERLINK("https://www.spark-marketing.ru/Card/Lot/73134400", "Оказание услуг по организации питания (приготовлению и доставке), 1000 шт")</f>
        <v>Оказание услуг по организации питания (приготовлению и доставке), 1000 шт</v>
      </c>
      <c r="G4816" s="22" t="s">
        <v>543</v>
      </c>
      <c r="H4816" s="22" t="s">
        <v>7648</v>
      </c>
      <c r="I4816" s="26">
        <v>43707.328310185199</v>
      </c>
      <c r="J4816" s="28" t="s">
        <v>51</v>
      </c>
      <c r="K4816" s="28" t="s">
        <v>51</v>
      </c>
      <c r="L4816" s="28" t="s">
        <v>51</v>
      </c>
      <c r="M4816" s="28" t="s">
        <v>51</v>
      </c>
      <c r="N4816" s="28" t="s">
        <v>51</v>
      </c>
    </row>
    <row r="4817" spans="1:14" x14ac:dyDescent="0.15">
      <c r="A4817" s="23" t="str">
        <f>HYPERLINK("https://www.spark-marketing.ru/Card/Person/1324517", "МАОУ СОШ № 22")</f>
        <v>МАОУ СОШ № 22</v>
      </c>
      <c r="B4817" s="24" t="s">
        <v>7649</v>
      </c>
      <c r="C4817" s="25">
        <v>362095.01</v>
      </c>
      <c r="D4817" s="22" t="s">
        <v>7650</v>
      </c>
      <c r="E4817" s="22" t="s">
        <v>362</v>
      </c>
      <c r="F4817" s="23" t="str">
        <f>HYPERLINK("https://www.spark-marketing.ru/Card/Lot/73159709", "Оказание услуг по организации питания")</f>
        <v>Оказание услуг по организации питания</v>
      </c>
      <c r="G4817" s="22" t="s">
        <v>351</v>
      </c>
      <c r="H4817" s="22" t="s">
        <v>351</v>
      </c>
      <c r="I4817" s="26">
        <v>43707</v>
      </c>
      <c r="J4817" s="28" t="s">
        <v>51</v>
      </c>
      <c r="K4817" s="28" t="s">
        <v>51</v>
      </c>
      <c r="L4817" s="28" t="s">
        <v>51</v>
      </c>
      <c r="M4817" s="28" t="s">
        <v>51</v>
      </c>
      <c r="N4817" s="28" t="s">
        <v>51</v>
      </c>
    </row>
    <row r="4818" spans="1:14" x14ac:dyDescent="0.15">
      <c r="A4818" s="23" t="str">
        <f>HYPERLINK("https://www.spark-marketing.ru/Card/Person/240535", "ГПОАУ АТК")</f>
        <v>ГПОАУ АТК</v>
      </c>
      <c r="B4818" s="24" t="s">
        <v>2228</v>
      </c>
      <c r="C4818" s="25">
        <v>612563</v>
      </c>
      <c r="D4818" s="22" t="s">
        <v>7651</v>
      </c>
      <c r="E4818" s="22" t="s">
        <v>362</v>
      </c>
      <c r="F4818" s="23" t="str">
        <f>HYPERLINK("https://www.spark-marketing.ru/Card/Lot/73137820", "Оказание услуг по организации горячего питания г. Свободный")</f>
        <v>Оказание услуг по организации горячего питания г. Свободный</v>
      </c>
      <c r="G4818" s="22" t="s">
        <v>210</v>
      </c>
      <c r="H4818" s="22" t="s">
        <v>210</v>
      </c>
      <c r="I4818" s="26">
        <v>43707</v>
      </c>
      <c r="J4818" s="28" t="s">
        <v>51</v>
      </c>
      <c r="K4818" s="28" t="s">
        <v>51</v>
      </c>
      <c r="L4818" s="28" t="s">
        <v>51</v>
      </c>
      <c r="M4818" s="28" t="s">
        <v>51</v>
      </c>
      <c r="N4818" s="28" t="s">
        <v>51</v>
      </c>
    </row>
    <row r="4819" spans="1:14" x14ac:dyDescent="0.15">
      <c r="A4819" s="23" t="str">
        <f>HYPERLINK("https://www.spark-marketing.ru/Card/Person/235551", "МАОУ ""СОШ № 28""")</f>
        <v>МАОУ "СОШ № 28"</v>
      </c>
      <c r="B4819" s="24" t="s">
        <v>7652</v>
      </c>
      <c r="C4819" s="25">
        <v>2890578</v>
      </c>
      <c r="D4819" s="22" t="s">
        <v>7653</v>
      </c>
      <c r="E4819" s="22" t="s">
        <v>362</v>
      </c>
      <c r="F4819" s="23" t="str">
        <f>HYPERLINK("https://www.spark-marketing.ru/Card/Lot/73159277", "Оказание услуги по организации горячего питания учащихся МАОУ «СОШ № 28» в первом полугодии 2019-2020 учебного года за счет средств бюджета и средств родителей (законных представителей)")</f>
        <v>Оказание услуги по организации горячего питания учащихся МАОУ «СОШ № 28» в первом полугодии 2019-2020 учебного года за счет средств бюджета и средств родителей (законных представителей)</v>
      </c>
      <c r="G4819" s="22" t="s">
        <v>174</v>
      </c>
      <c r="H4819" s="22" t="s">
        <v>174</v>
      </c>
      <c r="I4819" s="26">
        <v>43707</v>
      </c>
      <c r="J4819" s="28" t="s">
        <v>51</v>
      </c>
      <c r="K4819" s="28" t="s">
        <v>51</v>
      </c>
      <c r="L4819" s="28" t="s">
        <v>51</v>
      </c>
      <c r="M4819" s="28" t="s">
        <v>51</v>
      </c>
      <c r="N4819" s="28" t="s">
        <v>51</v>
      </c>
    </row>
    <row r="4820" spans="1:14" x14ac:dyDescent="0.15">
      <c r="A4820" s="23" t="str">
        <f>HYPERLINK("https://www.spark-marketing.ru/Card/Person/741758", "МАОУ ""БЛИ №3""ГОРОДСКОГО ОКРУГА Г. СТЕРЛИТАМАК РБ")</f>
        <v>МАОУ "БЛИ №3"ГОРОДСКОГО ОКРУГА Г. СТЕРЛИТАМАК РБ</v>
      </c>
      <c r="B4820" s="24" t="s">
        <v>7654</v>
      </c>
      <c r="C4820" s="25">
        <v>3956400</v>
      </c>
      <c r="D4820" s="22" t="s">
        <v>7655</v>
      </c>
      <c r="E4820" s="22" t="s">
        <v>362</v>
      </c>
      <c r="F4820" s="23" t="str">
        <f>HYPERLINK("https://www.spark-marketing.ru/Card/Lot/73149638", "оказание услуг по организации питания")</f>
        <v>оказание услуг по организации питания</v>
      </c>
      <c r="G4820" s="22" t="s">
        <v>145</v>
      </c>
      <c r="H4820" s="22" t="s">
        <v>145</v>
      </c>
      <c r="I4820" s="26">
        <v>43707</v>
      </c>
      <c r="J4820" s="28" t="s">
        <v>51</v>
      </c>
      <c r="K4820" s="28" t="s">
        <v>51</v>
      </c>
      <c r="L4820" s="28" t="s">
        <v>51</v>
      </c>
      <c r="M4820" s="28" t="s">
        <v>51</v>
      </c>
      <c r="N4820" s="28" t="s">
        <v>51</v>
      </c>
    </row>
    <row r="4821" spans="1:14" x14ac:dyDescent="0.2">
      <c r="A4821" s="23" t="str">
        <f>HYPERLINK("https://www.spark-marketing.ru/Card/Person/1428229", "МАОУ ""ШКОЛА № 2""")</f>
        <v>МАОУ "ШКОЛА № 2"</v>
      </c>
      <c r="B4821" s="24" t="s">
        <v>7656</v>
      </c>
      <c r="C4821" s="25">
        <v>674053.38</v>
      </c>
      <c r="D4821" s="22" t="s">
        <v>7657</v>
      </c>
      <c r="E4821" s="22" t="s">
        <v>6287</v>
      </c>
      <c r="F4821" s="23" t="str">
        <f>HYPERLINK("https://www.spark-marketing.ru/Card/Lot/73148104", "услуги по организации питания льготной категории учащихся «детей малоимущих семей с 5 по 9 класс»")</f>
        <v>услуги по организации питания льготной категории учащихся «детей малоимущих семей с 5 по 9 класс»</v>
      </c>
      <c r="G4821" s="22" t="s">
        <v>153</v>
      </c>
      <c r="H4821" s="22" t="s">
        <v>153</v>
      </c>
      <c r="I4821" s="26">
        <v>43707</v>
      </c>
      <c r="J4821" s="28" t="s">
        <v>51</v>
      </c>
      <c r="K4821" s="28" t="s">
        <v>51</v>
      </c>
      <c r="L4821" s="28" t="s">
        <v>51</v>
      </c>
      <c r="M4821" s="25">
        <v>674053.38</v>
      </c>
      <c r="N4821" s="27">
        <v>0</v>
      </c>
    </row>
    <row r="4822" spans="1:14" x14ac:dyDescent="0.2">
      <c r="A4822" s="23" t="str">
        <f>HYPERLINK("https://www.spark-marketing.ru/Card/Person/1755915", "МАОУ СОШ №1")</f>
        <v>МАОУ СОШ №1</v>
      </c>
      <c r="B4822" s="24" t="s">
        <v>7658</v>
      </c>
      <c r="C4822" s="25">
        <v>1366023.36</v>
      </c>
      <c r="D4822" s="22" t="s">
        <v>7659</v>
      </c>
      <c r="E4822" s="22" t="s">
        <v>362</v>
      </c>
      <c r="F4822" s="23" t="str">
        <f>HYPERLINK("https://www.spark-marketing.ru/Card/Lot/73152457", "Услуги по организации горячего питания для обучающихся из малоимущих семей и многодетных малоимущих семей, детей с ограниченными возможностями здоровья (ОВЗ), осваивающих образовательную программу начального, основного и среднего общего образования в...")</f>
        <v>Услуги по организации горячего питания для обучающихся из малоимущих семей и многодетных малоимущих семей, детей с ограниченными возможностями здоровья (ОВЗ), осваивающих образовательную программу начального, основного и среднего общего образования в...</v>
      </c>
      <c r="G4822" s="22" t="s">
        <v>153</v>
      </c>
      <c r="H4822" s="22" t="s">
        <v>153</v>
      </c>
      <c r="I4822" s="26">
        <v>43707</v>
      </c>
      <c r="J4822" s="28" t="s">
        <v>51</v>
      </c>
      <c r="K4822" s="28" t="s">
        <v>51</v>
      </c>
      <c r="L4822" s="22" t="s">
        <v>10</v>
      </c>
      <c r="M4822" s="25">
        <v>1330272</v>
      </c>
      <c r="N4822" s="27">
        <v>2.6171851116806671E-2</v>
      </c>
    </row>
    <row r="4823" spans="1:14" x14ac:dyDescent="0.15">
      <c r="A4823" s="23" t="str">
        <f>HYPERLINK("https://www.spark-marketing.ru/Card/Person/1137346", "МАОУ ГИМНАЗИЯ № 23")</f>
        <v>МАОУ ГИМНАЗИЯ № 23</v>
      </c>
      <c r="B4823" s="24" t="s">
        <v>3277</v>
      </c>
      <c r="C4823" s="25">
        <v>291690</v>
      </c>
      <c r="D4823" s="22" t="s">
        <v>7660</v>
      </c>
      <c r="E4823" s="22" t="s">
        <v>362</v>
      </c>
      <c r="F4823" s="23" t="str">
        <f>HYPERLINK("https://www.spark-marketing.ru/Card/Lot/73147148", "Оказание услуг по организации питания обучающихся для МАОУ Гимназия №23")</f>
        <v>Оказание услуг по организации питания обучающихся для МАОУ Гимназия №23</v>
      </c>
      <c r="G4823" s="22" t="s">
        <v>663</v>
      </c>
      <c r="H4823" s="22" t="s">
        <v>663</v>
      </c>
      <c r="I4823" s="26">
        <v>43707</v>
      </c>
      <c r="J4823" s="28" t="s">
        <v>51</v>
      </c>
      <c r="K4823" s="28" t="s">
        <v>51</v>
      </c>
      <c r="L4823" s="28" t="s">
        <v>51</v>
      </c>
      <c r="M4823" s="28" t="s">
        <v>51</v>
      </c>
      <c r="N4823" s="28" t="s">
        <v>51</v>
      </c>
    </row>
    <row r="4824" spans="1:14" x14ac:dyDescent="0.15">
      <c r="A4824" s="23" t="str">
        <f>HYPERLINK("https://www.spark-marketing.ru/Card/Person/1759467", "МАОУ ""ГИМНАЗИЯ №5"" ГОРОДСКОГО ОКРУГА Г. СТЕРЛИТАМАК РБ")</f>
        <v>МАОУ "ГИМНАЗИЯ №5" ГОРОДСКОГО ОКРУГА Г. СТЕРЛИТАМАК РБ</v>
      </c>
      <c r="B4824" s="24" t="s">
        <v>7661</v>
      </c>
      <c r="C4824" s="25">
        <v>292800</v>
      </c>
      <c r="D4824" s="22" t="s">
        <v>7662</v>
      </c>
      <c r="E4824" s="22" t="s">
        <v>362</v>
      </c>
      <c r="F4824" s="23" t="str">
        <f>HYPERLINK("https://www.spark-marketing.ru/Card/Lot/73147150", "Оказание услуг по организации питания обучающихся из многодетных малообеспеченных семей")</f>
        <v>Оказание услуг по организации питания обучающихся из многодетных малообеспеченных семей</v>
      </c>
      <c r="G4824" s="22" t="s">
        <v>145</v>
      </c>
      <c r="H4824" s="22" t="s">
        <v>145</v>
      </c>
      <c r="I4824" s="26">
        <v>43707</v>
      </c>
      <c r="J4824" s="28" t="s">
        <v>51</v>
      </c>
      <c r="K4824" s="28" t="s">
        <v>51</v>
      </c>
      <c r="L4824" s="28" t="s">
        <v>51</v>
      </c>
      <c r="M4824" s="28" t="s">
        <v>51</v>
      </c>
      <c r="N4824" s="28" t="s">
        <v>51</v>
      </c>
    </row>
    <row r="4825" spans="1:14" x14ac:dyDescent="0.15">
      <c r="A4825" s="23" t="str">
        <f>HYPERLINK("https://www.spark-marketing.ru/Card/Person/68614", "ИЯФ СО РАН")</f>
        <v>ИЯФ СО РАН</v>
      </c>
      <c r="B4825" s="24" t="s">
        <v>7663</v>
      </c>
      <c r="C4825" s="25">
        <v>544500</v>
      </c>
      <c r="D4825" s="22" t="s">
        <v>7664</v>
      </c>
      <c r="E4825" s="22" t="s">
        <v>580</v>
      </c>
      <c r="F4825" s="23" t="str">
        <f>HYPERLINK("https://www.spark-marketing.ru/Card/Lot/73151624", "Оказание услуг по организации питания участников Международного совещания по методам электронного охлаждения пучков заряженных частиц")</f>
        <v>Оказание услуг по организации питания участников Международного совещания по методам электронного охлаждения пучков заряженных частиц</v>
      </c>
      <c r="G4825" s="22" t="s">
        <v>195</v>
      </c>
      <c r="H4825" s="22" t="s">
        <v>195</v>
      </c>
      <c r="I4825" s="26">
        <v>43707</v>
      </c>
      <c r="J4825" s="28" t="s">
        <v>51</v>
      </c>
      <c r="K4825" s="28" t="s">
        <v>51</v>
      </c>
      <c r="L4825" s="28" t="s">
        <v>51</v>
      </c>
      <c r="M4825" s="28" t="s">
        <v>51</v>
      </c>
      <c r="N4825" s="28" t="s">
        <v>51</v>
      </c>
    </row>
    <row r="4826" spans="1:14" x14ac:dyDescent="0.15">
      <c r="A4826" s="23" t="str">
        <f>HYPERLINK("https://www.spark-marketing.ru/Card/Person/1756753", "ГАУ МО ""ЦСП № 6""")</f>
        <v>ГАУ МО "ЦСП № 6"</v>
      </c>
      <c r="B4826" s="24" t="s">
        <v>6503</v>
      </c>
      <c r="C4826" s="25">
        <v>2072000</v>
      </c>
      <c r="D4826" s="22" t="s">
        <v>7665</v>
      </c>
      <c r="E4826" s="22" t="s">
        <v>2217</v>
      </c>
      <c r="F4826" s="23" t="str">
        <f>HYPERLINK("https://www.spark-marketing.ru/Card/Lot/73149629", "Оказание услуг по организации спортивных мероприятий (организация питания спортсменов и тренеров команд ВК ""ИСКРА"", ВК ""Заречье-Одинцово"", ЖВК ""Подмосковье"" на домашних играх и ТС 2019-2020)")</f>
        <v>Оказание услуг по организации спортивных мероприятий (организация питания спортсменов и тренеров команд ВК "ИСКРА", ВК "Заречье-Одинцово", ЖВК "Подмосковье" на домашних играх и ТС 2019-2020)</v>
      </c>
      <c r="G4826" s="22" t="s">
        <v>49</v>
      </c>
      <c r="H4826" s="22" t="s">
        <v>49</v>
      </c>
      <c r="I4826" s="26">
        <v>43707</v>
      </c>
      <c r="J4826" s="28" t="s">
        <v>51</v>
      </c>
      <c r="K4826" s="28" t="s">
        <v>51</v>
      </c>
      <c r="L4826" s="28" t="s">
        <v>51</v>
      </c>
      <c r="M4826" s="28" t="s">
        <v>51</v>
      </c>
      <c r="N4826" s="28" t="s">
        <v>51</v>
      </c>
    </row>
    <row r="4827" spans="1:14" x14ac:dyDescent="0.15">
      <c r="A4827" s="23" t="str">
        <f>HYPERLINK("https://www.spark-marketing.ru/Card/Person/536700", "ГАПОУ СО ""КАМЕНСК-УРАЛЬСКИЙ РАДИОТЕХНИЧЕСКИЙ ТЕХНИКУМ""")</f>
        <v>ГАПОУ СО "КАМЕНСК-УРАЛЬСКИЙ РАДИОТЕХНИЧЕСКИЙ ТЕХНИКУМ"</v>
      </c>
      <c r="B4827" s="24" t="s">
        <v>7666</v>
      </c>
      <c r="C4827" s="25">
        <v>402688</v>
      </c>
      <c r="D4827" s="22" t="s">
        <v>7667</v>
      </c>
      <c r="E4827" s="22" t="s">
        <v>1412</v>
      </c>
      <c r="F4827" s="23" t="str">
        <f>HYPERLINK("https://www.spark-marketing.ru/Card/Lot/73155806", "Оказание услуг по организации двухразового питания (завтрак и обед) обучающихся (студентов) с ограниченными возможностями здоровья")</f>
        <v>Оказание услуг по организации двухразового питания (завтрак и обед) обучающихся (студентов) с ограниченными возможностями здоровья</v>
      </c>
      <c r="G4827" s="22" t="s">
        <v>174</v>
      </c>
      <c r="H4827" s="22" t="s">
        <v>7668</v>
      </c>
      <c r="I4827" s="26">
        <v>43707</v>
      </c>
      <c r="J4827" s="28" t="s">
        <v>51</v>
      </c>
      <c r="K4827" s="28" t="s">
        <v>51</v>
      </c>
      <c r="L4827" s="28" t="s">
        <v>51</v>
      </c>
      <c r="M4827" s="28" t="s">
        <v>51</v>
      </c>
      <c r="N4827" s="28" t="s">
        <v>51</v>
      </c>
    </row>
    <row r="4828" spans="1:14" x14ac:dyDescent="0.2">
      <c r="A4828" s="23" t="str">
        <f>HYPERLINK("https://www.spark-marketing.ru/Card/Person/568555", "ГАУ СО ""ДОМ МОЛОДЕЖИ""")</f>
        <v>ГАУ СО "ДОМ МОЛОДЕЖИ"</v>
      </c>
      <c r="B4828" s="24" t="s">
        <v>7669</v>
      </c>
      <c r="C4828" s="25">
        <v>1096128</v>
      </c>
      <c r="D4828" s="22" t="s">
        <v>7670</v>
      </c>
      <c r="E4828" s="22" t="s">
        <v>362</v>
      </c>
      <c r="F4828" s="23" t="str">
        <f>HYPERLINK("https://www.spark-marketing.ru/Card/Lot/73157325", "оказание услуг по организации питания в рамках подготовки и проведения конкурсного выступления команд КВН «Игра - Встреча выпускников КВН»")</f>
        <v>оказание услуг по организации питания в рамках подготовки и проведения конкурсного выступления команд КВН «Игра - Встреча выпускников КВН»</v>
      </c>
      <c r="G4828" s="22" t="s">
        <v>174</v>
      </c>
      <c r="H4828" s="22" t="s">
        <v>174</v>
      </c>
      <c r="I4828" s="26">
        <v>43707</v>
      </c>
      <c r="J4828" s="28" t="s">
        <v>51</v>
      </c>
      <c r="K4828" s="28" t="s">
        <v>51</v>
      </c>
      <c r="L4828" s="28" t="s">
        <v>51</v>
      </c>
      <c r="M4828" s="25">
        <v>1096128</v>
      </c>
      <c r="N4828" s="27">
        <v>0</v>
      </c>
    </row>
    <row r="4829" spans="1:14" x14ac:dyDescent="0.2">
      <c r="A4829" s="23" t="str">
        <f>HYPERLINK("https://www.spark-marketing.ru/Card/Person/1904059", "АО ПО ""КОСМОС""")</f>
        <v>АО ПО "КОСМОС"</v>
      </c>
      <c r="B4829" s="24" t="s">
        <v>7671</v>
      </c>
      <c r="C4829" s="25">
        <v>10000000</v>
      </c>
      <c r="D4829" s="22" t="s">
        <v>7672</v>
      </c>
      <c r="E4829" s="22" t="s">
        <v>2273</v>
      </c>
      <c r="F4829" s="23" t="str">
        <f>HYPERLINK("https://www.spark-marketing.ru/Card/Lot/73117240", "«Оказание услуг по обеспечению пассажиров и экипажей воздушных судов бортовым питанием для нужд АО ПО ""Космос""(повторная)")</f>
        <v>«Оказание услуг по обеспечению пассажиров и экипажей воздушных судов бортовым питанием для нужд АО ПО "Космос"(повторная)</v>
      </c>
      <c r="G4829" s="22" t="s">
        <v>56</v>
      </c>
      <c r="H4829" s="22" t="s">
        <v>56</v>
      </c>
      <c r="I4829" s="26">
        <v>43706</v>
      </c>
      <c r="J4829" s="28" t="s">
        <v>51</v>
      </c>
      <c r="K4829" s="28" t="s">
        <v>51</v>
      </c>
      <c r="L4829" s="22" t="s">
        <v>10</v>
      </c>
      <c r="M4829" s="25">
        <v>10000000</v>
      </c>
      <c r="N4829" s="27">
        <v>0</v>
      </c>
    </row>
    <row r="4830" spans="1:14" x14ac:dyDescent="0.15">
      <c r="A4830" s="23" t="str">
        <f>HYPERLINK("https://www.spark-marketing.ru/Card/Person/4348376", "АО ""ЖТК""")</f>
        <v>АО "ЖТК"</v>
      </c>
      <c r="B4830" s="24" t="s">
        <v>2312</v>
      </c>
      <c r="C4830" s="25">
        <v>3646832.6</v>
      </c>
      <c r="D4830" s="22" t="s">
        <v>7673</v>
      </c>
      <c r="E4830" s="22" t="s">
        <v>2314</v>
      </c>
      <c r="F4830" s="23" t="str">
        <f>HYPERLINK("https://www.spark-marketing.ru/Card/Lot/73136413", "Поставка бакалейной продукции для предприятий общественного питания Читинского ТПО, оказывающих услуги питания работникам ОАО ""РЖД""")</f>
        <v>Поставка бакалейной продукции для предприятий общественного питания Читинского ТПО, оказывающих услуги питания работникам ОАО "РЖД"</v>
      </c>
      <c r="G4830" s="22" t="s">
        <v>228</v>
      </c>
      <c r="H4830" s="22" t="s">
        <v>228</v>
      </c>
      <c r="I4830" s="26">
        <v>43707</v>
      </c>
      <c r="J4830" s="28" t="s">
        <v>51</v>
      </c>
      <c r="K4830" s="28" t="s">
        <v>51</v>
      </c>
      <c r="L4830" s="28" t="s">
        <v>51</v>
      </c>
      <c r="M4830" s="28" t="s">
        <v>51</v>
      </c>
      <c r="N4830" s="28" t="s">
        <v>51</v>
      </c>
    </row>
    <row r="4831" spans="1:14" x14ac:dyDescent="0.15">
      <c r="A4831" s="23" t="str">
        <f>HYPERLINK("https://www.spark-marketing.ru/Card/Person/743516", "МАОУ ""СОШ №34"" ГОРОДСКОГО ОКРУГА Г. СТЕРЛИТАМАК РБ")</f>
        <v>МАОУ "СОШ №34" ГОРОДСКОГО ОКРУГА Г. СТЕРЛИТАМАК РБ</v>
      </c>
      <c r="B4831" s="24" t="s">
        <v>7674</v>
      </c>
      <c r="C4831" s="25">
        <v>146400</v>
      </c>
      <c r="D4831" s="22" t="s">
        <v>7675</v>
      </c>
      <c r="E4831" s="22" t="s">
        <v>362</v>
      </c>
      <c r="F4831" s="23" t="str">
        <f>HYPERLINK("https://www.spark-marketing.ru/Card/Lot/73147091", "Оказание услуг по организации питания обучающихся из многодетных малообеспеченных семей")</f>
        <v>Оказание услуг по организации питания обучающихся из многодетных малообеспеченных семей</v>
      </c>
      <c r="G4831" s="22" t="s">
        <v>145</v>
      </c>
      <c r="H4831" s="22" t="s">
        <v>145</v>
      </c>
      <c r="I4831" s="26">
        <v>43707</v>
      </c>
      <c r="J4831" s="28" t="s">
        <v>51</v>
      </c>
      <c r="K4831" s="28" t="s">
        <v>51</v>
      </c>
      <c r="L4831" s="28" t="s">
        <v>51</v>
      </c>
      <c r="M4831" s="28" t="s">
        <v>51</v>
      </c>
      <c r="N4831" s="28" t="s">
        <v>51</v>
      </c>
    </row>
    <row r="4832" spans="1:14" x14ac:dyDescent="0.15">
      <c r="A4832" s="23" t="str">
        <f>HYPERLINK("https://www.spark-marketing.ru/Card/Person/741596", "МАОУ ""ГИМНАЗИЯ № 6"" ГОРОДСКОГО ОКРУГА Г. СТЕРЛИТАМАК РБ")</f>
        <v>МАОУ "ГИМНАЗИЯ № 6" ГОРОДСКОГО ОКРУГА Г. СТЕРЛИТАМАК РБ</v>
      </c>
      <c r="B4832" s="24" t="s">
        <v>7676</v>
      </c>
      <c r="C4832" s="25">
        <v>265350</v>
      </c>
      <c r="D4832" s="22" t="s">
        <v>7677</v>
      </c>
      <c r="E4832" s="22" t="s">
        <v>362</v>
      </c>
      <c r="F4832" s="23" t="str">
        <f>HYPERLINK("https://www.spark-marketing.ru/Card/Lot/73147133", "оказание услуг по организации питания обучающихся из многодетных малообеспеченных семей")</f>
        <v>оказание услуг по организации питания обучающихся из многодетных малообеспеченных семей</v>
      </c>
      <c r="G4832" s="22" t="s">
        <v>145</v>
      </c>
      <c r="H4832" s="22" t="s">
        <v>7678</v>
      </c>
      <c r="I4832" s="26">
        <v>43707</v>
      </c>
      <c r="J4832" s="28" t="s">
        <v>51</v>
      </c>
      <c r="K4832" s="28" t="s">
        <v>51</v>
      </c>
      <c r="L4832" s="28" t="s">
        <v>51</v>
      </c>
      <c r="M4832" s="28" t="s">
        <v>51</v>
      </c>
      <c r="N4832" s="28" t="s">
        <v>51</v>
      </c>
    </row>
    <row r="4833" spans="1:14" x14ac:dyDescent="0.15">
      <c r="A4833" s="23" t="str">
        <f>HYPERLINK("https://www.spark-marketing.ru/Card/Person/1137333", "МАОУ ""ЛИЦЕЙ № 14""")</f>
        <v>МАОУ "ЛИЦЕЙ № 14"</v>
      </c>
      <c r="B4833" s="24" t="s">
        <v>7679</v>
      </c>
      <c r="C4833" s="25">
        <v>980000</v>
      </c>
      <c r="D4833" s="22" t="s">
        <v>7680</v>
      </c>
      <c r="E4833" s="22" t="s">
        <v>362</v>
      </c>
      <c r="F4833" s="23" t="str">
        <f>HYPERLINK("https://www.spark-marketing.ru/Card/Lot/73157415", "оказание полного комплекса услуг по организации питания")</f>
        <v>оказание полного комплекса услуг по организации питания</v>
      </c>
      <c r="G4833" s="22" t="s">
        <v>663</v>
      </c>
      <c r="H4833" s="22" t="s">
        <v>663</v>
      </c>
      <c r="I4833" s="26">
        <v>43707</v>
      </c>
      <c r="J4833" s="28" t="s">
        <v>51</v>
      </c>
      <c r="K4833" s="28" t="s">
        <v>51</v>
      </c>
      <c r="L4833" s="28" t="s">
        <v>51</v>
      </c>
      <c r="M4833" s="28" t="s">
        <v>51</v>
      </c>
      <c r="N4833" s="28" t="s">
        <v>51</v>
      </c>
    </row>
    <row r="4834" spans="1:14" x14ac:dyDescent="0.15">
      <c r="A4834" s="23" t="str">
        <f>HYPERLINK("https://www.spark-marketing.ru/Card/Person/957187", "МАОУ ЛИЦЕЙ № 1 Г. КАНСКА")</f>
        <v>МАОУ ЛИЦЕЙ № 1 Г. КАНСКА</v>
      </c>
      <c r="B4834" s="24" t="s">
        <v>7681</v>
      </c>
      <c r="C4834" s="25">
        <v>240584.2</v>
      </c>
      <c r="D4834" s="22" t="s">
        <v>7682</v>
      </c>
      <c r="E4834" s="22" t="s">
        <v>362</v>
      </c>
      <c r="F4834" s="23" t="str">
        <f>HYPERLINK("https://www.spark-marketing.ru/Card/Lot/73133146", "Услуга по организации горячего питания детей")</f>
        <v>Услуга по организации горячего питания детей</v>
      </c>
      <c r="G4834" s="22" t="s">
        <v>281</v>
      </c>
      <c r="H4834" s="22" t="s">
        <v>281</v>
      </c>
      <c r="I4834" s="26">
        <v>43707</v>
      </c>
      <c r="J4834" s="28" t="s">
        <v>51</v>
      </c>
      <c r="K4834" s="28" t="s">
        <v>51</v>
      </c>
      <c r="L4834" s="28" t="s">
        <v>51</v>
      </c>
      <c r="M4834" s="28" t="s">
        <v>51</v>
      </c>
      <c r="N4834" s="28" t="s">
        <v>51</v>
      </c>
    </row>
    <row r="4835" spans="1:14" x14ac:dyDescent="0.15">
      <c r="A4835" s="23" t="str">
        <f>HYPERLINK("https://www.spark-marketing.ru/Card/Person/1042631", "МАДОУ ""ДВУРЕЧЕНСКИЙ ДЕТСКИЙ САД ""СЕМИЦВЕТИК""")</f>
        <v>МАДОУ "ДВУРЕЧЕНСКИЙ ДЕТСКИЙ САД "СЕМИЦВЕТИК"</v>
      </c>
      <c r="B4835" s="24" t="s">
        <v>7683</v>
      </c>
      <c r="C4835" s="25">
        <v>5983100.2000000002</v>
      </c>
      <c r="D4835" s="22" t="s">
        <v>7684</v>
      </c>
      <c r="E4835" s="22" t="s">
        <v>362</v>
      </c>
      <c r="F4835" s="23" t="str">
        <f>HYPERLINK("https://www.spark-marketing.ru/Card/Lot/73160189", "Услуга по организации питания воспитанников (корпус по адресу п.Ферма, ул.Трубная, 10)")</f>
        <v>Услуга по организации питания воспитанников (корпус по адресу п.Ферма, ул.Трубная, 10)</v>
      </c>
      <c r="G4835" s="22" t="s">
        <v>153</v>
      </c>
      <c r="H4835" s="22" t="s">
        <v>153</v>
      </c>
      <c r="I4835" s="26">
        <v>43707</v>
      </c>
      <c r="J4835" s="28" t="s">
        <v>51</v>
      </c>
      <c r="K4835" s="28" t="s">
        <v>51</v>
      </c>
      <c r="L4835" s="28" t="s">
        <v>51</v>
      </c>
      <c r="M4835" s="28" t="s">
        <v>51</v>
      </c>
      <c r="N4835" s="28" t="s">
        <v>51</v>
      </c>
    </row>
    <row r="4836" spans="1:14" x14ac:dyDescent="0.2">
      <c r="A4836" s="23" t="str">
        <f>HYPERLINK("https://www.spark-marketing.ru/Card/Person/216912", "КГА ПОУ ""СПК""")</f>
        <v>КГА ПОУ "СПК"</v>
      </c>
      <c r="B4836" s="24" t="s">
        <v>2653</v>
      </c>
      <c r="C4836" s="25">
        <v>542400</v>
      </c>
      <c r="D4836" s="22" t="s">
        <v>7685</v>
      </c>
      <c r="E4836" s="22" t="s">
        <v>362</v>
      </c>
      <c r="F4836" s="23" t="str">
        <f>HYPERLINK("https://www.spark-marketing.ru/Card/Lot/73132649", "Оказание услуг по организации питания")</f>
        <v>Оказание услуг по организации питания</v>
      </c>
      <c r="G4836" s="22" t="s">
        <v>543</v>
      </c>
      <c r="H4836" s="22" t="s">
        <v>543</v>
      </c>
      <c r="I4836" s="26">
        <v>43707</v>
      </c>
      <c r="J4836" s="28" t="s">
        <v>51</v>
      </c>
      <c r="K4836" s="28" t="s">
        <v>51</v>
      </c>
      <c r="L4836" s="22" t="s">
        <v>10</v>
      </c>
      <c r="M4836" s="25">
        <v>542400</v>
      </c>
      <c r="N4836" s="27">
        <v>0</v>
      </c>
    </row>
    <row r="4837" spans="1:14" x14ac:dyDescent="0.15">
      <c r="A4837" s="23" t="str">
        <f>HYPERLINK("https://www.spark-marketing.ru/Card/Person/1759339", "МАОУ ""СОШ №4"" ГОРОДСКОГО ОКРУГА Г. СТЕРЛИТАМАК РБ")</f>
        <v>МАОУ "СОШ №4" ГОРОДСКОГО ОКРУГА Г. СТЕРЛИТАМАК РБ</v>
      </c>
      <c r="B4837" s="24" t="s">
        <v>7686</v>
      </c>
      <c r="C4837" s="25">
        <v>210450</v>
      </c>
      <c r="D4837" s="22" t="s">
        <v>7687</v>
      </c>
      <c r="E4837" s="22" t="s">
        <v>362</v>
      </c>
      <c r="F4837" s="23" t="str">
        <f>HYPERLINK("https://www.spark-marketing.ru/Card/Lot/73147035", "Оказание услуг по организации питания обучающихся из многодетных малообеспеченных семей")</f>
        <v>Оказание услуг по организации питания обучающихся из многодетных малообеспеченных семей</v>
      </c>
      <c r="G4837" s="22" t="s">
        <v>145</v>
      </c>
      <c r="H4837" s="22" t="s">
        <v>145</v>
      </c>
      <c r="I4837" s="26">
        <v>43707</v>
      </c>
      <c r="J4837" s="28" t="s">
        <v>51</v>
      </c>
      <c r="K4837" s="28" t="s">
        <v>51</v>
      </c>
      <c r="L4837" s="28" t="s">
        <v>51</v>
      </c>
      <c r="M4837" s="28" t="s">
        <v>51</v>
      </c>
      <c r="N4837" s="28" t="s">
        <v>51</v>
      </c>
    </row>
    <row r="4838" spans="1:14" x14ac:dyDescent="0.15">
      <c r="A4838" s="23" t="str">
        <f>HYPERLINK("https://www.spark-marketing.ru/Card/Person/349964", "ГАУ ""ЦСН АМУРСКОЙ ОБЛАСТИ""")</f>
        <v>ГАУ "ЦСН АМУРСКОЙ ОБЛАСТИ"</v>
      </c>
      <c r="B4838" s="24" t="s">
        <v>7688</v>
      </c>
      <c r="C4838" s="25">
        <v>850000</v>
      </c>
      <c r="D4838" s="22" t="s">
        <v>7689</v>
      </c>
      <c r="E4838" s="22" t="s">
        <v>1307</v>
      </c>
      <c r="F4838" s="23" t="str">
        <f>HYPERLINK("https://www.spark-marketing.ru/Card/Lot/73132838", "Оказание услуг по приобретению 30 авиабилетов эконом класса для представителей общественных организаций и иностранных экспертов по маршруту Москва - Благовещенск - Москва, с вылетом из Москвы 24.09.2019 (вторая половина дня) и вылетом из Благовещенск...")</f>
        <v>Оказание услуг по приобретению 30 авиабилетов эконом класса для представителей общественных организаций и иностранных экспертов по маршруту Москва - Благовещенск - Москва, с вылетом из Москвы 24.09.2019 (вторая половина дня) и вылетом из Благовещенск...</v>
      </c>
      <c r="G4838" s="22" t="s">
        <v>210</v>
      </c>
      <c r="H4838" s="22" t="s">
        <v>210</v>
      </c>
      <c r="I4838" s="26">
        <v>43707</v>
      </c>
      <c r="J4838" s="28" t="s">
        <v>51</v>
      </c>
      <c r="K4838" s="28" t="s">
        <v>51</v>
      </c>
      <c r="L4838" s="28" t="s">
        <v>51</v>
      </c>
      <c r="M4838" s="28" t="s">
        <v>51</v>
      </c>
      <c r="N4838" s="28" t="s">
        <v>51</v>
      </c>
    </row>
    <row r="4839" spans="1:14" x14ac:dyDescent="0.15">
      <c r="A4839" s="23" t="str">
        <f>HYPERLINK("https://www.spark-marketing.ru/Card/Person/1137233", "МАОУ ""СОШ № 39""")</f>
        <v>МАОУ "СОШ № 39"</v>
      </c>
      <c r="B4839" s="24" t="s">
        <v>7690</v>
      </c>
      <c r="C4839" s="25">
        <v>700000</v>
      </c>
      <c r="D4839" s="22" t="s">
        <v>7691</v>
      </c>
      <c r="E4839" s="22" t="s">
        <v>362</v>
      </c>
      <c r="F4839" s="23" t="str">
        <f>HYPERLINK("https://www.spark-marketing.ru/Card/Lot/73143992", "Оказание услуг по организации питания в столовой МАОУ ""СОШ №39""")</f>
        <v>Оказание услуг по организации питания в столовой МАОУ "СОШ №39"</v>
      </c>
      <c r="G4839" s="22" t="s">
        <v>663</v>
      </c>
      <c r="H4839" s="22" t="s">
        <v>663</v>
      </c>
      <c r="I4839" s="26">
        <v>43707</v>
      </c>
      <c r="J4839" s="28" t="s">
        <v>51</v>
      </c>
      <c r="K4839" s="28" t="s">
        <v>51</v>
      </c>
      <c r="L4839" s="28" t="s">
        <v>51</v>
      </c>
      <c r="M4839" s="28" t="s">
        <v>51</v>
      </c>
      <c r="N4839" s="28" t="s">
        <v>51</v>
      </c>
    </row>
    <row r="4840" spans="1:14" x14ac:dyDescent="0.15">
      <c r="A4840" s="23" t="str">
        <f>HYPERLINK("https://www.spark-marketing.ru/Card/Person/947865", "МАОУ ГИМНАЗИЯ № 4 Г. КАНСКА")</f>
        <v>МАОУ ГИМНАЗИЯ № 4 Г. КАНСКА</v>
      </c>
      <c r="B4840" s="24" t="s">
        <v>7692</v>
      </c>
      <c r="C4840" s="25">
        <v>477837.6</v>
      </c>
      <c r="D4840" s="22" t="s">
        <v>7693</v>
      </c>
      <c r="E4840" s="22" t="s">
        <v>362</v>
      </c>
      <c r="F4840" s="23" t="str">
        <f>HYPERLINK("https://www.spark-marketing.ru/Card/Lot/73132945", "Услуги поп организации горячего питания детей")</f>
        <v>Услуги поп организации горячего питания детей</v>
      </c>
      <c r="G4840" s="22" t="s">
        <v>281</v>
      </c>
      <c r="H4840" s="22" t="s">
        <v>281</v>
      </c>
      <c r="I4840" s="26">
        <v>43707</v>
      </c>
      <c r="J4840" s="28" t="s">
        <v>51</v>
      </c>
      <c r="K4840" s="28" t="s">
        <v>51</v>
      </c>
      <c r="L4840" s="28" t="s">
        <v>51</v>
      </c>
      <c r="M4840" s="28" t="s">
        <v>51</v>
      </c>
      <c r="N4840" s="28" t="s">
        <v>51</v>
      </c>
    </row>
    <row r="4841" spans="1:14" x14ac:dyDescent="0.15">
      <c r="A4841" s="23" t="str">
        <f>HYPERLINK("https://www.spark-marketing.ru/Card/Person/13450", "МАОУ ""ЮГОВСКАЯ СРЕДНЯЯ ШКОЛА""")</f>
        <v>МАОУ "ЮГОВСКАЯ СРЕДНЯЯ ШКОЛА"</v>
      </c>
      <c r="B4841" s="24" t="s">
        <v>7694</v>
      </c>
      <c r="C4841" s="25">
        <v>1100081.32</v>
      </c>
      <c r="D4841" s="22" t="s">
        <v>7695</v>
      </c>
      <c r="E4841" s="22" t="s">
        <v>362</v>
      </c>
      <c r="F4841" s="23" t="str">
        <f>HYPERLINK("https://www.spark-marketing.ru/Card/Lot/73138293", "Оказание услуг по обеспечению горячим питанием льготных категорий обучающихся")</f>
        <v>Оказание услуг по обеспечению горячим питанием льготных категорий обучающихся</v>
      </c>
      <c r="G4841" s="22" t="s">
        <v>153</v>
      </c>
      <c r="H4841" s="22" t="s">
        <v>153</v>
      </c>
      <c r="I4841" s="26">
        <v>43707</v>
      </c>
      <c r="J4841" s="28" t="s">
        <v>51</v>
      </c>
      <c r="K4841" s="28" t="s">
        <v>51</v>
      </c>
      <c r="L4841" s="28" t="s">
        <v>51</v>
      </c>
      <c r="M4841" s="28" t="s">
        <v>51</v>
      </c>
      <c r="N4841" s="28" t="s">
        <v>51</v>
      </c>
    </row>
    <row r="4842" spans="1:14" x14ac:dyDescent="0.15">
      <c r="A4842" s="23" t="str">
        <f>HYPERLINK("https://www.spark-marketing.ru/Card/Person/1240507", "КОГПОАУ КПИАС")</f>
        <v>КОГПОАУ КПИАС</v>
      </c>
      <c r="B4842" s="24" t="s">
        <v>7696</v>
      </c>
      <c r="C4842" s="25">
        <v>400369.5</v>
      </c>
      <c r="D4842" s="22" t="s">
        <v>7697</v>
      </c>
      <c r="E4842" s="22" t="s">
        <v>362</v>
      </c>
      <c r="F4842" s="23" t="str">
        <f>HYPERLINK("https://www.spark-marketing.ru/Card/Lot/73147401", "Оказание услуг по организации горячего питания обучающихся (сентябрь-декабрь 2019 г.)")</f>
        <v>Оказание услуг по организации горячего питания обучающихся (сентябрь-декабрь 2019 г.)</v>
      </c>
      <c r="G4842" s="22" t="s">
        <v>224</v>
      </c>
      <c r="H4842" s="22" t="s">
        <v>224</v>
      </c>
      <c r="I4842" s="26">
        <v>43707</v>
      </c>
      <c r="J4842" s="28" t="s">
        <v>51</v>
      </c>
      <c r="K4842" s="28" t="s">
        <v>51</v>
      </c>
      <c r="L4842" s="28" t="s">
        <v>51</v>
      </c>
      <c r="M4842" s="28" t="s">
        <v>51</v>
      </c>
      <c r="N4842" s="28" t="s">
        <v>51</v>
      </c>
    </row>
    <row r="4843" spans="1:14" x14ac:dyDescent="0.15">
      <c r="A4843" s="23" t="str">
        <f>HYPERLINK("https://www.spark-marketing.ru/Card/Person/1758591", "МАОУ ""СОШ №33"" Г. СТЕРЛИТАМАК РБ")</f>
        <v>МАОУ "СОШ №33" Г. СТЕРЛИТАМАК РБ</v>
      </c>
      <c r="B4843" s="24" t="s">
        <v>7698</v>
      </c>
      <c r="C4843" s="25">
        <v>247050</v>
      </c>
      <c r="D4843" s="22" t="s">
        <v>7699</v>
      </c>
      <c r="E4843" s="22" t="s">
        <v>362</v>
      </c>
      <c r="F4843" s="23" t="str">
        <f>HYPERLINK("https://www.spark-marketing.ru/Card/Lot/73155267", "Оказание услуг по организации питания обучающихся из многодетных малообеспеченных семей")</f>
        <v>Оказание услуг по организации питания обучающихся из многодетных малообеспеченных семей</v>
      </c>
      <c r="G4843" s="22" t="s">
        <v>145</v>
      </c>
      <c r="H4843" s="22" t="s">
        <v>145</v>
      </c>
      <c r="I4843" s="26">
        <v>43707</v>
      </c>
      <c r="J4843" s="28" t="s">
        <v>51</v>
      </c>
      <c r="K4843" s="28" t="s">
        <v>51</v>
      </c>
      <c r="L4843" s="28" t="s">
        <v>51</v>
      </c>
      <c r="M4843" s="28" t="s">
        <v>51</v>
      </c>
      <c r="N4843" s="28" t="s">
        <v>51</v>
      </c>
    </row>
    <row r="4844" spans="1:14" x14ac:dyDescent="0.15">
      <c r="A4844" s="23" t="str">
        <f>HYPERLINK("https://www.spark-marketing.ru/Card/Person/1324577", "МАОУ СОШ № 13")</f>
        <v>МАОУ СОШ № 13</v>
      </c>
      <c r="B4844" s="24" t="s">
        <v>7700</v>
      </c>
      <c r="C4844" s="25">
        <v>245216</v>
      </c>
      <c r="D4844" s="22" t="s">
        <v>7701</v>
      </c>
      <c r="E4844" s="22" t="s">
        <v>362</v>
      </c>
      <c r="F4844" s="23" t="str">
        <f>HYPERLINK("https://www.spark-marketing.ru/Card/Lot/73155260", "Оказание услуг по организации питания")</f>
        <v>Оказание услуг по организации питания</v>
      </c>
      <c r="G4844" s="22" t="s">
        <v>351</v>
      </c>
      <c r="H4844" s="22" t="s">
        <v>351</v>
      </c>
      <c r="I4844" s="26">
        <v>43707</v>
      </c>
      <c r="J4844" s="28" t="s">
        <v>51</v>
      </c>
      <c r="K4844" s="28" t="s">
        <v>51</v>
      </c>
      <c r="L4844" s="28" t="s">
        <v>51</v>
      </c>
      <c r="M4844" s="28" t="s">
        <v>51</v>
      </c>
      <c r="N4844" s="28" t="s">
        <v>51</v>
      </c>
    </row>
    <row r="4845" spans="1:14" x14ac:dyDescent="0.15">
      <c r="A4845" s="23" t="str">
        <f>HYPERLINK("https://www.spark-marketing.ru/Card/Person/741758", "МАОУ ""БЛИ №3""ГОРОДСКОГО ОКРУГА Г. СТЕРЛИТАМАК РБ")</f>
        <v>МАОУ "БЛИ №3"ГОРОДСКОГО ОКРУГА Г. СТЕРЛИТАМАК РБ</v>
      </c>
      <c r="B4845" s="24" t="s">
        <v>7654</v>
      </c>
      <c r="C4845" s="25">
        <v>760200</v>
      </c>
      <c r="D4845" s="22" t="s">
        <v>7702</v>
      </c>
      <c r="E4845" s="22" t="s">
        <v>362</v>
      </c>
      <c r="F4845" s="23" t="str">
        <f>HYPERLINK("https://www.spark-marketing.ru/Card/Lot/73148122", "оказание услуг по организации питания воспитанников из многодетных малообеспеченных семей")</f>
        <v>оказание услуг по организации питания воспитанников из многодетных малообеспеченных семей</v>
      </c>
      <c r="G4845" s="22" t="s">
        <v>145</v>
      </c>
      <c r="H4845" s="22" t="s">
        <v>145</v>
      </c>
      <c r="I4845" s="26">
        <v>43707</v>
      </c>
      <c r="J4845" s="28" t="s">
        <v>51</v>
      </c>
      <c r="K4845" s="28" t="s">
        <v>51</v>
      </c>
      <c r="L4845" s="28" t="s">
        <v>51</v>
      </c>
      <c r="M4845" s="28" t="s">
        <v>51</v>
      </c>
      <c r="N4845" s="28" t="s">
        <v>51</v>
      </c>
    </row>
    <row r="4846" spans="1:14" x14ac:dyDescent="0.15">
      <c r="A4846" s="23" t="str">
        <f>HYPERLINK("https://www.spark-marketing.ru/Card/Person/1084328", "МАОУ ООШ №15")</f>
        <v>МАОУ ООШ №15</v>
      </c>
      <c r="B4846" s="24" t="s">
        <v>7703</v>
      </c>
      <c r="C4846" s="25">
        <v>1379201.6</v>
      </c>
      <c r="D4846" s="22" t="s">
        <v>7704</v>
      </c>
      <c r="E4846" s="22" t="s">
        <v>362</v>
      </c>
      <c r="F4846" s="23" t="str">
        <f>HYPERLINK("https://www.spark-marketing.ru/Card/Lot/73148415", "Оказание услуг по организации питания")</f>
        <v>Оказание услуг по организации питания</v>
      </c>
      <c r="G4846" s="22" t="s">
        <v>400</v>
      </c>
      <c r="H4846" s="22" t="s">
        <v>400</v>
      </c>
      <c r="I4846" s="26">
        <v>43707</v>
      </c>
      <c r="J4846" s="28" t="s">
        <v>51</v>
      </c>
      <c r="K4846" s="28" t="s">
        <v>51</v>
      </c>
      <c r="L4846" s="28" t="s">
        <v>51</v>
      </c>
      <c r="M4846" s="28" t="s">
        <v>51</v>
      </c>
      <c r="N4846" s="28" t="s">
        <v>51</v>
      </c>
    </row>
    <row r="4847" spans="1:14" x14ac:dyDescent="0.15">
      <c r="A4847" s="23" t="str">
        <f>HYPERLINK("https://www.spark-marketing.ru/Card/Person/13450", "МАОУ ""ЮГОВСКАЯ СРЕДНЯЯ ШКОЛА""")</f>
        <v>МАОУ "ЮГОВСКАЯ СРЕДНЯЯ ШКОЛА"</v>
      </c>
      <c r="B4847" s="24" t="s">
        <v>7694</v>
      </c>
      <c r="C4847" s="25">
        <v>1846536.96</v>
      </c>
      <c r="D4847" s="22" t="s">
        <v>7705</v>
      </c>
      <c r="E4847" s="22" t="s">
        <v>362</v>
      </c>
      <c r="F4847" s="23" t="str">
        <f>HYPERLINK("https://www.spark-marketing.ru/Card/Lot/73138300", "Оказание услуг по обеспечению горячим питанием воспитанников")</f>
        <v>Оказание услуг по обеспечению горячим питанием воспитанников</v>
      </c>
      <c r="G4847" s="22" t="s">
        <v>153</v>
      </c>
      <c r="H4847" s="22" t="s">
        <v>153</v>
      </c>
      <c r="I4847" s="26">
        <v>43707</v>
      </c>
      <c r="J4847" s="28" t="s">
        <v>51</v>
      </c>
      <c r="K4847" s="28" t="s">
        <v>51</v>
      </c>
      <c r="L4847" s="28" t="s">
        <v>51</v>
      </c>
      <c r="M4847" s="28" t="s">
        <v>51</v>
      </c>
      <c r="N4847" s="28" t="s">
        <v>51</v>
      </c>
    </row>
    <row r="4848" spans="1:14" x14ac:dyDescent="0.2">
      <c r="A4848" s="23" t="str">
        <f>HYPERLINK("https://www.spark-marketing.ru/Card/Person/1064033", "МДОУ Д/С № 104")</f>
        <v>МДОУ Д/С № 104</v>
      </c>
      <c r="B4848" s="24" t="s">
        <v>2630</v>
      </c>
      <c r="C4848" s="25">
        <v>398727.12</v>
      </c>
      <c r="D4848" s="22" t="s">
        <v>7706</v>
      </c>
      <c r="E4848" s="22" t="s">
        <v>362</v>
      </c>
      <c r="F4848" s="23" t="str">
        <f>HYPERLINK("https://www.spark-marketing.ru/Card/Lot/73138011", "оказание услуг по организации питания детей")</f>
        <v>оказание услуг по организации питания детей</v>
      </c>
      <c r="G4848" s="22" t="s">
        <v>158</v>
      </c>
      <c r="H4848" s="22" t="s">
        <v>158</v>
      </c>
      <c r="I4848" s="26">
        <v>43707</v>
      </c>
      <c r="J4848" s="28" t="s">
        <v>51</v>
      </c>
      <c r="K4848" s="28" t="s">
        <v>51</v>
      </c>
      <c r="L4848" s="22" t="s">
        <v>10</v>
      </c>
      <c r="M4848" s="25">
        <v>398727.12</v>
      </c>
      <c r="N4848" s="27">
        <v>0</v>
      </c>
    </row>
    <row r="4849" spans="1:14" x14ac:dyDescent="0.15">
      <c r="A4849" s="23" t="str">
        <f>HYPERLINK("https://www.spark-marketing.ru/Card/Person/292503", "ВОЛГУ, ФГАОУ ВО ""ВОЛГОГРАДСКИЙ ГОСУДАРСТВЕННЫЙ УНИВЕРСИТЕТ"", ВОЛГОГРАДСКИЙ ГОСУДАРСТВЕННЫЙ УНИВЕРСИТЕТ, ФГАОУ ВО ВОЛГУ")</f>
        <v>ВОЛГУ, ФГАОУ ВО "ВОЛГОГРАДСКИЙ ГОСУДАРСТВЕННЫЙ УНИВЕРСИТЕТ", ВОЛГОГРАДСКИЙ ГОСУДАРСТВЕННЫЙ УНИВЕРСИТЕТ, ФГАОУ ВО ВОЛГУ</v>
      </c>
      <c r="B4849" s="24" t="s">
        <v>1082</v>
      </c>
      <c r="C4849" s="25">
        <v>129600</v>
      </c>
      <c r="D4849" s="22" t="s">
        <v>7707</v>
      </c>
      <c r="E4849" s="22" t="s">
        <v>1079</v>
      </c>
      <c r="F4849" s="23" t="str">
        <f>HYPERLINK("https://www.spark-marketing.ru/Card/Lot/73124023", "Оказание услуг по организации проживания и питания участников выездного обучающего семинара студенческого актива института математики и информационных технологий и института естественных наук ВолГУ")</f>
        <v>Оказание услуг по организации проживания и питания участников выездного обучающего семинара студенческого актива института математики и информационных технологий и института естественных наук ВолГУ</v>
      </c>
      <c r="G4849" s="22" t="s">
        <v>158</v>
      </c>
      <c r="H4849" s="22" t="s">
        <v>158</v>
      </c>
      <c r="I4849" s="26">
        <v>43706</v>
      </c>
      <c r="J4849" s="28" t="s">
        <v>51</v>
      </c>
      <c r="K4849" s="28" t="s">
        <v>51</v>
      </c>
      <c r="L4849" s="28" t="s">
        <v>51</v>
      </c>
      <c r="M4849" s="28" t="s">
        <v>51</v>
      </c>
      <c r="N4849" s="28" t="s">
        <v>51</v>
      </c>
    </row>
    <row r="4850" spans="1:14" x14ac:dyDescent="0.15">
      <c r="A4850" s="23" t="str">
        <f>HYPERLINK("https://www.spark-marketing.ru/Card/Person/1760026", "ЗАО ""ПФК ""КРЫЛЬЯ СОВЕТОВ""")</f>
        <v>ЗАО "ПФК "КРЫЛЬЯ СОВЕТОВ"</v>
      </c>
      <c r="B4850" s="24" t="s">
        <v>2056</v>
      </c>
      <c r="C4850" s="25">
        <v>417400</v>
      </c>
      <c r="D4850" s="22" t="s">
        <v>7708</v>
      </c>
      <c r="E4850" s="22" t="s">
        <v>2661</v>
      </c>
      <c r="F4850" s="23" t="str">
        <f>HYPERLINK("https://www.spark-marketing.ru/Card/Lot/73155765", "Комплекс услуг по организации питания и проживания команды 2005г.р. ЦПФ в рамках участия в Кубке РФС по футболу среди юношеских команд клубов РПЛ сезона 2019")</f>
        <v>Комплекс услуг по организации питания и проживания команды 2005г.р. ЦПФ в рамках участия в Кубке РФС по футболу среди юношеских команд клубов РПЛ сезона 2019</v>
      </c>
      <c r="G4850" s="22" t="s">
        <v>76</v>
      </c>
      <c r="H4850" s="22" t="s">
        <v>76</v>
      </c>
      <c r="I4850" s="26">
        <v>43707</v>
      </c>
      <c r="J4850" s="28" t="s">
        <v>51</v>
      </c>
      <c r="K4850" s="28" t="s">
        <v>51</v>
      </c>
      <c r="L4850" s="28" t="s">
        <v>51</v>
      </c>
      <c r="M4850" s="28" t="s">
        <v>51</v>
      </c>
      <c r="N4850" s="28" t="s">
        <v>51</v>
      </c>
    </row>
    <row r="4851" spans="1:14" x14ac:dyDescent="0.15">
      <c r="A4851" s="23" t="str">
        <f>HYPERLINK("https://www.spark-marketing.ru/Card/Person/1759851", "МАОУ ""СОШ №5"" ГОРОДСКОГО ОКРУГА Г.СТЕРЛИТАМАК РБ")</f>
        <v>МАОУ "СОШ №5" ГОРОДСКОГО ОКРУГА Г.СТЕРЛИТАМАК РБ</v>
      </c>
      <c r="B4851" s="24" t="s">
        <v>7185</v>
      </c>
      <c r="C4851" s="25">
        <v>167750</v>
      </c>
      <c r="D4851" s="22" t="s">
        <v>7709</v>
      </c>
      <c r="E4851" s="22" t="s">
        <v>362</v>
      </c>
      <c r="F4851" s="23" t="str">
        <f>HYPERLINK("https://www.spark-marketing.ru/Card/Lot/73143207", "Оказание услуг по организации питания обучающихся из многодетных малообеспеченных семей")</f>
        <v>Оказание услуг по организации питания обучающихся из многодетных малообеспеченных семей</v>
      </c>
      <c r="G4851" s="22" t="s">
        <v>145</v>
      </c>
      <c r="H4851" s="22" t="s">
        <v>145</v>
      </c>
      <c r="I4851" s="26">
        <v>43707</v>
      </c>
      <c r="J4851" s="28" t="s">
        <v>51</v>
      </c>
      <c r="K4851" s="28" t="s">
        <v>51</v>
      </c>
      <c r="L4851" s="28" t="s">
        <v>51</v>
      </c>
      <c r="M4851" s="28" t="s">
        <v>51</v>
      </c>
      <c r="N4851" s="28" t="s">
        <v>51</v>
      </c>
    </row>
    <row r="4852" spans="1:14" x14ac:dyDescent="0.15">
      <c r="A4852" s="23" t="str">
        <f>HYPERLINK("https://www.spark-marketing.ru/Card/Person/1240507", "КОГПОАУ КПИАС")</f>
        <v>КОГПОАУ КПИАС</v>
      </c>
      <c r="B4852" s="24" t="s">
        <v>7696</v>
      </c>
      <c r="C4852" s="25">
        <v>208495</v>
      </c>
      <c r="D4852" s="22" t="s">
        <v>7710</v>
      </c>
      <c r="E4852" s="22" t="s">
        <v>362</v>
      </c>
      <c r="F4852" s="23" t="str">
        <f>HYPERLINK("https://www.spark-marketing.ru/Card/Lot/73147034", "Оказание услуг по организации горячего питания детей-сирот и детей, оставшихся без попечения родителей (сентябрь-декабрь 2019 г.)")</f>
        <v>Оказание услуг по организации горячего питания детей-сирот и детей, оставшихся без попечения родителей (сентябрь-декабрь 2019 г.)</v>
      </c>
      <c r="G4852" s="22" t="s">
        <v>224</v>
      </c>
      <c r="H4852" s="22" t="s">
        <v>224</v>
      </c>
      <c r="I4852" s="26">
        <v>43707</v>
      </c>
      <c r="J4852" s="28" t="s">
        <v>51</v>
      </c>
      <c r="K4852" s="28" t="s">
        <v>51</v>
      </c>
      <c r="L4852" s="28" t="s">
        <v>51</v>
      </c>
      <c r="M4852" s="28" t="s">
        <v>51</v>
      </c>
      <c r="N4852" s="28" t="s">
        <v>51</v>
      </c>
    </row>
    <row r="4853" spans="1:14" x14ac:dyDescent="0.2">
      <c r="A4853" s="23" t="str">
        <f>HYPERLINK("https://www.spark-marketing.ru/Card/Person/704721", "ГОАПОУ ""ЛКТИДХ""")</f>
        <v>ГОАПОУ "ЛКТИДХ"</v>
      </c>
      <c r="B4853" s="24" t="s">
        <v>7711</v>
      </c>
      <c r="C4853" s="25">
        <v>1119280</v>
      </c>
      <c r="D4853" s="22" t="s">
        <v>7712</v>
      </c>
      <c r="E4853" s="22" t="s">
        <v>362</v>
      </c>
      <c r="F4853" s="23" t="str">
        <f>HYPERLINK("https://www.spark-marketing.ru/Card/Lot/73157331", "Услуги по обеспечению одноразовым горячим питанием студентов")</f>
        <v>Услуги по обеспечению одноразовым горячим питанием студентов</v>
      </c>
      <c r="G4853" s="22" t="s">
        <v>101</v>
      </c>
      <c r="H4853" s="22" t="s">
        <v>101</v>
      </c>
      <c r="I4853" s="26">
        <v>43707</v>
      </c>
      <c r="J4853" s="28" t="s">
        <v>51</v>
      </c>
      <c r="K4853" s="28" t="s">
        <v>51</v>
      </c>
      <c r="L4853" s="28" t="s">
        <v>51</v>
      </c>
      <c r="M4853" s="25">
        <v>1119280</v>
      </c>
      <c r="N4853" s="27">
        <v>0</v>
      </c>
    </row>
    <row r="4854" spans="1:14" x14ac:dyDescent="0.2">
      <c r="A4854" s="23" t="str">
        <f>HYPERLINK("https://www.spark-marketing.ru/Card/Person/5912104", "МП Г.КРАСНОЯРСКА ""ШКОЛЬНЫЙ КОМБИНАТ ПИТАНИЯ""")</f>
        <v>МП Г.КРАСНОЯРСКА "ШКОЛЬНЫЙ КОМБИНАТ ПИТАНИЯ"</v>
      </c>
      <c r="B4854" s="24" t="s">
        <v>7713</v>
      </c>
      <c r="C4854" s="25">
        <v>2356959.89</v>
      </c>
      <c r="D4854" s="22" t="s">
        <v>7714</v>
      </c>
      <c r="E4854" s="22" t="s">
        <v>2960</v>
      </c>
      <c r="F4854" s="23" t="str">
        <f>HYPERLINK("https://www.spark-marketing.ru/Card/Lot/73149674", "автоматизация расчётов Заказчика с Физическими лицами в школьных столовых общеобразовательных учреждений")</f>
        <v>автоматизация расчётов Заказчика с Физическими лицами в школьных столовых общеобразовательных учреждений</v>
      </c>
      <c r="G4854" s="22" t="s">
        <v>281</v>
      </c>
      <c r="H4854" s="22" t="s">
        <v>281</v>
      </c>
      <c r="I4854" s="26">
        <v>43707</v>
      </c>
      <c r="J4854" s="28" t="s">
        <v>51</v>
      </c>
      <c r="K4854" s="28" t="s">
        <v>51</v>
      </c>
      <c r="L4854" s="22" t="s">
        <v>10</v>
      </c>
      <c r="M4854" s="25">
        <v>2356959.89</v>
      </c>
      <c r="N4854" s="27">
        <v>0</v>
      </c>
    </row>
    <row r="4855" spans="1:14" x14ac:dyDescent="0.15">
      <c r="A4855" s="23" t="str">
        <f>HYPERLINK("https://www.spark-marketing.ru/Card/Person/1324581", "МАОУ СОШ № 28")</f>
        <v>МАОУ СОШ № 28</v>
      </c>
      <c r="B4855" s="24" t="s">
        <v>7715</v>
      </c>
      <c r="C4855" s="25">
        <v>417120</v>
      </c>
      <c r="D4855" s="22" t="s">
        <v>7716</v>
      </c>
      <c r="E4855" s="22" t="s">
        <v>1593</v>
      </c>
      <c r="F4855" s="23" t="str">
        <f>HYPERLINK("https://www.spark-marketing.ru/Card/Lot/73155764", "Оказание услуг по организации питания")</f>
        <v>Оказание услуг по организации питания</v>
      </c>
      <c r="G4855" s="22" t="s">
        <v>351</v>
      </c>
      <c r="H4855" s="22" t="s">
        <v>351</v>
      </c>
      <c r="I4855" s="26">
        <v>43707</v>
      </c>
      <c r="J4855" s="28" t="s">
        <v>51</v>
      </c>
      <c r="K4855" s="28" t="s">
        <v>51</v>
      </c>
      <c r="L4855" s="28" t="s">
        <v>51</v>
      </c>
      <c r="M4855" s="28" t="s">
        <v>51</v>
      </c>
      <c r="N4855" s="28" t="s">
        <v>51</v>
      </c>
    </row>
    <row r="4856" spans="1:14" x14ac:dyDescent="0.2">
      <c r="A4856" s="23" t="str">
        <f>HYPERLINK("https://www.spark-marketing.ru/Card/Person/66234", "ОГБУСО ""УСТЬ-ИЛИМСКИЙ ДОМ-ИНТЕРНАТ ДЛЯ ПРЕСТАРЕЛЫХ И ИНВАЛИДОВ ""ЛИДЕР""")</f>
        <v>ОГБУСО "УСТЬ-ИЛИМСКИЙ ДОМ-ИНТЕРНАТ ДЛЯ ПРЕСТАРЕЛЫХ И ИНВАЛИДОВ "ЛИДЕР"</v>
      </c>
      <c r="B4856" s="24" t="s">
        <v>931</v>
      </c>
      <c r="C4856" s="25">
        <v>1992976.05</v>
      </c>
      <c r="D4856" s="22" t="s">
        <v>7717</v>
      </c>
      <c r="E4856" s="22" t="s">
        <v>362</v>
      </c>
      <c r="F4856" s="23" t="str">
        <f>HYPERLINK("https://www.spark-marketing.ru/Card/Lot/73149648", "Оказание услуг по обеспечению питанием")</f>
        <v>Оказание услуг по обеспечению питанием</v>
      </c>
      <c r="G4856" s="22" t="s">
        <v>263</v>
      </c>
      <c r="H4856" s="22" t="s">
        <v>263</v>
      </c>
      <c r="I4856" s="26">
        <v>43707</v>
      </c>
      <c r="J4856" s="28" t="s">
        <v>51</v>
      </c>
      <c r="K4856" s="28" t="s">
        <v>51</v>
      </c>
      <c r="L4856" s="22" t="s">
        <v>10</v>
      </c>
      <c r="M4856" s="25">
        <v>1992976.05</v>
      </c>
      <c r="N4856" s="27">
        <v>0</v>
      </c>
    </row>
    <row r="4857" spans="1:14" x14ac:dyDescent="0.15">
      <c r="A4857" s="23" t="str">
        <f>HYPERLINK("https://www.spark-marketing.ru/Card/Person/4392817", "МАОУ ДЛЯ ОБУЧАЮЩИХСЯ С ОВЗ СОШ-ИНТЕРНАТ № 6 Г.ЯЛУТОРОВСКА")</f>
        <v>МАОУ ДЛЯ ОБУЧАЮЩИХСЯ С ОВЗ СОШ-ИНТЕРНАТ № 6 Г.ЯЛУТОРОВСКА</v>
      </c>
      <c r="B4857" s="24" t="s">
        <v>2620</v>
      </c>
      <c r="C4857" s="25">
        <v>900000</v>
      </c>
      <c r="D4857" s="22" t="s">
        <v>7718</v>
      </c>
      <c r="E4857" s="22" t="s">
        <v>362</v>
      </c>
      <c r="F4857" s="23" t="str">
        <f>HYPERLINK("https://www.spark-marketing.ru/Card/Lot/73157374", "Услуги по организации питания")</f>
        <v>Услуги по организации питания</v>
      </c>
      <c r="G4857" s="22" t="s">
        <v>766</v>
      </c>
      <c r="H4857" s="22" t="s">
        <v>766</v>
      </c>
      <c r="I4857" s="26">
        <v>43707</v>
      </c>
      <c r="J4857" s="28" t="s">
        <v>51</v>
      </c>
      <c r="K4857" s="28" t="s">
        <v>51</v>
      </c>
      <c r="L4857" s="28" t="s">
        <v>51</v>
      </c>
      <c r="M4857" s="28" t="s">
        <v>51</v>
      </c>
      <c r="N4857" s="28" t="s">
        <v>51</v>
      </c>
    </row>
    <row r="4858" spans="1:14" x14ac:dyDescent="0.15">
      <c r="A4858" s="23" t="str">
        <f>HYPERLINK("https://www.spark-marketing.ru/Card/Person/1759785", "МАОУ ""СОШ № 1"" Г. СТЕРЛИТАМАК РБ")</f>
        <v>МАОУ "СОШ № 1" Г. СТЕРЛИТАМАК РБ</v>
      </c>
      <c r="B4858" s="24" t="s">
        <v>7719</v>
      </c>
      <c r="C4858" s="25">
        <v>242352</v>
      </c>
      <c r="D4858" s="22" t="s">
        <v>7720</v>
      </c>
      <c r="E4858" s="22" t="s">
        <v>362</v>
      </c>
      <c r="F4858" s="23" t="str">
        <f>HYPERLINK("https://www.spark-marketing.ru/Card/Lot/73147112", "Оказание услуг по организации питания обучающихся с ограниченными возможностями здоровья")</f>
        <v>Оказание услуг по организации питания обучающихся с ограниченными возможностями здоровья</v>
      </c>
      <c r="G4858" s="22" t="s">
        <v>145</v>
      </c>
      <c r="H4858" s="22" t="s">
        <v>145</v>
      </c>
      <c r="I4858" s="26">
        <v>43707</v>
      </c>
      <c r="J4858" s="28" t="s">
        <v>51</v>
      </c>
      <c r="K4858" s="28" t="s">
        <v>51</v>
      </c>
      <c r="L4858" s="28" t="s">
        <v>51</v>
      </c>
      <c r="M4858" s="28" t="s">
        <v>51</v>
      </c>
      <c r="N4858" s="28" t="s">
        <v>51</v>
      </c>
    </row>
    <row r="4859" spans="1:14" x14ac:dyDescent="0.15">
      <c r="A4859" s="23" t="str">
        <f>HYPERLINK("https://www.spark-marketing.ru/Card/Person/1324513", "МАОУ СОШ № 27")</f>
        <v>МАОУ СОШ № 27</v>
      </c>
      <c r="B4859" s="24" t="s">
        <v>7721</v>
      </c>
      <c r="C4859" s="25">
        <v>282820</v>
      </c>
      <c r="D4859" s="22" t="s">
        <v>7722</v>
      </c>
      <c r="E4859" s="22" t="s">
        <v>362</v>
      </c>
      <c r="F4859" s="23" t="str">
        <f>HYPERLINK("https://www.spark-marketing.ru/Card/Lot/73159683", "Оказание услуг по организации питания")</f>
        <v>Оказание услуг по организации питания</v>
      </c>
      <c r="G4859" s="22" t="s">
        <v>351</v>
      </c>
      <c r="H4859" s="22" t="s">
        <v>351</v>
      </c>
      <c r="I4859" s="26">
        <v>43707</v>
      </c>
      <c r="J4859" s="28" t="s">
        <v>51</v>
      </c>
      <c r="K4859" s="28" t="s">
        <v>51</v>
      </c>
      <c r="L4859" s="28" t="s">
        <v>51</v>
      </c>
      <c r="M4859" s="28" t="s">
        <v>51</v>
      </c>
      <c r="N4859" s="28" t="s">
        <v>51</v>
      </c>
    </row>
    <row r="4860" spans="1:14" x14ac:dyDescent="0.15">
      <c r="A4860" s="23" t="str">
        <f>HYPERLINK("https://www.spark-marketing.ru/Card/Person/5912049", "ГАУ ТО ""АТИП ТО""")</f>
        <v>ГАУ ТО "АТИП ТО"</v>
      </c>
      <c r="B4860" s="24" t="s">
        <v>7723</v>
      </c>
      <c r="C4860" s="25">
        <v>3100000</v>
      </c>
      <c r="D4860" s="22" t="s">
        <v>7724</v>
      </c>
      <c r="E4860" s="22" t="s">
        <v>7725</v>
      </c>
      <c r="F4860" s="23" t="str">
        <f>HYPERLINK("https://www.spark-marketing.ru/Card/Lot/73118603", "Оказание услуг по организации и проведению обучающих мероприятий для представителей средств размещения и общественного питания Тюменской области (без автономных округов)")</f>
        <v>Оказание услуг по организации и проведению обучающих мероприятий для представителей средств размещения и общественного питания Тюменской области (без автономных округов)</v>
      </c>
      <c r="G4860" s="22" t="s">
        <v>766</v>
      </c>
      <c r="H4860" s="22" t="s">
        <v>1028</v>
      </c>
      <c r="I4860" s="26">
        <v>43706</v>
      </c>
      <c r="J4860" s="28" t="s">
        <v>51</v>
      </c>
      <c r="K4860" s="28" t="s">
        <v>51</v>
      </c>
      <c r="L4860" s="28" t="s">
        <v>51</v>
      </c>
      <c r="M4860" s="28" t="s">
        <v>51</v>
      </c>
      <c r="N4860" s="28" t="s">
        <v>51</v>
      </c>
    </row>
    <row r="4861" spans="1:14" x14ac:dyDescent="0.15">
      <c r="A4861" s="23" t="str">
        <f>HYPERLINK("https://www.spark-marketing.ru/Card/Person/244100", "ГУП ОРЕНБУРГСКОЙ ОБЛАСТИ ""АЭРОПОРТ ОРЕНБУРГ""")</f>
        <v>ГУП ОРЕНБУРГСКОЙ ОБЛАСТИ "АЭРОПОРТ ОРЕНБУРГ"</v>
      </c>
      <c r="B4861" s="24" t="s">
        <v>7726</v>
      </c>
      <c r="C4861" s="25">
        <v>500000</v>
      </c>
      <c r="D4861" s="22" t="s">
        <v>7727</v>
      </c>
      <c r="E4861" s="22" t="s">
        <v>362</v>
      </c>
      <c r="F4861" s="23" t="str">
        <f>HYPERLINK("https://www.spark-marketing.ru/Card/Lot/73137875", "Оказание услуг по обеспечению бортовым питанием пассажиров и экипажей воздушных судов")</f>
        <v>Оказание услуг по обеспечению бортовым питанием пассажиров и экипажей воздушных судов</v>
      </c>
      <c r="G4861" s="22" t="s">
        <v>132</v>
      </c>
      <c r="H4861" s="22" t="s">
        <v>132</v>
      </c>
      <c r="I4861" s="26">
        <v>43707</v>
      </c>
      <c r="J4861" s="28" t="s">
        <v>51</v>
      </c>
      <c r="K4861" s="28" t="s">
        <v>51</v>
      </c>
      <c r="L4861" s="28" t="s">
        <v>51</v>
      </c>
      <c r="M4861" s="28" t="s">
        <v>51</v>
      </c>
      <c r="N4861" s="28" t="s">
        <v>51</v>
      </c>
    </row>
    <row r="4862" spans="1:14" x14ac:dyDescent="0.2">
      <c r="A4862" s="23" t="str">
        <f>HYPERLINK("https://www.spark-marketing.ru/Card/Person/1759525", "МАОУ ""ЛИЦЕЙ № 1"" Г. СТЕРЛИТАМАК РБ")</f>
        <v>МАОУ "ЛИЦЕЙ № 1" Г. СТЕРЛИТАМАК РБ</v>
      </c>
      <c r="B4862" s="24" t="s">
        <v>7728</v>
      </c>
      <c r="C4862" s="25">
        <v>138996</v>
      </c>
      <c r="D4862" s="22" t="s">
        <v>7729</v>
      </c>
      <c r="E4862" s="22" t="s">
        <v>362</v>
      </c>
      <c r="F4862" s="23" t="str">
        <f>HYPERLINK("https://www.spark-marketing.ru/Card/Lot/73154660", "Оказание услуг по организации питания обучающихся с ограниченными возможностями здоровья")</f>
        <v>Оказание услуг по организации питания обучающихся с ограниченными возможностями здоровья</v>
      </c>
      <c r="G4862" s="22" t="s">
        <v>145</v>
      </c>
      <c r="H4862" s="22" t="s">
        <v>145</v>
      </c>
      <c r="I4862" s="26">
        <v>43707</v>
      </c>
      <c r="J4862" s="28" t="s">
        <v>51</v>
      </c>
      <c r="K4862" s="28" t="s">
        <v>51</v>
      </c>
      <c r="L4862" s="28" t="s">
        <v>51</v>
      </c>
      <c r="M4862" s="25">
        <v>138996</v>
      </c>
      <c r="N4862" s="27">
        <v>0</v>
      </c>
    </row>
    <row r="4863" spans="1:14" x14ac:dyDescent="0.2">
      <c r="A4863" s="23" t="str">
        <f>HYPERLINK("https://www.spark-marketing.ru/Card/Person/44377", "НАЦИОНАЛЬНЫЙ ИССЛЕДОВАТЕЛЬСКИЙ УНИВЕРСИТЕТ ""ВЫСШАЯ ШКОЛА ЭКОНОМИКИ"";ВЫСШАЯ ШКОЛА ЭКОНОМИКИ;НИУ ВШЭ;ВШЭ")</f>
        <v>НАЦИОНАЛЬНЫЙ ИССЛЕДОВАТЕЛЬСКИЙ УНИВЕРСИТЕТ "ВЫСШАЯ ШКОЛА ЭКОНОМИКИ";ВЫСШАЯ ШКОЛА ЭКОНОМИКИ;НИУ ВШЭ;ВШЭ</v>
      </c>
      <c r="B4863" s="24" t="s">
        <v>1925</v>
      </c>
      <c r="C4863" s="25">
        <v>22997930.800000001</v>
      </c>
      <c r="D4863" s="22" t="s">
        <v>7730</v>
      </c>
      <c r="E4863" s="22" t="s">
        <v>362</v>
      </c>
      <c r="F4863" s="23" t="str">
        <f>HYPERLINK("https://www.spark-marketing.ru/Card/Lot/73150786", "Оказание услуг по организации питания льготных категорий обучающихся НИУ ВШЭ на 2019-2020 учебный год")</f>
        <v>Оказание услуг по организации питания льготных категорий обучающихся НИУ ВШЭ на 2019-2020 учебный год</v>
      </c>
      <c r="G4863" s="22" t="s">
        <v>56</v>
      </c>
      <c r="H4863" s="22" t="s">
        <v>56</v>
      </c>
      <c r="I4863" s="26">
        <v>43707</v>
      </c>
      <c r="J4863" s="28" t="s">
        <v>51</v>
      </c>
      <c r="K4863" s="28" t="s">
        <v>51</v>
      </c>
      <c r="L4863" s="28" t="s">
        <v>51</v>
      </c>
      <c r="M4863" s="25">
        <v>22997930.800000001</v>
      </c>
      <c r="N4863" s="27">
        <v>0</v>
      </c>
    </row>
    <row r="4864" spans="1:14" x14ac:dyDescent="0.15">
      <c r="A4864" s="23" t="str">
        <f>HYPERLINK("https://www.spark-marketing.ru/Card/Person/1177381", "МАОУ СШ № 2")</f>
        <v>МАОУ СШ № 2</v>
      </c>
      <c r="B4864" s="24" t="s">
        <v>7731</v>
      </c>
      <c r="C4864" s="25">
        <v>470669.58</v>
      </c>
      <c r="D4864" s="22" t="s">
        <v>7732</v>
      </c>
      <c r="E4864" s="22" t="s">
        <v>362</v>
      </c>
      <c r="F4864" s="23" t="str">
        <f>HYPERLINK("https://www.spark-marketing.ru/Card/Lot/73138145", "Оказание услуг по организации питания учащихся с ОВЗ")</f>
        <v>Оказание услуг по организации питания учащихся с ОВЗ</v>
      </c>
      <c r="G4864" s="22" t="s">
        <v>76</v>
      </c>
      <c r="H4864" s="22" t="s">
        <v>76</v>
      </c>
      <c r="I4864" s="26">
        <v>43707</v>
      </c>
      <c r="J4864" s="28" t="s">
        <v>51</v>
      </c>
      <c r="K4864" s="28" t="s">
        <v>51</v>
      </c>
      <c r="L4864" s="28" t="s">
        <v>51</v>
      </c>
      <c r="M4864" s="28" t="s">
        <v>51</v>
      </c>
      <c r="N4864" s="28" t="s">
        <v>51</v>
      </c>
    </row>
    <row r="4865" spans="1:14" x14ac:dyDescent="0.15">
      <c r="A4865" s="23" t="str">
        <f>HYPERLINK("https://www.spark-marketing.ru/Card/Person/741961", "МАОУ ""ГИМНАЗИЯ №2"" Г. СТЕРЛИТАМАК РБ")</f>
        <v>МАОУ "ГИМНАЗИЯ №2" Г. СТЕРЛИТАМАК РБ</v>
      </c>
      <c r="B4865" s="24" t="s">
        <v>7733</v>
      </c>
      <c r="C4865" s="25">
        <v>158600</v>
      </c>
      <c r="D4865" s="22" t="s">
        <v>7734</v>
      </c>
      <c r="E4865" s="22" t="s">
        <v>362</v>
      </c>
      <c r="F4865" s="23" t="str">
        <f>HYPERLINK("https://www.spark-marketing.ru/Card/Lot/73155272", "Оказание услуг по организации питания обучающихся из многодетных малообеспеченных семей")</f>
        <v>Оказание услуг по организации питания обучающихся из многодетных малообеспеченных семей</v>
      </c>
      <c r="G4865" s="22" t="s">
        <v>145</v>
      </c>
      <c r="H4865" s="22" t="s">
        <v>145</v>
      </c>
      <c r="I4865" s="26">
        <v>43707</v>
      </c>
      <c r="J4865" s="28" t="s">
        <v>51</v>
      </c>
      <c r="K4865" s="28" t="s">
        <v>51</v>
      </c>
      <c r="L4865" s="28" t="s">
        <v>51</v>
      </c>
      <c r="M4865" s="28" t="s">
        <v>51</v>
      </c>
      <c r="N4865" s="28" t="s">
        <v>51</v>
      </c>
    </row>
    <row r="4866" spans="1:14" x14ac:dyDescent="0.15">
      <c r="A4866" s="23" t="str">
        <f>HYPERLINK("https://www.spark-marketing.ru/Card/Person/1324583", "МАОУ СОШ №2")</f>
        <v>МАОУ СОШ №2</v>
      </c>
      <c r="B4866" s="24" t="s">
        <v>7735</v>
      </c>
      <c r="C4866" s="25">
        <v>207296</v>
      </c>
      <c r="D4866" s="22" t="s">
        <v>7736</v>
      </c>
      <c r="E4866" s="22" t="s">
        <v>362</v>
      </c>
      <c r="F4866" s="23" t="str">
        <f>HYPERLINK("https://www.spark-marketing.ru/Card/Lot/73155188", "Оказание услуг по организации питания")</f>
        <v>Оказание услуг по организации питания</v>
      </c>
      <c r="G4866" s="22" t="s">
        <v>351</v>
      </c>
      <c r="H4866" s="22" t="s">
        <v>351</v>
      </c>
      <c r="I4866" s="26">
        <v>43707</v>
      </c>
      <c r="J4866" s="28" t="s">
        <v>51</v>
      </c>
      <c r="K4866" s="28" t="s">
        <v>51</v>
      </c>
      <c r="L4866" s="28" t="s">
        <v>51</v>
      </c>
      <c r="M4866" s="28" t="s">
        <v>51</v>
      </c>
      <c r="N4866" s="28" t="s">
        <v>51</v>
      </c>
    </row>
    <row r="4867" spans="1:14" x14ac:dyDescent="0.2">
      <c r="A4867" s="23" t="str">
        <f>HYPERLINK("https://www.spark-marketing.ru/Card/Person/1759525", "МАОУ ""ЛИЦЕЙ № 1"" Г. СТЕРЛИТАМАК РБ")</f>
        <v>МАОУ "ЛИЦЕЙ № 1" Г. СТЕРЛИТАМАК РБ</v>
      </c>
      <c r="B4867" s="24" t="s">
        <v>7728</v>
      </c>
      <c r="C4867" s="25">
        <v>442250</v>
      </c>
      <c r="D4867" s="22" t="s">
        <v>7737</v>
      </c>
      <c r="E4867" s="22" t="s">
        <v>362</v>
      </c>
      <c r="F4867" s="23" t="str">
        <f>HYPERLINK("https://www.spark-marketing.ru/Card/Lot/73155831", "Оказание услуг по организации питания обучающихся из многодетных малообеспеченных семей")</f>
        <v>Оказание услуг по организации питания обучающихся из многодетных малообеспеченных семей</v>
      </c>
      <c r="G4867" s="22" t="s">
        <v>145</v>
      </c>
      <c r="H4867" s="22" t="s">
        <v>145</v>
      </c>
      <c r="I4867" s="26">
        <v>43707</v>
      </c>
      <c r="J4867" s="28" t="s">
        <v>51</v>
      </c>
      <c r="K4867" s="28" t="s">
        <v>51</v>
      </c>
      <c r="L4867" s="28" t="s">
        <v>51</v>
      </c>
      <c r="M4867" s="25">
        <v>442250</v>
      </c>
      <c r="N4867" s="27">
        <v>0</v>
      </c>
    </row>
    <row r="4868" spans="1:14" x14ac:dyDescent="0.2">
      <c r="A4868" s="23" t="str">
        <f>HYPERLINK("https://www.spark-marketing.ru/Card/Person/1079763", "МАОУ ИЛЮШИНСКАЯ СОШ")</f>
        <v>МАОУ ИЛЮШИНСКАЯ СОШ</v>
      </c>
      <c r="B4868" s="24" t="s">
        <v>7738</v>
      </c>
      <c r="C4868" s="25">
        <v>280215.59999999998</v>
      </c>
      <c r="D4868" s="22" t="s">
        <v>7739</v>
      </c>
      <c r="E4868" s="22" t="s">
        <v>362</v>
      </c>
      <c r="F4868" s="23" t="str">
        <f>HYPERLINK("https://www.spark-marketing.ru/Card/Lot/73155532", "Оказание услуг по организации школьного питания обучающихся в МАОУ Илюшинской СОШ")</f>
        <v>Оказание услуг по организации школьного питания обучающихся в МАОУ Илюшинской СОШ</v>
      </c>
      <c r="G4868" s="22" t="s">
        <v>400</v>
      </c>
      <c r="H4868" s="22" t="s">
        <v>400</v>
      </c>
      <c r="I4868" s="26">
        <v>43707</v>
      </c>
      <c r="J4868" s="28" t="s">
        <v>51</v>
      </c>
      <c r="K4868" s="28" t="s">
        <v>51</v>
      </c>
      <c r="L4868" s="28" t="s">
        <v>51</v>
      </c>
      <c r="M4868" s="25">
        <v>280215.59999999998</v>
      </c>
      <c r="N4868" s="27">
        <v>0</v>
      </c>
    </row>
    <row r="4869" spans="1:14" x14ac:dyDescent="0.15">
      <c r="A4869" s="23" t="str">
        <f>HYPERLINK("https://www.spark-marketing.ru/Card/Person/1042631", "МАДОУ ""ДВУРЕЧЕНСКИЙ ДЕТСКИЙ САД ""СЕМИЦВЕТИК""")</f>
        <v>МАДОУ "ДВУРЕЧЕНСКИЙ ДЕТСКИЙ САД "СЕМИЦВЕТИК"</v>
      </c>
      <c r="B4869" s="24" t="s">
        <v>7683</v>
      </c>
      <c r="C4869" s="25">
        <v>3038439.6</v>
      </c>
      <c r="D4869" s="22" t="s">
        <v>7740</v>
      </c>
      <c r="E4869" s="22" t="s">
        <v>362</v>
      </c>
      <c r="F4869" s="23" t="str">
        <f>HYPERLINK("https://www.spark-marketing.ru/Card/Lot/73158778", "Услуга по организации питания воспитанников (корпус по адресу п.Горный ул.Лямина,1)")</f>
        <v>Услуга по организации питания воспитанников (корпус по адресу п.Горный ул.Лямина,1)</v>
      </c>
      <c r="G4869" s="22" t="s">
        <v>153</v>
      </c>
      <c r="H4869" s="22" t="s">
        <v>153</v>
      </c>
      <c r="I4869" s="26">
        <v>43707</v>
      </c>
      <c r="J4869" s="28" t="s">
        <v>51</v>
      </c>
      <c r="K4869" s="28" t="s">
        <v>51</v>
      </c>
      <c r="L4869" s="28" t="s">
        <v>51</v>
      </c>
      <c r="M4869" s="28" t="s">
        <v>51</v>
      </c>
      <c r="N4869" s="28" t="s">
        <v>51</v>
      </c>
    </row>
    <row r="4870" spans="1:14" x14ac:dyDescent="0.15">
      <c r="A4870" s="23" t="str">
        <f>HYPERLINK("https://www.spark-marketing.ru/Card/Person/948025", "МАОУ ""ГИМНАЗИЯ № 1"" Г. КАНСКА")</f>
        <v>МАОУ "ГИМНАЗИЯ № 1" Г. КАНСКА</v>
      </c>
      <c r="B4870" s="24" t="s">
        <v>7741</v>
      </c>
      <c r="C4870" s="25">
        <v>151536</v>
      </c>
      <c r="D4870" s="22" t="s">
        <v>7742</v>
      </c>
      <c r="E4870" s="22" t="s">
        <v>362</v>
      </c>
      <c r="F4870" s="23" t="str">
        <f>HYPERLINK("https://www.spark-marketing.ru/Card/Lot/73131618", "Услуга по организации горячего питания детей")</f>
        <v>Услуга по организации горячего питания детей</v>
      </c>
      <c r="G4870" s="22" t="s">
        <v>281</v>
      </c>
      <c r="H4870" s="22" t="s">
        <v>281</v>
      </c>
      <c r="I4870" s="26">
        <v>43707</v>
      </c>
      <c r="J4870" s="28" t="s">
        <v>51</v>
      </c>
      <c r="K4870" s="28" t="s">
        <v>51</v>
      </c>
      <c r="L4870" s="28" t="s">
        <v>51</v>
      </c>
      <c r="M4870" s="28" t="s">
        <v>51</v>
      </c>
      <c r="N4870" s="28" t="s">
        <v>51</v>
      </c>
    </row>
    <row r="4871" spans="1:14" x14ac:dyDescent="0.2">
      <c r="A4871" s="23" t="str">
        <f>HYPERLINK("https://www.spark-marketing.ru/Card/Person/4864894", "ГАПОУ ПО ПКАС")</f>
        <v>ГАПОУ ПО ПКАС</v>
      </c>
      <c r="B4871" s="24" t="s">
        <v>7743</v>
      </c>
      <c r="C4871" s="25">
        <v>156600</v>
      </c>
      <c r="D4871" s="22" t="s">
        <v>7744</v>
      </c>
      <c r="E4871" s="22" t="s">
        <v>362</v>
      </c>
      <c r="F4871" s="23" t="str">
        <f>HYPERLINK("https://www.spark-marketing.ru/Card/Lot/73139247", "Оказание услуг по организации горячего питания обучающихся в ГАПОУ ПО ПКАС сентябрь 19 года")</f>
        <v>Оказание услуг по организации горячего питания обучающихся в ГАПОУ ПО ПКАС сентябрь 19 года</v>
      </c>
      <c r="G4871" s="22" t="s">
        <v>72</v>
      </c>
      <c r="H4871" s="22" t="s">
        <v>72</v>
      </c>
      <c r="I4871" s="26">
        <v>43707</v>
      </c>
      <c r="J4871" s="28" t="s">
        <v>51</v>
      </c>
      <c r="K4871" s="28" t="s">
        <v>51</v>
      </c>
      <c r="L4871" s="22" t="s">
        <v>10</v>
      </c>
      <c r="M4871" s="25">
        <v>156600</v>
      </c>
      <c r="N4871" s="27">
        <v>0</v>
      </c>
    </row>
    <row r="4872" spans="1:14" x14ac:dyDescent="0.15">
      <c r="A4872" s="23" t="str">
        <f>HYPERLINK("https://www.spark-marketing.ru/Card/Person/1176189", "МАОУ СОШ № 36")</f>
        <v>МАОУ СОШ № 36</v>
      </c>
      <c r="B4872" s="24" t="s">
        <v>7745</v>
      </c>
      <c r="C4872" s="25">
        <v>252000</v>
      </c>
      <c r="D4872" s="22" t="s">
        <v>7746</v>
      </c>
      <c r="E4872" s="22" t="s">
        <v>362</v>
      </c>
      <c r="F4872" s="23" t="str">
        <f>HYPERLINK("https://www.spark-marketing.ru/Card/Lot/73147128", "Оказание услуг по организации горячего питания детей в летнем лагере с дневным пребыванием")</f>
        <v>Оказание услуг по организации горячего питания детей в летнем лагере с дневным пребыванием</v>
      </c>
      <c r="G4872" s="22" t="s">
        <v>400</v>
      </c>
      <c r="H4872" s="22" t="s">
        <v>400</v>
      </c>
      <c r="I4872" s="26">
        <v>43707</v>
      </c>
      <c r="J4872" s="28" t="s">
        <v>51</v>
      </c>
      <c r="K4872" s="28" t="s">
        <v>51</v>
      </c>
      <c r="L4872" s="28" t="s">
        <v>51</v>
      </c>
      <c r="M4872" s="28" t="s">
        <v>51</v>
      </c>
      <c r="N4872" s="28" t="s">
        <v>51</v>
      </c>
    </row>
    <row r="4873" spans="1:14" x14ac:dyDescent="0.2">
      <c r="A4873" s="23" t="str">
        <f>HYPERLINK("https://www.spark-marketing.ru/Card/Person/1197817", "АО ""ИЗДАТЕЛЬСКИЙ ДОМ ""ГУДОК""")</f>
        <v>АО "ИЗДАТЕЛЬСКИЙ ДОМ "ГУДОК"</v>
      </c>
      <c r="B4873" s="24" t="s">
        <v>7747</v>
      </c>
      <c r="C4873" s="25">
        <v>498000</v>
      </c>
      <c r="D4873" s="22" t="s">
        <v>7748</v>
      </c>
      <c r="E4873" s="22" t="s">
        <v>580</v>
      </c>
      <c r="F4873" s="23" t="str">
        <f>HYPERLINK("https://www.spark-marketing.ru/Card/Lot/73157111", "Оказание комплексных услуг по организации питания в рамках проведения транспортно-логистической конференции ""PRO//Движение.Запад""")</f>
        <v>Оказание комплексных услуг по организации питания в рамках проведения транспортно-логистической конференции "PRO//Движение.Запад"</v>
      </c>
      <c r="G4873" s="22" t="s">
        <v>400</v>
      </c>
      <c r="H4873" s="22" t="s">
        <v>400</v>
      </c>
      <c r="I4873" s="26">
        <v>43707</v>
      </c>
      <c r="J4873" s="28" t="s">
        <v>51</v>
      </c>
      <c r="K4873" s="28" t="s">
        <v>51</v>
      </c>
      <c r="L4873" s="28" t="s">
        <v>51</v>
      </c>
      <c r="M4873" s="25">
        <v>439690</v>
      </c>
      <c r="N4873" s="27">
        <v>0.11708835341365462</v>
      </c>
    </row>
    <row r="4874" spans="1:14" x14ac:dyDescent="0.15">
      <c r="A4874" s="23" t="str">
        <f>HYPERLINK("https://www.spark-marketing.ru/Card/Person/1759785", "МАОУ ""СОШ № 1"" Г. СТЕРЛИТАМАК РБ")</f>
        <v>МАОУ "СОШ № 1" Г. СТЕРЛИТАМАК РБ</v>
      </c>
      <c r="B4874" s="24" t="s">
        <v>7719</v>
      </c>
      <c r="C4874" s="25">
        <v>170800</v>
      </c>
      <c r="D4874" s="22" t="s">
        <v>7749</v>
      </c>
      <c r="E4874" s="22" t="s">
        <v>362</v>
      </c>
      <c r="F4874" s="23" t="str">
        <f>HYPERLINK("https://www.spark-marketing.ru/Card/Lot/73137432", "Оказание услуг по организации питания обучающихся из многодетных малообеспеченных семей")</f>
        <v>Оказание услуг по организации питания обучающихся из многодетных малообеспеченных семей</v>
      </c>
      <c r="G4874" s="22" t="s">
        <v>145</v>
      </c>
      <c r="H4874" s="22" t="s">
        <v>145</v>
      </c>
      <c r="I4874" s="26">
        <v>43707</v>
      </c>
      <c r="J4874" s="28" t="s">
        <v>51</v>
      </c>
      <c r="K4874" s="28" t="s">
        <v>51</v>
      </c>
      <c r="L4874" s="28" t="s">
        <v>51</v>
      </c>
      <c r="M4874" s="28" t="s">
        <v>51</v>
      </c>
      <c r="N4874" s="28" t="s">
        <v>51</v>
      </c>
    </row>
    <row r="4875" spans="1:14" x14ac:dyDescent="0.2">
      <c r="A4875" s="23" t="str">
        <f>HYPERLINK("https://www.spark-marketing.ru/Card/Person/51893", "ГБСУ СОМО ЕПНИ")</f>
        <v>ГБСУ СОМО ЕПНИ</v>
      </c>
      <c r="B4875" s="24" t="s">
        <v>7750</v>
      </c>
      <c r="C4875" s="25">
        <v>139353.39000000001</v>
      </c>
      <c r="D4875" s="22" t="s">
        <v>7751</v>
      </c>
      <c r="E4875" s="22" t="s">
        <v>7752</v>
      </c>
      <c r="F4875" s="23" t="str">
        <f>HYPERLINK("https://www.spark-marketing.ru/Card/Lot/73159943", "Поставка подуктов питания для проведения праздничных , спортивных мероприятий для получателей социальных услуг")</f>
        <v>Поставка подуктов питания для проведения праздничных , спортивных мероприятий для получателей социальных услуг</v>
      </c>
      <c r="G4875" s="22" t="s">
        <v>49</v>
      </c>
      <c r="H4875" s="22" t="s">
        <v>49</v>
      </c>
      <c r="I4875" s="26">
        <v>43707</v>
      </c>
      <c r="J4875" s="28" t="s">
        <v>51</v>
      </c>
      <c r="K4875" s="28" t="s">
        <v>51</v>
      </c>
      <c r="L4875" s="22" t="s">
        <v>10</v>
      </c>
      <c r="M4875" s="25">
        <v>137220</v>
      </c>
      <c r="N4875" s="27">
        <v>1.5309207763083482E-2</v>
      </c>
    </row>
    <row r="4876" spans="1:14" x14ac:dyDescent="0.15">
      <c r="A4876" s="23" t="str">
        <f>HYPERLINK("https://www.spark-marketing.ru/Card/Person/1025673", "МБОУ СОШ №1 Г.О. ПУЩИНО")</f>
        <v>МБОУ СОШ №1 Г.О. ПУЩИНО</v>
      </c>
      <c r="B4876" s="24" t="s">
        <v>424</v>
      </c>
      <c r="C4876" s="25">
        <v>596312.5</v>
      </c>
      <c r="D4876" s="22" t="s">
        <v>7753</v>
      </c>
      <c r="E4876" s="22" t="s">
        <v>48</v>
      </c>
      <c r="F4876" s="23" t="str">
        <f>HYPERLINK("https://www.spark-marketing.ru/Card/Lot/73129243", "Оказание услуг по организации горячего питания и буфетного обслуживания учащихся в муниципальном бюджетном общеобразовательном учреждении средней общеобразовательной школе №1 городского округа Пущино Московской области в 2019 году")</f>
        <v>Оказание услуг по организации горячего питания и буфетного обслуживания учащихся в муниципальном бюджетном общеобразовательном учреждении средней общеобразовательной школе №1 городского округа Пущино Московской области в 2019 году</v>
      </c>
      <c r="G4876" s="22" t="s">
        <v>49</v>
      </c>
      <c r="H4876" s="22" t="s">
        <v>426</v>
      </c>
      <c r="I4876" s="26">
        <v>43706.961261574099</v>
      </c>
      <c r="J4876" s="28" t="s">
        <v>51</v>
      </c>
      <c r="K4876" s="28" t="s">
        <v>51</v>
      </c>
      <c r="L4876" s="28" t="s">
        <v>51</v>
      </c>
      <c r="M4876" s="28" t="s">
        <v>51</v>
      </c>
      <c r="N4876" s="28" t="s">
        <v>51</v>
      </c>
    </row>
    <row r="4877" spans="1:14" x14ac:dyDescent="0.15">
      <c r="A4877" s="23" t="str">
        <f>HYPERLINK("https://www.spark-marketing.ru/Card/Person/1010264", "ОМВД РОССИИ ПО КРАСНОЯРСКОМУ РАЙОНУ")</f>
        <v>ОМВД РОССИИ ПО КРАСНОЯРСКОМУ РАЙОНУ</v>
      </c>
      <c r="B4877" s="24" t="s">
        <v>7754</v>
      </c>
      <c r="C4877" s="25">
        <v>194000</v>
      </c>
      <c r="D4877" s="22" t="s">
        <v>7755</v>
      </c>
      <c r="E4877" s="22" t="s">
        <v>48</v>
      </c>
      <c r="F4877" s="23" t="str">
        <f>HYPERLINK("https://www.spark-marketing.ru/Card/Lot/73122738", "Оказание услуг по организации питания (приготовлению и доставке) для ИВС, 970 усл. ед")</f>
        <v>Оказание услуг по организации питания (приготовлению и доставке) для ИВС, 970 усл. ед</v>
      </c>
      <c r="G4877" s="22" t="s">
        <v>141</v>
      </c>
      <c r="H4877" s="22" t="s">
        <v>7756</v>
      </c>
      <c r="I4877" s="26">
        <v>43706.760173611103</v>
      </c>
      <c r="J4877" s="28" t="s">
        <v>51</v>
      </c>
      <c r="K4877" s="28" t="s">
        <v>51</v>
      </c>
      <c r="L4877" s="28" t="s">
        <v>51</v>
      </c>
      <c r="M4877" s="28" t="s">
        <v>51</v>
      </c>
      <c r="N4877" s="28" t="s">
        <v>51</v>
      </c>
    </row>
    <row r="4878" spans="1:14" x14ac:dyDescent="0.15">
      <c r="A4878" s="23" t="str">
        <f>HYPERLINK("https://www.spark-marketing.ru/Card/Person/73976", "ФКУЗ ИРКУТСКИЙ НАУЧНО-ИССЛЕДОВАТЕЛЬСКИЙ ПРОТИВОЧУМНЫЙ ИНСТИТУТ РОСПОТРЕБНАДЗОРА")</f>
        <v>ФКУЗ ИРКУТСКИЙ НАУЧНО-ИССЛЕДОВАТЕЛЬСКИЙ ПРОТИВОЧУМНЫЙ ИНСТИТУТ РОСПОТРЕБНАДЗОРА</v>
      </c>
      <c r="B4878" s="24" t="s">
        <v>7757</v>
      </c>
      <c r="C4878" s="25">
        <v>178360</v>
      </c>
      <c r="D4878" s="22" t="s">
        <v>7758</v>
      </c>
      <c r="E4878" s="22" t="s">
        <v>7759</v>
      </c>
      <c r="F4878" s="23" t="str">
        <f>HYPERLINK("https://www.spark-marketing.ru/Card/Lot/73117827", "Прочая закупка товаров, работ, услуг (Поставка камеры для электрофореза)")</f>
        <v>Прочая закупка товаров, работ, услуг (Поставка камеры для электрофореза)</v>
      </c>
      <c r="G4878" s="22" t="s">
        <v>263</v>
      </c>
      <c r="H4878" s="22" t="s">
        <v>2768</v>
      </c>
      <c r="I4878" s="26">
        <v>43706.738773148201</v>
      </c>
      <c r="J4878" s="23" t="str">
        <f>HYPERLINK("https://www.spark-marketing.ru/Card/Person/45460", "ООО ""СИБЛАБСЕРВИС""")</f>
        <v>ООО "СИБЛАБСЕРВИС"</v>
      </c>
      <c r="K4878" s="24" t="s">
        <v>7760</v>
      </c>
      <c r="L4878" s="22" t="s">
        <v>10</v>
      </c>
      <c r="M4878" s="28" t="s">
        <v>51</v>
      </c>
      <c r="N4878" s="28" t="s">
        <v>51</v>
      </c>
    </row>
    <row r="4879" spans="1:14" x14ac:dyDescent="0.15">
      <c r="A4879" s="23" t="str">
        <f>HYPERLINK("https://www.spark-marketing.ru/Card/Person/1010264", "ОМВД РОССИИ ПО КРАСНОЯРСКОМУ РАЙОНУ")</f>
        <v>ОМВД РОССИИ ПО КРАСНОЯРСКОМУ РАЙОНУ</v>
      </c>
      <c r="B4879" s="24" t="s">
        <v>7754</v>
      </c>
      <c r="C4879" s="25">
        <v>194000</v>
      </c>
      <c r="D4879" s="22" t="s">
        <v>7761</v>
      </c>
      <c r="E4879" s="22" t="s">
        <v>48</v>
      </c>
      <c r="F4879" s="23" t="str">
        <f>HYPERLINK("https://www.spark-marketing.ru/Card/Lot/73122404", "Оказание услуг по организации питания (приготовлению и доставке) для ИВС, 970 усл. ед")</f>
        <v>Оказание услуг по организации питания (приготовлению и доставке) для ИВС, 970 усл. ед</v>
      </c>
      <c r="G4879" s="22" t="s">
        <v>141</v>
      </c>
      <c r="H4879" s="22" t="s">
        <v>7756</v>
      </c>
      <c r="I4879" s="26">
        <v>43706.758067129602</v>
      </c>
      <c r="J4879" s="28" t="s">
        <v>51</v>
      </c>
      <c r="K4879" s="28" t="s">
        <v>51</v>
      </c>
      <c r="L4879" s="28" t="s">
        <v>51</v>
      </c>
      <c r="M4879" s="28" t="s">
        <v>51</v>
      </c>
      <c r="N4879" s="28" t="s">
        <v>51</v>
      </c>
    </row>
    <row r="4880" spans="1:14" x14ac:dyDescent="0.15">
      <c r="A4880" s="23" t="str">
        <f>HYPERLINK("https://www.spark-marketing.ru/Card/Person/17929", "УВД ПО ЗЕЛЕНОГРАДСКОМУ АО ГУ МВД РОССИИ ПО Г. МОСКВЕ")</f>
        <v>УВД ПО ЗЕЛЕНОГРАДСКОМУ АО ГУ МВД РОССИИ ПО Г. МОСКВЕ</v>
      </c>
      <c r="B4880" s="24" t="s">
        <v>7762</v>
      </c>
      <c r="C4880" s="25">
        <v>332640</v>
      </c>
      <c r="D4880" s="22" t="s">
        <v>7763</v>
      </c>
      <c r="E4880" s="22" t="s">
        <v>48</v>
      </c>
      <c r="F4880" s="23" t="str">
        <f>HYPERLINK("https://www.spark-marketing.ru/Card/Lot/73127080", "Услуги по организации горячего питания для подозреваемых и обвиняемых, содержащихся в изоляторе временного содержания подозреваемых и обвиняемых УВД")</f>
        <v>Услуги по организации горячего питания для подозреваемых и обвиняемых, содержащихся в изоляторе временного содержания подозреваемых и обвиняемых УВД</v>
      </c>
      <c r="G4880" s="22" t="s">
        <v>56</v>
      </c>
      <c r="H4880" s="22" t="s">
        <v>56</v>
      </c>
      <c r="I4880" s="26">
        <v>43706.732384259303</v>
      </c>
      <c r="J4880" s="28" t="s">
        <v>51</v>
      </c>
      <c r="K4880" s="28" t="s">
        <v>51</v>
      </c>
      <c r="L4880" s="28" t="s">
        <v>51</v>
      </c>
      <c r="M4880" s="28" t="s">
        <v>51</v>
      </c>
      <c r="N4880" s="28" t="s">
        <v>51</v>
      </c>
    </row>
    <row r="4881" spans="1:14" x14ac:dyDescent="0.15">
      <c r="A4881" s="23" t="str">
        <f>HYPERLINK("https://www.spark-marketing.ru/Card/Person/1010264", "ОМВД РОССИИ ПО КРАСНОЯРСКОМУ РАЙОНУ")</f>
        <v>ОМВД РОССИИ ПО КРАСНОЯРСКОМУ РАЙОНУ</v>
      </c>
      <c r="B4881" s="24" t="s">
        <v>7754</v>
      </c>
      <c r="C4881" s="25">
        <v>194000</v>
      </c>
      <c r="D4881" s="22" t="s">
        <v>7764</v>
      </c>
      <c r="E4881" s="22" t="s">
        <v>48</v>
      </c>
      <c r="F4881" s="23" t="str">
        <f>HYPERLINK("https://www.spark-marketing.ru/Card/Lot/73122665", "Оказание услуг по организации питания (приготовлению и доставке) для ИВС, 970 усл. ед")</f>
        <v>Оказание услуг по организации питания (приготовлению и доставке) для ИВС, 970 усл. ед</v>
      </c>
      <c r="G4881" s="22" t="s">
        <v>141</v>
      </c>
      <c r="H4881" s="22" t="s">
        <v>7756</v>
      </c>
      <c r="I4881" s="26">
        <v>43706.762164351901</v>
      </c>
      <c r="J4881" s="28" t="s">
        <v>51</v>
      </c>
      <c r="K4881" s="28" t="s">
        <v>51</v>
      </c>
      <c r="L4881" s="28" t="s">
        <v>51</v>
      </c>
      <c r="M4881" s="28" t="s">
        <v>51</v>
      </c>
      <c r="N4881" s="28" t="s">
        <v>51</v>
      </c>
    </row>
    <row r="4882" spans="1:14" x14ac:dyDescent="0.15">
      <c r="A4882" s="23" t="str">
        <f>HYPERLINK("https://www.spark-marketing.ru/Card/Person/45605", "ГКУ ДЗ ВО")</f>
        <v>ГКУ ДЗ ВО</v>
      </c>
      <c r="B4882" s="24" t="s">
        <v>168</v>
      </c>
      <c r="C4882" s="25">
        <v>9205667</v>
      </c>
      <c r="D4882" s="22" t="s">
        <v>7765</v>
      </c>
      <c r="E4882" s="22" t="s">
        <v>7766</v>
      </c>
      <c r="F4882" s="23" t="str">
        <f>HYPERLINK("https://www.spark-marketing.ru/Card/Lot/73128811", "Оказание в 2019 году услуг по хранению, учету, доставке и отпуску лекарственных препаратов, медицинских изделий и специализированных продуктов лечебного питания по льготному лекарственному обеспечению отдельных категорий граждан в соответствии с Феде...")</f>
        <v>Оказание в 2019 году услуг по хранению, учету, доставке и отпуску лекарственных препаратов, медицинских изделий и специализированных продуктов лечебного питания по льготному лекарственному обеспечению отдельных категорий граждан в соответствии с Феде...</v>
      </c>
      <c r="G4882" s="22" t="s">
        <v>158</v>
      </c>
      <c r="H4882" s="22" t="s">
        <v>171</v>
      </c>
      <c r="I4882" s="26">
        <v>43706.711215277799</v>
      </c>
      <c r="J4882" s="23" t="str">
        <f>HYPERLINK("https://www.spark-marketing.ru/Card/Person/18936", "ГУП ""ВОЛГОФАРМ""")</f>
        <v>ГУП "ВОЛГОФАРМ"</v>
      </c>
      <c r="K4882" s="24" t="s">
        <v>7767</v>
      </c>
      <c r="L4882" s="22" t="s">
        <v>10</v>
      </c>
      <c r="M4882" s="28" t="s">
        <v>51</v>
      </c>
      <c r="N4882" s="28" t="s">
        <v>51</v>
      </c>
    </row>
    <row r="4883" spans="1:14" x14ac:dyDescent="0.15">
      <c r="A4883" s="23" t="str">
        <f>HYPERLINK("https://www.spark-marketing.ru/Card/Person/79248", "КОГБУЗ ""МУРАШИНСКАЯ ЦЕНТРАЛЬНАЯ РАЙОННАЯ БОЛЬНИЦА""")</f>
        <v>КОГБУЗ "МУРАШИНСКАЯ ЦЕНТРАЛЬНАЯ РАЙОННАЯ БОЛЬНИЦА"</v>
      </c>
      <c r="B4883" s="24" t="s">
        <v>7768</v>
      </c>
      <c r="C4883" s="25">
        <v>126080</v>
      </c>
      <c r="D4883" s="22" t="s">
        <v>7769</v>
      </c>
      <c r="E4883" s="22" t="s">
        <v>152</v>
      </c>
      <c r="F4883" s="23" t="str">
        <f>HYPERLINK("https://www.spark-marketing.ru/Card/Lot/73124496", "Оказание услуг по восстановлению, заправке и чистке картриджей, ремонту и техническому обслуживанию оргтехники")</f>
        <v>Оказание услуг по восстановлению, заправке и чистке картриджей, ремонту и техническому обслуживанию оргтехники</v>
      </c>
      <c r="G4883" s="22" t="s">
        <v>224</v>
      </c>
      <c r="H4883" s="22" t="s">
        <v>7770</v>
      </c>
      <c r="I4883" s="26">
        <v>43706.736458333296</v>
      </c>
      <c r="J4883" s="28" t="s">
        <v>51</v>
      </c>
      <c r="K4883" s="28" t="s">
        <v>51</v>
      </c>
      <c r="L4883" s="28" t="s">
        <v>51</v>
      </c>
      <c r="M4883" s="28" t="s">
        <v>51</v>
      </c>
      <c r="N4883" s="28" t="s">
        <v>51</v>
      </c>
    </row>
    <row r="4884" spans="1:14" ht="12.75" hidden="1" outlineLevel="1" x14ac:dyDescent="0.2">
      <c r="A4884" s="23" t="str">
        <f>HYPERLINK("https://www.spark-marketing.ru/Card/Person/79248", "КОГБУЗ ""МУРАШИНСКАЯ ЦЕНТРАЛЬНАЯ РАЙОННАЯ БОЛЬНИЦА""")</f>
        <v>КОГБУЗ "МУРАШИНСКАЯ ЦЕНТРАЛЬНАЯ РАЙОННАЯ БОЛЬНИЦА"</v>
      </c>
      <c r="B4884" s="24" t="s">
        <v>7768</v>
      </c>
      <c r="C4884" s="25">
        <v>126080</v>
      </c>
      <c r="D4884" s="22" t="s">
        <v>7769</v>
      </c>
      <c r="E4884" s="22" t="s">
        <v>152</v>
      </c>
      <c r="F4884" s="23" t="str">
        <f>HYPERLINK("https://www.spark-marketing.ru/Card/Lot/73124496", "Оказание услуг по восстановлению, заправке и чистке картриджей, ремонту и техническому обслуживанию оргтехники")</f>
        <v>Оказание услуг по восстановлению, заправке и чистке картриджей, ремонту и техническому обслуживанию оргтехники</v>
      </c>
      <c r="G4884" s="22" t="s">
        <v>224</v>
      </c>
      <c r="H4884" s="22" t="s">
        <v>7770</v>
      </c>
      <c r="I4884" s="26">
        <v>43706.736458333296</v>
      </c>
      <c r="J4884" s="23" t="str">
        <f>HYPERLINK("https://www.spark-marketing.ru/Card/Person/518523", "ООО ""ИНТЕГРА""")</f>
        <v>ООО "ИНТЕГРА"</v>
      </c>
      <c r="K4884" s="24" t="s">
        <v>5888</v>
      </c>
      <c r="L4884" s="22" t="s">
        <v>10</v>
      </c>
      <c r="M4884" s="25">
        <v>78350.399999999994</v>
      </c>
      <c r="N4884" s="27">
        <v>0.37856598984771572</v>
      </c>
    </row>
    <row r="4885" spans="1:14" hidden="1" outlineLevel="1" x14ac:dyDescent="0.2">
      <c r="A4885" s="23" t="str">
        <f>HYPERLINK("https://www.spark-marketing.ru/Card/Person/79248", "КОГБУЗ ""МУРАШИНСКАЯ ЦЕНТРАЛЬНАЯ РАЙОННАЯ БОЛЬНИЦА""")</f>
        <v>КОГБУЗ "МУРАШИНСКАЯ ЦЕНТРАЛЬНАЯ РАЙОННАЯ БОЛЬНИЦА"</v>
      </c>
      <c r="B4885" s="24" t="s">
        <v>7768</v>
      </c>
      <c r="C4885" s="25">
        <v>126080</v>
      </c>
      <c r="D4885" s="22" t="s">
        <v>7769</v>
      </c>
      <c r="E4885" s="22" t="s">
        <v>152</v>
      </c>
      <c r="F4885" s="23" t="str">
        <f>HYPERLINK("https://www.spark-marketing.ru/Card/Lot/73124496", "Оказание услуг по восстановлению, заправке и чистке картриджей, ремонту и техническому обслуживанию оргтехники")</f>
        <v>Оказание услуг по восстановлению, заправке и чистке картриджей, ремонту и техническому обслуживанию оргтехники</v>
      </c>
      <c r="G4885" s="22" t="s">
        <v>224</v>
      </c>
      <c r="H4885" s="22" t="s">
        <v>7770</v>
      </c>
      <c r="I4885" s="26">
        <v>43706.736458333296</v>
      </c>
      <c r="J4885" s="23" t="str">
        <f>HYPERLINK("https://www.spark-marketing.ru/Card/Person/625736", "ООО ""РОСТ-ВЯТКА""")</f>
        <v>ООО "РОСТ-ВЯТКА"</v>
      </c>
      <c r="K4885" s="24" t="s">
        <v>7771</v>
      </c>
      <c r="L4885" s="28" t="s">
        <v>51</v>
      </c>
      <c r="M4885" s="25">
        <v>78980.800000000003</v>
      </c>
      <c r="N4885" s="27">
        <v>0.37356598984771572</v>
      </c>
    </row>
    <row r="4886" spans="1:14" x14ac:dyDescent="0.15">
      <c r="A4886" s="23" t="s">
        <v>114</v>
      </c>
      <c r="B4886" s="28" t="s">
        <v>51</v>
      </c>
      <c r="C4886" s="25">
        <v>21674520</v>
      </c>
      <c r="D4886" s="22" t="s">
        <v>7772</v>
      </c>
      <c r="E4886" s="22" t="s">
        <v>96</v>
      </c>
      <c r="F4886" s="23" t="str">
        <f t="shared" ref="F4886:F4898" si="84">HYPERLINK("https://www.spark-marketing.ru/Card/Lot/73129868",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4886" s="22" t="s">
        <v>51</v>
      </c>
      <c r="H4886" s="22" t="s">
        <v>51</v>
      </c>
      <c r="I4886" s="26">
        <v>43706.712222222202</v>
      </c>
      <c r="J4886" s="28" t="s">
        <v>51</v>
      </c>
      <c r="K4886" s="28" t="s">
        <v>51</v>
      </c>
      <c r="L4886" s="28" t="s">
        <v>51</v>
      </c>
      <c r="M4886" s="28" t="s">
        <v>51</v>
      </c>
      <c r="N4886" s="28" t="s">
        <v>51</v>
      </c>
    </row>
    <row r="4887" spans="1:14" hidden="1" outlineLevel="1" x14ac:dyDescent="0.15">
      <c r="A4887" s="23" t="str">
        <f>HYPERLINK("https://www.spark-marketing.ru/Card/Person/3866", "МБОУ СОШ № 17")</f>
        <v>МБОУ СОШ № 17</v>
      </c>
      <c r="B4887" s="24" t="s">
        <v>7773</v>
      </c>
      <c r="C4887" s="25">
        <v>644526</v>
      </c>
      <c r="D4887" s="22" t="s">
        <v>7772</v>
      </c>
      <c r="E4887" s="22" t="s">
        <v>96</v>
      </c>
      <c r="F4887" s="23" t="str">
        <f t="shared" si="84"/>
        <v>Оказание услуг по организации горячего питания школьников на 2019-2020 учебный год</v>
      </c>
      <c r="G4887" s="22" t="s">
        <v>82</v>
      </c>
      <c r="H4887" s="22" t="s">
        <v>83</v>
      </c>
      <c r="I4887" s="26">
        <v>43706.712222222202</v>
      </c>
      <c r="J4887" s="28" t="s">
        <v>51</v>
      </c>
      <c r="K4887" s="28" t="s">
        <v>51</v>
      </c>
      <c r="L4887" s="28" t="s">
        <v>51</v>
      </c>
      <c r="M4887" s="28" t="s">
        <v>51</v>
      </c>
      <c r="N4887" s="28" t="s">
        <v>51</v>
      </c>
    </row>
    <row r="4888" spans="1:14" hidden="1" outlineLevel="1" x14ac:dyDescent="0.15">
      <c r="A4888" s="23" t="str">
        <f>HYPERLINK("https://www.spark-marketing.ru/Card/Person/59732", "МБОУ СОШ № 84")</f>
        <v>МБОУ СОШ № 84</v>
      </c>
      <c r="B4888" s="24" t="s">
        <v>7774</v>
      </c>
      <c r="C4888" s="25">
        <v>4835836</v>
      </c>
      <c r="D4888" s="22" t="s">
        <v>7772</v>
      </c>
      <c r="E4888" s="22" t="s">
        <v>96</v>
      </c>
      <c r="F4888" s="23" t="str">
        <f t="shared" si="84"/>
        <v>Оказание услуг по организации горячего питания школьников на 2019-2020 учебный год</v>
      </c>
      <c r="G4888" s="22" t="s">
        <v>82</v>
      </c>
      <c r="H4888" s="22" t="s">
        <v>83</v>
      </c>
      <c r="I4888" s="26">
        <v>43706.712222222202</v>
      </c>
      <c r="J4888" s="28" t="s">
        <v>51</v>
      </c>
      <c r="K4888" s="28" t="s">
        <v>51</v>
      </c>
      <c r="L4888" s="28" t="s">
        <v>51</v>
      </c>
      <c r="M4888" s="28" t="s">
        <v>51</v>
      </c>
      <c r="N4888" s="28" t="s">
        <v>51</v>
      </c>
    </row>
    <row r="4889" spans="1:14" hidden="1" outlineLevel="1" x14ac:dyDescent="0.15">
      <c r="A4889" s="23" t="str">
        <f>HYPERLINK("https://www.spark-marketing.ru/Card/Person/59744", "МБОУ СОШ №92")</f>
        <v>МБОУ СОШ №92</v>
      </c>
      <c r="B4889" s="24" t="s">
        <v>7775</v>
      </c>
      <c r="C4889" s="25">
        <v>2914092</v>
      </c>
      <c r="D4889" s="22" t="s">
        <v>7772</v>
      </c>
      <c r="E4889" s="22" t="s">
        <v>96</v>
      </c>
      <c r="F4889" s="23" t="str">
        <f t="shared" si="84"/>
        <v>Оказание услуг по организации горячего питания школьников на 2019-2020 учебный год</v>
      </c>
      <c r="G4889" s="22" t="s">
        <v>82</v>
      </c>
      <c r="H4889" s="22" t="s">
        <v>83</v>
      </c>
      <c r="I4889" s="26">
        <v>43706.712222222202</v>
      </c>
      <c r="J4889" s="28" t="s">
        <v>51</v>
      </c>
      <c r="K4889" s="28" t="s">
        <v>51</v>
      </c>
      <c r="L4889" s="28" t="s">
        <v>51</v>
      </c>
      <c r="M4889" s="28" t="s">
        <v>51</v>
      </c>
      <c r="N4889" s="28" t="s">
        <v>51</v>
      </c>
    </row>
    <row r="4890" spans="1:14" hidden="1" outlineLevel="1" x14ac:dyDescent="0.15">
      <c r="A4890" s="23" t="str">
        <f>HYPERLINK("https://www.spark-marketing.ru/Card/Person/59863", "МБОУ СОШ № 72 ИМ. Ю.В. ЛУКЬЯНЧИКОВА")</f>
        <v>МБОУ СОШ № 72 ИМ. Ю.В. ЛУКЬЯНЧИКОВА</v>
      </c>
      <c r="B4890" s="24" t="s">
        <v>7776</v>
      </c>
      <c r="C4890" s="25">
        <v>2800876</v>
      </c>
      <c r="D4890" s="22" t="s">
        <v>7772</v>
      </c>
      <c r="E4890" s="22" t="s">
        <v>96</v>
      </c>
      <c r="F4890" s="23" t="str">
        <f t="shared" si="84"/>
        <v>Оказание услуг по организации горячего питания школьников на 2019-2020 учебный год</v>
      </c>
      <c r="G4890" s="22" t="s">
        <v>82</v>
      </c>
      <c r="H4890" s="22" t="s">
        <v>83</v>
      </c>
      <c r="I4890" s="26">
        <v>43706.712222222202</v>
      </c>
      <c r="J4890" s="28" t="s">
        <v>51</v>
      </c>
      <c r="K4890" s="28" t="s">
        <v>51</v>
      </c>
      <c r="L4890" s="28" t="s">
        <v>51</v>
      </c>
      <c r="M4890" s="28" t="s">
        <v>51</v>
      </c>
      <c r="N4890" s="28" t="s">
        <v>51</v>
      </c>
    </row>
    <row r="4891" spans="1:14" hidden="1" outlineLevel="1" x14ac:dyDescent="0.15">
      <c r="A4891" s="23" t="str">
        <f>HYPERLINK("https://www.spark-marketing.ru/Card/Person/59865", "МБОУ ГИМНАЗИЯ № 6")</f>
        <v>МБОУ ГИМНАЗИЯ № 6</v>
      </c>
      <c r="B4891" s="24" t="s">
        <v>7777</v>
      </c>
      <c r="C4891" s="25">
        <v>2335080</v>
      </c>
      <c r="D4891" s="22" t="s">
        <v>7772</v>
      </c>
      <c r="E4891" s="22" t="s">
        <v>96</v>
      </c>
      <c r="F4891" s="23" t="str">
        <f t="shared" si="84"/>
        <v>Оказание услуг по организации горячего питания школьников на 2019-2020 учебный год</v>
      </c>
      <c r="G4891" s="22" t="s">
        <v>82</v>
      </c>
      <c r="H4891" s="22" t="s">
        <v>83</v>
      </c>
      <c r="I4891" s="26">
        <v>43706.712222222202</v>
      </c>
      <c r="J4891" s="28" t="s">
        <v>51</v>
      </c>
      <c r="K4891" s="28" t="s">
        <v>51</v>
      </c>
      <c r="L4891" s="28" t="s">
        <v>51</v>
      </c>
      <c r="M4891" s="28" t="s">
        <v>51</v>
      </c>
      <c r="N4891" s="28" t="s">
        <v>51</v>
      </c>
    </row>
    <row r="4892" spans="1:14" hidden="1" outlineLevel="1" x14ac:dyDescent="0.15">
      <c r="A4892" s="23" t="str">
        <f>HYPERLINK("https://www.spark-marketing.ru/Card/Person/60437", "МБОУ СОШ № 75")</f>
        <v>МБОУ СОШ № 75</v>
      </c>
      <c r="B4892" s="24" t="s">
        <v>7778</v>
      </c>
      <c r="C4892" s="25">
        <v>2358748</v>
      </c>
      <c r="D4892" s="22" t="s">
        <v>7772</v>
      </c>
      <c r="E4892" s="22" t="s">
        <v>96</v>
      </c>
      <c r="F4892" s="23" t="str">
        <f t="shared" si="84"/>
        <v>Оказание услуг по организации горячего питания школьников на 2019-2020 учебный год</v>
      </c>
      <c r="G4892" s="22" t="s">
        <v>82</v>
      </c>
      <c r="H4892" s="22" t="s">
        <v>83</v>
      </c>
      <c r="I4892" s="26">
        <v>43706.712222222202</v>
      </c>
      <c r="J4892" s="28" t="s">
        <v>51</v>
      </c>
      <c r="K4892" s="28" t="s">
        <v>51</v>
      </c>
      <c r="L4892" s="28" t="s">
        <v>51</v>
      </c>
      <c r="M4892" s="28" t="s">
        <v>51</v>
      </c>
      <c r="N4892" s="28" t="s">
        <v>51</v>
      </c>
    </row>
    <row r="4893" spans="1:14" hidden="1" outlineLevel="1" x14ac:dyDescent="0.15">
      <c r="A4893" s="23" t="str">
        <f>HYPERLINK("https://www.spark-marketing.ru/Card/Person/60493", "МБОУ СОШ № 70")</f>
        <v>МБОУ СОШ № 70</v>
      </c>
      <c r="B4893" s="24" t="s">
        <v>7779</v>
      </c>
      <c r="C4893" s="25">
        <v>2766838</v>
      </c>
      <c r="D4893" s="22" t="s">
        <v>7772</v>
      </c>
      <c r="E4893" s="22" t="s">
        <v>96</v>
      </c>
      <c r="F4893" s="23" t="str">
        <f t="shared" si="84"/>
        <v>Оказание услуг по организации горячего питания школьников на 2019-2020 учебный год</v>
      </c>
      <c r="G4893" s="22" t="s">
        <v>82</v>
      </c>
      <c r="H4893" s="22" t="s">
        <v>83</v>
      </c>
      <c r="I4893" s="26">
        <v>43706.712222222202</v>
      </c>
      <c r="J4893" s="28" t="s">
        <v>51</v>
      </c>
      <c r="K4893" s="28" t="s">
        <v>51</v>
      </c>
      <c r="L4893" s="28" t="s">
        <v>51</v>
      </c>
      <c r="M4893" s="28" t="s">
        <v>51</v>
      </c>
      <c r="N4893" s="28" t="s">
        <v>51</v>
      </c>
    </row>
    <row r="4894" spans="1:14" hidden="1" outlineLevel="1" x14ac:dyDescent="0.15">
      <c r="A4894" s="23" t="str">
        <f>HYPERLINK("https://www.spark-marketing.ru/Card/Person/60499", "МБОУ СОШ № 4")</f>
        <v>МБОУ СОШ № 4</v>
      </c>
      <c r="B4894" s="24" t="s">
        <v>7780</v>
      </c>
      <c r="C4894" s="25">
        <v>2176480</v>
      </c>
      <c r="D4894" s="22" t="s">
        <v>7772</v>
      </c>
      <c r="E4894" s="22" t="s">
        <v>96</v>
      </c>
      <c r="F4894" s="23" t="str">
        <f t="shared" si="84"/>
        <v>Оказание услуг по организации горячего питания школьников на 2019-2020 учебный год</v>
      </c>
      <c r="G4894" s="22" t="s">
        <v>82</v>
      </c>
      <c r="H4894" s="22" t="s">
        <v>83</v>
      </c>
      <c r="I4894" s="26">
        <v>43706.712222222202</v>
      </c>
      <c r="J4894" s="28" t="s">
        <v>51</v>
      </c>
      <c r="K4894" s="28" t="s">
        <v>51</v>
      </c>
      <c r="L4894" s="28" t="s">
        <v>51</v>
      </c>
      <c r="M4894" s="28" t="s">
        <v>51</v>
      </c>
      <c r="N4894" s="28" t="s">
        <v>51</v>
      </c>
    </row>
    <row r="4895" spans="1:14" hidden="1" outlineLevel="1" x14ac:dyDescent="0.15">
      <c r="A4895" s="23" t="str">
        <f>HYPERLINK("https://www.spark-marketing.ru/Card/Person/88063", "МБОУ СОШ № 25")</f>
        <v>МБОУ СОШ № 25</v>
      </c>
      <c r="B4895" s="24" t="s">
        <v>7781</v>
      </c>
      <c r="C4895" s="25">
        <v>842044</v>
      </c>
      <c r="D4895" s="22" t="s">
        <v>7772</v>
      </c>
      <c r="E4895" s="22" t="s">
        <v>96</v>
      </c>
      <c r="F4895" s="23" t="str">
        <f t="shared" si="84"/>
        <v>Оказание услуг по организации горячего питания школьников на 2019-2020 учебный год</v>
      </c>
      <c r="G4895" s="22" t="s">
        <v>82</v>
      </c>
      <c r="H4895" s="22" t="s">
        <v>83</v>
      </c>
      <c r="I4895" s="26">
        <v>43706.712222222202</v>
      </c>
      <c r="J4895" s="28" t="s">
        <v>51</v>
      </c>
      <c r="K4895" s="28" t="s">
        <v>51</v>
      </c>
      <c r="L4895" s="28" t="s">
        <v>51</v>
      </c>
      <c r="M4895" s="28" t="s">
        <v>51</v>
      </c>
      <c r="N4895" s="28" t="s">
        <v>51</v>
      </c>
    </row>
    <row r="4896" spans="1:14" hidden="1" outlineLevel="1" x14ac:dyDescent="0.2">
      <c r="A4896" s="28" t="s">
        <v>51</v>
      </c>
      <c r="B4896" s="28" t="s">
        <v>51</v>
      </c>
      <c r="C4896" s="28" t="s">
        <v>51</v>
      </c>
      <c r="D4896" s="22" t="s">
        <v>7772</v>
      </c>
      <c r="E4896" s="22" t="s">
        <v>96</v>
      </c>
      <c r="F4896" s="23" t="str">
        <f t="shared" si="84"/>
        <v>Оказание услуг по организации горячего питания школьников на 2019-2020 учебный год</v>
      </c>
      <c r="G4896" s="22" t="s">
        <v>51</v>
      </c>
      <c r="H4896" s="22" t="s">
        <v>51</v>
      </c>
      <c r="I4896" s="26">
        <v>43706.712222222202</v>
      </c>
      <c r="J4896" s="23" t="str">
        <f>HYPERLINK("https://www.spark-marketing.ru/Card/Person/81010", "ООО ""ТД СПП""")</f>
        <v>ООО "ТД СПП"</v>
      </c>
      <c r="K4896" s="24" t="s">
        <v>7782</v>
      </c>
      <c r="L4896" s="28" t="s">
        <v>51</v>
      </c>
      <c r="M4896" s="25">
        <v>21674520</v>
      </c>
      <c r="N4896" s="27">
        <v>0</v>
      </c>
    </row>
    <row r="4897" spans="1:14" hidden="1" outlineLevel="1" x14ac:dyDescent="0.2">
      <c r="A4897" s="28" t="s">
        <v>51</v>
      </c>
      <c r="B4897" s="28" t="s">
        <v>51</v>
      </c>
      <c r="C4897" s="28" t="s">
        <v>51</v>
      </c>
      <c r="D4897" s="22" t="s">
        <v>7772</v>
      </c>
      <c r="E4897" s="22" t="s">
        <v>96</v>
      </c>
      <c r="F4897" s="23" t="str">
        <f t="shared" si="84"/>
        <v>Оказание услуг по организации горячего питания школьников на 2019-2020 учебный год</v>
      </c>
      <c r="G4897" s="22" t="s">
        <v>51</v>
      </c>
      <c r="H4897" s="22" t="s">
        <v>51</v>
      </c>
      <c r="I4897" s="26">
        <v>43706.712222222202</v>
      </c>
      <c r="J4897" s="23" t="str">
        <f>HYPERLINK("https://www.spark-marketing.ru/Card/Person/59814", "ООО КП ""СОЛНЕЧНЫЙ""")</f>
        <v>ООО КП "СОЛНЕЧНЫЙ"</v>
      </c>
      <c r="K4897" s="24" t="s">
        <v>7783</v>
      </c>
      <c r="L4897" s="28" t="s">
        <v>51</v>
      </c>
      <c r="M4897" s="25">
        <v>21457774</v>
      </c>
      <c r="N4897" s="27">
        <v>1.0000036909698577E-2</v>
      </c>
    </row>
    <row r="4898" spans="1:14" hidden="1" outlineLevel="1" x14ac:dyDescent="0.2">
      <c r="A4898" s="28" t="s">
        <v>51</v>
      </c>
      <c r="B4898" s="28" t="s">
        <v>51</v>
      </c>
      <c r="C4898" s="28" t="s">
        <v>51</v>
      </c>
      <c r="D4898" s="22" t="s">
        <v>7772</v>
      </c>
      <c r="E4898" s="22" t="s">
        <v>96</v>
      </c>
      <c r="F4898" s="23" t="str">
        <f t="shared" si="84"/>
        <v>Оказание услуг по организации горячего питания школьников на 2019-2020 учебный год</v>
      </c>
      <c r="G4898" s="22" t="s">
        <v>51</v>
      </c>
      <c r="H4898" s="22" t="s">
        <v>51</v>
      </c>
      <c r="I4898" s="26">
        <v>43706.712222222202</v>
      </c>
      <c r="J4898" s="23" t="str">
        <f>HYPERLINK("https://www.spark-marketing.ru/Card/Person/16210", "ООО ""ГК ФЬЮЖЕН МЕНЕДЖМЕНТ""")</f>
        <v>ООО "ГК ФЬЮЖЕН МЕНЕДЖМЕНТ"</v>
      </c>
      <c r="K4898" s="24" t="s">
        <v>1675</v>
      </c>
      <c r="L4898" s="22" t="s">
        <v>10</v>
      </c>
      <c r="M4898" s="25">
        <v>21285205.800000001</v>
      </c>
      <c r="N4898" s="27">
        <v>1.7961837217156367E-2</v>
      </c>
    </row>
    <row r="4899" spans="1:14" x14ac:dyDescent="0.15">
      <c r="A4899" s="23" t="str">
        <f>HYPERLINK("https://www.spark-marketing.ru/Card/Person/45605", "ГКУ ДЗ ВО")</f>
        <v>ГКУ ДЗ ВО</v>
      </c>
      <c r="B4899" s="24" t="s">
        <v>168</v>
      </c>
      <c r="C4899" s="25">
        <v>500000</v>
      </c>
      <c r="D4899" s="22" t="s">
        <v>7784</v>
      </c>
      <c r="E4899" s="22" t="s">
        <v>7766</v>
      </c>
      <c r="F4899" s="23" t="str">
        <f>HYPERLINK("https://www.spark-marketing.ru/Card/Lot/73123982", "Оказание в 2019 году услуг по хранению, учету, доставке и отпуску лекарственных препаратов, медицинских изделий и специализированных продуктов лечебного питания по льготному лекарственному обеспечению отдельных категорий граждан в соответствии с Пост...")</f>
        <v>Оказание в 2019 году услуг по хранению, учету, доставке и отпуску лекарственных препаратов, медицинских изделий и специализированных продуктов лечебного питания по льготному лекарственному обеспечению отдельных категорий граждан в соответствии с Пост...</v>
      </c>
      <c r="G4899" s="22" t="s">
        <v>158</v>
      </c>
      <c r="H4899" s="22" t="s">
        <v>171</v>
      </c>
      <c r="I4899" s="26">
        <v>43706.712743055599</v>
      </c>
      <c r="J4899" s="23" t="str">
        <f>HYPERLINK("https://www.spark-marketing.ru/Card/Person/18936", "ГУП ""ВОЛГОФАРМ""")</f>
        <v>ГУП "ВОЛГОФАРМ"</v>
      </c>
      <c r="K4899" s="24" t="s">
        <v>7767</v>
      </c>
      <c r="L4899" s="22" t="s">
        <v>10</v>
      </c>
      <c r="M4899" s="28" t="s">
        <v>51</v>
      </c>
      <c r="N4899" s="28" t="s">
        <v>51</v>
      </c>
    </row>
    <row r="4900" spans="1:14" x14ac:dyDescent="0.15">
      <c r="A4900" s="23" t="str">
        <f>HYPERLINK("https://www.spark-marketing.ru/Card/Person/261033", "МО МВД РОССИИ ""ПУЧЕЖСКИЙ""")</f>
        <v>МО МВД РОССИИ "ПУЧЕЖСКИЙ"</v>
      </c>
      <c r="B4900" s="24" t="s">
        <v>1045</v>
      </c>
      <c r="C4900" s="25">
        <v>65000</v>
      </c>
      <c r="D4900" s="22" t="s">
        <v>7785</v>
      </c>
      <c r="E4900" s="22" t="s">
        <v>48</v>
      </c>
      <c r="F4900" s="23" t="str">
        <f>HYPERLINK("https://www.spark-marketing.ru/Card/Lot/73122139", "Оказание услуг по организации питания (приготовлению и доставке) для ИВС, 177 усл. ед")</f>
        <v>Оказание услуг по организации питания (приготовлению и доставке) для ИВС, 177 усл. ед</v>
      </c>
      <c r="G4900" s="22" t="s">
        <v>1047</v>
      </c>
      <c r="H4900" s="22" t="s">
        <v>1048</v>
      </c>
      <c r="I4900" s="26">
        <v>43706.746122685203</v>
      </c>
      <c r="J4900" s="28" t="s">
        <v>51</v>
      </c>
      <c r="K4900" s="28" t="s">
        <v>51</v>
      </c>
      <c r="L4900" s="28" t="s">
        <v>51</v>
      </c>
      <c r="M4900" s="28" t="s">
        <v>51</v>
      </c>
      <c r="N4900" s="28" t="s">
        <v>51</v>
      </c>
    </row>
    <row r="4901" spans="1:14" x14ac:dyDescent="0.15">
      <c r="A4901" s="23" t="str">
        <f>HYPERLINK("https://www.spark-marketing.ru/Card/Person/151098", "ОМВД РОССИИ ПО УРЖУМСКОМУ РАЙОНУ")</f>
        <v>ОМВД РОССИИ ПО УРЖУМСКОМУ РАЙОНУ</v>
      </c>
      <c r="B4901" s="24" t="s">
        <v>7786</v>
      </c>
      <c r="C4901" s="25">
        <v>264700</v>
      </c>
      <c r="D4901" s="22" t="s">
        <v>7787</v>
      </c>
      <c r="E4901" s="22" t="s">
        <v>48</v>
      </c>
      <c r="F4901" s="23" t="str">
        <f>HYPERLINK("https://www.spark-marketing.ru/Card/Lot/73121737", "Услуги по организации горячего питания, 3529 усл. ед")</f>
        <v>Услуги по организации горячего питания, 3529 усл. ед</v>
      </c>
      <c r="G4901" s="22" t="s">
        <v>224</v>
      </c>
      <c r="H4901" s="22" t="s">
        <v>7788</v>
      </c>
      <c r="I4901" s="26">
        <v>43706.727430555598</v>
      </c>
      <c r="J4901" s="28" t="s">
        <v>51</v>
      </c>
      <c r="K4901" s="28" t="s">
        <v>51</v>
      </c>
      <c r="L4901" s="28" t="s">
        <v>51</v>
      </c>
      <c r="M4901" s="28" t="s">
        <v>51</v>
      </c>
      <c r="N4901" s="28" t="s">
        <v>51</v>
      </c>
    </row>
    <row r="4902" spans="1:14" x14ac:dyDescent="0.15">
      <c r="A4902" s="23" t="str">
        <f>HYPERLINK("https://www.spark-marketing.ru/Card/Person/151098", "ОМВД РОССИИ ПО УРЖУМСКОМУ РАЙОНУ")</f>
        <v>ОМВД РОССИИ ПО УРЖУМСКОМУ РАЙОНУ</v>
      </c>
      <c r="B4902" s="24" t="s">
        <v>7786</v>
      </c>
      <c r="C4902" s="25">
        <v>264700</v>
      </c>
      <c r="D4902" s="22" t="s">
        <v>7789</v>
      </c>
      <c r="E4902" s="22" t="s">
        <v>48</v>
      </c>
      <c r="F4902" s="23" t="str">
        <f>HYPERLINK("https://www.spark-marketing.ru/Card/Lot/73121745", "Услуги по организации горячего питания, 3529 усл. ед")</f>
        <v>Услуги по организации горячего питания, 3529 усл. ед</v>
      </c>
      <c r="G4902" s="22" t="s">
        <v>224</v>
      </c>
      <c r="H4902" s="22" t="s">
        <v>7788</v>
      </c>
      <c r="I4902" s="26">
        <v>43706.729791666701</v>
      </c>
      <c r="J4902" s="28" t="s">
        <v>51</v>
      </c>
      <c r="K4902" s="28" t="s">
        <v>51</v>
      </c>
      <c r="L4902" s="28" t="s">
        <v>51</v>
      </c>
      <c r="M4902" s="28" t="s">
        <v>51</v>
      </c>
      <c r="N4902" s="28" t="s">
        <v>51</v>
      </c>
    </row>
    <row r="4903" spans="1:14" x14ac:dyDescent="0.15">
      <c r="A4903" s="23" t="str">
        <f>HYPERLINK("https://www.spark-marketing.ru/Card/Person/79536", "КГБПОУ ""ЛЕСОСИБИРСКИЙ ТЕХНОЛОГИЧЕСКИЙ ТЕХНИКУМ""")</f>
        <v>КГБПОУ "ЛЕСОСИБИРСКИЙ ТЕХНОЛОГИЧЕСКИЙ ТЕХНИКУМ"</v>
      </c>
      <c r="B4903" s="24" t="s">
        <v>7790</v>
      </c>
      <c r="C4903" s="25">
        <v>1649646.35</v>
      </c>
      <c r="D4903" s="22" t="s">
        <v>7791</v>
      </c>
      <c r="E4903" s="22" t="s">
        <v>48</v>
      </c>
      <c r="F4903" s="23" t="str">
        <f>HYPERLINK("https://www.spark-marketing.ru/Card/Lot/73126266", "ЭА №46405/19 - 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«Лесосибирский технологический техникум»")</f>
        <v>ЭА №46405/19 - 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«Лесосибирский технологический техникум»</v>
      </c>
      <c r="G4903" s="22" t="s">
        <v>281</v>
      </c>
      <c r="H4903" s="22" t="s">
        <v>1448</v>
      </c>
      <c r="I4903" s="26">
        <v>43706.654537037</v>
      </c>
      <c r="J4903" s="28" t="s">
        <v>51</v>
      </c>
      <c r="K4903" s="28" t="s">
        <v>51</v>
      </c>
      <c r="L4903" s="28" t="s">
        <v>51</v>
      </c>
      <c r="M4903" s="28" t="s">
        <v>51</v>
      </c>
      <c r="N4903" s="28" t="s">
        <v>51</v>
      </c>
    </row>
    <row r="4904" spans="1:14" hidden="1" outlineLevel="1" x14ac:dyDescent="0.2">
      <c r="A4904" s="23" t="str">
        <f>HYPERLINK("https://www.spark-marketing.ru/Card/Person/79536", "КГБПОУ ""ЛЕСОСИБИРСКИЙ ТЕХНОЛОГИЧЕСКИЙ ТЕХНИКУМ""")</f>
        <v>КГБПОУ "ЛЕСОСИБИРСКИЙ ТЕХНОЛОГИЧЕСКИЙ ТЕХНИКУМ"</v>
      </c>
      <c r="B4904" s="24" t="s">
        <v>7790</v>
      </c>
      <c r="C4904" s="25">
        <v>1649646.35</v>
      </c>
      <c r="D4904" s="22" t="s">
        <v>7791</v>
      </c>
      <c r="E4904" s="22" t="s">
        <v>48</v>
      </c>
      <c r="F4904" s="23" t="str">
        <f>HYPERLINK("https://www.spark-marketing.ru/Card/Lot/73126266", "ЭА №46405/19 - 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«Лесосибирский технологический техникум»")</f>
        <v>ЭА №46405/19 - 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«Лесосибирский технологический техникум»</v>
      </c>
      <c r="G4904" s="22" t="s">
        <v>281</v>
      </c>
      <c r="H4904" s="22" t="s">
        <v>1448</v>
      </c>
      <c r="I4904" s="26">
        <v>43706.654537037</v>
      </c>
      <c r="J4904" s="23" t="str">
        <f>HYPERLINK("https://www.spark-marketing.ru/Card/Person/479872", "ООО ""ПАТРУШЕВ И К""")</f>
        <v>ООО "ПАТРУШЕВ И К"</v>
      </c>
      <c r="K4904" s="24" t="s">
        <v>7792</v>
      </c>
      <c r="L4904" s="28" t="s">
        <v>51</v>
      </c>
      <c r="M4904" s="25">
        <v>1450000</v>
      </c>
      <c r="N4904" s="27">
        <v>0.12102372729767201</v>
      </c>
    </row>
    <row r="4905" spans="1:14" ht="12.75" hidden="1" outlineLevel="1" x14ac:dyDescent="0.2">
      <c r="A4905" s="23" t="str">
        <f>HYPERLINK("https://www.spark-marketing.ru/Card/Person/79536", "КГБПОУ ""ЛЕСОСИБИРСКИЙ ТЕХНОЛОГИЧЕСКИЙ ТЕХНИКУМ""")</f>
        <v>КГБПОУ "ЛЕСОСИБИРСКИЙ ТЕХНОЛОГИЧЕСКИЙ ТЕХНИКУМ"</v>
      </c>
      <c r="B4905" s="24" t="s">
        <v>7790</v>
      </c>
      <c r="C4905" s="25">
        <v>1649646.35</v>
      </c>
      <c r="D4905" s="22" t="s">
        <v>7791</v>
      </c>
      <c r="E4905" s="22" t="s">
        <v>48</v>
      </c>
      <c r="F4905" s="23" t="str">
        <f>HYPERLINK("https://www.spark-marketing.ru/Card/Lot/73126266", "ЭА №46405/19 - 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«Лесосибирский технологический техникум»")</f>
        <v>ЭА №46405/19 - 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«Лесосибирский технологический техникум»</v>
      </c>
      <c r="G4905" s="22" t="s">
        <v>281</v>
      </c>
      <c r="H4905" s="22" t="s">
        <v>1448</v>
      </c>
      <c r="I4905" s="26">
        <v>43706.654537037</v>
      </c>
      <c r="J4905" s="23" t="str">
        <f>HYPERLINK("https://www.spark-marketing.ru/Card/Person/969761", "Заплатина Людмила Альфредовна")</f>
        <v>Заплатина Людмила Альфредовна</v>
      </c>
      <c r="K4905" s="24" t="s">
        <v>7793</v>
      </c>
      <c r="L4905" s="22" t="s">
        <v>10</v>
      </c>
      <c r="M4905" s="25">
        <v>1443440.35</v>
      </c>
      <c r="N4905" s="27">
        <v>0.12500012502679742</v>
      </c>
    </row>
    <row r="4906" spans="1:14" x14ac:dyDescent="0.15">
      <c r="A4906" s="23" t="str">
        <f t="shared" ref="A4906:A4911" si="85">HYPERLINK("https://www.spark-marketing.ru/Card/Person/90559", "УМВД РОССИИ ПО ГОРОДСКОМУ ОКРУГУ КОРОЛЕВ")</f>
        <v>УМВД РОССИИ ПО ГОРОДСКОМУ ОКРУГУ КОРОЛЕВ</v>
      </c>
      <c r="B4906" s="24" t="s">
        <v>7794</v>
      </c>
      <c r="C4906" s="25">
        <v>2810000</v>
      </c>
      <c r="D4906" s="22" t="s">
        <v>7795</v>
      </c>
      <c r="E4906" s="22" t="s">
        <v>48</v>
      </c>
      <c r="F4906" s="23" t="str">
        <f>HYPERLINK("https://www.spark-marketing.ru/Card/Lot/73127724", "Услуги по питанию иностранный граждан и лиц без гражданства, содержащихся в ЦВСИГ УМВД России по городскому округу Королев")</f>
        <v>Услуги по питанию иностранный граждан и лиц без гражданства, содержащихся в ЦВСИГ УМВД России по городскому округу Королев</v>
      </c>
      <c r="G4906" s="22" t="s">
        <v>49</v>
      </c>
      <c r="H4906" s="22" t="s">
        <v>301</v>
      </c>
      <c r="I4906" s="26">
        <v>43706.681863425903</v>
      </c>
      <c r="J4906" s="28" t="s">
        <v>51</v>
      </c>
      <c r="K4906" s="28" t="s">
        <v>51</v>
      </c>
      <c r="L4906" s="28" t="s">
        <v>51</v>
      </c>
      <c r="M4906" s="28" t="s">
        <v>51</v>
      </c>
      <c r="N4906" s="28" t="s">
        <v>51</v>
      </c>
    </row>
    <row r="4907" spans="1:14" hidden="1" outlineLevel="1" x14ac:dyDescent="0.2">
      <c r="A4907" s="23" t="str">
        <f t="shared" si="85"/>
        <v>УМВД РОССИИ ПО ГОРОДСКОМУ ОКРУГУ КОРОЛЕВ</v>
      </c>
      <c r="B4907" s="24" t="s">
        <v>7794</v>
      </c>
      <c r="C4907" s="25">
        <v>2810000</v>
      </c>
      <c r="D4907" s="22" t="s">
        <v>7795</v>
      </c>
      <c r="E4907" s="22" t="s">
        <v>48</v>
      </c>
      <c r="F4907" s="23" t="str">
        <f>HYPERLINK("https://www.spark-marketing.ru/Card/Lot/73127724", "Услуги по питанию иностранный граждан и лиц без гражданства, содержащихся в ЦВСИГ УМВД России по городскому округу Королев")</f>
        <v>Услуги по питанию иностранный граждан и лиц без гражданства, содержащихся в ЦВСИГ УМВД России по городскому округу Королев</v>
      </c>
      <c r="G4907" s="22" t="s">
        <v>49</v>
      </c>
      <c r="H4907" s="22" t="s">
        <v>301</v>
      </c>
      <c r="I4907" s="26">
        <v>43706.681863425903</v>
      </c>
      <c r="J4907" s="23" t="str">
        <f>HYPERLINK("https://www.spark-marketing.ru/Card/Person/131113", "ООО ""НИКА""")</f>
        <v>ООО "НИКА"</v>
      </c>
      <c r="K4907" s="24" t="s">
        <v>6425</v>
      </c>
      <c r="L4907" s="28" t="s">
        <v>51</v>
      </c>
      <c r="M4907" s="25">
        <v>2795950</v>
      </c>
      <c r="N4907" s="27">
        <v>5.0000000000000001E-3</v>
      </c>
    </row>
    <row r="4908" spans="1:14" ht="12.75" hidden="1" outlineLevel="1" x14ac:dyDescent="0.2">
      <c r="A4908" s="23" t="str">
        <f t="shared" si="85"/>
        <v>УМВД РОССИИ ПО ГОРОДСКОМУ ОКРУГУ КОРОЛЕВ</v>
      </c>
      <c r="B4908" s="24" t="s">
        <v>7794</v>
      </c>
      <c r="C4908" s="25">
        <v>2810000</v>
      </c>
      <c r="D4908" s="22" t="s">
        <v>7795</v>
      </c>
      <c r="E4908" s="22" t="s">
        <v>48</v>
      </c>
      <c r="F4908" s="23" t="str">
        <f>HYPERLINK("https://www.spark-marketing.ru/Card/Lot/73127724", "Услуги по питанию иностранный граждан и лиц без гражданства, содержащихся в ЦВСИГ УМВД России по городскому округу Королев")</f>
        <v>Услуги по питанию иностранный граждан и лиц без гражданства, содержащихся в ЦВСИГ УМВД России по городскому округу Королев</v>
      </c>
      <c r="G4908" s="22" t="s">
        <v>49</v>
      </c>
      <c r="H4908" s="22" t="s">
        <v>301</v>
      </c>
      <c r="I4908" s="26">
        <v>43706.681863425903</v>
      </c>
      <c r="J4908" s="23" t="str">
        <f>HYPERLINK("https://www.spark-marketing.ru/Card/Person/6699810", "Голубева Марина Анатольевна")</f>
        <v>Голубева Марина Анатольевна</v>
      </c>
      <c r="K4908" s="24" t="s">
        <v>7796</v>
      </c>
      <c r="L4908" s="22" t="s">
        <v>10</v>
      </c>
      <c r="M4908" s="25">
        <v>2778158.88</v>
      </c>
      <c r="N4908" s="27">
        <v>1.1331359430604981E-2</v>
      </c>
    </row>
    <row r="4909" spans="1:14" x14ac:dyDescent="0.15">
      <c r="A4909" s="23" t="str">
        <f t="shared" si="85"/>
        <v>УМВД РОССИИ ПО ГОРОДСКОМУ ОКРУГУ КОРОЛЕВ</v>
      </c>
      <c r="B4909" s="24" t="s">
        <v>7794</v>
      </c>
      <c r="C4909" s="25">
        <v>1949850</v>
      </c>
      <c r="D4909" s="22" t="s">
        <v>7797</v>
      </c>
      <c r="E4909" s="22" t="s">
        <v>48</v>
      </c>
      <c r="F4909" s="23" t="str">
        <f>HYPERLINK("https://www.spark-marketing.ru/Card/Lot/73126552", "услуги по питанию иностранных граждан и лиц без гражданства, содержащихся в центре временного содержания УМВД России по городскому округу Королев")</f>
        <v>услуги по питанию иностранных граждан и лиц без гражданства, содержащихся в центре временного содержания УМВД России по городскому округу Королев</v>
      </c>
      <c r="G4909" s="22" t="s">
        <v>49</v>
      </c>
      <c r="H4909" s="22" t="s">
        <v>301</v>
      </c>
      <c r="I4909" s="26">
        <v>43706.669976851903</v>
      </c>
      <c r="J4909" s="28" t="s">
        <v>51</v>
      </c>
      <c r="K4909" s="28" t="s">
        <v>51</v>
      </c>
      <c r="L4909" s="28" t="s">
        <v>51</v>
      </c>
      <c r="M4909" s="28" t="s">
        <v>51</v>
      </c>
      <c r="N4909" s="28" t="s">
        <v>51</v>
      </c>
    </row>
    <row r="4910" spans="1:14" hidden="1" outlineLevel="1" x14ac:dyDescent="0.2">
      <c r="A4910" s="23" t="str">
        <f t="shared" si="85"/>
        <v>УМВД РОССИИ ПО ГОРОДСКОМУ ОКРУГУ КОРОЛЕВ</v>
      </c>
      <c r="B4910" s="24" t="s">
        <v>7794</v>
      </c>
      <c r="C4910" s="25">
        <v>1949850</v>
      </c>
      <c r="D4910" s="22" t="s">
        <v>7797</v>
      </c>
      <c r="E4910" s="22" t="s">
        <v>48</v>
      </c>
      <c r="F4910" s="23" t="str">
        <f>HYPERLINK("https://www.spark-marketing.ru/Card/Lot/73126552", "услуги по питанию иностранных граждан и лиц без гражданства, содержащихся в центре временного содержания УМВД России по городскому округу Королев")</f>
        <v>услуги по питанию иностранных граждан и лиц без гражданства, содержащихся в центре временного содержания УМВД России по городскому округу Королев</v>
      </c>
      <c r="G4910" s="22" t="s">
        <v>49</v>
      </c>
      <c r="H4910" s="22" t="s">
        <v>301</v>
      </c>
      <c r="I4910" s="26">
        <v>43706.669976851903</v>
      </c>
      <c r="J4910" s="23" t="str">
        <f>HYPERLINK("https://www.spark-marketing.ru/Card/Person/131113", "ООО ""НИКА""")</f>
        <v>ООО "НИКА"</v>
      </c>
      <c r="K4910" s="24" t="s">
        <v>6425</v>
      </c>
      <c r="L4910" s="28" t="s">
        <v>51</v>
      </c>
      <c r="M4910" s="25">
        <v>1940100.75</v>
      </c>
      <c r="N4910" s="27">
        <v>5.0000000000000001E-3</v>
      </c>
    </row>
    <row r="4911" spans="1:14" ht="12.75" hidden="1" outlineLevel="1" x14ac:dyDescent="0.2">
      <c r="A4911" s="23" t="str">
        <f t="shared" si="85"/>
        <v>УМВД РОССИИ ПО ГОРОДСКОМУ ОКРУГУ КОРОЛЕВ</v>
      </c>
      <c r="B4911" s="24" t="s">
        <v>7794</v>
      </c>
      <c r="C4911" s="25">
        <v>1949850</v>
      </c>
      <c r="D4911" s="22" t="s">
        <v>7797</v>
      </c>
      <c r="E4911" s="22" t="s">
        <v>48</v>
      </c>
      <c r="F4911" s="23" t="str">
        <f>HYPERLINK("https://www.spark-marketing.ru/Card/Lot/73126552", "услуги по питанию иностранных граждан и лиц без гражданства, содержащихся в центре временного содержания УМВД России по городскому округу Королев")</f>
        <v>услуги по питанию иностранных граждан и лиц без гражданства, содержащихся в центре временного содержания УМВД России по городскому округу Королев</v>
      </c>
      <c r="G4911" s="22" t="s">
        <v>49</v>
      </c>
      <c r="H4911" s="22" t="s">
        <v>301</v>
      </c>
      <c r="I4911" s="26">
        <v>43706.669976851903</v>
      </c>
      <c r="J4911" s="23" t="str">
        <f>HYPERLINK("https://www.spark-marketing.ru/Card/Person/6310318", "ООО ""ОТДЕЛ МАРКЕТИНГА""")</f>
        <v>ООО "ОТДЕЛ МАРКЕТИНГА"</v>
      </c>
      <c r="K4911" s="24" t="s">
        <v>6426</v>
      </c>
      <c r="L4911" s="22" t="s">
        <v>10</v>
      </c>
      <c r="M4911" s="25">
        <v>1939581.56</v>
      </c>
      <c r="N4911" s="27">
        <v>5.2662717644947048E-3</v>
      </c>
    </row>
    <row r="4912" spans="1:14" collapsed="1" x14ac:dyDescent="0.15">
      <c r="A4912" s="23" t="str">
        <f>HYPERLINK("https://www.spark-marketing.ru/Card/Person/17900", "ГКУ КК ЦЗН ГОРОДА КРАСНОДАРА")</f>
        <v>ГКУ КК ЦЗН ГОРОДА КРАСНОДАРА</v>
      </c>
      <c r="B4912" s="24" t="s">
        <v>7798</v>
      </c>
      <c r="C4912" s="25">
        <v>88333.35</v>
      </c>
      <c r="D4912" s="22" t="s">
        <v>7799</v>
      </c>
      <c r="E4912" s="22" t="s">
        <v>2599</v>
      </c>
      <c r="F4912" s="23" t="str">
        <f>HYPERLINK("https://www.spark-marketing.ru/Card/Lot/73124387", "Оказание услуг по  дополнительному профессиональному образованию лиц предпенсионного возраста сфере общественного питания")</f>
        <v>Оказание услуг по  дополнительному профессиональному образованию лиц предпенсионного возраста сфере общественного питания</v>
      </c>
      <c r="G4912" s="22" t="s">
        <v>104</v>
      </c>
      <c r="H4912" s="22" t="s">
        <v>120</v>
      </c>
      <c r="I4912" s="26">
        <v>43706.718831018501</v>
      </c>
      <c r="J4912" s="23" t="str">
        <f>HYPERLINK("https://www.spark-marketing.ru/Card/Person/1157047", "ООО ЦДПО ""ЮЖНАЯ СТОЛИЦА""")</f>
        <v>ООО ЦДПО "ЮЖНАЯ СТОЛИЦА"</v>
      </c>
      <c r="K4912" s="24" t="s">
        <v>7800</v>
      </c>
      <c r="L4912" s="28" t="s">
        <v>51</v>
      </c>
      <c r="M4912" s="28" t="s">
        <v>51</v>
      </c>
      <c r="N4912" s="28" t="s">
        <v>51</v>
      </c>
    </row>
    <row r="4913" spans="1:14" ht="12.75" hidden="1" outlineLevel="1" x14ac:dyDescent="0.2">
      <c r="A4913" s="23" t="str">
        <f>HYPERLINK("https://www.spark-marketing.ru/Card/Person/17900", "ГКУ КК ЦЗН ГОРОДА КРАСНОДАРА")</f>
        <v>ГКУ КК ЦЗН ГОРОДА КРАСНОДАРА</v>
      </c>
      <c r="B4913" s="24" t="s">
        <v>7798</v>
      </c>
      <c r="C4913" s="25">
        <v>88333.35</v>
      </c>
      <c r="D4913" s="22" t="s">
        <v>7799</v>
      </c>
      <c r="E4913" s="22" t="s">
        <v>2599</v>
      </c>
      <c r="F4913" s="23" t="str">
        <f>HYPERLINK("https://www.spark-marketing.ru/Card/Lot/73124387", "Оказание услуг по  дополнительному профессиональному образованию лиц предпенсионного возраста сфере общественного питания")</f>
        <v>Оказание услуг по  дополнительному профессиональному образованию лиц предпенсионного возраста сфере общественного питания</v>
      </c>
      <c r="G4913" s="22" t="s">
        <v>104</v>
      </c>
      <c r="H4913" s="22" t="s">
        <v>120</v>
      </c>
      <c r="I4913" s="26">
        <v>43706.718831018501</v>
      </c>
      <c r="J4913" s="23" t="str">
        <f>HYPERLINK("https://www.spark-marketing.ru/Card/Person/1157047", "ООО ЦДПО ""ЮЖНАЯ СТОЛИЦА""")</f>
        <v>ООО ЦДПО "ЮЖНАЯ СТОЛИЦА"</v>
      </c>
      <c r="K4913" s="24" t="s">
        <v>7800</v>
      </c>
      <c r="L4913" s="22" t="s">
        <v>10</v>
      </c>
      <c r="M4913" s="25">
        <v>87891.68</v>
      </c>
      <c r="N4913" s="27">
        <v>5.0000367924458878E-3</v>
      </c>
    </row>
    <row r="4914" spans="1:14" x14ac:dyDescent="0.15">
      <c r="A4914" s="23" t="str">
        <f>HYPERLINK("https://www.spark-marketing.ru/Card/Person/118724", "ОТДЕЛ МВД РОССИИ ПО ГОРОДУ ГОРЯЧИЙ КЛЮЧ")</f>
        <v>ОТДЕЛ МВД РОССИИ ПО ГОРОДУ ГОРЯЧИЙ КЛЮЧ</v>
      </c>
      <c r="B4914" s="24" t="s">
        <v>7801</v>
      </c>
      <c r="C4914" s="25">
        <v>1600000</v>
      </c>
      <c r="D4914" s="22" t="s">
        <v>7802</v>
      </c>
      <c r="E4914" s="22" t="s">
        <v>48</v>
      </c>
      <c r="F4914" s="23" t="str">
        <f>HYPERLINK("https://www.spark-marketing.ru/Card/Lot/73126257", "Организация и обеспечение трехразовым питанием граждан ,содержащихся в ИВС Отдела МВД России по городу Горячий Ключ")</f>
        <v>Организация и обеспечение трехразовым питанием граждан ,содержащихся в ИВС Отдела МВД России по городу Горячий Ключ</v>
      </c>
      <c r="G4914" s="22" t="s">
        <v>104</v>
      </c>
      <c r="H4914" s="22" t="s">
        <v>7803</v>
      </c>
      <c r="I4914" s="26">
        <v>43706.730590277803</v>
      </c>
      <c r="J4914" s="23" t="str">
        <f>HYPERLINK("https://www.spark-marketing.ru/Card/Person/85328", "Бессонов Михаил Сергеевич")</f>
        <v>Бессонов Михаил Сергеевич</v>
      </c>
      <c r="K4914" s="24" t="s">
        <v>7804</v>
      </c>
      <c r="L4914" s="22" t="s">
        <v>10</v>
      </c>
      <c r="M4914" s="28" t="s">
        <v>51</v>
      </c>
      <c r="N4914" s="28" t="s">
        <v>51</v>
      </c>
    </row>
    <row r="4915" spans="1:14" collapsed="1" x14ac:dyDescent="0.15">
      <c r="A4915" s="23" t="s">
        <v>114</v>
      </c>
      <c r="B4915" s="28" t="s">
        <v>51</v>
      </c>
      <c r="C4915" s="25">
        <v>15495952</v>
      </c>
      <c r="D4915" s="22" t="s">
        <v>7805</v>
      </c>
      <c r="E4915" s="22" t="s">
        <v>96</v>
      </c>
      <c r="F4915" s="23" t="str">
        <f t="shared" ref="F4915:F4927" si="86">HYPERLINK("https://www.spark-marketing.ru/Card/Lot/73129867", "оказание услуг по организации горячего питания школьников на 2019-2020 учебный год.")</f>
        <v>оказание услуг по организации горячего питания школьников на 2019-2020 учебный год.</v>
      </c>
      <c r="G4915" s="22" t="s">
        <v>51</v>
      </c>
      <c r="H4915" s="22" t="s">
        <v>51</v>
      </c>
      <c r="I4915" s="26">
        <v>43706.712210648097</v>
      </c>
      <c r="J4915" s="28" t="s">
        <v>51</v>
      </c>
      <c r="K4915" s="28" t="s">
        <v>51</v>
      </c>
      <c r="L4915" s="28" t="s">
        <v>51</v>
      </c>
      <c r="M4915" s="28" t="s">
        <v>51</v>
      </c>
      <c r="N4915" s="28" t="s">
        <v>51</v>
      </c>
    </row>
    <row r="4916" spans="1:14" hidden="1" outlineLevel="1" x14ac:dyDescent="0.15">
      <c r="A4916" s="23" t="str">
        <f>HYPERLINK("https://www.spark-marketing.ru/Card/Person/119038", "МБОУ СОШ № 37")</f>
        <v>МБОУ СОШ № 37</v>
      </c>
      <c r="B4916" s="24" t="s">
        <v>7806</v>
      </c>
      <c r="C4916" s="25">
        <v>1788276</v>
      </c>
      <c r="D4916" s="22" t="s">
        <v>7805</v>
      </c>
      <c r="E4916" s="22" t="s">
        <v>96</v>
      </c>
      <c r="F4916" s="23" t="str">
        <f t="shared" si="86"/>
        <v>оказание услуг по организации горячего питания школьников на 2019-2020 учебный год.</v>
      </c>
      <c r="G4916" s="22" t="s">
        <v>82</v>
      </c>
      <c r="H4916" s="22" t="s">
        <v>83</v>
      </c>
      <c r="I4916" s="26">
        <v>43706.712210648097</v>
      </c>
      <c r="J4916" s="28" t="s">
        <v>51</v>
      </c>
      <c r="K4916" s="28" t="s">
        <v>51</v>
      </c>
      <c r="L4916" s="28" t="s">
        <v>51</v>
      </c>
      <c r="M4916" s="28" t="s">
        <v>51</v>
      </c>
      <c r="N4916" s="28" t="s">
        <v>51</v>
      </c>
    </row>
    <row r="4917" spans="1:14" hidden="1" outlineLevel="1" x14ac:dyDescent="0.15">
      <c r="A4917" s="23" t="str">
        <f>HYPERLINK("https://www.spark-marketing.ru/Card/Person/119133", "МБОУ СОШ №16")</f>
        <v>МБОУ СОШ №16</v>
      </c>
      <c r="B4917" s="24" t="s">
        <v>7807</v>
      </c>
      <c r="C4917" s="25">
        <v>1111298</v>
      </c>
      <c r="D4917" s="22" t="s">
        <v>7805</v>
      </c>
      <c r="E4917" s="22" t="s">
        <v>96</v>
      </c>
      <c r="F4917" s="23" t="str">
        <f t="shared" si="86"/>
        <v>оказание услуг по организации горячего питания школьников на 2019-2020 учебный год.</v>
      </c>
      <c r="G4917" s="22" t="s">
        <v>82</v>
      </c>
      <c r="H4917" s="22" t="s">
        <v>83</v>
      </c>
      <c r="I4917" s="26">
        <v>43706.712210648097</v>
      </c>
      <c r="J4917" s="28" t="s">
        <v>51</v>
      </c>
      <c r="K4917" s="28" t="s">
        <v>51</v>
      </c>
      <c r="L4917" s="28" t="s">
        <v>51</v>
      </c>
      <c r="M4917" s="28" t="s">
        <v>51</v>
      </c>
      <c r="N4917" s="28" t="s">
        <v>51</v>
      </c>
    </row>
    <row r="4918" spans="1:14" hidden="1" outlineLevel="1" x14ac:dyDescent="0.15">
      <c r="A4918" s="23" t="str">
        <f>HYPERLINK("https://www.spark-marketing.ru/Card/Person/120237", "МБОУ СОШ № 62")</f>
        <v>МБОУ СОШ № 62</v>
      </c>
      <c r="B4918" s="24" t="s">
        <v>7808</v>
      </c>
      <c r="C4918" s="25">
        <v>1728618</v>
      </c>
      <c r="D4918" s="22" t="s">
        <v>7805</v>
      </c>
      <c r="E4918" s="22" t="s">
        <v>96</v>
      </c>
      <c r="F4918" s="23" t="str">
        <f t="shared" si="86"/>
        <v>оказание услуг по организации горячего питания школьников на 2019-2020 учебный год.</v>
      </c>
      <c r="G4918" s="22" t="s">
        <v>82</v>
      </c>
      <c r="H4918" s="22" t="s">
        <v>83</v>
      </c>
      <c r="I4918" s="26">
        <v>43706.712210648097</v>
      </c>
      <c r="J4918" s="28" t="s">
        <v>51</v>
      </c>
      <c r="K4918" s="28" t="s">
        <v>51</v>
      </c>
      <c r="L4918" s="28" t="s">
        <v>51</v>
      </c>
      <c r="M4918" s="28" t="s">
        <v>51</v>
      </c>
      <c r="N4918" s="28" t="s">
        <v>51</v>
      </c>
    </row>
    <row r="4919" spans="1:14" hidden="1" outlineLevel="1" x14ac:dyDescent="0.15">
      <c r="A4919" s="23" t="str">
        <f>HYPERLINK("https://www.spark-marketing.ru/Card/Person/120296", "ШКОЛА № 28 ГОРОДА ВОРОНЕЖА")</f>
        <v>ШКОЛА № 28 ГОРОДА ВОРОНЕЖА</v>
      </c>
      <c r="B4919" s="24" t="s">
        <v>7809</v>
      </c>
      <c r="C4919" s="25">
        <v>2523936</v>
      </c>
      <c r="D4919" s="22" t="s">
        <v>7805</v>
      </c>
      <c r="E4919" s="22" t="s">
        <v>96</v>
      </c>
      <c r="F4919" s="23" t="str">
        <f t="shared" si="86"/>
        <v>оказание услуг по организации горячего питания школьников на 2019-2020 учебный год.</v>
      </c>
      <c r="G4919" s="22" t="s">
        <v>82</v>
      </c>
      <c r="H4919" s="22" t="s">
        <v>83</v>
      </c>
      <c r="I4919" s="26">
        <v>43706.712210648097</v>
      </c>
      <c r="J4919" s="28" t="s">
        <v>51</v>
      </c>
      <c r="K4919" s="28" t="s">
        <v>51</v>
      </c>
      <c r="L4919" s="28" t="s">
        <v>51</v>
      </c>
      <c r="M4919" s="28" t="s">
        <v>51</v>
      </c>
      <c r="N4919" s="28" t="s">
        <v>51</v>
      </c>
    </row>
    <row r="4920" spans="1:14" hidden="1" outlineLevel="1" x14ac:dyDescent="0.15">
      <c r="A4920" s="23" t="str">
        <f>HYPERLINK("https://www.spark-marketing.ru/Card/Person/234871", "МБОУ СОШ № 5 ИМ.К.П. ФЕОКТИСТОВА")</f>
        <v>МБОУ СОШ № 5 ИМ.К.П. ФЕОКТИСТОВА</v>
      </c>
      <c r="B4920" s="24" t="s">
        <v>7810</v>
      </c>
      <c r="C4920" s="25">
        <v>2038498</v>
      </c>
      <c r="D4920" s="22" t="s">
        <v>7805</v>
      </c>
      <c r="E4920" s="22" t="s">
        <v>96</v>
      </c>
      <c r="F4920" s="23" t="str">
        <f t="shared" si="86"/>
        <v>оказание услуг по организации горячего питания школьников на 2019-2020 учебный год.</v>
      </c>
      <c r="G4920" s="22" t="s">
        <v>82</v>
      </c>
      <c r="H4920" s="22" t="s">
        <v>83</v>
      </c>
      <c r="I4920" s="26">
        <v>43706.712210648097</v>
      </c>
      <c r="J4920" s="28" t="s">
        <v>51</v>
      </c>
      <c r="K4920" s="28" t="s">
        <v>51</v>
      </c>
      <c r="L4920" s="28" t="s">
        <v>51</v>
      </c>
      <c r="M4920" s="28" t="s">
        <v>51</v>
      </c>
      <c r="N4920" s="28" t="s">
        <v>51</v>
      </c>
    </row>
    <row r="4921" spans="1:14" hidden="1" outlineLevel="1" x14ac:dyDescent="0.15">
      <c r="A4921" s="23" t="str">
        <f>HYPERLINK("https://www.spark-marketing.ru/Card/Person/1005752", "МБОУ СОШ №9")</f>
        <v>МБОУ СОШ №9</v>
      </c>
      <c r="B4921" s="24" t="s">
        <v>7811</v>
      </c>
      <c r="C4921" s="25">
        <v>2053504</v>
      </c>
      <c r="D4921" s="22" t="s">
        <v>7805</v>
      </c>
      <c r="E4921" s="22" t="s">
        <v>96</v>
      </c>
      <c r="F4921" s="23" t="str">
        <f t="shared" si="86"/>
        <v>оказание услуг по организации горячего питания школьников на 2019-2020 учебный год.</v>
      </c>
      <c r="G4921" s="22" t="s">
        <v>82</v>
      </c>
      <c r="H4921" s="22" t="s">
        <v>83</v>
      </c>
      <c r="I4921" s="26">
        <v>43706.712210648097</v>
      </c>
      <c r="J4921" s="28" t="s">
        <v>51</v>
      </c>
      <c r="K4921" s="28" t="s">
        <v>51</v>
      </c>
      <c r="L4921" s="28" t="s">
        <v>51</v>
      </c>
      <c r="M4921" s="28" t="s">
        <v>51</v>
      </c>
      <c r="N4921" s="28" t="s">
        <v>51</v>
      </c>
    </row>
    <row r="4922" spans="1:14" hidden="1" outlineLevel="1" x14ac:dyDescent="0.15">
      <c r="A4922" s="23" t="str">
        <f>HYPERLINK("https://www.spark-marketing.ru/Card/Person/1022700", "МБОУ СОШ № 11 ИМ. А.С.ПУШКИНА")</f>
        <v>МБОУ СОШ № 11 ИМ. А.С.ПУШКИНА</v>
      </c>
      <c r="B4922" s="24" t="s">
        <v>7812</v>
      </c>
      <c r="C4922" s="25">
        <v>950502</v>
      </c>
      <c r="D4922" s="22" t="s">
        <v>7805</v>
      </c>
      <c r="E4922" s="22" t="s">
        <v>96</v>
      </c>
      <c r="F4922" s="23" t="str">
        <f t="shared" si="86"/>
        <v>оказание услуг по организации горячего питания школьников на 2019-2020 учебный год.</v>
      </c>
      <c r="G4922" s="22" t="s">
        <v>82</v>
      </c>
      <c r="H4922" s="22" t="s">
        <v>83</v>
      </c>
      <c r="I4922" s="26">
        <v>43706.712210648097</v>
      </c>
      <c r="J4922" s="28" t="s">
        <v>51</v>
      </c>
      <c r="K4922" s="28" t="s">
        <v>51</v>
      </c>
      <c r="L4922" s="28" t="s">
        <v>51</v>
      </c>
      <c r="M4922" s="28" t="s">
        <v>51</v>
      </c>
      <c r="N4922" s="28" t="s">
        <v>51</v>
      </c>
    </row>
    <row r="4923" spans="1:14" hidden="1" outlineLevel="1" x14ac:dyDescent="0.15">
      <c r="A4923" s="23" t="str">
        <f>HYPERLINK("https://www.spark-marketing.ru/Card/Person/1026664", "МБОУ СОШ № 20")</f>
        <v>МБОУ СОШ № 20</v>
      </c>
      <c r="B4923" s="24" t="s">
        <v>7813</v>
      </c>
      <c r="C4923" s="25">
        <v>2578104</v>
      </c>
      <c r="D4923" s="22" t="s">
        <v>7805</v>
      </c>
      <c r="E4923" s="22" t="s">
        <v>96</v>
      </c>
      <c r="F4923" s="23" t="str">
        <f t="shared" si="86"/>
        <v>оказание услуг по организации горячего питания школьников на 2019-2020 учебный год.</v>
      </c>
      <c r="G4923" s="22" t="s">
        <v>82</v>
      </c>
      <c r="H4923" s="22" t="s">
        <v>83</v>
      </c>
      <c r="I4923" s="26">
        <v>43706.712210648097</v>
      </c>
      <c r="J4923" s="28" t="s">
        <v>51</v>
      </c>
      <c r="K4923" s="28" t="s">
        <v>51</v>
      </c>
      <c r="L4923" s="28" t="s">
        <v>51</v>
      </c>
      <c r="M4923" s="28" t="s">
        <v>51</v>
      </c>
      <c r="N4923" s="28" t="s">
        <v>51</v>
      </c>
    </row>
    <row r="4924" spans="1:14" hidden="1" outlineLevel="1" x14ac:dyDescent="0.15">
      <c r="A4924" s="23" t="str">
        <f>HYPERLINK("https://www.spark-marketing.ru/Card/Person/1028903", "МБОУ ООШ № 42")</f>
        <v>МБОУ ООШ № 42</v>
      </c>
      <c r="B4924" s="24" t="s">
        <v>7814</v>
      </c>
      <c r="C4924" s="25">
        <v>723216</v>
      </c>
      <c r="D4924" s="22" t="s">
        <v>7805</v>
      </c>
      <c r="E4924" s="22" t="s">
        <v>96</v>
      </c>
      <c r="F4924" s="23" t="str">
        <f t="shared" si="86"/>
        <v>оказание услуг по организации горячего питания школьников на 2019-2020 учебный год.</v>
      </c>
      <c r="G4924" s="22" t="s">
        <v>82</v>
      </c>
      <c r="H4924" s="22" t="s">
        <v>83</v>
      </c>
      <c r="I4924" s="26">
        <v>43706.712210648097</v>
      </c>
      <c r="J4924" s="28" t="s">
        <v>51</v>
      </c>
      <c r="K4924" s="28" t="s">
        <v>51</v>
      </c>
      <c r="L4924" s="28" t="s">
        <v>51</v>
      </c>
      <c r="M4924" s="28" t="s">
        <v>51</v>
      </c>
      <c r="N4924" s="28" t="s">
        <v>51</v>
      </c>
    </row>
    <row r="4925" spans="1:14" hidden="1" outlineLevel="1" x14ac:dyDescent="0.2">
      <c r="A4925" s="28" t="s">
        <v>51</v>
      </c>
      <c r="B4925" s="28" t="s">
        <v>51</v>
      </c>
      <c r="C4925" s="28" t="s">
        <v>51</v>
      </c>
      <c r="D4925" s="22" t="s">
        <v>7805</v>
      </c>
      <c r="E4925" s="22" t="s">
        <v>96</v>
      </c>
      <c r="F4925" s="23" t="str">
        <f t="shared" si="86"/>
        <v>оказание услуг по организации горячего питания школьников на 2019-2020 учебный год.</v>
      </c>
      <c r="G4925" s="22" t="s">
        <v>51</v>
      </c>
      <c r="H4925" s="22" t="s">
        <v>51</v>
      </c>
      <c r="I4925" s="26">
        <v>43706.712210648097</v>
      </c>
      <c r="J4925" s="23" t="str">
        <f>HYPERLINK("https://www.spark-marketing.ru/Card/Person/81010", "ООО ""ТД СПП""")</f>
        <v>ООО "ТД СПП"</v>
      </c>
      <c r="K4925" s="24" t="s">
        <v>7782</v>
      </c>
      <c r="L4925" s="28" t="s">
        <v>51</v>
      </c>
      <c r="M4925" s="25">
        <v>15495952</v>
      </c>
      <c r="N4925" s="27">
        <v>0</v>
      </c>
    </row>
    <row r="4926" spans="1:14" hidden="1" outlineLevel="1" x14ac:dyDescent="0.2">
      <c r="A4926" s="28" t="s">
        <v>51</v>
      </c>
      <c r="B4926" s="28" t="s">
        <v>51</v>
      </c>
      <c r="C4926" s="28" t="s">
        <v>51</v>
      </c>
      <c r="D4926" s="22" t="s">
        <v>7805</v>
      </c>
      <c r="E4926" s="22" t="s">
        <v>96</v>
      </c>
      <c r="F4926" s="23" t="str">
        <f t="shared" si="86"/>
        <v>оказание услуг по организации горячего питания школьников на 2019-2020 учебный год.</v>
      </c>
      <c r="G4926" s="22" t="s">
        <v>51</v>
      </c>
      <c r="H4926" s="22" t="s">
        <v>51</v>
      </c>
      <c r="I4926" s="26">
        <v>43706.712210648097</v>
      </c>
      <c r="J4926" s="23" t="str">
        <f>HYPERLINK("https://www.spark-marketing.ru/Card/Person/89737", "ООО ""ИНДИКАТ""")</f>
        <v>ООО "ИНДИКАТ"</v>
      </c>
      <c r="K4926" s="24" t="s">
        <v>7815</v>
      </c>
      <c r="L4926" s="28" t="s">
        <v>51</v>
      </c>
      <c r="M4926" s="25">
        <v>15495870</v>
      </c>
      <c r="N4926" s="27">
        <v>5.2917045690384176E-6</v>
      </c>
    </row>
    <row r="4927" spans="1:14" hidden="1" outlineLevel="1" x14ac:dyDescent="0.2">
      <c r="A4927" s="28" t="s">
        <v>51</v>
      </c>
      <c r="B4927" s="28" t="s">
        <v>51</v>
      </c>
      <c r="C4927" s="28" t="s">
        <v>51</v>
      </c>
      <c r="D4927" s="22" t="s">
        <v>7805</v>
      </c>
      <c r="E4927" s="22" t="s">
        <v>96</v>
      </c>
      <c r="F4927" s="23" t="str">
        <f t="shared" si="86"/>
        <v>оказание услуг по организации горячего питания школьников на 2019-2020 учебный год.</v>
      </c>
      <c r="G4927" s="22" t="s">
        <v>51</v>
      </c>
      <c r="H4927" s="22" t="s">
        <v>51</v>
      </c>
      <c r="I4927" s="26">
        <v>43706.712210648097</v>
      </c>
      <c r="J4927" s="23" t="str">
        <f>HYPERLINK("https://www.spark-marketing.ru/Card/Person/16210", "ООО ""ГК ФЬЮЖЕН МЕНЕДЖМЕНТ""")</f>
        <v>ООО "ГК ФЬЮЖЕН МЕНЕДЖМЕНТ"</v>
      </c>
      <c r="K4927" s="24" t="s">
        <v>1675</v>
      </c>
      <c r="L4927" s="22" t="s">
        <v>10</v>
      </c>
      <c r="M4927" s="25">
        <v>15217572.4</v>
      </c>
      <c r="N4927" s="27">
        <v>1.7964665868866914E-2</v>
      </c>
    </row>
    <row r="4928" spans="1:14" x14ac:dyDescent="0.15">
      <c r="A4928" s="23" t="str">
        <f>HYPERLINK("https://www.spark-marketing.ru/Card/Person/1002074", "ОМВД РОССИИ ПО СЕРДОБСКОМУ РАЙОНУ")</f>
        <v>ОМВД РОССИИ ПО СЕРДОБСКОМУ РАЙОНУ</v>
      </c>
      <c r="B4928" s="24" t="s">
        <v>70</v>
      </c>
      <c r="C4928" s="25">
        <v>160555</v>
      </c>
      <c r="D4928" s="22" t="s">
        <v>7816</v>
      </c>
      <c r="E4928" s="22" t="s">
        <v>48</v>
      </c>
      <c r="F4928" s="23" t="str">
        <f>HYPERLINK("https://www.spark-marketing.ru/Card/Lot/73118739", "Услуга организации трехразового питания в г.Орел и Орловской области, 478 усл. ед")</f>
        <v>Услуга организации трехразового питания в г.Орел и Орловской области, 478 усл. ед</v>
      </c>
      <c r="G4928" s="22" t="s">
        <v>72</v>
      </c>
      <c r="H4928" s="22" t="s">
        <v>73</v>
      </c>
      <c r="I4928" s="26">
        <v>43706.691087963001</v>
      </c>
      <c r="J4928" s="28" t="s">
        <v>51</v>
      </c>
      <c r="K4928" s="28" t="s">
        <v>51</v>
      </c>
      <c r="L4928" s="28" t="s">
        <v>51</v>
      </c>
      <c r="M4928" s="28" t="s">
        <v>51</v>
      </c>
      <c r="N4928" s="28" t="s">
        <v>51</v>
      </c>
    </row>
    <row r="4929" spans="1:14" collapsed="1" x14ac:dyDescent="0.15">
      <c r="A4929" s="23" t="str">
        <f>HYPERLINK("https://www.spark-marketing.ru/Card/Person/165606", "ОМВД РОССИИ ПО НАНАЙСКОМУ РАЙОНУ")</f>
        <v>ОМВД РОССИИ ПО НАНАЙСКОМУ РАЙОНУ</v>
      </c>
      <c r="B4929" s="24" t="s">
        <v>7817</v>
      </c>
      <c r="C4929" s="25">
        <v>528350</v>
      </c>
      <c r="D4929" s="22" t="s">
        <v>7818</v>
      </c>
      <c r="E4929" s="22" t="s">
        <v>48</v>
      </c>
      <c r="F4929" s="23" t="str">
        <f>HYPERLINK("https://www.spark-marketing.ru/Card/Lot/73105578", "Услуги по организации питание граждан содержащиеся в ИВС ПиО ОМВД России по Нанайскому району")</f>
        <v>Услуги по организации питание граждан содержащиеся в ИВС ПиО ОМВД России по Нанайскому району</v>
      </c>
      <c r="G4929" s="22" t="s">
        <v>1096</v>
      </c>
      <c r="H4929" s="22" t="s">
        <v>7819</v>
      </c>
      <c r="I4929" s="26">
        <v>43706.6245949074</v>
      </c>
      <c r="J4929" s="23" t="str">
        <f>HYPERLINK("https://www.spark-marketing.ru/Card/Person/2577638", "ООО ""КАРАТ""")</f>
        <v>ООО "КАРАТ"</v>
      </c>
      <c r="K4929" s="24" t="s">
        <v>7820</v>
      </c>
      <c r="L4929" s="28" t="s">
        <v>51</v>
      </c>
      <c r="M4929" s="28" t="s">
        <v>51</v>
      </c>
      <c r="N4929" s="28" t="s">
        <v>51</v>
      </c>
    </row>
    <row r="4930" spans="1:14" ht="12.75" hidden="1" outlineLevel="1" x14ac:dyDescent="0.2">
      <c r="A4930" s="23" t="str">
        <f>HYPERLINK("https://www.spark-marketing.ru/Card/Person/165606", "ОМВД РОССИИ ПО НАНАЙСКОМУ РАЙОНУ")</f>
        <v>ОМВД РОССИИ ПО НАНАЙСКОМУ РАЙОНУ</v>
      </c>
      <c r="B4930" s="24" t="s">
        <v>7817</v>
      </c>
      <c r="C4930" s="25">
        <v>528350</v>
      </c>
      <c r="D4930" s="22" t="s">
        <v>7818</v>
      </c>
      <c r="E4930" s="22" t="s">
        <v>48</v>
      </c>
      <c r="F4930" s="23" t="str">
        <f>HYPERLINK("https://www.spark-marketing.ru/Card/Lot/73105578", "Услуги по организации питание граждан содержащиеся в ИВС ПиО ОМВД России по Нанайскому району")</f>
        <v>Услуги по организации питание граждан содержащиеся в ИВС ПиО ОМВД России по Нанайскому району</v>
      </c>
      <c r="G4930" s="22" t="s">
        <v>1096</v>
      </c>
      <c r="H4930" s="22" t="s">
        <v>7819</v>
      </c>
      <c r="I4930" s="26">
        <v>43706.6245949074</v>
      </c>
      <c r="J4930" s="23" t="str">
        <f>HYPERLINK("https://www.spark-marketing.ru/Card/Person/2577638", "ООО ""КАРАТ""")</f>
        <v>ООО "КАРАТ"</v>
      </c>
      <c r="K4930" s="24" t="s">
        <v>7820</v>
      </c>
      <c r="L4930" s="22" t="s">
        <v>10</v>
      </c>
      <c r="M4930" s="25">
        <v>525708.25</v>
      </c>
      <c r="N4930" s="27">
        <v>5.0000000000000001E-3</v>
      </c>
    </row>
    <row r="4931" spans="1:14" x14ac:dyDescent="0.15">
      <c r="A4931" s="23" t="str">
        <f>HYPERLINK("https://www.spark-marketing.ru/Card/Person/13859", "УМВД РОССИИ ПО Г. МУРМАНСКУ")</f>
        <v>УМВД РОССИИ ПО Г. МУРМАНСКУ</v>
      </c>
      <c r="B4931" s="24" t="s">
        <v>345</v>
      </c>
      <c r="C4931" s="25">
        <v>1145000</v>
      </c>
      <c r="D4931" s="22" t="s">
        <v>7821</v>
      </c>
      <c r="E4931" s="22" t="s">
        <v>48</v>
      </c>
      <c r="F4931" s="23" t="str">
        <f>HYPERLINK("https://www.spark-marketing.ru/Card/Lot/73124687", "оказание услуг по организации и поставке ежедневного питания лиц задержанных в административном порядке и  содержащихся в изоляторах временного содержания  отделов полиции № 1 и № 2 УМВД России по г. Мурманску для государственных нужд УМВД России по ...")</f>
        <v>оказание услуг по организации и поставке ежедневного питания лиц задержанных в административном порядке и  содержащихся в изоляторах временного содержания  отделов полиции № 1 и № 2 УМВД России по г. Мурманску для государственных нужд УМВД России по ...</v>
      </c>
      <c r="G4931" s="22" t="s">
        <v>340</v>
      </c>
      <c r="H4931" s="22" t="s">
        <v>341</v>
      </c>
      <c r="I4931" s="26">
        <v>43706.6778009259</v>
      </c>
      <c r="J4931" s="23" t="str">
        <f>HYPERLINK("https://www.spark-marketing.ru/Card/Person/107642", "ООО ""КОМПИТ51""")</f>
        <v>ООО "КОМПИТ51"</v>
      </c>
      <c r="K4931" s="24" t="s">
        <v>7528</v>
      </c>
      <c r="L4931" s="22" t="s">
        <v>10</v>
      </c>
      <c r="M4931" s="28" t="s">
        <v>51</v>
      </c>
      <c r="N4931" s="28" t="s">
        <v>51</v>
      </c>
    </row>
    <row r="4932" spans="1:14" collapsed="1" x14ac:dyDescent="0.15">
      <c r="A4932" s="23" t="str">
        <f>HYPERLINK("https://www.spark-marketing.ru/Card/Person/118724", "ОТДЕЛ МВД РОССИИ ПО ГОРОДУ ГОРЯЧИЙ КЛЮЧ")</f>
        <v>ОТДЕЛ МВД РОССИИ ПО ГОРОДУ ГОРЯЧИЙ КЛЮЧ</v>
      </c>
      <c r="B4932" s="24" t="s">
        <v>7801</v>
      </c>
      <c r="C4932" s="25">
        <v>220000</v>
      </c>
      <c r="D4932" s="22" t="s">
        <v>7822</v>
      </c>
      <c r="E4932" s="22" t="s">
        <v>48</v>
      </c>
      <c r="F4932" s="23" t="str">
        <f>HYPERLINK("https://www.spark-marketing.ru/Card/Lot/73123552", "Организация и обеспечение трехразовым питанием граждан, содержащихся в ИВС Отдела МВД России по городу Горячий Ключ")</f>
        <v>Организация и обеспечение трехразовым питанием граждан, содержащихся в ИВС Отдела МВД России по городу Горячий Ключ</v>
      </c>
      <c r="G4932" s="22" t="s">
        <v>104</v>
      </c>
      <c r="H4932" s="22" t="s">
        <v>7803</v>
      </c>
      <c r="I4932" s="26">
        <v>43706.698460648098</v>
      </c>
      <c r="J4932" s="28" t="s">
        <v>51</v>
      </c>
      <c r="K4932" s="28" t="s">
        <v>51</v>
      </c>
      <c r="L4932" s="28" t="s">
        <v>51</v>
      </c>
      <c r="M4932" s="28" t="s">
        <v>51</v>
      </c>
      <c r="N4932" s="28" t="s">
        <v>51</v>
      </c>
    </row>
    <row r="4933" spans="1:14" hidden="1" outlineLevel="1" x14ac:dyDescent="0.2">
      <c r="A4933" s="23" t="str">
        <f>HYPERLINK("https://www.spark-marketing.ru/Card/Person/118724", "ОТДЕЛ МВД РОССИИ ПО ГОРОДУ ГОРЯЧИЙ КЛЮЧ")</f>
        <v>ОТДЕЛ МВД РОССИИ ПО ГОРОДУ ГОРЯЧИЙ КЛЮЧ</v>
      </c>
      <c r="B4933" s="24" t="s">
        <v>7801</v>
      </c>
      <c r="C4933" s="25">
        <v>220000</v>
      </c>
      <c r="D4933" s="22" t="s">
        <v>7822</v>
      </c>
      <c r="E4933" s="22" t="s">
        <v>48</v>
      </c>
      <c r="F4933" s="23" t="str">
        <f>HYPERLINK("https://www.spark-marketing.ru/Card/Lot/73123552", "Организация и обеспечение трехразовым питанием граждан, содержащихся в ИВС Отдела МВД России по городу Горячий Ключ")</f>
        <v>Организация и обеспечение трехразовым питанием граждан, содержащихся в ИВС Отдела МВД России по городу Горячий Ключ</v>
      </c>
      <c r="G4933" s="22" t="s">
        <v>104</v>
      </c>
      <c r="H4933" s="22" t="s">
        <v>7803</v>
      </c>
      <c r="I4933" s="26">
        <v>43706.698460648098</v>
      </c>
      <c r="J4933" s="23" t="str">
        <f>HYPERLINK("https://www.spark-marketing.ru/Card/Person/1944082", "ООО ""ВИЗАВИА""")</f>
        <v>ООО "ВИЗАВИА"</v>
      </c>
      <c r="K4933" s="24" t="s">
        <v>6798</v>
      </c>
      <c r="L4933" s="28" t="s">
        <v>51</v>
      </c>
      <c r="M4933" s="25">
        <v>206800</v>
      </c>
      <c r="N4933" s="27">
        <v>0.06</v>
      </c>
    </row>
    <row r="4934" spans="1:14" ht="12.75" hidden="1" outlineLevel="1" x14ac:dyDescent="0.2">
      <c r="A4934" s="23" t="str">
        <f>HYPERLINK("https://www.spark-marketing.ru/Card/Person/118724", "ОТДЕЛ МВД РОССИИ ПО ГОРОДУ ГОРЯЧИЙ КЛЮЧ")</f>
        <v>ОТДЕЛ МВД РОССИИ ПО ГОРОДУ ГОРЯЧИЙ КЛЮЧ</v>
      </c>
      <c r="B4934" s="24" t="s">
        <v>7801</v>
      </c>
      <c r="C4934" s="25">
        <v>220000</v>
      </c>
      <c r="D4934" s="22" t="s">
        <v>7822</v>
      </c>
      <c r="E4934" s="22" t="s">
        <v>48</v>
      </c>
      <c r="F4934" s="23" t="str">
        <f>HYPERLINK("https://www.spark-marketing.ru/Card/Lot/73123552", "Организация и обеспечение трехразовым питанием граждан, содержащихся в ИВС Отдела МВД России по городу Горячий Ключ")</f>
        <v>Организация и обеспечение трехразовым питанием граждан, содержащихся в ИВС Отдела МВД России по городу Горячий Ключ</v>
      </c>
      <c r="G4934" s="22" t="s">
        <v>104</v>
      </c>
      <c r="H4934" s="22" t="s">
        <v>7803</v>
      </c>
      <c r="I4934" s="26">
        <v>43706.698460648098</v>
      </c>
      <c r="J4934" s="23" t="str">
        <f>HYPERLINK("https://www.spark-marketing.ru/Card/Person/85328", "Бессонов Михаил Сергеевич")</f>
        <v>Бессонов Михаил Сергеевич</v>
      </c>
      <c r="K4934" s="24" t="s">
        <v>7804</v>
      </c>
      <c r="L4934" s="22" t="s">
        <v>10</v>
      </c>
      <c r="M4934" s="25">
        <v>205700</v>
      </c>
      <c r="N4934" s="27">
        <v>6.5000000000000002E-2</v>
      </c>
    </row>
    <row r="4935" spans="1:14" collapsed="1" x14ac:dyDescent="0.15">
      <c r="A4935" s="23" t="str">
        <f>HYPERLINK("https://www.spark-marketing.ru/Card/Person/13859", "УМВД РОССИИ ПО Г. МУРМАНСКУ")</f>
        <v>УМВД РОССИИ ПО Г. МУРМАНСКУ</v>
      </c>
      <c r="B4935" s="24" t="s">
        <v>345</v>
      </c>
      <c r="C4935" s="25">
        <v>376000</v>
      </c>
      <c r="D4935" s="22" t="s">
        <v>7823</v>
      </c>
      <c r="E4935" s="22" t="s">
        <v>48</v>
      </c>
      <c r="F4935" s="23" t="str">
        <f>HYPERLINK("https://www.spark-marketing.ru/Card/Lot/73123924", "оказание услуг по организации и поставке ежедневного питания лиц, подозреваемых и обвиняемых в совершении преступлений, содержащихся в изоляторах временного содержания  отделов полиции №1 и № 2 УМВД России по г. Мурманску для государственных нужд УМВ...")</f>
        <v>оказание услуг по организации и поставке ежедневного питания лиц, подозреваемых и обвиняемых в совершении преступлений, содержащихся в изоляторах временного содержания  отделов полиции №1 и № 2 УМВД России по г. Мурманску для государственных нужд УМВ...</v>
      </c>
      <c r="G4935" s="22" t="s">
        <v>340</v>
      </c>
      <c r="H4935" s="22" t="s">
        <v>341</v>
      </c>
      <c r="I4935" s="26">
        <v>43706.676331018498</v>
      </c>
      <c r="J4935" s="23" t="str">
        <f>HYPERLINK("https://www.spark-marketing.ru/Card/Person/107642", "ООО ""КОМПИТ51""")</f>
        <v>ООО "КОМПИТ51"</v>
      </c>
      <c r="K4935" s="24" t="s">
        <v>7528</v>
      </c>
      <c r="L4935" s="28" t="s">
        <v>51</v>
      </c>
      <c r="M4935" s="28" t="s">
        <v>51</v>
      </c>
      <c r="N4935" s="28" t="s">
        <v>51</v>
      </c>
    </row>
    <row r="4936" spans="1:14" ht="12.75" hidden="1" outlineLevel="1" x14ac:dyDescent="0.2">
      <c r="A4936" s="23" t="str">
        <f>HYPERLINK("https://www.spark-marketing.ru/Card/Person/13859", "УМВД РОССИИ ПО Г. МУРМАНСКУ")</f>
        <v>УМВД РОССИИ ПО Г. МУРМАНСКУ</v>
      </c>
      <c r="B4936" s="24" t="s">
        <v>345</v>
      </c>
      <c r="C4936" s="25">
        <v>376000</v>
      </c>
      <c r="D4936" s="22" t="s">
        <v>7823</v>
      </c>
      <c r="E4936" s="22" t="s">
        <v>48</v>
      </c>
      <c r="F4936" s="23" t="str">
        <f>HYPERLINK("https://www.spark-marketing.ru/Card/Lot/73123924", "оказание услуг по организации и поставке ежедневного питания лиц, подозреваемых и обвиняемых в совершении преступлений, содержащихся в изоляторах временного содержания  отделов полиции №1 и № 2 УМВД России по г. Мурманску для государственных нужд УМВ...")</f>
        <v>оказание услуг по организации и поставке ежедневного питания лиц, подозреваемых и обвиняемых в совершении преступлений, содержащихся в изоляторах временного содержания  отделов полиции №1 и № 2 УМВД России по г. Мурманску для государственных нужд УМВ...</v>
      </c>
      <c r="G4936" s="22" t="s">
        <v>340</v>
      </c>
      <c r="H4936" s="22" t="s">
        <v>341</v>
      </c>
      <c r="I4936" s="26">
        <v>43706.676331018498</v>
      </c>
      <c r="J4936" s="23" t="str">
        <f>HYPERLINK("https://www.spark-marketing.ru/Card/Person/107642", "ООО ""КОМПИТ51""")</f>
        <v>ООО "КОМПИТ51"</v>
      </c>
      <c r="K4936" s="24" t="s">
        <v>7528</v>
      </c>
      <c r="L4936" s="22" t="s">
        <v>10</v>
      </c>
      <c r="M4936" s="25">
        <v>300</v>
      </c>
      <c r="N4936" s="27">
        <v>0.9992021276595745</v>
      </c>
    </row>
    <row r="4937" spans="1:14" x14ac:dyDescent="0.15">
      <c r="A4937" s="23" t="str">
        <f>HYPERLINK("https://www.spark-marketing.ru/Card/Person/1031798", "МКОУ ""СОШ № 12""")</f>
        <v>МКОУ "СОШ № 12"</v>
      </c>
      <c r="B4937" s="24" t="s">
        <v>7824</v>
      </c>
      <c r="C4937" s="25">
        <v>315750</v>
      </c>
      <c r="D4937" s="22" t="s">
        <v>7825</v>
      </c>
      <c r="E4937" s="22" t="s">
        <v>48</v>
      </c>
      <c r="F4937" s="23" t="str">
        <f>HYPERLINK("https://www.spark-marketing.ru/Card/Lot/73123414", "Услуги общественного питания (завтрак, неполный обед) для нужд МКОУ ""СОШ №12""")</f>
        <v>Услуги общественного питания (завтрак, неполный обед) для нужд МКОУ "СОШ №12"</v>
      </c>
      <c r="G4937" s="22" t="s">
        <v>87</v>
      </c>
      <c r="H4937" s="22" t="s">
        <v>7826</v>
      </c>
      <c r="I4937" s="26">
        <v>43706.650949074101</v>
      </c>
      <c r="J4937" s="23" t="str">
        <f>HYPERLINK("https://www.spark-marketing.ru/Card/Person/472829", "ООО ""ЗОЛОТОЙ ВЕК""")</f>
        <v>ООО "ЗОЛОТОЙ ВЕК"</v>
      </c>
      <c r="K4937" s="24" t="s">
        <v>7827</v>
      </c>
      <c r="L4937" s="22" t="s">
        <v>10</v>
      </c>
      <c r="M4937" s="28" t="s">
        <v>51</v>
      </c>
      <c r="N4937" s="28" t="s">
        <v>51</v>
      </c>
    </row>
    <row r="4938" spans="1:14" x14ac:dyDescent="0.15">
      <c r="A4938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4938" s="24" t="s">
        <v>309</v>
      </c>
      <c r="C4938" s="25">
        <v>498960</v>
      </c>
      <c r="D4938" s="22" t="s">
        <v>7828</v>
      </c>
      <c r="E4938" s="22" t="s">
        <v>48</v>
      </c>
      <c r="F4938" s="23" t="str">
        <f>HYPERLINK("https://www.spark-marketing.ru/Card/Lot/73123671", "Оказание услуг по питанию граждан, находящихся в спец. приемнике для содержания лиц, подвергнутых административному аресту")</f>
        <v>Оказание услуг по питанию граждан, находящихся в спец. приемнике для содержания лиц, подвергнутых административному аресту</v>
      </c>
      <c r="G4938" s="22" t="s">
        <v>49</v>
      </c>
      <c r="H4938" s="22" t="s">
        <v>5949</v>
      </c>
      <c r="I4938" s="26">
        <v>43706.537094907399</v>
      </c>
      <c r="J4938" s="28" t="s">
        <v>51</v>
      </c>
      <c r="K4938" s="28" t="s">
        <v>51</v>
      </c>
      <c r="L4938" s="28" t="s">
        <v>51</v>
      </c>
      <c r="M4938" s="28" t="s">
        <v>51</v>
      </c>
      <c r="N4938" s="28" t="s">
        <v>51</v>
      </c>
    </row>
    <row r="4939" spans="1:14" collapsed="1" x14ac:dyDescent="0.15">
      <c r="A4939" s="23" t="str">
        <f t="shared" ref="A4939:A4945" si="87">HYPERLINK("https://www.spark-marketing.ru/Card/Person/36711", "ФКУ ""ЦХИСО УМВД РОССИИ ПО ОМСКОЙ ОБЛАСТИ""")</f>
        <v>ФКУ "ЦХИСО УМВД РОССИИ ПО ОМСКОЙ ОБЛАСТИ"</v>
      </c>
      <c r="B4939" s="24" t="s">
        <v>7829</v>
      </c>
      <c r="C4939" s="25">
        <v>1118243.3999999999</v>
      </c>
      <c r="D4939" s="22" t="s">
        <v>7830</v>
      </c>
      <c r="E4939" s="22" t="s">
        <v>62</v>
      </c>
      <c r="F4939" s="23" t="str">
        <f t="shared" ref="F4939:F4945" si="88">HYPERLINK("https://www.spark-marketing.ru/Card/Lot/73114586", "Поставка бланочной продукции для нужд УМВД России по Омской области")</f>
        <v>Поставка бланочной продукции для нужд УМВД России по Омской области</v>
      </c>
      <c r="G4939" s="22" t="s">
        <v>487</v>
      </c>
      <c r="H4939" s="22" t="s">
        <v>487</v>
      </c>
      <c r="I4939" s="26">
        <v>43706.399270833303</v>
      </c>
      <c r="J4939" s="28" t="s">
        <v>51</v>
      </c>
      <c r="K4939" s="28" t="s">
        <v>51</v>
      </c>
      <c r="L4939" s="28" t="s">
        <v>51</v>
      </c>
      <c r="M4939" s="28" t="s">
        <v>51</v>
      </c>
      <c r="N4939" s="28" t="s">
        <v>51</v>
      </c>
    </row>
    <row r="4940" spans="1:14" hidden="1" outlineLevel="1" x14ac:dyDescent="0.2">
      <c r="A4940" s="23" t="str">
        <f t="shared" si="87"/>
        <v>ФКУ "ЦХИСО УМВД РОССИИ ПО ОМСКОЙ ОБЛАСТИ"</v>
      </c>
      <c r="B4940" s="24" t="s">
        <v>7829</v>
      </c>
      <c r="C4940" s="25">
        <v>1118243.3999999999</v>
      </c>
      <c r="D4940" s="22" t="s">
        <v>7830</v>
      </c>
      <c r="E4940" s="22" t="s">
        <v>62</v>
      </c>
      <c r="F4940" s="23" t="str">
        <f t="shared" si="88"/>
        <v>Поставка бланочной продукции для нужд УМВД России по Омской области</v>
      </c>
      <c r="G4940" s="22" t="s">
        <v>487</v>
      </c>
      <c r="H4940" s="22" t="s">
        <v>487</v>
      </c>
      <c r="I4940" s="26">
        <v>43706.399270833303</v>
      </c>
      <c r="J4940" s="23" t="str">
        <f>HYPERLINK("https://www.spark-marketing.ru/Card/Person/724201", "Шенфельд Светлана Викторовна")</f>
        <v>Шенфельд Светлана Викторовна</v>
      </c>
      <c r="K4940" s="24" t="s">
        <v>7831</v>
      </c>
      <c r="L4940" s="28" t="s">
        <v>51</v>
      </c>
      <c r="M4940" s="25">
        <v>500000</v>
      </c>
      <c r="N4940" s="27">
        <v>0.5528701533136704</v>
      </c>
    </row>
    <row r="4941" spans="1:14" hidden="1" outlineLevel="1" x14ac:dyDescent="0.2">
      <c r="A4941" s="23" t="str">
        <f t="shared" si="87"/>
        <v>ФКУ "ЦХИСО УМВД РОССИИ ПО ОМСКОЙ ОБЛАСТИ"</v>
      </c>
      <c r="B4941" s="24" t="s">
        <v>7829</v>
      </c>
      <c r="C4941" s="25">
        <v>1118243.3999999999</v>
      </c>
      <c r="D4941" s="22" t="s">
        <v>7830</v>
      </c>
      <c r="E4941" s="22" t="s">
        <v>62</v>
      </c>
      <c r="F4941" s="23" t="str">
        <f t="shared" si="88"/>
        <v>Поставка бланочной продукции для нужд УМВД России по Омской области</v>
      </c>
      <c r="G4941" s="22" t="s">
        <v>487</v>
      </c>
      <c r="H4941" s="22" t="s">
        <v>487</v>
      </c>
      <c r="I4941" s="26">
        <v>43706.399270833303</v>
      </c>
      <c r="J4941" s="23" t="str">
        <f>HYPERLINK("https://www.spark-marketing.ru/Card/Person/87072", "ООО ""ПЕЧАТНИК""")</f>
        <v>ООО "ПЕЧАТНИК"</v>
      </c>
      <c r="K4941" s="24" t="s">
        <v>7832</v>
      </c>
      <c r="L4941" s="28" t="s">
        <v>51</v>
      </c>
      <c r="M4941" s="25">
        <v>293648.40000000002</v>
      </c>
      <c r="N4941" s="27">
        <v>0.73740207185662798</v>
      </c>
    </row>
    <row r="4942" spans="1:14" hidden="1" outlineLevel="1" x14ac:dyDescent="0.2">
      <c r="A4942" s="23" t="str">
        <f t="shared" si="87"/>
        <v>ФКУ "ЦХИСО УМВД РОССИИ ПО ОМСКОЙ ОБЛАСТИ"</v>
      </c>
      <c r="B4942" s="24" t="s">
        <v>7829</v>
      </c>
      <c r="C4942" s="25">
        <v>1118243.3999999999</v>
      </c>
      <c r="D4942" s="22" t="s">
        <v>7830</v>
      </c>
      <c r="E4942" s="22" t="s">
        <v>62</v>
      </c>
      <c r="F4942" s="23" t="str">
        <f t="shared" si="88"/>
        <v>Поставка бланочной продукции для нужд УМВД России по Омской области</v>
      </c>
      <c r="G4942" s="22" t="s">
        <v>487</v>
      </c>
      <c r="H4942" s="22" t="s">
        <v>487</v>
      </c>
      <c r="I4942" s="26">
        <v>43706.399270833303</v>
      </c>
      <c r="J4942" s="23" t="str">
        <f>HYPERLINK("https://www.spark-marketing.ru/Card/Person/148599", "ООО ""БАРАБИНСКАЯ ТИПОГРАФИЯ""")</f>
        <v>ООО "БАРАБИНСКАЯ ТИПОГРАФИЯ"</v>
      </c>
      <c r="K4942" s="24" t="s">
        <v>4915</v>
      </c>
      <c r="L4942" s="28" t="s">
        <v>51</v>
      </c>
      <c r="M4942" s="25">
        <v>243400</v>
      </c>
      <c r="N4942" s="27">
        <v>0.7823371906330947</v>
      </c>
    </row>
    <row r="4943" spans="1:14" hidden="1" outlineLevel="1" x14ac:dyDescent="0.2">
      <c r="A4943" s="23" t="str">
        <f t="shared" si="87"/>
        <v>ФКУ "ЦХИСО УМВД РОССИИ ПО ОМСКОЙ ОБЛАСТИ"</v>
      </c>
      <c r="B4943" s="24" t="s">
        <v>7829</v>
      </c>
      <c r="C4943" s="25">
        <v>1118243.3999999999</v>
      </c>
      <c r="D4943" s="22" t="s">
        <v>7830</v>
      </c>
      <c r="E4943" s="22" t="s">
        <v>62</v>
      </c>
      <c r="F4943" s="23" t="str">
        <f t="shared" si="88"/>
        <v>Поставка бланочной продукции для нужд УМВД России по Омской области</v>
      </c>
      <c r="G4943" s="22" t="s">
        <v>487</v>
      </c>
      <c r="H4943" s="22" t="s">
        <v>487</v>
      </c>
      <c r="I4943" s="26">
        <v>43706.399270833303</v>
      </c>
      <c r="J4943" s="23" t="str">
        <f>HYPERLINK("https://www.spark-marketing.ru/Card/Person/6512372", "ООО ""ОМИКРОН""")</f>
        <v>ООО "ОМИКРОН"</v>
      </c>
      <c r="K4943" s="24" t="s">
        <v>7833</v>
      </c>
      <c r="L4943" s="28" t="s">
        <v>51</v>
      </c>
      <c r="M4943" s="25">
        <v>500000</v>
      </c>
      <c r="N4943" s="27">
        <v>0.5528701533136704</v>
      </c>
    </row>
    <row r="4944" spans="1:14" ht="12.75" hidden="1" outlineLevel="1" x14ac:dyDescent="0.2">
      <c r="A4944" s="23" t="str">
        <f t="shared" si="87"/>
        <v>ФКУ "ЦХИСО УМВД РОССИИ ПО ОМСКОЙ ОБЛАСТИ"</v>
      </c>
      <c r="B4944" s="24" t="s">
        <v>7829</v>
      </c>
      <c r="C4944" s="25">
        <v>1118243.3999999999</v>
      </c>
      <c r="D4944" s="22" t="s">
        <v>7830</v>
      </c>
      <c r="E4944" s="22" t="s">
        <v>62</v>
      </c>
      <c r="F4944" s="23" t="str">
        <f t="shared" si="88"/>
        <v>Поставка бланочной продукции для нужд УМВД России по Омской области</v>
      </c>
      <c r="G4944" s="22" t="s">
        <v>487</v>
      </c>
      <c r="H4944" s="22" t="s">
        <v>487</v>
      </c>
      <c r="I4944" s="26">
        <v>43706.399270833303</v>
      </c>
      <c r="J4944" s="23" t="str">
        <f>HYPERLINK("https://www.spark-marketing.ru/Card/Person/50940", "Зимина Светлана Владимировна")</f>
        <v>Зимина Светлана Владимировна</v>
      </c>
      <c r="K4944" s="24" t="s">
        <v>6891</v>
      </c>
      <c r="L4944" s="22" t="s">
        <v>10</v>
      </c>
      <c r="M4944" s="25">
        <v>237800</v>
      </c>
      <c r="N4944" s="27">
        <v>0.78734504491598167</v>
      </c>
    </row>
    <row r="4945" spans="1:14" hidden="1" outlineLevel="1" x14ac:dyDescent="0.2">
      <c r="A4945" s="23" t="str">
        <f t="shared" si="87"/>
        <v>ФКУ "ЦХИСО УМВД РОССИИ ПО ОМСКОЙ ОБЛАСТИ"</v>
      </c>
      <c r="B4945" s="24" t="s">
        <v>7829</v>
      </c>
      <c r="C4945" s="25">
        <v>1118243.3999999999</v>
      </c>
      <c r="D4945" s="22" t="s">
        <v>7830</v>
      </c>
      <c r="E4945" s="22" t="s">
        <v>62</v>
      </c>
      <c r="F4945" s="23" t="str">
        <f t="shared" si="88"/>
        <v>Поставка бланочной продукции для нужд УМВД России по Омской области</v>
      </c>
      <c r="G4945" s="22" t="s">
        <v>487</v>
      </c>
      <c r="H4945" s="22" t="s">
        <v>487</v>
      </c>
      <c r="I4945" s="26">
        <v>43706.399270833303</v>
      </c>
      <c r="J4945" s="23" t="str">
        <f>HYPERLINK("https://www.spark-marketing.ru/Card/Person/6053684", "ООО ""ТИПОГРАФИЯ БЛАНКОМ""")</f>
        <v>ООО "ТИПОГРАФИЯ БЛАНКОМ"</v>
      </c>
      <c r="K4945" s="24" t="s">
        <v>6889</v>
      </c>
      <c r="L4945" s="28" t="s">
        <v>51</v>
      </c>
      <c r="M4945" s="25">
        <v>749222.97</v>
      </c>
      <c r="N4945" s="27">
        <v>0.33000009658004686</v>
      </c>
    </row>
    <row r="4946" spans="1:14" collapsed="1" x14ac:dyDescent="0.15">
      <c r="A4946" s="23" t="s">
        <v>114</v>
      </c>
      <c r="B4946" s="28" t="s">
        <v>51</v>
      </c>
      <c r="C4946" s="25">
        <v>14856062</v>
      </c>
      <c r="D4946" s="22" t="s">
        <v>7834</v>
      </c>
      <c r="E4946" s="22" t="s">
        <v>96</v>
      </c>
      <c r="F4946" s="23" t="str">
        <f t="shared" ref="F4946:F4956" si="89">HYPERLINK("https://www.spark-marketing.ru/Card/Lot/73129808",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4946" s="22" t="s">
        <v>51</v>
      </c>
      <c r="H4946" s="22" t="s">
        <v>51</v>
      </c>
      <c r="I4946" s="26">
        <v>43706.658333333296</v>
      </c>
      <c r="J4946" s="28" t="s">
        <v>51</v>
      </c>
      <c r="K4946" s="28" t="s">
        <v>51</v>
      </c>
      <c r="L4946" s="28" t="s">
        <v>51</v>
      </c>
      <c r="M4946" s="28" t="s">
        <v>51</v>
      </c>
      <c r="N4946" s="28" t="s">
        <v>51</v>
      </c>
    </row>
    <row r="4947" spans="1:14" hidden="1" outlineLevel="1" x14ac:dyDescent="0.15">
      <c r="A4947" s="23" t="str">
        <f>HYPERLINK("https://www.spark-marketing.ru/Card/Person/123036", "МБОУ СОШ № 27")</f>
        <v>МБОУ СОШ № 27</v>
      </c>
      <c r="B4947" s="24" t="s">
        <v>7835</v>
      </c>
      <c r="C4947" s="25">
        <v>1388360</v>
      </c>
      <c r="D4947" s="22" t="s">
        <v>7834</v>
      </c>
      <c r="E4947" s="22" t="s">
        <v>96</v>
      </c>
      <c r="F4947" s="23" t="str">
        <f t="shared" si="89"/>
        <v>Оказание услуг по организации горячего питания школьников на 2019-2020 учебный год</v>
      </c>
      <c r="G4947" s="22" t="s">
        <v>82</v>
      </c>
      <c r="H4947" s="22" t="s">
        <v>83</v>
      </c>
      <c r="I4947" s="26">
        <v>43706.658333333296</v>
      </c>
      <c r="J4947" s="28" t="s">
        <v>51</v>
      </c>
      <c r="K4947" s="28" t="s">
        <v>51</v>
      </c>
      <c r="L4947" s="28" t="s">
        <v>51</v>
      </c>
      <c r="M4947" s="28" t="s">
        <v>51</v>
      </c>
      <c r="N4947" s="28" t="s">
        <v>51</v>
      </c>
    </row>
    <row r="4948" spans="1:14" hidden="1" outlineLevel="1" x14ac:dyDescent="0.15">
      <c r="A4948" s="23" t="str">
        <f>HYPERLINK("https://www.spark-marketing.ru/Card/Person/237586", "МБОУ СОШ № 14")</f>
        <v>МБОУ СОШ № 14</v>
      </c>
      <c r="B4948" s="24" t="s">
        <v>7836</v>
      </c>
      <c r="C4948" s="25">
        <v>2291038</v>
      </c>
      <c r="D4948" s="22" t="s">
        <v>7834</v>
      </c>
      <c r="E4948" s="22" t="s">
        <v>96</v>
      </c>
      <c r="F4948" s="23" t="str">
        <f t="shared" si="89"/>
        <v>Оказание услуг по организации горячего питания школьников на 2019-2020 учебный год</v>
      </c>
      <c r="G4948" s="22" t="s">
        <v>82</v>
      </c>
      <c r="H4948" s="22" t="s">
        <v>83</v>
      </c>
      <c r="I4948" s="26">
        <v>43706.658333333296</v>
      </c>
      <c r="J4948" s="28" t="s">
        <v>51</v>
      </c>
      <c r="K4948" s="28" t="s">
        <v>51</v>
      </c>
      <c r="L4948" s="28" t="s">
        <v>51</v>
      </c>
      <c r="M4948" s="28" t="s">
        <v>51</v>
      </c>
      <c r="N4948" s="28" t="s">
        <v>51</v>
      </c>
    </row>
    <row r="4949" spans="1:14" hidden="1" outlineLevel="1" x14ac:dyDescent="0.15">
      <c r="A4949" s="23" t="str">
        <f>HYPERLINK("https://www.spark-marketing.ru/Card/Person/1004310", "МБОУ ""СОШ С УИОП №13""")</f>
        <v>МБОУ "СОШ С УИОП №13"</v>
      </c>
      <c r="B4949" s="24" t="s">
        <v>7837</v>
      </c>
      <c r="C4949" s="25">
        <v>3617788</v>
      </c>
      <c r="D4949" s="22" t="s">
        <v>7834</v>
      </c>
      <c r="E4949" s="22" t="s">
        <v>96</v>
      </c>
      <c r="F4949" s="23" t="str">
        <f t="shared" si="89"/>
        <v>Оказание услуг по организации горячего питания школьников на 2019-2020 учебный год</v>
      </c>
      <c r="G4949" s="22" t="s">
        <v>82</v>
      </c>
      <c r="H4949" s="22" t="s">
        <v>83</v>
      </c>
      <c r="I4949" s="26">
        <v>43706.658333333296</v>
      </c>
      <c r="J4949" s="28" t="s">
        <v>51</v>
      </c>
      <c r="K4949" s="28" t="s">
        <v>51</v>
      </c>
      <c r="L4949" s="28" t="s">
        <v>51</v>
      </c>
      <c r="M4949" s="28" t="s">
        <v>51</v>
      </c>
      <c r="N4949" s="28" t="s">
        <v>51</v>
      </c>
    </row>
    <row r="4950" spans="1:14" hidden="1" outlineLevel="1" x14ac:dyDescent="0.15">
      <c r="A4950" s="23" t="str">
        <f>HYPERLINK("https://www.spark-marketing.ru/Card/Person/1021793", "МБОУ ШКОЛА № 34")</f>
        <v>МБОУ ШКОЛА № 34</v>
      </c>
      <c r="B4950" s="24" t="s">
        <v>7838</v>
      </c>
      <c r="C4950" s="25">
        <v>2750612</v>
      </c>
      <c r="D4950" s="22" t="s">
        <v>7834</v>
      </c>
      <c r="E4950" s="22" t="s">
        <v>96</v>
      </c>
      <c r="F4950" s="23" t="str">
        <f t="shared" si="89"/>
        <v>Оказание услуг по организации горячего питания школьников на 2019-2020 учебный год</v>
      </c>
      <c r="G4950" s="22" t="s">
        <v>82</v>
      </c>
      <c r="H4950" s="22" t="s">
        <v>83</v>
      </c>
      <c r="I4950" s="26">
        <v>43706.658333333296</v>
      </c>
      <c r="J4950" s="28" t="s">
        <v>51</v>
      </c>
      <c r="K4950" s="28" t="s">
        <v>51</v>
      </c>
      <c r="L4950" s="28" t="s">
        <v>51</v>
      </c>
      <c r="M4950" s="28" t="s">
        <v>51</v>
      </c>
      <c r="N4950" s="28" t="s">
        <v>51</v>
      </c>
    </row>
    <row r="4951" spans="1:14" hidden="1" outlineLevel="1" x14ac:dyDescent="0.15">
      <c r="A4951" s="23" t="str">
        <f>HYPERLINK("https://www.spark-marketing.ru/Card/Person/1023965", "МБОУ СОШ № 35 ИМЕНИ ГЕРОЯ СОВЕТСКОГО СОЮЗА Д. Ф. ЧЕБОТАРЕВА")</f>
        <v>МБОУ СОШ № 35 ИМЕНИ ГЕРОЯ СОВЕТСКОГО СОЮЗА Д. Ф. ЧЕБОТАРЕВА</v>
      </c>
      <c r="B4951" s="24" t="s">
        <v>7839</v>
      </c>
      <c r="C4951" s="25">
        <v>1798036</v>
      </c>
      <c r="D4951" s="22" t="s">
        <v>7834</v>
      </c>
      <c r="E4951" s="22" t="s">
        <v>96</v>
      </c>
      <c r="F4951" s="23" t="str">
        <f t="shared" si="89"/>
        <v>Оказание услуг по организации горячего питания школьников на 2019-2020 учебный год</v>
      </c>
      <c r="G4951" s="22" t="s">
        <v>82</v>
      </c>
      <c r="H4951" s="22" t="s">
        <v>83</v>
      </c>
      <c r="I4951" s="26">
        <v>43706.658333333296</v>
      </c>
      <c r="J4951" s="28" t="s">
        <v>51</v>
      </c>
      <c r="K4951" s="28" t="s">
        <v>51</v>
      </c>
      <c r="L4951" s="28" t="s">
        <v>51</v>
      </c>
      <c r="M4951" s="28" t="s">
        <v>51</v>
      </c>
      <c r="N4951" s="28" t="s">
        <v>51</v>
      </c>
    </row>
    <row r="4952" spans="1:14" hidden="1" outlineLevel="1" x14ac:dyDescent="0.15">
      <c r="A4952" s="23" t="str">
        <f>HYPERLINK("https://www.spark-marketing.ru/Card/Person/4350805", "МБОУ СОШ № 38")</f>
        <v>МБОУ СОШ № 38</v>
      </c>
      <c r="B4952" s="24" t="s">
        <v>7840</v>
      </c>
      <c r="C4952" s="25">
        <v>3010228</v>
      </c>
      <c r="D4952" s="22" t="s">
        <v>7834</v>
      </c>
      <c r="E4952" s="22" t="s">
        <v>96</v>
      </c>
      <c r="F4952" s="23" t="str">
        <f t="shared" si="89"/>
        <v>Оказание услуг по организации горячего питания школьников на 2019-2020 учебный год</v>
      </c>
      <c r="G4952" s="22" t="s">
        <v>82</v>
      </c>
      <c r="H4952" s="22" t="s">
        <v>83</v>
      </c>
      <c r="I4952" s="26">
        <v>43706.658333333296</v>
      </c>
      <c r="J4952" s="28" t="s">
        <v>51</v>
      </c>
      <c r="K4952" s="28" t="s">
        <v>51</v>
      </c>
      <c r="L4952" s="28" t="s">
        <v>51</v>
      </c>
      <c r="M4952" s="28" t="s">
        <v>51</v>
      </c>
      <c r="N4952" s="28" t="s">
        <v>51</v>
      </c>
    </row>
    <row r="4953" spans="1:14" hidden="1" outlineLevel="1" x14ac:dyDescent="0.2">
      <c r="A4953" s="28" t="s">
        <v>51</v>
      </c>
      <c r="B4953" s="28" t="s">
        <v>51</v>
      </c>
      <c r="C4953" s="28" t="s">
        <v>51</v>
      </c>
      <c r="D4953" s="22" t="s">
        <v>7834</v>
      </c>
      <c r="E4953" s="22" t="s">
        <v>96</v>
      </c>
      <c r="F4953" s="23" t="str">
        <f t="shared" si="89"/>
        <v>Оказание услуг по организации горячего питания школьников на 2019-2020 учебный год</v>
      </c>
      <c r="G4953" s="22" t="s">
        <v>51</v>
      </c>
      <c r="H4953" s="22" t="s">
        <v>51</v>
      </c>
      <c r="I4953" s="26">
        <v>43706.658333333296</v>
      </c>
      <c r="J4953" s="23" t="str">
        <f>HYPERLINK("https://www.spark-marketing.ru/Card/Person/81010", "ООО ""ТД СПП""")</f>
        <v>ООО "ТД СПП"</v>
      </c>
      <c r="K4953" s="24" t="s">
        <v>7782</v>
      </c>
      <c r="L4953" s="28" t="s">
        <v>51</v>
      </c>
      <c r="M4953" s="25">
        <v>14856062</v>
      </c>
      <c r="N4953" s="27">
        <v>0</v>
      </c>
    </row>
    <row r="4954" spans="1:14" hidden="1" outlineLevel="1" x14ac:dyDescent="0.2">
      <c r="A4954" s="28" t="s">
        <v>51</v>
      </c>
      <c r="B4954" s="28" t="s">
        <v>51</v>
      </c>
      <c r="C4954" s="28" t="s">
        <v>51</v>
      </c>
      <c r="D4954" s="22" t="s">
        <v>7834</v>
      </c>
      <c r="E4954" s="22" t="s">
        <v>96</v>
      </c>
      <c r="F4954" s="23" t="str">
        <f t="shared" si="89"/>
        <v>Оказание услуг по организации горячего питания школьников на 2019-2020 учебный год</v>
      </c>
      <c r="G4954" s="22" t="s">
        <v>51</v>
      </c>
      <c r="H4954" s="22" t="s">
        <v>51</v>
      </c>
      <c r="I4954" s="26">
        <v>43706.658333333296</v>
      </c>
      <c r="J4954" s="23" t="str">
        <f>HYPERLINK("https://www.spark-marketing.ru/Card/Person/91521", "ООО ""ВИТАМИНКА""")</f>
        <v>ООО "ВИТАМИНКА"</v>
      </c>
      <c r="K4954" s="24" t="s">
        <v>7841</v>
      </c>
      <c r="L4954" s="28" t="s">
        <v>51</v>
      </c>
      <c r="M4954" s="25">
        <v>14784082</v>
      </c>
      <c r="N4954" s="27">
        <v>4.8451601777106208E-3</v>
      </c>
    </row>
    <row r="4955" spans="1:14" hidden="1" outlineLevel="1" x14ac:dyDescent="0.2">
      <c r="A4955" s="28" t="s">
        <v>51</v>
      </c>
      <c r="B4955" s="28" t="s">
        <v>51</v>
      </c>
      <c r="C4955" s="28" t="s">
        <v>51</v>
      </c>
      <c r="D4955" s="22" t="s">
        <v>7834</v>
      </c>
      <c r="E4955" s="22" t="s">
        <v>96</v>
      </c>
      <c r="F4955" s="23" t="str">
        <f t="shared" si="89"/>
        <v>Оказание услуг по организации горячего питания школьников на 2019-2020 учебный год</v>
      </c>
      <c r="G4955" s="22" t="s">
        <v>51</v>
      </c>
      <c r="H4955" s="22" t="s">
        <v>51</v>
      </c>
      <c r="I4955" s="26">
        <v>43706.658333333296</v>
      </c>
      <c r="J4955" s="23" t="str">
        <f>HYPERLINK("https://www.spark-marketing.ru/Card/Person/59814", "ООО КП ""СОЛНЕЧНЫЙ""")</f>
        <v>ООО КП "СОЛНЕЧНЫЙ"</v>
      </c>
      <c r="K4955" s="24" t="s">
        <v>7783</v>
      </c>
      <c r="L4955" s="28" t="s">
        <v>51</v>
      </c>
      <c r="M4955" s="25">
        <v>14261819</v>
      </c>
      <c r="N4955" s="27">
        <v>4.0000035002546439E-2</v>
      </c>
    </row>
    <row r="4956" spans="1:14" hidden="1" outlineLevel="1" x14ac:dyDescent="0.2">
      <c r="A4956" s="28" t="s">
        <v>51</v>
      </c>
      <c r="B4956" s="28" t="s">
        <v>51</v>
      </c>
      <c r="C4956" s="28" t="s">
        <v>51</v>
      </c>
      <c r="D4956" s="22" t="s">
        <v>7834</v>
      </c>
      <c r="E4956" s="22" t="s">
        <v>96</v>
      </c>
      <c r="F4956" s="23" t="str">
        <f t="shared" si="89"/>
        <v>Оказание услуг по организации горячего питания школьников на 2019-2020 учебный год</v>
      </c>
      <c r="G4956" s="22" t="s">
        <v>51</v>
      </c>
      <c r="H4956" s="22" t="s">
        <v>51</v>
      </c>
      <c r="I4956" s="26">
        <v>43706.658333333296</v>
      </c>
      <c r="J4956" s="23" t="str">
        <f>HYPERLINK("https://www.spark-marketing.ru/Card/Person/16210", "ООО ""ГК ФЬЮЖЕН МЕНЕДЖМЕНТ""")</f>
        <v>ООО "ГК ФЬЮЖЕН МЕНЕДЖМЕНТ"</v>
      </c>
      <c r="K4956" s="24" t="s">
        <v>1675</v>
      </c>
      <c r="L4956" s="22" t="s">
        <v>10</v>
      </c>
      <c r="M4956" s="25">
        <v>14589223.6</v>
      </c>
      <c r="N4956" s="27">
        <v>1.7961583628285881E-2</v>
      </c>
    </row>
    <row r="4957" spans="1:14" x14ac:dyDescent="0.15">
      <c r="A4957" s="23" t="str">
        <f>HYPERLINK("https://www.spark-marketing.ru/Card/Person/5901195", "ОТД МВД РОССИИ ПО ГОРОХОВЕЦКОМУ РАЙОНУ")</f>
        <v>ОТД МВД РОССИИ ПО ГОРОХОВЕЦКОМУ РАЙОНУ</v>
      </c>
      <c r="B4957" s="24" t="s">
        <v>7842</v>
      </c>
      <c r="C4957" s="25">
        <v>468500</v>
      </c>
      <c r="D4957" s="22" t="s">
        <v>7843</v>
      </c>
      <c r="E4957" s="22" t="s">
        <v>48</v>
      </c>
      <c r="F4957" s="23" t="str">
        <f>HYPERLINK("https://www.spark-marketing.ru/Card/Lot/73119343", "Закупка услуг по обеспечению питанием осужденных к лишению свободы, а также подозреваемых и обвиняемых в совершении преступлений, находящихся в изоляторе временного содержания подозреваемых и обвиняемых органов внутренних дело Российской Федерации, л...")</f>
        <v>Закупка услуг по обеспечению питанием осужденных к лишению свободы, а также подозреваемых и обвиняемых в совершении преступлений, находящихся в изоляторе временного содержания подозреваемых и обвиняемых органов внутренних дело Российской Федерации, л...</v>
      </c>
      <c r="G4957" s="22" t="s">
        <v>663</v>
      </c>
      <c r="H4957" s="22" t="s">
        <v>663</v>
      </c>
      <c r="I4957" s="26">
        <v>43706.634351851899</v>
      </c>
      <c r="J4957" s="28" t="s">
        <v>51</v>
      </c>
      <c r="K4957" s="28" t="s">
        <v>51</v>
      </c>
      <c r="L4957" s="28" t="s">
        <v>51</v>
      </c>
      <c r="M4957" s="28" t="s">
        <v>51</v>
      </c>
      <c r="N4957" s="28" t="s">
        <v>51</v>
      </c>
    </row>
    <row r="4958" spans="1:14" x14ac:dyDescent="0.15">
      <c r="A4958" s="23" t="str">
        <f>HYPERLINK("https://www.spark-marketing.ru/Card/Person/263342", "ОМВД РОССИИ ПО НИЖНЕИЛИМСКОМУ РАЙОНУ")</f>
        <v>ОМВД РОССИИ ПО НИЖНЕИЛИМСКОМУ РАЙОНУ</v>
      </c>
      <c r="B4958" s="24" t="s">
        <v>7844</v>
      </c>
      <c r="C4958" s="25">
        <v>719906.8</v>
      </c>
      <c r="D4958" s="22" t="s">
        <v>7845</v>
      </c>
      <c r="E4958" s="22" t="s">
        <v>48</v>
      </c>
      <c r="F4958" s="23" t="str">
        <f>HYPERLINK("https://www.spark-marketing.ru/Card/Lot/73108437", "Прочая закупка товаров, работ и услуг (питание ИВС)")</f>
        <v>Прочая закупка товаров, работ и услуг (питание ИВС)</v>
      </c>
      <c r="G4958" s="22" t="s">
        <v>263</v>
      </c>
      <c r="H4958" s="22" t="s">
        <v>263</v>
      </c>
      <c r="I4958" s="26">
        <v>43706.451793981498</v>
      </c>
      <c r="J4958" s="28" t="s">
        <v>51</v>
      </c>
      <c r="K4958" s="28" t="s">
        <v>51</v>
      </c>
      <c r="L4958" s="28" t="s">
        <v>51</v>
      </c>
      <c r="M4958" s="28" t="s">
        <v>51</v>
      </c>
      <c r="N4958" s="28" t="s">
        <v>51</v>
      </c>
    </row>
    <row r="4959" spans="1:14" x14ac:dyDescent="0.15">
      <c r="A4959" s="23" t="str">
        <f>HYPERLINK("https://www.spark-marketing.ru/Card/Person/103355", "ОТДЕЛЕНИЕ МВД РОССИИ ПО НИЖНЕДЕВИЦКОМУ РАЙОНУ")</f>
        <v>ОТДЕЛЕНИЕ МВД РОССИИ ПО НИЖНЕДЕВИЦКОМУ РАЙОНУ</v>
      </c>
      <c r="B4959" s="24" t="s">
        <v>4398</v>
      </c>
      <c r="C4959" s="25">
        <v>297600</v>
      </c>
      <c r="D4959" s="22" t="s">
        <v>7846</v>
      </c>
      <c r="E4959" s="22" t="s">
        <v>48</v>
      </c>
      <c r="F4959" s="23" t="str">
        <f>HYPERLINK("https://www.spark-marketing.ru/Card/Lot/73116698", "Оказание услуг по организации питания (приготовлению и доставке) для ИВС, 1488 усл. ед")</f>
        <v>Оказание услуг по организации питания (приготовлению и доставке) для ИВС, 1488 усл. ед</v>
      </c>
      <c r="G4959" s="22" t="s">
        <v>82</v>
      </c>
      <c r="H4959" s="22" t="s">
        <v>4400</v>
      </c>
      <c r="I4959" s="26">
        <v>43706.655868055597</v>
      </c>
      <c r="J4959" s="28" t="s">
        <v>51</v>
      </c>
      <c r="K4959" s="28" t="s">
        <v>51</v>
      </c>
      <c r="L4959" s="28" t="s">
        <v>51</v>
      </c>
      <c r="M4959" s="28" t="s">
        <v>51</v>
      </c>
      <c r="N4959" s="28" t="s">
        <v>51</v>
      </c>
    </row>
    <row r="4960" spans="1:14" collapsed="1" x14ac:dyDescent="0.15">
      <c r="A4960" s="23" t="str">
        <f t="shared" ref="A4960:A4968" si="90">HYPERLINK("https://www.spark-marketing.ru/Card/Person/90559", "УМВД РОССИИ ПО ГОРОДСКОМУ ОКРУГУ КОРОЛЕВ")</f>
        <v>УМВД РОССИИ ПО ГОРОДСКОМУ ОКРУГУ КОРОЛЕВ</v>
      </c>
      <c r="B4960" s="24" t="s">
        <v>7794</v>
      </c>
      <c r="C4960" s="25">
        <v>2731712.34</v>
      </c>
      <c r="D4960" s="22" t="s">
        <v>7847</v>
      </c>
      <c r="E4960" s="22" t="s">
        <v>48</v>
      </c>
      <c r="F4960" s="23" t="str">
        <f>HYPERLINK("https://www.spark-marketing.ru/Card/Lot/73127706", "услуги по питанию граждан, содержащихся в ИВС УМВД России по городскому округу Королев")</f>
        <v>услуги по питанию граждан, содержащихся в ИВС УМВД России по городскому округу Королев</v>
      </c>
      <c r="G4960" s="22" t="s">
        <v>49</v>
      </c>
      <c r="H4960" s="22" t="s">
        <v>301</v>
      </c>
      <c r="I4960" s="26">
        <v>43706.634351851899</v>
      </c>
      <c r="J4960" s="28" t="s">
        <v>51</v>
      </c>
      <c r="K4960" s="28" t="s">
        <v>51</v>
      </c>
      <c r="L4960" s="28" t="s">
        <v>51</v>
      </c>
      <c r="M4960" s="28" t="s">
        <v>51</v>
      </c>
      <c r="N4960" s="28" t="s">
        <v>51</v>
      </c>
    </row>
    <row r="4961" spans="1:14" hidden="1" outlineLevel="1" x14ac:dyDescent="0.2">
      <c r="A4961" s="23" t="str">
        <f t="shared" si="90"/>
        <v>УМВД РОССИИ ПО ГОРОДСКОМУ ОКРУГУ КОРОЛЕВ</v>
      </c>
      <c r="B4961" s="24" t="s">
        <v>7794</v>
      </c>
      <c r="C4961" s="25">
        <v>2731712.34</v>
      </c>
      <c r="D4961" s="22" t="s">
        <v>7847</v>
      </c>
      <c r="E4961" s="22" t="s">
        <v>48</v>
      </c>
      <c r="F4961" s="23" t="str">
        <f>HYPERLINK("https://www.spark-marketing.ru/Card/Lot/73127706", "услуги по питанию граждан, содержащихся в ИВС УМВД России по городскому округу Королев")</f>
        <v>услуги по питанию граждан, содержащихся в ИВС УМВД России по городскому округу Королев</v>
      </c>
      <c r="G4961" s="22" t="s">
        <v>49</v>
      </c>
      <c r="H4961" s="22" t="s">
        <v>301</v>
      </c>
      <c r="I4961" s="26">
        <v>43706.634351851899</v>
      </c>
      <c r="J4961" s="23" t="str">
        <f>HYPERLINK("https://www.spark-marketing.ru/Card/Person/131113", "ООО ""НИКА""")</f>
        <v>ООО "НИКА"</v>
      </c>
      <c r="K4961" s="24" t="s">
        <v>6425</v>
      </c>
      <c r="L4961" s="28" t="s">
        <v>51</v>
      </c>
      <c r="M4961" s="25">
        <v>2718053.78</v>
      </c>
      <c r="N4961" s="27">
        <v>4.9999993776797154E-3</v>
      </c>
    </row>
    <row r="4962" spans="1:14" ht="12.75" hidden="1" outlineLevel="1" x14ac:dyDescent="0.2">
      <c r="A4962" s="23" t="str">
        <f t="shared" si="90"/>
        <v>УМВД РОССИИ ПО ГОРОДСКОМУ ОКРУГУ КОРОЛЕВ</v>
      </c>
      <c r="B4962" s="24" t="s">
        <v>7794</v>
      </c>
      <c r="C4962" s="25">
        <v>2731712.34</v>
      </c>
      <c r="D4962" s="22" t="s">
        <v>7847</v>
      </c>
      <c r="E4962" s="22" t="s">
        <v>48</v>
      </c>
      <c r="F4962" s="23" t="str">
        <f>HYPERLINK("https://www.spark-marketing.ru/Card/Lot/73127706", "услуги по питанию граждан, содержащихся в ИВС УМВД России по городскому округу Королев")</f>
        <v>услуги по питанию граждан, содержащихся в ИВС УМВД России по городскому округу Королев</v>
      </c>
      <c r="G4962" s="22" t="s">
        <v>49</v>
      </c>
      <c r="H4962" s="22" t="s">
        <v>301</v>
      </c>
      <c r="I4962" s="26">
        <v>43706.634351851899</v>
      </c>
      <c r="J4962" s="23" t="str">
        <f>HYPERLINK("https://www.spark-marketing.ru/Card/Person/6699810", "Голубева Марина Анатольевна")</f>
        <v>Голубева Марина Анатольевна</v>
      </c>
      <c r="K4962" s="24" t="s">
        <v>7796</v>
      </c>
      <c r="L4962" s="22" t="s">
        <v>10</v>
      </c>
      <c r="M4962" s="25">
        <v>2702940.46</v>
      </c>
      <c r="N4962" s="27">
        <v>1.0532543847570715E-2</v>
      </c>
    </row>
    <row r="4963" spans="1:14" collapsed="1" x14ac:dyDescent="0.15">
      <c r="A4963" s="23" t="str">
        <f t="shared" si="90"/>
        <v>УМВД РОССИИ ПО ГОРОДСКОМУ ОКРУГУ КОРОЛЕВ</v>
      </c>
      <c r="B4963" s="24" t="s">
        <v>7794</v>
      </c>
      <c r="C4963" s="25">
        <v>837187.53</v>
      </c>
      <c r="D4963" s="22" t="s">
        <v>7848</v>
      </c>
      <c r="E4963" s="22" t="s">
        <v>48</v>
      </c>
      <c r="F4963" s="23" t="str">
        <f>HYPERLINK("https://www.spark-marketing.ru/Card/Lot/73124617", "Услуги по питанию иностранный граждан и лиц без гражданства, содержащихся в ЦВСИГ УМВД России по городскому округу Королев")</f>
        <v>Услуги по питанию иностранный граждан и лиц без гражданства, содержащихся в ЦВСИГ УМВД России по городскому округу Королев</v>
      </c>
      <c r="G4963" s="22" t="s">
        <v>49</v>
      </c>
      <c r="H4963" s="22" t="s">
        <v>301</v>
      </c>
      <c r="I4963" s="26">
        <v>43706.582430555602</v>
      </c>
      <c r="J4963" s="28" t="s">
        <v>51</v>
      </c>
      <c r="K4963" s="28" t="s">
        <v>51</v>
      </c>
      <c r="L4963" s="28" t="s">
        <v>51</v>
      </c>
      <c r="M4963" s="28" t="s">
        <v>51</v>
      </c>
      <c r="N4963" s="28" t="s">
        <v>51</v>
      </c>
    </row>
    <row r="4964" spans="1:14" ht="12.75" hidden="1" outlineLevel="1" x14ac:dyDescent="0.2">
      <c r="A4964" s="23" t="str">
        <f t="shared" si="90"/>
        <v>УМВД РОССИИ ПО ГОРОДСКОМУ ОКРУГУ КОРОЛЕВ</v>
      </c>
      <c r="B4964" s="24" t="s">
        <v>7794</v>
      </c>
      <c r="C4964" s="25">
        <v>837187.53</v>
      </c>
      <c r="D4964" s="22" t="s">
        <v>7848</v>
      </c>
      <c r="E4964" s="22" t="s">
        <v>48</v>
      </c>
      <c r="F4964" s="23" t="str">
        <f>HYPERLINK("https://www.spark-marketing.ru/Card/Lot/73124617", "Услуги по питанию иностранный граждан и лиц без гражданства, содержащихся в ЦВСИГ УМВД России по городскому округу Королев")</f>
        <v>Услуги по питанию иностранный граждан и лиц без гражданства, содержащихся в ЦВСИГ УМВД России по городскому округу Королев</v>
      </c>
      <c r="G4964" s="22" t="s">
        <v>49</v>
      </c>
      <c r="H4964" s="22" t="s">
        <v>301</v>
      </c>
      <c r="I4964" s="26">
        <v>43706.582430555602</v>
      </c>
      <c r="J4964" s="23" t="str">
        <f>HYPERLINK("https://www.spark-marketing.ru/Card/Person/131113", "ООО ""НИКА""")</f>
        <v>ООО "НИКА"</v>
      </c>
      <c r="K4964" s="24" t="s">
        <v>6425</v>
      </c>
      <c r="L4964" s="22" t="s">
        <v>10</v>
      </c>
      <c r="M4964" s="25">
        <v>828815.65</v>
      </c>
      <c r="N4964" s="27">
        <v>1.0000005614034886E-2</v>
      </c>
    </row>
    <row r="4965" spans="1:14" hidden="1" outlineLevel="1" x14ac:dyDescent="0.2">
      <c r="A4965" s="23" t="str">
        <f t="shared" si="90"/>
        <v>УМВД РОССИИ ПО ГОРОДСКОМУ ОКРУГУ КОРОЛЕВ</v>
      </c>
      <c r="B4965" s="24" t="s">
        <v>7794</v>
      </c>
      <c r="C4965" s="25">
        <v>837187.53</v>
      </c>
      <c r="D4965" s="22" t="s">
        <v>7848</v>
      </c>
      <c r="E4965" s="22" t="s">
        <v>48</v>
      </c>
      <c r="F4965" s="23" t="str">
        <f>HYPERLINK("https://www.spark-marketing.ru/Card/Lot/73124617", "Услуги по питанию иностранный граждан и лиц без гражданства, содержащихся в ЦВСИГ УМВД России по городскому округу Королев")</f>
        <v>Услуги по питанию иностранный граждан и лиц без гражданства, содержащихся в ЦВСИГ УМВД России по городскому округу Королев</v>
      </c>
      <c r="G4965" s="22" t="s">
        <v>49</v>
      </c>
      <c r="H4965" s="22" t="s">
        <v>301</v>
      </c>
      <c r="I4965" s="26">
        <v>43706.582430555602</v>
      </c>
      <c r="J4965" s="23" t="str">
        <f>HYPERLINK("https://www.spark-marketing.ru/Card/Person/6310318", "ООО ""ОТДЕЛ МАРКЕТИНГА""")</f>
        <v>ООО "ОТДЕЛ МАРКЕТИНГА"</v>
      </c>
      <c r="K4965" s="24" t="s">
        <v>6426</v>
      </c>
      <c r="L4965" s="28" t="s">
        <v>51</v>
      </c>
      <c r="M4965" s="25">
        <v>833001.59</v>
      </c>
      <c r="N4965" s="27">
        <v>5.0000028070174432E-3</v>
      </c>
    </row>
    <row r="4966" spans="1:14" collapsed="1" x14ac:dyDescent="0.15">
      <c r="A4966" s="23" t="str">
        <f t="shared" si="90"/>
        <v>УМВД РОССИИ ПО ГОРОДСКОМУ ОКРУГУ КОРОЛЕВ</v>
      </c>
      <c r="B4966" s="24" t="s">
        <v>7794</v>
      </c>
      <c r="C4966" s="25">
        <v>589875.85</v>
      </c>
      <c r="D4966" s="22" t="s">
        <v>7849</v>
      </c>
      <c r="E4966" s="22" t="s">
        <v>48</v>
      </c>
      <c r="F4966" s="23" t="str">
        <f>HYPERLINK("https://www.spark-marketing.ru/Card/Lot/73123653", "услуги по питанию граждан, содержащихся в ИВС УМВД России по городскому округу Королев")</f>
        <v>услуги по питанию граждан, содержащихся в ИВС УМВД России по городскому округу Королев</v>
      </c>
      <c r="G4966" s="22" t="s">
        <v>49</v>
      </c>
      <c r="H4966" s="22" t="s">
        <v>301</v>
      </c>
      <c r="I4966" s="26">
        <v>43706.497581018499</v>
      </c>
      <c r="J4966" s="28" t="s">
        <v>51</v>
      </c>
      <c r="K4966" s="28" t="s">
        <v>51</v>
      </c>
      <c r="L4966" s="28" t="s">
        <v>51</v>
      </c>
      <c r="M4966" s="28" t="s">
        <v>51</v>
      </c>
      <c r="N4966" s="28" t="s">
        <v>51</v>
      </c>
    </row>
    <row r="4967" spans="1:14" ht="12.75" hidden="1" outlineLevel="1" x14ac:dyDescent="0.2">
      <c r="A4967" s="23" t="str">
        <f t="shared" si="90"/>
        <v>УМВД РОССИИ ПО ГОРОДСКОМУ ОКРУГУ КОРОЛЕВ</v>
      </c>
      <c r="B4967" s="24" t="s">
        <v>7794</v>
      </c>
      <c r="C4967" s="25">
        <v>589875.85</v>
      </c>
      <c r="D4967" s="22" t="s">
        <v>7849</v>
      </c>
      <c r="E4967" s="22" t="s">
        <v>48</v>
      </c>
      <c r="F4967" s="23" t="str">
        <f>HYPERLINK("https://www.spark-marketing.ru/Card/Lot/73123653", "услуги по питанию граждан, содержащихся в ИВС УМВД России по городскому округу Королев")</f>
        <v>услуги по питанию граждан, содержащихся в ИВС УМВД России по городскому округу Королев</v>
      </c>
      <c r="G4967" s="22" t="s">
        <v>49</v>
      </c>
      <c r="H4967" s="22" t="s">
        <v>301</v>
      </c>
      <c r="I4967" s="26">
        <v>43706.497581018499</v>
      </c>
      <c r="J4967" s="23" t="str">
        <f>HYPERLINK("https://www.spark-marketing.ru/Card/Person/131113", "ООО ""НИКА""")</f>
        <v>ООО "НИКА"</v>
      </c>
      <c r="K4967" s="24" t="s">
        <v>6425</v>
      </c>
      <c r="L4967" s="22" t="s">
        <v>10</v>
      </c>
      <c r="M4967" s="25">
        <v>583977.09</v>
      </c>
      <c r="N4967" s="27">
        <v>1.0000002542907969E-2</v>
      </c>
    </row>
    <row r="4968" spans="1:14" hidden="1" outlineLevel="1" x14ac:dyDescent="0.2">
      <c r="A4968" s="23" t="str">
        <f t="shared" si="90"/>
        <v>УМВД РОССИИ ПО ГОРОДСКОМУ ОКРУГУ КОРОЛЕВ</v>
      </c>
      <c r="B4968" s="24" t="s">
        <v>7794</v>
      </c>
      <c r="C4968" s="25">
        <v>589875.85</v>
      </c>
      <c r="D4968" s="22" t="s">
        <v>7849</v>
      </c>
      <c r="E4968" s="22" t="s">
        <v>48</v>
      </c>
      <c r="F4968" s="23" t="str">
        <f>HYPERLINK("https://www.spark-marketing.ru/Card/Lot/73123653", "услуги по питанию граждан, содержащихся в ИВС УМВД России по городскому округу Королев")</f>
        <v>услуги по питанию граждан, содержащихся в ИВС УМВД России по городскому округу Королев</v>
      </c>
      <c r="G4968" s="22" t="s">
        <v>49</v>
      </c>
      <c r="H4968" s="22" t="s">
        <v>301</v>
      </c>
      <c r="I4968" s="26">
        <v>43706.497581018499</v>
      </c>
      <c r="J4968" s="23" t="str">
        <f>HYPERLINK("https://www.spark-marketing.ru/Card/Person/6310318", "ООО ""ОТДЕЛ МАРКЕТИНГА""")</f>
        <v>ООО "ОТДЕЛ МАРКЕТИНГА"</v>
      </c>
      <c r="K4968" s="24" t="s">
        <v>6426</v>
      </c>
      <c r="L4968" s="28" t="s">
        <v>51</v>
      </c>
      <c r="M4968" s="25">
        <v>586926.47</v>
      </c>
      <c r="N4968" s="27">
        <v>5.0000012714539847E-3</v>
      </c>
    </row>
    <row r="4969" spans="1:14" x14ac:dyDescent="0.15">
      <c r="A4969" s="23" t="str">
        <f>HYPERLINK("https://www.spark-marketing.ru/Card/Person/4379498", "ОМВД РОССИИ ПО Г. ДЕСНОГОРСКУ")</f>
        <v>ОМВД РОССИИ ПО Г. ДЕСНОГОРСКУ</v>
      </c>
      <c r="B4969" s="24" t="s">
        <v>7850</v>
      </c>
      <c r="C4969" s="25">
        <v>350000</v>
      </c>
      <c r="D4969" s="22" t="s">
        <v>7851</v>
      </c>
      <c r="E4969" s="22" t="s">
        <v>48</v>
      </c>
      <c r="F4969" s="23" t="str">
        <f>HYPERLINK("https://www.spark-marketing.ru/Card/Lot/73123364", "питание ИВС")</f>
        <v>питание ИВС</v>
      </c>
      <c r="G4969" s="22" t="s">
        <v>460</v>
      </c>
      <c r="H4969" s="22" t="s">
        <v>1749</v>
      </c>
      <c r="I4969" s="26">
        <v>43706.612916666701</v>
      </c>
      <c r="J4969" s="28" t="s">
        <v>51</v>
      </c>
      <c r="K4969" s="28" t="s">
        <v>51</v>
      </c>
      <c r="L4969" s="28" t="s">
        <v>51</v>
      </c>
      <c r="M4969" s="28" t="s">
        <v>51</v>
      </c>
      <c r="N4969" s="28" t="s">
        <v>51</v>
      </c>
    </row>
    <row r="4970" spans="1:14" collapsed="1" x14ac:dyDescent="0.15">
      <c r="A4970" s="23" t="str">
        <f>HYPERLINK("https://www.spark-marketing.ru/Card/Person/4351510", "АППАРАТ ЗАКОНОДАТЕЛЬНОГО СОБРАНИЯ ГОРОДА СЕВАСТОПОЛЯ")</f>
        <v>АППАРАТ ЗАКОНОДАТЕЛЬНОГО СОБРАНИЯ ГОРОДА СЕВАСТОПОЛЯ</v>
      </c>
      <c r="B4970" s="24" t="s">
        <v>7852</v>
      </c>
      <c r="C4970" s="25">
        <v>730600</v>
      </c>
      <c r="D4970" s="22" t="s">
        <v>7853</v>
      </c>
      <c r="E4970" s="22" t="s">
        <v>583</v>
      </c>
      <c r="F4970" s="23" t="str">
        <f>HYPERLINK("https://www.spark-marketing.ru/Card/Lot/73126715", "на оказание услуг по регламентно-профилактическому ремонту и техническому обслуживанию систем бесперебойного питания")</f>
        <v>на оказание услуг по регламентно-профилактическому ремонту и техническому обслуживанию систем бесперебойного питания</v>
      </c>
      <c r="G4970" s="22" t="s">
        <v>322</v>
      </c>
      <c r="H4970" s="22" t="s">
        <v>322</v>
      </c>
      <c r="I4970" s="26">
        <v>43706.633043981499</v>
      </c>
      <c r="J4970" s="28" t="s">
        <v>51</v>
      </c>
      <c r="K4970" s="28" t="s">
        <v>51</v>
      </c>
      <c r="L4970" s="28" t="s">
        <v>51</v>
      </c>
      <c r="M4970" s="28" t="s">
        <v>51</v>
      </c>
      <c r="N4970" s="28" t="s">
        <v>51</v>
      </c>
    </row>
    <row r="4971" spans="1:14" hidden="1" outlineLevel="1" x14ac:dyDescent="0.2">
      <c r="A4971" s="23" t="str">
        <f>HYPERLINK("https://www.spark-marketing.ru/Card/Person/4351510", "АППАРАТ ЗАКОНОДАТЕЛЬНОГО СОБРАНИЯ ГОРОДА СЕВАСТОПОЛЯ")</f>
        <v>АППАРАТ ЗАКОНОДАТЕЛЬНОГО СОБРАНИЯ ГОРОДА СЕВАСТОПОЛЯ</v>
      </c>
      <c r="B4971" s="24" t="s">
        <v>7852</v>
      </c>
      <c r="C4971" s="25">
        <v>730600</v>
      </c>
      <c r="D4971" s="22" t="s">
        <v>7853</v>
      </c>
      <c r="E4971" s="22" t="s">
        <v>583</v>
      </c>
      <c r="F4971" s="23" t="str">
        <f>HYPERLINK("https://www.spark-marketing.ru/Card/Lot/73126715", "на оказание услуг по регламентно-профилактическому ремонту и техническому обслуживанию систем бесперебойного питания")</f>
        <v>на оказание услуг по регламентно-профилактическому ремонту и техническому обслуживанию систем бесперебойного питания</v>
      </c>
      <c r="G4971" s="22" t="s">
        <v>322</v>
      </c>
      <c r="H4971" s="22" t="s">
        <v>322</v>
      </c>
      <c r="I4971" s="26">
        <v>43706.633043981499</v>
      </c>
      <c r="J4971" s="23" t="str">
        <f>HYPERLINK("https://www.spark-marketing.ru/Card/Person/6496923", "Вешницкий Евгений Александрович")</f>
        <v>Вешницкий Евгений Александрович</v>
      </c>
      <c r="K4971" s="24" t="s">
        <v>7854</v>
      </c>
      <c r="L4971" s="28" t="s">
        <v>51</v>
      </c>
      <c r="M4971" s="25">
        <v>375263.89</v>
      </c>
      <c r="N4971" s="27">
        <v>0.48636204489460716</v>
      </c>
    </row>
    <row r="4972" spans="1:14" ht="12.75" hidden="1" outlineLevel="1" x14ac:dyDescent="0.2">
      <c r="A4972" s="23" t="str">
        <f>HYPERLINK("https://www.spark-marketing.ru/Card/Person/4351510", "АППАРАТ ЗАКОНОДАТЕЛЬНОГО СОБРАНИЯ ГОРОДА СЕВАСТОПОЛЯ")</f>
        <v>АППАРАТ ЗАКОНОДАТЕЛЬНОГО СОБРАНИЯ ГОРОДА СЕВАСТОПОЛЯ</v>
      </c>
      <c r="B4972" s="24" t="s">
        <v>7852</v>
      </c>
      <c r="C4972" s="25">
        <v>730600</v>
      </c>
      <c r="D4972" s="22" t="s">
        <v>7853</v>
      </c>
      <c r="E4972" s="22" t="s">
        <v>583</v>
      </c>
      <c r="F4972" s="23" t="str">
        <f>HYPERLINK("https://www.spark-marketing.ru/Card/Lot/73126715", "на оказание услуг по регламентно-профилактическому ремонту и техническому обслуживанию систем бесперебойного питания")</f>
        <v>на оказание услуг по регламентно-профилактическому ремонту и техническому обслуживанию систем бесперебойного питания</v>
      </c>
      <c r="G4972" s="22" t="s">
        <v>322</v>
      </c>
      <c r="H4972" s="22" t="s">
        <v>322</v>
      </c>
      <c r="I4972" s="26">
        <v>43706.633043981499</v>
      </c>
      <c r="J4972" s="23" t="str">
        <f>HYPERLINK("https://www.spark-marketing.ru/Card/Person/931481", "Котовщук Олег Юрьевич")</f>
        <v>Котовщук Олег Юрьевич</v>
      </c>
      <c r="K4972" s="24" t="s">
        <v>7855</v>
      </c>
      <c r="L4972" s="22" t="s">
        <v>10</v>
      </c>
      <c r="M4972" s="25">
        <v>373329.54</v>
      </c>
      <c r="N4972" s="27">
        <v>0.48900966329044621</v>
      </c>
    </row>
    <row r="4973" spans="1:14" collapsed="1" x14ac:dyDescent="0.15">
      <c r="A4973" s="23" t="str">
        <f>HYPERLINK("https://www.spark-marketing.ru/Card/Person/1044445", "МОУ ВЕРЕЙСКАЯ СОШ № 19")</f>
        <v>МОУ ВЕРЕЙСКАЯ СОШ № 19</v>
      </c>
      <c r="B4973" s="24" t="s">
        <v>7856</v>
      </c>
      <c r="C4973" s="25">
        <v>1470885.92</v>
      </c>
      <c r="D4973" s="22" t="s">
        <v>7857</v>
      </c>
      <c r="E4973" s="22" t="s">
        <v>48</v>
      </c>
      <c r="F4973" s="23" t="str">
        <f>HYPERLINK("https://www.spark-marketing.ru/Card/Lot/73126122", "Оказание услуг по организации питания учащихся")</f>
        <v>Оказание услуг по организации питания учащихся</v>
      </c>
      <c r="G4973" s="22" t="s">
        <v>49</v>
      </c>
      <c r="H4973" s="22" t="s">
        <v>1867</v>
      </c>
      <c r="I4973" s="26">
        <v>43706.371168981503</v>
      </c>
      <c r="J4973" s="28" t="s">
        <v>51</v>
      </c>
      <c r="K4973" s="28" t="s">
        <v>51</v>
      </c>
      <c r="L4973" s="28" t="s">
        <v>51</v>
      </c>
      <c r="M4973" s="28" t="s">
        <v>51</v>
      </c>
      <c r="N4973" s="28" t="s">
        <v>51</v>
      </c>
    </row>
    <row r="4974" spans="1:14" hidden="1" outlineLevel="1" x14ac:dyDescent="0.2">
      <c r="A4974" s="23" t="str">
        <f>HYPERLINK("https://www.spark-marketing.ru/Card/Person/1044445", "МОУ ВЕРЕЙСКАЯ СОШ № 19")</f>
        <v>МОУ ВЕРЕЙСКАЯ СОШ № 19</v>
      </c>
      <c r="B4974" s="24" t="s">
        <v>7856</v>
      </c>
      <c r="C4974" s="25">
        <v>1470885.92</v>
      </c>
      <c r="D4974" s="22" t="s">
        <v>7857</v>
      </c>
      <c r="E4974" s="22" t="s">
        <v>48</v>
      </c>
      <c r="F4974" s="23" t="str">
        <f>HYPERLINK("https://www.spark-marketing.ru/Card/Lot/73126122", "Оказание услуг по организации питания учащихся")</f>
        <v>Оказание услуг по организации питания учащихся</v>
      </c>
      <c r="G4974" s="22" t="s">
        <v>49</v>
      </c>
      <c r="H4974" s="22" t="s">
        <v>1867</v>
      </c>
      <c r="I4974" s="26">
        <v>43706.371168981503</v>
      </c>
      <c r="J4974" s="23" t="str">
        <f>HYPERLINK("https://www.spark-marketing.ru/Card/Person/6458516", "Хахалина Ирина Юрьевна")</f>
        <v>Хахалина Ирина Юрьевна</v>
      </c>
      <c r="K4974" s="24" t="s">
        <v>1701</v>
      </c>
      <c r="L4974" s="28" t="s">
        <v>51</v>
      </c>
      <c r="M4974" s="25">
        <v>1426759.33</v>
      </c>
      <c r="N4974" s="27">
        <v>3.0000008430293493E-2</v>
      </c>
    </row>
    <row r="4975" spans="1:14" ht="12.75" hidden="1" outlineLevel="1" x14ac:dyDescent="0.2">
      <c r="A4975" s="23" t="str">
        <f>HYPERLINK("https://www.spark-marketing.ru/Card/Person/1044445", "МОУ ВЕРЕЙСКАЯ СОШ № 19")</f>
        <v>МОУ ВЕРЕЙСКАЯ СОШ № 19</v>
      </c>
      <c r="B4975" s="24" t="s">
        <v>7856</v>
      </c>
      <c r="C4975" s="25">
        <v>1470885.92</v>
      </c>
      <c r="D4975" s="22" t="s">
        <v>7857</v>
      </c>
      <c r="E4975" s="22" t="s">
        <v>48</v>
      </c>
      <c r="F4975" s="23" t="str">
        <f>HYPERLINK("https://www.spark-marketing.ru/Card/Lot/73126122", "Оказание услуг по организации питания учащихся")</f>
        <v>Оказание услуг по организации питания учащихся</v>
      </c>
      <c r="G4975" s="22" t="s">
        <v>49</v>
      </c>
      <c r="H4975" s="22" t="s">
        <v>1867</v>
      </c>
      <c r="I4975" s="26">
        <v>43706.371168981503</v>
      </c>
      <c r="J4975" s="23" t="str">
        <f>HYPERLINK("https://www.spark-marketing.ru/Card/Person/4351169", "Русаков Анатолий Сидорович")</f>
        <v>Русаков Анатолий Сидорович</v>
      </c>
      <c r="K4975" s="24" t="s">
        <v>1700</v>
      </c>
      <c r="L4975" s="22" t="s">
        <v>10</v>
      </c>
      <c r="M4975" s="25">
        <v>1397340</v>
      </c>
      <c r="N4975" s="27">
        <v>5.0001104096502602E-2</v>
      </c>
    </row>
    <row r="4976" spans="1:14" hidden="1" outlineLevel="1" x14ac:dyDescent="0.2">
      <c r="A4976" s="23" t="str">
        <f>HYPERLINK("https://www.spark-marketing.ru/Card/Person/1044445", "МОУ ВЕРЕЙСКАЯ СОШ № 19")</f>
        <v>МОУ ВЕРЕЙСКАЯ СОШ № 19</v>
      </c>
      <c r="B4976" s="24" t="s">
        <v>7856</v>
      </c>
      <c r="C4976" s="25">
        <v>1470885.92</v>
      </c>
      <c r="D4976" s="22" t="s">
        <v>7857</v>
      </c>
      <c r="E4976" s="22" t="s">
        <v>48</v>
      </c>
      <c r="F4976" s="23" t="str">
        <f>HYPERLINK("https://www.spark-marketing.ru/Card/Lot/73126122", "Оказание услуг по организации питания учащихся")</f>
        <v>Оказание услуг по организации питания учащихся</v>
      </c>
      <c r="G4976" s="22" t="s">
        <v>49</v>
      </c>
      <c r="H4976" s="22" t="s">
        <v>1867</v>
      </c>
      <c r="I4976" s="26">
        <v>43706.371168981503</v>
      </c>
      <c r="J4976" s="23" t="str">
        <f>HYPERLINK("https://www.spark-marketing.ru/Card/Person/1335068", "Кулешова Светлана Владимировна")</f>
        <v>Кулешова Светлана Владимировна</v>
      </c>
      <c r="K4976" s="24" t="s">
        <v>1702</v>
      </c>
      <c r="L4976" s="28" t="s">
        <v>51</v>
      </c>
      <c r="M4976" s="25">
        <v>1434113.76</v>
      </c>
      <c r="N4976" s="27">
        <v>2.500000815834854E-2</v>
      </c>
    </row>
    <row r="4977" spans="1:14" collapsed="1" x14ac:dyDescent="0.15">
      <c r="A4977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4977" s="24" t="s">
        <v>7829</v>
      </c>
      <c r="C4977" s="25">
        <v>2221756.6</v>
      </c>
      <c r="D4977" s="22" t="s">
        <v>7858</v>
      </c>
      <c r="E4977" s="22" t="s">
        <v>62</v>
      </c>
      <c r="F4977" s="23" t="str">
        <f>HYPERLINK("https://www.spark-marketing.ru/Card/Lot/73111852", "Поставка журнальной продукции для нужд УМВД России по Омской области")</f>
        <v>Поставка журнальной продукции для нужд УМВД России по Омской области</v>
      </c>
      <c r="G4977" s="22" t="s">
        <v>487</v>
      </c>
      <c r="H4977" s="22" t="s">
        <v>487</v>
      </c>
      <c r="I4977" s="26">
        <v>43706.399432870399</v>
      </c>
      <c r="J4977" s="28" t="s">
        <v>51</v>
      </c>
      <c r="K4977" s="28" t="s">
        <v>51</v>
      </c>
      <c r="L4977" s="28" t="s">
        <v>51</v>
      </c>
      <c r="M4977" s="28" t="s">
        <v>51</v>
      </c>
      <c r="N4977" s="28" t="s">
        <v>51</v>
      </c>
    </row>
    <row r="4978" spans="1:14" ht="12.75" hidden="1" outlineLevel="1" x14ac:dyDescent="0.2">
      <c r="A4978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4978" s="24" t="s">
        <v>7829</v>
      </c>
      <c r="C4978" s="25">
        <v>2221756.6</v>
      </c>
      <c r="D4978" s="22" t="s">
        <v>7858</v>
      </c>
      <c r="E4978" s="22" t="s">
        <v>62</v>
      </c>
      <c r="F4978" s="23" t="str">
        <f>HYPERLINK("https://www.spark-marketing.ru/Card/Lot/73111852", "Поставка журнальной продукции для нужд УМВД России по Омской области")</f>
        <v>Поставка журнальной продукции для нужд УМВД России по Омской области</v>
      </c>
      <c r="G4978" s="22" t="s">
        <v>487</v>
      </c>
      <c r="H4978" s="22" t="s">
        <v>487</v>
      </c>
      <c r="I4978" s="26">
        <v>43706.399432870399</v>
      </c>
      <c r="J4978" s="23" t="str">
        <f>HYPERLINK("https://www.spark-marketing.ru/Card/Person/87072", "ООО ""ПЕЧАТНИК""")</f>
        <v>ООО "ПЕЧАТНИК"</v>
      </c>
      <c r="K4978" s="24" t="s">
        <v>7832</v>
      </c>
      <c r="L4978" s="22" t="s">
        <v>10</v>
      </c>
      <c r="M4978" s="25">
        <v>732824.4</v>
      </c>
      <c r="N4978" s="27">
        <v>0.67015990860565011</v>
      </c>
    </row>
    <row r="4979" spans="1:14" hidden="1" outlineLevel="1" x14ac:dyDescent="0.2">
      <c r="A4979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4979" s="24" t="s">
        <v>7829</v>
      </c>
      <c r="C4979" s="25">
        <v>2221756.6</v>
      </c>
      <c r="D4979" s="22" t="s">
        <v>7858</v>
      </c>
      <c r="E4979" s="22" t="s">
        <v>62</v>
      </c>
      <c r="F4979" s="23" t="str">
        <f>HYPERLINK("https://www.spark-marketing.ru/Card/Lot/73111852", "Поставка журнальной продукции для нужд УМВД России по Омской области")</f>
        <v>Поставка журнальной продукции для нужд УМВД России по Омской области</v>
      </c>
      <c r="G4979" s="22" t="s">
        <v>487</v>
      </c>
      <c r="H4979" s="22" t="s">
        <v>487</v>
      </c>
      <c r="I4979" s="26">
        <v>43706.399432870399</v>
      </c>
      <c r="J4979" s="23" t="str">
        <f>HYPERLINK("https://www.spark-marketing.ru/Card/Person/70363", "ООО ""ВИННЕР - ПРИНТ""")</f>
        <v>ООО "ВИННЕР - ПРИНТ"</v>
      </c>
      <c r="K4979" s="24" t="s">
        <v>3048</v>
      </c>
      <c r="L4979" s="28" t="s">
        <v>51</v>
      </c>
      <c r="M4979" s="25">
        <v>955000</v>
      </c>
      <c r="N4979" s="27">
        <v>0.57015993561130862</v>
      </c>
    </row>
    <row r="4980" spans="1:14" hidden="1" outlineLevel="1" x14ac:dyDescent="0.2">
      <c r="A4980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4980" s="24" t="s">
        <v>7829</v>
      </c>
      <c r="C4980" s="25">
        <v>2221756.6</v>
      </c>
      <c r="D4980" s="22" t="s">
        <v>7858</v>
      </c>
      <c r="E4980" s="22" t="s">
        <v>62</v>
      </c>
      <c r="F4980" s="23" t="str">
        <f>HYPERLINK("https://www.spark-marketing.ru/Card/Lot/73111852", "Поставка журнальной продукции для нужд УМВД России по Омской области")</f>
        <v>Поставка журнальной продукции для нужд УМВД России по Омской области</v>
      </c>
      <c r="G4980" s="22" t="s">
        <v>487</v>
      </c>
      <c r="H4980" s="22" t="s">
        <v>487</v>
      </c>
      <c r="I4980" s="26">
        <v>43706.399432870399</v>
      </c>
      <c r="J4980" s="23" t="str">
        <f>HYPERLINK("https://www.spark-marketing.ru/Card/Person/724201", "Шенфельд Светлана Викторовна")</f>
        <v>Шенфельд Светлана Викторовна</v>
      </c>
      <c r="K4980" s="24" t="s">
        <v>7831</v>
      </c>
      <c r="L4980" s="28" t="s">
        <v>51</v>
      </c>
      <c r="M4980" s="25">
        <v>740000</v>
      </c>
      <c r="N4980" s="27">
        <v>0.66693021188729673</v>
      </c>
    </row>
    <row r="4981" spans="1:14" hidden="1" outlineLevel="1" x14ac:dyDescent="0.2">
      <c r="A4981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4981" s="24" t="s">
        <v>7829</v>
      </c>
      <c r="C4981" s="25">
        <v>2221756.6</v>
      </c>
      <c r="D4981" s="22" t="s">
        <v>7858</v>
      </c>
      <c r="E4981" s="22" t="s">
        <v>62</v>
      </c>
      <c r="F4981" s="23" t="str">
        <f>HYPERLINK("https://www.spark-marketing.ru/Card/Lot/73111852", "Поставка журнальной продукции для нужд УМВД России по Омской области")</f>
        <v>Поставка журнальной продукции для нужд УМВД России по Омской области</v>
      </c>
      <c r="G4981" s="22" t="s">
        <v>487</v>
      </c>
      <c r="H4981" s="22" t="s">
        <v>487</v>
      </c>
      <c r="I4981" s="26">
        <v>43706.399432870399</v>
      </c>
      <c r="J4981" s="23" t="str">
        <f>HYPERLINK("https://www.spark-marketing.ru/Card/Person/6053684", "ООО ""ТИПОГРАФИЯ БЛАНКОМ""")</f>
        <v>ООО "ТИПОГРАФИЯ БЛАНКОМ"</v>
      </c>
      <c r="K4981" s="24" t="s">
        <v>6889</v>
      </c>
      <c r="L4981" s="28" t="s">
        <v>51</v>
      </c>
      <c r="M4981" s="25">
        <v>743933.18</v>
      </c>
      <c r="N4981" s="27">
        <v>0.6651599099559331</v>
      </c>
    </row>
    <row r="4982" spans="1:14" x14ac:dyDescent="0.15">
      <c r="A4982" s="23" t="str">
        <f>HYPERLINK("https://www.spark-marketing.ru/Card/Person/1072578", "ОМВД РОССИИ ПО ШИРИНСКОМУ РАЙОНУ")</f>
        <v>ОМВД РОССИИ ПО ШИРИНСКОМУ РАЙОНУ</v>
      </c>
      <c r="B4982" s="24" t="s">
        <v>7859</v>
      </c>
      <c r="C4982" s="25">
        <v>425600</v>
      </c>
      <c r="D4982" s="22" t="s">
        <v>7860</v>
      </c>
      <c r="E4982" s="22" t="s">
        <v>48</v>
      </c>
      <c r="F4982" s="23" t="str">
        <f>HYPERLINK("https://www.spark-marketing.ru/Card/Lot/73110444", "Оказание услуг по организации готового трехразового питания для лиц, содержащихся в ИВС")</f>
        <v>Оказание услуг по организации готового трехразового питания для лиц, содержащихся в ИВС</v>
      </c>
      <c r="G4982" s="22" t="s">
        <v>92</v>
      </c>
      <c r="H4982" s="22" t="s">
        <v>1336</v>
      </c>
      <c r="I4982" s="26">
        <v>43706.660358796304</v>
      </c>
      <c r="J4982" s="23" t="str">
        <f>HYPERLINK("https://www.spark-marketing.ru/Card/Person/1645831", "ПО ""ЦЕНТР""")</f>
        <v>ПО "ЦЕНТР"</v>
      </c>
      <c r="K4982" s="24" t="s">
        <v>7861</v>
      </c>
      <c r="L4982" s="22" t="s">
        <v>10</v>
      </c>
      <c r="M4982" s="28" t="s">
        <v>51</v>
      </c>
      <c r="N4982" s="28" t="s">
        <v>51</v>
      </c>
    </row>
    <row r="4983" spans="1:14" x14ac:dyDescent="0.15">
      <c r="A4983" s="23" t="str">
        <f>HYPERLINK("https://www.spark-marketing.ru/Card/Person/112707", "МО МВД РОССИИ ""УСТЬ-ИЛИМСКИЙ""")</f>
        <v>МО МВД РОССИИ "УСТЬ-ИЛИМСКИЙ"</v>
      </c>
      <c r="B4983" s="24" t="s">
        <v>7862</v>
      </c>
      <c r="C4983" s="25">
        <v>1503800</v>
      </c>
      <c r="D4983" s="22" t="s">
        <v>7863</v>
      </c>
      <c r="E4983" s="22" t="s">
        <v>48</v>
      </c>
      <c r="F4983" s="23" t="str">
        <f>HYPERLINK("https://www.spark-marketing.ru/Card/Lot/73108746", "Прочая закупка (услуги по организации ежедневного 3-х разового питания для лиц, подозреваемых и обвиняемых в совершении преступлений, содержащихся в изоляторе временного содержания и лиц, содержащихся в специальном приемнике МО МВД России ""Усть-Илим...")</f>
        <v>Прочая закупка (услуги по организации ежедневного 3-х разового питания для лиц, подозреваемых и обвиняемых в совершении преступлений, содержащихся в изоляторе временного содержания и лиц, содержащихся в специальном приемнике МО МВД России "Усть-Илим...</v>
      </c>
      <c r="G4983" s="22" t="s">
        <v>263</v>
      </c>
      <c r="H4983" s="22" t="s">
        <v>7864</v>
      </c>
      <c r="I4983" s="26">
        <v>43706.4547916667</v>
      </c>
      <c r="J4983" s="23" t="str">
        <f>HYPERLINK("https://www.spark-marketing.ru/Card/Person/112724", "Скороходова Ольга Валерьевна")</f>
        <v>Скороходова Ольга Валерьевна</v>
      </c>
      <c r="K4983" s="24" t="s">
        <v>4484</v>
      </c>
      <c r="L4983" s="22" t="s">
        <v>10</v>
      </c>
      <c r="M4983" s="28" t="s">
        <v>51</v>
      </c>
      <c r="N4983" s="28" t="s">
        <v>51</v>
      </c>
    </row>
    <row r="4984" spans="1:14" collapsed="1" x14ac:dyDescent="0.15">
      <c r="A4984" s="23" t="str">
        <f>HYPERLINK("https://www.spark-marketing.ru/Card/Person/90559", "УМВД РОССИИ ПО ГОРОДСКОМУ ОКРУГУ КОРОЛЕВ")</f>
        <v>УМВД РОССИИ ПО ГОРОДСКОМУ ОКРУГУ КОРОЛЕВ</v>
      </c>
      <c r="B4984" s="24" t="s">
        <v>7794</v>
      </c>
      <c r="C4984" s="25">
        <v>1237350</v>
      </c>
      <c r="D4984" s="22" t="s">
        <v>7865</v>
      </c>
      <c r="E4984" s="22" t="s">
        <v>48</v>
      </c>
      <c r="F4984" s="23" t="str">
        <f>HYPERLINK("https://www.spark-marketing.ru/Card/Lot/73126206", "услуги по питанию граждан, содержащихся в ИВС УМВД России по городскому округу Королев")</f>
        <v>услуги по питанию граждан, содержащихся в ИВС УМВД России по городскому округу Королев</v>
      </c>
      <c r="G4984" s="22" t="s">
        <v>49</v>
      </c>
      <c r="H4984" s="22" t="s">
        <v>301</v>
      </c>
      <c r="I4984" s="26">
        <v>43706.631111111099</v>
      </c>
      <c r="J4984" s="28" t="s">
        <v>51</v>
      </c>
      <c r="K4984" s="28" t="s">
        <v>51</v>
      </c>
      <c r="L4984" s="28" t="s">
        <v>51</v>
      </c>
      <c r="M4984" s="28" t="s">
        <v>51</v>
      </c>
      <c r="N4984" s="28" t="s">
        <v>51</v>
      </c>
    </row>
    <row r="4985" spans="1:14" ht="12.75" hidden="1" outlineLevel="1" x14ac:dyDescent="0.2">
      <c r="A4985" s="23" t="str">
        <f>HYPERLINK("https://www.spark-marketing.ru/Card/Person/90559", "УМВД РОССИИ ПО ГОРОДСКОМУ ОКРУГУ КОРОЛЕВ")</f>
        <v>УМВД РОССИИ ПО ГОРОДСКОМУ ОКРУГУ КОРОЛЕВ</v>
      </c>
      <c r="B4985" s="24" t="s">
        <v>7794</v>
      </c>
      <c r="C4985" s="25">
        <v>1237350</v>
      </c>
      <c r="D4985" s="22" t="s">
        <v>7865</v>
      </c>
      <c r="E4985" s="22" t="s">
        <v>48</v>
      </c>
      <c r="F4985" s="23" t="str">
        <f>HYPERLINK("https://www.spark-marketing.ru/Card/Lot/73126206", "услуги по питанию граждан, содержащихся в ИВС УМВД России по городскому округу Королев")</f>
        <v>услуги по питанию граждан, содержащихся в ИВС УМВД России по городскому округу Королев</v>
      </c>
      <c r="G4985" s="22" t="s">
        <v>49</v>
      </c>
      <c r="H4985" s="22" t="s">
        <v>301</v>
      </c>
      <c r="I4985" s="26">
        <v>43706.631111111099</v>
      </c>
      <c r="J4985" s="23" t="str">
        <f>HYPERLINK("https://www.spark-marketing.ru/Card/Person/131113", "ООО ""НИКА""")</f>
        <v>ООО "НИКА"</v>
      </c>
      <c r="K4985" s="24" t="s">
        <v>6425</v>
      </c>
      <c r="L4985" s="22" t="s">
        <v>10</v>
      </c>
      <c r="M4985" s="25">
        <v>1224976.5</v>
      </c>
      <c r="N4985" s="27">
        <v>0.01</v>
      </c>
    </row>
    <row r="4986" spans="1:14" hidden="1" outlineLevel="1" x14ac:dyDescent="0.2">
      <c r="A4986" s="23" t="str">
        <f>HYPERLINK("https://www.spark-marketing.ru/Card/Person/90559", "УМВД РОССИИ ПО ГОРОДСКОМУ ОКРУГУ КОРОЛЕВ")</f>
        <v>УМВД РОССИИ ПО ГОРОДСКОМУ ОКРУГУ КОРОЛЕВ</v>
      </c>
      <c r="B4986" s="24" t="s">
        <v>7794</v>
      </c>
      <c r="C4986" s="25">
        <v>1237350</v>
      </c>
      <c r="D4986" s="22" t="s">
        <v>7865</v>
      </c>
      <c r="E4986" s="22" t="s">
        <v>48</v>
      </c>
      <c r="F4986" s="23" t="str">
        <f>HYPERLINK("https://www.spark-marketing.ru/Card/Lot/73126206", "услуги по питанию граждан, содержащихся в ИВС УМВД России по городскому округу Королев")</f>
        <v>услуги по питанию граждан, содержащихся в ИВС УМВД России по городскому округу Королев</v>
      </c>
      <c r="G4986" s="22" t="s">
        <v>49</v>
      </c>
      <c r="H4986" s="22" t="s">
        <v>301</v>
      </c>
      <c r="I4986" s="26">
        <v>43706.631111111099</v>
      </c>
      <c r="J4986" s="23" t="str">
        <f>HYPERLINK("https://www.spark-marketing.ru/Card/Person/6310318", "ООО ""ОТДЕЛ МАРКЕТИНГА""")</f>
        <v>ООО "ОТДЕЛ МАРКЕТИНГА"</v>
      </c>
      <c r="K4986" s="24" t="s">
        <v>6426</v>
      </c>
      <c r="L4986" s="28" t="s">
        <v>51</v>
      </c>
      <c r="M4986" s="25">
        <v>1231163.25</v>
      </c>
      <c r="N4986" s="27">
        <v>5.0000000000000001E-3</v>
      </c>
    </row>
    <row r="4987" spans="1:14" collapsed="1" x14ac:dyDescent="0.15">
      <c r="A4987" s="23" t="s">
        <v>114</v>
      </c>
      <c r="B4987" s="28" t="s">
        <v>51</v>
      </c>
      <c r="C4987" s="25">
        <v>17542746</v>
      </c>
      <c r="D4987" s="22" t="s">
        <v>7866</v>
      </c>
      <c r="E4987" s="22" t="s">
        <v>96</v>
      </c>
      <c r="F4987" s="23" t="str">
        <f t="shared" ref="F4987:F4995" si="91">HYPERLINK("https://www.spark-marketing.ru/Card/Lot/73129807",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4987" s="22" t="s">
        <v>51</v>
      </c>
      <c r="H4987" s="22" t="s">
        <v>51</v>
      </c>
      <c r="I4987" s="26">
        <v>43706.6482986111</v>
      </c>
      <c r="J4987" s="28" t="s">
        <v>51</v>
      </c>
      <c r="K4987" s="28" t="s">
        <v>51</v>
      </c>
      <c r="L4987" s="28" t="s">
        <v>51</v>
      </c>
      <c r="M4987" s="28" t="s">
        <v>51</v>
      </c>
      <c r="N4987" s="28" t="s">
        <v>51</v>
      </c>
    </row>
    <row r="4988" spans="1:14" hidden="1" outlineLevel="1" x14ac:dyDescent="0.15">
      <c r="A4988" s="23" t="str">
        <f>HYPERLINK("https://www.spark-marketing.ru/Card/Person/59753", "МБОУ СОШ № 83")</f>
        <v>МБОУ СОШ № 83</v>
      </c>
      <c r="B4988" s="24" t="s">
        <v>7867</v>
      </c>
      <c r="C4988" s="25">
        <v>3475902</v>
      </c>
      <c r="D4988" s="22" t="s">
        <v>7866</v>
      </c>
      <c r="E4988" s="22" t="s">
        <v>96</v>
      </c>
      <c r="F4988" s="23" t="str">
        <f t="shared" si="91"/>
        <v>Оказание услуг по организации горячего питания школьников на 2019-2020 учебный год</v>
      </c>
      <c r="G4988" s="22" t="s">
        <v>82</v>
      </c>
      <c r="H4988" s="22" t="s">
        <v>83</v>
      </c>
      <c r="I4988" s="26">
        <v>43706.6482986111</v>
      </c>
      <c r="J4988" s="28" t="s">
        <v>51</v>
      </c>
      <c r="K4988" s="28" t="s">
        <v>51</v>
      </c>
      <c r="L4988" s="28" t="s">
        <v>51</v>
      </c>
      <c r="M4988" s="28" t="s">
        <v>51</v>
      </c>
      <c r="N4988" s="28" t="s">
        <v>51</v>
      </c>
    </row>
    <row r="4989" spans="1:14" hidden="1" outlineLevel="1" x14ac:dyDescent="0.15">
      <c r="A4989" s="23" t="str">
        <f>HYPERLINK("https://www.spark-marketing.ru/Card/Person/59912", "МБОУ СОШ № 81")</f>
        <v>МБОУ СОШ № 81</v>
      </c>
      <c r="B4989" s="24" t="s">
        <v>7868</v>
      </c>
      <c r="C4989" s="25">
        <v>2581520</v>
      </c>
      <c r="D4989" s="22" t="s">
        <v>7866</v>
      </c>
      <c r="E4989" s="22" t="s">
        <v>96</v>
      </c>
      <c r="F4989" s="23" t="str">
        <f t="shared" si="91"/>
        <v>Оказание услуг по организации горячего питания школьников на 2019-2020 учебный год</v>
      </c>
      <c r="G4989" s="22" t="s">
        <v>82</v>
      </c>
      <c r="H4989" s="22" t="s">
        <v>83</v>
      </c>
      <c r="I4989" s="26">
        <v>43706.6482986111</v>
      </c>
      <c r="J4989" s="28" t="s">
        <v>51</v>
      </c>
      <c r="K4989" s="28" t="s">
        <v>51</v>
      </c>
      <c r="L4989" s="28" t="s">
        <v>51</v>
      </c>
      <c r="M4989" s="28" t="s">
        <v>51</v>
      </c>
      <c r="N4989" s="28" t="s">
        <v>51</v>
      </c>
    </row>
    <row r="4990" spans="1:14" hidden="1" outlineLevel="1" x14ac:dyDescent="0.15">
      <c r="A4990" s="23" t="str">
        <f>HYPERLINK("https://www.spark-marketing.ru/Card/Person/59932", "МБОУ ГИМНАЗИЯ ИМ. И.А.БУНИНА")</f>
        <v>МБОУ ГИМНАЗИЯ ИМ. И.А.БУНИНА</v>
      </c>
      <c r="B4990" s="24" t="s">
        <v>7869</v>
      </c>
      <c r="C4990" s="25">
        <v>3429054</v>
      </c>
      <c r="D4990" s="22" t="s">
        <v>7866</v>
      </c>
      <c r="E4990" s="22" t="s">
        <v>96</v>
      </c>
      <c r="F4990" s="23" t="str">
        <f t="shared" si="91"/>
        <v>Оказание услуг по организации горячего питания школьников на 2019-2020 учебный год</v>
      </c>
      <c r="G4990" s="22" t="s">
        <v>82</v>
      </c>
      <c r="H4990" s="22" t="s">
        <v>83</v>
      </c>
      <c r="I4990" s="26">
        <v>43706.6482986111</v>
      </c>
      <c r="J4990" s="28" t="s">
        <v>51</v>
      </c>
      <c r="K4990" s="28" t="s">
        <v>51</v>
      </c>
      <c r="L4990" s="28" t="s">
        <v>51</v>
      </c>
      <c r="M4990" s="28" t="s">
        <v>51</v>
      </c>
      <c r="N4990" s="28" t="s">
        <v>51</v>
      </c>
    </row>
    <row r="4991" spans="1:14" hidden="1" outlineLevel="1" x14ac:dyDescent="0.15">
      <c r="A4991" s="23" t="str">
        <f>HYPERLINK("https://www.spark-marketing.ru/Card/Person/60501", "МБОУ ЛИЦЕЙ № 5")</f>
        <v>МБОУ ЛИЦЕЙ № 5</v>
      </c>
      <c r="B4991" s="24" t="s">
        <v>7870</v>
      </c>
      <c r="C4991" s="25">
        <v>3478220</v>
      </c>
      <c r="D4991" s="22" t="s">
        <v>7866</v>
      </c>
      <c r="E4991" s="22" t="s">
        <v>96</v>
      </c>
      <c r="F4991" s="23" t="str">
        <f t="shared" si="91"/>
        <v>Оказание услуг по организации горячего питания школьников на 2019-2020 учебный год</v>
      </c>
      <c r="G4991" s="22" t="s">
        <v>82</v>
      </c>
      <c r="H4991" s="22" t="s">
        <v>83</v>
      </c>
      <c r="I4991" s="26">
        <v>43706.6482986111</v>
      </c>
      <c r="J4991" s="28" t="s">
        <v>51</v>
      </c>
      <c r="K4991" s="28" t="s">
        <v>51</v>
      </c>
      <c r="L4991" s="28" t="s">
        <v>51</v>
      </c>
      <c r="M4991" s="28" t="s">
        <v>51</v>
      </c>
      <c r="N4991" s="28" t="s">
        <v>51</v>
      </c>
    </row>
    <row r="4992" spans="1:14" hidden="1" outlineLevel="1" x14ac:dyDescent="0.15">
      <c r="A4992" s="23" t="str">
        <f>HYPERLINK("https://www.spark-marketing.ru/Card/Person/88396", "МБОУ СОШ № 55")</f>
        <v>МБОУ СОШ № 55</v>
      </c>
      <c r="B4992" s="24" t="s">
        <v>7871</v>
      </c>
      <c r="C4992" s="25">
        <v>4578050</v>
      </c>
      <c r="D4992" s="22" t="s">
        <v>7866</v>
      </c>
      <c r="E4992" s="22" t="s">
        <v>96</v>
      </c>
      <c r="F4992" s="23" t="str">
        <f t="shared" si="91"/>
        <v>Оказание услуг по организации горячего питания школьников на 2019-2020 учебный год</v>
      </c>
      <c r="G4992" s="22" t="s">
        <v>82</v>
      </c>
      <c r="H4992" s="22" t="s">
        <v>83</v>
      </c>
      <c r="I4992" s="26">
        <v>43706.6482986111</v>
      </c>
      <c r="J4992" s="28" t="s">
        <v>51</v>
      </c>
      <c r="K4992" s="28" t="s">
        <v>51</v>
      </c>
      <c r="L4992" s="28" t="s">
        <v>51</v>
      </c>
      <c r="M4992" s="28" t="s">
        <v>51</v>
      </c>
      <c r="N4992" s="28" t="s">
        <v>51</v>
      </c>
    </row>
    <row r="4993" spans="1:14" hidden="1" outlineLevel="1" x14ac:dyDescent="0.2">
      <c r="A4993" s="28" t="s">
        <v>51</v>
      </c>
      <c r="B4993" s="28" t="s">
        <v>51</v>
      </c>
      <c r="C4993" s="28" t="s">
        <v>51</v>
      </c>
      <c r="D4993" s="22" t="s">
        <v>7866</v>
      </c>
      <c r="E4993" s="22" t="s">
        <v>96</v>
      </c>
      <c r="F4993" s="23" t="str">
        <f t="shared" si="91"/>
        <v>Оказание услуг по организации горячего питания школьников на 2019-2020 учебный год</v>
      </c>
      <c r="G4993" s="22" t="s">
        <v>51</v>
      </c>
      <c r="H4993" s="22" t="s">
        <v>51</v>
      </c>
      <c r="I4993" s="26">
        <v>43706.6482986111</v>
      </c>
      <c r="J4993" s="23" t="str">
        <f>HYPERLINK("https://www.spark-marketing.ru/Card/Person/81010", "ООО ""ТД СПП""")</f>
        <v>ООО "ТД СПП"</v>
      </c>
      <c r="K4993" s="24" t="s">
        <v>7782</v>
      </c>
      <c r="L4993" s="28" t="s">
        <v>51</v>
      </c>
      <c r="M4993" s="25">
        <v>17542746</v>
      </c>
      <c r="N4993" s="27">
        <v>0</v>
      </c>
    </row>
    <row r="4994" spans="1:14" hidden="1" outlineLevel="1" x14ac:dyDescent="0.2">
      <c r="A4994" s="28" t="s">
        <v>51</v>
      </c>
      <c r="B4994" s="28" t="s">
        <v>51</v>
      </c>
      <c r="C4994" s="28" t="s">
        <v>51</v>
      </c>
      <c r="D4994" s="22" t="s">
        <v>7866</v>
      </c>
      <c r="E4994" s="22" t="s">
        <v>96</v>
      </c>
      <c r="F4994" s="23" t="str">
        <f t="shared" si="91"/>
        <v>Оказание услуг по организации горячего питания школьников на 2019-2020 учебный год</v>
      </c>
      <c r="G4994" s="22" t="s">
        <v>51</v>
      </c>
      <c r="H4994" s="22" t="s">
        <v>51</v>
      </c>
      <c r="I4994" s="26">
        <v>43706.6482986111</v>
      </c>
      <c r="J4994" s="23" t="str">
        <f>HYPERLINK("https://www.spark-marketing.ru/Card/Person/59814", "ООО КП ""СОЛНЕЧНЫЙ""")</f>
        <v>ООО КП "СОЛНЕЧНЫЙ"</v>
      </c>
      <c r="K4994" s="24" t="s">
        <v>7783</v>
      </c>
      <c r="L4994" s="28" t="s">
        <v>51</v>
      </c>
      <c r="M4994" s="25">
        <v>17367318</v>
      </c>
      <c r="N4994" s="27">
        <v>1.0000030781953977E-2</v>
      </c>
    </row>
    <row r="4995" spans="1:14" hidden="1" outlineLevel="1" x14ac:dyDescent="0.2">
      <c r="A4995" s="28" t="s">
        <v>51</v>
      </c>
      <c r="B4995" s="28" t="s">
        <v>51</v>
      </c>
      <c r="C4995" s="28" t="s">
        <v>51</v>
      </c>
      <c r="D4995" s="22" t="s">
        <v>7866</v>
      </c>
      <c r="E4995" s="22" t="s">
        <v>96</v>
      </c>
      <c r="F4995" s="23" t="str">
        <f t="shared" si="91"/>
        <v>Оказание услуг по организации горячего питания школьников на 2019-2020 учебный год</v>
      </c>
      <c r="G4995" s="22" t="s">
        <v>51</v>
      </c>
      <c r="H4995" s="22" t="s">
        <v>51</v>
      </c>
      <c r="I4995" s="26">
        <v>43706.6482986111</v>
      </c>
      <c r="J4995" s="23" t="str">
        <f>HYPERLINK("https://www.spark-marketing.ru/Card/Person/16210", "ООО ""ГК ФЬЮЖЕН МЕНЕДЖМЕНТ""")</f>
        <v>ООО "ГК ФЬЮЖЕН МЕНЕДЖМЕНТ"</v>
      </c>
      <c r="K4995" s="24" t="s">
        <v>1675</v>
      </c>
      <c r="L4995" s="22" t="s">
        <v>10</v>
      </c>
      <c r="M4995" s="25">
        <v>17227668.800000001</v>
      </c>
      <c r="N4995" s="27">
        <v>1.7960540499189808E-2</v>
      </c>
    </row>
    <row r="4996" spans="1:14" x14ac:dyDescent="0.15">
      <c r="A4996" s="23" t="str">
        <f>HYPERLINK("https://www.spark-marketing.ru/Card/Person/112707", "МО МВД РОССИИ ""УСТЬ-ИЛИМСКИЙ""")</f>
        <v>МО МВД РОССИИ "УСТЬ-ИЛИМСКИЙ"</v>
      </c>
      <c r="B4996" s="24" t="s">
        <v>7862</v>
      </c>
      <c r="C4996" s="25">
        <v>1503800</v>
      </c>
      <c r="D4996" s="22" t="s">
        <v>7872</v>
      </c>
      <c r="E4996" s="22" t="s">
        <v>48</v>
      </c>
      <c r="F4996" s="23" t="str">
        <f>HYPERLINK("https://www.spark-marketing.ru/Card/Lot/73108739", "Прочая закупка (услуги по организации ежедневного 3-х разового питания для лиц, подозреваемых и  обвиняемых в совершении преступлений, содержащихся в изоляторе временного содержания и лиц, содержащихся в специальном приемнике МО МВД России ""Усть-Или...")</f>
        <v>Прочая закупка (услуги по организации ежедневного 3-х разового питания для лиц, подозреваемых и  обвиняемых в совершении преступлений, содержащихся в изоляторе временного содержания и лиц, содержащихся в специальном приемнике МО МВД России "Усть-Или...</v>
      </c>
      <c r="G4996" s="22" t="s">
        <v>263</v>
      </c>
      <c r="H4996" s="22" t="s">
        <v>7864</v>
      </c>
      <c r="I4996" s="26">
        <v>43706.450543981497</v>
      </c>
      <c r="J4996" s="23" t="str">
        <f>HYPERLINK("https://www.spark-marketing.ru/Card/Person/112724", "Скороходова Ольга Валерьевна")</f>
        <v>Скороходова Ольга Валерьевна</v>
      </c>
      <c r="K4996" s="24" t="s">
        <v>4484</v>
      </c>
      <c r="L4996" s="22" t="s">
        <v>10</v>
      </c>
      <c r="M4996" s="28" t="s">
        <v>51</v>
      </c>
      <c r="N4996" s="28" t="s">
        <v>51</v>
      </c>
    </row>
    <row r="4997" spans="1:14" x14ac:dyDescent="0.15">
      <c r="A4997" s="23" t="str">
        <f>HYPERLINK("https://www.spark-marketing.ru/Card/Person/263342", "ОМВД РОССИИ ПО НИЖНЕИЛИМСКОМУ РАЙОНУ")</f>
        <v>ОМВД РОССИИ ПО НИЖНЕИЛИМСКОМУ РАЙОНУ</v>
      </c>
      <c r="B4997" s="24" t="s">
        <v>7844</v>
      </c>
      <c r="C4997" s="25">
        <v>719906.8</v>
      </c>
      <c r="D4997" s="22" t="s">
        <v>7873</v>
      </c>
      <c r="E4997" s="22" t="s">
        <v>48</v>
      </c>
      <c r="F4997" s="23" t="str">
        <f>HYPERLINK("https://www.spark-marketing.ru/Card/Lot/73108462", "Прочая закупка товаров, работ и услуг (питание ИВС)")</f>
        <v>Прочая закупка товаров, работ и услуг (питание ИВС)</v>
      </c>
      <c r="G4997" s="22" t="s">
        <v>263</v>
      </c>
      <c r="H4997" s="22" t="s">
        <v>263</v>
      </c>
      <c r="I4997" s="26">
        <v>43706.467337962997</v>
      </c>
      <c r="J4997" s="28" t="s">
        <v>51</v>
      </c>
      <c r="K4997" s="28" t="s">
        <v>51</v>
      </c>
      <c r="L4997" s="28" t="s">
        <v>51</v>
      </c>
      <c r="M4997" s="28" t="s">
        <v>51</v>
      </c>
      <c r="N4997" s="28" t="s">
        <v>51</v>
      </c>
    </row>
    <row r="4998" spans="1:14" x14ac:dyDescent="0.15">
      <c r="A4998" s="23" t="str">
        <f>HYPERLINK("https://www.spark-marketing.ru/Card/Person/103355", "ОТДЕЛЕНИЕ МВД РОССИИ ПО НИЖНЕДЕВИЦКОМУ РАЙОНУ")</f>
        <v>ОТДЕЛЕНИЕ МВД РОССИИ ПО НИЖНЕДЕВИЦКОМУ РАЙОНУ</v>
      </c>
      <c r="B4998" s="24" t="s">
        <v>4398</v>
      </c>
      <c r="C4998" s="25">
        <v>297600</v>
      </c>
      <c r="D4998" s="22" t="s">
        <v>7874</v>
      </c>
      <c r="E4998" s="22" t="s">
        <v>48</v>
      </c>
      <c r="F4998" s="23" t="str">
        <f>HYPERLINK("https://www.spark-marketing.ru/Card/Lot/73116711", "Оказание услуг по организации питания (приготовлению и доставке) для ИВС, 1488 усл. ед")</f>
        <v>Оказание услуг по организации питания (приготовлению и доставке) для ИВС, 1488 усл. ед</v>
      </c>
      <c r="G4998" s="22" t="s">
        <v>82</v>
      </c>
      <c r="H4998" s="22" t="s">
        <v>4400</v>
      </c>
      <c r="I4998" s="26">
        <v>43706.658587963</v>
      </c>
      <c r="J4998" s="28" t="s">
        <v>51</v>
      </c>
      <c r="K4998" s="28" t="s">
        <v>51</v>
      </c>
      <c r="L4998" s="28" t="s">
        <v>51</v>
      </c>
      <c r="M4998" s="28" t="s">
        <v>51</v>
      </c>
      <c r="N4998" s="28" t="s">
        <v>51</v>
      </c>
    </row>
    <row r="4999" spans="1:14" collapsed="1" x14ac:dyDescent="0.15">
      <c r="A4999" s="23" t="str">
        <f>HYPERLINK("https://www.spark-marketing.ru/Card/Person/1072938", "МБОУ ""СОШ № 2 С УИОП""")</f>
        <v>МБОУ "СОШ № 2 С УИОП"</v>
      </c>
      <c r="B4999" s="24" t="s">
        <v>7875</v>
      </c>
      <c r="C4999" s="25">
        <v>1344479.5</v>
      </c>
      <c r="D4999" s="22" t="s">
        <v>7876</v>
      </c>
      <c r="E4999" s="22" t="s">
        <v>96</v>
      </c>
      <c r="F4999" s="23" t="str">
        <f>HYPERLINK("https://www.spark-marketing.ru/Card/Lot/73126190", "Оказание услуг по организации и обеспечению горячего питания для учащихся из многодетных малоимущих, малоимущих семей и для учащихся с ограниченными возможностями здоровья")</f>
        <v>Оказание услуг по организации и обеспечению горячего питания для учащихся из многодетных малоимущих, малоимущих семей и для учащихся с ограниченными возможностями здоровья</v>
      </c>
      <c r="G4999" s="22" t="s">
        <v>153</v>
      </c>
      <c r="H4999" s="22" t="s">
        <v>153</v>
      </c>
      <c r="I4999" s="26">
        <v>43706.621238425898</v>
      </c>
      <c r="J4999" s="23" t="str">
        <f>HYPERLINK("https://www.spark-marketing.ru/Card/Person/4704884", "Жакина Наталья Александровна")</f>
        <v>Жакина Наталья Александровна</v>
      </c>
      <c r="K4999" s="24" t="s">
        <v>7877</v>
      </c>
      <c r="L4999" s="28" t="s">
        <v>51</v>
      </c>
      <c r="M4999" s="28" t="s">
        <v>51</v>
      </c>
      <c r="N4999" s="28" t="s">
        <v>51</v>
      </c>
    </row>
    <row r="5000" spans="1:14" ht="12.75" hidden="1" outlineLevel="1" x14ac:dyDescent="0.2">
      <c r="A5000" s="23" t="str">
        <f>HYPERLINK("https://www.spark-marketing.ru/Card/Person/1072938", "МБОУ ""СОШ № 2 С УИОП""")</f>
        <v>МБОУ "СОШ № 2 С УИОП"</v>
      </c>
      <c r="B5000" s="24" t="s">
        <v>7875</v>
      </c>
      <c r="C5000" s="25">
        <v>1344479.5</v>
      </c>
      <c r="D5000" s="22" t="s">
        <v>7876</v>
      </c>
      <c r="E5000" s="22" t="s">
        <v>96</v>
      </c>
      <c r="F5000" s="23" t="str">
        <f>HYPERLINK("https://www.spark-marketing.ru/Card/Lot/73126190", "Оказание услуг по организации и обеспечению горячего питания для учащихся из многодетных малоимущих, малоимущих семей и для учащихся с ограниченными возможностями здоровья")</f>
        <v>Оказание услуг по организации и обеспечению горячего питания для учащихся из многодетных малоимущих, малоимущих семей и для учащихся с ограниченными возможностями здоровья</v>
      </c>
      <c r="G5000" s="22" t="s">
        <v>153</v>
      </c>
      <c r="H5000" s="22" t="s">
        <v>153</v>
      </c>
      <c r="I5000" s="26">
        <v>43706.621238425898</v>
      </c>
      <c r="J5000" s="23" t="str">
        <f>HYPERLINK("https://www.spark-marketing.ru/Card/Person/4704884", "Жакина Наталья Александровна")</f>
        <v>Жакина Наталья Александровна</v>
      </c>
      <c r="K5000" s="24" t="s">
        <v>7877</v>
      </c>
      <c r="L5000" s="22" t="s">
        <v>10</v>
      </c>
      <c r="M5000" s="25">
        <v>1337757.1000000001</v>
      </c>
      <c r="N5000" s="27">
        <v>5.0000018594556477E-3</v>
      </c>
    </row>
    <row r="5001" spans="1:14" collapsed="1" x14ac:dyDescent="0.15">
      <c r="A5001" s="23" t="str">
        <f>HYPERLINK("https://www.spark-marketing.ru/Card/Person/1744014", "ГУ МВД РОССИИ ПО ПЕРМСКОМУ КРАЮ")</f>
        <v>ГУ МВД РОССИИ ПО ПЕРМСКОМУ КРАЮ</v>
      </c>
      <c r="B5001" s="24" t="s">
        <v>7878</v>
      </c>
      <c r="C5001" s="25">
        <v>10420000</v>
      </c>
      <c r="D5001" s="22" t="s">
        <v>7879</v>
      </c>
      <c r="E5001" s="22" t="s">
        <v>48</v>
      </c>
      <c r="F5001" s="23" t="str">
        <f>HYPERLINK("https://www.spark-marketing.ru/Card/Lot/73128555", "Оказание услуг по организации горячего питания для слушателей, находящихся на профессиональном обучении по образовательным программам профессиональной подготовки по должности служащего «Полицейский» по очной форме в Центре профессиональной подготовки...")</f>
        <v>Оказание услуг по организации горячего питания для слушателей, находящихся на профессиональном обучении по образовательным программам профессиональной подготовки по должности служащего «Полицейский» по очной форме в Центре профессиональной подготовки...</v>
      </c>
      <c r="G5001" s="22" t="s">
        <v>153</v>
      </c>
      <c r="H5001" s="22" t="s">
        <v>153</v>
      </c>
      <c r="I5001" s="26">
        <v>43705.442118055602</v>
      </c>
      <c r="J5001" s="28" t="s">
        <v>51</v>
      </c>
      <c r="K5001" s="28" t="s">
        <v>51</v>
      </c>
      <c r="L5001" s="28" t="s">
        <v>51</v>
      </c>
      <c r="M5001" s="28" t="s">
        <v>51</v>
      </c>
      <c r="N5001" s="28" t="s">
        <v>51</v>
      </c>
    </row>
    <row r="5002" spans="1:14" ht="12.75" hidden="1" outlineLevel="1" x14ac:dyDescent="0.2">
      <c r="A5002" s="23" t="str">
        <f>HYPERLINK("https://www.spark-marketing.ru/Card/Person/1744014", "ГУ МВД РОССИИ ПО ПЕРМСКОМУ КРАЮ")</f>
        <v>ГУ МВД РОССИИ ПО ПЕРМСКОМУ КРАЮ</v>
      </c>
      <c r="B5002" s="24" t="s">
        <v>7878</v>
      </c>
      <c r="C5002" s="25">
        <v>10420000</v>
      </c>
      <c r="D5002" s="22" t="s">
        <v>7879</v>
      </c>
      <c r="E5002" s="22" t="s">
        <v>48</v>
      </c>
      <c r="F5002" s="23" t="str">
        <f>HYPERLINK("https://www.spark-marketing.ru/Card/Lot/73128555", "Оказание услуг по организации горячего питания для слушателей, находящихся на профессиональном обучении по образовательным программам профессиональной подготовки по должности служащего «Полицейский» по очной форме в Центре профессиональной подготовки...")</f>
        <v>Оказание услуг по организации горячего питания для слушателей, находящихся на профессиональном обучении по образовательным программам профессиональной подготовки по должности служащего «Полицейский» по очной форме в Центре профессиональной подготовки...</v>
      </c>
      <c r="G5002" s="22" t="s">
        <v>153</v>
      </c>
      <c r="H5002" s="22" t="s">
        <v>153</v>
      </c>
      <c r="I5002" s="26">
        <v>43705.442118055602</v>
      </c>
      <c r="J5002" s="23" t="str">
        <f>HYPERLINK("https://www.spark-marketing.ru/Card/Person/45475", "ООО ""ТРАПЕЗА""")</f>
        <v>ООО "ТРАПЕЗА"</v>
      </c>
      <c r="K5002" s="24" t="s">
        <v>7880</v>
      </c>
      <c r="L5002" s="22" t="s">
        <v>10</v>
      </c>
      <c r="M5002" s="25">
        <v>260.55</v>
      </c>
      <c r="N5002" s="27">
        <v>0.99997499520153554</v>
      </c>
    </row>
    <row r="5003" spans="1:14" hidden="1" outlineLevel="1" x14ac:dyDescent="0.2">
      <c r="A5003" s="23" t="str">
        <f>HYPERLINK("https://www.spark-marketing.ru/Card/Person/1744014", "ГУ МВД РОССИИ ПО ПЕРМСКОМУ КРАЮ")</f>
        <v>ГУ МВД РОССИИ ПО ПЕРМСКОМУ КРАЮ</v>
      </c>
      <c r="B5003" s="24" t="s">
        <v>7878</v>
      </c>
      <c r="C5003" s="25">
        <v>10420000</v>
      </c>
      <c r="D5003" s="22" t="s">
        <v>7879</v>
      </c>
      <c r="E5003" s="22" t="s">
        <v>48</v>
      </c>
      <c r="F5003" s="23" t="str">
        <f>HYPERLINK("https://www.spark-marketing.ru/Card/Lot/73128555", "Оказание услуг по организации горячего питания для слушателей, находящихся на профессиональном обучении по образовательным программам профессиональной подготовки по должности служащего «Полицейский» по очной форме в Центре профессиональной подготовки...")</f>
        <v>Оказание услуг по организации горячего питания для слушателей, находящихся на профессиональном обучении по образовательным программам профессиональной подготовки по должности служащего «Полицейский» по очной форме в Центре профессиональной подготовки...</v>
      </c>
      <c r="G5003" s="22" t="s">
        <v>153</v>
      </c>
      <c r="H5003" s="22" t="s">
        <v>153</v>
      </c>
      <c r="I5003" s="26">
        <v>43705.442118055602</v>
      </c>
      <c r="J5003" s="23" t="str">
        <f>HYPERLINK("https://www.spark-marketing.ru/Card/Person/6698023", "ООО ""БОЛЬШАЯ ЕДА""")</f>
        <v>ООО "БОЛЬШАЯ ЕДА"</v>
      </c>
      <c r="K5003" s="24" t="s">
        <v>7881</v>
      </c>
      <c r="L5003" s="28" t="s">
        <v>51</v>
      </c>
      <c r="M5003" s="25">
        <v>262.08999999999997</v>
      </c>
      <c r="N5003" s="27">
        <v>0.99997484740882914</v>
      </c>
    </row>
    <row r="5004" spans="1:14" collapsed="1" x14ac:dyDescent="0.15">
      <c r="A5004" s="23" t="str">
        <f>HYPERLINK("https://www.spark-marketing.ru/Card/Person/5852691", "СЛУЖБА ПО ОРГАНИЗАЦИОННОМУ ОБЕСПЕЧЕНИЮ ДЕЯТЕЛЬНОСТИ МИРОВЫХ СУДЕЙ КАЛУЖСКОЙ ОБЛАСТИ")</f>
        <v>СЛУЖБА ПО ОРГАНИЗАЦИОННОМУ ОБЕСПЕЧЕНИЮ ДЕЯТЕЛЬНОСТИ МИРОВЫХ СУДЕЙ КАЛУЖСКОЙ ОБЛАСТИ</v>
      </c>
      <c r="B5004" s="24" t="s">
        <v>7882</v>
      </c>
      <c r="C5004" s="25">
        <v>150000</v>
      </c>
      <c r="D5004" s="22" t="s">
        <v>7883</v>
      </c>
      <c r="E5004" s="22" t="s">
        <v>91</v>
      </c>
      <c r="F5004" s="23" t="str">
        <f>HYPERLINK("https://www.spark-marketing.ru/Card/Lot/73117595", "Оказание услуг по ремонту оргтехники, заправке и восстановлению расходных материалов (картриджей).")</f>
        <v>Оказание услуг по ремонту оргтехники, заправке и восстановлению расходных материалов (картриджей).</v>
      </c>
      <c r="G5004" s="22" t="s">
        <v>112</v>
      </c>
      <c r="H5004" s="22" t="s">
        <v>389</v>
      </c>
      <c r="I5004" s="26">
        <v>43706.523645833302</v>
      </c>
      <c r="J5004" s="28" t="s">
        <v>51</v>
      </c>
      <c r="K5004" s="28" t="s">
        <v>51</v>
      </c>
      <c r="L5004" s="28" t="s">
        <v>51</v>
      </c>
      <c r="M5004" s="28" t="s">
        <v>51</v>
      </c>
      <c r="N5004" s="28" t="s">
        <v>51</v>
      </c>
    </row>
    <row r="5005" spans="1:14" ht="12.75" hidden="1" outlineLevel="1" x14ac:dyDescent="0.2">
      <c r="A5005" s="23" t="str">
        <f>HYPERLINK("https://www.spark-marketing.ru/Card/Person/5852691", "СЛУЖБА ПО ОРГАНИЗАЦИОННОМУ ОБЕСПЕЧЕНИЮ ДЕЯТЕЛЬНОСТИ МИРОВЫХ СУДЕЙ КАЛУЖСКОЙ ОБЛАСТИ")</f>
        <v>СЛУЖБА ПО ОРГАНИЗАЦИОННОМУ ОБЕСПЕЧЕНИЮ ДЕЯТЕЛЬНОСТИ МИРОВЫХ СУДЕЙ КАЛУЖСКОЙ ОБЛАСТИ</v>
      </c>
      <c r="B5005" s="24" t="s">
        <v>7882</v>
      </c>
      <c r="C5005" s="25">
        <v>150000</v>
      </c>
      <c r="D5005" s="22" t="s">
        <v>7883</v>
      </c>
      <c r="E5005" s="22" t="s">
        <v>91</v>
      </c>
      <c r="F5005" s="23" t="str">
        <f>HYPERLINK("https://www.spark-marketing.ru/Card/Lot/73117595", "Оказание услуг по ремонту оргтехники, заправке и восстановлению расходных материалов (картриджей).")</f>
        <v>Оказание услуг по ремонту оргтехники, заправке и восстановлению расходных материалов (картриджей).</v>
      </c>
      <c r="G5005" s="22" t="s">
        <v>112</v>
      </c>
      <c r="H5005" s="22" t="s">
        <v>389</v>
      </c>
      <c r="I5005" s="26">
        <v>43706.523645833302</v>
      </c>
      <c r="J5005" s="23" t="str">
        <f>HYPERLINK("https://www.spark-marketing.ru/Card/Person/6378587", "ООО ""КОМПЛЕКТ""")</f>
        <v>ООО "КОМПЛЕКТ"</v>
      </c>
      <c r="K5005" s="24" t="s">
        <v>7884</v>
      </c>
      <c r="L5005" s="22" t="s">
        <v>10</v>
      </c>
      <c r="M5005" s="25">
        <v>261609.06</v>
      </c>
      <c r="N5005" s="27">
        <v>-0.74406039999999996</v>
      </c>
    </row>
    <row r="5006" spans="1:14" hidden="1" outlineLevel="1" x14ac:dyDescent="0.2">
      <c r="A5006" s="23" t="str">
        <f>HYPERLINK("https://www.spark-marketing.ru/Card/Person/5852691", "СЛУЖБА ПО ОРГАНИЗАЦИОННОМУ ОБЕСПЕЧЕНИЮ ДЕЯТЕЛЬНОСТИ МИРОВЫХ СУДЕЙ КАЛУЖСКОЙ ОБЛАСТИ")</f>
        <v>СЛУЖБА ПО ОРГАНИЗАЦИОННОМУ ОБЕСПЕЧЕНИЮ ДЕЯТЕЛЬНОСТИ МИРОВЫХ СУДЕЙ КАЛУЖСКОЙ ОБЛАСТИ</v>
      </c>
      <c r="B5006" s="24" t="s">
        <v>7882</v>
      </c>
      <c r="C5006" s="25">
        <v>150000</v>
      </c>
      <c r="D5006" s="22" t="s">
        <v>7883</v>
      </c>
      <c r="E5006" s="22" t="s">
        <v>91</v>
      </c>
      <c r="F5006" s="23" t="str">
        <f>HYPERLINK("https://www.spark-marketing.ru/Card/Lot/73117595", "Оказание услуг по ремонту оргтехники, заправке и восстановлению расходных материалов (картриджей).")</f>
        <v>Оказание услуг по ремонту оргтехники, заправке и восстановлению расходных материалов (картриджей).</v>
      </c>
      <c r="G5006" s="22" t="s">
        <v>112</v>
      </c>
      <c r="H5006" s="22" t="s">
        <v>389</v>
      </c>
      <c r="I5006" s="26">
        <v>43706.523645833302</v>
      </c>
      <c r="J5006" s="23" t="str">
        <f>HYPERLINK("https://www.spark-marketing.ru/Card/Person/269879", "ООО ""ПРИНТ-ЛАЙН""")</f>
        <v>ООО "ПРИНТ-ЛАЙН"</v>
      </c>
      <c r="K5006" s="24" t="s">
        <v>7885</v>
      </c>
      <c r="L5006" s="28" t="s">
        <v>51</v>
      </c>
      <c r="M5006" s="25">
        <v>263124.26</v>
      </c>
      <c r="N5006" s="27">
        <v>-0.75416173333333336</v>
      </c>
    </row>
    <row r="5007" spans="1:14" hidden="1" outlineLevel="1" x14ac:dyDescent="0.2">
      <c r="A5007" s="23" t="str">
        <f>HYPERLINK("https://www.spark-marketing.ru/Card/Person/5852691", "СЛУЖБА ПО ОРГАНИЗАЦИОННОМУ ОБЕСПЕЧЕНИЮ ДЕЯТЕЛЬНОСТИ МИРОВЫХ СУДЕЙ КАЛУЖСКОЙ ОБЛАСТИ")</f>
        <v>СЛУЖБА ПО ОРГАНИЗАЦИОННОМУ ОБЕСПЕЧЕНИЮ ДЕЯТЕЛЬНОСТИ МИРОВЫХ СУДЕЙ КАЛУЖСКОЙ ОБЛАСТИ</v>
      </c>
      <c r="B5007" s="24" t="s">
        <v>7882</v>
      </c>
      <c r="C5007" s="25">
        <v>150000</v>
      </c>
      <c r="D5007" s="22" t="s">
        <v>7883</v>
      </c>
      <c r="E5007" s="22" t="s">
        <v>91</v>
      </c>
      <c r="F5007" s="23" t="str">
        <f>HYPERLINK("https://www.spark-marketing.ru/Card/Lot/73117595", "Оказание услуг по ремонту оргтехники, заправке и восстановлению расходных материалов (картриджей).")</f>
        <v>Оказание услуг по ремонту оргтехники, заправке и восстановлению расходных материалов (картриджей).</v>
      </c>
      <c r="G5007" s="22" t="s">
        <v>112</v>
      </c>
      <c r="H5007" s="22" t="s">
        <v>389</v>
      </c>
      <c r="I5007" s="26">
        <v>43706.523645833302</v>
      </c>
      <c r="J5007" s="23" t="str">
        <f>HYPERLINK("https://www.spark-marketing.ru/Card/Person/5873778", "Асмолов Владимир Владимирович")</f>
        <v>Асмолов Владимир Владимирович</v>
      </c>
      <c r="K5007" s="24" t="s">
        <v>7886</v>
      </c>
      <c r="L5007" s="28" t="s">
        <v>51</v>
      </c>
      <c r="M5007" s="25">
        <v>291602.46000000002</v>
      </c>
      <c r="N5007" s="27">
        <v>-0.94401639999999998</v>
      </c>
    </row>
    <row r="5008" spans="1:14" hidden="1" outlineLevel="1" x14ac:dyDescent="0.2">
      <c r="A5008" s="23" t="str">
        <f>HYPERLINK("https://www.spark-marketing.ru/Card/Person/5852691", "СЛУЖБА ПО ОРГАНИЗАЦИОННОМУ ОБЕСПЕЧЕНИЮ ДЕЯТЕЛЬНОСТИ МИРОВЫХ СУДЕЙ КАЛУЖСКОЙ ОБЛАСТИ")</f>
        <v>СЛУЖБА ПО ОРГАНИЗАЦИОННОМУ ОБЕСПЕЧЕНИЮ ДЕЯТЕЛЬНОСТИ МИРОВЫХ СУДЕЙ КАЛУЖСКОЙ ОБЛАСТИ</v>
      </c>
      <c r="B5008" s="24" t="s">
        <v>7882</v>
      </c>
      <c r="C5008" s="25">
        <v>150000</v>
      </c>
      <c r="D5008" s="22" t="s">
        <v>7883</v>
      </c>
      <c r="E5008" s="22" t="s">
        <v>91</v>
      </c>
      <c r="F5008" s="23" t="str">
        <f>HYPERLINK("https://www.spark-marketing.ru/Card/Lot/73117595", "Оказание услуг по ремонту оргтехники, заправке и восстановлению расходных материалов (картриджей).")</f>
        <v>Оказание услуг по ремонту оргтехники, заправке и восстановлению расходных материалов (картриджей).</v>
      </c>
      <c r="G5008" s="22" t="s">
        <v>112</v>
      </c>
      <c r="H5008" s="22" t="s">
        <v>389</v>
      </c>
      <c r="I5008" s="26">
        <v>43706.523645833302</v>
      </c>
      <c r="J5008" s="23" t="str">
        <f>HYPERLINK("https://www.spark-marketing.ru/Card/Person/612365", "ООО ""КОПИРУС""")</f>
        <v>ООО "КОПИРУС"</v>
      </c>
      <c r="K5008" s="24" t="s">
        <v>7887</v>
      </c>
      <c r="L5008" s="28" t="s">
        <v>51</v>
      </c>
      <c r="M5008" s="25">
        <v>263275.36</v>
      </c>
      <c r="N5008" s="27">
        <v>-0.75516906666666672</v>
      </c>
    </row>
    <row r="5009" spans="1:14" x14ac:dyDescent="0.15">
      <c r="A5009" s="23" t="str">
        <f>HYPERLINK("https://www.spark-marketing.ru/Card/Person/27035", "ГБУ МО ""СШОР ""ИСТИНА""")</f>
        <v>ГБУ МО "СШОР "ИСТИНА"</v>
      </c>
      <c r="B5009" s="24" t="s">
        <v>6108</v>
      </c>
      <c r="C5009" s="25">
        <v>576000</v>
      </c>
      <c r="D5009" s="22" t="s">
        <v>7888</v>
      </c>
      <c r="E5009" s="22" t="s">
        <v>48</v>
      </c>
      <c r="F5009" s="23" t="str">
        <f>HYPERLINK("https://www.spark-marketing.ru/Card/Lot/73115324", "Оказание услуг по организации питания (октябрь)")</f>
        <v>Оказание услуг по организации питания (октябрь)</v>
      </c>
      <c r="G5009" s="22" t="s">
        <v>49</v>
      </c>
      <c r="H5009" s="22" t="s">
        <v>4820</v>
      </c>
      <c r="I5009" s="26">
        <v>43706.618819444397</v>
      </c>
      <c r="J5009" s="28" t="s">
        <v>51</v>
      </c>
      <c r="K5009" s="28" t="s">
        <v>51</v>
      </c>
      <c r="L5009" s="28" t="s">
        <v>51</v>
      </c>
      <c r="M5009" s="28" t="s">
        <v>51</v>
      </c>
      <c r="N5009" s="28" t="s">
        <v>51</v>
      </c>
    </row>
    <row r="5010" spans="1:14" collapsed="1" x14ac:dyDescent="0.15">
      <c r="A5010" s="23" t="str">
        <f>HYPERLINK("https://www.spark-marketing.ru/Card/Person/165606", "ОМВД РОССИИ ПО НАНАЙСКОМУ РАЙОНУ")</f>
        <v>ОМВД РОССИИ ПО НАНАЙСКОМУ РАЙОНУ</v>
      </c>
      <c r="B5010" s="24" t="s">
        <v>7817</v>
      </c>
      <c r="C5010" s="25">
        <v>528350</v>
      </c>
      <c r="D5010" s="22" t="s">
        <v>7889</v>
      </c>
      <c r="E5010" s="22" t="s">
        <v>48</v>
      </c>
      <c r="F5010" s="23" t="str">
        <f>HYPERLINK("https://www.spark-marketing.ru/Card/Lot/73099300", "Услуги по организации питание граждан содержащиеся в ИВС ПиО ОМВД России по Нанайскому району")</f>
        <v>Услуги по организации питание граждан содержащиеся в ИВС ПиО ОМВД России по Нанайскому району</v>
      </c>
      <c r="G5010" s="22" t="s">
        <v>1096</v>
      </c>
      <c r="H5010" s="22" t="s">
        <v>7819</v>
      </c>
      <c r="I5010" s="26">
        <v>43705.708634259303</v>
      </c>
      <c r="J5010" s="23" t="str">
        <f>HYPERLINK("https://www.spark-marketing.ru/Card/Person/2577638", "ООО ""КАРАТ""")</f>
        <v>ООО "КАРАТ"</v>
      </c>
      <c r="K5010" s="24" t="s">
        <v>7820</v>
      </c>
      <c r="L5010" s="28" t="s">
        <v>51</v>
      </c>
      <c r="M5010" s="28" t="s">
        <v>51</v>
      </c>
      <c r="N5010" s="28" t="s">
        <v>51</v>
      </c>
    </row>
    <row r="5011" spans="1:14" ht="12.75" hidden="1" outlineLevel="1" x14ac:dyDescent="0.2">
      <c r="A5011" s="23" t="str">
        <f>HYPERLINK("https://www.spark-marketing.ru/Card/Person/165606", "ОМВД РОССИИ ПО НАНАЙСКОМУ РАЙОНУ")</f>
        <v>ОМВД РОССИИ ПО НАНАЙСКОМУ РАЙОНУ</v>
      </c>
      <c r="B5011" s="24" t="s">
        <v>7817</v>
      </c>
      <c r="C5011" s="25">
        <v>528350</v>
      </c>
      <c r="D5011" s="22" t="s">
        <v>7889</v>
      </c>
      <c r="E5011" s="22" t="s">
        <v>48</v>
      </c>
      <c r="F5011" s="23" t="str">
        <f>HYPERLINK("https://www.spark-marketing.ru/Card/Lot/73099300", "Услуги по организации питание граждан содержащиеся в ИВС ПиО ОМВД России по Нанайскому району")</f>
        <v>Услуги по организации питание граждан содержащиеся в ИВС ПиО ОМВД России по Нанайскому району</v>
      </c>
      <c r="G5011" s="22" t="s">
        <v>1096</v>
      </c>
      <c r="H5011" s="22" t="s">
        <v>7819</v>
      </c>
      <c r="I5011" s="26">
        <v>43705.708634259303</v>
      </c>
      <c r="J5011" s="23" t="str">
        <f>HYPERLINK("https://www.spark-marketing.ru/Card/Person/2577638", "ООО ""КАРАТ""")</f>
        <v>ООО "КАРАТ"</v>
      </c>
      <c r="K5011" s="24" t="s">
        <v>7820</v>
      </c>
      <c r="L5011" s="22" t="s">
        <v>10</v>
      </c>
      <c r="M5011" s="25">
        <v>525708.25</v>
      </c>
      <c r="N5011" s="27">
        <v>5.0000000000000001E-3</v>
      </c>
    </row>
    <row r="5012" spans="1:14" collapsed="1" x14ac:dyDescent="0.15">
      <c r="A5012" s="23" t="s">
        <v>114</v>
      </c>
      <c r="B5012" s="28" t="s">
        <v>51</v>
      </c>
      <c r="C5012" s="25">
        <v>12790114</v>
      </c>
      <c r="D5012" s="22" t="s">
        <v>7890</v>
      </c>
      <c r="E5012" s="22" t="s">
        <v>96</v>
      </c>
      <c r="F5012" s="23" t="str">
        <f t="shared" ref="F5012:F5024" si="92">HYPERLINK("https://www.spark-marketing.ru/Card/Lot/73129794",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5012" s="22" t="s">
        <v>51</v>
      </c>
      <c r="H5012" s="22" t="s">
        <v>51</v>
      </c>
      <c r="I5012" s="26">
        <v>43706.623946759297</v>
      </c>
      <c r="J5012" s="28" t="s">
        <v>51</v>
      </c>
      <c r="K5012" s="28" t="s">
        <v>51</v>
      </c>
      <c r="L5012" s="28" t="s">
        <v>51</v>
      </c>
      <c r="M5012" s="28" t="s">
        <v>51</v>
      </c>
      <c r="N5012" s="28" t="s">
        <v>51</v>
      </c>
    </row>
    <row r="5013" spans="1:14" hidden="1" outlineLevel="1" x14ac:dyDescent="0.15">
      <c r="A5013" s="23" t="str">
        <f>HYPERLINK("https://www.spark-marketing.ru/Card/Person/82995", "МБОУ СОШ № 48")</f>
        <v>МБОУ СОШ № 48</v>
      </c>
      <c r="B5013" s="24" t="s">
        <v>7891</v>
      </c>
      <c r="C5013" s="25">
        <v>1958222</v>
      </c>
      <c r="D5013" s="22" t="s">
        <v>7890</v>
      </c>
      <c r="E5013" s="22" t="s">
        <v>96</v>
      </c>
      <c r="F5013" s="23" t="str">
        <f t="shared" si="92"/>
        <v>Оказание услуг по организации горячего питания школьников на 2019-2020 учебный год</v>
      </c>
      <c r="G5013" s="22" t="s">
        <v>82</v>
      </c>
      <c r="H5013" s="22" t="s">
        <v>83</v>
      </c>
      <c r="I5013" s="26">
        <v>43706.623946759297</v>
      </c>
      <c r="J5013" s="28" t="s">
        <v>51</v>
      </c>
      <c r="K5013" s="28" t="s">
        <v>51</v>
      </c>
      <c r="L5013" s="28" t="s">
        <v>51</v>
      </c>
      <c r="M5013" s="28" t="s">
        <v>51</v>
      </c>
      <c r="N5013" s="28" t="s">
        <v>51</v>
      </c>
    </row>
    <row r="5014" spans="1:14" hidden="1" outlineLevel="1" x14ac:dyDescent="0.15">
      <c r="A5014" s="23" t="str">
        <f>HYPERLINK("https://www.spark-marketing.ru/Card/Person/91013", "МБОУ СОШ № 45")</f>
        <v>МБОУ СОШ № 45</v>
      </c>
      <c r="B5014" s="24" t="s">
        <v>7892</v>
      </c>
      <c r="C5014" s="25">
        <v>1262212</v>
      </c>
      <c r="D5014" s="22" t="s">
        <v>7890</v>
      </c>
      <c r="E5014" s="22" t="s">
        <v>96</v>
      </c>
      <c r="F5014" s="23" t="str">
        <f t="shared" si="92"/>
        <v>Оказание услуг по организации горячего питания школьников на 2019-2020 учебный год</v>
      </c>
      <c r="G5014" s="22" t="s">
        <v>82</v>
      </c>
      <c r="H5014" s="22" t="s">
        <v>83</v>
      </c>
      <c r="I5014" s="26">
        <v>43706.623946759297</v>
      </c>
      <c r="J5014" s="28" t="s">
        <v>51</v>
      </c>
      <c r="K5014" s="28" t="s">
        <v>51</v>
      </c>
      <c r="L5014" s="28" t="s">
        <v>51</v>
      </c>
      <c r="M5014" s="28" t="s">
        <v>51</v>
      </c>
      <c r="N5014" s="28" t="s">
        <v>51</v>
      </c>
    </row>
    <row r="5015" spans="1:14" hidden="1" outlineLevel="1" x14ac:dyDescent="0.15">
      <c r="A5015" s="23" t="str">
        <f>HYPERLINK("https://www.spark-marketing.ru/Card/Person/999304", "МБОУ СОШ № 40")</f>
        <v>МБОУ СОШ № 40</v>
      </c>
      <c r="B5015" s="24" t="s">
        <v>7893</v>
      </c>
      <c r="C5015" s="25">
        <v>1544276</v>
      </c>
      <c r="D5015" s="22" t="s">
        <v>7890</v>
      </c>
      <c r="E5015" s="22" t="s">
        <v>96</v>
      </c>
      <c r="F5015" s="23" t="str">
        <f t="shared" si="92"/>
        <v>Оказание услуг по организации горячего питания школьников на 2019-2020 учебный год</v>
      </c>
      <c r="G5015" s="22" t="s">
        <v>82</v>
      </c>
      <c r="H5015" s="22" t="s">
        <v>83</v>
      </c>
      <c r="I5015" s="26">
        <v>43706.623946759297</v>
      </c>
      <c r="J5015" s="28" t="s">
        <v>51</v>
      </c>
      <c r="K5015" s="28" t="s">
        <v>51</v>
      </c>
      <c r="L5015" s="28" t="s">
        <v>51</v>
      </c>
      <c r="M5015" s="28" t="s">
        <v>51</v>
      </c>
      <c r="N5015" s="28" t="s">
        <v>51</v>
      </c>
    </row>
    <row r="5016" spans="1:14" hidden="1" outlineLevel="1" x14ac:dyDescent="0.15">
      <c r="A5016" s="23" t="str">
        <f>HYPERLINK("https://www.spark-marketing.ru/Card/Person/999998", "МБОУ ""ЛИЦЕЙ № 65""")</f>
        <v>МБОУ "ЛИЦЕЙ № 65"</v>
      </c>
      <c r="B5016" s="24" t="s">
        <v>7894</v>
      </c>
      <c r="C5016" s="25">
        <v>3079036</v>
      </c>
      <c r="D5016" s="22" t="s">
        <v>7890</v>
      </c>
      <c r="E5016" s="22" t="s">
        <v>96</v>
      </c>
      <c r="F5016" s="23" t="str">
        <f t="shared" si="92"/>
        <v>Оказание услуг по организации горячего питания школьников на 2019-2020 учебный год</v>
      </c>
      <c r="G5016" s="22" t="s">
        <v>82</v>
      </c>
      <c r="H5016" s="22" t="s">
        <v>83</v>
      </c>
      <c r="I5016" s="26">
        <v>43706.623946759297</v>
      </c>
      <c r="J5016" s="28" t="s">
        <v>51</v>
      </c>
      <c r="K5016" s="28" t="s">
        <v>51</v>
      </c>
      <c r="L5016" s="28" t="s">
        <v>51</v>
      </c>
      <c r="M5016" s="28" t="s">
        <v>51</v>
      </c>
      <c r="N5016" s="28" t="s">
        <v>51</v>
      </c>
    </row>
    <row r="5017" spans="1:14" hidden="1" outlineLevel="1" x14ac:dyDescent="0.15">
      <c r="A5017" s="23" t="str">
        <f>HYPERLINK("https://www.spark-marketing.ru/Card/Person/1000462", "МБОУ СОШ № 50")</f>
        <v>МБОУ СОШ № 50</v>
      </c>
      <c r="B5017" s="24" t="s">
        <v>7895</v>
      </c>
      <c r="C5017" s="25">
        <v>694180</v>
      </c>
      <c r="D5017" s="22" t="s">
        <v>7890</v>
      </c>
      <c r="E5017" s="22" t="s">
        <v>96</v>
      </c>
      <c r="F5017" s="23" t="str">
        <f t="shared" si="92"/>
        <v>Оказание услуг по организации горячего питания школьников на 2019-2020 учебный год</v>
      </c>
      <c r="G5017" s="22" t="s">
        <v>82</v>
      </c>
      <c r="H5017" s="22" t="s">
        <v>83</v>
      </c>
      <c r="I5017" s="26">
        <v>43706.623946759297</v>
      </c>
      <c r="J5017" s="28" t="s">
        <v>51</v>
      </c>
      <c r="K5017" s="28" t="s">
        <v>51</v>
      </c>
      <c r="L5017" s="28" t="s">
        <v>51</v>
      </c>
      <c r="M5017" s="28" t="s">
        <v>51</v>
      </c>
      <c r="N5017" s="28" t="s">
        <v>51</v>
      </c>
    </row>
    <row r="5018" spans="1:14" hidden="1" outlineLevel="1" x14ac:dyDescent="0.15">
      <c r="A5018" s="23" t="str">
        <f>HYPERLINK("https://www.spark-marketing.ru/Card/Person/1003033", "МБОУ СОШ № 12")</f>
        <v>МБОУ СОШ № 12</v>
      </c>
      <c r="B5018" s="24" t="s">
        <v>7896</v>
      </c>
      <c r="C5018" s="25">
        <v>2447320</v>
      </c>
      <c r="D5018" s="22" t="s">
        <v>7890</v>
      </c>
      <c r="E5018" s="22" t="s">
        <v>96</v>
      </c>
      <c r="F5018" s="23" t="str">
        <f t="shared" si="92"/>
        <v>Оказание услуг по организации горячего питания школьников на 2019-2020 учебный год</v>
      </c>
      <c r="G5018" s="22" t="s">
        <v>82</v>
      </c>
      <c r="H5018" s="22" t="s">
        <v>83</v>
      </c>
      <c r="I5018" s="26">
        <v>43706.623946759297</v>
      </c>
      <c r="J5018" s="28" t="s">
        <v>51</v>
      </c>
      <c r="K5018" s="28" t="s">
        <v>51</v>
      </c>
      <c r="L5018" s="28" t="s">
        <v>51</v>
      </c>
      <c r="M5018" s="28" t="s">
        <v>51</v>
      </c>
      <c r="N5018" s="28" t="s">
        <v>51</v>
      </c>
    </row>
    <row r="5019" spans="1:14" hidden="1" outlineLevel="1" x14ac:dyDescent="0.15">
      <c r="A5019" s="23" t="str">
        <f>HYPERLINK("https://www.spark-marketing.ru/Card/Person/1005775", "МБОУ СОШ № 63")</f>
        <v>МБОУ СОШ № 63</v>
      </c>
      <c r="B5019" s="24" t="s">
        <v>7897</v>
      </c>
      <c r="C5019" s="25">
        <v>763476</v>
      </c>
      <c r="D5019" s="22" t="s">
        <v>7890</v>
      </c>
      <c r="E5019" s="22" t="s">
        <v>96</v>
      </c>
      <c r="F5019" s="23" t="str">
        <f t="shared" si="92"/>
        <v>Оказание услуг по организации горячего питания школьников на 2019-2020 учебный год</v>
      </c>
      <c r="G5019" s="22" t="s">
        <v>82</v>
      </c>
      <c r="H5019" s="22" t="s">
        <v>83</v>
      </c>
      <c r="I5019" s="26">
        <v>43706.623946759297</v>
      </c>
      <c r="J5019" s="28" t="s">
        <v>51</v>
      </c>
      <c r="K5019" s="28" t="s">
        <v>51</v>
      </c>
      <c r="L5019" s="28" t="s">
        <v>51</v>
      </c>
      <c r="M5019" s="28" t="s">
        <v>51</v>
      </c>
      <c r="N5019" s="28" t="s">
        <v>51</v>
      </c>
    </row>
    <row r="5020" spans="1:14" hidden="1" outlineLevel="1" x14ac:dyDescent="0.15">
      <c r="A5020" s="23" t="str">
        <f>HYPERLINK("https://www.spark-marketing.ru/Card/Person/4371777", "МБОУ СОШ № 44")</f>
        <v>МБОУ СОШ № 44</v>
      </c>
      <c r="B5020" s="24" t="s">
        <v>7898</v>
      </c>
      <c r="C5020" s="25">
        <v>1041392</v>
      </c>
      <c r="D5020" s="22" t="s">
        <v>7890</v>
      </c>
      <c r="E5020" s="22" t="s">
        <v>96</v>
      </c>
      <c r="F5020" s="23" t="str">
        <f t="shared" si="92"/>
        <v>Оказание услуг по организации горячего питания школьников на 2019-2020 учебный год</v>
      </c>
      <c r="G5020" s="22" t="s">
        <v>82</v>
      </c>
      <c r="H5020" s="22" t="s">
        <v>83</v>
      </c>
      <c r="I5020" s="26">
        <v>43706.623946759297</v>
      </c>
      <c r="J5020" s="28" t="s">
        <v>51</v>
      </c>
      <c r="K5020" s="28" t="s">
        <v>51</v>
      </c>
      <c r="L5020" s="28" t="s">
        <v>51</v>
      </c>
      <c r="M5020" s="28" t="s">
        <v>51</v>
      </c>
      <c r="N5020" s="28" t="s">
        <v>51</v>
      </c>
    </row>
    <row r="5021" spans="1:14" hidden="1" outlineLevel="1" x14ac:dyDescent="0.2">
      <c r="A5021" s="28" t="s">
        <v>51</v>
      </c>
      <c r="B5021" s="28" t="s">
        <v>51</v>
      </c>
      <c r="C5021" s="28" t="s">
        <v>51</v>
      </c>
      <c r="D5021" s="22" t="s">
        <v>7890</v>
      </c>
      <c r="E5021" s="22" t="s">
        <v>96</v>
      </c>
      <c r="F5021" s="23" t="str">
        <f t="shared" si="92"/>
        <v>Оказание услуг по организации горячего питания школьников на 2019-2020 учебный год</v>
      </c>
      <c r="G5021" s="22" t="s">
        <v>51</v>
      </c>
      <c r="H5021" s="22" t="s">
        <v>51</v>
      </c>
      <c r="I5021" s="26">
        <v>43706.623946759297</v>
      </c>
      <c r="J5021" s="23" t="str">
        <f>HYPERLINK("https://www.spark-marketing.ru/Card/Person/81010", "ООО ""ТД СПП""")</f>
        <v>ООО "ТД СПП"</v>
      </c>
      <c r="K5021" s="24" t="s">
        <v>7782</v>
      </c>
      <c r="L5021" s="22" t="s">
        <v>10</v>
      </c>
      <c r="M5021" s="25">
        <v>12790114</v>
      </c>
      <c r="N5021" s="27">
        <v>0</v>
      </c>
    </row>
    <row r="5022" spans="1:14" hidden="1" outlineLevel="1" x14ac:dyDescent="0.2">
      <c r="A5022" s="28" t="s">
        <v>51</v>
      </c>
      <c r="B5022" s="28" t="s">
        <v>51</v>
      </c>
      <c r="C5022" s="28" t="s">
        <v>51</v>
      </c>
      <c r="D5022" s="22" t="s">
        <v>7890</v>
      </c>
      <c r="E5022" s="22" t="s">
        <v>96</v>
      </c>
      <c r="F5022" s="23" t="str">
        <f t="shared" si="92"/>
        <v>Оказание услуг по организации горячего питания школьников на 2019-2020 учебный год</v>
      </c>
      <c r="G5022" s="22" t="s">
        <v>51</v>
      </c>
      <c r="H5022" s="22" t="s">
        <v>51</v>
      </c>
      <c r="I5022" s="26">
        <v>43706.623946759297</v>
      </c>
      <c r="J5022" s="23" t="str">
        <f>HYPERLINK("https://www.spark-marketing.ru/Card/Person/89737", "ООО ""ИНДИКАТ""")</f>
        <v>ООО "ИНДИКАТ"</v>
      </c>
      <c r="K5022" s="24" t="s">
        <v>7815</v>
      </c>
      <c r="L5022" s="28" t="s">
        <v>51</v>
      </c>
      <c r="M5022" s="25">
        <v>12407000</v>
      </c>
      <c r="N5022" s="27">
        <v>2.995391596978729E-2</v>
      </c>
    </row>
    <row r="5023" spans="1:14" hidden="1" outlineLevel="1" x14ac:dyDescent="0.2">
      <c r="A5023" s="28" t="s">
        <v>51</v>
      </c>
      <c r="B5023" s="28" t="s">
        <v>51</v>
      </c>
      <c r="C5023" s="28" t="s">
        <v>51</v>
      </c>
      <c r="D5023" s="22" t="s">
        <v>7890</v>
      </c>
      <c r="E5023" s="22" t="s">
        <v>96</v>
      </c>
      <c r="F5023" s="23" t="str">
        <f t="shared" si="92"/>
        <v>Оказание услуг по организации горячего питания школьников на 2019-2020 учебный год</v>
      </c>
      <c r="G5023" s="22" t="s">
        <v>51</v>
      </c>
      <c r="H5023" s="22" t="s">
        <v>51</v>
      </c>
      <c r="I5023" s="26">
        <v>43706.623946759297</v>
      </c>
      <c r="J5023" s="23" t="str">
        <f>HYPERLINK("https://www.spark-marketing.ru/Card/Person/91521", "ООО ""ВИТАМИНКА""")</f>
        <v>ООО "ВИТАМИНКА"</v>
      </c>
      <c r="K5023" s="24" t="s">
        <v>7841</v>
      </c>
      <c r="L5023" s="28" t="s">
        <v>51</v>
      </c>
      <c r="M5023" s="25">
        <v>12728040</v>
      </c>
      <c r="N5023" s="27">
        <v>4.8532796502048382E-3</v>
      </c>
    </row>
    <row r="5024" spans="1:14" hidden="1" outlineLevel="1" x14ac:dyDescent="0.2">
      <c r="A5024" s="28" t="s">
        <v>51</v>
      </c>
      <c r="B5024" s="28" t="s">
        <v>51</v>
      </c>
      <c r="C5024" s="28" t="s">
        <v>51</v>
      </c>
      <c r="D5024" s="22" t="s">
        <v>7890</v>
      </c>
      <c r="E5024" s="22" t="s">
        <v>96</v>
      </c>
      <c r="F5024" s="23" t="str">
        <f t="shared" si="92"/>
        <v>Оказание услуг по организации горячего питания школьников на 2019-2020 учебный год</v>
      </c>
      <c r="G5024" s="22" t="s">
        <v>51</v>
      </c>
      <c r="H5024" s="22" t="s">
        <v>51</v>
      </c>
      <c r="I5024" s="26">
        <v>43706.623946759297</v>
      </c>
      <c r="J5024" s="23" t="str">
        <f>HYPERLINK("https://www.spark-marketing.ru/Card/Person/16210", "ООО ""ГК ФЬЮЖЕН МЕНЕДЖМЕНТ""")</f>
        <v>ООО "ГК ФЬЮЖЕН МЕНЕДЖМЕНТ"</v>
      </c>
      <c r="K5024" s="24" t="s">
        <v>1675</v>
      </c>
      <c r="L5024" s="28" t="s">
        <v>51</v>
      </c>
      <c r="M5024" s="25">
        <v>12560388</v>
      </c>
      <c r="N5024" s="27">
        <v>1.7961215982906797E-2</v>
      </c>
    </row>
    <row r="5025" spans="1:14" collapsed="1" x14ac:dyDescent="0.15">
      <c r="A5025" s="23" t="str">
        <f>HYPERLINK("https://www.spark-marketing.ru/Card/Person/5852691", "СЛУЖБА ПО ОРГАНИЗАЦИОННОМУ ОБЕСПЕЧЕНИЮ ДЕЯТЕЛЬНОСТИ МИРОВЫХ СУДЕЙ КАЛУЖСКОЙ ОБЛАСТИ")</f>
        <v>СЛУЖБА ПО ОРГАНИЗАЦИОННОМУ ОБЕСПЕЧЕНИЮ ДЕЯТЕЛЬНОСТИ МИРОВЫХ СУДЕЙ КАЛУЖСКОЙ ОБЛАСТИ</v>
      </c>
      <c r="B5025" s="24" t="s">
        <v>7882</v>
      </c>
      <c r="C5025" s="25">
        <v>400000</v>
      </c>
      <c r="D5025" s="22" t="s">
        <v>7899</v>
      </c>
      <c r="E5025" s="22" t="s">
        <v>91</v>
      </c>
      <c r="F5025" s="23" t="str">
        <f>HYPERLINK("https://www.spark-marketing.ru/Card/Lot/73119005", "Оказание услуг по ремонту оргтехники, заправке и восстановлению расходных материалов (картриджей)")</f>
        <v>Оказание услуг по ремонту оргтехники, заправке и восстановлению расходных материалов (картриджей)</v>
      </c>
      <c r="G5025" s="22" t="s">
        <v>112</v>
      </c>
      <c r="H5025" s="22" t="s">
        <v>389</v>
      </c>
      <c r="I5025" s="26">
        <v>43706.504039351901</v>
      </c>
      <c r="J5025" s="28" t="s">
        <v>51</v>
      </c>
      <c r="K5025" s="28" t="s">
        <v>51</v>
      </c>
      <c r="L5025" s="28" t="s">
        <v>51</v>
      </c>
      <c r="M5025" s="28" t="s">
        <v>51</v>
      </c>
      <c r="N5025" s="28" t="s">
        <v>51</v>
      </c>
    </row>
    <row r="5026" spans="1:14" ht="12.75" hidden="1" outlineLevel="1" x14ac:dyDescent="0.2">
      <c r="A5026" s="23" t="str">
        <f>HYPERLINK("https://www.spark-marketing.ru/Card/Person/5852691", "СЛУЖБА ПО ОРГАНИЗАЦИОННОМУ ОБЕСПЕЧЕНИЮ ДЕЯТЕЛЬНОСТИ МИРОВЫХ СУДЕЙ КАЛУЖСКОЙ ОБЛАСТИ")</f>
        <v>СЛУЖБА ПО ОРГАНИЗАЦИОННОМУ ОБЕСПЕЧЕНИЮ ДЕЯТЕЛЬНОСТИ МИРОВЫХ СУДЕЙ КАЛУЖСКОЙ ОБЛАСТИ</v>
      </c>
      <c r="B5026" s="24" t="s">
        <v>7882</v>
      </c>
      <c r="C5026" s="25">
        <v>400000</v>
      </c>
      <c r="D5026" s="22" t="s">
        <v>7899</v>
      </c>
      <c r="E5026" s="22" t="s">
        <v>91</v>
      </c>
      <c r="F5026" s="23" t="str">
        <f>HYPERLINK("https://www.spark-marketing.ru/Card/Lot/73119005", "Оказание услуг по ремонту оргтехники, заправке и восстановлению расходных материалов (картриджей)")</f>
        <v>Оказание услуг по ремонту оргтехники, заправке и восстановлению расходных материалов (картриджей)</v>
      </c>
      <c r="G5026" s="22" t="s">
        <v>112</v>
      </c>
      <c r="H5026" s="22" t="s">
        <v>389</v>
      </c>
      <c r="I5026" s="26">
        <v>43706.504039351901</v>
      </c>
      <c r="J5026" s="23" t="str">
        <f>HYPERLINK("https://www.spark-marketing.ru/Card/Person/6378587", "ООО ""КОМПЛЕКТ""")</f>
        <v>ООО "КОМПЛЕКТ"</v>
      </c>
      <c r="K5026" s="24" t="s">
        <v>7884</v>
      </c>
      <c r="L5026" s="22" t="s">
        <v>10</v>
      </c>
      <c r="M5026" s="25">
        <v>236973.46</v>
      </c>
      <c r="N5026" s="27">
        <v>0.40756635000000002</v>
      </c>
    </row>
    <row r="5027" spans="1:14" hidden="1" outlineLevel="1" x14ac:dyDescent="0.2">
      <c r="A5027" s="23" t="str">
        <f>HYPERLINK("https://www.spark-marketing.ru/Card/Person/5852691", "СЛУЖБА ПО ОРГАНИЗАЦИОННОМУ ОБЕСПЕЧЕНИЮ ДЕЯТЕЛЬНОСТИ МИРОВЫХ СУДЕЙ КАЛУЖСКОЙ ОБЛАСТИ")</f>
        <v>СЛУЖБА ПО ОРГАНИЗАЦИОННОМУ ОБЕСПЕЧЕНИЮ ДЕЯТЕЛЬНОСТИ МИРОВЫХ СУДЕЙ КАЛУЖСКОЙ ОБЛАСТИ</v>
      </c>
      <c r="B5027" s="24" t="s">
        <v>7882</v>
      </c>
      <c r="C5027" s="25">
        <v>400000</v>
      </c>
      <c r="D5027" s="22" t="s">
        <v>7899</v>
      </c>
      <c r="E5027" s="22" t="s">
        <v>91</v>
      </c>
      <c r="F5027" s="23" t="str">
        <f>HYPERLINK("https://www.spark-marketing.ru/Card/Lot/73119005", "Оказание услуг по ремонту оргтехники, заправке и восстановлению расходных материалов (картриджей)")</f>
        <v>Оказание услуг по ремонту оргтехники, заправке и восстановлению расходных материалов (картриджей)</v>
      </c>
      <c r="G5027" s="22" t="s">
        <v>112</v>
      </c>
      <c r="H5027" s="22" t="s">
        <v>389</v>
      </c>
      <c r="I5027" s="26">
        <v>43706.504039351901</v>
      </c>
      <c r="J5027" s="23" t="str">
        <f>HYPERLINK("https://www.spark-marketing.ru/Card/Person/269879", "ООО ""ПРИНТ-ЛАЙН""")</f>
        <v>ООО "ПРИНТ-ЛАЙН"</v>
      </c>
      <c r="K5027" s="24" t="s">
        <v>7885</v>
      </c>
      <c r="L5027" s="28" t="s">
        <v>51</v>
      </c>
      <c r="M5027" s="25">
        <v>238500</v>
      </c>
      <c r="N5027" s="27">
        <v>0.40375</v>
      </c>
    </row>
    <row r="5028" spans="1:14" hidden="1" outlineLevel="1" x14ac:dyDescent="0.2">
      <c r="A5028" s="23" t="str">
        <f>HYPERLINK("https://www.spark-marketing.ru/Card/Person/5852691", "СЛУЖБА ПО ОРГАНИЗАЦИОННОМУ ОБЕСПЕЧЕНИЮ ДЕЯТЕЛЬНОСТИ МИРОВЫХ СУДЕЙ КАЛУЖСКОЙ ОБЛАСТИ")</f>
        <v>СЛУЖБА ПО ОРГАНИЗАЦИОННОМУ ОБЕСПЕЧЕНИЮ ДЕЯТЕЛЬНОСТИ МИРОВЫХ СУДЕЙ КАЛУЖСКОЙ ОБЛАСТИ</v>
      </c>
      <c r="B5028" s="24" t="s">
        <v>7882</v>
      </c>
      <c r="C5028" s="25">
        <v>400000</v>
      </c>
      <c r="D5028" s="22" t="s">
        <v>7899</v>
      </c>
      <c r="E5028" s="22" t="s">
        <v>91</v>
      </c>
      <c r="F5028" s="23" t="str">
        <f>HYPERLINK("https://www.spark-marketing.ru/Card/Lot/73119005", "Оказание услуг по ремонту оргтехники, заправке и восстановлению расходных материалов (картриджей)")</f>
        <v>Оказание услуг по ремонту оргтехники, заправке и восстановлению расходных материалов (картриджей)</v>
      </c>
      <c r="G5028" s="22" t="s">
        <v>112</v>
      </c>
      <c r="H5028" s="22" t="s">
        <v>389</v>
      </c>
      <c r="I5028" s="26">
        <v>43706.504039351901</v>
      </c>
      <c r="J5028" s="23" t="str">
        <f>HYPERLINK("https://www.spark-marketing.ru/Card/Person/5873778", "Асмолов Владимир Владимирович")</f>
        <v>Асмолов Владимир Владимирович</v>
      </c>
      <c r="K5028" s="24" t="s">
        <v>7886</v>
      </c>
      <c r="L5028" s="28" t="s">
        <v>51</v>
      </c>
      <c r="M5028" s="25">
        <v>290905.36</v>
      </c>
      <c r="N5028" s="27">
        <v>0.2727366</v>
      </c>
    </row>
    <row r="5029" spans="1:14" hidden="1" outlineLevel="1" x14ac:dyDescent="0.2">
      <c r="A5029" s="23" t="str">
        <f>HYPERLINK("https://www.spark-marketing.ru/Card/Person/5852691", "СЛУЖБА ПО ОРГАНИЗАЦИОННОМУ ОБЕСПЕЧЕНИЮ ДЕЯТЕЛЬНОСТИ МИРОВЫХ СУДЕЙ КАЛУЖСКОЙ ОБЛАСТИ")</f>
        <v>СЛУЖБА ПО ОРГАНИЗАЦИОННОМУ ОБЕСПЕЧЕНИЮ ДЕЯТЕЛЬНОСТИ МИРОВЫХ СУДЕЙ КАЛУЖСКОЙ ОБЛАСТИ</v>
      </c>
      <c r="B5029" s="24" t="s">
        <v>7882</v>
      </c>
      <c r="C5029" s="25">
        <v>400000</v>
      </c>
      <c r="D5029" s="22" t="s">
        <v>7899</v>
      </c>
      <c r="E5029" s="22" t="s">
        <v>91</v>
      </c>
      <c r="F5029" s="23" t="str">
        <f>HYPERLINK("https://www.spark-marketing.ru/Card/Lot/73119005", "Оказание услуг по ремонту оргтехники, заправке и восстановлению расходных материалов (картриджей)")</f>
        <v>Оказание услуг по ремонту оргтехники, заправке и восстановлению расходных материалов (картриджей)</v>
      </c>
      <c r="G5029" s="22" t="s">
        <v>112</v>
      </c>
      <c r="H5029" s="22" t="s">
        <v>389</v>
      </c>
      <c r="I5029" s="26">
        <v>43706.504039351901</v>
      </c>
      <c r="J5029" s="23" t="str">
        <f>HYPERLINK("https://www.spark-marketing.ru/Card/Person/612365", "ООО ""КОПИРУС""")</f>
        <v>ООО "КОПИРУС"</v>
      </c>
      <c r="K5029" s="24" t="s">
        <v>7887</v>
      </c>
      <c r="L5029" s="28" t="s">
        <v>51</v>
      </c>
      <c r="M5029" s="25">
        <v>238607.76</v>
      </c>
      <c r="N5029" s="27">
        <v>0.40348060000000002</v>
      </c>
    </row>
    <row r="5030" spans="1:14" collapsed="1" x14ac:dyDescent="0.15">
      <c r="A5030" s="23" t="str">
        <f>HYPERLINK("https://www.spark-marketing.ru/Card/Person/19600", "ФКУ ""ЦХИСО МВД ПО РЕСПУБЛИКЕ САХА (ЯКУТИЯ)""")</f>
        <v>ФКУ "ЦХИСО МВД ПО РЕСПУБЛИКЕ САХА (ЯКУТИЯ)"</v>
      </c>
      <c r="B5030" s="24" t="s">
        <v>7900</v>
      </c>
      <c r="C5030" s="25">
        <v>2150000</v>
      </c>
      <c r="D5030" s="22" t="s">
        <v>7901</v>
      </c>
      <c r="E5030" s="22" t="s">
        <v>48</v>
      </c>
      <c r="F5030" s="23" t="str">
        <f>HYPERLINK("https://www.spark-marketing.ru/Card/Lot/73102529", "Оказание услуг по обеспечению ежедневным трёхразовым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 за пределы Российской Федераци...")</f>
        <v>Оказание услуг по обеспечению ежедневным трёхразовым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 за пределы Российской Федераци...</v>
      </c>
      <c r="G5030" s="22" t="s">
        <v>241</v>
      </c>
      <c r="H5030" s="22" t="s">
        <v>242</v>
      </c>
      <c r="I5030" s="26">
        <v>43706.499212962997</v>
      </c>
      <c r="J5030" s="28" t="s">
        <v>51</v>
      </c>
      <c r="K5030" s="28" t="s">
        <v>51</v>
      </c>
      <c r="L5030" s="28" t="s">
        <v>51</v>
      </c>
      <c r="M5030" s="28" t="s">
        <v>51</v>
      </c>
      <c r="N5030" s="28" t="s">
        <v>51</v>
      </c>
    </row>
    <row r="5031" spans="1:14" hidden="1" outlineLevel="1" x14ac:dyDescent="0.2">
      <c r="A5031" s="23" t="str">
        <f>HYPERLINK("https://www.spark-marketing.ru/Card/Person/19600", "ФКУ ""ЦХИСО МВД ПО РЕСПУБЛИКЕ САХА (ЯКУТИЯ)""")</f>
        <v>ФКУ "ЦХИСО МВД ПО РЕСПУБЛИКЕ САХА (ЯКУТИЯ)"</v>
      </c>
      <c r="B5031" s="24" t="s">
        <v>7900</v>
      </c>
      <c r="C5031" s="25">
        <v>2150000</v>
      </c>
      <c r="D5031" s="22" t="s">
        <v>7901</v>
      </c>
      <c r="E5031" s="22" t="s">
        <v>48</v>
      </c>
      <c r="F5031" s="23" t="str">
        <f>HYPERLINK("https://www.spark-marketing.ru/Card/Lot/73102529", "Оказание услуг по обеспечению ежедневным трёхразовым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 за пределы Российской Федераци...")</f>
        <v>Оказание услуг по обеспечению ежедневным трёхразовым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 за пределы Российской Федераци...</v>
      </c>
      <c r="G5031" s="22" t="s">
        <v>241</v>
      </c>
      <c r="H5031" s="22" t="s">
        <v>242</v>
      </c>
      <c r="I5031" s="26">
        <v>43706.499212962997</v>
      </c>
      <c r="J5031" s="23" t="str">
        <f>HYPERLINK("https://www.spark-marketing.ru/Card/Person/456440", "ООО ""ЯНИС""")</f>
        <v>ООО "ЯНИС"</v>
      </c>
      <c r="K5031" s="24" t="s">
        <v>7902</v>
      </c>
      <c r="L5031" s="28" t="s">
        <v>51</v>
      </c>
      <c r="M5031" s="25">
        <v>2600</v>
      </c>
      <c r="N5031" s="27">
        <v>0.99879069767441864</v>
      </c>
    </row>
    <row r="5032" spans="1:14" ht="12.75" hidden="1" outlineLevel="1" x14ac:dyDescent="0.2">
      <c r="A5032" s="23" t="str">
        <f>HYPERLINK("https://www.spark-marketing.ru/Card/Person/19600", "ФКУ ""ЦХИСО МВД ПО РЕСПУБЛИКЕ САХА (ЯКУТИЯ)""")</f>
        <v>ФКУ "ЦХИСО МВД ПО РЕСПУБЛИКЕ САХА (ЯКУТИЯ)"</v>
      </c>
      <c r="B5032" s="24" t="s">
        <v>7900</v>
      </c>
      <c r="C5032" s="25">
        <v>2150000</v>
      </c>
      <c r="D5032" s="22" t="s">
        <v>7901</v>
      </c>
      <c r="E5032" s="22" t="s">
        <v>48</v>
      </c>
      <c r="F5032" s="23" t="str">
        <f>HYPERLINK("https://www.spark-marketing.ru/Card/Lot/73102529", "Оказание услуг по обеспечению ежедневным трёхразовым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 за пределы Российской Федераци...")</f>
        <v>Оказание услуг по обеспечению ежедневным трёхразовым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 за пределы Российской Федераци...</v>
      </c>
      <c r="G5032" s="22" t="s">
        <v>241</v>
      </c>
      <c r="H5032" s="22" t="s">
        <v>242</v>
      </c>
      <c r="I5032" s="26">
        <v>43706.499212962997</v>
      </c>
      <c r="J5032" s="23" t="str">
        <f>HYPERLINK("https://www.spark-marketing.ru/Card/Person/63464", "Цхай Надежда Моисеевна")</f>
        <v>Цхай Надежда Моисеевна</v>
      </c>
      <c r="K5032" s="24" t="s">
        <v>7903</v>
      </c>
      <c r="L5032" s="22" t="s">
        <v>10</v>
      </c>
      <c r="M5032" s="25">
        <v>2470</v>
      </c>
      <c r="N5032" s="27">
        <v>0.99885116279069763</v>
      </c>
    </row>
    <row r="5033" spans="1:14" x14ac:dyDescent="0.15">
      <c r="A5033" s="23" t="str">
        <f>HYPERLINK("https://www.spark-marketing.ru/Card/Person/17540", "УМВД РОССИИ ПО ПЕТРОГРАДСКОМУ РАЙОНУ Г. СПБ")</f>
        <v>УМВД РОССИИ ПО ПЕТРОГРАДСКОМУ РАЙОНУ Г. СПБ</v>
      </c>
      <c r="B5033" s="24" t="s">
        <v>7904</v>
      </c>
      <c r="C5033" s="25">
        <v>230000</v>
      </c>
      <c r="D5033" s="22" t="s">
        <v>7905</v>
      </c>
      <c r="E5033" s="22" t="s">
        <v>48</v>
      </c>
      <c r="F5033" s="23" t="str">
        <f>HYPERLINK("https://www.spark-marketing.ru/Card/Lot/73112292", "Организация услуг питания, 1 усл. ед")</f>
        <v>Организация услуг питания, 1 усл. ед</v>
      </c>
      <c r="G5033" s="22" t="s">
        <v>117</v>
      </c>
      <c r="H5033" s="22" t="s">
        <v>117</v>
      </c>
      <c r="I5033" s="26">
        <v>43706.587361111102</v>
      </c>
      <c r="J5033" s="28" t="s">
        <v>51</v>
      </c>
      <c r="K5033" s="28" t="s">
        <v>51</v>
      </c>
      <c r="L5033" s="28" t="s">
        <v>51</v>
      </c>
      <c r="M5033" s="28" t="s">
        <v>51</v>
      </c>
      <c r="N5033" s="28" t="s">
        <v>51</v>
      </c>
    </row>
    <row r="5034" spans="1:14" x14ac:dyDescent="0.15">
      <c r="A5034" s="23" t="str">
        <f>HYPERLINK("https://www.spark-marketing.ru/Card/Person/34925", "УМВД РОССИИ ПО РЯЗАНСКОЙ ОБЛАСТИ")</f>
        <v>УМВД РОССИИ ПО РЯЗАНСКОЙ ОБЛАСТИ</v>
      </c>
      <c r="B5034" s="24" t="s">
        <v>5866</v>
      </c>
      <c r="C5034" s="25">
        <v>8595200</v>
      </c>
      <c r="D5034" s="22" t="s">
        <v>7906</v>
      </c>
      <c r="E5034" s="22" t="s">
        <v>48</v>
      </c>
      <c r="F5034" s="23" t="str">
        <f>HYPERLINK("https://www.spark-marketing.ru/Card/Lot/73128635", "Оказание услуг по организации трехразового ежедневного горячего питания лиц, содержащихся в Изоляторе временного содержания, Спецприемнике и Центре временного содержания иностранных граждан УМВД России по Рязанской области среди субъектов малого пред...")</f>
        <v>Оказание услуг по организации трехразового ежедневного горячего питания лиц, содержащихся в Изоляторе временного содержания, Спецприемнике и Центре временного содержания иностранных граждан УМВД России по Рязанской области среди субъектов малого пред...</v>
      </c>
      <c r="G5034" s="22" t="s">
        <v>1522</v>
      </c>
      <c r="H5034" s="22" t="s">
        <v>1523</v>
      </c>
      <c r="I5034" s="26">
        <v>43706.414120370398</v>
      </c>
      <c r="J5034" s="28" t="s">
        <v>51</v>
      </c>
      <c r="K5034" s="28" t="s">
        <v>51</v>
      </c>
      <c r="L5034" s="28" t="s">
        <v>51</v>
      </c>
      <c r="M5034" s="28" t="s">
        <v>51</v>
      </c>
      <c r="N5034" s="28" t="s">
        <v>51</v>
      </c>
    </row>
    <row r="5035" spans="1:14" x14ac:dyDescent="0.15">
      <c r="A5035" s="23" t="str">
        <f>HYPERLINK("https://www.spark-marketing.ru/Card/Person/4761681", "ПРАВИТЕЛЬСТВО САХАЛИНСКОЙ ОБЛАСТИ")</f>
        <v>ПРАВИТЕЛЬСТВО САХАЛИНСКОЙ ОБЛАСТИ</v>
      </c>
      <c r="B5035" s="24" t="s">
        <v>1903</v>
      </c>
      <c r="C5035" s="25">
        <v>1000000</v>
      </c>
      <c r="D5035" s="22" t="s">
        <v>7907</v>
      </c>
      <c r="E5035" s="22" t="s">
        <v>96</v>
      </c>
      <c r="F5035" s="23" t="str">
        <f>HYPERLINK("https://www.spark-marketing.ru/Card/Lot/73099440", "Оказание услуг по организации питания участников областных и межрегиональных мероприятий: семинары, совещания, форумы, конференции, «круглые столы», мероприятия в рамках праздничных и памятных дат, юбилейных дат населенных пунктов, муниципальных обра...")</f>
        <v>Оказание услуг по организации питания участников областных и межрегиональных мероприятий: семинары, совещания, форумы, конференции, «круглые столы», мероприятия в рамках праздничных и памятных дат, юбилейных дат населенных пунктов, муниципальных обра...</v>
      </c>
      <c r="G5035" s="22" t="s">
        <v>260</v>
      </c>
      <c r="H5035" s="22" t="s">
        <v>804</v>
      </c>
      <c r="I5035" s="26">
        <v>43706.559027777803</v>
      </c>
      <c r="J5035" s="23" t="str">
        <f>HYPERLINK("https://www.spark-marketing.ru/Card/Person/4704546", "ООО ""ГРИН СОЛЮШИОН""")</f>
        <v>ООО "ГРИН СОЛЮШИОН"</v>
      </c>
      <c r="K5035" s="24" t="s">
        <v>7908</v>
      </c>
      <c r="L5035" s="22" t="s">
        <v>10</v>
      </c>
      <c r="M5035" s="28" t="s">
        <v>51</v>
      </c>
      <c r="N5035" s="28" t="s">
        <v>51</v>
      </c>
    </row>
    <row r="5036" spans="1:14" x14ac:dyDescent="0.15">
      <c r="A5036" s="23" t="str">
        <f>HYPERLINK("https://www.spark-marketing.ru/Card/Person/4348382", "ООО ""ГАЗПРОМ ПИТАНИЕ""")</f>
        <v>ООО "ГАЗПРОМ ПИТАНИЕ"</v>
      </c>
      <c r="B5036" s="24" t="s">
        <v>2869</v>
      </c>
      <c r="C5036" s="25">
        <v>60750</v>
      </c>
      <c r="D5036" s="22" t="s">
        <v>7909</v>
      </c>
      <c r="E5036" s="22" t="s">
        <v>52</v>
      </c>
      <c r="F5036" s="23" t="str">
        <f>HYPERLINK("https://www.spark-marketing.ru/Card/Lot/73113886", "Оказание услуг по шиномонтажу для нужд филиала ""уфимское управление по организации общественного питания"" ооо ""газпром питание""")</f>
        <v>Оказание услуг по шиномонтажу для нужд филиала "уфимское управление по организации общественного питания" ооо "газпром питание"</v>
      </c>
      <c r="G5036" s="22" t="s">
        <v>56</v>
      </c>
      <c r="H5036" s="22" t="s">
        <v>56</v>
      </c>
      <c r="I5036" s="26">
        <v>43706.588194444397</v>
      </c>
      <c r="J5036" s="28" t="s">
        <v>51</v>
      </c>
      <c r="K5036" s="28" t="s">
        <v>51</v>
      </c>
      <c r="L5036" s="28" t="s">
        <v>51</v>
      </c>
      <c r="M5036" s="28" t="s">
        <v>51</v>
      </c>
      <c r="N5036" s="28" t="s">
        <v>51</v>
      </c>
    </row>
    <row r="5037" spans="1:14" x14ac:dyDescent="0.2">
      <c r="A5037" s="23" t="str">
        <f>HYPERLINK("https://www.spark-marketing.ru/Card/Person/1404687", "МБОУ ВСОШ № 121")</f>
        <v>МБОУ ВСОШ № 121</v>
      </c>
      <c r="B5037" s="24" t="s">
        <v>7910</v>
      </c>
      <c r="C5037" s="25">
        <v>1846555.88</v>
      </c>
      <c r="D5037" s="22" t="s">
        <v>7911</v>
      </c>
      <c r="E5037" s="22" t="s">
        <v>96</v>
      </c>
      <c r="F5037" s="23" t="str">
        <f>HYPERLINK("https://www.spark-marketing.ru/Card/Lot/73130790", "ОКАЗАНИЕ УСЛУГИ ПО ПРЕДОСТАВЛЕНИЮ ГОРЯЧЕГО ПИТАНИЯ УЧАЩИМСЯ ИЗ ЛЬГОТНЫХ КАТЕГОРИЙ СЕМЕЙ (МАЛОИМУЩИЕ, МАЛОИМУЩИЕ МНОГОДЕТНЫЕ, ОВЗ)")</f>
        <v>ОКАЗАНИЕ УСЛУГИ ПО ПРЕДОСТАВЛЕНИЮ ГОРЯЧЕГО ПИТАНИЯ УЧАЩИМСЯ ИЗ ЛЬГОТНЫХ КАТЕГОРИЙ СЕМЕЙ (МАЛОИМУЩИЕ, МАЛОИМУЩИЕ МНОГОДЕТНЫЕ, ОВЗ)</v>
      </c>
      <c r="G5037" s="22" t="s">
        <v>153</v>
      </c>
      <c r="H5037" s="22" t="s">
        <v>153</v>
      </c>
      <c r="I5037" s="26">
        <v>43706.688495370399</v>
      </c>
      <c r="J5037" s="23" t="str">
        <f>HYPERLINK("https://www.spark-marketing.ru/Card/Person/780721", "МУП ""ВКДП""")</f>
        <v>МУП "ВКДП"</v>
      </c>
      <c r="K5037" s="24" t="s">
        <v>7912</v>
      </c>
      <c r="L5037" s="28" t="s">
        <v>51</v>
      </c>
      <c r="M5037" s="25">
        <v>1846555</v>
      </c>
      <c r="N5037" s="27">
        <v>4.7656288636117529E-7</v>
      </c>
    </row>
    <row r="5038" spans="1:14" x14ac:dyDescent="0.15">
      <c r="A5038" s="23" t="str">
        <f>HYPERLINK("https://www.spark-marketing.ru/Card/Person/21039", "ФКУ ""ЦХИСО ГУ МВД РОССИИ ПО САРАТОВСКОЙ ОБЛАСТИ""")</f>
        <v>ФКУ "ЦХИСО ГУ МВД РОССИИ ПО САРАТОВСКОЙ ОБЛАСТИ"</v>
      </c>
      <c r="B5038" s="24" t="s">
        <v>1991</v>
      </c>
      <c r="C5038" s="25">
        <v>2000000</v>
      </c>
      <c r="D5038" s="22" t="s">
        <v>7913</v>
      </c>
      <c r="E5038" s="22" t="s">
        <v>48</v>
      </c>
      <c r="F5038" s="23" t="str">
        <f>HYPERLINK("https://www.spark-marketing.ru/Card/Lot/73126418", "Оказание услуг по организации общественного питания")</f>
        <v>Оказание услуг по организации общественного питания</v>
      </c>
      <c r="G5038" s="22" t="s">
        <v>351</v>
      </c>
      <c r="H5038" s="22" t="s">
        <v>351</v>
      </c>
      <c r="I5038" s="26">
        <v>43706.578993055598</v>
      </c>
      <c r="J5038" s="23" t="str">
        <f>HYPERLINK("https://www.spark-marketing.ru/Card/Person/104393", "Максимов Александр Владимирович")</f>
        <v>Максимов Александр Владимирович</v>
      </c>
      <c r="K5038" s="24" t="s">
        <v>1993</v>
      </c>
      <c r="L5038" s="22" t="s">
        <v>10</v>
      </c>
      <c r="M5038" s="28" t="s">
        <v>51</v>
      </c>
      <c r="N5038" s="28" t="s">
        <v>51</v>
      </c>
    </row>
    <row r="5039" spans="1:14" x14ac:dyDescent="0.15">
      <c r="A5039" s="23" t="str">
        <f>HYPERLINK("https://www.spark-marketing.ru/Card/Person/17540", "УМВД РОССИИ ПО ПЕТРОГРАДСКОМУ РАЙОНУ Г. СПБ")</f>
        <v>УМВД РОССИИ ПО ПЕТРОГРАДСКОМУ РАЙОНУ Г. СПБ</v>
      </c>
      <c r="B5039" s="24" t="s">
        <v>7904</v>
      </c>
      <c r="C5039" s="25">
        <v>230000</v>
      </c>
      <c r="D5039" s="22" t="s">
        <v>7914</v>
      </c>
      <c r="E5039" s="22" t="s">
        <v>48</v>
      </c>
      <c r="F5039" s="23" t="str">
        <f>HYPERLINK("https://www.spark-marketing.ru/Card/Lot/73113124", "Организация услуг питания, 1 усл. ед")</f>
        <v>Организация услуг питания, 1 усл. ед</v>
      </c>
      <c r="G5039" s="22" t="s">
        <v>117</v>
      </c>
      <c r="H5039" s="22" t="s">
        <v>117</v>
      </c>
      <c r="I5039" s="26">
        <v>43706.604791666701</v>
      </c>
      <c r="J5039" s="28" t="s">
        <v>51</v>
      </c>
      <c r="K5039" s="28" t="s">
        <v>51</v>
      </c>
      <c r="L5039" s="28" t="s">
        <v>51</v>
      </c>
      <c r="M5039" s="28" t="s">
        <v>51</v>
      </c>
      <c r="N5039" s="28" t="s">
        <v>51</v>
      </c>
    </row>
    <row r="5040" spans="1:14" x14ac:dyDescent="0.15">
      <c r="A5040" s="23" t="str">
        <f>HYPERLINK("https://www.spark-marketing.ru/Card/Person/26891", "МО МВД РОССИИ ""КАЛИНИНСКИЙ"" САРАТОВСКОЙ ОБЛАСТИ")</f>
        <v>МО МВД РОССИИ "КАЛИНИНСКИЙ" САРАТОВСКОЙ ОБЛАСТИ</v>
      </c>
      <c r="B5040" s="24" t="s">
        <v>5789</v>
      </c>
      <c r="C5040" s="25">
        <v>189998.8</v>
      </c>
      <c r="D5040" s="22" t="s">
        <v>7915</v>
      </c>
      <c r="E5040" s="22" t="s">
        <v>96</v>
      </c>
      <c r="F5040" s="23" t="str">
        <f>HYPERLINK("https://www.spark-marketing.ru/Card/Lot/73114316", "Оказание услуг по организации питания")</f>
        <v>Оказание услуг по организации питания</v>
      </c>
      <c r="G5040" s="22" t="s">
        <v>351</v>
      </c>
      <c r="H5040" s="22" t="s">
        <v>5791</v>
      </c>
      <c r="I5040" s="26">
        <v>43706.505219907398</v>
      </c>
      <c r="J5040" s="28" t="s">
        <v>51</v>
      </c>
      <c r="K5040" s="28" t="s">
        <v>51</v>
      </c>
      <c r="L5040" s="28" t="s">
        <v>51</v>
      </c>
      <c r="M5040" s="28" t="s">
        <v>51</v>
      </c>
      <c r="N5040" s="28" t="s">
        <v>51</v>
      </c>
    </row>
    <row r="5041" spans="1:14" collapsed="1" x14ac:dyDescent="0.15">
      <c r="A5041" s="23" t="s">
        <v>114</v>
      </c>
      <c r="B5041" s="28" t="s">
        <v>51</v>
      </c>
      <c r="C5041" s="25">
        <v>944784</v>
      </c>
      <c r="D5041" s="22" t="s">
        <v>7916</v>
      </c>
      <c r="E5041" s="22" t="s">
        <v>48</v>
      </c>
      <c r="F5041" s="23" t="str">
        <f>HYPERLINK("https://www.spark-marketing.ru/Card/Lot/73100055", "Оказание услуг по организации горячего питания школьников в общеобразовательных учреждениях пгт. Магдагачи на период сентябрь-декабрь 2019 года")</f>
        <v>Оказание услуг по организации горячего питания школьников в общеобразовательных учреждениях пгт. Магдагачи на период сентябрь-декабрь 2019 года</v>
      </c>
      <c r="G5041" s="22" t="s">
        <v>51</v>
      </c>
      <c r="H5041" s="22" t="s">
        <v>51</v>
      </c>
      <c r="I5041" s="26">
        <v>43706.563136574099</v>
      </c>
      <c r="J5041" s="28" t="s">
        <v>51</v>
      </c>
      <c r="K5041" s="28" t="s">
        <v>51</v>
      </c>
      <c r="L5041" s="28" t="s">
        <v>51</v>
      </c>
      <c r="M5041" s="28" t="s">
        <v>51</v>
      </c>
      <c r="N5041" s="28" t="s">
        <v>51</v>
      </c>
    </row>
    <row r="5042" spans="1:14" hidden="1" outlineLevel="1" x14ac:dyDescent="0.15">
      <c r="A5042" s="23" t="str">
        <f>HYPERLINK("https://www.spark-marketing.ru/Card/Person/1082964", "МОБУ МАГДАГАЧИНСКАЯ СОШ № 3")</f>
        <v>МОБУ МАГДАГАЧИНСКАЯ СОШ № 3</v>
      </c>
      <c r="B5042" s="24" t="s">
        <v>7917</v>
      </c>
      <c r="C5042" s="25">
        <v>357210</v>
      </c>
      <c r="D5042" s="22" t="s">
        <v>7916</v>
      </c>
      <c r="E5042" s="22" t="s">
        <v>48</v>
      </c>
      <c r="F5042" s="23" t="str">
        <f>HYPERLINK("https://www.spark-marketing.ru/Card/Lot/73100055", "Оказание услуг по организации горячего питания школьников в общеобразовательных учреждениях пгт. Магдагачи на период сентябрь-декабрь 2019 года")</f>
        <v>Оказание услуг по организации горячего питания школьников в общеобразовательных учреждениях пгт. Магдагачи на период сентябрь-декабрь 2019 года</v>
      </c>
      <c r="G5042" s="22" t="s">
        <v>210</v>
      </c>
      <c r="H5042" s="22" t="s">
        <v>7918</v>
      </c>
      <c r="I5042" s="26">
        <v>43706.563136574099</v>
      </c>
      <c r="J5042" s="28" t="s">
        <v>51</v>
      </c>
      <c r="K5042" s="28" t="s">
        <v>51</v>
      </c>
      <c r="L5042" s="28" t="s">
        <v>51</v>
      </c>
      <c r="M5042" s="28" t="s">
        <v>51</v>
      </c>
      <c r="N5042" s="28" t="s">
        <v>51</v>
      </c>
    </row>
    <row r="5043" spans="1:14" hidden="1" outlineLevel="1" x14ac:dyDescent="0.15">
      <c r="A5043" s="23" t="str">
        <f>HYPERLINK("https://www.spark-marketing.ru/Card/Person/1083316", "МОБУ МАГДАГАЧИНСКАЯ СОШ №1")</f>
        <v>МОБУ МАГДАГАЧИНСКАЯ СОШ №1</v>
      </c>
      <c r="B5043" s="24" t="s">
        <v>7919</v>
      </c>
      <c r="C5043" s="25">
        <v>266166</v>
      </c>
      <c r="D5043" s="22" t="s">
        <v>7916</v>
      </c>
      <c r="E5043" s="22" t="s">
        <v>48</v>
      </c>
      <c r="F5043" s="23" t="str">
        <f>HYPERLINK("https://www.spark-marketing.ru/Card/Lot/73100055", "Оказание услуг по организации горячего питания школьников в общеобразовательных учреждениях пгт. Магдагачи на период сентябрь-декабрь 2019 года")</f>
        <v>Оказание услуг по организации горячего питания школьников в общеобразовательных учреждениях пгт. Магдагачи на период сентябрь-декабрь 2019 года</v>
      </c>
      <c r="G5043" s="22" t="s">
        <v>51</v>
      </c>
      <c r="H5043" s="22" t="s">
        <v>51</v>
      </c>
      <c r="I5043" s="26">
        <v>43706.563136574099</v>
      </c>
      <c r="J5043" s="28" t="s">
        <v>51</v>
      </c>
      <c r="K5043" s="28" t="s">
        <v>51</v>
      </c>
      <c r="L5043" s="28" t="s">
        <v>51</v>
      </c>
      <c r="M5043" s="28" t="s">
        <v>51</v>
      </c>
      <c r="N5043" s="28" t="s">
        <v>51</v>
      </c>
    </row>
    <row r="5044" spans="1:14" hidden="1" outlineLevel="1" x14ac:dyDescent="0.15">
      <c r="A5044" s="23" t="str">
        <f>HYPERLINK("https://www.spark-marketing.ru/Card/Person/1084052", "МОБУ МАГДАГАЧИНСКАЯ СОШ № 2")</f>
        <v>МОБУ МАГДАГАЧИНСКАЯ СОШ № 2</v>
      </c>
      <c r="B5044" s="24" t="s">
        <v>7920</v>
      </c>
      <c r="C5044" s="25">
        <v>321408</v>
      </c>
      <c r="D5044" s="22" t="s">
        <v>7916</v>
      </c>
      <c r="E5044" s="22" t="s">
        <v>48</v>
      </c>
      <c r="F5044" s="23" t="str">
        <f>HYPERLINK("https://www.spark-marketing.ru/Card/Lot/73100055", "Оказание услуг по организации горячего питания школьников в общеобразовательных учреждениях пгт. Магдагачи на период сентябрь-декабрь 2019 года")</f>
        <v>Оказание услуг по организации горячего питания школьников в общеобразовательных учреждениях пгт. Магдагачи на период сентябрь-декабрь 2019 года</v>
      </c>
      <c r="G5044" s="22" t="s">
        <v>210</v>
      </c>
      <c r="H5044" s="22" t="s">
        <v>7918</v>
      </c>
      <c r="I5044" s="26">
        <v>43706.563136574099</v>
      </c>
      <c r="J5044" s="28" t="s">
        <v>51</v>
      </c>
      <c r="K5044" s="28" t="s">
        <v>51</v>
      </c>
      <c r="L5044" s="28" t="s">
        <v>51</v>
      </c>
      <c r="M5044" s="28" t="s">
        <v>51</v>
      </c>
      <c r="N5044" s="28" t="s">
        <v>51</v>
      </c>
    </row>
    <row r="5045" spans="1:14" collapsed="1" x14ac:dyDescent="0.15">
      <c r="A5045" s="23" t="str">
        <f>HYPERLINK("https://www.spark-marketing.ru/Card/Person/6688764", "МБДОУ ""ДЕТСКИЙ САД №121 ""САБАНТУЙ""")</f>
        <v>МБДОУ "ДЕТСКИЙ САД №121 "САБАНТУЙ"</v>
      </c>
      <c r="B5045" s="24" t="s">
        <v>6354</v>
      </c>
      <c r="C5045" s="25">
        <v>1097585.28</v>
      </c>
      <c r="D5045" s="22" t="s">
        <v>7921</v>
      </c>
      <c r="E5045" s="22" t="s">
        <v>48</v>
      </c>
      <c r="F5045" s="23" t="str">
        <f>HYPERLINK("https://www.spark-marketing.ru/Card/Lot/73126740", "оказание услуг по организации сбалансированного питания воспитанников для нужд МБДОУ «Центр развития ребенка - детский сад №121 «Сабантуй»")</f>
        <v>оказание услуг по организации сбалансированного питания воспитанников для нужд МБДОУ «Центр развития ребенка - детский сад №121 «Сабантуй»</v>
      </c>
      <c r="G5045" s="22" t="s">
        <v>217</v>
      </c>
      <c r="H5045" s="22" t="s">
        <v>1998</v>
      </c>
      <c r="I5045" s="26">
        <v>43706.554120370398</v>
      </c>
      <c r="J5045" s="28" t="s">
        <v>51</v>
      </c>
      <c r="K5045" s="28" t="s">
        <v>51</v>
      </c>
      <c r="L5045" s="28" t="s">
        <v>51</v>
      </c>
      <c r="M5045" s="28" t="s">
        <v>51</v>
      </c>
      <c r="N5045" s="28" t="s">
        <v>51</v>
      </c>
    </row>
    <row r="5046" spans="1:14" ht="12.75" hidden="1" outlineLevel="1" x14ac:dyDescent="0.2">
      <c r="A5046" s="23" t="str">
        <f>HYPERLINK("https://www.spark-marketing.ru/Card/Person/6688764", "МБДОУ ""ДЕТСКИЙ САД №121 ""САБАНТУЙ""")</f>
        <v>МБДОУ "ДЕТСКИЙ САД №121 "САБАНТУЙ"</v>
      </c>
      <c r="B5046" s="24" t="s">
        <v>6354</v>
      </c>
      <c r="C5046" s="25">
        <v>1097585.28</v>
      </c>
      <c r="D5046" s="22" t="s">
        <v>7921</v>
      </c>
      <c r="E5046" s="22" t="s">
        <v>48</v>
      </c>
      <c r="F5046" s="23" t="str">
        <f>HYPERLINK("https://www.spark-marketing.ru/Card/Lot/73126740", "оказание услуг по организации сбалансированного питания воспитанников для нужд МБДОУ «Центр развития ребенка - детский сад №121 «Сабантуй»")</f>
        <v>оказание услуг по организации сбалансированного питания воспитанников для нужд МБДОУ «Центр развития ребенка - детский сад №121 «Сабантуй»</v>
      </c>
      <c r="G5046" s="22" t="s">
        <v>217</v>
      </c>
      <c r="H5046" s="22" t="s">
        <v>1998</v>
      </c>
      <c r="I5046" s="26">
        <v>43706.554120370398</v>
      </c>
      <c r="J5046" s="23" t="str">
        <f>HYPERLINK("https://www.spark-marketing.ru/Card/Person/87385", "ООО ""ШКОЛЬНОЕ ПИТАНИЕ""")</f>
        <v>ООО "ШКОЛЬНОЕ ПИТАНИЕ"</v>
      </c>
      <c r="K5046" s="24" t="s">
        <v>6356</v>
      </c>
      <c r="L5046" s="22" t="s">
        <v>10</v>
      </c>
      <c r="M5046" s="25">
        <v>1097585.28</v>
      </c>
      <c r="N5046" s="27">
        <v>0</v>
      </c>
    </row>
    <row r="5047" spans="1:14" hidden="1" outlineLevel="1" x14ac:dyDescent="0.2">
      <c r="A5047" s="23" t="str">
        <f>HYPERLINK("https://www.spark-marketing.ru/Card/Person/6688764", "МБДОУ ""ДЕТСКИЙ САД №121 ""САБАНТУЙ""")</f>
        <v>МБДОУ "ДЕТСКИЙ САД №121 "САБАНТУЙ"</v>
      </c>
      <c r="B5047" s="24" t="s">
        <v>6354</v>
      </c>
      <c r="C5047" s="25">
        <v>1097585.28</v>
      </c>
      <c r="D5047" s="22" t="s">
        <v>7921</v>
      </c>
      <c r="E5047" s="22" t="s">
        <v>48</v>
      </c>
      <c r="F5047" s="23" t="str">
        <f>HYPERLINK("https://www.spark-marketing.ru/Card/Lot/73126740", "оказание услуг по организации сбалансированного питания воспитанников для нужд МБДОУ «Центр развития ребенка - детский сад №121 «Сабантуй»")</f>
        <v>оказание услуг по организации сбалансированного питания воспитанников для нужд МБДОУ «Центр развития ребенка - детский сад №121 «Сабантуй»</v>
      </c>
      <c r="G5047" s="22" t="s">
        <v>217</v>
      </c>
      <c r="H5047" s="22" t="s">
        <v>1998</v>
      </c>
      <c r="I5047" s="26">
        <v>43706.554120370398</v>
      </c>
      <c r="J5047" s="23" t="str">
        <f>HYPERLINK("https://www.spark-marketing.ru/Card/Person/6474291", "ООО ""АЛЬЯНС""")</f>
        <v>ООО "АЛЬЯНС"</v>
      </c>
      <c r="K5047" s="24" t="s">
        <v>7113</v>
      </c>
      <c r="L5047" s="28" t="s">
        <v>51</v>
      </c>
      <c r="M5047" s="25">
        <v>1097585.28</v>
      </c>
      <c r="N5047" s="27">
        <v>0</v>
      </c>
    </row>
    <row r="5048" spans="1:14" x14ac:dyDescent="0.15">
      <c r="A5048" s="23" t="str">
        <f>HYPERLINK("https://www.spark-marketing.ru/Card/Person/26891", "МО МВД РОССИИ ""КАЛИНИНСКИЙ"" САРАТОВСКОЙ ОБЛАСТИ")</f>
        <v>МО МВД РОССИИ "КАЛИНИНСКИЙ" САРАТОВСКОЙ ОБЛАСТИ</v>
      </c>
      <c r="B5048" s="24" t="s">
        <v>5789</v>
      </c>
      <c r="C5048" s="25">
        <v>189998.8</v>
      </c>
      <c r="D5048" s="22" t="s">
        <v>7922</v>
      </c>
      <c r="E5048" s="22" t="s">
        <v>96</v>
      </c>
      <c r="F5048" s="23" t="str">
        <f>HYPERLINK("https://www.spark-marketing.ru/Card/Lot/73114317", "Оказание услуг по организации питания")</f>
        <v>Оказание услуг по организации питания</v>
      </c>
      <c r="G5048" s="22" t="s">
        <v>351</v>
      </c>
      <c r="H5048" s="22" t="s">
        <v>5791</v>
      </c>
      <c r="I5048" s="26">
        <v>43706.505868055603</v>
      </c>
      <c r="J5048" s="23" t="str">
        <f>HYPERLINK("https://www.spark-marketing.ru/Card/Person/6698864", "Халова Ольга Александровна")</f>
        <v>Халова Ольга Александровна</v>
      </c>
      <c r="K5048" s="24" t="s">
        <v>5792</v>
      </c>
      <c r="L5048" s="22" t="s">
        <v>10</v>
      </c>
      <c r="M5048" s="28" t="s">
        <v>51</v>
      </c>
      <c r="N5048" s="28" t="s">
        <v>51</v>
      </c>
    </row>
    <row r="5049" spans="1:14" ht="12.75" x14ac:dyDescent="0.2">
      <c r="A5049" s="23" t="str">
        <f>HYPERLINK("https://www.spark-marketing.ru/Card/Person/1961977", "МБОУ ""ПОЖВИНСКАЯ СОШ №1""")</f>
        <v>МБОУ "ПОЖВИНСКАЯ СОШ №1"</v>
      </c>
      <c r="B5049" s="24" t="s">
        <v>7923</v>
      </c>
      <c r="C5049" s="25">
        <v>456305.2</v>
      </c>
      <c r="D5049" s="22" t="s">
        <v>7924</v>
      </c>
      <c r="E5049" s="22" t="s">
        <v>96</v>
      </c>
      <c r="F5049" s="23" t="str">
        <f>HYPERLINK("https://www.spark-marketing.ru/Card/Lot/73114273", "Услуги по организации питания учащихся")</f>
        <v>Услуги по организации питания учащихся</v>
      </c>
      <c r="G5049" s="22" t="s">
        <v>153</v>
      </c>
      <c r="H5049" s="22" t="s">
        <v>153</v>
      </c>
      <c r="I5049" s="26">
        <v>43706.493379629603</v>
      </c>
      <c r="J5049" s="23" t="str">
        <f>HYPERLINK("https://www.spark-marketing.ru/Card/Person/61115", "Петрова Ирина Алексеевна")</f>
        <v>Петрова Ирина Алексеевна</v>
      </c>
      <c r="K5049" s="24" t="s">
        <v>1963</v>
      </c>
      <c r="L5049" s="22" t="s">
        <v>10</v>
      </c>
      <c r="M5049" s="25">
        <v>456305</v>
      </c>
      <c r="N5049" s="27">
        <v>4.3830313570829349E-7</v>
      </c>
    </row>
    <row r="5050" spans="1:14" x14ac:dyDescent="0.2">
      <c r="A5050" s="23" t="str">
        <f>HYPERLINK("https://www.spark-marketing.ru/Card/Person/10568", "СПБ ГБУЗ ""ДГКБ № 5 ИМ. Н.Ф.ФИЛАТОВА""")</f>
        <v>СПБ ГБУЗ "ДГКБ № 5 ИМ. Н.Ф.ФИЛАТОВА"</v>
      </c>
      <c r="B5050" s="24" t="s">
        <v>7925</v>
      </c>
      <c r="C5050" s="25">
        <v>14755000</v>
      </c>
      <c r="D5050" s="22" t="s">
        <v>7926</v>
      </c>
      <c r="E5050" s="22" t="s">
        <v>51</v>
      </c>
      <c r="F5050" s="23" t="str">
        <f>HYPERLINK("https://www.spark-marketing.ru/Card/Lot/73130685", "Оказание услуг по организации лечебного питания")</f>
        <v>Оказание услуг по организации лечебного питания</v>
      </c>
      <c r="G5050" s="22" t="s">
        <v>117</v>
      </c>
      <c r="H5050" s="22" t="s">
        <v>117</v>
      </c>
      <c r="I5050" s="26">
        <v>43706.542060185202</v>
      </c>
      <c r="J5050" s="23" t="str">
        <f>HYPERLINK("https://www.spark-marketing.ru/Card/Person/2105783", "ООО ""КЛЁН""")</f>
        <v>ООО "КЛЁН"</v>
      </c>
      <c r="K5050" s="24" t="s">
        <v>7927</v>
      </c>
      <c r="L5050" s="28" t="s">
        <v>51</v>
      </c>
      <c r="M5050" s="25">
        <v>13900000</v>
      </c>
      <c r="N5050" s="27">
        <v>5.7946458827516097E-2</v>
      </c>
    </row>
    <row r="5051" spans="1:14" x14ac:dyDescent="0.15">
      <c r="A5051" s="28" t="s">
        <v>51</v>
      </c>
      <c r="B5051" s="28" t="s">
        <v>51</v>
      </c>
      <c r="C5051" s="28" t="s">
        <v>51</v>
      </c>
      <c r="D5051" s="22" t="s">
        <v>7928</v>
      </c>
      <c r="E5051" s="22" t="s">
        <v>52</v>
      </c>
      <c r="F5051" s="23" t="str">
        <f>HYPERLINK("https://www.spark-marketing.ru/Card/Lot/73112731", "Телекоммуникационное оборудование Б/У (1 962 кг)")</f>
        <v>Телекоммуникационное оборудование Б/У (1 962 кг)</v>
      </c>
      <c r="G5051" s="22" t="s">
        <v>132</v>
      </c>
      <c r="H5051" s="22" t="s">
        <v>587</v>
      </c>
      <c r="I5051" s="26">
        <v>43706.577534722201</v>
      </c>
      <c r="J5051" s="23" t="str">
        <f>HYPERLINK("https://www.spark-marketing.ru/Card/Person/30759", "ПАО ""МТС""")</f>
        <v>ПАО "МТС"</v>
      </c>
      <c r="K5051" s="24" t="s">
        <v>7929</v>
      </c>
      <c r="L5051" s="28" t="s">
        <v>51</v>
      </c>
      <c r="M5051" s="25">
        <v>55091</v>
      </c>
      <c r="N5051" s="28" t="s">
        <v>51</v>
      </c>
    </row>
    <row r="5052" spans="1:14" collapsed="1" x14ac:dyDescent="0.15">
      <c r="A5052" s="23" t="s">
        <v>114</v>
      </c>
      <c r="B5052" s="28" t="s">
        <v>51</v>
      </c>
      <c r="C5052" s="25">
        <v>2679600</v>
      </c>
      <c r="D5052" s="22" t="s">
        <v>7930</v>
      </c>
      <c r="E5052" s="22" t="s">
        <v>55</v>
      </c>
      <c r="F5052" s="23" t="str">
        <f>HYPERLINK("https://www.spark-marketing.ru/Card/Lot/73127651", "Оказание прочих услуг (организация размещения и питания участников мероприятия)")</f>
        <v>Оказание прочих услуг (организация размещения и питания участников мероприятия)</v>
      </c>
      <c r="G5052" s="22" t="s">
        <v>51</v>
      </c>
      <c r="H5052" s="22" t="s">
        <v>51</v>
      </c>
      <c r="I5052" s="26">
        <v>43706.489537037</v>
      </c>
      <c r="J5052" s="23" t="str">
        <f>HYPERLINK("https://www.spark-marketing.ru/Card/Person/6192102", "ООО ""КОНСАЛТГРУПП""")</f>
        <v>ООО "КОНСАЛТГРУПП"</v>
      </c>
      <c r="K5052" s="24" t="s">
        <v>7931</v>
      </c>
      <c r="L5052" s="22" t="s">
        <v>10</v>
      </c>
      <c r="M5052" s="28" t="s">
        <v>51</v>
      </c>
      <c r="N5052" s="28" t="s">
        <v>51</v>
      </c>
    </row>
    <row r="5053" spans="1:14" hidden="1" outlineLevel="1" x14ac:dyDescent="0.15">
      <c r="A5053" s="23" t="str">
        <f>HYPERLINK("https://www.spark-marketing.ru/Card/Person/5199", "ГБУ АО ""ДМПП""")</f>
        <v>ГБУ АО "ДМПП"</v>
      </c>
      <c r="B5053" s="24" t="s">
        <v>7932</v>
      </c>
      <c r="C5053" s="25">
        <v>2193600</v>
      </c>
      <c r="D5053" s="22" t="s">
        <v>7930</v>
      </c>
      <c r="E5053" s="22" t="s">
        <v>55</v>
      </c>
      <c r="F5053" s="23" t="str">
        <f>HYPERLINK("https://www.spark-marketing.ru/Card/Lot/73127651", "Оказание прочих услуг (организация размещения и питания участников мероприятия)")</f>
        <v>Оказание прочих услуг (организация размещения и питания участников мероприятия)</v>
      </c>
      <c r="G5053" s="22" t="s">
        <v>141</v>
      </c>
      <c r="H5053" s="22" t="s">
        <v>2201</v>
      </c>
      <c r="I5053" s="26">
        <v>43706.489537037</v>
      </c>
      <c r="J5053" s="23" t="str">
        <f>HYPERLINK("https://www.spark-marketing.ru/Card/Person/6192102", "ООО ""КОНСАЛТГРУПП""")</f>
        <v>ООО "КОНСАЛТГРУПП"</v>
      </c>
      <c r="K5053" s="24" t="s">
        <v>7931</v>
      </c>
      <c r="L5053" s="22" t="s">
        <v>10</v>
      </c>
      <c r="M5053" s="28" t="s">
        <v>51</v>
      </c>
      <c r="N5053" s="28" t="s">
        <v>51</v>
      </c>
    </row>
    <row r="5054" spans="1:14" hidden="1" outlineLevel="1" x14ac:dyDescent="0.15">
      <c r="A5054" s="23" t="str">
        <f>HYPERLINK("https://www.spark-marketing.ru/Card/Person/15734", "ГБУ АО ""ЦПКМ""")</f>
        <v>ГБУ АО "ЦПКМ"</v>
      </c>
      <c r="B5054" s="24" t="s">
        <v>7933</v>
      </c>
      <c r="C5054" s="25">
        <v>486000</v>
      </c>
      <c r="D5054" s="22" t="s">
        <v>7930</v>
      </c>
      <c r="E5054" s="22" t="s">
        <v>55</v>
      </c>
      <c r="F5054" s="23" t="str">
        <f>HYPERLINK("https://www.spark-marketing.ru/Card/Lot/73127651", "Оказание прочих услуг (организация размещения и питания участников мероприятия)")</f>
        <v>Оказание прочих услуг (организация размещения и питания участников мероприятия)</v>
      </c>
      <c r="G5054" s="22" t="s">
        <v>141</v>
      </c>
      <c r="H5054" s="22" t="s">
        <v>2201</v>
      </c>
      <c r="I5054" s="26">
        <v>43706.489537037</v>
      </c>
      <c r="J5054" s="23" t="str">
        <f>HYPERLINK("https://www.spark-marketing.ru/Card/Person/6192102", "ООО ""КОНСАЛТГРУПП""")</f>
        <v>ООО "КОНСАЛТГРУПП"</v>
      </c>
      <c r="K5054" s="24" t="s">
        <v>7931</v>
      </c>
      <c r="L5054" s="22" t="s">
        <v>10</v>
      </c>
      <c r="M5054" s="28" t="s">
        <v>51</v>
      </c>
      <c r="N5054" s="28" t="s">
        <v>51</v>
      </c>
    </row>
    <row r="5055" spans="1:14" ht="12.75" x14ac:dyDescent="0.2">
      <c r="A5055" s="23" t="str">
        <f>HYPERLINK("https://www.spark-marketing.ru/Card/Person/21039", "ФКУ ""ЦХИСО ГУ МВД РОССИИ ПО САРАТОВСКОЙ ОБЛАСТИ""")</f>
        <v>ФКУ "ЦХИСО ГУ МВД РОССИИ ПО САРАТОВСКОЙ ОБЛАСТИ"</v>
      </c>
      <c r="B5055" s="24" t="s">
        <v>1991</v>
      </c>
      <c r="C5055" s="25">
        <v>488474.48</v>
      </c>
      <c r="D5055" s="22" t="s">
        <v>7934</v>
      </c>
      <c r="E5055" s="22" t="s">
        <v>48</v>
      </c>
      <c r="F5055" s="23" t="str">
        <f>HYPERLINK("https://www.spark-marketing.ru/Card/Lot/73118913", "Оказание услуг по организации общественного питания")</f>
        <v>Оказание услуг по организации общественного питания</v>
      </c>
      <c r="G5055" s="22" t="s">
        <v>351</v>
      </c>
      <c r="H5055" s="22" t="s">
        <v>351</v>
      </c>
      <c r="I5055" s="26">
        <v>43706.436990740702</v>
      </c>
      <c r="J5055" s="23" t="str">
        <f>HYPERLINK("https://www.spark-marketing.ru/Card/Person/104393", "Максимов Александр Владимирович")</f>
        <v>Максимов Александр Владимирович</v>
      </c>
      <c r="K5055" s="24" t="s">
        <v>1993</v>
      </c>
      <c r="L5055" s="22" t="s">
        <v>10</v>
      </c>
      <c r="M5055" s="25">
        <v>332</v>
      </c>
      <c r="N5055" s="27">
        <v>0.99932033296806011</v>
      </c>
    </row>
    <row r="5056" spans="1:14" x14ac:dyDescent="0.15">
      <c r="A5056" s="23" t="str">
        <f>HYPERLINK("https://www.spark-marketing.ru/Card/Person/6710818", "АО ЖЕЛЕЗНОДОРОЖНАЯ ТОРГОВАЯ КОМПАНИЯ ЧИТИНСКИЙ ФЛ")</f>
        <v>АО ЖЕЛЕЗНОДОРОЖНАЯ ТОРГОВАЯ КОМПАНИЯ ЧИТИНСКИЙ ФЛ</v>
      </c>
      <c r="B5056" s="28" t="s">
        <v>51</v>
      </c>
      <c r="C5056" s="25">
        <v>825000</v>
      </c>
      <c r="D5056" s="22" t="s">
        <v>7935</v>
      </c>
      <c r="E5056" s="22" t="s">
        <v>2370</v>
      </c>
      <c r="F5056" s="23" t="str">
        <f>HYPERLINK("https://www.spark-marketing.ru/Card/Lot/73978560", "Поставка хлеба для предприятий общественного питания (столовая ст. Могоча), оказывающих услуги питания работникам ОАО ""РЖД""")</f>
        <v>Поставка хлеба для предприятий общественного питания (столовая ст. Могоча), оказывающих услуги питания работникам ОАО "РЖД"</v>
      </c>
      <c r="G5056" s="22" t="s">
        <v>51</v>
      </c>
      <c r="H5056" s="22" t="s">
        <v>51</v>
      </c>
      <c r="I5056" s="26">
        <v>43706.552083333299</v>
      </c>
      <c r="J5056" s="28" t="s">
        <v>51</v>
      </c>
      <c r="K5056" s="28" t="s">
        <v>51</v>
      </c>
      <c r="L5056" s="28" t="s">
        <v>51</v>
      </c>
      <c r="M5056" s="28" t="s">
        <v>51</v>
      </c>
      <c r="N5056" s="28" t="s">
        <v>51</v>
      </c>
    </row>
    <row r="5057" spans="1:14" x14ac:dyDescent="0.15">
      <c r="A5057" s="23" t="s">
        <v>114</v>
      </c>
      <c r="B5057" s="28" t="s">
        <v>51</v>
      </c>
      <c r="C5057" s="25">
        <v>9368375.8399999999</v>
      </c>
      <c r="D5057" s="22" t="s">
        <v>7936</v>
      </c>
      <c r="E5057" s="22" t="s">
        <v>48</v>
      </c>
      <c r="F5057" s="23" t="str">
        <f t="shared" ref="F5057:F5063" si="93">HYPERLINK("https://www.spark-marketing.ru/Card/Lot/73128567", "Оказание услуг по организации питания учащихся")</f>
        <v>Оказание услуг по организации питания учащихся</v>
      </c>
      <c r="G5057" s="22" t="s">
        <v>51</v>
      </c>
      <c r="H5057" s="22" t="s">
        <v>51</v>
      </c>
      <c r="I5057" s="26">
        <v>43706.382245370398</v>
      </c>
      <c r="J5057" s="28" t="s">
        <v>51</v>
      </c>
      <c r="K5057" s="28" t="s">
        <v>51</v>
      </c>
      <c r="L5057" s="28" t="s">
        <v>51</v>
      </c>
      <c r="M5057" s="28" t="s">
        <v>51</v>
      </c>
      <c r="N5057" s="28" t="s">
        <v>51</v>
      </c>
    </row>
    <row r="5058" spans="1:14" hidden="1" outlineLevel="1" x14ac:dyDescent="0.15">
      <c r="A5058" s="23" t="str">
        <f>HYPERLINK("https://www.spark-marketing.ru/Card/Person/62738", "МОУ СОШ №6")</f>
        <v>МОУ СОШ №6</v>
      </c>
      <c r="B5058" s="24" t="s">
        <v>7937</v>
      </c>
      <c r="C5058" s="25">
        <v>3200308</v>
      </c>
      <c r="D5058" s="22" t="s">
        <v>7936</v>
      </c>
      <c r="E5058" s="22" t="s">
        <v>48</v>
      </c>
      <c r="F5058" s="23" t="str">
        <f t="shared" si="93"/>
        <v>Оказание услуг по организации питания учащихся</v>
      </c>
      <c r="G5058" s="22" t="s">
        <v>49</v>
      </c>
      <c r="H5058" s="22" t="s">
        <v>1867</v>
      </c>
      <c r="I5058" s="26">
        <v>43706.382245370398</v>
      </c>
      <c r="J5058" s="28" t="s">
        <v>51</v>
      </c>
      <c r="K5058" s="28" t="s">
        <v>51</v>
      </c>
      <c r="L5058" s="28" t="s">
        <v>51</v>
      </c>
      <c r="M5058" s="28" t="s">
        <v>51</v>
      </c>
      <c r="N5058" s="28" t="s">
        <v>51</v>
      </c>
    </row>
    <row r="5059" spans="1:14" hidden="1" outlineLevel="1" x14ac:dyDescent="0.15">
      <c r="A5059" s="23" t="str">
        <f>HYPERLINK("https://www.spark-marketing.ru/Card/Person/1023368", "МОУ СОШ №26")</f>
        <v>МОУ СОШ №26</v>
      </c>
      <c r="B5059" s="24" t="s">
        <v>7938</v>
      </c>
      <c r="C5059" s="25">
        <v>2557013.6</v>
      </c>
      <c r="D5059" s="22" t="s">
        <v>7936</v>
      </c>
      <c r="E5059" s="22" t="s">
        <v>48</v>
      </c>
      <c r="F5059" s="23" t="str">
        <f t="shared" si="93"/>
        <v>Оказание услуг по организации питания учащихся</v>
      </c>
      <c r="G5059" s="22" t="s">
        <v>49</v>
      </c>
      <c r="H5059" s="22" t="s">
        <v>1867</v>
      </c>
      <c r="I5059" s="26">
        <v>43706.382245370398</v>
      </c>
      <c r="J5059" s="28" t="s">
        <v>51</v>
      </c>
      <c r="K5059" s="28" t="s">
        <v>51</v>
      </c>
      <c r="L5059" s="28" t="s">
        <v>51</v>
      </c>
      <c r="M5059" s="28" t="s">
        <v>51</v>
      </c>
      <c r="N5059" s="28" t="s">
        <v>51</v>
      </c>
    </row>
    <row r="5060" spans="1:14" hidden="1" outlineLevel="1" x14ac:dyDescent="0.15">
      <c r="A5060" s="23" t="str">
        <f>HYPERLINK("https://www.spark-marketing.ru/Card/Person/1069045", "МОУ СОШ №4")</f>
        <v>МОУ СОШ №4</v>
      </c>
      <c r="B5060" s="24" t="s">
        <v>7939</v>
      </c>
      <c r="C5060" s="25">
        <v>3611054.24</v>
      </c>
      <c r="D5060" s="22" t="s">
        <v>7936</v>
      </c>
      <c r="E5060" s="22" t="s">
        <v>48</v>
      </c>
      <c r="F5060" s="23" t="str">
        <f t="shared" si="93"/>
        <v>Оказание услуг по организации питания учащихся</v>
      </c>
      <c r="G5060" s="22" t="s">
        <v>49</v>
      </c>
      <c r="H5060" s="22" t="s">
        <v>1867</v>
      </c>
      <c r="I5060" s="26">
        <v>43706.382245370398</v>
      </c>
      <c r="J5060" s="28" t="s">
        <v>51</v>
      </c>
      <c r="K5060" s="28" t="s">
        <v>51</v>
      </c>
      <c r="L5060" s="28" t="s">
        <v>51</v>
      </c>
      <c r="M5060" s="28" t="s">
        <v>51</v>
      </c>
      <c r="N5060" s="28" t="s">
        <v>51</v>
      </c>
    </row>
    <row r="5061" spans="1:14" hidden="1" outlineLevel="1" x14ac:dyDescent="0.2">
      <c r="A5061" s="28" t="s">
        <v>51</v>
      </c>
      <c r="B5061" s="28" t="s">
        <v>51</v>
      </c>
      <c r="C5061" s="28" t="s">
        <v>51</v>
      </c>
      <c r="D5061" s="22" t="s">
        <v>7936</v>
      </c>
      <c r="E5061" s="22" t="s">
        <v>48</v>
      </c>
      <c r="F5061" s="23" t="str">
        <f t="shared" si="93"/>
        <v>Оказание услуг по организации питания учащихся</v>
      </c>
      <c r="G5061" s="22" t="s">
        <v>51</v>
      </c>
      <c r="H5061" s="22" t="s">
        <v>51</v>
      </c>
      <c r="I5061" s="26">
        <v>43706.382245370398</v>
      </c>
      <c r="J5061" s="23" t="str">
        <f>HYPERLINK("https://www.spark-marketing.ru/Card/Person/1335068", "Кулешова Светлана Владимировна")</f>
        <v>Кулешова Светлана Владимировна</v>
      </c>
      <c r="K5061" s="24" t="s">
        <v>1702</v>
      </c>
      <c r="L5061" s="28" t="s">
        <v>51</v>
      </c>
      <c r="M5061" s="25">
        <v>9087324.5600000005</v>
      </c>
      <c r="N5061" s="27">
        <v>3.0000000512362023E-2</v>
      </c>
    </row>
    <row r="5062" spans="1:14" hidden="1" outlineLevel="1" x14ac:dyDescent="0.2">
      <c r="A5062" s="28" t="s">
        <v>51</v>
      </c>
      <c r="B5062" s="28" t="s">
        <v>51</v>
      </c>
      <c r="C5062" s="28" t="s">
        <v>51</v>
      </c>
      <c r="D5062" s="22" t="s">
        <v>7936</v>
      </c>
      <c r="E5062" s="22" t="s">
        <v>48</v>
      </c>
      <c r="F5062" s="23" t="str">
        <f t="shared" si="93"/>
        <v>Оказание услуг по организации питания учащихся</v>
      </c>
      <c r="G5062" s="22" t="s">
        <v>51</v>
      </c>
      <c r="H5062" s="22" t="s">
        <v>51</v>
      </c>
      <c r="I5062" s="26">
        <v>43706.382245370398</v>
      </c>
      <c r="J5062" s="23" t="str">
        <f>HYPERLINK("https://www.spark-marketing.ru/Card/Person/6458516", "Хахалина Ирина Юрьевна")</f>
        <v>Хахалина Ирина Юрьевна</v>
      </c>
      <c r="K5062" s="24" t="s">
        <v>1701</v>
      </c>
      <c r="L5062" s="28" t="s">
        <v>51</v>
      </c>
      <c r="M5062" s="25">
        <v>9227850.1999999993</v>
      </c>
      <c r="N5062" s="27">
        <v>1.5000000256181012E-2</v>
      </c>
    </row>
    <row r="5063" spans="1:14" hidden="1" outlineLevel="1" x14ac:dyDescent="0.2">
      <c r="A5063" s="28" t="s">
        <v>51</v>
      </c>
      <c r="B5063" s="28" t="s">
        <v>51</v>
      </c>
      <c r="C5063" s="28" t="s">
        <v>51</v>
      </c>
      <c r="D5063" s="22" t="s">
        <v>7936</v>
      </c>
      <c r="E5063" s="22" t="s">
        <v>48</v>
      </c>
      <c r="F5063" s="23" t="str">
        <f t="shared" si="93"/>
        <v>Оказание услуг по организации питания учащихся</v>
      </c>
      <c r="G5063" s="22" t="s">
        <v>51</v>
      </c>
      <c r="H5063" s="22" t="s">
        <v>51</v>
      </c>
      <c r="I5063" s="26">
        <v>43706.382245370398</v>
      </c>
      <c r="J5063" s="23" t="str">
        <f>HYPERLINK("https://www.spark-marketing.ru/Card/Person/4351169", "Русаков Анатолий Сидорович")</f>
        <v>Русаков Анатолий Сидорович</v>
      </c>
      <c r="K5063" s="24" t="s">
        <v>1700</v>
      </c>
      <c r="L5063" s="22" t="s">
        <v>10</v>
      </c>
      <c r="M5063" s="25">
        <v>8895272.8000000007</v>
      </c>
      <c r="N5063" s="27">
        <v>5.0500006413064659E-2</v>
      </c>
    </row>
    <row r="5064" spans="1:14" x14ac:dyDescent="0.15">
      <c r="A5064" s="23" t="str">
        <f>HYPERLINK("https://www.spark-marketing.ru/Card/Person/4372366", "МУРМАНСКАЯ ОБЛАСТНАЯ ДУМА")</f>
        <v>МУРМАНСКАЯ ОБЛАСТНАЯ ДУМА</v>
      </c>
      <c r="B5064" s="24" t="s">
        <v>338</v>
      </c>
      <c r="C5064" s="25">
        <v>600000</v>
      </c>
      <c r="D5064" s="22" t="s">
        <v>7940</v>
      </c>
      <c r="E5064" s="22" t="s">
        <v>96</v>
      </c>
      <c r="F5064" s="23" t="str">
        <f>HYPERLINK("https://www.spark-marketing.ru/Card/Lot/73118947", "Оказание услуг общественного питания с культурным обслуживанием при проведении торжественного приема, посвященного 25-летию Мурманской областной Думы")</f>
        <v>Оказание услуг общественного питания с культурным обслуживанием при проведении торжественного приема, посвященного 25-летию Мурманской областной Думы</v>
      </c>
      <c r="G5064" s="22" t="s">
        <v>340</v>
      </c>
      <c r="H5064" s="22" t="s">
        <v>341</v>
      </c>
      <c r="I5064" s="26">
        <v>43705.682754629597</v>
      </c>
      <c r="J5064" s="23" t="str">
        <f>HYPERLINK("https://www.spark-marketing.ru/Card/Person/381745", "ООО ""РЕСТОРАН М-КЛУБ""")</f>
        <v>ООО "РЕСТОРАН М-КЛУБ"</v>
      </c>
      <c r="K5064" s="24" t="s">
        <v>7941</v>
      </c>
      <c r="L5064" s="22" t="s">
        <v>10</v>
      </c>
      <c r="M5064" s="28" t="s">
        <v>51</v>
      </c>
      <c r="N5064" s="28" t="s">
        <v>51</v>
      </c>
    </row>
    <row r="5065" spans="1:14" x14ac:dyDescent="0.15">
      <c r="A5065" s="23" t="str">
        <f>HYPERLINK("https://www.spark-marketing.ru/Card/Person/25241", "МБДОУ ДЕТСКИЙ САД № 8 ""РОДНИЧОК""")</f>
        <v>МБДОУ ДЕТСКИЙ САД № 8 "РОДНИЧОК"</v>
      </c>
      <c r="B5065" s="24" t="s">
        <v>7942</v>
      </c>
      <c r="C5065" s="25">
        <v>281970</v>
      </c>
      <c r="D5065" s="22" t="s">
        <v>7943</v>
      </c>
      <c r="E5065" s="22" t="s">
        <v>48</v>
      </c>
      <c r="F5065" s="23" t="str">
        <f>HYPERLINK("https://www.spark-marketing.ru/Card/Lot/73118964", "Услуга по организации горячего питания детей в  дошкольном образовательном учреждении в помещении пищеблока МБДОУ детского сада №8 Родничок и его филиала")</f>
        <v>Услуга по организации горячего питания детей в  дошкольном образовательном учреждении в помещении пищеблока МБДОУ детского сада №8 Родничок и его филиала</v>
      </c>
      <c r="G5065" s="22" t="s">
        <v>267</v>
      </c>
      <c r="H5065" s="22" t="s">
        <v>267</v>
      </c>
      <c r="I5065" s="26">
        <v>43706.454918981501</v>
      </c>
      <c r="J5065" s="28" t="s">
        <v>51</v>
      </c>
      <c r="K5065" s="28" t="s">
        <v>51</v>
      </c>
      <c r="L5065" s="28" t="s">
        <v>51</v>
      </c>
      <c r="M5065" s="28" t="s">
        <v>51</v>
      </c>
      <c r="N5065" s="28" t="s">
        <v>51</v>
      </c>
    </row>
    <row r="5066" spans="1:14" ht="12.75" hidden="1" outlineLevel="1" x14ac:dyDescent="0.2">
      <c r="A5066" s="23" t="str">
        <f>HYPERLINK("https://www.spark-marketing.ru/Card/Person/25241", "МБДОУ ДЕТСКИЙ САД № 8 ""РОДНИЧОК""")</f>
        <v>МБДОУ ДЕТСКИЙ САД № 8 "РОДНИЧОК"</v>
      </c>
      <c r="B5066" s="24" t="s">
        <v>7942</v>
      </c>
      <c r="C5066" s="25">
        <v>281970</v>
      </c>
      <c r="D5066" s="22" t="s">
        <v>7943</v>
      </c>
      <c r="E5066" s="22" t="s">
        <v>48</v>
      </c>
      <c r="F5066" s="23" t="str">
        <f>HYPERLINK("https://www.spark-marketing.ru/Card/Lot/73118964", "Услуга по организации горячего питания детей в  дошкольном образовательном учреждении в помещении пищеблока МБДОУ детского сада №8 Родничок и его филиала")</f>
        <v>Услуга по организации горячего питания детей в  дошкольном образовательном учреждении в помещении пищеблока МБДОУ детского сада №8 Родничок и его филиала</v>
      </c>
      <c r="G5066" s="22" t="s">
        <v>267</v>
      </c>
      <c r="H5066" s="22" t="s">
        <v>267</v>
      </c>
      <c r="I5066" s="26">
        <v>43706.454918981501</v>
      </c>
      <c r="J5066" s="23" t="str">
        <f>HYPERLINK("https://www.spark-marketing.ru/Card/Person/6218375", "ООО ""ТД ""ЛЕГИОН""")</f>
        <v>ООО "ТД "ЛЕГИОН"</v>
      </c>
      <c r="K5066" s="24" t="s">
        <v>7944</v>
      </c>
      <c r="L5066" s="22" t="s">
        <v>10</v>
      </c>
      <c r="M5066" s="25">
        <v>261300</v>
      </c>
      <c r="N5066" s="27">
        <v>7.3305670816044263E-2</v>
      </c>
    </row>
    <row r="5067" spans="1:14" hidden="1" outlineLevel="1" x14ac:dyDescent="0.2">
      <c r="A5067" s="23" t="str">
        <f>HYPERLINK("https://www.spark-marketing.ru/Card/Person/25241", "МБДОУ ДЕТСКИЙ САД № 8 ""РОДНИЧОК""")</f>
        <v>МБДОУ ДЕТСКИЙ САД № 8 "РОДНИЧОК"</v>
      </c>
      <c r="B5067" s="24" t="s">
        <v>7942</v>
      </c>
      <c r="C5067" s="25">
        <v>281970</v>
      </c>
      <c r="D5067" s="22" t="s">
        <v>7943</v>
      </c>
      <c r="E5067" s="22" t="s">
        <v>48</v>
      </c>
      <c r="F5067" s="23" t="str">
        <f>HYPERLINK("https://www.spark-marketing.ru/Card/Lot/73118964", "Услуга по организации горячего питания детей в  дошкольном образовательном учреждении в помещении пищеблока МБДОУ детского сада №8 Родничок и его филиала")</f>
        <v>Услуга по организации горячего питания детей в  дошкольном образовательном учреждении в помещении пищеблока МБДОУ детского сада №8 Родничок и его филиала</v>
      </c>
      <c r="G5067" s="22" t="s">
        <v>267</v>
      </c>
      <c r="H5067" s="22" t="s">
        <v>267</v>
      </c>
      <c r="I5067" s="26">
        <v>43706.454918981501</v>
      </c>
      <c r="J5067" s="23" t="str">
        <f>HYPERLINK("https://www.spark-marketing.ru/Card/Person/6073025", "ООО ""ЕВРОТРЕЙД""")</f>
        <v>ООО "ЕВРОТРЕЙД"</v>
      </c>
      <c r="K5067" s="24" t="s">
        <v>7945</v>
      </c>
      <c r="L5067" s="28" t="s">
        <v>51</v>
      </c>
      <c r="M5067" s="25">
        <v>281970</v>
      </c>
      <c r="N5067" s="27">
        <v>0</v>
      </c>
    </row>
    <row r="5068" spans="1:14" x14ac:dyDescent="0.15">
      <c r="A5068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5068" s="24" t="s">
        <v>309</v>
      </c>
      <c r="C5068" s="25">
        <v>734440</v>
      </c>
      <c r="D5068" s="22" t="s">
        <v>7946</v>
      </c>
      <c r="E5068" s="22" t="s">
        <v>48</v>
      </c>
      <c r="F5068" s="23" t="str">
        <f>HYPERLINK("https://www.spark-marketing.ru/Card/Lot/73119845", "Оказание услуг по питанию граждан находящихся в ИВС")</f>
        <v>Оказание услуг по питанию граждан находящихся в ИВС</v>
      </c>
      <c r="G5068" s="22" t="s">
        <v>49</v>
      </c>
      <c r="H5068" s="22" t="s">
        <v>5949</v>
      </c>
      <c r="I5068" s="26">
        <v>43706.526967592603</v>
      </c>
      <c r="J5068" s="28" t="s">
        <v>51</v>
      </c>
      <c r="K5068" s="28" t="s">
        <v>51</v>
      </c>
      <c r="L5068" s="28" t="s">
        <v>51</v>
      </c>
      <c r="M5068" s="28" t="s">
        <v>51</v>
      </c>
      <c r="N5068" s="28" t="s">
        <v>51</v>
      </c>
    </row>
    <row r="5069" spans="1:14" x14ac:dyDescent="0.15">
      <c r="A5069" s="23" t="s">
        <v>114</v>
      </c>
      <c r="B5069" s="28" t="s">
        <v>51</v>
      </c>
      <c r="C5069" s="25">
        <v>9214184.9600000009</v>
      </c>
      <c r="D5069" s="22" t="s">
        <v>7947</v>
      </c>
      <c r="E5069" s="22" t="s">
        <v>48</v>
      </c>
      <c r="F5069" s="23" t="str">
        <f t="shared" ref="F5069:F5077" si="94">HYPERLINK("https://www.spark-marketing.ru/Card/Lot/73128563", "Оказание услуг по организации питания учащихся")</f>
        <v>Оказание услуг по организации питания учащихся</v>
      </c>
      <c r="G5069" s="22" t="s">
        <v>51</v>
      </c>
      <c r="H5069" s="22" t="s">
        <v>51</v>
      </c>
      <c r="I5069" s="26">
        <v>43706.367939814802</v>
      </c>
      <c r="J5069" s="28" t="s">
        <v>51</v>
      </c>
      <c r="K5069" s="28" t="s">
        <v>51</v>
      </c>
      <c r="L5069" s="28" t="s">
        <v>51</v>
      </c>
      <c r="M5069" s="28" t="s">
        <v>51</v>
      </c>
      <c r="N5069" s="28" t="s">
        <v>51</v>
      </c>
    </row>
    <row r="5070" spans="1:14" hidden="1" outlineLevel="1" x14ac:dyDescent="0.15">
      <c r="A5070" s="23" t="str">
        <f>HYPERLINK("https://www.spark-marketing.ru/Card/Person/1004348", "МОУ ГИМНАЗИЯ № 15")</f>
        <v>МОУ ГИМНАЗИЯ № 15</v>
      </c>
      <c r="B5070" s="24" t="s">
        <v>7948</v>
      </c>
      <c r="C5070" s="25">
        <v>3991682.72</v>
      </c>
      <c r="D5070" s="22" t="s">
        <v>7947</v>
      </c>
      <c r="E5070" s="22" t="s">
        <v>48</v>
      </c>
      <c r="F5070" s="23" t="str">
        <f t="shared" si="94"/>
        <v>Оказание услуг по организации питания учащихся</v>
      </c>
      <c r="G5070" s="22" t="s">
        <v>49</v>
      </c>
      <c r="H5070" s="22" t="s">
        <v>1867</v>
      </c>
      <c r="I5070" s="26">
        <v>43706.367939814802</v>
      </c>
      <c r="J5070" s="28" t="s">
        <v>51</v>
      </c>
      <c r="K5070" s="28" t="s">
        <v>51</v>
      </c>
      <c r="L5070" s="28" t="s">
        <v>51</v>
      </c>
      <c r="M5070" s="28" t="s">
        <v>51</v>
      </c>
      <c r="N5070" s="28" t="s">
        <v>51</v>
      </c>
    </row>
    <row r="5071" spans="1:14" hidden="1" outlineLevel="1" x14ac:dyDescent="0.15">
      <c r="A5071" s="23" t="str">
        <f>HYPERLINK("https://www.spark-marketing.ru/Card/Person/1005803", "МОУ СОШ № 11")</f>
        <v>МОУ СОШ № 11</v>
      </c>
      <c r="B5071" s="24" t="s">
        <v>7949</v>
      </c>
      <c r="C5071" s="25">
        <v>2408561.52</v>
      </c>
      <c r="D5071" s="22" t="s">
        <v>7947</v>
      </c>
      <c r="E5071" s="22" t="s">
        <v>48</v>
      </c>
      <c r="F5071" s="23" t="str">
        <f t="shared" si="94"/>
        <v>Оказание услуг по организации питания учащихся</v>
      </c>
      <c r="G5071" s="22" t="s">
        <v>49</v>
      </c>
      <c r="H5071" s="22" t="s">
        <v>1867</v>
      </c>
      <c r="I5071" s="26">
        <v>43706.367939814802</v>
      </c>
      <c r="J5071" s="28" t="s">
        <v>51</v>
      </c>
      <c r="K5071" s="28" t="s">
        <v>51</v>
      </c>
      <c r="L5071" s="28" t="s">
        <v>51</v>
      </c>
      <c r="M5071" s="28" t="s">
        <v>51</v>
      </c>
      <c r="N5071" s="28" t="s">
        <v>51</v>
      </c>
    </row>
    <row r="5072" spans="1:14" hidden="1" outlineLevel="1" x14ac:dyDescent="0.15">
      <c r="A5072" s="23" t="str">
        <f>HYPERLINK("https://www.spark-marketing.ru/Card/Person/1028882", "МОУ СОШ № 18 С УИОП")</f>
        <v>МОУ СОШ № 18 С УИОП</v>
      </c>
      <c r="B5072" s="24" t="s">
        <v>7950</v>
      </c>
      <c r="C5072" s="25">
        <v>2100613.6</v>
      </c>
      <c r="D5072" s="22" t="s">
        <v>7947</v>
      </c>
      <c r="E5072" s="22" t="s">
        <v>48</v>
      </c>
      <c r="F5072" s="23" t="str">
        <f t="shared" si="94"/>
        <v>Оказание услуг по организации питания учащихся</v>
      </c>
      <c r="G5072" s="22" t="s">
        <v>49</v>
      </c>
      <c r="H5072" s="22" t="s">
        <v>1867</v>
      </c>
      <c r="I5072" s="26">
        <v>43706.367939814802</v>
      </c>
      <c r="J5072" s="28" t="s">
        <v>51</v>
      </c>
      <c r="K5072" s="28" t="s">
        <v>51</v>
      </c>
      <c r="L5072" s="28" t="s">
        <v>51</v>
      </c>
      <c r="M5072" s="28" t="s">
        <v>51</v>
      </c>
      <c r="N5072" s="28" t="s">
        <v>51</v>
      </c>
    </row>
    <row r="5073" spans="1:14" hidden="1" outlineLevel="1" x14ac:dyDescent="0.15">
      <c r="A5073" s="23" t="str">
        <f>HYPERLINK("https://www.spark-marketing.ru/Card/Person/1028902", "МОУ ""ВОЙНОВО-ГОРСКАЯ ООШ"" №23")</f>
        <v>МОУ "ВОЙНОВО-ГОРСКАЯ ООШ" №23</v>
      </c>
      <c r="B5073" s="24" t="s">
        <v>7951</v>
      </c>
      <c r="C5073" s="25">
        <v>283385.28000000003</v>
      </c>
      <c r="D5073" s="22" t="s">
        <v>7947</v>
      </c>
      <c r="E5073" s="22" t="s">
        <v>48</v>
      </c>
      <c r="F5073" s="23" t="str">
        <f t="shared" si="94"/>
        <v>Оказание услуг по организации питания учащихся</v>
      </c>
      <c r="G5073" s="22" t="s">
        <v>49</v>
      </c>
      <c r="H5073" s="22" t="s">
        <v>1867</v>
      </c>
      <c r="I5073" s="26">
        <v>43706.367939814802</v>
      </c>
      <c r="J5073" s="28" t="s">
        <v>51</v>
      </c>
      <c r="K5073" s="28" t="s">
        <v>51</v>
      </c>
      <c r="L5073" s="28" t="s">
        <v>51</v>
      </c>
      <c r="M5073" s="28" t="s">
        <v>51</v>
      </c>
      <c r="N5073" s="28" t="s">
        <v>51</v>
      </c>
    </row>
    <row r="5074" spans="1:14" hidden="1" outlineLevel="1" x14ac:dyDescent="0.15">
      <c r="A5074" s="23" t="str">
        <f>HYPERLINK("https://www.spark-marketing.ru/Card/Person/1045211", "МОУ НОВО-СНОПКОВСКАЯ ООШ № 21")</f>
        <v>МОУ НОВО-СНОПКОВСКАЯ ООШ № 21</v>
      </c>
      <c r="B5074" s="24" t="s">
        <v>7952</v>
      </c>
      <c r="C5074" s="25">
        <v>429941.84</v>
      </c>
      <c r="D5074" s="22" t="s">
        <v>7947</v>
      </c>
      <c r="E5074" s="22" t="s">
        <v>48</v>
      </c>
      <c r="F5074" s="23" t="str">
        <f t="shared" si="94"/>
        <v>Оказание услуг по организации питания учащихся</v>
      </c>
      <c r="G5074" s="22" t="s">
        <v>49</v>
      </c>
      <c r="H5074" s="22" t="s">
        <v>1867</v>
      </c>
      <c r="I5074" s="26">
        <v>43706.367939814802</v>
      </c>
      <c r="J5074" s="28" t="s">
        <v>51</v>
      </c>
      <c r="K5074" s="28" t="s">
        <v>51</v>
      </c>
      <c r="L5074" s="28" t="s">
        <v>51</v>
      </c>
      <c r="M5074" s="28" t="s">
        <v>51</v>
      </c>
      <c r="N5074" s="28" t="s">
        <v>51</v>
      </c>
    </row>
    <row r="5075" spans="1:14" hidden="1" outlineLevel="1" x14ac:dyDescent="0.2">
      <c r="A5075" s="28" t="s">
        <v>51</v>
      </c>
      <c r="B5075" s="28" t="s">
        <v>51</v>
      </c>
      <c r="C5075" s="28" t="s">
        <v>51</v>
      </c>
      <c r="D5075" s="22" t="s">
        <v>7947</v>
      </c>
      <c r="E5075" s="22" t="s">
        <v>48</v>
      </c>
      <c r="F5075" s="23" t="str">
        <f t="shared" si="94"/>
        <v>Оказание услуг по организации питания учащихся</v>
      </c>
      <c r="G5075" s="22" t="s">
        <v>51</v>
      </c>
      <c r="H5075" s="22" t="s">
        <v>51</v>
      </c>
      <c r="I5075" s="26">
        <v>43706.367939814802</v>
      </c>
      <c r="J5075" s="23" t="str">
        <f>HYPERLINK("https://www.spark-marketing.ru/Card/Person/6458516", "Хахалина Ирина Юрьевна")</f>
        <v>Хахалина Ирина Юрьевна</v>
      </c>
      <c r="K5075" s="24" t="s">
        <v>1701</v>
      </c>
      <c r="L5075" s="28" t="s">
        <v>51</v>
      </c>
      <c r="M5075" s="25">
        <v>9075972.1699999999</v>
      </c>
      <c r="N5075" s="27">
        <v>1.5000001693041769E-2</v>
      </c>
    </row>
    <row r="5076" spans="1:14" hidden="1" outlineLevel="1" x14ac:dyDescent="0.2">
      <c r="A5076" s="28" t="s">
        <v>51</v>
      </c>
      <c r="B5076" s="28" t="s">
        <v>51</v>
      </c>
      <c r="C5076" s="28" t="s">
        <v>51</v>
      </c>
      <c r="D5076" s="22" t="s">
        <v>7947</v>
      </c>
      <c r="E5076" s="22" t="s">
        <v>48</v>
      </c>
      <c r="F5076" s="23" t="str">
        <f t="shared" si="94"/>
        <v>Оказание услуг по организации питания учащихся</v>
      </c>
      <c r="G5076" s="22" t="s">
        <v>51</v>
      </c>
      <c r="H5076" s="22" t="s">
        <v>51</v>
      </c>
      <c r="I5076" s="26">
        <v>43706.367939814802</v>
      </c>
      <c r="J5076" s="23" t="str">
        <f>HYPERLINK("https://www.spark-marketing.ru/Card/Person/4351169", "Русаков Анатолий Сидорович")</f>
        <v>Русаков Анатолий Сидорович</v>
      </c>
      <c r="K5076" s="24" t="s">
        <v>1700</v>
      </c>
      <c r="L5076" s="22" t="s">
        <v>10</v>
      </c>
      <c r="M5076" s="25">
        <v>8753000</v>
      </c>
      <c r="N5076" s="27">
        <v>5.0051628223447338E-2</v>
      </c>
    </row>
    <row r="5077" spans="1:14" hidden="1" outlineLevel="1" x14ac:dyDescent="0.2">
      <c r="A5077" s="28" t="s">
        <v>51</v>
      </c>
      <c r="B5077" s="28" t="s">
        <v>51</v>
      </c>
      <c r="C5077" s="28" t="s">
        <v>51</v>
      </c>
      <c r="D5077" s="22" t="s">
        <v>7947</v>
      </c>
      <c r="E5077" s="22" t="s">
        <v>48</v>
      </c>
      <c r="F5077" s="23" t="str">
        <f t="shared" si="94"/>
        <v>Оказание услуг по организации питания учащихся</v>
      </c>
      <c r="G5077" s="22" t="s">
        <v>51</v>
      </c>
      <c r="H5077" s="22" t="s">
        <v>51</v>
      </c>
      <c r="I5077" s="26">
        <v>43706.367939814802</v>
      </c>
      <c r="J5077" s="23" t="str">
        <f>HYPERLINK("https://www.spark-marketing.ru/Card/Person/1335068", "Кулешова Светлана Владимировна")</f>
        <v>Кулешова Светлана Владимировна</v>
      </c>
      <c r="K5077" s="24" t="s">
        <v>1702</v>
      </c>
      <c r="L5077" s="28" t="s">
        <v>51</v>
      </c>
      <c r="M5077" s="25">
        <v>9029901.2400000002</v>
      </c>
      <c r="N5077" s="27">
        <v>2.0000002257389026E-2</v>
      </c>
    </row>
    <row r="5078" spans="1:14" x14ac:dyDescent="0.15">
      <c r="A5078" s="23" t="s">
        <v>114</v>
      </c>
      <c r="B5078" s="28" t="s">
        <v>51</v>
      </c>
      <c r="C5078" s="25">
        <v>8378460.7999999998</v>
      </c>
      <c r="D5078" s="22" t="s">
        <v>7953</v>
      </c>
      <c r="E5078" s="22" t="s">
        <v>48</v>
      </c>
      <c r="F5078" s="23" t="str">
        <f t="shared" ref="F5078:F5084" si="95">HYPERLINK("https://www.spark-marketing.ru/Card/Lot/73128564", "Оказание услуг по организации питания учащихся")</f>
        <v>Оказание услуг по организации питания учащихся</v>
      </c>
      <c r="G5078" s="22" t="s">
        <v>51</v>
      </c>
      <c r="H5078" s="22" t="s">
        <v>51</v>
      </c>
      <c r="I5078" s="26">
        <v>43706.374039351896</v>
      </c>
      <c r="J5078" s="28" t="s">
        <v>51</v>
      </c>
      <c r="K5078" s="28" t="s">
        <v>51</v>
      </c>
      <c r="L5078" s="28" t="s">
        <v>51</v>
      </c>
      <c r="M5078" s="28" t="s">
        <v>51</v>
      </c>
      <c r="N5078" s="28" t="s">
        <v>51</v>
      </c>
    </row>
    <row r="5079" spans="1:14" hidden="1" outlineLevel="1" x14ac:dyDescent="0.15">
      <c r="A5079" s="23" t="str">
        <f>HYPERLINK("https://www.spark-marketing.ru/Card/Person/1022122", "МОУ СОШ №22")</f>
        <v>МОУ СОШ №22</v>
      </c>
      <c r="B5079" s="24" t="s">
        <v>7954</v>
      </c>
      <c r="C5079" s="25">
        <v>5397777.5999999996</v>
      </c>
      <c r="D5079" s="22" t="s">
        <v>7953</v>
      </c>
      <c r="E5079" s="22" t="s">
        <v>48</v>
      </c>
      <c r="F5079" s="23" t="str">
        <f t="shared" si="95"/>
        <v>Оказание услуг по организации питания учащихся</v>
      </c>
      <c r="G5079" s="22" t="s">
        <v>49</v>
      </c>
      <c r="H5079" s="22" t="s">
        <v>1867</v>
      </c>
      <c r="I5079" s="26">
        <v>43706.374039351896</v>
      </c>
      <c r="J5079" s="28" t="s">
        <v>51</v>
      </c>
      <c r="K5079" s="28" t="s">
        <v>51</v>
      </c>
      <c r="L5079" s="28" t="s">
        <v>51</v>
      </c>
      <c r="M5079" s="28" t="s">
        <v>51</v>
      </c>
      <c r="N5079" s="28" t="s">
        <v>51</v>
      </c>
    </row>
    <row r="5080" spans="1:14" hidden="1" outlineLevel="1" x14ac:dyDescent="0.15">
      <c r="A5080" s="23" t="str">
        <f>HYPERLINK("https://www.spark-marketing.ru/Card/Person/1027481", "МОУ МАЛОДУБЕНСКАЯ СОШ № 7")</f>
        <v>МОУ МАЛОДУБЕНСКАЯ СОШ № 7</v>
      </c>
      <c r="B5080" s="24" t="s">
        <v>7955</v>
      </c>
      <c r="C5080" s="25">
        <v>1501751.6</v>
      </c>
      <c r="D5080" s="22" t="s">
        <v>7953</v>
      </c>
      <c r="E5080" s="22" t="s">
        <v>48</v>
      </c>
      <c r="F5080" s="23" t="str">
        <f t="shared" si="95"/>
        <v>Оказание услуг по организации питания учащихся</v>
      </c>
      <c r="G5080" s="22" t="s">
        <v>49</v>
      </c>
      <c r="H5080" s="22" t="s">
        <v>1867</v>
      </c>
      <c r="I5080" s="26">
        <v>43706.374039351896</v>
      </c>
      <c r="J5080" s="28" t="s">
        <v>51</v>
      </c>
      <c r="K5080" s="28" t="s">
        <v>51</v>
      </c>
      <c r="L5080" s="28" t="s">
        <v>51</v>
      </c>
      <c r="M5080" s="28" t="s">
        <v>51</v>
      </c>
      <c r="N5080" s="28" t="s">
        <v>51</v>
      </c>
    </row>
    <row r="5081" spans="1:14" hidden="1" outlineLevel="1" x14ac:dyDescent="0.15">
      <c r="A5081" s="23" t="str">
        <f>HYPERLINK("https://www.spark-marketing.ru/Card/Person/4355950", "МОУ ОЗЕРЕЦКАЯ СОШ № 8")</f>
        <v>МОУ ОЗЕРЕЦКАЯ СОШ № 8</v>
      </c>
      <c r="B5081" s="24" t="s">
        <v>7956</v>
      </c>
      <c r="C5081" s="25">
        <v>1478931.6</v>
      </c>
      <c r="D5081" s="22" t="s">
        <v>7953</v>
      </c>
      <c r="E5081" s="22" t="s">
        <v>48</v>
      </c>
      <c r="F5081" s="23" t="str">
        <f t="shared" si="95"/>
        <v>Оказание услуг по организации питания учащихся</v>
      </c>
      <c r="G5081" s="22" t="s">
        <v>49</v>
      </c>
      <c r="H5081" s="22" t="s">
        <v>1867</v>
      </c>
      <c r="I5081" s="26">
        <v>43706.374039351896</v>
      </c>
      <c r="J5081" s="28" t="s">
        <v>51</v>
      </c>
      <c r="K5081" s="28" t="s">
        <v>51</v>
      </c>
      <c r="L5081" s="28" t="s">
        <v>51</v>
      </c>
      <c r="M5081" s="28" t="s">
        <v>51</v>
      </c>
      <c r="N5081" s="28" t="s">
        <v>51</v>
      </c>
    </row>
    <row r="5082" spans="1:14" hidden="1" outlineLevel="1" x14ac:dyDescent="0.2">
      <c r="A5082" s="28" t="s">
        <v>51</v>
      </c>
      <c r="B5082" s="28" t="s">
        <v>51</v>
      </c>
      <c r="C5082" s="28" t="s">
        <v>51</v>
      </c>
      <c r="D5082" s="22" t="s">
        <v>7953</v>
      </c>
      <c r="E5082" s="22" t="s">
        <v>48</v>
      </c>
      <c r="F5082" s="23" t="str">
        <f t="shared" si="95"/>
        <v>Оказание услуг по организации питания учащихся</v>
      </c>
      <c r="G5082" s="22" t="s">
        <v>51</v>
      </c>
      <c r="H5082" s="22" t="s">
        <v>51</v>
      </c>
      <c r="I5082" s="26">
        <v>43706.374039351896</v>
      </c>
      <c r="J5082" s="23" t="str">
        <f>HYPERLINK("https://www.spark-marketing.ru/Card/Person/6458516", "Хахалина Ирина Юрьевна")</f>
        <v>Хахалина Ирина Юрьевна</v>
      </c>
      <c r="K5082" s="24" t="s">
        <v>1701</v>
      </c>
      <c r="L5082" s="28" t="s">
        <v>51</v>
      </c>
      <c r="M5082" s="25">
        <v>8085214.6299999999</v>
      </c>
      <c r="N5082" s="27">
        <v>3.5000005012853913E-2</v>
      </c>
    </row>
    <row r="5083" spans="1:14" hidden="1" outlineLevel="1" x14ac:dyDescent="0.2">
      <c r="A5083" s="28" t="s">
        <v>51</v>
      </c>
      <c r="B5083" s="28" t="s">
        <v>51</v>
      </c>
      <c r="C5083" s="28" t="s">
        <v>51</v>
      </c>
      <c r="D5083" s="22" t="s">
        <v>7953</v>
      </c>
      <c r="E5083" s="22" t="s">
        <v>48</v>
      </c>
      <c r="F5083" s="23" t="str">
        <f t="shared" si="95"/>
        <v>Оказание услуг по организации питания учащихся</v>
      </c>
      <c r="G5083" s="22" t="s">
        <v>51</v>
      </c>
      <c r="H5083" s="22" t="s">
        <v>51</v>
      </c>
      <c r="I5083" s="26">
        <v>43706.374039351896</v>
      </c>
      <c r="J5083" s="23" t="str">
        <f>HYPERLINK("https://www.spark-marketing.ru/Card/Person/4351169", "Русаков Анатолий Сидорович")</f>
        <v>Русаков Анатолий Сидорович</v>
      </c>
      <c r="K5083" s="24" t="s">
        <v>1700</v>
      </c>
      <c r="L5083" s="22" t="s">
        <v>10</v>
      </c>
      <c r="M5083" s="25">
        <v>7959537.7000000002</v>
      </c>
      <c r="N5083" s="27">
        <v>5.0000007161219877E-2</v>
      </c>
    </row>
    <row r="5084" spans="1:14" hidden="1" outlineLevel="1" x14ac:dyDescent="0.2">
      <c r="A5084" s="28" t="s">
        <v>51</v>
      </c>
      <c r="B5084" s="28" t="s">
        <v>51</v>
      </c>
      <c r="C5084" s="28" t="s">
        <v>51</v>
      </c>
      <c r="D5084" s="22" t="s">
        <v>7953</v>
      </c>
      <c r="E5084" s="22" t="s">
        <v>48</v>
      </c>
      <c r="F5084" s="23" t="str">
        <f t="shared" si="95"/>
        <v>Оказание услуг по организации питания учащихся</v>
      </c>
      <c r="G5084" s="22" t="s">
        <v>51</v>
      </c>
      <c r="H5084" s="22" t="s">
        <v>51</v>
      </c>
      <c r="I5084" s="26">
        <v>43706.374039351896</v>
      </c>
      <c r="J5084" s="23" t="str">
        <f>HYPERLINK("https://www.spark-marketing.ru/Card/Person/1335068", "Кулешова Светлана Владимировна")</f>
        <v>Кулешова Светлана Владимировна</v>
      </c>
      <c r="K5084" s="24" t="s">
        <v>1702</v>
      </c>
      <c r="L5084" s="28" t="s">
        <v>51</v>
      </c>
      <c r="M5084" s="25">
        <v>8168999.25</v>
      </c>
      <c r="N5084" s="27">
        <v>2.5000003580609938E-2</v>
      </c>
    </row>
    <row r="5085" spans="1:14" ht="12.75" x14ac:dyDescent="0.2">
      <c r="A5085" s="23" t="str">
        <f>HYPERLINK("https://www.spark-marketing.ru/Card/Person/1037238", "МБУ ""ОДМ""")</f>
        <v>МБУ "ОДМ"</v>
      </c>
      <c r="B5085" s="24" t="s">
        <v>7957</v>
      </c>
      <c r="C5085" s="25">
        <v>71920</v>
      </c>
      <c r="D5085" s="22" t="s">
        <v>7958</v>
      </c>
      <c r="E5085" s="22" t="s">
        <v>1492</v>
      </c>
      <c r="F5085" s="23" t="str">
        <f>HYPERLINK("https://www.spark-marketing.ru/Card/Lot/73113308", "Оказание услуг по организации проживания, питания участников выездного Слета лидеров школьного и студенческого самоуправления «СТАРТап»")</f>
        <v>Оказание услуг по организации проживания, питания участников выездного Слета лидеров школьного и студенческого самоуправления «СТАРТап»</v>
      </c>
      <c r="G5085" s="22" t="s">
        <v>195</v>
      </c>
      <c r="H5085" s="22" t="s">
        <v>6179</v>
      </c>
      <c r="I5085" s="26">
        <v>43706.647777777798</v>
      </c>
      <c r="J5085" s="23" t="str">
        <f>HYPERLINK("https://www.spark-marketing.ru/Card/Person/6236197", "ООО ""СПАРТАНЕЦ""")</f>
        <v>ООО "СПАРТАНЕЦ"</v>
      </c>
      <c r="K5085" s="24" t="s">
        <v>7959</v>
      </c>
      <c r="L5085" s="22" t="s">
        <v>10</v>
      </c>
      <c r="M5085" s="25">
        <v>71920</v>
      </c>
      <c r="N5085" s="27">
        <v>0</v>
      </c>
    </row>
    <row r="5086" spans="1:14" x14ac:dyDescent="0.15">
      <c r="A5086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5086" s="24" t="s">
        <v>309</v>
      </c>
      <c r="C5086" s="25">
        <v>734440</v>
      </c>
      <c r="D5086" s="22" t="s">
        <v>7960</v>
      </c>
      <c r="E5086" s="22" t="s">
        <v>48</v>
      </c>
      <c r="F5086" s="23" t="str">
        <f>HYPERLINK("https://www.spark-marketing.ru/Card/Lot/73119755", "Оказание услуг по питанию граждан находящихся в ИВС")</f>
        <v>Оказание услуг по питанию граждан находящихся в ИВС</v>
      </c>
      <c r="G5086" s="22" t="s">
        <v>49</v>
      </c>
      <c r="H5086" s="22" t="s">
        <v>5949</v>
      </c>
      <c r="I5086" s="26">
        <v>43706.522106481498</v>
      </c>
      <c r="J5086" s="28" t="s">
        <v>51</v>
      </c>
      <c r="K5086" s="28" t="s">
        <v>51</v>
      </c>
      <c r="L5086" s="28" t="s">
        <v>51</v>
      </c>
      <c r="M5086" s="28" t="s">
        <v>51</v>
      </c>
      <c r="N5086" s="28" t="s">
        <v>51</v>
      </c>
    </row>
    <row r="5087" spans="1:14" x14ac:dyDescent="0.15">
      <c r="A5087" s="23" t="s">
        <v>114</v>
      </c>
      <c r="B5087" s="28" t="s">
        <v>51</v>
      </c>
      <c r="C5087" s="25">
        <v>8176080</v>
      </c>
      <c r="D5087" s="22" t="s">
        <v>7961</v>
      </c>
      <c r="E5087" s="22" t="s">
        <v>48</v>
      </c>
      <c r="F5087" s="23" t="str">
        <f t="shared" ref="F5087:F5093" si="96">HYPERLINK("https://www.spark-marketing.ru/Card/Lot/73128565", "Оказание услуг по организации питания учащихся")</f>
        <v>Оказание услуг по организации питания учащихся</v>
      </c>
      <c r="G5087" s="22" t="s">
        <v>51</v>
      </c>
      <c r="H5087" s="22" t="s">
        <v>51</v>
      </c>
      <c r="I5087" s="26">
        <v>43706.376504629603</v>
      </c>
      <c r="J5087" s="28" t="s">
        <v>51</v>
      </c>
      <c r="K5087" s="28" t="s">
        <v>51</v>
      </c>
      <c r="L5087" s="28" t="s">
        <v>51</v>
      </c>
      <c r="M5087" s="28" t="s">
        <v>51</v>
      </c>
      <c r="N5087" s="28" t="s">
        <v>51</v>
      </c>
    </row>
    <row r="5088" spans="1:14" hidden="1" outlineLevel="1" x14ac:dyDescent="0.15">
      <c r="A5088" s="23" t="str">
        <f>HYPERLINK("https://www.spark-marketing.ru/Card/Person/126671", "МОУ СОШ № 1")</f>
        <v>МОУ СОШ № 1</v>
      </c>
      <c r="B5088" s="24" t="s">
        <v>7962</v>
      </c>
      <c r="C5088" s="25">
        <v>1816093.84</v>
      </c>
      <c r="D5088" s="22" t="s">
        <v>7961</v>
      </c>
      <c r="E5088" s="22" t="s">
        <v>48</v>
      </c>
      <c r="F5088" s="23" t="str">
        <f t="shared" si="96"/>
        <v>Оказание услуг по организации питания учащихся</v>
      </c>
      <c r="G5088" s="22" t="s">
        <v>49</v>
      </c>
      <c r="H5088" s="22" t="s">
        <v>1867</v>
      </c>
      <c r="I5088" s="26">
        <v>43706.376504629603</v>
      </c>
      <c r="J5088" s="28" t="s">
        <v>51</v>
      </c>
      <c r="K5088" s="28" t="s">
        <v>51</v>
      </c>
      <c r="L5088" s="28" t="s">
        <v>51</v>
      </c>
      <c r="M5088" s="28" t="s">
        <v>51</v>
      </c>
      <c r="N5088" s="28" t="s">
        <v>51</v>
      </c>
    </row>
    <row r="5089" spans="1:14" hidden="1" outlineLevel="1" x14ac:dyDescent="0.15">
      <c r="A5089" s="23" t="str">
        <f>HYPERLINK("https://www.spark-marketing.ru/Card/Person/996181", "МОУ ОШ № 5 ДЛЯ ОБУЧАЮЩИХСЯ С ОВЗ")</f>
        <v>МОУ ОШ № 5 ДЛЯ ОБУЧАЮЩИХСЯ С ОВЗ</v>
      </c>
      <c r="B5089" s="24" t="s">
        <v>7963</v>
      </c>
      <c r="C5089" s="25">
        <v>3518452.8</v>
      </c>
      <c r="D5089" s="22" t="s">
        <v>7961</v>
      </c>
      <c r="E5089" s="22" t="s">
        <v>48</v>
      </c>
      <c r="F5089" s="23" t="str">
        <f t="shared" si="96"/>
        <v>Оказание услуг по организации питания учащихся</v>
      </c>
      <c r="G5089" s="22" t="s">
        <v>49</v>
      </c>
      <c r="H5089" s="22" t="s">
        <v>1867</v>
      </c>
      <c r="I5089" s="26">
        <v>43706.376504629603</v>
      </c>
      <c r="J5089" s="28" t="s">
        <v>51</v>
      </c>
      <c r="K5089" s="28" t="s">
        <v>51</v>
      </c>
      <c r="L5089" s="28" t="s">
        <v>51</v>
      </c>
      <c r="M5089" s="28" t="s">
        <v>51</v>
      </c>
      <c r="N5089" s="28" t="s">
        <v>51</v>
      </c>
    </row>
    <row r="5090" spans="1:14" hidden="1" outlineLevel="1" x14ac:dyDescent="0.15">
      <c r="A5090" s="23" t="str">
        <f>HYPERLINK("https://www.spark-marketing.ru/Card/Person/1027687", "МОУ СОШ № 12 С УИОП")</f>
        <v>МОУ СОШ № 12 С УИОП</v>
      </c>
      <c r="B5090" s="24" t="s">
        <v>7964</v>
      </c>
      <c r="C5090" s="25">
        <v>2841533.36</v>
      </c>
      <c r="D5090" s="22" t="s">
        <v>7961</v>
      </c>
      <c r="E5090" s="22" t="s">
        <v>48</v>
      </c>
      <c r="F5090" s="23" t="str">
        <f t="shared" si="96"/>
        <v>Оказание услуг по организации питания учащихся</v>
      </c>
      <c r="G5090" s="22" t="s">
        <v>49</v>
      </c>
      <c r="H5090" s="22" t="s">
        <v>1867</v>
      </c>
      <c r="I5090" s="26">
        <v>43706.376504629603</v>
      </c>
      <c r="J5090" s="28" t="s">
        <v>51</v>
      </c>
      <c r="K5090" s="28" t="s">
        <v>51</v>
      </c>
      <c r="L5090" s="28" t="s">
        <v>51</v>
      </c>
      <c r="M5090" s="28" t="s">
        <v>51</v>
      </c>
      <c r="N5090" s="28" t="s">
        <v>51</v>
      </c>
    </row>
    <row r="5091" spans="1:14" hidden="1" outlineLevel="1" x14ac:dyDescent="0.2">
      <c r="A5091" s="28" t="s">
        <v>51</v>
      </c>
      <c r="B5091" s="28" t="s">
        <v>51</v>
      </c>
      <c r="C5091" s="28" t="s">
        <v>51</v>
      </c>
      <c r="D5091" s="22" t="s">
        <v>7961</v>
      </c>
      <c r="E5091" s="22" t="s">
        <v>48</v>
      </c>
      <c r="F5091" s="23" t="str">
        <f t="shared" si="96"/>
        <v>Оказание услуг по организации питания учащихся</v>
      </c>
      <c r="G5091" s="22" t="s">
        <v>51</v>
      </c>
      <c r="H5091" s="22" t="s">
        <v>51</v>
      </c>
      <c r="I5091" s="26">
        <v>43706.376504629603</v>
      </c>
      <c r="J5091" s="23" t="str">
        <f>HYPERLINK("https://www.spark-marketing.ru/Card/Person/6458516", "Хахалина Ирина Юрьевна")</f>
        <v>Хахалина Ирина Юрьевна</v>
      </c>
      <c r="K5091" s="24" t="s">
        <v>1701</v>
      </c>
      <c r="L5091" s="28" t="s">
        <v>51</v>
      </c>
      <c r="M5091" s="25">
        <v>8032997.5999999996</v>
      </c>
      <c r="N5091" s="27">
        <v>1.7500122308000899E-2</v>
      </c>
    </row>
    <row r="5092" spans="1:14" hidden="1" outlineLevel="1" x14ac:dyDescent="0.2">
      <c r="A5092" s="28" t="s">
        <v>51</v>
      </c>
      <c r="B5092" s="28" t="s">
        <v>51</v>
      </c>
      <c r="C5092" s="28" t="s">
        <v>51</v>
      </c>
      <c r="D5092" s="22" t="s">
        <v>7961</v>
      </c>
      <c r="E5092" s="22" t="s">
        <v>48</v>
      </c>
      <c r="F5092" s="23" t="str">
        <f t="shared" si="96"/>
        <v>Оказание услуг по организации питания учащихся</v>
      </c>
      <c r="G5092" s="22" t="s">
        <v>51</v>
      </c>
      <c r="H5092" s="22" t="s">
        <v>51</v>
      </c>
      <c r="I5092" s="26">
        <v>43706.376504629603</v>
      </c>
      <c r="J5092" s="23" t="str">
        <f>HYPERLINK("https://www.spark-marketing.ru/Card/Person/4351169", "Русаков Анатолий Сидорович")</f>
        <v>Русаков Анатолий Сидорович</v>
      </c>
      <c r="K5092" s="24" t="s">
        <v>1700</v>
      </c>
      <c r="L5092" s="22" t="s">
        <v>10</v>
      </c>
      <c r="M5092" s="25">
        <v>7766276</v>
      </c>
      <c r="N5092" s="27">
        <v>5.0122308000900187E-2</v>
      </c>
    </row>
    <row r="5093" spans="1:14" hidden="1" outlineLevel="1" x14ac:dyDescent="0.2">
      <c r="A5093" s="28" t="s">
        <v>51</v>
      </c>
      <c r="B5093" s="28" t="s">
        <v>51</v>
      </c>
      <c r="C5093" s="28" t="s">
        <v>51</v>
      </c>
      <c r="D5093" s="22" t="s">
        <v>7961</v>
      </c>
      <c r="E5093" s="22" t="s">
        <v>48</v>
      </c>
      <c r="F5093" s="23" t="str">
        <f t="shared" si="96"/>
        <v>Оказание услуг по организации питания учащихся</v>
      </c>
      <c r="G5093" s="22" t="s">
        <v>51</v>
      </c>
      <c r="H5093" s="22" t="s">
        <v>51</v>
      </c>
      <c r="I5093" s="26">
        <v>43706.376504629603</v>
      </c>
      <c r="J5093" s="23" t="str">
        <f>HYPERLINK("https://www.spark-marketing.ru/Card/Person/1335068", "Кулешова Светлана Владимировна")</f>
        <v>Кулешова Светлана Владимировна</v>
      </c>
      <c r="K5093" s="24" t="s">
        <v>1702</v>
      </c>
      <c r="L5093" s="28" t="s">
        <v>51</v>
      </c>
      <c r="M5093" s="25">
        <v>7992117.2000000002</v>
      </c>
      <c r="N5093" s="27">
        <v>2.25001223080009E-2</v>
      </c>
    </row>
    <row r="5094" spans="1:14" x14ac:dyDescent="0.15">
      <c r="A5094" s="23" t="s">
        <v>114</v>
      </c>
      <c r="B5094" s="28" t="s">
        <v>51</v>
      </c>
      <c r="C5094" s="25">
        <v>4916471.2</v>
      </c>
      <c r="D5094" s="22" t="s">
        <v>7965</v>
      </c>
      <c r="E5094" s="22" t="s">
        <v>48</v>
      </c>
      <c r="F5094" s="23" t="str">
        <f t="shared" ref="F5094:F5099" si="97">HYPERLINK("https://www.spark-marketing.ru/Card/Lot/73128311", "Оказание услуг по организации питания учащихся")</f>
        <v>Оказание услуг по организации питания учащихся</v>
      </c>
      <c r="G5094" s="22" t="s">
        <v>51</v>
      </c>
      <c r="H5094" s="22" t="s">
        <v>51</v>
      </c>
      <c r="I5094" s="26">
        <v>43706.384409722203</v>
      </c>
      <c r="J5094" s="28" t="s">
        <v>51</v>
      </c>
      <c r="K5094" s="28" t="s">
        <v>51</v>
      </c>
      <c r="L5094" s="28" t="s">
        <v>51</v>
      </c>
      <c r="M5094" s="28" t="s">
        <v>51</v>
      </c>
      <c r="N5094" s="28" t="s">
        <v>51</v>
      </c>
    </row>
    <row r="5095" spans="1:14" hidden="1" outlineLevel="1" x14ac:dyDescent="0.15">
      <c r="A5095" s="23" t="str">
        <f>HYPERLINK("https://www.spark-marketing.ru/Card/Person/997396", "МОУ СОШ №10")</f>
        <v>МОУ СОШ №10</v>
      </c>
      <c r="B5095" s="24" t="s">
        <v>7966</v>
      </c>
      <c r="C5095" s="25">
        <v>1454794.56</v>
      </c>
      <c r="D5095" s="22" t="s">
        <v>7965</v>
      </c>
      <c r="E5095" s="22" t="s">
        <v>48</v>
      </c>
      <c r="F5095" s="23" t="str">
        <f t="shared" si="97"/>
        <v>Оказание услуг по организации питания учащихся</v>
      </c>
      <c r="G5095" s="22" t="s">
        <v>49</v>
      </c>
      <c r="H5095" s="22" t="s">
        <v>1867</v>
      </c>
      <c r="I5095" s="26">
        <v>43706.384409722203</v>
      </c>
      <c r="J5095" s="28" t="s">
        <v>51</v>
      </c>
      <c r="K5095" s="28" t="s">
        <v>51</v>
      </c>
      <c r="L5095" s="28" t="s">
        <v>51</v>
      </c>
      <c r="M5095" s="28" t="s">
        <v>51</v>
      </c>
      <c r="N5095" s="28" t="s">
        <v>51</v>
      </c>
    </row>
    <row r="5096" spans="1:14" hidden="1" outlineLevel="1" x14ac:dyDescent="0.15">
      <c r="A5096" s="23" t="str">
        <f>HYPERLINK("https://www.spark-marketing.ru/Card/Person/1000030", "МОУ СОШ №17")</f>
        <v>МОУ СОШ №17</v>
      </c>
      <c r="B5096" s="24" t="s">
        <v>7967</v>
      </c>
      <c r="C5096" s="25">
        <v>3461676.64</v>
      </c>
      <c r="D5096" s="22" t="s">
        <v>7965</v>
      </c>
      <c r="E5096" s="22" t="s">
        <v>48</v>
      </c>
      <c r="F5096" s="23" t="str">
        <f t="shared" si="97"/>
        <v>Оказание услуг по организации питания учащихся</v>
      </c>
      <c r="G5096" s="22" t="s">
        <v>49</v>
      </c>
      <c r="H5096" s="22" t="s">
        <v>1867</v>
      </c>
      <c r="I5096" s="26">
        <v>43706.384409722203</v>
      </c>
      <c r="J5096" s="28" t="s">
        <v>51</v>
      </c>
      <c r="K5096" s="28" t="s">
        <v>51</v>
      </c>
      <c r="L5096" s="28" t="s">
        <v>51</v>
      </c>
      <c r="M5096" s="28" t="s">
        <v>51</v>
      </c>
      <c r="N5096" s="28" t="s">
        <v>51</v>
      </c>
    </row>
    <row r="5097" spans="1:14" hidden="1" outlineLevel="1" x14ac:dyDescent="0.2">
      <c r="A5097" s="28" t="s">
        <v>51</v>
      </c>
      <c r="B5097" s="28" t="s">
        <v>51</v>
      </c>
      <c r="C5097" s="28" t="s">
        <v>51</v>
      </c>
      <c r="D5097" s="22" t="s">
        <v>7965</v>
      </c>
      <c r="E5097" s="22" t="s">
        <v>48</v>
      </c>
      <c r="F5097" s="23" t="str">
        <f t="shared" si="97"/>
        <v>Оказание услуг по организации питания учащихся</v>
      </c>
      <c r="G5097" s="22" t="s">
        <v>51</v>
      </c>
      <c r="H5097" s="22" t="s">
        <v>51</v>
      </c>
      <c r="I5097" s="26">
        <v>43706.384409722203</v>
      </c>
      <c r="J5097" s="23" t="str">
        <f>HYPERLINK("https://www.spark-marketing.ru/Card/Person/6458516", "Хахалина Ирина Юрьевна")</f>
        <v>Хахалина Ирина Юрьевна</v>
      </c>
      <c r="K5097" s="24" t="s">
        <v>1701</v>
      </c>
      <c r="L5097" s="28" t="s">
        <v>51</v>
      </c>
      <c r="M5097" s="25">
        <v>4867306.4800000004</v>
      </c>
      <c r="N5097" s="27">
        <v>1.0000001627183334E-2</v>
      </c>
    </row>
    <row r="5098" spans="1:14" hidden="1" outlineLevel="1" x14ac:dyDescent="0.2">
      <c r="A5098" s="28" t="s">
        <v>51</v>
      </c>
      <c r="B5098" s="28" t="s">
        <v>51</v>
      </c>
      <c r="C5098" s="28" t="s">
        <v>51</v>
      </c>
      <c r="D5098" s="22" t="s">
        <v>7965</v>
      </c>
      <c r="E5098" s="22" t="s">
        <v>48</v>
      </c>
      <c r="F5098" s="23" t="str">
        <f t="shared" si="97"/>
        <v>Оказание услуг по организации питания учащихся</v>
      </c>
      <c r="G5098" s="22" t="s">
        <v>51</v>
      </c>
      <c r="H5098" s="22" t="s">
        <v>51</v>
      </c>
      <c r="I5098" s="26">
        <v>43706.384409722203</v>
      </c>
      <c r="J5098" s="23" t="str">
        <f>HYPERLINK("https://www.spark-marketing.ru/Card/Person/4351169", "Русаков Анатолий Сидорович")</f>
        <v>Русаков Анатолий Сидорович</v>
      </c>
      <c r="K5098" s="24" t="s">
        <v>1700</v>
      </c>
      <c r="L5098" s="22" t="s">
        <v>10</v>
      </c>
      <c r="M5098" s="25">
        <v>4667206.1100000003</v>
      </c>
      <c r="N5098" s="27">
        <v>5.0700000032543664E-2</v>
      </c>
    </row>
    <row r="5099" spans="1:14" hidden="1" outlineLevel="1" x14ac:dyDescent="0.2">
      <c r="A5099" s="28" t="s">
        <v>51</v>
      </c>
      <c r="B5099" s="28" t="s">
        <v>51</v>
      </c>
      <c r="C5099" s="28" t="s">
        <v>51</v>
      </c>
      <c r="D5099" s="22" t="s">
        <v>7965</v>
      </c>
      <c r="E5099" s="22" t="s">
        <v>48</v>
      </c>
      <c r="F5099" s="23" t="str">
        <f t="shared" si="97"/>
        <v>Оказание услуг по организации питания учащихся</v>
      </c>
      <c r="G5099" s="22" t="s">
        <v>51</v>
      </c>
      <c r="H5099" s="22" t="s">
        <v>51</v>
      </c>
      <c r="I5099" s="26">
        <v>43706.384409722203</v>
      </c>
      <c r="J5099" s="23" t="str">
        <f>HYPERLINK("https://www.spark-marketing.ru/Card/Person/1335068", "Кулешова Светлана Владимировна")</f>
        <v>Кулешова Светлана Владимировна</v>
      </c>
      <c r="K5099" s="24" t="s">
        <v>1702</v>
      </c>
      <c r="L5099" s="28" t="s">
        <v>51</v>
      </c>
      <c r="M5099" s="25">
        <v>4793559.4000000004</v>
      </c>
      <c r="N5099" s="27">
        <v>2.5000004067958336E-2</v>
      </c>
    </row>
    <row r="5100" spans="1:14" x14ac:dyDescent="0.15">
      <c r="A5100" s="23" t="str">
        <f>HYPERLINK("https://www.spark-marketing.ru/Card/Person/19600", "ФКУ ""ЦХИСО МВД ПО РЕСПУБЛИКЕ САХА (ЯКУТИЯ)""")</f>
        <v>ФКУ "ЦХИСО МВД ПО РЕСПУБЛИКЕ САХА (ЯКУТИЯ)"</v>
      </c>
      <c r="B5100" s="24" t="s">
        <v>7900</v>
      </c>
      <c r="C5100" s="25">
        <v>2150000</v>
      </c>
      <c r="D5100" s="22" t="s">
        <v>7968</v>
      </c>
      <c r="E5100" s="22" t="s">
        <v>48</v>
      </c>
      <c r="F5100" s="23" t="str">
        <f>HYPERLINK("https://www.spark-marketing.ru/Card/Lot/73099465", "Оказание услуг по обеспечению ежедневным трёхразовым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 за пределы Российской Федераци...")</f>
        <v>Оказание услуг по обеспечению ежедневным трёхразовым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 за пределы Российской Федераци...</v>
      </c>
      <c r="G5100" s="22" t="s">
        <v>241</v>
      </c>
      <c r="H5100" s="22" t="s">
        <v>242</v>
      </c>
      <c r="I5100" s="26">
        <v>43706.479606481502</v>
      </c>
      <c r="J5100" s="23" t="str">
        <f>HYPERLINK("https://www.spark-marketing.ru/Card/Person/63464", "Цхай Надежда Моисеевна")</f>
        <v>Цхай Надежда Моисеевна</v>
      </c>
      <c r="K5100" s="24" t="s">
        <v>7903</v>
      </c>
      <c r="L5100" s="22" t="s">
        <v>10</v>
      </c>
      <c r="M5100" s="28" t="s">
        <v>51</v>
      </c>
      <c r="N5100" s="28" t="s">
        <v>51</v>
      </c>
    </row>
    <row r="5101" spans="1:14" x14ac:dyDescent="0.15">
      <c r="A5101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5101" s="24" t="s">
        <v>309</v>
      </c>
      <c r="C5101" s="25">
        <v>498960</v>
      </c>
      <c r="D5101" s="22" t="s">
        <v>7969</v>
      </c>
      <c r="E5101" s="22" t="s">
        <v>48</v>
      </c>
      <c r="F5101" s="23" t="str">
        <f>HYPERLINK("https://www.spark-marketing.ru/Card/Lot/73114339", "Оказание услуг по питанию граждан, находящихся в спец. приемнике для содержания лиц, подвергнутых административному аресту")</f>
        <v>Оказание услуг по питанию граждан, находящихся в спец. приемнике для содержания лиц, подвергнутых административному аресту</v>
      </c>
      <c r="G5101" s="22" t="s">
        <v>49</v>
      </c>
      <c r="H5101" s="22" t="s">
        <v>5949</v>
      </c>
      <c r="I5101" s="26">
        <v>43706.532800925903</v>
      </c>
      <c r="J5101" s="28" t="s">
        <v>51</v>
      </c>
      <c r="K5101" s="28" t="s">
        <v>51</v>
      </c>
      <c r="L5101" s="28" t="s">
        <v>51</v>
      </c>
      <c r="M5101" s="28" t="s">
        <v>51</v>
      </c>
      <c r="N5101" s="28" t="s">
        <v>51</v>
      </c>
    </row>
    <row r="5102" spans="1:14" x14ac:dyDescent="0.15">
      <c r="A5102" s="23" t="str">
        <f>HYPERLINK("https://www.spark-marketing.ru/Card/Person/398059", "ОМВД РОССИИ ПО ОКТЯБРЬСКОМУ РАЙОНУ")</f>
        <v>ОМВД РОССИИ ПО ОКТЯБРЬСКОМУ РАЙОНУ</v>
      </c>
      <c r="B5102" s="24" t="s">
        <v>7522</v>
      </c>
      <c r="C5102" s="25">
        <v>3835000</v>
      </c>
      <c r="D5102" s="22" t="s">
        <v>7970</v>
      </c>
      <c r="E5102" s="22" t="s">
        <v>48</v>
      </c>
      <c r="F5102" s="23" t="str">
        <f>HYPERLINK("https://www.spark-marketing.ru/Card/Lot/73128316", "Оказание услуг по организации ежедневного трехразового горячего питания")</f>
        <v>Оказание услуг по организации ежедневного трехразового горячего питания</v>
      </c>
      <c r="G5102" s="22" t="s">
        <v>1111</v>
      </c>
      <c r="H5102" s="22" t="s">
        <v>465</v>
      </c>
      <c r="I5102" s="26">
        <v>43706.421689814801</v>
      </c>
      <c r="J5102" s="23" t="str">
        <f>HYPERLINK("https://www.spark-marketing.ru/Card/Person/148940", "Давыдова Ирина Львовна")</f>
        <v>Давыдова Ирина Львовна</v>
      </c>
      <c r="K5102" s="24" t="s">
        <v>7524</v>
      </c>
      <c r="L5102" s="22" t="s">
        <v>10</v>
      </c>
      <c r="M5102" s="28" t="s">
        <v>51</v>
      </c>
      <c r="N5102" s="28" t="s">
        <v>51</v>
      </c>
    </row>
    <row r="5103" spans="1:14" x14ac:dyDescent="0.15">
      <c r="A5103" s="23" t="s">
        <v>114</v>
      </c>
      <c r="B5103" s="28" t="s">
        <v>51</v>
      </c>
      <c r="C5103" s="25">
        <v>9975391.3599999994</v>
      </c>
      <c r="D5103" s="22" t="s">
        <v>7971</v>
      </c>
      <c r="E5103" s="22" t="s">
        <v>48</v>
      </c>
      <c r="F5103" s="23" t="str">
        <f t="shared" ref="F5103:F5108" si="98">HYPERLINK("https://www.spark-marketing.ru/Card/Lot/73128566", "Оказание услуг по организации питания учащихся")</f>
        <v>Оказание услуг по организации питания учащихся</v>
      </c>
      <c r="G5103" s="22" t="s">
        <v>51</v>
      </c>
      <c r="H5103" s="22" t="s">
        <v>51</v>
      </c>
      <c r="I5103" s="26">
        <v>43706.379687499997</v>
      </c>
      <c r="J5103" s="28" t="s">
        <v>51</v>
      </c>
      <c r="K5103" s="28" t="s">
        <v>51</v>
      </c>
      <c r="L5103" s="28" t="s">
        <v>51</v>
      </c>
      <c r="M5103" s="28" t="s">
        <v>51</v>
      </c>
      <c r="N5103" s="28" t="s">
        <v>51</v>
      </c>
    </row>
    <row r="5104" spans="1:14" hidden="1" outlineLevel="1" x14ac:dyDescent="0.15">
      <c r="A5104" s="23" t="str">
        <f>HYPERLINK("https://www.spark-marketing.ru/Card/Person/139549", "МОУ ЛИЦЕЙ")</f>
        <v>МОУ ЛИЦЕЙ</v>
      </c>
      <c r="B5104" s="24" t="s">
        <v>7972</v>
      </c>
      <c r="C5104" s="25">
        <v>5072429.5999999996</v>
      </c>
      <c r="D5104" s="22" t="s">
        <v>7971</v>
      </c>
      <c r="E5104" s="22" t="s">
        <v>48</v>
      </c>
      <c r="F5104" s="23" t="str">
        <f t="shared" si="98"/>
        <v>Оказание услуг по организации питания учащихся</v>
      </c>
      <c r="G5104" s="22" t="s">
        <v>49</v>
      </c>
      <c r="H5104" s="22" t="s">
        <v>1867</v>
      </c>
      <c r="I5104" s="26">
        <v>43706.379687499997</v>
      </c>
      <c r="J5104" s="28" t="s">
        <v>51</v>
      </c>
      <c r="K5104" s="28" t="s">
        <v>51</v>
      </c>
      <c r="L5104" s="28" t="s">
        <v>51</v>
      </c>
      <c r="M5104" s="28" t="s">
        <v>51</v>
      </c>
      <c r="N5104" s="28" t="s">
        <v>51</v>
      </c>
    </row>
    <row r="5105" spans="1:14" hidden="1" outlineLevel="1" x14ac:dyDescent="0.15">
      <c r="A5105" s="23" t="str">
        <f>HYPERLINK("https://www.spark-marketing.ru/Card/Person/1028295", "МОУ СОШ №16")</f>
        <v>МОУ СОШ №16</v>
      </c>
      <c r="B5105" s="24" t="s">
        <v>7973</v>
      </c>
      <c r="C5105" s="25">
        <v>4902961.76</v>
      </c>
      <c r="D5105" s="22" t="s">
        <v>7971</v>
      </c>
      <c r="E5105" s="22" t="s">
        <v>48</v>
      </c>
      <c r="F5105" s="23" t="str">
        <f t="shared" si="98"/>
        <v>Оказание услуг по организации питания учащихся</v>
      </c>
      <c r="G5105" s="22" t="s">
        <v>49</v>
      </c>
      <c r="H5105" s="22" t="s">
        <v>1867</v>
      </c>
      <c r="I5105" s="26">
        <v>43706.379687499997</v>
      </c>
      <c r="J5105" s="28" t="s">
        <v>51</v>
      </c>
      <c r="K5105" s="28" t="s">
        <v>51</v>
      </c>
      <c r="L5105" s="28" t="s">
        <v>51</v>
      </c>
      <c r="M5105" s="28" t="s">
        <v>51</v>
      </c>
      <c r="N5105" s="28" t="s">
        <v>51</v>
      </c>
    </row>
    <row r="5106" spans="1:14" hidden="1" outlineLevel="1" x14ac:dyDescent="0.2">
      <c r="A5106" s="28" t="s">
        <v>51</v>
      </c>
      <c r="B5106" s="28" t="s">
        <v>51</v>
      </c>
      <c r="C5106" s="28" t="s">
        <v>51</v>
      </c>
      <c r="D5106" s="22" t="s">
        <v>7971</v>
      </c>
      <c r="E5106" s="22" t="s">
        <v>48</v>
      </c>
      <c r="F5106" s="23" t="str">
        <f t="shared" si="98"/>
        <v>Оказание услуг по организации питания учащихся</v>
      </c>
      <c r="G5106" s="22" t="s">
        <v>51</v>
      </c>
      <c r="H5106" s="22" t="s">
        <v>51</v>
      </c>
      <c r="I5106" s="26">
        <v>43706.379687499997</v>
      </c>
      <c r="J5106" s="23" t="str">
        <f>HYPERLINK("https://www.spark-marketing.ru/Card/Person/6458516", "Хахалина Ирина Юрьевна")</f>
        <v>Хахалина Ирина Юрьевна</v>
      </c>
      <c r="K5106" s="24" t="s">
        <v>1701</v>
      </c>
      <c r="L5106" s="28" t="s">
        <v>51</v>
      </c>
      <c r="M5106" s="25">
        <v>9875637.4399999995</v>
      </c>
      <c r="N5106" s="27">
        <v>1.0000000641578839E-2</v>
      </c>
    </row>
    <row r="5107" spans="1:14" hidden="1" outlineLevel="1" x14ac:dyDescent="0.2">
      <c r="A5107" s="28" t="s">
        <v>51</v>
      </c>
      <c r="B5107" s="28" t="s">
        <v>51</v>
      </c>
      <c r="C5107" s="28" t="s">
        <v>51</v>
      </c>
      <c r="D5107" s="22" t="s">
        <v>7971</v>
      </c>
      <c r="E5107" s="22" t="s">
        <v>48</v>
      </c>
      <c r="F5107" s="23" t="str">
        <f t="shared" si="98"/>
        <v>Оказание услуг по организации питания учащихся</v>
      </c>
      <c r="G5107" s="22" t="s">
        <v>51</v>
      </c>
      <c r="H5107" s="22" t="s">
        <v>51</v>
      </c>
      <c r="I5107" s="26">
        <v>43706.379687499997</v>
      </c>
      <c r="J5107" s="23" t="str">
        <f>HYPERLINK("https://www.spark-marketing.ru/Card/Person/4351169", "Русаков Анатолий Сидорович")</f>
        <v>Русаков Анатолий Сидорович</v>
      </c>
      <c r="K5107" s="24" t="s">
        <v>1700</v>
      </c>
      <c r="L5107" s="28" t="s">
        <v>51</v>
      </c>
      <c r="M5107" s="25">
        <v>9775800</v>
      </c>
      <c r="N5107" s="27">
        <v>2.0008373886997052E-2</v>
      </c>
    </row>
    <row r="5108" spans="1:14" hidden="1" outlineLevel="1" x14ac:dyDescent="0.2">
      <c r="A5108" s="28" t="s">
        <v>51</v>
      </c>
      <c r="B5108" s="28" t="s">
        <v>51</v>
      </c>
      <c r="C5108" s="28" t="s">
        <v>51</v>
      </c>
      <c r="D5108" s="22" t="s">
        <v>7971</v>
      </c>
      <c r="E5108" s="22" t="s">
        <v>48</v>
      </c>
      <c r="F5108" s="23" t="str">
        <f t="shared" si="98"/>
        <v>Оказание услуг по организации питания учащихся</v>
      </c>
      <c r="G5108" s="22" t="s">
        <v>51</v>
      </c>
      <c r="H5108" s="22" t="s">
        <v>51</v>
      </c>
      <c r="I5108" s="26">
        <v>43706.379687499997</v>
      </c>
      <c r="J5108" s="23" t="str">
        <f>HYPERLINK("https://www.spark-marketing.ru/Card/Person/1335068", "Кулешова Светлана Владимировна")</f>
        <v>Кулешова Светлана Владимировна</v>
      </c>
      <c r="K5108" s="24" t="s">
        <v>1702</v>
      </c>
      <c r="L5108" s="22" t="s">
        <v>10</v>
      </c>
      <c r="M5108" s="25">
        <v>9476621.6999999993</v>
      </c>
      <c r="N5108" s="27">
        <v>5.0000009222695797E-2</v>
      </c>
    </row>
    <row r="5109" spans="1:14" x14ac:dyDescent="0.15">
      <c r="A5109" s="23" t="str">
        <f>HYPERLINK("https://www.spark-marketing.ru/Card/Person/650629", "МЕЖМУНИЦИПАЛЬНЫЙ ОТДЕЛ МВД РОССИИ ""ЗЕЛЕНЧУКСКИЙ""")</f>
        <v>МЕЖМУНИЦИПАЛЬНЫЙ ОТДЕЛ МВД РОССИИ "ЗЕЛЕНЧУКСКИЙ"</v>
      </c>
      <c r="B5109" s="24" t="s">
        <v>7974</v>
      </c>
      <c r="C5109" s="25">
        <v>299756</v>
      </c>
      <c r="D5109" s="22" t="s">
        <v>7975</v>
      </c>
      <c r="E5109" s="22" t="s">
        <v>48</v>
      </c>
      <c r="F5109" s="23" t="str">
        <f>HYPERLINK("https://www.spark-marketing.ru/Card/Lot/73105786", "Оказание услуг по питанию граждан содержищихся в ИВС и СПСЗЛ, 1 усл. ед")</f>
        <v>Оказание услуг по питанию граждан содержищихся в ИВС и СПСЗЛ, 1 усл. ед</v>
      </c>
      <c r="G5109" s="22" t="s">
        <v>7976</v>
      </c>
      <c r="H5109" s="22" t="s">
        <v>7977</v>
      </c>
      <c r="I5109" s="26">
        <v>43706.494131944397</v>
      </c>
      <c r="J5109" s="28" t="s">
        <v>51</v>
      </c>
      <c r="K5109" s="28" t="s">
        <v>51</v>
      </c>
      <c r="L5109" s="28" t="s">
        <v>51</v>
      </c>
      <c r="M5109" s="28" t="s">
        <v>51</v>
      </c>
      <c r="N5109" s="28" t="s">
        <v>51</v>
      </c>
    </row>
    <row r="5110" spans="1:14" x14ac:dyDescent="0.15">
      <c r="A5110" s="23" t="str">
        <f>HYPERLINK("https://www.spark-marketing.ru/Card/Person/47943", "МО МВД РОССИИ ""МУРАШИНСКИЙ""")</f>
        <v>МО МВД РОССИИ "МУРАШИНСКИЙ"</v>
      </c>
      <c r="B5110" s="24" t="s">
        <v>7978</v>
      </c>
      <c r="C5110" s="25">
        <v>209300</v>
      </c>
      <c r="D5110" s="22" t="s">
        <v>7979</v>
      </c>
      <c r="E5110" s="22" t="s">
        <v>48</v>
      </c>
      <c r="F5110" s="23" t="str">
        <f>HYPERLINK("https://www.spark-marketing.ru/Card/Lot/73104457", "Услуги по обеспечению питанием, осуществляемые по договору, 675 усл. ед")</f>
        <v>Услуги по обеспечению питанием, осуществляемые по договору, 675 усл. ед</v>
      </c>
      <c r="G5110" s="22" t="s">
        <v>224</v>
      </c>
      <c r="H5110" s="22" t="s">
        <v>7770</v>
      </c>
      <c r="I5110" s="26">
        <v>43706.476504629602</v>
      </c>
      <c r="J5110" s="28" t="s">
        <v>51</v>
      </c>
      <c r="K5110" s="28" t="s">
        <v>51</v>
      </c>
      <c r="L5110" s="28" t="s">
        <v>51</v>
      </c>
      <c r="M5110" s="28" t="s">
        <v>51</v>
      </c>
      <c r="N5110" s="28" t="s">
        <v>51</v>
      </c>
    </row>
    <row r="5111" spans="1:14" x14ac:dyDescent="0.15">
      <c r="A5111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5111" s="24" t="s">
        <v>3377</v>
      </c>
      <c r="C5111" s="25">
        <v>266220</v>
      </c>
      <c r="D5111" s="22" t="s">
        <v>7980</v>
      </c>
      <c r="E5111" s="22" t="s">
        <v>96</v>
      </c>
      <c r="F5111" s="23" t="str">
        <f>HYPERLINK("https://www.spark-marketing.ru/Card/Lot/73130780", "Оказание услуг по организации питания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втором полугодии 2019 года")</f>
        <v>Оказание услуг по организации питания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втором полугодии 2019 года</v>
      </c>
      <c r="G5111" s="22" t="s">
        <v>117</v>
      </c>
      <c r="H5111" s="22" t="s">
        <v>117</v>
      </c>
      <c r="I5111" s="26">
        <v>43706.463449074101</v>
      </c>
      <c r="J5111" s="28" t="s">
        <v>51</v>
      </c>
      <c r="K5111" s="28" t="s">
        <v>51</v>
      </c>
      <c r="L5111" s="28" t="s">
        <v>51</v>
      </c>
      <c r="M5111" s="28" t="s">
        <v>51</v>
      </c>
      <c r="N5111" s="28" t="s">
        <v>51</v>
      </c>
    </row>
    <row r="5112" spans="1:14" ht="12.75" hidden="1" outlineLevel="1" x14ac:dyDescent="0.2">
      <c r="A5112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5112" s="24" t="s">
        <v>3377</v>
      </c>
      <c r="C5112" s="25">
        <v>266220</v>
      </c>
      <c r="D5112" s="22" t="s">
        <v>7980</v>
      </c>
      <c r="E5112" s="22" t="s">
        <v>96</v>
      </c>
      <c r="F5112" s="23" t="str">
        <f>HYPERLINK("https://www.spark-marketing.ru/Card/Lot/73130780", "Оказание услуг по организации питания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втором полугодии 2019 года")</f>
        <v>Оказание услуг по организации питания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втором полугодии 2019 года</v>
      </c>
      <c r="G5112" s="22" t="s">
        <v>117</v>
      </c>
      <c r="H5112" s="22" t="s">
        <v>117</v>
      </c>
      <c r="I5112" s="26">
        <v>43706.463449074101</v>
      </c>
      <c r="J5112" s="23" t="str">
        <f>HYPERLINK("https://www.spark-marketing.ru/Card/Person/2232828", "ООО ""АРПИНА""")</f>
        <v>ООО "АРПИНА"</v>
      </c>
      <c r="K5112" s="24" t="s">
        <v>3380</v>
      </c>
      <c r="L5112" s="22" t="s">
        <v>10</v>
      </c>
      <c r="M5112" s="25">
        <v>172668.9</v>
      </c>
      <c r="N5112" s="27">
        <v>0.35140522875816993</v>
      </c>
    </row>
    <row r="5113" spans="1:14" hidden="1" outlineLevel="1" x14ac:dyDescent="0.2">
      <c r="A5113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5113" s="24" t="s">
        <v>3377</v>
      </c>
      <c r="C5113" s="25">
        <v>266220</v>
      </c>
      <c r="D5113" s="22" t="s">
        <v>7980</v>
      </c>
      <c r="E5113" s="22" t="s">
        <v>96</v>
      </c>
      <c r="F5113" s="23" t="str">
        <f>HYPERLINK("https://www.spark-marketing.ru/Card/Lot/73130780", "Оказание услуг по организации питания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втором полугодии 2019 года")</f>
        <v>Оказание услуг по организации питания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втором полугодии 2019 года</v>
      </c>
      <c r="G5113" s="22" t="s">
        <v>117</v>
      </c>
      <c r="H5113" s="22" t="s">
        <v>117</v>
      </c>
      <c r="I5113" s="26">
        <v>43706.463449074101</v>
      </c>
      <c r="J5113" s="23" t="str">
        <f>HYPERLINK("https://www.spark-marketing.ru/Card/Person/135856", "ООО ""АЛЬЯНС""")</f>
        <v>ООО "АЛЬЯНС"</v>
      </c>
      <c r="K5113" s="24" t="s">
        <v>7981</v>
      </c>
      <c r="L5113" s="28" t="s">
        <v>51</v>
      </c>
      <c r="M5113" s="25">
        <v>174000</v>
      </c>
      <c r="N5113" s="27">
        <v>0.34640522875816993</v>
      </c>
    </row>
    <row r="5114" spans="1:14" hidden="1" outlineLevel="1" x14ac:dyDescent="0.2">
      <c r="A5114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5114" s="24" t="s">
        <v>3377</v>
      </c>
      <c r="C5114" s="25">
        <v>266220</v>
      </c>
      <c r="D5114" s="22" t="s">
        <v>7980</v>
      </c>
      <c r="E5114" s="22" t="s">
        <v>96</v>
      </c>
      <c r="F5114" s="23" t="str">
        <f>HYPERLINK("https://www.spark-marketing.ru/Card/Lot/73130780", "Оказание услуг по организации питания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втором полугодии 2019 года")</f>
        <v>Оказание услуг по организации питания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втором полугодии 2019 года</v>
      </c>
      <c r="G5114" s="22" t="s">
        <v>117</v>
      </c>
      <c r="H5114" s="22" t="s">
        <v>117</v>
      </c>
      <c r="I5114" s="26">
        <v>43706.463449074101</v>
      </c>
      <c r="J5114" s="23" t="str">
        <f>HYPERLINK("https://www.spark-marketing.ru/Card/Person/83475", "ООО""КОСМОС-ЛИМИТЕД""")</f>
        <v>ООО"КОСМОС-ЛИМИТЕД"</v>
      </c>
      <c r="K5114" s="24" t="s">
        <v>7982</v>
      </c>
      <c r="L5114" s="28" t="s">
        <v>51</v>
      </c>
      <c r="M5114" s="25">
        <v>210337.8</v>
      </c>
      <c r="N5114" s="27">
        <v>0.2099098489970701</v>
      </c>
    </row>
    <row r="5115" spans="1:14" x14ac:dyDescent="0.15">
      <c r="A5115" s="23" t="str">
        <f>HYPERLINK("https://www.spark-marketing.ru/Card/Person/1024266", "МОУ ""СОШ № 1""")</f>
        <v>МОУ "СОШ № 1"</v>
      </c>
      <c r="B5115" s="24" t="s">
        <v>7983</v>
      </c>
      <c r="C5115" s="25">
        <v>650964</v>
      </c>
      <c r="D5115" s="22" t="s">
        <v>7984</v>
      </c>
      <c r="E5115" s="22" t="s">
        <v>48</v>
      </c>
      <c r="F5115" s="23" t="str">
        <f>HYPERLINK("https://www.spark-marketing.ru/Card/Lot/73105360", "Оказание услуг по обеспечению льготным  питанием детей из малообеспеченных семей и детей с нарушением здоровья обучающихся в МОУ «СОШ № 1»")</f>
        <v>Оказание услуг по обеспечению льготным  питанием детей из малообеспеченных семей и детей с нарушением здоровья обучающихся в МОУ «СОШ № 1»</v>
      </c>
      <c r="G5115" s="22" t="s">
        <v>469</v>
      </c>
      <c r="H5115" s="22" t="s">
        <v>5961</v>
      </c>
      <c r="I5115" s="26">
        <v>43706.491076388898</v>
      </c>
      <c r="J5115" s="23" t="str">
        <f>HYPERLINK("https://www.spark-marketing.ru/Card/Person/134890", "ООО ""МИРОСЛАВА""")</f>
        <v>ООО "МИРОСЛАВА"</v>
      </c>
      <c r="K5115" s="24" t="s">
        <v>2329</v>
      </c>
      <c r="L5115" s="22" t="s">
        <v>10</v>
      </c>
      <c r="M5115" s="28" t="s">
        <v>51</v>
      </c>
      <c r="N5115" s="28" t="s">
        <v>51</v>
      </c>
    </row>
    <row r="5116" spans="1:14" x14ac:dyDescent="0.15">
      <c r="A5116" s="23" t="str">
        <f>HYPERLINK("https://www.spark-marketing.ru/Card/Person/650629", "МЕЖМУНИЦИПАЛЬНЫЙ ОТДЕЛ МВД РОССИИ ""ЗЕЛЕНЧУКСКИЙ""")</f>
        <v>МЕЖМУНИЦИПАЛЬНЫЙ ОТДЕЛ МВД РОССИИ "ЗЕЛЕНЧУКСКИЙ"</v>
      </c>
      <c r="B5116" s="24" t="s">
        <v>7974</v>
      </c>
      <c r="C5116" s="25">
        <v>14940</v>
      </c>
      <c r="D5116" s="22" t="s">
        <v>7985</v>
      </c>
      <c r="E5116" s="22" t="s">
        <v>48</v>
      </c>
      <c r="F5116" s="23" t="str">
        <f>HYPERLINK("https://www.spark-marketing.ru/Card/Lot/73106072",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116" s="22" t="s">
        <v>7976</v>
      </c>
      <c r="H5116" s="22" t="s">
        <v>7977</v>
      </c>
      <c r="I5116" s="26">
        <v>43706.499108796299</v>
      </c>
      <c r="J5116" s="28" t="s">
        <v>51</v>
      </c>
      <c r="K5116" s="28" t="s">
        <v>51</v>
      </c>
      <c r="L5116" s="28" t="s">
        <v>51</v>
      </c>
      <c r="M5116" s="28" t="s">
        <v>51</v>
      </c>
      <c r="N5116" s="28" t="s">
        <v>51</v>
      </c>
    </row>
    <row r="5117" spans="1:14" x14ac:dyDescent="0.15">
      <c r="A5117" s="23" t="str">
        <f>HYPERLINK("https://www.spark-marketing.ru/Card/Person/47943", "МО МВД РОССИИ ""МУРАШИНСКИЙ""")</f>
        <v>МО МВД РОССИИ "МУРАШИНСКИЙ"</v>
      </c>
      <c r="B5117" s="24" t="s">
        <v>7978</v>
      </c>
      <c r="C5117" s="25">
        <v>158600</v>
      </c>
      <c r="D5117" s="22" t="s">
        <v>7986</v>
      </c>
      <c r="E5117" s="22" t="s">
        <v>48</v>
      </c>
      <c r="F5117" s="23" t="str">
        <f>HYPERLINK("https://www.spark-marketing.ru/Card/Lot/73104369", "Услуги по обеспечению питанием, осуществляемые по договору, 511 усл. ед")</f>
        <v>Услуги по обеспечению питанием, осуществляемые по договору, 511 усл. ед</v>
      </c>
      <c r="G5117" s="22" t="s">
        <v>224</v>
      </c>
      <c r="H5117" s="22" t="s">
        <v>7770</v>
      </c>
      <c r="I5117" s="26">
        <v>43706.469988425903</v>
      </c>
      <c r="J5117" s="28" t="s">
        <v>51</v>
      </c>
      <c r="K5117" s="28" t="s">
        <v>51</v>
      </c>
      <c r="L5117" s="28" t="s">
        <v>51</v>
      </c>
      <c r="M5117" s="28" t="s">
        <v>51</v>
      </c>
      <c r="N5117" s="28" t="s">
        <v>51</v>
      </c>
    </row>
    <row r="5118" spans="1:14" x14ac:dyDescent="0.15">
      <c r="A5118" s="23" t="str">
        <f>HYPERLINK("https://www.spark-marketing.ru/Card/Person/650629", "МЕЖМУНИЦИПАЛЬНЫЙ ОТДЕЛ МВД РОССИИ ""ЗЕЛЕНЧУКСКИЙ""")</f>
        <v>МЕЖМУНИЦИПАЛЬНЫЙ ОТДЕЛ МВД РОССИИ "ЗЕЛЕНЧУКСКИЙ"</v>
      </c>
      <c r="B5118" s="24" t="s">
        <v>7974</v>
      </c>
      <c r="C5118" s="25">
        <v>14940</v>
      </c>
      <c r="D5118" s="22" t="s">
        <v>7987</v>
      </c>
      <c r="E5118" s="22" t="s">
        <v>48</v>
      </c>
      <c r="F5118" s="23" t="str">
        <f>HYPERLINK("https://www.spark-marketing.ru/Card/Lot/73105909",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118" s="22" t="s">
        <v>7976</v>
      </c>
      <c r="H5118" s="22" t="s">
        <v>7977</v>
      </c>
      <c r="I5118" s="26">
        <v>43706.4978819444</v>
      </c>
      <c r="J5118" s="28" t="s">
        <v>51</v>
      </c>
      <c r="K5118" s="28" t="s">
        <v>51</v>
      </c>
      <c r="L5118" s="28" t="s">
        <v>51</v>
      </c>
      <c r="M5118" s="28" t="s">
        <v>51</v>
      </c>
      <c r="N5118" s="28" t="s">
        <v>51</v>
      </c>
    </row>
    <row r="5119" spans="1:14" x14ac:dyDescent="0.15">
      <c r="A5119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5119" s="24" t="s">
        <v>3377</v>
      </c>
      <c r="C5119" s="25">
        <v>724000</v>
      </c>
      <c r="D5119" s="22" t="s">
        <v>7988</v>
      </c>
      <c r="E5119" s="22" t="s">
        <v>96</v>
      </c>
      <c r="F5119" s="23" t="str">
        <f>HYPERLINK("https://www.spark-marketing.ru/Card/Lot/73108336", "Оказание услуг по организации питания членов официальных иностранных делегаций, прибывающих в Санкт-Петербург, и участников мероприятий, проводимых Комитетом по внешним связям Санкт-Петербурга")</f>
        <v>Оказание услуг по организации питания членов официальных иностранных делегаций, прибывающих в Санкт-Петербург, и участников мероприятий, проводимых Комитетом по внешним связям Санкт-Петербурга</v>
      </c>
      <c r="G5119" s="22" t="s">
        <v>117</v>
      </c>
      <c r="H5119" s="22" t="s">
        <v>117</v>
      </c>
      <c r="I5119" s="26">
        <v>43706.353379629603</v>
      </c>
      <c r="J5119" s="28" t="s">
        <v>51</v>
      </c>
      <c r="K5119" s="28" t="s">
        <v>51</v>
      </c>
      <c r="L5119" s="28" t="s">
        <v>51</v>
      </c>
      <c r="M5119" s="28" t="s">
        <v>51</v>
      </c>
      <c r="N5119" s="28" t="s">
        <v>51</v>
      </c>
    </row>
    <row r="5120" spans="1:14" ht="12.75" hidden="1" outlineLevel="1" x14ac:dyDescent="0.2">
      <c r="A5120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5120" s="24" t="s">
        <v>3377</v>
      </c>
      <c r="C5120" s="25">
        <v>724000</v>
      </c>
      <c r="D5120" s="22" t="s">
        <v>7988</v>
      </c>
      <c r="E5120" s="22" t="s">
        <v>96</v>
      </c>
      <c r="F5120" s="23" t="str">
        <f>HYPERLINK("https://www.spark-marketing.ru/Card/Lot/73108336", "Оказание услуг по организации питания членов официальных иностранных делегаций, прибывающих в Санкт-Петербург, и участников мероприятий, проводимых Комитетом по внешним связям Санкт-Петербурга")</f>
        <v>Оказание услуг по организации питания членов официальных иностранных делегаций, прибывающих в Санкт-Петербург, и участников мероприятий, проводимых Комитетом по внешним связям Санкт-Петербурга</v>
      </c>
      <c r="G5120" s="22" t="s">
        <v>117</v>
      </c>
      <c r="H5120" s="22" t="s">
        <v>117</v>
      </c>
      <c r="I5120" s="26">
        <v>43706.353379629603</v>
      </c>
      <c r="J5120" s="23" t="str">
        <f>HYPERLINK("https://www.spark-marketing.ru/Card/Person/2232828", "ООО ""АРПИНА""")</f>
        <v>ООО "АРПИНА"</v>
      </c>
      <c r="K5120" s="24" t="s">
        <v>3380</v>
      </c>
      <c r="L5120" s="22" t="s">
        <v>10</v>
      </c>
      <c r="M5120" s="25">
        <v>3913.81</v>
      </c>
      <c r="N5120" s="27">
        <v>0.99459418508287289</v>
      </c>
    </row>
    <row r="5121" spans="1:14" hidden="1" outlineLevel="1" x14ac:dyDescent="0.2">
      <c r="A5121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5121" s="24" t="s">
        <v>3377</v>
      </c>
      <c r="C5121" s="25">
        <v>724000</v>
      </c>
      <c r="D5121" s="22" t="s">
        <v>7988</v>
      </c>
      <c r="E5121" s="22" t="s">
        <v>96</v>
      </c>
      <c r="F5121" s="23" t="str">
        <f>HYPERLINK("https://www.spark-marketing.ru/Card/Lot/73108336", "Оказание услуг по организации питания членов официальных иностранных делегаций, прибывающих в Санкт-Петербург, и участников мероприятий, проводимых Комитетом по внешним связям Санкт-Петербурга")</f>
        <v>Оказание услуг по организации питания членов официальных иностранных делегаций, прибывающих в Санкт-Петербург, и участников мероприятий, проводимых Комитетом по внешним связям Санкт-Петербурга</v>
      </c>
      <c r="G5121" s="22" t="s">
        <v>117</v>
      </c>
      <c r="H5121" s="22" t="s">
        <v>117</v>
      </c>
      <c r="I5121" s="26">
        <v>43706.353379629603</v>
      </c>
      <c r="J5121" s="23" t="str">
        <f>HYPERLINK("https://www.spark-marketing.ru/Card/Person/135856", "ООО ""АЛЬЯНС""")</f>
        <v>ООО "АЛЬЯНС"</v>
      </c>
      <c r="K5121" s="24" t="s">
        <v>7981</v>
      </c>
      <c r="L5121" s="28" t="s">
        <v>51</v>
      </c>
      <c r="M5121" s="25">
        <v>3893</v>
      </c>
      <c r="N5121" s="27">
        <v>0.99462292817679554</v>
      </c>
    </row>
    <row r="5122" spans="1:14" x14ac:dyDescent="0.15">
      <c r="A5122" s="23" t="str">
        <f>HYPERLINK("https://www.spark-marketing.ru/Card/Person/4366056", "ГКБУК ""ЦЕНТР ПО РЕАЛИЗАЦИИ ПРОЕКТОВ В СФЕРЕ КУЛЬТУРЫ""")</f>
        <v>ГКБУК "ЦЕНТР ПО РЕАЛИЗАЦИИ ПРОЕКТОВ В СФЕРЕ КУЛЬТУРЫ"</v>
      </c>
      <c r="B5122" s="24" t="s">
        <v>7989</v>
      </c>
      <c r="C5122" s="25">
        <v>219096</v>
      </c>
      <c r="D5122" s="22" t="s">
        <v>7990</v>
      </c>
      <c r="E5122" s="22" t="s">
        <v>67</v>
      </c>
      <c r="F5122" s="23" t="str">
        <f>HYPERLINK("https://www.spark-marketing.ru/Card/Lot/73114393", "Оказание услуг по организации горячего питания для участников Всероссийского фестиваля-конкурса детских любительских цирковых коллективов, посвященного 100-летию Российского цирка")</f>
        <v>Оказание услуг по организации горячего питания для участников Всероссийского фестиваля-конкурса детских любительских цирковых коллективов, посвященного 100-летию Российского цирка</v>
      </c>
      <c r="G5122" s="22" t="s">
        <v>153</v>
      </c>
      <c r="H5122" s="22" t="s">
        <v>153</v>
      </c>
      <c r="I5122" s="26">
        <v>43706.5480902778</v>
      </c>
      <c r="J5122" s="28" t="s">
        <v>51</v>
      </c>
      <c r="K5122" s="28" t="s">
        <v>51</v>
      </c>
      <c r="L5122" s="28" t="s">
        <v>51</v>
      </c>
      <c r="M5122" s="28" t="s">
        <v>51</v>
      </c>
      <c r="N5122" s="28" t="s">
        <v>51</v>
      </c>
    </row>
    <row r="5123" spans="1:14" ht="12.75" hidden="1" outlineLevel="1" x14ac:dyDescent="0.2">
      <c r="A5123" s="23" t="str">
        <f>HYPERLINK("https://www.spark-marketing.ru/Card/Person/4366056", "ГКБУК ""ЦЕНТР ПО РЕАЛИЗАЦИИ ПРОЕКТОВ В СФЕРЕ КУЛЬТУРЫ""")</f>
        <v>ГКБУК "ЦЕНТР ПО РЕАЛИЗАЦИИ ПРОЕКТОВ В СФЕРЕ КУЛЬТУРЫ"</v>
      </c>
      <c r="B5123" s="24" t="s">
        <v>7989</v>
      </c>
      <c r="C5123" s="25">
        <v>219096</v>
      </c>
      <c r="D5123" s="22" t="s">
        <v>7990</v>
      </c>
      <c r="E5123" s="22" t="s">
        <v>67</v>
      </c>
      <c r="F5123" s="23" t="str">
        <f>HYPERLINK("https://www.spark-marketing.ru/Card/Lot/73114393", "Оказание услуг по организации горячего питания для участников Всероссийского фестиваля-конкурса детских любительских цирковых коллективов, посвященного 100-летию Российского цирка")</f>
        <v>Оказание услуг по организации горячего питания для участников Всероссийского фестиваля-конкурса детских любительских цирковых коллективов, посвященного 100-летию Российского цирка</v>
      </c>
      <c r="G5123" s="22" t="s">
        <v>153</v>
      </c>
      <c r="H5123" s="22" t="s">
        <v>153</v>
      </c>
      <c r="I5123" s="26">
        <v>43706.5480902778</v>
      </c>
      <c r="J5123" s="23" t="str">
        <f>HYPERLINK("https://www.spark-marketing.ru/Card/Person/6698023", "ООО ""БОЛЬШАЯ ЕДА""")</f>
        <v>ООО "БОЛЬШАЯ ЕДА"</v>
      </c>
      <c r="K5123" s="24" t="s">
        <v>7881</v>
      </c>
      <c r="L5123" s="22" t="s">
        <v>10</v>
      </c>
      <c r="M5123" s="25">
        <v>193000</v>
      </c>
      <c r="N5123" s="27">
        <v>0.11910760579837149</v>
      </c>
    </row>
    <row r="5124" spans="1:14" hidden="1" outlineLevel="1" x14ac:dyDescent="0.2">
      <c r="A5124" s="23" t="str">
        <f>HYPERLINK("https://www.spark-marketing.ru/Card/Person/4366056", "ГКБУК ""ЦЕНТР ПО РЕАЛИЗАЦИИ ПРОЕКТОВ В СФЕРЕ КУЛЬТУРЫ""")</f>
        <v>ГКБУК "ЦЕНТР ПО РЕАЛИЗАЦИИ ПРОЕКТОВ В СФЕРЕ КУЛЬТУРЫ"</v>
      </c>
      <c r="B5124" s="24" t="s">
        <v>7989</v>
      </c>
      <c r="C5124" s="25">
        <v>219096</v>
      </c>
      <c r="D5124" s="22" t="s">
        <v>7990</v>
      </c>
      <c r="E5124" s="22" t="s">
        <v>67</v>
      </c>
      <c r="F5124" s="23" t="str">
        <f>HYPERLINK("https://www.spark-marketing.ru/Card/Lot/73114393", "Оказание услуг по организации горячего питания для участников Всероссийского фестиваля-конкурса детских любительских цирковых коллективов, посвященного 100-летию Российского цирка")</f>
        <v>Оказание услуг по организации горячего питания для участников Всероссийского фестиваля-конкурса детских любительских цирковых коллективов, посвященного 100-летию Российского цирка</v>
      </c>
      <c r="G5124" s="22" t="s">
        <v>153</v>
      </c>
      <c r="H5124" s="22" t="s">
        <v>153</v>
      </c>
      <c r="I5124" s="26">
        <v>43706.5480902778</v>
      </c>
      <c r="J5124" s="23" t="str">
        <f>HYPERLINK("https://www.spark-marketing.ru/Card/Person/778365", "Бердникова Надежда Васильевна")</f>
        <v>Бердникова Надежда Васильевна</v>
      </c>
      <c r="K5124" s="24" t="s">
        <v>7991</v>
      </c>
      <c r="L5124" s="28" t="s">
        <v>51</v>
      </c>
      <c r="M5124" s="25">
        <v>200535</v>
      </c>
      <c r="N5124" s="27">
        <v>8.4716288750136926E-2</v>
      </c>
    </row>
    <row r="5125" spans="1:14" hidden="1" outlineLevel="1" x14ac:dyDescent="0.2">
      <c r="A5125" s="23" t="str">
        <f>HYPERLINK("https://www.spark-marketing.ru/Card/Person/4366056", "ГКБУК ""ЦЕНТР ПО РЕАЛИЗАЦИИ ПРОЕКТОВ В СФЕРЕ КУЛЬТУРЫ""")</f>
        <v>ГКБУК "ЦЕНТР ПО РЕАЛИЗАЦИИ ПРОЕКТОВ В СФЕРЕ КУЛЬТУРЫ"</v>
      </c>
      <c r="B5125" s="24" t="s">
        <v>7989</v>
      </c>
      <c r="C5125" s="25">
        <v>219096</v>
      </c>
      <c r="D5125" s="22" t="s">
        <v>7990</v>
      </c>
      <c r="E5125" s="22" t="s">
        <v>67</v>
      </c>
      <c r="F5125" s="23" t="str">
        <f>HYPERLINK("https://www.spark-marketing.ru/Card/Lot/73114393", "Оказание услуг по организации горячего питания для участников Всероссийского фестиваля-конкурса детских любительских цирковых коллективов, посвященного 100-летию Российского цирка")</f>
        <v>Оказание услуг по организации горячего питания для участников Всероссийского фестиваля-конкурса детских любительских цирковых коллективов, посвященного 100-летию Российского цирка</v>
      </c>
      <c r="G5125" s="22" t="s">
        <v>153</v>
      </c>
      <c r="H5125" s="22" t="s">
        <v>153</v>
      </c>
      <c r="I5125" s="26">
        <v>43706.5480902778</v>
      </c>
      <c r="J5125" s="23" t="str">
        <f>HYPERLINK("https://www.spark-marketing.ru/Card/Person/6382723", "Крячко Владислав Петрович")</f>
        <v>Крячко Владислав Петрович</v>
      </c>
      <c r="K5125" s="24" t="s">
        <v>7992</v>
      </c>
      <c r="L5125" s="28" t="s">
        <v>51</v>
      </c>
      <c r="M5125" s="25">
        <v>216480</v>
      </c>
      <c r="N5125" s="27">
        <v>1.1939971519333991E-2</v>
      </c>
    </row>
    <row r="5126" spans="1:14" x14ac:dyDescent="0.15">
      <c r="A5126" s="23" t="str">
        <f>HYPERLINK("https://www.spark-marketing.ru/Card/Person/650629", "МЕЖМУНИЦИПАЛЬНЫЙ ОТДЕЛ МВД РОССИИ ""ЗЕЛЕНЧУКСКИЙ""")</f>
        <v>МЕЖМУНИЦИПАЛЬНЫЙ ОТДЕЛ МВД РОССИИ "ЗЕЛЕНЧУКСКИЙ"</v>
      </c>
      <c r="B5126" s="24" t="s">
        <v>7974</v>
      </c>
      <c r="C5126" s="25">
        <v>299889</v>
      </c>
      <c r="D5126" s="22" t="s">
        <v>7993</v>
      </c>
      <c r="E5126" s="22" t="s">
        <v>48</v>
      </c>
      <c r="F5126" s="23" t="str">
        <f>HYPERLINK("https://www.spark-marketing.ru/Card/Lot/73105776", "Оказание услуг по питанию граждан содержищихся в ИВС и СПСЗЛ, 1 усл. ед")</f>
        <v>Оказание услуг по питанию граждан содержищихся в ИВС и СПСЗЛ, 1 усл. ед</v>
      </c>
      <c r="G5126" s="22" t="s">
        <v>7976</v>
      </c>
      <c r="H5126" s="22" t="s">
        <v>7977</v>
      </c>
      <c r="I5126" s="26">
        <v>43706.4919212963</v>
      </c>
      <c r="J5126" s="28" t="s">
        <v>51</v>
      </c>
      <c r="K5126" s="28" t="s">
        <v>51</v>
      </c>
      <c r="L5126" s="28" t="s">
        <v>51</v>
      </c>
      <c r="M5126" s="28" t="s">
        <v>51</v>
      </c>
      <c r="N5126" s="28" t="s">
        <v>51</v>
      </c>
    </row>
    <row r="5127" spans="1:14" x14ac:dyDescent="0.15">
      <c r="A5127" s="23" t="str">
        <f>HYPERLINK("https://www.spark-marketing.ru/Card/Person/47943", "МО МВД РОССИИ ""МУРАШИНСКИЙ""")</f>
        <v>МО МВД РОССИИ "МУРАШИНСКИЙ"</v>
      </c>
      <c r="B5127" s="24" t="s">
        <v>7978</v>
      </c>
      <c r="C5127" s="25">
        <v>209300</v>
      </c>
      <c r="D5127" s="22" t="s">
        <v>7994</v>
      </c>
      <c r="E5127" s="22" t="s">
        <v>48</v>
      </c>
      <c r="F5127" s="23" t="str">
        <f>HYPERLINK("https://www.spark-marketing.ru/Card/Lot/73105089", "Услуги по обеспечению питанием, осуществляемые по договору, 675 усл. ед")</f>
        <v>Услуги по обеспечению питанием, осуществляемые по договору, 675 усл. ед</v>
      </c>
      <c r="G5127" s="22" t="s">
        <v>224</v>
      </c>
      <c r="H5127" s="22" t="s">
        <v>7995</v>
      </c>
      <c r="I5127" s="26">
        <v>43706.479467592602</v>
      </c>
      <c r="J5127" s="28" t="s">
        <v>51</v>
      </c>
      <c r="K5127" s="28" t="s">
        <v>51</v>
      </c>
      <c r="L5127" s="28" t="s">
        <v>51</v>
      </c>
      <c r="M5127" s="28" t="s">
        <v>51</v>
      </c>
      <c r="N5127" s="28" t="s">
        <v>51</v>
      </c>
    </row>
    <row r="5128" spans="1:14" x14ac:dyDescent="0.15">
      <c r="A5128" s="23" t="str">
        <f>HYPERLINK("https://www.spark-marketing.ru/Card/Person/152331", "МУ МВД РОССИИ ПО НОВОУРАЛЬСКОМУ ГО И МО ""П. УРАЛЬСКИЙ""")</f>
        <v>МУ МВД РОССИИ ПО НОВОУРАЛЬСКОМУ ГО И МО "П. УРАЛЬСКИЙ"</v>
      </c>
      <c r="B5128" s="24" t="s">
        <v>7996</v>
      </c>
      <c r="C5128" s="25">
        <v>599996.31999999995</v>
      </c>
      <c r="D5128" s="22" t="s">
        <v>7997</v>
      </c>
      <c r="E5128" s="22" t="s">
        <v>96</v>
      </c>
      <c r="F5128" s="23" t="str">
        <f>HYPERLINK("https://www.spark-marketing.ru/Card/Lot/73105219", "Услуги по организации общественного питания для лиц, находящихся в изоляторе временного содержания подозреваемых и обвиняемых Заказчика")</f>
        <v>Услуги по организации общественного питания для лиц, находящихся в изоляторе временного содержания подозреваемых и обвиняемых Заказчика</v>
      </c>
      <c r="G5128" s="22" t="s">
        <v>174</v>
      </c>
      <c r="H5128" s="22" t="s">
        <v>7998</v>
      </c>
      <c r="I5128" s="26">
        <v>43705.723263888904</v>
      </c>
      <c r="J5128" s="23" t="str">
        <f>HYPERLINK("https://www.spark-marketing.ru/Card/Person/6481940", "Минеева Евгения Дмитриевна")</f>
        <v>Минеева Евгения Дмитриевна</v>
      </c>
      <c r="K5128" s="24" t="s">
        <v>7999</v>
      </c>
      <c r="L5128" s="22" t="s">
        <v>10</v>
      </c>
      <c r="M5128" s="28" t="s">
        <v>51</v>
      </c>
      <c r="N5128" s="28" t="s">
        <v>51</v>
      </c>
    </row>
    <row r="5129" spans="1:14" x14ac:dyDescent="0.15">
      <c r="A5129" s="23" t="str">
        <f>HYPERLINK("https://www.spark-marketing.ru/Card/Person/47943", "МО МВД РОССИИ ""МУРАШИНСКИЙ""")</f>
        <v>МО МВД РОССИИ "МУРАШИНСКИЙ"</v>
      </c>
      <c r="B5129" s="24" t="s">
        <v>7978</v>
      </c>
      <c r="C5129" s="25">
        <v>158600</v>
      </c>
      <c r="D5129" s="22" t="s">
        <v>8000</v>
      </c>
      <c r="E5129" s="22" t="s">
        <v>48</v>
      </c>
      <c r="F5129" s="23" t="str">
        <f>HYPERLINK("https://www.spark-marketing.ru/Card/Lot/73104425", "Услуги по обеспечению питанием, осуществляемые по договору, 511 усл. ед")</f>
        <v>Услуги по обеспечению питанием, осуществляемые по договору, 511 усл. ед</v>
      </c>
      <c r="G5129" s="22" t="s">
        <v>224</v>
      </c>
      <c r="H5129" s="22" t="s">
        <v>7995</v>
      </c>
      <c r="I5129" s="26">
        <v>43706.474189814799</v>
      </c>
      <c r="J5129" s="28" t="s">
        <v>51</v>
      </c>
      <c r="K5129" s="28" t="s">
        <v>51</v>
      </c>
      <c r="L5129" s="28" t="s">
        <v>51</v>
      </c>
      <c r="M5129" s="28" t="s">
        <v>51</v>
      </c>
      <c r="N5129" s="28" t="s">
        <v>51</v>
      </c>
    </row>
    <row r="5130" spans="1:14" x14ac:dyDescent="0.15">
      <c r="A5130" s="23" t="str">
        <f>HYPERLINK("https://www.spark-marketing.ru/Card/Person/441700", "ФКУ СИЗО-1 УФСИН РОССИИ ПО ЛИПЕЦКОЙ ОБЛАСТИ")</f>
        <v>ФКУ СИЗО-1 УФСИН РОССИИ ПО ЛИПЕЦКОЙ ОБЛАСТИ</v>
      </c>
      <c r="B5130" s="24" t="s">
        <v>8001</v>
      </c>
      <c r="C5130" s="25">
        <v>11000</v>
      </c>
      <c r="D5130" s="22" t="s">
        <v>8002</v>
      </c>
      <c r="E5130" s="22" t="s">
        <v>809</v>
      </c>
      <c r="F5130" s="23" t="str">
        <f>HYPERLINK("https://www.spark-marketing.ru/Card/Lot/73102975", "приобретение услуг по ремонту серверного оборудования в рамках государственного оборонного заказа")</f>
        <v>приобретение услуг по ремонту серверного оборудования в рамках государственного оборонного заказа</v>
      </c>
      <c r="G5130" s="22" t="s">
        <v>101</v>
      </c>
      <c r="H5130" s="22" t="s">
        <v>728</v>
      </c>
      <c r="I5130" s="26">
        <v>43706.436435185198</v>
      </c>
      <c r="J5130" s="28" t="s">
        <v>51</v>
      </c>
      <c r="K5130" s="28" t="s">
        <v>51</v>
      </c>
      <c r="L5130" s="28" t="s">
        <v>51</v>
      </c>
      <c r="M5130" s="28" t="s">
        <v>51</v>
      </c>
      <c r="N5130" s="28" t="s">
        <v>51</v>
      </c>
    </row>
    <row r="5131" spans="1:14" x14ac:dyDescent="0.2">
      <c r="A5131" s="23" t="str">
        <f>HYPERLINK("https://www.spark-marketing.ru/Card/Person/56145", "ГБОУ ШКОЛА № 507 МОСКОВСКОГО РАЙОНА САНКТ-ПЕТЕРБУРГА")</f>
        <v>ГБОУ ШКОЛА № 507 МОСКОВСКОГО РАЙОНА САНКТ-ПЕТЕРБУРГА</v>
      </c>
      <c r="B5131" s="24" t="s">
        <v>8003</v>
      </c>
      <c r="C5131" s="25">
        <v>2742564.1</v>
      </c>
      <c r="D5131" s="22" t="s">
        <v>8004</v>
      </c>
      <c r="E5131" s="22" t="s">
        <v>48</v>
      </c>
      <c r="F5131" s="23" t="str">
        <f>HYPERLINK("https://www.spark-marketing.ru/Card/Lot/73130775", "Оказание услуг по организации питания обучающихся и воспитанников для нужд образовательного учреждения школы № 507 Московского района Санкт-Петербурга в 2019-2020 годах.")</f>
        <v>Оказание услуг по организации питания обучающихся и воспитанников для нужд образовательного учреждения школы № 507 Московского района Санкт-Петербурга в 2019-2020 годах.</v>
      </c>
      <c r="G5131" s="22" t="s">
        <v>117</v>
      </c>
      <c r="H5131" s="22" t="s">
        <v>117</v>
      </c>
      <c r="I5131" s="26">
        <v>43706.452326388899</v>
      </c>
      <c r="J5131" s="23" t="str">
        <f>HYPERLINK("https://www.spark-marketing.ru/Card/Person/62355", "ООО ""ТД ""ЛЕНИНГРАДСКИЙ""")</f>
        <v>ООО "ТД "ЛЕНИНГРАДСКИЙ"</v>
      </c>
      <c r="K5131" s="24" t="s">
        <v>8005</v>
      </c>
      <c r="L5131" s="28" t="s">
        <v>51</v>
      </c>
      <c r="M5131" s="25">
        <v>2487505.64</v>
      </c>
      <c r="N5131" s="27">
        <v>9.2999999525991028E-2</v>
      </c>
    </row>
    <row r="5132" spans="1:14" x14ac:dyDescent="0.15">
      <c r="A5132" s="23" t="str">
        <f>HYPERLINK("https://www.spark-marketing.ru/Card/Person/131478", "МОУ СОШ №2 Г. ТАЛДОМА")</f>
        <v>МОУ СОШ №2 Г. ТАЛДОМА</v>
      </c>
      <c r="B5132" s="24" t="s">
        <v>8006</v>
      </c>
      <c r="C5132" s="25">
        <v>1719142.49</v>
      </c>
      <c r="D5132" s="22" t="s">
        <v>8007</v>
      </c>
      <c r="E5132" s="22" t="s">
        <v>48</v>
      </c>
      <c r="F5132" s="23" t="str">
        <f>HYPERLINK("https://www.spark-marketing.ru/Card/Lot/73129608", "Приготовление и организация горячего питания в МОУ СОШ №2 г. Талдома с 01.10.2019г. по 30.11.2019г.")</f>
        <v>Приготовление и организация горячего питания в МОУ СОШ №2 г. Талдома с 01.10.2019г. по 30.11.2019г.</v>
      </c>
      <c r="G5132" s="22" t="s">
        <v>49</v>
      </c>
      <c r="H5132" s="22" t="s">
        <v>49</v>
      </c>
      <c r="I5132" s="26">
        <v>43706.384780092601</v>
      </c>
      <c r="J5132" s="28" t="s">
        <v>51</v>
      </c>
      <c r="K5132" s="28" t="s">
        <v>51</v>
      </c>
      <c r="L5132" s="28" t="s">
        <v>51</v>
      </c>
      <c r="M5132" s="28" t="s">
        <v>51</v>
      </c>
      <c r="N5132" s="28" t="s">
        <v>51</v>
      </c>
    </row>
    <row r="5133" spans="1:14" hidden="1" outlineLevel="1" x14ac:dyDescent="0.2">
      <c r="A5133" s="23" t="str">
        <f>HYPERLINK("https://www.spark-marketing.ru/Card/Person/131478", "МОУ СОШ №2 Г. ТАЛДОМА")</f>
        <v>МОУ СОШ №2 Г. ТАЛДОМА</v>
      </c>
      <c r="B5133" s="24" t="s">
        <v>8006</v>
      </c>
      <c r="C5133" s="25">
        <v>1719142.49</v>
      </c>
      <c r="D5133" s="22" t="s">
        <v>8007</v>
      </c>
      <c r="E5133" s="22" t="s">
        <v>48</v>
      </c>
      <c r="F5133" s="23" t="str">
        <f>HYPERLINK("https://www.spark-marketing.ru/Card/Lot/73129608", "Приготовление и организация горячего питания в МОУ СОШ №2 г. Талдома с 01.10.2019г. по 30.11.2019г.")</f>
        <v>Приготовление и организация горячего питания в МОУ СОШ №2 г. Талдома с 01.10.2019г. по 30.11.2019г.</v>
      </c>
      <c r="G5133" s="22" t="s">
        <v>49</v>
      </c>
      <c r="H5133" s="22" t="s">
        <v>49</v>
      </c>
      <c r="I5133" s="26">
        <v>43706.384780092601</v>
      </c>
      <c r="J5133" s="23" t="str">
        <f>HYPERLINK("https://www.spark-marketing.ru/Card/Person/31262", "ООО ""АЛЬЯНС""")</f>
        <v>ООО "АЛЬЯНС"</v>
      </c>
      <c r="K5133" s="24" t="s">
        <v>1718</v>
      </c>
      <c r="L5133" s="28" t="s">
        <v>51</v>
      </c>
      <c r="M5133" s="25">
        <v>1530036.8</v>
      </c>
      <c r="N5133" s="27">
        <v>0.11000000936513413</v>
      </c>
    </row>
    <row r="5134" spans="1:14" ht="12.75" hidden="1" outlineLevel="1" x14ac:dyDescent="0.2">
      <c r="A5134" s="23" t="str">
        <f>HYPERLINK("https://www.spark-marketing.ru/Card/Person/131478", "МОУ СОШ №2 Г. ТАЛДОМА")</f>
        <v>МОУ СОШ №2 Г. ТАЛДОМА</v>
      </c>
      <c r="B5134" s="24" t="s">
        <v>8006</v>
      </c>
      <c r="C5134" s="25">
        <v>1719142.49</v>
      </c>
      <c r="D5134" s="22" t="s">
        <v>8007</v>
      </c>
      <c r="E5134" s="22" t="s">
        <v>48</v>
      </c>
      <c r="F5134" s="23" t="str">
        <f>HYPERLINK("https://www.spark-marketing.ru/Card/Lot/73129608", "Приготовление и организация горячего питания в МОУ СОШ №2 г. Талдома с 01.10.2019г. по 30.11.2019г.")</f>
        <v>Приготовление и организация горячего питания в МОУ СОШ №2 г. Талдома с 01.10.2019г. по 30.11.2019г.</v>
      </c>
      <c r="G5134" s="22" t="s">
        <v>49</v>
      </c>
      <c r="H5134" s="22" t="s">
        <v>49</v>
      </c>
      <c r="I5134" s="26">
        <v>43706.384780092601</v>
      </c>
      <c r="J5134" s="23" t="str">
        <f>HYPERLINK("https://www.spark-marketing.ru/Card/Person/75516", "ООО ""КОНЦЕПТ""")</f>
        <v>ООО "КОНЦЕПТ"</v>
      </c>
      <c r="K5134" s="24" t="s">
        <v>1717</v>
      </c>
      <c r="L5134" s="22" t="s">
        <v>10</v>
      </c>
      <c r="M5134" s="25">
        <v>1615585.96</v>
      </c>
      <c r="N5134" s="27">
        <v>6.0237316337867955E-2</v>
      </c>
    </row>
    <row r="5135" spans="1:14" x14ac:dyDescent="0.15">
      <c r="A5135" s="23" t="str">
        <f>HYPERLINK("https://www.spark-marketing.ru/Card/Person/53804", "МО МВД РОССИИ ПО ЗАТО Г. СЕВЕРОМОРСК И Г. ОСТРОВНОЙ")</f>
        <v>МО МВД РОССИИ ПО ЗАТО Г. СЕВЕРОМОРСК И Г. ОСТРОВНОЙ</v>
      </c>
      <c r="B5135" s="24" t="s">
        <v>8008</v>
      </c>
      <c r="C5135" s="25">
        <v>526645</v>
      </c>
      <c r="D5135" s="22" t="s">
        <v>8009</v>
      </c>
      <c r="E5135" s="22" t="s">
        <v>48</v>
      </c>
      <c r="F5135" s="23" t="str">
        <f>HYPERLINK("https://www.spark-marketing.ru/Card/Lot/73102084", "Услуги по организации питания")</f>
        <v>Услуги по организации питания</v>
      </c>
      <c r="G5135" s="22" t="s">
        <v>340</v>
      </c>
      <c r="H5135" s="22" t="s">
        <v>8010</v>
      </c>
      <c r="I5135" s="26">
        <v>43705.862013888902</v>
      </c>
      <c r="J5135" s="23" t="str">
        <f>HYPERLINK("https://www.spark-marketing.ru/Card/Person/1380391", "ООО ""МЕЧТА""")</f>
        <v>ООО "МЕЧТА"</v>
      </c>
      <c r="K5135" s="24" t="s">
        <v>8011</v>
      </c>
      <c r="L5135" s="22" t="s">
        <v>10</v>
      </c>
      <c r="M5135" s="28" t="s">
        <v>51</v>
      </c>
      <c r="N5135" s="28" t="s">
        <v>51</v>
      </c>
    </row>
    <row r="5136" spans="1:14" x14ac:dyDescent="0.15">
      <c r="A5136" s="23" t="str">
        <f>HYPERLINK("https://www.spark-marketing.ru/Card/Person/49206", "ФКУЗ МСЧ-38 ФСИН РОССИИ")</f>
        <v>ФКУЗ МСЧ-38 ФСИН РОССИИ</v>
      </c>
      <c r="B5136" s="24" t="s">
        <v>8012</v>
      </c>
      <c r="C5136" s="25">
        <v>759488.99</v>
      </c>
      <c r="D5136" s="22" t="s">
        <v>8013</v>
      </c>
      <c r="E5136" s="22" t="s">
        <v>86</v>
      </c>
      <c r="F5136" s="23" t="str">
        <f>HYPERLINK("https://www.spark-marketing.ru/Card/Lot/73098383", "Прочая закупка товаров, работ, услуг: оказание услуг по паспортизации рентгенологических (флюорографических) кабинетов")</f>
        <v>Прочая закупка товаров, работ, услуг: оказание услуг по паспортизации рентгенологических (флюорографических) кабинетов</v>
      </c>
      <c r="G5136" s="22" t="s">
        <v>263</v>
      </c>
      <c r="H5136" s="22" t="s">
        <v>263</v>
      </c>
      <c r="I5136" s="26">
        <v>43705.7337037037</v>
      </c>
      <c r="J5136" s="23" t="str">
        <f>HYPERLINK("https://www.spark-marketing.ru/Card/Person/182213", "ООО ""ЛАБОРАТОРИЯ 100""")</f>
        <v>ООО "ЛАБОРАТОРИЯ 100"</v>
      </c>
      <c r="K5136" s="24" t="s">
        <v>8014</v>
      </c>
      <c r="L5136" s="22" t="s">
        <v>10</v>
      </c>
      <c r="M5136" s="28" t="s">
        <v>51</v>
      </c>
      <c r="N5136" s="28" t="s">
        <v>51</v>
      </c>
    </row>
    <row r="5137" spans="1:14" x14ac:dyDescent="0.2">
      <c r="A5137" s="23" t="str">
        <f>HYPERLINK("https://www.spark-marketing.ru/Card/Person/734450", "МБОУ СОШ № 4 Г.БИРСКА")</f>
        <v>МБОУ СОШ № 4 Г.БИРСКА</v>
      </c>
      <c r="B5137" s="24" t="s">
        <v>8015</v>
      </c>
      <c r="C5137" s="25">
        <v>3758712.04</v>
      </c>
      <c r="D5137" s="22" t="s">
        <v>8016</v>
      </c>
      <c r="E5137" s="22" t="s">
        <v>48</v>
      </c>
      <c r="F5137" s="23" t="str">
        <f>HYPERLINK("https://www.spark-marketing.ru/Card/Lot/73129514", "Услуги по организации питания учащихся")</f>
        <v>Услуги по организации питания учащихся</v>
      </c>
      <c r="G5137" s="22" t="s">
        <v>145</v>
      </c>
      <c r="H5137" s="22" t="s">
        <v>145</v>
      </c>
      <c r="I5137" s="26">
        <v>43706.481747685197</v>
      </c>
      <c r="J5137" s="23" t="str">
        <f>HYPERLINK("https://www.spark-marketing.ru/Card/Person/993998", "Верещагин Андрей Аркадьевич")</f>
        <v>Верещагин Андрей Аркадьевич</v>
      </c>
      <c r="K5137" s="24" t="s">
        <v>8017</v>
      </c>
      <c r="L5137" s="28" t="s">
        <v>51</v>
      </c>
      <c r="M5137" s="25">
        <v>3758000</v>
      </c>
      <c r="N5137" s="27">
        <v>1.894372307382185E-4</v>
      </c>
    </row>
    <row r="5138" spans="1:14" x14ac:dyDescent="0.15">
      <c r="A5138" s="23" t="str">
        <f>HYPERLINK("https://www.spark-marketing.ru/Card/Person/4345402", "ГОБПОУ ""ГТК""")</f>
        <v>ГОБПОУ "ГТК"</v>
      </c>
      <c r="B5138" s="24" t="s">
        <v>8018</v>
      </c>
      <c r="C5138" s="25">
        <v>670800</v>
      </c>
      <c r="D5138" s="22" t="s">
        <v>8019</v>
      </c>
      <c r="E5138" s="22" t="s">
        <v>51</v>
      </c>
      <c r="F5138" s="23" t="str">
        <f>HYPERLINK("https://www.spark-marketing.ru/Card/Lot/73102987", "услуги питания")</f>
        <v>услуги питания</v>
      </c>
      <c r="G5138" s="22" t="s">
        <v>101</v>
      </c>
      <c r="H5138" s="22" t="s">
        <v>8020</v>
      </c>
      <c r="I5138" s="26">
        <v>43705.6066319444</v>
      </c>
      <c r="J5138" s="28" t="s">
        <v>51</v>
      </c>
      <c r="K5138" s="28" t="s">
        <v>51</v>
      </c>
      <c r="L5138" s="28" t="s">
        <v>51</v>
      </c>
      <c r="M5138" s="28" t="s">
        <v>51</v>
      </c>
      <c r="N5138" s="28" t="s">
        <v>51</v>
      </c>
    </row>
    <row r="5139" spans="1:14" x14ac:dyDescent="0.15">
      <c r="A5139" s="23" t="str">
        <f>HYPERLINK("https://www.spark-marketing.ru/Card/Person/149202", "МО МВД РОССИИ ""ВЫШНЕВОЛОЦКИЙ""")</f>
        <v>МО МВД РОССИИ "ВЫШНЕВОЛОЦКИЙ"</v>
      </c>
      <c r="B5139" s="24" t="s">
        <v>1042</v>
      </c>
      <c r="C5139" s="25">
        <v>45080</v>
      </c>
      <c r="D5139" s="22" t="s">
        <v>8021</v>
      </c>
      <c r="E5139" s="22" t="s">
        <v>48</v>
      </c>
      <c r="F5139" s="23" t="str">
        <f>HYPERLINK("https://www.spark-marketing.ru/Card/Lot/73101533", "Оказание услуг по организации питания (приготовлению и доставке) для ИВС, 196 усл. ед")</f>
        <v>Оказание услуг по организации питания (приготовлению и доставке) для ИВС, 196 усл. ед</v>
      </c>
      <c r="G5139" s="22" t="s">
        <v>137</v>
      </c>
      <c r="H5139" s="22" t="s">
        <v>1044</v>
      </c>
      <c r="I5139" s="26">
        <v>43706.400023148097</v>
      </c>
      <c r="J5139" s="28" t="s">
        <v>51</v>
      </c>
      <c r="K5139" s="28" t="s">
        <v>51</v>
      </c>
      <c r="L5139" s="28" t="s">
        <v>51</v>
      </c>
      <c r="M5139" s="28" t="s">
        <v>51</v>
      </c>
      <c r="N5139" s="28" t="s">
        <v>51</v>
      </c>
    </row>
    <row r="5140" spans="1:14" x14ac:dyDescent="0.15">
      <c r="A5140" s="23" t="str">
        <f>HYPERLINK("https://www.spark-marketing.ru/Card/Person/129173", "ОМВД РОССИИ ПО НОВОСЕРГИЕВСКОМУ РАЙОНУ")</f>
        <v>ОМВД РОССИИ ПО НОВОСЕРГИЕВСКОМУ РАЙОНУ</v>
      </c>
      <c r="B5140" s="24" t="s">
        <v>8022</v>
      </c>
      <c r="C5140" s="25">
        <v>272655</v>
      </c>
      <c r="D5140" s="22" t="s">
        <v>8023</v>
      </c>
      <c r="E5140" s="22" t="s">
        <v>48</v>
      </c>
      <c r="F5140" s="23" t="str">
        <f>HYPERLINK("https://www.spark-marketing.ru/Card/Lot/73101327", "Оказание услуг по питанию граждан содержищихся в ИВС и СПСЗЛ, 1 усл. ед")</f>
        <v>Оказание услуг по питанию граждан содержищихся в ИВС и СПСЗЛ, 1 усл. ед</v>
      </c>
      <c r="G5140" s="22" t="s">
        <v>132</v>
      </c>
      <c r="H5140" s="22" t="s">
        <v>132</v>
      </c>
      <c r="I5140" s="26">
        <v>43706.387442129599</v>
      </c>
      <c r="J5140" s="28" t="s">
        <v>51</v>
      </c>
      <c r="K5140" s="28" t="s">
        <v>51</v>
      </c>
      <c r="L5140" s="28" t="s">
        <v>51</v>
      </c>
      <c r="M5140" s="28" t="s">
        <v>51</v>
      </c>
      <c r="N5140" s="28" t="s">
        <v>51</v>
      </c>
    </row>
    <row r="5141" spans="1:14" x14ac:dyDescent="0.15">
      <c r="A5141" s="23" t="str">
        <f>HYPERLINK("https://www.spark-marketing.ru/Card/Person/259820", "МО МВД РОССИИ ""КРАСНОХОЛМСКИЙ""")</f>
        <v>МО МВД РОССИИ "КРАСНОХОЛМСКИЙ"</v>
      </c>
      <c r="B5141" s="24" t="s">
        <v>2722</v>
      </c>
      <c r="C5141" s="25">
        <v>43800</v>
      </c>
      <c r="D5141" s="22" t="s">
        <v>8024</v>
      </c>
      <c r="E5141" s="22" t="s">
        <v>96</v>
      </c>
      <c r="F5141" s="23" t="str">
        <f>HYPERLINK("https://www.spark-marketing.ru/Card/Lot/73101530", "Оказание услуг по организации питания (приготовлению и доставке), 146 шт")</f>
        <v>Оказание услуг по организации питания (приготовлению и доставке), 146 шт</v>
      </c>
      <c r="G5141" s="22" t="s">
        <v>137</v>
      </c>
      <c r="H5141" s="22" t="s">
        <v>2724</v>
      </c>
      <c r="I5141" s="26">
        <v>43706.399942129603</v>
      </c>
      <c r="J5141" s="28" t="s">
        <v>51</v>
      </c>
      <c r="K5141" s="28" t="s">
        <v>51</v>
      </c>
      <c r="L5141" s="28" t="s">
        <v>51</v>
      </c>
      <c r="M5141" s="28" t="s">
        <v>51</v>
      </c>
      <c r="N5141" s="28" t="s">
        <v>51</v>
      </c>
    </row>
    <row r="5142" spans="1:14" x14ac:dyDescent="0.15">
      <c r="A5142" s="23" t="str">
        <f>HYPERLINK("https://www.spark-marketing.ru/Card/Person/259820", "МО МВД РОССИИ ""КРАСНОХОЛМСКИЙ""")</f>
        <v>МО МВД РОССИИ "КРАСНОХОЛМСКИЙ"</v>
      </c>
      <c r="B5142" s="24" t="s">
        <v>2722</v>
      </c>
      <c r="C5142" s="25">
        <v>156000</v>
      </c>
      <c r="D5142" s="22" t="s">
        <v>8025</v>
      </c>
      <c r="E5142" s="22" t="s">
        <v>96</v>
      </c>
      <c r="F5142" s="23" t="str">
        <f>HYPERLINK("https://www.spark-marketing.ru/Card/Lot/73102007", "Оказание услуг по организации питания (приготовлению и доставке), 520 шт")</f>
        <v>Оказание услуг по организации питания (приготовлению и доставке), 520 шт</v>
      </c>
      <c r="G5142" s="22" t="s">
        <v>137</v>
      </c>
      <c r="H5142" s="22" t="s">
        <v>2724</v>
      </c>
      <c r="I5142" s="26">
        <v>43706.406550925902</v>
      </c>
      <c r="J5142" s="28" t="s">
        <v>51</v>
      </c>
      <c r="K5142" s="28" t="s">
        <v>51</v>
      </c>
      <c r="L5142" s="28" t="s">
        <v>51</v>
      </c>
      <c r="M5142" s="28" t="s">
        <v>51</v>
      </c>
      <c r="N5142" s="28" t="s">
        <v>51</v>
      </c>
    </row>
    <row r="5143" spans="1:14" x14ac:dyDescent="0.15">
      <c r="A5143" s="23" t="str">
        <f>HYPERLINK("https://www.spark-marketing.ru/Card/Person/129173", "ОМВД РОССИИ ПО НОВОСЕРГИЕВСКОМУ РАЙОНУ")</f>
        <v>ОМВД РОССИИ ПО НОВОСЕРГИЕВСКОМУ РАЙОНУ</v>
      </c>
      <c r="B5143" s="24" t="s">
        <v>8022</v>
      </c>
      <c r="C5143" s="25">
        <v>272655</v>
      </c>
      <c r="D5143" s="22" t="s">
        <v>8026</v>
      </c>
      <c r="E5143" s="22" t="s">
        <v>48</v>
      </c>
      <c r="F5143" s="23" t="str">
        <f>HYPERLINK("https://www.spark-marketing.ru/Card/Lot/73101385", "Оказание услуг по питанию граждан содержищихся в ИВС и СПСЗЛ, 1 усл. ед")</f>
        <v>Оказание услуг по питанию граждан содержищихся в ИВС и СПСЗЛ, 1 усл. ед</v>
      </c>
      <c r="G5143" s="22" t="s">
        <v>132</v>
      </c>
      <c r="H5143" s="22" t="s">
        <v>132</v>
      </c>
      <c r="I5143" s="26">
        <v>43706.392187500001</v>
      </c>
      <c r="J5143" s="28" t="s">
        <v>51</v>
      </c>
      <c r="K5143" s="28" t="s">
        <v>51</v>
      </c>
      <c r="L5143" s="28" t="s">
        <v>51</v>
      </c>
      <c r="M5143" s="28" t="s">
        <v>51</v>
      </c>
      <c r="N5143" s="28" t="s">
        <v>51</v>
      </c>
    </row>
    <row r="5144" spans="1:14" x14ac:dyDescent="0.15">
      <c r="A5144" s="23" t="str">
        <f>HYPERLINK("https://www.spark-marketing.ru/Card/Person/5542", "АДМИНИСТРАЦИЯ МУНИЦИПАЛЬНОГО ОБРАЗОВАНИЯ КРАСНОАРМЕЙСКИЙ РАЙОН")</f>
        <v>АДМИНИСТРАЦИЯ МУНИЦИПАЛЬНОГО ОБРАЗОВАНИЯ КРАСНОАРМЕЙСКИЙ РАЙОН</v>
      </c>
      <c r="B5144" s="24" t="s">
        <v>8027</v>
      </c>
      <c r="C5144" s="25">
        <v>18460</v>
      </c>
      <c r="D5144" s="22" t="s">
        <v>8028</v>
      </c>
      <c r="E5144" s="22" t="s">
        <v>96</v>
      </c>
      <c r="F5144" s="23" t="str">
        <f>HYPERLINK("https://www.spark-marketing.ru/Card/Lot/73101279", "Услуги по питанию участников мероприятия")</f>
        <v>Услуги по питанию участников мероприятия</v>
      </c>
      <c r="G5144" s="22" t="s">
        <v>104</v>
      </c>
      <c r="H5144" s="22" t="s">
        <v>3946</v>
      </c>
      <c r="I5144" s="26">
        <v>43705.599143518499</v>
      </c>
      <c r="J5144" s="23" t="str">
        <f>HYPERLINK("https://www.spark-marketing.ru/Card/Person/1203559", "Гаряев Андрей Анатольевич")</f>
        <v>Гаряев Андрей Анатольевич</v>
      </c>
      <c r="K5144" s="24" t="s">
        <v>8029</v>
      </c>
      <c r="L5144" s="22" t="s">
        <v>10</v>
      </c>
      <c r="M5144" s="28" t="s">
        <v>51</v>
      </c>
      <c r="N5144" s="28" t="s">
        <v>51</v>
      </c>
    </row>
    <row r="5145" spans="1:14" ht="12.75" x14ac:dyDescent="0.2">
      <c r="A5145" s="23" t="str">
        <f>HYPERLINK("https://www.spark-marketing.ru/Card/Person/71328", "МО МВД РОССИИ ""СЛАВГОРОДСКИЙ""")</f>
        <v>МО МВД РОССИИ "СЛАВГОРОДСКИЙ"</v>
      </c>
      <c r="B5145" s="24" t="s">
        <v>8030</v>
      </c>
      <c r="C5145" s="25">
        <v>264000</v>
      </c>
      <c r="D5145" s="22" t="s">
        <v>8031</v>
      </c>
      <c r="E5145" s="22" t="s">
        <v>48</v>
      </c>
      <c r="F5145" s="23" t="str">
        <f>HYPERLINK("https://www.spark-marketing.ru/Card/Lot/73102154", "услуги по обеспечению питанием лиц, содержащихся в изоляторе временного содержания и камере административно задержанных")</f>
        <v>услуги по обеспечению питанием лиц, содержащихся в изоляторе временного содержания и камере административно задержанных</v>
      </c>
      <c r="G5145" s="22" t="s">
        <v>63</v>
      </c>
      <c r="H5145" s="22" t="s">
        <v>8032</v>
      </c>
      <c r="I5145" s="26">
        <v>43706.410648148201</v>
      </c>
      <c r="J5145" s="23" t="str">
        <f>HYPERLINK("https://www.spark-marketing.ru/Card/Person/5423271", "Шнейдер Иван Александрович")</f>
        <v>Шнейдер Иван Александрович</v>
      </c>
      <c r="K5145" s="24" t="s">
        <v>8033</v>
      </c>
      <c r="L5145" s="22" t="s">
        <v>10</v>
      </c>
      <c r="M5145" s="25">
        <v>264000</v>
      </c>
      <c r="N5145" s="27">
        <v>0</v>
      </c>
    </row>
    <row r="5146" spans="1:14" ht="12.75" x14ac:dyDescent="0.2">
      <c r="A5146" s="23" t="str">
        <f>HYPERLINK("https://www.spark-marketing.ru/Card/Person/71328", "МО МВД РОССИИ ""СЛАВГОРОДСКИЙ""")</f>
        <v>МО МВД РОССИИ "СЛАВГОРОДСКИЙ"</v>
      </c>
      <c r="B5146" s="24" t="s">
        <v>8030</v>
      </c>
      <c r="C5146" s="25">
        <v>264000</v>
      </c>
      <c r="D5146" s="22" t="s">
        <v>8034</v>
      </c>
      <c r="E5146" s="22" t="s">
        <v>48</v>
      </c>
      <c r="F5146" s="23" t="str">
        <f>HYPERLINK("https://www.spark-marketing.ru/Card/Lot/73102214", "услуги по обеспечению питанием лиц, содержащихся в изоляторе временного содержания и камере административно задержанных")</f>
        <v>услуги по обеспечению питанием лиц, содержащихся в изоляторе временного содержания и камере административно задержанных</v>
      </c>
      <c r="G5146" s="22" t="s">
        <v>63</v>
      </c>
      <c r="H5146" s="22" t="s">
        <v>8032</v>
      </c>
      <c r="I5146" s="26">
        <v>43706.441874999997</v>
      </c>
      <c r="J5146" s="23" t="str">
        <f>HYPERLINK("https://www.spark-marketing.ru/Card/Person/5423271", "Шнейдер Иван Александрович")</f>
        <v>Шнейдер Иван Александрович</v>
      </c>
      <c r="K5146" s="24" t="s">
        <v>8033</v>
      </c>
      <c r="L5146" s="22" t="s">
        <v>10</v>
      </c>
      <c r="M5146" s="25">
        <v>264000</v>
      </c>
      <c r="N5146" s="27">
        <v>0</v>
      </c>
    </row>
    <row r="5147" spans="1:14" x14ac:dyDescent="0.15">
      <c r="A5147" s="23" t="str">
        <f>HYPERLINK("https://www.spark-marketing.ru/Card/Person/129173", "ОМВД РОССИИ ПО НОВОСЕРГИЕВСКОМУ РАЙОНУ")</f>
        <v>ОМВД РОССИИ ПО НОВОСЕРГИЕВСКОМУ РАЙОНУ</v>
      </c>
      <c r="B5147" s="24" t="s">
        <v>8022</v>
      </c>
      <c r="C5147" s="25">
        <v>272655</v>
      </c>
      <c r="D5147" s="22" t="s">
        <v>8035</v>
      </c>
      <c r="E5147" s="22" t="s">
        <v>48</v>
      </c>
      <c r="F5147" s="23" t="str">
        <f>HYPERLINK("https://www.spark-marketing.ru/Card/Lot/73100112", "Оказание услуг по питанию граждан содержищихся в ИВС и СПСЗЛ, 1 усл. ед")</f>
        <v>Оказание услуг по питанию граждан содержищихся в ИВС и СПСЗЛ, 1 усл. ед</v>
      </c>
      <c r="G5147" s="22" t="s">
        <v>132</v>
      </c>
      <c r="H5147" s="22" t="s">
        <v>132</v>
      </c>
      <c r="I5147" s="26">
        <v>43706.363541666702</v>
      </c>
      <c r="J5147" s="28" t="s">
        <v>51</v>
      </c>
      <c r="K5147" s="28" t="s">
        <v>51</v>
      </c>
      <c r="L5147" s="28" t="s">
        <v>51</v>
      </c>
      <c r="M5147" s="28" t="s">
        <v>51</v>
      </c>
      <c r="N5147" s="28" t="s">
        <v>51</v>
      </c>
    </row>
    <row r="5148" spans="1:14" x14ac:dyDescent="0.15">
      <c r="A5148" s="23" t="str">
        <f>HYPERLINK("https://www.spark-marketing.ru/Card/Person/997722", "МО МВД РОССИИ ""КРАСНОБАКОВСКИЙ""")</f>
        <v>МО МВД РОССИИ "КРАСНОБАКОВСКИЙ"</v>
      </c>
      <c r="B5148" s="24" t="s">
        <v>8036</v>
      </c>
      <c r="C5148" s="25">
        <v>380000</v>
      </c>
      <c r="D5148" s="22" t="s">
        <v>8037</v>
      </c>
      <c r="E5148" s="22" t="s">
        <v>96</v>
      </c>
      <c r="F5148" s="23" t="str">
        <f>HYPERLINK("https://www.spark-marketing.ru/Card/Lot/73101316", "Организация питания ИВС")</f>
        <v>Организация питания ИВС</v>
      </c>
      <c r="G5148" s="22" t="s">
        <v>76</v>
      </c>
      <c r="H5148" s="22" t="s">
        <v>8038</v>
      </c>
      <c r="I5148" s="26">
        <v>43705.642256944397</v>
      </c>
      <c r="J5148" s="28" t="s">
        <v>51</v>
      </c>
      <c r="K5148" s="28" t="s">
        <v>51</v>
      </c>
      <c r="L5148" s="28" t="s">
        <v>51</v>
      </c>
      <c r="M5148" s="28" t="s">
        <v>51</v>
      </c>
      <c r="N5148" s="28" t="s">
        <v>51</v>
      </c>
    </row>
    <row r="5149" spans="1:14" x14ac:dyDescent="0.15">
      <c r="A5149" s="23" t="str">
        <f>HYPERLINK("https://www.spark-marketing.ru/Card/Person/5542", "АДМИНИСТРАЦИЯ МУНИЦИПАЛЬНОГО ОБРАЗОВАНИЯ КРАСНОАРМЕЙСКИЙ РАЙОН")</f>
        <v>АДМИНИСТРАЦИЯ МУНИЦИПАЛЬНОГО ОБРАЗОВАНИЯ КРАСНОАРМЕЙСКИЙ РАЙОН</v>
      </c>
      <c r="B5149" s="24" t="s">
        <v>8027</v>
      </c>
      <c r="C5149" s="25">
        <v>31200</v>
      </c>
      <c r="D5149" s="22" t="s">
        <v>8039</v>
      </c>
      <c r="E5149" s="22" t="s">
        <v>96</v>
      </c>
      <c r="F5149" s="23" t="str">
        <f>HYPERLINK("https://www.spark-marketing.ru/Card/Lot/73101300", "Услуги по питанию участников мероприятия")</f>
        <v>Услуги по питанию участников мероприятия</v>
      </c>
      <c r="G5149" s="22" t="s">
        <v>104</v>
      </c>
      <c r="H5149" s="22" t="s">
        <v>3946</v>
      </c>
      <c r="I5149" s="26">
        <v>43705.619039351899</v>
      </c>
      <c r="J5149" s="23" t="str">
        <f>HYPERLINK("https://www.spark-marketing.ru/Card/Person/179049", "ООО ""ОБЩЕПИТ"" КРАСНОАРМЕЙСКОГО РАЙПОТРЕБСОЮЗА")</f>
        <v>ООО "ОБЩЕПИТ" КРАСНОАРМЕЙСКОГО РАЙПОТРЕБСОЮЗА</v>
      </c>
      <c r="K5149" s="24" t="s">
        <v>8040</v>
      </c>
      <c r="L5149" s="22" t="s">
        <v>10</v>
      </c>
      <c r="M5149" s="28" t="s">
        <v>51</v>
      </c>
      <c r="N5149" s="28" t="s">
        <v>51</v>
      </c>
    </row>
    <row r="5150" spans="1:14" x14ac:dyDescent="0.15">
      <c r="A5150" s="23" t="str">
        <f>HYPERLINK("https://www.spark-marketing.ru/Card/Person/3937", "ПРЕФЕКТУРА ЗАПАДНОГО АДМИНИСТРАТИВНОГО ОКРУГА ГОРОДА МОСКВЫ")</f>
        <v>ПРЕФЕКТУРА ЗАПАДНОГО АДМИНИСТРАТИВНОГО ОКРУГА ГОРОДА МОСКВЫ</v>
      </c>
      <c r="B5150" s="24" t="s">
        <v>8041</v>
      </c>
      <c r="C5150" s="25">
        <v>150000</v>
      </c>
      <c r="D5150" s="22" t="s">
        <v>8042</v>
      </c>
      <c r="E5150" s="22" t="s">
        <v>48</v>
      </c>
      <c r="F5150" s="23" t="str">
        <f>HYPERLINK("https://www.spark-marketing.ru/Card/Lot/73101430", "Оказание услуг по организации и проведению торжественных обедов для льготных категорий граждан, посвященных памятным датам")</f>
        <v>Оказание услуг по организации и проведению торжественных обедов для льготных категорий граждан, посвященных памятным датам</v>
      </c>
      <c r="G5150" s="22" t="s">
        <v>56</v>
      </c>
      <c r="H5150" s="22" t="s">
        <v>56</v>
      </c>
      <c r="I5150" s="26">
        <v>43706.351759259298</v>
      </c>
      <c r="J5150" s="23" t="str">
        <f>HYPERLINK("https://www.spark-marketing.ru/Card/Person/943429", "ООО ""СК ВОЛНА""")</f>
        <v>ООО "СК ВОЛНА"</v>
      </c>
      <c r="K5150" s="24" t="s">
        <v>8043</v>
      </c>
      <c r="L5150" s="22" t="s">
        <v>10</v>
      </c>
      <c r="M5150" s="28" t="s">
        <v>51</v>
      </c>
      <c r="N5150" s="28" t="s">
        <v>51</v>
      </c>
    </row>
    <row r="5151" spans="1:14" x14ac:dyDescent="0.2">
      <c r="A5151" s="23" t="s">
        <v>114</v>
      </c>
      <c r="B5151" s="28" t="s">
        <v>51</v>
      </c>
      <c r="C5151" s="25">
        <v>97416258.469999999</v>
      </c>
      <c r="D5151" s="22" t="s">
        <v>8044</v>
      </c>
      <c r="E5151" s="22" t="s">
        <v>8045</v>
      </c>
      <c r="F5151" s="23" t="str">
        <f t="shared" ref="F5151:F5182" si="99">HYPERLINK("https://www.spark-marketing.ru/Card/Lot/73129651", "Право заключения муниципального контракта на оказание услуг по организации питания  для  ДОУ г. Нижнекамска и Нижнекамского муниципального района.")</f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51" s="22" t="s">
        <v>51</v>
      </c>
      <c r="H5151" s="22" t="s">
        <v>51</v>
      </c>
      <c r="I5151" s="26">
        <v>43706.355659722198</v>
      </c>
      <c r="J5151" s="23" t="str">
        <f t="shared" ref="J5151:J5182" si="100">HYPERLINK("https://www.spark-marketing.ru/Card/Person/5852030", "ООО ""АБК-ПЭЙМЕНТ""")</f>
        <v>ООО "АБК-ПЭЙМЕНТ"</v>
      </c>
      <c r="K5151" s="24" t="s">
        <v>5605</v>
      </c>
      <c r="L5151" s="28" t="s">
        <v>51</v>
      </c>
      <c r="M5151" s="25">
        <v>97416258.469999999</v>
      </c>
      <c r="N5151" s="27">
        <v>0</v>
      </c>
    </row>
    <row r="5152" spans="1:14" hidden="1" outlineLevel="1" x14ac:dyDescent="0.2">
      <c r="A5152" s="23" t="str">
        <f>HYPERLINK("https://www.spark-marketing.ru/Card/Person/135431", "МБДОУ ""ДЕТСКИЙ САД ОБЩЕРАЗВИВАЮЩЕГО ВИДА ""СКАЗКА"" НМР РТ")</f>
        <v>МБДОУ "ДЕТСКИЙ САД ОБЩЕРАЗВИВАЮЩЕГО ВИДА "СКАЗКА" НМР РТ</v>
      </c>
      <c r="B5152" s="24" t="s">
        <v>8046</v>
      </c>
      <c r="C5152" s="25">
        <v>547482.31999999995</v>
      </c>
      <c r="D5152" s="22" t="s">
        <v>8044</v>
      </c>
      <c r="E5152" s="22" t="s">
        <v>8045</v>
      </c>
      <c r="F5152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52" s="22" t="s">
        <v>217</v>
      </c>
      <c r="H5152" s="22" t="s">
        <v>5604</v>
      </c>
      <c r="I5152" s="26">
        <v>43706.355659722198</v>
      </c>
      <c r="J5152" s="23" t="str">
        <f t="shared" si="100"/>
        <v>ООО "АБК-ПЭЙМЕНТ"</v>
      </c>
      <c r="K5152" s="24" t="s">
        <v>5605</v>
      </c>
      <c r="L5152" s="28" t="s">
        <v>51</v>
      </c>
      <c r="M5152" s="28" t="s">
        <v>51</v>
      </c>
      <c r="N5152" s="27">
        <v>0</v>
      </c>
    </row>
    <row r="5153" spans="1:14" hidden="1" outlineLevel="1" x14ac:dyDescent="0.2">
      <c r="A5153" s="23" t="str">
        <f>HYPERLINK("https://www.spark-marketing.ru/Card/Person/148031", "МАДОУ ""ДЕТСКИЙ САД ПРИСМОТРА И ОЗДОРОВЛЕНИЯ ДЛЯ ДЕТЕЙ С УРОЛОГИЧЕСКИМИ ЗАБОЛЕВАНИЯМИ №64"" НМР РТ")</f>
        <v>МАДОУ "ДЕТСКИЙ САД ПРИСМОТРА И ОЗДОРОВЛЕНИЯ ДЛЯ ДЕТЕЙ С УРОЛОГИЧЕСКИМИ ЗАБОЛЕВАНИЯМИ №64" НМР РТ</v>
      </c>
      <c r="B5153" s="24" t="s">
        <v>8047</v>
      </c>
      <c r="C5153" s="25">
        <v>1334382.7</v>
      </c>
      <c r="D5153" s="22" t="s">
        <v>8044</v>
      </c>
      <c r="E5153" s="22" t="s">
        <v>8045</v>
      </c>
      <c r="F5153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53" s="22" t="s">
        <v>217</v>
      </c>
      <c r="H5153" s="22" t="s">
        <v>5604</v>
      </c>
      <c r="I5153" s="26">
        <v>43706.355659722198</v>
      </c>
      <c r="J5153" s="23" t="str">
        <f t="shared" si="100"/>
        <v>ООО "АБК-ПЭЙМЕНТ"</v>
      </c>
      <c r="K5153" s="24" t="s">
        <v>5605</v>
      </c>
      <c r="L5153" s="28" t="s">
        <v>51</v>
      </c>
      <c r="M5153" s="28" t="s">
        <v>51</v>
      </c>
      <c r="N5153" s="27">
        <v>0</v>
      </c>
    </row>
    <row r="5154" spans="1:14" hidden="1" outlineLevel="1" x14ac:dyDescent="0.2">
      <c r="A5154" s="23" t="str">
        <f>HYPERLINK("https://www.spark-marketing.ru/Card/Person/148077", "МАДОУ ""ДЕТСКИЙ САД ОБЩЕРАЗВИВАЮЩЕГО ВИДА №80"" НМР РТ")</f>
        <v>МАДОУ "ДЕТСКИЙ САД ОБЩЕРАЗВИВАЮЩЕГО ВИДА №80" НМР РТ</v>
      </c>
      <c r="B5154" s="24" t="s">
        <v>8048</v>
      </c>
      <c r="C5154" s="25">
        <v>1761408.2</v>
      </c>
      <c r="D5154" s="22" t="s">
        <v>8044</v>
      </c>
      <c r="E5154" s="22" t="s">
        <v>8045</v>
      </c>
      <c r="F5154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54" s="22" t="s">
        <v>217</v>
      </c>
      <c r="H5154" s="22" t="s">
        <v>5604</v>
      </c>
      <c r="I5154" s="26">
        <v>43706.355659722198</v>
      </c>
      <c r="J5154" s="23" t="str">
        <f t="shared" si="100"/>
        <v>ООО "АБК-ПЭЙМЕНТ"</v>
      </c>
      <c r="K5154" s="24" t="s">
        <v>5605</v>
      </c>
      <c r="L5154" s="28" t="s">
        <v>51</v>
      </c>
      <c r="M5154" s="28" t="s">
        <v>51</v>
      </c>
      <c r="N5154" s="27">
        <v>0</v>
      </c>
    </row>
    <row r="5155" spans="1:14" hidden="1" outlineLevel="1" x14ac:dyDescent="0.2">
      <c r="A5155" s="23" t="str">
        <f>HYPERLINK("https://www.spark-marketing.ru/Card/Person/148084", "МАДОУ ""ДЕТСКИЙ САД ОБЩЕРАЗВИВАЮЩЕГО ВИДА № 72"" НМР РТ")</f>
        <v>МАДОУ "ДЕТСКИЙ САД ОБЩЕРАЗВИВАЮЩЕГО ВИДА № 72" НМР РТ</v>
      </c>
      <c r="B5155" s="24" t="s">
        <v>8049</v>
      </c>
      <c r="C5155" s="25">
        <v>2034609.61</v>
      </c>
      <c r="D5155" s="22" t="s">
        <v>8044</v>
      </c>
      <c r="E5155" s="22" t="s">
        <v>8045</v>
      </c>
      <c r="F5155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55" s="22" t="s">
        <v>217</v>
      </c>
      <c r="H5155" s="22" t="s">
        <v>5604</v>
      </c>
      <c r="I5155" s="26">
        <v>43706.355659722198</v>
      </c>
      <c r="J5155" s="23" t="str">
        <f t="shared" si="100"/>
        <v>ООО "АБК-ПЭЙМЕНТ"</v>
      </c>
      <c r="K5155" s="24" t="s">
        <v>5605</v>
      </c>
      <c r="L5155" s="28" t="s">
        <v>51</v>
      </c>
      <c r="M5155" s="28" t="s">
        <v>51</v>
      </c>
      <c r="N5155" s="27">
        <v>0</v>
      </c>
    </row>
    <row r="5156" spans="1:14" hidden="1" outlineLevel="1" x14ac:dyDescent="0.2">
      <c r="A5156" s="23" t="str">
        <f>HYPERLINK("https://www.spark-marketing.ru/Card/Person/148160", "МБДОУ ""ДЕТСКИЙ САД ОБЩЕРАЗВИВАЮЩЕГО ВИДА №47""НМР РТ")</f>
        <v>МБДОУ "ДЕТСКИЙ САД ОБЩЕРАЗВИВАЮЩЕГО ВИДА №47"НМР РТ</v>
      </c>
      <c r="B5156" s="24" t="s">
        <v>8050</v>
      </c>
      <c r="C5156" s="25">
        <v>1651467.19</v>
      </c>
      <c r="D5156" s="22" t="s">
        <v>8044</v>
      </c>
      <c r="E5156" s="22" t="s">
        <v>8045</v>
      </c>
      <c r="F5156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56" s="22" t="s">
        <v>217</v>
      </c>
      <c r="H5156" s="22" t="s">
        <v>5604</v>
      </c>
      <c r="I5156" s="26">
        <v>43706.355659722198</v>
      </c>
      <c r="J5156" s="23" t="str">
        <f t="shared" si="100"/>
        <v>ООО "АБК-ПЭЙМЕНТ"</v>
      </c>
      <c r="K5156" s="24" t="s">
        <v>5605</v>
      </c>
      <c r="L5156" s="28" t="s">
        <v>51</v>
      </c>
      <c r="M5156" s="28" t="s">
        <v>51</v>
      </c>
      <c r="N5156" s="27">
        <v>0</v>
      </c>
    </row>
    <row r="5157" spans="1:14" hidden="1" outlineLevel="1" x14ac:dyDescent="0.2">
      <c r="A5157" s="23" t="str">
        <f>HYPERLINK("https://www.spark-marketing.ru/Card/Person/148204", "МАДОУ ""ДЕТСКИЙ САД КОМБИНИРОВАННОГО ВИДА №87"" НМР РТ")</f>
        <v>МАДОУ "ДЕТСКИЙ САД КОМБИНИРОВАННОГО ВИДА №87" НМР РТ</v>
      </c>
      <c r="B5157" s="24" t="s">
        <v>8051</v>
      </c>
      <c r="C5157" s="25">
        <v>649875.30000000005</v>
      </c>
      <c r="D5157" s="22" t="s">
        <v>8044</v>
      </c>
      <c r="E5157" s="22" t="s">
        <v>8045</v>
      </c>
      <c r="F5157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57" s="22" t="s">
        <v>217</v>
      </c>
      <c r="H5157" s="22" t="s">
        <v>5604</v>
      </c>
      <c r="I5157" s="26">
        <v>43706.355659722198</v>
      </c>
      <c r="J5157" s="23" t="str">
        <f t="shared" si="100"/>
        <v>ООО "АБК-ПЭЙМЕНТ"</v>
      </c>
      <c r="K5157" s="24" t="s">
        <v>5605</v>
      </c>
      <c r="L5157" s="28" t="s">
        <v>51</v>
      </c>
      <c r="M5157" s="28" t="s">
        <v>51</v>
      </c>
      <c r="N5157" s="27">
        <v>0</v>
      </c>
    </row>
    <row r="5158" spans="1:14" hidden="1" outlineLevel="1" x14ac:dyDescent="0.2">
      <c r="A5158" s="23" t="str">
        <f>HYPERLINK("https://www.spark-marketing.ru/Card/Person/148243", "МАДОУ ""ДЕТСКИЙ САД ОБЩЕРАЗВИВАЮЩЕГО ВИДА №74"" НМР РТ")</f>
        <v>МАДОУ "ДЕТСКИЙ САД ОБЩЕРАЗВИВАЮЩЕГО ВИДА №74" НМР РТ</v>
      </c>
      <c r="B5158" s="24" t="s">
        <v>8052</v>
      </c>
      <c r="C5158" s="25">
        <v>1338381.52</v>
      </c>
      <c r="D5158" s="22" t="s">
        <v>8044</v>
      </c>
      <c r="E5158" s="22" t="s">
        <v>8045</v>
      </c>
      <c r="F5158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58" s="22" t="s">
        <v>217</v>
      </c>
      <c r="H5158" s="22" t="s">
        <v>5604</v>
      </c>
      <c r="I5158" s="26">
        <v>43706.355659722198</v>
      </c>
      <c r="J5158" s="23" t="str">
        <f t="shared" si="100"/>
        <v>ООО "АБК-ПЭЙМЕНТ"</v>
      </c>
      <c r="K5158" s="24" t="s">
        <v>5605</v>
      </c>
      <c r="L5158" s="28" t="s">
        <v>51</v>
      </c>
      <c r="M5158" s="28" t="s">
        <v>51</v>
      </c>
      <c r="N5158" s="27">
        <v>0</v>
      </c>
    </row>
    <row r="5159" spans="1:14" hidden="1" outlineLevel="1" x14ac:dyDescent="0.2">
      <c r="A5159" s="23" t="str">
        <f>HYPERLINK("https://www.spark-marketing.ru/Card/Person/148245", "МБДОУ ""ДЕТСКИЙ САД КОМБИНИРОВАННОГО ВИДА С ГРУППАМИ ДЛЯ ТУБИНФИЦИРОВАННЫХ ДЕТЕЙ № 75"" НМР РТ")</f>
        <v>МБДОУ "ДЕТСКИЙ САД КОМБИНИРОВАННОГО ВИДА С ГРУППАМИ ДЛЯ ТУБИНФИЦИРОВАННЫХ ДЕТЕЙ № 75" НМР РТ</v>
      </c>
      <c r="B5159" s="24" t="s">
        <v>8053</v>
      </c>
      <c r="C5159" s="25">
        <v>2272825.54</v>
      </c>
      <c r="D5159" s="22" t="s">
        <v>8044</v>
      </c>
      <c r="E5159" s="22" t="s">
        <v>8045</v>
      </c>
      <c r="F5159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59" s="22" t="s">
        <v>217</v>
      </c>
      <c r="H5159" s="22" t="s">
        <v>5604</v>
      </c>
      <c r="I5159" s="26">
        <v>43706.355659722198</v>
      </c>
      <c r="J5159" s="23" t="str">
        <f t="shared" si="100"/>
        <v>ООО "АБК-ПЭЙМЕНТ"</v>
      </c>
      <c r="K5159" s="24" t="s">
        <v>5605</v>
      </c>
      <c r="L5159" s="28" t="s">
        <v>51</v>
      </c>
      <c r="M5159" s="28" t="s">
        <v>51</v>
      </c>
      <c r="N5159" s="27">
        <v>0</v>
      </c>
    </row>
    <row r="5160" spans="1:14" hidden="1" outlineLevel="1" x14ac:dyDescent="0.2">
      <c r="A5160" s="23" t="str">
        <f>HYPERLINK("https://www.spark-marketing.ru/Card/Person/148264", "МАДОУ ""ДЕТСКИЙ САД ОБЩЕРАЗВИВАЮЩЕГО ВИДА №88"" НМР РТ")</f>
        <v>МАДОУ "ДЕТСКИЙ САД ОБЩЕРАЗВИВАЮЩЕГО ВИДА №88" НМР РТ</v>
      </c>
      <c r="B5160" s="24" t="s">
        <v>8054</v>
      </c>
      <c r="C5160" s="25">
        <v>1595259.7</v>
      </c>
      <c r="D5160" s="22" t="s">
        <v>8044</v>
      </c>
      <c r="E5160" s="22" t="s">
        <v>8045</v>
      </c>
      <c r="F5160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60" s="22" t="s">
        <v>217</v>
      </c>
      <c r="H5160" s="22" t="s">
        <v>5604</v>
      </c>
      <c r="I5160" s="26">
        <v>43706.355659722198</v>
      </c>
      <c r="J5160" s="23" t="str">
        <f t="shared" si="100"/>
        <v>ООО "АБК-ПЭЙМЕНТ"</v>
      </c>
      <c r="K5160" s="24" t="s">
        <v>5605</v>
      </c>
      <c r="L5160" s="28" t="s">
        <v>51</v>
      </c>
      <c r="M5160" s="28" t="s">
        <v>51</v>
      </c>
      <c r="N5160" s="27">
        <v>0</v>
      </c>
    </row>
    <row r="5161" spans="1:14" hidden="1" outlineLevel="1" x14ac:dyDescent="0.2">
      <c r="A5161" s="23" t="str">
        <f>HYPERLINK("https://www.spark-marketing.ru/Card/Person/148287", "МАДОУ ""ДЕТСКИЙ САД ОБЩЕРАЗВИВАЮЩЕГО ВИДА №49"" НМР РТ")</f>
        <v>МАДОУ "ДЕТСКИЙ САД ОБЩЕРАЗВИВАЮЩЕГО ВИДА №49" НМР РТ</v>
      </c>
      <c r="B5161" s="24" t="s">
        <v>8055</v>
      </c>
      <c r="C5161" s="25">
        <v>549945.48</v>
      </c>
      <c r="D5161" s="22" t="s">
        <v>8044</v>
      </c>
      <c r="E5161" s="22" t="s">
        <v>8045</v>
      </c>
      <c r="F5161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61" s="22" t="s">
        <v>217</v>
      </c>
      <c r="H5161" s="22" t="s">
        <v>5604</v>
      </c>
      <c r="I5161" s="26">
        <v>43706.355659722198</v>
      </c>
      <c r="J5161" s="23" t="str">
        <f t="shared" si="100"/>
        <v>ООО "АБК-ПЭЙМЕНТ"</v>
      </c>
      <c r="K5161" s="24" t="s">
        <v>5605</v>
      </c>
      <c r="L5161" s="28" t="s">
        <v>51</v>
      </c>
      <c r="M5161" s="28" t="s">
        <v>51</v>
      </c>
      <c r="N5161" s="27">
        <v>0</v>
      </c>
    </row>
    <row r="5162" spans="1:14" hidden="1" outlineLevel="1" x14ac:dyDescent="0.2">
      <c r="A5162" s="23" t="str">
        <f>HYPERLINK("https://www.spark-marketing.ru/Card/Person/148301", "МБДОУ ""ДЕТСКИЙ САД КОМБИНИРОВАННОГО ВИДА №53"" НМР РТ")</f>
        <v>МБДОУ "ДЕТСКИЙ САД КОМБИНИРОВАННОГО ВИДА №53" НМР РТ</v>
      </c>
      <c r="B5162" s="24" t="s">
        <v>8056</v>
      </c>
      <c r="C5162" s="25">
        <v>1152655.32</v>
      </c>
      <c r="D5162" s="22" t="s">
        <v>8044</v>
      </c>
      <c r="E5162" s="22" t="s">
        <v>8045</v>
      </c>
      <c r="F5162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62" s="22" t="s">
        <v>217</v>
      </c>
      <c r="H5162" s="22" t="s">
        <v>5604</v>
      </c>
      <c r="I5162" s="26">
        <v>43706.355659722198</v>
      </c>
      <c r="J5162" s="23" t="str">
        <f t="shared" si="100"/>
        <v>ООО "АБК-ПЭЙМЕНТ"</v>
      </c>
      <c r="K5162" s="24" t="s">
        <v>5605</v>
      </c>
      <c r="L5162" s="28" t="s">
        <v>51</v>
      </c>
      <c r="M5162" s="28" t="s">
        <v>51</v>
      </c>
      <c r="N5162" s="27">
        <v>0</v>
      </c>
    </row>
    <row r="5163" spans="1:14" hidden="1" outlineLevel="1" x14ac:dyDescent="0.2">
      <c r="A5163" s="23" t="str">
        <f>HYPERLINK("https://www.spark-marketing.ru/Card/Person/148302", "МБДОУ ""ДЕТСКИЙ САД ОБЩЕРАЗВИВАЮЩЕГО ВИДА № 50"" НМРРТ")</f>
        <v>МБДОУ "ДЕТСКИЙ САД ОБЩЕРАЗВИВАЮЩЕГО ВИДА № 50" НМРРТ</v>
      </c>
      <c r="B5163" s="24" t="s">
        <v>8057</v>
      </c>
      <c r="C5163" s="25">
        <v>563061.85</v>
      </c>
      <c r="D5163" s="22" t="s">
        <v>8044</v>
      </c>
      <c r="E5163" s="22" t="s">
        <v>8045</v>
      </c>
      <c r="F5163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63" s="22" t="s">
        <v>217</v>
      </c>
      <c r="H5163" s="22" t="s">
        <v>5604</v>
      </c>
      <c r="I5163" s="26">
        <v>43706.355659722198</v>
      </c>
      <c r="J5163" s="23" t="str">
        <f t="shared" si="100"/>
        <v>ООО "АБК-ПЭЙМЕНТ"</v>
      </c>
      <c r="K5163" s="24" t="s">
        <v>5605</v>
      </c>
      <c r="L5163" s="28" t="s">
        <v>51</v>
      </c>
      <c r="M5163" s="28" t="s">
        <v>51</v>
      </c>
      <c r="N5163" s="27">
        <v>0</v>
      </c>
    </row>
    <row r="5164" spans="1:14" hidden="1" outlineLevel="1" x14ac:dyDescent="0.2">
      <c r="A5164" s="23" t="str">
        <f>HYPERLINK("https://www.spark-marketing.ru/Card/Person/148325", "МБДОУ ""ДЕТСКИЙ САД КОМБИНИРОВАННОГО ВИДА №29"" НМРРТ")</f>
        <v>МБДОУ "ДЕТСКИЙ САД КОМБИНИРОВАННОГО ВИДА №29" НМРРТ</v>
      </c>
      <c r="B5164" s="24" t="s">
        <v>8058</v>
      </c>
      <c r="C5164" s="25">
        <v>933158.63</v>
      </c>
      <c r="D5164" s="22" t="s">
        <v>8044</v>
      </c>
      <c r="E5164" s="22" t="s">
        <v>8045</v>
      </c>
      <c r="F5164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64" s="22" t="s">
        <v>217</v>
      </c>
      <c r="H5164" s="22" t="s">
        <v>5604</v>
      </c>
      <c r="I5164" s="26">
        <v>43706.355659722198</v>
      </c>
      <c r="J5164" s="23" t="str">
        <f t="shared" si="100"/>
        <v>ООО "АБК-ПЭЙМЕНТ"</v>
      </c>
      <c r="K5164" s="24" t="s">
        <v>5605</v>
      </c>
      <c r="L5164" s="28" t="s">
        <v>51</v>
      </c>
      <c r="M5164" s="28" t="s">
        <v>51</v>
      </c>
      <c r="N5164" s="27">
        <v>0</v>
      </c>
    </row>
    <row r="5165" spans="1:14" hidden="1" outlineLevel="1" x14ac:dyDescent="0.2">
      <c r="A5165" s="23" t="str">
        <f>HYPERLINK("https://www.spark-marketing.ru/Card/Person/148345", "МАДОУ ""ДЕТСКИЙ САД ОБЩЕРАЗВИВАЮЩЕГО ВИДА №45"" НМР РТ")</f>
        <v>МАДОУ "ДЕТСКИЙ САД ОБЩЕРАЗВИВАЮЩЕГО ВИДА №45" НМР РТ</v>
      </c>
      <c r="B5165" s="24" t="s">
        <v>8059</v>
      </c>
      <c r="C5165" s="25">
        <v>1423071.52</v>
      </c>
      <c r="D5165" s="22" t="s">
        <v>8044</v>
      </c>
      <c r="E5165" s="22" t="s">
        <v>8045</v>
      </c>
      <c r="F5165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65" s="22" t="s">
        <v>217</v>
      </c>
      <c r="H5165" s="22" t="s">
        <v>5604</v>
      </c>
      <c r="I5165" s="26">
        <v>43706.355659722198</v>
      </c>
      <c r="J5165" s="23" t="str">
        <f t="shared" si="100"/>
        <v>ООО "АБК-ПЭЙМЕНТ"</v>
      </c>
      <c r="K5165" s="24" t="s">
        <v>5605</v>
      </c>
      <c r="L5165" s="28" t="s">
        <v>51</v>
      </c>
      <c r="M5165" s="28" t="s">
        <v>51</v>
      </c>
      <c r="N5165" s="27">
        <v>0</v>
      </c>
    </row>
    <row r="5166" spans="1:14" hidden="1" outlineLevel="1" x14ac:dyDescent="0.2">
      <c r="A5166" s="23" t="str">
        <f>HYPERLINK("https://www.spark-marketing.ru/Card/Person/148389", "МАДОУ ""ДЕТСКИЙ САД ОБЩЕРАЗВИВАЮЩЕГО ВИДА №35"" НМР РТ")</f>
        <v>МАДОУ "ДЕТСКИЙ САД ОБЩЕРАЗВИВАЮЩЕГО ВИДА №35" НМР РТ</v>
      </c>
      <c r="B5166" s="24" t="s">
        <v>8060</v>
      </c>
      <c r="C5166" s="25">
        <v>1429584.38</v>
      </c>
      <c r="D5166" s="22" t="s">
        <v>8044</v>
      </c>
      <c r="E5166" s="22" t="s">
        <v>8045</v>
      </c>
      <c r="F5166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66" s="22" t="s">
        <v>217</v>
      </c>
      <c r="H5166" s="22" t="s">
        <v>5604</v>
      </c>
      <c r="I5166" s="26">
        <v>43706.355659722198</v>
      </c>
      <c r="J5166" s="23" t="str">
        <f t="shared" si="100"/>
        <v>ООО "АБК-ПЭЙМЕНТ"</v>
      </c>
      <c r="K5166" s="24" t="s">
        <v>5605</v>
      </c>
      <c r="L5166" s="28" t="s">
        <v>51</v>
      </c>
      <c r="M5166" s="28" t="s">
        <v>51</v>
      </c>
      <c r="N5166" s="27">
        <v>0</v>
      </c>
    </row>
    <row r="5167" spans="1:14" hidden="1" outlineLevel="1" x14ac:dyDescent="0.2">
      <c r="A5167" s="23" t="str">
        <f>HYPERLINK("https://www.spark-marketing.ru/Card/Person/148413", "МБДОУ ""ДЕТСКИЙ САД ОБЩЕРАЗВИВАЮЩЕГО ВИДА №33"" НМР РТ")</f>
        <v>МБДОУ "ДЕТСКИЙ САД ОБЩЕРАЗВИВАЮЩЕГО ВИДА №33" НМР РТ</v>
      </c>
      <c r="B5167" s="24" t="s">
        <v>8061</v>
      </c>
      <c r="C5167" s="25">
        <v>1303835.92</v>
      </c>
      <c r="D5167" s="22" t="s">
        <v>8044</v>
      </c>
      <c r="E5167" s="22" t="s">
        <v>8045</v>
      </c>
      <c r="F5167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67" s="22" t="s">
        <v>217</v>
      </c>
      <c r="H5167" s="22" t="s">
        <v>5604</v>
      </c>
      <c r="I5167" s="26">
        <v>43706.355659722198</v>
      </c>
      <c r="J5167" s="23" t="str">
        <f t="shared" si="100"/>
        <v>ООО "АБК-ПЭЙМЕНТ"</v>
      </c>
      <c r="K5167" s="24" t="s">
        <v>5605</v>
      </c>
      <c r="L5167" s="28" t="s">
        <v>51</v>
      </c>
      <c r="M5167" s="28" t="s">
        <v>51</v>
      </c>
      <c r="N5167" s="27">
        <v>0</v>
      </c>
    </row>
    <row r="5168" spans="1:14" hidden="1" outlineLevel="1" x14ac:dyDescent="0.2">
      <c r="A5168" s="23" t="str">
        <f>HYPERLINK("https://www.spark-marketing.ru/Card/Person/148487", "МБДОУ ""ДЕТСКИЙ САД ОБЩЕРАЗВИВАЮЩЕГО ВИДА №34"" НМР РТ")</f>
        <v>МБДОУ "ДЕТСКИЙ САД ОБЩЕРАЗВИВАЮЩЕГО ВИДА №34" НМР РТ</v>
      </c>
      <c r="B5168" s="24" t="s">
        <v>8062</v>
      </c>
      <c r="C5168" s="25">
        <v>1258177.6200000001</v>
      </c>
      <c r="D5168" s="22" t="s">
        <v>8044</v>
      </c>
      <c r="E5168" s="22" t="s">
        <v>8045</v>
      </c>
      <c r="F5168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68" s="22" t="s">
        <v>217</v>
      </c>
      <c r="H5168" s="22" t="s">
        <v>5604</v>
      </c>
      <c r="I5168" s="26">
        <v>43706.355659722198</v>
      </c>
      <c r="J5168" s="23" t="str">
        <f t="shared" si="100"/>
        <v>ООО "АБК-ПЭЙМЕНТ"</v>
      </c>
      <c r="K5168" s="24" t="s">
        <v>5605</v>
      </c>
      <c r="L5168" s="28" t="s">
        <v>51</v>
      </c>
      <c r="M5168" s="28" t="s">
        <v>51</v>
      </c>
      <c r="N5168" s="27">
        <v>0</v>
      </c>
    </row>
    <row r="5169" spans="1:14" hidden="1" outlineLevel="1" x14ac:dyDescent="0.2">
      <c r="A5169" s="23" t="str">
        <f>HYPERLINK("https://www.spark-marketing.ru/Card/Person/148504", "МАДОУ ""ДЕТСКИЙ САД ОБЩЕРАЗВИВАЮЩЕГО ВИДА №86"" НМР РТ")</f>
        <v>МАДОУ "ДЕТСКИЙ САД ОБЩЕРАЗВИВАЮЩЕГО ВИДА №86" НМР РТ</v>
      </c>
      <c r="B5169" s="24" t="s">
        <v>8063</v>
      </c>
      <c r="C5169" s="25">
        <v>1195345.9199999999</v>
      </c>
      <c r="D5169" s="22" t="s">
        <v>8044</v>
      </c>
      <c r="E5169" s="22" t="s">
        <v>8045</v>
      </c>
      <c r="F5169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69" s="22" t="s">
        <v>217</v>
      </c>
      <c r="H5169" s="22" t="s">
        <v>5604</v>
      </c>
      <c r="I5169" s="26">
        <v>43706.355659722198</v>
      </c>
      <c r="J5169" s="23" t="str">
        <f t="shared" si="100"/>
        <v>ООО "АБК-ПЭЙМЕНТ"</v>
      </c>
      <c r="K5169" s="24" t="s">
        <v>5605</v>
      </c>
      <c r="L5169" s="28" t="s">
        <v>51</v>
      </c>
      <c r="M5169" s="28" t="s">
        <v>51</v>
      </c>
      <c r="N5169" s="27">
        <v>0</v>
      </c>
    </row>
    <row r="5170" spans="1:14" hidden="1" outlineLevel="1" x14ac:dyDescent="0.2">
      <c r="A5170" s="23" t="str">
        <f>HYPERLINK("https://www.spark-marketing.ru/Card/Person/148519", "МБДОУ ""ДЕТСКИЙ САД ОБЩЕРАЗВИВАЮЩЕГО ВИДА № 39"" НМР РТ")</f>
        <v>МБДОУ "ДЕТСКИЙ САД ОБЩЕРАЗВИВАЮЩЕГО ВИДА № 39" НМР РТ</v>
      </c>
      <c r="B5170" s="24" t="s">
        <v>8064</v>
      </c>
      <c r="C5170" s="25">
        <v>1704214.59</v>
      </c>
      <c r="D5170" s="22" t="s">
        <v>8044</v>
      </c>
      <c r="E5170" s="22" t="s">
        <v>8045</v>
      </c>
      <c r="F5170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70" s="22" t="s">
        <v>217</v>
      </c>
      <c r="H5170" s="22" t="s">
        <v>5604</v>
      </c>
      <c r="I5170" s="26">
        <v>43706.355659722198</v>
      </c>
      <c r="J5170" s="23" t="str">
        <f t="shared" si="100"/>
        <v>ООО "АБК-ПЭЙМЕНТ"</v>
      </c>
      <c r="K5170" s="24" t="s">
        <v>5605</v>
      </c>
      <c r="L5170" s="28" t="s">
        <v>51</v>
      </c>
      <c r="M5170" s="28" t="s">
        <v>51</v>
      </c>
      <c r="N5170" s="27">
        <v>0</v>
      </c>
    </row>
    <row r="5171" spans="1:14" hidden="1" outlineLevel="1" x14ac:dyDescent="0.2">
      <c r="A5171" s="23" t="str">
        <f>HYPERLINK("https://www.spark-marketing.ru/Card/Person/148532", "МАДОУ ""ДЕТСКИЙ САД КОМБИНИРОВАННОГО ВИДА С ГРУППАМИ ДЛЯ ДЕТЕЙ С НАРУШЕНИЯМИ РЕЧИ №41"" НМР РТ")</f>
        <v>МАДОУ "ДЕТСКИЙ САД КОМБИНИРОВАННОГО ВИДА С ГРУППАМИ ДЛЯ ДЕТЕЙ С НАРУШЕНИЯМИ РЕЧИ №41" НМР РТ</v>
      </c>
      <c r="B5171" s="24" t="s">
        <v>8065</v>
      </c>
      <c r="C5171" s="25">
        <v>903810.08</v>
      </c>
      <c r="D5171" s="22" t="s">
        <v>8044</v>
      </c>
      <c r="E5171" s="22" t="s">
        <v>8045</v>
      </c>
      <c r="F5171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71" s="22" t="s">
        <v>217</v>
      </c>
      <c r="H5171" s="22" t="s">
        <v>5604</v>
      </c>
      <c r="I5171" s="26">
        <v>43706.355659722198</v>
      </c>
      <c r="J5171" s="23" t="str">
        <f t="shared" si="100"/>
        <v>ООО "АБК-ПЭЙМЕНТ"</v>
      </c>
      <c r="K5171" s="24" t="s">
        <v>5605</v>
      </c>
      <c r="L5171" s="28" t="s">
        <v>51</v>
      </c>
      <c r="M5171" s="28" t="s">
        <v>51</v>
      </c>
      <c r="N5171" s="27">
        <v>0</v>
      </c>
    </row>
    <row r="5172" spans="1:14" hidden="1" outlineLevel="1" x14ac:dyDescent="0.2">
      <c r="A5172" s="23" t="str">
        <f>HYPERLINK("https://www.spark-marketing.ru/Card/Person/148548", "МБДОУ ""ДЕТСКИЙ САД ОБЩЕРАЗВИВАЮЩЕГО ВИДА №37"" НМР РТ")</f>
        <v>МБДОУ "ДЕТСКИЙ САД ОБЩЕРАЗВИВАЮЩЕГО ВИДА №37" НМР РТ</v>
      </c>
      <c r="B5172" s="24" t="s">
        <v>6296</v>
      </c>
      <c r="C5172" s="25">
        <v>1209886</v>
      </c>
      <c r="D5172" s="22" t="s">
        <v>8044</v>
      </c>
      <c r="E5172" s="22" t="s">
        <v>8045</v>
      </c>
      <c r="F5172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72" s="22" t="s">
        <v>217</v>
      </c>
      <c r="H5172" s="22" t="s">
        <v>5604</v>
      </c>
      <c r="I5172" s="26">
        <v>43706.355659722198</v>
      </c>
      <c r="J5172" s="23" t="str">
        <f t="shared" si="100"/>
        <v>ООО "АБК-ПЭЙМЕНТ"</v>
      </c>
      <c r="K5172" s="24" t="s">
        <v>5605</v>
      </c>
      <c r="L5172" s="28" t="s">
        <v>51</v>
      </c>
      <c r="M5172" s="28" t="s">
        <v>51</v>
      </c>
      <c r="N5172" s="27">
        <v>0</v>
      </c>
    </row>
    <row r="5173" spans="1:14" hidden="1" outlineLevel="1" x14ac:dyDescent="0.2">
      <c r="A5173" s="23" t="str">
        <f>HYPERLINK("https://www.spark-marketing.ru/Card/Person/148555", "МБДОУ ""ДЕТСКИЙ САД ОБЩЕРАЗВИВАЮЩЕГО ВИДА №31"" НМР РТ")</f>
        <v>МБДОУ "ДЕТСКИЙ САД ОБЩЕРАЗВИВАЮЩЕГО ВИДА №31" НМР РТ</v>
      </c>
      <c r="B5173" s="24" t="s">
        <v>8066</v>
      </c>
      <c r="C5173" s="25">
        <v>1618595.3</v>
      </c>
      <c r="D5173" s="22" t="s">
        <v>8044</v>
      </c>
      <c r="E5173" s="22" t="s">
        <v>8045</v>
      </c>
      <c r="F5173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73" s="22" t="s">
        <v>217</v>
      </c>
      <c r="H5173" s="22" t="s">
        <v>5604</v>
      </c>
      <c r="I5173" s="26">
        <v>43706.355659722198</v>
      </c>
      <c r="J5173" s="23" t="str">
        <f t="shared" si="100"/>
        <v>ООО "АБК-ПЭЙМЕНТ"</v>
      </c>
      <c r="K5173" s="24" t="s">
        <v>5605</v>
      </c>
      <c r="L5173" s="28" t="s">
        <v>51</v>
      </c>
      <c r="M5173" s="28" t="s">
        <v>51</v>
      </c>
      <c r="N5173" s="27">
        <v>0</v>
      </c>
    </row>
    <row r="5174" spans="1:14" hidden="1" outlineLevel="1" x14ac:dyDescent="0.2">
      <c r="A5174" s="23" t="str">
        <f>HYPERLINK("https://www.spark-marketing.ru/Card/Person/148566", "МБДОУ ""ДЕТСКИЙ САД ОБЩЕРАЗВИВАЮЩЕГО ВИДА № 36"" НМР РТ")</f>
        <v>МБДОУ "ДЕТСКИЙ САД ОБЩЕРАЗВИВАЮЩЕГО ВИДА № 36" НМР РТ</v>
      </c>
      <c r="B5174" s="24" t="s">
        <v>8067</v>
      </c>
      <c r="C5174" s="25">
        <v>1371200</v>
      </c>
      <c r="D5174" s="22" t="s">
        <v>8044</v>
      </c>
      <c r="E5174" s="22" t="s">
        <v>8045</v>
      </c>
      <c r="F5174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74" s="22" t="s">
        <v>217</v>
      </c>
      <c r="H5174" s="22" t="s">
        <v>5604</v>
      </c>
      <c r="I5174" s="26">
        <v>43706.355659722198</v>
      </c>
      <c r="J5174" s="23" t="str">
        <f t="shared" si="100"/>
        <v>ООО "АБК-ПЭЙМЕНТ"</v>
      </c>
      <c r="K5174" s="24" t="s">
        <v>5605</v>
      </c>
      <c r="L5174" s="28" t="s">
        <v>51</v>
      </c>
      <c r="M5174" s="28" t="s">
        <v>51</v>
      </c>
      <c r="N5174" s="27">
        <v>0</v>
      </c>
    </row>
    <row r="5175" spans="1:14" hidden="1" outlineLevel="1" x14ac:dyDescent="0.2">
      <c r="A5175" s="23" t="str">
        <f>HYPERLINK("https://www.spark-marketing.ru/Card/Person/148570", "МБДОУ ""ДЕТСКИЙ САД КОМБИНИРОВАННОГО ВИДА № 40"" НМР РТ")</f>
        <v>МБДОУ "ДЕТСКИЙ САД КОМБИНИРОВАННОГО ВИДА № 40" НМР РТ</v>
      </c>
      <c r="B5175" s="24" t="s">
        <v>8068</v>
      </c>
      <c r="C5175" s="25">
        <v>1279910.45</v>
      </c>
      <c r="D5175" s="22" t="s">
        <v>8044</v>
      </c>
      <c r="E5175" s="22" t="s">
        <v>8045</v>
      </c>
      <c r="F5175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75" s="22" t="s">
        <v>217</v>
      </c>
      <c r="H5175" s="22" t="s">
        <v>5604</v>
      </c>
      <c r="I5175" s="26">
        <v>43706.355659722198</v>
      </c>
      <c r="J5175" s="23" t="str">
        <f t="shared" si="100"/>
        <v>ООО "АБК-ПЭЙМЕНТ"</v>
      </c>
      <c r="K5175" s="24" t="s">
        <v>5605</v>
      </c>
      <c r="L5175" s="28" t="s">
        <v>51</v>
      </c>
      <c r="M5175" s="28" t="s">
        <v>51</v>
      </c>
      <c r="N5175" s="27">
        <v>0</v>
      </c>
    </row>
    <row r="5176" spans="1:14" hidden="1" outlineLevel="1" x14ac:dyDescent="0.2">
      <c r="A5176" s="23" t="str">
        <f>HYPERLINK("https://www.spark-marketing.ru/Card/Person/148874", "МБДОУ ""ДЕТСКИЙ САД КОМБИНИРОВАННОГО ВИДА №68"" НМР РТ")</f>
        <v>МБДОУ "ДЕТСКИЙ САД КОМБИНИРОВАННОГО ВИДА №68" НМР РТ</v>
      </c>
      <c r="B5176" s="24" t="s">
        <v>8069</v>
      </c>
      <c r="C5176" s="25">
        <v>1500044.85</v>
      </c>
      <c r="D5176" s="22" t="s">
        <v>8044</v>
      </c>
      <c r="E5176" s="22" t="s">
        <v>8045</v>
      </c>
      <c r="F5176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76" s="22" t="s">
        <v>217</v>
      </c>
      <c r="H5176" s="22" t="s">
        <v>5604</v>
      </c>
      <c r="I5176" s="26">
        <v>43706.355659722198</v>
      </c>
      <c r="J5176" s="23" t="str">
        <f t="shared" si="100"/>
        <v>ООО "АБК-ПЭЙМЕНТ"</v>
      </c>
      <c r="K5176" s="24" t="s">
        <v>5605</v>
      </c>
      <c r="L5176" s="28" t="s">
        <v>51</v>
      </c>
      <c r="M5176" s="28" t="s">
        <v>51</v>
      </c>
      <c r="N5176" s="27">
        <v>0</v>
      </c>
    </row>
    <row r="5177" spans="1:14" hidden="1" outlineLevel="1" x14ac:dyDescent="0.2">
      <c r="A5177" s="23" t="str">
        <f>HYPERLINK("https://www.spark-marketing.ru/Card/Person/148875", "МБДОУ ""ДЕТСКИЙ САД КОМПЕНСИРУЮЩЕГО ВИДА С ПРИОРИТЕТНЫМ ОСУЩЕСТВЛЕНИЕМ КВАЛИФИЦИРОВАННОЙ КОРРЕКЦИИ ДЕТЕЙ С НАРУШЕНИЯМИ ЗРЕНИЯ №70"" НМР РТ")</f>
        <v>МБДОУ "ДЕТСКИЙ САД КОМПЕНСИРУЮЩЕГО ВИДА С ПРИОРИТЕТНЫМ ОСУЩЕСТВЛЕНИЕМ КВАЛИФИЦИРОВАННОЙ КОРРЕКЦИИ ДЕТЕЙ С НАРУШЕНИЯМИ ЗРЕНИЯ №70" НМР РТ</v>
      </c>
      <c r="B5177" s="24" t="s">
        <v>8070</v>
      </c>
      <c r="C5177" s="25">
        <v>615224.71</v>
      </c>
      <c r="D5177" s="22" t="s">
        <v>8044</v>
      </c>
      <c r="E5177" s="22" t="s">
        <v>8045</v>
      </c>
      <c r="F5177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77" s="22" t="s">
        <v>217</v>
      </c>
      <c r="H5177" s="22" t="s">
        <v>5604</v>
      </c>
      <c r="I5177" s="26">
        <v>43706.355659722198</v>
      </c>
      <c r="J5177" s="23" t="str">
        <f t="shared" si="100"/>
        <v>ООО "АБК-ПЭЙМЕНТ"</v>
      </c>
      <c r="K5177" s="24" t="s">
        <v>5605</v>
      </c>
      <c r="L5177" s="28" t="s">
        <v>51</v>
      </c>
      <c r="M5177" s="28" t="s">
        <v>51</v>
      </c>
      <c r="N5177" s="27">
        <v>0</v>
      </c>
    </row>
    <row r="5178" spans="1:14" hidden="1" outlineLevel="1" x14ac:dyDescent="0.2">
      <c r="A5178" s="23" t="str">
        <f>HYPERLINK("https://www.spark-marketing.ru/Card/Person/148916", "МБДОУ ""ДЕТСКИЙ САД ОБЩЕРАЗВИВАЮЩЕГО ВИДА №25"" НМР РТ")</f>
        <v>МБДОУ "ДЕТСКИЙ САД ОБЩЕРАЗВИВАЮЩЕГО ВИДА №25" НМР РТ</v>
      </c>
      <c r="B5178" s="24" t="s">
        <v>8071</v>
      </c>
      <c r="C5178" s="25">
        <v>1127148.8</v>
      </c>
      <c r="D5178" s="22" t="s">
        <v>8044</v>
      </c>
      <c r="E5178" s="22" t="s">
        <v>8045</v>
      </c>
      <c r="F5178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78" s="22" t="s">
        <v>217</v>
      </c>
      <c r="H5178" s="22" t="s">
        <v>5604</v>
      </c>
      <c r="I5178" s="26">
        <v>43706.355659722198</v>
      </c>
      <c r="J5178" s="23" t="str">
        <f t="shared" si="100"/>
        <v>ООО "АБК-ПЭЙМЕНТ"</v>
      </c>
      <c r="K5178" s="24" t="s">
        <v>5605</v>
      </c>
      <c r="L5178" s="28" t="s">
        <v>51</v>
      </c>
      <c r="M5178" s="28" t="s">
        <v>51</v>
      </c>
      <c r="N5178" s="27">
        <v>0</v>
      </c>
    </row>
    <row r="5179" spans="1:14" hidden="1" outlineLevel="1" x14ac:dyDescent="0.2">
      <c r="A5179" s="23" t="str">
        <f>HYPERLINK("https://www.spark-marketing.ru/Card/Person/148958", "МБДОУ ""ДЕТСКИЙ САД ОБЩЕРАЗВИВАЮЩЕГО ВИДА № 67"" НМРРТ")</f>
        <v>МБДОУ "ДЕТСКИЙ САД ОБЩЕРАЗВИВАЮЩЕГО ВИДА № 67" НМРРТ</v>
      </c>
      <c r="B5179" s="24" t="s">
        <v>8072</v>
      </c>
      <c r="C5179" s="25">
        <v>945173.04</v>
      </c>
      <c r="D5179" s="22" t="s">
        <v>8044</v>
      </c>
      <c r="E5179" s="22" t="s">
        <v>8045</v>
      </c>
      <c r="F5179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79" s="22" t="s">
        <v>217</v>
      </c>
      <c r="H5179" s="22" t="s">
        <v>5604</v>
      </c>
      <c r="I5179" s="26">
        <v>43706.355659722198</v>
      </c>
      <c r="J5179" s="23" t="str">
        <f t="shared" si="100"/>
        <v>ООО "АБК-ПЭЙМЕНТ"</v>
      </c>
      <c r="K5179" s="24" t="s">
        <v>5605</v>
      </c>
      <c r="L5179" s="28" t="s">
        <v>51</v>
      </c>
      <c r="M5179" s="28" t="s">
        <v>51</v>
      </c>
      <c r="N5179" s="27">
        <v>0</v>
      </c>
    </row>
    <row r="5180" spans="1:14" hidden="1" outlineLevel="1" x14ac:dyDescent="0.2">
      <c r="A5180" s="23" t="str">
        <f>HYPERLINK("https://www.spark-marketing.ru/Card/Person/148989", "МАДОУ ""ДЕТСКИЙ САД ОБЩЕРАЗВИВАЮЩЕГО ВИДА №66"" НМР РТ")</f>
        <v>МАДОУ "ДЕТСКИЙ САД ОБЩЕРАЗВИВАЮЩЕГО ВИДА №66" НМР РТ</v>
      </c>
      <c r="B5180" s="24" t="s">
        <v>8073</v>
      </c>
      <c r="C5180" s="25">
        <v>639673.93000000005</v>
      </c>
      <c r="D5180" s="22" t="s">
        <v>8044</v>
      </c>
      <c r="E5180" s="22" t="s">
        <v>8045</v>
      </c>
      <c r="F5180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80" s="22" t="s">
        <v>217</v>
      </c>
      <c r="H5180" s="22" t="s">
        <v>5604</v>
      </c>
      <c r="I5180" s="26">
        <v>43706.355659722198</v>
      </c>
      <c r="J5180" s="23" t="str">
        <f t="shared" si="100"/>
        <v>ООО "АБК-ПЭЙМЕНТ"</v>
      </c>
      <c r="K5180" s="24" t="s">
        <v>5605</v>
      </c>
      <c r="L5180" s="28" t="s">
        <v>51</v>
      </c>
      <c r="M5180" s="28" t="s">
        <v>51</v>
      </c>
      <c r="N5180" s="27">
        <v>0</v>
      </c>
    </row>
    <row r="5181" spans="1:14" hidden="1" outlineLevel="1" x14ac:dyDescent="0.2">
      <c r="A5181" s="23" t="str">
        <f>HYPERLINK("https://www.spark-marketing.ru/Card/Person/148991", "МБДОУ ""ДЕТСКИЙ САД КОМБИНИРОВАННОГО ВИДА №73"" НМР РТ")</f>
        <v>МБДОУ "ДЕТСКИЙ САД КОМБИНИРОВАННОГО ВИДА №73" НМР РТ</v>
      </c>
      <c r="B5181" s="24" t="s">
        <v>8074</v>
      </c>
      <c r="C5181" s="25">
        <v>1113566.3</v>
      </c>
      <c r="D5181" s="22" t="s">
        <v>8044</v>
      </c>
      <c r="E5181" s="22" t="s">
        <v>8045</v>
      </c>
      <c r="F5181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81" s="22" t="s">
        <v>217</v>
      </c>
      <c r="H5181" s="22" t="s">
        <v>5604</v>
      </c>
      <c r="I5181" s="26">
        <v>43706.355659722198</v>
      </c>
      <c r="J5181" s="23" t="str">
        <f t="shared" si="100"/>
        <v>ООО "АБК-ПЭЙМЕНТ"</v>
      </c>
      <c r="K5181" s="24" t="s">
        <v>5605</v>
      </c>
      <c r="L5181" s="28" t="s">
        <v>51</v>
      </c>
      <c r="M5181" s="28" t="s">
        <v>51</v>
      </c>
      <c r="N5181" s="27">
        <v>0</v>
      </c>
    </row>
    <row r="5182" spans="1:14" hidden="1" outlineLevel="1" x14ac:dyDescent="0.2">
      <c r="A5182" s="23" t="str">
        <f>HYPERLINK("https://www.spark-marketing.ru/Card/Person/149041", "МБДОУ ""ДЕТСКИЙ САД ОБЩЕРАЗВИВАЮЩЕГО ВИДА №7"" НМР РТ")</f>
        <v>МБДОУ "ДЕТСКИЙ САД ОБЩЕРАЗВИВАЮЩЕГО ВИДА №7" НМР РТ</v>
      </c>
      <c r="B5182" s="24" t="s">
        <v>8075</v>
      </c>
      <c r="C5182" s="25">
        <v>1576591.5</v>
      </c>
      <c r="D5182" s="22" t="s">
        <v>8044</v>
      </c>
      <c r="E5182" s="22" t="s">
        <v>8045</v>
      </c>
      <c r="F5182" s="23" t="str">
        <f t="shared" si="99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82" s="22" t="s">
        <v>217</v>
      </c>
      <c r="H5182" s="22" t="s">
        <v>5604</v>
      </c>
      <c r="I5182" s="26">
        <v>43706.355659722198</v>
      </c>
      <c r="J5182" s="23" t="str">
        <f t="shared" si="100"/>
        <v>ООО "АБК-ПЭЙМЕНТ"</v>
      </c>
      <c r="K5182" s="24" t="s">
        <v>5605</v>
      </c>
      <c r="L5182" s="28" t="s">
        <v>51</v>
      </c>
      <c r="M5182" s="28" t="s">
        <v>51</v>
      </c>
      <c r="N5182" s="27">
        <v>0</v>
      </c>
    </row>
    <row r="5183" spans="1:14" hidden="1" outlineLevel="1" x14ac:dyDescent="0.2">
      <c r="A5183" s="23" t="str">
        <f>HYPERLINK("https://www.spark-marketing.ru/Card/Person/149043", "МБДОУ ""ДЕТСКИЙ САД ОБЩЕРАЗВИВАЮЩЕГО ВИДА №9"" НМР РТ")</f>
        <v>МБДОУ "ДЕТСКИЙ САД ОБЩЕРАЗВИВАЮЩЕГО ВИДА №9" НМР РТ</v>
      </c>
      <c r="B5183" s="24" t="s">
        <v>8076</v>
      </c>
      <c r="C5183" s="25">
        <v>1278021</v>
      </c>
      <c r="D5183" s="22" t="s">
        <v>8044</v>
      </c>
      <c r="E5183" s="22" t="s">
        <v>8045</v>
      </c>
      <c r="F5183" s="23" t="str">
        <f t="shared" ref="F5183:F5214" si="101">HYPERLINK("https://www.spark-marketing.ru/Card/Lot/73129651", "Право заключения муниципального контракта на оказание услуг по организации питания  для  ДОУ г. Нижнекамска и Нижнекамского муниципального района.")</f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83" s="22" t="s">
        <v>217</v>
      </c>
      <c r="H5183" s="22" t="s">
        <v>5604</v>
      </c>
      <c r="I5183" s="26">
        <v>43706.355659722198</v>
      </c>
      <c r="J5183" s="23" t="str">
        <f t="shared" ref="J5183:J5214" si="102">HYPERLINK("https://www.spark-marketing.ru/Card/Person/5852030", "ООО ""АБК-ПЭЙМЕНТ""")</f>
        <v>ООО "АБК-ПЭЙМЕНТ"</v>
      </c>
      <c r="K5183" s="24" t="s">
        <v>5605</v>
      </c>
      <c r="L5183" s="28" t="s">
        <v>51</v>
      </c>
      <c r="M5183" s="28" t="s">
        <v>51</v>
      </c>
      <c r="N5183" s="27">
        <v>0</v>
      </c>
    </row>
    <row r="5184" spans="1:14" hidden="1" outlineLevel="1" x14ac:dyDescent="0.2">
      <c r="A5184" s="23" t="str">
        <f>HYPERLINK("https://www.spark-marketing.ru/Card/Person/149045", "МБДОУ ""ДЕТСКИЙ САД ОБЩЕРАЗВИВАЮЩЕГО ВИДА № 11"" НМРРТ")</f>
        <v>МБДОУ "ДЕТСКИЙ САД ОБЩЕРАЗВИВАЮЩЕГО ВИДА № 11" НМРРТ</v>
      </c>
      <c r="B5184" s="24" t="s">
        <v>8077</v>
      </c>
      <c r="C5184" s="25">
        <v>471474.01</v>
      </c>
      <c r="D5184" s="22" t="s">
        <v>8044</v>
      </c>
      <c r="E5184" s="22" t="s">
        <v>8045</v>
      </c>
      <c r="F5184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84" s="22" t="s">
        <v>217</v>
      </c>
      <c r="H5184" s="22" t="s">
        <v>5604</v>
      </c>
      <c r="I5184" s="26">
        <v>43706.355659722198</v>
      </c>
      <c r="J5184" s="23" t="str">
        <f t="shared" si="102"/>
        <v>ООО "АБК-ПЭЙМЕНТ"</v>
      </c>
      <c r="K5184" s="24" t="s">
        <v>5605</v>
      </c>
      <c r="L5184" s="28" t="s">
        <v>51</v>
      </c>
      <c r="M5184" s="28" t="s">
        <v>51</v>
      </c>
      <c r="N5184" s="27">
        <v>0</v>
      </c>
    </row>
    <row r="5185" spans="1:14" hidden="1" outlineLevel="1" x14ac:dyDescent="0.2">
      <c r="A5185" s="23" t="str">
        <f>HYPERLINK("https://www.spark-marketing.ru/Card/Person/149110", "МАДОУ ""ДЕТСКИЙ САД ОБЩЕРАЗВИВАЮЩЕГО ВИДА №84"" НМР РТ")</f>
        <v>МАДОУ "ДЕТСКИЙ САД ОБЩЕРАЗВИВАЮЩЕГО ВИДА №84" НМР РТ</v>
      </c>
      <c r="B5185" s="24" t="s">
        <v>8078</v>
      </c>
      <c r="C5185" s="25">
        <v>1757282.24</v>
      </c>
      <c r="D5185" s="22" t="s">
        <v>8044</v>
      </c>
      <c r="E5185" s="22" t="s">
        <v>8045</v>
      </c>
      <c r="F5185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85" s="22" t="s">
        <v>217</v>
      </c>
      <c r="H5185" s="22" t="s">
        <v>5604</v>
      </c>
      <c r="I5185" s="26">
        <v>43706.355659722198</v>
      </c>
      <c r="J5185" s="23" t="str">
        <f t="shared" si="102"/>
        <v>ООО "АБК-ПЭЙМЕНТ"</v>
      </c>
      <c r="K5185" s="24" t="s">
        <v>5605</v>
      </c>
      <c r="L5185" s="28" t="s">
        <v>51</v>
      </c>
      <c r="M5185" s="28" t="s">
        <v>51</v>
      </c>
      <c r="N5185" s="27">
        <v>0</v>
      </c>
    </row>
    <row r="5186" spans="1:14" hidden="1" outlineLevel="1" x14ac:dyDescent="0.2">
      <c r="A5186" s="23" t="str">
        <f>HYPERLINK("https://www.spark-marketing.ru/Card/Person/149125", "МАДОУ ""ДЕТСКИЙ САД КОМБИНИРОВАННОГО ВИДА С ГРУППАМИ ДЛЯ ДЕТЕЙ С НАРУШЕНИЯМИ РЕЧИ №57"" НМР РТ")</f>
        <v>МАДОУ "ДЕТСКИЙ САД КОМБИНИРОВАННОГО ВИДА С ГРУППАМИ ДЛЯ ДЕТЕЙ С НАРУШЕНИЯМИ РЕЧИ №57" НМР РТ</v>
      </c>
      <c r="B5186" s="24" t="s">
        <v>8079</v>
      </c>
      <c r="C5186" s="25">
        <v>1235714.54</v>
      </c>
      <c r="D5186" s="22" t="s">
        <v>8044</v>
      </c>
      <c r="E5186" s="22" t="s">
        <v>8045</v>
      </c>
      <c r="F5186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86" s="22" t="s">
        <v>217</v>
      </c>
      <c r="H5186" s="22" t="s">
        <v>5604</v>
      </c>
      <c r="I5186" s="26">
        <v>43706.355659722198</v>
      </c>
      <c r="J5186" s="23" t="str">
        <f t="shared" si="102"/>
        <v>ООО "АБК-ПЭЙМЕНТ"</v>
      </c>
      <c r="K5186" s="24" t="s">
        <v>5605</v>
      </c>
      <c r="L5186" s="28" t="s">
        <v>51</v>
      </c>
      <c r="M5186" s="28" t="s">
        <v>51</v>
      </c>
      <c r="N5186" s="27">
        <v>0</v>
      </c>
    </row>
    <row r="5187" spans="1:14" hidden="1" outlineLevel="1" x14ac:dyDescent="0.2">
      <c r="A5187" s="23" t="str">
        <f>HYPERLINK("https://www.spark-marketing.ru/Card/Person/149129", "МБДОУ ""ДЕТСКИЙ САД ОБЩЕРАЗВИВАЮЩЕГО ВИДА № 28"" НМР РТ")</f>
        <v>МБДОУ "ДЕТСКИЙ САД ОБЩЕРАЗВИВАЮЩЕГО ВИДА № 28" НМР РТ</v>
      </c>
      <c r="B5187" s="24" t="s">
        <v>8080</v>
      </c>
      <c r="C5187" s="25">
        <v>672743.8</v>
      </c>
      <c r="D5187" s="22" t="s">
        <v>8044</v>
      </c>
      <c r="E5187" s="22" t="s">
        <v>8045</v>
      </c>
      <c r="F5187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87" s="22" t="s">
        <v>217</v>
      </c>
      <c r="H5187" s="22" t="s">
        <v>5604</v>
      </c>
      <c r="I5187" s="26">
        <v>43706.355659722198</v>
      </c>
      <c r="J5187" s="23" t="str">
        <f t="shared" si="102"/>
        <v>ООО "АБК-ПЭЙМЕНТ"</v>
      </c>
      <c r="K5187" s="24" t="s">
        <v>5605</v>
      </c>
      <c r="L5187" s="28" t="s">
        <v>51</v>
      </c>
      <c r="M5187" s="28" t="s">
        <v>51</v>
      </c>
      <c r="N5187" s="27">
        <v>0</v>
      </c>
    </row>
    <row r="5188" spans="1:14" hidden="1" outlineLevel="1" x14ac:dyDescent="0.2">
      <c r="A5188" s="23" t="str">
        <f>HYPERLINK("https://www.spark-marketing.ru/Card/Person/149186", "МАДОУ ""ДЕТСКИЙ САД ОБЩЕРАЗВИВАЮЩЕГО ВИДА №43"" НМР РТ")</f>
        <v>МАДОУ "ДЕТСКИЙ САД ОБЩЕРАЗВИВАЮЩЕГО ВИДА №43" НМР РТ</v>
      </c>
      <c r="B5188" s="24" t="s">
        <v>8081</v>
      </c>
      <c r="C5188" s="25">
        <v>1169087.5</v>
      </c>
      <c r="D5188" s="22" t="s">
        <v>8044</v>
      </c>
      <c r="E5188" s="22" t="s">
        <v>8045</v>
      </c>
      <c r="F5188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88" s="22" t="s">
        <v>217</v>
      </c>
      <c r="H5188" s="22" t="s">
        <v>5604</v>
      </c>
      <c r="I5188" s="26">
        <v>43706.355659722198</v>
      </c>
      <c r="J5188" s="23" t="str">
        <f t="shared" si="102"/>
        <v>ООО "АБК-ПЭЙМЕНТ"</v>
      </c>
      <c r="K5188" s="24" t="s">
        <v>5605</v>
      </c>
      <c r="L5188" s="28" t="s">
        <v>51</v>
      </c>
      <c r="M5188" s="28" t="s">
        <v>51</v>
      </c>
      <c r="N5188" s="27">
        <v>0</v>
      </c>
    </row>
    <row r="5189" spans="1:14" hidden="1" outlineLevel="1" x14ac:dyDescent="0.2">
      <c r="A5189" s="23" t="str">
        <f>HYPERLINK("https://www.spark-marketing.ru/Card/Person/149238", "МАДОУ ""ДЕТСКИЙ САД ОБЩЕРАЗВИВАЮЩЕГО ВИДА № 58"" НМР РТ")</f>
        <v>МАДОУ "ДЕТСКИЙ САД ОБЩЕРАЗВИВАЮЩЕГО ВИДА № 58" НМР РТ</v>
      </c>
      <c r="B5189" s="24" t="s">
        <v>8082</v>
      </c>
      <c r="C5189" s="25">
        <v>999693.57</v>
      </c>
      <c r="D5189" s="22" t="s">
        <v>8044</v>
      </c>
      <c r="E5189" s="22" t="s">
        <v>8045</v>
      </c>
      <c r="F5189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89" s="22" t="s">
        <v>217</v>
      </c>
      <c r="H5189" s="22" t="s">
        <v>5604</v>
      </c>
      <c r="I5189" s="26">
        <v>43706.355659722198</v>
      </c>
      <c r="J5189" s="23" t="str">
        <f t="shared" si="102"/>
        <v>ООО "АБК-ПЭЙМЕНТ"</v>
      </c>
      <c r="K5189" s="24" t="s">
        <v>5605</v>
      </c>
      <c r="L5189" s="28" t="s">
        <v>51</v>
      </c>
      <c r="M5189" s="28" t="s">
        <v>51</v>
      </c>
      <c r="N5189" s="27">
        <v>0</v>
      </c>
    </row>
    <row r="5190" spans="1:14" hidden="1" outlineLevel="1" x14ac:dyDescent="0.2">
      <c r="A5190" s="23" t="str">
        <f>HYPERLINK("https://www.spark-marketing.ru/Card/Person/149242", "МАДОУ ""ДЕТСКИЙ САД КОМБИНИРОВАННОГО ВИДА С ГРУППАМИ ДЛЯ ТУБИНФИЦИРОВАННЫХ ДЕТЕЙ №61"" НМР РТ")</f>
        <v>МАДОУ "ДЕТСКИЙ САД КОМБИНИРОВАННОГО ВИДА С ГРУППАМИ ДЛЯ ТУБИНФИЦИРОВАННЫХ ДЕТЕЙ №61" НМР РТ</v>
      </c>
      <c r="B5190" s="24" t="s">
        <v>8083</v>
      </c>
      <c r="C5190" s="25">
        <v>1765435.57</v>
      </c>
      <c r="D5190" s="22" t="s">
        <v>8044</v>
      </c>
      <c r="E5190" s="22" t="s">
        <v>8045</v>
      </c>
      <c r="F5190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90" s="22" t="s">
        <v>217</v>
      </c>
      <c r="H5190" s="22" t="s">
        <v>5604</v>
      </c>
      <c r="I5190" s="26">
        <v>43706.355659722198</v>
      </c>
      <c r="J5190" s="23" t="str">
        <f t="shared" si="102"/>
        <v>ООО "АБК-ПЭЙМЕНТ"</v>
      </c>
      <c r="K5190" s="24" t="s">
        <v>5605</v>
      </c>
      <c r="L5190" s="28" t="s">
        <v>51</v>
      </c>
      <c r="M5190" s="28" t="s">
        <v>51</v>
      </c>
      <c r="N5190" s="27">
        <v>0</v>
      </c>
    </row>
    <row r="5191" spans="1:14" hidden="1" outlineLevel="1" x14ac:dyDescent="0.2">
      <c r="A5191" s="23" t="str">
        <f>HYPERLINK("https://www.spark-marketing.ru/Card/Person/149253", "МБДОУ ""ДЕТСКИЙ САД ОБЩЕРАЗВИВАЮЩЕГО ВИДА № 32"" НМР РТ")</f>
        <v>МБДОУ "ДЕТСКИЙ САД ОБЩЕРАЗВИВАЮЩЕГО ВИДА № 32" НМР РТ</v>
      </c>
      <c r="B5191" s="24" t="s">
        <v>8084</v>
      </c>
      <c r="C5191" s="25">
        <v>1282964</v>
      </c>
      <c r="D5191" s="22" t="s">
        <v>8044</v>
      </c>
      <c r="E5191" s="22" t="s">
        <v>8045</v>
      </c>
      <c r="F5191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91" s="22" t="s">
        <v>217</v>
      </c>
      <c r="H5191" s="22" t="s">
        <v>5604</v>
      </c>
      <c r="I5191" s="26">
        <v>43706.355659722198</v>
      </c>
      <c r="J5191" s="23" t="str">
        <f t="shared" si="102"/>
        <v>ООО "АБК-ПЭЙМЕНТ"</v>
      </c>
      <c r="K5191" s="24" t="s">
        <v>5605</v>
      </c>
      <c r="L5191" s="28" t="s">
        <v>51</v>
      </c>
      <c r="M5191" s="28" t="s">
        <v>51</v>
      </c>
      <c r="N5191" s="27">
        <v>0</v>
      </c>
    </row>
    <row r="5192" spans="1:14" hidden="1" outlineLevel="1" x14ac:dyDescent="0.2">
      <c r="A5192" s="23" t="str">
        <f>HYPERLINK("https://www.spark-marketing.ru/Card/Person/149338", "МБДОУ ""ДЕТСКИЙ САД ОБЩЕРАЗВИВАЮЩЕГО ВИДА №13"" НМР РТ")</f>
        <v>МБДОУ "ДЕТСКИЙ САД ОБЩЕРАЗВИВАЮЩЕГО ВИДА №13" НМР РТ</v>
      </c>
      <c r="B5192" s="24" t="s">
        <v>8085</v>
      </c>
      <c r="C5192" s="25">
        <v>740656.6</v>
      </c>
      <c r="D5192" s="22" t="s">
        <v>8044</v>
      </c>
      <c r="E5192" s="22" t="s">
        <v>8045</v>
      </c>
      <c r="F5192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92" s="22" t="s">
        <v>217</v>
      </c>
      <c r="H5192" s="22" t="s">
        <v>5604</v>
      </c>
      <c r="I5192" s="26">
        <v>43706.355659722198</v>
      </c>
      <c r="J5192" s="23" t="str">
        <f t="shared" si="102"/>
        <v>ООО "АБК-ПЭЙМЕНТ"</v>
      </c>
      <c r="K5192" s="24" t="s">
        <v>5605</v>
      </c>
      <c r="L5192" s="28" t="s">
        <v>51</v>
      </c>
      <c r="M5192" s="28" t="s">
        <v>51</v>
      </c>
      <c r="N5192" s="27">
        <v>0</v>
      </c>
    </row>
    <row r="5193" spans="1:14" hidden="1" outlineLevel="1" x14ac:dyDescent="0.2">
      <c r="A5193" s="23" t="str">
        <f>HYPERLINK("https://www.spark-marketing.ru/Card/Person/149363", "МБДОУ ""ДЕТСКИЙ САД ОБЩЕРАЗВИВАЮЩЕГО ВИДА № 19"" НМР РТ")</f>
        <v>МБДОУ "ДЕТСКИЙ САД ОБЩЕРАЗВИВАЮЩЕГО ВИДА № 19" НМР РТ</v>
      </c>
      <c r="B5193" s="24" t="s">
        <v>8086</v>
      </c>
      <c r="C5193" s="25">
        <v>1427201.52</v>
      </c>
      <c r="D5193" s="22" t="s">
        <v>8044</v>
      </c>
      <c r="E5193" s="22" t="s">
        <v>8045</v>
      </c>
      <c r="F5193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93" s="22" t="s">
        <v>217</v>
      </c>
      <c r="H5193" s="22" t="s">
        <v>5604</v>
      </c>
      <c r="I5193" s="26">
        <v>43706.355659722198</v>
      </c>
      <c r="J5193" s="23" t="str">
        <f t="shared" si="102"/>
        <v>ООО "АБК-ПЭЙМЕНТ"</v>
      </c>
      <c r="K5193" s="24" t="s">
        <v>5605</v>
      </c>
      <c r="L5193" s="28" t="s">
        <v>51</v>
      </c>
      <c r="M5193" s="28" t="s">
        <v>51</v>
      </c>
      <c r="N5193" s="27">
        <v>0</v>
      </c>
    </row>
    <row r="5194" spans="1:14" hidden="1" outlineLevel="1" x14ac:dyDescent="0.2">
      <c r="A5194" s="23" t="str">
        <f>HYPERLINK("https://www.spark-marketing.ru/Card/Person/149364", "МБДОУ ""ДЕТСКИЙ САД ОБЩЕРАЗВИВАЮЩЕГО ВИДА № 22"" НМР РТ")</f>
        <v>МБДОУ "ДЕТСКИЙ САД ОБЩЕРАЗВИВАЮЩЕГО ВИДА № 22" НМР РТ</v>
      </c>
      <c r="B5194" s="24" t="s">
        <v>8087</v>
      </c>
      <c r="C5194" s="25">
        <v>1038891.51</v>
      </c>
      <c r="D5194" s="22" t="s">
        <v>8044</v>
      </c>
      <c r="E5194" s="22" t="s">
        <v>8045</v>
      </c>
      <c r="F5194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94" s="22" t="s">
        <v>217</v>
      </c>
      <c r="H5194" s="22" t="s">
        <v>5604</v>
      </c>
      <c r="I5194" s="26">
        <v>43706.355659722198</v>
      </c>
      <c r="J5194" s="23" t="str">
        <f t="shared" si="102"/>
        <v>ООО "АБК-ПЭЙМЕНТ"</v>
      </c>
      <c r="K5194" s="24" t="s">
        <v>5605</v>
      </c>
      <c r="L5194" s="28" t="s">
        <v>51</v>
      </c>
      <c r="M5194" s="28" t="s">
        <v>51</v>
      </c>
      <c r="N5194" s="27">
        <v>0</v>
      </c>
    </row>
    <row r="5195" spans="1:14" hidden="1" outlineLevel="1" x14ac:dyDescent="0.2">
      <c r="A5195" s="23" t="str">
        <f>HYPERLINK("https://www.spark-marketing.ru/Card/Person/149659", "МБДОУ ""ДЕТСКИЙ САД ОБЩЕРАЗВИВАЮЩЕГО ВИДА №27"" НМР РТ")</f>
        <v>МБДОУ "ДЕТСКИЙ САД ОБЩЕРАЗВИВАЮЩЕГО ВИДА №27" НМР РТ</v>
      </c>
      <c r="B5195" s="24" t="s">
        <v>8088</v>
      </c>
      <c r="C5195" s="25">
        <v>1798393.6</v>
      </c>
      <c r="D5195" s="22" t="s">
        <v>8044</v>
      </c>
      <c r="E5195" s="22" t="s">
        <v>8045</v>
      </c>
      <c r="F5195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95" s="22" t="s">
        <v>217</v>
      </c>
      <c r="H5195" s="22" t="s">
        <v>5604</v>
      </c>
      <c r="I5195" s="26">
        <v>43706.355659722198</v>
      </c>
      <c r="J5195" s="23" t="str">
        <f t="shared" si="102"/>
        <v>ООО "АБК-ПЭЙМЕНТ"</v>
      </c>
      <c r="K5195" s="24" t="s">
        <v>5605</v>
      </c>
      <c r="L5195" s="28" t="s">
        <v>51</v>
      </c>
      <c r="M5195" s="28" t="s">
        <v>51</v>
      </c>
      <c r="N5195" s="27">
        <v>0</v>
      </c>
    </row>
    <row r="5196" spans="1:14" hidden="1" outlineLevel="1" x14ac:dyDescent="0.2">
      <c r="A5196" s="23" t="str">
        <f>HYPERLINK("https://www.spark-marketing.ru/Card/Person/149883", "МБДОУ ""ДЕТСКИЙ САД ОБЩЕРАЗВИВАЮЩЕГО ВИДА №16"" НМР РТ")</f>
        <v>МБДОУ "ДЕТСКИЙ САД ОБЩЕРАЗВИВАЮЩЕГО ВИДА №16" НМР РТ</v>
      </c>
      <c r="B5196" s="24" t="s">
        <v>8089</v>
      </c>
      <c r="C5196" s="25">
        <v>1502957.6</v>
      </c>
      <c r="D5196" s="22" t="s">
        <v>8044</v>
      </c>
      <c r="E5196" s="22" t="s">
        <v>8045</v>
      </c>
      <c r="F5196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96" s="22" t="s">
        <v>217</v>
      </c>
      <c r="H5196" s="22" t="s">
        <v>5604</v>
      </c>
      <c r="I5196" s="26">
        <v>43706.355659722198</v>
      </c>
      <c r="J5196" s="23" t="str">
        <f t="shared" si="102"/>
        <v>ООО "АБК-ПЭЙМЕНТ"</v>
      </c>
      <c r="K5196" s="24" t="s">
        <v>5605</v>
      </c>
      <c r="L5196" s="28" t="s">
        <v>51</v>
      </c>
      <c r="M5196" s="28" t="s">
        <v>51</v>
      </c>
      <c r="N5196" s="27">
        <v>0</v>
      </c>
    </row>
    <row r="5197" spans="1:14" hidden="1" outlineLevel="1" x14ac:dyDescent="0.2">
      <c r="A5197" s="23" t="str">
        <f>HYPERLINK("https://www.spark-marketing.ru/Card/Person/149911", "МБДОУ ""ДЕТСКИЙ САД КОМБИНИРОВАННОГО ВИДА №24"" НМР РТ")</f>
        <v>МБДОУ "ДЕТСКИЙ САД КОМБИНИРОВАННОГО ВИДА №24" НМР РТ</v>
      </c>
      <c r="B5197" s="24" t="s">
        <v>8090</v>
      </c>
      <c r="C5197" s="25">
        <v>1121340.9099999999</v>
      </c>
      <c r="D5197" s="22" t="s">
        <v>8044</v>
      </c>
      <c r="E5197" s="22" t="s">
        <v>8045</v>
      </c>
      <c r="F5197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97" s="22" t="s">
        <v>217</v>
      </c>
      <c r="H5197" s="22" t="s">
        <v>5604</v>
      </c>
      <c r="I5197" s="26">
        <v>43706.355659722198</v>
      </c>
      <c r="J5197" s="23" t="str">
        <f t="shared" si="102"/>
        <v>ООО "АБК-ПЭЙМЕНТ"</v>
      </c>
      <c r="K5197" s="24" t="s">
        <v>5605</v>
      </c>
      <c r="L5197" s="28" t="s">
        <v>51</v>
      </c>
      <c r="M5197" s="28" t="s">
        <v>51</v>
      </c>
      <c r="N5197" s="27">
        <v>0</v>
      </c>
    </row>
    <row r="5198" spans="1:14" hidden="1" outlineLevel="1" x14ac:dyDescent="0.2">
      <c r="A5198" s="23" t="str">
        <f>HYPERLINK("https://www.spark-marketing.ru/Card/Person/149916", "МАДОУ ""ДЕТСКИЙ САД ПРИСМОТРА И ОЗДОРОВЛЕНИЯ ДЛЯ ТУБИНФИЦИРОВАННЫХ ДЕТЕЙ №60"" НМР РТ")</f>
        <v>МАДОУ "ДЕТСКИЙ САД ПРИСМОТРА И ОЗДОРОВЛЕНИЯ ДЛЯ ТУБИНФИЦИРОВАННЫХ ДЕТЕЙ №60" НМР РТ</v>
      </c>
      <c r="B5198" s="24" t="s">
        <v>8091</v>
      </c>
      <c r="C5198" s="25">
        <v>1530754.61</v>
      </c>
      <c r="D5198" s="22" t="s">
        <v>8044</v>
      </c>
      <c r="E5198" s="22" t="s">
        <v>8045</v>
      </c>
      <c r="F5198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98" s="22" t="s">
        <v>217</v>
      </c>
      <c r="H5198" s="22" t="s">
        <v>5604</v>
      </c>
      <c r="I5198" s="26">
        <v>43706.355659722198</v>
      </c>
      <c r="J5198" s="23" t="str">
        <f t="shared" si="102"/>
        <v>ООО "АБК-ПЭЙМЕНТ"</v>
      </c>
      <c r="K5198" s="24" t="s">
        <v>5605</v>
      </c>
      <c r="L5198" s="28" t="s">
        <v>51</v>
      </c>
      <c r="M5198" s="28" t="s">
        <v>51</v>
      </c>
      <c r="N5198" s="27">
        <v>0</v>
      </c>
    </row>
    <row r="5199" spans="1:14" hidden="1" outlineLevel="1" x14ac:dyDescent="0.2">
      <c r="A5199" s="23" t="str">
        <f>HYPERLINK("https://www.spark-marketing.ru/Card/Person/149957", "МАДОУ ""ДЕТСКИЙ САД ОБЩЕРАЗВИВАЮЩЕГО ВИДА №15"" НМР РТ")</f>
        <v>МАДОУ "ДЕТСКИЙ САД ОБЩЕРАЗВИВАЮЩЕГО ВИДА №15" НМР РТ</v>
      </c>
      <c r="B5199" s="24" t="s">
        <v>8092</v>
      </c>
      <c r="C5199" s="25">
        <v>1141247.8999999999</v>
      </c>
      <c r="D5199" s="22" t="s">
        <v>8044</v>
      </c>
      <c r="E5199" s="22" t="s">
        <v>8045</v>
      </c>
      <c r="F5199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199" s="22" t="s">
        <v>217</v>
      </c>
      <c r="H5199" s="22" t="s">
        <v>5604</v>
      </c>
      <c r="I5199" s="26">
        <v>43706.355659722198</v>
      </c>
      <c r="J5199" s="23" t="str">
        <f t="shared" si="102"/>
        <v>ООО "АБК-ПЭЙМЕНТ"</v>
      </c>
      <c r="K5199" s="24" t="s">
        <v>5605</v>
      </c>
      <c r="L5199" s="28" t="s">
        <v>51</v>
      </c>
      <c r="M5199" s="28" t="s">
        <v>51</v>
      </c>
      <c r="N5199" s="27">
        <v>0</v>
      </c>
    </row>
    <row r="5200" spans="1:14" hidden="1" outlineLevel="1" x14ac:dyDescent="0.2">
      <c r="A5200" s="23" t="str">
        <f>HYPERLINK("https://www.spark-marketing.ru/Card/Person/149972", "МАДОУ ""ДЕТСКИЙ САД ОБЩЕРАЗВИВАЮЩЕГО ВИДА №82"" НМР РТ")</f>
        <v>МАДОУ "ДЕТСКИЙ САД ОБЩЕРАЗВИВАЮЩЕГО ВИДА №82" НМР РТ</v>
      </c>
      <c r="B5200" s="24" t="s">
        <v>8093</v>
      </c>
      <c r="C5200" s="25">
        <v>2039952.64</v>
      </c>
      <c r="D5200" s="22" t="s">
        <v>8044</v>
      </c>
      <c r="E5200" s="22" t="s">
        <v>8045</v>
      </c>
      <c r="F5200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00" s="22" t="s">
        <v>217</v>
      </c>
      <c r="H5200" s="22" t="s">
        <v>5604</v>
      </c>
      <c r="I5200" s="26">
        <v>43706.355659722198</v>
      </c>
      <c r="J5200" s="23" t="str">
        <f t="shared" si="102"/>
        <v>ООО "АБК-ПЭЙМЕНТ"</v>
      </c>
      <c r="K5200" s="24" t="s">
        <v>5605</v>
      </c>
      <c r="L5200" s="28" t="s">
        <v>51</v>
      </c>
      <c r="M5200" s="28" t="s">
        <v>51</v>
      </c>
      <c r="N5200" s="27">
        <v>0</v>
      </c>
    </row>
    <row r="5201" spans="1:14" hidden="1" outlineLevel="1" x14ac:dyDescent="0.2">
      <c r="A5201" s="23" t="str">
        <f>HYPERLINK("https://www.spark-marketing.ru/Card/Person/152375", "МАДОУ ""ДЕТСКИЙ САД ОБЩЕРАЗВИВАЮЩЕГО ВИДА №83"" НМР РТ")</f>
        <v>МАДОУ "ДЕТСКИЙ САД ОБЩЕРАЗВИВАЮЩЕГО ВИДА №83" НМР РТ</v>
      </c>
      <c r="B5201" s="24" t="s">
        <v>8094</v>
      </c>
      <c r="C5201" s="25">
        <v>1971610.39</v>
      </c>
      <c r="D5201" s="22" t="s">
        <v>8044</v>
      </c>
      <c r="E5201" s="22" t="s">
        <v>8045</v>
      </c>
      <c r="F5201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01" s="22" t="s">
        <v>217</v>
      </c>
      <c r="H5201" s="22" t="s">
        <v>5604</v>
      </c>
      <c r="I5201" s="26">
        <v>43706.355659722198</v>
      </c>
      <c r="J5201" s="23" t="str">
        <f t="shared" si="102"/>
        <v>ООО "АБК-ПЭЙМЕНТ"</v>
      </c>
      <c r="K5201" s="24" t="s">
        <v>5605</v>
      </c>
      <c r="L5201" s="28" t="s">
        <v>51</v>
      </c>
      <c r="M5201" s="28" t="s">
        <v>51</v>
      </c>
      <c r="N5201" s="27">
        <v>0</v>
      </c>
    </row>
    <row r="5202" spans="1:14" hidden="1" outlineLevel="1" x14ac:dyDescent="0.2">
      <c r="A5202" s="23" t="str">
        <f>HYPERLINK("https://www.spark-marketing.ru/Card/Person/152378", "МБДОУ ""ЦРР - ДЕТСКИЙ САД №90 ""ПОДСОЛНУШЕК"" НМР РТ")</f>
        <v>МБДОУ "ЦРР - ДЕТСКИЙ САД №90 "ПОДСОЛНУШЕК" НМР РТ</v>
      </c>
      <c r="B5202" s="24" t="s">
        <v>8095</v>
      </c>
      <c r="C5202" s="25">
        <v>3450982.41</v>
      </c>
      <c r="D5202" s="22" t="s">
        <v>8044</v>
      </c>
      <c r="E5202" s="22" t="s">
        <v>8045</v>
      </c>
      <c r="F5202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02" s="22" t="s">
        <v>217</v>
      </c>
      <c r="H5202" s="22" t="s">
        <v>5604</v>
      </c>
      <c r="I5202" s="26">
        <v>43706.355659722198</v>
      </c>
      <c r="J5202" s="23" t="str">
        <f t="shared" si="102"/>
        <v>ООО "АБК-ПЭЙМЕНТ"</v>
      </c>
      <c r="K5202" s="24" t="s">
        <v>5605</v>
      </c>
      <c r="L5202" s="28" t="s">
        <v>51</v>
      </c>
      <c r="M5202" s="28" t="s">
        <v>51</v>
      </c>
      <c r="N5202" s="27">
        <v>0</v>
      </c>
    </row>
    <row r="5203" spans="1:14" hidden="1" outlineLevel="1" x14ac:dyDescent="0.2">
      <c r="A5203" s="23" t="str">
        <f>HYPERLINK("https://www.spark-marketing.ru/Card/Person/152379", "МБДОУ ""ДЕТСКИЙ САД ОБЩЕРАЗВИВАЮЩЕГО ВИДА № 8"" НМР РТ")</f>
        <v>МБДОУ "ДЕТСКИЙ САД ОБЩЕРАЗВИВАЮЩЕГО ВИДА № 8" НМР РТ</v>
      </c>
      <c r="B5203" s="24" t="s">
        <v>8096</v>
      </c>
      <c r="C5203" s="25">
        <v>795823</v>
      </c>
      <c r="D5203" s="22" t="s">
        <v>8044</v>
      </c>
      <c r="E5203" s="22" t="s">
        <v>8045</v>
      </c>
      <c r="F5203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03" s="22" t="s">
        <v>217</v>
      </c>
      <c r="H5203" s="22" t="s">
        <v>5604</v>
      </c>
      <c r="I5203" s="26">
        <v>43706.355659722198</v>
      </c>
      <c r="J5203" s="23" t="str">
        <f t="shared" si="102"/>
        <v>ООО "АБК-ПЭЙМЕНТ"</v>
      </c>
      <c r="K5203" s="24" t="s">
        <v>5605</v>
      </c>
      <c r="L5203" s="28" t="s">
        <v>51</v>
      </c>
      <c r="M5203" s="28" t="s">
        <v>51</v>
      </c>
      <c r="N5203" s="27">
        <v>0</v>
      </c>
    </row>
    <row r="5204" spans="1:14" hidden="1" outlineLevel="1" x14ac:dyDescent="0.2">
      <c r="A5204" s="23" t="str">
        <f>HYPERLINK("https://www.spark-marketing.ru/Card/Person/152383", "МАДОУ ""ДЕТСКИЙ САД ОБЩЕРАЗВИВАЮЩЕГО ВИДА №44"" НМР РТ")</f>
        <v>МАДОУ "ДЕТСКИЙ САД ОБЩЕРАЗВИВАЮЩЕГО ВИДА №44" НМР РТ</v>
      </c>
      <c r="B5204" s="24" t="s">
        <v>8097</v>
      </c>
      <c r="C5204" s="25">
        <v>693939.47</v>
      </c>
      <c r="D5204" s="22" t="s">
        <v>8044</v>
      </c>
      <c r="E5204" s="22" t="s">
        <v>8045</v>
      </c>
      <c r="F5204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04" s="22" t="s">
        <v>217</v>
      </c>
      <c r="H5204" s="22" t="s">
        <v>5604</v>
      </c>
      <c r="I5204" s="26">
        <v>43706.355659722198</v>
      </c>
      <c r="J5204" s="23" t="str">
        <f t="shared" si="102"/>
        <v>ООО "АБК-ПЭЙМЕНТ"</v>
      </c>
      <c r="K5204" s="24" t="s">
        <v>5605</v>
      </c>
      <c r="L5204" s="28" t="s">
        <v>51</v>
      </c>
      <c r="M5204" s="28" t="s">
        <v>51</v>
      </c>
      <c r="N5204" s="27">
        <v>0</v>
      </c>
    </row>
    <row r="5205" spans="1:14" hidden="1" outlineLevel="1" x14ac:dyDescent="0.2">
      <c r="A5205" s="23" t="str">
        <f>HYPERLINK("https://www.spark-marketing.ru/Card/Person/152384", "МБДОУ ""ЦЕНТР РАЗВИТИЯ РЕБЕНКА - ДЕТСКИЙ САД № 89"" НМР РТ")</f>
        <v>МБДОУ "ЦЕНТР РАЗВИТИЯ РЕБЕНКА - ДЕТСКИЙ САД № 89" НМР РТ</v>
      </c>
      <c r="B5205" s="24" t="s">
        <v>8098</v>
      </c>
      <c r="C5205" s="25">
        <v>249453.31</v>
      </c>
      <c r="D5205" s="22" t="s">
        <v>8044</v>
      </c>
      <c r="E5205" s="22" t="s">
        <v>8045</v>
      </c>
      <c r="F5205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05" s="22" t="s">
        <v>217</v>
      </c>
      <c r="H5205" s="22" t="s">
        <v>5604</v>
      </c>
      <c r="I5205" s="26">
        <v>43706.355659722198</v>
      </c>
      <c r="J5205" s="23" t="str">
        <f t="shared" si="102"/>
        <v>ООО "АБК-ПЭЙМЕНТ"</v>
      </c>
      <c r="K5205" s="24" t="s">
        <v>5605</v>
      </c>
      <c r="L5205" s="28" t="s">
        <v>51</v>
      </c>
      <c r="M5205" s="28" t="s">
        <v>51</v>
      </c>
      <c r="N5205" s="27">
        <v>0</v>
      </c>
    </row>
    <row r="5206" spans="1:14" hidden="1" outlineLevel="1" x14ac:dyDescent="0.2">
      <c r="A5206" s="23" t="str">
        <f>HYPERLINK("https://www.spark-marketing.ru/Card/Person/152390", "МАДОУ ""ЦЕНТР РАЗВИТИЯ РЕБЕНКА - ДЕТСКИЙ САД №91"" НМР РТ")</f>
        <v>МАДОУ "ЦЕНТР РАЗВИТИЯ РЕБЕНКА - ДЕТСКИЙ САД №91" НМР РТ</v>
      </c>
      <c r="B5206" s="24" t="s">
        <v>8099</v>
      </c>
      <c r="C5206" s="25">
        <v>1991764.96</v>
      </c>
      <c r="D5206" s="22" t="s">
        <v>8044</v>
      </c>
      <c r="E5206" s="22" t="s">
        <v>8045</v>
      </c>
      <c r="F5206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06" s="22" t="s">
        <v>217</v>
      </c>
      <c r="H5206" s="22" t="s">
        <v>5604</v>
      </c>
      <c r="I5206" s="26">
        <v>43706.355659722198</v>
      </c>
      <c r="J5206" s="23" t="str">
        <f t="shared" si="102"/>
        <v>ООО "АБК-ПЭЙМЕНТ"</v>
      </c>
      <c r="K5206" s="24" t="s">
        <v>5605</v>
      </c>
      <c r="L5206" s="28" t="s">
        <v>51</v>
      </c>
      <c r="M5206" s="28" t="s">
        <v>51</v>
      </c>
      <c r="N5206" s="27">
        <v>0</v>
      </c>
    </row>
    <row r="5207" spans="1:14" hidden="1" outlineLevel="1" x14ac:dyDescent="0.2">
      <c r="A5207" s="23" t="str">
        <f>HYPERLINK("https://www.spark-marketing.ru/Card/Person/152394", "МАДОУ ""ДЕТСКИЙ САД КОМБИНИРОВАННОГО ВИДА С ГРУППАМИ ДЛЯ ДЕТЕЙ С НАРУШЕНИЯМИ РЕЧИ №78"" НМР РТ")</f>
        <v>МАДОУ "ДЕТСКИЙ САД КОМБИНИРОВАННОГО ВИДА С ГРУППАМИ ДЛЯ ДЕТЕЙ С НАРУШЕНИЯМИ РЕЧИ №78" НМР РТ</v>
      </c>
      <c r="B5207" s="24" t="s">
        <v>8100</v>
      </c>
      <c r="C5207" s="25">
        <v>1527432</v>
      </c>
      <c r="D5207" s="22" t="s">
        <v>8044</v>
      </c>
      <c r="E5207" s="22" t="s">
        <v>8045</v>
      </c>
      <c r="F5207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07" s="22" t="s">
        <v>217</v>
      </c>
      <c r="H5207" s="22" t="s">
        <v>5604</v>
      </c>
      <c r="I5207" s="26">
        <v>43706.355659722198</v>
      </c>
      <c r="J5207" s="23" t="str">
        <f t="shared" si="102"/>
        <v>ООО "АБК-ПЭЙМЕНТ"</v>
      </c>
      <c r="K5207" s="24" t="s">
        <v>5605</v>
      </c>
      <c r="L5207" s="28" t="s">
        <v>51</v>
      </c>
      <c r="M5207" s="28" t="s">
        <v>51</v>
      </c>
      <c r="N5207" s="27">
        <v>0</v>
      </c>
    </row>
    <row r="5208" spans="1:14" hidden="1" outlineLevel="1" x14ac:dyDescent="0.2">
      <c r="A5208" s="23" t="str">
        <f>HYPERLINK("https://www.spark-marketing.ru/Card/Person/152395", "МАДОУ ""ДЕТСКИЙ САД ПРИСМОТРА И ОЗДОРОВЛЕНИЯ ДЛЯ ДЕТЕЙ С АЛЛЕРГИЧЕСКИМИ ЗАБОЛЕВАНИЯМИ №77"" НМР РТ")</f>
        <v>МАДОУ "ДЕТСКИЙ САД ПРИСМОТРА И ОЗДОРОВЛЕНИЯ ДЛЯ ДЕТЕЙ С АЛЛЕРГИЧЕСКИМИ ЗАБОЛЕВАНИЯМИ №77" НМР РТ</v>
      </c>
      <c r="B5208" s="24" t="s">
        <v>8101</v>
      </c>
      <c r="C5208" s="25">
        <v>1236190.6100000001</v>
      </c>
      <c r="D5208" s="22" t="s">
        <v>8044</v>
      </c>
      <c r="E5208" s="22" t="s">
        <v>8045</v>
      </c>
      <c r="F5208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08" s="22" t="s">
        <v>217</v>
      </c>
      <c r="H5208" s="22" t="s">
        <v>5604</v>
      </c>
      <c r="I5208" s="26">
        <v>43706.355659722198</v>
      </c>
      <c r="J5208" s="23" t="str">
        <f t="shared" si="102"/>
        <v>ООО "АБК-ПЭЙМЕНТ"</v>
      </c>
      <c r="K5208" s="24" t="s">
        <v>5605</v>
      </c>
      <c r="L5208" s="28" t="s">
        <v>51</v>
      </c>
      <c r="M5208" s="28" t="s">
        <v>51</v>
      </c>
      <c r="N5208" s="27">
        <v>0</v>
      </c>
    </row>
    <row r="5209" spans="1:14" hidden="1" outlineLevel="1" x14ac:dyDescent="0.2">
      <c r="A5209" s="23" t="str">
        <f>HYPERLINK("https://www.spark-marketing.ru/Card/Person/152411", "МБДОУ ""ДЕТСКИЙ САД ПРИСМОТРА И ОЗДОРОВЛЕНИЯ ДЛЯ ДЕТЕЙ С АЛЛЕРГИЧЕСКИМИ ЗАБОЛЕВАНИЯМИ №69"" НМР РТ")</f>
        <v>МБДОУ "ДЕТСКИЙ САД ПРИСМОТРА И ОЗДОРОВЛЕНИЯ ДЛЯ ДЕТЕЙ С АЛЛЕРГИЧЕСКИМИ ЗАБОЛЕВАНИЯМИ №69" НМР РТ</v>
      </c>
      <c r="B5209" s="24" t="s">
        <v>8102</v>
      </c>
      <c r="C5209" s="25">
        <v>671261.89</v>
      </c>
      <c r="D5209" s="22" t="s">
        <v>8044</v>
      </c>
      <c r="E5209" s="22" t="s">
        <v>8045</v>
      </c>
      <c r="F5209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09" s="22" t="s">
        <v>217</v>
      </c>
      <c r="H5209" s="22" t="s">
        <v>5604</v>
      </c>
      <c r="I5209" s="26">
        <v>43706.355659722198</v>
      </c>
      <c r="J5209" s="23" t="str">
        <f t="shared" si="102"/>
        <v>ООО "АБК-ПЭЙМЕНТ"</v>
      </c>
      <c r="K5209" s="24" t="s">
        <v>5605</v>
      </c>
      <c r="L5209" s="28" t="s">
        <v>51</v>
      </c>
      <c r="M5209" s="28" t="s">
        <v>51</v>
      </c>
      <c r="N5209" s="27">
        <v>0</v>
      </c>
    </row>
    <row r="5210" spans="1:14" hidden="1" outlineLevel="1" x14ac:dyDescent="0.2">
      <c r="A5210" s="23" t="str">
        <f>HYPERLINK("https://www.spark-marketing.ru/Card/Person/152448", "МБДОУ ""ДЕТСКИЙ САД ОБЩЕРАЗВИВАЮЩЕГО ВИДА №14"" НМР РТ")</f>
        <v>МБДОУ "ДЕТСКИЙ САД ОБЩЕРАЗВИВАЮЩЕГО ВИДА №14" НМР РТ</v>
      </c>
      <c r="B5210" s="24" t="s">
        <v>8103</v>
      </c>
      <c r="C5210" s="25">
        <v>1562654.96</v>
      </c>
      <c r="D5210" s="22" t="s">
        <v>8044</v>
      </c>
      <c r="E5210" s="22" t="s">
        <v>8045</v>
      </c>
      <c r="F5210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10" s="22" t="s">
        <v>217</v>
      </c>
      <c r="H5210" s="22" t="s">
        <v>5604</v>
      </c>
      <c r="I5210" s="26">
        <v>43706.355659722198</v>
      </c>
      <c r="J5210" s="23" t="str">
        <f t="shared" si="102"/>
        <v>ООО "АБК-ПЭЙМЕНТ"</v>
      </c>
      <c r="K5210" s="24" t="s">
        <v>5605</v>
      </c>
      <c r="L5210" s="28" t="s">
        <v>51</v>
      </c>
      <c r="M5210" s="28" t="s">
        <v>51</v>
      </c>
      <c r="N5210" s="27">
        <v>0</v>
      </c>
    </row>
    <row r="5211" spans="1:14" hidden="1" outlineLevel="1" x14ac:dyDescent="0.2">
      <c r="A5211" s="23" t="str">
        <f>HYPERLINK("https://www.spark-marketing.ru/Card/Person/152463", "МБДОУ ""ДЕТСКИЙ САД ОБЩЕРАЗВИВАЮЩЕГО ВИДА №1"" НМР РТ")</f>
        <v>МБДОУ "ДЕТСКИЙ САД ОБЩЕРАЗВИВАЮЩЕГО ВИДА №1" НМР РТ</v>
      </c>
      <c r="B5211" s="24" t="s">
        <v>8104</v>
      </c>
      <c r="C5211" s="25">
        <v>1179528.32</v>
      </c>
      <c r="D5211" s="22" t="s">
        <v>8044</v>
      </c>
      <c r="E5211" s="22" t="s">
        <v>8045</v>
      </c>
      <c r="F5211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11" s="22" t="s">
        <v>217</v>
      </c>
      <c r="H5211" s="22" t="s">
        <v>5604</v>
      </c>
      <c r="I5211" s="26">
        <v>43706.355659722198</v>
      </c>
      <c r="J5211" s="23" t="str">
        <f t="shared" si="102"/>
        <v>ООО "АБК-ПЭЙМЕНТ"</v>
      </c>
      <c r="K5211" s="24" t="s">
        <v>5605</v>
      </c>
      <c r="L5211" s="28" t="s">
        <v>51</v>
      </c>
      <c r="M5211" s="28" t="s">
        <v>51</v>
      </c>
      <c r="N5211" s="27">
        <v>0</v>
      </c>
    </row>
    <row r="5212" spans="1:14" hidden="1" outlineLevel="1" x14ac:dyDescent="0.2">
      <c r="A5212" s="23" t="str">
        <f>HYPERLINK("https://www.spark-marketing.ru/Card/Person/152464", "МБДОУ ""ДЕТСКИЙ САД КОМБИНИРОВАННОГО ВИДА №12"" НМР РТ")</f>
        <v>МБДОУ "ДЕТСКИЙ САД КОМБИНИРОВАННОГО ВИДА №12" НМР РТ</v>
      </c>
      <c r="B5212" s="24" t="s">
        <v>8105</v>
      </c>
      <c r="C5212" s="25">
        <v>511308.09</v>
      </c>
      <c r="D5212" s="22" t="s">
        <v>8044</v>
      </c>
      <c r="E5212" s="22" t="s">
        <v>8045</v>
      </c>
      <c r="F5212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12" s="22" t="s">
        <v>217</v>
      </c>
      <c r="H5212" s="22" t="s">
        <v>5604</v>
      </c>
      <c r="I5212" s="26">
        <v>43706.355659722198</v>
      </c>
      <c r="J5212" s="23" t="str">
        <f t="shared" si="102"/>
        <v>ООО "АБК-ПЭЙМЕНТ"</v>
      </c>
      <c r="K5212" s="24" t="s">
        <v>5605</v>
      </c>
      <c r="L5212" s="28" t="s">
        <v>51</v>
      </c>
      <c r="M5212" s="28" t="s">
        <v>51</v>
      </c>
      <c r="N5212" s="27">
        <v>0</v>
      </c>
    </row>
    <row r="5213" spans="1:14" hidden="1" outlineLevel="1" x14ac:dyDescent="0.2">
      <c r="A5213" s="23" t="str">
        <f>HYPERLINK("https://www.spark-marketing.ru/Card/Person/152468", "МБОУ ""НШДС №71"" НМР РТ")</f>
        <v>МБОУ "НШДС №71" НМР РТ</v>
      </c>
      <c r="B5213" s="24" t="s">
        <v>8106</v>
      </c>
      <c r="C5213" s="25">
        <v>1277940.48</v>
      </c>
      <c r="D5213" s="22" t="s">
        <v>8044</v>
      </c>
      <c r="E5213" s="22" t="s">
        <v>8045</v>
      </c>
      <c r="F5213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13" s="22" t="s">
        <v>217</v>
      </c>
      <c r="H5213" s="22" t="s">
        <v>5604</v>
      </c>
      <c r="I5213" s="26">
        <v>43706.355659722198</v>
      </c>
      <c r="J5213" s="23" t="str">
        <f t="shared" si="102"/>
        <v>ООО "АБК-ПЭЙМЕНТ"</v>
      </c>
      <c r="K5213" s="24" t="s">
        <v>5605</v>
      </c>
      <c r="L5213" s="28" t="s">
        <v>51</v>
      </c>
      <c r="M5213" s="28" t="s">
        <v>51</v>
      </c>
      <c r="N5213" s="27">
        <v>0</v>
      </c>
    </row>
    <row r="5214" spans="1:14" hidden="1" outlineLevel="1" x14ac:dyDescent="0.2">
      <c r="A5214" s="23" t="str">
        <f>HYPERLINK("https://www.spark-marketing.ru/Card/Person/152469", "МБДОУ ""ДЕТСКИЙ САД ОБЩЕРАЗВИВАЮЩЕГО ВИДА №76"" НМР РТ")</f>
        <v>МБДОУ "ДЕТСКИЙ САД ОБЩЕРАЗВИВАЮЩЕГО ВИДА №76" НМР РТ</v>
      </c>
      <c r="B5214" s="24" t="s">
        <v>440</v>
      </c>
      <c r="C5214" s="25">
        <v>1325156.8600000001</v>
      </c>
      <c r="D5214" s="22" t="s">
        <v>8044</v>
      </c>
      <c r="E5214" s="22" t="s">
        <v>8045</v>
      </c>
      <c r="F5214" s="23" t="str">
        <f t="shared" si="101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14" s="22" t="s">
        <v>217</v>
      </c>
      <c r="H5214" s="22" t="s">
        <v>5604</v>
      </c>
      <c r="I5214" s="26">
        <v>43706.355659722198</v>
      </c>
      <c r="J5214" s="23" t="str">
        <f t="shared" si="102"/>
        <v>ООО "АБК-ПЭЙМЕНТ"</v>
      </c>
      <c r="K5214" s="24" t="s">
        <v>5605</v>
      </c>
      <c r="L5214" s="28" t="s">
        <v>51</v>
      </c>
      <c r="M5214" s="28" t="s">
        <v>51</v>
      </c>
      <c r="N5214" s="27">
        <v>0</v>
      </c>
    </row>
    <row r="5215" spans="1:14" hidden="1" outlineLevel="1" x14ac:dyDescent="0.2">
      <c r="A5215" s="23" t="str">
        <f>HYPERLINK("https://www.spark-marketing.ru/Card/Person/152479", "МБДОУ ""ДЕТСКИЙ САД КОМБИНИРОВАННОГО ВИДА № 63"" НМР РТ")</f>
        <v>МБДОУ "ДЕТСКИЙ САД КОМБИНИРОВАННОГО ВИДА № 63" НМР РТ</v>
      </c>
      <c r="B5215" s="24" t="s">
        <v>8107</v>
      </c>
      <c r="C5215" s="25">
        <v>399529.68</v>
      </c>
      <c r="D5215" s="22" t="s">
        <v>8044</v>
      </c>
      <c r="E5215" s="22" t="s">
        <v>8045</v>
      </c>
      <c r="F5215" s="23" t="str">
        <f t="shared" ref="F5215:F5241" si="103">HYPERLINK("https://www.spark-marketing.ru/Card/Lot/73129651", "Право заключения муниципального контракта на оказание услуг по организации питания  для  ДОУ г. Нижнекамска и Нижнекамского муниципального района.")</f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15" s="22" t="s">
        <v>217</v>
      </c>
      <c r="H5215" s="22" t="s">
        <v>5604</v>
      </c>
      <c r="I5215" s="26">
        <v>43706.355659722198</v>
      </c>
      <c r="J5215" s="23" t="str">
        <f t="shared" ref="J5215:J5241" si="104">HYPERLINK("https://www.spark-marketing.ru/Card/Person/5852030", "ООО ""АБК-ПЭЙМЕНТ""")</f>
        <v>ООО "АБК-ПЭЙМЕНТ"</v>
      </c>
      <c r="K5215" s="24" t="s">
        <v>5605</v>
      </c>
      <c r="L5215" s="28" t="s">
        <v>51</v>
      </c>
      <c r="M5215" s="28" t="s">
        <v>51</v>
      </c>
      <c r="N5215" s="27">
        <v>0</v>
      </c>
    </row>
    <row r="5216" spans="1:14" hidden="1" outlineLevel="1" x14ac:dyDescent="0.2">
      <c r="A5216" s="23" t="str">
        <f>HYPERLINK("https://www.spark-marketing.ru/Card/Person/152480", "МАДОУ ""ДЕТСКИЙ САД №93 ""ЭЛЛЮКИ"" НМР РТ")</f>
        <v>МАДОУ "ДЕТСКИЙ САД №93 "ЭЛЛЮКИ" НМР РТ</v>
      </c>
      <c r="B5216" s="24" t="s">
        <v>8108</v>
      </c>
      <c r="C5216" s="25">
        <v>1430511.28</v>
      </c>
      <c r="D5216" s="22" t="s">
        <v>8044</v>
      </c>
      <c r="E5216" s="22" t="s">
        <v>8045</v>
      </c>
      <c r="F5216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16" s="22" t="s">
        <v>217</v>
      </c>
      <c r="H5216" s="22" t="s">
        <v>5604</v>
      </c>
      <c r="I5216" s="26">
        <v>43706.355659722198</v>
      </c>
      <c r="J5216" s="23" t="str">
        <f t="shared" si="104"/>
        <v>ООО "АБК-ПЭЙМЕНТ"</v>
      </c>
      <c r="K5216" s="24" t="s">
        <v>5605</v>
      </c>
      <c r="L5216" s="28" t="s">
        <v>51</v>
      </c>
      <c r="M5216" s="28" t="s">
        <v>51</v>
      </c>
      <c r="N5216" s="27">
        <v>0</v>
      </c>
    </row>
    <row r="5217" spans="1:14" hidden="1" outlineLevel="1" x14ac:dyDescent="0.2">
      <c r="A5217" s="23" t="str">
        <f>HYPERLINK("https://www.spark-marketing.ru/Card/Person/152933", "МАДОУ ""ДЕТСКИЙ САД ОБЩЕРАЗВИВАЮЩЕГО ВИДА №23"" НМР РТ")</f>
        <v>МАДОУ "ДЕТСКИЙ САД ОБЩЕРАЗВИВАЮЩЕГО ВИДА №23" НМР РТ</v>
      </c>
      <c r="B5217" s="24" t="s">
        <v>8109</v>
      </c>
      <c r="C5217" s="25">
        <v>1340097</v>
      </c>
      <c r="D5217" s="22" t="s">
        <v>8044</v>
      </c>
      <c r="E5217" s="22" t="s">
        <v>8045</v>
      </c>
      <c r="F5217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17" s="22" t="s">
        <v>217</v>
      </c>
      <c r="H5217" s="22" t="s">
        <v>5604</v>
      </c>
      <c r="I5217" s="26">
        <v>43706.355659722198</v>
      </c>
      <c r="J5217" s="23" t="str">
        <f t="shared" si="104"/>
        <v>ООО "АБК-ПЭЙМЕНТ"</v>
      </c>
      <c r="K5217" s="24" t="s">
        <v>5605</v>
      </c>
      <c r="L5217" s="28" t="s">
        <v>51</v>
      </c>
      <c r="M5217" s="28" t="s">
        <v>51</v>
      </c>
      <c r="N5217" s="27">
        <v>0</v>
      </c>
    </row>
    <row r="5218" spans="1:14" hidden="1" outlineLevel="1" x14ac:dyDescent="0.2">
      <c r="A5218" s="23" t="str">
        <f>HYPERLINK("https://www.spark-marketing.ru/Card/Person/153141", "МБДОУ ""ДЕТСКИЙ САД №94 ""СОЕНЕЧ"" НМР РТ")</f>
        <v>МБДОУ "ДЕТСКИЙ САД №94 "СОЕНЕЧ" НМР РТ</v>
      </c>
      <c r="B5218" s="24" t="s">
        <v>8110</v>
      </c>
      <c r="C5218" s="25">
        <v>2238136.7999999998</v>
      </c>
      <c r="D5218" s="22" t="s">
        <v>8044</v>
      </c>
      <c r="E5218" s="22" t="s">
        <v>8045</v>
      </c>
      <c r="F5218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18" s="22" t="s">
        <v>217</v>
      </c>
      <c r="H5218" s="22" t="s">
        <v>5604</v>
      </c>
      <c r="I5218" s="26">
        <v>43706.355659722198</v>
      </c>
      <c r="J5218" s="23" t="str">
        <f t="shared" si="104"/>
        <v>ООО "АБК-ПЭЙМЕНТ"</v>
      </c>
      <c r="K5218" s="24" t="s">
        <v>5605</v>
      </c>
      <c r="L5218" s="28" t="s">
        <v>51</v>
      </c>
      <c r="M5218" s="28" t="s">
        <v>51</v>
      </c>
      <c r="N5218" s="27">
        <v>0</v>
      </c>
    </row>
    <row r="5219" spans="1:14" hidden="1" outlineLevel="1" x14ac:dyDescent="0.2">
      <c r="A5219" s="23" t="str">
        <f>HYPERLINK("https://www.spark-marketing.ru/Card/Person/153220", "МАДОУ ""ЦРР - ДЕТСКИЙ САД № 92 ""ЛАДУШКИ"" НМР РТ")</f>
        <v>МАДОУ "ЦРР - ДЕТСКИЙ САД № 92 "ЛАДУШКИ" НМР РТ</v>
      </c>
      <c r="B5219" s="24" t="s">
        <v>8111</v>
      </c>
      <c r="C5219" s="25">
        <v>2286848</v>
      </c>
      <c r="D5219" s="22" t="s">
        <v>8044</v>
      </c>
      <c r="E5219" s="22" t="s">
        <v>8045</v>
      </c>
      <c r="F5219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19" s="22" t="s">
        <v>217</v>
      </c>
      <c r="H5219" s="22" t="s">
        <v>5604</v>
      </c>
      <c r="I5219" s="26">
        <v>43706.355659722198</v>
      </c>
      <c r="J5219" s="23" t="str">
        <f t="shared" si="104"/>
        <v>ООО "АБК-ПЭЙМЕНТ"</v>
      </c>
      <c r="K5219" s="24" t="s">
        <v>5605</v>
      </c>
      <c r="L5219" s="28" t="s">
        <v>51</v>
      </c>
      <c r="M5219" s="28" t="s">
        <v>51</v>
      </c>
      <c r="N5219" s="27">
        <v>0</v>
      </c>
    </row>
    <row r="5220" spans="1:14" hidden="1" outlineLevel="1" x14ac:dyDescent="0.2">
      <c r="A5220" s="23" t="str">
        <f>HYPERLINK("https://www.spark-marketing.ru/Card/Person/254092", "МБДОУ ""ДЕТСКИЙ САД ОБЩЕРАЗВИВАЮЩЕГО ВИДА № 5""АЙГУЛЬ"" П.Г.Т. КАМСКИЕ ПОЛЯНЫ НМР РТ")</f>
        <v>МБДОУ "ДЕТСКИЙ САД ОБЩЕРАЗВИВАЮЩЕГО ВИДА № 5"АЙГУЛЬ" П.Г.Т. КАМСКИЕ ПОЛЯНЫ НМР РТ</v>
      </c>
      <c r="B5220" s="24" t="s">
        <v>8112</v>
      </c>
      <c r="C5220" s="25">
        <v>910240</v>
      </c>
      <c r="D5220" s="22" t="s">
        <v>8044</v>
      </c>
      <c r="E5220" s="22" t="s">
        <v>8045</v>
      </c>
      <c r="F5220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20" s="22" t="s">
        <v>217</v>
      </c>
      <c r="H5220" s="22" t="s">
        <v>5604</v>
      </c>
      <c r="I5220" s="26">
        <v>43706.355659722198</v>
      </c>
      <c r="J5220" s="23" t="str">
        <f t="shared" si="104"/>
        <v>ООО "АБК-ПЭЙМЕНТ"</v>
      </c>
      <c r="K5220" s="24" t="s">
        <v>5605</v>
      </c>
      <c r="L5220" s="28" t="s">
        <v>51</v>
      </c>
      <c r="M5220" s="28" t="s">
        <v>51</v>
      </c>
      <c r="N5220" s="27">
        <v>0</v>
      </c>
    </row>
    <row r="5221" spans="1:14" hidden="1" outlineLevel="1" x14ac:dyDescent="0.2">
      <c r="A5221" s="23" t="str">
        <f>HYPERLINK("https://www.spark-marketing.ru/Card/Person/254170", "МАДОУ ""ДЕТСКИЙ САД №2 ""ЗОЛОТАЯ РЫБКА"" ПГТ КАМСКИЕ ПОЛЯНЫ НМР РТ")</f>
        <v>МАДОУ "ДЕТСКИЙ САД №2 "ЗОЛОТАЯ РЫБКА" ПГТ КАМСКИЕ ПОЛЯНЫ НМР РТ</v>
      </c>
      <c r="B5221" s="24" t="s">
        <v>8113</v>
      </c>
      <c r="C5221" s="25">
        <v>1485355</v>
      </c>
      <c r="D5221" s="22" t="s">
        <v>8044</v>
      </c>
      <c r="E5221" s="22" t="s">
        <v>8045</v>
      </c>
      <c r="F5221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21" s="22" t="s">
        <v>217</v>
      </c>
      <c r="H5221" s="22" t="s">
        <v>5604</v>
      </c>
      <c r="I5221" s="26">
        <v>43706.355659722198</v>
      </c>
      <c r="J5221" s="23" t="str">
        <f t="shared" si="104"/>
        <v>ООО "АБК-ПЭЙМЕНТ"</v>
      </c>
      <c r="K5221" s="24" t="s">
        <v>5605</v>
      </c>
      <c r="L5221" s="28" t="s">
        <v>51</v>
      </c>
      <c r="M5221" s="28" t="s">
        <v>51</v>
      </c>
      <c r="N5221" s="27">
        <v>0</v>
      </c>
    </row>
    <row r="5222" spans="1:14" hidden="1" outlineLevel="1" x14ac:dyDescent="0.2">
      <c r="A5222" s="23" t="str">
        <f>HYPERLINK("https://www.spark-marketing.ru/Card/Person/254908", "МБДОУ ""ДЕТСКИЙ САД ""ЛАНДЫШ"" С. НИЖНЯЯ УРАТЬМА"" НМР РТ")</f>
        <v>МБДОУ "ДЕТСКИЙ САД "ЛАНДЫШ" С. НИЖНЯЯ УРАТЬМА" НМР РТ</v>
      </c>
      <c r="B5222" s="24" t="s">
        <v>8114</v>
      </c>
      <c r="C5222" s="25">
        <v>166833.94</v>
      </c>
      <c r="D5222" s="22" t="s">
        <v>8044</v>
      </c>
      <c r="E5222" s="22" t="s">
        <v>8045</v>
      </c>
      <c r="F5222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22" s="22" t="s">
        <v>217</v>
      </c>
      <c r="H5222" s="22" t="s">
        <v>5604</v>
      </c>
      <c r="I5222" s="26">
        <v>43706.355659722198</v>
      </c>
      <c r="J5222" s="23" t="str">
        <f t="shared" si="104"/>
        <v>ООО "АБК-ПЭЙМЕНТ"</v>
      </c>
      <c r="K5222" s="24" t="s">
        <v>5605</v>
      </c>
      <c r="L5222" s="28" t="s">
        <v>51</v>
      </c>
      <c r="M5222" s="28" t="s">
        <v>51</v>
      </c>
      <c r="N5222" s="27">
        <v>0</v>
      </c>
    </row>
    <row r="5223" spans="1:14" hidden="1" outlineLevel="1" x14ac:dyDescent="0.2">
      <c r="A5223" s="23" t="str">
        <f>HYPERLINK("https://www.spark-marketing.ru/Card/Person/254949", "МБДОУ ""ДЕТСКИЙ САД ""СОЛНЫШКО"" ПОС. КАМСКИЙ"" НМР РТ")</f>
        <v>МБДОУ "ДЕТСКИЙ САД "СОЛНЫШКО" ПОС. КАМСКИЙ" НМР РТ</v>
      </c>
      <c r="B5223" s="24" t="s">
        <v>8115</v>
      </c>
      <c r="C5223" s="25">
        <v>55973.120000000003</v>
      </c>
      <c r="D5223" s="22" t="s">
        <v>8044</v>
      </c>
      <c r="E5223" s="22" t="s">
        <v>8045</v>
      </c>
      <c r="F5223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23" s="22" t="s">
        <v>217</v>
      </c>
      <c r="H5223" s="22" t="s">
        <v>5604</v>
      </c>
      <c r="I5223" s="26">
        <v>43706.355659722198</v>
      </c>
      <c r="J5223" s="23" t="str">
        <f t="shared" si="104"/>
        <v>ООО "АБК-ПЭЙМЕНТ"</v>
      </c>
      <c r="K5223" s="24" t="s">
        <v>5605</v>
      </c>
      <c r="L5223" s="28" t="s">
        <v>51</v>
      </c>
      <c r="M5223" s="28" t="s">
        <v>51</v>
      </c>
      <c r="N5223" s="27">
        <v>0</v>
      </c>
    </row>
    <row r="5224" spans="1:14" hidden="1" outlineLevel="1" x14ac:dyDescent="0.2">
      <c r="A5224" s="23" t="str">
        <f>HYPERLINK("https://www.spark-marketing.ru/Card/Person/254956", "МБДОУ ""ДЕТСКИЙ САД № 1 ""КОЛОКОЛЬЧИК"" С. ШЕРЕМЕТЬЕВКА"" НМР РТ")</f>
        <v>МБДОУ "ДЕТСКИЙ САД № 1 "КОЛОКОЛЬЧИК" С. ШЕРЕМЕТЬЕВКА" НМР РТ</v>
      </c>
      <c r="B5224" s="24" t="s">
        <v>8116</v>
      </c>
      <c r="C5224" s="25">
        <v>313296.64000000001</v>
      </c>
      <c r="D5224" s="22" t="s">
        <v>8044</v>
      </c>
      <c r="E5224" s="22" t="s">
        <v>8045</v>
      </c>
      <c r="F5224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24" s="22" t="s">
        <v>217</v>
      </c>
      <c r="H5224" s="22" t="s">
        <v>5604</v>
      </c>
      <c r="I5224" s="26">
        <v>43706.355659722198</v>
      </c>
      <c r="J5224" s="23" t="str">
        <f t="shared" si="104"/>
        <v>ООО "АБК-ПЭЙМЕНТ"</v>
      </c>
      <c r="K5224" s="24" t="s">
        <v>5605</v>
      </c>
      <c r="L5224" s="28" t="s">
        <v>51</v>
      </c>
      <c r="M5224" s="28" t="s">
        <v>51</v>
      </c>
      <c r="N5224" s="27">
        <v>0</v>
      </c>
    </row>
    <row r="5225" spans="1:14" hidden="1" outlineLevel="1" x14ac:dyDescent="0.2">
      <c r="A5225" s="23" t="str">
        <f>HYPERLINK("https://www.spark-marketing.ru/Card/Person/255000", "МБДОУ ""ДЕТСКИЙ САД ОБЩЕРАЗВИВАЮЩЕГО ВИДА № 3"" НМР РТ")</f>
        <v>МБДОУ "ДЕТСКИЙ САД ОБЩЕРАЗВИВАЮЩЕГО ВИДА № 3" НМР РТ</v>
      </c>
      <c r="B5225" s="24" t="s">
        <v>8117</v>
      </c>
      <c r="C5225" s="25">
        <v>483758.5</v>
      </c>
      <c r="D5225" s="22" t="s">
        <v>8044</v>
      </c>
      <c r="E5225" s="22" t="s">
        <v>8045</v>
      </c>
      <c r="F5225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25" s="22" t="s">
        <v>217</v>
      </c>
      <c r="H5225" s="22" t="s">
        <v>5604</v>
      </c>
      <c r="I5225" s="26">
        <v>43706.355659722198</v>
      </c>
      <c r="J5225" s="23" t="str">
        <f t="shared" si="104"/>
        <v>ООО "АБК-ПЭЙМЕНТ"</v>
      </c>
      <c r="K5225" s="24" t="s">
        <v>5605</v>
      </c>
      <c r="L5225" s="28" t="s">
        <v>51</v>
      </c>
      <c r="M5225" s="28" t="s">
        <v>51</v>
      </c>
      <c r="N5225" s="27">
        <v>0</v>
      </c>
    </row>
    <row r="5226" spans="1:14" hidden="1" outlineLevel="1" x14ac:dyDescent="0.2">
      <c r="A5226" s="23" t="str">
        <f>HYPERLINK("https://www.spark-marketing.ru/Card/Person/255195", "МБДОУ ""ДЕТСКИЙ САД № 4 ""СОЛНЫШКО"" ПГТ КАМСКИЕ ПОЛЯНЫ НМР РТ")</f>
        <v>МБДОУ "ДЕТСКИЙ САД № 4 "СОЛНЫШКО" ПГТ КАМСКИЕ ПОЛЯНЫ НМР РТ</v>
      </c>
      <c r="B5226" s="24" t="s">
        <v>8118</v>
      </c>
      <c r="C5226" s="25">
        <v>1220063.1000000001</v>
      </c>
      <c r="D5226" s="22" t="s">
        <v>8044</v>
      </c>
      <c r="E5226" s="22" t="s">
        <v>8045</v>
      </c>
      <c r="F5226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26" s="22" t="s">
        <v>217</v>
      </c>
      <c r="H5226" s="22" t="s">
        <v>5604</v>
      </c>
      <c r="I5226" s="26">
        <v>43706.355659722198</v>
      </c>
      <c r="J5226" s="23" t="str">
        <f t="shared" si="104"/>
        <v>ООО "АБК-ПЭЙМЕНТ"</v>
      </c>
      <c r="K5226" s="24" t="s">
        <v>5605</v>
      </c>
      <c r="L5226" s="28" t="s">
        <v>51</v>
      </c>
      <c r="M5226" s="28" t="s">
        <v>51</v>
      </c>
      <c r="N5226" s="27">
        <v>0</v>
      </c>
    </row>
    <row r="5227" spans="1:14" hidden="1" outlineLevel="1" x14ac:dyDescent="0.2">
      <c r="A5227" s="23" t="str">
        <f>HYPERLINK("https://www.spark-marketing.ru/Card/Person/255242", "МБДОУ ""ДЕТСКИЙ САД ""ТАМЧЫКАЙ"" С. НИЖНИЕ ЧЕЛНЫ"" НМР РТ")</f>
        <v>МБДОУ "ДЕТСКИЙ САД "ТАМЧЫКАЙ" С. НИЖНИЕ ЧЕЛНЫ" НМР РТ</v>
      </c>
      <c r="B5227" s="24" t="s">
        <v>8119</v>
      </c>
      <c r="C5227" s="25">
        <v>64906.239999999998</v>
      </c>
      <c r="D5227" s="22" t="s">
        <v>8044</v>
      </c>
      <c r="E5227" s="22" t="s">
        <v>8045</v>
      </c>
      <c r="F5227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27" s="22" t="s">
        <v>217</v>
      </c>
      <c r="H5227" s="22" t="s">
        <v>5604</v>
      </c>
      <c r="I5227" s="26">
        <v>43706.355659722198</v>
      </c>
      <c r="J5227" s="23" t="str">
        <f t="shared" si="104"/>
        <v>ООО "АБК-ПЭЙМЕНТ"</v>
      </c>
      <c r="K5227" s="24" t="s">
        <v>5605</v>
      </c>
      <c r="L5227" s="28" t="s">
        <v>51</v>
      </c>
      <c r="M5227" s="28" t="s">
        <v>51</v>
      </c>
      <c r="N5227" s="27">
        <v>0</v>
      </c>
    </row>
    <row r="5228" spans="1:14" hidden="1" outlineLevel="1" x14ac:dyDescent="0.2">
      <c r="A5228" s="23" t="str">
        <f>HYPERLINK("https://www.spark-marketing.ru/Card/Person/255955", "МБДОУ ""ДЕТСКИЙ САД ""СОЛНЫШКО"" С. ПРОСТИ"" НМР РТ")</f>
        <v>МБДОУ "ДЕТСКИЙ САД "СОЛНЫШКО" С. ПРОСТИ" НМР РТ</v>
      </c>
      <c r="B5228" s="24" t="s">
        <v>8120</v>
      </c>
      <c r="C5228" s="25">
        <v>101654.39999999999</v>
      </c>
      <c r="D5228" s="22" t="s">
        <v>8044</v>
      </c>
      <c r="E5228" s="22" t="s">
        <v>8045</v>
      </c>
      <c r="F5228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28" s="22" t="s">
        <v>217</v>
      </c>
      <c r="H5228" s="22" t="s">
        <v>5604</v>
      </c>
      <c r="I5228" s="26">
        <v>43706.355659722198</v>
      </c>
      <c r="J5228" s="23" t="str">
        <f t="shared" si="104"/>
        <v>ООО "АБК-ПЭЙМЕНТ"</v>
      </c>
      <c r="K5228" s="24" t="s">
        <v>5605</v>
      </c>
      <c r="L5228" s="28" t="s">
        <v>51</v>
      </c>
      <c r="M5228" s="28" t="s">
        <v>51</v>
      </c>
      <c r="N5228" s="27">
        <v>0</v>
      </c>
    </row>
    <row r="5229" spans="1:14" hidden="1" outlineLevel="1" x14ac:dyDescent="0.2">
      <c r="A5229" s="23" t="str">
        <f>HYPERLINK("https://www.spark-marketing.ru/Card/Person/255958", "МБДОУ ""ДЕТСКИЙ САД ""СОЛНЫШКО"" С. ЕЛАНТОВО"" НМР РТ")</f>
        <v>МБДОУ "ДЕТСКИЙ САД "СОЛНЫШКО" С. ЕЛАНТОВО" НМР РТ</v>
      </c>
      <c r="B5229" s="24" t="s">
        <v>8121</v>
      </c>
      <c r="C5229" s="25">
        <v>89418.4</v>
      </c>
      <c r="D5229" s="22" t="s">
        <v>8044</v>
      </c>
      <c r="E5229" s="22" t="s">
        <v>8045</v>
      </c>
      <c r="F5229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29" s="22" t="s">
        <v>217</v>
      </c>
      <c r="H5229" s="22" t="s">
        <v>5604</v>
      </c>
      <c r="I5229" s="26">
        <v>43706.355659722198</v>
      </c>
      <c r="J5229" s="23" t="str">
        <f t="shared" si="104"/>
        <v>ООО "АБК-ПЭЙМЕНТ"</v>
      </c>
      <c r="K5229" s="24" t="s">
        <v>5605</v>
      </c>
      <c r="L5229" s="28" t="s">
        <v>51</v>
      </c>
      <c r="M5229" s="28" t="s">
        <v>51</v>
      </c>
      <c r="N5229" s="27">
        <v>0</v>
      </c>
    </row>
    <row r="5230" spans="1:14" hidden="1" outlineLevel="1" x14ac:dyDescent="0.2">
      <c r="A5230" s="23" t="str">
        <f>HYPERLINK("https://www.spark-marketing.ru/Card/Person/255969", "МБДОУ ""ДЕТСКИЙ САД ""АЛТЫНЧЭЧ"" С. ВЕРХНИЕ ЧЕЛНЫ"" НМР РТ")</f>
        <v>МБДОУ "ДЕТСКИЙ САД "АЛТЫНЧЭЧ" С. ВЕРХНИЕ ЧЕЛНЫ" НМР РТ</v>
      </c>
      <c r="B5230" s="24" t="s">
        <v>8122</v>
      </c>
      <c r="C5230" s="25">
        <v>125040.64</v>
      </c>
      <c r="D5230" s="22" t="s">
        <v>8044</v>
      </c>
      <c r="E5230" s="22" t="s">
        <v>8045</v>
      </c>
      <c r="F5230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30" s="22" t="s">
        <v>217</v>
      </c>
      <c r="H5230" s="22" t="s">
        <v>5604</v>
      </c>
      <c r="I5230" s="26">
        <v>43706.355659722198</v>
      </c>
      <c r="J5230" s="23" t="str">
        <f t="shared" si="104"/>
        <v>ООО "АБК-ПЭЙМЕНТ"</v>
      </c>
      <c r="K5230" s="24" t="s">
        <v>5605</v>
      </c>
      <c r="L5230" s="28" t="s">
        <v>51</v>
      </c>
      <c r="M5230" s="28" t="s">
        <v>51</v>
      </c>
      <c r="N5230" s="27">
        <v>0</v>
      </c>
    </row>
    <row r="5231" spans="1:14" hidden="1" outlineLevel="1" x14ac:dyDescent="0.2">
      <c r="A5231" s="23" t="str">
        <f>HYPERLINK("https://www.spark-marketing.ru/Card/Person/255979", "МБДОУ ""ДЕТСКИЙ САД ""РАДУГА"" С. ШИНГАЛЬЧИ"" НМР РТ")</f>
        <v>МБДОУ "ДЕТСКИЙ САД "РАДУГА" С. ШИНГАЛЬЧИ" НМР РТ</v>
      </c>
      <c r="B5231" s="24" t="s">
        <v>8123</v>
      </c>
      <c r="C5231" s="25">
        <v>162757.73000000001</v>
      </c>
      <c r="D5231" s="22" t="s">
        <v>8044</v>
      </c>
      <c r="E5231" s="22" t="s">
        <v>8045</v>
      </c>
      <c r="F5231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31" s="22" t="s">
        <v>217</v>
      </c>
      <c r="H5231" s="22" t="s">
        <v>5604</v>
      </c>
      <c r="I5231" s="26">
        <v>43706.355659722198</v>
      </c>
      <c r="J5231" s="23" t="str">
        <f t="shared" si="104"/>
        <v>ООО "АБК-ПЭЙМЕНТ"</v>
      </c>
      <c r="K5231" s="24" t="s">
        <v>5605</v>
      </c>
      <c r="L5231" s="28" t="s">
        <v>51</v>
      </c>
      <c r="M5231" s="28" t="s">
        <v>51</v>
      </c>
      <c r="N5231" s="27">
        <v>0</v>
      </c>
    </row>
    <row r="5232" spans="1:14" hidden="1" outlineLevel="1" x14ac:dyDescent="0.2">
      <c r="A5232" s="23" t="str">
        <f>HYPERLINK("https://www.spark-marketing.ru/Card/Person/255985", "МБДОУ ""ДЕТСКИЙ САД ""ТАНСЫЛУ"" С. ТАШЛЫК"" НМР РТ")</f>
        <v>МБДОУ "ДЕТСКИЙ САД "ТАНСЫЛУ" С. ТАШЛЫК" НМР РТ</v>
      </c>
      <c r="B5232" s="24" t="s">
        <v>8124</v>
      </c>
      <c r="C5232" s="25">
        <v>163394.5</v>
      </c>
      <c r="D5232" s="22" t="s">
        <v>8044</v>
      </c>
      <c r="E5232" s="22" t="s">
        <v>8045</v>
      </c>
      <c r="F5232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32" s="22" t="s">
        <v>217</v>
      </c>
      <c r="H5232" s="22" t="s">
        <v>5604</v>
      </c>
      <c r="I5232" s="26">
        <v>43706.355659722198</v>
      </c>
      <c r="J5232" s="23" t="str">
        <f t="shared" si="104"/>
        <v>ООО "АБК-ПЭЙМЕНТ"</v>
      </c>
      <c r="K5232" s="24" t="s">
        <v>5605</v>
      </c>
      <c r="L5232" s="28" t="s">
        <v>51</v>
      </c>
      <c r="M5232" s="28" t="s">
        <v>51</v>
      </c>
      <c r="N5232" s="27">
        <v>0</v>
      </c>
    </row>
    <row r="5233" spans="1:14" hidden="1" outlineLevel="1" x14ac:dyDescent="0.2">
      <c r="A5233" s="23" t="str">
        <f>HYPERLINK("https://www.spark-marketing.ru/Card/Person/255987", "МБДОУ ""ДЕТСКИЙ САД ""БЕРЕЗКА"" С. КАРМАЛЫ"" НМР РТ")</f>
        <v>МБДОУ "ДЕТСКИЙ САД "БЕРЕЗКА" С. КАРМАЛЫ" НМР РТ</v>
      </c>
      <c r="B5233" s="24" t="s">
        <v>8125</v>
      </c>
      <c r="C5233" s="25">
        <v>206648.08</v>
      </c>
      <c r="D5233" s="22" t="s">
        <v>8044</v>
      </c>
      <c r="E5233" s="22" t="s">
        <v>8045</v>
      </c>
      <c r="F5233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33" s="22" t="s">
        <v>217</v>
      </c>
      <c r="H5233" s="22" t="s">
        <v>5604</v>
      </c>
      <c r="I5233" s="26">
        <v>43706.355659722198</v>
      </c>
      <c r="J5233" s="23" t="str">
        <f t="shared" si="104"/>
        <v>ООО "АБК-ПЭЙМЕНТ"</v>
      </c>
      <c r="K5233" s="24" t="s">
        <v>5605</v>
      </c>
      <c r="L5233" s="28" t="s">
        <v>51</v>
      </c>
      <c r="M5233" s="28" t="s">
        <v>51</v>
      </c>
      <c r="N5233" s="27">
        <v>0</v>
      </c>
    </row>
    <row r="5234" spans="1:14" hidden="1" outlineLevel="1" x14ac:dyDescent="0.2">
      <c r="A5234" s="23" t="str">
        <f>HYPERLINK("https://www.spark-marketing.ru/Card/Person/255989", "МБДОУ ""ДЕТСКИЙ САД ""ЗОЛОТОЕ ЗЁРНЫШКО"" С. БОЛГАР"" НМР РТ")</f>
        <v>МБДОУ "ДЕТСКИЙ САД "ЗОЛОТОЕ ЗЁРНЫШКО" С. БОЛГАР" НМР РТ</v>
      </c>
      <c r="B5234" s="24" t="s">
        <v>8126</v>
      </c>
      <c r="C5234" s="25">
        <v>110417.84</v>
      </c>
      <c r="D5234" s="22" t="s">
        <v>8044</v>
      </c>
      <c r="E5234" s="22" t="s">
        <v>8045</v>
      </c>
      <c r="F5234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34" s="22" t="s">
        <v>217</v>
      </c>
      <c r="H5234" s="22" t="s">
        <v>5604</v>
      </c>
      <c r="I5234" s="26">
        <v>43706.355659722198</v>
      </c>
      <c r="J5234" s="23" t="str">
        <f t="shared" si="104"/>
        <v>ООО "АБК-ПЭЙМЕНТ"</v>
      </c>
      <c r="K5234" s="24" t="s">
        <v>5605</v>
      </c>
      <c r="L5234" s="28" t="s">
        <v>51</v>
      </c>
      <c r="M5234" s="28" t="s">
        <v>51</v>
      </c>
      <c r="N5234" s="27">
        <v>0</v>
      </c>
    </row>
    <row r="5235" spans="1:14" hidden="1" outlineLevel="1" x14ac:dyDescent="0.2">
      <c r="A5235" s="23" t="str">
        <f>HYPERLINK("https://www.spark-marketing.ru/Card/Person/255991", "МБДОУ ""ДЕТСКИЙ САД ""СКАЗКА"" ПОС. ТРУДОВОЙ"" НМР РТ")</f>
        <v>МБДОУ "ДЕТСКИЙ САД "СКАЗКА" ПОС. ТРУДОВОЙ" НМР РТ</v>
      </c>
      <c r="B5235" s="24" t="s">
        <v>8127</v>
      </c>
      <c r="C5235" s="25">
        <v>105158.12</v>
      </c>
      <c r="D5235" s="22" t="s">
        <v>8044</v>
      </c>
      <c r="E5235" s="22" t="s">
        <v>8045</v>
      </c>
      <c r="F5235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35" s="22" t="s">
        <v>217</v>
      </c>
      <c r="H5235" s="22" t="s">
        <v>5604</v>
      </c>
      <c r="I5235" s="26">
        <v>43706.355659722198</v>
      </c>
      <c r="J5235" s="23" t="str">
        <f t="shared" si="104"/>
        <v>ООО "АБК-ПЭЙМЕНТ"</v>
      </c>
      <c r="K5235" s="24" t="s">
        <v>5605</v>
      </c>
      <c r="L5235" s="28" t="s">
        <v>51</v>
      </c>
      <c r="M5235" s="28" t="s">
        <v>51</v>
      </c>
      <c r="N5235" s="27">
        <v>0</v>
      </c>
    </row>
    <row r="5236" spans="1:14" hidden="1" outlineLevel="1" x14ac:dyDescent="0.2">
      <c r="A5236" s="23" t="str">
        <f>HYPERLINK("https://www.spark-marketing.ru/Card/Person/256001", "МБДОУ ""ДЕТСКИЙ САД ""РУЧЕЕК"" С. СТАРОШЕШМИНСК"" НМР РТ")</f>
        <v>МБДОУ "ДЕТСКИЙ САД "РУЧЕЕК" С. СТАРОШЕШМИНСК" НМР РТ</v>
      </c>
      <c r="B5236" s="24" t="s">
        <v>8128</v>
      </c>
      <c r="C5236" s="25">
        <v>340433.8</v>
      </c>
      <c r="D5236" s="22" t="s">
        <v>8044</v>
      </c>
      <c r="E5236" s="22" t="s">
        <v>8045</v>
      </c>
      <c r="F5236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36" s="22" t="s">
        <v>217</v>
      </c>
      <c r="H5236" s="22" t="s">
        <v>5604</v>
      </c>
      <c r="I5236" s="26">
        <v>43706.355659722198</v>
      </c>
      <c r="J5236" s="23" t="str">
        <f t="shared" si="104"/>
        <v>ООО "АБК-ПЭЙМЕНТ"</v>
      </c>
      <c r="K5236" s="24" t="s">
        <v>5605</v>
      </c>
      <c r="L5236" s="28" t="s">
        <v>51</v>
      </c>
      <c r="M5236" s="28" t="s">
        <v>51</v>
      </c>
      <c r="N5236" s="27">
        <v>0</v>
      </c>
    </row>
    <row r="5237" spans="1:14" hidden="1" outlineLevel="1" x14ac:dyDescent="0.2">
      <c r="A5237" s="23" t="str">
        <f>HYPERLINK("https://www.spark-marketing.ru/Card/Person/256002", "МБДОУ ""ДЕТСКИЙ САД ""РОМАШКА"" С. КАЕНЛЫ"" НМР РТ")</f>
        <v>МБДОУ "ДЕТСКИЙ САД "РОМАШКА" С. КАЕНЛЫ" НМР РТ</v>
      </c>
      <c r="B5237" s="24" t="s">
        <v>8129</v>
      </c>
      <c r="C5237" s="25">
        <v>308960.40000000002</v>
      </c>
      <c r="D5237" s="22" t="s">
        <v>8044</v>
      </c>
      <c r="E5237" s="22" t="s">
        <v>8045</v>
      </c>
      <c r="F5237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37" s="22" t="s">
        <v>217</v>
      </c>
      <c r="H5237" s="22" t="s">
        <v>5604</v>
      </c>
      <c r="I5237" s="26">
        <v>43706.355659722198</v>
      </c>
      <c r="J5237" s="23" t="str">
        <f t="shared" si="104"/>
        <v>ООО "АБК-ПЭЙМЕНТ"</v>
      </c>
      <c r="K5237" s="24" t="s">
        <v>5605</v>
      </c>
      <c r="L5237" s="28" t="s">
        <v>51</v>
      </c>
      <c r="M5237" s="28" t="s">
        <v>51</v>
      </c>
      <c r="N5237" s="27">
        <v>0</v>
      </c>
    </row>
    <row r="5238" spans="1:14" hidden="1" outlineLevel="1" x14ac:dyDescent="0.2">
      <c r="A5238" s="23" t="str">
        <f>HYPERLINK("https://www.spark-marketing.ru/Card/Person/256003", "МБДОУ ""ДЕТСКИЙ САД ""АЛЁНУШКА"" С. СУХАРЕВО"" НМР РТ")</f>
        <v>МБДОУ "ДЕТСКИЙ САД "АЛЁНУШКА" С. СУХАРЕВО" НМР РТ</v>
      </c>
      <c r="B5238" s="24" t="s">
        <v>8130</v>
      </c>
      <c r="C5238" s="25">
        <v>261035.51999999999</v>
      </c>
      <c r="D5238" s="22" t="s">
        <v>8044</v>
      </c>
      <c r="E5238" s="22" t="s">
        <v>8045</v>
      </c>
      <c r="F5238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38" s="22" t="s">
        <v>217</v>
      </c>
      <c r="H5238" s="22" t="s">
        <v>5604</v>
      </c>
      <c r="I5238" s="26">
        <v>43706.355659722198</v>
      </c>
      <c r="J5238" s="23" t="str">
        <f t="shared" si="104"/>
        <v>ООО "АБК-ПЭЙМЕНТ"</v>
      </c>
      <c r="K5238" s="24" t="s">
        <v>5605</v>
      </c>
      <c r="L5238" s="28" t="s">
        <v>51</v>
      </c>
      <c r="M5238" s="28" t="s">
        <v>51</v>
      </c>
      <c r="N5238" s="27">
        <v>0</v>
      </c>
    </row>
    <row r="5239" spans="1:14" hidden="1" outlineLevel="1" x14ac:dyDescent="0.2">
      <c r="A5239" s="23" t="str">
        <f>HYPERLINK("https://www.spark-marketing.ru/Card/Person/256004", "МБДОУ ""ДЕТСКИЙ САД ""РЯБИНУШКА"" С. ГОРОДИЩЕ""")</f>
        <v>МБДОУ "ДЕТСКИЙ САД "РЯБИНУШКА" С. ГОРОДИЩЕ"</v>
      </c>
      <c r="B5239" s="24" t="s">
        <v>8131</v>
      </c>
      <c r="C5239" s="25">
        <v>230137.4</v>
      </c>
      <c r="D5239" s="22" t="s">
        <v>8044</v>
      </c>
      <c r="E5239" s="22" t="s">
        <v>8045</v>
      </c>
      <c r="F5239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39" s="22" t="s">
        <v>217</v>
      </c>
      <c r="H5239" s="22" t="s">
        <v>5604</v>
      </c>
      <c r="I5239" s="26">
        <v>43706.355659722198</v>
      </c>
      <c r="J5239" s="23" t="str">
        <f t="shared" si="104"/>
        <v>ООО "АБК-ПЭЙМЕНТ"</v>
      </c>
      <c r="K5239" s="24" t="s">
        <v>5605</v>
      </c>
      <c r="L5239" s="28" t="s">
        <v>51</v>
      </c>
      <c r="M5239" s="28" t="s">
        <v>51</v>
      </c>
      <c r="N5239" s="27">
        <v>0</v>
      </c>
    </row>
    <row r="5240" spans="1:14" hidden="1" outlineLevel="1" x14ac:dyDescent="0.2">
      <c r="A5240" s="23" t="str">
        <f>HYPERLINK("https://www.spark-marketing.ru/Card/Person/256513", "МБДОУ ""ДЕТСКИЙ САД КОМБИНИРОВАННОГО ВИДА №3 ""ОГОНЕК"" НМР РТ")</f>
        <v>МБДОУ "ДЕТСКИЙ САД КОМБИНИРОВАННОГО ВИДА №3 "ОГОНЕК" НМР РТ</v>
      </c>
      <c r="B5240" s="24" t="s">
        <v>8132</v>
      </c>
      <c r="C5240" s="25">
        <v>1643493</v>
      </c>
      <c r="D5240" s="22" t="s">
        <v>8044</v>
      </c>
      <c r="E5240" s="22" t="s">
        <v>8045</v>
      </c>
      <c r="F5240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40" s="22" t="s">
        <v>217</v>
      </c>
      <c r="H5240" s="22" t="s">
        <v>5604</v>
      </c>
      <c r="I5240" s="26">
        <v>43706.355659722198</v>
      </c>
      <c r="J5240" s="23" t="str">
        <f t="shared" si="104"/>
        <v>ООО "АБК-ПЭЙМЕНТ"</v>
      </c>
      <c r="K5240" s="24" t="s">
        <v>5605</v>
      </c>
      <c r="L5240" s="28" t="s">
        <v>51</v>
      </c>
      <c r="M5240" s="28" t="s">
        <v>51</v>
      </c>
      <c r="N5240" s="27">
        <v>0</v>
      </c>
    </row>
    <row r="5241" spans="1:14" hidden="1" outlineLevel="1" x14ac:dyDescent="0.2">
      <c r="A5241" s="23" t="str">
        <f>HYPERLINK("https://www.spark-marketing.ru/Card/Person/6441930", "МБДОУ ""ЦРР-ДЕТСКИЙ САД № 95 ""МЫ"" НМР РТ")</f>
        <v>МБДОУ "ЦРР-ДЕТСКИЙ САД № 95 "МЫ" НМР РТ</v>
      </c>
      <c r="B5241" s="24" t="s">
        <v>8133</v>
      </c>
      <c r="C5241" s="25">
        <v>1153731.2</v>
      </c>
      <c r="D5241" s="22" t="s">
        <v>8044</v>
      </c>
      <c r="E5241" s="22" t="s">
        <v>8045</v>
      </c>
      <c r="F5241" s="23" t="str">
        <f t="shared" si="103"/>
        <v>Право заключения муниципального контракта на оказание услуг по организации питания  для  ДОУ г. Нижнекамска и Нижнекамского муниципального района.</v>
      </c>
      <c r="G5241" s="22" t="s">
        <v>217</v>
      </c>
      <c r="H5241" s="22" t="s">
        <v>5604</v>
      </c>
      <c r="I5241" s="26">
        <v>43706.355659722198</v>
      </c>
      <c r="J5241" s="23" t="str">
        <f t="shared" si="104"/>
        <v>ООО "АБК-ПЭЙМЕНТ"</v>
      </c>
      <c r="K5241" s="24" t="s">
        <v>5605</v>
      </c>
      <c r="L5241" s="28" t="s">
        <v>51</v>
      </c>
      <c r="M5241" s="28" t="s">
        <v>51</v>
      </c>
      <c r="N5241" s="27">
        <v>0</v>
      </c>
    </row>
    <row r="5242" spans="1:14" x14ac:dyDescent="0.15">
      <c r="A5242" s="23" t="str">
        <f>HYPERLINK("https://www.spark-marketing.ru/Card/Person/53804", "МО МВД РОССИИ ПО ЗАТО Г. СЕВЕРОМОРСК И Г. ОСТРОВНОЙ")</f>
        <v>МО МВД РОССИИ ПО ЗАТО Г. СЕВЕРОМОРСК И Г. ОСТРОВНОЙ</v>
      </c>
      <c r="B5242" s="24" t="s">
        <v>8008</v>
      </c>
      <c r="C5242" s="25">
        <v>526750</v>
      </c>
      <c r="D5242" s="22" t="s">
        <v>8134</v>
      </c>
      <c r="E5242" s="22" t="s">
        <v>48</v>
      </c>
      <c r="F5242" s="23" t="str">
        <f>HYPERLINK("https://www.spark-marketing.ru/Card/Lot/73102083", "Услуги по организации питания")</f>
        <v>Услуги по организации питания</v>
      </c>
      <c r="G5242" s="22" t="s">
        <v>340</v>
      </c>
      <c r="H5242" s="22" t="s">
        <v>8010</v>
      </c>
      <c r="I5242" s="26">
        <v>43705.835150462997</v>
      </c>
      <c r="J5242" s="23" t="str">
        <f>HYPERLINK("https://www.spark-marketing.ru/Card/Person/1380391", "ООО ""МЕЧТА""")</f>
        <v>ООО "МЕЧТА"</v>
      </c>
      <c r="K5242" s="24" t="s">
        <v>8011</v>
      </c>
      <c r="L5242" s="22" t="s">
        <v>10</v>
      </c>
      <c r="M5242" s="28" t="s">
        <v>51</v>
      </c>
      <c r="N5242" s="28" t="s">
        <v>51</v>
      </c>
    </row>
    <row r="5243" spans="1:14" x14ac:dyDescent="0.15">
      <c r="A5243" s="23" t="str">
        <f>HYPERLINK("https://www.spark-marketing.ru/Card/Person/4679", "ОМВД РОССИИ ПО НАДЫМСКОМУ РАЙОНУ")</f>
        <v>ОМВД РОССИИ ПО НАДЫМСКОМУ РАЙОНУ</v>
      </c>
      <c r="B5243" s="24" t="s">
        <v>4091</v>
      </c>
      <c r="C5243" s="25">
        <v>300000</v>
      </c>
      <c r="D5243" s="22" t="s">
        <v>8135</v>
      </c>
      <c r="E5243" s="22" t="s">
        <v>48</v>
      </c>
      <c r="F5243" s="23" t="str">
        <f>HYPERLINK("https://www.spark-marketing.ru/Card/Lot/73098797", "УСЛУГИ ПО ОБЕСПЕЧЕНИЮ ПИТАНИЯ ЛИЦ СОДЕРЖАЩИХСЯ В СПЕЦ. ПОМЕЩЕНИЯХ ЗАДЕРЖАННЫХ ЛИЦ, 857 усл. ед")</f>
        <v>УСЛУГИ ПО ОБЕСПЕЧЕНИЮ ПИТАНИЯ ЛИЦ СОДЕРЖАЩИХСЯ В СПЕЦ. ПОМЕЩЕНИЯХ ЗАДЕРЖАННЫХ ЛИЦ, 857 усл. ед</v>
      </c>
      <c r="G5243" s="22" t="s">
        <v>1056</v>
      </c>
      <c r="H5243" s="22" t="s">
        <v>8136</v>
      </c>
      <c r="I5243" s="26">
        <v>43706.316979166702</v>
      </c>
      <c r="J5243" s="28" t="s">
        <v>51</v>
      </c>
      <c r="K5243" s="28" t="s">
        <v>51</v>
      </c>
      <c r="L5243" s="28" t="s">
        <v>51</v>
      </c>
      <c r="M5243" s="28" t="s">
        <v>51</v>
      </c>
      <c r="N5243" s="28" t="s">
        <v>51</v>
      </c>
    </row>
    <row r="5244" spans="1:14" x14ac:dyDescent="0.15">
      <c r="A5244" s="23" t="str">
        <f>HYPERLINK("https://www.spark-marketing.ru/Card/Person/135216", "ОМВД РОССИИ ПО МИРНИНСКОМУ РАЙОНУ")</f>
        <v>ОМВД РОССИИ ПО МИРНИНСКОМУ РАЙОНУ</v>
      </c>
      <c r="B5244" s="24" t="s">
        <v>5214</v>
      </c>
      <c r="C5244" s="25">
        <v>171288.15</v>
      </c>
      <c r="D5244" s="22" t="s">
        <v>8137</v>
      </c>
      <c r="E5244" s="22" t="s">
        <v>48</v>
      </c>
      <c r="F5244" s="23" t="str">
        <f>HYPERLINK("https://www.spark-marketing.ru/Card/Lot/73098159",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244" s="22" t="s">
        <v>241</v>
      </c>
      <c r="H5244" s="22" t="s">
        <v>3697</v>
      </c>
      <c r="I5244" s="26">
        <v>43706.279155092598</v>
      </c>
      <c r="J5244" s="28" t="s">
        <v>51</v>
      </c>
      <c r="K5244" s="28" t="s">
        <v>51</v>
      </c>
      <c r="L5244" s="28" t="s">
        <v>51</v>
      </c>
      <c r="M5244" s="28" t="s">
        <v>51</v>
      </c>
      <c r="N5244" s="28" t="s">
        <v>51</v>
      </c>
    </row>
    <row r="5245" spans="1:14" x14ac:dyDescent="0.15">
      <c r="A5245" s="23" t="str">
        <f>HYPERLINK("https://www.spark-marketing.ru/Card/Person/4369400", "ООО АВИАПРЕДПРИЯТИЕ ""ГАЗПРОМ АВИА""")</f>
        <v>ООО АВИАПРЕДПРИЯТИЕ "ГАЗПРОМ АВИА"</v>
      </c>
      <c r="B5245" s="24" t="s">
        <v>1724</v>
      </c>
      <c r="C5245" s="25">
        <v>58405</v>
      </c>
      <c r="D5245" s="22" t="s">
        <v>8138</v>
      </c>
      <c r="E5245" s="22" t="s">
        <v>1726</v>
      </c>
      <c r="F5245" s="23" t="str">
        <f>HYPERLINK("https://www.spark-marketing.ru/Card/Lot/73120655", "Оплата по счету№106 за услуги по обеспечению бортовым питанием в а/п г. Горно-Алтайск")</f>
        <v>Оплата по счету№106 за услуги по обеспечению бортовым питанием в а/п г. Горно-Алтайск</v>
      </c>
      <c r="G5245" s="22" t="s">
        <v>56</v>
      </c>
      <c r="H5245" s="22" t="s">
        <v>56</v>
      </c>
      <c r="I5245" s="26">
        <v>43706</v>
      </c>
      <c r="J5245" s="28" t="s">
        <v>51</v>
      </c>
      <c r="K5245" s="28" t="s">
        <v>51</v>
      </c>
      <c r="L5245" s="28" t="s">
        <v>51</v>
      </c>
      <c r="M5245" s="28" t="s">
        <v>51</v>
      </c>
      <c r="N5245" s="28" t="s">
        <v>51</v>
      </c>
    </row>
    <row r="5246" spans="1:14" x14ac:dyDescent="0.2">
      <c r="A5246" s="23" t="str">
        <f>HYPERLINK("https://www.spark-marketing.ru/Card/Person/5312", "ФГАОУ ВО РУТ (МИИТ), РУТ (МИИТ)")</f>
        <v>ФГАОУ ВО РУТ (МИИТ), РУТ (МИИТ)</v>
      </c>
      <c r="B5246" s="24" t="s">
        <v>8139</v>
      </c>
      <c r="C5246" s="25">
        <v>193640</v>
      </c>
      <c r="D5246" s="22" t="s">
        <v>8140</v>
      </c>
      <c r="E5246" s="22" t="s">
        <v>362</v>
      </c>
      <c r="F5246" s="23" t="str">
        <f>HYPERLINK("https://www.spark-marketing.ru/Card/Lot/73118961", "Оказание услуг по организации питания")</f>
        <v>Оказание услуг по организации питания</v>
      </c>
      <c r="G5246" s="22" t="s">
        <v>56</v>
      </c>
      <c r="H5246" s="22" t="s">
        <v>56</v>
      </c>
      <c r="I5246" s="26">
        <v>43706</v>
      </c>
      <c r="J5246" s="28" t="s">
        <v>51</v>
      </c>
      <c r="K5246" s="28" t="s">
        <v>51</v>
      </c>
      <c r="L5246" s="22" t="s">
        <v>10</v>
      </c>
      <c r="M5246" s="25">
        <v>193640</v>
      </c>
      <c r="N5246" s="27">
        <v>0</v>
      </c>
    </row>
    <row r="5247" spans="1:14" x14ac:dyDescent="0.2">
      <c r="A5247" s="23" t="str">
        <f>HYPERLINK("https://www.spark-marketing.ru/Card/Person/1007929", "МАОУ ""ШКОЛА № 9""")</f>
        <v>МАОУ "ШКОЛА № 9"</v>
      </c>
      <c r="B5247" s="24" t="s">
        <v>8141</v>
      </c>
      <c r="C5247" s="25">
        <v>1553910</v>
      </c>
      <c r="D5247" s="22" t="s">
        <v>8142</v>
      </c>
      <c r="E5247" s="22" t="s">
        <v>362</v>
      </c>
      <c r="F5247" s="23" t="str">
        <f>HYPERLINK("https://www.spark-marketing.ru/Card/Lot/73107424", "Оказание услуг по организации горячего питания учащихся во время образовательного процесса")</f>
        <v>Оказание услуг по организации горячего питания учащихся во время образовательного процесса</v>
      </c>
      <c r="G5247" s="22" t="s">
        <v>174</v>
      </c>
      <c r="H5247" s="22" t="s">
        <v>174</v>
      </c>
      <c r="I5247" s="26">
        <v>43706</v>
      </c>
      <c r="J5247" s="28" t="s">
        <v>51</v>
      </c>
      <c r="K5247" s="28" t="s">
        <v>51</v>
      </c>
      <c r="L5247" s="22" t="s">
        <v>10</v>
      </c>
      <c r="M5247" s="25">
        <v>1553910</v>
      </c>
      <c r="N5247" s="27">
        <v>0</v>
      </c>
    </row>
    <row r="5248" spans="1:14" x14ac:dyDescent="0.2">
      <c r="A5248" s="23" t="str">
        <f>HYPERLINK("https://www.spark-marketing.ru/Card/Person/1311072", "МАОУ ""ЮГО-КАМСКАЯ СРЕДНЯЯ ШКОЛА""")</f>
        <v>МАОУ "ЮГО-КАМСКАЯ СРЕДНЯЯ ШКОЛА"</v>
      </c>
      <c r="B5248" s="24" t="s">
        <v>4005</v>
      </c>
      <c r="C5248" s="25">
        <v>2823274.99</v>
      </c>
      <c r="D5248" s="22" t="s">
        <v>8143</v>
      </c>
      <c r="E5248" s="22" t="s">
        <v>362</v>
      </c>
      <c r="F5248" s="23" t="str">
        <f>HYPERLINK("https://www.spark-marketing.ru/Card/Lot/73112122", "Оказание услуги по обеспечению горячим питанием в здании профильной школы по адресу: Пермский край, Пермский район, пос.Юго-Камский, ул. Декабристов, д.14.")</f>
        <v>Оказание услуги по обеспечению горячим питанием в здании профильной школы по адресу: Пермский край, Пермский район, пос.Юго-Камский, ул. Декабристов, д.14.</v>
      </c>
      <c r="G5248" s="22" t="s">
        <v>153</v>
      </c>
      <c r="H5248" s="22" t="s">
        <v>153</v>
      </c>
      <c r="I5248" s="26">
        <v>43706</v>
      </c>
      <c r="J5248" s="28" t="s">
        <v>51</v>
      </c>
      <c r="K5248" s="28" t="s">
        <v>51</v>
      </c>
      <c r="L5248" s="22" t="s">
        <v>10</v>
      </c>
      <c r="M5248" s="25">
        <v>2823274.99</v>
      </c>
      <c r="N5248" s="27">
        <v>0</v>
      </c>
    </row>
    <row r="5249" spans="1:14" x14ac:dyDescent="0.15">
      <c r="A5249" s="23" t="str">
        <f>HYPERLINK("https://www.spark-marketing.ru/Card/Person/4348376", "АО ""ЖТК""")</f>
        <v>АО "ЖТК"</v>
      </c>
      <c r="B5249" s="24" t="s">
        <v>2312</v>
      </c>
      <c r="C5249" s="25">
        <v>825000</v>
      </c>
      <c r="D5249" s="22" t="s">
        <v>8144</v>
      </c>
      <c r="E5249" s="22" t="s">
        <v>2370</v>
      </c>
      <c r="F5249" s="23" t="str">
        <f>HYPERLINK("https://www.spark-marketing.ru/Card/Lot/73113378", "Поставка хлеба для предприятий общественного питания (столовая ст. Могоча), оказывающих услуги питания работникам ОАО ""РЖД""")</f>
        <v>Поставка хлеба для предприятий общественного питания (столовая ст. Могоча), оказывающих услуги питания работникам ОАО "РЖД"</v>
      </c>
      <c r="G5249" s="22" t="s">
        <v>228</v>
      </c>
      <c r="H5249" s="22" t="s">
        <v>228</v>
      </c>
      <c r="I5249" s="26">
        <v>43706</v>
      </c>
      <c r="J5249" s="28" t="s">
        <v>51</v>
      </c>
      <c r="K5249" s="28" t="s">
        <v>51</v>
      </c>
      <c r="L5249" s="28" t="s">
        <v>51</v>
      </c>
      <c r="M5249" s="28" t="s">
        <v>51</v>
      </c>
      <c r="N5249" s="28" t="s">
        <v>51</v>
      </c>
    </row>
    <row r="5250" spans="1:14" x14ac:dyDescent="0.15">
      <c r="A5250" s="23" t="str">
        <f>HYPERLINK("https://www.spark-marketing.ru/Card/Person/916089", "ГАОУ ДПО ЦПМ")</f>
        <v>ГАОУ ДПО ЦПМ</v>
      </c>
      <c r="B5250" s="24" t="s">
        <v>8145</v>
      </c>
      <c r="C5250" s="25">
        <v>639520</v>
      </c>
      <c r="D5250" s="22" t="s">
        <v>8146</v>
      </c>
      <c r="E5250" s="22" t="s">
        <v>1921</v>
      </c>
      <c r="F5250" s="23" t="str">
        <f>HYPERLINK("https://www.spark-marketing.ru/Card/Lot/73118107", "Оказание услуг по обеспечению проживанием и питанием команды обучающихся города Москвы в выездных образовательных мероприятиях")</f>
        <v>Оказание услуг по обеспечению проживанием и питанием команды обучающихся города Москвы в выездных образовательных мероприятиях</v>
      </c>
      <c r="G5250" s="22" t="s">
        <v>56</v>
      </c>
      <c r="H5250" s="22" t="s">
        <v>56</v>
      </c>
      <c r="I5250" s="26">
        <v>43706</v>
      </c>
      <c r="J5250" s="28" t="s">
        <v>51</v>
      </c>
      <c r="K5250" s="28" t="s">
        <v>51</v>
      </c>
      <c r="L5250" s="28" t="s">
        <v>51</v>
      </c>
      <c r="M5250" s="28" t="s">
        <v>51</v>
      </c>
      <c r="N5250" s="28" t="s">
        <v>51</v>
      </c>
    </row>
    <row r="5251" spans="1:14" x14ac:dyDescent="0.2">
      <c r="A5251" s="23" t="str">
        <f>HYPERLINK("https://www.spark-marketing.ru/Card/Person/72032", "ФГБУ ""ВНИИ ТРУДА"" МИНТРУДА РОССИИ")</f>
        <v>ФГБУ "ВНИИ ТРУДА" МИНТРУДА РОССИИ</v>
      </c>
      <c r="B5251" s="24" t="s">
        <v>8147</v>
      </c>
      <c r="C5251" s="25">
        <v>228300</v>
      </c>
      <c r="D5251" s="22" t="s">
        <v>8148</v>
      </c>
      <c r="E5251" s="22" t="s">
        <v>8149</v>
      </c>
      <c r="F5251" s="23" t="str">
        <f>HYPERLINK("https://www.spark-marketing.ru/Card/Lot/73116014", "Оказание услуг по организации питания и трансфера в целях проведения Международной конференции «Нулевой травматизм в сфере строительства»")</f>
        <v>Оказание услуг по организации питания и трансфера в целях проведения Международной конференции «Нулевой травматизм в сфере строительства»</v>
      </c>
      <c r="G5251" s="22" t="s">
        <v>56</v>
      </c>
      <c r="H5251" s="22" t="s">
        <v>56</v>
      </c>
      <c r="I5251" s="26">
        <v>43706</v>
      </c>
      <c r="J5251" s="28" t="s">
        <v>51</v>
      </c>
      <c r="K5251" s="28" t="s">
        <v>51</v>
      </c>
      <c r="L5251" s="28" t="s">
        <v>51</v>
      </c>
      <c r="M5251" s="25">
        <v>228300</v>
      </c>
      <c r="N5251" s="27">
        <v>0</v>
      </c>
    </row>
    <row r="5252" spans="1:14" x14ac:dyDescent="0.2">
      <c r="A5252" s="23" t="str">
        <f>HYPERLINK("https://www.spark-marketing.ru/Card/Person/568555", "ГАУ СО ""ДОМ МОЛОДЕЖИ""")</f>
        <v>ГАУ СО "ДОМ МОЛОДЕЖИ"</v>
      </c>
      <c r="B5252" s="24" t="s">
        <v>7669</v>
      </c>
      <c r="C5252" s="25">
        <v>130418</v>
      </c>
      <c r="D5252" s="22" t="s">
        <v>8150</v>
      </c>
      <c r="E5252" s="22" t="s">
        <v>362</v>
      </c>
      <c r="F5252" s="23" t="str">
        <f>HYPERLINK("https://www.spark-marketing.ru/Card/Lot/73121560", "оказание услуг по организации питания в рамках подготовки и проведения конкурсного выступления команд КВН «Игра - Встреча выпускников КВН»")</f>
        <v>оказание услуг по организации питания в рамках подготовки и проведения конкурсного выступления команд КВН «Игра - Встреча выпускников КВН»</v>
      </c>
      <c r="G5252" s="22" t="s">
        <v>174</v>
      </c>
      <c r="H5252" s="22" t="s">
        <v>174</v>
      </c>
      <c r="I5252" s="26">
        <v>43706</v>
      </c>
      <c r="J5252" s="28" t="s">
        <v>51</v>
      </c>
      <c r="K5252" s="28" t="s">
        <v>51</v>
      </c>
      <c r="L5252" s="28" t="s">
        <v>51</v>
      </c>
      <c r="M5252" s="25">
        <v>130418</v>
      </c>
      <c r="N5252" s="27">
        <v>0</v>
      </c>
    </row>
    <row r="5253" spans="1:14" x14ac:dyDescent="0.2">
      <c r="A5253" s="23" t="str">
        <f>HYPERLINK("https://www.spark-marketing.ru/Card/Person/1003816", "МОУ ""СОШ № 6""")</f>
        <v>МОУ "СОШ № 6"</v>
      </c>
      <c r="B5253" s="24" t="s">
        <v>8151</v>
      </c>
      <c r="C5253" s="25">
        <v>646102</v>
      </c>
      <c r="D5253" s="22" t="s">
        <v>8152</v>
      </c>
      <c r="E5253" s="22" t="s">
        <v>362</v>
      </c>
      <c r="F5253" s="23" t="str">
        <f>HYPERLINK("https://www.spark-marketing.ru/Card/Lot/73098176", "Оказание услуг по обеспечению льготным питанием детей из малообеспеченных семей и детей с нарушением здоровья обучающихся в МОУ «СОШ № 6»")</f>
        <v>Оказание услуг по обеспечению льготным питанием детей из малообеспеченных семей и детей с нарушением здоровья обучающихся в МОУ «СОШ № 6»</v>
      </c>
      <c r="G5253" s="22" t="s">
        <v>469</v>
      </c>
      <c r="H5253" s="22" t="s">
        <v>469</v>
      </c>
      <c r="I5253" s="26">
        <v>43706</v>
      </c>
      <c r="J5253" s="28" t="s">
        <v>51</v>
      </c>
      <c r="K5253" s="28" t="s">
        <v>51</v>
      </c>
      <c r="L5253" s="28" t="s">
        <v>51</v>
      </c>
      <c r="M5253" s="25">
        <v>0</v>
      </c>
      <c r="N5253" s="27">
        <v>1</v>
      </c>
    </row>
    <row r="5254" spans="1:14" x14ac:dyDescent="0.15">
      <c r="A5254" s="23" t="str">
        <f>HYPERLINK("https://www.spark-marketing.ru/Card/Person/1759753", "МАОУ ""СОШ №31"" Г. СТЕРЛИТАМАК РБ")</f>
        <v>МАОУ "СОШ №31" Г. СТЕРЛИТАМАК РБ</v>
      </c>
      <c r="B5254" s="24" t="s">
        <v>8153</v>
      </c>
      <c r="C5254" s="25">
        <v>280600</v>
      </c>
      <c r="D5254" s="22" t="s">
        <v>8154</v>
      </c>
      <c r="E5254" s="22" t="s">
        <v>362</v>
      </c>
      <c r="F5254" s="23" t="str">
        <f>HYPERLINK("https://www.spark-marketing.ru/Card/Lot/73124130", "Услуги по организации питания учащихся из многодетных маообеспеченных семей")</f>
        <v>Услуги по организации питания учащихся из многодетных маообеспеченных семей</v>
      </c>
      <c r="G5254" s="22" t="s">
        <v>145</v>
      </c>
      <c r="H5254" s="22" t="s">
        <v>145</v>
      </c>
      <c r="I5254" s="26">
        <v>43706</v>
      </c>
      <c r="J5254" s="28" t="s">
        <v>51</v>
      </c>
      <c r="K5254" s="28" t="s">
        <v>51</v>
      </c>
      <c r="L5254" s="28" t="s">
        <v>51</v>
      </c>
      <c r="M5254" s="28" t="s">
        <v>51</v>
      </c>
      <c r="N5254" s="28" t="s">
        <v>51</v>
      </c>
    </row>
    <row r="5255" spans="1:14" x14ac:dyDescent="0.2">
      <c r="A5255" s="23" t="str">
        <f>HYPERLINK("https://www.spark-marketing.ru/Card/Person/768362", "МАОУ ""ГИМНАЗИЯ № 33 Г. УЛАН-УДЭ""")</f>
        <v>МАОУ "ГИМНАЗИЯ № 33 Г. УЛАН-УДЭ"</v>
      </c>
      <c r="B5255" s="24" t="s">
        <v>8155</v>
      </c>
      <c r="C5255" s="25">
        <v>668800</v>
      </c>
      <c r="D5255" s="22" t="s">
        <v>8156</v>
      </c>
      <c r="E5255" s="22" t="s">
        <v>8157</v>
      </c>
      <c r="F5255" s="23" t="str">
        <f>HYPERLINK("https://www.spark-marketing.ru/Card/Lot/73103118", "Оказание услуг по организации горячего питания школьников")</f>
        <v>Оказание услуг по организации горячего питания школьников</v>
      </c>
      <c r="G5255" s="22" t="s">
        <v>433</v>
      </c>
      <c r="H5255" s="22" t="s">
        <v>433</v>
      </c>
      <c r="I5255" s="26">
        <v>43706</v>
      </c>
      <c r="J5255" s="28" t="s">
        <v>51</v>
      </c>
      <c r="K5255" s="28" t="s">
        <v>51</v>
      </c>
      <c r="L5255" s="28" t="s">
        <v>51</v>
      </c>
      <c r="M5255" s="25">
        <v>668800</v>
      </c>
      <c r="N5255" s="27">
        <v>0</v>
      </c>
    </row>
    <row r="5256" spans="1:14" x14ac:dyDescent="0.2">
      <c r="A5256" s="23" t="str">
        <f>HYPERLINK("https://www.spark-marketing.ru/Card/Person/148077", "МАДОУ ""ДЕТСКИЙ САД ОБЩЕРАЗВИВАЮЩЕГО ВИДА №80"" НМР РТ")</f>
        <v>МАДОУ "ДЕТСКИЙ САД ОБЩЕРАЗВИВАЮЩЕГО ВИДА №80" НМР РТ</v>
      </c>
      <c r="B5256" s="24" t="s">
        <v>8048</v>
      </c>
      <c r="C5256" s="25">
        <v>99648.01</v>
      </c>
      <c r="D5256" s="22" t="s">
        <v>8158</v>
      </c>
      <c r="E5256" s="22" t="s">
        <v>52</v>
      </c>
      <c r="F5256" s="23" t="str">
        <f>HYPERLINK("https://www.spark-marketing.ru/Card/Lot/73797207", "Услуги по организации питания")</f>
        <v>Услуги по организации питания</v>
      </c>
      <c r="G5256" s="22" t="s">
        <v>217</v>
      </c>
      <c r="H5256" s="22" t="s">
        <v>218</v>
      </c>
      <c r="I5256" s="26">
        <v>43706.629861111098</v>
      </c>
      <c r="J5256" s="28" t="s">
        <v>51</v>
      </c>
      <c r="K5256" s="28" t="s">
        <v>51</v>
      </c>
      <c r="L5256" s="28" t="s">
        <v>51</v>
      </c>
      <c r="M5256" s="25">
        <v>99648.01</v>
      </c>
      <c r="N5256" s="27">
        <v>0</v>
      </c>
    </row>
    <row r="5257" spans="1:14" x14ac:dyDescent="0.15">
      <c r="A5257" s="23" t="str">
        <f>HYPERLINK("https://www.spark-marketing.ru/Card/Person/37108", "КГАУ ""СШОР ПО ХОККЕЮ С МЯЧОМ ""ЕНИСЕЙ""")</f>
        <v>КГАУ "СШОР ПО ХОККЕЮ С МЯЧОМ "ЕНИСЕЙ"</v>
      </c>
      <c r="B5257" s="24" t="s">
        <v>4625</v>
      </c>
      <c r="C5257" s="25">
        <v>345144</v>
      </c>
      <c r="D5257" s="22" t="s">
        <v>8159</v>
      </c>
      <c r="E5257" s="22" t="s">
        <v>769</v>
      </c>
      <c r="F5257" s="23" t="str">
        <f>HYPERLINK("https://www.spark-marketing.ru/Card/Lot/73112966", "Оказание услуг по проживанию и питанию судей I этапа кубка России среди мужских команд")</f>
        <v>Оказание услуг по проживанию и питанию судей I этапа кубка России среди мужских команд</v>
      </c>
      <c r="G5257" s="22" t="s">
        <v>281</v>
      </c>
      <c r="H5257" s="22" t="s">
        <v>281</v>
      </c>
      <c r="I5257" s="26">
        <v>43706</v>
      </c>
      <c r="J5257" s="28" t="s">
        <v>51</v>
      </c>
      <c r="K5257" s="28" t="s">
        <v>51</v>
      </c>
      <c r="L5257" s="28" t="s">
        <v>51</v>
      </c>
      <c r="M5257" s="28" t="s">
        <v>51</v>
      </c>
      <c r="N5257" s="28" t="s">
        <v>51</v>
      </c>
    </row>
    <row r="5258" spans="1:14" x14ac:dyDescent="0.15">
      <c r="A5258" s="23" t="str">
        <f>HYPERLINK("https://www.spark-marketing.ru/Card/Person/789035", "МАОУ СОШ № 12")</f>
        <v>МАОУ СОШ № 12</v>
      </c>
      <c r="B5258" s="24" t="s">
        <v>6277</v>
      </c>
      <c r="C5258" s="25">
        <v>268812</v>
      </c>
      <c r="D5258" s="22" t="s">
        <v>8160</v>
      </c>
      <c r="E5258" s="22" t="s">
        <v>362</v>
      </c>
      <c r="F5258" s="23" t="str">
        <f>HYPERLINK("https://www.spark-marketing.ru/Card/Lot/73112990", "Оказание услуг по организации и проведению питание детей в дошкольной группе МАОУ СОШ № 12 во 2-м полугодии 2019г.")</f>
        <v>Оказание услуг по организации и проведению питание детей в дошкольной группе МАОУ СОШ № 12 во 2-м полугодии 2019г.</v>
      </c>
      <c r="G5258" s="22" t="s">
        <v>267</v>
      </c>
      <c r="H5258" s="22" t="s">
        <v>267</v>
      </c>
      <c r="I5258" s="26">
        <v>43706</v>
      </c>
      <c r="J5258" s="28" t="s">
        <v>51</v>
      </c>
      <c r="K5258" s="28" t="s">
        <v>51</v>
      </c>
      <c r="L5258" s="28" t="s">
        <v>51</v>
      </c>
      <c r="M5258" s="28" t="s">
        <v>51</v>
      </c>
      <c r="N5258" s="28" t="s">
        <v>51</v>
      </c>
    </row>
    <row r="5259" spans="1:14" x14ac:dyDescent="0.15">
      <c r="A5259" s="23" t="str">
        <f>HYPERLINK("https://www.spark-marketing.ru/Card/Person/1752165", "АО ""ГРИНАТОМ""")</f>
        <v>АО "ГРИНАТОМ"</v>
      </c>
      <c r="B5259" s="24" t="s">
        <v>509</v>
      </c>
      <c r="C5259" s="25">
        <v>694617</v>
      </c>
      <c r="D5259" s="22" t="s">
        <v>8161</v>
      </c>
      <c r="E5259" s="22" t="s">
        <v>554</v>
      </c>
      <c r="F5259" s="23" t="str">
        <f>HYPERLINK("https://www.spark-marketing.ru/Card/Lot/73118017", "услуги по предоставлению площадки, питания и трансфера для выездной сессии руководителей АО «Гринатом»")</f>
        <v>услуги по предоставлению площадки, питания и трансфера для выездной сессии руководителей АО «Гринатом»</v>
      </c>
      <c r="G5259" s="22" t="s">
        <v>56</v>
      </c>
      <c r="H5259" s="22" t="s">
        <v>56</v>
      </c>
      <c r="I5259" s="26">
        <v>43706</v>
      </c>
      <c r="J5259" s="28" t="s">
        <v>51</v>
      </c>
      <c r="K5259" s="28" t="s">
        <v>51</v>
      </c>
      <c r="L5259" s="28" t="s">
        <v>51</v>
      </c>
      <c r="M5259" s="28" t="s">
        <v>51</v>
      </c>
      <c r="N5259" s="28" t="s">
        <v>51</v>
      </c>
    </row>
    <row r="5260" spans="1:14" x14ac:dyDescent="0.15">
      <c r="A5260" s="23" t="str">
        <f>HYPERLINK("https://www.spark-marketing.ru/Card/Person/1758952", "ГАПОУ АО ""АСТРАХАНСКИЙ АГРОТЕХНИЧЕСКИЙ ТЕХНИКУМ""")</f>
        <v>ГАПОУ АО "АСТРАХАНСКИЙ АГРОТЕХНИЧЕСКИЙ ТЕХНИКУМ"</v>
      </c>
      <c r="B5260" s="24" t="s">
        <v>8162</v>
      </c>
      <c r="C5260" s="25">
        <v>101556</v>
      </c>
      <c r="D5260" s="22" t="s">
        <v>8163</v>
      </c>
      <c r="E5260" s="22" t="s">
        <v>362</v>
      </c>
      <c r="F5260" s="23" t="str">
        <f>HYPERLINK("https://www.spark-marketing.ru/Card/Lot/73118240", "оказание услуг по организации ежедневного горячего питания для учащихся")</f>
        <v>оказание услуг по организации ежедневного горячего питания для учащихся</v>
      </c>
      <c r="G5260" s="22" t="s">
        <v>141</v>
      </c>
      <c r="H5260" s="22" t="s">
        <v>141</v>
      </c>
      <c r="I5260" s="26">
        <v>43706</v>
      </c>
      <c r="J5260" s="28" t="s">
        <v>51</v>
      </c>
      <c r="K5260" s="28" t="s">
        <v>51</v>
      </c>
      <c r="L5260" s="28" t="s">
        <v>51</v>
      </c>
      <c r="M5260" s="28" t="s">
        <v>51</v>
      </c>
      <c r="N5260" s="28" t="s">
        <v>51</v>
      </c>
    </row>
    <row r="5261" spans="1:14" x14ac:dyDescent="0.15">
      <c r="A5261" s="23" t="str">
        <f>HYPERLINK("https://www.spark-marketing.ru/Card/Person/6441075", "МАДОУ ДС № 6 ""РОМАШКА""")</f>
        <v>МАДОУ ДС № 6 "РОМАШКА"</v>
      </c>
      <c r="B5261" s="24" t="s">
        <v>8164</v>
      </c>
      <c r="C5261" s="25">
        <v>652405</v>
      </c>
      <c r="D5261" s="22" t="s">
        <v>8165</v>
      </c>
      <c r="E5261" s="22" t="s">
        <v>8166</v>
      </c>
      <c r="F5261" s="23" t="str">
        <f>HYPERLINK("https://www.spark-marketing.ru/Card/Lot/73113323", "Оказание услуг по организации горячего питания")</f>
        <v>Оказание услуг по организации горячего питания</v>
      </c>
      <c r="G5261" s="22" t="s">
        <v>104</v>
      </c>
      <c r="H5261" s="22" t="s">
        <v>104</v>
      </c>
      <c r="I5261" s="26">
        <v>43706</v>
      </c>
      <c r="J5261" s="28" t="s">
        <v>51</v>
      </c>
      <c r="K5261" s="28" t="s">
        <v>51</v>
      </c>
      <c r="L5261" s="22" t="s">
        <v>10</v>
      </c>
      <c r="M5261" s="28" t="s">
        <v>51</v>
      </c>
      <c r="N5261" s="28" t="s">
        <v>51</v>
      </c>
    </row>
    <row r="5262" spans="1:14" x14ac:dyDescent="0.15">
      <c r="A5262" s="23" t="str">
        <f>HYPERLINK("https://www.spark-marketing.ru/Card/Person/1758755", "ООО ""ААУК""")</f>
        <v>ООО "ААУК"</v>
      </c>
      <c r="B5262" s="24" t="s">
        <v>7222</v>
      </c>
      <c r="C5262" s="25">
        <v>485800</v>
      </c>
      <c r="D5262" s="22" t="s">
        <v>8167</v>
      </c>
      <c r="E5262" s="22" t="s">
        <v>580</v>
      </c>
      <c r="F5262" s="23" t="str">
        <f>HYPERLINK("https://www.spark-marketing.ru/Card/Lot/73120637", "Закупка услуг по организации питания")</f>
        <v>Закупка услуг по организации питания</v>
      </c>
      <c r="G5262" s="22" t="s">
        <v>56</v>
      </c>
      <c r="H5262" s="22" t="s">
        <v>56</v>
      </c>
      <c r="I5262" s="26">
        <v>43706</v>
      </c>
      <c r="J5262" s="28" t="s">
        <v>51</v>
      </c>
      <c r="K5262" s="28" t="s">
        <v>51</v>
      </c>
      <c r="L5262" s="28" t="s">
        <v>51</v>
      </c>
      <c r="M5262" s="28" t="s">
        <v>51</v>
      </c>
      <c r="N5262" s="28" t="s">
        <v>51</v>
      </c>
    </row>
    <row r="5263" spans="1:14" x14ac:dyDescent="0.2">
      <c r="A5263" s="23" t="str">
        <f>HYPERLINK("https://www.spark-marketing.ru/Card/Person/4073", "МАОУ СОШ № 25/11")</f>
        <v>МАОУ СОШ № 25/11</v>
      </c>
      <c r="B5263" s="24" t="s">
        <v>8168</v>
      </c>
      <c r="C5263" s="25">
        <v>240240</v>
      </c>
      <c r="D5263" s="22" t="s">
        <v>8169</v>
      </c>
      <c r="E5263" s="22" t="s">
        <v>362</v>
      </c>
      <c r="F5263" s="23" t="str">
        <f>HYPERLINK("https://www.spark-marketing.ru/Card/Lot/73115964", "услуги по организации бесплатного питания отдельных категорий обучающихся в сентябре-ноябре 2019 года")</f>
        <v>услуги по организации бесплатного питания отдельных категорий обучающихся в сентябре-ноябре 2019 года</v>
      </c>
      <c r="G5263" s="22" t="s">
        <v>267</v>
      </c>
      <c r="H5263" s="22" t="s">
        <v>267</v>
      </c>
      <c r="I5263" s="26">
        <v>43706</v>
      </c>
      <c r="J5263" s="28" t="s">
        <v>51</v>
      </c>
      <c r="K5263" s="28" t="s">
        <v>51</v>
      </c>
      <c r="L5263" s="22" t="s">
        <v>10</v>
      </c>
      <c r="M5263" s="25">
        <v>240240</v>
      </c>
      <c r="N5263" s="27">
        <v>0</v>
      </c>
    </row>
    <row r="5264" spans="1:14" x14ac:dyDescent="0.2">
      <c r="A5264" s="23" t="str">
        <f>HYPERLINK("https://www.spark-marketing.ru/Card/Person/1008161", "МАОУ ""ШКОЛА № 13""")</f>
        <v>МАОУ "ШКОЛА № 13"</v>
      </c>
      <c r="B5264" s="24" t="s">
        <v>8170</v>
      </c>
      <c r="C5264" s="25">
        <v>1364310</v>
      </c>
      <c r="D5264" s="22" t="s">
        <v>8171</v>
      </c>
      <c r="E5264" s="22" t="s">
        <v>362</v>
      </c>
      <c r="F5264" s="23" t="str">
        <f>HYPERLINK("https://www.spark-marketing.ru/Card/Lot/73112270", "Оказание услуг по организации горячего питания учащихся во время образовательного процесса")</f>
        <v>Оказание услуг по организации горячего питания учащихся во время образовательного процесса</v>
      </c>
      <c r="G5264" s="22" t="s">
        <v>174</v>
      </c>
      <c r="H5264" s="22" t="s">
        <v>174</v>
      </c>
      <c r="I5264" s="26">
        <v>43706</v>
      </c>
      <c r="J5264" s="28" t="s">
        <v>51</v>
      </c>
      <c r="K5264" s="28" t="s">
        <v>51</v>
      </c>
      <c r="L5264" s="22" t="s">
        <v>10</v>
      </c>
      <c r="M5264" s="25">
        <v>1364310</v>
      </c>
      <c r="N5264" s="27">
        <v>0</v>
      </c>
    </row>
    <row r="5265" spans="1:14" x14ac:dyDescent="0.2">
      <c r="A5265" s="23" t="str">
        <f>HYPERLINK("https://www.spark-marketing.ru/Card/Person/4379205", "МАОУ ""СОШ № 29""")</f>
        <v>МАОУ "СОШ № 29"</v>
      </c>
      <c r="B5265" s="24" t="s">
        <v>8172</v>
      </c>
      <c r="C5265" s="25">
        <v>2443494.5</v>
      </c>
      <c r="D5265" s="22" t="s">
        <v>8173</v>
      </c>
      <c r="E5265" s="22" t="s">
        <v>362</v>
      </c>
      <c r="F5265" s="23" t="str">
        <f>HYPERLINK("https://www.spark-marketing.ru/Card/Lot/73103100", "Организация питания учащихся МАОУ ""СОШ № 29"" в период с 01.09.2019г. по 31.12.2019г.")</f>
        <v>Организация питания учащихся МАОУ "СОШ № 29" в период с 01.09.2019г. по 31.12.2019г.</v>
      </c>
      <c r="G5265" s="22" t="s">
        <v>174</v>
      </c>
      <c r="H5265" s="22" t="s">
        <v>174</v>
      </c>
      <c r="I5265" s="26">
        <v>43706</v>
      </c>
      <c r="J5265" s="28" t="s">
        <v>51</v>
      </c>
      <c r="K5265" s="28" t="s">
        <v>51</v>
      </c>
      <c r="L5265" s="22" t="s">
        <v>10</v>
      </c>
      <c r="M5265" s="25">
        <v>2443494.5</v>
      </c>
      <c r="N5265" s="27">
        <v>0</v>
      </c>
    </row>
    <row r="5266" spans="1:14" x14ac:dyDescent="0.15">
      <c r="A5266" s="23" t="str">
        <f>HYPERLINK("https://www.spark-marketing.ru/Card/Person/3044", "ФГАУ ""НМИЦ ЗДОРОВЬЯ ДЕТЕЙ"" МИНЗДРАВА РОССИИ")</f>
        <v>ФГАУ "НМИЦ ЗДОРОВЬЯ ДЕТЕЙ" МИНЗДРАВА РОССИИ</v>
      </c>
      <c r="B5266" s="24" t="s">
        <v>5526</v>
      </c>
      <c r="C5266" s="25">
        <v>606053.65</v>
      </c>
      <c r="D5266" s="22" t="s">
        <v>8174</v>
      </c>
      <c r="E5266" s="22" t="s">
        <v>1403</v>
      </c>
      <c r="F5266" s="23" t="str">
        <f>HYPERLINK("https://www.spark-marketing.ru/Card/Lot/73087534", "Оказание услуг по ремонту источников бесперебойного питания")</f>
        <v>Оказание услуг по ремонту источников бесперебойного питания</v>
      </c>
      <c r="G5266" s="22" t="s">
        <v>56</v>
      </c>
      <c r="H5266" s="22" t="s">
        <v>56</v>
      </c>
      <c r="I5266" s="26">
        <v>43705</v>
      </c>
      <c r="J5266" s="28" t="s">
        <v>51</v>
      </c>
      <c r="K5266" s="28" t="s">
        <v>51</v>
      </c>
      <c r="L5266" s="28" t="s">
        <v>51</v>
      </c>
      <c r="M5266" s="28" t="s">
        <v>51</v>
      </c>
      <c r="N5266" s="28" t="s">
        <v>51</v>
      </c>
    </row>
    <row r="5267" spans="1:14" x14ac:dyDescent="0.15">
      <c r="A5267" s="23" t="str">
        <f>HYPERLINK("https://www.spark-marketing.ru/Card/Person/142759", "МОУ СОШ №1 Г.МОЖАЙСКА")</f>
        <v>МОУ СОШ №1 Г.МОЖАЙСКА</v>
      </c>
      <c r="B5267" s="24" t="s">
        <v>7183</v>
      </c>
      <c r="C5267" s="25">
        <v>380800</v>
      </c>
      <c r="D5267" s="22" t="s">
        <v>8175</v>
      </c>
      <c r="E5267" s="22" t="s">
        <v>362</v>
      </c>
      <c r="F5267" s="23" t="str">
        <f>HYPERLINK("https://www.spark-marketing.ru/Card/Lot/73113020", "на оказание социальных услуг по организации питания отдельным категориям обучающихся (сентябрь 2019 г.)")</f>
        <v>на оказание социальных услуг по организации питания отдельным категориям обучающихся (сентябрь 2019 г.)</v>
      </c>
      <c r="G5267" s="22" t="s">
        <v>49</v>
      </c>
      <c r="H5267" s="22" t="s">
        <v>3718</v>
      </c>
      <c r="I5267" s="26">
        <v>43706</v>
      </c>
      <c r="J5267" s="28" t="s">
        <v>51</v>
      </c>
      <c r="K5267" s="28" t="s">
        <v>51</v>
      </c>
      <c r="L5267" s="28" t="s">
        <v>51</v>
      </c>
      <c r="M5267" s="28" t="s">
        <v>51</v>
      </c>
      <c r="N5267" s="28" t="s">
        <v>51</v>
      </c>
    </row>
    <row r="5268" spans="1:14" x14ac:dyDescent="0.15">
      <c r="A5268" s="23" t="str">
        <f>HYPERLINK("https://www.spark-marketing.ru/Card/Person/1760026", "ЗАО ""ПФК ""КРЫЛЬЯ СОВЕТОВ""")</f>
        <v>ЗАО "ПФК "КРЫЛЬЯ СОВЕТОВ"</v>
      </c>
      <c r="B5268" s="24" t="s">
        <v>2056</v>
      </c>
      <c r="C5268" s="25">
        <v>129414</v>
      </c>
      <c r="D5268" s="22" t="s">
        <v>8176</v>
      </c>
      <c r="E5268" s="22" t="s">
        <v>2058</v>
      </c>
      <c r="F5268" s="23" t="str">
        <f>HYPERLINK("https://www.spark-marketing.ru/Card/Lot/73119061", "Комплекс услуг по организации питания и проживания команд 2005г.р., КФК ЦПФ в рамках участия в соревнованиях")</f>
        <v>Комплекс услуг по организации питания и проживания команд 2005г.р., КФК ЦПФ в рамках участия в соревнованиях</v>
      </c>
      <c r="G5268" s="22" t="s">
        <v>72</v>
      </c>
      <c r="H5268" s="22" t="s">
        <v>72</v>
      </c>
      <c r="I5268" s="26">
        <v>43706</v>
      </c>
      <c r="J5268" s="28" t="s">
        <v>51</v>
      </c>
      <c r="K5268" s="28" t="s">
        <v>51</v>
      </c>
      <c r="L5268" s="28" t="s">
        <v>51</v>
      </c>
      <c r="M5268" s="28" t="s">
        <v>51</v>
      </c>
      <c r="N5268" s="28" t="s">
        <v>51</v>
      </c>
    </row>
    <row r="5269" spans="1:14" x14ac:dyDescent="0.2">
      <c r="A5269" s="23" t="str">
        <f>HYPERLINK("https://www.spark-marketing.ru/Card/Person/4360548", "МАУ ЦДО ""ПЕРЕМЕНА""")</f>
        <v>МАУ ЦДО "ПЕРЕМЕНА"</v>
      </c>
      <c r="B5269" s="24" t="s">
        <v>8177</v>
      </c>
      <c r="C5269" s="25">
        <v>2055796</v>
      </c>
      <c r="D5269" s="22" t="s">
        <v>8178</v>
      </c>
      <c r="E5269" s="22" t="s">
        <v>1764</v>
      </c>
      <c r="F5269" s="23" t="str">
        <f>HYPERLINK("https://www.spark-marketing.ru/Card/Lot/73124944", "Оказание услуг по организации горячего питания лиц, определенных Заказчиком в муниципальном стационарном ДОЛ ""Кировец""")</f>
        <v>Оказание услуг по организации горячего питания лиц, определенных Заказчиком в муниципальном стационарном ДОЛ "Кировец"</v>
      </c>
      <c r="G5269" s="22" t="s">
        <v>82</v>
      </c>
      <c r="H5269" s="22" t="s">
        <v>82</v>
      </c>
      <c r="I5269" s="26">
        <v>43706</v>
      </c>
      <c r="J5269" s="28" t="s">
        <v>51</v>
      </c>
      <c r="K5269" s="28" t="s">
        <v>51</v>
      </c>
      <c r="L5269" s="22" t="s">
        <v>10</v>
      </c>
      <c r="M5269" s="25">
        <v>2055560</v>
      </c>
      <c r="N5269" s="27">
        <v>1.1479738261967628E-4</v>
      </c>
    </row>
    <row r="5270" spans="1:14" x14ac:dyDescent="0.15">
      <c r="A5270" s="23" t="str">
        <f>HYPERLINK("https://www.spark-marketing.ru/Card/Person/4365964", "ООО ""ГАЗПРОМ ЭКСПО""")</f>
        <v>ООО "ГАЗПРОМ ЭКСПО"</v>
      </c>
      <c r="B5270" s="24" t="s">
        <v>8179</v>
      </c>
      <c r="C5270" s="25">
        <v>60940935.159999996</v>
      </c>
      <c r="D5270" s="22" t="s">
        <v>8180</v>
      </c>
      <c r="E5270" s="22" t="s">
        <v>1412</v>
      </c>
      <c r="F5270" s="23" t="str">
        <f>HYPERLINK("https://www.spark-marketing.ru/Card/Lot/73129198", "Оказание услуг по организации питания")</f>
        <v>Оказание услуг по организации питания</v>
      </c>
      <c r="G5270" s="22" t="s">
        <v>117</v>
      </c>
      <c r="H5270" s="22" t="s">
        <v>117</v>
      </c>
      <c r="I5270" s="26">
        <v>43706</v>
      </c>
      <c r="J5270" s="28" t="s">
        <v>51</v>
      </c>
      <c r="K5270" s="28" t="s">
        <v>51</v>
      </c>
      <c r="L5270" s="28" t="s">
        <v>51</v>
      </c>
      <c r="M5270" s="28" t="s">
        <v>51</v>
      </c>
      <c r="N5270" s="28" t="s">
        <v>51</v>
      </c>
    </row>
    <row r="5271" spans="1:14" x14ac:dyDescent="0.2">
      <c r="A5271" s="23" t="str">
        <f>HYPERLINK("https://www.spark-marketing.ru/Card/Person/1760646", "ГАОУ МО ""ХИМКИНСКИЙ ЛИЦЕЙ""")</f>
        <v>ГАОУ МО "ХИМКИНСКИЙ ЛИЦЕЙ"</v>
      </c>
      <c r="B5271" s="24" t="s">
        <v>1733</v>
      </c>
      <c r="C5271" s="25">
        <v>399714</v>
      </c>
      <c r="D5271" s="22" t="s">
        <v>8181</v>
      </c>
      <c r="E5271" s="22" t="s">
        <v>362</v>
      </c>
      <c r="F5271" s="23" t="str">
        <f>HYPERLINK("https://www.spark-marketing.ru/Card/Lot/73116111", "Оказание услуг по организации питания обучающихся в 2019 году")</f>
        <v>Оказание услуг по организации питания обучающихся в 2019 году</v>
      </c>
      <c r="G5271" s="22" t="s">
        <v>49</v>
      </c>
      <c r="H5271" s="22" t="s">
        <v>631</v>
      </c>
      <c r="I5271" s="26">
        <v>43706</v>
      </c>
      <c r="J5271" s="28" t="s">
        <v>51</v>
      </c>
      <c r="K5271" s="28" t="s">
        <v>51</v>
      </c>
      <c r="L5271" s="28" t="s">
        <v>51</v>
      </c>
      <c r="M5271" s="25">
        <v>399714</v>
      </c>
      <c r="N5271" s="27">
        <v>0</v>
      </c>
    </row>
    <row r="5272" spans="1:14" x14ac:dyDescent="0.2">
      <c r="A5272" s="23" t="str">
        <f>HYPERLINK("https://www.spark-marketing.ru/Card/Person/4346656", "ФГБУ ""ТЦСКР ""КРЫМСКИЙ""")</f>
        <v>ФГБУ "ТЦСКР "КРЫМСКИЙ"</v>
      </c>
      <c r="B5272" s="24" t="s">
        <v>2225</v>
      </c>
      <c r="C5272" s="25">
        <v>200000</v>
      </c>
      <c r="D5272" s="22" t="s">
        <v>8182</v>
      </c>
      <c r="E5272" s="22" t="s">
        <v>2227</v>
      </c>
      <c r="F5272" s="23" t="str">
        <f>HYPERLINK("https://www.spark-marketing.ru/Card/Lot/73118962", "Временное владение и пользование (операционная аренда) нежилым помещением кафе, расположенным по адресу: Республика Крым, г. Алушта, ул. Красноармейская, д.38, для осуществления услуг питания")</f>
        <v>Временное владение и пользование (операционная аренда) нежилым помещением кафе, расположенным по адресу: Республика Крым, г. Алушта, ул. Красноармейская, д.38, для осуществления услуг питания</v>
      </c>
      <c r="G5272" s="22" t="s">
        <v>108</v>
      </c>
      <c r="H5272" s="22" t="s">
        <v>108</v>
      </c>
      <c r="I5272" s="26">
        <v>43706</v>
      </c>
      <c r="J5272" s="28" t="s">
        <v>51</v>
      </c>
      <c r="K5272" s="28" t="s">
        <v>51</v>
      </c>
      <c r="L5272" s="28" t="s">
        <v>51</v>
      </c>
      <c r="M5272" s="25">
        <v>200000</v>
      </c>
      <c r="N5272" s="27">
        <v>0</v>
      </c>
    </row>
    <row r="5273" spans="1:14" x14ac:dyDescent="0.15">
      <c r="A5273" s="23" t="str">
        <f>HYPERLINK("https://www.spark-marketing.ru/Card/Person/1182895", "МАОУ Г. ИРКУТСКА СОШ №63")</f>
        <v>МАОУ Г. ИРКУТСКА СОШ №63</v>
      </c>
      <c r="B5273" s="24" t="s">
        <v>3293</v>
      </c>
      <c r="C5273" s="25">
        <v>379820</v>
      </c>
      <c r="D5273" s="22" t="s">
        <v>8183</v>
      </c>
      <c r="E5273" s="22" t="s">
        <v>362</v>
      </c>
      <c r="F5273" s="23" t="str">
        <f>HYPERLINK("https://www.spark-marketing.ru/Card/Lot/73116911", "Оказание услуг общественного питания обучающихся МАОУ г. Иркутска СОШ №63")</f>
        <v>Оказание услуг общественного питания обучающихся МАОУ г. Иркутска СОШ №63</v>
      </c>
      <c r="G5273" s="22" t="s">
        <v>263</v>
      </c>
      <c r="H5273" s="22" t="s">
        <v>263</v>
      </c>
      <c r="I5273" s="26">
        <v>43706</v>
      </c>
      <c r="J5273" s="28" t="s">
        <v>51</v>
      </c>
      <c r="K5273" s="28" t="s">
        <v>51</v>
      </c>
      <c r="L5273" s="28" t="s">
        <v>51</v>
      </c>
      <c r="M5273" s="28" t="s">
        <v>51</v>
      </c>
      <c r="N5273" s="28" t="s">
        <v>51</v>
      </c>
    </row>
    <row r="5274" spans="1:14" x14ac:dyDescent="0.2">
      <c r="A5274" s="23" t="str">
        <f>HYPERLINK("https://www.spark-marketing.ru/Card/Person/1311072", "МАОУ ""ЮГО-КАМСКАЯ СРЕДНЯЯ ШКОЛА""")</f>
        <v>МАОУ "ЮГО-КАМСКАЯ СРЕДНЯЯ ШКОЛА"</v>
      </c>
      <c r="B5274" s="24" t="s">
        <v>4005</v>
      </c>
      <c r="C5274" s="25">
        <v>1274359.72</v>
      </c>
      <c r="D5274" s="22" t="s">
        <v>8184</v>
      </c>
      <c r="E5274" s="22" t="s">
        <v>362</v>
      </c>
      <c r="F5274" s="23" t="str">
        <f>HYPERLINK("https://www.spark-marketing.ru/Card/Lot/73112935", "Оказание услуги по обеспечению горячим питанием в здании профильной школы по адресу: Пермский край, Пермский район, пос.Юго-Камский, ул. Советская, д.155.")</f>
        <v>Оказание услуги по обеспечению горячим питанием в здании профильной школы по адресу: Пермский край, Пермский район, пос.Юго-Камский, ул. Советская, д.155.</v>
      </c>
      <c r="G5274" s="22" t="s">
        <v>153</v>
      </c>
      <c r="H5274" s="22" t="s">
        <v>153</v>
      </c>
      <c r="I5274" s="26">
        <v>43706</v>
      </c>
      <c r="J5274" s="28" t="s">
        <v>51</v>
      </c>
      <c r="K5274" s="28" t="s">
        <v>51</v>
      </c>
      <c r="L5274" s="22" t="s">
        <v>10</v>
      </c>
      <c r="M5274" s="25">
        <v>1274359.72</v>
      </c>
      <c r="N5274" s="27">
        <v>0</v>
      </c>
    </row>
    <row r="5275" spans="1:14" x14ac:dyDescent="0.2">
      <c r="A5275" s="23" t="str">
        <f>HYPERLINK("https://www.spark-marketing.ru/Card/Person/717944", "ГАУ СО МО ""СОЦИАЛЬНО-ОЗДОРОВИТЕЛЬНЫЙ ЦЕНТР ""ЛЕСНАЯ ПОЛЯНА""")</f>
        <v>ГАУ СО МО "СОЦИАЛЬНО-ОЗДОРОВИТЕЛЬНЫЙ ЦЕНТР "ЛЕСНАЯ ПОЛЯНА"</v>
      </c>
      <c r="B5275" s="24" t="s">
        <v>3283</v>
      </c>
      <c r="C5275" s="25">
        <v>4681600</v>
      </c>
      <c r="D5275" s="22" t="s">
        <v>8185</v>
      </c>
      <c r="E5275" s="22" t="s">
        <v>362</v>
      </c>
      <c r="F5275" s="23" t="str">
        <f>HYPERLINK("https://www.spark-marketing.ru/Card/Lot/73113529", "Оказание услуг по организации привозного горячего питания в отделении ГАУ СО МО СОЦ ""Лесная Поляна""")</f>
        <v>Оказание услуг по организации привозного горячего питания в отделении ГАУ СО МО СОЦ "Лесная Поляна"</v>
      </c>
      <c r="G5275" s="22" t="s">
        <v>49</v>
      </c>
      <c r="H5275" s="22" t="s">
        <v>49</v>
      </c>
      <c r="I5275" s="26">
        <v>43706</v>
      </c>
      <c r="J5275" s="28" t="s">
        <v>51</v>
      </c>
      <c r="K5275" s="28" t="s">
        <v>51</v>
      </c>
      <c r="L5275" s="22" t="s">
        <v>10</v>
      </c>
      <c r="M5275" s="25">
        <v>0</v>
      </c>
      <c r="N5275" s="27">
        <v>1</v>
      </c>
    </row>
    <row r="5276" spans="1:14" x14ac:dyDescent="0.15">
      <c r="A5276" s="23" t="str">
        <f>HYPERLINK("https://www.spark-marketing.ru/Card/Person/4369400", "ООО АВИАПРЕДПРИЯТИЕ ""ГАЗПРОМ АВИА""")</f>
        <v>ООО АВИАПРЕДПРИЯТИЕ "ГАЗПРОМ АВИА"</v>
      </c>
      <c r="B5276" s="24" t="s">
        <v>1724</v>
      </c>
      <c r="C5276" s="25">
        <v>1420</v>
      </c>
      <c r="D5276" s="22" t="s">
        <v>8186</v>
      </c>
      <c r="E5276" s="22" t="s">
        <v>1726</v>
      </c>
      <c r="F5276" s="23" t="str">
        <f>HYPERLINK("https://www.spark-marketing.ru/Card/Lot/73120652", "Оплата по счету№110 за услуги по обеспечению бортовым питанием в а/п г. Астрахань")</f>
        <v>Оплата по счету№110 за услуги по обеспечению бортовым питанием в а/п г. Астрахань</v>
      </c>
      <c r="G5276" s="22" t="s">
        <v>56</v>
      </c>
      <c r="H5276" s="22" t="s">
        <v>56</v>
      </c>
      <c r="I5276" s="26">
        <v>43706</v>
      </c>
      <c r="J5276" s="28" t="s">
        <v>51</v>
      </c>
      <c r="K5276" s="28" t="s">
        <v>51</v>
      </c>
      <c r="L5276" s="28" t="s">
        <v>51</v>
      </c>
      <c r="M5276" s="28" t="s">
        <v>51</v>
      </c>
      <c r="N5276" s="28" t="s">
        <v>51</v>
      </c>
    </row>
    <row r="5277" spans="1:14" x14ac:dyDescent="0.15">
      <c r="A5277" s="23" t="str">
        <f>HYPERLINK("https://www.spark-marketing.ru/Card/Person/1575362", "МОУ ШКОЛА-ИНТЕРНАТ № 2")</f>
        <v>МОУ ШКОЛА-ИНТЕРНАТ № 2</v>
      </c>
      <c r="B5277" s="24" t="s">
        <v>8187</v>
      </c>
      <c r="C5277" s="25">
        <v>2890540</v>
      </c>
      <c r="D5277" s="22" t="s">
        <v>8188</v>
      </c>
      <c r="E5277" s="22" t="s">
        <v>362</v>
      </c>
      <c r="F5277" s="23" t="str">
        <f>HYPERLINK("https://www.spark-marketing.ru/Card/Lot/73112124", "оказание услуг по организации горячего питания обучающихся")</f>
        <v>оказание услуг по организации горячего питания обучающихся</v>
      </c>
      <c r="G5277" s="22" t="s">
        <v>185</v>
      </c>
      <c r="H5277" s="22" t="s">
        <v>185</v>
      </c>
      <c r="I5277" s="26">
        <v>43706</v>
      </c>
      <c r="J5277" s="28" t="s">
        <v>51</v>
      </c>
      <c r="K5277" s="28" t="s">
        <v>51</v>
      </c>
      <c r="L5277" s="28" t="s">
        <v>51</v>
      </c>
      <c r="M5277" s="28" t="s">
        <v>51</v>
      </c>
      <c r="N5277" s="28" t="s">
        <v>51</v>
      </c>
    </row>
    <row r="5278" spans="1:14" x14ac:dyDescent="0.2">
      <c r="A5278" s="23" t="str">
        <f>HYPERLINK("https://www.spark-marketing.ru/Card/Person/1311072", "МАОУ ""ЮГО-КАМСКАЯ СРЕДНЯЯ ШКОЛА""")</f>
        <v>МАОУ "ЮГО-КАМСКАЯ СРЕДНЯЯ ШКОЛА"</v>
      </c>
      <c r="B5278" s="24" t="s">
        <v>4005</v>
      </c>
      <c r="C5278" s="25">
        <v>4758396.3600000003</v>
      </c>
      <c r="D5278" s="22" t="s">
        <v>8189</v>
      </c>
      <c r="E5278" s="22" t="s">
        <v>362</v>
      </c>
      <c r="F5278" s="23" t="str">
        <f>HYPERLINK("https://www.spark-marketing.ru/Card/Lot/73111752", "Оказание услуги по обеспечению горячим питанием в здании профильной школы по адресу: Пермский край, Пермский район, пос.Юго-Камский, ул. Школьная, д.9.")</f>
        <v>Оказание услуги по обеспечению горячим питанием в здании профильной школы по адресу: Пермский край, Пермский район, пос.Юго-Камский, ул. Школьная, д.9.</v>
      </c>
      <c r="G5278" s="22" t="s">
        <v>153</v>
      </c>
      <c r="H5278" s="22" t="s">
        <v>153</v>
      </c>
      <c r="I5278" s="26">
        <v>43706</v>
      </c>
      <c r="J5278" s="28" t="s">
        <v>51</v>
      </c>
      <c r="K5278" s="28" t="s">
        <v>51</v>
      </c>
      <c r="L5278" s="22" t="s">
        <v>10</v>
      </c>
      <c r="M5278" s="25">
        <v>4758396.3600000003</v>
      </c>
      <c r="N5278" s="27">
        <v>0</v>
      </c>
    </row>
    <row r="5279" spans="1:14" x14ac:dyDescent="0.2">
      <c r="A5279" s="23" t="str">
        <f>HYPERLINK("https://www.spark-marketing.ru/Card/Person/1452961", "МАОУ ""СЫЛВЕНСКАЯ СРЕДНЯЯ ШКОЛА""")</f>
        <v>МАОУ "СЫЛВЕНСКАЯ СРЕДНЯЯ ШКОЛА"</v>
      </c>
      <c r="B5279" s="24" t="s">
        <v>8190</v>
      </c>
      <c r="C5279" s="25">
        <v>3000000</v>
      </c>
      <c r="D5279" s="22" t="s">
        <v>8191</v>
      </c>
      <c r="E5279" s="22" t="s">
        <v>362</v>
      </c>
      <c r="F5279" s="23" t="str">
        <f>HYPERLINK("https://www.spark-marketing.ru/Card/Lot/73098852", "Договор оказания услуг по организации горячего питания учащихся")</f>
        <v>Договор оказания услуг по организации горячего питания учащихся</v>
      </c>
      <c r="G5279" s="22" t="s">
        <v>153</v>
      </c>
      <c r="H5279" s="22" t="s">
        <v>153</v>
      </c>
      <c r="I5279" s="26">
        <v>43706</v>
      </c>
      <c r="J5279" s="28" t="s">
        <v>51</v>
      </c>
      <c r="K5279" s="28" t="s">
        <v>51</v>
      </c>
      <c r="L5279" s="22" t="s">
        <v>10</v>
      </c>
      <c r="M5279" s="25">
        <v>3000000</v>
      </c>
      <c r="N5279" s="27">
        <v>0</v>
      </c>
    </row>
    <row r="5280" spans="1:14" x14ac:dyDescent="0.15">
      <c r="A5280" s="23" t="str">
        <f>HYPERLINK("https://www.spark-marketing.ru/Card/Person/244404", "МАОУ ГИМНАЗИЯ № 4")</f>
        <v>МАОУ ГИМНАЗИЯ № 4</v>
      </c>
      <c r="B5280" s="24" t="s">
        <v>8192</v>
      </c>
      <c r="C5280" s="25">
        <v>317292.86</v>
      </c>
      <c r="D5280" s="22" t="s">
        <v>8193</v>
      </c>
      <c r="E5280" s="22" t="s">
        <v>580</v>
      </c>
      <c r="F5280" s="23" t="str">
        <f>HYPERLINK("https://www.spark-marketing.ru/Card/Lot/73098479", "Оказание услуг по организации горячего питания учащихся в МАОУ Гимназии № 4")</f>
        <v>Оказание услуг по организации горячего питания учащихся в МАОУ Гимназии № 4</v>
      </c>
      <c r="G5280" s="22" t="s">
        <v>281</v>
      </c>
      <c r="H5280" s="22" t="s">
        <v>281</v>
      </c>
      <c r="I5280" s="26">
        <v>43706</v>
      </c>
      <c r="J5280" s="28" t="s">
        <v>51</v>
      </c>
      <c r="K5280" s="28" t="s">
        <v>51</v>
      </c>
      <c r="L5280" s="28" t="s">
        <v>51</v>
      </c>
      <c r="M5280" s="28" t="s">
        <v>51</v>
      </c>
      <c r="N5280" s="28" t="s">
        <v>51</v>
      </c>
    </row>
    <row r="5281" spans="1:14" x14ac:dyDescent="0.15">
      <c r="A5281" s="23" t="str">
        <f>HYPERLINK("https://www.spark-marketing.ru/Card/Person/1071096", "МКОУ КРАСНОЗЕРСКАЯ СОШ № 1")</f>
        <v>МКОУ КРАСНОЗЕРСКАЯ СОШ № 1</v>
      </c>
      <c r="B5281" s="24" t="s">
        <v>8194</v>
      </c>
      <c r="C5281" s="25">
        <v>900000</v>
      </c>
      <c r="D5281" s="22" t="s">
        <v>8195</v>
      </c>
      <c r="E5281" s="22" t="s">
        <v>48</v>
      </c>
      <c r="F5281" s="23" t="str">
        <f>HYPERLINK("https://www.spark-marketing.ru/Card/Lot/73091453", "Оказание услуг по организации детского питания")</f>
        <v>Оказание услуг по организации детского питания</v>
      </c>
      <c r="G5281" s="22" t="s">
        <v>195</v>
      </c>
      <c r="H5281" s="22" t="s">
        <v>5098</v>
      </c>
      <c r="I5281" s="26">
        <v>43705.874317129601</v>
      </c>
      <c r="J5281" s="23" t="str">
        <f>HYPERLINK("https://www.spark-marketing.ru/Card/Person/406306", "ПО ""ОБЩЕПИТ КРАСНОЗЕРСКОГО РАЙПО""")</f>
        <v>ПО "ОБЩЕПИТ КРАСНОЗЕРСКОГО РАЙПО"</v>
      </c>
      <c r="K5281" s="24" t="s">
        <v>5099</v>
      </c>
      <c r="L5281" s="22" t="s">
        <v>10</v>
      </c>
      <c r="M5281" s="28" t="s">
        <v>51</v>
      </c>
      <c r="N5281" s="28" t="s">
        <v>51</v>
      </c>
    </row>
    <row r="5282" spans="1:14" x14ac:dyDescent="0.15">
      <c r="A5282" s="23" t="str">
        <f>HYPERLINK("https://www.spark-marketing.ru/Card/Person/536781", "МО МВД РОССИИ ""НОВОСПАССКИЙ""")</f>
        <v>МО МВД РОССИИ "НОВОСПАССКИЙ"</v>
      </c>
      <c r="B5282" s="24" t="s">
        <v>8196</v>
      </c>
      <c r="C5282" s="25">
        <v>91905</v>
      </c>
      <c r="D5282" s="22" t="s">
        <v>8197</v>
      </c>
      <c r="E5282" s="22" t="s">
        <v>48</v>
      </c>
      <c r="F5282" s="23" t="str">
        <f>HYPERLINK("https://www.spark-marketing.ru/Card/Lot/73089455", "Услуги по доставке горячего питания (завтрак, обед, ужин), 275 усл. ед")</f>
        <v>Услуги по доставке горячего питания (завтрак, обед, ужин), 275 усл. ед</v>
      </c>
      <c r="G5282" s="22" t="s">
        <v>1918</v>
      </c>
      <c r="H5282" s="22" t="s">
        <v>8198</v>
      </c>
      <c r="I5282" s="26">
        <v>43705.755856481497</v>
      </c>
      <c r="J5282" s="28" t="s">
        <v>51</v>
      </c>
      <c r="K5282" s="28" t="s">
        <v>51</v>
      </c>
      <c r="L5282" s="28" t="s">
        <v>51</v>
      </c>
      <c r="M5282" s="28" t="s">
        <v>51</v>
      </c>
      <c r="N5282" s="28" t="s">
        <v>51</v>
      </c>
    </row>
    <row r="5283" spans="1:14" x14ac:dyDescent="0.15">
      <c r="A5283" s="23" t="str">
        <f>HYPERLINK("https://www.spark-marketing.ru/Card/Person/536781", "МО МВД РОССИИ ""НОВОСПАССКИЙ""")</f>
        <v>МО МВД РОССИИ "НОВОСПАССКИЙ"</v>
      </c>
      <c r="B5283" s="24" t="s">
        <v>8196</v>
      </c>
      <c r="C5283" s="25">
        <v>92248.8</v>
      </c>
      <c r="D5283" s="22" t="s">
        <v>8199</v>
      </c>
      <c r="E5283" s="22" t="s">
        <v>48</v>
      </c>
      <c r="F5283" s="23" t="str">
        <f>HYPERLINK("https://www.spark-marketing.ru/Card/Lot/73089570", "Услуги по доставке горячего питания (завтрак, обед, ужин), 289 усл. ед")</f>
        <v>Услуги по доставке горячего питания (завтрак, обед, ужин), 289 усл. ед</v>
      </c>
      <c r="G5283" s="22" t="s">
        <v>1918</v>
      </c>
      <c r="H5283" s="22" t="s">
        <v>8198</v>
      </c>
      <c r="I5283" s="26">
        <v>43705.752210648097</v>
      </c>
      <c r="J5283" s="28" t="s">
        <v>51</v>
      </c>
      <c r="K5283" s="28" t="s">
        <v>51</v>
      </c>
      <c r="L5283" s="28" t="s">
        <v>51</v>
      </c>
      <c r="M5283" s="28" t="s">
        <v>51</v>
      </c>
      <c r="N5283" s="28" t="s">
        <v>51</v>
      </c>
    </row>
    <row r="5284" spans="1:14" x14ac:dyDescent="0.15">
      <c r="A5284" s="23" t="str">
        <f>HYPERLINK("https://www.spark-marketing.ru/Card/Person/4348382", "ООО ""ГАЗПРОМ ПИТАНИЕ""")</f>
        <v>ООО "ГАЗПРОМ ПИТАНИЕ"</v>
      </c>
      <c r="B5284" s="24" t="s">
        <v>2869</v>
      </c>
      <c r="C5284" s="25">
        <v>1200</v>
      </c>
      <c r="D5284" s="22" t="s">
        <v>8200</v>
      </c>
      <c r="E5284" s="22" t="s">
        <v>52</v>
      </c>
      <c r="F5284" s="23" t="str">
        <f>HYPERLINK("https://www.spark-marketing.ru/Card/Lot/73091011", "Оказание услуг по проведению специальной оценки условий труда для нужд филиала ""саратовское управление по организации общественного питания"" ооо ""газпром питание""")</f>
        <v>Оказание услуг по проведению специальной оценки условий труда для нужд филиала "саратовское управление по организации общественного питания" ооо "газпром питание"</v>
      </c>
      <c r="G5284" s="22" t="s">
        <v>56</v>
      </c>
      <c r="H5284" s="22" t="s">
        <v>56</v>
      </c>
      <c r="I5284" s="26">
        <v>43705.759722222203</v>
      </c>
      <c r="J5284" s="28" t="s">
        <v>51</v>
      </c>
      <c r="K5284" s="28" t="s">
        <v>51</v>
      </c>
      <c r="L5284" s="28" t="s">
        <v>51</v>
      </c>
      <c r="M5284" s="28" t="s">
        <v>51</v>
      </c>
      <c r="N5284" s="28" t="s">
        <v>51</v>
      </c>
    </row>
    <row r="5285" spans="1:14" x14ac:dyDescent="0.15">
      <c r="A5285" s="23" t="str">
        <f>HYPERLINK("https://www.spark-marketing.ru/Card/Person/28676", "ГБУЗ ""ООКПГВВ""")</f>
        <v>ГБУЗ "ООКПГВВ"</v>
      </c>
      <c r="B5285" s="24" t="s">
        <v>584</v>
      </c>
      <c r="C5285" s="25">
        <v>14991.6</v>
      </c>
      <c r="D5285" s="22" t="s">
        <v>8201</v>
      </c>
      <c r="E5285" s="22" t="s">
        <v>586</v>
      </c>
      <c r="F5285" s="23" t="str">
        <f>HYPERLINK("https://www.spark-marketing.ru/Card/Lot/73085215", "На поставку специализированного продукта диетического (профилактического) питания при вредных условиях труда")</f>
        <v>На поставку специализированного продукта диетического (профилактического) питания при вредных условиях труда</v>
      </c>
      <c r="G5285" s="22" t="s">
        <v>132</v>
      </c>
      <c r="H5285" s="22" t="s">
        <v>587</v>
      </c>
      <c r="I5285" s="26">
        <v>43705.6621759259</v>
      </c>
      <c r="J5285" s="23" t="str">
        <f>HYPERLINK("https://www.spark-marketing.ru/Card/Person/131707", "ООО ""АКВАВИТ""")</f>
        <v>ООО "АКВАВИТ"</v>
      </c>
      <c r="K5285" s="24" t="s">
        <v>8202</v>
      </c>
      <c r="L5285" s="22" t="s">
        <v>10</v>
      </c>
      <c r="M5285" s="28" t="s">
        <v>51</v>
      </c>
      <c r="N5285" s="28" t="s">
        <v>51</v>
      </c>
    </row>
    <row r="5286" spans="1:14" x14ac:dyDescent="0.15">
      <c r="A5286" s="23" t="str">
        <f>HYPERLINK("https://www.spark-marketing.ru/Card/Person/53456", "ГБУЗ СО ""СМСЧ № 5""")</f>
        <v>ГБУЗ СО "СМСЧ № 5"</v>
      </c>
      <c r="B5286" s="24" t="s">
        <v>8203</v>
      </c>
      <c r="C5286" s="25">
        <v>2837450</v>
      </c>
      <c r="D5286" s="22" t="s">
        <v>8204</v>
      </c>
      <c r="E5286" s="22" t="s">
        <v>48</v>
      </c>
      <c r="F5286" s="23" t="str">
        <f>HYPERLINK("https://www.spark-marketing.ru/Card/Lot/73093640",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""Самарская медико-санитарная часть № 5 Кировского района""")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"Самарская медико-санитарная часть № 5 Кировского района"</v>
      </c>
      <c r="G5286" s="22" t="s">
        <v>128</v>
      </c>
      <c r="H5286" s="22" t="s">
        <v>129</v>
      </c>
      <c r="I5286" s="26">
        <v>43705.686863425901</v>
      </c>
      <c r="J5286" s="23" t="str">
        <f>HYPERLINK("https://www.spark-marketing.ru/Card/Person/4868110", "ООО ""ЖИЛГОРОДОК""")</f>
        <v>ООО "ЖИЛГОРОДОК"</v>
      </c>
      <c r="K5286" s="24" t="s">
        <v>8205</v>
      </c>
      <c r="L5286" s="22" t="s">
        <v>10</v>
      </c>
      <c r="M5286" s="28" t="s">
        <v>51</v>
      </c>
      <c r="N5286" s="28" t="s">
        <v>51</v>
      </c>
    </row>
    <row r="5287" spans="1:14" x14ac:dyDescent="0.15">
      <c r="A5287" s="23" t="str">
        <f>HYPERLINK("https://www.spark-marketing.ru/Card/Person/100682", "АДМИНИСТРАЦИЯ ГУБЕРНАТОРА И ПРАВИТЕЛЬСТВА ОРЛОВСКОЙ ОБЛАСТИ")</f>
        <v>АДМИНИСТРАЦИЯ ГУБЕРНАТОРА И ПРАВИТЕЛЬСТВА ОРЛОВСКОЙ ОБЛАСТИ</v>
      </c>
      <c r="B5287" s="24" t="s">
        <v>8206</v>
      </c>
      <c r="C5287" s="25">
        <v>48400</v>
      </c>
      <c r="D5287" s="22" t="s">
        <v>8207</v>
      </c>
      <c r="E5287" s="22" t="s">
        <v>2599</v>
      </c>
      <c r="F5287" s="23" t="str">
        <f>HYPERLINK("https://www.spark-marketing.ru/Card/Lot/73091074", "на определение исполнителя для осуществления закупки на оказание платных образовательных услуг по дополнительному профессиональному образованию 11 муниципальных служащих Орловской области по дополнительной профессиональной программе повышения квалифи...")</f>
        <v>на определение исполнителя для осуществления закупки на оказание платных образовательных услуг по дополнительному профессиональному образованию 11 муниципальных служащих Орловской области по дополнительной профессиональной программе повышения квалифи...</v>
      </c>
      <c r="G5287" s="22" t="s">
        <v>1066</v>
      </c>
      <c r="H5287" s="22" t="s">
        <v>1066</v>
      </c>
      <c r="I5287" s="26">
        <v>43705.718587962998</v>
      </c>
      <c r="J5287" s="23" t="str">
        <f>HYPERLINK("https://www.spark-marketing.ru/Card/Person/6578077", "ООО ""МАЕР""")</f>
        <v>ООО "МАЕР"</v>
      </c>
      <c r="K5287" s="24" t="s">
        <v>8208</v>
      </c>
      <c r="L5287" s="22" t="s">
        <v>10</v>
      </c>
      <c r="M5287" s="28" t="s">
        <v>51</v>
      </c>
      <c r="N5287" s="28" t="s">
        <v>51</v>
      </c>
    </row>
    <row r="5288" spans="1:14" x14ac:dyDescent="0.15">
      <c r="A5288" s="23" t="str">
        <f>HYPERLINK("https://www.spark-marketing.ru/Card/Person/100682", "АДМИНИСТРАЦИЯ ГУБЕРНАТОРА И ПРАВИТЕЛЬСТВА ОРЛОВСКОЙ ОБЛАСТИ")</f>
        <v>АДМИНИСТРАЦИЯ ГУБЕРНАТОРА И ПРАВИТЕЛЬСТВА ОРЛОВСКОЙ ОБЛАСТИ</v>
      </c>
      <c r="B5288" s="24" t="s">
        <v>8206</v>
      </c>
      <c r="C5288" s="25">
        <v>7800</v>
      </c>
      <c r="D5288" s="22" t="s">
        <v>8209</v>
      </c>
      <c r="E5288" s="22" t="s">
        <v>2599</v>
      </c>
      <c r="F5288" s="23" t="str">
        <f>HYPERLINK("https://www.spark-marketing.ru/Card/Lot/73091064", "на определение исполнителя для осуществления закупки на оказание платных образовательных услуг по дополнительному профессиональному образованию 2 государственных гражданских служащих Орловской области по дополнительной профессиональной программе повы...")</f>
        <v>на определение исполнителя для осуществления закупки на оказание платных образовательных услуг по дополнительному профессиональному образованию 2 государственных гражданских служащих Орловской области по дополнительной профессиональной программе повы...</v>
      </c>
      <c r="G5288" s="22" t="s">
        <v>1066</v>
      </c>
      <c r="H5288" s="22" t="s">
        <v>1066</v>
      </c>
      <c r="I5288" s="26">
        <v>43705.716307870403</v>
      </c>
      <c r="J5288" s="23" t="str">
        <f>HYPERLINK("https://www.spark-marketing.ru/Card/Person/6578077", "ООО ""МАЕР""")</f>
        <v>ООО "МАЕР"</v>
      </c>
      <c r="K5288" s="24" t="s">
        <v>8208</v>
      </c>
      <c r="L5288" s="22" t="s">
        <v>10</v>
      </c>
      <c r="M5288" s="28" t="s">
        <v>51</v>
      </c>
      <c r="N5288" s="28" t="s">
        <v>51</v>
      </c>
    </row>
    <row r="5289" spans="1:14" x14ac:dyDescent="0.15">
      <c r="A5289" s="23" t="str">
        <f>HYPERLINK("https://www.spark-marketing.ru/Card/Person/830909", "ОТДЕЛ МВД РОССИИ ПО ТЕТЮШСКОМУ РАЙОНУ")</f>
        <v>ОТДЕЛ МВД РОССИИ ПО ТЕТЮШСКОМУ РАЙОНУ</v>
      </c>
      <c r="B5289" s="24" t="s">
        <v>8210</v>
      </c>
      <c r="C5289" s="25">
        <v>417583</v>
      </c>
      <c r="D5289" s="22" t="s">
        <v>8211</v>
      </c>
      <c r="E5289" s="22" t="s">
        <v>48</v>
      </c>
      <c r="F5289" s="23" t="str">
        <f>HYPERLINK("https://www.spark-marketing.ru/Card/Lot/73091396", "Услуги организации питания в ИВС")</f>
        <v>Услуги организации питания в ИВС</v>
      </c>
      <c r="G5289" s="22" t="s">
        <v>217</v>
      </c>
      <c r="H5289" s="22" t="s">
        <v>8212</v>
      </c>
      <c r="I5289" s="26">
        <v>43705.670127314799</v>
      </c>
      <c r="J5289" s="28" t="s">
        <v>51</v>
      </c>
      <c r="K5289" s="28" t="s">
        <v>51</v>
      </c>
      <c r="L5289" s="28" t="s">
        <v>51</v>
      </c>
      <c r="M5289" s="28" t="s">
        <v>51</v>
      </c>
      <c r="N5289" s="28" t="s">
        <v>51</v>
      </c>
    </row>
    <row r="5290" spans="1:14" x14ac:dyDescent="0.15">
      <c r="A5290" s="23" t="str">
        <f>HYPERLINK("https://www.spark-marketing.ru/Card/Person/136075", "ОМВД РОССИИ ПО СОРТАВАЛЬСКОМУ РАЙОНУ")</f>
        <v>ОМВД РОССИИ ПО СОРТАВАЛЬСКОМУ РАЙОНУ</v>
      </c>
      <c r="B5290" s="24" t="s">
        <v>8213</v>
      </c>
      <c r="C5290" s="25">
        <v>1100000</v>
      </c>
      <c r="D5290" s="22" t="s">
        <v>8214</v>
      </c>
      <c r="E5290" s="22" t="s">
        <v>96</v>
      </c>
      <c r="F5290" s="23" t="str">
        <f>HYPERLINK("https://www.spark-marketing.ru/Card/Lot/73091594", "оказание услуг по приготовлению горячего питания")</f>
        <v>оказание услуг по приготовлению горячего питания</v>
      </c>
      <c r="G5290" s="22" t="s">
        <v>59</v>
      </c>
      <c r="H5290" s="22" t="s">
        <v>59</v>
      </c>
      <c r="I5290" s="26">
        <v>43705.548680555599</v>
      </c>
      <c r="J5290" s="28" t="s">
        <v>51</v>
      </c>
      <c r="K5290" s="28" t="s">
        <v>51</v>
      </c>
      <c r="L5290" s="28" t="s">
        <v>51</v>
      </c>
      <c r="M5290" s="28" t="s">
        <v>51</v>
      </c>
      <c r="N5290" s="28" t="s">
        <v>51</v>
      </c>
    </row>
    <row r="5291" spans="1:14" x14ac:dyDescent="0.15">
      <c r="A5291" s="23" t="str">
        <f>HYPERLINK("https://www.spark-marketing.ru/Card/Person/56360", "УПРАВЛЕНИЕ МВД РОССИИ ПО ГОРОДУ ВОЛЖСКОМУ")</f>
        <v>УПРАВЛЕНИЕ МВД РОССИИ ПО ГОРОДУ ВОЛЖСКОМУ</v>
      </c>
      <c r="B5291" s="24" t="s">
        <v>8215</v>
      </c>
      <c r="C5291" s="25">
        <v>1062833.45</v>
      </c>
      <c r="D5291" s="22" t="s">
        <v>8216</v>
      </c>
      <c r="E5291" s="22" t="s">
        <v>48</v>
      </c>
      <c r="F5291" s="23" t="str">
        <f>HYPERLINK("https://www.spark-marketing.ru/Card/Lot/73091794", "Услуги по организации комплексного питания лиц, содержащихся в специальном приемнике Управления МВД России по городу Волжскому для содержания лиц, подвергнутых административному аресту, лиц содержащихся в изоляторе временного содержания подозреваемых...")</f>
        <v>Услуги по организации комплексного питания лиц, содержащихся в специальном приемнике Управления МВД России по городу Волжскому для содержания лиц, подвергнутых административному аресту, лиц содержащихся в изоляторе временного содержания подозреваемых...</v>
      </c>
      <c r="G5291" s="22" t="s">
        <v>158</v>
      </c>
      <c r="H5291" s="22" t="s">
        <v>1380</v>
      </c>
      <c r="I5291" s="26">
        <v>43705.705798611103</v>
      </c>
      <c r="J5291" s="23" t="str">
        <f>HYPERLINK("https://www.spark-marketing.ru/Card/Person/56423", "ООО ""ВОЛГАСЕРВИСПРОДУКТ""")</f>
        <v>ООО "ВОЛГАСЕРВИСПРОДУКТ"</v>
      </c>
      <c r="K5291" s="24" t="s">
        <v>3035</v>
      </c>
      <c r="L5291" s="22" t="s">
        <v>10</v>
      </c>
      <c r="M5291" s="28" t="s">
        <v>51</v>
      </c>
      <c r="N5291" s="28" t="s">
        <v>51</v>
      </c>
    </row>
    <row r="5292" spans="1:14" x14ac:dyDescent="0.15">
      <c r="A5292" s="23" t="str">
        <f>HYPERLINK("https://www.spark-marketing.ru/Card/Person/1030331", "ГКУСО МО ""ЭЛЕКТРОСТАЛЬСКИЙ СРЦН ""ДОВЕРИЕ""")</f>
        <v>ГКУСО МО "ЭЛЕКТРОСТАЛЬСКИЙ СРЦН "ДОВЕРИЕ"</v>
      </c>
      <c r="B5292" s="24" t="s">
        <v>8217</v>
      </c>
      <c r="C5292" s="25">
        <v>165705.28</v>
      </c>
      <c r="D5292" s="22" t="s">
        <v>8218</v>
      </c>
      <c r="E5292" s="22" t="s">
        <v>48</v>
      </c>
      <c r="F5292" s="23" t="str">
        <f>HYPERLINK("https://www.spark-marketing.ru/Card/Lot/73090568", "Услуги по организации питания для организаций социального обслуживания")</f>
        <v>Услуги по организации питания для организаций социального обслуживания</v>
      </c>
      <c r="G5292" s="22" t="s">
        <v>49</v>
      </c>
      <c r="H5292" s="22" t="s">
        <v>742</v>
      </c>
      <c r="I5292" s="26">
        <v>43705.7424537037</v>
      </c>
      <c r="J5292" s="28" t="s">
        <v>51</v>
      </c>
      <c r="K5292" s="28" t="s">
        <v>51</v>
      </c>
      <c r="L5292" s="28" t="s">
        <v>51</v>
      </c>
      <c r="M5292" s="28" t="s">
        <v>51</v>
      </c>
      <c r="N5292" s="28" t="s">
        <v>51</v>
      </c>
    </row>
    <row r="5293" spans="1:14" x14ac:dyDescent="0.15">
      <c r="A5293" s="23" t="str">
        <f>HYPERLINK("https://www.spark-marketing.ru/Card/Person/830909", "ОТДЕЛ МВД РОССИИ ПО ТЕТЮШСКОМУ РАЙОНУ")</f>
        <v>ОТДЕЛ МВД РОССИИ ПО ТЕТЮШСКОМУ РАЙОНУ</v>
      </c>
      <c r="B5293" s="24" t="s">
        <v>8210</v>
      </c>
      <c r="C5293" s="25">
        <v>433000</v>
      </c>
      <c r="D5293" s="22" t="s">
        <v>8219</v>
      </c>
      <c r="E5293" s="22" t="s">
        <v>48</v>
      </c>
      <c r="F5293" s="23" t="str">
        <f>HYPERLINK("https://www.spark-marketing.ru/Card/Lot/73091389", "Услуги организации питания в ИВС")</f>
        <v>Услуги организации питания в ИВС</v>
      </c>
      <c r="G5293" s="22" t="s">
        <v>217</v>
      </c>
      <c r="H5293" s="22" t="s">
        <v>8212</v>
      </c>
      <c r="I5293" s="26">
        <v>43705.668240740699</v>
      </c>
      <c r="J5293" s="28" t="s">
        <v>51</v>
      </c>
      <c r="K5293" s="28" t="s">
        <v>51</v>
      </c>
      <c r="L5293" s="28" t="s">
        <v>51</v>
      </c>
      <c r="M5293" s="28" t="s">
        <v>51</v>
      </c>
      <c r="N5293" s="28" t="s">
        <v>51</v>
      </c>
    </row>
    <row r="5294" spans="1:14" x14ac:dyDescent="0.15">
      <c r="A5294" s="23" t="s">
        <v>114</v>
      </c>
      <c r="B5294" s="28" t="s">
        <v>51</v>
      </c>
      <c r="C5294" s="25">
        <v>16883092</v>
      </c>
      <c r="D5294" s="22" t="s">
        <v>8220</v>
      </c>
      <c r="E5294" s="22" t="s">
        <v>96</v>
      </c>
      <c r="F5294" s="23" t="str">
        <f t="shared" ref="F5294:F5302" si="105">HYPERLINK("https://www.spark-marketing.ru/Card/Lot/73096489",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5294" s="22" t="s">
        <v>51</v>
      </c>
      <c r="H5294" s="22" t="s">
        <v>51</v>
      </c>
      <c r="I5294" s="26">
        <v>43705.746990740699</v>
      </c>
      <c r="J5294" s="28" t="s">
        <v>51</v>
      </c>
      <c r="K5294" s="28" t="s">
        <v>51</v>
      </c>
      <c r="L5294" s="28" t="s">
        <v>51</v>
      </c>
      <c r="M5294" s="28" t="s">
        <v>51</v>
      </c>
      <c r="N5294" s="28" t="s">
        <v>51</v>
      </c>
    </row>
    <row r="5295" spans="1:14" hidden="1" outlineLevel="1" x14ac:dyDescent="0.15">
      <c r="A5295" s="23" t="str">
        <f>HYPERLINK("https://www.spark-marketing.ru/Card/Person/63240", "МБОУ ГИМНАЗИЯ ИМ. АКАДЕМИКА Н.Г.БАСОВА")</f>
        <v>МБОУ ГИМНАЗИЯ ИМ. АКАДЕМИКА Н.Г.БАСОВА</v>
      </c>
      <c r="B5295" s="24" t="s">
        <v>8221</v>
      </c>
      <c r="C5295" s="25">
        <v>3395748</v>
      </c>
      <c r="D5295" s="22" t="s">
        <v>8220</v>
      </c>
      <c r="E5295" s="22" t="s">
        <v>96</v>
      </c>
      <c r="F5295" s="23" t="str">
        <f t="shared" si="105"/>
        <v>Оказание услуг по организации горячего питания школьников на 2019-2020 учебный год</v>
      </c>
      <c r="G5295" s="22" t="s">
        <v>82</v>
      </c>
      <c r="H5295" s="22" t="s">
        <v>83</v>
      </c>
      <c r="I5295" s="26">
        <v>43705.746990740699</v>
      </c>
      <c r="J5295" s="28" t="s">
        <v>51</v>
      </c>
      <c r="K5295" s="28" t="s">
        <v>51</v>
      </c>
      <c r="L5295" s="28" t="s">
        <v>51</v>
      </c>
      <c r="M5295" s="28" t="s">
        <v>51</v>
      </c>
      <c r="N5295" s="28" t="s">
        <v>51</v>
      </c>
    </row>
    <row r="5296" spans="1:14" hidden="1" outlineLevel="1" x14ac:dyDescent="0.15">
      <c r="A5296" s="23" t="str">
        <f>HYPERLINK("https://www.spark-marketing.ru/Card/Person/122250", "МБОУ ЛИЦЕЙ № 7")</f>
        <v>МБОУ ЛИЦЕЙ № 7</v>
      </c>
      <c r="B5296" s="24" t="s">
        <v>8222</v>
      </c>
      <c r="C5296" s="25">
        <v>3514820</v>
      </c>
      <c r="D5296" s="22" t="s">
        <v>8220</v>
      </c>
      <c r="E5296" s="22" t="s">
        <v>96</v>
      </c>
      <c r="F5296" s="23" t="str">
        <f t="shared" si="105"/>
        <v>Оказание услуг по организации горячего питания школьников на 2019-2020 учебный год</v>
      </c>
      <c r="G5296" s="22" t="s">
        <v>82</v>
      </c>
      <c r="H5296" s="22" t="s">
        <v>83</v>
      </c>
      <c r="I5296" s="26">
        <v>43705.746990740699</v>
      </c>
      <c r="J5296" s="28" t="s">
        <v>51</v>
      </c>
      <c r="K5296" s="28" t="s">
        <v>51</v>
      </c>
      <c r="L5296" s="28" t="s">
        <v>51</v>
      </c>
      <c r="M5296" s="28" t="s">
        <v>51</v>
      </c>
      <c r="N5296" s="28" t="s">
        <v>51</v>
      </c>
    </row>
    <row r="5297" spans="1:14" hidden="1" outlineLevel="1" x14ac:dyDescent="0.15">
      <c r="A5297" s="23" t="str">
        <f>HYPERLINK("https://www.spark-marketing.ru/Card/Person/1026599", "МБОУ ГИМНАЗИЯ ИМ. А.В. КОЛЬЦОВА")</f>
        <v>МБОУ ГИМНАЗИЯ ИМ. А.В. КОЛЬЦОВА</v>
      </c>
      <c r="B5297" s="24" t="s">
        <v>8223</v>
      </c>
      <c r="C5297" s="25">
        <v>2308484</v>
      </c>
      <c r="D5297" s="22" t="s">
        <v>8220</v>
      </c>
      <c r="E5297" s="22" t="s">
        <v>96</v>
      </c>
      <c r="F5297" s="23" t="str">
        <f t="shared" si="105"/>
        <v>Оказание услуг по организации горячего питания школьников на 2019-2020 учебный год</v>
      </c>
      <c r="G5297" s="22" t="s">
        <v>82</v>
      </c>
      <c r="H5297" s="22" t="s">
        <v>83</v>
      </c>
      <c r="I5297" s="26">
        <v>43705.746990740699</v>
      </c>
      <c r="J5297" s="28" t="s">
        <v>51</v>
      </c>
      <c r="K5297" s="28" t="s">
        <v>51</v>
      </c>
      <c r="L5297" s="28" t="s">
        <v>51</v>
      </c>
      <c r="M5297" s="28" t="s">
        <v>51</v>
      </c>
      <c r="N5297" s="28" t="s">
        <v>51</v>
      </c>
    </row>
    <row r="5298" spans="1:14" hidden="1" outlineLevel="1" x14ac:dyDescent="0.15">
      <c r="A5298" s="23" t="str">
        <f>HYPERLINK("https://www.spark-marketing.ru/Card/Person/5911216", "МБОУ ""СОШ № 102""")</f>
        <v>МБОУ "СОШ № 102"</v>
      </c>
      <c r="B5298" s="24" t="s">
        <v>8224</v>
      </c>
      <c r="C5298" s="25">
        <v>4585980</v>
      </c>
      <c r="D5298" s="22" t="s">
        <v>8220</v>
      </c>
      <c r="E5298" s="22" t="s">
        <v>96</v>
      </c>
      <c r="F5298" s="23" t="str">
        <f t="shared" si="105"/>
        <v>Оказание услуг по организации горячего питания школьников на 2019-2020 учебный год</v>
      </c>
      <c r="G5298" s="22" t="s">
        <v>82</v>
      </c>
      <c r="H5298" s="22" t="s">
        <v>83</v>
      </c>
      <c r="I5298" s="26">
        <v>43705.746990740699</v>
      </c>
      <c r="J5298" s="28" t="s">
        <v>51</v>
      </c>
      <c r="K5298" s="28" t="s">
        <v>51</v>
      </c>
      <c r="L5298" s="28" t="s">
        <v>51</v>
      </c>
      <c r="M5298" s="28" t="s">
        <v>51</v>
      </c>
      <c r="N5298" s="28" t="s">
        <v>51</v>
      </c>
    </row>
    <row r="5299" spans="1:14" hidden="1" outlineLevel="1" x14ac:dyDescent="0.15">
      <c r="A5299" s="23" t="str">
        <f>HYPERLINK("https://www.spark-marketing.ru/Card/Person/6526853", "МБОУ ""СОШ № 106""")</f>
        <v>МБОУ "СОШ № 106"</v>
      </c>
      <c r="B5299" s="24" t="s">
        <v>8225</v>
      </c>
      <c r="C5299" s="25">
        <v>3078060</v>
      </c>
      <c r="D5299" s="22" t="s">
        <v>8220</v>
      </c>
      <c r="E5299" s="22" t="s">
        <v>96</v>
      </c>
      <c r="F5299" s="23" t="str">
        <f t="shared" si="105"/>
        <v>Оказание услуг по организации горячего питания школьников на 2019-2020 учебный год</v>
      </c>
      <c r="G5299" s="22" t="s">
        <v>82</v>
      </c>
      <c r="H5299" s="22" t="s">
        <v>83</v>
      </c>
      <c r="I5299" s="26">
        <v>43705.746990740699</v>
      </c>
      <c r="J5299" s="28" t="s">
        <v>51</v>
      </c>
      <c r="K5299" s="28" t="s">
        <v>51</v>
      </c>
      <c r="L5299" s="28" t="s">
        <v>51</v>
      </c>
      <c r="M5299" s="28" t="s">
        <v>51</v>
      </c>
      <c r="N5299" s="28" t="s">
        <v>51</v>
      </c>
    </row>
    <row r="5300" spans="1:14" hidden="1" outlineLevel="1" x14ac:dyDescent="0.2">
      <c r="A5300" s="28" t="s">
        <v>51</v>
      </c>
      <c r="B5300" s="28" t="s">
        <v>51</v>
      </c>
      <c r="C5300" s="28" t="s">
        <v>51</v>
      </c>
      <c r="D5300" s="22" t="s">
        <v>8220</v>
      </c>
      <c r="E5300" s="22" t="s">
        <v>96</v>
      </c>
      <c r="F5300" s="23" t="str">
        <f t="shared" si="105"/>
        <v>Оказание услуг по организации горячего питания школьников на 2019-2020 учебный год</v>
      </c>
      <c r="G5300" s="22" t="s">
        <v>51</v>
      </c>
      <c r="H5300" s="22" t="s">
        <v>51</v>
      </c>
      <c r="I5300" s="26">
        <v>43705.746990740699</v>
      </c>
      <c r="J5300" s="23" t="str">
        <f>HYPERLINK("https://www.spark-marketing.ru/Card/Person/81010", "ООО ""ТД СПП""")</f>
        <v>ООО "ТД СПП"</v>
      </c>
      <c r="K5300" s="24" t="s">
        <v>7782</v>
      </c>
      <c r="L5300" s="28" t="s">
        <v>51</v>
      </c>
      <c r="M5300" s="25">
        <v>16883092</v>
      </c>
      <c r="N5300" s="27">
        <v>0</v>
      </c>
    </row>
    <row r="5301" spans="1:14" hidden="1" outlineLevel="1" x14ac:dyDescent="0.2">
      <c r="A5301" s="28" t="s">
        <v>51</v>
      </c>
      <c r="B5301" s="28" t="s">
        <v>51</v>
      </c>
      <c r="C5301" s="28" t="s">
        <v>51</v>
      </c>
      <c r="D5301" s="22" t="s">
        <v>8220</v>
      </c>
      <c r="E5301" s="22" t="s">
        <v>96</v>
      </c>
      <c r="F5301" s="23" t="str">
        <f t="shared" si="105"/>
        <v>Оказание услуг по организации горячего питания школьников на 2019-2020 учебный год</v>
      </c>
      <c r="G5301" s="22" t="s">
        <v>51</v>
      </c>
      <c r="H5301" s="22" t="s">
        <v>51</v>
      </c>
      <c r="I5301" s="26">
        <v>43705.746990740699</v>
      </c>
      <c r="J5301" s="23" t="str">
        <f>HYPERLINK("https://www.spark-marketing.ru/Card/Person/89737", "ООО ""ИНДИКАТ""")</f>
        <v>ООО "ИНДИКАТ"</v>
      </c>
      <c r="K5301" s="24" t="s">
        <v>7815</v>
      </c>
      <c r="L5301" s="28" t="s">
        <v>51</v>
      </c>
      <c r="M5301" s="25">
        <v>16545430</v>
      </c>
      <c r="N5301" s="27">
        <v>2.0000009476937045E-2</v>
      </c>
    </row>
    <row r="5302" spans="1:14" hidden="1" outlineLevel="1" x14ac:dyDescent="0.2">
      <c r="A5302" s="28" t="s">
        <v>51</v>
      </c>
      <c r="B5302" s="28" t="s">
        <v>51</v>
      </c>
      <c r="C5302" s="28" t="s">
        <v>51</v>
      </c>
      <c r="D5302" s="22" t="s">
        <v>8220</v>
      </c>
      <c r="E5302" s="22" t="s">
        <v>96</v>
      </c>
      <c r="F5302" s="23" t="str">
        <f t="shared" si="105"/>
        <v>Оказание услуг по организации горячего питания школьников на 2019-2020 учебный год</v>
      </c>
      <c r="G5302" s="22" t="s">
        <v>51</v>
      </c>
      <c r="H5302" s="22" t="s">
        <v>51</v>
      </c>
      <c r="I5302" s="26">
        <v>43705.746990740699</v>
      </c>
      <c r="J5302" s="23" t="str">
        <f>HYPERLINK("https://www.spark-marketing.ru/Card/Person/16210", "ООО ""ГК ФЬЮЖЕН МЕНЕДЖМЕНТ""")</f>
        <v>ООО "ГК ФЬЮЖЕН МЕНЕДЖМЕНТ"</v>
      </c>
      <c r="K5302" s="24" t="s">
        <v>1675</v>
      </c>
      <c r="L5302" s="22" t="s">
        <v>10</v>
      </c>
      <c r="M5302" s="25">
        <v>16579873.199999999</v>
      </c>
      <c r="N5302" s="27">
        <v>1.7959909239373927E-2</v>
      </c>
    </row>
    <row r="5303" spans="1:14" x14ac:dyDescent="0.15">
      <c r="A5303" s="23" t="str">
        <f>HYPERLINK("https://www.spark-marketing.ru/Card/Person/4857912", "МЕЖРЕГИОНАЛЬНЫЙ ФИЛИАЛ ФКУ ""ЦЕНТР ПО ОБЕСПЕЧЕНИЮ ДЕЯТЕЛЬНОСТИ КАЗНАЧЕЙСТВА РОССИИ"" В Г. ХАБАРОВСКЕ")</f>
        <v>МЕЖРЕГИОНАЛЬНЫЙ ФИЛИАЛ ФКУ "ЦЕНТР ПО ОБЕСПЕЧЕНИЮ ДЕЯТЕЛЬНОСТИ КАЗНАЧЕЙСТВА РОССИИ" В Г. ХАБАРОВСКЕ</v>
      </c>
      <c r="B5303" s="24" t="s">
        <v>2576</v>
      </c>
      <c r="C5303" s="25">
        <v>279999.99</v>
      </c>
      <c r="D5303" s="22" t="s">
        <v>8226</v>
      </c>
      <c r="E5303" s="22" t="s">
        <v>91</v>
      </c>
      <c r="F5303" s="23" t="str">
        <f>HYPERLINK("https://www.spark-marketing.ru/Card/Lot/73074859", "Оказание услуг по техническому обслуживанию систем бесперебойного питания для нужд Управления Федерального казначейства по Приморскому краю")</f>
        <v>Оказание услуг по техническому обслуживанию систем бесперебойного питания для нужд Управления Федерального казначейства по Приморскому краю</v>
      </c>
      <c r="G5303" s="22" t="s">
        <v>543</v>
      </c>
      <c r="H5303" s="22" t="s">
        <v>1440</v>
      </c>
      <c r="I5303" s="26">
        <v>43705.6777083333</v>
      </c>
      <c r="J5303" s="28" t="s">
        <v>51</v>
      </c>
      <c r="K5303" s="28" t="s">
        <v>51</v>
      </c>
      <c r="L5303" s="28" t="s">
        <v>51</v>
      </c>
      <c r="M5303" s="28" t="s">
        <v>51</v>
      </c>
      <c r="N5303" s="28" t="s">
        <v>51</v>
      </c>
    </row>
    <row r="5304" spans="1:14" x14ac:dyDescent="0.15">
      <c r="A5304" s="23" t="str">
        <f>HYPERLINK("https://www.spark-marketing.ru/Card/Person/9315", "МУ МВД РОССИИ ""ОРЕНБУРГСКОЕ""")</f>
        <v>МУ МВД РОССИИ "ОРЕНБУРГСКОЕ"</v>
      </c>
      <c r="B5304" s="24" t="s">
        <v>8227</v>
      </c>
      <c r="C5304" s="25">
        <v>1500000</v>
      </c>
      <c r="D5304" s="22" t="s">
        <v>8228</v>
      </c>
      <c r="E5304" s="22" t="s">
        <v>48</v>
      </c>
      <c r="F5304" s="23" t="str">
        <f>HYPERLINK("https://www.spark-marketing.ru/Card/Lot/73093216", "Оказание услуг по предоставлению горячего, готового трехразового питания для лиц, содержащихся в Специальном приемнике для содержания лиц подвергнутых административному аресту , а также административному задержанию МУ МВД России ""Оренбургское""")</f>
        <v>Оказание услуг по предоставлению горячего, готового трехразового питания для лиц, содержащихся в Специальном приемнике для содержания лиц подвергнутых административному аресту , а также административному задержанию МУ МВД России "Оренбургское"</v>
      </c>
      <c r="G5304" s="22" t="s">
        <v>132</v>
      </c>
      <c r="H5304" s="22" t="s">
        <v>587</v>
      </c>
      <c r="I5304" s="26">
        <v>43705.668761574103</v>
      </c>
      <c r="J5304" s="23" t="str">
        <f>HYPERLINK("https://www.spark-marketing.ru/Card/Person/415003", "ООО ""ПИТАНИЕ""")</f>
        <v>ООО "ПИТАНИЕ"</v>
      </c>
      <c r="K5304" s="24" t="s">
        <v>2714</v>
      </c>
      <c r="L5304" s="22" t="s">
        <v>10</v>
      </c>
      <c r="M5304" s="28" t="s">
        <v>51</v>
      </c>
      <c r="N5304" s="28" t="s">
        <v>51</v>
      </c>
    </row>
    <row r="5305" spans="1:14" x14ac:dyDescent="0.15">
      <c r="A5305" s="23" t="str">
        <f>HYPERLINK("https://www.spark-marketing.ru/Card/Person/91929", "МУ МВД РОССИИ ""СЕРПУХОВСКОЕ""")</f>
        <v>МУ МВД РОССИИ "СЕРПУХОВСКОЕ"</v>
      </c>
      <c r="B5305" s="24" t="s">
        <v>8229</v>
      </c>
      <c r="C5305" s="25">
        <v>181770</v>
      </c>
      <c r="D5305" s="22" t="s">
        <v>8230</v>
      </c>
      <c r="E5305" s="22" t="s">
        <v>48</v>
      </c>
      <c r="F5305" s="23" t="str">
        <f>HYPERLINK("https://www.spark-marketing.ru/Card/Lot/73085764",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305" s="22" t="s">
        <v>49</v>
      </c>
      <c r="H5305" s="22" t="s">
        <v>8231</v>
      </c>
      <c r="I5305" s="26">
        <v>43705.692743055602</v>
      </c>
      <c r="J5305" s="28" t="s">
        <v>51</v>
      </c>
      <c r="K5305" s="28" t="s">
        <v>51</v>
      </c>
      <c r="L5305" s="28" t="s">
        <v>51</v>
      </c>
      <c r="M5305" s="28" t="s">
        <v>51</v>
      </c>
      <c r="N5305" s="28" t="s">
        <v>51</v>
      </c>
    </row>
    <row r="5306" spans="1:14" x14ac:dyDescent="0.15">
      <c r="A5306" s="23" t="str">
        <f>HYPERLINK("https://www.spark-marketing.ru/Card/Person/22358", "МКУ ""АХС""")</f>
        <v>МКУ "АХС"</v>
      </c>
      <c r="B5306" s="24" t="s">
        <v>1378</v>
      </c>
      <c r="C5306" s="25">
        <v>13325</v>
      </c>
      <c r="D5306" s="22" t="s">
        <v>8232</v>
      </c>
      <c r="E5306" s="22" t="s">
        <v>437</v>
      </c>
      <c r="F5306" s="23" t="str">
        <f>HYPERLINK("https://www.spark-marketing.ru/Card/Lot/73087271", "Услуги по оценке технического состояния работоспособности офисной техники и оборудования")</f>
        <v>Услуги по оценке технического состояния работоспособности офисной техники и оборудования</v>
      </c>
      <c r="G5306" s="22" t="s">
        <v>158</v>
      </c>
      <c r="H5306" s="22" t="s">
        <v>1380</v>
      </c>
      <c r="I5306" s="26">
        <v>43705.642962963</v>
      </c>
      <c r="J5306" s="28" t="s">
        <v>51</v>
      </c>
      <c r="K5306" s="28" t="s">
        <v>51</v>
      </c>
      <c r="L5306" s="28" t="s">
        <v>51</v>
      </c>
      <c r="M5306" s="28" t="s">
        <v>51</v>
      </c>
      <c r="N5306" s="28" t="s">
        <v>51</v>
      </c>
    </row>
    <row r="5307" spans="1:14" ht="12.75" hidden="1" outlineLevel="1" x14ac:dyDescent="0.2">
      <c r="A5307" s="23" t="str">
        <f>HYPERLINK("https://www.spark-marketing.ru/Card/Person/22358", "МКУ ""АХС""")</f>
        <v>МКУ "АХС"</v>
      </c>
      <c r="B5307" s="24" t="s">
        <v>1378</v>
      </c>
      <c r="C5307" s="25">
        <v>13325</v>
      </c>
      <c r="D5307" s="22" t="s">
        <v>8232</v>
      </c>
      <c r="E5307" s="22" t="s">
        <v>437</v>
      </c>
      <c r="F5307" s="23" t="str">
        <f>HYPERLINK("https://www.spark-marketing.ru/Card/Lot/73087271", "Услуги по оценке технического состояния работоспособности офисной техники и оборудования")</f>
        <v>Услуги по оценке технического состояния работоспособности офисной техники и оборудования</v>
      </c>
      <c r="G5307" s="22" t="s">
        <v>158</v>
      </c>
      <c r="H5307" s="22" t="s">
        <v>1380</v>
      </c>
      <c r="I5307" s="26">
        <v>43705.642962963</v>
      </c>
      <c r="J5307" s="23" t="str">
        <f>HYPERLINK("https://www.spark-marketing.ru/Card/Person/5913556", "ООО ""СЕРВИСЛАЙН-ЮГ""")</f>
        <v>ООО "СЕРВИСЛАЙН-ЮГ"</v>
      </c>
      <c r="K5307" s="24" t="s">
        <v>8233</v>
      </c>
      <c r="L5307" s="22" t="s">
        <v>10</v>
      </c>
      <c r="M5307" s="25">
        <v>2495.11</v>
      </c>
      <c r="N5307" s="27">
        <v>0.81274971857410883</v>
      </c>
    </row>
    <row r="5308" spans="1:14" hidden="1" outlineLevel="1" x14ac:dyDescent="0.2">
      <c r="A5308" s="23" t="str">
        <f>HYPERLINK("https://www.spark-marketing.ru/Card/Person/22358", "МКУ ""АХС""")</f>
        <v>МКУ "АХС"</v>
      </c>
      <c r="B5308" s="24" t="s">
        <v>1378</v>
      </c>
      <c r="C5308" s="25">
        <v>13325</v>
      </c>
      <c r="D5308" s="22" t="s">
        <v>8232</v>
      </c>
      <c r="E5308" s="22" t="s">
        <v>437</v>
      </c>
      <c r="F5308" s="23" t="str">
        <f>HYPERLINK("https://www.spark-marketing.ru/Card/Lot/73087271", "Услуги по оценке технического состояния работоспособности офисной техники и оборудования")</f>
        <v>Услуги по оценке технического состояния работоспособности офисной техники и оборудования</v>
      </c>
      <c r="G5308" s="22" t="s">
        <v>158</v>
      </c>
      <c r="H5308" s="22" t="s">
        <v>1380</v>
      </c>
      <c r="I5308" s="26">
        <v>43705.642962963</v>
      </c>
      <c r="J5308" s="23" t="str">
        <f>HYPERLINK("https://www.spark-marketing.ru/Card/Person/269465", "ООО ""КИБЕРНЕТИКА""")</f>
        <v>ООО "КИБЕРНЕТИКА"</v>
      </c>
      <c r="K5308" s="24" t="s">
        <v>8234</v>
      </c>
      <c r="L5308" s="28" t="s">
        <v>51</v>
      </c>
      <c r="M5308" s="25">
        <v>2695</v>
      </c>
      <c r="N5308" s="27">
        <v>0.79774859287054412</v>
      </c>
    </row>
    <row r="5309" spans="1:14" hidden="1" outlineLevel="1" x14ac:dyDescent="0.2">
      <c r="A5309" s="23" t="str">
        <f>HYPERLINK("https://www.spark-marketing.ru/Card/Person/22358", "МКУ ""АХС""")</f>
        <v>МКУ "АХС"</v>
      </c>
      <c r="B5309" s="24" t="s">
        <v>1378</v>
      </c>
      <c r="C5309" s="25">
        <v>13325</v>
      </c>
      <c r="D5309" s="22" t="s">
        <v>8232</v>
      </c>
      <c r="E5309" s="22" t="s">
        <v>437</v>
      </c>
      <c r="F5309" s="23" t="str">
        <f>HYPERLINK("https://www.spark-marketing.ru/Card/Lot/73087271", "Услуги по оценке технического состояния работоспособности офисной техники и оборудования")</f>
        <v>Услуги по оценке технического состояния работоспособности офисной техники и оборудования</v>
      </c>
      <c r="G5309" s="22" t="s">
        <v>158</v>
      </c>
      <c r="H5309" s="22" t="s">
        <v>1380</v>
      </c>
      <c r="I5309" s="26">
        <v>43705.642962963</v>
      </c>
      <c r="J5309" s="23" t="str">
        <f>HYPERLINK("https://www.spark-marketing.ru/Card/Person/518523", "ООО ""ИНТЕГРА""")</f>
        <v>ООО "ИНТЕГРА"</v>
      </c>
      <c r="K5309" s="24" t="s">
        <v>5888</v>
      </c>
      <c r="L5309" s="28" t="s">
        <v>51</v>
      </c>
      <c r="M5309" s="25">
        <v>5196.6899999999996</v>
      </c>
      <c r="N5309" s="27">
        <v>0.61000450281425889</v>
      </c>
    </row>
    <row r="5310" spans="1:14" hidden="1" outlineLevel="1" x14ac:dyDescent="0.2">
      <c r="A5310" s="23" t="str">
        <f>HYPERLINK("https://www.spark-marketing.ru/Card/Person/22358", "МКУ ""АХС""")</f>
        <v>МКУ "АХС"</v>
      </c>
      <c r="B5310" s="24" t="s">
        <v>1378</v>
      </c>
      <c r="C5310" s="25">
        <v>13325</v>
      </c>
      <c r="D5310" s="22" t="s">
        <v>8232</v>
      </c>
      <c r="E5310" s="22" t="s">
        <v>437</v>
      </c>
      <c r="F5310" s="23" t="str">
        <f>HYPERLINK("https://www.spark-marketing.ru/Card/Lot/73087271", "Услуги по оценке технического состояния работоспособности офисной техники и оборудования")</f>
        <v>Услуги по оценке технического состояния работоспособности офисной техники и оборудования</v>
      </c>
      <c r="G5310" s="22" t="s">
        <v>158</v>
      </c>
      <c r="H5310" s="22" t="s">
        <v>1380</v>
      </c>
      <c r="I5310" s="26">
        <v>43705.642962963</v>
      </c>
      <c r="J5310" s="23" t="str">
        <f>HYPERLINK("https://www.spark-marketing.ru/Card/Person/6082975", "ООО ""ВОЛГА - ЯРД""")</f>
        <v>ООО "ВОЛГА - ЯРД"</v>
      </c>
      <c r="K5310" s="24" t="s">
        <v>8235</v>
      </c>
      <c r="L5310" s="28" t="s">
        <v>51</v>
      </c>
      <c r="M5310" s="25">
        <v>2561.7399999999998</v>
      </c>
      <c r="N5310" s="27">
        <v>0.80774934333958726</v>
      </c>
    </row>
    <row r="5311" spans="1:14" x14ac:dyDescent="0.15">
      <c r="A5311" s="23" t="str">
        <f>HYPERLINK("https://www.spark-marketing.ru/Card/Person/264156", "МО МВД РОССИИ ""БОДАЙБИНСКИЙ""")</f>
        <v>МО МВД РОССИИ "БОДАЙБИНСКИЙ"</v>
      </c>
      <c r="B5311" s="24" t="s">
        <v>8236</v>
      </c>
      <c r="C5311" s="25">
        <v>703700</v>
      </c>
      <c r="D5311" s="22" t="s">
        <v>8237</v>
      </c>
      <c r="E5311" s="22" t="s">
        <v>48</v>
      </c>
      <c r="F5311" s="23" t="str">
        <f>HYPERLINK("https://www.spark-marketing.ru/Card/Lot/73082110", "Услуги по организации комплексного питания лиц, содержащихся в ИВС")</f>
        <v>Услуги по организации комплексного питания лиц, содержащихся в ИВС</v>
      </c>
      <c r="G5311" s="22" t="s">
        <v>263</v>
      </c>
      <c r="H5311" s="22" t="s">
        <v>8238</v>
      </c>
      <c r="I5311" s="26">
        <v>43705.557627314804</v>
      </c>
      <c r="J5311" s="23" t="str">
        <f>HYPERLINK("https://www.spark-marketing.ru/Card/Person/6193642", "ООО ""МЯСНОЙ ДВОР""")</f>
        <v>ООО "МЯСНОЙ ДВОР"</v>
      </c>
      <c r="K5311" s="24" t="s">
        <v>8239</v>
      </c>
      <c r="L5311" s="22" t="s">
        <v>10</v>
      </c>
      <c r="M5311" s="28" t="s">
        <v>51</v>
      </c>
      <c r="N5311" s="28" t="s">
        <v>51</v>
      </c>
    </row>
    <row r="5312" spans="1:14" x14ac:dyDescent="0.15">
      <c r="A5312" s="23" t="str">
        <f>HYPERLINK("https://www.spark-marketing.ru/Card/Person/264156", "МО МВД РОССИИ ""БОДАЙБИНСКИЙ""")</f>
        <v>МО МВД РОССИИ "БОДАЙБИНСКИЙ"</v>
      </c>
      <c r="B5312" s="24" t="s">
        <v>8236</v>
      </c>
      <c r="C5312" s="25">
        <v>703700</v>
      </c>
      <c r="D5312" s="22" t="s">
        <v>8240</v>
      </c>
      <c r="E5312" s="22" t="s">
        <v>48</v>
      </c>
      <c r="F5312" s="23" t="str">
        <f>HYPERLINK("https://www.spark-marketing.ru/Card/Lot/73078794", "Услуги по организации комплексного питания лиц, содержащихся в ИВС")</f>
        <v>Услуги по организации комплексного питания лиц, содержащихся в ИВС</v>
      </c>
      <c r="G5312" s="22" t="s">
        <v>263</v>
      </c>
      <c r="H5312" s="22" t="s">
        <v>8238</v>
      </c>
      <c r="I5312" s="26">
        <v>43705.545937499999</v>
      </c>
      <c r="J5312" s="23" t="str">
        <f>HYPERLINK("https://www.spark-marketing.ru/Card/Person/6193642", "ООО ""МЯСНОЙ ДВОР""")</f>
        <v>ООО "МЯСНОЙ ДВОР"</v>
      </c>
      <c r="K5312" s="24" t="s">
        <v>8239</v>
      </c>
      <c r="L5312" s="22" t="s">
        <v>10</v>
      </c>
      <c r="M5312" s="28" t="s">
        <v>51</v>
      </c>
      <c r="N5312" s="28" t="s">
        <v>51</v>
      </c>
    </row>
    <row r="5313" spans="1:14" x14ac:dyDescent="0.15">
      <c r="A5313" s="23" t="str">
        <f>HYPERLINK("https://www.spark-marketing.ru/Card/Person/63674", "ГОКУ ""УД ПРАВИТЕЛЬСТВА НОВГОРОДСКОЙ ОБЛАСТИ""")</f>
        <v>ГОКУ "УД ПРАВИТЕЛЬСТВА НОВГОРОДСКОЙ ОБЛАСТИ"</v>
      </c>
      <c r="B5313" s="24" t="s">
        <v>8241</v>
      </c>
      <c r="C5313" s="25">
        <v>400000</v>
      </c>
      <c r="D5313" s="22" t="s">
        <v>8242</v>
      </c>
      <c r="E5313" s="22" t="s">
        <v>67</v>
      </c>
      <c r="F5313" s="23" t="str">
        <f>HYPERLINK("https://www.spark-marketing.ru/Card/Lot/73090313", "Оказание услуг общественного питания во время проведения официальных мероприятий Правительства Новгородской области")</f>
        <v>Оказание услуг общественного питания во время проведения официальных мероприятий Правительства Новгородской области</v>
      </c>
      <c r="G5313" s="22" t="s">
        <v>849</v>
      </c>
      <c r="H5313" s="22" t="s">
        <v>7002</v>
      </c>
      <c r="I5313" s="26">
        <v>43705.689629629604</v>
      </c>
      <c r="J5313" s="28" t="s">
        <v>51</v>
      </c>
      <c r="K5313" s="28" t="s">
        <v>51</v>
      </c>
      <c r="L5313" s="28" t="s">
        <v>51</v>
      </c>
      <c r="M5313" s="28" t="s">
        <v>51</v>
      </c>
      <c r="N5313" s="28" t="s">
        <v>51</v>
      </c>
    </row>
    <row r="5314" spans="1:14" ht="12.75" hidden="1" outlineLevel="1" x14ac:dyDescent="0.2">
      <c r="A5314" s="23" t="str">
        <f>HYPERLINK("https://www.spark-marketing.ru/Card/Person/63674", "ГОКУ ""УД ПРАВИТЕЛЬСТВА НОВГОРОДСКОЙ ОБЛАСТИ""")</f>
        <v>ГОКУ "УД ПРАВИТЕЛЬСТВА НОВГОРОДСКОЙ ОБЛАСТИ"</v>
      </c>
      <c r="B5314" s="24" t="s">
        <v>8241</v>
      </c>
      <c r="C5314" s="25">
        <v>400000</v>
      </c>
      <c r="D5314" s="22" t="s">
        <v>8242</v>
      </c>
      <c r="E5314" s="22" t="s">
        <v>67</v>
      </c>
      <c r="F5314" s="23" t="str">
        <f>HYPERLINK("https://www.spark-marketing.ru/Card/Lot/73090313", "Оказание услуг общественного питания во время проведения официальных мероприятий Правительства Новгородской области")</f>
        <v>Оказание услуг общественного питания во время проведения официальных мероприятий Правительства Новгородской области</v>
      </c>
      <c r="G5314" s="22" t="s">
        <v>849</v>
      </c>
      <c r="H5314" s="22" t="s">
        <v>7002</v>
      </c>
      <c r="I5314" s="26">
        <v>43705.689629629604</v>
      </c>
      <c r="J5314" s="23" t="str">
        <f>HYPERLINK("https://www.spark-marketing.ru/Card/Person/6468236", "Никифорова Татьяна Игоревна")</f>
        <v>Никифорова Татьяна Игоревна</v>
      </c>
      <c r="K5314" s="24" t="s">
        <v>8243</v>
      </c>
      <c r="L5314" s="22" t="s">
        <v>10</v>
      </c>
      <c r="M5314" s="25">
        <v>6443.12</v>
      </c>
      <c r="N5314" s="27">
        <v>0.98389219999999999</v>
      </c>
    </row>
    <row r="5315" spans="1:14" hidden="1" outlineLevel="1" x14ac:dyDescent="0.2">
      <c r="A5315" s="23" t="str">
        <f>HYPERLINK("https://www.spark-marketing.ru/Card/Person/63674", "ГОКУ ""УД ПРАВИТЕЛЬСТВА НОВГОРОДСКОЙ ОБЛАСТИ""")</f>
        <v>ГОКУ "УД ПРАВИТЕЛЬСТВА НОВГОРОДСКОЙ ОБЛАСТИ"</v>
      </c>
      <c r="B5315" s="24" t="s">
        <v>8241</v>
      </c>
      <c r="C5315" s="25">
        <v>400000</v>
      </c>
      <c r="D5315" s="22" t="s">
        <v>8242</v>
      </c>
      <c r="E5315" s="22" t="s">
        <v>67</v>
      </c>
      <c r="F5315" s="23" t="str">
        <f>HYPERLINK("https://www.spark-marketing.ru/Card/Lot/73090313", "Оказание услуг общественного питания во время проведения официальных мероприятий Правительства Новгородской области")</f>
        <v>Оказание услуг общественного питания во время проведения официальных мероприятий Правительства Новгородской области</v>
      </c>
      <c r="G5315" s="22" t="s">
        <v>849</v>
      </c>
      <c r="H5315" s="22" t="s">
        <v>7002</v>
      </c>
      <c r="I5315" s="26">
        <v>43705.689629629604</v>
      </c>
      <c r="J5315" s="23" t="str">
        <f>HYPERLINK("https://www.spark-marketing.ru/Card/Person/6620184", "ООО ""ЯРОСЛАВА""")</f>
        <v>ООО "ЯРОСЛАВА"</v>
      </c>
      <c r="K5315" s="24" t="s">
        <v>8244</v>
      </c>
      <c r="L5315" s="28" t="s">
        <v>51</v>
      </c>
      <c r="M5315" s="25">
        <v>6499.8</v>
      </c>
      <c r="N5315" s="27">
        <v>0.98375049999999997</v>
      </c>
    </row>
    <row r="5316" spans="1:14" x14ac:dyDescent="0.15">
      <c r="A5316" s="23" t="str">
        <f>HYPERLINK("https://www.spark-marketing.ru/Card/Person/103732", "ЧЕЛЯБИНСКАЯ ТАМОЖНЯ")</f>
        <v>ЧЕЛЯБИНСКАЯ ТАМОЖНЯ</v>
      </c>
      <c r="B5316" s="24" t="s">
        <v>8245</v>
      </c>
      <c r="C5316" s="25">
        <v>1064587.32</v>
      </c>
      <c r="D5316" s="22" t="s">
        <v>8246</v>
      </c>
      <c r="E5316" s="22" t="s">
        <v>898</v>
      </c>
      <c r="F5316" s="23" t="str">
        <f>HYPERLINK("https://www.spark-marketing.ru/Card/Lot/73091600", "Восстановление работоспособности системы бесперебойного гарантированного электроснабжения Челябинского таможенного поста с заменой вышедшего из строя оборудования (источника бесперебойного питания) с подключением дизель-генераторной установки")</f>
        <v>Восстановление работоспособности системы бесперебойного гарантированного электроснабжения Челябинского таможенного поста с заменой вышедшего из строя оборудования (источника бесперебойного питания) с подключением дизель-генераторной установки</v>
      </c>
      <c r="G5316" s="22" t="s">
        <v>469</v>
      </c>
      <c r="H5316" s="22" t="s">
        <v>491</v>
      </c>
      <c r="I5316" s="26">
        <v>43705.558900463002</v>
      </c>
      <c r="J5316" s="23" t="str">
        <f>HYPERLINK("https://www.spark-marketing.ru/Card/Person/863744", "ООО НПК ""ИНЖЕНЕРНЫЕ ТЕХНОЛОГИИ""")</f>
        <v>ООО НПК "ИНЖЕНЕРНЫЕ ТЕХНОЛОГИИ"</v>
      </c>
      <c r="K5316" s="24" t="s">
        <v>8247</v>
      </c>
      <c r="L5316" s="28" t="s">
        <v>51</v>
      </c>
      <c r="M5316" s="28" t="s">
        <v>51</v>
      </c>
      <c r="N5316" s="28" t="s">
        <v>51</v>
      </c>
    </row>
    <row r="5317" spans="1:14" ht="12.75" hidden="1" outlineLevel="1" x14ac:dyDescent="0.2">
      <c r="A5317" s="23" t="str">
        <f>HYPERLINK("https://www.spark-marketing.ru/Card/Person/103732", "ЧЕЛЯБИНСКАЯ ТАМОЖНЯ")</f>
        <v>ЧЕЛЯБИНСКАЯ ТАМОЖНЯ</v>
      </c>
      <c r="B5317" s="24" t="s">
        <v>8245</v>
      </c>
      <c r="C5317" s="25">
        <v>1064587.32</v>
      </c>
      <c r="D5317" s="22" t="s">
        <v>8246</v>
      </c>
      <c r="E5317" s="22" t="s">
        <v>898</v>
      </c>
      <c r="F5317" s="23" t="str">
        <f>HYPERLINK("https://www.spark-marketing.ru/Card/Lot/73091600", "Восстановление работоспособности системы бесперебойного гарантированного электроснабжения Челябинского таможенного поста с заменой вышедшего из строя оборудования (источника бесперебойного питания) с подключением дизель-генераторной установки")</f>
        <v>Восстановление работоспособности системы бесперебойного гарантированного электроснабжения Челябинского таможенного поста с заменой вышедшего из строя оборудования (источника бесперебойного питания) с подключением дизель-генераторной установки</v>
      </c>
      <c r="G5317" s="22" t="s">
        <v>469</v>
      </c>
      <c r="H5317" s="22" t="s">
        <v>491</v>
      </c>
      <c r="I5317" s="26">
        <v>43705.558900463002</v>
      </c>
      <c r="J5317" s="23" t="str">
        <f>HYPERLINK("https://www.spark-marketing.ru/Card/Person/863744", "ООО НПК ""ИНЖЕНЕРНЫЕ ТЕХНОЛОГИИ""")</f>
        <v>ООО НПК "ИНЖЕНЕРНЫЕ ТЕХНОЛОГИИ"</v>
      </c>
      <c r="K5317" s="24" t="s">
        <v>8247</v>
      </c>
      <c r="L5317" s="22" t="s">
        <v>10</v>
      </c>
      <c r="M5317" s="25">
        <v>1011357.95</v>
      </c>
      <c r="N5317" s="27">
        <v>5.0000003757324482E-2</v>
      </c>
    </row>
    <row r="5318" spans="1:14" x14ac:dyDescent="0.15">
      <c r="A5318" s="23" t="str">
        <f>HYPERLINK("https://www.spark-marketing.ru/Card/Person/54226", "ОМВД РОССИИ ПО ГОРОДУ МОНЧЕГОРСКУ")</f>
        <v>ОМВД РОССИИ ПО ГОРОДУ МОНЧЕГОРСКУ</v>
      </c>
      <c r="B5318" s="24" t="s">
        <v>8248</v>
      </c>
      <c r="C5318" s="25">
        <v>474000</v>
      </c>
      <c r="D5318" s="22" t="s">
        <v>8249</v>
      </c>
      <c r="E5318" s="22" t="s">
        <v>48</v>
      </c>
      <c r="F5318" s="23" t="str">
        <f>HYPERLINK("https://www.spark-marketing.ru/Card/Lot/73090765", "Услуги по предоставлению питания для лиц, содержащихся в ИВС ОМВД")</f>
        <v>Услуги по предоставлению питания для лиц, содержащихся в ИВС ОМВД</v>
      </c>
      <c r="G5318" s="22" t="s">
        <v>340</v>
      </c>
      <c r="H5318" s="22" t="s">
        <v>8250</v>
      </c>
      <c r="I5318" s="26">
        <v>43705.651585648098</v>
      </c>
      <c r="J5318" s="23" t="str">
        <f>HYPERLINK("https://www.spark-marketing.ru/Card/Person/6694086", "Кубаевская Ксения Михайловна")</f>
        <v>Кубаевская Ксения Михайловна</v>
      </c>
      <c r="K5318" s="24" t="s">
        <v>8251</v>
      </c>
      <c r="L5318" s="22" t="s">
        <v>10</v>
      </c>
      <c r="M5318" s="28" t="s">
        <v>51</v>
      </c>
      <c r="N5318" s="28" t="s">
        <v>51</v>
      </c>
    </row>
    <row r="5319" spans="1:14" x14ac:dyDescent="0.15">
      <c r="A5319" s="23" t="str">
        <f>HYPERLINK("https://www.spark-marketing.ru/Card/Person/91929", "МУ МВД РОССИИ ""СЕРПУХОВСКОЕ""")</f>
        <v>МУ МВД РОССИИ "СЕРПУХОВСКОЕ"</v>
      </c>
      <c r="B5319" s="24" t="s">
        <v>8229</v>
      </c>
      <c r="C5319" s="25">
        <v>181770</v>
      </c>
      <c r="D5319" s="22" t="s">
        <v>8252</v>
      </c>
      <c r="E5319" s="22" t="s">
        <v>48</v>
      </c>
      <c r="F5319" s="23" t="str">
        <f>HYPERLINK("https://www.spark-marketing.ru/Card/Lot/73085754",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319" s="22" t="s">
        <v>49</v>
      </c>
      <c r="H5319" s="22" t="s">
        <v>8231</v>
      </c>
      <c r="I5319" s="26">
        <v>43705.691111111097</v>
      </c>
      <c r="J5319" s="28" t="s">
        <v>51</v>
      </c>
      <c r="K5319" s="28" t="s">
        <v>51</v>
      </c>
      <c r="L5319" s="28" t="s">
        <v>51</v>
      </c>
      <c r="M5319" s="28" t="s">
        <v>51</v>
      </c>
      <c r="N5319" s="28" t="s">
        <v>51</v>
      </c>
    </row>
    <row r="5320" spans="1:14" x14ac:dyDescent="0.15">
      <c r="A5320" s="23" t="str">
        <f>HYPERLINK("https://www.spark-marketing.ru/Card/Person/4349166", "МБОУ СОШ №7")</f>
        <v>МБОУ СОШ №7</v>
      </c>
      <c r="B5320" s="24" t="s">
        <v>8253</v>
      </c>
      <c r="C5320" s="25">
        <v>364980</v>
      </c>
      <c r="D5320" s="22" t="s">
        <v>8254</v>
      </c>
      <c r="E5320" s="22" t="s">
        <v>48</v>
      </c>
      <c r="F5320" s="23" t="str">
        <f>HYPERLINK("https://www.spark-marketing.ru/Card/Lot/73083790", "Оказание услуг по организации горячего питания детей в группе продленного дня")</f>
        <v>Оказание услуг по организации горячего питания детей в группе продленного дня</v>
      </c>
      <c r="G5320" s="22" t="s">
        <v>49</v>
      </c>
      <c r="H5320" s="22" t="s">
        <v>378</v>
      </c>
      <c r="I5320" s="26">
        <v>43705.640023148102</v>
      </c>
      <c r="J5320" s="28" t="s">
        <v>51</v>
      </c>
      <c r="K5320" s="28" t="s">
        <v>51</v>
      </c>
      <c r="L5320" s="28" t="s">
        <v>51</v>
      </c>
      <c r="M5320" s="28" t="s">
        <v>51</v>
      </c>
      <c r="N5320" s="28" t="s">
        <v>51</v>
      </c>
    </row>
    <row r="5321" spans="1:14" x14ac:dyDescent="0.15">
      <c r="A5321" s="23" t="str">
        <f>HYPERLINK("https://www.spark-marketing.ru/Card/Person/737290", "ГКУ «ЦБЗ ПРИ МИНЗДРАВЕ КАРЕЛИИ»")</f>
        <v>ГКУ «ЦБЗ ПРИ МИНЗДРАВЕ КАРЕЛИИ»</v>
      </c>
      <c r="B5321" s="24" t="s">
        <v>312</v>
      </c>
      <c r="C5321" s="25">
        <v>914413.5</v>
      </c>
      <c r="D5321" s="22" t="s">
        <v>8255</v>
      </c>
      <c r="E5321" s="22" t="s">
        <v>52</v>
      </c>
      <c r="F5321" s="23" t="str">
        <f>HYPERLINK("https://www.spark-marketing.ru/Card/Lot/73091635", "Поставка лекарственного препарата       Саксаглиптин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изделиями...")</f>
        <v>Поставка лекарственного препарата       Саксаглиптин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изделиями...</v>
      </c>
      <c r="G5321" s="22" t="s">
        <v>59</v>
      </c>
      <c r="H5321" s="22" t="s">
        <v>314</v>
      </c>
      <c r="I5321" s="26">
        <v>43705.629293981503</v>
      </c>
      <c r="J5321" s="23" t="str">
        <f>HYPERLINK("https://www.spark-marketing.ru/Card/Person/5915525", "ООО ""МЕДФАРМ""")</f>
        <v>ООО "МЕДФАРМ"</v>
      </c>
      <c r="K5321" s="24" t="s">
        <v>2340</v>
      </c>
      <c r="L5321" s="22" t="s">
        <v>10</v>
      </c>
      <c r="M5321" s="28" t="s">
        <v>51</v>
      </c>
      <c r="N5321" s="28" t="s">
        <v>51</v>
      </c>
    </row>
    <row r="5322" spans="1:14" ht="12.75" x14ac:dyDescent="0.2">
      <c r="A5322" s="23" t="str">
        <f>HYPERLINK("https://www.spark-marketing.ru/Card/Person/538247", "МОМВД РОССИИ ""ЗНАМЕНСКИЙ""")</f>
        <v>МОМВД РОССИИ "ЗНАМЕНСКИЙ"</v>
      </c>
      <c r="B5322" s="24" t="s">
        <v>6252</v>
      </c>
      <c r="C5322" s="25">
        <v>342000</v>
      </c>
      <c r="D5322" s="22" t="s">
        <v>8256</v>
      </c>
      <c r="E5322" s="22" t="s">
        <v>48</v>
      </c>
      <c r="F5322" s="23" t="str">
        <f>HYPERLINK("https://www.spark-marketing.ru/Card/Lot/73086465", "Оказание услуг по приготовлению и поставки питания для лиц содержащихся в ИВС и СПЗЛ МОМВД России ""Знаменский""")</f>
        <v>Оказание услуг по приготовлению и поставки питания для лиц содержащихся в ИВС и СПЗЛ МОМВД России "Знаменский"</v>
      </c>
      <c r="G5322" s="22" t="s">
        <v>1370</v>
      </c>
      <c r="H5322" s="22" t="s">
        <v>6254</v>
      </c>
      <c r="I5322" s="26">
        <v>43705.598252314798</v>
      </c>
      <c r="J5322" s="23" t="str">
        <f>HYPERLINK("https://www.spark-marketing.ru/Card/Person/6553501", "Шефлер Павел Николаевич")</f>
        <v>Шефлер Павел Николаевич</v>
      </c>
      <c r="K5322" s="24" t="s">
        <v>6255</v>
      </c>
      <c r="L5322" s="22" t="s">
        <v>10</v>
      </c>
      <c r="M5322" s="25">
        <v>342000</v>
      </c>
      <c r="N5322" s="27">
        <v>0</v>
      </c>
    </row>
    <row r="5323" spans="1:14" x14ac:dyDescent="0.15">
      <c r="A5323" s="23" t="str">
        <f>HYPERLINK("https://www.spark-marketing.ru/Card/Person/34132", "СПБ ГБПОУ ""УОР № 1""")</f>
        <v>СПБ ГБПОУ "УОР № 1"</v>
      </c>
      <c r="B5323" s="24" t="s">
        <v>632</v>
      </c>
      <c r="C5323" s="25">
        <v>377937.36</v>
      </c>
      <c r="D5323" s="22" t="s">
        <v>8257</v>
      </c>
      <c r="E5323" s="22" t="s">
        <v>374</v>
      </c>
      <c r="F5323" s="23" t="str">
        <f>HYPERLINK("https://www.spark-marketing.ru/Card/Lot/73086491", "Обеспечение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 сооружения для от...")</f>
        <v>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 сооружения для от...</v>
      </c>
      <c r="G5323" s="22" t="s">
        <v>117</v>
      </c>
      <c r="H5323" s="22" t="s">
        <v>117</v>
      </c>
      <c r="I5323" s="26">
        <v>43705.633125</v>
      </c>
      <c r="J5323" s="23" t="str">
        <f>HYPERLINK("https://www.spark-marketing.ru/Card/Person/6199231", "Полочанская Ольга Геннадьевна")</f>
        <v>Полочанская Ольга Геннадьевна</v>
      </c>
      <c r="K5323" s="24" t="s">
        <v>2484</v>
      </c>
      <c r="L5323" s="22" t="s">
        <v>10</v>
      </c>
      <c r="M5323" s="28" t="s">
        <v>51</v>
      </c>
      <c r="N5323" s="28" t="s">
        <v>51</v>
      </c>
    </row>
    <row r="5324" spans="1:14" x14ac:dyDescent="0.15">
      <c r="A5324" s="23" t="str">
        <f>HYPERLINK("https://www.spark-marketing.ru/Card/Person/1061238", "ОТДЕЛ МВД РОССИИ ПО ЛЫСКОВСКОМУ РАЙОНУ")</f>
        <v>ОТДЕЛ МВД РОССИИ ПО ЛЫСКОВСКОМУ РАЙОНУ</v>
      </c>
      <c r="B5324" s="24" t="s">
        <v>8258</v>
      </c>
      <c r="C5324" s="25">
        <v>300000</v>
      </c>
      <c r="D5324" s="22" t="s">
        <v>8259</v>
      </c>
      <c r="E5324" s="22" t="s">
        <v>96</v>
      </c>
      <c r="F5324" s="23" t="str">
        <f>HYPERLINK("https://www.spark-marketing.ru/Card/Lot/73084067", "Оказание услуг по организации питания (приготовлению и доставке), 6 шт")</f>
        <v>Оказание услуг по организации питания (приготовлению и доставке), 6 шт</v>
      </c>
      <c r="G5324" s="22" t="s">
        <v>76</v>
      </c>
      <c r="H5324" s="22" t="s">
        <v>8260</v>
      </c>
      <c r="I5324" s="26">
        <v>43705.651435185202</v>
      </c>
      <c r="J5324" s="28" t="s">
        <v>51</v>
      </c>
      <c r="K5324" s="28" t="s">
        <v>51</v>
      </c>
      <c r="L5324" s="28" t="s">
        <v>51</v>
      </c>
      <c r="M5324" s="28" t="s">
        <v>51</v>
      </c>
      <c r="N5324" s="28" t="s">
        <v>51</v>
      </c>
    </row>
    <row r="5325" spans="1:14" x14ac:dyDescent="0.15">
      <c r="A5325" s="23" t="str">
        <f>HYPERLINK("https://www.spark-marketing.ru/Card/Person/57397", "ГУЗ ""ТДОКБ""")</f>
        <v>ГУЗ "ТДОКБ"</v>
      </c>
      <c r="B5325" s="24" t="s">
        <v>8261</v>
      </c>
      <c r="C5325" s="25">
        <v>48107.519999999997</v>
      </c>
      <c r="D5325" s="22" t="s">
        <v>8262</v>
      </c>
      <c r="E5325" s="22" t="s">
        <v>86</v>
      </c>
      <c r="F5325" s="23" t="str">
        <f>HYPERLINK("https://www.spark-marketing.ru/Card/Lot/73088674", "Оказание услуг по экспертизе продуктов питания")</f>
        <v>Оказание услуг по экспертизе продуктов питания</v>
      </c>
      <c r="G5325" s="22" t="s">
        <v>68</v>
      </c>
      <c r="H5325" s="22" t="s">
        <v>69</v>
      </c>
      <c r="I5325" s="26">
        <v>43705.643460648098</v>
      </c>
      <c r="J5325" s="23" t="str">
        <f>HYPERLINK("https://www.spark-marketing.ru/Card/Person/120623", "ФБУЗ ""ЦЕНТР ГИГИЕНЫ И ЭПИДЕМИОЛОГИИ В ТУЛЬСКОЙ ОБЛАСТИ""")</f>
        <v>ФБУЗ "ЦЕНТР ГИГИЕНЫ И ЭПИДЕМИОЛОГИИ В ТУЛЬСКОЙ ОБЛАСТИ"</v>
      </c>
      <c r="K5325" s="24" t="s">
        <v>8263</v>
      </c>
      <c r="L5325" s="22" t="s">
        <v>10</v>
      </c>
      <c r="M5325" s="28" t="s">
        <v>51</v>
      </c>
      <c r="N5325" s="28" t="s">
        <v>51</v>
      </c>
    </row>
    <row r="5326" spans="1:14" x14ac:dyDescent="0.15">
      <c r="A5326" s="23" t="str">
        <f>HYPERLINK("https://www.spark-marketing.ru/Card/Person/155121", "ГУ ""МЕЖМУНИЦИПАЛЬНЫЙ ОТДЕЛ МВД РОССИИ ""УВИНСКИЙ""")</f>
        <v>ГУ "МЕЖМУНИЦИПАЛЬНЫЙ ОТДЕЛ МВД РОССИИ "УВИНСКИЙ"</v>
      </c>
      <c r="B5326" s="24" t="s">
        <v>8264</v>
      </c>
      <c r="C5326" s="25">
        <v>40000</v>
      </c>
      <c r="D5326" s="22" t="s">
        <v>8265</v>
      </c>
      <c r="E5326" s="22" t="s">
        <v>48</v>
      </c>
      <c r="F5326" s="23" t="str">
        <f>HYPERLINK("https://www.spark-marketing.ru/Card/Lot/73084070", "Оказание услуг по питанию граждан содержищихся в ИВС и СПСЗЛ, 1 усл. ед")</f>
        <v>Оказание услуг по питанию граждан содержищихся в ИВС и СПСЗЛ, 1 усл. ед</v>
      </c>
      <c r="G5326" s="22" t="s">
        <v>852</v>
      </c>
      <c r="H5326" s="22" t="s">
        <v>8266</v>
      </c>
      <c r="I5326" s="26">
        <v>43705.651793981502</v>
      </c>
      <c r="J5326" s="28" t="s">
        <v>51</v>
      </c>
      <c r="K5326" s="28" t="s">
        <v>51</v>
      </c>
      <c r="L5326" s="28" t="s">
        <v>51</v>
      </c>
      <c r="M5326" s="28" t="s">
        <v>51</v>
      </c>
      <c r="N5326" s="28" t="s">
        <v>51</v>
      </c>
    </row>
    <row r="5327" spans="1:14" x14ac:dyDescent="0.15">
      <c r="A5327" s="23" t="str">
        <f>HYPERLINK("https://www.spark-marketing.ru/Card/Person/91120", "МБДОУ ""ДЕТСКИЙ САД №80 ""РЕЧЕНЬКА""")</f>
        <v>МБДОУ "ДЕТСКИЙ САД №80 "РЕЧЕНЬКА"</v>
      </c>
      <c r="B5327" s="24" t="s">
        <v>8267</v>
      </c>
      <c r="C5327" s="25">
        <v>2379253.7599999998</v>
      </c>
      <c r="D5327" s="22" t="s">
        <v>8268</v>
      </c>
      <c r="E5327" s="22" t="s">
        <v>48</v>
      </c>
      <c r="F5327" s="23" t="str">
        <f>HYPERLINK("https://www.spark-marketing.ru/Card/Lot/73092988", "оказание услуг по организации сбалансированного питания воспитанников для нужд МБДОУ «Детский сад общеразвивающего вида с приоритетным осуществлением деятельности по познавательно-речевому направлению развития детей №80 «Реченька»")</f>
        <v>оказание услуг по организации сбалансированного питания воспитанников для нужд МБДОУ «Детский сад общеразвивающего вида с приоритетным осуществлением деятельности по познавательно-речевому направлению развития детей №80 «Реченька»</v>
      </c>
      <c r="G5327" s="22" t="s">
        <v>217</v>
      </c>
      <c r="H5327" s="22" t="s">
        <v>1998</v>
      </c>
      <c r="I5327" s="26">
        <v>43705.637453703697</v>
      </c>
      <c r="J5327" s="28" t="s">
        <v>51</v>
      </c>
      <c r="K5327" s="28" t="s">
        <v>51</v>
      </c>
      <c r="L5327" s="28" t="s">
        <v>51</v>
      </c>
      <c r="M5327" s="28" t="s">
        <v>51</v>
      </c>
      <c r="N5327" s="28" t="s">
        <v>51</v>
      </c>
    </row>
    <row r="5328" spans="1:14" ht="12.75" hidden="1" outlineLevel="1" x14ac:dyDescent="0.2">
      <c r="A5328" s="23" t="str">
        <f>HYPERLINK("https://www.spark-marketing.ru/Card/Person/91120", "МБДОУ ""ДЕТСКИЙ САД №80 ""РЕЧЕНЬКА""")</f>
        <v>МБДОУ "ДЕТСКИЙ САД №80 "РЕЧЕНЬКА"</v>
      </c>
      <c r="B5328" s="24" t="s">
        <v>8267</v>
      </c>
      <c r="C5328" s="25">
        <v>2379253.7599999998</v>
      </c>
      <c r="D5328" s="22" t="s">
        <v>8268</v>
      </c>
      <c r="E5328" s="22" t="s">
        <v>48</v>
      </c>
      <c r="F5328" s="23" t="str">
        <f>HYPERLINK("https://www.spark-marketing.ru/Card/Lot/73092988", "оказание услуг по организации сбалансированного питания воспитанников для нужд МБДОУ «Детский сад общеразвивающего вида с приоритетным осуществлением деятельности по познавательно-речевому направлению развития детей №80 «Реченька»")</f>
        <v>оказание услуг по организации сбалансированного питания воспитанников для нужд МБДОУ «Детский сад общеразвивающего вида с приоритетным осуществлением деятельности по познавательно-речевому направлению развития детей №80 «Реченька»</v>
      </c>
      <c r="G5328" s="22" t="s">
        <v>217</v>
      </c>
      <c r="H5328" s="22" t="s">
        <v>1998</v>
      </c>
      <c r="I5328" s="26">
        <v>43705.637453703697</v>
      </c>
      <c r="J5328" s="23" t="str">
        <f>HYPERLINK("https://www.spark-marketing.ru/Card/Person/87385", "ООО ""ШКОЛЬНОЕ ПИТАНИЕ""")</f>
        <v>ООО "ШКОЛЬНОЕ ПИТАНИЕ"</v>
      </c>
      <c r="K5328" s="24" t="s">
        <v>6356</v>
      </c>
      <c r="L5328" s="22" t="s">
        <v>10</v>
      </c>
      <c r="M5328" s="25">
        <v>1998573.12</v>
      </c>
      <c r="N5328" s="27">
        <v>0.16000001613951426</v>
      </c>
    </row>
    <row r="5329" spans="1:14" hidden="1" outlineLevel="1" x14ac:dyDescent="0.2">
      <c r="A5329" s="23" t="str">
        <f>HYPERLINK("https://www.spark-marketing.ru/Card/Person/91120", "МБДОУ ""ДЕТСКИЙ САД №80 ""РЕЧЕНЬКА""")</f>
        <v>МБДОУ "ДЕТСКИЙ САД №80 "РЕЧЕНЬКА"</v>
      </c>
      <c r="B5329" s="24" t="s">
        <v>8267</v>
      </c>
      <c r="C5329" s="25">
        <v>2379253.7599999998</v>
      </c>
      <c r="D5329" s="22" t="s">
        <v>8268</v>
      </c>
      <c r="E5329" s="22" t="s">
        <v>48</v>
      </c>
      <c r="F5329" s="23" t="str">
        <f>HYPERLINK("https://www.spark-marketing.ru/Card/Lot/73092988", "оказание услуг по организации сбалансированного питания воспитанников для нужд МБДОУ «Детский сад общеразвивающего вида с приоритетным осуществлением деятельности по познавательно-речевому направлению развития детей №80 «Реченька»")</f>
        <v>оказание услуг по организации сбалансированного питания воспитанников для нужд МБДОУ «Детский сад общеразвивающего вида с приоритетным осуществлением деятельности по познавательно-речевому направлению развития детей №80 «Реченька»</v>
      </c>
      <c r="G5329" s="22" t="s">
        <v>217</v>
      </c>
      <c r="H5329" s="22" t="s">
        <v>1998</v>
      </c>
      <c r="I5329" s="26">
        <v>43705.637453703697</v>
      </c>
      <c r="J5329" s="23" t="str">
        <f>HYPERLINK("https://www.spark-marketing.ru/Card/Person/6474291", "ООО ""АЛЬЯНС""")</f>
        <v>ООО "АЛЬЯНС"</v>
      </c>
      <c r="K5329" s="24" t="s">
        <v>7113</v>
      </c>
      <c r="L5329" s="28" t="s">
        <v>51</v>
      </c>
      <c r="M5329" s="25">
        <v>2010469.39</v>
      </c>
      <c r="N5329" s="27">
        <v>0.15500001563515445</v>
      </c>
    </row>
    <row r="5330" spans="1:14" x14ac:dyDescent="0.15">
      <c r="A5330" s="23" t="str">
        <f>HYPERLINK("https://www.spark-marketing.ru/Card/Person/737290", "ГКУ «ЦБЗ ПРИ МИНЗДРАВЕ КАРЕЛИИ»")</f>
        <v>ГКУ «ЦБЗ ПРИ МИНЗДРАВЕ КАРЕЛИИ»</v>
      </c>
      <c r="B5330" s="24" t="s">
        <v>312</v>
      </c>
      <c r="C5330" s="25">
        <v>356607.44</v>
      </c>
      <c r="D5330" s="22" t="s">
        <v>8269</v>
      </c>
      <c r="E5330" s="22" t="s">
        <v>52</v>
      </c>
      <c r="F5330" s="23" t="str">
        <f>HYPERLINK("https://www.spark-marketing.ru/Card/Lot/73090141", "Поставка лекарственного препарата Лакосамид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рецепт...")</f>
        <v>Поставка лекарственного препарата Лакосамид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</v>
      </c>
      <c r="G5330" s="22" t="s">
        <v>59</v>
      </c>
      <c r="H5330" s="22" t="s">
        <v>314</v>
      </c>
      <c r="I5330" s="26">
        <v>43705.621122685203</v>
      </c>
      <c r="J5330" s="28" t="s">
        <v>51</v>
      </c>
      <c r="K5330" s="28" t="s">
        <v>51</v>
      </c>
      <c r="L5330" s="28" t="s">
        <v>51</v>
      </c>
      <c r="M5330" s="28" t="s">
        <v>51</v>
      </c>
      <c r="N5330" s="28" t="s">
        <v>51</v>
      </c>
    </row>
    <row r="5331" spans="1:14" hidden="1" outlineLevel="1" x14ac:dyDescent="0.2">
      <c r="A5331" s="23" t="str">
        <f>HYPERLINK("https://www.spark-marketing.ru/Card/Person/737290", "ГКУ «ЦБЗ ПРИ МИНЗДРАВЕ КАРЕЛИИ»")</f>
        <v>ГКУ «ЦБЗ ПРИ МИНЗДРАВЕ КАРЕЛИИ»</v>
      </c>
      <c r="B5331" s="24" t="s">
        <v>312</v>
      </c>
      <c r="C5331" s="25">
        <v>356607.44</v>
      </c>
      <c r="D5331" s="22" t="s">
        <v>8269</v>
      </c>
      <c r="E5331" s="22" t="s">
        <v>52</v>
      </c>
      <c r="F5331" s="23" t="str">
        <f>HYPERLINK("https://www.spark-marketing.ru/Card/Lot/73090141", "Поставка лекарственного препарата Лакосамид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рецепт...")</f>
        <v>Поставка лекарственного препарата Лакосамид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</v>
      </c>
      <c r="G5331" s="22" t="s">
        <v>59</v>
      </c>
      <c r="H5331" s="22" t="s">
        <v>314</v>
      </c>
      <c r="I5331" s="26">
        <v>43705.621122685203</v>
      </c>
      <c r="J5331" s="23" t="str">
        <f>HYPERLINK("https://www.spark-marketing.ru/Card/Person/6276188", "ООО ""ФАРМАЛАЙФ""")</f>
        <v>ООО "ФАРМАЛАЙФ"</v>
      </c>
      <c r="K5331" s="24" t="s">
        <v>5926</v>
      </c>
      <c r="L5331" s="28" t="s">
        <v>51</v>
      </c>
      <c r="M5331" s="25">
        <v>333427.92</v>
      </c>
      <c r="N5331" s="27">
        <v>6.5000102073024618E-2</v>
      </c>
    </row>
    <row r="5332" spans="1:14" ht="12.75" hidden="1" outlineLevel="1" x14ac:dyDescent="0.2">
      <c r="A5332" s="23" t="str">
        <f>HYPERLINK("https://www.spark-marketing.ru/Card/Person/737290", "ГКУ «ЦБЗ ПРИ МИНЗДРАВЕ КАРЕЛИИ»")</f>
        <v>ГКУ «ЦБЗ ПРИ МИНЗДРАВЕ КАРЕЛИИ»</v>
      </c>
      <c r="B5332" s="24" t="s">
        <v>312</v>
      </c>
      <c r="C5332" s="25">
        <v>356607.44</v>
      </c>
      <c r="D5332" s="22" t="s">
        <v>8269</v>
      </c>
      <c r="E5332" s="22" t="s">
        <v>52</v>
      </c>
      <c r="F5332" s="23" t="str">
        <f>HYPERLINK("https://www.spark-marketing.ru/Card/Lot/73090141", "Поставка лекарственного препарата Лакосамид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рецепт...")</f>
        <v>Поставка лекарственного препарата Лакосамид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</v>
      </c>
      <c r="G5332" s="22" t="s">
        <v>59</v>
      </c>
      <c r="H5332" s="22" t="s">
        <v>314</v>
      </c>
      <c r="I5332" s="26">
        <v>43705.621122685203</v>
      </c>
      <c r="J5332" s="23" t="str">
        <f>HYPERLINK("https://www.spark-marketing.ru/Card/Person/44169", "ООО ""СИГОР""")</f>
        <v>ООО "СИГОР"</v>
      </c>
      <c r="K5332" s="24" t="s">
        <v>2095</v>
      </c>
      <c r="L5332" s="22" t="s">
        <v>10</v>
      </c>
      <c r="M5332" s="25">
        <v>331644.88</v>
      </c>
      <c r="N5332" s="27">
        <v>7.0000109924795731E-2</v>
      </c>
    </row>
    <row r="5333" spans="1:14" x14ac:dyDescent="0.15">
      <c r="A5333" s="23" t="str">
        <f t="shared" ref="A5333:A5340" si="106">HYPERLINK("https://www.spark-marketing.ru/Card/Person/1019035", "ГБУЗ АО ""ЦМП""")</f>
        <v>ГБУЗ АО "ЦМП"</v>
      </c>
      <c r="B5333" s="24" t="s">
        <v>8270</v>
      </c>
      <c r="C5333" s="25">
        <v>226520</v>
      </c>
      <c r="D5333" s="22" t="s">
        <v>8271</v>
      </c>
      <c r="E5333" s="22" t="s">
        <v>1807</v>
      </c>
      <c r="F5333" s="23" t="str">
        <f t="shared" ref="F5333:F5340" si="107">HYPERLINK("https://www.spark-marketing.ru/Card/Lot/73086406", "Оказание услуги по изготовлению полиграфической продукции (буклеты, евробуклеты, еврофлаеры, брошюры)")</f>
        <v>Оказание услуги по изготовлению полиграфической продукции (буклеты, евробуклеты, еврофлаеры, брошюры)</v>
      </c>
      <c r="G5333" s="22" t="s">
        <v>141</v>
      </c>
      <c r="H5333" s="22" t="s">
        <v>2201</v>
      </c>
      <c r="I5333" s="26">
        <v>43705.512835648202</v>
      </c>
      <c r="J5333" s="28" t="s">
        <v>51</v>
      </c>
      <c r="K5333" s="28" t="s">
        <v>51</v>
      </c>
      <c r="L5333" s="28" t="s">
        <v>51</v>
      </c>
      <c r="M5333" s="28" t="s">
        <v>51</v>
      </c>
      <c r="N5333" s="28" t="s">
        <v>51</v>
      </c>
    </row>
    <row r="5334" spans="1:14" hidden="1" outlineLevel="1" x14ac:dyDescent="0.2">
      <c r="A5334" s="23" t="str">
        <f t="shared" si="106"/>
        <v>ГБУЗ АО "ЦМП"</v>
      </c>
      <c r="B5334" s="24" t="s">
        <v>8270</v>
      </c>
      <c r="C5334" s="25">
        <v>226520</v>
      </c>
      <c r="D5334" s="22" t="s">
        <v>8271</v>
      </c>
      <c r="E5334" s="22" t="s">
        <v>1807</v>
      </c>
      <c r="F5334" s="23" t="str">
        <f t="shared" si="107"/>
        <v>Оказание услуги по изготовлению полиграфической продукции (буклеты, евробуклеты, еврофлаеры, брошюры)</v>
      </c>
      <c r="G5334" s="22" t="s">
        <v>141</v>
      </c>
      <c r="H5334" s="22" t="s">
        <v>2201</v>
      </c>
      <c r="I5334" s="26">
        <v>43705.512835648202</v>
      </c>
      <c r="J5334" s="23" t="str">
        <f>HYPERLINK("https://www.spark-marketing.ru/Card/Person/497064", "ООО ИПК ""АВАНТА-ПРИНТ""")</f>
        <v>ООО ИПК "АВАНТА-ПРИНТ"</v>
      </c>
      <c r="K5334" s="24" t="s">
        <v>6192</v>
      </c>
      <c r="L5334" s="28" t="s">
        <v>51</v>
      </c>
      <c r="M5334" s="25">
        <v>157967.4</v>
      </c>
      <c r="N5334" s="27">
        <v>0.30263376302313261</v>
      </c>
    </row>
    <row r="5335" spans="1:14" hidden="1" outlineLevel="1" x14ac:dyDescent="0.2">
      <c r="A5335" s="23" t="str">
        <f t="shared" si="106"/>
        <v>ГБУЗ АО "ЦМП"</v>
      </c>
      <c r="B5335" s="24" t="s">
        <v>8270</v>
      </c>
      <c r="C5335" s="25">
        <v>226520</v>
      </c>
      <c r="D5335" s="22" t="s">
        <v>8271</v>
      </c>
      <c r="E5335" s="22" t="s">
        <v>1807</v>
      </c>
      <c r="F5335" s="23" t="str">
        <f t="shared" si="107"/>
        <v>Оказание услуги по изготовлению полиграфической продукции (буклеты, евробуклеты, еврофлаеры, брошюры)</v>
      </c>
      <c r="G5335" s="22" t="s">
        <v>141</v>
      </c>
      <c r="H5335" s="22" t="s">
        <v>2201</v>
      </c>
      <c r="I5335" s="26">
        <v>43705.512835648202</v>
      </c>
      <c r="J5335" s="23" t="str">
        <f>HYPERLINK("https://www.spark-marketing.ru/Card/Person/142787", "Бабенко Анна Васильевна")</f>
        <v>Бабенко Анна Васильевна</v>
      </c>
      <c r="K5335" s="24" t="s">
        <v>8272</v>
      </c>
      <c r="L5335" s="28" t="s">
        <v>51</v>
      </c>
      <c r="M5335" s="25">
        <v>154568</v>
      </c>
      <c r="N5335" s="27">
        <v>0.3176408264170934</v>
      </c>
    </row>
    <row r="5336" spans="1:14" hidden="1" outlineLevel="1" x14ac:dyDescent="0.2">
      <c r="A5336" s="23" t="str">
        <f t="shared" si="106"/>
        <v>ГБУЗ АО "ЦМП"</v>
      </c>
      <c r="B5336" s="24" t="s">
        <v>8270</v>
      </c>
      <c r="C5336" s="25">
        <v>226520</v>
      </c>
      <c r="D5336" s="22" t="s">
        <v>8271</v>
      </c>
      <c r="E5336" s="22" t="s">
        <v>1807</v>
      </c>
      <c r="F5336" s="23" t="str">
        <f t="shared" si="107"/>
        <v>Оказание услуги по изготовлению полиграфической продукции (буклеты, евробуклеты, еврофлаеры, брошюры)</v>
      </c>
      <c r="G5336" s="22" t="s">
        <v>141</v>
      </c>
      <c r="H5336" s="22" t="s">
        <v>2201</v>
      </c>
      <c r="I5336" s="26">
        <v>43705.512835648202</v>
      </c>
      <c r="J5336" s="23" t="str">
        <f>HYPERLINK("https://www.spark-marketing.ru/Card/Person/284198", "ООО ""ТИПОГРАФИЯ ""НОВАЯ ЛИНИЯ""")</f>
        <v>ООО "ТИПОГРАФИЯ "НОВАЯ ЛИНИЯ"</v>
      </c>
      <c r="K5336" s="24" t="s">
        <v>8273</v>
      </c>
      <c r="L5336" s="28" t="s">
        <v>51</v>
      </c>
      <c r="M5336" s="25">
        <v>217961.83</v>
      </c>
      <c r="N5336" s="27">
        <v>3.7781078933427512E-2</v>
      </c>
    </row>
    <row r="5337" spans="1:14" ht="12.75" hidden="1" outlineLevel="1" x14ac:dyDescent="0.2">
      <c r="A5337" s="23" t="str">
        <f t="shared" si="106"/>
        <v>ГБУЗ АО "ЦМП"</v>
      </c>
      <c r="B5337" s="24" t="s">
        <v>8270</v>
      </c>
      <c r="C5337" s="25">
        <v>226520</v>
      </c>
      <c r="D5337" s="22" t="s">
        <v>8271</v>
      </c>
      <c r="E5337" s="22" t="s">
        <v>1807</v>
      </c>
      <c r="F5337" s="23" t="str">
        <f t="shared" si="107"/>
        <v>Оказание услуги по изготовлению полиграфической продукции (буклеты, евробуклеты, еврофлаеры, брошюры)</v>
      </c>
      <c r="G5337" s="22" t="s">
        <v>141</v>
      </c>
      <c r="H5337" s="22" t="s">
        <v>2201</v>
      </c>
      <c r="I5337" s="26">
        <v>43705.512835648202</v>
      </c>
      <c r="J5337" s="23" t="str">
        <f>HYPERLINK("https://www.spark-marketing.ru/Card/Person/6474784", "ООО ""КРАФТ""")</f>
        <v>ООО "КРАФТ"</v>
      </c>
      <c r="K5337" s="24" t="s">
        <v>8274</v>
      </c>
      <c r="L5337" s="22" t="s">
        <v>10</v>
      </c>
      <c r="M5337" s="25">
        <v>153435.4</v>
      </c>
      <c r="N5337" s="27">
        <v>0.32264082641709341</v>
      </c>
    </row>
    <row r="5338" spans="1:14" hidden="1" outlineLevel="1" x14ac:dyDescent="0.2">
      <c r="A5338" s="23" t="str">
        <f t="shared" si="106"/>
        <v>ГБУЗ АО "ЦМП"</v>
      </c>
      <c r="B5338" s="24" t="s">
        <v>8270</v>
      </c>
      <c r="C5338" s="25">
        <v>226520</v>
      </c>
      <c r="D5338" s="22" t="s">
        <v>8271</v>
      </c>
      <c r="E5338" s="22" t="s">
        <v>1807</v>
      </c>
      <c r="F5338" s="23" t="str">
        <f t="shared" si="107"/>
        <v>Оказание услуги по изготовлению полиграфической продукции (буклеты, евробуклеты, еврофлаеры, брошюры)</v>
      </c>
      <c r="G5338" s="22" t="s">
        <v>141</v>
      </c>
      <c r="H5338" s="22" t="s">
        <v>2201</v>
      </c>
      <c r="I5338" s="26">
        <v>43705.512835648202</v>
      </c>
      <c r="J5338" s="23" t="str">
        <f>HYPERLINK("https://www.spark-marketing.ru/Card/Person/6501181", "ООО ""МИР""")</f>
        <v>ООО "МИР"</v>
      </c>
      <c r="K5338" s="24" t="s">
        <v>8275</v>
      </c>
      <c r="L5338" s="28" t="s">
        <v>51</v>
      </c>
      <c r="M5338" s="25">
        <v>192039.36</v>
      </c>
      <c r="N5338" s="27">
        <v>0.15221896521278475</v>
      </c>
    </row>
    <row r="5339" spans="1:14" hidden="1" outlineLevel="1" x14ac:dyDescent="0.2">
      <c r="A5339" s="23" t="str">
        <f t="shared" si="106"/>
        <v>ГБУЗ АО "ЦМП"</v>
      </c>
      <c r="B5339" s="24" t="s">
        <v>8270</v>
      </c>
      <c r="C5339" s="25">
        <v>226520</v>
      </c>
      <c r="D5339" s="22" t="s">
        <v>8271</v>
      </c>
      <c r="E5339" s="22" t="s">
        <v>1807</v>
      </c>
      <c r="F5339" s="23" t="str">
        <f t="shared" si="107"/>
        <v>Оказание услуги по изготовлению полиграфической продукции (буклеты, евробуклеты, еврофлаеры, брошюры)</v>
      </c>
      <c r="G5339" s="22" t="s">
        <v>141</v>
      </c>
      <c r="H5339" s="22" t="s">
        <v>2201</v>
      </c>
      <c r="I5339" s="26">
        <v>43705.512835648202</v>
      </c>
      <c r="J5339" s="23" t="str">
        <f>HYPERLINK("https://www.spark-marketing.ru/Card/Person/277257", "ООО ""ТИПОГРАФИЯ ""НОВА""")</f>
        <v>ООО "ТИПОГРАФИЯ "НОВА"</v>
      </c>
      <c r="K5339" s="24" t="s">
        <v>8276</v>
      </c>
      <c r="L5339" s="28" t="s">
        <v>51</v>
      </c>
      <c r="M5339" s="25">
        <v>171170.04</v>
      </c>
      <c r="N5339" s="27">
        <v>0.24434910824651246</v>
      </c>
    </row>
    <row r="5340" spans="1:14" hidden="1" outlineLevel="1" x14ac:dyDescent="0.2">
      <c r="A5340" s="23" t="str">
        <f t="shared" si="106"/>
        <v>ГБУЗ АО "ЦМП"</v>
      </c>
      <c r="B5340" s="24" t="s">
        <v>8270</v>
      </c>
      <c r="C5340" s="25">
        <v>226520</v>
      </c>
      <c r="D5340" s="22" t="s">
        <v>8271</v>
      </c>
      <c r="E5340" s="22" t="s">
        <v>1807</v>
      </c>
      <c r="F5340" s="23" t="str">
        <f t="shared" si="107"/>
        <v>Оказание услуги по изготовлению полиграфической продукции (буклеты, евробуклеты, еврофлаеры, брошюры)</v>
      </c>
      <c r="G5340" s="22" t="s">
        <v>141</v>
      </c>
      <c r="H5340" s="22" t="s">
        <v>2201</v>
      </c>
      <c r="I5340" s="26">
        <v>43705.512835648202</v>
      </c>
      <c r="J5340" s="23" t="str">
        <f>HYPERLINK("https://www.spark-marketing.ru/Card/Person/6457633", "Бровицкая Диана Владимировна")</f>
        <v>Бровицкая Диана Владимировна</v>
      </c>
      <c r="K5340" s="24" t="s">
        <v>8277</v>
      </c>
      <c r="L5340" s="28" t="s">
        <v>51</v>
      </c>
      <c r="M5340" s="25">
        <v>224254.8</v>
      </c>
      <c r="N5340" s="27">
        <v>0.01</v>
      </c>
    </row>
    <row r="5341" spans="1:14" ht="12.75" x14ac:dyDescent="0.2">
      <c r="A5341" s="23" t="str">
        <f>HYPERLINK("https://www.spark-marketing.ru/Card/Person/538247", "МОМВД РОССИИ ""ЗНАМЕНСКИЙ""")</f>
        <v>МОМВД РОССИИ "ЗНАМЕНСКИЙ"</v>
      </c>
      <c r="B5341" s="24" t="s">
        <v>6252</v>
      </c>
      <c r="C5341" s="25">
        <v>348000</v>
      </c>
      <c r="D5341" s="22" t="s">
        <v>8278</v>
      </c>
      <c r="E5341" s="22" t="s">
        <v>48</v>
      </c>
      <c r="F5341" s="23" t="str">
        <f>HYPERLINK("https://www.spark-marketing.ru/Card/Lot/73086433", "Оказание услуг по приготовлению и поставке питания для лиц содержащихся в ИВС и СПЗЛ МОМВД России ""Знаменский""")</f>
        <v>Оказание услуг по приготовлению и поставке питания для лиц содержащихся в ИВС и СПЗЛ МОМВД России "Знаменский"</v>
      </c>
      <c r="G5341" s="22" t="s">
        <v>1370</v>
      </c>
      <c r="H5341" s="22" t="s">
        <v>6254</v>
      </c>
      <c r="I5341" s="26">
        <v>43705.604085648098</v>
      </c>
      <c r="J5341" s="23" t="str">
        <f>HYPERLINK("https://www.spark-marketing.ru/Card/Person/6553501", "Шефлер Павел Николаевич")</f>
        <v>Шефлер Павел Николаевич</v>
      </c>
      <c r="K5341" s="24" t="s">
        <v>6255</v>
      </c>
      <c r="L5341" s="22" t="s">
        <v>10</v>
      </c>
      <c r="M5341" s="25">
        <v>348000</v>
      </c>
      <c r="N5341" s="27">
        <v>0</v>
      </c>
    </row>
    <row r="5342" spans="1:14" x14ac:dyDescent="0.15">
      <c r="A5342" s="23" t="str">
        <f>HYPERLINK("https://www.spark-marketing.ru/Card/Person/9315", "МУ МВД РОССИИ ""ОРЕНБУРГСКОЕ""")</f>
        <v>МУ МВД РОССИИ "ОРЕНБУРГСКОЕ"</v>
      </c>
      <c r="B5342" s="24" t="s">
        <v>8227</v>
      </c>
      <c r="C5342" s="25">
        <v>1325000</v>
      </c>
      <c r="D5342" s="22" t="s">
        <v>8279</v>
      </c>
      <c r="E5342" s="22" t="s">
        <v>48</v>
      </c>
      <c r="F5342" s="23" t="str">
        <f>HYPERLINK("https://www.spark-marketing.ru/Card/Lot/73093185", "Оказание услуг  по предоставлению горячего, готового  трехразового питания для лиц, содержащихся  в Специальном приемнике для содержания лиц подвергнутых административному аресту , а также административному задержанию МУ МВД России ""Оренбургское""")</f>
        <v>Оказание услуг  по предоставлению горячего, готового  трехразового питания для лиц, содержащихся  в Специальном приемнике для содержания лиц подвергнутых административному аресту , а также административному задержанию МУ МВД России "Оренбургское"</v>
      </c>
      <c r="G5342" s="22" t="s">
        <v>132</v>
      </c>
      <c r="H5342" s="22" t="s">
        <v>587</v>
      </c>
      <c r="I5342" s="26">
        <v>43705.660034722197</v>
      </c>
      <c r="J5342" s="23" t="str">
        <f>HYPERLINK("https://www.spark-marketing.ru/Card/Person/415003", "ООО ""ПИТАНИЕ""")</f>
        <v>ООО "ПИТАНИЕ"</v>
      </c>
      <c r="K5342" s="24" t="s">
        <v>2714</v>
      </c>
      <c r="L5342" s="22" t="s">
        <v>10</v>
      </c>
      <c r="M5342" s="28" t="s">
        <v>51</v>
      </c>
      <c r="N5342" s="28" t="s">
        <v>51</v>
      </c>
    </row>
    <row r="5343" spans="1:14" x14ac:dyDescent="0.15">
      <c r="A5343" s="23" t="str">
        <f>HYPERLINK("https://www.spark-marketing.ru/Card/Person/3667", "УПРАВЛЕНИЕ МВД РОССИИ ПО ГОРОДУ НОВОСИБИРСКУ")</f>
        <v>УПРАВЛЕНИЕ МВД РОССИИ ПО ГОРОДУ НОВОСИБИРСКУ</v>
      </c>
      <c r="B5343" s="24" t="s">
        <v>8280</v>
      </c>
      <c r="C5343" s="25">
        <v>13482063.699999999</v>
      </c>
      <c r="D5343" s="22" t="s">
        <v>8281</v>
      </c>
      <c r="E5343" s="22" t="s">
        <v>48</v>
      </c>
      <c r="F5343" s="23" t="str">
        <f>HYPERLINK("https://www.spark-marketing.ru/Card/Lot/73082995", "Оказание услуг по организации ежедневным трехразовым горячим питанием лиц, содержащихся в изоляторе временного содержания подозреваемых и обвиняемых Управления МВД России по городу Новосибирску, лиц, содержащихся в Специальном приемнике для содержани...")</f>
        <v>Оказание услуг по организации ежедневным трехразовым горячим питанием лиц, содержащихся в изоляторе временного содержания подозреваемых и обвиняемых Управления МВД России по городу Новосибирску, лиц, содержащихся в Специальном приемнике для содержани...</v>
      </c>
      <c r="G5343" s="22" t="s">
        <v>195</v>
      </c>
      <c r="H5343" s="22" t="s">
        <v>196</v>
      </c>
      <c r="I5343" s="26">
        <v>43705.628101851798</v>
      </c>
      <c r="J5343" s="28" t="s">
        <v>51</v>
      </c>
      <c r="K5343" s="28" t="s">
        <v>51</v>
      </c>
      <c r="L5343" s="28" t="s">
        <v>51</v>
      </c>
      <c r="M5343" s="28" t="s">
        <v>51</v>
      </c>
      <c r="N5343" s="28" t="s">
        <v>51</v>
      </c>
    </row>
    <row r="5344" spans="1:14" hidden="1" outlineLevel="1" x14ac:dyDescent="0.2">
      <c r="A5344" s="23" t="str">
        <f>HYPERLINK("https://www.spark-marketing.ru/Card/Person/3667", "УПРАВЛЕНИЕ МВД РОССИИ ПО ГОРОДУ НОВОСИБИРСКУ")</f>
        <v>УПРАВЛЕНИЕ МВД РОССИИ ПО ГОРОДУ НОВОСИБИРСКУ</v>
      </c>
      <c r="B5344" s="24" t="s">
        <v>8280</v>
      </c>
      <c r="C5344" s="25">
        <v>13482063.699999999</v>
      </c>
      <c r="D5344" s="22" t="s">
        <v>8281</v>
      </c>
      <c r="E5344" s="22" t="s">
        <v>48</v>
      </c>
      <c r="F5344" s="23" t="str">
        <f>HYPERLINK("https://www.spark-marketing.ru/Card/Lot/73082995", "Оказание услуг по организации ежедневным трехразовым горячим питанием лиц, содержащихся в изоляторе временного содержания подозреваемых и обвиняемых Управления МВД России по городу Новосибирску, лиц, содержащихся в Специальном приемнике для содержани...")</f>
        <v>Оказание услуг по организации ежедневным трехразовым горячим питанием лиц, содержащихся в изоляторе временного содержания подозреваемых и обвиняемых Управления МВД России по городу Новосибирску, лиц, содержащихся в Специальном приемнике для содержани...</v>
      </c>
      <c r="G5344" s="22" t="s">
        <v>195</v>
      </c>
      <c r="H5344" s="22" t="s">
        <v>196</v>
      </c>
      <c r="I5344" s="26">
        <v>43705.628101851798</v>
      </c>
      <c r="J5344" s="23" t="str">
        <f>HYPERLINK("https://www.spark-marketing.ru/Card/Person/372933", "Кобыленко София Константиновна")</f>
        <v>Кобыленко София Константиновна</v>
      </c>
      <c r="K5344" s="24" t="s">
        <v>8282</v>
      </c>
      <c r="L5344" s="28" t="s">
        <v>51</v>
      </c>
      <c r="M5344" s="25">
        <v>13347243.060000001</v>
      </c>
      <c r="N5344" s="27">
        <v>1.0000000222517862E-2</v>
      </c>
    </row>
    <row r="5345" spans="1:14" ht="12.75" hidden="1" outlineLevel="1" x14ac:dyDescent="0.2">
      <c r="A5345" s="23" t="str">
        <f>HYPERLINK("https://www.spark-marketing.ru/Card/Person/3667", "УПРАВЛЕНИЕ МВД РОССИИ ПО ГОРОДУ НОВОСИБИРСКУ")</f>
        <v>УПРАВЛЕНИЕ МВД РОССИИ ПО ГОРОДУ НОВОСИБИРСКУ</v>
      </c>
      <c r="B5345" s="24" t="s">
        <v>8280</v>
      </c>
      <c r="C5345" s="25">
        <v>13482063.699999999</v>
      </c>
      <c r="D5345" s="22" t="s">
        <v>8281</v>
      </c>
      <c r="E5345" s="22" t="s">
        <v>48</v>
      </c>
      <c r="F5345" s="23" t="str">
        <f>HYPERLINK("https://www.spark-marketing.ru/Card/Lot/73082995", "Оказание услуг по организации ежедневным трехразовым горячим питанием лиц, содержащихся в изоляторе временного содержания подозреваемых и обвиняемых Управления МВД России по городу Новосибирску, лиц, содержащихся в Специальном приемнике для содержани...")</f>
        <v>Оказание услуг по организации ежедневным трехразовым горячим питанием лиц, содержащихся в изоляторе временного содержания подозреваемых и обвиняемых Управления МВД России по городу Новосибирску, лиц, содержащихся в Специальном приемнике для содержани...</v>
      </c>
      <c r="G5345" s="22" t="s">
        <v>195</v>
      </c>
      <c r="H5345" s="22" t="s">
        <v>196</v>
      </c>
      <c r="I5345" s="26">
        <v>43705.628101851798</v>
      </c>
      <c r="J5345" s="23" t="str">
        <f>HYPERLINK("https://www.spark-marketing.ru/Card/Person/53779", "ООО ""АЛЛЕГРО БП""")</f>
        <v>ООО "АЛЛЕГРО БП"</v>
      </c>
      <c r="K5345" s="24" t="s">
        <v>2937</v>
      </c>
      <c r="L5345" s="22" t="s">
        <v>10</v>
      </c>
      <c r="M5345" s="25">
        <v>13275000</v>
      </c>
      <c r="N5345" s="27">
        <v>1.5358457325787594E-2</v>
      </c>
    </row>
    <row r="5346" spans="1:14" hidden="1" outlineLevel="1" x14ac:dyDescent="0.2">
      <c r="A5346" s="23" t="str">
        <f>HYPERLINK("https://www.spark-marketing.ru/Card/Person/3667", "УПРАВЛЕНИЕ МВД РОССИИ ПО ГОРОДУ НОВОСИБИРСКУ")</f>
        <v>УПРАВЛЕНИЕ МВД РОССИИ ПО ГОРОДУ НОВОСИБИРСКУ</v>
      </c>
      <c r="B5346" s="24" t="s">
        <v>8280</v>
      </c>
      <c r="C5346" s="25">
        <v>13482063.699999999</v>
      </c>
      <c r="D5346" s="22" t="s">
        <v>8281</v>
      </c>
      <c r="E5346" s="22" t="s">
        <v>48</v>
      </c>
      <c r="F5346" s="23" t="str">
        <f>HYPERLINK("https://www.spark-marketing.ru/Card/Lot/73082995", "Оказание услуг по организации ежедневным трехразовым горячим питанием лиц, содержащихся в изоляторе временного содержания подозреваемых и обвиняемых Управления МВД России по городу Новосибирску, лиц, содержащихся в Специальном приемнике для содержани...")</f>
        <v>Оказание услуг по организации ежедневным трехразовым горячим питанием лиц, содержащихся в изоляторе временного содержания подозреваемых и обвиняемых Управления МВД России по городу Новосибирску, лиц, содержащихся в Специальном приемнике для содержани...</v>
      </c>
      <c r="G5346" s="22" t="s">
        <v>195</v>
      </c>
      <c r="H5346" s="22" t="s">
        <v>196</v>
      </c>
      <c r="I5346" s="26">
        <v>43705.628101851798</v>
      </c>
      <c r="J5346" s="23" t="str">
        <f>HYPERLINK("https://www.spark-marketing.ru/Card/Person/6494179", "Квасов Андрей Васильевич")</f>
        <v>Квасов Андрей Васильевич</v>
      </c>
      <c r="K5346" s="24" t="s">
        <v>4083</v>
      </c>
      <c r="L5346" s="28" t="s">
        <v>51</v>
      </c>
      <c r="M5346" s="25">
        <v>13414653.380000001</v>
      </c>
      <c r="N5346" s="27">
        <v>5.000000111258931E-3</v>
      </c>
    </row>
    <row r="5347" spans="1:14" x14ac:dyDescent="0.15">
      <c r="A5347" s="23" t="str">
        <f>HYPERLINK("https://www.spark-marketing.ru/Card/Person/737290", "ГКУ «ЦБЗ ПРИ МИНЗДРАВЕ КАРЕЛИИ»")</f>
        <v>ГКУ «ЦБЗ ПРИ МИНЗДРАВЕ КАРЕЛИИ»</v>
      </c>
      <c r="B5347" s="24" t="s">
        <v>312</v>
      </c>
      <c r="C5347" s="25">
        <v>180981</v>
      </c>
      <c r="D5347" s="22" t="s">
        <v>8283</v>
      </c>
      <c r="E5347" s="22" t="s">
        <v>52</v>
      </c>
      <c r="F5347" s="23" t="str">
        <f>HYPERLINK("https://www.spark-marketing.ru/Card/Lot/73089064", "Поставка лекарственного препарата Омепразол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рецеп...")</f>
        <v>Поставка лекарственного препарата Омепразол 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</v>
      </c>
      <c r="G5347" s="22" t="s">
        <v>59</v>
      </c>
      <c r="H5347" s="22" t="s">
        <v>314</v>
      </c>
      <c r="I5347" s="26">
        <v>43705.635833333297</v>
      </c>
      <c r="J5347" s="28" t="s">
        <v>51</v>
      </c>
      <c r="K5347" s="28" t="s">
        <v>51</v>
      </c>
      <c r="L5347" s="28" t="s">
        <v>51</v>
      </c>
      <c r="M5347" s="28" t="s">
        <v>51</v>
      </c>
      <c r="N5347" s="28" t="s">
        <v>51</v>
      </c>
    </row>
    <row r="5348" spans="1:14" x14ac:dyDescent="0.15">
      <c r="A5348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5348" s="24" t="s">
        <v>5772</v>
      </c>
      <c r="C5348" s="25">
        <v>380000</v>
      </c>
      <c r="D5348" s="22" t="s">
        <v>8284</v>
      </c>
      <c r="E5348" s="22" t="s">
        <v>48</v>
      </c>
      <c r="F5348" s="23" t="str">
        <f>HYPERLINK("https://www.spark-marketing.ru/Card/Lot/73084075", "Питание в ИВС")</f>
        <v>Питание в ИВС</v>
      </c>
      <c r="G5348" s="22" t="s">
        <v>351</v>
      </c>
      <c r="H5348" s="22" t="s">
        <v>5779</v>
      </c>
      <c r="I5348" s="26">
        <v>43705.486388888901</v>
      </c>
      <c r="J5348" s="28" t="s">
        <v>51</v>
      </c>
      <c r="K5348" s="28" t="s">
        <v>51</v>
      </c>
      <c r="L5348" s="28" t="s">
        <v>51</v>
      </c>
      <c r="M5348" s="28" t="s">
        <v>51</v>
      </c>
      <c r="N5348" s="28" t="s">
        <v>51</v>
      </c>
    </row>
    <row r="5349" spans="1:14" x14ac:dyDescent="0.15">
      <c r="A5349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5349" s="24" t="s">
        <v>5772</v>
      </c>
      <c r="C5349" s="25">
        <v>250000</v>
      </c>
      <c r="D5349" s="22" t="s">
        <v>8285</v>
      </c>
      <c r="E5349" s="22" t="s">
        <v>48</v>
      </c>
      <c r="F5349" s="23" t="str">
        <f>HYPERLINK("https://www.spark-marketing.ru/Card/Lot/73084127", "Питание в ИВС")</f>
        <v>Питание в ИВС</v>
      </c>
      <c r="G5349" s="22" t="s">
        <v>351</v>
      </c>
      <c r="H5349" s="22" t="s">
        <v>5784</v>
      </c>
      <c r="I5349" s="26">
        <v>43705.498356481497</v>
      </c>
      <c r="J5349" s="28" t="s">
        <v>51</v>
      </c>
      <c r="K5349" s="28" t="s">
        <v>51</v>
      </c>
      <c r="L5349" s="28" t="s">
        <v>51</v>
      </c>
      <c r="M5349" s="28" t="s">
        <v>51</v>
      </c>
      <c r="N5349" s="28" t="s">
        <v>51</v>
      </c>
    </row>
    <row r="5350" spans="1:14" x14ac:dyDescent="0.15">
      <c r="A5350" s="23" t="str">
        <f>HYPERLINK("https://www.spark-marketing.ru/Card/Person/88926", "УМВД РОССИИ ПО Г. ХАБАРОВСКУ")</f>
        <v>УМВД РОССИИ ПО Г. ХАБАРОВСКУ</v>
      </c>
      <c r="B5350" s="24" t="s">
        <v>4099</v>
      </c>
      <c r="C5350" s="25">
        <v>870914.08</v>
      </c>
      <c r="D5350" s="22" t="s">
        <v>8286</v>
      </c>
      <c r="E5350" s="22" t="s">
        <v>96</v>
      </c>
      <c r="F5350" s="23" t="str">
        <f>HYPERLINK("https://www.spark-marketing.ru/Card/Lot/73069911", "Оказание услуг по организации питания граждан, находящихся в изоляторе временного содержания подозреваемых и обвиняемых УМВД России по г.Хабаровску")</f>
        <v>Оказание услуг по организации питания граждан, находящихся в изоляторе временного содержания подозреваемых и обвиняемых УМВД России по г.Хабаровску</v>
      </c>
      <c r="G5350" s="22" t="s">
        <v>1096</v>
      </c>
      <c r="H5350" s="22" t="s">
        <v>1097</v>
      </c>
      <c r="I5350" s="26">
        <v>43704.635567129597</v>
      </c>
      <c r="J5350" s="23" t="str">
        <f>HYPERLINK("https://www.spark-marketing.ru/Card/Person/4349415", "ООО ""РОКОС""")</f>
        <v>ООО "РОКОС"</v>
      </c>
      <c r="K5350" s="24" t="s">
        <v>4101</v>
      </c>
      <c r="L5350" s="22" t="s">
        <v>10</v>
      </c>
      <c r="M5350" s="28" t="s">
        <v>51</v>
      </c>
      <c r="N5350" s="28" t="s">
        <v>51</v>
      </c>
    </row>
    <row r="5351" spans="1:14" x14ac:dyDescent="0.15">
      <c r="A5351" s="23" t="str">
        <f>HYPERLINK("https://www.spark-marketing.ru/Card/Person/61113", "ГУ МВД РОССИИ ПО ВОЛГОГРАДСКОЙ ОБЛАСТИ")</f>
        <v>ГУ МВД РОССИИ ПО ВОЛГОГРАДСКОЙ ОБЛАСТИ</v>
      </c>
      <c r="B5351" s="24" t="s">
        <v>8287</v>
      </c>
      <c r="C5351" s="25">
        <v>885000</v>
      </c>
      <c r="D5351" s="22" t="s">
        <v>8288</v>
      </c>
      <c r="E5351" s="22" t="s">
        <v>96</v>
      </c>
      <c r="F5351" s="23" t="str">
        <f>HYPERLINK("https://www.spark-marketing.ru/Card/Lot/73091256", "Оказание услуг по обеспечению пятиразовым питанием (горячим) несовершеннолетних, содержащихся в Центре временного содержания для несовершеннолетних правонарушителей ГУ МВД России по Волгоградской области, в 2021 году (для субъектов малого предпринима...")</f>
        <v>Оказание услуг по обеспечению пятиразовым питанием (горячим) несовершеннолетних, содержащихся в Центре временного содержания для несовершеннолетних правонарушителей ГУ МВД России по Волгоградской области, в 2021 году (для субъектов малого предпринима...</v>
      </c>
      <c r="G5351" s="22" t="s">
        <v>158</v>
      </c>
      <c r="H5351" s="22" t="s">
        <v>171</v>
      </c>
      <c r="I5351" s="26">
        <v>43705.570196759298</v>
      </c>
      <c r="J5351" s="28" t="s">
        <v>51</v>
      </c>
      <c r="K5351" s="28" t="s">
        <v>51</v>
      </c>
      <c r="L5351" s="28" t="s">
        <v>51</v>
      </c>
      <c r="M5351" s="28" t="s">
        <v>51</v>
      </c>
      <c r="N5351" s="28" t="s">
        <v>51</v>
      </c>
    </row>
    <row r="5352" spans="1:14" ht="12.75" hidden="1" outlineLevel="1" x14ac:dyDescent="0.2">
      <c r="A5352" s="23" t="str">
        <f>HYPERLINK("https://www.spark-marketing.ru/Card/Person/61113", "ГУ МВД РОССИИ ПО ВОЛГОГРАДСКОЙ ОБЛАСТИ")</f>
        <v>ГУ МВД РОССИИ ПО ВОЛГОГРАДСКОЙ ОБЛАСТИ</v>
      </c>
      <c r="B5352" s="24" t="s">
        <v>8287</v>
      </c>
      <c r="C5352" s="25">
        <v>885000</v>
      </c>
      <c r="D5352" s="22" t="s">
        <v>8288</v>
      </c>
      <c r="E5352" s="22" t="s">
        <v>96</v>
      </c>
      <c r="F5352" s="23" t="str">
        <f>HYPERLINK("https://www.spark-marketing.ru/Card/Lot/73091256", "Оказание услуг по обеспечению пятиразовым питанием (горячим) несовершеннолетних, содержащихся в Центре временного содержания для несовершеннолетних правонарушителей ГУ МВД России по Волгоградской области, в 2021 году (для субъектов малого предпринима...")</f>
        <v>Оказание услуг по обеспечению пятиразовым питанием (горячим) несовершеннолетних, содержащихся в Центре временного содержания для несовершеннолетних правонарушителей ГУ МВД России по Волгоградской области, в 2021 году (для субъектов малого предпринима...</v>
      </c>
      <c r="G5352" s="22" t="s">
        <v>158</v>
      </c>
      <c r="H5352" s="22" t="s">
        <v>171</v>
      </c>
      <c r="I5352" s="26">
        <v>43705.570196759298</v>
      </c>
      <c r="J5352" s="23" t="str">
        <f>HYPERLINK("https://www.spark-marketing.ru/Card/Person/6059347", "Цуцунава Владимир Степанович")</f>
        <v>Цуцунава Владимир Степанович</v>
      </c>
      <c r="K5352" s="24" t="s">
        <v>5859</v>
      </c>
      <c r="L5352" s="22" t="s">
        <v>10</v>
      </c>
      <c r="M5352" s="25">
        <v>250.03</v>
      </c>
      <c r="N5352" s="27">
        <v>0.99971748022598872</v>
      </c>
    </row>
    <row r="5353" spans="1:14" hidden="1" outlineLevel="1" x14ac:dyDescent="0.2">
      <c r="A5353" s="23" t="str">
        <f>HYPERLINK("https://www.spark-marketing.ru/Card/Person/61113", "ГУ МВД РОССИИ ПО ВОЛГОГРАДСКОЙ ОБЛАСТИ")</f>
        <v>ГУ МВД РОССИИ ПО ВОЛГОГРАДСКОЙ ОБЛАСТИ</v>
      </c>
      <c r="B5353" s="24" t="s">
        <v>8287</v>
      </c>
      <c r="C5353" s="25">
        <v>885000</v>
      </c>
      <c r="D5353" s="22" t="s">
        <v>8288</v>
      </c>
      <c r="E5353" s="22" t="s">
        <v>96</v>
      </c>
      <c r="F5353" s="23" t="str">
        <f>HYPERLINK("https://www.spark-marketing.ru/Card/Lot/73091256", "Оказание услуг по обеспечению пятиразовым питанием (горячим) несовершеннолетних, содержащихся в Центре временного содержания для несовершеннолетних правонарушителей ГУ МВД России по Волгоградской области, в 2021 году (для субъектов малого предпринима...")</f>
        <v>Оказание услуг по обеспечению пятиразовым питанием (горячим) несовершеннолетних, содержащихся в Центре временного содержания для несовершеннолетних правонарушителей ГУ МВД России по Волгоградской области, в 2021 году (для субъектов малого предпринима...</v>
      </c>
      <c r="G5353" s="22" t="s">
        <v>158</v>
      </c>
      <c r="H5353" s="22" t="s">
        <v>171</v>
      </c>
      <c r="I5353" s="26">
        <v>43705.570196759298</v>
      </c>
      <c r="J5353" s="23" t="str">
        <f>HYPERLINK("https://www.spark-marketing.ru/Card/Person/56423", "ООО ""ВОЛГАСЕРВИСПРОДУКТ""")</f>
        <v>ООО "ВОЛГАСЕРВИСПРОДУКТ"</v>
      </c>
      <c r="K5353" s="24" t="s">
        <v>3035</v>
      </c>
      <c r="L5353" s="28" t="s">
        <v>51</v>
      </c>
      <c r="M5353" s="25">
        <v>274.35000000000002</v>
      </c>
      <c r="N5353" s="27">
        <v>0.99968999999999997</v>
      </c>
    </row>
    <row r="5354" spans="1:14" x14ac:dyDescent="0.15">
      <c r="A5354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5354" s="24" t="s">
        <v>5772</v>
      </c>
      <c r="C5354" s="25">
        <v>437540</v>
      </c>
      <c r="D5354" s="22" t="s">
        <v>8289</v>
      </c>
      <c r="E5354" s="22" t="s">
        <v>48</v>
      </c>
      <c r="F5354" s="23" t="str">
        <f>HYPERLINK("https://www.spark-marketing.ru/Card/Lot/73083975", "Питание в спецприемниках")</f>
        <v>Питание в спецприемниках</v>
      </c>
      <c r="G5354" s="22" t="s">
        <v>351</v>
      </c>
      <c r="H5354" s="22" t="s">
        <v>5779</v>
      </c>
      <c r="I5354" s="26">
        <v>43705.459166666697</v>
      </c>
      <c r="J5354" s="28" t="s">
        <v>51</v>
      </c>
      <c r="K5354" s="28" t="s">
        <v>51</v>
      </c>
      <c r="L5354" s="28" t="s">
        <v>51</v>
      </c>
      <c r="M5354" s="28" t="s">
        <v>51</v>
      </c>
      <c r="N5354" s="28" t="s">
        <v>51</v>
      </c>
    </row>
    <row r="5355" spans="1:14" x14ac:dyDescent="0.15">
      <c r="A5355" s="23" t="str">
        <f>HYPERLINK("https://www.spark-marketing.ru/Card/Person/4344603", "ПРАВИТЕЛЬСТВО АМУРСКОЙ ОБЛАСТИ")</f>
        <v>ПРАВИТЕЛЬСТВО АМУРСКОЙ ОБЛАСТИ</v>
      </c>
      <c r="B5355" s="24" t="s">
        <v>8290</v>
      </c>
      <c r="C5355" s="25">
        <v>120000</v>
      </c>
      <c r="D5355" s="22" t="s">
        <v>8291</v>
      </c>
      <c r="E5355" s="22" t="s">
        <v>96</v>
      </c>
      <c r="F5355" s="23" t="str">
        <f>HYPERLINK("https://www.spark-marketing.ru/Card/Lot/73070720", "Оказание услуг по организации питания и буфетному обслуживанию")</f>
        <v>Оказание услуг по организации питания и буфетному обслуживанию</v>
      </c>
      <c r="G5355" s="22" t="s">
        <v>210</v>
      </c>
      <c r="H5355" s="22" t="s">
        <v>3257</v>
      </c>
      <c r="I5355" s="26">
        <v>43705.513935185198</v>
      </c>
      <c r="J5355" s="23" t="str">
        <f>HYPERLINK("https://www.spark-marketing.ru/Card/Person/304394", "КП АО ""АМУРСКИЙ КОМБИНАТ""")</f>
        <v>КП АО "АМУРСКИЙ КОМБИНАТ"</v>
      </c>
      <c r="K5355" s="24" t="s">
        <v>8292</v>
      </c>
      <c r="L5355" s="22" t="s">
        <v>10</v>
      </c>
      <c r="M5355" s="28" t="s">
        <v>51</v>
      </c>
      <c r="N5355" s="28" t="s">
        <v>51</v>
      </c>
    </row>
    <row r="5356" spans="1:14" x14ac:dyDescent="0.15">
      <c r="A5356" s="23" t="str">
        <f>HYPERLINK("https://www.spark-marketing.ru/Card/Person/29715", "ОГКУ ""УПРАВЛЕНИЕ ГОЧС БЕЛГОРОДСКОЙ ОБЛАСТИ""")</f>
        <v>ОГКУ "УПРАВЛЕНИЕ ГОЧС БЕЛГОРОДСКОЙ ОБЛАСТИ"</v>
      </c>
      <c r="B5356" s="24" t="s">
        <v>8293</v>
      </c>
      <c r="C5356" s="25">
        <v>9300000</v>
      </c>
      <c r="D5356" s="22" t="s">
        <v>8294</v>
      </c>
      <c r="E5356" s="22" t="s">
        <v>2719</v>
      </c>
      <c r="F5356" s="23" t="str">
        <f>HYPERLINK("https://www.spark-marketing.ru/Card/Lot/73094215", "Поставка оборудования для создания единого центра оперативного реагирования в составе аппаратно-программного комплекса «Безопасный город» в пилотном муниципальном образовании городской округ город Белгород и оказание сопутствующих услуг.")</f>
        <v>Поставка оборудования для создания единого центра оперативного реагирования в составе аппаратно-программного комплекса «Безопасный город» в пилотном муниципальном образовании городской округ город Белгород и оказание сопутствующих услуг.</v>
      </c>
      <c r="G5356" s="22" t="s">
        <v>696</v>
      </c>
      <c r="H5356" s="22" t="s">
        <v>1163</v>
      </c>
      <c r="I5356" s="26">
        <v>43705.47</v>
      </c>
      <c r="J5356" s="23" t="str">
        <f>HYPERLINK("https://www.spark-marketing.ru/Card/Person/4350616", "ООО ДВ ЦКБ ""СПАЙДЕР""")</f>
        <v>ООО ДВ ЦКБ "СПАЙДЕР"</v>
      </c>
      <c r="K5356" s="24" t="s">
        <v>8295</v>
      </c>
      <c r="L5356" s="22" t="s">
        <v>10</v>
      </c>
      <c r="M5356" s="28" t="s">
        <v>51</v>
      </c>
      <c r="N5356" s="28" t="s">
        <v>51</v>
      </c>
    </row>
    <row r="5357" spans="1:14" x14ac:dyDescent="0.15">
      <c r="A5357" s="23" t="str">
        <f>HYPERLINK("https://www.spark-marketing.ru/Card/Person/158376", "ОМВД РОССИИ ПО Г. НОВОЧЕБОКСАРСК")</f>
        <v>ОМВД РОССИИ ПО Г. НОВОЧЕБОКСАРСК</v>
      </c>
      <c r="B5357" s="24" t="s">
        <v>7410</v>
      </c>
      <c r="C5357" s="25">
        <v>800000</v>
      </c>
      <c r="D5357" s="22" t="s">
        <v>8296</v>
      </c>
      <c r="E5357" s="22" t="s">
        <v>48</v>
      </c>
      <c r="F5357" s="23" t="str">
        <f>HYPERLINK("https://www.spark-marketing.ru/Card/Lot/73091209", "Услуги по обеспечению горячим питанием лиц содержащихся в ИВС и КЗЛ")</f>
        <v>Услуги по обеспечению горячим питанием лиц содержащихся в ИВС и КЗЛ</v>
      </c>
      <c r="G5357" s="22" t="s">
        <v>618</v>
      </c>
      <c r="H5357" s="22" t="s">
        <v>7412</v>
      </c>
      <c r="I5357" s="26">
        <v>43705.366863425901</v>
      </c>
      <c r="J5357" s="28" t="s">
        <v>51</v>
      </c>
      <c r="K5357" s="28" t="s">
        <v>51</v>
      </c>
      <c r="L5357" s="28" t="s">
        <v>51</v>
      </c>
      <c r="M5357" s="28" t="s">
        <v>51</v>
      </c>
      <c r="N5357" s="28" t="s">
        <v>51</v>
      </c>
    </row>
    <row r="5358" spans="1:14" hidden="1" outlineLevel="1" x14ac:dyDescent="0.2">
      <c r="A5358" s="23" t="str">
        <f>HYPERLINK("https://www.spark-marketing.ru/Card/Person/158376", "ОМВД РОССИИ ПО Г. НОВОЧЕБОКСАРСК")</f>
        <v>ОМВД РОССИИ ПО Г. НОВОЧЕБОКСАРСК</v>
      </c>
      <c r="B5358" s="24" t="s">
        <v>7410</v>
      </c>
      <c r="C5358" s="25">
        <v>800000</v>
      </c>
      <c r="D5358" s="22" t="s">
        <v>8296</v>
      </c>
      <c r="E5358" s="22" t="s">
        <v>48</v>
      </c>
      <c r="F5358" s="23" t="str">
        <f>HYPERLINK("https://www.spark-marketing.ru/Card/Lot/73091209", "Услуги по обеспечению горячим питанием лиц содержащихся в ИВС и КЗЛ")</f>
        <v>Услуги по обеспечению горячим питанием лиц содержащихся в ИВС и КЗЛ</v>
      </c>
      <c r="G5358" s="22" t="s">
        <v>618</v>
      </c>
      <c r="H5358" s="22" t="s">
        <v>7412</v>
      </c>
      <c r="I5358" s="26">
        <v>43705.366863425901</v>
      </c>
      <c r="J5358" s="23" t="str">
        <f>HYPERLINK("https://www.spark-marketing.ru/Card/Person/449724", "ООО ""СТОЛОВАЯ № 2""")</f>
        <v>ООО "СТОЛОВАЯ № 2"</v>
      </c>
      <c r="K5358" s="24" t="s">
        <v>7413</v>
      </c>
      <c r="L5358" s="28" t="s">
        <v>51</v>
      </c>
      <c r="M5358" s="25">
        <v>1317.84</v>
      </c>
      <c r="N5358" s="27">
        <v>0.99835269999999998</v>
      </c>
    </row>
    <row r="5359" spans="1:14" ht="12.75" hidden="1" outlineLevel="1" x14ac:dyDescent="0.2">
      <c r="A5359" s="23" t="str">
        <f>HYPERLINK("https://www.spark-marketing.ru/Card/Person/158376", "ОМВД РОССИИ ПО Г. НОВОЧЕБОКСАРСК")</f>
        <v>ОМВД РОССИИ ПО Г. НОВОЧЕБОКСАРСК</v>
      </c>
      <c r="B5359" s="24" t="s">
        <v>7410</v>
      </c>
      <c r="C5359" s="25">
        <v>800000</v>
      </c>
      <c r="D5359" s="22" t="s">
        <v>8296</v>
      </c>
      <c r="E5359" s="22" t="s">
        <v>48</v>
      </c>
      <c r="F5359" s="23" t="str">
        <f>HYPERLINK("https://www.spark-marketing.ru/Card/Lot/73091209", "Услуги по обеспечению горячим питанием лиц содержащихся в ИВС и КЗЛ")</f>
        <v>Услуги по обеспечению горячим питанием лиц содержащихся в ИВС и КЗЛ</v>
      </c>
      <c r="G5359" s="22" t="s">
        <v>618</v>
      </c>
      <c r="H5359" s="22" t="s">
        <v>7412</v>
      </c>
      <c r="I5359" s="26">
        <v>43705.366863425901</v>
      </c>
      <c r="J5359" s="23" t="str">
        <f>HYPERLINK("https://www.spark-marketing.ru/Card/Person/365221", "ООО ""НОВОЕ""")</f>
        <v>ООО "НОВОЕ"</v>
      </c>
      <c r="K5359" s="24" t="s">
        <v>7414</v>
      </c>
      <c r="L5359" s="22" t="s">
        <v>10</v>
      </c>
      <c r="M5359" s="25">
        <v>1234.96</v>
      </c>
      <c r="N5359" s="27">
        <v>0.99845629999999996</v>
      </c>
    </row>
    <row r="5360" spans="1:14" hidden="1" outlineLevel="1" x14ac:dyDescent="0.2">
      <c r="A5360" s="23" t="str">
        <f>HYPERLINK("https://www.spark-marketing.ru/Card/Person/158376", "ОМВД РОССИИ ПО Г. НОВОЧЕБОКСАРСК")</f>
        <v>ОМВД РОССИИ ПО Г. НОВОЧЕБОКСАРСК</v>
      </c>
      <c r="B5360" s="24" t="s">
        <v>7410</v>
      </c>
      <c r="C5360" s="25">
        <v>800000</v>
      </c>
      <c r="D5360" s="22" t="s">
        <v>8296</v>
      </c>
      <c r="E5360" s="22" t="s">
        <v>48</v>
      </c>
      <c r="F5360" s="23" t="str">
        <f>HYPERLINK("https://www.spark-marketing.ru/Card/Lot/73091209", "Услуги по обеспечению горячим питанием лиц содержащихся в ИВС и КЗЛ")</f>
        <v>Услуги по обеспечению горячим питанием лиц содержащихся в ИВС и КЗЛ</v>
      </c>
      <c r="G5360" s="22" t="s">
        <v>618</v>
      </c>
      <c r="H5360" s="22" t="s">
        <v>7412</v>
      </c>
      <c r="I5360" s="26">
        <v>43705.366863425901</v>
      </c>
      <c r="J5360" s="23" t="str">
        <f>HYPERLINK("https://www.spark-marketing.ru/Card/Person/2046621", "Якимов Виктор Николаевич")</f>
        <v>Якимов Виктор Николаевич</v>
      </c>
      <c r="K5360" s="24" t="s">
        <v>7415</v>
      </c>
      <c r="L5360" s="28" t="s">
        <v>51</v>
      </c>
      <c r="M5360" s="25">
        <v>1409.01</v>
      </c>
      <c r="N5360" s="27">
        <v>0.99823873750000003</v>
      </c>
    </row>
    <row r="5361" spans="1:14" x14ac:dyDescent="0.15">
      <c r="A5361" s="23" t="str">
        <f>HYPERLINK("https://www.spark-marketing.ru/Card/Person/8437", "ОГБУЗ ""ИОПНД""")</f>
        <v>ОГБУЗ "ИОПНД"</v>
      </c>
      <c r="B5361" s="24" t="s">
        <v>4312</v>
      </c>
      <c r="C5361" s="25">
        <v>2190750</v>
      </c>
      <c r="D5361" s="22" t="s">
        <v>8297</v>
      </c>
      <c r="E5361" s="22" t="s">
        <v>48</v>
      </c>
      <c r="F5361" s="23" t="str">
        <f>HYPERLINK("https://www.spark-marketing.ru/Card/Lot/73072948", "Оказание услуг по обеспечению диетическим питанием пациентов")</f>
        <v>Оказание услуг по обеспечению диетическим питанием пациентов</v>
      </c>
      <c r="G5361" s="22" t="s">
        <v>263</v>
      </c>
      <c r="H5361" s="22" t="s">
        <v>2768</v>
      </c>
      <c r="I5361" s="26">
        <v>43705.53875</v>
      </c>
      <c r="J5361" s="23" t="str">
        <f>HYPERLINK("https://www.spark-marketing.ru/Card/Person/112724", "Скороходова Ольга Валерьевна")</f>
        <v>Скороходова Ольга Валерьевна</v>
      </c>
      <c r="K5361" s="24" t="s">
        <v>4484</v>
      </c>
      <c r="L5361" s="22" t="s">
        <v>10</v>
      </c>
      <c r="M5361" s="28" t="s">
        <v>51</v>
      </c>
      <c r="N5361" s="28" t="s">
        <v>51</v>
      </c>
    </row>
    <row r="5362" spans="1:14" x14ac:dyDescent="0.15">
      <c r="A5362" s="23" t="str">
        <f>HYPERLINK("https://www.spark-marketing.ru/Card/Person/875848", "МО МВД РОССИИ ""ПАВЛОВСКИЙ""")</f>
        <v>МО МВД РОССИИ "ПАВЛОВСКИЙ"</v>
      </c>
      <c r="B5362" s="24" t="s">
        <v>8298</v>
      </c>
      <c r="C5362" s="25">
        <v>560000</v>
      </c>
      <c r="D5362" s="22" t="s">
        <v>8299</v>
      </c>
      <c r="E5362" s="22" t="s">
        <v>48</v>
      </c>
      <c r="F5362" s="23" t="str">
        <f>HYPERLINK("https://www.spark-marketing.ru/Card/Lot/73075596", "Оказание услуг по организации горячего питания для лиц, содержащихся в изоляторе временного содержания, а так же лиц, задержанных за административное правонарушение на срок более трех часов и содержащихся в помещении для административно задержанных д...")</f>
        <v>Оказание услуг по организации горячего питания для лиц, содержащихся в изоляторе временного содержания, а так же лиц, задержанных за административное правонарушение на срок более трех часов и содержащихся в помещении для административно задержанных д...</v>
      </c>
      <c r="G5362" s="22" t="s">
        <v>63</v>
      </c>
      <c r="H5362" s="22" t="s">
        <v>7518</v>
      </c>
      <c r="I5362" s="26">
        <v>43705.5167013889</v>
      </c>
      <c r="J5362" s="23" t="str">
        <f>HYPERLINK("https://www.spark-marketing.ru/Card/Person/900177", "ООО ""СОНИК""")</f>
        <v>ООО "СОНИК"</v>
      </c>
      <c r="K5362" s="24" t="s">
        <v>8300</v>
      </c>
      <c r="L5362" s="22" t="s">
        <v>10</v>
      </c>
      <c r="M5362" s="28" t="s">
        <v>51</v>
      </c>
      <c r="N5362" s="28" t="s">
        <v>51</v>
      </c>
    </row>
    <row r="5363" spans="1:14" x14ac:dyDescent="0.15">
      <c r="A5363" s="23" t="str">
        <f>HYPERLINK("https://www.spark-marketing.ru/Card/Person/267189", "УПРАВЛЕНИЕ ПО ОРГАНИЗАЦИОННОМУ ОБЕСПЕЧЕНИЮ ДЕЯТЕЛЬНОСТИ МИРОВЫХ СУДЕЙ БЕЛГОРОДСКОЙ ОБЛАСТИ")</f>
        <v>УПРАВЛЕНИЕ ПО ОРГАНИЗАЦИОННОМУ ОБЕСПЕЧЕНИЮ ДЕЯТЕЛЬНОСТИ МИРОВЫХ СУДЕЙ БЕЛГОРОДСКОЙ ОБЛАСТИ</v>
      </c>
      <c r="B5363" s="24" t="s">
        <v>8301</v>
      </c>
      <c r="C5363" s="25">
        <v>150000</v>
      </c>
      <c r="D5363" s="22" t="s">
        <v>8302</v>
      </c>
      <c r="E5363" s="22" t="s">
        <v>8303</v>
      </c>
      <c r="F5363" s="23" t="str">
        <f>HYPERLINK("https://www.spark-marketing.ru/Card/Lot/73085981", "Выполнение работ по ремонту и восстановлению электронно-вычислительной и офисной техники")</f>
        <v>Выполнение работ по ремонту и восстановлению электронно-вычислительной и офисной техники</v>
      </c>
      <c r="G5363" s="22" t="s">
        <v>696</v>
      </c>
      <c r="H5363" s="22" t="s">
        <v>1163</v>
      </c>
      <c r="I5363" s="26">
        <v>43705.598067129598</v>
      </c>
      <c r="J5363" s="28" t="s">
        <v>51</v>
      </c>
      <c r="K5363" s="28" t="s">
        <v>51</v>
      </c>
      <c r="L5363" s="28" t="s">
        <v>51</v>
      </c>
      <c r="M5363" s="28" t="s">
        <v>51</v>
      </c>
      <c r="N5363" s="28" t="s">
        <v>51</v>
      </c>
    </row>
    <row r="5364" spans="1:14" ht="12.75" hidden="1" outlineLevel="1" x14ac:dyDescent="0.2">
      <c r="A5364" s="23" t="str">
        <f>HYPERLINK("https://www.spark-marketing.ru/Card/Person/267189", "УПРАВЛЕНИЕ ПО ОРГАНИЗАЦИОННОМУ ОБЕСПЕЧЕНИЮ ДЕЯТЕЛЬНОСТИ МИРОВЫХ СУДЕЙ БЕЛГОРОДСКОЙ ОБЛАСТИ")</f>
        <v>УПРАВЛЕНИЕ ПО ОРГАНИЗАЦИОННОМУ ОБЕСПЕЧЕНИЮ ДЕЯТЕЛЬНОСТИ МИРОВЫХ СУДЕЙ БЕЛГОРОДСКОЙ ОБЛАСТИ</v>
      </c>
      <c r="B5364" s="24" t="s">
        <v>8301</v>
      </c>
      <c r="C5364" s="25">
        <v>150000</v>
      </c>
      <c r="D5364" s="22" t="s">
        <v>8302</v>
      </c>
      <c r="E5364" s="22" t="s">
        <v>8303</v>
      </c>
      <c r="F5364" s="23" t="str">
        <f>HYPERLINK("https://www.spark-marketing.ru/Card/Lot/73085981", "Выполнение работ по ремонту и восстановлению электронно-вычислительной и офисной техники")</f>
        <v>Выполнение работ по ремонту и восстановлению электронно-вычислительной и офисной техники</v>
      </c>
      <c r="G5364" s="22" t="s">
        <v>696</v>
      </c>
      <c r="H5364" s="22" t="s">
        <v>1163</v>
      </c>
      <c r="I5364" s="26">
        <v>43705.598067129598</v>
      </c>
      <c r="J5364" s="23" t="str">
        <f>HYPERLINK("https://www.spark-marketing.ru/Card/Person/494688", "ООО ""ЭЛПО - СЕРВИС""")</f>
        <v>ООО "ЭЛПО - СЕРВИС"</v>
      </c>
      <c r="K5364" s="24" t="s">
        <v>3526</v>
      </c>
      <c r="L5364" s="22" t="s">
        <v>10</v>
      </c>
      <c r="M5364" s="25">
        <v>87250</v>
      </c>
      <c r="N5364" s="27">
        <v>0.41833333333333333</v>
      </c>
    </row>
    <row r="5365" spans="1:14" hidden="1" outlineLevel="1" x14ac:dyDescent="0.2">
      <c r="A5365" s="23" t="str">
        <f>HYPERLINK("https://www.spark-marketing.ru/Card/Person/267189", "УПРАВЛЕНИЕ ПО ОРГАНИЗАЦИОННОМУ ОБЕСПЕЧЕНИЮ ДЕЯТЕЛЬНОСТИ МИРОВЫХ СУДЕЙ БЕЛГОРОДСКОЙ ОБЛАСТИ")</f>
        <v>УПРАВЛЕНИЕ ПО ОРГАНИЗАЦИОННОМУ ОБЕСПЕЧЕНИЮ ДЕЯТЕЛЬНОСТИ МИРОВЫХ СУДЕЙ БЕЛГОРОДСКОЙ ОБЛАСТИ</v>
      </c>
      <c r="B5365" s="24" t="s">
        <v>8301</v>
      </c>
      <c r="C5365" s="25">
        <v>150000</v>
      </c>
      <c r="D5365" s="22" t="s">
        <v>8302</v>
      </c>
      <c r="E5365" s="22" t="s">
        <v>8303</v>
      </c>
      <c r="F5365" s="23" t="str">
        <f>HYPERLINK("https://www.spark-marketing.ru/Card/Lot/73085981", "Выполнение работ по ремонту и восстановлению электронно-вычислительной и офисной техники")</f>
        <v>Выполнение работ по ремонту и восстановлению электронно-вычислительной и офисной техники</v>
      </c>
      <c r="G5365" s="22" t="s">
        <v>696</v>
      </c>
      <c r="H5365" s="22" t="s">
        <v>1163</v>
      </c>
      <c r="I5365" s="26">
        <v>43705.598067129598</v>
      </c>
      <c r="J5365" s="23" t="str">
        <f>HYPERLINK("https://www.spark-marketing.ru/Card/Person/6618359", "Гамаюнов Александр Николаевич")</f>
        <v>Гамаюнов Александр Николаевич</v>
      </c>
      <c r="K5365" s="24" t="s">
        <v>8304</v>
      </c>
      <c r="L5365" s="28" t="s">
        <v>51</v>
      </c>
      <c r="M5365" s="25">
        <v>88000</v>
      </c>
      <c r="N5365" s="27">
        <v>0.41333333333333333</v>
      </c>
    </row>
    <row r="5366" spans="1:14" x14ac:dyDescent="0.15">
      <c r="A5366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5366" s="24" t="s">
        <v>5772</v>
      </c>
      <c r="C5366" s="25">
        <v>380000</v>
      </c>
      <c r="D5366" s="22" t="s">
        <v>8305</v>
      </c>
      <c r="E5366" s="22" t="s">
        <v>48</v>
      </c>
      <c r="F5366" s="23" t="str">
        <f>HYPERLINK("https://www.spark-marketing.ru/Card/Lot/73084122", "Питание в ИВС")</f>
        <v>Питание в ИВС</v>
      </c>
      <c r="G5366" s="22" t="s">
        <v>351</v>
      </c>
      <c r="H5366" s="22" t="s">
        <v>5774</v>
      </c>
      <c r="I5366" s="26">
        <v>43705.494236111103</v>
      </c>
      <c r="J5366" s="28" t="s">
        <v>51</v>
      </c>
      <c r="K5366" s="28" t="s">
        <v>51</v>
      </c>
      <c r="L5366" s="28" t="s">
        <v>51</v>
      </c>
      <c r="M5366" s="28" t="s">
        <v>51</v>
      </c>
      <c r="N5366" s="28" t="s">
        <v>51</v>
      </c>
    </row>
    <row r="5367" spans="1:14" x14ac:dyDescent="0.15">
      <c r="A5367" s="23" t="str">
        <f>HYPERLINK("https://www.spark-marketing.ru/Card/Person/88926", "УМВД РОССИИ ПО Г. ХАБАРОВСКУ")</f>
        <v>УМВД РОССИИ ПО Г. ХАБАРОВСКУ</v>
      </c>
      <c r="B5367" s="24" t="s">
        <v>4099</v>
      </c>
      <c r="C5367" s="25">
        <v>866138</v>
      </c>
      <c r="D5367" s="22" t="s">
        <v>8306</v>
      </c>
      <c r="E5367" s="22" t="s">
        <v>96</v>
      </c>
      <c r="F5367" s="23" t="str">
        <f>HYPERLINK("https://www.spark-marketing.ru/Card/Lot/73069908", "Оказание услуг по организации питания граждан, находящихся в изоляторе временного содержания подозреваемых и обвиняемых УМВД России по г.Хабаровску")</f>
        <v>Оказание услуг по организации питания граждан, находящихся в изоляторе временного содержания подозреваемых и обвиняемых УМВД России по г.Хабаровску</v>
      </c>
      <c r="G5367" s="22" t="s">
        <v>1096</v>
      </c>
      <c r="H5367" s="22" t="s">
        <v>1097</v>
      </c>
      <c r="I5367" s="26">
        <v>43704.620960648099</v>
      </c>
      <c r="J5367" s="28" t="s">
        <v>51</v>
      </c>
      <c r="K5367" s="28" t="s">
        <v>51</v>
      </c>
      <c r="L5367" s="28" t="s">
        <v>51</v>
      </c>
      <c r="M5367" s="28" t="s">
        <v>51</v>
      </c>
      <c r="N5367" s="28" t="s">
        <v>51</v>
      </c>
    </row>
    <row r="5368" spans="1:14" hidden="1" outlineLevel="1" x14ac:dyDescent="0.2">
      <c r="A5368" s="23" t="str">
        <f>HYPERLINK("https://www.spark-marketing.ru/Card/Person/88926", "УМВД РОССИИ ПО Г. ХАБАРОВСКУ")</f>
        <v>УМВД РОССИИ ПО Г. ХАБАРОВСКУ</v>
      </c>
      <c r="B5368" s="24" t="s">
        <v>4099</v>
      </c>
      <c r="C5368" s="25">
        <v>866138</v>
      </c>
      <c r="D5368" s="22" t="s">
        <v>8306</v>
      </c>
      <c r="E5368" s="22" t="s">
        <v>96</v>
      </c>
      <c r="F5368" s="23" t="str">
        <f>HYPERLINK("https://www.spark-marketing.ru/Card/Lot/73069908", "Оказание услуг по организации питания граждан, находящихся в изоляторе временного содержания подозреваемых и обвиняемых УМВД России по г.Хабаровску")</f>
        <v>Оказание услуг по организации питания граждан, находящихся в изоляторе временного содержания подозреваемых и обвиняемых УМВД России по г.Хабаровску</v>
      </c>
      <c r="G5368" s="22" t="s">
        <v>1096</v>
      </c>
      <c r="H5368" s="22" t="s">
        <v>1097</v>
      </c>
      <c r="I5368" s="26">
        <v>43704.620960648099</v>
      </c>
      <c r="J5368" s="23" t="str">
        <f>HYPERLINK("https://www.spark-marketing.ru/Card/Person/486941", "ООО ""ГРАНД-АМУР""")</f>
        <v>ООО "ГРАНД-АМУР"</v>
      </c>
      <c r="K5368" s="24" t="s">
        <v>3965</v>
      </c>
      <c r="L5368" s="28" t="s">
        <v>51</v>
      </c>
      <c r="M5368" s="25">
        <v>498029.35</v>
      </c>
      <c r="N5368" s="27">
        <v>0.42499999999999999</v>
      </c>
    </row>
    <row r="5369" spans="1:14" ht="12.75" hidden="1" outlineLevel="1" x14ac:dyDescent="0.2">
      <c r="A5369" s="23" t="str">
        <f>HYPERLINK("https://www.spark-marketing.ru/Card/Person/88926", "УМВД РОССИИ ПО Г. ХАБАРОВСКУ")</f>
        <v>УМВД РОССИИ ПО Г. ХАБАРОВСКУ</v>
      </c>
      <c r="B5369" s="24" t="s">
        <v>4099</v>
      </c>
      <c r="C5369" s="25">
        <v>866138</v>
      </c>
      <c r="D5369" s="22" t="s">
        <v>8306</v>
      </c>
      <c r="E5369" s="22" t="s">
        <v>96</v>
      </c>
      <c r="F5369" s="23" t="str">
        <f>HYPERLINK("https://www.spark-marketing.ru/Card/Lot/73069908", "Оказание услуг по организации питания граждан, находящихся в изоляторе временного содержания подозреваемых и обвиняемых УМВД России по г.Хабаровску")</f>
        <v>Оказание услуг по организации питания граждан, находящихся в изоляторе временного содержания подозреваемых и обвиняемых УМВД России по г.Хабаровску</v>
      </c>
      <c r="G5369" s="22" t="s">
        <v>1096</v>
      </c>
      <c r="H5369" s="22" t="s">
        <v>1097</v>
      </c>
      <c r="I5369" s="26">
        <v>43704.620960648099</v>
      </c>
      <c r="J5369" s="23" t="str">
        <f>HYPERLINK("https://www.spark-marketing.ru/Card/Person/4349415", "ООО ""РОКОС""")</f>
        <v>ООО "РОКОС"</v>
      </c>
      <c r="K5369" s="24" t="s">
        <v>4101</v>
      </c>
      <c r="L5369" s="22" t="s">
        <v>10</v>
      </c>
      <c r="M5369" s="25">
        <v>493698.66</v>
      </c>
      <c r="N5369" s="27">
        <v>0.43</v>
      </c>
    </row>
    <row r="5370" spans="1:14" x14ac:dyDescent="0.15">
      <c r="A5370" s="23" t="str">
        <f>HYPERLINK("https://www.spark-marketing.ru/Card/Person/536781", "МО МВД РОССИИ ""НОВОСПАССКИЙ""")</f>
        <v>МО МВД РОССИИ "НОВОСПАССКИЙ"</v>
      </c>
      <c r="B5370" s="24" t="s">
        <v>8196</v>
      </c>
      <c r="C5370" s="25">
        <v>9895.2000000000007</v>
      </c>
      <c r="D5370" s="22" t="s">
        <v>8307</v>
      </c>
      <c r="E5370" s="22" t="s">
        <v>48</v>
      </c>
      <c r="F5370" s="23" t="str">
        <f>HYPERLINK("https://www.spark-marketing.ru/Card/Lot/73079287", "Услуги по доставке горячего питания (завтрак, обед, ужин), 31 усл. ед")</f>
        <v>Услуги по доставке горячего питания (завтрак, обед, ужин), 31 усл. ед</v>
      </c>
      <c r="G5370" s="22" t="s">
        <v>1918</v>
      </c>
      <c r="H5370" s="22" t="s">
        <v>8198</v>
      </c>
      <c r="I5370" s="26">
        <v>43705.553807870398</v>
      </c>
      <c r="J5370" s="28" t="s">
        <v>51</v>
      </c>
      <c r="K5370" s="28" t="s">
        <v>51</v>
      </c>
      <c r="L5370" s="28" t="s">
        <v>51</v>
      </c>
      <c r="M5370" s="28" t="s">
        <v>51</v>
      </c>
      <c r="N5370" s="28" t="s">
        <v>51</v>
      </c>
    </row>
    <row r="5371" spans="1:14" x14ac:dyDescent="0.15">
      <c r="A5371" s="23" t="str">
        <f>HYPERLINK("https://www.spark-marketing.ru/Card/Person/536781", "МО МВД РОССИИ ""НОВОСПАССКИЙ""")</f>
        <v>МО МВД РОССИИ "НОВОСПАССКИЙ"</v>
      </c>
      <c r="B5371" s="24" t="s">
        <v>8196</v>
      </c>
      <c r="C5371" s="25">
        <v>10360.200000000001</v>
      </c>
      <c r="D5371" s="22" t="s">
        <v>8308</v>
      </c>
      <c r="E5371" s="22" t="s">
        <v>48</v>
      </c>
      <c r="F5371" s="23" t="str">
        <f>HYPERLINK("https://www.spark-marketing.ru/Card/Lot/73079227", "Услуги по доставке горячего питания (завтрак, обед, ужин), 31 усл. ед")</f>
        <v>Услуги по доставке горячего питания (завтрак, обед, ужин), 31 усл. ед</v>
      </c>
      <c r="G5371" s="22" t="s">
        <v>1918</v>
      </c>
      <c r="H5371" s="22" t="s">
        <v>8198</v>
      </c>
      <c r="I5371" s="26">
        <v>43705.557187500002</v>
      </c>
      <c r="J5371" s="28" t="s">
        <v>51</v>
      </c>
      <c r="K5371" s="28" t="s">
        <v>51</v>
      </c>
      <c r="L5371" s="28" t="s">
        <v>51</v>
      </c>
      <c r="M5371" s="28" t="s">
        <v>51</v>
      </c>
      <c r="N5371" s="28" t="s">
        <v>51</v>
      </c>
    </row>
    <row r="5372" spans="1:14" x14ac:dyDescent="0.15">
      <c r="A5372" s="23" t="str">
        <f>HYPERLINK("https://www.spark-marketing.ru/Card/Person/4372212", "ОМВД РОССИИ ПО ИКРЯНИНСКОМУ РАЙОНУ")</f>
        <v>ОМВД РОССИИ ПО ИКРЯНИНСКОМУ РАЙОНУ</v>
      </c>
      <c r="B5372" s="24" t="s">
        <v>8309</v>
      </c>
      <c r="C5372" s="25">
        <v>230500</v>
      </c>
      <c r="D5372" s="22" t="s">
        <v>8310</v>
      </c>
      <c r="E5372" s="22" t="s">
        <v>96</v>
      </c>
      <c r="F5372" s="23" t="str">
        <f>HYPERLINK("https://www.spark-marketing.ru/Card/Lot/73080502",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5372" s="22" t="s">
        <v>141</v>
      </c>
      <c r="H5372" s="22" t="s">
        <v>8311</v>
      </c>
      <c r="I5372" s="26">
        <v>43705.578356481499</v>
      </c>
      <c r="J5372" s="28" t="s">
        <v>51</v>
      </c>
      <c r="K5372" s="28" t="s">
        <v>51</v>
      </c>
      <c r="L5372" s="28" t="s">
        <v>51</v>
      </c>
      <c r="M5372" s="28" t="s">
        <v>51</v>
      </c>
      <c r="N5372" s="28" t="s">
        <v>51</v>
      </c>
    </row>
    <row r="5373" spans="1:14" x14ac:dyDescent="0.15">
      <c r="A5373" s="23" t="str">
        <f>HYPERLINK("https://www.spark-marketing.ru/Card/Person/4372212", "ОМВД РОССИИ ПО ИКРЯНИНСКОМУ РАЙОНУ")</f>
        <v>ОМВД РОССИИ ПО ИКРЯНИНСКОМУ РАЙОНУ</v>
      </c>
      <c r="B5373" s="24" t="s">
        <v>8309</v>
      </c>
      <c r="C5373" s="25">
        <v>230500</v>
      </c>
      <c r="D5373" s="22" t="s">
        <v>8312</v>
      </c>
      <c r="E5373" s="22" t="s">
        <v>48</v>
      </c>
      <c r="F5373" s="23" t="str">
        <f>HYPERLINK("https://www.spark-marketing.ru/Card/Lot/73080510",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373" s="22" t="s">
        <v>141</v>
      </c>
      <c r="H5373" s="22" t="s">
        <v>8311</v>
      </c>
      <c r="I5373" s="26">
        <v>43705.580115740697</v>
      </c>
      <c r="J5373" s="28" t="s">
        <v>51</v>
      </c>
      <c r="K5373" s="28" t="s">
        <v>51</v>
      </c>
      <c r="L5373" s="28" t="s">
        <v>51</v>
      </c>
      <c r="M5373" s="28" t="s">
        <v>51</v>
      </c>
      <c r="N5373" s="28" t="s">
        <v>51</v>
      </c>
    </row>
    <row r="5374" spans="1:14" x14ac:dyDescent="0.15">
      <c r="A5374" s="23" t="str">
        <f>HYPERLINK("https://www.spark-marketing.ru/Card/Person/4348008", "ТЮМЕНСКАЯ ТАМОЖНЯ")</f>
        <v>ТЮМЕНСКАЯ ТАМОЖНЯ</v>
      </c>
      <c r="B5374" s="24" t="s">
        <v>8313</v>
      </c>
      <c r="C5374" s="25">
        <v>1256811.33</v>
      </c>
      <c r="D5374" s="22" t="s">
        <v>8314</v>
      </c>
      <c r="E5374" s="22" t="s">
        <v>152</v>
      </c>
      <c r="F5374" s="23" t="str">
        <f>HYPERLINK("https://www.spark-marketing.ru/Card/Lot/73081300", "оказание услуг по техническому обслуживанию и выполнение работ по текущему ремонту источника бесперебойного питания MGE GALAXY 5500")</f>
        <v>оказание услуг по техническому обслуживанию и выполнение работ по текущему ремонту источника бесперебойного питания MGE GALAXY 5500</v>
      </c>
      <c r="G5374" s="22" t="s">
        <v>766</v>
      </c>
      <c r="H5374" s="22" t="s">
        <v>766</v>
      </c>
      <c r="I5374" s="26">
        <v>43705.473217592596</v>
      </c>
      <c r="J5374" s="28" t="s">
        <v>51</v>
      </c>
      <c r="K5374" s="28" t="s">
        <v>51</v>
      </c>
      <c r="L5374" s="28" t="s">
        <v>51</v>
      </c>
      <c r="M5374" s="28" t="s">
        <v>51</v>
      </c>
      <c r="N5374" s="28" t="s">
        <v>51</v>
      </c>
    </row>
    <row r="5375" spans="1:14" ht="12.75" hidden="1" outlineLevel="1" x14ac:dyDescent="0.2">
      <c r="A5375" s="23" t="str">
        <f>HYPERLINK("https://www.spark-marketing.ru/Card/Person/4348008", "ТЮМЕНСКАЯ ТАМОЖНЯ")</f>
        <v>ТЮМЕНСКАЯ ТАМОЖНЯ</v>
      </c>
      <c r="B5375" s="24" t="s">
        <v>8313</v>
      </c>
      <c r="C5375" s="25">
        <v>1256811.33</v>
      </c>
      <c r="D5375" s="22" t="s">
        <v>8314</v>
      </c>
      <c r="E5375" s="22" t="s">
        <v>152</v>
      </c>
      <c r="F5375" s="23" t="str">
        <f>HYPERLINK("https://www.spark-marketing.ru/Card/Lot/73081300", "оказание услуг по техническому обслуживанию и выполнение работ по текущему ремонту источника бесперебойного питания MGE GALAXY 5500")</f>
        <v>оказание услуг по техническому обслуживанию и выполнение работ по текущему ремонту источника бесперебойного питания MGE GALAXY 5500</v>
      </c>
      <c r="G5375" s="22" t="s">
        <v>766</v>
      </c>
      <c r="H5375" s="22" t="s">
        <v>766</v>
      </c>
      <c r="I5375" s="26">
        <v>43705.473217592596</v>
      </c>
      <c r="J5375" s="23" t="str">
        <f>HYPERLINK("https://www.spark-marketing.ru/Card/Person/6489162", "ООО ""АЛАС ЭНЕРГИЯ""")</f>
        <v>ООО "АЛАС ЭНЕРГИЯ"</v>
      </c>
      <c r="K5375" s="24" t="s">
        <v>6025</v>
      </c>
      <c r="L5375" s="22" t="s">
        <v>10</v>
      </c>
      <c r="M5375" s="25">
        <v>630000</v>
      </c>
      <c r="N5375" s="27">
        <v>0.49873144444043166</v>
      </c>
    </row>
    <row r="5376" spans="1:14" hidden="1" outlineLevel="1" x14ac:dyDescent="0.2">
      <c r="A5376" s="23" t="str">
        <f>HYPERLINK("https://www.spark-marketing.ru/Card/Person/4348008", "ТЮМЕНСКАЯ ТАМОЖНЯ")</f>
        <v>ТЮМЕНСКАЯ ТАМОЖНЯ</v>
      </c>
      <c r="B5376" s="24" t="s">
        <v>8313</v>
      </c>
      <c r="C5376" s="25">
        <v>1256811.33</v>
      </c>
      <c r="D5376" s="22" t="s">
        <v>8314</v>
      </c>
      <c r="E5376" s="22" t="s">
        <v>152</v>
      </c>
      <c r="F5376" s="23" t="str">
        <f>HYPERLINK("https://www.spark-marketing.ru/Card/Lot/73081300", "оказание услуг по техническому обслуживанию и выполнение работ по текущему ремонту источника бесперебойного питания MGE GALAXY 5500")</f>
        <v>оказание услуг по техническому обслуживанию и выполнение работ по текущему ремонту источника бесперебойного питания MGE GALAXY 5500</v>
      </c>
      <c r="G5376" s="22" t="s">
        <v>766</v>
      </c>
      <c r="H5376" s="22" t="s">
        <v>766</v>
      </c>
      <c r="I5376" s="26">
        <v>43705.473217592596</v>
      </c>
      <c r="J5376" s="23" t="str">
        <f>HYPERLINK("https://www.spark-marketing.ru/Card/Person/6698720", "ООО ""ЭНЕРГОИНЖИНИРИНГ""")</f>
        <v>ООО "ЭНЕРГОИНЖИНИРИНГ"</v>
      </c>
      <c r="K5376" s="24" t="s">
        <v>8315</v>
      </c>
      <c r="L5376" s="28" t="s">
        <v>51</v>
      </c>
      <c r="M5376" s="25">
        <v>645715.93999999994</v>
      </c>
      <c r="N5376" s="27">
        <v>0.48622683088001761</v>
      </c>
    </row>
    <row r="5377" spans="1:14" hidden="1" outlineLevel="1" x14ac:dyDescent="0.2">
      <c r="A5377" s="23" t="str">
        <f>HYPERLINK("https://www.spark-marketing.ru/Card/Person/4348008", "ТЮМЕНСКАЯ ТАМОЖНЯ")</f>
        <v>ТЮМЕНСКАЯ ТАМОЖНЯ</v>
      </c>
      <c r="B5377" s="24" t="s">
        <v>8313</v>
      </c>
      <c r="C5377" s="25">
        <v>1256811.33</v>
      </c>
      <c r="D5377" s="22" t="s">
        <v>8314</v>
      </c>
      <c r="E5377" s="22" t="s">
        <v>152</v>
      </c>
      <c r="F5377" s="23" t="str">
        <f>HYPERLINK("https://www.spark-marketing.ru/Card/Lot/73081300", "оказание услуг по техническому обслуживанию и выполнение работ по текущему ремонту источника бесперебойного питания MGE GALAXY 5500")</f>
        <v>оказание услуг по техническому обслуживанию и выполнение работ по текущему ремонту источника бесперебойного питания MGE GALAXY 5500</v>
      </c>
      <c r="G5377" s="22" t="s">
        <v>766</v>
      </c>
      <c r="H5377" s="22" t="s">
        <v>766</v>
      </c>
      <c r="I5377" s="26">
        <v>43705.473217592596</v>
      </c>
      <c r="J5377" s="23" t="str">
        <f>HYPERLINK("https://www.spark-marketing.ru/Card/Person/4347269", "ООО ""ПЕРМЦЕНТРСЕРВИС""")</f>
        <v>ООО "ПЕРМЦЕНТРСЕРВИС"</v>
      </c>
      <c r="K5377" s="24" t="s">
        <v>8316</v>
      </c>
      <c r="L5377" s="28" t="s">
        <v>51</v>
      </c>
      <c r="M5377" s="25">
        <v>1175118.58</v>
      </c>
      <c r="N5377" s="27">
        <v>6.5000010781252268E-2</v>
      </c>
    </row>
    <row r="5378" spans="1:14" x14ac:dyDescent="0.15">
      <c r="A5378" s="23" t="str">
        <f>HYPERLINK("https://www.spark-marketing.ru/Card/Person/1070569", "ОТДЕЛЕНИЕ МВД РОССИИ ПО ГУРЬЕВСКОМУ РАЙОНУ")</f>
        <v>ОТДЕЛЕНИЕ МВД РОССИИ ПО ГУРЬЕВСКОМУ РАЙОНУ</v>
      </c>
      <c r="B5378" s="24" t="s">
        <v>8317</v>
      </c>
      <c r="C5378" s="25">
        <v>2739000</v>
      </c>
      <c r="D5378" s="22" t="s">
        <v>8318</v>
      </c>
      <c r="E5378" s="22" t="s">
        <v>48</v>
      </c>
      <c r="F5378" s="23" t="str">
        <f>HYPERLINK("https://www.spark-marketing.ru/Card/Lot/73076340", "Питание ИВС")</f>
        <v>Питание ИВС</v>
      </c>
      <c r="G5378" s="22" t="s">
        <v>304</v>
      </c>
      <c r="H5378" s="22" t="s">
        <v>304</v>
      </c>
      <c r="I5378" s="26">
        <v>43705.570254629602</v>
      </c>
      <c r="J5378" s="23" t="str">
        <f>HYPERLINK("https://www.spark-marketing.ru/Card/Person/153415", "Пригаров Денис Владимирович")</f>
        <v>Пригаров Денис Владимирович</v>
      </c>
      <c r="K5378" s="24" t="s">
        <v>2754</v>
      </c>
      <c r="L5378" s="22" t="s">
        <v>10</v>
      </c>
      <c r="M5378" s="28" t="s">
        <v>51</v>
      </c>
      <c r="N5378" s="28" t="s">
        <v>51</v>
      </c>
    </row>
    <row r="5379" spans="1:14" x14ac:dyDescent="0.15">
      <c r="A5379" s="23" t="str">
        <f>HYPERLINK("https://www.spark-marketing.ru/Card/Person/6086", "ГКУ ""ДИРЕКЦИЯ ОДОТСЗН Г. МОСКВЫ""")</f>
        <v>ГКУ "ДИРЕКЦИЯ ОДОТСЗН Г. МОСКВЫ"</v>
      </c>
      <c r="B5379" s="24" t="s">
        <v>164</v>
      </c>
      <c r="C5379" s="25">
        <v>13100850</v>
      </c>
      <c r="D5379" s="22" t="s">
        <v>8319</v>
      </c>
      <c r="E5379" s="22" t="s">
        <v>86</v>
      </c>
      <c r="F5379" s="23" t="str">
        <f>HYPERLINK("https://www.spark-marketing.ru/Card/Lot/73095919", "Оказание услуг по предоставлению санаторно-курортного лечения (по путевкам) в 2020 году в санатории для лечения пищевода, желудка  двенадцатиперстной кишки, кишечника, болезней печени, желчного пузыря, желчевыводящих путей, поджелудочной железы, эндо...")</f>
        <v>Оказание услуг по предоставлению санаторно-курортного лечения (по путевкам) в 2020 году в санатории для лечения пищевода, желудка  двенадцатиперстной кишки, кишечника, болезней печени, желчного пузыря, желчевыводящих путей, поджелудочной железы, эндо...</v>
      </c>
      <c r="G5379" s="22" t="s">
        <v>56</v>
      </c>
      <c r="H5379" s="22" t="s">
        <v>56</v>
      </c>
      <c r="I5379" s="26">
        <v>43705.644305555601</v>
      </c>
      <c r="J5379" s="28" t="s">
        <v>51</v>
      </c>
      <c r="K5379" s="28" t="s">
        <v>51</v>
      </c>
      <c r="L5379" s="28" t="s">
        <v>51</v>
      </c>
      <c r="M5379" s="28" t="s">
        <v>51</v>
      </c>
      <c r="N5379" s="28" t="s">
        <v>51</v>
      </c>
    </row>
    <row r="5380" spans="1:14" ht="12.75" hidden="1" outlineLevel="1" x14ac:dyDescent="0.2">
      <c r="A5380" s="23" t="str">
        <f>HYPERLINK("https://www.spark-marketing.ru/Card/Person/6086", "ГКУ ""ДИРЕКЦИЯ ОДОТСЗН Г. МОСКВЫ""")</f>
        <v>ГКУ "ДИРЕКЦИЯ ОДОТСЗН Г. МОСКВЫ"</v>
      </c>
      <c r="B5380" s="24" t="s">
        <v>164</v>
      </c>
      <c r="C5380" s="25">
        <v>13100850</v>
      </c>
      <c r="D5380" s="22" t="s">
        <v>8319</v>
      </c>
      <c r="E5380" s="22" t="s">
        <v>86</v>
      </c>
      <c r="F5380" s="23" t="str">
        <f>HYPERLINK("https://www.spark-marketing.ru/Card/Lot/73095919", "Оказание услуг по предоставлению санаторно-курортного лечения (по путевкам) в 2020 году в санатории для лечения пищевода, желудка  двенадцатиперстной кишки, кишечника, болезней печени, желчного пузыря, желчевыводящих путей, поджелудочной железы, эндо...")</f>
        <v>Оказание услуг по предоставлению санаторно-курортного лечения (по путевкам) в 2020 году в санатории для лечения пищевода, желудка  двенадцатиперстной кишки, кишечника, болезней печени, желчного пузыря, желчевыводящих путей, поджелудочной железы, эндо...</v>
      </c>
      <c r="G5380" s="22" t="s">
        <v>56</v>
      </c>
      <c r="H5380" s="22" t="s">
        <v>56</v>
      </c>
      <c r="I5380" s="26">
        <v>43705.644305555601</v>
      </c>
      <c r="J5380" s="23" t="str">
        <f>HYPERLINK("https://www.spark-marketing.ru/Card/Person/177813", "ООО ""КСКК ""АКВАЛОО""")</f>
        <v>ООО "КСКК "АКВАЛОО"</v>
      </c>
      <c r="K5380" s="24" t="s">
        <v>4517</v>
      </c>
      <c r="L5380" s="22" t="s">
        <v>10</v>
      </c>
      <c r="M5380" s="25">
        <v>13100850</v>
      </c>
      <c r="N5380" s="27">
        <v>0</v>
      </c>
    </row>
    <row r="5381" spans="1:14" hidden="1" outlineLevel="1" x14ac:dyDescent="0.2">
      <c r="A5381" s="23" t="str">
        <f>HYPERLINK("https://www.spark-marketing.ru/Card/Person/6086", "ГКУ ""ДИРЕКЦИЯ ОДОТСЗН Г. МОСКВЫ""")</f>
        <v>ГКУ "ДИРЕКЦИЯ ОДОТСЗН Г. МОСКВЫ"</v>
      </c>
      <c r="B5381" s="24" t="s">
        <v>164</v>
      </c>
      <c r="C5381" s="25">
        <v>13100850</v>
      </c>
      <c r="D5381" s="22" t="s">
        <v>8319</v>
      </c>
      <c r="E5381" s="22" t="s">
        <v>86</v>
      </c>
      <c r="F5381" s="23" t="str">
        <f>HYPERLINK("https://www.spark-marketing.ru/Card/Lot/73095919", "Оказание услуг по предоставлению санаторно-курортного лечения (по путевкам) в 2020 году в санатории для лечения пищевода, желудка  двенадцатиперстной кишки, кишечника, болезней печени, желчного пузыря, желчевыводящих путей, поджелудочной железы, эндо...")</f>
        <v>Оказание услуг по предоставлению санаторно-курортного лечения (по путевкам) в 2020 году в санатории для лечения пищевода, желудка  двенадцатиперстной кишки, кишечника, болезней печени, желчного пузыря, желчевыводящих путей, поджелудочной железы, эндо...</v>
      </c>
      <c r="G5381" s="22" t="s">
        <v>56</v>
      </c>
      <c r="H5381" s="22" t="s">
        <v>56</v>
      </c>
      <c r="I5381" s="26">
        <v>43705.644305555601</v>
      </c>
      <c r="J5381" s="23" t="str">
        <f>HYPERLINK("https://www.spark-marketing.ru/Card/Person/56552", "АО ""САНАТОРИЙ ""КУБАНЬ""")</f>
        <v>АО "САНАТОРИЙ "КУБАНЬ"</v>
      </c>
      <c r="K5381" s="24" t="s">
        <v>7290</v>
      </c>
      <c r="L5381" s="28" t="s">
        <v>51</v>
      </c>
      <c r="M5381" s="25">
        <v>12967500</v>
      </c>
      <c r="N5381" s="27">
        <v>1.0178728861104432E-2</v>
      </c>
    </row>
    <row r="5382" spans="1:14" ht="12.75" hidden="1" outlineLevel="1" x14ac:dyDescent="0.2">
      <c r="A5382" s="23" t="str">
        <f>HYPERLINK("https://www.spark-marketing.ru/Card/Person/6086", "ГКУ ""ДИРЕКЦИЯ ОДОТСЗН Г. МОСКВЫ""")</f>
        <v>ГКУ "ДИРЕКЦИЯ ОДОТСЗН Г. МОСКВЫ"</v>
      </c>
      <c r="B5382" s="24" t="s">
        <v>164</v>
      </c>
      <c r="C5382" s="25">
        <v>13100850</v>
      </c>
      <c r="D5382" s="22" t="s">
        <v>8319</v>
      </c>
      <c r="E5382" s="22" t="s">
        <v>86</v>
      </c>
      <c r="F5382" s="23" t="str">
        <f>HYPERLINK("https://www.spark-marketing.ru/Card/Lot/73095919", "Оказание услуг по предоставлению санаторно-курортного лечения (по путевкам) в 2020 году в санатории для лечения пищевода, желудка  двенадцатиперстной кишки, кишечника, болезней печени, желчного пузыря, желчевыводящих путей, поджелудочной железы, эндо...")</f>
        <v>Оказание услуг по предоставлению санаторно-курортного лечения (по путевкам) в 2020 году в санатории для лечения пищевода, желудка  двенадцатиперстной кишки, кишечника, болезней печени, желчного пузыря, желчевыводящих путей, поджелудочной железы, эндо...</v>
      </c>
      <c r="G5382" s="22" t="s">
        <v>56</v>
      </c>
      <c r="H5382" s="22" t="s">
        <v>56</v>
      </c>
      <c r="I5382" s="26">
        <v>43705.644305555601</v>
      </c>
      <c r="J5382" s="23" t="str">
        <f>HYPERLINK("https://www.spark-marketing.ru/Card/Person/645060", "ООО ""САНАТОРИЙ ""СЛАВУТИЧ""")</f>
        <v>ООО "САНАТОРИЙ "СЛАВУТИЧ"</v>
      </c>
      <c r="K5382" s="24" t="s">
        <v>7287</v>
      </c>
      <c r="L5382" s="22" t="s">
        <v>10</v>
      </c>
      <c r="M5382" s="25">
        <v>13035345.75</v>
      </c>
      <c r="N5382" s="27">
        <v>5.0000000000000001E-3</v>
      </c>
    </row>
    <row r="5383" spans="1:14" x14ac:dyDescent="0.15">
      <c r="A5383" s="23" t="str">
        <f>HYPERLINK("https://www.spark-marketing.ru/Card/Person/4347257", "ГБУЗ ""РАЙОННАЯ БОЛЬНИЦА П.БРЕДЫ""")</f>
        <v>ГБУЗ "РАЙОННАЯ БОЛЬНИЦА П.БРЕДЫ"</v>
      </c>
      <c r="B5383" s="24" t="s">
        <v>8320</v>
      </c>
      <c r="C5383" s="25">
        <v>21131.69</v>
      </c>
      <c r="D5383" s="22" t="s">
        <v>8321</v>
      </c>
      <c r="E5383" s="22" t="s">
        <v>437</v>
      </c>
      <c r="F5383" s="23" t="str">
        <f>HYPERLINK("https://www.spark-marketing.ru/Card/Lot/73084568", "Услуги прочие электричество")</f>
        <v>Услуги прочие электричество</v>
      </c>
      <c r="G5383" s="22" t="s">
        <v>469</v>
      </c>
      <c r="H5383" s="22" t="s">
        <v>2180</v>
      </c>
      <c r="I5383" s="26">
        <v>43705.635520833297</v>
      </c>
      <c r="J5383" s="28" t="s">
        <v>51</v>
      </c>
      <c r="K5383" s="28" t="s">
        <v>51</v>
      </c>
      <c r="L5383" s="28" t="s">
        <v>51</v>
      </c>
      <c r="M5383" s="28" t="s">
        <v>51</v>
      </c>
      <c r="N5383" s="28" t="s">
        <v>51</v>
      </c>
    </row>
    <row r="5384" spans="1:14" ht="12.75" hidden="1" outlineLevel="1" x14ac:dyDescent="0.2">
      <c r="A5384" s="23" t="str">
        <f>HYPERLINK("https://www.spark-marketing.ru/Card/Person/4347257", "ГБУЗ ""РАЙОННАЯ БОЛЬНИЦА П.БРЕДЫ""")</f>
        <v>ГБУЗ "РАЙОННАЯ БОЛЬНИЦА П.БРЕДЫ"</v>
      </c>
      <c r="B5384" s="24" t="s">
        <v>8320</v>
      </c>
      <c r="C5384" s="25">
        <v>21131.69</v>
      </c>
      <c r="D5384" s="22" t="s">
        <v>8321</v>
      </c>
      <c r="E5384" s="22" t="s">
        <v>437</v>
      </c>
      <c r="F5384" s="23" t="str">
        <f>HYPERLINK("https://www.spark-marketing.ru/Card/Lot/73084568", "Услуги прочие электричество")</f>
        <v>Услуги прочие электричество</v>
      </c>
      <c r="G5384" s="22" t="s">
        <v>469</v>
      </c>
      <c r="H5384" s="22" t="s">
        <v>2180</v>
      </c>
      <c r="I5384" s="26">
        <v>43705.635520833297</v>
      </c>
      <c r="J5384" s="23" t="str">
        <f>HYPERLINK("https://www.spark-marketing.ru/Card/Person/482039", "ООО УК ""ГЕЛИОС""")</f>
        <v>ООО УК "ГЕЛИОС"</v>
      </c>
      <c r="K5384" s="24" t="s">
        <v>8322</v>
      </c>
      <c r="L5384" s="22" t="s">
        <v>10</v>
      </c>
      <c r="M5384" s="25">
        <v>17400</v>
      </c>
      <c r="N5384" s="27">
        <v>0.17659212301524393</v>
      </c>
    </row>
    <row r="5385" spans="1:14" hidden="1" outlineLevel="1" x14ac:dyDescent="0.2">
      <c r="A5385" s="23" t="str">
        <f>HYPERLINK("https://www.spark-marketing.ru/Card/Person/4347257", "ГБУЗ ""РАЙОННАЯ БОЛЬНИЦА П.БРЕДЫ""")</f>
        <v>ГБУЗ "РАЙОННАЯ БОЛЬНИЦА П.БРЕДЫ"</v>
      </c>
      <c r="B5385" s="24" t="s">
        <v>8320</v>
      </c>
      <c r="C5385" s="25">
        <v>21131.69</v>
      </c>
      <c r="D5385" s="22" t="s">
        <v>8321</v>
      </c>
      <c r="E5385" s="22" t="s">
        <v>437</v>
      </c>
      <c r="F5385" s="23" t="str">
        <f>HYPERLINK("https://www.spark-marketing.ru/Card/Lot/73084568", "Услуги прочие электричество")</f>
        <v>Услуги прочие электричество</v>
      </c>
      <c r="G5385" s="22" t="s">
        <v>469</v>
      </c>
      <c r="H5385" s="22" t="s">
        <v>2180</v>
      </c>
      <c r="I5385" s="26">
        <v>43705.635520833297</v>
      </c>
      <c r="J5385" s="23" t="str">
        <f>HYPERLINK("https://www.spark-marketing.ru/Card/Person/6061471", "ООО ""ЭНЕРГОТРЕНД""")</f>
        <v>ООО "ЭНЕРГОТРЕНД"</v>
      </c>
      <c r="K5385" s="24" t="s">
        <v>8323</v>
      </c>
      <c r="L5385" s="28" t="s">
        <v>51</v>
      </c>
      <c r="M5385" s="25">
        <v>18160</v>
      </c>
      <c r="N5385" s="27">
        <v>0.14062718126188678</v>
      </c>
    </row>
    <row r="5386" spans="1:14" hidden="1" outlineLevel="1" x14ac:dyDescent="0.2">
      <c r="A5386" s="23" t="str">
        <f>HYPERLINK("https://www.spark-marketing.ru/Card/Person/4347257", "ГБУЗ ""РАЙОННАЯ БОЛЬНИЦА П.БРЕДЫ""")</f>
        <v>ГБУЗ "РАЙОННАЯ БОЛЬНИЦА П.БРЕДЫ"</v>
      </c>
      <c r="B5386" s="24" t="s">
        <v>8320</v>
      </c>
      <c r="C5386" s="25">
        <v>21131.69</v>
      </c>
      <c r="D5386" s="22" t="s">
        <v>8321</v>
      </c>
      <c r="E5386" s="22" t="s">
        <v>437</v>
      </c>
      <c r="F5386" s="23" t="str">
        <f>HYPERLINK("https://www.spark-marketing.ru/Card/Lot/73084568", "Услуги прочие электричество")</f>
        <v>Услуги прочие электричество</v>
      </c>
      <c r="G5386" s="22" t="s">
        <v>469</v>
      </c>
      <c r="H5386" s="22" t="s">
        <v>2180</v>
      </c>
      <c r="I5386" s="26">
        <v>43705.635520833297</v>
      </c>
      <c r="J5386" s="23" t="str">
        <f>HYPERLINK("https://www.spark-marketing.ru/Card/Person/6617069", "Сорокина Елена Станиславовна")</f>
        <v>Сорокина Елена Станиславовна</v>
      </c>
      <c r="K5386" s="24" t="s">
        <v>8324</v>
      </c>
      <c r="L5386" s="28" t="s">
        <v>51</v>
      </c>
      <c r="M5386" s="25">
        <v>19199</v>
      </c>
      <c r="N5386" s="27">
        <v>9.1459320101705072E-2</v>
      </c>
    </row>
    <row r="5387" spans="1:14" x14ac:dyDescent="0.15">
      <c r="A5387" s="23" t="str">
        <f>HYPERLINK("https://www.spark-marketing.ru/Card/Person/875848", "МО МВД РОССИИ ""ПАВЛОВСКИЙ""")</f>
        <v>МО МВД РОССИИ "ПАВЛОВСКИЙ"</v>
      </c>
      <c r="B5387" s="24" t="s">
        <v>8298</v>
      </c>
      <c r="C5387" s="25">
        <v>560000</v>
      </c>
      <c r="D5387" s="22" t="s">
        <v>8325</v>
      </c>
      <c r="E5387" s="22" t="s">
        <v>48</v>
      </c>
      <c r="F5387" s="23" t="str">
        <f>HYPERLINK("https://www.spark-marketing.ru/Card/Lot/73071771", "Оказание услуг по организации горячего питания для лиц, содержащихся в изоляторе временного содержания, а так же лиц, задержанных за административное правонарушение на срок более трех часов и содержащихся в помещении для административно задержанных д...")</f>
        <v>Оказание услуг по организации горячего питания для лиц, содержащихся в изоляторе временного содержания, а так же лиц, задержанных за административное правонарушение на срок более трех часов и содержащихся в помещении для административно задержанных д...</v>
      </c>
      <c r="G5387" s="22" t="s">
        <v>63</v>
      </c>
      <c r="H5387" s="22" t="s">
        <v>7518</v>
      </c>
      <c r="I5387" s="26">
        <v>43705.494363425903</v>
      </c>
      <c r="J5387" s="23" t="str">
        <f>HYPERLINK("https://www.spark-marketing.ru/Card/Person/900177", "ООО ""СОНИК""")</f>
        <v>ООО "СОНИК"</v>
      </c>
      <c r="K5387" s="24" t="s">
        <v>8300</v>
      </c>
      <c r="L5387" s="22" t="s">
        <v>10</v>
      </c>
      <c r="M5387" s="28" t="s">
        <v>51</v>
      </c>
      <c r="N5387" s="28" t="s">
        <v>51</v>
      </c>
    </row>
    <row r="5388" spans="1:14" x14ac:dyDescent="0.15">
      <c r="A5388" s="23" t="str">
        <f>HYPERLINK("https://www.spark-marketing.ru/Card/Person/4348382", "ООО ""ГАЗПРОМ ПИТАНИЕ""")</f>
        <v>ООО "ГАЗПРОМ ПИТАНИЕ"</v>
      </c>
      <c r="B5388" s="24" t="s">
        <v>2869</v>
      </c>
      <c r="C5388" s="25">
        <v>344049</v>
      </c>
      <c r="D5388" s="22" t="s">
        <v>8326</v>
      </c>
      <c r="E5388" s="22" t="s">
        <v>52</v>
      </c>
      <c r="F5388" s="23" t="str">
        <f>HYPERLINK("https://www.spark-marketing.ru/Card/Lot/73079259", "Оказание медицинских услуг по проведению обязательных периодических медицинских осмотров работников для нужд филиала «чайковское управление по организации общественного питания ооо «газпром питание»")</f>
        <v>Оказание медицинских услуг по проведению обязательных периодических медицинских осмотров работников для нужд филиала «чайковское управление по организации общественного питания ооо «газпром питание»</v>
      </c>
      <c r="G5388" s="22" t="s">
        <v>56</v>
      </c>
      <c r="H5388" s="22" t="s">
        <v>56</v>
      </c>
      <c r="I5388" s="26">
        <v>43705.518750000003</v>
      </c>
      <c r="J5388" s="28" t="s">
        <v>51</v>
      </c>
      <c r="K5388" s="28" t="s">
        <v>51</v>
      </c>
      <c r="L5388" s="28" t="s">
        <v>51</v>
      </c>
      <c r="M5388" s="28" t="s">
        <v>51</v>
      </c>
      <c r="N5388" s="28" t="s">
        <v>51</v>
      </c>
    </row>
    <row r="5389" spans="1:14" x14ac:dyDescent="0.15">
      <c r="A5389" s="23" t="str">
        <f>HYPERLINK("https://www.spark-marketing.ru/Card/Person/1065638", "МО МВД РОССИИ ""ЗУЕВСКИЙ""")</f>
        <v>МО МВД РОССИИ "ЗУЕВСКИЙ"</v>
      </c>
      <c r="B5389" s="24" t="s">
        <v>7609</v>
      </c>
      <c r="C5389" s="25">
        <v>489578</v>
      </c>
      <c r="D5389" s="22" t="s">
        <v>8327</v>
      </c>
      <c r="E5389" s="22" t="s">
        <v>48</v>
      </c>
      <c r="F5389" s="23" t="str">
        <f>HYPERLINK("https://www.spark-marketing.ru/Card/Lot/73078737", "Оказание услуг по организации ежедневного трехразового горячего питания лиц подвергнутых административному аресту и содержащихся в изоляторе временного содержания (ИВС) и специальных помещениях для содержания задержанных лиц (СПСЗЛ) МО МВД России «Зу...")</f>
        <v>Оказание услуг по организации ежедневного трехразового горячего питания лиц подвергнутых административному аресту и содержащихся в изоляторе временного содержания (ИВС) и специальных помещениях для содержания задержанных лиц (СПСЗЛ) МО МВД России «Зу...</v>
      </c>
      <c r="G5389" s="22" t="s">
        <v>224</v>
      </c>
      <c r="H5389" s="22" t="s">
        <v>7611</v>
      </c>
      <c r="I5389" s="26">
        <v>43705.487905092603</v>
      </c>
      <c r="J5389" s="23" t="str">
        <f>HYPERLINK("https://www.spark-marketing.ru/Card/Person/51950", "ООО ""ЗДОРОВОЕ ПИТАНИЕ""")</f>
        <v>ООО "ЗДОРОВОЕ ПИТАНИЕ"</v>
      </c>
      <c r="K5389" s="24" t="s">
        <v>2336</v>
      </c>
      <c r="L5389" s="22" t="s">
        <v>10</v>
      </c>
      <c r="M5389" s="28" t="s">
        <v>51</v>
      </c>
      <c r="N5389" s="28" t="s">
        <v>51</v>
      </c>
    </row>
    <row r="5390" spans="1:14" x14ac:dyDescent="0.15">
      <c r="A5390" s="23" t="str">
        <f>HYPERLINK("https://www.spark-marketing.ru/Card/Person/103665", "ОТДЕЛ МВД РОССИИ ПО ЗЕЛЕНОДОЛЬСКОМУ РАЙОНУ")</f>
        <v>ОТДЕЛ МВД РОССИИ ПО ЗЕЛЕНОДОЛЬСКОМУ РАЙОНУ</v>
      </c>
      <c r="B5390" s="24" t="s">
        <v>8328</v>
      </c>
      <c r="C5390" s="25">
        <v>4600000</v>
      </c>
      <c r="D5390" s="22" t="s">
        <v>8329</v>
      </c>
      <c r="E5390" s="22" t="s">
        <v>48</v>
      </c>
      <c r="F5390" s="23" t="str">
        <f>HYPERLINK("https://www.spark-marketing.ru/Card/Lot/73082037", "Прочая закупка товаров, работ и услуг для обеспечения государственных (муниципальных) нужд - Услуги по организации питания подозреваемых и обвиняемых в совершении преступлений, находящихся в изоляторах временного содержащихся в комнате содержания зад...")</f>
        <v>Прочая закупка товаров, работ и услуг для обеспечения государственных (муниципальных) нужд - Услуги по организации питания подозреваемых и обвиняемых в совершении преступлений, находящихся в изоляторах временного содержащихся в комнате содержания зад...</v>
      </c>
      <c r="G5390" s="22" t="s">
        <v>217</v>
      </c>
      <c r="H5390" s="22" t="s">
        <v>8330</v>
      </c>
      <c r="I5390" s="26">
        <v>43705.466423611098</v>
      </c>
      <c r="J5390" s="28" t="s">
        <v>51</v>
      </c>
      <c r="K5390" s="28" t="s">
        <v>51</v>
      </c>
      <c r="L5390" s="28" t="s">
        <v>51</v>
      </c>
      <c r="M5390" s="28" t="s">
        <v>51</v>
      </c>
      <c r="N5390" s="28" t="s">
        <v>51</v>
      </c>
    </row>
    <row r="5391" spans="1:14" ht="12.75" hidden="1" outlineLevel="1" x14ac:dyDescent="0.2">
      <c r="A5391" s="23" t="str">
        <f>HYPERLINK("https://www.spark-marketing.ru/Card/Person/103665", "ОТДЕЛ МВД РОССИИ ПО ЗЕЛЕНОДОЛЬСКОМУ РАЙОНУ")</f>
        <v>ОТДЕЛ МВД РОССИИ ПО ЗЕЛЕНОДОЛЬСКОМУ РАЙОНУ</v>
      </c>
      <c r="B5391" s="24" t="s">
        <v>8328</v>
      </c>
      <c r="C5391" s="25">
        <v>4600000</v>
      </c>
      <c r="D5391" s="22" t="s">
        <v>8329</v>
      </c>
      <c r="E5391" s="22" t="s">
        <v>48</v>
      </c>
      <c r="F5391" s="23" t="str">
        <f>HYPERLINK("https://www.spark-marketing.ru/Card/Lot/73082037", "Прочая закупка товаров, работ и услуг для обеспечения государственных (муниципальных) нужд - Услуги по организации питания подозреваемых и обвиняемых в совершении преступлений, находящихся в изоляторах временного содержащихся в комнате содержания зад...")</f>
        <v>Прочая закупка товаров, работ и услуг для обеспечения государственных (муниципальных) нужд - Услуги по организации питания подозреваемых и обвиняемых в совершении преступлений, находящихся в изоляторах временного содержащихся в комнате содержания зад...</v>
      </c>
      <c r="G5391" s="22" t="s">
        <v>217</v>
      </c>
      <c r="H5391" s="22" t="s">
        <v>8330</v>
      </c>
      <c r="I5391" s="26">
        <v>43705.466423611098</v>
      </c>
      <c r="J5391" s="23" t="str">
        <f>HYPERLINK("https://www.spark-marketing.ru/Card/Person/124965", "Потапова Наталья Павловна")</f>
        <v>Потапова Наталья Павловна</v>
      </c>
      <c r="K5391" s="24" t="s">
        <v>8331</v>
      </c>
      <c r="L5391" s="22" t="s">
        <v>10</v>
      </c>
      <c r="M5391" s="25">
        <v>688.34</v>
      </c>
      <c r="N5391" s="27">
        <v>0.99985036086956525</v>
      </c>
    </row>
    <row r="5392" spans="1:14" hidden="1" outlineLevel="1" x14ac:dyDescent="0.2">
      <c r="A5392" s="23" t="str">
        <f>HYPERLINK("https://www.spark-marketing.ru/Card/Person/103665", "ОТДЕЛ МВД РОССИИ ПО ЗЕЛЕНОДОЛЬСКОМУ РАЙОНУ")</f>
        <v>ОТДЕЛ МВД РОССИИ ПО ЗЕЛЕНОДОЛЬСКОМУ РАЙОНУ</v>
      </c>
      <c r="B5392" s="24" t="s">
        <v>8328</v>
      </c>
      <c r="C5392" s="25">
        <v>4600000</v>
      </c>
      <c r="D5392" s="22" t="s">
        <v>8329</v>
      </c>
      <c r="E5392" s="22" t="s">
        <v>48</v>
      </c>
      <c r="F5392" s="23" t="str">
        <f>HYPERLINK("https://www.spark-marketing.ru/Card/Lot/73082037", "Прочая закупка товаров, работ и услуг для обеспечения государственных (муниципальных) нужд - Услуги по организации питания подозреваемых и обвиняемых в совершении преступлений, находящихся в изоляторах временного содержащихся в комнате содержания зад...")</f>
        <v>Прочая закупка товаров, работ и услуг для обеспечения государственных (муниципальных) нужд - Услуги по организации питания подозреваемых и обвиняемых в совершении преступлений, находящихся в изоляторах временного содержащихся в комнате содержания зад...</v>
      </c>
      <c r="G5392" s="22" t="s">
        <v>217</v>
      </c>
      <c r="H5392" s="22" t="s">
        <v>8330</v>
      </c>
      <c r="I5392" s="26">
        <v>43705.466423611098</v>
      </c>
      <c r="J5392" s="23" t="str">
        <f>HYPERLINK("https://www.spark-marketing.ru/Card/Person/4889913", "ООО АНТАРЕС-Х""")</f>
        <v>ООО АНТАРЕС-Х"</v>
      </c>
      <c r="K5392" s="24" t="s">
        <v>2877</v>
      </c>
      <c r="L5392" s="28" t="s">
        <v>51</v>
      </c>
      <c r="M5392" s="25">
        <v>694.72</v>
      </c>
      <c r="N5392" s="27">
        <v>0.9998489739130435</v>
      </c>
    </row>
    <row r="5393" spans="1:14" x14ac:dyDescent="0.15">
      <c r="A5393" s="23" t="str">
        <f>HYPERLINK("https://www.spark-marketing.ru/Card/Person/4346304", "ФКУ ""ЦХИСО МВД ПО ЧЕЧЕНСКОЙ РЕСПУБЛИКЕ""")</f>
        <v>ФКУ "ЦХИСО МВД ПО ЧЕЧЕНСКОЙ РЕСПУБЛИКЕ"</v>
      </c>
      <c r="B5393" s="24" t="s">
        <v>1981</v>
      </c>
      <c r="C5393" s="25">
        <v>2255000</v>
      </c>
      <c r="D5393" s="22" t="s">
        <v>8332</v>
      </c>
      <c r="E5393" s="22" t="s">
        <v>96</v>
      </c>
      <c r="F5393" s="23" t="str">
        <f>HYPERLINK("https://www.spark-marketing.ru/Card/Lot/73081714", "Организация ежедневного горячего питания, в том числе в выходные и праздничные дни, лиц содержащихся в Центре временного содержания иностранных граждан при МВД по Чеченской Республике")</f>
        <v>Организация ежедневного горячего питания, в том числе в выходные и праздничные дни, лиц содержащихся в Центре временного содержания иностранных граждан при МВД по Чеченской Республике</v>
      </c>
      <c r="G5393" s="22" t="s">
        <v>1983</v>
      </c>
      <c r="H5393" s="22" t="s">
        <v>1983</v>
      </c>
      <c r="I5393" s="26">
        <v>43704.580046296302</v>
      </c>
      <c r="J5393" s="23" t="str">
        <f>HYPERLINK("https://www.spark-marketing.ru/Card/Person/6685064", "ООО ТОРГОВАЯ ФИРМА ""ХАН-013""")</f>
        <v>ООО ТОРГОВАЯ ФИРМА "ХАН-013"</v>
      </c>
      <c r="K5393" s="24" t="s">
        <v>7295</v>
      </c>
      <c r="L5393" s="22" t="s">
        <v>10</v>
      </c>
      <c r="M5393" s="28" t="s">
        <v>51</v>
      </c>
      <c r="N5393" s="28" t="s">
        <v>51</v>
      </c>
    </row>
    <row r="5394" spans="1:14" x14ac:dyDescent="0.15">
      <c r="A5394" s="23" t="str">
        <f>HYPERLINK("https://www.spark-marketing.ru/Card/Person/4346730", "ДЕПАРТАМЕНТ ЗДРАВООХРАНЕНИЯ БРЯНСКОЙ ОБЛАСТИ")</f>
        <v>ДЕПАРТАМЕНТ ЗДРАВООХРАНЕНИЯ БРЯНСКОЙ ОБЛАСТИ</v>
      </c>
      <c r="B5394" s="24" t="s">
        <v>8333</v>
      </c>
      <c r="C5394" s="25">
        <v>3339930</v>
      </c>
      <c r="D5394" s="22" t="s">
        <v>8334</v>
      </c>
      <c r="E5394" s="22" t="s">
        <v>86</v>
      </c>
      <c r="F5394" s="23" t="str">
        <f>HYPERLINK("https://www.spark-marketing.ru/Card/Lot/73081655", "Оказание услуг по осуществлению организационных мероприятий по обеспечению адресно лекарственными средствами, изделиями медицинского назначения и продуктами специализированного лечебного питания граждан, имеющих право на получение государственной соц...")</f>
        <v>Оказание услуг по осуществлению организационных мероприятий по обеспечению адресно лекарственными средствами, изделиями медицинского назначения и продуктами специализированного лечебного питания граждан, имеющих право на получение государственной соц...</v>
      </c>
      <c r="G5394" s="22" t="s">
        <v>475</v>
      </c>
      <c r="H5394" s="22" t="s">
        <v>476</v>
      </c>
      <c r="I5394" s="26">
        <v>43704.769918981503</v>
      </c>
      <c r="J5394" s="23" t="str">
        <f>HYPERLINK("https://www.spark-marketing.ru/Card/Person/26609", "ГУП ""БРЯНСКФАРМАЦИЯ""")</f>
        <v>ГУП "БРЯНСКФАРМАЦИЯ"</v>
      </c>
      <c r="K5394" s="24" t="s">
        <v>8335</v>
      </c>
      <c r="L5394" s="22" t="s">
        <v>10</v>
      </c>
      <c r="M5394" s="28" t="s">
        <v>51</v>
      </c>
      <c r="N5394" s="28" t="s">
        <v>51</v>
      </c>
    </row>
    <row r="5395" spans="1:14" x14ac:dyDescent="0.15">
      <c r="A5395" s="23" t="str">
        <f>HYPERLINK("https://www.spark-marketing.ru/Card/Person/103665", "ОТДЕЛ МВД РОССИИ ПО ЗЕЛЕНОДОЛЬСКОМУ РАЙОНУ")</f>
        <v>ОТДЕЛ МВД РОССИИ ПО ЗЕЛЕНОДОЛЬСКОМУ РАЙОНУ</v>
      </c>
      <c r="B5395" s="24" t="s">
        <v>8328</v>
      </c>
      <c r="C5395" s="25">
        <v>4600000</v>
      </c>
      <c r="D5395" s="22" t="s">
        <v>8336</v>
      </c>
      <c r="E5395" s="22" t="s">
        <v>48</v>
      </c>
      <c r="F5395" s="23" t="str">
        <f>HYPERLINK("https://www.spark-marketing.ru/Card/Lot/73082057", "Прочая закупка товаров, работ и услуг для обеспечения государственных (муниципальных) нужд - Услуги по организации питания подозреваемых и обвиняемых в совершении преступлений, находящихся в изоляторах временного содержания подозреваемых и обвиняемых...")</f>
        <v>Прочая закупка товаров, работ и услуг для обеспечения государственных (муниципальных) нужд - Услуги по организации питания подозреваемых и обвиняемых в совершении преступлений, находящихся в изоляторах временного содержания подозреваемых и обвиняемых...</v>
      </c>
      <c r="G5395" s="22" t="s">
        <v>217</v>
      </c>
      <c r="H5395" s="22" t="s">
        <v>8330</v>
      </c>
      <c r="I5395" s="26">
        <v>43705.480115740698</v>
      </c>
      <c r="J5395" s="28" t="s">
        <v>51</v>
      </c>
      <c r="K5395" s="28" t="s">
        <v>51</v>
      </c>
      <c r="L5395" s="28" t="s">
        <v>51</v>
      </c>
      <c r="M5395" s="28" t="s">
        <v>51</v>
      </c>
      <c r="N5395" s="28" t="s">
        <v>51</v>
      </c>
    </row>
    <row r="5396" spans="1:14" ht="12.75" hidden="1" outlineLevel="1" x14ac:dyDescent="0.2">
      <c r="A5396" s="23" t="str">
        <f>HYPERLINK("https://www.spark-marketing.ru/Card/Person/103665", "ОТДЕЛ МВД РОССИИ ПО ЗЕЛЕНОДОЛЬСКОМУ РАЙОНУ")</f>
        <v>ОТДЕЛ МВД РОССИИ ПО ЗЕЛЕНОДОЛЬСКОМУ РАЙОНУ</v>
      </c>
      <c r="B5396" s="24" t="s">
        <v>8328</v>
      </c>
      <c r="C5396" s="25">
        <v>4600000</v>
      </c>
      <c r="D5396" s="22" t="s">
        <v>8336</v>
      </c>
      <c r="E5396" s="22" t="s">
        <v>48</v>
      </c>
      <c r="F5396" s="23" t="str">
        <f>HYPERLINK("https://www.spark-marketing.ru/Card/Lot/73082057", "Прочая закупка товаров, работ и услуг для обеспечения государственных (муниципальных) нужд - Услуги по организации питания подозреваемых и обвиняемых в совершении преступлений, находящихся в изоляторах временного содержания подозреваемых и обвиняемых...")</f>
        <v>Прочая закупка товаров, работ и услуг для обеспечения государственных (муниципальных) нужд - Услуги по организации питания подозреваемых и обвиняемых в совершении преступлений, находящихся в изоляторах временного содержания подозреваемых и обвиняемых...</v>
      </c>
      <c r="G5396" s="22" t="s">
        <v>217</v>
      </c>
      <c r="H5396" s="22" t="s">
        <v>8330</v>
      </c>
      <c r="I5396" s="26">
        <v>43705.480115740698</v>
      </c>
      <c r="J5396" s="23" t="str">
        <f>HYPERLINK("https://www.spark-marketing.ru/Card/Person/124965", "Потапова Наталья Павловна")</f>
        <v>Потапова Наталья Павловна</v>
      </c>
      <c r="K5396" s="24" t="s">
        <v>8331</v>
      </c>
      <c r="L5396" s="22" t="s">
        <v>10</v>
      </c>
      <c r="M5396" s="25">
        <v>669.25</v>
      </c>
      <c r="N5396" s="27">
        <v>0.99985451086956523</v>
      </c>
    </row>
    <row r="5397" spans="1:14" hidden="1" outlineLevel="1" x14ac:dyDescent="0.2">
      <c r="A5397" s="23" t="str">
        <f>HYPERLINK("https://www.spark-marketing.ru/Card/Person/103665", "ОТДЕЛ МВД РОССИИ ПО ЗЕЛЕНОДОЛЬСКОМУ РАЙОНУ")</f>
        <v>ОТДЕЛ МВД РОССИИ ПО ЗЕЛЕНОДОЛЬСКОМУ РАЙОНУ</v>
      </c>
      <c r="B5397" s="24" t="s">
        <v>8328</v>
      </c>
      <c r="C5397" s="25">
        <v>4600000</v>
      </c>
      <c r="D5397" s="22" t="s">
        <v>8336</v>
      </c>
      <c r="E5397" s="22" t="s">
        <v>48</v>
      </c>
      <c r="F5397" s="23" t="str">
        <f>HYPERLINK("https://www.spark-marketing.ru/Card/Lot/73082057", "Прочая закупка товаров, работ и услуг для обеспечения государственных (муниципальных) нужд - Услуги по организации питания подозреваемых и обвиняемых в совершении преступлений, находящихся в изоляторах временного содержания подозреваемых и обвиняемых...")</f>
        <v>Прочая закупка товаров, работ и услуг для обеспечения государственных (муниципальных) нужд - Услуги по организации питания подозреваемых и обвиняемых в совершении преступлений, находящихся в изоляторах временного содержания подозреваемых и обвиняемых...</v>
      </c>
      <c r="G5397" s="22" t="s">
        <v>217</v>
      </c>
      <c r="H5397" s="22" t="s">
        <v>8330</v>
      </c>
      <c r="I5397" s="26">
        <v>43705.480115740698</v>
      </c>
      <c r="J5397" s="23" t="str">
        <f>HYPERLINK("https://www.spark-marketing.ru/Card/Person/4889913", "ООО АНТАРЕС-Х""")</f>
        <v>ООО АНТАРЕС-Х"</v>
      </c>
      <c r="K5397" s="24" t="s">
        <v>2877</v>
      </c>
      <c r="L5397" s="28" t="s">
        <v>51</v>
      </c>
      <c r="M5397" s="25">
        <v>675.63</v>
      </c>
      <c r="N5397" s="27">
        <v>0.99985312391304348</v>
      </c>
    </row>
    <row r="5398" spans="1:14" x14ac:dyDescent="0.15">
      <c r="A5398" s="23" t="str">
        <f>HYPERLINK("https://www.spark-marketing.ru/Card/Person/4353419", "ОМВД РОССИИ ПО ВЫТЕГОРСКОМУ РАЙОНУ")</f>
        <v>ОМВД РОССИИ ПО ВЫТЕГОРСКОМУ РАЙОНУ</v>
      </c>
      <c r="B5398" s="24" t="s">
        <v>8337</v>
      </c>
      <c r="C5398" s="25">
        <v>257220</v>
      </c>
      <c r="D5398" s="22" t="s">
        <v>8338</v>
      </c>
      <c r="E5398" s="22" t="s">
        <v>48</v>
      </c>
      <c r="F5398" s="23" t="str">
        <f>HYPERLINK("https://www.spark-marketing.ru/Card/Lot/73074495",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398" s="22" t="s">
        <v>503</v>
      </c>
      <c r="H5398" s="22" t="s">
        <v>8339</v>
      </c>
      <c r="I5398" s="26">
        <v>43705.472037036998</v>
      </c>
      <c r="J5398" s="28" t="s">
        <v>51</v>
      </c>
      <c r="K5398" s="28" t="s">
        <v>51</v>
      </c>
      <c r="L5398" s="28" t="s">
        <v>51</v>
      </c>
      <c r="M5398" s="28" t="s">
        <v>51</v>
      </c>
      <c r="N5398" s="28" t="s">
        <v>51</v>
      </c>
    </row>
    <row r="5399" spans="1:14" x14ac:dyDescent="0.15">
      <c r="A5399" s="23" t="str">
        <f>HYPERLINK("https://www.spark-marketing.ru/Card/Person/3669", "МО МВД РОССИИ ""МАЗАНОВСКИЙ""")</f>
        <v>МО МВД РОССИИ "МАЗАНОВСКИЙ"</v>
      </c>
      <c r="B5399" s="24" t="s">
        <v>8340</v>
      </c>
      <c r="C5399" s="25">
        <v>979069</v>
      </c>
      <c r="D5399" s="22" t="s">
        <v>8341</v>
      </c>
      <c r="E5399" s="22" t="s">
        <v>48</v>
      </c>
      <c r="F5399" s="23" t="str">
        <f>HYPERLINK("https://www.spark-marketing.ru/Card/Lot/73068711", "Оказание услуг по питанию лиц содержащихся в ИВС МО МВД России ""Мазановский""")</f>
        <v>Оказание услуг по питанию лиц содержащихся в ИВС МО МВД России "Мазановский"</v>
      </c>
      <c r="G5399" s="22" t="s">
        <v>210</v>
      </c>
      <c r="H5399" s="22" t="s">
        <v>8342</v>
      </c>
      <c r="I5399" s="26">
        <v>43704.761620370402</v>
      </c>
      <c r="J5399" s="23" t="str">
        <f>HYPERLINK("https://www.spark-marketing.ru/Card/Person/5795725", "Книга Галина Алексеевна")</f>
        <v>Книга Галина Алексеевна</v>
      </c>
      <c r="K5399" s="24" t="s">
        <v>8343</v>
      </c>
      <c r="L5399" s="22" t="s">
        <v>10</v>
      </c>
      <c r="M5399" s="28" t="s">
        <v>51</v>
      </c>
      <c r="N5399" s="28" t="s">
        <v>51</v>
      </c>
    </row>
    <row r="5400" spans="1:14" x14ac:dyDescent="0.15">
      <c r="A5400" s="23" t="str">
        <f>HYPERLINK("https://www.spark-marketing.ru/Card/Person/5169", "ОМВД РОССИИ ПО ПУРОВСКОМУ РАЙОНУ")</f>
        <v>ОМВД РОССИИ ПО ПУРОВСКОМУ РАЙОНУ</v>
      </c>
      <c r="B5400" s="24" t="s">
        <v>1171</v>
      </c>
      <c r="C5400" s="25">
        <v>1580000</v>
      </c>
      <c r="D5400" s="22" t="s">
        <v>8344</v>
      </c>
      <c r="E5400" s="22" t="s">
        <v>48</v>
      </c>
      <c r="F5400" s="23" t="str">
        <f>HYPERLINK("https://www.spark-marketing.ru/Card/Lot/73076309", "Оказание услуг по организации (изготовлению и поставке) продукции горячего питания для лиц, содержащихся в ИВС и специальных помещениях ДЧ ОМВД России по Пуровскому району")</f>
        <v>Оказание услуг по организации (изготовлению и поставке) продукции горячего питания для лиц, содержащихся в ИВС и специальных помещениях ДЧ ОМВД России по Пуровскому району</v>
      </c>
      <c r="G5400" s="22" t="s">
        <v>1056</v>
      </c>
      <c r="H5400" s="22" t="s">
        <v>1173</v>
      </c>
      <c r="I5400" s="26">
        <v>43705.484629629602</v>
      </c>
      <c r="J5400" s="28" t="s">
        <v>51</v>
      </c>
      <c r="K5400" s="28" t="s">
        <v>51</v>
      </c>
      <c r="L5400" s="28" t="s">
        <v>51</v>
      </c>
      <c r="M5400" s="28" t="s">
        <v>51</v>
      </c>
      <c r="N5400" s="28" t="s">
        <v>51</v>
      </c>
    </row>
    <row r="5401" spans="1:14" x14ac:dyDescent="0.15">
      <c r="A5401" s="23" t="str">
        <f>HYPERLINK("https://www.spark-marketing.ru/Card/Person/106131", "ОМВД РОССИИ ПО КОНДИНСКОМУ РАЙОНУ")</f>
        <v>ОМВД РОССИИ ПО КОНДИНСКОМУ РАЙОНУ</v>
      </c>
      <c r="B5401" s="24" t="s">
        <v>7595</v>
      </c>
      <c r="C5401" s="25">
        <v>3375180</v>
      </c>
      <c r="D5401" s="22" t="s">
        <v>8345</v>
      </c>
      <c r="E5401" s="22" t="s">
        <v>48</v>
      </c>
      <c r="F5401" s="23" t="str">
        <f>HYPERLINK("https://www.spark-marketing.ru/Card/Lot/73071852", "Оказание услуг по организации питания в ИВС")</f>
        <v>Оказание услуг по организации питания в ИВС</v>
      </c>
      <c r="G5401" s="22" t="s">
        <v>97</v>
      </c>
      <c r="H5401" s="22" t="s">
        <v>7597</v>
      </c>
      <c r="I5401" s="26">
        <v>43704.737777777802</v>
      </c>
      <c r="J5401" s="23" t="str">
        <f>HYPERLINK("https://www.spark-marketing.ru/Card/Person/1645613", "Сафронова Татьяна Всеволодовна")</f>
        <v>Сафронова Татьяна Всеволодовна</v>
      </c>
      <c r="K5401" s="24" t="s">
        <v>8346</v>
      </c>
      <c r="L5401" s="22" t="s">
        <v>10</v>
      </c>
      <c r="M5401" s="28" t="s">
        <v>51</v>
      </c>
      <c r="N5401" s="28" t="s">
        <v>51</v>
      </c>
    </row>
    <row r="5402" spans="1:14" x14ac:dyDescent="0.15">
      <c r="A5402" s="23" t="str">
        <f>HYPERLINK("https://www.spark-marketing.ru/Card/Person/17591", "ОТДЕЛ МВД РОССИИ ПО ЗАТО Г. ЗЕЛЕНОГОРСК")</f>
        <v>ОТДЕЛ МВД РОССИИ ПО ЗАТО Г. ЗЕЛЕНОГОРСК</v>
      </c>
      <c r="B5402" s="24" t="s">
        <v>8347</v>
      </c>
      <c r="C5402" s="25">
        <v>425</v>
      </c>
      <c r="D5402" s="22" t="s">
        <v>8348</v>
      </c>
      <c r="E5402" s="22" t="s">
        <v>48</v>
      </c>
      <c r="F5402" s="23" t="str">
        <f>HYPERLINK("https://www.spark-marketing.ru/Card/Lot/73072742",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402" s="22" t="s">
        <v>281</v>
      </c>
      <c r="H5402" s="22" t="s">
        <v>8349</v>
      </c>
      <c r="I5402" s="26">
        <v>43705.434120370403</v>
      </c>
      <c r="J5402" s="28" t="s">
        <v>51</v>
      </c>
      <c r="K5402" s="28" t="s">
        <v>51</v>
      </c>
      <c r="L5402" s="28" t="s">
        <v>51</v>
      </c>
      <c r="M5402" s="28" t="s">
        <v>51</v>
      </c>
      <c r="N5402" s="28" t="s">
        <v>51</v>
      </c>
    </row>
    <row r="5403" spans="1:14" x14ac:dyDescent="0.15">
      <c r="A5403" s="23" t="str">
        <f>HYPERLINK("https://www.spark-marketing.ru/Card/Person/1054175", "МОМВД РОССИИ ПО ЗАТО ЗНАМЕНСК")</f>
        <v>МОМВД РОССИИ ПО ЗАТО ЗНАМЕНСК</v>
      </c>
      <c r="B5403" s="24" t="s">
        <v>139</v>
      </c>
      <c r="C5403" s="25">
        <v>50000</v>
      </c>
      <c r="D5403" s="22" t="s">
        <v>8350</v>
      </c>
      <c r="E5403" s="22" t="s">
        <v>48</v>
      </c>
      <c r="F5403" s="23" t="str">
        <f>HYPERLINK("https://www.spark-marketing.ru/Card/Lot/73072781", "Услуги по обеспечению питания лиц содержащихся в спец. помещениях задержанных лиц, 4 усл. ед")</f>
        <v>Услуги по обеспечению питания лиц содержащихся в спец. помещениях задержанных лиц, 4 усл. ед</v>
      </c>
      <c r="G5403" s="22" t="s">
        <v>141</v>
      </c>
      <c r="H5403" s="22" t="s">
        <v>142</v>
      </c>
      <c r="I5403" s="26">
        <v>43705.438344907401</v>
      </c>
      <c r="J5403" s="28" t="s">
        <v>51</v>
      </c>
      <c r="K5403" s="28" t="s">
        <v>51</v>
      </c>
      <c r="L5403" s="28" t="s">
        <v>51</v>
      </c>
      <c r="M5403" s="28" t="s">
        <v>51</v>
      </c>
      <c r="N5403" s="28" t="s">
        <v>51</v>
      </c>
    </row>
    <row r="5404" spans="1:14" x14ac:dyDescent="0.15">
      <c r="A5404" s="23" t="str">
        <f>HYPERLINK("https://www.spark-marketing.ru/Card/Person/537184", "МО МВД РОССИИ ""БАРЫШСКИЙ""")</f>
        <v>МО МВД РОССИИ "БАРЫШСКИЙ"</v>
      </c>
      <c r="B5404" s="24" t="s">
        <v>4608</v>
      </c>
      <c r="C5404" s="25">
        <v>30000</v>
      </c>
      <c r="D5404" s="22" t="s">
        <v>8351</v>
      </c>
      <c r="E5404" s="22" t="s">
        <v>48</v>
      </c>
      <c r="F5404" s="23" t="str">
        <f>HYPERLINK("https://www.spark-marketing.ru/Card/Lot/73072636",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404" s="22" t="s">
        <v>1918</v>
      </c>
      <c r="H5404" s="22" t="s">
        <v>8352</v>
      </c>
      <c r="I5404" s="26">
        <v>43705.430300925902</v>
      </c>
      <c r="J5404" s="28" t="s">
        <v>51</v>
      </c>
      <c r="K5404" s="28" t="s">
        <v>51</v>
      </c>
      <c r="L5404" s="28" t="s">
        <v>51</v>
      </c>
      <c r="M5404" s="28" t="s">
        <v>51</v>
      </c>
      <c r="N5404" s="28" t="s">
        <v>51</v>
      </c>
    </row>
    <row r="5405" spans="1:14" x14ac:dyDescent="0.15">
      <c r="A5405" s="23" t="str">
        <f t="shared" ref="A5405:A5413" si="108">HYPERLINK("https://www.spark-marketing.ru/Card/Person/6855", "ОМСКАЯ ТАМОЖНЯ")</f>
        <v>ОМСКАЯ ТАМОЖНЯ</v>
      </c>
      <c r="B5405" s="24" t="s">
        <v>8353</v>
      </c>
      <c r="C5405" s="25">
        <v>361529.62</v>
      </c>
      <c r="D5405" s="22" t="s">
        <v>8354</v>
      </c>
      <c r="E5405" s="22" t="s">
        <v>437</v>
      </c>
      <c r="F5405" s="23" t="str">
        <f t="shared" ref="F5405:F5413" si="109">HYPERLINK("https://www.spark-marketing.ru/Card/Lot/73070366", "Оказание услуг по проведению профилактических испытаний и электрических измерений в электроустановках до 1000 В на объекте Омской таможни")</f>
        <v>Оказание услуг по проведению профилактических испытаний и электрических измерений в электроустановках до 1000 В на объекте Омской таможни</v>
      </c>
      <c r="G5405" s="22" t="s">
        <v>487</v>
      </c>
      <c r="H5405" s="22" t="s">
        <v>488</v>
      </c>
      <c r="I5405" s="26">
        <v>43704.718715277799</v>
      </c>
      <c r="J5405" s="28" t="s">
        <v>51</v>
      </c>
      <c r="K5405" s="28" t="s">
        <v>51</v>
      </c>
      <c r="L5405" s="28" t="s">
        <v>51</v>
      </c>
      <c r="M5405" s="28" t="s">
        <v>51</v>
      </c>
      <c r="N5405" s="28" t="s">
        <v>51</v>
      </c>
    </row>
    <row r="5406" spans="1:14" hidden="1" outlineLevel="1" x14ac:dyDescent="0.2">
      <c r="A5406" s="23" t="str">
        <f t="shared" si="108"/>
        <v>ОМСКАЯ ТАМОЖНЯ</v>
      </c>
      <c r="B5406" s="24" t="s">
        <v>8353</v>
      </c>
      <c r="C5406" s="25">
        <v>361529.62</v>
      </c>
      <c r="D5406" s="22" t="s">
        <v>8354</v>
      </c>
      <c r="E5406" s="22" t="s">
        <v>437</v>
      </c>
      <c r="F5406" s="23" t="str">
        <f t="shared" si="109"/>
        <v>Оказание услуг по проведению профилактических испытаний и электрических измерений в электроустановках до 1000 В на объекте Омской таможни</v>
      </c>
      <c r="G5406" s="22" t="s">
        <v>487</v>
      </c>
      <c r="H5406" s="22" t="s">
        <v>488</v>
      </c>
      <c r="I5406" s="26">
        <v>43704.718715277799</v>
      </c>
      <c r="J5406" s="23" t="str">
        <f>HYPERLINK("https://www.spark-marketing.ru/Card/Person/730480", "ООО ""ПКФ ""КОНСТАНТА""")</f>
        <v>ООО "ПКФ "КОНСТАНТА"</v>
      </c>
      <c r="K5406" s="24" t="s">
        <v>8355</v>
      </c>
      <c r="L5406" s="28" t="s">
        <v>51</v>
      </c>
      <c r="M5406" s="25">
        <v>294000</v>
      </c>
      <c r="N5406" s="27">
        <v>0.18678862329454499</v>
      </c>
    </row>
    <row r="5407" spans="1:14" hidden="1" outlineLevel="1" x14ac:dyDescent="0.2">
      <c r="A5407" s="23" t="str">
        <f t="shared" si="108"/>
        <v>ОМСКАЯ ТАМОЖНЯ</v>
      </c>
      <c r="B5407" s="24" t="s">
        <v>8353</v>
      </c>
      <c r="C5407" s="25">
        <v>361529.62</v>
      </c>
      <c r="D5407" s="22" t="s">
        <v>8354</v>
      </c>
      <c r="E5407" s="22" t="s">
        <v>437</v>
      </c>
      <c r="F5407" s="23" t="str">
        <f t="shared" si="109"/>
        <v>Оказание услуг по проведению профилактических испытаний и электрических измерений в электроустановках до 1000 В на объекте Омской таможни</v>
      </c>
      <c r="G5407" s="22" t="s">
        <v>487</v>
      </c>
      <c r="H5407" s="22" t="s">
        <v>488</v>
      </c>
      <c r="I5407" s="26">
        <v>43704.718715277799</v>
      </c>
      <c r="J5407" s="23" t="str">
        <f>HYPERLINK("https://www.spark-marketing.ru/Card/Person/168671", "ООО ""ЭЛЕКТРОСТИЛЬ ПЛЮС""")</f>
        <v>ООО "ЭЛЕКТРОСТИЛЬ ПЛЮС"</v>
      </c>
      <c r="K5407" s="24" t="s">
        <v>8356</v>
      </c>
      <c r="L5407" s="28" t="s">
        <v>51</v>
      </c>
      <c r="M5407" s="25">
        <v>295000</v>
      </c>
      <c r="N5407" s="27">
        <v>0.18402259820371011</v>
      </c>
    </row>
    <row r="5408" spans="1:14" hidden="1" outlineLevel="1" x14ac:dyDescent="0.2">
      <c r="A5408" s="23" t="str">
        <f t="shared" si="108"/>
        <v>ОМСКАЯ ТАМОЖНЯ</v>
      </c>
      <c r="B5408" s="24" t="s">
        <v>8353</v>
      </c>
      <c r="C5408" s="25">
        <v>361529.62</v>
      </c>
      <c r="D5408" s="22" t="s">
        <v>8354</v>
      </c>
      <c r="E5408" s="22" t="s">
        <v>437</v>
      </c>
      <c r="F5408" s="23" t="str">
        <f t="shared" si="109"/>
        <v>Оказание услуг по проведению профилактических испытаний и электрических измерений в электроустановках до 1000 В на объекте Омской таможни</v>
      </c>
      <c r="G5408" s="22" t="s">
        <v>487</v>
      </c>
      <c r="H5408" s="22" t="s">
        <v>488</v>
      </c>
      <c r="I5408" s="26">
        <v>43704.718715277799</v>
      </c>
      <c r="J5408" s="23" t="str">
        <f>HYPERLINK("https://www.spark-marketing.ru/Card/Person/636059", "ООО ""ЭЛИЗ""")</f>
        <v>ООО "ЭЛИЗ"</v>
      </c>
      <c r="K5408" s="24" t="s">
        <v>8357</v>
      </c>
      <c r="L5408" s="28" t="s">
        <v>51</v>
      </c>
      <c r="M5408" s="25">
        <v>193418.31</v>
      </c>
      <c r="N5408" s="27">
        <v>0.46500010151312082</v>
      </c>
    </row>
    <row r="5409" spans="1:14" hidden="1" outlineLevel="1" x14ac:dyDescent="0.2">
      <c r="A5409" s="23" t="str">
        <f t="shared" si="108"/>
        <v>ОМСКАЯ ТАМОЖНЯ</v>
      </c>
      <c r="B5409" s="24" t="s">
        <v>8353</v>
      </c>
      <c r="C5409" s="25">
        <v>361529.62</v>
      </c>
      <c r="D5409" s="22" t="s">
        <v>8354</v>
      </c>
      <c r="E5409" s="22" t="s">
        <v>437</v>
      </c>
      <c r="F5409" s="23" t="str">
        <f t="shared" si="109"/>
        <v>Оказание услуг по проведению профилактических испытаний и электрических измерений в электроустановках до 1000 В на объекте Омской таможни</v>
      </c>
      <c r="G5409" s="22" t="s">
        <v>487</v>
      </c>
      <c r="H5409" s="22" t="s">
        <v>488</v>
      </c>
      <c r="I5409" s="26">
        <v>43704.718715277799</v>
      </c>
      <c r="J5409" s="23" t="str">
        <f>HYPERLINK("https://www.spark-marketing.ru/Card/Person/1402268", "ООО ""РСТ - ОМСК""")</f>
        <v>ООО "РСТ - ОМСК"</v>
      </c>
      <c r="K5409" s="24" t="s">
        <v>8358</v>
      </c>
      <c r="L5409" s="28" t="s">
        <v>51</v>
      </c>
      <c r="M5409" s="25">
        <v>43319.28</v>
      </c>
      <c r="N5409" s="27">
        <v>0.88017778460309837</v>
      </c>
    </row>
    <row r="5410" spans="1:14" hidden="1" outlineLevel="1" x14ac:dyDescent="0.2">
      <c r="A5410" s="23" t="str">
        <f t="shared" si="108"/>
        <v>ОМСКАЯ ТАМОЖНЯ</v>
      </c>
      <c r="B5410" s="24" t="s">
        <v>8353</v>
      </c>
      <c r="C5410" s="25">
        <v>361529.62</v>
      </c>
      <c r="D5410" s="22" t="s">
        <v>8354</v>
      </c>
      <c r="E5410" s="22" t="s">
        <v>437</v>
      </c>
      <c r="F5410" s="23" t="str">
        <f t="shared" si="109"/>
        <v>Оказание услуг по проведению профилактических испытаний и электрических измерений в электроустановках до 1000 В на объекте Омской таможни</v>
      </c>
      <c r="G5410" s="22" t="s">
        <v>487</v>
      </c>
      <c r="H5410" s="22" t="s">
        <v>488</v>
      </c>
      <c r="I5410" s="26">
        <v>43704.718715277799</v>
      </c>
      <c r="J5410" s="23" t="str">
        <f>HYPERLINK("https://www.spark-marketing.ru/Card/Person/141625", "ООО""МЕДТЕХНИКАСЕРВИС""")</f>
        <v>ООО"МЕДТЕХНИКАСЕРВИС"</v>
      </c>
      <c r="K5410" s="24" t="s">
        <v>8359</v>
      </c>
      <c r="L5410" s="28" t="s">
        <v>51</v>
      </c>
      <c r="M5410" s="25">
        <v>108769</v>
      </c>
      <c r="N5410" s="27">
        <v>0.69914221689498079</v>
      </c>
    </row>
    <row r="5411" spans="1:14" ht="12.75" hidden="1" outlineLevel="1" x14ac:dyDescent="0.2">
      <c r="A5411" s="23" t="str">
        <f t="shared" si="108"/>
        <v>ОМСКАЯ ТАМОЖНЯ</v>
      </c>
      <c r="B5411" s="24" t="s">
        <v>8353</v>
      </c>
      <c r="C5411" s="25">
        <v>361529.62</v>
      </c>
      <c r="D5411" s="22" t="s">
        <v>8354</v>
      </c>
      <c r="E5411" s="22" t="s">
        <v>437</v>
      </c>
      <c r="F5411" s="23" t="str">
        <f t="shared" si="109"/>
        <v>Оказание услуг по проведению профилактических испытаний и электрических измерений в электроустановках до 1000 В на объекте Омской таможни</v>
      </c>
      <c r="G5411" s="22" t="s">
        <v>487</v>
      </c>
      <c r="H5411" s="22" t="s">
        <v>488</v>
      </c>
      <c r="I5411" s="26">
        <v>43704.718715277799</v>
      </c>
      <c r="J5411" s="23" t="str">
        <f>HYPERLINK("https://www.spark-marketing.ru/Card/Person/720989", "ООО ""ПП ""ЭНЕРГОАВТОМАТИКА""")</f>
        <v>ООО "ПП "ЭНЕРГОАВТОМАТИКА"</v>
      </c>
      <c r="K5411" s="24" t="s">
        <v>8360</v>
      </c>
      <c r="L5411" s="22" t="s">
        <v>10</v>
      </c>
      <c r="M5411" s="25">
        <v>37682.410000000003</v>
      </c>
      <c r="N5411" s="27">
        <v>0.89576950845687275</v>
      </c>
    </row>
    <row r="5412" spans="1:14" hidden="1" outlineLevel="1" x14ac:dyDescent="0.2">
      <c r="A5412" s="23" t="str">
        <f t="shared" si="108"/>
        <v>ОМСКАЯ ТАМОЖНЯ</v>
      </c>
      <c r="B5412" s="24" t="s">
        <v>8353</v>
      </c>
      <c r="C5412" s="25">
        <v>361529.62</v>
      </c>
      <c r="D5412" s="22" t="s">
        <v>8354</v>
      </c>
      <c r="E5412" s="22" t="s">
        <v>437</v>
      </c>
      <c r="F5412" s="23" t="str">
        <f t="shared" si="109"/>
        <v>Оказание услуг по проведению профилактических испытаний и электрических измерений в электроустановках до 1000 В на объекте Омской таможни</v>
      </c>
      <c r="G5412" s="22" t="s">
        <v>487</v>
      </c>
      <c r="H5412" s="22" t="s">
        <v>488</v>
      </c>
      <c r="I5412" s="26">
        <v>43704.718715277799</v>
      </c>
      <c r="J5412" s="23" t="str">
        <f>HYPERLINK("https://www.spark-marketing.ru/Card/Person/6430902", "Зибницкий Александр Алексеевич")</f>
        <v>Зибницкий Александр Алексеевич</v>
      </c>
      <c r="K5412" s="24" t="s">
        <v>8361</v>
      </c>
      <c r="L5412" s="28" t="s">
        <v>51</v>
      </c>
      <c r="M5412" s="25">
        <v>39490.06</v>
      </c>
      <c r="N5412" s="27">
        <v>0.89076950320142512</v>
      </c>
    </row>
    <row r="5413" spans="1:14" hidden="1" outlineLevel="1" x14ac:dyDescent="0.2">
      <c r="A5413" s="23" t="str">
        <f t="shared" si="108"/>
        <v>ОМСКАЯ ТАМОЖНЯ</v>
      </c>
      <c r="B5413" s="24" t="s">
        <v>8353</v>
      </c>
      <c r="C5413" s="25">
        <v>361529.62</v>
      </c>
      <c r="D5413" s="22" t="s">
        <v>8354</v>
      </c>
      <c r="E5413" s="22" t="s">
        <v>437</v>
      </c>
      <c r="F5413" s="23" t="str">
        <f t="shared" si="109"/>
        <v>Оказание услуг по проведению профилактических испытаний и электрических измерений в электроустановках до 1000 В на объекте Омской таможни</v>
      </c>
      <c r="G5413" s="22" t="s">
        <v>487</v>
      </c>
      <c r="H5413" s="22" t="s">
        <v>488</v>
      </c>
      <c r="I5413" s="26">
        <v>43704.718715277799</v>
      </c>
      <c r="J5413" s="23" t="str">
        <f>HYPERLINK("https://www.spark-marketing.ru/Card/Person/368490", "ООО ""САННИЛАЙТ""")</f>
        <v>ООО "САННИЛАЙТ"</v>
      </c>
      <c r="K5413" s="24" t="s">
        <v>8362</v>
      </c>
      <c r="L5413" s="28" t="s">
        <v>51</v>
      </c>
      <c r="M5413" s="25">
        <v>171726.51</v>
      </c>
      <c r="N5413" s="27">
        <v>0.52500016457849286</v>
      </c>
    </row>
    <row r="5414" spans="1:14" x14ac:dyDescent="0.15">
      <c r="A5414" s="23" t="str">
        <f>HYPERLINK("https://www.spark-marketing.ru/Card/Person/4348382", "ООО ""ГАЗПРОМ ПИТАНИЕ""")</f>
        <v>ООО "ГАЗПРОМ ПИТАНИЕ"</v>
      </c>
      <c r="B5414" s="24" t="s">
        <v>2869</v>
      </c>
      <c r="C5414" s="25">
        <v>1000</v>
      </c>
      <c r="D5414" s="22" t="s">
        <v>8363</v>
      </c>
      <c r="E5414" s="22" t="s">
        <v>52</v>
      </c>
      <c r="F5414" s="23" t="str">
        <f>HYPERLINK("https://www.spark-marketing.ru/Card/Lot/73074502", "Оказание услуг по проведению специальной оценки условий труда на рабочих местах для нужд филиала ""ставропольское управление по организации общественного питания"" ""ооо ""газпром питание""")</f>
        <v>Оказание услуг по проведению специальной оценки условий труда на рабочих местах для нужд филиала "ставропольское управление по организации общественного питания" "ооо "газпром питание"</v>
      </c>
      <c r="G5414" s="22" t="s">
        <v>56</v>
      </c>
      <c r="H5414" s="22" t="s">
        <v>56</v>
      </c>
      <c r="I5414" s="26">
        <v>43705.440972222197</v>
      </c>
      <c r="J5414" s="28" t="s">
        <v>51</v>
      </c>
      <c r="K5414" s="28" t="s">
        <v>51</v>
      </c>
      <c r="L5414" s="28" t="s">
        <v>51</v>
      </c>
      <c r="M5414" s="28" t="s">
        <v>51</v>
      </c>
      <c r="N5414" s="28" t="s">
        <v>51</v>
      </c>
    </row>
    <row r="5415" spans="1:14" x14ac:dyDescent="0.15">
      <c r="A5415" s="23" t="str">
        <f>HYPERLINK("https://www.spark-marketing.ru/Card/Person/4348382", "ООО ""ГАЗПРОМ ПИТАНИЕ""")</f>
        <v>ООО "ГАЗПРОМ ПИТАНИЕ"</v>
      </c>
      <c r="B5415" s="24" t="s">
        <v>2869</v>
      </c>
      <c r="C5415" s="25">
        <v>15000</v>
      </c>
      <c r="D5415" s="22" t="s">
        <v>8364</v>
      </c>
      <c r="E5415" s="22" t="s">
        <v>52</v>
      </c>
      <c r="F5415" s="23" t="str">
        <f>HYPERLINK("https://www.spark-marketing.ru/Card/Lot/73074594", "Оказание услуг по проведению специальной оценки условий труда для нужд филиала ""ухтинское управление по организации общественного питания"" ооо ""газпром питание""")</f>
        <v>Оказание услуг по проведению специальной оценки условий труда для нужд филиала "ухтинское управление по организации общественного питания" ооо "газпром питание"</v>
      </c>
      <c r="G5415" s="22" t="s">
        <v>56</v>
      </c>
      <c r="H5415" s="22" t="s">
        <v>56</v>
      </c>
      <c r="I5415" s="26">
        <v>43705.448611111096</v>
      </c>
      <c r="J5415" s="28" t="s">
        <v>51</v>
      </c>
      <c r="K5415" s="28" t="s">
        <v>51</v>
      </c>
      <c r="L5415" s="28" t="s">
        <v>51</v>
      </c>
      <c r="M5415" s="28" t="s">
        <v>51</v>
      </c>
      <c r="N5415" s="28" t="s">
        <v>51</v>
      </c>
    </row>
    <row r="5416" spans="1:14" x14ac:dyDescent="0.15">
      <c r="A5416" s="23" t="str">
        <f>HYPERLINK("https://www.spark-marketing.ru/Card/Person/89798", "УМВД РОССИИ ПО ГОРОДУ КИРОВУ")</f>
        <v>УМВД РОССИИ ПО ГОРОДУ КИРОВУ</v>
      </c>
      <c r="B5416" s="24" t="s">
        <v>8365</v>
      </c>
      <c r="C5416" s="25">
        <v>900000</v>
      </c>
      <c r="D5416" s="22" t="s">
        <v>8366</v>
      </c>
      <c r="E5416" s="22" t="s">
        <v>48</v>
      </c>
      <c r="F5416" s="23" t="str">
        <f>HYPERLINK("https://www.spark-marketing.ru/Card/Lot/73076247",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416" s="22" t="s">
        <v>224</v>
      </c>
      <c r="H5416" s="22" t="s">
        <v>225</v>
      </c>
      <c r="I5416" s="26">
        <v>43705.432893518497</v>
      </c>
      <c r="J5416" s="28" t="s">
        <v>51</v>
      </c>
      <c r="K5416" s="28" t="s">
        <v>51</v>
      </c>
      <c r="L5416" s="28" t="s">
        <v>51</v>
      </c>
      <c r="M5416" s="28" t="s">
        <v>51</v>
      </c>
      <c r="N5416" s="28" t="s">
        <v>51</v>
      </c>
    </row>
    <row r="5417" spans="1:14" ht="12.75" hidden="1" outlineLevel="1" x14ac:dyDescent="0.2">
      <c r="A5417" s="23" t="str">
        <f>HYPERLINK("https://www.spark-marketing.ru/Card/Person/89798", "УМВД РОССИИ ПО ГОРОДУ КИРОВУ")</f>
        <v>УМВД РОССИИ ПО ГОРОДУ КИРОВУ</v>
      </c>
      <c r="B5417" s="24" t="s">
        <v>8365</v>
      </c>
      <c r="C5417" s="25">
        <v>900000</v>
      </c>
      <c r="D5417" s="22" t="s">
        <v>8366</v>
      </c>
      <c r="E5417" s="22" t="s">
        <v>48</v>
      </c>
      <c r="F5417" s="23" t="str">
        <f>HYPERLINK("https://www.spark-marketing.ru/Card/Lot/73076247",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417" s="22" t="s">
        <v>224</v>
      </c>
      <c r="H5417" s="22" t="s">
        <v>225</v>
      </c>
      <c r="I5417" s="26">
        <v>43705.432893518497</v>
      </c>
      <c r="J5417" s="23" t="str">
        <f>HYPERLINK("https://www.spark-marketing.ru/Card/Person/6454752", "ООО ""ЕВРО КЕЙТЕРИНГ 43""")</f>
        <v>ООО "ЕВРО КЕЙТЕРИНГ 43"</v>
      </c>
      <c r="K5417" s="24" t="s">
        <v>8367</v>
      </c>
      <c r="L5417" s="22" t="s">
        <v>10</v>
      </c>
      <c r="M5417" s="25">
        <v>7118</v>
      </c>
      <c r="N5417" s="27">
        <v>0.99209111111111115</v>
      </c>
    </row>
    <row r="5418" spans="1:14" hidden="1" outlineLevel="1" x14ac:dyDescent="0.2">
      <c r="A5418" s="23" t="str">
        <f>HYPERLINK("https://www.spark-marketing.ru/Card/Person/89798", "УМВД РОССИИ ПО ГОРОДУ КИРОВУ")</f>
        <v>УМВД РОССИИ ПО ГОРОДУ КИРОВУ</v>
      </c>
      <c r="B5418" s="24" t="s">
        <v>8365</v>
      </c>
      <c r="C5418" s="25">
        <v>900000</v>
      </c>
      <c r="D5418" s="22" t="s">
        <v>8366</v>
      </c>
      <c r="E5418" s="22" t="s">
        <v>48</v>
      </c>
      <c r="F5418" s="23" t="str">
        <f>HYPERLINK("https://www.spark-marketing.ru/Card/Lot/73076247",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418" s="22" t="s">
        <v>224</v>
      </c>
      <c r="H5418" s="22" t="s">
        <v>225</v>
      </c>
      <c r="I5418" s="26">
        <v>43705.432893518497</v>
      </c>
      <c r="J5418" s="23" t="str">
        <f>HYPERLINK("https://www.spark-marketing.ru/Card/Person/89851", "ООО ""ФУД-СЕРВИС""")</f>
        <v>ООО "ФУД-СЕРВИС"</v>
      </c>
      <c r="K5418" s="24" t="s">
        <v>8368</v>
      </c>
      <c r="L5418" s="28" t="s">
        <v>51</v>
      </c>
      <c r="M5418" s="25">
        <v>7118</v>
      </c>
      <c r="N5418" s="27">
        <v>0.99209111111111115</v>
      </c>
    </row>
    <row r="5419" spans="1:14" x14ac:dyDescent="0.15">
      <c r="A5419" s="23" t="str">
        <f>HYPERLINK("https://www.spark-marketing.ru/Card/Person/537184", "МО МВД РОССИИ ""БАРЫШСКИЙ""")</f>
        <v>МО МВД РОССИИ "БАРЫШСКИЙ"</v>
      </c>
      <c r="B5419" s="24" t="s">
        <v>4608</v>
      </c>
      <c r="C5419" s="25">
        <v>200000</v>
      </c>
      <c r="D5419" s="22" t="s">
        <v>8369</v>
      </c>
      <c r="E5419" s="22" t="s">
        <v>48</v>
      </c>
      <c r="F5419" s="23" t="str">
        <f>HYPERLINK("https://www.spark-marketing.ru/Card/Lot/73073456",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419" s="22" t="s">
        <v>1918</v>
      </c>
      <c r="H5419" s="22" t="s">
        <v>4610</v>
      </c>
      <c r="I5419" s="26">
        <v>43705.447928240697</v>
      </c>
      <c r="J5419" s="28" t="s">
        <v>51</v>
      </c>
      <c r="K5419" s="28" t="s">
        <v>51</v>
      </c>
      <c r="L5419" s="28" t="s">
        <v>51</v>
      </c>
      <c r="M5419" s="28" t="s">
        <v>51</v>
      </c>
      <c r="N5419" s="28" t="s">
        <v>51</v>
      </c>
    </row>
    <row r="5420" spans="1:14" x14ac:dyDescent="0.15">
      <c r="A5420" s="23" t="str">
        <f>HYPERLINK("https://www.spark-marketing.ru/Card/Person/537184", "МО МВД РОССИИ ""БАРЫШСКИЙ""")</f>
        <v>МО МВД РОССИИ "БАРЫШСКИЙ"</v>
      </c>
      <c r="B5420" s="24" t="s">
        <v>4608</v>
      </c>
      <c r="C5420" s="25">
        <v>50000</v>
      </c>
      <c r="D5420" s="22" t="s">
        <v>8370</v>
      </c>
      <c r="E5420" s="22" t="s">
        <v>48</v>
      </c>
      <c r="F5420" s="23" t="str">
        <f>HYPERLINK("https://www.spark-marketing.ru/Card/Lot/73073528",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420" s="22" t="s">
        <v>1918</v>
      </c>
      <c r="H5420" s="22" t="s">
        <v>4610</v>
      </c>
      <c r="I5420" s="26">
        <v>43705.444178240701</v>
      </c>
      <c r="J5420" s="28" t="s">
        <v>51</v>
      </c>
      <c r="K5420" s="28" t="s">
        <v>51</v>
      </c>
      <c r="L5420" s="28" t="s">
        <v>51</v>
      </c>
      <c r="M5420" s="28" t="s">
        <v>51</v>
      </c>
      <c r="N5420" s="28" t="s">
        <v>51</v>
      </c>
    </row>
    <row r="5421" spans="1:14" x14ac:dyDescent="0.15">
      <c r="A5421" s="23" t="str">
        <f>HYPERLINK("https://www.spark-marketing.ru/Card/Person/4348382", "ООО ""ГАЗПРОМ ПИТАНИЕ""")</f>
        <v>ООО "ГАЗПРОМ ПИТАНИЕ"</v>
      </c>
      <c r="B5421" s="24" t="s">
        <v>2869</v>
      </c>
      <c r="C5421" s="25">
        <v>10000</v>
      </c>
      <c r="D5421" s="22" t="s">
        <v>8371</v>
      </c>
      <c r="E5421" s="22" t="s">
        <v>52</v>
      </c>
      <c r="F5421" s="23" t="str">
        <f>HYPERLINK("https://www.spark-marketing.ru/Card/Lot/73074591", "Оказание услуг по проведению специальной оценки условий труда для нужд филиала ""казанское управление по организации общественного питания"" ооо ""газпром питание""")</f>
        <v>Оказание услуг по проведению специальной оценки условий труда для нужд филиала "казанское управление по организации общественного питания" ооо "газпром питание"</v>
      </c>
      <c r="G5421" s="22" t="s">
        <v>56</v>
      </c>
      <c r="H5421" s="22" t="s">
        <v>56</v>
      </c>
      <c r="I5421" s="26">
        <v>43705.445138888899</v>
      </c>
      <c r="J5421" s="28" t="s">
        <v>51</v>
      </c>
      <c r="K5421" s="28" t="s">
        <v>51</v>
      </c>
      <c r="L5421" s="28" t="s">
        <v>51</v>
      </c>
      <c r="M5421" s="28" t="s">
        <v>51</v>
      </c>
      <c r="N5421" s="28" t="s">
        <v>51</v>
      </c>
    </row>
    <row r="5422" spans="1:14" x14ac:dyDescent="0.15">
      <c r="A5422" s="23" t="str">
        <f>HYPERLINK("https://www.spark-marketing.ru/Card/Person/537184", "МО МВД РОССИИ ""БАРЫШСКИЙ""")</f>
        <v>МО МВД РОССИИ "БАРЫШСКИЙ"</v>
      </c>
      <c r="B5422" s="24" t="s">
        <v>4608</v>
      </c>
      <c r="C5422" s="25">
        <v>30000</v>
      </c>
      <c r="D5422" s="22" t="s">
        <v>8372</v>
      </c>
      <c r="E5422" s="22" t="s">
        <v>48</v>
      </c>
      <c r="F5422" s="23" t="str">
        <f>HYPERLINK("https://www.spark-marketing.ru/Card/Lot/73072737",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422" s="22" t="s">
        <v>1918</v>
      </c>
      <c r="H5422" s="22" t="s">
        <v>8352</v>
      </c>
      <c r="I5422" s="26">
        <v>43705.433194444398</v>
      </c>
      <c r="J5422" s="28" t="s">
        <v>51</v>
      </c>
      <c r="K5422" s="28" t="s">
        <v>51</v>
      </c>
      <c r="L5422" s="28" t="s">
        <v>51</v>
      </c>
      <c r="M5422" s="28" t="s">
        <v>51</v>
      </c>
      <c r="N5422" s="28" t="s">
        <v>51</v>
      </c>
    </row>
    <row r="5423" spans="1:14" x14ac:dyDescent="0.15">
      <c r="A5423" s="23" t="str">
        <f>HYPERLINK("https://www.spark-marketing.ru/Card/Person/89798", "УМВД РОССИИ ПО ГОРОДУ КИРОВУ")</f>
        <v>УМВД РОССИИ ПО ГОРОДУ КИРОВУ</v>
      </c>
      <c r="B5423" s="24" t="s">
        <v>8365</v>
      </c>
      <c r="C5423" s="25">
        <v>729550</v>
      </c>
      <c r="D5423" s="22" t="s">
        <v>8373</v>
      </c>
      <c r="E5423" s="22" t="s">
        <v>48</v>
      </c>
      <c r="F5423" s="23" t="str">
        <f>HYPERLINK("https://www.spark-marketing.ru/Card/Lot/73078727",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423" s="22" t="s">
        <v>224</v>
      </c>
      <c r="H5423" s="22" t="s">
        <v>225</v>
      </c>
      <c r="I5423" s="26">
        <v>43705.447361111103</v>
      </c>
      <c r="J5423" s="23" t="str">
        <f>HYPERLINK("https://www.spark-marketing.ru/Card/Person/89851", "ООО ""ФУД-СЕРВИС""")</f>
        <v>ООО "ФУД-СЕРВИС"</v>
      </c>
      <c r="K5423" s="24" t="s">
        <v>8368</v>
      </c>
      <c r="L5423" s="28" t="s">
        <v>51</v>
      </c>
      <c r="M5423" s="28" t="s">
        <v>51</v>
      </c>
      <c r="N5423" s="28" t="s">
        <v>51</v>
      </c>
    </row>
    <row r="5424" spans="1:14" ht="12.75" hidden="1" outlineLevel="1" x14ac:dyDescent="0.2">
      <c r="A5424" s="23" t="str">
        <f>HYPERLINK("https://www.spark-marketing.ru/Card/Person/89798", "УМВД РОССИИ ПО ГОРОДУ КИРОВУ")</f>
        <v>УМВД РОССИИ ПО ГОРОДУ КИРОВУ</v>
      </c>
      <c r="B5424" s="24" t="s">
        <v>8365</v>
      </c>
      <c r="C5424" s="25">
        <v>729550</v>
      </c>
      <c r="D5424" s="22" t="s">
        <v>8373</v>
      </c>
      <c r="E5424" s="22" t="s">
        <v>48</v>
      </c>
      <c r="F5424" s="23" t="str">
        <f>HYPERLINK("https://www.spark-marketing.ru/Card/Lot/73078727",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424" s="22" t="s">
        <v>224</v>
      </c>
      <c r="H5424" s="22" t="s">
        <v>225</v>
      </c>
      <c r="I5424" s="26">
        <v>43705.447361111103</v>
      </c>
      <c r="J5424" s="23" t="str">
        <f>HYPERLINK("https://www.spark-marketing.ru/Card/Person/89851", "ООО ""ФУД-СЕРВИС""")</f>
        <v>ООО "ФУД-СЕРВИС"</v>
      </c>
      <c r="K5424" s="24" t="s">
        <v>8368</v>
      </c>
      <c r="L5424" s="22" t="s">
        <v>10</v>
      </c>
      <c r="M5424" s="25">
        <v>7082.41</v>
      </c>
      <c r="N5424" s="27">
        <v>0.99029208416146941</v>
      </c>
    </row>
    <row r="5425" spans="1:14" x14ac:dyDescent="0.15">
      <c r="A5425" s="23" t="str">
        <f>HYPERLINK("https://www.spark-marketing.ru/Card/Person/1029866", "ГБУСО МО ""ДМИТРОВСКИЙ ЦСПСИД""")</f>
        <v>ГБУСО МО "ДМИТРОВСКИЙ ЦСПСИД"</v>
      </c>
      <c r="B5425" s="24" t="s">
        <v>719</v>
      </c>
      <c r="C5425" s="25">
        <v>347400</v>
      </c>
      <c r="D5425" s="22" t="s">
        <v>8374</v>
      </c>
      <c r="E5425" s="22" t="s">
        <v>48</v>
      </c>
      <c r="F5425" s="23" t="str">
        <f>HYPERLINK("https://www.spark-marketing.ru/Card/Lot/73078504", "Услуги по организации питания для организаций социального обслуживания в 2019 году")</f>
        <v>Услуги по организации питания для организаций социального обслуживания в 2019 году</v>
      </c>
      <c r="G5425" s="22" t="s">
        <v>49</v>
      </c>
      <c r="H5425" s="22" t="s">
        <v>721</v>
      </c>
      <c r="I5425" s="26">
        <v>43704.727939814802</v>
      </c>
      <c r="J5425" s="28" t="s">
        <v>51</v>
      </c>
      <c r="K5425" s="28" t="s">
        <v>51</v>
      </c>
      <c r="L5425" s="28" t="s">
        <v>51</v>
      </c>
      <c r="M5425" s="28" t="s">
        <v>51</v>
      </c>
      <c r="N5425" s="28" t="s">
        <v>51</v>
      </c>
    </row>
    <row r="5426" spans="1:14" ht="12.75" x14ac:dyDescent="0.2">
      <c r="A5426" s="23" t="str">
        <f>HYPERLINK("https://www.spark-marketing.ru/Card/Person/59105", "АДМИНИСТРАЦИЯ ГОРОДА ВЕЛИКИЕ ЛУКИ")</f>
        <v>АДМИНИСТРАЦИЯ ГОРОДА ВЕЛИКИЕ ЛУКИ</v>
      </c>
      <c r="B5426" s="24" t="s">
        <v>8375</v>
      </c>
      <c r="C5426" s="25">
        <v>100000</v>
      </c>
      <c r="D5426" s="22" t="s">
        <v>8376</v>
      </c>
      <c r="E5426" s="22" t="s">
        <v>96</v>
      </c>
      <c r="F5426" s="23" t="str">
        <f>HYPERLINK("https://www.spark-marketing.ru/Card/Lot/73074953", "Оказание услуг общественного питания при приеме делегаций, приглашенных лиц")</f>
        <v>Оказание услуг общественного питания при приеме делегаций, приглашенных лиц</v>
      </c>
      <c r="G5426" s="22" t="s">
        <v>415</v>
      </c>
      <c r="H5426" s="22" t="s">
        <v>3840</v>
      </c>
      <c r="I5426" s="26">
        <v>43705.395636574103</v>
      </c>
      <c r="J5426" s="23" t="str">
        <f>HYPERLINK("https://www.spark-marketing.ru/Card/Person/428646", "ООО ""ГРК ""АМАРИС""")</f>
        <v>ООО "ГРК "АМАРИС"</v>
      </c>
      <c r="K5426" s="24" t="s">
        <v>8377</v>
      </c>
      <c r="L5426" s="22" t="s">
        <v>10</v>
      </c>
      <c r="M5426" s="25">
        <v>4378</v>
      </c>
      <c r="N5426" s="27">
        <v>0.95621999999999996</v>
      </c>
    </row>
    <row r="5427" spans="1:14" x14ac:dyDescent="0.15">
      <c r="A5427" s="23" t="str">
        <f>HYPERLINK("https://www.spark-marketing.ru/Card/Person/1760056", "ГКУ РС(Я) ""ЦИКОСХ""")</f>
        <v>ГКУ РС(Я) "ЦИКОСХ"</v>
      </c>
      <c r="B5427" s="24" t="s">
        <v>1987</v>
      </c>
      <c r="C5427" s="25">
        <v>50600</v>
      </c>
      <c r="D5427" s="22" t="s">
        <v>8378</v>
      </c>
      <c r="E5427" s="22" t="s">
        <v>96</v>
      </c>
      <c r="F5427" s="23" t="str">
        <f>HYPERLINK("https://www.spark-marketing.ru/Card/Lot/73074390", "оказание услуги организации питания участников семинаров, совещаний, круглых столов")</f>
        <v>оказание услуги организации питания участников семинаров, совещаний, круглых столов</v>
      </c>
      <c r="G5427" s="22" t="s">
        <v>241</v>
      </c>
      <c r="H5427" s="22" t="s">
        <v>242</v>
      </c>
      <c r="I5427" s="26">
        <v>43705.6340740741</v>
      </c>
      <c r="J5427" s="28" t="s">
        <v>51</v>
      </c>
      <c r="K5427" s="28" t="s">
        <v>51</v>
      </c>
      <c r="L5427" s="28" t="s">
        <v>51</v>
      </c>
      <c r="M5427" s="28" t="s">
        <v>51</v>
      </c>
      <c r="N5427" s="28" t="s">
        <v>51</v>
      </c>
    </row>
    <row r="5428" spans="1:14" x14ac:dyDescent="0.15">
      <c r="A5428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5428" s="24" t="s">
        <v>6728</v>
      </c>
      <c r="C5428" s="25">
        <v>280000</v>
      </c>
      <c r="D5428" s="22" t="s">
        <v>8379</v>
      </c>
      <c r="E5428" s="22" t="s">
        <v>48</v>
      </c>
      <c r="F5428" s="23" t="str">
        <f>HYPERLINK("https://www.spark-marketing.ru/Card/Lot/73071539",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428" s="22" t="s">
        <v>469</v>
      </c>
      <c r="H5428" s="22" t="s">
        <v>8380</v>
      </c>
      <c r="I5428" s="26">
        <v>43705.401307870401</v>
      </c>
      <c r="J5428" s="28" t="s">
        <v>51</v>
      </c>
      <c r="K5428" s="28" t="s">
        <v>51</v>
      </c>
      <c r="L5428" s="28" t="s">
        <v>51</v>
      </c>
      <c r="M5428" s="28" t="s">
        <v>51</v>
      </c>
      <c r="N5428" s="28" t="s">
        <v>51</v>
      </c>
    </row>
    <row r="5429" spans="1:14" x14ac:dyDescent="0.15">
      <c r="A5429" s="23" t="str">
        <f>HYPERLINK("https://www.spark-marketing.ru/Card/Person/997595", "ОТДЕЛ МВД РОССИИ ПО БЫКОВСКОМУ РАЙОНУ")</f>
        <v>ОТДЕЛ МВД РОССИИ ПО БЫКОВСКОМУ РАЙОНУ</v>
      </c>
      <c r="B5429" s="24" t="s">
        <v>8381</v>
      </c>
      <c r="C5429" s="25">
        <v>270000</v>
      </c>
      <c r="D5429" s="22" t="s">
        <v>8382</v>
      </c>
      <c r="E5429" s="22" t="s">
        <v>96</v>
      </c>
      <c r="F5429" s="23" t="str">
        <f>HYPERLINK("https://www.spark-marketing.ru/Card/Lot/73070710", "Услуги по приготовлению питания для лиц, находящихся в изоляторе временного содержания")</f>
        <v>Услуги по приготовлению питания для лиц, находящихся в изоляторе временного содержания</v>
      </c>
      <c r="G5429" s="22" t="s">
        <v>158</v>
      </c>
      <c r="H5429" s="22" t="s">
        <v>8383</v>
      </c>
      <c r="I5429" s="26">
        <v>43704.720509259299</v>
      </c>
      <c r="J5429" s="28" t="s">
        <v>51</v>
      </c>
      <c r="K5429" s="28" t="s">
        <v>51</v>
      </c>
      <c r="L5429" s="28" t="s">
        <v>51</v>
      </c>
      <c r="M5429" s="28" t="s">
        <v>51</v>
      </c>
      <c r="N5429" s="28" t="s">
        <v>51</v>
      </c>
    </row>
    <row r="5430" spans="1:14" x14ac:dyDescent="0.15">
      <c r="A5430" s="23" t="str">
        <f>HYPERLINK("https://www.spark-marketing.ru/Card/Person/4352757", "ГБУЗРК ""РДИКБ""")</f>
        <v>ГБУЗРК "РДИКБ"</v>
      </c>
      <c r="B5430" s="24" t="s">
        <v>8384</v>
      </c>
      <c r="C5430" s="25">
        <v>3540496.23</v>
      </c>
      <c r="D5430" s="22" t="s">
        <v>8385</v>
      </c>
      <c r="E5430" s="22" t="s">
        <v>48</v>
      </c>
      <c r="F5430" s="23" t="str">
        <f>HYPERLINK("https://www.spark-marketing.ru/Card/Lot/73073740", "Услуги по организации питания стационарных больных")</f>
        <v>Услуги по организации питания стационарных больных</v>
      </c>
      <c r="G5430" s="22" t="s">
        <v>108</v>
      </c>
      <c r="H5430" s="22" t="s">
        <v>108</v>
      </c>
      <c r="I5430" s="26">
        <v>43705.379270833299</v>
      </c>
      <c r="J5430" s="23" t="str">
        <f>HYPERLINK("https://www.spark-marketing.ru/Card/Person/6367844", "Шевченко Тарас Николаевич")</f>
        <v>Шевченко Тарас Николаевич</v>
      </c>
      <c r="K5430" s="24" t="s">
        <v>8386</v>
      </c>
      <c r="L5430" s="22" t="s">
        <v>10</v>
      </c>
      <c r="M5430" s="28" t="s">
        <v>51</v>
      </c>
      <c r="N5430" s="28" t="s">
        <v>51</v>
      </c>
    </row>
    <row r="5431" spans="1:14" x14ac:dyDescent="0.15">
      <c r="A5431" s="23" t="str">
        <f>HYPERLINK("https://www.spark-marketing.ru/Card/Person/10941", "УМВД РОССИИ ПО ОРЛОВСКОЙ ОБЛАСТИ")</f>
        <v>УМВД РОССИИ ПО ОРЛОВСКОЙ ОБЛАСТИ</v>
      </c>
      <c r="B5431" s="24" t="s">
        <v>2361</v>
      </c>
      <c r="C5431" s="25">
        <v>7021593.7800000003</v>
      </c>
      <c r="D5431" s="22" t="s">
        <v>8387</v>
      </c>
      <c r="E5431" s="22" t="s">
        <v>48</v>
      </c>
      <c r="F5431" s="23" t="str">
        <f>HYPERLINK("https://www.spark-marketing.ru/Card/Lot/73072791", "Оказание услуг по обеспечению ежедневным горячим трехразовым питанием лиц, содержащихся в ЦВСИГ УМВД России по Орловской области")</f>
        <v>Оказание услуг по обеспечению ежедневным горячим трехразовым питанием лиц, содержащихся в ЦВСИГ УМВД России по Орловской области</v>
      </c>
      <c r="G5431" s="22" t="s">
        <v>1066</v>
      </c>
      <c r="H5431" s="22" t="s">
        <v>1066</v>
      </c>
      <c r="I5431" s="26">
        <v>43704.547245370399</v>
      </c>
      <c r="J5431" s="23" t="str">
        <f>HYPERLINK("https://www.spark-marketing.ru/Card/Person/369395", "ООО ""ЛИК""")</f>
        <v>ООО "ЛИК"</v>
      </c>
      <c r="K5431" s="24" t="s">
        <v>2865</v>
      </c>
      <c r="L5431" s="22" t="s">
        <v>10</v>
      </c>
      <c r="M5431" s="28" t="s">
        <v>51</v>
      </c>
      <c r="N5431" s="28" t="s">
        <v>51</v>
      </c>
    </row>
    <row r="5432" spans="1:14" x14ac:dyDescent="0.15">
      <c r="A5432" s="23" t="str">
        <f>HYPERLINK("https://www.spark-marketing.ru/Card/Person/131715", "КГКУ ДЕТСКИЙ ДОМ 10")</f>
        <v>КГКУ ДЕТСКИЙ ДОМ 10</v>
      </c>
      <c r="B5432" s="24" t="s">
        <v>8388</v>
      </c>
      <c r="C5432" s="25">
        <v>76212.710000000006</v>
      </c>
      <c r="D5432" s="22" t="s">
        <v>8389</v>
      </c>
      <c r="E5432" s="22" t="s">
        <v>96</v>
      </c>
      <c r="F5432" s="23" t="str">
        <f>HYPERLINK("https://www.spark-marketing.ru/Card/Lot/73071074", "Услуги питания, 1 усл. ед")</f>
        <v>Услуги питания, 1 усл. ед</v>
      </c>
      <c r="G5432" s="22" t="s">
        <v>1096</v>
      </c>
      <c r="H5432" s="22" t="s">
        <v>4299</v>
      </c>
      <c r="I5432" s="26">
        <v>43705.396493055603</v>
      </c>
      <c r="J5432" s="28" t="s">
        <v>51</v>
      </c>
      <c r="K5432" s="28" t="s">
        <v>51</v>
      </c>
      <c r="L5432" s="28" t="s">
        <v>51</v>
      </c>
      <c r="M5432" s="28" t="s">
        <v>51</v>
      </c>
      <c r="N5432" s="28" t="s">
        <v>51</v>
      </c>
    </row>
    <row r="5433" spans="1:14" x14ac:dyDescent="0.15">
      <c r="A5433" s="23" t="str">
        <f>HYPERLINK("https://www.spark-marketing.ru/Card/Person/145292", "МО МВД РОССИИ ""УДОМЕЛЬСКИЙ""")</f>
        <v>МО МВД РОССИИ "УДОМЕЛЬСКИЙ"</v>
      </c>
      <c r="B5433" s="24" t="s">
        <v>8390</v>
      </c>
      <c r="C5433" s="25">
        <v>139905.35999999999</v>
      </c>
      <c r="D5433" s="22" t="s">
        <v>8391</v>
      </c>
      <c r="E5433" s="22" t="s">
        <v>96</v>
      </c>
      <c r="F5433" s="23" t="str">
        <f>HYPERLINK("https://www.spark-marketing.ru/Card/Lot/73070209", "Оказание услуг по организации питания (приготовлению и доставке), 532 шт")</f>
        <v>Оказание услуг по организации питания (приготовлению и доставке), 532 шт</v>
      </c>
      <c r="G5433" s="22" t="s">
        <v>137</v>
      </c>
      <c r="H5433" s="22" t="s">
        <v>8392</v>
      </c>
      <c r="I5433" s="26">
        <v>43705.379062499997</v>
      </c>
      <c r="J5433" s="28" t="s">
        <v>51</v>
      </c>
      <c r="K5433" s="28" t="s">
        <v>51</v>
      </c>
      <c r="L5433" s="28" t="s">
        <v>51</v>
      </c>
      <c r="M5433" s="28" t="s">
        <v>51</v>
      </c>
      <c r="N5433" s="28" t="s">
        <v>51</v>
      </c>
    </row>
    <row r="5434" spans="1:14" x14ac:dyDescent="0.15">
      <c r="A5434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5434" s="24" t="s">
        <v>6728</v>
      </c>
      <c r="C5434" s="25">
        <v>200000</v>
      </c>
      <c r="D5434" s="22" t="s">
        <v>8393</v>
      </c>
      <c r="E5434" s="22" t="s">
        <v>48</v>
      </c>
      <c r="F5434" s="23" t="str">
        <f>HYPERLINK("https://www.spark-marketing.ru/Card/Lot/73071535",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434" s="22" t="s">
        <v>469</v>
      </c>
      <c r="H5434" s="22" t="s">
        <v>8380</v>
      </c>
      <c r="I5434" s="26">
        <v>43705.400567129604</v>
      </c>
      <c r="J5434" s="28" t="s">
        <v>51</v>
      </c>
      <c r="K5434" s="28" t="s">
        <v>51</v>
      </c>
      <c r="L5434" s="28" t="s">
        <v>51</v>
      </c>
      <c r="M5434" s="28" t="s">
        <v>51</v>
      </c>
      <c r="N5434" s="28" t="s">
        <v>51</v>
      </c>
    </row>
    <row r="5435" spans="1:14" x14ac:dyDescent="0.15">
      <c r="A5435" s="23" t="str">
        <f>HYPERLINK("https://www.spark-marketing.ru/Card/Person/4344644", "УПРАВЛЕНИЕ ДЕЛАМИ ГУБЕРНАТОРА АСТРАХАНСКОЙ ОБЛАСТИ")</f>
        <v>УПРАВЛЕНИЕ ДЕЛАМИ ГУБЕРНАТОРА АСТРАХАНСКОЙ ОБЛАСТИ</v>
      </c>
      <c r="B5435" s="24" t="s">
        <v>8394</v>
      </c>
      <c r="C5435" s="25">
        <v>920000</v>
      </c>
      <c r="D5435" s="22" t="s">
        <v>8395</v>
      </c>
      <c r="E5435" s="22" t="s">
        <v>96</v>
      </c>
      <c r="F5435" s="23" t="str">
        <f>HYPERLINK("https://www.spark-marketing.ru/Card/Lot/73071602", "Оказание комплекса услуг питания при проведении официальных мероприятий")</f>
        <v>Оказание комплекса услуг питания при проведении официальных мероприятий</v>
      </c>
      <c r="G5435" s="22" t="s">
        <v>141</v>
      </c>
      <c r="H5435" s="22" t="s">
        <v>2201</v>
      </c>
      <c r="I5435" s="26">
        <v>43704.707673611098</v>
      </c>
      <c r="J5435" s="23" t="str">
        <f>HYPERLINK("https://www.spark-marketing.ru/Card/Person/279758", "КП АО ""КОМБИНАТ ОБЩЕСТВЕННОГО ПИТАНИЯ""")</f>
        <v>КП АО "КОМБИНАТ ОБЩЕСТВЕННОГО ПИТАНИЯ"</v>
      </c>
      <c r="K5435" s="24" t="s">
        <v>8396</v>
      </c>
      <c r="L5435" s="22" t="s">
        <v>10</v>
      </c>
      <c r="M5435" s="28" t="s">
        <v>51</v>
      </c>
      <c r="N5435" s="28" t="s">
        <v>51</v>
      </c>
    </row>
    <row r="5436" spans="1:14" x14ac:dyDescent="0.15">
      <c r="A5436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5436" s="24" t="s">
        <v>6728</v>
      </c>
      <c r="C5436" s="25">
        <v>200000</v>
      </c>
      <c r="D5436" s="22" t="s">
        <v>8397</v>
      </c>
      <c r="E5436" s="22" t="s">
        <v>48</v>
      </c>
      <c r="F5436" s="23" t="str">
        <f>HYPERLINK("https://www.spark-marketing.ru/Card/Lot/73071031",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436" s="22" t="s">
        <v>469</v>
      </c>
      <c r="H5436" s="22" t="s">
        <v>8380</v>
      </c>
      <c r="I5436" s="26">
        <v>43705.391712962999</v>
      </c>
      <c r="J5436" s="28" t="s">
        <v>51</v>
      </c>
      <c r="K5436" s="28" t="s">
        <v>51</v>
      </c>
      <c r="L5436" s="28" t="s">
        <v>51</v>
      </c>
      <c r="M5436" s="28" t="s">
        <v>51</v>
      </c>
      <c r="N5436" s="28" t="s">
        <v>51</v>
      </c>
    </row>
    <row r="5437" spans="1:14" x14ac:dyDescent="0.15">
      <c r="A5437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5437" s="24" t="s">
        <v>6728</v>
      </c>
      <c r="C5437" s="25">
        <v>200000</v>
      </c>
      <c r="D5437" s="22" t="s">
        <v>8398</v>
      </c>
      <c r="E5437" s="22" t="s">
        <v>48</v>
      </c>
      <c r="F5437" s="23" t="str">
        <f>HYPERLINK("https://www.spark-marketing.ru/Card/Lot/73070984",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437" s="22" t="s">
        <v>469</v>
      </c>
      <c r="H5437" s="22" t="s">
        <v>8380</v>
      </c>
      <c r="I5437" s="26">
        <v>43705.395219907397</v>
      </c>
      <c r="J5437" s="28" t="s">
        <v>51</v>
      </c>
      <c r="K5437" s="28" t="s">
        <v>51</v>
      </c>
      <c r="L5437" s="28" t="s">
        <v>51</v>
      </c>
      <c r="M5437" s="28" t="s">
        <v>51</v>
      </c>
      <c r="N5437" s="28" t="s">
        <v>51</v>
      </c>
    </row>
    <row r="5438" spans="1:14" x14ac:dyDescent="0.15">
      <c r="A5438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5438" s="24" t="s">
        <v>6728</v>
      </c>
      <c r="C5438" s="25">
        <v>280000</v>
      </c>
      <c r="D5438" s="22" t="s">
        <v>8399</v>
      </c>
      <c r="E5438" s="22" t="s">
        <v>8400</v>
      </c>
      <c r="F5438" s="23" t="str">
        <f>HYPERLINK("https://www.spark-marketing.ru/Card/Lot/73071080", "осуществляемые по договору, прочие (услуги по обеспечению 3-х разовым ежедневным горячим питанием лиц, содержащихся в изоляторе временного содержания подозреваемых и обвиняемых, и административно задержанных отдела МВД России по Еманжелинскому району...")</f>
        <v>осуществляемые по договору, прочие (услуги по обеспечению 3-х разовым ежедневным горячим питанием лиц, содержащихся в изоляторе временного содержания подозреваемых и обвиняемых, и административно задержанных отдела МВД России по Еманжелинскому району...</v>
      </c>
      <c r="G5438" s="22" t="s">
        <v>469</v>
      </c>
      <c r="H5438" s="22" t="s">
        <v>8380</v>
      </c>
      <c r="I5438" s="26">
        <v>43705.396851851903</v>
      </c>
      <c r="J5438" s="28" t="s">
        <v>51</v>
      </c>
      <c r="K5438" s="28" t="s">
        <v>51</v>
      </c>
      <c r="L5438" s="28" t="s">
        <v>51</v>
      </c>
      <c r="M5438" s="28" t="s">
        <v>51</v>
      </c>
      <c r="N5438" s="28" t="s">
        <v>51</v>
      </c>
    </row>
    <row r="5439" spans="1:14" x14ac:dyDescent="0.15">
      <c r="A5439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5439" s="24" t="s">
        <v>6728</v>
      </c>
      <c r="C5439" s="25">
        <v>200000</v>
      </c>
      <c r="D5439" s="22" t="s">
        <v>8401</v>
      </c>
      <c r="E5439" s="22" t="s">
        <v>48</v>
      </c>
      <c r="F5439" s="23" t="str">
        <f>HYPERLINK("https://www.spark-marketing.ru/Card/Lot/73071100",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439" s="22" t="s">
        <v>469</v>
      </c>
      <c r="H5439" s="22" t="s">
        <v>8380</v>
      </c>
      <c r="I5439" s="26">
        <v>43705.399212962999</v>
      </c>
      <c r="J5439" s="28" t="s">
        <v>51</v>
      </c>
      <c r="K5439" s="28" t="s">
        <v>51</v>
      </c>
      <c r="L5439" s="28" t="s">
        <v>51</v>
      </c>
      <c r="M5439" s="28" t="s">
        <v>51</v>
      </c>
      <c r="N5439" s="28" t="s">
        <v>51</v>
      </c>
    </row>
    <row r="5440" spans="1:14" x14ac:dyDescent="0.15">
      <c r="A5440" s="23" t="str">
        <f>HYPERLINK("https://www.spark-marketing.ru/Card/Person/641656", "ОМВД РОССИИ ПО БОРЗИНСКОМУ РАЙОНУ")</f>
        <v>ОМВД РОССИИ ПО БОРЗИНСКОМУ РАЙОНУ</v>
      </c>
      <c r="B5440" s="24" t="s">
        <v>8402</v>
      </c>
      <c r="C5440" s="25">
        <v>4700000</v>
      </c>
      <c r="D5440" s="22" t="s">
        <v>8403</v>
      </c>
      <c r="E5440" s="22" t="s">
        <v>96</v>
      </c>
      <c r="F5440" s="23" t="str">
        <f>HYPERLINK("https://www.spark-marketing.ru/Card/Lot/73066963", "Услуги по приготовлению и поставке горячего питания для лиц, содержащихся в ИВС ОМВД России по Борзинскому району")</f>
        <v>Услуги по приготовлению и поставке горячего питания для лиц, содержащихся в ИВС ОМВД России по Борзинскому району</v>
      </c>
      <c r="G5440" s="22" t="s">
        <v>228</v>
      </c>
      <c r="H5440" s="22" t="s">
        <v>8404</v>
      </c>
      <c r="I5440" s="26">
        <v>43704.646851851903</v>
      </c>
      <c r="J5440" s="28" t="s">
        <v>51</v>
      </c>
      <c r="K5440" s="28" t="s">
        <v>51</v>
      </c>
      <c r="L5440" s="28" t="s">
        <v>51</v>
      </c>
      <c r="M5440" s="28" t="s">
        <v>51</v>
      </c>
      <c r="N5440" s="28" t="s">
        <v>51</v>
      </c>
    </row>
    <row r="5441" spans="1:14" x14ac:dyDescent="0.15">
      <c r="A5441" s="23" t="str">
        <f>HYPERLINK("https://www.spark-marketing.ru/Card/Person/6162", "ГКБУ ""УЭАЗ""")</f>
        <v>ГКБУ "УЭАЗ"</v>
      </c>
      <c r="B5441" s="24" t="s">
        <v>2584</v>
      </c>
      <c r="C5441" s="25">
        <v>443290</v>
      </c>
      <c r="D5441" s="22" t="s">
        <v>8405</v>
      </c>
      <c r="E5441" s="22" t="s">
        <v>355</v>
      </c>
      <c r="F5441" s="23" t="str">
        <f>HYPERLINK("https://www.spark-marketing.ru/Card/Lot/73069029", "Оказание услуг по техническому обслуживанию и текущему ремонту системы видеонаблюдения на объектах культурного наследия")</f>
        <v>Оказание услуг по техническому обслуживанию и текущему ремонту системы видеонаблюдения на объектах культурного наследия</v>
      </c>
      <c r="G5441" s="22" t="s">
        <v>153</v>
      </c>
      <c r="H5441" s="22" t="s">
        <v>153</v>
      </c>
      <c r="I5441" s="26">
        <v>43704.712893518503</v>
      </c>
      <c r="J5441" s="23" t="str">
        <f>HYPERLINK("https://www.spark-marketing.ru/Card/Person/366766", "ООО ""БАРЬЕР""")</f>
        <v>ООО "БАРЬЕР"</v>
      </c>
      <c r="K5441" s="24" t="s">
        <v>2590</v>
      </c>
      <c r="L5441" s="22" t="s">
        <v>10</v>
      </c>
      <c r="M5441" s="28" t="s">
        <v>51</v>
      </c>
      <c r="N5441" s="28" t="s">
        <v>51</v>
      </c>
    </row>
    <row r="5442" spans="1:14" x14ac:dyDescent="0.15">
      <c r="A5442" s="23" t="str">
        <f>HYPERLINK("https://www.spark-marketing.ru/Card/Person/140553", "МЕЖМУНИЦИПАЛЬНЫЙ ОТДЕЛ МВД РОССИИ ""КОЧЕВСКИЙ""")</f>
        <v>МЕЖМУНИЦИПАЛЬНЫЙ ОТДЕЛ МВД РОССИИ "КОЧЕВСКИЙ"</v>
      </c>
      <c r="B5442" s="24" t="s">
        <v>8406</v>
      </c>
      <c r="C5442" s="25">
        <v>496400</v>
      </c>
      <c r="D5442" s="22" t="s">
        <v>8407</v>
      </c>
      <c r="E5442" s="22" t="s">
        <v>48</v>
      </c>
      <c r="F5442" s="23" t="str">
        <f>HYPERLINK("https://www.spark-marketing.ru/Card/Lot/73069917", "Оказание услуг по обеспечению питанием лиц содержащихся в ИВС")</f>
        <v>Оказание услуг по обеспечению питанием лиц содержащихся в ИВС</v>
      </c>
      <c r="G5442" s="22" t="s">
        <v>8408</v>
      </c>
      <c r="H5442" s="22" t="s">
        <v>8409</v>
      </c>
      <c r="I5442" s="26">
        <v>43704.674097222203</v>
      </c>
      <c r="J5442" s="23" t="str">
        <f>HYPERLINK("https://www.spark-marketing.ru/Card/Person/1407681", "ООО ""ТОПАЗ""")</f>
        <v>ООО "ТОПАЗ"</v>
      </c>
      <c r="K5442" s="24" t="s">
        <v>8410</v>
      </c>
      <c r="L5442" s="22" t="s">
        <v>10</v>
      </c>
      <c r="M5442" s="28" t="s">
        <v>51</v>
      </c>
      <c r="N5442" s="28" t="s">
        <v>51</v>
      </c>
    </row>
    <row r="5443" spans="1:14" x14ac:dyDescent="0.15">
      <c r="A5443" s="23" t="str">
        <f>HYPERLINK("https://www.spark-marketing.ru/Card/Person/4348646", "ООО ""БЕЛОЯРСКАЯ АЭС- АВТО""")</f>
        <v>ООО "БЕЛОЯРСКАЯ АЭС- АВТО"</v>
      </c>
      <c r="B5443" s="24" t="s">
        <v>8411</v>
      </c>
      <c r="C5443" s="25">
        <v>0</v>
      </c>
      <c r="D5443" s="22" t="s">
        <v>8412</v>
      </c>
      <c r="E5443" s="22" t="s">
        <v>52</v>
      </c>
      <c r="F5443" s="23" t="str">
        <f>HYPERLINK("https://www.spark-marketing.ru/Card/Lot/73074587", "мониторинг цен в электронной форме на Оказание комплекса услуг общественного питания.")</f>
        <v>мониторинг цен в электронной форме на Оказание комплекса услуг общественного питания.</v>
      </c>
      <c r="G5443" s="22" t="s">
        <v>174</v>
      </c>
      <c r="H5443" s="22" t="s">
        <v>8413</v>
      </c>
      <c r="I5443" s="26">
        <v>43705.372986111099</v>
      </c>
      <c r="J5443" s="28" t="s">
        <v>51</v>
      </c>
      <c r="K5443" s="28" t="s">
        <v>51</v>
      </c>
      <c r="L5443" s="28" t="s">
        <v>51</v>
      </c>
      <c r="M5443" s="28" t="s">
        <v>51</v>
      </c>
      <c r="N5443" s="28" t="s">
        <v>51</v>
      </c>
    </row>
    <row r="5444" spans="1:14" x14ac:dyDescent="0.15">
      <c r="A5444" s="23" t="str">
        <f>HYPERLINK("https://www.spark-marketing.ru/Card/Person/4348646", "ООО ""БЕЛОЯРСКАЯ АЭС- АВТО""")</f>
        <v>ООО "БЕЛОЯРСКАЯ АЭС- АВТО"</v>
      </c>
      <c r="B5444" s="24" t="s">
        <v>8411</v>
      </c>
      <c r="C5444" s="28" t="s">
        <v>51</v>
      </c>
      <c r="D5444" s="22" t="s">
        <v>8414</v>
      </c>
      <c r="E5444" s="22" t="s">
        <v>96</v>
      </c>
      <c r="F5444" s="23" t="str">
        <f>HYPERLINK("https://www.spark-marketing.ru/Card/Lot/73077037", "Оказание комплекса услуг общественного питания.")</f>
        <v>Оказание комплекса услуг общественного питания.</v>
      </c>
      <c r="G5444" s="22" t="s">
        <v>174</v>
      </c>
      <c r="H5444" s="22" t="s">
        <v>8413</v>
      </c>
      <c r="I5444" s="26">
        <v>43705.3731134259</v>
      </c>
      <c r="J5444" s="28" t="s">
        <v>51</v>
      </c>
      <c r="K5444" s="28" t="s">
        <v>51</v>
      </c>
      <c r="L5444" s="28" t="s">
        <v>51</v>
      </c>
      <c r="M5444" s="28" t="s">
        <v>51</v>
      </c>
      <c r="N5444" s="28" t="s">
        <v>51</v>
      </c>
    </row>
    <row r="5445" spans="1:14" x14ac:dyDescent="0.15">
      <c r="A5445" s="23" t="str">
        <f>HYPERLINK("https://www.spark-marketing.ru/Card/Person/38452", "ОМВД РОССИИ ПО Г.НОВОАЛТАЙСКУ")</f>
        <v>ОМВД РОССИИ ПО Г.НОВОАЛТАЙСКУ</v>
      </c>
      <c r="B5445" s="24" t="s">
        <v>3260</v>
      </c>
      <c r="C5445" s="25">
        <v>1025000</v>
      </c>
      <c r="D5445" s="22" t="s">
        <v>8415</v>
      </c>
      <c r="E5445" s="22" t="s">
        <v>48</v>
      </c>
      <c r="F5445" s="23" t="str">
        <f>HYPERLINK("https://www.spark-marketing.ru/Card/Lot/73067102", "Услуги по организации ежедневного комплексного горячего питания (завтрак, обед, ужин) для лиц, содержащихся в ИВС ОМВД России по г. Новоалтайску, а также лиц, задержанных за административные правонарушения")</f>
        <v>Услуги по организации ежедневного комплексного горячего питания (завтрак, обед, ужин) для лиц, содержащихся в ИВС ОМВД России по г. Новоалтайску, а также лиц, задержанных за административные правонарушения</v>
      </c>
      <c r="G5445" s="22" t="s">
        <v>63</v>
      </c>
      <c r="H5445" s="22" t="s">
        <v>3262</v>
      </c>
      <c r="I5445" s="26">
        <v>43704.853692129604</v>
      </c>
      <c r="J5445" s="28" t="s">
        <v>51</v>
      </c>
      <c r="K5445" s="28" t="s">
        <v>51</v>
      </c>
      <c r="L5445" s="28" t="s">
        <v>51</v>
      </c>
      <c r="M5445" s="28" t="s">
        <v>51</v>
      </c>
      <c r="N5445" s="28" t="s">
        <v>51</v>
      </c>
    </row>
    <row r="5446" spans="1:14" x14ac:dyDescent="0.15">
      <c r="A5446" s="23" t="str">
        <f>HYPERLINK("https://www.spark-marketing.ru/Card/Person/1752165", "АО ""ГРИНАТОМ""")</f>
        <v>АО "ГРИНАТОМ"</v>
      </c>
      <c r="B5446" s="24" t="s">
        <v>509</v>
      </c>
      <c r="C5446" s="28" t="s">
        <v>51</v>
      </c>
      <c r="D5446" s="22" t="s">
        <v>8416</v>
      </c>
      <c r="E5446" s="22" t="s">
        <v>152</v>
      </c>
      <c r="F5446" s="23" t="str">
        <f>HYPERLINK("https://www.spark-marketing.ru/Card/Lot/73095518", "Предоставление услуги диагностика систем бесперебойного питания")</f>
        <v>Предоставление услуги диагностика систем бесперебойного питания</v>
      </c>
      <c r="G5446" s="22" t="s">
        <v>56</v>
      </c>
      <c r="H5446" s="22" t="s">
        <v>56</v>
      </c>
      <c r="I5446" s="26">
        <v>43705.257465277798</v>
      </c>
      <c r="J5446" s="28" t="s">
        <v>51</v>
      </c>
      <c r="K5446" s="28" t="s">
        <v>51</v>
      </c>
      <c r="L5446" s="28" t="s">
        <v>51</v>
      </c>
      <c r="M5446" s="28" t="s">
        <v>51</v>
      </c>
      <c r="N5446" s="28" t="s">
        <v>51</v>
      </c>
    </row>
    <row r="5447" spans="1:14" x14ac:dyDescent="0.2">
      <c r="A5447" s="23" t="str">
        <f>HYPERLINK("https://www.spark-marketing.ru/Card/Person/734314", "МАОУ СОШ № 2 Г. АГИДЕЛЬ")</f>
        <v>МАОУ СОШ № 2 Г. АГИДЕЛЬ</v>
      </c>
      <c r="B5447" s="24" t="s">
        <v>2973</v>
      </c>
      <c r="C5447" s="25">
        <v>4570395</v>
      </c>
      <c r="D5447" s="22" t="s">
        <v>8417</v>
      </c>
      <c r="E5447" s="22" t="s">
        <v>362</v>
      </c>
      <c r="F5447" s="23" t="str">
        <f>HYPERLINK("https://www.spark-marketing.ru/Card/Lot/73071265", "Оказание услуг по организации горячего питания обучающихся")</f>
        <v>Оказание услуг по организации горячего питания обучающихся</v>
      </c>
      <c r="G5447" s="22" t="s">
        <v>145</v>
      </c>
      <c r="H5447" s="22" t="s">
        <v>145</v>
      </c>
      <c r="I5447" s="26">
        <v>43705</v>
      </c>
      <c r="J5447" s="28" t="s">
        <v>51</v>
      </c>
      <c r="K5447" s="28" t="s">
        <v>51</v>
      </c>
      <c r="L5447" s="28" t="s">
        <v>51</v>
      </c>
      <c r="M5447" s="25">
        <v>4570395</v>
      </c>
      <c r="N5447" s="27">
        <v>0</v>
      </c>
    </row>
    <row r="5448" spans="1:14" x14ac:dyDescent="0.2">
      <c r="A5448" s="23" t="str">
        <f>HYPERLINK("https://www.spark-marketing.ru/Card/Person/4353137", "ПАО ""МОСЭНЕРГО""")</f>
        <v>ПАО "МОСЭНЕРГО"</v>
      </c>
      <c r="B5448" s="24" t="s">
        <v>7238</v>
      </c>
      <c r="C5448" s="25">
        <v>2016000</v>
      </c>
      <c r="D5448" s="22" t="s">
        <v>8418</v>
      </c>
      <c r="E5448" s="22" t="s">
        <v>769</v>
      </c>
      <c r="F5448" s="23" t="str">
        <f>HYPERLINK("https://www.spark-marketing.ru/Card/Lot/73113475", "Оказание услуг по организации питания (в зоне skybox )")</f>
        <v>Оказание услуг по организации питания (в зоне skybox )</v>
      </c>
      <c r="G5448" s="22" t="s">
        <v>56</v>
      </c>
      <c r="H5448" s="22" t="s">
        <v>56</v>
      </c>
      <c r="I5448" s="26">
        <v>43706</v>
      </c>
      <c r="J5448" s="28" t="s">
        <v>51</v>
      </c>
      <c r="K5448" s="28" t="s">
        <v>51</v>
      </c>
      <c r="L5448" s="22" t="s">
        <v>10</v>
      </c>
      <c r="M5448" s="25">
        <v>2016000</v>
      </c>
      <c r="N5448" s="27">
        <v>0</v>
      </c>
    </row>
    <row r="5449" spans="1:14" x14ac:dyDescent="0.15">
      <c r="A5449" s="23" t="str">
        <f>HYPERLINK("https://www.spark-marketing.ru/Card/Person/251954", "ПАО ""ТГК-1""")</f>
        <v>ПАО "ТГК-1"</v>
      </c>
      <c r="B5449" s="24" t="s">
        <v>8419</v>
      </c>
      <c r="C5449" s="25">
        <v>1600000</v>
      </c>
      <c r="D5449" s="22" t="s">
        <v>8420</v>
      </c>
      <c r="E5449" s="22" t="s">
        <v>8421</v>
      </c>
      <c r="F5449" s="23" t="str">
        <f>HYPERLINK("https://www.spark-marketing.ru/Card/Lot/73088706", "КО №1338/КО - Персональные компьютеры с монитором, клавиатурой, мышью, сетевым адаптером питания с МФУ для нужд филиала «Невский» ПАО «ТГК-1»")</f>
        <v>КО №1338/КО - Персональные компьютеры с монитором, клавиатурой, мышью, сетевым адаптером питания с МФУ для нужд филиала «Невский» ПАО «ТГК-1»</v>
      </c>
      <c r="G5449" s="22" t="s">
        <v>117</v>
      </c>
      <c r="H5449" s="22" t="s">
        <v>117</v>
      </c>
      <c r="I5449" s="26">
        <v>43705</v>
      </c>
      <c r="J5449" s="28" t="s">
        <v>51</v>
      </c>
      <c r="K5449" s="28" t="s">
        <v>51</v>
      </c>
      <c r="L5449" s="28" t="s">
        <v>51</v>
      </c>
      <c r="M5449" s="28" t="s">
        <v>51</v>
      </c>
      <c r="N5449" s="28" t="s">
        <v>51</v>
      </c>
    </row>
    <row r="5450" spans="1:14" x14ac:dyDescent="0.15">
      <c r="A5450" s="23" t="str">
        <f>HYPERLINK("https://www.spark-marketing.ru/Card/Person/4458061", "МАОУ ""ДГГ""")</f>
        <v>МАОУ "ДГГ"</v>
      </c>
      <c r="B5450" s="24" t="s">
        <v>8422</v>
      </c>
      <c r="C5450" s="25">
        <v>522240</v>
      </c>
      <c r="D5450" s="22" t="s">
        <v>8423</v>
      </c>
      <c r="E5450" s="22" t="s">
        <v>362</v>
      </c>
      <c r="F5450" s="23" t="str">
        <f>HYPERLINK("https://www.spark-marketing.ru/Card/Lot/73083745", "услуги по обеспечению горячим питанием учащихся 1- 11 классов")</f>
        <v>услуги по обеспечению горячим питанием учащихся 1- 11 классов</v>
      </c>
      <c r="G5450" s="22" t="s">
        <v>475</v>
      </c>
      <c r="H5450" s="22" t="s">
        <v>475</v>
      </c>
      <c r="I5450" s="26">
        <v>43705</v>
      </c>
      <c r="J5450" s="28" t="s">
        <v>51</v>
      </c>
      <c r="K5450" s="28" t="s">
        <v>51</v>
      </c>
      <c r="L5450" s="28" t="s">
        <v>51</v>
      </c>
      <c r="M5450" s="28" t="s">
        <v>51</v>
      </c>
      <c r="N5450" s="28" t="s">
        <v>51</v>
      </c>
    </row>
    <row r="5451" spans="1:14" x14ac:dyDescent="0.2">
      <c r="A5451" s="23" t="str">
        <f>HYPERLINK("https://www.spark-marketing.ru/Card/Person/4874743", "ГАУ ВО ""СК ""РОТОР""")</f>
        <v>ГАУ ВО "СК "РОТОР"</v>
      </c>
      <c r="B5451" s="24" t="s">
        <v>1208</v>
      </c>
      <c r="C5451" s="25">
        <v>208040</v>
      </c>
      <c r="D5451" s="22" t="s">
        <v>8424</v>
      </c>
      <c r="E5451" s="22" t="s">
        <v>769</v>
      </c>
      <c r="F5451" s="23" t="str">
        <f>HYPERLINK("https://www.spark-marketing.ru/Card/Lot/73090480", "Оказание услуг по организации проживания и питания в отеле «Парк» для футбольной команды «Ротор», в период с 06 сентября 2019 года по 07 сентября 2019 года в станице Новопокровская Краснодарского края")</f>
        <v>Оказание услуг по организации проживания и питания в отеле «Парк» для футбольной команды «Ротор», в период с 06 сентября 2019 года по 07 сентября 2019 года в станице Новопокровская Краснодарского края</v>
      </c>
      <c r="G5451" s="22" t="s">
        <v>104</v>
      </c>
      <c r="H5451" s="22" t="s">
        <v>104</v>
      </c>
      <c r="I5451" s="26">
        <v>43705</v>
      </c>
      <c r="J5451" s="28" t="s">
        <v>51</v>
      </c>
      <c r="K5451" s="28" t="s">
        <v>51</v>
      </c>
      <c r="L5451" s="28" t="s">
        <v>51</v>
      </c>
      <c r="M5451" s="25">
        <v>208040</v>
      </c>
      <c r="N5451" s="27">
        <v>0</v>
      </c>
    </row>
    <row r="5452" spans="1:14" x14ac:dyDescent="0.2">
      <c r="A5452" s="23" t="str">
        <f>HYPERLINK("https://www.spark-marketing.ru/Card/Person/1011215", "МДОУ Д/С № 83")</f>
        <v>МДОУ Д/С № 83</v>
      </c>
      <c r="B5452" s="24" t="s">
        <v>4651</v>
      </c>
      <c r="C5452" s="25">
        <v>135749.54</v>
      </c>
      <c r="D5452" s="22" t="s">
        <v>8425</v>
      </c>
      <c r="E5452" s="22" t="s">
        <v>362</v>
      </c>
      <c r="F5452" s="23" t="str">
        <f>HYPERLINK("https://www.spark-marketing.ru/Card/Lot/73071304", "оказание услуг по организации питания детей")</f>
        <v>оказание услуг по организации питания детей</v>
      </c>
      <c r="G5452" s="22" t="s">
        <v>158</v>
      </c>
      <c r="H5452" s="22" t="s">
        <v>158</v>
      </c>
      <c r="I5452" s="26">
        <v>43705</v>
      </c>
      <c r="J5452" s="28" t="s">
        <v>51</v>
      </c>
      <c r="K5452" s="28" t="s">
        <v>51</v>
      </c>
      <c r="L5452" s="22" t="s">
        <v>10</v>
      </c>
      <c r="M5452" s="25">
        <v>135749.54</v>
      </c>
      <c r="N5452" s="27">
        <v>0</v>
      </c>
    </row>
    <row r="5453" spans="1:14" x14ac:dyDescent="0.15">
      <c r="A5453" s="23" t="str">
        <f>HYPERLINK("https://www.spark-marketing.ru/Card/Person/143876", "ФБУЗ ""ЦЕНТР ГИГИЕНЫ И ЭПИДЕМИОЛОГИИ В РЕСПУБЛИКЕ АЛТАЙ""")</f>
        <v>ФБУЗ "ЦЕНТР ГИГИЕНЫ И ЭПИДЕМИОЛОГИИ В РЕСПУБЛИКЕ АЛТАЙ"</v>
      </c>
      <c r="B5453" s="24" t="s">
        <v>8426</v>
      </c>
      <c r="C5453" s="25">
        <v>2700</v>
      </c>
      <c r="D5453" s="22" t="s">
        <v>8427</v>
      </c>
      <c r="E5453" s="22" t="s">
        <v>8428</v>
      </c>
      <c r="F5453" s="23" t="str">
        <f>HYPERLINK("https://www.spark-marketing.ru/Card/Lot/73074363", "Оказание услуг по повышению квалификации по теме ""Организация лечебного питания"", 36 часов")</f>
        <v>Оказание услуг по повышению квалификации по теме "Организация лечебного питания", 36 часов</v>
      </c>
      <c r="G5453" s="22" t="s">
        <v>1141</v>
      </c>
      <c r="H5453" s="22" t="s">
        <v>1141</v>
      </c>
      <c r="I5453" s="26">
        <v>43705</v>
      </c>
      <c r="J5453" s="28" t="s">
        <v>51</v>
      </c>
      <c r="K5453" s="28" t="s">
        <v>51</v>
      </c>
      <c r="L5453" s="28" t="s">
        <v>51</v>
      </c>
      <c r="M5453" s="28" t="s">
        <v>51</v>
      </c>
      <c r="N5453" s="28" t="s">
        <v>51</v>
      </c>
    </row>
    <row r="5454" spans="1:14" x14ac:dyDescent="0.2">
      <c r="A5454" s="23" t="str">
        <f>HYPERLINK("https://www.spark-marketing.ru/Card/Person/77476", "АО ""ЦНИИ ""ЭЛЕКТРОНИКА""")</f>
        <v>АО "ЦНИИ "ЭЛЕКТРОНИКА"</v>
      </c>
      <c r="B5454" s="24" t="s">
        <v>8429</v>
      </c>
      <c r="C5454" s="25">
        <v>157410</v>
      </c>
      <c r="D5454" s="22" t="s">
        <v>8430</v>
      </c>
      <c r="E5454" s="22" t="s">
        <v>362</v>
      </c>
      <c r="F5454" s="23" t="str">
        <f>HYPERLINK("https://www.spark-marketing.ru/Card/Lot/73075716", "0512-2019-0083. Оказание услуг по организации питания для сотрудников и (или) гостей Заказчика в рамках проведения российско-китайской премии и конкурса индустриальных инноваций INNOVATION AWARDS")</f>
        <v>0512-2019-0083. Оказание услуг по организации питания для сотрудников и (или) гостей Заказчика в рамках проведения российско-китайской премии и конкурса индустриальных инноваций INNOVATION AWARDS</v>
      </c>
      <c r="G5454" s="22" t="s">
        <v>56</v>
      </c>
      <c r="H5454" s="22" t="s">
        <v>56</v>
      </c>
      <c r="I5454" s="26">
        <v>43705</v>
      </c>
      <c r="J5454" s="28" t="s">
        <v>51</v>
      </c>
      <c r="K5454" s="28" t="s">
        <v>51</v>
      </c>
      <c r="L5454" s="28" t="s">
        <v>51</v>
      </c>
      <c r="M5454" s="25">
        <v>157410</v>
      </c>
      <c r="N5454" s="27">
        <v>0</v>
      </c>
    </row>
    <row r="5455" spans="1:14" x14ac:dyDescent="0.15">
      <c r="A5455" s="23" t="str">
        <f>HYPERLINK("https://www.spark-marketing.ru/Card/Person/1014183", "ФГУП ""ПВС"" МВД РОССИИ")</f>
        <v>ФГУП "ПВС" МВД РОССИИ</v>
      </c>
      <c r="B5455" s="24" t="s">
        <v>6266</v>
      </c>
      <c r="C5455" s="25">
        <v>499823.37</v>
      </c>
      <c r="D5455" s="22" t="s">
        <v>8431</v>
      </c>
      <c r="E5455" s="22" t="s">
        <v>562</v>
      </c>
      <c r="F5455" s="23" t="str">
        <f>HYPERLINK("https://www.spark-marketing.ru/Card/Lot/73077991", "Оказания услуг питания при проведении выездного фуршетного мероприятия")</f>
        <v>Оказания услуг питания при проведении выездного фуршетного мероприятия</v>
      </c>
      <c r="G5455" s="22" t="s">
        <v>56</v>
      </c>
      <c r="H5455" s="22" t="s">
        <v>56</v>
      </c>
      <c r="I5455" s="26">
        <v>43705</v>
      </c>
      <c r="J5455" s="28" t="s">
        <v>51</v>
      </c>
      <c r="K5455" s="28" t="s">
        <v>51</v>
      </c>
      <c r="L5455" s="28" t="s">
        <v>51</v>
      </c>
      <c r="M5455" s="28" t="s">
        <v>51</v>
      </c>
      <c r="N5455" s="28" t="s">
        <v>51</v>
      </c>
    </row>
    <row r="5456" spans="1:14" x14ac:dyDescent="0.2">
      <c r="A5456" s="23" t="str">
        <f>HYPERLINK("https://www.spark-marketing.ru/Card/Person/949344", "КГА ПОУ ""ДВТК""")</f>
        <v>КГА ПОУ "ДВТК"</v>
      </c>
      <c r="B5456" s="24" t="s">
        <v>2961</v>
      </c>
      <c r="C5456" s="25">
        <v>709800</v>
      </c>
      <c r="D5456" s="22" t="s">
        <v>8432</v>
      </c>
      <c r="E5456" s="22" t="s">
        <v>362</v>
      </c>
      <c r="F5456" s="23" t="str">
        <f>HYPERLINK("https://www.spark-marketing.ru/Card/Lot/73069872", "Оказание услуг по организации питания")</f>
        <v>Оказание услуг по организации питания</v>
      </c>
      <c r="G5456" s="22" t="s">
        <v>543</v>
      </c>
      <c r="H5456" s="22" t="s">
        <v>543</v>
      </c>
      <c r="I5456" s="26">
        <v>43705</v>
      </c>
      <c r="J5456" s="28" t="s">
        <v>51</v>
      </c>
      <c r="K5456" s="28" t="s">
        <v>51</v>
      </c>
      <c r="L5456" s="22" t="s">
        <v>10</v>
      </c>
      <c r="M5456" s="25">
        <v>709800</v>
      </c>
      <c r="N5456" s="27">
        <v>0</v>
      </c>
    </row>
    <row r="5457" spans="1:14" x14ac:dyDescent="0.15">
      <c r="A5457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5457" s="24" t="s">
        <v>1909</v>
      </c>
      <c r="C5457" s="25">
        <v>331450</v>
      </c>
      <c r="D5457" s="22" t="s">
        <v>8433</v>
      </c>
      <c r="E5457" s="22" t="s">
        <v>580</v>
      </c>
      <c r="F5457" s="23" t="str">
        <f>HYPERLINK("https://www.spark-marketing.ru/Card/Lot/73080407", "Услуги по обеспечению питанием спортсменов и тренеров Заказчика")</f>
        <v>Услуги по обеспечению питанием спортсменов и тренеров Заказчика</v>
      </c>
      <c r="G5457" s="22" t="s">
        <v>153</v>
      </c>
      <c r="H5457" s="22" t="s">
        <v>153</v>
      </c>
      <c r="I5457" s="26">
        <v>43705</v>
      </c>
      <c r="J5457" s="28" t="s">
        <v>51</v>
      </c>
      <c r="K5457" s="28" t="s">
        <v>51</v>
      </c>
      <c r="L5457" s="28" t="s">
        <v>51</v>
      </c>
      <c r="M5457" s="28" t="s">
        <v>51</v>
      </c>
      <c r="N5457" s="28" t="s">
        <v>51</v>
      </c>
    </row>
    <row r="5458" spans="1:14" x14ac:dyDescent="0.15">
      <c r="A5458" s="23" t="str">
        <f>HYPERLINK("https://www.spark-marketing.ru/Card/Person/4392799", "МАОУ АБАТСКАЯ СОШ № 1")</f>
        <v>МАОУ АБАТСКАЯ СОШ № 1</v>
      </c>
      <c r="B5458" s="24" t="s">
        <v>8434</v>
      </c>
      <c r="C5458" s="25">
        <v>827900</v>
      </c>
      <c r="D5458" s="22" t="s">
        <v>8435</v>
      </c>
      <c r="E5458" s="22" t="s">
        <v>362</v>
      </c>
      <c r="F5458" s="23" t="str">
        <f>HYPERLINK("https://www.spark-marketing.ru/Card/Lot/73082482", "Оказание услуг по организации горячего питания воспитанников дошкольных образовательных учреждений")</f>
        <v>Оказание услуг по организации горячего питания воспитанников дошкольных образовательных учреждений</v>
      </c>
      <c r="G5458" s="22" t="s">
        <v>766</v>
      </c>
      <c r="H5458" s="22" t="s">
        <v>766</v>
      </c>
      <c r="I5458" s="26">
        <v>43705</v>
      </c>
      <c r="J5458" s="28" t="s">
        <v>51</v>
      </c>
      <c r="K5458" s="28" t="s">
        <v>51</v>
      </c>
      <c r="L5458" s="28" t="s">
        <v>51</v>
      </c>
      <c r="M5458" s="28" t="s">
        <v>51</v>
      </c>
      <c r="N5458" s="28" t="s">
        <v>51</v>
      </c>
    </row>
    <row r="5459" spans="1:14" x14ac:dyDescent="0.15">
      <c r="A5459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5459" s="24" t="s">
        <v>1909</v>
      </c>
      <c r="C5459" s="25">
        <v>107800</v>
      </c>
      <c r="D5459" s="22" t="s">
        <v>8436</v>
      </c>
      <c r="E5459" s="22" t="s">
        <v>580</v>
      </c>
      <c r="F5459" s="23" t="str">
        <f>HYPERLINK("https://www.spark-marketing.ru/Card/Lot/73080308", "Услуги питания в кафе «Фортуна»")</f>
        <v>Услуги питания в кафе «Фортуна»</v>
      </c>
      <c r="G5459" s="22" t="s">
        <v>469</v>
      </c>
      <c r="H5459" s="22" t="s">
        <v>469</v>
      </c>
      <c r="I5459" s="26">
        <v>43705</v>
      </c>
      <c r="J5459" s="28" t="s">
        <v>51</v>
      </c>
      <c r="K5459" s="28" t="s">
        <v>51</v>
      </c>
      <c r="L5459" s="28" t="s">
        <v>51</v>
      </c>
      <c r="M5459" s="28" t="s">
        <v>51</v>
      </c>
      <c r="N5459" s="28" t="s">
        <v>51</v>
      </c>
    </row>
    <row r="5460" spans="1:14" x14ac:dyDescent="0.2">
      <c r="A5460" s="23" t="str">
        <f>HYPERLINK("https://www.spark-marketing.ru/Card/Person/77476", "АО ""ЦНИИ ""ЭЛЕКТРОНИКА""")</f>
        <v>АО "ЦНИИ "ЭЛЕКТРОНИКА"</v>
      </c>
      <c r="B5460" s="24" t="s">
        <v>8429</v>
      </c>
      <c r="C5460" s="25">
        <v>218168.5</v>
      </c>
      <c r="D5460" s="22" t="s">
        <v>8437</v>
      </c>
      <c r="E5460" s="22" t="s">
        <v>362</v>
      </c>
      <c r="F5460" s="23" t="str">
        <f>HYPERLINK("https://www.spark-marketing.ru/Card/Lot/73075731", "0512-2019-0085. Оказание услуг по организации питания и банкетное обслуживание в рамках проведения российско-китайской премии и конкурса индустриальных инноваций INNOVATION AWARDS")</f>
        <v>0512-2019-0085. Оказание услуг по организации питания и банкетное обслуживание в рамках проведения российско-китайской премии и конкурса индустриальных инноваций INNOVATION AWARDS</v>
      </c>
      <c r="G5460" s="22" t="s">
        <v>56</v>
      </c>
      <c r="H5460" s="22" t="s">
        <v>56</v>
      </c>
      <c r="I5460" s="26">
        <v>43705</v>
      </c>
      <c r="J5460" s="28" t="s">
        <v>51</v>
      </c>
      <c r="K5460" s="28" t="s">
        <v>51</v>
      </c>
      <c r="L5460" s="28" t="s">
        <v>51</v>
      </c>
      <c r="M5460" s="25">
        <v>218168.5</v>
      </c>
      <c r="N5460" s="27">
        <v>0</v>
      </c>
    </row>
    <row r="5461" spans="1:14" x14ac:dyDescent="0.2">
      <c r="A5461" s="23" t="str">
        <f>HYPERLINK("https://www.spark-marketing.ru/Card/Person/1176165", "МАОУ СОШ № 7")</f>
        <v>МАОУ СОШ № 7</v>
      </c>
      <c r="B5461" s="24" t="s">
        <v>8438</v>
      </c>
      <c r="C5461" s="25">
        <v>758100</v>
      </c>
      <c r="D5461" s="22" t="s">
        <v>8439</v>
      </c>
      <c r="E5461" s="22" t="s">
        <v>362</v>
      </c>
      <c r="F5461" s="23" t="str">
        <f>HYPERLINK("https://www.spark-marketing.ru/Card/Lot/73079046", "Оказание услуг по организации питания обучающихся")</f>
        <v>Оказание услуг по организации питания обучающихся</v>
      </c>
      <c r="G5461" s="22" t="s">
        <v>400</v>
      </c>
      <c r="H5461" s="22" t="s">
        <v>401</v>
      </c>
      <c r="I5461" s="26">
        <v>43705</v>
      </c>
      <c r="J5461" s="28" t="s">
        <v>51</v>
      </c>
      <c r="K5461" s="28" t="s">
        <v>51</v>
      </c>
      <c r="L5461" s="22" t="s">
        <v>10</v>
      </c>
      <c r="M5461" s="25">
        <v>758100</v>
      </c>
      <c r="N5461" s="27">
        <v>0</v>
      </c>
    </row>
    <row r="5462" spans="1:14" x14ac:dyDescent="0.15">
      <c r="A5462" s="23" t="str">
        <f>HYPERLINK("https://www.spark-marketing.ru/Card/Person/4369400", "ООО АВИАПРЕДПРИЯТИЕ ""ГАЗПРОМ АВИА""")</f>
        <v>ООО АВИАПРЕДПРИЯТИЕ "ГАЗПРОМ АВИА"</v>
      </c>
      <c r="B5462" s="24" t="s">
        <v>1724</v>
      </c>
      <c r="C5462" s="25">
        <v>950000</v>
      </c>
      <c r="D5462" s="22" t="s">
        <v>8440</v>
      </c>
      <c r="E5462" s="22" t="s">
        <v>362</v>
      </c>
      <c r="F5462" s="23" t="str">
        <f>HYPERLINK("https://www.spark-marketing.ru/Card/Lot/73090519", "Оказание услуг по обеспечению пассажиров и экипажей воздушных судов бортовым питанием в а/п г. Нижнекамск")</f>
        <v>Оказание услуг по обеспечению пассажиров и экипажей воздушных судов бортовым питанием в а/п г. Нижнекамск</v>
      </c>
      <c r="G5462" s="22" t="s">
        <v>56</v>
      </c>
      <c r="H5462" s="22" t="s">
        <v>56</v>
      </c>
      <c r="I5462" s="26">
        <v>43705</v>
      </c>
      <c r="J5462" s="28" t="s">
        <v>51</v>
      </c>
      <c r="K5462" s="28" t="s">
        <v>51</v>
      </c>
      <c r="L5462" s="28" t="s">
        <v>51</v>
      </c>
      <c r="M5462" s="28" t="s">
        <v>51</v>
      </c>
      <c r="N5462" s="28" t="s">
        <v>51</v>
      </c>
    </row>
    <row r="5463" spans="1:14" x14ac:dyDescent="0.2">
      <c r="A5463" s="23" t="str">
        <f>HYPERLINK("https://www.spark-marketing.ru/Card/Person/1289433", "ГА ПОУ ЛО ""СОСНОВОБОРСКИЙ ПОЛИТЕХНИЧЕСКИЙ КОЛЛЕДЖ""")</f>
        <v>ГА ПОУ ЛО "СОСНОВОБОРСКИЙ ПОЛИТЕХНИЧЕСКИЙ КОЛЛЕДЖ"</v>
      </c>
      <c r="B5463" s="24" t="s">
        <v>8441</v>
      </c>
      <c r="C5463" s="25">
        <v>173256</v>
      </c>
      <c r="D5463" s="22" t="s">
        <v>8442</v>
      </c>
      <c r="E5463" s="22" t="s">
        <v>362</v>
      </c>
      <c r="F5463" s="23" t="str">
        <f>HYPERLINK("https://www.spark-marketing.ru/Card/Lot/73085368", "Оказание услуг по организации горячего питания, комплектации и выдачи сухих пайков обучающимся льготной категории")</f>
        <v>Оказание услуг по организации горячего питания, комплектации и выдачи сухих пайков обучающимся льготной категории</v>
      </c>
      <c r="G5463" s="22" t="s">
        <v>162</v>
      </c>
      <c r="H5463" s="22" t="s">
        <v>162</v>
      </c>
      <c r="I5463" s="26">
        <v>43705</v>
      </c>
      <c r="J5463" s="28" t="s">
        <v>51</v>
      </c>
      <c r="K5463" s="28" t="s">
        <v>51</v>
      </c>
      <c r="L5463" s="22" t="s">
        <v>10</v>
      </c>
      <c r="M5463" s="25">
        <v>173256</v>
      </c>
      <c r="N5463" s="27">
        <v>0</v>
      </c>
    </row>
    <row r="5464" spans="1:14" x14ac:dyDescent="0.2">
      <c r="A5464" s="23" t="str">
        <f>HYPERLINK("https://www.spark-marketing.ru/Card/Person/84471", "ПАО ""ТУПОЛЕВ""")</f>
        <v>ПАО "ТУПОЛЕВ"</v>
      </c>
      <c r="B5464" s="24" t="s">
        <v>8443</v>
      </c>
      <c r="C5464" s="25">
        <v>791400</v>
      </c>
      <c r="D5464" s="22" t="s">
        <v>8444</v>
      </c>
      <c r="E5464" s="22" t="s">
        <v>580</v>
      </c>
      <c r="F5464" s="23" t="str">
        <f>HYPERLINK("https://www.spark-marketing.ru/Card/Lot/73082407", "2334-2019-01286. Оказание услуг питания")</f>
        <v>2334-2019-01286. Оказание услуг питания</v>
      </c>
      <c r="G5464" s="22" t="s">
        <v>56</v>
      </c>
      <c r="H5464" s="22" t="s">
        <v>56</v>
      </c>
      <c r="I5464" s="26">
        <v>43705</v>
      </c>
      <c r="J5464" s="28" t="s">
        <v>51</v>
      </c>
      <c r="K5464" s="28" t="s">
        <v>51</v>
      </c>
      <c r="L5464" s="28" t="s">
        <v>51</v>
      </c>
      <c r="M5464" s="25">
        <v>791400</v>
      </c>
      <c r="N5464" s="27">
        <v>0</v>
      </c>
    </row>
    <row r="5465" spans="1:14" x14ac:dyDescent="0.2">
      <c r="A5465" s="23" t="str">
        <f>HYPERLINK("https://www.spark-marketing.ru/Card/Person/1752007", "МАДОУ Д/С ""СКАЗКА"" С. КАРЛЫХАНОВО")</f>
        <v>МАДОУ Д/С "СКАЗКА" С. КАРЛЫХАНОВО</v>
      </c>
      <c r="B5465" s="24" t="s">
        <v>8445</v>
      </c>
      <c r="C5465" s="25">
        <v>1324036.28</v>
      </c>
      <c r="D5465" s="22" t="s">
        <v>8446</v>
      </c>
      <c r="E5465" s="22" t="s">
        <v>362</v>
      </c>
      <c r="F5465" s="23" t="str">
        <f>HYPERLINK("https://www.spark-marketing.ru/Card/Lot/73071212", "Оказание услуг по организации горячего питания в общеобразовательных учреждениях муниципального района Белокатайский район Республики Башкортостан")</f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5465" s="22" t="s">
        <v>145</v>
      </c>
      <c r="H5465" s="22" t="s">
        <v>145</v>
      </c>
      <c r="I5465" s="26">
        <v>43705</v>
      </c>
      <c r="J5465" s="28" t="s">
        <v>51</v>
      </c>
      <c r="K5465" s="28" t="s">
        <v>51</v>
      </c>
      <c r="L5465" s="28" t="s">
        <v>51</v>
      </c>
      <c r="M5465" s="25">
        <v>1324036.28</v>
      </c>
      <c r="N5465" s="27">
        <v>0</v>
      </c>
    </row>
    <row r="5466" spans="1:14" x14ac:dyDescent="0.15">
      <c r="A5466" s="23" t="str">
        <f>HYPERLINK("https://www.spark-marketing.ru/Card/Person/426033", "ГАУ ЦСП ПО")</f>
        <v>ГАУ ЦСП ПО</v>
      </c>
      <c r="B5466" s="24" t="s">
        <v>8447</v>
      </c>
      <c r="C5466" s="25">
        <v>120960</v>
      </c>
      <c r="D5466" s="22" t="s">
        <v>8448</v>
      </c>
      <c r="E5466" s="22" t="s">
        <v>362</v>
      </c>
      <c r="F5466" s="23" t="str">
        <f>HYPERLINK("https://www.spark-marketing.ru/Card/Lot/73079063", "услуги по ежедневному трехразовому питанию участников международного турнира по теннису ITF среди женщин ""Penza Cup 2019"" и ТЕ среди юношей и девушек до 13 лет (женщины)")</f>
        <v>услуги по ежедневному трехразовому питанию участников международного турнира по теннису ITF среди женщин "Penza Cup 2019" и ТЕ среди юношей и девушек до 13 лет (женщины)</v>
      </c>
      <c r="G5466" s="22" t="s">
        <v>72</v>
      </c>
      <c r="H5466" s="22" t="s">
        <v>72</v>
      </c>
      <c r="I5466" s="26">
        <v>43705</v>
      </c>
      <c r="J5466" s="28" t="s">
        <v>51</v>
      </c>
      <c r="K5466" s="28" t="s">
        <v>51</v>
      </c>
      <c r="L5466" s="28" t="s">
        <v>51</v>
      </c>
      <c r="M5466" s="28" t="s">
        <v>51</v>
      </c>
      <c r="N5466" s="28" t="s">
        <v>51</v>
      </c>
    </row>
    <row r="5467" spans="1:14" x14ac:dyDescent="0.15">
      <c r="A5467" s="23" t="str">
        <f>HYPERLINK("https://www.spark-marketing.ru/Card/Person/948314", "МАОУ ГИМНАЗИЯ № 5")</f>
        <v>МАОУ ГИМНАЗИЯ № 5</v>
      </c>
      <c r="B5467" s="24" t="s">
        <v>8449</v>
      </c>
      <c r="C5467" s="25">
        <v>525414.12</v>
      </c>
      <c r="D5467" s="22" t="s">
        <v>8450</v>
      </c>
      <c r="E5467" s="22" t="s">
        <v>362</v>
      </c>
      <c r="F5467" s="23" t="str">
        <f>HYPERLINK("https://www.spark-marketing.ru/Card/Lot/73094442", "Оказание услуг по организации горячего питания льготной категории учащихся в МАОУ Гимназия № 5 города Красноярска в первом полугодии 2019/2020 учебного года")</f>
        <v>Оказание услуг по организации горячего питания льготной категории учащихся в МАОУ Гимназия № 5 города Красноярска в первом полугодии 2019/2020 учебного года</v>
      </c>
      <c r="G5467" s="22" t="s">
        <v>281</v>
      </c>
      <c r="H5467" s="22" t="s">
        <v>281</v>
      </c>
      <c r="I5467" s="26">
        <v>43705</v>
      </c>
      <c r="J5467" s="28" t="s">
        <v>51</v>
      </c>
      <c r="K5467" s="28" t="s">
        <v>51</v>
      </c>
      <c r="L5467" s="28" t="s">
        <v>51</v>
      </c>
      <c r="M5467" s="28" t="s">
        <v>51</v>
      </c>
      <c r="N5467" s="28" t="s">
        <v>51</v>
      </c>
    </row>
    <row r="5468" spans="1:14" x14ac:dyDescent="0.2">
      <c r="A5468" s="23" t="str">
        <f>HYPERLINK("https://www.spark-marketing.ru/Card/Person/740238", "МАОУ ""БАШКИРСКАЯ ГИМНАЗИЯ"" Г. АГИДЕЛЬ")</f>
        <v>МАОУ "БАШКИРСКАЯ ГИМНАЗИЯ" Г. АГИДЕЛЬ</v>
      </c>
      <c r="B5468" s="24" t="s">
        <v>2968</v>
      </c>
      <c r="C5468" s="25">
        <v>2462610</v>
      </c>
      <c r="D5468" s="22" t="s">
        <v>8451</v>
      </c>
      <c r="E5468" s="22" t="s">
        <v>362</v>
      </c>
      <c r="F5468" s="23" t="str">
        <f>HYPERLINK("https://www.spark-marketing.ru/Card/Lot/73071243", "Оказание услуг по организации горячего питания обучающихся")</f>
        <v>Оказание услуг по организации горячего питания обучающихся</v>
      </c>
      <c r="G5468" s="22" t="s">
        <v>145</v>
      </c>
      <c r="H5468" s="22" t="s">
        <v>145</v>
      </c>
      <c r="I5468" s="26">
        <v>43705</v>
      </c>
      <c r="J5468" s="28" t="s">
        <v>51</v>
      </c>
      <c r="K5468" s="28" t="s">
        <v>51</v>
      </c>
      <c r="L5468" s="28" t="s">
        <v>51</v>
      </c>
      <c r="M5468" s="25">
        <v>2462610</v>
      </c>
      <c r="N5468" s="27">
        <v>0</v>
      </c>
    </row>
    <row r="5469" spans="1:14" x14ac:dyDescent="0.2">
      <c r="A5469" s="23" t="str">
        <f>HYPERLINK("https://www.spark-marketing.ru/Card/Person/884366", "МАОУ- СОШ № 4")</f>
        <v>МАОУ- СОШ № 4</v>
      </c>
      <c r="B5469" s="24" t="s">
        <v>8452</v>
      </c>
      <c r="C5469" s="25">
        <v>706500</v>
      </c>
      <c r="D5469" s="22" t="s">
        <v>8453</v>
      </c>
      <c r="E5469" s="22" t="s">
        <v>362</v>
      </c>
      <c r="F5469" s="23" t="str">
        <f>HYPERLINK("https://www.spark-marketing.ru/Card/Lot/73087608", "оказание услуг по организации питания учащихся")</f>
        <v>оказание услуг по организации питания учащихся</v>
      </c>
      <c r="G5469" s="22" t="s">
        <v>104</v>
      </c>
      <c r="H5469" s="22" t="s">
        <v>104</v>
      </c>
      <c r="I5469" s="26">
        <v>43705</v>
      </c>
      <c r="J5469" s="28" t="s">
        <v>51</v>
      </c>
      <c r="K5469" s="28" t="s">
        <v>51</v>
      </c>
      <c r="L5469" s="22" t="s">
        <v>10</v>
      </c>
      <c r="M5469" s="25">
        <v>706500</v>
      </c>
      <c r="N5469" s="27">
        <v>0</v>
      </c>
    </row>
    <row r="5470" spans="1:14" x14ac:dyDescent="0.15">
      <c r="A5470" s="23" t="str">
        <f>HYPERLINK("https://www.spark-marketing.ru/Card/Person/49605", "МАОУ СОШ № 9")</f>
        <v>МАОУ СОШ № 9</v>
      </c>
      <c r="B5470" s="24" t="s">
        <v>8454</v>
      </c>
      <c r="C5470" s="25">
        <v>1619482.1</v>
      </c>
      <c r="D5470" s="22" t="s">
        <v>8455</v>
      </c>
      <c r="E5470" s="22" t="s">
        <v>362</v>
      </c>
      <c r="F5470" s="23" t="str">
        <f>HYPERLINK("https://www.spark-marketing.ru/Card/Lot/73078309", "Оказание услуги по организации питания учащихся")</f>
        <v>Оказание услуги по организации питания учащихся</v>
      </c>
      <c r="G5470" s="22" t="s">
        <v>174</v>
      </c>
      <c r="H5470" s="22" t="s">
        <v>174</v>
      </c>
      <c r="I5470" s="26">
        <v>43705</v>
      </c>
      <c r="J5470" s="28" t="s">
        <v>51</v>
      </c>
      <c r="K5470" s="28" t="s">
        <v>51</v>
      </c>
      <c r="L5470" s="28" t="s">
        <v>51</v>
      </c>
      <c r="M5470" s="28" t="s">
        <v>51</v>
      </c>
      <c r="N5470" s="28" t="s">
        <v>51</v>
      </c>
    </row>
    <row r="5471" spans="1:14" x14ac:dyDescent="0.15">
      <c r="A5471" s="23" t="str">
        <f>HYPERLINK("https://www.spark-marketing.ru/Card/Person/4369400", "ООО АВИАПРЕДПРИЯТИЕ ""ГАЗПРОМ АВИА""")</f>
        <v>ООО АВИАПРЕДПРИЯТИЕ "ГАЗПРОМ АВИА"</v>
      </c>
      <c r="B5471" s="24" t="s">
        <v>1724</v>
      </c>
      <c r="C5471" s="25">
        <v>4481860.32</v>
      </c>
      <c r="D5471" s="22" t="s">
        <v>8456</v>
      </c>
      <c r="E5471" s="22" t="s">
        <v>362</v>
      </c>
      <c r="F5471" s="23" t="str">
        <f>HYPERLINK("https://www.spark-marketing.ru/Card/Lot/73087136", "Оказание услуга по обеспечению пассажиров и экипажей воздушных судов бортовым питанием в а/п г. Владивосток")</f>
        <v>Оказание услуга по обеспечению пассажиров и экипажей воздушных судов бортовым питанием в а/п г. Владивосток</v>
      </c>
      <c r="G5471" s="22" t="s">
        <v>56</v>
      </c>
      <c r="H5471" s="22" t="s">
        <v>56</v>
      </c>
      <c r="I5471" s="26">
        <v>43705</v>
      </c>
      <c r="J5471" s="28" t="s">
        <v>51</v>
      </c>
      <c r="K5471" s="28" t="s">
        <v>51</v>
      </c>
      <c r="L5471" s="28" t="s">
        <v>51</v>
      </c>
      <c r="M5471" s="28" t="s">
        <v>51</v>
      </c>
      <c r="N5471" s="28" t="s">
        <v>51</v>
      </c>
    </row>
    <row r="5472" spans="1:14" x14ac:dyDescent="0.15">
      <c r="A5472" s="23" t="str">
        <f>HYPERLINK("https://www.spark-marketing.ru/Card/Person/4369400", "ООО АВИАПРЕДПРИЯТИЕ ""ГАЗПРОМ АВИА""")</f>
        <v>ООО АВИАПРЕДПРИЯТИЕ "ГАЗПРОМ АВИА"</v>
      </c>
      <c r="B5472" s="24" t="s">
        <v>1724</v>
      </c>
      <c r="C5472" s="25">
        <v>2370986.06</v>
      </c>
      <c r="D5472" s="22" t="s">
        <v>8457</v>
      </c>
      <c r="E5472" s="22" t="s">
        <v>362</v>
      </c>
      <c r="F5472" s="23" t="str">
        <f>HYPERLINK("https://www.spark-marketing.ru/Card/Lot/73092654", "Оказание услуг по обеспечению пассажиров и экипажей воздушных судов бортовым питанием в а/п г. Калининград")</f>
        <v>Оказание услуг по обеспечению пассажиров и экипажей воздушных судов бортовым питанием в а/п г. Калининград</v>
      </c>
      <c r="G5472" s="22" t="s">
        <v>56</v>
      </c>
      <c r="H5472" s="22" t="s">
        <v>56</v>
      </c>
      <c r="I5472" s="26">
        <v>43705</v>
      </c>
      <c r="J5472" s="28" t="s">
        <v>51</v>
      </c>
      <c r="K5472" s="28" t="s">
        <v>51</v>
      </c>
      <c r="L5472" s="28" t="s">
        <v>51</v>
      </c>
      <c r="M5472" s="28" t="s">
        <v>51</v>
      </c>
      <c r="N5472" s="28" t="s">
        <v>51</v>
      </c>
    </row>
    <row r="5473" spans="1:14" x14ac:dyDescent="0.15">
      <c r="A5473" s="23" t="str">
        <f>HYPERLINK("https://www.spark-marketing.ru/Card/Person/426033", "ГАУ ЦСП ПО")</f>
        <v>ГАУ ЦСП ПО</v>
      </c>
      <c r="B5473" s="24" t="s">
        <v>8447</v>
      </c>
      <c r="C5473" s="25">
        <v>329472</v>
      </c>
      <c r="D5473" s="22" t="s">
        <v>8458</v>
      </c>
      <c r="E5473" s="22" t="s">
        <v>362</v>
      </c>
      <c r="F5473" s="23" t="str">
        <f>HYPERLINK("https://www.spark-marketing.ru/Card/Lot/73080908", "услуги по ежедневному трехразовому питанию участников международного турнира по теннису ITF среди женщин ""Penza Cup 2019"" и ТЕ среди юношей и девушек до 13 лет (юноши, девушки)")</f>
        <v>услуги по ежедневному трехразовому питанию участников международного турнира по теннису ITF среди женщин "Penza Cup 2019" и ТЕ среди юношей и девушек до 13 лет (юноши, девушки)</v>
      </c>
      <c r="G5473" s="22" t="s">
        <v>72</v>
      </c>
      <c r="H5473" s="22" t="s">
        <v>72</v>
      </c>
      <c r="I5473" s="26">
        <v>43705</v>
      </c>
      <c r="J5473" s="28" t="s">
        <v>51</v>
      </c>
      <c r="K5473" s="28" t="s">
        <v>51</v>
      </c>
      <c r="L5473" s="28" t="s">
        <v>51</v>
      </c>
      <c r="M5473" s="28" t="s">
        <v>51</v>
      </c>
      <c r="N5473" s="28" t="s">
        <v>51</v>
      </c>
    </row>
    <row r="5474" spans="1:14" x14ac:dyDescent="0.15">
      <c r="A5474" s="23" t="str">
        <f>HYPERLINK("https://www.spark-marketing.ru/Card/Person/4349237", "АО ""АТК ""ЯМАЛ""")</f>
        <v>АО "АТК "ЯМАЛ"</v>
      </c>
      <c r="B5474" s="24" t="s">
        <v>4031</v>
      </c>
      <c r="C5474" s="25">
        <v>2400000</v>
      </c>
      <c r="D5474" s="22" t="s">
        <v>8459</v>
      </c>
      <c r="E5474" s="22" t="s">
        <v>769</v>
      </c>
      <c r="F5474" s="23" t="str">
        <f>HYPERLINK("https://www.spark-marketing.ru/Card/Lot/73051038", "Оказание комплекса гостиничных услуг (проживание, трансфер, питание) для размещения пассажиров задержанных и отмененных рейсов АО «АТК «Ямал» в г. Москва (а/п Домодедово)")</f>
        <v>Оказание комплекса гостиничных услуг (проживание, трансфер, питание) для размещения пассажиров задержанных и отмененных рейсов АО «АТК «Ямал» в г. Москва (а/п Домодедово)</v>
      </c>
      <c r="G5474" s="22" t="s">
        <v>56</v>
      </c>
      <c r="H5474" s="22" t="s">
        <v>56</v>
      </c>
      <c r="I5474" s="26">
        <v>43704</v>
      </c>
      <c r="J5474" s="28" t="s">
        <v>51</v>
      </c>
      <c r="K5474" s="28" t="s">
        <v>51</v>
      </c>
      <c r="L5474" s="28" t="s">
        <v>51</v>
      </c>
      <c r="M5474" s="28" t="s">
        <v>51</v>
      </c>
      <c r="N5474" s="28" t="s">
        <v>51</v>
      </c>
    </row>
    <row r="5475" spans="1:14" x14ac:dyDescent="0.15">
      <c r="A5475" s="23" t="str">
        <f>HYPERLINK("https://www.spark-marketing.ru/Card/Person/4392799", "МАОУ АБАТСКАЯ СОШ № 1")</f>
        <v>МАОУ АБАТСКАЯ СОШ № 1</v>
      </c>
      <c r="B5475" s="24" t="s">
        <v>8434</v>
      </c>
      <c r="C5475" s="25">
        <v>2885356.2</v>
      </c>
      <c r="D5475" s="22" t="s">
        <v>8460</v>
      </c>
      <c r="E5475" s="22" t="s">
        <v>362</v>
      </c>
      <c r="F5475" s="23" t="str">
        <f>HYPERLINK("https://www.spark-marketing.ru/Card/Lot/73083867", "Оказание услуг по организации горячего питания обучающихся")</f>
        <v>Оказание услуг по организации горячего питания обучающихся</v>
      </c>
      <c r="G5475" s="22" t="s">
        <v>766</v>
      </c>
      <c r="H5475" s="22" t="s">
        <v>766</v>
      </c>
      <c r="I5475" s="26">
        <v>43705</v>
      </c>
      <c r="J5475" s="28" t="s">
        <v>51</v>
      </c>
      <c r="K5475" s="28" t="s">
        <v>51</v>
      </c>
      <c r="L5475" s="28" t="s">
        <v>51</v>
      </c>
      <c r="M5475" s="28" t="s">
        <v>51</v>
      </c>
      <c r="N5475" s="28" t="s">
        <v>51</v>
      </c>
    </row>
    <row r="5476" spans="1:14" x14ac:dyDescent="0.15">
      <c r="A5476" s="23" t="str">
        <f>HYPERLINK("https://www.spark-marketing.ru/Card/Person/91907", "ФИЦ БИОТЕХНОЛОГИИ РАН")</f>
        <v>ФИЦ БИОТЕХНОЛОГИИ РАН</v>
      </c>
      <c r="B5476" s="24" t="s">
        <v>8461</v>
      </c>
      <c r="C5476" s="25">
        <v>7950000</v>
      </c>
      <c r="D5476" s="22" t="s">
        <v>8462</v>
      </c>
      <c r="E5476" s="22" t="s">
        <v>554</v>
      </c>
      <c r="F5476" s="23" t="str">
        <f>HYPERLINK("https://www.spark-marketing.ru/Card/Lot/73078027", "Услуги по координации деятельности базовой организации Совета по приоритетному направлению научно-технического развития РФ 20 Г «Переход к высокопродуктивному и экологически чистому агро- и аквахозяйству, разработка и внедрение систем рационального п...")</f>
        <v>Услуги по координации деятельности базовой организации Совета по приоритетному направлению научно-технического развития РФ 20 Г «Переход к высокопродуктивному и экологически чистому агро- и аквахозяйству, разработка и внедрение систем рационального п...</v>
      </c>
      <c r="G5476" s="22" t="s">
        <v>56</v>
      </c>
      <c r="H5476" s="22" t="s">
        <v>56</v>
      </c>
      <c r="I5476" s="26">
        <v>43705</v>
      </c>
      <c r="J5476" s="28" t="s">
        <v>51</v>
      </c>
      <c r="K5476" s="28" t="s">
        <v>51</v>
      </c>
      <c r="L5476" s="28" t="s">
        <v>51</v>
      </c>
      <c r="M5476" s="28" t="s">
        <v>51</v>
      </c>
      <c r="N5476" s="28" t="s">
        <v>51</v>
      </c>
    </row>
    <row r="5477" spans="1:14" x14ac:dyDescent="0.15">
      <c r="A5477" s="23" t="str">
        <f>HYPERLINK("https://www.spark-marketing.ru/Card/Person/6191763", "АО ""КРС""")</f>
        <v>АО "КРС"</v>
      </c>
      <c r="B5477" s="24" t="s">
        <v>8463</v>
      </c>
      <c r="C5477" s="25">
        <v>3701205.67</v>
      </c>
      <c r="D5477" s="22" t="s">
        <v>8464</v>
      </c>
      <c r="E5477" s="22" t="s">
        <v>562</v>
      </c>
      <c r="F5477" s="23" t="str">
        <f>HYPERLINK("https://www.spark-marketing.ru/Card/Lot/73111746", "оказание услуг кейтеринга (выездное обслуживание мероприятия) организация питания в целях обеспечения Севастопольского экономического форума в 2019 году")</f>
        <v>оказание услуг кейтеринга (выездное обслуживание мероприятия) организация питания в целях обеспечения Севастопольского экономического форума в 2019 году</v>
      </c>
      <c r="G5477" s="22" t="s">
        <v>322</v>
      </c>
      <c r="H5477" s="22" t="s">
        <v>322</v>
      </c>
      <c r="I5477" s="26">
        <v>43706</v>
      </c>
      <c r="J5477" s="28" t="s">
        <v>51</v>
      </c>
      <c r="K5477" s="28" t="s">
        <v>51</v>
      </c>
      <c r="L5477" s="28" t="s">
        <v>51</v>
      </c>
      <c r="M5477" s="28" t="s">
        <v>51</v>
      </c>
      <c r="N5477" s="28" t="s">
        <v>51</v>
      </c>
    </row>
    <row r="5478" spans="1:14" x14ac:dyDescent="0.15">
      <c r="A5478" s="23" t="str">
        <f>HYPERLINK("https://www.spark-marketing.ru/Card/Person/1761899", "АО ""ИЦ ""БУРЕВЕСТНИК""")</f>
        <v>АО "ИЦ "БУРЕВЕСТНИК"</v>
      </c>
      <c r="B5478" s="24" t="s">
        <v>8465</v>
      </c>
      <c r="C5478" s="25">
        <v>27000000</v>
      </c>
      <c r="D5478" s="22" t="s">
        <v>8466</v>
      </c>
      <c r="E5478" s="22" t="s">
        <v>362</v>
      </c>
      <c r="F5478" s="23" t="str">
        <f>HYPERLINK("https://www.spark-marketing.ru/Card/Lot/73089713", "Оказание услуг по организации общественного питания сотрудников предприятия")</f>
        <v>Оказание услуг по организации общественного питания сотрудников предприятия</v>
      </c>
      <c r="G5478" s="22" t="s">
        <v>117</v>
      </c>
      <c r="H5478" s="22" t="s">
        <v>117</v>
      </c>
      <c r="I5478" s="26">
        <v>43705</v>
      </c>
      <c r="J5478" s="28" t="s">
        <v>51</v>
      </c>
      <c r="K5478" s="28" t="s">
        <v>51</v>
      </c>
      <c r="L5478" s="28" t="s">
        <v>51</v>
      </c>
      <c r="M5478" s="28" t="s">
        <v>51</v>
      </c>
      <c r="N5478" s="28" t="s">
        <v>51</v>
      </c>
    </row>
    <row r="5479" spans="1:14" x14ac:dyDescent="0.15">
      <c r="A5479" s="23" t="str">
        <f>HYPERLINK("https://www.spark-marketing.ru/Card/Person/4458061", "МАОУ ""ДГГ""")</f>
        <v>МАОУ "ДГГ"</v>
      </c>
      <c r="B5479" s="24" t="s">
        <v>8422</v>
      </c>
      <c r="C5479" s="25">
        <v>572148.5</v>
      </c>
      <c r="D5479" s="22" t="s">
        <v>8467</v>
      </c>
      <c r="E5479" s="22" t="s">
        <v>362</v>
      </c>
      <c r="F5479" s="23" t="str">
        <f>HYPERLINK("https://www.spark-marketing.ru/Card/Lot/73083748", "услуги по обеспечению горячим питанием учащихся 1- 11 классов")</f>
        <v>услуги по обеспечению горячим питанием учащихся 1- 11 классов</v>
      </c>
      <c r="G5479" s="22" t="s">
        <v>475</v>
      </c>
      <c r="H5479" s="22" t="s">
        <v>475</v>
      </c>
      <c r="I5479" s="26">
        <v>43705</v>
      </c>
      <c r="J5479" s="28" t="s">
        <v>51</v>
      </c>
      <c r="K5479" s="28" t="s">
        <v>51</v>
      </c>
      <c r="L5479" s="28" t="s">
        <v>51</v>
      </c>
      <c r="M5479" s="28" t="s">
        <v>51</v>
      </c>
      <c r="N5479" s="28" t="s">
        <v>51</v>
      </c>
    </row>
    <row r="5480" spans="1:14" x14ac:dyDescent="0.2">
      <c r="A5480" s="23" t="str">
        <f>HYPERLINK("https://www.spark-marketing.ru/Card/Person/1761382", "МОУ ""СОШ № 4""")</f>
        <v>МОУ "СОШ № 4"</v>
      </c>
      <c r="B5480" s="24" t="s">
        <v>8468</v>
      </c>
      <c r="C5480" s="25">
        <v>617372</v>
      </c>
      <c r="D5480" s="22" t="s">
        <v>8469</v>
      </c>
      <c r="E5480" s="22" t="s">
        <v>362</v>
      </c>
      <c r="F5480" s="23" t="str">
        <f>HYPERLINK("https://www.spark-marketing.ru/Card/Lot/73073813", "Оказание услуг по обеспечению льготным питанием детей из малообеспеченных семей и детей с нарушением здоровья обучающихся в МОУ «СОШ № 4»")</f>
        <v>Оказание услуг по обеспечению льготным питанием детей из малообеспеченных семей и детей с нарушением здоровья обучающихся в МОУ «СОШ № 4»</v>
      </c>
      <c r="G5480" s="22" t="s">
        <v>469</v>
      </c>
      <c r="H5480" s="22" t="s">
        <v>469</v>
      </c>
      <c r="I5480" s="26">
        <v>43705</v>
      </c>
      <c r="J5480" s="28" t="s">
        <v>51</v>
      </c>
      <c r="K5480" s="28" t="s">
        <v>51</v>
      </c>
      <c r="L5480" s="22" t="s">
        <v>10</v>
      </c>
      <c r="M5480" s="25">
        <v>0</v>
      </c>
      <c r="N5480" s="27">
        <v>1</v>
      </c>
    </row>
    <row r="5481" spans="1:14" x14ac:dyDescent="0.15">
      <c r="A5481" s="23" t="str">
        <f>HYPERLINK("https://www.spark-marketing.ru/Card/Person/875133", "МАОУ СОШ № 18 С УИОП")</f>
        <v>МАОУ СОШ № 18 С УИОП</v>
      </c>
      <c r="B5481" s="24" t="s">
        <v>8470</v>
      </c>
      <c r="C5481" s="25">
        <v>687040</v>
      </c>
      <c r="D5481" s="22" t="s">
        <v>8471</v>
      </c>
      <c r="E5481" s="22" t="s">
        <v>362</v>
      </c>
      <c r="F5481" s="23" t="str">
        <f>HYPERLINK("https://www.spark-marketing.ru/Card/Lot/73095387", "Оказание услуги по организации питания учащихся")</f>
        <v>Оказание услуги по организации питания учащихся</v>
      </c>
      <c r="G5481" s="22" t="s">
        <v>104</v>
      </c>
      <c r="H5481" s="22" t="s">
        <v>104</v>
      </c>
      <c r="I5481" s="26">
        <v>43705</v>
      </c>
      <c r="J5481" s="28" t="s">
        <v>51</v>
      </c>
      <c r="K5481" s="28" t="s">
        <v>51</v>
      </c>
      <c r="L5481" s="28" t="s">
        <v>51</v>
      </c>
      <c r="M5481" s="28" t="s">
        <v>51</v>
      </c>
      <c r="N5481" s="28" t="s">
        <v>51</v>
      </c>
    </row>
    <row r="5482" spans="1:14" x14ac:dyDescent="0.2">
      <c r="A5482" s="23" t="str">
        <f>HYPERLINK("https://www.spark-marketing.ru/Card/Person/734525", "МАОУ СОШ №1 Г.АГИДЕЛЬ ИМ.Р.К.ХОЛБАНА")</f>
        <v>МАОУ СОШ №1 Г.АГИДЕЛЬ ИМ.Р.К.ХОЛБАНА</v>
      </c>
      <c r="B5482" s="24" t="s">
        <v>2984</v>
      </c>
      <c r="C5482" s="25">
        <v>4797732</v>
      </c>
      <c r="D5482" s="22" t="s">
        <v>8472</v>
      </c>
      <c r="E5482" s="22" t="s">
        <v>362</v>
      </c>
      <c r="F5482" s="23" t="str">
        <f>HYPERLINK("https://www.spark-marketing.ru/Card/Lot/73069412", "Оказание услуг по организации горячего питания обучающихся")</f>
        <v>Оказание услуг по организации горячего питания обучающихся</v>
      </c>
      <c r="G5482" s="22" t="s">
        <v>145</v>
      </c>
      <c r="H5482" s="22" t="s">
        <v>145</v>
      </c>
      <c r="I5482" s="26">
        <v>43705</v>
      </c>
      <c r="J5482" s="28" t="s">
        <v>51</v>
      </c>
      <c r="K5482" s="28" t="s">
        <v>51</v>
      </c>
      <c r="L5482" s="28" t="s">
        <v>51</v>
      </c>
      <c r="M5482" s="25">
        <v>4797732</v>
      </c>
      <c r="N5482" s="27">
        <v>0</v>
      </c>
    </row>
    <row r="5483" spans="1:14" x14ac:dyDescent="0.2">
      <c r="A5483" s="23" t="str">
        <f>HYPERLINK("https://www.spark-marketing.ru/Card/Person/7675", "ГОСУДАРСТВЕННЫЙ ЭРМИТАЖ, ФГБУК ""ГОСУДАРСТВЕННЫЙ ЭРМИТАЖ""")</f>
        <v>ГОСУДАРСТВЕННЫЙ ЭРМИТАЖ, ФГБУК "ГОСУДАРСТВЕННЫЙ ЭРМИТАЖ"</v>
      </c>
      <c r="B5483" s="24" t="s">
        <v>1760</v>
      </c>
      <c r="C5483" s="25">
        <v>2635845.41</v>
      </c>
      <c r="D5483" s="22" t="s">
        <v>8473</v>
      </c>
      <c r="E5483" s="22" t="s">
        <v>1403</v>
      </c>
      <c r="F5483" s="23" t="str">
        <f>HYPERLINK("https://www.spark-marketing.ru/Card/Lot/73086053", "Оказание услуг по техническому обслуживанию агрегатов бесперебойного питания для охранной и пожарной сигнализации")</f>
        <v>Оказание услуг по техническому обслуживанию агрегатов бесперебойного питания для охранной и пожарной сигнализации</v>
      </c>
      <c r="G5483" s="22" t="s">
        <v>117</v>
      </c>
      <c r="H5483" s="22" t="s">
        <v>117</v>
      </c>
      <c r="I5483" s="26">
        <v>43705</v>
      </c>
      <c r="J5483" s="28" t="s">
        <v>51</v>
      </c>
      <c r="K5483" s="28" t="s">
        <v>51</v>
      </c>
      <c r="L5483" s="22" t="s">
        <v>10</v>
      </c>
      <c r="M5483" s="25">
        <v>2622666</v>
      </c>
      <c r="N5483" s="27">
        <v>5.0000694084711139E-3</v>
      </c>
    </row>
    <row r="5484" spans="1:14" x14ac:dyDescent="0.15">
      <c r="A5484" s="23" t="str">
        <f>HYPERLINK("https://www.spark-marketing.ru/Card/Person/66525", "ФГБУ ЦР МИНЗДРАВА РОССИИ")</f>
        <v>ФГБУ ЦР МИНЗДРАВА РОССИИ</v>
      </c>
      <c r="B5484" s="24" t="s">
        <v>3004</v>
      </c>
      <c r="C5484" s="25">
        <v>3071361</v>
      </c>
      <c r="D5484" s="22" t="s">
        <v>8474</v>
      </c>
      <c r="E5484" s="22" t="s">
        <v>48</v>
      </c>
      <c r="F5484" s="23" t="str">
        <f>HYPERLINK("https://www.spark-marketing.ru/Card/Lot/73065690", "Поставка продуктов питания")</f>
        <v>Поставка продуктов питания</v>
      </c>
      <c r="G5484" s="22" t="s">
        <v>56</v>
      </c>
      <c r="H5484" s="22" t="s">
        <v>56</v>
      </c>
      <c r="I5484" s="26">
        <v>43704.768599536997</v>
      </c>
      <c r="J5484" s="28" t="s">
        <v>51</v>
      </c>
      <c r="K5484" s="28" t="s">
        <v>51</v>
      </c>
      <c r="L5484" s="28" t="s">
        <v>51</v>
      </c>
      <c r="M5484" s="28" t="s">
        <v>51</v>
      </c>
      <c r="N5484" s="28" t="s">
        <v>51</v>
      </c>
    </row>
    <row r="5485" spans="1:14" x14ac:dyDescent="0.15">
      <c r="A5485" s="23" t="str">
        <f>HYPERLINK("https://www.spark-marketing.ru/Card/Person/877008", "ОТДЕЛ МВД РОССИИ ПО ЛАБИНСКОМУ РАЙОНУ")</f>
        <v>ОТДЕЛ МВД РОССИИ ПО ЛАБИНСКОМУ РАЙОНУ</v>
      </c>
      <c r="B5485" s="24" t="s">
        <v>8475</v>
      </c>
      <c r="C5485" s="25">
        <v>998000</v>
      </c>
      <c r="D5485" s="22" t="s">
        <v>8476</v>
      </c>
      <c r="E5485" s="22" t="s">
        <v>96</v>
      </c>
      <c r="F5485" s="23" t="str">
        <f>HYPERLINK("https://www.spark-marketing.ru/Card/Lot/73065330", "оказание услуг по ежедневному приготовлению трехразового горячего питания, в том числе в выходные и праздничные дни для лиц, содержащихся в условиях ИВС  и  дополнительно трехразовое питание в вечернее время,  в случае необходимости   по заявкам для ...")</f>
        <v>оказание услуг по ежедневному приготовлению трехразового горячего питания, в том числе в выходные и праздничные дни для лиц, содержащихся в условиях ИВС  и  дополнительно трехразовое питание в вечернее время,  в случае необходимости   по заявкам для ...</v>
      </c>
      <c r="G5485" s="22" t="s">
        <v>104</v>
      </c>
      <c r="H5485" s="22" t="s">
        <v>8477</v>
      </c>
      <c r="I5485" s="26">
        <v>43704.745868055601</v>
      </c>
      <c r="J5485" s="23" t="str">
        <f>HYPERLINK("https://www.spark-marketing.ru/Card/Person/89333", "Слащева Оксана Дмитриевна")</f>
        <v>Слащева Оксана Дмитриевна</v>
      </c>
      <c r="K5485" s="24" t="s">
        <v>8478</v>
      </c>
      <c r="L5485" s="22" t="s">
        <v>10</v>
      </c>
      <c r="M5485" s="28" t="s">
        <v>51</v>
      </c>
      <c r="N5485" s="28" t="s">
        <v>51</v>
      </c>
    </row>
    <row r="5486" spans="1:14" x14ac:dyDescent="0.15">
      <c r="A5486" s="23" t="str">
        <f>HYPERLINK("https://www.spark-marketing.ru/Card/Person/265357", "МО МВД РОССИИ ""БЕЖЕЦКИЙ""")</f>
        <v>МО МВД РОССИИ "БЕЖЕЦКИЙ"</v>
      </c>
      <c r="B5486" s="24" t="s">
        <v>7154</v>
      </c>
      <c r="C5486" s="25">
        <v>1000</v>
      </c>
      <c r="D5486" s="22" t="s">
        <v>8479</v>
      </c>
      <c r="E5486" s="22" t="s">
        <v>48</v>
      </c>
      <c r="F5486" s="23" t="str">
        <f>HYPERLINK("https://www.spark-marketing.ru/Card/Lot/73063054", "Оказание услуг по организации питания (приготовлению и доставке) для ИВС, 5 усл. ед")</f>
        <v>Оказание услуг по организации питания (приготовлению и доставке) для ИВС, 5 усл. ед</v>
      </c>
      <c r="G5486" s="22" t="s">
        <v>137</v>
      </c>
      <c r="H5486" s="22" t="s">
        <v>8480</v>
      </c>
      <c r="I5486" s="26">
        <v>43704.778692129599</v>
      </c>
      <c r="J5486" s="28" t="s">
        <v>51</v>
      </c>
      <c r="K5486" s="28" t="s">
        <v>51</v>
      </c>
      <c r="L5486" s="28" t="s">
        <v>51</v>
      </c>
      <c r="M5486" s="28" t="s">
        <v>51</v>
      </c>
      <c r="N5486" s="28" t="s">
        <v>51</v>
      </c>
    </row>
    <row r="5487" spans="1:14" x14ac:dyDescent="0.15">
      <c r="A5487" s="23" t="str">
        <f>HYPERLINK("https://www.spark-marketing.ru/Card/Person/4378946", "МКОУ КРАСНОЗЕРСКАЯ ООШ")</f>
        <v>МКОУ КРАСНОЗЕРСКАЯ ООШ</v>
      </c>
      <c r="B5487" s="24" t="s">
        <v>8481</v>
      </c>
      <c r="C5487" s="25">
        <v>400000</v>
      </c>
      <c r="D5487" s="22" t="s">
        <v>8482</v>
      </c>
      <c r="E5487" s="22" t="s">
        <v>48</v>
      </c>
      <c r="F5487" s="23" t="str">
        <f>HYPERLINK("https://www.spark-marketing.ru/Card/Lot/73054542", "Оказание услуг по организация детского питания")</f>
        <v>Оказание услуг по организация детского питания</v>
      </c>
      <c r="G5487" s="22" t="s">
        <v>195</v>
      </c>
      <c r="H5487" s="22" t="s">
        <v>5098</v>
      </c>
      <c r="I5487" s="26">
        <v>43704.638865740701</v>
      </c>
      <c r="J5487" s="23" t="str">
        <f>HYPERLINK("https://www.spark-marketing.ru/Card/Person/406306", "ПО ""ОБЩЕПИТ КРАСНОЗЕРСКОГО РАЙПО""")</f>
        <v>ПО "ОБЩЕПИТ КРАСНОЗЕРСКОГО РАЙПО"</v>
      </c>
      <c r="K5487" s="24" t="s">
        <v>5099</v>
      </c>
      <c r="L5487" s="22" t="s">
        <v>10</v>
      </c>
      <c r="M5487" s="28" t="s">
        <v>51</v>
      </c>
      <c r="N5487" s="28" t="s">
        <v>51</v>
      </c>
    </row>
    <row r="5488" spans="1:14" x14ac:dyDescent="0.15">
      <c r="A5488" s="23" t="str">
        <f>HYPERLINK("https://www.spark-marketing.ru/Card/Person/61478", "ГБОУ ДПО ИРОСО")</f>
        <v>ГБОУ ДПО ИРОСО</v>
      </c>
      <c r="B5488" s="24" t="s">
        <v>8483</v>
      </c>
      <c r="C5488" s="25">
        <v>2900031.4</v>
      </c>
      <c r="D5488" s="22" t="s">
        <v>8484</v>
      </c>
      <c r="E5488" s="22" t="s">
        <v>8485</v>
      </c>
      <c r="F5488" s="23" t="str">
        <f>HYPERLINK("https://www.spark-marketing.ru/Card/Lot/73045479", "Оказание услуг по организации участия в V Национальном чемпионате по профессиональному мастерству среди инвалидов и лиц с ОВЗ ""Абилимпикс"" в г. Москва в 2019 г. в период с 18.11.19 г. по 23.11.19 г.")</f>
        <v>Оказание услуг по организации участия в V Национальном чемпионате по профессиональному мастерству среди инвалидов и лиц с ОВЗ "Абилимпикс" в г. Москва в 2019 г. в период с 18.11.19 г. по 23.11.19 г.</v>
      </c>
      <c r="G5488" s="22" t="s">
        <v>260</v>
      </c>
      <c r="H5488" s="22" t="s">
        <v>804</v>
      </c>
      <c r="I5488" s="26">
        <v>43704.695138888899</v>
      </c>
      <c r="J5488" s="23" t="str">
        <f>HYPERLINK("https://www.spark-marketing.ru/Card/Person/449518", "ООО АТА ""САХАЛИН-ТРЭВЕЛ""")</f>
        <v>ООО АТА "САХАЛИН-ТРЭВЕЛ"</v>
      </c>
      <c r="K5488" s="24" t="s">
        <v>8486</v>
      </c>
      <c r="L5488" s="28" t="s">
        <v>51</v>
      </c>
      <c r="M5488" s="28" t="s">
        <v>51</v>
      </c>
      <c r="N5488" s="28" t="s">
        <v>51</v>
      </c>
    </row>
    <row r="5489" spans="1:14" ht="12.75" hidden="1" outlineLevel="1" x14ac:dyDescent="0.2">
      <c r="A5489" s="23" t="str">
        <f>HYPERLINK("https://www.spark-marketing.ru/Card/Person/61478", "ГБОУ ДПО ИРОСО")</f>
        <v>ГБОУ ДПО ИРОСО</v>
      </c>
      <c r="B5489" s="24" t="s">
        <v>8483</v>
      </c>
      <c r="C5489" s="25">
        <v>2900031.4</v>
      </c>
      <c r="D5489" s="22" t="s">
        <v>8484</v>
      </c>
      <c r="E5489" s="22" t="s">
        <v>8485</v>
      </c>
      <c r="F5489" s="23" t="str">
        <f>HYPERLINK("https://www.spark-marketing.ru/Card/Lot/73045479", "Оказание услуг по организации участия в V Национальном чемпионате по профессиональному мастерству среди инвалидов и лиц с ОВЗ ""Абилимпикс"" в г. Москва в 2019 г. в период с 18.11.19 г. по 23.11.19 г.")</f>
        <v>Оказание услуг по организации участия в V Национальном чемпионате по профессиональному мастерству среди инвалидов и лиц с ОВЗ "Абилимпикс" в г. Москва в 2019 г. в период с 18.11.19 г. по 23.11.19 г.</v>
      </c>
      <c r="G5489" s="22" t="s">
        <v>260</v>
      </c>
      <c r="H5489" s="22" t="s">
        <v>804</v>
      </c>
      <c r="I5489" s="26">
        <v>43704.695138888899</v>
      </c>
      <c r="J5489" s="23" t="str">
        <f>HYPERLINK("https://www.spark-marketing.ru/Card/Person/449518", "ООО АТА ""САХАЛИН-ТРЭВЕЛ""")</f>
        <v>ООО АТА "САХАЛИН-ТРЭВЕЛ"</v>
      </c>
      <c r="K5489" s="24" t="s">
        <v>8486</v>
      </c>
      <c r="L5489" s="22" t="s">
        <v>10</v>
      </c>
      <c r="M5489" s="25">
        <v>2885500</v>
      </c>
      <c r="N5489" s="27">
        <v>5.0107733316266849E-3</v>
      </c>
    </row>
    <row r="5490" spans="1:14" x14ac:dyDescent="0.15">
      <c r="A5490" s="23" t="str">
        <f>HYPERLINK("https://www.spark-marketing.ru/Card/Person/4348543", "ГБУЗРК ""КПНД""")</f>
        <v>ГБУЗРК "КПНД"</v>
      </c>
      <c r="B5490" s="24" t="s">
        <v>8487</v>
      </c>
      <c r="C5490" s="25">
        <v>3042400</v>
      </c>
      <c r="D5490" s="22" t="s">
        <v>8488</v>
      </c>
      <c r="E5490" s="22" t="s">
        <v>48</v>
      </c>
      <c r="F5490" s="23" t="str">
        <f>HYPERLINK("https://www.spark-marketing.ru/Card/Lot/73063461", "Оказание услуг по поставке горячего питания на осенне-зимний период")</f>
        <v>Оказание услуг по поставке горячего питания на осенне-зимний период</v>
      </c>
      <c r="G5490" s="22" t="s">
        <v>108</v>
      </c>
      <c r="H5490" s="22" t="s">
        <v>344</v>
      </c>
      <c r="I5490" s="26">
        <v>43704.700462963003</v>
      </c>
      <c r="J5490" s="28" t="s">
        <v>51</v>
      </c>
      <c r="K5490" s="28" t="s">
        <v>51</v>
      </c>
      <c r="L5490" s="28" t="s">
        <v>51</v>
      </c>
      <c r="M5490" s="28" t="s">
        <v>51</v>
      </c>
      <c r="N5490" s="28" t="s">
        <v>51</v>
      </c>
    </row>
    <row r="5491" spans="1:14" ht="12.75" hidden="1" outlineLevel="1" x14ac:dyDescent="0.2">
      <c r="A5491" s="23" t="str">
        <f>HYPERLINK("https://www.spark-marketing.ru/Card/Person/4348543", "ГБУЗРК ""КПНД""")</f>
        <v>ГБУЗРК "КПНД"</v>
      </c>
      <c r="B5491" s="24" t="s">
        <v>8487</v>
      </c>
      <c r="C5491" s="25">
        <v>3042400</v>
      </c>
      <c r="D5491" s="22" t="s">
        <v>8488</v>
      </c>
      <c r="E5491" s="22" t="s">
        <v>48</v>
      </c>
      <c r="F5491" s="23" t="str">
        <f>HYPERLINK("https://www.spark-marketing.ru/Card/Lot/73063461", "Оказание услуг по поставке горячего питания на осенне-зимний период")</f>
        <v>Оказание услуг по поставке горячего питания на осенне-зимний период</v>
      </c>
      <c r="G5491" s="22" t="s">
        <v>108</v>
      </c>
      <c r="H5491" s="22" t="s">
        <v>344</v>
      </c>
      <c r="I5491" s="26">
        <v>43704.700462963003</v>
      </c>
      <c r="J5491" s="23" t="str">
        <f>HYPERLINK("https://www.spark-marketing.ru/Card/Person/940275", "Платова Рина Анатольевна")</f>
        <v>Платова Рина Анатольевна</v>
      </c>
      <c r="K5491" s="24" t="s">
        <v>8489</v>
      </c>
      <c r="L5491" s="22" t="s">
        <v>10</v>
      </c>
      <c r="M5491" s="25">
        <v>2570828</v>
      </c>
      <c r="N5491" s="27">
        <v>0.155</v>
      </c>
    </row>
    <row r="5492" spans="1:14" hidden="1" outlineLevel="1" x14ac:dyDescent="0.2">
      <c r="A5492" s="23" t="str">
        <f>HYPERLINK("https://www.spark-marketing.ru/Card/Person/4348543", "ГБУЗРК ""КПНД""")</f>
        <v>ГБУЗРК "КПНД"</v>
      </c>
      <c r="B5492" s="24" t="s">
        <v>8487</v>
      </c>
      <c r="C5492" s="25">
        <v>3042400</v>
      </c>
      <c r="D5492" s="22" t="s">
        <v>8488</v>
      </c>
      <c r="E5492" s="22" t="s">
        <v>48</v>
      </c>
      <c r="F5492" s="23" t="str">
        <f>HYPERLINK("https://www.spark-marketing.ru/Card/Lot/73063461", "Оказание услуг по поставке горячего питания на осенне-зимний период")</f>
        <v>Оказание услуг по поставке горячего питания на осенне-зимний период</v>
      </c>
      <c r="G5492" s="22" t="s">
        <v>108</v>
      </c>
      <c r="H5492" s="22" t="s">
        <v>344</v>
      </c>
      <c r="I5492" s="26">
        <v>43704.700462963003</v>
      </c>
      <c r="J5492" s="23" t="str">
        <f>HYPERLINK("https://www.spark-marketing.ru/Card/Person/6696428", "Кузьменко Ольга Сергеевна")</f>
        <v>Кузьменко Ольга Сергеевна</v>
      </c>
      <c r="K5492" s="24" t="s">
        <v>8490</v>
      </c>
      <c r="L5492" s="28" t="s">
        <v>51</v>
      </c>
      <c r="M5492" s="25">
        <v>2586040</v>
      </c>
      <c r="N5492" s="27">
        <v>0.15</v>
      </c>
    </row>
    <row r="5493" spans="1:14" x14ac:dyDescent="0.15">
      <c r="A5493" s="23" t="str">
        <f>HYPERLINK("https://www.spark-marketing.ru/Card/Person/183760", "МО МВД РОССИИ ""АЛАТЫРСКИЙ""")</f>
        <v>МО МВД РОССИИ "АЛАТЫРСКИЙ"</v>
      </c>
      <c r="B5493" s="24" t="s">
        <v>3783</v>
      </c>
      <c r="C5493" s="25">
        <v>192325</v>
      </c>
      <c r="D5493" s="22" t="s">
        <v>8491</v>
      </c>
      <c r="E5493" s="22" t="s">
        <v>48</v>
      </c>
      <c r="F5493" s="23" t="str">
        <f>HYPERLINK("https://www.spark-marketing.ru/Card/Lot/73061158", "Оказание услуг по организации питания (приготовлению и доставке) для ИВС, 961 усл. ед")</f>
        <v>Оказание услуг по организации питания (приготовлению и доставке) для ИВС, 961 усл. ед</v>
      </c>
      <c r="G5493" s="22" t="s">
        <v>618</v>
      </c>
      <c r="H5493" s="22" t="s">
        <v>3785</v>
      </c>
      <c r="I5493" s="26">
        <v>43704.737824074102</v>
      </c>
      <c r="J5493" s="28" t="s">
        <v>51</v>
      </c>
      <c r="K5493" s="28" t="s">
        <v>51</v>
      </c>
      <c r="L5493" s="28" t="s">
        <v>51</v>
      </c>
      <c r="M5493" s="28" t="s">
        <v>51</v>
      </c>
      <c r="N5493" s="28" t="s">
        <v>51</v>
      </c>
    </row>
    <row r="5494" spans="1:14" x14ac:dyDescent="0.15">
      <c r="A5494" s="23" t="str">
        <f>HYPERLINK("https://www.spark-marketing.ru/Card/Person/108558", "МУ МВД РОССИИ ""ЯКУТСКОЕ""")</f>
        <v>МУ МВД РОССИИ "ЯКУТСКОЕ"</v>
      </c>
      <c r="B5494" s="24" t="s">
        <v>6165</v>
      </c>
      <c r="C5494" s="25">
        <v>3498250</v>
      </c>
      <c r="D5494" s="22" t="s">
        <v>8492</v>
      </c>
      <c r="E5494" s="22" t="s">
        <v>48</v>
      </c>
      <c r="F5494" s="23" t="str">
        <f>HYPERLINK("https://www.spark-marketing.ru/Card/Lot/73049352", "Оказание услуг по приготовлению и поставке горячего питания для лиц, содержащихся в Специальном приемнике, ОП №1, ОП №2, ОП №3, ОП №4, ОП «Жатайское» МУ МВД России «Якутское»")</f>
        <v>Оказание услуг по приготовлению и поставке горячего питания для лиц, содержащихся в Специальном приемнике, ОП №1, ОП №2, ОП №3, ОП №4, ОП «Жатайское» МУ МВД России «Якутское»</v>
      </c>
      <c r="G5494" s="22" t="s">
        <v>241</v>
      </c>
      <c r="H5494" s="22" t="s">
        <v>242</v>
      </c>
      <c r="I5494" s="26">
        <v>43704.7278703704</v>
      </c>
      <c r="J5494" s="23" t="str">
        <f>HYPERLINK("https://www.spark-marketing.ru/Card/Person/1911538", "ООО ""БАНКЕТПРОФ""")</f>
        <v>ООО "БАНКЕТПРОФ"</v>
      </c>
      <c r="K5494" s="24" t="s">
        <v>8493</v>
      </c>
      <c r="L5494" s="22" t="s">
        <v>10</v>
      </c>
      <c r="M5494" s="28" t="s">
        <v>51</v>
      </c>
      <c r="N5494" s="28" t="s">
        <v>51</v>
      </c>
    </row>
    <row r="5495" spans="1:14" x14ac:dyDescent="0.15">
      <c r="A5495" s="23" t="str">
        <f>HYPERLINK("https://www.spark-marketing.ru/Card/Person/130365", "ОМВД РОССИИ ПО СОБИНСКОМУ РАЙОНУ")</f>
        <v>ОМВД РОССИИ ПО СОБИНСКОМУ РАЙОНУ</v>
      </c>
      <c r="B5495" s="24" t="s">
        <v>6130</v>
      </c>
      <c r="C5495" s="25">
        <v>1620000</v>
      </c>
      <c r="D5495" s="22" t="s">
        <v>8494</v>
      </c>
      <c r="E5495" s="22" t="s">
        <v>48</v>
      </c>
      <c r="F5495" s="23" t="str">
        <f>HYPERLINK("https://www.spark-marketing.ru/Card/Lot/73065329", "Прочая закупка товаров, работ и услуг ( услуги по организации трехразового горячего питания лиц, содержащихся в изоляторе временного содержания, специальном приемнике и камерах административного содержания ОМВД России по Собинскому району в мирное вр...")</f>
        <v>Прочая закупка товаров, работ и услуг ( услуги по организации трехразового горячего питания лиц, содержащихся в изоляторе временного содержания, специальном приемнике и камерах административного содержания ОМВД России по Собинскому району в мирное вр...</v>
      </c>
      <c r="G5495" s="22" t="s">
        <v>663</v>
      </c>
      <c r="H5495" s="22" t="s">
        <v>663</v>
      </c>
      <c r="I5495" s="26">
        <v>43704.721793981502</v>
      </c>
      <c r="J5495" s="28" t="s">
        <v>51</v>
      </c>
      <c r="K5495" s="28" t="s">
        <v>51</v>
      </c>
      <c r="L5495" s="28" t="s">
        <v>51</v>
      </c>
      <c r="M5495" s="28" t="s">
        <v>51</v>
      </c>
      <c r="N5495" s="28" t="s">
        <v>51</v>
      </c>
    </row>
    <row r="5496" spans="1:14" x14ac:dyDescent="0.15">
      <c r="A5496" s="23" t="str">
        <f>HYPERLINK("https://www.spark-marketing.ru/Card/Person/182697", "ОМВД РОССИИ ПО СОВЕТСКО-ГАВАНСКОМУ РАЙОНУ")</f>
        <v>ОМВД РОССИИ ПО СОВЕТСКО-ГАВАНСКОМУ РАЙОНУ</v>
      </c>
      <c r="B5496" s="24" t="s">
        <v>5984</v>
      </c>
      <c r="C5496" s="25">
        <v>1642230</v>
      </c>
      <c r="D5496" s="22" t="s">
        <v>8495</v>
      </c>
      <c r="E5496" s="22" t="s">
        <v>96</v>
      </c>
      <c r="F5496" s="23" t="str">
        <f>HYPERLINK("https://www.spark-marketing.ru/Card/Lot/73045198", "Услуги по организации питания лиц, содержащихся в ИВС и в спецприемнике")</f>
        <v>Услуги по организации питания лиц, содержащихся в ИВС и в спецприемнике</v>
      </c>
      <c r="G5496" s="22" t="s">
        <v>1096</v>
      </c>
      <c r="H5496" s="22" t="s">
        <v>5986</v>
      </c>
      <c r="I5496" s="26">
        <v>43704.604513888902</v>
      </c>
      <c r="J5496" s="28" t="s">
        <v>51</v>
      </c>
      <c r="K5496" s="28" t="s">
        <v>51</v>
      </c>
      <c r="L5496" s="28" t="s">
        <v>51</v>
      </c>
      <c r="M5496" s="28" t="s">
        <v>51</v>
      </c>
      <c r="N5496" s="28" t="s">
        <v>51</v>
      </c>
    </row>
    <row r="5497" spans="1:14" x14ac:dyDescent="0.15">
      <c r="A5497" s="23" t="str">
        <f>HYPERLINK("https://www.spark-marketing.ru/Card/Person/4345132", "МИНИСТЕРСТВО ЗДРАВООХРАНЕНИЯ РЕСПУБЛИКИ МАРИЙ ЭЛ")</f>
        <v>МИНИСТЕРСТВО ЗДРАВООХРАНЕНИЯ РЕСПУБЛИКИ МАРИЙ ЭЛ</v>
      </c>
      <c r="B5497" s="24" t="s">
        <v>8496</v>
      </c>
      <c r="C5497" s="25">
        <v>4980000</v>
      </c>
      <c r="D5497" s="22" t="s">
        <v>8497</v>
      </c>
      <c r="E5497" s="22" t="s">
        <v>1104</v>
      </c>
      <c r="F5497" s="23" t="str">
        <f>HYPERLINK("https://www.spark-marketing.ru/Card/Lot/73065210", "Оказание услуг по обеспечению лекарственными препаратами, медицинскими изделиями и специализированными продуктами лечебного питания граждан, имеющих право на получение государственной социальной помощи в виде набора социальных услуг в соответствии с ...")</f>
        <v>Оказание услуг по обеспечению лекарственными препаратами, медицинскими изделиями и специализированными продуктами лечебного питания граждан, имеющих право на получение государственной социальной помощи в виде набора социальных услуг в соответствии с ...</v>
      </c>
      <c r="G5497" s="22" t="s">
        <v>3249</v>
      </c>
      <c r="H5497" s="22" t="s">
        <v>3249</v>
      </c>
      <c r="I5497" s="26">
        <v>43704.687847222202</v>
      </c>
      <c r="J5497" s="23" t="str">
        <f>HYPERLINK("https://www.spark-marketing.ru/Card/Person/158382", "АО ""МАРИЙ ЭЛ-ФАРМАЦИЯ""")</f>
        <v>АО "МАРИЙ ЭЛ-ФАРМАЦИЯ"</v>
      </c>
      <c r="K5497" s="24" t="s">
        <v>8498</v>
      </c>
      <c r="L5497" s="22" t="s">
        <v>10</v>
      </c>
      <c r="M5497" s="28" t="s">
        <v>51</v>
      </c>
      <c r="N5497" s="28" t="s">
        <v>51</v>
      </c>
    </row>
    <row r="5498" spans="1:14" x14ac:dyDescent="0.15">
      <c r="A5498" s="23" t="str">
        <f>HYPERLINK("https://www.spark-marketing.ru/Card/Person/1044888", "МУ ДПО ""МЕТОДИЧЕСКИЙ ЦЕНТР""")</f>
        <v>МУ ДПО "МЕТОДИЧЕСКИЙ ЦЕНТР"</v>
      </c>
      <c r="B5498" s="24" t="s">
        <v>8499</v>
      </c>
      <c r="C5498" s="25">
        <v>45600</v>
      </c>
      <c r="D5498" s="22" t="s">
        <v>8500</v>
      </c>
      <c r="E5498" s="22" t="s">
        <v>48</v>
      </c>
      <c r="F5498" s="23" t="str">
        <f>HYPERLINK("https://www.spark-marketing.ru/Card/Lot/73058566", "Услуги по организации питания для мероприятия Педагогическая конференция 2019")</f>
        <v>Услуги по организации питания для мероприятия Педагогическая конференция 2019</v>
      </c>
      <c r="G5498" s="22" t="s">
        <v>49</v>
      </c>
      <c r="H5498" s="22" t="s">
        <v>742</v>
      </c>
      <c r="I5498" s="26">
        <v>43704.670162037</v>
      </c>
      <c r="J5498" s="28" t="s">
        <v>51</v>
      </c>
      <c r="K5498" s="28" t="s">
        <v>51</v>
      </c>
      <c r="L5498" s="28" t="s">
        <v>51</v>
      </c>
      <c r="M5498" s="28" t="s">
        <v>51</v>
      </c>
      <c r="N5498" s="28" t="s">
        <v>51</v>
      </c>
    </row>
    <row r="5499" spans="1:14" x14ac:dyDescent="0.15">
      <c r="A5499" s="23" t="str">
        <f>HYPERLINK("https://www.spark-marketing.ru/Card/Person/182697", "ОМВД РОССИИ ПО СОВЕТСКО-ГАВАНСКОМУ РАЙОНУ")</f>
        <v>ОМВД РОССИИ ПО СОВЕТСКО-ГАВАНСКОМУ РАЙОНУ</v>
      </c>
      <c r="B5499" s="24" t="s">
        <v>5984</v>
      </c>
      <c r="C5499" s="25">
        <v>1642230</v>
      </c>
      <c r="D5499" s="22" t="s">
        <v>8501</v>
      </c>
      <c r="E5499" s="22" t="s">
        <v>96</v>
      </c>
      <c r="F5499" s="23" t="str">
        <f>HYPERLINK("https://www.spark-marketing.ru/Card/Lot/73045207", "Услуги по организации питания лиц, содержащихся в ИВС и в спецприемнике")</f>
        <v>Услуги по организации питания лиц, содержащихся в ИВС и в спецприемнике</v>
      </c>
      <c r="G5499" s="22" t="s">
        <v>1096</v>
      </c>
      <c r="H5499" s="22" t="s">
        <v>5986</v>
      </c>
      <c r="I5499" s="26">
        <v>43704.673634259299</v>
      </c>
      <c r="J5499" s="28" t="s">
        <v>51</v>
      </c>
      <c r="K5499" s="28" t="s">
        <v>51</v>
      </c>
      <c r="L5499" s="28" t="s">
        <v>51</v>
      </c>
      <c r="M5499" s="28" t="s">
        <v>51</v>
      </c>
      <c r="N5499" s="28" t="s">
        <v>51</v>
      </c>
    </row>
    <row r="5500" spans="1:14" x14ac:dyDescent="0.15">
      <c r="A5500" s="23" t="str">
        <f>HYPERLINK("https://www.spark-marketing.ru/Card/Person/1024533", "МОУ ""СОШ № 21""")</f>
        <v>МОУ "СОШ № 21"</v>
      </c>
      <c r="B5500" s="24" t="s">
        <v>8502</v>
      </c>
      <c r="C5500" s="25">
        <v>155040</v>
      </c>
      <c r="D5500" s="22" t="s">
        <v>8503</v>
      </c>
      <c r="E5500" s="22" t="s">
        <v>48</v>
      </c>
      <c r="F5500" s="23" t="str">
        <f>HYPERLINK("https://www.spark-marketing.ru/Card/Lot/73056878", "Оказание услуг по обеспечению льготным  питанием детей из малообеспеченных семей и детей с нарушением здоровья обучающихся в МОУ «СОШ № 21»")</f>
        <v>Оказание услуг по обеспечению льготным  питанием детей из малообеспеченных семей и детей с нарушением здоровья обучающихся в МОУ «СОШ № 21»</v>
      </c>
      <c r="G5500" s="22" t="s">
        <v>469</v>
      </c>
      <c r="H5500" s="22" t="s">
        <v>5961</v>
      </c>
      <c r="I5500" s="26">
        <v>43704.673113425903</v>
      </c>
      <c r="J5500" s="23" t="str">
        <f>HYPERLINK("https://www.spark-marketing.ru/Card/Person/134890", "ООО ""МИРОСЛАВА""")</f>
        <v>ООО "МИРОСЛАВА"</v>
      </c>
      <c r="K5500" s="24" t="s">
        <v>2329</v>
      </c>
      <c r="L5500" s="22" t="s">
        <v>10</v>
      </c>
      <c r="M5500" s="28" t="s">
        <v>51</v>
      </c>
      <c r="N5500" s="28" t="s">
        <v>51</v>
      </c>
    </row>
    <row r="5501" spans="1:14" x14ac:dyDescent="0.15">
      <c r="A5501" s="23" t="str">
        <f>HYPERLINK("https://www.spark-marketing.ru/Card/Person/4345132", "МИНИСТЕРСТВО ЗДРАВООХРАНЕНИЯ РЕСПУБЛИКИ МАРИЙ ЭЛ")</f>
        <v>МИНИСТЕРСТВО ЗДРАВООХРАНЕНИЯ РЕСПУБЛИКИ МАРИЙ ЭЛ</v>
      </c>
      <c r="B5501" s="24" t="s">
        <v>8496</v>
      </c>
      <c r="C5501" s="25">
        <v>3000000</v>
      </c>
      <c r="D5501" s="22" t="s">
        <v>8504</v>
      </c>
      <c r="E5501" s="22" t="s">
        <v>1104</v>
      </c>
      <c r="F5501" s="23" t="str">
        <f>HYPERLINK("https://www.spark-marketing.ru/Card/Lot/73063641", "Оказание услуг по обеспечению лекарственными препаратами, медицинскими изделиями и специализированными продуктами лечебного питания граждан, имеющих право на получение государственной социальной помощи в виде набора социальных услуг в соответствии с ...")</f>
        <v>Оказание услуг по обеспечению лекарственными препаратами, медицинскими изделиями и специализированными продуктами лечебного питания граждан, имеющих право на получение государственной социальной помощи в виде набора социальных услуг в соответствии с ...</v>
      </c>
      <c r="G5501" s="22" t="s">
        <v>3249</v>
      </c>
      <c r="H5501" s="22" t="s">
        <v>3249</v>
      </c>
      <c r="I5501" s="26">
        <v>43704.671412037002</v>
      </c>
      <c r="J5501" s="23" t="str">
        <f>HYPERLINK("https://www.spark-marketing.ru/Card/Person/158382", "АО ""МАРИЙ ЭЛ-ФАРМАЦИЯ""")</f>
        <v>АО "МАРИЙ ЭЛ-ФАРМАЦИЯ"</v>
      </c>
      <c r="K5501" s="24" t="s">
        <v>8498</v>
      </c>
      <c r="L5501" s="22" t="s">
        <v>10</v>
      </c>
      <c r="M5501" s="28" t="s">
        <v>51</v>
      </c>
      <c r="N5501" s="28" t="s">
        <v>51</v>
      </c>
    </row>
    <row r="5502" spans="1:14" x14ac:dyDescent="0.15">
      <c r="A5502" s="23" t="str">
        <f>HYPERLINK("https://www.spark-marketing.ru/Card/Person/20065", "ФГБОУ ВО ""ГМУ ИМ. АДМ. Ф.Ф. УШАКОВА""")</f>
        <v>ФГБОУ ВО "ГМУ ИМ. АДМ. Ф.Ф. УШАКОВА"</v>
      </c>
      <c r="B5502" s="24" t="s">
        <v>7025</v>
      </c>
      <c r="C5502" s="25">
        <v>66379050</v>
      </c>
      <c r="D5502" s="22" t="s">
        <v>8505</v>
      </c>
      <c r="E5502" s="22" t="s">
        <v>48</v>
      </c>
      <c r="F5502" s="23" t="str">
        <f>HYPERLINK("https://www.spark-marketing.ru/Card/Lot/73062210", "Услуги по организации питания")</f>
        <v>Услуги по организации питания</v>
      </c>
      <c r="G5502" s="22" t="s">
        <v>104</v>
      </c>
      <c r="H5502" s="22" t="s">
        <v>104</v>
      </c>
      <c r="I5502" s="26">
        <v>43704.658449074101</v>
      </c>
      <c r="J5502" s="23" t="str">
        <f>HYPERLINK("https://www.spark-marketing.ru/Card/Person/878576", "Ходькина Юлия Анатольевна")</f>
        <v>Ходькина Юлия Анатольевна</v>
      </c>
      <c r="K5502" s="24" t="s">
        <v>8506</v>
      </c>
      <c r="L5502" s="28" t="s">
        <v>51</v>
      </c>
      <c r="M5502" s="28" t="s">
        <v>51</v>
      </c>
      <c r="N5502" s="28" t="s">
        <v>51</v>
      </c>
    </row>
    <row r="5503" spans="1:14" hidden="1" outlineLevel="1" x14ac:dyDescent="0.15">
      <c r="A5503" s="23" t="str">
        <f>HYPERLINK("https://www.spark-marketing.ru/Card/Person/20065", "ФГБОУ ВО ""ГМУ ИМ. АДМ. Ф.Ф. УШАКОВА""")</f>
        <v>ФГБОУ ВО "ГМУ ИМ. АДМ. Ф.Ф. УШАКОВА"</v>
      </c>
      <c r="B5503" s="24" t="s">
        <v>7025</v>
      </c>
      <c r="C5503" s="25">
        <v>66379050</v>
      </c>
      <c r="D5503" s="22" t="s">
        <v>8505</v>
      </c>
      <c r="E5503" s="22" t="s">
        <v>48</v>
      </c>
      <c r="F5503" s="23" t="str">
        <f>HYPERLINK("https://www.spark-marketing.ru/Card/Lot/73062210", "Услуги по организации питания")</f>
        <v>Услуги по организации питания</v>
      </c>
      <c r="G5503" s="22" t="s">
        <v>104</v>
      </c>
      <c r="H5503" s="22" t="s">
        <v>104</v>
      </c>
      <c r="I5503" s="26">
        <v>43704.658449074101</v>
      </c>
      <c r="J5503" s="23" t="str">
        <f>HYPERLINK("https://www.spark-marketing.ru/Card/Person/878576", "Ходькина Юлия Анатольевна")</f>
        <v>Ходькина Юлия Анатольевна</v>
      </c>
      <c r="K5503" s="24" t="s">
        <v>8506</v>
      </c>
      <c r="L5503" s="22" t="s">
        <v>10</v>
      </c>
      <c r="M5503" s="28" t="s">
        <v>51</v>
      </c>
      <c r="N5503" s="28" t="s">
        <v>51</v>
      </c>
    </row>
    <row r="5504" spans="1:14" x14ac:dyDescent="0.15">
      <c r="A5504" s="23" t="str">
        <f>HYPERLINK("https://www.spark-marketing.ru/Card/Person/35959", "МО МВД РОССИИ ""БЛАГОВЕЩЕНСКИЙ""")</f>
        <v>МО МВД РОССИИ "БЛАГОВЕЩЕНСКИЙ"</v>
      </c>
      <c r="B5504" s="24" t="s">
        <v>7068</v>
      </c>
      <c r="C5504" s="25">
        <v>1650000</v>
      </c>
      <c r="D5504" s="22" t="s">
        <v>8507</v>
      </c>
      <c r="E5504" s="22" t="s">
        <v>96</v>
      </c>
      <c r="F5504" s="23" t="str">
        <f>HYPERLINK("https://www.spark-marketing.ru/Card/Lot/73047901", "Оказание услуг по обеспечению 3-х разовым ежедневным горячим питанием лиц, содержащихся в ИВС МО МВД России ""Благовещенский""")</f>
        <v>Оказание услуг по обеспечению 3-х разовым ежедневным горячим питанием лиц, содержащихся в ИВС МО МВД России "Благовещенский"</v>
      </c>
      <c r="G5504" s="22" t="s">
        <v>210</v>
      </c>
      <c r="H5504" s="22" t="s">
        <v>3257</v>
      </c>
      <c r="I5504" s="26">
        <v>43703.719571759299</v>
      </c>
      <c r="J5504" s="28" t="s">
        <v>51</v>
      </c>
      <c r="K5504" s="28" t="s">
        <v>51</v>
      </c>
      <c r="L5504" s="28" t="s">
        <v>51</v>
      </c>
      <c r="M5504" s="28" t="s">
        <v>51</v>
      </c>
      <c r="N5504" s="28" t="s">
        <v>51</v>
      </c>
    </row>
    <row r="5505" spans="1:14" hidden="1" outlineLevel="1" x14ac:dyDescent="0.2">
      <c r="A5505" s="23" t="str">
        <f>HYPERLINK("https://www.spark-marketing.ru/Card/Person/35959", "МО МВД РОССИИ ""БЛАГОВЕЩЕНСКИЙ""")</f>
        <v>МО МВД РОССИИ "БЛАГОВЕЩЕНСКИЙ"</v>
      </c>
      <c r="B5505" s="24" t="s">
        <v>7068</v>
      </c>
      <c r="C5505" s="25">
        <v>1650000</v>
      </c>
      <c r="D5505" s="22" t="s">
        <v>8507</v>
      </c>
      <c r="E5505" s="22" t="s">
        <v>96</v>
      </c>
      <c r="F5505" s="23" t="str">
        <f>HYPERLINK("https://www.spark-marketing.ru/Card/Lot/73047901", "Оказание услуг по обеспечению 3-х разовым ежедневным горячим питанием лиц, содержащихся в ИВС МО МВД России ""Благовещенский""")</f>
        <v>Оказание услуг по обеспечению 3-х разовым ежедневным горячим питанием лиц, содержащихся в ИВС МО МВД России "Благовещенский"</v>
      </c>
      <c r="G5505" s="22" t="s">
        <v>210</v>
      </c>
      <c r="H5505" s="22" t="s">
        <v>3257</v>
      </c>
      <c r="I5505" s="26">
        <v>43703.719571759299</v>
      </c>
      <c r="J5505" s="23" t="str">
        <f>HYPERLINK("https://www.spark-marketing.ru/Card/Person/490725", "Коваль Галина Григорьевна")</f>
        <v>Коваль Галина Григорьевна</v>
      </c>
      <c r="K5505" s="24" t="s">
        <v>8508</v>
      </c>
      <c r="L5505" s="28" t="s">
        <v>51</v>
      </c>
      <c r="M5505" s="25">
        <v>1570.59</v>
      </c>
      <c r="N5505" s="27">
        <v>0.99904812727272729</v>
      </c>
    </row>
    <row r="5506" spans="1:14" ht="12.75" hidden="1" outlineLevel="1" x14ac:dyDescent="0.2">
      <c r="A5506" s="23" t="str">
        <f>HYPERLINK("https://www.spark-marketing.ru/Card/Person/35959", "МО МВД РОССИИ ""БЛАГОВЕЩЕНСКИЙ""")</f>
        <v>МО МВД РОССИИ "БЛАГОВЕЩЕНСКИЙ"</v>
      </c>
      <c r="B5506" s="24" t="s">
        <v>7068</v>
      </c>
      <c r="C5506" s="25">
        <v>1650000</v>
      </c>
      <c r="D5506" s="22" t="s">
        <v>8507</v>
      </c>
      <c r="E5506" s="22" t="s">
        <v>96</v>
      </c>
      <c r="F5506" s="23" t="str">
        <f>HYPERLINK("https://www.spark-marketing.ru/Card/Lot/73047901", "Оказание услуг по обеспечению 3-х разовым ежедневным горячим питанием лиц, содержащихся в ИВС МО МВД России ""Благовещенский""")</f>
        <v>Оказание услуг по обеспечению 3-х разовым ежедневным горячим питанием лиц, содержащихся в ИВС МО МВД России "Благовещенский"</v>
      </c>
      <c r="G5506" s="22" t="s">
        <v>210</v>
      </c>
      <c r="H5506" s="22" t="s">
        <v>3257</v>
      </c>
      <c r="I5506" s="26">
        <v>43703.719571759299</v>
      </c>
      <c r="J5506" s="23" t="str">
        <f>HYPERLINK("https://www.spark-marketing.ru/Card/Person/90159", "ООО ""ФАБРИКА-КУХНЯ""")</f>
        <v>ООО "ФАБРИКА-КУХНЯ"</v>
      </c>
      <c r="K5506" s="24" t="s">
        <v>7070</v>
      </c>
      <c r="L5506" s="22" t="s">
        <v>10</v>
      </c>
      <c r="M5506" s="25">
        <v>1561.86</v>
      </c>
      <c r="N5506" s="27">
        <v>0.99905341818181814</v>
      </c>
    </row>
    <row r="5507" spans="1:14" x14ac:dyDescent="0.15">
      <c r="A5507" s="23" t="str">
        <f>HYPERLINK("https://www.spark-marketing.ru/Card/Person/1024595", "МОУ ""СОШ № 16""")</f>
        <v>МОУ "СОШ № 16"</v>
      </c>
      <c r="B5507" s="24" t="s">
        <v>8509</v>
      </c>
      <c r="C5507" s="25">
        <v>468520</v>
      </c>
      <c r="D5507" s="22" t="s">
        <v>8510</v>
      </c>
      <c r="E5507" s="22" t="s">
        <v>48</v>
      </c>
      <c r="F5507" s="23" t="str">
        <f>HYPERLINK("https://www.spark-marketing.ru/Card/Lot/73058492", "Оказание услуг по обеспечению льготным  питанием детей из малообеспеченных семей и детей с нарушением здоровья обучающихся в МОУ «СОШ № 16»")</f>
        <v>Оказание услуг по обеспечению льготным  питанием детей из малообеспеченных семей и детей с нарушением здоровья обучающихся в МОУ «СОШ № 16»</v>
      </c>
      <c r="G5507" s="22" t="s">
        <v>469</v>
      </c>
      <c r="H5507" s="22" t="s">
        <v>5961</v>
      </c>
      <c r="I5507" s="26">
        <v>43704.694374999999</v>
      </c>
      <c r="J5507" s="23" t="str">
        <f>HYPERLINK("https://www.spark-marketing.ru/Card/Person/134890", "ООО ""МИРОСЛАВА""")</f>
        <v>ООО "МИРОСЛАВА"</v>
      </c>
      <c r="K5507" s="24" t="s">
        <v>2329</v>
      </c>
      <c r="L5507" s="22" t="s">
        <v>10</v>
      </c>
      <c r="M5507" s="28" t="s">
        <v>51</v>
      </c>
      <c r="N5507" s="28" t="s">
        <v>51</v>
      </c>
    </row>
    <row r="5508" spans="1:14" x14ac:dyDescent="0.15">
      <c r="A5508" s="23" t="str">
        <f>HYPERLINK("https://www.spark-marketing.ru/Card/Person/37657", "МВД ПО РЕСПУБЛИКЕ КАЛМЫКИЯ")</f>
        <v>МВД ПО РЕСПУБЛИКЕ КАЛМЫКИЯ</v>
      </c>
      <c r="B5508" s="24" t="s">
        <v>8511</v>
      </c>
      <c r="C5508" s="25">
        <v>70000</v>
      </c>
      <c r="D5508" s="22" t="s">
        <v>8512</v>
      </c>
      <c r="E5508" s="22" t="s">
        <v>48</v>
      </c>
      <c r="F5508" s="23" t="str">
        <f>HYPERLINK("https://www.spark-marketing.ru/Card/Lot/73056819",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задержанных, содержащихся в специ...")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задержанных, содержащихся в специ...</v>
      </c>
      <c r="G5508" s="22" t="s">
        <v>8513</v>
      </c>
      <c r="H5508" s="22" t="s">
        <v>8514</v>
      </c>
      <c r="I5508" s="26">
        <v>43704.630960648101</v>
      </c>
      <c r="J5508" s="28" t="s">
        <v>51</v>
      </c>
      <c r="K5508" s="28" t="s">
        <v>51</v>
      </c>
      <c r="L5508" s="28" t="s">
        <v>51</v>
      </c>
      <c r="M5508" s="28" t="s">
        <v>51</v>
      </c>
      <c r="N5508" s="28" t="s">
        <v>51</v>
      </c>
    </row>
    <row r="5509" spans="1:14" x14ac:dyDescent="0.15">
      <c r="A5509" s="23" t="str">
        <f>HYPERLINK("https://www.spark-marketing.ru/Card/Person/1043069", "ГКУЗ ПО ""УПРАВЛЕНИЕ ФАРМАЦИИ""")</f>
        <v>ГКУЗ ПО "УПРАВЛЕНИЕ ФАРМАЦИИ"</v>
      </c>
      <c r="B5509" s="24" t="s">
        <v>6119</v>
      </c>
      <c r="C5509" s="25">
        <v>9997500</v>
      </c>
      <c r="D5509" s="22" t="s">
        <v>8515</v>
      </c>
      <c r="E5509" s="22" t="s">
        <v>86</v>
      </c>
      <c r="F5509" s="23" t="str">
        <f>HYPERLINK("https://www.spark-marketing.ru/Card/Lot/73061780", "Оказание услуги по приемке, хранению, комплектованию, доставке в пункты отпуска, отпуску лекарственных препаратов, медицинских изделий, специализированных продуктов лечебного питания (идентификационный номер: 840-А-ГЗ)")</f>
        <v>Оказание услуги по приемке, хранению, комплектованию, доставке в пункты отпуска, отпуску лекарственных препаратов, медицинских изделий, специализированных продуктов лечебного питания (идентификационный номер: 840-А-ГЗ)</v>
      </c>
      <c r="G5509" s="22" t="s">
        <v>415</v>
      </c>
      <c r="H5509" s="22" t="s">
        <v>4542</v>
      </c>
      <c r="I5509" s="26">
        <v>43704.625150462998</v>
      </c>
      <c r="J5509" s="23" t="str">
        <f>HYPERLINK("https://www.spark-marketing.ru/Card/Person/63178", "ГП ПСКОВСКОЙ ОБЛАСТИ ""ФАРМАЦИЯ""")</f>
        <v>ГП ПСКОВСКОЙ ОБЛАСТИ "ФАРМАЦИЯ"</v>
      </c>
      <c r="K5509" s="24" t="s">
        <v>6121</v>
      </c>
      <c r="L5509" s="22" t="s">
        <v>10</v>
      </c>
      <c r="M5509" s="28" t="s">
        <v>51</v>
      </c>
      <c r="N5509" s="28" t="s">
        <v>51</v>
      </c>
    </row>
    <row r="5510" spans="1:14" x14ac:dyDescent="0.15">
      <c r="A5510" s="23" t="str">
        <f>HYPERLINK("https://www.spark-marketing.ru/Card/Person/9420", "МУ МВД РОССИИ ""РАМЕНСКОЕ""")</f>
        <v>МУ МВД РОССИИ "РАМЕНСКОЕ"</v>
      </c>
      <c r="B5510" s="24" t="s">
        <v>8516</v>
      </c>
      <c r="C5510" s="25">
        <v>2490000</v>
      </c>
      <c r="D5510" s="22" t="s">
        <v>8517</v>
      </c>
      <c r="E5510" s="22" t="s">
        <v>96</v>
      </c>
      <c r="F5510" s="23" t="str">
        <f>HYPERLINK("https://www.spark-marketing.ru/Card/Lot/73063631", "Оказание услуг по питанию граждан")</f>
        <v>Оказание услуг по питанию граждан</v>
      </c>
      <c r="G5510" s="22" t="s">
        <v>49</v>
      </c>
      <c r="H5510" s="22" t="s">
        <v>49</v>
      </c>
      <c r="I5510" s="26">
        <v>43704.598761574103</v>
      </c>
      <c r="J5510" s="23" t="str">
        <f>HYPERLINK("https://www.spark-marketing.ru/Card/Person/4855641", "Кузахмедов Марат Рашидович")</f>
        <v>Кузахмедов Марат Рашидович</v>
      </c>
      <c r="K5510" s="24" t="s">
        <v>8518</v>
      </c>
      <c r="L5510" s="22" t="s">
        <v>10</v>
      </c>
      <c r="M5510" s="28" t="s">
        <v>51</v>
      </c>
      <c r="N5510" s="28" t="s">
        <v>51</v>
      </c>
    </row>
    <row r="5511" spans="1:14" x14ac:dyDescent="0.15">
      <c r="A5511" s="23" t="str">
        <f>HYPERLINK("https://www.spark-marketing.ru/Card/Person/1067593", "МЕЖМУНИЦИПАЛЬНЫЙ ОТДЕЛ МВД РОССИИ ""ХАБЕЗСКИЙ""")</f>
        <v>МЕЖМУНИЦИПАЛЬНЫЙ ОТДЕЛ МВД РОССИИ "ХАБЕЗСКИЙ"</v>
      </c>
      <c r="B5511" s="24" t="s">
        <v>8519</v>
      </c>
      <c r="C5511" s="25">
        <v>80000</v>
      </c>
      <c r="D5511" s="22" t="s">
        <v>8520</v>
      </c>
      <c r="E5511" s="22" t="s">
        <v>48</v>
      </c>
      <c r="F5511" s="23" t="str">
        <f>HYPERLINK("https://www.spark-marketing.ru/Card/Lot/73055516",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5511" s="22" t="s">
        <v>7976</v>
      </c>
      <c r="H5511" s="22" t="s">
        <v>8521</v>
      </c>
      <c r="I5511" s="26">
        <v>43704.652326388903</v>
      </c>
      <c r="J5511" s="28" t="s">
        <v>51</v>
      </c>
      <c r="K5511" s="28" t="s">
        <v>51</v>
      </c>
      <c r="L5511" s="28" t="s">
        <v>51</v>
      </c>
      <c r="M5511" s="28" t="s">
        <v>51</v>
      </c>
      <c r="N5511" s="28" t="s">
        <v>51</v>
      </c>
    </row>
    <row r="5512" spans="1:14" x14ac:dyDescent="0.15">
      <c r="A5512" s="23" t="str">
        <f>HYPERLINK("https://www.spark-marketing.ru/Card/Person/293681", "ОТДЕЛ МВД РОССИИ ПО ТОПКИНСКОМУ РАЙОНУ")</f>
        <v>ОТДЕЛ МВД РОССИИ ПО ТОПКИНСКОМУ РАЙОНУ</v>
      </c>
      <c r="B5512" s="24" t="s">
        <v>7136</v>
      </c>
      <c r="C5512" s="25">
        <v>50000</v>
      </c>
      <c r="D5512" s="22" t="s">
        <v>8522</v>
      </c>
      <c r="E5512" s="22" t="s">
        <v>48</v>
      </c>
      <c r="F5512" s="23" t="str">
        <f>HYPERLINK("https://www.spark-marketing.ru/Card/Lot/73055542",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512" s="22" t="s">
        <v>304</v>
      </c>
      <c r="H5512" s="22" t="s">
        <v>8523</v>
      </c>
      <c r="I5512" s="26">
        <v>43704.658113425903</v>
      </c>
      <c r="J5512" s="28" t="s">
        <v>51</v>
      </c>
      <c r="K5512" s="28" t="s">
        <v>51</v>
      </c>
      <c r="L5512" s="28" t="s">
        <v>51</v>
      </c>
      <c r="M5512" s="28" t="s">
        <v>51</v>
      </c>
      <c r="N5512" s="28" t="s">
        <v>51</v>
      </c>
    </row>
    <row r="5513" spans="1:14" x14ac:dyDescent="0.15">
      <c r="A5513" s="23" t="str">
        <f>HYPERLINK("https://www.spark-marketing.ru/Card/Person/536781", "МО МВД РОССИИ ""НОВОСПАССКИЙ""")</f>
        <v>МО МВД РОССИИ "НОВОСПАССКИЙ"</v>
      </c>
      <c r="B5513" s="24" t="s">
        <v>8196</v>
      </c>
      <c r="C5513" s="25">
        <v>92248.8</v>
      </c>
      <c r="D5513" s="22" t="s">
        <v>8524</v>
      </c>
      <c r="E5513" s="22" t="s">
        <v>48</v>
      </c>
      <c r="F5513" s="23" t="str">
        <f>HYPERLINK("https://www.spark-marketing.ru/Card/Lot/73055459", "Услуги по доставке горячего питания (завтрак, обед, ужин), 289 усл. ед")</f>
        <v>Услуги по доставке горячего питания (завтрак, обед, ужин), 289 усл. ед</v>
      </c>
      <c r="G5513" s="22" t="s">
        <v>1918</v>
      </c>
      <c r="H5513" s="22" t="s">
        <v>8198</v>
      </c>
      <c r="I5513" s="26">
        <v>43704.660636574103</v>
      </c>
      <c r="J5513" s="28" t="s">
        <v>51</v>
      </c>
      <c r="K5513" s="28" t="s">
        <v>51</v>
      </c>
      <c r="L5513" s="28" t="s">
        <v>51</v>
      </c>
      <c r="M5513" s="28" t="s">
        <v>51</v>
      </c>
      <c r="N5513" s="28" t="s">
        <v>51</v>
      </c>
    </row>
    <row r="5514" spans="1:14" x14ac:dyDescent="0.15">
      <c r="A5514" s="23" t="str">
        <f>HYPERLINK("https://www.spark-marketing.ru/Card/Person/65064", "ГБУ СО «КЦСОН РК»")</f>
        <v>ГБУ СО «КЦСОН РК»</v>
      </c>
      <c r="B5514" s="24" t="s">
        <v>6632</v>
      </c>
      <c r="C5514" s="25">
        <v>487649.28000000003</v>
      </c>
      <c r="D5514" s="22" t="s">
        <v>8525</v>
      </c>
      <c r="E5514" s="22" t="s">
        <v>48</v>
      </c>
      <c r="F5514" s="23" t="str">
        <f>HYPERLINK("https://www.spark-marketing.ru/Card/Lot/73057974", "Оказание услуг по организации питания")</f>
        <v>Оказание услуг по организации питания</v>
      </c>
      <c r="G5514" s="22" t="s">
        <v>59</v>
      </c>
      <c r="H5514" s="22" t="s">
        <v>8526</v>
      </c>
      <c r="I5514" s="26">
        <v>43704.456273148098</v>
      </c>
      <c r="J5514" s="28" t="s">
        <v>51</v>
      </c>
      <c r="K5514" s="28" t="s">
        <v>51</v>
      </c>
      <c r="L5514" s="28" t="s">
        <v>51</v>
      </c>
      <c r="M5514" s="28" t="s">
        <v>51</v>
      </c>
      <c r="N5514" s="28" t="s">
        <v>51</v>
      </c>
    </row>
    <row r="5515" spans="1:14" x14ac:dyDescent="0.15">
      <c r="A5515" s="23" t="str">
        <f>HYPERLINK("https://www.spark-marketing.ru/Card/Person/121320", "ОТДЕЛ МВД РОССИИ ПО КАЛИНИНСКОМУ РАЙОНУ")</f>
        <v>ОТДЕЛ МВД РОССИИ ПО КАЛИНИНСКОМУ РАЙОНУ</v>
      </c>
      <c r="B5515" s="24" t="s">
        <v>8527</v>
      </c>
      <c r="C5515" s="25">
        <v>990000</v>
      </c>
      <c r="D5515" s="22" t="s">
        <v>8528</v>
      </c>
      <c r="E5515" s="22" t="s">
        <v>48</v>
      </c>
      <c r="F5515" s="23" t="str">
        <f>HYPERLINK("https://www.spark-marketing.ru/Card/Lot/73057981", "Оказание услуг по обеспечению 3-х разовым горячим питанием лиц содержащихся в ИВС и лиц административнозадержанных")</f>
        <v>Оказание услуг по обеспечению 3-х разовым горячим питанием лиц содержащихся в ИВС и лиц административнозадержанных</v>
      </c>
      <c r="G5515" s="22" t="s">
        <v>104</v>
      </c>
      <c r="H5515" s="22" t="s">
        <v>5791</v>
      </c>
      <c r="I5515" s="26">
        <v>43704.467071759304</v>
      </c>
      <c r="J5515" s="28" t="s">
        <v>51</v>
      </c>
      <c r="K5515" s="28" t="s">
        <v>51</v>
      </c>
      <c r="L5515" s="28" t="s">
        <v>51</v>
      </c>
      <c r="M5515" s="28" t="s">
        <v>51</v>
      </c>
      <c r="N5515" s="28" t="s">
        <v>51</v>
      </c>
    </row>
    <row r="5516" spans="1:14" hidden="1" outlineLevel="1" x14ac:dyDescent="0.2">
      <c r="A5516" s="23" t="str">
        <f>HYPERLINK("https://www.spark-marketing.ru/Card/Person/121320", "ОТДЕЛ МВД РОССИИ ПО КАЛИНИНСКОМУ РАЙОНУ")</f>
        <v>ОТДЕЛ МВД РОССИИ ПО КАЛИНИНСКОМУ РАЙОНУ</v>
      </c>
      <c r="B5516" s="24" t="s">
        <v>8527</v>
      </c>
      <c r="C5516" s="25">
        <v>990000</v>
      </c>
      <c r="D5516" s="22" t="s">
        <v>8528</v>
      </c>
      <c r="E5516" s="22" t="s">
        <v>48</v>
      </c>
      <c r="F5516" s="23" t="str">
        <f>HYPERLINK("https://www.spark-marketing.ru/Card/Lot/73057981", "Оказание услуг по обеспечению 3-х разовым горячим питанием лиц содержащихся в ИВС и лиц административнозадержанных")</f>
        <v>Оказание услуг по обеспечению 3-х разовым горячим питанием лиц содержащихся в ИВС и лиц административнозадержанных</v>
      </c>
      <c r="G5516" s="22" t="s">
        <v>104</v>
      </c>
      <c r="H5516" s="22" t="s">
        <v>5791</v>
      </c>
      <c r="I5516" s="26">
        <v>43704.467071759304</v>
      </c>
      <c r="J5516" s="23" t="str">
        <f>HYPERLINK("https://www.spark-marketing.ru/Card/Person/1944082", "ООО ""ВИЗАВИА""")</f>
        <v>ООО "ВИЗАВИА"</v>
      </c>
      <c r="K5516" s="24" t="s">
        <v>6798</v>
      </c>
      <c r="L5516" s="28" t="s">
        <v>51</v>
      </c>
      <c r="M5516" s="25">
        <v>900900</v>
      </c>
      <c r="N5516" s="27">
        <v>0.09</v>
      </c>
    </row>
    <row r="5517" spans="1:14" ht="12.75" hidden="1" outlineLevel="1" x14ac:dyDescent="0.2">
      <c r="A5517" s="23" t="str">
        <f>HYPERLINK("https://www.spark-marketing.ru/Card/Person/121320", "ОТДЕЛ МВД РОССИИ ПО КАЛИНИНСКОМУ РАЙОНУ")</f>
        <v>ОТДЕЛ МВД РОССИИ ПО КАЛИНИНСКОМУ РАЙОНУ</v>
      </c>
      <c r="B5517" s="24" t="s">
        <v>8527</v>
      </c>
      <c r="C5517" s="25">
        <v>990000</v>
      </c>
      <c r="D5517" s="22" t="s">
        <v>8528</v>
      </c>
      <c r="E5517" s="22" t="s">
        <v>48</v>
      </c>
      <c r="F5517" s="23" t="str">
        <f>HYPERLINK("https://www.spark-marketing.ru/Card/Lot/73057981", "Оказание услуг по обеспечению 3-х разовым горячим питанием лиц содержащихся в ИВС и лиц административнозадержанных")</f>
        <v>Оказание услуг по обеспечению 3-х разовым горячим питанием лиц содержащихся в ИВС и лиц административнозадержанных</v>
      </c>
      <c r="G5517" s="22" t="s">
        <v>104</v>
      </c>
      <c r="H5517" s="22" t="s">
        <v>5791</v>
      </c>
      <c r="I5517" s="26">
        <v>43704.467071759304</v>
      </c>
      <c r="J5517" s="23" t="str">
        <f>HYPERLINK("https://www.spark-marketing.ru/Card/Person/64890", "Белоусова Наталья Владимировна")</f>
        <v>Белоусова Наталья Владимировна</v>
      </c>
      <c r="K5517" s="24" t="s">
        <v>8529</v>
      </c>
      <c r="L5517" s="22" t="s">
        <v>10</v>
      </c>
      <c r="M5517" s="25">
        <v>895950</v>
      </c>
      <c r="N5517" s="27">
        <v>9.5000000000000001E-2</v>
      </c>
    </row>
    <row r="5518" spans="1:14" x14ac:dyDescent="0.15">
      <c r="A5518" s="23" t="str">
        <f>HYPERLINK("https://www.spark-marketing.ru/Card/Person/1067593", "МЕЖМУНИЦИПАЛЬНЫЙ ОТДЕЛ МВД РОССИИ ""ХАБЕЗСКИЙ""")</f>
        <v>МЕЖМУНИЦИПАЛЬНЫЙ ОТДЕЛ МВД РОССИИ "ХАБЕЗСКИЙ"</v>
      </c>
      <c r="B5518" s="24" t="s">
        <v>8519</v>
      </c>
      <c r="C5518" s="25">
        <v>80000</v>
      </c>
      <c r="D5518" s="22" t="s">
        <v>8530</v>
      </c>
      <c r="E5518" s="22" t="s">
        <v>48</v>
      </c>
      <c r="F5518" s="23" t="str">
        <f>HYPERLINK("https://www.spark-marketing.ru/Card/Lot/73055460", "Оказание услуг по организации питания (приготовлению и доставке) для ИВС, 400 усл. ед")</f>
        <v>Оказание услуг по организации питания (приготовлению и доставке) для ИВС, 400 усл. ед</v>
      </c>
      <c r="G5518" s="22" t="s">
        <v>7976</v>
      </c>
      <c r="H5518" s="22" t="s">
        <v>8521</v>
      </c>
      <c r="I5518" s="26">
        <v>43704.660671296297</v>
      </c>
      <c r="J5518" s="28" t="s">
        <v>51</v>
      </c>
      <c r="K5518" s="28" t="s">
        <v>51</v>
      </c>
      <c r="L5518" s="28" t="s">
        <v>51</v>
      </c>
      <c r="M5518" s="28" t="s">
        <v>51</v>
      </c>
      <c r="N5518" s="28" t="s">
        <v>51</v>
      </c>
    </row>
    <row r="5519" spans="1:14" x14ac:dyDescent="0.15">
      <c r="A5519" s="23" t="str">
        <f>HYPERLINK("https://www.spark-marketing.ru/Card/Person/536781", "МО МВД РОССИИ ""НОВОСПАССКИЙ""")</f>
        <v>МО МВД РОССИИ "НОВОСПАССКИЙ"</v>
      </c>
      <c r="B5519" s="24" t="s">
        <v>8196</v>
      </c>
      <c r="C5519" s="25">
        <v>91905</v>
      </c>
      <c r="D5519" s="22" t="s">
        <v>8531</v>
      </c>
      <c r="E5519" s="22" t="s">
        <v>48</v>
      </c>
      <c r="F5519" s="23" t="str">
        <f>HYPERLINK("https://www.spark-marketing.ru/Card/Lot/73055472", "Услуги по доставке горячего питания (завтрак, обед, ужин), 275 усл. ед")</f>
        <v>Услуги по доставке горячего питания (завтрак, обед, ужин), 275 усл. ед</v>
      </c>
      <c r="G5519" s="22" t="s">
        <v>1918</v>
      </c>
      <c r="H5519" s="22" t="s">
        <v>8198</v>
      </c>
      <c r="I5519" s="26">
        <v>43704.663379629601</v>
      </c>
      <c r="J5519" s="28" t="s">
        <v>51</v>
      </c>
      <c r="K5519" s="28" t="s">
        <v>51</v>
      </c>
      <c r="L5519" s="28" t="s">
        <v>51</v>
      </c>
      <c r="M5519" s="28" t="s">
        <v>51</v>
      </c>
      <c r="N5519" s="28" t="s">
        <v>51</v>
      </c>
    </row>
    <row r="5520" spans="1:14" x14ac:dyDescent="0.15">
      <c r="A5520" s="23" t="str">
        <f>HYPERLINK("https://www.spark-marketing.ru/Card/Person/37657", "МВД ПО РЕСПУБЛИКЕ КАЛМЫКИЯ")</f>
        <v>МВД ПО РЕСПУБЛИКЕ КАЛМЫКИЯ</v>
      </c>
      <c r="B5520" s="24" t="s">
        <v>8511</v>
      </c>
      <c r="C5520" s="25">
        <v>70000</v>
      </c>
      <c r="D5520" s="22" t="s">
        <v>8532</v>
      </c>
      <c r="E5520" s="22" t="s">
        <v>48</v>
      </c>
      <c r="F5520" s="23" t="str">
        <f>HYPERLINK("https://www.spark-marketing.ru/Card/Lot/73060901",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задержанных, содержащихся в специ...")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задержанных, содержащихся в специ...</v>
      </c>
      <c r="G5520" s="22" t="s">
        <v>8513</v>
      </c>
      <c r="H5520" s="22" t="s">
        <v>8514</v>
      </c>
      <c r="I5520" s="26">
        <v>43704.636365740698</v>
      </c>
      <c r="J5520" s="28" t="s">
        <v>51</v>
      </c>
      <c r="K5520" s="28" t="s">
        <v>51</v>
      </c>
      <c r="L5520" s="28" t="s">
        <v>51</v>
      </c>
      <c r="M5520" s="28" t="s">
        <v>51</v>
      </c>
      <c r="N5520" s="28" t="s">
        <v>51</v>
      </c>
    </row>
    <row r="5521" spans="1:14" x14ac:dyDescent="0.15">
      <c r="A5521" s="23" t="str">
        <f>HYPERLINK("https://www.spark-marketing.ru/Card/Person/115657", "АППАРАТ ГОССОВЕТА РТ")</f>
        <v>АППАРАТ ГОССОВЕТА РТ</v>
      </c>
      <c r="B5521" s="24" t="s">
        <v>4856</v>
      </c>
      <c r="C5521" s="25">
        <v>2276227.5</v>
      </c>
      <c r="D5521" s="22" t="s">
        <v>8533</v>
      </c>
      <c r="E5521" s="22" t="s">
        <v>96</v>
      </c>
      <c r="F5521" s="23" t="str">
        <f>HYPERLINK("https://www.spark-marketing.ru/Card/Lot/73063579", "Право заключения государственного контракта на оказание услуг по организации и обслуживанию пленарных заседаний, приемов и иных мероприятий для нужд Государственного Совета Республики Татарстан")</f>
        <v>Право заключения государственного контракта на оказание услуг по организации и обслуживанию пленарных заседаний, приемов и иных мероприятий для нужд Государственного Совета Республики Татарстан</v>
      </c>
      <c r="G5521" s="22" t="s">
        <v>217</v>
      </c>
      <c r="H5521" s="22" t="s">
        <v>217</v>
      </c>
      <c r="I5521" s="26">
        <v>43704.617488425902</v>
      </c>
      <c r="J5521" s="28" t="s">
        <v>51</v>
      </c>
      <c r="K5521" s="28" t="s">
        <v>51</v>
      </c>
      <c r="L5521" s="28" t="s">
        <v>51</v>
      </c>
      <c r="M5521" s="28" t="s">
        <v>51</v>
      </c>
      <c r="N5521" s="28" t="s">
        <v>51</v>
      </c>
    </row>
    <row r="5522" spans="1:14" x14ac:dyDescent="0.15">
      <c r="A5522" s="23" t="str">
        <f>HYPERLINK("https://www.spark-marketing.ru/Card/Person/91929", "МУ МВД РОССИИ ""СЕРПУХОВСКОЕ""")</f>
        <v>МУ МВД РОССИИ "СЕРПУХОВСКОЕ"</v>
      </c>
      <c r="B5522" s="24" t="s">
        <v>8229</v>
      </c>
      <c r="C5522" s="25">
        <v>181770</v>
      </c>
      <c r="D5522" s="22" t="s">
        <v>8534</v>
      </c>
      <c r="E5522" s="22" t="s">
        <v>48</v>
      </c>
      <c r="F5522" s="23" t="str">
        <f>HYPERLINK("https://www.spark-marketing.ru/Card/Lot/73052931", "Услуги общественного питания, 1 усл. ед")</f>
        <v>Услуги общественного питания, 1 усл. ед</v>
      </c>
      <c r="G5522" s="22" t="s">
        <v>49</v>
      </c>
      <c r="H5522" s="22" t="s">
        <v>8231</v>
      </c>
      <c r="I5522" s="26">
        <v>43704.612615740698</v>
      </c>
      <c r="J5522" s="28" t="s">
        <v>51</v>
      </c>
      <c r="K5522" s="28" t="s">
        <v>51</v>
      </c>
      <c r="L5522" s="28" t="s">
        <v>51</v>
      </c>
      <c r="M5522" s="28" t="s">
        <v>51</v>
      </c>
      <c r="N5522" s="28" t="s">
        <v>51</v>
      </c>
    </row>
    <row r="5523" spans="1:14" x14ac:dyDescent="0.15">
      <c r="A5523" s="23" t="str">
        <f>HYPERLINK("https://www.spark-marketing.ru/Card/Person/49533", "ОМВД РОССИИ ПО Г. ВОРКУТЕ")</f>
        <v>ОМВД РОССИИ ПО Г. ВОРКУТЕ</v>
      </c>
      <c r="B5523" s="24" t="s">
        <v>8535</v>
      </c>
      <c r="C5523" s="25">
        <v>2315000</v>
      </c>
      <c r="D5523" s="22" t="s">
        <v>8536</v>
      </c>
      <c r="E5523" s="22" t="s">
        <v>48</v>
      </c>
      <c r="F5523" s="23" t="str">
        <f>HYPERLINK("https://www.spark-marketing.ru/Card/Lot/73061670", "Оказание услуг по обеспечению ежедневного трёхразового питания лиц, содержащихся в спецучреждениях ИВС и СП ОМВД России по г. Воркуте")</f>
        <v>Оказание услуг по обеспечению ежедневного трёхразового питания лиц, содержащихся в спецучреждениях ИВС и СП ОМВД России по г. Воркуте</v>
      </c>
      <c r="G5523" s="22" t="s">
        <v>271</v>
      </c>
      <c r="H5523" s="22" t="s">
        <v>271</v>
      </c>
      <c r="I5523" s="26">
        <v>43704.578807870399</v>
      </c>
      <c r="J5523" s="28" t="s">
        <v>51</v>
      </c>
      <c r="K5523" s="28" t="s">
        <v>51</v>
      </c>
      <c r="L5523" s="28" t="s">
        <v>51</v>
      </c>
      <c r="M5523" s="28" t="s">
        <v>51</v>
      </c>
      <c r="N5523" s="28" t="s">
        <v>51</v>
      </c>
    </row>
    <row r="5524" spans="1:14" ht="12.75" hidden="1" outlineLevel="1" x14ac:dyDescent="0.2">
      <c r="A5524" s="23" t="str">
        <f>HYPERLINK("https://www.spark-marketing.ru/Card/Person/49533", "ОМВД РОССИИ ПО Г. ВОРКУТЕ")</f>
        <v>ОМВД РОССИИ ПО Г. ВОРКУТЕ</v>
      </c>
      <c r="B5524" s="24" t="s">
        <v>8535</v>
      </c>
      <c r="C5524" s="25">
        <v>2315000</v>
      </c>
      <c r="D5524" s="22" t="s">
        <v>8536</v>
      </c>
      <c r="E5524" s="22" t="s">
        <v>48</v>
      </c>
      <c r="F5524" s="23" t="str">
        <f>HYPERLINK("https://www.spark-marketing.ru/Card/Lot/73061670", "Оказание услуг по обеспечению ежедневного трёхразового питания лиц, содержащихся в спецучреждениях ИВС и СП ОМВД России по г. Воркуте")</f>
        <v>Оказание услуг по обеспечению ежедневного трёхразового питания лиц, содержащихся в спецучреждениях ИВС и СП ОМВД России по г. Воркуте</v>
      </c>
      <c r="G5524" s="22" t="s">
        <v>271</v>
      </c>
      <c r="H5524" s="22" t="s">
        <v>271</v>
      </c>
      <c r="I5524" s="26">
        <v>43704.578807870399</v>
      </c>
      <c r="J5524" s="23" t="str">
        <f>HYPERLINK("https://www.spark-marketing.ru/Card/Person/6271060", "ООО ""ДАН""")</f>
        <v>ООО "ДАН"</v>
      </c>
      <c r="K5524" s="24" t="s">
        <v>8537</v>
      </c>
      <c r="L5524" s="22" t="s">
        <v>10</v>
      </c>
      <c r="M5524" s="25">
        <v>990</v>
      </c>
      <c r="N5524" s="27">
        <v>0.99957235421166302</v>
      </c>
    </row>
    <row r="5525" spans="1:14" hidden="1" outlineLevel="1" x14ac:dyDescent="0.2">
      <c r="A5525" s="23" t="str">
        <f>HYPERLINK("https://www.spark-marketing.ru/Card/Person/49533", "ОМВД РОССИИ ПО Г. ВОРКУТЕ")</f>
        <v>ОМВД РОССИИ ПО Г. ВОРКУТЕ</v>
      </c>
      <c r="B5525" s="24" t="s">
        <v>8535</v>
      </c>
      <c r="C5525" s="25">
        <v>2315000</v>
      </c>
      <c r="D5525" s="22" t="s">
        <v>8536</v>
      </c>
      <c r="E5525" s="22" t="s">
        <v>48</v>
      </c>
      <c r="F5525" s="23" t="str">
        <f>HYPERLINK("https://www.spark-marketing.ru/Card/Lot/73061670", "Оказание услуг по обеспечению ежедневного трёхразового питания лиц, содержащихся в спецучреждениях ИВС и СП ОМВД России по г. Воркуте")</f>
        <v>Оказание услуг по обеспечению ежедневного трёхразового питания лиц, содержащихся в спецучреждениях ИВС и СП ОМВД России по г. Воркуте</v>
      </c>
      <c r="G5525" s="22" t="s">
        <v>271</v>
      </c>
      <c r="H5525" s="22" t="s">
        <v>271</v>
      </c>
      <c r="I5525" s="26">
        <v>43704.578807870399</v>
      </c>
      <c r="J5525" s="23" t="str">
        <f>HYPERLINK("https://www.spark-marketing.ru/Card/Person/135743", "ООО ""ВИС""")</f>
        <v>ООО "ВИС"</v>
      </c>
      <c r="K5525" s="24" t="s">
        <v>8538</v>
      </c>
      <c r="L5525" s="28" t="s">
        <v>51</v>
      </c>
      <c r="M5525" s="25">
        <v>1001.03</v>
      </c>
      <c r="N5525" s="27">
        <v>0.99956758963282932</v>
      </c>
    </row>
    <row r="5526" spans="1:14" x14ac:dyDescent="0.15">
      <c r="A5526" s="23" t="str">
        <f>HYPERLINK("https://www.spark-marketing.ru/Card/Person/352177", "МО МВД РОССИИ ""ОСТАШКОВСКИЙ""")</f>
        <v>МО МВД РОССИИ "ОСТАШКОВСКИЙ"</v>
      </c>
      <c r="B5526" s="24" t="s">
        <v>8539</v>
      </c>
      <c r="C5526" s="25">
        <v>924000</v>
      </c>
      <c r="D5526" s="22" t="s">
        <v>8540</v>
      </c>
      <c r="E5526" s="22" t="s">
        <v>48</v>
      </c>
      <c r="F5526" s="23" t="str">
        <f>HYPERLINK("https://www.spark-marketing.ru/Card/Lot/73058431", "Услуги по организации общественного питания лиц,содержащихся в ИВС и административно-задержанных в МО МВД России ""Осташковский"" 2021 год")</f>
        <v>Услуги по организации общественного питания лиц,содержащихся в ИВС и административно-задержанных в МО МВД России "Осташковский" 2021 год</v>
      </c>
      <c r="G5526" s="22" t="s">
        <v>137</v>
      </c>
      <c r="H5526" s="22" t="s">
        <v>8541</v>
      </c>
      <c r="I5526" s="26">
        <v>43704.614328703698</v>
      </c>
      <c r="J5526" s="23" t="str">
        <f>HYPERLINK("https://www.spark-marketing.ru/Card/Person/1187399", "ООО ""СИТИ""")</f>
        <v>ООО "СИТИ"</v>
      </c>
      <c r="K5526" s="24" t="s">
        <v>8542</v>
      </c>
      <c r="L5526" s="22" t="s">
        <v>10</v>
      </c>
      <c r="M5526" s="28" t="s">
        <v>51</v>
      </c>
      <c r="N5526" s="28" t="s">
        <v>51</v>
      </c>
    </row>
    <row r="5527" spans="1:14" x14ac:dyDescent="0.15">
      <c r="A5527" s="23" t="str">
        <f>HYPERLINK("https://www.spark-marketing.ru/Card/Person/154975", "ГУ ""МЕЖМУНИЦИПАЛЬНЫЙ ОТДЕЛ МВД РОССИИ ""ГЛАЗОВСКИЙ""")</f>
        <v>ГУ "МЕЖМУНИЦИПАЛЬНЫЙ ОТДЕЛ МВД РОССИИ "ГЛАЗОВСКИЙ"</v>
      </c>
      <c r="B5527" s="24" t="s">
        <v>8543</v>
      </c>
      <c r="C5527" s="25">
        <v>1338101.52</v>
      </c>
      <c r="D5527" s="22" t="s">
        <v>8544</v>
      </c>
      <c r="E5527" s="22" t="s">
        <v>96</v>
      </c>
      <c r="F5527" s="23" t="str">
        <f>HYPERLINK("https://www.spark-marketing.ru/Card/Lot/73059067", "Услуги по организации трехразового питания административно-арестованных лиц,содержащихся в спецприемнике")</f>
        <v>Услуги по организации трехразового питания административно-арестованных лиц,содержащихся в спецприемнике</v>
      </c>
      <c r="G5527" s="22" t="s">
        <v>852</v>
      </c>
      <c r="H5527" s="22" t="s">
        <v>992</v>
      </c>
      <c r="I5527" s="26">
        <v>43704.498009259303</v>
      </c>
      <c r="J5527" s="23" t="str">
        <f>HYPERLINK("https://www.spark-marketing.ru/Card/Person/155388", "ООО ""ЦЕНТР-СЕРВИС""")</f>
        <v>ООО "ЦЕНТР-СЕРВИС"</v>
      </c>
      <c r="K5527" s="24" t="s">
        <v>8545</v>
      </c>
      <c r="L5527" s="22" t="s">
        <v>10</v>
      </c>
      <c r="M5527" s="28" t="s">
        <v>51</v>
      </c>
      <c r="N5527" s="28" t="s">
        <v>51</v>
      </c>
    </row>
    <row r="5528" spans="1:14" x14ac:dyDescent="0.15">
      <c r="A5528" s="23" t="str">
        <f>HYPERLINK("https://www.spark-marketing.ru/Card/Person/1023779", "ОМВД РОССИИ ПО ПЛЕСЕЦКОМУ РАЙОНУ")</f>
        <v>ОМВД РОССИИ ПО ПЛЕСЕЦКОМУ РАЙОНУ</v>
      </c>
      <c r="B5528" s="24" t="s">
        <v>7571</v>
      </c>
      <c r="C5528" s="25">
        <v>1629000</v>
      </c>
      <c r="D5528" s="22" t="s">
        <v>8546</v>
      </c>
      <c r="E5528" s="22" t="s">
        <v>96</v>
      </c>
      <c r="F5528" s="23" t="str">
        <f>HYPERLINK("https://www.spark-marketing.ru/Card/Lot/73061958", "Оказание услуг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ОМВД России по Плесецкому району, в соответствии с нормой суточного ...")</f>
        <v>Оказание услуг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ОМВД России по Плесецкому району, в соответствии с нормой суточного ...</v>
      </c>
      <c r="G5528" s="22" t="s">
        <v>214</v>
      </c>
      <c r="H5528" s="22" t="s">
        <v>214</v>
      </c>
      <c r="I5528" s="26">
        <v>43703.709780092599</v>
      </c>
      <c r="J5528" s="28" t="s">
        <v>51</v>
      </c>
      <c r="K5528" s="28" t="s">
        <v>51</v>
      </c>
      <c r="L5528" s="28" t="s">
        <v>51</v>
      </c>
      <c r="M5528" s="28" t="s">
        <v>51</v>
      </c>
      <c r="N5528" s="28" t="s">
        <v>51</v>
      </c>
    </row>
    <row r="5529" spans="1:14" x14ac:dyDescent="0.15">
      <c r="A5529" s="23" t="str">
        <f>HYPERLINK("https://www.spark-marketing.ru/Card/Person/1006433", "ОМВД РОССИИ ПО КАЛАЧИНСКОМУ РАЙОНУ")</f>
        <v>ОМВД РОССИИ ПО КАЛАЧИНСКОМУ РАЙОНУ</v>
      </c>
      <c r="B5529" s="24" t="s">
        <v>8547</v>
      </c>
      <c r="C5529" s="25">
        <v>95634</v>
      </c>
      <c r="D5529" s="22" t="s">
        <v>8548</v>
      </c>
      <c r="E5529" s="22" t="s">
        <v>48</v>
      </c>
      <c r="F5529" s="23" t="str">
        <f>HYPERLINK("https://www.spark-marketing.ru/Card/Lot/73053226",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529" s="22" t="s">
        <v>487</v>
      </c>
      <c r="H5529" s="22" t="s">
        <v>8549</v>
      </c>
      <c r="I5529" s="26">
        <v>43704.614270833299</v>
      </c>
      <c r="J5529" s="28" t="s">
        <v>51</v>
      </c>
      <c r="K5529" s="28" t="s">
        <v>51</v>
      </c>
      <c r="L5529" s="28" t="s">
        <v>51</v>
      </c>
      <c r="M5529" s="28" t="s">
        <v>51</v>
      </c>
      <c r="N5529" s="28" t="s">
        <v>51</v>
      </c>
    </row>
    <row r="5530" spans="1:14" x14ac:dyDescent="0.15">
      <c r="A5530" s="23" t="str">
        <f>HYPERLINK("https://www.spark-marketing.ru/Card/Person/1006433", "ОМВД РОССИИ ПО КАЛАЧИНСКОМУ РАЙОНУ")</f>
        <v>ОМВД РОССИИ ПО КАЛАЧИНСКОМУ РАЙОНУ</v>
      </c>
      <c r="B5530" s="24" t="s">
        <v>8547</v>
      </c>
      <c r="C5530" s="25">
        <v>60858</v>
      </c>
      <c r="D5530" s="22" t="s">
        <v>8550</v>
      </c>
      <c r="E5530" s="22" t="s">
        <v>48</v>
      </c>
      <c r="F5530" s="23" t="str">
        <f>HYPERLINK("https://www.spark-marketing.ru/Card/Lot/73053813",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530" s="22" t="s">
        <v>487</v>
      </c>
      <c r="H5530" s="22" t="s">
        <v>8549</v>
      </c>
      <c r="I5530" s="26">
        <v>43704.623171296298</v>
      </c>
      <c r="J5530" s="28" t="s">
        <v>51</v>
      </c>
      <c r="K5530" s="28" t="s">
        <v>51</v>
      </c>
      <c r="L5530" s="28" t="s">
        <v>51</v>
      </c>
      <c r="M5530" s="28" t="s">
        <v>51</v>
      </c>
      <c r="N5530" s="28" t="s">
        <v>51</v>
      </c>
    </row>
    <row r="5531" spans="1:14" x14ac:dyDescent="0.15">
      <c r="A5531" s="23" t="str">
        <f>HYPERLINK("https://www.spark-marketing.ru/Card/Person/37657", "МВД ПО РЕСПУБЛИКЕ КАЛМЫКИЯ")</f>
        <v>МВД ПО РЕСПУБЛИКЕ КАЛМЫКИЯ</v>
      </c>
      <c r="B5531" s="24" t="s">
        <v>8511</v>
      </c>
      <c r="C5531" s="25">
        <v>90000</v>
      </c>
      <c r="D5531" s="22" t="s">
        <v>8551</v>
      </c>
      <c r="E5531" s="22" t="s">
        <v>48</v>
      </c>
      <c r="F5531" s="23" t="str">
        <f>HYPERLINK("https://www.spark-marketing.ru/Card/Lot/73055753",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задержанных, содержащихся в специ...")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задержанных, содержащихся в специ...</v>
      </c>
      <c r="G5531" s="22" t="s">
        <v>8513</v>
      </c>
      <c r="H5531" s="22" t="s">
        <v>8552</v>
      </c>
      <c r="I5531" s="26">
        <v>43704.593136574098</v>
      </c>
      <c r="J5531" s="28" t="s">
        <v>51</v>
      </c>
      <c r="K5531" s="28" t="s">
        <v>51</v>
      </c>
      <c r="L5531" s="28" t="s">
        <v>51</v>
      </c>
      <c r="M5531" s="28" t="s">
        <v>51</v>
      </c>
      <c r="N5531" s="28" t="s">
        <v>51</v>
      </c>
    </row>
    <row r="5532" spans="1:14" x14ac:dyDescent="0.15">
      <c r="A5532" s="23" t="str">
        <f>HYPERLINK("https://www.spark-marketing.ru/Card/Person/49533", "ОМВД РОССИИ ПО Г. ВОРКУТЕ")</f>
        <v>ОМВД РОССИИ ПО Г. ВОРКУТЕ</v>
      </c>
      <c r="B5532" s="24" t="s">
        <v>8535</v>
      </c>
      <c r="C5532" s="25">
        <v>2415000</v>
      </c>
      <c r="D5532" s="22" t="s">
        <v>8553</v>
      </c>
      <c r="E5532" s="22" t="s">
        <v>48</v>
      </c>
      <c r="F5532" s="23" t="str">
        <f>HYPERLINK("https://www.spark-marketing.ru/Card/Lot/73061729", "Оказание услуг по обеспечению ежедневного трёхразового питания лиц, содержащихся в спецучреждениях ИВС и СП ОМВД России по г. Воркуте")</f>
        <v>Оказание услуг по обеспечению ежедневного трёхразового питания лиц, содержащихся в спецучреждениях ИВС и СП ОМВД России по г. Воркуте</v>
      </c>
      <c r="G5532" s="22" t="s">
        <v>271</v>
      </c>
      <c r="H5532" s="22" t="s">
        <v>271</v>
      </c>
      <c r="I5532" s="26">
        <v>43704.590057870402</v>
      </c>
      <c r="J5532" s="28" t="s">
        <v>51</v>
      </c>
      <c r="K5532" s="28" t="s">
        <v>51</v>
      </c>
      <c r="L5532" s="28" t="s">
        <v>51</v>
      </c>
      <c r="M5532" s="28" t="s">
        <v>51</v>
      </c>
      <c r="N5532" s="28" t="s">
        <v>51</v>
      </c>
    </row>
    <row r="5533" spans="1:14" ht="12.75" hidden="1" outlineLevel="1" x14ac:dyDescent="0.2">
      <c r="A5533" s="23" t="str">
        <f>HYPERLINK("https://www.spark-marketing.ru/Card/Person/49533", "ОМВД РОССИИ ПО Г. ВОРКУТЕ")</f>
        <v>ОМВД РОССИИ ПО Г. ВОРКУТЕ</v>
      </c>
      <c r="B5533" s="24" t="s">
        <v>8535</v>
      </c>
      <c r="C5533" s="25">
        <v>2415000</v>
      </c>
      <c r="D5533" s="22" t="s">
        <v>8553</v>
      </c>
      <c r="E5533" s="22" t="s">
        <v>48</v>
      </c>
      <c r="F5533" s="23" t="str">
        <f>HYPERLINK("https://www.spark-marketing.ru/Card/Lot/73061729", "Оказание услуг по обеспечению ежедневного трёхразового питания лиц, содержащихся в спецучреждениях ИВС и СП ОМВД России по г. Воркуте")</f>
        <v>Оказание услуг по обеспечению ежедневного трёхразового питания лиц, содержащихся в спецучреждениях ИВС и СП ОМВД России по г. Воркуте</v>
      </c>
      <c r="G5533" s="22" t="s">
        <v>271</v>
      </c>
      <c r="H5533" s="22" t="s">
        <v>271</v>
      </c>
      <c r="I5533" s="26">
        <v>43704.590057870402</v>
      </c>
      <c r="J5533" s="23" t="str">
        <f>HYPERLINK("https://www.spark-marketing.ru/Card/Person/6271060", "ООО ""ДАН""")</f>
        <v>ООО "ДАН"</v>
      </c>
      <c r="K5533" s="24" t="s">
        <v>8537</v>
      </c>
      <c r="L5533" s="22" t="s">
        <v>10</v>
      </c>
      <c r="M5533" s="25">
        <v>1040</v>
      </c>
      <c r="N5533" s="27">
        <v>0.99956935817805381</v>
      </c>
    </row>
    <row r="5534" spans="1:14" hidden="1" outlineLevel="1" x14ac:dyDescent="0.2">
      <c r="A5534" s="23" t="str">
        <f>HYPERLINK("https://www.spark-marketing.ru/Card/Person/49533", "ОМВД РОССИИ ПО Г. ВОРКУТЕ")</f>
        <v>ОМВД РОССИИ ПО Г. ВОРКУТЕ</v>
      </c>
      <c r="B5534" s="24" t="s">
        <v>8535</v>
      </c>
      <c r="C5534" s="25">
        <v>2415000</v>
      </c>
      <c r="D5534" s="22" t="s">
        <v>8553</v>
      </c>
      <c r="E5534" s="22" t="s">
        <v>48</v>
      </c>
      <c r="F5534" s="23" t="str">
        <f>HYPERLINK("https://www.spark-marketing.ru/Card/Lot/73061729", "Оказание услуг по обеспечению ежедневного трёхразового питания лиц, содержащихся в спецучреждениях ИВС и СП ОМВД России по г. Воркуте")</f>
        <v>Оказание услуг по обеспечению ежедневного трёхразового питания лиц, содержащихся в спецучреждениях ИВС и СП ОМВД России по г. Воркуте</v>
      </c>
      <c r="G5534" s="22" t="s">
        <v>271</v>
      </c>
      <c r="H5534" s="22" t="s">
        <v>271</v>
      </c>
      <c r="I5534" s="26">
        <v>43704.590057870402</v>
      </c>
      <c r="J5534" s="23" t="str">
        <f>HYPERLINK("https://www.spark-marketing.ru/Card/Person/135743", "ООО ""ВИС""")</f>
        <v>ООО "ВИС"</v>
      </c>
      <c r="K5534" s="24" t="s">
        <v>8538</v>
      </c>
      <c r="L5534" s="28" t="s">
        <v>51</v>
      </c>
      <c r="M5534" s="25">
        <v>1050.52</v>
      </c>
      <c r="N5534" s="27">
        <v>0.99956500207039334</v>
      </c>
    </row>
    <row r="5535" spans="1:14" x14ac:dyDescent="0.15">
      <c r="A5535" s="23" t="str">
        <f>HYPERLINK("https://www.spark-marketing.ru/Card/Person/106025", "ОМВД РОССИИ ПО ЗВЕНИГОВСКОМУ РАЙОНУ")</f>
        <v>ОМВД РОССИИ ПО ЗВЕНИГОВСКОМУ РАЙОНУ</v>
      </c>
      <c r="B5535" s="24" t="s">
        <v>8554</v>
      </c>
      <c r="C5535" s="25">
        <v>45000</v>
      </c>
      <c r="D5535" s="22" t="s">
        <v>8555</v>
      </c>
      <c r="E5535" s="22" t="s">
        <v>96</v>
      </c>
      <c r="F5535" s="23" t="str">
        <f>HYPERLINK("https://www.spark-marketing.ru/Card/Lot/73052889",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5535" s="22" t="s">
        <v>3249</v>
      </c>
      <c r="H5535" s="22" t="s">
        <v>8556</v>
      </c>
      <c r="I5535" s="26">
        <v>43704.604189814803</v>
      </c>
      <c r="J5535" s="28" t="s">
        <v>51</v>
      </c>
      <c r="K5535" s="28" t="s">
        <v>51</v>
      </c>
      <c r="L5535" s="28" t="s">
        <v>51</v>
      </c>
      <c r="M5535" s="28" t="s">
        <v>51</v>
      </c>
      <c r="N5535" s="28" t="s">
        <v>51</v>
      </c>
    </row>
    <row r="5536" spans="1:14" x14ac:dyDescent="0.15">
      <c r="A5536" s="23" t="str">
        <f>HYPERLINK("https://www.spark-marketing.ru/Card/Person/37657", "МВД ПО РЕСПУБЛИКЕ КАЛМЫКИЯ")</f>
        <v>МВД ПО РЕСПУБЛИКЕ КАЛМЫКИЯ</v>
      </c>
      <c r="B5536" s="24" t="s">
        <v>8511</v>
      </c>
      <c r="C5536" s="25">
        <v>90000</v>
      </c>
      <c r="D5536" s="22" t="s">
        <v>8557</v>
      </c>
      <c r="E5536" s="22" t="s">
        <v>48</v>
      </c>
      <c r="F5536" s="23" t="str">
        <f>HYPERLINK("https://www.spark-marketing.ru/Card/Lot/73055711",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</v>
      </c>
      <c r="G5536" s="22" t="s">
        <v>8513</v>
      </c>
      <c r="H5536" s="22" t="s">
        <v>8552</v>
      </c>
      <c r="I5536" s="26">
        <v>43704.597453703696</v>
      </c>
      <c r="J5536" s="28" t="s">
        <v>51</v>
      </c>
      <c r="K5536" s="28" t="s">
        <v>51</v>
      </c>
      <c r="L5536" s="28" t="s">
        <v>51</v>
      </c>
      <c r="M5536" s="28" t="s">
        <v>51</v>
      </c>
      <c r="N5536" s="28" t="s">
        <v>51</v>
      </c>
    </row>
    <row r="5537" spans="1:14" x14ac:dyDescent="0.15">
      <c r="A5537" s="23" t="str">
        <f>HYPERLINK("https://www.spark-marketing.ru/Card/Person/91929", "МУ МВД РОССИИ ""СЕРПУХОВСКОЕ""")</f>
        <v>МУ МВД РОССИИ "СЕРПУХОВСКОЕ"</v>
      </c>
      <c r="B5537" s="24" t="s">
        <v>8229</v>
      </c>
      <c r="C5537" s="25">
        <v>181770</v>
      </c>
      <c r="D5537" s="22" t="s">
        <v>8558</v>
      </c>
      <c r="E5537" s="22" t="s">
        <v>48</v>
      </c>
      <c r="F5537" s="23" t="str">
        <f>HYPERLINK("https://www.spark-marketing.ru/Card/Lot/73053230", "Услуги общественного питания, 1 усл. ед")</f>
        <v>Услуги общественного питания, 1 усл. ед</v>
      </c>
      <c r="G5537" s="22" t="s">
        <v>49</v>
      </c>
      <c r="H5537" s="22" t="s">
        <v>8231</v>
      </c>
      <c r="I5537" s="26">
        <v>43704.614513888897</v>
      </c>
      <c r="J5537" s="28" t="s">
        <v>51</v>
      </c>
      <c r="K5537" s="28" t="s">
        <v>51</v>
      </c>
      <c r="L5537" s="28" t="s">
        <v>51</v>
      </c>
      <c r="M5537" s="28" t="s">
        <v>51</v>
      </c>
      <c r="N5537" s="28" t="s">
        <v>51</v>
      </c>
    </row>
    <row r="5538" spans="1:14" x14ac:dyDescent="0.15">
      <c r="A5538" s="23" t="str">
        <f>HYPERLINK("https://www.spark-marketing.ru/Card/Person/78877", "ОМВД РОССИИ ПО СЕГЕЖСКОМУ РАЙОНУ")</f>
        <v>ОМВД РОССИИ ПО СЕГЕЖСКОМУ РАЙОНУ</v>
      </c>
      <c r="B5538" s="24" t="s">
        <v>8559</v>
      </c>
      <c r="C5538" s="25">
        <v>880000</v>
      </c>
      <c r="D5538" s="22" t="s">
        <v>8560</v>
      </c>
      <c r="E5538" s="22" t="s">
        <v>48</v>
      </c>
      <c r="F5538" s="23" t="str">
        <f>HYPERLINK("https://www.spark-marketing.ru/Card/Lot/73058059", "Оказание услуг по питанию задержанных лиц в ИВС и СПЗЛ")</f>
        <v>Оказание услуг по питанию задержанных лиц в ИВС и СПЗЛ</v>
      </c>
      <c r="G5538" s="22" t="s">
        <v>59</v>
      </c>
      <c r="H5538" s="22" t="s">
        <v>59</v>
      </c>
      <c r="I5538" s="26">
        <v>43704.423101851899</v>
      </c>
      <c r="J5538" s="28" t="s">
        <v>51</v>
      </c>
      <c r="K5538" s="28" t="s">
        <v>51</v>
      </c>
      <c r="L5538" s="28" t="s">
        <v>51</v>
      </c>
      <c r="M5538" s="28" t="s">
        <v>51</v>
      </c>
      <c r="N5538" s="28" t="s">
        <v>51</v>
      </c>
    </row>
    <row r="5539" spans="1:14" x14ac:dyDescent="0.15">
      <c r="A5539" s="23" t="str">
        <f>HYPERLINK("https://www.spark-marketing.ru/Card/Person/1006433", "ОМВД РОССИИ ПО КАЛАЧИНСКОМУ РАЙОНУ")</f>
        <v>ОМВД РОССИИ ПО КАЛАЧИНСКОМУ РАЙОНУ</v>
      </c>
      <c r="B5539" s="24" t="s">
        <v>8547</v>
      </c>
      <c r="C5539" s="25">
        <v>296217</v>
      </c>
      <c r="D5539" s="22" t="s">
        <v>8561</v>
      </c>
      <c r="E5539" s="22" t="s">
        <v>48</v>
      </c>
      <c r="F5539" s="23" t="str">
        <f>HYPERLINK("https://www.spark-marketing.ru/Card/Lot/73052177",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539" s="22" t="s">
        <v>487</v>
      </c>
      <c r="H5539" s="22" t="s">
        <v>8549</v>
      </c>
      <c r="I5539" s="26">
        <v>43704.588518518503</v>
      </c>
      <c r="J5539" s="28" t="s">
        <v>51</v>
      </c>
      <c r="K5539" s="28" t="s">
        <v>51</v>
      </c>
      <c r="L5539" s="28" t="s">
        <v>51</v>
      </c>
      <c r="M5539" s="28" t="s">
        <v>51</v>
      </c>
      <c r="N5539" s="28" t="s">
        <v>51</v>
      </c>
    </row>
    <row r="5540" spans="1:14" x14ac:dyDescent="0.15">
      <c r="A5540" s="23" t="str">
        <f>HYPERLINK("https://www.spark-marketing.ru/Card/Person/106025", "ОМВД РОССИИ ПО ЗВЕНИГОВСКОМУ РАЙОНУ")</f>
        <v>ОМВД РОССИИ ПО ЗВЕНИГОВСКОМУ РАЙОНУ</v>
      </c>
      <c r="B5540" s="24" t="s">
        <v>8554</v>
      </c>
      <c r="C5540" s="25">
        <v>45000</v>
      </c>
      <c r="D5540" s="22" t="s">
        <v>8562</v>
      </c>
      <c r="E5540" s="22" t="s">
        <v>96</v>
      </c>
      <c r="F5540" s="23" t="str">
        <f>HYPERLINK("https://www.spark-marketing.ru/Card/Lot/73052869",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5540" s="22" t="s">
        <v>3249</v>
      </c>
      <c r="H5540" s="22" t="s">
        <v>8556</v>
      </c>
      <c r="I5540" s="26">
        <v>43704.6022337963</v>
      </c>
      <c r="J5540" s="28" t="s">
        <v>51</v>
      </c>
      <c r="K5540" s="28" t="s">
        <v>51</v>
      </c>
      <c r="L5540" s="28" t="s">
        <v>51</v>
      </c>
      <c r="M5540" s="28" t="s">
        <v>51</v>
      </c>
      <c r="N5540" s="28" t="s">
        <v>51</v>
      </c>
    </row>
    <row r="5541" spans="1:14" x14ac:dyDescent="0.15">
      <c r="A5541" s="23" t="str">
        <f>HYPERLINK("https://www.spark-marketing.ru/Card/Person/154975", "ГУ ""МЕЖМУНИЦИПАЛЬНЫЙ ОТДЕЛ МВД РОССИИ ""ГЛАЗОВСКИЙ""")</f>
        <v>ГУ "МЕЖМУНИЦИПАЛЬНЫЙ ОТДЕЛ МВД РОССИИ "ГЛАЗОВСКИЙ"</v>
      </c>
      <c r="B5541" s="24" t="s">
        <v>8543</v>
      </c>
      <c r="C5541" s="25">
        <v>1338404.82</v>
      </c>
      <c r="D5541" s="22" t="s">
        <v>8563</v>
      </c>
      <c r="E5541" s="22" t="s">
        <v>96</v>
      </c>
      <c r="F5541" s="23" t="str">
        <f>HYPERLINK("https://www.spark-marketing.ru/Card/Lot/73052782", "Услуги по организации трехразового питания административно-арестованных лиц,содержащихся в спецприемнике")</f>
        <v>Услуги по организации трехразового питания административно-арестованных лиц,содержащихся в спецприемнике</v>
      </c>
      <c r="G5541" s="22" t="s">
        <v>852</v>
      </c>
      <c r="H5541" s="22" t="s">
        <v>992</v>
      </c>
      <c r="I5541" s="26">
        <v>43704.4969444444</v>
      </c>
      <c r="J5541" s="23" t="str">
        <f>HYPERLINK("https://www.spark-marketing.ru/Card/Person/155388", "ООО ""ЦЕНТР-СЕРВИС""")</f>
        <v>ООО "ЦЕНТР-СЕРВИС"</v>
      </c>
      <c r="K5541" s="24" t="s">
        <v>8545</v>
      </c>
      <c r="L5541" s="22" t="s">
        <v>10</v>
      </c>
      <c r="M5541" s="28" t="s">
        <v>51</v>
      </c>
      <c r="N5541" s="28" t="s">
        <v>51</v>
      </c>
    </row>
    <row r="5542" spans="1:14" x14ac:dyDescent="0.15">
      <c r="A5542" s="23" t="str">
        <f>HYPERLINK("https://www.spark-marketing.ru/Card/Person/261903", "МО МВД РОССИИ ""СОВЕТСКИЙ""")</f>
        <v>МО МВД РОССИИ "СОВЕТСКИЙ"</v>
      </c>
      <c r="B5542" s="24" t="s">
        <v>8564</v>
      </c>
      <c r="C5542" s="25">
        <v>222000</v>
      </c>
      <c r="D5542" s="22" t="s">
        <v>8565</v>
      </c>
      <c r="E5542" s="22" t="s">
        <v>48</v>
      </c>
      <c r="F5542" s="23" t="str">
        <f>HYPERLINK("https://www.spark-marketing.ru/Card/Lot/73053739", "услуг по организации питания лиц, содержащихся в ИВС и специализированных помещениях содержания задержанных лиц (СПСЗЛ)")</f>
        <v>услуг по организации питания лиц, содержащихся в ИВС и специализированных помещениях содержания задержанных лиц (СПСЗЛ)</v>
      </c>
      <c r="G5542" s="22" t="s">
        <v>224</v>
      </c>
      <c r="H5542" s="22" t="s">
        <v>8566</v>
      </c>
      <c r="I5542" s="26">
        <v>43704.557905092603</v>
      </c>
      <c r="J5542" s="23" t="str">
        <f>HYPERLINK("https://www.spark-marketing.ru/Card/Person/51950", "ООО ""ЗДОРОВОЕ ПИТАНИЕ""")</f>
        <v>ООО "ЗДОРОВОЕ ПИТАНИЕ"</v>
      </c>
      <c r="K5542" s="24" t="s">
        <v>2336</v>
      </c>
      <c r="L5542" s="22" t="s">
        <v>10</v>
      </c>
      <c r="M5542" s="28" t="s">
        <v>51</v>
      </c>
      <c r="N5542" s="28" t="s">
        <v>51</v>
      </c>
    </row>
    <row r="5543" spans="1:14" x14ac:dyDescent="0.15">
      <c r="A5543" s="23" t="str">
        <f>HYPERLINK("https://www.spark-marketing.ru/Card/Person/261831", "МО МВД РОССИИ ""ВЯТСКОПОЛЯНСКИЙ""")</f>
        <v>МО МВД РОССИИ "ВЯТСКОПОЛЯНСКИЙ"</v>
      </c>
      <c r="B5543" s="24" t="s">
        <v>2333</v>
      </c>
      <c r="C5543" s="25">
        <v>329775.3</v>
      </c>
      <c r="D5543" s="22" t="s">
        <v>8567</v>
      </c>
      <c r="E5543" s="22" t="s">
        <v>48</v>
      </c>
      <c r="F5543" s="23" t="str">
        <f>HYPERLINK("https://www.spark-marketing.ru/Card/Lot/73055628", "услуги по организации ежедневного трехразового горячего питания лиц, содержащихся в изоляторе временного содержания и специальных помещениях для содержания задержанных лиц: мужчин, женщин, несовершеннолетних для обеспечения государственных нужд МО МВ...")</f>
        <v>услуги по организации ежедневного трехразового горячего питания лиц, содержащихся в изоляторе временного содержания и специальных помещениях для содержания задержанных лиц: мужчин, женщин, несовершеннолетних для обеспечения государственных нужд МО МВ...</v>
      </c>
      <c r="G5543" s="22" t="s">
        <v>224</v>
      </c>
      <c r="H5543" s="22" t="s">
        <v>224</v>
      </c>
      <c r="I5543" s="26">
        <v>43704.524131944403</v>
      </c>
      <c r="J5543" s="28" t="s">
        <v>51</v>
      </c>
      <c r="K5543" s="28" t="s">
        <v>51</v>
      </c>
      <c r="L5543" s="28" t="s">
        <v>51</v>
      </c>
      <c r="M5543" s="28" t="s">
        <v>51</v>
      </c>
      <c r="N5543" s="28" t="s">
        <v>51</v>
      </c>
    </row>
    <row r="5544" spans="1:14" x14ac:dyDescent="0.15">
      <c r="A5544" s="23" t="str">
        <f>HYPERLINK("https://www.spark-marketing.ru/Card/Person/132100", "ГУ ""МЕЖМУНИЦИПАЛЬНЫЙ ОТДЕЛ МВД РОССИИ ""САРАПУЛЬСКИЙ""")</f>
        <v>ГУ "МЕЖМУНИЦИПАЛЬНЫЙ ОТДЕЛ МВД РОССИИ "САРАПУЛЬСКИЙ"</v>
      </c>
      <c r="B5544" s="24" t="s">
        <v>5629</v>
      </c>
      <c r="C5544" s="25">
        <v>21691.84</v>
      </c>
      <c r="D5544" s="22" t="s">
        <v>8568</v>
      </c>
      <c r="E5544" s="22" t="s">
        <v>48</v>
      </c>
      <c r="F5544" s="23" t="str">
        <f>HYPERLINK("https://www.spark-marketing.ru/Card/Lot/73050436",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544" s="22" t="s">
        <v>852</v>
      </c>
      <c r="H5544" s="22" t="s">
        <v>8569</v>
      </c>
      <c r="I5544" s="26">
        <v>43704.552546296298</v>
      </c>
      <c r="J5544" s="28" t="s">
        <v>51</v>
      </c>
      <c r="K5544" s="28" t="s">
        <v>51</v>
      </c>
      <c r="L5544" s="28" t="s">
        <v>51</v>
      </c>
      <c r="M5544" s="28" t="s">
        <v>51</v>
      </c>
      <c r="N5544" s="28" t="s">
        <v>51</v>
      </c>
    </row>
    <row r="5545" spans="1:14" x14ac:dyDescent="0.15">
      <c r="A5545" s="23" t="str">
        <f>HYPERLINK("https://www.spark-marketing.ru/Card/Person/261903", "МО МВД РОССИИ ""СОВЕТСКИЙ""")</f>
        <v>МО МВД РОССИИ "СОВЕТСКИЙ"</v>
      </c>
      <c r="B5545" s="24" t="s">
        <v>8564</v>
      </c>
      <c r="C5545" s="25">
        <v>225750</v>
      </c>
      <c r="D5545" s="22" t="s">
        <v>8570</v>
      </c>
      <c r="E5545" s="22" t="s">
        <v>48</v>
      </c>
      <c r="F5545" s="23" t="str">
        <f>HYPERLINK("https://www.spark-marketing.ru/Card/Lot/73053727", "услуг по организации питания лиц, содержащихся в ИВС и специализированных помещениях содержания задержанных лиц (СПСЗЛ)")</f>
        <v>услуг по организации питания лиц, содержащихся в ИВС и специализированных помещениях содержания задержанных лиц (СПСЗЛ)</v>
      </c>
      <c r="G5545" s="22" t="s">
        <v>224</v>
      </c>
      <c r="H5545" s="22" t="s">
        <v>869</v>
      </c>
      <c r="I5545" s="26">
        <v>43704.549780092602</v>
      </c>
      <c r="J5545" s="23" t="str">
        <f>HYPERLINK("https://www.spark-marketing.ru/Card/Person/51950", "ООО ""ЗДОРОВОЕ ПИТАНИЕ""")</f>
        <v>ООО "ЗДОРОВОЕ ПИТАНИЕ"</v>
      </c>
      <c r="K5545" s="24" t="s">
        <v>2336</v>
      </c>
      <c r="L5545" s="22" t="s">
        <v>10</v>
      </c>
      <c r="M5545" s="28" t="s">
        <v>51</v>
      </c>
      <c r="N5545" s="28" t="s">
        <v>51</v>
      </c>
    </row>
    <row r="5546" spans="1:14" x14ac:dyDescent="0.15">
      <c r="A5546" s="23" t="str">
        <f>HYPERLINK("https://www.spark-marketing.ru/Card/Person/261903", "МО МВД РОССИИ ""СОВЕТСКИЙ""")</f>
        <v>МО МВД РОССИИ "СОВЕТСКИЙ"</v>
      </c>
      <c r="B5546" s="24" t="s">
        <v>8564</v>
      </c>
      <c r="C5546" s="25">
        <v>346320</v>
      </c>
      <c r="D5546" s="22" t="s">
        <v>8571</v>
      </c>
      <c r="E5546" s="22" t="s">
        <v>48</v>
      </c>
      <c r="F5546" s="23" t="str">
        <f>HYPERLINK("https://www.spark-marketing.ru/Card/Lot/73055643", "услуг по организации питания лиц, содержащихся в ИВС и специализированных помещениях содержания задержанных лиц (СПСЗЛ)")</f>
        <v>услуг по организации питания лиц, содержащихся в ИВС и специализированных помещениях содержания задержанных лиц (СПСЗЛ)</v>
      </c>
      <c r="G5546" s="22" t="s">
        <v>224</v>
      </c>
      <c r="H5546" s="22" t="s">
        <v>869</v>
      </c>
      <c r="I5546" s="26">
        <v>43704.552280092597</v>
      </c>
      <c r="J5546" s="23" t="str">
        <f>HYPERLINK("https://www.spark-marketing.ru/Card/Person/51950", "ООО ""ЗДОРОВОЕ ПИТАНИЕ""")</f>
        <v>ООО "ЗДОРОВОЕ ПИТАНИЕ"</v>
      </c>
      <c r="K5546" s="24" t="s">
        <v>2336</v>
      </c>
      <c r="L5546" s="22" t="s">
        <v>10</v>
      </c>
      <c r="M5546" s="28" t="s">
        <v>51</v>
      </c>
      <c r="N5546" s="28" t="s">
        <v>51</v>
      </c>
    </row>
    <row r="5547" spans="1:14" x14ac:dyDescent="0.15">
      <c r="A5547" s="23" t="str">
        <f>HYPERLINK("https://www.spark-marketing.ru/Card/Person/4372212", "ОМВД РОССИИ ПО ИКРЯНИНСКОМУ РАЙОНУ")</f>
        <v>ОМВД РОССИИ ПО ИКРЯНИНСКОМУ РАЙОНУ</v>
      </c>
      <c r="B5547" s="24" t="s">
        <v>8309</v>
      </c>
      <c r="C5547" s="25">
        <v>207518.99</v>
      </c>
      <c r="D5547" s="22" t="s">
        <v>8572</v>
      </c>
      <c r="E5547" s="22" t="s">
        <v>48</v>
      </c>
      <c r="F5547" s="23" t="str">
        <f>HYPERLINK("https://www.spark-marketing.ru/Card/Lot/73049767",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547" s="22" t="s">
        <v>141</v>
      </c>
      <c r="H5547" s="22" t="s">
        <v>8311</v>
      </c>
      <c r="I5547" s="26">
        <v>43704.545937499999</v>
      </c>
      <c r="J5547" s="28" t="s">
        <v>51</v>
      </c>
      <c r="K5547" s="28" t="s">
        <v>51</v>
      </c>
      <c r="L5547" s="28" t="s">
        <v>51</v>
      </c>
      <c r="M5547" s="28" t="s">
        <v>51</v>
      </c>
      <c r="N5547" s="28" t="s">
        <v>51</v>
      </c>
    </row>
    <row r="5548" spans="1:14" x14ac:dyDescent="0.15">
      <c r="A5548" s="23" t="str">
        <f>HYPERLINK("https://www.spark-marketing.ru/Card/Person/149859", "МО МВД РОССИИ ""КАРГАПОЛЬСКИЙ""")</f>
        <v>МО МВД РОССИИ "КАРГАПОЛЬСКИЙ"</v>
      </c>
      <c r="B5548" s="24" t="s">
        <v>8573</v>
      </c>
      <c r="C5548" s="25">
        <v>218861.76</v>
      </c>
      <c r="D5548" s="22" t="s">
        <v>8574</v>
      </c>
      <c r="E5548" s="22" t="s">
        <v>48</v>
      </c>
      <c r="F5548" s="23" t="str">
        <f>HYPERLINK("https://www.spark-marketing.ru/Card/Lot/73051399", "УСЛУГИ ПО ОБЕСПЕЧЕНИЮ ПИТАНИЯ ЛИЦ СОДЕРЖАЩИХСЯ В СПЕЦ. ПОМЕЩЕНИЯХ ЗАДЕРЖАННЫХ ЛИЦ, 624 усл. ед")</f>
        <v>УСЛУГИ ПО ОБЕСПЕЧЕНИЮ ПИТАНИЯ ЛИЦ СОДЕРЖАЩИХСЯ В СПЕЦ. ПОМЕЩЕНИЯХ ЗАДЕРЖАННЫХ ЛИЦ, 624 усл. ед</v>
      </c>
      <c r="G5548" s="22" t="s">
        <v>1972</v>
      </c>
      <c r="H5548" s="22" t="s">
        <v>8575</v>
      </c>
      <c r="I5548" s="26">
        <v>43704.561446759297</v>
      </c>
      <c r="J5548" s="28" t="s">
        <v>51</v>
      </c>
      <c r="K5548" s="28" t="s">
        <v>51</v>
      </c>
      <c r="L5548" s="28" t="s">
        <v>51</v>
      </c>
      <c r="M5548" s="28" t="s">
        <v>51</v>
      </c>
      <c r="N5548" s="28" t="s">
        <v>51</v>
      </c>
    </row>
    <row r="5549" spans="1:14" x14ac:dyDescent="0.15">
      <c r="A5549" s="23" t="str">
        <f>HYPERLINK("https://www.spark-marketing.ru/Card/Person/4724538", "АО РОССИЙСКИЙ КОНЦЕРН ПО ПРОИЗВОДСТВУ ЭЛЕКТРИЧЕСКОЙ И ТЕПЛОВОЙ ЭНЕРГИИ НА АТОМНЫХ СТАНЦИЯХ ФЛ НОВОВОРОНЕЖСКАЯ АТОМНАЯ СТАНЦИЯ")</f>
        <v>АО РОССИЙСКИЙ КОНЦЕРН ПО ПРОИЗВОДСТВУ ЭЛЕКТРИЧЕСКОЙ И ТЕПЛОВОЙ ЭНЕРГИИ НА АТОМНЫХ СТАНЦИЯХ ФЛ НОВОВОРОНЕЖСКАЯ АТОМНАЯ СТАНЦИЯ</v>
      </c>
      <c r="B5549" s="28" t="s">
        <v>51</v>
      </c>
      <c r="C5549" s="25">
        <v>2113770</v>
      </c>
      <c r="D5549" s="22" t="s">
        <v>8576</v>
      </c>
      <c r="E5549" s="22" t="s">
        <v>52</v>
      </c>
      <c r="F5549" s="23" t="str">
        <f>HYPERLINK("https://www.spark-marketing.ru/Card/Lot/73054040", "ЕИС №31908239425 Право заключения договора на Оказание услуг по организации питания участников мероприятий, проживающих в санатории-профилактории «Энергетик»")</f>
        <v>ЕИС №31908239425 Право заключения договора на Оказание услуг по организации питания участников мероприятий, проживающих в санатории-профилактории «Энергетик»</v>
      </c>
      <c r="G5549" s="22" t="s">
        <v>51</v>
      </c>
      <c r="H5549" s="22" t="s">
        <v>51</v>
      </c>
      <c r="I5549" s="26">
        <v>43704.549212963</v>
      </c>
      <c r="J5549" s="28" t="s">
        <v>51</v>
      </c>
      <c r="K5549" s="28" t="s">
        <v>51</v>
      </c>
      <c r="L5549" s="28" t="s">
        <v>51</v>
      </c>
      <c r="M5549" s="28" t="s">
        <v>51</v>
      </c>
      <c r="N5549" s="28" t="s">
        <v>51</v>
      </c>
    </row>
    <row r="5550" spans="1:14" x14ac:dyDescent="0.15">
      <c r="A5550" s="23" t="str">
        <f>HYPERLINK("https://www.spark-marketing.ru/Card/Person/261831", "МО МВД РОССИИ ""ВЯТСКОПОЛЯНСКИЙ""")</f>
        <v>МО МВД РОССИИ "ВЯТСКОПОЛЯНСКИЙ"</v>
      </c>
      <c r="B5550" s="24" t="s">
        <v>2333</v>
      </c>
      <c r="C5550" s="25">
        <v>989577.6</v>
      </c>
      <c r="D5550" s="22" t="s">
        <v>8577</v>
      </c>
      <c r="E5550" s="22" t="s">
        <v>48</v>
      </c>
      <c r="F5550" s="23" t="str">
        <f>HYPERLINK("https://www.spark-marketing.ru/Card/Lot/73055267", "услуги по организации ежедневного трехразового горячего питания лиц, содержащихся в изоляторе временного содержания и специальных помещениях для содержания задержанных лиц: мужчин, женщин, несовершеннолетних для обеспечения государственных нужд МО МВ...")</f>
        <v>услуги по организации ежедневного трехразового горячего питания лиц, содержащихся в изоляторе временного содержания и специальных помещениях для содержания задержанных лиц: мужчин, женщин, несовершеннолетних для обеспечения государственных нужд МО МВ...</v>
      </c>
      <c r="G5550" s="22" t="s">
        <v>224</v>
      </c>
      <c r="H5550" s="22" t="s">
        <v>224</v>
      </c>
      <c r="I5550" s="26">
        <v>43704.531076388899</v>
      </c>
      <c r="J5550" s="23" t="str">
        <f>HYPERLINK("https://www.spark-marketing.ru/Card/Person/51950", "ООО ""ЗДОРОВОЕ ПИТАНИЕ""")</f>
        <v>ООО "ЗДОРОВОЕ ПИТАНИЕ"</v>
      </c>
      <c r="K5550" s="24" t="s">
        <v>2336</v>
      </c>
      <c r="L5550" s="22" t="s">
        <v>10</v>
      </c>
      <c r="M5550" s="28" t="s">
        <v>51</v>
      </c>
      <c r="N5550" s="28" t="s">
        <v>51</v>
      </c>
    </row>
    <row r="5551" spans="1:14" x14ac:dyDescent="0.15">
      <c r="A5551" s="23" t="str">
        <f>HYPERLINK("https://www.spark-marketing.ru/Card/Person/149859", "МО МВД РОССИИ ""КАРГАПОЛЬСКИЙ""")</f>
        <v>МО МВД РОССИИ "КАРГАПОЛЬСКИЙ"</v>
      </c>
      <c r="B5551" s="24" t="s">
        <v>8573</v>
      </c>
      <c r="C5551" s="25">
        <v>69950.25</v>
      </c>
      <c r="D5551" s="22" t="s">
        <v>8578</v>
      </c>
      <c r="E5551" s="22" t="s">
        <v>48</v>
      </c>
      <c r="F5551" s="23" t="str">
        <f>HYPERLINK("https://www.spark-marketing.ru/Card/Lot/73051498", "УСЛУГИ ПО ОБЕСПЕЧЕНИЮ ПИТАНИЯ ЛИЦ СОДЕРЖАЩИХСЯ В СПЕЦ. ПОМЕЩЕНИЯХ ЗАДЕРЖАННЫХ ЛИЦ, 215 усл. ед")</f>
        <v>УСЛУГИ ПО ОБЕСПЕЧЕНИЮ ПИТАНИЯ ЛИЦ СОДЕРЖАЩИХСЯ В СПЕЦ. ПОМЕЩЕНИЯХ ЗАДЕРЖАННЫХ ЛИЦ, 215 усл. ед</v>
      </c>
      <c r="G5551" s="22" t="s">
        <v>1972</v>
      </c>
      <c r="H5551" s="22" t="s">
        <v>8575</v>
      </c>
      <c r="I5551" s="26">
        <v>43704.567962963003</v>
      </c>
      <c r="J5551" s="28" t="s">
        <v>51</v>
      </c>
      <c r="K5551" s="28" t="s">
        <v>51</v>
      </c>
      <c r="L5551" s="28" t="s">
        <v>51</v>
      </c>
      <c r="M5551" s="28" t="s">
        <v>51</v>
      </c>
      <c r="N5551" s="28" t="s">
        <v>51</v>
      </c>
    </row>
    <row r="5552" spans="1:14" x14ac:dyDescent="0.15">
      <c r="A5552" s="23" t="str">
        <f>HYPERLINK("https://www.spark-marketing.ru/Card/Person/261831", "МО МВД РОССИИ ""ВЯТСКОПОЛЯНСКИЙ""")</f>
        <v>МО МВД РОССИИ "ВЯТСКОПОЛЯНСКИЙ"</v>
      </c>
      <c r="B5552" s="24" t="s">
        <v>2333</v>
      </c>
      <c r="C5552" s="25">
        <v>989520</v>
      </c>
      <c r="D5552" s="22" t="s">
        <v>8579</v>
      </c>
      <c r="E5552" s="22" t="s">
        <v>48</v>
      </c>
      <c r="F5552" s="23" t="str">
        <f>HYPERLINK("https://www.spark-marketing.ru/Card/Lot/73055281", "услуги по организации ежедневного трехразового горячего питания лиц, содержащихся в изоляторе временного содержания и специальных помещениях для содержания задержанных лиц: мужчин, женщин, несовершеннолетних для обеспечения государственных нужд МО МВ...")</f>
        <v>услуги по организации ежедневного трехразового горячего питания лиц, содержащихся в изоляторе временного содержания и специальных помещениях для содержания задержанных лиц: мужчин, женщин, несовершеннолетних для обеспечения государственных нужд МО МВ...</v>
      </c>
      <c r="G5552" s="22" t="s">
        <v>224</v>
      </c>
      <c r="H5552" s="22" t="s">
        <v>224</v>
      </c>
      <c r="I5552" s="26">
        <v>43704.535115740699</v>
      </c>
      <c r="J5552" s="23" t="str">
        <f>HYPERLINK("https://www.spark-marketing.ru/Card/Person/51950", "ООО ""ЗДОРОВОЕ ПИТАНИЕ""")</f>
        <v>ООО "ЗДОРОВОЕ ПИТАНИЕ"</v>
      </c>
      <c r="K5552" s="24" t="s">
        <v>2336</v>
      </c>
      <c r="L5552" s="22" t="s">
        <v>10</v>
      </c>
      <c r="M5552" s="28" t="s">
        <v>51</v>
      </c>
      <c r="N5552" s="28" t="s">
        <v>51</v>
      </c>
    </row>
    <row r="5553" spans="1:14" x14ac:dyDescent="0.15">
      <c r="A5553" s="23" t="str">
        <f>HYPERLINK("https://www.spark-marketing.ru/Card/Person/261903", "МО МВД РОССИИ ""СОВЕТСКИЙ""")</f>
        <v>МО МВД РОССИИ "СОВЕТСКИЙ"</v>
      </c>
      <c r="B5553" s="24" t="s">
        <v>8564</v>
      </c>
      <c r="C5553" s="25">
        <v>345800</v>
      </c>
      <c r="D5553" s="22" t="s">
        <v>8580</v>
      </c>
      <c r="E5553" s="22" t="s">
        <v>48</v>
      </c>
      <c r="F5553" s="23" t="str">
        <f>HYPERLINK("https://www.spark-marketing.ru/Card/Lot/73055648", "услуг по организации питания лиц, содержащихся в ИВС и специализированных помещениях содержания задержанных лиц (СПСЗЛ)")</f>
        <v>услуг по организации питания лиц, содержащихся в ИВС и специализированных помещениях содержания задержанных лиц (СПСЗЛ)</v>
      </c>
      <c r="G5553" s="22" t="s">
        <v>224</v>
      </c>
      <c r="H5553" s="22" t="s">
        <v>8566</v>
      </c>
      <c r="I5553" s="26">
        <v>43704.555347222202</v>
      </c>
      <c r="J5553" s="23" t="str">
        <f>HYPERLINK("https://www.spark-marketing.ru/Card/Person/51950", "ООО ""ЗДОРОВОЕ ПИТАНИЕ""")</f>
        <v>ООО "ЗДОРОВОЕ ПИТАНИЕ"</v>
      </c>
      <c r="K5553" s="24" t="s">
        <v>2336</v>
      </c>
      <c r="L5553" s="22" t="s">
        <v>10</v>
      </c>
      <c r="M5553" s="28" t="s">
        <v>51</v>
      </c>
      <c r="N5553" s="28" t="s">
        <v>51</v>
      </c>
    </row>
    <row r="5554" spans="1:14" x14ac:dyDescent="0.15">
      <c r="A5554" s="23" t="str">
        <f>HYPERLINK("https://www.spark-marketing.ru/Card/Person/737290", "ГКУ «ЦБЗ ПРИ МИНЗДРАВЕ КАРЕЛИИ»")</f>
        <v>ГКУ «ЦБЗ ПРИ МИНЗДРАВЕ КАРЕЛИИ»</v>
      </c>
      <c r="B5554" s="24" t="s">
        <v>312</v>
      </c>
      <c r="C5554" s="25">
        <v>63410</v>
      </c>
      <c r="D5554" s="22" t="s">
        <v>8581</v>
      </c>
      <c r="E5554" s="22" t="s">
        <v>52</v>
      </c>
      <c r="F5554" s="23" t="str">
        <f>HYPERLINK("https://www.spark-marketing.ru/Card/Lot/73052583", "Поставка лекарственных препаратов Тиоридазин,  Зопиклон,  Цетиризин 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препараты,...")</f>
        <v>Поставка лекарственных препаратов Тиоридазин,  Зопиклон,  Цетиризин 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препараты,...</v>
      </c>
      <c r="G5554" s="22" t="s">
        <v>59</v>
      </c>
      <c r="H5554" s="22" t="s">
        <v>314</v>
      </c>
      <c r="I5554" s="26">
        <v>43704.387233796297</v>
      </c>
      <c r="J5554" s="28" t="s">
        <v>51</v>
      </c>
      <c r="K5554" s="28" t="s">
        <v>51</v>
      </c>
      <c r="L5554" s="28" t="s">
        <v>51</v>
      </c>
      <c r="M5554" s="28" t="s">
        <v>51</v>
      </c>
      <c r="N5554" s="28" t="s">
        <v>51</v>
      </c>
    </row>
    <row r="5555" spans="1:14" x14ac:dyDescent="0.15">
      <c r="A5555" s="23" t="str">
        <f>HYPERLINK("https://www.spark-marketing.ru/Card/Person/737290", "ГКУ «ЦБЗ ПРИ МИНЗДРАВЕ КАРЕЛИИ»")</f>
        <v>ГКУ «ЦБЗ ПРИ МИНЗДРАВЕ КАРЕЛИИ»</v>
      </c>
      <c r="B5555" s="24" t="s">
        <v>312</v>
      </c>
      <c r="C5555" s="25">
        <v>71220.600000000006</v>
      </c>
      <c r="D5555" s="22" t="s">
        <v>8582</v>
      </c>
      <c r="E5555" s="22" t="s">
        <v>52</v>
      </c>
      <c r="F5555" s="23" t="str">
        <f>HYPERLINK("https://www.spark-marketing.ru/Card/Lot/73052586", "Поставка лекарственного препарата Топирамат,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...")</f>
        <v>Поставка лекарственного препарата Топирамат,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...</v>
      </c>
      <c r="G5555" s="22" t="s">
        <v>59</v>
      </c>
      <c r="H5555" s="22" t="s">
        <v>314</v>
      </c>
      <c r="I5555" s="26">
        <v>43704.419664351903</v>
      </c>
      <c r="J5555" s="28" t="s">
        <v>51</v>
      </c>
      <c r="K5555" s="28" t="s">
        <v>51</v>
      </c>
      <c r="L5555" s="28" t="s">
        <v>51</v>
      </c>
      <c r="M5555" s="28" t="s">
        <v>51</v>
      </c>
      <c r="N5555" s="28" t="s">
        <v>51</v>
      </c>
    </row>
    <row r="5556" spans="1:14" x14ac:dyDescent="0.15">
      <c r="A5556" s="23" t="str">
        <f>HYPERLINK("https://www.spark-marketing.ru/Card/Person/264094", "ОТДЕЛ МВД РОССИИ ПО ТАЛОВСКОМУ РАЙОНУ")</f>
        <v>ОТДЕЛ МВД РОССИИ ПО ТАЛОВСКОМУ РАЙОНУ</v>
      </c>
      <c r="B5556" s="24" t="s">
        <v>4554</v>
      </c>
      <c r="C5556" s="25">
        <v>188190</v>
      </c>
      <c r="D5556" s="22" t="s">
        <v>8583</v>
      </c>
      <c r="E5556" s="22" t="s">
        <v>48</v>
      </c>
      <c r="F5556" s="23" t="str">
        <f>HYPERLINK("https://www.spark-marketing.ru/Card/Lot/73049595", "Услуги по питанию для лиц, подозреваемых и обвиняемых в совершении преступлений, и лиц, подвергнутых административному аресту, содержащихся в ИВС")</f>
        <v>Услуги по питанию для лиц, подозреваемых и обвиняемых в совершении преступлений, и лиц, подвергнутых административному аресту, содержащихся в ИВС</v>
      </c>
      <c r="G5556" s="22" t="s">
        <v>82</v>
      </c>
      <c r="H5556" s="22" t="s">
        <v>4556</v>
      </c>
      <c r="I5556" s="26">
        <v>43704.535659722198</v>
      </c>
      <c r="J5556" s="28" t="s">
        <v>51</v>
      </c>
      <c r="K5556" s="28" t="s">
        <v>51</v>
      </c>
      <c r="L5556" s="28" t="s">
        <v>51</v>
      </c>
      <c r="M5556" s="28" t="s">
        <v>51</v>
      </c>
      <c r="N5556" s="28" t="s">
        <v>51</v>
      </c>
    </row>
    <row r="5557" spans="1:14" x14ac:dyDescent="0.15">
      <c r="A5557" s="23" t="str">
        <f>HYPERLINK("https://www.spark-marketing.ru/Card/Person/1018690", "ГКОУ РА ""АРШИДНСИЗ""")</f>
        <v>ГКОУ РА "АРШИДНСИЗ"</v>
      </c>
      <c r="B5557" s="24" t="s">
        <v>8584</v>
      </c>
      <c r="C5557" s="25">
        <v>1298720</v>
      </c>
      <c r="D5557" s="22" t="s">
        <v>8585</v>
      </c>
      <c r="E5557" s="22" t="s">
        <v>48</v>
      </c>
      <c r="F5557" s="23" t="str">
        <f>HYPERLINK("https://www.spark-marketing.ru/Card/Lot/73051676", "Оказание услуг по организации питания обучающихся Государственного казенного общеобразовательного учреждения Республики Адыгея ""Адыгейская республиканская школа-интернат для детей с нарушениями слуха и зрения""")</f>
        <v>Оказание услуг по организации питания обучающихся Государственного казенного общеобразовательного учреждения Республики Адыгея "Адыгейская республиканская школа-интернат для детей с нарушениями слуха и зрения"</v>
      </c>
      <c r="G5557" s="22" t="s">
        <v>925</v>
      </c>
      <c r="H5557" s="22" t="s">
        <v>926</v>
      </c>
      <c r="I5557" s="26">
        <v>43704.4757986111</v>
      </c>
      <c r="J5557" s="28" t="s">
        <v>51</v>
      </c>
      <c r="K5557" s="28" t="s">
        <v>51</v>
      </c>
      <c r="L5557" s="28" t="s">
        <v>51</v>
      </c>
      <c r="M5557" s="28" t="s">
        <v>51</v>
      </c>
      <c r="N5557" s="28" t="s">
        <v>51</v>
      </c>
    </row>
    <row r="5558" spans="1:14" hidden="1" outlineLevel="1" x14ac:dyDescent="0.2">
      <c r="A5558" s="23" t="str">
        <f>HYPERLINK("https://www.spark-marketing.ru/Card/Person/1018690", "ГКОУ РА ""АРШИДНСИЗ""")</f>
        <v>ГКОУ РА "АРШИДНСИЗ"</v>
      </c>
      <c r="B5558" s="24" t="s">
        <v>8584</v>
      </c>
      <c r="C5558" s="25">
        <v>1298720</v>
      </c>
      <c r="D5558" s="22" t="s">
        <v>8585</v>
      </c>
      <c r="E5558" s="22" t="s">
        <v>48</v>
      </c>
      <c r="F5558" s="23" t="str">
        <f>HYPERLINK("https://www.spark-marketing.ru/Card/Lot/73051676", "Оказание услуг по организации питания обучающихся Государственного казенного общеобразовательного учреждения Республики Адыгея ""Адыгейская республиканская школа-интернат для детей с нарушениями слуха и зрения""")</f>
        <v>Оказание услуг по организации питания обучающихся Государственного казенного общеобразовательного учреждения Республики Адыгея "Адыгейская республиканская школа-интернат для детей с нарушениями слуха и зрения"</v>
      </c>
      <c r="G5558" s="22" t="s">
        <v>925</v>
      </c>
      <c r="H5558" s="22" t="s">
        <v>926</v>
      </c>
      <c r="I5558" s="26">
        <v>43704.4757986111</v>
      </c>
      <c r="J5558" s="23" t="str">
        <f>HYPERLINK("https://www.spark-marketing.ru/Card/Person/941707", "Христенко Людмила Владимировна")</f>
        <v>Христенко Людмила Владимировна</v>
      </c>
      <c r="K5558" s="24" t="s">
        <v>8586</v>
      </c>
      <c r="L5558" s="28" t="s">
        <v>51</v>
      </c>
      <c r="M5558" s="25">
        <v>1155860.8</v>
      </c>
      <c r="N5558" s="27">
        <v>0.11</v>
      </c>
    </row>
    <row r="5559" spans="1:14" ht="12.75" hidden="1" outlineLevel="1" x14ac:dyDescent="0.2">
      <c r="A5559" s="23" t="str">
        <f>HYPERLINK("https://www.spark-marketing.ru/Card/Person/1018690", "ГКОУ РА ""АРШИДНСИЗ""")</f>
        <v>ГКОУ РА "АРШИДНСИЗ"</v>
      </c>
      <c r="B5559" s="24" t="s">
        <v>8584</v>
      </c>
      <c r="C5559" s="25">
        <v>1298720</v>
      </c>
      <c r="D5559" s="22" t="s">
        <v>8585</v>
      </c>
      <c r="E5559" s="22" t="s">
        <v>48</v>
      </c>
      <c r="F5559" s="23" t="str">
        <f>HYPERLINK("https://www.spark-marketing.ru/Card/Lot/73051676", "Оказание услуг по организации питания обучающихся Государственного казенного общеобразовательного учреждения Республики Адыгея ""Адыгейская республиканская школа-интернат для детей с нарушениями слуха и зрения""")</f>
        <v>Оказание услуг по организации питания обучающихся Государственного казенного общеобразовательного учреждения Республики Адыгея "Адыгейская республиканская школа-интернат для детей с нарушениями слуха и зрения"</v>
      </c>
      <c r="G5559" s="22" t="s">
        <v>925</v>
      </c>
      <c r="H5559" s="22" t="s">
        <v>926</v>
      </c>
      <c r="I5559" s="26">
        <v>43704.4757986111</v>
      </c>
      <c r="J5559" s="23" t="str">
        <f>HYPERLINK("https://www.spark-marketing.ru/Card/Person/287556", "ООО ""ХОДЗЬ""")</f>
        <v>ООО "ХОДЗЬ"</v>
      </c>
      <c r="K5559" s="24" t="s">
        <v>7428</v>
      </c>
      <c r="L5559" s="22" t="s">
        <v>10</v>
      </c>
      <c r="M5559" s="25">
        <v>1090924.8</v>
      </c>
      <c r="N5559" s="27">
        <v>0.16</v>
      </c>
    </row>
    <row r="5560" spans="1:14" x14ac:dyDescent="0.15">
      <c r="A5560" s="23" t="str">
        <f>HYPERLINK("https://www.spark-marketing.ru/Card/Person/737290", "ГКУ «ЦБЗ ПРИ МИНЗДРАВЕ КАРЕЛИИ»")</f>
        <v>ГКУ «ЦБЗ ПРИ МИНЗДРАВЕ КАРЕЛИИ»</v>
      </c>
      <c r="B5560" s="24" t="s">
        <v>312</v>
      </c>
      <c r="C5560" s="25">
        <v>92265.57</v>
      </c>
      <c r="D5560" s="22" t="s">
        <v>8587</v>
      </c>
      <c r="E5560" s="22" t="s">
        <v>52</v>
      </c>
      <c r="F5560" s="23" t="str">
        <f>HYPERLINK("https://www.spark-marketing.ru/Card/Lot/73053202", "Поставка лекарственного препарата Метоксиполиэтиленгликоль-эпоэтин бета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меди...")</f>
        <v>Поставка лекарственного препарата Метоксиполиэтиленгликоль-эпоэтин бета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меди...</v>
      </c>
      <c r="G5560" s="22" t="s">
        <v>59</v>
      </c>
      <c r="H5560" s="22" t="s">
        <v>314</v>
      </c>
      <c r="I5560" s="26">
        <v>43704.411898148202</v>
      </c>
      <c r="J5560" s="23" t="str">
        <f>HYPERLINK("https://www.spark-marketing.ru/Card/Person/5950409", "ООО ""БИАНТ""")</f>
        <v>ООО "БИАНТ"</v>
      </c>
      <c r="K5560" s="24" t="s">
        <v>3870</v>
      </c>
      <c r="L5560" s="22" t="s">
        <v>10</v>
      </c>
      <c r="M5560" s="28" t="s">
        <v>51</v>
      </c>
      <c r="N5560" s="28" t="s">
        <v>51</v>
      </c>
    </row>
    <row r="5561" spans="1:14" x14ac:dyDescent="0.15">
      <c r="A5561" s="23" t="str">
        <f>HYPERLINK("https://www.spark-marketing.ru/Card/Person/352177", "МО МВД РОССИИ ""ОСТАШКОВСКИЙ""")</f>
        <v>МО МВД РОССИИ "ОСТАШКОВСКИЙ"</v>
      </c>
      <c r="B5561" s="24" t="s">
        <v>8539</v>
      </c>
      <c r="C5561" s="25">
        <v>924000</v>
      </c>
      <c r="D5561" s="22" t="s">
        <v>8588</v>
      </c>
      <c r="E5561" s="22" t="s">
        <v>48</v>
      </c>
      <c r="F5561" s="23" t="str">
        <f>HYPERLINK("https://www.spark-marketing.ru/Card/Lot/73053319", "оказание услуг по организации общественного питания лиц, административно-задержанных и содержащихся в ИВС МО МВД России ""Осташковский"" на 2020 год")</f>
        <v>оказание услуг по организации общественного питания лиц, административно-задержанных и содержащихся в ИВС МО МВД России "Осташковский" на 2020 год</v>
      </c>
      <c r="G5561" s="22" t="s">
        <v>137</v>
      </c>
      <c r="H5561" s="22" t="s">
        <v>8541</v>
      </c>
      <c r="I5561" s="26">
        <v>43704.497523148202</v>
      </c>
      <c r="J5561" s="23" t="str">
        <f>HYPERLINK("https://www.spark-marketing.ru/Card/Person/1187399", "ООО ""СИТИ""")</f>
        <v>ООО "СИТИ"</v>
      </c>
      <c r="K5561" s="24" t="s">
        <v>8542</v>
      </c>
      <c r="L5561" s="22" t="s">
        <v>10</v>
      </c>
      <c r="M5561" s="28" t="s">
        <v>51</v>
      </c>
      <c r="N5561" s="28" t="s">
        <v>51</v>
      </c>
    </row>
    <row r="5562" spans="1:14" x14ac:dyDescent="0.15">
      <c r="A5562" s="23" t="str">
        <f>HYPERLINK("https://www.spark-marketing.ru/Card/Person/1067368", "МОТД МВД РОССИИ ""КИРОВГРАДСКОЕ""")</f>
        <v>МОТД МВД РОССИИ "КИРОВГРАДСКОЕ"</v>
      </c>
      <c r="B5562" s="24" t="s">
        <v>8589</v>
      </c>
      <c r="C5562" s="25">
        <v>153887.4</v>
      </c>
      <c r="D5562" s="22" t="s">
        <v>8590</v>
      </c>
      <c r="E5562" s="22" t="s">
        <v>48</v>
      </c>
      <c r="F5562" s="23" t="str">
        <f>HYPERLINK("https://www.spark-marketing.ru/Card/Lot/73049580", "Оказание услуг по организации питания (приготовлению и доставке) для ИВС, 769 усл. ед")</f>
        <v>Оказание услуг по организации питания (приготовлению и доставке) для ИВС, 769 усл. ед</v>
      </c>
      <c r="G5562" s="22" t="s">
        <v>174</v>
      </c>
      <c r="H5562" s="22" t="s">
        <v>8591</v>
      </c>
      <c r="I5562" s="26">
        <v>43704.532581018502</v>
      </c>
      <c r="J5562" s="28" t="s">
        <v>51</v>
      </c>
      <c r="K5562" s="28" t="s">
        <v>51</v>
      </c>
      <c r="L5562" s="28" t="s">
        <v>51</v>
      </c>
      <c r="M5562" s="28" t="s">
        <v>51</v>
      </c>
      <c r="N5562" s="28" t="s">
        <v>51</v>
      </c>
    </row>
    <row r="5563" spans="1:14" x14ac:dyDescent="0.15">
      <c r="A5563" s="23" t="str">
        <f>HYPERLINK("https://www.spark-marketing.ru/Card/Person/1067593", "МЕЖМУНИЦИПАЛЬНЫЙ ОТДЕЛ МВД РОССИИ ""ХАБЕЗСКИЙ""")</f>
        <v>МЕЖМУНИЦИПАЛЬНЫЙ ОТДЕЛ МВД РОССИИ "ХАБЕЗСКИЙ"</v>
      </c>
      <c r="B5563" s="24" t="s">
        <v>8519</v>
      </c>
      <c r="C5563" s="25">
        <v>80000</v>
      </c>
      <c r="D5563" s="22" t="s">
        <v>8592</v>
      </c>
      <c r="E5563" s="22" t="s">
        <v>48</v>
      </c>
      <c r="F5563" s="23" t="str">
        <f>HYPERLINK("https://www.spark-marketing.ru/Card/Lot/73048502",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5563" s="22" t="s">
        <v>7976</v>
      </c>
      <c r="H5563" s="22" t="s">
        <v>8521</v>
      </c>
      <c r="I5563" s="26">
        <v>43704.509409722203</v>
      </c>
      <c r="J5563" s="28" t="s">
        <v>51</v>
      </c>
      <c r="K5563" s="28" t="s">
        <v>51</v>
      </c>
      <c r="L5563" s="28" t="s">
        <v>51</v>
      </c>
      <c r="M5563" s="28" t="s">
        <v>51</v>
      </c>
      <c r="N5563" s="28" t="s">
        <v>51</v>
      </c>
    </row>
    <row r="5564" spans="1:14" x14ac:dyDescent="0.15">
      <c r="A5564" s="23" t="str">
        <f>HYPERLINK("https://www.spark-marketing.ru/Card/Person/535146", "ОТДЕЛ МВД РОССИИ ПО МАРКСОВСКОМУ РАЙОНУ САРАТОВСКОЙ ОБЛАСТИ")</f>
        <v>ОТДЕЛ МВД РОССИИ ПО МАРКСОВСКОМУ РАЙОНУ САРАТОВСКОЙ ОБЛАСТИ</v>
      </c>
      <c r="B5564" s="24" t="s">
        <v>8593</v>
      </c>
      <c r="C5564" s="25">
        <v>100000</v>
      </c>
      <c r="D5564" s="22" t="s">
        <v>8594</v>
      </c>
      <c r="E5564" s="22" t="s">
        <v>48</v>
      </c>
      <c r="F5564" s="23" t="str">
        <f>HYPERLINK("https://www.spark-marketing.ru/Card/Lot/73055650", "Оказание услуг по поставке горячего питания")</f>
        <v>Оказание услуг по поставке горячего питания</v>
      </c>
      <c r="G5564" s="22" t="s">
        <v>351</v>
      </c>
      <c r="H5564" s="22" t="s">
        <v>8595</v>
      </c>
      <c r="I5564" s="26">
        <v>43704.465949074103</v>
      </c>
      <c r="J5564" s="28" t="s">
        <v>51</v>
      </c>
      <c r="K5564" s="28" t="s">
        <v>51</v>
      </c>
      <c r="L5564" s="28" t="s">
        <v>51</v>
      </c>
      <c r="M5564" s="28" t="s">
        <v>51</v>
      </c>
      <c r="N5564" s="28" t="s">
        <v>51</v>
      </c>
    </row>
    <row r="5565" spans="1:14" ht="12.75" hidden="1" outlineLevel="1" x14ac:dyDescent="0.2">
      <c r="A5565" s="23" t="str">
        <f>HYPERLINK("https://www.spark-marketing.ru/Card/Person/535146", "ОТДЕЛ МВД РОССИИ ПО МАРКСОВСКОМУ РАЙОНУ САРАТОВСКОЙ ОБЛАСТИ")</f>
        <v>ОТДЕЛ МВД РОССИИ ПО МАРКСОВСКОМУ РАЙОНУ САРАТОВСКОЙ ОБЛАСТИ</v>
      </c>
      <c r="B5565" s="24" t="s">
        <v>8593</v>
      </c>
      <c r="C5565" s="25">
        <v>100000</v>
      </c>
      <c r="D5565" s="22" t="s">
        <v>8594</v>
      </c>
      <c r="E5565" s="22" t="s">
        <v>48</v>
      </c>
      <c r="F5565" s="23" t="str">
        <f>HYPERLINK("https://www.spark-marketing.ru/Card/Lot/73055650", "Оказание услуг по поставке горячего питания")</f>
        <v>Оказание услуг по поставке горячего питания</v>
      </c>
      <c r="G5565" s="22" t="s">
        <v>351</v>
      </c>
      <c r="H5565" s="22" t="s">
        <v>8595</v>
      </c>
      <c r="I5565" s="26">
        <v>43704.465949074103</v>
      </c>
      <c r="J5565" s="23" t="str">
        <f>HYPERLINK("https://www.spark-marketing.ru/Card/Person/6267121", "ШМЕЛЕВА ЮЛИЯ АЛЕКСАНДРОВНА")</f>
        <v>ШМЕЛЕВА ЮЛИЯ АЛЕКСАНДРОВНА</v>
      </c>
      <c r="K5565" s="24" t="s">
        <v>8596</v>
      </c>
      <c r="L5565" s="22" t="s">
        <v>10</v>
      </c>
      <c r="M5565" s="25">
        <v>99200</v>
      </c>
      <c r="N5565" s="27">
        <v>8.0000000000000002E-3</v>
      </c>
    </row>
    <row r="5566" spans="1:14" hidden="1" outlineLevel="1" x14ac:dyDescent="0.2">
      <c r="A5566" s="23" t="str">
        <f>HYPERLINK("https://www.spark-marketing.ru/Card/Person/535146", "ОТДЕЛ МВД РОССИИ ПО МАРКСОВСКОМУ РАЙОНУ САРАТОВСКОЙ ОБЛАСТИ")</f>
        <v>ОТДЕЛ МВД РОССИИ ПО МАРКСОВСКОМУ РАЙОНУ САРАТОВСКОЙ ОБЛАСТИ</v>
      </c>
      <c r="B5566" s="24" t="s">
        <v>8593</v>
      </c>
      <c r="C5566" s="25">
        <v>100000</v>
      </c>
      <c r="D5566" s="22" t="s">
        <v>8594</v>
      </c>
      <c r="E5566" s="22" t="s">
        <v>48</v>
      </c>
      <c r="F5566" s="23" t="str">
        <f>HYPERLINK("https://www.spark-marketing.ru/Card/Lot/73055650", "Оказание услуг по поставке горячего питания")</f>
        <v>Оказание услуг по поставке горячего питания</v>
      </c>
      <c r="G5566" s="22" t="s">
        <v>351</v>
      </c>
      <c r="H5566" s="22" t="s">
        <v>8595</v>
      </c>
      <c r="I5566" s="26">
        <v>43704.465949074103</v>
      </c>
      <c r="J5566" s="23" t="str">
        <f>HYPERLINK("https://www.spark-marketing.ru/Card/Person/5827602", "ПК ""НОВЫЙ ПУТЬ""")</f>
        <v>ПК "НОВЫЙ ПУТЬ"</v>
      </c>
      <c r="K5566" s="24" t="s">
        <v>8597</v>
      </c>
      <c r="L5566" s="28" t="s">
        <v>51</v>
      </c>
      <c r="M5566" s="25">
        <v>99944</v>
      </c>
      <c r="N5566" s="27">
        <v>5.5999999999999995E-4</v>
      </c>
    </row>
    <row r="5567" spans="1:14" hidden="1" outlineLevel="1" x14ac:dyDescent="0.2">
      <c r="A5567" s="23" t="str">
        <f>HYPERLINK("https://www.spark-marketing.ru/Card/Person/535146", "ОТДЕЛ МВД РОССИИ ПО МАРКСОВСКОМУ РАЙОНУ САРАТОВСКОЙ ОБЛАСТИ")</f>
        <v>ОТДЕЛ МВД РОССИИ ПО МАРКСОВСКОМУ РАЙОНУ САРАТОВСКОЙ ОБЛАСТИ</v>
      </c>
      <c r="B5567" s="24" t="s">
        <v>8593</v>
      </c>
      <c r="C5567" s="25">
        <v>100000</v>
      </c>
      <c r="D5567" s="22" t="s">
        <v>8594</v>
      </c>
      <c r="E5567" s="22" t="s">
        <v>48</v>
      </c>
      <c r="F5567" s="23" t="str">
        <f>HYPERLINK("https://www.spark-marketing.ru/Card/Lot/73055650", "Оказание услуг по поставке горячего питания")</f>
        <v>Оказание услуг по поставке горячего питания</v>
      </c>
      <c r="G5567" s="22" t="s">
        <v>351</v>
      </c>
      <c r="H5567" s="22" t="s">
        <v>8595</v>
      </c>
      <c r="I5567" s="26">
        <v>43704.465949074103</v>
      </c>
      <c r="J5567" s="23" t="str">
        <f>HYPERLINK("https://www.spark-marketing.ru/Card/Person/798091", "ООО ""КОМБИНАТ""")</f>
        <v>ООО "КОМБИНАТ"</v>
      </c>
      <c r="K5567" s="24" t="s">
        <v>8598</v>
      </c>
      <c r="L5567" s="28" t="s">
        <v>51</v>
      </c>
      <c r="M5567" s="25">
        <v>100000</v>
      </c>
      <c r="N5567" s="27">
        <v>0</v>
      </c>
    </row>
    <row r="5568" spans="1:14" x14ac:dyDescent="0.15">
      <c r="A5568" s="23" t="str">
        <f>HYPERLINK("https://www.spark-marketing.ru/Card/Person/264094", "ОТДЕЛ МВД РОССИИ ПО ТАЛОВСКОМУ РАЙОНУ")</f>
        <v>ОТДЕЛ МВД РОССИИ ПО ТАЛОВСКОМУ РАЙОНУ</v>
      </c>
      <c r="B5568" s="24" t="s">
        <v>4554</v>
      </c>
      <c r="C5568" s="25">
        <v>188190</v>
      </c>
      <c r="D5568" s="22" t="s">
        <v>8599</v>
      </c>
      <c r="E5568" s="22" t="s">
        <v>48</v>
      </c>
      <c r="F5568" s="23" t="str">
        <f>HYPERLINK("https://www.spark-marketing.ru/Card/Lot/73049582", "Услуги по питанию для лиц, подозреваемых и обвиняемых в совершении преступлений, и лиц, подвергнутых административному аресту, содержащихся в ИВС")</f>
        <v>Услуги по питанию для лиц, подозреваемых и обвиняемых в совершении преступлений, и лиц, подвергнутых административному аресту, содержащихся в ИВС</v>
      </c>
      <c r="G5568" s="22" t="s">
        <v>82</v>
      </c>
      <c r="H5568" s="22" t="s">
        <v>4556</v>
      </c>
      <c r="I5568" s="26">
        <v>43704.533113425903</v>
      </c>
      <c r="J5568" s="28" t="s">
        <v>51</v>
      </c>
      <c r="K5568" s="28" t="s">
        <v>51</v>
      </c>
      <c r="L5568" s="28" t="s">
        <v>51</v>
      </c>
      <c r="M5568" s="28" t="s">
        <v>51</v>
      </c>
      <c r="N5568" s="28" t="s">
        <v>51</v>
      </c>
    </row>
    <row r="5569" spans="1:14" x14ac:dyDescent="0.15">
      <c r="A5569" s="23" t="str">
        <f>HYPERLINK("https://www.spark-marketing.ru/Card/Person/737290", "ГКУ «ЦБЗ ПРИ МИНЗДРАВЕ КАРЕЛИИ»")</f>
        <v>ГКУ «ЦБЗ ПРИ МИНЗДРАВЕ КАРЕЛИИ»</v>
      </c>
      <c r="B5569" s="24" t="s">
        <v>312</v>
      </c>
      <c r="C5569" s="25">
        <v>75499.5</v>
      </c>
      <c r="D5569" s="22" t="s">
        <v>8600</v>
      </c>
      <c r="E5569" s="22" t="s">
        <v>52</v>
      </c>
      <c r="F5569" s="23" t="str">
        <f>HYPERLINK("https://www.spark-marketing.ru/Card/Lot/73052572", "Поставка лекарственных препаратов    Доксазозин; Преднизолон;Дексаметазон,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преп...")</f>
        <v>Поставка лекарственных препаратов    Доксазозин; Преднизолон;Дексаметазон,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преп...</v>
      </c>
      <c r="G5569" s="22" t="s">
        <v>59</v>
      </c>
      <c r="H5569" s="22" t="s">
        <v>314</v>
      </c>
      <c r="I5569" s="26">
        <v>43704.5075</v>
      </c>
      <c r="J5569" s="28" t="s">
        <v>51</v>
      </c>
      <c r="K5569" s="28" t="s">
        <v>51</v>
      </c>
      <c r="L5569" s="28" t="s">
        <v>51</v>
      </c>
      <c r="M5569" s="28" t="s">
        <v>51</v>
      </c>
      <c r="N5569" s="28" t="s">
        <v>51</v>
      </c>
    </row>
    <row r="5570" spans="1:14" x14ac:dyDescent="0.15">
      <c r="A5570" s="23" t="str">
        <f>HYPERLINK("https://www.spark-marketing.ru/Card/Person/737290", "ГКУ «ЦБЗ ПРИ МИНЗДРАВЕ КАРЕЛИИ»")</f>
        <v>ГКУ «ЦБЗ ПРИ МИНЗДРАВЕ КАРЕЛИИ»</v>
      </c>
      <c r="B5570" s="24" t="s">
        <v>312</v>
      </c>
      <c r="C5570" s="25">
        <v>60542.5</v>
      </c>
      <c r="D5570" s="22" t="s">
        <v>8601</v>
      </c>
      <c r="E5570" s="22" t="s">
        <v>52</v>
      </c>
      <c r="F5570" s="23" t="str">
        <f>HYPERLINK("https://www.spark-marketing.ru/Card/Lot/73051064", "Поставка лекарственного препарата Урсодезоксихолевая кислота,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медици...")</f>
        <v>Поставка лекарственного препарата Урсодезоксихолевая кислота, для обеспечения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медици...</v>
      </c>
      <c r="G5570" s="22" t="s">
        <v>59</v>
      </c>
      <c r="H5570" s="22" t="s">
        <v>314</v>
      </c>
      <c r="I5570" s="26">
        <v>43704.454618055599</v>
      </c>
      <c r="J5570" s="28" t="s">
        <v>51</v>
      </c>
      <c r="K5570" s="28" t="s">
        <v>51</v>
      </c>
      <c r="L5570" s="28" t="s">
        <v>51</v>
      </c>
      <c r="M5570" s="28" t="s">
        <v>51</v>
      </c>
      <c r="N5570" s="28" t="s">
        <v>51</v>
      </c>
    </row>
    <row r="5571" spans="1:14" x14ac:dyDescent="0.15">
      <c r="A5571" s="23" t="str">
        <f>HYPERLINK("https://www.spark-marketing.ru/Card/Person/879810", "ОМВД РОССИИ ПО АЛТАЙСКОМУ РАЙОНУ")</f>
        <v>ОМВД РОССИИ ПО АЛТАЙСКОМУ РАЙОНУ</v>
      </c>
      <c r="B5571" s="24" t="s">
        <v>8602</v>
      </c>
      <c r="C5571" s="25">
        <v>132400</v>
      </c>
      <c r="D5571" s="22" t="s">
        <v>8603</v>
      </c>
      <c r="E5571" s="22" t="s">
        <v>48</v>
      </c>
      <c r="F5571" s="23" t="str">
        <f>HYPERLINK("https://www.spark-marketing.ru/Card/Lot/73047777", "Оказание услуг по организации питания (приготовлению и доставке) для ИВС, 662 усл. ед")</f>
        <v>Оказание услуг по организации питания (приготовлению и доставке) для ИВС, 662 усл. ед</v>
      </c>
      <c r="G5571" s="22" t="s">
        <v>63</v>
      </c>
      <c r="H5571" s="22" t="s">
        <v>8604</v>
      </c>
      <c r="I5571" s="26">
        <v>43704.499814814801</v>
      </c>
      <c r="J5571" s="28" t="s">
        <v>51</v>
      </c>
      <c r="K5571" s="28" t="s">
        <v>51</v>
      </c>
      <c r="L5571" s="28" t="s">
        <v>51</v>
      </c>
      <c r="M5571" s="28" t="s">
        <v>51</v>
      </c>
      <c r="N5571" s="28" t="s">
        <v>51</v>
      </c>
    </row>
    <row r="5572" spans="1:14" x14ac:dyDescent="0.15">
      <c r="A5572" s="23" t="str">
        <f>HYPERLINK("https://www.spark-marketing.ru/Card/Person/6220059", "ГКУ НСО ""ЦЕНТР ПАТРИОТИЧЕСКОГО ВОСПИТАНИЯ""")</f>
        <v>ГКУ НСО "ЦЕНТР ПАТРИОТИЧЕСКОГО ВОСПИТАНИЯ"</v>
      </c>
      <c r="B5572" s="24" t="s">
        <v>1887</v>
      </c>
      <c r="C5572" s="25">
        <v>795267.26</v>
      </c>
      <c r="D5572" s="22" t="s">
        <v>8605</v>
      </c>
      <c r="E5572" s="22" t="s">
        <v>8606</v>
      </c>
      <c r="F5572" s="23" t="str">
        <f>HYPERLINK("https://www.spark-marketing.ru/Card/Lot/73041616", "Оказание услуги по организации трансфера, проживания и питания участников областного финала регионального проекта ""Новосибирская область - Полигон твоих возможностей""")</f>
        <v>Оказание услуги по организации трансфера, проживания и питания участников областного финала регионального проекта "Новосибирская область - Полигон твоих возможностей"</v>
      </c>
      <c r="G5572" s="22" t="s">
        <v>195</v>
      </c>
      <c r="H5572" s="22" t="s">
        <v>196</v>
      </c>
      <c r="I5572" s="26">
        <v>43704.4915162037</v>
      </c>
      <c r="J5572" s="23" t="str">
        <f>HYPERLINK("https://www.spark-marketing.ru/Card/Person/4414177", "ГАУ ДО НСО ""ОЦРТДИЮ""")</f>
        <v>ГАУ ДО НСО "ОЦРТДИЮ"</v>
      </c>
      <c r="K5572" s="24" t="s">
        <v>8607</v>
      </c>
      <c r="L5572" s="22" t="s">
        <v>10</v>
      </c>
      <c r="M5572" s="28" t="s">
        <v>51</v>
      </c>
      <c r="N5572" s="28" t="s">
        <v>51</v>
      </c>
    </row>
    <row r="5573" spans="1:14" x14ac:dyDescent="0.15">
      <c r="A5573" s="23" t="str">
        <f t="shared" ref="A5573:A5578" si="110">HYPERLINK("https://www.spark-marketing.ru/Card/Person/89798", "УМВД РОССИИ ПО ГОРОДУ КИРОВУ")</f>
        <v>УМВД РОССИИ ПО ГОРОДУ КИРОВУ</v>
      </c>
      <c r="B5573" s="24" t="s">
        <v>8365</v>
      </c>
      <c r="C5573" s="25">
        <v>900000</v>
      </c>
      <c r="D5573" s="22" t="s">
        <v>8608</v>
      </c>
      <c r="E5573" s="22" t="s">
        <v>48</v>
      </c>
      <c r="F5573" s="23" t="str">
        <f>HYPERLINK("https://www.spark-marketing.ru/Card/Lot/73049388",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573" s="22" t="s">
        <v>224</v>
      </c>
      <c r="H5573" s="22" t="s">
        <v>8609</v>
      </c>
      <c r="I5573" s="26">
        <v>43704.487465277802</v>
      </c>
      <c r="J5573" s="28" t="s">
        <v>51</v>
      </c>
      <c r="K5573" s="28" t="s">
        <v>51</v>
      </c>
      <c r="L5573" s="28" t="s">
        <v>51</v>
      </c>
      <c r="M5573" s="28" t="s">
        <v>51</v>
      </c>
      <c r="N5573" s="28" t="s">
        <v>51</v>
      </c>
    </row>
    <row r="5574" spans="1:14" hidden="1" outlineLevel="1" x14ac:dyDescent="0.2">
      <c r="A5574" s="23" t="str">
        <f t="shared" si="110"/>
        <v>УМВД РОССИИ ПО ГОРОДУ КИРОВУ</v>
      </c>
      <c r="B5574" s="24" t="s">
        <v>8365</v>
      </c>
      <c r="C5574" s="25">
        <v>900000</v>
      </c>
      <c r="D5574" s="22" t="s">
        <v>8608</v>
      </c>
      <c r="E5574" s="22" t="s">
        <v>48</v>
      </c>
      <c r="F5574" s="23" t="str">
        <f>HYPERLINK("https://www.spark-marketing.ru/Card/Lot/73049388",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574" s="22" t="s">
        <v>224</v>
      </c>
      <c r="H5574" s="22" t="s">
        <v>8609</v>
      </c>
      <c r="I5574" s="26">
        <v>43704.487465277802</v>
      </c>
      <c r="J5574" s="23" t="str">
        <f>HYPERLINK("https://www.spark-marketing.ru/Card/Person/6454752", "ООО ""ЕВРО КЕЙТЕРИНГ 43""")</f>
        <v>ООО "ЕВРО КЕЙТЕРИНГ 43"</v>
      </c>
      <c r="K5574" s="24" t="s">
        <v>8367</v>
      </c>
      <c r="L5574" s="28" t="s">
        <v>51</v>
      </c>
      <c r="M5574" s="25">
        <v>7082.41</v>
      </c>
      <c r="N5574" s="27">
        <v>0.99213065555555557</v>
      </c>
    </row>
    <row r="5575" spans="1:14" ht="12.75" hidden="1" outlineLevel="1" x14ac:dyDescent="0.2">
      <c r="A5575" s="23" t="str">
        <f t="shared" si="110"/>
        <v>УМВД РОССИИ ПО ГОРОДУ КИРОВУ</v>
      </c>
      <c r="B5575" s="24" t="s">
        <v>8365</v>
      </c>
      <c r="C5575" s="25">
        <v>900000</v>
      </c>
      <c r="D5575" s="22" t="s">
        <v>8608</v>
      </c>
      <c r="E5575" s="22" t="s">
        <v>48</v>
      </c>
      <c r="F5575" s="23" t="str">
        <f>HYPERLINK("https://www.spark-marketing.ru/Card/Lot/73049388",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575" s="22" t="s">
        <v>224</v>
      </c>
      <c r="H5575" s="22" t="s">
        <v>8609</v>
      </c>
      <c r="I5575" s="26">
        <v>43704.487465277802</v>
      </c>
      <c r="J5575" s="23" t="str">
        <f>HYPERLINK("https://www.spark-marketing.ru/Card/Person/89851", "ООО ""ФУД-СЕРВИС""")</f>
        <v>ООО "ФУД-СЕРВИС"</v>
      </c>
      <c r="K5575" s="24" t="s">
        <v>8368</v>
      </c>
      <c r="L5575" s="22" t="s">
        <v>10</v>
      </c>
      <c r="M5575" s="25">
        <v>7046.82</v>
      </c>
      <c r="N5575" s="27">
        <v>0.9921702</v>
      </c>
    </row>
    <row r="5576" spans="1:14" x14ac:dyDescent="0.15">
      <c r="A5576" s="23" t="str">
        <f t="shared" si="110"/>
        <v>УМВД РОССИИ ПО ГОРОДУ КИРОВУ</v>
      </c>
      <c r="B5576" s="24" t="s">
        <v>8365</v>
      </c>
      <c r="C5576" s="25">
        <v>900000</v>
      </c>
      <c r="D5576" s="22" t="s">
        <v>8610</v>
      </c>
      <c r="E5576" s="22" t="s">
        <v>48</v>
      </c>
      <c r="F5576" s="23" t="str">
        <f>HYPERLINK("https://www.spark-marketing.ru/Card/Lot/73049341",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576" s="22" t="s">
        <v>224</v>
      </c>
      <c r="H5576" s="22" t="s">
        <v>225</v>
      </c>
      <c r="I5576" s="26">
        <v>43704.481539351902</v>
      </c>
      <c r="J5576" s="28" t="s">
        <v>51</v>
      </c>
      <c r="K5576" s="28" t="s">
        <v>51</v>
      </c>
      <c r="L5576" s="28" t="s">
        <v>51</v>
      </c>
      <c r="M5576" s="28" t="s">
        <v>51</v>
      </c>
      <c r="N5576" s="28" t="s">
        <v>51</v>
      </c>
    </row>
    <row r="5577" spans="1:14" hidden="1" outlineLevel="1" x14ac:dyDescent="0.2">
      <c r="A5577" s="23" t="str">
        <f t="shared" si="110"/>
        <v>УМВД РОССИИ ПО ГОРОДУ КИРОВУ</v>
      </c>
      <c r="B5577" s="24" t="s">
        <v>8365</v>
      </c>
      <c r="C5577" s="25">
        <v>900000</v>
      </c>
      <c r="D5577" s="22" t="s">
        <v>8610</v>
      </c>
      <c r="E5577" s="22" t="s">
        <v>48</v>
      </c>
      <c r="F5577" s="23" t="str">
        <f>HYPERLINK("https://www.spark-marketing.ru/Card/Lot/73049341",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577" s="22" t="s">
        <v>224</v>
      </c>
      <c r="H5577" s="22" t="s">
        <v>225</v>
      </c>
      <c r="I5577" s="26">
        <v>43704.481539351902</v>
      </c>
      <c r="J5577" s="23" t="str">
        <f>HYPERLINK("https://www.spark-marketing.ru/Card/Person/6454752", "ООО ""ЕВРО КЕЙТЕРИНГ 43""")</f>
        <v>ООО "ЕВРО КЕЙТЕРИНГ 43"</v>
      </c>
      <c r="K5577" s="24" t="s">
        <v>8367</v>
      </c>
      <c r="L5577" s="28" t="s">
        <v>51</v>
      </c>
      <c r="M5577" s="25">
        <v>7082.41</v>
      </c>
      <c r="N5577" s="27">
        <v>0.99213065555555557</v>
      </c>
    </row>
    <row r="5578" spans="1:14" ht="12.75" hidden="1" outlineLevel="1" x14ac:dyDescent="0.2">
      <c r="A5578" s="23" t="str">
        <f t="shared" si="110"/>
        <v>УМВД РОССИИ ПО ГОРОДУ КИРОВУ</v>
      </c>
      <c r="B5578" s="24" t="s">
        <v>8365</v>
      </c>
      <c r="C5578" s="25">
        <v>900000</v>
      </c>
      <c r="D5578" s="22" t="s">
        <v>8610</v>
      </c>
      <c r="E5578" s="22" t="s">
        <v>48</v>
      </c>
      <c r="F5578" s="23" t="str">
        <f>HYPERLINK("https://www.spark-marketing.ru/Card/Lot/73049341",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578" s="22" t="s">
        <v>224</v>
      </c>
      <c r="H5578" s="22" t="s">
        <v>225</v>
      </c>
      <c r="I5578" s="26">
        <v>43704.481539351902</v>
      </c>
      <c r="J5578" s="23" t="str">
        <f>HYPERLINK("https://www.spark-marketing.ru/Card/Person/89851", "ООО ""ФУД-СЕРВИС""")</f>
        <v>ООО "ФУД-СЕРВИС"</v>
      </c>
      <c r="K5578" s="24" t="s">
        <v>8368</v>
      </c>
      <c r="L5578" s="22" t="s">
        <v>10</v>
      </c>
      <c r="M5578" s="25">
        <v>7046.82</v>
      </c>
      <c r="N5578" s="27">
        <v>0.9921702</v>
      </c>
    </row>
    <row r="5579" spans="1:14" x14ac:dyDescent="0.15">
      <c r="A5579" s="23" t="str">
        <f>HYPERLINK("https://www.spark-marketing.ru/Card/Person/4348646", "ООО ""БЕЛОЯРСКАЯ АЭС- АВТО""")</f>
        <v>ООО "БЕЛОЯРСКАЯ АЭС- АВТО"</v>
      </c>
      <c r="B5579" s="24" t="s">
        <v>8411</v>
      </c>
      <c r="C5579" s="25">
        <v>2915031.55</v>
      </c>
      <c r="D5579" s="22" t="s">
        <v>8611</v>
      </c>
      <c r="E5579" s="22" t="s">
        <v>52</v>
      </c>
      <c r="F5579" s="23" t="str">
        <f>HYPERLINK("https://www.spark-marketing.ru/Card/Lot/73054011", "ЕИС №31908238853 Право заключения договора на Оказание услуг по сервисному обслуживанию и ремонту холодильного оборудования подразделения общественного питания ООО «Белоярская АЭС-Авто» на 2019 -2021гг.")</f>
        <v>ЕИС №31908238853 Право заключения договора на Оказание услуг по сервисному обслуживанию и ремонту холодильного оборудования подразделения общественного питания ООО «Белоярская АЭС-Авто» на 2019 -2021гг.</v>
      </c>
      <c r="G5579" s="22" t="s">
        <v>174</v>
      </c>
      <c r="H5579" s="22" t="s">
        <v>8413</v>
      </c>
      <c r="I5579" s="26">
        <v>43704.487754629597</v>
      </c>
      <c r="J5579" s="28" t="s">
        <v>51</v>
      </c>
      <c r="K5579" s="28" t="s">
        <v>51</v>
      </c>
      <c r="L5579" s="28" t="s">
        <v>51</v>
      </c>
      <c r="M5579" s="28" t="s">
        <v>51</v>
      </c>
      <c r="N5579" s="28" t="s">
        <v>51</v>
      </c>
    </row>
    <row r="5580" spans="1:14" x14ac:dyDescent="0.15">
      <c r="A5580" s="23" t="str">
        <f>HYPERLINK("https://www.spark-marketing.ru/Card/Person/1047025", "ОТДМВД РОССИИ ПО ПАЧЕЛМСКОМУ РАЙОНУ")</f>
        <v>ОТДМВД РОССИИ ПО ПАЧЕЛМСКОМУ РАЙОНУ</v>
      </c>
      <c r="B5580" s="24" t="s">
        <v>8612</v>
      </c>
      <c r="C5580" s="25">
        <v>196280</v>
      </c>
      <c r="D5580" s="22" t="s">
        <v>8613</v>
      </c>
      <c r="E5580" s="22" t="s">
        <v>48</v>
      </c>
      <c r="F5580" s="23" t="str">
        <f>HYPERLINK("https://www.spark-marketing.ru/Card/Lot/73046762",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580" s="22" t="s">
        <v>72</v>
      </c>
      <c r="H5580" s="22" t="s">
        <v>8614</v>
      </c>
      <c r="I5580" s="26">
        <v>43704.481446759302</v>
      </c>
      <c r="J5580" s="28" t="s">
        <v>51</v>
      </c>
      <c r="K5580" s="28" t="s">
        <v>51</v>
      </c>
      <c r="L5580" s="28" t="s">
        <v>51</v>
      </c>
      <c r="M5580" s="28" t="s">
        <v>51</v>
      </c>
      <c r="N5580" s="28" t="s">
        <v>51</v>
      </c>
    </row>
    <row r="5581" spans="1:14" x14ac:dyDescent="0.15">
      <c r="A5581" s="23" t="str">
        <f>HYPERLINK("https://www.spark-marketing.ru/Card/Person/1054175", "МОМВД РОССИИ ПО ЗАТО ЗНАМЕНСК")</f>
        <v>МОМВД РОССИИ ПО ЗАТО ЗНАМЕНСК</v>
      </c>
      <c r="B5581" s="24" t="s">
        <v>139</v>
      </c>
      <c r="C5581" s="25">
        <v>50000</v>
      </c>
      <c r="D5581" s="22" t="s">
        <v>8615</v>
      </c>
      <c r="E5581" s="22" t="s">
        <v>48</v>
      </c>
      <c r="F5581" s="23" t="str">
        <f>HYPERLINK("https://www.spark-marketing.ru/Card/Lot/73046774", "Услуги по обеспечению питания лиц содержащихся в спец. помещениях задержанных лиц, 4 усл. ед")</f>
        <v>Услуги по обеспечению питания лиц содержащихся в спец. помещениях задержанных лиц, 4 усл. ед</v>
      </c>
      <c r="G5581" s="22" t="s">
        <v>141</v>
      </c>
      <c r="H5581" s="22" t="s">
        <v>142</v>
      </c>
      <c r="I5581" s="26">
        <v>43704.4838310185</v>
      </c>
      <c r="J5581" s="28" t="s">
        <v>51</v>
      </c>
      <c r="K5581" s="28" t="s">
        <v>51</v>
      </c>
      <c r="L5581" s="28" t="s">
        <v>51</v>
      </c>
      <c r="M5581" s="28" t="s">
        <v>51</v>
      </c>
      <c r="N5581" s="28" t="s">
        <v>51</v>
      </c>
    </row>
    <row r="5582" spans="1:14" x14ac:dyDescent="0.15">
      <c r="A5582" s="23" t="str">
        <f>HYPERLINK("https://www.spark-marketing.ru/Card/Person/88864", "БУ ""НЯГАНСКИЙ КОМПЛЕКСНЫЙ ЦЕНТР СОЦИАЛЬНОГО ОБСЛУЖИВАНИЯ НАСЕЛЕНИЯ""")</f>
        <v>БУ "НЯГАНСКИЙ КОМПЛЕКСНЫЙ ЦЕНТР СОЦИАЛЬНОГО ОБСЛУЖИВАНИЯ НАСЕЛЕНИЯ"</v>
      </c>
      <c r="B5582" s="24" t="s">
        <v>8616</v>
      </c>
      <c r="C5582" s="25">
        <v>123474</v>
      </c>
      <c r="D5582" s="22" t="s">
        <v>8617</v>
      </c>
      <c r="E5582" s="22" t="s">
        <v>96</v>
      </c>
      <c r="F5582" s="23" t="str">
        <f>HYPERLINK("https://www.spark-marketing.ru/Card/Lot/73044372", "Организация горячего питания для граждан пожилого возраста и инвалидов , посещающих сектор дневного пребывания")</f>
        <v>Организация горячего питания для граждан пожилого возраста и инвалидов , посещающих сектор дневного пребывания</v>
      </c>
      <c r="G5582" s="22" t="s">
        <v>97</v>
      </c>
      <c r="H5582" s="22" t="s">
        <v>5093</v>
      </c>
      <c r="I5582" s="26">
        <v>43704.468784722201</v>
      </c>
      <c r="J5582" s="23" t="str">
        <f>HYPERLINK("https://www.spark-marketing.ru/Card/Person/88392", "ООО ""СЕВЕРНОЕ СИЯНИЕ""")</f>
        <v>ООО "СЕВЕРНОЕ СИЯНИЕ"</v>
      </c>
      <c r="K5582" s="24" t="s">
        <v>5095</v>
      </c>
      <c r="L5582" s="22" t="s">
        <v>10</v>
      </c>
      <c r="M5582" s="28" t="s">
        <v>51</v>
      </c>
      <c r="N5582" s="28" t="s">
        <v>51</v>
      </c>
    </row>
    <row r="5583" spans="1:14" x14ac:dyDescent="0.15">
      <c r="A5583" s="23" t="str">
        <f>HYPERLINK("https://www.spark-marketing.ru/Card/Person/1047025", "ОТДМВД РОССИИ ПО ПАЧЕЛМСКОМУ РАЙОНУ")</f>
        <v>ОТДМВД РОССИИ ПО ПАЧЕЛМСКОМУ РАЙОНУ</v>
      </c>
      <c r="B5583" s="24" t="s">
        <v>8612</v>
      </c>
      <c r="C5583" s="25">
        <v>196280</v>
      </c>
      <c r="D5583" s="22" t="s">
        <v>8618</v>
      </c>
      <c r="E5583" s="22" t="s">
        <v>48</v>
      </c>
      <c r="F5583" s="23" t="str">
        <f>HYPERLINK("https://www.spark-marketing.ru/Card/Lot/73046052",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583" s="22" t="s">
        <v>72</v>
      </c>
      <c r="H5583" s="22" t="s">
        <v>8614</v>
      </c>
      <c r="I5583" s="26">
        <v>43704.472048611096</v>
      </c>
      <c r="J5583" s="28" t="s">
        <v>51</v>
      </c>
      <c r="K5583" s="28" t="s">
        <v>51</v>
      </c>
      <c r="L5583" s="28" t="s">
        <v>51</v>
      </c>
      <c r="M5583" s="28" t="s">
        <v>51</v>
      </c>
      <c r="N5583" s="28" t="s">
        <v>51</v>
      </c>
    </row>
    <row r="5584" spans="1:14" x14ac:dyDescent="0.15">
      <c r="A5584" s="23" t="str">
        <f t="shared" ref="A5584:A5591" si="111">HYPERLINK("https://www.spark-marketing.ru/Card/Person/135544", "ОГКУЗ ""МИАЦ""")</f>
        <v>ОГКУЗ "МИАЦ"</v>
      </c>
      <c r="B5584" s="24" t="s">
        <v>8619</v>
      </c>
      <c r="C5584" s="25">
        <v>4573595</v>
      </c>
      <c r="D5584" s="22" t="s">
        <v>8620</v>
      </c>
      <c r="E5584" s="22" t="s">
        <v>809</v>
      </c>
      <c r="F5584" s="23" t="str">
        <f t="shared" ref="F5584:F5591" si="112">HYPERLINK("https://www.spark-marketing.ru/Card/Lot/73045451", "Поставка комплектующих к серверам для нужд медицинских организаций Белгородской области с оказанием сопутствующих услуг")</f>
        <v>Поставка комплектующих к серверам для нужд медицинских организаций Белгородской области с оказанием сопутствующих услуг</v>
      </c>
      <c r="G5584" s="22" t="s">
        <v>696</v>
      </c>
      <c r="H5584" s="22" t="s">
        <v>1163</v>
      </c>
      <c r="I5584" s="26">
        <v>43704.419062499997</v>
      </c>
      <c r="J5584" s="28" t="s">
        <v>51</v>
      </c>
      <c r="K5584" s="28" t="s">
        <v>51</v>
      </c>
      <c r="L5584" s="28" t="s">
        <v>51</v>
      </c>
      <c r="M5584" s="28" t="s">
        <v>51</v>
      </c>
      <c r="N5584" s="28" t="s">
        <v>51</v>
      </c>
    </row>
    <row r="5585" spans="1:14" hidden="1" outlineLevel="1" x14ac:dyDescent="0.2">
      <c r="A5585" s="23" t="str">
        <f t="shared" si="111"/>
        <v>ОГКУЗ "МИАЦ"</v>
      </c>
      <c r="B5585" s="24" t="s">
        <v>8619</v>
      </c>
      <c r="C5585" s="25">
        <v>4573595</v>
      </c>
      <c r="D5585" s="22" t="s">
        <v>8620</v>
      </c>
      <c r="E5585" s="22" t="s">
        <v>809</v>
      </c>
      <c r="F5585" s="23" t="str">
        <f t="shared" si="112"/>
        <v>Поставка комплектующих к серверам для нужд медицинских организаций Белгородской области с оказанием сопутствующих услуг</v>
      </c>
      <c r="G5585" s="22" t="s">
        <v>696</v>
      </c>
      <c r="H5585" s="22" t="s">
        <v>1163</v>
      </c>
      <c r="I5585" s="26">
        <v>43704.419062499997</v>
      </c>
      <c r="J5585" s="23" t="str">
        <f>HYPERLINK("https://www.spark-marketing.ru/Card/Person/70162", "ООО ""АЙТИ-ВОРКС""")</f>
        <v>ООО "АЙТИ-ВОРКС"</v>
      </c>
      <c r="K5585" s="24" t="s">
        <v>8621</v>
      </c>
      <c r="L5585" s="28" t="s">
        <v>51</v>
      </c>
      <c r="M5585" s="25">
        <v>1942640.34</v>
      </c>
      <c r="N5585" s="27">
        <v>0.57524871791227683</v>
      </c>
    </row>
    <row r="5586" spans="1:14" hidden="1" outlineLevel="1" x14ac:dyDescent="0.2">
      <c r="A5586" s="23" t="str">
        <f t="shared" si="111"/>
        <v>ОГКУЗ "МИАЦ"</v>
      </c>
      <c r="B5586" s="24" t="s">
        <v>8619</v>
      </c>
      <c r="C5586" s="25">
        <v>4573595</v>
      </c>
      <c r="D5586" s="22" t="s">
        <v>8620</v>
      </c>
      <c r="E5586" s="22" t="s">
        <v>809</v>
      </c>
      <c r="F5586" s="23" t="str">
        <f t="shared" si="112"/>
        <v>Поставка комплектующих к серверам для нужд медицинских организаций Белгородской области с оказанием сопутствующих услуг</v>
      </c>
      <c r="G5586" s="22" t="s">
        <v>696</v>
      </c>
      <c r="H5586" s="22" t="s">
        <v>1163</v>
      </c>
      <c r="I5586" s="26">
        <v>43704.419062499997</v>
      </c>
      <c r="J5586" s="23" t="str">
        <f>HYPERLINK("https://www.spark-marketing.ru/Card/Person/6574431", "ООО ""СТАФ АНД СЕРВИС""")</f>
        <v>ООО "СТАФ АНД СЕРВИС"</v>
      </c>
      <c r="K5586" s="24" t="s">
        <v>8622</v>
      </c>
      <c r="L5586" s="28" t="s">
        <v>51</v>
      </c>
      <c r="M5586" s="25">
        <v>2584080.84</v>
      </c>
      <c r="N5586" s="27">
        <v>0.435000073246538</v>
      </c>
    </row>
    <row r="5587" spans="1:14" hidden="1" outlineLevel="1" x14ac:dyDescent="0.2">
      <c r="A5587" s="23" t="str">
        <f t="shared" si="111"/>
        <v>ОГКУЗ "МИАЦ"</v>
      </c>
      <c r="B5587" s="24" t="s">
        <v>8619</v>
      </c>
      <c r="C5587" s="25">
        <v>4573595</v>
      </c>
      <c r="D5587" s="22" t="s">
        <v>8620</v>
      </c>
      <c r="E5587" s="22" t="s">
        <v>809</v>
      </c>
      <c r="F5587" s="23" t="str">
        <f t="shared" si="112"/>
        <v>Поставка комплектующих к серверам для нужд медицинских организаций Белгородской области с оказанием сопутствующих услуг</v>
      </c>
      <c r="G5587" s="22" t="s">
        <v>696</v>
      </c>
      <c r="H5587" s="22" t="s">
        <v>1163</v>
      </c>
      <c r="I5587" s="26">
        <v>43704.419062499997</v>
      </c>
      <c r="J5587" s="23" t="str">
        <f>HYPERLINK("https://www.spark-marketing.ru/Card/Person/6619126", "ООО ""ХАЙЛАЙТАЙТИ""")</f>
        <v>ООО "ХАЙЛАЙТАЙТИ"</v>
      </c>
      <c r="K5587" s="24" t="s">
        <v>8623</v>
      </c>
      <c r="L5587" s="28" t="s">
        <v>51</v>
      </c>
      <c r="M5587" s="25">
        <v>2949968.52</v>
      </c>
      <c r="N5587" s="27">
        <v>0.35500005575482746</v>
      </c>
    </row>
    <row r="5588" spans="1:14" hidden="1" outlineLevel="1" x14ac:dyDescent="0.2">
      <c r="A5588" s="23" t="str">
        <f t="shared" si="111"/>
        <v>ОГКУЗ "МИАЦ"</v>
      </c>
      <c r="B5588" s="24" t="s">
        <v>8619</v>
      </c>
      <c r="C5588" s="25">
        <v>4573595</v>
      </c>
      <c r="D5588" s="22" t="s">
        <v>8620</v>
      </c>
      <c r="E5588" s="22" t="s">
        <v>809</v>
      </c>
      <c r="F5588" s="23" t="str">
        <f t="shared" si="112"/>
        <v>Поставка комплектующих к серверам для нужд медицинских организаций Белгородской области с оказанием сопутствующих услуг</v>
      </c>
      <c r="G5588" s="22" t="s">
        <v>696</v>
      </c>
      <c r="H5588" s="22" t="s">
        <v>1163</v>
      </c>
      <c r="I5588" s="26">
        <v>43704.419062499997</v>
      </c>
      <c r="J5588" s="23" t="str">
        <f>HYPERLINK("https://www.spark-marketing.ru/Card/Person/494688", "ООО ""ЭЛПО - СЕРВИС""")</f>
        <v>ООО "ЭЛПО - СЕРВИС"</v>
      </c>
      <c r="K5588" s="24" t="s">
        <v>3526</v>
      </c>
      <c r="L5588" s="28" t="s">
        <v>51</v>
      </c>
      <c r="M5588" s="25">
        <v>3294900</v>
      </c>
      <c r="N5588" s="27">
        <v>0.27958203557595285</v>
      </c>
    </row>
    <row r="5589" spans="1:14" ht="12.75" hidden="1" outlineLevel="1" x14ac:dyDescent="0.2">
      <c r="A5589" s="23" t="str">
        <f t="shared" si="111"/>
        <v>ОГКУЗ "МИАЦ"</v>
      </c>
      <c r="B5589" s="24" t="s">
        <v>8619</v>
      </c>
      <c r="C5589" s="25">
        <v>4573595</v>
      </c>
      <c r="D5589" s="22" t="s">
        <v>8620</v>
      </c>
      <c r="E5589" s="22" t="s">
        <v>809</v>
      </c>
      <c r="F5589" s="23" t="str">
        <f t="shared" si="112"/>
        <v>Поставка комплектующих к серверам для нужд медицинских организаций Белгородской области с оказанием сопутствующих услуг</v>
      </c>
      <c r="G5589" s="22" t="s">
        <v>696</v>
      </c>
      <c r="H5589" s="22" t="s">
        <v>1163</v>
      </c>
      <c r="I5589" s="26">
        <v>43704.419062499997</v>
      </c>
      <c r="J5589" s="23" t="str">
        <f>HYPERLINK("https://www.spark-marketing.ru/Card/Person/6438824", "ООО ""КВЕ""")</f>
        <v>ООО "КВЕ"</v>
      </c>
      <c r="K5589" s="24" t="s">
        <v>8624</v>
      </c>
      <c r="L5589" s="22" t="s">
        <v>10</v>
      </c>
      <c r="M5589" s="25">
        <v>1531016.7</v>
      </c>
      <c r="N5589" s="27">
        <v>0.66524873759045122</v>
      </c>
    </row>
    <row r="5590" spans="1:14" hidden="1" outlineLevel="1" x14ac:dyDescent="0.2">
      <c r="A5590" s="23" t="str">
        <f t="shared" si="111"/>
        <v>ОГКУЗ "МИАЦ"</v>
      </c>
      <c r="B5590" s="24" t="s">
        <v>8619</v>
      </c>
      <c r="C5590" s="25">
        <v>4573595</v>
      </c>
      <c r="D5590" s="22" t="s">
        <v>8620</v>
      </c>
      <c r="E5590" s="22" t="s">
        <v>809</v>
      </c>
      <c r="F5590" s="23" t="str">
        <f t="shared" si="112"/>
        <v>Поставка комплектующих к серверам для нужд медицинских организаций Белгородской области с оказанием сопутствующих услуг</v>
      </c>
      <c r="G5590" s="22" t="s">
        <v>696</v>
      </c>
      <c r="H5590" s="22" t="s">
        <v>1163</v>
      </c>
      <c r="I5590" s="26">
        <v>43704.419062499997</v>
      </c>
      <c r="J5590" s="23" t="str">
        <f>HYPERLINK("https://www.spark-marketing.ru/Card/Person/5962905", "ООО ""СЕРВЕР АЙТИ""")</f>
        <v>ООО "СЕРВЕР АЙТИ"</v>
      </c>
      <c r="K5590" s="24" t="s">
        <v>8625</v>
      </c>
      <c r="L5590" s="28" t="s">
        <v>51</v>
      </c>
      <c r="M5590" s="25">
        <v>1553884.68</v>
      </c>
      <c r="N5590" s="27">
        <v>0.66024873649721938</v>
      </c>
    </row>
    <row r="5591" spans="1:14" hidden="1" outlineLevel="1" x14ac:dyDescent="0.2">
      <c r="A5591" s="23" t="str">
        <f t="shared" si="111"/>
        <v>ОГКУЗ "МИАЦ"</v>
      </c>
      <c r="B5591" s="24" t="s">
        <v>8619</v>
      </c>
      <c r="C5591" s="25">
        <v>4573595</v>
      </c>
      <c r="D5591" s="22" t="s">
        <v>8620</v>
      </c>
      <c r="E5591" s="22" t="s">
        <v>809</v>
      </c>
      <c r="F5591" s="23" t="str">
        <f t="shared" si="112"/>
        <v>Поставка комплектующих к серверам для нужд медицинских организаций Белгородской области с оказанием сопутствующих услуг</v>
      </c>
      <c r="G5591" s="22" t="s">
        <v>696</v>
      </c>
      <c r="H5591" s="22" t="s">
        <v>1163</v>
      </c>
      <c r="I5591" s="26">
        <v>43704.419062499997</v>
      </c>
      <c r="J5591" s="23" t="str">
        <f>HYPERLINK("https://www.spark-marketing.ru/Card/Person/601574", "ООО ""ИФРИТ""")</f>
        <v>ООО "ИФРИТ"</v>
      </c>
      <c r="K5591" s="24" t="s">
        <v>8626</v>
      </c>
      <c r="L5591" s="28" t="s">
        <v>51</v>
      </c>
      <c r="M5591" s="25">
        <v>2331396</v>
      </c>
      <c r="N5591" s="27">
        <v>0.49024869932733439</v>
      </c>
    </row>
    <row r="5592" spans="1:14" x14ac:dyDescent="0.15">
      <c r="A5592" s="23" t="str">
        <f>HYPERLINK("https://www.spark-marketing.ru/Card/Person/33012", "ОМВД РОССИИ ПО Г. ПЕРВОУРАЛЬСКУ")</f>
        <v>ОМВД РОССИИ ПО Г. ПЕРВОУРАЛЬСКУ</v>
      </c>
      <c r="B5592" s="24" t="s">
        <v>8627</v>
      </c>
      <c r="C5592" s="25">
        <v>1600000</v>
      </c>
      <c r="D5592" s="22" t="s">
        <v>8628</v>
      </c>
      <c r="E5592" s="22" t="s">
        <v>48</v>
      </c>
      <c r="F5592" s="23" t="str">
        <f>HYPERLINK("https://www.spark-marketing.ru/Card/Lot/73043453", "Услуги по организации питания")</f>
        <v>Услуги по организации питания</v>
      </c>
      <c r="G5592" s="22" t="s">
        <v>174</v>
      </c>
      <c r="H5592" s="22" t="s">
        <v>3406</v>
      </c>
      <c r="I5592" s="26">
        <v>43704.427106481497</v>
      </c>
      <c r="J5592" s="23" t="str">
        <f>HYPERLINK("https://www.spark-marketing.ru/Card/Person/6462162", "ООО ""РАНДЕВУ""")</f>
        <v>ООО "РАНДЕВУ"</v>
      </c>
      <c r="K5592" s="24" t="s">
        <v>8629</v>
      </c>
      <c r="L5592" s="22" t="s">
        <v>10</v>
      </c>
      <c r="M5592" s="28" t="s">
        <v>51</v>
      </c>
      <c r="N5592" s="28" t="s">
        <v>51</v>
      </c>
    </row>
    <row r="5593" spans="1:14" x14ac:dyDescent="0.15">
      <c r="A5593" s="23" t="str">
        <f>HYPERLINK("https://www.spark-marketing.ru/Card/Person/86120", "ГБДОУ ДЕТСКИЙ САД №31 КОМБИНИРОВАННОГО ВИДА ПУШКИНСКОГО РАЙОНА САНКТ-ПЕТЕРБУРГА")</f>
        <v>ГБДОУ ДЕТСКИЙ САД №31 КОМБИНИРОВАННОГО ВИДА ПУШКИНСКОГО РАЙОНА САНКТ-ПЕТЕРБУРГА</v>
      </c>
      <c r="B5593" s="24" t="s">
        <v>8630</v>
      </c>
      <c r="C5593" s="25">
        <v>14780.84</v>
      </c>
      <c r="D5593" s="22" t="s">
        <v>8631</v>
      </c>
      <c r="E5593" s="22" t="s">
        <v>437</v>
      </c>
      <c r="F5593" s="23" t="str">
        <f>HYPERLINK("https://www.spark-marketing.ru/Card/Lot/73046059", "Оказание услуг по проведению санитарно-эпидемиологической экспертизы по результатам лабораторных исследований пищевых продуктов для нужд ГБДОУ детский сад № 31 комбинированного вида Пушкинского района Санкт-Петербурга.")</f>
        <v>Оказание услуг по проведению санитарно-эпидемиологической экспертизы по результатам лабораторных исследований пищевых продуктов для нужд ГБДОУ детский сад № 31 комбинированного вида Пушкинского района Санкт-Петербурга.</v>
      </c>
      <c r="G5593" s="22" t="s">
        <v>117</v>
      </c>
      <c r="H5593" s="22" t="s">
        <v>117</v>
      </c>
      <c r="I5593" s="26">
        <v>43704.422604166699</v>
      </c>
      <c r="J5593" s="23" t="str">
        <f>HYPERLINK("https://www.spark-marketing.ru/Card/Person/85943", "ФБУЗ ""ЦЕНТР ГИГИЕНЫ И ЭПИДЕМИОЛОГИИ В ГОРОДЕ САНКТ-ПЕТЕРБУРГ""")</f>
        <v>ФБУЗ "ЦЕНТР ГИГИЕНЫ И ЭПИДЕМИОЛОГИИ В ГОРОДЕ САНКТ-ПЕТЕРБУРГ"</v>
      </c>
      <c r="K5593" s="24" t="s">
        <v>8632</v>
      </c>
      <c r="L5593" s="22" t="s">
        <v>10</v>
      </c>
      <c r="M5593" s="28" t="s">
        <v>51</v>
      </c>
      <c r="N5593" s="28" t="s">
        <v>51</v>
      </c>
    </row>
    <row r="5594" spans="1:14" x14ac:dyDescent="0.15">
      <c r="A5594" s="23" t="str">
        <f>HYPERLINK("https://www.spark-marketing.ru/Card/Person/88864", "БУ ""НЯГАНСКИЙ КОМПЛЕКСНЫЙ ЦЕНТР СОЦИАЛЬНОГО ОБСЛУЖИВАНИЯ НАСЕЛЕНИЯ""")</f>
        <v>БУ "НЯГАНСКИЙ КОМПЛЕКСНЫЙ ЦЕНТР СОЦИАЛЬНОГО ОБСЛУЖИВАНИЯ НАСЕЛЕНИЯ"</v>
      </c>
      <c r="B5594" s="24" t="s">
        <v>8616</v>
      </c>
      <c r="C5594" s="25">
        <v>127653.12</v>
      </c>
      <c r="D5594" s="22" t="s">
        <v>8633</v>
      </c>
      <c r="E5594" s="22" t="s">
        <v>96</v>
      </c>
      <c r="F5594" s="23" t="str">
        <f>HYPERLINK("https://www.spark-marketing.ru/Card/Lot/73042535", "Организация горячего питания для граждан пожилого возраста и инвалидов, проходящих реабилитацию")</f>
        <v>Организация горячего питания для граждан пожилого возраста и инвалидов, проходящих реабилитацию</v>
      </c>
      <c r="G5594" s="22" t="s">
        <v>97</v>
      </c>
      <c r="H5594" s="22" t="s">
        <v>5093</v>
      </c>
      <c r="I5594" s="26">
        <v>43704.424872685202</v>
      </c>
      <c r="J5594" s="23" t="str">
        <f>HYPERLINK("https://www.spark-marketing.ru/Card/Person/88392", "ООО ""СЕВЕРНОЕ СИЯНИЕ""")</f>
        <v>ООО "СЕВЕРНОЕ СИЯНИЕ"</v>
      </c>
      <c r="K5594" s="24" t="s">
        <v>5095</v>
      </c>
      <c r="L5594" s="22" t="s">
        <v>10</v>
      </c>
      <c r="M5594" s="28" t="s">
        <v>51</v>
      </c>
      <c r="N5594" s="28" t="s">
        <v>51</v>
      </c>
    </row>
    <row r="5595" spans="1:14" x14ac:dyDescent="0.15">
      <c r="A5595" s="23" t="str">
        <f>HYPERLINK("https://www.spark-marketing.ru/Card/Person/399835", "МКОУ ""РАССВЕТОВСКАЯ СОШ""")</f>
        <v>МКОУ "РАССВЕТОВСКАЯ СОШ"</v>
      </c>
      <c r="B5595" s="24" t="s">
        <v>8634</v>
      </c>
      <c r="C5595" s="25">
        <v>1318285.78</v>
      </c>
      <c r="D5595" s="22" t="s">
        <v>8635</v>
      </c>
      <c r="E5595" s="22" t="s">
        <v>48</v>
      </c>
      <c r="F5595" s="23" t="str">
        <f>HYPERLINK("https://www.spark-marketing.ru/Card/Lot/73045892", "Оказание услуг по организации горячего питания обучающихся в Муниципальном казённом общеобразовательном учреждении «Рассветовская средняя общеобразовательная школа»")</f>
        <v>Оказание услуг по организации горячего питания обучающихся в Муниципальном казённом общеобразовательном учреждении «Рассветовская средняя общеобразовательная школа»</v>
      </c>
      <c r="G5595" s="22" t="s">
        <v>162</v>
      </c>
      <c r="H5595" s="22" t="s">
        <v>8636</v>
      </c>
      <c r="I5595" s="26">
        <v>43703.648495370398</v>
      </c>
      <c r="J5595" s="23" t="str">
        <f>HYPERLINK("https://www.spark-marketing.ru/Card/Person/66983", "ООО ""ТД МАРС""")</f>
        <v>ООО "ТД МАРС"</v>
      </c>
      <c r="K5595" s="24" t="s">
        <v>8637</v>
      </c>
      <c r="L5595" s="28" t="s">
        <v>51</v>
      </c>
      <c r="M5595" s="28" t="s">
        <v>51</v>
      </c>
      <c r="N5595" s="28" t="s">
        <v>51</v>
      </c>
    </row>
    <row r="5596" spans="1:14" ht="12.75" hidden="1" outlineLevel="1" x14ac:dyDescent="0.2">
      <c r="A5596" s="23" t="str">
        <f>HYPERLINK("https://www.spark-marketing.ru/Card/Person/399835", "МКОУ ""РАССВЕТОВСКАЯ СОШ""")</f>
        <v>МКОУ "РАССВЕТОВСКАЯ СОШ"</v>
      </c>
      <c r="B5596" s="24" t="s">
        <v>8634</v>
      </c>
      <c r="C5596" s="25">
        <v>1318285.78</v>
      </c>
      <c r="D5596" s="22" t="s">
        <v>8635</v>
      </c>
      <c r="E5596" s="22" t="s">
        <v>48</v>
      </c>
      <c r="F5596" s="23" t="str">
        <f>HYPERLINK("https://www.spark-marketing.ru/Card/Lot/73045892", "Оказание услуг по организации горячего питания обучающихся в Муниципальном казённом общеобразовательном учреждении «Рассветовская средняя общеобразовательная школа»")</f>
        <v>Оказание услуг по организации горячего питания обучающихся в Муниципальном казённом общеобразовательном учреждении «Рассветовская средняя общеобразовательная школа»</v>
      </c>
      <c r="G5596" s="22" t="s">
        <v>162</v>
      </c>
      <c r="H5596" s="22" t="s">
        <v>8636</v>
      </c>
      <c r="I5596" s="26">
        <v>43703.648495370398</v>
      </c>
      <c r="J5596" s="23" t="str">
        <f>HYPERLINK("https://www.spark-marketing.ru/Card/Person/66983", "ООО ""ТД МАРС""")</f>
        <v>ООО "ТД МАРС"</v>
      </c>
      <c r="K5596" s="24" t="s">
        <v>8637</v>
      </c>
      <c r="L5596" s="22" t="s">
        <v>10</v>
      </c>
      <c r="M5596" s="25">
        <v>1311694</v>
      </c>
      <c r="N5596" s="27">
        <v>5.0002663307192772E-3</v>
      </c>
    </row>
    <row r="5597" spans="1:14" x14ac:dyDescent="0.15">
      <c r="A5597" s="23" t="str">
        <f>HYPERLINK("https://www.spark-marketing.ru/Card/Person/4740", "УМВД РОССИИ ПО АРХАНГЕЛЬСКОЙ ОБЛАСТИ")</f>
        <v>УМВД РОССИИ ПО АРХАНГЕЛЬСКОЙ ОБЛАСТИ</v>
      </c>
      <c r="B5597" s="24" t="s">
        <v>8638</v>
      </c>
      <c r="C5597" s="25">
        <v>9005000</v>
      </c>
      <c r="D5597" s="22" t="s">
        <v>8639</v>
      </c>
      <c r="E5597" s="22" t="s">
        <v>48</v>
      </c>
      <c r="F5597" s="23" t="str">
        <f>HYPERLINK("https://www.spark-marketing.ru/Card/Lot/73066112", "Услуги по обеспечению питанием")</f>
        <v>Услуги по обеспечению питанием</v>
      </c>
      <c r="G5597" s="22" t="s">
        <v>214</v>
      </c>
      <c r="H5597" s="22" t="s">
        <v>214</v>
      </c>
      <c r="I5597" s="26">
        <v>43704.4293287037</v>
      </c>
      <c r="J5597" s="23" t="str">
        <f>HYPERLINK("https://www.spark-marketing.ru/Card/Person/6695713", "ООО ""МИР УПАКОВКИ""")</f>
        <v>ООО "МИР УПАКОВКИ"</v>
      </c>
      <c r="K5597" s="24" t="s">
        <v>8640</v>
      </c>
      <c r="L5597" s="22" t="s">
        <v>10</v>
      </c>
      <c r="M5597" s="28" t="s">
        <v>51</v>
      </c>
      <c r="N5597" s="28" t="s">
        <v>51</v>
      </c>
    </row>
    <row r="5598" spans="1:14" x14ac:dyDescent="0.15">
      <c r="A5598" s="23" t="str">
        <f>HYPERLINK("https://www.spark-marketing.ru/Card/Person/5862006", "ЗАО ГАЗПРОМНЕФТЬ АЭРО")</f>
        <v>ЗАО ГАЗПРОМНЕФТЬ АЭРО</v>
      </c>
      <c r="B5598" s="28" t="s">
        <v>51</v>
      </c>
      <c r="C5598" s="28" t="s">
        <v>51</v>
      </c>
      <c r="D5598" s="22" t="s">
        <v>8641</v>
      </c>
      <c r="E5598" s="22" t="s">
        <v>52</v>
      </c>
      <c r="F5598" s="23" t="str">
        <f>HYPERLINK("https://www.spark-marketing.ru/Card/Lot/73280754", "Отбора организации, способной оказать услуги по организации питания сотрудников филиала ""Ульяновск"" АО ""Газпромнефть-Аэро""")</f>
        <v>Отбора организации, способной оказать услуги по организации питания сотрудников филиала "Ульяновск" АО "Газпромнефть-Аэро"</v>
      </c>
      <c r="G5598" s="22" t="s">
        <v>51</v>
      </c>
      <c r="H5598" s="22" t="s">
        <v>51</v>
      </c>
      <c r="I5598" s="26">
        <v>43704.416666666701</v>
      </c>
      <c r="J5598" s="28" t="s">
        <v>51</v>
      </c>
      <c r="K5598" s="28" t="s">
        <v>51</v>
      </c>
      <c r="L5598" s="28" t="s">
        <v>51</v>
      </c>
      <c r="M5598" s="28" t="s">
        <v>51</v>
      </c>
      <c r="N5598" s="28" t="s">
        <v>51</v>
      </c>
    </row>
    <row r="5599" spans="1:14" x14ac:dyDescent="0.15">
      <c r="A5599" s="23" t="str">
        <f>HYPERLINK("https://www.spark-marketing.ru/Card/Person/4372212", "ОМВД РОССИИ ПО ИКРЯНИНСКОМУ РАЙОНУ")</f>
        <v>ОМВД РОССИИ ПО ИКРЯНИНСКОМУ РАЙОНУ</v>
      </c>
      <c r="B5599" s="24" t="s">
        <v>8309</v>
      </c>
      <c r="C5599" s="25">
        <v>230500</v>
      </c>
      <c r="D5599" s="22" t="s">
        <v>8642</v>
      </c>
      <c r="E5599" s="22" t="s">
        <v>48</v>
      </c>
      <c r="F5599" s="23" t="str">
        <f>HYPERLINK("https://www.spark-marketing.ru/Card/Lot/73045007", "Услуги по доставке горячего питания (завтрак, обед, ужин), 1 усл. ед")</f>
        <v>Услуги по доставке горячего питания (завтрак, обед, ужин), 1 усл. ед</v>
      </c>
      <c r="G5599" s="22" t="s">
        <v>141</v>
      </c>
      <c r="H5599" s="22" t="s">
        <v>8311</v>
      </c>
      <c r="I5599" s="26">
        <v>43704.4533912037</v>
      </c>
      <c r="J5599" s="28" t="s">
        <v>51</v>
      </c>
      <c r="K5599" s="28" t="s">
        <v>51</v>
      </c>
      <c r="L5599" s="28" t="s">
        <v>51</v>
      </c>
      <c r="M5599" s="28" t="s">
        <v>51</v>
      </c>
      <c r="N5599" s="28" t="s">
        <v>51</v>
      </c>
    </row>
    <row r="5600" spans="1:14" x14ac:dyDescent="0.15">
      <c r="A5600" s="23" t="str">
        <f>HYPERLINK("https://www.spark-marketing.ru/Card/Person/14869", "СПБ ГКУЗ ""ПБ СВЯТОГО НИКОЛАЯ ЧУДОТВОРЦА""")</f>
        <v>СПБ ГКУЗ "ПБ СВЯТОГО НИКОЛАЯ ЧУДОТВОРЦА"</v>
      </c>
      <c r="B5600" s="24" t="s">
        <v>8643</v>
      </c>
      <c r="C5600" s="25">
        <v>39833.35</v>
      </c>
      <c r="D5600" s="22" t="s">
        <v>8644</v>
      </c>
      <c r="E5600" s="22" t="s">
        <v>7083</v>
      </c>
      <c r="F5600" s="23" t="str">
        <f>HYPERLINK("https://www.spark-marketing.ru/Card/Lot/73046332", "Оказание услуг по обучению сотрудников пищеблока СПБ ГКУЗ «ПБ Святого Николая Чудотворца»")</f>
        <v>Оказание услуг по обучению сотрудников пищеблока СПБ ГКУЗ «ПБ Святого Николая Чудотворца»</v>
      </c>
      <c r="G5600" s="22" t="s">
        <v>117</v>
      </c>
      <c r="H5600" s="22" t="s">
        <v>117</v>
      </c>
      <c r="I5600" s="26">
        <v>43704.429652777799</v>
      </c>
      <c r="J5600" s="23" t="str">
        <f>HYPERLINK("https://www.spark-marketing.ru/Card/Person/75124", "СПБ ГБУ УМЦ")</f>
        <v>СПБ ГБУ УМЦ</v>
      </c>
      <c r="K5600" s="24" t="s">
        <v>8645</v>
      </c>
      <c r="L5600" s="22" t="s">
        <v>10</v>
      </c>
      <c r="M5600" s="28" t="s">
        <v>51</v>
      </c>
      <c r="N5600" s="28" t="s">
        <v>51</v>
      </c>
    </row>
    <row r="5601" spans="1:14" x14ac:dyDescent="0.15">
      <c r="A5601" s="23" t="str">
        <f>HYPERLINK("https://www.spark-marketing.ru/Card/Person/4414834", "МБДОУ ДЕТСКИЙ САД №2")</f>
        <v>МБДОУ ДЕТСКИЙ САД №2</v>
      </c>
      <c r="B5601" s="24" t="s">
        <v>8646</v>
      </c>
      <c r="C5601" s="25">
        <v>12425565.84</v>
      </c>
      <c r="D5601" s="22" t="s">
        <v>8647</v>
      </c>
      <c r="E5601" s="22" t="s">
        <v>48</v>
      </c>
      <c r="F5601" s="23" t="str">
        <f>HYPERLINK("https://www.spark-marketing.ru/Card/Lot/73066687", "Оказание услуг по организации питания детей в МБДОУ детский сад № 2 в 2019-2020 годах")</f>
        <v>Оказание услуг по организации питания детей в МБДОУ детский сад № 2 в 2019-2020 годах</v>
      </c>
      <c r="G5601" s="22" t="s">
        <v>174</v>
      </c>
      <c r="H5601" s="22" t="s">
        <v>1515</v>
      </c>
      <c r="I5601" s="26">
        <v>43704.540752314802</v>
      </c>
      <c r="J5601" s="23" t="str">
        <f>HYPERLINK("https://www.spark-marketing.ru/Card/Person/55369", "ООО ""КОМБИНАТ ОБЩЕСТВЕННОГО ПИТАНИЯ""")</f>
        <v>ООО "КОМБИНАТ ОБЩЕСТВЕННОГО ПИТАНИЯ"</v>
      </c>
      <c r="K5601" s="24" t="s">
        <v>1516</v>
      </c>
      <c r="L5601" s="28" t="s">
        <v>51</v>
      </c>
      <c r="M5601" s="28" t="s">
        <v>51</v>
      </c>
      <c r="N5601" s="28" t="s">
        <v>51</v>
      </c>
    </row>
    <row r="5602" spans="1:14" x14ac:dyDescent="0.15">
      <c r="A5602" s="23" t="str">
        <f>HYPERLINK("https://www.spark-marketing.ru/Card/Person/640799", "ОТДЕЛЕНИЕ МВД РОССИИ ПО СТЕРЛИБАШЕВСКОМУ РАЙОНУ")</f>
        <v>ОТДЕЛЕНИЕ МВД РОССИИ ПО СТЕРЛИБАШЕВСКОМУ РАЙОНУ</v>
      </c>
      <c r="B5602" s="24" t="s">
        <v>8648</v>
      </c>
      <c r="C5602" s="25">
        <v>170000</v>
      </c>
      <c r="D5602" s="22" t="s">
        <v>8649</v>
      </c>
      <c r="E5602" s="22" t="s">
        <v>8045</v>
      </c>
      <c r="F5602" s="23" t="str">
        <f>HYPERLINK("https://www.spark-marketing.ru/Card/Lot/73042915", "Обеспечение трехразовым питанием лиц, осужденных, подозреваемых и обвиняемых лиц, административно-арестованных лиц, содержащихся в изоляторе временного содержания")</f>
        <v>Обеспечение трехразовым питанием лиц, осужденных, подозреваемых и обвиняемых лиц, административно-арестованных лиц, содержащихся в изоляторе временного содержания</v>
      </c>
      <c r="G5602" s="22" t="s">
        <v>145</v>
      </c>
      <c r="H5602" s="22" t="s">
        <v>8650</v>
      </c>
      <c r="I5602" s="26">
        <v>43704.400902777801</v>
      </c>
      <c r="J5602" s="28" t="s">
        <v>51</v>
      </c>
      <c r="K5602" s="28" t="s">
        <v>51</v>
      </c>
      <c r="L5602" s="28" t="s">
        <v>51</v>
      </c>
      <c r="M5602" s="28" t="s">
        <v>51</v>
      </c>
      <c r="N5602" s="28" t="s">
        <v>51</v>
      </c>
    </row>
    <row r="5603" spans="1:14" x14ac:dyDescent="0.15">
      <c r="A5603" s="23" t="str">
        <f>HYPERLINK("https://www.spark-marketing.ru/Card/Person/640799", "ОТДЕЛЕНИЕ МВД РОССИИ ПО СТЕРЛИБАШЕВСКОМУ РАЙОНУ")</f>
        <v>ОТДЕЛЕНИЕ МВД РОССИИ ПО СТЕРЛИБАШЕВСКОМУ РАЙОНУ</v>
      </c>
      <c r="B5603" s="24" t="s">
        <v>8648</v>
      </c>
      <c r="C5603" s="25">
        <v>170000</v>
      </c>
      <c r="D5603" s="22" t="s">
        <v>8651</v>
      </c>
      <c r="E5603" s="22" t="s">
        <v>8400</v>
      </c>
      <c r="F5603" s="23" t="str">
        <f>HYPERLINK("https://www.spark-marketing.ru/Card/Lot/73042727", "Услуги")</f>
        <v>Услуги</v>
      </c>
      <c r="G5603" s="22" t="s">
        <v>145</v>
      </c>
      <c r="H5603" s="22" t="s">
        <v>8650</v>
      </c>
      <c r="I5603" s="26">
        <v>43704.3973611111</v>
      </c>
      <c r="J5603" s="28" t="s">
        <v>51</v>
      </c>
      <c r="K5603" s="28" t="s">
        <v>51</v>
      </c>
      <c r="L5603" s="28" t="s">
        <v>51</v>
      </c>
      <c r="M5603" s="28" t="s">
        <v>51</v>
      </c>
      <c r="N5603" s="28" t="s">
        <v>51</v>
      </c>
    </row>
    <row r="5604" spans="1:14" x14ac:dyDescent="0.15">
      <c r="A5604" s="23" t="str">
        <f>HYPERLINK("https://www.spark-marketing.ru/Card/Person/144997", "МО МВД РОССИИ ""КУВАНДЫКСКИЙ""")</f>
        <v>МО МВД РОССИИ "КУВАНДЫКСКИЙ"</v>
      </c>
      <c r="B5604" s="24" t="s">
        <v>3339</v>
      </c>
      <c r="C5604" s="25">
        <v>865000</v>
      </c>
      <c r="D5604" s="22" t="s">
        <v>8652</v>
      </c>
      <c r="E5604" s="22" t="s">
        <v>48</v>
      </c>
      <c r="F5604" s="23" t="str">
        <f>HYPERLINK("https://www.spark-marketing.ru/Card/Lot/73041499", "Оказание услуг по организации ежедневного горячего питания лиц содержащихся в изоляторе временного содержания подозреваемых и обвиняемых МО МВД России ""Кувандыкский""")</f>
        <v>Оказание услуг по организации ежедневного горячего питания лиц содержащихся в изоляторе временного содержания подозреваемых и обвиняемых МО МВД России "Кувандыкский"</v>
      </c>
      <c r="G5604" s="22" t="s">
        <v>132</v>
      </c>
      <c r="H5604" s="22" t="s">
        <v>3341</v>
      </c>
      <c r="I5604" s="26">
        <v>43703.734247685199</v>
      </c>
      <c r="J5604" s="28" t="s">
        <v>51</v>
      </c>
      <c r="K5604" s="28" t="s">
        <v>51</v>
      </c>
      <c r="L5604" s="28" t="s">
        <v>51</v>
      </c>
      <c r="M5604" s="28" t="s">
        <v>51</v>
      </c>
      <c r="N5604" s="28" t="s">
        <v>51</v>
      </c>
    </row>
    <row r="5605" spans="1:14" ht="12.75" hidden="1" outlineLevel="1" x14ac:dyDescent="0.2">
      <c r="A5605" s="23" t="str">
        <f>HYPERLINK("https://www.spark-marketing.ru/Card/Person/144997", "МО МВД РОССИИ ""КУВАНДЫКСКИЙ""")</f>
        <v>МО МВД РОССИИ "КУВАНДЫКСКИЙ"</v>
      </c>
      <c r="B5605" s="24" t="s">
        <v>3339</v>
      </c>
      <c r="C5605" s="25">
        <v>865000</v>
      </c>
      <c r="D5605" s="22" t="s">
        <v>8652</v>
      </c>
      <c r="E5605" s="22" t="s">
        <v>48</v>
      </c>
      <c r="F5605" s="23" t="str">
        <f>HYPERLINK("https://www.spark-marketing.ru/Card/Lot/73041499", "Оказание услуг по организации ежедневного горячего питания лиц содержащихся в изоляторе временного содержания подозреваемых и обвиняемых МО МВД России ""Кувандыкский""")</f>
        <v>Оказание услуг по организации ежедневного горячего питания лиц содержащихся в изоляторе временного содержания подозреваемых и обвиняемых МО МВД России "Кувандыкский"</v>
      </c>
      <c r="G5605" s="22" t="s">
        <v>132</v>
      </c>
      <c r="H5605" s="22" t="s">
        <v>3341</v>
      </c>
      <c r="I5605" s="26">
        <v>43703.734247685199</v>
      </c>
      <c r="J5605" s="23" t="str">
        <f>HYPERLINK("https://www.spark-marketing.ru/Card/Person/420720", "Майорова Елена Александровна")</f>
        <v>Майорова Елена Александровна</v>
      </c>
      <c r="K5605" s="24" t="s">
        <v>3342</v>
      </c>
      <c r="L5605" s="22" t="s">
        <v>10</v>
      </c>
      <c r="M5605" s="25">
        <v>696350.59</v>
      </c>
      <c r="N5605" s="27">
        <v>0.1949704161849711</v>
      </c>
    </row>
    <row r="5606" spans="1:14" hidden="1" outlineLevel="1" x14ac:dyDescent="0.2">
      <c r="A5606" s="23" t="str">
        <f>HYPERLINK("https://www.spark-marketing.ru/Card/Person/144997", "МО МВД РОССИИ ""КУВАНДЫКСКИЙ""")</f>
        <v>МО МВД РОССИИ "КУВАНДЫКСКИЙ"</v>
      </c>
      <c r="B5606" s="24" t="s">
        <v>3339</v>
      </c>
      <c r="C5606" s="25">
        <v>865000</v>
      </c>
      <c r="D5606" s="22" t="s">
        <v>8652</v>
      </c>
      <c r="E5606" s="22" t="s">
        <v>48</v>
      </c>
      <c r="F5606" s="23" t="str">
        <f>HYPERLINK("https://www.spark-marketing.ru/Card/Lot/73041499", "Оказание услуг по организации ежедневного горячего питания лиц содержащихся в изоляторе временного содержания подозреваемых и обвиняемых МО МВД России ""Кувандыкский""")</f>
        <v>Оказание услуг по организации ежедневного горячего питания лиц содержащихся в изоляторе временного содержания подозреваемых и обвиняемых МО МВД России "Кувандыкский"</v>
      </c>
      <c r="G5606" s="22" t="s">
        <v>132</v>
      </c>
      <c r="H5606" s="22" t="s">
        <v>3341</v>
      </c>
      <c r="I5606" s="26">
        <v>43703.734247685199</v>
      </c>
      <c r="J5606" s="23" t="str">
        <f>HYPERLINK("https://www.spark-marketing.ru/Card/Person/1900841", "ООО ""КСК И К""")</f>
        <v>ООО "КСК И К"</v>
      </c>
      <c r="K5606" s="24" t="s">
        <v>8653</v>
      </c>
      <c r="L5606" s="28" t="s">
        <v>51</v>
      </c>
      <c r="M5606" s="25">
        <v>700675.59</v>
      </c>
      <c r="N5606" s="27">
        <v>0.1899704161849711</v>
      </c>
    </row>
    <row r="5607" spans="1:14" x14ac:dyDescent="0.15">
      <c r="A5607" s="23" t="str">
        <f>HYPERLINK("https://www.spark-marketing.ru/Card/Person/10941", "УМВД РОССИИ ПО ОРЛОВСКОЙ ОБЛАСТИ")</f>
        <v>УМВД РОССИИ ПО ОРЛОВСКОЙ ОБЛАСТИ</v>
      </c>
      <c r="B5607" s="24" t="s">
        <v>2361</v>
      </c>
      <c r="C5607" s="25">
        <v>6190526.4800000004</v>
      </c>
      <c r="D5607" s="22" t="s">
        <v>8654</v>
      </c>
      <c r="E5607" s="22" t="s">
        <v>48</v>
      </c>
      <c r="F5607" s="23" t="str">
        <f>HYPERLINK("https://www.spark-marketing.ru/Card/Lot/73044976", "Оказание услуг по обеспечению ежедневным горячим трехразовым питанием лиц, содержащихся в спецприемнике УМВД России по г.Орлу")</f>
        <v>Оказание услуг по обеспечению ежедневным горячим трехразовым питанием лиц, содержащихся в спецприемнике УМВД России по г.Орлу</v>
      </c>
      <c r="G5607" s="22" t="s">
        <v>1066</v>
      </c>
      <c r="H5607" s="22" t="s">
        <v>1066</v>
      </c>
      <c r="I5607" s="26">
        <v>43703.722013888902</v>
      </c>
      <c r="J5607" s="23" t="str">
        <f>HYPERLINK("https://www.spark-marketing.ru/Card/Person/369395", "ООО ""ЛИК""")</f>
        <v>ООО "ЛИК"</v>
      </c>
      <c r="K5607" s="24" t="s">
        <v>2865</v>
      </c>
      <c r="L5607" s="22" t="s">
        <v>10</v>
      </c>
      <c r="M5607" s="28" t="s">
        <v>51</v>
      </c>
      <c r="N5607" s="28" t="s">
        <v>51</v>
      </c>
    </row>
    <row r="5608" spans="1:14" x14ac:dyDescent="0.15">
      <c r="A5608" s="23" t="str">
        <f>HYPERLINK("https://www.spark-marketing.ru/Card/Person/145382", "ОТДЕЛ МВД РОССИИ ПО ТАТИЩЕВСКОМУ РАЙОНУ САРАТОВСКОЙ ОБЛАСТИ")</f>
        <v>ОТДЕЛ МВД РОССИИ ПО ТАТИЩЕВСКОМУ РАЙОНУ САРАТОВСКОЙ ОБЛАСТИ</v>
      </c>
      <c r="B5608" s="24" t="s">
        <v>8655</v>
      </c>
      <c r="C5608" s="25">
        <v>50941</v>
      </c>
      <c r="D5608" s="22" t="s">
        <v>8656</v>
      </c>
      <c r="E5608" s="22" t="s">
        <v>48</v>
      </c>
      <c r="F5608" s="23" t="str">
        <f>HYPERLINK("https://www.spark-marketing.ru/Card/Lot/73041068", "Оказание услуг по организации питания (приготовлению и доставке) для ИВС, 254 усл. ед")</f>
        <v>Оказание услуг по организации питания (приготовлению и доставке) для ИВС, 254 усл. ед</v>
      </c>
      <c r="G5608" s="22" t="s">
        <v>351</v>
      </c>
      <c r="H5608" s="22" t="s">
        <v>8657</v>
      </c>
      <c r="I5608" s="26">
        <v>43704.3445138889</v>
      </c>
      <c r="J5608" s="28" t="s">
        <v>51</v>
      </c>
      <c r="K5608" s="28" t="s">
        <v>51</v>
      </c>
      <c r="L5608" s="28" t="s">
        <v>51</v>
      </c>
      <c r="M5608" s="28" t="s">
        <v>51</v>
      </c>
      <c r="N5608" s="28" t="s">
        <v>51</v>
      </c>
    </row>
    <row r="5609" spans="1:14" x14ac:dyDescent="0.15">
      <c r="A5609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609" s="24" t="s">
        <v>850</v>
      </c>
      <c r="C5609" s="25">
        <v>22290000</v>
      </c>
      <c r="D5609" s="22" t="s">
        <v>8658</v>
      </c>
      <c r="E5609" s="22" t="s">
        <v>48</v>
      </c>
      <c r="F5609" s="23" t="str">
        <f>HYPERLINK("https://www.spark-marketing.ru/Card/Lot/73041592", "Оказание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 на 2020-2021 года")</f>
        <v>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 на 2020-2021 года</v>
      </c>
      <c r="G5609" s="22" t="s">
        <v>852</v>
      </c>
      <c r="H5609" s="22" t="s">
        <v>852</v>
      </c>
      <c r="I5609" s="26">
        <v>43704.3180671296</v>
      </c>
      <c r="J5609" s="28" t="s">
        <v>51</v>
      </c>
      <c r="K5609" s="28" t="s">
        <v>51</v>
      </c>
      <c r="L5609" s="28" t="s">
        <v>51</v>
      </c>
      <c r="M5609" s="28" t="s">
        <v>51</v>
      </c>
      <c r="N5609" s="28" t="s">
        <v>51</v>
      </c>
    </row>
    <row r="5610" spans="1:14" ht="12.75" hidden="1" outlineLevel="1" x14ac:dyDescent="0.2">
      <c r="A5610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610" s="24" t="s">
        <v>850</v>
      </c>
      <c r="C5610" s="25">
        <v>22290000</v>
      </c>
      <c r="D5610" s="22" t="s">
        <v>8658</v>
      </c>
      <c r="E5610" s="22" t="s">
        <v>48</v>
      </c>
      <c r="F5610" s="23" t="str">
        <f>HYPERLINK("https://www.spark-marketing.ru/Card/Lot/73041592", "Оказание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 на 2020-2021 года")</f>
        <v>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 на 2020-2021 года</v>
      </c>
      <c r="G5610" s="22" t="s">
        <v>852</v>
      </c>
      <c r="H5610" s="22" t="s">
        <v>852</v>
      </c>
      <c r="I5610" s="26">
        <v>43704.3180671296</v>
      </c>
      <c r="J5610" s="23" t="str">
        <f>HYPERLINK("https://www.spark-marketing.ru/Card/Person/61415", "ООО ""ПЕЛИКАН""")</f>
        <v>ООО "ПЕЛИКАН"</v>
      </c>
      <c r="K5610" s="24" t="s">
        <v>7334</v>
      </c>
      <c r="L5610" s="22" t="s">
        <v>10</v>
      </c>
      <c r="M5610" s="25">
        <v>460.48</v>
      </c>
      <c r="N5610" s="27">
        <v>0.99997934140870348</v>
      </c>
    </row>
    <row r="5611" spans="1:14" hidden="1" outlineLevel="1" x14ac:dyDescent="0.2">
      <c r="A5611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611" s="24" t="s">
        <v>850</v>
      </c>
      <c r="C5611" s="25">
        <v>22290000</v>
      </c>
      <c r="D5611" s="22" t="s">
        <v>8658</v>
      </c>
      <c r="E5611" s="22" t="s">
        <v>48</v>
      </c>
      <c r="F5611" s="23" t="str">
        <f>HYPERLINK("https://www.spark-marketing.ru/Card/Lot/73041592", "Оказание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 на 2020-2021 года")</f>
        <v>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 на 2020-2021 года</v>
      </c>
      <c r="G5611" s="22" t="s">
        <v>852</v>
      </c>
      <c r="H5611" s="22" t="s">
        <v>852</v>
      </c>
      <c r="I5611" s="26">
        <v>43704.3180671296</v>
      </c>
      <c r="J5611" s="23" t="str">
        <f>HYPERLINK("https://www.spark-marketing.ru/Card/Person/88219", "ООО ""ТИАРА""")</f>
        <v>ООО "ТИАРА"</v>
      </c>
      <c r="K5611" s="24" t="s">
        <v>8659</v>
      </c>
      <c r="L5611" s="28" t="s">
        <v>51</v>
      </c>
      <c r="M5611" s="25">
        <v>500.23</v>
      </c>
      <c r="N5611" s="27">
        <v>0.99997755809780176</v>
      </c>
    </row>
    <row r="5612" spans="1:14" hidden="1" outlineLevel="1" x14ac:dyDescent="0.2">
      <c r="A5612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612" s="24" t="s">
        <v>850</v>
      </c>
      <c r="C5612" s="25">
        <v>22290000</v>
      </c>
      <c r="D5612" s="22" t="s">
        <v>8658</v>
      </c>
      <c r="E5612" s="22" t="s">
        <v>48</v>
      </c>
      <c r="F5612" s="23" t="str">
        <f>HYPERLINK("https://www.spark-marketing.ru/Card/Lot/73041592", "Оказание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 на 2020-2021 года")</f>
        <v>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 на 2020-2021 года</v>
      </c>
      <c r="G5612" s="22" t="s">
        <v>852</v>
      </c>
      <c r="H5612" s="22" t="s">
        <v>852</v>
      </c>
      <c r="I5612" s="26">
        <v>43704.3180671296</v>
      </c>
      <c r="J5612" s="23" t="str">
        <f>HYPERLINK("https://www.spark-marketing.ru/Card/Person/6479075", "ООО ""СК ПИР""")</f>
        <v>ООО "СК ПИР"</v>
      </c>
      <c r="K5612" s="24" t="s">
        <v>4355</v>
      </c>
      <c r="L5612" s="28" t="s">
        <v>51</v>
      </c>
      <c r="M5612" s="25">
        <v>744.5</v>
      </c>
      <c r="N5612" s="27">
        <v>0.99996659937191568</v>
      </c>
    </row>
    <row r="5613" spans="1:14" hidden="1" outlineLevel="1" x14ac:dyDescent="0.2">
      <c r="A5613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613" s="24" t="s">
        <v>850</v>
      </c>
      <c r="C5613" s="25">
        <v>22290000</v>
      </c>
      <c r="D5613" s="22" t="s">
        <v>8658</v>
      </c>
      <c r="E5613" s="22" t="s">
        <v>48</v>
      </c>
      <c r="F5613" s="23" t="str">
        <f>HYPERLINK("https://www.spark-marketing.ru/Card/Lot/73041592", "Оказание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 на 2020-2021 года")</f>
        <v>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 на 2020-2021 года</v>
      </c>
      <c r="G5613" s="22" t="s">
        <v>852</v>
      </c>
      <c r="H5613" s="22" t="s">
        <v>852</v>
      </c>
      <c r="I5613" s="26">
        <v>43704.3180671296</v>
      </c>
      <c r="J5613" s="23" t="str">
        <f>HYPERLINK("https://www.spark-marketing.ru/Card/Person/4535043", "ООО ""ВИНЕГРЕТ ГРУПП""")</f>
        <v>ООО "ВИНЕГРЕТ ГРУПП"</v>
      </c>
      <c r="K5613" s="24" t="s">
        <v>8660</v>
      </c>
      <c r="L5613" s="28" t="s">
        <v>51</v>
      </c>
      <c r="M5613" s="25">
        <v>676.04</v>
      </c>
      <c r="N5613" s="27">
        <v>0.99996967070435172</v>
      </c>
    </row>
    <row r="5614" spans="1:14" x14ac:dyDescent="0.15">
      <c r="A5614" s="23" t="str">
        <f>HYPERLINK("https://www.spark-marketing.ru/Card/Person/10941", "УМВД РОССИИ ПО ОРЛОВСКОЙ ОБЛАСТИ")</f>
        <v>УМВД РОССИИ ПО ОРЛОВСКОЙ ОБЛАСТИ</v>
      </c>
      <c r="B5614" s="24" t="s">
        <v>2361</v>
      </c>
      <c r="C5614" s="25">
        <v>3600000</v>
      </c>
      <c r="D5614" s="22" t="s">
        <v>8661</v>
      </c>
      <c r="E5614" s="22" t="s">
        <v>48</v>
      </c>
      <c r="F5614" s="23" t="str">
        <f>HYPERLINK("https://www.spark-marketing.ru/Card/Lot/73045285", "Оказание услуг по обеспечению ежедневным трехразовым горячим питанием лиц, содержащихся в ИВС и КАЗ МО МВД России ""Ливенский""")</f>
        <v>Оказание услуг по обеспечению ежедневным трехразовым горячим питанием лиц, содержащихся в ИВС и КАЗ МО МВД России "Ливенский"</v>
      </c>
      <c r="G5614" s="22" t="s">
        <v>1066</v>
      </c>
      <c r="H5614" s="22" t="s">
        <v>1066</v>
      </c>
      <c r="I5614" s="26">
        <v>43703.7136342593</v>
      </c>
      <c r="J5614" s="28" t="s">
        <v>51</v>
      </c>
      <c r="K5614" s="28" t="s">
        <v>51</v>
      </c>
      <c r="L5614" s="28" t="s">
        <v>51</v>
      </c>
      <c r="M5614" s="28" t="s">
        <v>51</v>
      </c>
      <c r="N5614" s="28" t="s">
        <v>51</v>
      </c>
    </row>
    <row r="5615" spans="1:14" ht="12.75" hidden="1" outlineLevel="1" x14ac:dyDescent="0.2">
      <c r="A5615" s="23" t="str">
        <f>HYPERLINK("https://www.spark-marketing.ru/Card/Person/10941", "УМВД РОССИИ ПО ОРЛОВСКОЙ ОБЛАСТИ")</f>
        <v>УМВД РОССИИ ПО ОРЛОВСКОЙ ОБЛАСТИ</v>
      </c>
      <c r="B5615" s="24" t="s">
        <v>2361</v>
      </c>
      <c r="C5615" s="25">
        <v>3600000</v>
      </c>
      <c r="D5615" s="22" t="s">
        <v>8661</v>
      </c>
      <c r="E5615" s="22" t="s">
        <v>48</v>
      </c>
      <c r="F5615" s="23" t="str">
        <f>HYPERLINK("https://www.spark-marketing.ru/Card/Lot/73045285", "Оказание услуг по обеспечению ежедневным трехразовым горячим питанием лиц, содержащихся в ИВС и КАЗ МО МВД России ""Ливенский""")</f>
        <v>Оказание услуг по обеспечению ежедневным трехразовым горячим питанием лиц, содержащихся в ИВС и КАЗ МО МВД России "Ливенский"</v>
      </c>
      <c r="G5615" s="22" t="s">
        <v>1066</v>
      </c>
      <c r="H5615" s="22" t="s">
        <v>1066</v>
      </c>
      <c r="I5615" s="26">
        <v>43703.7136342593</v>
      </c>
      <c r="J5615" s="23" t="str">
        <f>HYPERLINK("https://www.spark-marketing.ru/Card/Person/131645", "ПО ""ОБЩЕПИТ""")</f>
        <v>ПО "ОБЩЕПИТ"</v>
      </c>
      <c r="K5615" s="24" t="s">
        <v>8662</v>
      </c>
      <c r="L5615" s="22" t="s">
        <v>10</v>
      </c>
      <c r="M5615" s="25">
        <v>1980.72</v>
      </c>
      <c r="N5615" s="27">
        <v>0.99944980000000005</v>
      </c>
    </row>
    <row r="5616" spans="1:14" hidden="1" outlineLevel="1" x14ac:dyDescent="0.2">
      <c r="A5616" s="23" t="str">
        <f>HYPERLINK("https://www.spark-marketing.ru/Card/Person/10941", "УМВД РОССИИ ПО ОРЛОВСКОЙ ОБЛАСТИ")</f>
        <v>УМВД РОССИИ ПО ОРЛОВСКОЙ ОБЛАСТИ</v>
      </c>
      <c r="B5616" s="24" t="s">
        <v>2361</v>
      </c>
      <c r="C5616" s="25">
        <v>3600000</v>
      </c>
      <c r="D5616" s="22" t="s">
        <v>8661</v>
      </c>
      <c r="E5616" s="22" t="s">
        <v>48</v>
      </c>
      <c r="F5616" s="23" t="str">
        <f>HYPERLINK("https://www.spark-marketing.ru/Card/Lot/73045285", "Оказание услуг по обеспечению ежедневным трехразовым горячим питанием лиц, содержащихся в ИВС и КАЗ МО МВД России ""Ливенский""")</f>
        <v>Оказание услуг по обеспечению ежедневным трехразовым горячим питанием лиц, содержащихся в ИВС и КАЗ МО МВД России "Ливенский"</v>
      </c>
      <c r="G5616" s="22" t="s">
        <v>1066</v>
      </c>
      <c r="H5616" s="22" t="s">
        <v>1066</v>
      </c>
      <c r="I5616" s="26">
        <v>43703.7136342593</v>
      </c>
      <c r="J5616" s="23" t="str">
        <f>HYPERLINK("https://www.spark-marketing.ru/Card/Person/2371981", "ООО ""ЛЧ""")</f>
        <v>ООО "ЛЧ"</v>
      </c>
      <c r="K5616" s="24" t="s">
        <v>8663</v>
      </c>
      <c r="L5616" s="28" t="s">
        <v>51</v>
      </c>
      <c r="M5616" s="25">
        <v>1980.72</v>
      </c>
      <c r="N5616" s="27">
        <v>0.99944980000000005</v>
      </c>
    </row>
    <row r="5617" spans="1:14" x14ac:dyDescent="0.15">
      <c r="A5617" s="23" t="str">
        <f>HYPERLINK("https://www.spark-marketing.ru/Card/Person/7206", "КГБУЗ ""ГОРОДСКАЯ ДЕТСКАЯ БОЛЬНИЦА, Г. БИЙСК""")</f>
        <v>КГБУЗ "ГОРОДСКАЯ ДЕТСКАЯ БОЛЬНИЦА, Г. БИЙСК"</v>
      </c>
      <c r="B5617" s="24" t="s">
        <v>8664</v>
      </c>
      <c r="C5617" s="25">
        <v>55000</v>
      </c>
      <c r="D5617" s="22" t="s">
        <v>8665</v>
      </c>
      <c r="E5617" s="22" t="s">
        <v>8666</v>
      </c>
      <c r="F5617" s="23" t="str">
        <f>HYPERLINK("https://www.spark-marketing.ru/Card/Lot/73037631", "Оказание услуг по техническому обслуживанию и ремонту компьютерной техники, оргтехники")</f>
        <v>Оказание услуг по техническому обслуживанию и ремонту компьютерной техники, оргтехники</v>
      </c>
      <c r="G5617" s="22" t="s">
        <v>63</v>
      </c>
      <c r="H5617" s="22" t="s">
        <v>1294</v>
      </c>
      <c r="I5617" s="26">
        <v>43703.739317129599</v>
      </c>
      <c r="J5617" s="28" t="s">
        <v>51</v>
      </c>
      <c r="K5617" s="28" t="s">
        <v>51</v>
      </c>
      <c r="L5617" s="28" t="s">
        <v>51</v>
      </c>
      <c r="M5617" s="28" t="s">
        <v>51</v>
      </c>
      <c r="N5617" s="28" t="s">
        <v>51</v>
      </c>
    </row>
    <row r="5618" spans="1:14" ht="12.75" hidden="1" outlineLevel="1" x14ac:dyDescent="0.2">
      <c r="A5618" s="23" t="str">
        <f>HYPERLINK("https://www.spark-marketing.ru/Card/Person/7206", "КГБУЗ ""ГОРОДСКАЯ ДЕТСКАЯ БОЛЬНИЦА, Г. БИЙСК""")</f>
        <v>КГБУЗ "ГОРОДСКАЯ ДЕТСКАЯ БОЛЬНИЦА, Г. БИЙСК"</v>
      </c>
      <c r="B5618" s="24" t="s">
        <v>8664</v>
      </c>
      <c r="C5618" s="25">
        <v>55000</v>
      </c>
      <c r="D5618" s="22" t="s">
        <v>8665</v>
      </c>
      <c r="E5618" s="22" t="s">
        <v>8666</v>
      </c>
      <c r="F5618" s="23" t="str">
        <f>HYPERLINK("https://www.spark-marketing.ru/Card/Lot/73037631", "Оказание услуг по техническому обслуживанию и ремонту компьютерной техники, оргтехники")</f>
        <v>Оказание услуг по техническому обслуживанию и ремонту компьютерной техники, оргтехники</v>
      </c>
      <c r="G5618" s="22" t="s">
        <v>63</v>
      </c>
      <c r="H5618" s="22" t="s">
        <v>1294</v>
      </c>
      <c r="I5618" s="26">
        <v>43703.739317129599</v>
      </c>
      <c r="J5618" s="23" t="str">
        <f>HYPERLINK("https://www.spark-marketing.ru/Card/Person/185869", "ООО ""ПАРУС ПЛЮС""")</f>
        <v>ООО "ПАРУС ПЛЮС"</v>
      </c>
      <c r="K5618" s="24" t="s">
        <v>8667</v>
      </c>
      <c r="L5618" s="22" t="s">
        <v>10</v>
      </c>
      <c r="M5618" s="25">
        <v>55148.93</v>
      </c>
      <c r="N5618" s="27">
        <v>-2.7078181818181819E-3</v>
      </c>
    </row>
    <row r="5619" spans="1:14" hidden="1" outlineLevel="1" x14ac:dyDescent="0.2">
      <c r="A5619" s="23" t="str">
        <f>HYPERLINK("https://www.spark-marketing.ru/Card/Person/7206", "КГБУЗ ""ГОРОДСКАЯ ДЕТСКАЯ БОЛЬНИЦА, Г. БИЙСК""")</f>
        <v>КГБУЗ "ГОРОДСКАЯ ДЕТСКАЯ БОЛЬНИЦА, Г. БИЙСК"</v>
      </c>
      <c r="B5619" s="24" t="s">
        <v>8664</v>
      </c>
      <c r="C5619" s="25">
        <v>55000</v>
      </c>
      <c r="D5619" s="22" t="s">
        <v>8665</v>
      </c>
      <c r="E5619" s="22" t="s">
        <v>8666</v>
      </c>
      <c r="F5619" s="23" t="str">
        <f>HYPERLINK("https://www.spark-marketing.ru/Card/Lot/73037631", "Оказание услуг по техническому обслуживанию и ремонту компьютерной техники, оргтехники")</f>
        <v>Оказание услуг по техническому обслуживанию и ремонту компьютерной техники, оргтехники</v>
      </c>
      <c r="G5619" s="22" t="s">
        <v>63</v>
      </c>
      <c r="H5619" s="22" t="s">
        <v>1294</v>
      </c>
      <c r="I5619" s="26">
        <v>43703.739317129599</v>
      </c>
      <c r="J5619" s="23" t="str">
        <f>HYPERLINK("https://www.spark-marketing.ru/Card/Person/6690340", "ООО ""КАЧЕСТВОПЛЮС""")</f>
        <v>ООО "КАЧЕСТВОПЛЮС"</v>
      </c>
      <c r="K5619" s="24" t="s">
        <v>8668</v>
      </c>
      <c r="L5619" s="28" t="s">
        <v>51</v>
      </c>
      <c r="M5619" s="25">
        <v>56276.72</v>
      </c>
      <c r="N5619" s="27">
        <v>-2.3213090909090909E-2</v>
      </c>
    </row>
    <row r="5620" spans="1:14" hidden="1" outlineLevel="1" x14ac:dyDescent="0.2">
      <c r="A5620" s="23" t="str">
        <f>HYPERLINK("https://www.spark-marketing.ru/Card/Person/7206", "КГБУЗ ""ГОРОДСКАЯ ДЕТСКАЯ БОЛЬНИЦА, Г. БИЙСК""")</f>
        <v>КГБУЗ "ГОРОДСКАЯ ДЕТСКАЯ БОЛЬНИЦА, Г. БИЙСК"</v>
      </c>
      <c r="B5620" s="24" t="s">
        <v>8664</v>
      </c>
      <c r="C5620" s="25">
        <v>55000</v>
      </c>
      <c r="D5620" s="22" t="s">
        <v>8665</v>
      </c>
      <c r="E5620" s="22" t="s">
        <v>8666</v>
      </c>
      <c r="F5620" s="23" t="str">
        <f>HYPERLINK("https://www.spark-marketing.ru/Card/Lot/73037631", "Оказание услуг по техническому обслуживанию и ремонту компьютерной техники, оргтехники")</f>
        <v>Оказание услуг по техническому обслуживанию и ремонту компьютерной техники, оргтехники</v>
      </c>
      <c r="G5620" s="22" t="s">
        <v>63</v>
      </c>
      <c r="H5620" s="22" t="s">
        <v>1294</v>
      </c>
      <c r="I5620" s="26">
        <v>43703.739317129599</v>
      </c>
      <c r="J5620" s="23" t="str">
        <f>HYPERLINK("https://www.spark-marketing.ru/Card/Person/4877894", "ООО ""ГАЛЭКС СЕРВИС""")</f>
        <v>ООО "ГАЛЭКС СЕРВИС"</v>
      </c>
      <c r="K5620" s="24" t="s">
        <v>2595</v>
      </c>
      <c r="L5620" s="28" t="s">
        <v>51</v>
      </c>
      <c r="M5620" s="25">
        <v>98117.73</v>
      </c>
      <c r="N5620" s="27">
        <v>-0.78395872727272731</v>
      </c>
    </row>
    <row r="5621" spans="1:14" x14ac:dyDescent="0.2">
      <c r="A5621" s="23" t="str">
        <f>HYPERLINK("https://www.spark-marketing.ru/Card/Person/4352790", "МДОУ ""ЦРР - Д/С № 107"" Г. МАГНИТОГОРСКА")</f>
        <v>МДОУ "ЦРР - Д/С № 107" Г. МАГНИТОГОРСКА</v>
      </c>
      <c r="B5621" s="24" t="s">
        <v>8669</v>
      </c>
      <c r="C5621" s="25">
        <v>836000</v>
      </c>
      <c r="D5621" s="22" t="s">
        <v>8670</v>
      </c>
      <c r="E5621" s="22" t="s">
        <v>48</v>
      </c>
      <c r="F5621" s="23" t="str">
        <f>HYPERLINK("https://www.spark-marketing.ru/Card/Lot/73066083", "№45068-2019-ЭКОУ-8 Оказание услуг по организации горячего питания в соответствии с категориями воспитанников.")</f>
        <v>№45068-2019-ЭКОУ-8 Оказание услуг по организации горячего питания в соответствии с категориями воспитанников.</v>
      </c>
      <c r="G5621" s="22" t="s">
        <v>469</v>
      </c>
      <c r="H5621" s="22" t="s">
        <v>470</v>
      </c>
      <c r="I5621" s="26">
        <v>43704.410590277803</v>
      </c>
      <c r="J5621" s="23" t="str">
        <f>HYPERLINK("https://www.spark-marketing.ru/Card/Person/102584", "АО ""ГОРТОРГ""")</f>
        <v>АО "ГОРТОРГ"</v>
      </c>
      <c r="K5621" s="24" t="s">
        <v>8671</v>
      </c>
      <c r="L5621" s="28" t="s">
        <v>51</v>
      </c>
      <c r="M5621" s="25">
        <v>836000</v>
      </c>
      <c r="N5621" s="27">
        <v>0</v>
      </c>
    </row>
    <row r="5622" spans="1:14" x14ac:dyDescent="0.15">
      <c r="A5622" s="23" t="str">
        <f>HYPERLINK("https://www.spark-marketing.ru/Card/Person/1039403", "КГКОУ ШИ 19")</f>
        <v>КГКОУ ШИ 19</v>
      </c>
      <c r="B5622" s="24" t="s">
        <v>8672</v>
      </c>
      <c r="C5622" s="25">
        <v>471688.4</v>
      </c>
      <c r="D5622" s="22" t="s">
        <v>8673</v>
      </c>
      <c r="E5622" s="22" t="s">
        <v>8674</v>
      </c>
      <c r="F5622" s="23" t="str">
        <f>HYPERLINK("https://www.spark-marketing.ru/Card/Lot/73037476", "Услуги, Продукты питания")</f>
        <v>Услуги, Продукты питания</v>
      </c>
      <c r="G5622" s="22" t="s">
        <v>1096</v>
      </c>
      <c r="H5622" s="22" t="s">
        <v>8675</v>
      </c>
      <c r="I5622" s="26">
        <v>43704.1766319444</v>
      </c>
      <c r="J5622" s="28" t="s">
        <v>51</v>
      </c>
      <c r="K5622" s="28" t="s">
        <v>51</v>
      </c>
      <c r="L5622" s="28" t="s">
        <v>51</v>
      </c>
      <c r="M5622" s="28" t="s">
        <v>51</v>
      </c>
      <c r="N5622" s="28" t="s">
        <v>51</v>
      </c>
    </row>
    <row r="5623" spans="1:14" x14ac:dyDescent="0.2">
      <c r="A5623" s="23" t="str">
        <f>HYPERLINK("https://www.spark-marketing.ru/Card/Person/4414338", "МАОУ СОШ № 10")</f>
        <v>МАОУ СОШ № 10</v>
      </c>
      <c r="B5623" s="24" t="s">
        <v>2254</v>
      </c>
      <c r="C5623" s="25">
        <v>577209.56999999995</v>
      </c>
      <c r="D5623" s="22" t="s">
        <v>8676</v>
      </c>
      <c r="E5623" s="22" t="s">
        <v>362</v>
      </c>
      <c r="F5623" s="23" t="str">
        <f>HYPERLINK("https://www.spark-marketing.ru/Card/Lot/73047009", "Оказание услуг по организации питания обучающихся в МАОУ СОШ№10")</f>
        <v>Оказание услуг по организации питания обучающихся в МАОУ СОШ№10</v>
      </c>
      <c r="G5623" s="22" t="s">
        <v>174</v>
      </c>
      <c r="H5623" s="22" t="s">
        <v>174</v>
      </c>
      <c r="I5623" s="26">
        <v>43704</v>
      </c>
      <c r="J5623" s="28" t="s">
        <v>51</v>
      </c>
      <c r="K5623" s="28" t="s">
        <v>51</v>
      </c>
      <c r="L5623" s="28" t="s">
        <v>51</v>
      </c>
      <c r="M5623" s="25">
        <v>577209.56999999995</v>
      </c>
      <c r="N5623" s="27">
        <v>0</v>
      </c>
    </row>
    <row r="5624" spans="1:14" x14ac:dyDescent="0.2">
      <c r="A5624" s="23" t="str">
        <f>HYPERLINK("https://www.spark-marketing.ru/Card/Person/4434819", "МОАУ ""СОШ №29 Г.ОРСКА""")</f>
        <v>МОАУ "СОШ №29 Г.ОРСКА"</v>
      </c>
      <c r="B5624" s="24" t="s">
        <v>8677</v>
      </c>
      <c r="C5624" s="25">
        <v>658539</v>
      </c>
      <c r="D5624" s="22" t="s">
        <v>8678</v>
      </c>
      <c r="E5624" s="22" t="s">
        <v>8157</v>
      </c>
      <c r="F5624" s="23" t="str">
        <f>HYPERLINK("https://www.spark-marketing.ru/Card/Lot/73050299", "Оказание услуг по организации питания учащихся")</f>
        <v>Оказание услуг по организации питания учащихся</v>
      </c>
      <c r="G5624" s="22" t="s">
        <v>132</v>
      </c>
      <c r="H5624" s="22" t="s">
        <v>132</v>
      </c>
      <c r="I5624" s="26">
        <v>43704</v>
      </c>
      <c r="J5624" s="28" t="s">
        <v>51</v>
      </c>
      <c r="K5624" s="28" t="s">
        <v>51</v>
      </c>
      <c r="L5624" s="22" t="s">
        <v>10</v>
      </c>
      <c r="M5624" s="25">
        <v>658539</v>
      </c>
      <c r="N5624" s="27">
        <v>0</v>
      </c>
    </row>
    <row r="5625" spans="1:14" x14ac:dyDescent="0.2">
      <c r="A5625" s="23" t="str">
        <f>HYPERLINK("https://www.spark-marketing.ru/Card/Person/1337503", "ГАУ МО ""ЦСП №1""")</f>
        <v>ГАУ МО "ЦСП №1"</v>
      </c>
      <c r="B5625" s="24" t="s">
        <v>8679</v>
      </c>
      <c r="C5625" s="25">
        <v>924000</v>
      </c>
      <c r="D5625" s="22" t="s">
        <v>8680</v>
      </c>
      <c r="E5625" s="22" t="s">
        <v>7046</v>
      </c>
      <c r="F5625" s="23" t="str">
        <f>HYPERLINK("https://www.spark-marketing.ru/Card/Lot/73047351", "Оказание услуг, связанных с организацией участия в спортивных мероприятиях (оказание услуг по организации питания и проживания спортсменов при проведении домашних туров во втором полугодии 2019 года)")</f>
        <v>Оказание услуг, связанных с организацией участия в спортивных мероприятиях (оказание услуг по организации питания и проживания спортсменов при проведении домашних туров во втором полугодии 2019 года)</v>
      </c>
      <c r="G5625" s="22" t="s">
        <v>49</v>
      </c>
      <c r="H5625" s="22" t="s">
        <v>2874</v>
      </c>
      <c r="I5625" s="26">
        <v>43704</v>
      </c>
      <c r="J5625" s="28" t="s">
        <v>51</v>
      </c>
      <c r="K5625" s="28" t="s">
        <v>51</v>
      </c>
      <c r="L5625" s="28" t="s">
        <v>51</v>
      </c>
      <c r="M5625" s="25">
        <v>923200</v>
      </c>
      <c r="N5625" s="27">
        <v>8.658008658008658E-4</v>
      </c>
    </row>
    <row r="5626" spans="1:14" x14ac:dyDescent="0.2">
      <c r="A5626" s="23" t="str">
        <f>HYPERLINK("https://www.spark-marketing.ru/Card/Person/1137139", "МАОУ ""ГИМНАЗИЯ № 35""")</f>
        <v>МАОУ "ГИМНАЗИЯ № 35"</v>
      </c>
      <c r="B5626" s="24" t="s">
        <v>3279</v>
      </c>
      <c r="C5626" s="25">
        <v>340000</v>
      </c>
      <c r="D5626" s="22" t="s">
        <v>8681</v>
      </c>
      <c r="E5626" s="22" t="s">
        <v>3281</v>
      </c>
      <c r="F5626" s="23" t="str">
        <f>HYPERLINK("https://www.spark-marketing.ru/Card/Lot/73043620", "Оказание услуг по организации питания на 3 квартал 2019")</f>
        <v>Оказание услуг по организации питания на 3 квартал 2019</v>
      </c>
      <c r="G5626" s="22" t="s">
        <v>663</v>
      </c>
      <c r="H5626" s="22" t="s">
        <v>663</v>
      </c>
      <c r="I5626" s="26">
        <v>43704</v>
      </c>
      <c r="J5626" s="28" t="s">
        <v>51</v>
      </c>
      <c r="K5626" s="28" t="s">
        <v>51</v>
      </c>
      <c r="L5626" s="22" t="s">
        <v>10</v>
      </c>
      <c r="M5626" s="25">
        <v>340000</v>
      </c>
      <c r="N5626" s="27">
        <v>0</v>
      </c>
    </row>
    <row r="5627" spans="1:14" x14ac:dyDescent="0.2">
      <c r="A5627" s="23" t="str">
        <f>HYPERLINK("https://www.spark-marketing.ru/Card/Person/4348646", "ООО ""БЕЛОЯРСКАЯ АЭС- АВТО""")</f>
        <v>ООО "БЕЛОЯРСКАЯ АЭС- АВТО"</v>
      </c>
      <c r="B5627" s="24" t="s">
        <v>8411</v>
      </c>
      <c r="C5627" s="25">
        <v>2915031.55</v>
      </c>
      <c r="D5627" s="22" t="s">
        <v>8682</v>
      </c>
      <c r="E5627" s="22" t="s">
        <v>774</v>
      </c>
      <c r="F5627" s="23" t="str">
        <f>HYPERLINK("https://www.spark-marketing.ru/Card/Lot/73047866", "Право заключения договора на Оказание услуг по сервисному обслуживанию и ремонту холодильного оборудования подразделения общественного питания ООО «Белоярская АЭС-Авто» на 2019 -2021гг.")</f>
        <v>Право заключения договора на Оказание услуг по сервисному обслуживанию и ремонту холодильного оборудования подразделения общественного питания ООО «Белоярская АЭС-Авто» на 2019 -2021гг.</v>
      </c>
      <c r="G5627" s="22" t="s">
        <v>174</v>
      </c>
      <c r="H5627" s="22" t="s">
        <v>8413</v>
      </c>
      <c r="I5627" s="26">
        <v>43704</v>
      </c>
      <c r="J5627" s="28" t="s">
        <v>51</v>
      </c>
      <c r="K5627" s="28" t="s">
        <v>51</v>
      </c>
      <c r="L5627" s="22" t="s">
        <v>10</v>
      </c>
      <c r="M5627" s="25">
        <v>2306714</v>
      </c>
      <c r="N5627" s="27">
        <v>0.20868300722165425</v>
      </c>
    </row>
    <row r="5628" spans="1:14" x14ac:dyDescent="0.15">
      <c r="A5628" s="23" t="str">
        <f>HYPERLINK("https://www.spark-marketing.ru/Card/Person/2097942", "АО ""КОНЦЕРН РОСЭНЕРГОАТОМ""")</f>
        <v>АО "КОНЦЕРН РОСЭНЕРГОАТОМ"</v>
      </c>
      <c r="B5628" s="24" t="s">
        <v>908</v>
      </c>
      <c r="C5628" s="25">
        <v>2113770</v>
      </c>
      <c r="D5628" s="22" t="s">
        <v>8683</v>
      </c>
      <c r="E5628" s="22" t="s">
        <v>5732</v>
      </c>
      <c r="F5628" s="23" t="str">
        <f>HYPERLINK("https://www.spark-marketing.ru/Card/Lot/73051034", "Право заключения договора на Оказание услуг по организации питания участников мероприятий, проживающих в санатории-профилактории «Энергетик»")</f>
        <v>Право заключения договора на Оказание услуг по организации питания участников мероприятий, проживающих в санатории-профилактории «Энергетик»</v>
      </c>
      <c r="G5628" s="22" t="s">
        <v>56</v>
      </c>
      <c r="H5628" s="22" t="s">
        <v>56</v>
      </c>
      <c r="I5628" s="26">
        <v>43704</v>
      </c>
      <c r="J5628" s="28" t="s">
        <v>51</v>
      </c>
      <c r="K5628" s="28" t="s">
        <v>51</v>
      </c>
      <c r="L5628" s="28" t="s">
        <v>51</v>
      </c>
      <c r="M5628" s="28" t="s">
        <v>51</v>
      </c>
      <c r="N5628" s="28" t="s">
        <v>51</v>
      </c>
    </row>
    <row r="5629" spans="1:14" x14ac:dyDescent="0.15">
      <c r="A5629" s="23" t="str">
        <f>HYPERLINK("https://www.spark-marketing.ru/Card/Person/1037454", "МАОУ СОШ № 8")</f>
        <v>МАОУ СОШ № 8</v>
      </c>
      <c r="B5629" s="24" t="s">
        <v>8684</v>
      </c>
      <c r="C5629" s="25">
        <v>2491020</v>
      </c>
      <c r="D5629" s="22" t="s">
        <v>8685</v>
      </c>
      <c r="E5629" s="22" t="s">
        <v>362</v>
      </c>
      <c r="F5629" s="23" t="str">
        <f>HYPERLINK("https://www.spark-marketing.ru/Card/Lot/73055998", "Оказание услуг по организации горячего питания обучающихся во время образовательного процесса")</f>
        <v>Оказание услуг по организации горячего питания обучающихся во время образовательного процесса</v>
      </c>
      <c r="G5629" s="22" t="s">
        <v>174</v>
      </c>
      <c r="H5629" s="22" t="s">
        <v>174</v>
      </c>
      <c r="I5629" s="26">
        <v>43704</v>
      </c>
      <c r="J5629" s="28" t="s">
        <v>51</v>
      </c>
      <c r="K5629" s="28" t="s">
        <v>51</v>
      </c>
      <c r="L5629" s="28" t="s">
        <v>51</v>
      </c>
      <c r="M5629" s="28" t="s">
        <v>51</v>
      </c>
      <c r="N5629" s="28" t="s">
        <v>51</v>
      </c>
    </row>
    <row r="5630" spans="1:14" x14ac:dyDescent="0.15">
      <c r="A5630" s="23" t="str">
        <f>HYPERLINK("https://www.spark-marketing.ru/Card/Person/952907", "МАОУ СОШ № 62")</f>
        <v>МАОУ СОШ № 62</v>
      </c>
      <c r="B5630" s="24" t="s">
        <v>8686</v>
      </c>
      <c r="C5630" s="25">
        <v>132086.68</v>
      </c>
      <c r="D5630" s="22" t="s">
        <v>8687</v>
      </c>
      <c r="E5630" s="22" t="s">
        <v>362</v>
      </c>
      <c r="F5630" s="23" t="str">
        <f>HYPERLINK("https://www.spark-marketing.ru/Card/Lot/73050218", "Закупка услуг по организации питания обучающихся с ограниченными возможностями здоровья")</f>
        <v>Закупка услуг по организации питания обучающихся с ограниченными возможностями здоровья</v>
      </c>
      <c r="G5630" s="22" t="s">
        <v>104</v>
      </c>
      <c r="H5630" s="22" t="s">
        <v>104</v>
      </c>
      <c r="I5630" s="26">
        <v>43704</v>
      </c>
      <c r="J5630" s="28" t="s">
        <v>51</v>
      </c>
      <c r="K5630" s="28" t="s">
        <v>51</v>
      </c>
      <c r="L5630" s="28" t="s">
        <v>51</v>
      </c>
      <c r="M5630" s="28" t="s">
        <v>51</v>
      </c>
      <c r="N5630" s="28" t="s">
        <v>51</v>
      </c>
    </row>
    <row r="5631" spans="1:14" x14ac:dyDescent="0.2">
      <c r="A5631" s="23" t="str">
        <f>HYPERLINK("https://www.spark-marketing.ru/Card/Person/1397215", "МАОУ СОШ № 8")</f>
        <v>МАОУ СОШ № 8</v>
      </c>
      <c r="B5631" s="24" t="s">
        <v>8688</v>
      </c>
      <c r="C5631" s="25">
        <v>9801246</v>
      </c>
      <c r="D5631" s="22" t="s">
        <v>8689</v>
      </c>
      <c r="E5631" s="22" t="s">
        <v>362</v>
      </c>
      <c r="F5631" s="23" t="str">
        <f>HYPERLINK("https://www.spark-marketing.ru/Card/Lot/73051186", "оказание услуг по организации питания в МАОУ СОШ №8")</f>
        <v>оказание услуг по организации питания в МАОУ СОШ №8</v>
      </c>
      <c r="G5631" s="22" t="s">
        <v>1056</v>
      </c>
      <c r="H5631" s="22" t="s">
        <v>1056</v>
      </c>
      <c r="I5631" s="26">
        <v>43704</v>
      </c>
      <c r="J5631" s="28" t="s">
        <v>51</v>
      </c>
      <c r="K5631" s="28" t="s">
        <v>51</v>
      </c>
      <c r="L5631" s="28" t="s">
        <v>51</v>
      </c>
      <c r="M5631" s="25">
        <v>9801246</v>
      </c>
      <c r="N5631" s="27">
        <v>0</v>
      </c>
    </row>
    <row r="5632" spans="1:14" x14ac:dyDescent="0.15">
      <c r="A5632" s="23" t="str">
        <f>HYPERLINK("https://www.spark-marketing.ru/Card/Person/1067997", "МАОУ СОШ № 8 Г. ХОЛМСКА")</f>
        <v>МАОУ СОШ № 8 Г. ХОЛМСКА</v>
      </c>
      <c r="B5632" s="24" t="s">
        <v>8690</v>
      </c>
      <c r="C5632" s="25">
        <v>1202882.6100000001</v>
      </c>
      <c r="D5632" s="22" t="s">
        <v>8691</v>
      </c>
      <c r="E5632" s="22" t="s">
        <v>362</v>
      </c>
      <c r="F5632" s="23" t="str">
        <f>HYPERLINK("https://www.spark-marketing.ru/Card/Lot/73037567", "комплекс услуг по организации горячего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малочисленных народов С...")</f>
        <v>комплекс услуг по организации горячего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малочисленных народов С...</v>
      </c>
      <c r="G5632" s="22" t="s">
        <v>260</v>
      </c>
      <c r="H5632" s="22" t="s">
        <v>260</v>
      </c>
      <c r="I5632" s="26">
        <v>43704</v>
      </c>
      <c r="J5632" s="28" t="s">
        <v>51</v>
      </c>
      <c r="K5632" s="28" t="s">
        <v>51</v>
      </c>
      <c r="L5632" s="28" t="s">
        <v>51</v>
      </c>
      <c r="M5632" s="28" t="s">
        <v>51</v>
      </c>
      <c r="N5632" s="28" t="s">
        <v>51</v>
      </c>
    </row>
    <row r="5633" spans="1:14" x14ac:dyDescent="0.15">
      <c r="A5633" s="23" t="str">
        <f>HYPERLINK("https://www.spark-marketing.ru/Card/Person/6248", "ФГБОУ ВО ""ПГУ"", ПЕНЗЕНСКИЙ ГОСУДАРСТВЕННЫЙ УНИВЕРСИТЕТ, ФГБОУ ВО ""ПЕНЗЕНСКИЙ ГОСУДАРСТВЕННЫЙ УНИВЕРСИТЕТ""")</f>
        <v>ФГБОУ ВО "ПГУ", ПЕНЗЕНСКИЙ ГОСУДАРСТВЕННЫЙ УНИВЕРСИТЕТ, ФГБОУ ВО "ПЕНЗЕНСКИЙ ГОСУДАРСТВЕННЫЙ УНИВЕРСИТЕТ"</v>
      </c>
      <c r="B5633" s="24" t="s">
        <v>3557</v>
      </c>
      <c r="C5633" s="25">
        <v>150000</v>
      </c>
      <c r="D5633" s="22" t="s">
        <v>8692</v>
      </c>
      <c r="E5633" s="22" t="s">
        <v>362</v>
      </c>
      <c r="F5633" s="23" t="str">
        <f>HYPERLINK("https://www.spark-marketing.ru/Card/Lot/73058501", "Услуги по организации питания")</f>
        <v>Услуги по организации питания</v>
      </c>
      <c r="G5633" s="22" t="s">
        <v>72</v>
      </c>
      <c r="H5633" s="22" t="s">
        <v>72</v>
      </c>
      <c r="I5633" s="26">
        <v>43704</v>
      </c>
      <c r="J5633" s="28" t="s">
        <v>51</v>
      </c>
      <c r="K5633" s="28" t="s">
        <v>51</v>
      </c>
      <c r="L5633" s="28" t="s">
        <v>51</v>
      </c>
      <c r="M5633" s="28" t="s">
        <v>51</v>
      </c>
      <c r="N5633" s="28" t="s">
        <v>51</v>
      </c>
    </row>
    <row r="5634" spans="1:14" x14ac:dyDescent="0.15">
      <c r="A5634" s="23" t="str">
        <f>HYPERLINK("https://www.spark-marketing.ru/Card/Person/1338315", "ГАУ МО ""ЦСП №8""")</f>
        <v>ГАУ МО "ЦСП №8"</v>
      </c>
      <c r="B5634" s="24" t="s">
        <v>1567</v>
      </c>
      <c r="C5634" s="25">
        <v>1617000</v>
      </c>
      <c r="D5634" s="22" t="s">
        <v>8693</v>
      </c>
      <c r="E5634" s="22" t="s">
        <v>362</v>
      </c>
      <c r="F5634" s="23" t="str">
        <f>HYPERLINK("https://www.spark-marketing.ru/Card/Lot/73063008", "Оказание услуг, связанных с организацией участия команды «Торнадо» в спортивных мероприятиях (питание сезон 2019-2020)")</f>
        <v>Оказание услуг, связанных с организацией участия команды «Торнадо» в спортивных мероприятиях (питание сезон 2019-2020)</v>
      </c>
      <c r="G5634" s="22" t="s">
        <v>49</v>
      </c>
      <c r="H5634" s="22" t="s">
        <v>721</v>
      </c>
      <c r="I5634" s="26">
        <v>43704</v>
      </c>
      <c r="J5634" s="28" t="s">
        <v>51</v>
      </c>
      <c r="K5634" s="28" t="s">
        <v>51</v>
      </c>
      <c r="L5634" s="28" t="s">
        <v>51</v>
      </c>
      <c r="M5634" s="28" t="s">
        <v>51</v>
      </c>
      <c r="N5634" s="28" t="s">
        <v>51</v>
      </c>
    </row>
    <row r="5635" spans="1:14" x14ac:dyDescent="0.15">
      <c r="A5635" s="23" t="str">
        <f>HYPERLINK("https://www.spark-marketing.ru/Card/Person/2131154", "МАОУ ДСОШ № 5")</f>
        <v>МАОУ ДСОШ № 5</v>
      </c>
      <c r="B5635" s="24" t="s">
        <v>8694</v>
      </c>
      <c r="C5635" s="25">
        <v>283360</v>
      </c>
      <c r="D5635" s="22" t="s">
        <v>8695</v>
      </c>
      <c r="E5635" s="22" t="s">
        <v>362</v>
      </c>
      <c r="F5635" s="23" t="str">
        <f>HYPERLINK("https://www.spark-marketing.ru/Card/Lot/73062566", "Оказание услуг по организации горячего питания школьников")</f>
        <v>Оказание услуг по организации горячего питания школьников</v>
      </c>
      <c r="G5635" s="22" t="s">
        <v>475</v>
      </c>
      <c r="H5635" s="22" t="s">
        <v>475</v>
      </c>
      <c r="I5635" s="26">
        <v>43704</v>
      </c>
      <c r="J5635" s="28" t="s">
        <v>51</v>
      </c>
      <c r="K5635" s="28" t="s">
        <v>51</v>
      </c>
      <c r="L5635" s="28" t="s">
        <v>51</v>
      </c>
      <c r="M5635" s="28" t="s">
        <v>51</v>
      </c>
      <c r="N5635" s="28" t="s">
        <v>51</v>
      </c>
    </row>
    <row r="5636" spans="1:14" x14ac:dyDescent="0.2">
      <c r="A5636" s="23" t="str">
        <f>HYPERLINK("https://www.spark-marketing.ru/Card/Person/4414683", "МАДОУ ""ДЕТСКИЙ САД № 10""")</f>
        <v>МАДОУ "ДЕТСКИЙ САД № 10"</v>
      </c>
      <c r="B5636" s="24" t="s">
        <v>8696</v>
      </c>
      <c r="C5636" s="25">
        <v>1263723.5</v>
      </c>
      <c r="D5636" s="22" t="s">
        <v>8697</v>
      </c>
      <c r="E5636" s="22" t="s">
        <v>918</v>
      </c>
      <c r="F5636" s="23" t="str">
        <f>HYPERLINK("https://www.spark-marketing.ru/Card/Lot/73046848", "Оказание услуг по обеспечению горячим питанием воспитанников")</f>
        <v>Оказание услуг по обеспечению горячим питанием воспитанников</v>
      </c>
      <c r="G5636" s="22" t="s">
        <v>49</v>
      </c>
      <c r="H5636" s="22" t="s">
        <v>49</v>
      </c>
      <c r="I5636" s="26">
        <v>43704</v>
      </c>
      <c r="J5636" s="28" t="s">
        <v>51</v>
      </c>
      <c r="K5636" s="28" t="s">
        <v>51</v>
      </c>
      <c r="L5636" s="22" t="s">
        <v>10</v>
      </c>
      <c r="M5636" s="25">
        <v>1263723.5</v>
      </c>
      <c r="N5636" s="27">
        <v>0</v>
      </c>
    </row>
    <row r="5637" spans="1:14" x14ac:dyDescent="0.15">
      <c r="A5637" s="23" t="str">
        <f>HYPERLINK("https://www.spark-marketing.ru/Card/Person/4349872", "АО ""АВИАКОМПАНИЯ ""РОССИЯ""")</f>
        <v>АО "АВИАКОМПАНИЯ "РОССИЯ"</v>
      </c>
      <c r="B5637" s="24" t="s">
        <v>785</v>
      </c>
      <c r="C5637" s="25">
        <v>105547835.92200001</v>
      </c>
      <c r="D5637" s="22" t="s">
        <v>8698</v>
      </c>
      <c r="E5637" s="22" t="s">
        <v>769</v>
      </c>
      <c r="F5637" s="23" t="str">
        <f>HYPERLINK("https://www.spark-marketing.ru/Card/Lot/73057604", "Оказание услуг по трансферу, питанию и размещению для экипажей и командируемых сотрудников в Коломбо (Шри-Ланка)")</f>
        <v>Оказание услуг по трансферу, питанию и размещению для экипажей и командируемых сотрудников в Коломбо (Шри-Ланка)</v>
      </c>
      <c r="G5637" s="22" t="s">
        <v>117</v>
      </c>
      <c r="H5637" s="22" t="s">
        <v>117</v>
      </c>
      <c r="I5637" s="26">
        <v>43704</v>
      </c>
      <c r="J5637" s="28" t="s">
        <v>51</v>
      </c>
      <c r="K5637" s="28" t="s">
        <v>51</v>
      </c>
      <c r="L5637" s="28" t="s">
        <v>51</v>
      </c>
      <c r="M5637" s="28" t="s">
        <v>51</v>
      </c>
      <c r="N5637" s="28" t="s">
        <v>51</v>
      </c>
    </row>
    <row r="5638" spans="1:14" x14ac:dyDescent="0.2">
      <c r="A5638" s="23" t="str">
        <f>HYPERLINK("https://www.spark-marketing.ru/Card/Person/1187795", "МАОУ СОШ № 25 С УИОП")</f>
        <v>МАОУ СОШ № 25 С УИОП</v>
      </c>
      <c r="B5638" s="24" t="s">
        <v>8699</v>
      </c>
      <c r="C5638" s="25">
        <v>769698.58</v>
      </c>
      <c r="D5638" s="22" t="s">
        <v>8700</v>
      </c>
      <c r="E5638" s="22" t="s">
        <v>362</v>
      </c>
      <c r="F5638" s="23" t="str">
        <f>HYPERLINK("https://www.spark-marketing.ru/Card/Lot/73057416", "Оказание услуги по организации питания")</f>
        <v>Оказание услуги по организации питания</v>
      </c>
      <c r="G5638" s="22" t="s">
        <v>400</v>
      </c>
      <c r="H5638" s="22" t="s">
        <v>400</v>
      </c>
      <c r="I5638" s="26">
        <v>43704</v>
      </c>
      <c r="J5638" s="28" t="s">
        <v>51</v>
      </c>
      <c r="K5638" s="28" t="s">
        <v>51</v>
      </c>
      <c r="L5638" s="22" t="s">
        <v>10</v>
      </c>
      <c r="M5638" s="25">
        <v>769698.58</v>
      </c>
      <c r="N5638" s="27">
        <v>0</v>
      </c>
    </row>
    <row r="5639" spans="1:14" x14ac:dyDescent="0.15">
      <c r="A5639" s="23" t="str">
        <f>HYPERLINK("https://www.spark-marketing.ru/Card/Person/954424", "МАОУ ""ЛИЦЕЙ №8"" Г. НАЗАРОВО")</f>
        <v>МАОУ "ЛИЦЕЙ №8" Г. НАЗАРОВО</v>
      </c>
      <c r="B5639" s="24" t="s">
        <v>8701</v>
      </c>
      <c r="C5639" s="25">
        <v>491991.27</v>
      </c>
      <c r="D5639" s="22" t="s">
        <v>8702</v>
      </c>
      <c r="E5639" s="22" t="s">
        <v>362</v>
      </c>
      <c r="F5639" s="23" t="str">
        <f>HYPERLINK("https://www.spark-marketing.ru/Card/Lot/73041996", "услуга по организации горячего питания обучающихся из малообеспеченных семей и детей с ограниченными возможностями здоровья")</f>
        <v>услуга по организации горячего питания обучающихся из малообеспеченных семей и детей с ограниченными возможностями здоровья</v>
      </c>
      <c r="G5639" s="22" t="s">
        <v>281</v>
      </c>
      <c r="H5639" s="22" t="s">
        <v>281</v>
      </c>
      <c r="I5639" s="26">
        <v>43704</v>
      </c>
      <c r="J5639" s="28" t="s">
        <v>51</v>
      </c>
      <c r="K5639" s="28" t="s">
        <v>51</v>
      </c>
      <c r="L5639" s="28" t="s">
        <v>51</v>
      </c>
      <c r="M5639" s="28" t="s">
        <v>51</v>
      </c>
      <c r="N5639" s="28" t="s">
        <v>51</v>
      </c>
    </row>
    <row r="5640" spans="1:14" x14ac:dyDescent="0.15">
      <c r="A5640" s="23" t="str">
        <f>HYPERLINK("https://www.spark-marketing.ru/Card/Person/2126526", "МОУ ""КСОШ № 1 ИМ. С.Н. УЛЬЯНОВА""")</f>
        <v>МОУ "КСОШ № 1 ИМ. С.Н. УЛЬЯНОВА"</v>
      </c>
      <c r="B5640" s="24" t="s">
        <v>8703</v>
      </c>
      <c r="C5640" s="25">
        <v>640848</v>
      </c>
      <c r="D5640" s="22" t="s">
        <v>8704</v>
      </c>
      <c r="E5640" s="22" t="s">
        <v>1412</v>
      </c>
      <c r="F5640" s="23" t="str">
        <f>HYPERLINK("https://www.spark-marketing.ru/Card/Lot/73124902", "Оказание услуг по организации питания")</f>
        <v>Оказание услуг по организации питания</v>
      </c>
      <c r="G5640" s="22" t="s">
        <v>162</v>
      </c>
      <c r="H5640" s="22" t="s">
        <v>162</v>
      </c>
      <c r="I5640" s="26">
        <v>43706</v>
      </c>
      <c r="J5640" s="28" t="s">
        <v>51</v>
      </c>
      <c r="K5640" s="28" t="s">
        <v>51</v>
      </c>
      <c r="L5640" s="28" t="s">
        <v>51</v>
      </c>
      <c r="M5640" s="28" t="s">
        <v>51</v>
      </c>
      <c r="N5640" s="28" t="s">
        <v>51</v>
      </c>
    </row>
    <row r="5641" spans="1:14" x14ac:dyDescent="0.15">
      <c r="A5641" s="23" t="str">
        <f>HYPERLINK("https://www.spark-marketing.ru/Card/Person/1067997", "МАОУ СОШ № 8 Г. ХОЛМСКА")</f>
        <v>МАОУ СОШ № 8 Г. ХОЛМСКА</v>
      </c>
      <c r="B5641" s="24" t="s">
        <v>8690</v>
      </c>
      <c r="C5641" s="25">
        <v>442472.73</v>
      </c>
      <c r="D5641" s="22" t="s">
        <v>8705</v>
      </c>
      <c r="E5641" s="22" t="s">
        <v>362</v>
      </c>
      <c r="F5641" s="23" t="str">
        <f>HYPERLINK("https://www.spark-marketing.ru/Card/Lot/73037558", "комплекс услуг по организации горячего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малочисленных народов С...")</f>
        <v>комплекс услуг по организации горячего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малочисленных народов С...</v>
      </c>
      <c r="G5641" s="22" t="s">
        <v>260</v>
      </c>
      <c r="H5641" s="22" t="s">
        <v>260</v>
      </c>
      <c r="I5641" s="26">
        <v>43704</v>
      </c>
      <c r="J5641" s="28" t="s">
        <v>51</v>
      </c>
      <c r="K5641" s="28" t="s">
        <v>51</v>
      </c>
      <c r="L5641" s="28" t="s">
        <v>51</v>
      </c>
      <c r="M5641" s="28" t="s">
        <v>51</v>
      </c>
      <c r="N5641" s="28" t="s">
        <v>51</v>
      </c>
    </row>
    <row r="5642" spans="1:14" x14ac:dyDescent="0.2">
      <c r="A5642" s="23" t="str">
        <f>HYPERLINK("https://www.spark-marketing.ru/Card/Person/5900", "ИРНИТУ, ФГБОУ ВО ""ИРНИТУ"", ""ИРКУТСКИЙ ПОЛИТЕХ""")</f>
        <v>ИРНИТУ, ФГБОУ ВО "ИРНИТУ", "ИРКУТСКИЙ ПОЛИТЕХ"</v>
      </c>
      <c r="B5642" s="24" t="s">
        <v>1084</v>
      </c>
      <c r="C5642" s="25">
        <v>360000</v>
      </c>
      <c r="D5642" s="22" t="s">
        <v>8706</v>
      </c>
      <c r="E5642" s="22" t="s">
        <v>580</v>
      </c>
      <c r="F5642" s="23" t="str">
        <f>HYPERLINK("https://www.spark-marketing.ru/Card/Lot/73044591", "Оказание услуг по организации питания участников конференции")</f>
        <v>Оказание услуг по организации питания участников конференции</v>
      </c>
      <c r="G5642" s="22" t="s">
        <v>263</v>
      </c>
      <c r="H5642" s="22" t="s">
        <v>263</v>
      </c>
      <c r="I5642" s="26">
        <v>43704</v>
      </c>
      <c r="J5642" s="28" t="s">
        <v>51</v>
      </c>
      <c r="K5642" s="28" t="s">
        <v>51</v>
      </c>
      <c r="L5642" s="28" t="s">
        <v>51</v>
      </c>
      <c r="M5642" s="25">
        <v>360000</v>
      </c>
      <c r="N5642" s="27">
        <v>0</v>
      </c>
    </row>
    <row r="5643" spans="1:14" x14ac:dyDescent="0.15">
      <c r="A5643" s="23" t="str">
        <f>HYPERLINK("https://www.spark-marketing.ru/Card/Person/51682", "ГАУЗ ""ГКБ № 2"" Г.ОРЕНБУРГА")</f>
        <v>ГАУЗ "ГКБ № 2" Г.ОРЕНБУРГА</v>
      </c>
      <c r="B5643" s="24" t="s">
        <v>8707</v>
      </c>
      <c r="C5643" s="25">
        <v>4951266</v>
      </c>
      <c r="D5643" s="22" t="s">
        <v>8708</v>
      </c>
      <c r="E5643" s="22" t="s">
        <v>362</v>
      </c>
      <c r="F5643" s="23" t="str">
        <f>HYPERLINK("https://www.spark-marketing.ru/Card/Lot/73033530", "на оказание услуги по организации горячего питания")</f>
        <v>на оказание услуги по организации горячего питания</v>
      </c>
      <c r="G5643" s="22" t="s">
        <v>132</v>
      </c>
      <c r="H5643" s="22" t="s">
        <v>587</v>
      </c>
      <c r="I5643" s="26">
        <v>43703</v>
      </c>
      <c r="J5643" s="28" t="s">
        <v>51</v>
      </c>
      <c r="K5643" s="28" t="s">
        <v>51</v>
      </c>
      <c r="L5643" s="28" t="s">
        <v>51</v>
      </c>
      <c r="M5643" s="28" t="s">
        <v>51</v>
      </c>
      <c r="N5643" s="28" t="s">
        <v>51</v>
      </c>
    </row>
    <row r="5644" spans="1:14" x14ac:dyDescent="0.15">
      <c r="A5644" s="23" t="str">
        <f>HYPERLINK("https://www.spark-marketing.ru/Card/Person/1080406", "МАОУ ЗАМКОВСКАЯ СОШ")</f>
        <v>МАОУ ЗАМКОВСКАЯ СОШ</v>
      </c>
      <c r="B5644" s="24" t="s">
        <v>8709</v>
      </c>
      <c r="C5644" s="25">
        <v>450562</v>
      </c>
      <c r="D5644" s="22" t="s">
        <v>8710</v>
      </c>
      <c r="E5644" s="22" t="s">
        <v>362</v>
      </c>
      <c r="F5644" s="23" t="str">
        <f>HYPERLINK("https://www.spark-marketing.ru/Card/Lot/73155902", "оказание услуг по организации горячего питания учащихся")</f>
        <v>оказание услуг по организации горячего питания учащихся</v>
      </c>
      <c r="G5644" s="22" t="s">
        <v>400</v>
      </c>
      <c r="H5644" s="22" t="s">
        <v>400</v>
      </c>
      <c r="I5644" s="26">
        <v>43707</v>
      </c>
      <c r="J5644" s="28" t="s">
        <v>51</v>
      </c>
      <c r="K5644" s="28" t="s">
        <v>51</v>
      </c>
      <c r="L5644" s="28" t="s">
        <v>51</v>
      </c>
      <c r="M5644" s="28" t="s">
        <v>51</v>
      </c>
      <c r="N5644" s="28" t="s">
        <v>51</v>
      </c>
    </row>
    <row r="5645" spans="1:14" x14ac:dyDescent="0.15">
      <c r="A5645" s="23" t="str">
        <f>HYPERLINK("https://www.spark-marketing.ru/Card/Person/1084088", "МАОУ СОШ №18 ИМЕНИ 30-ЛЕТИЯ ПОБЕДЫ")</f>
        <v>МАОУ СОШ №18 ИМЕНИ 30-ЛЕТИЯ ПОБЕДЫ</v>
      </c>
      <c r="B5645" s="24" t="s">
        <v>1220</v>
      </c>
      <c r="C5645" s="25">
        <v>155760</v>
      </c>
      <c r="D5645" s="22" t="s">
        <v>8711</v>
      </c>
      <c r="E5645" s="22" t="s">
        <v>362</v>
      </c>
      <c r="F5645" s="23" t="str">
        <f>HYPERLINK("https://www.spark-marketing.ru/Card/Lot/73046789", "Оказание услуг по организации питания")</f>
        <v>Оказание услуг по организации питания</v>
      </c>
      <c r="G5645" s="22" t="s">
        <v>104</v>
      </c>
      <c r="H5645" s="22" t="s">
        <v>104</v>
      </c>
      <c r="I5645" s="26">
        <v>43704</v>
      </c>
      <c r="J5645" s="28" t="s">
        <v>51</v>
      </c>
      <c r="K5645" s="28" t="s">
        <v>51</v>
      </c>
      <c r="L5645" s="28" t="s">
        <v>51</v>
      </c>
      <c r="M5645" s="28" t="s">
        <v>51</v>
      </c>
      <c r="N5645" s="28" t="s">
        <v>51</v>
      </c>
    </row>
    <row r="5646" spans="1:14" x14ac:dyDescent="0.2">
      <c r="A5646" s="23" t="str">
        <f>HYPERLINK("https://www.spark-marketing.ru/Card/Person/1760272", "МОАУ ""СОШ № 1 Г. ОРСКА""")</f>
        <v>МОАУ "СОШ № 1 Г. ОРСКА"</v>
      </c>
      <c r="B5646" s="24" t="s">
        <v>8712</v>
      </c>
      <c r="C5646" s="25">
        <v>566811</v>
      </c>
      <c r="D5646" s="22" t="s">
        <v>8713</v>
      </c>
      <c r="E5646" s="22" t="s">
        <v>8157</v>
      </c>
      <c r="F5646" s="23" t="str">
        <f>HYPERLINK("https://www.spark-marketing.ru/Card/Lot/73050330", "Оказание услуг по организации питания учащихся")</f>
        <v>Оказание услуг по организации питания учащихся</v>
      </c>
      <c r="G5646" s="22" t="s">
        <v>132</v>
      </c>
      <c r="H5646" s="22" t="s">
        <v>132</v>
      </c>
      <c r="I5646" s="26">
        <v>43704</v>
      </c>
      <c r="J5646" s="28" t="s">
        <v>51</v>
      </c>
      <c r="K5646" s="28" t="s">
        <v>51</v>
      </c>
      <c r="L5646" s="22" t="s">
        <v>10</v>
      </c>
      <c r="M5646" s="25">
        <v>566811</v>
      </c>
      <c r="N5646" s="27">
        <v>0</v>
      </c>
    </row>
    <row r="5647" spans="1:14" x14ac:dyDescent="0.15">
      <c r="A5647" s="23" t="str">
        <f>HYPERLINK("https://www.spark-marketing.ru/Card/Person/6248", "ФГБОУ ВО ""ПГУ"", ПЕНЗЕНСКИЙ ГОСУДАРСТВЕННЫЙ УНИВЕРСИТЕТ, ФГБОУ ВО ""ПЕНЗЕНСКИЙ ГОСУДАРСТВЕННЫЙ УНИВЕРСИТЕТ""")</f>
        <v>ФГБОУ ВО "ПГУ", ПЕНЗЕНСКИЙ ГОСУДАРСТВЕННЫЙ УНИВЕРСИТЕТ, ФГБОУ ВО "ПЕНЗЕНСКИЙ ГОСУДАРСТВЕННЫЙ УНИВЕРСИТЕТ"</v>
      </c>
      <c r="B5647" s="24" t="s">
        <v>3557</v>
      </c>
      <c r="C5647" s="25">
        <v>431760</v>
      </c>
      <c r="D5647" s="22" t="s">
        <v>8714</v>
      </c>
      <c r="E5647" s="22" t="s">
        <v>1921</v>
      </c>
      <c r="F5647" s="23" t="str">
        <f>HYPERLINK("https://www.spark-marketing.ru/Card/Lot/73058264", "Услуги по предоставлению гостиничных номеров и услуги питания")</f>
        <v>Услуги по предоставлению гостиничных номеров и услуги питания</v>
      </c>
      <c r="G5647" s="22" t="s">
        <v>72</v>
      </c>
      <c r="H5647" s="22" t="s">
        <v>72</v>
      </c>
      <c r="I5647" s="26">
        <v>43704</v>
      </c>
      <c r="J5647" s="28" t="s">
        <v>51</v>
      </c>
      <c r="K5647" s="28" t="s">
        <v>51</v>
      </c>
      <c r="L5647" s="28" t="s">
        <v>51</v>
      </c>
      <c r="M5647" s="28" t="s">
        <v>51</v>
      </c>
      <c r="N5647" s="28" t="s">
        <v>51</v>
      </c>
    </row>
    <row r="5648" spans="1:14" x14ac:dyDescent="0.15">
      <c r="A5648" s="23" t="str">
        <f>HYPERLINK("https://www.spark-marketing.ru/Card/Person/1752298", "ГАУ ИТЦ ""СОЦЗАЩИТА"" МОСКВЫ")</f>
        <v>ГАУ ИТЦ "СОЦЗАЩИТА" МОСКВЫ</v>
      </c>
      <c r="B5648" s="24" t="s">
        <v>8715</v>
      </c>
      <c r="C5648" s="25">
        <v>287000</v>
      </c>
      <c r="D5648" s="22" t="s">
        <v>8716</v>
      </c>
      <c r="E5648" s="22" t="s">
        <v>8717</v>
      </c>
      <c r="F5648" s="23" t="str">
        <f>HYPERLINK("https://www.spark-marketing.ru/Card/Lot/73052040", "Оказание услуг по техническому обслуживанию систем пожарной автоматики")</f>
        <v>Оказание услуг по техническому обслуживанию систем пожарной автоматики</v>
      </c>
      <c r="G5648" s="22" t="s">
        <v>56</v>
      </c>
      <c r="H5648" s="22" t="s">
        <v>56</v>
      </c>
      <c r="I5648" s="26">
        <v>43704</v>
      </c>
      <c r="J5648" s="28" t="s">
        <v>51</v>
      </c>
      <c r="K5648" s="28" t="s">
        <v>51</v>
      </c>
      <c r="L5648" s="28" t="s">
        <v>51</v>
      </c>
      <c r="M5648" s="28" t="s">
        <v>51</v>
      </c>
      <c r="N5648" s="28" t="s">
        <v>51</v>
      </c>
    </row>
    <row r="5649" spans="1:14" x14ac:dyDescent="0.15">
      <c r="A5649" s="23" t="str">
        <f>HYPERLINK("https://www.spark-marketing.ru/Card/Person/48599", "АО ""ИРМ""")</f>
        <v>АО "ИРМ"</v>
      </c>
      <c r="B5649" s="24" t="s">
        <v>8718</v>
      </c>
      <c r="C5649" s="25">
        <v>675300</v>
      </c>
      <c r="D5649" s="22" t="s">
        <v>8719</v>
      </c>
      <c r="E5649" s="22" t="s">
        <v>554</v>
      </c>
      <c r="F5649" s="23" t="str">
        <f>HYPERLINK("https://www.spark-marketing.ru/Card/Lot/73053627", "Оказание услуг по организации питания, проживания и других дополнительных услуг участникам научно-технической школы-семинара по ядерным технологиям для молодых ученых, специалистов, студентов, аспирантов")</f>
        <v>Оказание услуг по организации питания, проживания и других дополнительных услуг участникам научно-технической школы-семинара по ядерным технологиям для молодых ученых, специалистов, студентов, аспирантов</v>
      </c>
      <c r="G5649" s="22" t="s">
        <v>174</v>
      </c>
      <c r="H5649" s="22" t="s">
        <v>8413</v>
      </c>
      <c r="I5649" s="26">
        <v>43704</v>
      </c>
      <c r="J5649" s="28" t="s">
        <v>51</v>
      </c>
      <c r="K5649" s="28" t="s">
        <v>51</v>
      </c>
      <c r="L5649" s="28" t="s">
        <v>51</v>
      </c>
      <c r="M5649" s="28" t="s">
        <v>51</v>
      </c>
      <c r="N5649" s="28" t="s">
        <v>51</v>
      </c>
    </row>
    <row r="5650" spans="1:14" x14ac:dyDescent="0.2">
      <c r="A5650" s="23" t="str">
        <f>HYPERLINK("https://www.spark-marketing.ru/Card/Person/4415105", "ГАУСО СО ""КЦСОН ГОРОДА АСБЕСТА""")</f>
        <v>ГАУСО СО "КЦСОН ГОРОДА АСБЕСТА"</v>
      </c>
      <c r="B5650" s="24" t="s">
        <v>8720</v>
      </c>
      <c r="C5650" s="25">
        <v>263915</v>
      </c>
      <c r="D5650" s="22" t="s">
        <v>8721</v>
      </c>
      <c r="E5650" s="22" t="s">
        <v>8722</v>
      </c>
      <c r="F5650" s="23" t="str">
        <f>HYPERLINK("https://www.spark-marketing.ru/Card/Lot/73044909", "Оказание услуг по приготовлению питания")</f>
        <v>Оказание услуг по приготовлению питания</v>
      </c>
      <c r="G5650" s="22" t="s">
        <v>174</v>
      </c>
      <c r="H5650" s="22" t="s">
        <v>174</v>
      </c>
      <c r="I5650" s="26">
        <v>43704</v>
      </c>
      <c r="J5650" s="28" t="s">
        <v>51</v>
      </c>
      <c r="K5650" s="28" t="s">
        <v>51</v>
      </c>
      <c r="L5650" s="22" t="s">
        <v>10</v>
      </c>
      <c r="M5650" s="25">
        <v>263915</v>
      </c>
      <c r="N5650" s="27">
        <v>0</v>
      </c>
    </row>
    <row r="5651" spans="1:14" x14ac:dyDescent="0.15">
      <c r="A5651" s="23" t="str">
        <f>HYPERLINK("https://www.spark-marketing.ru/Card/Person/4369400", "ООО АВИАПРЕДПРИЯТИЕ ""ГАЗПРОМ АВИА""")</f>
        <v>ООО АВИАПРЕДПРИЯТИЕ "ГАЗПРОМ АВИА"</v>
      </c>
      <c r="B5651" s="24" t="s">
        <v>1724</v>
      </c>
      <c r="C5651" s="25">
        <v>696175.99</v>
      </c>
      <c r="D5651" s="22" t="s">
        <v>8723</v>
      </c>
      <c r="E5651" s="22" t="s">
        <v>362</v>
      </c>
      <c r="F5651" s="23" t="str">
        <f>HYPERLINK("https://www.spark-marketing.ru/Card/Lot/73064895", "Оказание услуг по обеспечению пассажиров и экипажей воздушных судов бортовым питанием в а/п г. Омск")</f>
        <v>Оказание услуг по обеспечению пассажиров и экипажей воздушных судов бортовым питанием в а/п г. Омск</v>
      </c>
      <c r="G5651" s="22" t="s">
        <v>56</v>
      </c>
      <c r="H5651" s="22" t="s">
        <v>56</v>
      </c>
      <c r="I5651" s="26">
        <v>43704</v>
      </c>
      <c r="J5651" s="28" t="s">
        <v>51</v>
      </c>
      <c r="K5651" s="28" t="s">
        <v>51</v>
      </c>
      <c r="L5651" s="28" t="s">
        <v>51</v>
      </c>
      <c r="M5651" s="28" t="s">
        <v>51</v>
      </c>
      <c r="N5651" s="28" t="s">
        <v>51</v>
      </c>
    </row>
    <row r="5652" spans="1:14" x14ac:dyDescent="0.15">
      <c r="A5652" s="23" t="str">
        <f>HYPERLINK("https://www.spark-marketing.ru/Card/Person/1709782", "АО ""РУСАТОМ СЕРВИС""")</f>
        <v>АО "РУСАТОМ СЕРВИС"</v>
      </c>
      <c r="B5652" s="24" t="s">
        <v>8724</v>
      </c>
      <c r="C5652" s="25">
        <v>813300</v>
      </c>
      <c r="D5652" s="22" t="s">
        <v>8725</v>
      </c>
      <c r="E5652" s="22" t="s">
        <v>554</v>
      </c>
      <c r="F5652" s="23" t="str">
        <f>HYPERLINK("https://www.spark-marketing.ru/Card/Lot/73062878", "Оказание услуг по организации питания в рамках летнего командообразующего мероприятия")</f>
        <v>Оказание услуг по организации питания в рамках летнего командообразующего мероприятия</v>
      </c>
      <c r="G5652" s="22" t="s">
        <v>56</v>
      </c>
      <c r="H5652" s="22" t="s">
        <v>56</v>
      </c>
      <c r="I5652" s="26">
        <v>43704</v>
      </c>
      <c r="J5652" s="28" t="s">
        <v>51</v>
      </c>
      <c r="K5652" s="28" t="s">
        <v>51</v>
      </c>
      <c r="L5652" s="28" t="s">
        <v>51</v>
      </c>
      <c r="M5652" s="28" t="s">
        <v>51</v>
      </c>
      <c r="N5652" s="28" t="s">
        <v>51</v>
      </c>
    </row>
    <row r="5653" spans="1:14" x14ac:dyDescent="0.2">
      <c r="A5653" s="23" t="str">
        <f>HYPERLINK("https://www.spark-marketing.ru/Card/Person/913615", "ГАУГН")</f>
        <v>ГАУГН</v>
      </c>
      <c r="B5653" s="24" t="s">
        <v>8726</v>
      </c>
      <c r="C5653" s="25">
        <v>121800</v>
      </c>
      <c r="D5653" s="22" t="s">
        <v>8727</v>
      </c>
      <c r="E5653" s="22" t="s">
        <v>8728</v>
      </c>
      <c r="F5653" s="23" t="str">
        <f>HYPERLINK("https://www.spark-marketing.ru/Card/Lot/73064982", "Оказание комплексных услуг по организации питания для участников мероприятия «Школа молодых ученых «Сопротивление революциям нового времени»")</f>
        <v>Оказание комплексных услуг по организации питания для участников мероприятия «Школа молодых ученых «Сопротивление революциям нового времени»</v>
      </c>
      <c r="G5653" s="22" t="s">
        <v>56</v>
      </c>
      <c r="H5653" s="22" t="s">
        <v>56</v>
      </c>
      <c r="I5653" s="26">
        <v>43704</v>
      </c>
      <c r="J5653" s="28" t="s">
        <v>51</v>
      </c>
      <c r="K5653" s="28" t="s">
        <v>51</v>
      </c>
      <c r="L5653" s="22" t="s">
        <v>10</v>
      </c>
      <c r="M5653" s="25">
        <v>121800</v>
      </c>
      <c r="N5653" s="27">
        <v>0</v>
      </c>
    </row>
    <row r="5654" spans="1:14" x14ac:dyDescent="0.2">
      <c r="A5654" s="23" t="str">
        <f>HYPERLINK("https://www.spark-marketing.ru/Card/Person/42100", "САМАРСКИЙ УНИВЕРСИТЕТ")</f>
        <v>САМАРСКИЙ УНИВЕРСИТЕТ</v>
      </c>
      <c r="B5654" s="24" t="s">
        <v>8729</v>
      </c>
      <c r="C5654" s="25">
        <v>1052500</v>
      </c>
      <c r="D5654" s="22" t="s">
        <v>8730</v>
      </c>
      <c r="E5654" s="22" t="s">
        <v>794</v>
      </c>
      <c r="F5654" s="23" t="str">
        <f>HYPERLINK("https://www.spark-marketing.ru/Card/Lot/73044638", "Оказание услуг по размещению, питанию и трансферу участников адаптационных семинаров Самарского университета")</f>
        <v>Оказание услуг по размещению, питанию и трансферу участников адаптационных семинаров Самарского университета</v>
      </c>
      <c r="G5654" s="22" t="s">
        <v>128</v>
      </c>
      <c r="H5654" s="22" t="s">
        <v>129</v>
      </c>
      <c r="I5654" s="26">
        <v>43704</v>
      </c>
      <c r="J5654" s="28" t="s">
        <v>51</v>
      </c>
      <c r="K5654" s="28" t="s">
        <v>51</v>
      </c>
      <c r="L5654" s="22" t="s">
        <v>10</v>
      </c>
      <c r="M5654" s="25">
        <v>0</v>
      </c>
      <c r="N5654" s="27">
        <v>1</v>
      </c>
    </row>
    <row r="5655" spans="1:14" x14ac:dyDescent="0.15">
      <c r="A5655" s="23" t="str">
        <f>HYPERLINK("https://www.spark-marketing.ru/Card/Person/1069914", "МКОУ КСОШ № 2 ИМЕНИ Ф.И.АНИСИЧКИНА")</f>
        <v>МКОУ КСОШ № 2 ИМЕНИ Ф.И.АНИСИЧКИНА</v>
      </c>
      <c r="B5655" s="24" t="s">
        <v>8731</v>
      </c>
      <c r="C5655" s="25">
        <v>900000</v>
      </c>
      <c r="D5655" s="22" t="s">
        <v>8732</v>
      </c>
      <c r="E5655" s="22" t="s">
        <v>48</v>
      </c>
      <c r="F5655" s="23" t="str">
        <f>HYPERLINK("https://www.spark-marketing.ru/Card/Lot/73034766", "Оказание услуг по организации детского питания")</f>
        <v>Оказание услуг по организации детского питания</v>
      </c>
      <c r="G5655" s="22" t="s">
        <v>195</v>
      </c>
      <c r="H5655" s="22" t="s">
        <v>5098</v>
      </c>
      <c r="I5655" s="26">
        <v>43703.912951388898</v>
      </c>
      <c r="J5655" s="23" t="str">
        <f>HYPERLINK("https://www.spark-marketing.ru/Card/Person/406306", "ПО ""ОБЩЕПИТ КРАСНОЗЕРСКОГО РАЙПО""")</f>
        <v>ПО "ОБЩЕПИТ КРАСНОЗЕРСКОГО РАЙПО"</v>
      </c>
      <c r="K5655" s="24" t="s">
        <v>5099</v>
      </c>
      <c r="L5655" s="22" t="s">
        <v>10</v>
      </c>
      <c r="M5655" s="28" t="s">
        <v>51</v>
      </c>
      <c r="N5655" s="28" t="s">
        <v>51</v>
      </c>
    </row>
    <row r="5656" spans="1:14" x14ac:dyDescent="0.15">
      <c r="A5656" s="23" t="str">
        <f>HYPERLINK("https://www.spark-marketing.ru/Card/Person/51334", "УМВД РОССИИ ПО АДМИРАЛТЕЙСКОМУ РАЙОНУ Г.СПБ")</f>
        <v>УМВД РОССИИ ПО АДМИРАЛТЕЙСКОМУ РАЙОНУ Г.СПБ</v>
      </c>
      <c r="B5656" s="24" t="s">
        <v>8733</v>
      </c>
      <c r="C5656" s="25">
        <v>200000</v>
      </c>
      <c r="D5656" s="22" t="s">
        <v>8734</v>
      </c>
      <c r="E5656" s="22" t="s">
        <v>48</v>
      </c>
      <c r="F5656" s="23" t="str">
        <f>HYPERLINK("https://www.spark-marketing.ru/Card/Lot/73035479", "Услуги по обеспечению питания лиц содержащихся в спец. помещениях задержанных лиц, 1250 усл. ед")</f>
        <v>Услуги по обеспечению питания лиц содержащихся в спец. помещениях задержанных лиц, 1250 усл. ед</v>
      </c>
      <c r="G5656" s="22" t="s">
        <v>117</v>
      </c>
      <c r="H5656" s="22" t="s">
        <v>117</v>
      </c>
      <c r="I5656" s="26">
        <v>43703.855092592603</v>
      </c>
      <c r="J5656" s="28" t="s">
        <v>51</v>
      </c>
      <c r="K5656" s="28" t="s">
        <v>51</v>
      </c>
      <c r="L5656" s="28" t="s">
        <v>51</v>
      </c>
      <c r="M5656" s="28" t="s">
        <v>51</v>
      </c>
      <c r="N5656" s="28" t="s">
        <v>51</v>
      </c>
    </row>
    <row r="5657" spans="1:14" x14ac:dyDescent="0.15">
      <c r="A5657" s="23" t="str">
        <f>HYPERLINK("https://www.spark-marketing.ru/Card/Person/51334", "УМВД РОССИИ ПО АДМИРАЛТЕЙСКОМУ РАЙОНУ Г.СПБ")</f>
        <v>УМВД РОССИИ ПО АДМИРАЛТЕЙСКОМУ РАЙОНУ Г.СПБ</v>
      </c>
      <c r="B5657" s="24" t="s">
        <v>8733</v>
      </c>
      <c r="C5657" s="25">
        <v>200000</v>
      </c>
      <c r="D5657" s="22" t="s">
        <v>8735</v>
      </c>
      <c r="E5657" s="22" t="s">
        <v>48</v>
      </c>
      <c r="F5657" s="23" t="str">
        <f>HYPERLINK("https://www.spark-marketing.ru/Card/Lot/73035475", "Услуги по обеспечению питания лиц содержащихся в спец. помещениях задержанных лиц, 1250 усл. ед")</f>
        <v>Услуги по обеспечению питания лиц содержащихся в спец. помещениях задержанных лиц, 1250 усл. ед</v>
      </c>
      <c r="G5657" s="22" t="s">
        <v>117</v>
      </c>
      <c r="H5657" s="22" t="s">
        <v>117</v>
      </c>
      <c r="I5657" s="26">
        <v>43703.844930555599</v>
      </c>
      <c r="J5657" s="28" t="s">
        <v>51</v>
      </c>
      <c r="K5657" s="28" t="s">
        <v>51</v>
      </c>
      <c r="L5657" s="28" t="s">
        <v>51</v>
      </c>
      <c r="M5657" s="28" t="s">
        <v>51</v>
      </c>
      <c r="N5657" s="28" t="s">
        <v>51</v>
      </c>
    </row>
    <row r="5658" spans="1:14" x14ac:dyDescent="0.15">
      <c r="A5658" s="23" t="str">
        <f>HYPERLINK("https://www.spark-marketing.ru/Card/Person/51334", "УМВД РОССИИ ПО АДМИРАЛТЕЙСКОМУ РАЙОНУ Г.СПБ")</f>
        <v>УМВД РОССИИ ПО АДМИРАЛТЕЙСКОМУ РАЙОНУ Г.СПБ</v>
      </c>
      <c r="B5658" s="24" t="s">
        <v>8733</v>
      </c>
      <c r="C5658" s="25">
        <v>200000</v>
      </c>
      <c r="D5658" s="22" t="s">
        <v>8736</v>
      </c>
      <c r="E5658" s="22" t="s">
        <v>48</v>
      </c>
      <c r="F5658" s="23" t="str">
        <f>HYPERLINK("https://www.spark-marketing.ru/Card/Lot/73035477", "Услуги по обеспечению питания лиц содержащихся в спец. помещениях задержанных лиц, 1250 усл. ед")</f>
        <v>Услуги по обеспечению питания лиц содержащихся в спец. помещениях задержанных лиц, 1250 усл. ед</v>
      </c>
      <c r="G5658" s="22" t="s">
        <v>117</v>
      </c>
      <c r="H5658" s="22" t="s">
        <v>117</v>
      </c>
      <c r="I5658" s="26">
        <v>43703.848993055602</v>
      </c>
      <c r="J5658" s="28" t="s">
        <v>51</v>
      </c>
      <c r="K5658" s="28" t="s">
        <v>51</v>
      </c>
      <c r="L5658" s="28" t="s">
        <v>51</v>
      </c>
      <c r="M5658" s="28" t="s">
        <v>51</v>
      </c>
      <c r="N5658" s="28" t="s">
        <v>51</v>
      </c>
    </row>
    <row r="5659" spans="1:14" x14ac:dyDescent="0.15">
      <c r="A5659" s="23" t="str">
        <f>HYPERLINK("https://www.spark-marketing.ru/Card/Person/22180", "ГБУЗ ""САКМАРСКАЯ РБ""")</f>
        <v>ГБУЗ "САКМАРСКАЯ РБ"</v>
      </c>
      <c r="B5659" s="24" t="s">
        <v>842</v>
      </c>
      <c r="C5659" s="25">
        <v>291861.67</v>
      </c>
      <c r="D5659" s="22" t="s">
        <v>8737</v>
      </c>
      <c r="E5659" s="22" t="s">
        <v>809</v>
      </c>
      <c r="F5659" s="23" t="str">
        <f>HYPERLINK("https://www.spark-marketing.ru/Card/Lot/73033350", "Поставка компьютерной техники")</f>
        <v>Поставка компьютерной техники</v>
      </c>
      <c r="G5659" s="22" t="s">
        <v>132</v>
      </c>
      <c r="H5659" s="22" t="s">
        <v>844</v>
      </c>
      <c r="I5659" s="26">
        <v>43703.694687499999</v>
      </c>
      <c r="J5659" s="28" t="s">
        <v>51</v>
      </c>
      <c r="K5659" s="28" t="s">
        <v>51</v>
      </c>
      <c r="L5659" s="28" t="s">
        <v>51</v>
      </c>
      <c r="M5659" s="28" t="s">
        <v>51</v>
      </c>
      <c r="N5659" s="28" t="s">
        <v>51</v>
      </c>
    </row>
    <row r="5660" spans="1:14" x14ac:dyDescent="0.15">
      <c r="A5660" s="23" t="str">
        <f>HYPERLINK("https://www.spark-marketing.ru/Card/Person/5904504", "ГБУЗ ""ОДКБ""")</f>
        <v>ГБУЗ "ОДКБ"</v>
      </c>
      <c r="B5660" s="24" t="s">
        <v>2289</v>
      </c>
      <c r="C5660" s="25">
        <v>26760</v>
      </c>
      <c r="D5660" s="22" t="s">
        <v>8738</v>
      </c>
      <c r="E5660" s="22" t="s">
        <v>336</v>
      </c>
      <c r="F5660" s="23" t="str">
        <f>HYPERLINK("https://www.spark-marketing.ru/Card/Lot/73031006", "на поставку пюре для детского питания")</f>
        <v>на поставку пюре для детского питания</v>
      </c>
      <c r="G5660" s="22" t="s">
        <v>132</v>
      </c>
      <c r="H5660" s="22" t="s">
        <v>587</v>
      </c>
      <c r="I5660" s="26">
        <v>43703.686412037001</v>
      </c>
      <c r="J5660" s="28" t="s">
        <v>51</v>
      </c>
      <c r="K5660" s="28" t="s">
        <v>51</v>
      </c>
      <c r="L5660" s="28" t="s">
        <v>51</v>
      </c>
      <c r="M5660" s="28" t="s">
        <v>51</v>
      </c>
      <c r="N5660" s="28" t="s">
        <v>51</v>
      </c>
    </row>
    <row r="5661" spans="1:14" ht="12.75" hidden="1" outlineLevel="1" x14ac:dyDescent="0.2">
      <c r="A5661" s="23" t="str">
        <f>HYPERLINK("https://www.spark-marketing.ru/Card/Person/5904504", "ГБУЗ ""ОДКБ""")</f>
        <v>ГБУЗ "ОДКБ"</v>
      </c>
      <c r="B5661" s="24" t="s">
        <v>2289</v>
      </c>
      <c r="C5661" s="25">
        <v>26760</v>
      </c>
      <c r="D5661" s="22" t="s">
        <v>8738</v>
      </c>
      <c r="E5661" s="22" t="s">
        <v>336</v>
      </c>
      <c r="F5661" s="23" t="str">
        <f>HYPERLINK("https://www.spark-marketing.ru/Card/Lot/73031006", "на поставку пюре для детского питания")</f>
        <v>на поставку пюре для детского питания</v>
      </c>
      <c r="G5661" s="22" t="s">
        <v>132</v>
      </c>
      <c r="H5661" s="22" t="s">
        <v>587</v>
      </c>
      <c r="I5661" s="26">
        <v>43703.686412037001</v>
      </c>
      <c r="J5661" s="23" t="str">
        <f>HYPERLINK("https://www.spark-marketing.ru/Card/Person/67213", "ООО ""РЕАЛ""")</f>
        <v>ООО "РЕАЛ"</v>
      </c>
      <c r="K5661" s="24" t="s">
        <v>8739</v>
      </c>
      <c r="L5661" s="22" t="s">
        <v>10</v>
      </c>
      <c r="M5661" s="25">
        <v>19936.2</v>
      </c>
      <c r="N5661" s="27">
        <v>0.255</v>
      </c>
    </row>
    <row r="5662" spans="1:14" hidden="1" outlineLevel="1" x14ac:dyDescent="0.2">
      <c r="A5662" s="23" t="str">
        <f>HYPERLINK("https://www.spark-marketing.ru/Card/Person/5904504", "ГБУЗ ""ОДКБ""")</f>
        <v>ГБУЗ "ОДКБ"</v>
      </c>
      <c r="B5662" s="24" t="s">
        <v>2289</v>
      </c>
      <c r="C5662" s="25">
        <v>26760</v>
      </c>
      <c r="D5662" s="22" t="s">
        <v>8738</v>
      </c>
      <c r="E5662" s="22" t="s">
        <v>336</v>
      </c>
      <c r="F5662" s="23" t="str">
        <f>HYPERLINK("https://www.spark-marketing.ru/Card/Lot/73031006", "на поставку пюре для детского питания")</f>
        <v>на поставку пюре для детского питания</v>
      </c>
      <c r="G5662" s="22" t="s">
        <v>132</v>
      </c>
      <c r="H5662" s="22" t="s">
        <v>587</v>
      </c>
      <c r="I5662" s="26">
        <v>43703.686412037001</v>
      </c>
      <c r="J5662" s="23" t="str">
        <f>HYPERLINK("https://www.spark-marketing.ru/Card/Person/109389", "ООО ""ЕВРОЛЭНД""")</f>
        <v>ООО "ЕВРОЛЭНД"</v>
      </c>
      <c r="K5662" s="24" t="s">
        <v>8740</v>
      </c>
      <c r="L5662" s="28" t="s">
        <v>51</v>
      </c>
      <c r="M5662" s="25">
        <v>20070</v>
      </c>
      <c r="N5662" s="27">
        <v>0.25</v>
      </c>
    </row>
    <row r="5663" spans="1:14" x14ac:dyDescent="0.15">
      <c r="A5663" s="23" t="str">
        <f>HYPERLINK("https://www.spark-marketing.ru/Card/Person/996577", "МОУ ""СОШ № 32""")</f>
        <v>МОУ "СОШ № 32"</v>
      </c>
      <c r="B5663" s="24" t="s">
        <v>8741</v>
      </c>
      <c r="C5663" s="25">
        <v>348840</v>
      </c>
      <c r="D5663" s="22" t="s">
        <v>8742</v>
      </c>
      <c r="E5663" s="22" t="s">
        <v>48</v>
      </c>
      <c r="F5663" s="23" t="str">
        <f>HYPERLINK("https://www.spark-marketing.ru/Card/Lot/73031800", "Оказание услуг по обеспечению льготным  питанием детей из малообеспеченных семей и детей с нарушением здоровья обучающихся в МОУ «СОШ № 32»")</f>
        <v>Оказание услуг по обеспечению льготным  питанием детей из малообеспеченных семей и детей с нарушением здоровья обучающихся в МОУ «СОШ № 32»</v>
      </c>
      <c r="G5663" s="22" t="s">
        <v>469</v>
      </c>
      <c r="H5663" s="22" t="s">
        <v>5961</v>
      </c>
      <c r="I5663" s="26">
        <v>43703.7252546296</v>
      </c>
      <c r="J5663" s="23" t="str">
        <f>HYPERLINK("https://www.spark-marketing.ru/Card/Person/134890", "ООО ""МИРОСЛАВА""")</f>
        <v>ООО "МИРОСЛАВА"</v>
      </c>
      <c r="K5663" s="24" t="s">
        <v>2329</v>
      </c>
      <c r="L5663" s="22" t="s">
        <v>10</v>
      </c>
      <c r="M5663" s="28" t="s">
        <v>51</v>
      </c>
      <c r="N5663" s="28" t="s">
        <v>51</v>
      </c>
    </row>
    <row r="5664" spans="1:14" x14ac:dyDescent="0.15">
      <c r="A5664" s="23" t="str">
        <f>HYPERLINK("https://www.spark-marketing.ru/Card/Person/4356025", "Хабаровский филиал ФГБУ НКЦО ФМБА России")</f>
        <v>Хабаровский филиал ФГБУ НКЦО ФМБА России</v>
      </c>
      <c r="B5664" s="24" t="s">
        <v>8743</v>
      </c>
      <c r="C5664" s="25">
        <v>977472</v>
      </c>
      <c r="D5664" s="22" t="s">
        <v>8744</v>
      </c>
      <c r="E5664" s="22" t="s">
        <v>48</v>
      </c>
      <c r="F5664" s="23" t="str">
        <f>HYPERLINK("https://www.spark-marketing.ru/Card/Lot/73022233", "Оказание услуг по организации питания пациентов для нужд Хабаровского филиала ФГБУ НЦО ФМБА России")</f>
        <v>Оказание услуг по организации питания пациентов для нужд Хабаровского филиала ФГБУ НЦО ФМБА России</v>
      </c>
      <c r="G5664" s="22" t="s">
        <v>1096</v>
      </c>
      <c r="H5664" s="22" t="s">
        <v>1097</v>
      </c>
      <c r="I5664" s="26">
        <v>43703.687083333301</v>
      </c>
      <c r="J5664" s="23" t="str">
        <f>HYPERLINK("https://www.spark-marketing.ru/Card/Person/18941", "КГБУЗ ККБ № 1")</f>
        <v>КГБУЗ ККБ № 1</v>
      </c>
      <c r="K5664" s="24" t="s">
        <v>8745</v>
      </c>
      <c r="L5664" s="22" t="s">
        <v>10</v>
      </c>
      <c r="M5664" s="28" t="s">
        <v>51</v>
      </c>
      <c r="N5664" s="28" t="s">
        <v>51</v>
      </c>
    </row>
    <row r="5665" spans="1:14" x14ac:dyDescent="0.15">
      <c r="A5665" s="23" t="str">
        <f>HYPERLINK("https://www.spark-marketing.ru/Card/Person/121478", "ГБУ КК ЦРС")</f>
        <v>ГБУ КК ЦРС</v>
      </c>
      <c r="B5665" s="24" t="s">
        <v>8746</v>
      </c>
      <c r="C5665" s="25">
        <v>363000</v>
      </c>
      <c r="D5665" s="22" t="s">
        <v>8747</v>
      </c>
      <c r="E5665" s="22" t="s">
        <v>96</v>
      </c>
      <c r="F5665" s="23" t="str">
        <f>HYPERLINK("https://www.spark-marketing.ru/Card/Lot/73035056", "Услуги по предоставлению питания для участников Спартакиада инвалидов Кубани")</f>
        <v>Услуги по предоставлению питания для участников Спартакиада инвалидов Кубани</v>
      </c>
      <c r="G5665" s="22" t="s">
        <v>104</v>
      </c>
      <c r="H5665" s="22" t="s">
        <v>1269</v>
      </c>
      <c r="I5665" s="26">
        <v>43700.531053240702</v>
      </c>
      <c r="J5665" s="28" t="s">
        <v>51</v>
      </c>
      <c r="K5665" s="28" t="s">
        <v>51</v>
      </c>
      <c r="L5665" s="28" t="s">
        <v>51</v>
      </c>
      <c r="M5665" s="28" t="s">
        <v>51</v>
      </c>
      <c r="N5665" s="28" t="s">
        <v>51</v>
      </c>
    </row>
    <row r="5666" spans="1:14" ht="12.75" hidden="1" outlineLevel="1" x14ac:dyDescent="0.2">
      <c r="A5666" s="23" t="str">
        <f>HYPERLINK("https://www.spark-marketing.ru/Card/Person/121478", "ГБУ КК ЦРС")</f>
        <v>ГБУ КК ЦРС</v>
      </c>
      <c r="B5666" s="24" t="s">
        <v>8746</v>
      </c>
      <c r="C5666" s="25">
        <v>363000</v>
      </c>
      <c r="D5666" s="22" t="s">
        <v>8747</v>
      </c>
      <c r="E5666" s="22" t="s">
        <v>96</v>
      </c>
      <c r="F5666" s="23" t="str">
        <f>HYPERLINK("https://www.spark-marketing.ru/Card/Lot/73035056", "Услуги по предоставлению питания для участников Спартакиада инвалидов Кубани")</f>
        <v>Услуги по предоставлению питания для участников Спартакиада инвалидов Кубани</v>
      </c>
      <c r="G5666" s="22" t="s">
        <v>104</v>
      </c>
      <c r="H5666" s="22" t="s">
        <v>1269</v>
      </c>
      <c r="I5666" s="26">
        <v>43700.531053240702</v>
      </c>
      <c r="J5666" s="23" t="str">
        <f>HYPERLINK("https://www.spark-marketing.ru/Card/Person/906963", "Иорданян Тигран Мясникович")</f>
        <v>Иорданян Тигран Мясникович</v>
      </c>
      <c r="K5666" s="24" t="s">
        <v>8748</v>
      </c>
      <c r="L5666" s="22" t="s">
        <v>10</v>
      </c>
      <c r="M5666" s="25">
        <v>363000</v>
      </c>
      <c r="N5666" s="27">
        <v>0</v>
      </c>
    </row>
    <row r="5667" spans="1:14" hidden="1" outlineLevel="1" x14ac:dyDescent="0.2">
      <c r="A5667" s="23" t="str">
        <f>HYPERLINK("https://www.spark-marketing.ru/Card/Person/121478", "ГБУ КК ЦРС")</f>
        <v>ГБУ КК ЦРС</v>
      </c>
      <c r="B5667" s="24" t="s">
        <v>8746</v>
      </c>
      <c r="C5667" s="25">
        <v>363000</v>
      </c>
      <c r="D5667" s="22" t="s">
        <v>8747</v>
      </c>
      <c r="E5667" s="22" t="s">
        <v>96</v>
      </c>
      <c r="F5667" s="23" t="str">
        <f>HYPERLINK("https://www.spark-marketing.ru/Card/Lot/73035056", "Услуги по предоставлению питания для участников Спартакиада инвалидов Кубани")</f>
        <v>Услуги по предоставлению питания для участников Спартакиада инвалидов Кубани</v>
      </c>
      <c r="G5667" s="22" t="s">
        <v>104</v>
      </c>
      <c r="H5667" s="22" t="s">
        <v>1269</v>
      </c>
      <c r="I5667" s="26">
        <v>43700.531053240702</v>
      </c>
      <c r="J5667" s="23" t="str">
        <f>HYPERLINK("https://www.spark-marketing.ru/Card/Person/6697185", "Анненкова Ольга Владимировна")</f>
        <v>Анненкова Ольга Владимировна</v>
      </c>
      <c r="K5667" s="24" t="s">
        <v>8749</v>
      </c>
      <c r="L5667" s="28" t="s">
        <v>51</v>
      </c>
      <c r="M5667" s="25">
        <v>363000</v>
      </c>
      <c r="N5667" s="27">
        <v>0</v>
      </c>
    </row>
    <row r="5668" spans="1:14" x14ac:dyDescent="0.15">
      <c r="A5668" s="23" t="str">
        <f>HYPERLINK("https://www.spark-marketing.ru/Card/Person/68858", "МКУ ""ОДМС МО Г. КРАСНОДАР""")</f>
        <v>МКУ "ОДМС МО Г. КРАСНОДАР"</v>
      </c>
      <c r="B5668" s="24" t="s">
        <v>8750</v>
      </c>
      <c r="C5668" s="25">
        <v>614000</v>
      </c>
      <c r="D5668" s="22" t="s">
        <v>8751</v>
      </c>
      <c r="E5668" s="22" t="s">
        <v>695</v>
      </c>
      <c r="F5668" s="23" t="str">
        <f>HYPERLINK("https://www.spark-marketing.ru/Card/Lot/73035105", "Оказание услуг по диагностике, техническому обслуживанию и ремонту автотранспортных средств, предназначенных для перевозки продуктов питания")</f>
        <v>Оказание услуг по диагностике, техническому обслуживанию и ремонту автотранспортных средств, предназначенных для перевозки продуктов питания</v>
      </c>
      <c r="G5668" s="22" t="s">
        <v>104</v>
      </c>
      <c r="H5668" s="22" t="s">
        <v>120</v>
      </c>
      <c r="I5668" s="26">
        <v>43703.676562499997</v>
      </c>
      <c r="J5668" s="28" t="s">
        <v>51</v>
      </c>
      <c r="K5668" s="28" t="s">
        <v>51</v>
      </c>
      <c r="L5668" s="28" t="s">
        <v>51</v>
      </c>
      <c r="M5668" s="28" t="s">
        <v>51</v>
      </c>
      <c r="N5668" s="28" t="s">
        <v>51</v>
      </c>
    </row>
    <row r="5669" spans="1:14" hidden="1" outlineLevel="1" x14ac:dyDescent="0.2">
      <c r="A5669" s="23" t="str">
        <f>HYPERLINK("https://www.spark-marketing.ru/Card/Person/68858", "МКУ ""ОДМС МО Г. КРАСНОДАР""")</f>
        <v>МКУ "ОДМС МО Г. КРАСНОДАР"</v>
      </c>
      <c r="B5669" s="24" t="s">
        <v>8750</v>
      </c>
      <c r="C5669" s="25">
        <v>614000</v>
      </c>
      <c r="D5669" s="22" t="s">
        <v>8751</v>
      </c>
      <c r="E5669" s="22" t="s">
        <v>695</v>
      </c>
      <c r="F5669" s="23" t="str">
        <f>HYPERLINK("https://www.spark-marketing.ru/Card/Lot/73035105", "Оказание услуг по диагностике, техническому обслуживанию и ремонту автотранспортных средств, предназначенных для перевозки продуктов питания")</f>
        <v>Оказание услуг по диагностике, техническому обслуживанию и ремонту автотранспортных средств, предназначенных для перевозки продуктов питания</v>
      </c>
      <c r="G5669" s="22" t="s">
        <v>104</v>
      </c>
      <c r="H5669" s="22" t="s">
        <v>120</v>
      </c>
      <c r="I5669" s="26">
        <v>43703.676562499997</v>
      </c>
      <c r="J5669" s="23" t="str">
        <f>HYPERLINK("https://www.spark-marketing.ru/Card/Person/117198", "ООО ""9.9.9""")</f>
        <v>ООО "9.9.9"</v>
      </c>
      <c r="K5669" s="24" t="s">
        <v>8752</v>
      </c>
      <c r="L5669" s="28" t="s">
        <v>51</v>
      </c>
      <c r="M5669" s="25">
        <v>81867213.769999996</v>
      </c>
      <c r="N5669" s="27">
        <v>-132.3342243811075</v>
      </c>
    </row>
    <row r="5670" spans="1:14" ht="12.75" hidden="1" outlineLevel="1" x14ac:dyDescent="0.2">
      <c r="A5670" s="23" t="str">
        <f>HYPERLINK("https://www.spark-marketing.ru/Card/Person/68858", "МКУ ""ОДМС МО Г. КРАСНОДАР""")</f>
        <v>МКУ "ОДМС МО Г. КРАСНОДАР"</v>
      </c>
      <c r="B5670" s="24" t="s">
        <v>8750</v>
      </c>
      <c r="C5670" s="25">
        <v>614000</v>
      </c>
      <c r="D5670" s="22" t="s">
        <v>8751</v>
      </c>
      <c r="E5670" s="22" t="s">
        <v>695</v>
      </c>
      <c r="F5670" s="23" t="str">
        <f>HYPERLINK("https://www.spark-marketing.ru/Card/Lot/73035105", "Оказание услуг по диагностике, техническому обслуживанию и ремонту автотранспортных средств, предназначенных для перевозки продуктов питания")</f>
        <v>Оказание услуг по диагностике, техническому обслуживанию и ремонту автотранспортных средств, предназначенных для перевозки продуктов питания</v>
      </c>
      <c r="G5670" s="22" t="s">
        <v>104</v>
      </c>
      <c r="H5670" s="22" t="s">
        <v>120</v>
      </c>
      <c r="I5670" s="26">
        <v>43703.676562499997</v>
      </c>
      <c r="J5670" s="23" t="str">
        <f>HYPERLINK("https://www.spark-marketing.ru/Card/Person/6200760", "Корчагина Екатерина Павловна")</f>
        <v>Корчагина Екатерина Павловна</v>
      </c>
      <c r="K5670" s="24" t="s">
        <v>8753</v>
      </c>
      <c r="L5670" s="22" t="s">
        <v>10</v>
      </c>
      <c r="M5670" s="25">
        <v>81247007.599999994</v>
      </c>
      <c r="N5670" s="27">
        <v>-131.32411661237785</v>
      </c>
    </row>
    <row r="5671" spans="1:14" x14ac:dyDescent="0.15">
      <c r="A5671" s="23" t="str">
        <f>HYPERLINK("https://www.spark-marketing.ru/Card/Person/1692792", "УМВД РОССИИ ПО ХАБАРОВСКОМУ КРАЮ")</f>
        <v>УМВД РОССИИ ПО ХАБАРОВСКОМУ КРАЮ</v>
      </c>
      <c r="B5671" s="24" t="s">
        <v>7435</v>
      </c>
      <c r="C5671" s="25">
        <v>1370000</v>
      </c>
      <c r="D5671" s="22" t="s">
        <v>8754</v>
      </c>
      <c r="E5671" s="22" t="s">
        <v>48</v>
      </c>
      <c r="F5671" s="23" t="str">
        <f>HYPERLINK("https://www.spark-marketing.ru/Card/Lot/73017464", "Оказание услуг по организации питания иностранных граждан, содержащихся в ЦВСИГ УМВД России по Хабаровскому краю.")</f>
        <v>Оказание услуг по организации питания иностранных граждан, содержащихся в ЦВСИГ УМВД России по Хабаровскому краю.</v>
      </c>
      <c r="G5671" s="22" t="s">
        <v>1096</v>
      </c>
      <c r="H5671" s="22" t="s">
        <v>1097</v>
      </c>
      <c r="I5671" s="26">
        <v>43703.672858796301</v>
      </c>
      <c r="J5671" s="28" t="s">
        <v>51</v>
      </c>
      <c r="K5671" s="28" t="s">
        <v>51</v>
      </c>
      <c r="L5671" s="28" t="s">
        <v>51</v>
      </c>
      <c r="M5671" s="28" t="s">
        <v>51</v>
      </c>
      <c r="N5671" s="28" t="s">
        <v>51</v>
      </c>
    </row>
    <row r="5672" spans="1:14" x14ac:dyDescent="0.15">
      <c r="A5672" s="23" t="str">
        <f>HYPERLINK("https://www.spark-marketing.ru/Card/Person/121478", "ГБУ КК ЦРС")</f>
        <v>ГБУ КК ЦРС</v>
      </c>
      <c r="B5672" s="24" t="s">
        <v>8746</v>
      </c>
      <c r="C5672" s="25">
        <v>370000</v>
      </c>
      <c r="D5672" s="22" t="s">
        <v>8755</v>
      </c>
      <c r="E5672" s="22" t="s">
        <v>96</v>
      </c>
      <c r="F5672" s="23" t="str">
        <f>HYPERLINK("https://www.spark-marketing.ru/Card/Lot/73035055", "Услуги по предоставлению питания участников: - Краевого спортивного фестиваля школ-интернатов для детей с нарушением слуха; - Спартакиады инвалидов Кубани; - краевого спортивного фестиваля среди инвалидов с нарушением слуха.")</f>
        <v>Услуги по предоставлению питания участников: - Краевого спортивного фестиваля школ-интернатов для детей с нарушением слуха; - Спартакиады инвалидов Кубани; - краевого спортивного фестиваля среди инвалидов с нарушением слуха.</v>
      </c>
      <c r="G5672" s="22" t="s">
        <v>104</v>
      </c>
      <c r="H5672" s="22" t="s">
        <v>1269</v>
      </c>
      <c r="I5672" s="26">
        <v>43700.517615740697</v>
      </c>
      <c r="J5672" s="23" t="str">
        <f>HYPERLINK("https://www.spark-marketing.ru/Card/Person/906963", "Иорданян Тигран Мясникович")</f>
        <v>Иорданян Тигран Мясникович</v>
      </c>
      <c r="K5672" s="24" t="s">
        <v>8748</v>
      </c>
      <c r="L5672" s="28" t="s">
        <v>51</v>
      </c>
      <c r="M5672" s="28" t="s">
        <v>51</v>
      </c>
      <c r="N5672" s="28" t="s">
        <v>51</v>
      </c>
    </row>
    <row r="5673" spans="1:14" ht="12.75" hidden="1" outlineLevel="1" x14ac:dyDescent="0.2">
      <c r="A5673" s="23" t="str">
        <f>HYPERLINK("https://www.spark-marketing.ru/Card/Person/121478", "ГБУ КК ЦРС")</f>
        <v>ГБУ КК ЦРС</v>
      </c>
      <c r="B5673" s="24" t="s">
        <v>8746</v>
      </c>
      <c r="C5673" s="25">
        <v>370000</v>
      </c>
      <c r="D5673" s="22" t="s">
        <v>8755</v>
      </c>
      <c r="E5673" s="22" t="s">
        <v>96</v>
      </c>
      <c r="F5673" s="23" t="str">
        <f>HYPERLINK("https://www.spark-marketing.ru/Card/Lot/73035055", "Услуги по предоставлению питания участников: - Краевого спортивного фестиваля школ-интернатов для детей с нарушением слуха; - Спартакиады инвалидов Кубани; - краевого спортивного фестиваля среди инвалидов с нарушением слуха.")</f>
        <v>Услуги по предоставлению питания участников: - Краевого спортивного фестиваля школ-интернатов для детей с нарушением слуха; - Спартакиады инвалидов Кубани; - краевого спортивного фестиваля среди инвалидов с нарушением слуха.</v>
      </c>
      <c r="G5673" s="22" t="s">
        <v>104</v>
      </c>
      <c r="H5673" s="22" t="s">
        <v>1269</v>
      </c>
      <c r="I5673" s="26">
        <v>43700.517615740697</v>
      </c>
      <c r="J5673" s="23" t="str">
        <f>HYPERLINK("https://www.spark-marketing.ru/Card/Person/906963", "Иорданян Тигран Мясникович")</f>
        <v>Иорданян Тигран Мясникович</v>
      </c>
      <c r="K5673" s="24" t="s">
        <v>8748</v>
      </c>
      <c r="L5673" s="22" t="s">
        <v>10</v>
      </c>
      <c r="M5673" s="25">
        <v>368150</v>
      </c>
      <c r="N5673" s="27">
        <v>5.0000000000000001E-3</v>
      </c>
    </row>
    <row r="5674" spans="1:14" x14ac:dyDescent="0.15">
      <c r="A5674" s="23" t="str">
        <f>HYPERLINK("https://www.spark-marketing.ru/Card/Person/121478", "ГБУ КК ЦРС")</f>
        <v>ГБУ КК ЦРС</v>
      </c>
      <c r="B5674" s="24" t="s">
        <v>8746</v>
      </c>
      <c r="C5674" s="25">
        <v>338000</v>
      </c>
      <c r="D5674" s="22" t="s">
        <v>8756</v>
      </c>
      <c r="E5674" s="22" t="s">
        <v>96</v>
      </c>
      <c r="F5674" s="23" t="str">
        <f>HYPERLINK("https://www.spark-marketing.ru/Card/Lot/73034369", "Услуги по предоставлению питания для участников: - Спартакиады инвалидов Кубани; - Краевых спортивных соревнований для детей-инвалидов с поражением опорно-двигательного аппарата.")</f>
        <v>Услуги по предоставлению питания для участников: - Спартакиады инвалидов Кубани; - Краевых спортивных соревнований для детей-инвалидов с поражением опорно-двигательного аппарата.</v>
      </c>
      <c r="G5674" s="22" t="s">
        <v>104</v>
      </c>
      <c r="H5674" s="22" t="s">
        <v>1269</v>
      </c>
      <c r="I5674" s="26">
        <v>43700.525995370401</v>
      </c>
      <c r="J5674" s="23" t="str">
        <f>HYPERLINK("https://www.spark-marketing.ru/Card/Person/906963", "Иорданян Тигран Мясникович")</f>
        <v>Иорданян Тигран Мясникович</v>
      </c>
      <c r="K5674" s="24" t="s">
        <v>8748</v>
      </c>
      <c r="L5674" s="28" t="s">
        <v>51</v>
      </c>
      <c r="M5674" s="28" t="s">
        <v>51</v>
      </c>
      <c r="N5674" s="28" t="s">
        <v>51</v>
      </c>
    </row>
    <row r="5675" spans="1:14" ht="12.75" hidden="1" outlineLevel="1" x14ac:dyDescent="0.2">
      <c r="A5675" s="23" t="str">
        <f>HYPERLINK("https://www.spark-marketing.ru/Card/Person/121478", "ГБУ КК ЦРС")</f>
        <v>ГБУ КК ЦРС</v>
      </c>
      <c r="B5675" s="24" t="s">
        <v>8746</v>
      </c>
      <c r="C5675" s="25">
        <v>338000</v>
      </c>
      <c r="D5675" s="22" t="s">
        <v>8756</v>
      </c>
      <c r="E5675" s="22" t="s">
        <v>96</v>
      </c>
      <c r="F5675" s="23" t="str">
        <f>HYPERLINK("https://www.spark-marketing.ru/Card/Lot/73034369", "Услуги по предоставлению питания для участников: - Спартакиады инвалидов Кубани; - Краевых спортивных соревнований для детей-инвалидов с поражением опорно-двигательного аппарата.")</f>
        <v>Услуги по предоставлению питания для участников: - Спартакиады инвалидов Кубани; - Краевых спортивных соревнований для детей-инвалидов с поражением опорно-двигательного аппарата.</v>
      </c>
      <c r="G5675" s="22" t="s">
        <v>104</v>
      </c>
      <c r="H5675" s="22" t="s">
        <v>1269</v>
      </c>
      <c r="I5675" s="26">
        <v>43700.525995370401</v>
      </c>
      <c r="J5675" s="23" t="str">
        <f>HYPERLINK("https://www.spark-marketing.ru/Card/Person/906963", "Иорданян Тигран Мясникович")</f>
        <v>Иорданян Тигран Мясникович</v>
      </c>
      <c r="K5675" s="24" t="s">
        <v>8748</v>
      </c>
      <c r="L5675" s="22" t="s">
        <v>10</v>
      </c>
      <c r="M5675" s="25">
        <v>336310</v>
      </c>
      <c r="N5675" s="27">
        <v>5.0000000000000001E-3</v>
      </c>
    </row>
    <row r="5676" spans="1:14" x14ac:dyDescent="0.15">
      <c r="A5676" s="23" t="str">
        <f>HYPERLINK("https://www.spark-marketing.ru/Card/Person/66917", "ФКУ ""ГБ МСЭ ПО РЕСПУБЛИКЕ САХА (ЯКУТИЯ)"" МИНТРУДА РОССИИ")</f>
        <v>ФКУ "ГБ МСЭ ПО РЕСПУБЛИКЕ САХА (ЯКУТИЯ)" МИНТРУДА РОССИИ</v>
      </c>
      <c r="B5676" s="24" t="s">
        <v>8757</v>
      </c>
      <c r="C5676" s="25">
        <v>84991.6</v>
      </c>
      <c r="D5676" s="22" t="s">
        <v>8758</v>
      </c>
      <c r="E5676" s="22" t="s">
        <v>91</v>
      </c>
      <c r="F5676" s="23" t="str">
        <f>HYPERLINK("https://www.spark-marketing.ru/Card/Lot/73019996", "Оказание услуг по ремонту и техническому обслуживанию вычислительной техники (в сфере ИКТ)")</f>
        <v>Оказание услуг по ремонту и техническому обслуживанию вычислительной техники (в сфере ИКТ)</v>
      </c>
      <c r="G5676" s="22" t="s">
        <v>241</v>
      </c>
      <c r="H5676" s="22" t="s">
        <v>241</v>
      </c>
      <c r="I5676" s="26">
        <v>43703.734340277799</v>
      </c>
      <c r="J5676" s="28" t="s">
        <v>51</v>
      </c>
      <c r="K5676" s="28" t="s">
        <v>51</v>
      </c>
      <c r="L5676" s="28" t="s">
        <v>51</v>
      </c>
      <c r="M5676" s="28" t="s">
        <v>51</v>
      </c>
      <c r="N5676" s="28" t="s">
        <v>51</v>
      </c>
    </row>
    <row r="5677" spans="1:14" ht="12.75" hidden="1" outlineLevel="1" x14ac:dyDescent="0.2">
      <c r="A5677" s="23" t="str">
        <f>HYPERLINK("https://www.spark-marketing.ru/Card/Person/66917", "ФКУ ""ГБ МСЭ ПО РЕСПУБЛИКЕ САХА (ЯКУТИЯ)"" МИНТРУДА РОССИИ")</f>
        <v>ФКУ "ГБ МСЭ ПО РЕСПУБЛИКЕ САХА (ЯКУТИЯ)" МИНТРУДА РОССИИ</v>
      </c>
      <c r="B5677" s="24" t="s">
        <v>8757</v>
      </c>
      <c r="C5677" s="25">
        <v>84991.6</v>
      </c>
      <c r="D5677" s="22" t="s">
        <v>8758</v>
      </c>
      <c r="E5677" s="22" t="s">
        <v>91</v>
      </c>
      <c r="F5677" s="23" t="str">
        <f>HYPERLINK("https://www.spark-marketing.ru/Card/Lot/73019996", "Оказание услуг по ремонту и техническому обслуживанию вычислительной техники (в сфере ИКТ)")</f>
        <v>Оказание услуг по ремонту и техническому обслуживанию вычислительной техники (в сфере ИКТ)</v>
      </c>
      <c r="G5677" s="22" t="s">
        <v>241</v>
      </c>
      <c r="H5677" s="22" t="s">
        <v>241</v>
      </c>
      <c r="I5677" s="26">
        <v>43703.734340277799</v>
      </c>
      <c r="J5677" s="23" t="str">
        <f>HYPERLINK("https://www.spark-marketing.ru/Card/Person/243820", "ООО ""ДИСПЛЕЙ-СЕРВИС""")</f>
        <v>ООО "ДИСПЛЕЙ-СЕРВИС"</v>
      </c>
      <c r="K5677" s="24" t="s">
        <v>7101</v>
      </c>
      <c r="L5677" s="22" t="s">
        <v>10</v>
      </c>
      <c r="M5677" s="25">
        <v>69693.08</v>
      </c>
      <c r="N5677" s="27">
        <v>0.18000037650779607</v>
      </c>
    </row>
    <row r="5678" spans="1:14" hidden="1" outlineLevel="1" x14ac:dyDescent="0.2">
      <c r="A5678" s="23" t="str">
        <f>HYPERLINK("https://www.spark-marketing.ru/Card/Person/66917", "ФКУ ""ГБ МСЭ ПО РЕСПУБЛИКЕ САХА (ЯКУТИЯ)"" МИНТРУДА РОССИИ")</f>
        <v>ФКУ "ГБ МСЭ ПО РЕСПУБЛИКЕ САХА (ЯКУТИЯ)" МИНТРУДА РОССИИ</v>
      </c>
      <c r="B5678" s="24" t="s">
        <v>8757</v>
      </c>
      <c r="C5678" s="25">
        <v>84991.6</v>
      </c>
      <c r="D5678" s="22" t="s">
        <v>8758</v>
      </c>
      <c r="E5678" s="22" t="s">
        <v>91</v>
      </c>
      <c r="F5678" s="23" t="str">
        <f>HYPERLINK("https://www.spark-marketing.ru/Card/Lot/73019996", "Оказание услуг по ремонту и техническому обслуживанию вычислительной техники (в сфере ИКТ)")</f>
        <v>Оказание услуг по ремонту и техническому обслуживанию вычислительной техники (в сфере ИКТ)</v>
      </c>
      <c r="G5678" s="22" t="s">
        <v>241</v>
      </c>
      <c r="H5678" s="22" t="s">
        <v>241</v>
      </c>
      <c r="I5678" s="26">
        <v>43703.734340277799</v>
      </c>
      <c r="J5678" s="23" t="str">
        <f>HYPERLINK("https://www.spark-marketing.ru/Card/Person/180603", "ООО ""СК - КТС""")</f>
        <v>ООО "СК - КТС"</v>
      </c>
      <c r="K5678" s="24" t="s">
        <v>7102</v>
      </c>
      <c r="L5678" s="28" t="s">
        <v>51</v>
      </c>
      <c r="M5678" s="25">
        <v>73942.66</v>
      </c>
      <c r="N5678" s="27">
        <v>0.13000037650779606</v>
      </c>
    </row>
    <row r="5679" spans="1:14" x14ac:dyDescent="0.15">
      <c r="A5679" s="23" t="str">
        <f>HYPERLINK("https://www.spark-marketing.ru/Card/Person/37657", "МВД ПО РЕСПУБЛИКЕ КАЛМЫКИЯ")</f>
        <v>МВД ПО РЕСПУБЛИКЕ КАЛМЫКИЯ</v>
      </c>
      <c r="B5679" s="24" t="s">
        <v>8511</v>
      </c>
      <c r="C5679" s="25">
        <v>50000</v>
      </c>
      <c r="D5679" s="22" t="s">
        <v>8759</v>
      </c>
      <c r="E5679" s="22" t="s">
        <v>48</v>
      </c>
      <c r="F5679" s="23" t="str">
        <f>HYPERLINK("https://www.spark-marketing.ru/Card/Lot/73033686",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</v>
      </c>
      <c r="G5679" s="22" t="s">
        <v>8513</v>
      </c>
      <c r="H5679" s="22" t="s">
        <v>8760</v>
      </c>
      <c r="I5679" s="26">
        <v>43703.700844907398</v>
      </c>
      <c r="J5679" s="28" t="s">
        <v>51</v>
      </c>
      <c r="K5679" s="28" t="s">
        <v>51</v>
      </c>
      <c r="L5679" s="28" t="s">
        <v>51</v>
      </c>
      <c r="M5679" s="28" t="s">
        <v>51</v>
      </c>
      <c r="N5679" s="28" t="s">
        <v>51</v>
      </c>
    </row>
    <row r="5680" spans="1:14" x14ac:dyDescent="0.15">
      <c r="A5680" s="23" t="str">
        <f>HYPERLINK("https://www.spark-marketing.ru/Card/Person/121478", "ГБУ КК ЦРС")</f>
        <v>ГБУ КК ЦРС</v>
      </c>
      <c r="B5680" s="24" t="s">
        <v>8746</v>
      </c>
      <c r="C5680" s="25">
        <v>57600</v>
      </c>
      <c r="D5680" s="22" t="s">
        <v>8761</v>
      </c>
      <c r="E5680" s="22" t="s">
        <v>96</v>
      </c>
      <c r="F5680" s="23" t="str">
        <f>HYPERLINK("https://www.spark-marketing.ru/Card/Lot/73033657", "Услуги по предоставлению питания участников спортивного фестиваля для детей-инвалидов и их сверстников, не имеющих инвалидности, в возрасте от 12 до 16 лет.")</f>
        <v>Услуги по предоставлению питания участников спортивного фестиваля для детей-инвалидов и их сверстников, не имеющих инвалидности, в возрасте от 12 до 16 лет.</v>
      </c>
      <c r="G5680" s="22" t="s">
        <v>104</v>
      </c>
      <c r="H5680" s="22" t="s">
        <v>8762</v>
      </c>
      <c r="I5680" s="26">
        <v>43700.413645833301</v>
      </c>
      <c r="J5680" s="23" t="str">
        <f>HYPERLINK("https://www.spark-marketing.ru/Card/Person/6231401", "ООО ""ЛИНИЯ-СПОРТА""")</f>
        <v>ООО "ЛИНИЯ-СПОРТА"</v>
      </c>
      <c r="K5680" s="24" t="s">
        <v>8763</v>
      </c>
      <c r="L5680" s="22" t="s">
        <v>10</v>
      </c>
      <c r="M5680" s="28" t="s">
        <v>51</v>
      </c>
      <c r="N5680" s="28" t="s">
        <v>51</v>
      </c>
    </row>
    <row r="5681" spans="1:14" x14ac:dyDescent="0.15">
      <c r="A5681" s="23" t="str">
        <f>HYPERLINK("https://www.spark-marketing.ru/Card/Person/37657", "МВД ПО РЕСПУБЛИКЕ КАЛМЫКИЯ")</f>
        <v>МВД ПО РЕСПУБЛИКЕ КАЛМЫКИЯ</v>
      </c>
      <c r="B5681" s="24" t="s">
        <v>8511</v>
      </c>
      <c r="C5681" s="25">
        <v>50000</v>
      </c>
      <c r="D5681" s="22" t="s">
        <v>8764</v>
      </c>
      <c r="E5681" s="22" t="s">
        <v>48</v>
      </c>
      <c r="F5681" s="23" t="str">
        <f>HYPERLINK("https://www.spark-marketing.ru/Card/Lot/73034958",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задержанных, содержащихся в специ...")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задержанных, содержащихся в специ...</v>
      </c>
      <c r="G5681" s="22" t="s">
        <v>8513</v>
      </c>
      <c r="H5681" s="22" t="s">
        <v>8760</v>
      </c>
      <c r="I5681" s="26">
        <v>43703.712986111103</v>
      </c>
      <c r="J5681" s="28" t="s">
        <v>51</v>
      </c>
      <c r="K5681" s="28" t="s">
        <v>51</v>
      </c>
      <c r="L5681" s="28" t="s">
        <v>51</v>
      </c>
      <c r="M5681" s="28" t="s">
        <v>51</v>
      </c>
      <c r="N5681" s="28" t="s">
        <v>51</v>
      </c>
    </row>
    <row r="5682" spans="1:14" x14ac:dyDescent="0.15">
      <c r="A5682" s="23" t="str">
        <f>HYPERLINK("https://www.spark-marketing.ru/Card/Person/4344137", "МИНИСТЕРСТВО ТРУДА И СОЦИАЛЬНОГО РАЗВИТИЯ КРАСНОДАРСКОГО КРАЯ")</f>
        <v>МИНИСТЕРСТВО ТРУДА И СОЦИАЛЬНОГО РАЗВИТИЯ КРАСНОДАРСКОГО КРАЯ</v>
      </c>
      <c r="B5682" s="24" t="s">
        <v>3008</v>
      </c>
      <c r="C5682" s="25">
        <v>1969800</v>
      </c>
      <c r="D5682" s="22" t="s">
        <v>8765</v>
      </c>
      <c r="E5682" s="22" t="s">
        <v>86</v>
      </c>
      <c r="F5682" s="23" t="str">
        <f>HYPERLINK("https://www.spark-marketing.ru/Card/Lot/73034603", "Оказание услуг по санаторно-курортному лечению в амбулаторных условиях детей, в том числе, находящихся в трудной жизненной ситуации: детей-инвалидов, детей, один из родителей (законных представителей) которых является инвалидом, детей-сирот, детей, о...")</f>
        <v>Оказание услуг по санаторно-курортному лечению в амбулаторных условиях детей, в том числе, находящихся в трудной жизненной ситуации: детей-инвалидов, детей, один из родителей (законных представителей) которых является инвалидом, детей-сирот, детей, о...</v>
      </c>
      <c r="G5682" s="22" t="s">
        <v>104</v>
      </c>
      <c r="H5682" s="22" t="s">
        <v>120</v>
      </c>
      <c r="I5682" s="26">
        <v>43703.686851851897</v>
      </c>
      <c r="J5682" s="28" t="s">
        <v>51</v>
      </c>
      <c r="K5682" s="28" t="s">
        <v>51</v>
      </c>
      <c r="L5682" s="28" t="s">
        <v>51</v>
      </c>
      <c r="M5682" s="28" t="s">
        <v>51</v>
      </c>
      <c r="N5682" s="28" t="s">
        <v>51</v>
      </c>
    </row>
    <row r="5683" spans="1:14" x14ac:dyDescent="0.15">
      <c r="A5683" s="23" t="str">
        <f>HYPERLINK("https://www.spark-marketing.ru/Card/Person/737617", "МО МВД РОССИИ ""БАКСАНСКИЙ""")</f>
        <v>МО МВД РОССИИ "БАКСАНСКИЙ"</v>
      </c>
      <c r="B5683" s="24" t="s">
        <v>8766</v>
      </c>
      <c r="C5683" s="25">
        <v>300000</v>
      </c>
      <c r="D5683" s="22" t="s">
        <v>8767</v>
      </c>
      <c r="E5683" s="22" t="s">
        <v>48</v>
      </c>
      <c r="F5683" s="23" t="str">
        <f>HYPERLINK("https://www.spark-marketing.ru/Card/Lot/73034924", "Оказание услуг по обеспечению трехразовым горячим питанием лиц, содержащихся в ИВС МО МВД России ""Баксанский""")</f>
        <v>Оказание услуг по обеспечению трехразовым горячим питанием лиц, содержащихся в ИВС МО МВД России "Баксанский"</v>
      </c>
      <c r="G5683" s="22" t="s">
        <v>986</v>
      </c>
      <c r="H5683" s="22" t="s">
        <v>8768</v>
      </c>
      <c r="I5683" s="26">
        <v>43703.699907407397</v>
      </c>
      <c r="J5683" s="28" t="s">
        <v>51</v>
      </c>
      <c r="K5683" s="28" t="s">
        <v>51</v>
      </c>
      <c r="L5683" s="28" t="s">
        <v>51</v>
      </c>
      <c r="M5683" s="28" t="s">
        <v>51</v>
      </c>
      <c r="N5683" s="28" t="s">
        <v>51</v>
      </c>
    </row>
    <row r="5684" spans="1:14" ht="12.75" hidden="1" outlineLevel="1" x14ac:dyDescent="0.2">
      <c r="A5684" s="23" t="str">
        <f>HYPERLINK("https://www.spark-marketing.ru/Card/Person/737617", "МО МВД РОССИИ ""БАКСАНСКИЙ""")</f>
        <v>МО МВД РОССИИ "БАКСАНСКИЙ"</v>
      </c>
      <c r="B5684" s="24" t="s">
        <v>8766</v>
      </c>
      <c r="C5684" s="25">
        <v>300000</v>
      </c>
      <c r="D5684" s="22" t="s">
        <v>8767</v>
      </c>
      <c r="E5684" s="22" t="s">
        <v>48</v>
      </c>
      <c r="F5684" s="23" t="str">
        <f>HYPERLINK("https://www.spark-marketing.ru/Card/Lot/73034924", "Оказание услуг по обеспечению трехразовым горячим питанием лиц, содержащихся в ИВС МО МВД России ""Баксанский""")</f>
        <v>Оказание услуг по обеспечению трехразовым горячим питанием лиц, содержащихся в ИВС МО МВД России "Баксанский"</v>
      </c>
      <c r="G5684" s="22" t="s">
        <v>986</v>
      </c>
      <c r="H5684" s="22" t="s">
        <v>8768</v>
      </c>
      <c r="I5684" s="26">
        <v>43703.699907407397</v>
      </c>
      <c r="J5684" s="23" t="str">
        <f>HYPERLINK("https://www.spark-marketing.ru/Card/Person/4353606", "ООО ""МАР-С""")</f>
        <v>ООО "МАР-С"</v>
      </c>
      <c r="K5684" s="24" t="s">
        <v>8769</v>
      </c>
      <c r="L5684" s="22" t="s">
        <v>10</v>
      </c>
      <c r="M5684" s="25">
        <v>288000</v>
      </c>
      <c r="N5684" s="27">
        <v>0.04</v>
      </c>
    </row>
    <row r="5685" spans="1:14" hidden="1" outlineLevel="1" x14ac:dyDescent="0.2">
      <c r="A5685" s="23" t="str">
        <f>HYPERLINK("https://www.spark-marketing.ru/Card/Person/737617", "МО МВД РОССИИ ""БАКСАНСКИЙ""")</f>
        <v>МО МВД РОССИИ "БАКСАНСКИЙ"</v>
      </c>
      <c r="B5685" s="24" t="s">
        <v>8766</v>
      </c>
      <c r="C5685" s="25">
        <v>300000</v>
      </c>
      <c r="D5685" s="22" t="s">
        <v>8767</v>
      </c>
      <c r="E5685" s="22" t="s">
        <v>48</v>
      </c>
      <c r="F5685" s="23" t="str">
        <f>HYPERLINK("https://www.spark-marketing.ru/Card/Lot/73034924", "Оказание услуг по обеспечению трехразовым горячим питанием лиц, содержащихся в ИВС МО МВД России ""Баксанский""")</f>
        <v>Оказание услуг по обеспечению трехразовым горячим питанием лиц, содержащихся в ИВС МО МВД России "Баксанский"</v>
      </c>
      <c r="G5685" s="22" t="s">
        <v>986</v>
      </c>
      <c r="H5685" s="22" t="s">
        <v>8768</v>
      </c>
      <c r="I5685" s="26">
        <v>43703.699907407397</v>
      </c>
      <c r="J5685" s="23" t="str">
        <f>HYPERLINK("https://www.spark-marketing.ru/Card/Person/6691548", "Токмакова Оксана Амурбиевна")</f>
        <v>Токмакова Оксана Амурбиевна</v>
      </c>
      <c r="K5685" s="24" t="s">
        <v>8770</v>
      </c>
      <c r="L5685" s="28" t="s">
        <v>51</v>
      </c>
      <c r="M5685" s="25">
        <v>289000</v>
      </c>
      <c r="N5685" s="27">
        <v>3.6666666666666667E-2</v>
      </c>
    </row>
    <row r="5686" spans="1:14" x14ac:dyDescent="0.15">
      <c r="A5686" s="23" t="str">
        <f>HYPERLINK("https://www.spark-marketing.ru/Card/Person/4348382", "ООО ""ГАЗПРОМ ПИТАНИЕ""")</f>
        <v>ООО "ГАЗПРОМ ПИТАНИЕ"</v>
      </c>
      <c r="B5686" s="24" t="s">
        <v>2869</v>
      </c>
      <c r="C5686" s="25">
        <v>191414</v>
      </c>
      <c r="D5686" s="22" t="s">
        <v>8771</v>
      </c>
      <c r="E5686" s="22" t="s">
        <v>52</v>
      </c>
      <c r="F5686" s="23" t="str">
        <f>HYPERLINK("https://www.spark-marketing.ru/Card/Lot/73030606", "Оказание услуг доступа к базе данных справочных информационных систем для нужд филиала ухтинское уооп ооо ""газпром питание""")</f>
        <v>Оказание услуг доступа к базе данных справочных информационных систем для нужд филиала ухтинское уооп ооо "газпром питание"</v>
      </c>
      <c r="G5686" s="22" t="s">
        <v>271</v>
      </c>
      <c r="H5686" s="22" t="s">
        <v>6958</v>
      </c>
      <c r="I5686" s="26">
        <v>43703.673611111102</v>
      </c>
      <c r="J5686" s="28" t="s">
        <v>51</v>
      </c>
      <c r="K5686" s="28" t="s">
        <v>51</v>
      </c>
      <c r="L5686" s="28" t="s">
        <v>51</v>
      </c>
      <c r="M5686" s="28" t="s">
        <v>51</v>
      </c>
      <c r="N5686" s="28" t="s">
        <v>51</v>
      </c>
    </row>
    <row r="5687" spans="1:14" x14ac:dyDescent="0.2">
      <c r="A5687" s="23" t="str">
        <f>HYPERLINK("https://www.spark-marketing.ru/Card/Person/4376677", "МБОУ ""ЯС(К)Ш""")</f>
        <v>МБОУ "ЯС(К)Ш"</v>
      </c>
      <c r="B5687" s="24" t="s">
        <v>8772</v>
      </c>
      <c r="C5687" s="25">
        <v>4247642</v>
      </c>
      <c r="D5687" s="22" t="s">
        <v>8773</v>
      </c>
      <c r="E5687" s="22" t="s">
        <v>48</v>
      </c>
      <c r="F5687" s="23" t="str">
        <f>HYPERLINK("https://www.spark-marketing.ru/Card/Lot/73036694", "услуги по организации горячего питания (завтраки и обеды) обучающихся")</f>
        <v>услуги по организации горячего питания (завтраки и обеды) обучающихся</v>
      </c>
      <c r="G5687" s="22" t="s">
        <v>108</v>
      </c>
      <c r="H5687" s="22" t="s">
        <v>1321</v>
      </c>
      <c r="I5687" s="26">
        <v>43703.673819444397</v>
      </c>
      <c r="J5687" s="23" t="str">
        <f>HYPERLINK("https://www.spark-marketing.ru/Card/Person/6171161", "Фартушная-Близнюк Галина Николаевна")</f>
        <v>Фартушная-Близнюк Галина Николаевна</v>
      </c>
      <c r="K5687" s="24" t="s">
        <v>6780</v>
      </c>
      <c r="L5687" s="28" t="s">
        <v>51</v>
      </c>
      <c r="M5687" s="25">
        <v>2247642</v>
      </c>
      <c r="N5687" s="27">
        <v>0.47084947366091584</v>
      </c>
    </row>
    <row r="5688" spans="1:14" x14ac:dyDescent="0.15">
      <c r="A5688" s="23" t="str">
        <f>HYPERLINK("https://www.spark-marketing.ru/Card/Person/27035", "ГБУ МО ""СШОР ""ИСТИНА""")</f>
        <v>ГБУ МО "СШОР "ИСТИНА"</v>
      </c>
      <c r="B5688" s="24" t="s">
        <v>6108</v>
      </c>
      <c r="C5688" s="25">
        <v>576000</v>
      </c>
      <c r="D5688" s="22" t="s">
        <v>8774</v>
      </c>
      <c r="E5688" s="22" t="s">
        <v>48</v>
      </c>
      <c r="F5688" s="23" t="str">
        <f>HYPERLINK("https://www.spark-marketing.ru/Card/Lot/73030270", "Оказание услуг по организации питания (сентябрь)")</f>
        <v>Оказание услуг по организации питания (сентябрь)</v>
      </c>
      <c r="G5688" s="22" t="s">
        <v>49</v>
      </c>
      <c r="H5688" s="22" t="s">
        <v>4820</v>
      </c>
      <c r="I5688" s="26">
        <v>43703.669675925899</v>
      </c>
      <c r="J5688" s="28" t="s">
        <v>51</v>
      </c>
      <c r="K5688" s="28" t="s">
        <v>51</v>
      </c>
      <c r="L5688" s="28" t="s">
        <v>51</v>
      </c>
      <c r="M5688" s="28" t="s">
        <v>51</v>
      </c>
      <c r="N5688" s="28" t="s">
        <v>51</v>
      </c>
    </row>
    <row r="5689" spans="1:14" x14ac:dyDescent="0.15">
      <c r="A5689" s="23" t="str">
        <f>HYPERLINK("https://www.spark-marketing.ru/Card/Person/30541", "ГБУЗ СО ""ТГКБ № 5""")</f>
        <v>ГБУЗ СО "ТГКБ № 5"</v>
      </c>
      <c r="B5689" s="24" t="s">
        <v>8775</v>
      </c>
      <c r="C5689" s="25">
        <v>24096718</v>
      </c>
      <c r="D5689" s="22" t="s">
        <v>8776</v>
      </c>
      <c r="E5689" s="22" t="s">
        <v>48</v>
      </c>
      <c r="F5689" s="23" t="str">
        <f>HYPERLINK("https://www.spark-marketing.ru/Card/Lot/73032975", "Оказание услуг по организации диетического лечебного питания для Государственного бюджетного учреждения здравоохранения Самарской области ""Тольяттинская городская клиническая больница № 5""")</f>
        <v>Оказание услуг по организации диетического лечебного питания для Государственного бюджетного учреждения здравоохранения Самарской области "Тольяттинская городская клиническая больница № 5"</v>
      </c>
      <c r="G5689" s="22" t="s">
        <v>128</v>
      </c>
      <c r="H5689" s="22" t="s">
        <v>2819</v>
      </c>
      <c r="I5689" s="26">
        <v>43703.665208333303</v>
      </c>
      <c r="J5689" s="23" t="str">
        <f>HYPERLINK("https://www.spark-marketing.ru/Card/Person/56750", "ООО ""ЛИНИЯ В""")</f>
        <v>ООО "ЛИНИЯ В"</v>
      </c>
      <c r="K5689" s="24" t="s">
        <v>8777</v>
      </c>
      <c r="L5689" s="22" t="s">
        <v>10</v>
      </c>
      <c r="M5689" s="28" t="s">
        <v>51</v>
      </c>
      <c r="N5689" s="28" t="s">
        <v>51</v>
      </c>
    </row>
    <row r="5690" spans="1:14" x14ac:dyDescent="0.15">
      <c r="A5690" s="23" t="str">
        <f>HYPERLINK("https://www.spark-marketing.ru/Card/Person/137727", "МО МВД РОССИИ ""АЛЕЙСКИЙ""")</f>
        <v>МО МВД РОССИИ "АЛЕЙСКИЙ"</v>
      </c>
      <c r="B5690" s="24" t="s">
        <v>8778</v>
      </c>
      <c r="C5690" s="25">
        <v>390039.4</v>
      </c>
      <c r="D5690" s="22" t="s">
        <v>8779</v>
      </c>
      <c r="E5690" s="22" t="s">
        <v>48</v>
      </c>
      <c r="F5690" s="23" t="str">
        <f>HYPERLINK("https://www.spark-marketing.ru/Card/Lot/73023348", "услуги по приготовлению и доставлению пищи для лиц, содержащихся в изоляторе временного содержания подозреваемых и обвиняемых и лиц содержащихся в КАЗ МО МВД России ""Алейский""")</f>
        <v>услуги по приготовлению и доставлению пищи для лиц, содержащихся в изоляторе временного содержания подозреваемых и обвиняемых и лиц содержащихся в КАЗ МО МВД России "Алейский"</v>
      </c>
      <c r="G5690" s="22" t="s">
        <v>63</v>
      </c>
      <c r="H5690" s="22" t="s">
        <v>8780</v>
      </c>
      <c r="I5690" s="26">
        <v>43703.674803240698</v>
      </c>
      <c r="J5690" s="23" t="str">
        <f>HYPERLINK("https://www.spark-marketing.ru/Card/Person/211951", "ОАО ""ГОРОДСКОЙ РЫНОК"" Г.АЛЕЙСКА")</f>
        <v>ОАО "ГОРОДСКОЙ РЫНОК" Г.АЛЕЙСКА</v>
      </c>
      <c r="K5690" s="24" t="s">
        <v>8781</v>
      </c>
      <c r="L5690" s="22" t="s">
        <v>10</v>
      </c>
      <c r="M5690" s="28" t="s">
        <v>51</v>
      </c>
      <c r="N5690" s="28" t="s">
        <v>51</v>
      </c>
    </row>
    <row r="5691" spans="1:14" x14ac:dyDescent="0.15">
      <c r="A5691" s="23" t="str">
        <f>HYPERLINK("https://www.spark-marketing.ru/Card/Person/2423", "УМВД РОССИИ ПО ГОРОДУ АРХАНГЕЛЬСКУ")</f>
        <v>УМВД РОССИИ ПО ГОРОДУ АРХАНГЕЛЬСКУ</v>
      </c>
      <c r="B5691" s="24" t="s">
        <v>5877</v>
      </c>
      <c r="C5691" s="25">
        <v>206451.12</v>
      </c>
      <c r="D5691" s="22" t="s">
        <v>8782</v>
      </c>
      <c r="E5691" s="22" t="s">
        <v>48</v>
      </c>
      <c r="F5691" s="23" t="str">
        <f>HYPERLINK("https://www.spark-marketing.ru/Card/Lot/73024581",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691" s="22" t="s">
        <v>214</v>
      </c>
      <c r="H5691" s="22" t="s">
        <v>523</v>
      </c>
      <c r="I5691" s="26">
        <v>43703.641805555599</v>
      </c>
      <c r="J5691" s="28" t="s">
        <v>51</v>
      </c>
      <c r="K5691" s="28" t="s">
        <v>51</v>
      </c>
      <c r="L5691" s="28" t="s">
        <v>51</v>
      </c>
      <c r="M5691" s="28" t="s">
        <v>51</v>
      </c>
      <c r="N5691" s="28" t="s">
        <v>51</v>
      </c>
    </row>
    <row r="5692" spans="1:14" x14ac:dyDescent="0.15">
      <c r="A5692" s="23" t="str">
        <f>HYPERLINK("https://www.spark-marketing.ru/Card/Person/1692809", "МО МВД РОССИИ ""УНЕЧСКИЙ""")</f>
        <v>МО МВД РОССИИ "УНЕЧСКИЙ"</v>
      </c>
      <c r="B5692" s="24" t="s">
        <v>3703</v>
      </c>
      <c r="C5692" s="25">
        <v>53550</v>
      </c>
      <c r="D5692" s="22" t="s">
        <v>8783</v>
      </c>
      <c r="E5692" s="22" t="s">
        <v>48</v>
      </c>
      <c r="F5692" s="23" t="str">
        <f>HYPERLINK("https://www.spark-marketing.ru/Card/Lot/73024572", "УСЛУГИ ПО ОБЕСПЕЧЕНИЮ ПИТАНИЯ ЛИЦ СОДЕРЖАЩИХСЯ В СПЕЦ. ПОМЕЩЕНИЯХ ЗАДЕРЖАННЫХ ЛИЦ, 153 усл. ед")</f>
        <v>УСЛУГИ ПО ОБЕСПЕЧЕНИЮ ПИТАНИЯ ЛИЦ СОДЕРЖАЩИХСЯ В СПЕЦ. ПОМЕЩЕНИЯХ ЗАДЕРЖАННЫХ ЛИЦ, 153 усл. ед</v>
      </c>
      <c r="G5692" s="22" t="s">
        <v>475</v>
      </c>
      <c r="H5692" s="22" t="s">
        <v>6564</v>
      </c>
      <c r="I5692" s="26">
        <v>43703.641018518501</v>
      </c>
      <c r="J5692" s="28" t="s">
        <v>51</v>
      </c>
      <c r="K5692" s="28" t="s">
        <v>51</v>
      </c>
      <c r="L5692" s="28" t="s">
        <v>51</v>
      </c>
      <c r="M5692" s="28" t="s">
        <v>51</v>
      </c>
      <c r="N5692" s="28" t="s">
        <v>51</v>
      </c>
    </row>
    <row r="5693" spans="1:14" x14ac:dyDescent="0.15">
      <c r="A5693" s="23" t="str">
        <f>HYPERLINK("https://www.spark-marketing.ru/Card/Person/1006433", "ОМВД РОССИИ ПО КАЛАЧИНСКОМУ РАЙОНУ")</f>
        <v>ОМВД РОССИИ ПО КАЛАЧИНСКОМУ РАЙОНУ</v>
      </c>
      <c r="B5693" s="24" t="s">
        <v>8547</v>
      </c>
      <c r="C5693" s="25">
        <v>16813</v>
      </c>
      <c r="D5693" s="22" t="s">
        <v>8784</v>
      </c>
      <c r="E5693" s="22" t="s">
        <v>48</v>
      </c>
      <c r="F5693" s="23" t="str">
        <f>HYPERLINK("https://www.spark-marketing.ru/Card/Lot/73024591",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693" s="22" t="s">
        <v>487</v>
      </c>
      <c r="H5693" s="22" t="s">
        <v>8549</v>
      </c>
      <c r="I5693" s="26">
        <v>43703.644016203703</v>
      </c>
      <c r="J5693" s="28" t="s">
        <v>51</v>
      </c>
      <c r="K5693" s="28" t="s">
        <v>51</v>
      </c>
      <c r="L5693" s="28" t="s">
        <v>51</v>
      </c>
      <c r="M5693" s="28" t="s">
        <v>51</v>
      </c>
      <c r="N5693" s="28" t="s">
        <v>51</v>
      </c>
    </row>
    <row r="5694" spans="1:14" x14ac:dyDescent="0.15">
      <c r="A5694" s="23" t="str">
        <f>HYPERLINK("https://www.spark-marketing.ru/Card/Person/1692792", "УМВД РОССИИ ПО ХАБАРОВСКОМУ КРАЮ")</f>
        <v>УМВД РОССИИ ПО ХАБАРОВСКОМУ КРАЮ</v>
      </c>
      <c r="B5694" s="24" t="s">
        <v>7435</v>
      </c>
      <c r="C5694" s="25">
        <v>1370000</v>
      </c>
      <c r="D5694" s="22" t="s">
        <v>8785</v>
      </c>
      <c r="E5694" s="22" t="s">
        <v>48</v>
      </c>
      <c r="F5694" s="23" t="str">
        <f>HYPERLINK("https://www.spark-marketing.ru/Card/Lot/73015029", "Оказание услуг по организации питания иностранных граждан, содержащихся в ЦВСИГ УМВД России по Хабаровскому краю.")</f>
        <v>Оказание услуг по организации питания иностранных граждан, содержащихся в ЦВСИГ УМВД России по Хабаровскому краю.</v>
      </c>
      <c r="G5694" s="22" t="s">
        <v>1096</v>
      </c>
      <c r="H5694" s="22" t="s">
        <v>1097</v>
      </c>
      <c r="I5694" s="26">
        <v>43703.643310185202</v>
      </c>
      <c r="J5694" s="28" t="s">
        <v>51</v>
      </c>
      <c r="K5694" s="28" t="s">
        <v>51</v>
      </c>
      <c r="L5694" s="28" t="s">
        <v>51</v>
      </c>
      <c r="M5694" s="28" t="s">
        <v>51</v>
      </c>
      <c r="N5694" s="28" t="s">
        <v>51</v>
      </c>
    </row>
    <row r="5695" spans="1:14" x14ac:dyDescent="0.15">
      <c r="A5695" s="23" t="str">
        <f>HYPERLINK("https://www.spark-marketing.ru/Card/Person/4343603", "МИНЗДРАВ КРАЯ")</f>
        <v>МИНЗДРАВ КРАЯ</v>
      </c>
      <c r="B5695" s="24" t="s">
        <v>8786</v>
      </c>
      <c r="C5695" s="25">
        <v>3430000</v>
      </c>
      <c r="D5695" s="22" t="s">
        <v>8787</v>
      </c>
      <c r="E5695" s="22" t="s">
        <v>8788</v>
      </c>
      <c r="F5695" s="23" t="str">
        <f>HYPERLINK("https://www.spark-marketing.ru/Card/Lot/73032344", "оказание услуг по приемке, погрузочно-разгрузочным работам, сортировке, хранению, транспортировке и отпуску медицинских иммунобиологических препаратов, полученных в рамках национального календаря профилактических прививок, медицинских товаров, для ор...")</f>
        <v>оказание услуг по приемке, погрузочно-разгрузочным работам, сортировке, хранению, транспортировке и отпуску медицинских иммунобиологических препаратов, полученных в рамках национального календаря профилактических прививок, медицинских товаров, для ор...</v>
      </c>
      <c r="G5695" s="22" t="s">
        <v>87</v>
      </c>
      <c r="H5695" s="22" t="s">
        <v>686</v>
      </c>
      <c r="I5695" s="26">
        <v>43703.5621875</v>
      </c>
      <c r="J5695" s="23" t="str">
        <f>HYPERLINK("https://www.spark-marketing.ru/Card/Person/52340", "ГУП СК ""СТАВРОПОЛЬФАРМАЦИЯ""")</f>
        <v>ГУП СК "СТАВРОПОЛЬФАРМАЦИЯ"</v>
      </c>
      <c r="K5695" s="24" t="s">
        <v>8789</v>
      </c>
      <c r="L5695" s="22" t="s">
        <v>10</v>
      </c>
      <c r="M5695" s="28" t="s">
        <v>51</v>
      </c>
      <c r="N5695" s="28" t="s">
        <v>51</v>
      </c>
    </row>
    <row r="5696" spans="1:14" x14ac:dyDescent="0.15">
      <c r="A5696" s="23" t="str">
        <f>HYPERLINK("https://www.spark-marketing.ru/Card/Person/2423", "УМВД РОССИИ ПО ГОРОДУ АРХАНГЕЛЬСКУ")</f>
        <v>УМВД РОССИИ ПО ГОРОДУ АРХАНГЕЛЬСКУ</v>
      </c>
      <c r="B5696" s="24" t="s">
        <v>5877</v>
      </c>
      <c r="C5696" s="25">
        <v>206451.12</v>
      </c>
      <c r="D5696" s="22" t="s">
        <v>8790</v>
      </c>
      <c r="E5696" s="22" t="s">
        <v>48</v>
      </c>
      <c r="F5696" s="23" t="str">
        <f>HYPERLINK("https://www.spark-marketing.ru/Card/Lot/73024586",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696" s="22" t="s">
        <v>214</v>
      </c>
      <c r="H5696" s="22" t="s">
        <v>523</v>
      </c>
      <c r="I5696" s="26">
        <v>43703.6430555556</v>
      </c>
      <c r="J5696" s="28" t="s">
        <v>51</v>
      </c>
      <c r="K5696" s="28" t="s">
        <v>51</v>
      </c>
      <c r="L5696" s="28" t="s">
        <v>51</v>
      </c>
      <c r="M5696" s="28" t="s">
        <v>51</v>
      </c>
      <c r="N5696" s="28" t="s">
        <v>51</v>
      </c>
    </row>
    <row r="5697" spans="1:14" x14ac:dyDescent="0.15">
      <c r="A5697" s="23" t="str">
        <f>HYPERLINK("https://www.spark-marketing.ru/Card/Person/108558", "МУ МВД РОССИИ ""ЯКУТСКОЕ""")</f>
        <v>МУ МВД РОССИИ "ЯКУТСКОЕ"</v>
      </c>
      <c r="B5697" s="24" t="s">
        <v>6165</v>
      </c>
      <c r="C5697" s="25">
        <v>298025</v>
      </c>
      <c r="D5697" s="22" t="s">
        <v>8791</v>
      </c>
      <c r="E5697" s="22" t="s">
        <v>48</v>
      </c>
      <c r="F5697" s="23" t="str">
        <f>HYPERLINK("https://www.spark-marketing.ru/Card/Lot/73015010", "Оказание услуг по приготовлению и поставке горячего питания для лиц, содержащихся в Изоляторе временного содержания МУ МВД России «Якутское» на 2020-2021 годы")</f>
        <v>Оказание услуг по приготовлению и поставке горячего питания для лиц, содержащихся в Изоляторе временного содержания МУ МВД России «Якутское» на 2020-2021 годы</v>
      </c>
      <c r="G5697" s="22" t="s">
        <v>241</v>
      </c>
      <c r="H5697" s="22" t="s">
        <v>242</v>
      </c>
      <c r="I5697" s="26">
        <v>43703.504687499997</v>
      </c>
      <c r="J5697" s="28" t="s">
        <v>51</v>
      </c>
      <c r="K5697" s="28" t="s">
        <v>51</v>
      </c>
      <c r="L5697" s="28" t="s">
        <v>51</v>
      </c>
      <c r="M5697" s="28" t="s">
        <v>51</v>
      </c>
      <c r="N5697" s="28" t="s">
        <v>51</v>
      </c>
    </row>
    <row r="5698" spans="1:14" x14ac:dyDescent="0.15">
      <c r="A5698" s="23" t="str">
        <f>HYPERLINK("https://www.spark-marketing.ru/Card/Person/2423", "УМВД РОССИИ ПО ГОРОДУ АРХАНГЕЛЬСКУ")</f>
        <v>УМВД РОССИИ ПО ГОРОДУ АРХАНГЕЛЬСКУ</v>
      </c>
      <c r="B5698" s="24" t="s">
        <v>5877</v>
      </c>
      <c r="C5698" s="25">
        <v>94623.43</v>
      </c>
      <c r="D5698" s="22" t="s">
        <v>8792</v>
      </c>
      <c r="E5698" s="22" t="s">
        <v>48</v>
      </c>
      <c r="F5698" s="23" t="str">
        <f>HYPERLINK("https://www.spark-marketing.ru/Card/Lot/73024564",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698" s="22" t="s">
        <v>214</v>
      </c>
      <c r="H5698" s="22" t="s">
        <v>523</v>
      </c>
      <c r="I5698" s="26">
        <v>43703.639733796299</v>
      </c>
      <c r="J5698" s="28" t="s">
        <v>51</v>
      </c>
      <c r="K5698" s="28" t="s">
        <v>51</v>
      </c>
      <c r="L5698" s="28" t="s">
        <v>51</v>
      </c>
      <c r="M5698" s="28" t="s">
        <v>51</v>
      </c>
      <c r="N5698" s="28" t="s">
        <v>51</v>
      </c>
    </row>
    <row r="5699" spans="1:14" x14ac:dyDescent="0.15">
      <c r="A5699" s="23" t="str">
        <f>HYPERLINK("https://www.spark-marketing.ru/Card/Person/108558", "МУ МВД РОССИИ ""ЯКУТСКОЕ""")</f>
        <v>МУ МВД РОССИИ "ЯКУТСКОЕ"</v>
      </c>
      <c r="B5699" s="24" t="s">
        <v>6165</v>
      </c>
      <c r="C5699" s="25">
        <v>3531850</v>
      </c>
      <c r="D5699" s="22" t="s">
        <v>8793</v>
      </c>
      <c r="E5699" s="22" t="s">
        <v>48</v>
      </c>
      <c r="F5699" s="23" t="str">
        <f>HYPERLINK("https://www.spark-marketing.ru/Card/Lot/73014615", "Оказание услуг по приготовлению и поставке горячего питания для лиц, содержащихся в Специальном приемнике, ОП №1, ОП №2, ОП №3, ОП №4, ОП «Жатайское» МУ МВД России «Якутское» на 2021 год")</f>
        <v>Оказание услуг по приготовлению и поставке горячего питания для лиц, содержащихся в Специальном приемнике, ОП №1, ОП №2, ОП №3, ОП №4, ОП «Жатайское» МУ МВД России «Якутское» на 2021 год</v>
      </c>
      <c r="G5699" s="22" t="s">
        <v>241</v>
      </c>
      <c r="H5699" s="22" t="s">
        <v>242</v>
      </c>
      <c r="I5699" s="26">
        <v>43703.519826388903</v>
      </c>
      <c r="J5699" s="28" t="s">
        <v>51</v>
      </c>
      <c r="K5699" s="28" t="s">
        <v>51</v>
      </c>
      <c r="L5699" s="28" t="s">
        <v>51</v>
      </c>
      <c r="M5699" s="28" t="s">
        <v>51</v>
      </c>
      <c r="N5699" s="28" t="s">
        <v>51</v>
      </c>
    </row>
    <row r="5700" spans="1:14" hidden="1" outlineLevel="1" x14ac:dyDescent="0.2">
      <c r="A5700" s="23" t="str">
        <f>HYPERLINK("https://www.spark-marketing.ru/Card/Person/108558", "МУ МВД РОССИИ ""ЯКУТСКОЕ""")</f>
        <v>МУ МВД РОССИИ "ЯКУТСКОЕ"</v>
      </c>
      <c r="B5700" s="24" t="s">
        <v>6165</v>
      </c>
      <c r="C5700" s="25">
        <v>3531850</v>
      </c>
      <c r="D5700" s="22" t="s">
        <v>8793</v>
      </c>
      <c r="E5700" s="22" t="s">
        <v>48</v>
      </c>
      <c r="F5700" s="23" t="str">
        <f>HYPERLINK("https://www.spark-marketing.ru/Card/Lot/73014615", "Оказание услуг по приготовлению и поставке горячего питания для лиц, содержащихся в Специальном приемнике, ОП №1, ОП №2, ОП №3, ОП №4, ОП «Жатайское» МУ МВД России «Якутское» на 2021 год")</f>
        <v>Оказание услуг по приготовлению и поставке горячего питания для лиц, содержащихся в Специальном приемнике, ОП №1, ОП №2, ОП №3, ОП №4, ОП «Жатайское» МУ МВД России «Якутское» на 2021 год</v>
      </c>
      <c r="G5700" s="22" t="s">
        <v>241</v>
      </c>
      <c r="H5700" s="22" t="s">
        <v>242</v>
      </c>
      <c r="I5700" s="26">
        <v>43703.519826388903</v>
      </c>
      <c r="J5700" s="23" t="str">
        <f>HYPERLINK("https://www.spark-marketing.ru/Card/Person/1911538", "ООО ""БАНКЕТПРОФ""")</f>
        <v>ООО "БАНКЕТПРОФ"</v>
      </c>
      <c r="K5700" s="24" t="s">
        <v>8493</v>
      </c>
      <c r="L5700" s="28" t="s">
        <v>51</v>
      </c>
      <c r="M5700" s="25">
        <v>2501066.75</v>
      </c>
      <c r="N5700" s="27">
        <v>0.29185363194926173</v>
      </c>
    </row>
    <row r="5701" spans="1:14" ht="12.75" hidden="1" outlineLevel="1" x14ac:dyDescent="0.2">
      <c r="A5701" s="23" t="str">
        <f>HYPERLINK("https://www.spark-marketing.ru/Card/Person/108558", "МУ МВД РОССИИ ""ЯКУТСКОЕ""")</f>
        <v>МУ МВД РОССИИ "ЯКУТСКОЕ"</v>
      </c>
      <c r="B5701" s="24" t="s">
        <v>6165</v>
      </c>
      <c r="C5701" s="25">
        <v>3531850</v>
      </c>
      <c r="D5701" s="22" t="s">
        <v>8793</v>
      </c>
      <c r="E5701" s="22" t="s">
        <v>48</v>
      </c>
      <c r="F5701" s="23" t="str">
        <f>HYPERLINK("https://www.spark-marketing.ru/Card/Lot/73014615", "Оказание услуг по приготовлению и поставке горячего питания для лиц, содержащихся в Специальном приемнике, ОП №1, ОП №2, ОП №3, ОП №4, ОП «Жатайское» МУ МВД России «Якутское» на 2021 год")</f>
        <v>Оказание услуг по приготовлению и поставке горячего питания для лиц, содержащихся в Специальном приемнике, ОП №1, ОП №2, ОП №3, ОП №4, ОП «Жатайское» МУ МВД России «Якутское» на 2021 год</v>
      </c>
      <c r="G5701" s="22" t="s">
        <v>241</v>
      </c>
      <c r="H5701" s="22" t="s">
        <v>242</v>
      </c>
      <c r="I5701" s="26">
        <v>43703.519826388903</v>
      </c>
      <c r="J5701" s="23" t="str">
        <f>HYPERLINK("https://www.spark-marketing.ru/Card/Person/4954728", "Бекенов Аскат Карпекович")</f>
        <v>Бекенов Аскат Карпекович</v>
      </c>
      <c r="K5701" s="24" t="s">
        <v>8794</v>
      </c>
      <c r="L5701" s="22" t="s">
        <v>10</v>
      </c>
      <c r="M5701" s="25">
        <v>2483407.5</v>
      </c>
      <c r="N5701" s="27">
        <v>0.29685363194926173</v>
      </c>
    </row>
    <row r="5702" spans="1:14" x14ac:dyDescent="0.15">
      <c r="A5702" s="23" t="str">
        <f>HYPERLINK("https://www.spark-marketing.ru/Card/Person/260478", "МО МВД РОССИИ ""ШУЙСКИЙ""")</f>
        <v>МО МВД РОССИИ "ШУЙСКИЙ"</v>
      </c>
      <c r="B5702" s="24" t="s">
        <v>6134</v>
      </c>
      <c r="C5702" s="25">
        <v>299750</v>
      </c>
      <c r="D5702" s="22" t="s">
        <v>8795</v>
      </c>
      <c r="E5702" s="22" t="s">
        <v>48</v>
      </c>
      <c r="F5702" s="23" t="str">
        <f>HYPERLINK("https://www.spark-marketing.ru/Card/Lot/73024970", "Прочая закупка товаров, работ и услуг (услуги по организации питания лиц, находящихся в местах принудительного содержания )")</f>
        <v>Прочая закупка товаров, работ и услуг (услуги по организации питания лиц, находящихся в местах принудительного содержания )</v>
      </c>
      <c r="G5702" s="22" t="s">
        <v>1047</v>
      </c>
      <c r="H5702" s="22" t="s">
        <v>1047</v>
      </c>
      <c r="I5702" s="26">
        <v>43703.5964467593</v>
      </c>
      <c r="J5702" s="23" t="str">
        <f>HYPERLINK("https://www.spark-marketing.ru/Card/Person/584279", "ООО ""СУДАРУШКА""")</f>
        <v>ООО "СУДАРУШКА"</v>
      </c>
      <c r="K5702" s="24" t="s">
        <v>6136</v>
      </c>
      <c r="L5702" s="22" t="s">
        <v>10</v>
      </c>
      <c r="M5702" s="28" t="s">
        <v>51</v>
      </c>
      <c r="N5702" s="28" t="s">
        <v>51</v>
      </c>
    </row>
    <row r="5703" spans="1:14" x14ac:dyDescent="0.15">
      <c r="A5703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5703" s="24" t="s">
        <v>4930</v>
      </c>
      <c r="C5703" s="25">
        <v>2240000</v>
      </c>
      <c r="D5703" s="22" t="s">
        <v>8796</v>
      </c>
      <c r="E5703" s="22" t="s">
        <v>48</v>
      </c>
      <c r="F5703" s="23" t="str">
        <f>HYPERLINK("https://www.spark-marketing.ru/Card/Lot/73028364", "Оказание услуг по обеспечению питанием лиц, содержащихся в ИВС, СП, СПСЗЛ")</f>
        <v>Оказание услуг по обеспечению питанием лиц, содержащихся в ИВС, СП, СПСЗЛ</v>
      </c>
      <c r="G5703" s="22" t="s">
        <v>104</v>
      </c>
      <c r="H5703" s="22" t="s">
        <v>104</v>
      </c>
      <c r="I5703" s="26">
        <v>43701.534212963001</v>
      </c>
      <c r="J5703" s="28" t="s">
        <v>51</v>
      </c>
      <c r="K5703" s="28" t="s">
        <v>51</v>
      </c>
      <c r="L5703" s="28" t="s">
        <v>51</v>
      </c>
      <c r="M5703" s="28" t="s">
        <v>51</v>
      </c>
      <c r="N5703" s="28" t="s">
        <v>51</v>
      </c>
    </row>
    <row r="5704" spans="1:14" ht="12.75" hidden="1" outlineLevel="1" x14ac:dyDescent="0.2">
      <c r="A5704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5704" s="24" t="s">
        <v>4930</v>
      </c>
      <c r="C5704" s="25">
        <v>2240000</v>
      </c>
      <c r="D5704" s="22" t="s">
        <v>8796</v>
      </c>
      <c r="E5704" s="22" t="s">
        <v>48</v>
      </c>
      <c r="F5704" s="23" t="str">
        <f>HYPERLINK("https://www.spark-marketing.ru/Card/Lot/73028364", "Оказание услуг по обеспечению питанием лиц, содержащихся в ИВС, СП, СПСЗЛ")</f>
        <v>Оказание услуг по обеспечению питанием лиц, содержащихся в ИВС, СП, СПСЗЛ</v>
      </c>
      <c r="G5704" s="22" t="s">
        <v>104</v>
      </c>
      <c r="H5704" s="22" t="s">
        <v>104</v>
      </c>
      <c r="I5704" s="26">
        <v>43701.534212963001</v>
      </c>
      <c r="J5704" s="23" t="str">
        <f>HYPERLINK("https://www.spark-marketing.ru/Card/Person/1169845", "Матяско Ирина Михайловна")</f>
        <v>Матяско Ирина Михайловна</v>
      </c>
      <c r="K5704" s="24" t="s">
        <v>4932</v>
      </c>
      <c r="L5704" s="22" t="s">
        <v>10</v>
      </c>
      <c r="M5704" s="25">
        <v>180.55</v>
      </c>
      <c r="N5704" s="27">
        <v>0.99991939732142854</v>
      </c>
    </row>
    <row r="5705" spans="1:14" hidden="1" outlineLevel="1" x14ac:dyDescent="0.2">
      <c r="A5705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5705" s="24" t="s">
        <v>4930</v>
      </c>
      <c r="C5705" s="25">
        <v>2240000</v>
      </c>
      <c r="D5705" s="22" t="s">
        <v>8796</v>
      </c>
      <c r="E5705" s="22" t="s">
        <v>48</v>
      </c>
      <c r="F5705" s="23" t="str">
        <f>HYPERLINK("https://www.spark-marketing.ru/Card/Lot/73028364", "Оказание услуг по обеспечению питанием лиц, содержащихся в ИВС, СП, СПСЗЛ")</f>
        <v>Оказание услуг по обеспечению питанием лиц, содержащихся в ИВС, СП, СПСЗЛ</v>
      </c>
      <c r="G5705" s="22" t="s">
        <v>104</v>
      </c>
      <c r="H5705" s="22" t="s">
        <v>104</v>
      </c>
      <c r="I5705" s="26">
        <v>43701.534212963001</v>
      </c>
      <c r="J5705" s="23" t="str">
        <f>HYPERLINK("https://www.spark-marketing.ru/Card/Person/1944082", "ООО ""ВИЗАВИА""")</f>
        <v>ООО "ВИЗАВИА"</v>
      </c>
      <c r="K5705" s="24" t="s">
        <v>6798</v>
      </c>
      <c r="L5705" s="28" t="s">
        <v>51</v>
      </c>
      <c r="M5705" s="25">
        <v>181.7</v>
      </c>
      <c r="N5705" s="27">
        <v>0.99991888392857142</v>
      </c>
    </row>
    <row r="5706" spans="1:14" x14ac:dyDescent="0.15">
      <c r="A5706" s="23" t="str">
        <f>HYPERLINK("https://www.spark-marketing.ru/Card/Person/242935", "ГБУ НСО ""ЦМТ""")</f>
        <v>ГБУ НСО "ЦМТ"</v>
      </c>
      <c r="B5706" s="24" t="s">
        <v>4918</v>
      </c>
      <c r="C5706" s="25">
        <v>293333.33</v>
      </c>
      <c r="D5706" s="22" t="s">
        <v>8797</v>
      </c>
      <c r="E5706" s="22" t="s">
        <v>48</v>
      </c>
      <c r="F5706" s="23" t="str">
        <f>HYPERLINK("https://www.spark-marketing.ru/Card/Lot/73018394", "оказание услуг по организации питания для китайской делегации, федеральных экспертов и организаторов в рамках Российско-Китайского молодежного бизнес-инкубатора")</f>
        <v>оказание услуг по организации питания для китайской делегации, федеральных экспертов и организаторов в рамках Российско-Китайского молодежного бизнес-инкубатора</v>
      </c>
      <c r="G5706" s="22" t="s">
        <v>195</v>
      </c>
      <c r="H5706" s="22" t="s">
        <v>196</v>
      </c>
      <c r="I5706" s="26">
        <v>43703.6090162037</v>
      </c>
      <c r="J5706" s="23" t="str">
        <f>HYPERLINK("https://www.spark-marketing.ru/Card/Person/2475987", "ООО ""ВТОРОЙ ЭТАЖ""")</f>
        <v>ООО "ВТОРОЙ ЭТАЖ"</v>
      </c>
      <c r="K5706" s="24" t="s">
        <v>8798</v>
      </c>
      <c r="L5706" s="22" t="s">
        <v>10</v>
      </c>
      <c r="M5706" s="28" t="s">
        <v>51</v>
      </c>
      <c r="N5706" s="28" t="s">
        <v>51</v>
      </c>
    </row>
    <row r="5707" spans="1:14" x14ac:dyDescent="0.15">
      <c r="A5707" s="23" t="str">
        <f>HYPERLINK("https://www.spark-marketing.ru/Card/Person/4343603", "МИНЗДРАВ КРАЯ")</f>
        <v>МИНЗДРАВ КРАЯ</v>
      </c>
      <c r="B5707" s="24" t="s">
        <v>8786</v>
      </c>
      <c r="C5707" s="25">
        <v>35516500</v>
      </c>
      <c r="D5707" s="22" t="s">
        <v>8799</v>
      </c>
      <c r="E5707" s="22" t="s">
        <v>8788</v>
      </c>
      <c r="F5707" s="23" t="str">
        <f>HYPERLINK("https://www.spark-marketing.ru/Card/Lot/73028425", "на оказание услуг по организации обеспечения населения Ставропольского края необходимыми лекарственными препаратами, медицинскими изделиями, а также специализированными продуктами лечебного питания для детей-инвалидов при оказании дополнительной бесп...")</f>
        <v>на оказание услуг по организации обеспечения населения Ставропольского края необходимыми лекарственными препаратами, медицинскими изделиями, а также специализированными продуктами лечебного питания для детей-инвалидов при оказании дополнительной бесп...</v>
      </c>
      <c r="G5707" s="22" t="s">
        <v>87</v>
      </c>
      <c r="H5707" s="22" t="s">
        <v>686</v>
      </c>
      <c r="I5707" s="26">
        <v>43703.527048611097</v>
      </c>
      <c r="J5707" s="23" t="str">
        <f>HYPERLINK("https://www.spark-marketing.ru/Card/Person/52340", "ГУП СК ""СТАВРОПОЛЬФАРМАЦИЯ""")</f>
        <v>ГУП СК "СТАВРОПОЛЬФАРМАЦИЯ"</v>
      </c>
      <c r="K5707" s="24" t="s">
        <v>8789</v>
      </c>
      <c r="L5707" s="22" t="s">
        <v>10</v>
      </c>
      <c r="M5707" s="28" t="s">
        <v>51</v>
      </c>
      <c r="N5707" s="28" t="s">
        <v>51</v>
      </c>
    </row>
    <row r="5708" spans="1:14" x14ac:dyDescent="0.15">
      <c r="A5708" s="23" t="str">
        <f>HYPERLINK("https://www.spark-marketing.ru/Card/Person/4947719", "МБУ СО ""КЦСОН ""ТАЙМЫРСКИЙ""")</f>
        <v>МБУ СО "КЦСОН "ТАЙМЫРСКИЙ"</v>
      </c>
      <c r="B5708" s="24" t="s">
        <v>8800</v>
      </c>
      <c r="C5708" s="25">
        <v>1098000</v>
      </c>
      <c r="D5708" s="22" t="s">
        <v>8801</v>
      </c>
      <c r="E5708" s="22" t="s">
        <v>48</v>
      </c>
      <c r="F5708" s="23" t="str">
        <f>HYPERLINK("https://www.spark-marketing.ru/Card/Lot/73017421", "оказание услуг по  обеспечению  трехразовым  готовым  питанием клиентов, проживающих в отделении временного проживания для граждан пожилого возраста и инвалидов")</f>
        <v>оказание услуг по  обеспечению  трехразовым  готовым  питанием клиентов, проживающих в отделении временного проживания для граждан пожилого возраста и инвалидов</v>
      </c>
      <c r="G5708" s="22" t="s">
        <v>281</v>
      </c>
      <c r="H5708" s="22" t="s">
        <v>281</v>
      </c>
      <c r="I5708" s="26">
        <v>43703.489293981504</v>
      </c>
      <c r="J5708" s="23" t="str">
        <f>HYPERLINK("https://www.spark-marketing.ru/Card/Person/6486393", "ООО ""РЕГИОНАЛЬНЫЙ ЦЕНТР ПИТАНИЯ""")</f>
        <v>ООО "РЕГИОНАЛЬНЫЙ ЦЕНТР ПИТАНИЯ"</v>
      </c>
      <c r="K5708" s="24" t="s">
        <v>8802</v>
      </c>
      <c r="L5708" s="22" t="s">
        <v>10</v>
      </c>
      <c r="M5708" s="28" t="s">
        <v>51</v>
      </c>
      <c r="N5708" s="28" t="s">
        <v>51</v>
      </c>
    </row>
    <row r="5709" spans="1:14" x14ac:dyDescent="0.15">
      <c r="A5709" s="23" t="str">
        <f>HYPERLINK("https://www.spark-marketing.ru/Card/Person/109912", "ФКУ ""ЦУКС ГУ МЧС РОССИИ ПО МОСКОВСКОЙ ОБЛАСТИ""")</f>
        <v>ФКУ "ЦУКС ГУ МЧС РОССИИ ПО МОСКОВСКОЙ ОБЛАСТИ"</v>
      </c>
      <c r="B5709" s="24" t="s">
        <v>8803</v>
      </c>
      <c r="C5709" s="25">
        <v>681804</v>
      </c>
      <c r="D5709" s="22" t="s">
        <v>8804</v>
      </c>
      <c r="E5709" s="22" t="s">
        <v>48</v>
      </c>
      <c r="F5709" s="23" t="str">
        <f>HYPERLINK("https://www.spark-marketing.ru/Card/Lot/73029599", "Услуги по организации и обеспечению питанием сотрудников (работников) дежурных смен")</f>
        <v>Услуги по организации и обеспечению питанием сотрудников (работников) дежурных смен</v>
      </c>
      <c r="G5709" s="22" t="s">
        <v>49</v>
      </c>
      <c r="H5709" s="22" t="s">
        <v>49</v>
      </c>
      <c r="I5709" s="26">
        <v>43703.612337963001</v>
      </c>
      <c r="J5709" s="23" t="str">
        <f>HYPERLINK("https://www.spark-marketing.ru/Card/Person/233245", "ООО ""АДАМАНТ""")</f>
        <v>ООО "АДАМАНТ"</v>
      </c>
      <c r="K5709" s="24" t="s">
        <v>8805</v>
      </c>
      <c r="L5709" s="22" t="s">
        <v>10</v>
      </c>
      <c r="M5709" s="28" t="s">
        <v>51</v>
      </c>
      <c r="N5709" s="28" t="s">
        <v>51</v>
      </c>
    </row>
    <row r="5710" spans="1:14" x14ac:dyDescent="0.2">
      <c r="A5710" s="23" t="str">
        <f>HYPERLINK("https://www.spark-marketing.ru/Card/Person/1040087", "ГКОУ НШ № 15")</f>
        <v>ГКОУ НШ № 15</v>
      </c>
      <c r="B5710" s="24" t="s">
        <v>8806</v>
      </c>
      <c r="C5710" s="25">
        <v>1166594</v>
      </c>
      <c r="D5710" s="22" t="s">
        <v>8807</v>
      </c>
      <c r="E5710" s="22" t="s">
        <v>48</v>
      </c>
      <c r="F5710" s="23" t="str">
        <f>HYPERLINK("https://www.spark-marketing.ru/Card/Lot/73036699", "Оказание услуг по организации питания на 4 квартал 2019 года")</f>
        <v>Оказание услуг по организации питания на 4 квартал 2019 года</v>
      </c>
      <c r="G5710" s="22" t="s">
        <v>3574</v>
      </c>
      <c r="H5710" s="22" t="s">
        <v>3574</v>
      </c>
      <c r="I5710" s="26">
        <v>43703.747118055602</v>
      </c>
      <c r="J5710" s="23" t="str">
        <f>HYPERLINK("https://www.spark-marketing.ru/Card/Person/433348", "ГУП ЦУР")</f>
        <v>ГУП ЦУР</v>
      </c>
      <c r="K5710" s="24" t="s">
        <v>8808</v>
      </c>
      <c r="L5710" s="28" t="s">
        <v>51</v>
      </c>
      <c r="M5710" s="25">
        <v>1166594</v>
      </c>
      <c r="N5710" s="27">
        <v>0</v>
      </c>
    </row>
    <row r="5711" spans="1:14" x14ac:dyDescent="0.15">
      <c r="A5711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5711" s="24" t="s">
        <v>402</v>
      </c>
      <c r="C5711" s="25">
        <v>109560</v>
      </c>
      <c r="D5711" s="22" t="s">
        <v>8809</v>
      </c>
      <c r="E5711" s="22" t="s">
        <v>48</v>
      </c>
      <c r="F5711" s="23" t="str">
        <f>HYPERLINK("https://www.spark-marketing.ru/Card/Lot/73029976", "Оказание услуг по питанию граждан, содержащихся в ИВС, спецприемниках и камерах при дежурных частях")</f>
        <v>Оказание услуг по питанию граждан, содержащихся в ИВС, спецприемниках и камерах при дежурных частях</v>
      </c>
      <c r="G5711" s="22" t="s">
        <v>49</v>
      </c>
      <c r="H5711" s="22" t="s">
        <v>49</v>
      </c>
      <c r="I5711" s="26">
        <v>43703.515254629601</v>
      </c>
      <c r="J5711" s="28" t="s">
        <v>51</v>
      </c>
      <c r="K5711" s="28" t="s">
        <v>51</v>
      </c>
      <c r="L5711" s="28" t="s">
        <v>51</v>
      </c>
      <c r="M5711" s="28" t="s">
        <v>51</v>
      </c>
      <c r="N5711" s="28" t="s">
        <v>51</v>
      </c>
    </row>
    <row r="5712" spans="1:14" x14ac:dyDescent="0.15">
      <c r="A5712" s="23" t="str">
        <f>HYPERLINK("https://www.spark-marketing.ru/Card/Person/4927481", "ОТД МВД РОССИИ ПО СЕЛИВАНОВСКОМУ РАЙОНУ")</f>
        <v>ОТД МВД РОССИИ ПО СЕЛИВАНОВСКОМУ РАЙОНУ</v>
      </c>
      <c r="B5712" s="24" t="s">
        <v>8810</v>
      </c>
      <c r="C5712" s="25">
        <v>265000</v>
      </c>
      <c r="D5712" s="22" t="s">
        <v>8811</v>
      </c>
      <c r="E5712" s="22" t="s">
        <v>48</v>
      </c>
      <c r="F5712" s="23" t="str">
        <f>HYPERLINK("https://www.spark-marketing.ru/Card/Lot/73024866", "Закупка услуг по обеспечению питанием осужденных к лишению свободы, а также подозреваемых и обвиняемых в совершении преступлений, находящихся в изоляторе временного содержания подозреваемых и обвиняемых органов внутренних дел Российской Федерации, ли...")</f>
        <v>Закупка услуг по обеспечению питанием осужденных к лишению свободы, а также подозреваемых и обвиняемых в совершении преступлений, находящихся в изоляторе временного содержания подозреваемых и обвиняемых органов внутренних дел Российской Федерации, ли...</v>
      </c>
      <c r="G5712" s="22" t="s">
        <v>663</v>
      </c>
      <c r="H5712" s="22" t="s">
        <v>8812</v>
      </c>
      <c r="I5712" s="26">
        <v>43703.540868055599</v>
      </c>
      <c r="J5712" s="28" t="s">
        <v>51</v>
      </c>
      <c r="K5712" s="28" t="s">
        <v>51</v>
      </c>
      <c r="L5712" s="28" t="s">
        <v>51</v>
      </c>
      <c r="M5712" s="28" t="s">
        <v>51</v>
      </c>
      <c r="N5712" s="28" t="s">
        <v>51</v>
      </c>
    </row>
    <row r="5713" spans="1:14" x14ac:dyDescent="0.15">
      <c r="A5713" s="23" t="str">
        <f>HYPERLINK("https://www.spark-marketing.ru/Card/Person/1062754", "МУ ""КОМПЛЕКСНЫЙ ЦЕНТР""")</f>
        <v>МУ "КОМПЛЕКСНЫЙ ЦЕНТР"</v>
      </c>
      <c r="B5713" s="24" t="s">
        <v>1501</v>
      </c>
      <c r="C5713" s="25">
        <v>90818.1</v>
      </c>
      <c r="D5713" s="22" t="s">
        <v>8813</v>
      </c>
      <c r="E5713" s="22" t="s">
        <v>48</v>
      </c>
      <c r="F5713" s="23" t="str">
        <f>HYPERLINK("https://www.spark-marketing.ru/Card/Lot/73019476", "Услуги по организации двухразового горячего питания для отделения дневного пребывания")</f>
        <v>Услуги по организации двухразового горячего питания для отделения дневного пребывания</v>
      </c>
      <c r="G5713" s="22" t="s">
        <v>469</v>
      </c>
      <c r="H5713" s="22" t="s">
        <v>1503</v>
      </c>
      <c r="I5713" s="26">
        <v>43703.348217592596</v>
      </c>
      <c r="J5713" s="23" t="str">
        <f>HYPERLINK("https://www.spark-marketing.ru/Card/Person/897145", "ООО ""МЕРКУРИЙ 13""")</f>
        <v>ООО "МЕРКУРИЙ 13"</v>
      </c>
      <c r="K5713" s="24" t="s">
        <v>1504</v>
      </c>
      <c r="L5713" s="22" t="s">
        <v>10</v>
      </c>
      <c r="M5713" s="28" t="s">
        <v>51</v>
      </c>
      <c r="N5713" s="28" t="s">
        <v>51</v>
      </c>
    </row>
    <row r="5714" spans="1:14" x14ac:dyDescent="0.15">
      <c r="A5714" s="23" t="str">
        <f>HYPERLINK("https://www.spark-marketing.ru/Card/Person/1062754", "МУ ""КОМПЛЕКСНЫЙ ЦЕНТР""")</f>
        <v>МУ "КОМПЛЕКСНЫЙ ЦЕНТР"</v>
      </c>
      <c r="B5714" s="24" t="s">
        <v>1501</v>
      </c>
      <c r="C5714" s="25">
        <v>200100</v>
      </c>
      <c r="D5714" s="22" t="s">
        <v>8814</v>
      </c>
      <c r="E5714" s="22" t="s">
        <v>48</v>
      </c>
      <c r="F5714" s="23" t="str">
        <f>HYPERLINK("https://www.spark-marketing.ru/Card/Lot/73019489", "Услуги по организации четырёхразового горячего питания для отделения временного проживания")</f>
        <v>Услуги по организации четырёхразового горячего питания для отделения временного проживания</v>
      </c>
      <c r="G5714" s="22" t="s">
        <v>469</v>
      </c>
      <c r="H5714" s="22" t="s">
        <v>1503</v>
      </c>
      <c r="I5714" s="26">
        <v>43703.357986111099</v>
      </c>
      <c r="J5714" s="23" t="str">
        <f>HYPERLINK("https://www.spark-marketing.ru/Card/Person/897145", "ООО ""МЕРКУРИЙ 13""")</f>
        <v>ООО "МЕРКУРИЙ 13"</v>
      </c>
      <c r="K5714" s="24" t="s">
        <v>1504</v>
      </c>
      <c r="L5714" s="22" t="s">
        <v>10</v>
      </c>
      <c r="M5714" s="28" t="s">
        <v>51</v>
      </c>
      <c r="N5714" s="28" t="s">
        <v>51</v>
      </c>
    </row>
    <row r="5715" spans="1:14" x14ac:dyDescent="0.2">
      <c r="A5715" s="23" t="str">
        <f>HYPERLINK("https://www.spark-marketing.ru/Card/Person/1037551", "ГБОУ СШ № 1 ИМ. Г.М. ШУБНИКОВА")</f>
        <v>ГБОУ СШ № 1 ИМ. Г.М. ШУБНИКОВА</v>
      </c>
      <c r="B5715" s="24" t="s">
        <v>8815</v>
      </c>
      <c r="C5715" s="25">
        <v>1561236</v>
      </c>
      <c r="D5715" s="22" t="s">
        <v>8816</v>
      </c>
      <c r="E5715" s="22" t="s">
        <v>48</v>
      </c>
      <c r="F5715" s="23" t="str">
        <f>HYPERLINK("https://www.spark-marketing.ru/Card/Lot/73036576", "Оказание услуг по организации питания на 2 полугодие 2019 года")</f>
        <v>Оказание услуг по организации питания на 2 полугодие 2019 года</v>
      </c>
      <c r="G5715" s="22" t="s">
        <v>3574</v>
      </c>
      <c r="H5715" s="22" t="s">
        <v>3574</v>
      </c>
      <c r="I5715" s="26">
        <v>43703.689976851798</v>
      </c>
      <c r="J5715" s="23" t="str">
        <f>HYPERLINK("https://www.spark-marketing.ru/Card/Person/433348", "ГУП ЦУР")</f>
        <v>ГУП ЦУР</v>
      </c>
      <c r="K5715" s="24" t="s">
        <v>8808</v>
      </c>
      <c r="L5715" s="28" t="s">
        <v>51</v>
      </c>
      <c r="M5715" s="25">
        <v>1561236</v>
      </c>
      <c r="N5715" s="27">
        <v>0</v>
      </c>
    </row>
    <row r="5716" spans="1:14" x14ac:dyDescent="0.15">
      <c r="A5716" s="23" t="str">
        <f>HYPERLINK("https://www.spark-marketing.ru/Card/Person/15703", "ОГБУЗ ОБ КО №1")</f>
        <v>ОГБУЗ ОБ КО №1</v>
      </c>
      <c r="B5716" s="24" t="s">
        <v>8817</v>
      </c>
      <c r="C5716" s="25">
        <v>2156282.94</v>
      </c>
      <c r="D5716" s="22" t="s">
        <v>8818</v>
      </c>
      <c r="E5716" s="22" t="s">
        <v>62</v>
      </c>
      <c r="F5716" s="23" t="str">
        <f>HYPERLINK("https://www.spark-marketing.ru/Card/Lot/73022026", "Поставка печатной продукции (бланки, журналы, карты) для нужд ОГБУЗ «Окружная больница Костромского округа № 1»")</f>
        <v>Поставка печатной продукции (бланки, журналы, карты) для нужд ОГБУЗ «Окружная больница Костромского округа № 1»</v>
      </c>
      <c r="G5716" s="22" t="s">
        <v>292</v>
      </c>
      <c r="H5716" s="22" t="s">
        <v>292</v>
      </c>
      <c r="I5716" s="26">
        <v>43703.426747685196</v>
      </c>
      <c r="J5716" s="28" t="s">
        <v>51</v>
      </c>
      <c r="K5716" s="28" t="s">
        <v>51</v>
      </c>
      <c r="L5716" s="28" t="s">
        <v>51</v>
      </c>
      <c r="M5716" s="28" t="s">
        <v>51</v>
      </c>
      <c r="N5716" s="28" t="s">
        <v>51</v>
      </c>
    </row>
    <row r="5717" spans="1:14" hidden="1" outlineLevel="1" x14ac:dyDescent="0.2">
      <c r="A5717" s="23" t="str">
        <f>HYPERLINK("https://www.spark-marketing.ru/Card/Person/15703", "ОГБУЗ ОБ КО №1")</f>
        <v>ОГБУЗ ОБ КО №1</v>
      </c>
      <c r="B5717" s="24" t="s">
        <v>8817</v>
      </c>
      <c r="C5717" s="25">
        <v>2156282.94</v>
      </c>
      <c r="D5717" s="22" t="s">
        <v>8818</v>
      </c>
      <c r="E5717" s="22" t="s">
        <v>62</v>
      </c>
      <c r="F5717" s="23" t="str">
        <f>HYPERLINK("https://www.spark-marketing.ru/Card/Lot/73022026", "Поставка печатной продукции (бланки, журналы, карты) для нужд ОГБУЗ «Окружная больница Костромского округа № 1»")</f>
        <v>Поставка печатной продукции (бланки, журналы, карты) для нужд ОГБУЗ «Окружная больница Костромского округа № 1»</v>
      </c>
      <c r="G5717" s="22" t="s">
        <v>292</v>
      </c>
      <c r="H5717" s="22" t="s">
        <v>292</v>
      </c>
      <c r="I5717" s="26">
        <v>43703.426747685196</v>
      </c>
      <c r="J5717" s="23" t="str">
        <f>HYPERLINK("https://www.spark-marketing.ru/Card/Person/70363", "ООО ""ВИННЕР - ПРИНТ""")</f>
        <v>ООО "ВИННЕР - ПРИНТ"</v>
      </c>
      <c r="K5717" s="24" t="s">
        <v>3048</v>
      </c>
      <c r="L5717" s="28" t="s">
        <v>51</v>
      </c>
      <c r="M5717" s="25">
        <v>890000</v>
      </c>
      <c r="N5717" s="27">
        <v>0.58725268215496806</v>
      </c>
    </row>
    <row r="5718" spans="1:14" ht="12.75" hidden="1" outlineLevel="1" x14ac:dyDescent="0.2">
      <c r="A5718" s="23" t="str">
        <f>HYPERLINK("https://www.spark-marketing.ru/Card/Person/15703", "ОГБУЗ ОБ КО №1")</f>
        <v>ОГБУЗ ОБ КО №1</v>
      </c>
      <c r="B5718" s="24" t="s">
        <v>8817</v>
      </c>
      <c r="C5718" s="25">
        <v>2156282.94</v>
      </c>
      <c r="D5718" s="22" t="s">
        <v>8818</v>
      </c>
      <c r="E5718" s="22" t="s">
        <v>62</v>
      </c>
      <c r="F5718" s="23" t="str">
        <f>HYPERLINK("https://www.spark-marketing.ru/Card/Lot/73022026", "Поставка печатной продукции (бланки, журналы, карты) для нужд ОГБУЗ «Окружная больница Костромского округа № 1»")</f>
        <v>Поставка печатной продукции (бланки, журналы, карты) для нужд ОГБУЗ «Окружная больница Костромского округа № 1»</v>
      </c>
      <c r="G5718" s="22" t="s">
        <v>292</v>
      </c>
      <c r="H5718" s="22" t="s">
        <v>292</v>
      </c>
      <c r="I5718" s="26">
        <v>43703.426747685196</v>
      </c>
      <c r="J5718" s="23" t="str">
        <f>HYPERLINK("https://www.spark-marketing.ru/Card/Person/372350", "ООО ""КОПИР""")</f>
        <v>ООО "КОПИР"</v>
      </c>
      <c r="K5718" s="24" t="s">
        <v>8819</v>
      </c>
      <c r="L5718" s="22" t="s">
        <v>10</v>
      </c>
      <c r="M5718" s="25">
        <v>698901.66</v>
      </c>
      <c r="N5718" s="27">
        <v>0.67587664539051628</v>
      </c>
    </row>
    <row r="5719" spans="1:14" hidden="1" outlineLevel="1" x14ac:dyDescent="0.2">
      <c r="A5719" s="23" t="str">
        <f>HYPERLINK("https://www.spark-marketing.ru/Card/Person/15703", "ОГБУЗ ОБ КО №1")</f>
        <v>ОГБУЗ ОБ КО №1</v>
      </c>
      <c r="B5719" s="24" t="s">
        <v>8817</v>
      </c>
      <c r="C5719" s="25">
        <v>2156282.94</v>
      </c>
      <c r="D5719" s="22" t="s">
        <v>8818</v>
      </c>
      <c r="E5719" s="22" t="s">
        <v>62</v>
      </c>
      <c r="F5719" s="23" t="str">
        <f>HYPERLINK("https://www.spark-marketing.ru/Card/Lot/73022026", "Поставка печатной продукции (бланки, журналы, карты) для нужд ОГБУЗ «Окружная больница Костромского округа № 1»")</f>
        <v>Поставка печатной продукции (бланки, журналы, карты) для нужд ОГБУЗ «Окружная больница Костромского округа № 1»</v>
      </c>
      <c r="G5719" s="22" t="s">
        <v>292</v>
      </c>
      <c r="H5719" s="22" t="s">
        <v>292</v>
      </c>
      <c r="I5719" s="26">
        <v>43703.426747685196</v>
      </c>
      <c r="J5719" s="23" t="str">
        <f>HYPERLINK("https://www.spark-marketing.ru/Card/Person/65405", "Чумаков Андрей Александрович")</f>
        <v>Чумаков Андрей Александрович</v>
      </c>
      <c r="K5719" s="24" t="s">
        <v>8820</v>
      </c>
      <c r="L5719" s="28" t="s">
        <v>51</v>
      </c>
      <c r="M5719" s="25">
        <v>709683.08</v>
      </c>
      <c r="N5719" s="27">
        <v>0.67087664293258287</v>
      </c>
    </row>
    <row r="5720" spans="1:14" hidden="1" outlineLevel="1" x14ac:dyDescent="0.2">
      <c r="A5720" s="23" t="str">
        <f>HYPERLINK("https://www.spark-marketing.ru/Card/Person/15703", "ОГБУЗ ОБ КО №1")</f>
        <v>ОГБУЗ ОБ КО №1</v>
      </c>
      <c r="B5720" s="24" t="s">
        <v>8817</v>
      </c>
      <c r="C5720" s="25">
        <v>2156282.94</v>
      </c>
      <c r="D5720" s="22" t="s">
        <v>8818</v>
      </c>
      <c r="E5720" s="22" t="s">
        <v>62</v>
      </c>
      <c r="F5720" s="23" t="str">
        <f>HYPERLINK("https://www.spark-marketing.ru/Card/Lot/73022026", "Поставка печатной продукции (бланки, журналы, карты) для нужд ОГБУЗ «Окружная больница Костромского округа № 1»")</f>
        <v>Поставка печатной продукции (бланки, журналы, карты) для нужд ОГБУЗ «Окружная больница Костромского округа № 1»</v>
      </c>
      <c r="G5720" s="22" t="s">
        <v>292</v>
      </c>
      <c r="H5720" s="22" t="s">
        <v>292</v>
      </c>
      <c r="I5720" s="26">
        <v>43703.426747685196</v>
      </c>
      <c r="J5720" s="23" t="str">
        <f>HYPERLINK("https://www.spark-marketing.ru/Card/Person/247039", "ООО ""СГТ""")</f>
        <v>ООО "СГТ"</v>
      </c>
      <c r="K5720" s="24" t="s">
        <v>5212</v>
      </c>
      <c r="L5720" s="28" t="s">
        <v>51</v>
      </c>
      <c r="M5720" s="25">
        <v>849841.54</v>
      </c>
      <c r="N5720" s="27">
        <v>0.60587661097944778</v>
      </c>
    </row>
    <row r="5721" spans="1:14" x14ac:dyDescent="0.15">
      <c r="A5721" s="23" t="str">
        <f t="shared" ref="A5721:A5726" si="113">HYPERLINK("https://www.spark-marketing.ru/Card/Person/4857908", "СПБ ГБУ ""ЦОП ПО БАСКЕТБОЛУ ИМ. В.П. КОНДРАШИНА""")</f>
        <v>СПБ ГБУ "ЦОП ПО БАСКЕТБОЛУ ИМ. В.П. КОНДРАШИНА"</v>
      </c>
      <c r="B5721" s="24" t="s">
        <v>8821</v>
      </c>
      <c r="C5721" s="25">
        <v>8175000</v>
      </c>
      <c r="D5721" s="22" t="s">
        <v>8822</v>
      </c>
      <c r="E5721" s="22" t="s">
        <v>8823</v>
      </c>
      <c r="F5721" s="23" t="str">
        <f t="shared" ref="F5721:F5726" si="114">HYPERLINK("https://www.spark-marketing.ru/Card/Lot/73022129", "Оказание услуг по бронированию и оформлению проездных документов, организации питания и проживания спортсменов СПб ГБУ «ЦОП по баскетболу им. В.П. Кондрашина», в т.ч. для лиц с ограниченными возможностями здоровья и инвалидов, в периоды проведения сп...")</f>
        <v>Оказание услуг по бронированию и оформлению проездных документов, организации питания и проживания спортсменов СПб ГБУ «ЦОП по баскетболу им. В.П. Кондрашина», в т.ч. для лиц с ограниченными возможностями здоровья и инвалидов, в периоды проведения сп...</v>
      </c>
      <c r="G5721" s="22" t="s">
        <v>117</v>
      </c>
      <c r="H5721" s="22" t="s">
        <v>117</v>
      </c>
      <c r="I5721" s="26">
        <v>43703.509733796302</v>
      </c>
      <c r="J5721" s="28" t="s">
        <v>51</v>
      </c>
      <c r="K5721" s="28" t="s">
        <v>51</v>
      </c>
      <c r="L5721" s="28" t="s">
        <v>51</v>
      </c>
      <c r="M5721" s="28" t="s">
        <v>51</v>
      </c>
      <c r="N5721" s="28" t="s">
        <v>51</v>
      </c>
    </row>
    <row r="5722" spans="1:14" hidden="1" outlineLevel="1" x14ac:dyDescent="0.2">
      <c r="A5722" s="23" t="str">
        <f t="shared" si="113"/>
        <v>СПБ ГБУ "ЦОП ПО БАСКЕТБОЛУ ИМ. В.П. КОНДРАШИНА"</v>
      </c>
      <c r="B5722" s="24" t="s">
        <v>8821</v>
      </c>
      <c r="C5722" s="25">
        <v>8175000</v>
      </c>
      <c r="D5722" s="22" t="s">
        <v>8822</v>
      </c>
      <c r="E5722" s="22" t="s">
        <v>8823</v>
      </c>
      <c r="F5722" s="23" t="str">
        <f t="shared" si="114"/>
        <v>Оказание услуг по бронированию и оформлению проездных документов, организации питания и проживания спортсменов СПб ГБУ «ЦОП по баскетболу им. В.П. Кондрашина», в т.ч. для лиц с ограниченными возможностями здоровья и инвалидов, в периоды проведения сп...</v>
      </c>
      <c r="G5722" s="22" t="s">
        <v>117</v>
      </c>
      <c r="H5722" s="22" t="s">
        <v>117</v>
      </c>
      <c r="I5722" s="26">
        <v>43703.509733796302</v>
      </c>
      <c r="J5722" s="23" t="str">
        <f>HYPERLINK("https://www.spark-marketing.ru/Card/Person/6340547", "ООО ""ТРЭВЕЛТИ""")</f>
        <v>ООО "ТРЭВЕЛТИ"</v>
      </c>
      <c r="K5722" s="24" t="s">
        <v>8824</v>
      </c>
      <c r="L5722" s="28" t="s">
        <v>51</v>
      </c>
      <c r="M5722" s="25">
        <v>1.1000000000000001</v>
      </c>
      <c r="N5722" s="27">
        <v>0.99999986544342512</v>
      </c>
    </row>
    <row r="5723" spans="1:14" hidden="1" outlineLevel="1" x14ac:dyDescent="0.2">
      <c r="A5723" s="23" t="str">
        <f t="shared" si="113"/>
        <v>СПБ ГБУ "ЦОП ПО БАСКЕТБОЛУ ИМ. В.П. КОНДРАШИНА"</v>
      </c>
      <c r="B5723" s="24" t="s">
        <v>8821</v>
      </c>
      <c r="C5723" s="25">
        <v>8175000</v>
      </c>
      <c r="D5723" s="22" t="s">
        <v>8822</v>
      </c>
      <c r="E5723" s="22" t="s">
        <v>8823</v>
      </c>
      <c r="F5723" s="23" t="str">
        <f t="shared" si="114"/>
        <v>Оказание услуг по бронированию и оформлению проездных документов, организации питания и проживания спортсменов СПб ГБУ «ЦОП по баскетболу им. В.П. Кондрашина», в т.ч. для лиц с ограниченными возможностями здоровья и инвалидов, в периоды проведения сп...</v>
      </c>
      <c r="G5723" s="22" t="s">
        <v>117</v>
      </c>
      <c r="H5723" s="22" t="s">
        <v>117</v>
      </c>
      <c r="I5723" s="26">
        <v>43703.509733796302</v>
      </c>
      <c r="J5723" s="23" t="str">
        <f>HYPERLINK("https://www.spark-marketing.ru/Card/Person/6369393", "ООО ""ВЕКТОР ГРУПП""")</f>
        <v>ООО "ВЕКТОР ГРУПП"</v>
      </c>
      <c r="K5723" s="24" t="s">
        <v>4733</v>
      </c>
      <c r="L5723" s="28" t="s">
        <v>51</v>
      </c>
      <c r="M5723" s="25">
        <v>54.15</v>
      </c>
      <c r="N5723" s="27">
        <v>0.99999337614678896</v>
      </c>
    </row>
    <row r="5724" spans="1:14" hidden="1" outlineLevel="1" x14ac:dyDescent="0.2">
      <c r="A5724" s="23" t="str">
        <f t="shared" si="113"/>
        <v>СПБ ГБУ "ЦОП ПО БАСКЕТБОЛУ ИМ. В.П. КОНДРАШИНА"</v>
      </c>
      <c r="B5724" s="24" t="s">
        <v>8821</v>
      </c>
      <c r="C5724" s="25">
        <v>8175000</v>
      </c>
      <c r="D5724" s="22" t="s">
        <v>8822</v>
      </c>
      <c r="E5724" s="22" t="s">
        <v>8823</v>
      </c>
      <c r="F5724" s="23" t="str">
        <f t="shared" si="114"/>
        <v>Оказание услуг по бронированию и оформлению проездных документов, организации питания и проживания спортсменов СПб ГБУ «ЦОП по баскетболу им. В.П. Кондрашина», в т.ч. для лиц с ограниченными возможностями здоровья и инвалидов, в периоды проведения сп...</v>
      </c>
      <c r="G5724" s="22" t="s">
        <v>117</v>
      </c>
      <c r="H5724" s="22" t="s">
        <v>117</v>
      </c>
      <c r="I5724" s="26">
        <v>43703.509733796302</v>
      </c>
      <c r="J5724" s="23" t="str">
        <f>HYPERLINK("https://www.spark-marketing.ru/Card/Person/400033", "ООО ""КУРОРТНОЕ АГЕНТСТВО ПЛЮС""")</f>
        <v>ООО "КУРОРТНОЕ АГЕНТСТВО ПЛЮС"</v>
      </c>
      <c r="K5724" s="24" t="s">
        <v>4078</v>
      </c>
      <c r="L5724" s="28" t="s">
        <v>51</v>
      </c>
      <c r="M5724" s="25">
        <v>1327.35</v>
      </c>
      <c r="N5724" s="27">
        <v>0.99983763302752293</v>
      </c>
    </row>
    <row r="5725" spans="1:14" ht="12.75" hidden="1" outlineLevel="1" x14ac:dyDescent="0.2">
      <c r="A5725" s="23" t="str">
        <f t="shared" si="113"/>
        <v>СПБ ГБУ "ЦОП ПО БАСКЕТБОЛУ ИМ. В.П. КОНДРАШИНА"</v>
      </c>
      <c r="B5725" s="24" t="s">
        <v>8821</v>
      </c>
      <c r="C5725" s="25">
        <v>8175000</v>
      </c>
      <c r="D5725" s="22" t="s">
        <v>8822</v>
      </c>
      <c r="E5725" s="22" t="s">
        <v>8823</v>
      </c>
      <c r="F5725" s="23" t="str">
        <f t="shared" si="114"/>
        <v>Оказание услуг по бронированию и оформлению проездных документов, организации питания и проживания спортсменов СПб ГБУ «ЦОП по баскетболу им. В.П. Кондрашина», в т.ч. для лиц с ограниченными возможностями здоровья и инвалидов, в периоды проведения сп...</v>
      </c>
      <c r="G5725" s="22" t="s">
        <v>117</v>
      </c>
      <c r="H5725" s="22" t="s">
        <v>117</v>
      </c>
      <c r="I5725" s="26">
        <v>43703.509733796302</v>
      </c>
      <c r="J5725" s="23" t="str">
        <f>HYPERLINK("https://www.spark-marketing.ru/Card/Person/2004538", "ООО ""БТА КЛУБ""")</f>
        <v>ООО "БТА КЛУБ"</v>
      </c>
      <c r="K5725" s="24" t="s">
        <v>8825</v>
      </c>
      <c r="L5725" s="22" t="s">
        <v>10</v>
      </c>
      <c r="M5725" s="25">
        <v>1.1000000000000001</v>
      </c>
      <c r="N5725" s="27">
        <v>0.99999986544342512</v>
      </c>
    </row>
    <row r="5726" spans="1:14" hidden="1" outlineLevel="1" x14ac:dyDescent="0.2">
      <c r="A5726" s="23" t="str">
        <f t="shared" si="113"/>
        <v>СПБ ГБУ "ЦОП ПО БАСКЕТБОЛУ ИМ. В.П. КОНДРАШИНА"</v>
      </c>
      <c r="B5726" s="24" t="s">
        <v>8821</v>
      </c>
      <c r="C5726" s="25">
        <v>8175000</v>
      </c>
      <c r="D5726" s="22" t="s">
        <v>8822</v>
      </c>
      <c r="E5726" s="22" t="s">
        <v>8823</v>
      </c>
      <c r="F5726" s="23" t="str">
        <f t="shared" si="114"/>
        <v>Оказание услуг по бронированию и оформлению проездных документов, организации питания и проживания спортсменов СПб ГБУ «ЦОП по баскетболу им. В.П. Кондрашина», в т.ч. для лиц с ограниченными возможностями здоровья и инвалидов, в периоды проведения сп...</v>
      </c>
      <c r="G5726" s="22" t="s">
        <v>117</v>
      </c>
      <c r="H5726" s="22" t="s">
        <v>117</v>
      </c>
      <c r="I5726" s="26">
        <v>43703.509733796302</v>
      </c>
      <c r="J5726" s="23" t="str">
        <f>HYPERLINK("https://www.spark-marketing.ru/Card/Person/6199231", "Полочанская Ольга Геннадьевна")</f>
        <v>Полочанская Ольга Геннадьевна</v>
      </c>
      <c r="K5726" s="24" t="s">
        <v>2484</v>
      </c>
      <c r="L5726" s="28" t="s">
        <v>51</v>
      </c>
      <c r="M5726" s="25">
        <v>1.1000000000000001</v>
      </c>
      <c r="N5726" s="27">
        <v>0.99999986544342512</v>
      </c>
    </row>
    <row r="5727" spans="1:14" x14ac:dyDescent="0.15">
      <c r="A5727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5727" s="24" t="s">
        <v>402</v>
      </c>
      <c r="C5727" s="25">
        <v>149400</v>
      </c>
      <c r="D5727" s="22" t="s">
        <v>8826</v>
      </c>
      <c r="E5727" s="22" t="s">
        <v>48</v>
      </c>
      <c r="F5727" s="23" t="str">
        <f>HYPERLINK("https://www.spark-marketing.ru/Card/Lot/73023291", "Оказание услуг по питанию граждан, содержащихся в ИВС, спецприемниках и камерах при дежурных частях")</f>
        <v>Оказание услуг по питанию граждан, содержащихся в ИВС, спецприемниках и камерах при дежурных частях</v>
      </c>
      <c r="G5727" s="22" t="s">
        <v>49</v>
      </c>
      <c r="H5727" s="22" t="s">
        <v>49</v>
      </c>
      <c r="I5727" s="26">
        <v>43703.500648148103</v>
      </c>
      <c r="J5727" s="28" t="s">
        <v>51</v>
      </c>
      <c r="K5727" s="28" t="s">
        <v>51</v>
      </c>
      <c r="L5727" s="28" t="s">
        <v>51</v>
      </c>
      <c r="M5727" s="28" t="s">
        <v>51</v>
      </c>
      <c r="N5727" s="28" t="s">
        <v>51</v>
      </c>
    </row>
    <row r="5728" spans="1:14" x14ac:dyDescent="0.15">
      <c r="A5728" s="23" t="str">
        <f>HYPERLINK("https://www.spark-marketing.ru/Card/Person/124465", "МОУ НОВОНИКОЛЬСКАЯ ООШ")</f>
        <v>МОУ НОВОНИКОЛЬСКАЯ ООШ</v>
      </c>
      <c r="B5728" s="24" t="s">
        <v>8827</v>
      </c>
      <c r="C5728" s="25">
        <v>405208.28</v>
      </c>
      <c r="D5728" s="22" t="s">
        <v>8828</v>
      </c>
      <c r="E5728" s="22" t="s">
        <v>48</v>
      </c>
      <c r="F5728" s="23" t="str">
        <f>HYPERLINK("https://www.spark-marketing.ru/Card/Lot/73021638", "Оказание услуг по организации горячего питания учащимся МОУ Новоникольская ООШ")</f>
        <v>Оказание услуг по организации горячего питания учащимся МОУ Новоникольская ООШ</v>
      </c>
      <c r="G5728" s="22" t="s">
        <v>49</v>
      </c>
      <c r="H5728" s="22" t="s">
        <v>49</v>
      </c>
      <c r="I5728" s="26">
        <v>43703.495740740698</v>
      </c>
      <c r="J5728" s="28" t="s">
        <v>51</v>
      </c>
      <c r="K5728" s="28" t="s">
        <v>51</v>
      </c>
      <c r="L5728" s="28" t="s">
        <v>51</v>
      </c>
      <c r="M5728" s="28" t="s">
        <v>51</v>
      </c>
      <c r="N5728" s="28" t="s">
        <v>51</v>
      </c>
    </row>
    <row r="5729" spans="1:14" ht="12.75" hidden="1" outlineLevel="1" x14ac:dyDescent="0.2">
      <c r="A5729" s="23" t="str">
        <f>HYPERLINK("https://www.spark-marketing.ru/Card/Person/124465", "МОУ НОВОНИКОЛЬСКАЯ ООШ")</f>
        <v>МОУ НОВОНИКОЛЬСКАЯ ООШ</v>
      </c>
      <c r="B5729" s="24" t="s">
        <v>8827</v>
      </c>
      <c r="C5729" s="25">
        <v>405208.28</v>
      </c>
      <c r="D5729" s="22" t="s">
        <v>8828</v>
      </c>
      <c r="E5729" s="22" t="s">
        <v>48</v>
      </c>
      <c r="F5729" s="23" t="str">
        <f>HYPERLINK("https://www.spark-marketing.ru/Card/Lot/73021638", "Оказание услуг по организации горячего питания учащимся МОУ Новоникольская ООШ")</f>
        <v>Оказание услуг по организации горячего питания учащимся МОУ Новоникольская ООШ</v>
      </c>
      <c r="G5729" s="22" t="s">
        <v>49</v>
      </c>
      <c r="H5729" s="22" t="s">
        <v>49</v>
      </c>
      <c r="I5729" s="26">
        <v>43703.495740740698</v>
      </c>
      <c r="J5729" s="23" t="str">
        <f>HYPERLINK("https://www.spark-marketing.ru/Card/Person/75516", "ООО ""КОНЦЕПТ""")</f>
        <v>ООО "КОНЦЕПТ"</v>
      </c>
      <c r="K5729" s="24" t="s">
        <v>1717</v>
      </c>
      <c r="L5729" s="22" t="s">
        <v>10</v>
      </c>
      <c r="M5729" s="25">
        <v>378505.76</v>
      </c>
      <c r="N5729" s="27">
        <v>6.5898258544963589E-2</v>
      </c>
    </row>
    <row r="5730" spans="1:14" hidden="1" outlineLevel="1" x14ac:dyDescent="0.2">
      <c r="A5730" s="23" t="str">
        <f>HYPERLINK("https://www.spark-marketing.ru/Card/Person/124465", "МОУ НОВОНИКОЛЬСКАЯ ООШ")</f>
        <v>МОУ НОВОНИКОЛЬСКАЯ ООШ</v>
      </c>
      <c r="B5730" s="24" t="s">
        <v>8827</v>
      </c>
      <c r="C5730" s="25">
        <v>405208.28</v>
      </c>
      <c r="D5730" s="22" t="s">
        <v>8828</v>
      </c>
      <c r="E5730" s="22" t="s">
        <v>48</v>
      </c>
      <c r="F5730" s="23" t="str">
        <f>HYPERLINK("https://www.spark-marketing.ru/Card/Lot/73021638", "Оказание услуг по организации горячего питания учащимся МОУ Новоникольская ООШ")</f>
        <v>Оказание услуг по организации горячего питания учащимся МОУ Новоникольская ООШ</v>
      </c>
      <c r="G5730" s="22" t="s">
        <v>49</v>
      </c>
      <c r="H5730" s="22" t="s">
        <v>49</v>
      </c>
      <c r="I5730" s="26">
        <v>43703.495740740698</v>
      </c>
      <c r="J5730" s="23" t="str">
        <f>HYPERLINK("https://www.spark-marketing.ru/Card/Person/31262", "ООО ""АЛЬЯНС""")</f>
        <v>ООО "АЛЬЯНС"</v>
      </c>
      <c r="K5730" s="24" t="s">
        <v>1718</v>
      </c>
      <c r="L5730" s="28" t="s">
        <v>51</v>
      </c>
      <c r="M5730" s="25">
        <v>382921.73</v>
      </c>
      <c r="N5730" s="27">
        <v>5.5000233460184969E-2</v>
      </c>
    </row>
    <row r="5731" spans="1:14" x14ac:dyDescent="0.15">
      <c r="A5731" s="23" t="str">
        <f>HYPERLINK("https://www.spark-marketing.ru/Card/Person/125736", "МО МВД РОССИИ ""ПОЧЕПСКИЙ""")</f>
        <v>МО МВД РОССИИ "ПОЧЕПСКИЙ"</v>
      </c>
      <c r="B5731" s="24" t="s">
        <v>8829</v>
      </c>
      <c r="C5731" s="25">
        <v>887750</v>
      </c>
      <c r="D5731" s="22" t="s">
        <v>8830</v>
      </c>
      <c r="E5731" s="22" t="s">
        <v>48</v>
      </c>
      <c r="F5731" s="23" t="str">
        <f>HYPERLINK("https://www.spark-marketing.ru/Card/Lot/73023317", "Услуги по приготовлению комплексного горячего питания")</f>
        <v>Услуги по приготовлению комплексного горячего питания</v>
      </c>
      <c r="G5731" s="22" t="s">
        <v>475</v>
      </c>
      <c r="H5731" s="22" t="s">
        <v>8831</v>
      </c>
      <c r="I5731" s="26">
        <v>43703.528333333299</v>
      </c>
      <c r="J5731" s="23" t="str">
        <f>HYPERLINK("https://www.spark-marketing.ru/Card/Person/5800025", "Гуревич Евгений Юрьевич")</f>
        <v>Гуревич Евгений Юрьевич</v>
      </c>
      <c r="K5731" s="24" t="s">
        <v>8832</v>
      </c>
      <c r="L5731" s="22" t="s">
        <v>10</v>
      </c>
      <c r="M5731" s="28" t="s">
        <v>51</v>
      </c>
      <c r="N5731" s="28" t="s">
        <v>51</v>
      </c>
    </row>
    <row r="5732" spans="1:14" x14ac:dyDescent="0.15">
      <c r="A5732" s="23" t="str">
        <f>HYPERLINK("https://www.spark-marketing.ru/Card/Person/275789", "ОТДЕЛ МВД РОССИИ ПО ПАНИНСКОМУ РАЙОНУ")</f>
        <v>ОТДЕЛ МВД РОССИИ ПО ПАНИНСКОМУ РАЙОНУ</v>
      </c>
      <c r="B5732" s="24" t="s">
        <v>8833</v>
      </c>
      <c r="C5732" s="25">
        <v>294525</v>
      </c>
      <c r="D5732" s="22" t="s">
        <v>8834</v>
      </c>
      <c r="E5732" s="22" t="s">
        <v>48</v>
      </c>
      <c r="F5732" s="23" t="str">
        <f>HYPERLINK("https://www.spark-marketing.ru/Card/Lot/73018048",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5732" s="22" t="s">
        <v>82</v>
      </c>
      <c r="H5732" s="22" t="s">
        <v>8835</v>
      </c>
      <c r="I5732" s="26">
        <v>43703.511516203696</v>
      </c>
      <c r="J5732" s="28" t="s">
        <v>51</v>
      </c>
      <c r="K5732" s="28" t="s">
        <v>51</v>
      </c>
      <c r="L5732" s="28" t="s">
        <v>51</v>
      </c>
      <c r="M5732" s="28" t="s">
        <v>51</v>
      </c>
      <c r="N5732" s="28" t="s">
        <v>51</v>
      </c>
    </row>
    <row r="5733" spans="1:14" x14ac:dyDescent="0.15">
      <c r="A5733" s="23" t="str">
        <f>HYPERLINK("https://www.spark-marketing.ru/Card/Person/275789", "ОТДЕЛ МВД РОССИИ ПО ПАНИНСКОМУ РАЙОНУ")</f>
        <v>ОТДЕЛ МВД РОССИИ ПО ПАНИНСКОМУ РАЙОНУ</v>
      </c>
      <c r="B5733" s="24" t="s">
        <v>8833</v>
      </c>
      <c r="C5733" s="25">
        <v>294525</v>
      </c>
      <c r="D5733" s="22" t="s">
        <v>8836</v>
      </c>
      <c r="E5733" s="22" t="s">
        <v>48</v>
      </c>
      <c r="F5733" s="23" t="str">
        <f>HYPERLINK("https://www.spark-marketing.ru/Card/Lot/73017995",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5733" s="22" t="s">
        <v>82</v>
      </c>
      <c r="H5733" s="22" t="s">
        <v>8835</v>
      </c>
      <c r="I5733" s="26">
        <v>43703.498842592599</v>
      </c>
      <c r="J5733" s="28" t="s">
        <v>51</v>
      </c>
      <c r="K5733" s="28" t="s">
        <v>51</v>
      </c>
      <c r="L5733" s="28" t="s">
        <v>51</v>
      </c>
      <c r="M5733" s="28" t="s">
        <v>51</v>
      </c>
      <c r="N5733" s="28" t="s">
        <v>51</v>
      </c>
    </row>
    <row r="5734" spans="1:14" x14ac:dyDescent="0.15">
      <c r="A5734" s="23" t="str">
        <f>HYPERLINK("https://www.spark-marketing.ru/Card/Person/139128", "МБОУ - ЛИЦЕЙ ""ВКШ""")</f>
        <v>МБОУ - ЛИЦЕЙ "ВКШ"</v>
      </c>
      <c r="B5734" s="24" t="s">
        <v>8837</v>
      </c>
      <c r="C5734" s="25">
        <v>105184</v>
      </c>
      <c r="D5734" s="22" t="s">
        <v>8838</v>
      </c>
      <c r="E5734" s="22" t="s">
        <v>48</v>
      </c>
      <c r="F5734" s="23" t="str">
        <f>HYPERLINK("https://www.spark-marketing.ru/Card/Lot/73017812", "На оказание услуг по организации питания обучающихся в муниципальных образовательных учреждениях Воскресенского муниципального района Московской области в 2019 году")</f>
        <v>На оказание услуг по организации питания обучающихся в муниципальных образовательных учреждениях Воскресенского муниципального района Московской области в 2019 году</v>
      </c>
      <c r="G5734" s="22" t="s">
        <v>49</v>
      </c>
      <c r="H5734" s="22" t="s">
        <v>8839</v>
      </c>
      <c r="I5734" s="26">
        <v>43703.492662037002</v>
      </c>
      <c r="J5734" s="28" t="s">
        <v>51</v>
      </c>
      <c r="K5734" s="28" t="s">
        <v>51</v>
      </c>
      <c r="L5734" s="28" t="s">
        <v>51</v>
      </c>
      <c r="M5734" s="28" t="s">
        <v>51</v>
      </c>
      <c r="N5734" s="28" t="s">
        <v>51</v>
      </c>
    </row>
    <row r="5735" spans="1:14" x14ac:dyDescent="0.15">
      <c r="A5735" s="23" t="str">
        <f>HYPERLINK("https://www.spark-marketing.ru/Card/Person/9849", "ГБУ ""ХОЗУ""")</f>
        <v>ГБУ "ХОЗУ"</v>
      </c>
      <c r="B5735" s="24" t="s">
        <v>1532</v>
      </c>
      <c r="C5735" s="25">
        <v>1500000</v>
      </c>
      <c r="D5735" s="22" t="s">
        <v>8840</v>
      </c>
      <c r="E5735" s="22" t="s">
        <v>51</v>
      </c>
      <c r="F5735" s="23" t="str">
        <f>HYPERLINK("https://www.spark-marketing.ru/Card/Lot/73010381", "Оказание услуг по организации питания и обслуживанию мероприятий")</f>
        <v>Оказание услуг по организации питания и обслуживанию мероприятий</v>
      </c>
      <c r="G5735" s="22" t="s">
        <v>543</v>
      </c>
      <c r="H5735" s="22" t="s">
        <v>543</v>
      </c>
      <c r="I5735" s="26">
        <v>43700.709687499999</v>
      </c>
      <c r="J5735" s="23" t="str">
        <f>HYPERLINK("https://www.spark-marketing.ru/Card/Person/2548612", "ООО ""ШОКОЛАД""")</f>
        <v>ООО "ШОКОЛАД"</v>
      </c>
      <c r="K5735" s="24" t="s">
        <v>5434</v>
      </c>
      <c r="L5735" s="22" t="s">
        <v>10</v>
      </c>
      <c r="M5735" s="28" t="s">
        <v>51</v>
      </c>
      <c r="N5735" s="28" t="s">
        <v>51</v>
      </c>
    </row>
    <row r="5736" spans="1:14" x14ac:dyDescent="0.15">
      <c r="A5736" s="23" t="str">
        <f>HYPERLINK("https://www.spark-marketing.ru/Card/Person/64502", "ГБУЗ КВД № 2")</f>
        <v>ГБУЗ КВД № 2</v>
      </c>
      <c r="B5736" s="24" t="s">
        <v>8841</v>
      </c>
      <c r="C5736" s="25">
        <v>494920.44</v>
      </c>
      <c r="D5736" s="22" t="s">
        <v>8842</v>
      </c>
      <c r="E5736" s="22" t="s">
        <v>96</v>
      </c>
      <c r="F5736" s="23" t="str">
        <f>HYPERLINK("https://www.spark-marketing.ru/Card/Lot/73020589", "Оказание услуг по организации лечебного питания")</f>
        <v>Оказание услуг по организации лечебного питания</v>
      </c>
      <c r="G5736" s="22" t="s">
        <v>104</v>
      </c>
      <c r="H5736" s="22" t="s">
        <v>969</v>
      </c>
      <c r="I5736" s="26">
        <v>43703.397557870398</v>
      </c>
      <c r="J5736" s="28" t="s">
        <v>51</v>
      </c>
      <c r="K5736" s="28" t="s">
        <v>51</v>
      </c>
      <c r="L5736" s="28" t="s">
        <v>51</v>
      </c>
      <c r="M5736" s="28" t="s">
        <v>51</v>
      </c>
      <c r="N5736" s="28" t="s">
        <v>51</v>
      </c>
    </row>
    <row r="5737" spans="1:14" ht="12.75" hidden="1" outlineLevel="1" x14ac:dyDescent="0.2">
      <c r="A5737" s="23" t="str">
        <f>HYPERLINK("https://www.spark-marketing.ru/Card/Person/64502", "ГБУЗ КВД № 2")</f>
        <v>ГБУЗ КВД № 2</v>
      </c>
      <c r="B5737" s="24" t="s">
        <v>8841</v>
      </c>
      <c r="C5737" s="25">
        <v>494920.44</v>
      </c>
      <c r="D5737" s="22" t="s">
        <v>8842</v>
      </c>
      <c r="E5737" s="22" t="s">
        <v>96</v>
      </c>
      <c r="F5737" s="23" t="str">
        <f>HYPERLINK("https://www.spark-marketing.ru/Card/Lot/73020589", "Оказание услуг по организации лечебного питания")</f>
        <v>Оказание услуг по организации лечебного питания</v>
      </c>
      <c r="G5737" s="22" t="s">
        <v>104</v>
      </c>
      <c r="H5737" s="22" t="s">
        <v>969</v>
      </c>
      <c r="I5737" s="26">
        <v>43703.397557870398</v>
      </c>
      <c r="J5737" s="23" t="str">
        <f>HYPERLINK("https://www.spark-marketing.ru/Card/Person/17222", "ГБУЗ ""ГБ № 4 Г.СОЧИ"" МЗ КК")</f>
        <v>ГБУЗ "ГБ № 4 Г.СОЧИ" МЗ КК</v>
      </c>
      <c r="K5737" s="24" t="s">
        <v>8843</v>
      </c>
      <c r="L5737" s="22" t="s">
        <v>10</v>
      </c>
      <c r="M5737" s="25">
        <v>380604</v>
      </c>
      <c r="N5737" s="27">
        <v>0.23097942772377719</v>
      </c>
    </row>
    <row r="5738" spans="1:14" hidden="1" outlineLevel="1" x14ac:dyDescent="0.2">
      <c r="A5738" s="23" t="str">
        <f>HYPERLINK("https://www.spark-marketing.ru/Card/Person/64502", "ГБУЗ КВД № 2")</f>
        <v>ГБУЗ КВД № 2</v>
      </c>
      <c r="B5738" s="24" t="s">
        <v>8841</v>
      </c>
      <c r="C5738" s="25">
        <v>494920.44</v>
      </c>
      <c r="D5738" s="22" t="s">
        <v>8842</v>
      </c>
      <c r="E5738" s="22" t="s">
        <v>96</v>
      </c>
      <c r="F5738" s="23" t="str">
        <f>HYPERLINK("https://www.spark-marketing.ru/Card/Lot/73020589", "Оказание услуг по организации лечебного питания")</f>
        <v>Оказание услуг по организации лечебного питания</v>
      </c>
      <c r="G5738" s="22" t="s">
        <v>104</v>
      </c>
      <c r="H5738" s="22" t="s">
        <v>969</v>
      </c>
      <c r="I5738" s="26">
        <v>43703.397557870398</v>
      </c>
      <c r="J5738" s="23" t="str">
        <f>HYPERLINK("https://www.spark-marketing.ru/Card/Person/37585", "ГБУЗ ""ПНД № 3""")</f>
        <v>ГБУЗ "ПНД № 3"</v>
      </c>
      <c r="K5738" s="24" t="s">
        <v>8844</v>
      </c>
      <c r="L5738" s="28" t="s">
        <v>51</v>
      </c>
      <c r="M5738" s="25">
        <v>494920.44</v>
      </c>
      <c r="N5738" s="27">
        <v>0</v>
      </c>
    </row>
    <row r="5739" spans="1:14" x14ac:dyDescent="0.15">
      <c r="A5739" s="23" t="str">
        <f>HYPERLINK("https://www.spark-marketing.ru/Card/Person/997890", "ОТДЕЛ МВД РОССИИ ПО Г. ШАХУНЬЯ")</f>
        <v>ОТДЕЛ МВД РОССИИ ПО Г. ШАХУНЬЯ</v>
      </c>
      <c r="B5739" s="24" t="s">
        <v>3358</v>
      </c>
      <c r="C5739" s="25">
        <v>1790000</v>
      </c>
      <c r="D5739" s="22" t="s">
        <v>8845</v>
      </c>
      <c r="E5739" s="22" t="s">
        <v>48</v>
      </c>
      <c r="F5739" s="23" t="str">
        <f>HYPERLINK("https://www.spark-marketing.ru/Card/Lot/73020651", "Оказание услуг по организации питания лиц содержащихся в изоляторе временного содержания подозреваемых и обвиняемых в специальном помещении задержанных Отдела МВД России по г. Шахунья")</f>
        <v>Оказание услуг по организации питания лиц содержащихся в изоляторе временного содержания подозреваемых и обвиняемых в специальном помещении задержанных Отдела МВД России по г. Шахунья</v>
      </c>
      <c r="G5739" s="22" t="s">
        <v>76</v>
      </c>
      <c r="H5739" s="22" t="s">
        <v>3360</v>
      </c>
      <c r="I5739" s="26">
        <v>43703.462893518503</v>
      </c>
      <c r="J5739" s="23" t="str">
        <f>HYPERLINK("https://www.spark-marketing.ru/Card/Person/2312263", "ООО ""МАЛАХИТ""")</f>
        <v>ООО "МАЛАХИТ"</v>
      </c>
      <c r="K5739" s="24" t="s">
        <v>8846</v>
      </c>
      <c r="L5739" s="22" t="s">
        <v>10</v>
      </c>
      <c r="M5739" s="28" t="s">
        <v>51</v>
      </c>
      <c r="N5739" s="28" t="s">
        <v>51</v>
      </c>
    </row>
    <row r="5740" spans="1:14" x14ac:dyDescent="0.15">
      <c r="A5740" s="23" t="str">
        <f>HYPERLINK("https://www.spark-marketing.ru/Card/Person/9675", "ФКУ ""ЦХ И СО МВД ПО РСО-АЛАНИЯ""")</f>
        <v>ФКУ "ЦХ И СО МВД ПО РСО-АЛАНИЯ"</v>
      </c>
      <c r="B5740" s="24" t="s">
        <v>8847</v>
      </c>
      <c r="C5740" s="25">
        <v>590000</v>
      </c>
      <c r="D5740" s="22" t="s">
        <v>8848</v>
      </c>
      <c r="E5740" s="22" t="s">
        <v>96</v>
      </c>
      <c r="F5740" s="23" t="str">
        <f>HYPERLINK("https://www.spark-marketing.ru/Card/Lot/73020716", "Питание ЦВСИГ 2021")</f>
        <v>Питание ЦВСИГ 2021</v>
      </c>
      <c r="G5740" s="22" t="s">
        <v>783</v>
      </c>
      <c r="H5740" s="22" t="s">
        <v>6622</v>
      </c>
      <c r="I5740" s="26">
        <v>43703.477349537003</v>
      </c>
      <c r="J5740" s="28" t="s">
        <v>51</v>
      </c>
      <c r="K5740" s="28" t="s">
        <v>51</v>
      </c>
      <c r="L5740" s="28" t="s">
        <v>51</v>
      </c>
      <c r="M5740" s="28" t="s">
        <v>51</v>
      </c>
      <c r="N5740" s="28" t="s">
        <v>51</v>
      </c>
    </row>
    <row r="5741" spans="1:14" x14ac:dyDescent="0.15">
      <c r="A5741" s="23" t="str">
        <f>HYPERLINK("https://www.spark-marketing.ru/Card/Person/9675", "ФКУ ""ЦХ И СО МВД ПО РСО-АЛАНИЯ""")</f>
        <v>ФКУ "ЦХ И СО МВД ПО РСО-АЛАНИЯ"</v>
      </c>
      <c r="B5741" s="24" t="s">
        <v>8847</v>
      </c>
      <c r="C5741" s="25">
        <v>520000</v>
      </c>
      <c r="D5741" s="22" t="s">
        <v>8849</v>
      </c>
      <c r="E5741" s="22" t="s">
        <v>96</v>
      </c>
      <c r="F5741" s="23" t="str">
        <f>HYPERLINK("https://www.spark-marketing.ru/Card/Lot/73020664", "Питание спецприемник 2021")</f>
        <v>Питание спецприемник 2021</v>
      </c>
      <c r="G5741" s="22" t="s">
        <v>783</v>
      </c>
      <c r="H5741" s="22" t="s">
        <v>6622</v>
      </c>
      <c r="I5741" s="26">
        <v>43703.467060185198</v>
      </c>
      <c r="J5741" s="28" t="s">
        <v>51</v>
      </c>
      <c r="K5741" s="28" t="s">
        <v>51</v>
      </c>
      <c r="L5741" s="28" t="s">
        <v>51</v>
      </c>
      <c r="M5741" s="28" t="s">
        <v>51</v>
      </c>
      <c r="N5741" s="28" t="s">
        <v>51</v>
      </c>
    </row>
    <row r="5742" spans="1:14" x14ac:dyDescent="0.15">
      <c r="A5742" s="23" t="str">
        <f>HYPERLINK("https://www.spark-marketing.ru/Card/Person/6233568", "ОМВД РОССИИ ПО ЖЕЛЕЗНОДОРОЖНОМУ РАЙОНУ Г. УЛЬЯНОВСКА")</f>
        <v>ОМВД РОССИИ ПО ЖЕЛЕЗНОДОРОЖНОМУ РАЙОНУ Г. УЛЬЯНОВСКА</v>
      </c>
      <c r="B5742" s="24" t="s">
        <v>8850</v>
      </c>
      <c r="C5742" s="25">
        <v>1307197.1200000001</v>
      </c>
      <c r="D5742" s="22" t="s">
        <v>8851</v>
      </c>
      <c r="E5742" s="22" t="s">
        <v>48</v>
      </c>
      <c r="F5742" s="23" t="str">
        <f>HYPERLINK("https://www.spark-marketing.ru/Card/Lot/73017352", "Оказание услуг по организации питания для лиц, содержащихся в специальном приемнике ОМВД России по Железнодорожному району г. Ульяновска")</f>
        <v>Оказание услуг по организации питания для лиц, содержащихся в специальном приемнике ОМВД России по Железнодорожному району г. Ульяновска</v>
      </c>
      <c r="G5742" s="22" t="s">
        <v>1918</v>
      </c>
      <c r="H5742" s="22" t="s">
        <v>1918</v>
      </c>
      <c r="I5742" s="26">
        <v>43703.413101851896</v>
      </c>
      <c r="J5742" s="23" t="str">
        <f>HYPERLINK("https://www.spark-marketing.ru/Card/Person/4894819", "ООО ""УСПЕХ""")</f>
        <v>ООО "УСПЕХ"</v>
      </c>
      <c r="K5742" s="24" t="s">
        <v>2759</v>
      </c>
      <c r="L5742" s="28" t="s">
        <v>51</v>
      </c>
      <c r="M5742" s="28" t="s">
        <v>51</v>
      </c>
      <c r="N5742" s="28" t="s">
        <v>51</v>
      </c>
    </row>
    <row r="5743" spans="1:14" ht="12.75" hidden="1" outlineLevel="1" x14ac:dyDescent="0.2">
      <c r="A5743" s="23" t="str">
        <f>HYPERLINK("https://www.spark-marketing.ru/Card/Person/6233568", "ОМВД РОССИИ ПО ЖЕЛЕЗНОДОРОЖНОМУ РАЙОНУ Г. УЛЬЯНОВСКА")</f>
        <v>ОМВД РОССИИ ПО ЖЕЛЕЗНОДОРОЖНОМУ РАЙОНУ Г. УЛЬЯНОВСКА</v>
      </c>
      <c r="B5743" s="24" t="s">
        <v>8850</v>
      </c>
      <c r="C5743" s="25">
        <v>1307197.1200000001</v>
      </c>
      <c r="D5743" s="22" t="s">
        <v>8851</v>
      </c>
      <c r="E5743" s="22" t="s">
        <v>48</v>
      </c>
      <c r="F5743" s="23" t="str">
        <f>HYPERLINK("https://www.spark-marketing.ru/Card/Lot/73017352", "Оказание услуг по организации питания для лиц, содержащихся в специальном приемнике ОМВД России по Железнодорожному району г. Ульяновска")</f>
        <v>Оказание услуг по организации питания для лиц, содержащихся в специальном приемнике ОМВД России по Железнодорожному району г. Ульяновска</v>
      </c>
      <c r="G5743" s="22" t="s">
        <v>1918</v>
      </c>
      <c r="H5743" s="22" t="s">
        <v>1918</v>
      </c>
      <c r="I5743" s="26">
        <v>43703.413101851896</v>
      </c>
      <c r="J5743" s="23" t="str">
        <f>HYPERLINK("https://www.spark-marketing.ru/Card/Person/4894819", "ООО ""УСПЕХ""")</f>
        <v>ООО "УСПЕХ"</v>
      </c>
      <c r="K5743" s="24" t="s">
        <v>2759</v>
      </c>
      <c r="L5743" s="22" t="s">
        <v>10</v>
      </c>
      <c r="M5743" s="25">
        <v>1300661.1299999999</v>
      </c>
      <c r="N5743" s="27">
        <v>5.0000033659804884E-3</v>
      </c>
    </row>
    <row r="5744" spans="1:14" x14ac:dyDescent="0.15">
      <c r="A5744" s="23" t="str">
        <f>HYPERLINK("https://www.spark-marketing.ru/Card/Person/9675", "ФКУ ""ЦХ И СО МВД ПО РСО-АЛАНИЯ""")</f>
        <v>ФКУ "ЦХ И СО МВД ПО РСО-АЛАНИЯ"</v>
      </c>
      <c r="B5744" s="24" t="s">
        <v>8847</v>
      </c>
      <c r="C5744" s="25">
        <v>496000</v>
      </c>
      <c r="D5744" s="22" t="s">
        <v>8852</v>
      </c>
      <c r="E5744" s="22" t="s">
        <v>96</v>
      </c>
      <c r="F5744" s="23" t="str">
        <f>HYPERLINK("https://www.spark-marketing.ru/Card/Lot/73018255", "Услуги питания ЦВСНП и ИВС 2021")</f>
        <v>Услуги питания ЦВСНП и ИВС 2021</v>
      </c>
      <c r="G5744" s="22" t="s">
        <v>783</v>
      </c>
      <c r="H5744" s="22" t="s">
        <v>6622</v>
      </c>
      <c r="I5744" s="26">
        <v>43703.4515972222</v>
      </c>
      <c r="J5744" s="28" t="s">
        <v>51</v>
      </c>
      <c r="K5744" s="28" t="s">
        <v>51</v>
      </c>
      <c r="L5744" s="28" t="s">
        <v>51</v>
      </c>
      <c r="M5744" s="28" t="s">
        <v>51</v>
      </c>
      <c r="N5744" s="28" t="s">
        <v>51</v>
      </c>
    </row>
    <row r="5745" spans="1:14" x14ac:dyDescent="0.15">
      <c r="A5745" s="23" t="str">
        <f>HYPERLINK("https://www.spark-marketing.ru/Card/Person/142455", "МДОУ ЦРР ДЕТСКИЙ САД №16 ""ЛАДУШКИ""")</f>
        <v>МДОУ ЦРР ДЕТСКИЙ САД №16 "ЛАДУШКИ"</v>
      </c>
      <c r="B5745" s="24" t="s">
        <v>8853</v>
      </c>
      <c r="C5745" s="25">
        <v>223563.5</v>
      </c>
      <c r="D5745" s="22" t="s">
        <v>8854</v>
      </c>
      <c r="E5745" s="22" t="s">
        <v>48</v>
      </c>
      <c r="F5745" s="23" t="str">
        <f>HYPERLINK("https://www.spark-marketing.ru/Card/Lot/73017806",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5745" s="22" t="s">
        <v>49</v>
      </c>
      <c r="H5745" s="22" t="s">
        <v>50</v>
      </c>
      <c r="I5745" s="26">
        <v>43703.4832060185</v>
      </c>
      <c r="J5745" s="28" t="s">
        <v>51</v>
      </c>
      <c r="K5745" s="28" t="s">
        <v>51</v>
      </c>
      <c r="L5745" s="28" t="s">
        <v>51</v>
      </c>
      <c r="M5745" s="28" t="s">
        <v>51</v>
      </c>
      <c r="N5745" s="28" t="s">
        <v>51</v>
      </c>
    </row>
    <row r="5746" spans="1:14" x14ac:dyDescent="0.15">
      <c r="A5746" s="23" t="str">
        <f>HYPERLINK("https://www.spark-marketing.ru/Card/Person/6233568", "ОМВД РОССИИ ПО ЖЕЛЕЗНОДОРОЖНОМУ РАЙОНУ Г. УЛЬЯНОВСКА")</f>
        <v>ОМВД РОССИИ ПО ЖЕЛЕЗНОДОРОЖНОМУ РАЙОНУ Г. УЛЬЯНОВСКА</v>
      </c>
      <c r="B5746" s="24" t="s">
        <v>8850</v>
      </c>
      <c r="C5746" s="25">
        <v>1307197.1200000001</v>
      </c>
      <c r="D5746" s="22" t="s">
        <v>8855</v>
      </c>
      <c r="E5746" s="22" t="s">
        <v>48</v>
      </c>
      <c r="F5746" s="23" t="str">
        <f>HYPERLINK("https://www.spark-marketing.ru/Card/Lot/73017350", "Оказание услуг по организации питания для лиц, содержащихся в специальном приемнике ОМВД России по Железнодорожному району г. Ульяновска")</f>
        <v>Оказание услуг по организации питания для лиц, содержащихся в специальном приемнике ОМВД России по Железнодорожному району г. Ульяновска</v>
      </c>
      <c r="G5746" s="22" t="s">
        <v>1918</v>
      </c>
      <c r="H5746" s="22" t="s">
        <v>1918</v>
      </c>
      <c r="I5746" s="26">
        <v>43703.410381944399</v>
      </c>
      <c r="J5746" s="28" t="s">
        <v>51</v>
      </c>
      <c r="K5746" s="28" t="s">
        <v>51</v>
      </c>
      <c r="L5746" s="28" t="s">
        <v>51</v>
      </c>
      <c r="M5746" s="28" t="s">
        <v>51</v>
      </c>
      <c r="N5746" s="28" t="s">
        <v>51</v>
      </c>
    </row>
    <row r="5747" spans="1:14" hidden="1" outlineLevel="1" x14ac:dyDescent="0.2">
      <c r="A5747" s="23" t="str">
        <f>HYPERLINK("https://www.spark-marketing.ru/Card/Person/6233568", "ОМВД РОССИИ ПО ЖЕЛЕЗНОДОРОЖНОМУ РАЙОНУ Г. УЛЬЯНОВСКА")</f>
        <v>ОМВД РОССИИ ПО ЖЕЛЕЗНОДОРОЖНОМУ РАЙОНУ Г. УЛЬЯНОВСКА</v>
      </c>
      <c r="B5747" s="24" t="s">
        <v>8850</v>
      </c>
      <c r="C5747" s="25">
        <v>1307197.1200000001</v>
      </c>
      <c r="D5747" s="22" t="s">
        <v>8855</v>
      </c>
      <c r="E5747" s="22" t="s">
        <v>48</v>
      </c>
      <c r="F5747" s="23" t="str">
        <f>HYPERLINK("https://www.spark-marketing.ru/Card/Lot/73017350", "Оказание услуг по организации питания для лиц, содержащихся в специальном приемнике ОМВД России по Железнодорожному району г. Ульяновска")</f>
        <v>Оказание услуг по организации питания для лиц, содержащихся в специальном приемнике ОМВД России по Железнодорожному району г. Ульяновска</v>
      </c>
      <c r="G5747" s="22" t="s">
        <v>1918</v>
      </c>
      <c r="H5747" s="22" t="s">
        <v>1918</v>
      </c>
      <c r="I5747" s="26">
        <v>43703.410381944399</v>
      </c>
      <c r="J5747" s="23" t="str">
        <f>HYPERLINK("https://www.spark-marketing.ru/Card/Person/859908", "Бабаев Сергей Николаевич")</f>
        <v>Бабаев Сергей Николаевич</v>
      </c>
      <c r="K5747" s="24" t="s">
        <v>8856</v>
      </c>
      <c r="L5747" s="28" t="s">
        <v>51</v>
      </c>
      <c r="M5747" s="25">
        <v>862749.8</v>
      </c>
      <c r="N5747" s="27">
        <v>0.34000022888667319</v>
      </c>
    </row>
    <row r="5748" spans="1:14" ht="12.75" hidden="1" outlineLevel="1" x14ac:dyDescent="0.2">
      <c r="A5748" s="23" t="str">
        <f>HYPERLINK("https://www.spark-marketing.ru/Card/Person/6233568", "ОМВД РОССИИ ПО ЖЕЛЕЗНОДОРОЖНОМУ РАЙОНУ Г. УЛЬЯНОВСКА")</f>
        <v>ОМВД РОССИИ ПО ЖЕЛЕЗНОДОРОЖНОМУ РАЙОНУ Г. УЛЬЯНОВСКА</v>
      </c>
      <c r="B5748" s="24" t="s">
        <v>8850</v>
      </c>
      <c r="C5748" s="25">
        <v>1307197.1200000001</v>
      </c>
      <c r="D5748" s="22" t="s">
        <v>8855</v>
      </c>
      <c r="E5748" s="22" t="s">
        <v>48</v>
      </c>
      <c r="F5748" s="23" t="str">
        <f>HYPERLINK("https://www.spark-marketing.ru/Card/Lot/73017350", "Оказание услуг по организации питания для лиц, содержащихся в специальном приемнике ОМВД России по Железнодорожному району г. Ульяновска")</f>
        <v>Оказание услуг по организации питания для лиц, содержащихся в специальном приемнике ОМВД России по Железнодорожному району г. Ульяновска</v>
      </c>
      <c r="G5748" s="22" t="s">
        <v>1918</v>
      </c>
      <c r="H5748" s="22" t="s">
        <v>1918</v>
      </c>
      <c r="I5748" s="26">
        <v>43703.410381944399</v>
      </c>
      <c r="J5748" s="23" t="str">
        <f>HYPERLINK("https://www.spark-marketing.ru/Card/Person/4894819", "ООО ""УСПЕХ""")</f>
        <v>ООО "УСПЕХ"</v>
      </c>
      <c r="K5748" s="24" t="s">
        <v>2759</v>
      </c>
      <c r="L5748" s="22" t="s">
        <v>10</v>
      </c>
      <c r="M5748" s="25">
        <v>856213.81</v>
      </c>
      <c r="N5748" s="27">
        <v>0.34500023225265369</v>
      </c>
    </row>
    <row r="5749" spans="1:14" ht="12.75" x14ac:dyDescent="0.2">
      <c r="A5749" s="23" t="str">
        <f>HYPERLINK("https://www.spark-marketing.ru/Card/Person/8010", "МО МВД РОССИИ ""НОВОЗЫБКОВСКИЙ""")</f>
        <v>МО МВД РОССИИ "НОВОЗЫБКОВСКИЙ"</v>
      </c>
      <c r="B5749" s="24" t="s">
        <v>8857</v>
      </c>
      <c r="C5749" s="25">
        <v>120275</v>
      </c>
      <c r="D5749" s="22" t="s">
        <v>8858</v>
      </c>
      <c r="E5749" s="22" t="s">
        <v>48</v>
      </c>
      <c r="F5749" s="23" t="str">
        <f>HYPERLINK("https://www.spark-marketing.ru/Card/Lot/73018196", "Услуги по организации ежедневного трехразового горячего питания, в том числе в выходные и праздничные дни лиц, содержащихся в специальном приемнике для содержания лиц, подвергнутых административному аресту МО МВД России «Новозыбковский»")</f>
        <v>Услуги по организации ежедневного трехразового горячего питания, в том числе в выходные и праздничные дни лиц, содержащихся в специальном приемнике для содержания лиц, подвергнутых административному аресту МО МВД России «Новозыбковский»</v>
      </c>
      <c r="G5749" s="22" t="s">
        <v>475</v>
      </c>
      <c r="H5749" s="22" t="s">
        <v>8859</v>
      </c>
      <c r="I5749" s="26">
        <v>43703.437349537002</v>
      </c>
      <c r="J5749" s="23" t="str">
        <f>HYPERLINK("https://www.spark-marketing.ru/Card/Person/329453", "ФКУ СИЗО-2 УФСИН РОССИИ ПО БРЯНСКОЙ ОБЛАСТИ")</f>
        <v>ФКУ СИЗО-2 УФСИН РОССИИ ПО БРЯНСКОЙ ОБЛАСТИ</v>
      </c>
      <c r="K5749" s="24" t="s">
        <v>8860</v>
      </c>
      <c r="L5749" s="22" t="s">
        <v>10</v>
      </c>
      <c r="M5749" s="25">
        <v>120275</v>
      </c>
      <c r="N5749" s="27">
        <v>0</v>
      </c>
    </row>
    <row r="5750" spans="1:14" x14ac:dyDescent="0.2">
      <c r="A5750" s="23" t="s">
        <v>114</v>
      </c>
      <c r="B5750" s="28" t="s">
        <v>51</v>
      </c>
      <c r="C5750" s="25">
        <v>3805261.34</v>
      </c>
      <c r="D5750" s="22" t="s">
        <v>8861</v>
      </c>
      <c r="E5750" s="22" t="s">
        <v>48</v>
      </c>
      <c r="F5750" s="23" t="str">
        <f>HYPERLINK("https://www.spark-marketing.ru/Card/Lot/73036693", "на оказание услуг по организации горячего питания обучающихся 1-4 классов и 5-11 классов в муниципальных общеобразовательных учреждениях")</f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5750" s="22" t="s">
        <v>51</v>
      </c>
      <c r="H5750" s="22" t="s">
        <v>51</v>
      </c>
      <c r="I5750" s="26">
        <v>43703.478020833303</v>
      </c>
      <c r="J5750" s="23" t="str">
        <f>HYPERLINK("https://www.spark-marketing.ru/Card/Person/736066", "МУП ""ШКОЛЬНИК""")</f>
        <v>МУП "ШКОЛЬНИК"</v>
      </c>
      <c r="K5750" s="24" t="s">
        <v>8862</v>
      </c>
      <c r="L5750" s="28" t="s">
        <v>51</v>
      </c>
      <c r="M5750" s="25">
        <v>3805261.34</v>
      </c>
      <c r="N5750" s="27">
        <v>0</v>
      </c>
    </row>
    <row r="5751" spans="1:14" hidden="1" outlineLevel="1" x14ac:dyDescent="0.2">
      <c r="A5751" s="23" t="str">
        <f>HYPERLINK("https://www.spark-marketing.ru/Card/Person/125878", "МОУ ""СОШ № 14"" Г.ВОРКУТЫ")</f>
        <v>МОУ "СОШ № 14" Г.ВОРКУТЫ</v>
      </c>
      <c r="B5751" s="24" t="s">
        <v>8863</v>
      </c>
      <c r="C5751" s="25">
        <v>1464771.98</v>
      </c>
      <c r="D5751" s="22" t="s">
        <v>8861</v>
      </c>
      <c r="E5751" s="22" t="s">
        <v>48</v>
      </c>
      <c r="F5751" s="23" t="str">
        <f>HYPERLINK("https://www.spark-marketing.ru/Card/Lot/73036693", "на оказание услуг по организации горячего питания обучающихся 1-4 классов и 5-11 классов в муниципальных общеобразовательных учреждениях")</f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5751" s="22" t="s">
        <v>271</v>
      </c>
      <c r="H5751" s="22" t="s">
        <v>8864</v>
      </c>
      <c r="I5751" s="26">
        <v>43703.478020833303</v>
      </c>
      <c r="J5751" s="23" t="str">
        <f>HYPERLINK("https://www.spark-marketing.ru/Card/Person/736066", "МУП ""ШКОЛЬНИК""")</f>
        <v>МУП "ШКОЛЬНИК"</v>
      </c>
      <c r="K5751" s="24" t="s">
        <v>8862</v>
      </c>
      <c r="L5751" s="28" t="s">
        <v>51</v>
      </c>
      <c r="M5751" s="28" t="s">
        <v>51</v>
      </c>
      <c r="N5751" s="27">
        <v>0</v>
      </c>
    </row>
    <row r="5752" spans="1:14" hidden="1" outlineLevel="1" x14ac:dyDescent="0.2">
      <c r="A5752" s="23" t="str">
        <f>HYPERLINK("https://www.spark-marketing.ru/Card/Person/735889", "МОУ ""ГИМНАЗИЯ № 1"" Г. ВОРКУТЫ")</f>
        <v>МОУ "ГИМНАЗИЯ № 1" Г. ВОРКУТЫ</v>
      </c>
      <c r="B5752" s="24" t="s">
        <v>8865</v>
      </c>
      <c r="C5752" s="25">
        <v>966597.36</v>
      </c>
      <c r="D5752" s="22" t="s">
        <v>8861</v>
      </c>
      <c r="E5752" s="22" t="s">
        <v>48</v>
      </c>
      <c r="F5752" s="23" t="str">
        <f>HYPERLINK("https://www.spark-marketing.ru/Card/Lot/73036693", "на оказание услуг по организации горячего питания обучающихся 1-4 классов и 5-11 классов в муниципальных общеобразовательных учреждениях")</f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5752" s="22" t="s">
        <v>271</v>
      </c>
      <c r="H5752" s="22" t="s">
        <v>8864</v>
      </c>
      <c r="I5752" s="26">
        <v>43703.478020833303</v>
      </c>
      <c r="J5752" s="23" t="str">
        <f>HYPERLINK("https://www.spark-marketing.ru/Card/Person/736066", "МУП ""ШКОЛЬНИК""")</f>
        <v>МУП "ШКОЛЬНИК"</v>
      </c>
      <c r="K5752" s="24" t="s">
        <v>8862</v>
      </c>
      <c r="L5752" s="28" t="s">
        <v>51</v>
      </c>
      <c r="M5752" s="28" t="s">
        <v>51</v>
      </c>
      <c r="N5752" s="27">
        <v>0</v>
      </c>
    </row>
    <row r="5753" spans="1:14" hidden="1" outlineLevel="1" x14ac:dyDescent="0.2">
      <c r="A5753" s="23" t="str">
        <f>HYPERLINK("https://www.spark-marketing.ru/Card/Person/736149", "МОУ ""СОШ № 42"" Г.ВОРКУТЫ")</f>
        <v>МОУ "СОШ № 42" Г.ВОРКУТЫ</v>
      </c>
      <c r="B5753" s="24" t="s">
        <v>8866</v>
      </c>
      <c r="C5753" s="25">
        <v>1373892</v>
      </c>
      <c r="D5753" s="22" t="s">
        <v>8861</v>
      </c>
      <c r="E5753" s="22" t="s">
        <v>48</v>
      </c>
      <c r="F5753" s="23" t="str">
        <f>HYPERLINK("https://www.spark-marketing.ru/Card/Lot/73036693", "на оказание услуг по организации горячего питания обучающихся 1-4 классов и 5-11 классов в муниципальных общеобразовательных учреждениях")</f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5753" s="22" t="s">
        <v>271</v>
      </c>
      <c r="H5753" s="22" t="s">
        <v>8864</v>
      </c>
      <c r="I5753" s="26">
        <v>43703.478020833303</v>
      </c>
      <c r="J5753" s="23" t="str">
        <f>HYPERLINK("https://www.spark-marketing.ru/Card/Person/736066", "МУП ""ШКОЛЬНИК""")</f>
        <v>МУП "ШКОЛЬНИК"</v>
      </c>
      <c r="K5753" s="24" t="s">
        <v>8862</v>
      </c>
      <c r="L5753" s="28" t="s">
        <v>51</v>
      </c>
      <c r="M5753" s="28" t="s">
        <v>51</v>
      </c>
      <c r="N5753" s="27">
        <v>0</v>
      </c>
    </row>
    <row r="5754" spans="1:14" x14ac:dyDescent="0.15">
      <c r="A5754" s="23" t="str">
        <f>HYPERLINK("https://www.spark-marketing.ru/Card/Person/1066077", "ОТД МВД РОССИИ ПО МАКАРОВСКОМУ ГОРОДСКОМУ ОКРУГУ ИЛИ ОТД МВД РОССИИ ПО МАКАРОВСКОМУ ГО")</f>
        <v>ОТД МВД РОССИИ ПО МАКАРОВСКОМУ ГОРОДСКОМУ ОКРУГУ ИЛИ ОТД МВД РОССИИ ПО МАКАРОВСКОМУ ГО</v>
      </c>
      <c r="B5754" s="24" t="s">
        <v>8867</v>
      </c>
      <c r="C5754" s="25">
        <v>363000</v>
      </c>
      <c r="D5754" s="22" t="s">
        <v>8868</v>
      </c>
      <c r="E5754" s="22" t="s">
        <v>48</v>
      </c>
      <c r="F5754" s="23" t="str">
        <f>HYPERLINK("https://www.spark-marketing.ru/Card/Lot/73010334", "Оказание услуг по организации горячего трехразового питания лиц, арестованных в административном порядке, содержащихся в специальном приемнике, специальном помещении содержания задержанных лиц, и лиц, содержащихся в изоляторе временного содержания От...")</f>
        <v>Оказание услуг по организации горячего трехразового питания лиц, арестованных в административном порядке, содержащихся в специальном приемнике, специальном помещении содержания задержанных лиц, и лиц, содержащихся в изоляторе временного содержания От...</v>
      </c>
      <c r="G5754" s="22" t="s">
        <v>260</v>
      </c>
      <c r="H5754" s="22" t="s">
        <v>8869</v>
      </c>
      <c r="I5754" s="26">
        <v>43703.489699074104</v>
      </c>
      <c r="J5754" s="23" t="str">
        <f>HYPERLINK("https://www.spark-marketing.ru/Card/Person/551631", "ООО ""ЯНА""")</f>
        <v>ООО "ЯНА"</v>
      </c>
      <c r="K5754" s="24" t="s">
        <v>8870</v>
      </c>
      <c r="L5754" s="22" t="s">
        <v>10</v>
      </c>
      <c r="M5754" s="28" t="s">
        <v>51</v>
      </c>
      <c r="N5754" s="28" t="s">
        <v>51</v>
      </c>
    </row>
    <row r="5755" spans="1:14" x14ac:dyDescent="0.15">
      <c r="A5755" s="23" t="str">
        <f>HYPERLINK("https://www.spark-marketing.ru/Card/Person/29704", "УПРАВЛЕНИЕ МВД РОССИИ ПО Г.САМАРЕ")</f>
        <v>УПРАВЛЕНИЕ МВД РОССИИ ПО Г.САМАРЕ</v>
      </c>
      <c r="B5755" s="24" t="s">
        <v>5685</v>
      </c>
      <c r="C5755" s="25">
        <v>158384.65</v>
      </c>
      <c r="D5755" s="22" t="s">
        <v>8871</v>
      </c>
      <c r="E5755" s="22" t="s">
        <v>48</v>
      </c>
      <c r="F5755" s="23" t="str">
        <f>HYPERLINK("https://www.spark-marketing.ru/Card/Lot/73016942", "Оказание услуг по организации питания (приготовлению и доставке) для ИВС, 792 усл. ед")</f>
        <v>Оказание услуг по организации питания (приготовлению и доставке) для ИВС, 792 усл. ед</v>
      </c>
      <c r="G5755" s="22" t="s">
        <v>128</v>
      </c>
      <c r="H5755" s="22" t="s">
        <v>129</v>
      </c>
      <c r="I5755" s="26">
        <v>43703.474861111099</v>
      </c>
      <c r="J5755" s="28" t="s">
        <v>51</v>
      </c>
      <c r="K5755" s="28" t="s">
        <v>51</v>
      </c>
      <c r="L5755" s="28" t="s">
        <v>51</v>
      </c>
      <c r="M5755" s="28" t="s">
        <v>51</v>
      </c>
      <c r="N5755" s="28" t="s">
        <v>51</v>
      </c>
    </row>
    <row r="5756" spans="1:14" x14ac:dyDescent="0.15">
      <c r="A5756" s="23" t="str">
        <f>HYPERLINK("https://www.spark-marketing.ru/Card/Person/91929", "МУ МВД РОССИИ ""СЕРПУХОВСКОЕ""")</f>
        <v>МУ МВД РОССИИ "СЕРПУХОВСКОЕ"</v>
      </c>
      <c r="B5756" s="24" t="s">
        <v>8229</v>
      </c>
      <c r="C5756" s="25">
        <v>181770</v>
      </c>
      <c r="D5756" s="22" t="s">
        <v>8872</v>
      </c>
      <c r="E5756" s="22" t="s">
        <v>48</v>
      </c>
      <c r="F5756" s="23" t="str">
        <f>HYPERLINK("https://www.spark-marketing.ru/Card/Lot/73017210", "Услуги общественного питания, 1 усл. ед")</f>
        <v>Услуги общественного питания, 1 усл. ед</v>
      </c>
      <c r="G5756" s="22" t="s">
        <v>49</v>
      </c>
      <c r="H5756" s="22" t="s">
        <v>8231</v>
      </c>
      <c r="I5756" s="26">
        <v>43703.492488425902</v>
      </c>
      <c r="J5756" s="28" t="s">
        <v>51</v>
      </c>
      <c r="K5756" s="28" t="s">
        <v>51</v>
      </c>
      <c r="L5756" s="28" t="s">
        <v>51</v>
      </c>
      <c r="M5756" s="28" t="s">
        <v>51</v>
      </c>
      <c r="N5756" s="28" t="s">
        <v>51</v>
      </c>
    </row>
    <row r="5757" spans="1:14" x14ac:dyDescent="0.15">
      <c r="A5757" s="23" t="str">
        <f>HYPERLINK("https://www.spark-marketing.ru/Card/Person/1066077", "ОТД МВД РОССИИ ПО МАКАРОВСКОМУ ГОРОДСКОМУ ОКРУГУ ИЛИ ОТД МВД РОССИИ ПО МАКАРОВСКОМУ ГО")</f>
        <v>ОТД МВД РОССИИ ПО МАКАРОВСКОМУ ГОРОДСКОМУ ОКРУГУ ИЛИ ОТД МВД РОССИИ ПО МАКАРОВСКОМУ ГО</v>
      </c>
      <c r="B5757" s="24" t="s">
        <v>8867</v>
      </c>
      <c r="C5757" s="25">
        <v>363000</v>
      </c>
      <c r="D5757" s="22" t="s">
        <v>8873</v>
      </c>
      <c r="E5757" s="22" t="s">
        <v>48</v>
      </c>
      <c r="F5757" s="23" t="str">
        <f>HYPERLINK("https://www.spark-marketing.ru/Card/Lot/73010333", "Оказание услуг по организации горячего трехразового питания лиц, арестованных в административном порядке, содержащихся в специальном приемнике, специальном помещении содержания задержанных лиц, и лиц, содержащихся в изоляторе временного содержания От...")</f>
        <v>Оказание услуг по организации горячего трехразового питания лиц, арестованных в административном порядке, содержащихся в специальном приемнике, специальном помещении содержания задержанных лиц, и лиц, содержащихся в изоляторе временного содержания От...</v>
      </c>
      <c r="G5757" s="22" t="s">
        <v>260</v>
      </c>
      <c r="H5757" s="22" t="s">
        <v>8869</v>
      </c>
      <c r="I5757" s="26">
        <v>43703.483993055597</v>
      </c>
      <c r="J5757" s="23" t="str">
        <f>HYPERLINK("https://www.spark-marketing.ru/Card/Person/551631", "ООО ""ЯНА""")</f>
        <v>ООО "ЯНА"</v>
      </c>
      <c r="K5757" s="24" t="s">
        <v>8870</v>
      </c>
      <c r="L5757" s="22" t="s">
        <v>10</v>
      </c>
      <c r="M5757" s="28" t="s">
        <v>51</v>
      </c>
      <c r="N5757" s="28" t="s">
        <v>51</v>
      </c>
    </row>
    <row r="5758" spans="1:14" x14ac:dyDescent="0.15">
      <c r="A5758" s="23" t="str">
        <f>HYPERLINK("https://www.spark-marketing.ru/Card/Person/4989", "ОМВД РОССИИ ПО АЛТАЙСКОМУ РАЙОНУ")</f>
        <v>ОМВД РОССИИ ПО АЛТАЙСКОМУ РАЙОНУ</v>
      </c>
      <c r="B5758" s="24" t="s">
        <v>8874</v>
      </c>
      <c r="C5758" s="25">
        <v>710100</v>
      </c>
      <c r="D5758" s="22" t="s">
        <v>8875</v>
      </c>
      <c r="E5758" s="22" t="s">
        <v>48</v>
      </c>
      <c r="F5758" s="23" t="str">
        <f>HYPERLINK("https://www.spark-marketing.ru/Card/Lot/73012039", "Услуги по организации питания в изоляторах временного содержания")</f>
        <v>Услуги по организации питания в изоляторах временного содержания</v>
      </c>
      <c r="G5758" s="22" t="s">
        <v>92</v>
      </c>
      <c r="H5758" s="22" t="s">
        <v>8604</v>
      </c>
      <c r="I5758" s="26">
        <v>43703.477557870399</v>
      </c>
      <c r="J5758" s="28" t="s">
        <v>51</v>
      </c>
      <c r="K5758" s="28" t="s">
        <v>51</v>
      </c>
      <c r="L5758" s="28" t="s">
        <v>51</v>
      </c>
      <c r="M5758" s="28" t="s">
        <v>51</v>
      </c>
      <c r="N5758" s="28" t="s">
        <v>51</v>
      </c>
    </row>
    <row r="5759" spans="1:14" x14ac:dyDescent="0.15">
      <c r="A5759" s="23" t="str">
        <f>HYPERLINK("https://www.spark-marketing.ru/Card/Person/1004934", "ОМВД РОССИИ ПО ТАЛДОМСКОМУ РАЙОНУ")</f>
        <v>ОМВД РОССИИ ПО ТАЛДОМСКОМУ РАЙОНУ</v>
      </c>
      <c r="B5759" s="24" t="s">
        <v>7335</v>
      </c>
      <c r="C5759" s="25">
        <v>150500</v>
      </c>
      <c r="D5759" s="22" t="s">
        <v>8876</v>
      </c>
      <c r="E5759" s="22" t="s">
        <v>48</v>
      </c>
      <c r="F5759" s="23" t="str">
        <f>HYPERLINK("https://www.spark-marketing.ru/Card/Lot/73016982", "УСЛУГИ ПО ОБЕСПЕЧЕНИЮ ПИТАНИЯ ЛИЦ СОДЕРЖАЩИХСЯ В СПЕЦ. ПОМЕЩЕНИЯХ ЗАДЕРЖАННЫХ ЛИЦ, 430 усл. ед")</f>
        <v>УСЛУГИ ПО ОБЕСПЕЧЕНИЮ ПИТАНИЯ ЛИЦ СОДЕРЖАЩИХСЯ В СПЕЦ. ПОМЕЩЕНИЯХ ЗАДЕРЖАННЫХ ЛИЦ, 430 усл. ед</v>
      </c>
      <c r="G5759" s="22" t="s">
        <v>49</v>
      </c>
      <c r="H5759" s="22" t="s">
        <v>8877</v>
      </c>
      <c r="I5759" s="26">
        <v>43703.481377314798</v>
      </c>
      <c r="J5759" s="28" t="s">
        <v>51</v>
      </c>
      <c r="K5759" s="28" t="s">
        <v>51</v>
      </c>
      <c r="L5759" s="28" t="s">
        <v>51</v>
      </c>
      <c r="M5759" s="28" t="s">
        <v>51</v>
      </c>
      <c r="N5759" s="28" t="s">
        <v>51</v>
      </c>
    </row>
    <row r="5760" spans="1:14" x14ac:dyDescent="0.15">
      <c r="A5760" s="23" t="str">
        <f>HYPERLINK("https://www.spark-marketing.ru/Card/Person/91929", "МУ МВД РОССИИ ""СЕРПУХОВСКОЕ""")</f>
        <v>МУ МВД РОССИИ "СЕРПУХОВСКОЕ"</v>
      </c>
      <c r="B5760" s="24" t="s">
        <v>8229</v>
      </c>
      <c r="C5760" s="25">
        <v>181770</v>
      </c>
      <c r="D5760" s="22" t="s">
        <v>8878</v>
      </c>
      <c r="E5760" s="22" t="s">
        <v>48</v>
      </c>
      <c r="F5760" s="23" t="str">
        <f>HYPERLINK("https://www.spark-marketing.ru/Card/Lot/73017192", "Услуги общественного питания, 1 усл. ед")</f>
        <v>Услуги общественного питания, 1 усл. ед</v>
      </c>
      <c r="G5760" s="22" t="s">
        <v>49</v>
      </c>
      <c r="H5760" s="22" t="s">
        <v>8231</v>
      </c>
      <c r="I5760" s="26">
        <v>43703.490277777797</v>
      </c>
      <c r="J5760" s="28" t="s">
        <v>51</v>
      </c>
      <c r="K5760" s="28" t="s">
        <v>51</v>
      </c>
      <c r="L5760" s="28" t="s">
        <v>51</v>
      </c>
      <c r="M5760" s="28" t="s">
        <v>51</v>
      </c>
      <c r="N5760" s="28" t="s">
        <v>51</v>
      </c>
    </row>
    <row r="5761" spans="1:14" x14ac:dyDescent="0.15">
      <c r="A5761" s="23" t="str">
        <f>HYPERLINK("https://www.spark-marketing.ru/Card/Person/60374", "МБДОУ ДЕТСКИЙ САД №6 ""УЛЫБКА""")</f>
        <v>МБДОУ ДЕТСКИЙ САД №6 "УЛЫБКА"</v>
      </c>
      <c r="B5761" s="24" t="s">
        <v>8879</v>
      </c>
      <c r="C5761" s="25">
        <v>124169</v>
      </c>
      <c r="D5761" s="22" t="s">
        <v>8880</v>
      </c>
      <c r="E5761" s="22" t="s">
        <v>152</v>
      </c>
      <c r="F5761" s="23" t="str">
        <f>HYPERLINK("https://www.spark-marketing.ru/Card/Lot/73016152", "Оказание услуг по поставке и установке домофонов(второе здание)")</f>
        <v>Оказание услуг по поставке и установке домофонов(второе здание)</v>
      </c>
      <c r="G5761" s="22" t="s">
        <v>49</v>
      </c>
      <c r="H5761" s="22" t="s">
        <v>1263</v>
      </c>
      <c r="I5761" s="26">
        <v>43703.419861111099</v>
      </c>
      <c r="J5761" s="28" t="s">
        <v>51</v>
      </c>
      <c r="K5761" s="28" t="s">
        <v>51</v>
      </c>
      <c r="L5761" s="28" t="s">
        <v>51</v>
      </c>
      <c r="M5761" s="28" t="s">
        <v>51</v>
      </c>
      <c r="N5761" s="28" t="s">
        <v>51</v>
      </c>
    </row>
    <row r="5762" spans="1:14" x14ac:dyDescent="0.15">
      <c r="A5762" s="23" t="str">
        <f>HYPERLINK("https://www.spark-marketing.ru/Card/Person/997890", "ОТДЕЛ МВД РОССИИ ПО Г. ШАХУНЬЯ")</f>
        <v>ОТДЕЛ МВД РОССИИ ПО Г. ШАХУНЬЯ</v>
      </c>
      <c r="B5762" s="24" t="s">
        <v>3358</v>
      </c>
      <c r="C5762" s="25">
        <v>1861000</v>
      </c>
      <c r="D5762" s="22" t="s">
        <v>8881</v>
      </c>
      <c r="E5762" s="22" t="s">
        <v>48</v>
      </c>
      <c r="F5762" s="23" t="str">
        <f>HYPERLINK("https://www.spark-marketing.ru/Card/Lot/73018965", "Оказание услуг по организации питания лиц содержащихся в изоляторе временного содержания подозреваемых и обвиняемых в специальном помещении задержанных Отдела МВД России по г. Шахунья")</f>
        <v>Оказание услуг по организации питания лиц содержащихся в изоляторе временного содержания подозреваемых и обвиняемых в специальном помещении задержанных Отдела МВД России по г. Шахунья</v>
      </c>
      <c r="G5762" s="22" t="s">
        <v>76</v>
      </c>
      <c r="H5762" s="22" t="s">
        <v>3360</v>
      </c>
      <c r="I5762" s="26">
        <v>43703.450949074097</v>
      </c>
      <c r="J5762" s="28" t="s">
        <v>51</v>
      </c>
      <c r="K5762" s="28" t="s">
        <v>51</v>
      </c>
      <c r="L5762" s="28" t="s">
        <v>51</v>
      </c>
      <c r="M5762" s="28" t="s">
        <v>51</v>
      </c>
      <c r="N5762" s="28" t="s">
        <v>51</v>
      </c>
    </row>
    <row r="5763" spans="1:14" x14ac:dyDescent="0.15">
      <c r="A5763" s="23" t="str">
        <f>HYPERLINK("https://www.spark-marketing.ru/Card/Person/6233568", "ОМВД РОССИИ ПО ЖЕЛЕЗНОДОРОЖНОМУ РАЙОНУ Г. УЛЬЯНОВСКА")</f>
        <v>ОМВД РОССИИ ПО ЖЕЛЕЗНОДОРОЖНОМУ РАЙОНУ Г. УЛЬЯНОВСКА</v>
      </c>
      <c r="B5763" s="24" t="s">
        <v>8850</v>
      </c>
      <c r="C5763" s="25">
        <v>44550</v>
      </c>
      <c r="D5763" s="22" t="s">
        <v>8882</v>
      </c>
      <c r="E5763" s="22" t="s">
        <v>48</v>
      </c>
      <c r="F5763" s="23" t="str">
        <f>HYPERLINK("https://www.spark-marketing.ru/Card/Lot/73014237",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763" s="22" t="s">
        <v>1918</v>
      </c>
      <c r="H5763" s="22" t="s">
        <v>1918</v>
      </c>
      <c r="I5763" s="26">
        <v>43703.4289699074</v>
      </c>
      <c r="J5763" s="28" t="s">
        <v>51</v>
      </c>
      <c r="K5763" s="28" t="s">
        <v>51</v>
      </c>
      <c r="L5763" s="28" t="s">
        <v>51</v>
      </c>
      <c r="M5763" s="28" t="s">
        <v>51</v>
      </c>
      <c r="N5763" s="28" t="s">
        <v>51</v>
      </c>
    </row>
    <row r="5764" spans="1:14" x14ac:dyDescent="0.15">
      <c r="A5764" s="23" t="str">
        <f>HYPERLINK("https://www.spark-marketing.ru/Card/Person/695", "МО МВД РОССИИ ""ПАВЛОВО-ПОСАДСКИЙ""")</f>
        <v>МО МВД РОССИИ "ПАВЛОВО-ПОСАДСКИЙ"</v>
      </c>
      <c r="B5764" s="24" t="s">
        <v>8883</v>
      </c>
      <c r="C5764" s="25">
        <v>875235</v>
      </c>
      <c r="D5764" s="22" t="s">
        <v>8884</v>
      </c>
      <c r="E5764" s="22" t="s">
        <v>48</v>
      </c>
      <c r="F5764" s="23" t="str">
        <f>HYPERLINK("https://www.spark-marketing.ru/Card/Lot/73018797", "Оказание услуг по питанию граждан")</f>
        <v>Оказание услуг по питанию граждан</v>
      </c>
      <c r="G5764" s="22" t="s">
        <v>49</v>
      </c>
      <c r="H5764" s="22" t="s">
        <v>49</v>
      </c>
      <c r="I5764" s="26">
        <v>43702.473067129598</v>
      </c>
      <c r="J5764" s="23" t="str">
        <f>HYPERLINK("https://www.spark-marketing.ru/Card/Person/1278899", "ООО ""АМОС""")</f>
        <v>ООО "АМОС"</v>
      </c>
      <c r="K5764" s="24" t="s">
        <v>8885</v>
      </c>
      <c r="L5764" s="22" t="s">
        <v>10</v>
      </c>
      <c r="M5764" s="28" t="s">
        <v>51</v>
      </c>
      <c r="N5764" s="28" t="s">
        <v>51</v>
      </c>
    </row>
    <row r="5765" spans="1:14" x14ac:dyDescent="0.15">
      <c r="A5765" s="23" t="str">
        <f>HYPERLINK("https://www.spark-marketing.ru/Card/Person/32470", "ОМВД РОССИИ ПО Г. НАХОДКЕ")</f>
        <v>ОМВД РОССИИ ПО Г. НАХОДКЕ</v>
      </c>
      <c r="B5765" s="24" t="s">
        <v>8886</v>
      </c>
      <c r="C5765" s="25">
        <v>244550</v>
      </c>
      <c r="D5765" s="22" t="s">
        <v>8887</v>
      </c>
      <c r="E5765" s="22" t="s">
        <v>96</v>
      </c>
      <c r="F5765" s="23" t="str">
        <f>HYPERLINK("https://www.spark-marketing.ru/Card/Lot/73010243", "сухой рацион питания")</f>
        <v>сухой рацион питания</v>
      </c>
      <c r="G5765" s="22" t="s">
        <v>543</v>
      </c>
      <c r="H5765" s="22" t="s">
        <v>8888</v>
      </c>
      <c r="I5765" s="26">
        <v>43700.656712962998</v>
      </c>
      <c r="J5765" s="28" t="s">
        <v>51</v>
      </c>
      <c r="K5765" s="28" t="s">
        <v>51</v>
      </c>
      <c r="L5765" s="28" t="s">
        <v>51</v>
      </c>
      <c r="M5765" s="28" t="s">
        <v>51</v>
      </c>
      <c r="N5765" s="28" t="s">
        <v>51</v>
      </c>
    </row>
    <row r="5766" spans="1:14" ht="12.75" hidden="1" outlineLevel="1" x14ac:dyDescent="0.2">
      <c r="A5766" s="23" t="str">
        <f>HYPERLINK("https://www.spark-marketing.ru/Card/Person/32470", "ОМВД РОССИИ ПО Г. НАХОДКЕ")</f>
        <v>ОМВД РОССИИ ПО Г. НАХОДКЕ</v>
      </c>
      <c r="B5766" s="24" t="s">
        <v>8886</v>
      </c>
      <c r="C5766" s="25">
        <v>244550</v>
      </c>
      <c r="D5766" s="22" t="s">
        <v>8887</v>
      </c>
      <c r="E5766" s="22" t="s">
        <v>96</v>
      </c>
      <c r="F5766" s="23" t="str">
        <f>HYPERLINK("https://www.spark-marketing.ru/Card/Lot/73010243", "сухой рацион питания")</f>
        <v>сухой рацион питания</v>
      </c>
      <c r="G5766" s="22" t="s">
        <v>543</v>
      </c>
      <c r="H5766" s="22" t="s">
        <v>8888</v>
      </c>
      <c r="I5766" s="26">
        <v>43700.656712962998</v>
      </c>
      <c r="J5766" s="23" t="str">
        <f>HYPERLINK("https://www.spark-marketing.ru/Card/Person/147204", "ООО ""РТК""")</f>
        <v>ООО "РТК"</v>
      </c>
      <c r="K5766" s="24" t="s">
        <v>7301</v>
      </c>
      <c r="L5766" s="22" t="s">
        <v>10</v>
      </c>
      <c r="M5766" s="25">
        <v>217649.5</v>
      </c>
      <c r="N5766" s="27">
        <v>0.11</v>
      </c>
    </row>
    <row r="5767" spans="1:14" hidden="1" outlineLevel="1" x14ac:dyDescent="0.2">
      <c r="A5767" s="23" t="str">
        <f>HYPERLINK("https://www.spark-marketing.ru/Card/Person/32470", "ОМВД РОССИИ ПО Г. НАХОДКЕ")</f>
        <v>ОМВД РОССИИ ПО Г. НАХОДКЕ</v>
      </c>
      <c r="B5767" s="24" t="s">
        <v>8886</v>
      </c>
      <c r="C5767" s="25">
        <v>244550</v>
      </c>
      <c r="D5767" s="22" t="s">
        <v>8887</v>
      </c>
      <c r="E5767" s="22" t="s">
        <v>96</v>
      </c>
      <c r="F5767" s="23" t="str">
        <f>HYPERLINK("https://www.spark-marketing.ru/Card/Lot/73010243", "сухой рацион питания")</f>
        <v>сухой рацион питания</v>
      </c>
      <c r="G5767" s="22" t="s">
        <v>543</v>
      </c>
      <c r="H5767" s="22" t="s">
        <v>8888</v>
      </c>
      <c r="I5767" s="26">
        <v>43700.656712962998</v>
      </c>
      <c r="J5767" s="23" t="str">
        <f>HYPERLINK("https://www.spark-marketing.ru/Card/Person/6453962", "ООО ""ИЗУМРУД""")</f>
        <v>ООО "ИЗУМРУД"</v>
      </c>
      <c r="K5767" s="24" t="s">
        <v>8889</v>
      </c>
      <c r="L5767" s="28" t="s">
        <v>51</v>
      </c>
      <c r="M5767" s="25">
        <v>218872.25</v>
      </c>
      <c r="N5767" s="27">
        <v>0.105</v>
      </c>
    </row>
    <row r="5768" spans="1:14" x14ac:dyDescent="0.15">
      <c r="A5768" s="23" t="str">
        <f>HYPERLINK("https://www.spark-marketing.ru/Card/Person/695", "МО МВД РОССИИ ""ПАВЛОВО-ПОСАДСКИЙ""")</f>
        <v>МО МВД РОССИИ "ПАВЛОВО-ПОСАДСКИЙ"</v>
      </c>
      <c r="B5768" s="24" t="s">
        <v>8883</v>
      </c>
      <c r="C5768" s="25">
        <v>875235</v>
      </c>
      <c r="D5768" s="22" t="s">
        <v>8890</v>
      </c>
      <c r="E5768" s="22" t="s">
        <v>48</v>
      </c>
      <c r="F5768" s="23" t="str">
        <f>HYPERLINK("https://www.spark-marketing.ru/Card/Lot/73018796", "Оказание услуг по питанию граждан")</f>
        <v>Оказание услуг по питанию граждан</v>
      </c>
      <c r="G5768" s="22" t="s">
        <v>49</v>
      </c>
      <c r="H5768" s="22" t="s">
        <v>49</v>
      </c>
      <c r="I5768" s="26">
        <v>43702.448935185203</v>
      </c>
      <c r="J5768" s="23" t="str">
        <f>HYPERLINK("https://www.spark-marketing.ru/Card/Person/1278899", "ООО ""АМОС""")</f>
        <v>ООО "АМОС"</v>
      </c>
      <c r="K5768" s="24" t="s">
        <v>8885</v>
      </c>
      <c r="L5768" s="22" t="s">
        <v>10</v>
      </c>
      <c r="M5768" s="28" t="s">
        <v>51</v>
      </c>
      <c r="N5768" s="28" t="s">
        <v>51</v>
      </c>
    </row>
    <row r="5769" spans="1:14" x14ac:dyDescent="0.15">
      <c r="A5769" s="23" t="str">
        <f>HYPERLINK("https://www.spark-marketing.ru/Card/Person/6233568", "ОМВД РОССИИ ПО ЖЕЛЕЗНОДОРОЖНОМУ РАЙОНУ Г. УЛЬЯНОВСКА")</f>
        <v>ОМВД РОССИИ ПО ЖЕЛЕЗНОДОРОЖНОМУ РАЙОНУ Г. УЛЬЯНОВСКА</v>
      </c>
      <c r="B5769" s="24" t="s">
        <v>8850</v>
      </c>
      <c r="C5769" s="25">
        <v>44550</v>
      </c>
      <c r="D5769" s="22" t="s">
        <v>8891</v>
      </c>
      <c r="E5769" s="22" t="s">
        <v>48</v>
      </c>
      <c r="F5769" s="23" t="str">
        <f>HYPERLINK("https://www.spark-marketing.ru/Card/Lot/73014020",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769" s="22" t="s">
        <v>1918</v>
      </c>
      <c r="H5769" s="22" t="s">
        <v>1918</v>
      </c>
      <c r="I5769" s="26">
        <v>43703.417314814797</v>
      </c>
      <c r="J5769" s="28" t="s">
        <v>51</v>
      </c>
      <c r="K5769" s="28" t="s">
        <v>51</v>
      </c>
      <c r="L5769" s="28" t="s">
        <v>51</v>
      </c>
      <c r="M5769" s="28" t="s">
        <v>51</v>
      </c>
      <c r="N5769" s="28" t="s">
        <v>51</v>
      </c>
    </row>
    <row r="5770" spans="1:14" x14ac:dyDescent="0.2">
      <c r="A5770" s="23" t="str">
        <f>HYPERLINK("https://www.spark-marketing.ru/Card/Person/84538", "ГБУЗ АРХАНГЕЛЬСКОЙ ОБЛАСТИ ""КПНД""")</f>
        <v>ГБУЗ АРХАНГЕЛЬСКОЙ ОБЛАСТИ "КПНД"</v>
      </c>
      <c r="B5770" s="24" t="s">
        <v>8892</v>
      </c>
      <c r="C5770" s="25">
        <v>7920500</v>
      </c>
      <c r="D5770" s="22" t="s">
        <v>8893</v>
      </c>
      <c r="E5770" s="22" t="s">
        <v>48</v>
      </c>
      <c r="F5770" s="23" t="str">
        <f>HYPERLINK("https://www.spark-marketing.ru/Card/Lot/73036537", "Оказание услуг по организации лечебного питания пациентов, находящихся на лечении в стационаре ГБУЗ Архангельской области ""КПНД""")</f>
        <v>Оказание услуг по организации лечебного питания пациентов, находящихся на лечении в стационаре ГБУЗ Архангельской области "КПНД"</v>
      </c>
      <c r="G5770" s="22" t="s">
        <v>214</v>
      </c>
      <c r="H5770" s="22" t="s">
        <v>8894</v>
      </c>
      <c r="I5770" s="26">
        <v>43703.441724536999</v>
      </c>
      <c r="J5770" s="23" t="str">
        <f>HYPERLINK("https://www.spark-marketing.ru/Card/Person/80061", "ООО ""АРХАНГЕЛЬСКИЙ ТРЕСТ СТОЛОВЫХ""")</f>
        <v>ООО "АРХАНГЕЛЬСКИЙ ТРЕСТ СТОЛОВЫХ"</v>
      </c>
      <c r="K5770" s="24" t="s">
        <v>8895</v>
      </c>
      <c r="L5770" s="28" t="s">
        <v>51</v>
      </c>
      <c r="M5770" s="25">
        <v>7920500</v>
      </c>
      <c r="N5770" s="27">
        <v>0</v>
      </c>
    </row>
    <row r="5771" spans="1:14" x14ac:dyDescent="0.15">
      <c r="A5771" s="23" t="str">
        <f>HYPERLINK("https://www.spark-marketing.ru/Card/Person/124968", "ОМВД РОССИИ ПО СУЗДАЛЬСКОМУ РАЙОНУ")</f>
        <v>ОМВД РОССИИ ПО СУЗДАЛЬСКОМУ РАЙОНУ</v>
      </c>
      <c r="B5771" s="24" t="s">
        <v>8896</v>
      </c>
      <c r="C5771" s="25">
        <v>806284</v>
      </c>
      <c r="D5771" s="22" t="s">
        <v>8897</v>
      </c>
      <c r="E5771" s="22" t="s">
        <v>48</v>
      </c>
      <c r="F5771" s="23" t="str">
        <f>HYPERLINK("https://www.spark-marketing.ru/Card/Lot/73017051", "закупка услуг по организации трехразового горячего питания лиц содержащихся в изоляторе временного содержания и камере административного содержания ОМВД России по Суздальскому району")</f>
        <v>закупка услуг по организации трехразового горячего питания лиц содержащихся в изоляторе временного содержания и камере административного содержания ОМВД России по Суздальскому району</v>
      </c>
      <c r="G5771" s="22" t="s">
        <v>663</v>
      </c>
      <c r="H5771" s="22" t="s">
        <v>8898</v>
      </c>
      <c r="I5771" s="26">
        <v>43703.418749999997</v>
      </c>
      <c r="J5771" s="23" t="str">
        <f>HYPERLINK("https://www.spark-marketing.ru/Card/Person/6275921", "Антропова Корина")</f>
        <v>Антропова Корина</v>
      </c>
      <c r="K5771" s="24" t="s">
        <v>8899</v>
      </c>
      <c r="L5771" s="22" t="s">
        <v>10</v>
      </c>
      <c r="M5771" s="28" t="s">
        <v>51</v>
      </c>
      <c r="N5771" s="28" t="s">
        <v>51</v>
      </c>
    </row>
    <row r="5772" spans="1:14" x14ac:dyDescent="0.15">
      <c r="A5772" s="23" t="str">
        <f>HYPERLINK("https://www.spark-marketing.ru/Card/Person/14941", "ФГКУ ""СК РПСО МЧС РОССИИ""")</f>
        <v>ФГКУ "СК РПСО МЧС РОССИИ"</v>
      </c>
      <c r="B5772" s="24" t="s">
        <v>8900</v>
      </c>
      <c r="C5772" s="25">
        <v>560700</v>
      </c>
      <c r="D5772" s="22" t="s">
        <v>8901</v>
      </c>
      <c r="E5772" s="22" t="s">
        <v>96</v>
      </c>
      <c r="F5772" s="23" t="str">
        <f>HYPERLINK("https://www.spark-marketing.ru/Card/Lot/73018773", "Горячее питание")</f>
        <v>Горячее питание</v>
      </c>
      <c r="G5772" s="22" t="s">
        <v>87</v>
      </c>
      <c r="H5772" s="22" t="s">
        <v>8902</v>
      </c>
      <c r="I5772" s="26">
        <v>43703.373900462997</v>
      </c>
      <c r="J5772" s="23" t="str">
        <f>HYPERLINK("https://www.spark-marketing.ru/Card/Person/1210989", "Кононенко Виктор Иванович")</f>
        <v>Кононенко Виктор Иванович</v>
      </c>
      <c r="K5772" s="24" t="s">
        <v>8903</v>
      </c>
      <c r="L5772" s="22" t="s">
        <v>10</v>
      </c>
      <c r="M5772" s="28" t="s">
        <v>51</v>
      </c>
      <c r="N5772" s="28" t="s">
        <v>51</v>
      </c>
    </row>
    <row r="5773" spans="1:14" x14ac:dyDescent="0.15">
      <c r="A5773" s="23" t="str">
        <f>HYPERLINK("https://www.spark-marketing.ru/Card/Person/1052886", "МБОУ - ШКОЛА № 51 ГОРОДА ОРЛА")</f>
        <v>МБОУ - ШКОЛА № 51 ГОРОДА ОРЛА</v>
      </c>
      <c r="B5773" s="24" t="s">
        <v>8904</v>
      </c>
      <c r="C5773" s="25">
        <v>975200</v>
      </c>
      <c r="D5773" s="22" t="s">
        <v>8905</v>
      </c>
      <c r="E5773" s="22" t="s">
        <v>51</v>
      </c>
      <c r="F5773" s="23" t="str">
        <f>HYPERLINK("https://www.spark-marketing.ru/Card/Lot/73014712",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5773" s="22" t="s">
        <v>1066</v>
      </c>
      <c r="H5773" s="22" t="s">
        <v>2864</v>
      </c>
      <c r="I5773" s="26">
        <v>43700.541782407403</v>
      </c>
      <c r="J5773" s="23" t="str">
        <f>HYPERLINK("https://www.spark-marketing.ru/Card/Person/6690794", "ООО ""ШКОЛЬНОЕ ПИТАНИЕ""")</f>
        <v>ООО "ШКОЛЬНОЕ ПИТАНИЕ"</v>
      </c>
      <c r="K5773" s="24" t="s">
        <v>8906</v>
      </c>
      <c r="L5773" s="22" t="s">
        <v>10</v>
      </c>
      <c r="M5773" s="28" t="s">
        <v>51</v>
      </c>
      <c r="N5773" s="28" t="s">
        <v>51</v>
      </c>
    </row>
    <row r="5774" spans="1:14" x14ac:dyDescent="0.15">
      <c r="A5774" s="23" t="str">
        <f>HYPERLINK("https://www.spark-marketing.ru/Card/Person/1054139", "ОТДЕЛ МВД РОССИИ ПО БАЛАХНИНСКОМУ РАЙОНУ")</f>
        <v>ОТДЕЛ МВД РОССИИ ПО БАЛАХНИНСКОМУ РАЙОНУ</v>
      </c>
      <c r="B5774" s="24" t="s">
        <v>8907</v>
      </c>
      <c r="C5774" s="25">
        <v>1270000</v>
      </c>
      <c r="D5774" s="22" t="s">
        <v>8908</v>
      </c>
      <c r="E5774" s="22" t="s">
        <v>48</v>
      </c>
      <c r="F5774" s="23" t="str">
        <f>HYPERLINK("https://www.spark-marketing.ru/Card/Lot/73014932", "Услуги по обеспечению питанием лиц, содержащихся в специальном приемнике для содержания лиц, подвергнутых административному аресту и комнате для содержания задержанных лиц")</f>
        <v>Услуги по обеспечению питанием лиц, содержащихся в специальном приемнике для содержания лиц, подвергнутых административному аресту и комнате для содержания задержанных лиц</v>
      </c>
      <c r="G5774" s="22" t="s">
        <v>76</v>
      </c>
      <c r="H5774" s="22" t="s">
        <v>8909</v>
      </c>
      <c r="I5774" s="26">
        <v>43703.288032407399</v>
      </c>
      <c r="J5774" s="28" t="s">
        <v>51</v>
      </c>
      <c r="K5774" s="28" t="s">
        <v>51</v>
      </c>
      <c r="L5774" s="28" t="s">
        <v>51</v>
      </c>
      <c r="M5774" s="28" t="s">
        <v>51</v>
      </c>
      <c r="N5774" s="28" t="s">
        <v>51</v>
      </c>
    </row>
    <row r="5775" spans="1:14" hidden="1" outlineLevel="1" x14ac:dyDescent="0.2">
      <c r="A5775" s="23" t="str">
        <f>HYPERLINK("https://www.spark-marketing.ru/Card/Person/1054139", "ОТДЕЛ МВД РОССИИ ПО БАЛАХНИНСКОМУ РАЙОНУ")</f>
        <v>ОТДЕЛ МВД РОССИИ ПО БАЛАХНИНСКОМУ РАЙОНУ</v>
      </c>
      <c r="B5775" s="24" t="s">
        <v>8907</v>
      </c>
      <c r="C5775" s="25">
        <v>1270000</v>
      </c>
      <c r="D5775" s="22" t="s">
        <v>8908</v>
      </c>
      <c r="E5775" s="22" t="s">
        <v>48</v>
      </c>
      <c r="F5775" s="23" t="str">
        <f>HYPERLINK("https://www.spark-marketing.ru/Card/Lot/73014932", "Услуги по обеспечению питанием лиц, содержащихся в специальном приемнике для содержания лиц, подвергнутых административному аресту и комнате для содержания задержанных лиц")</f>
        <v>Услуги по обеспечению питанием лиц, содержащихся в специальном приемнике для содержания лиц, подвергнутых административному аресту и комнате для содержания задержанных лиц</v>
      </c>
      <c r="G5775" s="22" t="s">
        <v>76</v>
      </c>
      <c r="H5775" s="22" t="s">
        <v>8909</v>
      </c>
      <c r="I5775" s="26">
        <v>43703.288032407399</v>
      </c>
      <c r="J5775" s="23" t="str">
        <f>HYPERLINK("https://www.spark-marketing.ru/Card/Person/520306", "Штейман Григорий Зольевич")</f>
        <v>Штейман Григорий Зольевич</v>
      </c>
      <c r="K5775" s="24" t="s">
        <v>8910</v>
      </c>
      <c r="L5775" s="28" t="s">
        <v>51</v>
      </c>
      <c r="M5775" s="25">
        <v>542.20000000000005</v>
      </c>
      <c r="N5775" s="27">
        <v>0.99957307086614178</v>
      </c>
    </row>
    <row r="5776" spans="1:14" ht="12.75" hidden="1" outlineLevel="1" x14ac:dyDescent="0.2">
      <c r="A5776" s="23" t="str">
        <f>HYPERLINK("https://www.spark-marketing.ru/Card/Person/1054139", "ОТДЕЛ МВД РОССИИ ПО БАЛАХНИНСКОМУ РАЙОНУ")</f>
        <v>ОТДЕЛ МВД РОССИИ ПО БАЛАХНИНСКОМУ РАЙОНУ</v>
      </c>
      <c r="B5776" s="24" t="s">
        <v>8907</v>
      </c>
      <c r="C5776" s="25">
        <v>1270000</v>
      </c>
      <c r="D5776" s="22" t="s">
        <v>8908</v>
      </c>
      <c r="E5776" s="22" t="s">
        <v>48</v>
      </c>
      <c r="F5776" s="23" t="str">
        <f>HYPERLINK("https://www.spark-marketing.ru/Card/Lot/73014932", "Услуги по обеспечению питанием лиц, содержащихся в специальном приемнике для содержания лиц, подвергнутых административному аресту и комнате для содержания задержанных лиц")</f>
        <v>Услуги по обеспечению питанием лиц, содержащихся в специальном приемнике для содержания лиц, подвергнутых административному аресту и комнате для содержания задержанных лиц</v>
      </c>
      <c r="G5776" s="22" t="s">
        <v>76</v>
      </c>
      <c r="H5776" s="22" t="s">
        <v>8909</v>
      </c>
      <c r="I5776" s="26">
        <v>43703.288032407399</v>
      </c>
      <c r="J5776" s="23" t="str">
        <f>HYPERLINK("https://www.spark-marketing.ru/Card/Person/6698741", "Штейман Михаил Григорьевич")</f>
        <v>Штейман Михаил Григорьевич</v>
      </c>
      <c r="K5776" s="24" t="s">
        <v>8911</v>
      </c>
      <c r="L5776" s="22" t="s">
        <v>10</v>
      </c>
      <c r="M5776" s="25">
        <v>539.48</v>
      </c>
      <c r="N5776" s="27">
        <v>0.99957521259842519</v>
      </c>
    </row>
    <row r="5777" spans="1:14" x14ac:dyDescent="0.15">
      <c r="A5777" s="23" t="str">
        <f>HYPERLINK("https://www.spark-marketing.ru/Card/Person/140833", "ОТДЕЛ МВД РОССИИ ПО СОЛИКАМСКОМУ ГОРОДСКОМУ ОКРУГУ")</f>
        <v>ОТДЕЛ МВД РОССИИ ПО СОЛИКАМСКОМУ ГОРОДСКОМУ ОКРУГУ</v>
      </c>
      <c r="B5777" s="24" t="s">
        <v>8912</v>
      </c>
      <c r="C5777" s="25">
        <v>1694900</v>
      </c>
      <c r="D5777" s="22" t="s">
        <v>8913</v>
      </c>
      <c r="E5777" s="22" t="s">
        <v>48</v>
      </c>
      <c r="F5777" s="23" t="str">
        <f>HYPERLINK("https://www.spark-marketing.ru/Card/Lot/73011518", "оказание услуг по приготовлению и поставке 3-х разового горячего питания, согласно норм суточного довольствия для лиц, содержащихся в изоляторе временного содержания подозреваемых и обвиняемых, специальном приемнике для содержания лиц, подвергнутых а...")</f>
        <v>оказание услуг по приготовлению и поставке 3-х разового горячего питания, согласно норм суточного довольствия для лиц, содержащихся в изоляторе временного содержания подозреваемых и обвиняемых, специальном приемнике для содержания лиц, подвергнутых а...</v>
      </c>
      <c r="G5777" s="22" t="s">
        <v>153</v>
      </c>
      <c r="H5777" s="22" t="s">
        <v>3434</v>
      </c>
      <c r="I5777" s="26">
        <v>43700.699756944399</v>
      </c>
      <c r="J5777" s="23" t="str">
        <f>HYPERLINK("https://www.spark-marketing.ru/Card/Person/52326", "Токарева Оксана Вячеславовна")</f>
        <v>Токарева Оксана Вячеславовна</v>
      </c>
      <c r="K5777" s="24" t="s">
        <v>1845</v>
      </c>
      <c r="L5777" s="22" t="s">
        <v>10</v>
      </c>
      <c r="M5777" s="28" t="s">
        <v>51</v>
      </c>
      <c r="N5777" s="28" t="s">
        <v>51</v>
      </c>
    </row>
    <row r="5778" spans="1:14" x14ac:dyDescent="0.15">
      <c r="A5778" s="23" t="str">
        <f>HYPERLINK("https://www.spark-marketing.ru/Card/Person/161248", "ОТДЕЛ МВД РОССИИ ПО РУЗАЕВСКОМУ МУНИЦИПАЛЬНОМУ РАЙОНУ")</f>
        <v>ОТДЕЛ МВД РОССИИ ПО РУЗАЕВСКОМУ МУНИЦИПАЛЬНОМУ РАЙОНУ</v>
      </c>
      <c r="B5778" s="24" t="s">
        <v>8914</v>
      </c>
      <c r="C5778" s="25">
        <v>280800</v>
      </c>
      <c r="D5778" s="22" t="s">
        <v>8915</v>
      </c>
      <c r="E5778" s="22" t="s">
        <v>48</v>
      </c>
      <c r="F5778" s="23" t="str">
        <f>HYPERLINK("https://www.spark-marketing.ru/Card/Lot/73013637", "Оказание услуг по организации питания (приготовлению и доставке) для ИВС, 1404 усл. ед")</f>
        <v>Оказание услуг по организации питания (приготовлению и доставке) для ИВС, 1404 усл. ед</v>
      </c>
      <c r="G5778" s="22" t="s">
        <v>277</v>
      </c>
      <c r="H5778" s="22" t="s">
        <v>8916</v>
      </c>
      <c r="I5778" s="26">
        <v>43703.398368055598</v>
      </c>
      <c r="J5778" s="28" t="s">
        <v>51</v>
      </c>
      <c r="K5778" s="28" t="s">
        <v>51</v>
      </c>
      <c r="L5778" s="28" t="s">
        <v>51</v>
      </c>
      <c r="M5778" s="28" t="s">
        <v>51</v>
      </c>
      <c r="N5778" s="28" t="s">
        <v>51</v>
      </c>
    </row>
    <row r="5779" spans="1:14" x14ac:dyDescent="0.15">
      <c r="A5779" s="23" t="str">
        <f>HYPERLINK("https://www.spark-marketing.ru/Card/Person/1956253", "ООО ""РН-СНАБЖЕНИЕ""")</f>
        <v>ООО "РН-СНАБЖЕНИЕ"</v>
      </c>
      <c r="B5779" s="24" t="s">
        <v>1072</v>
      </c>
      <c r="C5779" s="28" t="s">
        <v>51</v>
      </c>
      <c r="D5779" s="22" t="s">
        <v>8917</v>
      </c>
      <c r="E5779" s="22" t="s">
        <v>362</v>
      </c>
      <c r="F5779" s="23" t="str">
        <f>HYPERLINK("https://www.spark-marketing.ru/Card/Lot/73014320", "Оказание услуг по организации общественного питания в ОП ""Пурпе""")</f>
        <v>Оказание услуг по организации общественного питания в ОП "Пурпе"</v>
      </c>
      <c r="G5779" s="22" t="s">
        <v>97</v>
      </c>
      <c r="H5779" s="22" t="s">
        <v>366</v>
      </c>
      <c r="I5779" s="26">
        <v>43703.406944444403</v>
      </c>
      <c r="J5779" s="28" t="s">
        <v>51</v>
      </c>
      <c r="K5779" s="28" t="s">
        <v>51</v>
      </c>
      <c r="L5779" s="28" t="s">
        <v>51</v>
      </c>
      <c r="M5779" s="28" t="s">
        <v>51</v>
      </c>
      <c r="N5779" s="28" t="s">
        <v>51</v>
      </c>
    </row>
    <row r="5780" spans="1:14" x14ac:dyDescent="0.15">
      <c r="A5780" s="23" t="str">
        <f>HYPERLINK("https://www.spark-marketing.ru/Card/Person/4371673", "ГБПОУ ВО КМК")</f>
        <v>ГБПОУ ВО КМК</v>
      </c>
      <c r="B5780" s="24" t="s">
        <v>8918</v>
      </c>
      <c r="C5780" s="25">
        <v>489825</v>
      </c>
      <c r="D5780" s="22" t="s">
        <v>8919</v>
      </c>
      <c r="E5780" s="22" t="s">
        <v>48</v>
      </c>
      <c r="F5780" s="23" t="str">
        <f>HYPERLINK("https://www.spark-marketing.ru/Card/Lot/73014480",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5780" s="22" t="s">
        <v>663</v>
      </c>
      <c r="H5780" s="22" t="s">
        <v>8920</v>
      </c>
      <c r="I5780" s="26">
        <v>43700.759976851798</v>
      </c>
      <c r="J5780" s="28" t="s">
        <v>51</v>
      </c>
      <c r="K5780" s="28" t="s">
        <v>51</v>
      </c>
      <c r="L5780" s="28" t="s">
        <v>51</v>
      </c>
      <c r="M5780" s="28" t="s">
        <v>51</v>
      </c>
      <c r="N5780" s="28" t="s">
        <v>51</v>
      </c>
    </row>
    <row r="5781" spans="1:14" hidden="1" outlineLevel="1" x14ac:dyDescent="0.2">
      <c r="A5781" s="23" t="str">
        <f>HYPERLINK("https://www.spark-marketing.ru/Card/Person/4371673", "ГБПОУ ВО КМК")</f>
        <v>ГБПОУ ВО КМК</v>
      </c>
      <c r="B5781" s="24" t="s">
        <v>8918</v>
      </c>
      <c r="C5781" s="25">
        <v>489825</v>
      </c>
      <c r="D5781" s="22" t="s">
        <v>8919</v>
      </c>
      <c r="E5781" s="22" t="s">
        <v>48</v>
      </c>
      <c r="F5781" s="23" t="str">
        <f>HYPERLINK("https://www.spark-marketing.ru/Card/Lot/73014480",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5781" s="22" t="s">
        <v>663</v>
      </c>
      <c r="H5781" s="22" t="s">
        <v>8920</v>
      </c>
      <c r="I5781" s="26">
        <v>43700.759976851798</v>
      </c>
      <c r="J5781" s="23" t="str">
        <f>HYPERLINK("https://www.spark-marketing.ru/Card/Person/4401310", "Макарова Елена Александровна")</f>
        <v>Макарова Елена Александровна</v>
      </c>
      <c r="K5781" s="24" t="s">
        <v>6555</v>
      </c>
      <c r="L5781" s="28" t="s">
        <v>51</v>
      </c>
      <c r="M5781" s="25">
        <v>433495.06</v>
      </c>
      <c r="N5781" s="27">
        <v>0.11500013270045424</v>
      </c>
    </row>
    <row r="5782" spans="1:14" hidden="1" outlineLevel="1" x14ac:dyDescent="0.2">
      <c r="A5782" s="23" t="str">
        <f>HYPERLINK("https://www.spark-marketing.ru/Card/Person/4371673", "ГБПОУ ВО КМК")</f>
        <v>ГБПОУ ВО КМК</v>
      </c>
      <c r="B5782" s="24" t="s">
        <v>8918</v>
      </c>
      <c r="C5782" s="25">
        <v>489825</v>
      </c>
      <c r="D5782" s="22" t="s">
        <v>8919</v>
      </c>
      <c r="E5782" s="22" t="s">
        <v>48</v>
      </c>
      <c r="F5782" s="23" t="str">
        <f>HYPERLINK("https://www.spark-marketing.ru/Card/Lot/73014480",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5782" s="22" t="s">
        <v>663</v>
      </c>
      <c r="H5782" s="22" t="s">
        <v>8920</v>
      </c>
      <c r="I5782" s="26">
        <v>43700.759976851798</v>
      </c>
      <c r="J5782" s="23" t="str">
        <f>HYPERLINK("https://www.spark-marketing.ru/Card/Person/5785323", "Семенов Сергей Николаевич")</f>
        <v>Семенов Сергей Николаевич</v>
      </c>
      <c r="K5782" s="24" t="s">
        <v>6744</v>
      </c>
      <c r="L5782" s="28" t="s">
        <v>51</v>
      </c>
      <c r="M5782" s="25">
        <v>381465.84</v>
      </c>
      <c r="N5782" s="27">
        <v>0.22122015005359058</v>
      </c>
    </row>
    <row r="5783" spans="1:14" ht="12.75" hidden="1" outlineLevel="1" x14ac:dyDescent="0.2">
      <c r="A5783" s="23" t="str">
        <f>HYPERLINK("https://www.spark-marketing.ru/Card/Person/4371673", "ГБПОУ ВО КМК")</f>
        <v>ГБПОУ ВО КМК</v>
      </c>
      <c r="B5783" s="24" t="s">
        <v>8918</v>
      </c>
      <c r="C5783" s="25">
        <v>489825</v>
      </c>
      <c r="D5783" s="22" t="s">
        <v>8919</v>
      </c>
      <c r="E5783" s="22" t="s">
        <v>48</v>
      </c>
      <c r="F5783" s="23" t="str">
        <f>HYPERLINK("https://www.spark-marketing.ru/Card/Lot/73014480",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5783" s="22" t="s">
        <v>663</v>
      </c>
      <c r="H5783" s="22" t="s">
        <v>8920</v>
      </c>
      <c r="I5783" s="26">
        <v>43700.759976851798</v>
      </c>
      <c r="J5783" s="23" t="str">
        <f>HYPERLINK("https://www.spark-marketing.ru/Card/Person/6699803", "Фролова Надежда Васильевна")</f>
        <v>Фролова Надежда Васильевна</v>
      </c>
      <c r="K5783" s="24" t="s">
        <v>8921</v>
      </c>
      <c r="L5783" s="22" t="s">
        <v>10</v>
      </c>
      <c r="M5783" s="25">
        <v>356974.59</v>
      </c>
      <c r="N5783" s="27">
        <v>0.27122015005359057</v>
      </c>
    </row>
    <row r="5784" spans="1:14" x14ac:dyDescent="0.15">
      <c r="A5784" s="23" t="str">
        <f>HYPERLINK("https://www.spark-marketing.ru/Card/Person/1006433", "ОМВД РОССИИ ПО КАЛАЧИНСКОМУ РАЙОНУ")</f>
        <v>ОМВД РОССИИ ПО КАЛАЧИНСКОМУ РАЙОНУ</v>
      </c>
      <c r="B5784" s="24" t="s">
        <v>8547</v>
      </c>
      <c r="C5784" s="25">
        <v>296217</v>
      </c>
      <c r="D5784" s="22" t="s">
        <v>8922</v>
      </c>
      <c r="E5784" s="22" t="s">
        <v>48</v>
      </c>
      <c r="F5784" s="23" t="str">
        <f>HYPERLINK("https://www.spark-marketing.ru/Card/Lot/73012582",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5784" s="22" t="s">
        <v>487</v>
      </c>
      <c r="H5784" s="22" t="s">
        <v>8549</v>
      </c>
      <c r="I5784" s="26">
        <v>43703.381979166697</v>
      </c>
      <c r="J5784" s="28" t="s">
        <v>51</v>
      </c>
      <c r="K5784" s="28" t="s">
        <v>51</v>
      </c>
      <c r="L5784" s="28" t="s">
        <v>51</v>
      </c>
      <c r="M5784" s="28" t="s">
        <v>51</v>
      </c>
      <c r="N5784" s="28" t="s">
        <v>51</v>
      </c>
    </row>
    <row r="5785" spans="1:14" x14ac:dyDescent="0.15">
      <c r="A5785" s="23" t="str">
        <f>HYPERLINK("https://www.spark-marketing.ru/Card/Person/161248", "ОТДЕЛ МВД РОССИИ ПО РУЗАЕВСКОМУ МУНИЦИПАЛЬНОМУ РАЙОНУ")</f>
        <v>ОТДЕЛ МВД РОССИИ ПО РУЗАЕВСКОМУ МУНИЦИПАЛЬНОМУ РАЙОНУ</v>
      </c>
      <c r="B5785" s="24" t="s">
        <v>8914</v>
      </c>
      <c r="C5785" s="25">
        <v>280980</v>
      </c>
      <c r="D5785" s="22" t="s">
        <v>8923</v>
      </c>
      <c r="E5785" s="22" t="s">
        <v>48</v>
      </c>
      <c r="F5785" s="23" t="str">
        <f>HYPERLINK("https://www.spark-marketing.ru/Card/Lot/73013692", "Оказание услуг по организации питания (приготовлению и доставке) для ИВС, 1338 усл. ед")</f>
        <v>Оказание услуг по организации питания (приготовлению и доставке) для ИВС, 1338 усл. ед</v>
      </c>
      <c r="G5785" s="22" t="s">
        <v>277</v>
      </c>
      <c r="H5785" s="22" t="s">
        <v>8916</v>
      </c>
      <c r="I5785" s="26">
        <v>43703.401574074102</v>
      </c>
      <c r="J5785" s="28" t="s">
        <v>51</v>
      </c>
      <c r="K5785" s="28" t="s">
        <v>51</v>
      </c>
      <c r="L5785" s="28" t="s">
        <v>51</v>
      </c>
      <c r="M5785" s="28" t="s">
        <v>51</v>
      </c>
      <c r="N5785" s="28" t="s">
        <v>51</v>
      </c>
    </row>
    <row r="5786" spans="1:14" ht="12.75" x14ac:dyDescent="0.2">
      <c r="A5786" s="23" t="str">
        <f>HYPERLINK("https://www.spark-marketing.ru/Card/Person/21039", "ФКУ ""ЦХИСО ГУ МВД РОССИИ ПО САРАТОВСКОЙ ОБЛАСТИ""")</f>
        <v>ФКУ "ЦХИСО ГУ МВД РОССИИ ПО САРАТОВСКОЙ ОБЛАСТИ"</v>
      </c>
      <c r="B5786" s="24" t="s">
        <v>1991</v>
      </c>
      <c r="C5786" s="25">
        <v>500000</v>
      </c>
      <c r="D5786" s="22" t="s">
        <v>8924</v>
      </c>
      <c r="E5786" s="22" t="s">
        <v>48</v>
      </c>
      <c r="F5786" s="23" t="str">
        <f>HYPERLINK("https://www.spark-marketing.ru/Card/Lot/73014469", "Оказание услуг по организации общественного питания")</f>
        <v>Оказание услуг по организации общественного питания</v>
      </c>
      <c r="G5786" s="22" t="s">
        <v>351</v>
      </c>
      <c r="H5786" s="22" t="s">
        <v>351</v>
      </c>
      <c r="I5786" s="26">
        <v>43702.61</v>
      </c>
      <c r="J5786" s="23" t="str">
        <f>HYPERLINK("https://www.spark-marketing.ru/Card/Person/104393", "Максимов Александр Владимирович")</f>
        <v>Максимов Александр Владимирович</v>
      </c>
      <c r="K5786" s="24" t="s">
        <v>1993</v>
      </c>
      <c r="L5786" s="22" t="s">
        <v>10</v>
      </c>
      <c r="M5786" s="25">
        <v>332</v>
      </c>
      <c r="N5786" s="27">
        <v>0.999336</v>
      </c>
    </row>
    <row r="5787" spans="1:14" x14ac:dyDescent="0.15">
      <c r="A5787" s="23" t="str">
        <f>HYPERLINK("https://www.spark-marketing.ru/Card/Person/49875", "МО МВД РОССИИ ""ТОБОЛЬСКИЙ""")</f>
        <v>МО МВД РОССИИ "ТОБОЛЬСКИЙ"</v>
      </c>
      <c r="B5787" s="24" t="s">
        <v>4710</v>
      </c>
      <c r="C5787" s="25">
        <v>772524</v>
      </c>
      <c r="D5787" s="22" t="s">
        <v>8925</v>
      </c>
      <c r="E5787" s="22" t="s">
        <v>48</v>
      </c>
      <c r="F5787" s="23" t="str">
        <f>HYPERLINK("https://www.spark-marketing.ru/Card/Lot/73011915", "Оказание услуг по  обеспечению трехразовым питанием лиц, содержащихся в изоляторе временного содержания МО МВД России ""Тобольский""")</f>
        <v>Оказание услуг по  обеспечению трехразовым питанием лиц, содержащихся в изоляторе временного содержания МО МВД России "Тобольский"</v>
      </c>
      <c r="G5787" s="22" t="s">
        <v>766</v>
      </c>
      <c r="H5787" s="22" t="s">
        <v>4712</v>
      </c>
      <c r="I5787" s="26">
        <v>43703.374780092599</v>
      </c>
      <c r="J5787" s="23" t="str">
        <f>HYPERLINK("https://www.spark-marketing.ru/Card/Person/439397", "ФКУ ИК-13 УФСИН РОССИИ ПО ТЮМЕНСКОЙ ОБЛАСТИ")</f>
        <v>ФКУ ИК-13 УФСИН РОССИИ ПО ТЮМЕНСКОЙ ОБЛАСТИ</v>
      </c>
      <c r="K5787" s="24" t="s">
        <v>4713</v>
      </c>
      <c r="L5787" s="22" t="s">
        <v>10</v>
      </c>
      <c r="M5787" s="28" t="s">
        <v>51</v>
      </c>
      <c r="N5787" s="28" t="s">
        <v>51</v>
      </c>
    </row>
    <row r="5788" spans="1:14" x14ac:dyDescent="0.15">
      <c r="A5788" s="23" t="str">
        <f>HYPERLINK("https://www.spark-marketing.ru/Card/Person/140833", "ОТДЕЛ МВД РОССИИ ПО СОЛИКАМСКОМУ ГОРОДСКОМУ ОКРУГУ")</f>
        <v>ОТДЕЛ МВД РОССИИ ПО СОЛИКАМСКОМУ ГОРОДСКОМУ ОКРУГУ</v>
      </c>
      <c r="B5788" s="24" t="s">
        <v>8912</v>
      </c>
      <c r="C5788" s="25">
        <v>1694900</v>
      </c>
      <c r="D5788" s="22" t="s">
        <v>8926</v>
      </c>
      <c r="E5788" s="22" t="s">
        <v>48</v>
      </c>
      <c r="F5788" s="23" t="str">
        <f>HYPERLINK("https://www.spark-marketing.ru/Card/Lot/73011589", "оказание услуг по приготовлению и поставке 3-х разового горячего питания, согласно норм суточного довольствия для лиц, содержащихся в изоляторе временного содержания подозреваемых и обвиняемых, специальном приемнике для содержания лиц, подвергнутых а...")</f>
        <v>оказание услуг по приготовлению и поставке 3-х разового горячего питания, согласно норм суточного довольствия для лиц, содержащихся в изоляторе временного содержания подозреваемых и обвиняемых, специальном приемнике для содержания лиц, подвергнутых а...</v>
      </c>
      <c r="G5788" s="22" t="s">
        <v>153</v>
      </c>
      <c r="H5788" s="22" t="s">
        <v>3434</v>
      </c>
      <c r="I5788" s="26">
        <v>43700.698564814797</v>
      </c>
      <c r="J5788" s="23" t="str">
        <f>HYPERLINK("https://www.spark-marketing.ru/Card/Person/52326", "Токарева Оксана Вячеславовна")</f>
        <v>Токарева Оксана Вячеславовна</v>
      </c>
      <c r="K5788" s="24" t="s">
        <v>1845</v>
      </c>
      <c r="L5788" s="22" t="s">
        <v>10</v>
      </c>
      <c r="M5788" s="28" t="s">
        <v>51</v>
      </c>
      <c r="N5788" s="28" t="s">
        <v>51</v>
      </c>
    </row>
    <row r="5789" spans="1:14" x14ac:dyDescent="0.15">
      <c r="A5789" s="23" t="str">
        <f>HYPERLINK("https://www.spark-marketing.ru/Card/Person/1025560", "МБОУ ЛИЦЕЙ №21")</f>
        <v>МБОУ ЛИЦЕЙ №21</v>
      </c>
      <c r="B5789" s="24" t="s">
        <v>8927</v>
      </c>
      <c r="C5789" s="25">
        <v>702472</v>
      </c>
      <c r="D5789" s="22" t="s">
        <v>8928</v>
      </c>
      <c r="E5789" s="22" t="s">
        <v>51</v>
      </c>
      <c r="F5789" s="23" t="str">
        <f>HYPERLINK("https://www.spark-marketing.ru/Card/Lot/73014713",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5789" s="22" t="s">
        <v>1066</v>
      </c>
      <c r="H5789" s="22" t="s">
        <v>2864</v>
      </c>
      <c r="I5789" s="26">
        <v>43700.544212963003</v>
      </c>
      <c r="J5789" s="28" t="s">
        <v>51</v>
      </c>
      <c r="K5789" s="28" t="s">
        <v>51</v>
      </c>
      <c r="L5789" s="28" t="s">
        <v>51</v>
      </c>
      <c r="M5789" s="28" t="s">
        <v>51</v>
      </c>
      <c r="N5789" s="28" t="s">
        <v>51</v>
      </c>
    </row>
    <row r="5790" spans="1:14" x14ac:dyDescent="0.15">
      <c r="A5790" s="23" t="str">
        <f>HYPERLINK("https://www.spark-marketing.ru/Card/Person/73259", "ОБПОУ ""КАТК""")</f>
        <v>ОБПОУ "КАТК"</v>
      </c>
      <c r="B5790" s="24" t="s">
        <v>1345</v>
      </c>
      <c r="C5790" s="25">
        <v>498815.7</v>
      </c>
      <c r="D5790" s="22" t="s">
        <v>8929</v>
      </c>
      <c r="E5790" s="22" t="s">
        <v>48</v>
      </c>
      <c r="F5790" s="23" t="str">
        <f>HYPERLINK("https://www.spark-marketing.ru/Card/Lot/73014948", "Оказание услуг по организации горячего питания детей с 12 лет и старше")</f>
        <v>Оказание услуг по организации горячего питания детей с 12 лет и старше</v>
      </c>
      <c r="G5790" s="22" t="s">
        <v>1111</v>
      </c>
      <c r="H5790" s="22" t="s">
        <v>1112</v>
      </c>
      <c r="I5790" s="26">
        <v>43703.369409722203</v>
      </c>
      <c r="J5790" s="23" t="str">
        <f>HYPERLINK("https://www.spark-marketing.ru/Card/Person/667973", "Евдокимов Олег Александрович")</f>
        <v>Евдокимов Олег Александрович</v>
      </c>
      <c r="K5790" s="24" t="s">
        <v>8930</v>
      </c>
      <c r="L5790" s="28" t="s">
        <v>51</v>
      </c>
      <c r="M5790" s="28" t="s">
        <v>51</v>
      </c>
      <c r="N5790" s="28" t="s">
        <v>51</v>
      </c>
    </row>
    <row r="5791" spans="1:14" ht="12.75" hidden="1" outlineLevel="1" x14ac:dyDescent="0.2">
      <c r="A5791" s="23" t="str">
        <f>HYPERLINK("https://www.spark-marketing.ru/Card/Person/73259", "ОБПОУ ""КАТК""")</f>
        <v>ОБПОУ "КАТК"</v>
      </c>
      <c r="B5791" s="24" t="s">
        <v>1345</v>
      </c>
      <c r="C5791" s="25">
        <v>498815.7</v>
      </c>
      <c r="D5791" s="22" t="s">
        <v>8929</v>
      </c>
      <c r="E5791" s="22" t="s">
        <v>48</v>
      </c>
      <c r="F5791" s="23" t="str">
        <f>HYPERLINK("https://www.spark-marketing.ru/Card/Lot/73014948", "Оказание услуг по организации горячего питания детей с 12 лет и старше")</f>
        <v>Оказание услуг по организации горячего питания детей с 12 лет и старше</v>
      </c>
      <c r="G5791" s="22" t="s">
        <v>1111</v>
      </c>
      <c r="H5791" s="22" t="s">
        <v>1112</v>
      </c>
      <c r="I5791" s="26">
        <v>43703.369409722203</v>
      </c>
      <c r="J5791" s="23" t="str">
        <f>HYPERLINK("https://www.spark-marketing.ru/Card/Person/667973", "Евдокимов Олег Александрович")</f>
        <v>Евдокимов Олег Александрович</v>
      </c>
      <c r="K5791" s="24" t="s">
        <v>8930</v>
      </c>
      <c r="L5791" s="22" t="s">
        <v>10</v>
      </c>
      <c r="M5791" s="25">
        <v>496321.62</v>
      </c>
      <c r="N5791" s="27">
        <v>5.0000030071226708E-3</v>
      </c>
    </row>
    <row r="5792" spans="1:14" x14ac:dyDescent="0.15">
      <c r="A5792" s="23" t="str">
        <f>HYPERLINK("https://www.spark-marketing.ru/Card/Person/1006519", "МБОУ - ШКОЛА №36 ГОРОДА ОРЛА")</f>
        <v>МБОУ - ШКОЛА №36 ГОРОДА ОРЛА</v>
      </c>
      <c r="B5792" s="24" t="s">
        <v>8931</v>
      </c>
      <c r="C5792" s="25">
        <v>339820</v>
      </c>
      <c r="D5792" s="22" t="s">
        <v>8932</v>
      </c>
      <c r="E5792" s="22" t="s">
        <v>51</v>
      </c>
      <c r="F5792" s="23" t="str">
        <f>HYPERLINK("https://www.spark-marketing.ru/Card/Lot/73013329",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5792" s="22" t="s">
        <v>1066</v>
      </c>
      <c r="H5792" s="22" t="s">
        <v>2864</v>
      </c>
      <c r="I5792" s="26">
        <v>43700.5457060185</v>
      </c>
      <c r="J5792" s="28" t="s">
        <v>51</v>
      </c>
      <c r="K5792" s="28" t="s">
        <v>51</v>
      </c>
      <c r="L5792" s="28" t="s">
        <v>51</v>
      </c>
      <c r="M5792" s="28" t="s">
        <v>51</v>
      </c>
      <c r="N5792" s="28" t="s">
        <v>51</v>
      </c>
    </row>
    <row r="5793" spans="1:14" x14ac:dyDescent="0.15">
      <c r="A5793" s="23" t="str">
        <f>HYPERLINK("https://www.spark-marketing.ru/Card/Person/6223791", "ОМВД РОССИИ ПО ТУНГОКОЧЕНСКОМУ РАЙОНУ")</f>
        <v>ОМВД РОССИИ ПО ТУНГОКОЧЕНСКОМУ РАЙОНУ</v>
      </c>
      <c r="B5793" s="24" t="s">
        <v>8933</v>
      </c>
      <c r="C5793" s="25">
        <v>934815</v>
      </c>
      <c r="D5793" s="22" t="s">
        <v>8934</v>
      </c>
      <c r="E5793" s="22" t="s">
        <v>48</v>
      </c>
      <c r="F5793" s="23" t="str">
        <f>HYPERLINK("https://www.spark-marketing.ru/Card/Lot/73009884", "услуга по приготовлению и поставке горячего трехразового питания для лиц содержащихся в ИВС")</f>
        <v>услуга по приготовлению и поставке горячего трехразового питания для лиц содержащихся в ИВС</v>
      </c>
      <c r="G5793" s="22" t="s">
        <v>228</v>
      </c>
      <c r="H5793" s="22" t="s">
        <v>8935</v>
      </c>
      <c r="I5793" s="26">
        <v>43702.473958333299</v>
      </c>
      <c r="J5793" s="23" t="str">
        <f>HYPERLINK("https://www.spark-marketing.ru/Card/Person/979531", "Калгин Юрий Алексеевич")</f>
        <v>Калгин Юрий Алексеевич</v>
      </c>
      <c r="K5793" s="24" t="s">
        <v>8936</v>
      </c>
      <c r="L5793" s="22" t="s">
        <v>10</v>
      </c>
      <c r="M5793" s="28" t="s">
        <v>51</v>
      </c>
      <c r="N5793" s="28" t="s">
        <v>51</v>
      </c>
    </row>
    <row r="5794" spans="1:14" x14ac:dyDescent="0.15">
      <c r="A5794" s="23" t="str">
        <f>HYPERLINK("https://www.spark-marketing.ru/Card/Person/1314875", "ОТДЕЛЕНИЕ МВД РОССИИ ПО КОЛЫВАНСКОМУ РАЙОНУ")</f>
        <v>ОТДЕЛЕНИЕ МВД РОССИИ ПО КОЛЫВАНСКОМУ РАЙОНУ</v>
      </c>
      <c r="B5794" s="24" t="s">
        <v>8937</v>
      </c>
      <c r="C5794" s="25">
        <v>150000</v>
      </c>
      <c r="D5794" s="22" t="s">
        <v>8938</v>
      </c>
      <c r="E5794" s="22" t="s">
        <v>48</v>
      </c>
      <c r="F5794" s="23" t="str">
        <f>HYPERLINK("https://www.spark-marketing.ru/Card/Lot/73011531",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794" s="22" t="s">
        <v>195</v>
      </c>
      <c r="H5794" s="22" t="s">
        <v>8939</v>
      </c>
      <c r="I5794" s="26">
        <v>43703.333124999997</v>
      </c>
      <c r="J5794" s="28" t="s">
        <v>51</v>
      </c>
      <c r="K5794" s="28" t="s">
        <v>51</v>
      </c>
      <c r="L5794" s="28" t="s">
        <v>51</v>
      </c>
      <c r="M5794" s="28" t="s">
        <v>51</v>
      </c>
      <c r="N5794" s="28" t="s">
        <v>51</v>
      </c>
    </row>
    <row r="5795" spans="1:14" x14ac:dyDescent="0.15">
      <c r="A5795" s="23" t="str">
        <f>HYPERLINK("https://www.spark-marketing.ru/Card/Person/1036567", "ОМВД РОССИИ ПО Г. УРАЮ")</f>
        <v>ОМВД РОССИИ ПО Г. УРАЮ</v>
      </c>
      <c r="B5795" s="24" t="s">
        <v>8940</v>
      </c>
      <c r="C5795" s="25">
        <v>44745</v>
      </c>
      <c r="D5795" s="22" t="s">
        <v>8941</v>
      </c>
      <c r="E5795" s="22" t="s">
        <v>96</v>
      </c>
      <c r="F5795" s="23" t="str">
        <f>HYPERLINK("https://www.spark-marketing.ru/Card/Lot/73010766", "Оказание услуг по организации питания (приготовлению и доставке), 100 шт")</f>
        <v>Оказание услуг по организации питания (приготовлению и доставке), 100 шт</v>
      </c>
      <c r="G5795" s="22" t="s">
        <v>97</v>
      </c>
      <c r="H5795" s="22" t="s">
        <v>8942</v>
      </c>
      <c r="I5795" s="26">
        <v>43703.2833680556</v>
      </c>
      <c r="J5795" s="28" t="s">
        <v>51</v>
      </c>
      <c r="K5795" s="28" t="s">
        <v>51</v>
      </c>
      <c r="L5795" s="28" t="s">
        <v>51</v>
      </c>
      <c r="M5795" s="28" t="s">
        <v>51</v>
      </c>
      <c r="N5795" s="28" t="s">
        <v>51</v>
      </c>
    </row>
    <row r="5796" spans="1:14" x14ac:dyDescent="0.15">
      <c r="A5796" s="23" t="str">
        <f>HYPERLINK("https://www.spark-marketing.ru/Card/Person/1036567", "ОМВД РОССИИ ПО Г. УРАЮ")</f>
        <v>ОМВД РОССИИ ПО Г. УРАЮ</v>
      </c>
      <c r="B5796" s="24" t="s">
        <v>8940</v>
      </c>
      <c r="C5796" s="25">
        <v>44745</v>
      </c>
      <c r="D5796" s="22" t="s">
        <v>8943</v>
      </c>
      <c r="E5796" s="22" t="s">
        <v>96</v>
      </c>
      <c r="F5796" s="23" t="str">
        <f>HYPERLINK("https://www.spark-marketing.ru/Card/Lot/73010772", "Оказание услуг по организации питания (приготовлению и доставке), 100 шт")</f>
        <v>Оказание услуг по организации питания (приготовлению и доставке), 100 шт</v>
      </c>
      <c r="G5796" s="22" t="s">
        <v>97</v>
      </c>
      <c r="H5796" s="22" t="s">
        <v>8942</v>
      </c>
      <c r="I5796" s="26">
        <v>43703.2863657407</v>
      </c>
      <c r="J5796" s="28" t="s">
        <v>51</v>
      </c>
      <c r="K5796" s="28" t="s">
        <v>51</v>
      </c>
      <c r="L5796" s="28" t="s">
        <v>51</v>
      </c>
      <c r="M5796" s="28" t="s">
        <v>51</v>
      </c>
      <c r="N5796" s="28" t="s">
        <v>51</v>
      </c>
    </row>
    <row r="5797" spans="1:14" x14ac:dyDescent="0.15">
      <c r="A5797" s="23" t="str">
        <f>HYPERLINK("https://www.spark-marketing.ru/Card/Person/951344", "КГАУ ""ЦСП ПК""")</f>
        <v>КГАУ "ЦСП ПК"</v>
      </c>
      <c r="B5797" s="24" t="s">
        <v>1559</v>
      </c>
      <c r="C5797" s="25">
        <v>855400</v>
      </c>
      <c r="D5797" s="22" t="s">
        <v>8944</v>
      </c>
      <c r="E5797" s="22" t="s">
        <v>1764</v>
      </c>
      <c r="F5797" s="23" t="str">
        <f>HYPERLINK("https://www.spark-marketing.ru/Card/Lot/73107805", "Оказание услуг питания в рамках официальных спортивных мероприятий для нужд КГАУ ""ЦСП ПК""")</f>
        <v>Оказание услуг питания в рамках официальных спортивных мероприятий для нужд КГАУ "ЦСП ПК"</v>
      </c>
      <c r="G5797" s="22" t="s">
        <v>543</v>
      </c>
      <c r="H5797" s="22" t="s">
        <v>543</v>
      </c>
      <c r="I5797" s="26">
        <v>43706</v>
      </c>
      <c r="J5797" s="28" t="s">
        <v>51</v>
      </c>
      <c r="K5797" s="28" t="s">
        <v>51</v>
      </c>
      <c r="L5797" s="28" t="s">
        <v>51</v>
      </c>
      <c r="M5797" s="28" t="s">
        <v>51</v>
      </c>
      <c r="N5797" s="28" t="s">
        <v>51</v>
      </c>
    </row>
    <row r="5798" spans="1:14" x14ac:dyDescent="0.2">
      <c r="A5798" s="23" t="str">
        <f>HYPERLINK("https://www.spark-marketing.ru/Card/Person/444947", "МАОУ ""УСТЬ-КАЧКИНСКАЯ СРЕДНЯЯ ШКОЛА""")</f>
        <v>МАОУ "УСТЬ-КАЧКИНСКАЯ СРЕДНЯЯ ШКОЛА"</v>
      </c>
      <c r="B5798" s="24" t="s">
        <v>2041</v>
      </c>
      <c r="C5798" s="25">
        <v>1000000</v>
      </c>
      <c r="D5798" s="22" t="s">
        <v>8945</v>
      </c>
      <c r="E5798" s="22" t="s">
        <v>362</v>
      </c>
      <c r="F5798" s="23" t="str">
        <f>HYPERLINK("https://www.spark-marketing.ru/Card/Lot/73022404", "Оказание услуг по организации горячего питания детей дошкольного возраста и льготных категорий учащихся")</f>
        <v>Оказание услуг по организации горячего питания детей дошкольного возраста и льготных категорий учащихся</v>
      </c>
      <c r="G5798" s="22" t="s">
        <v>153</v>
      </c>
      <c r="H5798" s="22" t="s">
        <v>153</v>
      </c>
      <c r="I5798" s="26">
        <v>43703</v>
      </c>
      <c r="J5798" s="28" t="s">
        <v>51</v>
      </c>
      <c r="K5798" s="28" t="s">
        <v>51</v>
      </c>
      <c r="L5798" s="22" t="s">
        <v>10</v>
      </c>
      <c r="M5798" s="25">
        <v>1000000</v>
      </c>
      <c r="N5798" s="27">
        <v>0</v>
      </c>
    </row>
    <row r="5799" spans="1:14" x14ac:dyDescent="0.15">
      <c r="A5799" s="23" t="str">
        <f>HYPERLINK("https://www.spark-marketing.ru/Card/Person/11733", "РТУ МИРЭА")</f>
        <v>РТУ МИРЭА</v>
      </c>
      <c r="B5799" s="24" t="s">
        <v>1305</v>
      </c>
      <c r="C5799" s="25">
        <v>496300</v>
      </c>
      <c r="D5799" s="22" t="s">
        <v>8946</v>
      </c>
      <c r="E5799" s="22" t="s">
        <v>562</v>
      </c>
      <c r="F5799" s="23" t="str">
        <f>HYPERLINK("https://www.spark-marketing.ru/Card/Lot/73027615", "Оказание услуг по организации питания")</f>
        <v>Оказание услуг по организации питания</v>
      </c>
      <c r="G5799" s="22" t="s">
        <v>56</v>
      </c>
      <c r="H5799" s="22" t="s">
        <v>56</v>
      </c>
      <c r="I5799" s="26">
        <v>43703</v>
      </c>
      <c r="J5799" s="28" t="s">
        <v>51</v>
      </c>
      <c r="K5799" s="28" t="s">
        <v>51</v>
      </c>
      <c r="L5799" s="28" t="s">
        <v>51</v>
      </c>
      <c r="M5799" s="28" t="s">
        <v>51</v>
      </c>
      <c r="N5799" s="28" t="s">
        <v>51</v>
      </c>
    </row>
    <row r="5800" spans="1:14" x14ac:dyDescent="0.2">
      <c r="A5800" s="23" t="str">
        <f>HYPERLINK("https://www.spark-marketing.ru/Card/Person/1402116", "МАОУ ""СОШ № 15""")</f>
        <v>МАОУ "СОШ № 15"</v>
      </c>
      <c r="B5800" s="24" t="s">
        <v>8947</v>
      </c>
      <c r="C5800" s="25">
        <v>305348.94</v>
      </c>
      <c r="D5800" s="22" t="s">
        <v>8948</v>
      </c>
      <c r="E5800" s="22" t="s">
        <v>362</v>
      </c>
      <c r="F5800" s="23" t="str">
        <f>HYPERLINK("https://www.spark-marketing.ru/Card/Lot/73017483", "Оказание услуг по предоставлению горячего, полноценного, сбалансированного питания льготной категории учащихся (учащиеся из малоимущих семей (1-4 классов))")</f>
        <v>Оказание услуг по предоставлению горячего, полноценного, сбалансированного питания льготной категории учащихся (учащиеся из малоимущих семей (1-4 классов))</v>
      </c>
      <c r="G5800" s="22" t="s">
        <v>153</v>
      </c>
      <c r="H5800" s="22" t="s">
        <v>153</v>
      </c>
      <c r="I5800" s="26">
        <v>43703</v>
      </c>
      <c r="J5800" s="28" t="s">
        <v>51</v>
      </c>
      <c r="K5800" s="28" t="s">
        <v>51</v>
      </c>
      <c r="L5800" s="28" t="s">
        <v>51</v>
      </c>
      <c r="M5800" s="25">
        <v>305348.94</v>
      </c>
      <c r="N5800" s="27">
        <v>0</v>
      </c>
    </row>
    <row r="5801" spans="1:14" x14ac:dyDescent="0.15">
      <c r="A5801" s="23" t="s">
        <v>114</v>
      </c>
      <c r="B5801" s="28" t="s">
        <v>51</v>
      </c>
      <c r="C5801" s="25">
        <v>57394637.450000003</v>
      </c>
      <c r="D5801" s="22" t="s">
        <v>8949</v>
      </c>
      <c r="E5801" s="22" t="s">
        <v>362</v>
      </c>
      <c r="F5801" s="23" t="str">
        <f t="shared" ref="F5801:F5810" si="115">HYPERLINK("https://www.spark-marketing.ru/Card/Lot/73130846", "Оказание услуг по организации питания обучающихся в муниципальных автономных общеобразовательных учреждениях Октябрьского района города Екатеринбурга в 2020 году (совместные торги).")</f>
        <v>Оказание услуг по организации питания обучающихся в муниципальных автономных общеобразовательных учреждениях Октябрьского района города Екатеринбурга в 2020 году (совместные торги).</v>
      </c>
      <c r="G5801" s="22" t="s">
        <v>51</v>
      </c>
      <c r="H5801" s="22" t="s">
        <v>51</v>
      </c>
      <c r="I5801" s="26">
        <v>43703.447013888901</v>
      </c>
      <c r="J5801" s="28" t="s">
        <v>51</v>
      </c>
      <c r="K5801" s="28" t="s">
        <v>51</v>
      </c>
      <c r="L5801" s="28" t="s">
        <v>51</v>
      </c>
      <c r="M5801" s="28" t="s">
        <v>51</v>
      </c>
      <c r="N5801" s="28" t="s">
        <v>51</v>
      </c>
    </row>
    <row r="5802" spans="1:14" hidden="1" outlineLevel="1" x14ac:dyDescent="0.15">
      <c r="A5802" s="23" t="str">
        <f>HYPERLINK("https://www.spark-marketing.ru/Card/Person/562064", "МАОУ - ГИМНАЗИЯ № 94")</f>
        <v>МАОУ - ГИМНАЗИЯ № 94</v>
      </c>
      <c r="B5802" s="24" t="s">
        <v>8950</v>
      </c>
      <c r="C5802" s="25">
        <v>6073011.5999999996</v>
      </c>
      <c r="D5802" s="22" t="s">
        <v>8949</v>
      </c>
      <c r="E5802" s="22" t="s">
        <v>362</v>
      </c>
      <c r="F5802" s="23" t="str">
        <f t="shared" si="115"/>
        <v>Оказание услуг по организации питания обучающихся в муниципальных автономных общеобразовательных учреждениях Октябрьского района города Екатеринбурга в 2020 году (совместные торги).</v>
      </c>
      <c r="G5802" s="22" t="s">
        <v>174</v>
      </c>
      <c r="H5802" s="22" t="s">
        <v>174</v>
      </c>
      <c r="I5802" s="26">
        <v>43703.447013888901</v>
      </c>
      <c r="J5802" s="28" t="s">
        <v>51</v>
      </c>
      <c r="K5802" s="28" t="s">
        <v>51</v>
      </c>
      <c r="L5802" s="28" t="s">
        <v>51</v>
      </c>
      <c r="M5802" s="28" t="s">
        <v>51</v>
      </c>
      <c r="N5802" s="28" t="s">
        <v>51</v>
      </c>
    </row>
    <row r="5803" spans="1:14" hidden="1" outlineLevel="1" x14ac:dyDescent="0.15">
      <c r="A5803" s="23" t="str">
        <f>HYPERLINK("https://www.spark-marketing.ru/Card/Person/562446", "МАОУ СОШ №92")</f>
        <v>МАОУ СОШ №92</v>
      </c>
      <c r="B5803" s="24" t="s">
        <v>8951</v>
      </c>
      <c r="C5803" s="25">
        <v>10180562.85</v>
      </c>
      <c r="D5803" s="22" t="s">
        <v>8949</v>
      </c>
      <c r="E5803" s="22" t="s">
        <v>362</v>
      </c>
      <c r="F5803" s="23" t="str">
        <f t="shared" si="115"/>
        <v>Оказание услуг по организации питания обучающихся в муниципальных автономных общеобразовательных учреждениях Октябрьского района города Екатеринбурга в 2020 году (совместные торги).</v>
      </c>
      <c r="G5803" s="22" t="s">
        <v>174</v>
      </c>
      <c r="H5803" s="22" t="s">
        <v>174</v>
      </c>
      <c r="I5803" s="26">
        <v>43703.447013888901</v>
      </c>
      <c r="J5803" s="28" t="s">
        <v>51</v>
      </c>
      <c r="K5803" s="28" t="s">
        <v>51</v>
      </c>
      <c r="L5803" s="28" t="s">
        <v>51</v>
      </c>
      <c r="M5803" s="28" t="s">
        <v>51</v>
      </c>
      <c r="N5803" s="28" t="s">
        <v>51</v>
      </c>
    </row>
    <row r="5804" spans="1:14" hidden="1" outlineLevel="1" x14ac:dyDescent="0.15">
      <c r="A5804" s="23" t="str">
        <f>HYPERLINK("https://www.spark-marketing.ru/Card/Person/562991", "МАОУ СОШ №71")</f>
        <v>МАОУ СОШ №71</v>
      </c>
      <c r="B5804" s="24" t="s">
        <v>8952</v>
      </c>
      <c r="C5804" s="25">
        <v>9422411.6600000001</v>
      </c>
      <c r="D5804" s="22" t="s">
        <v>8949</v>
      </c>
      <c r="E5804" s="22" t="s">
        <v>362</v>
      </c>
      <c r="F5804" s="23" t="str">
        <f t="shared" si="115"/>
        <v>Оказание услуг по организации питания обучающихся в муниципальных автономных общеобразовательных учреждениях Октябрьского района города Екатеринбурга в 2020 году (совместные торги).</v>
      </c>
      <c r="G5804" s="22" t="s">
        <v>174</v>
      </c>
      <c r="H5804" s="22" t="s">
        <v>174</v>
      </c>
      <c r="I5804" s="26">
        <v>43703.447013888901</v>
      </c>
      <c r="J5804" s="28" t="s">
        <v>51</v>
      </c>
      <c r="K5804" s="28" t="s">
        <v>51</v>
      </c>
      <c r="L5804" s="28" t="s">
        <v>51</v>
      </c>
      <c r="M5804" s="28" t="s">
        <v>51</v>
      </c>
      <c r="N5804" s="28" t="s">
        <v>51</v>
      </c>
    </row>
    <row r="5805" spans="1:14" hidden="1" outlineLevel="1" x14ac:dyDescent="0.15">
      <c r="A5805" s="23" t="str">
        <f>HYPERLINK("https://www.spark-marketing.ru/Card/Person/563046", "МАОУ СОШ №26")</f>
        <v>МАОУ СОШ №26</v>
      </c>
      <c r="B5805" s="24" t="s">
        <v>8953</v>
      </c>
      <c r="C5805" s="25">
        <v>5507829.5899999999</v>
      </c>
      <c r="D5805" s="22" t="s">
        <v>8949</v>
      </c>
      <c r="E5805" s="22" t="s">
        <v>362</v>
      </c>
      <c r="F5805" s="23" t="str">
        <f t="shared" si="115"/>
        <v>Оказание услуг по организации питания обучающихся в муниципальных автономных общеобразовательных учреждениях Октябрьского района города Екатеринбурга в 2020 году (совместные торги).</v>
      </c>
      <c r="G5805" s="22" t="s">
        <v>174</v>
      </c>
      <c r="H5805" s="22" t="s">
        <v>174</v>
      </c>
      <c r="I5805" s="26">
        <v>43703.447013888901</v>
      </c>
      <c r="J5805" s="28" t="s">
        <v>51</v>
      </c>
      <c r="K5805" s="28" t="s">
        <v>51</v>
      </c>
      <c r="L5805" s="28" t="s">
        <v>51</v>
      </c>
      <c r="M5805" s="28" t="s">
        <v>51</v>
      </c>
      <c r="N5805" s="28" t="s">
        <v>51</v>
      </c>
    </row>
    <row r="5806" spans="1:14" hidden="1" outlineLevel="1" x14ac:dyDescent="0.15">
      <c r="A5806" s="23" t="str">
        <f>HYPERLINK("https://www.spark-marketing.ru/Card/Person/1320602", "МАОУ СОШ №15")</f>
        <v>МАОУ СОШ №15</v>
      </c>
      <c r="B5806" s="24" t="s">
        <v>8954</v>
      </c>
      <c r="C5806" s="25">
        <v>4826200.6100000003</v>
      </c>
      <c r="D5806" s="22" t="s">
        <v>8949</v>
      </c>
      <c r="E5806" s="22" t="s">
        <v>362</v>
      </c>
      <c r="F5806" s="23" t="str">
        <f t="shared" si="115"/>
        <v>Оказание услуг по организации питания обучающихся в муниципальных автономных общеобразовательных учреждениях Октябрьского района города Екатеринбурга в 2020 году (совместные торги).</v>
      </c>
      <c r="G5806" s="22" t="s">
        <v>174</v>
      </c>
      <c r="H5806" s="22" t="s">
        <v>174</v>
      </c>
      <c r="I5806" s="26">
        <v>43703.447013888901</v>
      </c>
      <c r="J5806" s="28" t="s">
        <v>51</v>
      </c>
      <c r="K5806" s="28" t="s">
        <v>51</v>
      </c>
      <c r="L5806" s="28" t="s">
        <v>51</v>
      </c>
      <c r="M5806" s="28" t="s">
        <v>51</v>
      </c>
      <c r="N5806" s="28" t="s">
        <v>51</v>
      </c>
    </row>
    <row r="5807" spans="1:14" hidden="1" outlineLevel="1" x14ac:dyDescent="0.15">
      <c r="A5807" s="23" t="str">
        <f>HYPERLINK("https://www.spark-marketing.ru/Card/Person/1760827", "МАОУ СОШ № 97 ИМ.А.В.ГУМЕНЮКА")</f>
        <v>МАОУ СОШ № 97 ИМ.А.В.ГУМЕНЮКА</v>
      </c>
      <c r="B5807" s="24" t="s">
        <v>8955</v>
      </c>
      <c r="C5807" s="25">
        <v>6226533.5099999998</v>
      </c>
      <c r="D5807" s="22" t="s">
        <v>8949</v>
      </c>
      <c r="E5807" s="22" t="s">
        <v>362</v>
      </c>
      <c r="F5807" s="23" t="str">
        <f t="shared" si="115"/>
        <v>Оказание услуг по организации питания обучающихся в муниципальных автономных общеобразовательных учреждениях Октябрьского района города Екатеринбурга в 2020 году (совместные торги).</v>
      </c>
      <c r="G5807" s="22" t="s">
        <v>174</v>
      </c>
      <c r="H5807" s="22" t="s">
        <v>174</v>
      </c>
      <c r="I5807" s="26">
        <v>43703.447013888901</v>
      </c>
      <c r="J5807" s="28" t="s">
        <v>51</v>
      </c>
      <c r="K5807" s="28" t="s">
        <v>51</v>
      </c>
      <c r="L5807" s="28" t="s">
        <v>51</v>
      </c>
      <c r="M5807" s="28" t="s">
        <v>51</v>
      </c>
      <c r="N5807" s="28" t="s">
        <v>51</v>
      </c>
    </row>
    <row r="5808" spans="1:14" hidden="1" outlineLevel="1" x14ac:dyDescent="0.15">
      <c r="A5808" s="23" t="str">
        <f>HYPERLINK("https://www.spark-marketing.ru/Card/Person/4427770", "МАОУ СОШ № 14")</f>
        <v>МАОУ СОШ № 14</v>
      </c>
      <c r="B5808" s="24" t="s">
        <v>8956</v>
      </c>
      <c r="C5808" s="25">
        <v>4195070.79</v>
      </c>
      <c r="D5808" s="22" t="s">
        <v>8949</v>
      </c>
      <c r="E5808" s="22" t="s">
        <v>362</v>
      </c>
      <c r="F5808" s="23" t="str">
        <f t="shared" si="115"/>
        <v>Оказание услуг по организации питания обучающихся в муниципальных автономных общеобразовательных учреждениях Октябрьского района города Екатеринбурга в 2020 году (совместные торги).</v>
      </c>
      <c r="G5808" s="22" t="s">
        <v>174</v>
      </c>
      <c r="H5808" s="22" t="s">
        <v>174</v>
      </c>
      <c r="I5808" s="26">
        <v>43703.447013888901</v>
      </c>
      <c r="J5808" s="28" t="s">
        <v>51</v>
      </c>
      <c r="K5808" s="28" t="s">
        <v>51</v>
      </c>
      <c r="L5808" s="28" t="s">
        <v>51</v>
      </c>
      <c r="M5808" s="28" t="s">
        <v>51</v>
      </c>
      <c r="N5808" s="28" t="s">
        <v>51</v>
      </c>
    </row>
    <row r="5809" spans="1:14" hidden="1" outlineLevel="1" x14ac:dyDescent="0.15">
      <c r="A5809" s="23" t="str">
        <f>HYPERLINK("https://www.spark-marketing.ru/Card/Person/4428004", "МАОУ СОШ № 96")</f>
        <v>МАОУ СОШ № 96</v>
      </c>
      <c r="B5809" s="24" t="s">
        <v>8957</v>
      </c>
      <c r="C5809" s="25">
        <v>6256230.5</v>
      </c>
      <c r="D5809" s="22" t="s">
        <v>8949</v>
      </c>
      <c r="E5809" s="22" t="s">
        <v>362</v>
      </c>
      <c r="F5809" s="23" t="str">
        <f t="shared" si="115"/>
        <v>Оказание услуг по организации питания обучающихся в муниципальных автономных общеобразовательных учреждениях Октябрьского района города Екатеринбурга в 2020 году (совместные торги).</v>
      </c>
      <c r="G5809" s="22" t="s">
        <v>174</v>
      </c>
      <c r="H5809" s="22" t="s">
        <v>174</v>
      </c>
      <c r="I5809" s="26">
        <v>43703.447013888901</v>
      </c>
      <c r="J5809" s="28" t="s">
        <v>51</v>
      </c>
      <c r="K5809" s="28" t="s">
        <v>51</v>
      </c>
      <c r="L5809" s="28" t="s">
        <v>51</v>
      </c>
      <c r="M5809" s="28" t="s">
        <v>51</v>
      </c>
      <c r="N5809" s="28" t="s">
        <v>51</v>
      </c>
    </row>
    <row r="5810" spans="1:14" hidden="1" outlineLevel="1" x14ac:dyDescent="0.15">
      <c r="A5810" s="23" t="str">
        <f>HYPERLINK("https://www.spark-marketing.ru/Card/Person/4429298", "МАОУ СОШ № 60")</f>
        <v>МАОУ СОШ № 60</v>
      </c>
      <c r="B5810" s="24" t="s">
        <v>8958</v>
      </c>
      <c r="C5810" s="25">
        <v>4706786.34</v>
      </c>
      <c r="D5810" s="22" t="s">
        <v>8949</v>
      </c>
      <c r="E5810" s="22" t="s">
        <v>362</v>
      </c>
      <c r="F5810" s="23" t="str">
        <f t="shared" si="115"/>
        <v>Оказание услуг по организации питания обучающихся в муниципальных автономных общеобразовательных учреждениях Октябрьского района города Екатеринбурга в 2020 году (совместные торги).</v>
      </c>
      <c r="G5810" s="22" t="s">
        <v>174</v>
      </c>
      <c r="H5810" s="22" t="s">
        <v>174</v>
      </c>
      <c r="I5810" s="26">
        <v>43703.447013888901</v>
      </c>
      <c r="J5810" s="28" t="s">
        <v>51</v>
      </c>
      <c r="K5810" s="28" t="s">
        <v>51</v>
      </c>
      <c r="L5810" s="28" t="s">
        <v>51</v>
      </c>
      <c r="M5810" s="28" t="s">
        <v>51</v>
      </c>
      <c r="N5810" s="28" t="s">
        <v>51</v>
      </c>
    </row>
    <row r="5811" spans="1:14" x14ac:dyDescent="0.15">
      <c r="A5811" s="23" t="str">
        <f>HYPERLINK("https://www.spark-marketing.ru/Card/Person/946097", "АО ""ОВЭ""")</f>
        <v>АО "ОВЭ"</v>
      </c>
      <c r="B5811" s="24" t="s">
        <v>8959</v>
      </c>
      <c r="C5811" s="25">
        <v>117670.83</v>
      </c>
      <c r="D5811" s="22" t="s">
        <v>8960</v>
      </c>
      <c r="E5811" s="22" t="s">
        <v>5358</v>
      </c>
      <c r="F5811" s="23" t="str">
        <f>HYPERLINK("https://www.spark-marketing.ru/Card/Lot/73010802", "Поставка оборудования автоматизации: Контроллер программируемый логический ПЛК110-24.60Р-М (М02)-2шт. Контроллер программируемый логический ПЛК100-220.Р.М-3шт. Блок питания NDR-120-12-5шт.")</f>
        <v>Поставка оборудования автоматизации: Контроллер программируемый логический ПЛК110-24.60Р-М (М02)-2шт. Контроллер программируемый логический ПЛК100-220.Р.М-3шт. Блок питания NDR-120-12-5шт.</v>
      </c>
      <c r="G5811" s="22" t="s">
        <v>92</v>
      </c>
      <c r="H5811" s="22" t="s">
        <v>92</v>
      </c>
      <c r="I5811" s="26">
        <v>43703</v>
      </c>
      <c r="J5811" s="28" t="s">
        <v>51</v>
      </c>
      <c r="K5811" s="28" t="s">
        <v>51</v>
      </c>
      <c r="L5811" s="28" t="s">
        <v>51</v>
      </c>
      <c r="M5811" s="28" t="s">
        <v>51</v>
      </c>
      <c r="N5811" s="28" t="s">
        <v>51</v>
      </c>
    </row>
    <row r="5812" spans="1:14" x14ac:dyDescent="0.2">
      <c r="A5812" s="23" t="str">
        <f>HYPERLINK("https://www.spark-marketing.ru/Card/Person/1479753", "МАОУ НГО ""СОШ № 12")</f>
        <v>МАОУ НГО "СОШ № 12</v>
      </c>
      <c r="B5812" s="24" t="s">
        <v>8961</v>
      </c>
      <c r="C5812" s="25">
        <v>1451040</v>
      </c>
      <c r="D5812" s="22" t="s">
        <v>8962</v>
      </c>
      <c r="E5812" s="22" t="s">
        <v>362</v>
      </c>
      <c r="F5812" s="23" t="str">
        <f>HYPERLINK("https://www.spark-marketing.ru/Card/Lot/73006871", "Российский рубль")</f>
        <v>Российский рубль</v>
      </c>
      <c r="G5812" s="22" t="s">
        <v>174</v>
      </c>
      <c r="H5812" s="22" t="s">
        <v>8963</v>
      </c>
      <c r="I5812" s="26">
        <v>43700.591828703698</v>
      </c>
      <c r="J5812" s="28" t="s">
        <v>51</v>
      </c>
      <c r="K5812" s="28" t="s">
        <v>51</v>
      </c>
      <c r="L5812" s="22" t="s">
        <v>10</v>
      </c>
      <c r="M5812" s="25">
        <v>1448000</v>
      </c>
      <c r="N5812" s="27">
        <v>2.0950490682544935E-3</v>
      </c>
    </row>
    <row r="5813" spans="1:14" x14ac:dyDescent="0.2">
      <c r="A5813" s="23" t="str">
        <f>HYPERLINK("https://www.spark-marketing.ru/Card/Person/4346801", "ФГАОУ ВО ""СЕВАСТОПОЛЬСКИЙ ГОСУДАРСТВЕННЫЙ УНИВЕРСИТЕТ""")</f>
        <v>ФГАОУ ВО "СЕВАСТОПОЛЬСКИЙ ГОСУДАРСТВЕННЫЙ УНИВЕРСИТЕТ"</v>
      </c>
      <c r="B5813" s="24" t="s">
        <v>8964</v>
      </c>
      <c r="C5813" s="25">
        <v>300000</v>
      </c>
      <c r="D5813" s="22" t="s">
        <v>8965</v>
      </c>
      <c r="E5813" s="22" t="s">
        <v>769</v>
      </c>
      <c r="F5813" s="23" t="str">
        <f>HYPERLINK("https://www.spark-marketing.ru/Card/Lot/73023065", "Оказание услуг по организации проживания и питания участников ""Бизнес-полигона""")</f>
        <v>Оказание услуг по организации проживания и питания участников "Бизнес-полигона"</v>
      </c>
      <c r="G5813" s="22" t="s">
        <v>322</v>
      </c>
      <c r="H5813" s="22" t="s">
        <v>322</v>
      </c>
      <c r="I5813" s="26">
        <v>43703</v>
      </c>
      <c r="J5813" s="28" t="s">
        <v>51</v>
      </c>
      <c r="K5813" s="28" t="s">
        <v>51</v>
      </c>
      <c r="L5813" s="22" t="s">
        <v>10</v>
      </c>
      <c r="M5813" s="25">
        <v>290000</v>
      </c>
      <c r="N5813" s="27">
        <v>3.3333333333333333E-2</v>
      </c>
    </row>
    <row r="5814" spans="1:14" x14ac:dyDescent="0.15">
      <c r="A5814" s="23" t="str">
        <f>HYPERLINK("https://www.spark-marketing.ru/Card/Person/209890", "ГАУ ДО РС (Я) ""ЦОИОД ""СОСНОВЫЙ БОР""")</f>
        <v>ГАУ ДО РС (Я) "ЦОИОД "СОСНОВЫЙ БОР"</v>
      </c>
      <c r="B5814" s="24" t="s">
        <v>5718</v>
      </c>
      <c r="C5814" s="25">
        <v>798255</v>
      </c>
      <c r="D5814" s="22" t="s">
        <v>8966</v>
      </c>
      <c r="E5814" s="22" t="s">
        <v>362</v>
      </c>
      <c r="F5814" s="23" t="str">
        <f>HYPERLINK("https://www.spark-marketing.ru/Card/Lot/73037560", "Оказание услуг по организации горячего питания в дошкольном отделении Государственного автономного учреждения дополнительного образования Республики Саха (Якутия) «Центр отдыха и оздоровления детей «Сосновый бор» - детский сад «Лингва» (аутсорсинг)")</f>
        <v>Оказание услуг по организации горячего питания в дошкольном отделении Государственного автономного учреждения дополнительного образования Республики Саха (Якутия) «Центр отдыха и оздоровления детей «Сосновый бор» - детский сад «Лингва» (аутсорсинг)</v>
      </c>
      <c r="G5814" s="22" t="s">
        <v>241</v>
      </c>
      <c r="H5814" s="22" t="s">
        <v>241</v>
      </c>
      <c r="I5814" s="26">
        <v>43704</v>
      </c>
      <c r="J5814" s="28" t="s">
        <v>51</v>
      </c>
      <c r="K5814" s="28" t="s">
        <v>51</v>
      </c>
      <c r="L5814" s="28" t="s">
        <v>51</v>
      </c>
      <c r="M5814" s="28" t="s">
        <v>51</v>
      </c>
      <c r="N5814" s="28" t="s">
        <v>51</v>
      </c>
    </row>
    <row r="5815" spans="1:14" x14ac:dyDescent="0.15">
      <c r="A5815" s="23" t="str">
        <f>HYPERLINK("https://www.spark-marketing.ru/Card/Person/1057677", "ГАУ ""ЦПМ ОО""")</f>
        <v>ГАУ "ЦПМ ОО"</v>
      </c>
      <c r="B5815" s="24" t="s">
        <v>5899</v>
      </c>
      <c r="C5815" s="25">
        <v>387000</v>
      </c>
      <c r="D5815" s="22" t="s">
        <v>8967</v>
      </c>
      <c r="E5815" s="22" t="s">
        <v>362</v>
      </c>
      <c r="F5815" s="23" t="str">
        <f>HYPERLINK("https://www.spark-marketing.ru/Card/Lot/73015596", "оказание услуги по организации питания участников XVII областного фестиваля рабочего спорта, посвященного памяти В.С. Черномырдина")</f>
        <v>оказание услуги по организации питания участников XVII областного фестиваля рабочего спорта, посвященного памяти В.С. Черномырдина</v>
      </c>
      <c r="G5815" s="22" t="s">
        <v>132</v>
      </c>
      <c r="H5815" s="22" t="s">
        <v>132</v>
      </c>
      <c r="I5815" s="26">
        <v>43703</v>
      </c>
      <c r="J5815" s="28" t="s">
        <v>51</v>
      </c>
      <c r="K5815" s="28" t="s">
        <v>51</v>
      </c>
      <c r="L5815" s="28" t="s">
        <v>51</v>
      </c>
      <c r="M5815" s="28" t="s">
        <v>51</v>
      </c>
      <c r="N5815" s="28" t="s">
        <v>51</v>
      </c>
    </row>
    <row r="5816" spans="1:14" x14ac:dyDescent="0.15">
      <c r="A5816" s="23" t="str">
        <f>HYPERLINK("https://www.spark-marketing.ru/Card/Person/68459", "НИЯУ МИФИ")</f>
        <v>НИЯУ МИФИ</v>
      </c>
      <c r="B5816" s="24" t="s">
        <v>8968</v>
      </c>
      <c r="C5816" s="25">
        <v>714540</v>
      </c>
      <c r="D5816" s="22" t="s">
        <v>8969</v>
      </c>
      <c r="E5816" s="22" t="s">
        <v>362</v>
      </c>
      <c r="F5816" s="23" t="str">
        <f>HYPERLINK("https://www.spark-marketing.ru/Card/Lot/73024223", "Оказание услуг по обеспечению питания участников XXIV Международной конференции «Взаимодействие ионов с поверхностью»")</f>
        <v>Оказание услуг по обеспечению питания участников XXIV Международной конференции «Взаимодействие ионов с поверхностью»</v>
      </c>
      <c r="G5816" s="22" t="s">
        <v>56</v>
      </c>
      <c r="H5816" s="22" t="s">
        <v>56</v>
      </c>
      <c r="I5816" s="26">
        <v>43703</v>
      </c>
      <c r="J5816" s="28" t="s">
        <v>51</v>
      </c>
      <c r="K5816" s="28" t="s">
        <v>51</v>
      </c>
      <c r="L5816" s="28" t="s">
        <v>51</v>
      </c>
      <c r="M5816" s="28" t="s">
        <v>51</v>
      </c>
      <c r="N5816" s="28" t="s">
        <v>51</v>
      </c>
    </row>
    <row r="5817" spans="1:14" x14ac:dyDescent="0.15">
      <c r="A5817" s="23" t="str">
        <f>HYPERLINK("https://www.spark-marketing.ru/Card/Person/64988", "ГУП ""МЦМС""")</f>
        <v>ГУП "МЦМС"</v>
      </c>
      <c r="B5817" s="24" t="s">
        <v>552</v>
      </c>
      <c r="C5817" s="25">
        <v>2434900</v>
      </c>
      <c r="D5817" s="22" t="s">
        <v>8970</v>
      </c>
      <c r="E5817" s="22" t="s">
        <v>554</v>
      </c>
      <c r="F5817" s="23" t="str">
        <f>HYPERLINK("https://www.spark-marketing.ru/Card/Lot/73023633", "Комплекс услуг по организации и проведению международной конференции по развитию сотрудничества с партнерами из стран БРИКС и Евразии в рамках Восточного экономического форума 2019 (далее мероприятие), в том числе по организации участия в мероприятии...")</f>
        <v>Комплекс услуг по организации и проведению международной конференции по развитию сотрудничества с партнерами из стран БРИКС и Евразии в рамках Восточного экономического форума 2019 (далее мероприятие), в том числе по организации участия в мероприятии...</v>
      </c>
      <c r="G5817" s="22" t="s">
        <v>56</v>
      </c>
      <c r="H5817" s="22" t="s">
        <v>56</v>
      </c>
      <c r="I5817" s="26">
        <v>43703</v>
      </c>
      <c r="J5817" s="28" t="s">
        <v>51</v>
      </c>
      <c r="K5817" s="28" t="s">
        <v>51</v>
      </c>
      <c r="L5817" s="28" t="s">
        <v>51</v>
      </c>
      <c r="M5817" s="28" t="s">
        <v>51</v>
      </c>
      <c r="N5817" s="28" t="s">
        <v>51</v>
      </c>
    </row>
    <row r="5818" spans="1:14" x14ac:dyDescent="0.2">
      <c r="A5818" s="23" t="str">
        <f>HYPERLINK("https://www.spark-marketing.ru/Card/Person/30851", "ДОНСКОЙ ГОСУДАРСТВЕННЫЙ ТЕХНИЧЕСКИЙ УНИВЕРСИТЕТ; ДГТУ")</f>
        <v>ДОНСКОЙ ГОСУДАРСТВЕННЫЙ ТЕХНИЧЕСКИЙ УНИВЕРСИТЕТ; ДГТУ</v>
      </c>
      <c r="B5818" s="24" t="s">
        <v>2266</v>
      </c>
      <c r="C5818" s="25">
        <v>1980000</v>
      </c>
      <c r="D5818" s="22" t="s">
        <v>8971</v>
      </c>
      <c r="E5818" s="22" t="s">
        <v>362</v>
      </c>
      <c r="F5818" s="23" t="str">
        <f>HYPERLINK("https://www.spark-marketing.ru/Card/Lot/72998366", "«закупка услуг по организации горячего питания участников молодежных форумов, встреч, презентаций, приемов делегаций, проведения сессий, заседаний»")</f>
        <v>«закупка услуг по организации горячего питания участников молодежных форумов, встреч, презентаций, приемов делегаций, проведения сессий, заседаний»</v>
      </c>
      <c r="G5818" s="22" t="s">
        <v>267</v>
      </c>
      <c r="H5818" s="22" t="s">
        <v>590</v>
      </c>
      <c r="I5818" s="26">
        <v>43700</v>
      </c>
      <c r="J5818" s="28" t="s">
        <v>51</v>
      </c>
      <c r="K5818" s="28" t="s">
        <v>51</v>
      </c>
      <c r="L5818" s="28" t="s">
        <v>51</v>
      </c>
      <c r="M5818" s="25">
        <v>1980000</v>
      </c>
      <c r="N5818" s="27">
        <v>0</v>
      </c>
    </row>
    <row r="5819" spans="1:14" x14ac:dyDescent="0.15">
      <c r="A5819" s="23" t="str">
        <f>HYPERLINK("https://www.spark-marketing.ru/Card/Person/4390251", "АО ""АЭРОПОРТ ТОЛМАЧЕВО""")</f>
        <v>АО "АЭРОПОРТ ТОЛМАЧЕВО"</v>
      </c>
      <c r="B5819" s="24" t="s">
        <v>8972</v>
      </c>
      <c r="C5819" s="25">
        <v>39500000</v>
      </c>
      <c r="D5819" s="22" t="s">
        <v>8973</v>
      </c>
      <c r="E5819" s="22" t="s">
        <v>580</v>
      </c>
      <c r="F5819" s="23" t="str">
        <f>HYPERLINK("https://www.spark-marketing.ru/Card/Lot/73017535", "Оказание услуг по организации питания в бизнес-зале Аэропорта «Толмачево» для пассажиров - держателей специальных карт и их гостей старше 2-х лет.")</f>
        <v>Оказание услуг по организации питания в бизнес-зале Аэропорта «Толмачево» для пассажиров - держателей специальных карт и их гостей старше 2-х лет.</v>
      </c>
      <c r="G5819" s="22" t="s">
        <v>195</v>
      </c>
      <c r="H5819" s="22" t="s">
        <v>195</v>
      </c>
      <c r="I5819" s="26">
        <v>43703</v>
      </c>
      <c r="J5819" s="28" t="s">
        <v>51</v>
      </c>
      <c r="K5819" s="28" t="s">
        <v>51</v>
      </c>
      <c r="L5819" s="28" t="s">
        <v>51</v>
      </c>
      <c r="M5819" s="28" t="s">
        <v>51</v>
      </c>
      <c r="N5819" s="28" t="s">
        <v>51</v>
      </c>
    </row>
    <row r="5820" spans="1:14" x14ac:dyDescent="0.2">
      <c r="A5820" s="23" t="str">
        <f>HYPERLINK("https://www.spark-marketing.ru/Card/Person/1402116", "МАОУ ""СОШ № 15""")</f>
        <v>МАОУ "СОШ № 15"</v>
      </c>
      <c r="B5820" s="24" t="s">
        <v>8947</v>
      </c>
      <c r="C5820" s="25">
        <v>347232.6</v>
      </c>
      <c r="D5820" s="22" t="s">
        <v>8974</v>
      </c>
      <c r="E5820" s="22" t="s">
        <v>362</v>
      </c>
      <c r="F5820" s="23" t="str">
        <f>HYPERLINK("https://www.spark-marketing.ru/Card/Lot/73017490", "Оказание услуг по предоставлению горячего, полноценного, сбалансированного питания учащимся с ограниченными возможностями здоровья")</f>
        <v>Оказание услуг по предоставлению горячего, полноценного, сбалансированного питания учащимся с ограниченными возможностями здоровья</v>
      </c>
      <c r="G5820" s="22" t="s">
        <v>153</v>
      </c>
      <c r="H5820" s="22" t="s">
        <v>153</v>
      </c>
      <c r="I5820" s="26">
        <v>43703</v>
      </c>
      <c r="J5820" s="28" t="s">
        <v>51</v>
      </c>
      <c r="K5820" s="28" t="s">
        <v>51</v>
      </c>
      <c r="L5820" s="28" t="s">
        <v>51</v>
      </c>
      <c r="M5820" s="25">
        <v>347232.6</v>
      </c>
      <c r="N5820" s="27">
        <v>0</v>
      </c>
    </row>
    <row r="5821" spans="1:14" x14ac:dyDescent="0.2">
      <c r="A5821" s="23" t="str">
        <f>HYPERLINK("https://www.spark-marketing.ru/Card/Person/1402116", "МАОУ ""СОШ № 15""")</f>
        <v>МАОУ "СОШ № 15"</v>
      </c>
      <c r="B5821" s="24" t="s">
        <v>8947</v>
      </c>
      <c r="C5821" s="25">
        <v>393021.72</v>
      </c>
      <c r="D5821" s="22" t="s">
        <v>8975</v>
      </c>
      <c r="E5821" s="22" t="s">
        <v>362</v>
      </c>
      <c r="F5821" s="23" t="str">
        <f>HYPERLINK("https://www.spark-marketing.ru/Card/Lot/73017493", "Оказание услуг по предоставлению горячего, полноценного, сбалансированного питания льготной категории учащихся (учащиеся из малоимущих семей (5-11 классов))")</f>
        <v>Оказание услуг по предоставлению горячего, полноценного, сбалансированного питания льготной категории учащихся (учащиеся из малоимущих семей (5-11 классов))</v>
      </c>
      <c r="G5821" s="22" t="s">
        <v>153</v>
      </c>
      <c r="H5821" s="22" t="s">
        <v>153</v>
      </c>
      <c r="I5821" s="26">
        <v>43703</v>
      </c>
      <c r="J5821" s="28" t="s">
        <v>51</v>
      </c>
      <c r="K5821" s="28" t="s">
        <v>51</v>
      </c>
      <c r="L5821" s="28" t="s">
        <v>51</v>
      </c>
      <c r="M5821" s="25">
        <v>393021.72</v>
      </c>
      <c r="N5821" s="27">
        <v>0</v>
      </c>
    </row>
    <row r="5822" spans="1:14" x14ac:dyDescent="0.15">
      <c r="A5822" s="23" t="str">
        <f>HYPERLINK("https://www.spark-marketing.ru/Card/Person/1057677", "ГАУ ""ЦПМ ОО""")</f>
        <v>ГАУ "ЦПМ ОО"</v>
      </c>
      <c r="B5822" s="24" t="s">
        <v>5899</v>
      </c>
      <c r="C5822" s="25">
        <v>210000</v>
      </c>
      <c r="D5822" s="22" t="s">
        <v>8976</v>
      </c>
      <c r="E5822" s="22" t="s">
        <v>362</v>
      </c>
      <c r="F5822" s="23" t="str">
        <f>HYPERLINK("https://www.spark-marketing.ru/Card/Lot/73014741", "Оказание услуги по осуществлению питания участников XVII областного фестиваля рабочего спорта, посвященного памяти В.С. Черномырдина")</f>
        <v>Оказание услуги по осуществлению питания участников XVII областного фестиваля рабочего спорта, посвященного памяти В.С. Черномырдина</v>
      </c>
      <c r="G5822" s="22" t="s">
        <v>132</v>
      </c>
      <c r="H5822" s="22" t="s">
        <v>132</v>
      </c>
      <c r="I5822" s="26">
        <v>43703</v>
      </c>
      <c r="J5822" s="28" t="s">
        <v>51</v>
      </c>
      <c r="K5822" s="28" t="s">
        <v>51</v>
      </c>
      <c r="L5822" s="28" t="s">
        <v>51</v>
      </c>
      <c r="M5822" s="28" t="s">
        <v>51</v>
      </c>
      <c r="N5822" s="28" t="s">
        <v>51</v>
      </c>
    </row>
    <row r="5823" spans="1:14" x14ac:dyDescent="0.2">
      <c r="A5823" s="23" t="str">
        <f>HYPERLINK("https://www.spark-marketing.ru/Card/Person/1402116", "МАОУ ""СОШ № 15""")</f>
        <v>МАОУ "СОШ № 15"</v>
      </c>
      <c r="B5823" s="24" t="s">
        <v>8947</v>
      </c>
      <c r="C5823" s="25">
        <v>312726.96000000002</v>
      </c>
      <c r="D5823" s="22" t="s">
        <v>8977</v>
      </c>
      <c r="E5823" s="22" t="s">
        <v>362</v>
      </c>
      <c r="F5823" s="23" t="str">
        <f>HYPERLINK("https://www.spark-marketing.ru/Card/Lot/73018558", "Оказание услуг по предоставлению горячего, полноценного, сбалансированного питания льготной категории учащихся (учащиеся из многодетных малоимущих семей (5-11 классов))")</f>
        <v>Оказание услуг по предоставлению горячего, полноценного, сбалансированного питания льготной категории учащихся (учащиеся из многодетных малоимущих семей (5-11 классов))</v>
      </c>
      <c r="G5823" s="22" t="s">
        <v>153</v>
      </c>
      <c r="H5823" s="22" t="s">
        <v>153</v>
      </c>
      <c r="I5823" s="26">
        <v>43703</v>
      </c>
      <c r="J5823" s="28" t="s">
        <v>51</v>
      </c>
      <c r="K5823" s="28" t="s">
        <v>51</v>
      </c>
      <c r="L5823" s="28" t="s">
        <v>51</v>
      </c>
      <c r="M5823" s="25">
        <v>312726.96000000002</v>
      </c>
      <c r="N5823" s="27">
        <v>0</v>
      </c>
    </row>
    <row r="5824" spans="1:14" x14ac:dyDescent="0.15">
      <c r="A5824" s="23" t="str">
        <f>HYPERLINK("https://www.spark-marketing.ru/Card/Person/64988", "ГУП ""МЦМС""")</f>
        <v>ГУП "МЦМС"</v>
      </c>
      <c r="B5824" s="24" t="s">
        <v>552</v>
      </c>
      <c r="C5824" s="25">
        <v>1992050</v>
      </c>
      <c r="D5824" s="22" t="s">
        <v>8978</v>
      </c>
      <c r="E5824" s="22" t="s">
        <v>8979</v>
      </c>
      <c r="F5824" s="23" t="str">
        <f>HYPERLINK("https://www.spark-marketing.ru/Card/Lot/73030429", "Комплекс услуг по организации и проведению трех рабочих встреч, конференции по вопросам городского управления, культурной программы, и протокольного мероприятия на 50 человек в г. Москве, а так же обеспечению авиабилетами, проживанием и питанием, тра...")</f>
        <v>Комплекс услуг по организации и проведению трех рабочих встреч, конференции по вопросам городского управления, культурной программы, и протокольного мероприятия на 50 человек в г. Москве, а так же обеспечению авиабилетами, проживанием и питанием, тра...</v>
      </c>
      <c r="G5824" s="22" t="s">
        <v>56</v>
      </c>
      <c r="H5824" s="22" t="s">
        <v>56</v>
      </c>
      <c r="I5824" s="26">
        <v>43703</v>
      </c>
      <c r="J5824" s="28" t="s">
        <v>51</v>
      </c>
      <c r="K5824" s="28" t="s">
        <v>51</v>
      </c>
      <c r="L5824" s="28" t="s">
        <v>51</v>
      </c>
      <c r="M5824" s="28" t="s">
        <v>51</v>
      </c>
      <c r="N5824" s="28" t="s">
        <v>51</v>
      </c>
    </row>
    <row r="5825" spans="1:14" x14ac:dyDescent="0.15">
      <c r="A5825" s="23" t="str">
        <f>HYPERLINK("https://www.spark-marketing.ru/Card/Person/54121", "ФГУП ""ППП""")</f>
        <v>ФГУП "ППП"</v>
      </c>
      <c r="B5825" s="24" t="s">
        <v>8980</v>
      </c>
      <c r="C5825" s="25">
        <v>1137418</v>
      </c>
      <c r="D5825" s="22" t="s">
        <v>8981</v>
      </c>
      <c r="E5825" s="22" t="s">
        <v>774</v>
      </c>
      <c r="F5825" s="23" t="str">
        <f>HYPERLINK("https://www.spark-marketing.ru/Card/Lot/73033520", "Оказание услуг по ремонту и техническому обслуживанию оборудования электрического (источник бесперебойного питания)")</f>
        <v>Оказание услуг по ремонту и техническому обслуживанию оборудования электрического (источник бесперебойного питания)</v>
      </c>
      <c r="G5825" s="22" t="s">
        <v>56</v>
      </c>
      <c r="H5825" s="22" t="s">
        <v>56</v>
      </c>
      <c r="I5825" s="26">
        <v>43703</v>
      </c>
      <c r="J5825" s="28" t="s">
        <v>51</v>
      </c>
      <c r="K5825" s="28" t="s">
        <v>51</v>
      </c>
      <c r="L5825" s="28" t="s">
        <v>51</v>
      </c>
      <c r="M5825" s="28" t="s">
        <v>51</v>
      </c>
      <c r="N5825" s="28" t="s">
        <v>51</v>
      </c>
    </row>
    <row r="5826" spans="1:14" x14ac:dyDescent="0.2">
      <c r="A5826" s="23" t="str">
        <f>HYPERLINK("https://www.spark-marketing.ru/Card/Person/152379", "МБДОУ ""ДЕТСКИЙ САД ОБЩЕРАЗВИВАЮЩЕГО ВИДА № 8"" НМР РТ")</f>
        <v>МБДОУ "ДЕТСКИЙ САД ОБЩЕРАЗВИВАЮЩЕГО ВИДА № 8" НМР РТ</v>
      </c>
      <c r="B5826" s="24" t="s">
        <v>8096</v>
      </c>
      <c r="C5826" s="25">
        <v>54699.92</v>
      </c>
      <c r="D5826" s="22" t="s">
        <v>8982</v>
      </c>
      <c r="E5826" s="22" t="s">
        <v>52</v>
      </c>
      <c r="F5826" s="23" t="str">
        <f>HYPERLINK("https://www.spark-marketing.ru/Card/Lot/73793560", "Услуги по организации питания")</f>
        <v>Услуги по организации питания</v>
      </c>
      <c r="G5826" s="22" t="s">
        <v>217</v>
      </c>
      <c r="H5826" s="22" t="s">
        <v>218</v>
      </c>
      <c r="I5826" s="26">
        <v>43703.4909722222</v>
      </c>
      <c r="J5826" s="28" t="s">
        <v>51</v>
      </c>
      <c r="K5826" s="28" t="s">
        <v>51</v>
      </c>
      <c r="L5826" s="28" t="s">
        <v>51</v>
      </c>
      <c r="M5826" s="25">
        <v>54699.92</v>
      </c>
      <c r="N5826" s="27">
        <v>0</v>
      </c>
    </row>
    <row r="5827" spans="1:14" x14ac:dyDescent="0.15">
      <c r="A5827" s="23" t="str">
        <f>HYPERLINK("https://www.spark-marketing.ru/Card/Person/947106", "КГА ПОУ ""ДИТК""")</f>
        <v>КГА ПОУ "ДИТК"</v>
      </c>
      <c r="B5827" s="24" t="s">
        <v>8983</v>
      </c>
      <c r="C5827" s="25">
        <v>396000</v>
      </c>
      <c r="D5827" s="22" t="s">
        <v>8984</v>
      </c>
      <c r="E5827" s="22" t="s">
        <v>1412</v>
      </c>
      <c r="F5827" s="23" t="str">
        <f>HYPERLINK("https://www.spark-marketing.ru/Card/Lot/73014720", "Оказание услуг по организации питания")</f>
        <v>Оказание услуг по организации питания</v>
      </c>
      <c r="G5827" s="22" t="s">
        <v>543</v>
      </c>
      <c r="H5827" s="22" t="s">
        <v>543</v>
      </c>
      <c r="I5827" s="26">
        <v>43703</v>
      </c>
      <c r="J5827" s="28" t="s">
        <v>51</v>
      </c>
      <c r="K5827" s="28" t="s">
        <v>51</v>
      </c>
      <c r="L5827" s="28" t="s">
        <v>51</v>
      </c>
      <c r="M5827" s="28" t="s">
        <v>51</v>
      </c>
      <c r="N5827" s="28" t="s">
        <v>51</v>
      </c>
    </row>
    <row r="5828" spans="1:14" x14ac:dyDescent="0.2">
      <c r="A5828" s="23" t="str">
        <f>HYPERLINK("https://www.spark-marketing.ru/Card/Person/1402116", "МАОУ ""СОШ № 15""")</f>
        <v>МАОУ "СОШ № 15"</v>
      </c>
      <c r="B5828" s="24" t="s">
        <v>8947</v>
      </c>
      <c r="C5828" s="25">
        <v>237493.62</v>
      </c>
      <c r="D5828" s="22" t="s">
        <v>8985</v>
      </c>
      <c r="E5828" s="22" t="s">
        <v>362</v>
      </c>
      <c r="F5828" s="23" t="str">
        <f>HYPERLINK("https://www.spark-marketing.ru/Card/Lot/73020091", "Оказание услуг по предоставлению горячего, полноценного, сбалансированного питания льготной категории учащихся (учащиеся из многодетных малоимущих семей (1-4 классов))")</f>
        <v>Оказание услуг по предоставлению горячего, полноценного, сбалансированного питания льготной категории учащихся (учащиеся из многодетных малоимущих семей (1-4 классов))</v>
      </c>
      <c r="G5828" s="22" t="s">
        <v>153</v>
      </c>
      <c r="H5828" s="22" t="s">
        <v>153</v>
      </c>
      <c r="I5828" s="26">
        <v>43703</v>
      </c>
      <c r="J5828" s="28" t="s">
        <v>51</v>
      </c>
      <c r="K5828" s="28" t="s">
        <v>51</v>
      </c>
      <c r="L5828" s="28" t="s">
        <v>51</v>
      </c>
      <c r="M5828" s="25">
        <v>237493.62</v>
      </c>
      <c r="N5828" s="27">
        <v>0</v>
      </c>
    </row>
    <row r="5829" spans="1:14" x14ac:dyDescent="0.2">
      <c r="A5829" s="23" t="str">
        <f>HYPERLINK("https://www.spark-marketing.ru/Card/Person/1607788", "МАИ")</f>
        <v>МАИ</v>
      </c>
      <c r="B5829" s="24" t="s">
        <v>2664</v>
      </c>
      <c r="C5829" s="25">
        <v>500000</v>
      </c>
      <c r="D5829" s="22" t="s">
        <v>8986</v>
      </c>
      <c r="E5829" s="22" t="s">
        <v>362</v>
      </c>
      <c r="F5829" s="23" t="str">
        <f>HYPERLINK("https://www.spark-marketing.ru/Card/Lot/73035163", "Оказание услуг по организации питания")</f>
        <v>Оказание услуг по организации питания</v>
      </c>
      <c r="G5829" s="22" t="s">
        <v>56</v>
      </c>
      <c r="H5829" s="22" t="s">
        <v>56</v>
      </c>
      <c r="I5829" s="26">
        <v>43703</v>
      </c>
      <c r="J5829" s="28" t="s">
        <v>51</v>
      </c>
      <c r="K5829" s="28" t="s">
        <v>51</v>
      </c>
      <c r="L5829" s="22" t="s">
        <v>10</v>
      </c>
      <c r="M5829" s="25">
        <v>500000</v>
      </c>
      <c r="N5829" s="27">
        <v>0</v>
      </c>
    </row>
    <row r="5830" spans="1:14" x14ac:dyDescent="0.2">
      <c r="A5830" s="23" t="str">
        <f>HYPERLINK("https://www.spark-marketing.ru/Card/Person/1778475", "МАОУ ""НИЖНЕАРЕМЗЯНСКАЯ СОШ""")</f>
        <v>МАОУ "НИЖНЕАРЕМЗЯНСКАЯ СОШ"</v>
      </c>
      <c r="B5830" s="24" t="s">
        <v>8987</v>
      </c>
      <c r="C5830" s="25">
        <v>595282.80000000005</v>
      </c>
      <c r="D5830" s="22" t="s">
        <v>8988</v>
      </c>
      <c r="E5830" s="22" t="s">
        <v>362</v>
      </c>
      <c r="F5830" s="23" t="str">
        <f>HYPERLINK("https://www.spark-marketing.ru/Card/Lot/73021229", "Оказание услуг по организация школьного питания обучающихся в МАОУ «Нижнеаремзянская СОШ»")</f>
        <v>Оказание услуг по организация школьного питания обучающихся в МАОУ «Нижнеаремзянская СОШ»</v>
      </c>
      <c r="G5830" s="22" t="s">
        <v>766</v>
      </c>
      <c r="H5830" s="22" t="s">
        <v>766</v>
      </c>
      <c r="I5830" s="26">
        <v>43703</v>
      </c>
      <c r="J5830" s="28" t="s">
        <v>51</v>
      </c>
      <c r="K5830" s="28" t="s">
        <v>51</v>
      </c>
      <c r="L5830" s="22" t="s">
        <v>10</v>
      </c>
      <c r="M5830" s="25">
        <v>595282.80000000005</v>
      </c>
      <c r="N5830" s="27">
        <v>0</v>
      </c>
    </row>
    <row r="5831" spans="1:14" x14ac:dyDescent="0.2">
      <c r="A5831" s="23" t="str">
        <f>HYPERLINK("https://www.spark-marketing.ru/Card/Person/1004636", "МБОУ Г. АСТРАХАНИ ""СОШ № 45""")</f>
        <v>МБОУ Г. АСТРАХАНИ "СОШ № 45"</v>
      </c>
      <c r="B5831" s="24" t="s">
        <v>8989</v>
      </c>
      <c r="C5831" s="25">
        <v>214116</v>
      </c>
      <c r="D5831" s="22" t="s">
        <v>8990</v>
      </c>
      <c r="E5831" s="22" t="s">
        <v>52</v>
      </c>
      <c r="F5831" s="23" t="str">
        <f>HYPERLINK("https://www.spark-marketing.ru/Card/Lot/73793310", "Услуги по организации питания детей в группах продленного дня")</f>
        <v>Услуги по организации питания детей в группах продленного дня</v>
      </c>
      <c r="G5831" s="22" t="s">
        <v>141</v>
      </c>
      <c r="H5831" s="22" t="s">
        <v>2201</v>
      </c>
      <c r="I5831" s="26">
        <v>43703.613888888904</v>
      </c>
      <c r="J5831" s="28" t="s">
        <v>51</v>
      </c>
      <c r="K5831" s="28" t="s">
        <v>51</v>
      </c>
      <c r="L5831" s="28" t="s">
        <v>51</v>
      </c>
      <c r="M5831" s="25">
        <v>214000</v>
      </c>
      <c r="N5831" s="27">
        <v>5.4176240916138912E-4</v>
      </c>
    </row>
    <row r="5832" spans="1:14" x14ac:dyDescent="0.15">
      <c r="A5832" s="23" t="str">
        <f>HYPERLINK("https://www.spark-marketing.ru/Card/Person/76101", "ОМВД РОССИИ ПО УСТЬ-ЦИЛЕМСКОМУ РАЙОНУ")</f>
        <v>ОМВД РОССИИ ПО УСТЬ-ЦИЛЕМСКОМУ РАЙОНУ</v>
      </c>
      <c r="B5832" s="24" t="s">
        <v>8991</v>
      </c>
      <c r="C5832" s="25">
        <v>284000</v>
      </c>
      <c r="D5832" s="22" t="s">
        <v>8992</v>
      </c>
      <c r="E5832" s="22" t="s">
        <v>48</v>
      </c>
      <c r="F5832" s="23" t="str">
        <f>HYPERLINK("https://www.spark-marketing.ru/Card/Lot/73008508", "УСЛУГИ ПО ОБЕСПЕЧЕНИЮ ПИТАНИЯ ЛИЦ СОДЕРЖАЩИХСЯ В СПЕЦ. ПОМЕЩЕНИЯХ ЗАДЕРЖАННЫХ ЛИЦ, 602 усл. ед")</f>
        <v>УСЛУГИ ПО ОБЕСПЕЧЕНИЮ ПИТАНИЯ ЛИЦ СОДЕРЖАЩИХСЯ В СПЕЦ. ПОМЕЩЕНИЯХ ЗАДЕРЖАННЫХ ЛИЦ, 602 усл. ед</v>
      </c>
      <c r="G5832" s="22" t="s">
        <v>271</v>
      </c>
      <c r="H5832" s="22" t="s">
        <v>731</v>
      </c>
      <c r="I5832" s="26">
        <v>43702.485763888901</v>
      </c>
      <c r="J5832" s="28" t="s">
        <v>51</v>
      </c>
      <c r="K5832" s="28" t="s">
        <v>51</v>
      </c>
      <c r="L5832" s="28" t="s">
        <v>51</v>
      </c>
      <c r="M5832" s="28" t="s">
        <v>51</v>
      </c>
      <c r="N5832" s="28" t="s">
        <v>51</v>
      </c>
    </row>
    <row r="5833" spans="1:14" x14ac:dyDescent="0.15">
      <c r="A5833" s="23" t="str">
        <f>HYPERLINK("https://www.spark-marketing.ru/Card/Person/76101", "ОМВД РОССИИ ПО УСТЬ-ЦИЛЕМСКОМУ РАЙОНУ")</f>
        <v>ОМВД РОССИИ ПО УСТЬ-ЦИЛЕМСКОМУ РАЙОНУ</v>
      </c>
      <c r="B5833" s="24" t="s">
        <v>8991</v>
      </c>
      <c r="C5833" s="25">
        <v>299000</v>
      </c>
      <c r="D5833" s="22" t="s">
        <v>8993</v>
      </c>
      <c r="E5833" s="22" t="s">
        <v>48</v>
      </c>
      <c r="F5833" s="23" t="str">
        <f>HYPERLINK("https://www.spark-marketing.ru/Card/Lot/73008509", "УСЛУГИ ПО ОБЕСПЕЧЕНИЮ ПИТАНИЯ ЛИЦ СОДЕРЖАЩИХСЯ В СПЕЦ. ПОМЕЩЕНИЯХ ЗАДЕРЖАННЫХ ЛИЦ, 657 усл. ед")</f>
        <v>УСЛУГИ ПО ОБЕСПЕЧЕНИЮ ПИТАНИЯ ЛИЦ СОДЕРЖАЩИХСЯ В СПЕЦ. ПОМЕЩЕНИЯХ ЗАДЕРЖАННЫХ ЛИЦ, 657 усл. ед</v>
      </c>
      <c r="G5833" s="22" t="s">
        <v>271</v>
      </c>
      <c r="H5833" s="22" t="s">
        <v>731</v>
      </c>
      <c r="I5833" s="26">
        <v>43702.488587963002</v>
      </c>
      <c r="J5833" s="28" t="s">
        <v>51</v>
      </c>
      <c r="K5833" s="28" t="s">
        <v>51</v>
      </c>
      <c r="L5833" s="28" t="s">
        <v>51</v>
      </c>
      <c r="M5833" s="28" t="s">
        <v>51</v>
      </c>
      <c r="N5833" s="28" t="s">
        <v>51</v>
      </c>
    </row>
    <row r="5834" spans="1:14" ht="12.75" x14ac:dyDescent="0.2">
      <c r="A5834" s="23" t="str">
        <f>HYPERLINK("https://www.spark-marketing.ru/Card/Person/1361181", "МАОУ ""СОШ №4""")</f>
        <v>МАОУ "СОШ №4"</v>
      </c>
      <c r="B5834" s="24" t="s">
        <v>8994</v>
      </c>
      <c r="C5834" s="25">
        <v>1762000</v>
      </c>
      <c r="D5834" s="22" t="s">
        <v>8995</v>
      </c>
      <c r="E5834" s="22" t="s">
        <v>362</v>
      </c>
      <c r="F5834" s="23" t="str">
        <f>HYPERLINK("https://www.spark-marketing.ru/Card/Lot/74047880", "Услуги общественного питания в 4 квартале 2019 года")</f>
        <v>Услуги общественного питания в 4 квартале 2019 года</v>
      </c>
      <c r="G5834" s="22" t="s">
        <v>766</v>
      </c>
      <c r="H5834" s="22" t="s">
        <v>766</v>
      </c>
      <c r="I5834" s="26">
        <v>43738</v>
      </c>
      <c r="J5834" s="23" t="str">
        <f>HYPERLINK("https://www.spark-marketing.ru/Card/Person/1532552", "МП ""ТСЦ""")</f>
        <v>МП "ТСЦ"</v>
      </c>
      <c r="K5834" s="24" t="s">
        <v>3309</v>
      </c>
      <c r="L5834" s="22" t="s">
        <v>10</v>
      </c>
      <c r="M5834" s="25">
        <v>1762000</v>
      </c>
      <c r="N5834" s="27">
        <v>0</v>
      </c>
    </row>
    <row r="5835" spans="1:14" x14ac:dyDescent="0.15">
      <c r="A5835" s="23" t="str">
        <f>HYPERLINK("https://www.spark-marketing.ru/Card/Person/762993", "МКОУ ""СОШ №2 С. П. АРГУДАН""")</f>
        <v>МКОУ "СОШ №2 С. П. АРГУДАН"</v>
      </c>
      <c r="B5835" s="24" t="s">
        <v>8996</v>
      </c>
      <c r="C5835" s="25">
        <v>49226.9</v>
      </c>
      <c r="D5835" s="22" t="s">
        <v>8997</v>
      </c>
      <c r="E5835" s="22" t="s">
        <v>8998</v>
      </c>
      <c r="F5835" s="23" t="str">
        <f>HYPERLINK("https://www.spark-marketing.ru/Card/Lot/73007996", "Продукты питания")</f>
        <v>Продукты питания</v>
      </c>
      <c r="G5835" s="22" t="s">
        <v>986</v>
      </c>
      <c r="H5835" s="22" t="s">
        <v>8999</v>
      </c>
      <c r="I5835" s="26">
        <v>43701.592743055597</v>
      </c>
      <c r="J5835" s="28" t="s">
        <v>51</v>
      </c>
      <c r="K5835" s="28" t="s">
        <v>51</v>
      </c>
      <c r="L5835" s="28" t="s">
        <v>51</v>
      </c>
      <c r="M5835" s="28" t="s">
        <v>51</v>
      </c>
      <c r="N5835" s="28" t="s">
        <v>51</v>
      </c>
    </row>
    <row r="5836" spans="1:14" hidden="1" outlineLevel="1" x14ac:dyDescent="0.2">
      <c r="A5836" s="23" t="str">
        <f>HYPERLINK("https://www.spark-marketing.ru/Card/Person/762993", "МКОУ ""СОШ №2 С. П. АРГУДАН""")</f>
        <v>МКОУ "СОШ №2 С. П. АРГУДАН"</v>
      </c>
      <c r="B5836" s="24" t="s">
        <v>8996</v>
      </c>
      <c r="C5836" s="25">
        <v>49226.9</v>
      </c>
      <c r="D5836" s="22" t="s">
        <v>8997</v>
      </c>
      <c r="E5836" s="22" t="s">
        <v>8998</v>
      </c>
      <c r="F5836" s="23" t="str">
        <f>HYPERLINK("https://www.spark-marketing.ru/Card/Lot/73007996", "Продукты питания")</f>
        <v>Продукты питания</v>
      </c>
      <c r="G5836" s="22" t="s">
        <v>986</v>
      </c>
      <c r="H5836" s="22" t="s">
        <v>8999</v>
      </c>
      <c r="I5836" s="26">
        <v>43701.592743055597</v>
      </c>
      <c r="J5836" s="23" t="str">
        <f>HYPERLINK("https://www.spark-marketing.ru/Card/Person/6573951", "Гоплачев Аслан Замирович")</f>
        <v>Гоплачев Аслан Замирович</v>
      </c>
      <c r="K5836" s="24" t="s">
        <v>9000</v>
      </c>
      <c r="L5836" s="28" t="s">
        <v>51</v>
      </c>
      <c r="M5836" s="25">
        <v>41843</v>
      </c>
      <c r="N5836" s="27">
        <v>0.14999725759696425</v>
      </c>
    </row>
    <row r="5837" spans="1:14" ht="12.75" hidden="1" outlineLevel="1" x14ac:dyDescent="0.2">
      <c r="A5837" s="23" t="str">
        <f>HYPERLINK("https://www.spark-marketing.ru/Card/Person/762993", "МКОУ ""СОШ №2 С. П. АРГУДАН""")</f>
        <v>МКОУ "СОШ №2 С. П. АРГУДАН"</v>
      </c>
      <c r="B5837" s="24" t="s">
        <v>8996</v>
      </c>
      <c r="C5837" s="25">
        <v>49226.9</v>
      </c>
      <c r="D5837" s="22" t="s">
        <v>8997</v>
      </c>
      <c r="E5837" s="22" t="s">
        <v>8998</v>
      </c>
      <c r="F5837" s="23" t="str">
        <f>HYPERLINK("https://www.spark-marketing.ru/Card/Lot/73007996", "Продукты питания")</f>
        <v>Продукты питания</v>
      </c>
      <c r="G5837" s="22" t="s">
        <v>986</v>
      </c>
      <c r="H5837" s="22" t="s">
        <v>8999</v>
      </c>
      <c r="I5837" s="26">
        <v>43701.592743055597</v>
      </c>
      <c r="J5837" s="23" t="str">
        <f>HYPERLINK("https://www.spark-marketing.ru/Card/Person/229422", "Пеньков Игорь Анатолиевич")</f>
        <v>Пеньков Игорь Анатолиевич</v>
      </c>
      <c r="K5837" s="24" t="s">
        <v>9001</v>
      </c>
      <c r="L5837" s="22" t="s">
        <v>10</v>
      </c>
      <c r="M5837" s="25">
        <v>41596.870000000003</v>
      </c>
      <c r="N5837" s="27">
        <v>0.15499716618352974</v>
      </c>
    </row>
    <row r="5838" spans="1:14" x14ac:dyDescent="0.15">
      <c r="A5838" s="23" t="str">
        <f>HYPERLINK("https://www.spark-marketing.ru/Card/Person/163584", "ОМВД РОССИИ ПО УРВАНСКОМУ РАЙОНУ")</f>
        <v>ОМВД РОССИИ ПО УРВАНСКОМУ РАЙОНУ</v>
      </c>
      <c r="B5838" s="24" t="s">
        <v>9002</v>
      </c>
      <c r="C5838" s="25">
        <v>225000</v>
      </c>
      <c r="D5838" s="22" t="s">
        <v>9003</v>
      </c>
      <c r="E5838" s="22" t="s">
        <v>48</v>
      </c>
      <c r="F5838" s="23" t="str">
        <f>HYPERLINK("https://www.spark-marketing.ru/Card/Lot/73007781",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838" s="22" t="s">
        <v>986</v>
      </c>
      <c r="H5838" s="22" t="s">
        <v>9004</v>
      </c>
      <c r="I5838" s="26">
        <v>43701.517349537004</v>
      </c>
      <c r="J5838" s="28" t="s">
        <v>51</v>
      </c>
      <c r="K5838" s="28" t="s">
        <v>51</v>
      </c>
      <c r="L5838" s="28" t="s">
        <v>51</v>
      </c>
      <c r="M5838" s="28" t="s">
        <v>51</v>
      </c>
      <c r="N5838" s="28" t="s">
        <v>51</v>
      </c>
    </row>
    <row r="5839" spans="1:14" x14ac:dyDescent="0.15">
      <c r="A5839" s="23" t="str">
        <f>HYPERLINK("https://www.spark-marketing.ru/Card/Person/163584", "ОМВД РОССИИ ПО УРВАНСКОМУ РАЙОНУ")</f>
        <v>ОМВД РОССИИ ПО УРВАНСКОМУ РАЙОНУ</v>
      </c>
      <c r="B5839" s="24" t="s">
        <v>9002</v>
      </c>
      <c r="C5839" s="25">
        <v>225000</v>
      </c>
      <c r="D5839" s="22" t="s">
        <v>9005</v>
      </c>
      <c r="E5839" s="22" t="s">
        <v>48</v>
      </c>
      <c r="F5839" s="23" t="str">
        <f>HYPERLINK("https://www.spark-marketing.ru/Card/Lot/73007792",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839" s="22" t="s">
        <v>986</v>
      </c>
      <c r="H5839" s="22" t="s">
        <v>9004</v>
      </c>
      <c r="I5839" s="26">
        <v>43701.521608796298</v>
      </c>
      <c r="J5839" s="28" t="s">
        <v>51</v>
      </c>
      <c r="K5839" s="28" t="s">
        <v>51</v>
      </c>
      <c r="L5839" s="28" t="s">
        <v>51</v>
      </c>
      <c r="M5839" s="28" t="s">
        <v>51</v>
      </c>
      <c r="N5839" s="28" t="s">
        <v>51</v>
      </c>
    </row>
    <row r="5840" spans="1:14" x14ac:dyDescent="0.15">
      <c r="A5840" s="23" t="str">
        <f>HYPERLINK("https://www.spark-marketing.ru/Card/Person/268105", "ОМВД РОССИИ ПО ФУРМАНОВСКОМУ РАЙОНУ")</f>
        <v>ОМВД РОССИИ ПО ФУРМАНОВСКОМУ РАЙОНУ</v>
      </c>
      <c r="B5840" s="24" t="s">
        <v>9006</v>
      </c>
      <c r="C5840" s="25">
        <v>1500</v>
      </c>
      <c r="D5840" s="22" t="s">
        <v>9007</v>
      </c>
      <c r="E5840" s="22" t="s">
        <v>48</v>
      </c>
      <c r="F5840" s="23" t="str">
        <f>HYPERLINK("https://www.spark-marketing.ru/Card/Lot/73007568",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840" s="22" t="s">
        <v>1047</v>
      </c>
      <c r="H5840" s="22" t="s">
        <v>9008</v>
      </c>
      <c r="I5840" s="26">
        <v>43701.338287036997</v>
      </c>
      <c r="J5840" s="28" t="s">
        <v>51</v>
      </c>
      <c r="K5840" s="28" t="s">
        <v>51</v>
      </c>
      <c r="L5840" s="28" t="s">
        <v>51</v>
      </c>
      <c r="M5840" s="28" t="s">
        <v>51</v>
      </c>
      <c r="N5840" s="28" t="s">
        <v>51</v>
      </c>
    </row>
    <row r="5841" spans="1:14" x14ac:dyDescent="0.15">
      <c r="A5841" s="23" t="str">
        <f>HYPERLINK("https://www.spark-marketing.ru/Card/Person/1082738", "ОМВД РОССИИ ПО МУРОМЦЕВСКОМУ РАЙОНУ")</f>
        <v>ОМВД РОССИИ ПО МУРОМЦЕВСКОМУ РАЙОНУ</v>
      </c>
      <c r="B5841" s="24" t="s">
        <v>9009</v>
      </c>
      <c r="C5841" s="25">
        <v>267000</v>
      </c>
      <c r="D5841" s="22" t="s">
        <v>9010</v>
      </c>
      <c r="E5841" s="22" t="s">
        <v>8045</v>
      </c>
      <c r="F5841" s="23" t="str">
        <f>HYPERLINK("https://www.spark-marketing.ru/Card/Lot/73007539", "Услуги")</f>
        <v>Услуги</v>
      </c>
      <c r="G5841" s="22" t="s">
        <v>487</v>
      </c>
      <c r="H5841" s="22" t="s">
        <v>9011</v>
      </c>
      <c r="I5841" s="26">
        <v>43701.322268518503</v>
      </c>
      <c r="J5841" s="28" t="s">
        <v>51</v>
      </c>
      <c r="K5841" s="28" t="s">
        <v>51</v>
      </c>
      <c r="L5841" s="28" t="s">
        <v>51</v>
      </c>
      <c r="M5841" s="28" t="s">
        <v>51</v>
      </c>
      <c r="N5841" s="28" t="s">
        <v>51</v>
      </c>
    </row>
    <row r="5842" spans="1:14" x14ac:dyDescent="0.15">
      <c r="A5842" s="23" t="str">
        <f>HYPERLINK("https://www.spark-marketing.ru/Card/Person/268105", "ОМВД РОССИИ ПО ФУРМАНОВСКОМУ РАЙОНУ")</f>
        <v>ОМВД РОССИИ ПО ФУРМАНОВСКОМУ РАЙОНУ</v>
      </c>
      <c r="B5842" s="24" t="s">
        <v>9006</v>
      </c>
      <c r="C5842" s="25">
        <v>1500</v>
      </c>
      <c r="D5842" s="22" t="s">
        <v>9012</v>
      </c>
      <c r="E5842" s="22" t="s">
        <v>48</v>
      </c>
      <c r="F5842" s="23" t="str">
        <f>HYPERLINK("https://www.spark-marketing.ru/Card/Lot/73007544",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842" s="22" t="s">
        <v>1047</v>
      </c>
      <c r="H5842" s="22" t="s">
        <v>9008</v>
      </c>
      <c r="I5842" s="26">
        <v>43701.329733796301</v>
      </c>
      <c r="J5842" s="28" t="s">
        <v>51</v>
      </c>
      <c r="K5842" s="28" t="s">
        <v>51</v>
      </c>
      <c r="L5842" s="28" t="s">
        <v>51</v>
      </c>
      <c r="M5842" s="28" t="s">
        <v>51</v>
      </c>
      <c r="N5842" s="28" t="s">
        <v>51</v>
      </c>
    </row>
    <row r="5843" spans="1:14" x14ac:dyDescent="0.15">
      <c r="A5843" s="23" t="str">
        <f>HYPERLINK("https://www.spark-marketing.ru/Card/Person/1082738", "ОМВД РОССИИ ПО МУРОМЦЕВСКОМУ РАЙОНУ")</f>
        <v>ОМВД РОССИИ ПО МУРОМЦЕВСКОМУ РАЙОНУ</v>
      </c>
      <c r="B5843" s="24" t="s">
        <v>9009</v>
      </c>
      <c r="C5843" s="25">
        <v>267000</v>
      </c>
      <c r="D5843" s="22" t="s">
        <v>9013</v>
      </c>
      <c r="E5843" s="22" t="s">
        <v>8400</v>
      </c>
      <c r="F5843" s="23" t="str">
        <f>HYPERLINK("https://www.spark-marketing.ru/Card/Lot/73007538", "Услуги")</f>
        <v>Услуги</v>
      </c>
      <c r="G5843" s="22" t="s">
        <v>487</v>
      </c>
      <c r="H5843" s="22" t="s">
        <v>9011</v>
      </c>
      <c r="I5843" s="26">
        <v>43701.3198611111</v>
      </c>
      <c r="J5843" s="28" t="s">
        <v>51</v>
      </c>
      <c r="K5843" s="28" t="s">
        <v>51</v>
      </c>
      <c r="L5843" s="28" t="s">
        <v>51</v>
      </c>
      <c r="M5843" s="28" t="s">
        <v>51</v>
      </c>
      <c r="N5843" s="28" t="s">
        <v>51</v>
      </c>
    </row>
    <row r="5844" spans="1:14" x14ac:dyDescent="0.15">
      <c r="A5844" s="23" t="str">
        <f>HYPERLINK("https://www.spark-marketing.ru/Card/Person/268105", "ОМВД РОССИИ ПО ФУРМАНОВСКОМУ РАЙОНУ")</f>
        <v>ОМВД РОССИИ ПО ФУРМАНОВСКОМУ РАЙОНУ</v>
      </c>
      <c r="B5844" s="24" t="s">
        <v>9006</v>
      </c>
      <c r="C5844" s="25">
        <v>1500</v>
      </c>
      <c r="D5844" s="22" t="s">
        <v>9014</v>
      </c>
      <c r="E5844" s="22" t="s">
        <v>48</v>
      </c>
      <c r="F5844" s="23" t="str">
        <f>HYPERLINK("https://www.spark-marketing.ru/Card/Lot/73005773",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5844" s="22" t="s">
        <v>1047</v>
      </c>
      <c r="H5844" s="22" t="s">
        <v>9008</v>
      </c>
      <c r="I5844" s="26">
        <v>43700.879062499997</v>
      </c>
      <c r="J5844" s="28" t="s">
        <v>51</v>
      </c>
      <c r="K5844" s="28" t="s">
        <v>51</v>
      </c>
      <c r="L5844" s="28" t="s">
        <v>51</v>
      </c>
      <c r="M5844" s="28" t="s">
        <v>51</v>
      </c>
      <c r="N5844" s="28" t="s">
        <v>51</v>
      </c>
    </row>
    <row r="5845" spans="1:14" x14ac:dyDescent="0.15">
      <c r="A5845" s="23" t="str">
        <f t="shared" ref="A5845:A5851" si="116">HYPERLINK("https://www.spark-marketing.ru/Card/Person/45433", "ФБУН ЦНИИ ЭПИДЕМИОЛОГИИ РОСПОТРЕБНАДЗОРА")</f>
        <v>ФБУН ЦНИИ ЭПИДЕМИОЛОГИИ РОСПОТРЕБНАДЗОРА</v>
      </c>
      <c r="B5845" s="24" t="s">
        <v>9015</v>
      </c>
      <c r="C5845" s="25">
        <v>815400</v>
      </c>
      <c r="D5845" s="22" t="s">
        <v>9016</v>
      </c>
      <c r="E5845" s="22" t="s">
        <v>55</v>
      </c>
      <c r="F5845" s="23" t="str">
        <f t="shared" ref="F5845:F5851" si="117">HYPERLINK("https://www.spark-marketing.ru/Card/Lot/73004801", "Услуги по организации авиаперелета, трансфера, проживания и питания для участников курсов повышения квалификации из Гвинейской Республики")</f>
        <v>Услуги по организации авиаперелета, трансфера, проживания и питания для участников курсов повышения квалификации из Гвинейской Республики</v>
      </c>
      <c r="G5845" s="22" t="s">
        <v>56</v>
      </c>
      <c r="H5845" s="22" t="s">
        <v>56</v>
      </c>
      <c r="I5845" s="26">
        <v>43700.523460648103</v>
      </c>
      <c r="J5845" s="28" t="s">
        <v>51</v>
      </c>
      <c r="K5845" s="28" t="s">
        <v>51</v>
      </c>
      <c r="L5845" s="28" t="s">
        <v>51</v>
      </c>
      <c r="M5845" s="28" t="s">
        <v>51</v>
      </c>
      <c r="N5845" s="28" t="s">
        <v>51</v>
      </c>
    </row>
    <row r="5846" spans="1:14" hidden="1" outlineLevel="1" x14ac:dyDescent="0.2">
      <c r="A5846" s="23" t="str">
        <f t="shared" si="116"/>
        <v>ФБУН ЦНИИ ЭПИДЕМИОЛОГИИ РОСПОТРЕБНАДЗОРА</v>
      </c>
      <c r="B5846" s="24" t="s">
        <v>9015</v>
      </c>
      <c r="C5846" s="25">
        <v>815400</v>
      </c>
      <c r="D5846" s="22" t="s">
        <v>9016</v>
      </c>
      <c r="E5846" s="22" t="s">
        <v>55</v>
      </c>
      <c r="F5846" s="23" t="str">
        <f t="shared" si="117"/>
        <v>Услуги по организации авиаперелета, трансфера, проживания и питания для участников курсов повышения квалификации из Гвинейской Республики</v>
      </c>
      <c r="G5846" s="22" t="s">
        <v>56</v>
      </c>
      <c r="H5846" s="22" t="s">
        <v>56</v>
      </c>
      <c r="I5846" s="26">
        <v>43700.523460648103</v>
      </c>
      <c r="J5846" s="23" t="str">
        <f>HYPERLINK("https://www.spark-marketing.ru/Card/Person/6578096", "ООО ""ЭКОСИТИ""")</f>
        <v>ООО "ЭКОСИТИ"</v>
      </c>
      <c r="K5846" s="24" t="s">
        <v>9017</v>
      </c>
      <c r="L5846" s="28" t="s">
        <v>51</v>
      </c>
      <c r="M5846" s="25">
        <v>575900</v>
      </c>
      <c r="N5846" s="27">
        <v>0.29372087319107187</v>
      </c>
    </row>
    <row r="5847" spans="1:14" hidden="1" outlineLevel="1" x14ac:dyDescent="0.2">
      <c r="A5847" s="23" t="str">
        <f t="shared" si="116"/>
        <v>ФБУН ЦНИИ ЭПИДЕМИОЛОГИИ РОСПОТРЕБНАДЗОРА</v>
      </c>
      <c r="B5847" s="24" t="s">
        <v>9015</v>
      </c>
      <c r="C5847" s="25">
        <v>815400</v>
      </c>
      <c r="D5847" s="22" t="s">
        <v>9016</v>
      </c>
      <c r="E5847" s="22" t="s">
        <v>55</v>
      </c>
      <c r="F5847" s="23" t="str">
        <f t="shared" si="117"/>
        <v>Услуги по организации авиаперелета, трансфера, проживания и питания для участников курсов повышения квалификации из Гвинейской Республики</v>
      </c>
      <c r="G5847" s="22" t="s">
        <v>56</v>
      </c>
      <c r="H5847" s="22" t="s">
        <v>56</v>
      </c>
      <c r="I5847" s="26">
        <v>43700.523460648103</v>
      </c>
      <c r="J5847" s="23" t="str">
        <f>HYPERLINK("https://www.spark-marketing.ru/Card/Person/4358897", "ООО ""ТРИНИТИ ТРЕВЕЛ""")</f>
        <v>ООО "ТРИНИТИ ТРЕВЕЛ"</v>
      </c>
      <c r="K5847" s="24" t="s">
        <v>2483</v>
      </c>
      <c r="L5847" s="28" t="s">
        <v>51</v>
      </c>
      <c r="M5847" s="25">
        <v>729553</v>
      </c>
      <c r="N5847" s="27">
        <v>0.10528207014961982</v>
      </c>
    </row>
    <row r="5848" spans="1:14" ht="12.75" hidden="1" outlineLevel="1" x14ac:dyDescent="0.2">
      <c r="A5848" s="23" t="str">
        <f t="shared" si="116"/>
        <v>ФБУН ЦНИИ ЭПИДЕМИОЛОГИИ РОСПОТРЕБНАДЗОРА</v>
      </c>
      <c r="B5848" s="24" t="s">
        <v>9015</v>
      </c>
      <c r="C5848" s="25">
        <v>815400</v>
      </c>
      <c r="D5848" s="22" t="s">
        <v>9016</v>
      </c>
      <c r="E5848" s="22" t="s">
        <v>55</v>
      </c>
      <c r="F5848" s="23" t="str">
        <f t="shared" si="117"/>
        <v>Услуги по организации авиаперелета, трансфера, проживания и питания для участников курсов повышения квалификации из Гвинейской Республики</v>
      </c>
      <c r="G5848" s="22" t="s">
        <v>56</v>
      </c>
      <c r="H5848" s="22" t="s">
        <v>56</v>
      </c>
      <c r="I5848" s="26">
        <v>43700.523460648103</v>
      </c>
      <c r="J5848" s="23" t="str">
        <f>HYPERLINK("https://www.spark-marketing.ru/Card/Person/6497820", "ООО ""ГЛОБУС ТРЭВЭЛ""")</f>
        <v>ООО "ГЛОБУС ТРЭВЭЛ"</v>
      </c>
      <c r="K5848" s="24" t="s">
        <v>6245</v>
      </c>
      <c r="L5848" s="22" t="s">
        <v>10</v>
      </c>
      <c r="M5848" s="25">
        <v>571000</v>
      </c>
      <c r="N5848" s="27">
        <v>0.29973019376992888</v>
      </c>
    </row>
    <row r="5849" spans="1:14" hidden="1" outlineLevel="1" x14ac:dyDescent="0.2">
      <c r="A5849" s="23" t="str">
        <f t="shared" si="116"/>
        <v>ФБУН ЦНИИ ЭПИДЕМИОЛОГИИ РОСПОТРЕБНАДЗОРА</v>
      </c>
      <c r="B5849" s="24" t="s">
        <v>9015</v>
      </c>
      <c r="C5849" s="25">
        <v>815400</v>
      </c>
      <c r="D5849" s="22" t="s">
        <v>9016</v>
      </c>
      <c r="E5849" s="22" t="s">
        <v>55</v>
      </c>
      <c r="F5849" s="23" t="str">
        <f t="shared" si="117"/>
        <v>Услуги по организации авиаперелета, трансфера, проживания и питания для участников курсов повышения квалификации из Гвинейской Республики</v>
      </c>
      <c r="G5849" s="22" t="s">
        <v>56</v>
      </c>
      <c r="H5849" s="22" t="s">
        <v>56</v>
      </c>
      <c r="I5849" s="26">
        <v>43700.523460648103</v>
      </c>
      <c r="J5849" s="23" t="str">
        <f>HYPERLINK("https://www.spark-marketing.ru/Card/Person/856601", "ООО ""АВЕНТУРА""")</f>
        <v>ООО "АВЕНТУРА"</v>
      </c>
      <c r="K5849" s="24" t="s">
        <v>9018</v>
      </c>
      <c r="L5849" s="28" t="s">
        <v>51</v>
      </c>
      <c r="M5849" s="25">
        <v>625000</v>
      </c>
      <c r="N5849" s="27">
        <v>0.23350502820701496</v>
      </c>
    </row>
    <row r="5850" spans="1:14" hidden="1" outlineLevel="1" x14ac:dyDescent="0.2">
      <c r="A5850" s="23" t="str">
        <f t="shared" si="116"/>
        <v>ФБУН ЦНИИ ЭПИДЕМИОЛОГИИ РОСПОТРЕБНАДЗОРА</v>
      </c>
      <c r="B5850" s="24" t="s">
        <v>9015</v>
      </c>
      <c r="C5850" s="25">
        <v>815400</v>
      </c>
      <c r="D5850" s="22" t="s">
        <v>9016</v>
      </c>
      <c r="E5850" s="22" t="s">
        <v>55</v>
      </c>
      <c r="F5850" s="23" t="str">
        <f t="shared" si="117"/>
        <v>Услуги по организации авиаперелета, трансфера, проживания и питания для участников курсов повышения квалификации из Гвинейской Республики</v>
      </c>
      <c r="G5850" s="22" t="s">
        <v>56</v>
      </c>
      <c r="H5850" s="22" t="s">
        <v>56</v>
      </c>
      <c r="I5850" s="26">
        <v>43700.523460648103</v>
      </c>
      <c r="J5850" s="23" t="str">
        <f>HYPERLINK("https://www.spark-marketing.ru/Card/Person/139386", "ООО ""АВИАМИР""")</f>
        <v>ООО "АВИАМИР"</v>
      </c>
      <c r="K5850" s="24" t="s">
        <v>2326</v>
      </c>
      <c r="L5850" s="28" t="s">
        <v>51</v>
      </c>
      <c r="M5850" s="25">
        <v>721399</v>
      </c>
      <c r="N5850" s="27">
        <v>0.11528207014961982</v>
      </c>
    </row>
    <row r="5851" spans="1:14" hidden="1" outlineLevel="1" x14ac:dyDescent="0.2">
      <c r="A5851" s="23" t="str">
        <f t="shared" si="116"/>
        <v>ФБУН ЦНИИ ЭПИДЕМИОЛОГИИ РОСПОТРЕБНАДЗОРА</v>
      </c>
      <c r="B5851" s="24" t="s">
        <v>9015</v>
      </c>
      <c r="C5851" s="25">
        <v>815400</v>
      </c>
      <c r="D5851" s="22" t="s">
        <v>9016</v>
      </c>
      <c r="E5851" s="22" t="s">
        <v>55</v>
      </c>
      <c r="F5851" s="23" t="str">
        <f t="shared" si="117"/>
        <v>Услуги по организации авиаперелета, трансфера, проживания и питания для участников курсов повышения квалификации из Гвинейской Республики</v>
      </c>
      <c r="G5851" s="22" t="s">
        <v>56</v>
      </c>
      <c r="H5851" s="22" t="s">
        <v>56</v>
      </c>
      <c r="I5851" s="26">
        <v>43700.523460648103</v>
      </c>
      <c r="J5851" s="23" t="str">
        <f>HYPERLINK("https://www.spark-marketing.ru/Card/Person/6633519", "ООО ""КОММЕРЦПРО""")</f>
        <v>ООО "КОММЕРЦПРО"</v>
      </c>
      <c r="K5851" s="24" t="s">
        <v>7403</v>
      </c>
      <c r="L5851" s="28" t="s">
        <v>51</v>
      </c>
      <c r="M5851" s="25">
        <v>733630</v>
      </c>
      <c r="N5851" s="27">
        <v>0.10028207014961982</v>
      </c>
    </row>
    <row r="5852" spans="1:14" x14ac:dyDescent="0.15">
      <c r="A5852" s="23" t="str">
        <f>HYPERLINK("https://www.spark-marketing.ru/Card/Person/57842", "МОСКОВСКО-ОКСКОЕ БВУ")</f>
        <v>МОСКОВСКО-ОКСКОЕ БВУ</v>
      </c>
      <c r="B5852" s="24" t="s">
        <v>9019</v>
      </c>
      <c r="C5852" s="25">
        <v>196380.86</v>
      </c>
      <c r="D5852" s="22" t="s">
        <v>9020</v>
      </c>
      <c r="E5852" s="22" t="s">
        <v>3024</v>
      </c>
      <c r="F5852" s="23" t="str">
        <f>HYPERLINK("https://www.spark-marketing.ru/Card/Lot/73005715", "Закупка источников бесперебойного питания для АРМ")</f>
        <v>Закупка источников бесперебойного питания для АРМ</v>
      </c>
      <c r="G5852" s="22" t="s">
        <v>56</v>
      </c>
      <c r="H5852" s="22" t="s">
        <v>56</v>
      </c>
      <c r="I5852" s="26">
        <v>43700.723356481503</v>
      </c>
      <c r="J5852" s="28" t="s">
        <v>51</v>
      </c>
      <c r="K5852" s="28" t="s">
        <v>51</v>
      </c>
      <c r="L5852" s="28" t="s">
        <v>51</v>
      </c>
      <c r="M5852" s="28" t="s">
        <v>51</v>
      </c>
      <c r="N5852" s="28" t="s">
        <v>51</v>
      </c>
    </row>
    <row r="5853" spans="1:14" x14ac:dyDescent="0.15">
      <c r="A5853" s="23" t="str">
        <f>HYPERLINK("https://www.spark-marketing.ru/Card/Person/64555", "ФГБНУ ""ВНИИ АГРОХИМИИ""")</f>
        <v>ФГБНУ "ВНИИ АГРОХИМИИ"</v>
      </c>
      <c r="B5853" s="24" t="s">
        <v>9021</v>
      </c>
      <c r="C5853" s="25">
        <v>60000</v>
      </c>
      <c r="D5853" s="22" t="s">
        <v>9022</v>
      </c>
      <c r="E5853" s="22" t="s">
        <v>48</v>
      </c>
      <c r="F5853" s="23" t="str">
        <f>HYPERLINK("https://www.spark-marketing.ru/Card/Lot/73004938", "Организация кофе-брейка для целей Международной научной конференции ""Агрохимическое обеспечение цифрового земледелия""")</f>
        <v>Организация кофе-брейка для целей Международной научной конференции "Агрохимическое обеспечение цифрового земледелия"</v>
      </c>
      <c r="G5853" s="22" t="s">
        <v>56</v>
      </c>
      <c r="H5853" s="22" t="s">
        <v>56</v>
      </c>
      <c r="I5853" s="26">
        <v>43700.706400463001</v>
      </c>
      <c r="J5853" s="28" t="s">
        <v>51</v>
      </c>
      <c r="K5853" s="28" t="s">
        <v>51</v>
      </c>
      <c r="L5853" s="28" t="s">
        <v>51</v>
      </c>
      <c r="M5853" s="28" t="s">
        <v>51</v>
      </c>
      <c r="N5853" s="28" t="s">
        <v>51</v>
      </c>
    </row>
    <row r="5854" spans="1:14" hidden="1" outlineLevel="1" x14ac:dyDescent="0.2">
      <c r="A5854" s="23" t="str">
        <f>HYPERLINK("https://www.spark-marketing.ru/Card/Person/64555", "ФГБНУ ""ВНИИ АГРОХИМИИ""")</f>
        <v>ФГБНУ "ВНИИ АГРОХИМИИ"</v>
      </c>
      <c r="B5854" s="24" t="s">
        <v>9021</v>
      </c>
      <c r="C5854" s="25">
        <v>60000</v>
      </c>
      <c r="D5854" s="22" t="s">
        <v>9022</v>
      </c>
      <c r="E5854" s="22" t="s">
        <v>48</v>
      </c>
      <c r="F5854" s="23" t="str">
        <f>HYPERLINK("https://www.spark-marketing.ru/Card/Lot/73004938", "Организация кофе-брейка для целей Международной научной конференции ""Агрохимическое обеспечение цифрового земледелия""")</f>
        <v>Организация кофе-брейка для целей Международной научной конференции "Агрохимическое обеспечение цифрового земледелия"</v>
      </c>
      <c r="G5854" s="22" t="s">
        <v>56</v>
      </c>
      <c r="H5854" s="22" t="s">
        <v>56</v>
      </c>
      <c r="I5854" s="26">
        <v>43700.706400463001</v>
      </c>
      <c r="J5854" s="23" t="str">
        <f>HYPERLINK("https://www.spark-marketing.ru/Card/Person/6401852", "ООО ""КОНГРЕССХИМ""")</f>
        <v>ООО "КОНГРЕССХИМ"</v>
      </c>
      <c r="K5854" s="24" t="s">
        <v>9023</v>
      </c>
      <c r="L5854" s="28" t="s">
        <v>51</v>
      </c>
      <c r="M5854" s="25">
        <v>50100</v>
      </c>
      <c r="N5854" s="27">
        <v>0.16500000000000001</v>
      </c>
    </row>
    <row r="5855" spans="1:14" ht="12.75" hidden="1" outlineLevel="1" x14ac:dyDescent="0.2">
      <c r="A5855" s="23" t="str">
        <f>HYPERLINK("https://www.spark-marketing.ru/Card/Person/64555", "ФГБНУ ""ВНИИ АГРОХИМИИ""")</f>
        <v>ФГБНУ "ВНИИ АГРОХИМИИ"</v>
      </c>
      <c r="B5855" s="24" t="s">
        <v>9021</v>
      </c>
      <c r="C5855" s="25">
        <v>60000</v>
      </c>
      <c r="D5855" s="22" t="s">
        <v>9022</v>
      </c>
      <c r="E5855" s="22" t="s">
        <v>48</v>
      </c>
      <c r="F5855" s="23" t="str">
        <f>HYPERLINK("https://www.spark-marketing.ru/Card/Lot/73004938", "Организация кофе-брейка для целей Международной научной конференции ""Агрохимическое обеспечение цифрового земледелия""")</f>
        <v>Организация кофе-брейка для целей Международной научной конференции "Агрохимическое обеспечение цифрового земледелия"</v>
      </c>
      <c r="G5855" s="22" t="s">
        <v>56</v>
      </c>
      <c r="H5855" s="22" t="s">
        <v>56</v>
      </c>
      <c r="I5855" s="26">
        <v>43700.706400463001</v>
      </c>
      <c r="J5855" s="23" t="str">
        <f>HYPERLINK("https://www.spark-marketing.ru/Card/Person/6681346", "Алексютенко Сергей Владимирович")</f>
        <v>Алексютенко Сергей Владимирович</v>
      </c>
      <c r="K5855" s="24" t="s">
        <v>9024</v>
      </c>
      <c r="L5855" s="22" t="s">
        <v>10</v>
      </c>
      <c r="M5855" s="25">
        <v>49800</v>
      </c>
      <c r="N5855" s="27">
        <v>0.17</v>
      </c>
    </row>
    <row r="5856" spans="1:14" hidden="1" outlineLevel="1" x14ac:dyDescent="0.2">
      <c r="A5856" s="23" t="str">
        <f>HYPERLINK("https://www.spark-marketing.ru/Card/Person/64555", "ФГБНУ ""ВНИИ АГРОХИМИИ""")</f>
        <v>ФГБНУ "ВНИИ АГРОХИМИИ"</v>
      </c>
      <c r="B5856" s="24" t="s">
        <v>9021</v>
      </c>
      <c r="C5856" s="25">
        <v>60000</v>
      </c>
      <c r="D5856" s="22" t="s">
        <v>9022</v>
      </c>
      <c r="E5856" s="22" t="s">
        <v>48</v>
      </c>
      <c r="F5856" s="23" t="str">
        <f>HYPERLINK("https://www.spark-marketing.ru/Card/Lot/73004938", "Организация кофе-брейка для целей Международной научной конференции ""Агрохимическое обеспечение цифрового земледелия""")</f>
        <v>Организация кофе-брейка для целей Международной научной конференции "Агрохимическое обеспечение цифрового земледелия"</v>
      </c>
      <c r="G5856" s="22" t="s">
        <v>56</v>
      </c>
      <c r="H5856" s="22" t="s">
        <v>56</v>
      </c>
      <c r="I5856" s="26">
        <v>43700.706400463001</v>
      </c>
      <c r="J5856" s="23" t="str">
        <f>HYPERLINK("https://www.spark-marketing.ru/Card/Person/4349782", "ООО ""АРТОКС""")</f>
        <v>ООО "АРТОКС"</v>
      </c>
      <c r="K5856" s="24" t="s">
        <v>9025</v>
      </c>
      <c r="L5856" s="28" t="s">
        <v>51</v>
      </c>
      <c r="M5856" s="25">
        <v>55800</v>
      </c>
      <c r="N5856" s="27">
        <v>7.0000000000000007E-2</v>
      </c>
    </row>
    <row r="5857" spans="1:14" x14ac:dyDescent="0.15">
      <c r="A5857" s="23" t="str">
        <f>HYPERLINK("https://www.spark-marketing.ru/Card/Person/156170", "УПРАВДЕЛАМИ ГЛАВЫ РБ")</f>
        <v>УПРАВДЕЛАМИ ГЛАВЫ РБ</v>
      </c>
      <c r="B5857" s="24" t="s">
        <v>9026</v>
      </c>
      <c r="C5857" s="25">
        <v>7930000</v>
      </c>
      <c r="D5857" s="22" t="s">
        <v>9027</v>
      </c>
      <c r="E5857" s="22" t="s">
        <v>67</v>
      </c>
      <c r="F5857" s="23" t="str">
        <f>HYPERLINK("https://www.spark-marketing.ru/Card/Lot/73005372", "Оказание услуг, связанных с обеспечением визитов делегаций и лиц, прибывших в Республику Башкортостан, проведением официальных приемов, заседаний, совещаний, встреч, торжественных и иных мероприятий, в том числе выездных: организация питания (предста...")</f>
        <v>Оказание услуг, связанных с обеспечением визитов делегаций и лиц, прибывших в Республику Башкортостан, проведением официальных приемов, заседаний, совещаний, встреч, торжественных и иных мероприятий, в том числе выездных: организация питания (предста...</v>
      </c>
      <c r="G5857" s="22" t="s">
        <v>145</v>
      </c>
      <c r="H5857" s="22" t="s">
        <v>145</v>
      </c>
      <c r="I5857" s="26">
        <v>43700.7052430556</v>
      </c>
      <c r="J5857" s="23" t="str">
        <f>HYPERLINK("https://www.spark-marketing.ru/Card/Person/6620192", "ООО ""КОМБИНАТ ПИТАНИЯ""")</f>
        <v>ООО "КОМБИНАТ ПИТАНИЯ"</v>
      </c>
      <c r="K5857" s="24" t="s">
        <v>2092</v>
      </c>
      <c r="L5857" s="22" t="s">
        <v>10</v>
      </c>
      <c r="M5857" s="28" t="s">
        <v>51</v>
      </c>
      <c r="N5857" s="28" t="s">
        <v>51</v>
      </c>
    </row>
    <row r="5858" spans="1:14" x14ac:dyDescent="0.15">
      <c r="A5858" s="23" t="str">
        <f>HYPERLINK("https://www.spark-marketing.ru/Card/Person/79013", "ФБЛПУ ""САНАТОРИЙ ""РАДУГА"" ФНС РОССИИ""")</f>
        <v>ФБЛПУ "САНАТОРИЙ "РАДУГА" ФНС РОССИИ"</v>
      </c>
      <c r="B5858" s="24" t="s">
        <v>9028</v>
      </c>
      <c r="C5858" s="25">
        <v>79200000</v>
      </c>
      <c r="D5858" s="22" t="s">
        <v>9029</v>
      </c>
      <c r="E5858" s="22" t="s">
        <v>48</v>
      </c>
      <c r="F5858" s="23" t="str">
        <f>HYPERLINK("https://www.spark-marketing.ru/Card/Lot/73006466", "Оказание услуг по организации общественного питания в ФБЛПУ «Санаторий «Радуга» ФНС России»")</f>
        <v>Оказание услуг по организации общественного питания в ФБЛПУ «Санаторий «Радуга» ФНС России»</v>
      </c>
      <c r="G5858" s="22" t="s">
        <v>104</v>
      </c>
      <c r="H5858" s="22" t="s">
        <v>969</v>
      </c>
      <c r="I5858" s="26">
        <v>43700.727557870399</v>
      </c>
      <c r="J5858" s="23" t="str">
        <f>HYPERLINK("https://www.spark-marketing.ru/Card/Person/118594", "ООО ""СМАК ПЛЮС""")</f>
        <v>ООО "СМАК ПЛЮС"</v>
      </c>
      <c r="K5858" s="24" t="s">
        <v>9030</v>
      </c>
      <c r="L5858" s="28" t="s">
        <v>51</v>
      </c>
      <c r="M5858" s="28" t="s">
        <v>51</v>
      </c>
      <c r="N5858" s="28" t="s">
        <v>51</v>
      </c>
    </row>
    <row r="5859" spans="1:14" hidden="1" outlineLevel="1" x14ac:dyDescent="0.2">
      <c r="A5859" s="23" t="str">
        <f>HYPERLINK("https://www.spark-marketing.ru/Card/Person/79013", "ФБЛПУ ""САНАТОРИЙ ""РАДУГА"" ФНС РОССИИ""")</f>
        <v>ФБЛПУ "САНАТОРИЙ "РАДУГА" ФНС РОССИИ"</v>
      </c>
      <c r="B5859" s="24" t="s">
        <v>9028</v>
      </c>
      <c r="C5859" s="25">
        <v>79200000</v>
      </c>
      <c r="D5859" s="22" t="s">
        <v>9029</v>
      </c>
      <c r="E5859" s="22" t="s">
        <v>48</v>
      </c>
      <c r="F5859" s="23" t="str">
        <f>HYPERLINK("https://www.spark-marketing.ru/Card/Lot/73006466", "Оказание услуг по организации общественного питания в ФБЛПУ «Санаторий «Радуга» ФНС России»")</f>
        <v>Оказание услуг по организации общественного питания в ФБЛПУ «Санаторий «Радуга» ФНС России»</v>
      </c>
      <c r="G5859" s="22" t="s">
        <v>104</v>
      </c>
      <c r="H5859" s="22" t="s">
        <v>969</v>
      </c>
      <c r="I5859" s="26">
        <v>43700.727557870399</v>
      </c>
      <c r="J5859" s="23" t="str">
        <f>HYPERLINK("https://www.spark-marketing.ru/Card/Person/118594", "ООО ""СМАК ПЛЮС""")</f>
        <v>ООО "СМАК ПЛЮС"</v>
      </c>
      <c r="K5859" s="24" t="s">
        <v>9030</v>
      </c>
      <c r="L5859" s="28" t="s">
        <v>51</v>
      </c>
      <c r="M5859" s="25">
        <v>78000000</v>
      </c>
      <c r="N5859" s="27">
        <v>1.5151515151515152E-2</v>
      </c>
    </row>
    <row r="5860" spans="1:14" x14ac:dyDescent="0.15">
      <c r="A5860" s="23" t="str">
        <f>HYPERLINK("https://www.spark-marketing.ru/Card/Person/37657", "МВД ПО РЕСПУБЛИКЕ КАЛМЫКИЯ")</f>
        <v>МВД ПО РЕСПУБЛИКЕ КАЛМЫКИЯ</v>
      </c>
      <c r="B5860" s="24" t="s">
        <v>8511</v>
      </c>
      <c r="C5860" s="25">
        <v>200000</v>
      </c>
      <c r="D5860" s="22" t="s">
        <v>9031</v>
      </c>
      <c r="E5860" s="22" t="s">
        <v>48</v>
      </c>
      <c r="F5860" s="23" t="str">
        <f>HYPERLINK("https://www.spark-marketing.ru/Card/Lot/73003560",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 содержащихся в специа...")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 содержащихся в специа...</v>
      </c>
      <c r="G5860" s="22" t="s">
        <v>8513</v>
      </c>
      <c r="H5860" s="22" t="s">
        <v>9032</v>
      </c>
      <c r="I5860" s="26">
        <v>43700.738912036999</v>
      </c>
      <c r="J5860" s="28" t="s">
        <v>51</v>
      </c>
      <c r="K5860" s="28" t="s">
        <v>51</v>
      </c>
      <c r="L5860" s="28" t="s">
        <v>51</v>
      </c>
      <c r="M5860" s="28" t="s">
        <v>51</v>
      </c>
      <c r="N5860" s="28" t="s">
        <v>51</v>
      </c>
    </row>
    <row r="5861" spans="1:14" x14ac:dyDescent="0.15">
      <c r="A5861" s="23" t="str">
        <f>HYPERLINK("https://www.spark-marketing.ru/Card/Person/389405", "ОМВД РОССИИ ПО СУДЖАНСКОМУ РАЙОНУ")</f>
        <v>ОМВД РОССИИ ПО СУДЖАНСКОМУ РАЙОНУ</v>
      </c>
      <c r="B5861" s="24" t="s">
        <v>9033</v>
      </c>
      <c r="C5861" s="25">
        <v>688900</v>
      </c>
      <c r="D5861" s="22" t="s">
        <v>9034</v>
      </c>
      <c r="E5861" s="22" t="s">
        <v>96</v>
      </c>
      <c r="F5861" s="23" t="str">
        <f>HYPERLINK("https://www.spark-marketing.ru/Card/Lot/73004956", "Питание ИВС")</f>
        <v>Питание ИВС</v>
      </c>
      <c r="G5861" s="22" t="s">
        <v>1111</v>
      </c>
      <c r="H5861" s="22" t="s">
        <v>1111</v>
      </c>
      <c r="I5861" s="26">
        <v>43700.721967592603</v>
      </c>
      <c r="J5861" s="23" t="str">
        <f>HYPERLINK("https://www.spark-marketing.ru/Card/Person/432645", "ООО "" ПРОХЛАДА""")</f>
        <v>ООО " ПРОХЛАДА"</v>
      </c>
      <c r="K5861" s="24" t="s">
        <v>9035</v>
      </c>
      <c r="L5861" s="22" t="s">
        <v>10</v>
      </c>
      <c r="M5861" s="28" t="s">
        <v>51</v>
      </c>
      <c r="N5861" s="28" t="s">
        <v>51</v>
      </c>
    </row>
    <row r="5862" spans="1:14" x14ac:dyDescent="0.15">
      <c r="A5862" s="23" t="str">
        <f>HYPERLINK("https://www.spark-marketing.ru/Card/Person/37657", "МВД ПО РЕСПУБЛИКЕ КАЛМЫКИЯ")</f>
        <v>МВД ПО РЕСПУБЛИКЕ КАЛМЫКИЯ</v>
      </c>
      <c r="B5862" s="24" t="s">
        <v>8511</v>
      </c>
      <c r="C5862" s="25">
        <v>140000</v>
      </c>
      <c r="D5862" s="22" t="s">
        <v>9036</v>
      </c>
      <c r="E5862" s="22" t="s">
        <v>48</v>
      </c>
      <c r="F5862" s="23" t="str">
        <f>HYPERLINK("https://www.spark-marketing.ru/Card/Lot/73003556",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задержанных, содержащихся в специ...")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задержанных, содержащихся в специ...</v>
      </c>
      <c r="G5862" s="22" t="s">
        <v>8513</v>
      </c>
      <c r="H5862" s="22" t="s">
        <v>9037</v>
      </c>
      <c r="I5862" s="26">
        <v>43700.733009259297</v>
      </c>
      <c r="J5862" s="28" t="s">
        <v>51</v>
      </c>
      <c r="K5862" s="28" t="s">
        <v>51</v>
      </c>
      <c r="L5862" s="28" t="s">
        <v>51</v>
      </c>
      <c r="M5862" s="28" t="s">
        <v>51</v>
      </c>
      <c r="N5862" s="28" t="s">
        <v>51</v>
      </c>
    </row>
    <row r="5863" spans="1:14" x14ac:dyDescent="0.15">
      <c r="A5863" s="23" t="str">
        <f>HYPERLINK("https://www.spark-marketing.ru/Card/Person/56360", "УПРАВЛЕНИЕ МВД РОССИИ ПО ГОРОДУ ВОЛЖСКОМУ")</f>
        <v>УПРАВЛЕНИЕ МВД РОССИИ ПО ГОРОДУ ВОЛЖСКОМУ</v>
      </c>
      <c r="B5863" s="24" t="s">
        <v>8215</v>
      </c>
      <c r="C5863" s="25">
        <v>2527000</v>
      </c>
      <c r="D5863" s="22" t="s">
        <v>9038</v>
      </c>
      <c r="E5863" s="22" t="s">
        <v>48</v>
      </c>
      <c r="F5863" s="23" t="str">
        <f>HYPERLINK("https://www.spark-marketing.ru/Card/Lot/73005368", "Услуги по организации комплексного питания лиц, содержащихся в специальном приемнике Управления МВД России по городу Волжскому для содержания лиц, подвергнутых административному аресту, лиц содержащихся в изоляторе временного содержания подозреваемых...")</f>
        <v>Услуги по организации комплексного питания лиц, содержащихся в специальном приемнике Управления МВД России по городу Волжскому для содержания лиц, подвергнутых административному аресту, лиц содержащихся в изоляторе временного содержания подозреваемых...</v>
      </c>
      <c r="G5863" s="22" t="s">
        <v>158</v>
      </c>
      <c r="H5863" s="22" t="s">
        <v>1380</v>
      </c>
      <c r="I5863" s="26">
        <v>43700.722395833298</v>
      </c>
      <c r="J5863" s="28" t="s">
        <v>51</v>
      </c>
      <c r="K5863" s="28" t="s">
        <v>51</v>
      </c>
      <c r="L5863" s="28" t="s">
        <v>51</v>
      </c>
      <c r="M5863" s="28" t="s">
        <v>51</v>
      </c>
      <c r="N5863" s="28" t="s">
        <v>51</v>
      </c>
    </row>
    <row r="5864" spans="1:14" ht="12.75" hidden="1" outlineLevel="1" x14ac:dyDescent="0.2">
      <c r="A5864" s="23" t="str">
        <f>HYPERLINK("https://www.spark-marketing.ru/Card/Person/56360", "УПРАВЛЕНИЕ МВД РОССИИ ПО ГОРОДУ ВОЛЖСКОМУ")</f>
        <v>УПРАВЛЕНИЕ МВД РОССИИ ПО ГОРОДУ ВОЛЖСКОМУ</v>
      </c>
      <c r="B5864" s="24" t="s">
        <v>8215</v>
      </c>
      <c r="C5864" s="25">
        <v>2527000</v>
      </c>
      <c r="D5864" s="22" t="s">
        <v>9038</v>
      </c>
      <c r="E5864" s="22" t="s">
        <v>48</v>
      </c>
      <c r="F5864" s="23" t="str">
        <f>HYPERLINK("https://www.spark-marketing.ru/Card/Lot/73005368", "Услуги по организации комплексного питания лиц, содержащихся в специальном приемнике Управления МВД России по городу Волжскому для содержания лиц, подвергнутых административному аресту, лиц содержащихся в изоляторе временного содержания подозреваемых...")</f>
        <v>Услуги по организации комплексного питания лиц, содержащихся в специальном приемнике Управления МВД России по городу Волжскому для содержания лиц, подвергнутых административному аресту, лиц содержащихся в изоляторе временного содержания подозреваемых...</v>
      </c>
      <c r="G5864" s="22" t="s">
        <v>158</v>
      </c>
      <c r="H5864" s="22" t="s">
        <v>1380</v>
      </c>
      <c r="I5864" s="26">
        <v>43700.722395833298</v>
      </c>
      <c r="J5864" s="23" t="str">
        <f>HYPERLINK("https://www.spark-marketing.ru/Card/Person/56423", "ООО ""ВОЛГАСЕРВИСПРОДУКТ""")</f>
        <v>ООО "ВОЛГАСЕРВИСПРОДУКТ"</v>
      </c>
      <c r="K5864" s="24" t="s">
        <v>3035</v>
      </c>
      <c r="L5864" s="22" t="s">
        <v>10</v>
      </c>
      <c r="M5864" s="25">
        <v>2489095</v>
      </c>
      <c r="N5864" s="27">
        <v>1.4999999999999999E-2</v>
      </c>
    </row>
    <row r="5865" spans="1:14" hidden="1" outlineLevel="1" x14ac:dyDescent="0.2">
      <c r="A5865" s="23" t="str">
        <f>HYPERLINK("https://www.spark-marketing.ru/Card/Person/56360", "УПРАВЛЕНИЕ МВД РОССИИ ПО ГОРОДУ ВОЛЖСКОМУ")</f>
        <v>УПРАВЛЕНИЕ МВД РОССИИ ПО ГОРОДУ ВОЛЖСКОМУ</v>
      </c>
      <c r="B5865" s="24" t="s">
        <v>8215</v>
      </c>
      <c r="C5865" s="25">
        <v>2527000</v>
      </c>
      <c r="D5865" s="22" t="s">
        <v>9038</v>
      </c>
      <c r="E5865" s="22" t="s">
        <v>48</v>
      </c>
      <c r="F5865" s="23" t="str">
        <f>HYPERLINK("https://www.spark-marketing.ru/Card/Lot/73005368", "Услуги по организации комплексного питания лиц, содержащихся в специальном приемнике Управления МВД России по городу Волжскому для содержания лиц, подвергнутых административному аресту, лиц содержащихся в изоляторе временного содержания подозреваемых...")</f>
        <v>Услуги по организации комплексного питания лиц, содержащихся в специальном приемнике Управления МВД России по городу Волжскому для содержания лиц, подвергнутых административному аресту, лиц содержащихся в изоляторе временного содержания подозреваемых...</v>
      </c>
      <c r="G5865" s="22" t="s">
        <v>158</v>
      </c>
      <c r="H5865" s="22" t="s">
        <v>1380</v>
      </c>
      <c r="I5865" s="26">
        <v>43700.722395833298</v>
      </c>
      <c r="J5865" s="23" t="str">
        <f>HYPERLINK("https://www.spark-marketing.ru/Card/Person/6697092", "Горюнов Иван Александрович")</f>
        <v>Горюнов Иван Александрович</v>
      </c>
      <c r="K5865" s="24" t="s">
        <v>5302</v>
      </c>
      <c r="L5865" s="28" t="s">
        <v>51</v>
      </c>
      <c r="M5865" s="25">
        <v>2501730</v>
      </c>
      <c r="N5865" s="27">
        <v>0.01</v>
      </c>
    </row>
    <row r="5866" spans="1:14" x14ac:dyDescent="0.15">
      <c r="A5866" s="23" t="str">
        <f>HYPERLINK("https://www.spark-marketing.ru/Card/Person/37657", "МВД ПО РЕСПУБЛИКЕ КАЛМЫКИЯ")</f>
        <v>МВД ПО РЕСПУБЛИКЕ КАЛМЫКИЯ</v>
      </c>
      <c r="B5866" s="24" t="s">
        <v>8511</v>
      </c>
      <c r="C5866" s="25">
        <v>140000</v>
      </c>
      <c r="D5866" s="22" t="s">
        <v>9039</v>
      </c>
      <c r="E5866" s="22" t="s">
        <v>48</v>
      </c>
      <c r="F5866" s="23" t="str">
        <f>HYPERLINK("https://www.spark-marketing.ru/Card/Lot/73003487",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задержанных, содержащихся в специ...")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задержанных, содержащихся в специ...</v>
      </c>
      <c r="G5866" s="22" t="s">
        <v>8513</v>
      </c>
      <c r="H5866" s="22" t="s">
        <v>9037</v>
      </c>
      <c r="I5866" s="26">
        <v>43700.734699074099</v>
      </c>
      <c r="J5866" s="28" t="s">
        <v>51</v>
      </c>
      <c r="K5866" s="28" t="s">
        <v>51</v>
      </c>
      <c r="L5866" s="28" t="s">
        <v>51</v>
      </c>
      <c r="M5866" s="28" t="s">
        <v>51</v>
      </c>
      <c r="N5866" s="28" t="s">
        <v>51</v>
      </c>
    </row>
    <row r="5867" spans="1:14" x14ac:dyDescent="0.15">
      <c r="A5867" s="23" t="str">
        <f>HYPERLINK("https://www.spark-marketing.ru/Card/Person/37657", "МВД ПО РЕСПУБЛИКЕ КАЛМЫКИЯ")</f>
        <v>МВД ПО РЕСПУБЛИКЕ КАЛМЫКИЯ</v>
      </c>
      <c r="B5867" s="24" t="s">
        <v>8511</v>
      </c>
      <c r="C5867" s="25">
        <v>200000</v>
      </c>
      <c r="D5867" s="22" t="s">
        <v>9040</v>
      </c>
      <c r="E5867" s="22" t="s">
        <v>48</v>
      </c>
      <c r="F5867" s="23" t="str">
        <f>HYPERLINK("https://www.spark-marketing.ru/Card/Lot/73003559",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 содержащихся в специа...")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 содержащихся в изоляторе временного содержания и задержанных содержащихся в специа...</v>
      </c>
      <c r="G5867" s="22" t="s">
        <v>8513</v>
      </c>
      <c r="H5867" s="22" t="s">
        <v>9032</v>
      </c>
      <c r="I5867" s="26">
        <v>43700.736516203702</v>
      </c>
      <c r="J5867" s="28" t="s">
        <v>51</v>
      </c>
      <c r="K5867" s="28" t="s">
        <v>51</v>
      </c>
      <c r="L5867" s="28" t="s">
        <v>51</v>
      </c>
      <c r="M5867" s="28" t="s">
        <v>51</v>
      </c>
      <c r="N5867" s="28" t="s">
        <v>51</v>
      </c>
    </row>
    <row r="5868" spans="1:14" x14ac:dyDescent="0.15">
      <c r="A5868" s="23" t="str">
        <f>HYPERLINK("https://www.spark-marketing.ru/Card/Person/639159", "ОТДЕЛ МВД РОССИИ ПО МЕЛЕУЗОВСКОМУ РАЙОНУ")</f>
        <v>ОТДЕЛ МВД РОССИИ ПО МЕЛЕУЗОВСКОМУ РАЙОНУ</v>
      </c>
      <c r="B5868" s="24" t="s">
        <v>9041</v>
      </c>
      <c r="C5868" s="25">
        <v>300000</v>
      </c>
      <c r="D5868" s="22" t="s">
        <v>9042</v>
      </c>
      <c r="E5868" s="22" t="s">
        <v>48</v>
      </c>
      <c r="F5868" s="23" t="str">
        <f>HYPERLINK("https://www.spark-marketing.ru/Card/Lot/73003516", "Оказание услуг по организации питания следственно - арестованных и административно - арестованных лиц, содержащихся в ИВС")</f>
        <v>Оказание услуг по организации питания следственно - арестованных и административно - арестованных лиц, содержащихся в ИВС</v>
      </c>
      <c r="G5868" s="22" t="s">
        <v>145</v>
      </c>
      <c r="H5868" s="22" t="s">
        <v>9043</v>
      </c>
      <c r="I5868" s="26">
        <v>43700.612523148098</v>
      </c>
      <c r="J5868" s="28" t="s">
        <v>51</v>
      </c>
      <c r="K5868" s="28" t="s">
        <v>51</v>
      </c>
      <c r="L5868" s="28" t="s">
        <v>51</v>
      </c>
      <c r="M5868" s="28" t="s">
        <v>51</v>
      </c>
      <c r="N5868" s="28" t="s">
        <v>51</v>
      </c>
    </row>
    <row r="5869" spans="1:14" ht="12.75" hidden="1" outlineLevel="1" x14ac:dyDescent="0.2">
      <c r="A5869" s="23" t="str">
        <f>HYPERLINK("https://www.spark-marketing.ru/Card/Person/639159", "ОТДЕЛ МВД РОССИИ ПО МЕЛЕУЗОВСКОМУ РАЙОНУ")</f>
        <v>ОТДЕЛ МВД РОССИИ ПО МЕЛЕУЗОВСКОМУ РАЙОНУ</v>
      </c>
      <c r="B5869" s="24" t="s">
        <v>9041</v>
      </c>
      <c r="C5869" s="25">
        <v>300000</v>
      </c>
      <c r="D5869" s="22" t="s">
        <v>9042</v>
      </c>
      <c r="E5869" s="22" t="s">
        <v>48</v>
      </c>
      <c r="F5869" s="23" t="str">
        <f>HYPERLINK("https://www.spark-marketing.ru/Card/Lot/73003516", "Оказание услуг по организации питания следственно - арестованных и административно - арестованных лиц, содержащихся в ИВС")</f>
        <v>Оказание услуг по организации питания следственно - арестованных и административно - арестованных лиц, содержащихся в ИВС</v>
      </c>
      <c r="G5869" s="22" t="s">
        <v>145</v>
      </c>
      <c r="H5869" s="22" t="s">
        <v>9043</v>
      </c>
      <c r="I5869" s="26">
        <v>43700.612523148098</v>
      </c>
      <c r="J5869" s="23" t="str">
        <f>HYPERLINK("https://www.spark-marketing.ru/Card/Person/6426332", "Пригарина Олеся Дамировна")</f>
        <v>Пригарина Олеся Дамировна</v>
      </c>
      <c r="K5869" s="24" t="s">
        <v>9044</v>
      </c>
      <c r="L5869" s="22" t="s">
        <v>10</v>
      </c>
      <c r="M5869" s="25">
        <v>843.17</v>
      </c>
      <c r="N5869" s="27">
        <v>0.99718943333333332</v>
      </c>
    </row>
    <row r="5870" spans="1:14" hidden="1" outlineLevel="1" x14ac:dyDescent="0.2">
      <c r="A5870" s="23" t="str">
        <f>HYPERLINK("https://www.spark-marketing.ru/Card/Person/639159", "ОТДЕЛ МВД РОССИИ ПО МЕЛЕУЗОВСКОМУ РАЙОНУ")</f>
        <v>ОТДЕЛ МВД РОССИИ ПО МЕЛЕУЗОВСКОМУ РАЙОНУ</v>
      </c>
      <c r="B5870" s="24" t="s">
        <v>9041</v>
      </c>
      <c r="C5870" s="25">
        <v>300000</v>
      </c>
      <c r="D5870" s="22" t="s">
        <v>9042</v>
      </c>
      <c r="E5870" s="22" t="s">
        <v>48</v>
      </c>
      <c r="F5870" s="23" t="str">
        <f>HYPERLINK("https://www.spark-marketing.ru/Card/Lot/73003516", "Оказание услуг по организации питания следственно - арестованных и административно - арестованных лиц, содержащихся в ИВС")</f>
        <v>Оказание услуг по организации питания следственно - арестованных и административно - арестованных лиц, содержащихся в ИВС</v>
      </c>
      <c r="G5870" s="22" t="s">
        <v>145</v>
      </c>
      <c r="H5870" s="22" t="s">
        <v>9043</v>
      </c>
      <c r="I5870" s="26">
        <v>43700.612523148098</v>
      </c>
      <c r="J5870" s="23" t="str">
        <f>HYPERLINK("https://www.spark-marketing.ru/Card/Person/6620532", "ООО ""АГРОТРЕЙД""")</f>
        <v>ООО "АГРОТРЕЙД"</v>
      </c>
      <c r="K5870" s="24" t="s">
        <v>7420</v>
      </c>
      <c r="L5870" s="28" t="s">
        <v>51</v>
      </c>
      <c r="M5870" s="25">
        <v>850.91</v>
      </c>
      <c r="N5870" s="27">
        <v>0.99716363333333335</v>
      </c>
    </row>
    <row r="5871" spans="1:14" x14ac:dyDescent="0.15">
      <c r="A5871" s="23" t="s">
        <v>114</v>
      </c>
      <c r="B5871" s="28" t="s">
        <v>51</v>
      </c>
      <c r="C5871" s="25">
        <v>6849794.5599999996</v>
      </c>
      <c r="D5871" s="22" t="s">
        <v>9045</v>
      </c>
      <c r="E5871" s="22" t="s">
        <v>48</v>
      </c>
      <c r="F5871" s="23" t="str">
        <f t="shared" ref="F5871:F5879" si="118">HYPERLINK("https://www.spark-marketing.ru/Card/Lot/73006845", "оказание услуг по организации сбалансированного питания воспитанников для нужд муниципальных бюджетных дошкольных образовательных учреждений")</f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71" s="22" t="s">
        <v>51</v>
      </c>
      <c r="H5871" s="22" t="s">
        <v>51</v>
      </c>
      <c r="I5871" s="26">
        <v>43700.714398148099</v>
      </c>
      <c r="J5871" s="28" t="s">
        <v>51</v>
      </c>
      <c r="K5871" s="28" t="s">
        <v>51</v>
      </c>
      <c r="L5871" s="28" t="s">
        <v>51</v>
      </c>
      <c r="M5871" s="28" t="s">
        <v>51</v>
      </c>
      <c r="N5871" s="28" t="s">
        <v>51</v>
      </c>
    </row>
    <row r="5872" spans="1:14" hidden="1" outlineLevel="1" x14ac:dyDescent="0.15">
      <c r="A5872" s="23" t="str">
        <f>HYPERLINK("https://www.spark-marketing.ru/Card/Person/87482", "МБДОУ ""ДЕТСКИЙ САД №91 ""ЖУРАВУШКА""")</f>
        <v>МБДОУ "ДЕТСКИЙ САД №91 "ЖУРАВУШКА"</v>
      </c>
      <c r="B5872" s="24" t="s">
        <v>9046</v>
      </c>
      <c r="C5872" s="25">
        <v>1762109.4399999999</v>
      </c>
      <c r="D5872" s="22" t="s">
        <v>9045</v>
      </c>
      <c r="E5872" s="22" t="s">
        <v>48</v>
      </c>
      <c r="F5872" s="23" t="str">
        <f t="shared" si="118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72" s="22" t="s">
        <v>217</v>
      </c>
      <c r="H5872" s="22" t="s">
        <v>1998</v>
      </c>
      <c r="I5872" s="26">
        <v>43700.714398148099</v>
      </c>
      <c r="J5872" s="28" t="s">
        <v>51</v>
      </c>
      <c r="K5872" s="28" t="s">
        <v>51</v>
      </c>
      <c r="L5872" s="28" t="s">
        <v>51</v>
      </c>
      <c r="M5872" s="28" t="s">
        <v>51</v>
      </c>
      <c r="N5872" s="28" t="s">
        <v>51</v>
      </c>
    </row>
    <row r="5873" spans="1:14" hidden="1" outlineLevel="1" x14ac:dyDescent="0.15">
      <c r="A5873" s="23" t="str">
        <f>HYPERLINK("https://www.spark-marketing.ru/Card/Person/89454", "МБДОУ ""ДЕТСКИЙ САД №42 ""АЛЕНЬКИЙ ЦВЕТОЧЕК""")</f>
        <v>МБДОУ "ДЕТСКИЙ САД №42 "АЛЕНЬКИЙ ЦВЕТОЧЕК"</v>
      </c>
      <c r="B5873" s="24" t="s">
        <v>9047</v>
      </c>
      <c r="C5873" s="25">
        <v>1559101.4399999999</v>
      </c>
      <c r="D5873" s="22" t="s">
        <v>9045</v>
      </c>
      <c r="E5873" s="22" t="s">
        <v>48</v>
      </c>
      <c r="F5873" s="23" t="str">
        <f t="shared" si="118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73" s="22" t="s">
        <v>217</v>
      </c>
      <c r="H5873" s="22" t="s">
        <v>1998</v>
      </c>
      <c r="I5873" s="26">
        <v>43700.714398148099</v>
      </c>
      <c r="J5873" s="28" t="s">
        <v>51</v>
      </c>
      <c r="K5873" s="28" t="s">
        <v>51</v>
      </c>
      <c r="L5873" s="28" t="s">
        <v>51</v>
      </c>
      <c r="M5873" s="28" t="s">
        <v>51</v>
      </c>
      <c r="N5873" s="28" t="s">
        <v>51</v>
      </c>
    </row>
    <row r="5874" spans="1:14" hidden="1" outlineLevel="1" x14ac:dyDescent="0.15">
      <c r="A5874" s="23" t="str">
        <f>HYPERLINK("https://www.spark-marketing.ru/Card/Person/89709", "МБДОУ ""ДЕТСКИЙ САД КОМБИНИРОВАННОГО ВИДА №71 ""КОРАБЛИК""")</f>
        <v>МБДОУ "ДЕТСКИЙ САД КОМБИНИРОВАННОГО ВИДА №71 "КОРАБЛИК"</v>
      </c>
      <c r="B5874" s="24" t="s">
        <v>9048</v>
      </c>
      <c r="C5874" s="25">
        <v>1656545.28</v>
      </c>
      <c r="D5874" s="22" t="s">
        <v>9045</v>
      </c>
      <c r="E5874" s="22" t="s">
        <v>48</v>
      </c>
      <c r="F5874" s="23" t="str">
        <f t="shared" si="118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74" s="22" t="s">
        <v>217</v>
      </c>
      <c r="H5874" s="22" t="s">
        <v>1998</v>
      </c>
      <c r="I5874" s="26">
        <v>43700.714398148099</v>
      </c>
      <c r="J5874" s="28" t="s">
        <v>51</v>
      </c>
      <c r="K5874" s="28" t="s">
        <v>51</v>
      </c>
      <c r="L5874" s="28" t="s">
        <v>51</v>
      </c>
      <c r="M5874" s="28" t="s">
        <v>51</v>
      </c>
      <c r="N5874" s="28" t="s">
        <v>51</v>
      </c>
    </row>
    <row r="5875" spans="1:14" hidden="1" outlineLevel="1" x14ac:dyDescent="0.15">
      <c r="A5875" s="23" t="str">
        <f>HYPERLINK("https://www.spark-marketing.ru/Card/Person/90218", "МБДОУ ""ДЕТСКИЙ САД КОМБИНИРОВАННОГО ВИДА №5 ""ТЕРЕМОК""")</f>
        <v>МБДОУ "ДЕТСКИЙ САД КОМБИНИРОВАННОГО ВИДА №5 "ТЕРЕМОК"</v>
      </c>
      <c r="B5875" s="24" t="s">
        <v>9049</v>
      </c>
      <c r="C5875" s="25">
        <v>122939.52</v>
      </c>
      <c r="D5875" s="22" t="s">
        <v>9045</v>
      </c>
      <c r="E5875" s="22" t="s">
        <v>48</v>
      </c>
      <c r="F5875" s="23" t="str">
        <f t="shared" si="118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75" s="22" t="s">
        <v>217</v>
      </c>
      <c r="H5875" s="22" t="s">
        <v>1998</v>
      </c>
      <c r="I5875" s="26">
        <v>43700.714398148099</v>
      </c>
      <c r="J5875" s="28" t="s">
        <v>51</v>
      </c>
      <c r="K5875" s="28" t="s">
        <v>51</v>
      </c>
      <c r="L5875" s="28" t="s">
        <v>51</v>
      </c>
      <c r="M5875" s="28" t="s">
        <v>51</v>
      </c>
      <c r="N5875" s="28" t="s">
        <v>51</v>
      </c>
    </row>
    <row r="5876" spans="1:14" hidden="1" outlineLevel="1" x14ac:dyDescent="0.15">
      <c r="A5876" s="23" t="str">
        <f>HYPERLINK("https://www.spark-marketing.ru/Card/Person/90298", "МБДОУ ""ДЕТСКИЙ САД КОМБИНИРОВАННОГО ВИДА №75 ""ГВОЗДИЧКА""")</f>
        <v>МБДОУ "ДЕТСКИЙ САД КОМБИНИРОВАННОГО ВИДА №75 "ГВОЗДИЧКА"</v>
      </c>
      <c r="B5876" s="24" t="s">
        <v>9050</v>
      </c>
      <c r="C5876" s="25">
        <v>189997.44</v>
      </c>
      <c r="D5876" s="22" t="s">
        <v>9045</v>
      </c>
      <c r="E5876" s="22" t="s">
        <v>48</v>
      </c>
      <c r="F5876" s="23" t="str">
        <f t="shared" si="118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76" s="22" t="s">
        <v>217</v>
      </c>
      <c r="H5876" s="22" t="s">
        <v>1998</v>
      </c>
      <c r="I5876" s="26">
        <v>43700.714398148099</v>
      </c>
      <c r="J5876" s="28" t="s">
        <v>51</v>
      </c>
      <c r="K5876" s="28" t="s">
        <v>51</v>
      </c>
      <c r="L5876" s="28" t="s">
        <v>51</v>
      </c>
      <c r="M5876" s="28" t="s">
        <v>51</v>
      </c>
      <c r="N5876" s="28" t="s">
        <v>51</v>
      </c>
    </row>
    <row r="5877" spans="1:14" hidden="1" outlineLevel="1" x14ac:dyDescent="0.15">
      <c r="A5877" s="23" t="str">
        <f>HYPERLINK("https://www.spark-marketing.ru/Card/Person/90771", "МБДОУ ""ДЕТСКИЙ САД №62 ""ВЕСНЯНОЧКА""")</f>
        <v>МБДОУ "ДЕТСКИЙ САД №62 "ВЕСНЯНОЧКА"</v>
      </c>
      <c r="B5877" s="24" t="s">
        <v>9051</v>
      </c>
      <c r="C5877" s="25">
        <v>1559101.4399999999</v>
      </c>
      <c r="D5877" s="22" t="s">
        <v>9045</v>
      </c>
      <c r="E5877" s="22" t="s">
        <v>48</v>
      </c>
      <c r="F5877" s="23" t="str">
        <f t="shared" si="118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77" s="22" t="s">
        <v>217</v>
      </c>
      <c r="H5877" s="22" t="s">
        <v>1998</v>
      </c>
      <c r="I5877" s="26">
        <v>43700.714398148099</v>
      </c>
      <c r="J5877" s="28" t="s">
        <v>51</v>
      </c>
      <c r="K5877" s="28" t="s">
        <v>51</v>
      </c>
      <c r="L5877" s="28" t="s">
        <v>51</v>
      </c>
      <c r="M5877" s="28" t="s">
        <v>51</v>
      </c>
      <c r="N5877" s="28" t="s">
        <v>51</v>
      </c>
    </row>
    <row r="5878" spans="1:14" hidden="1" outlineLevel="1" x14ac:dyDescent="0.2">
      <c r="A5878" s="28" t="s">
        <v>51</v>
      </c>
      <c r="B5878" s="28" t="s">
        <v>51</v>
      </c>
      <c r="C5878" s="28" t="s">
        <v>51</v>
      </c>
      <c r="D5878" s="22" t="s">
        <v>9045</v>
      </c>
      <c r="E5878" s="22" t="s">
        <v>48</v>
      </c>
      <c r="F5878" s="23" t="str">
        <f t="shared" si="118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78" s="22" t="s">
        <v>51</v>
      </c>
      <c r="H5878" s="22" t="s">
        <v>51</v>
      </c>
      <c r="I5878" s="26">
        <v>43700.714398148099</v>
      </c>
      <c r="J5878" s="23" t="str">
        <f>HYPERLINK("https://www.spark-marketing.ru/Card/Person/87385", "ООО ""ШКОЛЬНОЕ ПИТАНИЕ""")</f>
        <v>ООО "ШКОЛЬНОЕ ПИТАНИЕ"</v>
      </c>
      <c r="K5878" s="24" t="s">
        <v>6356</v>
      </c>
      <c r="L5878" s="22" t="s">
        <v>10</v>
      </c>
      <c r="M5878" s="25">
        <v>6849794.5599999996</v>
      </c>
      <c r="N5878" s="27">
        <v>0</v>
      </c>
    </row>
    <row r="5879" spans="1:14" hidden="1" outlineLevel="1" x14ac:dyDescent="0.2">
      <c r="A5879" s="28" t="s">
        <v>51</v>
      </c>
      <c r="B5879" s="28" t="s">
        <v>51</v>
      </c>
      <c r="C5879" s="28" t="s">
        <v>51</v>
      </c>
      <c r="D5879" s="22" t="s">
        <v>9045</v>
      </c>
      <c r="E5879" s="22" t="s">
        <v>48</v>
      </c>
      <c r="F5879" s="23" t="str">
        <f t="shared" si="118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79" s="22" t="s">
        <v>51</v>
      </c>
      <c r="H5879" s="22" t="s">
        <v>51</v>
      </c>
      <c r="I5879" s="26">
        <v>43700.714398148099</v>
      </c>
      <c r="J5879" s="23" t="str">
        <f>HYPERLINK("https://www.spark-marketing.ru/Card/Person/300377", "ООО ""ТУЙМАЗЫ-ФРУКТ""")</f>
        <v>ООО "ТУЙМАЗЫ-ФРУКТ"</v>
      </c>
      <c r="K5879" s="24" t="s">
        <v>9052</v>
      </c>
      <c r="L5879" s="28" t="s">
        <v>51</v>
      </c>
      <c r="M5879" s="25">
        <v>6849794.5599999996</v>
      </c>
      <c r="N5879" s="27">
        <v>0</v>
      </c>
    </row>
    <row r="5880" spans="1:14" x14ac:dyDescent="0.15">
      <c r="A5880" s="23" t="s">
        <v>114</v>
      </c>
      <c r="B5880" s="28" t="s">
        <v>51</v>
      </c>
      <c r="C5880" s="25">
        <v>5852940.1600000001</v>
      </c>
      <c r="D5880" s="22" t="s">
        <v>9053</v>
      </c>
      <c r="E5880" s="22" t="s">
        <v>48</v>
      </c>
      <c r="F5880" s="23" t="str">
        <f t="shared" ref="F5880:F5908" si="119">HYPERLINK("https://www.spark-marketing.ru/Card/Lot/73006844", "оказание услуг по организации сбалансированного питания воспитанников для нужд муниципальных бюджетных дошкольных образовательных учреждений")</f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80" s="22" t="s">
        <v>51</v>
      </c>
      <c r="H5880" s="22" t="s">
        <v>51</v>
      </c>
      <c r="I5880" s="26">
        <v>43700.706712963001</v>
      </c>
      <c r="J5880" s="28" t="s">
        <v>51</v>
      </c>
      <c r="K5880" s="28" t="s">
        <v>51</v>
      </c>
      <c r="L5880" s="28" t="s">
        <v>51</v>
      </c>
      <c r="M5880" s="28" t="s">
        <v>51</v>
      </c>
      <c r="N5880" s="28" t="s">
        <v>51</v>
      </c>
    </row>
    <row r="5881" spans="1:14" hidden="1" outlineLevel="1" x14ac:dyDescent="0.15">
      <c r="A5881" s="23" t="str">
        <f>HYPERLINK("https://www.spark-marketing.ru/Card/Person/48905", "МБДОУ ""ДЕТСКИЙ САД №10 ""МАЛЕНЬКИЙ ПРИНЦ""")</f>
        <v>МБДОУ "ДЕТСКИЙ САД №10 "МАЛЕНЬКИЙ ПРИНЦ"</v>
      </c>
      <c r="B5881" s="24" t="s">
        <v>9054</v>
      </c>
      <c r="C5881" s="25">
        <v>121953.92</v>
      </c>
      <c r="D5881" s="22" t="s">
        <v>9053</v>
      </c>
      <c r="E5881" s="22" t="s">
        <v>48</v>
      </c>
      <c r="F5881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81" s="22" t="s">
        <v>217</v>
      </c>
      <c r="H5881" s="22" t="s">
        <v>1998</v>
      </c>
      <c r="I5881" s="26">
        <v>43700.706712963001</v>
      </c>
      <c r="J5881" s="28" t="s">
        <v>51</v>
      </c>
      <c r="K5881" s="28" t="s">
        <v>51</v>
      </c>
      <c r="L5881" s="28" t="s">
        <v>51</v>
      </c>
      <c r="M5881" s="28" t="s">
        <v>51</v>
      </c>
      <c r="N5881" s="28" t="s">
        <v>51</v>
      </c>
    </row>
    <row r="5882" spans="1:14" hidden="1" outlineLevel="1" x14ac:dyDescent="0.15">
      <c r="A5882" s="23" t="str">
        <f>HYPERLINK("https://www.spark-marketing.ru/Card/Person/50458", "МБДОУ ""ДЕТСКИЙ САД КОМБИНИРОВАННОГО ВИДА №12 ""ГУСЕЛЬКИ""")</f>
        <v>МБДОУ "ДЕТСКИЙ САД КОМБИНИРОВАННОГО ВИДА №12 "ГУСЕЛЬКИ"</v>
      </c>
      <c r="B5882" s="24" t="s">
        <v>9055</v>
      </c>
      <c r="C5882" s="25">
        <v>121953.92</v>
      </c>
      <c r="D5882" s="22" t="s">
        <v>9053</v>
      </c>
      <c r="E5882" s="22" t="s">
        <v>48</v>
      </c>
      <c r="F5882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82" s="22" t="s">
        <v>217</v>
      </c>
      <c r="H5882" s="22" t="s">
        <v>1998</v>
      </c>
      <c r="I5882" s="26">
        <v>43700.706712963001</v>
      </c>
      <c r="J5882" s="28" t="s">
        <v>51</v>
      </c>
      <c r="K5882" s="28" t="s">
        <v>51</v>
      </c>
      <c r="L5882" s="28" t="s">
        <v>51</v>
      </c>
      <c r="M5882" s="28" t="s">
        <v>51</v>
      </c>
      <c r="N5882" s="28" t="s">
        <v>51</v>
      </c>
    </row>
    <row r="5883" spans="1:14" hidden="1" outlineLevel="1" x14ac:dyDescent="0.15">
      <c r="A5883" s="23" t="str">
        <f>HYPERLINK("https://www.spark-marketing.ru/Card/Person/87469", "МБДОУ ""ДЕТСКИЙ САД КОМБИНИРОВАННОГО ВИДА №84 ""СЕРЕБРЯНОЕ КОПЫТЦЕ""")</f>
        <v>МБДОУ "ДЕТСКИЙ САД КОМБИНИРОВАННОГО ВИДА №84 "СЕРЕБРЯНОЕ КОПЫТЦЕ"</v>
      </c>
      <c r="B5883" s="24" t="s">
        <v>9056</v>
      </c>
      <c r="C5883" s="25">
        <v>164996.48000000001</v>
      </c>
      <c r="D5883" s="22" t="s">
        <v>9053</v>
      </c>
      <c r="E5883" s="22" t="s">
        <v>48</v>
      </c>
      <c r="F5883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83" s="22" t="s">
        <v>217</v>
      </c>
      <c r="H5883" s="22" t="s">
        <v>1998</v>
      </c>
      <c r="I5883" s="26">
        <v>43700.706712963001</v>
      </c>
      <c r="J5883" s="28" t="s">
        <v>51</v>
      </c>
      <c r="K5883" s="28" t="s">
        <v>51</v>
      </c>
      <c r="L5883" s="28" t="s">
        <v>51</v>
      </c>
      <c r="M5883" s="28" t="s">
        <v>51</v>
      </c>
      <c r="N5883" s="28" t="s">
        <v>51</v>
      </c>
    </row>
    <row r="5884" spans="1:14" hidden="1" outlineLevel="1" x14ac:dyDescent="0.15">
      <c r="A5884" s="23" t="str">
        <f>HYPERLINK("https://www.spark-marketing.ru/Card/Person/87482", "МБДОУ ""ДЕТСКИЙ САД №91 ""ЖУРАВУШКА""")</f>
        <v>МБДОУ "ДЕТСКИЙ САД №91 "ЖУРАВУШКА"</v>
      </c>
      <c r="B5884" s="24" t="s">
        <v>9046</v>
      </c>
      <c r="C5884" s="25">
        <v>114780.16</v>
      </c>
      <c r="D5884" s="22" t="s">
        <v>9053</v>
      </c>
      <c r="E5884" s="22" t="s">
        <v>48</v>
      </c>
      <c r="F5884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84" s="22" t="s">
        <v>217</v>
      </c>
      <c r="H5884" s="22" t="s">
        <v>1998</v>
      </c>
      <c r="I5884" s="26">
        <v>43700.706712963001</v>
      </c>
      <c r="J5884" s="28" t="s">
        <v>51</v>
      </c>
      <c r="K5884" s="28" t="s">
        <v>51</v>
      </c>
      <c r="L5884" s="28" t="s">
        <v>51</v>
      </c>
      <c r="M5884" s="28" t="s">
        <v>51</v>
      </c>
      <c r="N5884" s="28" t="s">
        <v>51</v>
      </c>
    </row>
    <row r="5885" spans="1:14" hidden="1" outlineLevel="1" x14ac:dyDescent="0.15">
      <c r="A5885" s="23" t="str">
        <f>HYPERLINK("https://www.spark-marketing.ru/Card/Person/87484", "МБДОУ ""ДЕТСКИЙ САД №92 ""ГОЛБАКЧА""")</f>
        <v>МБДОУ "ДЕТСКИЙ САД №92 "ГОЛБАКЧА"</v>
      </c>
      <c r="B5885" s="24" t="s">
        <v>9057</v>
      </c>
      <c r="C5885" s="25">
        <v>121953.92</v>
      </c>
      <c r="D5885" s="22" t="s">
        <v>9053</v>
      </c>
      <c r="E5885" s="22" t="s">
        <v>48</v>
      </c>
      <c r="F5885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85" s="22" t="s">
        <v>217</v>
      </c>
      <c r="H5885" s="22" t="s">
        <v>1998</v>
      </c>
      <c r="I5885" s="26">
        <v>43700.706712963001</v>
      </c>
      <c r="J5885" s="28" t="s">
        <v>51</v>
      </c>
      <c r="K5885" s="28" t="s">
        <v>51</v>
      </c>
      <c r="L5885" s="28" t="s">
        <v>51</v>
      </c>
      <c r="M5885" s="28" t="s">
        <v>51</v>
      </c>
      <c r="N5885" s="28" t="s">
        <v>51</v>
      </c>
    </row>
    <row r="5886" spans="1:14" hidden="1" outlineLevel="1" x14ac:dyDescent="0.15">
      <c r="A5886" s="23" t="str">
        <f>HYPERLINK("https://www.spark-marketing.ru/Card/Person/88755", "МБДОУ ""ДЕТСКИЙ САД №89 ""ЧУЛПАН""")</f>
        <v>МБДОУ "ДЕТСКИЙ САД №89 "ЧУЛПАН"</v>
      </c>
      <c r="B5886" s="24" t="s">
        <v>9058</v>
      </c>
      <c r="C5886" s="25">
        <v>107606.39999999999</v>
      </c>
      <c r="D5886" s="22" t="s">
        <v>9053</v>
      </c>
      <c r="E5886" s="22" t="s">
        <v>48</v>
      </c>
      <c r="F5886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86" s="22" t="s">
        <v>217</v>
      </c>
      <c r="H5886" s="22" t="s">
        <v>1998</v>
      </c>
      <c r="I5886" s="26">
        <v>43700.706712963001</v>
      </c>
      <c r="J5886" s="28" t="s">
        <v>51</v>
      </c>
      <c r="K5886" s="28" t="s">
        <v>51</v>
      </c>
      <c r="L5886" s="28" t="s">
        <v>51</v>
      </c>
      <c r="M5886" s="28" t="s">
        <v>51</v>
      </c>
      <c r="N5886" s="28" t="s">
        <v>51</v>
      </c>
    </row>
    <row r="5887" spans="1:14" hidden="1" outlineLevel="1" x14ac:dyDescent="0.15">
      <c r="A5887" s="23" t="str">
        <f>HYPERLINK("https://www.spark-marketing.ru/Card/Person/88949", "МБДОУ ""ДЕТСКИЙ САД КОМБИНИРОВАННОГО ВИДА №6 ""НЕЗАБУДКА""")</f>
        <v>МБДОУ "ДЕТСКИЙ САД КОМБИНИРОВАННОГО ВИДА №6 "НЕЗАБУДКА"</v>
      </c>
      <c r="B5887" s="24" t="s">
        <v>9059</v>
      </c>
      <c r="C5887" s="25">
        <v>365861.76</v>
      </c>
      <c r="D5887" s="22" t="s">
        <v>9053</v>
      </c>
      <c r="E5887" s="22" t="s">
        <v>48</v>
      </c>
      <c r="F5887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87" s="22" t="s">
        <v>217</v>
      </c>
      <c r="H5887" s="22" t="s">
        <v>1998</v>
      </c>
      <c r="I5887" s="26">
        <v>43700.706712963001</v>
      </c>
      <c r="J5887" s="28" t="s">
        <v>51</v>
      </c>
      <c r="K5887" s="28" t="s">
        <v>51</v>
      </c>
      <c r="L5887" s="28" t="s">
        <v>51</v>
      </c>
      <c r="M5887" s="28" t="s">
        <v>51</v>
      </c>
      <c r="N5887" s="28" t="s">
        <v>51</v>
      </c>
    </row>
    <row r="5888" spans="1:14" hidden="1" outlineLevel="1" x14ac:dyDescent="0.15">
      <c r="A5888" s="23" t="str">
        <f>HYPERLINK("https://www.spark-marketing.ru/Card/Person/89133", "МБДОУ ""ДЕТСКИЙ САД КОМБИНИРОВАННОГО ВИДА №16 ""СКВОРУШКА""")</f>
        <v>МБДОУ "ДЕТСКИЙ САД КОМБИНИРОВАННОГО ВИДА №16 "СКВОРУШКА"</v>
      </c>
      <c r="B5888" s="24" t="s">
        <v>9060</v>
      </c>
      <c r="C5888" s="25">
        <v>121953.92</v>
      </c>
      <c r="D5888" s="22" t="s">
        <v>9053</v>
      </c>
      <c r="E5888" s="22" t="s">
        <v>48</v>
      </c>
      <c r="F5888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88" s="22" t="s">
        <v>217</v>
      </c>
      <c r="H5888" s="22" t="s">
        <v>1998</v>
      </c>
      <c r="I5888" s="26">
        <v>43700.706712963001</v>
      </c>
      <c r="J5888" s="28" t="s">
        <v>51</v>
      </c>
      <c r="K5888" s="28" t="s">
        <v>51</v>
      </c>
      <c r="L5888" s="28" t="s">
        <v>51</v>
      </c>
      <c r="M5888" s="28" t="s">
        <v>51</v>
      </c>
      <c r="N5888" s="28" t="s">
        <v>51</v>
      </c>
    </row>
    <row r="5889" spans="1:14" hidden="1" outlineLevel="1" x14ac:dyDescent="0.15">
      <c r="A5889" s="23" t="str">
        <f>HYPERLINK("https://www.spark-marketing.ru/Card/Person/89195", "МБДОУ ""ДЕТСКИЙ САД КОМБИНИРОВАННОГО ВИДА №14 ""ЗЕРНЫШКО""")</f>
        <v>МБДОУ "ДЕТСКИЙ САД КОМБИНИРОВАННОГО ВИДА №14 "ЗЕРНЫШКО"</v>
      </c>
      <c r="B5889" s="24" t="s">
        <v>9061</v>
      </c>
      <c r="C5889" s="25">
        <v>121953.92</v>
      </c>
      <c r="D5889" s="22" t="s">
        <v>9053</v>
      </c>
      <c r="E5889" s="22" t="s">
        <v>48</v>
      </c>
      <c r="F5889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89" s="22" t="s">
        <v>217</v>
      </c>
      <c r="H5889" s="22" t="s">
        <v>1998</v>
      </c>
      <c r="I5889" s="26">
        <v>43700.706712963001</v>
      </c>
      <c r="J5889" s="28" t="s">
        <v>51</v>
      </c>
      <c r="K5889" s="28" t="s">
        <v>51</v>
      </c>
      <c r="L5889" s="28" t="s">
        <v>51</v>
      </c>
      <c r="M5889" s="28" t="s">
        <v>51</v>
      </c>
      <c r="N5889" s="28" t="s">
        <v>51</v>
      </c>
    </row>
    <row r="5890" spans="1:14" hidden="1" outlineLevel="1" x14ac:dyDescent="0.15">
      <c r="A5890" s="23" t="str">
        <f>HYPERLINK("https://www.spark-marketing.ru/Card/Person/89571", "МБДОУ ""ДЕТСКИЙ САД №49 ""ГУЛЬНАЗ""")</f>
        <v>МБДОУ "ДЕТСКИЙ САД №49 "ГУЛЬНАЗ"</v>
      </c>
      <c r="B5890" s="24" t="s">
        <v>9062</v>
      </c>
      <c r="C5890" s="25">
        <v>487815.67999999999</v>
      </c>
      <c r="D5890" s="22" t="s">
        <v>9053</v>
      </c>
      <c r="E5890" s="22" t="s">
        <v>48</v>
      </c>
      <c r="F5890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90" s="22" t="s">
        <v>217</v>
      </c>
      <c r="H5890" s="22" t="s">
        <v>1998</v>
      </c>
      <c r="I5890" s="26">
        <v>43700.706712963001</v>
      </c>
      <c r="J5890" s="28" t="s">
        <v>51</v>
      </c>
      <c r="K5890" s="28" t="s">
        <v>51</v>
      </c>
      <c r="L5890" s="28" t="s">
        <v>51</v>
      </c>
      <c r="M5890" s="28" t="s">
        <v>51</v>
      </c>
      <c r="N5890" s="28" t="s">
        <v>51</v>
      </c>
    </row>
    <row r="5891" spans="1:14" hidden="1" outlineLevel="1" x14ac:dyDescent="0.15">
      <c r="A5891" s="23" t="str">
        <f>HYPERLINK("https://www.spark-marketing.ru/Card/Person/89728", "МБДОУ ""ДЕТСКИЙ САД КОМБИНИРОВАННОГО ВИДА №31 ""КРАСНАЯ ШАПОЧКА""")</f>
        <v>МБДОУ "ДЕТСКИЙ САД КОМБИНИРОВАННОГО ВИДА №31 "КРАСНАЯ ШАПОЧКА"</v>
      </c>
      <c r="B5891" s="24" t="s">
        <v>9063</v>
      </c>
      <c r="C5891" s="25">
        <v>251081.60000000001</v>
      </c>
      <c r="D5891" s="22" t="s">
        <v>9053</v>
      </c>
      <c r="E5891" s="22" t="s">
        <v>48</v>
      </c>
      <c r="F5891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91" s="22" t="s">
        <v>217</v>
      </c>
      <c r="H5891" s="22" t="s">
        <v>1998</v>
      </c>
      <c r="I5891" s="26">
        <v>43700.706712963001</v>
      </c>
      <c r="J5891" s="28" t="s">
        <v>51</v>
      </c>
      <c r="K5891" s="28" t="s">
        <v>51</v>
      </c>
      <c r="L5891" s="28" t="s">
        <v>51</v>
      </c>
      <c r="M5891" s="28" t="s">
        <v>51</v>
      </c>
      <c r="N5891" s="28" t="s">
        <v>51</v>
      </c>
    </row>
    <row r="5892" spans="1:14" hidden="1" outlineLevel="1" x14ac:dyDescent="0.15">
      <c r="A5892" s="23" t="str">
        <f>HYPERLINK("https://www.spark-marketing.ru/Card/Person/89808", "МБДОУ ""ДЕТСКИЙ САД №28 ""СНЕЖИНКА""")</f>
        <v>МБДОУ "ДЕТСКИЙ САД №28 "СНЕЖИНКА"</v>
      </c>
      <c r="B5892" s="24" t="s">
        <v>9064</v>
      </c>
      <c r="C5892" s="25">
        <v>294124.15999999997</v>
      </c>
      <c r="D5892" s="22" t="s">
        <v>9053</v>
      </c>
      <c r="E5892" s="22" t="s">
        <v>48</v>
      </c>
      <c r="F5892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92" s="22" t="s">
        <v>217</v>
      </c>
      <c r="H5892" s="22" t="s">
        <v>1998</v>
      </c>
      <c r="I5892" s="26">
        <v>43700.706712963001</v>
      </c>
      <c r="J5892" s="28" t="s">
        <v>51</v>
      </c>
      <c r="K5892" s="28" t="s">
        <v>51</v>
      </c>
      <c r="L5892" s="28" t="s">
        <v>51</v>
      </c>
      <c r="M5892" s="28" t="s">
        <v>51</v>
      </c>
      <c r="N5892" s="28" t="s">
        <v>51</v>
      </c>
    </row>
    <row r="5893" spans="1:14" hidden="1" outlineLevel="1" x14ac:dyDescent="0.15">
      <c r="A5893" s="23" t="str">
        <f>HYPERLINK("https://www.spark-marketing.ru/Card/Person/89954", "МБДОУ ""ДЕТСКИЙ САД №43 ""РУЧЕЕК""")</f>
        <v>МБДОУ "ДЕТСКИЙ САД №43 "РУЧЕЕК"</v>
      </c>
      <c r="B5893" s="24" t="s">
        <v>9065</v>
      </c>
      <c r="C5893" s="25">
        <v>365861.76</v>
      </c>
      <c r="D5893" s="22" t="s">
        <v>9053</v>
      </c>
      <c r="E5893" s="22" t="s">
        <v>48</v>
      </c>
      <c r="F5893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93" s="22" t="s">
        <v>217</v>
      </c>
      <c r="H5893" s="22" t="s">
        <v>1998</v>
      </c>
      <c r="I5893" s="26">
        <v>43700.706712963001</v>
      </c>
      <c r="J5893" s="28" t="s">
        <v>51</v>
      </c>
      <c r="K5893" s="28" t="s">
        <v>51</v>
      </c>
      <c r="L5893" s="28" t="s">
        <v>51</v>
      </c>
      <c r="M5893" s="28" t="s">
        <v>51</v>
      </c>
      <c r="N5893" s="28" t="s">
        <v>51</v>
      </c>
    </row>
    <row r="5894" spans="1:14" hidden="1" outlineLevel="1" x14ac:dyDescent="0.15">
      <c r="A5894" s="23" t="str">
        <f>HYPERLINK("https://www.spark-marketing.ru/Card/Person/90178", "МБДОУ ""ДЕТСКИЙ САД КОМБИНИРОВАННОГО ВИДА №65 ""МАШЕНЬКА""")</f>
        <v>МБДОУ "ДЕТСКИЙ САД КОМБИНИРОВАННОГО ВИДА №65 "МАШЕНЬКА"</v>
      </c>
      <c r="B5894" s="24" t="s">
        <v>9066</v>
      </c>
      <c r="C5894" s="25">
        <v>150648.95999999999</v>
      </c>
      <c r="D5894" s="22" t="s">
        <v>9053</v>
      </c>
      <c r="E5894" s="22" t="s">
        <v>48</v>
      </c>
      <c r="F5894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94" s="22" t="s">
        <v>217</v>
      </c>
      <c r="H5894" s="22" t="s">
        <v>1998</v>
      </c>
      <c r="I5894" s="26">
        <v>43700.706712963001</v>
      </c>
      <c r="J5894" s="28" t="s">
        <v>51</v>
      </c>
      <c r="K5894" s="28" t="s">
        <v>51</v>
      </c>
      <c r="L5894" s="28" t="s">
        <v>51</v>
      </c>
      <c r="M5894" s="28" t="s">
        <v>51</v>
      </c>
      <c r="N5894" s="28" t="s">
        <v>51</v>
      </c>
    </row>
    <row r="5895" spans="1:14" hidden="1" outlineLevel="1" x14ac:dyDescent="0.15">
      <c r="A5895" s="23" t="str">
        <f>HYPERLINK("https://www.spark-marketing.ru/Card/Person/90179", "МБДОУ ""ДЕТСКИЙ САД КОМБИНИРОВАННОГО ВИДА №54 ""ИСКОРКА""")</f>
        <v>МБДОУ "ДЕТСКИЙ САД КОМБИНИРОВАННОГО ВИДА №54 "ИСКОРКА"</v>
      </c>
      <c r="B5895" s="24" t="s">
        <v>9067</v>
      </c>
      <c r="C5895" s="25">
        <v>437599.36</v>
      </c>
      <c r="D5895" s="22" t="s">
        <v>9053</v>
      </c>
      <c r="E5895" s="22" t="s">
        <v>48</v>
      </c>
      <c r="F5895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95" s="22" t="s">
        <v>217</v>
      </c>
      <c r="H5895" s="22" t="s">
        <v>1998</v>
      </c>
      <c r="I5895" s="26">
        <v>43700.706712963001</v>
      </c>
      <c r="J5895" s="28" t="s">
        <v>51</v>
      </c>
      <c r="K5895" s="28" t="s">
        <v>51</v>
      </c>
      <c r="L5895" s="28" t="s">
        <v>51</v>
      </c>
      <c r="M5895" s="28" t="s">
        <v>51</v>
      </c>
      <c r="N5895" s="28" t="s">
        <v>51</v>
      </c>
    </row>
    <row r="5896" spans="1:14" hidden="1" outlineLevel="1" x14ac:dyDescent="0.15">
      <c r="A5896" s="23" t="str">
        <f>HYPERLINK("https://www.spark-marketing.ru/Card/Person/90298", "МБДОУ ""ДЕТСКИЙ САД КОМБИНИРОВАННОГО ВИДА №75 ""ГВОЗДИЧКА""")</f>
        <v>МБДОУ "ДЕТСКИЙ САД КОМБИНИРОВАННОГО ВИДА №75 "ГВОЗДИЧКА"</v>
      </c>
      <c r="B5896" s="24" t="s">
        <v>9050</v>
      </c>
      <c r="C5896" s="25">
        <v>121105.92</v>
      </c>
      <c r="D5896" s="22" t="s">
        <v>9053</v>
      </c>
      <c r="E5896" s="22" t="s">
        <v>48</v>
      </c>
      <c r="F5896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96" s="22" t="s">
        <v>217</v>
      </c>
      <c r="H5896" s="22" t="s">
        <v>1998</v>
      </c>
      <c r="I5896" s="26">
        <v>43700.706712963001</v>
      </c>
      <c r="J5896" s="28" t="s">
        <v>51</v>
      </c>
      <c r="K5896" s="28" t="s">
        <v>51</v>
      </c>
      <c r="L5896" s="28" t="s">
        <v>51</v>
      </c>
      <c r="M5896" s="28" t="s">
        <v>51</v>
      </c>
      <c r="N5896" s="28" t="s">
        <v>51</v>
      </c>
    </row>
    <row r="5897" spans="1:14" hidden="1" outlineLevel="1" x14ac:dyDescent="0.15">
      <c r="A5897" s="23" t="str">
        <f>HYPERLINK("https://www.spark-marketing.ru/Card/Person/90299", "МБДОУ ""ДЕТСКИЙ САД КОМБИНИРОВАННОГО ВИДА №36 ""ЗОЛОТОЙ КЛЮЧИК""")</f>
        <v>МБДОУ "ДЕТСКИЙ САД КОМБИНИРОВАННОГО ВИДА №36 "ЗОЛОТОЙ КЛЮЧИК"</v>
      </c>
      <c r="B5897" s="24" t="s">
        <v>9068</v>
      </c>
      <c r="C5897" s="25">
        <v>136301.44</v>
      </c>
      <c r="D5897" s="22" t="s">
        <v>9053</v>
      </c>
      <c r="E5897" s="22" t="s">
        <v>48</v>
      </c>
      <c r="F5897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97" s="22" t="s">
        <v>217</v>
      </c>
      <c r="H5897" s="22" t="s">
        <v>1998</v>
      </c>
      <c r="I5897" s="26">
        <v>43700.706712963001</v>
      </c>
      <c r="J5897" s="28" t="s">
        <v>51</v>
      </c>
      <c r="K5897" s="28" t="s">
        <v>51</v>
      </c>
      <c r="L5897" s="28" t="s">
        <v>51</v>
      </c>
      <c r="M5897" s="28" t="s">
        <v>51</v>
      </c>
      <c r="N5897" s="28" t="s">
        <v>51</v>
      </c>
    </row>
    <row r="5898" spans="1:14" hidden="1" outlineLevel="1" x14ac:dyDescent="0.15">
      <c r="A5898" s="23" t="str">
        <f>HYPERLINK("https://www.spark-marketing.ru/Card/Person/90369", "МБДОУ ""ДЕТСКИЙ САД №33 ""КОЛОБОК""")</f>
        <v>МБДОУ "ДЕТСКИЙ САД №33 "КОЛОБОК"</v>
      </c>
      <c r="B5898" s="24" t="s">
        <v>9069</v>
      </c>
      <c r="C5898" s="25">
        <v>494989.44</v>
      </c>
      <c r="D5898" s="22" t="s">
        <v>9053</v>
      </c>
      <c r="E5898" s="22" t="s">
        <v>48</v>
      </c>
      <c r="F5898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98" s="22" t="s">
        <v>217</v>
      </c>
      <c r="H5898" s="22" t="s">
        <v>1998</v>
      </c>
      <c r="I5898" s="26">
        <v>43700.706712963001</v>
      </c>
      <c r="J5898" s="28" t="s">
        <v>51</v>
      </c>
      <c r="K5898" s="28" t="s">
        <v>51</v>
      </c>
      <c r="L5898" s="28" t="s">
        <v>51</v>
      </c>
      <c r="M5898" s="28" t="s">
        <v>51</v>
      </c>
      <c r="N5898" s="28" t="s">
        <v>51</v>
      </c>
    </row>
    <row r="5899" spans="1:14" hidden="1" outlineLevel="1" x14ac:dyDescent="0.15">
      <c r="A5899" s="23" t="str">
        <f>HYPERLINK("https://www.spark-marketing.ru/Card/Person/90438", "МБДОУ ""ДЕТСКИЙ САД КОМПЕНСИРУЮЩЕГО ВИДА №48 ""ВИННИ-ПУХ""")</f>
        <v>МБДОУ "ДЕТСКИЙ САД КОМПЕНСИРУЮЩЕГО ВИДА №48 "ВИННИ-ПУХ"</v>
      </c>
      <c r="B5899" s="24" t="s">
        <v>9070</v>
      </c>
      <c r="C5899" s="25">
        <v>208039.04000000001</v>
      </c>
      <c r="D5899" s="22" t="s">
        <v>9053</v>
      </c>
      <c r="E5899" s="22" t="s">
        <v>48</v>
      </c>
      <c r="F5899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899" s="22" t="s">
        <v>217</v>
      </c>
      <c r="H5899" s="22" t="s">
        <v>1998</v>
      </c>
      <c r="I5899" s="26">
        <v>43700.706712963001</v>
      </c>
      <c r="J5899" s="28" t="s">
        <v>51</v>
      </c>
      <c r="K5899" s="28" t="s">
        <v>51</v>
      </c>
      <c r="L5899" s="28" t="s">
        <v>51</v>
      </c>
      <c r="M5899" s="28" t="s">
        <v>51</v>
      </c>
      <c r="N5899" s="28" t="s">
        <v>51</v>
      </c>
    </row>
    <row r="5900" spans="1:14" hidden="1" outlineLevel="1" x14ac:dyDescent="0.15">
      <c r="A5900" s="23" t="str">
        <f>HYPERLINK("https://www.spark-marketing.ru/Card/Person/90643", "МБДОУ ""ДЕТСКИЙ САД КОМБИНИРОВАННОГО ВИДА №46 ""ЗЕМЛЯНИЧКА""")</f>
        <v>МБДОУ "ДЕТСКИЙ САД КОМБИНИРОВАННОГО ВИДА №46 "ЗЕМЛЯНИЧКА"</v>
      </c>
      <c r="B5900" s="24" t="s">
        <v>9071</v>
      </c>
      <c r="C5900" s="25">
        <v>243907.84</v>
      </c>
      <c r="D5900" s="22" t="s">
        <v>9053</v>
      </c>
      <c r="E5900" s="22" t="s">
        <v>48</v>
      </c>
      <c r="F5900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900" s="22" t="s">
        <v>217</v>
      </c>
      <c r="H5900" s="22" t="s">
        <v>1998</v>
      </c>
      <c r="I5900" s="26">
        <v>43700.706712963001</v>
      </c>
      <c r="J5900" s="28" t="s">
        <v>51</v>
      </c>
      <c r="K5900" s="28" t="s">
        <v>51</v>
      </c>
      <c r="L5900" s="28" t="s">
        <v>51</v>
      </c>
      <c r="M5900" s="28" t="s">
        <v>51</v>
      </c>
      <c r="N5900" s="28" t="s">
        <v>51</v>
      </c>
    </row>
    <row r="5901" spans="1:14" hidden="1" outlineLevel="1" x14ac:dyDescent="0.15">
      <c r="A5901" s="23" t="str">
        <f>HYPERLINK("https://www.spark-marketing.ru/Card/Person/90771", "МБДОУ ""ДЕТСКИЙ САД №62 ""ВЕСНЯНОЧКА""")</f>
        <v>МБДОУ "ДЕТСКИЙ САД №62 "ВЕСНЯНОЧКА"</v>
      </c>
      <c r="B5901" s="24" t="s">
        <v>9051</v>
      </c>
      <c r="C5901" s="25">
        <v>265429.12</v>
      </c>
      <c r="D5901" s="22" t="s">
        <v>9053</v>
      </c>
      <c r="E5901" s="22" t="s">
        <v>48</v>
      </c>
      <c r="F5901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901" s="22" t="s">
        <v>217</v>
      </c>
      <c r="H5901" s="22" t="s">
        <v>1998</v>
      </c>
      <c r="I5901" s="26">
        <v>43700.706712963001</v>
      </c>
      <c r="J5901" s="28" t="s">
        <v>51</v>
      </c>
      <c r="K5901" s="28" t="s">
        <v>51</v>
      </c>
      <c r="L5901" s="28" t="s">
        <v>51</v>
      </c>
      <c r="M5901" s="28" t="s">
        <v>51</v>
      </c>
      <c r="N5901" s="28" t="s">
        <v>51</v>
      </c>
    </row>
    <row r="5902" spans="1:14" hidden="1" outlineLevel="1" x14ac:dyDescent="0.15">
      <c r="A5902" s="23" t="str">
        <f>HYPERLINK("https://www.spark-marketing.ru/Card/Person/90856", "МБДОУ ""ДЕТСКИЙ САД КОМБИНИРОВАННОГО ВИДА №67 ""НАДЕЖДА""")</f>
        <v>МБДОУ "ДЕТСКИЙ САД КОМБИНИРОВАННОГО ВИДА №67 "НАДЕЖДА"</v>
      </c>
      <c r="B5902" s="24" t="s">
        <v>9072</v>
      </c>
      <c r="C5902" s="25">
        <v>93258.880000000005</v>
      </c>
      <c r="D5902" s="22" t="s">
        <v>9053</v>
      </c>
      <c r="E5902" s="22" t="s">
        <v>48</v>
      </c>
      <c r="F5902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902" s="22" t="s">
        <v>217</v>
      </c>
      <c r="H5902" s="22" t="s">
        <v>1998</v>
      </c>
      <c r="I5902" s="26">
        <v>43700.706712963001</v>
      </c>
      <c r="J5902" s="28" t="s">
        <v>51</v>
      </c>
      <c r="K5902" s="28" t="s">
        <v>51</v>
      </c>
      <c r="L5902" s="28" t="s">
        <v>51</v>
      </c>
      <c r="M5902" s="28" t="s">
        <v>51</v>
      </c>
      <c r="N5902" s="28" t="s">
        <v>51</v>
      </c>
    </row>
    <row r="5903" spans="1:14" hidden="1" outlineLevel="1" x14ac:dyDescent="0.15">
      <c r="A5903" s="23" t="str">
        <f>HYPERLINK("https://www.spark-marketing.ru/Card/Person/90976", "МБДОУ ""ДЕТСКИЙ САД КОМБИНИРОВАННОГО ВИДА №18 ""СОЛНЫШКО""")</f>
        <v>МБДОУ "ДЕТСКИЙ САД КОМБИНИРОВАННОГО ВИДА №18 "СОЛНЫШКО"</v>
      </c>
      <c r="B5903" s="24" t="s">
        <v>9073</v>
      </c>
      <c r="C5903" s="25">
        <v>114780.16</v>
      </c>
      <c r="D5903" s="22" t="s">
        <v>9053</v>
      </c>
      <c r="E5903" s="22" t="s">
        <v>48</v>
      </c>
      <c r="F5903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903" s="22" t="s">
        <v>217</v>
      </c>
      <c r="H5903" s="22" t="s">
        <v>1998</v>
      </c>
      <c r="I5903" s="26">
        <v>43700.706712963001</v>
      </c>
      <c r="J5903" s="28" t="s">
        <v>51</v>
      </c>
      <c r="K5903" s="28" t="s">
        <v>51</v>
      </c>
      <c r="L5903" s="28" t="s">
        <v>51</v>
      </c>
      <c r="M5903" s="28" t="s">
        <v>51</v>
      </c>
      <c r="N5903" s="28" t="s">
        <v>51</v>
      </c>
    </row>
    <row r="5904" spans="1:14" hidden="1" outlineLevel="1" x14ac:dyDescent="0.15">
      <c r="A5904" s="23" t="str">
        <f>HYPERLINK("https://www.spark-marketing.ru/Card/Person/91269", "МБДОУ ""ДЕТСКИЙ САД №27 ""РОСИНКА""")</f>
        <v>МБДОУ "ДЕТСКИЙ САД №27 "РОСИНКА"</v>
      </c>
      <c r="B5904" s="24" t="s">
        <v>9074</v>
      </c>
      <c r="C5904" s="25">
        <v>401730.56</v>
      </c>
      <c r="D5904" s="22" t="s">
        <v>9053</v>
      </c>
      <c r="E5904" s="22" t="s">
        <v>48</v>
      </c>
      <c r="F5904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904" s="22" t="s">
        <v>217</v>
      </c>
      <c r="H5904" s="22" t="s">
        <v>1998</v>
      </c>
      <c r="I5904" s="26">
        <v>43700.706712963001</v>
      </c>
      <c r="J5904" s="28" t="s">
        <v>51</v>
      </c>
      <c r="K5904" s="28" t="s">
        <v>51</v>
      </c>
      <c r="L5904" s="28" t="s">
        <v>51</v>
      </c>
      <c r="M5904" s="28" t="s">
        <v>51</v>
      </c>
      <c r="N5904" s="28" t="s">
        <v>51</v>
      </c>
    </row>
    <row r="5905" spans="1:14" hidden="1" outlineLevel="1" x14ac:dyDescent="0.15">
      <c r="A5905" s="23" t="str">
        <f>HYPERLINK("https://www.spark-marketing.ru/Card/Person/93011", "МБДОУ ""ДЕТСКИЙ САД №7 ""РЯБИНУШКА""")</f>
        <v>МБДОУ "ДЕТСКИЙ САД №7 "РЯБИНУШКА"</v>
      </c>
      <c r="B5905" s="24" t="s">
        <v>9075</v>
      </c>
      <c r="C5905" s="25">
        <v>279776.64000000001</v>
      </c>
      <c r="D5905" s="22" t="s">
        <v>9053</v>
      </c>
      <c r="E5905" s="22" t="s">
        <v>48</v>
      </c>
      <c r="F5905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905" s="22" t="s">
        <v>217</v>
      </c>
      <c r="H5905" s="22" t="s">
        <v>1998</v>
      </c>
      <c r="I5905" s="26">
        <v>43700.706712963001</v>
      </c>
      <c r="J5905" s="28" t="s">
        <v>51</v>
      </c>
      <c r="K5905" s="28" t="s">
        <v>51</v>
      </c>
      <c r="L5905" s="28" t="s">
        <v>51</v>
      </c>
      <c r="M5905" s="28" t="s">
        <v>51</v>
      </c>
      <c r="N5905" s="28" t="s">
        <v>51</v>
      </c>
    </row>
    <row r="5906" spans="1:14" hidden="1" outlineLevel="1" x14ac:dyDescent="0.15">
      <c r="A5906" s="23" t="str">
        <f>HYPERLINK("https://www.spark-marketing.ru/Card/Person/5886758", "МБДОУ ""ДЕТСКИЙ САД №120 ""ЛАДУШКИ""")</f>
        <v>МБДОУ "ДЕТСКИЙ САД №120 "ЛАДУШКИ"</v>
      </c>
      <c r="B5906" s="24" t="s">
        <v>9076</v>
      </c>
      <c r="C5906" s="25">
        <v>143475.20000000001</v>
      </c>
      <c r="D5906" s="22" t="s">
        <v>9053</v>
      </c>
      <c r="E5906" s="22" t="s">
        <v>48</v>
      </c>
      <c r="F5906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906" s="22" t="s">
        <v>217</v>
      </c>
      <c r="H5906" s="22" t="s">
        <v>1998</v>
      </c>
      <c r="I5906" s="26">
        <v>43700.706712963001</v>
      </c>
      <c r="J5906" s="28" t="s">
        <v>51</v>
      </c>
      <c r="K5906" s="28" t="s">
        <v>51</v>
      </c>
      <c r="L5906" s="28" t="s">
        <v>51</v>
      </c>
      <c r="M5906" s="28" t="s">
        <v>51</v>
      </c>
      <c r="N5906" s="28" t="s">
        <v>51</v>
      </c>
    </row>
    <row r="5907" spans="1:14" hidden="1" outlineLevel="1" x14ac:dyDescent="0.2">
      <c r="A5907" s="28" t="s">
        <v>51</v>
      </c>
      <c r="B5907" s="28" t="s">
        <v>51</v>
      </c>
      <c r="C5907" s="28" t="s">
        <v>51</v>
      </c>
      <c r="D5907" s="22" t="s">
        <v>9053</v>
      </c>
      <c r="E5907" s="22" t="s">
        <v>48</v>
      </c>
      <c r="F5907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907" s="22" t="s">
        <v>51</v>
      </c>
      <c r="H5907" s="22" t="s">
        <v>51</v>
      </c>
      <c r="I5907" s="26">
        <v>43700.706712963001</v>
      </c>
      <c r="J5907" s="23" t="str">
        <f>HYPERLINK("https://www.spark-marketing.ru/Card/Person/87385", "ООО ""ШКОЛЬНОЕ ПИТАНИЕ""")</f>
        <v>ООО "ШКОЛЬНОЕ ПИТАНИЕ"</v>
      </c>
      <c r="K5907" s="24" t="s">
        <v>6356</v>
      </c>
      <c r="L5907" s="22" t="s">
        <v>10</v>
      </c>
      <c r="M5907" s="25">
        <v>5852940.1600000001</v>
      </c>
      <c r="N5907" s="27">
        <v>0</v>
      </c>
    </row>
    <row r="5908" spans="1:14" hidden="1" outlineLevel="1" x14ac:dyDescent="0.2">
      <c r="A5908" s="28" t="s">
        <v>51</v>
      </c>
      <c r="B5908" s="28" t="s">
        <v>51</v>
      </c>
      <c r="C5908" s="28" t="s">
        <v>51</v>
      </c>
      <c r="D5908" s="22" t="s">
        <v>9053</v>
      </c>
      <c r="E5908" s="22" t="s">
        <v>48</v>
      </c>
      <c r="F5908" s="23" t="str">
        <f t="shared" si="119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5908" s="22" t="s">
        <v>51</v>
      </c>
      <c r="H5908" s="22" t="s">
        <v>51</v>
      </c>
      <c r="I5908" s="26">
        <v>43700.706712963001</v>
      </c>
      <c r="J5908" s="23" t="str">
        <f>HYPERLINK("https://www.spark-marketing.ru/Card/Person/300377", "ООО ""ТУЙМАЗЫ-ФРУКТ""")</f>
        <v>ООО "ТУЙМАЗЫ-ФРУКТ"</v>
      </c>
      <c r="K5908" s="24" t="s">
        <v>9052</v>
      </c>
      <c r="L5908" s="28" t="s">
        <v>51</v>
      </c>
      <c r="M5908" s="25">
        <v>5852940.1600000001</v>
      </c>
      <c r="N5908" s="27">
        <v>0</v>
      </c>
    </row>
    <row r="5909" spans="1:14" x14ac:dyDescent="0.15">
      <c r="A5909" s="23" t="str">
        <f>HYPERLINK("https://www.spark-marketing.ru/Card/Person/561800", "МКУ ""ДИРЕКЦИЯ ПРОГРАММЫ""")</f>
        <v>МКУ "ДИРЕКЦИЯ ПРОГРАММЫ"</v>
      </c>
      <c r="B5909" s="24" t="s">
        <v>9077</v>
      </c>
      <c r="C5909" s="25">
        <v>770000</v>
      </c>
      <c r="D5909" s="22" t="s">
        <v>9078</v>
      </c>
      <c r="E5909" s="22" t="s">
        <v>51</v>
      </c>
      <c r="F5909" s="23" t="str">
        <f>HYPERLINK("https://www.spark-marketing.ru/Card/Lot/73004510",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5909" s="22" t="s">
        <v>1370</v>
      </c>
      <c r="H5909" s="22" t="s">
        <v>9079</v>
      </c>
      <c r="I5909" s="26">
        <v>43700.670879629601</v>
      </c>
      <c r="J5909" s="23" t="str">
        <f>HYPERLINK("https://www.spark-marketing.ru/Card/Person/1142996", "МУП ""ГОСТИНИЦА ""МИЧУРИНСК""")</f>
        <v>МУП "ГОСТИНИЦА "МИЧУРИНСК"</v>
      </c>
      <c r="K5909" s="24" t="s">
        <v>9080</v>
      </c>
      <c r="L5909" s="22" t="s">
        <v>10</v>
      </c>
      <c r="M5909" s="28" t="s">
        <v>51</v>
      </c>
      <c r="N5909" s="28" t="s">
        <v>51</v>
      </c>
    </row>
    <row r="5910" spans="1:14" x14ac:dyDescent="0.15">
      <c r="A5910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5910" s="24" t="s">
        <v>6728</v>
      </c>
      <c r="C5910" s="25">
        <v>229927.55</v>
      </c>
      <c r="D5910" s="22" t="s">
        <v>9081</v>
      </c>
      <c r="E5910" s="22" t="s">
        <v>48</v>
      </c>
      <c r="F5910" s="23" t="str">
        <f>HYPERLINK("https://www.spark-marketing.ru/Card/Lot/73001110", "Услуги по обеспечению питанием, осуществляемые по договору, прочие (услуги по обеспечению 3-х разовым ежедневным горячим питанием лиц, содержащихся в изоляторе временного содержания подозреваемых и обвиняемых, и административно задержанных отдела МВД...")</f>
        <v>Услуги по обеспечению питанием, осуществляемые по договору, прочие (услуги по обеспечению 3-х разовым ежедневным горячим питанием лиц, содержащихся в изоляторе временного содержания подозреваемых и обвиняемых, и административно задержанных отдела МВД...</v>
      </c>
      <c r="G5910" s="22" t="s">
        <v>469</v>
      </c>
      <c r="H5910" s="22" t="s">
        <v>6730</v>
      </c>
      <c r="I5910" s="26">
        <v>43700.631805555597</v>
      </c>
      <c r="J5910" s="28" t="s">
        <v>51</v>
      </c>
      <c r="K5910" s="28" t="s">
        <v>51</v>
      </c>
      <c r="L5910" s="28" t="s">
        <v>51</v>
      </c>
      <c r="M5910" s="28" t="s">
        <v>51</v>
      </c>
      <c r="N5910" s="28" t="s">
        <v>51</v>
      </c>
    </row>
    <row r="5911" spans="1:14" x14ac:dyDescent="0.15">
      <c r="A5911" s="23" t="str">
        <f>HYPERLINK("https://www.spark-marketing.ru/Card/Person/4353880", "ОМВД РОССИИ ПО Г. УХТЕ")</f>
        <v>ОМВД РОССИИ ПО Г. УХТЕ</v>
      </c>
      <c r="B5911" s="24" t="s">
        <v>3351</v>
      </c>
      <c r="C5911" s="25">
        <v>95000</v>
      </c>
      <c r="D5911" s="22" t="s">
        <v>9082</v>
      </c>
      <c r="E5911" s="22" t="s">
        <v>91</v>
      </c>
      <c r="F5911" s="23" t="str">
        <f>HYPERLINK("https://www.spark-marketing.ru/Card/Lot/73002567", "Оказание услуг по техническому обслуживанию и ремонту компьютерной техники ,средств печати и копирования для нужд ОМВД России по г. Ухте")</f>
        <v>Оказание услуг по техническому обслуживанию и ремонту компьютерной техники ,средств печати и копирования для нужд ОМВД России по г. Ухте</v>
      </c>
      <c r="G5911" s="22" t="s">
        <v>271</v>
      </c>
      <c r="H5911" s="22" t="s">
        <v>271</v>
      </c>
      <c r="I5911" s="26">
        <v>43700.436076388898</v>
      </c>
      <c r="J5911" s="23" t="str">
        <f>HYPERLINK("https://www.spark-marketing.ru/Card/Person/171369", "ООО ""ТСК""")</f>
        <v>ООО "ТСК"</v>
      </c>
      <c r="K5911" s="24" t="s">
        <v>9083</v>
      </c>
      <c r="L5911" s="22" t="s">
        <v>10</v>
      </c>
      <c r="M5911" s="28" t="s">
        <v>51</v>
      </c>
      <c r="N5911" s="28" t="s">
        <v>51</v>
      </c>
    </row>
    <row r="5912" spans="1:14" x14ac:dyDescent="0.15">
      <c r="A5912" s="23" t="str">
        <f>HYPERLINK("https://www.spark-marketing.ru/Card/Person/54013", "МО МВД РОССИИ ""БУЙСКИЙ""")</f>
        <v>МО МВД РОССИИ "БУЙСКИЙ"</v>
      </c>
      <c r="B5912" s="24" t="s">
        <v>9084</v>
      </c>
      <c r="C5912" s="25">
        <v>1518285.12</v>
      </c>
      <c r="D5912" s="22" t="s">
        <v>9085</v>
      </c>
      <c r="E5912" s="22" t="s">
        <v>48</v>
      </c>
      <c r="F5912" s="23" t="str">
        <f>HYPERLINK("https://www.spark-marketing.ru/Card/Lot/73004724", "Оказание услуг по обеспечению горячим питанием лиц, содержащихся в изоляторе временного содержания подозреваемых и обвиняемых и комнате для задержанных в административном порядке МО МВД России ""Буйский"" и ПП №5 (дислокация п. Сусанино)")</f>
        <v>Оказание услуг по обеспечению горячим питанием лиц, содержащихся в изоляторе временного содержания подозреваемых и обвиняемых и комнате для задержанных в административном порядке МО МВД России "Буйский" и ПП №5 (дислокация п. Сусанино)</v>
      </c>
      <c r="G5912" s="22" t="s">
        <v>292</v>
      </c>
      <c r="H5912" s="22" t="s">
        <v>9086</v>
      </c>
      <c r="I5912" s="26">
        <v>43700.431793981501</v>
      </c>
      <c r="J5912" s="23" t="str">
        <f>HYPERLINK("https://www.spark-marketing.ru/Card/Person/234123", "ООО ""ЛИКА""")</f>
        <v>ООО "ЛИКА"</v>
      </c>
      <c r="K5912" s="24" t="s">
        <v>3509</v>
      </c>
      <c r="L5912" s="22" t="s">
        <v>10</v>
      </c>
      <c r="M5912" s="28" t="s">
        <v>51</v>
      </c>
      <c r="N5912" s="28" t="s">
        <v>51</v>
      </c>
    </row>
    <row r="5913" spans="1:14" x14ac:dyDescent="0.15">
      <c r="A5913" s="23" t="str">
        <f>HYPERLINK("https://www.spark-marketing.ru/Card/Person/4353880", "ОМВД РОССИИ ПО Г. УХТЕ")</f>
        <v>ОМВД РОССИИ ПО Г. УХТЕ</v>
      </c>
      <c r="B5913" s="24" t="s">
        <v>3351</v>
      </c>
      <c r="C5913" s="25">
        <v>2125000</v>
      </c>
      <c r="D5913" s="22" t="s">
        <v>9087</v>
      </c>
      <c r="E5913" s="22" t="s">
        <v>48</v>
      </c>
      <c r="F5913" s="23" t="str">
        <f>HYPERLINK("https://www.spark-marketing.ru/Card/Lot/73005124", "Оказание услуг по организации трехразового питания для лиц, находящихся в центре временного содержания иностранных граждан (ЦВСИГ) отдела Министерства внутренних дел Российской Федерации по городу Ухте")</f>
        <v>Оказание услуг по организации трехразового питания для лиц, находящихся в центре временного содержания иностранных граждан (ЦВСИГ) отдела Министерства внутренних дел Российской Федерации по городу Ухте</v>
      </c>
      <c r="G5913" s="22" t="s">
        <v>271</v>
      </c>
      <c r="H5913" s="22" t="s">
        <v>271</v>
      </c>
      <c r="I5913" s="26">
        <v>43700.630185185197</v>
      </c>
      <c r="J5913" s="23" t="str">
        <f>HYPERLINK("https://www.spark-marketing.ru/Card/Person/1960707", "Кустов Александр Владимирович")</f>
        <v>Кустов Александр Владимирович</v>
      </c>
      <c r="K5913" s="24" t="s">
        <v>9088</v>
      </c>
      <c r="L5913" s="22" t="s">
        <v>10</v>
      </c>
      <c r="M5913" s="28" t="s">
        <v>51</v>
      </c>
      <c r="N5913" s="28" t="s">
        <v>51</v>
      </c>
    </row>
    <row r="5914" spans="1:14" x14ac:dyDescent="0.15">
      <c r="A5914" s="23" t="s">
        <v>114</v>
      </c>
      <c r="B5914" s="28" t="s">
        <v>51</v>
      </c>
      <c r="C5914" s="25">
        <v>187151</v>
      </c>
      <c r="D5914" s="22" t="s">
        <v>9089</v>
      </c>
      <c r="E5914" s="22" t="s">
        <v>48</v>
      </c>
      <c r="F5914" s="23" t="str">
        <f>HYPERLINK("https://www.spark-marketing.ru/Card/Lot/73003257", "Оказание услуг 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семей)")</f>
        <v>Оказание услуг 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</v>
      </c>
      <c r="G5914" s="22" t="s">
        <v>51</v>
      </c>
      <c r="H5914" s="22" t="s">
        <v>51</v>
      </c>
      <c r="I5914" s="26">
        <v>43700.503171296303</v>
      </c>
      <c r="J5914" s="23" t="str">
        <f>HYPERLINK("https://www.spark-marketing.ru/Card/Person/586223", "ООО ""ГЕРА""")</f>
        <v>ООО "ГЕРА"</v>
      </c>
      <c r="K5914" s="24" t="s">
        <v>9090</v>
      </c>
      <c r="L5914" s="22" t="s">
        <v>10</v>
      </c>
      <c r="M5914" s="28" t="s">
        <v>51</v>
      </c>
      <c r="N5914" s="28" t="s">
        <v>51</v>
      </c>
    </row>
    <row r="5915" spans="1:14" hidden="1" outlineLevel="1" x14ac:dyDescent="0.15">
      <c r="A5915" s="23" t="str">
        <f>HYPERLINK("https://www.spark-marketing.ru/Card/Person/347502", "МКОУ ЕЛНАТСКАЯ СРЕДНЯЯ ШКОЛА")</f>
        <v>МКОУ ЕЛНАТСКАЯ СРЕДНЯЯ ШКОЛА</v>
      </c>
      <c r="B5915" s="24" t="s">
        <v>5745</v>
      </c>
      <c r="C5915" s="25">
        <v>81765</v>
      </c>
      <c r="D5915" s="22" t="s">
        <v>9089</v>
      </c>
      <c r="E5915" s="22" t="s">
        <v>48</v>
      </c>
      <c r="F5915" s="23" t="str">
        <f>HYPERLINK("https://www.spark-marketing.ru/Card/Lot/73003257", "Оказание услуг 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семей)")</f>
        <v>Оказание услуг 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</v>
      </c>
      <c r="G5915" s="22" t="s">
        <v>1047</v>
      </c>
      <c r="H5915" s="22" t="s">
        <v>1047</v>
      </c>
      <c r="I5915" s="26">
        <v>43700.503171296303</v>
      </c>
      <c r="J5915" s="23" t="str">
        <f>HYPERLINK("https://www.spark-marketing.ru/Card/Person/586223", "ООО ""ГЕРА""")</f>
        <v>ООО "ГЕРА"</v>
      </c>
      <c r="K5915" s="24" t="s">
        <v>9090</v>
      </c>
      <c r="L5915" s="22" t="s">
        <v>10</v>
      </c>
      <c r="M5915" s="28" t="s">
        <v>51</v>
      </c>
      <c r="N5915" s="28" t="s">
        <v>51</v>
      </c>
    </row>
    <row r="5916" spans="1:14" hidden="1" outlineLevel="1" x14ac:dyDescent="0.15">
      <c r="A5916" s="23" t="str">
        <f>HYPERLINK("https://www.spark-marketing.ru/Card/Person/1019696", "МКОУ СШ №1 ИМ. А.С.ПУШКИНА")</f>
        <v>МКОУ СШ №1 ИМ. А.С.ПУШКИНА</v>
      </c>
      <c r="B5916" s="24" t="s">
        <v>5746</v>
      </c>
      <c r="C5916" s="25">
        <v>105386</v>
      </c>
      <c r="D5916" s="22" t="s">
        <v>9089</v>
      </c>
      <c r="E5916" s="22" t="s">
        <v>48</v>
      </c>
      <c r="F5916" s="23" t="str">
        <f>HYPERLINK("https://www.spark-marketing.ru/Card/Lot/73003257", "Оказание услуг 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семей)")</f>
        <v>Оказание услуг  по предоставлению горячего питания отдельным категориям обучающихся (детей - сирот и детей, оставшихся без попечения родителей, детей из многодетных семей)</v>
      </c>
      <c r="G5916" s="22" t="s">
        <v>1047</v>
      </c>
      <c r="H5916" s="22" t="s">
        <v>1047</v>
      </c>
      <c r="I5916" s="26">
        <v>43700.503171296303</v>
      </c>
      <c r="J5916" s="23" t="str">
        <f>HYPERLINK("https://www.spark-marketing.ru/Card/Person/586223", "ООО ""ГЕРА""")</f>
        <v>ООО "ГЕРА"</v>
      </c>
      <c r="K5916" s="24" t="s">
        <v>9090</v>
      </c>
      <c r="L5916" s="22" t="s">
        <v>10</v>
      </c>
      <c r="M5916" s="28" t="s">
        <v>51</v>
      </c>
      <c r="N5916" s="28" t="s">
        <v>51</v>
      </c>
    </row>
    <row r="5917" spans="1:14" x14ac:dyDescent="0.15">
      <c r="A5917" s="23" t="str">
        <f>HYPERLINK("https://www.spark-marketing.ru/Card/Person/4353880", "ОМВД РОССИИ ПО Г. УХТЕ")</f>
        <v>ОМВД РОССИИ ПО Г. УХТЕ</v>
      </c>
      <c r="B5917" s="24" t="s">
        <v>3351</v>
      </c>
      <c r="C5917" s="25">
        <v>650000</v>
      </c>
      <c r="D5917" s="22" t="s">
        <v>9091</v>
      </c>
      <c r="E5917" s="22" t="s">
        <v>48</v>
      </c>
      <c r="F5917" s="23" t="str">
        <f>HYPERLINK("https://www.spark-marketing.ru/Card/Lot/73004466", "Оказание услуг по организации трехразового питания для лиц, находящихся в центре временного содержания иностранных граждан (ЦВСИГ) отдела Министерства внутренних дел Российской Федерации по городу Ухте")</f>
        <v>Оказание услуг по организации трехразового питания для лиц, находящихся в центре временного содержания иностранных граждан (ЦВСИГ) отдела Министерства внутренних дел Российской Федерации по городу Ухте</v>
      </c>
      <c r="G5917" s="22" t="s">
        <v>271</v>
      </c>
      <c r="H5917" s="22" t="s">
        <v>271</v>
      </c>
      <c r="I5917" s="26">
        <v>43700.616574074098</v>
      </c>
      <c r="J5917" s="23" t="str">
        <f>HYPERLINK("https://www.spark-marketing.ru/Card/Person/1960707", "Кустов Александр Владимирович")</f>
        <v>Кустов Александр Владимирович</v>
      </c>
      <c r="K5917" s="24" t="s">
        <v>9088</v>
      </c>
      <c r="L5917" s="22" t="s">
        <v>10</v>
      </c>
      <c r="M5917" s="28" t="s">
        <v>51</v>
      </c>
      <c r="N5917" s="28" t="s">
        <v>51</v>
      </c>
    </row>
    <row r="5918" spans="1:14" x14ac:dyDescent="0.15">
      <c r="A5918" s="23" t="s">
        <v>114</v>
      </c>
      <c r="B5918" s="28" t="s">
        <v>51</v>
      </c>
      <c r="C5918" s="25">
        <v>27235553.280000001</v>
      </c>
      <c r="D5918" s="22" t="s">
        <v>9092</v>
      </c>
      <c r="E5918" s="22" t="s">
        <v>48</v>
      </c>
      <c r="F5918" s="23" t="str">
        <f t="shared" ref="F5918:F5934" si="120">HYPERLINK("https://www.spark-marketing.ru/Card/Lot/73006822", "оказание услуг по организации сбалансированного питания воспитанников для нужд муниципальных автономных дошкольных образовательных учреждений")</f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18" s="22" t="s">
        <v>51</v>
      </c>
      <c r="H5918" s="22" t="s">
        <v>51</v>
      </c>
      <c r="I5918" s="26">
        <v>43700.677314814799</v>
      </c>
      <c r="J5918" s="28" t="s">
        <v>51</v>
      </c>
      <c r="K5918" s="28" t="s">
        <v>51</v>
      </c>
      <c r="L5918" s="28" t="s">
        <v>51</v>
      </c>
      <c r="M5918" s="28" t="s">
        <v>51</v>
      </c>
      <c r="N5918" s="28" t="s">
        <v>51</v>
      </c>
    </row>
    <row r="5919" spans="1:14" hidden="1" outlineLevel="1" x14ac:dyDescent="0.15">
      <c r="A5919" s="23" t="str">
        <f>HYPERLINK("https://www.spark-marketing.ru/Card/Person/50826", "МАДОУ ""ДЕТСКИЙ САД №104 ""БЭЛЭКЭЧ""")</f>
        <v>МАДОУ "ДЕТСКИЙ САД №104 "БЭЛЭКЭЧ"</v>
      </c>
      <c r="B5919" s="24" t="s">
        <v>9093</v>
      </c>
      <c r="C5919" s="25">
        <v>3288729.6000000001</v>
      </c>
      <c r="D5919" s="22" t="s">
        <v>9092</v>
      </c>
      <c r="E5919" s="22" t="s">
        <v>48</v>
      </c>
      <c r="F5919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19" s="22" t="s">
        <v>217</v>
      </c>
      <c r="H5919" s="22" t="s">
        <v>1998</v>
      </c>
      <c r="I5919" s="26">
        <v>43700.677314814799</v>
      </c>
      <c r="J5919" s="28" t="s">
        <v>51</v>
      </c>
      <c r="K5919" s="28" t="s">
        <v>51</v>
      </c>
      <c r="L5919" s="28" t="s">
        <v>51</v>
      </c>
      <c r="M5919" s="28" t="s">
        <v>51</v>
      </c>
      <c r="N5919" s="28" t="s">
        <v>51</v>
      </c>
    </row>
    <row r="5920" spans="1:14" hidden="1" outlineLevel="1" x14ac:dyDescent="0.15">
      <c r="A5920" s="23" t="str">
        <f>HYPERLINK("https://www.spark-marketing.ru/Card/Person/87536", "МАДОУ ""ДЕТСКИЙ САД КОМБИНИРОВАННОГО ВИДА №106 ""ЗАБАВА""")</f>
        <v>МАДОУ "ДЕТСКИЙ САД КОМБИНИРОВАННОГО ВИДА №106 "ЗАБАВА"</v>
      </c>
      <c r="B5920" s="24" t="s">
        <v>9094</v>
      </c>
      <c r="C5920" s="25">
        <v>1729628.1599999999</v>
      </c>
      <c r="D5920" s="22" t="s">
        <v>9092</v>
      </c>
      <c r="E5920" s="22" t="s">
        <v>48</v>
      </c>
      <c r="F5920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20" s="22" t="s">
        <v>217</v>
      </c>
      <c r="H5920" s="22" t="s">
        <v>1998</v>
      </c>
      <c r="I5920" s="26">
        <v>43700.677314814799</v>
      </c>
      <c r="J5920" s="28" t="s">
        <v>51</v>
      </c>
      <c r="K5920" s="28" t="s">
        <v>51</v>
      </c>
      <c r="L5920" s="28" t="s">
        <v>51</v>
      </c>
      <c r="M5920" s="28" t="s">
        <v>51</v>
      </c>
      <c r="N5920" s="28" t="s">
        <v>51</v>
      </c>
    </row>
    <row r="5921" spans="1:14" hidden="1" outlineLevel="1" x14ac:dyDescent="0.15">
      <c r="A5921" s="23" t="str">
        <f>HYPERLINK("https://www.spark-marketing.ru/Card/Person/88317", "МАДОУ ""ДЕТСКИЙ САД ОБЩЕРАЗВИВАЮЩЕГО ВИДА С ПРИОРИТЕТНЫМ ОСУЩЕСТВЛЕНИЕМ ДЕЯТЕЛЬНОСТИ ПО ПОЗНАВАТЕЛЬНО-РЕЧЕВОМУ НАПРАВЛЕНИЮ РАЗВИТИЯ ВОСПИТАННИКОВ №112 ""МОЗАИКА""")</f>
        <v>МАДОУ "ДЕТСКИЙ САД ОБЩЕРАЗВИВАЮЩЕГО ВИДА С ПРИОРИТЕТНЫМ ОСУЩЕСТВЛЕНИЕМ ДЕЯТЕЛЬНОСТИ ПО ПОЗНАВАТЕЛЬНО-РЕЧЕВОМУ НАПРАВЛЕНИЮ РАЗВИТИЯ ВОСПИТАННИКОВ №112 "МОЗАИКА"</v>
      </c>
      <c r="B5921" s="24" t="s">
        <v>9095</v>
      </c>
      <c r="C5921" s="25">
        <v>2119403.52</v>
      </c>
      <c r="D5921" s="22" t="s">
        <v>9092</v>
      </c>
      <c r="E5921" s="22" t="s">
        <v>48</v>
      </c>
      <c r="F5921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21" s="22" t="s">
        <v>217</v>
      </c>
      <c r="H5921" s="22" t="s">
        <v>1998</v>
      </c>
      <c r="I5921" s="26">
        <v>43700.677314814799</v>
      </c>
      <c r="J5921" s="28" t="s">
        <v>51</v>
      </c>
      <c r="K5921" s="28" t="s">
        <v>51</v>
      </c>
      <c r="L5921" s="28" t="s">
        <v>51</v>
      </c>
      <c r="M5921" s="28" t="s">
        <v>51</v>
      </c>
      <c r="N5921" s="28" t="s">
        <v>51</v>
      </c>
    </row>
    <row r="5922" spans="1:14" hidden="1" outlineLevel="1" x14ac:dyDescent="0.15">
      <c r="A5922" s="23" t="str">
        <f>HYPERLINK("https://www.spark-marketing.ru/Card/Person/88343", "МАДОУ ""ДЕТСКИЙ САД ОБЩЕРАЗВИВАЮЩЕГО ВИДА С ПРИОРИТЕТНЫМ ОСУЩЕСТВЛЕНИЕМ ДЕЯТЕЛЬНОСТИ ПО ПОЗНАВАТЕЛЬНО-РЕЧЕВОМУ НАПРАВЛЕНИЮ РАЗВИТИЯ ВОСПИТАННИКОВ №107 ""САЛАВАТ КУПЕРЕ""")</f>
        <v>МАДОУ "ДЕТСКИЙ САД ОБЩЕРАЗВИВАЮЩЕГО ВИДА С ПРИОРИТЕТНЫМ ОСУЩЕСТВЛЕНИЕМ ДЕЯТЕЛЬНОСТИ ПО ПОЗНАВАТЕЛЬНО-РЕЧЕВОМУ НАПРАВЛЕНИЮ РАЗВИТИЯ ВОСПИТАННИКОВ №107 "САЛАВАТ КУПЕРЕ"</v>
      </c>
      <c r="B5922" s="24" t="s">
        <v>9096</v>
      </c>
      <c r="C5922" s="25">
        <v>2484817.9199999999</v>
      </c>
      <c r="D5922" s="22" t="s">
        <v>9092</v>
      </c>
      <c r="E5922" s="22" t="s">
        <v>48</v>
      </c>
      <c r="F5922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22" s="22" t="s">
        <v>217</v>
      </c>
      <c r="H5922" s="22" t="s">
        <v>1998</v>
      </c>
      <c r="I5922" s="26">
        <v>43700.677314814799</v>
      </c>
      <c r="J5922" s="28" t="s">
        <v>51</v>
      </c>
      <c r="K5922" s="28" t="s">
        <v>51</v>
      </c>
      <c r="L5922" s="28" t="s">
        <v>51</v>
      </c>
      <c r="M5922" s="28" t="s">
        <v>51</v>
      </c>
      <c r="N5922" s="28" t="s">
        <v>51</v>
      </c>
    </row>
    <row r="5923" spans="1:14" hidden="1" outlineLevel="1" x14ac:dyDescent="0.15">
      <c r="A5923" s="23" t="str">
        <f>HYPERLINK("https://www.spark-marketing.ru/Card/Person/89025", "МАДОУ ""ДЕТСКИЙ САД КОМБИНИРОВАННОГО ВИДА №103 ""ТУРГАЙ""")</f>
        <v>МАДОУ "ДЕТСКИЙ САД КОМБИНИРОВАННОГО ВИДА №103 "ТУРГАЙ"</v>
      </c>
      <c r="B5923" s="24" t="s">
        <v>9097</v>
      </c>
      <c r="C5923" s="25">
        <v>1875793.9199999999</v>
      </c>
      <c r="D5923" s="22" t="s">
        <v>9092</v>
      </c>
      <c r="E5923" s="22" t="s">
        <v>48</v>
      </c>
      <c r="F5923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23" s="22" t="s">
        <v>217</v>
      </c>
      <c r="H5923" s="22" t="s">
        <v>1998</v>
      </c>
      <c r="I5923" s="26">
        <v>43700.677314814799</v>
      </c>
      <c r="J5923" s="28" t="s">
        <v>51</v>
      </c>
      <c r="K5923" s="28" t="s">
        <v>51</v>
      </c>
      <c r="L5923" s="28" t="s">
        <v>51</v>
      </c>
      <c r="M5923" s="28" t="s">
        <v>51</v>
      </c>
      <c r="N5923" s="28" t="s">
        <v>51</v>
      </c>
    </row>
    <row r="5924" spans="1:14" hidden="1" outlineLevel="1" x14ac:dyDescent="0.15">
      <c r="A5924" s="23" t="str">
        <f>HYPERLINK("https://www.spark-marketing.ru/Card/Person/89375", "МАДОУ ""ДЕТСКИЙ САД ОБЩЕРАЗВИВАЮЩЕГО ВИДА С ПРИОРИТЕТНЫМ ОСУЩЕСТВЛЕНИЕМ ДЕЯТЕЛЬНОСТИ ПО ПОЗНАВАТЕЛЬНО-РЕЧЕВОМУ НАПРАВЛЕНИЮ РАЗВИТИЯ ВОСПИТАННИКОВ №102 ""СОЗВЕЗДИЕ""")</f>
        <v>МАДОУ "ДЕТСКИЙ САД ОБЩЕРАЗВИВАЮЩЕГО ВИДА С ПРИОРИТЕТНЫМ ОСУЩЕСТВЛЕНИЕМ ДЕЯТЕЛЬНОСТИ ПО ПОЗНАВАТЕЛЬНО-РЕЧЕВОМУ НАПРАВЛЕНИЮ РАЗВИТИЯ ВОСПИТАННИКОВ №102 "СОЗВЕЗДИЕ"</v>
      </c>
      <c r="B5924" s="24" t="s">
        <v>9098</v>
      </c>
      <c r="C5924" s="25">
        <v>2038200.3200000001</v>
      </c>
      <c r="D5924" s="22" t="s">
        <v>9092</v>
      </c>
      <c r="E5924" s="22" t="s">
        <v>48</v>
      </c>
      <c r="F5924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24" s="22" t="s">
        <v>217</v>
      </c>
      <c r="H5924" s="22" t="s">
        <v>1998</v>
      </c>
      <c r="I5924" s="26">
        <v>43700.677314814799</v>
      </c>
      <c r="J5924" s="28" t="s">
        <v>51</v>
      </c>
      <c r="K5924" s="28" t="s">
        <v>51</v>
      </c>
      <c r="L5924" s="28" t="s">
        <v>51</v>
      </c>
      <c r="M5924" s="28" t="s">
        <v>51</v>
      </c>
      <c r="N5924" s="28" t="s">
        <v>51</v>
      </c>
    </row>
    <row r="5925" spans="1:14" hidden="1" outlineLevel="1" x14ac:dyDescent="0.15">
      <c r="A5925" s="23" t="str">
        <f>HYPERLINK("https://www.spark-marketing.ru/Card/Person/90851", "МАДОУ ""ДЕТСКИЙ САД ОБЩЕРАЗВИВАЮЩЕГО ВИДА №15 ""КУБЭЛЭК""")</f>
        <v>МАДОУ "ДЕТСКИЙ САД ОБЩЕРАЗВИВАЮЩЕГО ВИДА №15 "КУБЭЛЭК"</v>
      </c>
      <c r="B5925" s="24" t="s">
        <v>9099</v>
      </c>
      <c r="C5925" s="25">
        <v>901355.52000000002</v>
      </c>
      <c r="D5925" s="22" t="s">
        <v>9092</v>
      </c>
      <c r="E5925" s="22" t="s">
        <v>48</v>
      </c>
      <c r="F5925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25" s="22" t="s">
        <v>217</v>
      </c>
      <c r="H5925" s="22" t="s">
        <v>1998</v>
      </c>
      <c r="I5925" s="26">
        <v>43700.677314814799</v>
      </c>
      <c r="J5925" s="28" t="s">
        <v>51</v>
      </c>
      <c r="K5925" s="28" t="s">
        <v>51</v>
      </c>
      <c r="L5925" s="28" t="s">
        <v>51</v>
      </c>
      <c r="M5925" s="28" t="s">
        <v>51</v>
      </c>
      <c r="N5925" s="28" t="s">
        <v>51</v>
      </c>
    </row>
    <row r="5926" spans="1:14" hidden="1" outlineLevel="1" x14ac:dyDescent="0.15">
      <c r="A5926" s="23" t="str">
        <f>HYPERLINK("https://www.spark-marketing.ru/Card/Person/91012", "МАДОУ ""ДЕТСКИЙ САД №88 ""ЛЕСОВИЧОК""")</f>
        <v>МАДОУ "ДЕТСКИЙ САД №88 "ЛЕСОВИЧОК"</v>
      </c>
      <c r="B5926" s="24" t="s">
        <v>9100</v>
      </c>
      <c r="C5926" s="25">
        <v>1924515.8400000001</v>
      </c>
      <c r="D5926" s="22" t="s">
        <v>9092</v>
      </c>
      <c r="E5926" s="22" t="s">
        <v>48</v>
      </c>
      <c r="F5926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26" s="22" t="s">
        <v>217</v>
      </c>
      <c r="H5926" s="22" t="s">
        <v>1998</v>
      </c>
      <c r="I5926" s="26">
        <v>43700.677314814799</v>
      </c>
      <c r="J5926" s="28" t="s">
        <v>51</v>
      </c>
      <c r="K5926" s="28" t="s">
        <v>51</v>
      </c>
      <c r="L5926" s="28" t="s">
        <v>51</v>
      </c>
      <c r="M5926" s="28" t="s">
        <v>51</v>
      </c>
      <c r="N5926" s="28" t="s">
        <v>51</v>
      </c>
    </row>
    <row r="5927" spans="1:14" hidden="1" outlineLevel="1" x14ac:dyDescent="0.15">
      <c r="A5927" s="23" t="str">
        <f>HYPERLINK("https://www.spark-marketing.ru/Card/Person/91122", "МАДОУ ""ДЕТСКИЙ САД КОМБИНИРОВАННОГО ВИДА №105 ""ДЮЙМОВОЧКА""")</f>
        <v>МАДОУ "ДЕТСКИЙ САД КОМБИНИРОВАННОГО ВИДА №105 "ДЮЙМОВОЧКА"</v>
      </c>
      <c r="B5927" s="24" t="s">
        <v>9101</v>
      </c>
      <c r="C5927" s="25">
        <v>2086922.24</v>
      </c>
      <c r="D5927" s="22" t="s">
        <v>9092</v>
      </c>
      <c r="E5927" s="22" t="s">
        <v>48</v>
      </c>
      <c r="F5927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27" s="22" t="s">
        <v>217</v>
      </c>
      <c r="H5927" s="22" t="s">
        <v>1998</v>
      </c>
      <c r="I5927" s="26">
        <v>43700.677314814799</v>
      </c>
      <c r="J5927" s="28" t="s">
        <v>51</v>
      </c>
      <c r="K5927" s="28" t="s">
        <v>51</v>
      </c>
      <c r="L5927" s="28" t="s">
        <v>51</v>
      </c>
      <c r="M5927" s="28" t="s">
        <v>51</v>
      </c>
      <c r="N5927" s="28" t="s">
        <v>51</v>
      </c>
    </row>
    <row r="5928" spans="1:14" hidden="1" outlineLevel="1" x14ac:dyDescent="0.15">
      <c r="A5928" s="23" t="str">
        <f>HYPERLINK("https://www.spark-marketing.ru/Card/Person/91657", "МАДОУ ""ДЕТСКИЙ САД №100 ""ЖАР-ПТИЦА""")</f>
        <v>МАДОУ "ДЕТСКИЙ САД №100 "ЖАР-ПТИЦА"</v>
      </c>
      <c r="B5928" s="24" t="s">
        <v>9102</v>
      </c>
      <c r="C5928" s="25">
        <v>2021959.6799999999</v>
      </c>
      <c r="D5928" s="22" t="s">
        <v>9092</v>
      </c>
      <c r="E5928" s="22" t="s">
        <v>48</v>
      </c>
      <c r="F5928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28" s="22" t="s">
        <v>217</v>
      </c>
      <c r="H5928" s="22" t="s">
        <v>1998</v>
      </c>
      <c r="I5928" s="26">
        <v>43700.677314814799</v>
      </c>
      <c r="J5928" s="28" t="s">
        <v>51</v>
      </c>
      <c r="K5928" s="28" t="s">
        <v>51</v>
      </c>
      <c r="L5928" s="28" t="s">
        <v>51</v>
      </c>
      <c r="M5928" s="28" t="s">
        <v>51</v>
      </c>
      <c r="N5928" s="28" t="s">
        <v>51</v>
      </c>
    </row>
    <row r="5929" spans="1:14" hidden="1" outlineLevel="1" x14ac:dyDescent="0.15">
      <c r="A5929" s="23" t="str">
        <f>HYPERLINK("https://www.spark-marketing.ru/Card/Person/91690", "МАДОУ ""ДЕТСКИЙ САД КОМБИНИРОВАННОГО ВИДА №99 ""ДУЛКЫН""")</f>
        <v>МАДОУ "ДЕТСКИЙ САД КОМБИНИРОВАННОГО ВИДА №99 "ДУЛКЫН"</v>
      </c>
      <c r="B5929" s="24" t="s">
        <v>9103</v>
      </c>
      <c r="C5929" s="25">
        <v>2103162.8799999999</v>
      </c>
      <c r="D5929" s="22" t="s">
        <v>9092</v>
      </c>
      <c r="E5929" s="22" t="s">
        <v>48</v>
      </c>
      <c r="F5929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29" s="22" t="s">
        <v>217</v>
      </c>
      <c r="H5929" s="22" t="s">
        <v>1998</v>
      </c>
      <c r="I5929" s="26">
        <v>43700.677314814799</v>
      </c>
      <c r="J5929" s="28" t="s">
        <v>51</v>
      </c>
      <c r="K5929" s="28" t="s">
        <v>51</v>
      </c>
      <c r="L5929" s="28" t="s">
        <v>51</v>
      </c>
      <c r="M5929" s="28" t="s">
        <v>51</v>
      </c>
      <c r="N5929" s="28" t="s">
        <v>51</v>
      </c>
    </row>
    <row r="5930" spans="1:14" hidden="1" outlineLevel="1" x14ac:dyDescent="0.15">
      <c r="A5930" s="23" t="str">
        <f>HYPERLINK("https://www.spark-marketing.ru/Card/Person/94492", "МАДОУ ""ДЕТСКИЙ САД №101 ""ЩЕЛКУНЧИК""")</f>
        <v>МАДОУ "ДЕТСКИЙ САД №101 "ЩЕЛКУНЧИК"</v>
      </c>
      <c r="B5930" s="24" t="s">
        <v>9104</v>
      </c>
      <c r="C5930" s="25">
        <v>2127523.8399999999</v>
      </c>
      <c r="D5930" s="22" t="s">
        <v>9092</v>
      </c>
      <c r="E5930" s="22" t="s">
        <v>48</v>
      </c>
      <c r="F5930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30" s="22" t="s">
        <v>217</v>
      </c>
      <c r="H5930" s="22" t="s">
        <v>1998</v>
      </c>
      <c r="I5930" s="26">
        <v>43700.677314814799</v>
      </c>
      <c r="J5930" s="28" t="s">
        <v>51</v>
      </c>
      <c r="K5930" s="28" t="s">
        <v>51</v>
      </c>
      <c r="L5930" s="28" t="s">
        <v>51</v>
      </c>
      <c r="M5930" s="28" t="s">
        <v>51</v>
      </c>
      <c r="N5930" s="28" t="s">
        <v>51</v>
      </c>
    </row>
    <row r="5931" spans="1:14" hidden="1" outlineLevel="1" x14ac:dyDescent="0.15">
      <c r="A5931" s="23" t="str">
        <f>HYPERLINK("https://www.spark-marketing.ru/Card/Person/94645", "МАДОУ ""ДЕТСКИЙ САД №98 ""ПЛАНЕТА ДЕТСТВА""")</f>
        <v>МАДОУ "ДЕТСКИЙ САД №98 "ПЛАНЕТА ДЕТСТВА"</v>
      </c>
      <c r="B5931" s="24" t="s">
        <v>9105</v>
      </c>
      <c r="C5931" s="25">
        <v>2533539.8399999999</v>
      </c>
      <c r="D5931" s="22" t="s">
        <v>9092</v>
      </c>
      <c r="E5931" s="22" t="s">
        <v>48</v>
      </c>
      <c r="F5931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31" s="22" t="s">
        <v>217</v>
      </c>
      <c r="H5931" s="22" t="s">
        <v>1998</v>
      </c>
      <c r="I5931" s="26">
        <v>43700.677314814799</v>
      </c>
      <c r="J5931" s="28" t="s">
        <v>51</v>
      </c>
      <c r="K5931" s="28" t="s">
        <v>51</v>
      </c>
      <c r="L5931" s="28" t="s">
        <v>51</v>
      </c>
      <c r="M5931" s="28" t="s">
        <v>51</v>
      </c>
      <c r="N5931" s="28" t="s">
        <v>51</v>
      </c>
    </row>
    <row r="5932" spans="1:14" hidden="1" outlineLevel="1" x14ac:dyDescent="0.2">
      <c r="A5932" s="28" t="s">
        <v>51</v>
      </c>
      <c r="B5932" s="28" t="s">
        <v>51</v>
      </c>
      <c r="C5932" s="28" t="s">
        <v>51</v>
      </c>
      <c r="D5932" s="22" t="s">
        <v>9092</v>
      </c>
      <c r="E5932" s="22" t="s">
        <v>48</v>
      </c>
      <c r="F5932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32" s="22" t="s">
        <v>51</v>
      </c>
      <c r="H5932" s="22" t="s">
        <v>51</v>
      </c>
      <c r="I5932" s="26">
        <v>43700.677314814799</v>
      </c>
      <c r="J5932" s="23" t="str">
        <f>HYPERLINK("https://www.spark-marketing.ru/Card/Person/87385", "ООО ""ШКОЛЬНОЕ ПИТАНИЕ""")</f>
        <v>ООО "ШКОЛЬНОЕ ПИТАНИЕ"</v>
      </c>
      <c r="K5932" s="24" t="s">
        <v>6356</v>
      </c>
      <c r="L5932" s="28" t="s">
        <v>51</v>
      </c>
      <c r="M5932" s="25">
        <v>21787584</v>
      </c>
      <c r="N5932" s="27">
        <v>0.20003152585119799</v>
      </c>
    </row>
    <row r="5933" spans="1:14" hidden="1" outlineLevel="1" x14ac:dyDescent="0.2">
      <c r="A5933" s="28" t="s">
        <v>51</v>
      </c>
      <c r="B5933" s="28" t="s">
        <v>51</v>
      </c>
      <c r="C5933" s="28" t="s">
        <v>51</v>
      </c>
      <c r="D5933" s="22" t="s">
        <v>9092</v>
      </c>
      <c r="E5933" s="22" t="s">
        <v>48</v>
      </c>
      <c r="F5933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33" s="22" t="s">
        <v>51</v>
      </c>
      <c r="H5933" s="22" t="s">
        <v>51</v>
      </c>
      <c r="I5933" s="26">
        <v>43700.677314814799</v>
      </c>
      <c r="J5933" s="23" t="str">
        <f>HYPERLINK("https://www.spark-marketing.ru/Card/Person/300377", "ООО ""ТУЙМАЗЫ-ФРУКТ""")</f>
        <v>ООО "ТУЙМАЗЫ-ФРУКТ"</v>
      </c>
      <c r="K5933" s="24" t="s">
        <v>9052</v>
      </c>
      <c r="L5933" s="28" t="s">
        <v>51</v>
      </c>
      <c r="M5933" s="25">
        <v>27235553.280000001</v>
      </c>
      <c r="N5933" s="27">
        <v>0</v>
      </c>
    </row>
    <row r="5934" spans="1:14" hidden="1" outlineLevel="1" x14ac:dyDescent="0.2">
      <c r="A5934" s="28" t="s">
        <v>51</v>
      </c>
      <c r="B5934" s="28" t="s">
        <v>51</v>
      </c>
      <c r="C5934" s="28" t="s">
        <v>51</v>
      </c>
      <c r="D5934" s="22" t="s">
        <v>9092</v>
      </c>
      <c r="E5934" s="22" t="s">
        <v>48</v>
      </c>
      <c r="F5934" s="23" t="str">
        <f t="shared" si="120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5934" s="22" t="s">
        <v>51</v>
      </c>
      <c r="H5934" s="22" t="s">
        <v>51</v>
      </c>
      <c r="I5934" s="26">
        <v>43700.677314814799</v>
      </c>
      <c r="J5934" s="23" t="str">
        <f>HYPERLINK("https://www.spark-marketing.ru/Card/Person/55369", "ООО ""КОМБИНАТ ОБЩЕСТВЕННОГО ПИТАНИЯ""")</f>
        <v>ООО "КОМБИНАТ ОБЩЕСТВЕННОГО ПИТАНИЯ"</v>
      </c>
      <c r="K5934" s="24" t="s">
        <v>1516</v>
      </c>
      <c r="L5934" s="22" t="s">
        <v>10</v>
      </c>
      <c r="M5934" s="25">
        <v>24784353.48</v>
      </c>
      <c r="N5934" s="27">
        <v>9.0000000176240227E-2</v>
      </c>
    </row>
    <row r="5935" spans="1:14" x14ac:dyDescent="0.15">
      <c r="A5935" s="23" t="str">
        <f>HYPERLINK("https://www.spark-marketing.ru/Card/Person/999851", "ОТДЕЛ МВД РОССИИ ПО Г. ДОНЕЦКУ")</f>
        <v>ОТДЕЛ МВД РОССИИ ПО Г. ДОНЕЦКУ</v>
      </c>
      <c r="B5935" s="24" t="s">
        <v>9106</v>
      </c>
      <c r="C5935" s="25">
        <v>126600</v>
      </c>
      <c r="D5935" s="22" t="s">
        <v>9107</v>
      </c>
      <c r="E5935" s="22" t="s">
        <v>96</v>
      </c>
      <c r="F5935" s="23" t="str">
        <f>HYPERLINK("https://www.spark-marketing.ru/Card/Lot/72997928", "Оказание услуг по организации питания (приготовлению и доставке), 422 шт")</f>
        <v>Оказание услуг по организации питания (приготовлению и доставке), 422 шт</v>
      </c>
      <c r="G5935" s="22" t="s">
        <v>267</v>
      </c>
      <c r="H5935" s="22" t="s">
        <v>9108</v>
      </c>
      <c r="I5935" s="26">
        <v>43700.647372685198</v>
      </c>
      <c r="J5935" s="28" t="s">
        <v>51</v>
      </c>
      <c r="K5935" s="28" t="s">
        <v>51</v>
      </c>
      <c r="L5935" s="28" t="s">
        <v>51</v>
      </c>
      <c r="M5935" s="28" t="s">
        <v>51</v>
      </c>
      <c r="N5935" s="28" t="s">
        <v>51</v>
      </c>
    </row>
    <row r="5936" spans="1:14" x14ac:dyDescent="0.15">
      <c r="A5936" s="23" t="str">
        <f>HYPERLINK("https://www.spark-marketing.ru/Card/Person/813613", "ОТДЕЛ МВД РОССИИ ПО ЗУБОВО-ПОЛЯНСКОМУ МУНИЦИПАЛЬНОМУ РАЙОНУ")</f>
        <v>ОТДЕЛ МВД РОССИИ ПО ЗУБОВО-ПОЛЯНСКОМУ МУНИЦИПАЛЬНОМУ РАЙОНУ</v>
      </c>
      <c r="B5936" s="24" t="s">
        <v>4600</v>
      </c>
      <c r="C5936" s="25">
        <v>196700</v>
      </c>
      <c r="D5936" s="22" t="s">
        <v>9109</v>
      </c>
      <c r="E5936" s="22" t="s">
        <v>48</v>
      </c>
      <c r="F5936" s="23" t="str">
        <f>HYPERLINK("https://www.spark-marketing.ru/Card/Lot/72997181",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5936" s="22" t="s">
        <v>277</v>
      </c>
      <c r="H5936" s="22" t="s">
        <v>4602</v>
      </c>
      <c r="I5936" s="26">
        <v>43700.636747685203</v>
      </c>
      <c r="J5936" s="28" t="s">
        <v>51</v>
      </c>
      <c r="K5936" s="28" t="s">
        <v>51</v>
      </c>
      <c r="L5936" s="28" t="s">
        <v>51</v>
      </c>
      <c r="M5936" s="28" t="s">
        <v>51</v>
      </c>
      <c r="N5936" s="28" t="s">
        <v>51</v>
      </c>
    </row>
    <row r="5937" spans="1:14" x14ac:dyDescent="0.15">
      <c r="A5937" s="23" t="str">
        <f>HYPERLINK("https://www.spark-marketing.ru/Card/Person/11860", "ГБУЗ ""СОКПТД""")</f>
        <v>ГБУЗ "СОКПТД"</v>
      </c>
      <c r="B5937" s="24" t="s">
        <v>9110</v>
      </c>
      <c r="C5937" s="25">
        <v>75000226.480000004</v>
      </c>
      <c r="D5937" s="22" t="s">
        <v>9111</v>
      </c>
      <c r="E5937" s="22" t="s">
        <v>48</v>
      </c>
      <c r="F5937" s="23" t="str">
        <f>HYPERLINK("https://www.spark-marketing.ru/Card/Lot/73006856", "Оказание услуг по организации диетического лечебного питания для нужд государственного бюджетного учреждения здравоохранения ""Самарский областной клинический противотуберкулезный диспансер имени Н.В. Постникова""")</f>
        <v>Оказание услуг по организации диетического лечебного питания для нужд государственного бюджетного учреждения здравоохранения "Самарский областной клинический противотуберкулезный диспансер имени Н.В. Постникова"</v>
      </c>
      <c r="G5937" s="22" t="s">
        <v>128</v>
      </c>
      <c r="H5937" s="22" t="s">
        <v>129</v>
      </c>
      <c r="I5937" s="26">
        <v>43700.675717592603</v>
      </c>
      <c r="J5937" s="23" t="str">
        <f>HYPERLINK("https://www.spark-marketing.ru/Card/Person/53981", "ООО ""КОНТИНЕНТ-АГРО""")</f>
        <v>ООО "КОНТИНЕНТ-АГРО"</v>
      </c>
      <c r="K5937" s="24" t="s">
        <v>9112</v>
      </c>
      <c r="L5937" s="28" t="s">
        <v>51</v>
      </c>
      <c r="M5937" s="28" t="s">
        <v>51</v>
      </c>
      <c r="N5937" s="28" t="s">
        <v>51</v>
      </c>
    </row>
    <row r="5938" spans="1:14" x14ac:dyDescent="0.15">
      <c r="A5938" s="23" t="str">
        <f>HYPERLINK("https://www.spark-marketing.ru/Card/Person/1003382", "ОМВД РОССИИ ПО БЕЛОЯРСКОМУ РАЙОНУ")</f>
        <v>ОМВД РОССИИ ПО БЕЛОЯРСКОМУ РАЙОНУ</v>
      </c>
      <c r="B5938" s="24" t="s">
        <v>9113</v>
      </c>
      <c r="C5938" s="25">
        <v>578000</v>
      </c>
      <c r="D5938" s="22" t="s">
        <v>9114</v>
      </c>
      <c r="E5938" s="22" t="s">
        <v>48</v>
      </c>
      <c r="F5938" s="23" t="str">
        <f>HYPERLINK("https://www.spark-marketing.ru/Card/Lot/72997394", "Оказание услуги по приготовлению и поставке питания для подозреваемых, обвиняемых и административно арестованных, содержащихся в ИВС ОМВД России по Белоярскому району, а также лиц находящихся в комнате административно задержанных и  специальном помещ...")</f>
        <v>Оказание услуги по приготовлению и поставке питания для подозреваемых, обвиняемых и административно арестованных, содержащихся в ИВС ОМВД России по Белоярскому району, а также лиц находящихся в комнате административно задержанных и  специальном помещ...</v>
      </c>
      <c r="G5938" s="22" t="s">
        <v>97</v>
      </c>
      <c r="H5938" s="22" t="s">
        <v>9115</v>
      </c>
      <c r="I5938" s="26">
        <v>43700.651504629597</v>
      </c>
      <c r="J5938" s="23" t="str">
        <f>HYPERLINK("https://www.spark-marketing.ru/Card/Person/1644259", "Скоробогатова Наталья Николаевна")</f>
        <v>Скоробогатова Наталья Николаевна</v>
      </c>
      <c r="K5938" s="24" t="s">
        <v>9116</v>
      </c>
      <c r="L5938" s="22" t="s">
        <v>10</v>
      </c>
      <c r="M5938" s="28" t="s">
        <v>51</v>
      </c>
      <c r="N5938" s="28" t="s">
        <v>51</v>
      </c>
    </row>
    <row r="5939" spans="1:14" x14ac:dyDescent="0.15">
      <c r="A5939" s="23" t="str">
        <f>HYPERLINK("https://www.spark-marketing.ru/Card/Person/129406", "МОМВД РОССИИ ""КИРСАНОВСКИЙ""")</f>
        <v>МОМВД РОССИИ "КИРСАНОВСКИЙ"</v>
      </c>
      <c r="B5939" s="24" t="s">
        <v>6612</v>
      </c>
      <c r="C5939" s="25">
        <v>1163300</v>
      </c>
      <c r="D5939" s="22" t="s">
        <v>9117</v>
      </c>
      <c r="E5939" s="22" t="s">
        <v>96</v>
      </c>
      <c r="F5939" s="23" t="str">
        <f>HYPERLINK("https://www.spark-marketing.ru/Card/Lot/73004742", "оказание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специал...")</f>
        <v>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</v>
      </c>
      <c r="G5939" s="22" t="s">
        <v>1370</v>
      </c>
      <c r="H5939" s="22" t="s">
        <v>6325</v>
      </c>
      <c r="I5939" s="26">
        <v>43700.485462962999</v>
      </c>
      <c r="J5939" s="28" t="s">
        <v>51</v>
      </c>
      <c r="K5939" s="28" t="s">
        <v>51</v>
      </c>
      <c r="L5939" s="28" t="s">
        <v>51</v>
      </c>
      <c r="M5939" s="28" t="s">
        <v>51</v>
      </c>
      <c r="N5939" s="28" t="s">
        <v>51</v>
      </c>
    </row>
    <row r="5940" spans="1:14" x14ac:dyDescent="0.15">
      <c r="A5940" s="23" t="str">
        <f>HYPERLINK("https://www.spark-marketing.ru/Card/Person/58920", "ФГБУ ""ХАБАРОВСКИЙ АСЦ МЧС РОССИИ""")</f>
        <v>ФГБУ "ХАБАРОВСКИЙ АСЦ МЧС РОССИИ"</v>
      </c>
      <c r="B5940" s="24" t="s">
        <v>4752</v>
      </c>
      <c r="C5940" s="25">
        <v>1380000</v>
      </c>
      <c r="D5940" s="22" t="s">
        <v>9118</v>
      </c>
      <c r="E5940" s="22" t="s">
        <v>48</v>
      </c>
      <c r="F5940" s="23" t="str">
        <f>HYPERLINK("https://www.spark-marketing.ru/Card/Lot/72985862", "Оказание услуг по организации питания экипажа на Ми-8 г. Магадан")</f>
        <v>Оказание услуг по организации питания экипажа на Ми-8 г. Магадан</v>
      </c>
      <c r="G5940" s="22" t="s">
        <v>1096</v>
      </c>
      <c r="H5940" s="22" t="s">
        <v>1097</v>
      </c>
      <c r="I5940" s="26">
        <v>43700.635011574101</v>
      </c>
      <c r="J5940" s="28" t="s">
        <v>51</v>
      </c>
      <c r="K5940" s="28" t="s">
        <v>51</v>
      </c>
      <c r="L5940" s="28" t="s">
        <v>51</v>
      </c>
      <c r="M5940" s="28" t="s">
        <v>51</v>
      </c>
      <c r="N5940" s="28" t="s">
        <v>51</v>
      </c>
    </row>
    <row r="5941" spans="1:14" x14ac:dyDescent="0.15">
      <c r="A5941" s="23" t="str">
        <f>HYPERLINK("https://www.spark-marketing.ru/Card/Person/813613", "ОТДЕЛ МВД РОССИИ ПО ЗУБОВО-ПОЛЯНСКОМУ МУНИЦИПАЛЬНОМУ РАЙОНУ")</f>
        <v>ОТДЕЛ МВД РОССИИ ПО ЗУБОВО-ПОЛЯНСКОМУ МУНИЦИПАЛЬНОМУ РАЙОНУ</v>
      </c>
      <c r="B5941" s="24" t="s">
        <v>4600</v>
      </c>
      <c r="C5941" s="25">
        <v>139300</v>
      </c>
      <c r="D5941" s="22" t="s">
        <v>9119</v>
      </c>
      <c r="E5941" s="22" t="s">
        <v>48</v>
      </c>
      <c r="F5941" s="23" t="str">
        <f>HYPERLINK("https://www.spark-marketing.ru/Card/Lot/72997919",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5941" s="22" t="s">
        <v>277</v>
      </c>
      <c r="H5941" s="22" t="s">
        <v>4602</v>
      </c>
      <c r="I5941" s="26">
        <v>43700.645601851902</v>
      </c>
      <c r="J5941" s="28" t="s">
        <v>51</v>
      </c>
      <c r="K5941" s="28" t="s">
        <v>51</v>
      </c>
      <c r="L5941" s="28" t="s">
        <v>51</v>
      </c>
      <c r="M5941" s="28" t="s">
        <v>51</v>
      </c>
      <c r="N5941" s="28" t="s">
        <v>51</v>
      </c>
    </row>
    <row r="5942" spans="1:14" x14ac:dyDescent="0.15">
      <c r="A5942" s="23" t="str">
        <f>HYPERLINK("https://www.spark-marketing.ru/Card/Person/806903", "ГБУ РЦ ""МОЛОДЁЖЬ ПЛЮС""")</f>
        <v>ГБУ РЦ "МОЛОДЁЖЬ ПЛЮС"</v>
      </c>
      <c r="B5942" s="24" t="s">
        <v>9120</v>
      </c>
      <c r="C5942" s="25">
        <v>872400</v>
      </c>
      <c r="D5942" s="22" t="s">
        <v>9121</v>
      </c>
      <c r="E5942" s="22" t="s">
        <v>194</v>
      </c>
      <c r="F5942" s="23" t="str">
        <f>HYPERLINK("https://www.spark-marketing.ru/Card/Lot/73000551", "Услуги по организации сопровождения и питания организованных групп детей региона в пути следования до места нахождения Международного и  Всероссийских детских центров, и обратно.")</f>
        <v>Услуги по организации сопровождения и питания организованных групп детей региона в пути следования до места нахождения Международного и  Всероссийских детских центров, и обратно.</v>
      </c>
      <c r="G5942" s="22" t="s">
        <v>351</v>
      </c>
      <c r="H5942" s="22" t="s">
        <v>2983</v>
      </c>
      <c r="I5942" s="26">
        <v>43700.612986111097</v>
      </c>
      <c r="J5942" s="23" t="str">
        <f>HYPERLINK("https://www.spark-marketing.ru/Card/Person/796926", "ООО ""КРУГОЗОР""")</f>
        <v>ООО "КРУГОЗОР"</v>
      </c>
      <c r="K5942" s="24" t="s">
        <v>9122</v>
      </c>
      <c r="L5942" s="22" t="s">
        <v>10</v>
      </c>
      <c r="M5942" s="28" t="s">
        <v>51</v>
      </c>
      <c r="N5942" s="28" t="s">
        <v>51</v>
      </c>
    </row>
    <row r="5943" spans="1:14" x14ac:dyDescent="0.15">
      <c r="A5943" s="23" t="str">
        <f>HYPERLINK("https://www.spark-marketing.ru/Card/Person/56382", "ГБУСО ""ПИМ""")</f>
        <v>ГБУСО "ПИМ"</v>
      </c>
      <c r="B5943" s="24" t="s">
        <v>9123</v>
      </c>
      <c r="C5943" s="25">
        <v>650000</v>
      </c>
      <c r="D5943" s="22" t="s">
        <v>9124</v>
      </c>
      <c r="E5943" s="22" t="s">
        <v>48</v>
      </c>
      <c r="F5943" s="23" t="str">
        <f>HYPERLINK("https://www.spark-marketing.ru/Card/Lot/73004351", "Услуги по обеспечению питанием (идентификационный номер: 831-А-ГЗ)")</f>
        <v>Услуги по обеспечению питанием (идентификационный номер: 831-А-ГЗ)</v>
      </c>
      <c r="G5943" s="22" t="s">
        <v>415</v>
      </c>
      <c r="H5943" s="22" t="s">
        <v>4542</v>
      </c>
      <c r="I5943" s="26">
        <v>43700.503564814797</v>
      </c>
      <c r="J5943" s="28" t="s">
        <v>51</v>
      </c>
      <c r="K5943" s="28" t="s">
        <v>51</v>
      </c>
      <c r="L5943" s="28" t="s">
        <v>51</v>
      </c>
      <c r="M5943" s="28" t="s">
        <v>51</v>
      </c>
      <c r="N5943" s="28" t="s">
        <v>51</v>
      </c>
    </row>
    <row r="5944" spans="1:14" hidden="1" outlineLevel="1" x14ac:dyDescent="0.2">
      <c r="A5944" s="23" t="str">
        <f>HYPERLINK("https://www.spark-marketing.ru/Card/Person/56382", "ГБУСО ""ПИМ""")</f>
        <v>ГБУСО "ПИМ"</v>
      </c>
      <c r="B5944" s="24" t="s">
        <v>9123</v>
      </c>
      <c r="C5944" s="25">
        <v>650000</v>
      </c>
      <c r="D5944" s="22" t="s">
        <v>9124</v>
      </c>
      <c r="E5944" s="22" t="s">
        <v>48</v>
      </c>
      <c r="F5944" s="23" t="str">
        <f>HYPERLINK("https://www.spark-marketing.ru/Card/Lot/73004351", "Услуги по обеспечению питанием (идентификационный номер: 831-А-ГЗ)")</f>
        <v>Услуги по обеспечению питанием (идентификационный номер: 831-А-ГЗ)</v>
      </c>
      <c r="G5944" s="22" t="s">
        <v>415</v>
      </c>
      <c r="H5944" s="22" t="s">
        <v>4542</v>
      </c>
      <c r="I5944" s="26">
        <v>43700.503564814797</v>
      </c>
      <c r="J5944" s="23" t="str">
        <f>HYPERLINK("https://www.spark-marketing.ru/Card/Person/393246", "ООО ""ЛАРНАКА""")</f>
        <v>ООО "ЛАРНАКА"</v>
      </c>
      <c r="K5944" s="24" t="s">
        <v>6339</v>
      </c>
      <c r="L5944" s="28" t="s">
        <v>51</v>
      </c>
      <c r="M5944" s="25">
        <v>76.540000000000006</v>
      </c>
      <c r="N5944" s="27">
        <v>0.99988224615384613</v>
      </c>
    </row>
    <row r="5945" spans="1:14" ht="12.75" hidden="1" outlineLevel="1" x14ac:dyDescent="0.2">
      <c r="A5945" s="23" t="str">
        <f>HYPERLINK("https://www.spark-marketing.ru/Card/Person/56382", "ГБУСО ""ПИМ""")</f>
        <v>ГБУСО "ПИМ"</v>
      </c>
      <c r="B5945" s="24" t="s">
        <v>9123</v>
      </c>
      <c r="C5945" s="25">
        <v>650000</v>
      </c>
      <c r="D5945" s="22" t="s">
        <v>9124</v>
      </c>
      <c r="E5945" s="22" t="s">
        <v>48</v>
      </c>
      <c r="F5945" s="23" t="str">
        <f>HYPERLINK("https://www.spark-marketing.ru/Card/Lot/73004351", "Услуги по обеспечению питанием (идентификационный номер: 831-А-ГЗ)")</f>
        <v>Услуги по обеспечению питанием (идентификационный номер: 831-А-ГЗ)</v>
      </c>
      <c r="G5945" s="22" t="s">
        <v>415</v>
      </c>
      <c r="H5945" s="22" t="s">
        <v>4542</v>
      </c>
      <c r="I5945" s="26">
        <v>43700.503564814797</v>
      </c>
      <c r="J5945" s="23" t="str">
        <f>HYPERLINK("https://www.spark-marketing.ru/Card/Person/784370", "ООО ""КАЛЕЙДОСКОП""")</f>
        <v>ООО "КАЛЕЙДОСКОП"</v>
      </c>
      <c r="K5945" s="24" t="s">
        <v>9125</v>
      </c>
      <c r="L5945" s="22" t="s">
        <v>10</v>
      </c>
      <c r="M5945" s="25">
        <v>76</v>
      </c>
      <c r="N5945" s="27">
        <v>0.99988307692307687</v>
      </c>
    </row>
    <row r="5946" spans="1:14" x14ac:dyDescent="0.15">
      <c r="A5946" s="23" t="str">
        <f>HYPERLINK("https://www.spark-marketing.ru/Card/Person/1051454", "ОМВД РОССИИ ПО ЕНОТАЕВСКОМУ РАЙОНУ")</f>
        <v>ОМВД РОССИИ ПО ЕНОТАЕВСКОМУ РАЙОНУ</v>
      </c>
      <c r="B5946" s="24" t="s">
        <v>4186</v>
      </c>
      <c r="C5946" s="25">
        <v>183</v>
      </c>
      <c r="D5946" s="22" t="s">
        <v>9126</v>
      </c>
      <c r="E5946" s="22" t="s">
        <v>48</v>
      </c>
      <c r="F5946" s="23" t="str">
        <f>HYPERLINK("https://www.spark-marketing.ru/Card/Lot/72996707",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5946" s="22" t="s">
        <v>141</v>
      </c>
      <c r="H5946" s="22" t="s">
        <v>4188</v>
      </c>
      <c r="I5946" s="26">
        <v>43700.631041666697</v>
      </c>
      <c r="J5946" s="28" t="s">
        <v>51</v>
      </c>
      <c r="K5946" s="28" t="s">
        <v>51</v>
      </c>
      <c r="L5946" s="28" t="s">
        <v>51</v>
      </c>
      <c r="M5946" s="28" t="s">
        <v>51</v>
      </c>
      <c r="N5946" s="28" t="s">
        <v>51</v>
      </c>
    </row>
    <row r="5947" spans="1:14" x14ac:dyDescent="0.15">
      <c r="A5947" s="23" t="s">
        <v>114</v>
      </c>
      <c r="B5947" s="28" t="s">
        <v>51</v>
      </c>
      <c r="C5947" s="25">
        <v>1160500</v>
      </c>
      <c r="D5947" s="22" t="s">
        <v>9127</v>
      </c>
      <c r="E5947" s="22" t="s">
        <v>48</v>
      </c>
      <c r="F5947" s="23" t="str">
        <f>HYPERLINK("https://www.spark-marketing.ru/Card/Lot/73006248", "оказание услуг по организации питания")</f>
        <v>оказание услуг по организации питания</v>
      </c>
      <c r="G5947" s="22" t="s">
        <v>51</v>
      </c>
      <c r="H5947" s="22" t="s">
        <v>51</v>
      </c>
      <c r="I5947" s="26">
        <v>43700.630266203698</v>
      </c>
      <c r="J5947" s="23" t="str">
        <f>HYPERLINK("https://www.spark-marketing.ru/Card/Person/4625737", "ООО ""АНТАРЕС-АУТСОРСИНГ""")</f>
        <v>ООО "АНТАРЕС-АУТСОРСИНГ"</v>
      </c>
      <c r="K5947" s="24" t="s">
        <v>9128</v>
      </c>
      <c r="L5947" s="28" t="s">
        <v>51</v>
      </c>
      <c r="M5947" s="28" t="s">
        <v>51</v>
      </c>
      <c r="N5947" s="28" t="s">
        <v>51</v>
      </c>
    </row>
    <row r="5948" spans="1:14" hidden="1" outlineLevel="1" x14ac:dyDescent="0.15">
      <c r="A5948" s="23" t="str">
        <f>HYPERLINK("https://www.spark-marketing.ru/Card/Person/33266", "СРЕДНЯЯ ШКОЛА № 57")</f>
        <v>СРЕДНЯЯ ШКОЛА № 57</v>
      </c>
      <c r="B5948" s="24" t="s">
        <v>9129</v>
      </c>
      <c r="C5948" s="25">
        <v>536200</v>
      </c>
      <c r="D5948" s="22" t="s">
        <v>9127</v>
      </c>
      <c r="E5948" s="22" t="s">
        <v>48</v>
      </c>
      <c r="F5948" s="23" t="str">
        <f>HYPERLINK("https://www.spark-marketing.ru/Card/Lot/73006248", "оказание услуг по организации питания")</f>
        <v>оказание услуг по организации питания</v>
      </c>
      <c r="G5948" s="22" t="s">
        <v>185</v>
      </c>
      <c r="H5948" s="22" t="s">
        <v>185</v>
      </c>
      <c r="I5948" s="26">
        <v>43700.630266203698</v>
      </c>
      <c r="J5948" s="23" t="str">
        <f>HYPERLINK("https://www.spark-marketing.ru/Card/Person/4625737", "ООО ""АНТАРЕС-АУТСОРСИНГ""")</f>
        <v>ООО "АНТАРЕС-АУТСОРСИНГ"</v>
      </c>
      <c r="K5948" s="24" t="s">
        <v>9128</v>
      </c>
      <c r="L5948" s="28" t="s">
        <v>51</v>
      </c>
      <c r="M5948" s="28" t="s">
        <v>51</v>
      </c>
      <c r="N5948" s="28" t="s">
        <v>51</v>
      </c>
    </row>
    <row r="5949" spans="1:14" hidden="1" outlineLevel="1" x14ac:dyDescent="0.15">
      <c r="A5949" s="23" t="str">
        <f>HYPERLINK("https://www.spark-marketing.ru/Card/Person/35071", "СРЕДНЯЯ ШКОЛА № 32")</f>
        <v>СРЕДНЯЯ ШКОЛА № 32</v>
      </c>
      <c r="B5949" s="24" t="s">
        <v>9130</v>
      </c>
      <c r="C5949" s="25">
        <v>624300</v>
      </c>
      <c r="D5949" s="22" t="s">
        <v>9127</v>
      </c>
      <c r="E5949" s="22" t="s">
        <v>48</v>
      </c>
      <c r="F5949" s="23" t="str">
        <f>HYPERLINK("https://www.spark-marketing.ru/Card/Lot/73006248", "оказание услуг по организации питания")</f>
        <v>оказание услуг по организации питания</v>
      </c>
      <c r="G5949" s="22" t="s">
        <v>185</v>
      </c>
      <c r="H5949" s="22" t="s">
        <v>185</v>
      </c>
      <c r="I5949" s="26">
        <v>43700.630266203698</v>
      </c>
      <c r="J5949" s="23" t="str">
        <f>HYPERLINK("https://www.spark-marketing.ru/Card/Person/4625737", "ООО ""АНТАРЕС-АУТСОРСИНГ""")</f>
        <v>ООО "АНТАРЕС-АУТСОРСИНГ"</v>
      </c>
      <c r="K5949" s="24" t="s">
        <v>9128</v>
      </c>
      <c r="L5949" s="28" t="s">
        <v>51</v>
      </c>
      <c r="M5949" s="28" t="s">
        <v>51</v>
      </c>
      <c r="N5949" s="28" t="s">
        <v>51</v>
      </c>
    </row>
    <row r="5950" spans="1:14" x14ac:dyDescent="0.15">
      <c r="A5950" s="23" t="str">
        <f>HYPERLINK("https://www.spark-marketing.ru/Card/Person/813613", "ОТДЕЛ МВД РОССИИ ПО ЗУБОВО-ПОЛЯНСКОМУ МУНИЦИПАЛЬНОМУ РАЙОНУ")</f>
        <v>ОТДЕЛ МВД РОССИИ ПО ЗУБОВО-ПОЛЯНСКОМУ МУНИЦИПАЛЬНОМУ РАЙОНУ</v>
      </c>
      <c r="B5950" s="24" t="s">
        <v>4600</v>
      </c>
      <c r="C5950" s="25">
        <v>139300</v>
      </c>
      <c r="D5950" s="22" t="s">
        <v>9131</v>
      </c>
      <c r="E5950" s="22" t="s">
        <v>48</v>
      </c>
      <c r="F5950" s="23" t="str">
        <f>HYPERLINK("https://www.spark-marketing.ru/Card/Lot/72997241",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5950" s="22" t="s">
        <v>277</v>
      </c>
      <c r="H5950" s="22" t="s">
        <v>4602</v>
      </c>
      <c r="I5950" s="26">
        <v>43700.638807870397</v>
      </c>
      <c r="J5950" s="28" t="s">
        <v>51</v>
      </c>
      <c r="K5950" s="28" t="s">
        <v>51</v>
      </c>
      <c r="L5950" s="28" t="s">
        <v>51</v>
      </c>
      <c r="M5950" s="28" t="s">
        <v>51</v>
      </c>
      <c r="N5950" s="28" t="s">
        <v>51</v>
      </c>
    </row>
    <row r="5951" spans="1:14" x14ac:dyDescent="0.15">
      <c r="A5951" s="23" t="str">
        <f>HYPERLINK("https://www.spark-marketing.ru/Card/Person/1051454", "ОМВД РОССИИ ПО ЕНОТАЕВСКОМУ РАЙОНУ")</f>
        <v>ОМВД РОССИИ ПО ЕНОТАЕВСКОМУ РАЙОНУ</v>
      </c>
      <c r="B5951" s="24" t="s">
        <v>4186</v>
      </c>
      <c r="C5951" s="25">
        <v>181.2</v>
      </c>
      <c r="D5951" s="22" t="s">
        <v>9132</v>
      </c>
      <c r="E5951" s="22" t="s">
        <v>48</v>
      </c>
      <c r="F5951" s="23" t="str">
        <f>HYPERLINK("https://www.spark-marketing.ru/Card/Lot/72996699",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5951" s="22" t="s">
        <v>141</v>
      </c>
      <c r="H5951" s="22" t="s">
        <v>4188</v>
      </c>
      <c r="I5951" s="26">
        <v>43700.629537036999</v>
      </c>
      <c r="J5951" s="28" t="s">
        <v>51</v>
      </c>
      <c r="K5951" s="28" t="s">
        <v>51</v>
      </c>
      <c r="L5951" s="28" t="s">
        <v>51</v>
      </c>
      <c r="M5951" s="28" t="s">
        <v>51</v>
      </c>
      <c r="N5951" s="28" t="s">
        <v>51</v>
      </c>
    </row>
    <row r="5952" spans="1:14" x14ac:dyDescent="0.15">
      <c r="A5952" s="23" t="str">
        <f>HYPERLINK("https://www.spark-marketing.ru/Card/Person/129406", "МОМВД РОССИИ ""КИРСАНОВСКИЙ""")</f>
        <v>МОМВД РОССИИ "КИРСАНОВСКИЙ"</v>
      </c>
      <c r="B5952" s="24" t="s">
        <v>6612</v>
      </c>
      <c r="C5952" s="25">
        <v>1163300</v>
      </c>
      <c r="D5952" s="22" t="s">
        <v>9133</v>
      </c>
      <c r="E5952" s="22" t="s">
        <v>96</v>
      </c>
      <c r="F5952" s="23" t="str">
        <f>HYPERLINK("https://www.spark-marketing.ru/Card/Lot/73004739", "оказание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специал...")</f>
        <v>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</v>
      </c>
      <c r="G5952" s="22" t="s">
        <v>1370</v>
      </c>
      <c r="H5952" s="22" t="s">
        <v>9134</v>
      </c>
      <c r="I5952" s="26">
        <v>43700.464930555601</v>
      </c>
      <c r="J5952" s="28" t="s">
        <v>51</v>
      </c>
      <c r="K5952" s="28" t="s">
        <v>51</v>
      </c>
      <c r="L5952" s="28" t="s">
        <v>51</v>
      </c>
      <c r="M5952" s="28" t="s">
        <v>51</v>
      </c>
      <c r="N5952" s="28" t="s">
        <v>51</v>
      </c>
    </row>
    <row r="5953" spans="1:14" x14ac:dyDescent="0.15">
      <c r="A5953" s="23" t="str">
        <f>HYPERLINK("https://www.spark-marketing.ru/Card/Person/323764", "ФКУ СИЗО-1 ГУФСИН РОССИИ ПО ИРКУТСКОЙ ОБЛАСТИ")</f>
        <v>ФКУ СИЗО-1 ГУФСИН РОССИИ ПО ИРКУТСКОЙ ОБЛАСТИ</v>
      </c>
      <c r="B5953" s="24" t="s">
        <v>9135</v>
      </c>
      <c r="C5953" s="25">
        <v>299999.89</v>
      </c>
      <c r="D5953" s="22" t="s">
        <v>9136</v>
      </c>
      <c r="E5953" s="22" t="s">
        <v>809</v>
      </c>
      <c r="F5953" s="23" t="str">
        <f>HYPERLINK("https://www.spark-marketing.ru/Card/Lot/72988613", "Закупка товаров, работ, услуг в сфере информационно-коммуникационных технологий (Персональный компьютер и его комплектующие)")</f>
        <v>Закупка товаров, работ, услуг в сфере информационно-коммуникационных технологий (Персональный компьютер и его комплектующие)</v>
      </c>
      <c r="G5953" s="22" t="s">
        <v>263</v>
      </c>
      <c r="H5953" s="22" t="s">
        <v>263</v>
      </c>
      <c r="I5953" s="26">
        <v>43700.627928240698</v>
      </c>
      <c r="J5953" s="28" t="s">
        <v>51</v>
      </c>
      <c r="K5953" s="28" t="s">
        <v>51</v>
      </c>
      <c r="L5953" s="28" t="s">
        <v>51</v>
      </c>
      <c r="M5953" s="28" t="s">
        <v>51</v>
      </c>
      <c r="N5953" s="28" t="s">
        <v>51</v>
      </c>
    </row>
    <row r="5954" spans="1:14" hidden="1" outlineLevel="1" x14ac:dyDescent="0.2">
      <c r="A5954" s="23" t="str">
        <f>HYPERLINK("https://www.spark-marketing.ru/Card/Person/323764", "ФКУ СИЗО-1 ГУФСИН РОССИИ ПО ИРКУТСКОЙ ОБЛАСТИ")</f>
        <v>ФКУ СИЗО-1 ГУФСИН РОССИИ ПО ИРКУТСКОЙ ОБЛАСТИ</v>
      </c>
      <c r="B5954" s="24" t="s">
        <v>9135</v>
      </c>
      <c r="C5954" s="25">
        <v>299999.89</v>
      </c>
      <c r="D5954" s="22" t="s">
        <v>9136</v>
      </c>
      <c r="E5954" s="22" t="s">
        <v>809</v>
      </c>
      <c r="F5954" s="23" t="str">
        <f>HYPERLINK("https://www.spark-marketing.ru/Card/Lot/72988613", "Закупка товаров, работ, услуг в сфере информационно-коммуникационных технологий (Персональный компьютер и его комплектующие)")</f>
        <v>Закупка товаров, работ, услуг в сфере информационно-коммуникационных технологий (Персональный компьютер и его комплектующие)</v>
      </c>
      <c r="G5954" s="22" t="s">
        <v>263</v>
      </c>
      <c r="H5954" s="22" t="s">
        <v>263</v>
      </c>
      <c r="I5954" s="26">
        <v>43700.627928240698</v>
      </c>
      <c r="J5954" s="23" t="str">
        <f>HYPERLINK("https://www.spark-marketing.ru/Card/Person/294049", "ООО ""ИНЖЕНЕРНЫЕ СИСТЕМЫ""")</f>
        <v>ООО "ИНЖЕНЕРНЫЕ СИСТЕМЫ"</v>
      </c>
      <c r="K5954" s="24" t="s">
        <v>9137</v>
      </c>
      <c r="L5954" s="28" t="s">
        <v>51</v>
      </c>
      <c r="M5954" s="25">
        <v>241499.89</v>
      </c>
      <c r="N5954" s="27">
        <v>0.19500007150002621</v>
      </c>
    </row>
    <row r="5955" spans="1:14" ht="12.75" hidden="1" outlineLevel="1" x14ac:dyDescent="0.2">
      <c r="A5955" s="23" t="str">
        <f>HYPERLINK("https://www.spark-marketing.ru/Card/Person/323764", "ФКУ СИЗО-1 ГУФСИН РОССИИ ПО ИРКУТСКОЙ ОБЛАСТИ")</f>
        <v>ФКУ СИЗО-1 ГУФСИН РОССИИ ПО ИРКУТСКОЙ ОБЛАСТИ</v>
      </c>
      <c r="B5955" s="24" t="s">
        <v>9135</v>
      </c>
      <c r="C5955" s="25">
        <v>299999.89</v>
      </c>
      <c r="D5955" s="22" t="s">
        <v>9136</v>
      </c>
      <c r="E5955" s="22" t="s">
        <v>809</v>
      </c>
      <c r="F5955" s="23" t="str">
        <f>HYPERLINK("https://www.spark-marketing.ru/Card/Lot/72988613", "Закупка товаров, работ, услуг в сфере информационно-коммуникационных технологий (Персональный компьютер и его комплектующие)")</f>
        <v>Закупка товаров, работ, услуг в сфере информационно-коммуникационных технологий (Персональный компьютер и его комплектующие)</v>
      </c>
      <c r="G5955" s="22" t="s">
        <v>263</v>
      </c>
      <c r="H5955" s="22" t="s">
        <v>263</v>
      </c>
      <c r="I5955" s="26">
        <v>43700.627928240698</v>
      </c>
      <c r="J5955" s="23" t="str">
        <f>HYPERLINK("https://www.spark-marketing.ru/Card/Person/4395841", "ООО ""СИСТЕМНЫЕ РЕШЕНИЯ""")</f>
        <v>ООО "СИСТЕМНЫЕ РЕШЕНИЯ"</v>
      </c>
      <c r="K5955" s="24" t="s">
        <v>6235</v>
      </c>
      <c r="L5955" s="22" t="s">
        <v>10</v>
      </c>
      <c r="M5955" s="25">
        <v>239999.89</v>
      </c>
      <c r="N5955" s="27">
        <v>0.20000007333336023</v>
      </c>
    </row>
    <row r="5956" spans="1:14" hidden="1" outlineLevel="1" x14ac:dyDescent="0.2">
      <c r="A5956" s="23" t="str">
        <f>HYPERLINK("https://www.spark-marketing.ru/Card/Person/323764", "ФКУ СИЗО-1 ГУФСИН РОССИИ ПО ИРКУТСКОЙ ОБЛАСТИ")</f>
        <v>ФКУ СИЗО-1 ГУФСИН РОССИИ ПО ИРКУТСКОЙ ОБЛАСТИ</v>
      </c>
      <c r="B5956" s="24" t="s">
        <v>9135</v>
      </c>
      <c r="C5956" s="25">
        <v>299999.89</v>
      </c>
      <c r="D5956" s="22" t="s">
        <v>9136</v>
      </c>
      <c r="E5956" s="22" t="s">
        <v>809</v>
      </c>
      <c r="F5956" s="23" t="str">
        <f>HYPERLINK("https://www.spark-marketing.ru/Card/Lot/72988613", "Закупка товаров, работ, услуг в сфере информационно-коммуникационных технологий (Персональный компьютер и его комплектующие)")</f>
        <v>Закупка товаров, работ, услуг в сфере информационно-коммуникационных технологий (Персональный компьютер и его комплектующие)</v>
      </c>
      <c r="G5956" s="22" t="s">
        <v>263</v>
      </c>
      <c r="H5956" s="22" t="s">
        <v>263</v>
      </c>
      <c r="I5956" s="26">
        <v>43700.627928240698</v>
      </c>
      <c r="J5956" s="23" t="str">
        <f>HYPERLINK("https://www.spark-marketing.ru/Card/Person/6679151", "ООО ""ХРОНОС""")</f>
        <v>ООО "ХРОНОС"</v>
      </c>
      <c r="K5956" s="24" t="s">
        <v>9138</v>
      </c>
      <c r="L5956" s="28" t="s">
        <v>51</v>
      </c>
      <c r="M5956" s="25">
        <v>253499.89</v>
      </c>
      <c r="N5956" s="27">
        <v>0.15500005683335416</v>
      </c>
    </row>
    <row r="5957" spans="1:14" hidden="1" outlineLevel="1" x14ac:dyDescent="0.2">
      <c r="A5957" s="23" t="str">
        <f>HYPERLINK("https://www.spark-marketing.ru/Card/Person/323764", "ФКУ СИЗО-1 ГУФСИН РОССИИ ПО ИРКУТСКОЙ ОБЛАСТИ")</f>
        <v>ФКУ СИЗО-1 ГУФСИН РОССИИ ПО ИРКУТСКОЙ ОБЛАСТИ</v>
      </c>
      <c r="B5957" s="24" t="s">
        <v>9135</v>
      </c>
      <c r="C5957" s="25">
        <v>299999.89</v>
      </c>
      <c r="D5957" s="22" t="s">
        <v>9136</v>
      </c>
      <c r="E5957" s="22" t="s">
        <v>809</v>
      </c>
      <c r="F5957" s="23" t="str">
        <f>HYPERLINK("https://www.spark-marketing.ru/Card/Lot/72988613", "Закупка товаров, работ, услуг в сфере информационно-коммуникационных технологий (Персональный компьютер и его комплектующие)")</f>
        <v>Закупка товаров, работ, услуг в сфере информационно-коммуникационных технологий (Персональный компьютер и его комплектующие)</v>
      </c>
      <c r="G5957" s="22" t="s">
        <v>263</v>
      </c>
      <c r="H5957" s="22" t="s">
        <v>263</v>
      </c>
      <c r="I5957" s="26">
        <v>43700.627928240698</v>
      </c>
      <c r="J5957" s="23" t="str">
        <f>HYPERLINK("https://www.spark-marketing.ru/Card/Person/6369105", "Дубинский Сергей Васильевич")</f>
        <v>Дубинский Сергей Васильевич</v>
      </c>
      <c r="K5957" s="24" t="s">
        <v>9139</v>
      </c>
      <c r="L5957" s="28" t="s">
        <v>51</v>
      </c>
      <c r="M5957" s="25">
        <v>259499.89</v>
      </c>
      <c r="N5957" s="27">
        <v>0.13500004950001815</v>
      </c>
    </row>
    <row r="5958" spans="1:14" x14ac:dyDescent="0.15">
      <c r="A5958" s="23" t="str">
        <f>HYPERLINK("https://www.spark-marketing.ru/Card/Person/75125", "МУ МВД РОССИИ ""РЫБИНСКОЕ""")</f>
        <v>МУ МВД РОССИИ "РЫБИНСКОЕ"</v>
      </c>
      <c r="B5958" s="24" t="s">
        <v>9140</v>
      </c>
      <c r="C5958" s="25">
        <v>298976.5</v>
      </c>
      <c r="D5958" s="22" t="s">
        <v>9141</v>
      </c>
      <c r="E5958" s="22" t="s">
        <v>96</v>
      </c>
      <c r="F5958" s="23" t="str">
        <f>HYPERLINK("https://www.spark-marketing.ru/Card/Lot/72996594", "Оказание услуг по организации питания (приготовлению и доставке), 853 шт")</f>
        <v>Оказание услуг по организации питания (приготовлению и доставке), 853 шт</v>
      </c>
      <c r="G5958" s="22" t="s">
        <v>185</v>
      </c>
      <c r="H5958" s="22" t="s">
        <v>9142</v>
      </c>
      <c r="I5958" s="26">
        <v>43700.629085648201</v>
      </c>
      <c r="J5958" s="28" t="s">
        <v>51</v>
      </c>
      <c r="K5958" s="28" t="s">
        <v>51</v>
      </c>
      <c r="L5958" s="28" t="s">
        <v>51</v>
      </c>
      <c r="M5958" s="28" t="s">
        <v>51</v>
      </c>
      <c r="N5958" s="28" t="s">
        <v>51</v>
      </c>
    </row>
    <row r="5959" spans="1:14" x14ac:dyDescent="0.15">
      <c r="A5959" s="23" t="str">
        <f>HYPERLINK("https://www.spark-marketing.ru/Card/Person/813613", "ОТДЕЛ МВД РОССИИ ПО ЗУБОВО-ПОЛЯНСКОМУ МУНИЦИПАЛЬНОМУ РАЙОНУ")</f>
        <v>ОТДЕЛ МВД РОССИИ ПО ЗУБОВО-ПОЛЯНСКОМУ МУНИЦИПАЛЬНОМУ РАЙОНУ</v>
      </c>
      <c r="B5959" s="24" t="s">
        <v>4600</v>
      </c>
      <c r="C5959" s="25">
        <v>139300</v>
      </c>
      <c r="D5959" s="22" t="s">
        <v>9143</v>
      </c>
      <c r="E5959" s="22" t="s">
        <v>48</v>
      </c>
      <c r="F5959" s="23" t="str">
        <f>HYPERLINK("https://www.spark-marketing.ru/Card/Lot/72997816",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5959" s="22" t="s">
        <v>277</v>
      </c>
      <c r="H5959" s="22" t="s">
        <v>4602</v>
      </c>
      <c r="I5959" s="26">
        <v>43700.648738425902</v>
      </c>
      <c r="J5959" s="28" t="s">
        <v>51</v>
      </c>
      <c r="K5959" s="28" t="s">
        <v>51</v>
      </c>
      <c r="L5959" s="28" t="s">
        <v>51</v>
      </c>
      <c r="M5959" s="28" t="s">
        <v>51</v>
      </c>
      <c r="N5959" s="28" t="s">
        <v>51</v>
      </c>
    </row>
    <row r="5960" spans="1:14" x14ac:dyDescent="0.15">
      <c r="A5960" s="23" t="str">
        <f>HYPERLINK("https://www.spark-marketing.ru/Card/Person/6334", "УМВД РОССИИ ПО ПЕНЗЕНСКОЙ ОБЛАСТИ")</f>
        <v>УМВД РОССИИ ПО ПЕНЗЕНСКОЙ ОБЛАСТИ</v>
      </c>
      <c r="B5960" s="24" t="s">
        <v>7074</v>
      </c>
      <c r="C5960" s="25">
        <v>2055000</v>
      </c>
      <c r="D5960" s="22" t="s">
        <v>9144</v>
      </c>
      <c r="E5960" s="22" t="s">
        <v>96</v>
      </c>
      <c r="F5960" s="23" t="str">
        <f>HYPERLINK("https://www.spark-marketing.ru/Card/Lot/73005547", "Оказание услуг трехразового горячего питания для иностранных граждан и лиц без гражданства, подлежащих административному выдворению за пределы Российской Федерации, содержащихся в центре временного содержания иностранных граждан УМВД России по Пензен...")</f>
        <v>Оказание услуг трехразового горячего питания для иностранных граждан и лиц без гражданства, подлежащих административному выдворению за пределы Российской Федерации, содержащихся в центре временного содержания иностранных граждан УМВД России по Пензен...</v>
      </c>
      <c r="G5960" s="22" t="s">
        <v>72</v>
      </c>
      <c r="H5960" s="22" t="s">
        <v>829</v>
      </c>
      <c r="I5960" s="26">
        <v>43700.626400462999</v>
      </c>
      <c r="J5960" s="23" t="str">
        <f>HYPERLINK("https://www.spark-marketing.ru/Card/Person/63472", "ООО ""ДЕЛО ВКУСА""")</f>
        <v>ООО "ДЕЛО ВКУСА"</v>
      </c>
      <c r="K5960" s="24" t="s">
        <v>9145</v>
      </c>
      <c r="L5960" s="28" t="s">
        <v>51</v>
      </c>
      <c r="M5960" s="28" t="s">
        <v>51</v>
      </c>
      <c r="N5960" s="28" t="s">
        <v>51</v>
      </c>
    </row>
    <row r="5961" spans="1:14" ht="12.75" hidden="1" outlineLevel="1" x14ac:dyDescent="0.2">
      <c r="A5961" s="23" t="str">
        <f>HYPERLINK("https://www.spark-marketing.ru/Card/Person/6334", "УМВД РОССИИ ПО ПЕНЗЕНСКОЙ ОБЛАСТИ")</f>
        <v>УМВД РОССИИ ПО ПЕНЗЕНСКОЙ ОБЛАСТИ</v>
      </c>
      <c r="B5961" s="24" t="s">
        <v>7074</v>
      </c>
      <c r="C5961" s="25">
        <v>2055000</v>
      </c>
      <c r="D5961" s="22" t="s">
        <v>9144</v>
      </c>
      <c r="E5961" s="22" t="s">
        <v>96</v>
      </c>
      <c r="F5961" s="23" t="str">
        <f>HYPERLINK("https://www.spark-marketing.ru/Card/Lot/73005547", "Оказание услуг трехразового горячего питания для иностранных граждан и лиц без гражданства, подлежащих административному выдворению за пределы Российской Федерации, содержащихся в центре временного содержания иностранных граждан УМВД России по Пензен...")</f>
        <v>Оказание услуг трехразового горячего питания для иностранных граждан и лиц без гражданства, подлежащих административному выдворению за пределы Российской Федерации, содержащихся в центре временного содержания иностранных граждан УМВД России по Пензен...</v>
      </c>
      <c r="G5961" s="22" t="s">
        <v>72</v>
      </c>
      <c r="H5961" s="22" t="s">
        <v>829</v>
      </c>
      <c r="I5961" s="26">
        <v>43700.626400462999</v>
      </c>
      <c r="J5961" s="23" t="str">
        <f>HYPERLINK("https://www.spark-marketing.ru/Card/Person/63472", "ООО ""ДЕЛО ВКУСА""")</f>
        <v>ООО "ДЕЛО ВКУСА"</v>
      </c>
      <c r="K5961" s="24" t="s">
        <v>9145</v>
      </c>
      <c r="L5961" s="22" t="s">
        <v>10</v>
      </c>
      <c r="M5961" s="25">
        <v>314.08999999999997</v>
      </c>
      <c r="N5961" s="27">
        <v>0.99984715815085157</v>
      </c>
    </row>
    <row r="5962" spans="1:14" x14ac:dyDescent="0.15">
      <c r="A5962" s="23" t="str">
        <f>HYPERLINK("https://www.spark-marketing.ru/Card/Person/813613", "ОТДЕЛ МВД РОССИИ ПО ЗУБОВО-ПОЛЯНСКОМУ МУНИЦИПАЛЬНОМУ РАЙОНУ")</f>
        <v>ОТДЕЛ МВД РОССИИ ПО ЗУБОВО-ПОЛЯНСКОМУ МУНИЦИПАЛЬНОМУ РАЙОНУ</v>
      </c>
      <c r="B5962" s="24" t="s">
        <v>4600</v>
      </c>
      <c r="C5962" s="25">
        <v>196700</v>
      </c>
      <c r="D5962" s="22" t="s">
        <v>9146</v>
      </c>
      <c r="E5962" s="22" t="s">
        <v>48</v>
      </c>
      <c r="F5962" s="23" t="str">
        <f>HYPERLINK("https://www.spark-marketing.ru/Card/Lot/72997185",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5962" s="22" t="s">
        <v>277</v>
      </c>
      <c r="H5962" s="22" t="s">
        <v>4602</v>
      </c>
      <c r="I5962" s="26">
        <v>43700.643541666701</v>
      </c>
      <c r="J5962" s="28" t="s">
        <v>51</v>
      </c>
      <c r="K5962" s="28" t="s">
        <v>51</v>
      </c>
      <c r="L5962" s="28" t="s">
        <v>51</v>
      </c>
      <c r="M5962" s="28" t="s">
        <v>51</v>
      </c>
      <c r="N5962" s="28" t="s">
        <v>51</v>
      </c>
    </row>
    <row r="5963" spans="1:14" x14ac:dyDescent="0.15">
      <c r="A5963" s="23" t="str">
        <f>HYPERLINK("https://www.spark-marketing.ru/Card/Person/813613", "ОТДЕЛ МВД РОССИИ ПО ЗУБОВО-ПОЛЯНСКОМУ МУНИЦИПАЛЬНОМУ РАЙОНУ")</f>
        <v>ОТДЕЛ МВД РОССИИ ПО ЗУБОВО-ПОЛЯНСКОМУ МУНИЦИПАЛЬНОМУ РАЙОНУ</v>
      </c>
      <c r="B5963" s="24" t="s">
        <v>4600</v>
      </c>
      <c r="C5963" s="25">
        <v>196700</v>
      </c>
      <c r="D5963" s="22" t="s">
        <v>9147</v>
      </c>
      <c r="E5963" s="22" t="s">
        <v>48</v>
      </c>
      <c r="F5963" s="23" t="str">
        <f>HYPERLINK("https://www.spark-marketing.ru/Card/Lot/72997926",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5963" s="22" t="s">
        <v>277</v>
      </c>
      <c r="H5963" s="22" t="s">
        <v>4602</v>
      </c>
      <c r="I5963" s="26">
        <v>43700.647164351903</v>
      </c>
      <c r="J5963" s="28" t="s">
        <v>51</v>
      </c>
      <c r="K5963" s="28" t="s">
        <v>51</v>
      </c>
      <c r="L5963" s="28" t="s">
        <v>51</v>
      </c>
      <c r="M5963" s="28" t="s">
        <v>51</v>
      </c>
      <c r="N5963" s="28" t="s">
        <v>51</v>
      </c>
    </row>
    <row r="5964" spans="1:14" x14ac:dyDescent="0.2">
      <c r="A5964" s="23" t="str">
        <f>HYPERLINK("https://www.spark-marketing.ru/Card/Person/948187", "ОТДЕЛ МВД РОССИИ ПО КУРСКОМУ РАЙОНУ")</f>
        <v>ОТДЕЛ МВД РОССИИ ПО КУРСКОМУ РАЙОНУ</v>
      </c>
      <c r="B5964" s="24" t="s">
        <v>9148</v>
      </c>
      <c r="C5964" s="25">
        <v>624660</v>
      </c>
      <c r="D5964" s="22" t="s">
        <v>9149</v>
      </c>
      <c r="E5964" s="22" t="s">
        <v>48</v>
      </c>
      <c r="F5964" s="23" t="str">
        <f>HYPERLINK("https://www.spark-marketing.ru/Card/Lot/73006778", "Организация питания лиц, содержащихся в ИВС")</f>
        <v>Организация питания лиц, содержащихся в ИВС</v>
      </c>
      <c r="G5964" s="22" t="s">
        <v>87</v>
      </c>
      <c r="H5964" s="22" t="s">
        <v>9150</v>
      </c>
      <c r="I5964" s="26">
        <v>43700.626851851899</v>
      </c>
      <c r="J5964" s="23" t="str">
        <f>HYPERLINK("https://www.spark-marketing.ru/Card/Person/949269", "Абрамов Олег Сергеевич")</f>
        <v>Абрамов Олег Сергеевич</v>
      </c>
      <c r="K5964" s="24" t="s">
        <v>9151</v>
      </c>
      <c r="L5964" s="28" t="s">
        <v>51</v>
      </c>
      <c r="M5964" s="25">
        <v>624660</v>
      </c>
      <c r="N5964" s="27">
        <v>0</v>
      </c>
    </row>
    <row r="5965" spans="1:14" x14ac:dyDescent="0.15">
      <c r="A5965" s="23" t="str">
        <f>HYPERLINK("https://www.spark-marketing.ru/Card/Person/241125", "ГКУ СО ""ЦХОО""")</f>
        <v>ГКУ СО "ЦХОО"</v>
      </c>
      <c r="B5965" s="24" t="s">
        <v>9152</v>
      </c>
      <c r="C5965" s="25">
        <v>61710</v>
      </c>
      <c r="D5965" s="22" t="s">
        <v>9153</v>
      </c>
      <c r="E5965" s="22" t="s">
        <v>96</v>
      </c>
      <c r="F5965" s="23" t="str">
        <f>HYPERLINK("https://www.spark-marketing.ru/Card/Lot/72998270", "Оказание услуг по организации горячего питания для участников регионального этапа Всероссийского профессионального конкурса «Воспитатель года России» и членов жюри в 2019 году.")</f>
        <v>Оказание услуг по организации горячего питания для участников регионального этапа Всероссийского профессионального конкурса «Воспитатель года России» и членов жюри в 2019 году.</v>
      </c>
      <c r="G5965" s="22" t="s">
        <v>351</v>
      </c>
      <c r="H5965" s="22" t="s">
        <v>2983</v>
      </c>
      <c r="I5965" s="26">
        <v>43700.619016203702</v>
      </c>
      <c r="J5965" s="28" t="s">
        <v>51</v>
      </c>
      <c r="K5965" s="28" t="s">
        <v>51</v>
      </c>
      <c r="L5965" s="28" t="s">
        <v>51</v>
      </c>
      <c r="M5965" s="28" t="s">
        <v>51</v>
      </c>
      <c r="N5965" s="28" t="s">
        <v>51</v>
      </c>
    </row>
    <row r="5966" spans="1:14" ht="12.75" hidden="1" outlineLevel="1" x14ac:dyDescent="0.2">
      <c r="A5966" s="23" t="str">
        <f>HYPERLINK("https://www.spark-marketing.ru/Card/Person/241125", "ГКУ СО ""ЦХОО""")</f>
        <v>ГКУ СО "ЦХОО"</v>
      </c>
      <c r="B5966" s="24" t="s">
        <v>9152</v>
      </c>
      <c r="C5966" s="25">
        <v>61710</v>
      </c>
      <c r="D5966" s="22" t="s">
        <v>9153</v>
      </c>
      <c r="E5966" s="22" t="s">
        <v>96</v>
      </c>
      <c r="F5966" s="23" t="str">
        <f>HYPERLINK("https://www.spark-marketing.ru/Card/Lot/72998270", "Оказание услуг по организации горячего питания для участников регионального этапа Всероссийского профессионального конкурса «Воспитатель года России» и членов жюри в 2019 году.")</f>
        <v>Оказание услуг по организации горячего питания для участников регионального этапа Всероссийского профессионального конкурса «Воспитатель года России» и членов жюри в 2019 году.</v>
      </c>
      <c r="G5966" s="22" t="s">
        <v>351</v>
      </c>
      <c r="H5966" s="22" t="s">
        <v>2983</v>
      </c>
      <c r="I5966" s="26">
        <v>43700.619016203702</v>
      </c>
      <c r="J5966" s="23" t="str">
        <f>HYPERLINK("https://www.spark-marketing.ru/Card/Person/4920198", "Киселев Андрей Игоревич")</f>
        <v>Киселев Андрей Игоревич</v>
      </c>
      <c r="K5966" s="24" t="s">
        <v>9154</v>
      </c>
      <c r="L5966" s="22" t="s">
        <v>10</v>
      </c>
      <c r="M5966" s="25">
        <v>56000</v>
      </c>
      <c r="N5966" s="27">
        <v>9.2529573812996271E-2</v>
      </c>
    </row>
    <row r="5967" spans="1:14" hidden="1" outlineLevel="1" x14ac:dyDescent="0.2">
      <c r="A5967" s="23" t="str">
        <f>HYPERLINK("https://www.spark-marketing.ru/Card/Person/241125", "ГКУ СО ""ЦХОО""")</f>
        <v>ГКУ СО "ЦХОО"</v>
      </c>
      <c r="B5967" s="24" t="s">
        <v>9152</v>
      </c>
      <c r="C5967" s="25">
        <v>61710</v>
      </c>
      <c r="D5967" s="22" t="s">
        <v>9153</v>
      </c>
      <c r="E5967" s="22" t="s">
        <v>96</v>
      </c>
      <c r="F5967" s="23" t="str">
        <f>HYPERLINK("https://www.spark-marketing.ru/Card/Lot/72998270", "Оказание услуг по организации горячего питания для участников регионального этапа Всероссийского профессионального конкурса «Воспитатель года России» и членов жюри в 2019 году.")</f>
        <v>Оказание услуг по организации горячего питания для участников регионального этапа Всероссийского профессионального конкурса «Воспитатель года России» и членов жюри в 2019 году.</v>
      </c>
      <c r="G5967" s="22" t="s">
        <v>351</v>
      </c>
      <c r="H5967" s="22" t="s">
        <v>2983</v>
      </c>
      <c r="I5967" s="26">
        <v>43700.619016203702</v>
      </c>
      <c r="J5967" s="23" t="str">
        <f>HYPERLINK("https://www.spark-marketing.ru/Card/Person/4749311", "Барабонин Вадим Алексеевич")</f>
        <v>Барабонин Вадим Алексеевич</v>
      </c>
      <c r="K5967" s="24" t="s">
        <v>9155</v>
      </c>
      <c r="L5967" s="28" t="s">
        <v>51</v>
      </c>
      <c r="M5967" s="25">
        <v>61000</v>
      </c>
      <c r="N5967" s="27">
        <v>1.1505428617728084E-2</v>
      </c>
    </row>
    <row r="5968" spans="1:14" x14ac:dyDescent="0.15">
      <c r="A5968" s="23" t="str">
        <f>HYPERLINK("https://www.spark-marketing.ru/Card/Person/4372366", "МУРМАНСКАЯ ОБЛАСТНАЯ ДУМА")</f>
        <v>МУРМАНСКАЯ ОБЛАСТНАЯ ДУМА</v>
      </c>
      <c r="B5968" s="24" t="s">
        <v>338</v>
      </c>
      <c r="C5968" s="25">
        <v>160000</v>
      </c>
      <c r="D5968" s="22" t="s">
        <v>9156</v>
      </c>
      <c r="E5968" s="22" t="s">
        <v>96</v>
      </c>
      <c r="F5968" s="23" t="str">
        <f>HYPERLINK("https://www.spark-marketing.ru/Card/Lot/72999405", "Оказание услуг общественного питания с культурным и буфетным обслуживанием, связанных с проведением заседания постоянного комитета Парламентской Ассоциации Северо-Запада России (ПАСЗР) по культурной политике и туризму")</f>
        <v>Оказание услуг общественного питания с культурным и буфетным обслуживанием, связанных с проведением заседания постоянного комитета Парламентской Ассоциации Северо-Запада России (ПАСЗР) по культурной политике и туризму</v>
      </c>
      <c r="G5968" s="22" t="s">
        <v>340</v>
      </c>
      <c r="H5968" s="22" t="s">
        <v>341</v>
      </c>
      <c r="I5968" s="26">
        <v>43699.6667592593</v>
      </c>
      <c r="J5968" s="23" t="str">
        <f>HYPERLINK("https://www.spark-marketing.ru/Card/Person/381745", "ООО ""РЕСТОРАН М-КЛУБ""")</f>
        <v>ООО "РЕСТОРАН М-КЛУБ"</v>
      </c>
      <c r="K5968" s="24" t="s">
        <v>7941</v>
      </c>
      <c r="L5968" s="22" t="s">
        <v>10</v>
      </c>
      <c r="M5968" s="28" t="s">
        <v>51</v>
      </c>
      <c r="N5968" s="28" t="s">
        <v>51</v>
      </c>
    </row>
    <row r="5969" spans="1:14" x14ac:dyDescent="0.15">
      <c r="A5969" s="23" t="str">
        <f>HYPERLINK("https://www.spark-marketing.ru/Card/Person/4372366", "МУРМАНСКАЯ ОБЛАСТНАЯ ДУМА")</f>
        <v>МУРМАНСКАЯ ОБЛАСТНАЯ ДУМА</v>
      </c>
      <c r="B5969" s="24" t="s">
        <v>338</v>
      </c>
      <c r="C5969" s="25">
        <v>80000</v>
      </c>
      <c r="D5969" s="22" t="s">
        <v>9157</v>
      </c>
      <c r="E5969" s="22" t="s">
        <v>96</v>
      </c>
      <c r="F5969" s="23" t="str">
        <f>HYPERLINK("https://www.spark-marketing.ru/Card/Lot/72998095", "Оказание услуг общественного питания, связанных с проведением заседания постоянного комитета Парламентской Ассоциации Северо-Запада России (ПАСЗР) по культурной политике и туризму")</f>
        <v>Оказание услуг общественного питания, связанных с проведением заседания постоянного комитета Парламентской Ассоциации Северо-Запада России (ПАСЗР) по культурной политике и туризму</v>
      </c>
      <c r="G5969" s="22" t="s">
        <v>340</v>
      </c>
      <c r="H5969" s="22" t="s">
        <v>341</v>
      </c>
      <c r="I5969" s="26">
        <v>43699.673414351899</v>
      </c>
      <c r="J5969" s="23" t="str">
        <f>HYPERLINK("https://www.spark-marketing.ru/Card/Person/420435", "АО ""ОТЕЛЬ ""АРКТИКА""")</f>
        <v>АО "ОТЕЛЬ "АРКТИКА"</v>
      </c>
      <c r="K5969" s="24" t="s">
        <v>9158</v>
      </c>
      <c r="L5969" s="22" t="s">
        <v>10</v>
      </c>
      <c r="M5969" s="28" t="s">
        <v>51</v>
      </c>
      <c r="N5969" s="28" t="s">
        <v>51</v>
      </c>
    </row>
    <row r="5970" spans="1:14" x14ac:dyDescent="0.15">
      <c r="A5970" s="23" t="str">
        <f>HYPERLINK("https://www.spark-marketing.ru/Card/Person/37622", "МИНИСТЕРСТВО ЗДРАВООХРАНЕНИЯ ИРКУТСКОЙ ОБЛАСТИ")</f>
        <v>МИНИСТЕРСТВО ЗДРАВООХРАНЕНИЯ ИРКУТСКОЙ ОБЛАСТИ</v>
      </c>
      <c r="B5970" s="24" t="s">
        <v>1102</v>
      </c>
      <c r="C5970" s="25">
        <v>49978060.240000002</v>
      </c>
      <c r="D5970" s="22" t="s">
        <v>9159</v>
      </c>
      <c r="E5970" s="22" t="s">
        <v>1104</v>
      </c>
      <c r="F5970" s="23" t="str">
        <f>HYPERLINK("https://www.spark-marketing.ru/Card/Lot/72987553", "Оказание услуг по получению, хранению, учёту и доставке лекарственных препаратов для организации обеспечения отдельных категорий граждан дополнительной бесплатной медицинской помощью в части обеспечения необходимыми лекарственными препаратами, медици...")</f>
        <v>Оказание услуг по получению, хранению, учёту и доставке лекарственных препаратов для организации обеспечения отдельных категорий граждан дополнительной бесплатной медицинской помощью в части обеспечения необходимыми лекарственными препаратами, медици...</v>
      </c>
      <c r="G5970" s="22" t="s">
        <v>263</v>
      </c>
      <c r="H5970" s="22" t="s">
        <v>2768</v>
      </c>
      <c r="I5970" s="26">
        <v>43700.470810185201</v>
      </c>
      <c r="J5970" s="23" t="str">
        <f>HYPERLINK("https://www.spark-marketing.ru/Card/Person/53085", "АО ""ИООСАБ""")</f>
        <v>АО "ИООСАБ"</v>
      </c>
      <c r="K5970" s="24" t="s">
        <v>2445</v>
      </c>
      <c r="L5970" s="22" t="s">
        <v>10</v>
      </c>
      <c r="M5970" s="28" t="s">
        <v>51</v>
      </c>
      <c r="N5970" s="28" t="s">
        <v>51</v>
      </c>
    </row>
    <row r="5971" spans="1:14" x14ac:dyDescent="0.15">
      <c r="A5971" s="23" t="str">
        <f>HYPERLINK("https://www.spark-marketing.ru/Card/Person/54255", "КГБУЗ ""ГОРОДСКАЯ БОЛЬНИЦА № 3, Г.РУБЦОВСК"", КГБУЗ ""ГБ-3, Г.РУБЦОВСК""")</f>
        <v>КГБУЗ "ГОРОДСКАЯ БОЛЬНИЦА № 3, Г.РУБЦОВСК", КГБУЗ "ГБ-3, Г.РУБЦОВСК"</v>
      </c>
      <c r="B5971" s="24" t="s">
        <v>9160</v>
      </c>
      <c r="C5971" s="25">
        <v>528324</v>
      </c>
      <c r="D5971" s="22" t="s">
        <v>9161</v>
      </c>
      <c r="E5971" s="22" t="s">
        <v>62</v>
      </c>
      <c r="F5971" s="23" t="str">
        <f>HYPERLINK("https://www.spark-marketing.ru/Card/Lot/72990278", "Поставка печатной продукции в течение 2019 года для нужд КГБУЗ ""Городская больница №3, г. Рубцовск""")</f>
        <v>Поставка печатной продукции в течение 2019 года для нужд КГБУЗ "Городская больница №3, г. Рубцовск"</v>
      </c>
      <c r="G5971" s="22" t="s">
        <v>63</v>
      </c>
      <c r="H5971" s="22" t="s">
        <v>1859</v>
      </c>
      <c r="I5971" s="26">
        <v>43700.593240740702</v>
      </c>
      <c r="J5971" s="28" t="s">
        <v>51</v>
      </c>
      <c r="K5971" s="28" t="s">
        <v>51</v>
      </c>
      <c r="L5971" s="28" t="s">
        <v>51</v>
      </c>
      <c r="M5971" s="28" t="s">
        <v>51</v>
      </c>
      <c r="N5971" s="28" t="s">
        <v>51</v>
      </c>
    </row>
    <row r="5972" spans="1:14" ht="12.75" hidden="1" outlineLevel="1" x14ac:dyDescent="0.2">
      <c r="A5972" s="23" t="str">
        <f>HYPERLINK("https://www.spark-marketing.ru/Card/Person/54255", "КГБУЗ ""ГОРОДСКАЯ БОЛЬНИЦА № 3, Г.РУБЦОВСК"", КГБУЗ ""ГБ-3, Г.РУБЦОВСК""")</f>
        <v>КГБУЗ "ГОРОДСКАЯ БОЛЬНИЦА № 3, Г.РУБЦОВСК", КГБУЗ "ГБ-3, Г.РУБЦОВСК"</v>
      </c>
      <c r="B5972" s="24" t="s">
        <v>9160</v>
      </c>
      <c r="C5972" s="25">
        <v>528324</v>
      </c>
      <c r="D5972" s="22" t="s">
        <v>9161</v>
      </c>
      <c r="E5972" s="22" t="s">
        <v>62</v>
      </c>
      <c r="F5972" s="23" t="str">
        <f>HYPERLINK("https://www.spark-marketing.ru/Card/Lot/72990278", "Поставка печатной продукции в течение 2019 года для нужд КГБУЗ ""Городская больница №3, г. Рубцовск""")</f>
        <v>Поставка печатной продукции в течение 2019 года для нужд КГБУЗ "Городская больница №3, г. Рубцовск"</v>
      </c>
      <c r="G5972" s="22" t="s">
        <v>63</v>
      </c>
      <c r="H5972" s="22" t="s">
        <v>1859</v>
      </c>
      <c r="I5972" s="26">
        <v>43700.593240740702</v>
      </c>
      <c r="J5972" s="23" t="str">
        <f>HYPERLINK("https://www.spark-marketing.ru/Card/Person/6626088", "Шмелева Лилия Анатольевна")</f>
        <v>Шмелева Лилия Анатольевна</v>
      </c>
      <c r="K5972" s="24" t="s">
        <v>5169</v>
      </c>
      <c r="L5972" s="22" t="s">
        <v>10</v>
      </c>
      <c r="M5972" s="25">
        <v>200763.12</v>
      </c>
      <c r="N5972" s="27">
        <v>0.62</v>
      </c>
    </row>
    <row r="5973" spans="1:14" hidden="1" outlineLevel="1" x14ac:dyDescent="0.2">
      <c r="A5973" s="23" t="str">
        <f>HYPERLINK("https://www.spark-marketing.ru/Card/Person/54255", "КГБУЗ ""ГОРОДСКАЯ БОЛЬНИЦА № 3, Г.РУБЦОВСК"", КГБУЗ ""ГБ-3, Г.РУБЦОВСК""")</f>
        <v>КГБУЗ "ГОРОДСКАЯ БОЛЬНИЦА № 3, Г.РУБЦОВСК", КГБУЗ "ГБ-3, Г.РУБЦОВСК"</v>
      </c>
      <c r="B5973" s="24" t="s">
        <v>9160</v>
      </c>
      <c r="C5973" s="25">
        <v>528324</v>
      </c>
      <c r="D5973" s="22" t="s">
        <v>9161</v>
      </c>
      <c r="E5973" s="22" t="s">
        <v>62</v>
      </c>
      <c r="F5973" s="23" t="str">
        <f>HYPERLINK("https://www.spark-marketing.ru/Card/Lot/72990278", "Поставка печатной продукции в течение 2019 года для нужд КГБУЗ ""Городская больница №3, г. Рубцовск""")</f>
        <v>Поставка печатной продукции в течение 2019 года для нужд КГБУЗ "Городская больница №3, г. Рубцовск"</v>
      </c>
      <c r="G5973" s="22" t="s">
        <v>63</v>
      </c>
      <c r="H5973" s="22" t="s">
        <v>1859</v>
      </c>
      <c r="I5973" s="26">
        <v>43700.593240740702</v>
      </c>
      <c r="J5973" s="23" t="str">
        <f>HYPERLINK("https://www.spark-marketing.ru/Card/Person/265785", "ООО ""ФИРМА ВЫБОР""")</f>
        <v>ООО "ФИРМА ВЫБОР"</v>
      </c>
      <c r="K5973" s="24" t="s">
        <v>9162</v>
      </c>
      <c r="L5973" s="28" t="s">
        <v>51</v>
      </c>
      <c r="M5973" s="25">
        <v>295861.44</v>
      </c>
      <c r="N5973" s="27">
        <v>0.44</v>
      </c>
    </row>
    <row r="5974" spans="1:14" hidden="1" outlineLevel="1" x14ac:dyDescent="0.2">
      <c r="A5974" s="23" t="str">
        <f>HYPERLINK("https://www.spark-marketing.ru/Card/Person/54255", "КГБУЗ ""ГОРОДСКАЯ БОЛЬНИЦА № 3, Г.РУБЦОВСК"", КГБУЗ ""ГБ-3, Г.РУБЦОВСК""")</f>
        <v>КГБУЗ "ГОРОДСКАЯ БОЛЬНИЦА № 3, Г.РУБЦОВСК", КГБУЗ "ГБ-3, Г.РУБЦОВСК"</v>
      </c>
      <c r="B5974" s="24" t="s">
        <v>9160</v>
      </c>
      <c r="C5974" s="25">
        <v>528324</v>
      </c>
      <c r="D5974" s="22" t="s">
        <v>9161</v>
      </c>
      <c r="E5974" s="22" t="s">
        <v>62</v>
      </c>
      <c r="F5974" s="23" t="str">
        <f>HYPERLINK("https://www.spark-marketing.ru/Card/Lot/72990278", "Поставка печатной продукции в течение 2019 года для нужд КГБУЗ ""Городская больница №3, г. Рубцовск""")</f>
        <v>Поставка печатной продукции в течение 2019 года для нужд КГБУЗ "Городская больница №3, г. Рубцовск"</v>
      </c>
      <c r="G5974" s="22" t="s">
        <v>63</v>
      </c>
      <c r="H5974" s="22" t="s">
        <v>1859</v>
      </c>
      <c r="I5974" s="26">
        <v>43700.593240740702</v>
      </c>
      <c r="J5974" s="23" t="str">
        <f>HYPERLINK("https://www.spark-marketing.ru/Card/Person/110731", "ООО ""ТИПОГРАФИЯ""")</f>
        <v>ООО "ТИПОГРАФИЯ"</v>
      </c>
      <c r="K5974" s="24" t="s">
        <v>5953</v>
      </c>
      <c r="L5974" s="28" t="s">
        <v>51</v>
      </c>
      <c r="M5974" s="25">
        <v>203404.74</v>
      </c>
      <c r="N5974" s="27">
        <v>0.61499999999999999</v>
      </c>
    </row>
    <row r="5975" spans="1:14" x14ac:dyDescent="0.15">
      <c r="A5975" s="23" t="str">
        <f>HYPERLINK("https://www.spark-marketing.ru/Card/Person/6334", "УМВД РОССИИ ПО ПЕНЗЕНСКОЙ ОБЛАСТИ")</f>
        <v>УМВД РОССИИ ПО ПЕНЗЕНСКОЙ ОБЛАСТИ</v>
      </c>
      <c r="B5975" s="24" t="s">
        <v>7074</v>
      </c>
      <c r="C5975" s="25">
        <v>2055000</v>
      </c>
      <c r="D5975" s="22" t="s">
        <v>9163</v>
      </c>
      <c r="E5975" s="22" t="s">
        <v>96</v>
      </c>
      <c r="F5975" s="23" t="str">
        <f>HYPERLINK("https://www.spark-marketing.ru/Card/Lot/73000504", "Оказание услуг трехразового горячего питания для иностранных граждан и лиц без гражданства, подлежащих административному выдворению за пределы Российской Федерации, содержащихся в центре временного содержания иностранных граждан УМВД России по Пензен...")</f>
        <v>Оказание услуг трехразового горячего питания для иностранных граждан и лиц без гражданства, подлежащих административному выдворению за пределы Российской Федерации, содержащихся в центре временного содержания иностранных граждан УМВД России по Пензен...</v>
      </c>
      <c r="G5975" s="22" t="s">
        <v>72</v>
      </c>
      <c r="H5975" s="22" t="s">
        <v>829</v>
      </c>
      <c r="I5975" s="26">
        <v>43700.613356481503</v>
      </c>
      <c r="J5975" s="23" t="str">
        <f>HYPERLINK("https://www.spark-marketing.ru/Card/Person/63472", "ООО ""ДЕЛО ВКУСА""")</f>
        <v>ООО "ДЕЛО ВКУСА"</v>
      </c>
      <c r="K5975" s="24" t="s">
        <v>9145</v>
      </c>
      <c r="L5975" s="28" t="s">
        <v>51</v>
      </c>
      <c r="M5975" s="28" t="s">
        <v>51</v>
      </c>
      <c r="N5975" s="28" t="s">
        <v>51</v>
      </c>
    </row>
    <row r="5976" spans="1:14" ht="12.75" hidden="1" outlineLevel="1" x14ac:dyDescent="0.2">
      <c r="A5976" s="23" t="str">
        <f>HYPERLINK("https://www.spark-marketing.ru/Card/Person/6334", "УМВД РОССИИ ПО ПЕНЗЕНСКОЙ ОБЛАСТИ")</f>
        <v>УМВД РОССИИ ПО ПЕНЗЕНСКОЙ ОБЛАСТИ</v>
      </c>
      <c r="B5976" s="24" t="s">
        <v>7074</v>
      </c>
      <c r="C5976" s="25">
        <v>2055000</v>
      </c>
      <c r="D5976" s="22" t="s">
        <v>9163</v>
      </c>
      <c r="E5976" s="22" t="s">
        <v>96</v>
      </c>
      <c r="F5976" s="23" t="str">
        <f>HYPERLINK("https://www.spark-marketing.ru/Card/Lot/73000504", "Оказание услуг трехразового горячего питания для иностранных граждан и лиц без гражданства, подлежащих административному выдворению за пределы Российской Федерации, содержащихся в центре временного содержания иностранных граждан УМВД России по Пензен...")</f>
        <v>Оказание услуг трехразового горячего питания для иностранных граждан и лиц без гражданства, подлежащих административному выдворению за пределы Российской Федерации, содержащихся в центре временного содержания иностранных граждан УМВД России по Пензен...</v>
      </c>
      <c r="G5976" s="22" t="s">
        <v>72</v>
      </c>
      <c r="H5976" s="22" t="s">
        <v>829</v>
      </c>
      <c r="I5976" s="26">
        <v>43700.613356481503</v>
      </c>
      <c r="J5976" s="23" t="str">
        <f>HYPERLINK("https://www.spark-marketing.ru/Card/Person/63472", "ООО ""ДЕЛО ВКУСА""")</f>
        <v>ООО "ДЕЛО ВКУСА"</v>
      </c>
      <c r="K5976" s="24" t="s">
        <v>9145</v>
      </c>
      <c r="L5976" s="22" t="s">
        <v>10</v>
      </c>
      <c r="M5976" s="25">
        <v>273.13</v>
      </c>
      <c r="N5976" s="27">
        <v>0.99986709002433094</v>
      </c>
    </row>
    <row r="5977" spans="1:14" x14ac:dyDescent="0.15">
      <c r="A5977" s="23" t="str">
        <f>HYPERLINK("https://www.spark-marketing.ru/Card/Person/89798", "УМВД РОССИИ ПО ГОРОДУ КИРОВУ")</f>
        <v>УМВД РОССИИ ПО ГОРОДУ КИРОВУ</v>
      </c>
      <c r="B5977" s="24" t="s">
        <v>8365</v>
      </c>
      <c r="C5977" s="25">
        <v>900000</v>
      </c>
      <c r="D5977" s="22" t="s">
        <v>9164</v>
      </c>
      <c r="E5977" s="22" t="s">
        <v>48</v>
      </c>
      <c r="F5977" s="23" t="str">
        <f>HYPERLINK("https://www.spark-marketing.ru/Card/Lot/73000461",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977" s="22" t="s">
        <v>224</v>
      </c>
      <c r="H5977" s="22" t="s">
        <v>225</v>
      </c>
      <c r="I5977" s="26">
        <v>43700.586909722202</v>
      </c>
      <c r="J5977" s="23" t="str">
        <f>HYPERLINK("https://www.spark-marketing.ru/Card/Person/89851", "ООО ""ФУД-СЕРВИС""")</f>
        <v>ООО "ФУД-СЕРВИС"</v>
      </c>
      <c r="K5977" s="24" t="s">
        <v>8368</v>
      </c>
      <c r="L5977" s="28" t="s">
        <v>51</v>
      </c>
      <c r="M5977" s="28" t="s">
        <v>51</v>
      </c>
      <c r="N5977" s="28" t="s">
        <v>51</v>
      </c>
    </row>
    <row r="5978" spans="1:14" ht="12.75" hidden="1" outlineLevel="1" x14ac:dyDescent="0.2">
      <c r="A5978" s="23" t="str">
        <f>HYPERLINK("https://www.spark-marketing.ru/Card/Person/89798", "УМВД РОССИИ ПО ГОРОДУ КИРОВУ")</f>
        <v>УМВД РОССИИ ПО ГОРОДУ КИРОВУ</v>
      </c>
      <c r="B5978" s="24" t="s">
        <v>8365</v>
      </c>
      <c r="C5978" s="25">
        <v>900000</v>
      </c>
      <c r="D5978" s="22" t="s">
        <v>9164</v>
      </c>
      <c r="E5978" s="22" t="s">
        <v>48</v>
      </c>
      <c r="F5978" s="23" t="str">
        <f>HYPERLINK("https://www.spark-marketing.ru/Card/Lot/73000461",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978" s="22" t="s">
        <v>224</v>
      </c>
      <c r="H5978" s="22" t="s">
        <v>225</v>
      </c>
      <c r="I5978" s="26">
        <v>43700.586909722202</v>
      </c>
      <c r="J5978" s="23" t="str">
        <f>HYPERLINK("https://www.spark-marketing.ru/Card/Person/89851", "ООО ""ФУД-СЕРВИС""")</f>
        <v>ООО "ФУД-СЕРВИС"</v>
      </c>
      <c r="K5978" s="24" t="s">
        <v>8368</v>
      </c>
      <c r="L5978" s="22" t="s">
        <v>10</v>
      </c>
      <c r="M5978" s="25">
        <v>7082.41</v>
      </c>
      <c r="N5978" s="27">
        <v>0.99213065555555557</v>
      </c>
    </row>
    <row r="5979" spans="1:14" x14ac:dyDescent="0.15">
      <c r="A5979" s="23" t="str">
        <f>HYPERLINK("https://www.spark-marketing.ru/Card/Person/89798", "УМВД РОССИИ ПО ГОРОДУ КИРОВУ")</f>
        <v>УМВД РОССИИ ПО ГОРОДУ КИРОВУ</v>
      </c>
      <c r="B5979" s="24" t="s">
        <v>8365</v>
      </c>
      <c r="C5979" s="25">
        <v>900000</v>
      </c>
      <c r="D5979" s="22" t="s">
        <v>9165</v>
      </c>
      <c r="E5979" s="22" t="s">
        <v>48</v>
      </c>
      <c r="F5979" s="23" t="str">
        <f>HYPERLINK("https://www.spark-marketing.ru/Card/Lot/73000432",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979" s="22" t="s">
        <v>224</v>
      </c>
      <c r="H5979" s="22" t="s">
        <v>225</v>
      </c>
      <c r="I5979" s="26">
        <v>43700.577199074098</v>
      </c>
      <c r="J5979" s="23" t="str">
        <f>HYPERLINK("https://www.spark-marketing.ru/Card/Person/89851", "ООО ""ФУД-СЕРВИС""")</f>
        <v>ООО "ФУД-СЕРВИС"</v>
      </c>
      <c r="K5979" s="24" t="s">
        <v>8368</v>
      </c>
      <c r="L5979" s="28" t="s">
        <v>51</v>
      </c>
      <c r="M5979" s="28" t="s">
        <v>51</v>
      </c>
      <c r="N5979" s="28" t="s">
        <v>51</v>
      </c>
    </row>
    <row r="5980" spans="1:14" ht="12.75" hidden="1" outlineLevel="1" x14ac:dyDescent="0.2">
      <c r="A5980" s="23" t="str">
        <f>HYPERLINK("https://www.spark-marketing.ru/Card/Person/89798", "УМВД РОССИИ ПО ГОРОДУ КИРОВУ")</f>
        <v>УМВД РОССИИ ПО ГОРОДУ КИРОВУ</v>
      </c>
      <c r="B5980" s="24" t="s">
        <v>8365</v>
      </c>
      <c r="C5980" s="25">
        <v>900000</v>
      </c>
      <c r="D5980" s="22" t="s">
        <v>9165</v>
      </c>
      <c r="E5980" s="22" t="s">
        <v>48</v>
      </c>
      <c r="F5980" s="23" t="str">
        <f>HYPERLINK("https://www.spark-marketing.ru/Card/Lot/73000432",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5980" s="22" t="s">
        <v>224</v>
      </c>
      <c r="H5980" s="22" t="s">
        <v>225</v>
      </c>
      <c r="I5980" s="26">
        <v>43700.577199074098</v>
      </c>
      <c r="J5980" s="23" t="str">
        <f>HYPERLINK("https://www.spark-marketing.ru/Card/Person/89851", "ООО ""ФУД-СЕРВИС""")</f>
        <v>ООО "ФУД-СЕРВИС"</v>
      </c>
      <c r="K5980" s="24" t="s">
        <v>8368</v>
      </c>
      <c r="L5980" s="22" t="s">
        <v>10</v>
      </c>
      <c r="M5980" s="25">
        <v>7082.41</v>
      </c>
      <c r="N5980" s="27">
        <v>0.99213065555555557</v>
      </c>
    </row>
    <row r="5981" spans="1:14" x14ac:dyDescent="0.15">
      <c r="A5981" s="23" t="str">
        <f>HYPERLINK("https://www.spark-marketing.ru/Card/Person/66577", "ФКУ ИК-8 ГУФСИН РОССИИ ПО СВЕРДЛОВСКОЙ ОБЛАСТИ")</f>
        <v>ФКУ ИК-8 ГУФСИН РОССИИ ПО СВЕРДЛОВСКОЙ ОБЛАСТИ</v>
      </c>
      <c r="B5981" s="24" t="s">
        <v>9166</v>
      </c>
      <c r="C5981" s="25">
        <v>125214</v>
      </c>
      <c r="D5981" s="22" t="s">
        <v>9167</v>
      </c>
      <c r="E5981" s="22" t="s">
        <v>468</v>
      </c>
      <c r="F5981" s="23" t="str">
        <f>HYPERLINK("https://www.spark-marketing.ru/Card/Lot/72994093", "Автотранспортные услуги")</f>
        <v>Автотранспортные услуги</v>
      </c>
      <c r="G5981" s="22" t="s">
        <v>174</v>
      </c>
      <c r="H5981" s="22" t="s">
        <v>9168</v>
      </c>
      <c r="I5981" s="26">
        <v>43700.576273148101</v>
      </c>
      <c r="J5981" s="28" t="s">
        <v>51</v>
      </c>
      <c r="K5981" s="28" t="s">
        <v>51</v>
      </c>
      <c r="L5981" s="28" t="s">
        <v>51</v>
      </c>
      <c r="M5981" s="28" t="s">
        <v>51</v>
      </c>
      <c r="N5981" s="28" t="s">
        <v>51</v>
      </c>
    </row>
    <row r="5982" spans="1:14" hidden="1" outlineLevel="1" x14ac:dyDescent="0.2">
      <c r="A5982" s="23" t="str">
        <f>HYPERLINK("https://www.spark-marketing.ru/Card/Person/66577", "ФКУ ИК-8 ГУФСИН РОССИИ ПО СВЕРДЛОВСКОЙ ОБЛАСТИ")</f>
        <v>ФКУ ИК-8 ГУФСИН РОССИИ ПО СВЕРДЛОВСКОЙ ОБЛАСТИ</v>
      </c>
      <c r="B5982" s="24" t="s">
        <v>9166</v>
      </c>
      <c r="C5982" s="25">
        <v>125214</v>
      </c>
      <c r="D5982" s="22" t="s">
        <v>9167</v>
      </c>
      <c r="E5982" s="22" t="s">
        <v>468</v>
      </c>
      <c r="F5982" s="23" t="str">
        <f>HYPERLINK("https://www.spark-marketing.ru/Card/Lot/72994093", "Автотранспортные услуги")</f>
        <v>Автотранспортные услуги</v>
      </c>
      <c r="G5982" s="22" t="s">
        <v>174</v>
      </c>
      <c r="H5982" s="22" t="s">
        <v>9168</v>
      </c>
      <c r="I5982" s="26">
        <v>43700.576273148101</v>
      </c>
      <c r="J5982" s="23" t="str">
        <f>HYPERLINK("https://www.spark-marketing.ru/Card/Person/7773", "ООО ""ПОРТОУРАЛ""")</f>
        <v>ООО "ПОРТОУРАЛ"</v>
      </c>
      <c r="K5982" s="24" t="s">
        <v>1897</v>
      </c>
      <c r="L5982" s="28" t="s">
        <v>51</v>
      </c>
      <c r="M5982" s="25">
        <v>122709.72</v>
      </c>
      <c r="N5982" s="27">
        <v>0.02</v>
      </c>
    </row>
    <row r="5983" spans="1:14" ht="12.75" hidden="1" outlineLevel="1" x14ac:dyDescent="0.2">
      <c r="A5983" s="23" t="str">
        <f>HYPERLINK("https://www.spark-marketing.ru/Card/Person/66577", "ФКУ ИК-8 ГУФСИН РОССИИ ПО СВЕРДЛОВСКОЙ ОБЛАСТИ")</f>
        <v>ФКУ ИК-8 ГУФСИН РОССИИ ПО СВЕРДЛОВСКОЙ ОБЛАСТИ</v>
      </c>
      <c r="B5983" s="24" t="s">
        <v>9166</v>
      </c>
      <c r="C5983" s="25">
        <v>125214</v>
      </c>
      <c r="D5983" s="22" t="s">
        <v>9167</v>
      </c>
      <c r="E5983" s="22" t="s">
        <v>468</v>
      </c>
      <c r="F5983" s="23" t="str">
        <f>HYPERLINK("https://www.spark-marketing.ru/Card/Lot/72994093", "Автотранспортные услуги")</f>
        <v>Автотранспортные услуги</v>
      </c>
      <c r="G5983" s="22" t="s">
        <v>174</v>
      </c>
      <c r="H5983" s="22" t="s">
        <v>9168</v>
      </c>
      <c r="I5983" s="26">
        <v>43700.576273148101</v>
      </c>
      <c r="J5983" s="23" t="str">
        <f>HYPERLINK("https://www.spark-marketing.ru/Card/Person/6625913", "ООО ""ЛЕМАН""")</f>
        <v>ООО "ЛЕМАН"</v>
      </c>
      <c r="K5983" s="24" t="s">
        <v>9169</v>
      </c>
      <c r="L5983" s="22" t="s">
        <v>10</v>
      </c>
      <c r="M5983" s="25">
        <v>122083.65</v>
      </c>
      <c r="N5983" s="27">
        <v>2.5000000000000001E-2</v>
      </c>
    </row>
    <row r="5984" spans="1:14" x14ac:dyDescent="0.15">
      <c r="A5984" s="23" t="str">
        <f>HYPERLINK("https://www.spark-marketing.ru/Card/Person/531416", "ОМВД РОССИИ ПО Г. ДОНСКОМУ")</f>
        <v>ОМВД РОССИИ ПО Г. ДОНСКОМУ</v>
      </c>
      <c r="B5984" s="24" t="s">
        <v>3331</v>
      </c>
      <c r="C5984" s="25">
        <v>57600</v>
      </c>
      <c r="D5984" s="22" t="s">
        <v>9170</v>
      </c>
      <c r="E5984" s="22" t="s">
        <v>96</v>
      </c>
      <c r="F5984" s="23" t="str">
        <f>HYPERLINK("https://www.spark-marketing.ru/Card/Lot/72995548", "Оказание услуг по организации питания (приготовлению и доставке), 240 шт")</f>
        <v>Оказание услуг по организации питания (приготовлению и доставке), 240 шт</v>
      </c>
      <c r="G5984" s="22" t="s">
        <v>68</v>
      </c>
      <c r="H5984" s="22" t="s">
        <v>682</v>
      </c>
      <c r="I5984" s="26">
        <v>43700.597708333298</v>
      </c>
      <c r="J5984" s="28" t="s">
        <v>51</v>
      </c>
      <c r="K5984" s="28" t="s">
        <v>51</v>
      </c>
      <c r="L5984" s="28" t="s">
        <v>51</v>
      </c>
      <c r="M5984" s="28" t="s">
        <v>51</v>
      </c>
      <c r="N5984" s="28" t="s">
        <v>51</v>
      </c>
    </row>
    <row r="5985" spans="1:14" x14ac:dyDescent="0.15">
      <c r="A5985" s="23" t="str">
        <f>HYPERLINK("https://www.spark-marketing.ru/Card/Person/68849", "ФКУ БМТИВС ГУФСИН РОССИИ ПО ИРКУТСКОЙ ОБЛАСТИ")</f>
        <v>ФКУ БМТИВС ГУФСИН РОССИИ ПО ИРКУТСКОЙ ОБЛАСТИ</v>
      </c>
      <c r="B5985" s="24" t="s">
        <v>9171</v>
      </c>
      <c r="C5985" s="25">
        <v>146074</v>
      </c>
      <c r="D5985" s="22" t="s">
        <v>9172</v>
      </c>
      <c r="E5985" s="22" t="s">
        <v>9173</v>
      </c>
      <c r="F5985" s="23" t="str">
        <f>HYPERLINK("https://www.spark-marketing.ru/Card/Lot/72986516", "Прочая закупка товаров, работ и услуг для обеспечения государственных нужд (поставка продуктов питания)")</f>
        <v>Прочая закупка товаров, работ и услуг для обеспечения государственных нужд (поставка продуктов питания)</v>
      </c>
      <c r="G5985" s="22" t="s">
        <v>263</v>
      </c>
      <c r="H5985" s="22" t="s">
        <v>2768</v>
      </c>
      <c r="I5985" s="26">
        <v>43700.554872685199</v>
      </c>
      <c r="J5985" s="23" t="str">
        <f>HYPERLINK("https://www.spark-marketing.ru/Card/Person/586175", "ООО ""ТОРГОВАЯ КОМПАНИЯ""")</f>
        <v>ООО "ТОРГОВАЯ КОМПАНИЯ"</v>
      </c>
      <c r="K5985" s="24" t="s">
        <v>9174</v>
      </c>
      <c r="L5985" s="28" t="s">
        <v>51</v>
      </c>
      <c r="M5985" s="28" t="s">
        <v>51</v>
      </c>
      <c r="N5985" s="28" t="s">
        <v>51</v>
      </c>
    </row>
    <row r="5986" spans="1:14" ht="12.75" hidden="1" outlineLevel="1" x14ac:dyDescent="0.2">
      <c r="A5986" s="23" t="str">
        <f>HYPERLINK("https://www.spark-marketing.ru/Card/Person/68849", "ФКУ БМТИВС ГУФСИН РОССИИ ПО ИРКУТСКОЙ ОБЛАСТИ")</f>
        <v>ФКУ БМТИВС ГУФСИН РОССИИ ПО ИРКУТСКОЙ ОБЛАСТИ</v>
      </c>
      <c r="B5986" s="24" t="s">
        <v>9171</v>
      </c>
      <c r="C5986" s="25">
        <v>146074</v>
      </c>
      <c r="D5986" s="22" t="s">
        <v>9172</v>
      </c>
      <c r="E5986" s="22" t="s">
        <v>9173</v>
      </c>
      <c r="F5986" s="23" t="str">
        <f>HYPERLINK("https://www.spark-marketing.ru/Card/Lot/72986516", "Прочая закупка товаров, работ и услуг для обеспечения государственных нужд (поставка продуктов питания)")</f>
        <v>Прочая закупка товаров, работ и услуг для обеспечения государственных нужд (поставка продуктов питания)</v>
      </c>
      <c r="G5986" s="22" t="s">
        <v>263</v>
      </c>
      <c r="H5986" s="22" t="s">
        <v>2768</v>
      </c>
      <c r="I5986" s="26">
        <v>43700.554872685199</v>
      </c>
      <c r="J5986" s="23" t="str">
        <f>HYPERLINK("https://www.spark-marketing.ru/Card/Person/586175", "ООО ""ТОРГОВАЯ КОМПАНИЯ""")</f>
        <v>ООО "ТОРГОВАЯ КОМПАНИЯ"</v>
      </c>
      <c r="K5986" s="24" t="s">
        <v>9174</v>
      </c>
      <c r="L5986" s="22" t="s">
        <v>10</v>
      </c>
      <c r="M5986" s="25">
        <v>145343.63</v>
      </c>
      <c r="N5986" s="27">
        <v>5.0000000000000001E-3</v>
      </c>
    </row>
    <row r="5987" spans="1:14" x14ac:dyDescent="0.15">
      <c r="A5987" s="23" t="str">
        <f>HYPERLINK("https://www.spark-marketing.ru/Card/Person/72741", "ГАУЗ ""ЕЦРБ""")</f>
        <v>ГАУЗ "ЕЦРБ"</v>
      </c>
      <c r="B5987" s="24" t="s">
        <v>9175</v>
      </c>
      <c r="C5987" s="25">
        <v>6508814</v>
      </c>
      <c r="D5987" s="22" t="s">
        <v>9176</v>
      </c>
      <c r="E5987" s="22" t="s">
        <v>48</v>
      </c>
      <c r="F5987" s="23" t="str">
        <f>HYPERLINK("https://www.spark-marketing.ru/Card/Lot/73006801", "Право заключения государственного контракта, на оказание услуг по организации, обеспечению, приготовлению и доставке лечебного питания для пациентов, находящихся на излечении в стационаре ГАУЗ «ЕЦРБ»")</f>
        <v>Право заключения государственного контракта, на оказание услуг по организации, обеспечению, приготовлению и доставке лечебного питания для пациентов, находящихся на излечении в стационаре ГАУЗ «ЕЦРБ»</v>
      </c>
      <c r="G5987" s="22" t="s">
        <v>217</v>
      </c>
      <c r="H5987" s="22" t="s">
        <v>9177</v>
      </c>
      <c r="I5987" s="26">
        <v>43700.6153009259</v>
      </c>
      <c r="J5987" s="28" t="s">
        <v>51</v>
      </c>
      <c r="K5987" s="28" t="s">
        <v>51</v>
      </c>
      <c r="L5987" s="28" t="s">
        <v>51</v>
      </c>
      <c r="M5987" s="28" t="s">
        <v>51</v>
      </c>
      <c r="N5987" s="28" t="s">
        <v>51</v>
      </c>
    </row>
    <row r="5988" spans="1:14" ht="12.75" hidden="1" outlineLevel="1" x14ac:dyDescent="0.2">
      <c r="A5988" s="23" t="str">
        <f>HYPERLINK("https://www.spark-marketing.ru/Card/Person/72741", "ГАУЗ ""ЕЦРБ""")</f>
        <v>ГАУЗ "ЕЦРБ"</v>
      </c>
      <c r="B5988" s="24" t="s">
        <v>9175</v>
      </c>
      <c r="C5988" s="25">
        <v>6508814</v>
      </c>
      <c r="D5988" s="22" t="s">
        <v>9176</v>
      </c>
      <c r="E5988" s="22" t="s">
        <v>48</v>
      </c>
      <c r="F5988" s="23" t="str">
        <f>HYPERLINK("https://www.spark-marketing.ru/Card/Lot/73006801", "Право заключения государственного контракта, на оказание услуг по организации, обеспечению, приготовлению и доставке лечебного питания для пациентов, находящихся на излечении в стационаре ГАУЗ «ЕЦРБ»")</f>
        <v>Право заключения государственного контракта, на оказание услуг по организации, обеспечению, приготовлению и доставке лечебного питания для пациентов, находящихся на излечении в стационаре ГАУЗ «ЕЦРБ»</v>
      </c>
      <c r="G5988" s="22" t="s">
        <v>217</v>
      </c>
      <c r="H5988" s="22" t="s">
        <v>9177</v>
      </c>
      <c r="I5988" s="26">
        <v>43700.6153009259</v>
      </c>
      <c r="J5988" s="23" t="str">
        <f>HYPERLINK("https://www.spark-marketing.ru/Card/Person/6084653", "ООО ""ВИТАРА""")</f>
        <v>ООО "ВИТАРА"</v>
      </c>
      <c r="K5988" s="24" t="s">
        <v>2437</v>
      </c>
      <c r="L5988" s="22" t="s">
        <v>10</v>
      </c>
      <c r="M5988" s="25">
        <v>151.4</v>
      </c>
      <c r="N5988" s="27">
        <v>0.99997673923390651</v>
      </c>
    </row>
    <row r="5989" spans="1:14" hidden="1" outlineLevel="1" x14ac:dyDescent="0.2">
      <c r="A5989" s="23" t="str">
        <f>HYPERLINK("https://www.spark-marketing.ru/Card/Person/72741", "ГАУЗ ""ЕЦРБ""")</f>
        <v>ГАУЗ "ЕЦРБ"</v>
      </c>
      <c r="B5989" s="24" t="s">
        <v>9175</v>
      </c>
      <c r="C5989" s="25">
        <v>6508814</v>
      </c>
      <c r="D5989" s="22" t="s">
        <v>9176</v>
      </c>
      <c r="E5989" s="22" t="s">
        <v>48</v>
      </c>
      <c r="F5989" s="23" t="str">
        <f>HYPERLINK("https://www.spark-marketing.ru/Card/Lot/73006801", "Право заключения государственного контракта, на оказание услуг по организации, обеспечению, приготовлению и доставке лечебного питания для пациентов, находящихся на излечении в стационаре ГАУЗ «ЕЦРБ»")</f>
        <v>Право заключения государственного контракта, на оказание услуг по организации, обеспечению, приготовлению и доставке лечебного питания для пациентов, находящихся на излечении в стационаре ГАУЗ «ЕЦРБ»</v>
      </c>
      <c r="G5989" s="22" t="s">
        <v>217</v>
      </c>
      <c r="H5989" s="22" t="s">
        <v>9177</v>
      </c>
      <c r="I5989" s="26">
        <v>43700.6153009259</v>
      </c>
      <c r="J5989" s="23" t="str">
        <f>HYPERLINK("https://www.spark-marketing.ru/Card/Person/60603", "ООО ""ХЭЛФ ФУД""")</f>
        <v>ООО "ХЭЛФ ФУД"</v>
      </c>
      <c r="K5989" s="24" t="s">
        <v>9178</v>
      </c>
      <c r="L5989" s="28" t="s">
        <v>51</v>
      </c>
      <c r="M5989" s="25">
        <v>185.02</v>
      </c>
      <c r="N5989" s="27">
        <v>0.99997157393036584</v>
      </c>
    </row>
    <row r="5990" spans="1:14" x14ac:dyDescent="0.15">
      <c r="A5990" s="23" t="str">
        <f>HYPERLINK("https://www.spark-marketing.ru/Card/Person/1013768", "МКОУ СОШ №1 П. ПЕЛЫМ")</f>
        <v>МКОУ СОШ №1 П. ПЕЛЫМ</v>
      </c>
      <c r="B5990" s="24" t="s">
        <v>9179</v>
      </c>
      <c r="C5990" s="25">
        <v>600000</v>
      </c>
      <c r="D5990" s="22" t="s">
        <v>9180</v>
      </c>
      <c r="E5990" s="22" t="s">
        <v>48</v>
      </c>
      <c r="F5990" s="23" t="str">
        <f>HYPERLINK("https://www.spark-marketing.ru/Card/Lot/72996252", "Продукты питания")</f>
        <v>Продукты питания</v>
      </c>
      <c r="G5990" s="22" t="s">
        <v>174</v>
      </c>
      <c r="H5990" s="22" t="s">
        <v>9181</v>
      </c>
      <c r="I5990" s="26">
        <v>43700.481805555602</v>
      </c>
      <c r="J5990" s="23" t="str">
        <f>HYPERLINK("https://www.spark-marketing.ru/Card/Person/6471199", "ООО ""ИСТОК""")</f>
        <v>ООО "ИСТОК"</v>
      </c>
      <c r="K5990" s="24" t="s">
        <v>9182</v>
      </c>
      <c r="L5990" s="22" t="s">
        <v>10</v>
      </c>
      <c r="M5990" s="28" t="s">
        <v>51</v>
      </c>
      <c r="N5990" s="28" t="s">
        <v>51</v>
      </c>
    </row>
    <row r="5991" spans="1:14" x14ac:dyDescent="0.15">
      <c r="A5991" s="23" t="str">
        <f>HYPERLINK("https://www.spark-marketing.ru/Card/Person/120059", "МЕЖМУНИЦИПАЛЬНЫЙ ОТДЕЛ МВД РОССИИ ""КЫШТЫМСКИЙ"" ЧЕЛЯБИНСКОЙ ОБЛАСТИ")</f>
        <v>МЕЖМУНИЦИПАЛЬНЫЙ ОТДЕЛ МВД РОССИИ "КЫШТЫМСКИЙ" ЧЕЛЯБИНСКОЙ ОБЛАСТИ</v>
      </c>
      <c r="B5991" s="24" t="s">
        <v>2730</v>
      </c>
      <c r="C5991" s="25">
        <v>1416000</v>
      </c>
      <c r="D5991" s="22" t="s">
        <v>9183</v>
      </c>
      <c r="E5991" s="22" t="s">
        <v>96</v>
      </c>
      <c r="F5991" s="23" t="str">
        <f>HYPERLINK("https://www.spark-marketing.ru/Card/Lot/72994276", "услуги по обеспечению горячим трёхразовым питанием лиц, содержащихся в ИВС")</f>
        <v>услуги по обеспечению горячим трёхразовым питанием лиц, содержащихся в ИВС</v>
      </c>
      <c r="G5991" s="22" t="s">
        <v>469</v>
      </c>
      <c r="H5991" s="22" t="s">
        <v>2732</v>
      </c>
      <c r="I5991" s="26">
        <v>43700.406168981499</v>
      </c>
      <c r="J5991" s="23" t="str">
        <f>HYPERLINK("https://www.spark-marketing.ru/Card/Person/870391", "ООО ""УРС""")</f>
        <v>ООО "УРС"</v>
      </c>
      <c r="K5991" s="24" t="s">
        <v>2733</v>
      </c>
      <c r="L5991" s="22" t="s">
        <v>10</v>
      </c>
      <c r="M5991" s="28" t="s">
        <v>51</v>
      </c>
      <c r="N5991" s="28" t="s">
        <v>51</v>
      </c>
    </row>
    <row r="5992" spans="1:14" x14ac:dyDescent="0.15">
      <c r="A5992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5992" s="24" t="s">
        <v>4141</v>
      </c>
      <c r="C5992" s="25">
        <v>370000</v>
      </c>
      <c r="D5992" s="22" t="s">
        <v>9184</v>
      </c>
      <c r="E5992" s="22" t="s">
        <v>48</v>
      </c>
      <c r="F5992" s="23" t="str">
        <f>HYPERLINK("https://www.spark-marketing.ru/Card/Lot/72986851", "Услуги по организации комплексного питания задержанных")</f>
        <v>Услуги по организации комплексного питания задержанных</v>
      </c>
      <c r="G5992" s="22" t="s">
        <v>263</v>
      </c>
      <c r="H5992" s="22" t="s">
        <v>540</v>
      </c>
      <c r="I5992" s="26">
        <v>43700.404710648101</v>
      </c>
      <c r="J5992" s="23" t="str">
        <f>HYPERLINK("https://www.spark-marketing.ru/Card/Person/75670", "ООО ""М-СЕРВИС""")</f>
        <v>ООО "М-СЕРВИС"</v>
      </c>
      <c r="K5992" s="24" t="s">
        <v>4143</v>
      </c>
      <c r="L5992" s="22" t="s">
        <v>10</v>
      </c>
      <c r="M5992" s="28" t="s">
        <v>51</v>
      </c>
      <c r="N5992" s="28" t="s">
        <v>51</v>
      </c>
    </row>
    <row r="5993" spans="1:14" x14ac:dyDescent="0.15">
      <c r="A5993" s="23" t="str">
        <f>HYPERLINK("https://www.spark-marketing.ru/Card/Person/357068", "ОТДЕЛ МВД РОССИИ ПО АКСАЙСКОМУ РАЙОНУ")</f>
        <v>ОТДЕЛ МВД РОССИИ ПО АКСАЙСКОМУ РАЙОНУ</v>
      </c>
      <c r="B5993" s="24" t="s">
        <v>265</v>
      </c>
      <c r="C5993" s="25">
        <v>81000</v>
      </c>
      <c r="D5993" s="22" t="s">
        <v>9185</v>
      </c>
      <c r="E5993" s="22" t="s">
        <v>48</v>
      </c>
      <c r="F5993" s="23" t="str">
        <f>HYPERLINK("https://www.spark-marketing.ru/Card/Lot/72992114", "УСЛУГИ ПО ОБЕСПЕЧЕНИЮ ПИТАНИЯ ЛИЦ СОДЕРЖАЩИХСЯ В СПЕЦ. ПОМЕЩЕНИЯХ ЗАДЕРЖАННЫХ ЛИЦ, 225 усл. ед")</f>
        <v>УСЛУГИ ПО ОБЕСПЕЧЕНИЮ ПИТАНИЯ ЛИЦ СОДЕРЖАЩИХСЯ В СПЕЦ. ПОМЕЩЕНИЯХ ЗАДЕРЖАННЫХ ЛИЦ, 225 усл. ед</v>
      </c>
      <c r="G5993" s="22" t="s">
        <v>267</v>
      </c>
      <c r="H5993" s="22" t="s">
        <v>268</v>
      </c>
      <c r="I5993" s="26">
        <v>43700.543611111098</v>
      </c>
      <c r="J5993" s="28" t="s">
        <v>51</v>
      </c>
      <c r="K5993" s="28" t="s">
        <v>51</v>
      </c>
      <c r="L5993" s="28" t="s">
        <v>51</v>
      </c>
      <c r="M5993" s="28" t="s">
        <v>51</v>
      </c>
      <c r="N5993" s="28" t="s">
        <v>51</v>
      </c>
    </row>
    <row r="5994" spans="1:14" x14ac:dyDescent="0.15">
      <c r="A5994" s="23" t="str">
        <f>HYPERLINK("https://www.spark-marketing.ru/Card/Person/1077940", "ОТДЕЛ МВД РОССИИ ПО Г. АРЗАМАСУ")</f>
        <v>ОТДЕЛ МВД РОССИИ ПО Г. АРЗАМАСУ</v>
      </c>
      <c r="B5994" s="24" t="s">
        <v>9186</v>
      </c>
      <c r="C5994" s="25">
        <v>300000</v>
      </c>
      <c r="D5994" s="22" t="s">
        <v>9187</v>
      </c>
      <c r="E5994" s="22" t="s">
        <v>96</v>
      </c>
      <c r="F5994" s="23" t="str">
        <f>HYPERLINK("https://www.spark-marketing.ru/Card/Lot/72994621", "Оказание услуг по организации питания (приготовлению и доставке), 1000 шт")</f>
        <v>Оказание услуг по организации питания (приготовлению и доставке), 1000 шт</v>
      </c>
      <c r="G5994" s="22" t="s">
        <v>76</v>
      </c>
      <c r="H5994" s="22" t="s">
        <v>9188</v>
      </c>
      <c r="I5994" s="26">
        <v>43700.577141203699</v>
      </c>
      <c r="J5994" s="28" t="s">
        <v>51</v>
      </c>
      <c r="K5994" s="28" t="s">
        <v>51</v>
      </c>
      <c r="L5994" s="28" t="s">
        <v>51</v>
      </c>
      <c r="M5994" s="28" t="s">
        <v>51</v>
      </c>
      <c r="N5994" s="28" t="s">
        <v>51</v>
      </c>
    </row>
    <row r="5995" spans="1:14" x14ac:dyDescent="0.15">
      <c r="A5995" s="23" t="str">
        <f>HYPERLINK("https://www.spark-marketing.ru/Card/Person/8833", "ФГБУ ""РНИИТО ИМ. Р.Р. ВРЕДЕНА"" МИНЗДРАВА РОССИИ")</f>
        <v>ФГБУ "РНИИТО ИМ. Р.Р. ВРЕДЕНА" МИНЗДРАВА РОССИИ</v>
      </c>
      <c r="B5995" s="24" t="s">
        <v>2315</v>
      </c>
      <c r="C5995" s="25">
        <v>740950</v>
      </c>
      <c r="D5995" s="22" t="s">
        <v>9189</v>
      </c>
      <c r="E5995" s="22" t="s">
        <v>4494</v>
      </c>
      <c r="F5995" s="23" t="str">
        <f>HYPERLINK("https://www.spark-marketing.ru/Card/Lot/72997275", "Поставка программно-аппаратного комплекса - шлюз безопасности для защиты компьютерных сетей в рамках федерального проекта: Создание единого цифрового контура в здравоохранении на основе единой государственной информационной системы здравоохранения (Е...")</f>
        <v>Поставка программно-аппаратного комплекса - шлюз безопасности для защиты компьютерных сетей в рамках федерального проекта: Создание единого цифрового контура в здравоохранении на основе единой государственной информационной системы здравоохранения (Е...</v>
      </c>
      <c r="G5995" s="22" t="s">
        <v>117</v>
      </c>
      <c r="H5995" s="22" t="s">
        <v>117</v>
      </c>
      <c r="I5995" s="26">
        <v>43700.568483796298</v>
      </c>
      <c r="J5995" s="23" t="str">
        <f>HYPERLINK("https://www.spark-marketing.ru/Card/Person/74386", "ООО ""ТЕХЦЕНТР""")</f>
        <v>ООО "ТЕХЦЕНТР"</v>
      </c>
      <c r="K5995" s="24" t="s">
        <v>9190</v>
      </c>
      <c r="L5995" s="22" t="s">
        <v>10</v>
      </c>
      <c r="M5995" s="28" t="s">
        <v>51</v>
      </c>
      <c r="N5995" s="28" t="s">
        <v>51</v>
      </c>
    </row>
    <row r="5996" spans="1:14" x14ac:dyDescent="0.15">
      <c r="A5996" s="23" t="str">
        <f>HYPERLINK("https://www.spark-marketing.ru/Card/Person/9777", "ОМВД РОССИИ ПО ДЗЕРЖИНСКОМУ РАЙОНУ")</f>
        <v>ОМВД РОССИИ ПО ДЗЕРЖИНСКОМУ РАЙОНУ</v>
      </c>
      <c r="B5996" s="24" t="s">
        <v>6138</v>
      </c>
      <c r="C5996" s="25">
        <v>520000</v>
      </c>
      <c r="D5996" s="22" t="s">
        <v>9191</v>
      </c>
      <c r="E5996" s="22" t="s">
        <v>48</v>
      </c>
      <c r="F5996" s="23" t="str">
        <f>HYPERLINK("https://www.spark-marketing.ru/Card/Lot/72996201",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5996" s="22" t="s">
        <v>112</v>
      </c>
      <c r="H5996" s="22" t="s">
        <v>1115</v>
      </c>
      <c r="I5996" s="26">
        <v>43700.492430555598</v>
      </c>
      <c r="J5996" s="28" t="s">
        <v>51</v>
      </c>
      <c r="K5996" s="28" t="s">
        <v>51</v>
      </c>
      <c r="L5996" s="28" t="s">
        <v>51</v>
      </c>
      <c r="M5996" s="28" t="s">
        <v>51</v>
      </c>
      <c r="N5996" s="28" t="s">
        <v>51</v>
      </c>
    </row>
    <row r="5997" spans="1:14" x14ac:dyDescent="0.15">
      <c r="A5997" s="23" t="str">
        <f>HYPERLINK("https://www.spark-marketing.ru/Card/Person/5397", "ГКУ ""ПАСС СК""")</f>
        <v>ГКУ "ПАСС СК"</v>
      </c>
      <c r="B5997" s="24" t="s">
        <v>9192</v>
      </c>
      <c r="C5997" s="25">
        <v>970000</v>
      </c>
      <c r="D5997" s="22" t="s">
        <v>9193</v>
      </c>
      <c r="E5997" s="22" t="s">
        <v>67</v>
      </c>
      <c r="F5997" s="23" t="str">
        <f>HYPERLINK("https://www.spark-marketing.ru/Card/Lot/72994418", "Оказание услуг по организации питания")</f>
        <v>Оказание услуг по организации питания</v>
      </c>
      <c r="G5997" s="22" t="s">
        <v>87</v>
      </c>
      <c r="H5997" s="22" t="s">
        <v>686</v>
      </c>
      <c r="I5997" s="26">
        <v>43700.497384259303</v>
      </c>
      <c r="J5997" s="23" t="str">
        <f>HYPERLINK("https://www.spark-marketing.ru/Card/Person/481723", "ООО ""СИМПЕКО""")</f>
        <v>ООО "СИМПЕКО"</v>
      </c>
      <c r="K5997" s="24" t="s">
        <v>9194</v>
      </c>
      <c r="L5997" s="22" t="s">
        <v>10</v>
      </c>
      <c r="M5997" s="28" t="s">
        <v>51</v>
      </c>
      <c r="N5997" s="28" t="s">
        <v>51</v>
      </c>
    </row>
    <row r="5998" spans="1:14" x14ac:dyDescent="0.15">
      <c r="A5998" s="23" t="str">
        <f>HYPERLINK("https://www.spark-marketing.ru/Card/Person/71940", "ОТДЕЛ МВД РОССИИ ПО ВАРНЕНСКОМУ РАЙОНУ ЧЕЛЯБИНСКОЙ ОБЛАСТИ")</f>
        <v>ОТДЕЛ МВД РОССИИ ПО ВАРНЕНСКОМУ РАЙОНУ ЧЕЛЯБИНСКОЙ ОБЛАСТИ</v>
      </c>
      <c r="B5998" s="24" t="s">
        <v>9195</v>
      </c>
      <c r="C5998" s="25">
        <v>280000</v>
      </c>
      <c r="D5998" s="22" t="s">
        <v>9196</v>
      </c>
      <c r="E5998" s="22" t="s">
        <v>48</v>
      </c>
      <c r="F5998" s="23" t="str">
        <f>HYPERLINK("https://www.spark-marketing.ru/Card/Lot/72988155", "питание в ИВС")</f>
        <v>питание в ИВС</v>
      </c>
      <c r="G5998" s="22" t="s">
        <v>469</v>
      </c>
      <c r="H5998" s="22" t="s">
        <v>9197</v>
      </c>
      <c r="I5998" s="26">
        <v>43700.3815046296</v>
      </c>
      <c r="J5998" s="23" t="str">
        <f>HYPERLINK("https://www.spark-marketing.ru/Card/Person/4959144", "Кокарева Татьяна Вениаминовна")</f>
        <v>Кокарева Татьяна Вениаминовна</v>
      </c>
      <c r="K5998" s="24" t="s">
        <v>9198</v>
      </c>
      <c r="L5998" s="22" t="s">
        <v>10</v>
      </c>
      <c r="M5998" s="28" t="s">
        <v>51</v>
      </c>
      <c r="N5998" s="28" t="s">
        <v>51</v>
      </c>
    </row>
    <row r="5999" spans="1:14" x14ac:dyDescent="0.15">
      <c r="A5999" s="23" t="str">
        <f>HYPERLINK("https://www.spark-marketing.ru/Card/Person/812636", "ОТДЕЛ МВД РОССИИ ПО АГРЫЗСКОМУ РАЙОНУ")</f>
        <v>ОТДЕЛ МВД РОССИИ ПО АГРЫЗСКОМУ РАЙОНУ</v>
      </c>
      <c r="B5999" s="24" t="s">
        <v>9199</v>
      </c>
      <c r="C5999" s="25">
        <v>528000</v>
      </c>
      <c r="D5999" s="22" t="s">
        <v>9200</v>
      </c>
      <c r="E5999" s="22" t="s">
        <v>48</v>
      </c>
      <c r="F5999" s="23" t="str">
        <f>HYPERLINK("https://www.spark-marketing.ru/Card/Lot/72991961", "Прочая закупка услуг (питание лиц, содержащихся в изоляторе временного содержания, специальном приемнике и комнате содержания задержанных лиц)")</f>
        <v>Прочая закупка услуг (питание лиц, содержащихся в изоляторе временного содержания, специальном приемнике и комнате содержания задержанных лиц)</v>
      </c>
      <c r="G5999" s="22" t="s">
        <v>217</v>
      </c>
      <c r="H5999" s="22" t="s">
        <v>9201</v>
      </c>
      <c r="I5999" s="26">
        <v>43700.403622685197</v>
      </c>
      <c r="J5999" s="23" t="str">
        <f>HYPERLINK("https://www.spark-marketing.ru/Card/Person/835574", "Насыров Рустам Ринатович")</f>
        <v>Насыров Рустам Ринатович</v>
      </c>
      <c r="K5999" s="24" t="s">
        <v>9202</v>
      </c>
      <c r="L5999" s="22" t="s">
        <v>10</v>
      </c>
      <c r="M5999" s="28" t="s">
        <v>51</v>
      </c>
      <c r="N5999" s="28" t="s">
        <v>51</v>
      </c>
    </row>
    <row r="6000" spans="1:14" x14ac:dyDescent="0.15">
      <c r="A6000" s="23" t="str">
        <f t="shared" ref="A6000:A6005" si="121">HYPERLINK("https://www.spark-marketing.ru/Card/Person/61163", "КГБУЗ ""ГОРОДСКАЯ КЛИНИЧЕСКАЯ БОЛЬНИЦА № 11, Г. БАРНАУЛ""")</f>
        <v>КГБУЗ "ГОРОДСКАЯ КЛИНИЧЕСКАЯ БОЛЬНИЦА № 11, Г. БАРНАУЛ"</v>
      </c>
      <c r="B6000" s="24" t="s">
        <v>9203</v>
      </c>
      <c r="C6000" s="25">
        <v>1021497</v>
      </c>
      <c r="D6000" s="22" t="s">
        <v>9204</v>
      </c>
      <c r="E6000" s="22" t="s">
        <v>9205</v>
      </c>
      <c r="F6000" s="23" t="str">
        <f t="shared" ref="F6000:F6005" si="122">HYPERLINK("https://www.spark-marketing.ru/Card/Lot/72985826", "Поставка печатной продукции в 2019 году")</f>
        <v>Поставка печатной продукции в 2019 году</v>
      </c>
      <c r="G6000" s="22" t="s">
        <v>63</v>
      </c>
      <c r="H6000" s="22" t="s">
        <v>177</v>
      </c>
      <c r="I6000" s="26">
        <v>43700.487222222197</v>
      </c>
      <c r="J6000" s="28" t="s">
        <v>51</v>
      </c>
      <c r="K6000" s="28" t="s">
        <v>51</v>
      </c>
      <c r="L6000" s="28" t="s">
        <v>51</v>
      </c>
      <c r="M6000" s="28" t="s">
        <v>51</v>
      </c>
      <c r="N6000" s="28" t="s">
        <v>51</v>
      </c>
    </row>
    <row r="6001" spans="1:14" ht="12.75" hidden="1" outlineLevel="1" x14ac:dyDescent="0.2">
      <c r="A6001" s="23" t="str">
        <f t="shared" si="121"/>
        <v>КГБУЗ "ГОРОДСКАЯ КЛИНИЧЕСКАЯ БОЛЬНИЦА № 11, Г. БАРНАУЛ"</v>
      </c>
      <c r="B6001" s="24" t="s">
        <v>9203</v>
      </c>
      <c r="C6001" s="25">
        <v>1021497</v>
      </c>
      <c r="D6001" s="22" t="s">
        <v>9204</v>
      </c>
      <c r="E6001" s="22" t="s">
        <v>9205</v>
      </c>
      <c r="F6001" s="23" t="str">
        <f t="shared" si="122"/>
        <v>Поставка печатной продукции в 2019 году</v>
      </c>
      <c r="G6001" s="22" t="s">
        <v>63</v>
      </c>
      <c r="H6001" s="22" t="s">
        <v>177</v>
      </c>
      <c r="I6001" s="26">
        <v>43700.487222222197</v>
      </c>
      <c r="J6001" s="23" t="str">
        <f>HYPERLINK("https://www.spark-marketing.ru/Card/Person/6626088", "Шмелева Лилия Анатольевна")</f>
        <v>Шмелева Лилия Анатольевна</v>
      </c>
      <c r="K6001" s="24" t="s">
        <v>5169</v>
      </c>
      <c r="L6001" s="22" t="s">
        <v>10</v>
      </c>
      <c r="M6001" s="25">
        <v>280810.84999999998</v>
      </c>
      <c r="N6001" s="27">
        <v>0.72509870317778713</v>
      </c>
    </row>
    <row r="6002" spans="1:14" hidden="1" outlineLevel="1" x14ac:dyDescent="0.2">
      <c r="A6002" s="23" t="str">
        <f t="shared" si="121"/>
        <v>КГБУЗ "ГОРОДСКАЯ КЛИНИЧЕСКАЯ БОЛЬНИЦА № 11, Г. БАРНАУЛ"</v>
      </c>
      <c r="B6002" s="24" t="s">
        <v>9203</v>
      </c>
      <c r="C6002" s="25">
        <v>1021497</v>
      </c>
      <c r="D6002" s="22" t="s">
        <v>9204</v>
      </c>
      <c r="E6002" s="22" t="s">
        <v>9205</v>
      </c>
      <c r="F6002" s="23" t="str">
        <f t="shared" si="122"/>
        <v>Поставка печатной продукции в 2019 году</v>
      </c>
      <c r="G6002" s="22" t="s">
        <v>63</v>
      </c>
      <c r="H6002" s="22" t="s">
        <v>177</v>
      </c>
      <c r="I6002" s="26">
        <v>43700.487222222197</v>
      </c>
      <c r="J6002" s="23" t="str">
        <f>HYPERLINK("https://www.spark-marketing.ru/Card/Person/70363", "ООО ""ВИННЕР - ПРИНТ""")</f>
        <v>ООО "ВИННЕР - ПРИНТ"</v>
      </c>
      <c r="K6002" s="24" t="s">
        <v>3048</v>
      </c>
      <c r="L6002" s="28" t="s">
        <v>51</v>
      </c>
      <c r="M6002" s="25">
        <v>444250.53</v>
      </c>
      <c r="N6002" s="27">
        <v>0.56509854654492375</v>
      </c>
    </row>
    <row r="6003" spans="1:14" hidden="1" outlineLevel="1" x14ac:dyDescent="0.2">
      <c r="A6003" s="23" t="str">
        <f t="shared" si="121"/>
        <v>КГБУЗ "ГОРОДСКАЯ КЛИНИЧЕСКАЯ БОЛЬНИЦА № 11, Г. БАРНАУЛ"</v>
      </c>
      <c r="B6003" s="24" t="s">
        <v>9203</v>
      </c>
      <c r="C6003" s="25">
        <v>1021497</v>
      </c>
      <c r="D6003" s="22" t="s">
        <v>9204</v>
      </c>
      <c r="E6003" s="22" t="s">
        <v>9205</v>
      </c>
      <c r="F6003" s="23" t="str">
        <f t="shared" si="122"/>
        <v>Поставка печатной продукции в 2019 году</v>
      </c>
      <c r="G6003" s="22" t="s">
        <v>63</v>
      </c>
      <c r="H6003" s="22" t="s">
        <v>177</v>
      </c>
      <c r="I6003" s="26">
        <v>43700.487222222197</v>
      </c>
      <c r="J6003" s="23" t="str">
        <f>HYPERLINK("https://www.spark-marketing.ru/Card/Person/110731", "ООО ""ТИПОГРАФИЯ""")</f>
        <v>ООО "ТИПОГРАФИЯ"</v>
      </c>
      <c r="K6003" s="24" t="s">
        <v>5953</v>
      </c>
      <c r="L6003" s="28" t="s">
        <v>51</v>
      </c>
      <c r="M6003" s="25">
        <v>285918.34000000003</v>
      </c>
      <c r="N6003" s="27">
        <v>0.7200986982830101</v>
      </c>
    </row>
    <row r="6004" spans="1:14" hidden="1" outlineLevel="1" x14ac:dyDescent="0.2">
      <c r="A6004" s="23" t="str">
        <f t="shared" si="121"/>
        <v>КГБУЗ "ГОРОДСКАЯ КЛИНИЧЕСКАЯ БОЛЬНИЦА № 11, Г. БАРНАУЛ"</v>
      </c>
      <c r="B6004" s="24" t="s">
        <v>9203</v>
      </c>
      <c r="C6004" s="25">
        <v>1021497</v>
      </c>
      <c r="D6004" s="22" t="s">
        <v>9204</v>
      </c>
      <c r="E6004" s="22" t="s">
        <v>9205</v>
      </c>
      <c r="F6004" s="23" t="str">
        <f t="shared" si="122"/>
        <v>Поставка печатной продукции в 2019 году</v>
      </c>
      <c r="G6004" s="22" t="s">
        <v>63</v>
      </c>
      <c r="H6004" s="22" t="s">
        <v>177</v>
      </c>
      <c r="I6004" s="26">
        <v>43700.487222222197</v>
      </c>
      <c r="J6004" s="23" t="str">
        <f>HYPERLINK("https://www.spark-marketing.ru/Card/Person/148599", "ООО ""БАРАБИНСКАЯ ТИПОГРАФИЯ""")</f>
        <v>ООО "БАРАБИНСКАЯ ТИПОГРАФИЯ"</v>
      </c>
      <c r="K6004" s="24" t="s">
        <v>4915</v>
      </c>
      <c r="L6004" s="28" t="s">
        <v>51</v>
      </c>
      <c r="M6004" s="25">
        <v>470000</v>
      </c>
      <c r="N6004" s="27">
        <v>0.53989096394800962</v>
      </c>
    </row>
    <row r="6005" spans="1:14" hidden="1" outlineLevel="1" x14ac:dyDescent="0.2">
      <c r="A6005" s="23" t="str">
        <f t="shared" si="121"/>
        <v>КГБУЗ "ГОРОДСКАЯ КЛИНИЧЕСКАЯ БОЛЬНИЦА № 11, Г. БАРНАУЛ"</v>
      </c>
      <c r="B6005" s="24" t="s">
        <v>9203</v>
      </c>
      <c r="C6005" s="25">
        <v>1021497</v>
      </c>
      <c r="D6005" s="22" t="s">
        <v>9204</v>
      </c>
      <c r="E6005" s="22" t="s">
        <v>9205</v>
      </c>
      <c r="F6005" s="23" t="str">
        <f t="shared" si="122"/>
        <v>Поставка печатной продукции в 2019 году</v>
      </c>
      <c r="G6005" s="22" t="s">
        <v>63</v>
      </c>
      <c r="H6005" s="22" t="s">
        <v>177</v>
      </c>
      <c r="I6005" s="26">
        <v>43700.487222222197</v>
      </c>
      <c r="J6005" s="23" t="str">
        <f>HYPERLINK("https://www.spark-marketing.ru/Card/Person/163837", "АО ""АЛТАЙСКИЙ ПОЛИГРАФИЧЕСКИЙ КОМБИНАТ""")</f>
        <v>АО "АЛТАЙСКИЙ ПОЛИГРАФИЧЕСКИЙ КОМБИНАТ"</v>
      </c>
      <c r="K6005" s="24" t="s">
        <v>9206</v>
      </c>
      <c r="L6005" s="28" t="s">
        <v>51</v>
      </c>
      <c r="M6005" s="25">
        <v>800000</v>
      </c>
      <c r="N6005" s="27">
        <v>0.21683568331576109</v>
      </c>
    </row>
    <row r="6006" spans="1:14" x14ac:dyDescent="0.2">
      <c r="A6006" s="23" t="str">
        <f>HYPERLINK("https://www.spark-marketing.ru/Card/Person/4373279", "МБОУ ""ЛИВАДИЙСКАЯ СШ""")</f>
        <v>МБОУ "ЛИВАДИЙСКАЯ СШ"</v>
      </c>
      <c r="B6006" s="24" t="s">
        <v>9207</v>
      </c>
      <c r="C6006" s="25">
        <v>4289422</v>
      </c>
      <c r="D6006" s="22" t="s">
        <v>9208</v>
      </c>
      <c r="E6006" s="22" t="s">
        <v>48</v>
      </c>
      <c r="F6006" s="23" t="str">
        <f>HYPERLINK("https://www.spark-marketing.ru/Card/Lot/73006426", "услуги по организации горячего питания (завтраки и обеды) обучающихся")</f>
        <v>услуги по организации горячего питания (завтраки и обеды) обучающихся</v>
      </c>
      <c r="G6006" s="22" t="s">
        <v>108</v>
      </c>
      <c r="H6006" s="22" t="s">
        <v>1321</v>
      </c>
      <c r="I6006" s="26">
        <v>43700.495601851799</v>
      </c>
      <c r="J6006" s="23" t="str">
        <f>HYPERLINK("https://www.spark-marketing.ru/Card/Person/6171161", "Фартушная-Близнюк Галина Николаевна")</f>
        <v>Фартушная-Близнюк Галина Николаевна</v>
      </c>
      <c r="K6006" s="24" t="s">
        <v>6780</v>
      </c>
      <c r="L6006" s="28" t="s">
        <v>51</v>
      </c>
      <c r="M6006" s="25">
        <v>4289422</v>
      </c>
      <c r="N6006" s="27">
        <v>0</v>
      </c>
    </row>
    <row r="6007" spans="1:14" x14ac:dyDescent="0.15">
      <c r="A6007" s="23" t="str">
        <f>HYPERLINK("https://www.spark-marketing.ru/Card/Person/71940", "ОТДЕЛ МВД РОССИИ ПО ВАРНЕНСКОМУ РАЙОНУ ЧЕЛЯБИНСКОЙ ОБЛАСТИ")</f>
        <v>ОТДЕЛ МВД РОССИИ ПО ВАРНЕНСКОМУ РАЙОНУ ЧЕЛЯБИНСКОЙ ОБЛАСТИ</v>
      </c>
      <c r="B6007" s="24" t="s">
        <v>9195</v>
      </c>
      <c r="C6007" s="25">
        <v>153200</v>
      </c>
      <c r="D6007" s="22" t="s">
        <v>9209</v>
      </c>
      <c r="E6007" s="22" t="s">
        <v>48</v>
      </c>
      <c r="F6007" s="23" t="str">
        <f>HYPERLINK("https://www.spark-marketing.ru/Card/Lot/72987720", "оказание услуг по организации трехразовым горячим питание лиц, находящихся в служебном помещении задержанных")</f>
        <v>оказание услуг по организации трехразовым горячим питание лиц, находящихся в служебном помещении задержанных</v>
      </c>
      <c r="G6007" s="22" t="s">
        <v>469</v>
      </c>
      <c r="H6007" s="22" t="s">
        <v>9197</v>
      </c>
      <c r="I6007" s="26">
        <v>43700.408553240697</v>
      </c>
      <c r="J6007" s="23" t="str">
        <f>HYPERLINK("https://www.spark-marketing.ru/Card/Person/4959144", "Кокарева Татьяна Вениаминовна")</f>
        <v>Кокарева Татьяна Вениаминовна</v>
      </c>
      <c r="K6007" s="24" t="s">
        <v>9198</v>
      </c>
      <c r="L6007" s="22" t="s">
        <v>10</v>
      </c>
      <c r="M6007" s="28" t="s">
        <v>51</v>
      </c>
      <c r="N6007" s="28" t="s">
        <v>51</v>
      </c>
    </row>
    <row r="6008" spans="1:14" x14ac:dyDescent="0.15">
      <c r="A6008" s="23" t="str">
        <f>HYPERLINK("https://www.spark-marketing.ru/Card/Person/183760", "МО МВД РОССИИ ""АЛАТЫРСКИЙ""")</f>
        <v>МО МВД РОССИИ "АЛАТЫРСКИЙ"</v>
      </c>
      <c r="B6008" s="24" t="s">
        <v>3783</v>
      </c>
      <c r="C6008" s="25">
        <v>300000</v>
      </c>
      <c r="D6008" s="22" t="s">
        <v>9210</v>
      </c>
      <c r="E6008" s="22" t="s">
        <v>48</v>
      </c>
      <c r="F6008" s="23" t="str">
        <f>HYPERLINK("https://www.spark-marketing.ru/Card/Lot/72987598", "Оказание услуг по организации питания (приготовлению и доставке) для ИВС, 1500 усл. ед")</f>
        <v>Оказание услуг по организации питания (приготовлению и доставке) для ИВС, 1500 усл. ед</v>
      </c>
      <c r="G6008" s="22" t="s">
        <v>618</v>
      </c>
      <c r="H6008" s="22" t="s">
        <v>3785</v>
      </c>
      <c r="I6008" s="26">
        <v>43700.457777777803</v>
      </c>
      <c r="J6008" s="28" t="s">
        <v>51</v>
      </c>
      <c r="K6008" s="28" t="s">
        <v>51</v>
      </c>
      <c r="L6008" s="28" t="s">
        <v>51</v>
      </c>
      <c r="M6008" s="28" t="s">
        <v>51</v>
      </c>
      <c r="N6008" s="28" t="s">
        <v>51</v>
      </c>
    </row>
    <row r="6009" spans="1:14" x14ac:dyDescent="0.15">
      <c r="A6009" s="23" t="str">
        <f>HYPERLINK("https://www.spark-marketing.ru/Card/Person/71940", "ОТДЕЛ МВД РОССИИ ПО ВАРНЕНСКОМУ РАЙОНУ ЧЕЛЯБИНСКОЙ ОБЛАСТИ")</f>
        <v>ОТДЕЛ МВД РОССИИ ПО ВАРНЕНСКОМУ РАЙОНУ ЧЕЛЯБИНСКОЙ ОБЛАСТИ</v>
      </c>
      <c r="B6009" s="24" t="s">
        <v>9195</v>
      </c>
      <c r="C6009" s="25">
        <v>153200</v>
      </c>
      <c r="D6009" s="22" t="s">
        <v>9211</v>
      </c>
      <c r="E6009" s="22" t="s">
        <v>48</v>
      </c>
      <c r="F6009" s="23" t="str">
        <f>HYPERLINK("https://www.spark-marketing.ru/Card/Lot/72987751", "оказание услуг по организации трехразовым горячим питанием лиц, находящихся в служебном помещении задержанных")</f>
        <v>оказание услуг по организации трехразовым горячим питанием лиц, находящихся в служебном помещении задержанных</v>
      </c>
      <c r="G6009" s="22" t="s">
        <v>469</v>
      </c>
      <c r="H6009" s="22" t="s">
        <v>9197</v>
      </c>
      <c r="I6009" s="26">
        <v>43700.446990740696</v>
      </c>
      <c r="J6009" s="23" t="str">
        <f>HYPERLINK("https://www.spark-marketing.ru/Card/Person/4959144", "Кокарева Татьяна Вениаминовна")</f>
        <v>Кокарева Татьяна Вениаминовна</v>
      </c>
      <c r="K6009" s="24" t="s">
        <v>9198</v>
      </c>
      <c r="L6009" s="22" t="s">
        <v>10</v>
      </c>
      <c r="M6009" s="28" t="s">
        <v>51</v>
      </c>
      <c r="N6009" s="28" t="s">
        <v>51</v>
      </c>
    </row>
    <row r="6010" spans="1:14" x14ac:dyDescent="0.15">
      <c r="A6010" s="23" t="str">
        <f>HYPERLINK("https://www.spark-marketing.ru/Card/Person/71940", "ОТДЕЛ МВД РОССИИ ПО ВАРНЕНСКОМУ РАЙОНУ ЧЕЛЯБИНСКОЙ ОБЛАСТИ")</f>
        <v>ОТДЕЛ МВД РОССИИ ПО ВАРНЕНСКОМУ РАЙОНУ ЧЕЛЯБИНСКОЙ ОБЛАСТИ</v>
      </c>
      <c r="B6010" s="24" t="s">
        <v>9195</v>
      </c>
      <c r="C6010" s="25">
        <v>280000</v>
      </c>
      <c r="D6010" s="22" t="s">
        <v>9212</v>
      </c>
      <c r="E6010" s="22" t="s">
        <v>48</v>
      </c>
      <c r="F6010" s="23" t="str">
        <f>HYPERLINK("https://www.spark-marketing.ru/Card/Lot/72988247", "оказание услуг по организации трехразовым горячим питанием лиц, находящихся в изоляторе временного содержания")</f>
        <v>оказание услуг по организации трехразовым горячим питанием лиц, находящихся в изоляторе временного содержания</v>
      </c>
      <c r="G6010" s="22" t="s">
        <v>469</v>
      </c>
      <c r="H6010" s="22" t="s">
        <v>9197</v>
      </c>
      <c r="I6010" s="26">
        <v>43700.395393518498</v>
      </c>
      <c r="J6010" s="23" t="str">
        <f>HYPERLINK("https://www.spark-marketing.ru/Card/Person/4959144", "Кокарева Татьяна Вениаминовна")</f>
        <v>Кокарева Татьяна Вениаминовна</v>
      </c>
      <c r="K6010" s="24" t="s">
        <v>9198</v>
      </c>
      <c r="L6010" s="22" t="s">
        <v>10</v>
      </c>
      <c r="M6010" s="28" t="s">
        <v>51</v>
      </c>
      <c r="N6010" s="28" t="s">
        <v>51</v>
      </c>
    </row>
    <row r="6011" spans="1:14" x14ac:dyDescent="0.15">
      <c r="A6011" s="23" t="str">
        <f>HYPERLINK("https://www.spark-marketing.ru/Card/Person/5351", "ОМВД РОССИИ ПО ГОРОДСКОМУ ОКРУГУ ИСТРА")</f>
        <v>ОМВД РОССИИ ПО ГОРОДСКОМУ ОКРУГУ ИСТРА</v>
      </c>
      <c r="B6011" s="24" t="s">
        <v>9213</v>
      </c>
      <c r="C6011" s="25">
        <v>3613500</v>
      </c>
      <c r="D6011" s="22" t="s">
        <v>9214</v>
      </c>
      <c r="E6011" s="22" t="s">
        <v>48</v>
      </c>
      <c r="F6011" s="23" t="str">
        <f>HYPERLINK("https://www.spark-marketing.ru/Card/Lot/72992688", "Оказание услуг по питанию граждан, содержащихся в ИВС и Спецприемнике")</f>
        <v>Оказание услуг по питанию граждан, содержащихся в ИВС и Спецприемнике</v>
      </c>
      <c r="G6011" s="22" t="s">
        <v>49</v>
      </c>
      <c r="H6011" s="22" t="s">
        <v>4820</v>
      </c>
      <c r="I6011" s="26">
        <v>43700.390324074098</v>
      </c>
      <c r="J6011" s="23" t="str">
        <f>HYPERLINK("https://www.spark-marketing.ru/Card/Person/115242", "Башмаков Николай Николаевич")</f>
        <v>Башмаков Николай Николаевич</v>
      </c>
      <c r="K6011" s="24" t="s">
        <v>5812</v>
      </c>
      <c r="L6011" s="22" t="s">
        <v>10</v>
      </c>
      <c r="M6011" s="28" t="s">
        <v>51</v>
      </c>
      <c r="N6011" s="28" t="s">
        <v>51</v>
      </c>
    </row>
    <row r="6012" spans="1:14" x14ac:dyDescent="0.15">
      <c r="A6012" s="23" t="str">
        <f>HYPERLINK("https://www.spark-marketing.ru/Card/Person/31292", "ГКУ МО ""ЦЕНТР 112""")</f>
        <v>ГКУ МО "ЦЕНТР 112"</v>
      </c>
      <c r="B6012" s="24" t="s">
        <v>9215</v>
      </c>
      <c r="C6012" s="25">
        <v>20000000</v>
      </c>
      <c r="D6012" s="22" t="s">
        <v>9216</v>
      </c>
      <c r="E6012" s="22" t="s">
        <v>9217</v>
      </c>
      <c r="F6012" s="23" t="str">
        <f>HYPERLINK("https://www.spark-marketing.ru/Card/Lot/72994674", "Поставка оборудования, выполнение монтажных и пуско-наладочных работ по подключению новых объектов системы обеспечения вызова экстренных оперативных служб по единому номеру «112» Московской области")</f>
        <v>Поставка оборудования, выполнение монтажных и пуско-наладочных работ по подключению новых объектов системы обеспечения вызова экстренных оперативных служб по единому номеру «112» Московской области</v>
      </c>
      <c r="G6012" s="22" t="s">
        <v>49</v>
      </c>
      <c r="H6012" s="22" t="s">
        <v>50</v>
      </c>
      <c r="I6012" s="26">
        <v>43700.365648148101</v>
      </c>
      <c r="J6012" s="23" t="str">
        <f>HYPERLINK("https://www.spark-marketing.ru/Card/Person/91938", "ООО ""СИТЕК""")</f>
        <v>ООО "СИТЕК"</v>
      </c>
      <c r="K6012" s="24" t="s">
        <v>9218</v>
      </c>
      <c r="L6012" s="22" t="s">
        <v>10</v>
      </c>
      <c r="M6012" s="28" t="s">
        <v>51</v>
      </c>
      <c r="N6012" s="28" t="s">
        <v>51</v>
      </c>
    </row>
    <row r="6013" spans="1:14" x14ac:dyDescent="0.15">
      <c r="A6013" s="23" t="str">
        <f>HYPERLINK("https://www.spark-marketing.ru/Card/Person/4377035", "МБОУ ""ГРУШЕВСКАЯ СРЕДНЯЯ ОБЩЕОБРАЗОВАТЕЛЬНАЯ ШКОЛА"" ГОРОДСКОГО ОКРУГА СУДАК")</f>
        <v>МБОУ "ГРУШЕВСКАЯ СРЕДНЯЯ ОБЩЕОБРАЗОВАТЕЛЬНАЯ ШКОЛА" ГОРОДСКОГО ОКРУГА СУДАК</v>
      </c>
      <c r="B6013" s="24" t="s">
        <v>9219</v>
      </c>
      <c r="C6013" s="25">
        <v>7153024</v>
      </c>
      <c r="D6013" s="22" t="s">
        <v>9220</v>
      </c>
      <c r="E6013" s="22" t="s">
        <v>48</v>
      </c>
      <c r="F6013" s="23" t="str">
        <f>HYPERLINK("https://www.spark-marketing.ru/Card/Lot/73006357", "Услуга по организации питания для учащихся")</f>
        <v>Услуга по организации питания для учащихся</v>
      </c>
      <c r="G6013" s="22" t="s">
        <v>108</v>
      </c>
      <c r="H6013" s="22" t="s">
        <v>4593</v>
      </c>
      <c r="I6013" s="26">
        <v>43700.425289351799</v>
      </c>
      <c r="J6013" s="28" t="s">
        <v>51</v>
      </c>
      <c r="K6013" s="28" t="s">
        <v>51</v>
      </c>
      <c r="L6013" s="28" t="s">
        <v>51</v>
      </c>
      <c r="M6013" s="28" t="s">
        <v>51</v>
      </c>
      <c r="N6013" s="28" t="s">
        <v>51</v>
      </c>
    </row>
    <row r="6014" spans="1:14" ht="12.75" hidden="1" outlineLevel="1" x14ac:dyDescent="0.2">
      <c r="A6014" s="23" t="str">
        <f>HYPERLINK("https://www.spark-marketing.ru/Card/Person/4377035", "МБОУ ""ГРУШЕВСКАЯ СРЕДНЯЯ ОБЩЕОБРАЗОВАТЕЛЬНАЯ ШКОЛА"" ГОРОДСКОГО ОКРУГА СУДАК")</f>
        <v>МБОУ "ГРУШЕВСКАЯ СРЕДНЯЯ ОБЩЕОБРАЗОВАТЕЛЬНАЯ ШКОЛА" ГОРОДСКОГО ОКРУГА СУДАК</v>
      </c>
      <c r="B6014" s="24" t="s">
        <v>9219</v>
      </c>
      <c r="C6014" s="25">
        <v>7153024</v>
      </c>
      <c r="D6014" s="22" t="s">
        <v>9220</v>
      </c>
      <c r="E6014" s="22" t="s">
        <v>48</v>
      </c>
      <c r="F6014" s="23" t="str">
        <f>HYPERLINK("https://www.spark-marketing.ru/Card/Lot/73006357", "Услуга по организации питания для учащихся")</f>
        <v>Услуга по организации питания для учащихся</v>
      </c>
      <c r="G6014" s="22" t="s">
        <v>108</v>
      </c>
      <c r="H6014" s="22" t="s">
        <v>4593</v>
      </c>
      <c r="I6014" s="26">
        <v>43700.425289351799</v>
      </c>
      <c r="J6014" s="23" t="str">
        <f>HYPERLINK("https://www.spark-marketing.ru/Card/Person/5789450", "Шмакова Наталия Владимировна")</f>
        <v>Шмакова Наталия Владимировна</v>
      </c>
      <c r="K6014" s="24" t="s">
        <v>4594</v>
      </c>
      <c r="L6014" s="22" t="s">
        <v>10</v>
      </c>
      <c r="M6014" s="25">
        <v>6080070.4000000004</v>
      </c>
      <c r="N6014" s="27">
        <v>0.15</v>
      </c>
    </row>
    <row r="6015" spans="1:14" hidden="1" outlineLevel="1" x14ac:dyDescent="0.2">
      <c r="A6015" s="23" t="str">
        <f>HYPERLINK("https://www.spark-marketing.ru/Card/Person/4377035", "МБОУ ""ГРУШЕВСКАЯ СРЕДНЯЯ ОБЩЕОБРАЗОВАТЕЛЬНАЯ ШКОЛА"" ГОРОДСКОГО ОКРУГА СУДАК")</f>
        <v>МБОУ "ГРУШЕВСКАЯ СРЕДНЯЯ ОБЩЕОБРАЗОВАТЕЛЬНАЯ ШКОЛА" ГОРОДСКОГО ОКРУГА СУДАК</v>
      </c>
      <c r="B6015" s="24" t="s">
        <v>9219</v>
      </c>
      <c r="C6015" s="25">
        <v>7153024</v>
      </c>
      <c r="D6015" s="22" t="s">
        <v>9220</v>
      </c>
      <c r="E6015" s="22" t="s">
        <v>48</v>
      </c>
      <c r="F6015" s="23" t="str">
        <f>HYPERLINK("https://www.spark-marketing.ru/Card/Lot/73006357", "Услуга по организации питания для учащихся")</f>
        <v>Услуга по организации питания для учащихся</v>
      </c>
      <c r="G6015" s="22" t="s">
        <v>108</v>
      </c>
      <c r="H6015" s="22" t="s">
        <v>4593</v>
      </c>
      <c r="I6015" s="26">
        <v>43700.425289351799</v>
      </c>
      <c r="J6015" s="23" t="str">
        <f>HYPERLINK("https://www.spark-marketing.ru/Card/Person/4856360", "ООО ""МЕЛИССА""")</f>
        <v>ООО "МЕЛИССА"</v>
      </c>
      <c r="K6015" s="24" t="s">
        <v>4595</v>
      </c>
      <c r="L6015" s="28" t="s">
        <v>51</v>
      </c>
      <c r="M6015" s="25">
        <v>5650888.96</v>
      </c>
      <c r="N6015" s="27">
        <v>0.21</v>
      </c>
    </row>
    <row r="6016" spans="1:14" x14ac:dyDescent="0.15">
      <c r="A6016" s="23" t="str">
        <f>HYPERLINK("https://www.spark-marketing.ru/Card/Person/4856439", "ГУ-ВОРОНЕЖСКОЕ РО ФОНДА СОЦИАЛЬНОГО СТРАХОВАНИЯ РОССИЙСКОЙ ФЕДЕРАЦИИ")</f>
        <v>ГУ-ВОРОНЕЖСКОЕ РО ФОНДА СОЦИАЛЬНОГО СТРАХОВАНИЯ РОССИЙСКОЙ ФЕДЕРАЦИИ</v>
      </c>
      <c r="B6016" s="24" t="s">
        <v>3625</v>
      </c>
      <c r="C6016" s="25">
        <v>1347516</v>
      </c>
      <c r="D6016" s="22" t="s">
        <v>9221</v>
      </c>
      <c r="E6016" s="22" t="s">
        <v>86</v>
      </c>
      <c r="F6016" s="23" t="str">
        <f>HYPERLINK("https://www.spark-marketing.ru/Card/Lot/72990973", "Оказание услуг санаторно-курортного лечения граждан-получателей государственной социальной помощи в виде набора социальных услуг по профилям лечения болезней нервной системы, опорно-двигательного аппарата, системы кровообращения, эндокринной системы,...")</f>
        <v>Оказание услуг санаторно-курортного лечения граждан-получателей государственной социальной помощи в виде набора социальных услуг по профилям лечения болезней нервной системы, опорно-двигательного аппарата, системы кровообращения, эндокринной системы,...</v>
      </c>
      <c r="G6016" s="22" t="s">
        <v>82</v>
      </c>
      <c r="H6016" s="22" t="s">
        <v>83</v>
      </c>
      <c r="I6016" s="26">
        <v>43700.432256944398</v>
      </c>
      <c r="J6016" s="23" t="str">
        <f>HYPERLINK("https://www.spark-marketing.ru/Card/Person/177813", "ООО ""КСКК ""АКВАЛОО""")</f>
        <v>ООО "КСКК "АКВАЛОО"</v>
      </c>
      <c r="K6016" s="24" t="s">
        <v>4517</v>
      </c>
      <c r="L6016" s="22" t="s">
        <v>10</v>
      </c>
      <c r="M6016" s="28" t="s">
        <v>51</v>
      </c>
      <c r="N6016" s="28" t="s">
        <v>51</v>
      </c>
    </row>
    <row r="6017" spans="1:14" x14ac:dyDescent="0.2">
      <c r="A6017" s="23" t="str">
        <f>HYPERLINK("https://www.spark-marketing.ru/Card/Person/244729", "МБОУ ПРОГИМНАЗИЯ № 131")</f>
        <v>МБОУ ПРОГИМНАЗИЯ № 131</v>
      </c>
      <c r="B6017" s="24" t="s">
        <v>9222</v>
      </c>
      <c r="C6017" s="25">
        <v>1688980.5</v>
      </c>
      <c r="D6017" s="22" t="s">
        <v>9223</v>
      </c>
      <c r="E6017" s="22" t="s">
        <v>48</v>
      </c>
      <c r="F6017" s="23" t="str">
        <f>HYPERLINK("https://www.spark-marketing.ru/Card/Lot/73006397", "Оказание услуг по организации горячего питания для воспитанников детского сада в муниципальном бюджетном общеобразовательном учреждении «Прогимназия № 131 с приоритетным осуществлением интеллектуально-эстетического развития воспитанников и обучающихс...")</f>
        <v>Оказание услуг по организации горячего питания для воспитанников детского сада в муниципальном бюджетном общеобразовательном учреждении «Прогимназия № 131 с приоритетным осуществлением интеллектуально-эстетического развития воспитанников и обучающихс...</v>
      </c>
      <c r="G6017" s="22" t="s">
        <v>281</v>
      </c>
      <c r="H6017" s="22" t="s">
        <v>281</v>
      </c>
      <c r="I6017" s="26">
        <v>43700.583796296298</v>
      </c>
      <c r="J6017" s="23" t="str">
        <f>HYPERLINK("https://www.spark-marketing.ru/Card/Person/5912104", "МП Г.КРАСНОЯРСКА ""ШКОЛЬНЫЙ КОМБИНАТ ПИТАНИЯ""")</f>
        <v>МП Г.КРАСНОЯРСКА "ШКОЛЬНЫЙ КОМБИНАТ ПИТАНИЯ"</v>
      </c>
      <c r="K6017" s="24" t="s">
        <v>7713</v>
      </c>
      <c r="L6017" s="28" t="s">
        <v>51</v>
      </c>
      <c r="M6017" s="25">
        <v>1688980.5</v>
      </c>
      <c r="N6017" s="27">
        <v>0</v>
      </c>
    </row>
    <row r="6018" spans="1:14" x14ac:dyDescent="0.15">
      <c r="A6018" s="23" t="str">
        <f>HYPERLINK("https://www.spark-marketing.ru/Card/Person/38224", "ГБУ РК ""ЦСАЛ БОМЖ Г. УХТЫ""")</f>
        <v>ГБУ РК "ЦСАЛ БОМЖ Г. УХТЫ"</v>
      </c>
      <c r="B6018" s="24" t="s">
        <v>9224</v>
      </c>
      <c r="C6018" s="25">
        <v>204600</v>
      </c>
      <c r="D6018" s="22" t="s">
        <v>9225</v>
      </c>
      <c r="E6018" s="22" t="s">
        <v>48</v>
      </c>
      <c r="F6018" s="23" t="str">
        <f>HYPERLINK("https://www.spark-marketing.ru/Card/Lot/72989583", "Услуги по обеспечению питанием, осуществляемые по договору и предоставляемые транспортным предприятиям")</f>
        <v>Услуги по обеспечению питанием, осуществляемые по договору и предоставляемые транспортным предприятиям</v>
      </c>
      <c r="G6018" s="22" t="s">
        <v>271</v>
      </c>
      <c r="H6018" s="22" t="s">
        <v>6958</v>
      </c>
      <c r="I6018" s="26">
        <v>43700.436030092598</v>
      </c>
      <c r="J6018" s="28" t="s">
        <v>51</v>
      </c>
      <c r="K6018" s="28" t="s">
        <v>51</v>
      </c>
      <c r="L6018" s="28" t="s">
        <v>51</v>
      </c>
      <c r="M6018" s="28" t="s">
        <v>51</v>
      </c>
      <c r="N6018" s="28" t="s">
        <v>51</v>
      </c>
    </row>
    <row r="6019" spans="1:14" ht="12.75" hidden="1" outlineLevel="1" x14ac:dyDescent="0.2">
      <c r="A6019" s="23" t="str">
        <f>HYPERLINK("https://www.spark-marketing.ru/Card/Person/38224", "ГБУ РК ""ЦСАЛ БОМЖ Г. УХТЫ""")</f>
        <v>ГБУ РК "ЦСАЛ БОМЖ Г. УХТЫ"</v>
      </c>
      <c r="B6019" s="24" t="s">
        <v>9224</v>
      </c>
      <c r="C6019" s="25">
        <v>204600</v>
      </c>
      <c r="D6019" s="22" t="s">
        <v>9225</v>
      </c>
      <c r="E6019" s="22" t="s">
        <v>48</v>
      </c>
      <c r="F6019" s="23" t="str">
        <f>HYPERLINK("https://www.spark-marketing.ru/Card/Lot/72989583", "Услуги по обеспечению питанием, осуществляемые по договору и предоставляемые транспортным предприятиям")</f>
        <v>Услуги по обеспечению питанием, осуществляемые по договору и предоставляемые транспортным предприятиям</v>
      </c>
      <c r="G6019" s="22" t="s">
        <v>271</v>
      </c>
      <c r="H6019" s="22" t="s">
        <v>6958</v>
      </c>
      <c r="I6019" s="26">
        <v>43700.436030092598</v>
      </c>
      <c r="J6019" s="23" t="str">
        <f>HYPERLINK("https://www.spark-marketing.ru/Card/Person/1960707", "Кустов Александр Владимирович")</f>
        <v>Кустов Александр Владимирович</v>
      </c>
      <c r="K6019" s="24" t="s">
        <v>9088</v>
      </c>
      <c r="L6019" s="22" t="s">
        <v>10</v>
      </c>
      <c r="M6019" s="25">
        <v>190005.6</v>
      </c>
      <c r="N6019" s="27">
        <v>7.1331378299120229E-2</v>
      </c>
    </row>
    <row r="6020" spans="1:14" hidden="1" outlineLevel="1" x14ac:dyDescent="0.2">
      <c r="A6020" s="23" t="str">
        <f>HYPERLINK("https://www.spark-marketing.ru/Card/Person/38224", "ГБУ РК ""ЦСАЛ БОМЖ Г. УХТЫ""")</f>
        <v>ГБУ РК "ЦСАЛ БОМЖ Г. УХТЫ"</v>
      </c>
      <c r="B6020" s="24" t="s">
        <v>9224</v>
      </c>
      <c r="C6020" s="25">
        <v>204600</v>
      </c>
      <c r="D6020" s="22" t="s">
        <v>9225</v>
      </c>
      <c r="E6020" s="22" t="s">
        <v>48</v>
      </c>
      <c r="F6020" s="23" t="str">
        <f>HYPERLINK("https://www.spark-marketing.ru/Card/Lot/72989583", "Услуги по обеспечению питанием, осуществляемые по договору и предоставляемые транспортным предприятиям")</f>
        <v>Услуги по обеспечению питанием, осуществляемые по договору и предоставляемые транспортным предприятиям</v>
      </c>
      <c r="G6020" s="22" t="s">
        <v>271</v>
      </c>
      <c r="H6020" s="22" t="s">
        <v>6958</v>
      </c>
      <c r="I6020" s="26">
        <v>43700.436030092598</v>
      </c>
      <c r="J6020" s="23" t="str">
        <f>HYPERLINK("https://www.spark-marketing.ru/Card/Person/6618486", "Шваб Оксана Ивановна")</f>
        <v>Шваб Оксана Ивановна</v>
      </c>
      <c r="K6020" s="24" t="s">
        <v>9226</v>
      </c>
      <c r="L6020" s="28" t="s">
        <v>51</v>
      </c>
      <c r="M6020" s="25">
        <v>191301</v>
      </c>
      <c r="N6020" s="27">
        <v>6.5000000000000002E-2</v>
      </c>
    </row>
    <row r="6021" spans="1:14" x14ac:dyDescent="0.15">
      <c r="A6021" s="23" t="str">
        <f>HYPERLINK("https://www.spark-marketing.ru/Card/Person/1070110", "МУНИЦИПАЛЬНАЯ БЮДЖЕТНАЯ ГИМНАЗИЯ №39 Г. ОРЛА")</f>
        <v>МУНИЦИПАЛЬНАЯ БЮДЖЕТНАЯ ГИМНАЗИЯ №39 Г. ОРЛА</v>
      </c>
      <c r="B6021" s="24" t="s">
        <v>9227</v>
      </c>
      <c r="C6021" s="25">
        <v>588258</v>
      </c>
      <c r="D6021" s="22" t="s">
        <v>9228</v>
      </c>
      <c r="E6021" s="22" t="s">
        <v>51</v>
      </c>
      <c r="F6021" s="23" t="str">
        <f>HYPERLINK("https://www.spark-marketing.ru/Card/Lot/72987418",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021" s="22" t="s">
        <v>1066</v>
      </c>
      <c r="H6021" s="22" t="s">
        <v>1066</v>
      </c>
      <c r="I6021" s="26">
        <v>43699.6957638889</v>
      </c>
      <c r="J6021" s="28" t="s">
        <v>51</v>
      </c>
      <c r="K6021" s="28" t="s">
        <v>51</v>
      </c>
      <c r="L6021" s="28" t="s">
        <v>51</v>
      </c>
      <c r="M6021" s="28" t="s">
        <v>51</v>
      </c>
      <c r="N6021" s="28" t="s">
        <v>51</v>
      </c>
    </row>
    <row r="6022" spans="1:14" x14ac:dyDescent="0.15">
      <c r="A6022" s="23" t="str">
        <f>HYPERLINK("https://www.spark-marketing.ru/Card/Person/19253", "УПРАВЛЕНИЕ МВД РОССИИ ПО ГОРОДУ СТАВРОПОЛЮ")</f>
        <v>УПРАВЛЕНИЕ МВД РОССИИ ПО ГОРОДУ СТАВРОПОЛЮ</v>
      </c>
      <c r="B6022" s="24" t="s">
        <v>6992</v>
      </c>
      <c r="C6022" s="25">
        <v>995358.25</v>
      </c>
      <c r="D6022" s="22" t="s">
        <v>9229</v>
      </c>
      <c r="E6022" s="22" t="s">
        <v>48</v>
      </c>
      <c r="F6022" s="23" t="str">
        <f>HYPERLINK("https://www.spark-marketing.ru/Card/Lot/72987493", "Оказание услуг по организации питания лиц, задержанных за административные правонарушения и содержащиеся в помещениях для задержанных в отделах полиции ОП №1, ОП №2 и ОП №3 Управления МВД России по городу Ставрополю")</f>
        <v>Оказание услуг по организации питания лиц, задержанных за административные правонарушения и содержащиеся в помещениях для задержанных в отделах полиции ОП №1, ОП №2 и ОП №3 Управления МВД России по городу Ставрополю</v>
      </c>
      <c r="G6022" s="22" t="s">
        <v>87</v>
      </c>
      <c r="H6022" s="22" t="s">
        <v>87</v>
      </c>
      <c r="I6022" s="26">
        <v>43700.077939814801</v>
      </c>
      <c r="J6022" s="23" t="str">
        <f>HYPERLINK("https://www.spark-marketing.ru/Card/Person/950178", "Левин Евгений Николаевич")</f>
        <v>Левин Евгений Николаевич</v>
      </c>
      <c r="K6022" s="24" t="s">
        <v>6994</v>
      </c>
      <c r="L6022" s="22" t="s">
        <v>10</v>
      </c>
      <c r="M6022" s="28" t="s">
        <v>51</v>
      </c>
      <c r="N6022" s="28" t="s">
        <v>51</v>
      </c>
    </row>
    <row r="6023" spans="1:14" x14ac:dyDescent="0.15">
      <c r="A6023" s="23" t="str">
        <f>HYPERLINK("https://www.spark-marketing.ru/Card/Person/10941", "УМВД РОССИИ ПО ОРЛОВСКОЙ ОБЛАСТИ")</f>
        <v>УМВД РОССИИ ПО ОРЛОВСКОЙ ОБЛАСТИ</v>
      </c>
      <c r="B6023" s="24" t="s">
        <v>2361</v>
      </c>
      <c r="C6023" s="25">
        <v>1995347</v>
      </c>
      <c r="D6023" s="22" t="s">
        <v>9230</v>
      </c>
      <c r="E6023" s="22" t="s">
        <v>48</v>
      </c>
      <c r="F6023" s="23" t="str">
        <f>HYPERLINK("https://www.spark-marketing.ru/Card/Lot/72987165", "Оказание услуг по обеспечению ежедневным трехразовым горячим питанием лиц, содержащихся в ИВС и КАЗ МО МВД России ""Мценский""")</f>
        <v>Оказание услуг по обеспечению ежедневным трехразовым горячим питанием лиц, содержащихся в ИВС и КАЗ МО МВД России "Мценский"</v>
      </c>
      <c r="G6023" s="22" t="s">
        <v>1066</v>
      </c>
      <c r="H6023" s="22" t="s">
        <v>1066</v>
      </c>
      <c r="I6023" s="26">
        <v>43699.659282407403</v>
      </c>
      <c r="J6023" s="28" t="s">
        <v>51</v>
      </c>
      <c r="K6023" s="28" t="s">
        <v>51</v>
      </c>
      <c r="L6023" s="28" t="s">
        <v>51</v>
      </c>
      <c r="M6023" s="28" t="s">
        <v>51</v>
      </c>
      <c r="N6023" s="28" t="s">
        <v>51</v>
      </c>
    </row>
    <row r="6024" spans="1:14" x14ac:dyDescent="0.15">
      <c r="A6024" s="23" t="str">
        <f>HYPERLINK("https://www.spark-marketing.ru/Card/Person/1004362", "МУНИЦИПАЛЬНАЯ БЮДЖЕТНАЯ СРЕДНЯЯ ОБЩЕОБРАЗОВАТЕЛЬНАЯ ШКОЛА № 24 ИМ. И.С.ТУРГЕНЕВА Г. ОРЛА")</f>
        <v>МУНИЦИПАЛЬНАЯ БЮДЖЕТНАЯ СРЕДНЯЯ ОБЩЕОБРАЗОВАТЕЛЬНАЯ ШКОЛА № 24 ИМ. И.С.ТУРГЕНЕВА Г. ОРЛА</v>
      </c>
      <c r="B6024" s="24" t="s">
        <v>9231</v>
      </c>
      <c r="C6024" s="25">
        <v>590940</v>
      </c>
      <c r="D6024" s="22" t="s">
        <v>9232</v>
      </c>
      <c r="E6024" s="22" t="s">
        <v>51</v>
      </c>
      <c r="F6024" s="23" t="str">
        <f>HYPERLINK("https://www.spark-marketing.ru/Card/Lot/72987420",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024" s="22" t="s">
        <v>1066</v>
      </c>
      <c r="H6024" s="22" t="s">
        <v>1066</v>
      </c>
      <c r="I6024" s="26">
        <v>43699.699502314797</v>
      </c>
      <c r="J6024" s="23" t="str">
        <f>HYPERLINK("https://www.spark-marketing.ru/Card/Person/385389", "ООО ""ОФСАЙД""")</f>
        <v>ООО "ОФСАЙД"</v>
      </c>
      <c r="K6024" s="24" t="s">
        <v>9233</v>
      </c>
      <c r="L6024" s="22" t="s">
        <v>10</v>
      </c>
      <c r="M6024" s="28" t="s">
        <v>51</v>
      </c>
      <c r="N6024" s="28" t="s">
        <v>51</v>
      </c>
    </row>
    <row r="6025" spans="1:14" x14ac:dyDescent="0.2">
      <c r="A6025" s="23" t="str">
        <f>HYPERLINK("https://www.spark-marketing.ru/Card/Person/22823", "АППАРАТ ГОСУДАРСТВЕННОГО СОБРАНИЯ (ИЛ ТУМЭН) РЕСПУБЛИКИ САХА (ЯКУТИЯ)")</f>
        <v>АППАРАТ ГОСУДАРСТВЕННОГО СОБРАНИЯ (ИЛ ТУМЭН) РЕСПУБЛИКИ САХА (ЯКУТИЯ)</v>
      </c>
      <c r="B6025" s="24" t="s">
        <v>239</v>
      </c>
      <c r="C6025" s="25">
        <v>1000000</v>
      </c>
      <c r="D6025" s="22" t="s">
        <v>9234</v>
      </c>
      <c r="E6025" s="22" t="s">
        <v>67</v>
      </c>
      <c r="F6025" s="23" t="str">
        <f>HYPERLINK("https://www.spark-marketing.ru/Card/Lot/73006816", "Оказание услуг по организации, обслуживанию и обеспечению питанием")</f>
        <v>Оказание услуг по организации, обслуживанию и обеспечению питанием</v>
      </c>
      <c r="G6025" s="22" t="s">
        <v>241</v>
      </c>
      <c r="H6025" s="22" t="s">
        <v>242</v>
      </c>
      <c r="I6025" s="26">
        <v>43700.663888888899</v>
      </c>
      <c r="J6025" s="23" t="str">
        <f>HYPERLINK("https://www.spark-marketing.ru/Card/Person/82710", "ГБУ РС (Я) ""СЭТО""")</f>
        <v>ГБУ РС (Я) "СЭТО"</v>
      </c>
      <c r="K6025" s="24" t="s">
        <v>9235</v>
      </c>
      <c r="L6025" s="28" t="s">
        <v>51</v>
      </c>
      <c r="M6025" s="25">
        <v>1000000</v>
      </c>
      <c r="N6025" s="27">
        <v>0</v>
      </c>
    </row>
    <row r="6026" spans="1:14" x14ac:dyDescent="0.2">
      <c r="A6026" s="23" t="str">
        <f>HYPERLINK("https://www.spark-marketing.ru/Card/Person/17311", "ГБУЗ КО НГКБ №5")</f>
        <v>ГБУЗ КО НГКБ №5</v>
      </c>
      <c r="B6026" s="24" t="s">
        <v>9236</v>
      </c>
      <c r="C6026" s="25">
        <v>14157360</v>
      </c>
      <c r="D6026" s="22" t="s">
        <v>9237</v>
      </c>
      <c r="E6026" s="22" t="s">
        <v>48</v>
      </c>
      <c r="F6026" s="23" t="str">
        <f>HYPERLINK("https://www.spark-marketing.ru/Card/Lot/73006415", "Оказание услуг по организации общественного питания")</f>
        <v>Оказание услуг по организации общественного питания</v>
      </c>
      <c r="G6026" s="22" t="s">
        <v>304</v>
      </c>
      <c r="H6026" s="22" t="s">
        <v>3190</v>
      </c>
      <c r="I6026" s="26">
        <v>43700.581898148099</v>
      </c>
      <c r="J6026" s="23" t="str">
        <f>HYPERLINK("https://www.spark-marketing.ru/Card/Person/1617128", "ООО ""ОМС-МРЕГИОН""")</f>
        <v>ООО "ОМС-МРЕГИОН"</v>
      </c>
      <c r="K6026" s="24" t="s">
        <v>9238</v>
      </c>
      <c r="L6026" s="28" t="s">
        <v>51</v>
      </c>
      <c r="M6026" s="25">
        <v>14157360</v>
      </c>
      <c r="N6026" s="27">
        <v>0</v>
      </c>
    </row>
    <row r="6027" spans="1:14" x14ac:dyDescent="0.15">
      <c r="A6027" s="23" t="str">
        <f>HYPERLINK("https://www.spark-marketing.ru/Card/Person/148975", "МБОУ - ЛИЦЕЙ №4 Г. ОРЛА")</f>
        <v>МБОУ - ЛИЦЕЙ №4 Г. ОРЛА</v>
      </c>
      <c r="B6027" s="24" t="s">
        <v>9239</v>
      </c>
      <c r="C6027" s="25">
        <v>736480</v>
      </c>
      <c r="D6027" s="22" t="s">
        <v>9240</v>
      </c>
      <c r="E6027" s="22" t="s">
        <v>51</v>
      </c>
      <c r="F6027" s="23" t="str">
        <f>HYPERLINK("https://www.spark-marketing.ru/Card/Lot/72987412",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027" s="22" t="s">
        <v>1066</v>
      </c>
      <c r="H6027" s="22" t="s">
        <v>2864</v>
      </c>
      <c r="I6027" s="26">
        <v>43699.685057870403</v>
      </c>
      <c r="J6027" s="23" t="str">
        <f>HYPERLINK("https://www.spark-marketing.ru/Card/Person/367901", "ООО ""ПРЕСТИЖ""")</f>
        <v>ООО "ПРЕСТИЖ"</v>
      </c>
      <c r="K6027" s="24" t="s">
        <v>9241</v>
      </c>
      <c r="L6027" s="22" t="s">
        <v>10</v>
      </c>
      <c r="M6027" s="28" t="s">
        <v>51</v>
      </c>
      <c r="N6027" s="28" t="s">
        <v>51</v>
      </c>
    </row>
    <row r="6028" spans="1:14" x14ac:dyDescent="0.15">
      <c r="A6028" s="23" t="str">
        <f>HYPERLINK("https://www.spark-marketing.ru/Card/Person/330005", "Нововоронежская АЭС - филиал АО ""Концерн Росэнергоатом""")</f>
        <v>Нововоронежская АЭС - филиал АО "Концерн Росэнергоатом"</v>
      </c>
      <c r="B6028" s="24" t="s">
        <v>908</v>
      </c>
      <c r="C6028" s="28" t="s">
        <v>51</v>
      </c>
      <c r="D6028" s="22" t="s">
        <v>9242</v>
      </c>
      <c r="E6028" s="22" t="s">
        <v>96</v>
      </c>
      <c r="F6028" s="23" t="str">
        <f>HYPERLINK("https://www.spark-marketing.ru/Card/Lot/72991725", "Оказание услуг по организации питания участников мероприятий, проживающих в санатории-профилактории «Энергетик»")</f>
        <v>Оказание услуг по организации питания участников мероприятий, проживающих в санатории-профилактории «Энергетик»</v>
      </c>
      <c r="G6028" s="22" t="s">
        <v>56</v>
      </c>
      <c r="H6028" s="22" t="s">
        <v>56</v>
      </c>
      <c r="I6028" s="26">
        <v>43700.385324074101</v>
      </c>
      <c r="J6028" s="28" t="s">
        <v>51</v>
      </c>
      <c r="K6028" s="28" t="s">
        <v>51</v>
      </c>
      <c r="L6028" s="28" t="s">
        <v>51</v>
      </c>
      <c r="M6028" s="28" t="s">
        <v>51</v>
      </c>
      <c r="N6028" s="28" t="s">
        <v>51</v>
      </c>
    </row>
    <row r="6029" spans="1:14" x14ac:dyDescent="0.15">
      <c r="A6029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6029" s="24" t="s">
        <v>3864</v>
      </c>
      <c r="C6029" s="25">
        <v>32593.37</v>
      </c>
      <c r="D6029" s="22" t="s">
        <v>9243</v>
      </c>
      <c r="E6029" s="22" t="s">
        <v>48</v>
      </c>
      <c r="F6029" s="23" t="str">
        <f>HYPERLINK("https://www.spark-marketing.ru/Card/Lot/72985276",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6029" s="22" t="s">
        <v>153</v>
      </c>
      <c r="H6029" s="22" t="s">
        <v>3866</v>
      </c>
      <c r="I6029" s="26">
        <v>43700.3917939815</v>
      </c>
      <c r="J6029" s="28" t="s">
        <v>51</v>
      </c>
      <c r="K6029" s="28" t="s">
        <v>51</v>
      </c>
      <c r="L6029" s="28" t="s">
        <v>51</v>
      </c>
      <c r="M6029" s="28" t="s">
        <v>51</v>
      </c>
      <c r="N6029" s="28" t="s">
        <v>51</v>
      </c>
    </row>
    <row r="6030" spans="1:14" x14ac:dyDescent="0.15">
      <c r="A6030" s="23" t="str">
        <f>HYPERLINK("https://www.spark-marketing.ru/Card/Person/104591", "МУНИЦИПАЛЬНАЯ БЮДЖЕТНАЯ СРЕДНЯЯ ОБЩЕОБРАЗОВАТЕЛЬНАЯ ШКОЛА №45")</f>
        <v>МУНИЦИПАЛЬНАЯ БЮДЖЕТНАЯ СРЕДНЯЯ ОБЩЕОБРАЗОВАТЕЛЬНАЯ ШКОЛА №45</v>
      </c>
      <c r="B6030" s="24" t="s">
        <v>9244</v>
      </c>
      <c r="C6030" s="25">
        <v>800538</v>
      </c>
      <c r="D6030" s="22" t="s">
        <v>9245</v>
      </c>
      <c r="E6030" s="22" t="s">
        <v>51</v>
      </c>
      <c r="F6030" s="23" t="str">
        <f>HYPERLINK("https://www.spark-marketing.ru/Card/Lot/72987163", "Услуги по обеспечению питанием, осуществляемые по договору")</f>
        <v>Услуги по обеспечению питанием, осуществляемые по договору</v>
      </c>
      <c r="G6030" s="22" t="s">
        <v>1066</v>
      </c>
      <c r="H6030" s="22" t="s">
        <v>2864</v>
      </c>
      <c r="I6030" s="26">
        <v>43699.410868055602</v>
      </c>
      <c r="J6030" s="23" t="str">
        <f>HYPERLINK("https://www.spark-marketing.ru/Card/Person/104389", "ООО ""ВЕСНА - ОРЕЛ""")</f>
        <v>ООО "ВЕСНА - ОРЕЛ"</v>
      </c>
      <c r="K6030" s="24" t="s">
        <v>9246</v>
      </c>
      <c r="L6030" s="22" t="s">
        <v>10</v>
      </c>
      <c r="M6030" s="28" t="s">
        <v>51</v>
      </c>
      <c r="N6030" s="28" t="s">
        <v>51</v>
      </c>
    </row>
    <row r="6031" spans="1:14" x14ac:dyDescent="0.15">
      <c r="A6031" s="23" t="str">
        <f>HYPERLINK("https://www.spark-marketing.ru/Card/Person/147188", "МЕЖМУНИЦИПАЛЬНЫЙ ОТДЕЛ МВД РОССИИ ""БЕЛОВСКИЙ""")</f>
        <v>МЕЖМУНИЦИПАЛЬНЫЙ ОТДЕЛ МВД РОССИИ "БЕЛОВСКИЙ"</v>
      </c>
      <c r="B6031" s="24" t="s">
        <v>9247</v>
      </c>
      <c r="C6031" s="25">
        <v>1050000</v>
      </c>
      <c r="D6031" s="22" t="s">
        <v>9248</v>
      </c>
      <c r="E6031" s="22" t="s">
        <v>48</v>
      </c>
      <c r="F6031" s="23" t="str">
        <f>HYPERLINK("https://www.spark-marketing.ru/Card/Lot/72982619", "Питание ИВС и КАЗ")</f>
        <v>Питание ИВС и КАЗ</v>
      </c>
      <c r="G6031" s="22" t="s">
        <v>304</v>
      </c>
      <c r="H6031" s="22" t="s">
        <v>9249</v>
      </c>
      <c r="I6031" s="26">
        <v>43699.725682870398</v>
      </c>
      <c r="J6031" s="23" t="str">
        <f>HYPERLINK("https://www.spark-marketing.ru/Card/Person/153415", "Пригаров Денис Владимирович")</f>
        <v>Пригаров Денис Владимирович</v>
      </c>
      <c r="K6031" s="24" t="s">
        <v>2754</v>
      </c>
      <c r="L6031" s="22" t="s">
        <v>10</v>
      </c>
      <c r="M6031" s="28" t="s">
        <v>51</v>
      </c>
      <c r="N6031" s="28" t="s">
        <v>51</v>
      </c>
    </row>
    <row r="6032" spans="1:14" x14ac:dyDescent="0.15">
      <c r="A6032" s="23" t="str">
        <f>HYPERLINK("https://www.spark-marketing.ru/Card/Person/244418", "ОТДЕЛ МВД РОССИИ ПО ПЕТРОВСКОМУ РАЙОНУ САРАТОВСКОЙ ОБЛАСТИ")</f>
        <v>ОТДЕЛ МВД РОССИИ ПО ПЕТРОВСКОМУ РАЙОНУ САРАТОВСКОЙ ОБЛАСТИ</v>
      </c>
      <c r="B6032" s="24" t="s">
        <v>9250</v>
      </c>
      <c r="C6032" s="25">
        <v>200000</v>
      </c>
      <c r="D6032" s="22" t="s">
        <v>9251</v>
      </c>
      <c r="E6032" s="22" t="s">
        <v>48</v>
      </c>
      <c r="F6032" s="23" t="str">
        <f>HYPERLINK("https://www.spark-marketing.ru/Card/Lot/72984389", "организация горячего питания")</f>
        <v>организация горячего питания</v>
      </c>
      <c r="G6032" s="22" t="s">
        <v>351</v>
      </c>
      <c r="H6032" s="22" t="s">
        <v>9252</v>
      </c>
      <c r="I6032" s="26">
        <v>43699.624988425901</v>
      </c>
      <c r="J6032" s="23" t="str">
        <f>HYPERLINK("https://www.spark-marketing.ru/Card/Person/6278214", "ООО ""СЕВЕР""")</f>
        <v>ООО "СЕВЕР"</v>
      </c>
      <c r="K6032" s="24" t="s">
        <v>9253</v>
      </c>
      <c r="L6032" s="22" t="s">
        <v>10</v>
      </c>
      <c r="M6032" s="28" t="s">
        <v>51</v>
      </c>
      <c r="N6032" s="28" t="s">
        <v>51</v>
      </c>
    </row>
    <row r="6033" spans="1:14" x14ac:dyDescent="0.15">
      <c r="A6033" s="23" t="str">
        <f>HYPERLINK("https://www.spark-marketing.ru/Card/Person/1562", "ГБУЗ ""МНПЦ БОРЬБЫ С ТУБЕРКУЛЕЗОМ ДЗМ""")</f>
        <v>ГБУЗ "МНПЦ БОРЬБЫ С ТУБЕРКУЛЕЗОМ ДЗМ"</v>
      </c>
      <c r="B6033" s="24" t="s">
        <v>9254</v>
      </c>
      <c r="C6033" s="25">
        <v>4494794.37</v>
      </c>
      <c r="D6033" s="22" t="s">
        <v>9255</v>
      </c>
      <c r="E6033" s="22" t="s">
        <v>355</v>
      </c>
      <c r="F6033" s="23" t="str">
        <f>HYPERLINK("https://www.spark-marketing.ru/Card/Lot/72985696", "Оказание услуг по ремонту источников бесперебойного питания для компьютерных томографов в филиалах ГБУЗ «МНПЦ борьбы с туберкулезом ДЗМ»")</f>
        <v>Оказание услуг по ремонту источников бесперебойного питания для компьютерных томографов в филиалах ГБУЗ «МНПЦ борьбы с туберкулезом ДЗМ»</v>
      </c>
      <c r="G6033" s="22" t="s">
        <v>56</v>
      </c>
      <c r="H6033" s="22" t="s">
        <v>56</v>
      </c>
      <c r="I6033" s="26">
        <v>43700.346678240698</v>
      </c>
      <c r="J6033" s="28" t="s">
        <v>51</v>
      </c>
      <c r="K6033" s="28" t="s">
        <v>51</v>
      </c>
      <c r="L6033" s="28" t="s">
        <v>51</v>
      </c>
      <c r="M6033" s="28" t="s">
        <v>51</v>
      </c>
      <c r="N6033" s="28" t="s">
        <v>51</v>
      </c>
    </row>
    <row r="6034" spans="1:14" ht="12.75" hidden="1" outlineLevel="1" x14ac:dyDescent="0.2">
      <c r="A6034" s="23" t="str">
        <f>HYPERLINK("https://www.spark-marketing.ru/Card/Person/1562", "ГБУЗ ""МНПЦ БОРЬБЫ С ТУБЕРКУЛЕЗОМ ДЗМ""")</f>
        <v>ГБУЗ "МНПЦ БОРЬБЫ С ТУБЕРКУЛЕЗОМ ДЗМ"</v>
      </c>
      <c r="B6034" s="24" t="s">
        <v>9254</v>
      </c>
      <c r="C6034" s="25">
        <v>4494794.37</v>
      </c>
      <c r="D6034" s="22" t="s">
        <v>9255</v>
      </c>
      <c r="E6034" s="22" t="s">
        <v>355</v>
      </c>
      <c r="F6034" s="23" t="str">
        <f>HYPERLINK("https://www.spark-marketing.ru/Card/Lot/72985696", "Оказание услуг по ремонту источников бесперебойного питания для компьютерных томографов в филиалах ГБУЗ «МНПЦ борьбы с туберкулезом ДЗМ»")</f>
        <v>Оказание услуг по ремонту источников бесперебойного питания для компьютерных томографов в филиалах ГБУЗ «МНПЦ борьбы с туберкулезом ДЗМ»</v>
      </c>
      <c r="G6034" s="22" t="s">
        <v>56</v>
      </c>
      <c r="H6034" s="22" t="s">
        <v>56</v>
      </c>
      <c r="I6034" s="26">
        <v>43700.346678240698</v>
      </c>
      <c r="J6034" s="23" t="str">
        <f>HYPERLINK("https://www.spark-marketing.ru/Card/Person/6226170", "ООО ""РЕАМЕД""")</f>
        <v>ООО "РЕАМЕД"</v>
      </c>
      <c r="K6034" s="24" t="s">
        <v>9256</v>
      </c>
      <c r="L6034" s="22" t="s">
        <v>10</v>
      </c>
      <c r="M6034" s="25">
        <v>2820208.24</v>
      </c>
      <c r="N6034" s="27">
        <v>0.37256123242852596</v>
      </c>
    </row>
    <row r="6035" spans="1:14" hidden="1" outlineLevel="1" x14ac:dyDescent="0.2">
      <c r="A6035" s="23" t="str">
        <f>HYPERLINK("https://www.spark-marketing.ru/Card/Person/1562", "ГБУЗ ""МНПЦ БОРЬБЫ С ТУБЕРКУЛЕЗОМ ДЗМ""")</f>
        <v>ГБУЗ "МНПЦ БОРЬБЫ С ТУБЕРКУЛЕЗОМ ДЗМ"</v>
      </c>
      <c r="B6035" s="24" t="s">
        <v>9254</v>
      </c>
      <c r="C6035" s="25">
        <v>4494794.37</v>
      </c>
      <c r="D6035" s="22" t="s">
        <v>9255</v>
      </c>
      <c r="E6035" s="22" t="s">
        <v>355</v>
      </c>
      <c r="F6035" s="23" t="str">
        <f>HYPERLINK("https://www.spark-marketing.ru/Card/Lot/72985696", "Оказание услуг по ремонту источников бесперебойного питания для компьютерных томографов в филиалах ГБУЗ «МНПЦ борьбы с туберкулезом ДЗМ»")</f>
        <v>Оказание услуг по ремонту источников бесперебойного питания для компьютерных томографов в филиалах ГБУЗ «МНПЦ борьбы с туберкулезом ДЗМ»</v>
      </c>
      <c r="G6035" s="22" t="s">
        <v>56</v>
      </c>
      <c r="H6035" s="22" t="s">
        <v>56</v>
      </c>
      <c r="I6035" s="26">
        <v>43700.346678240698</v>
      </c>
      <c r="J6035" s="23" t="str">
        <f>HYPERLINK("https://www.spark-marketing.ru/Card/Person/1640127", "ООО ""МТО""")</f>
        <v>ООО "МТО"</v>
      </c>
      <c r="K6035" s="24" t="s">
        <v>7161</v>
      </c>
      <c r="L6035" s="28" t="s">
        <v>51</v>
      </c>
      <c r="M6035" s="25">
        <v>2842682.21</v>
      </c>
      <c r="N6035" s="27">
        <v>0.36756123284011322</v>
      </c>
    </row>
    <row r="6036" spans="1:14" x14ac:dyDescent="0.15">
      <c r="A6036" s="23" t="str">
        <f>HYPERLINK("https://www.spark-marketing.ru/Card/Person/1073234", "ОТДЕЛЕНИЕ МВД РОССИИ ПО ОНГУДАЙСКОМУ РАЙОНУ")</f>
        <v>ОТДЕЛЕНИЕ МВД РОССИИ ПО ОНГУДАЙСКОМУ РАЙОНУ</v>
      </c>
      <c r="B6036" s="24" t="s">
        <v>5814</v>
      </c>
      <c r="C6036" s="25">
        <v>800000</v>
      </c>
      <c r="D6036" s="22" t="s">
        <v>9257</v>
      </c>
      <c r="E6036" s="22" t="s">
        <v>48</v>
      </c>
      <c r="F6036" s="23" t="str">
        <f>HYPERLINK("https://www.spark-marketing.ru/Card/Lot/72982726", "Оказание услуг по организации трехразового горячего питания лиц, содержащихся в ИВС и камере административного задержания Отдела МВД России по Онгудайскому району")</f>
        <v>Оказание услуг по организации трехразового горячего питания лиц, содержащихся в ИВС и камере административного задержания Отдела МВД России по Онгудайскому району</v>
      </c>
      <c r="G6036" s="22" t="s">
        <v>1141</v>
      </c>
      <c r="H6036" s="22" t="s">
        <v>5816</v>
      </c>
      <c r="I6036" s="26">
        <v>43700.059432870403</v>
      </c>
      <c r="J6036" s="28" t="s">
        <v>51</v>
      </c>
      <c r="K6036" s="28" t="s">
        <v>51</v>
      </c>
      <c r="L6036" s="28" t="s">
        <v>51</v>
      </c>
      <c r="M6036" s="28" t="s">
        <v>51</v>
      </c>
      <c r="N6036" s="28" t="s">
        <v>51</v>
      </c>
    </row>
    <row r="6037" spans="1:14" ht="12.75" x14ac:dyDescent="0.2">
      <c r="A6037" s="23" t="str">
        <f>HYPERLINK("https://www.spark-marketing.ru/Card/Person/4343935", "АДМИНИСТРАЦИЯ ЧАНОВСКОГО РАЙОНА НОВОСИБИРСКОЙ ОБЛАСТИ")</f>
        <v>АДМИНИСТРАЦИЯ ЧАНОВСКОГО РАЙОНА НОВОСИБИРСКОЙ ОБЛАСТИ</v>
      </c>
      <c r="B6037" s="24" t="s">
        <v>9258</v>
      </c>
      <c r="C6037" s="25">
        <v>178633.34</v>
      </c>
      <c r="D6037" s="22" t="s">
        <v>9259</v>
      </c>
      <c r="E6037" s="22" t="s">
        <v>48</v>
      </c>
      <c r="F6037" s="23" t="str">
        <f>HYPERLINK("https://www.spark-marketing.ru/Card/Lot/72982926", "на оказание услуг по обеспечению питанием в ресторанах, кафе и прочих предприятиях без сопровождения развлекательных программ")</f>
        <v>на оказание услуг по обеспечению питанием в ресторанах, кафе и прочих предприятиях без сопровождения развлекательных программ</v>
      </c>
      <c r="G6037" s="22" t="s">
        <v>195</v>
      </c>
      <c r="H6037" s="22" t="s">
        <v>6329</v>
      </c>
      <c r="I6037" s="26">
        <v>43700.347071759301</v>
      </c>
      <c r="J6037" s="23" t="str">
        <f>HYPERLINK("https://www.spark-marketing.ru/Card/Person/718725", "ООО ""К.Х. РАССВЕТ""")</f>
        <v>ООО "К.Х. РАССВЕТ"</v>
      </c>
      <c r="K6037" s="24" t="s">
        <v>9260</v>
      </c>
      <c r="L6037" s="22" t="s">
        <v>10</v>
      </c>
      <c r="M6037" s="25">
        <v>178633.34</v>
      </c>
      <c r="N6037" s="27">
        <v>0</v>
      </c>
    </row>
    <row r="6038" spans="1:14" x14ac:dyDescent="0.2">
      <c r="A6038" s="23" t="str">
        <f>HYPERLINK("https://www.spark-marketing.ru/Card/Person/1042060", "МБОУ СОШ С.АНДРИАНОВИЧИ")</f>
        <v>МБОУ СОШ С.АНДРИАНОВИЧИ</v>
      </c>
      <c r="B6038" s="24" t="s">
        <v>9261</v>
      </c>
      <c r="C6038" s="25">
        <v>511956.9</v>
      </c>
      <c r="D6038" s="22" t="s">
        <v>9262</v>
      </c>
      <c r="E6038" s="22" t="s">
        <v>48</v>
      </c>
      <c r="F6038" s="23" t="str">
        <f>HYPERLINK("https://www.spark-marketing.ru/Card/Lot/73006722", "Услуги по организации и обеспечению горячим питанием учащихся")</f>
        <v>Услуги по организации и обеспечению горячим питанием учащихся</v>
      </c>
      <c r="G6038" s="22" t="s">
        <v>174</v>
      </c>
      <c r="H6038" s="22" t="s">
        <v>9263</v>
      </c>
      <c r="I6038" s="26">
        <v>43700.328993055598</v>
      </c>
      <c r="J6038" s="23" t="str">
        <f>HYPERLINK("https://www.spark-marketing.ru/Card/Person/1480679", "ООО ""КШП""")</f>
        <v>ООО "КШП"</v>
      </c>
      <c r="K6038" s="24" t="s">
        <v>5252</v>
      </c>
      <c r="L6038" s="28" t="s">
        <v>51</v>
      </c>
      <c r="M6038" s="25">
        <v>511956</v>
      </c>
      <c r="N6038" s="27">
        <v>1.7579604845642279E-6</v>
      </c>
    </row>
    <row r="6039" spans="1:14" x14ac:dyDescent="0.15">
      <c r="A6039" s="23" t="str">
        <f t="shared" ref="A6039:A6045" si="123">HYPERLINK("https://www.spark-marketing.ru/Card/Person/28833", "ФКУ ИК-41 ГУФСИН РОССИИ ПО ПРИМОРСКОМУ КРАЮ")</f>
        <v>ФКУ ИК-41 ГУФСИН РОССИИ ПО ПРИМОРСКОМУ КРАЮ</v>
      </c>
      <c r="B6039" s="24" t="s">
        <v>1050</v>
      </c>
      <c r="C6039" s="25">
        <v>95333.33</v>
      </c>
      <c r="D6039" s="22" t="s">
        <v>9264</v>
      </c>
      <c r="E6039" s="22" t="s">
        <v>468</v>
      </c>
      <c r="F6039" s="23" t="str">
        <f t="shared" ref="F6039:F6045" si="124">HYPERLINK("https://www.spark-marketing.ru/Card/Lot/72981775", "оказание услуг по грузоперевозке продуктов питания")</f>
        <v>оказание услуг по грузоперевозке продуктов питания</v>
      </c>
      <c r="G6039" s="22" t="s">
        <v>543</v>
      </c>
      <c r="H6039" s="22" t="s">
        <v>1052</v>
      </c>
      <c r="I6039" s="26">
        <v>43699.481574074103</v>
      </c>
      <c r="J6039" s="28" t="s">
        <v>51</v>
      </c>
      <c r="K6039" s="28" t="s">
        <v>51</v>
      </c>
      <c r="L6039" s="28" t="s">
        <v>51</v>
      </c>
      <c r="M6039" s="28" t="s">
        <v>51</v>
      </c>
      <c r="N6039" s="28" t="s">
        <v>51</v>
      </c>
    </row>
    <row r="6040" spans="1:14" ht="12.75" hidden="1" outlineLevel="1" x14ac:dyDescent="0.2">
      <c r="A6040" s="23" t="str">
        <f t="shared" si="123"/>
        <v>ФКУ ИК-41 ГУФСИН РОССИИ ПО ПРИМОРСКОМУ КРАЮ</v>
      </c>
      <c r="B6040" s="24" t="s">
        <v>1050</v>
      </c>
      <c r="C6040" s="25">
        <v>95333.33</v>
      </c>
      <c r="D6040" s="22" t="s">
        <v>9264</v>
      </c>
      <c r="E6040" s="22" t="s">
        <v>468</v>
      </c>
      <c r="F6040" s="23" t="str">
        <f t="shared" si="124"/>
        <v>оказание услуг по грузоперевозке продуктов питания</v>
      </c>
      <c r="G6040" s="22" t="s">
        <v>543</v>
      </c>
      <c r="H6040" s="22" t="s">
        <v>1052</v>
      </c>
      <c r="I6040" s="26">
        <v>43699.481574074103</v>
      </c>
      <c r="J6040" s="23" t="str">
        <f>HYPERLINK("https://www.spark-marketing.ru/Card/Person/4920423", "ООО ""ВСЕ ДОРОГИ""")</f>
        <v>ООО "ВСЕ ДОРОГИ"</v>
      </c>
      <c r="K6040" s="24" t="s">
        <v>9265</v>
      </c>
      <c r="L6040" s="22" t="s">
        <v>10</v>
      </c>
      <c r="M6040" s="25">
        <v>79000</v>
      </c>
      <c r="N6040" s="27">
        <v>0.17132864235414832</v>
      </c>
    </row>
    <row r="6041" spans="1:14" hidden="1" outlineLevel="1" x14ac:dyDescent="0.2">
      <c r="A6041" s="23" t="str">
        <f t="shared" si="123"/>
        <v>ФКУ ИК-41 ГУФСИН РОССИИ ПО ПРИМОРСКОМУ КРАЮ</v>
      </c>
      <c r="B6041" s="24" t="s">
        <v>1050</v>
      </c>
      <c r="C6041" s="25">
        <v>95333.33</v>
      </c>
      <c r="D6041" s="22" t="s">
        <v>9264</v>
      </c>
      <c r="E6041" s="22" t="s">
        <v>468</v>
      </c>
      <c r="F6041" s="23" t="str">
        <f t="shared" si="124"/>
        <v>оказание услуг по грузоперевозке продуктов питания</v>
      </c>
      <c r="G6041" s="22" t="s">
        <v>543</v>
      </c>
      <c r="H6041" s="22" t="s">
        <v>1052</v>
      </c>
      <c r="I6041" s="26">
        <v>43699.481574074103</v>
      </c>
      <c r="J6041" s="23" t="str">
        <f>HYPERLINK("https://www.spark-marketing.ru/Card/Person/6280241", "ООО ""ВЭК""")</f>
        <v>ООО "ВЭК"</v>
      </c>
      <c r="K6041" s="24" t="s">
        <v>9266</v>
      </c>
      <c r="L6041" s="28" t="s">
        <v>51</v>
      </c>
      <c r="M6041" s="25">
        <v>83000</v>
      </c>
      <c r="N6041" s="27">
        <v>0.12937059892904193</v>
      </c>
    </row>
    <row r="6042" spans="1:14" hidden="1" outlineLevel="1" x14ac:dyDescent="0.2">
      <c r="A6042" s="23" t="str">
        <f t="shared" si="123"/>
        <v>ФКУ ИК-41 ГУФСИН РОССИИ ПО ПРИМОРСКОМУ КРАЮ</v>
      </c>
      <c r="B6042" s="24" t="s">
        <v>1050</v>
      </c>
      <c r="C6042" s="25">
        <v>95333.33</v>
      </c>
      <c r="D6042" s="22" t="s">
        <v>9264</v>
      </c>
      <c r="E6042" s="22" t="s">
        <v>468</v>
      </c>
      <c r="F6042" s="23" t="str">
        <f t="shared" si="124"/>
        <v>оказание услуг по грузоперевозке продуктов питания</v>
      </c>
      <c r="G6042" s="22" t="s">
        <v>543</v>
      </c>
      <c r="H6042" s="22" t="s">
        <v>1052</v>
      </c>
      <c r="I6042" s="26">
        <v>43699.481574074103</v>
      </c>
      <c r="J6042" s="23" t="str">
        <f>HYPERLINK("https://www.spark-marketing.ru/Card/Person/6219203", "ООО ""ТЛ""")</f>
        <v>ООО "ТЛ"</v>
      </c>
      <c r="K6042" s="24" t="s">
        <v>9267</v>
      </c>
      <c r="L6042" s="28" t="s">
        <v>51</v>
      </c>
      <c r="M6042" s="25">
        <v>89000</v>
      </c>
      <c r="N6042" s="27">
        <v>6.6433533791382296E-2</v>
      </c>
    </row>
    <row r="6043" spans="1:14" hidden="1" outlineLevel="1" x14ac:dyDescent="0.2">
      <c r="A6043" s="23" t="str">
        <f t="shared" si="123"/>
        <v>ФКУ ИК-41 ГУФСИН РОССИИ ПО ПРИМОРСКОМУ КРАЮ</v>
      </c>
      <c r="B6043" s="24" t="s">
        <v>1050</v>
      </c>
      <c r="C6043" s="25">
        <v>95333.33</v>
      </c>
      <c r="D6043" s="22" t="s">
        <v>9264</v>
      </c>
      <c r="E6043" s="22" t="s">
        <v>468</v>
      </c>
      <c r="F6043" s="23" t="str">
        <f t="shared" si="124"/>
        <v>оказание услуг по грузоперевозке продуктов питания</v>
      </c>
      <c r="G6043" s="22" t="s">
        <v>543</v>
      </c>
      <c r="H6043" s="22" t="s">
        <v>1052</v>
      </c>
      <c r="I6043" s="26">
        <v>43699.481574074103</v>
      </c>
      <c r="J6043" s="23" t="str">
        <f>HYPERLINK("https://www.spark-marketing.ru/Card/Person/6238269", "ООО ""ЕВРАЗИЯ""")</f>
        <v>ООО "ЕВРАЗИЯ"</v>
      </c>
      <c r="K6043" s="24" t="s">
        <v>2155</v>
      </c>
      <c r="L6043" s="28" t="s">
        <v>51</v>
      </c>
      <c r="M6043" s="25">
        <v>92000</v>
      </c>
      <c r="N6043" s="27">
        <v>3.4965001222552493E-2</v>
      </c>
    </row>
    <row r="6044" spans="1:14" hidden="1" outlineLevel="1" x14ac:dyDescent="0.2">
      <c r="A6044" s="23" t="str">
        <f t="shared" si="123"/>
        <v>ФКУ ИК-41 ГУФСИН РОССИИ ПО ПРИМОРСКОМУ КРАЮ</v>
      </c>
      <c r="B6044" s="24" t="s">
        <v>1050</v>
      </c>
      <c r="C6044" s="25">
        <v>95333.33</v>
      </c>
      <c r="D6044" s="22" t="s">
        <v>9264</v>
      </c>
      <c r="E6044" s="22" t="s">
        <v>468</v>
      </c>
      <c r="F6044" s="23" t="str">
        <f t="shared" si="124"/>
        <v>оказание услуг по грузоперевозке продуктов питания</v>
      </c>
      <c r="G6044" s="22" t="s">
        <v>543</v>
      </c>
      <c r="H6044" s="22" t="s">
        <v>1052</v>
      </c>
      <c r="I6044" s="26">
        <v>43699.481574074103</v>
      </c>
      <c r="J6044" s="23" t="str">
        <f>HYPERLINK("https://www.spark-marketing.ru/Card/Person/6675591", "ООО ""ФТК ГРУПП""")</f>
        <v>ООО "ФТК ГРУПП"</v>
      </c>
      <c r="K6044" s="24" t="s">
        <v>5062</v>
      </c>
      <c r="L6044" s="28" t="s">
        <v>51</v>
      </c>
      <c r="M6044" s="25">
        <v>94900</v>
      </c>
      <c r="N6044" s="27">
        <v>4.5454197393503407E-3</v>
      </c>
    </row>
    <row r="6045" spans="1:14" hidden="1" outlineLevel="1" x14ac:dyDescent="0.2">
      <c r="A6045" s="23" t="str">
        <f t="shared" si="123"/>
        <v>ФКУ ИК-41 ГУФСИН РОССИИ ПО ПРИМОРСКОМУ КРАЮ</v>
      </c>
      <c r="B6045" s="24" t="s">
        <v>1050</v>
      </c>
      <c r="C6045" s="25">
        <v>95333.33</v>
      </c>
      <c r="D6045" s="22" t="s">
        <v>9264</v>
      </c>
      <c r="E6045" s="22" t="s">
        <v>468</v>
      </c>
      <c r="F6045" s="23" t="str">
        <f t="shared" si="124"/>
        <v>оказание услуг по грузоперевозке продуктов питания</v>
      </c>
      <c r="G6045" s="22" t="s">
        <v>543</v>
      </c>
      <c r="H6045" s="22" t="s">
        <v>1052</v>
      </c>
      <c r="I6045" s="26">
        <v>43699.481574074103</v>
      </c>
      <c r="J6045" s="23" t="str">
        <f>HYPERLINK("https://www.spark-marketing.ru/Card/Person/4469499", "Дерябин Александр Анатольевич")</f>
        <v>Дерябин Александр Анатольевич</v>
      </c>
      <c r="K6045" s="24" t="s">
        <v>2157</v>
      </c>
      <c r="L6045" s="28" t="s">
        <v>51</v>
      </c>
      <c r="M6045" s="25">
        <v>95000</v>
      </c>
      <c r="N6045" s="27">
        <v>3.4964686537226801E-3</v>
      </c>
    </row>
    <row r="6046" spans="1:14" x14ac:dyDescent="0.2">
      <c r="A6046" s="23" t="str">
        <f>HYPERLINK("https://www.spark-marketing.ru/Card/Person/657406", "АУ ""ЮГРАМЕГАСПОРТ""")</f>
        <v>АУ "ЮГРАМЕГАСПОРТ"</v>
      </c>
      <c r="B6046" s="24" t="s">
        <v>4225</v>
      </c>
      <c r="C6046" s="25">
        <v>299500</v>
      </c>
      <c r="D6046" s="22" t="s">
        <v>9268</v>
      </c>
      <c r="E6046" s="22" t="s">
        <v>580</v>
      </c>
      <c r="F6046" s="23" t="str">
        <f>HYPERLINK("https://www.spark-marketing.ru/Card/Lot/72994073", "Оказание услуг по организации и обеспечению питанием участников Кубка мира FIS по лыжероллерам в 2019 году в городе Ханты-Мансийске во время проведения соревнования")</f>
        <v>Оказание услуг по организации и обеспечению питанием участников Кубка мира FIS по лыжероллерам в 2019 году в городе Ханты-Мансийске во время проведения соревнования</v>
      </c>
      <c r="G6046" s="22" t="s">
        <v>97</v>
      </c>
      <c r="H6046" s="22" t="s">
        <v>97</v>
      </c>
      <c r="I6046" s="26">
        <v>43700</v>
      </c>
      <c r="J6046" s="28" t="s">
        <v>51</v>
      </c>
      <c r="K6046" s="28" t="s">
        <v>51</v>
      </c>
      <c r="L6046" s="28" t="s">
        <v>51</v>
      </c>
      <c r="M6046" s="25">
        <v>299500</v>
      </c>
      <c r="N6046" s="27">
        <v>0</v>
      </c>
    </row>
    <row r="6047" spans="1:14" x14ac:dyDescent="0.15">
      <c r="A6047" s="23" t="str">
        <f>HYPERLINK("https://www.spark-marketing.ru/Card/Person/4369400", "ООО АВИАПРЕДПРИЯТИЕ ""ГАЗПРОМ АВИА""")</f>
        <v>ООО АВИАПРЕДПРИЯТИЕ "ГАЗПРОМ АВИА"</v>
      </c>
      <c r="B6047" s="24" t="s">
        <v>1724</v>
      </c>
      <c r="C6047" s="25">
        <v>82639</v>
      </c>
      <c r="D6047" s="22" t="s">
        <v>9269</v>
      </c>
      <c r="E6047" s="22" t="s">
        <v>1726</v>
      </c>
      <c r="F6047" s="23" t="str">
        <f>HYPERLINK("https://www.spark-marketing.ru/Card/Lot/72991651", "оплата по счету №84 за услуги по обеспечению бортовым питанием в а/п г. Стрежевой.")</f>
        <v>оплата по счету №84 за услуги по обеспечению бортовым питанием в а/п г. Стрежевой.</v>
      </c>
      <c r="G6047" s="22" t="s">
        <v>56</v>
      </c>
      <c r="H6047" s="22" t="s">
        <v>56</v>
      </c>
      <c r="I6047" s="26">
        <v>43700</v>
      </c>
      <c r="J6047" s="28" t="s">
        <v>51</v>
      </c>
      <c r="K6047" s="28" t="s">
        <v>51</v>
      </c>
      <c r="L6047" s="28" t="s">
        <v>51</v>
      </c>
      <c r="M6047" s="28" t="s">
        <v>51</v>
      </c>
      <c r="N6047" s="28" t="s">
        <v>51</v>
      </c>
    </row>
    <row r="6048" spans="1:14" x14ac:dyDescent="0.2">
      <c r="A6048" s="23" t="str">
        <f>HYPERLINK("https://www.spark-marketing.ru/Card/Person/1025151", "МОУ СШ № 17")</f>
        <v>МОУ СШ № 17</v>
      </c>
      <c r="B6048" s="24" t="s">
        <v>9270</v>
      </c>
      <c r="C6048" s="25">
        <v>245751.5</v>
      </c>
      <c r="D6048" s="22" t="s">
        <v>9271</v>
      </c>
      <c r="E6048" s="22" t="s">
        <v>362</v>
      </c>
      <c r="F6048" s="23" t="str">
        <f>HYPERLINK("https://www.spark-marketing.ru/Card/Lot/72991305", "Оказание услуг по организации питания учащихся первых классов")</f>
        <v>Оказание услуг по организации питания учащихся первых классов</v>
      </c>
      <c r="G6048" s="22" t="s">
        <v>158</v>
      </c>
      <c r="H6048" s="22" t="s">
        <v>158</v>
      </c>
      <c r="I6048" s="26">
        <v>43700</v>
      </c>
      <c r="J6048" s="28" t="s">
        <v>51</v>
      </c>
      <c r="K6048" s="28" t="s">
        <v>51</v>
      </c>
      <c r="L6048" s="28" t="s">
        <v>51</v>
      </c>
      <c r="M6048" s="25">
        <v>245751.5</v>
      </c>
      <c r="N6048" s="27">
        <v>0</v>
      </c>
    </row>
    <row r="6049" spans="1:14" x14ac:dyDescent="0.15">
      <c r="A6049" s="23" t="str">
        <f>HYPERLINK("https://www.spark-marketing.ru/Card/Person/4369400", "ООО АВИАПРЕДПРИЯТИЕ ""ГАЗПРОМ АВИА""")</f>
        <v>ООО АВИАПРЕДПРИЯТИЕ "ГАЗПРОМ АВИА"</v>
      </c>
      <c r="B6049" s="24" t="s">
        <v>1724</v>
      </c>
      <c r="C6049" s="25">
        <v>2731724.09</v>
      </c>
      <c r="D6049" s="22" t="s">
        <v>9272</v>
      </c>
      <c r="E6049" s="22" t="s">
        <v>362</v>
      </c>
      <c r="F6049" s="23" t="str">
        <f>HYPERLINK("https://www.spark-marketing.ru/Card/Lot/73001249", "Оказание услуг по обеспечению пассажиров и экипажей воздушных судов бортовым питанием в а/п г. Белоярский")</f>
        <v>Оказание услуг по обеспечению пассажиров и экипажей воздушных судов бортовым питанием в а/п г. Белоярский</v>
      </c>
      <c r="G6049" s="22" t="s">
        <v>56</v>
      </c>
      <c r="H6049" s="22" t="s">
        <v>56</v>
      </c>
      <c r="I6049" s="26">
        <v>43700</v>
      </c>
      <c r="J6049" s="28" t="s">
        <v>51</v>
      </c>
      <c r="K6049" s="28" t="s">
        <v>51</v>
      </c>
      <c r="L6049" s="28" t="s">
        <v>51</v>
      </c>
      <c r="M6049" s="28" t="s">
        <v>51</v>
      </c>
      <c r="N6049" s="28" t="s">
        <v>51</v>
      </c>
    </row>
    <row r="6050" spans="1:14" x14ac:dyDescent="0.15">
      <c r="A6050" s="23" t="str">
        <f>HYPERLINK("https://www.spark-marketing.ru/Card/Person/71160", "ГАУК ""КИНОДОСУГОВОЕ ОБЪЕДИНЕНИЕ""")</f>
        <v>ГАУК "КИНОДОСУГОВОЕ ОБЪЕДИНЕНИЕ"</v>
      </c>
      <c r="B6050" s="24" t="s">
        <v>9273</v>
      </c>
      <c r="C6050" s="25">
        <v>1020000</v>
      </c>
      <c r="D6050" s="22" t="s">
        <v>9274</v>
      </c>
      <c r="E6050" s="22" t="s">
        <v>9275</v>
      </c>
      <c r="F6050" s="23" t="str">
        <f>HYPERLINK("https://www.spark-marketing.ru/Card/Lot/72983590", "оказание услуг по организации питания с 24.08.2019г. по 29.08.2019г. включительно (ужин шведский стол) членов жюри, участников и гостей в рамках IX Сахалинского международного кинофестиваля «Край света» в 2019 г.")</f>
        <v>оказание услуг по организации питания с 24.08.2019г. по 29.08.2019г. включительно (ужин шведский стол) членов жюри, участников и гостей в рамках IX Сахалинского международного кинофестиваля «Край света» в 2019 г.</v>
      </c>
      <c r="G6050" s="22" t="s">
        <v>260</v>
      </c>
      <c r="H6050" s="22" t="s">
        <v>260</v>
      </c>
      <c r="I6050" s="26">
        <v>43700</v>
      </c>
      <c r="J6050" s="28" t="s">
        <v>51</v>
      </c>
      <c r="K6050" s="28" t="s">
        <v>51</v>
      </c>
      <c r="L6050" s="28" t="s">
        <v>51</v>
      </c>
      <c r="M6050" s="28" t="s">
        <v>51</v>
      </c>
      <c r="N6050" s="28" t="s">
        <v>51</v>
      </c>
    </row>
    <row r="6051" spans="1:14" x14ac:dyDescent="0.15">
      <c r="A6051" s="23" t="str">
        <f>HYPERLINK("https://www.spark-marketing.ru/Card/Person/236030", "ОГАУСО ""КЦСОН""")</f>
        <v>ОГАУСО "КЦСОН"</v>
      </c>
      <c r="B6051" s="24" t="s">
        <v>549</v>
      </c>
      <c r="C6051" s="25">
        <v>400000</v>
      </c>
      <c r="D6051" s="22" t="s">
        <v>9276</v>
      </c>
      <c r="E6051" s="22" t="s">
        <v>3064</v>
      </c>
      <c r="F6051" s="23" t="str">
        <f>HYPERLINK("https://www.spark-marketing.ru/Card/Lot/72983039", "Оказание услуг на поставку продуктов питания (фруктов, сухофруктов, орехов)")</f>
        <v>Оказание услуг на поставку продуктов питания (фруктов, сухофруктов, орехов)</v>
      </c>
      <c r="G6051" s="22" t="s">
        <v>263</v>
      </c>
      <c r="H6051" s="22" t="s">
        <v>263</v>
      </c>
      <c r="I6051" s="26">
        <v>43700</v>
      </c>
      <c r="J6051" s="28" t="s">
        <v>51</v>
      </c>
      <c r="K6051" s="28" t="s">
        <v>51</v>
      </c>
      <c r="L6051" s="28" t="s">
        <v>51</v>
      </c>
      <c r="M6051" s="28" t="s">
        <v>51</v>
      </c>
      <c r="N6051" s="28" t="s">
        <v>51</v>
      </c>
    </row>
    <row r="6052" spans="1:14" x14ac:dyDescent="0.2">
      <c r="A6052" s="23" t="str">
        <f>HYPERLINK("https://www.spark-marketing.ru/Card/Person/106524", "МАУ ""ЗДОЛ ""ЗОЛОТОЙ ЛУГ""")</f>
        <v>МАУ "ЗДОЛ "ЗОЛОТОЙ ЛУГ"</v>
      </c>
      <c r="B6052" s="24" t="s">
        <v>9277</v>
      </c>
      <c r="C6052" s="25">
        <v>314500</v>
      </c>
      <c r="D6052" s="22" t="s">
        <v>9278</v>
      </c>
      <c r="E6052" s="22" t="s">
        <v>362</v>
      </c>
      <c r="F6052" s="23" t="str">
        <f>HYPERLINK("https://www.spark-marketing.ru/Card/Lot/72984793", "Оказание услуг по организации питания детей в загородном оздоровительном лагере МАУ «ЗДОЛ «Золотой луг» в период летних каникул 2019 года.")</f>
        <v>Оказание услуг по организации питания детей в загородном оздоровительном лагере МАУ «ЗДОЛ «Золотой луг» в период летних каникул 2019 года.</v>
      </c>
      <c r="G6052" s="22" t="s">
        <v>174</v>
      </c>
      <c r="H6052" s="22" t="s">
        <v>174</v>
      </c>
      <c r="I6052" s="26">
        <v>43700</v>
      </c>
      <c r="J6052" s="28" t="s">
        <v>51</v>
      </c>
      <c r="K6052" s="28" t="s">
        <v>51</v>
      </c>
      <c r="L6052" s="22" t="s">
        <v>10</v>
      </c>
      <c r="M6052" s="25">
        <v>314500</v>
      </c>
      <c r="N6052" s="27">
        <v>0</v>
      </c>
    </row>
    <row r="6053" spans="1:14" x14ac:dyDescent="0.2">
      <c r="A6053" s="23" t="str">
        <f>HYPERLINK("https://www.spark-marketing.ru/Card/Person/860957", "МАОУ ""СОШ № 3""")</f>
        <v>МАОУ "СОШ № 3"</v>
      </c>
      <c r="B6053" s="24" t="s">
        <v>3307</v>
      </c>
      <c r="C6053" s="25">
        <v>455000</v>
      </c>
      <c r="D6053" s="22" t="s">
        <v>9279</v>
      </c>
      <c r="E6053" s="22" t="s">
        <v>362</v>
      </c>
      <c r="F6053" s="23" t="str">
        <f>HYPERLINK("https://www.spark-marketing.ru/Card/Lot/73112980", "Услуги общественного питания на сентябрь 2019 года")</f>
        <v>Услуги общественного питания на сентябрь 2019 года</v>
      </c>
      <c r="G6053" s="22" t="s">
        <v>766</v>
      </c>
      <c r="H6053" s="22" t="s">
        <v>766</v>
      </c>
      <c r="I6053" s="26">
        <v>43706</v>
      </c>
      <c r="J6053" s="28" t="s">
        <v>51</v>
      </c>
      <c r="K6053" s="28" t="s">
        <v>51</v>
      </c>
      <c r="L6053" s="22" t="s">
        <v>10</v>
      </c>
      <c r="M6053" s="25">
        <v>455000</v>
      </c>
      <c r="N6053" s="27">
        <v>0</v>
      </c>
    </row>
    <row r="6054" spans="1:14" x14ac:dyDescent="0.15">
      <c r="A6054" s="23" t="str">
        <f>HYPERLINK("https://www.spark-marketing.ru/Card/Person/4369400", "ООО АВИАПРЕДПРИЯТИЕ ""ГАЗПРОМ АВИА""")</f>
        <v>ООО АВИАПРЕДПРИЯТИЕ "ГАЗПРОМ АВИА"</v>
      </c>
      <c r="B6054" s="24" t="s">
        <v>1724</v>
      </c>
      <c r="C6054" s="25">
        <v>3135038.95</v>
      </c>
      <c r="D6054" s="22" t="s">
        <v>9280</v>
      </c>
      <c r="E6054" s="22" t="s">
        <v>362</v>
      </c>
      <c r="F6054" s="23" t="str">
        <f>HYPERLINK("https://www.spark-marketing.ru/Card/Lot/72998832", "Оказание услуг по обеспечению пассажиров и экипажей воздушных судов бортовым питанием в а/п г. Волгоград для нужд ООО Авиапредприятие ""Газпром авиа""")</f>
        <v>Оказание услуг по обеспечению пассажиров и экипажей воздушных судов бортовым питанием в а/п г. Волгоград для нужд ООО Авиапредприятие "Газпром авиа"</v>
      </c>
      <c r="G6054" s="22" t="s">
        <v>56</v>
      </c>
      <c r="H6054" s="22" t="s">
        <v>56</v>
      </c>
      <c r="I6054" s="26">
        <v>43700</v>
      </c>
      <c r="J6054" s="28" t="s">
        <v>51</v>
      </c>
      <c r="K6054" s="28" t="s">
        <v>51</v>
      </c>
      <c r="L6054" s="28" t="s">
        <v>51</v>
      </c>
      <c r="M6054" s="28" t="s">
        <v>51</v>
      </c>
      <c r="N6054" s="28" t="s">
        <v>51</v>
      </c>
    </row>
    <row r="6055" spans="1:14" x14ac:dyDescent="0.15">
      <c r="A6055" s="23" t="str">
        <f>HYPERLINK("https://www.spark-marketing.ru/Card/Person/1778004", "ГАУ ПО ""АИР ПО""")</f>
        <v>ГАУ ПО "АИР ПО"</v>
      </c>
      <c r="B6055" s="24" t="s">
        <v>9281</v>
      </c>
      <c r="C6055" s="25">
        <v>225000</v>
      </c>
      <c r="D6055" s="22" t="s">
        <v>9282</v>
      </c>
      <c r="E6055" s="22" t="s">
        <v>580</v>
      </c>
      <c r="F6055" s="23" t="str">
        <f>HYPERLINK("https://www.spark-marketing.ru/Card/Lot/72995227", "Оказание услуг по организации питания в рамках проведения мероприятия ""75-летие образования Псковской области""")</f>
        <v>Оказание услуг по организации питания в рамках проведения мероприятия "75-летие образования Псковской области"</v>
      </c>
      <c r="G6055" s="22" t="s">
        <v>415</v>
      </c>
      <c r="H6055" s="22" t="s">
        <v>415</v>
      </c>
      <c r="I6055" s="26">
        <v>43700</v>
      </c>
      <c r="J6055" s="28" t="s">
        <v>51</v>
      </c>
      <c r="K6055" s="28" t="s">
        <v>51</v>
      </c>
      <c r="L6055" s="28" t="s">
        <v>51</v>
      </c>
      <c r="M6055" s="28" t="s">
        <v>51</v>
      </c>
      <c r="N6055" s="28" t="s">
        <v>51</v>
      </c>
    </row>
    <row r="6056" spans="1:14" x14ac:dyDescent="0.15">
      <c r="A6056" s="23" t="str">
        <f>HYPERLINK("https://www.spark-marketing.ru/Card/Person/679641", "ГАПОУ ЛО ""ТИХВИНСКИЙ ПРОМЫШЛЕННО-ТЕХНОЛОГИЧЕСКИЙ ТЕХНИКУМ ИМ. Е.И.ЛЕБЕДЕВА""")</f>
        <v>ГАПОУ ЛО "ТИХВИНСКИЙ ПРОМЫШЛЕННО-ТЕХНОЛОГИЧЕСКИЙ ТЕХНИКУМ ИМ. Е.И.ЛЕБЕДЕВА"</v>
      </c>
      <c r="B6056" s="24" t="s">
        <v>9283</v>
      </c>
      <c r="C6056" s="25">
        <v>1541636</v>
      </c>
      <c r="D6056" s="22" t="s">
        <v>9284</v>
      </c>
      <c r="E6056" s="22" t="s">
        <v>362</v>
      </c>
      <c r="F6056" s="23" t="str">
        <f>HYPERLINK("https://www.spark-marketing.ru/Card/Lot/72989427", "услуги по организации горячего питания, обучающихся в ГАПОУ ЛО «Тихвинский промышленно-технологический техникум им. Е.И.Лебедева")</f>
        <v>услуги по организации горячего питания, обучающихся в ГАПОУ ЛО «Тихвинский промышленно-технологический техникум им. Е.И.Лебедева</v>
      </c>
      <c r="G6056" s="22" t="s">
        <v>162</v>
      </c>
      <c r="H6056" s="22" t="s">
        <v>162</v>
      </c>
      <c r="I6056" s="26">
        <v>43700</v>
      </c>
      <c r="J6056" s="28" t="s">
        <v>51</v>
      </c>
      <c r="K6056" s="28" t="s">
        <v>51</v>
      </c>
      <c r="L6056" s="28" t="s">
        <v>51</v>
      </c>
      <c r="M6056" s="28" t="s">
        <v>51</v>
      </c>
      <c r="N6056" s="28" t="s">
        <v>51</v>
      </c>
    </row>
    <row r="6057" spans="1:14" x14ac:dyDescent="0.15">
      <c r="A6057" s="23" t="str">
        <f>HYPERLINK("https://www.spark-marketing.ru/Card/Person/1756753", "ГАУ МО ""ЦСП № 6""")</f>
        <v>ГАУ МО "ЦСП № 6"</v>
      </c>
      <c r="B6057" s="24" t="s">
        <v>6503</v>
      </c>
      <c r="C6057" s="25">
        <v>983250</v>
      </c>
      <c r="D6057" s="22" t="s">
        <v>9285</v>
      </c>
      <c r="E6057" s="22" t="s">
        <v>9286</v>
      </c>
      <c r="F6057" s="23" t="str">
        <f>HYPERLINK("https://www.spark-marketing.ru/Card/Lot/72990528", "Услуги по организации спортивных мероприятий (обеспечение транспортными билетами, проживание и питание, ВК Искра)")</f>
        <v>Услуги по организации спортивных мероприятий (обеспечение транспортными билетами, проживание и питание, ВК Искра)</v>
      </c>
      <c r="G6057" s="22" t="s">
        <v>49</v>
      </c>
      <c r="H6057" s="22" t="s">
        <v>49</v>
      </c>
      <c r="I6057" s="26">
        <v>43700</v>
      </c>
      <c r="J6057" s="28" t="s">
        <v>51</v>
      </c>
      <c r="K6057" s="28" t="s">
        <v>51</v>
      </c>
      <c r="L6057" s="28" t="s">
        <v>51</v>
      </c>
      <c r="M6057" s="28" t="s">
        <v>51</v>
      </c>
      <c r="N6057" s="28" t="s">
        <v>51</v>
      </c>
    </row>
    <row r="6058" spans="1:14" x14ac:dyDescent="0.2">
      <c r="A6058" s="23" t="str">
        <f>HYPERLINK("https://www.spark-marketing.ru/Card/Person/257800", "МБДОУ ""Д/С № 37 ""СКАЗКА""")</f>
        <v>МБДОУ "Д/С № 37 "СКАЗКА"</v>
      </c>
      <c r="B6058" s="24" t="s">
        <v>9287</v>
      </c>
      <c r="C6058" s="25">
        <v>117871.52</v>
      </c>
      <c r="D6058" s="22" t="s">
        <v>9288</v>
      </c>
      <c r="E6058" s="22" t="s">
        <v>52</v>
      </c>
      <c r="F6058" s="23" t="str">
        <f>HYPERLINK("https://www.spark-marketing.ru/Card/Lot/73793048", "Услуги по организации питания")</f>
        <v>Услуги по организации питания</v>
      </c>
      <c r="G6058" s="22" t="s">
        <v>217</v>
      </c>
      <c r="H6058" s="22" t="s">
        <v>9289</v>
      </c>
      <c r="I6058" s="26">
        <v>43700.431250000001</v>
      </c>
      <c r="J6058" s="28" t="s">
        <v>51</v>
      </c>
      <c r="K6058" s="28" t="s">
        <v>51</v>
      </c>
      <c r="L6058" s="28" t="s">
        <v>51</v>
      </c>
      <c r="M6058" s="25">
        <v>117871.51</v>
      </c>
      <c r="N6058" s="27">
        <v>8.4838135624279728E-8</v>
      </c>
    </row>
    <row r="6059" spans="1:14" x14ac:dyDescent="0.2">
      <c r="A6059" s="23" t="str">
        <f>HYPERLINK("https://www.spark-marketing.ru/Card/Person/44377", "НАЦИОНАЛЬНЫЙ ИССЛЕДОВАТЕЛЬСКИЙ УНИВЕРСИТЕТ ""ВЫСШАЯ ШКОЛА ЭКОНОМИКИ"";ВЫСШАЯ ШКОЛА ЭКОНОМИКИ;НИУ ВШЭ;ВШЭ")</f>
        <v>НАЦИОНАЛЬНЫЙ ИССЛЕДОВАТЕЛЬСКИЙ УНИВЕРСИТЕТ "ВЫСШАЯ ШКОЛА ЭКОНОМИКИ";ВЫСШАЯ ШКОЛА ЭКОНОМИКИ;НИУ ВШЭ;ВШЭ</v>
      </c>
      <c r="B6059" s="24" t="s">
        <v>1925</v>
      </c>
      <c r="C6059" s="25">
        <v>750000</v>
      </c>
      <c r="D6059" s="22" t="s">
        <v>9290</v>
      </c>
      <c r="E6059" s="22" t="s">
        <v>362</v>
      </c>
      <c r="F6059" s="23" t="str">
        <f>HYPERLINK("https://www.spark-marketing.ru/Card/Lot/72998919", "Оказание услуг по обеспечению питанием участников выездного мероприятия Образовательный интенсив «U4Uonline» Дирекции по онлайн-обучению НИУ ВШЭ, проводимого в рамках разработки новой цифровой образовательной платформы")</f>
        <v>Оказание услуг по обеспечению питанием участников выездного мероприятия Образовательный интенсив «U4Uonline» Дирекции по онлайн-обучению НИУ ВШЭ, проводимого в рамках разработки новой цифровой образовательной платформы</v>
      </c>
      <c r="G6059" s="22" t="s">
        <v>56</v>
      </c>
      <c r="H6059" s="22" t="s">
        <v>56</v>
      </c>
      <c r="I6059" s="26">
        <v>43700</v>
      </c>
      <c r="J6059" s="28" t="s">
        <v>51</v>
      </c>
      <c r="K6059" s="28" t="s">
        <v>51</v>
      </c>
      <c r="L6059" s="28" t="s">
        <v>51</v>
      </c>
      <c r="M6059" s="25">
        <v>750000</v>
      </c>
      <c r="N6059" s="27">
        <v>0</v>
      </c>
    </row>
    <row r="6060" spans="1:14" x14ac:dyDescent="0.15">
      <c r="A6060" s="23" t="str">
        <f>HYPERLINK("https://www.spark-marketing.ru/Card/Person/71160", "ГАУК ""КИНОДОСУГОВОЕ ОБЪЕДИНЕНИЕ""")</f>
        <v>ГАУК "КИНОДОСУГОВОЕ ОБЪЕДИНЕНИЕ"</v>
      </c>
      <c r="B6060" s="24" t="s">
        <v>9273</v>
      </c>
      <c r="C6060" s="25">
        <v>601000</v>
      </c>
      <c r="D6060" s="22" t="s">
        <v>9291</v>
      </c>
      <c r="E6060" s="22" t="s">
        <v>9275</v>
      </c>
      <c r="F6060" s="23" t="str">
        <f>HYPERLINK("https://www.spark-marketing.ru/Card/Lot/72983796", "оказание услуг по организации питания 28.08.2019г. в рамках выездного мероприятия на территории о. Изменчивое членов жюри, участников и гостей IX Сахалинского международного кинофестиваля «Край света» в 2019 г.")</f>
        <v>оказание услуг по организации питания 28.08.2019г. в рамках выездного мероприятия на территории о. Изменчивое членов жюри, участников и гостей IX Сахалинского международного кинофестиваля «Край света» в 2019 г.</v>
      </c>
      <c r="G6060" s="22" t="s">
        <v>260</v>
      </c>
      <c r="H6060" s="22" t="s">
        <v>260</v>
      </c>
      <c r="I6060" s="26">
        <v>43700</v>
      </c>
      <c r="J6060" s="28" t="s">
        <v>51</v>
      </c>
      <c r="K6060" s="28" t="s">
        <v>51</v>
      </c>
      <c r="L6060" s="28" t="s">
        <v>51</v>
      </c>
      <c r="M6060" s="28" t="s">
        <v>51</v>
      </c>
      <c r="N6060" s="28" t="s">
        <v>51</v>
      </c>
    </row>
    <row r="6061" spans="1:14" x14ac:dyDescent="0.2">
      <c r="A6061" s="23" t="str">
        <f>HYPERLINK("https://www.spark-marketing.ru/Card/Person/257936", "МБДОУ ""Д/С ""ГОЛЧЭЧЭК"" С. НОВОЕ НАДЫРОВО""")</f>
        <v>МБДОУ "Д/С "ГОЛЧЭЧЭК" С. НОВОЕ НАДЫРОВО"</v>
      </c>
      <c r="B6061" s="24" t="s">
        <v>9292</v>
      </c>
      <c r="C6061" s="25">
        <v>27447.8</v>
      </c>
      <c r="D6061" s="22" t="s">
        <v>9293</v>
      </c>
      <c r="E6061" s="22" t="s">
        <v>52</v>
      </c>
      <c r="F6061" s="23" t="str">
        <f>HYPERLINK("https://www.spark-marketing.ru/Card/Lot/73793032", "Услуги по организации питания")</f>
        <v>Услуги по организации питания</v>
      </c>
      <c r="G6061" s="22" t="s">
        <v>217</v>
      </c>
      <c r="H6061" s="22" t="s">
        <v>9294</v>
      </c>
      <c r="I6061" s="26">
        <v>43700.612500000003</v>
      </c>
      <c r="J6061" s="28" t="s">
        <v>51</v>
      </c>
      <c r="K6061" s="28" t="s">
        <v>51</v>
      </c>
      <c r="L6061" s="28" t="s">
        <v>51</v>
      </c>
      <c r="M6061" s="25">
        <v>27447.79</v>
      </c>
      <c r="N6061" s="27">
        <v>3.6432792427808422E-7</v>
      </c>
    </row>
    <row r="6062" spans="1:14" x14ac:dyDescent="0.15">
      <c r="A6062" s="23" t="str">
        <f>HYPERLINK("https://www.spark-marketing.ru/Card/Person/1321956", "МАОУ СОШ № 27")</f>
        <v>МАОУ СОШ № 27</v>
      </c>
      <c r="B6062" s="24" t="s">
        <v>9295</v>
      </c>
      <c r="C6062" s="25">
        <v>297974</v>
      </c>
      <c r="D6062" s="22" t="s">
        <v>9296</v>
      </c>
      <c r="E6062" s="22" t="s">
        <v>362</v>
      </c>
      <c r="F6062" s="23" t="str">
        <f>HYPERLINK("https://www.spark-marketing.ru/Card/Lot/72986283", "услуги по организации питания отдельных категорий обучающихся")</f>
        <v>услуги по организации питания отдельных категорий обучающихся</v>
      </c>
      <c r="G6062" s="22" t="s">
        <v>267</v>
      </c>
      <c r="H6062" s="22" t="s">
        <v>267</v>
      </c>
      <c r="I6062" s="26">
        <v>43700</v>
      </c>
      <c r="J6062" s="28" t="s">
        <v>51</v>
      </c>
      <c r="K6062" s="28" t="s">
        <v>51</v>
      </c>
      <c r="L6062" s="28" t="s">
        <v>51</v>
      </c>
      <c r="M6062" s="28" t="s">
        <v>51</v>
      </c>
      <c r="N6062" s="28" t="s">
        <v>51</v>
      </c>
    </row>
    <row r="6063" spans="1:14" x14ac:dyDescent="0.15">
      <c r="A6063" s="23" t="str">
        <f>HYPERLINK("https://www.spark-marketing.ru/Card/Person/4351284", "ФГБУ ""ВНИИОКЕАНГЕОЛОГИЯ""")</f>
        <v>ФГБУ "ВНИИОКЕАНГЕОЛОГИЯ"</v>
      </c>
      <c r="B6063" s="24" t="s">
        <v>9297</v>
      </c>
      <c r="C6063" s="25">
        <v>18407263.5</v>
      </c>
      <c r="D6063" s="22" t="s">
        <v>9298</v>
      </c>
      <c r="E6063" s="22" t="s">
        <v>9299</v>
      </c>
      <c r="F6063" s="23" t="str">
        <f>HYPERLINK("https://www.spark-marketing.ru/Card/Lot/73002230", "Оказание услуг по транспортировке персонала и груза, обеспечению питанием и прочими сопутствующим расходами экспедиции Заказчика на борту НИС «Иван Петров» в район архипелага Северная Земля")</f>
        <v>Оказание услуг по транспортировке персонала и груза, обеспечению питанием и прочими сопутствующим расходами экспедиции Заказчика на борту НИС «Иван Петров» в район архипелага Северная Земля</v>
      </c>
      <c r="G6063" s="22" t="s">
        <v>214</v>
      </c>
      <c r="H6063" s="22" t="s">
        <v>214</v>
      </c>
      <c r="I6063" s="26">
        <v>43700</v>
      </c>
      <c r="J6063" s="28" t="s">
        <v>51</v>
      </c>
      <c r="K6063" s="28" t="s">
        <v>51</v>
      </c>
      <c r="L6063" s="28" t="s">
        <v>51</v>
      </c>
      <c r="M6063" s="28" t="s">
        <v>51</v>
      </c>
      <c r="N6063" s="28" t="s">
        <v>51</v>
      </c>
    </row>
    <row r="6064" spans="1:14" x14ac:dyDescent="0.15">
      <c r="A6064" s="23" t="str">
        <f>HYPERLINK("https://www.spark-marketing.ru/Card/Person/4369400", "ООО АВИАПРЕДПРИЯТИЕ ""ГАЗПРОМ АВИА""")</f>
        <v>ООО АВИАПРЕДПРИЯТИЕ "ГАЗПРОМ АВИА"</v>
      </c>
      <c r="B6064" s="24" t="s">
        <v>1724</v>
      </c>
      <c r="C6064" s="25">
        <v>46570</v>
      </c>
      <c r="D6064" s="22" t="s">
        <v>9300</v>
      </c>
      <c r="E6064" s="22" t="s">
        <v>1726</v>
      </c>
      <c r="F6064" s="23" t="str">
        <f>HYPERLINK("https://www.spark-marketing.ru/Card/Lot/72991649", "оплата по счету №98 за услуги по обеспечению бортовым питанием в а/п г. Горно-Алтайск.")</f>
        <v>оплата по счету №98 за услуги по обеспечению бортовым питанием в а/п г. Горно-Алтайск.</v>
      </c>
      <c r="G6064" s="22" t="s">
        <v>56</v>
      </c>
      <c r="H6064" s="22" t="s">
        <v>56</v>
      </c>
      <c r="I6064" s="26">
        <v>43700</v>
      </c>
      <c r="J6064" s="28" t="s">
        <v>51</v>
      </c>
      <c r="K6064" s="28" t="s">
        <v>51</v>
      </c>
      <c r="L6064" s="28" t="s">
        <v>51</v>
      </c>
      <c r="M6064" s="28" t="s">
        <v>51</v>
      </c>
      <c r="N6064" s="28" t="s">
        <v>51</v>
      </c>
    </row>
    <row r="6065" spans="1:14" x14ac:dyDescent="0.15">
      <c r="A6065" s="23" t="str">
        <f>HYPERLINK("https://www.spark-marketing.ru/Card/Person/540172", "ОГАУ ""ФК ""САХАЛИН""")</f>
        <v>ОГАУ "ФК "САХАЛИН"</v>
      </c>
      <c r="B6065" s="24" t="s">
        <v>1416</v>
      </c>
      <c r="C6065" s="25">
        <v>413600</v>
      </c>
      <c r="D6065" s="22" t="s">
        <v>9301</v>
      </c>
      <c r="E6065" s="22" t="s">
        <v>362</v>
      </c>
      <c r="F6065" s="23" t="str">
        <f>HYPERLINK("https://www.spark-marketing.ru/Card/Lot/72986310", "Оказание услуг по организации питания")</f>
        <v>Оказание услуг по организации питания</v>
      </c>
      <c r="G6065" s="22" t="s">
        <v>260</v>
      </c>
      <c r="H6065" s="22" t="s">
        <v>260</v>
      </c>
      <c r="I6065" s="26">
        <v>43700</v>
      </c>
      <c r="J6065" s="28" t="s">
        <v>51</v>
      </c>
      <c r="K6065" s="28" t="s">
        <v>51</v>
      </c>
      <c r="L6065" s="28" t="s">
        <v>51</v>
      </c>
      <c r="M6065" s="28" t="s">
        <v>51</v>
      </c>
      <c r="N6065" s="28" t="s">
        <v>51</v>
      </c>
    </row>
    <row r="6066" spans="1:14" x14ac:dyDescent="0.2">
      <c r="A6066" s="23" t="str">
        <f>HYPERLINK("https://www.spark-marketing.ru/Card/Person/1361184", "МАОУ ""СРЕДНЯЯ ШКОЛА № 1""")</f>
        <v>МАОУ "СРЕДНЯЯ ШКОЛА № 1"</v>
      </c>
      <c r="B6066" s="24" t="s">
        <v>3312</v>
      </c>
      <c r="C6066" s="25">
        <v>447000</v>
      </c>
      <c r="D6066" s="22" t="s">
        <v>9302</v>
      </c>
      <c r="E6066" s="22" t="s">
        <v>362</v>
      </c>
      <c r="F6066" s="23" t="str">
        <f>HYPERLINK("https://www.spark-marketing.ru/Card/Lot/73069863", "Услуги общественного питания в сентябре 2019 года.")</f>
        <v>Услуги общественного питания в сентябре 2019 года.</v>
      </c>
      <c r="G6066" s="22" t="s">
        <v>766</v>
      </c>
      <c r="H6066" s="22" t="s">
        <v>766</v>
      </c>
      <c r="I6066" s="26">
        <v>43705</v>
      </c>
      <c r="J6066" s="28" t="s">
        <v>51</v>
      </c>
      <c r="K6066" s="28" t="s">
        <v>51</v>
      </c>
      <c r="L6066" s="22" t="s">
        <v>10</v>
      </c>
      <c r="M6066" s="25">
        <v>447000</v>
      </c>
      <c r="N6066" s="27">
        <v>0</v>
      </c>
    </row>
    <row r="6067" spans="1:14" x14ac:dyDescent="0.2">
      <c r="A6067" s="23" t="str">
        <f>HYPERLINK("https://www.spark-marketing.ru/Card/Person/1761894", "ГАУ АО ""СШОР ""ПОМОРЬЕ""")</f>
        <v>ГАУ АО "СШОР "ПОМОРЬЕ"</v>
      </c>
      <c r="B6067" s="24" t="s">
        <v>9303</v>
      </c>
      <c r="C6067" s="25">
        <v>300100</v>
      </c>
      <c r="D6067" s="22" t="s">
        <v>9304</v>
      </c>
      <c r="E6067" s="22" t="s">
        <v>769</v>
      </c>
      <c r="F6067" s="23" t="str">
        <f>HYPERLINK("https://www.spark-marketing.ru/Card/Lot/72991319", "Оказание услуг по проживанию, питанию и использованию спортивных сооружений")</f>
        <v>Оказание услуг по проживанию, питанию и использованию спортивных сооружений</v>
      </c>
      <c r="G6067" s="22" t="s">
        <v>108</v>
      </c>
      <c r="H6067" s="22" t="s">
        <v>108</v>
      </c>
      <c r="I6067" s="26">
        <v>43700</v>
      </c>
      <c r="J6067" s="28" t="s">
        <v>51</v>
      </c>
      <c r="K6067" s="28" t="s">
        <v>51</v>
      </c>
      <c r="L6067" s="22" t="s">
        <v>10</v>
      </c>
      <c r="M6067" s="25">
        <v>300100</v>
      </c>
      <c r="N6067" s="27">
        <v>0</v>
      </c>
    </row>
    <row r="6068" spans="1:14" x14ac:dyDescent="0.15">
      <c r="A6068" s="23" t="str">
        <f>HYPERLINK("https://www.spark-marketing.ru/Card/Person/301404", "ФГАУ ""ОК ""ШЕРЕМЕТЬЕВСКИЙ""")</f>
        <v>ФГАУ "ОК "ШЕРЕМЕТЬЕВСКИЙ"</v>
      </c>
      <c r="B6068" s="24" t="s">
        <v>9305</v>
      </c>
      <c r="C6068" s="25">
        <v>700000</v>
      </c>
      <c r="D6068" s="22" t="s">
        <v>9306</v>
      </c>
      <c r="E6068" s="22" t="s">
        <v>9307</v>
      </c>
      <c r="F6068" s="23" t="str">
        <f>HYPERLINK("https://www.spark-marketing.ru/Card/Lot/72993338", "Оказание услуг в сфере общественного питания дома отдыха ""Знамя Революции""")</f>
        <v>Оказание услуг в сфере общественного питания дома отдыха "Знамя Революции"</v>
      </c>
      <c r="G6068" s="22" t="s">
        <v>56</v>
      </c>
      <c r="H6068" s="22" t="s">
        <v>56</v>
      </c>
      <c r="I6068" s="26">
        <v>43700</v>
      </c>
      <c r="J6068" s="28" t="s">
        <v>51</v>
      </c>
      <c r="K6068" s="28" t="s">
        <v>51</v>
      </c>
      <c r="L6068" s="28" t="s">
        <v>51</v>
      </c>
      <c r="M6068" s="28" t="s">
        <v>51</v>
      </c>
      <c r="N6068" s="28" t="s">
        <v>51</v>
      </c>
    </row>
    <row r="6069" spans="1:14" x14ac:dyDescent="0.2">
      <c r="A6069" s="23" t="str">
        <f>HYPERLINK("https://www.spark-marketing.ru/Card/Person/18539", "АУ ВО ОЦМИГИ ""СОДРУЖЕСТВО""")</f>
        <v>АУ ВО ОЦМИГИ "СОДРУЖЕСТВО"</v>
      </c>
      <c r="B6069" s="24" t="s">
        <v>959</v>
      </c>
      <c r="C6069" s="25">
        <v>797540</v>
      </c>
      <c r="D6069" s="22" t="s">
        <v>9308</v>
      </c>
      <c r="E6069" s="22" t="s">
        <v>9309</v>
      </c>
      <c r="F6069" s="23" t="str">
        <f>HYPERLINK("https://www.spark-marketing.ru/Card/Lot/73002529", "услуги по организации проживания, питания и предоставлению помещений для проведения финала фестиваля молодежного актива Вологодской области ""Наша территория""")</f>
        <v>услуги по организации проживания, питания и предоставлению помещений для проведения финала фестиваля молодежного актива Вологодской области "Наша территория"</v>
      </c>
      <c r="G6069" s="22" t="s">
        <v>503</v>
      </c>
      <c r="H6069" s="22" t="s">
        <v>962</v>
      </c>
      <c r="I6069" s="26">
        <v>43700</v>
      </c>
      <c r="J6069" s="28" t="s">
        <v>51</v>
      </c>
      <c r="K6069" s="28" t="s">
        <v>51</v>
      </c>
      <c r="L6069" s="22" t="s">
        <v>10</v>
      </c>
      <c r="M6069" s="25">
        <v>0</v>
      </c>
      <c r="N6069" s="27">
        <v>1</v>
      </c>
    </row>
    <row r="6070" spans="1:14" x14ac:dyDescent="0.15">
      <c r="A6070" s="23" t="str">
        <f>HYPERLINK("https://www.spark-marketing.ru/Card/Person/540172", "ОГАУ ""ФК ""САХАЛИН""")</f>
        <v>ОГАУ "ФК "САХАЛИН"</v>
      </c>
      <c r="B6070" s="24" t="s">
        <v>1416</v>
      </c>
      <c r="C6070" s="25">
        <v>597800</v>
      </c>
      <c r="D6070" s="22" t="s">
        <v>9310</v>
      </c>
      <c r="E6070" s="22" t="s">
        <v>362</v>
      </c>
      <c r="F6070" s="23" t="str">
        <f>HYPERLINK("https://www.spark-marketing.ru/Card/Lot/72986539", "Оказание услуг по организации питания")</f>
        <v>Оказание услуг по организации питания</v>
      </c>
      <c r="G6070" s="22" t="s">
        <v>260</v>
      </c>
      <c r="H6070" s="22" t="s">
        <v>260</v>
      </c>
      <c r="I6070" s="26">
        <v>43700</v>
      </c>
      <c r="J6070" s="28" t="s">
        <v>51</v>
      </c>
      <c r="K6070" s="28" t="s">
        <v>51</v>
      </c>
      <c r="L6070" s="28" t="s">
        <v>51</v>
      </c>
      <c r="M6070" s="28" t="s">
        <v>51</v>
      </c>
      <c r="N6070" s="28" t="s">
        <v>51</v>
      </c>
    </row>
    <row r="6071" spans="1:14" x14ac:dyDescent="0.15">
      <c r="A6071" s="23" t="str">
        <f>HYPERLINK("https://www.spark-marketing.ru/Card/Person/4369400", "ООО АВИАПРЕДПРИЯТИЕ ""ГАЗПРОМ АВИА""")</f>
        <v>ООО АВИАПРЕДПРИЯТИЕ "ГАЗПРОМ АВИА"</v>
      </c>
      <c r="B6071" s="24" t="s">
        <v>1724</v>
      </c>
      <c r="C6071" s="25">
        <v>1407382.48</v>
      </c>
      <c r="D6071" s="22" t="s">
        <v>9311</v>
      </c>
      <c r="E6071" s="22" t="s">
        <v>362</v>
      </c>
      <c r="F6071" s="23" t="str">
        <f>HYPERLINK("https://www.spark-marketing.ru/Card/Lot/73000178", "Оказание услуг по обеспечению пассажиров и экипажей воздушных судов бортовым питанием в а/п г. Бованенково")</f>
        <v>Оказание услуг по обеспечению пассажиров и экипажей воздушных судов бортовым питанием в а/п г. Бованенково</v>
      </c>
      <c r="G6071" s="22" t="s">
        <v>56</v>
      </c>
      <c r="H6071" s="22" t="s">
        <v>56</v>
      </c>
      <c r="I6071" s="26">
        <v>43700</v>
      </c>
      <c r="J6071" s="28" t="s">
        <v>51</v>
      </c>
      <c r="K6071" s="28" t="s">
        <v>51</v>
      </c>
      <c r="L6071" s="28" t="s">
        <v>51</v>
      </c>
      <c r="M6071" s="28" t="s">
        <v>51</v>
      </c>
      <c r="N6071" s="28" t="s">
        <v>51</v>
      </c>
    </row>
    <row r="6072" spans="1:14" x14ac:dyDescent="0.2">
      <c r="A6072" s="23" t="str">
        <f>HYPERLINK("https://www.spark-marketing.ru/Card/Person/1361181", "МАОУ ""СОШ №4""")</f>
        <v>МАОУ "СОШ №4"</v>
      </c>
      <c r="B6072" s="24" t="s">
        <v>8994</v>
      </c>
      <c r="C6072" s="25">
        <v>615000</v>
      </c>
      <c r="D6072" s="22" t="s">
        <v>9312</v>
      </c>
      <c r="E6072" s="22" t="s">
        <v>362</v>
      </c>
      <c r="F6072" s="23" t="str">
        <f>HYPERLINK("https://www.spark-marketing.ru/Card/Lot/73069342", "Услуги общественного питания в сентябре 2019 года")</f>
        <v>Услуги общественного питания в сентябре 2019 года</v>
      </c>
      <c r="G6072" s="22" t="s">
        <v>766</v>
      </c>
      <c r="H6072" s="22" t="s">
        <v>766</v>
      </c>
      <c r="I6072" s="26">
        <v>43705</v>
      </c>
      <c r="J6072" s="28" t="s">
        <v>51</v>
      </c>
      <c r="K6072" s="28" t="s">
        <v>51</v>
      </c>
      <c r="L6072" s="22" t="s">
        <v>10</v>
      </c>
      <c r="M6072" s="25">
        <v>615000</v>
      </c>
      <c r="N6072" s="27">
        <v>0</v>
      </c>
    </row>
    <row r="6073" spans="1:14" x14ac:dyDescent="0.15">
      <c r="A6073" s="23" t="str">
        <f>HYPERLINK("https://www.spark-marketing.ru/Card/Person/4369400", "ООО АВИАПРЕДПРИЯТИЕ ""ГАЗПРОМ АВИА""")</f>
        <v>ООО АВИАПРЕДПРИЯТИЕ "ГАЗПРОМ АВИА"</v>
      </c>
      <c r="B6073" s="24" t="s">
        <v>1724</v>
      </c>
      <c r="C6073" s="25">
        <v>3270313.37</v>
      </c>
      <c r="D6073" s="22" t="s">
        <v>9313</v>
      </c>
      <c r="E6073" s="22" t="s">
        <v>362</v>
      </c>
      <c r="F6073" s="23" t="str">
        <f>HYPERLINK("https://www.spark-marketing.ru/Card/Lot/72998839", "Оказание услуг по обеспечению пассажиров и экипажей воздушных судов бортовым питанием в а/п г. Ростов")</f>
        <v>Оказание услуг по обеспечению пассажиров и экипажей воздушных судов бортовым питанием в а/п г. Ростов</v>
      </c>
      <c r="G6073" s="22" t="s">
        <v>56</v>
      </c>
      <c r="H6073" s="22" t="s">
        <v>56</v>
      </c>
      <c r="I6073" s="26">
        <v>43700</v>
      </c>
      <c r="J6073" s="28" t="s">
        <v>51</v>
      </c>
      <c r="K6073" s="28" t="s">
        <v>51</v>
      </c>
      <c r="L6073" s="28" t="s">
        <v>51</v>
      </c>
      <c r="M6073" s="28" t="s">
        <v>51</v>
      </c>
      <c r="N6073" s="28" t="s">
        <v>51</v>
      </c>
    </row>
    <row r="6074" spans="1:14" x14ac:dyDescent="0.15">
      <c r="A6074" s="23" t="str">
        <f>HYPERLINK("https://www.spark-marketing.ru/Card/Person/1176121", "ГАУ КО ""ЦСП СК""")</f>
        <v>ГАУ КО "ЦСП СК"</v>
      </c>
      <c r="B6074" s="24" t="s">
        <v>6671</v>
      </c>
      <c r="C6074" s="25">
        <v>105000</v>
      </c>
      <c r="D6074" s="22" t="s">
        <v>9314</v>
      </c>
      <c r="E6074" s="22" t="s">
        <v>362</v>
      </c>
      <c r="F6074" s="23" t="str">
        <f>HYPERLINK("https://www.spark-marketing.ru/Card/Lot/72991551", "Услуги по организации проживания и питания участников спортивных соревнований (Хасавюрт)")</f>
        <v>Услуги по организации проживания и питания участников спортивных соревнований (Хасавюрт)</v>
      </c>
      <c r="G6074" s="22" t="s">
        <v>400</v>
      </c>
      <c r="H6074" s="22" t="s">
        <v>400</v>
      </c>
      <c r="I6074" s="26">
        <v>43700</v>
      </c>
      <c r="J6074" s="28" t="s">
        <v>51</v>
      </c>
      <c r="K6074" s="28" t="s">
        <v>51</v>
      </c>
      <c r="L6074" s="28" t="s">
        <v>51</v>
      </c>
      <c r="M6074" s="28" t="s">
        <v>51</v>
      </c>
      <c r="N6074" s="28" t="s">
        <v>51</v>
      </c>
    </row>
    <row r="6075" spans="1:14" x14ac:dyDescent="0.2">
      <c r="A6075" s="23" t="str">
        <f>HYPERLINK("https://www.spark-marketing.ru/Card/Person/1025151", "МОУ СШ № 17")</f>
        <v>МОУ СШ № 17</v>
      </c>
      <c r="B6075" s="24" t="s">
        <v>9270</v>
      </c>
      <c r="C6075" s="25">
        <v>348072.75</v>
      </c>
      <c r="D6075" s="22" t="s">
        <v>9315</v>
      </c>
      <c r="E6075" s="22" t="s">
        <v>362</v>
      </c>
      <c r="F6075" s="23" t="str">
        <f>HYPERLINK("https://www.spark-marketing.ru/Card/Lot/72988096", "Оказание услуг по организации питания детей, состоящих на учете у фтизиатра, малообеспеченных и из многодетных семей")</f>
        <v>Оказание услуг по организации питания детей, состоящих на учете у фтизиатра, малообеспеченных и из многодетных семей</v>
      </c>
      <c r="G6075" s="22" t="s">
        <v>158</v>
      </c>
      <c r="H6075" s="22" t="s">
        <v>158</v>
      </c>
      <c r="I6075" s="26">
        <v>43700</v>
      </c>
      <c r="J6075" s="28" t="s">
        <v>51</v>
      </c>
      <c r="K6075" s="28" t="s">
        <v>51</v>
      </c>
      <c r="L6075" s="28" t="s">
        <v>51</v>
      </c>
      <c r="M6075" s="25">
        <v>348072.75</v>
      </c>
      <c r="N6075" s="27">
        <v>0</v>
      </c>
    </row>
    <row r="6076" spans="1:14" x14ac:dyDescent="0.15">
      <c r="A6076" s="23" t="str">
        <f>HYPERLINK("https://www.spark-marketing.ru/Card/Person/154271", "МИА ""РОССИЯ СЕГОДНЯ""")</f>
        <v>МИА "РОССИЯ СЕГОДНЯ"</v>
      </c>
      <c r="B6076" s="24" t="s">
        <v>9316</v>
      </c>
      <c r="C6076" s="25">
        <v>1187006.5</v>
      </c>
      <c r="D6076" s="22" t="s">
        <v>9317</v>
      </c>
      <c r="E6076" s="22" t="s">
        <v>1403</v>
      </c>
      <c r="F6076" s="23" t="str">
        <f>HYPERLINK("https://www.spark-marketing.ru/Card/Lot/72973307", "Оказание услуг по комплексному техническому обслуживанию источников бесперебойного питания (ИБП) и системы бесперебойного гарантированного электроснабжения")</f>
        <v>Оказание услуг по комплексному техническому обслуживанию источников бесперебойного питания (ИБП) и системы бесперебойного гарантированного электроснабжения</v>
      </c>
      <c r="G6076" s="22" t="s">
        <v>56</v>
      </c>
      <c r="H6076" s="22" t="s">
        <v>56</v>
      </c>
      <c r="I6076" s="26">
        <v>43699</v>
      </c>
      <c r="J6076" s="28" t="s">
        <v>51</v>
      </c>
      <c r="K6076" s="28" t="s">
        <v>51</v>
      </c>
      <c r="L6076" s="28" t="s">
        <v>51</v>
      </c>
      <c r="M6076" s="28" t="s">
        <v>51</v>
      </c>
      <c r="N6076" s="28" t="s">
        <v>51</v>
      </c>
    </row>
    <row r="6077" spans="1:14" x14ac:dyDescent="0.15">
      <c r="A6077" s="23" t="str">
        <f>HYPERLINK("https://www.spark-marketing.ru/Card/Person/4392816", "ГАУ ТО ""ОСШОР""")</f>
        <v>ГАУ ТО "ОСШОР"</v>
      </c>
      <c r="B6077" s="24" t="s">
        <v>9318</v>
      </c>
      <c r="C6077" s="25">
        <v>107400</v>
      </c>
      <c r="D6077" s="22" t="s">
        <v>9319</v>
      </c>
      <c r="E6077" s="22" t="s">
        <v>9320</v>
      </c>
      <c r="F6077" s="23" t="str">
        <f>HYPERLINK("https://www.spark-marketing.ru/Card/Lot/72994872", "Питание, проживание, услуги спортсооружения в период проведения тренировочного мероприятия по тхэвондо")</f>
        <v>Питание, проживание, услуги спортсооружения в период проведения тренировочного мероприятия по тхэвондо</v>
      </c>
      <c r="G6077" s="22" t="s">
        <v>108</v>
      </c>
      <c r="H6077" s="22" t="s">
        <v>108</v>
      </c>
      <c r="I6077" s="26">
        <v>43700</v>
      </c>
      <c r="J6077" s="28" t="s">
        <v>51</v>
      </c>
      <c r="K6077" s="28" t="s">
        <v>51</v>
      </c>
      <c r="L6077" s="28" t="s">
        <v>51</v>
      </c>
      <c r="M6077" s="28" t="s">
        <v>51</v>
      </c>
      <c r="N6077" s="28" t="s">
        <v>51</v>
      </c>
    </row>
    <row r="6078" spans="1:14" x14ac:dyDescent="0.2">
      <c r="A6078" s="23" t="str">
        <f>HYPERLINK("https://www.spark-marketing.ru/Card/Person/1361182", "МАОУ ""СОШ ИМЕНИ ДЕКАБРИСТОВ""")</f>
        <v>МАОУ "СОШ ИМЕНИ ДЕКАБРИСТОВ"</v>
      </c>
      <c r="B6078" s="24" t="s">
        <v>3310</v>
      </c>
      <c r="C6078" s="25">
        <v>600000</v>
      </c>
      <c r="D6078" s="22" t="s">
        <v>9321</v>
      </c>
      <c r="E6078" s="22" t="s">
        <v>362</v>
      </c>
      <c r="F6078" s="23" t="str">
        <f>HYPERLINK("https://www.spark-marketing.ru/Card/Lot/73022280", "Услуги общественного питания в сентябре 2019 года")</f>
        <v>Услуги общественного питания в сентябре 2019 года</v>
      </c>
      <c r="G6078" s="22" t="s">
        <v>766</v>
      </c>
      <c r="H6078" s="22" t="s">
        <v>766</v>
      </c>
      <c r="I6078" s="26">
        <v>43703</v>
      </c>
      <c r="J6078" s="28" t="s">
        <v>51</v>
      </c>
      <c r="K6078" s="28" t="s">
        <v>51</v>
      </c>
      <c r="L6078" s="22" t="s">
        <v>10</v>
      </c>
      <c r="M6078" s="25">
        <v>600000</v>
      </c>
      <c r="N6078" s="27">
        <v>0</v>
      </c>
    </row>
    <row r="6079" spans="1:14" x14ac:dyDescent="0.2">
      <c r="A6079" s="23" t="str">
        <f>HYPERLINK("https://www.spark-marketing.ru/Card/Person/1448728", "МАОУ СОШ № 9")</f>
        <v>МАОУ СОШ № 9</v>
      </c>
      <c r="B6079" s="24" t="s">
        <v>9322</v>
      </c>
      <c r="C6079" s="25">
        <v>460800</v>
      </c>
      <c r="D6079" s="22" t="s">
        <v>9323</v>
      </c>
      <c r="E6079" s="22" t="s">
        <v>362</v>
      </c>
      <c r="F6079" s="23" t="str">
        <f>HYPERLINK("https://www.spark-marketing.ru/Card/Lot/72995167", "Оказание услуг по организации питанием школьников")</f>
        <v>Оказание услуг по организации питанием школьников</v>
      </c>
      <c r="G6079" s="22" t="s">
        <v>104</v>
      </c>
      <c r="H6079" s="22" t="s">
        <v>104</v>
      </c>
      <c r="I6079" s="26">
        <v>43700</v>
      </c>
      <c r="J6079" s="28" t="s">
        <v>51</v>
      </c>
      <c r="K6079" s="28" t="s">
        <v>51</v>
      </c>
      <c r="L6079" s="22" t="s">
        <v>10</v>
      </c>
      <c r="M6079" s="25">
        <v>460800</v>
      </c>
      <c r="N6079" s="27">
        <v>0</v>
      </c>
    </row>
    <row r="6080" spans="1:14" x14ac:dyDescent="0.15">
      <c r="A6080" s="23" t="str">
        <f>HYPERLINK("https://www.spark-marketing.ru/Card/Person/1176121", "ГАУ КО ""ЦСП СК""")</f>
        <v>ГАУ КО "ЦСП СК"</v>
      </c>
      <c r="B6080" s="24" t="s">
        <v>6671</v>
      </c>
      <c r="C6080" s="25">
        <v>157500</v>
      </c>
      <c r="D6080" s="22" t="s">
        <v>9324</v>
      </c>
      <c r="E6080" s="22" t="s">
        <v>362</v>
      </c>
      <c r="F6080" s="23" t="str">
        <f>HYPERLINK("https://www.spark-marketing.ru/Card/Lot/72990449", "Услуги по организации проживания и питания участников спортивных соревнований (футбол)")</f>
        <v>Услуги по организации проживания и питания участников спортивных соревнований (футбол)</v>
      </c>
      <c r="G6080" s="22" t="s">
        <v>400</v>
      </c>
      <c r="H6080" s="22" t="s">
        <v>400</v>
      </c>
      <c r="I6080" s="26">
        <v>43700</v>
      </c>
      <c r="J6080" s="28" t="s">
        <v>51</v>
      </c>
      <c r="K6080" s="28" t="s">
        <v>51</v>
      </c>
      <c r="L6080" s="28" t="s">
        <v>51</v>
      </c>
      <c r="M6080" s="28" t="s">
        <v>51</v>
      </c>
      <c r="N6080" s="28" t="s">
        <v>51</v>
      </c>
    </row>
    <row r="6081" spans="1:14" x14ac:dyDescent="0.2">
      <c r="A6081" s="23" t="str">
        <f>HYPERLINK("https://www.spark-marketing.ru/Card/Person/1025151", "МОУ СШ № 17")</f>
        <v>МОУ СШ № 17</v>
      </c>
      <c r="B6081" s="24" t="s">
        <v>9270</v>
      </c>
      <c r="C6081" s="25">
        <v>470051</v>
      </c>
      <c r="D6081" s="22" t="s">
        <v>9325</v>
      </c>
      <c r="E6081" s="22" t="s">
        <v>362</v>
      </c>
      <c r="F6081" s="23" t="str">
        <f>HYPERLINK("https://www.spark-marketing.ru/Card/Lot/72991295", "Оказание услуг по организации питания детей с ОВЗ")</f>
        <v>Оказание услуг по организации питания детей с ОВЗ</v>
      </c>
      <c r="G6081" s="22" t="s">
        <v>158</v>
      </c>
      <c r="H6081" s="22" t="s">
        <v>158</v>
      </c>
      <c r="I6081" s="26">
        <v>43700</v>
      </c>
      <c r="J6081" s="28" t="s">
        <v>51</v>
      </c>
      <c r="K6081" s="28" t="s">
        <v>51</v>
      </c>
      <c r="L6081" s="28" t="s">
        <v>51</v>
      </c>
      <c r="M6081" s="25">
        <v>470051</v>
      </c>
      <c r="N6081" s="27">
        <v>0</v>
      </c>
    </row>
    <row r="6082" spans="1:14" x14ac:dyDescent="0.15">
      <c r="A6082" s="23" t="str">
        <f>HYPERLINK("https://www.spark-marketing.ru/Card/Person/37657", "МВД ПО РЕСПУБЛИКЕ КАЛМЫКИЯ")</f>
        <v>МВД ПО РЕСПУБЛИКЕ КАЛМЫКИЯ</v>
      </c>
      <c r="B6082" s="24" t="s">
        <v>8511</v>
      </c>
      <c r="C6082" s="25">
        <v>90000</v>
      </c>
      <c r="D6082" s="22" t="s">
        <v>9326</v>
      </c>
      <c r="E6082" s="22" t="s">
        <v>48</v>
      </c>
      <c r="F6082" s="23" t="str">
        <f>HYPERLINK("https://www.spark-marketing.ru/Card/Lot/72975757",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</v>
      </c>
      <c r="G6082" s="22" t="s">
        <v>8513</v>
      </c>
      <c r="H6082" s="22" t="s">
        <v>9327</v>
      </c>
      <c r="I6082" s="26">
        <v>43699.739143518498</v>
      </c>
      <c r="J6082" s="28" t="s">
        <v>51</v>
      </c>
      <c r="K6082" s="28" t="s">
        <v>51</v>
      </c>
      <c r="L6082" s="28" t="s">
        <v>51</v>
      </c>
      <c r="M6082" s="28" t="s">
        <v>51</v>
      </c>
      <c r="N6082" s="28" t="s">
        <v>51</v>
      </c>
    </row>
    <row r="6083" spans="1:14" x14ac:dyDescent="0.15">
      <c r="A6083" s="23" t="str">
        <f>HYPERLINK("https://www.spark-marketing.ru/Card/Person/37657", "МВД ПО РЕСПУБЛИКЕ КАЛМЫКИЯ")</f>
        <v>МВД ПО РЕСПУБЛИКЕ КАЛМЫКИЯ</v>
      </c>
      <c r="B6083" s="24" t="s">
        <v>8511</v>
      </c>
      <c r="C6083" s="25">
        <v>220000</v>
      </c>
      <c r="D6083" s="22" t="s">
        <v>9328</v>
      </c>
      <c r="E6083" s="22" t="s">
        <v>48</v>
      </c>
      <c r="F6083" s="23" t="str">
        <f>HYPERLINK("https://www.spark-marketing.ru/Card/Lot/72978970",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</v>
      </c>
      <c r="G6083" s="22" t="s">
        <v>8513</v>
      </c>
      <c r="H6083" s="22" t="s">
        <v>9329</v>
      </c>
      <c r="I6083" s="26">
        <v>43699.743113425902</v>
      </c>
      <c r="J6083" s="28" t="s">
        <v>51</v>
      </c>
      <c r="K6083" s="28" t="s">
        <v>51</v>
      </c>
      <c r="L6083" s="28" t="s">
        <v>51</v>
      </c>
      <c r="M6083" s="28" t="s">
        <v>51</v>
      </c>
      <c r="N6083" s="28" t="s">
        <v>51</v>
      </c>
    </row>
    <row r="6084" spans="1:14" x14ac:dyDescent="0.15">
      <c r="A6084" s="23" t="str">
        <f>HYPERLINK("https://www.spark-marketing.ru/Card/Person/37657", "МВД ПО РЕСПУБЛИКЕ КАЛМЫКИЯ")</f>
        <v>МВД ПО РЕСПУБЛИКЕ КАЛМЫКИЯ</v>
      </c>
      <c r="B6084" s="24" t="s">
        <v>8511</v>
      </c>
      <c r="C6084" s="25">
        <v>90000</v>
      </c>
      <c r="D6084" s="22" t="s">
        <v>9330</v>
      </c>
      <c r="E6084" s="22" t="s">
        <v>48</v>
      </c>
      <c r="F6084" s="23" t="str">
        <f>HYPERLINK("https://www.spark-marketing.ru/Card/Lot/72975792",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</v>
      </c>
      <c r="G6084" s="22" t="s">
        <v>8513</v>
      </c>
      <c r="H6084" s="22" t="s">
        <v>9331</v>
      </c>
      <c r="I6084" s="26">
        <v>43699.726331018501</v>
      </c>
      <c r="J6084" s="28" t="s">
        <v>51</v>
      </c>
      <c r="K6084" s="28" t="s">
        <v>51</v>
      </c>
      <c r="L6084" s="28" t="s">
        <v>51</v>
      </c>
      <c r="M6084" s="28" t="s">
        <v>51</v>
      </c>
      <c r="N6084" s="28" t="s">
        <v>51</v>
      </c>
    </row>
    <row r="6085" spans="1:14" x14ac:dyDescent="0.15">
      <c r="A6085" s="23" t="str">
        <f>HYPERLINK("https://www.spark-marketing.ru/Card/Person/37657", "МВД ПО РЕСПУБЛИКЕ КАЛМЫКИЯ")</f>
        <v>МВД ПО РЕСПУБЛИКЕ КАЛМЫКИЯ</v>
      </c>
      <c r="B6085" s="24" t="s">
        <v>8511</v>
      </c>
      <c r="C6085" s="25">
        <v>90000</v>
      </c>
      <c r="D6085" s="22" t="s">
        <v>9332</v>
      </c>
      <c r="E6085" s="22" t="s">
        <v>48</v>
      </c>
      <c r="F6085" s="23" t="str">
        <f>HYPERLINK("https://www.spark-marketing.ru/Card/Lot/72975750",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</v>
      </c>
      <c r="G6085" s="22" t="s">
        <v>8513</v>
      </c>
      <c r="H6085" s="22" t="s">
        <v>9331</v>
      </c>
      <c r="I6085" s="26">
        <v>43699.7351388889</v>
      </c>
      <c r="J6085" s="28" t="s">
        <v>51</v>
      </c>
      <c r="K6085" s="28" t="s">
        <v>51</v>
      </c>
      <c r="L6085" s="28" t="s">
        <v>51</v>
      </c>
      <c r="M6085" s="28" t="s">
        <v>51</v>
      </c>
      <c r="N6085" s="28" t="s">
        <v>51</v>
      </c>
    </row>
    <row r="6086" spans="1:14" x14ac:dyDescent="0.15">
      <c r="A6086" s="23" t="str">
        <f>HYPERLINK("https://www.spark-marketing.ru/Card/Person/37657", "МВД ПО РЕСПУБЛИКЕ КАЛМЫКИЯ")</f>
        <v>МВД ПО РЕСПУБЛИКЕ КАЛМЫКИЯ</v>
      </c>
      <c r="B6086" s="24" t="s">
        <v>8511</v>
      </c>
      <c r="C6086" s="25">
        <v>90000</v>
      </c>
      <c r="D6086" s="22" t="s">
        <v>9333</v>
      </c>
      <c r="E6086" s="22" t="s">
        <v>48</v>
      </c>
      <c r="F6086" s="23" t="str">
        <f>HYPERLINK("https://www.spark-marketing.ru/Card/Lot/72975752",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</v>
      </c>
      <c r="G6086" s="22" t="s">
        <v>8513</v>
      </c>
      <c r="H6086" s="22" t="s">
        <v>9327</v>
      </c>
      <c r="I6086" s="26">
        <v>43699.736678240697</v>
      </c>
      <c r="J6086" s="28" t="s">
        <v>51</v>
      </c>
      <c r="K6086" s="28" t="s">
        <v>51</v>
      </c>
      <c r="L6086" s="28" t="s">
        <v>51</v>
      </c>
      <c r="M6086" s="28" t="s">
        <v>51</v>
      </c>
      <c r="N6086" s="28" t="s">
        <v>51</v>
      </c>
    </row>
    <row r="6087" spans="1:14" x14ac:dyDescent="0.15">
      <c r="A6087" s="23" t="str">
        <f>HYPERLINK("https://www.spark-marketing.ru/Card/Person/36236", "ГКУ РС (Я) ""ЦККЛ И ОГЗ""")</f>
        <v>ГКУ РС (Я) "ЦККЛ И ОГЗ"</v>
      </c>
      <c r="B6087" s="24" t="s">
        <v>5560</v>
      </c>
      <c r="C6087" s="25">
        <v>4996154.13</v>
      </c>
      <c r="D6087" s="22" t="s">
        <v>9334</v>
      </c>
      <c r="E6087" s="22" t="s">
        <v>1153</v>
      </c>
      <c r="F6087" s="23" t="str">
        <f>HYPERLINK("https://www.spark-marketing.ru/Card/Lot/72968619", "На оказание социальной услуги по приобретению, хранению, изготовлению и отпуску лекарственных препаратов, медицинских изделий и специализированных продуктов лечебного питания по рецептам врачей бесплатно отдельным категориям граждан, прикрепленным ГО...")</f>
        <v>На оказание социальной услуги по приобретению, хранению, изготовлению и отпуску лекарственных препаратов, медицинских изделий и специализированных продуктов лечебного питания по рецептам врачей бесплатно отдельным категориям граждан, прикрепленным ГО...</v>
      </c>
      <c r="G6087" s="22" t="s">
        <v>241</v>
      </c>
      <c r="H6087" s="22" t="s">
        <v>242</v>
      </c>
      <c r="I6087" s="26">
        <v>43699.6621296296</v>
      </c>
      <c r="J6087" s="28" t="s">
        <v>51</v>
      </c>
      <c r="K6087" s="28" t="s">
        <v>51</v>
      </c>
      <c r="L6087" s="28" t="s">
        <v>51</v>
      </c>
      <c r="M6087" s="28" t="s">
        <v>51</v>
      </c>
      <c r="N6087" s="28" t="s">
        <v>51</v>
      </c>
    </row>
    <row r="6088" spans="1:14" x14ac:dyDescent="0.15">
      <c r="A6088" s="23" t="str">
        <f>HYPERLINK("https://www.spark-marketing.ru/Card/Person/37657", "МВД ПО РЕСПУБЛИКЕ КАЛМЫКИЯ")</f>
        <v>МВД ПО РЕСПУБЛИКЕ КАЛМЫКИЯ</v>
      </c>
      <c r="B6088" s="24" t="s">
        <v>8511</v>
      </c>
      <c r="C6088" s="25">
        <v>220000</v>
      </c>
      <c r="D6088" s="22" t="s">
        <v>9335</v>
      </c>
      <c r="E6088" s="22" t="s">
        <v>48</v>
      </c>
      <c r="F6088" s="23" t="str">
        <f>HYPERLINK("https://www.spark-marketing.ru/Card/Lot/72978969", "Оказание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спец...")</f>
        <v>Оказание услуг по обеспечению ежедневным трёхразовым горячим питанием подозреваемых и обвиняемых в совершении преступлений и лиц, подвергнутых административному аресту, содержащихся в изоляторе временного содержания и задержанных, содержащихся в спец...</v>
      </c>
      <c r="G6088" s="22" t="s">
        <v>8513</v>
      </c>
      <c r="H6088" s="22" t="s">
        <v>9329</v>
      </c>
      <c r="I6088" s="26">
        <v>43699.741203703699</v>
      </c>
      <c r="J6088" s="28" t="s">
        <v>51</v>
      </c>
      <c r="K6088" s="28" t="s">
        <v>51</v>
      </c>
      <c r="L6088" s="28" t="s">
        <v>51</v>
      </c>
      <c r="M6088" s="28" t="s">
        <v>51</v>
      </c>
      <c r="N6088" s="28" t="s">
        <v>51</v>
      </c>
    </row>
    <row r="6089" spans="1:14" x14ac:dyDescent="0.15">
      <c r="A6089" s="23" t="str">
        <f>HYPERLINK("https://www.spark-marketing.ru/Card/Person/31222", "ФКУ ""ЦВР МВД РОССИИ, Г. КРАСНОАРМЕЙСК""")</f>
        <v>ФКУ "ЦВР МВД РОССИИ, Г. КРАСНОАРМЕЙСК"</v>
      </c>
      <c r="B6089" s="24" t="s">
        <v>4544</v>
      </c>
      <c r="C6089" s="25">
        <v>880373.76000000001</v>
      </c>
      <c r="D6089" s="22" t="s">
        <v>9336</v>
      </c>
      <c r="E6089" s="22" t="s">
        <v>48</v>
      </c>
      <c r="F6089" s="23" t="str">
        <f>HYPERLINK("https://www.spark-marketing.ru/Card/Lot/72975128", "Оказание услуг по приготовлению горячего питания для беженцев, размещенных в ФКУ «ЦВР МВД России, г. Красноармейск», в 4 квартале")</f>
        <v>Оказание услуг по приготовлению горячего питания для беженцев, размещенных в ФКУ «ЦВР МВД России, г. Красноармейск», в 4 квартале</v>
      </c>
      <c r="G6089" s="22" t="s">
        <v>351</v>
      </c>
      <c r="H6089" s="22" t="s">
        <v>3618</v>
      </c>
      <c r="I6089" s="26">
        <v>43699.382303240702</v>
      </c>
      <c r="J6089" s="23" t="str">
        <f>HYPERLINK("https://www.spark-marketing.ru/Card/Person/535831", "ООО ""РУССКИЙ ТРАКТИР""")</f>
        <v>ООО "РУССКИЙ ТРАКТИР"</v>
      </c>
      <c r="K6089" s="24" t="s">
        <v>3619</v>
      </c>
      <c r="L6089" s="22" t="s">
        <v>10</v>
      </c>
      <c r="M6089" s="28" t="s">
        <v>51</v>
      </c>
      <c r="N6089" s="28" t="s">
        <v>51</v>
      </c>
    </row>
    <row r="6090" spans="1:14" x14ac:dyDescent="0.15">
      <c r="A6090" s="23" t="str">
        <f>HYPERLINK("https://www.spark-marketing.ru/Card/Person/5351", "ОМВД РОССИИ ПО ГОРОДСКОМУ ОКРУГУ ИСТРА")</f>
        <v>ОМВД РОССИИ ПО ГОРОДСКОМУ ОКРУГУ ИСТРА</v>
      </c>
      <c r="B6090" s="24" t="s">
        <v>9213</v>
      </c>
      <c r="C6090" s="25">
        <v>3623400</v>
      </c>
      <c r="D6090" s="22" t="s">
        <v>9337</v>
      </c>
      <c r="E6090" s="22" t="s">
        <v>48</v>
      </c>
      <c r="F6090" s="23" t="str">
        <f>HYPERLINK("https://www.spark-marketing.ru/Card/Lot/72979377", "Оказание услуг по питанию граждан, содержащихся в ИВС и Спецприемнике")</f>
        <v>Оказание услуг по питанию граждан, содержащихся в ИВС и Спецприемнике</v>
      </c>
      <c r="G6090" s="22" t="s">
        <v>49</v>
      </c>
      <c r="H6090" s="22" t="s">
        <v>4820</v>
      </c>
      <c r="I6090" s="26">
        <v>43699.646493055603</v>
      </c>
      <c r="J6090" s="23" t="str">
        <f>HYPERLINK("https://www.spark-marketing.ru/Card/Person/115242", "Башмаков Николай Николаевич")</f>
        <v>Башмаков Николай Николаевич</v>
      </c>
      <c r="K6090" s="24" t="s">
        <v>5812</v>
      </c>
      <c r="L6090" s="22" t="s">
        <v>10</v>
      </c>
      <c r="M6090" s="28" t="s">
        <v>51</v>
      </c>
      <c r="N6090" s="28" t="s">
        <v>51</v>
      </c>
    </row>
    <row r="6091" spans="1:14" x14ac:dyDescent="0.15">
      <c r="A6091" s="23" t="str">
        <f>HYPERLINK("https://www.spark-marketing.ru/Card/Person/1042779", "МБОУ ""КСОШ № 5""")</f>
        <v>МБОУ "КСОШ № 5"</v>
      </c>
      <c r="B6091" s="24" t="s">
        <v>9338</v>
      </c>
      <c r="C6091" s="25">
        <v>885912.5</v>
      </c>
      <c r="D6091" s="22" t="s">
        <v>9339</v>
      </c>
      <c r="E6091" s="22" t="s">
        <v>48</v>
      </c>
      <c r="F6091" s="23" t="str">
        <f>HYPERLINK("https://www.spark-marketing.ru/Card/Lot/72975245", "Оказание услуги по организации питания на бесплатной основе обучающимся в муниципальном бюджетном общеобразовательном учреждении «Кингисеппская средняя общеобразовательная школа № 5»")</f>
        <v>Оказание услуги по организации питания на бесплатной основе обучающимся в муниципальном бюджетном общеобразовательном учреждении «Кингисеппская средняя общеобразовательная школа № 5»</v>
      </c>
      <c r="G6091" s="22" t="s">
        <v>162</v>
      </c>
      <c r="H6091" s="22" t="s">
        <v>9340</v>
      </c>
      <c r="I6091" s="26">
        <v>43699.645231481503</v>
      </c>
      <c r="J6091" s="23" t="str">
        <f>HYPERLINK("https://www.spark-marketing.ru/Card/Person/4957274", "Кошевой Алексей Геннадьевич")</f>
        <v>Кошевой Алексей Геннадьевич</v>
      </c>
      <c r="K6091" s="24" t="s">
        <v>9341</v>
      </c>
      <c r="L6091" s="22" t="s">
        <v>10</v>
      </c>
      <c r="M6091" s="28" t="s">
        <v>51</v>
      </c>
      <c r="N6091" s="28" t="s">
        <v>51</v>
      </c>
    </row>
    <row r="6092" spans="1:14" x14ac:dyDescent="0.15">
      <c r="A6092" s="23" t="str">
        <f>HYPERLINK("https://www.spark-marketing.ru/Card/Person/382414", "МЕЖМУНИЦИПАЛЬНЫЙ ОТДЕЛ МВД РОССИИ ""АЗОВСКИЙ""")</f>
        <v>МЕЖМУНИЦИПАЛЬНЫЙ ОТДЕЛ МВД РОССИИ "АЗОВСКИЙ"</v>
      </c>
      <c r="B6092" s="24" t="s">
        <v>9342</v>
      </c>
      <c r="C6092" s="25">
        <v>12648</v>
      </c>
      <c r="D6092" s="22" t="s">
        <v>9343</v>
      </c>
      <c r="E6092" s="22" t="s">
        <v>96</v>
      </c>
      <c r="F6092" s="23" t="str">
        <f>HYPERLINK("https://www.spark-marketing.ru/Card/Lot/72973839",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6092" s="22" t="s">
        <v>267</v>
      </c>
      <c r="H6092" s="22" t="s">
        <v>611</v>
      </c>
      <c r="I6092" s="26">
        <v>43699.7449305556</v>
      </c>
      <c r="J6092" s="28" t="s">
        <v>51</v>
      </c>
      <c r="K6092" s="28" t="s">
        <v>51</v>
      </c>
      <c r="L6092" s="28" t="s">
        <v>51</v>
      </c>
      <c r="M6092" s="28" t="s">
        <v>51</v>
      </c>
      <c r="N6092" s="28" t="s">
        <v>51</v>
      </c>
    </row>
    <row r="6093" spans="1:14" collapsed="1" x14ac:dyDescent="0.15">
      <c r="A6093" s="23" t="str">
        <f>HYPERLINK("https://www.spark-marketing.ru/Card/Person/4856439", "ГУ-ВОРОНЕЖСКОЕ РО ФОНДА СОЦИАЛЬНОГО СТРАХОВАНИЯ РОССИЙСКОЙ ФЕДЕРАЦИИ")</f>
        <v>ГУ-ВОРОНЕЖСКОЕ РО ФОНДА СОЦИАЛЬНОГО СТРАХОВАНИЯ РОССИЙСКОЙ ФЕДЕРАЦИИ</v>
      </c>
      <c r="B6093" s="24" t="s">
        <v>3625</v>
      </c>
      <c r="C6093" s="25">
        <v>1122930</v>
      </c>
      <c r="D6093" s="22" t="s">
        <v>9344</v>
      </c>
      <c r="E6093" s="22" t="s">
        <v>86</v>
      </c>
      <c r="F6093" s="23" t="str">
        <f>HYPERLINK("https://www.spark-marketing.ru/Card/Lot/72975715", "Оказание услуг санаторно-курортного лечения граждан-получателей государственной социальной помощи в виде набора социальных услуг по профилям лечения болезней нервной системы, опорно-двигательного аппарата, системы кровообращения, органов пищеварения,...")</f>
        <v>Оказание услуг санаторно-курортного лечения граждан-получателей государственной социальной помощи в виде набора социальных услуг по профилям лечения болезней нервной системы, опорно-двигательного аппарата, системы кровообращения, органов пищеварения,...</v>
      </c>
      <c r="G6093" s="22" t="s">
        <v>87</v>
      </c>
      <c r="H6093" s="22" t="s">
        <v>604</v>
      </c>
      <c r="I6093" s="26">
        <v>43699.718136574098</v>
      </c>
      <c r="J6093" s="28" t="s">
        <v>51</v>
      </c>
      <c r="K6093" s="28" t="s">
        <v>51</v>
      </c>
      <c r="L6093" s="28" t="s">
        <v>51</v>
      </c>
      <c r="M6093" s="28" t="s">
        <v>51</v>
      </c>
      <c r="N6093" s="28" t="s">
        <v>51</v>
      </c>
    </row>
    <row r="6094" spans="1:14" hidden="1" outlineLevel="1" x14ac:dyDescent="0.2">
      <c r="A6094" s="23" t="str">
        <f>HYPERLINK("https://www.spark-marketing.ru/Card/Person/4856439", "ГУ-ВОРОНЕЖСКОЕ РО ФОНДА СОЦИАЛЬНОГО СТРАХОВАНИЯ РОССИЙСКОЙ ФЕДЕРАЦИИ")</f>
        <v>ГУ-ВОРОНЕЖСКОЕ РО ФОНДА СОЦИАЛЬНОГО СТРАХОВАНИЯ РОССИЙСКОЙ ФЕДЕРАЦИИ</v>
      </c>
      <c r="B6094" s="24" t="s">
        <v>3625</v>
      </c>
      <c r="C6094" s="25">
        <v>1122930</v>
      </c>
      <c r="D6094" s="22" t="s">
        <v>9344</v>
      </c>
      <c r="E6094" s="22" t="s">
        <v>86</v>
      </c>
      <c r="F6094" s="23" t="str">
        <f>HYPERLINK("https://www.spark-marketing.ru/Card/Lot/72975715", "Оказание услуг санаторно-курортного лечения граждан-получателей государственной социальной помощи в виде набора социальных услуг по профилям лечения болезней нервной системы, опорно-двигательного аппарата, системы кровообращения, органов пищеварения,...")</f>
        <v>Оказание услуг санаторно-курортного лечения граждан-получателей государственной социальной помощи в виде набора социальных услуг по профилям лечения болезней нервной системы, опорно-двигательного аппарата, системы кровообращения, органов пищеварения,...</v>
      </c>
      <c r="G6094" s="22" t="s">
        <v>87</v>
      </c>
      <c r="H6094" s="22" t="s">
        <v>604</v>
      </c>
      <c r="I6094" s="26">
        <v>43699.718136574098</v>
      </c>
      <c r="J6094" s="23" t="str">
        <f>HYPERLINK("https://www.spark-marketing.ru/Card/Person/66040", "ЛПУ ""САНАТОРИЙ ИМЕНИ АНДЖИЕВСКОГО""")</f>
        <v>ЛПУ "САНАТОРИЙ ИМЕНИ АНДЖИЕВСКОГО"</v>
      </c>
      <c r="K6094" s="24" t="s">
        <v>9345</v>
      </c>
      <c r="L6094" s="28" t="s">
        <v>51</v>
      </c>
      <c r="M6094" s="25">
        <v>1016251.55</v>
      </c>
      <c r="N6094" s="27">
        <v>9.5000089052745942E-2</v>
      </c>
    </row>
    <row r="6095" spans="1:14" ht="12.75" hidden="1" outlineLevel="1" x14ac:dyDescent="0.2">
      <c r="A6095" s="23" t="str">
        <f>HYPERLINK("https://www.spark-marketing.ru/Card/Person/4856439", "ГУ-ВОРОНЕЖСКОЕ РО ФОНДА СОЦИАЛЬНОГО СТРАХОВАНИЯ РОССИЙСКОЙ ФЕДЕРАЦИИ")</f>
        <v>ГУ-ВОРОНЕЖСКОЕ РО ФОНДА СОЦИАЛЬНОГО СТРАХОВАНИЯ РОССИЙСКОЙ ФЕДЕРАЦИИ</v>
      </c>
      <c r="B6095" s="24" t="s">
        <v>3625</v>
      </c>
      <c r="C6095" s="25">
        <v>1122930</v>
      </c>
      <c r="D6095" s="22" t="s">
        <v>9344</v>
      </c>
      <c r="E6095" s="22" t="s">
        <v>86</v>
      </c>
      <c r="F6095" s="23" t="str">
        <f>HYPERLINK("https://www.spark-marketing.ru/Card/Lot/72975715", "Оказание услуг санаторно-курортного лечения граждан-получателей государственной социальной помощи в виде набора социальных услуг по профилям лечения болезней нервной системы, опорно-двигательного аппарата, системы кровообращения, органов пищеварения,...")</f>
        <v>Оказание услуг санаторно-курортного лечения граждан-получателей государственной социальной помощи в виде набора социальных услуг по профилям лечения болезней нервной системы, опорно-двигательного аппарата, системы кровообращения, органов пищеварения,...</v>
      </c>
      <c r="G6095" s="22" t="s">
        <v>87</v>
      </c>
      <c r="H6095" s="22" t="s">
        <v>604</v>
      </c>
      <c r="I6095" s="26">
        <v>43699.718136574098</v>
      </c>
      <c r="J6095" s="23" t="str">
        <f>HYPERLINK("https://www.spark-marketing.ru/Card/Person/63242", "ЛПУ ""БАЗОВЫЙ САНАТОРИЙ ""ВИКТОРИЯ"" (СКРЦ)")</f>
        <v>ЛПУ "БАЗОВЫЙ САНАТОРИЙ "ВИКТОРИЯ" (СКРЦ)</v>
      </c>
      <c r="K6095" s="24" t="s">
        <v>5297</v>
      </c>
      <c r="L6095" s="22" t="s">
        <v>10</v>
      </c>
      <c r="M6095" s="25">
        <v>1010636.9</v>
      </c>
      <c r="N6095" s="27">
        <v>0.10000008905274595</v>
      </c>
    </row>
    <row r="6096" spans="1:14" x14ac:dyDescent="0.15">
      <c r="A6096" s="23" t="str">
        <f>HYPERLINK("https://www.spark-marketing.ru/Card/Person/382414", "МЕЖМУНИЦИПАЛЬНЫЙ ОТДЕЛ МВД РОССИИ ""АЗОВСКИЙ""")</f>
        <v>МЕЖМУНИЦИПАЛЬНЫЙ ОТДЕЛ МВД РОССИИ "АЗОВСКИЙ"</v>
      </c>
      <c r="B6096" s="24" t="s">
        <v>9342</v>
      </c>
      <c r="C6096" s="25">
        <v>105000</v>
      </c>
      <c r="D6096" s="22" t="s">
        <v>9346</v>
      </c>
      <c r="E6096" s="22" t="s">
        <v>48</v>
      </c>
      <c r="F6096" s="23" t="str">
        <f>HYPERLINK("https://www.spark-marketing.ru/Card/Lot/72973831",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096" s="22" t="s">
        <v>267</v>
      </c>
      <c r="H6096" s="22" t="s">
        <v>611</v>
      </c>
      <c r="I6096" s="26">
        <v>43699.741180555597</v>
      </c>
      <c r="J6096" s="28" t="s">
        <v>51</v>
      </c>
      <c r="K6096" s="28" t="s">
        <v>51</v>
      </c>
      <c r="L6096" s="28" t="s">
        <v>51</v>
      </c>
      <c r="M6096" s="28" t="s">
        <v>51</v>
      </c>
      <c r="N6096" s="28" t="s">
        <v>51</v>
      </c>
    </row>
    <row r="6097" spans="1:14" x14ac:dyDescent="0.15">
      <c r="A6097" s="23" t="str">
        <f>HYPERLINK("https://www.spark-marketing.ru/Card/Person/35042", "МКОУ АШИ")</f>
        <v>МКОУ АШИ</v>
      </c>
      <c r="B6097" s="24" t="s">
        <v>9347</v>
      </c>
      <c r="C6097" s="25">
        <v>5765504</v>
      </c>
      <c r="D6097" s="22" t="s">
        <v>9348</v>
      </c>
      <c r="E6097" s="22" t="s">
        <v>96</v>
      </c>
      <c r="F6097" s="23" t="str">
        <f>HYPERLINK("https://www.spark-marketing.ru/Card/Lot/72978758", "Оказание услуг по организации горячего питания учащихся 1-11 классов на 2 полугодие 2019 года")</f>
        <v>Оказание услуг по организации горячего питания учащихся 1-11 классов на 2 полугодие 2019 года</v>
      </c>
      <c r="G6097" s="22" t="s">
        <v>1056</v>
      </c>
      <c r="H6097" s="22" t="s">
        <v>9349</v>
      </c>
      <c r="I6097" s="26">
        <v>43699.600474537001</v>
      </c>
      <c r="J6097" s="23" t="str">
        <f>HYPERLINK("https://www.spark-marketing.ru/Card/Person/144558", "АНТИПАЮТИНСКОЕ ПО")</f>
        <v>АНТИПАЮТИНСКОЕ ПО</v>
      </c>
      <c r="K6097" s="24" t="s">
        <v>9350</v>
      </c>
      <c r="L6097" s="22" t="s">
        <v>10</v>
      </c>
      <c r="M6097" s="28" t="s">
        <v>51</v>
      </c>
      <c r="N6097" s="28" t="s">
        <v>51</v>
      </c>
    </row>
    <row r="6098" spans="1:14" x14ac:dyDescent="0.15">
      <c r="A6098" s="23" t="str">
        <f>HYPERLINK("https://www.spark-marketing.ru/Card/Person/4346129", "ДЕПАРТАМЕНТ ЗДРАВООХРАНЕНИЯ ТЮМЕНСКОЙ ОБЛАСТИ")</f>
        <v>ДЕПАРТАМЕНТ ЗДРАВООХРАНЕНИЯ ТЮМЕНСКОЙ ОБЛАСТИ</v>
      </c>
      <c r="B6098" s="24" t="s">
        <v>2542</v>
      </c>
      <c r="C6098" s="25">
        <v>30600000</v>
      </c>
      <c r="D6098" s="22" t="s">
        <v>9351</v>
      </c>
      <c r="E6098" s="22" t="s">
        <v>1153</v>
      </c>
      <c r="F6098" s="23" t="str">
        <f>HYPERLINK("https://www.spark-marketing.ru/Card/Lot/72968632", "Оказание услуг по приему на склад, хранению, учету и отчетности, транспортировке и отпуску лекарственных препаратов, медицинских изделий и специализированных продуктов лечебного питания по рецептам врачей (фельдшеров), персонифицированному учету отпу...")</f>
        <v>Оказание услуг по приему на склад, хранению, учету и отчетности, транспортировке и отпуску лекарственных препаратов, медицинских изделий и специализированных продуктов лечебного питания по рецептам врачей (фельдшеров), персонифицированному учету отпу...</v>
      </c>
      <c r="G6098" s="22" t="s">
        <v>766</v>
      </c>
      <c r="H6098" s="22" t="s">
        <v>1028</v>
      </c>
      <c r="I6098" s="26">
        <v>43699.669479166703</v>
      </c>
      <c r="J6098" s="23" t="str">
        <f>HYPERLINK("https://www.spark-marketing.ru/Card/Person/4350779", "АО ""ФАРМАЦИЯ""")</f>
        <v>АО "ФАРМАЦИЯ"</v>
      </c>
      <c r="K6098" s="24" t="s">
        <v>2544</v>
      </c>
      <c r="L6098" s="22" t="s">
        <v>10</v>
      </c>
      <c r="M6098" s="28" t="s">
        <v>51</v>
      </c>
      <c r="N6098" s="28" t="s">
        <v>51</v>
      </c>
    </row>
    <row r="6099" spans="1:14" collapsed="1" x14ac:dyDescent="0.15">
      <c r="A6099" s="23" t="str">
        <f>HYPERLINK("https://www.spark-marketing.ru/Card/Person/874950", "ОТДЕЛ МВД РОССИИ ПО БРЮХОВЕЦКОМУ РАЙОНУ")</f>
        <v>ОТДЕЛ МВД РОССИИ ПО БРЮХОВЕЦКОМУ РАЙОНУ</v>
      </c>
      <c r="B6099" s="24" t="s">
        <v>9352</v>
      </c>
      <c r="C6099" s="25">
        <v>1290000</v>
      </c>
      <c r="D6099" s="22" t="s">
        <v>9353</v>
      </c>
      <c r="E6099" s="22" t="s">
        <v>48</v>
      </c>
      <c r="F6099" s="23" t="str">
        <f>HYPERLINK("https://www.spark-marketing.ru/Card/Lot/72978864", "Обеспечение ежедневным трехразовым горячим питанием лиц содержащихся в ИВС Отдела МВД России по Брюховецкому району")</f>
        <v>Обеспечение ежедневным трехразовым горячим питанием лиц содержащихся в ИВС Отдела МВД России по Брюховецкому району</v>
      </c>
      <c r="G6099" s="22" t="s">
        <v>104</v>
      </c>
      <c r="H6099" s="22" t="s">
        <v>9354</v>
      </c>
      <c r="I6099" s="26">
        <v>43699.601435185199</v>
      </c>
      <c r="J6099" s="28" t="s">
        <v>51</v>
      </c>
      <c r="K6099" s="28" t="s">
        <v>51</v>
      </c>
      <c r="L6099" s="28" t="s">
        <v>51</v>
      </c>
      <c r="M6099" s="28" t="s">
        <v>51</v>
      </c>
      <c r="N6099" s="28" t="s">
        <v>51</v>
      </c>
    </row>
    <row r="6100" spans="1:14" ht="12.75" hidden="1" outlineLevel="1" x14ac:dyDescent="0.2">
      <c r="A6100" s="23" t="str">
        <f>HYPERLINK("https://www.spark-marketing.ru/Card/Person/874950", "ОТДЕЛ МВД РОССИИ ПО БРЮХОВЕЦКОМУ РАЙОНУ")</f>
        <v>ОТДЕЛ МВД РОССИИ ПО БРЮХОВЕЦКОМУ РАЙОНУ</v>
      </c>
      <c r="B6100" s="24" t="s">
        <v>9352</v>
      </c>
      <c r="C6100" s="25">
        <v>1290000</v>
      </c>
      <c r="D6100" s="22" t="s">
        <v>9353</v>
      </c>
      <c r="E6100" s="22" t="s">
        <v>48</v>
      </c>
      <c r="F6100" s="23" t="str">
        <f>HYPERLINK("https://www.spark-marketing.ru/Card/Lot/72978864", "Обеспечение ежедневным трехразовым горячим питанием лиц содержащихся в ИВС Отдела МВД России по Брюховецкому району")</f>
        <v>Обеспечение ежедневным трехразовым горячим питанием лиц содержащихся в ИВС Отдела МВД России по Брюховецкому району</v>
      </c>
      <c r="G6100" s="22" t="s">
        <v>104</v>
      </c>
      <c r="H6100" s="22" t="s">
        <v>9354</v>
      </c>
      <c r="I6100" s="26">
        <v>43699.601435185199</v>
      </c>
      <c r="J6100" s="23" t="str">
        <f>HYPERLINK("https://www.spark-marketing.ru/Card/Person/5896700", "ООО ""ВЕРСАЛЬ""")</f>
        <v>ООО "ВЕРСАЛЬ"</v>
      </c>
      <c r="K6100" s="24" t="s">
        <v>9355</v>
      </c>
      <c r="L6100" s="22" t="s">
        <v>10</v>
      </c>
      <c r="M6100" s="25">
        <v>961300</v>
      </c>
      <c r="N6100" s="27">
        <v>0.25480620155038758</v>
      </c>
    </row>
    <row r="6101" spans="1:14" hidden="1" outlineLevel="1" x14ac:dyDescent="0.2">
      <c r="A6101" s="23" t="str">
        <f>HYPERLINK("https://www.spark-marketing.ru/Card/Person/874950", "ОТДЕЛ МВД РОССИИ ПО БРЮХОВЕЦКОМУ РАЙОНУ")</f>
        <v>ОТДЕЛ МВД РОССИИ ПО БРЮХОВЕЦКОМУ РАЙОНУ</v>
      </c>
      <c r="B6101" s="24" t="s">
        <v>9352</v>
      </c>
      <c r="C6101" s="25">
        <v>1290000</v>
      </c>
      <c r="D6101" s="22" t="s">
        <v>9353</v>
      </c>
      <c r="E6101" s="22" t="s">
        <v>48</v>
      </c>
      <c r="F6101" s="23" t="str">
        <f>HYPERLINK("https://www.spark-marketing.ru/Card/Lot/72978864", "Обеспечение ежедневным трехразовым горячим питанием лиц содержащихся в ИВС Отдела МВД России по Брюховецкому району")</f>
        <v>Обеспечение ежедневным трехразовым горячим питанием лиц содержащихся в ИВС Отдела МВД России по Брюховецкому району</v>
      </c>
      <c r="G6101" s="22" t="s">
        <v>104</v>
      </c>
      <c r="H6101" s="22" t="s">
        <v>9354</v>
      </c>
      <c r="I6101" s="26">
        <v>43699.601435185199</v>
      </c>
      <c r="J6101" s="23" t="str">
        <f>HYPERLINK("https://www.spark-marketing.ru/Card/Person/1944082", "ООО ""ВИЗАВИА""")</f>
        <v>ООО "ВИЗАВИА"</v>
      </c>
      <c r="K6101" s="24" t="s">
        <v>6798</v>
      </c>
      <c r="L6101" s="28" t="s">
        <v>51</v>
      </c>
      <c r="M6101" s="25">
        <v>967750</v>
      </c>
      <c r="N6101" s="27">
        <v>0.2498062015503876</v>
      </c>
    </row>
    <row r="6102" spans="1:14" collapsed="1" x14ac:dyDescent="0.15">
      <c r="A6102" s="23" t="str">
        <f>HYPERLINK("https://www.spark-marketing.ru/Card/Person/266264", "АДМИНИСТРАЦИЯ ГОРОДСКОГО ОКРУГА - ГОРОД КАМЫШИН")</f>
        <v>АДМИНИСТРАЦИЯ ГОРОДСКОГО ОКРУГА - ГОРОД КАМЫШИН</v>
      </c>
      <c r="B6102" s="24" t="s">
        <v>9356</v>
      </c>
      <c r="C6102" s="25">
        <v>60000</v>
      </c>
      <c r="D6102" s="22" t="s">
        <v>9357</v>
      </c>
      <c r="E6102" s="22" t="s">
        <v>91</v>
      </c>
      <c r="F6102" s="23" t="str">
        <f>HYPERLINK("https://www.spark-marketing.ru/Card/Lot/72972768", "Оказание услуг по техническому обслуживанию и ремонту компьютеров и оргтехники для нужд Администрации городского округа-город Камышин в 2019г.")</f>
        <v>Оказание услуг по техническому обслуживанию и ремонту компьютеров и оргтехники для нужд Администрации городского округа-город Камышин в 2019г.</v>
      </c>
      <c r="G6102" s="22" t="s">
        <v>158</v>
      </c>
      <c r="H6102" s="22" t="s">
        <v>2151</v>
      </c>
      <c r="I6102" s="26">
        <v>43699.684664351902</v>
      </c>
      <c r="J6102" s="28" t="s">
        <v>51</v>
      </c>
      <c r="K6102" s="28" t="s">
        <v>51</v>
      </c>
      <c r="L6102" s="28" t="s">
        <v>51</v>
      </c>
      <c r="M6102" s="28" t="s">
        <v>51</v>
      </c>
      <c r="N6102" s="28" t="s">
        <v>51</v>
      </c>
    </row>
    <row r="6103" spans="1:14" hidden="1" outlineLevel="1" x14ac:dyDescent="0.2">
      <c r="A6103" s="23" t="str">
        <f>HYPERLINK("https://www.spark-marketing.ru/Card/Person/266264", "АДМИНИСТРАЦИЯ ГОРОДСКОГО ОКРУГА - ГОРОД КАМЫШИН")</f>
        <v>АДМИНИСТРАЦИЯ ГОРОДСКОГО ОКРУГА - ГОРОД КАМЫШИН</v>
      </c>
      <c r="B6103" s="24" t="s">
        <v>9356</v>
      </c>
      <c r="C6103" s="25">
        <v>60000</v>
      </c>
      <c r="D6103" s="22" t="s">
        <v>9357</v>
      </c>
      <c r="E6103" s="22" t="s">
        <v>91</v>
      </c>
      <c r="F6103" s="23" t="str">
        <f>HYPERLINK("https://www.spark-marketing.ru/Card/Lot/72972768", "Оказание услуг по техническому обслуживанию и ремонту компьютеров и оргтехники для нужд Администрации городского округа-город Камышин в 2019г.")</f>
        <v>Оказание услуг по техническому обслуживанию и ремонту компьютеров и оргтехники для нужд Администрации городского округа-город Камышин в 2019г.</v>
      </c>
      <c r="G6103" s="22" t="s">
        <v>158</v>
      </c>
      <c r="H6103" s="22" t="s">
        <v>2151</v>
      </c>
      <c r="I6103" s="26">
        <v>43699.684664351902</v>
      </c>
      <c r="J6103" s="23" t="str">
        <f>HYPERLINK("https://www.spark-marketing.ru/Card/Person/293009", "ООО ""АЙТИ ДЕПАРТАМЕНТ""")</f>
        <v>ООО "АЙТИ ДЕПАРТАМЕНТ"</v>
      </c>
      <c r="K6103" s="24" t="s">
        <v>9358</v>
      </c>
      <c r="L6103" s="28" t="s">
        <v>51</v>
      </c>
      <c r="M6103" s="25">
        <v>27699.98</v>
      </c>
      <c r="N6103" s="27">
        <v>0.53833366666666671</v>
      </c>
    </row>
    <row r="6104" spans="1:14" ht="12.75" hidden="1" outlineLevel="1" x14ac:dyDescent="0.2">
      <c r="A6104" s="23" t="str">
        <f>HYPERLINK("https://www.spark-marketing.ru/Card/Person/266264", "АДМИНИСТРАЦИЯ ГОРОДСКОГО ОКРУГА - ГОРОД КАМЫШИН")</f>
        <v>АДМИНИСТРАЦИЯ ГОРОДСКОГО ОКРУГА - ГОРОД КАМЫШИН</v>
      </c>
      <c r="B6104" s="24" t="s">
        <v>9356</v>
      </c>
      <c r="C6104" s="25">
        <v>60000</v>
      </c>
      <c r="D6104" s="22" t="s">
        <v>9357</v>
      </c>
      <c r="E6104" s="22" t="s">
        <v>91</v>
      </c>
      <c r="F6104" s="23" t="str">
        <f>HYPERLINK("https://www.spark-marketing.ru/Card/Lot/72972768", "Оказание услуг по техническому обслуживанию и ремонту компьютеров и оргтехники для нужд Администрации городского округа-город Камышин в 2019г.")</f>
        <v>Оказание услуг по техническому обслуживанию и ремонту компьютеров и оргтехники для нужд Администрации городского округа-город Камышин в 2019г.</v>
      </c>
      <c r="G6104" s="22" t="s">
        <v>158</v>
      </c>
      <c r="H6104" s="22" t="s">
        <v>2151</v>
      </c>
      <c r="I6104" s="26">
        <v>43699.684664351902</v>
      </c>
      <c r="J6104" s="23" t="str">
        <f>HYPERLINK("https://www.spark-marketing.ru/Card/Person/5906514", "ООО ""ЛАЙТПРИНТ""")</f>
        <v>ООО "ЛАЙТПРИНТ"</v>
      </c>
      <c r="K6104" s="24" t="s">
        <v>9359</v>
      </c>
      <c r="L6104" s="22" t="s">
        <v>10</v>
      </c>
      <c r="M6104" s="25">
        <v>27561.5</v>
      </c>
      <c r="N6104" s="27">
        <v>0.54064166666666669</v>
      </c>
    </row>
    <row r="6105" spans="1:14" x14ac:dyDescent="0.15">
      <c r="A6105" s="23" t="str">
        <f>HYPERLINK("https://www.spark-marketing.ru/Card/Person/1018670", "ГБПОУ ВО ""ААПТ""")</f>
        <v>ГБПОУ ВО "ААПТ"</v>
      </c>
      <c r="B6105" s="24" t="s">
        <v>408</v>
      </c>
      <c r="C6105" s="25">
        <v>639387</v>
      </c>
      <c r="D6105" s="22" t="s">
        <v>9360</v>
      </c>
      <c r="E6105" s="22" t="s">
        <v>48</v>
      </c>
      <c r="F6105" s="23" t="str">
        <f>HYPERLINK("https://www.spark-marketing.ru/Card/Lot/72974962", "2019-06023/ Услуги по организации горячего питания обучающихся детей-сирот и детей оставшихся без попечения родителей")</f>
        <v>2019-06023/ Услуги по организации горячего питания обучающихся детей-сирот и детей оставшихся без попечения родителей</v>
      </c>
      <c r="G6105" s="22" t="s">
        <v>82</v>
      </c>
      <c r="H6105" s="22" t="s">
        <v>410</v>
      </c>
      <c r="I6105" s="26">
        <v>43699.653263888897</v>
      </c>
      <c r="J6105" s="23" t="str">
        <f>HYPERLINK("https://www.spark-marketing.ru/Card/Person/520535", "ПО ""ОБЩЕПИТ СТАНДАРТ""")</f>
        <v>ПО "ОБЩЕПИТ СТАНДАРТ"</v>
      </c>
      <c r="K6105" s="24" t="s">
        <v>9361</v>
      </c>
      <c r="L6105" s="22" t="s">
        <v>10</v>
      </c>
      <c r="M6105" s="28" t="s">
        <v>51</v>
      </c>
      <c r="N6105" s="28" t="s">
        <v>51</v>
      </c>
    </row>
    <row r="6106" spans="1:14" x14ac:dyDescent="0.15">
      <c r="A6106" s="23" t="str">
        <f>HYPERLINK("https://www.spark-marketing.ru/Card/Person/4800", "ГУ-РО ФОНДА СОЦИАЛЬНОГО СТРАХОВАНИЯ РОССИЙСКОЙ ФЕДЕРАЦИИ ПО РЕСПУБЛИКЕ САХА (ЯКУТИЯ)")</f>
        <v>ГУ-РО ФОНДА СОЦИАЛЬНОГО СТРАХОВАНИЯ РОССИЙСКОЙ ФЕДЕРАЦИИ ПО РЕСПУБЛИКЕ САХА (ЯКУТИЯ)</v>
      </c>
      <c r="B6106" s="24" t="s">
        <v>9362</v>
      </c>
      <c r="C6106" s="25">
        <v>160083</v>
      </c>
      <c r="D6106" s="22" t="s">
        <v>9363</v>
      </c>
      <c r="E6106" s="22" t="s">
        <v>86</v>
      </c>
      <c r="F6106" s="23" t="str">
        <f>HYPERLINK("https://www.spark-marketing.ru/Card/Lot/72960578", "Оказание услуг по санаторно-курортному лечению граждан получателей набора социальных услуг в 2019 году с заболеваниями по Классу IV МКБ-10 «Болезни эндокринной системы, расстройства питания и нарушения обмена веществ»")</f>
        <v>Оказание услуг по санаторно-курортному лечению граждан получателей набора социальных услуг в 2019 году с заболеваниями по Классу IV МКБ-10 «Болезни эндокринной системы, расстройства питания и нарушения обмена веществ»</v>
      </c>
      <c r="G6106" s="22" t="s">
        <v>241</v>
      </c>
      <c r="H6106" s="22" t="s">
        <v>242</v>
      </c>
      <c r="I6106" s="26">
        <v>43699.627604166701</v>
      </c>
      <c r="J6106" s="23" t="str">
        <f>HYPERLINK("https://www.spark-marketing.ru/Card/Person/146870", "АО ""САНАТОРИЙ СОСНОВЫЙ БОР""")</f>
        <v>АО "САНАТОРИЙ СОСНОВЫЙ БОР"</v>
      </c>
      <c r="K6106" s="24" t="s">
        <v>9364</v>
      </c>
      <c r="L6106" s="22" t="s">
        <v>10</v>
      </c>
      <c r="M6106" s="28" t="s">
        <v>51</v>
      </c>
      <c r="N6106" s="28" t="s">
        <v>51</v>
      </c>
    </row>
    <row r="6107" spans="1:14" x14ac:dyDescent="0.15">
      <c r="A6107" s="23" t="str">
        <f>HYPERLINK("https://www.spark-marketing.ru/Card/Person/19629", "УМВД РОССИИ ПО ГАТЧИНСКОМУ РАЙОНУ ЛО")</f>
        <v>УМВД РОССИИ ПО ГАТЧИНСКОМУ РАЙОНУ ЛО</v>
      </c>
      <c r="B6107" s="24" t="s">
        <v>9365</v>
      </c>
      <c r="C6107" s="25">
        <v>4120000</v>
      </c>
      <c r="D6107" s="22" t="s">
        <v>9366</v>
      </c>
      <c r="E6107" s="22" t="s">
        <v>96</v>
      </c>
      <c r="F6107" s="23" t="str">
        <f>HYPERLINK("https://www.spark-marketing.ru/Card/Lot/72978867", "Оказание услуг по организации 3-х разового горячего питания в сутки для лиц, содержащихся в изоляторе временного содержания и в специальном приемнике для лиц арестованных в административном порядке, а так же лиц, задержанных за административное право...")</f>
        <v>Оказание услуг по организации 3-х разового горячего питания в сутки для лиц, содержащихся в изоляторе временного содержания и в специальном приемнике для лиц арестованных в административном порядке, а так же лиц, задержанных за административное право...</v>
      </c>
      <c r="G6107" s="22" t="s">
        <v>162</v>
      </c>
      <c r="H6107" s="22" t="s">
        <v>9367</v>
      </c>
      <c r="I6107" s="26">
        <v>43699.604826388902</v>
      </c>
      <c r="J6107" s="23" t="str">
        <f>HYPERLINK("https://www.spark-marketing.ru/Card/Person/417720", "ООО ""АКБАР""")</f>
        <v>ООО "АКБАР"</v>
      </c>
      <c r="K6107" s="24" t="s">
        <v>9368</v>
      </c>
      <c r="L6107" s="22" t="s">
        <v>10</v>
      </c>
      <c r="M6107" s="28" t="s">
        <v>51</v>
      </c>
      <c r="N6107" s="28" t="s">
        <v>51</v>
      </c>
    </row>
    <row r="6108" spans="1:14" collapsed="1" x14ac:dyDescent="0.15">
      <c r="A6108" s="23" t="str">
        <f>HYPERLINK("https://www.spark-marketing.ru/Card/Person/273152", "ОРЕНБУРГСКИЙ ГОСУДАРСТВЕННЫЙ УНИВЕРСИТЕТ, ОГУ")</f>
        <v>ОРЕНБУРГСКИЙ ГОСУДАРСТВЕННЫЙ УНИВЕРСИТЕТ, ОГУ</v>
      </c>
      <c r="B6108" s="24" t="s">
        <v>9369</v>
      </c>
      <c r="C6108" s="25">
        <v>1004180</v>
      </c>
      <c r="D6108" s="22" t="s">
        <v>9370</v>
      </c>
      <c r="E6108" s="22" t="s">
        <v>716</v>
      </c>
      <c r="F6108" s="23" t="str">
        <f>HYPERLINK("https://www.spark-marketing.ru/Card/Lot/72968233", "Закупка учебной литературы")</f>
        <v>Закупка учебной литературы</v>
      </c>
      <c r="G6108" s="22" t="s">
        <v>132</v>
      </c>
      <c r="H6108" s="22" t="s">
        <v>587</v>
      </c>
      <c r="I6108" s="26">
        <v>43699.662881944401</v>
      </c>
      <c r="J6108" s="28" t="s">
        <v>51</v>
      </c>
      <c r="K6108" s="28" t="s">
        <v>51</v>
      </c>
      <c r="L6108" s="28" t="s">
        <v>51</v>
      </c>
      <c r="M6108" s="28" t="s">
        <v>51</v>
      </c>
      <c r="N6108" s="28" t="s">
        <v>51</v>
      </c>
    </row>
    <row r="6109" spans="1:14" hidden="1" outlineLevel="1" x14ac:dyDescent="0.2">
      <c r="A6109" s="23" t="str">
        <f>HYPERLINK("https://www.spark-marketing.ru/Card/Person/273152", "ОРЕНБУРГСКИЙ ГОСУДАРСТВЕННЫЙ УНИВЕРСИТЕТ, ОГУ")</f>
        <v>ОРЕНБУРГСКИЙ ГОСУДАРСТВЕННЫЙ УНИВЕРСИТЕТ, ОГУ</v>
      </c>
      <c r="B6109" s="24" t="s">
        <v>9369</v>
      </c>
      <c r="C6109" s="25">
        <v>1004180</v>
      </c>
      <c r="D6109" s="22" t="s">
        <v>9370</v>
      </c>
      <c r="E6109" s="22" t="s">
        <v>716</v>
      </c>
      <c r="F6109" s="23" t="str">
        <f>HYPERLINK("https://www.spark-marketing.ru/Card/Lot/72968233", "Закупка учебной литературы")</f>
        <v>Закупка учебной литературы</v>
      </c>
      <c r="G6109" s="22" t="s">
        <v>132</v>
      </c>
      <c r="H6109" s="22" t="s">
        <v>587</v>
      </c>
      <c r="I6109" s="26">
        <v>43699.662881944401</v>
      </c>
      <c r="J6109" s="23" t="str">
        <f>HYPERLINK("https://www.spark-marketing.ru/Card/Person/75285", "ООО ""КНОРУС МЕДИА""")</f>
        <v>ООО "КНОРУС МЕДИА"</v>
      </c>
      <c r="K6109" s="24" t="s">
        <v>9371</v>
      </c>
      <c r="L6109" s="28" t="s">
        <v>51</v>
      </c>
      <c r="M6109" s="25">
        <v>999159.1</v>
      </c>
      <c r="N6109" s="27">
        <v>5.0000000000000001E-3</v>
      </c>
    </row>
    <row r="6110" spans="1:14" ht="12.75" hidden="1" outlineLevel="1" x14ac:dyDescent="0.2">
      <c r="A6110" s="23" t="str">
        <f>HYPERLINK("https://www.spark-marketing.ru/Card/Person/273152", "ОРЕНБУРГСКИЙ ГОСУДАРСТВЕННЫЙ УНИВЕРСИТЕТ, ОГУ")</f>
        <v>ОРЕНБУРГСКИЙ ГОСУДАРСТВЕННЫЙ УНИВЕРСИТЕТ, ОГУ</v>
      </c>
      <c r="B6110" s="24" t="s">
        <v>9369</v>
      </c>
      <c r="C6110" s="25">
        <v>1004180</v>
      </c>
      <c r="D6110" s="22" t="s">
        <v>9370</v>
      </c>
      <c r="E6110" s="22" t="s">
        <v>716</v>
      </c>
      <c r="F6110" s="23" t="str">
        <f>HYPERLINK("https://www.spark-marketing.ru/Card/Lot/72968233", "Закупка учебной литературы")</f>
        <v>Закупка учебной литературы</v>
      </c>
      <c r="G6110" s="22" t="s">
        <v>132</v>
      </c>
      <c r="H6110" s="22" t="s">
        <v>587</v>
      </c>
      <c r="I6110" s="26">
        <v>43699.662881944401</v>
      </c>
      <c r="J6110" s="23" t="str">
        <f>HYPERLINK("https://www.spark-marketing.ru/Card/Person/147617", "ООО ""ИКЦ КОЛОС-С""")</f>
        <v>ООО "ИКЦ КОЛОС-С"</v>
      </c>
      <c r="K6110" s="24" t="s">
        <v>9372</v>
      </c>
      <c r="L6110" s="22" t="s">
        <v>10</v>
      </c>
      <c r="M6110" s="25">
        <v>999159</v>
      </c>
      <c r="N6110" s="27">
        <v>5.000099583739967E-3</v>
      </c>
    </row>
    <row r="6111" spans="1:14" x14ac:dyDescent="0.15">
      <c r="A6111" s="23" t="str">
        <f>HYPERLINK("https://www.spark-marketing.ru/Card/Person/1018670", "ГБПОУ ВО ""ААПТ""")</f>
        <v>ГБПОУ ВО "ААПТ"</v>
      </c>
      <c r="B6111" s="24" t="s">
        <v>408</v>
      </c>
      <c r="C6111" s="25">
        <v>564266.67000000004</v>
      </c>
      <c r="D6111" s="22" t="s">
        <v>9373</v>
      </c>
      <c r="E6111" s="22" t="s">
        <v>48</v>
      </c>
      <c r="F6111" s="23" t="str">
        <f>HYPERLINK("https://www.spark-marketing.ru/Card/Lot/72974940", "2019-06024/ Услуги по организации горячего питания для обучающихся детей")</f>
        <v>2019-06024/ Услуги по организации горячего питания для обучающихся детей</v>
      </c>
      <c r="G6111" s="22" t="s">
        <v>82</v>
      </c>
      <c r="H6111" s="22" t="s">
        <v>410</v>
      </c>
      <c r="I6111" s="26">
        <v>43699.651238425897</v>
      </c>
      <c r="J6111" s="23" t="str">
        <f>HYPERLINK("https://www.spark-marketing.ru/Card/Person/520535", "ПО ""ОБЩЕПИТ СТАНДАРТ""")</f>
        <v>ПО "ОБЩЕПИТ СТАНДАРТ"</v>
      </c>
      <c r="K6111" s="24" t="s">
        <v>9361</v>
      </c>
      <c r="L6111" s="22" t="s">
        <v>10</v>
      </c>
      <c r="M6111" s="28" t="s">
        <v>51</v>
      </c>
      <c r="N6111" s="28" t="s">
        <v>51</v>
      </c>
    </row>
    <row r="6112" spans="1:14" x14ac:dyDescent="0.15">
      <c r="A6112" s="23" t="str">
        <f>HYPERLINK("https://www.spark-marketing.ru/Card/Person/143510", "МЕЖМУНИЦИПАЛЬНЫЙ ОТДЕЛ МВД РОССИИ ""ЛЕНИНСК-КУЗНЕЦКИЙ""")</f>
        <v>МЕЖМУНИЦИПАЛЬНЫЙ ОТДЕЛ МВД РОССИИ "ЛЕНИНСК-КУЗНЕЦКИЙ"</v>
      </c>
      <c r="B6112" s="24" t="s">
        <v>2751</v>
      </c>
      <c r="C6112" s="25">
        <v>1380000</v>
      </c>
      <c r="D6112" s="22" t="s">
        <v>9374</v>
      </c>
      <c r="E6112" s="22" t="s">
        <v>48</v>
      </c>
      <c r="F6112" s="23" t="str">
        <f>HYPERLINK("https://www.spark-marketing.ru/Card/Lot/72967849", "Оказание услуг по организации ежедневного горячего питания для подозреваемых и обвиняемых в совершении преступлений лиц, арестованных в административном порядке, содержащихся в изоляторе временного содержания и в специальном помещение для содержания ...")</f>
        <v>Оказание услуг по организации ежедневного горячего питания для подозреваемых и обвиняемых в совершении преступлений лиц, арестованных в административном порядке, содержащихся в изоляторе временного содержания и в специальном помещение для содержания ...</v>
      </c>
      <c r="G6112" s="22" t="s">
        <v>304</v>
      </c>
      <c r="H6112" s="22" t="s">
        <v>9375</v>
      </c>
      <c r="I6112" s="26">
        <v>43699.605937499997</v>
      </c>
      <c r="J6112" s="23" t="str">
        <f>HYPERLINK("https://www.spark-marketing.ru/Card/Person/153415", "Пригаров Денис Владимирович")</f>
        <v>Пригаров Денис Владимирович</v>
      </c>
      <c r="K6112" s="24" t="s">
        <v>2754</v>
      </c>
      <c r="L6112" s="22" t="s">
        <v>10</v>
      </c>
      <c r="M6112" s="28" t="s">
        <v>51</v>
      </c>
      <c r="N6112" s="28" t="s">
        <v>51</v>
      </c>
    </row>
    <row r="6113" spans="1:14" collapsed="1" x14ac:dyDescent="0.15">
      <c r="A6113" s="23" t="str">
        <f t="shared" ref="A6113:A6121" si="125">HYPERLINK("https://www.spark-marketing.ru/Card/Person/6083849", "ГБУК Г. МОСКВЫ ""МКЗ ""ЗАРЯДЬЕ""")</f>
        <v>ГБУК Г. МОСКВЫ "МКЗ "ЗАРЯДЬЕ"</v>
      </c>
      <c r="B6113" s="24" t="s">
        <v>9376</v>
      </c>
      <c r="C6113" s="25">
        <v>363351.56</v>
      </c>
      <c r="D6113" s="22" t="s">
        <v>9377</v>
      </c>
      <c r="E6113" s="22" t="s">
        <v>355</v>
      </c>
      <c r="F6113" s="23" t="str">
        <f t="shared" ref="F6113:F6121" si="126">HYPERLINK("https://www.spark-marketing.ru/Card/Lot/72974043", "Оказание услуг по техническому обслуживанию источников бесперебойного питания ГБУК г. Москвы ""МКЗ ""Зарядье"" в 2020 году")</f>
        <v>Оказание услуг по техническому обслуживанию источников бесперебойного питания ГБУК г. Москвы "МКЗ "Зарядье" в 2020 году</v>
      </c>
      <c r="G6113" s="22" t="s">
        <v>56</v>
      </c>
      <c r="H6113" s="22" t="s">
        <v>56</v>
      </c>
      <c r="I6113" s="26">
        <v>43699.677094907398</v>
      </c>
      <c r="J6113" s="28" t="s">
        <v>51</v>
      </c>
      <c r="K6113" s="28" t="s">
        <v>51</v>
      </c>
      <c r="L6113" s="28" t="s">
        <v>51</v>
      </c>
      <c r="M6113" s="28" t="s">
        <v>51</v>
      </c>
      <c r="N6113" s="28" t="s">
        <v>51</v>
      </c>
    </row>
    <row r="6114" spans="1:14" ht="12.75" hidden="1" outlineLevel="1" x14ac:dyDescent="0.2">
      <c r="A6114" s="23" t="str">
        <f t="shared" si="125"/>
        <v>ГБУК Г. МОСКВЫ "МКЗ "ЗАРЯДЬЕ"</v>
      </c>
      <c r="B6114" s="24" t="s">
        <v>9376</v>
      </c>
      <c r="C6114" s="25">
        <v>363351.56</v>
      </c>
      <c r="D6114" s="22" t="s">
        <v>9377</v>
      </c>
      <c r="E6114" s="22" t="s">
        <v>355</v>
      </c>
      <c r="F6114" s="23" t="str">
        <f t="shared" si="126"/>
        <v>Оказание услуг по техническому обслуживанию источников бесперебойного питания ГБУК г. Москвы "МКЗ "Зарядье" в 2020 году</v>
      </c>
      <c r="G6114" s="22" t="s">
        <v>56</v>
      </c>
      <c r="H6114" s="22" t="s">
        <v>56</v>
      </c>
      <c r="I6114" s="26">
        <v>43699.677094907398</v>
      </c>
      <c r="J6114" s="23" t="str">
        <f>HYPERLINK("https://www.spark-marketing.ru/Card/Person/6507537", "Безруков Артем Николаевич")</f>
        <v>Безруков Артем Николаевич</v>
      </c>
      <c r="K6114" s="24" t="s">
        <v>9378</v>
      </c>
      <c r="L6114" s="22" t="s">
        <v>10</v>
      </c>
      <c r="M6114" s="25">
        <v>198000</v>
      </c>
      <c r="N6114" s="27">
        <v>0.45507320788714928</v>
      </c>
    </row>
    <row r="6115" spans="1:14" hidden="1" outlineLevel="1" x14ac:dyDescent="0.2">
      <c r="A6115" s="23" t="str">
        <f t="shared" si="125"/>
        <v>ГБУК Г. МОСКВЫ "МКЗ "ЗАРЯДЬЕ"</v>
      </c>
      <c r="B6115" s="24" t="s">
        <v>9376</v>
      </c>
      <c r="C6115" s="25">
        <v>363351.56</v>
      </c>
      <c r="D6115" s="22" t="s">
        <v>9377</v>
      </c>
      <c r="E6115" s="22" t="s">
        <v>355</v>
      </c>
      <c r="F6115" s="23" t="str">
        <f t="shared" si="126"/>
        <v>Оказание услуг по техническому обслуживанию источников бесперебойного питания ГБУК г. Москвы "МКЗ "Зарядье" в 2020 году</v>
      </c>
      <c r="G6115" s="22" t="s">
        <v>56</v>
      </c>
      <c r="H6115" s="22" t="s">
        <v>56</v>
      </c>
      <c r="I6115" s="26">
        <v>43699.677094907398</v>
      </c>
      <c r="J6115" s="23" t="str">
        <f>HYPERLINK("https://www.spark-marketing.ru/Card/Person/4354845", "ООО ""ДОКАСНАБ""")</f>
        <v>ООО "ДОКАСНАБ"</v>
      </c>
      <c r="K6115" s="24" t="s">
        <v>3371</v>
      </c>
      <c r="L6115" s="28" t="s">
        <v>51</v>
      </c>
      <c r="M6115" s="25">
        <v>224000</v>
      </c>
      <c r="N6115" s="27">
        <v>0.38351716447839113</v>
      </c>
    </row>
    <row r="6116" spans="1:14" hidden="1" outlineLevel="1" x14ac:dyDescent="0.2">
      <c r="A6116" s="23" t="str">
        <f t="shared" si="125"/>
        <v>ГБУК Г. МОСКВЫ "МКЗ "ЗАРЯДЬЕ"</v>
      </c>
      <c r="B6116" s="24" t="s">
        <v>9376</v>
      </c>
      <c r="C6116" s="25">
        <v>363351.56</v>
      </c>
      <c r="D6116" s="22" t="s">
        <v>9377</v>
      </c>
      <c r="E6116" s="22" t="s">
        <v>355</v>
      </c>
      <c r="F6116" s="23" t="str">
        <f t="shared" si="126"/>
        <v>Оказание услуг по техническому обслуживанию источников бесперебойного питания ГБУК г. Москвы "МКЗ "Зарядье" в 2020 году</v>
      </c>
      <c r="G6116" s="22" t="s">
        <v>56</v>
      </c>
      <c r="H6116" s="22" t="s">
        <v>56</v>
      </c>
      <c r="I6116" s="26">
        <v>43699.677094907398</v>
      </c>
      <c r="J6116" s="23" t="str">
        <f>HYPERLINK("https://www.spark-marketing.ru/Card/Person/364099", "ООО ""1АК""")</f>
        <v>ООО "1АК"</v>
      </c>
      <c r="K6116" s="24" t="s">
        <v>5639</v>
      </c>
      <c r="L6116" s="28" t="s">
        <v>51</v>
      </c>
      <c r="M6116" s="25">
        <v>244346</v>
      </c>
      <c r="N6116" s="27">
        <v>0.32752180835552214</v>
      </c>
    </row>
    <row r="6117" spans="1:14" hidden="1" outlineLevel="1" x14ac:dyDescent="0.2">
      <c r="A6117" s="23" t="str">
        <f t="shared" si="125"/>
        <v>ГБУК Г. МОСКВЫ "МКЗ "ЗАРЯДЬЕ"</v>
      </c>
      <c r="B6117" s="24" t="s">
        <v>9376</v>
      </c>
      <c r="C6117" s="25">
        <v>363351.56</v>
      </c>
      <c r="D6117" s="22" t="s">
        <v>9377</v>
      </c>
      <c r="E6117" s="22" t="s">
        <v>355</v>
      </c>
      <c r="F6117" s="23" t="str">
        <f t="shared" si="126"/>
        <v>Оказание услуг по техническому обслуживанию источников бесперебойного питания ГБУК г. Москвы "МКЗ "Зарядье" в 2020 году</v>
      </c>
      <c r="G6117" s="22" t="s">
        <v>56</v>
      </c>
      <c r="H6117" s="22" t="s">
        <v>56</v>
      </c>
      <c r="I6117" s="26">
        <v>43699.677094907398</v>
      </c>
      <c r="J6117" s="23" t="str">
        <f>HYPERLINK("https://www.spark-marketing.ru/Card/Person/519847", "ООО ""АГРОРЕСУРС""")</f>
        <v>ООО "АГРОРЕСУРС"</v>
      </c>
      <c r="K6117" s="24" t="s">
        <v>9379</v>
      </c>
      <c r="L6117" s="28" t="s">
        <v>51</v>
      </c>
      <c r="M6117" s="25">
        <v>286800</v>
      </c>
      <c r="N6117" s="27">
        <v>0.21068179809108292</v>
      </c>
    </row>
    <row r="6118" spans="1:14" hidden="1" outlineLevel="1" x14ac:dyDescent="0.2">
      <c r="A6118" s="23" t="str">
        <f t="shared" si="125"/>
        <v>ГБУК Г. МОСКВЫ "МКЗ "ЗАРЯДЬЕ"</v>
      </c>
      <c r="B6118" s="24" t="s">
        <v>9376</v>
      </c>
      <c r="C6118" s="25">
        <v>363351.56</v>
      </c>
      <c r="D6118" s="22" t="s">
        <v>9377</v>
      </c>
      <c r="E6118" s="22" t="s">
        <v>355</v>
      </c>
      <c r="F6118" s="23" t="str">
        <f t="shared" si="126"/>
        <v>Оказание услуг по техническому обслуживанию источников бесперебойного питания ГБУК г. Москвы "МКЗ "Зарядье" в 2020 году</v>
      </c>
      <c r="G6118" s="22" t="s">
        <v>56</v>
      </c>
      <c r="H6118" s="22" t="s">
        <v>56</v>
      </c>
      <c r="I6118" s="26">
        <v>43699.677094907398</v>
      </c>
      <c r="J6118" s="23" t="str">
        <f>HYPERLINK("https://www.spark-marketing.ru/Card/Person/235259", "ООО ""МАСЭНЕРГО СЕРВИС""")</f>
        <v>ООО "МАСЭНЕРГО СЕРВИС"</v>
      </c>
      <c r="K6118" s="24" t="s">
        <v>9380</v>
      </c>
      <c r="L6118" s="28" t="s">
        <v>51</v>
      </c>
      <c r="M6118" s="25">
        <v>288000</v>
      </c>
      <c r="N6118" s="27">
        <v>0.20737921147221716</v>
      </c>
    </row>
    <row r="6119" spans="1:14" hidden="1" outlineLevel="1" x14ac:dyDescent="0.2">
      <c r="A6119" s="23" t="str">
        <f t="shared" si="125"/>
        <v>ГБУК Г. МОСКВЫ "МКЗ "ЗАРЯДЬЕ"</v>
      </c>
      <c r="B6119" s="24" t="s">
        <v>9376</v>
      </c>
      <c r="C6119" s="25">
        <v>363351.56</v>
      </c>
      <c r="D6119" s="22" t="s">
        <v>9377</v>
      </c>
      <c r="E6119" s="22" t="s">
        <v>355</v>
      </c>
      <c r="F6119" s="23" t="str">
        <f t="shared" si="126"/>
        <v>Оказание услуг по техническому обслуживанию источников бесперебойного питания ГБУК г. Москвы "МКЗ "Зарядье" в 2020 году</v>
      </c>
      <c r="G6119" s="22" t="s">
        <v>56</v>
      </c>
      <c r="H6119" s="22" t="s">
        <v>56</v>
      </c>
      <c r="I6119" s="26">
        <v>43699.677094907398</v>
      </c>
      <c r="J6119" s="23" t="str">
        <f>HYPERLINK("https://www.spark-marketing.ru/Card/Person/6515212", "ООО ""МСК""")</f>
        <v>ООО "МСК"</v>
      </c>
      <c r="K6119" s="24" t="s">
        <v>9381</v>
      </c>
      <c r="L6119" s="28" t="s">
        <v>51</v>
      </c>
      <c r="M6119" s="25">
        <v>298000</v>
      </c>
      <c r="N6119" s="27">
        <v>0.17985765631500247</v>
      </c>
    </row>
    <row r="6120" spans="1:14" hidden="1" outlineLevel="1" x14ac:dyDescent="0.2">
      <c r="A6120" s="23" t="str">
        <f t="shared" si="125"/>
        <v>ГБУК Г. МОСКВЫ "МКЗ "ЗАРЯДЬЕ"</v>
      </c>
      <c r="B6120" s="24" t="s">
        <v>9376</v>
      </c>
      <c r="C6120" s="25">
        <v>363351.56</v>
      </c>
      <c r="D6120" s="22" t="s">
        <v>9377</v>
      </c>
      <c r="E6120" s="22" t="s">
        <v>355</v>
      </c>
      <c r="F6120" s="23" t="str">
        <f t="shared" si="126"/>
        <v>Оказание услуг по техническому обслуживанию источников бесперебойного питания ГБУК г. Москвы "МКЗ "Зарядье" в 2020 году</v>
      </c>
      <c r="G6120" s="22" t="s">
        <v>56</v>
      </c>
      <c r="H6120" s="22" t="s">
        <v>56</v>
      </c>
      <c r="I6120" s="26">
        <v>43699.677094907398</v>
      </c>
      <c r="J6120" s="23" t="str">
        <f>HYPERLINK("https://www.spark-marketing.ru/Card/Person/5767614", "ООО ""РУСЕЛФ""")</f>
        <v>ООО "РУСЕЛФ"</v>
      </c>
      <c r="K6120" s="24" t="s">
        <v>9382</v>
      </c>
      <c r="L6120" s="28" t="s">
        <v>51</v>
      </c>
      <c r="M6120" s="25">
        <v>316254.58</v>
      </c>
      <c r="N6120" s="27">
        <v>0.12961821328082368</v>
      </c>
    </row>
    <row r="6121" spans="1:14" hidden="1" outlineLevel="1" x14ac:dyDescent="0.2">
      <c r="A6121" s="23" t="str">
        <f t="shared" si="125"/>
        <v>ГБУК Г. МОСКВЫ "МКЗ "ЗАРЯДЬЕ"</v>
      </c>
      <c r="B6121" s="24" t="s">
        <v>9376</v>
      </c>
      <c r="C6121" s="25">
        <v>363351.56</v>
      </c>
      <c r="D6121" s="22" t="s">
        <v>9377</v>
      </c>
      <c r="E6121" s="22" t="s">
        <v>355</v>
      </c>
      <c r="F6121" s="23" t="str">
        <f t="shared" si="126"/>
        <v>Оказание услуг по техническому обслуживанию источников бесперебойного питания ГБУК г. Москвы "МКЗ "Зарядье" в 2020 году</v>
      </c>
      <c r="G6121" s="22" t="s">
        <v>56</v>
      </c>
      <c r="H6121" s="22" t="s">
        <v>56</v>
      </c>
      <c r="I6121" s="26">
        <v>43699.677094907398</v>
      </c>
      <c r="J6121" s="23" t="str">
        <f>HYPERLINK("https://www.spark-marketing.ru/Card/Person/6489162", "ООО ""АЛАС ЭНЕРГИЯ""")</f>
        <v>ООО "АЛАС ЭНЕРГИЯ"</v>
      </c>
      <c r="K6121" s="24" t="s">
        <v>6025</v>
      </c>
      <c r="L6121" s="28" t="s">
        <v>51</v>
      </c>
      <c r="M6121" s="25">
        <v>345000</v>
      </c>
      <c r="N6121" s="27">
        <v>5.0506347076093465E-2</v>
      </c>
    </row>
    <row r="6122" spans="1:14" x14ac:dyDescent="0.15">
      <c r="A6122" s="23" t="str">
        <f>HYPERLINK("https://www.spark-marketing.ru/Card/Person/4344603", "ПРАВИТЕЛЬСТВО АМУРСКОЙ ОБЛАСТИ")</f>
        <v>ПРАВИТЕЛЬСТВО АМУРСКОЙ ОБЛАСТИ</v>
      </c>
      <c r="B6122" s="24" t="s">
        <v>8290</v>
      </c>
      <c r="C6122" s="25">
        <v>680000</v>
      </c>
      <c r="D6122" s="22" t="s">
        <v>9383</v>
      </c>
      <c r="E6122" s="22" t="s">
        <v>96</v>
      </c>
      <c r="F6122" s="23" t="str">
        <f>HYPERLINK("https://www.spark-marketing.ru/Card/Lot/72961597", "Оказание услуг по организации питания")</f>
        <v>Оказание услуг по организации питания</v>
      </c>
      <c r="G6122" s="22" t="s">
        <v>210</v>
      </c>
      <c r="H6122" s="22" t="s">
        <v>3257</v>
      </c>
      <c r="I6122" s="26">
        <v>43699.698206018496</v>
      </c>
      <c r="J6122" s="23" t="str">
        <f>HYPERLINK("https://www.spark-marketing.ru/Card/Person/304394", "КП АО ""АМУРСКИЙ КОМБИНАТ""")</f>
        <v>КП АО "АМУРСКИЙ КОМБИНАТ"</v>
      </c>
      <c r="K6122" s="24" t="s">
        <v>8292</v>
      </c>
      <c r="L6122" s="22" t="s">
        <v>10</v>
      </c>
      <c r="M6122" s="28" t="s">
        <v>51</v>
      </c>
      <c r="N6122" s="28" t="s">
        <v>51</v>
      </c>
    </row>
    <row r="6123" spans="1:14" collapsed="1" x14ac:dyDescent="0.15">
      <c r="A6123" s="23" t="str">
        <f>HYPERLINK("https://www.spark-marketing.ru/Card/Person/4343408", "ПФР")</f>
        <v>ПФР</v>
      </c>
      <c r="B6123" s="24" t="s">
        <v>9384</v>
      </c>
      <c r="C6123" s="25">
        <v>220748945</v>
      </c>
      <c r="D6123" s="22" t="s">
        <v>9385</v>
      </c>
      <c r="E6123" s="22" t="s">
        <v>9386</v>
      </c>
      <c r="F6123" s="23" t="str">
        <f>HYPERLINK("https://www.spark-marketing.ru/Card/Lot/72978663", "Поставка программно-аппаратных комплексов для компонента «Регистрация и распределение потоков потребителей услуг ПФР» подсистемы «Инфраструктурное обеспечение (ПИО)» АИС ПФР-2 для территориальных органов ПФР (вторая очередь)")</f>
        <v>Поставка программно-аппаратных комплексов для компонента «Регистрация и распределение потоков потребителей услуг ПФР» подсистемы «Инфраструктурное обеспечение (ПИО)» АИС ПФР-2 для территориальных органов ПФР (вторая очередь)</v>
      </c>
      <c r="G6123" s="22" t="s">
        <v>56</v>
      </c>
      <c r="H6123" s="22" t="s">
        <v>56</v>
      </c>
      <c r="I6123" s="26">
        <v>43699.677430555603</v>
      </c>
      <c r="J6123" s="28" t="s">
        <v>51</v>
      </c>
      <c r="K6123" s="28" t="s">
        <v>51</v>
      </c>
      <c r="L6123" s="28" t="s">
        <v>51</v>
      </c>
      <c r="M6123" s="28" t="s">
        <v>51</v>
      </c>
      <c r="N6123" s="28" t="s">
        <v>51</v>
      </c>
    </row>
    <row r="6124" spans="1:14" ht="12.75" hidden="1" outlineLevel="1" x14ac:dyDescent="0.2">
      <c r="A6124" s="23" t="str">
        <f>HYPERLINK("https://www.spark-marketing.ru/Card/Person/4343408", "ПФР")</f>
        <v>ПФР</v>
      </c>
      <c r="B6124" s="24" t="s">
        <v>9384</v>
      </c>
      <c r="C6124" s="25">
        <v>220748945</v>
      </c>
      <c r="D6124" s="22" t="s">
        <v>9385</v>
      </c>
      <c r="E6124" s="22" t="s">
        <v>9386</v>
      </c>
      <c r="F6124" s="23" t="str">
        <f>HYPERLINK("https://www.spark-marketing.ru/Card/Lot/72978663", "Поставка программно-аппаратных комплексов для компонента «Регистрация и распределение потоков потребителей услуг ПФР» подсистемы «Инфраструктурное обеспечение (ПИО)» АИС ПФР-2 для территориальных органов ПФР (вторая очередь)")</f>
        <v>Поставка программно-аппаратных комплексов для компонента «Регистрация и распределение потоков потребителей услуг ПФР» подсистемы «Инфраструктурное обеспечение (ПИО)» АИС ПФР-2 для территориальных органов ПФР (вторая очередь)</v>
      </c>
      <c r="G6124" s="22" t="s">
        <v>56</v>
      </c>
      <c r="H6124" s="22" t="s">
        <v>56</v>
      </c>
      <c r="I6124" s="26">
        <v>43699.677430555603</v>
      </c>
      <c r="J6124" s="23" t="str">
        <f>HYPERLINK("https://www.spark-marketing.ru/Card/Person/117702", "ЗАО ""ЛЕТА""")</f>
        <v>ЗАО "ЛЕТА"</v>
      </c>
      <c r="K6124" s="24" t="s">
        <v>9387</v>
      </c>
      <c r="L6124" s="22" t="s">
        <v>10</v>
      </c>
      <c r="M6124" s="25">
        <v>215230221.34999999</v>
      </c>
      <c r="N6124" s="27">
        <v>2.5000000113250823E-2</v>
      </c>
    </row>
    <row r="6125" spans="1:14" hidden="1" outlineLevel="1" x14ac:dyDescent="0.2">
      <c r="A6125" s="23" t="str">
        <f>HYPERLINK("https://www.spark-marketing.ru/Card/Person/4343408", "ПФР")</f>
        <v>ПФР</v>
      </c>
      <c r="B6125" s="24" t="s">
        <v>9384</v>
      </c>
      <c r="C6125" s="25">
        <v>220748945</v>
      </c>
      <c r="D6125" s="22" t="s">
        <v>9385</v>
      </c>
      <c r="E6125" s="22" t="s">
        <v>9386</v>
      </c>
      <c r="F6125" s="23" t="str">
        <f>HYPERLINK("https://www.spark-marketing.ru/Card/Lot/72978663", "Поставка программно-аппаратных комплексов для компонента «Регистрация и распределение потоков потребителей услуг ПФР» подсистемы «Инфраструктурное обеспечение (ПИО)» АИС ПФР-2 для территориальных органов ПФР (вторая очередь)")</f>
        <v>Поставка программно-аппаратных комплексов для компонента «Регистрация и распределение потоков потребителей услуг ПФР» подсистемы «Инфраструктурное обеспечение (ПИО)» АИС ПФР-2 для территориальных органов ПФР (вторая очередь)</v>
      </c>
      <c r="G6125" s="22" t="s">
        <v>56</v>
      </c>
      <c r="H6125" s="22" t="s">
        <v>56</v>
      </c>
      <c r="I6125" s="26">
        <v>43699.677430555603</v>
      </c>
      <c r="J6125" s="23" t="str">
        <f>HYPERLINK("https://www.spark-marketing.ru/Card/Person/43135", "ООО ""ГЕОС""")</f>
        <v>ООО "ГЕОС"</v>
      </c>
      <c r="K6125" s="24" t="s">
        <v>9388</v>
      </c>
      <c r="L6125" s="28" t="s">
        <v>51</v>
      </c>
      <c r="M6125" s="25">
        <v>216333966.08000001</v>
      </c>
      <c r="N6125" s="27">
        <v>2.0000000090600659E-2</v>
      </c>
    </row>
    <row r="6126" spans="1:14" collapsed="1" x14ac:dyDescent="0.15">
      <c r="A6126" s="23" t="s">
        <v>114</v>
      </c>
      <c r="B6126" s="28" t="s">
        <v>51</v>
      </c>
      <c r="C6126" s="25">
        <v>5837468</v>
      </c>
      <c r="D6126" s="22" t="s">
        <v>9389</v>
      </c>
      <c r="E6126" s="22" t="s">
        <v>48</v>
      </c>
      <c r="F6126" s="23" t="str">
        <f t="shared" ref="F6126:F6132" si="127">HYPERLINK("https://www.spark-marketing.ru/Card/Lot/72980849", "Оказание услуг по организации питания")</f>
        <v>Оказание услуг по организации питания</v>
      </c>
      <c r="G6126" s="22" t="s">
        <v>51</v>
      </c>
      <c r="H6126" s="22" t="s">
        <v>51</v>
      </c>
      <c r="I6126" s="26">
        <v>43699.6862847222</v>
      </c>
      <c r="J6126" s="28" t="s">
        <v>51</v>
      </c>
      <c r="K6126" s="28" t="s">
        <v>51</v>
      </c>
      <c r="L6126" s="28" t="s">
        <v>51</v>
      </c>
      <c r="M6126" s="28" t="s">
        <v>51</v>
      </c>
      <c r="N6126" s="28" t="s">
        <v>51</v>
      </c>
    </row>
    <row r="6127" spans="1:14" hidden="1" outlineLevel="1" x14ac:dyDescent="0.15">
      <c r="A6127" s="23" t="str">
        <f>HYPERLINK("https://www.spark-marketing.ru/Card/Person/42330", "МОБУ СОШ № 6")</f>
        <v>МОБУ СОШ № 6</v>
      </c>
      <c r="B6127" s="24" t="s">
        <v>9390</v>
      </c>
      <c r="C6127" s="25">
        <v>1437936</v>
      </c>
      <c r="D6127" s="22" t="s">
        <v>9389</v>
      </c>
      <c r="E6127" s="22" t="s">
        <v>48</v>
      </c>
      <c r="F6127" s="23" t="str">
        <f t="shared" si="127"/>
        <v>Оказание услуг по организации питания</v>
      </c>
      <c r="G6127" s="22" t="s">
        <v>49</v>
      </c>
      <c r="H6127" s="22" t="s">
        <v>9391</v>
      </c>
      <c r="I6127" s="26">
        <v>43699.6862847222</v>
      </c>
      <c r="J6127" s="28" t="s">
        <v>51</v>
      </c>
      <c r="K6127" s="28" t="s">
        <v>51</v>
      </c>
      <c r="L6127" s="28" t="s">
        <v>51</v>
      </c>
      <c r="M6127" s="28" t="s">
        <v>51</v>
      </c>
      <c r="N6127" s="28" t="s">
        <v>51</v>
      </c>
    </row>
    <row r="6128" spans="1:14" hidden="1" outlineLevel="1" x14ac:dyDescent="0.15">
      <c r="A6128" s="23" t="str">
        <f>HYPERLINK("https://www.spark-marketing.ru/Card/Person/144564", "МОБУ СОШ № 2")</f>
        <v>МОБУ СОШ № 2</v>
      </c>
      <c r="B6128" s="24" t="s">
        <v>9392</v>
      </c>
      <c r="C6128" s="25">
        <v>2005524</v>
      </c>
      <c r="D6128" s="22" t="s">
        <v>9389</v>
      </c>
      <c r="E6128" s="22" t="s">
        <v>48</v>
      </c>
      <c r="F6128" s="23" t="str">
        <f t="shared" si="127"/>
        <v>Оказание услуг по организации питания</v>
      </c>
      <c r="G6128" s="22" t="s">
        <v>49</v>
      </c>
      <c r="H6128" s="22" t="s">
        <v>9391</v>
      </c>
      <c r="I6128" s="26">
        <v>43699.6862847222</v>
      </c>
      <c r="J6128" s="28" t="s">
        <v>51</v>
      </c>
      <c r="K6128" s="28" t="s">
        <v>51</v>
      </c>
      <c r="L6128" s="28" t="s">
        <v>51</v>
      </c>
      <c r="M6128" s="28" t="s">
        <v>51</v>
      </c>
      <c r="N6128" s="28" t="s">
        <v>51</v>
      </c>
    </row>
    <row r="6129" spans="1:14" hidden="1" outlineLevel="1" x14ac:dyDescent="0.15">
      <c r="A6129" s="23" t="str">
        <f>HYPERLINK("https://www.spark-marketing.ru/Card/Person/144565", "МОБУ ЛИЦЕЙ")</f>
        <v>МОБУ ЛИЦЕЙ</v>
      </c>
      <c r="B6129" s="24" t="s">
        <v>9393</v>
      </c>
      <c r="C6129" s="25">
        <v>1822244</v>
      </c>
      <c r="D6129" s="22" t="s">
        <v>9389</v>
      </c>
      <c r="E6129" s="22" t="s">
        <v>48</v>
      </c>
      <c r="F6129" s="23" t="str">
        <f t="shared" si="127"/>
        <v>Оказание услуг по организации питания</v>
      </c>
      <c r="G6129" s="22" t="s">
        <v>49</v>
      </c>
      <c r="H6129" s="22" t="s">
        <v>9391</v>
      </c>
      <c r="I6129" s="26">
        <v>43699.6862847222</v>
      </c>
      <c r="J6129" s="28" t="s">
        <v>51</v>
      </c>
      <c r="K6129" s="28" t="s">
        <v>51</v>
      </c>
      <c r="L6129" s="28" t="s">
        <v>51</v>
      </c>
      <c r="M6129" s="28" t="s">
        <v>51</v>
      </c>
      <c r="N6129" s="28" t="s">
        <v>51</v>
      </c>
    </row>
    <row r="6130" spans="1:14" hidden="1" outlineLevel="1" x14ac:dyDescent="0.15">
      <c r="A6130" s="23" t="str">
        <f>HYPERLINK("https://www.spark-marketing.ru/Card/Person/1022154", "МКОУШ ДЛЯ ОБУЧАЮЩИХСЯ С ОВЗ")</f>
        <v>МКОУШ ДЛЯ ОБУЧАЮЩИХСЯ С ОВЗ</v>
      </c>
      <c r="B6130" s="24" t="s">
        <v>9394</v>
      </c>
      <c r="C6130" s="25">
        <v>571764</v>
      </c>
      <c r="D6130" s="22" t="s">
        <v>9389</v>
      </c>
      <c r="E6130" s="22" t="s">
        <v>48</v>
      </c>
      <c r="F6130" s="23" t="str">
        <f t="shared" si="127"/>
        <v>Оказание услуг по организации питания</v>
      </c>
      <c r="G6130" s="22" t="s">
        <v>49</v>
      </c>
      <c r="H6130" s="22" t="s">
        <v>9391</v>
      </c>
      <c r="I6130" s="26">
        <v>43699.6862847222</v>
      </c>
      <c r="J6130" s="28" t="s">
        <v>51</v>
      </c>
      <c r="K6130" s="28" t="s">
        <v>51</v>
      </c>
      <c r="L6130" s="28" t="s">
        <v>51</v>
      </c>
      <c r="M6130" s="28" t="s">
        <v>51</v>
      </c>
      <c r="N6130" s="28" t="s">
        <v>51</v>
      </c>
    </row>
    <row r="6131" spans="1:14" hidden="1" outlineLevel="1" x14ac:dyDescent="0.2">
      <c r="A6131" s="28" t="s">
        <v>51</v>
      </c>
      <c r="B6131" s="28" t="s">
        <v>51</v>
      </c>
      <c r="C6131" s="28" t="s">
        <v>51</v>
      </c>
      <c r="D6131" s="22" t="s">
        <v>9389</v>
      </c>
      <c r="E6131" s="22" t="s">
        <v>48</v>
      </c>
      <c r="F6131" s="23" t="str">
        <f t="shared" si="127"/>
        <v>Оказание услуг по организации питания</v>
      </c>
      <c r="G6131" s="22" t="s">
        <v>51</v>
      </c>
      <c r="H6131" s="22" t="s">
        <v>51</v>
      </c>
      <c r="I6131" s="26">
        <v>43699.6862847222</v>
      </c>
      <c r="J6131" s="23" t="str">
        <f>HYPERLINK("https://www.spark-marketing.ru/Card/Person/708967", "Меркулова Надежда Евгеньевна")</f>
        <v>Меркулова Надежда Евгеньевна</v>
      </c>
      <c r="K6131" s="24" t="s">
        <v>5184</v>
      </c>
      <c r="L6131" s="28" t="s">
        <v>51</v>
      </c>
      <c r="M6131" s="25">
        <v>5837468</v>
      </c>
      <c r="N6131" s="27">
        <v>0</v>
      </c>
    </row>
    <row r="6132" spans="1:14" hidden="1" outlineLevel="1" x14ac:dyDescent="0.2">
      <c r="A6132" s="28" t="s">
        <v>51</v>
      </c>
      <c r="B6132" s="28" t="s">
        <v>51</v>
      </c>
      <c r="C6132" s="28" t="s">
        <v>51</v>
      </c>
      <c r="D6132" s="22" t="s">
        <v>9389</v>
      </c>
      <c r="E6132" s="22" t="s">
        <v>48</v>
      </c>
      <c r="F6132" s="23" t="str">
        <f t="shared" si="127"/>
        <v>Оказание услуг по организации питания</v>
      </c>
      <c r="G6132" s="22" t="s">
        <v>51</v>
      </c>
      <c r="H6132" s="22" t="s">
        <v>51</v>
      </c>
      <c r="I6132" s="26">
        <v>43699.6862847222</v>
      </c>
      <c r="J6132" s="23" t="str">
        <f>HYPERLINK("https://www.spark-marketing.ru/Card/Person/698937", "ООО ""ДОМАШНЯЯ КУХНЯ""")</f>
        <v>ООО "ДОМАШНЯЯ КУХНЯ"</v>
      </c>
      <c r="K6132" s="24" t="s">
        <v>9395</v>
      </c>
      <c r="L6132" s="22" t="s">
        <v>10</v>
      </c>
      <c r="M6132" s="25">
        <v>5837400</v>
      </c>
      <c r="N6132" s="27">
        <v>1.1648886126656284E-5</v>
      </c>
    </row>
    <row r="6133" spans="1:14" x14ac:dyDescent="0.15">
      <c r="A6133" s="23" t="str">
        <f>HYPERLINK("https://www.spark-marketing.ru/Card/Person/1048410", "МО МВД РОССИИ ""АБДУЛИНСКИЙ""")</f>
        <v>МО МВД РОССИИ "АБДУЛИНСКИЙ"</v>
      </c>
      <c r="B6133" s="24" t="s">
        <v>9396</v>
      </c>
      <c r="C6133" s="25">
        <v>1100000</v>
      </c>
      <c r="D6133" s="22" t="s">
        <v>9397</v>
      </c>
      <c r="E6133" s="22" t="s">
        <v>96</v>
      </c>
      <c r="F6133" s="23" t="str">
        <f>HYPERLINK("https://www.spark-marketing.ru/Card/Lot/72967861", "Услуги по предоставлению горячего трехразового питания  в 2020")</f>
        <v>Услуги по предоставлению горячего трехразового питания  в 2020</v>
      </c>
      <c r="G6133" s="22" t="s">
        <v>132</v>
      </c>
      <c r="H6133" s="22" t="s">
        <v>132</v>
      </c>
      <c r="I6133" s="26">
        <v>43699.630810185197</v>
      </c>
      <c r="J6133" s="23" t="str">
        <f>HYPERLINK("https://www.spark-marketing.ru/Card/Person/6639844", "Абакаев Александр Сергеевич")</f>
        <v>Абакаев Александр Сергеевич</v>
      </c>
      <c r="K6133" s="24" t="s">
        <v>9398</v>
      </c>
      <c r="L6133" s="22" t="s">
        <v>10</v>
      </c>
      <c r="M6133" s="28" t="s">
        <v>51</v>
      </c>
      <c r="N6133" s="28" t="s">
        <v>51</v>
      </c>
    </row>
    <row r="6134" spans="1:14" x14ac:dyDescent="0.15">
      <c r="A6134" s="23" t="str">
        <f>HYPERLINK("https://www.spark-marketing.ru/Card/Person/89764", "МБДОУ - Д/С №3 СТ. СТАРОВЕЛИЧКОВСКОЙ")</f>
        <v>МБДОУ - Д/С №3 СТ. СТАРОВЕЛИЧКОВСКОЙ</v>
      </c>
      <c r="B6134" s="24" t="s">
        <v>9399</v>
      </c>
      <c r="C6134" s="25">
        <v>316939.92</v>
      </c>
      <c r="D6134" s="22" t="s">
        <v>9400</v>
      </c>
      <c r="E6134" s="22" t="s">
        <v>48</v>
      </c>
      <c r="F6134" s="23" t="str">
        <f>HYPERLINK("https://www.spark-marketing.ru/Card/Lot/72973674", "Оказание услуг по организации горячего питания детей")</f>
        <v>Оказание услуг по организации горячего питания детей</v>
      </c>
      <c r="G6134" s="22" t="s">
        <v>104</v>
      </c>
      <c r="H6134" s="22" t="s">
        <v>5791</v>
      </c>
      <c r="I6134" s="26">
        <v>43699.650787036997</v>
      </c>
      <c r="J6134" s="23" t="str">
        <f>HYPERLINK("https://www.spark-marketing.ru/Card/Person/5867920", "Фирсанова Татьяна Викторовна")</f>
        <v>Фирсанова Татьяна Викторовна</v>
      </c>
      <c r="K6134" s="24" t="s">
        <v>6537</v>
      </c>
      <c r="L6134" s="22" t="s">
        <v>10</v>
      </c>
      <c r="M6134" s="28" t="s">
        <v>51</v>
      </c>
      <c r="N6134" s="28" t="s">
        <v>51</v>
      </c>
    </row>
    <row r="6135" spans="1:14" ht="12.75" x14ac:dyDescent="0.2">
      <c r="A6135" s="23" t="str">
        <f>HYPERLINK("https://www.spark-marketing.ru/Card/Person/1063989", "ОМВД РОССИИ ПО ГОРОДСКОМУ ОКРУГУ СТУПИНО")</f>
        <v>ОМВД РОССИИ ПО ГОРОДСКОМУ ОКРУГУ СТУПИНО</v>
      </c>
      <c r="B6135" s="24" t="s">
        <v>9401</v>
      </c>
      <c r="C6135" s="25">
        <v>361050</v>
      </c>
      <c r="D6135" s="22" t="s">
        <v>9402</v>
      </c>
      <c r="E6135" s="22" t="s">
        <v>48</v>
      </c>
      <c r="F6135" s="23" t="str">
        <f>HYPERLINK("https://www.spark-marketing.ru/Card/Lot/72973813", "оказание услуг по питанию граждан, содержащихся в ИВС")</f>
        <v>оказание услуг по питанию граждан, содержащихся в ИВС</v>
      </c>
      <c r="G6135" s="22" t="s">
        <v>49</v>
      </c>
      <c r="H6135" s="22" t="s">
        <v>191</v>
      </c>
      <c r="I6135" s="26">
        <v>43699.484027777798</v>
      </c>
      <c r="J6135" s="23" t="str">
        <f>HYPERLINK("https://www.spark-marketing.ru/Card/Person/1346500", "Сахарова Елена Анатольевна")</f>
        <v>Сахарова Елена Анатольевна</v>
      </c>
      <c r="K6135" s="24" t="s">
        <v>9403</v>
      </c>
      <c r="L6135" s="22" t="s">
        <v>10</v>
      </c>
      <c r="M6135" s="25">
        <v>356000</v>
      </c>
      <c r="N6135" s="27">
        <v>1.3986982412408254E-2</v>
      </c>
    </row>
    <row r="6136" spans="1:14" x14ac:dyDescent="0.15">
      <c r="A6136" s="23" t="str">
        <f>HYPERLINK("https://www.spark-marketing.ru/Card/Person/3637", "ФГБУ ""ФЦССХ"" МИНЗДРАВА РОССИИ (Г. АСТРАХАНЬ)")</f>
        <v>ФГБУ "ФЦССХ" МИНЗДРАВА РОССИИ (Г. АСТРАХАНЬ)</v>
      </c>
      <c r="B6136" s="24" t="s">
        <v>9404</v>
      </c>
      <c r="C6136" s="25">
        <v>209000</v>
      </c>
      <c r="D6136" s="22" t="s">
        <v>9405</v>
      </c>
      <c r="E6136" s="22" t="s">
        <v>355</v>
      </c>
      <c r="F6136" s="23" t="str">
        <f>HYPERLINK("https://www.spark-marketing.ru/Card/Lot/72971292", "Техническое  обслуживание систем бесперебойного питания  медицинского оборудования")</f>
        <v>Техническое  обслуживание систем бесперебойного питания  медицинского оборудования</v>
      </c>
      <c r="G6136" s="22" t="s">
        <v>141</v>
      </c>
      <c r="H6136" s="22" t="s">
        <v>141</v>
      </c>
      <c r="I6136" s="26">
        <v>43699.630601851903</v>
      </c>
      <c r="J6136" s="23" t="str">
        <f>HYPERLINK("https://www.spark-marketing.ru/Card/Person/235259", "ООО ""МАСЭНЕРГО СЕРВИС""")</f>
        <v>ООО "МАСЭНЕРГО СЕРВИС"</v>
      </c>
      <c r="K6136" s="24" t="s">
        <v>9380</v>
      </c>
      <c r="L6136" s="22" t="s">
        <v>10</v>
      </c>
      <c r="M6136" s="28" t="s">
        <v>51</v>
      </c>
      <c r="N6136" s="28" t="s">
        <v>51</v>
      </c>
    </row>
    <row r="6137" spans="1:14" x14ac:dyDescent="0.15">
      <c r="A6137" s="23" t="str">
        <f>HYPERLINK("https://www.spark-marketing.ru/Card/Person/1048410", "МО МВД РОССИИ ""АБДУЛИНСКИЙ""")</f>
        <v>МО МВД РОССИИ "АБДУЛИНСКИЙ"</v>
      </c>
      <c r="B6137" s="24" t="s">
        <v>9396</v>
      </c>
      <c r="C6137" s="25">
        <v>1100000</v>
      </c>
      <c r="D6137" s="22" t="s">
        <v>9406</v>
      </c>
      <c r="E6137" s="22" t="s">
        <v>96</v>
      </c>
      <c r="F6137" s="23" t="str">
        <f>HYPERLINK("https://www.spark-marketing.ru/Card/Lot/72967866", "Услуги по предоставлению горячего трехразового питания  в 2021 году")</f>
        <v>Услуги по предоставлению горячего трехразового питания  в 2021 году</v>
      </c>
      <c r="G6137" s="22" t="s">
        <v>132</v>
      </c>
      <c r="H6137" s="22" t="s">
        <v>132</v>
      </c>
      <c r="I6137" s="26">
        <v>43699.639780092599</v>
      </c>
      <c r="J6137" s="23" t="str">
        <f>HYPERLINK("https://www.spark-marketing.ru/Card/Person/6639844", "Абакаев Александр Сергеевич")</f>
        <v>Абакаев Александр Сергеевич</v>
      </c>
      <c r="K6137" s="24" t="s">
        <v>9398</v>
      </c>
      <c r="L6137" s="22" t="s">
        <v>10</v>
      </c>
      <c r="M6137" s="28" t="s">
        <v>51</v>
      </c>
      <c r="N6137" s="28" t="s">
        <v>51</v>
      </c>
    </row>
    <row r="6138" spans="1:14" ht="12.75" x14ac:dyDescent="0.2">
      <c r="A6138" s="23" t="str">
        <f>HYPERLINK("https://www.spark-marketing.ru/Card/Person/1063989", "ОМВД РОССИИ ПО ГОРОДСКОМУ ОКРУГУ СТУПИНО")</f>
        <v>ОМВД РОССИИ ПО ГОРОДСКОМУ ОКРУГУ СТУПИНО</v>
      </c>
      <c r="B6138" s="24" t="s">
        <v>9401</v>
      </c>
      <c r="C6138" s="25">
        <v>361050</v>
      </c>
      <c r="D6138" s="22" t="s">
        <v>9407</v>
      </c>
      <c r="E6138" s="22" t="s">
        <v>48</v>
      </c>
      <c r="F6138" s="23" t="str">
        <f>HYPERLINK("https://www.spark-marketing.ru/Card/Lot/72973816", "оказание услуг по питанию граждан, содержащихся в ИВС")</f>
        <v>оказание услуг по питанию граждан, содержащихся в ИВС</v>
      </c>
      <c r="G6138" s="22" t="s">
        <v>49</v>
      </c>
      <c r="H6138" s="22" t="s">
        <v>191</v>
      </c>
      <c r="I6138" s="26">
        <v>43699.489699074104</v>
      </c>
      <c r="J6138" s="23" t="str">
        <f>HYPERLINK("https://www.spark-marketing.ru/Card/Person/1346500", "Сахарова Елена Анатольевна")</f>
        <v>Сахарова Елена Анатольевна</v>
      </c>
      <c r="K6138" s="24" t="s">
        <v>9403</v>
      </c>
      <c r="L6138" s="22" t="s">
        <v>10</v>
      </c>
      <c r="M6138" s="25">
        <v>356000</v>
      </c>
      <c r="N6138" s="27">
        <v>1.3986982412408254E-2</v>
      </c>
    </row>
    <row r="6139" spans="1:14" collapsed="1" x14ac:dyDescent="0.15">
      <c r="A6139" s="23" t="str">
        <f>HYPERLINK("https://www.spark-marketing.ru/Card/Person/99623", "ОМВД РОССИИ ПО Г. НЕФТЕЮГАНСКУ")</f>
        <v>ОМВД РОССИИ ПО Г. НЕФТЕЮГАНСКУ</v>
      </c>
      <c r="B6139" s="24" t="s">
        <v>9408</v>
      </c>
      <c r="C6139" s="25">
        <v>216000</v>
      </c>
      <c r="D6139" s="22" t="s">
        <v>9409</v>
      </c>
      <c r="E6139" s="22" t="s">
        <v>48</v>
      </c>
      <c r="F6139" s="23" t="str">
        <f>HYPERLINK("https://www.spark-marketing.ru/Card/Lot/72966773", "Питание в ИВС")</f>
        <v>Питание в ИВС</v>
      </c>
      <c r="G6139" s="22" t="s">
        <v>97</v>
      </c>
      <c r="H6139" s="22" t="s">
        <v>363</v>
      </c>
      <c r="I6139" s="26">
        <v>43699.615983796299</v>
      </c>
      <c r="J6139" s="28" t="s">
        <v>51</v>
      </c>
      <c r="K6139" s="28" t="s">
        <v>51</v>
      </c>
      <c r="L6139" s="28" t="s">
        <v>51</v>
      </c>
      <c r="M6139" s="28" t="s">
        <v>51</v>
      </c>
      <c r="N6139" s="28" t="s">
        <v>51</v>
      </c>
    </row>
    <row r="6140" spans="1:14" ht="12.75" hidden="1" outlineLevel="1" x14ac:dyDescent="0.2">
      <c r="A6140" s="23" t="str">
        <f>HYPERLINK("https://www.spark-marketing.ru/Card/Person/99623", "ОМВД РОССИИ ПО Г. НЕФТЕЮГАНСКУ")</f>
        <v>ОМВД РОССИИ ПО Г. НЕФТЕЮГАНСКУ</v>
      </c>
      <c r="B6140" s="24" t="s">
        <v>9408</v>
      </c>
      <c r="C6140" s="25">
        <v>216000</v>
      </c>
      <c r="D6140" s="22" t="s">
        <v>9409</v>
      </c>
      <c r="E6140" s="22" t="s">
        <v>48</v>
      </c>
      <c r="F6140" s="23" t="str">
        <f>HYPERLINK("https://www.spark-marketing.ru/Card/Lot/72966773", "Питание в ИВС")</f>
        <v>Питание в ИВС</v>
      </c>
      <c r="G6140" s="22" t="s">
        <v>97</v>
      </c>
      <c r="H6140" s="22" t="s">
        <v>363</v>
      </c>
      <c r="I6140" s="26">
        <v>43699.615983796299</v>
      </c>
      <c r="J6140" s="23" t="str">
        <f>HYPERLINK("https://www.spark-marketing.ru/Card/Person/54874", "ООО ""РУССКОМПЛЕКТ ПИТ""")</f>
        <v>ООО "РУССКОМПЛЕКТ ПИТ"</v>
      </c>
      <c r="K6140" s="24" t="s">
        <v>3534</v>
      </c>
      <c r="L6140" s="22" t="s">
        <v>10</v>
      </c>
      <c r="M6140" s="25">
        <v>1221.99</v>
      </c>
      <c r="N6140" s="27">
        <v>0.99434263888888885</v>
      </c>
    </row>
    <row r="6141" spans="1:14" hidden="1" outlineLevel="1" x14ac:dyDescent="0.2">
      <c r="A6141" s="23" t="str">
        <f>HYPERLINK("https://www.spark-marketing.ru/Card/Person/99623", "ОМВД РОССИИ ПО Г. НЕФТЕЮГАНСКУ")</f>
        <v>ОМВД РОССИИ ПО Г. НЕФТЕЮГАНСКУ</v>
      </c>
      <c r="B6141" s="24" t="s">
        <v>9408</v>
      </c>
      <c r="C6141" s="25">
        <v>216000</v>
      </c>
      <c r="D6141" s="22" t="s">
        <v>9409</v>
      </c>
      <c r="E6141" s="22" t="s">
        <v>48</v>
      </c>
      <c r="F6141" s="23" t="str">
        <f>HYPERLINK("https://www.spark-marketing.ru/Card/Lot/72966773", "Питание в ИВС")</f>
        <v>Питание в ИВС</v>
      </c>
      <c r="G6141" s="22" t="s">
        <v>97</v>
      </c>
      <c r="H6141" s="22" t="s">
        <v>363</v>
      </c>
      <c r="I6141" s="26">
        <v>43699.615983796299</v>
      </c>
      <c r="J6141" s="23" t="str">
        <f>HYPERLINK("https://www.spark-marketing.ru/Card/Person/6402596", "Филонинко Яна Григорьевна")</f>
        <v>Филонинко Яна Григорьевна</v>
      </c>
      <c r="K6141" s="24" t="s">
        <v>9410</v>
      </c>
      <c r="L6141" s="28" t="s">
        <v>51</v>
      </c>
      <c r="M6141" s="25">
        <v>1233.5999999999999</v>
      </c>
      <c r="N6141" s="27">
        <v>0.99428888888888889</v>
      </c>
    </row>
    <row r="6142" spans="1:14" x14ac:dyDescent="0.15">
      <c r="A6142" s="23" t="str">
        <f>HYPERLINK("https://www.spark-marketing.ru/Card/Person/538181", "ОМВД РОССИИ ПО ТОМАРИНСКОМУ ГОРОДСКОМУ ОКРУГУ")</f>
        <v>ОМВД РОССИИ ПО ТОМАРИНСКОМУ ГОРОДСКОМУ ОКРУГУ</v>
      </c>
      <c r="B6142" s="24" t="s">
        <v>9411</v>
      </c>
      <c r="C6142" s="25">
        <v>500000</v>
      </c>
      <c r="D6142" s="22" t="s">
        <v>9412</v>
      </c>
      <c r="E6142" s="22" t="s">
        <v>48</v>
      </c>
      <c r="F6142" s="23" t="str">
        <f>HYPERLINK("https://www.spark-marketing.ru/Card/Lot/72953570", "Оказание услуг по обеспечению трехразовым горячим питанием лиц арестованных в административном порядке, содержащихся в комнате административно арестованных и лиц, содержащихся в изоляторе временного содержания ОМВД России по Томаринскому городскому о...")</f>
        <v>Оказание услуг по обеспечению трехразовым горячим питанием лиц арестованных в административном порядке, содержащихся в комнате административно арестованных и лиц, содержащихся в изоляторе временного содержания ОМВД России по Томаринскому городскому о...</v>
      </c>
      <c r="G6142" s="22" t="s">
        <v>260</v>
      </c>
      <c r="H6142" s="22" t="s">
        <v>260</v>
      </c>
      <c r="I6142" s="26">
        <v>43699.573807870402</v>
      </c>
      <c r="J6142" s="28" t="s">
        <v>51</v>
      </c>
      <c r="K6142" s="28" t="s">
        <v>51</v>
      </c>
      <c r="L6142" s="28" t="s">
        <v>51</v>
      </c>
      <c r="M6142" s="28" t="s">
        <v>51</v>
      </c>
      <c r="N6142" s="28" t="s">
        <v>51</v>
      </c>
    </row>
    <row r="6143" spans="1:14" collapsed="1" x14ac:dyDescent="0.15">
      <c r="A6143" s="23" t="str">
        <f>HYPERLINK("https://www.spark-marketing.ru/Card/Person/104484", "ГКУ ""ЦИТ""")</f>
        <v>ГКУ "ЦИТ"</v>
      </c>
      <c r="B6143" s="24" t="s">
        <v>9413</v>
      </c>
      <c r="C6143" s="25">
        <v>186313.32</v>
      </c>
      <c r="D6143" s="22" t="s">
        <v>9414</v>
      </c>
      <c r="E6143" s="22" t="s">
        <v>9415</v>
      </c>
      <c r="F6143" s="23" t="str">
        <f>HYPERLINK("https://www.spark-marketing.ru/Card/Lot/72965058", "Поставка компьютерной техники")</f>
        <v>Поставка компьютерной техники</v>
      </c>
      <c r="G6143" s="22" t="s">
        <v>132</v>
      </c>
      <c r="H6143" s="22" t="s">
        <v>587</v>
      </c>
      <c r="I6143" s="26">
        <v>43699.529560185198</v>
      </c>
      <c r="J6143" s="23" t="str">
        <f>HYPERLINK("https://www.spark-marketing.ru/Card/Person/373121", "Новичков Дмитрий Анатольевич")</f>
        <v>Новичков Дмитрий Анатольевич</v>
      </c>
      <c r="K6143" s="24" t="s">
        <v>9416</v>
      </c>
      <c r="L6143" s="28" t="s">
        <v>51</v>
      </c>
      <c r="M6143" s="28" t="s">
        <v>51</v>
      </c>
      <c r="N6143" s="28" t="s">
        <v>51</v>
      </c>
    </row>
    <row r="6144" spans="1:14" ht="12.75" hidden="1" outlineLevel="1" x14ac:dyDescent="0.2">
      <c r="A6144" s="23" t="str">
        <f>HYPERLINK("https://www.spark-marketing.ru/Card/Person/104484", "ГКУ ""ЦИТ""")</f>
        <v>ГКУ "ЦИТ"</v>
      </c>
      <c r="B6144" s="24" t="s">
        <v>9413</v>
      </c>
      <c r="C6144" s="25">
        <v>186313.32</v>
      </c>
      <c r="D6144" s="22" t="s">
        <v>9414</v>
      </c>
      <c r="E6144" s="22" t="s">
        <v>9415</v>
      </c>
      <c r="F6144" s="23" t="str">
        <f>HYPERLINK("https://www.spark-marketing.ru/Card/Lot/72965058", "Поставка компьютерной техники")</f>
        <v>Поставка компьютерной техники</v>
      </c>
      <c r="G6144" s="22" t="s">
        <v>132</v>
      </c>
      <c r="H6144" s="22" t="s">
        <v>587</v>
      </c>
      <c r="I6144" s="26">
        <v>43699.529560185198</v>
      </c>
      <c r="J6144" s="23" t="str">
        <f>HYPERLINK("https://www.spark-marketing.ru/Card/Person/373121", "Новичков Дмитрий Анатольевич")</f>
        <v>Новичков Дмитрий Анатольевич</v>
      </c>
      <c r="K6144" s="24" t="s">
        <v>9416</v>
      </c>
      <c r="L6144" s="22" t="s">
        <v>10</v>
      </c>
      <c r="M6144" s="25">
        <v>185381.75</v>
      </c>
      <c r="N6144" s="27">
        <v>5.0000182488294451E-3</v>
      </c>
    </row>
    <row r="6145" spans="1:14" x14ac:dyDescent="0.15">
      <c r="A6145" s="23" t="str">
        <f>HYPERLINK("https://www.spark-marketing.ru/Card/Person/5003", "УМВД РОССИИ ПО МУРМАНСКОЙ ОБЛАСТИ")</f>
        <v>УМВД РОССИИ ПО МУРМАНСКОЙ ОБЛАСТИ</v>
      </c>
      <c r="B6145" s="24" t="s">
        <v>1683</v>
      </c>
      <c r="C6145" s="25">
        <v>650000</v>
      </c>
      <c r="D6145" s="22" t="s">
        <v>9417</v>
      </c>
      <c r="E6145" s="22" t="s">
        <v>48</v>
      </c>
      <c r="F6145" s="23" t="str">
        <f>HYPERLINK("https://www.spark-marketing.ru/Card/Lot/72974891", "Оказание услуг по организации питания лиц, содержащихся в ЦВСНП УМВД России по Мурманской области")</f>
        <v>Оказание услуг по организации питания лиц, содержащихся в ЦВСНП УМВД России по Мурманской области</v>
      </c>
      <c r="G6145" s="22" t="s">
        <v>340</v>
      </c>
      <c r="H6145" s="22" t="s">
        <v>340</v>
      </c>
      <c r="I6145" s="26">
        <v>43699.497974537</v>
      </c>
      <c r="J6145" s="23" t="str">
        <f>HYPERLINK("https://www.spark-marketing.ru/Card/Person/6694086", "Кубаевская Ксения Михайловна")</f>
        <v>Кубаевская Ксения Михайловна</v>
      </c>
      <c r="K6145" s="24" t="s">
        <v>8251</v>
      </c>
      <c r="L6145" s="22" t="s">
        <v>10</v>
      </c>
      <c r="M6145" s="28" t="s">
        <v>51</v>
      </c>
      <c r="N6145" s="28" t="s">
        <v>51</v>
      </c>
    </row>
    <row r="6146" spans="1:14" x14ac:dyDescent="0.15">
      <c r="A6146" s="23" t="str">
        <f>HYPERLINK("https://www.spark-marketing.ru/Card/Person/4439142", "АО ""РОСПАН ИНТЕРНЕШНЛ""")</f>
        <v>АО "РОСПАН ИНТЕРНЕШНЛ"</v>
      </c>
      <c r="B6146" s="24" t="s">
        <v>4265</v>
      </c>
      <c r="C6146" s="28" t="s">
        <v>51</v>
      </c>
      <c r="D6146" s="22" t="s">
        <v>9418</v>
      </c>
      <c r="E6146" s="22" t="s">
        <v>918</v>
      </c>
      <c r="F6146" s="23" t="str">
        <f>HYPERLINK("https://www.spark-marketing.ru/Card/Lot/72966294", "Услуги по обеспечению молоком")</f>
        <v>Услуги по обеспечению молоком</v>
      </c>
      <c r="G6146" s="22" t="s">
        <v>1056</v>
      </c>
      <c r="H6146" s="22" t="s">
        <v>4267</v>
      </c>
      <c r="I6146" s="26">
        <v>43699.614583333299</v>
      </c>
      <c r="J6146" s="28" t="s">
        <v>51</v>
      </c>
      <c r="K6146" s="28" t="s">
        <v>51</v>
      </c>
      <c r="L6146" s="28" t="s">
        <v>51</v>
      </c>
      <c r="M6146" s="28" t="s">
        <v>51</v>
      </c>
      <c r="N6146" s="28" t="s">
        <v>51</v>
      </c>
    </row>
    <row r="6147" spans="1:14" x14ac:dyDescent="0.2">
      <c r="A6147" s="23" t="str">
        <f>HYPERLINK("https://www.spark-marketing.ru/Card/Person/4377660", "МБОУ ""ЯСШ № 10""")</f>
        <v>МБОУ "ЯСШ № 10"</v>
      </c>
      <c r="B6147" s="24" t="s">
        <v>9419</v>
      </c>
      <c r="C6147" s="25">
        <v>4852922</v>
      </c>
      <c r="D6147" s="22" t="s">
        <v>9420</v>
      </c>
      <c r="E6147" s="22" t="s">
        <v>48</v>
      </c>
      <c r="F6147" s="23" t="str">
        <f>HYPERLINK("https://www.spark-marketing.ru/Card/Lot/72980615", "Услуги  по организации горячего питания (завтраки и обеды) обучающихся")</f>
        <v>Услуги  по организации горячего питания (завтраки и обеды) обучающихся</v>
      </c>
      <c r="G6147" s="22" t="s">
        <v>108</v>
      </c>
      <c r="H6147" s="22" t="s">
        <v>1321</v>
      </c>
      <c r="I6147" s="26">
        <v>43699.621782407397</v>
      </c>
      <c r="J6147" s="23" t="str">
        <f>HYPERLINK("https://www.spark-marketing.ru/Card/Person/6171161", "Фартушная-Близнюк Галина Николаевна")</f>
        <v>Фартушная-Близнюк Галина Николаевна</v>
      </c>
      <c r="K6147" s="24" t="s">
        <v>6780</v>
      </c>
      <c r="L6147" s="28" t="s">
        <v>51</v>
      </c>
      <c r="M6147" s="25">
        <v>4852922</v>
      </c>
      <c r="N6147" s="27">
        <v>0</v>
      </c>
    </row>
    <row r="6148" spans="1:14" x14ac:dyDescent="0.15">
      <c r="A6148" s="23" t="str">
        <f>HYPERLINK("https://www.spark-marketing.ru/Card/Person/4439142", "АО ""РОСПАН ИНТЕРНЕШНЛ""")</f>
        <v>АО "РОСПАН ИНТЕРНЕШНЛ"</v>
      </c>
      <c r="B6148" s="24" t="s">
        <v>4265</v>
      </c>
      <c r="C6148" s="28" t="s">
        <v>51</v>
      </c>
      <c r="D6148" s="22" t="s">
        <v>9418</v>
      </c>
      <c r="E6148" s="22" t="s">
        <v>362</v>
      </c>
      <c r="F6148" s="23" t="str">
        <f>HYPERLINK("https://www.spark-marketing.ru/Card/Lot/72966295", "Оказание услуг по организации общественного питания")</f>
        <v>Оказание услуг по организации общественного питания</v>
      </c>
      <c r="G6148" s="22" t="s">
        <v>1056</v>
      </c>
      <c r="H6148" s="22" t="s">
        <v>4267</v>
      </c>
      <c r="I6148" s="26">
        <v>43699.614583333299</v>
      </c>
      <c r="J6148" s="28" t="s">
        <v>51</v>
      </c>
      <c r="K6148" s="28" t="s">
        <v>51</v>
      </c>
      <c r="L6148" s="28" t="s">
        <v>51</v>
      </c>
      <c r="M6148" s="28" t="s">
        <v>51</v>
      </c>
      <c r="N6148" s="28" t="s">
        <v>51</v>
      </c>
    </row>
    <row r="6149" spans="1:14" x14ac:dyDescent="0.15">
      <c r="A6149" s="23" t="str">
        <f>HYPERLINK("https://www.spark-marketing.ru/Card/Person/535401", "ТОМСКИЙ ЛО МВД РОССИИ")</f>
        <v>ТОМСКИЙ ЛО МВД РОССИИ</v>
      </c>
      <c r="B6149" s="24" t="s">
        <v>9421</v>
      </c>
      <c r="C6149" s="25">
        <v>30000</v>
      </c>
      <c r="D6149" s="22" t="s">
        <v>9422</v>
      </c>
      <c r="E6149" s="22" t="s">
        <v>91</v>
      </c>
      <c r="F6149" s="23" t="str">
        <f>HYPERLINK("https://www.spark-marketing.ru/Card/Lot/72965623", "Услуги")</f>
        <v>Услуги</v>
      </c>
      <c r="G6149" s="22" t="s">
        <v>149</v>
      </c>
      <c r="H6149" s="22" t="s">
        <v>496</v>
      </c>
      <c r="I6149" s="26">
        <v>43699.616990740702</v>
      </c>
      <c r="J6149" s="28" t="s">
        <v>51</v>
      </c>
      <c r="K6149" s="28" t="s">
        <v>51</v>
      </c>
      <c r="L6149" s="28" t="s">
        <v>51</v>
      </c>
      <c r="M6149" s="28" t="s">
        <v>51</v>
      </c>
      <c r="N6149" s="28" t="s">
        <v>51</v>
      </c>
    </row>
    <row r="6150" spans="1:14" x14ac:dyDescent="0.15">
      <c r="A6150" s="23" t="str">
        <f>HYPERLINK("https://www.spark-marketing.ru/Card/Person/356943", "МЕЖМУНИЦИПАЛЬНЫЙ ОТДЕЛ МВД РОССИИ ""КРАСНОСУЛИНСКИЙ""")</f>
        <v>МЕЖМУНИЦИПАЛЬНЫЙ ОТДЕЛ МВД РОССИИ "КРАСНОСУЛИНСКИЙ"</v>
      </c>
      <c r="B6150" s="24" t="s">
        <v>2159</v>
      </c>
      <c r="C6150" s="25">
        <v>21313.1</v>
      </c>
      <c r="D6150" s="22" t="s">
        <v>9423</v>
      </c>
      <c r="E6150" s="22" t="s">
        <v>48</v>
      </c>
      <c r="F6150" s="23" t="str">
        <f>HYPERLINK("https://www.spark-marketing.ru/Card/Lot/72965539",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6150" s="22" t="s">
        <v>267</v>
      </c>
      <c r="H6150" s="22" t="s">
        <v>9424</v>
      </c>
      <c r="I6150" s="26">
        <v>43699.613796296297</v>
      </c>
      <c r="J6150" s="28" t="s">
        <v>51</v>
      </c>
      <c r="K6150" s="28" t="s">
        <v>51</v>
      </c>
      <c r="L6150" s="28" t="s">
        <v>51</v>
      </c>
      <c r="M6150" s="28" t="s">
        <v>51</v>
      </c>
      <c r="N6150" s="28" t="s">
        <v>51</v>
      </c>
    </row>
    <row r="6151" spans="1:14" x14ac:dyDescent="0.15">
      <c r="A6151" s="23" t="str">
        <f>HYPERLINK("https://www.spark-marketing.ru/Card/Person/92131", "УПРАВЛЕНИЕ МВД РОССИИ ПО Г.УЛАН-УДЭ")</f>
        <v>УПРАВЛЕНИЕ МВД РОССИИ ПО Г.УЛАН-УДЭ</v>
      </c>
      <c r="B6151" s="24" t="s">
        <v>9425</v>
      </c>
      <c r="C6151" s="25">
        <v>980000</v>
      </c>
      <c r="D6151" s="22" t="s">
        <v>9426</v>
      </c>
      <c r="E6151" s="22" t="s">
        <v>48</v>
      </c>
      <c r="F6151" s="23" t="str">
        <f>HYPERLINK("https://www.spark-marketing.ru/Card/Lot/72957775", "оказание услуг по обеспечению ежедневным трехразовым горячим питанием лиц подозреваемых и обвиняемых в совершении преступлений и лиц, арестованных в административном порядке, содержащихся в изоляторе временного содержания и Дежурной части")</f>
        <v>оказание услуг по обеспечению ежедневным трехразовым горячим питанием лиц подозреваемых и обвиняемых в совершении преступлений и лиц, арестованных в административном порядке, содержащихся в изоляторе временного содержания и Дежурной части</v>
      </c>
      <c r="G6151" s="22" t="s">
        <v>433</v>
      </c>
      <c r="H6151" s="22" t="s">
        <v>433</v>
      </c>
      <c r="I6151" s="26">
        <v>43699.559861111098</v>
      </c>
      <c r="J6151" s="23" t="str">
        <f>HYPERLINK("https://www.spark-marketing.ru/Card/Person/92186", "Гамбулон Елена Цырен-Дашиевна")</f>
        <v>Гамбулон Елена Цырен-Дашиевна</v>
      </c>
      <c r="K6151" s="24" t="s">
        <v>9427</v>
      </c>
      <c r="L6151" s="22" t="s">
        <v>10</v>
      </c>
      <c r="M6151" s="28" t="s">
        <v>51</v>
      </c>
      <c r="N6151" s="28" t="s">
        <v>51</v>
      </c>
    </row>
    <row r="6152" spans="1:14" x14ac:dyDescent="0.15">
      <c r="A6152" s="23" t="str">
        <f>HYPERLINK("https://www.spark-marketing.ru/Card/Person/356943", "МЕЖМУНИЦИПАЛЬНЫЙ ОТДЕЛ МВД РОССИИ ""КРАСНОСУЛИНСКИЙ""")</f>
        <v>МЕЖМУНИЦИПАЛЬНЫЙ ОТДЕЛ МВД РОССИИ "КРАСНОСУЛИНСКИЙ"</v>
      </c>
      <c r="B6152" s="24" t="s">
        <v>2159</v>
      </c>
      <c r="C6152" s="25">
        <v>21313.1</v>
      </c>
      <c r="D6152" s="22" t="s">
        <v>9428</v>
      </c>
      <c r="E6152" s="22" t="s">
        <v>48</v>
      </c>
      <c r="F6152" s="23" t="str">
        <f>HYPERLINK("https://www.spark-marketing.ru/Card/Lot/72965557",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6152" s="22" t="s">
        <v>267</v>
      </c>
      <c r="H6152" s="22" t="s">
        <v>9424</v>
      </c>
      <c r="I6152" s="26">
        <v>43699.611273148097</v>
      </c>
      <c r="J6152" s="28" t="s">
        <v>51</v>
      </c>
      <c r="K6152" s="28" t="s">
        <v>51</v>
      </c>
      <c r="L6152" s="28" t="s">
        <v>51</v>
      </c>
      <c r="M6152" s="28" t="s">
        <v>51</v>
      </c>
      <c r="N6152" s="28" t="s">
        <v>51</v>
      </c>
    </row>
    <row r="6153" spans="1:14" x14ac:dyDescent="0.15">
      <c r="A6153" s="23" t="str">
        <f>HYPERLINK("https://www.spark-marketing.ru/Card/Person/4343663", "МИНЗДРАВ АЛТАЙСКОГО КРАЯ")</f>
        <v>МИНЗДРАВ АЛТАЙСКОГО КРАЯ</v>
      </c>
      <c r="B6153" s="24" t="s">
        <v>9429</v>
      </c>
      <c r="C6153" s="25">
        <v>15300</v>
      </c>
      <c r="D6153" s="22" t="s">
        <v>9430</v>
      </c>
      <c r="E6153" s="22" t="s">
        <v>336</v>
      </c>
      <c r="F6153" s="23" t="str">
        <f>HYPERLINK("https://www.spark-marketing.ru/Card/Lot/72964081",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153" s="22" t="s">
        <v>63</v>
      </c>
      <c r="H6153" s="22" t="s">
        <v>177</v>
      </c>
      <c r="I6153" s="26">
        <v>43699.563194444403</v>
      </c>
      <c r="J6153" s="28" t="s">
        <v>51</v>
      </c>
      <c r="K6153" s="28" t="s">
        <v>51</v>
      </c>
      <c r="L6153" s="28" t="s">
        <v>51</v>
      </c>
      <c r="M6153" s="28" t="s">
        <v>51</v>
      </c>
      <c r="N6153" s="28" t="s">
        <v>51</v>
      </c>
    </row>
    <row r="6154" spans="1:14" x14ac:dyDescent="0.15">
      <c r="A6154" s="23" t="str">
        <f>HYPERLINK("https://www.spark-marketing.ru/Card/Person/4343663", "МИНЗДРАВ АЛТАЙСКОГО КРАЯ")</f>
        <v>МИНЗДРАВ АЛТАЙСКОГО КРАЯ</v>
      </c>
      <c r="B6154" s="24" t="s">
        <v>9429</v>
      </c>
      <c r="C6154" s="25">
        <v>67993.440000000002</v>
      </c>
      <c r="D6154" s="22" t="s">
        <v>9431</v>
      </c>
      <c r="E6154" s="22" t="s">
        <v>336</v>
      </c>
      <c r="F6154" s="23" t="str">
        <f>HYPERLINK("https://www.spark-marketing.ru/Card/Lot/72964012",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154" s="22" t="s">
        <v>63</v>
      </c>
      <c r="H6154" s="22" t="s">
        <v>177</v>
      </c>
      <c r="I6154" s="26">
        <v>43699.570138888899</v>
      </c>
      <c r="J6154" s="28" t="s">
        <v>51</v>
      </c>
      <c r="K6154" s="28" t="s">
        <v>51</v>
      </c>
      <c r="L6154" s="28" t="s">
        <v>51</v>
      </c>
      <c r="M6154" s="28" t="s">
        <v>51</v>
      </c>
      <c r="N6154" s="28" t="s">
        <v>51</v>
      </c>
    </row>
    <row r="6155" spans="1:14" x14ac:dyDescent="0.15">
      <c r="A6155" s="23" t="str">
        <f>HYPERLINK("https://www.spark-marketing.ru/Card/Person/1075184", "ОМВД РОССИИ ПО ГОРЬКОВСКОМУ РАЙОНУ")</f>
        <v>ОМВД РОССИИ ПО ГОРЬКОВСКОМУ РАЙОНУ</v>
      </c>
      <c r="B6155" s="24" t="s">
        <v>9432</v>
      </c>
      <c r="C6155" s="25">
        <v>127400</v>
      </c>
      <c r="D6155" s="22" t="s">
        <v>9433</v>
      </c>
      <c r="E6155" s="22" t="s">
        <v>48</v>
      </c>
      <c r="F6155" s="23" t="str">
        <f>HYPERLINK("https://www.spark-marketing.ru/Card/Lot/72962071",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6155" s="22" t="s">
        <v>487</v>
      </c>
      <c r="H6155" s="22" t="s">
        <v>9434</v>
      </c>
      <c r="I6155" s="26">
        <v>43699.542164351798</v>
      </c>
      <c r="J6155" s="28" t="s">
        <v>51</v>
      </c>
      <c r="K6155" s="28" t="s">
        <v>51</v>
      </c>
      <c r="L6155" s="28" t="s">
        <v>51</v>
      </c>
      <c r="M6155" s="28" t="s">
        <v>51</v>
      </c>
      <c r="N6155" s="28" t="s">
        <v>51</v>
      </c>
    </row>
    <row r="6156" spans="1:14" x14ac:dyDescent="0.15">
      <c r="A6156" s="23" t="str">
        <f>HYPERLINK("https://www.spark-marketing.ru/Card/Person/136319", "МУ МВД РОССИИ ""БИЙСКОЕ""")</f>
        <v>МУ МВД РОССИИ "БИЙСКОЕ"</v>
      </c>
      <c r="B6156" s="24" t="s">
        <v>9435</v>
      </c>
      <c r="C6156" s="25">
        <v>1192985.1100000001</v>
      </c>
      <c r="D6156" s="22" t="s">
        <v>9436</v>
      </c>
      <c r="E6156" s="22" t="s">
        <v>48</v>
      </c>
      <c r="F6156" s="23" t="str">
        <f>HYPERLINK("https://www.spark-marketing.ru/Card/Lot/72957774", "Услуги по обеспечению горячим питанием лиц, содержащихся в Изоляторе временного содержания МУ МВД России «Бийское» и лиц, в отношении которых в соответствии с КоАП РФ применено административное задержание на срок более трех часов и содержащихся в спе...")</f>
        <v>Услуги по обеспечению горячим питанием лиц, содержащихся в Изоляторе временного содержания МУ МВД России «Бийское» и лиц, в отношении которых в соответствии с КоАП РФ применено административное задержание на срок более трех часов и содержащихся в спе...</v>
      </c>
      <c r="G6156" s="22" t="s">
        <v>63</v>
      </c>
      <c r="H6156" s="22" t="s">
        <v>1294</v>
      </c>
      <c r="I6156" s="26">
        <v>43699.556921296302</v>
      </c>
      <c r="J6156" s="23" t="str">
        <f>HYPERLINK("https://www.spark-marketing.ru/Card/Person/896596", "Александрова Людмила Арташесовна")</f>
        <v>Александрова Людмила Арташесовна</v>
      </c>
      <c r="K6156" s="24" t="s">
        <v>9437</v>
      </c>
      <c r="L6156" s="22" t="s">
        <v>10</v>
      </c>
      <c r="M6156" s="28" t="s">
        <v>51</v>
      </c>
      <c r="N6156" s="28" t="s">
        <v>51</v>
      </c>
    </row>
    <row r="6157" spans="1:14" x14ac:dyDescent="0.15">
      <c r="A6157" s="23" t="str">
        <f>HYPERLINK("https://www.spark-marketing.ru/Card/Person/1021099", "ГБУЗ КО КПНД")</f>
        <v>ГБУЗ КО КПНД</v>
      </c>
      <c r="B6157" s="24" t="s">
        <v>9438</v>
      </c>
      <c r="C6157" s="25">
        <v>1286050</v>
      </c>
      <c r="D6157" s="22" t="s">
        <v>9439</v>
      </c>
      <c r="E6157" s="22" t="s">
        <v>48</v>
      </c>
      <c r="F6157" s="23" t="str">
        <f>HYPERLINK("https://www.spark-marketing.ru/Card/Lot/72958338", "Оказание услуг по обеспечению готовым питанием")</f>
        <v>Оказание услуг по обеспечению готовым питанием</v>
      </c>
      <c r="G6157" s="22" t="s">
        <v>304</v>
      </c>
      <c r="H6157" s="22" t="s">
        <v>1148</v>
      </c>
      <c r="I6157" s="26">
        <v>43699.484224537002</v>
      </c>
      <c r="J6157" s="23" t="str">
        <f>HYPERLINK("https://www.spark-marketing.ru/Card/Person/92006", "ООО ""СТОЛОВАЯ ""ЯГОДКА""")</f>
        <v>ООО "СТОЛОВАЯ "ЯГОДКА"</v>
      </c>
      <c r="K6157" s="24" t="s">
        <v>3882</v>
      </c>
      <c r="L6157" s="22" t="s">
        <v>10</v>
      </c>
      <c r="M6157" s="28" t="s">
        <v>51</v>
      </c>
      <c r="N6157" s="28" t="s">
        <v>51</v>
      </c>
    </row>
    <row r="6158" spans="1:14" x14ac:dyDescent="0.15">
      <c r="A6158" s="23" t="str">
        <f>HYPERLINK("https://www.spark-marketing.ru/Card/Person/286743", "ООО ""КАЛИНИНСКАЯ АЭС-СЕРВИС""")</f>
        <v>ООО "КАЛИНИНСКАЯ АЭС-СЕРВИС"</v>
      </c>
      <c r="B6158" s="24" t="s">
        <v>9440</v>
      </c>
      <c r="C6158" s="25">
        <v>0</v>
      </c>
      <c r="D6158" s="22" t="s">
        <v>9441</v>
      </c>
      <c r="E6158" s="22" t="s">
        <v>52</v>
      </c>
      <c r="F6158" s="23" t="str">
        <f>HYPERLINK("https://www.spark-marketing.ru/Card/Lot/72971378", "мониторинг цен в электронной форме на Услуги по сертификации услуг питания, с последующим проведением инспекционного контроля сертифицированных услуг питания.")</f>
        <v>мониторинг цен в электронной форме на Услуги по сертификации услуг питания, с последующим проведением инспекционного контроля сертифицированных услуг питания.</v>
      </c>
      <c r="G6158" s="22" t="s">
        <v>137</v>
      </c>
      <c r="H6158" s="22" t="s">
        <v>8392</v>
      </c>
      <c r="I6158" s="26">
        <v>43699.571250000001</v>
      </c>
      <c r="J6158" s="28" t="s">
        <v>51</v>
      </c>
      <c r="K6158" s="28" t="s">
        <v>51</v>
      </c>
      <c r="L6158" s="28" t="s">
        <v>51</v>
      </c>
      <c r="M6158" s="28" t="s">
        <v>51</v>
      </c>
      <c r="N6158" s="28" t="s">
        <v>51</v>
      </c>
    </row>
    <row r="6159" spans="1:14" x14ac:dyDescent="0.15">
      <c r="A6159" s="23" t="str">
        <f>HYPERLINK("https://www.spark-marketing.ru/Card/Person/4343663", "МИНЗДРАВ АЛТАЙСКОГО КРАЯ")</f>
        <v>МИНЗДРАВ АЛТАЙСКОГО КРАЯ</v>
      </c>
      <c r="B6159" s="24" t="s">
        <v>9429</v>
      </c>
      <c r="C6159" s="25">
        <v>121000</v>
      </c>
      <c r="D6159" s="22" t="s">
        <v>9442</v>
      </c>
      <c r="E6159" s="22" t="s">
        <v>336</v>
      </c>
      <c r="F6159" s="23" t="str">
        <f>HYPERLINK("https://www.spark-marketing.ru/Card/Lot/72962658",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159" s="22" t="s">
        <v>63</v>
      </c>
      <c r="H6159" s="22" t="s">
        <v>177</v>
      </c>
      <c r="I6159" s="26">
        <v>43699.554861111101</v>
      </c>
      <c r="J6159" s="28" t="s">
        <v>51</v>
      </c>
      <c r="K6159" s="28" t="s">
        <v>51</v>
      </c>
      <c r="L6159" s="28" t="s">
        <v>51</v>
      </c>
      <c r="M6159" s="28" t="s">
        <v>51</v>
      </c>
      <c r="N6159" s="28" t="s">
        <v>51</v>
      </c>
    </row>
    <row r="6160" spans="1:14" x14ac:dyDescent="0.15">
      <c r="A6160" s="23" t="str">
        <f>HYPERLINK("https://www.spark-marketing.ru/Card/Person/1075184", "ОМВД РОССИИ ПО ГОРЬКОВСКОМУ РАЙОНУ")</f>
        <v>ОМВД РОССИИ ПО ГОРЬКОВСКОМУ РАЙОНУ</v>
      </c>
      <c r="B6160" s="24" t="s">
        <v>9432</v>
      </c>
      <c r="C6160" s="25">
        <v>127400</v>
      </c>
      <c r="D6160" s="22" t="s">
        <v>9443</v>
      </c>
      <c r="E6160" s="22" t="s">
        <v>48</v>
      </c>
      <c r="F6160" s="23" t="str">
        <f>HYPERLINK("https://www.spark-marketing.ru/Card/Lot/72962087",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6160" s="22" t="s">
        <v>487</v>
      </c>
      <c r="H6160" s="22" t="s">
        <v>9434</v>
      </c>
      <c r="I6160" s="26">
        <v>43699.546597222201</v>
      </c>
      <c r="J6160" s="28" t="s">
        <v>51</v>
      </c>
      <c r="K6160" s="28" t="s">
        <v>51</v>
      </c>
      <c r="L6160" s="28" t="s">
        <v>51</v>
      </c>
      <c r="M6160" s="28" t="s">
        <v>51</v>
      </c>
      <c r="N6160" s="28" t="s">
        <v>51</v>
      </c>
    </row>
    <row r="6161" spans="1:14" x14ac:dyDescent="0.15">
      <c r="A6161" s="23" t="str">
        <f>HYPERLINK("https://www.spark-marketing.ru/Card/Person/4343663", "МИНЗДРАВ АЛТАЙСКОГО КРАЯ")</f>
        <v>МИНЗДРАВ АЛТАЙСКОГО КРАЯ</v>
      </c>
      <c r="B6161" s="24" t="s">
        <v>9429</v>
      </c>
      <c r="C6161" s="25">
        <v>300000</v>
      </c>
      <c r="D6161" s="22" t="s">
        <v>9444</v>
      </c>
      <c r="E6161" s="22" t="s">
        <v>336</v>
      </c>
      <c r="F6161" s="23" t="str">
        <f>HYPERLINK("https://www.spark-marketing.ru/Card/Lot/72962670",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161" s="22" t="s">
        <v>63</v>
      </c>
      <c r="H6161" s="22" t="s">
        <v>177</v>
      </c>
      <c r="I6161" s="26">
        <v>43699.559027777803</v>
      </c>
      <c r="J6161" s="28" t="s">
        <v>51</v>
      </c>
      <c r="K6161" s="28" t="s">
        <v>51</v>
      </c>
      <c r="L6161" s="28" t="s">
        <v>51</v>
      </c>
      <c r="M6161" s="28" t="s">
        <v>51</v>
      </c>
      <c r="N6161" s="28" t="s">
        <v>51</v>
      </c>
    </row>
    <row r="6162" spans="1:14" x14ac:dyDescent="0.15">
      <c r="A6162" s="23" t="str">
        <f>HYPERLINK("https://www.spark-marketing.ru/Card/Person/286743", "ООО ""КАЛИНИНСКАЯ АЭС-СЕРВИС""")</f>
        <v>ООО "КАЛИНИНСКАЯ АЭС-СЕРВИС"</v>
      </c>
      <c r="B6162" s="24" t="s">
        <v>9440</v>
      </c>
      <c r="C6162" s="28" t="s">
        <v>51</v>
      </c>
      <c r="D6162" s="22" t="s">
        <v>9445</v>
      </c>
      <c r="E6162" s="22" t="s">
        <v>437</v>
      </c>
      <c r="F6162" s="23" t="str">
        <f>HYPERLINK("https://www.spark-marketing.ru/Card/Lot/72969778", "Услуги по сертификации услуг питания, с последующим проведением инспекционного контроля сертифицированных услуг питания.")</f>
        <v>Услуги по сертификации услуг питания, с последующим проведением инспекционного контроля сертифицированных услуг питания.</v>
      </c>
      <c r="G6162" s="22" t="s">
        <v>137</v>
      </c>
      <c r="H6162" s="22" t="s">
        <v>8392</v>
      </c>
      <c r="I6162" s="26">
        <v>43699.571261574099</v>
      </c>
      <c r="J6162" s="28" t="s">
        <v>51</v>
      </c>
      <c r="K6162" s="28" t="s">
        <v>51</v>
      </c>
      <c r="L6162" s="28" t="s">
        <v>51</v>
      </c>
      <c r="M6162" s="28" t="s">
        <v>51</v>
      </c>
      <c r="N6162" s="28" t="s">
        <v>51</v>
      </c>
    </row>
    <row r="6163" spans="1:14" x14ac:dyDescent="0.15">
      <c r="A6163" s="23" t="str">
        <f>HYPERLINK("https://www.spark-marketing.ru/Card/Person/25192", "УПРАВЛЕНИЕ ГОСУДАРСТВЕННЫХ ЗАКУПОК БРЯНСКОЙ ОБЛАСТИ")</f>
        <v>УПРАВЛЕНИЕ ГОСУДАРСТВЕННЫХ ЗАКУПОК БРЯНСКОЙ ОБЛАСТИ</v>
      </c>
      <c r="B6163" s="24" t="s">
        <v>9446</v>
      </c>
      <c r="C6163" s="25">
        <v>1500</v>
      </c>
      <c r="D6163" s="22" t="s">
        <v>9447</v>
      </c>
      <c r="E6163" s="22" t="s">
        <v>1166</v>
      </c>
      <c r="F6163" s="23" t="str">
        <f>HYPERLINK("https://www.spark-marketing.ru/Card/Lot/72960388", "Оказание услуг по утилизации оргтехники и оборудования для нужд управления государственных закупок Брянской области")</f>
        <v>Оказание услуг по утилизации оргтехники и оборудования для нужд управления государственных закупок Брянской области</v>
      </c>
      <c r="G6163" s="22" t="s">
        <v>475</v>
      </c>
      <c r="H6163" s="22" t="s">
        <v>476</v>
      </c>
      <c r="I6163" s="26">
        <v>43699.511111111096</v>
      </c>
      <c r="J6163" s="28" t="s">
        <v>51</v>
      </c>
      <c r="K6163" s="28" t="s">
        <v>51</v>
      </c>
      <c r="L6163" s="28" t="s">
        <v>51</v>
      </c>
      <c r="M6163" s="28" t="s">
        <v>51</v>
      </c>
      <c r="N6163" s="28" t="s">
        <v>51</v>
      </c>
    </row>
    <row r="6164" spans="1:14" x14ac:dyDescent="0.15">
      <c r="A6164" s="23" t="str">
        <f>HYPERLINK("https://www.spark-marketing.ru/Card/Person/1086485", "ОТДЕЛЕНИЕ МВД РОССИИ ПО КРАСНОАРМЕЙСКОМУ РАЙОНУ")</f>
        <v>ОТДЕЛЕНИЕ МВД РОССИИ ПО КРАСНОАРМЕЙСКОМУ РАЙОНУ</v>
      </c>
      <c r="B6164" s="24" t="s">
        <v>9448</v>
      </c>
      <c r="C6164" s="25">
        <v>138000</v>
      </c>
      <c r="D6164" s="22" t="s">
        <v>9449</v>
      </c>
      <c r="E6164" s="22" t="s">
        <v>48</v>
      </c>
      <c r="F6164" s="23" t="str">
        <f>HYPERLINK("https://www.spark-marketing.ru/Card/Lot/72959593", "Оказание услуг по организации питания (приготовлению и доставке) для ИВС, 690 усл. ед")</f>
        <v>Оказание услуг по организации питания (приготовлению и доставке) для ИВС, 690 усл. ед</v>
      </c>
      <c r="G6164" s="22" t="s">
        <v>128</v>
      </c>
      <c r="H6164" s="22" t="s">
        <v>3946</v>
      </c>
      <c r="I6164" s="26">
        <v>43699.504409722198</v>
      </c>
      <c r="J6164" s="28" t="s">
        <v>51</v>
      </c>
      <c r="K6164" s="28" t="s">
        <v>51</v>
      </c>
      <c r="L6164" s="28" t="s">
        <v>51</v>
      </c>
      <c r="M6164" s="28" t="s">
        <v>51</v>
      </c>
      <c r="N6164" s="28" t="s">
        <v>51</v>
      </c>
    </row>
    <row r="6165" spans="1:14" x14ac:dyDescent="0.15">
      <c r="A6165" s="23" t="str">
        <f>HYPERLINK("https://www.spark-marketing.ru/Card/Person/89221", "ОТДЕЛ МВД РОССИИ ПО ТЕМРЮКСКОМУ РАЙОНУ")</f>
        <v>ОТДЕЛ МВД РОССИИ ПО ТЕМРЮКСКОМУ РАЙОНУ</v>
      </c>
      <c r="B6165" s="24" t="s">
        <v>9450</v>
      </c>
      <c r="C6165" s="25">
        <v>3726900</v>
      </c>
      <c r="D6165" s="22" t="s">
        <v>9451</v>
      </c>
      <c r="E6165" s="22" t="s">
        <v>48</v>
      </c>
      <c r="F6165" s="23" t="str">
        <f>HYPERLINK("https://www.spark-marketing.ru/Card/Lot/72968559", "Обеспечение ежедневным трехразовым, горячим питанием лиц  содержащихся в ИВС Отдела МВД России по Темрюкскому району")</f>
        <v>Обеспечение ежедневным трехразовым, горячим питанием лиц  содержащихся в ИВС Отдела МВД России по Темрюкскому району</v>
      </c>
      <c r="G6165" s="22" t="s">
        <v>104</v>
      </c>
      <c r="H6165" s="22" t="s">
        <v>1269</v>
      </c>
      <c r="I6165" s="26">
        <v>43699.460185185198</v>
      </c>
      <c r="J6165" s="23" t="str">
        <f>HYPERLINK("https://www.spark-marketing.ru/Card/Person/1173571", "Бондарчук Анна Валериевна")</f>
        <v>Бондарчук Анна Валериевна</v>
      </c>
      <c r="K6165" s="24" t="s">
        <v>9452</v>
      </c>
      <c r="L6165" s="22" t="s">
        <v>10</v>
      </c>
      <c r="M6165" s="28" t="s">
        <v>51</v>
      </c>
      <c r="N6165" s="28" t="s">
        <v>51</v>
      </c>
    </row>
    <row r="6166" spans="1:14" x14ac:dyDescent="0.15">
      <c r="A6166" s="23" t="str">
        <f>HYPERLINK("https://www.spark-marketing.ru/Card/Person/103054", "МВД ПО РЕСПУБЛИКЕ МАРИЙ ЭЛ")</f>
        <v>МВД ПО РЕСПУБЛИКЕ МАРИЙ ЭЛ</v>
      </c>
      <c r="B6166" s="24" t="s">
        <v>3247</v>
      </c>
      <c r="C6166" s="25">
        <v>415000</v>
      </c>
      <c r="D6166" s="22" t="s">
        <v>9453</v>
      </c>
      <c r="E6166" s="22" t="s">
        <v>48</v>
      </c>
      <c r="F6166" s="23" t="str">
        <f>HYPERLINK("https://www.spark-marketing.ru/Card/Lot/72968654", "Ежедневное оказание услуг по обеспечению трехразовым питанием лиц, содержащихся в Центре временного содержания иностранных граждан МВД по Республике Марий Эл")</f>
        <v>Ежедневное оказание услуг по обеспечению трехразовым питанием лиц, содержащихся в Центре временного содержания иностранных граждан МВД по Республике Марий Эл</v>
      </c>
      <c r="G6166" s="22" t="s">
        <v>3249</v>
      </c>
      <c r="H6166" s="22" t="s">
        <v>3250</v>
      </c>
      <c r="I6166" s="26">
        <v>43699.503101851798</v>
      </c>
      <c r="J6166" s="28" t="s">
        <v>51</v>
      </c>
      <c r="K6166" s="28" t="s">
        <v>51</v>
      </c>
      <c r="L6166" s="28" t="s">
        <v>51</v>
      </c>
      <c r="M6166" s="28" t="s">
        <v>51</v>
      </c>
      <c r="N6166" s="28" t="s">
        <v>51</v>
      </c>
    </row>
    <row r="6167" spans="1:14" hidden="1" outlineLevel="1" x14ac:dyDescent="0.2">
      <c r="A6167" s="23" t="str">
        <f>HYPERLINK("https://www.spark-marketing.ru/Card/Person/103054", "МВД ПО РЕСПУБЛИКЕ МАРИЙ ЭЛ")</f>
        <v>МВД ПО РЕСПУБЛИКЕ МАРИЙ ЭЛ</v>
      </c>
      <c r="B6167" s="24" t="s">
        <v>3247</v>
      </c>
      <c r="C6167" s="25">
        <v>415000</v>
      </c>
      <c r="D6167" s="22" t="s">
        <v>9453</v>
      </c>
      <c r="E6167" s="22" t="s">
        <v>48</v>
      </c>
      <c r="F6167" s="23" t="str">
        <f>HYPERLINK("https://www.spark-marketing.ru/Card/Lot/72968654", "Ежедневное оказание услуг по обеспечению трехразовым питанием лиц, содержащихся в Центре временного содержания иностранных граждан МВД по Республике Марий Эл")</f>
        <v>Ежедневное оказание услуг по обеспечению трехразовым питанием лиц, содержащихся в Центре временного содержания иностранных граждан МВД по Республике Марий Эл</v>
      </c>
      <c r="G6167" s="22" t="s">
        <v>3249</v>
      </c>
      <c r="H6167" s="22" t="s">
        <v>3250</v>
      </c>
      <c r="I6167" s="26">
        <v>43699.503101851798</v>
      </c>
      <c r="J6167" s="23" t="str">
        <f>HYPERLINK("https://www.spark-marketing.ru/Card/Person/2503411", "ООО ""МЦ""")</f>
        <v>ООО "МЦ"</v>
      </c>
      <c r="K6167" s="24" t="s">
        <v>9454</v>
      </c>
      <c r="L6167" s="28" t="s">
        <v>51</v>
      </c>
      <c r="M6167" s="25">
        <v>915</v>
      </c>
      <c r="N6167" s="27">
        <v>0.99779518072289153</v>
      </c>
    </row>
    <row r="6168" spans="1:14" ht="12.75" hidden="1" outlineLevel="1" x14ac:dyDescent="0.2">
      <c r="A6168" s="23" t="str">
        <f>HYPERLINK("https://www.spark-marketing.ru/Card/Person/103054", "МВД ПО РЕСПУБЛИКЕ МАРИЙ ЭЛ")</f>
        <v>МВД ПО РЕСПУБЛИКЕ МАРИЙ ЭЛ</v>
      </c>
      <c r="B6168" s="24" t="s">
        <v>3247</v>
      </c>
      <c r="C6168" s="25">
        <v>415000</v>
      </c>
      <c r="D6168" s="22" t="s">
        <v>9453</v>
      </c>
      <c r="E6168" s="22" t="s">
        <v>48</v>
      </c>
      <c r="F6168" s="23" t="str">
        <f>HYPERLINK("https://www.spark-marketing.ru/Card/Lot/72968654", "Ежедневное оказание услуг по обеспечению трехразовым питанием лиц, содержащихся в Центре временного содержания иностранных граждан МВД по Республике Марий Эл")</f>
        <v>Ежедневное оказание услуг по обеспечению трехразовым питанием лиц, содержащихся в Центре временного содержания иностранных граждан МВД по Республике Марий Эл</v>
      </c>
      <c r="G6168" s="22" t="s">
        <v>3249</v>
      </c>
      <c r="H6168" s="22" t="s">
        <v>3250</v>
      </c>
      <c r="I6168" s="26">
        <v>43699.503101851798</v>
      </c>
      <c r="J6168" s="23" t="str">
        <f>HYPERLINK("https://www.spark-marketing.ru/Card/Person/4441248", "Шалагина Марина Александровна")</f>
        <v>Шалагина Марина Александровна</v>
      </c>
      <c r="K6168" s="24" t="s">
        <v>9455</v>
      </c>
      <c r="L6168" s="22" t="s">
        <v>10</v>
      </c>
      <c r="M6168" s="25">
        <v>915</v>
      </c>
      <c r="N6168" s="27">
        <v>0.99779518072289153</v>
      </c>
    </row>
    <row r="6169" spans="1:14" x14ac:dyDescent="0.15">
      <c r="A6169" s="23" t="str">
        <f>HYPERLINK("https://www.spark-marketing.ru/Card/Person/4343552", "АДМИНИСТРАЦИЯ ПСКОВСКОЙ ОБЛАСТИ")</f>
        <v>АДМИНИСТРАЦИЯ ПСКОВСКОЙ ОБЛАСТИ</v>
      </c>
      <c r="B6169" s="24" t="s">
        <v>4540</v>
      </c>
      <c r="C6169" s="25">
        <v>200000</v>
      </c>
      <c r="D6169" s="22" t="s">
        <v>9456</v>
      </c>
      <c r="E6169" s="22" t="s">
        <v>48</v>
      </c>
      <c r="F6169" s="23" t="str">
        <f>HYPERLINK("https://www.spark-marketing.ru/Card/Lot/72964741", "Оказание услуг по предоставлению питания")</f>
        <v>Оказание услуг по предоставлению питания</v>
      </c>
      <c r="G6169" s="22" t="s">
        <v>415</v>
      </c>
      <c r="H6169" s="22" t="s">
        <v>4542</v>
      </c>
      <c r="I6169" s="26">
        <v>43699.451585648101</v>
      </c>
      <c r="J6169" s="23" t="str">
        <f>HYPERLINK("https://www.spark-marketing.ru/Card/Person/6067820", "ООО ""ФУД СЕРВИС""")</f>
        <v>ООО "ФУД СЕРВИС"</v>
      </c>
      <c r="K6169" s="24" t="s">
        <v>4543</v>
      </c>
      <c r="L6169" s="22" t="s">
        <v>10</v>
      </c>
      <c r="M6169" s="28" t="s">
        <v>51</v>
      </c>
      <c r="N6169" s="28" t="s">
        <v>51</v>
      </c>
    </row>
    <row r="6170" spans="1:14" x14ac:dyDescent="0.15">
      <c r="A6170" s="23" t="str">
        <f>HYPERLINK("https://www.spark-marketing.ru/Card/Person/5825", "КГБУЗ ""ГОРОДСКАЯ БОЛЬНИЦА №5, Г. БАРНАУЛ""")</f>
        <v>КГБУЗ "ГОРОДСКАЯ БОЛЬНИЦА №5, Г. БАРНАУЛ"</v>
      </c>
      <c r="B6170" s="24" t="s">
        <v>9457</v>
      </c>
      <c r="C6170" s="25">
        <v>51010</v>
      </c>
      <c r="D6170" s="22" t="s">
        <v>9458</v>
      </c>
      <c r="E6170" s="22" t="s">
        <v>809</v>
      </c>
      <c r="F6170" s="23" t="str">
        <f>HYPERLINK("https://www.spark-marketing.ru/Card/Lot/72960424", "Товары,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</v>
      </c>
      <c r="G6170" s="22" t="s">
        <v>63</v>
      </c>
      <c r="H6170" s="22" t="s">
        <v>177</v>
      </c>
      <c r="I6170" s="26">
        <v>43699.514583333301</v>
      </c>
      <c r="J6170" s="28" t="s">
        <v>51</v>
      </c>
      <c r="K6170" s="28" t="s">
        <v>51</v>
      </c>
      <c r="L6170" s="28" t="s">
        <v>51</v>
      </c>
      <c r="M6170" s="28" t="s">
        <v>51</v>
      </c>
      <c r="N6170" s="28" t="s">
        <v>51</v>
      </c>
    </row>
    <row r="6171" spans="1:14" x14ac:dyDescent="0.15">
      <c r="A6171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6171" s="24" t="s">
        <v>4496</v>
      </c>
      <c r="C6171" s="25">
        <v>410000</v>
      </c>
      <c r="D6171" s="22" t="s">
        <v>9459</v>
      </c>
      <c r="E6171" s="22" t="s">
        <v>48</v>
      </c>
      <c r="F6171" s="23" t="str">
        <f>HYPERLINK("https://www.spark-marketing.ru/Card/Lot/72960874", "Обеспечение горячим питанием арестованных и задержанных")</f>
        <v>Обеспечение горячим питанием арестованных и задержанных</v>
      </c>
      <c r="G6171" s="22" t="s">
        <v>469</v>
      </c>
      <c r="H6171" s="22" t="s">
        <v>469</v>
      </c>
      <c r="I6171" s="26">
        <v>43699.463194444397</v>
      </c>
      <c r="J6171" s="28" t="s">
        <v>51</v>
      </c>
      <c r="K6171" s="28" t="s">
        <v>51</v>
      </c>
      <c r="L6171" s="28" t="s">
        <v>51</v>
      </c>
      <c r="M6171" s="28" t="s">
        <v>51</v>
      </c>
      <c r="N6171" s="28" t="s">
        <v>51</v>
      </c>
    </row>
    <row r="6172" spans="1:14" ht="12.75" x14ac:dyDescent="0.2">
      <c r="A6172" s="23" t="str">
        <f>HYPERLINK("https://www.spark-marketing.ru/Card/Person/1961977", "МБОУ ""ПОЖВИНСКАЯ СОШ №1""")</f>
        <v>МБОУ "ПОЖВИНСКАЯ СОШ №1"</v>
      </c>
      <c r="B6172" s="24" t="s">
        <v>7923</v>
      </c>
      <c r="C6172" s="25">
        <v>456305.2</v>
      </c>
      <c r="D6172" s="22" t="s">
        <v>9460</v>
      </c>
      <c r="E6172" s="22" t="s">
        <v>96</v>
      </c>
      <c r="F6172" s="23" t="str">
        <f>HYPERLINK("https://www.spark-marketing.ru/Card/Lot/72965674", "Услуги по организации питания учащихся")</f>
        <v>Услуги по организации питания учащихся</v>
      </c>
      <c r="G6172" s="22" t="s">
        <v>153</v>
      </c>
      <c r="H6172" s="22" t="s">
        <v>153</v>
      </c>
      <c r="I6172" s="26">
        <v>43699.548923611103</v>
      </c>
      <c r="J6172" s="23" t="str">
        <f>HYPERLINK("https://www.spark-marketing.ru/Card/Person/61115", "Петрова Ирина Алексеевна")</f>
        <v>Петрова Ирина Алексеевна</v>
      </c>
      <c r="K6172" s="24" t="s">
        <v>1963</v>
      </c>
      <c r="L6172" s="22" t="s">
        <v>10</v>
      </c>
      <c r="M6172" s="25">
        <v>410674</v>
      </c>
      <c r="N6172" s="27">
        <v>0.10000149023066141</v>
      </c>
    </row>
    <row r="6173" spans="1:14" x14ac:dyDescent="0.15">
      <c r="A6173" s="23" t="str">
        <f>HYPERLINK("https://www.spark-marketing.ru/Card/Person/1075184", "ОМВД РОССИИ ПО ГОРЬКОВСКОМУ РАЙОНУ")</f>
        <v>ОМВД РОССИИ ПО ГОРЬКОВСКОМУ РАЙОНУ</v>
      </c>
      <c r="B6173" s="24" t="s">
        <v>9432</v>
      </c>
      <c r="C6173" s="25">
        <v>127400</v>
      </c>
      <c r="D6173" s="22" t="s">
        <v>9461</v>
      </c>
      <c r="E6173" s="22" t="s">
        <v>48</v>
      </c>
      <c r="F6173" s="23" t="str">
        <f>HYPERLINK("https://www.spark-marketing.ru/Card/Lot/72961599",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6173" s="22" t="s">
        <v>487</v>
      </c>
      <c r="H6173" s="22" t="s">
        <v>9434</v>
      </c>
      <c r="I6173" s="26">
        <v>43699.533900463</v>
      </c>
      <c r="J6173" s="28" t="s">
        <v>51</v>
      </c>
      <c r="K6173" s="28" t="s">
        <v>51</v>
      </c>
      <c r="L6173" s="28" t="s">
        <v>51</v>
      </c>
      <c r="M6173" s="28" t="s">
        <v>51</v>
      </c>
      <c r="N6173" s="28" t="s">
        <v>51</v>
      </c>
    </row>
    <row r="6174" spans="1:14" x14ac:dyDescent="0.15">
      <c r="A6174" s="23" t="str">
        <f>HYPERLINK("https://www.spark-marketing.ru/Card/Person/1064580", "ОМВД РОССИИ ПО АЗОВСКОМУ НЕМЕЦКОМУ НАЦИОНАЛЬНОМУ РАЙОНУ")</f>
        <v>ОМВД РОССИИ ПО АЗОВСКОМУ НЕМЕЦКОМУ НАЦИОНАЛЬНОМУ РАЙОНУ</v>
      </c>
      <c r="B6174" s="24" t="s">
        <v>9462</v>
      </c>
      <c r="C6174" s="25">
        <v>220000</v>
      </c>
      <c r="D6174" s="22" t="s">
        <v>9463</v>
      </c>
      <c r="E6174" s="22" t="s">
        <v>48</v>
      </c>
      <c r="F6174" s="23" t="str">
        <f>HYPERLINK("https://www.spark-marketing.ru/Card/Lot/72959565",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6174" s="22" t="s">
        <v>487</v>
      </c>
      <c r="H6174" s="22" t="s">
        <v>9464</v>
      </c>
      <c r="I6174" s="26">
        <v>43699.503113425897</v>
      </c>
      <c r="J6174" s="28" t="s">
        <v>51</v>
      </c>
      <c r="K6174" s="28" t="s">
        <v>51</v>
      </c>
      <c r="L6174" s="28" t="s">
        <v>51</v>
      </c>
      <c r="M6174" s="28" t="s">
        <v>51</v>
      </c>
      <c r="N6174" s="28" t="s">
        <v>51</v>
      </c>
    </row>
    <row r="6175" spans="1:14" x14ac:dyDescent="0.15">
      <c r="A6175" s="23" t="str">
        <f>HYPERLINK("https://www.spark-marketing.ru/Card/Person/104469", "КГБПОУ ""КЛЮЧЕВСКИЙ ЛИЦЕЙ ПРОФЕССИОНАЛЬНОГО ОБРАЗОВАНИЯ""")</f>
        <v>КГБПОУ "КЛЮЧЕВСКИЙ ЛИЦЕЙ ПРОФЕССИОНАЛЬНОГО ОБРАЗОВАНИЯ"</v>
      </c>
      <c r="B6175" s="24" t="s">
        <v>9465</v>
      </c>
      <c r="C6175" s="25">
        <v>300</v>
      </c>
      <c r="D6175" s="22" t="s">
        <v>9466</v>
      </c>
      <c r="E6175" s="22" t="s">
        <v>62</v>
      </c>
      <c r="F6175" s="23" t="str">
        <f>HYPERLINK("https://www.spark-marketing.ru/Card/Lot/72960340", "Товары,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</v>
      </c>
      <c r="G6175" s="22" t="s">
        <v>63</v>
      </c>
      <c r="H6175" s="22" t="s">
        <v>9467</v>
      </c>
      <c r="I6175" s="26">
        <v>43699.5090277778</v>
      </c>
      <c r="J6175" s="28" t="s">
        <v>51</v>
      </c>
      <c r="K6175" s="28" t="s">
        <v>51</v>
      </c>
      <c r="L6175" s="28" t="s">
        <v>51</v>
      </c>
      <c r="M6175" s="28" t="s">
        <v>51</v>
      </c>
      <c r="N6175" s="28" t="s">
        <v>51</v>
      </c>
    </row>
    <row r="6176" spans="1:14" x14ac:dyDescent="0.15">
      <c r="A6176" s="23" t="str">
        <f>HYPERLINK("https://www.spark-marketing.ru/Card/Person/153002", "КУ ""МЕГИОНСКИЙ ЦЕНТР ЗАНЯТОСТИ НАСЕЛЕНИЯ""")</f>
        <v>КУ "МЕГИОНСКИЙ ЦЕНТР ЗАНЯТОСТИ НАСЕЛЕНИЯ"</v>
      </c>
      <c r="B6176" s="24" t="s">
        <v>9468</v>
      </c>
      <c r="C6176" s="28" t="s">
        <v>51</v>
      </c>
      <c r="D6176" s="22" t="s">
        <v>9469</v>
      </c>
      <c r="E6176" s="22" t="s">
        <v>51</v>
      </c>
      <c r="F6176" s="23" t="str">
        <f>HYPERLINK("https://www.spark-marketing.ru/Card/Lot/72960371", "Товары, работы или услуги на сумму, не превышающую 300 тыс. руб. (п.4 ч.1 ст.93 Федерального закона №44-ФЗ)")</f>
        <v>Товары, работы или услуги на сумму, не превышающую 300 тыс. руб. (п.4 ч.1 ст.93 Федерального закона №44-ФЗ)</v>
      </c>
      <c r="G6176" s="22" t="s">
        <v>97</v>
      </c>
      <c r="H6176" s="22" t="s">
        <v>1711</v>
      </c>
      <c r="I6176" s="26">
        <v>43699.509722222203</v>
      </c>
      <c r="J6176" s="28" t="s">
        <v>51</v>
      </c>
      <c r="K6176" s="28" t="s">
        <v>51</v>
      </c>
      <c r="L6176" s="28" t="s">
        <v>51</v>
      </c>
      <c r="M6176" s="28" t="s">
        <v>51</v>
      </c>
      <c r="N6176" s="28" t="s">
        <v>51</v>
      </c>
    </row>
    <row r="6177" spans="1:14" x14ac:dyDescent="0.15">
      <c r="A6177" s="23" t="str">
        <f>HYPERLINK("https://www.spark-marketing.ru/Card/Person/140791", "ОТДЕЛ МВД РОССИИ ПО ЧЕРНУШИНСКОМУ РАЙОНУ")</f>
        <v>ОТДЕЛ МВД РОССИИ ПО ЧЕРНУШИНСКОМУ РАЙОНУ</v>
      </c>
      <c r="B6177" s="24" t="s">
        <v>9470</v>
      </c>
      <c r="C6177" s="25">
        <v>735000</v>
      </c>
      <c r="D6177" s="22" t="s">
        <v>9471</v>
      </c>
      <c r="E6177" s="22" t="s">
        <v>96</v>
      </c>
      <c r="F6177" s="23" t="str">
        <f>HYPERLINK("https://www.spark-marketing.ru/Card/Lot/72961389", "Оказание услуг по обеспечению трехразовым, горячим питанием лиц,содержащихся в изоляторе временного содержания подозреваемых и обвиняемых Отдела МВД России по Чернушинскому району")</f>
        <v>Оказание услуг по обеспечению трехразовым, горячим питанием лиц,содержащихся в изоляторе временного содержания подозреваемых и обвиняемых Отдела МВД России по Чернушинскому району</v>
      </c>
      <c r="G6177" s="22" t="s">
        <v>153</v>
      </c>
      <c r="H6177" s="22" t="s">
        <v>9472</v>
      </c>
      <c r="I6177" s="26">
        <v>43698.627777777801</v>
      </c>
      <c r="J6177" s="23" t="str">
        <f>HYPERLINK("https://www.spark-marketing.ru/Card/Person/6577318", "Иванов Алексей Насимович")</f>
        <v>Иванов Алексей Насимович</v>
      </c>
      <c r="K6177" s="24" t="s">
        <v>6639</v>
      </c>
      <c r="L6177" s="22" t="s">
        <v>10</v>
      </c>
      <c r="M6177" s="28" t="s">
        <v>51</v>
      </c>
      <c r="N6177" s="28" t="s">
        <v>51</v>
      </c>
    </row>
    <row r="6178" spans="1:14" x14ac:dyDescent="0.15">
      <c r="A6178" s="23" t="str">
        <f>HYPERLINK("https://www.spark-marketing.ru/Card/Person/1086485", "ОТДЕЛЕНИЕ МВД РОССИИ ПО КРАСНОАРМЕЙСКОМУ РАЙОНУ")</f>
        <v>ОТДЕЛЕНИЕ МВД РОССИИ ПО КРАСНОАРМЕЙСКОМУ РАЙОНУ</v>
      </c>
      <c r="B6178" s="24" t="s">
        <v>9448</v>
      </c>
      <c r="C6178" s="25">
        <v>138000</v>
      </c>
      <c r="D6178" s="22" t="s">
        <v>9473</v>
      </c>
      <c r="E6178" s="22" t="s">
        <v>48</v>
      </c>
      <c r="F6178" s="23" t="str">
        <f>HYPERLINK("https://www.spark-marketing.ru/Card/Lot/72959651", "Оказание услуг по организации питания (приготовлению и доставке) для ИВС, 690 усл. ед")</f>
        <v>Оказание услуг по организации питания (приготовлению и доставке) для ИВС, 690 усл. ед</v>
      </c>
      <c r="G6178" s="22" t="s">
        <v>128</v>
      </c>
      <c r="H6178" s="22" t="s">
        <v>3946</v>
      </c>
      <c r="I6178" s="26">
        <v>43699.507777777799</v>
      </c>
      <c r="J6178" s="28" t="s">
        <v>51</v>
      </c>
      <c r="K6178" s="28" t="s">
        <v>51</v>
      </c>
      <c r="L6178" s="28" t="s">
        <v>51</v>
      </c>
      <c r="M6178" s="28" t="s">
        <v>51</v>
      </c>
      <c r="N6178" s="28" t="s">
        <v>51</v>
      </c>
    </row>
    <row r="6179" spans="1:14" x14ac:dyDescent="0.15">
      <c r="A6179" s="23" t="str">
        <f>HYPERLINK("https://www.spark-marketing.ru/Card/Person/29715", "ОГКУ ""УПРАВЛЕНИЕ ГОЧС БЕЛГОРОДСКОЙ ОБЛАСТИ""")</f>
        <v>ОГКУ "УПРАВЛЕНИЕ ГОЧС БЕЛГОРОДСКОЙ ОБЛАСТИ"</v>
      </c>
      <c r="B6179" s="24" t="s">
        <v>8293</v>
      </c>
      <c r="C6179" s="25">
        <v>9300000</v>
      </c>
      <c r="D6179" s="22" t="s">
        <v>9474</v>
      </c>
      <c r="E6179" s="22" t="s">
        <v>2719</v>
      </c>
      <c r="F6179" s="23" t="str">
        <f>HYPERLINK("https://www.spark-marketing.ru/Card/Lot/72968527", "Поставка оборудования для создания Системы безопасности жизнедеятельности населения, проживающего в населенных пунктах Белгородской области, граничащих с лесами, в том числе оказание сопутствующих услуг.")</f>
        <v>Поставка оборудования для создания Системы безопасности жизнедеятельности населения, проживающего в населенных пунктах Белгородской области, граничащих с лесами, в том числе оказание сопутствующих услуг.</v>
      </c>
      <c r="G6179" s="22" t="s">
        <v>696</v>
      </c>
      <c r="H6179" s="22" t="s">
        <v>1163</v>
      </c>
      <c r="I6179" s="26">
        <v>43698.822152777801</v>
      </c>
      <c r="J6179" s="28" t="s">
        <v>51</v>
      </c>
      <c r="K6179" s="28" t="s">
        <v>51</v>
      </c>
      <c r="L6179" s="28" t="s">
        <v>51</v>
      </c>
      <c r="M6179" s="28" t="s">
        <v>51</v>
      </c>
      <c r="N6179" s="28" t="s">
        <v>51</v>
      </c>
    </row>
    <row r="6180" spans="1:14" x14ac:dyDescent="0.15">
      <c r="A6180" s="23" t="str">
        <f>HYPERLINK("https://www.spark-marketing.ru/Card/Person/1083309", "ОМВД РОССИИ ПО УСТЬ-ИШИМСКОМУ РАЙОНУ")</f>
        <v>ОМВД РОССИИ ПО УСТЬ-ИШИМСКОМУ РАЙОНУ</v>
      </c>
      <c r="B6180" s="24" t="s">
        <v>9475</v>
      </c>
      <c r="C6180" s="25">
        <v>299424.59999999998</v>
      </c>
      <c r="D6180" s="22" t="s">
        <v>9476</v>
      </c>
      <c r="E6180" s="22" t="s">
        <v>48</v>
      </c>
      <c r="F6180" s="23" t="str">
        <f>HYPERLINK("https://www.spark-marketing.ru/Card/Lot/72958450", "Оказание услуг по обеспечению 3-х разовым ежедневным горячим питанием лиц, содержащихся в ИВС, 1 усл. ед")</f>
        <v>Оказание услуг по обеспечению 3-х разовым ежедневным горячим питанием лиц, содержащихся в ИВС, 1 усл. ед</v>
      </c>
      <c r="G6180" s="22" t="s">
        <v>487</v>
      </c>
      <c r="H6180" s="22" t="s">
        <v>9477</v>
      </c>
      <c r="I6180" s="26">
        <v>43699.475474537001</v>
      </c>
      <c r="J6180" s="28" t="s">
        <v>51</v>
      </c>
      <c r="K6180" s="28" t="s">
        <v>51</v>
      </c>
      <c r="L6180" s="28" t="s">
        <v>51</v>
      </c>
      <c r="M6180" s="28" t="s">
        <v>51</v>
      </c>
      <c r="N6180" s="28" t="s">
        <v>51</v>
      </c>
    </row>
    <row r="6181" spans="1:14" x14ac:dyDescent="0.15">
      <c r="A6181" s="23" t="str">
        <f>HYPERLINK("https://www.spark-marketing.ru/Card/Person/61150", "КУ НАО ""СМТО""")</f>
        <v>КУ НАО "СМТО"</v>
      </c>
      <c r="B6181" s="24" t="s">
        <v>3885</v>
      </c>
      <c r="C6181" s="25">
        <v>1595000</v>
      </c>
      <c r="D6181" s="22" t="s">
        <v>9478</v>
      </c>
      <c r="E6181" s="22" t="s">
        <v>96</v>
      </c>
      <c r="F6181" s="23" t="str">
        <f>HYPERLINK("https://www.spark-marketing.ru/Card/Lot/72969103", "Оказание услуг по организации питания, связанного с проведением приемов и обслуживанием делегаций, а также иных официальных торжественных мероприятий")</f>
        <v>Оказание услуг по организации питания, связанного с проведением приемов и обслуживанием делегаций, а также иных официальных торжественных мероприятий</v>
      </c>
      <c r="G6181" s="22" t="s">
        <v>3887</v>
      </c>
      <c r="H6181" s="22" t="s">
        <v>3888</v>
      </c>
      <c r="I6181" s="26">
        <v>43699.4943055556</v>
      </c>
      <c r="J6181" s="28" t="s">
        <v>51</v>
      </c>
      <c r="K6181" s="28" t="s">
        <v>51</v>
      </c>
      <c r="L6181" s="28" t="s">
        <v>51</v>
      </c>
      <c r="M6181" s="28" t="s">
        <v>51</v>
      </c>
      <c r="N6181" s="28" t="s">
        <v>51</v>
      </c>
    </row>
    <row r="6182" spans="1:14" hidden="1" outlineLevel="1" x14ac:dyDescent="0.2">
      <c r="A6182" s="23" t="str">
        <f>HYPERLINK("https://www.spark-marketing.ru/Card/Person/61150", "КУ НАО ""СМТО""")</f>
        <v>КУ НАО "СМТО"</v>
      </c>
      <c r="B6182" s="24" t="s">
        <v>3885</v>
      </c>
      <c r="C6182" s="25">
        <v>1595000</v>
      </c>
      <c r="D6182" s="22" t="s">
        <v>9478</v>
      </c>
      <c r="E6182" s="22" t="s">
        <v>96</v>
      </c>
      <c r="F6182" s="23" t="str">
        <f>HYPERLINK("https://www.spark-marketing.ru/Card/Lot/72969103", "Оказание услуг по организации питания, связанного с проведением приемов и обслуживанием делегаций, а также иных официальных торжественных мероприятий")</f>
        <v>Оказание услуг по организации питания, связанного с проведением приемов и обслуживанием делегаций, а также иных официальных торжественных мероприятий</v>
      </c>
      <c r="G6182" s="22" t="s">
        <v>3887</v>
      </c>
      <c r="H6182" s="22" t="s">
        <v>3888</v>
      </c>
      <c r="I6182" s="26">
        <v>43699.4943055556</v>
      </c>
      <c r="J6182" s="23" t="str">
        <f>HYPERLINK("https://www.spark-marketing.ru/Card/Person/269254", "ООО ""АЗИМУТ""")</f>
        <v>ООО "АЗИМУТ"</v>
      </c>
      <c r="K6182" s="24" t="s">
        <v>3889</v>
      </c>
      <c r="L6182" s="28" t="s">
        <v>51</v>
      </c>
      <c r="M6182" s="25">
        <v>1000000</v>
      </c>
      <c r="N6182" s="27">
        <v>0.37304075235109718</v>
      </c>
    </row>
    <row r="6183" spans="1:14" ht="12.75" hidden="1" outlineLevel="1" x14ac:dyDescent="0.2">
      <c r="A6183" s="23" t="str">
        <f>HYPERLINK("https://www.spark-marketing.ru/Card/Person/61150", "КУ НАО ""СМТО""")</f>
        <v>КУ НАО "СМТО"</v>
      </c>
      <c r="B6183" s="24" t="s">
        <v>3885</v>
      </c>
      <c r="C6183" s="25">
        <v>1595000</v>
      </c>
      <c r="D6183" s="22" t="s">
        <v>9478</v>
      </c>
      <c r="E6183" s="22" t="s">
        <v>96</v>
      </c>
      <c r="F6183" s="23" t="str">
        <f>HYPERLINK("https://www.spark-marketing.ru/Card/Lot/72969103", "Оказание услуг по организации питания, связанного с проведением приемов и обслуживанием делегаций, а также иных официальных торжественных мероприятий")</f>
        <v>Оказание услуг по организации питания, связанного с проведением приемов и обслуживанием делегаций, а также иных официальных торжественных мероприятий</v>
      </c>
      <c r="G6183" s="22" t="s">
        <v>3887</v>
      </c>
      <c r="H6183" s="22" t="s">
        <v>3888</v>
      </c>
      <c r="I6183" s="26">
        <v>43699.4943055556</v>
      </c>
      <c r="J6183" s="23" t="str">
        <f>HYPERLINK("https://www.spark-marketing.ru/Card/Person/662760", "ООО ""СТЕЛЛА ПОЛАРЕ""")</f>
        <v>ООО "СТЕЛЛА ПОЛАРЕ"</v>
      </c>
      <c r="K6183" s="24" t="s">
        <v>3890</v>
      </c>
      <c r="L6183" s="22" t="s">
        <v>10</v>
      </c>
      <c r="M6183" s="25">
        <v>992025</v>
      </c>
      <c r="N6183" s="27">
        <v>0.37804075235109719</v>
      </c>
    </row>
    <row r="6184" spans="1:14" x14ac:dyDescent="0.15">
      <c r="A6184" s="23" t="str">
        <f>HYPERLINK("https://www.spark-marketing.ru/Card/Person/19253", "УПРАВЛЕНИЕ МВД РОССИИ ПО ГОРОДУ СТАВРОПОЛЮ")</f>
        <v>УПРАВЛЕНИЕ МВД РОССИИ ПО ГОРОДУ СТАВРОПОЛЮ</v>
      </c>
      <c r="B6184" s="24" t="s">
        <v>6992</v>
      </c>
      <c r="C6184" s="25">
        <v>950000</v>
      </c>
      <c r="D6184" s="22" t="s">
        <v>9479</v>
      </c>
      <c r="E6184" s="22" t="s">
        <v>48</v>
      </c>
      <c r="F6184" s="23" t="str">
        <f>HYPERLINK("https://www.spark-marketing.ru/Card/Lot/72963925", "Оказание услуг по организации питания лиц, задержанных за административные правонарушения и содержащиеся в помещениях для задержанных в отделах полиции ОП №1, ОП №2 и ОП №3 Управления МВД России по городу Ставрополю")</f>
        <v>Оказание услуг по организации питания лиц, задержанных за административные правонарушения и содержащиеся в помещениях для задержанных в отделах полиции ОП №1, ОП №2 и ОП №3 Управления МВД России по городу Ставрополю</v>
      </c>
      <c r="G6184" s="22" t="s">
        <v>87</v>
      </c>
      <c r="H6184" s="22" t="s">
        <v>87</v>
      </c>
      <c r="I6184" s="26">
        <v>43699.4382638889</v>
      </c>
      <c r="J6184" s="23" t="str">
        <f>HYPERLINK("https://www.spark-marketing.ru/Card/Person/950178", "Левин Евгений Николаевич")</f>
        <v>Левин Евгений Николаевич</v>
      </c>
      <c r="K6184" s="24" t="s">
        <v>6994</v>
      </c>
      <c r="L6184" s="22" t="s">
        <v>10</v>
      </c>
      <c r="M6184" s="28" t="s">
        <v>51</v>
      </c>
      <c r="N6184" s="28" t="s">
        <v>51</v>
      </c>
    </row>
    <row r="6185" spans="1:14" x14ac:dyDescent="0.15">
      <c r="A6185" s="23" t="str">
        <f>HYPERLINK("https://www.spark-marketing.ru/Card/Person/16955", "ГБУ РО ""ЦСП СК РО""")</f>
        <v>ГБУ РО "ЦСП СК РО"</v>
      </c>
      <c r="B6185" s="24" t="s">
        <v>906</v>
      </c>
      <c r="C6185" s="25">
        <v>2003321.12</v>
      </c>
      <c r="D6185" s="22" t="s">
        <v>9480</v>
      </c>
      <c r="E6185" s="22" t="s">
        <v>374</v>
      </c>
      <c r="F6185" s="23" t="str">
        <f>HYPERLINK("https://www.spark-marketing.ru/Card/Lot/72962339", "Комплекс услуг по организации питания, проживания, оплаты работы судейской коллегии, предоставления спортивных сооружений и информационного обеспечения на финальные соревнования Спартакиады школьников 2019 года.")</f>
        <v>Комплекс услуг по организации питания, проживания, оплаты работы судейской коллегии, предоставления спортивных сооружений и информационного обеспечения на финальные соревнования Спартакиады школьников 2019 года.</v>
      </c>
      <c r="G6185" s="22" t="s">
        <v>267</v>
      </c>
      <c r="H6185" s="22" t="s">
        <v>267</v>
      </c>
      <c r="I6185" s="26">
        <v>43699.454050925902</v>
      </c>
      <c r="J6185" s="23" t="str">
        <f>HYPERLINK("https://www.spark-marketing.ru/Card/Person/6199231", "Полочанская Ольга Геннадьевна")</f>
        <v>Полочанская Ольга Геннадьевна</v>
      </c>
      <c r="K6185" s="24" t="s">
        <v>2484</v>
      </c>
      <c r="L6185" s="28" t="s">
        <v>51</v>
      </c>
      <c r="M6185" s="28" t="s">
        <v>51</v>
      </c>
      <c r="N6185" s="28" t="s">
        <v>51</v>
      </c>
    </row>
    <row r="6186" spans="1:14" ht="12.75" hidden="1" outlineLevel="1" x14ac:dyDescent="0.2">
      <c r="A6186" s="23" t="str">
        <f>HYPERLINK("https://www.spark-marketing.ru/Card/Person/16955", "ГБУ РО ""ЦСП СК РО""")</f>
        <v>ГБУ РО "ЦСП СК РО"</v>
      </c>
      <c r="B6186" s="24" t="s">
        <v>906</v>
      </c>
      <c r="C6186" s="25">
        <v>2003321.12</v>
      </c>
      <c r="D6186" s="22" t="s">
        <v>9480</v>
      </c>
      <c r="E6186" s="22" t="s">
        <v>374</v>
      </c>
      <c r="F6186" s="23" t="str">
        <f>HYPERLINK("https://www.spark-marketing.ru/Card/Lot/72962339", "Комплекс услуг по организации питания, проживания, оплаты работы судейской коллегии, предоставления спортивных сооружений и информационного обеспечения на финальные соревнования Спартакиады школьников 2019 года.")</f>
        <v>Комплекс услуг по организации питания, проживания, оплаты работы судейской коллегии, предоставления спортивных сооружений и информационного обеспечения на финальные соревнования Спартакиады школьников 2019 года.</v>
      </c>
      <c r="G6186" s="22" t="s">
        <v>267</v>
      </c>
      <c r="H6186" s="22" t="s">
        <v>267</v>
      </c>
      <c r="I6186" s="26">
        <v>43699.454050925902</v>
      </c>
      <c r="J6186" s="23" t="str">
        <f>HYPERLINK("https://www.spark-marketing.ru/Card/Person/6199231", "Полочанская Ольга Геннадьевна")</f>
        <v>Полочанская Ольга Геннадьевна</v>
      </c>
      <c r="K6186" s="24" t="s">
        <v>2484</v>
      </c>
      <c r="L6186" s="22" t="s">
        <v>10</v>
      </c>
      <c r="M6186" s="25">
        <v>1993304.51</v>
      </c>
      <c r="N6186" s="27">
        <v>5.0000021963528245E-3</v>
      </c>
    </row>
    <row r="6187" spans="1:14" x14ac:dyDescent="0.15">
      <c r="A6187" s="23" t="str">
        <f>HYPERLINK("https://www.spark-marketing.ru/Card/Person/136319", "МУ МВД РОССИИ ""БИЙСКОЕ""")</f>
        <v>МУ МВД РОССИИ "БИЙСКОЕ"</v>
      </c>
      <c r="B6187" s="24" t="s">
        <v>9435</v>
      </c>
      <c r="C6187" s="25">
        <v>4777</v>
      </c>
      <c r="D6187" s="22" t="s">
        <v>9481</v>
      </c>
      <c r="E6187" s="22" t="s">
        <v>48</v>
      </c>
      <c r="F6187" s="23" t="str">
        <f>HYPERLINK("https://www.spark-marketing.ru/Card/Lot/72958463", "УСЛУГИ ПО ОБЕСПЕЧЕНИЮ ПИТАНИЯ ЛИЦ СОДЕРЖАЩИХСЯ В СПЕЦ. ПОМЕЩЕНИЯХ ЗАДЕРЖАННЫХ ЛИЦ, 17 усл. ед")</f>
        <v>УСЛУГИ ПО ОБЕСПЕЧЕНИЮ ПИТАНИЯ ЛИЦ СОДЕРЖАЩИХСЯ В СПЕЦ. ПОМЕЩЕНИЯХ ЗАДЕРЖАННЫХ ЛИЦ, 17 усл. ед</v>
      </c>
      <c r="G6187" s="22" t="s">
        <v>63</v>
      </c>
      <c r="H6187" s="22" t="s">
        <v>1294</v>
      </c>
      <c r="I6187" s="26">
        <v>43699.477708333303</v>
      </c>
      <c r="J6187" s="28" t="s">
        <v>51</v>
      </c>
      <c r="K6187" s="28" t="s">
        <v>51</v>
      </c>
      <c r="L6187" s="28" t="s">
        <v>51</v>
      </c>
      <c r="M6187" s="28" t="s">
        <v>51</v>
      </c>
      <c r="N6187" s="28" t="s">
        <v>51</v>
      </c>
    </row>
    <row r="6188" spans="1:14" x14ac:dyDescent="0.15">
      <c r="A6188" s="23" t="str">
        <f>HYPERLINK("https://www.spark-marketing.ru/Card/Person/151887", "МО МВД РОССИИ""ПОСПЕЛИХИНСКИЙ""")</f>
        <v>МО МВД РОССИИ"ПОСПЕЛИХИНСКИЙ"</v>
      </c>
      <c r="B6188" s="24" t="s">
        <v>9482</v>
      </c>
      <c r="C6188" s="25">
        <v>408000</v>
      </c>
      <c r="D6188" s="22" t="s">
        <v>9483</v>
      </c>
      <c r="E6188" s="22" t="s">
        <v>48</v>
      </c>
      <c r="F6188" s="23" t="str">
        <f>HYPERLINK("https://www.spark-marketing.ru/Card/Lot/72969357", "питание ивс")</f>
        <v>питание ивс</v>
      </c>
      <c r="G6188" s="22" t="s">
        <v>63</v>
      </c>
      <c r="H6188" s="22" t="s">
        <v>9484</v>
      </c>
      <c r="I6188" s="26">
        <v>43699.647743055597</v>
      </c>
      <c r="J6188" s="28" t="s">
        <v>51</v>
      </c>
      <c r="K6188" s="28" t="s">
        <v>51</v>
      </c>
      <c r="L6188" s="28" t="s">
        <v>51</v>
      </c>
      <c r="M6188" s="28" t="s">
        <v>51</v>
      </c>
      <c r="N6188" s="28" t="s">
        <v>51</v>
      </c>
    </row>
    <row r="6189" spans="1:14" x14ac:dyDescent="0.15">
      <c r="A6189" s="23" t="str">
        <f>HYPERLINK("https://www.spark-marketing.ru/Card/Person/1023505", "МКУ ""АТС ЗАТО ОЗЕРНЫЙ""")</f>
        <v>МКУ "АТС ЗАТО ОЗЕРНЫЙ"</v>
      </c>
      <c r="B6189" s="24" t="s">
        <v>9485</v>
      </c>
      <c r="C6189" s="25">
        <v>63698</v>
      </c>
      <c r="D6189" s="22" t="s">
        <v>9486</v>
      </c>
      <c r="E6189" s="22" t="s">
        <v>67</v>
      </c>
      <c r="F6189" s="23" t="str">
        <f>HYPERLINK("https://www.spark-marketing.ru/Card/Lot/72960264", "Услуги по организации питания и обслуживанию торжественных мероприятий")</f>
        <v>Услуги по организации питания и обслуживанию торжественных мероприятий</v>
      </c>
      <c r="G6189" s="22" t="s">
        <v>137</v>
      </c>
      <c r="H6189" s="22" t="s">
        <v>137</v>
      </c>
      <c r="I6189" s="26">
        <v>43699.3976273148</v>
      </c>
      <c r="J6189" s="23" t="str">
        <f>HYPERLINK("https://www.spark-marketing.ru/Card/Person/273936", "ООО ""ТРЭВЭЛ""")</f>
        <v>ООО "ТРЭВЭЛ"</v>
      </c>
      <c r="K6189" s="24" t="s">
        <v>9487</v>
      </c>
      <c r="L6189" s="22" t="s">
        <v>10</v>
      </c>
      <c r="M6189" s="28" t="s">
        <v>51</v>
      </c>
      <c r="N6189" s="28" t="s">
        <v>51</v>
      </c>
    </row>
    <row r="6190" spans="1:14" x14ac:dyDescent="0.15">
      <c r="A6190" s="23" t="str">
        <f>HYPERLINK("https://www.spark-marketing.ru/Card/Person/89798", "УМВД РОССИИ ПО ГОРОДУ КИРОВУ")</f>
        <v>УМВД РОССИИ ПО ГОРОДУ КИРОВУ</v>
      </c>
      <c r="B6190" s="24" t="s">
        <v>8365</v>
      </c>
      <c r="C6190" s="25">
        <v>900000</v>
      </c>
      <c r="D6190" s="22" t="s">
        <v>9488</v>
      </c>
      <c r="E6190" s="22" t="s">
        <v>48</v>
      </c>
      <c r="F6190" s="23" t="str">
        <f>HYPERLINK("https://www.spark-marketing.ru/Card/Lot/72961494",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190" s="22" t="s">
        <v>224</v>
      </c>
      <c r="H6190" s="22" t="s">
        <v>225</v>
      </c>
      <c r="I6190" s="26">
        <v>43699.447233796302</v>
      </c>
      <c r="J6190" s="23" t="str">
        <f>HYPERLINK("https://www.spark-marketing.ru/Card/Person/89851", "ООО ""ФУД-СЕРВИС""")</f>
        <v>ООО "ФУД-СЕРВИС"</v>
      </c>
      <c r="K6190" s="24" t="s">
        <v>8368</v>
      </c>
      <c r="L6190" s="28" t="s">
        <v>51</v>
      </c>
      <c r="M6190" s="28" t="s">
        <v>51</v>
      </c>
      <c r="N6190" s="28" t="s">
        <v>51</v>
      </c>
    </row>
    <row r="6191" spans="1:14" ht="12.75" hidden="1" outlineLevel="1" x14ac:dyDescent="0.2">
      <c r="A6191" s="23" t="str">
        <f>HYPERLINK("https://www.spark-marketing.ru/Card/Person/89798", "УМВД РОССИИ ПО ГОРОДУ КИРОВУ")</f>
        <v>УМВД РОССИИ ПО ГОРОДУ КИРОВУ</v>
      </c>
      <c r="B6191" s="24" t="s">
        <v>8365</v>
      </c>
      <c r="C6191" s="25">
        <v>900000</v>
      </c>
      <c r="D6191" s="22" t="s">
        <v>9488</v>
      </c>
      <c r="E6191" s="22" t="s">
        <v>48</v>
      </c>
      <c r="F6191" s="23" t="str">
        <f>HYPERLINK("https://www.spark-marketing.ru/Card/Lot/72961494",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191" s="22" t="s">
        <v>224</v>
      </c>
      <c r="H6191" s="22" t="s">
        <v>225</v>
      </c>
      <c r="I6191" s="26">
        <v>43699.447233796302</v>
      </c>
      <c r="J6191" s="23" t="str">
        <f>HYPERLINK("https://www.spark-marketing.ru/Card/Person/89851", "ООО ""ФУД-СЕРВИС""")</f>
        <v>ООО "ФУД-СЕРВИС"</v>
      </c>
      <c r="K6191" s="24" t="s">
        <v>8368</v>
      </c>
      <c r="L6191" s="22" t="s">
        <v>10</v>
      </c>
      <c r="M6191" s="25">
        <v>7082.41</v>
      </c>
      <c r="N6191" s="27">
        <v>0.99213065555555557</v>
      </c>
    </row>
    <row r="6192" spans="1:14" x14ac:dyDescent="0.15">
      <c r="A6192" s="23" t="str">
        <f>HYPERLINK("https://www.spark-marketing.ru/Card/Person/1032047", "МБУК ""ДМСКЦ""")</f>
        <v>МБУК "ДМСКЦ"</v>
      </c>
      <c r="B6192" s="24" t="s">
        <v>9489</v>
      </c>
      <c r="C6192" s="25">
        <v>5000000</v>
      </c>
      <c r="D6192" s="22" t="s">
        <v>9490</v>
      </c>
      <c r="E6192" s="22" t="s">
        <v>9491</v>
      </c>
      <c r="F6192" s="23" t="str">
        <f>HYPERLINK("https://www.spark-marketing.ru/Card/Lot/72952725", "Поставка и монтаж оборудования для кинозала муниципального бюджетного учреждения культуры ""Дульдургинский межпоселенческий социально-культурный центр"" муниципального района ""Дульдургинский район"" Забайкальского края")</f>
        <v>Поставка и монтаж оборудования для кинозала муниципального бюджетного учреждения культуры "Дульдургинский межпоселенческий социально-культурный центр" муниципального района "Дульдургинский район" Забайкальского края</v>
      </c>
      <c r="G6192" s="22" t="s">
        <v>228</v>
      </c>
      <c r="H6192" s="22" t="s">
        <v>9492</v>
      </c>
      <c r="I6192" s="26">
        <v>43699.440127314803</v>
      </c>
      <c r="J6192" s="23" t="str">
        <f>HYPERLINK("https://www.spark-marketing.ru/Card/Person/1680684", "ООО ""АЗИЯ СИНЕМА-М""")</f>
        <v>ООО "АЗИЯ СИНЕМА-М"</v>
      </c>
      <c r="K6192" s="24" t="s">
        <v>9493</v>
      </c>
      <c r="L6192" s="22" t="s">
        <v>10</v>
      </c>
      <c r="M6192" s="28" t="s">
        <v>51</v>
      </c>
      <c r="N6192" s="28" t="s">
        <v>51</v>
      </c>
    </row>
    <row r="6193" spans="1:14" x14ac:dyDescent="0.15">
      <c r="A6193" s="23" t="str">
        <f>HYPERLINK("https://www.spark-marketing.ru/Card/Person/136319", "МУ МВД РОССИИ ""БИЙСКОЕ""")</f>
        <v>МУ МВД РОССИИ "БИЙСКОЕ"</v>
      </c>
      <c r="B6193" s="24" t="s">
        <v>9435</v>
      </c>
      <c r="C6193" s="25">
        <v>1192988.1000000001</v>
      </c>
      <c r="D6193" s="22" t="s">
        <v>9494</v>
      </c>
      <c r="E6193" s="22" t="s">
        <v>48</v>
      </c>
      <c r="F6193" s="23" t="str">
        <f>HYPERLINK("https://www.spark-marketing.ru/Card/Lot/72953827", "Услуги по обеспечению горячим питанием лиц, содержащихся в Изоляторе временного содержания МУ МВД России «Бийское» и лиц, в отношении которых в соответствии с КоАП РФ применено административное задержание на срок более трех часов и содержащихся в спе...")</f>
        <v>Услуги по обеспечению горячим питанием лиц, содержащихся в Изоляторе временного содержания МУ МВД России «Бийское» и лиц, в отношении которых в соответствии с КоАП РФ применено административное задержание на срок более трех часов и содержащихся в спе...</v>
      </c>
      <c r="G6193" s="22" t="s">
        <v>63</v>
      </c>
      <c r="H6193" s="22" t="s">
        <v>1294</v>
      </c>
      <c r="I6193" s="26">
        <v>43699.443611111099</v>
      </c>
      <c r="J6193" s="23" t="str">
        <f>HYPERLINK("https://www.spark-marketing.ru/Card/Person/896596", "Александрова Людмила Арташесовна")</f>
        <v>Александрова Людмила Арташесовна</v>
      </c>
      <c r="K6193" s="24" t="s">
        <v>9437</v>
      </c>
      <c r="L6193" s="22" t="s">
        <v>10</v>
      </c>
      <c r="M6193" s="28" t="s">
        <v>51</v>
      </c>
      <c r="N6193" s="28" t="s">
        <v>51</v>
      </c>
    </row>
    <row r="6194" spans="1:14" x14ac:dyDescent="0.15">
      <c r="A6194" s="23" t="str">
        <f>HYPERLINK("https://www.spark-marketing.ru/Card/Person/124941", "МО МВД РОССИИ ""ИШИМСКИЙ""")</f>
        <v>МО МВД РОССИИ "ИШИМСКИЙ"</v>
      </c>
      <c r="B6194" s="24" t="s">
        <v>4347</v>
      </c>
      <c r="C6194" s="25">
        <v>779766.75</v>
      </c>
      <c r="D6194" s="22" t="s">
        <v>9495</v>
      </c>
      <c r="E6194" s="22" t="s">
        <v>48</v>
      </c>
      <c r="F6194" s="23" t="str">
        <f>HYPERLINK("https://www.spark-marketing.ru/Card/Lot/72953737", "Оказание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административно арестованных лиц, содержащихся в Специальной части ИВС и лиц, содержащихся в Специал...")</f>
        <v>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административно арестованных лиц, содержащихся в Специальной части ИВС и лиц, содержащихся в Специал...</v>
      </c>
      <c r="G6194" s="22" t="s">
        <v>766</v>
      </c>
      <c r="H6194" s="22" t="s">
        <v>4349</v>
      </c>
      <c r="I6194" s="26">
        <v>43698.746851851902</v>
      </c>
      <c r="J6194" s="28" t="s">
        <v>51</v>
      </c>
      <c r="K6194" s="28" t="s">
        <v>51</v>
      </c>
      <c r="L6194" s="28" t="s">
        <v>51</v>
      </c>
      <c r="M6194" s="28" t="s">
        <v>51</v>
      </c>
      <c r="N6194" s="28" t="s">
        <v>51</v>
      </c>
    </row>
    <row r="6195" spans="1:14" hidden="1" outlineLevel="1" x14ac:dyDescent="0.2">
      <c r="A6195" s="23" t="str">
        <f>HYPERLINK("https://www.spark-marketing.ru/Card/Person/124941", "МО МВД РОССИИ ""ИШИМСКИЙ""")</f>
        <v>МО МВД РОССИИ "ИШИМСКИЙ"</v>
      </c>
      <c r="B6195" s="24" t="s">
        <v>4347</v>
      </c>
      <c r="C6195" s="25">
        <v>779766.75</v>
      </c>
      <c r="D6195" s="22" t="s">
        <v>9495</v>
      </c>
      <c r="E6195" s="22" t="s">
        <v>48</v>
      </c>
      <c r="F6195" s="23" t="str">
        <f>HYPERLINK("https://www.spark-marketing.ru/Card/Lot/72953737", "Оказание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административно арестованных лиц, содержащихся в Специальной части ИВС и лиц, содержащихся в Специал...")</f>
        <v>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административно арестованных лиц, содержащихся в Специальной части ИВС и лиц, содержащихся в Специал...</v>
      </c>
      <c r="G6195" s="22" t="s">
        <v>766</v>
      </c>
      <c r="H6195" s="22" t="s">
        <v>4349</v>
      </c>
      <c r="I6195" s="26">
        <v>43698.746851851902</v>
      </c>
      <c r="J6195" s="23" t="str">
        <f>HYPERLINK("https://www.spark-marketing.ru/Card/Person/864936", "Архипов Сергей Александрович")</f>
        <v>Архипов Сергей Александрович</v>
      </c>
      <c r="K6195" s="24" t="s">
        <v>4350</v>
      </c>
      <c r="L6195" s="28" t="s">
        <v>51</v>
      </c>
      <c r="M6195" s="25">
        <v>623813.43000000005</v>
      </c>
      <c r="N6195" s="27">
        <v>0.19999996152695662</v>
      </c>
    </row>
    <row r="6196" spans="1:14" ht="12.75" hidden="1" outlineLevel="1" x14ac:dyDescent="0.2">
      <c r="A6196" s="23" t="str">
        <f>HYPERLINK("https://www.spark-marketing.ru/Card/Person/124941", "МО МВД РОССИИ ""ИШИМСКИЙ""")</f>
        <v>МО МВД РОССИИ "ИШИМСКИЙ"</v>
      </c>
      <c r="B6196" s="24" t="s">
        <v>4347</v>
      </c>
      <c r="C6196" s="25">
        <v>779766.75</v>
      </c>
      <c r="D6196" s="22" t="s">
        <v>9495</v>
      </c>
      <c r="E6196" s="22" t="s">
        <v>48</v>
      </c>
      <c r="F6196" s="23" t="str">
        <f>HYPERLINK("https://www.spark-marketing.ru/Card/Lot/72953737", "Оказание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административно арестованных лиц, содержащихся в Специальной части ИВС и лиц, содержащихся в Специал...")</f>
        <v>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административно арестованных лиц, содержащихся в Специальной части ИВС и лиц, содержащихся в Специал...</v>
      </c>
      <c r="G6196" s="22" t="s">
        <v>766</v>
      </c>
      <c r="H6196" s="22" t="s">
        <v>4349</v>
      </c>
      <c r="I6196" s="26">
        <v>43698.746851851902</v>
      </c>
      <c r="J6196" s="23" t="str">
        <f>HYPERLINK("https://www.spark-marketing.ru/Card/Person/858618", "Гончаров Александр Николаевич")</f>
        <v>Гончаров Александр Николаевич</v>
      </c>
      <c r="K6196" s="24" t="s">
        <v>4351</v>
      </c>
      <c r="L6196" s="22" t="s">
        <v>10</v>
      </c>
      <c r="M6196" s="25">
        <v>584825.09</v>
      </c>
      <c r="N6196" s="27">
        <v>0.24999996473304356</v>
      </c>
    </row>
    <row r="6197" spans="1:14" x14ac:dyDescent="0.15">
      <c r="A6197" s="23" t="str">
        <f>HYPERLINK("https://www.spark-marketing.ru/Card/Person/28961", "ГБУЗ ВО ""ОБЛАСТНОЙ ЦЕНТР СПЕЦМЕДПОМОЩИ""")</f>
        <v>ГБУЗ ВО "ОБЛАСТНОЙ ЦЕНТР СПЕЦМЕДПОМОЩИ"</v>
      </c>
      <c r="B6197" s="24" t="s">
        <v>9496</v>
      </c>
      <c r="C6197" s="25">
        <v>132263.88</v>
      </c>
      <c r="D6197" s="22" t="s">
        <v>9497</v>
      </c>
      <c r="E6197" s="22" t="s">
        <v>62</v>
      </c>
      <c r="F6197" s="23" t="str">
        <f>HYPERLINK("https://www.spark-marketing.ru/Card/Lot/72956821", "Закупка журналов и бланочной продукции для нужд ГБУЗ ВО «Областной центр спецмедпомощи»")</f>
        <v>Закупка журналов и бланочной продукции для нужд ГБУЗ ВО «Областной центр спецмедпомощи»</v>
      </c>
      <c r="G6197" s="22" t="s">
        <v>663</v>
      </c>
      <c r="H6197" s="22" t="s">
        <v>664</v>
      </c>
      <c r="I6197" s="26">
        <v>43698.371481481503</v>
      </c>
      <c r="J6197" s="23" t="str">
        <f>HYPERLINK("https://www.spark-marketing.ru/Card/Person/497064", "ООО ИПК ""АВАНТА-ПРИНТ""")</f>
        <v>ООО ИПК "АВАНТА-ПРИНТ"</v>
      </c>
      <c r="K6197" s="24" t="s">
        <v>6192</v>
      </c>
      <c r="L6197" s="28" t="s">
        <v>51</v>
      </c>
      <c r="M6197" s="28" t="s">
        <v>51</v>
      </c>
      <c r="N6197" s="28" t="s">
        <v>51</v>
      </c>
    </row>
    <row r="6198" spans="1:14" ht="12.75" hidden="1" outlineLevel="1" x14ac:dyDescent="0.2">
      <c r="A6198" s="23" t="str">
        <f>HYPERLINK("https://www.spark-marketing.ru/Card/Person/28961", "ГБУЗ ВО ""ОБЛАСТНОЙ ЦЕНТР СПЕЦМЕДПОМОЩИ""")</f>
        <v>ГБУЗ ВО "ОБЛАСТНОЙ ЦЕНТР СПЕЦМЕДПОМОЩИ"</v>
      </c>
      <c r="B6198" s="24" t="s">
        <v>9496</v>
      </c>
      <c r="C6198" s="25">
        <v>132263.88</v>
      </c>
      <c r="D6198" s="22" t="s">
        <v>9497</v>
      </c>
      <c r="E6198" s="22" t="s">
        <v>62</v>
      </c>
      <c r="F6198" s="23" t="str">
        <f>HYPERLINK("https://www.spark-marketing.ru/Card/Lot/72956821", "Закупка журналов и бланочной продукции для нужд ГБУЗ ВО «Областной центр спецмедпомощи»")</f>
        <v>Закупка журналов и бланочной продукции для нужд ГБУЗ ВО «Областной центр спецмедпомощи»</v>
      </c>
      <c r="G6198" s="22" t="s">
        <v>663</v>
      </c>
      <c r="H6198" s="22" t="s">
        <v>664</v>
      </c>
      <c r="I6198" s="26">
        <v>43698.371481481503</v>
      </c>
      <c r="J6198" s="23" t="str">
        <f>HYPERLINK("https://www.spark-marketing.ru/Card/Person/497064", "ООО ИПК ""АВАНТА-ПРИНТ""")</f>
        <v>ООО ИПК "АВАНТА-ПРИНТ"</v>
      </c>
      <c r="K6198" s="24" t="s">
        <v>6192</v>
      </c>
      <c r="L6198" s="22" t="s">
        <v>10</v>
      </c>
      <c r="M6198" s="25">
        <v>131602.56</v>
      </c>
      <c r="N6198" s="27">
        <v>5.0000045363858972E-3</v>
      </c>
    </row>
    <row r="6199" spans="1:14" x14ac:dyDescent="0.15">
      <c r="A6199" s="23" t="str">
        <f>HYPERLINK("https://www.spark-marketing.ru/Card/Person/183760", "МО МВД РОССИИ ""АЛАТЫРСКИЙ""")</f>
        <v>МО МВД РОССИИ "АЛАТЫРСКИЙ"</v>
      </c>
      <c r="B6199" s="24" t="s">
        <v>3783</v>
      </c>
      <c r="C6199" s="25">
        <v>192325</v>
      </c>
      <c r="D6199" s="22" t="s">
        <v>9498</v>
      </c>
      <c r="E6199" s="22" t="s">
        <v>48</v>
      </c>
      <c r="F6199" s="23" t="str">
        <f>HYPERLINK("https://www.spark-marketing.ru/Card/Lot/72955328", "Оказание услуг по организации питания (приготовлению и доставке) для ИВС, 961 усл. ед")</f>
        <v>Оказание услуг по организации питания (приготовлению и доставке) для ИВС, 961 усл. ед</v>
      </c>
      <c r="G6199" s="22" t="s">
        <v>618</v>
      </c>
      <c r="H6199" s="22" t="s">
        <v>3785</v>
      </c>
      <c r="I6199" s="26">
        <v>43699.396354166704</v>
      </c>
      <c r="J6199" s="28" t="s">
        <v>51</v>
      </c>
      <c r="K6199" s="28" t="s">
        <v>51</v>
      </c>
      <c r="L6199" s="28" t="s">
        <v>51</v>
      </c>
      <c r="M6199" s="28" t="s">
        <v>51</v>
      </c>
      <c r="N6199" s="28" t="s">
        <v>51</v>
      </c>
    </row>
    <row r="6200" spans="1:14" x14ac:dyDescent="0.15">
      <c r="A6200" s="23" t="str">
        <f>HYPERLINK("https://www.spark-marketing.ru/Card/Person/820494", "МБОУ ""АРДАТОВСКАЯ СОШ""")</f>
        <v>МБОУ "АРДАТОВСКАЯ СОШ"</v>
      </c>
      <c r="B6200" s="24" t="s">
        <v>9499</v>
      </c>
      <c r="C6200" s="25">
        <v>937044.45</v>
      </c>
      <c r="D6200" s="22" t="s">
        <v>9500</v>
      </c>
      <c r="E6200" s="22" t="s">
        <v>51</v>
      </c>
      <c r="F6200" s="23" t="str">
        <f>HYPERLINK("https://www.spark-marketing.ru/Card/Lot/72957875", "Услуги по организации горячего питания учащихся в МБОУ ""Ардатовская СОШ"" Ардатовского муниципального района Республики Мордовия")</f>
        <v>Услуги по организации горячего питания учащихся в МБОУ "Ардатовская СОШ" Ардатовского муниципального района Республики Мордовия</v>
      </c>
      <c r="G6200" s="22" t="s">
        <v>277</v>
      </c>
      <c r="H6200" s="22" t="s">
        <v>9501</v>
      </c>
      <c r="I6200" s="26">
        <v>43699.401203703703</v>
      </c>
      <c r="J6200" s="23" t="str">
        <f>HYPERLINK("https://www.spark-marketing.ru/Card/Person/367360", "Зиновьев Богдан Алексеевич")</f>
        <v>Зиновьев Богдан Алексеевич</v>
      </c>
      <c r="K6200" s="24" t="s">
        <v>9502</v>
      </c>
      <c r="L6200" s="28" t="s">
        <v>51</v>
      </c>
      <c r="M6200" s="28" t="s">
        <v>51</v>
      </c>
      <c r="N6200" s="28" t="s">
        <v>51</v>
      </c>
    </row>
    <row r="6201" spans="1:14" x14ac:dyDescent="0.15">
      <c r="A6201" s="23" t="str">
        <f>HYPERLINK("https://www.spark-marketing.ru/Card/Person/815384", "МБОУ ""АРДАТОВСКАЯ ООШ""")</f>
        <v>МБОУ "АРДАТОВСКАЯ ООШ"</v>
      </c>
      <c r="B6201" s="24" t="s">
        <v>9503</v>
      </c>
      <c r="C6201" s="25">
        <v>849987.27</v>
      </c>
      <c r="D6201" s="22" t="s">
        <v>9504</v>
      </c>
      <c r="E6201" s="22" t="s">
        <v>51</v>
      </c>
      <c r="F6201" s="23" t="str">
        <f>HYPERLINK("https://www.spark-marketing.ru/Card/Lot/72957867", "Услуги по организации горячего питания учащихся в МБОУ ""Ардатовская ООШ"" Ардатовского муниципального района Республики Мордовия")</f>
        <v>Услуги по организации горячего питания учащихся в МБОУ "Ардатовская ООШ" Ардатовского муниципального района Республики Мордовия</v>
      </c>
      <c r="G6201" s="22" t="s">
        <v>277</v>
      </c>
      <c r="H6201" s="22" t="s">
        <v>9501</v>
      </c>
      <c r="I6201" s="26">
        <v>43699.391412037003</v>
      </c>
      <c r="J6201" s="28" t="s">
        <v>51</v>
      </c>
      <c r="K6201" s="28" t="s">
        <v>51</v>
      </c>
      <c r="L6201" s="28" t="s">
        <v>51</v>
      </c>
      <c r="M6201" s="28" t="s">
        <v>51</v>
      </c>
      <c r="N6201" s="28" t="s">
        <v>51</v>
      </c>
    </row>
    <row r="6202" spans="1:14" x14ac:dyDescent="0.15">
      <c r="A6202" s="23" t="str">
        <f>HYPERLINK("https://www.spark-marketing.ru/Card/Person/132913", "ОТДЕЛ МВД РОССИИ ПО САТКИНСКОМУ РАЙОНУ ЧЕЛЯБИНСКОЙ ОБЛАСТИ")</f>
        <v>ОТДЕЛ МВД РОССИИ ПО САТКИНСКОМУ РАЙОНУ ЧЕЛЯБИНСКОЙ ОБЛАСТИ</v>
      </c>
      <c r="B6202" s="24" t="s">
        <v>9505</v>
      </c>
      <c r="C6202" s="25">
        <v>1150000</v>
      </c>
      <c r="D6202" s="22" t="s">
        <v>9506</v>
      </c>
      <c r="E6202" s="22" t="s">
        <v>48</v>
      </c>
      <c r="F6202" s="23" t="str">
        <f>HYPERLINK("https://www.spark-marketing.ru/Card/Lot/72954181", "Оказание услуг по ежедневному трехразовому питанию граждан содержащихся в камерах ИВС и дежурных частях более 3-х часов")</f>
        <v>Оказание услуг по ежедневному трехразовому питанию граждан содержащихся в камерах ИВС и дежурных частях более 3-х часов</v>
      </c>
      <c r="G6202" s="22" t="s">
        <v>469</v>
      </c>
      <c r="H6202" s="22" t="s">
        <v>3915</v>
      </c>
      <c r="I6202" s="26">
        <v>43698.726597222201</v>
      </c>
      <c r="J6202" s="23" t="str">
        <f>HYPERLINK("https://www.spark-marketing.ru/Card/Person/1523821", "ООО ""ТВИКС""")</f>
        <v>ООО "ТВИКС"</v>
      </c>
      <c r="K6202" s="24" t="s">
        <v>9507</v>
      </c>
      <c r="L6202" s="22" t="s">
        <v>10</v>
      </c>
      <c r="M6202" s="28" t="s">
        <v>51</v>
      </c>
      <c r="N6202" s="28" t="s">
        <v>51</v>
      </c>
    </row>
    <row r="6203" spans="1:14" x14ac:dyDescent="0.15">
      <c r="A6203" s="23" t="str">
        <f>HYPERLINK("https://www.spark-marketing.ru/Card/Person/21880", "ГУ МВД РОССИИ ПО ИРКУТСКОЙ ОБЛАСТИ")</f>
        <v>ГУ МВД РОССИИ ПО ИРКУТСКОЙ ОБЛАСТИ</v>
      </c>
      <c r="B6203" s="24" t="s">
        <v>9508</v>
      </c>
      <c r="C6203" s="25">
        <v>9085000</v>
      </c>
      <c r="D6203" s="22" t="s">
        <v>9509</v>
      </c>
      <c r="E6203" s="22" t="s">
        <v>48</v>
      </c>
      <c r="F6203" s="23" t="str">
        <f>HYPERLINK("https://www.spark-marketing.ru/Card/Lot/72951915", "Прочая закупка товаров, работ и услуг (оказание услуг по обеспечению ежедневным трехразовым питанием иностранных граждан и лиц без гражданства)")</f>
        <v>Прочая закупка товаров, работ и услуг (оказание услуг по обеспечению ежедневным трехразовым питанием иностранных граждан и лиц без гражданства)</v>
      </c>
      <c r="G6203" s="22" t="s">
        <v>263</v>
      </c>
      <c r="H6203" s="22" t="s">
        <v>540</v>
      </c>
      <c r="I6203" s="26">
        <v>43698.480775463002</v>
      </c>
      <c r="J6203" s="23" t="str">
        <f>HYPERLINK("https://www.spark-marketing.ru/Card/Person/63319", "ООО СЕРВИСНАЯ КОМПАНИЯ ""СИБЭКОСЕРВИС""")</f>
        <v>ООО СЕРВИСНАЯ КОМПАНИЯ "СИБЭКОСЕРВИС"</v>
      </c>
      <c r="K6203" s="24" t="s">
        <v>9510</v>
      </c>
      <c r="L6203" s="22" t="s">
        <v>10</v>
      </c>
      <c r="M6203" s="28" t="s">
        <v>51</v>
      </c>
      <c r="N6203" s="28" t="s">
        <v>51</v>
      </c>
    </row>
    <row r="6204" spans="1:14" x14ac:dyDescent="0.15">
      <c r="A6204" s="23" t="str">
        <f>HYPERLINK("https://www.spark-marketing.ru/Card/Person/1023879", "МОУ ""СОШ № 43""")</f>
        <v>МОУ "СОШ № 43"</v>
      </c>
      <c r="B6204" s="24" t="s">
        <v>5959</v>
      </c>
      <c r="C6204" s="25">
        <v>162656</v>
      </c>
      <c r="D6204" s="22" t="s">
        <v>9511</v>
      </c>
      <c r="E6204" s="22" t="s">
        <v>48</v>
      </c>
      <c r="F6204" s="23" t="str">
        <f>HYPERLINK("https://www.spark-marketing.ru/Card/Lot/72956163", "Оказание услуг по обеспечению льготным питанием детей из малообеспеченных семей и детей с нарушениями здоровья, обучающихся в муниципальной общеобразовательной организации Копейского городского округа")</f>
        <v>Оказание услуг по обеспечению льготным питанием детей из малообеспеченных семей и детей с нарушениями здоровья, обучающихся в муниципальной общеобразовательной организации Копейского городского округа</v>
      </c>
      <c r="G6204" s="22" t="s">
        <v>469</v>
      </c>
      <c r="H6204" s="22" t="s">
        <v>5961</v>
      </c>
      <c r="I6204" s="26">
        <v>43699.415972222203</v>
      </c>
      <c r="J6204" s="28" t="s">
        <v>51</v>
      </c>
      <c r="K6204" s="28" t="s">
        <v>51</v>
      </c>
      <c r="L6204" s="28" t="s">
        <v>51</v>
      </c>
      <c r="M6204" s="28" t="s">
        <v>51</v>
      </c>
      <c r="N6204" s="28" t="s">
        <v>51</v>
      </c>
    </row>
    <row r="6205" spans="1:14" x14ac:dyDescent="0.15">
      <c r="A6205" s="23" t="str">
        <f>HYPERLINK("https://www.spark-marketing.ru/Card/Person/75695", "ГБОУ МО ""ОДИНЦОВСКИЙ ""ДЕСЯТЫЙ ЛИЦЕЙ""")</f>
        <v>ГБОУ МО "ОДИНЦОВСКИЙ "ДЕСЯТЫЙ ЛИЦЕЙ"</v>
      </c>
      <c r="B6205" s="24" t="s">
        <v>2564</v>
      </c>
      <c r="C6205" s="25">
        <v>325000</v>
      </c>
      <c r="D6205" s="22" t="s">
        <v>9512</v>
      </c>
      <c r="E6205" s="22" t="s">
        <v>48</v>
      </c>
      <c r="F6205" s="23" t="str">
        <f>HYPERLINK("https://www.spark-marketing.ru/Card/Lot/72955714", "Закупка в 2019 году услуги на осуществление полноценного питания для нужд МБОУ Одинцовского лицея №10")</f>
        <v>Закупка в 2019 году услуги на осуществление полноценного питания для нужд МБОУ Одинцовского лицея №10</v>
      </c>
      <c r="G6205" s="22" t="s">
        <v>49</v>
      </c>
      <c r="H6205" s="22" t="s">
        <v>577</v>
      </c>
      <c r="I6205" s="26">
        <v>43699.378437500003</v>
      </c>
      <c r="J6205" s="28" t="s">
        <v>51</v>
      </c>
      <c r="K6205" s="28" t="s">
        <v>51</v>
      </c>
      <c r="L6205" s="28" t="s">
        <v>51</v>
      </c>
      <c r="M6205" s="28" t="s">
        <v>51</v>
      </c>
      <c r="N6205" s="28" t="s">
        <v>51</v>
      </c>
    </row>
    <row r="6206" spans="1:14" x14ac:dyDescent="0.15">
      <c r="A6206" s="23" t="str">
        <f>HYPERLINK("https://www.spark-marketing.ru/Card/Person/34726", "УПРАВЛЕНИЕ МВД РОССИИ ПО Г. РОСТОВУ-НА-ДОНУ")</f>
        <v>УПРАВЛЕНИЕ МВД РОССИИ ПО Г. РОСТОВУ-НА-ДОНУ</v>
      </c>
      <c r="B6206" s="24" t="s">
        <v>7139</v>
      </c>
      <c r="C6206" s="25">
        <v>800002.14</v>
      </c>
      <c r="D6206" s="22" t="s">
        <v>9513</v>
      </c>
      <c r="E6206" s="22" t="s">
        <v>48</v>
      </c>
      <c r="F6206" s="23" t="str">
        <f>HYPERLINK("https://www.spark-marketing.ru/Card/Lot/72957695", "Оказание услуг по обеспечению бесперебойным ежедневным трехразовым горячим питанием (порционно в одноразовой посуде с пластиковыми приборами для принятия пищи) лиц, задержанных за административные правонарушения на срок более трех часов и содержащихс...")</f>
        <v>Оказание услуг по обеспечению бесперебойным ежедневным трехразовым горячим питанием (порционно в одноразовой посуде с пластиковыми приборами для принятия пищи) лиц, задержанных за административные правонарушения на срок более трех часов и содержащихс...</v>
      </c>
      <c r="G6206" s="22" t="s">
        <v>267</v>
      </c>
      <c r="H6206" s="22" t="s">
        <v>590</v>
      </c>
      <c r="I6206" s="26">
        <v>43698.773055555597</v>
      </c>
      <c r="J6206" s="23" t="str">
        <f>HYPERLINK("https://www.spark-marketing.ru/Card/Person/365298", "ООО ""ЛЕЛЬ""")</f>
        <v>ООО "ЛЕЛЬ"</v>
      </c>
      <c r="K6206" s="24" t="s">
        <v>7141</v>
      </c>
      <c r="L6206" s="22" t="s">
        <v>10</v>
      </c>
      <c r="M6206" s="28" t="s">
        <v>51</v>
      </c>
      <c r="N6206" s="28" t="s">
        <v>51</v>
      </c>
    </row>
    <row r="6207" spans="1:14" x14ac:dyDescent="0.15">
      <c r="A6207" s="23" t="str">
        <f>HYPERLINK("https://www.spark-marketing.ru/Card/Person/308874", "ОТДЕЛ МВД РОССИИ ПО ВЕРХНЕМАМОНСКОМУ РАЙОНУ")</f>
        <v>ОТДЕЛ МВД РОССИИ ПО ВЕРХНЕМАМОНСКОМУ РАЙОНУ</v>
      </c>
      <c r="B6207" s="24" t="s">
        <v>9514</v>
      </c>
      <c r="C6207" s="25">
        <v>155</v>
      </c>
      <c r="D6207" s="22" t="s">
        <v>9515</v>
      </c>
      <c r="E6207" s="22" t="s">
        <v>48</v>
      </c>
      <c r="F6207" s="23" t="str">
        <f>HYPERLINK("https://www.spark-marketing.ru/Card/Lot/72954670",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207" s="22" t="s">
        <v>82</v>
      </c>
      <c r="H6207" s="22" t="s">
        <v>9516</v>
      </c>
      <c r="I6207" s="26">
        <v>43699.3750925926</v>
      </c>
      <c r="J6207" s="28" t="s">
        <v>51</v>
      </c>
      <c r="K6207" s="28" t="s">
        <v>51</v>
      </c>
      <c r="L6207" s="28" t="s">
        <v>51</v>
      </c>
      <c r="M6207" s="28" t="s">
        <v>51</v>
      </c>
      <c r="N6207" s="28" t="s">
        <v>51</v>
      </c>
    </row>
    <row r="6208" spans="1:14" x14ac:dyDescent="0.15">
      <c r="A6208" s="23" t="str">
        <f>HYPERLINK("https://www.spark-marketing.ru/Card/Person/1056946", "МБУ КДЦ ""МЕТРОЛОГ""")</f>
        <v>МБУ КДЦ "МЕТРОЛОГ"</v>
      </c>
      <c r="B6208" s="24" t="s">
        <v>9517</v>
      </c>
      <c r="C6208" s="25">
        <v>16400</v>
      </c>
      <c r="D6208" s="22" t="s">
        <v>9518</v>
      </c>
      <c r="E6208" s="22" t="s">
        <v>48</v>
      </c>
      <c r="F6208" s="23" t="str">
        <f>HYPERLINK("https://www.spark-marketing.ru/Card/Lot/72955732", "Оказание услуг по организации питания при проведении праздника Дня пожилых людей")</f>
        <v>Оказание услуг по организации питания при проведении праздника Дня пожилых людей</v>
      </c>
      <c r="G6208" s="22" t="s">
        <v>49</v>
      </c>
      <c r="H6208" s="22" t="s">
        <v>204</v>
      </c>
      <c r="I6208" s="26">
        <v>43699.399571759299</v>
      </c>
      <c r="J6208" s="28" t="s">
        <v>51</v>
      </c>
      <c r="K6208" s="28" t="s">
        <v>51</v>
      </c>
      <c r="L6208" s="28" t="s">
        <v>51</v>
      </c>
      <c r="M6208" s="28" t="s">
        <v>51</v>
      </c>
      <c r="N6208" s="28" t="s">
        <v>51</v>
      </c>
    </row>
    <row r="6209" spans="1:14" x14ac:dyDescent="0.15">
      <c r="A6209" s="23" t="str">
        <f>HYPERLINK("https://www.spark-marketing.ru/Card/Person/6223791", "ОМВД РОССИИ ПО ТУНГОКОЧЕНСКОМУ РАЙОНУ")</f>
        <v>ОМВД РОССИИ ПО ТУНГОКОЧЕНСКОМУ РАЙОНУ</v>
      </c>
      <c r="B6209" s="24" t="s">
        <v>8933</v>
      </c>
      <c r="C6209" s="25">
        <v>934815</v>
      </c>
      <c r="D6209" s="22" t="s">
        <v>9519</v>
      </c>
      <c r="E6209" s="22" t="s">
        <v>48</v>
      </c>
      <c r="F6209" s="23" t="str">
        <f>HYPERLINK("https://www.spark-marketing.ru/Card/Lot/72951090", "услуга по приготовлению и поставке горячего трехразового питания для лиц содержащихся в ИВС")</f>
        <v>услуга по приготовлению и поставке горячего трехразового питания для лиц содержащихся в ИВС</v>
      </c>
      <c r="G6209" s="22" t="s">
        <v>228</v>
      </c>
      <c r="H6209" s="22" t="s">
        <v>8935</v>
      </c>
      <c r="I6209" s="26">
        <v>43698.691203703696</v>
      </c>
      <c r="J6209" s="23" t="str">
        <f>HYPERLINK("https://www.spark-marketing.ru/Card/Person/979531", "Калгин Юрий Алексеевич")</f>
        <v>Калгин Юрий Алексеевич</v>
      </c>
      <c r="K6209" s="24" t="s">
        <v>8936</v>
      </c>
      <c r="L6209" s="22" t="s">
        <v>10</v>
      </c>
      <c r="M6209" s="28" t="s">
        <v>51</v>
      </c>
      <c r="N6209" s="28" t="s">
        <v>51</v>
      </c>
    </row>
    <row r="6210" spans="1:14" x14ac:dyDescent="0.15">
      <c r="A6210" s="23" t="str">
        <f>HYPERLINK("https://www.spark-marketing.ru/Card/Person/13178", "ГБУЗ ПК ""КПБ №8""")</f>
        <v>ГБУЗ ПК "КПБ №8"</v>
      </c>
      <c r="B6210" s="24" t="s">
        <v>3470</v>
      </c>
      <c r="C6210" s="25">
        <v>1221038</v>
      </c>
      <c r="D6210" s="22" t="s">
        <v>9520</v>
      </c>
      <c r="E6210" s="22" t="s">
        <v>96</v>
      </c>
      <c r="F6210" s="23" t="str">
        <f>HYPERLINK("https://www.spark-marketing.ru/Card/Lot/72953401", "оказание услуг по организации лечебного питания для пациентов ГБУЗ ПК ""КПБ №8""")</f>
        <v>оказание услуг по организации лечебного питания для пациентов ГБУЗ ПК "КПБ №8"</v>
      </c>
      <c r="G6210" s="22" t="s">
        <v>153</v>
      </c>
      <c r="H6210" s="22" t="s">
        <v>153</v>
      </c>
      <c r="I6210" s="26">
        <v>43698.720925925903</v>
      </c>
      <c r="J6210" s="23" t="str">
        <f>HYPERLINK("https://www.spark-marketing.ru/Card/Person/245836", "ООО ""АМЕГА""")</f>
        <v>ООО "АМЕГА"</v>
      </c>
      <c r="K6210" s="24" t="s">
        <v>1841</v>
      </c>
      <c r="L6210" s="22" t="s">
        <v>10</v>
      </c>
      <c r="M6210" s="28" t="s">
        <v>51</v>
      </c>
      <c r="N6210" s="28" t="s">
        <v>51</v>
      </c>
    </row>
    <row r="6211" spans="1:14" x14ac:dyDescent="0.15">
      <c r="A6211" s="23" t="str">
        <f>HYPERLINK("https://www.spark-marketing.ru/Card/Person/81958", "МЕЖМУНИЦИПАЛЬНЫЙ ОТДЕЛ МВД РОССИИ ""ГУБАХИНСКИЙ""")</f>
        <v>МЕЖМУНИЦИПАЛЬНЫЙ ОТДЕЛ МВД РОССИИ "ГУБАХИНСКИЙ"</v>
      </c>
      <c r="B6211" s="24" t="s">
        <v>9521</v>
      </c>
      <c r="C6211" s="25">
        <v>629991.88</v>
      </c>
      <c r="D6211" s="22" t="s">
        <v>9522</v>
      </c>
      <c r="E6211" s="22" t="s">
        <v>48</v>
      </c>
      <c r="F6211" s="23" t="str">
        <f>HYPERLINK("https://www.spark-marketing.ru/Card/Lot/72953638", "Оказание услуг по поставке трехразового горячего питания для лиц, содержащихся в ИВС, лиц, содержащихся в специальном помещении дежурной части для задержанных более трех часов")</f>
        <v>Оказание услуг по поставке трехразового горячего питания для лиц, содержащихся в ИВС, лиц, содержащихся в специальном помещении дежурной части для задержанных более трех часов</v>
      </c>
      <c r="G6211" s="22" t="s">
        <v>153</v>
      </c>
      <c r="H6211" s="22" t="s">
        <v>1752</v>
      </c>
      <c r="I6211" s="26">
        <v>43698.603703703702</v>
      </c>
      <c r="J6211" s="23" t="str">
        <f>HYPERLINK("https://www.spark-marketing.ru/Card/Person/788890", "ООО ""МЕДИЛАЙН""")</f>
        <v>ООО "МЕДИЛАЙН"</v>
      </c>
      <c r="K6211" s="24" t="s">
        <v>3727</v>
      </c>
      <c r="L6211" s="22" t="s">
        <v>10</v>
      </c>
      <c r="M6211" s="28" t="s">
        <v>51</v>
      </c>
      <c r="N6211" s="28" t="s">
        <v>51</v>
      </c>
    </row>
    <row r="6212" spans="1:14" x14ac:dyDescent="0.15">
      <c r="A6212" s="23" t="str">
        <f t="shared" ref="A6212:A6222" si="128">HYPERLINK("https://www.spark-marketing.ru/Card/Person/31104", "ГБУЗ ПК ""ЧЕРДЫНСКАЯ РБ""")</f>
        <v>ГБУЗ ПК "ЧЕРДЫНСКАЯ РБ"</v>
      </c>
      <c r="B6212" s="24" t="s">
        <v>9523</v>
      </c>
      <c r="C6212" s="25">
        <v>321172.34999999998</v>
      </c>
      <c r="D6212" s="22" t="s">
        <v>9524</v>
      </c>
      <c r="E6212" s="22" t="s">
        <v>62</v>
      </c>
      <c r="F6212" s="23" t="str">
        <f t="shared" ref="F6212:F6222" si="129">HYPERLINK("https://www.spark-marketing.ru/Card/Lot/72953364", "Поставка бланочной продукции")</f>
        <v>Поставка бланочной продукции</v>
      </c>
      <c r="G6212" s="22" t="s">
        <v>153</v>
      </c>
      <c r="H6212" s="22" t="s">
        <v>153</v>
      </c>
      <c r="I6212" s="26">
        <v>43698.655138888898</v>
      </c>
      <c r="J6212" s="28" t="s">
        <v>51</v>
      </c>
      <c r="K6212" s="28" t="s">
        <v>51</v>
      </c>
      <c r="L6212" s="28" t="s">
        <v>51</v>
      </c>
      <c r="M6212" s="28" t="s">
        <v>51</v>
      </c>
      <c r="N6212" s="28" t="s">
        <v>51</v>
      </c>
    </row>
    <row r="6213" spans="1:14" hidden="1" outlineLevel="1" x14ac:dyDescent="0.2">
      <c r="A6213" s="23" t="str">
        <f t="shared" si="128"/>
        <v>ГБУЗ ПК "ЧЕРДЫНСКАЯ РБ"</v>
      </c>
      <c r="B6213" s="24" t="s">
        <v>9523</v>
      </c>
      <c r="C6213" s="25">
        <v>321172.34999999998</v>
      </c>
      <c r="D6213" s="22" t="s">
        <v>9524</v>
      </c>
      <c r="E6213" s="22" t="s">
        <v>62</v>
      </c>
      <c r="F6213" s="23" t="str">
        <f t="shared" si="129"/>
        <v>Поставка бланочной продукции</v>
      </c>
      <c r="G6213" s="22" t="s">
        <v>153</v>
      </c>
      <c r="H6213" s="22" t="s">
        <v>153</v>
      </c>
      <c r="I6213" s="26">
        <v>43698.655138888898</v>
      </c>
      <c r="J6213" s="23" t="str">
        <f>HYPERLINK("https://www.spark-marketing.ru/Card/Person/779349", "ООО ""АСФИД""")</f>
        <v>ООО "АСФИД"</v>
      </c>
      <c r="K6213" s="24" t="s">
        <v>9525</v>
      </c>
      <c r="L6213" s="28" t="s">
        <v>51</v>
      </c>
      <c r="M6213" s="25">
        <v>300296.15000000002</v>
      </c>
      <c r="N6213" s="27">
        <v>6.4999991437619087E-2</v>
      </c>
    </row>
    <row r="6214" spans="1:14" hidden="1" outlineLevel="1" x14ac:dyDescent="0.2">
      <c r="A6214" s="23" t="str">
        <f t="shared" si="128"/>
        <v>ГБУЗ ПК "ЧЕРДЫНСКАЯ РБ"</v>
      </c>
      <c r="B6214" s="24" t="s">
        <v>9523</v>
      </c>
      <c r="C6214" s="25">
        <v>321172.34999999998</v>
      </c>
      <c r="D6214" s="22" t="s">
        <v>9524</v>
      </c>
      <c r="E6214" s="22" t="s">
        <v>62</v>
      </c>
      <c r="F6214" s="23" t="str">
        <f t="shared" si="129"/>
        <v>Поставка бланочной продукции</v>
      </c>
      <c r="G6214" s="22" t="s">
        <v>153</v>
      </c>
      <c r="H6214" s="22" t="s">
        <v>153</v>
      </c>
      <c r="I6214" s="26">
        <v>43698.655138888898</v>
      </c>
      <c r="J6214" s="23" t="str">
        <f>HYPERLINK("https://www.spark-marketing.ru/Card/Person/848555", "ООО""ТИПОГРАФИЯ НИЖНЕТАГИЛЬСКАЯ""")</f>
        <v>ООО"ТИПОГРАФИЯ НИЖНЕТАГИЛЬСКАЯ"</v>
      </c>
      <c r="K6214" s="24" t="s">
        <v>9526</v>
      </c>
      <c r="L6214" s="28" t="s">
        <v>51</v>
      </c>
      <c r="M6214" s="25">
        <v>198114.48</v>
      </c>
      <c r="N6214" s="27">
        <v>0.38315213000122833</v>
      </c>
    </row>
    <row r="6215" spans="1:14" hidden="1" outlineLevel="1" x14ac:dyDescent="0.2">
      <c r="A6215" s="23" t="str">
        <f t="shared" si="128"/>
        <v>ГБУЗ ПК "ЧЕРДЫНСКАЯ РБ"</v>
      </c>
      <c r="B6215" s="24" t="s">
        <v>9523</v>
      </c>
      <c r="C6215" s="25">
        <v>321172.34999999998</v>
      </c>
      <c r="D6215" s="22" t="s">
        <v>9524</v>
      </c>
      <c r="E6215" s="22" t="s">
        <v>62</v>
      </c>
      <c r="F6215" s="23" t="str">
        <f t="shared" si="129"/>
        <v>Поставка бланочной продукции</v>
      </c>
      <c r="G6215" s="22" t="s">
        <v>153</v>
      </c>
      <c r="H6215" s="22" t="s">
        <v>153</v>
      </c>
      <c r="I6215" s="26">
        <v>43698.655138888898</v>
      </c>
      <c r="J6215" s="23" t="str">
        <f>HYPERLINK("https://www.spark-marketing.ru/Card/Person/62815", "ООО ""КУНГУРСКАЯ ТИПОГРАФИЯ""")</f>
        <v>ООО "КУНГУРСКАЯ ТИПОГРАФИЯ"</v>
      </c>
      <c r="K6215" s="24" t="s">
        <v>6201</v>
      </c>
      <c r="L6215" s="28" t="s">
        <v>51</v>
      </c>
      <c r="M6215" s="25">
        <v>145337.14000000001</v>
      </c>
      <c r="N6215" s="27">
        <v>0.54747928954656278</v>
      </c>
    </row>
    <row r="6216" spans="1:14" hidden="1" outlineLevel="1" x14ac:dyDescent="0.2">
      <c r="A6216" s="23" t="str">
        <f t="shared" si="128"/>
        <v>ГБУЗ ПК "ЧЕРДЫНСКАЯ РБ"</v>
      </c>
      <c r="B6216" s="24" t="s">
        <v>9523</v>
      </c>
      <c r="C6216" s="25">
        <v>321172.34999999998</v>
      </c>
      <c r="D6216" s="22" t="s">
        <v>9524</v>
      </c>
      <c r="E6216" s="22" t="s">
        <v>62</v>
      </c>
      <c r="F6216" s="23" t="str">
        <f t="shared" si="129"/>
        <v>Поставка бланочной продукции</v>
      </c>
      <c r="G6216" s="22" t="s">
        <v>153</v>
      </c>
      <c r="H6216" s="22" t="s">
        <v>153</v>
      </c>
      <c r="I6216" s="26">
        <v>43698.655138888898</v>
      </c>
      <c r="J6216" s="23" t="str">
        <f>HYPERLINK("https://www.spark-marketing.ru/Card/Person/6421268", "Головатый Александр Николаевич")</f>
        <v>Головатый Александр Николаевич</v>
      </c>
      <c r="K6216" s="24" t="s">
        <v>5206</v>
      </c>
      <c r="L6216" s="28" t="s">
        <v>51</v>
      </c>
      <c r="M6216" s="25">
        <v>138429</v>
      </c>
      <c r="N6216" s="27">
        <v>0.5689884263075573</v>
      </c>
    </row>
    <row r="6217" spans="1:14" hidden="1" outlineLevel="1" x14ac:dyDescent="0.2">
      <c r="A6217" s="23" t="str">
        <f t="shared" si="128"/>
        <v>ГБУЗ ПК "ЧЕРДЫНСКАЯ РБ"</v>
      </c>
      <c r="B6217" s="24" t="s">
        <v>9523</v>
      </c>
      <c r="C6217" s="25">
        <v>321172.34999999998</v>
      </c>
      <c r="D6217" s="22" t="s">
        <v>9524</v>
      </c>
      <c r="E6217" s="22" t="s">
        <v>62</v>
      </c>
      <c r="F6217" s="23" t="str">
        <f t="shared" si="129"/>
        <v>Поставка бланочной продукции</v>
      </c>
      <c r="G6217" s="22" t="s">
        <v>153</v>
      </c>
      <c r="H6217" s="22" t="s">
        <v>153</v>
      </c>
      <c r="I6217" s="26">
        <v>43698.655138888898</v>
      </c>
      <c r="J6217" s="23" t="str">
        <f>HYPERLINK("https://www.spark-marketing.ru/Card/Person/64428", "ООО ""ГИЛЬДИЯ МАСТЕРОВ""")</f>
        <v>ООО "ГИЛЬДИЯ МАСТЕРОВ"</v>
      </c>
      <c r="K6217" s="24" t="s">
        <v>9527</v>
      </c>
      <c r="L6217" s="28" t="s">
        <v>51</v>
      </c>
      <c r="M6217" s="25">
        <v>104888</v>
      </c>
      <c r="N6217" s="27">
        <v>0.67342145113052232</v>
      </c>
    </row>
    <row r="6218" spans="1:14" hidden="1" outlineLevel="1" x14ac:dyDescent="0.2">
      <c r="A6218" s="23" t="str">
        <f t="shared" si="128"/>
        <v>ГБУЗ ПК "ЧЕРДЫНСКАЯ РБ"</v>
      </c>
      <c r="B6218" s="24" t="s">
        <v>9523</v>
      </c>
      <c r="C6218" s="25">
        <v>321172.34999999998</v>
      </c>
      <c r="D6218" s="22" t="s">
        <v>9524</v>
      </c>
      <c r="E6218" s="22" t="s">
        <v>62</v>
      </c>
      <c r="F6218" s="23" t="str">
        <f t="shared" si="129"/>
        <v>Поставка бланочной продукции</v>
      </c>
      <c r="G6218" s="22" t="s">
        <v>153</v>
      </c>
      <c r="H6218" s="22" t="s">
        <v>153</v>
      </c>
      <c r="I6218" s="26">
        <v>43698.655138888898</v>
      </c>
      <c r="J6218" s="23" t="str">
        <f>HYPERLINK("https://www.spark-marketing.ru/Card/Person/497064", "ООО ИПК ""АВАНТА-ПРИНТ""")</f>
        <v>ООО ИПК "АВАНТА-ПРИНТ"</v>
      </c>
      <c r="K6218" s="24" t="s">
        <v>6192</v>
      </c>
      <c r="L6218" s="28" t="s">
        <v>51</v>
      </c>
      <c r="M6218" s="25">
        <v>140034.94</v>
      </c>
      <c r="N6218" s="27">
        <v>0.56398818266890038</v>
      </c>
    </row>
    <row r="6219" spans="1:14" hidden="1" outlineLevel="1" x14ac:dyDescent="0.2">
      <c r="A6219" s="23" t="str">
        <f t="shared" si="128"/>
        <v>ГБУЗ ПК "ЧЕРДЫНСКАЯ РБ"</v>
      </c>
      <c r="B6219" s="24" t="s">
        <v>9523</v>
      </c>
      <c r="C6219" s="25">
        <v>321172.34999999998</v>
      </c>
      <c r="D6219" s="22" t="s">
        <v>9524</v>
      </c>
      <c r="E6219" s="22" t="s">
        <v>62</v>
      </c>
      <c r="F6219" s="23" t="str">
        <f t="shared" si="129"/>
        <v>Поставка бланочной продукции</v>
      </c>
      <c r="G6219" s="22" t="s">
        <v>153</v>
      </c>
      <c r="H6219" s="22" t="s">
        <v>153</v>
      </c>
      <c r="I6219" s="26">
        <v>43698.655138888898</v>
      </c>
      <c r="J6219" s="23" t="str">
        <f>HYPERLINK("https://www.spark-marketing.ru/Card/Person/305591", "Коробченко Сергей Иванович")</f>
        <v>Коробченко Сергей Иванович</v>
      </c>
      <c r="K6219" s="24" t="s">
        <v>6202</v>
      </c>
      <c r="L6219" s="28" t="s">
        <v>51</v>
      </c>
      <c r="M6219" s="25">
        <v>98394.14</v>
      </c>
      <c r="N6219" s="27">
        <v>0.6936406885586508</v>
      </c>
    </row>
    <row r="6220" spans="1:14" ht="12.75" hidden="1" outlineLevel="1" x14ac:dyDescent="0.2">
      <c r="A6220" s="23" t="str">
        <f t="shared" si="128"/>
        <v>ГБУЗ ПК "ЧЕРДЫНСКАЯ РБ"</v>
      </c>
      <c r="B6220" s="24" t="s">
        <v>9523</v>
      </c>
      <c r="C6220" s="25">
        <v>321172.34999999998</v>
      </c>
      <c r="D6220" s="22" t="s">
        <v>9524</v>
      </c>
      <c r="E6220" s="22" t="s">
        <v>62</v>
      </c>
      <c r="F6220" s="23" t="str">
        <f t="shared" si="129"/>
        <v>Поставка бланочной продукции</v>
      </c>
      <c r="G6220" s="22" t="s">
        <v>153</v>
      </c>
      <c r="H6220" s="22" t="s">
        <v>153</v>
      </c>
      <c r="I6220" s="26">
        <v>43698.655138888898</v>
      </c>
      <c r="J6220" s="23" t="str">
        <f>HYPERLINK("https://www.spark-marketing.ru/Card/Person/357921", "ООО ""ИД ""ТИПОГРАФИЯ КУПЦА ТАРАСОВА""")</f>
        <v>ООО "ИД "ТИПОГРАФИЯ КУПЦА ТАРАСОВА"</v>
      </c>
      <c r="K6220" s="24" t="s">
        <v>9528</v>
      </c>
      <c r="L6220" s="22" t="s">
        <v>10</v>
      </c>
      <c r="M6220" s="25">
        <v>96780</v>
      </c>
      <c r="N6220" s="27">
        <v>0.6986664636603992</v>
      </c>
    </row>
    <row r="6221" spans="1:14" hidden="1" outlineLevel="1" x14ac:dyDescent="0.2">
      <c r="A6221" s="23" t="str">
        <f t="shared" si="128"/>
        <v>ГБУЗ ПК "ЧЕРДЫНСКАЯ РБ"</v>
      </c>
      <c r="B6221" s="24" t="s">
        <v>9523</v>
      </c>
      <c r="C6221" s="25">
        <v>321172.34999999998</v>
      </c>
      <c r="D6221" s="22" t="s">
        <v>9524</v>
      </c>
      <c r="E6221" s="22" t="s">
        <v>62</v>
      </c>
      <c r="F6221" s="23" t="str">
        <f t="shared" si="129"/>
        <v>Поставка бланочной продукции</v>
      </c>
      <c r="G6221" s="22" t="s">
        <v>153</v>
      </c>
      <c r="H6221" s="22" t="s">
        <v>153</v>
      </c>
      <c r="I6221" s="26">
        <v>43698.655138888898</v>
      </c>
      <c r="J6221" s="23" t="str">
        <f>HYPERLINK("https://www.spark-marketing.ru/Card/Person/313171", "ООО ""ЦЕНТР ПЕЧАТИ""")</f>
        <v>ООО "ЦЕНТР ПЕЧАТИ"</v>
      </c>
      <c r="K6221" s="24" t="s">
        <v>6204</v>
      </c>
      <c r="L6221" s="28" t="s">
        <v>51</v>
      </c>
      <c r="M6221" s="25">
        <v>103250</v>
      </c>
      <c r="N6221" s="27">
        <v>0.67852151656268045</v>
      </c>
    </row>
    <row r="6222" spans="1:14" hidden="1" outlineLevel="1" x14ac:dyDescent="0.2">
      <c r="A6222" s="23" t="str">
        <f t="shared" si="128"/>
        <v>ГБУЗ ПК "ЧЕРДЫНСКАЯ РБ"</v>
      </c>
      <c r="B6222" s="24" t="s">
        <v>9523</v>
      </c>
      <c r="C6222" s="25">
        <v>321172.34999999998</v>
      </c>
      <c r="D6222" s="22" t="s">
        <v>9524</v>
      </c>
      <c r="E6222" s="22" t="s">
        <v>62</v>
      </c>
      <c r="F6222" s="23" t="str">
        <f t="shared" si="129"/>
        <v>Поставка бланочной продукции</v>
      </c>
      <c r="G6222" s="22" t="s">
        <v>153</v>
      </c>
      <c r="H6222" s="22" t="s">
        <v>153</v>
      </c>
      <c r="I6222" s="26">
        <v>43698.655138888898</v>
      </c>
      <c r="J6222" s="23" t="str">
        <f>HYPERLINK("https://www.spark-marketing.ru/Card/Person/183917", "ООО ""КАНЦТОВАРЫ""")</f>
        <v>ООО "КАНЦТОВАРЫ"</v>
      </c>
      <c r="K6222" s="24" t="s">
        <v>6208</v>
      </c>
      <c r="L6222" s="28" t="s">
        <v>51</v>
      </c>
      <c r="M6222" s="25">
        <v>207000</v>
      </c>
      <c r="N6222" s="27">
        <v>0.35548623659539808</v>
      </c>
    </row>
    <row r="6223" spans="1:14" x14ac:dyDescent="0.15">
      <c r="A6223" s="23" t="str">
        <f>HYPERLINK("https://www.spark-marketing.ru/Card/Person/1041228", "МБОУ СОШ № 67")</f>
        <v>МБОУ СОШ № 67</v>
      </c>
      <c r="B6223" s="24" t="s">
        <v>9529</v>
      </c>
      <c r="C6223" s="25">
        <v>598980</v>
      </c>
      <c r="D6223" s="22" t="s">
        <v>9530</v>
      </c>
      <c r="E6223" s="22" t="s">
        <v>48</v>
      </c>
      <c r="F6223" s="23" t="str">
        <f>HYPERLINK("https://www.spark-marketing.ru/Card/Lot/72953913", "Оказание услуг по организации горячего питания детей МБОУ СОШ №67 из многодетных и малообеспеченных семей")</f>
        <v>Оказание услуг по организации горячего питания детей МБОУ СОШ №67 из многодетных и малообеспеченных семей</v>
      </c>
      <c r="G6223" s="22" t="s">
        <v>195</v>
      </c>
      <c r="H6223" s="22" t="s">
        <v>196</v>
      </c>
      <c r="I6223" s="26">
        <v>43699.322222222203</v>
      </c>
      <c r="J6223" s="28" t="s">
        <v>51</v>
      </c>
      <c r="K6223" s="28" t="s">
        <v>51</v>
      </c>
      <c r="L6223" s="28" t="s">
        <v>51</v>
      </c>
      <c r="M6223" s="28" t="s">
        <v>51</v>
      </c>
      <c r="N6223" s="28" t="s">
        <v>51</v>
      </c>
    </row>
    <row r="6224" spans="1:14" x14ac:dyDescent="0.15">
      <c r="A6224" s="23" t="str">
        <f>HYPERLINK("https://www.spark-marketing.ru/Card/Person/234049", "ОТДЕЛ МВД РОССИИ ПО ИШИМБАЙСКОМУ РАЙОНУ")</f>
        <v>ОТДЕЛ МВД РОССИИ ПО ИШИМБАЙСКОМУ РАЙОНУ</v>
      </c>
      <c r="B6224" s="24" t="s">
        <v>3454</v>
      </c>
      <c r="C6224" s="25">
        <v>40000</v>
      </c>
      <c r="D6224" s="22" t="s">
        <v>9531</v>
      </c>
      <c r="E6224" s="22" t="s">
        <v>48</v>
      </c>
      <c r="F6224" s="23" t="str">
        <f>HYPERLINK("https://www.spark-marketing.ru/Card/Lot/72953113",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224" s="22" t="s">
        <v>145</v>
      </c>
      <c r="H6224" s="22" t="s">
        <v>146</v>
      </c>
      <c r="I6224" s="26">
        <v>43699.304768518501</v>
      </c>
      <c r="J6224" s="28" t="s">
        <v>51</v>
      </c>
      <c r="K6224" s="28" t="s">
        <v>51</v>
      </c>
      <c r="L6224" s="28" t="s">
        <v>51</v>
      </c>
      <c r="M6224" s="28" t="s">
        <v>51</v>
      </c>
      <c r="N6224" s="28" t="s">
        <v>51</v>
      </c>
    </row>
    <row r="6225" spans="1:14" x14ac:dyDescent="0.15">
      <c r="A6225" s="23" t="str">
        <f>HYPERLINK("https://www.spark-marketing.ru/Card/Person/1084278", "МО МВД РОССИИ ""ПАРАБЕЛЬСКОЕ"" УМВД РОССИИ ПО ТОМСКОЙ ОБЛАСТИ")</f>
        <v>МО МВД РОССИИ "ПАРАБЕЛЬСКОЕ" УМВД РОССИИ ПО ТОМСКОЙ ОБЛАСТИ</v>
      </c>
      <c r="B6225" s="24" t="s">
        <v>9532</v>
      </c>
      <c r="C6225" s="25">
        <v>164100</v>
      </c>
      <c r="D6225" s="22" t="s">
        <v>9533</v>
      </c>
      <c r="E6225" s="22" t="s">
        <v>48</v>
      </c>
      <c r="F6225" s="23" t="str">
        <f>HYPERLINK("https://www.spark-marketing.ru/Card/Lot/72950880", "Организация услуг питания, 1641 усл. ед")</f>
        <v>Организация услуг питания, 1641 усл. ед</v>
      </c>
      <c r="G6225" s="22" t="s">
        <v>149</v>
      </c>
      <c r="H6225" s="22" t="s">
        <v>9534</v>
      </c>
      <c r="I6225" s="26">
        <v>43699.2128703704</v>
      </c>
      <c r="J6225" s="28" t="s">
        <v>51</v>
      </c>
      <c r="K6225" s="28" t="s">
        <v>51</v>
      </c>
      <c r="L6225" s="28" t="s">
        <v>51</v>
      </c>
      <c r="M6225" s="28" t="s">
        <v>51</v>
      </c>
      <c r="N6225" s="28" t="s">
        <v>51</v>
      </c>
    </row>
    <row r="6226" spans="1:14" x14ac:dyDescent="0.15">
      <c r="A6226" s="23" t="str">
        <f>HYPERLINK("https://www.spark-marketing.ru/Card/Person/1084278", "МО МВД РОССИИ ""ПАРАБЕЛЬСКОЕ"" УМВД РОССИИ ПО ТОМСКОЙ ОБЛАСТИ")</f>
        <v>МО МВД РОССИИ "ПАРАБЕЛЬСКОЕ" УМВД РОССИИ ПО ТОМСКОЙ ОБЛАСТИ</v>
      </c>
      <c r="B6226" s="24" t="s">
        <v>9532</v>
      </c>
      <c r="C6226" s="25">
        <v>67507.02</v>
      </c>
      <c r="D6226" s="22" t="s">
        <v>9535</v>
      </c>
      <c r="E6226" s="22" t="s">
        <v>96</v>
      </c>
      <c r="F6226" s="23" t="str">
        <f>HYPERLINK("https://www.spark-marketing.ru/Card/Lot/72950966", "Оказание услуг по организации питания (приготовлению и доставке), 147 шт")</f>
        <v>Оказание услуг по организации питания (приготовлению и доставке), 147 шт</v>
      </c>
      <c r="G6226" s="22" t="s">
        <v>149</v>
      </c>
      <c r="H6226" s="22" t="s">
        <v>9536</v>
      </c>
      <c r="I6226" s="26">
        <v>43699.222777777803</v>
      </c>
      <c r="J6226" s="28" t="s">
        <v>51</v>
      </c>
      <c r="K6226" s="28" t="s">
        <v>51</v>
      </c>
      <c r="L6226" s="28" t="s">
        <v>51</v>
      </c>
      <c r="M6226" s="28" t="s">
        <v>51</v>
      </c>
      <c r="N6226" s="28" t="s">
        <v>51</v>
      </c>
    </row>
    <row r="6227" spans="1:14" x14ac:dyDescent="0.15">
      <c r="A6227" s="23" t="str">
        <f>HYPERLINK("https://www.spark-marketing.ru/Card/Person/1084278", "МО МВД РОССИИ ""ПАРАБЕЛЬСКОЕ"" УМВД РОССИИ ПО ТОМСКОЙ ОБЛАСТИ")</f>
        <v>МО МВД РОССИИ "ПАРАБЕЛЬСКОЕ" УМВД РОССИИ ПО ТОМСКОЙ ОБЛАСТИ</v>
      </c>
      <c r="B6227" s="24" t="s">
        <v>9532</v>
      </c>
      <c r="C6227" s="25">
        <v>164100</v>
      </c>
      <c r="D6227" s="22" t="s">
        <v>9537</v>
      </c>
      <c r="E6227" s="22" t="s">
        <v>48</v>
      </c>
      <c r="F6227" s="23" t="str">
        <f>HYPERLINK("https://www.spark-marketing.ru/Card/Lot/72951002", "Организация услуг питания, 1641 усл. ед")</f>
        <v>Организация услуг питания, 1641 усл. ед</v>
      </c>
      <c r="G6227" s="22" t="s">
        <v>149</v>
      </c>
      <c r="H6227" s="22" t="s">
        <v>9534</v>
      </c>
      <c r="I6227" s="26">
        <v>43699.210335648102</v>
      </c>
      <c r="J6227" s="28" t="s">
        <v>51</v>
      </c>
      <c r="K6227" s="28" t="s">
        <v>51</v>
      </c>
      <c r="L6227" s="28" t="s">
        <v>51</v>
      </c>
      <c r="M6227" s="28" t="s">
        <v>51</v>
      </c>
      <c r="N6227" s="28" t="s">
        <v>51</v>
      </c>
    </row>
    <row r="6228" spans="1:14" x14ac:dyDescent="0.15">
      <c r="A6228" s="23" t="str">
        <f>HYPERLINK("https://www.spark-marketing.ru/Card/Person/71328", "МО МВД РОССИИ ""СЛАВГОРОДСКИЙ""")</f>
        <v>МО МВД РОССИИ "СЛАВГОРОДСКИЙ"</v>
      </c>
      <c r="B6228" s="24" t="s">
        <v>8030</v>
      </c>
      <c r="C6228" s="25">
        <v>40000</v>
      </c>
      <c r="D6228" s="22" t="s">
        <v>9538</v>
      </c>
      <c r="E6228" s="22" t="s">
        <v>48</v>
      </c>
      <c r="F6228" s="23" t="str">
        <f>HYPERLINK("https://www.spark-marketing.ru/Card/Lot/72952768", "Оказание услуг по организации питания (приготовлению и доставке) для ИВС, 160 усл. ед")</f>
        <v>Оказание услуг по организации питания (приготовлению и доставке) для ИВС, 160 усл. ед</v>
      </c>
      <c r="G6228" s="22" t="s">
        <v>63</v>
      </c>
      <c r="H6228" s="22" t="s">
        <v>6594</v>
      </c>
      <c r="I6228" s="26">
        <v>43699.229722222197</v>
      </c>
      <c r="J6228" s="28" t="s">
        <v>51</v>
      </c>
      <c r="K6228" s="28" t="s">
        <v>51</v>
      </c>
      <c r="L6228" s="28" t="s">
        <v>51</v>
      </c>
      <c r="M6228" s="28" t="s">
        <v>51</v>
      </c>
      <c r="N6228" s="28" t="s">
        <v>51</v>
      </c>
    </row>
    <row r="6229" spans="1:14" x14ac:dyDescent="0.15">
      <c r="A6229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6229" s="24" t="s">
        <v>3255</v>
      </c>
      <c r="C6229" s="25">
        <v>13501.5</v>
      </c>
      <c r="D6229" s="22" t="s">
        <v>9539</v>
      </c>
      <c r="E6229" s="22" t="s">
        <v>9540</v>
      </c>
      <c r="F6229" s="23" t="str">
        <f>HYPERLINK("https://www.spark-marketing.ru/Card/Lot/72950849", "Поставка лекарственного препарата для медицинского применения ""Зопиклон""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про...")</f>
        <v>Поставка лекарственного препарата для медицинского применения "Зопиклон"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про...</v>
      </c>
      <c r="G6229" s="22" t="s">
        <v>210</v>
      </c>
      <c r="H6229" s="22" t="s">
        <v>3257</v>
      </c>
      <c r="I6229" s="26">
        <v>43699.190277777801</v>
      </c>
      <c r="J6229" s="28" t="s">
        <v>51</v>
      </c>
      <c r="K6229" s="28" t="s">
        <v>51</v>
      </c>
      <c r="L6229" s="28" t="s">
        <v>51</v>
      </c>
      <c r="M6229" s="28" t="s">
        <v>51</v>
      </c>
      <c r="N6229" s="28" t="s">
        <v>51</v>
      </c>
    </row>
    <row r="6230" spans="1:14" x14ac:dyDescent="0.15">
      <c r="A6230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6230" s="24" t="s">
        <v>3255</v>
      </c>
      <c r="C6230" s="25">
        <v>106271.08</v>
      </c>
      <c r="D6230" s="22" t="s">
        <v>9541</v>
      </c>
      <c r="E6230" s="22" t="s">
        <v>9540</v>
      </c>
      <c r="F6230" s="23" t="str">
        <f>HYPERLINK("https://www.spark-marketing.ru/Card/Lot/72950845", "Поставка лекарственных препаратов для медицинского применения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лечеб...")</f>
        <v>Поставка лекарственных препаратов для медицинского применения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лечеб...</v>
      </c>
      <c r="G6230" s="22" t="s">
        <v>210</v>
      </c>
      <c r="H6230" s="22" t="s">
        <v>3257</v>
      </c>
      <c r="I6230" s="26">
        <v>43699.182638888902</v>
      </c>
      <c r="J6230" s="28" t="s">
        <v>51</v>
      </c>
      <c r="K6230" s="28" t="s">
        <v>51</v>
      </c>
      <c r="L6230" s="28" t="s">
        <v>51</v>
      </c>
      <c r="M6230" s="28" t="s">
        <v>51</v>
      </c>
      <c r="N6230" s="28" t="s">
        <v>51</v>
      </c>
    </row>
    <row r="6231" spans="1:14" x14ac:dyDescent="0.15">
      <c r="A6231" s="23" t="str">
        <f>HYPERLINK("https://www.spark-marketing.ru/Card/Person/540172", "ОГАУ ""ФК ""САХАЛИН""")</f>
        <v>ОГАУ "ФК "САХАЛИН"</v>
      </c>
      <c r="B6231" s="24" t="s">
        <v>1416</v>
      </c>
      <c r="C6231" s="25">
        <v>130450</v>
      </c>
      <c r="D6231" s="22" t="s">
        <v>9542</v>
      </c>
      <c r="E6231" s="22" t="s">
        <v>1210</v>
      </c>
      <c r="F6231" s="23" t="str">
        <f>HYPERLINK("https://www.spark-marketing.ru/Card/Lot/72954621", "Оказание услуг по организации проживания и питания")</f>
        <v>Оказание услуг по организации проживания и питания</v>
      </c>
      <c r="G6231" s="22" t="s">
        <v>260</v>
      </c>
      <c r="H6231" s="22" t="s">
        <v>260</v>
      </c>
      <c r="I6231" s="26">
        <v>43699</v>
      </c>
      <c r="J6231" s="28" t="s">
        <v>51</v>
      </c>
      <c r="K6231" s="28" t="s">
        <v>51</v>
      </c>
      <c r="L6231" s="28" t="s">
        <v>51</v>
      </c>
      <c r="M6231" s="28" t="s">
        <v>51</v>
      </c>
      <c r="N6231" s="28" t="s">
        <v>51</v>
      </c>
    </row>
    <row r="6232" spans="1:14" x14ac:dyDescent="0.2">
      <c r="A6232" s="23" t="str">
        <f>HYPERLINK("https://www.spark-marketing.ru/Card/Person/109337", "ФГБУ ""АМП ЧЕРНОГО МОРЯ""")</f>
        <v>ФГБУ "АМП ЧЕРНОГО МОРЯ"</v>
      </c>
      <c r="B6232" s="24" t="s">
        <v>9543</v>
      </c>
      <c r="C6232" s="25">
        <v>120000</v>
      </c>
      <c r="D6232" s="22" t="s">
        <v>9544</v>
      </c>
      <c r="E6232" s="22" t="s">
        <v>2265</v>
      </c>
      <c r="F6232" s="23" t="str">
        <f>HYPERLINK("https://www.spark-marketing.ru/Card/Lot/72959232", "Оказание услуг питания для участников встречи министров транспорта России, Азербайджана, Ирана")</f>
        <v>Оказание услуг питания для участников встречи министров транспорта России, Азербайджана, Ирана</v>
      </c>
      <c r="G6232" s="22" t="s">
        <v>104</v>
      </c>
      <c r="H6232" s="22" t="s">
        <v>104</v>
      </c>
      <c r="I6232" s="26">
        <v>43699</v>
      </c>
      <c r="J6232" s="28" t="s">
        <v>51</v>
      </c>
      <c r="K6232" s="28" t="s">
        <v>51</v>
      </c>
      <c r="L6232" s="28" t="s">
        <v>51</v>
      </c>
      <c r="M6232" s="25">
        <v>120000</v>
      </c>
      <c r="N6232" s="27">
        <v>0</v>
      </c>
    </row>
    <row r="6233" spans="1:14" x14ac:dyDescent="0.2">
      <c r="A6233" s="23" t="str">
        <f>HYPERLINK("https://www.spark-marketing.ru/Card/Person/71654", "АО ""КРАСНЫЙ ГИДРОПРЕСС""")</f>
        <v>АО "КРАСНЫЙ ГИДРОПРЕСС"</v>
      </c>
      <c r="B6233" s="24" t="s">
        <v>9545</v>
      </c>
      <c r="C6233" s="25">
        <v>104673</v>
      </c>
      <c r="D6233" s="22" t="s">
        <v>9546</v>
      </c>
      <c r="E6233" s="22" t="s">
        <v>580</v>
      </c>
      <c r="F6233" s="23" t="str">
        <f>HYPERLINK("https://www.spark-marketing.ru/Card/Lot/72907388", "Услуги по организации питания")</f>
        <v>Услуги по организации питания</v>
      </c>
      <c r="G6233" s="22" t="s">
        <v>267</v>
      </c>
      <c r="H6233" s="22" t="s">
        <v>267</v>
      </c>
      <c r="I6233" s="26">
        <v>43697</v>
      </c>
      <c r="J6233" s="28" t="s">
        <v>51</v>
      </c>
      <c r="K6233" s="28" t="s">
        <v>51</v>
      </c>
      <c r="L6233" s="22" t="s">
        <v>10</v>
      </c>
      <c r="M6233" s="25">
        <v>104673</v>
      </c>
      <c r="N6233" s="27">
        <v>0</v>
      </c>
    </row>
    <row r="6234" spans="1:14" x14ac:dyDescent="0.2">
      <c r="A6234" s="23" t="str">
        <f>HYPERLINK("https://www.spark-marketing.ru/Card/Person/1029924", "МАУ ЦЕНТР ""ВОЛГАРЁНОК"" Г.О. САМАРА")</f>
        <v>МАУ ЦЕНТР "ВОЛГАРЁНОК" Г.О. САМАРА</v>
      </c>
      <c r="B6234" s="24" t="s">
        <v>9547</v>
      </c>
      <c r="C6234" s="25">
        <v>511070</v>
      </c>
      <c r="D6234" s="22" t="s">
        <v>9548</v>
      </c>
      <c r="E6234" s="22" t="s">
        <v>362</v>
      </c>
      <c r="F6234" s="23" t="str">
        <f>HYPERLINK("https://www.spark-marketing.ru/Card/Lot/73013412", "услуги по организации горячего питания детей и сотрудников в период 7 смены")</f>
        <v>услуги по организации горячего питания детей и сотрудников в период 7 смены</v>
      </c>
      <c r="G6234" s="22" t="s">
        <v>128</v>
      </c>
      <c r="H6234" s="22" t="s">
        <v>128</v>
      </c>
      <c r="I6234" s="26">
        <v>43703</v>
      </c>
      <c r="J6234" s="28" t="s">
        <v>51</v>
      </c>
      <c r="K6234" s="28" t="s">
        <v>51</v>
      </c>
      <c r="L6234" s="22" t="s">
        <v>10</v>
      </c>
      <c r="M6234" s="25">
        <v>511070</v>
      </c>
      <c r="N6234" s="27">
        <v>0</v>
      </c>
    </row>
    <row r="6235" spans="1:14" x14ac:dyDescent="0.2">
      <c r="A6235" s="23" t="str">
        <f>HYPERLINK("https://www.spark-marketing.ru/Card/Person/142517", "МАОУ СОШ № 3 ИМЕНИ ГЕРОЯ РОССИИ СЕРГЕЯ РОМАШИНА Г. ЮЖНО-САХАЛИНСКА")</f>
        <v>МАОУ СОШ № 3 ИМЕНИ ГЕРОЯ РОССИИ СЕРГЕЯ РОМАШИНА Г. ЮЖНО-САХАЛИНСКА</v>
      </c>
      <c r="B6235" s="24" t="s">
        <v>963</v>
      </c>
      <c r="C6235" s="25">
        <v>1942990.9</v>
      </c>
      <c r="D6235" s="22" t="s">
        <v>9549</v>
      </c>
      <c r="E6235" s="22" t="s">
        <v>580</v>
      </c>
      <c r="F6235" s="23" t="str">
        <f>HYPERLINK("https://www.spark-marketing.ru/Card/Lot/72961821", "Услуги по организации питания обучающихся осваивающих образовательную программу начального общего образования, обучающиеся из малоимущих семей, семей, находящихся в социально опасном положении, семей коренных и малочисленных народов Севера Сахалинско...")</f>
        <v>Услуги по организации питания обучающихся осваивающих образовательную программу начального общего образования, обучающиеся из малоимущих семей, семей, находящихся в социально опасном положении, семей коренных и малочисленных народов Севера Сахалинско...</v>
      </c>
      <c r="G6235" s="22" t="s">
        <v>260</v>
      </c>
      <c r="H6235" s="22" t="s">
        <v>260</v>
      </c>
      <c r="I6235" s="26">
        <v>43699</v>
      </c>
      <c r="J6235" s="28" t="s">
        <v>51</v>
      </c>
      <c r="K6235" s="28" t="s">
        <v>51</v>
      </c>
      <c r="L6235" s="28" t="s">
        <v>51</v>
      </c>
      <c r="M6235" s="25">
        <v>1942990.9</v>
      </c>
      <c r="N6235" s="27">
        <v>0</v>
      </c>
    </row>
    <row r="6236" spans="1:14" x14ac:dyDescent="0.15">
      <c r="A6236" s="23" t="str">
        <f>HYPERLINK("https://www.spark-marketing.ru/Card/Person/441650", "ГАУК РО ""РОСТГОСФИЛАРМОНИЯ""")</f>
        <v>ГАУК РО "РОСТГОСФИЛАРМОНИЯ"</v>
      </c>
      <c r="B6236" s="24" t="s">
        <v>9550</v>
      </c>
      <c r="C6236" s="25">
        <v>360900</v>
      </c>
      <c r="D6236" s="22" t="s">
        <v>9551</v>
      </c>
      <c r="E6236" s="22" t="s">
        <v>562</v>
      </c>
      <c r="F6236" s="23" t="str">
        <f>HYPERLINK("https://www.spark-marketing.ru/Card/Lot/72969839", "Услуги по организации питания")</f>
        <v>Услуги по организации питания</v>
      </c>
      <c r="G6236" s="22" t="s">
        <v>267</v>
      </c>
      <c r="H6236" s="22" t="s">
        <v>267</v>
      </c>
      <c r="I6236" s="26">
        <v>43699</v>
      </c>
      <c r="J6236" s="28" t="s">
        <v>51</v>
      </c>
      <c r="K6236" s="28" t="s">
        <v>51</v>
      </c>
      <c r="L6236" s="28" t="s">
        <v>51</v>
      </c>
      <c r="M6236" s="28" t="s">
        <v>51</v>
      </c>
      <c r="N6236" s="28" t="s">
        <v>51</v>
      </c>
    </row>
    <row r="6237" spans="1:14" x14ac:dyDescent="0.2">
      <c r="A6237" s="23" t="str">
        <f>HYPERLINK("https://www.spark-marketing.ru/Card/Person/1759183", "МАУ ""ДВОРЕЦ СПОРТА""")</f>
        <v>МАУ "ДВОРЕЦ СПОРТА"</v>
      </c>
      <c r="B6237" s="24" t="s">
        <v>9552</v>
      </c>
      <c r="C6237" s="25">
        <v>452200</v>
      </c>
      <c r="D6237" s="22" t="s">
        <v>9553</v>
      </c>
      <c r="E6237" s="22" t="s">
        <v>769</v>
      </c>
      <c r="F6237" s="23" t="str">
        <f>HYPERLINK("https://www.spark-marketing.ru/Card/Lot/72961961", "Оказание услуг по проживанию и питанию спортсменов")</f>
        <v>Оказание услуг по проживанию и питанию спортсменов</v>
      </c>
      <c r="G6237" s="22" t="s">
        <v>97</v>
      </c>
      <c r="H6237" s="22" t="s">
        <v>97</v>
      </c>
      <c r="I6237" s="26">
        <v>43699</v>
      </c>
      <c r="J6237" s="28" t="s">
        <v>51</v>
      </c>
      <c r="K6237" s="28" t="s">
        <v>51</v>
      </c>
      <c r="L6237" s="28" t="s">
        <v>51</v>
      </c>
      <c r="M6237" s="25">
        <v>452200</v>
      </c>
      <c r="N6237" s="27">
        <v>0</v>
      </c>
    </row>
    <row r="6238" spans="1:14" x14ac:dyDescent="0.15">
      <c r="A6238" s="23" t="str">
        <f>HYPERLINK("https://www.spark-marketing.ru/Card/Person/1291982", "МАУ Г.О. САМАРА ""ОЛИМП""")</f>
        <v>МАУ Г.О. САМАРА "ОЛИМП"</v>
      </c>
      <c r="B6238" s="24" t="s">
        <v>9554</v>
      </c>
      <c r="C6238" s="25">
        <v>105318</v>
      </c>
      <c r="D6238" s="22" t="s">
        <v>9555</v>
      </c>
      <c r="E6238" s="22" t="s">
        <v>580</v>
      </c>
      <c r="F6238" s="23" t="str">
        <f>HYPERLINK("https://www.spark-marketing.ru/Card/Lot/72979063", "Услуги по организации питания во время проведения летней-оздоровительной кампании (7 смена)")</f>
        <v>Услуги по организации питания во время проведения летней-оздоровительной кампании (7 смена)</v>
      </c>
      <c r="G6238" s="22" t="s">
        <v>128</v>
      </c>
      <c r="H6238" s="22" t="s">
        <v>128</v>
      </c>
      <c r="I6238" s="26">
        <v>43699</v>
      </c>
      <c r="J6238" s="28" t="s">
        <v>51</v>
      </c>
      <c r="K6238" s="28" t="s">
        <v>51</v>
      </c>
      <c r="L6238" s="28" t="s">
        <v>51</v>
      </c>
      <c r="M6238" s="28" t="s">
        <v>51</v>
      </c>
      <c r="N6238" s="28" t="s">
        <v>51</v>
      </c>
    </row>
    <row r="6239" spans="1:14" x14ac:dyDescent="0.2">
      <c r="A6239" s="23" t="str">
        <f>HYPERLINK("https://www.spark-marketing.ru/Card/Person/142517", "МАОУ СОШ № 3 ИМЕНИ ГЕРОЯ РОССИИ СЕРГЕЯ РОМАШИНА Г. ЮЖНО-САХАЛИНСКА")</f>
        <v>МАОУ СОШ № 3 ИМЕНИ ГЕРОЯ РОССИИ СЕРГЕЯ РОМАШИНА Г. ЮЖНО-САХАЛИНСКА</v>
      </c>
      <c r="B6239" s="24" t="s">
        <v>963</v>
      </c>
      <c r="C6239" s="25">
        <v>976266.2</v>
      </c>
      <c r="D6239" s="22" t="s">
        <v>9556</v>
      </c>
      <c r="E6239" s="22" t="s">
        <v>580</v>
      </c>
      <c r="F6239" s="23" t="str">
        <f>HYPERLINK("https://www.spark-marketing.ru/Card/Lot/72962136", "Поставка ультрапастеризованного молока")</f>
        <v>Поставка ультрапастеризованного молока</v>
      </c>
      <c r="G6239" s="22" t="s">
        <v>260</v>
      </c>
      <c r="H6239" s="22" t="s">
        <v>260</v>
      </c>
      <c r="I6239" s="26">
        <v>43699</v>
      </c>
      <c r="J6239" s="28" t="s">
        <v>51</v>
      </c>
      <c r="K6239" s="28" t="s">
        <v>51</v>
      </c>
      <c r="L6239" s="28" t="s">
        <v>51</v>
      </c>
      <c r="M6239" s="25">
        <v>976266.2</v>
      </c>
      <c r="N6239" s="27">
        <v>0</v>
      </c>
    </row>
    <row r="6240" spans="1:14" x14ac:dyDescent="0.15">
      <c r="A6240" s="23" t="str">
        <f>HYPERLINK("https://www.spark-marketing.ru/Card/Person/1755261", "ГАУ РЦВДПМИ")</f>
        <v>ГАУ РЦВДПМИ</v>
      </c>
      <c r="B6240" s="24" t="s">
        <v>1754</v>
      </c>
      <c r="C6240" s="25">
        <v>300000</v>
      </c>
      <c r="D6240" s="22" t="s">
        <v>9557</v>
      </c>
      <c r="E6240" s="22" t="s">
        <v>4431</v>
      </c>
      <c r="F6240" s="23" t="str">
        <f>HYPERLINK("https://www.spark-marketing.ru/Card/Lot/72956293", "Оказание услуг по организации питания для осуществления обучающих программ, игровых и образовательных курсов (""Школа добровольца - 2019"", Тренинг марафон"", ""Волонтерская академия"") для добровольцев (волонтеров) в рамках реализации практик поддер...")</f>
        <v>Оказание услуг по организации питания для осуществления обучающих программ, игровых и образовательных курсов ("Школа добровольца - 2019", Тренинг марафон", "Волонтерская академия") для добровольцев (волонтеров) в рамках реализации практик поддер...</v>
      </c>
      <c r="G6240" s="22" t="s">
        <v>145</v>
      </c>
      <c r="H6240" s="22" t="s">
        <v>145</v>
      </c>
      <c r="I6240" s="26">
        <v>43699</v>
      </c>
      <c r="J6240" s="28" t="s">
        <v>51</v>
      </c>
      <c r="K6240" s="28" t="s">
        <v>51</v>
      </c>
      <c r="L6240" s="28" t="s">
        <v>51</v>
      </c>
      <c r="M6240" s="28" t="s">
        <v>51</v>
      </c>
      <c r="N6240" s="28" t="s">
        <v>51</v>
      </c>
    </row>
    <row r="6241" spans="1:14" x14ac:dyDescent="0.2">
      <c r="A6241" s="23" t="str">
        <f>HYPERLINK("https://www.spark-marketing.ru/Card/Person/32436", "КГАПОУ ""ДКИОР""")</f>
        <v>КГАПОУ "ДКИОР"</v>
      </c>
      <c r="B6241" s="24" t="s">
        <v>9558</v>
      </c>
      <c r="C6241" s="25">
        <v>273700</v>
      </c>
      <c r="D6241" s="22" t="s">
        <v>9559</v>
      </c>
      <c r="E6241" s="22" t="s">
        <v>7208</v>
      </c>
      <c r="F6241" s="23" t="str">
        <f>HYPERLINK("https://www.spark-marketing.ru/Card/Lot/72962183", "Оказание услуг по предоставлению мест для временного проживания, организации питания и услуги лыжероллерных трасс")</f>
        <v>Оказание услуг по предоставлению мест для временного проживания, организации питания и услуги лыжероллерных трасс</v>
      </c>
      <c r="G6241" s="22" t="s">
        <v>281</v>
      </c>
      <c r="H6241" s="22" t="s">
        <v>281</v>
      </c>
      <c r="I6241" s="26">
        <v>43699</v>
      </c>
      <c r="J6241" s="28" t="s">
        <v>51</v>
      </c>
      <c r="K6241" s="28" t="s">
        <v>51</v>
      </c>
      <c r="L6241" s="28" t="s">
        <v>51</v>
      </c>
      <c r="M6241" s="25">
        <v>273700</v>
      </c>
      <c r="N6241" s="27">
        <v>0</v>
      </c>
    </row>
    <row r="6242" spans="1:14" x14ac:dyDescent="0.15">
      <c r="A6242" s="23" t="str">
        <f>HYPERLINK("https://www.spark-marketing.ru/Card/Person/441650", "ГАУК РО ""РОСТГОСФИЛАРМОНИЯ""")</f>
        <v>ГАУК РО "РОСТГОСФИЛАРМОНИЯ"</v>
      </c>
      <c r="B6242" s="24" t="s">
        <v>9550</v>
      </c>
      <c r="C6242" s="25">
        <v>288080</v>
      </c>
      <c r="D6242" s="22" t="s">
        <v>9560</v>
      </c>
      <c r="E6242" s="22" t="s">
        <v>562</v>
      </c>
      <c r="F6242" s="23" t="str">
        <f>HYPERLINK("https://www.spark-marketing.ru/Card/Lot/72969757", "Услуги по организации питания")</f>
        <v>Услуги по организации питания</v>
      </c>
      <c r="G6242" s="22" t="s">
        <v>267</v>
      </c>
      <c r="H6242" s="22" t="s">
        <v>267</v>
      </c>
      <c r="I6242" s="26">
        <v>43699</v>
      </c>
      <c r="J6242" s="28" t="s">
        <v>51</v>
      </c>
      <c r="K6242" s="28" t="s">
        <v>51</v>
      </c>
      <c r="L6242" s="28" t="s">
        <v>51</v>
      </c>
      <c r="M6242" s="28" t="s">
        <v>51</v>
      </c>
      <c r="N6242" s="28" t="s">
        <v>51</v>
      </c>
    </row>
    <row r="6243" spans="1:14" x14ac:dyDescent="0.2">
      <c r="A6243" s="23" t="str">
        <f>HYPERLINK("https://www.spark-marketing.ru/Card/Person/142517", "МАОУ СОШ № 3 ИМЕНИ ГЕРОЯ РОССИИ СЕРГЕЯ РОМАШИНА Г. ЮЖНО-САХАЛИНСКА")</f>
        <v>МАОУ СОШ № 3 ИМЕНИ ГЕРОЯ РОССИИ СЕРГЕЯ РОМАШИНА Г. ЮЖНО-САХАЛИНСКА</v>
      </c>
      <c r="B6243" s="24" t="s">
        <v>963</v>
      </c>
      <c r="C6243" s="25">
        <v>213389.77</v>
      </c>
      <c r="D6243" s="22" t="s">
        <v>9561</v>
      </c>
      <c r="E6243" s="22" t="s">
        <v>580</v>
      </c>
      <c r="F6243" s="23" t="str">
        <f>HYPERLINK("https://www.spark-marketing.ru/Card/Lot/72962172", "Оказание услуги по организации двухразового питания обучающихся с ОВЗ, осваивающих образовательную программу начального общего образования")</f>
        <v>Оказание услуги по организации двухразового питания обучающихся с ОВЗ, осваивающих образовательную программу начального общего образования</v>
      </c>
      <c r="G6243" s="22" t="s">
        <v>260</v>
      </c>
      <c r="H6243" s="22" t="s">
        <v>260</v>
      </c>
      <c r="I6243" s="26">
        <v>43699</v>
      </c>
      <c r="J6243" s="28" t="s">
        <v>51</v>
      </c>
      <c r="K6243" s="28" t="s">
        <v>51</v>
      </c>
      <c r="L6243" s="28" t="s">
        <v>51</v>
      </c>
      <c r="M6243" s="25">
        <v>213389.77</v>
      </c>
      <c r="N6243" s="27">
        <v>0</v>
      </c>
    </row>
    <row r="6244" spans="1:14" x14ac:dyDescent="0.2">
      <c r="A6244" s="23" t="str">
        <f>HYPERLINK("https://www.spark-marketing.ru/Card/Person/1025403", "МБДОУ ЦРР - ДЕТСКИЙ САД №5 ""РАДУГА""")</f>
        <v>МБДОУ ЦРР - ДЕТСКИЙ САД №5 "РАДУГА"</v>
      </c>
      <c r="B6244" s="24" t="s">
        <v>9562</v>
      </c>
      <c r="C6244" s="25">
        <v>222224</v>
      </c>
      <c r="D6244" s="22" t="s">
        <v>9563</v>
      </c>
      <c r="E6244" s="22" t="s">
        <v>362</v>
      </c>
      <c r="F6244" s="23" t="str">
        <f>HYPERLINK("https://www.spark-marketing.ru/Card/Lot/72958425", "Оказание услуг по организации горячего питания воспитанников")</f>
        <v>Оказание услуг по организации горячего питания воспитанников</v>
      </c>
      <c r="G6244" s="22" t="s">
        <v>49</v>
      </c>
      <c r="H6244" s="22" t="s">
        <v>50</v>
      </c>
      <c r="I6244" s="26">
        <v>43699</v>
      </c>
      <c r="J6244" s="28" t="s">
        <v>51</v>
      </c>
      <c r="K6244" s="28" t="s">
        <v>51</v>
      </c>
      <c r="L6244" s="28" t="s">
        <v>51</v>
      </c>
      <c r="M6244" s="25">
        <v>222224</v>
      </c>
      <c r="N6244" s="27">
        <v>0</v>
      </c>
    </row>
    <row r="6245" spans="1:14" x14ac:dyDescent="0.2">
      <c r="A6245" s="23" t="str">
        <f>HYPERLINK("https://www.spark-marketing.ru/Card/Person/16510", "ФГБОУ ВО СЗГМУ ИМ. И.И. МЕЧНИКОВА МИНЗДРАВА РОССИИ")</f>
        <v>ФГБОУ ВО СЗГМУ ИМ. И.И. МЕЧНИКОВА МИНЗДРАВА РОССИИ</v>
      </c>
      <c r="B6245" s="24" t="s">
        <v>9564</v>
      </c>
      <c r="C6245" s="25">
        <v>396000</v>
      </c>
      <c r="D6245" s="22" t="s">
        <v>9565</v>
      </c>
      <c r="E6245" s="22" t="s">
        <v>362</v>
      </c>
      <c r="F6245" s="23" t="str">
        <f>HYPERLINK("https://www.spark-marketing.ru/Card/Lot/72979101", "Услуги по организации кофе-брейков для участников конференции ""Оптимальная медикаментозная терапия в кардиологии"" (24-26.10.2019) ФГБОУ ВО СЗГМУ им. И.И. Мечникова Минздрава России")</f>
        <v>Услуги по организации кофе-брейков для участников конференции "Оптимальная медикаментозная терапия в кардиологии" (24-26.10.2019) ФГБОУ ВО СЗГМУ им. И.И. Мечникова Минздрава России</v>
      </c>
      <c r="G6245" s="22" t="s">
        <v>117</v>
      </c>
      <c r="H6245" s="22" t="s">
        <v>117</v>
      </c>
      <c r="I6245" s="26">
        <v>43699</v>
      </c>
      <c r="J6245" s="28" t="s">
        <v>51</v>
      </c>
      <c r="K6245" s="28" t="s">
        <v>51</v>
      </c>
      <c r="L6245" s="28" t="s">
        <v>51</v>
      </c>
      <c r="M6245" s="25">
        <v>396000</v>
      </c>
      <c r="N6245" s="27">
        <v>0</v>
      </c>
    </row>
    <row r="6246" spans="1:14" x14ac:dyDescent="0.15">
      <c r="A6246" s="23" t="str">
        <f>HYPERLINK("https://www.spark-marketing.ru/Card/Person/4428887", "МАОУ СОШ № 44")</f>
        <v>МАОУ СОШ № 44</v>
      </c>
      <c r="B6246" s="24" t="s">
        <v>9566</v>
      </c>
      <c r="C6246" s="25">
        <v>9687444.0999999996</v>
      </c>
      <c r="D6246" s="22" t="s">
        <v>9567</v>
      </c>
      <c r="E6246" s="22" t="s">
        <v>362</v>
      </c>
      <c r="F6246" s="23" t="str">
        <f>HYPERLINK("https://www.spark-marketing.ru/Card/Lot/72959694", "Оказание услуг по организации питания обучающихся в МАОУ СОШ №44 Чкаловского района города Екатеринбурга в 2020 году")</f>
        <v>Оказание услуг по организации питания обучающихся в МАОУ СОШ №44 Чкаловского района города Екатеринбурга в 2020 году</v>
      </c>
      <c r="G6246" s="22" t="s">
        <v>174</v>
      </c>
      <c r="H6246" s="22" t="s">
        <v>174</v>
      </c>
      <c r="I6246" s="26">
        <v>43699</v>
      </c>
      <c r="J6246" s="28" t="s">
        <v>51</v>
      </c>
      <c r="K6246" s="28" t="s">
        <v>51</v>
      </c>
      <c r="L6246" s="28" t="s">
        <v>51</v>
      </c>
      <c r="M6246" s="28" t="s">
        <v>51</v>
      </c>
      <c r="N6246" s="28" t="s">
        <v>51</v>
      </c>
    </row>
    <row r="6247" spans="1:14" x14ac:dyDescent="0.15">
      <c r="A6247" s="23" t="str">
        <f>HYPERLINK("https://www.spark-marketing.ru/Card/Person/947663", "МАОУ ""СОШ № 7""")</f>
        <v>МАОУ "СОШ № 7"</v>
      </c>
      <c r="B6247" s="24" t="s">
        <v>2658</v>
      </c>
      <c r="C6247" s="25">
        <v>269093.40000000002</v>
      </c>
      <c r="D6247" s="22" t="s">
        <v>9568</v>
      </c>
      <c r="E6247" s="22" t="s">
        <v>362</v>
      </c>
      <c r="F6247" s="23" t="str">
        <f>HYPERLINK("https://www.spark-marketing.ru/Card/Lot/72952597", "оказание услуг по организации горячего питания учащихся из малообеспеченных семей")</f>
        <v>оказание услуг по организации горячего питания учащихся из малообеспеченных семей</v>
      </c>
      <c r="G6247" s="22" t="s">
        <v>281</v>
      </c>
      <c r="H6247" s="22" t="s">
        <v>281</v>
      </c>
      <c r="I6247" s="26">
        <v>43699</v>
      </c>
      <c r="J6247" s="28" t="s">
        <v>51</v>
      </c>
      <c r="K6247" s="28" t="s">
        <v>51</v>
      </c>
      <c r="L6247" s="28" t="s">
        <v>51</v>
      </c>
      <c r="M6247" s="28" t="s">
        <v>51</v>
      </c>
      <c r="N6247" s="28" t="s">
        <v>51</v>
      </c>
    </row>
    <row r="6248" spans="1:14" x14ac:dyDescent="0.15">
      <c r="A6248" s="23" t="str">
        <f>HYPERLINK("https://www.spark-marketing.ru/Card/Person/127777", "ГАУ""ЦСПСИД Г.КАЧКАНАРА""")</f>
        <v>ГАУ"ЦСПСИД Г.КАЧКАНАРА"</v>
      </c>
      <c r="B6248" s="24" t="s">
        <v>9569</v>
      </c>
      <c r="C6248" s="25">
        <v>433200</v>
      </c>
      <c r="D6248" s="22" t="s">
        <v>9570</v>
      </c>
      <c r="E6248" s="22" t="s">
        <v>362</v>
      </c>
      <c r="F6248" s="23" t="str">
        <f>HYPERLINK("https://www.spark-marketing.ru/Card/Lot/72981463", "Российский рубль")</f>
        <v>Российский рубль</v>
      </c>
      <c r="G6248" s="22" t="s">
        <v>174</v>
      </c>
      <c r="H6248" s="22" t="s">
        <v>9571</v>
      </c>
      <c r="I6248" s="26">
        <v>43699.496574074103</v>
      </c>
      <c r="J6248" s="28" t="s">
        <v>51</v>
      </c>
      <c r="K6248" s="28" t="s">
        <v>51</v>
      </c>
      <c r="L6248" s="28" t="s">
        <v>51</v>
      </c>
      <c r="M6248" s="28" t="s">
        <v>51</v>
      </c>
      <c r="N6248" s="28" t="s">
        <v>51</v>
      </c>
    </row>
    <row r="6249" spans="1:14" x14ac:dyDescent="0.2">
      <c r="A6249" s="23" t="str">
        <f>HYPERLINK("https://www.spark-marketing.ru/Card/Person/1235409", "ГАУ КО ""ЦП ССК""")</f>
        <v>ГАУ КО "ЦП ССК"</v>
      </c>
      <c r="B6249" s="24" t="s">
        <v>9572</v>
      </c>
      <c r="C6249" s="25">
        <v>151200</v>
      </c>
      <c r="D6249" s="22" t="s">
        <v>9573</v>
      </c>
      <c r="E6249" s="22" t="s">
        <v>1210</v>
      </c>
      <c r="F6249" s="23" t="str">
        <f>HYPERLINK("https://www.spark-marketing.ru/Card/Lot/72967534", "Услуги по проживанию и питанию спортивной сборной команды Кемеровской области по боксу, принимающей участие в тренировочном мероприятии ""Семинский перевал"" республика Алтай")</f>
        <v>Услуги по проживанию и питанию спортивной сборной команды Кемеровской области по боксу, принимающей участие в тренировочном мероприятии "Семинский перевал" республика Алтай</v>
      </c>
      <c r="G6249" s="22" t="s">
        <v>304</v>
      </c>
      <c r="H6249" s="22" t="s">
        <v>304</v>
      </c>
      <c r="I6249" s="26">
        <v>43699</v>
      </c>
      <c r="J6249" s="28" t="s">
        <v>51</v>
      </c>
      <c r="K6249" s="28" t="s">
        <v>51</v>
      </c>
      <c r="L6249" s="22" t="s">
        <v>10</v>
      </c>
      <c r="M6249" s="25">
        <v>151200</v>
      </c>
      <c r="N6249" s="27">
        <v>0</v>
      </c>
    </row>
    <row r="6250" spans="1:14" x14ac:dyDescent="0.2">
      <c r="A6250" s="23" t="str">
        <f>HYPERLINK("https://www.spark-marketing.ru/Card/Person/1763695", "МАОУ ОСОШ №1")</f>
        <v>МАОУ ОСОШ №1</v>
      </c>
      <c r="B6250" s="24" t="s">
        <v>9574</v>
      </c>
      <c r="C6250" s="25">
        <v>1460051.4</v>
      </c>
      <c r="D6250" s="22" t="s">
        <v>9575</v>
      </c>
      <c r="E6250" s="22" t="s">
        <v>362</v>
      </c>
      <c r="F6250" s="23" t="str">
        <f>HYPERLINK("https://www.spark-marketing.ru/Card/Lot/73044508", "Услуги по организации питания обучающихся")</f>
        <v>Услуги по организации питания обучающихся</v>
      </c>
      <c r="G6250" s="22" t="s">
        <v>766</v>
      </c>
      <c r="H6250" s="22" t="s">
        <v>766</v>
      </c>
      <c r="I6250" s="26">
        <v>43704</v>
      </c>
      <c r="J6250" s="28" t="s">
        <v>51</v>
      </c>
      <c r="K6250" s="28" t="s">
        <v>51</v>
      </c>
      <c r="L6250" s="22" t="s">
        <v>10</v>
      </c>
      <c r="M6250" s="25">
        <v>1460051.4</v>
      </c>
      <c r="N6250" s="27">
        <v>0</v>
      </c>
    </row>
    <row r="6251" spans="1:14" x14ac:dyDescent="0.15">
      <c r="A6251" s="23" t="str">
        <f>HYPERLINK("https://www.spark-marketing.ru/Card/Person/236030", "ОГАУСО ""КЦСОН""")</f>
        <v>ОГАУСО "КЦСОН"</v>
      </c>
      <c r="B6251" s="24" t="s">
        <v>549</v>
      </c>
      <c r="C6251" s="25">
        <v>5000000</v>
      </c>
      <c r="D6251" s="22" t="s">
        <v>9576</v>
      </c>
      <c r="E6251" s="22" t="s">
        <v>2265</v>
      </c>
      <c r="F6251" s="23" t="str">
        <f>HYPERLINK("https://www.spark-marketing.ru/Card/Lot/72952640", "Оказание услуг на поставку продуктов питания")</f>
        <v>Оказание услуг на поставку продуктов питания</v>
      </c>
      <c r="G6251" s="22" t="s">
        <v>263</v>
      </c>
      <c r="H6251" s="22" t="s">
        <v>263</v>
      </c>
      <c r="I6251" s="26">
        <v>43699</v>
      </c>
      <c r="J6251" s="28" t="s">
        <v>51</v>
      </c>
      <c r="K6251" s="28" t="s">
        <v>51</v>
      </c>
      <c r="L6251" s="28" t="s">
        <v>51</v>
      </c>
      <c r="M6251" s="28" t="s">
        <v>51</v>
      </c>
      <c r="N6251" s="28" t="s">
        <v>51</v>
      </c>
    </row>
    <row r="6252" spans="1:14" x14ac:dyDescent="0.2">
      <c r="A6252" s="23" t="str">
        <f>HYPERLINK("https://www.spark-marketing.ru/Card/Person/1763695", "МАОУ ОСОШ №1")</f>
        <v>МАОУ ОСОШ №1</v>
      </c>
      <c r="B6252" s="24" t="s">
        <v>9574</v>
      </c>
      <c r="C6252" s="25">
        <v>1372343.8</v>
      </c>
      <c r="D6252" s="22" t="s">
        <v>9577</v>
      </c>
      <c r="E6252" s="22" t="s">
        <v>362</v>
      </c>
      <c r="F6252" s="23" t="str">
        <f>HYPERLINK("https://www.spark-marketing.ru/Card/Lot/73044918", "Услуги по организации питания обучающихся")</f>
        <v>Услуги по организации питания обучающихся</v>
      </c>
      <c r="G6252" s="22" t="s">
        <v>766</v>
      </c>
      <c r="H6252" s="22" t="s">
        <v>766</v>
      </c>
      <c r="I6252" s="26">
        <v>43704</v>
      </c>
      <c r="J6252" s="28" t="s">
        <v>51</v>
      </c>
      <c r="K6252" s="28" t="s">
        <v>51</v>
      </c>
      <c r="L6252" s="22" t="s">
        <v>10</v>
      </c>
      <c r="M6252" s="25">
        <v>1372343.8</v>
      </c>
      <c r="N6252" s="27">
        <v>0</v>
      </c>
    </row>
    <row r="6253" spans="1:14" x14ac:dyDescent="0.2">
      <c r="A6253" s="23" t="str">
        <f>HYPERLINK("https://www.spark-marketing.ru/Card/Person/4346801", "ФГАОУ ВО ""СЕВАСТОПОЛЬСКИЙ ГОСУДАРСТВЕННЫЙ УНИВЕРСИТЕТ""")</f>
        <v>ФГАОУ ВО "СЕВАСТОПОЛЬСКИЙ ГОСУДАРСТВЕННЫЙ УНИВЕРСИТЕТ"</v>
      </c>
      <c r="B6253" s="24" t="s">
        <v>8964</v>
      </c>
      <c r="C6253" s="25">
        <v>375000</v>
      </c>
      <c r="D6253" s="22" t="s">
        <v>9578</v>
      </c>
      <c r="E6253" s="22" t="s">
        <v>769</v>
      </c>
      <c r="F6253" s="23" t="str">
        <f>HYPERLINK("https://www.spark-marketing.ru/Card/Lot/72959270", "Оказание услуг проживания и питания участников ""Школы наставничества""")</f>
        <v>Оказание услуг проживания и питания участников "Школы наставничества"</v>
      </c>
      <c r="G6253" s="22" t="s">
        <v>322</v>
      </c>
      <c r="H6253" s="22" t="s">
        <v>322</v>
      </c>
      <c r="I6253" s="26">
        <v>43699</v>
      </c>
      <c r="J6253" s="28" t="s">
        <v>51</v>
      </c>
      <c r="K6253" s="28" t="s">
        <v>51</v>
      </c>
      <c r="L6253" s="28" t="s">
        <v>51</v>
      </c>
      <c r="M6253" s="25">
        <v>375000</v>
      </c>
      <c r="N6253" s="27">
        <v>0</v>
      </c>
    </row>
    <row r="6254" spans="1:14" x14ac:dyDescent="0.15">
      <c r="A6254" s="23" t="str">
        <f>HYPERLINK("https://www.spark-marketing.ru/Card/Person/77706", "АО ""ПОЧТА РОССИИ""")</f>
        <v>АО "ПОЧТА РОССИИ"</v>
      </c>
      <c r="B6254" s="24" t="s">
        <v>2613</v>
      </c>
      <c r="C6254" s="25">
        <v>4999927.8899999997</v>
      </c>
      <c r="D6254" s="22" t="s">
        <v>9579</v>
      </c>
      <c r="E6254" s="22" t="s">
        <v>580</v>
      </c>
      <c r="F6254" s="23" t="str">
        <f>HYPERLINK("https://www.spark-marketing.ru/Card/Lot/72943971", "Оказание услуг по организации питания работников МР ЛЦ «Внуково» для нужд УФПС г. Москвы -филиала ФГУП «Почта России»")</f>
        <v>Оказание услуг по организации питания работников МР ЛЦ «Внуково» для нужд УФПС г. Москвы -филиала ФГУП «Почта России»</v>
      </c>
      <c r="G6254" s="22" t="s">
        <v>56</v>
      </c>
      <c r="H6254" s="22" t="s">
        <v>56</v>
      </c>
      <c r="I6254" s="26">
        <v>43698</v>
      </c>
      <c r="J6254" s="28" t="s">
        <v>51</v>
      </c>
      <c r="K6254" s="28" t="s">
        <v>51</v>
      </c>
      <c r="L6254" s="28" t="s">
        <v>51</v>
      </c>
      <c r="M6254" s="28" t="s">
        <v>51</v>
      </c>
      <c r="N6254" s="28" t="s">
        <v>51</v>
      </c>
    </row>
    <row r="6255" spans="1:14" x14ac:dyDescent="0.2">
      <c r="A6255" s="23" t="str">
        <f>HYPERLINK("https://www.spark-marketing.ru/Card/Person/486688", "МУП ""МИРНИНСКАЯ ЖКК""")</f>
        <v>МУП "МИРНИНСКАЯ ЖКК"</v>
      </c>
      <c r="B6255" s="24" t="s">
        <v>9580</v>
      </c>
      <c r="C6255" s="25">
        <v>79754</v>
      </c>
      <c r="D6255" s="22" t="s">
        <v>9581</v>
      </c>
      <c r="E6255" s="22" t="s">
        <v>9582</v>
      </c>
      <c r="F6255" s="23" t="str">
        <f>HYPERLINK("https://www.spark-marketing.ru/Card/Lot/72979062", "Проведение работ по утилизации утилизации опасных отходов: люминесцентных и энергосберегающих ламп, термометров и химических элементов питания.")</f>
        <v>Проведение работ по утилизации утилизации опасных отходов: люминесцентных и энергосберегающих ламп, термометров и химических элементов питания.</v>
      </c>
      <c r="G6255" s="22" t="s">
        <v>214</v>
      </c>
      <c r="H6255" s="22" t="s">
        <v>3697</v>
      </c>
      <c r="I6255" s="26">
        <v>43699</v>
      </c>
      <c r="J6255" s="28" t="s">
        <v>51</v>
      </c>
      <c r="K6255" s="28" t="s">
        <v>51</v>
      </c>
      <c r="L6255" s="22" t="s">
        <v>10</v>
      </c>
      <c r="M6255" s="25">
        <v>71660</v>
      </c>
      <c r="N6255" s="27">
        <v>0.10148707274870226</v>
      </c>
    </row>
    <row r="6256" spans="1:14" x14ac:dyDescent="0.2">
      <c r="A6256" s="23" t="str">
        <f>HYPERLINK("https://www.spark-marketing.ru/Card/Person/1752222", "СПБ ГАУ ""ЦЕНТР ПОДГОТОВКИ""")</f>
        <v>СПБ ГАУ "ЦЕНТР ПОДГОТОВКИ"</v>
      </c>
      <c r="B6256" s="24" t="s">
        <v>9583</v>
      </c>
      <c r="C6256" s="25">
        <v>384000</v>
      </c>
      <c r="D6256" s="22" t="s">
        <v>9584</v>
      </c>
      <c r="E6256" s="22" t="s">
        <v>9585</v>
      </c>
      <c r="F6256" s="23" t="str">
        <f>HYPERLINK("https://www.spark-marketing.ru/Card/Lot/72974665", "Оказание услуг по организации проживания и питания для членов спортивной сборной команды Санкт-Петербурга по велосипедному спорту (трек) на Кубке России и всероссийских соревнованиях по велосипедному спорту (трек)")</f>
        <v>Оказание услуг по организации проживания и питания для членов спортивной сборной команды Санкт-Петербурга по велосипедному спорту (трек) на Кубке России и всероссийских соревнованиях по велосипедному спорту (трек)</v>
      </c>
      <c r="G6256" s="22" t="s">
        <v>117</v>
      </c>
      <c r="H6256" s="22" t="s">
        <v>117</v>
      </c>
      <c r="I6256" s="26">
        <v>43699</v>
      </c>
      <c r="J6256" s="28" t="s">
        <v>51</v>
      </c>
      <c r="K6256" s="28" t="s">
        <v>51</v>
      </c>
      <c r="L6256" s="22" t="s">
        <v>10</v>
      </c>
      <c r="M6256" s="25">
        <v>384000</v>
      </c>
      <c r="N6256" s="27">
        <v>0</v>
      </c>
    </row>
    <row r="6257" spans="1:14" x14ac:dyDescent="0.15">
      <c r="A6257" s="23" t="str">
        <f>HYPERLINK("https://www.spark-marketing.ru/Card/Person/77706", "АО ""ПОЧТА РОССИИ""")</f>
        <v>АО "ПОЧТА РОССИИ"</v>
      </c>
      <c r="B6257" s="24" t="s">
        <v>2613</v>
      </c>
      <c r="C6257" s="25">
        <v>4999927.8899999997</v>
      </c>
      <c r="D6257" s="22" t="s">
        <v>9586</v>
      </c>
      <c r="E6257" s="22" t="s">
        <v>580</v>
      </c>
      <c r="F6257" s="23" t="str">
        <f>HYPERLINK("https://www.spark-marketing.ru/Card/Lot/72943972", "Оказание услуг по организации питания работников ММСП №3 для нужд УФПС г. Москвы -филиала ФГУП «Почта России»")</f>
        <v>Оказание услуг по организации питания работников ММСП №3 для нужд УФПС г. Москвы -филиала ФГУП «Почта России»</v>
      </c>
      <c r="G6257" s="22" t="s">
        <v>56</v>
      </c>
      <c r="H6257" s="22" t="s">
        <v>56</v>
      </c>
      <c r="I6257" s="26">
        <v>43698</v>
      </c>
      <c r="J6257" s="28" t="s">
        <v>51</v>
      </c>
      <c r="K6257" s="28" t="s">
        <v>51</v>
      </c>
      <c r="L6257" s="28" t="s">
        <v>51</v>
      </c>
      <c r="M6257" s="28" t="s">
        <v>51</v>
      </c>
      <c r="N6257" s="28" t="s">
        <v>51</v>
      </c>
    </row>
    <row r="6258" spans="1:14" x14ac:dyDescent="0.15">
      <c r="A6258" s="23" t="str">
        <f>HYPERLINK("https://www.spark-marketing.ru/Card/Person/15426", "АО ""АДМИРАЛТЕЙСКИЕ ВЕРФИ""")</f>
        <v>АО "АДМИРАЛТЕЙСКИЕ ВЕРФИ"</v>
      </c>
      <c r="B6258" s="24" t="s">
        <v>9587</v>
      </c>
      <c r="C6258" s="25">
        <v>27786227.309999999</v>
      </c>
      <c r="D6258" s="22" t="s">
        <v>9588</v>
      </c>
      <c r="E6258" s="22" t="s">
        <v>9589</v>
      </c>
      <c r="F6258" s="23" t="str">
        <f>HYPERLINK("https://www.spark-marketing.ru/Card/Lot/72970377", "Поставка щитового оборудования")</f>
        <v>Поставка щитового оборудования</v>
      </c>
      <c r="G6258" s="22" t="s">
        <v>117</v>
      </c>
      <c r="H6258" s="22" t="s">
        <v>117</v>
      </c>
      <c r="I6258" s="26">
        <v>43699</v>
      </c>
      <c r="J6258" s="28" t="s">
        <v>51</v>
      </c>
      <c r="K6258" s="28" t="s">
        <v>51</v>
      </c>
      <c r="L6258" s="28" t="s">
        <v>51</v>
      </c>
      <c r="M6258" s="28" t="s">
        <v>51</v>
      </c>
      <c r="N6258" s="28" t="s">
        <v>51</v>
      </c>
    </row>
    <row r="6259" spans="1:14" x14ac:dyDescent="0.15">
      <c r="A6259" s="23" t="str">
        <f>HYPERLINK("https://www.spark-marketing.ru/Card/Person/21876", "ФГБУ ""ТЦСКР ""ОЗЕРО КРУГЛОЕ""")</f>
        <v>ФГБУ "ТЦСКР "ОЗЕРО КРУГЛОЕ"</v>
      </c>
      <c r="B6259" s="24" t="s">
        <v>9590</v>
      </c>
      <c r="C6259" s="25">
        <v>5000000</v>
      </c>
      <c r="D6259" s="22" t="s">
        <v>9591</v>
      </c>
      <c r="E6259" s="22" t="s">
        <v>580</v>
      </c>
      <c r="F6259" s="23" t="str">
        <f>HYPERLINK("https://www.spark-marketing.ru/Card/Lot/72980395", "Оказание услуг по организации общественного питания")</f>
        <v>Оказание услуг по организации общественного питания</v>
      </c>
      <c r="G6259" s="22" t="s">
        <v>49</v>
      </c>
      <c r="H6259" s="22" t="s">
        <v>49</v>
      </c>
      <c r="I6259" s="26">
        <v>43699</v>
      </c>
      <c r="J6259" s="28" t="s">
        <v>51</v>
      </c>
      <c r="K6259" s="28" t="s">
        <v>51</v>
      </c>
      <c r="L6259" s="28" t="s">
        <v>51</v>
      </c>
      <c r="M6259" s="28" t="s">
        <v>51</v>
      </c>
      <c r="N6259" s="28" t="s">
        <v>51</v>
      </c>
    </row>
    <row r="6260" spans="1:14" x14ac:dyDescent="0.15">
      <c r="A6260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6260" s="24" t="s">
        <v>1406</v>
      </c>
      <c r="C6260" s="25">
        <v>123048</v>
      </c>
      <c r="D6260" s="22" t="s">
        <v>9592</v>
      </c>
      <c r="E6260" s="22" t="s">
        <v>580</v>
      </c>
      <c r="F6260" s="23" t="str">
        <f>HYPERLINK("https://www.spark-marketing.ru/Card/Lot/72962121", "Оказание услуг по организации питания участников мероприятий научно-образовательного и культурного центра гуманитарного института «Институт Конфуция» (НОКЦИКГИ)")</f>
        <v>Оказание услуг по организации питания участников мероприятий научно-образовательного и культурного центра гуманитарного института «Институт Конфуция» (НОКЦИКГИ)</v>
      </c>
      <c r="G6260" s="22" t="s">
        <v>195</v>
      </c>
      <c r="H6260" s="22" t="s">
        <v>195</v>
      </c>
      <c r="I6260" s="26">
        <v>43699</v>
      </c>
      <c r="J6260" s="28" t="s">
        <v>51</v>
      </c>
      <c r="K6260" s="28" t="s">
        <v>51</v>
      </c>
      <c r="L6260" s="28" t="s">
        <v>51</v>
      </c>
      <c r="M6260" s="28" t="s">
        <v>51</v>
      </c>
      <c r="N6260" s="28" t="s">
        <v>51</v>
      </c>
    </row>
    <row r="6261" spans="1:14" x14ac:dyDescent="0.15">
      <c r="A6261" s="23" t="str">
        <f>HYPERLINK("https://www.spark-marketing.ru/Card/Person/14240", "ГБУЗ АО АМОКБ")</f>
        <v>ГБУЗ АО АМОКБ</v>
      </c>
      <c r="B6261" s="24" t="s">
        <v>9593</v>
      </c>
      <c r="C6261" s="25">
        <v>992100</v>
      </c>
      <c r="D6261" s="22" t="s">
        <v>9594</v>
      </c>
      <c r="E6261" s="22" t="s">
        <v>9595</v>
      </c>
      <c r="F6261" s="23" t="str">
        <f>HYPERLINK("https://www.spark-marketing.ru/Card/Lot/72944414", "Российский рубль")</f>
        <v>Российский рубль</v>
      </c>
      <c r="G6261" s="22" t="s">
        <v>141</v>
      </c>
      <c r="H6261" s="22" t="s">
        <v>2201</v>
      </c>
      <c r="I6261" s="26">
        <v>43698</v>
      </c>
      <c r="J6261" s="28" t="s">
        <v>51</v>
      </c>
      <c r="K6261" s="28" t="s">
        <v>51</v>
      </c>
      <c r="L6261" s="28" t="s">
        <v>51</v>
      </c>
      <c r="M6261" s="28" t="s">
        <v>51</v>
      </c>
      <c r="N6261" s="28" t="s">
        <v>51</v>
      </c>
    </row>
    <row r="6262" spans="1:14" x14ac:dyDescent="0.2">
      <c r="A6262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6262" s="24" t="s">
        <v>6649</v>
      </c>
      <c r="C6262" s="25">
        <v>2993800</v>
      </c>
      <c r="D6262" s="22" t="s">
        <v>9596</v>
      </c>
      <c r="E6262" s="22" t="s">
        <v>952</v>
      </c>
      <c r="F6262" s="23" t="str">
        <f>HYPERLINK("https://www.spark-marketing.ru/Card/Lot/72964394", "Оказание услуг по организации общественного питания в ФГАУ ""Санаторий ФССП России ""Зелёная долина""")</f>
        <v>Оказание услуг по организации общественного питания в ФГАУ "Санаторий ФССП России "Зелёная долина"</v>
      </c>
      <c r="G6262" s="22" t="s">
        <v>104</v>
      </c>
      <c r="H6262" s="22" t="s">
        <v>104</v>
      </c>
      <c r="I6262" s="26">
        <v>43699</v>
      </c>
      <c r="J6262" s="28" t="s">
        <v>51</v>
      </c>
      <c r="K6262" s="28" t="s">
        <v>51</v>
      </c>
      <c r="L6262" s="22" t="s">
        <v>10</v>
      </c>
      <c r="M6262" s="25">
        <v>2993800</v>
      </c>
      <c r="N6262" s="27">
        <v>0</v>
      </c>
    </row>
    <row r="6263" spans="1:14" x14ac:dyDescent="0.2">
      <c r="A6263" s="23" t="str">
        <f>HYPERLINK("https://www.spark-marketing.ru/Card/Person/1009416", "МБОУ Г. АСТРАХАНИ ""СОШ № 27""")</f>
        <v>МБОУ Г. АСТРАХАНИ "СОШ № 27"</v>
      </c>
      <c r="B6263" s="24" t="s">
        <v>9597</v>
      </c>
      <c r="C6263" s="25">
        <v>474316.79999999999</v>
      </c>
      <c r="D6263" s="22" t="s">
        <v>9598</v>
      </c>
      <c r="E6263" s="22" t="s">
        <v>52</v>
      </c>
      <c r="F6263" s="23" t="str">
        <f>HYPERLINK("https://www.spark-marketing.ru/Card/Lot/73790370", "Услуги по организации питания")</f>
        <v>Услуги по организации питания</v>
      </c>
      <c r="G6263" s="22" t="s">
        <v>141</v>
      </c>
      <c r="H6263" s="22" t="s">
        <v>2201</v>
      </c>
      <c r="I6263" s="26">
        <v>43699.296527777798</v>
      </c>
      <c r="J6263" s="28" t="s">
        <v>51</v>
      </c>
      <c r="K6263" s="28" t="s">
        <v>51</v>
      </c>
      <c r="L6263" s="28" t="s">
        <v>51</v>
      </c>
      <c r="M6263" s="25">
        <v>474316.79999999999</v>
      </c>
      <c r="N6263" s="27">
        <v>0</v>
      </c>
    </row>
    <row r="6264" spans="1:14" x14ac:dyDescent="0.15">
      <c r="A6264" s="23" t="str">
        <f>HYPERLINK("https://www.spark-marketing.ru/Card/Person/73995", "ФИЦ ИУ РАН")</f>
        <v>ФИЦ ИУ РАН</v>
      </c>
      <c r="B6264" s="24" t="s">
        <v>9599</v>
      </c>
      <c r="C6264" s="25">
        <v>462925.67</v>
      </c>
      <c r="D6264" s="22" t="s">
        <v>9600</v>
      </c>
      <c r="E6264" s="22" t="s">
        <v>9601</v>
      </c>
      <c r="F6264" s="23" t="str">
        <f>HYPERLINK("https://www.spark-marketing.ru/Card/Lot/72947809", "Оптовая закупка компьютерной техники, периферийных устройств и элементов питания.")</f>
        <v>Оптовая закупка компьютерной техники, периферийных устройств и элементов питания.</v>
      </c>
      <c r="G6264" s="22" t="s">
        <v>56</v>
      </c>
      <c r="H6264" s="22" t="s">
        <v>56</v>
      </c>
      <c r="I6264" s="26">
        <v>43698.739097222198</v>
      </c>
      <c r="J6264" s="28" t="s">
        <v>51</v>
      </c>
      <c r="K6264" s="28" t="s">
        <v>51</v>
      </c>
      <c r="L6264" s="28" t="s">
        <v>51</v>
      </c>
      <c r="M6264" s="28" t="s">
        <v>51</v>
      </c>
      <c r="N6264" s="28" t="s">
        <v>51</v>
      </c>
    </row>
    <row r="6265" spans="1:14" x14ac:dyDescent="0.15">
      <c r="A6265" s="23" t="str">
        <f>HYPERLINK("https://www.spark-marketing.ru/Card/Person/68947", "УМВД РОССИИ ПО Г. ЙОШКАР-ОЛЕ")</f>
        <v>УМВД РОССИИ ПО Г. ЙОШКАР-ОЛЕ</v>
      </c>
      <c r="B6265" s="24" t="s">
        <v>9602</v>
      </c>
      <c r="C6265" s="25">
        <v>1370653.05</v>
      </c>
      <c r="D6265" s="22" t="s">
        <v>9603</v>
      </c>
      <c r="E6265" s="22" t="s">
        <v>96</v>
      </c>
      <c r="F6265" s="23" t="str">
        <f>HYPERLINK("https://www.spark-marketing.ru/Card/Lot/72946365", "Услуги по обеспечению питанием")</f>
        <v>Услуги по обеспечению питанием</v>
      </c>
      <c r="G6265" s="22" t="s">
        <v>3249</v>
      </c>
      <c r="H6265" s="22" t="s">
        <v>3250</v>
      </c>
      <c r="I6265" s="26">
        <v>43698.7124189815</v>
      </c>
      <c r="J6265" s="28" t="s">
        <v>51</v>
      </c>
      <c r="K6265" s="28" t="s">
        <v>51</v>
      </c>
      <c r="L6265" s="28" t="s">
        <v>51</v>
      </c>
      <c r="M6265" s="28" t="s">
        <v>51</v>
      </c>
      <c r="N6265" s="28" t="s">
        <v>51</v>
      </c>
    </row>
    <row r="6266" spans="1:14" hidden="1" outlineLevel="1" x14ac:dyDescent="0.2">
      <c r="A6266" s="23" t="str">
        <f>HYPERLINK("https://www.spark-marketing.ru/Card/Person/68947", "УМВД РОССИИ ПО Г. ЙОШКАР-ОЛЕ")</f>
        <v>УМВД РОССИИ ПО Г. ЙОШКАР-ОЛЕ</v>
      </c>
      <c r="B6266" s="24" t="s">
        <v>9602</v>
      </c>
      <c r="C6266" s="25">
        <v>1370653.05</v>
      </c>
      <c r="D6266" s="22" t="s">
        <v>9603</v>
      </c>
      <c r="E6266" s="22" t="s">
        <v>96</v>
      </c>
      <c r="F6266" s="23" t="str">
        <f>HYPERLINK("https://www.spark-marketing.ru/Card/Lot/72946365", "Услуги по обеспечению питанием")</f>
        <v>Услуги по обеспечению питанием</v>
      </c>
      <c r="G6266" s="22" t="s">
        <v>3249</v>
      </c>
      <c r="H6266" s="22" t="s">
        <v>3250</v>
      </c>
      <c r="I6266" s="26">
        <v>43698.7124189815</v>
      </c>
      <c r="J6266" s="23" t="str">
        <f>HYPERLINK("https://www.spark-marketing.ru/Card/Person/2503411", "ООО ""МЦ""")</f>
        <v>ООО "МЦ"</v>
      </c>
      <c r="K6266" s="24" t="s">
        <v>9454</v>
      </c>
      <c r="L6266" s="28" t="s">
        <v>51</v>
      </c>
      <c r="M6266" s="25">
        <v>1027990</v>
      </c>
      <c r="N6266" s="27">
        <v>0.24999984496441313</v>
      </c>
    </row>
    <row r="6267" spans="1:14" ht="12.75" hidden="1" outlineLevel="1" x14ac:dyDescent="0.2">
      <c r="A6267" s="23" t="str">
        <f>HYPERLINK("https://www.spark-marketing.ru/Card/Person/68947", "УМВД РОССИИ ПО Г. ЙОШКАР-ОЛЕ")</f>
        <v>УМВД РОССИИ ПО Г. ЙОШКАР-ОЛЕ</v>
      </c>
      <c r="B6267" s="24" t="s">
        <v>9602</v>
      </c>
      <c r="C6267" s="25">
        <v>1370653.05</v>
      </c>
      <c r="D6267" s="22" t="s">
        <v>9603</v>
      </c>
      <c r="E6267" s="22" t="s">
        <v>96</v>
      </c>
      <c r="F6267" s="23" t="str">
        <f>HYPERLINK("https://www.spark-marketing.ru/Card/Lot/72946365", "Услуги по обеспечению питанием")</f>
        <v>Услуги по обеспечению питанием</v>
      </c>
      <c r="G6267" s="22" t="s">
        <v>3249</v>
      </c>
      <c r="H6267" s="22" t="s">
        <v>3250</v>
      </c>
      <c r="I6267" s="26">
        <v>43698.7124189815</v>
      </c>
      <c r="J6267" s="23" t="str">
        <f>HYPERLINK("https://www.spark-marketing.ru/Card/Person/4441248", "Шалагина Марина Александровна")</f>
        <v>Шалагина Марина Александровна</v>
      </c>
      <c r="K6267" s="24" t="s">
        <v>9455</v>
      </c>
      <c r="L6267" s="22" t="s">
        <v>10</v>
      </c>
      <c r="M6267" s="25">
        <v>1023974.92</v>
      </c>
      <c r="N6267" s="27">
        <v>0.25292916394852805</v>
      </c>
    </row>
    <row r="6268" spans="1:14" x14ac:dyDescent="0.15">
      <c r="A6268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6268" s="24" t="s">
        <v>6705</v>
      </c>
      <c r="C6268" s="25">
        <v>4155000</v>
      </c>
      <c r="D6268" s="22" t="s">
        <v>9604</v>
      </c>
      <c r="E6268" s="22" t="s">
        <v>48</v>
      </c>
      <c r="F6268" s="23" t="str">
        <f>HYPERLINK("https://www.spark-marketing.ru/Card/Lot/72947281", "Оказание услуг по обеспечению трехразовым питанием (горячим) лиц, содержащихся в изоляторе временного содержания подозреваемых и обвиняемых (2021)")</f>
        <v>Оказание услуг по обеспечению трехразовым питанием (горячим) лиц, содержащихся в изоляторе временного содержания подозреваемых и обвиняемых (2021)</v>
      </c>
      <c r="G6268" s="22" t="s">
        <v>104</v>
      </c>
      <c r="H6268" s="22" t="s">
        <v>1689</v>
      </c>
      <c r="I6268" s="26">
        <v>43698.739606481497</v>
      </c>
      <c r="J6268" s="28" t="s">
        <v>51</v>
      </c>
      <c r="K6268" s="28" t="s">
        <v>51</v>
      </c>
      <c r="L6268" s="28" t="s">
        <v>51</v>
      </c>
      <c r="M6268" s="28" t="s">
        <v>51</v>
      </c>
      <c r="N6268" s="28" t="s">
        <v>51</v>
      </c>
    </row>
    <row r="6269" spans="1:14" x14ac:dyDescent="0.15">
      <c r="A6269" s="23" t="str">
        <f>HYPERLINK("https://www.spark-marketing.ru/Card/Person/6493188", "О МВД РОССИИ ПО БАРГУЗИНСКОМУ РАЙОНУ")</f>
        <v>О МВД РОССИИ ПО БАРГУЗИНСКОМУ РАЙОНУ</v>
      </c>
      <c r="B6269" s="24" t="s">
        <v>9605</v>
      </c>
      <c r="C6269" s="25">
        <v>560120</v>
      </c>
      <c r="D6269" s="22" t="s">
        <v>9606</v>
      </c>
      <c r="E6269" s="22" t="s">
        <v>48</v>
      </c>
      <c r="F6269" s="23" t="str">
        <f>HYPERLINK("https://www.spark-marketing.ru/Card/Lot/72934707", "Оказание услуг по обеспечению ежедневным трехразовым горячим питанием подозреваемых и обвиняемых в совершении преступлений, лиц осужденных к лишению свободы и лиц арестованных в административном порядке, содержащихся в ИВС и КСЗЛ О МВД России по Барг...")</f>
        <v>Оказание услуг по обеспечению ежедневным трехразовым горячим питанием подозреваемых и обвиняемых в совершении преступлений, лиц осужденных к лишению свободы и лиц арестованных в административном порядке, содержащихся в ИВС и КСЗЛ О МВД России по Барг...</v>
      </c>
      <c r="G6269" s="22" t="s">
        <v>433</v>
      </c>
      <c r="H6269" s="22" t="s">
        <v>9607</v>
      </c>
      <c r="I6269" s="26">
        <v>43698.689907407403</v>
      </c>
      <c r="J6269" s="28" t="s">
        <v>51</v>
      </c>
      <c r="K6269" s="28" t="s">
        <v>51</v>
      </c>
      <c r="L6269" s="28" t="s">
        <v>51</v>
      </c>
      <c r="M6269" s="28" t="s">
        <v>51</v>
      </c>
      <c r="N6269" s="28" t="s">
        <v>51</v>
      </c>
    </row>
    <row r="6270" spans="1:14" x14ac:dyDescent="0.15">
      <c r="A6270" s="23" t="str">
        <f t="shared" ref="A6270:A6275" si="130">HYPERLINK("https://www.spark-marketing.ru/Card/Person/6086", "ГКУ ""ДИРЕКЦИЯ ОДОТСЗН Г. МОСКВЫ""")</f>
        <v>ГКУ "ДИРЕКЦИЯ ОДОТСЗН Г. МОСКВЫ"</v>
      </c>
      <c r="B6270" s="24" t="s">
        <v>164</v>
      </c>
      <c r="C6270" s="25">
        <v>8874824.1199999992</v>
      </c>
      <c r="D6270" s="22" t="s">
        <v>9608</v>
      </c>
      <c r="E6270" s="22" t="s">
        <v>96</v>
      </c>
      <c r="F6270" s="23" t="str">
        <f t="shared" ref="F6270:F6275" si="131">HYPERLINK("https://www.spark-marketing.ru/Card/Lot/72947280", "Организация горячего питания в ГБУ ПНИ № 4 в 2019 году (226-19-4-4)")</f>
        <v>Организация горячего питания в ГБУ ПНИ № 4 в 2019 году (226-19-4-4)</v>
      </c>
      <c r="G6270" s="22" t="s">
        <v>56</v>
      </c>
      <c r="H6270" s="22" t="s">
        <v>56</v>
      </c>
      <c r="I6270" s="26">
        <v>43698.738692129598</v>
      </c>
      <c r="J6270" s="28" t="s">
        <v>51</v>
      </c>
      <c r="K6270" s="28" t="s">
        <v>51</v>
      </c>
      <c r="L6270" s="28" t="s">
        <v>51</v>
      </c>
      <c r="M6270" s="28" t="s">
        <v>51</v>
      </c>
      <c r="N6270" s="28" t="s">
        <v>51</v>
      </c>
    </row>
    <row r="6271" spans="1:14" hidden="1" outlineLevel="1" x14ac:dyDescent="0.2">
      <c r="A6271" s="23" t="str">
        <f t="shared" si="130"/>
        <v>ГКУ "ДИРЕКЦИЯ ОДОТСЗН Г. МОСКВЫ"</v>
      </c>
      <c r="B6271" s="24" t="s">
        <v>164</v>
      </c>
      <c r="C6271" s="25">
        <v>8874824.1199999992</v>
      </c>
      <c r="D6271" s="22" t="s">
        <v>9608</v>
      </c>
      <c r="E6271" s="22" t="s">
        <v>96</v>
      </c>
      <c r="F6271" s="23" t="str">
        <f t="shared" si="131"/>
        <v>Организация горячего питания в ГБУ ПНИ № 4 в 2019 году (226-19-4-4)</v>
      </c>
      <c r="G6271" s="22" t="s">
        <v>56</v>
      </c>
      <c r="H6271" s="22" t="s">
        <v>56</v>
      </c>
      <c r="I6271" s="26">
        <v>43698.738692129598</v>
      </c>
      <c r="J6271" s="23" t="str">
        <f>HYPERLINK("https://www.spark-marketing.ru/Card/Person/5953802", "ООО ""РБЕ""")</f>
        <v>ООО "РБЕ"</v>
      </c>
      <c r="K6271" s="24" t="s">
        <v>7363</v>
      </c>
      <c r="L6271" s="28" t="s">
        <v>51</v>
      </c>
      <c r="M6271" s="25">
        <v>7809845.2199999997</v>
      </c>
      <c r="N6271" s="27">
        <v>0.12000000063099842</v>
      </c>
    </row>
    <row r="6272" spans="1:14" hidden="1" outlineLevel="1" x14ac:dyDescent="0.2">
      <c r="A6272" s="23" t="str">
        <f t="shared" si="130"/>
        <v>ГКУ "ДИРЕКЦИЯ ОДОТСЗН Г. МОСКВЫ"</v>
      </c>
      <c r="B6272" s="24" t="s">
        <v>164</v>
      </c>
      <c r="C6272" s="25">
        <v>8874824.1199999992</v>
      </c>
      <c r="D6272" s="22" t="s">
        <v>9608</v>
      </c>
      <c r="E6272" s="22" t="s">
        <v>96</v>
      </c>
      <c r="F6272" s="23" t="str">
        <f t="shared" si="131"/>
        <v>Организация горячего питания в ГБУ ПНИ № 4 в 2019 году (226-19-4-4)</v>
      </c>
      <c r="G6272" s="22" t="s">
        <v>56</v>
      </c>
      <c r="H6272" s="22" t="s">
        <v>56</v>
      </c>
      <c r="I6272" s="26">
        <v>43698.738692129598</v>
      </c>
      <c r="J6272" s="23" t="str">
        <f>HYPERLINK("https://www.spark-marketing.ru/Card/Person/6626150", "ООО ""РУС-ТРЕЙД""")</f>
        <v>ООО "РУС-ТРЕЙД"</v>
      </c>
      <c r="K6272" s="24" t="s">
        <v>6176</v>
      </c>
      <c r="L6272" s="28" t="s">
        <v>51</v>
      </c>
      <c r="M6272" s="25">
        <v>7765458.4900000002</v>
      </c>
      <c r="N6272" s="27">
        <v>0.12500142143661996</v>
      </c>
    </row>
    <row r="6273" spans="1:14" ht="12.75" hidden="1" outlineLevel="1" x14ac:dyDescent="0.2">
      <c r="A6273" s="23" t="str">
        <f t="shared" si="130"/>
        <v>ГКУ "ДИРЕКЦИЯ ОДОТСЗН Г. МОСКВЫ"</v>
      </c>
      <c r="B6273" s="24" t="s">
        <v>164</v>
      </c>
      <c r="C6273" s="25">
        <v>8874824.1199999992</v>
      </c>
      <c r="D6273" s="22" t="s">
        <v>9608</v>
      </c>
      <c r="E6273" s="22" t="s">
        <v>96</v>
      </c>
      <c r="F6273" s="23" t="str">
        <f t="shared" si="131"/>
        <v>Организация горячего питания в ГБУ ПНИ № 4 в 2019 году (226-19-4-4)</v>
      </c>
      <c r="G6273" s="22" t="s">
        <v>56</v>
      </c>
      <c r="H6273" s="22" t="s">
        <v>56</v>
      </c>
      <c r="I6273" s="26">
        <v>43698.738692129598</v>
      </c>
      <c r="J6273" s="23" t="str">
        <f>HYPERLINK("https://www.spark-marketing.ru/Card/Person/593174", "ООО ""А.М.К.+""")</f>
        <v>ООО "А.М.К.+"</v>
      </c>
      <c r="K6273" s="24" t="s">
        <v>7364</v>
      </c>
      <c r="L6273" s="22" t="s">
        <v>10</v>
      </c>
      <c r="M6273" s="25">
        <v>4082419.13</v>
      </c>
      <c r="N6273" s="27">
        <v>0.53999999607879556</v>
      </c>
    </row>
    <row r="6274" spans="1:14" hidden="1" outlineLevel="1" x14ac:dyDescent="0.2">
      <c r="A6274" s="23" t="str">
        <f t="shared" si="130"/>
        <v>ГКУ "ДИРЕКЦИЯ ОДОТСЗН Г. МОСКВЫ"</v>
      </c>
      <c r="B6274" s="24" t="s">
        <v>164</v>
      </c>
      <c r="C6274" s="25">
        <v>8874824.1199999992</v>
      </c>
      <c r="D6274" s="22" t="s">
        <v>9608</v>
      </c>
      <c r="E6274" s="22" t="s">
        <v>96</v>
      </c>
      <c r="F6274" s="23" t="str">
        <f t="shared" si="131"/>
        <v>Организация горячего питания в ГБУ ПНИ № 4 в 2019 году (226-19-4-4)</v>
      </c>
      <c r="G6274" s="22" t="s">
        <v>56</v>
      </c>
      <c r="H6274" s="22" t="s">
        <v>56</v>
      </c>
      <c r="I6274" s="26">
        <v>43698.738692129598</v>
      </c>
      <c r="J6274" s="23" t="str">
        <f>HYPERLINK("https://www.spark-marketing.ru/Card/Person/4684100", "ООО ""ТЕХНОЛОГИИ ВКУСА""")</f>
        <v>ООО "ТЕХНОЛОГИИ ВКУСА"</v>
      </c>
      <c r="K6274" s="24" t="s">
        <v>9609</v>
      </c>
      <c r="L6274" s="28" t="s">
        <v>51</v>
      </c>
      <c r="M6274" s="25">
        <v>4126793.25</v>
      </c>
      <c r="N6274" s="27">
        <v>0.53499999614640248</v>
      </c>
    </row>
    <row r="6275" spans="1:14" hidden="1" outlineLevel="1" x14ac:dyDescent="0.2">
      <c r="A6275" s="23" t="str">
        <f t="shared" si="130"/>
        <v>ГКУ "ДИРЕКЦИЯ ОДОТСЗН Г. МОСКВЫ"</v>
      </c>
      <c r="B6275" s="24" t="s">
        <v>164</v>
      </c>
      <c r="C6275" s="25">
        <v>8874824.1199999992</v>
      </c>
      <c r="D6275" s="22" t="s">
        <v>9608</v>
      </c>
      <c r="E6275" s="22" t="s">
        <v>96</v>
      </c>
      <c r="F6275" s="23" t="str">
        <f t="shared" si="131"/>
        <v>Организация горячего питания в ГБУ ПНИ № 4 в 2019 году (226-19-4-4)</v>
      </c>
      <c r="G6275" s="22" t="s">
        <v>56</v>
      </c>
      <c r="H6275" s="22" t="s">
        <v>56</v>
      </c>
      <c r="I6275" s="26">
        <v>43698.738692129598</v>
      </c>
      <c r="J6275" s="23" t="str">
        <f>HYPERLINK("https://www.spark-marketing.ru/Card/Person/2042423", "ООО ""ТФ ПРОДЖЕКТ""")</f>
        <v>ООО "ТФ ПРОДЖЕКТ"</v>
      </c>
      <c r="K6275" s="24" t="s">
        <v>9610</v>
      </c>
      <c r="L6275" s="28" t="s">
        <v>51</v>
      </c>
      <c r="M6275" s="25">
        <v>8386708.79</v>
      </c>
      <c r="N6275" s="27">
        <v>5.5000000383106186E-2</v>
      </c>
    </row>
    <row r="6276" spans="1:14" x14ac:dyDescent="0.15">
      <c r="A6276" s="23" t="str">
        <f>HYPERLINK("https://www.spark-marketing.ru/Card/Person/1038685", "МБУК КТЦ ""ЗВЁЗДНЫЙ""")</f>
        <v>МБУК КТЦ "ЗВЁЗДНЫЙ"</v>
      </c>
      <c r="B6276" s="24" t="s">
        <v>9611</v>
      </c>
      <c r="C6276" s="25">
        <v>136150</v>
      </c>
      <c r="D6276" s="22" t="s">
        <v>9612</v>
      </c>
      <c r="E6276" s="22" t="s">
        <v>81</v>
      </c>
      <c r="F6276" s="23" t="str">
        <f>HYPERLINK("https://www.spark-marketing.ru/Card/Lot/72943127", "Оказание услуг по размещению и питанию участников пленэра, при проведении IХ Курского международного пленэра художников «Курск - соловьиного края столица».")</f>
        <v>Оказание услуг по размещению и питанию участников пленэра, при проведении IХ Курского международного пленэра художников «Курск - соловьиного края столица».</v>
      </c>
      <c r="G6276" s="22" t="s">
        <v>1111</v>
      </c>
      <c r="H6276" s="22" t="s">
        <v>1112</v>
      </c>
      <c r="I6276" s="26">
        <v>43698.723611111098</v>
      </c>
      <c r="J6276" s="28" t="s">
        <v>51</v>
      </c>
      <c r="K6276" s="28" t="s">
        <v>51</v>
      </c>
      <c r="L6276" s="28" t="s">
        <v>51</v>
      </c>
      <c r="M6276" s="28" t="s">
        <v>51</v>
      </c>
      <c r="N6276" s="28" t="s">
        <v>51</v>
      </c>
    </row>
    <row r="6277" spans="1:14" x14ac:dyDescent="0.15">
      <c r="A6277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6277" s="24" t="s">
        <v>6705</v>
      </c>
      <c r="C6277" s="25">
        <v>4155000</v>
      </c>
      <c r="D6277" s="22" t="s">
        <v>9613</v>
      </c>
      <c r="E6277" s="22" t="s">
        <v>48</v>
      </c>
      <c r="F6277" s="23" t="str">
        <f>HYPERLINK("https://www.spark-marketing.ru/Card/Lot/72947277", "Оказание услуг по обеспечению трехразовым питанием (горячим) лиц, содержащихся в изоляторе временного содержания подозреваемых и обвиняемых (2020)")</f>
        <v>Оказание услуг по обеспечению трехразовым питанием (горячим) лиц, содержащихся в изоляторе временного содержания подозреваемых и обвиняемых (2020)</v>
      </c>
      <c r="G6277" s="22" t="s">
        <v>104</v>
      </c>
      <c r="H6277" s="22" t="s">
        <v>1689</v>
      </c>
      <c r="I6277" s="26">
        <v>43698.732673611099</v>
      </c>
      <c r="J6277" s="28" t="s">
        <v>51</v>
      </c>
      <c r="K6277" s="28" t="s">
        <v>51</v>
      </c>
      <c r="L6277" s="28" t="s">
        <v>51</v>
      </c>
      <c r="M6277" s="28" t="s">
        <v>51</v>
      </c>
      <c r="N6277" s="28" t="s">
        <v>51</v>
      </c>
    </row>
    <row r="6278" spans="1:14" x14ac:dyDescent="0.15">
      <c r="A6278" s="23" t="str">
        <f>HYPERLINK("https://www.spark-marketing.ru/Card/Person/1025266", "ТОГБПОУ ""ЖЕЛЕЗНОДОРОЖНЫЙ КОЛЛЕДЖ ИМЕНИ В.М. БАРАНОВА""")</f>
        <v>ТОГБПОУ "ЖЕЛЕЗНОДОРОЖНЫЙ КОЛЛЕДЖ ИМЕНИ В.М. БАРАНОВА"</v>
      </c>
      <c r="B6278" s="24" t="s">
        <v>9614</v>
      </c>
      <c r="C6278" s="25">
        <v>530400</v>
      </c>
      <c r="D6278" s="22" t="s">
        <v>9615</v>
      </c>
      <c r="E6278" s="22" t="s">
        <v>48</v>
      </c>
      <c r="F6278" s="23" t="str">
        <f>HYPERLINK("https://www.spark-marketing.ru/Card/Lot/72945072", "Оказание услуг по организации горячего питания (горячих обедов)")</f>
        <v>Оказание услуг по организации горячего питания (горячих обедов)</v>
      </c>
      <c r="G6278" s="22" t="s">
        <v>1370</v>
      </c>
      <c r="H6278" s="22" t="s">
        <v>9079</v>
      </c>
      <c r="I6278" s="26">
        <v>43698.715972222199</v>
      </c>
      <c r="J6278" s="23" t="str">
        <f>HYPERLINK("https://www.spark-marketing.ru/Card/Person/5905030", "ООО ""ЕКАТЕРИНА И КО""")</f>
        <v>ООО "ЕКАТЕРИНА И КО"</v>
      </c>
      <c r="K6278" s="24" t="s">
        <v>9616</v>
      </c>
      <c r="L6278" s="22" t="s">
        <v>10</v>
      </c>
      <c r="M6278" s="28" t="s">
        <v>51</v>
      </c>
      <c r="N6278" s="28" t="s">
        <v>51</v>
      </c>
    </row>
    <row r="6279" spans="1:14" x14ac:dyDescent="0.15">
      <c r="A6279" s="23" t="str">
        <f>HYPERLINK("https://www.spark-marketing.ru/Card/Person/28682", "ОГБУЗ ""ТУЛУНСКАЯ ГОРОДСКАЯ БОЛЬНИЦА""")</f>
        <v>ОГБУЗ "ТУЛУНСКАЯ ГОРОДСКАЯ БОЛЬНИЦА"</v>
      </c>
      <c r="B6279" s="24" t="s">
        <v>9617</v>
      </c>
      <c r="C6279" s="25">
        <v>4732250</v>
      </c>
      <c r="D6279" s="22" t="s">
        <v>9618</v>
      </c>
      <c r="E6279" s="22" t="s">
        <v>48</v>
      </c>
      <c r="F6279" s="23" t="str">
        <f>HYPERLINK("https://www.spark-marketing.ru/Card/Lot/72937805", "Услуги общественного питания")</f>
        <v>Услуги общественного питания</v>
      </c>
      <c r="G6279" s="22" t="s">
        <v>263</v>
      </c>
      <c r="H6279" s="22" t="s">
        <v>9619</v>
      </c>
      <c r="I6279" s="26">
        <v>43698.718182870398</v>
      </c>
      <c r="J6279" s="23" t="str">
        <f>HYPERLINK("https://www.spark-marketing.ru/Card/Person/267872", "МУП КШП Г.ТУЛУНА")</f>
        <v>МУП КШП Г.ТУЛУНА</v>
      </c>
      <c r="K6279" s="24" t="s">
        <v>4314</v>
      </c>
      <c r="L6279" s="22" t="s">
        <v>10</v>
      </c>
      <c r="M6279" s="28" t="s">
        <v>51</v>
      </c>
      <c r="N6279" s="28" t="s">
        <v>51</v>
      </c>
    </row>
    <row r="6280" spans="1:14" x14ac:dyDescent="0.15">
      <c r="A6280" s="23" t="str">
        <f>HYPERLINK("https://www.spark-marketing.ru/Card/Person/261186", "МО МВД РОССИИ ""ЖУКОВСКИЙ""")</f>
        <v>МО МВД РОССИИ "ЖУКОВСКИЙ"</v>
      </c>
      <c r="B6280" s="24" t="s">
        <v>3722</v>
      </c>
      <c r="C6280" s="25">
        <v>1067500</v>
      </c>
      <c r="D6280" s="22" t="s">
        <v>9620</v>
      </c>
      <c r="E6280" s="22" t="s">
        <v>48</v>
      </c>
      <c r="F6280" s="23" t="str">
        <f>HYPERLINK("https://www.spark-marketing.ru/Card/Lot/72946154", "Услуги по организации питания (ежедневное трехразовое горячее питание, в том числе в выходные и праздничные дни лиц, содержащихся в Центре временного содержания иностранных граждан   МО МВД России «Жуковский»")</f>
        <v>Услуги по организации питания (ежедневное трехразовое горячее питание, в том числе в выходные и праздничные дни лиц, содержащихся в Центре временного содержания иностранных граждан   МО МВД России «Жуковский»</v>
      </c>
      <c r="G6280" s="22" t="s">
        <v>475</v>
      </c>
      <c r="H6280" s="22" t="s">
        <v>475</v>
      </c>
      <c r="I6280" s="26">
        <v>43698.712835648097</v>
      </c>
      <c r="J6280" s="28" t="s">
        <v>51</v>
      </c>
      <c r="K6280" s="28" t="s">
        <v>51</v>
      </c>
      <c r="L6280" s="28" t="s">
        <v>51</v>
      </c>
      <c r="M6280" s="28" t="s">
        <v>51</v>
      </c>
      <c r="N6280" s="28" t="s">
        <v>51</v>
      </c>
    </row>
    <row r="6281" spans="1:14" x14ac:dyDescent="0.15">
      <c r="A6281" s="23" t="str">
        <f>HYPERLINK("https://www.spark-marketing.ru/Card/Person/261186", "МО МВД РОССИИ ""ЖУКОВСКИЙ""")</f>
        <v>МО МВД РОССИИ "ЖУКОВСКИЙ"</v>
      </c>
      <c r="B6281" s="24" t="s">
        <v>3722</v>
      </c>
      <c r="C6281" s="25">
        <v>640500</v>
      </c>
      <c r="D6281" s="22" t="s">
        <v>9621</v>
      </c>
      <c r="E6281" s="22" t="s">
        <v>48</v>
      </c>
      <c r="F6281" s="23" t="str">
        <f>HYPERLINK("https://www.spark-marketing.ru/Card/Lot/72946175", "Услуги по организации питания (ежедневное трехразовое горячее питание, в том числе в выходные и праздничные дни) для лиц, содержащихся в изоляторе временного содержания,  а также лиц, задержанных на срок более трех часов  МО МВД России «Жуковский»")</f>
        <v>Услуги по организации питания (ежедневное трехразовое горячее питание, в том числе в выходные и праздничные дни) для лиц, содержащихся в изоляторе временного содержания,  а также лиц, задержанных на срок более трех часов  МО МВД России «Жуковский»</v>
      </c>
      <c r="G6281" s="22" t="s">
        <v>475</v>
      </c>
      <c r="H6281" s="22" t="s">
        <v>475</v>
      </c>
      <c r="I6281" s="26">
        <v>43698.698599536998</v>
      </c>
      <c r="J6281" s="28" t="s">
        <v>51</v>
      </c>
      <c r="K6281" s="28" t="s">
        <v>51</v>
      </c>
      <c r="L6281" s="28" t="s">
        <v>51</v>
      </c>
      <c r="M6281" s="28" t="s">
        <v>51</v>
      </c>
      <c r="N6281" s="28" t="s">
        <v>51</v>
      </c>
    </row>
    <row r="6282" spans="1:14" x14ac:dyDescent="0.15">
      <c r="A6282" s="23" t="str">
        <f>HYPERLINK("https://www.spark-marketing.ru/Card/Person/998913", "ОМВД РОССИИ ""КОТЛАССКИЙ""")</f>
        <v>ОМВД РОССИИ "КОТЛАССКИЙ"</v>
      </c>
      <c r="B6282" s="24" t="s">
        <v>9622</v>
      </c>
      <c r="C6282" s="25">
        <v>2096213.61</v>
      </c>
      <c r="D6282" s="22" t="s">
        <v>9623</v>
      </c>
      <c r="E6282" s="22" t="s">
        <v>48</v>
      </c>
      <c r="F6282" s="23" t="str">
        <f>HYPERLINK("https://www.spark-marketing.ru/Card/Lot/72946099", "Услуги по организации горячего питания")</f>
        <v>Услуги по организации горячего питания</v>
      </c>
      <c r="G6282" s="22" t="s">
        <v>214</v>
      </c>
      <c r="H6282" s="22" t="s">
        <v>214</v>
      </c>
      <c r="I6282" s="26">
        <v>43698.686180555596</v>
      </c>
      <c r="J6282" s="23" t="str">
        <f>HYPERLINK("https://www.spark-marketing.ru/Card/Person/6412837", "Мильков Виталий Алексеевич")</f>
        <v>Мильков Виталий Алексеевич</v>
      </c>
      <c r="K6282" s="24" t="s">
        <v>9624</v>
      </c>
      <c r="L6282" s="22" t="s">
        <v>10</v>
      </c>
      <c r="M6282" s="28" t="s">
        <v>51</v>
      </c>
      <c r="N6282" s="28" t="s">
        <v>51</v>
      </c>
    </row>
    <row r="6283" spans="1:14" x14ac:dyDescent="0.15">
      <c r="A6283" s="23" t="str">
        <f>HYPERLINK("https://www.spark-marketing.ru/Card/Person/6493188", "О МВД РОССИИ ПО БАРГУЗИНСКОМУ РАЙОНУ")</f>
        <v>О МВД РОССИИ ПО БАРГУЗИНСКОМУ РАЙОНУ</v>
      </c>
      <c r="B6283" s="24" t="s">
        <v>9605</v>
      </c>
      <c r="C6283" s="25">
        <v>560120</v>
      </c>
      <c r="D6283" s="22" t="s">
        <v>9625</v>
      </c>
      <c r="E6283" s="22" t="s">
        <v>48</v>
      </c>
      <c r="F6283" s="23" t="str">
        <f>HYPERLINK("https://www.spark-marketing.ru/Card/Lot/72934698", "Оказание услуг по обеспечению питанием подозреваемых и обвиняемых лиц, лиц осужденных к лишению свободы и лиц административно арестованных, содержащихся в ИВС и КСЗЛ О МВД России по Баргузинскому району")</f>
        <v>Оказание услуг по обеспечению питанием подозреваемых и обвиняемых лиц, лиц осужденных к лишению свободы и лиц административно арестованных, содержащихся в ИВС и КСЗЛ О МВД России по Баргузинскому району</v>
      </c>
      <c r="G6283" s="22" t="s">
        <v>433</v>
      </c>
      <c r="H6283" s="22" t="s">
        <v>9607</v>
      </c>
      <c r="I6283" s="26">
        <v>43698.677164351902</v>
      </c>
      <c r="J6283" s="23" t="str">
        <f>HYPERLINK("https://www.spark-marketing.ru/Card/Person/214151", "ПО ""УТБ БКС""")</f>
        <v>ПО "УТБ БКС"</v>
      </c>
      <c r="K6283" s="24" t="s">
        <v>6695</v>
      </c>
      <c r="L6283" s="22" t="s">
        <v>10</v>
      </c>
      <c r="M6283" s="28" t="s">
        <v>51</v>
      </c>
      <c r="N6283" s="28" t="s">
        <v>51</v>
      </c>
    </row>
    <row r="6284" spans="1:14" x14ac:dyDescent="0.15">
      <c r="A6284" s="23" t="str">
        <f>HYPERLINK("https://www.spark-marketing.ru/Card/Person/1760888", "ГУ-ТОМСКОЕ РО ФОНДА СОЦИАЛЬНОГО СТРАХОВАНИЯ РОССИЙСКОЙ ФЕДЕРАЦИИ")</f>
        <v>ГУ-ТОМСКОЕ РО ФОНДА СОЦИАЛЬНОГО СТРАХОВАНИЯ РОССИЙСКОЙ ФЕДЕРАЦИИ</v>
      </c>
      <c r="B6284" s="24" t="s">
        <v>9626</v>
      </c>
      <c r="C6284" s="25">
        <v>583923.6</v>
      </c>
      <c r="D6284" s="22" t="s">
        <v>9627</v>
      </c>
      <c r="E6284" s="22" t="s">
        <v>86</v>
      </c>
      <c r="F6284" s="23" t="str">
        <f>HYPERLINK("https://www.spark-marketing.ru/Card/Lot/72934936", "Оказание услуг по санаторно-курортному лечению граждан получателей набора социальных услуг с заболеваниями по Классу IV МКБ-10 «Болезни эндокринной системы, расстройства питания и нарушения обмена веществ», с заболеваниями по Классу V МКБ-10 «Психиче...")</f>
        <v>Оказание услуг по санаторно-курортному лечению граждан получателей набора социальных услуг с заболеваниями по Классу IV МКБ-10 «Болезни эндокринной системы, расстройства питания и нарушения обмена веществ», с заболеваниями по Классу V МКБ-10 «Психиче...</v>
      </c>
      <c r="G6284" s="22" t="s">
        <v>149</v>
      </c>
      <c r="H6284" s="22" t="s">
        <v>496</v>
      </c>
      <c r="I6284" s="26">
        <v>43698.649166666699</v>
      </c>
      <c r="J6284" s="23" t="str">
        <f>HYPERLINK("https://www.spark-marketing.ru/Card/Person/530855", "ООО ""САНАТОРИЙ СИНИЙ УТЕС""")</f>
        <v>ООО "САНАТОРИЙ СИНИЙ УТЕС"</v>
      </c>
      <c r="K6284" s="24" t="s">
        <v>9628</v>
      </c>
      <c r="L6284" s="22" t="s">
        <v>10</v>
      </c>
      <c r="M6284" s="28" t="s">
        <v>51</v>
      </c>
      <c r="N6284" s="28" t="s">
        <v>51</v>
      </c>
    </row>
    <row r="6285" spans="1:14" x14ac:dyDescent="0.15">
      <c r="A6285" s="23" t="str">
        <f>HYPERLINK("https://www.spark-marketing.ru/Card/Person/123675", "МОУ КВАШЁНКОВСКАЯ СОШ")</f>
        <v>МОУ КВАШЁНКОВСКАЯ СОШ</v>
      </c>
      <c r="B6285" s="24" t="s">
        <v>524</v>
      </c>
      <c r="C6285" s="25">
        <v>328400.96999999997</v>
      </c>
      <c r="D6285" s="22" t="s">
        <v>9629</v>
      </c>
      <c r="E6285" s="22" t="s">
        <v>48</v>
      </c>
      <c r="F6285" s="23" t="str">
        <f>HYPERLINK("https://www.spark-marketing.ru/Card/Lot/72944652", "Услуги по организации горячего питания учащимся МОУ Квашенковская СОШ с 01.09.2019 по 31.10.2019 года")</f>
        <v>Услуги по организации горячего питания учащимся МОУ Квашенковская СОШ с 01.09.2019 по 31.10.2019 года</v>
      </c>
      <c r="G6285" s="22" t="s">
        <v>49</v>
      </c>
      <c r="H6285" s="22" t="s">
        <v>49</v>
      </c>
      <c r="I6285" s="26">
        <v>43698.689756944397</v>
      </c>
      <c r="J6285" s="28" t="s">
        <v>51</v>
      </c>
      <c r="K6285" s="28" t="s">
        <v>51</v>
      </c>
      <c r="L6285" s="28" t="s">
        <v>51</v>
      </c>
      <c r="M6285" s="28" t="s">
        <v>51</v>
      </c>
      <c r="N6285" s="28" t="s">
        <v>51</v>
      </c>
    </row>
    <row r="6286" spans="1:14" ht="12.75" hidden="1" outlineLevel="1" x14ac:dyDescent="0.2">
      <c r="A6286" s="23" t="str">
        <f>HYPERLINK("https://www.spark-marketing.ru/Card/Person/123675", "МОУ КВАШЁНКОВСКАЯ СОШ")</f>
        <v>МОУ КВАШЁНКОВСКАЯ СОШ</v>
      </c>
      <c r="B6286" s="24" t="s">
        <v>524</v>
      </c>
      <c r="C6286" s="25">
        <v>328400.96999999997</v>
      </c>
      <c r="D6286" s="22" t="s">
        <v>9629</v>
      </c>
      <c r="E6286" s="22" t="s">
        <v>48</v>
      </c>
      <c r="F6286" s="23" t="str">
        <f>HYPERLINK("https://www.spark-marketing.ru/Card/Lot/72944652", "Услуги по организации горячего питания учащимся МОУ Квашенковская СОШ с 01.09.2019 по 31.10.2019 года")</f>
        <v>Услуги по организации горячего питания учащимся МОУ Квашенковская СОШ с 01.09.2019 по 31.10.2019 года</v>
      </c>
      <c r="G6286" s="22" t="s">
        <v>49</v>
      </c>
      <c r="H6286" s="22" t="s">
        <v>49</v>
      </c>
      <c r="I6286" s="26">
        <v>43698.689756944397</v>
      </c>
      <c r="J6286" s="23" t="str">
        <f>HYPERLINK("https://www.spark-marketing.ru/Card/Person/75516", "ООО ""КОНЦЕПТ""")</f>
        <v>ООО "КОНЦЕПТ"</v>
      </c>
      <c r="K6286" s="24" t="s">
        <v>1717</v>
      </c>
      <c r="L6286" s="22" t="s">
        <v>10</v>
      </c>
      <c r="M6286" s="25">
        <v>303451.18</v>
      </c>
      <c r="N6286" s="27">
        <v>7.5973557568968203E-2</v>
      </c>
    </row>
    <row r="6287" spans="1:14" hidden="1" outlineLevel="1" x14ac:dyDescent="0.2">
      <c r="A6287" s="23" t="str">
        <f>HYPERLINK("https://www.spark-marketing.ru/Card/Person/123675", "МОУ КВАШЁНКОВСКАЯ СОШ")</f>
        <v>МОУ КВАШЁНКОВСКАЯ СОШ</v>
      </c>
      <c r="B6287" s="24" t="s">
        <v>524</v>
      </c>
      <c r="C6287" s="25">
        <v>328400.96999999997</v>
      </c>
      <c r="D6287" s="22" t="s">
        <v>9629</v>
      </c>
      <c r="E6287" s="22" t="s">
        <v>48</v>
      </c>
      <c r="F6287" s="23" t="str">
        <f>HYPERLINK("https://www.spark-marketing.ru/Card/Lot/72944652", "Услуги по организации горячего питания учащимся МОУ Квашенковская СОШ с 01.09.2019 по 31.10.2019 года")</f>
        <v>Услуги по организации горячего питания учащимся МОУ Квашенковская СОШ с 01.09.2019 по 31.10.2019 года</v>
      </c>
      <c r="G6287" s="22" t="s">
        <v>49</v>
      </c>
      <c r="H6287" s="22" t="s">
        <v>49</v>
      </c>
      <c r="I6287" s="26">
        <v>43698.689756944397</v>
      </c>
      <c r="J6287" s="23" t="str">
        <f>HYPERLINK("https://www.spark-marketing.ru/Card/Person/31262", "ООО ""АЛЬЯНС""")</f>
        <v>ООО "АЛЬЯНС"</v>
      </c>
      <c r="K6287" s="24" t="s">
        <v>1718</v>
      </c>
      <c r="L6287" s="28" t="s">
        <v>51</v>
      </c>
      <c r="M6287" s="25">
        <v>307054.84000000003</v>
      </c>
      <c r="N6287" s="27">
        <v>6.5000203866632911E-2</v>
      </c>
    </row>
    <row r="6288" spans="1:14" x14ac:dyDescent="0.15">
      <c r="A6288" s="23" t="str">
        <f>HYPERLINK("https://www.spark-marketing.ru/Card/Person/34205", "МВД ПО РЕСПУБЛИКЕ ТАТАРСТАН")</f>
        <v>МВД ПО РЕСПУБЛИКЕ ТАТАРСТАН</v>
      </c>
      <c r="B6288" s="24" t="s">
        <v>5565</v>
      </c>
      <c r="C6288" s="25">
        <v>102875.96</v>
      </c>
      <c r="D6288" s="22" t="s">
        <v>9630</v>
      </c>
      <c r="E6288" s="22" t="s">
        <v>9631</v>
      </c>
      <c r="F6288" s="23" t="str">
        <f>HYPERLINK("https://www.spark-marketing.ru/Card/Lot/72944582", "Прочая закупка товаров, работ и услуг (Поставка электронных носителей информации и элементов питания для нужд МВД по Республике Татарстан)")</f>
        <v>Прочая закупка товаров, работ и услуг (Поставка электронных носителей информации и элементов питания для нужд МВД по Республике Татарстан)</v>
      </c>
      <c r="G6288" s="22" t="s">
        <v>217</v>
      </c>
      <c r="H6288" s="22" t="s">
        <v>937</v>
      </c>
      <c r="I6288" s="26">
        <v>43698.631180555603</v>
      </c>
      <c r="J6288" s="28" t="s">
        <v>51</v>
      </c>
      <c r="K6288" s="28" t="s">
        <v>51</v>
      </c>
      <c r="L6288" s="28" t="s">
        <v>51</v>
      </c>
      <c r="M6288" s="28" t="s">
        <v>51</v>
      </c>
      <c r="N6288" s="28" t="s">
        <v>51</v>
      </c>
    </row>
    <row r="6289" spans="1:14" ht="12.75" hidden="1" outlineLevel="1" x14ac:dyDescent="0.2">
      <c r="A6289" s="23" t="str">
        <f>HYPERLINK("https://www.spark-marketing.ru/Card/Person/34205", "МВД ПО РЕСПУБЛИКЕ ТАТАРСТАН")</f>
        <v>МВД ПО РЕСПУБЛИКЕ ТАТАРСТАН</v>
      </c>
      <c r="B6289" s="24" t="s">
        <v>5565</v>
      </c>
      <c r="C6289" s="25">
        <v>102875.96</v>
      </c>
      <c r="D6289" s="22" t="s">
        <v>9630</v>
      </c>
      <c r="E6289" s="22" t="s">
        <v>9631</v>
      </c>
      <c r="F6289" s="23" t="str">
        <f>HYPERLINK("https://www.spark-marketing.ru/Card/Lot/72944582", "Прочая закупка товаров, работ и услуг (Поставка электронных носителей информации и элементов питания для нужд МВД по Республике Татарстан)")</f>
        <v>Прочая закупка товаров, работ и услуг (Поставка электронных носителей информации и элементов питания для нужд МВД по Республике Татарстан)</v>
      </c>
      <c r="G6289" s="22" t="s">
        <v>217</v>
      </c>
      <c r="H6289" s="22" t="s">
        <v>937</v>
      </c>
      <c r="I6289" s="26">
        <v>43698.631180555603</v>
      </c>
      <c r="J6289" s="23" t="str">
        <f>HYPERLINK("https://www.spark-marketing.ru/Card/Person/217463", "ООО ""САМНЕТ""")</f>
        <v>ООО "САМНЕТ"</v>
      </c>
      <c r="K6289" s="24" t="s">
        <v>9632</v>
      </c>
      <c r="L6289" s="22" t="s">
        <v>10</v>
      </c>
      <c r="M6289" s="25">
        <v>89502.080000000002</v>
      </c>
      <c r="N6289" s="27">
        <v>0.13000005054630839</v>
      </c>
    </row>
    <row r="6290" spans="1:14" hidden="1" outlineLevel="1" x14ac:dyDescent="0.2">
      <c r="A6290" s="23" t="str">
        <f>HYPERLINK("https://www.spark-marketing.ru/Card/Person/34205", "МВД ПО РЕСПУБЛИКЕ ТАТАРСТАН")</f>
        <v>МВД ПО РЕСПУБЛИКЕ ТАТАРСТАН</v>
      </c>
      <c r="B6290" s="24" t="s">
        <v>5565</v>
      </c>
      <c r="C6290" s="25">
        <v>102875.96</v>
      </c>
      <c r="D6290" s="22" t="s">
        <v>9630</v>
      </c>
      <c r="E6290" s="22" t="s">
        <v>9631</v>
      </c>
      <c r="F6290" s="23" t="str">
        <f>HYPERLINK("https://www.spark-marketing.ru/Card/Lot/72944582", "Прочая закупка товаров, работ и услуг (Поставка электронных носителей информации и элементов питания для нужд МВД по Республике Татарстан)")</f>
        <v>Прочая закупка товаров, работ и услуг (Поставка электронных носителей информации и элементов питания для нужд МВД по Республике Татарстан)</v>
      </c>
      <c r="G6290" s="22" t="s">
        <v>217</v>
      </c>
      <c r="H6290" s="22" t="s">
        <v>937</v>
      </c>
      <c r="I6290" s="26">
        <v>43698.631180555603</v>
      </c>
      <c r="J6290" s="23" t="str">
        <f>HYPERLINK("https://www.spark-marketing.ru/Card/Person/5662396", "Захарченко Надежда Дмитриевна")</f>
        <v>Захарченко Надежда Дмитриевна</v>
      </c>
      <c r="K6290" s="24" t="s">
        <v>9633</v>
      </c>
      <c r="L6290" s="28" t="s">
        <v>51</v>
      </c>
      <c r="M6290" s="25">
        <v>90016.46</v>
      </c>
      <c r="N6290" s="27">
        <v>0.12500004860221961</v>
      </c>
    </row>
    <row r="6291" spans="1:14" x14ac:dyDescent="0.15">
      <c r="A6291" s="23" t="str">
        <f>HYPERLINK("https://www.spark-marketing.ru/Card/Person/4365627", "ООО ""РН-БУРЕНИЕ""")</f>
        <v>ООО "РН-БУРЕНИЕ"</v>
      </c>
      <c r="B6291" s="24" t="s">
        <v>7087</v>
      </c>
      <c r="C6291" s="25">
        <v>48648256.420000002</v>
      </c>
      <c r="D6291" s="22" t="s">
        <v>9634</v>
      </c>
      <c r="E6291" s="22" t="s">
        <v>362</v>
      </c>
      <c r="F6291" s="23" t="str">
        <f>HYPERLINK("https://www.spark-marketing.ru/Card/Lot/72944820", "Услуги по организации питания на месторождениях для Губкинского филиала ООО ""РН-Бурение"".")</f>
        <v>Услуги по организации питания на месторождениях для Губкинского филиала ООО "РН-Бурение".</v>
      </c>
      <c r="G6291" s="22" t="s">
        <v>56</v>
      </c>
      <c r="H6291" s="22" t="s">
        <v>56</v>
      </c>
      <c r="I6291" s="26">
        <v>43698.702777777798</v>
      </c>
      <c r="J6291" s="28" t="s">
        <v>51</v>
      </c>
      <c r="K6291" s="28" t="s">
        <v>51</v>
      </c>
      <c r="L6291" s="28" t="s">
        <v>51</v>
      </c>
      <c r="M6291" s="28" t="s">
        <v>51</v>
      </c>
      <c r="N6291" s="28" t="s">
        <v>51</v>
      </c>
    </row>
    <row r="6292" spans="1:14" x14ac:dyDescent="0.15">
      <c r="A6292" s="23" t="str">
        <f>HYPERLINK("https://www.spark-marketing.ru/Card/Person/34205", "МВД ПО РЕСПУБЛИКЕ ТАТАРСТАН")</f>
        <v>МВД ПО РЕСПУБЛИКЕ ТАТАРСТАН</v>
      </c>
      <c r="B6292" s="24" t="s">
        <v>5565</v>
      </c>
      <c r="C6292" s="25">
        <v>97959.09</v>
      </c>
      <c r="D6292" s="22" t="s">
        <v>9635</v>
      </c>
      <c r="E6292" s="22" t="s">
        <v>9636</v>
      </c>
      <c r="F6292" s="23" t="str">
        <f>HYPERLINK("https://www.spark-marketing.ru/Card/Lot/72944578", "Прочая закупка товаров, работ и услуг (Поставка электронных носителей информации и элементов питания для нужд МВД по Республике Татарстан)")</f>
        <v>Прочая закупка товаров, работ и услуг (Поставка электронных носителей информации и элементов питания для нужд МВД по Республике Татарстан)</v>
      </c>
      <c r="G6292" s="22" t="s">
        <v>217</v>
      </c>
      <c r="H6292" s="22" t="s">
        <v>937</v>
      </c>
      <c r="I6292" s="26">
        <v>43698.629224536999</v>
      </c>
      <c r="J6292" s="28" t="s">
        <v>51</v>
      </c>
      <c r="K6292" s="28" t="s">
        <v>51</v>
      </c>
      <c r="L6292" s="28" t="s">
        <v>51</v>
      </c>
      <c r="M6292" s="28" t="s">
        <v>51</v>
      </c>
      <c r="N6292" s="28" t="s">
        <v>51</v>
      </c>
    </row>
    <row r="6293" spans="1:14" ht="12.75" hidden="1" outlineLevel="1" x14ac:dyDescent="0.2">
      <c r="A6293" s="23" t="str">
        <f>HYPERLINK("https://www.spark-marketing.ru/Card/Person/34205", "МВД ПО РЕСПУБЛИКЕ ТАТАРСТАН")</f>
        <v>МВД ПО РЕСПУБЛИКЕ ТАТАРСТАН</v>
      </c>
      <c r="B6293" s="24" t="s">
        <v>5565</v>
      </c>
      <c r="C6293" s="25">
        <v>97959.09</v>
      </c>
      <c r="D6293" s="22" t="s">
        <v>9635</v>
      </c>
      <c r="E6293" s="22" t="s">
        <v>9636</v>
      </c>
      <c r="F6293" s="23" t="str">
        <f>HYPERLINK("https://www.spark-marketing.ru/Card/Lot/72944578", "Прочая закупка товаров, работ и услуг (Поставка электронных носителей информации и элементов питания для нужд МВД по Республике Татарстан)")</f>
        <v>Прочая закупка товаров, работ и услуг (Поставка электронных носителей информации и элементов питания для нужд МВД по Республике Татарстан)</v>
      </c>
      <c r="G6293" s="22" t="s">
        <v>217</v>
      </c>
      <c r="H6293" s="22" t="s">
        <v>937</v>
      </c>
      <c r="I6293" s="26">
        <v>43698.629224536999</v>
      </c>
      <c r="J6293" s="23" t="str">
        <f>HYPERLINK("https://www.spark-marketing.ru/Card/Person/498039", "ООО ""ТД ""РАВНОВЕСИЕ""")</f>
        <v>ООО "ТД "РАВНОВЕСИЕ"</v>
      </c>
      <c r="K6293" s="24" t="s">
        <v>9637</v>
      </c>
      <c r="L6293" s="22" t="s">
        <v>10</v>
      </c>
      <c r="M6293" s="25">
        <v>82000</v>
      </c>
      <c r="N6293" s="27">
        <v>0.16291586620496373</v>
      </c>
    </row>
    <row r="6294" spans="1:14" hidden="1" outlineLevel="1" x14ac:dyDescent="0.2">
      <c r="A6294" s="23" t="str">
        <f>HYPERLINK("https://www.spark-marketing.ru/Card/Person/34205", "МВД ПО РЕСПУБЛИКЕ ТАТАРСТАН")</f>
        <v>МВД ПО РЕСПУБЛИКЕ ТАТАРСТАН</v>
      </c>
      <c r="B6294" s="24" t="s">
        <v>5565</v>
      </c>
      <c r="C6294" s="25">
        <v>97959.09</v>
      </c>
      <c r="D6294" s="22" t="s">
        <v>9635</v>
      </c>
      <c r="E6294" s="22" t="s">
        <v>9636</v>
      </c>
      <c r="F6294" s="23" t="str">
        <f>HYPERLINK("https://www.spark-marketing.ru/Card/Lot/72944578", "Прочая закупка товаров, работ и услуг (Поставка электронных носителей информации и элементов питания для нужд МВД по Республике Татарстан)")</f>
        <v>Прочая закупка товаров, работ и услуг (Поставка электронных носителей информации и элементов питания для нужд МВД по Республике Татарстан)</v>
      </c>
      <c r="G6294" s="22" t="s">
        <v>217</v>
      </c>
      <c r="H6294" s="22" t="s">
        <v>937</v>
      </c>
      <c r="I6294" s="26">
        <v>43698.629224536999</v>
      </c>
      <c r="J6294" s="23" t="str">
        <f>HYPERLINK("https://www.spark-marketing.ru/Card/Person/5662396", "Захарченко Надежда Дмитриевна")</f>
        <v>Захарченко Надежда Дмитриевна</v>
      </c>
      <c r="K6294" s="24" t="s">
        <v>9633</v>
      </c>
      <c r="L6294" s="28" t="s">
        <v>51</v>
      </c>
      <c r="M6294" s="25">
        <v>85224.34</v>
      </c>
      <c r="N6294" s="27">
        <v>0.1300006972298334</v>
      </c>
    </row>
    <row r="6295" spans="1:14" x14ac:dyDescent="0.15">
      <c r="A6295" s="23" t="str">
        <f>HYPERLINK("https://www.spark-marketing.ru/Card/Person/35183", "УМВД РОССИИ ПО ВЫБОРГСКОМУ РАЙОНУ Г. СПБ")</f>
        <v>УМВД РОССИИ ПО ВЫБОРГСКОМУ РАЙОНУ Г. СПБ</v>
      </c>
      <c r="B6295" s="24" t="s">
        <v>9638</v>
      </c>
      <c r="C6295" s="25">
        <v>399860.4</v>
      </c>
      <c r="D6295" s="22" t="s">
        <v>9639</v>
      </c>
      <c r="E6295" s="22" t="s">
        <v>48</v>
      </c>
      <c r="F6295" s="23" t="str">
        <f>HYPERLINK("https://www.spark-marketing.ru/Card/Lot/72944871", "Услуги по обеспечению трехразовым горячим питанием")</f>
        <v>Услуги по обеспечению трехразовым горячим питанием</v>
      </c>
      <c r="G6295" s="22" t="s">
        <v>117</v>
      </c>
      <c r="H6295" s="22" t="s">
        <v>117</v>
      </c>
      <c r="I6295" s="26">
        <v>43698.454571759299</v>
      </c>
      <c r="J6295" s="23" t="str">
        <f>HYPERLINK("https://www.spark-marketing.ru/Card/Person/5806601", "ООО ""СП ВЫБОРГСКИЙ""")</f>
        <v>ООО "СП ВЫБОРГСКИЙ"</v>
      </c>
      <c r="K6295" s="24" t="s">
        <v>9640</v>
      </c>
      <c r="L6295" s="22" t="s">
        <v>10</v>
      </c>
      <c r="M6295" s="28" t="s">
        <v>51</v>
      </c>
      <c r="N6295" s="28" t="s">
        <v>51</v>
      </c>
    </row>
    <row r="6296" spans="1:14" x14ac:dyDescent="0.15">
      <c r="A6296" s="23" t="str">
        <f>HYPERLINK("https://www.spark-marketing.ru/Card/Person/1025266", "ТОГБПОУ ""ЖЕЛЕЗНОДОРОЖНЫЙ КОЛЛЕДЖ ИМЕНИ В.М. БАРАНОВА""")</f>
        <v>ТОГБПОУ "ЖЕЛЕЗНОДОРОЖНЫЙ КОЛЛЕДЖ ИМЕНИ В.М. БАРАНОВА"</v>
      </c>
      <c r="B6296" s="24" t="s">
        <v>9614</v>
      </c>
      <c r="C6296" s="25">
        <v>78000</v>
      </c>
      <c r="D6296" s="22" t="s">
        <v>9641</v>
      </c>
      <c r="E6296" s="22" t="s">
        <v>48</v>
      </c>
      <c r="F6296" s="23" t="str">
        <f>HYPERLINK("https://www.spark-marketing.ru/Card/Lot/72945941", "Оказание услуг по организации горячего питания (горячее питание)")</f>
        <v>Оказание услуг по организации горячего питания (горячее питание)</v>
      </c>
      <c r="G6296" s="22" t="s">
        <v>1370</v>
      </c>
      <c r="H6296" s="22" t="s">
        <v>9079</v>
      </c>
      <c r="I6296" s="26">
        <v>43698.706307870401</v>
      </c>
      <c r="J6296" s="28" t="s">
        <v>51</v>
      </c>
      <c r="K6296" s="28" t="s">
        <v>51</v>
      </c>
      <c r="L6296" s="28" t="s">
        <v>51</v>
      </c>
      <c r="M6296" s="28" t="s">
        <v>51</v>
      </c>
      <c r="N6296" s="28" t="s">
        <v>51</v>
      </c>
    </row>
    <row r="6297" spans="1:14" x14ac:dyDescent="0.15">
      <c r="A6297" s="23" t="str">
        <f>HYPERLINK("https://www.spark-marketing.ru/Card/Person/308874", "ОТДЕЛ МВД РОССИИ ПО ВЕРХНЕМАМОНСКОМУ РАЙОНУ")</f>
        <v>ОТДЕЛ МВД РОССИИ ПО ВЕРХНЕМАМОНСКОМУ РАЙОНУ</v>
      </c>
      <c r="B6297" s="24" t="s">
        <v>9514</v>
      </c>
      <c r="C6297" s="25">
        <v>160</v>
      </c>
      <c r="D6297" s="22" t="s">
        <v>9642</v>
      </c>
      <c r="E6297" s="22" t="s">
        <v>48</v>
      </c>
      <c r="F6297" s="23" t="str">
        <f>HYPERLINK("https://www.spark-marketing.ru/Card/Lot/72940655",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297" s="22" t="s">
        <v>82</v>
      </c>
      <c r="H6297" s="22" t="s">
        <v>9516</v>
      </c>
      <c r="I6297" s="26">
        <v>43698.674085648097</v>
      </c>
      <c r="J6297" s="28" t="s">
        <v>51</v>
      </c>
      <c r="K6297" s="28" t="s">
        <v>51</v>
      </c>
      <c r="L6297" s="28" t="s">
        <v>51</v>
      </c>
      <c r="M6297" s="28" t="s">
        <v>51</v>
      </c>
      <c r="N6297" s="28" t="s">
        <v>51</v>
      </c>
    </row>
    <row r="6298" spans="1:14" x14ac:dyDescent="0.2">
      <c r="A6298" s="23" t="str">
        <f>HYPERLINK("https://www.spark-marketing.ru/Card/Person/66262", "ГБПОУ РО ""КТСИА""")</f>
        <v>ГБПОУ РО "КТСИА"</v>
      </c>
      <c r="B6298" s="24" t="s">
        <v>9643</v>
      </c>
      <c r="C6298" s="25">
        <v>1576172</v>
      </c>
      <c r="D6298" s="22" t="s">
        <v>9644</v>
      </c>
      <c r="E6298" s="22" t="s">
        <v>48</v>
      </c>
      <c r="F6298" s="23" t="str">
        <f>HYPERLINK("https://www.spark-marketing.ru/Card/Lot/72949974", "Оказание услуг по организации горячего питания обучающихся")</f>
        <v>Оказание услуг по организации горячего питания обучающихся</v>
      </c>
      <c r="G6298" s="22" t="s">
        <v>267</v>
      </c>
      <c r="H6298" s="22" t="s">
        <v>9645</v>
      </c>
      <c r="I6298" s="26">
        <v>43698.674386574101</v>
      </c>
      <c r="J6298" s="23" t="str">
        <f>HYPERLINK("https://www.spark-marketing.ru/Card/Person/4852527", "ООО ""ВИКТОРИЯ""")</f>
        <v>ООО "ВИКТОРИЯ"</v>
      </c>
      <c r="K6298" s="24" t="s">
        <v>2162</v>
      </c>
      <c r="L6298" s="28" t="s">
        <v>51</v>
      </c>
      <c r="M6298" s="25">
        <v>1576172</v>
      </c>
      <c r="N6298" s="27">
        <v>0</v>
      </c>
    </row>
    <row r="6299" spans="1:14" x14ac:dyDescent="0.15">
      <c r="A6299" s="23" t="s">
        <v>114</v>
      </c>
      <c r="B6299" s="28" t="s">
        <v>51</v>
      </c>
      <c r="C6299" s="25">
        <v>3271234.56</v>
      </c>
      <c r="D6299" s="22" t="s">
        <v>9646</v>
      </c>
      <c r="E6299" s="22" t="s">
        <v>48</v>
      </c>
      <c r="F6299" s="23" t="str">
        <f t="shared" ref="F6299:F6313" si="132">HYPERLINK("https://www.spark-marketing.ru/Card/Lot/72950164", "оказание услуг по организации сбалансированного питания воспитанников для нужд муниципальных автономных дошкольных образовательных учреждений")</f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299" s="22" t="s">
        <v>51</v>
      </c>
      <c r="H6299" s="22" t="s">
        <v>51</v>
      </c>
      <c r="I6299" s="26">
        <v>43698.676342592596</v>
      </c>
      <c r="J6299" s="28" t="s">
        <v>51</v>
      </c>
      <c r="K6299" s="28" t="s">
        <v>51</v>
      </c>
      <c r="L6299" s="28" t="s">
        <v>51</v>
      </c>
      <c r="M6299" s="28" t="s">
        <v>51</v>
      </c>
      <c r="N6299" s="28" t="s">
        <v>51</v>
      </c>
    </row>
    <row r="6300" spans="1:14" hidden="1" outlineLevel="1" x14ac:dyDescent="0.15">
      <c r="A6300" s="23" t="str">
        <f>HYPERLINK("https://www.spark-marketing.ru/Card/Person/88456", "МАДОУ ""ДЕТСКИЙ САД КОМБИНИРОВАННОГО ВИДА №109 ""КУРАЙ""")</f>
        <v>МАДОУ "ДЕТСКИЙ САД КОМБИНИРОВАННОГО ВИДА №109 "КУРАЙ"</v>
      </c>
      <c r="B6300" s="24" t="s">
        <v>9647</v>
      </c>
      <c r="C6300" s="25">
        <v>380209.28</v>
      </c>
      <c r="D6300" s="22" t="s">
        <v>9646</v>
      </c>
      <c r="E6300" s="22" t="s">
        <v>48</v>
      </c>
      <c r="F6300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00" s="22" t="s">
        <v>217</v>
      </c>
      <c r="H6300" s="22" t="s">
        <v>1998</v>
      </c>
      <c r="I6300" s="26">
        <v>43698.676342592596</v>
      </c>
      <c r="J6300" s="28" t="s">
        <v>51</v>
      </c>
      <c r="K6300" s="28" t="s">
        <v>51</v>
      </c>
      <c r="L6300" s="28" t="s">
        <v>51</v>
      </c>
      <c r="M6300" s="28" t="s">
        <v>51</v>
      </c>
      <c r="N6300" s="28" t="s">
        <v>51</v>
      </c>
    </row>
    <row r="6301" spans="1:14" hidden="1" outlineLevel="1" x14ac:dyDescent="0.15">
      <c r="A6301" s="23" t="str">
        <f>HYPERLINK("https://www.spark-marketing.ru/Card/Person/87396", "МАДОУ ""ДЕТСКИЙ САД КОМБИНИРОВАННОГО ВИДА №110 ""КУРОЧКА РЯБА""")</f>
        <v>МАДОУ "ДЕТСКИЙ САД КОМБИНИРОВАННОГО ВИДА №110 "КУРОЧКА РЯБА"</v>
      </c>
      <c r="B6301" s="24" t="s">
        <v>9648</v>
      </c>
      <c r="C6301" s="25">
        <v>459120.64000000001</v>
      </c>
      <c r="D6301" s="22" t="s">
        <v>9646</v>
      </c>
      <c r="E6301" s="22" t="s">
        <v>48</v>
      </c>
      <c r="F6301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01" s="22" t="s">
        <v>217</v>
      </c>
      <c r="H6301" s="22" t="s">
        <v>1998</v>
      </c>
      <c r="I6301" s="26">
        <v>43698.676342592596</v>
      </c>
      <c r="J6301" s="28" t="s">
        <v>51</v>
      </c>
      <c r="K6301" s="28" t="s">
        <v>51</v>
      </c>
      <c r="L6301" s="28" t="s">
        <v>51</v>
      </c>
      <c r="M6301" s="28" t="s">
        <v>51</v>
      </c>
      <c r="N6301" s="28" t="s">
        <v>51</v>
      </c>
    </row>
    <row r="6302" spans="1:14" hidden="1" outlineLevel="1" x14ac:dyDescent="0.15">
      <c r="A6302" s="23" t="str">
        <f>HYPERLINK("https://www.spark-marketing.ru/Card/Person/87712", "МАДОУ ""ДЕТСКИЙ САД №29 ""БЕРЕЗКА""")</f>
        <v>МАДОУ "ДЕТСКИЙ САД №29 "БЕРЕЗКА"</v>
      </c>
      <c r="B6302" s="24" t="s">
        <v>9649</v>
      </c>
      <c r="C6302" s="25">
        <v>265429.12</v>
      </c>
      <c r="D6302" s="22" t="s">
        <v>9646</v>
      </c>
      <c r="E6302" s="22" t="s">
        <v>48</v>
      </c>
      <c r="F6302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02" s="22" t="s">
        <v>217</v>
      </c>
      <c r="H6302" s="22" t="s">
        <v>1998</v>
      </c>
      <c r="I6302" s="26">
        <v>43698.676342592596</v>
      </c>
      <c r="J6302" s="28" t="s">
        <v>51</v>
      </c>
      <c r="K6302" s="28" t="s">
        <v>51</v>
      </c>
      <c r="L6302" s="28" t="s">
        <v>51</v>
      </c>
      <c r="M6302" s="28" t="s">
        <v>51</v>
      </c>
      <c r="N6302" s="28" t="s">
        <v>51</v>
      </c>
    </row>
    <row r="6303" spans="1:14" hidden="1" outlineLevel="1" x14ac:dyDescent="0.15">
      <c r="A6303" s="23" t="str">
        <f>HYPERLINK("https://www.spark-marketing.ru/Card/Person/88348", "МАДОУ ""ЦЕНТР РАЗВИТИЯ РЕБЕНКА - ДЕТСКИЙ САД №64 ""ЛАНДЫШ""")</f>
        <v>МАДОУ "ЦЕНТР РАЗВИТИЯ РЕБЕНКА - ДЕТСКИЙ САД №64 "ЛАНДЫШ"</v>
      </c>
      <c r="B6303" s="24" t="s">
        <v>9650</v>
      </c>
      <c r="C6303" s="25">
        <v>143475.20000000001</v>
      </c>
      <c r="D6303" s="22" t="s">
        <v>9646</v>
      </c>
      <c r="E6303" s="22" t="s">
        <v>48</v>
      </c>
      <c r="F6303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03" s="22" t="s">
        <v>217</v>
      </c>
      <c r="H6303" s="22" t="s">
        <v>1998</v>
      </c>
      <c r="I6303" s="26">
        <v>43698.676342592596</v>
      </c>
      <c r="J6303" s="28" t="s">
        <v>51</v>
      </c>
      <c r="K6303" s="28" t="s">
        <v>51</v>
      </c>
      <c r="L6303" s="28" t="s">
        <v>51</v>
      </c>
      <c r="M6303" s="28" t="s">
        <v>51</v>
      </c>
      <c r="N6303" s="28" t="s">
        <v>51</v>
      </c>
    </row>
    <row r="6304" spans="1:14" hidden="1" outlineLevel="1" x14ac:dyDescent="0.15">
      <c r="A6304" s="23" t="str">
        <f>HYPERLINK("https://www.spark-marketing.ru/Card/Person/89249", "МАДОУ ""ДЕТСКИЙ САД ОБЩЕРАЗВИВАЮЩЕГО ВИДА №20 ""ОЛЕСЯ""")</f>
        <v>МАДОУ "ДЕТСКИЙ САД ОБЩЕРАЗВИВАЮЩЕГО ВИДА №20 "ОЛЕСЯ"</v>
      </c>
      <c r="B6304" s="24" t="s">
        <v>9651</v>
      </c>
      <c r="C6304" s="25">
        <v>258255.35999999999</v>
      </c>
      <c r="D6304" s="22" t="s">
        <v>9646</v>
      </c>
      <c r="E6304" s="22" t="s">
        <v>48</v>
      </c>
      <c r="F6304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04" s="22" t="s">
        <v>217</v>
      </c>
      <c r="H6304" s="22" t="s">
        <v>1998</v>
      </c>
      <c r="I6304" s="26">
        <v>43698.676342592596</v>
      </c>
      <c r="J6304" s="28" t="s">
        <v>51</v>
      </c>
      <c r="K6304" s="28" t="s">
        <v>51</v>
      </c>
      <c r="L6304" s="28" t="s">
        <v>51</v>
      </c>
      <c r="M6304" s="28" t="s">
        <v>51</v>
      </c>
      <c r="N6304" s="28" t="s">
        <v>51</v>
      </c>
    </row>
    <row r="6305" spans="1:14" hidden="1" outlineLevel="1" x14ac:dyDescent="0.15">
      <c r="A6305" s="23" t="str">
        <f>HYPERLINK("https://www.spark-marketing.ru/Card/Person/89375", "МАДОУ ""ДЕТСКИЙ САД ОБЩЕРАЗВИВАЮЩЕГО ВИДА С ПРИОРИТЕТНЫМ ОСУЩЕСТВЛЕНИЕМ ДЕЯТЕЛЬНОСТИ ПО ПОЗНАВАТЕЛЬНО-РЕЧЕВОМУ НАПРАВЛЕНИЮ РАЗВИТИЯ ВОСПИТАННИКОВ №102 ""СОЗВЕЗДИЕ""")</f>
        <v>МАДОУ "ДЕТСКИЙ САД ОБЩЕРАЗВИВАЮЩЕГО ВИДА С ПРИОРИТЕТНЫМ ОСУЩЕСТВЛЕНИЕМ ДЕЯТЕЛЬНОСТИ ПО ПОЗНАВАТЕЛЬНО-РЕЧЕВОМУ НАПРАВЛЕНИЮ РАЗВИТИЯ ВОСПИТАННИКОВ №102 "СОЗВЕЗДИЕ"</v>
      </c>
      <c r="B6305" s="24" t="s">
        <v>9098</v>
      </c>
      <c r="C6305" s="25">
        <v>251081.60000000001</v>
      </c>
      <c r="D6305" s="22" t="s">
        <v>9646</v>
      </c>
      <c r="E6305" s="22" t="s">
        <v>48</v>
      </c>
      <c r="F6305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05" s="22" t="s">
        <v>217</v>
      </c>
      <c r="H6305" s="22" t="s">
        <v>1998</v>
      </c>
      <c r="I6305" s="26">
        <v>43698.676342592596</v>
      </c>
      <c r="J6305" s="28" t="s">
        <v>51</v>
      </c>
      <c r="K6305" s="28" t="s">
        <v>51</v>
      </c>
      <c r="L6305" s="28" t="s">
        <v>51</v>
      </c>
      <c r="M6305" s="28" t="s">
        <v>51</v>
      </c>
      <c r="N6305" s="28" t="s">
        <v>51</v>
      </c>
    </row>
    <row r="6306" spans="1:14" hidden="1" outlineLevel="1" x14ac:dyDescent="0.15">
      <c r="A6306" s="23" t="str">
        <f>HYPERLINK("https://www.spark-marketing.ru/Card/Person/89381", "МАДОУ ""ДЕТСКИЙ САД №96 ""УМНИЧКА""")</f>
        <v>МАДОУ "ДЕТСКИЙ САД №96 "УМНИЧКА"</v>
      </c>
      <c r="B6306" s="24" t="s">
        <v>9652</v>
      </c>
      <c r="C6306" s="25">
        <v>279776.64000000001</v>
      </c>
      <c r="D6306" s="22" t="s">
        <v>9646</v>
      </c>
      <c r="E6306" s="22" t="s">
        <v>48</v>
      </c>
      <c r="F6306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06" s="22" t="s">
        <v>217</v>
      </c>
      <c r="H6306" s="22" t="s">
        <v>1998</v>
      </c>
      <c r="I6306" s="26">
        <v>43698.676342592596</v>
      </c>
      <c r="J6306" s="28" t="s">
        <v>51</v>
      </c>
      <c r="K6306" s="28" t="s">
        <v>51</v>
      </c>
      <c r="L6306" s="28" t="s">
        <v>51</v>
      </c>
      <c r="M6306" s="28" t="s">
        <v>51</v>
      </c>
      <c r="N6306" s="28" t="s">
        <v>51</v>
      </c>
    </row>
    <row r="6307" spans="1:14" hidden="1" outlineLevel="1" x14ac:dyDescent="0.15">
      <c r="A6307" s="23" t="str">
        <f>HYPERLINK("https://www.spark-marketing.ru/Card/Person/90015", "МАДОУ ""ДЕТСКИЙ САД ОБЩЕРАЗВИВАЮЩЕГО ВИДА С ПРИОРИТЕТНЫМ ОСУЩЕСТВЛЕНИЕМ ДЕЯТЕЛЬНОСТИ ПО ПОЗНАВАТЕЛЬНО-РЕЧЕВОМУ НАПРАВЛЕНИЮ РАЗВИТИЯ ДЕТЕЙ №77 ""ТЕРЕМОК""")</f>
        <v>МАДОУ "ДЕТСКИЙ САД ОБЩЕРАЗВИВАЮЩЕГО ВИДА С ПРИОРИТЕТНЫМ ОСУЩЕСТВЛЕНИЕМ ДЕЯТЕЛЬНОСТИ ПО ПОЗНАВАТЕЛЬНО-РЕЧЕВОМУ НАПРАВЛЕНИЮ РАЗВИТИЯ ДЕТЕЙ №77 "ТЕРЕМОК"</v>
      </c>
      <c r="B6307" s="24" t="s">
        <v>9653</v>
      </c>
      <c r="C6307" s="25">
        <v>243907.84</v>
      </c>
      <c r="D6307" s="22" t="s">
        <v>9646</v>
      </c>
      <c r="E6307" s="22" t="s">
        <v>48</v>
      </c>
      <c r="F6307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07" s="22" t="s">
        <v>217</v>
      </c>
      <c r="H6307" s="22" t="s">
        <v>1998</v>
      </c>
      <c r="I6307" s="26">
        <v>43698.676342592596</v>
      </c>
      <c r="J6307" s="28" t="s">
        <v>51</v>
      </c>
      <c r="K6307" s="28" t="s">
        <v>51</v>
      </c>
      <c r="L6307" s="28" t="s">
        <v>51</v>
      </c>
      <c r="M6307" s="28" t="s">
        <v>51</v>
      </c>
      <c r="N6307" s="28" t="s">
        <v>51</v>
      </c>
    </row>
    <row r="6308" spans="1:14" hidden="1" outlineLevel="1" x14ac:dyDescent="0.15">
      <c r="A6308" s="23" t="str">
        <f>HYPERLINK("https://www.spark-marketing.ru/Card/Person/91012", "МАДОУ ""ДЕТСКИЙ САД №88 ""ЛЕСОВИЧОК""")</f>
        <v>МАДОУ "ДЕТСКИЙ САД №88 "ЛЕСОВИЧОК"</v>
      </c>
      <c r="B6308" s="24" t="s">
        <v>9100</v>
      </c>
      <c r="C6308" s="25">
        <v>129127.67999999999</v>
      </c>
      <c r="D6308" s="22" t="s">
        <v>9646</v>
      </c>
      <c r="E6308" s="22" t="s">
        <v>48</v>
      </c>
      <c r="F6308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08" s="22" t="s">
        <v>217</v>
      </c>
      <c r="H6308" s="22" t="s">
        <v>1998</v>
      </c>
      <c r="I6308" s="26">
        <v>43698.676342592596</v>
      </c>
      <c r="J6308" s="28" t="s">
        <v>51</v>
      </c>
      <c r="K6308" s="28" t="s">
        <v>51</v>
      </c>
      <c r="L6308" s="28" t="s">
        <v>51</v>
      </c>
      <c r="M6308" s="28" t="s">
        <v>51</v>
      </c>
      <c r="N6308" s="28" t="s">
        <v>51</v>
      </c>
    </row>
    <row r="6309" spans="1:14" hidden="1" outlineLevel="1" x14ac:dyDescent="0.15">
      <c r="A6309" s="23" t="str">
        <f>HYPERLINK("https://www.spark-marketing.ru/Card/Person/91657", "МАДОУ ""ДЕТСКИЙ САД №100 ""ЖАР-ПТИЦА""")</f>
        <v>МАДОУ "ДЕТСКИЙ САД №100 "ЖАР-ПТИЦА"</v>
      </c>
      <c r="B6309" s="24" t="s">
        <v>9102</v>
      </c>
      <c r="C6309" s="25">
        <v>265429.12</v>
      </c>
      <c r="D6309" s="22" t="s">
        <v>9646</v>
      </c>
      <c r="E6309" s="22" t="s">
        <v>48</v>
      </c>
      <c r="F6309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09" s="22" t="s">
        <v>217</v>
      </c>
      <c r="H6309" s="22" t="s">
        <v>1998</v>
      </c>
      <c r="I6309" s="26">
        <v>43698.676342592596</v>
      </c>
      <c r="J6309" s="28" t="s">
        <v>51</v>
      </c>
      <c r="K6309" s="28" t="s">
        <v>51</v>
      </c>
      <c r="L6309" s="28" t="s">
        <v>51</v>
      </c>
      <c r="M6309" s="28" t="s">
        <v>51</v>
      </c>
      <c r="N6309" s="28" t="s">
        <v>51</v>
      </c>
    </row>
    <row r="6310" spans="1:14" hidden="1" outlineLevel="1" x14ac:dyDescent="0.15">
      <c r="A6310" s="23" t="str">
        <f>HYPERLINK("https://www.spark-marketing.ru/Card/Person/91903", "МАДОУ ""ДЕТСКИЙ САД КОМБИНИРОВАННОГО ВИДА №13 ""УЛЫБКА""")</f>
        <v>МАДОУ "ДЕТСКИЙ САД КОМБИНИРОВАННОГО ВИДА №13 "УЛЫБКА"</v>
      </c>
      <c r="B6310" s="24" t="s">
        <v>9654</v>
      </c>
      <c r="C6310" s="25">
        <v>279776.64000000001</v>
      </c>
      <c r="D6310" s="22" t="s">
        <v>9646</v>
      </c>
      <c r="E6310" s="22" t="s">
        <v>48</v>
      </c>
      <c r="F6310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10" s="22" t="s">
        <v>217</v>
      </c>
      <c r="H6310" s="22" t="s">
        <v>1998</v>
      </c>
      <c r="I6310" s="26">
        <v>43698.676342592596</v>
      </c>
      <c r="J6310" s="28" t="s">
        <v>51</v>
      </c>
      <c r="K6310" s="28" t="s">
        <v>51</v>
      </c>
      <c r="L6310" s="28" t="s">
        <v>51</v>
      </c>
      <c r="M6310" s="28" t="s">
        <v>51</v>
      </c>
      <c r="N6310" s="28" t="s">
        <v>51</v>
      </c>
    </row>
    <row r="6311" spans="1:14" hidden="1" outlineLevel="1" x14ac:dyDescent="0.15">
      <c r="A6311" s="23" t="str">
        <f>HYPERLINK("https://www.spark-marketing.ru/Card/Person/94380", "МАДОУ ""ДЕТСКИЙ САД №97 ""ПЧЕЛКА""")</f>
        <v>МАДОУ "ДЕТСКИЙ САД №97 "ПЧЕЛКА"</v>
      </c>
      <c r="B6311" s="24" t="s">
        <v>9655</v>
      </c>
      <c r="C6311" s="25">
        <v>315645.44</v>
      </c>
      <c r="D6311" s="22" t="s">
        <v>9646</v>
      </c>
      <c r="E6311" s="22" t="s">
        <v>48</v>
      </c>
      <c r="F6311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11" s="22" t="s">
        <v>217</v>
      </c>
      <c r="H6311" s="22" t="s">
        <v>1998</v>
      </c>
      <c r="I6311" s="26">
        <v>43698.676342592596</v>
      </c>
      <c r="J6311" s="28" t="s">
        <v>51</v>
      </c>
      <c r="K6311" s="28" t="s">
        <v>51</v>
      </c>
      <c r="L6311" s="28" t="s">
        <v>51</v>
      </c>
      <c r="M6311" s="28" t="s">
        <v>51</v>
      </c>
      <c r="N6311" s="28" t="s">
        <v>51</v>
      </c>
    </row>
    <row r="6312" spans="1:14" hidden="1" outlineLevel="1" x14ac:dyDescent="0.2">
      <c r="A6312" s="28" t="s">
        <v>51</v>
      </c>
      <c r="B6312" s="28" t="s">
        <v>51</v>
      </c>
      <c r="C6312" s="28" t="s">
        <v>51</v>
      </c>
      <c r="D6312" s="22" t="s">
        <v>9646</v>
      </c>
      <c r="E6312" s="22" t="s">
        <v>48</v>
      </c>
      <c r="F6312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12" s="22" t="s">
        <v>51</v>
      </c>
      <c r="H6312" s="22" t="s">
        <v>51</v>
      </c>
      <c r="I6312" s="26">
        <v>43698.676342592596</v>
      </c>
      <c r="J6312" s="23" t="str">
        <f>HYPERLINK("https://www.spark-marketing.ru/Card/Person/87385", "ООО ""ШКОЛЬНОЕ ПИТАНИЕ""")</f>
        <v>ООО "ШКОЛЬНОЕ ПИТАНИЕ"</v>
      </c>
      <c r="K6312" s="24" t="s">
        <v>6356</v>
      </c>
      <c r="L6312" s="22" t="s">
        <v>10</v>
      </c>
      <c r="M6312" s="25">
        <v>3271234.56</v>
      </c>
      <c r="N6312" s="27">
        <v>0</v>
      </c>
    </row>
    <row r="6313" spans="1:14" hidden="1" outlineLevel="1" x14ac:dyDescent="0.2">
      <c r="A6313" s="28" t="s">
        <v>51</v>
      </c>
      <c r="B6313" s="28" t="s">
        <v>51</v>
      </c>
      <c r="C6313" s="28" t="s">
        <v>51</v>
      </c>
      <c r="D6313" s="22" t="s">
        <v>9646</v>
      </c>
      <c r="E6313" s="22" t="s">
        <v>48</v>
      </c>
      <c r="F6313" s="23" t="str">
        <f t="shared" si="132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6313" s="22" t="s">
        <v>51</v>
      </c>
      <c r="H6313" s="22" t="s">
        <v>51</v>
      </c>
      <c r="I6313" s="26">
        <v>43698.676342592596</v>
      </c>
      <c r="J6313" s="23" t="str">
        <f>HYPERLINK("https://www.spark-marketing.ru/Card/Person/300377", "ООО ""ТУЙМАЗЫ-ФРУКТ""")</f>
        <v>ООО "ТУЙМАЗЫ-ФРУКТ"</v>
      </c>
      <c r="K6313" s="24" t="s">
        <v>9052</v>
      </c>
      <c r="L6313" s="28" t="s">
        <v>51</v>
      </c>
      <c r="M6313" s="25">
        <v>3271234.56</v>
      </c>
      <c r="N6313" s="27">
        <v>0</v>
      </c>
    </row>
    <row r="6314" spans="1:14" x14ac:dyDescent="0.15">
      <c r="A6314" s="23" t="str">
        <f>HYPERLINK("https://www.spark-marketing.ru/Card/Person/4346339", "МИНСПОРТ РД")</f>
        <v>МИНСПОРТ РД</v>
      </c>
      <c r="B6314" s="24" t="s">
        <v>9656</v>
      </c>
      <c r="C6314" s="25">
        <v>1147500</v>
      </c>
      <c r="D6314" s="22" t="s">
        <v>9657</v>
      </c>
      <c r="E6314" s="22" t="s">
        <v>1632</v>
      </c>
      <c r="F6314" s="23" t="str">
        <f>HYPERLINK("https://www.spark-marketing.ru/Card/Lot/72945389", "Услуги по размещению и обеспечению питанием участников в период проведения тренировочного сбора по подготовке спортивной сборной команды Республики Дагестан по волейболу к Чемпионату России")</f>
        <v>Услуги по размещению и обеспечению питанием участников в период проведения тренировочного сбора по подготовке спортивной сборной команды Республики Дагестан по волейболу к Чемпионату России</v>
      </c>
      <c r="G6314" s="22" t="s">
        <v>1607</v>
      </c>
      <c r="H6314" s="22" t="s">
        <v>1607</v>
      </c>
      <c r="I6314" s="26">
        <v>43698.648692129602</v>
      </c>
      <c r="J6314" s="23" t="str">
        <f>HYPERLINK("https://www.spark-marketing.ru/Card/Person/4408376", "АО ""ТУРУНИВЕРСАЛ""")</f>
        <v>АО "ТУРУНИВЕРСАЛ"</v>
      </c>
      <c r="K6314" s="24" t="s">
        <v>9658</v>
      </c>
      <c r="L6314" s="22" t="s">
        <v>10</v>
      </c>
      <c r="M6314" s="28" t="s">
        <v>51</v>
      </c>
      <c r="N6314" s="28" t="s">
        <v>51</v>
      </c>
    </row>
    <row r="6315" spans="1:14" x14ac:dyDescent="0.15">
      <c r="A6315" s="23" t="str">
        <f>HYPERLINK("https://www.spark-marketing.ru/Card/Person/308874", "ОТДЕЛ МВД РОССИИ ПО ВЕРХНЕМАМОНСКОМУ РАЙОНУ")</f>
        <v>ОТДЕЛ МВД РОССИИ ПО ВЕРХНЕМАМОНСКОМУ РАЙОНУ</v>
      </c>
      <c r="B6315" s="24" t="s">
        <v>9514</v>
      </c>
      <c r="C6315" s="25">
        <v>155</v>
      </c>
      <c r="D6315" s="22" t="s">
        <v>9659</v>
      </c>
      <c r="E6315" s="22" t="s">
        <v>48</v>
      </c>
      <c r="F6315" s="23" t="str">
        <f>HYPERLINK("https://www.spark-marketing.ru/Card/Lot/72939872",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315" s="22" t="s">
        <v>82</v>
      </c>
      <c r="H6315" s="22" t="s">
        <v>9516</v>
      </c>
      <c r="I6315" s="26">
        <v>43698.654386574097</v>
      </c>
      <c r="J6315" s="28" t="s">
        <v>51</v>
      </c>
      <c r="K6315" s="28" t="s">
        <v>51</v>
      </c>
      <c r="L6315" s="28" t="s">
        <v>51</v>
      </c>
      <c r="M6315" s="28" t="s">
        <v>51</v>
      </c>
      <c r="N6315" s="28" t="s">
        <v>51</v>
      </c>
    </row>
    <row r="6316" spans="1:14" x14ac:dyDescent="0.15">
      <c r="A6316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6316" s="24" t="s">
        <v>1019</v>
      </c>
      <c r="C6316" s="25">
        <v>487620</v>
      </c>
      <c r="D6316" s="22" t="s">
        <v>9660</v>
      </c>
      <c r="E6316" s="22" t="s">
        <v>48</v>
      </c>
      <c r="F6316" s="23" t="str">
        <f>HYPERLINK("https://www.spark-marketing.ru/Card/Lot/72931411", "Услуги по организации горячего питания для воспитанников ГБОУ РШИ ""Тувинский кадетский корпус""")</f>
        <v>Услуги по организации горячего питания для воспитанников ГБОУ РШИ "Тувинский кадетский корпус"</v>
      </c>
      <c r="G6316" s="22" t="s">
        <v>327</v>
      </c>
      <c r="H6316" s="22" t="s">
        <v>328</v>
      </c>
      <c r="I6316" s="26">
        <v>43698.392905092602</v>
      </c>
      <c r="J6316" s="23" t="str">
        <f>HYPERLINK("https://www.spark-marketing.ru/Card/Person/5893709", "ООО ""АРЖААН""")</f>
        <v>ООО "АРЖААН"</v>
      </c>
      <c r="K6316" s="24" t="s">
        <v>9661</v>
      </c>
      <c r="L6316" s="22" t="s">
        <v>10</v>
      </c>
      <c r="M6316" s="28" t="s">
        <v>51</v>
      </c>
      <c r="N6316" s="28" t="s">
        <v>51</v>
      </c>
    </row>
    <row r="6317" spans="1:14" x14ac:dyDescent="0.15">
      <c r="A6317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6317" s="24" t="s">
        <v>1019</v>
      </c>
      <c r="C6317" s="25">
        <v>487620</v>
      </c>
      <c r="D6317" s="22" t="s">
        <v>9662</v>
      </c>
      <c r="E6317" s="22" t="s">
        <v>48</v>
      </c>
      <c r="F6317" s="23" t="str">
        <f>HYPERLINK("https://www.spark-marketing.ru/Card/Lot/72931478", "Услуги по организации горячего питания для воспитанников ГБОУ РШИ ""Тувинский кадетский корпус""")</f>
        <v>Услуги по организации горячего питания для воспитанников ГБОУ РШИ "Тувинский кадетский корпус"</v>
      </c>
      <c r="G6317" s="22" t="s">
        <v>327</v>
      </c>
      <c r="H6317" s="22" t="s">
        <v>328</v>
      </c>
      <c r="I6317" s="26">
        <v>43698.459965277798</v>
      </c>
      <c r="J6317" s="23" t="str">
        <f>HYPERLINK("https://www.spark-marketing.ru/Card/Person/5893709", "ООО ""АРЖААН""")</f>
        <v>ООО "АРЖААН"</v>
      </c>
      <c r="K6317" s="24" t="s">
        <v>9661</v>
      </c>
      <c r="L6317" s="22" t="s">
        <v>10</v>
      </c>
      <c r="M6317" s="28" t="s">
        <v>51</v>
      </c>
      <c r="N6317" s="28" t="s">
        <v>51</v>
      </c>
    </row>
    <row r="6318" spans="1:14" x14ac:dyDescent="0.15">
      <c r="A6318" s="23" t="str">
        <f>HYPERLINK("https://www.spark-marketing.ru/Card/Person/1069499", "ОМВД РОССИИ ПО ЗАТО АЛЕКСАНДРОВСК")</f>
        <v>ОМВД РОССИИ ПО ЗАТО АЛЕКСАНДРОВСК</v>
      </c>
      <c r="B6318" s="24" t="s">
        <v>9663</v>
      </c>
      <c r="C6318" s="25">
        <v>208189.77</v>
      </c>
      <c r="D6318" s="22" t="s">
        <v>9664</v>
      </c>
      <c r="E6318" s="22" t="s">
        <v>96</v>
      </c>
      <c r="F6318" s="23" t="str">
        <f>HYPERLINK("https://www.spark-marketing.ru/Card/Lot/72939880", "Услуга по питанию, 417 шт")</f>
        <v>Услуга по питанию, 417 шт</v>
      </c>
      <c r="G6318" s="22" t="s">
        <v>340</v>
      </c>
      <c r="H6318" s="22" t="s">
        <v>9665</v>
      </c>
      <c r="I6318" s="26">
        <v>43698.655405092599</v>
      </c>
      <c r="J6318" s="28" t="s">
        <v>51</v>
      </c>
      <c r="K6318" s="28" t="s">
        <v>51</v>
      </c>
      <c r="L6318" s="28" t="s">
        <v>51</v>
      </c>
      <c r="M6318" s="28" t="s">
        <v>51</v>
      </c>
      <c r="N6318" s="28" t="s">
        <v>51</v>
      </c>
    </row>
    <row r="6319" spans="1:14" x14ac:dyDescent="0.15">
      <c r="A6319" s="23" t="str">
        <f>HYPERLINK("https://www.spark-marketing.ru/Card/Person/88980", "ГАУЗ ""КУКМОРСКАЯ ЦРБ""")</f>
        <v>ГАУЗ "КУКМОРСКАЯ ЦРБ"</v>
      </c>
      <c r="B6319" s="24" t="s">
        <v>9666</v>
      </c>
      <c r="C6319" s="25">
        <v>100000</v>
      </c>
      <c r="D6319" s="22" t="s">
        <v>9667</v>
      </c>
      <c r="E6319" s="22" t="s">
        <v>91</v>
      </c>
      <c r="F6319" s="23" t="str">
        <f>HYPERLINK("https://www.spark-marketing.ru/Card/Lot/72942271", "Техническое обслуживание и ремонт компьютерного и офисного оборудования")</f>
        <v>Техническое обслуживание и ремонт компьютерного и офисного оборудования</v>
      </c>
      <c r="G6319" s="22" t="s">
        <v>217</v>
      </c>
      <c r="H6319" s="22" t="s">
        <v>9668</v>
      </c>
      <c r="I6319" s="26">
        <v>43698.632256944402</v>
      </c>
      <c r="J6319" s="23" t="str">
        <f>HYPERLINK("https://www.spark-marketing.ru/Card/Person/224372", "Орлов Айдар Равилевич")</f>
        <v>Орлов Айдар Равилевич</v>
      </c>
      <c r="K6319" s="24" t="s">
        <v>9669</v>
      </c>
      <c r="L6319" s="22" t="s">
        <v>10</v>
      </c>
      <c r="M6319" s="28" t="s">
        <v>51</v>
      </c>
      <c r="N6319" s="28" t="s">
        <v>51</v>
      </c>
    </row>
    <row r="6320" spans="1:14" x14ac:dyDescent="0.15">
      <c r="A6320" s="23" t="str">
        <f>HYPERLINK("https://www.spark-marketing.ru/Card/Person/308874", "ОТДЕЛ МВД РОССИИ ПО ВЕРХНЕМАМОНСКОМУ РАЙОНУ")</f>
        <v>ОТДЕЛ МВД РОССИИ ПО ВЕРХНЕМАМОНСКОМУ РАЙОНУ</v>
      </c>
      <c r="B6320" s="24" t="s">
        <v>9514</v>
      </c>
      <c r="C6320" s="25">
        <v>155</v>
      </c>
      <c r="D6320" s="22" t="s">
        <v>9670</v>
      </c>
      <c r="E6320" s="22" t="s">
        <v>48</v>
      </c>
      <c r="F6320" s="23" t="str">
        <f>HYPERLINK("https://www.spark-marketing.ru/Card/Lot/72939881",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320" s="22" t="s">
        <v>82</v>
      </c>
      <c r="H6320" s="22" t="s">
        <v>9516</v>
      </c>
      <c r="I6320" s="26">
        <v>43698.655555555597</v>
      </c>
      <c r="J6320" s="28" t="s">
        <v>51</v>
      </c>
      <c r="K6320" s="28" t="s">
        <v>51</v>
      </c>
      <c r="L6320" s="28" t="s">
        <v>51</v>
      </c>
      <c r="M6320" s="28" t="s">
        <v>51</v>
      </c>
      <c r="N6320" s="28" t="s">
        <v>51</v>
      </c>
    </row>
    <row r="6321" spans="1:14" x14ac:dyDescent="0.15">
      <c r="A6321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6321" s="24" t="s">
        <v>1019</v>
      </c>
      <c r="C6321" s="25">
        <v>487620</v>
      </c>
      <c r="D6321" s="22" t="s">
        <v>9671</v>
      </c>
      <c r="E6321" s="22" t="s">
        <v>48</v>
      </c>
      <c r="F6321" s="23" t="str">
        <f>HYPERLINK("https://www.spark-marketing.ru/Card/Lot/72931593", "Услуги по организации горячего питания для воспитанников ГБОУ РШИ ""Тувинский кадетский корпус""")</f>
        <v>Услуги по организации горячего питания для воспитанников ГБОУ РШИ "Тувинский кадетский корпус"</v>
      </c>
      <c r="G6321" s="22" t="s">
        <v>327</v>
      </c>
      <c r="H6321" s="22" t="s">
        <v>328</v>
      </c>
      <c r="I6321" s="26">
        <v>43698.460555555597</v>
      </c>
      <c r="J6321" s="28" t="s">
        <v>51</v>
      </c>
      <c r="K6321" s="28" t="s">
        <v>51</v>
      </c>
      <c r="L6321" s="28" t="s">
        <v>51</v>
      </c>
      <c r="M6321" s="28" t="s">
        <v>51</v>
      </c>
      <c r="N6321" s="28" t="s">
        <v>51</v>
      </c>
    </row>
    <row r="6322" spans="1:14" x14ac:dyDescent="0.15">
      <c r="A6322" s="23" t="str">
        <f>HYPERLINK("https://www.spark-marketing.ru/Card/Person/60598", "БУЗ ВО ""ВГКБ № 2 ИМ. К.В. ФЕДЯЕВСКОГО""")</f>
        <v>БУЗ ВО "ВГКБ № 2 ИМ. К.В. ФЕДЯЕВСКОГО"</v>
      </c>
      <c r="B6322" s="24" t="s">
        <v>9672</v>
      </c>
      <c r="C6322" s="25">
        <v>146933.32999999999</v>
      </c>
      <c r="D6322" s="22" t="s">
        <v>9673</v>
      </c>
      <c r="E6322" s="22" t="s">
        <v>621</v>
      </c>
      <c r="F6322" s="23" t="str">
        <f>HYPERLINK("https://www.spark-marketing.ru/Card/Lot/72942313", "Оказание услуг по сопровождению программного обеспечения ""1С: Медицина. Больничная аптека"" и ""1С: Медицина. Диетическое питание""")</f>
        <v>Оказание услуг по сопровождению программного обеспечения "1С: Медицина. Больничная аптека" и "1С: Медицина. Диетическое питание"</v>
      </c>
      <c r="G6322" s="22" t="s">
        <v>82</v>
      </c>
      <c r="H6322" s="22" t="s">
        <v>83</v>
      </c>
      <c r="I6322" s="26">
        <v>43698.621400463002</v>
      </c>
      <c r="J6322" s="28" t="s">
        <v>51</v>
      </c>
      <c r="K6322" s="28" t="s">
        <v>51</v>
      </c>
      <c r="L6322" s="28" t="s">
        <v>51</v>
      </c>
      <c r="M6322" s="28" t="s">
        <v>51</v>
      </c>
      <c r="N6322" s="28" t="s">
        <v>51</v>
      </c>
    </row>
    <row r="6323" spans="1:14" ht="12.75" hidden="1" outlineLevel="1" x14ac:dyDescent="0.2">
      <c r="A6323" s="23" t="str">
        <f>HYPERLINK("https://www.spark-marketing.ru/Card/Person/60598", "БУЗ ВО ""ВГКБ № 2 ИМ. К.В. ФЕДЯЕВСКОГО""")</f>
        <v>БУЗ ВО "ВГКБ № 2 ИМ. К.В. ФЕДЯЕВСКОГО"</v>
      </c>
      <c r="B6323" s="24" t="s">
        <v>9672</v>
      </c>
      <c r="C6323" s="25">
        <v>146933.32999999999</v>
      </c>
      <c r="D6323" s="22" t="s">
        <v>9673</v>
      </c>
      <c r="E6323" s="22" t="s">
        <v>621</v>
      </c>
      <c r="F6323" s="23" t="str">
        <f>HYPERLINK("https://www.spark-marketing.ru/Card/Lot/72942313", "Оказание услуг по сопровождению программного обеспечения ""1С: Медицина. Больничная аптека"" и ""1С: Медицина. Диетическое питание""")</f>
        <v>Оказание услуг по сопровождению программного обеспечения "1С: Медицина. Больничная аптека" и "1С: Медицина. Диетическое питание"</v>
      </c>
      <c r="G6323" s="22" t="s">
        <v>82</v>
      </c>
      <c r="H6323" s="22" t="s">
        <v>83</v>
      </c>
      <c r="I6323" s="26">
        <v>43698.621400463002</v>
      </c>
      <c r="J6323" s="23" t="str">
        <f>HYPERLINK("https://www.spark-marketing.ru/Card/Person/294901", "Полухин Сергей Иванович")</f>
        <v>Полухин Сергей Иванович</v>
      </c>
      <c r="K6323" s="24" t="s">
        <v>9674</v>
      </c>
      <c r="L6323" s="22" t="s">
        <v>10</v>
      </c>
      <c r="M6323" s="25">
        <v>136800</v>
      </c>
      <c r="N6323" s="27">
        <v>6.8965496119906905E-2</v>
      </c>
    </row>
    <row r="6324" spans="1:14" hidden="1" outlineLevel="1" x14ac:dyDescent="0.2">
      <c r="A6324" s="23" t="str">
        <f>HYPERLINK("https://www.spark-marketing.ru/Card/Person/60598", "БУЗ ВО ""ВГКБ № 2 ИМ. К.В. ФЕДЯЕВСКОГО""")</f>
        <v>БУЗ ВО "ВГКБ № 2 ИМ. К.В. ФЕДЯЕВСКОГО"</v>
      </c>
      <c r="B6324" s="24" t="s">
        <v>9672</v>
      </c>
      <c r="C6324" s="25">
        <v>146933.32999999999</v>
      </c>
      <c r="D6324" s="22" t="s">
        <v>9673</v>
      </c>
      <c r="E6324" s="22" t="s">
        <v>621</v>
      </c>
      <c r="F6324" s="23" t="str">
        <f>HYPERLINK("https://www.spark-marketing.ru/Card/Lot/72942313", "Оказание услуг по сопровождению программного обеспечения ""1С: Медицина. Больничная аптека"" и ""1С: Медицина. Диетическое питание""")</f>
        <v>Оказание услуг по сопровождению программного обеспечения "1С: Медицина. Больничная аптека" и "1С: Медицина. Диетическое питание"</v>
      </c>
      <c r="G6324" s="22" t="s">
        <v>82</v>
      </c>
      <c r="H6324" s="22" t="s">
        <v>83</v>
      </c>
      <c r="I6324" s="26">
        <v>43698.621400463002</v>
      </c>
      <c r="J6324" s="23" t="str">
        <f>HYPERLINK("https://www.spark-marketing.ru/Card/Person/58412", "ООО ""ТОЛЬЯТТИ-СОФТ""")</f>
        <v>ООО "ТОЛЬЯТТИ-СОФТ"</v>
      </c>
      <c r="K6324" s="24" t="s">
        <v>4476</v>
      </c>
      <c r="L6324" s="28" t="s">
        <v>51</v>
      </c>
      <c r="M6324" s="25">
        <v>146933.32999999999</v>
      </c>
      <c r="N6324" s="27">
        <v>0</v>
      </c>
    </row>
    <row r="6325" spans="1:14" x14ac:dyDescent="0.15">
      <c r="A6325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6325" s="24" t="s">
        <v>3864</v>
      </c>
      <c r="C6325" s="25">
        <v>60000</v>
      </c>
      <c r="D6325" s="22" t="s">
        <v>9675</v>
      </c>
      <c r="E6325" s="22" t="s">
        <v>48</v>
      </c>
      <c r="F6325" s="23" t="str">
        <f>HYPERLINK("https://www.spark-marketing.ru/Card/Lot/72939518", "Оказание услуг по приготовлению и поставке транспортом Исполнителя 3-х разового горячего питания, согласно норм суточного довольствия для лиц, содержащихся более 3-х часов в дежурной части Отдела МВД России по Березниковскому городскому округу")</f>
        <v>Оказание услуг по приготовлению и поставке транспортом Исполнителя 3-х разового горячего питания, согласно норм суточного довольствия для лиц, содержащихся более 3-х часов в дежурной части Отдела МВД России по Березниковскому городскому округу</v>
      </c>
      <c r="G6325" s="22" t="s">
        <v>153</v>
      </c>
      <c r="H6325" s="22" t="s">
        <v>3866</v>
      </c>
      <c r="I6325" s="26">
        <v>43698.586145833302</v>
      </c>
      <c r="J6325" s="28" t="s">
        <v>51</v>
      </c>
      <c r="K6325" s="28" t="s">
        <v>51</v>
      </c>
      <c r="L6325" s="28" t="s">
        <v>51</v>
      </c>
      <c r="M6325" s="28" t="s">
        <v>51</v>
      </c>
      <c r="N6325" s="28" t="s">
        <v>51</v>
      </c>
    </row>
    <row r="6326" spans="1:14" x14ac:dyDescent="0.15">
      <c r="A6326" s="23" t="str">
        <f>HYPERLINK("https://www.spark-marketing.ru/Card/Person/22762", "АДМИНИСТРАЦИЯ САЛЬСКОГО РАЙОНА")</f>
        <v>АДМИНИСТРАЦИЯ САЛЬСКОГО РАЙОНА</v>
      </c>
      <c r="B6326" s="24" t="s">
        <v>9676</v>
      </c>
      <c r="C6326" s="25">
        <v>12450</v>
      </c>
      <c r="D6326" s="22" t="s">
        <v>9677</v>
      </c>
      <c r="E6326" s="22" t="s">
        <v>91</v>
      </c>
      <c r="F6326" s="23" t="str">
        <f>HYPERLINK("https://www.spark-marketing.ru/Card/Lot/72939062", "Оказание услугу по ремонту компьютерной и организационной техники")</f>
        <v>Оказание услугу по ремонту компьютерной и организационной техники</v>
      </c>
      <c r="G6326" s="22" t="s">
        <v>267</v>
      </c>
      <c r="H6326" s="22" t="s">
        <v>2540</v>
      </c>
      <c r="I6326" s="26">
        <v>43698.634722222203</v>
      </c>
      <c r="J6326" s="28" t="s">
        <v>51</v>
      </c>
      <c r="K6326" s="28" t="s">
        <v>51</v>
      </c>
      <c r="L6326" s="28" t="s">
        <v>51</v>
      </c>
      <c r="M6326" s="28" t="s">
        <v>51</v>
      </c>
      <c r="N6326" s="28" t="s">
        <v>51</v>
      </c>
    </row>
    <row r="6327" spans="1:14" x14ac:dyDescent="0.15">
      <c r="A6327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6327" s="24" t="s">
        <v>3864</v>
      </c>
      <c r="C6327" s="25">
        <v>60000</v>
      </c>
      <c r="D6327" s="22" t="s">
        <v>9678</v>
      </c>
      <c r="E6327" s="22" t="s">
        <v>48</v>
      </c>
      <c r="F6327" s="23" t="str">
        <f>HYPERLINK("https://www.spark-marketing.ru/Card/Lot/72938089", "Оказание услуг по приготовлению и поставке транспортом Исполнителя 3-х разового горячего питания, согласно норм суточного довольствия для лиц, содержащихся более 3-х часов в дежурной части Отдела МВД России по Березниковскому городскому округу")</f>
        <v>Оказание услуг по приготовлению и поставке транспортом Исполнителя 3-х разового горячего питания, согласно норм суточного довольствия для лиц, содержащихся более 3-х часов в дежурной части Отдела МВД России по Березниковскому городскому округу</v>
      </c>
      <c r="G6327" s="22" t="s">
        <v>153</v>
      </c>
      <c r="H6327" s="22" t="s">
        <v>3866</v>
      </c>
      <c r="I6327" s="26">
        <v>43698.586678240703</v>
      </c>
      <c r="J6327" s="28" t="s">
        <v>51</v>
      </c>
      <c r="K6327" s="28" t="s">
        <v>51</v>
      </c>
      <c r="L6327" s="28" t="s">
        <v>51</v>
      </c>
      <c r="M6327" s="28" t="s">
        <v>51</v>
      </c>
      <c r="N6327" s="28" t="s">
        <v>51</v>
      </c>
    </row>
    <row r="6328" spans="1:14" x14ac:dyDescent="0.15">
      <c r="A6328" s="23" t="str">
        <f t="shared" ref="A6328:A6333" si="133">HYPERLINK("https://www.spark-marketing.ru/Card/Person/5812", "ГБУЗ РХ ""УСТЬ-АБАКАНСКАЯ РБ""")</f>
        <v>ГБУЗ РХ "УСТЬ-АБАКАНСКАЯ РБ"</v>
      </c>
      <c r="B6328" s="24" t="s">
        <v>9679</v>
      </c>
      <c r="C6328" s="25">
        <v>333621.21000000002</v>
      </c>
      <c r="D6328" s="22" t="s">
        <v>9680</v>
      </c>
      <c r="E6328" s="22" t="s">
        <v>62</v>
      </c>
      <c r="F6328" s="23" t="str">
        <f t="shared" ref="F6328:F6333" si="134">HYPERLINK("https://www.spark-marketing.ru/Card/Lot/72931673", "Поставка бланочной продукция")</f>
        <v>Поставка бланочной продукция</v>
      </c>
      <c r="G6328" s="22" t="s">
        <v>92</v>
      </c>
      <c r="H6328" s="22" t="s">
        <v>9681</v>
      </c>
      <c r="I6328" s="26">
        <v>43698.500891203701</v>
      </c>
      <c r="J6328" s="28" t="s">
        <v>51</v>
      </c>
      <c r="K6328" s="28" t="s">
        <v>51</v>
      </c>
      <c r="L6328" s="28" t="s">
        <v>51</v>
      </c>
      <c r="M6328" s="28" t="s">
        <v>51</v>
      </c>
      <c r="N6328" s="28" t="s">
        <v>51</v>
      </c>
    </row>
    <row r="6329" spans="1:14" hidden="1" outlineLevel="1" x14ac:dyDescent="0.2">
      <c r="A6329" s="23" t="str">
        <f t="shared" si="133"/>
        <v>ГБУЗ РХ "УСТЬ-АБАКАНСКАЯ РБ"</v>
      </c>
      <c r="B6329" s="24" t="s">
        <v>9679</v>
      </c>
      <c r="C6329" s="25">
        <v>333621.21000000002</v>
      </c>
      <c r="D6329" s="22" t="s">
        <v>9680</v>
      </c>
      <c r="E6329" s="22" t="s">
        <v>62</v>
      </c>
      <c r="F6329" s="23" t="str">
        <f t="shared" si="134"/>
        <v>Поставка бланочной продукция</v>
      </c>
      <c r="G6329" s="22" t="s">
        <v>92</v>
      </c>
      <c r="H6329" s="22" t="s">
        <v>9681</v>
      </c>
      <c r="I6329" s="26">
        <v>43698.500891203701</v>
      </c>
      <c r="J6329" s="23" t="str">
        <f>HYPERLINK("https://www.spark-marketing.ru/Card/Person/222437", "ООО ""ИПП ""ЖУРНАЛИСТ""")</f>
        <v>ООО "ИПП "ЖУРНАЛИСТ"</v>
      </c>
      <c r="K6329" s="24" t="s">
        <v>9682</v>
      </c>
      <c r="L6329" s="28" t="s">
        <v>51</v>
      </c>
      <c r="M6329" s="25">
        <v>219392.56</v>
      </c>
      <c r="N6329" s="27">
        <v>0.3423902515070909</v>
      </c>
    </row>
    <row r="6330" spans="1:14" hidden="1" outlineLevel="1" x14ac:dyDescent="0.2">
      <c r="A6330" s="23" t="str">
        <f t="shared" si="133"/>
        <v>ГБУЗ РХ "УСТЬ-АБАКАНСКАЯ РБ"</v>
      </c>
      <c r="B6330" s="24" t="s">
        <v>9679</v>
      </c>
      <c r="C6330" s="25">
        <v>333621.21000000002</v>
      </c>
      <c r="D6330" s="22" t="s">
        <v>9680</v>
      </c>
      <c r="E6330" s="22" t="s">
        <v>62</v>
      </c>
      <c r="F6330" s="23" t="str">
        <f t="shared" si="134"/>
        <v>Поставка бланочной продукция</v>
      </c>
      <c r="G6330" s="22" t="s">
        <v>92</v>
      </c>
      <c r="H6330" s="22" t="s">
        <v>9681</v>
      </c>
      <c r="I6330" s="26">
        <v>43698.500891203701</v>
      </c>
      <c r="J6330" s="23" t="str">
        <f>HYPERLINK("https://www.spark-marketing.ru/Card/Person/195140", "ОАО ""ТИПОГРАФИЯ ""ХАКАСИЯ""")</f>
        <v>ОАО "ТИПОГРАФИЯ "ХАКАСИЯ"</v>
      </c>
      <c r="K6330" s="24" t="s">
        <v>5166</v>
      </c>
      <c r="L6330" s="28" t="s">
        <v>51</v>
      </c>
      <c r="M6330" s="25">
        <v>207631.89</v>
      </c>
      <c r="N6330" s="27">
        <v>0.3776418171974138</v>
      </c>
    </row>
    <row r="6331" spans="1:14" hidden="1" outlineLevel="1" x14ac:dyDescent="0.2">
      <c r="A6331" s="23" t="str">
        <f t="shared" si="133"/>
        <v>ГБУЗ РХ "УСТЬ-АБАКАНСКАЯ РБ"</v>
      </c>
      <c r="B6331" s="24" t="s">
        <v>9679</v>
      </c>
      <c r="C6331" s="25">
        <v>333621.21000000002</v>
      </c>
      <c r="D6331" s="22" t="s">
        <v>9680</v>
      </c>
      <c r="E6331" s="22" t="s">
        <v>62</v>
      </c>
      <c r="F6331" s="23" t="str">
        <f t="shared" si="134"/>
        <v>Поставка бланочной продукция</v>
      </c>
      <c r="G6331" s="22" t="s">
        <v>92</v>
      </c>
      <c r="H6331" s="22" t="s">
        <v>9681</v>
      </c>
      <c r="I6331" s="26">
        <v>43698.500891203701</v>
      </c>
      <c r="J6331" s="23" t="str">
        <f>HYPERLINK("https://www.spark-marketing.ru/Card/Person/6626088", "Шмелева Лилия Анатольевна")</f>
        <v>Шмелева Лилия Анатольевна</v>
      </c>
      <c r="K6331" s="24" t="s">
        <v>5169</v>
      </c>
      <c r="L6331" s="28" t="s">
        <v>51</v>
      </c>
      <c r="M6331" s="25">
        <v>188931.89</v>
      </c>
      <c r="N6331" s="27">
        <v>0.43369340936087369</v>
      </c>
    </row>
    <row r="6332" spans="1:14" ht="12.75" hidden="1" outlineLevel="1" x14ac:dyDescent="0.2">
      <c r="A6332" s="23" t="str">
        <f t="shared" si="133"/>
        <v>ГБУЗ РХ "УСТЬ-АБАКАНСКАЯ РБ"</v>
      </c>
      <c r="B6332" s="24" t="s">
        <v>9679</v>
      </c>
      <c r="C6332" s="25">
        <v>333621.21000000002</v>
      </c>
      <c r="D6332" s="22" t="s">
        <v>9680</v>
      </c>
      <c r="E6332" s="22" t="s">
        <v>62</v>
      </c>
      <c r="F6332" s="23" t="str">
        <f t="shared" si="134"/>
        <v>Поставка бланочной продукция</v>
      </c>
      <c r="G6332" s="22" t="s">
        <v>92</v>
      </c>
      <c r="H6332" s="22" t="s">
        <v>9681</v>
      </c>
      <c r="I6332" s="26">
        <v>43698.500891203701</v>
      </c>
      <c r="J6332" s="23" t="str">
        <f>HYPERLINK("https://www.spark-marketing.ru/Card/Person/217801", "Ковалев Алексей Владимирович")</f>
        <v>Ковалев Алексей Владимирович</v>
      </c>
      <c r="K6332" s="24" t="s">
        <v>9683</v>
      </c>
      <c r="L6332" s="22" t="s">
        <v>10</v>
      </c>
      <c r="M6332" s="25">
        <v>187250</v>
      </c>
      <c r="N6332" s="27">
        <v>0.4387347255289914</v>
      </c>
    </row>
    <row r="6333" spans="1:14" hidden="1" outlineLevel="1" x14ac:dyDescent="0.2">
      <c r="A6333" s="23" t="str">
        <f t="shared" si="133"/>
        <v>ГБУЗ РХ "УСТЬ-АБАКАНСКАЯ РБ"</v>
      </c>
      <c r="B6333" s="24" t="s">
        <v>9679</v>
      </c>
      <c r="C6333" s="25">
        <v>333621.21000000002</v>
      </c>
      <c r="D6333" s="22" t="s">
        <v>9680</v>
      </c>
      <c r="E6333" s="22" t="s">
        <v>62</v>
      </c>
      <c r="F6333" s="23" t="str">
        <f t="shared" si="134"/>
        <v>Поставка бланочной продукция</v>
      </c>
      <c r="G6333" s="22" t="s">
        <v>92</v>
      </c>
      <c r="H6333" s="22" t="s">
        <v>9681</v>
      </c>
      <c r="I6333" s="26">
        <v>43698.500891203701</v>
      </c>
      <c r="J6333" s="23" t="str">
        <f>HYPERLINK("https://www.spark-marketing.ru/Card/Person/169511", "ООО ""ИЗДАТЕЛЬСТВО ""ГРОТЕСК""")</f>
        <v>ООО "ИЗДАТЕЛЬСТВО "ГРОТЕСК"</v>
      </c>
      <c r="K6333" s="24" t="s">
        <v>3050</v>
      </c>
      <c r="L6333" s="28" t="s">
        <v>51</v>
      </c>
      <c r="M6333" s="25">
        <v>263177.99</v>
      </c>
      <c r="N6333" s="27">
        <v>0.21114730685138394</v>
      </c>
    </row>
    <row r="6334" spans="1:14" x14ac:dyDescent="0.15">
      <c r="A6334" s="23" t="str">
        <f t="shared" ref="A6334:A6339" si="135">HYPERLINK("https://www.spark-marketing.ru/Card/Person/58608", "ОБУЗ ""КАРДИОЛОГИЧЕСКИЙ ДИСПАНСЕР""")</f>
        <v>ОБУЗ "КАРДИОЛОГИЧЕСКИЙ ДИСПАНСЕР"</v>
      </c>
      <c r="B6334" s="24" t="s">
        <v>9684</v>
      </c>
      <c r="C6334" s="25">
        <v>13059711</v>
      </c>
      <c r="D6334" s="22" t="s">
        <v>9685</v>
      </c>
      <c r="E6334" s="22" t="s">
        <v>96</v>
      </c>
      <c r="F6334" s="23" t="str">
        <f t="shared" ref="F6334:F6339" si="136">HYPERLINK("https://www.spark-marketing.ru/Card/Lot/72945722", "Оказание услуг по организации лечебного питания")</f>
        <v>Оказание услуг по организации лечебного питания</v>
      </c>
      <c r="G6334" s="22" t="s">
        <v>1047</v>
      </c>
      <c r="H6334" s="22" t="s">
        <v>1953</v>
      </c>
      <c r="I6334" s="26">
        <v>43698.623009259303</v>
      </c>
      <c r="J6334" s="28" t="s">
        <v>51</v>
      </c>
      <c r="K6334" s="28" t="s">
        <v>51</v>
      </c>
      <c r="L6334" s="28" t="s">
        <v>51</v>
      </c>
      <c r="M6334" s="28" t="s">
        <v>51</v>
      </c>
      <c r="N6334" s="28" t="s">
        <v>51</v>
      </c>
    </row>
    <row r="6335" spans="1:14" hidden="1" outlineLevel="1" x14ac:dyDescent="0.2">
      <c r="A6335" s="23" t="str">
        <f t="shared" si="135"/>
        <v>ОБУЗ "КАРДИОЛОГИЧЕСКИЙ ДИСПАНСЕР"</v>
      </c>
      <c r="B6335" s="24" t="s">
        <v>9684</v>
      </c>
      <c r="C6335" s="25">
        <v>13059711</v>
      </c>
      <c r="D6335" s="22" t="s">
        <v>9685</v>
      </c>
      <c r="E6335" s="22" t="s">
        <v>96</v>
      </c>
      <c r="F6335" s="23" t="str">
        <f t="shared" si="136"/>
        <v>Оказание услуг по организации лечебного питания</v>
      </c>
      <c r="G6335" s="22" t="s">
        <v>1047</v>
      </c>
      <c r="H6335" s="22" t="s">
        <v>1953</v>
      </c>
      <c r="I6335" s="26">
        <v>43698.623009259303</v>
      </c>
      <c r="J6335" s="23" t="str">
        <f>HYPERLINK("https://www.spark-marketing.ru/Card/Person/580887", "Федосеева Елена Юрьевна")</f>
        <v>Федосеева Елена Юрьевна</v>
      </c>
      <c r="K6335" s="24" t="s">
        <v>1956</v>
      </c>
      <c r="L6335" s="28" t="s">
        <v>51</v>
      </c>
      <c r="M6335" s="25">
        <v>9848817.5299999993</v>
      </c>
      <c r="N6335" s="27">
        <v>0.24586252100065614</v>
      </c>
    </row>
    <row r="6336" spans="1:14" hidden="1" outlineLevel="1" x14ac:dyDescent="0.2">
      <c r="A6336" s="23" t="str">
        <f t="shared" si="135"/>
        <v>ОБУЗ "КАРДИОЛОГИЧЕСКИЙ ДИСПАНСЕР"</v>
      </c>
      <c r="B6336" s="24" t="s">
        <v>9684</v>
      </c>
      <c r="C6336" s="25">
        <v>13059711</v>
      </c>
      <c r="D6336" s="22" t="s">
        <v>9685</v>
      </c>
      <c r="E6336" s="22" t="s">
        <v>96</v>
      </c>
      <c r="F6336" s="23" t="str">
        <f t="shared" si="136"/>
        <v>Оказание услуг по организации лечебного питания</v>
      </c>
      <c r="G6336" s="22" t="s">
        <v>1047</v>
      </c>
      <c r="H6336" s="22" t="s">
        <v>1953</v>
      </c>
      <c r="I6336" s="26">
        <v>43698.623009259303</v>
      </c>
      <c r="J6336" s="23" t="str">
        <f>HYPERLINK("https://www.spark-marketing.ru/Card/Person/17228", "ООО ""МЕД-ФУД""")</f>
        <v>ООО "МЕД-ФУД"</v>
      </c>
      <c r="K6336" s="24" t="s">
        <v>9686</v>
      </c>
      <c r="L6336" s="28" t="s">
        <v>51</v>
      </c>
      <c r="M6336" s="25">
        <v>12994412.439999999</v>
      </c>
      <c r="N6336" s="27">
        <v>5.0000003828568644E-3</v>
      </c>
    </row>
    <row r="6337" spans="1:14" hidden="1" outlineLevel="1" x14ac:dyDescent="0.2">
      <c r="A6337" s="23" t="str">
        <f t="shared" si="135"/>
        <v>ОБУЗ "КАРДИОЛОГИЧЕСКИЙ ДИСПАНСЕР"</v>
      </c>
      <c r="B6337" s="24" t="s">
        <v>9684</v>
      </c>
      <c r="C6337" s="25">
        <v>13059711</v>
      </c>
      <c r="D6337" s="22" t="s">
        <v>9685</v>
      </c>
      <c r="E6337" s="22" t="s">
        <v>96</v>
      </c>
      <c r="F6337" s="23" t="str">
        <f t="shared" si="136"/>
        <v>Оказание услуг по организации лечебного питания</v>
      </c>
      <c r="G6337" s="22" t="s">
        <v>1047</v>
      </c>
      <c r="H6337" s="22" t="s">
        <v>1953</v>
      </c>
      <c r="I6337" s="26">
        <v>43698.623009259303</v>
      </c>
      <c r="J6337" s="23" t="str">
        <f>HYPERLINK("https://www.spark-marketing.ru/Card/Person/511897", "ООО ""СНАБЖЕНИЕ""")</f>
        <v>ООО "СНАБЖЕНИЕ"</v>
      </c>
      <c r="K6337" s="24" t="s">
        <v>1957</v>
      </c>
      <c r="L6337" s="28" t="s">
        <v>51</v>
      </c>
      <c r="M6337" s="25">
        <v>9316944</v>
      </c>
      <c r="N6337" s="27">
        <v>0.28658880736334824</v>
      </c>
    </row>
    <row r="6338" spans="1:14" hidden="1" outlineLevel="1" x14ac:dyDescent="0.2">
      <c r="A6338" s="23" t="str">
        <f t="shared" si="135"/>
        <v>ОБУЗ "КАРДИОЛОГИЧЕСКИЙ ДИСПАНСЕР"</v>
      </c>
      <c r="B6338" s="24" t="s">
        <v>9684</v>
      </c>
      <c r="C6338" s="25">
        <v>13059711</v>
      </c>
      <c r="D6338" s="22" t="s">
        <v>9685</v>
      </c>
      <c r="E6338" s="22" t="s">
        <v>96</v>
      </c>
      <c r="F6338" s="23" t="str">
        <f t="shared" si="136"/>
        <v>Оказание услуг по организации лечебного питания</v>
      </c>
      <c r="G6338" s="22" t="s">
        <v>1047</v>
      </c>
      <c r="H6338" s="22" t="s">
        <v>1953</v>
      </c>
      <c r="I6338" s="26">
        <v>43698.623009259303</v>
      </c>
      <c r="J6338" s="23" t="str">
        <f>HYPERLINK("https://www.spark-marketing.ru/Card/Person/4872314", "ООО ""ФОРТУНА""")</f>
        <v>ООО "ФОРТУНА"</v>
      </c>
      <c r="K6338" s="24" t="s">
        <v>1955</v>
      </c>
      <c r="L6338" s="28" t="s">
        <v>51</v>
      </c>
      <c r="M6338" s="25">
        <v>12863815.32</v>
      </c>
      <c r="N6338" s="27">
        <v>1.5000001148570592E-2</v>
      </c>
    </row>
    <row r="6339" spans="1:14" ht="12.75" hidden="1" outlineLevel="1" x14ac:dyDescent="0.2">
      <c r="A6339" s="23" t="str">
        <f t="shared" si="135"/>
        <v>ОБУЗ "КАРДИОЛОГИЧЕСКИЙ ДИСПАНСЕР"</v>
      </c>
      <c r="B6339" s="24" t="s">
        <v>9684</v>
      </c>
      <c r="C6339" s="25">
        <v>13059711</v>
      </c>
      <c r="D6339" s="22" t="s">
        <v>9685</v>
      </c>
      <c r="E6339" s="22" t="s">
        <v>96</v>
      </c>
      <c r="F6339" s="23" t="str">
        <f t="shared" si="136"/>
        <v>Оказание услуг по организации лечебного питания</v>
      </c>
      <c r="G6339" s="22" t="s">
        <v>1047</v>
      </c>
      <c r="H6339" s="22" t="s">
        <v>1953</v>
      </c>
      <c r="I6339" s="26">
        <v>43698.623009259303</v>
      </c>
      <c r="J6339" s="23" t="str">
        <f>HYPERLINK("https://www.spark-marketing.ru/Card/Person/236610", "Пискарев Владимир Евгеньевич")</f>
        <v>Пискарев Владимир Евгеньевич</v>
      </c>
      <c r="K6339" s="24" t="s">
        <v>1954</v>
      </c>
      <c r="L6339" s="22" t="s">
        <v>10</v>
      </c>
      <c r="M6339" s="25">
        <v>9251645.4399999995</v>
      </c>
      <c r="N6339" s="27">
        <v>0.2915888077462051</v>
      </c>
    </row>
    <row r="6340" spans="1:14" x14ac:dyDescent="0.15">
      <c r="A6340" s="23" t="str">
        <f>HYPERLINK("https://www.spark-marketing.ru/Card/Person/99623", "ОМВД РОССИИ ПО Г. НЕФТЕЮГАНСКУ")</f>
        <v>ОМВД РОССИИ ПО Г. НЕФТЕЮГАНСКУ</v>
      </c>
      <c r="B6340" s="24" t="s">
        <v>9408</v>
      </c>
      <c r="C6340" s="25">
        <v>2286</v>
      </c>
      <c r="D6340" s="22" t="s">
        <v>9687</v>
      </c>
      <c r="E6340" s="22" t="s">
        <v>48</v>
      </c>
      <c r="F6340" s="23" t="str">
        <f>HYPERLINK("https://www.spark-marketing.ru/Card/Lot/72934035",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340" s="22" t="s">
        <v>97</v>
      </c>
      <c r="H6340" s="22" t="s">
        <v>363</v>
      </c>
      <c r="I6340" s="26">
        <v>43698.589803240699</v>
      </c>
      <c r="J6340" s="28" t="s">
        <v>51</v>
      </c>
      <c r="K6340" s="28" t="s">
        <v>51</v>
      </c>
      <c r="L6340" s="28" t="s">
        <v>51</v>
      </c>
      <c r="M6340" s="28" t="s">
        <v>51</v>
      </c>
      <c r="N6340" s="28" t="s">
        <v>51</v>
      </c>
    </row>
    <row r="6341" spans="1:14" x14ac:dyDescent="0.15">
      <c r="A6341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6341" s="24" t="s">
        <v>309</v>
      </c>
      <c r="C6341" s="25">
        <v>498960</v>
      </c>
      <c r="D6341" s="22" t="s">
        <v>9688</v>
      </c>
      <c r="E6341" s="22" t="s">
        <v>48</v>
      </c>
      <c r="F6341" s="23" t="str">
        <f>HYPERLINK("https://www.spark-marketing.ru/Card/Lot/72942710", "Оказание услуг по питанию граждан, находящихся в спец. приемнике для содержания лиц, подвергнутых административному аресту")</f>
        <v>Оказание услуг по питанию граждан, находящихся в спец. приемнике для содержания лиц, подвергнутых административному аресту</v>
      </c>
      <c r="G6341" s="22" t="s">
        <v>49</v>
      </c>
      <c r="H6341" s="22" t="s">
        <v>5949</v>
      </c>
      <c r="I6341" s="26">
        <v>43698.519351851799</v>
      </c>
      <c r="J6341" s="28" t="s">
        <v>51</v>
      </c>
      <c r="K6341" s="28" t="s">
        <v>51</v>
      </c>
      <c r="L6341" s="28" t="s">
        <v>51</v>
      </c>
      <c r="M6341" s="28" t="s">
        <v>51</v>
      </c>
      <c r="N6341" s="28" t="s">
        <v>51</v>
      </c>
    </row>
    <row r="6342" spans="1:14" x14ac:dyDescent="0.15">
      <c r="A6342" s="23" t="str">
        <f>HYPERLINK("https://www.spark-marketing.ru/Card/Person/121415", "ОМВД РОССИИ ПО ВОЛОКОЛАМСКОМУ ГОРОДСКОМУ ОКРУГУ")</f>
        <v>ОМВД РОССИИ ПО ВОЛОКОЛАМСКОМУ ГОРОДСКОМУ ОКРУГУ</v>
      </c>
      <c r="B6342" s="24" t="s">
        <v>9689</v>
      </c>
      <c r="C6342" s="25">
        <v>362451.73</v>
      </c>
      <c r="D6342" s="22" t="s">
        <v>9690</v>
      </c>
      <c r="E6342" s="22" t="s">
        <v>48</v>
      </c>
      <c r="F6342" s="23" t="str">
        <f>HYPERLINK("https://www.spark-marketing.ru/Card/Lot/72942672",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6342" s="22" t="s">
        <v>49</v>
      </c>
      <c r="H6342" s="22" t="s">
        <v>49</v>
      </c>
      <c r="I6342" s="26">
        <v>43698.3886458333</v>
      </c>
      <c r="J6342" s="23" t="str">
        <f>HYPERLINK("https://www.spark-marketing.ru/Card/Person/2051565", "ООО ""АФИНА ПЛЮС""")</f>
        <v>ООО "АФИНА ПЛЮС"</v>
      </c>
      <c r="K6342" s="24" t="s">
        <v>9691</v>
      </c>
      <c r="L6342" s="22" t="s">
        <v>10</v>
      </c>
      <c r="M6342" s="28" t="s">
        <v>51</v>
      </c>
      <c r="N6342" s="28" t="s">
        <v>51</v>
      </c>
    </row>
    <row r="6343" spans="1:14" x14ac:dyDescent="0.15">
      <c r="A6343" s="23" t="str">
        <f>HYPERLINK("https://www.spark-marketing.ru/Card/Person/17114", "УМВД РОССИИ ПО КОСТРОМСКОЙ ОБЛАСТИ")</f>
        <v>УМВД РОССИИ ПО КОСТРОМСКОЙ ОБЛАСТИ</v>
      </c>
      <c r="B6343" s="24" t="s">
        <v>6725</v>
      </c>
      <c r="C6343" s="25">
        <v>1708784</v>
      </c>
      <c r="D6343" s="22" t="s">
        <v>9692</v>
      </c>
      <c r="E6343" s="22" t="s">
        <v>48</v>
      </c>
      <c r="F6343" s="23" t="str">
        <f>HYPERLINK("https://www.spark-marketing.ru/Card/Lot/72940323", "Оказание услуг по обеспечению горячим питанием лиц, содержащихся в центре временного содержания иностранных граждан УМВД России по Костромской области")</f>
        <v>Оказание услуг по обеспечению горячим питанием лиц, содержащихся в центре временного содержания иностранных граждан УМВД России по Костромской области</v>
      </c>
      <c r="G6343" s="22" t="s">
        <v>292</v>
      </c>
      <c r="H6343" s="22" t="s">
        <v>292</v>
      </c>
      <c r="I6343" s="26">
        <v>43698.536354166703</v>
      </c>
      <c r="J6343" s="23" t="str">
        <f>HYPERLINK("https://www.spark-marketing.ru/Card/Person/6682764", "ОВЕЧКИНА ЕЛЕНА ВАЛЕНТИНОВНА")</f>
        <v>ОВЕЧКИНА ЕЛЕНА ВАЛЕНТИНОВНА</v>
      </c>
      <c r="K6343" s="24" t="s">
        <v>3510</v>
      </c>
      <c r="L6343" s="22" t="s">
        <v>10</v>
      </c>
      <c r="M6343" s="28" t="s">
        <v>51</v>
      </c>
      <c r="N6343" s="28" t="s">
        <v>51</v>
      </c>
    </row>
    <row r="6344" spans="1:14" x14ac:dyDescent="0.15">
      <c r="A6344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6344" s="24" t="s">
        <v>309</v>
      </c>
      <c r="C6344" s="25">
        <v>734440</v>
      </c>
      <c r="D6344" s="22" t="s">
        <v>9693</v>
      </c>
      <c r="E6344" s="22" t="s">
        <v>48</v>
      </c>
      <c r="F6344" s="23" t="str">
        <f>HYPERLINK("https://www.spark-marketing.ru/Card/Lot/72943572", "Оказание услуг по питанию граждан находящихся в ИВС")</f>
        <v>Оказание услуг по питанию граждан находящихся в ИВС</v>
      </c>
      <c r="G6344" s="22" t="s">
        <v>49</v>
      </c>
      <c r="H6344" s="22" t="s">
        <v>5949</v>
      </c>
      <c r="I6344" s="26">
        <v>43698.5168865741</v>
      </c>
      <c r="J6344" s="28" t="s">
        <v>51</v>
      </c>
      <c r="K6344" s="28" t="s">
        <v>51</v>
      </c>
      <c r="L6344" s="28" t="s">
        <v>51</v>
      </c>
      <c r="M6344" s="28" t="s">
        <v>51</v>
      </c>
      <c r="N6344" s="28" t="s">
        <v>51</v>
      </c>
    </row>
    <row r="6345" spans="1:14" x14ac:dyDescent="0.15">
      <c r="A6345" s="23" t="str">
        <f>HYPERLINK("https://www.spark-marketing.ru/Card/Person/4343713", "ЦСН СР РОСГВАРДИИ")</f>
        <v>ЦСН СР РОСГВАРДИИ</v>
      </c>
      <c r="B6345" s="24" t="s">
        <v>9694</v>
      </c>
      <c r="C6345" s="25">
        <v>1015564.64</v>
      </c>
      <c r="D6345" s="22" t="s">
        <v>9695</v>
      </c>
      <c r="E6345" s="22" t="s">
        <v>48</v>
      </c>
      <c r="F6345" s="23" t="str">
        <f>HYPERLINK("https://www.spark-marketing.ru/Card/Lot/72943709", "Оказание услуг по организации питания летного состава")</f>
        <v>Оказание услуг по организации питания летного состава</v>
      </c>
      <c r="G6345" s="22" t="s">
        <v>49</v>
      </c>
      <c r="H6345" s="22" t="s">
        <v>49</v>
      </c>
      <c r="I6345" s="26">
        <v>43698.599374999998</v>
      </c>
      <c r="J6345" s="28" t="s">
        <v>51</v>
      </c>
      <c r="K6345" s="28" t="s">
        <v>51</v>
      </c>
      <c r="L6345" s="28" t="s">
        <v>51</v>
      </c>
      <c r="M6345" s="28" t="s">
        <v>51</v>
      </c>
      <c r="N6345" s="28" t="s">
        <v>51</v>
      </c>
    </row>
    <row r="6346" spans="1:14" ht="12.75" hidden="1" outlineLevel="1" x14ac:dyDescent="0.2">
      <c r="A6346" s="23" t="str">
        <f>HYPERLINK("https://www.spark-marketing.ru/Card/Person/4343713", "ЦСН СР РОСГВАРДИИ")</f>
        <v>ЦСН СР РОСГВАРДИИ</v>
      </c>
      <c r="B6346" s="24" t="s">
        <v>9694</v>
      </c>
      <c r="C6346" s="25">
        <v>1015564.64</v>
      </c>
      <c r="D6346" s="22" t="s">
        <v>9695</v>
      </c>
      <c r="E6346" s="22" t="s">
        <v>48</v>
      </c>
      <c r="F6346" s="23" t="str">
        <f>HYPERLINK("https://www.spark-marketing.ru/Card/Lot/72943709", "Оказание услуг по организации питания летного состава")</f>
        <v>Оказание услуг по организации питания летного состава</v>
      </c>
      <c r="G6346" s="22" t="s">
        <v>49</v>
      </c>
      <c r="H6346" s="22" t="s">
        <v>49</v>
      </c>
      <c r="I6346" s="26">
        <v>43698.599374999998</v>
      </c>
      <c r="J6346" s="23" t="str">
        <f>HYPERLINK("https://www.spark-marketing.ru/Card/Person/6249615", "ООО ""АЛЬЯНС ПИТАНИЯ""")</f>
        <v>ООО "АЛЬЯНС ПИТАНИЯ"</v>
      </c>
      <c r="K6346" s="24" t="s">
        <v>9696</v>
      </c>
      <c r="L6346" s="22" t="s">
        <v>10</v>
      </c>
      <c r="M6346" s="25">
        <v>558560.6</v>
      </c>
      <c r="N6346" s="27">
        <v>0.44999995273565258</v>
      </c>
    </row>
    <row r="6347" spans="1:14" hidden="1" outlineLevel="1" x14ac:dyDescent="0.2">
      <c r="A6347" s="23" t="str">
        <f>HYPERLINK("https://www.spark-marketing.ru/Card/Person/4343713", "ЦСН СР РОСГВАРДИИ")</f>
        <v>ЦСН СР РОСГВАРДИИ</v>
      </c>
      <c r="B6347" s="24" t="s">
        <v>9694</v>
      </c>
      <c r="C6347" s="25">
        <v>1015564.64</v>
      </c>
      <c r="D6347" s="22" t="s">
        <v>9695</v>
      </c>
      <c r="E6347" s="22" t="s">
        <v>48</v>
      </c>
      <c r="F6347" s="23" t="str">
        <f>HYPERLINK("https://www.spark-marketing.ru/Card/Lot/72943709", "Оказание услуг по организации питания летного состава")</f>
        <v>Оказание услуг по организации питания летного состава</v>
      </c>
      <c r="G6347" s="22" t="s">
        <v>49</v>
      </c>
      <c r="H6347" s="22" t="s">
        <v>49</v>
      </c>
      <c r="I6347" s="26">
        <v>43698.599374999998</v>
      </c>
      <c r="J6347" s="23" t="str">
        <f>HYPERLINK("https://www.spark-marketing.ru/Card/Person/6494443", "ООО ""ФУД СЕРВИС""")</f>
        <v>ООО "ФУД СЕРВИС"</v>
      </c>
      <c r="K6347" s="24" t="s">
        <v>9697</v>
      </c>
      <c r="L6347" s="28" t="s">
        <v>51</v>
      </c>
      <c r="M6347" s="25">
        <v>1010486.82</v>
      </c>
      <c r="N6347" s="27">
        <v>4.9999968490435035E-3</v>
      </c>
    </row>
    <row r="6348" spans="1:14" hidden="1" outlineLevel="1" x14ac:dyDescent="0.2">
      <c r="A6348" s="23" t="str">
        <f>HYPERLINK("https://www.spark-marketing.ru/Card/Person/4343713", "ЦСН СР РОСГВАРДИИ")</f>
        <v>ЦСН СР РОСГВАРДИИ</v>
      </c>
      <c r="B6348" s="24" t="s">
        <v>9694</v>
      </c>
      <c r="C6348" s="25">
        <v>1015564.64</v>
      </c>
      <c r="D6348" s="22" t="s">
        <v>9695</v>
      </c>
      <c r="E6348" s="22" t="s">
        <v>48</v>
      </c>
      <c r="F6348" s="23" t="str">
        <f>HYPERLINK("https://www.spark-marketing.ru/Card/Lot/72943709", "Оказание услуг по организации питания летного состава")</f>
        <v>Оказание услуг по организации питания летного состава</v>
      </c>
      <c r="G6348" s="22" t="s">
        <v>49</v>
      </c>
      <c r="H6348" s="22" t="s">
        <v>49</v>
      </c>
      <c r="I6348" s="26">
        <v>43698.599374999998</v>
      </c>
      <c r="J6348" s="23" t="str">
        <f>HYPERLINK("https://www.spark-marketing.ru/Card/Person/4052353", "ООО ""ЕВРОКОР""")</f>
        <v>ООО "ЕВРОКОР"</v>
      </c>
      <c r="K6348" s="24" t="s">
        <v>9698</v>
      </c>
      <c r="L6348" s="28" t="s">
        <v>51</v>
      </c>
      <c r="M6348" s="25">
        <v>832763.03</v>
      </c>
      <c r="N6348" s="27">
        <v>0.1799999751862176</v>
      </c>
    </row>
    <row r="6349" spans="1:14" hidden="1" outlineLevel="1" x14ac:dyDescent="0.2">
      <c r="A6349" s="23" t="str">
        <f>HYPERLINK("https://www.spark-marketing.ru/Card/Person/4343713", "ЦСН СР РОСГВАРДИИ")</f>
        <v>ЦСН СР РОСГВАРДИИ</v>
      </c>
      <c r="B6349" s="24" t="s">
        <v>9694</v>
      </c>
      <c r="C6349" s="25">
        <v>1015564.64</v>
      </c>
      <c r="D6349" s="22" t="s">
        <v>9695</v>
      </c>
      <c r="E6349" s="22" t="s">
        <v>48</v>
      </c>
      <c r="F6349" s="23" t="str">
        <f>HYPERLINK("https://www.spark-marketing.ru/Card/Lot/72943709", "Оказание услуг по организации питания летного состава")</f>
        <v>Оказание услуг по организации питания летного состава</v>
      </c>
      <c r="G6349" s="22" t="s">
        <v>49</v>
      </c>
      <c r="H6349" s="22" t="s">
        <v>49</v>
      </c>
      <c r="I6349" s="26">
        <v>43698.599374999998</v>
      </c>
      <c r="J6349" s="23" t="str">
        <f>HYPERLINK("https://www.spark-marketing.ru/Card/Person/6693178", "ООО ""АТС""")</f>
        <v>ООО "АТС"</v>
      </c>
      <c r="K6349" s="24" t="s">
        <v>9699</v>
      </c>
      <c r="L6349" s="28" t="s">
        <v>51</v>
      </c>
      <c r="M6349" s="25">
        <v>609338.82999999996</v>
      </c>
      <c r="N6349" s="27">
        <v>0.39999995470500038</v>
      </c>
    </row>
    <row r="6350" spans="1:14" x14ac:dyDescent="0.15">
      <c r="A6350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6350" s="24" t="s">
        <v>309</v>
      </c>
      <c r="C6350" s="25">
        <v>734440</v>
      </c>
      <c r="D6350" s="22" t="s">
        <v>9700</v>
      </c>
      <c r="E6350" s="22" t="s">
        <v>48</v>
      </c>
      <c r="F6350" s="23" t="str">
        <f>HYPERLINK("https://www.spark-marketing.ru/Card/Lot/72943573", "Оказание услуг по питанию граждан находящихся в ИВС")</f>
        <v>Оказание услуг по питанию граждан находящихся в ИВС</v>
      </c>
      <c r="G6350" s="22" t="s">
        <v>49</v>
      </c>
      <c r="H6350" s="22" t="s">
        <v>5949</v>
      </c>
      <c r="I6350" s="26">
        <v>43698.5183217593</v>
      </c>
      <c r="J6350" s="28" t="s">
        <v>51</v>
      </c>
      <c r="K6350" s="28" t="s">
        <v>51</v>
      </c>
      <c r="L6350" s="28" t="s">
        <v>51</v>
      </c>
      <c r="M6350" s="28" t="s">
        <v>51</v>
      </c>
      <c r="N6350" s="28" t="s">
        <v>51</v>
      </c>
    </row>
    <row r="6351" spans="1:14" x14ac:dyDescent="0.15">
      <c r="A6351" s="23" t="str">
        <f>HYPERLINK("https://www.spark-marketing.ru/Card/Person/89798", "УМВД РОССИИ ПО ГОРОДУ КИРОВУ")</f>
        <v>УМВД РОССИИ ПО ГОРОДУ КИРОВУ</v>
      </c>
      <c r="B6351" s="24" t="s">
        <v>8365</v>
      </c>
      <c r="C6351" s="25">
        <v>900000</v>
      </c>
      <c r="D6351" s="22" t="s">
        <v>9701</v>
      </c>
      <c r="E6351" s="22" t="s">
        <v>48</v>
      </c>
      <c r="F6351" s="23" t="str">
        <f>HYPERLINK("https://www.spark-marketing.ru/Card/Lot/72943687",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351" s="22" t="s">
        <v>224</v>
      </c>
      <c r="H6351" s="22" t="s">
        <v>225</v>
      </c>
      <c r="I6351" s="26">
        <v>43698.595891203702</v>
      </c>
      <c r="J6351" s="28" t="s">
        <v>51</v>
      </c>
      <c r="K6351" s="28" t="s">
        <v>51</v>
      </c>
      <c r="L6351" s="28" t="s">
        <v>51</v>
      </c>
      <c r="M6351" s="28" t="s">
        <v>51</v>
      </c>
      <c r="N6351" s="28" t="s">
        <v>51</v>
      </c>
    </row>
    <row r="6352" spans="1:14" hidden="1" outlineLevel="1" x14ac:dyDescent="0.2">
      <c r="A6352" s="23" t="str">
        <f>HYPERLINK("https://www.spark-marketing.ru/Card/Person/89798", "УМВД РОССИИ ПО ГОРОДУ КИРОВУ")</f>
        <v>УМВД РОССИИ ПО ГОРОДУ КИРОВУ</v>
      </c>
      <c r="B6352" s="24" t="s">
        <v>8365</v>
      </c>
      <c r="C6352" s="25">
        <v>900000</v>
      </c>
      <c r="D6352" s="22" t="s">
        <v>9701</v>
      </c>
      <c r="E6352" s="22" t="s">
        <v>48</v>
      </c>
      <c r="F6352" s="23" t="str">
        <f>HYPERLINK("https://www.spark-marketing.ru/Card/Lot/72943687",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352" s="22" t="s">
        <v>224</v>
      </c>
      <c r="H6352" s="22" t="s">
        <v>225</v>
      </c>
      <c r="I6352" s="26">
        <v>43698.595891203702</v>
      </c>
      <c r="J6352" s="23" t="str">
        <f>HYPERLINK("https://www.spark-marketing.ru/Card/Person/6454752", "ООО ""ЕВРО КЕЙТЕРИНГ 43""")</f>
        <v>ООО "ЕВРО КЕЙТЕРИНГ 43"</v>
      </c>
      <c r="K6352" s="24" t="s">
        <v>8367</v>
      </c>
      <c r="L6352" s="28" t="s">
        <v>51</v>
      </c>
      <c r="M6352" s="25">
        <v>7082.41</v>
      </c>
      <c r="N6352" s="27">
        <v>0.99213065555555557</v>
      </c>
    </row>
    <row r="6353" spans="1:14" ht="12.75" hidden="1" outlineLevel="1" x14ac:dyDescent="0.2">
      <c r="A6353" s="23" t="str">
        <f>HYPERLINK("https://www.spark-marketing.ru/Card/Person/89798", "УМВД РОССИИ ПО ГОРОДУ КИРОВУ")</f>
        <v>УМВД РОССИИ ПО ГОРОДУ КИРОВУ</v>
      </c>
      <c r="B6353" s="24" t="s">
        <v>8365</v>
      </c>
      <c r="C6353" s="25">
        <v>900000</v>
      </c>
      <c r="D6353" s="22" t="s">
        <v>9701</v>
      </c>
      <c r="E6353" s="22" t="s">
        <v>48</v>
      </c>
      <c r="F6353" s="23" t="str">
        <f>HYPERLINK("https://www.spark-marketing.ru/Card/Lot/72943687",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353" s="22" t="s">
        <v>224</v>
      </c>
      <c r="H6353" s="22" t="s">
        <v>225</v>
      </c>
      <c r="I6353" s="26">
        <v>43698.595891203702</v>
      </c>
      <c r="J6353" s="23" t="str">
        <f>HYPERLINK("https://www.spark-marketing.ru/Card/Person/89851", "ООО ""ФУД-СЕРВИС""")</f>
        <v>ООО "ФУД-СЕРВИС"</v>
      </c>
      <c r="K6353" s="24" t="s">
        <v>8368</v>
      </c>
      <c r="L6353" s="22" t="s">
        <v>10</v>
      </c>
      <c r="M6353" s="25">
        <v>7046.82</v>
      </c>
      <c r="N6353" s="27">
        <v>0.9921702</v>
      </c>
    </row>
    <row r="6354" spans="1:14" x14ac:dyDescent="0.15">
      <c r="A6354" s="23" t="str">
        <f>HYPERLINK("https://www.spark-marketing.ru/Card/Person/737290", "ГКУ «ЦБЗ ПРИ МИНЗДРАВЕ КАРЕЛИИ»")</f>
        <v>ГКУ «ЦБЗ ПРИ МИНЗДРАВЕ КАРЕЛИИ»</v>
      </c>
      <c r="B6354" s="24" t="s">
        <v>312</v>
      </c>
      <c r="C6354" s="25">
        <v>14790</v>
      </c>
      <c r="D6354" s="22" t="s">
        <v>9702</v>
      </c>
      <c r="E6354" s="22" t="s">
        <v>52</v>
      </c>
      <c r="F6354" s="23" t="str">
        <f>HYPERLINK("https://www.spark-marketing.ru/Card/Lot/72938076", "Поставка лекарственного препарата Беклометазон,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Беклометазон,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6354" s="22" t="s">
        <v>59</v>
      </c>
      <c r="H6354" s="22" t="s">
        <v>314</v>
      </c>
      <c r="I6354" s="26">
        <v>43698.497407407398</v>
      </c>
      <c r="J6354" s="28" t="s">
        <v>51</v>
      </c>
      <c r="K6354" s="28" t="s">
        <v>51</v>
      </c>
      <c r="L6354" s="28" t="s">
        <v>51</v>
      </c>
      <c r="M6354" s="28" t="s">
        <v>51</v>
      </c>
      <c r="N6354" s="28" t="s">
        <v>51</v>
      </c>
    </row>
    <row r="6355" spans="1:14" x14ac:dyDescent="0.15">
      <c r="A6355" s="23" t="str">
        <f>HYPERLINK("https://www.spark-marketing.ru/Card/Person/268714", "ОГБУЗ ""БЕЛГОРОДСКИЙ ЦЕНТР ПРОФИЛАКТИКИ И БОРЬБЫ СО СПИД""")</f>
        <v>ОГБУЗ "БЕЛГОРОДСКИЙ ЦЕНТР ПРОФИЛАКТИКИ И БОРЬБЫ СО СПИД"</v>
      </c>
      <c r="B6355" s="24" t="s">
        <v>9703</v>
      </c>
      <c r="C6355" s="25">
        <v>36800</v>
      </c>
      <c r="D6355" s="22" t="s">
        <v>9704</v>
      </c>
      <c r="E6355" s="22" t="s">
        <v>91</v>
      </c>
      <c r="F6355" s="23" t="str">
        <f>HYPERLINK("https://www.spark-marketing.ru/Card/Lot/72934832", "Оказание услуг по выполнению замены элементов (ремонт) источников бесперебойного питания для нужд ОГБУЗ «Белгородский центр профилактики и борьбы со СПИД»")</f>
        <v>Оказание услуг по выполнению замены элементов (ремонт) источников бесперебойного питания для нужд ОГБУЗ «Белгородский центр профилактики и борьбы со СПИД»</v>
      </c>
      <c r="G6355" s="22" t="s">
        <v>696</v>
      </c>
      <c r="H6355" s="22" t="s">
        <v>1163</v>
      </c>
      <c r="I6355" s="26">
        <v>43698.590277777803</v>
      </c>
      <c r="J6355" s="28" t="s">
        <v>51</v>
      </c>
      <c r="K6355" s="28" t="s">
        <v>51</v>
      </c>
      <c r="L6355" s="28" t="s">
        <v>51</v>
      </c>
      <c r="M6355" s="28" t="s">
        <v>51</v>
      </c>
      <c r="N6355" s="28" t="s">
        <v>51</v>
      </c>
    </row>
    <row r="6356" spans="1:14" x14ac:dyDescent="0.2">
      <c r="A6356" s="23" t="str">
        <f>HYPERLINK("https://www.spark-marketing.ru/Card/Person/1009160", "МБОУ ""ГОНЧАРОВСКАЯ СОШ""")</f>
        <v>МБОУ "ГОНЧАРОВСКАЯ СОШ"</v>
      </c>
      <c r="B6356" s="24" t="s">
        <v>9705</v>
      </c>
      <c r="C6356" s="25">
        <v>660649</v>
      </c>
      <c r="D6356" s="22" t="s">
        <v>9706</v>
      </c>
      <c r="E6356" s="22" t="s">
        <v>48</v>
      </c>
      <c r="F6356" s="23" t="str">
        <f>HYPERLINK("https://www.spark-marketing.ru/Card/Lot/72949907", "Оказание услуг по организации питания для льготных категорий обучающихся и обеспечению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обеспечению молоком (кисломолочными продуктами) обучающихся 1-4 классов</v>
      </c>
      <c r="G6356" s="22" t="s">
        <v>162</v>
      </c>
      <c r="H6356" s="22" t="s">
        <v>5558</v>
      </c>
      <c r="I6356" s="26">
        <v>43698.619212963</v>
      </c>
      <c r="J6356" s="23" t="str">
        <f>HYPERLINK("https://www.spark-marketing.ru/Card/Person/1281490", "Разина Елена Викторовна")</f>
        <v>Разина Елена Викторовна</v>
      </c>
      <c r="K6356" s="24" t="s">
        <v>5559</v>
      </c>
      <c r="L6356" s="28" t="s">
        <v>51</v>
      </c>
      <c r="M6356" s="25">
        <v>660649</v>
      </c>
      <c r="N6356" s="27">
        <v>0</v>
      </c>
    </row>
    <row r="6357" spans="1:14" x14ac:dyDescent="0.15">
      <c r="A6357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6357" s="24" t="s">
        <v>309</v>
      </c>
      <c r="C6357" s="25">
        <v>498960</v>
      </c>
      <c r="D6357" s="22" t="s">
        <v>9707</v>
      </c>
      <c r="E6357" s="22" t="s">
        <v>48</v>
      </c>
      <c r="F6357" s="23" t="str">
        <f>HYPERLINK("https://www.spark-marketing.ru/Card/Lot/72942712", "Оказание услуг по питанию граждан, находящихся в спец. приемнике для содержания лиц, подвергнутых административному аресту")</f>
        <v>Оказание услуг по питанию граждан, находящихся в спец. приемнике для содержания лиц, подвергнутых административному аресту</v>
      </c>
      <c r="G6357" s="22" t="s">
        <v>49</v>
      </c>
      <c r="H6357" s="22" t="s">
        <v>5949</v>
      </c>
      <c r="I6357" s="26">
        <v>43698.520613425899</v>
      </c>
      <c r="J6357" s="28" t="s">
        <v>51</v>
      </c>
      <c r="K6357" s="28" t="s">
        <v>51</v>
      </c>
      <c r="L6357" s="28" t="s">
        <v>51</v>
      </c>
      <c r="M6357" s="28" t="s">
        <v>51</v>
      </c>
      <c r="N6357" s="28" t="s">
        <v>51</v>
      </c>
    </row>
    <row r="6358" spans="1:14" x14ac:dyDescent="0.15">
      <c r="A6358" s="23" t="str">
        <f>HYPERLINK("https://www.spark-marketing.ru/Card/Person/255802", "ГАУСО ""БАВЛИНСКИЙ ДОМ-ИНТЕРНАТ ДЛЯ ПРЕСТАРЕЛЫХ И ИНВАЛИДОВ"" МТЗ И СЗ РТ")</f>
        <v>ГАУСО "БАВЛИНСКИЙ ДОМ-ИНТЕРНАТ ДЛЯ ПРЕСТАРЕЛЫХ И ИНВАЛИДОВ" МТЗ И СЗ РТ</v>
      </c>
      <c r="B6358" s="24" t="s">
        <v>9708</v>
      </c>
      <c r="C6358" s="25">
        <v>837062.92</v>
      </c>
      <c r="D6358" s="22" t="s">
        <v>9709</v>
      </c>
      <c r="E6358" s="22" t="s">
        <v>51</v>
      </c>
      <c r="F6358" s="23" t="str">
        <f>HYPERLINK("https://www.spark-marketing.ru/Card/Lot/72939629", "Услуги по организации готового горячего питания для ГАУСО ""Бавлинский дом-интернат для престарелых и инвалидов"" МТЗ иСЗ РТ")</f>
        <v>Услуги по организации готового горячего питания для ГАУСО "Бавлинский дом-интернат для престарелых и инвалидов" МТЗ иСЗ РТ</v>
      </c>
      <c r="G6358" s="22" t="s">
        <v>217</v>
      </c>
      <c r="H6358" s="22" t="s">
        <v>9710</v>
      </c>
      <c r="I6358" s="26">
        <v>43698.574756944399</v>
      </c>
      <c r="J6358" s="28" t="s">
        <v>51</v>
      </c>
      <c r="K6358" s="28" t="s">
        <v>51</v>
      </c>
      <c r="L6358" s="28" t="s">
        <v>51</v>
      </c>
      <c r="M6358" s="28" t="s">
        <v>51</v>
      </c>
      <c r="N6358" s="28" t="s">
        <v>51</v>
      </c>
    </row>
    <row r="6359" spans="1:14" ht="12.75" hidden="1" outlineLevel="1" x14ac:dyDescent="0.2">
      <c r="A6359" s="23" t="str">
        <f>HYPERLINK("https://www.spark-marketing.ru/Card/Person/255802", "ГАУСО ""БАВЛИНСКИЙ ДОМ-ИНТЕРНАТ ДЛЯ ПРЕСТАРЕЛЫХ И ИНВАЛИДОВ"" МТЗ И СЗ РТ")</f>
        <v>ГАУСО "БАВЛИНСКИЙ ДОМ-ИНТЕРНАТ ДЛЯ ПРЕСТАРЕЛЫХ И ИНВАЛИДОВ" МТЗ И СЗ РТ</v>
      </c>
      <c r="B6359" s="24" t="s">
        <v>9708</v>
      </c>
      <c r="C6359" s="25">
        <v>837062.92</v>
      </c>
      <c r="D6359" s="22" t="s">
        <v>9709</v>
      </c>
      <c r="E6359" s="22" t="s">
        <v>51</v>
      </c>
      <c r="F6359" s="23" t="str">
        <f>HYPERLINK("https://www.spark-marketing.ru/Card/Lot/72939629", "Услуги по организации готового горячего питания для ГАУСО ""Бавлинский дом-интернат для престарелых и инвалидов"" МТЗ иСЗ РТ")</f>
        <v>Услуги по организации готового горячего питания для ГАУСО "Бавлинский дом-интернат для престарелых и инвалидов" МТЗ иСЗ РТ</v>
      </c>
      <c r="G6359" s="22" t="s">
        <v>217</v>
      </c>
      <c r="H6359" s="22" t="s">
        <v>9710</v>
      </c>
      <c r="I6359" s="26">
        <v>43698.574756944399</v>
      </c>
      <c r="J6359" s="23" t="str">
        <f>HYPERLINK("https://www.spark-marketing.ru/Card/Person/6084653", "ООО ""ВИТАРА""")</f>
        <v>ООО "ВИТАРА"</v>
      </c>
      <c r="K6359" s="24" t="s">
        <v>2437</v>
      </c>
      <c r="L6359" s="22" t="s">
        <v>10</v>
      </c>
      <c r="M6359" s="25">
        <v>669650.52</v>
      </c>
      <c r="N6359" s="27">
        <v>0.19999978018378833</v>
      </c>
    </row>
    <row r="6360" spans="1:14" hidden="1" outlineLevel="1" x14ac:dyDescent="0.2">
      <c r="A6360" s="23" t="str">
        <f>HYPERLINK("https://www.spark-marketing.ru/Card/Person/255802", "ГАУСО ""БАВЛИНСКИЙ ДОМ-ИНТЕРНАТ ДЛЯ ПРЕСТАРЕЛЫХ И ИНВАЛИДОВ"" МТЗ И СЗ РТ")</f>
        <v>ГАУСО "БАВЛИНСКИЙ ДОМ-ИНТЕРНАТ ДЛЯ ПРЕСТАРЕЛЫХ И ИНВАЛИДОВ" МТЗ И СЗ РТ</v>
      </c>
      <c r="B6360" s="24" t="s">
        <v>9708</v>
      </c>
      <c r="C6360" s="25">
        <v>837062.92</v>
      </c>
      <c r="D6360" s="22" t="s">
        <v>9709</v>
      </c>
      <c r="E6360" s="22" t="s">
        <v>51</v>
      </c>
      <c r="F6360" s="23" t="str">
        <f>HYPERLINK("https://www.spark-marketing.ru/Card/Lot/72939629", "Услуги по организации готового горячего питания для ГАУСО ""Бавлинский дом-интернат для престарелых и инвалидов"" МТЗ иСЗ РТ")</f>
        <v>Услуги по организации готового горячего питания для ГАУСО "Бавлинский дом-интернат для престарелых и инвалидов" МТЗ иСЗ РТ</v>
      </c>
      <c r="G6360" s="22" t="s">
        <v>217</v>
      </c>
      <c r="H6360" s="22" t="s">
        <v>9710</v>
      </c>
      <c r="I6360" s="26">
        <v>43698.574756944399</v>
      </c>
      <c r="J6360" s="23" t="str">
        <f>HYPERLINK("https://www.spark-marketing.ru/Card/Person/6075772", "ООО ""ЭТАЛОН+""")</f>
        <v>ООО "ЭТАЛОН+"</v>
      </c>
      <c r="K6360" s="24" t="s">
        <v>5846</v>
      </c>
      <c r="L6360" s="28" t="s">
        <v>51</v>
      </c>
      <c r="M6360" s="25">
        <v>673835.83</v>
      </c>
      <c r="N6360" s="27">
        <v>0.19499978567919363</v>
      </c>
    </row>
    <row r="6361" spans="1:14" x14ac:dyDescent="0.15">
      <c r="A6361" s="23" t="str">
        <f>HYPERLINK("https://www.spark-marketing.ru/Card/Person/4373452", "ОМВД РОССИИ ПО КРЕСТЕЦКОМУ РАЙОНУ")</f>
        <v>ОМВД РОССИИ ПО КРЕСТЕЦКОМУ РАЙОНУ</v>
      </c>
      <c r="B6361" s="24" t="s">
        <v>9711</v>
      </c>
      <c r="C6361" s="25">
        <v>850000</v>
      </c>
      <c r="D6361" s="22" t="s">
        <v>9712</v>
      </c>
      <c r="E6361" s="22" t="s">
        <v>48</v>
      </c>
      <c r="F6361" s="23" t="str">
        <f>HYPERLINK("https://www.spark-marketing.ru/Card/Lot/72937085", "Питание ИВС")</f>
        <v>Питание ИВС</v>
      </c>
      <c r="G6361" s="22" t="s">
        <v>849</v>
      </c>
      <c r="H6361" s="22" t="s">
        <v>9713</v>
      </c>
      <c r="I6361" s="26">
        <v>43698.477002314801</v>
      </c>
      <c r="J6361" s="23" t="str">
        <f>HYPERLINK("https://www.spark-marketing.ru/Card/Person/1344837", "ООО ""ЛЕСТОРГ""")</f>
        <v>ООО "ЛЕСТОРГ"</v>
      </c>
      <c r="K6361" s="24" t="s">
        <v>9714</v>
      </c>
      <c r="L6361" s="22" t="s">
        <v>10</v>
      </c>
      <c r="M6361" s="28" t="s">
        <v>51</v>
      </c>
      <c r="N6361" s="28" t="s">
        <v>51</v>
      </c>
    </row>
    <row r="6362" spans="1:14" x14ac:dyDescent="0.2">
      <c r="A6362" s="23" t="str">
        <f>HYPERLINK("https://www.spark-marketing.ru/Card/Person/3649", "ГБУЗ ООД")</f>
        <v>ГБУЗ ООД</v>
      </c>
      <c r="B6362" s="24" t="s">
        <v>9715</v>
      </c>
      <c r="C6362" s="25">
        <v>9281164.8800000008</v>
      </c>
      <c r="D6362" s="22" t="s">
        <v>9716</v>
      </c>
      <c r="E6362" s="22" t="s">
        <v>48</v>
      </c>
      <c r="F6362" s="23" t="str">
        <f>HYPERLINK("https://www.spark-marketing.ru/Card/Lot/72949949", "Оказание услуг по организации общественного питания")</f>
        <v>Оказание услуг по организации общественного питания</v>
      </c>
      <c r="G6362" s="22" t="s">
        <v>263</v>
      </c>
      <c r="H6362" s="22" t="s">
        <v>2768</v>
      </c>
      <c r="I6362" s="26">
        <v>43698.724652777797</v>
      </c>
      <c r="J6362" s="23" t="str">
        <f>HYPERLINK("https://www.spark-marketing.ru/Card/Person/114732", "Радина Вера Борисовна")</f>
        <v>Радина Вера Борисовна</v>
      </c>
      <c r="K6362" s="24" t="s">
        <v>9717</v>
      </c>
      <c r="L6362" s="28" t="s">
        <v>51</v>
      </c>
      <c r="M6362" s="25">
        <v>9281000</v>
      </c>
      <c r="N6362" s="27">
        <v>1.7765011410938323E-5</v>
      </c>
    </row>
    <row r="6363" spans="1:14" x14ac:dyDescent="0.15">
      <c r="A6363" s="23" t="str">
        <f>HYPERLINK("https://www.spark-marketing.ru/Card/Person/94316", "МБОУ НОШ № 17")</f>
        <v>МБОУ НОШ № 17</v>
      </c>
      <c r="B6363" s="24" t="s">
        <v>1881</v>
      </c>
      <c r="C6363" s="25">
        <v>196786.8</v>
      </c>
      <c r="D6363" s="22" t="s">
        <v>9718</v>
      </c>
      <c r="E6363" s="22" t="s">
        <v>48</v>
      </c>
      <c r="F6363" s="23" t="str">
        <f>HYPERLINK("https://www.spark-marketing.ru/Card/Lot/72932653", "Услуги по обеспечению питанием воспитанников МБОУ НОШ № 17 (с доставкой продуктов питания в школьную столовую и приготовлением горячих завтраков , обедов, полдников, ужинов на месте в столовой МБОУ НОШ № 17)")</f>
        <v>Услуги по обеспечению питанием воспитанников МБОУ НОШ № 17 (с доставкой продуктов питания в школьную столовую и приготовлением горячих завтраков , обедов, полдников, ужинов на месте в столовой МБОУ НОШ № 17)</v>
      </c>
      <c r="G6363" s="22" t="s">
        <v>49</v>
      </c>
      <c r="H6363" s="22" t="s">
        <v>1883</v>
      </c>
      <c r="I6363" s="26">
        <v>43698.513437499998</v>
      </c>
      <c r="J6363" s="28" t="s">
        <v>51</v>
      </c>
      <c r="K6363" s="28" t="s">
        <v>51</v>
      </c>
      <c r="L6363" s="28" t="s">
        <v>51</v>
      </c>
      <c r="M6363" s="28" t="s">
        <v>51</v>
      </c>
      <c r="N6363" s="28" t="s">
        <v>51</v>
      </c>
    </row>
    <row r="6364" spans="1:14" x14ac:dyDescent="0.15">
      <c r="A6364" s="23" t="str">
        <f>HYPERLINK("https://www.spark-marketing.ru/Card/Person/4365627", "ООО ""РН-БУРЕНИЕ""")</f>
        <v>ООО "РН-БУРЕНИЕ"</v>
      </c>
      <c r="B6364" s="24" t="s">
        <v>7087</v>
      </c>
      <c r="C6364" s="25">
        <v>27991008</v>
      </c>
      <c r="D6364" s="22" t="s">
        <v>9719</v>
      </c>
      <c r="E6364" s="22" t="s">
        <v>362</v>
      </c>
      <c r="F6364" s="23" t="str">
        <f>HYPERLINK("https://www.spark-marketing.ru/Card/Lot/72934131", "Оказание услуг питания для РУБР №2")</f>
        <v>Оказание услуг питания для РУБР №2</v>
      </c>
      <c r="G6364" s="22" t="s">
        <v>56</v>
      </c>
      <c r="H6364" s="22" t="s">
        <v>56</v>
      </c>
      <c r="I6364" s="26">
        <v>43698.521527777797</v>
      </c>
      <c r="J6364" s="28" t="s">
        <v>51</v>
      </c>
      <c r="K6364" s="28" t="s">
        <v>51</v>
      </c>
      <c r="L6364" s="28" t="s">
        <v>51</v>
      </c>
      <c r="M6364" s="28" t="s">
        <v>51</v>
      </c>
      <c r="N6364" s="28" t="s">
        <v>51</v>
      </c>
    </row>
    <row r="6365" spans="1:14" x14ac:dyDescent="0.15">
      <c r="A6365" s="23" t="str">
        <f>HYPERLINK("https://www.spark-marketing.ru/Card/Person/4374535", "МЕЖМУНИЦИПАЛЬНЫЙ ОТДЕЛ МВД РФ ""ТУНКИНСКИЙ""")</f>
        <v>МЕЖМУНИЦИПАЛЬНЫЙ ОТДЕЛ МВД РФ "ТУНКИНСКИЙ"</v>
      </c>
      <c r="B6365" s="24" t="s">
        <v>9720</v>
      </c>
      <c r="C6365" s="25">
        <v>1602000</v>
      </c>
      <c r="D6365" s="22" t="s">
        <v>9721</v>
      </c>
      <c r="E6365" s="22" t="s">
        <v>48</v>
      </c>
      <c r="F6365" s="23" t="str">
        <f>HYPERLINK("https://www.spark-marketing.ru/Card/Lot/72924252", "Обеспечение питанием лиц подозреваемых и обвиняемых, административно-арестованных лиц")</f>
        <v>Обеспечение питанием лиц подозреваемых и обвиняемых, административно-арестованных лиц</v>
      </c>
      <c r="G6365" s="22" t="s">
        <v>433</v>
      </c>
      <c r="H6365" s="22" t="s">
        <v>9722</v>
      </c>
      <c r="I6365" s="26">
        <v>43698.472893518498</v>
      </c>
      <c r="J6365" s="23" t="str">
        <f>HYPERLINK("https://www.spark-marketing.ru/Card/Person/773083", "Аюшеева Сырен-Ханда Нимаевна")</f>
        <v>Аюшеева Сырен-Ханда Нимаевна</v>
      </c>
      <c r="K6365" s="24" t="s">
        <v>9723</v>
      </c>
      <c r="L6365" s="22" t="s">
        <v>10</v>
      </c>
      <c r="M6365" s="28" t="s">
        <v>51</v>
      </c>
      <c r="N6365" s="28" t="s">
        <v>51</v>
      </c>
    </row>
    <row r="6366" spans="1:14" x14ac:dyDescent="0.15">
      <c r="A6366" s="23" t="str">
        <f>HYPERLINK("https://www.spark-marketing.ru/Card/Person/270031", "ОТДЕЛ МВД РОССИИ ПО КСТОВСКОМУ РАЙОНУ")</f>
        <v>ОТДЕЛ МВД РОССИИ ПО КСТОВСКОМУ РАЙОНУ</v>
      </c>
      <c r="B6366" s="24" t="s">
        <v>9724</v>
      </c>
      <c r="C6366" s="25">
        <v>1389690</v>
      </c>
      <c r="D6366" s="22" t="s">
        <v>9725</v>
      </c>
      <c r="E6366" s="22" t="s">
        <v>48</v>
      </c>
      <c r="F6366" s="23" t="str">
        <f>HYPERLINK("https://www.spark-marketing.ru/Card/Lot/72936999", "оказание услуги по организации питания лиц содержащихся в изоляторе временного содержания подозреваемых и обвиняемых, в специальном помещении для задержанных Отдела МВД России по Кстовскому району")</f>
        <v>оказание услуги по организации питания лиц содержащихся в изоляторе временного содержания подозреваемых и обвиняемых, в специальном помещении для задержанных Отдела МВД России по Кстовскому району</v>
      </c>
      <c r="G6366" s="22" t="s">
        <v>76</v>
      </c>
      <c r="H6366" s="22" t="s">
        <v>76</v>
      </c>
      <c r="I6366" s="26">
        <v>43698.390428240702</v>
      </c>
      <c r="J6366" s="23" t="str">
        <f>HYPERLINK("https://www.spark-marketing.ru/Card/Person/6634118", "Матвеева Ольга Юрьевна")</f>
        <v>Матвеева Ольга Юрьевна</v>
      </c>
      <c r="K6366" s="24" t="s">
        <v>5786</v>
      </c>
      <c r="L6366" s="22" t="s">
        <v>10</v>
      </c>
      <c r="M6366" s="28" t="s">
        <v>51</v>
      </c>
      <c r="N6366" s="28" t="s">
        <v>51</v>
      </c>
    </row>
    <row r="6367" spans="1:14" x14ac:dyDescent="0.15">
      <c r="A6367" s="23" t="str">
        <f>HYPERLINK("https://www.spark-marketing.ru/Card/Person/123045", "МБОУ ""СОШ №3""")</f>
        <v>МБОУ "СОШ №3"</v>
      </c>
      <c r="B6367" s="24" t="s">
        <v>9726</v>
      </c>
      <c r="C6367" s="25">
        <v>293280</v>
      </c>
      <c r="D6367" s="22" t="s">
        <v>9727</v>
      </c>
      <c r="E6367" s="22" t="s">
        <v>48</v>
      </c>
      <c r="F6367" s="23" t="str">
        <f>HYPERLINK("https://www.spark-marketing.ru/Card/Lot/72932139", "Контракт на оказание услуги по организации питания детей из многодетных семей в МБОУ «СОШ №3» Алексеевского городского округа")</f>
        <v>Контракт на оказание услуги по организации питания детей из многодетных семей в МБОУ «СОШ №3» Алексеевского городского округа</v>
      </c>
      <c r="G6367" s="22" t="s">
        <v>696</v>
      </c>
      <c r="H6367" s="22" t="s">
        <v>9728</v>
      </c>
      <c r="I6367" s="26">
        <v>43698.529861111099</v>
      </c>
      <c r="J6367" s="28" t="s">
        <v>51</v>
      </c>
      <c r="K6367" s="28" t="s">
        <v>51</v>
      </c>
      <c r="L6367" s="28" t="s">
        <v>51</v>
      </c>
      <c r="M6367" s="28" t="s">
        <v>51</v>
      </c>
      <c r="N6367" s="28" t="s">
        <v>51</v>
      </c>
    </row>
    <row r="6368" spans="1:14" x14ac:dyDescent="0.15">
      <c r="A6368" s="23" t="str">
        <f>HYPERLINK("https://www.spark-marketing.ru/Card/Person/4365627", "ООО ""РН-БУРЕНИЕ""")</f>
        <v>ООО "РН-БУРЕНИЕ"</v>
      </c>
      <c r="B6368" s="24" t="s">
        <v>7087</v>
      </c>
      <c r="C6368" s="25">
        <v>27004320</v>
      </c>
      <c r="D6368" s="22" t="s">
        <v>9719</v>
      </c>
      <c r="E6368" s="22" t="s">
        <v>362</v>
      </c>
      <c r="F6368" s="23" t="str">
        <f>HYPERLINK("https://www.spark-marketing.ru/Card/Lot/72934132", "Оказание услуг питания для РУБР №3")</f>
        <v>Оказание услуг питания для РУБР №3</v>
      </c>
      <c r="G6368" s="22" t="s">
        <v>56</v>
      </c>
      <c r="H6368" s="22" t="s">
        <v>56</v>
      </c>
      <c r="I6368" s="26">
        <v>43698.521527777797</v>
      </c>
      <c r="J6368" s="28" t="s">
        <v>51</v>
      </c>
      <c r="K6368" s="28" t="s">
        <v>51</v>
      </c>
      <c r="L6368" s="28" t="s">
        <v>51</v>
      </c>
      <c r="M6368" s="28" t="s">
        <v>51</v>
      </c>
      <c r="N6368" s="28" t="s">
        <v>51</v>
      </c>
    </row>
    <row r="6369" spans="1:14" x14ac:dyDescent="0.15">
      <c r="A6369" s="23" t="str">
        <f>HYPERLINK("https://www.spark-marketing.ru/Card/Person/4365627", "ООО ""РН-БУРЕНИЕ""")</f>
        <v>ООО "РН-БУРЕНИЕ"</v>
      </c>
      <c r="B6369" s="24" t="s">
        <v>7087</v>
      </c>
      <c r="C6369" s="25">
        <v>36025374.240000002</v>
      </c>
      <c r="D6369" s="22" t="s">
        <v>9719</v>
      </c>
      <c r="E6369" s="22" t="s">
        <v>362</v>
      </c>
      <c r="F6369" s="23" t="str">
        <f>HYPERLINK("https://www.spark-marketing.ru/Card/Lot/72934130", "Оказание услуг питания для РУБР №1")</f>
        <v>Оказание услуг питания для РУБР №1</v>
      </c>
      <c r="G6369" s="22" t="s">
        <v>56</v>
      </c>
      <c r="H6369" s="22" t="s">
        <v>56</v>
      </c>
      <c r="I6369" s="26">
        <v>43698.521527777797</v>
      </c>
      <c r="J6369" s="28" t="s">
        <v>51</v>
      </c>
      <c r="K6369" s="28" t="s">
        <v>51</v>
      </c>
      <c r="L6369" s="28" t="s">
        <v>51</v>
      </c>
      <c r="M6369" s="28" t="s">
        <v>51</v>
      </c>
      <c r="N6369" s="28" t="s">
        <v>51</v>
      </c>
    </row>
    <row r="6370" spans="1:14" x14ac:dyDescent="0.15">
      <c r="A6370" s="23" t="str">
        <f>HYPERLINK("https://www.spark-marketing.ru/Card/Person/123045", "МБОУ ""СОШ №3""")</f>
        <v>МБОУ "СОШ №3"</v>
      </c>
      <c r="B6370" s="24" t="s">
        <v>9726</v>
      </c>
      <c r="C6370" s="25">
        <v>52650</v>
      </c>
      <c r="D6370" s="22" t="s">
        <v>9729</v>
      </c>
      <c r="E6370" s="22" t="s">
        <v>48</v>
      </c>
      <c r="F6370" s="23" t="str">
        <f>HYPERLINK("https://www.spark-marketing.ru/Card/Lot/72932145", "Контракт на оказание услуги по организации питания детей с ОВЗ в МБОУ «СОШ №3» Алексеевского городского округа")</f>
        <v>Контракт на оказание услуги по организации питания детей с ОВЗ в МБОУ «СОШ №3» Алексеевского городского округа</v>
      </c>
      <c r="G6370" s="22" t="s">
        <v>696</v>
      </c>
      <c r="H6370" s="22" t="s">
        <v>9728</v>
      </c>
      <c r="I6370" s="26">
        <v>43698.531944444403</v>
      </c>
      <c r="J6370" s="28" t="s">
        <v>51</v>
      </c>
      <c r="K6370" s="28" t="s">
        <v>51</v>
      </c>
      <c r="L6370" s="28" t="s">
        <v>51</v>
      </c>
      <c r="M6370" s="28" t="s">
        <v>51</v>
      </c>
      <c r="N6370" s="28" t="s">
        <v>51</v>
      </c>
    </row>
    <row r="6371" spans="1:14" x14ac:dyDescent="0.15">
      <c r="A6371" s="23" t="str">
        <f>HYPERLINK("https://www.spark-marketing.ru/Card/Person/4375433", "МИНСЕЛЬХОЗ РЕСПУБЛИКИ АЛТАЙ")</f>
        <v>МИНСЕЛЬХОЗ РЕСПУБЛИКИ АЛТАЙ</v>
      </c>
      <c r="B6371" s="24" t="s">
        <v>3931</v>
      </c>
      <c r="C6371" s="25">
        <v>310000</v>
      </c>
      <c r="D6371" s="22" t="s">
        <v>9730</v>
      </c>
      <c r="E6371" s="22" t="s">
        <v>67</v>
      </c>
      <c r="F6371" s="23" t="str">
        <f>HYPERLINK("https://www.spark-marketing.ru/Card/Lot/72924905", "Оказание услуги по проведению мероприятия ""День работника сельского хозяйства"" для нужд Министерства сельского хозяйства Республики Алтай (организация питания)")</f>
        <v>Оказание услуги по проведению мероприятия "День работника сельского хозяйства" для нужд Министерства сельского хозяйства Республики Алтай (организация питания)</v>
      </c>
      <c r="G6371" s="22" t="s">
        <v>1141</v>
      </c>
      <c r="H6371" s="22" t="s">
        <v>1142</v>
      </c>
      <c r="I6371" s="26">
        <v>43698.511250000003</v>
      </c>
      <c r="J6371" s="28" t="s">
        <v>51</v>
      </c>
      <c r="K6371" s="28" t="s">
        <v>51</v>
      </c>
      <c r="L6371" s="28" t="s">
        <v>51</v>
      </c>
      <c r="M6371" s="28" t="s">
        <v>51</v>
      </c>
      <c r="N6371" s="28" t="s">
        <v>51</v>
      </c>
    </row>
    <row r="6372" spans="1:14" x14ac:dyDescent="0.15">
      <c r="A6372" s="23" t="str">
        <f>HYPERLINK("https://www.spark-marketing.ru/Card/Person/112654", "ОМВД РОССИИ ПО ЧУДОВСКОМУ РАЙОНУ")</f>
        <v>ОМВД РОССИИ ПО ЧУДОВСКОМУ РАЙОНУ</v>
      </c>
      <c r="B6372" s="24" t="s">
        <v>2501</v>
      </c>
      <c r="C6372" s="25">
        <v>300000</v>
      </c>
      <c r="D6372" s="22" t="s">
        <v>9731</v>
      </c>
      <c r="E6372" s="22" t="s">
        <v>96</v>
      </c>
      <c r="F6372" s="23" t="str">
        <f>HYPERLINK("https://www.spark-marketing.ru/Card/Lot/72930490", "Услуга по питанию, 750 шт")</f>
        <v>Услуга по питанию, 750 шт</v>
      </c>
      <c r="G6372" s="22" t="s">
        <v>849</v>
      </c>
      <c r="H6372" s="22" t="s">
        <v>2503</v>
      </c>
      <c r="I6372" s="26">
        <v>43698.5171064815</v>
      </c>
      <c r="J6372" s="28" t="s">
        <v>51</v>
      </c>
      <c r="K6372" s="28" t="s">
        <v>51</v>
      </c>
      <c r="L6372" s="28" t="s">
        <v>51</v>
      </c>
      <c r="M6372" s="28" t="s">
        <v>51</v>
      </c>
      <c r="N6372" s="28" t="s">
        <v>51</v>
      </c>
    </row>
    <row r="6373" spans="1:14" x14ac:dyDescent="0.15">
      <c r="A6373" s="23" t="str">
        <f>HYPERLINK("https://www.spark-marketing.ru/Card/Person/112654", "ОМВД РОССИИ ПО ЧУДОВСКОМУ РАЙОНУ")</f>
        <v>ОМВД РОССИИ ПО ЧУДОВСКОМУ РАЙОНУ</v>
      </c>
      <c r="B6373" s="24" t="s">
        <v>2501</v>
      </c>
      <c r="C6373" s="25">
        <v>300000</v>
      </c>
      <c r="D6373" s="22" t="s">
        <v>9732</v>
      </c>
      <c r="E6373" s="22" t="s">
        <v>96</v>
      </c>
      <c r="F6373" s="23" t="str">
        <f>HYPERLINK("https://www.spark-marketing.ru/Card/Lot/72930608", "Услуга по питанию, 750 шт")</f>
        <v>Услуга по питанию, 750 шт</v>
      </c>
      <c r="G6373" s="22" t="s">
        <v>849</v>
      </c>
      <c r="H6373" s="22" t="s">
        <v>2503</v>
      </c>
      <c r="I6373" s="26">
        <v>43698.512164351901</v>
      </c>
      <c r="J6373" s="28" t="s">
        <v>51</v>
      </c>
      <c r="K6373" s="28" t="s">
        <v>51</v>
      </c>
      <c r="L6373" s="28" t="s">
        <v>51</v>
      </c>
      <c r="M6373" s="28" t="s">
        <v>51</v>
      </c>
      <c r="N6373" s="28" t="s">
        <v>51</v>
      </c>
    </row>
    <row r="6374" spans="1:14" collapsed="1" x14ac:dyDescent="0.15">
      <c r="A6374" s="23" t="str">
        <f>HYPERLINK("https://www.spark-marketing.ru/Card/Person/51869", "УМВД РОССИИ ПО ТУЛЬСКОЙ ОБЛАСТИ")</f>
        <v>УМВД РОССИИ ПО ТУЛЬСКОЙ ОБЛАСТИ</v>
      </c>
      <c r="B6374" s="24" t="s">
        <v>9733</v>
      </c>
      <c r="C6374" s="25">
        <v>7000000</v>
      </c>
      <c r="D6374" s="22" t="s">
        <v>9734</v>
      </c>
      <c r="E6374" s="22" t="s">
        <v>48</v>
      </c>
      <c r="F6374" s="23" t="str">
        <f>HYPERLINK("https://www.spark-marketing.ru/Card/Lot/72937502", "Оказание услуг по организации питания лиц, пребывающих в специальном учреждении временного содержания иностранных граждан, для нужд УМВД России по Тульской области")</f>
        <v>Оказание услуг по организации питания лиц, пребывающих в специальном учреждении временного содержания иностранных граждан, для нужд УМВД России по Тульской области</v>
      </c>
      <c r="G6374" s="22" t="s">
        <v>68</v>
      </c>
      <c r="H6374" s="22" t="s">
        <v>68</v>
      </c>
      <c r="I6374" s="26">
        <v>43698.406319444402</v>
      </c>
      <c r="J6374" s="28" t="s">
        <v>51</v>
      </c>
      <c r="K6374" s="28" t="s">
        <v>51</v>
      </c>
      <c r="L6374" s="28" t="s">
        <v>51</v>
      </c>
      <c r="M6374" s="28" t="s">
        <v>51</v>
      </c>
      <c r="N6374" s="28" t="s">
        <v>51</v>
      </c>
    </row>
    <row r="6375" spans="1:14" hidden="1" outlineLevel="1" x14ac:dyDescent="0.2">
      <c r="A6375" s="23" t="str">
        <f>HYPERLINK("https://www.spark-marketing.ru/Card/Person/51869", "УМВД РОССИИ ПО ТУЛЬСКОЙ ОБЛАСТИ")</f>
        <v>УМВД РОССИИ ПО ТУЛЬСКОЙ ОБЛАСТИ</v>
      </c>
      <c r="B6375" s="24" t="s">
        <v>9733</v>
      </c>
      <c r="C6375" s="25">
        <v>7000000</v>
      </c>
      <c r="D6375" s="22" t="s">
        <v>9734</v>
      </c>
      <c r="E6375" s="22" t="s">
        <v>48</v>
      </c>
      <c r="F6375" s="23" t="str">
        <f>HYPERLINK("https://www.spark-marketing.ru/Card/Lot/72937502", "Оказание услуг по организации питания лиц, пребывающих в специальном учреждении временного содержания иностранных граждан, для нужд УМВД России по Тульской области")</f>
        <v>Оказание услуг по организации питания лиц, пребывающих в специальном учреждении временного содержания иностранных граждан, для нужд УМВД России по Тульской области</v>
      </c>
      <c r="G6375" s="22" t="s">
        <v>68</v>
      </c>
      <c r="H6375" s="22" t="s">
        <v>68</v>
      </c>
      <c r="I6375" s="26">
        <v>43698.406319444402</v>
      </c>
      <c r="J6375" s="23" t="str">
        <f>HYPERLINK("https://www.spark-marketing.ru/Card/Person/5917713", "ООО ""БАРБУС""")</f>
        <v>ООО "БАРБУС"</v>
      </c>
      <c r="K6375" s="24" t="s">
        <v>3333</v>
      </c>
      <c r="L6375" s="28" t="s">
        <v>51</v>
      </c>
      <c r="M6375" s="25">
        <v>1739.73</v>
      </c>
      <c r="N6375" s="27">
        <v>0.99975146714285712</v>
      </c>
    </row>
    <row r="6376" spans="1:14" ht="12.75" hidden="1" outlineLevel="1" x14ac:dyDescent="0.2">
      <c r="A6376" s="23" t="str">
        <f>HYPERLINK("https://www.spark-marketing.ru/Card/Person/51869", "УМВД РОССИИ ПО ТУЛЬСКОЙ ОБЛАСТИ")</f>
        <v>УМВД РОССИИ ПО ТУЛЬСКОЙ ОБЛАСТИ</v>
      </c>
      <c r="B6376" s="24" t="s">
        <v>9733</v>
      </c>
      <c r="C6376" s="25">
        <v>7000000</v>
      </c>
      <c r="D6376" s="22" t="s">
        <v>9734</v>
      </c>
      <c r="E6376" s="22" t="s">
        <v>48</v>
      </c>
      <c r="F6376" s="23" t="str">
        <f>HYPERLINK("https://www.spark-marketing.ru/Card/Lot/72937502", "Оказание услуг по организации питания лиц, пребывающих в специальном учреждении временного содержания иностранных граждан, для нужд УМВД России по Тульской области")</f>
        <v>Оказание услуг по организации питания лиц, пребывающих в специальном учреждении временного содержания иностранных граждан, для нужд УМВД России по Тульской области</v>
      </c>
      <c r="G6376" s="22" t="s">
        <v>68</v>
      </c>
      <c r="H6376" s="22" t="s">
        <v>68</v>
      </c>
      <c r="I6376" s="26">
        <v>43698.406319444402</v>
      </c>
      <c r="J6376" s="23" t="str">
        <f>HYPERLINK("https://www.spark-marketing.ru/Card/Person/4715784", "ООО ""КИМПРОД""")</f>
        <v>ООО "КИМПРОД"</v>
      </c>
      <c r="K6376" s="24" t="s">
        <v>9735</v>
      </c>
      <c r="L6376" s="22" t="s">
        <v>10</v>
      </c>
      <c r="M6376" s="25">
        <v>1728.93</v>
      </c>
      <c r="N6376" s="27">
        <v>0.99975301000000005</v>
      </c>
    </row>
    <row r="6377" spans="1:14" collapsed="1" x14ac:dyDescent="0.15">
      <c r="A6377" s="23" t="str">
        <f>HYPERLINK("https://www.spark-marketing.ru/Card/Person/15031", "ГБУЗ ЛО ""ТИХВИНСКАЯ МБ""")</f>
        <v>ГБУЗ ЛО "ТИХВИНСКАЯ МБ"</v>
      </c>
      <c r="B6377" s="24" t="s">
        <v>9736</v>
      </c>
      <c r="C6377" s="25">
        <v>650400</v>
      </c>
      <c r="D6377" s="22" t="s">
        <v>9737</v>
      </c>
      <c r="E6377" s="22" t="s">
        <v>9738</v>
      </c>
      <c r="F6377" s="23" t="str">
        <f>HYPERLINK("https://www.spark-marketing.ru/Card/Lot/72931480", "Оказание услуг по поддержке и сопровождению программных средств на платформе 1С:Предприятие 8: не типовой конфигурации ""1С: Бухгалтерия государственного учреждения 8"" не типовой конфигурации ""ВДГБ: Комплексный учёт питания, ГСМ и автотранспорта дл...")</f>
        <v>Оказание услуг по поддержке и сопровождению программных средств на платформе 1С:Предприятие 8: не типовой конфигурации "1С: Бухгалтерия государственного учреждения 8" не типовой конфигурации "ВДГБ: Комплексный учёт питания, ГСМ и автотранспорта дл...</v>
      </c>
      <c r="G6377" s="22" t="s">
        <v>162</v>
      </c>
      <c r="H6377" s="22" t="s">
        <v>9739</v>
      </c>
      <c r="I6377" s="26">
        <v>43698.460474537002</v>
      </c>
      <c r="J6377" s="28" t="s">
        <v>51</v>
      </c>
      <c r="K6377" s="28" t="s">
        <v>51</v>
      </c>
      <c r="L6377" s="28" t="s">
        <v>51</v>
      </c>
      <c r="M6377" s="28" t="s">
        <v>51</v>
      </c>
      <c r="N6377" s="28" t="s">
        <v>51</v>
      </c>
    </row>
    <row r="6378" spans="1:14" ht="12.75" hidden="1" outlineLevel="1" x14ac:dyDescent="0.2">
      <c r="A6378" s="23" t="str">
        <f>HYPERLINK("https://www.spark-marketing.ru/Card/Person/15031", "ГБУЗ ЛО ""ТИХВИНСКАЯ МБ""")</f>
        <v>ГБУЗ ЛО "ТИХВИНСКАЯ МБ"</v>
      </c>
      <c r="B6378" s="24" t="s">
        <v>9736</v>
      </c>
      <c r="C6378" s="25">
        <v>650400</v>
      </c>
      <c r="D6378" s="22" t="s">
        <v>9737</v>
      </c>
      <c r="E6378" s="22" t="s">
        <v>9738</v>
      </c>
      <c r="F6378" s="23" t="str">
        <f>HYPERLINK("https://www.spark-marketing.ru/Card/Lot/72931480", "Оказание услуг по поддержке и сопровождению программных средств на платформе 1С:Предприятие 8: не типовой конфигурации ""1С: Бухгалтерия государственного учреждения 8"" не типовой конфигурации ""ВДГБ: Комплексный учёт питания, ГСМ и автотранспорта дл...")</f>
        <v>Оказание услуг по поддержке и сопровождению программных средств на платформе 1С:Предприятие 8: не типовой конфигурации "1С: Бухгалтерия государственного учреждения 8" не типовой конфигурации "ВДГБ: Комплексный учёт питания, ГСМ и автотранспорта дл...</v>
      </c>
      <c r="G6378" s="22" t="s">
        <v>162</v>
      </c>
      <c r="H6378" s="22" t="s">
        <v>9739</v>
      </c>
      <c r="I6378" s="26">
        <v>43698.460474537002</v>
      </c>
      <c r="J6378" s="23" t="str">
        <f>HYPERLINK("https://www.spark-marketing.ru/Card/Person/394644", "ООО ""ЛВС""")</f>
        <v>ООО "ЛВС"</v>
      </c>
      <c r="K6378" s="24" t="s">
        <v>9740</v>
      </c>
      <c r="L6378" s="22" t="s">
        <v>10</v>
      </c>
      <c r="M6378" s="25">
        <v>571748</v>
      </c>
      <c r="N6378" s="27">
        <v>0.12092865928659287</v>
      </c>
    </row>
    <row r="6379" spans="1:14" hidden="1" outlineLevel="1" x14ac:dyDescent="0.2">
      <c r="A6379" s="23" t="str">
        <f>HYPERLINK("https://www.spark-marketing.ru/Card/Person/15031", "ГБУЗ ЛО ""ТИХВИНСКАЯ МБ""")</f>
        <v>ГБУЗ ЛО "ТИХВИНСКАЯ МБ"</v>
      </c>
      <c r="B6379" s="24" t="s">
        <v>9736</v>
      </c>
      <c r="C6379" s="25">
        <v>650400</v>
      </c>
      <c r="D6379" s="22" t="s">
        <v>9737</v>
      </c>
      <c r="E6379" s="22" t="s">
        <v>9738</v>
      </c>
      <c r="F6379" s="23" t="str">
        <f>HYPERLINK("https://www.spark-marketing.ru/Card/Lot/72931480", "Оказание услуг по поддержке и сопровождению программных средств на платформе 1С:Предприятие 8: не типовой конфигурации ""1С: Бухгалтерия государственного учреждения 8"" не типовой конфигурации ""ВДГБ: Комплексный учёт питания, ГСМ и автотранспорта дл...")</f>
        <v>Оказание услуг по поддержке и сопровождению программных средств на платформе 1С:Предприятие 8: не типовой конфигурации "1С: Бухгалтерия государственного учреждения 8" не типовой конфигурации "ВДГБ: Комплексный учёт питания, ГСМ и автотранспорта дл...</v>
      </c>
      <c r="G6379" s="22" t="s">
        <v>162</v>
      </c>
      <c r="H6379" s="22" t="s">
        <v>9739</v>
      </c>
      <c r="I6379" s="26">
        <v>43698.460474537002</v>
      </c>
      <c r="J6379" s="23" t="str">
        <f>HYPERLINK("https://www.spark-marketing.ru/Card/Person/6695909", "ООО ""КОМПЛЕКС""")</f>
        <v>ООО "КОМПЛЕКС"</v>
      </c>
      <c r="K6379" s="24" t="s">
        <v>9741</v>
      </c>
      <c r="L6379" s="28" t="s">
        <v>51</v>
      </c>
      <c r="M6379" s="25">
        <v>647000</v>
      </c>
      <c r="N6379" s="27">
        <v>5.2275522755227555E-3</v>
      </c>
    </row>
    <row r="6380" spans="1:14" hidden="1" outlineLevel="1" x14ac:dyDescent="0.2">
      <c r="A6380" s="23" t="str">
        <f>HYPERLINK("https://www.spark-marketing.ru/Card/Person/15031", "ГБУЗ ЛО ""ТИХВИНСКАЯ МБ""")</f>
        <v>ГБУЗ ЛО "ТИХВИНСКАЯ МБ"</v>
      </c>
      <c r="B6380" s="24" t="s">
        <v>9736</v>
      </c>
      <c r="C6380" s="25">
        <v>650400</v>
      </c>
      <c r="D6380" s="22" t="s">
        <v>9737</v>
      </c>
      <c r="E6380" s="22" t="s">
        <v>9738</v>
      </c>
      <c r="F6380" s="23" t="str">
        <f>HYPERLINK("https://www.spark-marketing.ru/Card/Lot/72931480", "Оказание услуг по поддержке и сопровождению программных средств на платформе 1С:Предприятие 8: не типовой конфигурации ""1С: Бухгалтерия государственного учреждения 8"" не типовой конфигурации ""ВДГБ: Комплексный учёт питания, ГСМ и автотранспорта дл...")</f>
        <v>Оказание услуг по поддержке и сопровождению программных средств на платформе 1С:Предприятие 8: не типовой конфигурации "1С: Бухгалтерия государственного учреждения 8" не типовой конфигурации "ВДГБ: Комплексный учёт питания, ГСМ и автотранспорта дл...</v>
      </c>
      <c r="G6380" s="22" t="s">
        <v>162</v>
      </c>
      <c r="H6380" s="22" t="s">
        <v>9739</v>
      </c>
      <c r="I6380" s="26">
        <v>43698.460474537002</v>
      </c>
      <c r="J6380" s="23" t="str">
        <f>HYPERLINK("https://www.spark-marketing.ru/Card/Person/4316423", "ООО ""БАЛАНС""")</f>
        <v>ООО "БАЛАНС"</v>
      </c>
      <c r="K6380" s="24" t="s">
        <v>9742</v>
      </c>
      <c r="L6380" s="28" t="s">
        <v>51</v>
      </c>
      <c r="M6380" s="25">
        <v>575000</v>
      </c>
      <c r="N6380" s="27">
        <v>0.11592865928659286</v>
      </c>
    </row>
    <row r="6381" spans="1:14" x14ac:dyDescent="0.15">
      <c r="A6381" s="23" t="str">
        <f>HYPERLINK("https://www.spark-marketing.ru/Card/Person/737290", "ГКУ «ЦБЗ ПРИ МИНЗДРАВЕ КАРЕЛИИ»")</f>
        <v>ГКУ «ЦБЗ ПРИ МИНЗДРАВЕ КАРЕЛИИ»</v>
      </c>
      <c r="B6381" s="24" t="s">
        <v>312</v>
      </c>
      <c r="C6381" s="25">
        <v>860059.2</v>
      </c>
      <c r="D6381" s="22" t="s">
        <v>9743</v>
      </c>
      <c r="E6381" s="22" t="s">
        <v>52</v>
      </c>
      <c r="F6381" s="23" t="str">
        <f>HYPERLINK("https://www.spark-marketing.ru/Card/Lot/72931663", "Поставка лекарственного препарата Беклометазон+формотерол,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медицинск...")</f>
        <v>Поставка лекарственного препарата Беклометазон+формотерол,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медицинск...</v>
      </c>
      <c r="G6381" s="22" t="s">
        <v>59</v>
      </c>
      <c r="H6381" s="22" t="s">
        <v>314</v>
      </c>
      <c r="I6381" s="26">
        <v>43698.435914351903</v>
      </c>
      <c r="J6381" s="23" t="str">
        <f>HYPERLINK("https://www.spark-marketing.ru/Card/Person/1577513", "ООО ""ФАРМПРОЕКТ""")</f>
        <v>ООО "ФАРМПРОЕКТ"</v>
      </c>
      <c r="K6381" s="24" t="s">
        <v>2177</v>
      </c>
      <c r="L6381" s="22" t="s">
        <v>10</v>
      </c>
      <c r="M6381" s="28" t="s">
        <v>51</v>
      </c>
      <c r="N6381" s="28" t="s">
        <v>51</v>
      </c>
    </row>
    <row r="6382" spans="1:14" x14ac:dyDescent="0.15">
      <c r="A6382" s="23" t="str">
        <f>HYPERLINK("https://www.spark-marketing.ru/Card/Person/1016256", "МБОУ ""ООШ № 27""")</f>
        <v>МБОУ "ООШ № 27"</v>
      </c>
      <c r="B6382" s="24" t="s">
        <v>9744</v>
      </c>
      <c r="C6382" s="25">
        <v>798080</v>
      </c>
      <c r="D6382" s="22" t="s">
        <v>9745</v>
      </c>
      <c r="E6382" s="22" t="s">
        <v>51</v>
      </c>
      <c r="F6382" s="23" t="str">
        <f>HYPERLINK("https://www.spark-marketing.ru/Card/Lot/72924184", "Услуги по обеспечению питанием, осуществляемые по договору")</f>
        <v>Услуги по обеспечению питанием, осуществляемые по договору</v>
      </c>
      <c r="G6382" s="22" t="s">
        <v>92</v>
      </c>
      <c r="H6382" s="22" t="s">
        <v>93</v>
      </c>
      <c r="I6382" s="26">
        <v>43698.410162036998</v>
      </c>
      <c r="J6382" s="23" t="str">
        <f>HYPERLINK("https://www.spark-marketing.ru/Card/Person/132653", "ООО ""ТФ ""ХАН ТИГР""")</f>
        <v>ООО "ТФ "ХАН ТИГР"</v>
      </c>
      <c r="K6382" s="24" t="s">
        <v>9746</v>
      </c>
      <c r="L6382" s="22" t="s">
        <v>10</v>
      </c>
      <c r="M6382" s="28" t="s">
        <v>51</v>
      </c>
      <c r="N6382" s="28" t="s">
        <v>51</v>
      </c>
    </row>
    <row r="6383" spans="1:14" x14ac:dyDescent="0.15">
      <c r="A6383" s="23" t="str">
        <f>HYPERLINK("https://www.spark-marketing.ru/Card/Person/737290", "ГКУ «ЦБЗ ПРИ МИНЗДРАВЕ КАРЕЛИИ»")</f>
        <v>ГКУ «ЦБЗ ПРИ МИНЗДРАВЕ КАРЕЛИИ»</v>
      </c>
      <c r="B6383" s="24" t="s">
        <v>312</v>
      </c>
      <c r="C6383" s="25">
        <v>31535</v>
      </c>
      <c r="D6383" s="22" t="s">
        <v>9747</v>
      </c>
      <c r="E6383" s="22" t="s">
        <v>52</v>
      </c>
      <c r="F6383" s="23" t="str">
        <f>HYPERLINK("https://www.spark-marketing.ru/Card/Lot/72931119", "Поставка лекарственного препарата Карбамазепин,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рецепт...")</f>
        <v>Поставка лекарственного препарата Карбамазепин,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</v>
      </c>
      <c r="G6383" s="22" t="s">
        <v>59</v>
      </c>
      <c r="H6383" s="22" t="s">
        <v>314</v>
      </c>
      <c r="I6383" s="26">
        <v>43698.444479166697</v>
      </c>
      <c r="J6383" s="28" t="s">
        <v>51</v>
      </c>
      <c r="K6383" s="28" t="s">
        <v>51</v>
      </c>
      <c r="L6383" s="28" t="s">
        <v>51</v>
      </c>
      <c r="M6383" s="28" t="s">
        <v>51</v>
      </c>
      <c r="N6383" s="28" t="s">
        <v>51</v>
      </c>
    </row>
    <row r="6384" spans="1:14" x14ac:dyDescent="0.15">
      <c r="A6384" s="23" t="str">
        <f>HYPERLINK("https://www.spark-marketing.ru/Card/Person/133352", "ГОУ ТО ""ЯСНОПОЛЯНСКИЙ КОМПЛЕКС""")</f>
        <v>ГОУ ТО "ЯСНОПОЛЯНСКИЙ КОМПЛЕКС"</v>
      </c>
      <c r="B6384" s="24" t="s">
        <v>9748</v>
      </c>
      <c r="C6384" s="25">
        <v>3294494</v>
      </c>
      <c r="D6384" s="22" t="s">
        <v>9749</v>
      </c>
      <c r="E6384" s="22" t="s">
        <v>67</v>
      </c>
      <c r="F6384" s="23" t="str">
        <f>HYPERLINK("https://www.spark-marketing.ru/Card/Lot/72930365", "оказание услуг по организации общественного питания.")</f>
        <v>оказание услуг по организации общественного питания.</v>
      </c>
      <c r="G6384" s="22" t="s">
        <v>68</v>
      </c>
      <c r="H6384" s="22" t="s">
        <v>9750</v>
      </c>
      <c r="I6384" s="26">
        <v>43698.460821759298</v>
      </c>
      <c r="J6384" s="23" t="str">
        <f>HYPERLINK("https://www.spark-marketing.ru/Card/Person/610697", "ООО ""КОМПАНИЯ ПРОДЭКО""")</f>
        <v>ООО "КОМПАНИЯ ПРОДЭКО"</v>
      </c>
      <c r="K6384" s="24" t="s">
        <v>9751</v>
      </c>
      <c r="L6384" s="22" t="s">
        <v>10</v>
      </c>
      <c r="M6384" s="28" t="s">
        <v>51</v>
      </c>
      <c r="N6384" s="28" t="s">
        <v>51</v>
      </c>
    </row>
    <row r="6385" spans="1:14" x14ac:dyDescent="0.15">
      <c r="A6385" s="23" t="str">
        <f>HYPERLINK("https://www.spark-marketing.ru/Card/Person/813629", "ОТДЕЛ МВД РОССИИ ПО МАМАДЫШСКОМУ РАЙОНУ")</f>
        <v>ОТДЕЛ МВД РОССИИ ПО МАМАДЫШСКОМУ РАЙОНУ</v>
      </c>
      <c r="B6385" s="24" t="s">
        <v>9752</v>
      </c>
      <c r="C6385" s="25">
        <v>395000</v>
      </c>
      <c r="D6385" s="22" t="s">
        <v>9753</v>
      </c>
      <c r="E6385" s="22" t="s">
        <v>96</v>
      </c>
      <c r="F6385" s="23" t="str">
        <f>HYPERLINK("https://www.spark-marketing.ru/Card/Lot/72934073", "Питание ИВС")</f>
        <v>Питание ИВС</v>
      </c>
      <c r="G6385" s="22" t="s">
        <v>217</v>
      </c>
      <c r="H6385" s="22" t="s">
        <v>9754</v>
      </c>
      <c r="I6385" s="26">
        <v>43698.472326388903</v>
      </c>
      <c r="J6385" s="23" t="str">
        <f>HYPERLINK("https://www.spark-marketing.ru/Card/Person/5774654", "Иванова Светлана Владимировна")</f>
        <v>Иванова Светлана Владимировна</v>
      </c>
      <c r="K6385" s="24" t="s">
        <v>9755</v>
      </c>
      <c r="L6385" s="22" t="s">
        <v>10</v>
      </c>
      <c r="M6385" s="28" t="s">
        <v>51</v>
      </c>
      <c r="N6385" s="28" t="s">
        <v>51</v>
      </c>
    </row>
    <row r="6386" spans="1:14" x14ac:dyDescent="0.15">
      <c r="A6386" s="23" t="str">
        <f>HYPERLINK("https://www.spark-marketing.ru/Card/Person/1023217", "МБОУ ""ШКОЛА-ИНТЕРНАТ №9""")</f>
        <v>МБОУ "ШКОЛА-ИНТЕРНАТ №9"</v>
      </c>
      <c r="B6386" s="24" t="s">
        <v>9756</v>
      </c>
      <c r="C6386" s="25">
        <v>857260.8</v>
      </c>
      <c r="D6386" s="22" t="s">
        <v>9757</v>
      </c>
      <c r="E6386" s="22" t="s">
        <v>48</v>
      </c>
      <c r="F6386" s="23" t="str">
        <f>HYPERLINK("https://www.spark-marketing.ru/Card/Lot/72931590", "Оказание услуг по организации питания обучающихся МБОУ «Школа-интернат № 9» в период с сентября  2019 года по декабрь 2019 года")</f>
        <v>Оказание услуг по организации питания обучающихся МБОУ «Школа-интернат № 9» в период с сентября  2019 года по декабрь 2019 года</v>
      </c>
      <c r="G6386" s="22" t="s">
        <v>76</v>
      </c>
      <c r="H6386" s="22" t="s">
        <v>76</v>
      </c>
      <c r="I6386" s="26">
        <v>43698.4298263889</v>
      </c>
      <c r="J6386" s="23" t="str">
        <f>HYPERLINK("https://www.spark-marketing.ru/Card/Person/514248", "МУП ""КШП""")</f>
        <v>МУП "КШП"</v>
      </c>
      <c r="K6386" s="24" t="s">
        <v>7464</v>
      </c>
      <c r="L6386" s="22" t="s">
        <v>10</v>
      </c>
      <c r="M6386" s="28" t="s">
        <v>51</v>
      </c>
      <c r="N6386" s="28" t="s">
        <v>51</v>
      </c>
    </row>
    <row r="6387" spans="1:14" x14ac:dyDescent="0.15">
      <c r="A6387" s="23" t="str">
        <f>HYPERLINK("https://www.spark-marketing.ru/Card/Person/999183", "МОУ ""ООШ № 15 ИМЕНИ Г.А. ТРУША""")</f>
        <v>МОУ "ООШ № 15 ИМЕНИ Г.А. ТРУША"</v>
      </c>
      <c r="B6387" s="24" t="s">
        <v>9758</v>
      </c>
      <c r="C6387" s="25">
        <v>132600</v>
      </c>
      <c r="D6387" s="22" t="s">
        <v>9759</v>
      </c>
      <c r="E6387" s="22" t="s">
        <v>48</v>
      </c>
      <c r="F6387" s="23" t="str">
        <f>HYPERLINK("https://www.spark-marketing.ru/Card/Lot/72928054", "Оказание услуг по обеспечению льготным питанием детей из малообеспеченных семей и детей с нарушением здоровья обучающихся в МОУ «ООШ № 15 имени Г. А. Труша»")</f>
        <v>Оказание услуг по обеспечению льготным питанием детей из малообеспеченных семей и детей с нарушением здоровья обучающихся в МОУ «ООШ № 15 имени Г. А. Труша»</v>
      </c>
      <c r="G6387" s="22" t="s">
        <v>469</v>
      </c>
      <c r="H6387" s="22" t="s">
        <v>5961</v>
      </c>
      <c r="I6387" s="26">
        <v>43698.456944444399</v>
      </c>
      <c r="J6387" s="28" t="s">
        <v>51</v>
      </c>
      <c r="K6387" s="28" t="s">
        <v>51</v>
      </c>
      <c r="L6387" s="28" t="s">
        <v>51</v>
      </c>
      <c r="M6387" s="28" t="s">
        <v>51</v>
      </c>
      <c r="N6387" s="28" t="s">
        <v>51</v>
      </c>
    </row>
    <row r="6388" spans="1:14" collapsed="1" x14ac:dyDescent="0.15">
      <c r="A6388" s="23" t="str">
        <f>HYPERLINK("https://www.spark-marketing.ru/Card/Person/4346752", "ГОСУДАРСТВЕННОЕ БЮДЖЕТНОЕ УЧРЕЖДЕНИЕ ЗДРАВООХРАНЕНИЯ РК ""ДЖАНКОЙСКАЯ ЦРБ""")</f>
        <v>ГОСУДАРСТВЕННОЕ БЮДЖЕТНОЕ УЧРЕЖДЕНИЕ ЗДРАВООХРАНЕНИЯ РК "ДЖАНКОЙСКАЯ ЦРБ"</v>
      </c>
      <c r="B6388" s="24" t="s">
        <v>9760</v>
      </c>
      <c r="C6388" s="25">
        <v>6204000</v>
      </c>
      <c r="D6388" s="22" t="s">
        <v>9761</v>
      </c>
      <c r="E6388" s="22" t="s">
        <v>48</v>
      </c>
      <c r="F6388" s="23" t="str">
        <f>HYPERLINK("https://www.spark-marketing.ru/Card/Lot/72949827", "Оказание услуг по организации питания пациентов, проходящих лечение в учреждении здравоохранения ГБУЗ РК «Джанкойская центральная районная больница»")</f>
        <v>Оказание услуг по организации питания пациентов, проходящих лечение в учреждении здравоохранения ГБУЗ РК «Джанкойская центральная районная больница»</v>
      </c>
      <c r="G6388" s="22" t="s">
        <v>108</v>
      </c>
      <c r="H6388" s="22" t="s">
        <v>9762</v>
      </c>
      <c r="I6388" s="26">
        <v>43698.435092592597</v>
      </c>
      <c r="J6388" s="28" t="s">
        <v>51</v>
      </c>
      <c r="K6388" s="28" t="s">
        <v>51</v>
      </c>
      <c r="L6388" s="28" t="s">
        <v>51</v>
      </c>
      <c r="M6388" s="28" t="s">
        <v>51</v>
      </c>
      <c r="N6388" s="28" t="s">
        <v>51</v>
      </c>
    </row>
    <row r="6389" spans="1:14" ht="12.75" hidden="1" outlineLevel="1" x14ac:dyDescent="0.2">
      <c r="A6389" s="23" t="str">
        <f>HYPERLINK("https://www.spark-marketing.ru/Card/Person/4346752", "ГОСУДАРСТВЕННОЕ БЮДЖЕТНОЕ УЧРЕЖДЕНИЕ ЗДРАВООХРАНЕНИЯ РК ""ДЖАНКОЙСКАЯ ЦРБ""")</f>
        <v>ГОСУДАРСТВЕННОЕ БЮДЖЕТНОЕ УЧРЕЖДЕНИЕ ЗДРАВООХРАНЕНИЯ РК "ДЖАНКОЙСКАЯ ЦРБ"</v>
      </c>
      <c r="B6389" s="24" t="s">
        <v>9760</v>
      </c>
      <c r="C6389" s="25">
        <v>6204000</v>
      </c>
      <c r="D6389" s="22" t="s">
        <v>9761</v>
      </c>
      <c r="E6389" s="22" t="s">
        <v>48</v>
      </c>
      <c r="F6389" s="23" t="str">
        <f>HYPERLINK("https://www.spark-marketing.ru/Card/Lot/72949827", "Оказание услуг по организации питания пациентов, проходящих лечение в учреждении здравоохранения ГБУЗ РК «Джанкойская центральная районная больница»")</f>
        <v>Оказание услуг по организации питания пациентов, проходящих лечение в учреждении здравоохранения ГБУЗ РК «Джанкойская центральная районная больница»</v>
      </c>
      <c r="G6389" s="22" t="s">
        <v>108</v>
      </c>
      <c r="H6389" s="22" t="s">
        <v>9762</v>
      </c>
      <c r="I6389" s="26">
        <v>43698.435092592597</v>
      </c>
      <c r="J6389" s="23" t="str">
        <f>HYPERLINK("https://www.spark-marketing.ru/Card/Person/4571189", "ООО ""ОТКРЫТИЕ""")</f>
        <v>ООО "ОТКРЫТИЕ"</v>
      </c>
      <c r="K6389" s="24" t="s">
        <v>9763</v>
      </c>
      <c r="L6389" s="22" t="s">
        <v>10</v>
      </c>
      <c r="M6389" s="25">
        <v>5227000</v>
      </c>
      <c r="N6389" s="27">
        <v>0.15747904577691813</v>
      </c>
    </row>
    <row r="6390" spans="1:14" hidden="1" outlineLevel="1" x14ac:dyDescent="0.2">
      <c r="A6390" s="23" t="str">
        <f>HYPERLINK("https://www.spark-marketing.ru/Card/Person/4346752", "ГОСУДАРСТВЕННОЕ БЮДЖЕТНОЕ УЧРЕЖДЕНИЕ ЗДРАВООХРАНЕНИЯ РК ""ДЖАНКОЙСКАЯ ЦРБ""")</f>
        <v>ГОСУДАРСТВЕННОЕ БЮДЖЕТНОЕ УЧРЕЖДЕНИЕ ЗДРАВООХРАНЕНИЯ РК "ДЖАНКОЙСКАЯ ЦРБ"</v>
      </c>
      <c r="B6390" s="24" t="s">
        <v>9760</v>
      </c>
      <c r="C6390" s="25">
        <v>6204000</v>
      </c>
      <c r="D6390" s="22" t="s">
        <v>9761</v>
      </c>
      <c r="E6390" s="22" t="s">
        <v>48</v>
      </c>
      <c r="F6390" s="23" t="str">
        <f>HYPERLINK("https://www.spark-marketing.ru/Card/Lot/72949827", "Оказание услуг по организации питания пациентов, проходящих лечение в учреждении здравоохранения ГБУЗ РК «Джанкойская центральная районная больница»")</f>
        <v>Оказание услуг по организации питания пациентов, проходящих лечение в учреждении здравоохранения ГБУЗ РК «Джанкойская центральная районная больница»</v>
      </c>
      <c r="G6390" s="22" t="s">
        <v>108</v>
      </c>
      <c r="H6390" s="22" t="s">
        <v>9762</v>
      </c>
      <c r="I6390" s="26">
        <v>43698.435092592597</v>
      </c>
      <c r="J6390" s="23" t="str">
        <f>HYPERLINK("https://www.spark-marketing.ru/Card/Person/61415", "ООО ""ПЕЛИКАН""")</f>
        <v>ООО "ПЕЛИКАН"</v>
      </c>
      <c r="K6390" s="24" t="s">
        <v>7334</v>
      </c>
      <c r="L6390" s="28" t="s">
        <v>51</v>
      </c>
      <c r="M6390" s="25">
        <v>3846480</v>
      </c>
      <c r="N6390" s="27">
        <v>0.38</v>
      </c>
    </row>
    <row r="6391" spans="1:14" collapsed="1" x14ac:dyDescent="0.15">
      <c r="A6391" s="23" t="str">
        <f t="shared" ref="A6391:A6397" si="137">HYPERLINK("https://www.spark-marketing.ru/Card/Person/60598", "БУЗ ВО ""ВГКБ № 2 ИМ. К.В. ФЕДЯЕВСКОГО""")</f>
        <v>БУЗ ВО "ВГКБ № 2 ИМ. К.В. ФЕДЯЕВСКОГО"</v>
      </c>
      <c r="B6391" s="24" t="s">
        <v>9672</v>
      </c>
      <c r="C6391" s="25">
        <v>55900</v>
      </c>
      <c r="D6391" s="22" t="s">
        <v>9764</v>
      </c>
      <c r="E6391" s="22" t="s">
        <v>621</v>
      </c>
      <c r="F6391" s="23" t="str">
        <f t="shared" ref="F6391:F6397" si="138">HYPERLINK("https://www.spark-marketing.ru/Card/Lot/72929151", "Оказание услуг по передаче неисключительных прав на использование программного обеспечения")</f>
        <v>Оказание услуг по передаче неисключительных прав на использование программного обеспечения</v>
      </c>
      <c r="G6391" s="22" t="s">
        <v>82</v>
      </c>
      <c r="H6391" s="22" t="s">
        <v>83</v>
      </c>
      <c r="I6391" s="26">
        <v>43698.414305555598</v>
      </c>
      <c r="J6391" s="28" t="s">
        <v>51</v>
      </c>
      <c r="K6391" s="28" t="s">
        <v>51</v>
      </c>
      <c r="L6391" s="28" t="s">
        <v>51</v>
      </c>
      <c r="M6391" s="28" t="s">
        <v>51</v>
      </c>
      <c r="N6391" s="28" t="s">
        <v>51</v>
      </c>
    </row>
    <row r="6392" spans="1:14" hidden="1" outlineLevel="1" x14ac:dyDescent="0.2">
      <c r="A6392" s="23" t="str">
        <f t="shared" si="137"/>
        <v>БУЗ ВО "ВГКБ № 2 ИМ. К.В. ФЕДЯЕВСКОГО"</v>
      </c>
      <c r="B6392" s="24" t="s">
        <v>9672</v>
      </c>
      <c r="C6392" s="25">
        <v>55900</v>
      </c>
      <c r="D6392" s="22" t="s">
        <v>9764</v>
      </c>
      <c r="E6392" s="22" t="s">
        <v>621</v>
      </c>
      <c r="F6392" s="23" t="str">
        <f t="shared" si="138"/>
        <v>Оказание услуг по передаче неисключительных прав на использование программного обеспечения</v>
      </c>
      <c r="G6392" s="22" t="s">
        <v>82</v>
      </c>
      <c r="H6392" s="22" t="s">
        <v>83</v>
      </c>
      <c r="I6392" s="26">
        <v>43698.414305555598</v>
      </c>
      <c r="J6392" s="23" t="str">
        <f>HYPERLINK("https://www.spark-marketing.ru/Card/Person/288728", "ООО ""АЙТЕКС""")</f>
        <v>ООО "АЙТЕКС"</v>
      </c>
      <c r="K6392" s="24" t="s">
        <v>9765</v>
      </c>
      <c r="L6392" s="28" t="s">
        <v>51</v>
      </c>
      <c r="M6392" s="25">
        <v>55900</v>
      </c>
      <c r="N6392" s="27">
        <v>0</v>
      </c>
    </row>
    <row r="6393" spans="1:14" hidden="1" outlineLevel="1" x14ac:dyDescent="0.2">
      <c r="A6393" s="23" t="str">
        <f t="shared" si="137"/>
        <v>БУЗ ВО "ВГКБ № 2 ИМ. К.В. ФЕДЯЕВСКОГО"</v>
      </c>
      <c r="B6393" s="24" t="s">
        <v>9672</v>
      </c>
      <c r="C6393" s="25">
        <v>55900</v>
      </c>
      <c r="D6393" s="22" t="s">
        <v>9764</v>
      </c>
      <c r="E6393" s="22" t="s">
        <v>621</v>
      </c>
      <c r="F6393" s="23" t="str">
        <f t="shared" si="138"/>
        <v>Оказание услуг по передаче неисключительных прав на использование программного обеспечения</v>
      </c>
      <c r="G6393" s="22" t="s">
        <v>82</v>
      </c>
      <c r="H6393" s="22" t="s">
        <v>83</v>
      </c>
      <c r="I6393" s="26">
        <v>43698.414305555598</v>
      </c>
      <c r="J6393" s="23" t="str">
        <f>HYPERLINK("https://www.spark-marketing.ru/Card/Person/5984205", "ООО ""СОЦИАЛЬНЫЕ ПРОЕКТЫ""")</f>
        <v>ООО "СОЦИАЛЬНЫЕ ПРОЕКТЫ"</v>
      </c>
      <c r="K6393" s="24" t="s">
        <v>9766</v>
      </c>
      <c r="L6393" s="28" t="s">
        <v>51</v>
      </c>
      <c r="M6393" s="25">
        <v>55900</v>
      </c>
      <c r="N6393" s="27">
        <v>0</v>
      </c>
    </row>
    <row r="6394" spans="1:14" hidden="1" outlineLevel="1" x14ac:dyDescent="0.2">
      <c r="A6394" s="23" t="str">
        <f t="shared" si="137"/>
        <v>БУЗ ВО "ВГКБ № 2 ИМ. К.В. ФЕДЯЕВСКОГО"</v>
      </c>
      <c r="B6394" s="24" t="s">
        <v>9672</v>
      </c>
      <c r="C6394" s="25">
        <v>55900</v>
      </c>
      <c r="D6394" s="22" t="s">
        <v>9764</v>
      </c>
      <c r="E6394" s="22" t="s">
        <v>621</v>
      </c>
      <c r="F6394" s="23" t="str">
        <f t="shared" si="138"/>
        <v>Оказание услуг по передаче неисключительных прав на использование программного обеспечения</v>
      </c>
      <c r="G6394" s="22" t="s">
        <v>82</v>
      </c>
      <c r="H6394" s="22" t="s">
        <v>83</v>
      </c>
      <c r="I6394" s="26">
        <v>43698.414305555598</v>
      </c>
      <c r="J6394" s="23" t="str">
        <f>HYPERLINK("https://www.spark-marketing.ru/Card/Person/1428", "ООО ""СОРОКИН И К""")</f>
        <v>ООО "СОРОКИН И К"</v>
      </c>
      <c r="K6394" s="24" t="s">
        <v>9767</v>
      </c>
      <c r="L6394" s="28" t="s">
        <v>51</v>
      </c>
      <c r="M6394" s="25">
        <v>55900</v>
      </c>
      <c r="N6394" s="27">
        <v>0</v>
      </c>
    </row>
    <row r="6395" spans="1:14" hidden="1" outlineLevel="1" x14ac:dyDescent="0.2">
      <c r="A6395" s="23" t="str">
        <f t="shared" si="137"/>
        <v>БУЗ ВО "ВГКБ № 2 ИМ. К.В. ФЕДЯЕВСКОГО"</v>
      </c>
      <c r="B6395" s="24" t="s">
        <v>9672</v>
      </c>
      <c r="C6395" s="25">
        <v>55900</v>
      </c>
      <c r="D6395" s="22" t="s">
        <v>9764</v>
      </c>
      <c r="E6395" s="22" t="s">
        <v>621</v>
      </c>
      <c r="F6395" s="23" t="str">
        <f t="shared" si="138"/>
        <v>Оказание услуг по передаче неисключительных прав на использование программного обеспечения</v>
      </c>
      <c r="G6395" s="22" t="s">
        <v>82</v>
      </c>
      <c r="H6395" s="22" t="s">
        <v>83</v>
      </c>
      <c r="I6395" s="26">
        <v>43698.414305555598</v>
      </c>
      <c r="J6395" s="23" t="str">
        <f>HYPERLINK("https://www.spark-marketing.ru/Card/Person/24354", "ООО ""СОФТ БИЛДИНГ""")</f>
        <v>ООО "СОФТ БИЛДИНГ"</v>
      </c>
      <c r="K6395" s="24" t="s">
        <v>5829</v>
      </c>
      <c r="L6395" s="28" t="s">
        <v>51</v>
      </c>
      <c r="M6395" s="25">
        <v>55900</v>
      </c>
      <c r="N6395" s="27">
        <v>0</v>
      </c>
    </row>
    <row r="6396" spans="1:14" hidden="1" outlineLevel="1" x14ac:dyDescent="0.2">
      <c r="A6396" s="23" t="str">
        <f t="shared" si="137"/>
        <v>БУЗ ВО "ВГКБ № 2 ИМ. К.В. ФЕДЯЕВСКОГО"</v>
      </c>
      <c r="B6396" s="24" t="s">
        <v>9672</v>
      </c>
      <c r="C6396" s="25">
        <v>55900</v>
      </c>
      <c r="D6396" s="22" t="s">
        <v>9764</v>
      </c>
      <c r="E6396" s="22" t="s">
        <v>621</v>
      </c>
      <c r="F6396" s="23" t="str">
        <f t="shared" si="138"/>
        <v>Оказание услуг по передаче неисключительных прав на использование программного обеспечения</v>
      </c>
      <c r="G6396" s="22" t="s">
        <v>82</v>
      </c>
      <c r="H6396" s="22" t="s">
        <v>83</v>
      </c>
      <c r="I6396" s="26">
        <v>43698.414305555598</v>
      </c>
      <c r="J6396" s="23" t="str">
        <f>HYPERLINK("https://www.spark-marketing.ru/Card/Person/4937260", "ООО ""ПРОГРАММ ИНЖИНИРИНГ""")</f>
        <v>ООО "ПРОГРАММ ИНЖИНИРИНГ"</v>
      </c>
      <c r="K6396" s="24" t="s">
        <v>9768</v>
      </c>
      <c r="L6396" s="28" t="s">
        <v>51</v>
      </c>
      <c r="M6396" s="25">
        <v>55900</v>
      </c>
      <c r="N6396" s="27">
        <v>0</v>
      </c>
    </row>
    <row r="6397" spans="1:14" ht="12.75" hidden="1" outlineLevel="1" x14ac:dyDescent="0.2">
      <c r="A6397" s="23" t="str">
        <f t="shared" si="137"/>
        <v>БУЗ ВО "ВГКБ № 2 ИМ. К.В. ФЕДЯЕВСКОГО"</v>
      </c>
      <c r="B6397" s="24" t="s">
        <v>9672</v>
      </c>
      <c r="C6397" s="25">
        <v>55900</v>
      </c>
      <c r="D6397" s="22" t="s">
        <v>9764</v>
      </c>
      <c r="E6397" s="22" t="s">
        <v>621</v>
      </c>
      <c r="F6397" s="23" t="str">
        <f t="shared" si="138"/>
        <v>Оказание услуг по передаче неисключительных прав на использование программного обеспечения</v>
      </c>
      <c r="G6397" s="22" t="s">
        <v>82</v>
      </c>
      <c r="H6397" s="22" t="s">
        <v>83</v>
      </c>
      <c r="I6397" s="26">
        <v>43698.414305555598</v>
      </c>
      <c r="J6397" s="23" t="str">
        <f>HYPERLINK("https://www.spark-marketing.ru/Card/Person/294901", "Полухин Сергей Иванович")</f>
        <v>Полухин Сергей Иванович</v>
      </c>
      <c r="K6397" s="24" t="s">
        <v>9674</v>
      </c>
      <c r="L6397" s="22" t="s">
        <v>10</v>
      </c>
      <c r="M6397" s="25">
        <v>53000</v>
      </c>
      <c r="N6397" s="27">
        <v>5.1878354203935599E-2</v>
      </c>
    </row>
    <row r="6398" spans="1:14" collapsed="1" x14ac:dyDescent="0.15">
      <c r="A6398" s="23" t="str">
        <f>HYPERLINK("https://www.spark-marketing.ru/Card/Person/103054", "МВД ПО РЕСПУБЛИКЕ МАРИЙ ЭЛ")</f>
        <v>МВД ПО РЕСПУБЛИКЕ МАРИЙ ЭЛ</v>
      </c>
      <c r="B6398" s="24" t="s">
        <v>3247</v>
      </c>
      <c r="C6398" s="25">
        <v>415000</v>
      </c>
      <c r="D6398" s="22" t="s">
        <v>9769</v>
      </c>
      <c r="E6398" s="22" t="s">
        <v>48</v>
      </c>
      <c r="F6398" s="23" t="str">
        <f>HYPERLINK("https://www.spark-marketing.ru/Card/Lot/72927846", "Ежедневное оказание услуг по обеспечению трехразовым питанием лиц, содержащихся в Центре временного содержания иностранных граждан МВД по Республике Марий Эл")</f>
        <v>Ежедневное оказание услуг по обеспечению трехразовым питанием лиц, содержащихся в Центре временного содержания иностранных граждан МВД по Республике Марий Эл</v>
      </c>
      <c r="G6398" s="22" t="s">
        <v>3249</v>
      </c>
      <c r="H6398" s="22" t="s">
        <v>3250</v>
      </c>
      <c r="I6398" s="26">
        <v>43698.437280092599</v>
      </c>
      <c r="J6398" s="28" t="s">
        <v>51</v>
      </c>
      <c r="K6398" s="28" t="s">
        <v>51</v>
      </c>
      <c r="L6398" s="28" t="s">
        <v>51</v>
      </c>
      <c r="M6398" s="28" t="s">
        <v>51</v>
      </c>
      <c r="N6398" s="28" t="s">
        <v>51</v>
      </c>
    </row>
    <row r="6399" spans="1:14" hidden="1" outlineLevel="1" x14ac:dyDescent="0.2">
      <c r="A6399" s="23" t="str">
        <f>HYPERLINK("https://www.spark-marketing.ru/Card/Person/103054", "МВД ПО РЕСПУБЛИКЕ МАРИЙ ЭЛ")</f>
        <v>МВД ПО РЕСПУБЛИКЕ МАРИЙ ЭЛ</v>
      </c>
      <c r="B6399" s="24" t="s">
        <v>3247</v>
      </c>
      <c r="C6399" s="25">
        <v>415000</v>
      </c>
      <c r="D6399" s="22" t="s">
        <v>9769</v>
      </c>
      <c r="E6399" s="22" t="s">
        <v>48</v>
      </c>
      <c r="F6399" s="23" t="str">
        <f>HYPERLINK("https://www.spark-marketing.ru/Card/Lot/72927846", "Ежедневное оказание услуг по обеспечению трехразовым питанием лиц, содержащихся в Центре временного содержания иностранных граждан МВД по Республике Марий Эл")</f>
        <v>Ежедневное оказание услуг по обеспечению трехразовым питанием лиц, содержащихся в Центре временного содержания иностранных граждан МВД по Республике Марий Эл</v>
      </c>
      <c r="G6399" s="22" t="s">
        <v>3249</v>
      </c>
      <c r="H6399" s="22" t="s">
        <v>3250</v>
      </c>
      <c r="I6399" s="26">
        <v>43698.437280092599</v>
      </c>
      <c r="J6399" s="23" t="str">
        <f>HYPERLINK("https://www.spark-marketing.ru/Card/Person/2503411", "ООО ""МЦ""")</f>
        <v>ООО "МЦ"</v>
      </c>
      <c r="K6399" s="24" t="s">
        <v>9454</v>
      </c>
      <c r="L6399" s="28" t="s">
        <v>51</v>
      </c>
      <c r="M6399" s="25">
        <v>910</v>
      </c>
      <c r="N6399" s="27">
        <v>0.99780722891566265</v>
      </c>
    </row>
    <row r="6400" spans="1:14" ht="12.75" hidden="1" outlineLevel="1" x14ac:dyDescent="0.2">
      <c r="A6400" s="23" t="str">
        <f>HYPERLINK("https://www.spark-marketing.ru/Card/Person/103054", "МВД ПО РЕСПУБЛИКЕ МАРИЙ ЭЛ")</f>
        <v>МВД ПО РЕСПУБЛИКЕ МАРИЙ ЭЛ</v>
      </c>
      <c r="B6400" s="24" t="s">
        <v>3247</v>
      </c>
      <c r="C6400" s="25">
        <v>415000</v>
      </c>
      <c r="D6400" s="22" t="s">
        <v>9769</v>
      </c>
      <c r="E6400" s="22" t="s">
        <v>48</v>
      </c>
      <c r="F6400" s="23" t="str">
        <f>HYPERLINK("https://www.spark-marketing.ru/Card/Lot/72927846", "Ежедневное оказание услуг по обеспечению трехразовым питанием лиц, содержащихся в Центре временного содержания иностранных граждан МВД по Республике Марий Эл")</f>
        <v>Ежедневное оказание услуг по обеспечению трехразовым питанием лиц, содержащихся в Центре временного содержания иностранных граждан МВД по Республике Марий Эл</v>
      </c>
      <c r="G6400" s="22" t="s">
        <v>3249</v>
      </c>
      <c r="H6400" s="22" t="s">
        <v>3250</v>
      </c>
      <c r="I6400" s="26">
        <v>43698.437280092599</v>
      </c>
      <c r="J6400" s="23" t="str">
        <f>HYPERLINK("https://www.spark-marketing.ru/Card/Person/4441248", "Шалагина Марина Александровна")</f>
        <v>Шалагина Марина Александровна</v>
      </c>
      <c r="K6400" s="24" t="s">
        <v>9455</v>
      </c>
      <c r="L6400" s="22" t="s">
        <v>10</v>
      </c>
      <c r="M6400" s="25">
        <v>908.86</v>
      </c>
      <c r="N6400" s="27">
        <v>0.99780997590361442</v>
      </c>
    </row>
    <row r="6401" spans="1:14" x14ac:dyDescent="0.15">
      <c r="A6401" s="23" t="str">
        <f>HYPERLINK("https://www.spark-marketing.ru/Card/Person/185252", "МО МВД РОССИИ ""КЫТМАНОВСКИЙ""")</f>
        <v>МО МВД РОССИИ "КЫТМАНОВСКИЙ"</v>
      </c>
      <c r="B6401" s="24" t="s">
        <v>9770</v>
      </c>
      <c r="C6401" s="25">
        <v>300000</v>
      </c>
      <c r="D6401" s="22" t="s">
        <v>9771</v>
      </c>
      <c r="E6401" s="22" t="s">
        <v>48</v>
      </c>
      <c r="F6401" s="23" t="str">
        <f>HYPERLINK("https://www.spark-marketing.ru/Card/Lot/72922419", "питание ИВС")</f>
        <v>питание ИВС</v>
      </c>
      <c r="G6401" s="22" t="s">
        <v>63</v>
      </c>
      <c r="H6401" s="22" t="s">
        <v>9772</v>
      </c>
      <c r="I6401" s="26">
        <v>43697.714791666702</v>
      </c>
      <c r="J6401" s="28" t="s">
        <v>51</v>
      </c>
      <c r="K6401" s="28" t="s">
        <v>51</v>
      </c>
      <c r="L6401" s="28" t="s">
        <v>51</v>
      </c>
      <c r="M6401" s="28" t="s">
        <v>51</v>
      </c>
      <c r="N6401" s="28" t="s">
        <v>51</v>
      </c>
    </row>
    <row r="6402" spans="1:14" x14ac:dyDescent="0.15">
      <c r="A6402" s="23" t="str">
        <f>HYPERLINK("https://www.spark-marketing.ru/Card/Person/132913", "ОТДЕЛ МВД РОССИИ ПО САТКИНСКОМУ РАЙОНУ ЧЕЛЯБИНСКОЙ ОБЛАСТИ")</f>
        <v>ОТДЕЛ МВД РОССИИ ПО САТКИНСКОМУ РАЙОНУ ЧЕЛЯБИНСКОЙ ОБЛАСТИ</v>
      </c>
      <c r="B6402" s="24" t="s">
        <v>9505</v>
      </c>
      <c r="C6402" s="25">
        <v>1150000</v>
      </c>
      <c r="D6402" s="22" t="s">
        <v>9773</v>
      </c>
      <c r="E6402" s="22" t="s">
        <v>48</v>
      </c>
      <c r="F6402" s="23" t="str">
        <f>HYPERLINK("https://www.spark-marketing.ru/Card/Lot/72923258", "Оказание услуг по обеспечению ежедневным трехразовым питанием граждан, содержащихся в камерах ИВС и дежурных частях, более 3-х часов")</f>
        <v>Оказание услуг по обеспечению ежедневным трехразовым питанием граждан, содержащихся в камерах ИВС и дежурных частях, более 3-х часов</v>
      </c>
      <c r="G6402" s="22" t="s">
        <v>469</v>
      </c>
      <c r="H6402" s="22" t="s">
        <v>3915</v>
      </c>
      <c r="I6402" s="26">
        <v>43697.840567129599</v>
      </c>
      <c r="J6402" s="23" t="str">
        <f>HYPERLINK("https://www.spark-marketing.ru/Card/Person/1523821", "ООО ""ТВИКС""")</f>
        <v>ООО "ТВИКС"</v>
      </c>
      <c r="K6402" s="24" t="s">
        <v>9507</v>
      </c>
      <c r="L6402" s="22" t="s">
        <v>10</v>
      </c>
      <c r="M6402" s="28" t="s">
        <v>51</v>
      </c>
      <c r="N6402" s="28" t="s">
        <v>51</v>
      </c>
    </row>
    <row r="6403" spans="1:14" x14ac:dyDescent="0.15">
      <c r="A6403" s="23" t="str">
        <f>HYPERLINK("https://www.spark-marketing.ru/Card/Person/114258", "ОМВД РОССИИ ПО ТИХВИНСКОМУ РАЙОНУ ЛО")</f>
        <v>ОМВД РОССИИ ПО ТИХВИНСКОМУ РАЙОНУ ЛО</v>
      </c>
      <c r="B6403" s="24" t="s">
        <v>1308</v>
      </c>
      <c r="C6403" s="25">
        <v>860000</v>
      </c>
      <c r="D6403" s="22" t="s">
        <v>9774</v>
      </c>
      <c r="E6403" s="22" t="s">
        <v>48</v>
      </c>
      <c r="F6403" s="23" t="str">
        <f>HYPERLINK("https://www.spark-marketing.ru/Card/Lot/72927488", "Оказание услуг по организации трехразового горячего питания в сутки лиц, содержащихся в изоляторе временного содержания подозреваемых и обвиняемых и специальном помещении для содержания задержанных лиц ОМВД России по Тихвинскому району ЛО")</f>
        <v>Оказание услуг по организации трехразового горячего питания в сутки лиц, содержащихся в изоляторе временного содержания подозреваемых и обвиняемых и специальном помещении для содержания задержанных лиц ОМВД России по Тихвинскому району ЛО</v>
      </c>
      <c r="G6403" s="22" t="s">
        <v>162</v>
      </c>
      <c r="H6403" s="22" t="s">
        <v>162</v>
      </c>
      <c r="I6403" s="26">
        <v>43698.404398148101</v>
      </c>
      <c r="J6403" s="28" t="s">
        <v>51</v>
      </c>
      <c r="K6403" s="28" t="s">
        <v>51</v>
      </c>
      <c r="L6403" s="28" t="s">
        <v>51</v>
      </c>
      <c r="M6403" s="28" t="s">
        <v>51</v>
      </c>
      <c r="N6403" s="28" t="s">
        <v>51</v>
      </c>
    </row>
    <row r="6404" spans="1:14" x14ac:dyDescent="0.15">
      <c r="A6404" s="23" t="str">
        <f>HYPERLINK("https://www.spark-marketing.ru/Card/Person/997614", "МБОУ ГИМНАЗИЯ № 16 Г. ОРЛА")</f>
        <v>МБОУ ГИМНАЗИЯ № 16 Г. ОРЛА</v>
      </c>
      <c r="B6404" s="24" t="s">
        <v>9775</v>
      </c>
      <c r="C6404" s="25">
        <v>425174</v>
      </c>
      <c r="D6404" s="22" t="s">
        <v>9776</v>
      </c>
      <c r="E6404" s="22" t="s">
        <v>51</v>
      </c>
      <c r="F6404" s="23" t="str">
        <f>HYPERLINK("https://www.spark-marketing.ru/Card/Lot/72926005",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404" s="22" t="s">
        <v>1066</v>
      </c>
      <c r="H6404" s="22" t="s">
        <v>2864</v>
      </c>
      <c r="I6404" s="26">
        <v>43697.676319444399</v>
      </c>
      <c r="J6404" s="23" t="str">
        <f>HYPERLINK("https://www.spark-marketing.ru/Card/Person/749651", "МУП ""СТОЛОВАЯ № 83""")</f>
        <v>МУП "СТОЛОВАЯ № 83"</v>
      </c>
      <c r="K6404" s="24" t="s">
        <v>9777</v>
      </c>
      <c r="L6404" s="22" t="s">
        <v>10</v>
      </c>
      <c r="M6404" s="28" t="s">
        <v>51</v>
      </c>
      <c r="N6404" s="28" t="s">
        <v>51</v>
      </c>
    </row>
    <row r="6405" spans="1:14" x14ac:dyDescent="0.15">
      <c r="A6405" s="23" t="str">
        <f>HYPERLINK("https://www.spark-marketing.ru/Card/Person/356943", "МЕЖМУНИЦИПАЛЬНЫЙ ОТДЕЛ МВД РОССИИ ""КРАСНОСУЛИНСКИЙ""")</f>
        <v>МЕЖМУНИЦИПАЛЬНЫЙ ОТДЕЛ МВД РОССИИ "КРАСНОСУЛИНСКИЙ"</v>
      </c>
      <c r="B6405" s="24" t="s">
        <v>2159</v>
      </c>
      <c r="C6405" s="25">
        <v>52295.23</v>
      </c>
      <c r="D6405" s="22" t="s">
        <v>9778</v>
      </c>
      <c r="E6405" s="22" t="s">
        <v>48</v>
      </c>
      <c r="F6405" s="23" t="str">
        <f>HYPERLINK("https://www.spark-marketing.ru/Card/Lot/72924314",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6405" s="22" t="s">
        <v>267</v>
      </c>
      <c r="H6405" s="22" t="s">
        <v>9779</v>
      </c>
      <c r="I6405" s="26">
        <v>43698.383414351898</v>
      </c>
      <c r="J6405" s="28" t="s">
        <v>51</v>
      </c>
      <c r="K6405" s="28" t="s">
        <v>51</v>
      </c>
      <c r="L6405" s="28" t="s">
        <v>51</v>
      </c>
      <c r="M6405" s="28" t="s">
        <v>51</v>
      </c>
      <c r="N6405" s="28" t="s">
        <v>51</v>
      </c>
    </row>
    <row r="6406" spans="1:14" x14ac:dyDescent="0.15">
      <c r="A6406" s="23" t="str">
        <f>HYPERLINK("https://www.spark-marketing.ru/Card/Person/6220851", "ОМВД РОССИИ ПО ЗАВОЛЖСКОМУ РАЙОНУ Г.УЛЬЯНОВСКА")</f>
        <v>ОМВД РОССИИ ПО ЗАВОЛЖСКОМУ РАЙОНУ Г.УЛЬЯНОВСКА</v>
      </c>
      <c r="B6406" s="24" t="s">
        <v>9780</v>
      </c>
      <c r="C6406" s="25">
        <v>37860</v>
      </c>
      <c r="D6406" s="22" t="s">
        <v>9781</v>
      </c>
      <c r="E6406" s="22" t="s">
        <v>48</v>
      </c>
      <c r="F6406" s="23" t="str">
        <f>HYPERLINK("https://www.spark-marketing.ru/Card/Lot/72924598", "Услуги по ежедневному трехразовому приготовлению и доставке горячего питания, для арестованных в административном порядке, содержащихся в камерах в дежурной части.")</f>
        <v>Услуги по ежедневному трехразовому приготовлению и доставке горячего питания, для арестованных в административном порядке, содержащихся в камерах в дежурной части.</v>
      </c>
      <c r="G6406" s="22" t="s">
        <v>1918</v>
      </c>
      <c r="H6406" s="22" t="s">
        <v>1918</v>
      </c>
      <c r="I6406" s="26">
        <v>43698.394999999997</v>
      </c>
      <c r="J6406" s="28" t="s">
        <v>51</v>
      </c>
      <c r="K6406" s="28" t="s">
        <v>51</v>
      </c>
      <c r="L6406" s="28" t="s">
        <v>51</v>
      </c>
      <c r="M6406" s="28" t="s">
        <v>51</v>
      </c>
      <c r="N6406" s="28" t="s">
        <v>51</v>
      </c>
    </row>
    <row r="6407" spans="1:14" x14ac:dyDescent="0.15">
      <c r="A6407" s="23" t="str">
        <f>HYPERLINK("https://www.spark-marketing.ru/Card/Person/80330", "ГБПОУ МО ""ЛУХОВИЦКИЙ АГРАРНО-ПРОМЫШЛЕННЫЙ ТЕХНИКУМ""")</f>
        <v>ГБПОУ МО "ЛУХОВИЦКИЙ АГРАРНО-ПРОМЫШЛЕННЫЙ ТЕХНИКУМ"</v>
      </c>
      <c r="B6407" s="24" t="s">
        <v>9782</v>
      </c>
      <c r="C6407" s="25">
        <v>1517962.5</v>
      </c>
      <c r="D6407" s="22" t="s">
        <v>9783</v>
      </c>
      <c r="E6407" s="22" t="s">
        <v>48</v>
      </c>
      <c r="F6407" s="23" t="str">
        <f>HYPERLINK("https://www.spark-marketing.ru/Card/Lot/72927679", "Обеспечение горячим питанием")</f>
        <v>Обеспечение горячим питанием</v>
      </c>
      <c r="G6407" s="22" t="s">
        <v>49</v>
      </c>
      <c r="H6407" s="22" t="s">
        <v>9784</v>
      </c>
      <c r="I6407" s="26">
        <v>43697.712928240697</v>
      </c>
      <c r="J6407" s="23" t="str">
        <f>HYPERLINK("https://www.spark-marketing.ru/Card/Person/5059921", "Анисимова Нина Васильевна")</f>
        <v>Анисимова Нина Васильевна</v>
      </c>
      <c r="K6407" s="24" t="s">
        <v>9785</v>
      </c>
      <c r="L6407" s="22" t="s">
        <v>10</v>
      </c>
      <c r="M6407" s="28" t="s">
        <v>51</v>
      </c>
      <c r="N6407" s="28" t="s">
        <v>51</v>
      </c>
    </row>
    <row r="6408" spans="1:14" x14ac:dyDescent="0.15">
      <c r="A6408" s="23" t="str">
        <f>HYPERLINK("https://www.spark-marketing.ru/Card/Person/89917", "МБОУ-ШКОЛА №23 Г.ОРЛА")</f>
        <v>МБОУ-ШКОЛА №23 Г.ОРЛА</v>
      </c>
      <c r="B6408" s="24" t="s">
        <v>9786</v>
      </c>
      <c r="C6408" s="25">
        <v>428410</v>
      </c>
      <c r="D6408" s="22" t="s">
        <v>9787</v>
      </c>
      <c r="E6408" s="22" t="s">
        <v>51</v>
      </c>
      <c r="F6408" s="23" t="str">
        <f>HYPERLINK("https://www.spark-marketing.ru/Card/Lot/72925963",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408" s="22" t="s">
        <v>1066</v>
      </c>
      <c r="H6408" s="22" t="s">
        <v>1066</v>
      </c>
      <c r="I6408" s="26">
        <v>43697.650879629597</v>
      </c>
      <c r="J6408" s="23" t="str">
        <f>HYPERLINK("https://www.spark-marketing.ru/Card/Person/6690794", "ООО ""ШКОЛЬНОЕ ПИТАНИЕ""")</f>
        <v>ООО "ШКОЛЬНОЕ ПИТАНИЕ"</v>
      </c>
      <c r="K6408" s="24" t="s">
        <v>8906</v>
      </c>
      <c r="L6408" s="22" t="s">
        <v>10</v>
      </c>
      <c r="M6408" s="28" t="s">
        <v>51</v>
      </c>
      <c r="N6408" s="28" t="s">
        <v>51</v>
      </c>
    </row>
    <row r="6409" spans="1:14" x14ac:dyDescent="0.15">
      <c r="A6409" s="23" t="str">
        <f>HYPERLINK("https://www.spark-marketing.ru/Card/Person/89011", "МУНИЦИПАЛЬНАЯ БЮДЖЕТНАЯ СРЕДНЯЯ ОБЩЕОБРАЗОВАТЕЛЬНАЯ ШКОЛА № 26 Г. ОРЛА")</f>
        <v>МУНИЦИПАЛЬНАЯ БЮДЖЕТНАЯ СРЕДНЯЯ ОБЩЕОБРАЗОВАТЕЛЬНАЯ ШКОЛА № 26 Г. ОРЛА</v>
      </c>
      <c r="B6409" s="24" t="s">
        <v>9788</v>
      </c>
      <c r="C6409" s="25">
        <v>285266</v>
      </c>
      <c r="D6409" s="22" t="s">
        <v>9789</v>
      </c>
      <c r="E6409" s="22" t="s">
        <v>51</v>
      </c>
      <c r="F6409" s="23" t="str">
        <f>HYPERLINK("https://www.spark-marketing.ru/Card/Lot/72926100",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409" s="22" t="s">
        <v>1066</v>
      </c>
      <c r="H6409" s="22" t="s">
        <v>1066</v>
      </c>
      <c r="I6409" s="26">
        <v>43697.715983796297</v>
      </c>
      <c r="J6409" s="28" t="s">
        <v>51</v>
      </c>
      <c r="K6409" s="28" t="s">
        <v>51</v>
      </c>
      <c r="L6409" s="28" t="s">
        <v>51</v>
      </c>
      <c r="M6409" s="28" t="s">
        <v>51</v>
      </c>
      <c r="N6409" s="28" t="s">
        <v>51</v>
      </c>
    </row>
    <row r="6410" spans="1:14" x14ac:dyDescent="0.15">
      <c r="A6410" s="23" t="str">
        <f>HYPERLINK("https://www.spark-marketing.ru/Card/Person/104602", "МУНИЦИПАЛЬНАЯ БЮДЖЕТНАЯ СРЕДНЯЯ ОБЩЕОБРАЗОВАТЕЛЬНАЯ ШКОЛА №20 Г.ОРЛА")</f>
        <v>МУНИЦИПАЛЬНАЯ БЮДЖЕТНАЯ СРЕДНЯЯ ОБЩЕОБРАЗОВАТЕЛЬНАЯ ШКОЛА №20 Г.ОРЛА</v>
      </c>
      <c r="B6410" s="24" t="s">
        <v>9790</v>
      </c>
      <c r="C6410" s="25">
        <v>470794</v>
      </c>
      <c r="D6410" s="22" t="s">
        <v>9791</v>
      </c>
      <c r="E6410" s="22" t="s">
        <v>51</v>
      </c>
      <c r="F6410" s="23" t="str">
        <f>HYPERLINK("https://www.spark-marketing.ru/Card/Lot/72925967",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410" s="22" t="s">
        <v>1066</v>
      </c>
      <c r="H6410" s="22" t="s">
        <v>1066</v>
      </c>
      <c r="I6410" s="26">
        <v>43697.6569212963</v>
      </c>
      <c r="J6410" s="23" t="str">
        <f>HYPERLINK("https://www.spark-marketing.ru/Card/Person/104389", "ООО ""ВЕСНА - ОРЕЛ""")</f>
        <v>ООО "ВЕСНА - ОРЕЛ"</v>
      </c>
      <c r="K6410" s="24" t="s">
        <v>9246</v>
      </c>
      <c r="L6410" s="22" t="s">
        <v>10</v>
      </c>
      <c r="M6410" s="28" t="s">
        <v>51</v>
      </c>
      <c r="N6410" s="28" t="s">
        <v>51</v>
      </c>
    </row>
    <row r="6411" spans="1:14" collapsed="1" x14ac:dyDescent="0.15">
      <c r="A6411" s="23" t="str">
        <f>HYPERLINK("https://www.spark-marketing.ru/Card/Person/66916", "МОУ ПАВЛОВИЧЕСКАЯ СОШ")</f>
        <v>МОУ ПАВЛОВИЧЕСКАЯ СОШ</v>
      </c>
      <c r="B6411" s="24" t="s">
        <v>9792</v>
      </c>
      <c r="C6411" s="25">
        <v>1317480.03</v>
      </c>
      <c r="D6411" s="22" t="s">
        <v>9793</v>
      </c>
      <c r="E6411" s="22" t="s">
        <v>48</v>
      </c>
      <c r="F6411" s="23" t="str">
        <f>HYPERLINK("https://www.spark-marketing.ru/Card/Lot/72949838", "Услуги по организации горячего питания для учащихся муниципального общеобразовательного учреждения Павловическая средняя общеобразовательная школа на второе полугодие 2019 года")</f>
        <v>Услуги по организации горячего питания для учащихся муниципального общеобразовательного учреждения Павловическая средняя общеобразовательная школа на второе полугодие 2019 года</v>
      </c>
      <c r="G6411" s="22" t="s">
        <v>49</v>
      </c>
      <c r="H6411" s="22" t="s">
        <v>49</v>
      </c>
      <c r="I6411" s="26">
        <v>43698.4050347222</v>
      </c>
      <c r="J6411" s="28" t="s">
        <v>51</v>
      </c>
      <c r="K6411" s="28" t="s">
        <v>51</v>
      </c>
      <c r="L6411" s="28" t="s">
        <v>51</v>
      </c>
      <c r="M6411" s="28" t="s">
        <v>51</v>
      </c>
      <c r="N6411" s="28" t="s">
        <v>51</v>
      </c>
    </row>
    <row r="6412" spans="1:14" ht="12.75" hidden="1" outlineLevel="1" x14ac:dyDescent="0.2">
      <c r="A6412" s="23" t="str">
        <f>HYPERLINK("https://www.spark-marketing.ru/Card/Person/66916", "МОУ ПАВЛОВИЧЕСКАЯ СОШ")</f>
        <v>МОУ ПАВЛОВИЧЕСКАЯ СОШ</v>
      </c>
      <c r="B6412" s="24" t="s">
        <v>9792</v>
      </c>
      <c r="C6412" s="25">
        <v>1317480.03</v>
      </c>
      <c r="D6412" s="22" t="s">
        <v>9793</v>
      </c>
      <c r="E6412" s="22" t="s">
        <v>48</v>
      </c>
      <c r="F6412" s="23" t="str">
        <f>HYPERLINK("https://www.spark-marketing.ru/Card/Lot/72949838", "Услуги по организации горячего питания для учащихся муниципального общеобразовательного учреждения Павловическая средняя общеобразовательная школа на второе полугодие 2019 года")</f>
        <v>Услуги по организации горячего питания для учащихся муниципального общеобразовательного учреждения Павловическая средняя общеобразовательная школа на второе полугодие 2019 года</v>
      </c>
      <c r="G6412" s="22" t="s">
        <v>49</v>
      </c>
      <c r="H6412" s="22" t="s">
        <v>49</v>
      </c>
      <c r="I6412" s="26">
        <v>43698.4050347222</v>
      </c>
      <c r="J6412" s="23" t="str">
        <f>HYPERLINK("https://www.spark-marketing.ru/Card/Person/75516", "ООО ""КОНЦЕПТ""")</f>
        <v>ООО "КОНЦЕПТ"</v>
      </c>
      <c r="K6412" s="24" t="s">
        <v>1717</v>
      </c>
      <c r="L6412" s="22" t="s">
        <v>10</v>
      </c>
      <c r="M6412" s="25">
        <v>1165892.48</v>
      </c>
      <c r="N6412" s="27">
        <v>0.11505870794868898</v>
      </c>
    </row>
    <row r="6413" spans="1:14" hidden="1" outlineLevel="1" x14ac:dyDescent="0.2">
      <c r="A6413" s="23" t="str">
        <f>HYPERLINK("https://www.spark-marketing.ru/Card/Person/66916", "МОУ ПАВЛОВИЧЕСКАЯ СОШ")</f>
        <v>МОУ ПАВЛОВИЧЕСКАЯ СОШ</v>
      </c>
      <c r="B6413" s="24" t="s">
        <v>9792</v>
      </c>
      <c r="C6413" s="25">
        <v>1317480.03</v>
      </c>
      <c r="D6413" s="22" t="s">
        <v>9793</v>
      </c>
      <c r="E6413" s="22" t="s">
        <v>48</v>
      </c>
      <c r="F6413" s="23" t="str">
        <f>HYPERLINK("https://www.spark-marketing.ru/Card/Lot/72949838", "Услуги по организации горячего питания для учащихся муниципального общеобразовательного учреждения Павловическая средняя общеобразовательная школа на второе полугодие 2019 года")</f>
        <v>Услуги по организации горячего питания для учащихся муниципального общеобразовательного учреждения Павловическая средняя общеобразовательная школа на второе полугодие 2019 года</v>
      </c>
      <c r="G6413" s="22" t="s">
        <v>49</v>
      </c>
      <c r="H6413" s="22" t="s">
        <v>49</v>
      </c>
      <c r="I6413" s="26">
        <v>43698.4050347222</v>
      </c>
      <c r="J6413" s="23" t="str">
        <f>HYPERLINK("https://www.spark-marketing.ru/Card/Person/31262", "ООО ""АЛЬЯНС""")</f>
        <v>ООО "АЛЬЯНС"</v>
      </c>
      <c r="K6413" s="24" t="s">
        <v>1718</v>
      </c>
      <c r="L6413" s="28" t="s">
        <v>51</v>
      </c>
      <c r="M6413" s="25">
        <v>1146205</v>
      </c>
      <c r="N6413" s="27">
        <v>0.13000199327499484</v>
      </c>
    </row>
    <row r="6414" spans="1:14" x14ac:dyDescent="0.15">
      <c r="A6414" s="23" t="str">
        <f>HYPERLINK("https://www.spark-marketing.ru/Card/Person/91720", "МУНИЦИПАЛЬНАЯ БЮДЖЕТНАЯ ГИМНАЗИЯ № 34 Г. ОРЛА")</f>
        <v>МУНИЦИПАЛЬНАЯ БЮДЖЕТНАЯ ГИМНАЗИЯ № 34 Г. ОРЛА</v>
      </c>
      <c r="B6414" s="24" t="s">
        <v>9794</v>
      </c>
      <c r="C6414" s="25">
        <v>279718</v>
      </c>
      <c r="D6414" s="22" t="s">
        <v>9795</v>
      </c>
      <c r="E6414" s="22" t="s">
        <v>51</v>
      </c>
      <c r="F6414" s="23" t="str">
        <f>HYPERLINK("https://www.spark-marketing.ru/Card/Lot/72926054",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414" s="22" t="s">
        <v>1066</v>
      </c>
      <c r="H6414" s="22" t="s">
        <v>2864</v>
      </c>
      <c r="I6414" s="26">
        <v>43697.709918981498</v>
      </c>
      <c r="J6414" s="23" t="str">
        <f>HYPERLINK("https://www.spark-marketing.ru/Card/Person/6690794", "ООО ""ШКОЛЬНОЕ ПИТАНИЕ""")</f>
        <v>ООО "ШКОЛЬНОЕ ПИТАНИЕ"</v>
      </c>
      <c r="K6414" s="24" t="s">
        <v>8906</v>
      </c>
      <c r="L6414" s="22" t="s">
        <v>10</v>
      </c>
      <c r="M6414" s="28" t="s">
        <v>51</v>
      </c>
      <c r="N6414" s="28" t="s">
        <v>51</v>
      </c>
    </row>
    <row r="6415" spans="1:14" collapsed="1" x14ac:dyDescent="0.15">
      <c r="A6415" s="23" t="str">
        <f>HYPERLINK("https://www.spark-marketing.ru/Card/Person/1009189", "ОМВД РОССИИ ПО ВЕЛЬСКОМУ РАЙОНУ")</f>
        <v>ОМВД РОССИИ ПО ВЕЛЬСКОМУ РАЙОНУ</v>
      </c>
      <c r="B6415" s="24" t="s">
        <v>9796</v>
      </c>
      <c r="C6415" s="25">
        <v>649047.56000000006</v>
      </c>
      <c r="D6415" s="22" t="s">
        <v>9797</v>
      </c>
      <c r="E6415" s="22" t="s">
        <v>48</v>
      </c>
      <c r="F6415" s="23" t="str">
        <f>HYPERLINK("https://www.spark-marketing.ru/Card/Lot/72928843", "Оказание услуг по организации трехразового ежедневного горячего питания для лиц, задержанных за административные правонарушения на срок более 3-х часов содержащихся в служебном помещении для  задержанных лиц дежурной части ОМВД России по Вельскому ра...")</f>
        <v>Оказание услуг по организации трехразового ежедневного горячего питания для лиц, задержанных за административные правонарушения на срок более 3-х часов содержащихся в служебном помещении для  задержанных лиц дежурной части ОМВД России по Вельскому ра...</v>
      </c>
      <c r="G6415" s="22" t="s">
        <v>214</v>
      </c>
      <c r="H6415" s="22" t="s">
        <v>214</v>
      </c>
      <c r="I6415" s="26">
        <v>43698.402858796297</v>
      </c>
      <c r="J6415" s="28" t="s">
        <v>51</v>
      </c>
      <c r="K6415" s="28" t="s">
        <v>51</v>
      </c>
      <c r="L6415" s="28" t="s">
        <v>51</v>
      </c>
      <c r="M6415" s="28" t="s">
        <v>51</v>
      </c>
      <c r="N6415" s="28" t="s">
        <v>51</v>
      </c>
    </row>
    <row r="6416" spans="1:14" hidden="1" outlineLevel="1" x14ac:dyDescent="0.2">
      <c r="A6416" s="23" t="str">
        <f>HYPERLINK("https://www.spark-marketing.ru/Card/Person/1009189", "ОМВД РОССИИ ПО ВЕЛЬСКОМУ РАЙОНУ")</f>
        <v>ОМВД РОССИИ ПО ВЕЛЬСКОМУ РАЙОНУ</v>
      </c>
      <c r="B6416" s="24" t="s">
        <v>9796</v>
      </c>
      <c r="C6416" s="25">
        <v>649047.56000000006</v>
      </c>
      <c r="D6416" s="22" t="s">
        <v>9797</v>
      </c>
      <c r="E6416" s="22" t="s">
        <v>48</v>
      </c>
      <c r="F6416" s="23" t="str">
        <f>HYPERLINK("https://www.spark-marketing.ru/Card/Lot/72928843", "Оказание услуг по организации трехразового ежедневного горячего питания для лиц, задержанных за административные правонарушения на срок более 3-х часов содержащихся в служебном помещении для  задержанных лиц дежурной части ОМВД России по Вельскому ра...")</f>
        <v>Оказание услуг по организации трехразового ежедневного горячего питания для лиц, задержанных за административные правонарушения на срок более 3-х часов содержащихся в служебном помещении для  задержанных лиц дежурной части ОМВД России по Вельскому ра...</v>
      </c>
      <c r="G6416" s="22" t="s">
        <v>214</v>
      </c>
      <c r="H6416" s="22" t="s">
        <v>214</v>
      </c>
      <c r="I6416" s="26">
        <v>43698.402858796297</v>
      </c>
      <c r="J6416" s="23" t="str">
        <f>HYPERLINK("https://www.spark-marketing.ru/Card/Person/119695", "ФКУ ИК-14 УФСИН РОССИИ ПО АРХАНГЕЛЬСКОЙ ОБЛАСТИ")</f>
        <v>ФКУ ИК-14 УФСИН РОССИИ ПО АРХАНГЕЛЬСКОЙ ОБЛАСТИ</v>
      </c>
      <c r="K6416" s="24" t="s">
        <v>9798</v>
      </c>
      <c r="L6416" s="28" t="s">
        <v>51</v>
      </c>
      <c r="M6416" s="25">
        <v>2400.3000000000002</v>
      </c>
      <c r="N6416" s="27">
        <v>0.99630181184257127</v>
      </c>
    </row>
    <row r="6417" spans="1:14" ht="12.75" hidden="1" outlineLevel="1" x14ac:dyDescent="0.2">
      <c r="A6417" s="23" t="str">
        <f>HYPERLINK("https://www.spark-marketing.ru/Card/Person/1009189", "ОМВД РОССИИ ПО ВЕЛЬСКОМУ РАЙОНУ")</f>
        <v>ОМВД РОССИИ ПО ВЕЛЬСКОМУ РАЙОНУ</v>
      </c>
      <c r="B6417" s="24" t="s">
        <v>9796</v>
      </c>
      <c r="C6417" s="25">
        <v>649047.56000000006</v>
      </c>
      <c r="D6417" s="22" t="s">
        <v>9797</v>
      </c>
      <c r="E6417" s="22" t="s">
        <v>48</v>
      </c>
      <c r="F6417" s="23" t="str">
        <f>HYPERLINK("https://www.spark-marketing.ru/Card/Lot/72928843", "Оказание услуг по организации трехразового ежедневного горячего питания для лиц, задержанных за административные правонарушения на срок более 3-х часов содержащихся в служебном помещении для  задержанных лиц дежурной части ОМВД России по Вельскому ра...")</f>
        <v>Оказание услуг по организации трехразового ежедневного горячего питания для лиц, задержанных за административные правонарушения на срок более 3-х часов содержащихся в служебном помещении для  задержанных лиц дежурной части ОМВД России по Вельскому ра...</v>
      </c>
      <c r="G6417" s="22" t="s">
        <v>214</v>
      </c>
      <c r="H6417" s="22" t="s">
        <v>214</v>
      </c>
      <c r="I6417" s="26">
        <v>43698.402858796297</v>
      </c>
      <c r="J6417" s="23" t="str">
        <f>HYPERLINK("https://www.spark-marketing.ru/Card/Person/1108452", "Милантьева Елена Валентиновна")</f>
        <v>Милантьева Елена Валентиновна</v>
      </c>
      <c r="K6417" s="24" t="s">
        <v>9799</v>
      </c>
      <c r="L6417" s="22" t="s">
        <v>10</v>
      </c>
      <c r="M6417" s="25">
        <v>2300.3000000000002</v>
      </c>
      <c r="N6417" s="27">
        <v>0.99645588375680816</v>
      </c>
    </row>
    <row r="6418" spans="1:14" x14ac:dyDescent="0.15">
      <c r="A6418" s="23" t="str">
        <f>HYPERLINK("https://www.spark-marketing.ru/Card/Person/185252", "МО МВД РОССИИ ""КЫТМАНОВСКИЙ""")</f>
        <v>МО МВД РОССИИ "КЫТМАНОВСКИЙ"</v>
      </c>
      <c r="B6418" s="24" t="s">
        <v>9770</v>
      </c>
      <c r="C6418" s="25">
        <v>300000</v>
      </c>
      <c r="D6418" s="22" t="s">
        <v>9800</v>
      </c>
      <c r="E6418" s="22" t="s">
        <v>48</v>
      </c>
      <c r="F6418" s="23" t="str">
        <f>HYPERLINK("https://www.spark-marketing.ru/Card/Lot/72922398", "услуги по питанию ИВС")</f>
        <v>услуги по питанию ИВС</v>
      </c>
      <c r="G6418" s="22" t="s">
        <v>63</v>
      </c>
      <c r="H6418" s="22" t="s">
        <v>9772</v>
      </c>
      <c r="I6418" s="26">
        <v>43697.722361111097</v>
      </c>
      <c r="J6418" s="28" t="s">
        <v>51</v>
      </c>
      <c r="K6418" s="28" t="s">
        <v>51</v>
      </c>
      <c r="L6418" s="28" t="s">
        <v>51</v>
      </c>
      <c r="M6418" s="28" t="s">
        <v>51</v>
      </c>
      <c r="N6418" s="28" t="s">
        <v>51</v>
      </c>
    </row>
    <row r="6419" spans="1:14" x14ac:dyDescent="0.15">
      <c r="A6419" s="23" t="str">
        <f>HYPERLINK("https://www.spark-marketing.ru/Card/Person/356943", "МЕЖМУНИЦИПАЛЬНЫЙ ОТДЕЛ МВД РОССИИ ""КРАСНОСУЛИНСКИЙ""")</f>
        <v>МЕЖМУНИЦИПАЛЬНЫЙ ОТДЕЛ МВД РОССИИ "КРАСНОСУЛИНСКИЙ"</v>
      </c>
      <c r="B6419" s="24" t="s">
        <v>2159</v>
      </c>
      <c r="C6419" s="25">
        <v>52295.23</v>
      </c>
      <c r="D6419" s="22" t="s">
        <v>9801</v>
      </c>
      <c r="E6419" s="22" t="s">
        <v>48</v>
      </c>
      <c r="F6419" s="23" t="str">
        <f>HYPERLINK("https://www.spark-marketing.ru/Card/Lot/72924370",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6419" s="22" t="s">
        <v>267</v>
      </c>
      <c r="H6419" s="22" t="s">
        <v>9424</v>
      </c>
      <c r="I6419" s="26">
        <v>43698.388634259303</v>
      </c>
      <c r="J6419" s="28" t="s">
        <v>51</v>
      </c>
      <c r="K6419" s="28" t="s">
        <v>51</v>
      </c>
      <c r="L6419" s="28" t="s">
        <v>51</v>
      </c>
      <c r="M6419" s="28" t="s">
        <v>51</v>
      </c>
      <c r="N6419" s="28" t="s">
        <v>51</v>
      </c>
    </row>
    <row r="6420" spans="1:14" x14ac:dyDescent="0.15">
      <c r="A6420" s="23" t="str">
        <f>HYPERLINK("https://www.spark-marketing.ru/Card/Person/356943", "МЕЖМУНИЦИПАЛЬНЫЙ ОТДЕЛ МВД РОССИИ ""КРАСНОСУЛИНСКИЙ""")</f>
        <v>МЕЖМУНИЦИПАЛЬНЫЙ ОТДЕЛ МВД РОССИИ "КРАСНОСУЛИНСКИЙ"</v>
      </c>
      <c r="B6420" s="24" t="s">
        <v>2159</v>
      </c>
      <c r="C6420" s="25">
        <v>52295.23</v>
      </c>
      <c r="D6420" s="22" t="s">
        <v>9802</v>
      </c>
      <c r="E6420" s="22" t="s">
        <v>48</v>
      </c>
      <c r="F6420" s="23" t="str">
        <f>HYPERLINK("https://www.spark-marketing.ru/Card/Lot/72924383",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6420" s="22" t="s">
        <v>267</v>
      </c>
      <c r="H6420" s="22" t="s">
        <v>9424</v>
      </c>
      <c r="I6420" s="26">
        <v>43698.391018518501</v>
      </c>
      <c r="J6420" s="28" t="s">
        <v>51</v>
      </c>
      <c r="K6420" s="28" t="s">
        <v>51</v>
      </c>
      <c r="L6420" s="28" t="s">
        <v>51</v>
      </c>
      <c r="M6420" s="28" t="s">
        <v>51</v>
      </c>
      <c r="N6420" s="28" t="s">
        <v>51</v>
      </c>
    </row>
    <row r="6421" spans="1:14" x14ac:dyDescent="0.15">
      <c r="A6421" s="23" t="str">
        <f>HYPERLINK("https://www.spark-marketing.ru/Card/Person/34726", "УПРАВЛЕНИЕ МВД РОССИИ ПО Г. РОСТОВУ-НА-ДОНУ")</f>
        <v>УПРАВЛЕНИЕ МВД РОССИИ ПО Г. РОСТОВУ-НА-ДОНУ</v>
      </c>
      <c r="B6421" s="24" t="s">
        <v>7139</v>
      </c>
      <c r="C6421" s="25">
        <v>295074.59999999998</v>
      </c>
      <c r="D6421" s="22" t="s">
        <v>9803</v>
      </c>
      <c r="E6421" s="22" t="s">
        <v>48</v>
      </c>
      <c r="F6421" s="23" t="str">
        <f>HYPERLINK("https://www.spark-marketing.ru/Card/Lot/72950104", "оказание услуг по обеспечению бесперебойным ежедневным трехразовым горячим питанием (порционно в одноразовой посуде с пластиковыми приборами для принятия пищи) лицам, подвергнутым административному аресту, содержащихся в специальном приемнике Управле...")</f>
        <v>оказание услуг по обеспечению бесперебойным ежедневным трехразовым горячим питанием (порционно в одноразовой посуде с пластиковыми приборами для принятия пищи) лицам, подвергнутым административному аресту, содержащихся в специальном приемнике Управле...</v>
      </c>
      <c r="G6421" s="22" t="s">
        <v>267</v>
      </c>
      <c r="H6421" s="22" t="s">
        <v>590</v>
      </c>
      <c r="I6421" s="26">
        <v>43698.3776967593</v>
      </c>
      <c r="J6421" s="23" t="str">
        <f>HYPERLINK("https://www.spark-marketing.ru/Card/Person/365298", "ООО ""ЛЕЛЬ""")</f>
        <v>ООО "ЛЕЛЬ"</v>
      </c>
      <c r="K6421" s="24" t="s">
        <v>7141</v>
      </c>
      <c r="L6421" s="28" t="s">
        <v>51</v>
      </c>
      <c r="M6421" s="28" t="s">
        <v>51</v>
      </c>
      <c r="N6421" s="28" t="s">
        <v>51</v>
      </c>
    </row>
    <row r="6422" spans="1:14" x14ac:dyDescent="0.15">
      <c r="A6422" s="23" t="str">
        <f>HYPERLINK("https://www.spark-marketing.ru/Card/Person/356943", "МЕЖМУНИЦИПАЛЬНЫЙ ОТДЕЛ МВД РОССИИ ""КРАСНОСУЛИНСКИЙ""")</f>
        <v>МЕЖМУНИЦИПАЛЬНЫЙ ОТДЕЛ МВД РОССИИ "КРАСНОСУЛИНСКИЙ"</v>
      </c>
      <c r="B6422" s="24" t="s">
        <v>2159</v>
      </c>
      <c r="C6422" s="25">
        <v>52295.23</v>
      </c>
      <c r="D6422" s="22" t="s">
        <v>9804</v>
      </c>
      <c r="E6422" s="22" t="s">
        <v>48</v>
      </c>
      <c r="F6422" s="23" t="str">
        <f>HYPERLINK("https://www.spark-marketing.ru/Card/Lot/72924322",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6422" s="22" t="s">
        <v>267</v>
      </c>
      <c r="H6422" s="22" t="s">
        <v>9779</v>
      </c>
      <c r="I6422" s="26">
        <v>43698.385960648098</v>
      </c>
      <c r="J6422" s="28" t="s">
        <v>51</v>
      </c>
      <c r="K6422" s="28" t="s">
        <v>51</v>
      </c>
      <c r="L6422" s="28" t="s">
        <v>51</v>
      </c>
      <c r="M6422" s="28" t="s">
        <v>51</v>
      </c>
      <c r="N6422" s="28" t="s">
        <v>51</v>
      </c>
    </row>
    <row r="6423" spans="1:14" x14ac:dyDescent="0.15">
      <c r="A6423" s="23" t="str">
        <f>HYPERLINK("https://www.spark-marketing.ru/Card/Person/19253", "УПРАВЛЕНИЕ МВД РОССИИ ПО ГОРОДУ СТАВРОПОЛЮ")</f>
        <v>УПРАВЛЕНИЕ МВД РОССИИ ПО ГОРОДУ СТАВРОПОЛЮ</v>
      </c>
      <c r="B6423" s="24" t="s">
        <v>6992</v>
      </c>
      <c r="C6423" s="25">
        <v>990000</v>
      </c>
      <c r="D6423" s="22" t="s">
        <v>9805</v>
      </c>
      <c r="E6423" s="22" t="s">
        <v>48</v>
      </c>
      <c r="F6423" s="23" t="str">
        <f>HYPERLINK("https://www.spark-marketing.ru/Card/Lot/72928752", "Оказание услуг по организации питания лиц, задержанных за административные правонарушения и содержащиеся в помещениях для задержанных в отделах полиции ОП №1, ОП №2 и ОП №3 Управления МВД России по городу Ставрополю")</f>
        <v>Оказание услуг по организации питания лиц, задержанных за административные правонарушения и содержащиеся в помещениях для задержанных в отделах полиции ОП №1, ОП №2 и ОП №3 Управления МВД России по городу Ставрополю</v>
      </c>
      <c r="G6423" s="22" t="s">
        <v>87</v>
      </c>
      <c r="H6423" s="22" t="s">
        <v>87</v>
      </c>
      <c r="I6423" s="26">
        <v>43698.034965277802</v>
      </c>
      <c r="J6423" s="23" t="str">
        <f>HYPERLINK("https://www.spark-marketing.ru/Card/Person/950178", "Левин Евгений Николаевич")</f>
        <v>Левин Евгений Николаевич</v>
      </c>
      <c r="K6423" s="24" t="s">
        <v>6994</v>
      </c>
      <c r="L6423" s="22" t="s">
        <v>10</v>
      </c>
      <c r="M6423" s="28" t="s">
        <v>51</v>
      </c>
      <c r="N6423" s="28" t="s">
        <v>51</v>
      </c>
    </row>
    <row r="6424" spans="1:14" x14ac:dyDescent="0.15">
      <c r="A6424" s="23" t="str">
        <f>HYPERLINK("https://www.spark-marketing.ru/Card/Person/90972", "МУНИЦИПАЛЬНАЯ БЮДЖЕТНАЯ СРЕДНЯЯ ОБЩЕОБРАЗОВАТЕЛЬНАЯ ШКОЛА №29 Г. ОРЛА")</f>
        <v>МУНИЦИПАЛЬНАЯ БЮДЖЕТНАЯ СРЕДНЯЯ ОБЩЕОБРАЗОВАТЕЛЬНАЯ ШКОЛА №29 Г. ОРЛА</v>
      </c>
      <c r="B6424" s="24" t="s">
        <v>9806</v>
      </c>
      <c r="C6424" s="25">
        <v>370108</v>
      </c>
      <c r="D6424" s="22" t="s">
        <v>9807</v>
      </c>
      <c r="E6424" s="22" t="s">
        <v>51</v>
      </c>
      <c r="F6424" s="23" t="str">
        <f>HYPERLINK("https://www.spark-marketing.ru/Card/Lot/72927676", "Услуги по обеспечению питанием, осуществляемые по договору")</f>
        <v>Услуги по обеспечению питанием, осуществляемые по договору</v>
      </c>
      <c r="G6424" s="22" t="s">
        <v>1066</v>
      </c>
      <c r="H6424" s="22" t="s">
        <v>1066</v>
      </c>
      <c r="I6424" s="26">
        <v>43697.707372685203</v>
      </c>
      <c r="J6424" s="23" t="str">
        <f>HYPERLINK("https://www.spark-marketing.ru/Card/Person/385389", "ООО ""ОФСАЙД""")</f>
        <v>ООО "ОФСАЙД"</v>
      </c>
      <c r="K6424" s="24" t="s">
        <v>9233</v>
      </c>
      <c r="L6424" s="22" t="s">
        <v>10</v>
      </c>
      <c r="M6424" s="28" t="s">
        <v>51</v>
      </c>
      <c r="N6424" s="28" t="s">
        <v>51</v>
      </c>
    </row>
    <row r="6425" spans="1:14" x14ac:dyDescent="0.15">
      <c r="A6425" s="23" t="str">
        <f>HYPERLINK("https://www.spark-marketing.ru/Card/Person/111659", "ОМВД РОССИИ ПО ВОЛОСОВСКОМУ РАЙОНУ ЛО")</f>
        <v>ОМВД РОССИИ ПО ВОЛОСОВСКОМУ РАЙОНУ ЛО</v>
      </c>
      <c r="B6425" s="24" t="s">
        <v>9808</v>
      </c>
      <c r="C6425" s="25">
        <v>680000</v>
      </c>
      <c r="D6425" s="22" t="s">
        <v>9809</v>
      </c>
      <c r="E6425" s="22" t="s">
        <v>48</v>
      </c>
      <c r="F6425" s="23" t="str">
        <f>HYPERLINK("https://www.spark-marketing.ru/Card/Lot/72927487", "Оказание услуг по организации трехразового горячего питания лиц, содержащихся в изоляторе временного содержания подозреваемых и обвиняемых ОМВД России по Волосовскому району ЛО, а также лиц, задержанных за административные правонарушения на срок боле...")</f>
        <v>Оказание услуг по организации трехразового горячего питания лиц, содержащихся в изоляторе временного содержания подозреваемых и обвиняемых ОМВД России по Волосовскому району ЛО, а также лиц, задержанных за административные правонарушения на срок боле...</v>
      </c>
      <c r="G6425" s="22" t="s">
        <v>162</v>
      </c>
      <c r="H6425" s="22" t="s">
        <v>9810</v>
      </c>
      <c r="I6425" s="26">
        <v>43698.404224537</v>
      </c>
      <c r="J6425" s="23" t="str">
        <f>HYPERLINK("https://www.spark-marketing.ru/Card/Person/1318373", "Гребенкина Елена Николаевна")</f>
        <v>Гребенкина Елена Николаевна</v>
      </c>
      <c r="K6425" s="24" t="s">
        <v>9811</v>
      </c>
      <c r="L6425" s="22" t="s">
        <v>10</v>
      </c>
      <c r="M6425" s="28" t="s">
        <v>51</v>
      </c>
      <c r="N6425" s="28" t="s">
        <v>51</v>
      </c>
    </row>
    <row r="6426" spans="1:14" collapsed="1" x14ac:dyDescent="0.15">
      <c r="A6426" s="23" t="str">
        <f>HYPERLINK("https://www.spark-marketing.ru/Card/Person/4376366", "ЗАКОНОДАТЕЛЬНОЕ СОБРАНИЕ АМУРСКОЙ ОБЛАСТИ")</f>
        <v>ЗАКОНОДАТЕЛЬНОЕ СОБРАНИЕ АМУРСКОЙ ОБЛАСТИ</v>
      </c>
      <c r="B6426" s="24" t="s">
        <v>9812</v>
      </c>
      <c r="C6426" s="25">
        <v>600000</v>
      </c>
      <c r="D6426" s="22" t="s">
        <v>9813</v>
      </c>
      <c r="E6426" s="22" t="s">
        <v>96</v>
      </c>
      <c r="F6426" s="23" t="str">
        <f>HYPERLINK("https://www.spark-marketing.ru/Card/Lot/72920839", "Оказание услуг по организации и проведению торжественного мероприятия (организация питания)")</f>
        <v>Оказание услуг по организации и проведению торжественного мероприятия (организация питания)</v>
      </c>
      <c r="G6426" s="22" t="s">
        <v>210</v>
      </c>
      <c r="H6426" s="22" t="s">
        <v>3257</v>
      </c>
      <c r="I6426" s="26">
        <v>43697.743773148097</v>
      </c>
      <c r="J6426" s="28" t="s">
        <v>51</v>
      </c>
      <c r="K6426" s="28" t="s">
        <v>51</v>
      </c>
      <c r="L6426" s="28" t="s">
        <v>51</v>
      </c>
      <c r="M6426" s="28" t="s">
        <v>51</v>
      </c>
      <c r="N6426" s="28" t="s">
        <v>51</v>
      </c>
    </row>
    <row r="6427" spans="1:14" ht="12.75" hidden="1" outlineLevel="1" x14ac:dyDescent="0.2">
      <c r="A6427" s="23" t="str">
        <f>HYPERLINK("https://www.spark-marketing.ru/Card/Person/4376366", "ЗАКОНОДАТЕЛЬНОЕ СОБРАНИЕ АМУРСКОЙ ОБЛАСТИ")</f>
        <v>ЗАКОНОДАТЕЛЬНОЕ СОБРАНИЕ АМУРСКОЙ ОБЛАСТИ</v>
      </c>
      <c r="B6427" s="24" t="s">
        <v>9812</v>
      </c>
      <c r="C6427" s="25">
        <v>600000</v>
      </c>
      <c r="D6427" s="22" t="s">
        <v>9813</v>
      </c>
      <c r="E6427" s="22" t="s">
        <v>96</v>
      </c>
      <c r="F6427" s="23" t="str">
        <f>HYPERLINK("https://www.spark-marketing.ru/Card/Lot/72920839", "Оказание услуг по организации и проведению торжественного мероприятия (организация питания)")</f>
        <v>Оказание услуг по организации и проведению торжественного мероприятия (организация питания)</v>
      </c>
      <c r="G6427" s="22" t="s">
        <v>210</v>
      </c>
      <c r="H6427" s="22" t="s">
        <v>3257</v>
      </c>
      <c r="I6427" s="26">
        <v>43697.743773148097</v>
      </c>
      <c r="J6427" s="23" t="str">
        <f>HYPERLINK("https://www.spark-marketing.ru/Card/Person/307092", "МАУК ""ОКЦ""")</f>
        <v>МАУК "ОКЦ"</v>
      </c>
      <c r="K6427" s="24" t="s">
        <v>6073</v>
      </c>
      <c r="L6427" s="22" t="s">
        <v>10</v>
      </c>
      <c r="M6427" s="25">
        <v>2486</v>
      </c>
      <c r="N6427" s="27">
        <v>0.99585666666666661</v>
      </c>
    </row>
    <row r="6428" spans="1:14" hidden="1" outlineLevel="1" x14ac:dyDescent="0.2">
      <c r="A6428" s="23" t="str">
        <f>HYPERLINK("https://www.spark-marketing.ru/Card/Person/4376366", "ЗАКОНОДАТЕЛЬНОЕ СОБРАНИЕ АМУРСКОЙ ОБЛАСТИ")</f>
        <v>ЗАКОНОДАТЕЛЬНОЕ СОБРАНИЕ АМУРСКОЙ ОБЛАСТИ</v>
      </c>
      <c r="B6428" s="24" t="s">
        <v>9812</v>
      </c>
      <c r="C6428" s="25">
        <v>600000</v>
      </c>
      <c r="D6428" s="22" t="s">
        <v>9813</v>
      </c>
      <c r="E6428" s="22" t="s">
        <v>96</v>
      </c>
      <c r="F6428" s="23" t="str">
        <f>HYPERLINK("https://www.spark-marketing.ru/Card/Lot/72920839", "Оказание услуг по организации и проведению торжественного мероприятия (организация питания)")</f>
        <v>Оказание услуг по организации и проведению торжественного мероприятия (организация питания)</v>
      </c>
      <c r="G6428" s="22" t="s">
        <v>210</v>
      </c>
      <c r="H6428" s="22" t="s">
        <v>3257</v>
      </c>
      <c r="I6428" s="26">
        <v>43697.743773148097</v>
      </c>
      <c r="J6428" s="23" t="str">
        <f>HYPERLINK("https://www.spark-marketing.ru/Card/Person/304394", "КП АО ""АМУРСКИЙ КОМБИНАТ""")</f>
        <v>КП АО "АМУРСКИЙ КОМБИНАТ"</v>
      </c>
      <c r="K6428" s="24" t="s">
        <v>8292</v>
      </c>
      <c r="L6428" s="28" t="s">
        <v>51</v>
      </c>
      <c r="M6428" s="25">
        <v>2505.5</v>
      </c>
      <c r="N6428" s="27">
        <v>0.99582416666666662</v>
      </c>
    </row>
    <row r="6429" spans="1:14" x14ac:dyDescent="0.15">
      <c r="A6429" s="23" t="str">
        <f>HYPERLINK("https://www.spark-marketing.ru/Card/Person/113245", "ОМВД РОССИИ ПО КИРОВСКОМУ РАЙОНУ ЛО")</f>
        <v>ОМВД РОССИИ ПО КИРОВСКОМУ РАЙОНУ ЛО</v>
      </c>
      <c r="B6429" s="24" t="s">
        <v>9814</v>
      </c>
      <c r="C6429" s="25">
        <v>2309600</v>
      </c>
      <c r="D6429" s="22" t="s">
        <v>9815</v>
      </c>
      <c r="E6429" s="22" t="s">
        <v>48</v>
      </c>
      <c r="F6429" s="23" t="str">
        <f>HYPERLINK("https://www.spark-marketing.ru/Card/Lot/72925187", "Оказание услуг по организации 3-х разового горячего питания в сутки для лиц, содержащихся  в ИВС и  КАЗах дежурных частей ОМВД России по Кировскому району ЛО на 2020-2021 года")</f>
        <v>Оказание услуг по организации 3-х разового горячего питания в сутки для лиц, содержащихся  в ИВС и  КАЗах дежурных частей ОМВД России по Кировскому району ЛО на 2020-2021 года</v>
      </c>
      <c r="G6429" s="22" t="s">
        <v>117</v>
      </c>
      <c r="H6429" s="22" t="s">
        <v>117</v>
      </c>
      <c r="I6429" s="26">
        <v>43697.861909722204</v>
      </c>
      <c r="J6429" s="28" t="s">
        <v>51</v>
      </c>
      <c r="K6429" s="28" t="s">
        <v>51</v>
      </c>
      <c r="L6429" s="28" t="s">
        <v>51</v>
      </c>
      <c r="M6429" s="28" t="s">
        <v>51</v>
      </c>
      <c r="N6429" s="28" t="s">
        <v>51</v>
      </c>
    </row>
    <row r="6430" spans="1:14" ht="12.75" x14ac:dyDescent="0.2">
      <c r="A6430" s="23" t="str">
        <f>HYPERLINK("https://www.spark-marketing.ru/Card/Person/151887", "МО МВД РОССИИ""ПОСПЕЛИХИНСКИЙ""")</f>
        <v>МО МВД РОССИИ"ПОСПЕЛИХИНСКИЙ"</v>
      </c>
      <c r="B6430" s="24" t="s">
        <v>9482</v>
      </c>
      <c r="C6430" s="25">
        <v>408000</v>
      </c>
      <c r="D6430" s="22" t="s">
        <v>9816</v>
      </c>
      <c r="E6430" s="22" t="s">
        <v>48</v>
      </c>
      <c r="F6430" s="23" t="str">
        <f>HYPERLINK("https://www.spark-marketing.ru/Card/Lot/72925305", "питание ивс")</f>
        <v>питание ивс</v>
      </c>
      <c r="G6430" s="22" t="s">
        <v>63</v>
      </c>
      <c r="H6430" s="22" t="s">
        <v>9484</v>
      </c>
      <c r="I6430" s="26">
        <v>43698.516099537002</v>
      </c>
      <c r="J6430" s="23" t="str">
        <f>HYPERLINK("https://www.spark-marketing.ru/Card/Person/6698300", "Баранова Татьяна Николаевна")</f>
        <v>Баранова Татьяна Николаевна</v>
      </c>
      <c r="K6430" s="24" t="s">
        <v>9817</v>
      </c>
      <c r="L6430" s="22" t="s">
        <v>10</v>
      </c>
      <c r="M6430" s="25">
        <v>408000</v>
      </c>
      <c r="N6430" s="27">
        <v>0</v>
      </c>
    </row>
    <row r="6431" spans="1:14" x14ac:dyDescent="0.15">
      <c r="A6431" s="23" t="str">
        <f>HYPERLINK("https://www.spark-marketing.ru/Card/Person/362516", "ОТДЕЛ МВД РОССИИ ПО КОЧЕНЕВСКОМУ РАЙОНУ")</f>
        <v>ОТДЕЛ МВД РОССИИ ПО КОЧЕНЕВСКОМУ РАЙОНУ</v>
      </c>
      <c r="B6431" s="24" t="s">
        <v>9818</v>
      </c>
      <c r="C6431" s="25">
        <v>1180000</v>
      </c>
      <c r="D6431" s="22" t="s">
        <v>9819</v>
      </c>
      <c r="E6431" s="22" t="s">
        <v>48</v>
      </c>
      <c r="F6431" s="23" t="str">
        <f>HYPERLINK("https://www.spark-marketing.ru/Card/Lot/72922296", "Услуги по приготовлению горячего питания")</f>
        <v>Услуги по приготовлению горячего питания</v>
      </c>
      <c r="G6431" s="22" t="s">
        <v>195</v>
      </c>
      <c r="H6431" s="22" t="s">
        <v>9820</v>
      </c>
      <c r="I6431" s="26">
        <v>43697.605347222197</v>
      </c>
      <c r="J6431" s="23" t="str">
        <f>HYPERLINK("https://www.spark-marketing.ru/Card/Person/364126", "ООО ""АФРОДИТА""")</f>
        <v>ООО "АФРОДИТА"</v>
      </c>
      <c r="K6431" s="24" t="s">
        <v>9821</v>
      </c>
      <c r="L6431" s="22" t="s">
        <v>10</v>
      </c>
      <c r="M6431" s="28" t="s">
        <v>51</v>
      </c>
      <c r="N6431" s="28" t="s">
        <v>51</v>
      </c>
    </row>
    <row r="6432" spans="1:14" x14ac:dyDescent="0.15">
      <c r="A6432" s="23" t="str">
        <f>HYPERLINK("https://www.spark-marketing.ru/Card/Person/115581", "МБОУ СОШ № 20")</f>
        <v>МБОУ СОШ № 20</v>
      </c>
      <c r="B6432" s="24" t="s">
        <v>9822</v>
      </c>
      <c r="C6432" s="25">
        <v>600000</v>
      </c>
      <c r="D6432" s="22" t="s">
        <v>9823</v>
      </c>
      <c r="E6432" s="22" t="s">
        <v>48</v>
      </c>
      <c r="F6432" s="23" t="str">
        <f>HYPERLINK("https://www.spark-marketing.ru/Card/Lot/72923611", "Оказание услуг по организации горячего питания обучающихся в МБОУ СОШ № 20")</f>
        <v>Оказание услуг по организации горячего питания обучающихся в МБОУ СОШ № 20</v>
      </c>
      <c r="G6432" s="22" t="s">
        <v>195</v>
      </c>
      <c r="H6432" s="22" t="s">
        <v>196</v>
      </c>
      <c r="I6432" s="26">
        <v>43698.336805555598</v>
      </c>
      <c r="J6432" s="28" t="s">
        <v>51</v>
      </c>
      <c r="K6432" s="28" t="s">
        <v>51</v>
      </c>
      <c r="L6432" s="28" t="s">
        <v>51</v>
      </c>
      <c r="M6432" s="28" t="s">
        <v>51</v>
      </c>
      <c r="N6432" s="28" t="s">
        <v>51</v>
      </c>
    </row>
    <row r="6433" spans="1:14" x14ac:dyDescent="0.15">
      <c r="A6433" s="23" t="str">
        <f>HYPERLINK("https://www.spark-marketing.ru/Card/Person/6505005", "ГБУЗ ПК ""БКПО""")</f>
        <v>ГБУЗ ПК "БКПО"</v>
      </c>
      <c r="B6433" s="24" t="s">
        <v>9824</v>
      </c>
      <c r="C6433" s="25">
        <v>1617690.48</v>
      </c>
      <c r="D6433" s="22" t="s">
        <v>9825</v>
      </c>
      <c r="E6433" s="22" t="s">
        <v>96</v>
      </c>
      <c r="F6433" s="23" t="str">
        <f>HYPERLINK("https://www.spark-marketing.ru/Card/Lot/72922992", "Оказание услуг по организации лечебного питания (В.-Иньва)")</f>
        <v>Оказание услуг по организации лечебного питания (В.-Иньва)</v>
      </c>
      <c r="G6433" s="22" t="s">
        <v>153</v>
      </c>
      <c r="H6433" s="22" t="s">
        <v>153</v>
      </c>
      <c r="I6433" s="26">
        <v>43697.735810185201</v>
      </c>
      <c r="J6433" s="28" t="s">
        <v>51</v>
      </c>
      <c r="K6433" s="28" t="s">
        <v>51</v>
      </c>
      <c r="L6433" s="28" t="s">
        <v>51</v>
      </c>
      <c r="M6433" s="28" t="s">
        <v>51</v>
      </c>
      <c r="N6433" s="28" t="s">
        <v>51</v>
      </c>
    </row>
    <row r="6434" spans="1:14" x14ac:dyDescent="0.15">
      <c r="A6434" s="23" t="str">
        <f>HYPERLINK("https://www.spark-marketing.ru/Card/Person/1011886", "МБОУ СОШ № 137")</f>
        <v>МБОУ СОШ № 137</v>
      </c>
      <c r="B6434" s="24" t="s">
        <v>9826</v>
      </c>
      <c r="C6434" s="25">
        <v>294190</v>
      </c>
      <c r="D6434" s="22" t="s">
        <v>9827</v>
      </c>
      <c r="E6434" s="22" t="s">
        <v>48</v>
      </c>
      <c r="F6434" s="23" t="str">
        <f>HYPERLINK("https://www.spark-marketing.ru/Card/Lot/72923595", "Услуги по организации двухразового горячего питания обучающихся в МБОУ СОШ № 137 с ограниченными возможностями здоровья (ОВЗ)")</f>
        <v>Услуги по организации двухразового горячего питания обучающихся в МБОУ СОШ № 137 с ограниченными возможностями здоровья (ОВЗ)</v>
      </c>
      <c r="G6434" s="22" t="s">
        <v>195</v>
      </c>
      <c r="H6434" s="22" t="s">
        <v>196</v>
      </c>
      <c r="I6434" s="26">
        <v>43698.327083333301</v>
      </c>
      <c r="J6434" s="28" t="s">
        <v>51</v>
      </c>
      <c r="K6434" s="28" t="s">
        <v>51</v>
      </c>
      <c r="L6434" s="28" t="s">
        <v>51</v>
      </c>
      <c r="M6434" s="28" t="s">
        <v>51</v>
      </c>
      <c r="N6434" s="28" t="s">
        <v>51</v>
      </c>
    </row>
    <row r="6435" spans="1:14" x14ac:dyDescent="0.15">
      <c r="A6435" s="23" t="str">
        <f>HYPERLINK("https://www.spark-marketing.ru/Card/Person/175247", "ОМВД РОССИИ ПО ОКТЯБРЬСКОМУ РАЙОНУ")</f>
        <v>ОМВД РОССИИ ПО ОКТЯБРЬСКОМУ РАЙОНУ</v>
      </c>
      <c r="B6435" s="24" t="s">
        <v>9828</v>
      </c>
      <c r="C6435" s="25">
        <v>42350</v>
      </c>
      <c r="D6435" s="22" t="s">
        <v>9829</v>
      </c>
      <c r="E6435" s="22" t="s">
        <v>96</v>
      </c>
      <c r="F6435" s="23" t="str">
        <f>HYPERLINK("https://www.spark-marketing.ru/Card/Lot/72920752", "Оказание услуг по организации питания (приготовлению и доставке), 141 шт")</f>
        <v>Оказание услуг по организации питания (приготовлению и доставке), 141 шт</v>
      </c>
      <c r="G6435" s="22" t="s">
        <v>543</v>
      </c>
      <c r="H6435" s="22" t="s">
        <v>465</v>
      </c>
      <c r="I6435" s="26">
        <v>43698.193842592598</v>
      </c>
      <c r="J6435" s="28" t="s">
        <v>51</v>
      </c>
      <c r="K6435" s="28" t="s">
        <v>51</v>
      </c>
      <c r="L6435" s="28" t="s">
        <v>51</v>
      </c>
      <c r="M6435" s="28" t="s">
        <v>51</v>
      </c>
      <c r="N6435" s="28" t="s">
        <v>51</v>
      </c>
    </row>
    <row r="6436" spans="1:14" x14ac:dyDescent="0.15">
      <c r="A6436" s="23" t="str">
        <f>HYPERLINK("https://www.spark-marketing.ru/Card/Person/1479051", "МАОУ СОШ С. МАЯНГА")</f>
        <v>МАОУ СОШ С. МАЯНГА</v>
      </c>
      <c r="B6436" s="24" t="s">
        <v>9830</v>
      </c>
      <c r="C6436" s="25">
        <v>65728</v>
      </c>
      <c r="D6436" s="22" t="s">
        <v>9831</v>
      </c>
      <c r="E6436" s="22" t="s">
        <v>362</v>
      </c>
      <c r="F6436" s="23" t="str">
        <f>HYPERLINK("https://www.spark-marketing.ru/Card/Lot/72928975", "Оказание услуг по организации питания обучающихся")</f>
        <v>Оказание услуг по организации питания обучающихся</v>
      </c>
      <c r="G6436" s="22" t="s">
        <v>351</v>
      </c>
      <c r="H6436" s="22" t="s">
        <v>351</v>
      </c>
      <c r="I6436" s="26">
        <v>43698</v>
      </c>
      <c r="J6436" s="28" t="s">
        <v>51</v>
      </c>
      <c r="K6436" s="28" t="s">
        <v>51</v>
      </c>
      <c r="L6436" s="28" t="s">
        <v>51</v>
      </c>
      <c r="M6436" s="28" t="s">
        <v>51</v>
      </c>
      <c r="N6436" s="28" t="s">
        <v>51</v>
      </c>
    </row>
    <row r="6437" spans="1:14" x14ac:dyDescent="0.15">
      <c r="A6437" s="23" t="str">
        <f>HYPERLINK("https://www.spark-marketing.ru/Card/Person/971733", "КГАУК ""ЦКС""")</f>
        <v>КГАУК "ЦКС"</v>
      </c>
      <c r="B6437" s="24" t="s">
        <v>9832</v>
      </c>
      <c r="C6437" s="25">
        <v>215900</v>
      </c>
      <c r="D6437" s="22" t="s">
        <v>9833</v>
      </c>
      <c r="E6437" s="22" t="s">
        <v>4655</v>
      </c>
      <c r="F6437" s="23" t="str">
        <f>HYPERLINK("https://www.spark-marketing.ru/Card/Lot/72933536", "Услуги по организации питания (завтрак, обед, ужин) и проживания на базе ФГБОУ ВДЦ «Океан»")</f>
        <v>Услуги по организации питания (завтрак, обед, ужин) и проживания на базе ФГБОУ ВДЦ «Океан»</v>
      </c>
      <c r="G6437" s="22" t="s">
        <v>281</v>
      </c>
      <c r="H6437" s="22" t="s">
        <v>281</v>
      </c>
      <c r="I6437" s="26">
        <v>43698</v>
      </c>
      <c r="J6437" s="28" t="s">
        <v>51</v>
      </c>
      <c r="K6437" s="28" t="s">
        <v>51</v>
      </c>
      <c r="L6437" s="28" t="s">
        <v>51</v>
      </c>
      <c r="M6437" s="28" t="s">
        <v>51</v>
      </c>
      <c r="N6437" s="28" t="s">
        <v>51</v>
      </c>
    </row>
    <row r="6438" spans="1:14" x14ac:dyDescent="0.15">
      <c r="A6438" s="23" t="str">
        <f>HYPERLINK("https://www.spark-marketing.ru/Card/Person/50743", "МП ""ДЕТСКОЕ ПИТАНИЕ""")</f>
        <v>МП "ДЕТСКОЕ ПИТАНИЕ"</v>
      </c>
      <c r="B6438" s="24" t="s">
        <v>1562</v>
      </c>
      <c r="C6438" s="25">
        <v>109650</v>
      </c>
      <c r="D6438" s="22" t="s">
        <v>9834</v>
      </c>
      <c r="E6438" s="22" t="s">
        <v>9835</v>
      </c>
      <c r="F6438" s="23" t="str">
        <f>HYPERLINK("https://www.spark-marketing.ru/Card/Lot/72941607", "Поставка свинины (лопатка) на оказание услуг по предоставлению благотворительного питания гражданам, находящимся в тяжелой жизненной ситуации.")</f>
        <v>Поставка свинины (лопатка) на оказание услуг по предоставлению благотворительного питания гражданам, находящимся в тяжелой жизненной ситуации.</v>
      </c>
      <c r="G6438" s="22" t="s">
        <v>1522</v>
      </c>
      <c r="H6438" s="22" t="s">
        <v>1522</v>
      </c>
      <c r="I6438" s="26">
        <v>43698</v>
      </c>
      <c r="J6438" s="28" t="s">
        <v>51</v>
      </c>
      <c r="K6438" s="28" t="s">
        <v>51</v>
      </c>
      <c r="L6438" s="28" t="s">
        <v>51</v>
      </c>
      <c r="M6438" s="28" t="s">
        <v>51</v>
      </c>
      <c r="N6438" s="28" t="s">
        <v>51</v>
      </c>
    </row>
    <row r="6439" spans="1:14" x14ac:dyDescent="0.15">
      <c r="A6439" s="23" t="str">
        <f>HYPERLINK("https://www.spark-marketing.ru/Card/Person/919032", "ФГАУ ""ФНФРО""")</f>
        <v>ФГАУ "ФНФРО"</v>
      </c>
      <c r="B6439" s="24" t="s">
        <v>9836</v>
      </c>
      <c r="C6439" s="25">
        <v>336000</v>
      </c>
      <c r="D6439" s="22" t="s">
        <v>9837</v>
      </c>
      <c r="E6439" s="22" t="s">
        <v>562</v>
      </c>
      <c r="F6439" s="23" t="str">
        <f>HYPERLINK("https://www.spark-marketing.ru/Card/Lot/72950293", "Оказание услуг по организации питания участников мероприятия.")</f>
        <v>Оказание услуг по организации питания участников мероприятия.</v>
      </c>
      <c r="G6439" s="22" t="s">
        <v>49</v>
      </c>
      <c r="H6439" s="22" t="s">
        <v>49</v>
      </c>
      <c r="I6439" s="26">
        <v>43698</v>
      </c>
      <c r="J6439" s="28" t="s">
        <v>51</v>
      </c>
      <c r="K6439" s="28" t="s">
        <v>51</v>
      </c>
      <c r="L6439" s="28" t="s">
        <v>51</v>
      </c>
      <c r="M6439" s="28" t="s">
        <v>51</v>
      </c>
      <c r="N6439" s="28" t="s">
        <v>51</v>
      </c>
    </row>
    <row r="6440" spans="1:14" x14ac:dyDescent="0.2">
      <c r="A6440" s="23" t="str">
        <f>HYPERLINK("https://www.spark-marketing.ru/Card/Person/192869", "ПАО ""ИРКУТСКЭНЕРГО""")</f>
        <v>ПАО "ИРКУТСКЭНЕРГО"</v>
      </c>
      <c r="B6440" s="24" t="s">
        <v>3555</v>
      </c>
      <c r="C6440" s="25">
        <v>7468000</v>
      </c>
      <c r="D6440" s="22" t="s">
        <v>9838</v>
      </c>
      <c r="E6440" s="22" t="s">
        <v>1412</v>
      </c>
      <c r="F6440" s="23" t="str">
        <f>HYPERLINK("https://www.spark-marketing.ru/Card/Lot/72513774", "Организация услуг льготного питания для персонала Ново-Зиминской ТЭЦ")</f>
        <v>Организация услуг льготного питания для персонала Ново-Зиминской ТЭЦ</v>
      </c>
      <c r="G6440" s="22" t="s">
        <v>263</v>
      </c>
      <c r="H6440" s="22" t="s">
        <v>263</v>
      </c>
      <c r="I6440" s="26">
        <v>43677</v>
      </c>
      <c r="J6440" s="28" t="s">
        <v>51</v>
      </c>
      <c r="K6440" s="28" t="s">
        <v>51</v>
      </c>
      <c r="L6440" s="22" t="s">
        <v>10</v>
      </c>
      <c r="M6440" s="25">
        <v>7393320</v>
      </c>
      <c r="N6440" s="27">
        <v>0.01</v>
      </c>
    </row>
    <row r="6441" spans="1:14" x14ac:dyDescent="0.15">
      <c r="A6441" s="23" t="str">
        <f>HYPERLINK("https://www.spark-marketing.ru/Card/Person/1758657", "КГАУ ""СШ ОЛИМПИЙСКОГО РЕЗЕРВА ПО БАСКЕТБОЛУ ""ЕНИСЕЙ""")</f>
        <v>КГАУ "СШ ОЛИМПИЙСКОГО РЕЗЕРВА ПО БАСКЕТБОЛУ "ЕНИСЕЙ"</v>
      </c>
      <c r="B6441" s="24" t="s">
        <v>2683</v>
      </c>
      <c r="C6441" s="25">
        <v>176400</v>
      </c>
      <c r="D6441" s="22" t="s">
        <v>9839</v>
      </c>
      <c r="E6441" s="22" t="s">
        <v>9840</v>
      </c>
      <c r="F6441" s="23" t="str">
        <f>HYPERLINK("https://www.spark-marketing.ru/Card/Lot/72926472", "Оказание комплекса услуг работникам Заказчика, по организации питания и проживания, в связи с их направлением в служебную командировку или служебную поездку")</f>
        <v>Оказание комплекса услуг работникам Заказчика, по организации питания и проживания, в связи с их направлением в служебную командировку или служебную поездку</v>
      </c>
      <c r="G6441" s="22" t="s">
        <v>281</v>
      </c>
      <c r="H6441" s="22" t="s">
        <v>281</v>
      </c>
      <c r="I6441" s="26">
        <v>43698</v>
      </c>
      <c r="J6441" s="28" t="s">
        <v>51</v>
      </c>
      <c r="K6441" s="28" t="s">
        <v>51</v>
      </c>
      <c r="L6441" s="28" t="s">
        <v>51</v>
      </c>
      <c r="M6441" s="28" t="s">
        <v>51</v>
      </c>
      <c r="N6441" s="28" t="s">
        <v>51</v>
      </c>
    </row>
    <row r="6442" spans="1:14" x14ac:dyDescent="0.15">
      <c r="A6442" s="23" t="str">
        <f>HYPERLINK("https://www.spark-marketing.ru/Card/Person/1453923", "МАОУ СОШ № 30")</f>
        <v>МАОУ СОШ № 30</v>
      </c>
      <c r="B6442" s="24" t="s">
        <v>6489</v>
      </c>
      <c r="C6442" s="25">
        <v>130350</v>
      </c>
      <c r="D6442" s="22" t="s">
        <v>9841</v>
      </c>
      <c r="E6442" s="22" t="s">
        <v>362</v>
      </c>
      <c r="F6442" s="23" t="str">
        <f>HYPERLINK("https://www.spark-marketing.ru/Card/Lot/72937029", "оказание услуг по организации горячим питанием детей ОВЗ")</f>
        <v>оказание услуг по организации горячим питанием детей ОВЗ</v>
      </c>
      <c r="G6442" s="22" t="s">
        <v>153</v>
      </c>
      <c r="H6442" s="22" t="s">
        <v>153</v>
      </c>
      <c r="I6442" s="26">
        <v>43698</v>
      </c>
      <c r="J6442" s="28" t="s">
        <v>51</v>
      </c>
      <c r="K6442" s="28" t="s">
        <v>51</v>
      </c>
      <c r="L6442" s="28" t="s">
        <v>51</v>
      </c>
      <c r="M6442" s="28" t="s">
        <v>51</v>
      </c>
      <c r="N6442" s="28" t="s">
        <v>51</v>
      </c>
    </row>
    <row r="6443" spans="1:14" x14ac:dyDescent="0.15">
      <c r="A6443" s="23" t="str">
        <f>HYPERLINK("https://www.spark-marketing.ru/Card/Person/50743", "МП ""ДЕТСКОЕ ПИТАНИЕ""")</f>
        <v>МП "ДЕТСКОЕ ПИТАНИЕ"</v>
      </c>
      <c r="B6443" s="24" t="s">
        <v>1562</v>
      </c>
      <c r="C6443" s="25">
        <v>207917.61</v>
      </c>
      <c r="D6443" s="22" t="s">
        <v>9834</v>
      </c>
      <c r="E6443" s="22" t="s">
        <v>7033</v>
      </c>
      <c r="F6443" s="23" t="str">
        <f>HYPERLINK("https://www.spark-marketing.ru/Card/Lot/72941606", "Поставка колбасы вареной на оказание услуг по предоставлению благотворительного питания гражданам, находящимся в тяжелой жизненной ситуации.")</f>
        <v>Поставка колбасы вареной на оказание услуг по предоставлению благотворительного питания гражданам, находящимся в тяжелой жизненной ситуации.</v>
      </c>
      <c r="G6443" s="22" t="s">
        <v>1522</v>
      </c>
      <c r="H6443" s="22" t="s">
        <v>1522</v>
      </c>
      <c r="I6443" s="26">
        <v>43698</v>
      </c>
      <c r="J6443" s="28" t="s">
        <v>51</v>
      </c>
      <c r="K6443" s="28" t="s">
        <v>51</v>
      </c>
      <c r="L6443" s="28" t="s">
        <v>51</v>
      </c>
      <c r="M6443" s="28" t="s">
        <v>51</v>
      </c>
      <c r="N6443" s="28" t="s">
        <v>51</v>
      </c>
    </row>
    <row r="6444" spans="1:14" x14ac:dyDescent="0.15">
      <c r="A6444" s="23" t="str">
        <f>HYPERLINK("https://www.spark-marketing.ru/Card/Person/4352324", "ЧЕБОКСАРСКИЙ ЭКОНОМИКО-ТЕХНОЛОГИЧЕСКИЙ КОЛЛЕДЖ МИНОБРАЗОВАНИЯ ЧУВАШИИ")</f>
        <v>ЧЕБОКСАРСКИЙ ЭКОНОМИКО-ТЕХНОЛОГИЧЕСКИЙ КОЛЛЕДЖ МИНОБРАЗОВАНИЯ ЧУВАШИИ</v>
      </c>
      <c r="B6444" s="24" t="s">
        <v>9842</v>
      </c>
      <c r="C6444" s="25">
        <v>4006749.6</v>
      </c>
      <c r="D6444" s="22" t="s">
        <v>9843</v>
      </c>
      <c r="E6444" s="22" t="s">
        <v>362</v>
      </c>
      <c r="F6444" s="23" t="str">
        <f>HYPERLINK("https://www.spark-marketing.ru/Card/Lot/72943787", "Оказание услуг по организации питания обучающихся")</f>
        <v>Оказание услуг по организации питания обучающихся</v>
      </c>
      <c r="G6444" s="22" t="s">
        <v>618</v>
      </c>
      <c r="H6444" s="22" t="s">
        <v>2842</v>
      </c>
      <c r="I6444" s="26">
        <v>43698</v>
      </c>
      <c r="J6444" s="28" t="s">
        <v>51</v>
      </c>
      <c r="K6444" s="28" t="s">
        <v>51</v>
      </c>
      <c r="L6444" s="28" t="s">
        <v>51</v>
      </c>
      <c r="M6444" s="28" t="s">
        <v>51</v>
      </c>
      <c r="N6444" s="28" t="s">
        <v>51</v>
      </c>
    </row>
    <row r="6445" spans="1:14" x14ac:dyDescent="0.2">
      <c r="A6445" s="23" t="str">
        <f>HYPERLINK("https://www.spark-marketing.ru/Card/Person/4377740", "МАОУ СОШ № 11")</f>
        <v>МАОУ СОШ № 11</v>
      </c>
      <c r="B6445" s="24" t="s">
        <v>9844</v>
      </c>
      <c r="C6445" s="25">
        <v>999800</v>
      </c>
      <c r="D6445" s="22" t="s">
        <v>9845</v>
      </c>
      <c r="E6445" s="22" t="s">
        <v>362</v>
      </c>
      <c r="F6445" s="23" t="str">
        <f>HYPERLINK("https://www.spark-marketing.ru/Card/Lot/72933605", "Услуги по организации питания учащихся")</f>
        <v>Услуги по организации питания учащихся</v>
      </c>
      <c r="G6445" s="22" t="s">
        <v>174</v>
      </c>
      <c r="H6445" s="22" t="s">
        <v>174</v>
      </c>
      <c r="I6445" s="26">
        <v>43698</v>
      </c>
      <c r="J6445" s="28" t="s">
        <v>51</v>
      </c>
      <c r="K6445" s="28" t="s">
        <v>51</v>
      </c>
      <c r="L6445" s="28" t="s">
        <v>51</v>
      </c>
      <c r="M6445" s="25">
        <v>999800</v>
      </c>
      <c r="N6445" s="27">
        <v>0</v>
      </c>
    </row>
    <row r="6446" spans="1:14" x14ac:dyDescent="0.2">
      <c r="A6446" s="23" t="str">
        <f>HYPERLINK("https://www.spark-marketing.ru/Card/Person/568555", "ГАУ СО ""ДОМ МОЛОДЕЖИ""")</f>
        <v>ГАУ СО "ДОМ МОЛОДЕЖИ"</v>
      </c>
      <c r="B6446" s="24" t="s">
        <v>7669</v>
      </c>
      <c r="C6446" s="25">
        <v>112800</v>
      </c>
      <c r="D6446" s="22" t="s">
        <v>9846</v>
      </c>
      <c r="E6446" s="22" t="s">
        <v>562</v>
      </c>
      <c r="F6446" s="23" t="str">
        <f>HYPERLINK("https://www.spark-marketing.ru/Card/Lot/72944717", "оказание услуг по организации питания в рамках подготовки и проведения конкурсного выступления команд КВН «Игра - Встреча выпускников КВН»")</f>
        <v>оказание услуг по организации питания в рамках подготовки и проведения конкурсного выступления команд КВН «Игра - Встреча выпускников КВН»</v>
      </c>
      <c r="G6446" s="22" t="s">
        <v>174</v>
      </c>
      <c r="H6446" s="22" t="s">
        <v>530</v>
      </c>
      <c r="I6446" s="26">
        <v>43698</v>
      </c>
      <c r="J6446" s="28" t="s">
        <v>51</v>
      </c>
      <c r="K6446" s="28" t="s">
        <v>51</v>
      </c>
      <c r="L6446" s="28" t="s">
        <v>51</v>
      </c>
      <c r="M6446" s="25">
        <v>112800</v>
      </c>
      <c r="N6446" s="27">
        <v>0</v>
      </c>
    </row>
    <row r="6447" spans="1:14" x14ac:dyDescent="0.2">
      <c r="A6447" s="23" t="str">
        <f>HYPERLINK("https://www.spark-marketing.ru/Card/Person/30329", "ГБУЗ ""ДЕТСКИЙ САНАТОРИЙ ""ГОЛУБАЯ ВОЛНА""")</f>
        <v>ГБУЗ "ДЕТСКИЙ САНАТОРИЙ "ГОЛУБАЯ ВОЛНА"</v>
      </c>
      <c r="B6447" s="24" t="s">
        <v>5847</v>
      </c>
      <c r="C6447" s="25">
        <v>1985850</v>
      </c>
      <c r="D6447" s="22" t="s">
        <v>9847</v>
      </c>
      <c r="E6447" s="22" t="s">
        <v>362</v>
      </c>
      <c r="F6447" s="23" t="str">
        <f>HYPERLINK("https://www.spark-marketing.ru/Card/Lot/72948849", "Оказание услуг по организации лечебного питания")</f>
        <v>Оказание услуг по организации лечебного питания</v>
      </c>
      <c r="G6447" s="22" t="s">
        <v>104</v>
      </c>
      <c r="H6447" s="22" t="s">
        <v>104</v>
      </c>
      <c r="I6447" s="26">
        <v>43698</v>
      </c>
      <c r="J6447" s="28" t="s">
        <v>51</v>
      </c>
      <c r="K6447" s="28" t="s">
        <v>51</v>
      </c>
      <c r="L6447" s="22" t="s">
        <v>10</v>
      </c>
      <c r="M6447" s="25">
        <v>1191500</v>
      </c>
      <c r="N6447" s="27">
        <v>0.40000503562706147</v>
      </c>
    </row>
    <row r="6448" spans="1:14" x14ac:dyDescent="0.2">
      <c r="A6448" s="23" t="str">
        <f>HYPERLINK("https://www.spark-marketing.ru/Card/Person/3344", "ФГБОУ ВО ""ЮГУ"", ЮГОРСКИЙ ГОСУДАРСТВЕННЫЙ УНИВЕРСИТЕТ, ЮГУ, ФГБОУ ВО ""ЮГОРСКИЙ ГОСУДАРСТВЕННЫЙ УНИВЕРСИТЕТ""")</f>
        <v>ФГБОУ ВО "ЮГУ", ЮГОРСКИЙ ГОСУДАРСТВЕННЫЙ УНИВЕРСИТЕТ, ЮГУ, ФГБОУ ВО "ЮГОРСКИЙ ГОСУДАРСТВЕННЫЙ УНИВЕРСИТЕТ"</v>
      </c>
      <c r="B6448" s="24" t="s">
        <v>1392</v>
      </c>
      <c r="C6448" s="25">
        <v>390222</v>
      </c>
      <c r="D6448" s="22" t="s">
        <v>9848</v>
      </c>
      <c r="E6448" s="22" t="s">
        <v>362</v>
      </c>
      <c r="F6448" s="23" t="str">
        <f>HYPERLINK("https://www.spark-marketing.ru/Card/Lot/72914386", "оказание услуг по организации питания участников проектной образовательной смены ""Летний образовательный университет"" для нужд ФГБОУ ВО ""ЮГУ""")</f>
        <v>оказание услуг по организации питания участников проектной образовательной смены "Летний образовательный университет" для нужд ФГБОУ ВО "ЮГУ"</v>
      </c>
      <c r="G6448" s="22" t="s">
        <v>97</v>
      </c>
      <c r="H6448" s="22" t="s">
        <v>97</v>
      </c>
      <c r="I6448" s="26">
        <v>43697</v>
      </c>
      <c r="J6448" s="28" t="s">
        <v>51</v>
      </c>
      <c r="K6448" s="28" t="s">
        <v>51</v>
      </c>
      <c r="L6448" s="22" t="s">
        <v>10</v>
      </c>
      <c r="M6448" s="25">
        <v>387480</v>
      </c>
      <c r="N6448" s="27">
        <v>7.026769377431308E-3</v>
      </c>
    </row>
    <row r="6449" spans="1:14" x14ac:dyDescent="0.2">
      <c r="A6449" s="23" t="str">
        <f>HYPERLINK("https://www.spark-marketing.ru/Card/Person/4874743", "ГАУ ВО ""СК ""РОТОР""")</f>
        <v>ГАУ ВО "СК "РОТОР"</v>
      </c>
      <c r="B6449" s="24" t="s">
        <v>1208</v>
      </c>
      <c r="C6449" s="25">
        <v>359000</v>
      </c>
      <c r="D6449" s="22" t="s">
        <v>9849</v>
      </c>
      <c r="E6449" s="22" t="s">
        <v>769</v>
      </c>
      <c r="F6449" s="23" t="str">
        <f>HYPERLINK("https://www.spark-marketing.ru/Card/Lot/72941477", "Оказание услуг по организации проживания и питания в отеле «Брайтон» для футбольной команды «Ротор», в период с 25 августа 2019 года по 26 августа 2019 года в городе Москва")</f>
        <v>Оказание услуг по организации проживания и питания в отеле «Брайтон» для футбольной команды «Ротор», в период с 25 августа 2019 года по 26 августа 2019 года в городе Москва</v>
      </c>
      <c r="G6449" s="22" t="s">
        <v>56</v>
      </c>
      <c r="H6449" s="22" t="s">
        <v>56</v>
      </c>
      <c r="I6449" s="26">
        <v>43698</v>
      </c>
      <c r="J6449" s="28" t="s">
        <v>51</v>
      </c>
      <c r="K6449" s="28" t="s">
        <v>51</v>
      </c>
      <c r="L6449" s="28" t="s">
        <v>51</v>
      </c>
      <c r="M6449" s="25">
        <v>359000</v>
      </c>
      <c r="N6449" s="27">
        <v>0</v>
      </c>
    </row>
    <row r="6450" spans="1:14" x14ac:dyDescent="0.15">
      <c r="A6450" s="23" t="str">
        <f>HYPERLINK("https://www.spark-marketing.ru/Card/Person/54648", "АО ""В/О""ИЗОТОП""")</f>
        <v>АО "В/О"ИЗОТОП"</v>
      </c>
      <c r="B6450" s="24" t="s">
        <v>9850</v>
      </c>
      <c r="C6450" s="25">
        <v>142000</v>
      </c>
      <c r="D6450" s="22" t="s">
        <v>9851</v>
      </c>
      <c r="E6450" s="22" t="s">
        <v>562</v>
      </c>
      <c r="F6450" s="23" t="str">
        <f>HYPERLINK("https://www.spark-marketing.ru/Card/Lot/72945123", "Оказание услуг по организации питания в рамках командообразующего мероприятия")</f>
        <v>Оказание услуг по организации питания в рамках командообразующего мероприятия</v>
      </c>
      <c r="G6450" s="22" t="s">
        <v>56</v>
      </c>
      <c r="H6450" s="22" t="s">
        <v>56</v>
      </c>
      <c r="I6450" s="26">
        <v>43698</v>
      </c>
      <c r="J6450" s="28" t="s">
        <v>51</v>
      </c>
      <c r="K6450" s="28" t="s">
        <v>51</v>
      </c>
      <c r="L6450" s="28" t="s">
        <v>51</v>
      </c>
      <c r="M6450" s="28" t="s">
        <v>51</v>
      </c>
      <c r="N6450" s="28" t="s">
        <v>51</v>
      </c>
    </row>
    <row r="6451" spans="1:14" x14ac:dyDescent="0.2">
      <c r="A6451" s="23" t="str">
        <f>HYPERLINK("https://www.spark-marketing.ru/Card/Person/582", "ФГБОУ ВО ""УГНТУ"", УГНТУ, УФИМСКИЙ ГОСУДАРСТВЕННЫЙ НЕФТЯНОЙ ТЕХНИЧЕСКИЙ УНИВЕРСИТЕТ")</f>
        <v>ФГБОУ ВО "УГНТУ", УГНТУ, УФИМСКИЙ ГОСУДАРСТВЕННЫЙ НЕФТЯНОЙ ТЕХНИЧЕСКИЙ УНИВЕРСИТЕТ</v>
      </c>
      <c r="B6451" s="24" t="s">
        <v>9852</v>
      </c>
      <c r="C6451" s="25">
        <v>196000</v>
      </c>
      <c r="D6451" s="22" t="s">
        <v>9853</v>
      </c>
      <c r="E6451" s="22" t="s">
        <v>794</v>
      </c>
      <c r="F6451" s="23" t="str">
        <f>HYPERLINK("https://www.spark-marketing.ru/Card/Lot/72929078", "Оказание услуг по размещению и питанию участников и оплата спикеров школы волонтера ""Я - доброволец""")</f>
        <v>Оказание услуг по размещению и питанию участников и оплата спикеров школы волонтера "Я - доброволец"</v>
      </c>
      <c r="G6451" s="22" t="s">
        <v>145</v>
      </c>
      <c r="H6451" s="22" t="s">
        <v>145</v>
      </c>
      <c r="I6451" s="26">
        <v>43698</v>
      </c>
      <c r="J6451" s="28" t="s">
        <v>51</v>
      </c>
      <c r="K6451" s="28" t="s">
        <v>51</v>
      </c>
      <c r="L6451" s="22" t="s">
        <v>10</v>
      </c>
      <c r="M6451" s="25">
        <v>196000</v>
      </c>
      <c r="N6451" s="27">
        <v>0</v>
      </c>
    </row>
    <row r="6452" spans="1:14" x14ac:dyDescent="0.2">
      <c r="A6452" s="23" t="str">
        <f>HYPERLINK("https://www.spark-marketing.ru/Card/Person/1133546", "ГАУ ДПО ""ВГАПО""")</f>
        <v>ГАУ ДПО "ВГАПО"</v>
      </c>
      <c r="B6452" s="24" t="s">
        <v>9854</v>
      </c>
      <c r="C6452" s="25">
        <v>148300</v>
      </c>
      <c r="D6452" s="22" t="s">
        <v>9855</v>
      </c>
      <c r="E6452" s="22" t="s">
        <v>562</v>
      </c>
      <c r="F6452" s="23" t="str">
        <f>HYPERLINK("https://www.spark-marketing.ru/Card/Lot/72937431", "Оказание услуг по организации питания участников традиционного областного совещания педагогических работников Волгоградской области")</f>
        <v>Оказание услуг по организации питания участников традиционного областного совещания педагогических работников Волгоградской области</v>
      </c>
      <c r="G6452" s="22" t="s">
        <v>158</v>
      </c>
      <c r="H6452" s="22" t="s">
        <v>158</v>
      </c>
      <c r="I6452" s="26">
        <v>43698</v>
      </c>
      <c r="J6452" s="28" t="s">
        <v>51</v>
      </c>
      <c r="K6452" s="28" t="s">
        <v>51</v>
      </c>
      <c r="L6452" s="22" t="s">
        <v>10</v>
      </c>
      <c r="M6452" s="25">
        <v>148300</v>
      </c>
      <c r="N6452" s="27">
        <v>0</v>
      </c>
    </row>
    <row r="6453" spans="1:14" x14ac:dyDescent="0.2">
      <c r="A6453" s="23" t="str">
        <f>HYPERLINK("https://www.spark-marketing.ru/Card/Person/50743", "МП ""ДЕТСКОЕ ПИТАНИЕ""")</f>
        <v>МП "ДЕТСКОЕ ПИТАНИЕ"</v>
      </c>
      <c r="B6453" s="24" t="s">
        <v>1562</v>
      </c>
      <c r="C6453" s="25">
        <v>457375.4</v>
      </c>
      <c r="D6453" s="22" t="s">
        <v>9834</v>
      </c>
      <c r="E6453" s="22" t="s">
        <v>9856</v>
      </c>
      <c r="F6453" s="23" t="str">
        <f>HYPERLINK("https://www.spark-marketing.ru/Card/Lot/72941608", "Поставка куриной продукции на оказание услуг по предоставлению благотворительного питания гражданам, находящимся в тяжелой жизненной ситуации.")</f>
        <v>Поставка куриной продукции на оказание услуг по предоставлению благотворительного питания гражданам, находящимся в тяжелой жизненной ситуации.</v>
      </c>
      <c r="G6453" s="22" t="s">
        <v>1522</v>
      </c>
      <c r="H6453" s="22" t="s">
        <v>1522</v>
      </c>
      <c r="I6453" s="26">
        <v>43698</v>
      </c>
      <c r="J6453" s="28" t="s">
        <v>51</v>
      </c>
      <c r="K6453" s="28" t="s">
        <v>51</v>
      </c>
      <c r="L6453" s="22" t="s">
        <v>10</v>
      </c>
      <c r="M6453" s="25">
        <v>419148</v>
      </c>
      <c r="N6453" s="27">
        <v>8.3579921438713151E-2</v>
      </c>
    </row>
    <row r="6454" spans="1:14" x14ac:dyDescent="0.2">
      <c r="A6454" s="23" t="str">
        <f>HYPERLINK("https://www.spark-marketing.ru/Card/Person/1754486", "ОАУ ""ДОМ МОЛОДЕЖИ, ЦЕНТР ПОДГОТОВКИ ГРАЖДАН К ВОЕННОЙ СЛУЖБЕ""")</f>
        <v>ОАУ "ДОМ МОЛОДЕЖИ, ЦЕНТР ПОДГОТОВКИ ГРАЖДАН К ВОЕННОЙ СЛУЖБЕ"</v>
      </c>
      <c r="B6454" s="24" t="s">
        <v>9857</v>
      </c>
      <c r="C6454" s="25">
        <v>469485</v>
      </c>
      <c r="D6454" s="22" t="s">
        <v>9858</v>
      </c>
      <c r="E6454" s="22" t="s">
        <v>9859</v>
      </c>
      <c r="F6454" s="23" t="str">
        <f>HYPERLINK("https://www.spark-marketing.ru/Card/Lot/72934336", "услуги на комплексное обслуживание выездного мероприятия, включающее услуги по техническому обеспечению «кофе-брейк» зоны, «гриль-зоны» и комплексного питания участников форума ""Форсайткэмп 2019""")</f>
        <v>услуги на комплексное обслуживание выездного мероприятия, включающее услуги по техническому обеспечению «кофе-брейк» зоны, «гриль-зоны» и комплексного питания участников форума "Форсайткэмп 2019"</v>
      </c>
      <c r="G6454" s="22" t="s">
        <v>849</v>
      </c>
      <c r="H6454" s="22" t="s">
        <v>849</v>
      </c>
      <c r="I6454" s="26">
        <v>43698</v>
      </c>
      <c r="J6454" s="28" t="s">
        <v>51</v>
      </c>
      <c r="K6454" s="28" t="s">
        <v>51</v>
      </c>
      <c r="L6454" s="28" t="s">
        <v>51</v>
      </c>
      <c r="M6454" s="25">
        <v>469484</v>
      </c>
      <c r="N6454" s="27">
        <v>2.1299935035198141E-6</v>
      </c>
    </row>
    <row r="6455" spans="1:14" x14ac:dyDescent="0.15">
      <c r="A6455" s="23" t="str">
        <f>HYPERLINK("https://www.spark-marketing.ru/Card/Person/1759340", "МАДОУ ЦРР - ДЕТСКИЙ САД № 14")</f>
        <v>МАДОУ ЦРР - ДЕТСКИЙ САД № 14</v>
      </c>
      <c r="B6455" s="24" t="s">
        <v>2651</v>
      </c>
      <c r="C6455" s="25">
        <v>139818</v>
      </c>
      <c r="D6455" s="22" t="s">
        <v>9860</v>
      </c>
      <c r="E6455" s="22" t="s">
        <v>362</v>
      </c>
      <c r="F6455" s="23" t="str">
        <f>HYPERLINK("https://www.spark-marketing.ru/Card/Lot/72925386", "Услуги по организации питания обучающихся")</f>
        <v>Услуги по организации питания обучающихся</v>
      </c>
      <c r="G6455" s="22" t="s">
        <v>145</v>
      </c>
      <c r="H6455" s="22" t="s">
        <v>145</v>
      </c>
      <c r="I6455" s="26">
        <v>43698</v>
      </c>
      <c r="J6455" s="28" t="s">
        <v>51</v>
      </c>
      <c r="K6455" s="28" t="s">
        <v>51</v>
      </c>
      <c r="L6455" s="28" t="s">
        <v>51</v>
      </c>
      <c r="M6455" s="28" t="s">
        <v>51</v>
      </c>
      <c r="N6455" s="28" t="s">
        <v>51</v>
      </c>
    </row>
    <row r="6456" spans="1:14" x14ac:dyDescent="0.2">
      <c r="A6456" s="23" t="str">
        <f>HYPERLINK("https://www.spark-marketing.ru/Card/Person/563989", "ГУАП,ФГАОУ ВО ГУАП,ФГАОУ ВО""САНКТ-ПЕТЕРБУРГСКИЙ ГОСУДАРСТВЕННЫЙ УНИВЕРСИТЕТ АЭРОКОСМИЧЕСКОГО ПРИБОРОСТРОЕНИЯ"",САНКТ-ПЕТЕРБУРГСКИЙ ГОСУДАРСТВЕННЫЙ УНИВЕРСИТЕТ АЭРОКОСМИЧЕСКОГО ПРИБОРОСТРОЕНИЯ")</f>
        <v>ГУАП,ФГАОУ ВО ГУАП,ФГАОУ ВО"САНКТ-ПЕТЕРБУРГСКИЙ ГОСУДАРСТВЕННЫЙ УНИВЕРСИТЕТ АЭРОКОСМИЧЕСКОГО ПРИБОРОСТРОЕНИЯ",САНКТ-ПЕТЕРБУРГСКИЙ ГОСУДАРСТВЕННЫЙ УНИВЕРСИТЕТ АЭРОКОСМИЧЕСКОГО ПРИБОРОСТРОЕНИЯ</v>
      </c>
      <c r="B6456" s="24" t="s">
        <v>9861</v>
      </c>
      <c r="C6456" s="25">
        <v>3500000</v>
      </c>
      <c r="D6456" s="22" t="s">
        <v>9862</v>
      </c>
      <c r="E6456" s="22" t="s">
        <v>1412</v>
      </c>
      <c r="F6456" s="23" t="str">
        <f>HYPERLINK("https://www.spark-marketing.ru/Card/Lot/73017521", "Оказание услуг общественного питания для студентов и сотрудников ГУАП (в структурном подразделении ГУАП - Студенческой столовой №2 по адресу: г.Санкт-Петербург, ул.Гастелло, д.15, лит.А)")</f>
        <v>Оказание услуг общественного питания для студентов и сотрудников ГУАП (в структурном подразделении ГУАП - Студенческой столовой №2 по адресу: г.Санкт-Петербург, ул.Гастелло, д.15, лит.А)</v>
      </c>
      <c r="G6456" s="22" t="s">
        <v>117</v>
      </c>
      <c r="H6456" s="22" t="s">
        <v>117</v>
      </c>
      <c r="I6456" s="26">
        <v>43703</v>
      </c>
      <c r="J6456" s="28" t="s">
        <v>51</v>
      </c>
      <c r="K6456" s="28" t="s">
        <v>51</v>
      </c>
      <c r="L6456" s="22" t="s">
        <v>10</v>
      </c>
      <c r="M6456" s="25">
        <v>3500000</v>
      </c>
      <c r="N6456" s="27">
        <v>0</v>
      </c>
    </row>
    <row r="6457" spans="1:14" x14ac:dyDescent="0.2">
      <c r="A6457" s="23" t="str">
        <f>HYPERLINK("https://www.spark-marketing.ru/Card/Person/1778475", "МАОУ ""НИЖНЕАРЕМЗЯНСКАЯ СОШ""")</f>
        <v>МАОУ "НИЖНЕАРЕМЗЯНСКАЯ СОШ"</v>
      </c>
      <c r="B6457" s="24" t="s">
        <v>8987</v>
      </c>
      <c r="C6457" s="25">
        <v>246045.6</v>
      </c>
      <c r="D6457" s="22" t="s">
        <v>9863</v>
      </c>
      <c r="E6457" s="22" t="s">
        <v>362</v>
      </c>
      <c r="F6457" s="23" t="str">
        <f>HYPERLINK("https://www.spark-marketing.ru/Card/Lot/72924806", "Оказание услуг по организация школьного питания обучающихся в МАОУ «Нижнеаремзянская СОШ» по адресу: Тюменская область, Тобольский район, п.Надцы, ул. Школьная, д.3")</f>
        <v>Оказание услуг по организация школьного питания обучающихся в МАОУ «Нижнеаремзянская СОШ» по адресу: Тюменская область, Тобольский район, п.Надцы, ул. Школьная, д.3</v>
      </c>
      <c r="G6457" s="22" t="s">
        <v>766</v>
      </c>
      <c r="H6457" s="22" t="s">
        <v>766</v>
      </c>
      <c r="I6457" s="26">
        <v>43698</v>
      </c>
      <c r="J6457" s="28" t="s">
        <v>51</v>
      </c>
      <c r="K6457" s="28" t="s">
        <v>51</v>
      </c>
      <c r="L6457" s="22" t="s">
        <v>10</v>
      </c>
      <c r="M6457" s="25">
        <v>246045.6</v>
      </c>
      <c r="N6457" s="27">
        <v>0</v>
      </c>
    </row>
    <row r="6458" spans="1:14" x14ac:dyDescent="0.2">
      <c r="A6458" s="23" t="str">
        <f>HYPERLINK("https://www.spark-marketing.ru/Card/Person/913615", "ГАУГН")</f>
        <v>ГАУГН</v>
      </c>
      <c r="B6458" s="24" t="s">
        <v>8726</v>
      </c>
      <c r="C6458" s="25">
        <v>137898</v>
      </c>
      <c r="D6458" s="22" t="s">
        <v>9864</v>
      </c>
      <c r="E6458" s="22" t="s">
        <v>5136</v>
      </c>
      <c r="F6458" s="23" t="str">
        <f>HYPERLINK("https://www.spark-marketing.ru/Card/Lot/72941416", "Оказание услуг по организации питания участникам мероприятия «Школа молодых ученых «Сопротивление революциям нового времени»")</f>
        <v>Оказание услуг по организации питания участникам мероприятия «Школа молодых ученых «Сопротивление революциям нового времени»</v>
      </c>
      <c r="G6458" s="22" t="s">
        <v>56</v>
      </c>
      <c r="H6458" s="22" t="s">
        <v>56</v>
      </c>
      <c r="I6458" s="26">
        <v>43698</v>
      </c>
      <c r="J6458" s="28" t="s">
        <v>51</v>
      </c>
      <c r="K6458" s="28" t="s">
        <v>51</v>
      </c>
      <c r="L6458" s="22" t="s">
        <v>10</v>
      </c>
      <c r="M6458" s="25">
        <v>137898</v>
      </c>
      <c r="N6458" s="27">
        <v>0</v>
      </c>
    </row>
    <row r="6459" spans="1:14" x14ac:dyDescent="0.15">
      <c r="A6459" s="23" t="str">
        <f>HYPERLINK("https://www.spark-marketing.ru/Card/Person/784005", "МАОУ ""СОШ №1"" Г. ГОРНОЗАВОДСКА")</f>
        <v>МАОУ "СОШ №1" Г. ГОРНОЗАВОДСКА</v>
      </c>
      <c r="B6459" s="24" t="s">
        <v>9865</v>
      </c>
      <c r="C6459" s="25">
        <v>1124703.32</v>
      </c>
      <c r="D6459" s="22" t="s">
        <v>9866</v>
      </c>
      <c r="E6459" s="22" t="s">
        <v>362</v>
      </c>
      <c r="F6459" s="23" t="str">
        <f>HYPERLINK("https://www.spark-marketing.ru/Card/Lot/72925648", "услуги по обеспечению горячим питанием детей из многодетных малоимущих и малоимущих семей на базе МАОУ ""СОШ №1"" г. Горнозаводска")</f>
        <v>услуги по обеспечению горячим питанием детей из многодетных малоимущих и малоимущих семей на базе МАОУ "СОШ №1" г. Горнозаводска</v>
      </c>
      <c r="G6459" s="22" t="s">
        <v>153</v>
      </c>
      <c r="H6459" s="22" t="s">
        <v>153</v>
      </c>
      <c r="I6459" s="26">
        <v>43698</v>
      </c>
      <c r="J6459" s="28" t="s">
        <v>51</v>
      </c>
      <c r="K6459" s="28" t="s">
        <v>51</v>
      </c>
      <c r="L6459" s="28" t="s">
        <v>51</v>
      </c>
      <c r="M6459" s="28" t="s">
        <v>51</v>
      </c>
      <c r="N6459" s="28" t="s">
        <v>51</v>
      </c>
    </row>
    <row r="6460" spans="1:14" x14ac:dyDescent="0.15">
      <c r="A6460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6460" s="24" t="s">
        <v>1019</v>
      </c>
      <c r="C6460" s="25">
        <v>487620</v>
      </c>
      <c r="D6460" s="22" t="s">
        <v>9867</v>
      </c>
      <c r="E6460" s="22" t="s">
        <v>48</v>
      </c>
      <c r="F6460" s="23" t="str">
        <f>HYPERLINK("https://www.spark-marketing.ru/Card/Lot/72914671", "Услуги по организации горячего питания для воспитанников ГБОУ РШИ ""Тувинский кадетский корпус""")</f>
        <v>Услуги по организации горячего питания для воспитанников ГБОУ РШИ "Тувинский кадетский корпус"</v>
      </c>
      <c r="G6460" s="22" t="s">
        <v>327</v>
      </c>
      <c r="H6460" s="22" t="s">
        <v>328</v>
      </c>
      <c r="I6460" s="26">
        <v>43697.741770833301</v>
      </c>
      <c r="J6460" s="23" t="str">
        <f>HYPERLINK("https://www.spark-marketing.ru/Card/Person/5893709", "ООО ""АРЖААН""")</f>
        <v>ООО "АРЖААН"</v>
      </c>
      <c r="K6460" s="24" t="s">
        <v>9661</v>
      </c>
      <c r="L6460" s="22" t="s">
        <v>10</v>
      </c>
      <c r="M6460" s="28" t="s">
        <v>51</v>
      </c>
      <c r="N6460" s="28" t="s">
        <v>51</v>
      </c>
    </row>
    <row r="6461" spans="1:14" x14ac:dyDescent="0.15">
      <c r="A6461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6461" s="24" t="s">
        <v>1019</v>
      </c>
      <c r="C6461" s="25">
        <v>487620</v>
      </c>
      <c r="D6461" s="22" t="s">
        <v>9868</v>
      </c>
      <c r="E6461" s="22" t="s">
        <v>48</v>
      </c>
      <c r="F6461" s="23" t="str">
        <f>HYPERLINK("https://www.spark-marketing.ru/Card/Lot/72914673", "Услуги по организации горячего питания для воспитанников ГБОУ РШИ ""Тувинский кадетский корпус""")</f>
        <v>Услуги по организации горячего питания для воспитанников ГБОУ РШИ "Тувинский кадетский корпус"</v>
      </c>
      <c r="G6461" s="22" t="s">
        <v>327</v>
      </c>
      <c r="H6461" s="22" t="s">
        <v>328</v>
      </c>
      <c r="I6461" s="26">
        <v>43697.769606481503</v>
      </c>
      <c r="J6461" s="23" t="str">
        <f>HYPERLINK("https://www.spark-marketing.ru/Card/Person/5893709", "ООО ""АРЖААН""")</f>
        <v>ООО "АРЖААН"</v>
      </c>
      <c r="K6461" s="24" t="s">
        <v>9661</v>
      </c>
      <c r="L6461" s="22" t="s">
        <v>10</v>
      </c>
      <c r="M6461" s="28" t="s">
        <v>51</v>
      </c>
      <c r="N6461" s="28" t="s">
        <v>51</v>
      </c>
    </row>
    <row r="6462" spans="1:14" x14ac:dyDescent="0.15">
      <c r="A6462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6462" s="24" t="s">
        <v>1019</v>
      </c>
      <c r="C6462" s="25">
        <v>487620</v>
      </c>
      <c r="D6462" s="22" t="s">
        <v>9869</v>
      </c>
      <c r="E6462" s="22" t="s">
        <v>48</v>
      </c>
      <c r="F6462" s="23" t="str">
        <f>HYPERLINK("https://www.spark-marketing.ru/Card/Lot/72913122", "Услуги по организации горячего питания для воспитанников ГБОУ РШИ ""Тувинский кадетский корпус""")</f>
        <v>Услуги по организации горячего питания для воспитанников ГБОУ РШИ "Тувинский кадетский корпус"</v>
      </c>
      <c r="G6462" s="22" t="s">
        <v>327</v>
      </c>
      <c r="H6462" s="22" t="s">
        <v>328</v>
      </c>
      <c r="I6462" s="26">
        <v>43697.770706018498</v>
      </c>
      <c r="J6462" s="23" t="str">
        <f>HYPERLINK("https://www.spark-marketing.ru/Card/Person/5893709", "ООО ""АРЖААН""")</f>
        <v>ООО "АРЖААН"</v>
      </c>
      <c r="K6462" s="24" t="s">
        <v>9661</v>
      </c>
      <c r="L6462" s="22" t="s">
        <v>10</v>
      </c>
      <c r="M6462" s="28" t="s">
        <v>51</v>
      </c>
      <c r="N6462" s="28" t="s">
        <v>51</v>
      </c>
    </row>
    <row r="6463" spans="1:14" x14ac:dyDescent="0.2">
      <c r="A6463" s="23" t="str">
        <f>HYPERLINK("https://www.spark-marketing.ru/Card/Person/64157", "ГБ № 2")</f>
        <v>ГБ № 2</v>
      </c>
      <c r="B6463" s="24" t="s">
        <v>9870</v>
      </c>
      <c r="C6463" s="25">
        <v>3335000</v>
      </c>
      <c r="D6463" s="22" t="s">
        <v>9871</v>
      </c>
      <c r="E6463" s="22" t="s">
        <v>48</v>
      </c>
      <c r="F6463" s="23" t="str">
        <f>HYPERLINK("https://www.spark-marketing.ru/Card/Lot/72919931", "оказание услуг по организации питания пациентовдля нужд Государственного бюджетного учреждения здравоохранения Калининградской области «Городская больница №2»")</f>
        <v>оказание услуг по организации питания пациентовдля нужд Государственного бюджетного учреждения здравоохранения Калининградской области «Городская больница №2»</v>
      </c>
      <c r="G6463" s="22" t="s">
        <v>400</v>
      </c>
      <c r="H6463" s="22" t="s">
        <v>401</v>
      </c>
      <c r="I6463" s="26">
        <v>43697.700254629599</v>
      </c>
      <c r="J6463" s="23" t="str">
        <f>HYPERLINK("https://www.spark-marketing.ru/Card/Person/91371", "ООО ""КК""РУССКИЙ ПИР""")</f>
        <v>ООО "КК"РУССКИЙ ПИР"</v>
      </c>
      <c r="K6463" s="24" t="s">
        <v>7476</v>
      </c>
      <c r="L6463" s="28" t="s">
        <v>51</v>
      </c>
      <c r="M6463" s="25">
        <v>3335000</v>
      </c>
      <c r="N6463" s="27">
        <v>0</v>
      </c>
    </row>
    <row r="6464" spans="1:14" x14ac:dyDescent="0.15">
      <c r="A6464" s="23" t="str">
        <f>HYPERLINK("https://www.spark-marketing.ru/Card/Person/30851", "ДОНСКОЙ ГОСУДАРСТВЕННЫЙ ТЕХНИЧЕСКИЙ УНИВЕРСИТЕТ; ДГТУ")</f>
        <v>ДОНСКОЙ ГОСУДАРСТВЕННЫЙ ТЕХНИЧЕСКИЙ УНИВЕРСИТЕТ; ДГТУ</v>
      </c>
      <c r="B6464" s="24" t="s">
        <v>2266</v>
      </c>
      <c r="C6464" s="25">
        <v>9075000</v>
      </c>
      <c r="D6464" s="22" t="s">
        <v>9872</v>
      </c>
      <c r="E6464" s="22" t="s">
        <v>48</v>
      </c>
      <c r="F6464" s="23" t="str">
        <f>HYPERLINK("https://www.spark-marketing.ru/Card/Lot/72918235", "Оказание услуг по организации питания в 2ДКК ДГТУ")</f>
        <v>Оказание услуг по организации питания в 2ДКК ДГТУ</v>
      </c>
      <c r="G6464" s="22" t="s">
        <v>267</v>
      </c>
      <c r="H6464" s="22" t="s">
        <v>267</v>
      </c>
      <c r="I6464" s="26">
        <v>43697.594097222202</v>
      </c>
      <c r="J6464" s="23" t="str">
        <f>HYPERLINK("https://www.spark-marketing.ru/Card/Person/6575401", "Буложенко Вера Николаевна")</f>
        <v>Буложенко Вера Николаевна</v>
      </c>
      <c r="K6464" s="24" t="s">
        <v>9873</v>
      </c>
      <c r="L6464" s="22" t="s">
        <v>10</v>
      </c>
      <c r="M6464" s="28" t="s">
        <v>51</v>
      </c>
      <c r="N6464" s="28" t="s">
        <v>51</v>
      </c>
    </row>
    <row r="6465" spans="1:14" x14ac:dyDescent="0.15">
      <c r="A6465" s="23" t="str">
        <f>HYPERLINK("https://www.spark-marketing.ru/Card/Person/17720", "РОСТОВСКАЯ ТАМОЖНЯ")</f>
        <v>РОСТОВСКАЯ ТАМОЖНЯ</v>
      </c>
      <c r="B6465" s="24" t="s">
        <v>9874</v>
      </c>
      <c r="C6465" s="25">
        <v>448723.31</v>
      </c>
      <c r="D6465" s="22" t="s">
        <v>9875</v>
      </c>
      <c r="E6465" s="22" t="s">
        <v>355</v>
      </c>
      <c r="F6465" s="23" t="str">
        <f>HYPERLINK("https://www.spark-marketing.ru/Card/Lot/72917292", "Выполнение работ по текущему ремонту источника бесперебойного питания объектов Ростовской таможни")</f>
        <v>Выполнение работ по текущему ремонту источника бесперебойного питания объектов Ростовской таможни</v>
      </c>
      <c r="G6465" s="22" t="s">
        <v>267</v>
      </c>
      <c r="H6465" s="22" t="s">
        <v>267</v>
      </c>
      <c r="I6465" s="26">
        <v>43697.683229166701</v>
      </c>
      <c r="J6465" s="28" t="s">
        <v>51</v>
      </c>
      <c r="K6465" s="28" t="s">
        <v>51</v>
      </c>
      <c r="L6465" s="28" t="s">
        <v>51</v>
      </c>
      <c r="M6465" s="28" t="s">
        <v>51</v>
      </c>
      <c r="N6465" s="28" t="s">
        <v>51</v>
      </c>
    </row>
    <row r="6466" spans="1:14" ht="12.75" hidden="1" outlineLevel="1" x14ac:dyDescent="0.2">
      <c r="A6466" s="23" t="str">
        <f>HYPERLINK("https://www.spark-marketing.ru/Card/Person/17720", "РОСТОВСКАЯ ТАМОЖНЯ")</f>
        <v>РОСТОВСКАЯ ТАМОЖНЯ</v>
      </c>
      <c r="B6466" s="24" t="s">
        <v>9874</v>
      </c>
      <c r="C6466" s="25">
        <v>448723.31</v>
      </c>
      <c r="D6466" s="22" t="s">
        <v>9875</v>
      </c>
      <c r="E6466" s="22" t="s">
        <v>355</v>
      </c>
      <c r="F6466" s="23" t="str">
        <f>HYPERLINK("https://www.spark-marketing.ru/Card/Lot/72917292", "Выполнение работ по текущему ремонту источника бесперебойного питания объектов Ростовской таможни")</f>
        <v>Выполнение работ по текущему ремонту источника бесперебойного питания объектов Ростовской таможни</v>
      </c>
      <c r="G6466" s="22" t="s">
        <v>267</v>
      </c>
      <c r="H6466" s="22" t="s">
        <v>267</v>
      </c>
      <c r="I6466" s="26">
        <v>43697.683229166701</v>
      </c>
      <c r="J6466" s="23" t="str">
        <f>HYPERLINK("https://www.spark-marketing.ru/Card/Person/6489162", "ООО ""АЛАС ЭНЕРГИЯ""")</f>
        <v>ООО "АЛАС ЭНЕРГИЯ"</v>
      </c>
      <c r="K6466" s="24" t="s">
        <v>6025</v>
      </c>
      <c r="L6466" s="22" t="s">
        <v>10</v>
      </c>
      <c r="M6466" s="25">
        <v>373303.19</v>
      </c>
      <c r="N6466" s="27">
        <v>0.168077116386042</v>
      </c>
    </row>
    <row r="6467" spans="1:14" hidden="1" outlineLevel="1" x14ac:dyDescent="0.2">
      <c r="A6467" s="23" t="str">
        <f>HYPERLINK("https://www.spark-marketing.ru/Card/Person/17720", "РОСТОВСКАЯ ТАМОЖНЯ")</f>
        <v>РОСТОВСКАЯ ТАМОЖНЯ</v>
      </c>
      <c r="B6467" s="24" t="s">
        <v>9874</v>
      </c>
      <c r="C6467" s="25">
        <v>448723.31</v>
      </c>
      <c r="D6467" s="22" t="s">
        <v>9875</v>
      </c>
      <c r="E6467" s="22" t="s">
        <v>355</v>
      </c>
      <c r="F6467" s="23" t="str">
        <f>HYPERLINK("https://www.spark-marketing.ru/Card/Lot/72917292", "Выполнение работ по текущему ремонту источника бесперебойного питания объектов Ростовской таможни")</f>
        <v>Выполнение работ по текущему ремонту источника бесперебойного питания объектов Ростовской таможни</v>
      </c>
      <c r="G6467" s="22" t="s">
        <v>267</v>
      </c>
      <c r="H6467" s="22" t="s">
        <v>267</v>
      </c>
      <c r="I6467" s="26">
        <v>43697.683229166701</v>
      </c>
      <c r="J6467" s="23" t="str">
        <f>HYPERLINK("https://www.spark-marketing.ru/Card/Person/247359", "ООО ""РЕШИФТ""")</f>
        <v>ООО "РЕШИФТ"</v>
      </c>
      <c r="K6467" s="24" t="s">
        <v>2285</v>
      </c>
      <c r="L6467" s="28" t="s">
        <v>51</v>
      </c>
      <c r="M6467" s="25">
        <v>375546.81</v>
      </c>
      <c r="N6467" s="27">
        <v>0.16307710869756242</v>
      </c>
    </row>
    <row r="6468" spans="1:14" x14ac:dyDescent="0.15">
      <c r="A6468" s="23" t="str">
        <f>HYPERLINK("https://www.spark-marketing.ru/Card/Person/4343552", "АДМИНИСТРАЦИЯ ПСКОВСКОЙ ОБЛАСТИ")</f>
        <v>АДМИНИСТРАЦИЯ ПСКОВСКОЙ ОБЛАСТИ</v>
      </c>
      <c r="B6468" s="24" t="s">
        <v>4540</v>
      </c>
      <c r="C6468" s="25">
        <v>500000</v>
      </c>
      <c r="D6468" s="22" t="s">
        <v>9876</v>
      </c>
      <c r="E6468" s="22" t="s">
        <v>48</v>
      </c>
      <c r="F6468" s="23" t="str">
        <f>HYPERLINK("https://www.spark-marketing.ru/Card/Lot/72918401", "Оказание услуг по предоставлению питания")</f>
        <v>Оказание услуг по предоставлению питания</v>
      </c>
      <c r="G6468" s="22" t="s">
        <v>415</v>
      </c>
      <c r="H6468" s="22" t="s">
        <v>4542</v>
      </c>
      <c r="I6468" s="26">
        <v>43697.714918981503</v>
      </c>
      <c r="J6468" s="23" t="str">
        <f>HYPERLINK("https://www.spark-marketing.ru/Card/Person/375769", "ООО "" СЕВЗАПИНВЕСТ """)</f>
        <v>ООО " СЕВЗАПИНВЕСТ "</v>
      </c>
      <c r="K6468" s="24" t="s">
        <v>4548</v>
      </c>
      <c r="L6468" s="22" t="s">
        <v>10</v>
      </c>
      <c r="M6468" s="28" t="s">
        <v>51</v>
      </c>
      <c r="N6468" s="28" t="s">
        <v>51</v>
      </c>
    </row>
    <row r="6469" spans="1:14" x14ac:dyDescent="0.15">
      <c r="A6469" s="23" t="str">
        <f>HYPERLINK("https://www.spark-marketing.ru/Card/Person/9555", "ОМВД РОССИИ ПО ОНЕЖСКОМУ РАЙОНУ")</f>
        <v>ОМВД РОССИИ ПО ОНЕЖСКОМУ РАЙОНУ</v>
      </c>
      <c r="B6469" s="24" t="s">
        <v>7536</v>
      </c>
      <c r="C6469" s="25">
        <v>1560000</v>
      </c>
      <c r="D6469" s="22" t="s">
        <v>9877</v>
      </c>
      <c r="E6469" s="22" t="s">
        <v>48</v>
      </c>
      <c r="F6469" s="23" t="str">
        <f>HYPERLINK("https://www.spark-marketing.ru/Card/Lot/72917328", "Услуги по обеспечению питанием ИВС и СПСЗЛ")</f>
        <v>Услуги по обеспечению питанием ИВС и СПСЗЛ</v>
      </c>
      <c r="G6469" s="22" t="s">
        <v>214</v>
      </c>
      <c r="H6469" s="22" t="s">
        <v>214</v>
      </c>
      <c r="I6469" s="26">
        <v>43697.706331018497</v>
      </c>
      <c r="J6469" s="23" t="str">
        <f>HYPERLINK("https://www.spark-marketing.ru/Card/Person/6226821", "Вострокнутова Наталья Васильевна")</f>
        <v>Вострокнутова Наталья Васильевна</v>
      </c>
      <c r="K6469" s="24" t="s">
        <v>7538</v>
      </c>
      <c r="L6469" s="28" t="s">
        <v>51</v>
      </c>
      <c r="M6469" s="28" t="s">
        <v>51</v>
      </c>
      <c r="N6469" s="28" t="s">
        <v>51</v>
      </c>
    </row>
    <row r="6470" spans="1:14" x14ac:dyDescent="0.2">
      <c r="A6470" s="23" t="str">
        <f>HYPERLINK("https://www.spark-marketing.ru/Card/Person/114626", "ГБУ КО ПОО ""ТЕХНОЛОГИЧЕСКИЙ КОЛЛЕДЖ""")</f>
        <v>ГБУ КО ПОО "ТЕХНОЛОГИЧЕСКИЙ КОЛЛЕДЖ"</v>
      </c>
      <c r="B6470" s="24" t="s">
        <v>9878</v>
      </c>
      <c r="C6470" s="25">
        <v>1320532.5</v>
      </c>
      <c r="D6470" s="22" t="s">
        <v>9879</v>
      </c>
      <c r="E6470" s="22" t="s">
        <v>48</v>
      </c>
      <c r="F6470" s="23" t="str">
        <f>HYPERLINK("https://www.spark-marketing.ru/Card/Lot/72919922", "Оказание услуг по организации питания учащихся детей-сирот, и детей, оставшихся без попечения родителей, и детей из малообеспеченных семей")</f>
        <v>Оказание услуг по организации питания учащихся детей-сирот, и детей, оставшихся без попечения родителей, и детей из малообеспеченных семей</v>
      </c>
      <c r="G6470" s="22" t="s">
        <v>400</v>
      </c>
      <c r="H6470" s="22" t="s">
        <v>2279</v>
      </c>
      <c r="I6470" s="26">
        <v>43697.680243055598</v>
      </c>
      <c r="J6470" s="23" t="str">
        <f>HYPERLINK("https://www.spark-marketing.ru/Card/Person/91371", "ООО ""КК""РУССКИЙ ПИР""")</f>
        <v>ООО "КК"РУССКИЙ ПИР"</v>
      </c>
      <c r="K6470" s="24" t="s">
        <v>7476</v>
      </c>
      <c r="L6470" s="28" t="s">
        <v>51</v>
      </c>
      <c r="M6470" s="25">
        <v>1320532.5</v>
      </c>
      <c r="N6470" s="27">
        <v>0</v>
      </c>
    </row>
    <row r="6471" spans="1:14" x14ac:dyDescent="0.15">
      <c r="A6471" s="23" t="str">
        <f>HYPERLINK("https://www.spark-marketing.ru/Card/Person/30234", "АДМИНИСТРАЦИЯ КРАСНИНСКОГО МУНИЦИПАЛЬНОГО РАЙОНА")</f>
        <v>АДМИНИСТРАЦИЯ КРАСНИНСКОГО МУНИЦИПАЛЬНОГО РАЙОНА</v>
      </c>
      <c r="B6471" s="24" t="s">
        <v>9880</v>
      </c>
      <c r="C6471" s="28" t="s">
        <v>51</v>
      </c>
      <c r="D6471" s="22" t="s">
        <v>9881</v>
      </c>
      <c r="E6471" s="22" t="s">
        <v>96</v>
      </c>
      <c r="F6471" s="23" t="str">
        <f>HYPERLINK("https://www.spark-marketing.ru/Card/Lot/72915034", "Предварительный отбор участников закупки на оказание услуг по обеспечению питанием населения при ликвидации последствий чрезвычайных ситуаций природного или техногенного характера")</f>
        <v>Предварительный отбор участников закупки на оказание услуг по обеспечению питанием населения при ликвидации последствий чрезвычайных ситуаций природного или техногенного характера</v>
      </c>
      <c r="G6471" s="22" t="s">
        <v>101</v>
      </c>
      <c r="H6471" s="22" t="s">
        <v>9882</v>
      </c>
      <c r="I6471" s="26">
        <v>43697.680648148104</v>
      </c>
      <c r="J6471" s="28" t="s">
        <v>51</v>
      </c>
      <c r="K6471" s="28" t="s">
        <v>51</v>
      </c>
      <c r="L6471" s="28" t="s">
        <v>51</v>
      </c>
      <c r="M6471" s="28" t="s">
        <v>51</v>
      </c>
      <c r="N6471" s="28" t="s">
        <v>51</v>
      </c>
    </row>
    <row r="6472" spans="1:14" hidden="1" outlineLevel="1" x14ac:dyDescent="0.15">
      <c r="A6472" s="23" t="str">
        <f>HYPERLINK("https://www.spark-marketing.ru/Card/Person/30234", "АДМИНИСТРАЦИЯ КРАСНИНСКОГО МУНИЦИПАЛЬНОГО РАЙОНА")</f>
        <v>АДМИНИСТРАЦИЯ КРАСНИНСКОГО МУНИЦИПАЛЬНОГО РАЙОНА</v>
      </c>
      <c r="B6472" s="24" t="s">
        <v>9880</v>
      </c>
      <c r="C6472" s="28" t="s">
        <v>51</v>
      </c>
      <c r="D6472" s="22" t="s">
        <v>9881</v>
      </c>
      <c r="E6472" s="22" t="s">
        <v>96</v>
      </c>
      <c r="F6472" s="23" t="str">
        <f>HYPERLINK("https://www.spark-marketing.ru/Card/Lot/72915034", "Предварительный отбор участников закупки на оказание услуг по обеспечению питанием населения при ликвидации последствий чрезвычайных ситуаций природного или техногенного характера")</f>
        <v>Предварительный отбор участников закупки на оказание услуг по обеспечению питанием населения при ликвидации последствий чрезвычайных ситуаций природного или техногенного характера</v>
      </c>
      <c r="G6472" s="22" t="s">
        <v>101</v>
      </c>
      <c r="H6472" s="22" t="s">
        <v>9882</v>
      </c>
      <c r="I6472" s="26">
        <v>43697.680648148104</v>
      </c>
      <c r="J6472" s="23" t="str">
        <f>HYPERLINK("https://www.spark-marketing.ru/Card/Person/1811652", "КРАСНИНСКОЕ РАЙПО")</f>
        <v>КРАСНИНСКОЕ РАЙПО</v>
      </c>
      <c r="K6472" s="24" t="s">
        <v>9883</v>
      </c>
      <c r="L6472" s="28" t="s">
        <v>51</v>
      </c>
      <c r="M6472" s="28" t="s">
        <v>51</v>
      </c>
      <c r="N6472" s="28" t="s">
        <v>51</v>
      </c>
    </row>
    <row r="6473" spans="1:14" hidden="1" outlineLevel="1" x14ac:dyDescent="0.15">
      <c r="A6473" s="23" t="str">
        <f>HYPERLINK("https://www.spark-marketing.ru/Card/Person/30234", "АДМИНИСТРАЦИЯ КРАСНИНСКОГО МУНИЦИПАЛЬНОГО РАЙОНА")</f>
        <v>АДМИНИСТРАЦИЯ КРАСНИНСКОГО МУНИЦИПАЛЬНОГО РАЙОНА</v>
      </c>
      <c r="B6473" s="24" t="s">
        <v>9880</v>
      </c>
      <c r="C6473" s="28" t="s">
        <v>51</v>
      </c>
      <c r="D6473" s="22" t="s">
        <v>9881</v>
      </c>
      <c r="E6473" s="22" t="s">
        <v>96</v>
      </c>
      <c r="F6473" s="23" t="str">
        <f>HYPERLINK("https://www.spark-marketing.ru/Card/Lot/72915034", "Предварительный отбор участников закупки на оказание услуг по обеспечению питанием населения при ликвидации последствий чрезвычайных ситуаций природного или техногенного характера")</f>
        <v>Предварительный отбор участников закупки на оказание услуг по обеспечению питанием населения при ликвидации последствий чрезвычайных ситуаций природного или техногенного характера</v>
      </c>
      <c r="G6473" s="22" t="s">
        <v>101</v>
      </c>
      <c r="H6473" s="22" t="s">
        <v>9882</v>
      </c>
      <c r="I6473" s="26">
        <v>43697.680648148104</v>
      </c>
      <c r="J6473" s="23" t="str">
        <f>HYPERLINK("https://www.spark-marketing.ru/Card/Person/436890", "МУП ""КРАСНОЕБЫТСЕРВИС"" КРАСНИНСКОГО РАЙОНА")</f>
        <v>МУП "КРАСНОЕБЫТСЕРВИС" КРАСНИНСКОГО РАЙОНА</v>
      </c>
      <c r="K6473" s="24" t="s">
        <v>9884</v>
      </c>
      <c r="L6473" s="28" t="s">
        <v>51</v>
      </c>
      <c r="M6473" s="28" t="s">
        <v>51</v>
      </c>
      <c r="N6473" s="28" t="s">
        <v>51</v>
      </c>
    </row>
    <row r="6474" spans="1:14" x14ac:dyDescent="0.15">
      <c r="A6474" s="23" t="str">
        <f t="shared" ref="A6474:A6480" si="139">HYPERLINK("https://www.spark-marketing.ru/Card/Person/233399", "ГБУ КК ""ЦОП ПО ЗВС""")</f>
        <v>ГБУ КК "ЦОП ПО ЗВС"</v>
      </c>
      <c r="B6474" s="24" t="s">
        <v>9885</v>
      </c>
      <c r="C6474" s="25">
        <v>211200</v>
      </c>
      <c r="D6474" s="22" t="s">
        <v>9886</v>
      </c>
      <c r="E6474" s="22" t="s">
        <v>1632</v>
      </c>
      <c r="F6474" s="23" t="str">
        <f t="shared" ref="F6474:F6480" si="140">HYPERLINK("https://www.spark-marketing.ru/Card/Lot/72915585",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6474" s="22" t="s">
        <v>104</v>
      </c>
      <c r="H6474" s="22" t="s">
        <v>969</v>
      </c>
      <c r="I6474" s="26">
        <v>43697.6036805556</v>
      </c>
      <c r="J6474" s="28" t="s">
        <v>51</v>
      </c>
      <c r="K6474" s="28" t="s">
        <v>51</v>
      </c>
      <c r="L6474" s="28" t="s">
        <v>51</v>
      </c>
      <c r="M6474" s="28" t="s">
        <v>51</v>
      </c>
      <c r="N6474" s="28" t="s">
        <v>51</v>
      </c>
    </row>
    <row r="6475" spans="1:14" ht="12.75" hidden="1" outlineLevel="1" x14ac:dyDescent="0.2">
      <c r="A6475" s="23" t="str">
        <f t="shared" si="139"/>
        <v>ГБУ КК "ЦОП ПО ЗВС"</v>
      </c>
      <c r="B6475" s="24" t="s">
        <v>9885</v>
      </c>
      <c r="C6475" s="25">
        <v>211200</v>
      </c>
      <c r="D6475" s="22" t="s">
        <v>9886</v>
      </c>
      <c r="E6475" s="22" t="s">
        <v>1632</v>
      </c>
      <c r="F6475" s="23" t="str">
        <f t="shared" si="140"/>
        <v>Услуги предоставления средств размещения и общественного питания для участников спортивных мероприятий</v>
      </c>
      <c r="G6475" s="22" t="s">
        <v>104</v>
      </c>
      <c r="H6475" s="22" t="s">
        <v>969</v>
      </c>
      <c r="I6475" s="26">
        <v>43697.6036805556</v>
      </c>
      <c r="J6475" s="23" t="str">
        <f>HYPERLINK("https://www.spark-marketing.ru/Card/Person/6514967", "ООО ""АЛЬЯНС""")</f>
        <v>ООО "АЛЬЯНС"</v>
      </c>
      <c r="K6475" s="24" t="s">
        <v>1634</v>
      </c>
      <c r="L6475" s="22" t="s">
        <v>10</v>
      </c>
      <c r="M6475" s="25">
        <v>1725.7</v>
      </c>
      <c r="N6475" s="27">
        <v>0.99182907196969694</v>
      </c>
    </row>
    <row r="6476" spans="1:14" hidden="1" outlineLevel="1" x14ac:dyDescent="0.2">
      <c r="A6476" s="23" t="str">
        <f t="shared" si="139"/>
        <v>ГБУ КК "ЦОП ПО ЗВС"</v>
      </c>
      <c r="B6476" s="24" t="s">
        <v>9885</v>
      </c>
      <c r="C6476" s="25">
        <v>211200</v>
      </c>
      <c r="D6476" s="22" t="s">
        <v>9886</v>
      </c>
      <c r="E6476" s="22" t="s">
        <v>1632</v>
      </c>
      <c r="F6476" s="23" t="str">
        <f t="shared" si="140"/>
        <v>Услуги предоставления средств размещения и общественного питания для участников спортивных мероприятий</v>
      </c>
      <c r="G6476" s="22" t="s">
        <v>104</v>
      </c>
      <c r="H6476" s="22" t="s">
        <v>969</v>
      </c>
      <c r="I6476" s="26">
        <v>43697.6036805556</v>
      </c>
      <c r="J6476" s="23" t="str">
        <f>HYPERLINK("https://www.spark-marketing.ru/Card/Person/6382723", "Крячко Владислав Петрович")</f>
        <v>Крячко Владислав Петрович</v>
      </c>
      <c r="K6476" s="24" t="s">
        <v>7992</v>
      </c>
      <c r="L6476" s="28" t="s">
        <v>51</v>
      </c>
      <c r="M6476" s="25">
        <v>2077.6999999999998</v>
      </c>
      <c r="N6476" s="27">
        <v>0.99016240530303035</v>
      </c>
    </row>
    <row r="6477" spans="1:14" hidden="1" outlineLevel="1" x14ac:dyDescent="0.2">
      <c r="A6477" s="23" t="str">
        <f t="shared" si="139"/>
        <v>ГБУ КК "ЦОП ПО ЗВС"</v>
      </c>
      <c r="B6477" s="24" t="s">
        <v>9885</v>
      </c>
      <c r="C6477" s="25">
        <v>211200</v>
      </c>
      <c r="D6477" s="22" t="s">
        <v>9886</v>
      </c>
      <c r="E6477" s="22" t="s">
        <v>1632</v>
      </c>
      <c r="F6477" s="23" t="str">
        <f t="shared" si="140"/>
        <v>Услуги предоставления средств размещения и общественного питания для участников спортивных мероприятий</v>
      </c>
      <c r="G6477" s="22" t="s">
        <v>104</v>
      </c>
      <c r="H6477" s="22" t="s">
        <v>969</v>
      </c>
      <c r="I6477" s="26">
        <v>43697.6036805556</v>
      </c>
      <c r="J6477" s="23" t="str">
        <f>HYPERLINK("https://www.spark-marketing.ru/Card/Person/6501154", "ООО ""ГИГАНТ""")</f>
        <v>ООО "ГИГАНТ"</v>
      </c>
      <c r="K6477" s="24" t="s">
        <v>9887</v>
      </c>
      <c r="L6477" s="28" t="s">
        <v>51</v>
      </c>
      <c r="M6477" s="25">
        <v>1835.7</v>
      </c>
      <c r="N6477" s="27">
        <v>0.99130823863636364</v>
      </c>
    </row>
    <row r="6478" spans="1:14" hidden="1" outlineLevel="1" x14ac:dyDescent="0.2">
      <c r="A6478" s="23" t="str">
        <f t="shared" si="139"/>
        <v>ГБУ КК "ЦОП ПО ЗВС"</v>
      </c>
      <c r="B6478" s="24" t="s">
        <v>9885</v>
      </c>
      <c r="C6478" s="25">
        <v>211200</v>
      </c>
      <c r="D6478" s="22" t="s">
        <v>9886</v>
      </c>
      <c r="E6478" s="22" t="s">
        <v>1632</v>
      </c>
      <c r="F6478" s="23" t="str">
        <f t="shared" si="140"/>
        <v>Услуги предоставления средств размещения и общественного питания для участников спортивных мероприятий</v>
      </c>
      <c r="G6478" s="22" t="s">
        <v>104</v>
      </c>
      <c r="H6478" s="22" t="s">
        <v>969</v>
      </c>
      <c r="I6478" s="26">
        <v>43697.6036805556</v>
      </c>
      <c r="J6478" s="23" t="str">
        <f>HYPERLINK("https://www.spark-marketing.ru/Card/Person/4358897", "ООО ""ТРИНИТИ ТРЕВЕЛ""")</f>
        <v>ООО "ТРИНИТИ ТРЕВЕЛ"</v>
      </c>
      <c r="K6478" s="24" t="s">
        <v>2483</v>
      </c>
      <c r="L6478" s="28" t="s">
        <v>51</v>
      </c>
      <c r="M6478" s="25">
        <v>2156</v>
      </c>
      <c r="N6478" s="27">
        <v>0.98979166666666663</v>
      </c>
    </row>
    <row r="6479" spans="1:14" hidden="1" outlineLevel="1" x14ac:dyDescent="0.2">
      <c r="A6479" s="23" t="str">
        <f t="shared" si="139"/>
        <v>ГБУ КК "ЦОП ПО ЗВС"</v>
      </c>
      <c r="B6479" s="24" t="s">
        <v>9885</v>
      </c>
      <c r="C6479" s="25">
        <v>211200</v>
      </c>
      <c r="D6479" s="22" t="s">
        <v>9886</v>
      </c>
      <c r="E6479" s="22" t="s">
        <v>1632</v>
      </c>
      <c r="F6479" s="23" t="str">
        <f t="shared" si="140"/>
        <v>Услуги предоставления средств размещения и общественного питания для участников спортивных мероприятий</v>
      </c>
      <c r="G6479" s="22" t="s">
        <v>104</v>
      </c>
      <c r="H6479" s="22" t="s">
        <v>969</v>
      </c>
      <c r="I6479" s="26">
        <v>43697.6036805556</v>
      </c>
      <c r="J6479" s="23" t="str">
        <f>HYPERLINK("https://www.spark-marketing.ru/Card/Person/6402176", "ООО ""КОМПАНИЯ СТС""")</f>
        <v>ООО "КОМПАНИЯ СТС"</v>
      </c>
      <c r="K6479" s="24" t="s">
        <v>5653</v>
      </c>
      <c r="L6479" s="28" t="s">
        <v>51</v>
      </c>
      <c r="M6479" s="25">
        <v>2189</v>
      </c>
      <c r="N6479" s="27">
        <v>0.98963541666666666</v>
      </c>
    </row>
    <row r="6480" spans="1:14" hidden="1" outlineLevel="1" x14ac:dyDescent="0.2">
      <c r="A6480" s="23" t="str">
        <f t="shared" si="139"/>
        <v>ГБУ КК "ЦОП ПО ЗВС"</v>
      </c>
      <c r="B6480" s="24" t="s">
        <v>9885</v>
      </c>
      <c r="C6480" s="25">
        <v>211200</v>
      </c>
      <c r="D6480" s="22" t="s">
        <v>9886</v>
      </c>
      <c r="E6480" s="22" t="s">
        <v>1632</v>
      </c>
      <c r="F6480" s="23" t="str">
        <f t="shared" si="140"/>
        <v>Услуги предоставления средств размещения и общественного питания для участников спортивных мероприятий</v>
      </c>
      <c r="G6480" s="22" t="s">
        <v>104</v>
      </c>
      <c r="H6480" s="22" t="s">
        <v>969</v>
      </c>
      <c r="I6480" s="26">
        <v>43697.6036805556</v>
      </c>
      <c r="J6480" s="23" t="str">
        <f>HYPERLINK("https://www.spark-marketing.ru/Card/Person/233813", "ООО ""СПРИНТ ТУР""")</f>
        <v>ООО "СПРИНТ ТУР"</v>
      </c>
      <c r="K6480" s="24" t="s">
        <v>9888</v>
      </c>
      <c r="L6480" s="28" t="s">
        <v>51</v>
      </c>
      <c r="M6480" s="25">
        <v>1956.7</v>
      </c>
      <c r="N6480" s="27">
        <v>0.99073532196969694</v>
      </c>
    </row>
    <row r="6481" spans="1:14" x14ac:dyDescent="0.15">
      <c r="A6481" s="23" t="str">
        <f>HYPERLINK("https://www.spark-marketing.ru/Card/Person/253308", "ОМВД РОССИИ ПО МУХОРШИБИРСКОМУ РАЙОНУ")</f>
        <v>ОМВД РОССИИ ПО МУХОРШИБИРСКОМУ РАЙОНУ</v>
      </c>
      <c r="B6481" s="24" t="s">
        <v>6928</v>
      </c>
      <c r="C6481" s="25">
        <v>851690</v>
      </c>
      <c r="D6481" s="22" t="s">
        <v>9889</v>
      </c>
      <c r="E6481" s="22" t="s">
        <v>48</v>
      </c>
      <c r="F6481" s="23" t="str">
        <f>HYPERLINK("https://www.spark-marketing.ru/Card/Lot/72905836", "Услуги по организации питания лиц, содержащихся в ИВС и КАЗ")</f>
        <v>Услуги по организации питания лиц, содержащихся в ИВС и КАЗ</v>
      </c>
      <c r="G6481" s="22" t="s">
        <v>433</v>
      </c>
      <c r="H6481" s="22" t="s">
        <v>9890</v>
      </c>
      <c r="I6481" s="26">
        <v>43697.431377314802</v>
      </c>
      <c r="J6481" s="28" t="s">
        <v>51</v>
      </c>
      <c r="K6481" s="28" t="s">
        <v>51</v>
      </c>
      <c r="L6481" s="28" t="s">
        <v>51</v>
      </c>
      <c r="M6481" s="28" t="s">
        <v>51</v>
      </c>
      <c r="N6481" s="28" t="s">
        <v>51</v>
      </c>
    </row>
    <row r="6482" spans="1:14" x14ac:dyDescent="0.15">
      <c r="A6482" s="23" t="str">
        <f>HYPERLINK("https://www.spark-marketing.ru/Card/Person/1042885", "МЕЖМУНИЦИПАЛЬНЫЙ ОТДЕЛ МВД РОССИИ ""ВЕРЕЩАГИНСКИЙ""")</f>
        <v>МЕЖМУНИЦИПАЛЬНЫЙ ОТДЕЛ МВД РОССИИ "ВЕРЕЩАГИНСКИЙ"</v>
      </c>
      <c r="B6482" s="24" t="s">
        <v>9891</v>
      </c>
      <c r="C6482" s="25">
        <v>858595.6</v>
      </c>
      <c r="D6482" s="22" t="s">
        <v>9892</v>
      </c>
      <c r="E6482" s="22" t="s">
        <v>48</v>
      </c>
      <c r="F6482" s="23" t="str">
        <f>HYPERLINK("https://www.spark-marketing.ru/Card/Lot/72914355", "Услуги по организации комплексного горячего питания (включая выходные и праздничные дни) арестованных и административно-задержанных лиц, содержащихся в изоляторе временного содержания и дежурной части")</f>
        <v>Услуги по организации комплексного горячего питания (включая выходные и праздничные дни) арестованных и административно-задержанных лиц, содержащихся в изоляторе временного содержания и дежурной части</v>
      </c>
      <c r="G6482" s="22" t="s">
        <v>153</v>
      </c>
      <c r="H6482" s="22" t="s">
        <v>153</v>
      </c>
      <c r="I6482" s="26">
        <v>43696.669502314799</v>
      </c>
      <c r="J6482" s="28" t="s">
        <v>51</v>
      </c>
      <c r="K6482" s="28" t="s">
        <v>51</v>
      </c>
      <c r="L6482" s="28" t="s">
        <v>51</v>
      </c>
      <c r="M6482" s="28" t="s">
        <v>51</v>
      </c>
      <c r="N6482" s="28" t="s">
        <v>51</v>
      </c>
    </row>
    <row r="6483" spans="1:14" x14ac:dyDescent="0.15">
      <c r="A6483" s="23" t="str">
        <f>HYPERLINK("https://www.spark-marketing.ru/Card/Person/35149", "ГБУЗ ""ГКБ № 51 ДЗМ""")</f>
        <v>ГБУЗ "ГКБ № 51 ДЗМ"</v>
      </c>
      <c r="B6483" s="24" t="s">
        <v>9893</v>
      </c>
      <c r="C6483" s="25">
        <v>1643335.64</v>
      </c>
      <c r="D6483" s="22" t="s">
        <v>9894</v>
      </c>
      <c r="E6483" s="22" t="s">
        <v>152</v>
      </c>
      <c r="F6483" s="23" t="str">
        <f>HYPERLINK("https://www.spark-marketing.ru/Card/Lot/72917244", "Оказание услуг по техническому обслуживанию источников бесперебойного питания ГБУЗ ""ГКБ№51ДЗМ""")</f>
        <v>Оказание услуг по техническому обслуживанию источников бесперебойного питания ГБУЗ "ГКБ№51ДЗМ"</v>
      </c>
      <c r="G6483" s="22" t="s">
        <v>56</v>
      </c>
      <c r="H6483" s="22" t="s">
        <v>56</v>
      </c>
      <c r="I6483" s="26">
        <v>43697.684293981503</v>
      </c>
      <c r="J6483" s="28" t="s">
        <v>51</v>
      </c>
      <c r="K6483" s="28" t="s">
        <v>51</v>
      </c>
      <c r="L6483" s="28" t="s">
        <v>51</v>
      </c>
      <c r="M6483" s="28" t="s">
        <v>51</v>
      </c>
      <c r="N6483" s="28" t="s">
        <v>51</v>
      </c>
    </row>
    <row r="6484" spans="1:14" hidden="1" outlineLevel="1" x14ac:dyDescent="0.2">
      <c r="A6484" s="23" t="str">
        <f>HYPERLINK("https://www.spark-marketing.ru/Card/Person/35149", "ГБУЗ ""ГКБ № 51 ДЗМ""")</f>
        <v>ГБУЗ "ГКБ № 51 ДЗМ"</v>
      </c>
      <c r="B6484" s="24" t="s">
        <v>9893</v>
      </c>
      <c r="C6484" s="25">
        <v>1643335.64</v>
      </c>
      <c r="D6484" s="22" t="s">
        <v>9894</v>
      </c>
      <c r="E6484" s="22" t="s">
        <v>152</v>
      </c>
      <c r="F6484" s="23" t="str">
        <f>HYPERLINK("https://www.spark-marketing.ru/Card/Lot/72917244", "Оказание услуг по техническому обслуживанию источников бесперебойного питания ГБУЗ ""ГКБ№51ДЗМ""")</f>
        <v>Оказание услуг по техническому обслуживанию источников бесперебойного питания ГБУЗ "ГКБ№51ДЗМ"</v>
      </c>
      <c r="G6484" s="22" t="s">
        <v>56</v>
      </c>
      <c r="H6484" s="22" t="s">
        <v>56</v>
      </c>
      <c r="I6484" s="26">
        <v>43697.684293981503</v>
      </c>
      <c r="J6484" s="23" t="str">
        <f>HYPERLINK("https://www.spark-marketing.ru/Card/Person/4392965", "ООО «СПЦ»")</f>
        <v>ООО «СПЦ»</v>
      </c>
      <c r="K6484" s="24" t="s">
        <v>9895</v>
      </c>
      <c r="L6484" s="28" t="s">
        <v>51</v>
      </c>
      <c r="M6484" s="25">
        <v>1585818.88</v>
      </c>
      <c r="N6484" s="27">
        <v>3.5000007667332036E-2</v>
      </c>
    </row>
    <row r="6485" spans="1:14" ht="12.75" hidden="1" outlineLevel="1" x14ac:dyDescent="0.2">
      <c r="A6485" s="23" t="str">
        <f>HYPERLINK("https://www.spark-marketing.ru/Card/Person/35149", "ГБУЗ ""ГКБ № 51 ДЗМ""")</f>
        <v>ГБУЗ "ГКБ № 51 ДЗМ"</v>
      </c>
      <c r="B6485" s="24" t="s">
        <v>9893</v>
      </c>
      <c r="C6485" s="25">
        <v>1643335.64</v>
      </c>
      <c r="D6485" s="22" t="s">
        <v>9894</v>
      </c>
      <c r="E6485" s="22" t="s">
        <v>152</v>
      </c>
      <c r="F6485" s="23" t="str">
        <f>HYPERLINK("https://www.spark-marketing.ru/Card/Lot/72917244", "Оказание услуг по техническому обслуживанию источников бесперебойного питания ГБУЗ ""ГКБ№51ДЗМ""")</f>
        <v>Оказание услуг по техническому обслуживанию источников бесперебойного питания ГБУЗ "ГКБ№51ДЗМ"</v>
      </c>
      <c r="G6485" s="22" t="s">
        <v>56</v>
      </c>
      <c r="H6485" s="22" t="s">
        <v>56</v>
      </c>
      <c r="I6485" s="26">
        <v>43697.684293981503</v>
      </c>
      <c r="J6485" s="23" t="str">
        <f>HYPERLINK("https://www.spark-marketing.ru/Card/Person/31887", "ООО ""ТЦ ЭНЕРГОСПЕКТР""")</f>
        <v>ООО "ТЦ ЭНЕРГОСПЕКТР"</v>
      </c>
      <c r="K6485" s="24" t="s">
        <v>9896</v>
      </c>
      <c r="L6485" s="22" t="s">
        <v>10</v>
      </c>
      <c r="M6485" s="25">
        <v>1577602.2</v>
      </c>
      <c r="N6485" s="27">
        <v>4.0000008762665185E-2</v>
      </c>
    </row>
    <row r="6486" spans="1:14" x14ac:dyDescent="0.15">
      <c r="A6486" s="23" t="str">
        <f>HYPERLINK("https://www.spark-marketing.ru/Card/Person/233399", "ГБУ КК ""ЦОП ПО ЗВС""")</f>
        <v>ГБУ КК "ЦОП ПО ЗВС"</v>
      </c>
      <c r="B6486" s="24" t="s">
        <v>9885</v>
      </c>
      <c r="C6486" s="25">
        <v>497500</v>
      </c>
      <c r="D6486" s="22" t="s">
        <v>9897</v>
      </c>
      <c r="E6486" s="22" t="s">
        <v>1632</v>
      </c>
      <c r="F6486" s="23" t="str">
        <f>HYPERLINK("https://www.spark-marketing.ru/Card/Lot/72914528",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6486" s="22" t="s">
        <v>104</v>
      </c>
      <c r="H6486" s="22" t="s">
        <v>969</v>
      </c>
      <c r="I6486" s="26">
        <v>43697.596886574102</v>
      </c>
      <c r="J6486" s="28" t="s">
        <v>51</v>
      </c>
      <c r="K6486" s="28" t="s">
        <v>51</v>
      </c>
      <c r="L6486" s="28" t="s">
        <v>51</v>
      </c>
      <c r="M6486" s="28" t="s">
        <v>51</v>
      </c>
      <c r="N6486" s="28" t="s">
        <v>51</v>
      </c>
    </row>
    <row r="6487" spans="1:14" hidden="1" outlineLevel="1" x14ac:dyDescent="0.2">
      <c r="A6487" s="23" t="str">
        <f>HYPERLINK("https://www.spark-marketing.ru/Card/Person/233399", "ГБУ КК ""ЦОП ПО ЗВС""")</f>
        <v>ГБУ КК "ЦОП ПО ЗВС"</v>
      </c>
      <c r="B6487" s="24" t="s">
        <v>9885</v>
      </c>
      <c r="C6487" s="25">
        <v>497500</v>
      </c>
      <c r="D6487" s="22" t="s">
        <v>9897</v>
      </c>
      <c r="E6487" s="22" t="s">
        <v>1632</v>
      </c>
      <c r="F6487" s="23" t="str">
        <f>HYPERLINK("https://www.spark-marketing.ru/Card/Lot/72914528",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6487" s="22" t="s">
        <v>104</v>
      </c>
      <c r="H6487" s="22" t="s">
        <v>969</v>
      </c>
      <c r="I6487" s="26">
        <v>43697.596886574102</v>
      </c>
      <c r="J6487" s="23" t="str">
        <f>HYPERLINK("https://www.spark-marketing.ru/Card/Person/233813", "ООО ""СПРИНТ ТУР""")</f>
        <v>ООО "СПРИНТ ТУР"</v>
      </c>
      <c r="K6487" s="24" t="s">
        <v>9888</v>
      </c>
      <c r="L6487" s="28" t="s">
        <v>51</v>
      </c>
      <c r="M6487" s="25">
        <v>2150</v>
      </c>
      <c r="N6487" s="27">
        <v>0.99567839195979901</v>
      </c>
    </row>
    <row r="6488" spans="1:14" hidden="1" outlineLevel="1" x14ac:dyDescent="0.2">
      <c r="A6488" s="23" t="str">
        <f>HYPERLINK("https://www.spark-marketing.ru/Card/Person/233399", "ГБУ КК ""ЦОП ПО ЗВС""")</f>
        <v>ГБУ КК "ЦОП ПО ЗВС"</v>
      </c>
      <c r="B6488" s="24" t="s">
        <v>9885</v>
      </c>
      <c r="C6488" s="25">
        <v>497500</v>
      </c>
      <c r="D6488" s="22" t="s">
        <v>9897</v>
      </c>
      <c r="E6488" s="22" t="s">
        <v>1632</v>
      </c>
      <c r="F6488" s="23" t="str">
        <f>HYPERLINK("https://www.spark-marketing.ru/Card/Lot/72914528",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6488" s="22" t="s">
        <v>104</v>
      </c>
      <c r="H6488" s="22" t="s">
        <v>969</v>
      </c>
      <c r="I6488" s="26">
        <v>43697.596886574102</v>
      </c>
      <c r="J6488" s="23" t="str">
        <f>HYPERLINK("https://www.spark-marketing.ru/Card/Person/6501154", "ООО ""ГИГАНТ""")</f>
        <v>ООО "ГИГАНТ"</v>
      </c>
      <c r="K6488" s="24" t="s">
        <v>9887</v>
      </c>
      <c r="L6488" s="28" t="s">
        <v>51</v>
      </c>
      <c r="M6488" s="25">
        <v>1800</v>
      </c>
      <c r="N6488" s="27">
        <v>0.99638190954773864</v>
      </c>
    </row>
    <row r="6489" spans="1:14" ht="12.75" hidden="1" outlineLevel="1" x14ac:dyDescent="0.2">
      <c r="A6489" s="23" t="str">
        <f>HYPERLINK("https://www.spark-marketing.ru/Card/Person/233399", "ГБУ КК ""ЦОП ПО ЗВС""")</f>
        <v>ГБУ КК "ЦОП ПО ЗВС"</v>
      </c>
      <c r="B6489" s="24" t="s">
        <v>9885</v>
      </c>
      <c r="C6489" s="25">
        <v>497500</v>
      </c>
      <c r="D6489" s="22" t="s">
        <v>9897</v>
      </c>
      <c r="E6489" s="22" t="s">
        <v>1632</v>
      </c>
      <c r="F6489" s="23" t="str">
        <f>HYPERLINK("https://www.spark-marketing.ru/Card/Lot/72914528",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6489" s="22" t="s">
        <v>104</v>
      </c>
      <c r="H6489" s="22" t="s">
        <v>969</v>
      </c>
      <c r="I6489" s="26">
        <v>43697.596886574102</v>
      </c>
      <c r="J6489" s="23" t="str">
        <f>HYPERLINK("https://www.spark-marketing.ru/Card/Person/6514967", "ООО ""АЛЬЯНС""")</f>
        <v>ООО "АЛЬЯНС"</v>
      </c>
      <c r="K6489" s="24" t="s">
        <v>1634</v>
      </c>
      <c r="L6489" s="22" t="s">
        <v>10</v>
      </c>
      <c r="M6489" s="25">
        <v>1787.5</v>
      </c>
      <c r="N6489" s="27">
        <v>0.99640703517587936</v>
      </c>
    </row>
    <row r="6490" spans="1:14" hidden="1" outlineLevel="1" x14ac:dyDescent="0.2">
      <c r="A6490" s="23" t="str">
        <f>HYPERLINK("https://www.spark-marketing.ru/Card/Person/233399", "ГБУ КК ""ЦОП ПО ЗВС""")</f>
        <v>ГБУ КК "ЦОП ПО ЗВС"</v>
      </c>
      <c r="B6490" s="24" t="s">
        <v>9885</v>
      </c>
      <c r="C6490" s="25">
        <v>497500</v>
      </c>
      <c r="D6490" s="22" t="s">
        <v>9897</v>
      </c>
      <c r="E6490" s="22" t="s">
        <v>1632</v>
      </c>
      <c r="F6490" s="23" t="str">
        <f>HYPERLINK("https://www.spark-marketing.ru/Card/Lot/72914528",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6490" s="22" t="s">
        <v>104</v>
      </c>
      <c r="H6490" s="22" t="s">
        <v>969</v>
      </c>
      <c r="I6490" s="26">
        <v>43697.596886574102</v>
      </c>
      <c r="J6490" s="23" t="str">
        <f>HYPERLINK("https://www.spark-marketing.ru/Card/Person/6382723", "Крячко Владислав Петрович")</f>
        <v>Крячко Владислав Петрович</v>
      </c>
      <c r="K6490" s="24" t="s">
        <v>7992</v>
      </c>
      <c r="L6490" s="28" t="s">
        <v>51</v>
      </c>
      <c r="M6490" s="25">
        <v>2312.5</v>
      </c>
      <c r="N6490" s="27">
        <v>0.99535175879396987</v>
      </c>
    </row>
    <row r="6491" spans="1:14" x14ac:dyDescent="0.15">
      <c r="A6491" s="23" t="str">
        <f>HYPERLINK("https://www.spark-marketing.ru/Card/Person/253308", "ОМВД РОССИИ ПО МУХОРШИБИРСКОМУ РАЙОНУ")</f>
        <v>ОМВД РОССИИ ПО МУХОРШИБИРСКОМУ РАЙОНУ</v>
      </c>
      <c r="B6491" s="24" t="s">
        <v>6928</v>
      </c>
      <c r="C6491" s="25">
        <v>851690</v>
      </c>
      <c r="D6491" s="22" t="s">
        <v>9898</v>
      </c>
      <c r="E6491" s="22" t="s">
        <v>48</v>
      </c>
      <c r="F6491" s="23" t="str">
        <f>HYPERLINK("https://www.spark-marketing.ru/Card/Lot/72905849", "Услуги по организации питания лиц, содержащихся в ИВС и КАЗ")</f>
        <v>Услуги по организации питания лиц, содержащихся в ИВС и КАЗ</v>
      </c>
      <c r="G6491" s="22" t="s">
        <v>433</v>
      </c>
      <c r="H6491" s="22" t="s">
        <v>9890</v>
      </c>
      <c r="I6491" s="26">
        <v>43697.455289351798</v>
      </c>
      <c r="J6491" s="28" t="s">
        <v>51</v>
      </c>
      <c r="K6491" s="28" t="s">
        <v>51</v>
      </c>
      <c r="L6491" s="28" t="s">
        <v>51</v>
      </c>
      <c r="M6491" s="28" t="s">
        <v>51</v>
      </c>
      <c r="N6491" s="28" t="s">
        <v>51</v>
      </c>
    </row>
    <row r="6492" spans="1:14" x14ac:dyDescent="0.15">
      <c r="A6492" s="23" t="str">
        <f>HYPERLINK("https://www.spark-marketing.ru/Card/Person/737290", "ГКУ «ЦБЗ ПРИ МИНЗДРАВЕ КАРЕЛИИ»")</f>
        <v>ГКУ «ЦБЗ ПРИ МИНЗДРАВЕ КАРЕЛИИ»</v>
      </c>
      <c r="B6492" s="24" t="s">
        <v>312</v>
      </c>
      <c r="C6492" s="25">
        <v>274257</v>
      </c>
      <c r="D6492" s="22" t="s">
        <v>9899</v>
      </c>
      <c r="E6492" s="22" t="s">
        <v>52</v>
      </c>
      <c r="F6492" s="23" t="str">
        <f>HYPERLINK("https://www.spark-marketing.ru/Card/Lot/72916495", "Поставка лекарственного препарата    Месалазин,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   Месалазин,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6492" s="22" t="s">
        <v>59</v>
      </c>
      <c r="H6492" s="22" t="s">
        <v>314</v>
      </c>
      <c r="I6492" s="26">
        <v>43697.623958333301</v>
      </c>
      <c r="J6492" s="28" t="s">
        <v>51</v>
      </c>
      <c r="K6492" s="28" t="s">
        <v>51</v>
      </c>
      <c r="L6492" s="28" t="s">
        <v>51</v>
      </c>
      <c r="M6492" s="28" t="s">
        <v>51</v>
      </c>
      <c r="N6492" s="28" t="s">
        <v>51</v>
      </c>
    </row>
    <row r="6493" spans="1:14" ht="12.75" hidden="1" outlineLevel="1" x14ac:dyDescent="0.2">
      <c r="A6493" s="23" t="str">
        <f>HYPERLINK("https://www.spark-marketing.ru/Card/Person/737290", "ГКУ «ЦБЗ ПРИ МИНЗДРАВЕ КАРЕЛИИ»")</f>
        <v>ГКУ «ЦБЗ ПРИ МИНЗДРАВЕ КАРЕЛИИ»</v>
      </c>
      <c r="B6493" s="24" t="s">
        <v>312</v>
      </c>
      <c r="C6493" s="25">
        <v>274257</v>
      </c>
      <c r="D6493" s="22" t="s">
        <v>9899</v>
      </c>
      <c r="E6493" s="22" t="s">
        <v>52</v>
      </c>
      <c r="F6493" s="23" t="str">
        <f>HYPERLINK("https://www.spark-marketing.ru/Card/Lot/72916495", "Поставка лекарственного препарата    Месалазин,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   Месалазин,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6493" s="22" t="s">
        <v>59</v>
      </c>
      <c r="H6493" s="22" t="s">
        <v>314</v>
      </c>
      <c r="I6493" s="26">
        <v>43697.623958333301</v>
      </c>
      <c r="J6493" s="23" t="str">
        <f>HYPERLINK("https://www.spark-marketing.ru/Card/Person/5915525", "ООО ""МЕДФАРМ""")</f>
        <v>ООО "МЕДФАРМ"</v>
      </c>
      <c r="K6493" s="24" t="s">
        <v>2340</v>
      </c>
      <c r="L6493" s="22" t="s">
        <v>10</v>
      </c>
      <c r="M6493" s="25">
        <v>262283.71000000002</v>
      </c>
      <c r="N6493" s="27">
        <v>4.3657190153760891E-2</v>
      </c>
    </row>
    <row r="6494" spans="1:14" hidden="1" outlineLevel="1" x14ac:dyDescent="0.2">
      <c r="A6494" s="23" t="str">
        <f>HYPERLINK("https://www.spark-marketing.ru/Card/Person/737290", "ГКУ «ЦБЗ ПРИ МИНЗДРАВЕ КАРЕЛИИ»")</f>
        <v>ГКУ «ЦБЗ ПРИ МИНЗДРАВЕ КАРЕЛИИ»</v>
      </c>
      <c r="B6494" s="24" t="s">
        <v>312</v>
      </c>
      <c r="C6494" s="25">
        <v>274257</v>
      </c>
      <c r="D6494" s="22" t="s">
        <v>9899</v>
      </c>
      <c r="E6494" s="22" t="s">
        <v>52</v>
      </c>
      <c r="F6494" s="23" t="str">
        <f>HYPERLINK("https://www.spark-marketing.ru/Card/Lot/72916495", "Поставка лекарственного препарата    Месалазин,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   Месалазин,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6494" s="22" t="s">
        <v>59</v>
      </c>
      <c r="H6494" s="22" t="s">
        <v>314</v>
      </c>
      <c r="I6494" s="26">
        <v>43697.623958333301</v>
      </c>
      <c r="J6494" s="23" t="str">
        <f>HYPERLINK("https://www.spark-marketing.ru/Card/Person/6440681", "ООО ""МИД""")</f>
        <v>ООО "МИД"</v>
      </c>
      <c r="K6494" s="24" t="s">
        <v>3849</v>
      </c>
      <c r="L6494" s="28" t="s">
        <v>51</v>
      </c>
      <c r="M6494" s="25">
        <v>263655</v>
      </c>
      <c r="N6494" s="27">
        <v>3.8657171922685654E-2</v>
      </c>
    </row>
    <row r="6495" spans="1:14" x14ac:dyDescent="0.15">
      <c r="A6495" s="23" t="str">
        <f>HYPERLINK("https://www.spark-marketing.ru/Card/Person/56444", "ФКУ ""ЦВСИГ МВД РОССИИ, Г. ПСКОВ""")</f>
        <v>ФКУ "ЦВСИГ МВД РОССИИ, Г. ПСКОВ"</v>
      </c>
      <c r="B6495" s="24" t="s">
        <v>9900</v>
      </c>
      <c r="C6495" s="25">
        <v>2629800</v>
      </c>
      <c r="D6495" s="22" t="s">
        <v>9901</v>
      </c>
      <c r="E6495" s="22" t="s">
        <v>96</v>
      </c>
      <c r="F6495" s="23" t="str">
        <f>HYPERLINK("https://www.spark-marketing.ru/Card/Lot/72918072", "оказание услуг по организации питания для иностранных граждан")</f>
        <v>оказание услуг по организации питания для иностранных граждан</v>
      </c>
      <c r="G6495" s="22" t="s">
        <v>415</v>
      </c>
      <c r="H6495" s="22" t="s">
        <v>4542</v>
      </c>
      <c r="I6495" s="26">
        <v>43697.682002314803</v>
      </c>
      <c r="J6495" s="23" t="str">
        <f>HYPERLINK("https://www.spark-marketing.ru/Card/Person/2325686", "ООО ""АСТАР""")</f>
        <v>ООО "АСТАР"</v>
      </c>
      <c r="K6495" s="24" t="s">
        <v>9902</v>
      </c>
      <c r="L6495" s="22" t="s">
        <v>10</v>
      </c>
      <c r="M6495" s="28" t="s">
        <v>51</v>
      </c>
      <c r="N6495" s="28" t="s">
        <v>51</v>
      </c>
    </row>
    <row r="6496" spans="1:14" x14ac:dyDescent="0.15">
      <c r="A6496" s="23" t="str">
        <f>HYPERLINK("https://www.spark-marketing.ru/Card/Person/737290", "ГКУ «ЦБЗ ПРИ МИНЗДРАВЕ КАРЕЛИИ»")</f>
        <v>ГКУ «ЦБЗ ПРИ МИНЗДРАВЕ КАРЕЛИИ»</v>
      </c>
      <c r="B6496" s="24" t="s">
        <v>312</v>
      </c>
      <c r="C6496" s="25">
        <v>101136.6</v>
      </c>
      <c r="D6496" s="22" t="s">
        <v>9903</v>
      </c>
      <c r="E6496" s="22" t="s">
        <v>52</v>
      </c>
      <c r="F6496" s="23" t="str">
        <f>HYPERLINK("https://www.spark-marketing.ru/Card/Lot/72912237", "Поставка лекарственного препарата Симвастатин,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изделиям...")</f>
        <v>Поставка лекарственного препарата Симвастатин,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</v>
      </c>
      <c r="G6496" s="22" t="s">
        <v>59</v>
      </c>
      <c r="H6496" s="22" t="s">
        <v>314</v>
      </c>
      <c r="I6496" s="26">
        <v>43697.644328703696</v>
      </c>
      <c r="J6496" s="28" t="s">
        <v>51</v>
      </c>
      <c r="K6496" s="28" t="s">
        <v>51</v>
      </c>
      <c r="L6496" s="28" t="s">
        <v>51</v>
      </c>
      <c r="M6496" s="28" t="s">
        <v>51</v>
      </c>
      <c r="N6496" s="28" t="s">
        <v>51</v>
      </c>
    </row>
    <row r="6497" spans="1:14" x14ac:dyDescent="0.15">
      <c r="A6497" s="23" t="str">
        <f>HYPERLINK("https://www.spark-marketing.ru/Card/Person/4036", "КУ ""ЦЕНТРОСПАС-ЮГОРИЯ""")</f>
        <v>КУ "ЦЕНТРОСПАС-ЮГОРИЯ"</v>
      </c>
      <c r="B6497" s="24" t="s">
        <v>9904</v>
      </c>
      <c r="C6497" s="25">
        <v>240000</v>
      </c>
      <c r="D6497" s="22" t="s">
        <v>9905</v>
      </c>
      <c r="E6497" s="22" t="s">
        <v>48</v>
      </c>
      <c r="F6497" s="23" t="str">
        <f>HYPERLINK("https://www.spark-marketing.ru/Card/Lot/72912919", "На оказание услуг по организации питания судейской коллегии при проведении финала ежегодного окружного соревнования «Школа безопасности»")</f>
        <v>На оказание услуг по организации питания судейской коллегии при проведении финала ежегодного окружного соревнования «Школа безопасности»</v>
      </c>
      <c r="G6497" s="22" t="s">
        <v>97</v>
      </c>
      <c r="H6497" s="22" t="s">
        <v>98</v>
      </c>
      <c r="I6497" s="26">
        <v>43697.677546296298</v>
      </c>
      <c r="J6497" s="23" t="str">
        <f>HYPERLINK("https://www.spark-marketing.ru/Card/Person/153589", "ООО ""ПЕРСПЕКТИВА""")</f>
        <v>ООО "ПЕРСПЕКТИВА"</v>
      </c>
      <c r="K6497" s="24" t="s">
        <v>9906</v>
      </c>
      <c r="L6497" s="22" t="s">
        <v>10</v>
      </c>
      <c r="M6497" s="28" t="s">
        <v>51</v>
      </c>
      <c r="N6497" s="28" t="s">
        <v>51</v>
      </c>
    </row>
    <row r="6498" spans="1:14" x14ac:dyDescent="0.15">
      <c r="A6498" s="23" t="str">
        <f>HYPERLINK("https://www.spark-marketing.ru/Card/Person/541412", "ОМВД РОССИИ ПО ИНЖАВИНСКОМУ РАЙОНУ")</f>
        <v>ОМВД РОССИИ ПО ИНЖАВИНСКОМУ РАЙОНУ</v>
      </c>
      <c r="B6498" s="24" t="s">
        <v>1368</v>
      </c>
      <c r="C6498" s="25">
        <v>39690</v>
      </c>
      <c r="D6498" s="22" t="s">
        <v>9907</v>
      </c>
      <c r="E6498" s="22" t="s">
        <v>48</v>
      </c>
      <c r="F6498" s="23" t="str">
        <f>HYPERLINK("https://www.spark-marketing.ru/Card/Lot/72908055",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6498" s="22" t="s">
        <v>1370</v>
      </c>
      <c r="H6498" s="22" t="s">
        <v>1371</v>
      </c>
      <c r="I6498" s="26">
        <v>43697.632430555597</v>
      </c>
      <c r="J6498" s="28" t="s">
        <v>51</v>
      </c>
      <c r="K6498" s="28" t="s">
        <v>51</v>
      </c>
      <c r="L6498" s="28" t="s">
        <v>51</v>
      </c>
      <c r="M6498" s="28" t="s">
        <v>51</v>
      </c>
      <c r="N6498" s="28" t="s">
        <v>51</v>
      </c>
    </row>
    <row r="6499" spans="1:14" x14ac:dyDescent="0.15">
      <c r="A6499" s="23" t="str">
        <f>HYPERLINK("https://www.spark-marketing.ru/Card/Person/4348382", "ООО ""ГАЗПРОМ ПИТАНИЕ""")</f>
        <v>ООО "ГАЗПРОМ ПИТАНИЕ"</v>
      </c>
      <c r="B6499" s="24" t="s">
        <v>2869</v>
      </c>
      <c r="C6499" s="25">
        <v>82990</v>
      </c>
      <c r="D6499" s="22" t="s">
        <v>9908</v>
      </c>
      <c r="E6499" s="22" t="s">
        <v>52</v>
      </c>
      <c r="F6499" s="23" t="str">
        <f>HYPERLINK("https://www.spark-marketing.ru/Card/Lot/72910581", "Оказание услуг по техническому обслуживанию оргтехники для нужд филиала «самарское уооп» ооо «газпром питание»")</f>
        <v>Оказание услуг по техническому обслуживанию оргтехники для нужд филиала «самарское уооп» ооо «газпром питание»</v>
      </c>
      <c r="G6499" s="22" t="s">
        <v>56</v>
      </c>
      <c r="H6499" s="22" t="s">
        <v>56</v>
      </c>
      <c r="I6499" s="26">
        <v>43697.647916666698</v>
      </c>
      <c r="J6499" s="28" t="s">
        <v>51</v>
      </c>
      <c r="K6499" s="28" t="s">
        <v>51</v>
      </c>
      <c r="L6499" s="28" t="s">
        <v>51</v>
      </c>
      <c r="M6499" s="28" t="s">
        <v>51</v>
      </c>
      <c r="N6499" s="28" t="s">
        <v>51</v>
      </c>
    </row>
    <row r="6500" spans="1:14" x14ac:dyDescent="0.15">
      <c r="A6500" s="23" t="str">
        <f>HYPERLINK("https://www.spark-marketing.ru/Card/Person/382414", "МЕЖМУНИЦИПАЛЬНЫЙ ОТДЕЛ МВД РОССИИ ""АЗОВСКИЙ""")</f>
        <v>МЕЖМУНИЦИПАЛЬНЫЙ ОТДЕЛ МВД РОССИИ "АЗОВСКИЙ"</v>
      </c>
      <c r="B6500" s="24" t="s">
        <v>9342</v>
      </c>
      <c r="C6500" s="25">
        <v>1244880</v>
      </c>
      <c r="D6500" s="22" t="s">
        <v>9909</v>
      </c>
      <c r="E6500" s="22" t="s">
        <v>48</v>
      </c>
      <c r="F6500" s="23" t="str">
        <f>HYPERLINK("https://www.spark-marketing.ru/Card/Lot/72914492", "Услуги организации горячего 3-х разового питания (завтрак, обед, ужин)спецконтенгента, содержащегося в ИВС")</f>
        <v>Услуги организации горячего 3-х разового питания (завтрак, обед, ужин)спецконтенгента, содержащегося в ИВС</v>
      </c>
      <c r="G6500" s="22" t="s">
        <v>267</v>
      </c>
      <c r="H6500" s="22" t="s">
        <v>611</v>
      </c>
      <c r="I6500" s="26">
        <v>43697.492800925902</v>
      </c>
      <c r="J6500" s="28" t="s">
        <v>51</v>
      </c>
      <c r="K6500" s="28" t="s">
        <v>51</v>
      </c>
      <c r="L6500" s="28" t="s">
        <v>51</v>
      </c>
      <c r="M6500" s="28" t="s">
        <v>51</v>
      </c>
      <c r="N6500" s="28" t="s">
        <v>51</v>
      </c>
    </row>
    <row r="6501" spans="1:14" ht="12.75" hidden="1" outlineLevel="1" x14ac:dyDescent="0.2">
      <c r="A6501" s="23" t="str">
        <f>HYPERLINK("https://www.spark-marketing.ru/Card/Person/382414", "МЕЖМУНИЦИПАЛЬНЫЙ ОТДЕЛ МВД РОССИИ ""АЗОВСКИЙ""")</f>
        <v>МЕЖМУНИЦИПАЛЬНЫЙ ОТДЕЛ МВД РОССИИ "АЗОВСКИЙ"</v>
      </c>
      <c r="B6501" s="24" t="s">
        <v>9342</v>
      </c>
      <c r="C6501" s="25">
        <v>1244880</v>
      </c>
      <c r="D6501" s="22" t="s">
        <v>9909</v>
      </c>
      <c r="E6501" s="22" t="s">
        <v>48</v>
      </c>
      <c r="F6501" s="23" t="str">
        <f>HYPERLINK("https://www.spark-marketing.ru/Card/Lot/72914492", "Услуги организации горячего 3-х разового питания (завтрак, обед, ужин)спецконтенгента, содержащегося в ИВС")</f>
        <v>Услуги организации горячего 3-х разового питания (завтрак, обед, ужин)спецконтенгента, содержащегося в ИВС</v>
      </c>
      <c r="G6501" s="22" t="s">
        <v>267</v>
      </c>
      <c r="H6501" s="22" t="s">
        <v>611</v>
      </c>
      <c r="I6501" s="26">
        <v>43697.492800925902</v>
      </c>
      <c r="J6501" s="23" t="str">
        <f>HYPERLINK("https://www.spark-marketing.ru/Card/Person/779712", "Пулатова Ирина Леонидовна")</f>
        <v>Пулатова Ирина Леонидовна</v>
      </c>
      <c r="K6501" s="24" t="s">
        <v>9910</v>
      </c>
      <c r="L6501" s="22" t="s">
        <v>10</v>
      </c>
      <c r="M6501" s="25">
        <v>1232431.2</v>
      </c>
      <c r="N6501" s="27">
        <v>0.01</v>
      </c>
    </row>
    <row r="6502" spans="1:14" hidden="1" outlineLevel="1" x14ac:dyDescent="0.2">
      <c r="A6502" s="23" t="str">
        <f>HYPERLINK("https://www.spark-marketing.ru/Card/Person/382414", "МЕЖМУНИЦИПАЛЬНЫЙ ОТДЕЛ МВД РОССИИ ""АЗОВСКИЙ""")</f>
        <v>МЕЖМУНИЦИПАЛЬНЫЙ ОТДЕЛ МВД РОССИИ "АЗОВСКИЙ"</v>
      </c>
      <c r="B6502" s="24" t="s">
        <v>9342</v>
      </c>
      <c r="C6502" s="25">
        <v>1244880</v>
      </c>
      <c r="D6502" s="22" t="s">
        <v>9909</v>
      </c>
      <c r="E6502" s="22" t="s">
        <v>48</v>
      </c>
      <c r="F6502" s="23" t="str">
        <f>HYPERLINK("https://www.spark-marketing.ru/Card/Lot/72914492", "Услуги организации горячего 3-х разового питания (завтрак, обед, ужин)спецконтенгента, содержащегося в ИВС")</f>
        <v>Услуги организации горячего 3-х разового питания (завтрак, обед, ужин)спецконтенгента, содержащегося в ИВС</v>
      </c>
      <c r="G6502" s="22" t="s">
        <v>267</v>
      </c>
      <c r="H6502" s="22" t="s">
        <v>611</v>
      </c>
      <c r="I6502" s="26">
        <v>43697.492800925902</v>
      </c>
      <c r="J6502" s="23" t="str">
        <f>HYPERLINK("https://www.spark-marketing.ru/Card/Person/1441460", "Черный Александр Васильевич")</f>
        <v>Черный Александр Васильевич</v>
      </c>
      <c r="K6502" s="24" t="s">
        <v>9911</v>
      </c>
      <c r="L6502" s="28" t="s">
        <v>51</v>
      </c>
      <c r="M6502" s="25">
        <v>1238655.6000000001</v>
      </c>
      <c r="N6502" s="27">
        <v>5.0000000000000001E-3</v>
      </c>
    </row>
    <row r="6503" spans="1:14" x14ac:dyDescent="0.15">
      <c r="A6503" s="23" t="str">
        <f>HYPERLINK("https://www.spark-marketing.ru/Card/Person/541412", "ОМВД РОССИИ ПО ИНЖАВИНСКОМУ РАЙОНУ")</f>
        <v>ОМВД РОССИИ ПО ИНЖАВИНСКОМУ РАЙОНУ</v>
      </c>
      <c r="B6503" s="24" t="s">
        <v>1368</v>
      </c>
      <c r="C6503" s="25">
        <v>299970</v>
      </c>
      <c r="D6503" s="22" t="s">
        <v>9912</v>
      </c>
      <c r="E6503" s="22" t="s">
        <v>48</v>
      </c>
      <c r="F6503" s="23" t="str">
        <f>HYPERLINK("https://www.spark-marketing.ru/Card/Lot/72907922",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6503" s="22" t="s">
        <v>1370</v>
      </c>
      <c r="H6503" s="22" t="s">
        <v>1371</v>
      </c>
      <c r="I6503" s="26">
        <v>43697.628796296303</v>
      </c>
      <c r="J6503" s="28" t="s">
        <v>51</v>
      </c>
      <c r="K6503" s="28" t="s">
        <v>51</v>
      </c>
      <c r="L6503" s="28" t="s">
        <v>51</v>
      </c>
      <c r="M6503" s="28" t="s">
        <v>51</v>
      </c>
      <c r="N6503" s="28" t="s">
        <v>51</v>
      </c>
    </row>
    <row r="6504" spans="1:14" x14ac:dyDescent="0.15">
      <c r="A6504" s="23" t="str">
        <f>HYPERLINK("https://www.spark-marketing.ru/Card/Person/1044463", "МАОУ ЛИЦЕЙ Г.О. БРОННИЦЫ")</f>
        <v>МАОУ ЛИЦЕЙ Г.О. БРОННИЦЫ</v>
      </c>
      <c r="B6504" s="24" t="s">
        <v>9913</v>
      </c>
      <c r="C6504" s="25">
        <v>595140</v>
      </c>
      <c r="D6504" s="22" t="s">
        <v>9914</v>
      </c>
      <c r="E6504" s="22" t="s">
        <v>48</v>
      </c>
      <c r="F6504" s="23" t="str">
        <f>HYPERLINK("https://www.spark-marketing.ru/Card/Lot/72910977", "Оказание услуги по организации питания для обучающихся МАОУ Лицей г.о.Бронницы")</f>
        <v>Оказание услуги по организации питания для обучающихся МАОУ Лицей г.о.Бронницы</v>
      </c>
      <c r="G6504" s="22" t="s">
        <v>49</v>
      </c>
      <c r="H6504" s="22" t="s">
        <v>1773</v>
      </c>
      <c r="I6504" s="26">
        <v>43697.638888888898</v>
      </c>
      <c r="J6504" s="28" t="s">
        <v>51</v>
      </c>
      <c r="K6504" s="28" t="s">
        <v>51</v>
      </c>
      <c r="L6504" s="28" t="s">
        <v>51</v>
      </c>
      <c r="M6504" s="28" t="s">
        <v>51</v>
      </c>
      <c r="N6504" s="28" t="s">
        <v>51</v>
      </c>
    </row>
    <row r="6505" spans="1:14" x14ac:dyDescent="0.15">
      <c r="A6505" s="23" t="str">
        <f>HYPERLINK("https://www.spark-marketing.ru/Card/Person/541412", "ОМВД РОССИИ ПО ИНЖАВИНСКОМУ РАЙОНУ")</f>
        <v>ОМВД РОССИИ ПО ИНЖАВИНСКОМУ РАЙОНУ</v>
      </c>
      <c r="B6505" s="24" t="s">
        <v>1368</v>
      </c>
      <c r="C6505" s="25">
        <v>299970</v>
      </c>
      <c r="D6505" s="22" t="s">
        <v>9915</v>
      </c>
      <c r="E6505" s="22" t="s">
        <v>48</v>
      </c>
      <c r="F6505" s="23" t="str">
        <f>HYPERLINK("https://www.spark-marketing.ru/Card/Lot/72908737",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6505" s="22" t="s">
        <v>1370</v>
      </c>
      <c r="H6505" s="22" t="s">
        <v>1371</v>
      </c>
      <c r="I6505" s="26">
        <v>43697.636018518497</v>
      </c>
      <c r="J6505" s="28" t="s">
        <v>51</v>
      </c>
      <c r="K6505" s="28" t="s">
        <v>51</v>
      </c>
      <c r="L6505" s="28" t="s">
        <v>51</v>
      </c>
      <c r="M6505" s="28" t="s">
        <v>51</v>
      </c>
      <c r="N6505" s="28" t="s">
        <v>51</v>
      </c>
    </row>
    <row r="6506" spans="1:14" x14ac:dyDescent="0.15">
      <c r="A6506" s="23" t="str">
        <f>HYPERLINK("https://www.spark-marketing.ru/Card/Person/120684", "БУЗ УР ""КДЦ МЗ УР""")</f>
        <v>БУЗ УР "КДЦ МЗ УР"</v>
      </c>
      <c r="B6506" s="24" t="s">
        <v>9916</v>
      </c>
      <c r="C6506" s="25">
        <v>356025</v>
      </c>
      <c r="D6506" s="22" t="s">
        <v>9917</v>
      </c>
      <c r="E6506" s="22" t="s">
        <v>51</v>
      </c>
      <c r="F6506" s="23" t="str">
        <f>HYPERLINK("https://www.spark-marketing.ru/Card/Lot/72912863", "№ зз-27280-19 Организация лечебного питания")</f>
        <v>№ зз-27280-19 Организация лечебного питания</v>
      </c>
      <c r="G6506" s="22" t="s">
        <v>852</v>
      </c>
      <c r="H6506" s="22" t="s">
        <v>2477</v>
      </c>
      <c r="I6506" s="26">
        <v>43697.634629629603</v>
      </c>
      <c r="J6506" s="23" t="str">
        <f>HYPERLINK("https://www.spark-marketing.ru/Card/Person/6449719", "ООО ""КЛП ПЛЮС""")</f>
        <v>ООО "КЛП ПЛЮС"</v>
      </c>
      <c r="K6506" s="24" t="s">
        <v>9918</v>
      </c>
      <c r="L6506" s="22" t="s">
        <v>10</v>
      </c>
      <c r="M6506" s="28" t="s">
        <v>51</v>
      </c>
      <c r="N6506" s="28" t="s">
        <v>51</v>
      </c>
    </row>
    <row r="6507" spans="1:14" x14ac:dyDescent="0.15">
      <c r="A6507" s="23" t="str">
        <f>HYPERLINK("https://www.spark-marketing.ru/Card/Person/12658", "АДМИНИСТРАЦИЯ ДМИТРОВСКОГО ГОРОДСКОГО ОКРУГА")</f>
        <v>АДМИНИСТРАЦИЯ ДМИТРОВСКОГО ГОРОДСКОГО ОКРУГА</v>
      </c>
      <c r="B6507" s="24" t="s">
        <v>9919</v>
      </c>
      <c r="C6507" s="25">
        <v>99000</v>
      </c>
      <c r="D6507" s="22" t="s">
        <v>9920</v>
      </c>
      <c r="E6507" s="22" t="s">
        <v>1166</v>
      </c>
      <c r="F6507" s="23" t="str">
        <f>HYPERLINK("https://www.spark-marketing.ru/Card/Lot/72908963", "Оказание услуг по утилизации отработанных элементов питания")</f>
        <v>Оказание услуг по утилизации отработанных элементов питания</v>
      </c>
      <c r="G6507" s="22" t="s">
        <v>49</v>
      </c>
      <c r="H6507" s="22" t="s">
        <v>721</v>
      </c>
      <c r="I6507" s="26">
        <v>43697.607233796298</v>
      </c>
      <c r="J6507" s="28" t="s">
        <v>51</v>
      </c>
      <c r="K6507" s="28" t="s">
        <v>51</v>
      </c>
      <c r="L6507" s="28" t="s">
        <v>51</v>
      </c>
      <c r="M6507" s="28" t="s">
        <v>51</v>
      </c>
      <c r="N6507" s="28" t="s">
        <v>51</v>
      </c>
    </row>
    <row r="6508" spans="1:14" x14ac:dyDescent="0.15">
      <c r="A6508" s="23" t="str">
        <f>HYPERLINK("https://www.spark-marketing.ru/Card/Person/18785", "ОГБУЗ ""ОБЛАСТНАЯ БОЛЬНИЦА""")</f>
        <v>ОГБУЗ "ОБЛАСТНАЯ БОЛЬНИЦА"</v>
      </c>
      <c r="B6508" s="24" t="s">
        <v>9921</v>
      </c>
      <c r="C6508" s="25">
        <v>45373.36</v>
      </c>
      <c r="D6508" s="22" t="s">
        <v>9922</v>
      </c>
      <c r="E6508" s="22" t="s">
        <v>86</v>
      </c>
      <c r="F6508" s="23" t="str">
        <f>HYPERLINK("https://www.spark-marketing.ru/Card/Lot/72894958", "Оказание услуги по проведению лабораторных исследований (контроль лечебного питания)")</f>
        <v>Оказание услуги по проведению лабораторных исследований (контроль лечебного питания)</v>
      </c>
      <c r="G6508" s="22" t="s">
        <v>4451</v>
      </c>
      <c r="H6508" s="22" t="s">
        <v>4452</v>
      </c>
      <c r="I6508" s="26">
        <v>43697.519386574102</v>
      </c>
      <c r="J6508" s="23" t="str">
        <f>HYPERLINK("https://www.spark-marketing.ru/Card/Person/38189", "ФБУЗ ""ЦЕНТР ГИГИЕНЫ И ЭПИДЕМИОЛОГИИ В ЕАО""")</f>
        <v>ФБУЗ "ЦЕНТР ГИГИЕНЫ И ЭПИДЕМИОЛОГИИ В ЕАО"</v>
      </c>
      <c r="K6508" s="24" t="s">
        <v>9923</v>
      </c>
      <c r="L6508" s="22" t="s">
        <v>10</v>
      </c>
      <c r="M6508" s="28" t="s">
        <v>51</v>
      </c>
      <c r="N6508" s="28" t="s">
        <v>51</v>
      </c>
    </row>
    <row r="6509" spans="1:14" x14ac:dyDescent="0.15">
      <c r="A6509" s="23" t="str">
        <f>HYPERLINK("https://www.spark-marketing.ru/Card/Person/272640", "МО МВД РОССИИ ""ПАВЛОВСКИЙ""")</f>
        <v>МО МВД РОССИИ "ПАВЛОВСКИЙ"</v>
      </c>
      <c r="B6509" s="24" t="s">
        <v>7516</v>
      </c>
      <c r="C6509" s="25">
        <v>541269</v>
      </c>
      <c r="D6509" s="22" t="s">
        <v>9924</v>
      </c>
      <c r="E6509" s="22" t="s">
        <v>48</v>
      </c>
      <c r="F6509" s="23" t="str">
        <f>HYPERLINK("https://www.spark-marketing.ru/Card/Lot/72914467", "Оказание услуг по организации питания лиц, арестованных в административном порядке и следственно-арестованных лиц, содержащихся в изоляторах временного содержания, камере задержанных лиц  МО МВД России ""Павловский"", по адресу:Нижегородская область,...")</f>
        <v>Оказание услуг по организации питания лиц, арестованных в административном порядке и следственно-арестованных лиц, содержащихся в изоляторах временного содержания, камере задержанных лиц  МО МВД России "Павловский", по адресу:Нижегородская область,...</v>
      </c>
      <c r="G6509" s="22" t="s">
        <v>76</v>
      </c>
      <c r="H6509" s="22" t="s">
        <v>7518</v>
      </c>
      <c r="I6509" s="26">
        <v>43697.509525463</v>
      </c>
      <c r="J6509" s="23" t="str">
        <f>HYPERLINK("https://www.spark-marketing.ru/Card/Person/351314", "Грибкова Елена Евгеньевна")</f>
        <v>Грибкова Елена Евгеньевна</v>
      </c>
      <c r="K6509" s="24" t="s">
        <v>9925</v>
      </c>
      <c r="L6509" s="22" t="s">
        <v>10</v>
      </c>
      <c r="M6509" s="28" t="s">
        <v>51</v>
      </c>
      <c r="N6509" s="28" t="s">
        <v>51</v>
      </c>
    </row>
    <row r="6510" spans="1:14" x14ac:dyDescent="0.15">
      <c r="A6510" s="23" t="str">
        <f t="shared" ref="A6510:A6518" si="141">HYPERLINK("https://www.spark-marketing.ru/Card/Person/67126", "КГБУ ""ЦЕНТР ПИТАНИЯ""")</f>
        <v>КГБУ "ЦЕНТР ПИТАНИЯ"</v>
      </c>
      <c r="B6510" s="24" t="s">
        <v>9926</v>
      </c>
      <c r="C6510" s="25">
        <v>1507949.28</v>
      </c>
      <c r="D6510" s="22" t="s">
        <v>9927</v>
      </c>
      <c r="E6510" s="22" t="s">
        <v>9928</v>
      </c>
      <c r="F6510" s="23" t="str">
        <f t="shared" ref="F6510:F6518" si="142">HYPERLINK("https://www.spark-marketing.ru/Card/Lot/72903595", "№ ЭА 46053/19 «Оказание охранных услуг для нужд краевого государственного бюджетного учреждения «Центр питания» субъектами малого предпринимательства, социально ориентированными некоммерческими организациями»")</f>
        <v>№ ЭА 46053/19 «Оказание охранных услуг для нужд краевого государственного бюджетного учреждения «Центр питания» субъектами малого предпринимательства, социально ориентированными некоммерческими организациями»</v>
      </c>
      <c r="G6510" s="22" t="s">
        <v>281</v>
      </c>
      <c r="H6510" s="22" t="s">
        <v>1036</v>
      </c>
      <c r="I6510" s="26">
        <v>43697.480289351799</v>
      </c>
      <c r="J6510" s="28" t="s">
        <v>51</v>
      </c>
      <c r="K6510" s="28" t="s">
        <v>51</v>
      </c>
      <c r="L6510" s="28" t="s">
        <v>51</v>
      </c>
      <c r="M6510" s="28" t="s">
        <v>51</v>
      </c>
      <c r="N6510" s="28" t="s">
        <v>51</v>
      </c>
    </row>
    <row r="6511" spans="1:14" hidden="1" outlineLevel="1" x14ac:dyDescent="0.2">
      <c r="A6511" s="23" t="str">
        <f t="shared" si="141"/>
        <v>КГБУ "ЦЕНТР ПИТАНИЯ"</v>
      </c>
      <c r="B6511" s="24" t="s">
        <v>9926</v>
      </c>
      <c r="C6511" s="25">
        <v>1507949.28</v>
      </c>
      <c r="D6511" s="22" t="s">
        <v>9927</v>
      </c>
      <c r="E6511" s="22" t="s">
        <v>9928</v>
      </c>
      <c r="F6511" s="23" t="str">
        <f t="shared" si="142"/>
        <v>№ ЭА 46053/19 «Оказание охранных услуг для нужд краевого государственного бюджетного учреждения «Центр питания» субъектами малого предпринимательства, социально ориентированными некоммерческими организациями»</v>
      </c>
      <c r="G6511" s="22" t="s">
        <v>281</v>
      </c>
      <c r="H6511" s="22" t="s">
        <v>1036</v>
      </c>
      <c r="I6511" s="26">
        <v>43697.480289351799</v>
      </c>
      <c r="J6511" s="23" t="str">
        <f>HYPERLINK("https://www.spark-marketing.ru/Card/Person/144484", "ООО ""ОП ""НОВОЛИТ""")</f>
        <v>ООО "ОП "НОВОЛИТ"</v>
      </c>
      <c r="K6511" s="24" t="s">
        <v>9929</v>
      </c>
      <c r="L6511" s="28" t="s">
        <v>51</v>
      </c>
      <c r="M6511" s="25">
        <v>1289296.53</v>
      </c>
      <c r="N6511" s="27">
        <v>0.1450000692330978</v>
      </c>
    </row>
    <row r="6512" spans="1:14" hidden="1" outlineLevel="1" x14ac:dyDescent="0.2">
      <c r="A6512" s="23" t="str">
        <f t="shared" si="141"/>
        <v>КГБУ "ЦЕНТР ПИТАНИЯ"</v>
      </c>
      <c r="B6512" s="24" t="s">
        <v>9926</v>
      </c>
      <c r="C6512" s="25">
        <v>1507949.28</v>
      </c>
      <c r="D6512" s="22" t="s">
        <v>9927</v>
      </c>
      <c r="E6512" s="22" t="s">
        <v>9928</v>
      </c>
      <c r="F6512" s="23" t="str">
        <f t="shared" si="142"/>
        <v>№ ЭА 46053/19 «Оказание охранных услуг для нужд краевого государственного бюджетного учреждения «Центр питания» субъектами малого предпринимательства, социально ориентированными некоммерческими организациями»</v>
      </c>
      <c r="G6512" s="22" t="s">
        <v>281</v>
      </c>
      <c r="H6512" s="22" t="s">
        <v>1036</v>
      </c>
      <c r="I6512" s="26">
        <v>43697.480289351799</v>
      </c>
      <c r="J6512" s="23" t="str">
        <f>HYPERLINK("https://www.spark-marketing.ru/Card/Person/216841", "ООО ЧОО ""ТАМЕРЛАН""")</f>
        <v>ООО ЧОО "ТАМЕРЛАН"</v>
      </c>
      <c r="K6512" s="24" t="s">
        <v>9930</v>
      </c>
      <c r="L6512" s="28" t="s">
        <v>51</v>
      </c>
      <c r="M6512" s="25">
        <v>655957.53</v>
      </c>
      <c r="N6512" s="27">
        <v>0.56500026977034667</v>
      </c>
    </row>
    <row r="6513" spans="1:14" hidden="1" outlineLevel="1" x14ac:dyDescent="0.2">
      <c r="A6513" s="23" t="str">
        <f t="shared" si="141"/>
        <v>КГБУ "ЦЕНТР ПИТАНИЯ"</v>
      </c>
      <c r="B6513" s="24" t="s">
        <v>9926</v>
      </c>
      <c r="C6513" s="25">
        <v>1507949.28</v>
      </c>
      <c r="D6513" s="22" t="s">
        <v>9927</v>
      </c>
      <c r="E6513" s="22" t="s">
        <v>9928</v>
      </c>
      <c r="F6513" s="23" t="str">
        <f t="shared" si="142"/>
        <v>№ ЭА 46053/19 «Оказание охранных услуг для нужд краевого государственного бюджетного учреждения «Центр питания» субъектами малого предпринимательства, социально ориентированными некоммерческими организациями»</v>
      </c>
      <c r="G6513" s="22" t="s">
        <v>281</v>
      </c>
      <c r="H6513" s="22" t="s">
        <v>1036</v>
      </c>
      <c r="I6513" s="26">
        <v>43697.480289351799</v>
      </c>
      <c r="J6513" s="23" t="str">
        <f>HYPERLINK("https://www.spark-marketing.ru/Card/Person/1173329", "ООО ЧОП ""ФРЕГАТ""")</f>
        <v>ООО ЧОП "ФРЕГАТ"</v>
      </c>
      <c r="K6513" s="24" t="s">
        <v>9931</v>
      </c>
      <c r="L6513" s="28" t="s">
        <v>51</v>
      </c>
      <c r="M6513" s="25">
        <v>671037.03</v>
      </c>
      <c r="N6513" s="27">
        <v>0.55500026499565025</v>
      </c>
    </row>
    <row r="6514" spans="1:14" hidden="1" outlineLevel="1" x14ac:dyDescent="0.2">
      <c r="A6514" s="23" t="str">
        <f t="shared" si="141"/>
        <v>КГБУ "ЦЕНТР ПИТАНИЯ"</v>
      </c>
      <c r="B6514" s="24" t="s">
        <v>9926</v>
      </c>
      <c r="C6514" s="25">
        <v>1507949.28</v>
      </c>
      <c r="D6514" s="22" t="s">
        <v>9927</v>
      </c>
      <c r="E6514" s="22" t="s">
        <v>9928</v>
      </c>
      <c r="F6514" s="23" t="str">
        <f t="shared" si="142"/>
        <v>№ ЭА 46053/19 «Оказание охранных услуг для нужд краевого государственного бюджетного учреждения «Центр питания» субъектами малого предпринимательства, социально ориентированными некоммерческими организациями»</v>
      </c>
      <c r="G6514" s="22" t="s">
        <v>281</v>
      </c>
      <c r="H6514" s="22" t="s">
        <v>1036</v>
      </c>
      <c r="I6514" s="26">
        <v>43697.480289351799</v>
      </c>
      <c r="J6514" s="23" t="str">
        <f>HYPERLINK("https://www.spark-marketing.ru/Card/Person/88896", "ООО ""ОА ""ЭЛЬБРУС""")</f>
        <v>ООО "ОА "ЭЛЬБРУС"</v>
      </c>
      <c r="K6514" s="24" t="s">
        <v>9932</v>
      </c>
      <c r="L6514" s="28" t="s">
        <v>51</v>
      </c>
      <c r="M6514" s="25">
        <v>1289000</v>
      </c>
      <c r="N6514" s="27">
        <v>0.14519671377806553</v>
      </c>
    </row>
    <row r="6515" spans="1:14" ht="12.75" hidden="1" outlineLevel="1" x14ac:dyDescent="0.2">
      <c r="A6515" s="23" t="str">
        <f t="shared" si="141"/>
        <v>КГБУ "ЦЕНТР ПИТАНИЯ"</v>
      </c>
      <c r="B6515" s="24" t="s">
        <v>9926</v>
      </c>
      <c r="C6515" s="25">
        <v>1507949.28</v>
      </c>
      <c r="D6515" s="22" t="s">
        <v>9927</v>
      </c>
      <c r="E6515" s="22" t="s">
        <v>9928</v>
      </c>
      <c r="F6515" s="23" t="str">
        <f t="shared" si="142"/>
        <v>№ ЭА 46053/19 «Оказание охранных услуг для нужд краевого государственного бюджетного учреждения «Центр питания» субъектами малого предпринимательства, социально ориентированными некоммерческими организациями»</v>
      </c>
      <c r="G6515" s="22" t="s">
        <v>281</v>
      </c>
      <c r="H6515" s="22" t="s">
        <v>1036</v>
      </c>
      <c r="I6515" s="26">
        <v>43697.480289351799</v>
      </c>
      <c r="J6515" s="23" t="str">
        <f>HYPERLINK("https://www.spark-marketing.ru/Card/Person/87686", "ООО ОА ""ПЕРЕСВЕТ""")</f>
        <v>ООО ОА "ПЕРЕСВЕТ"</v>
      </c>
      <c r="K6515" s="24" t="s">
        <v>9933</v>
      </c>
      <c r="L6515" s="22" t="s">
        <v>10</v>
      </c>
      <c r="M6515" s="25">
        <v>648417.78</v>
      </c>
      <c r="N6515" s="27">
        <v>0.57000027215769489</v>
      </c>
    </row>
    <row r="6516" spans="1:14" hidden="1" outlineLevel="1" x14ac:dyDescent="0.2">
      <c r="A6516" s="23" t="str">
        <f t="shared" si="141"/>
        <v>КГБУ "ЦЕНТР ПИТАНИЯ"</v>
      </c>
      <c r="B6516" s="24" t="s">
        <v>9926</v>
      </c>
      <c r="C6516" s="25">
        <v>1507949.28</v>
      </c>
      <c r="D6516" s="22" t="s">
        <v>9927</v>
      </c>
      <c r="E6516" s="22" t="s">
        <v>9928</v>
      </c>
      <c r="F6516" s="23" t="str">
        <f t="shared" si="142"/>
        <v>№ ЭА 46053/19 «Оказание охранных услуг для нужд краевого государственного бюджетного учреждения «Центр питания» субъектами малого предпринимательства, социально ориентированными некоммерческими организациями»</v>
      </c>
      <c r="G6516" s="22" t="s">
        <v>281</v>
      </c>
      <c r="H6516" s="22" t="s">
        <v>1036</v>
      </c>
      <c r="I6516" s="26">
        <v>43697.480289351799</v>
      </c>
      <c r="J6516" s="23" t="str">
        <f>HYPERLINK("https://www.spark-marketing.ru/Card/Person/133300", "ООО ЧОП ""ВЕРСИЯ""")</f>
        <v>ООО ЧОП "ВЕРСИЯ"</v>
      </c>
      <c r="K6516" s="24" t="s">
        <v>9934</v>
      </c>
      <c r="L6516" s="28" t="s">
        <v>51</v>
      </c>
      <c r="M6516" s="25">
        <v>878400</v>
      </c>
      <c r="N6516" s="27">
        <v>0.41748703908661966</v>
      </c>
    </row>
    <row r="6517" spans="1:14" hidden="1" outlineLevel="1" x14ac:dyDescent="0.2">
      <c r="A6517" s="23" t="str">
        <f t="shared" si="141"/>
        <v>КГБУ "ЦЕНТР ПИТАНИЯ"</v>
      </c>
      <c r="B6517" s="24" t="s">
        <v>9926</v>
      </c>
      <c r="C6517" s="25">
        <v>1507949.28</v>
      </c>
      <c r="D6517" s="22" t="s">
        <v>9927</v>
      </c>
      <c r="E6517" s="22" t="s">
        <v>9928</v>
      </c>
      <c r="F6517" s="23" t="str">
        <f t="shared" si="142"/>
        <v>№ ЭА 46053/19 «Оказание охранных услуг для нужд краевого государственного бюджетного учреждения «Центр питания» субъектами малого предпринимательства, социально ориентированными некоммерческими организациями»</v>
      </c>
      <c r="G6517" s="22" t="s">
        <v>281</v>
      </c>
      <c r="H6517" s="22" t="s">
        <v>1036</v>
      </c>
      <c r="I6517" s="26">
        <v>43697.480289351799</v>
      </c>
      <c r="J6517" s="23" t="str">
        <f>HYPERLINK("https://www.spark-marketing.ru/Card/Person/85816", "ООО ОА ""РАТИБОР-В""")</f>
        <v>ООО ОА "РАТИБОР-В"</v>
      </c>
      <c r="K6517" s="24" t="s">
        <v>9935</v>
      </c>
      <c r="L6517" s="28" t="s">
        <v>51</v>
      </c>
      <c r="M6517" s="25">
        <v>648417.78</v>
      </c>
      <c r="N6517" s="27">
        <v>0.57000027215769489</v>
      </c>
    </row>
    <row r="6518" spans="1:14" hidden="1" outlineLevel="1" x14ac:dyDescent="0.2">
      <c r="A6518" s="23" t="str">
        <f t="shared" si="141"/>
        <v>КГБУ "ЦЕНТР ПИТАНИЯ"</v>
      </c>
      <c r="B6518" s="24" t="s">
        <v>9926</v>
      </c>
      <c r="C6518" s="25">
        <v>1507949.28</v>
      </c>
      <c r="D6518" s="22" t="s">
        <v>9927</v>
      </c>
      <c r="E6518" s="22" t="s">
        <v>9928</v>
      </c>
      <c r="F6518" s="23" t="str">
        <f t="shared" si="142"/>
        <v>№ ЭА 46053/19 «Оказание охранных услуг для нужд краевого государственного бюджетного учреждения «Центр питания» субъектами малого предпринимательства, социально ориентированными некоммерческими организациями»</v>
      </c>
      <c r="G6518" s="22" t="s">
        <v>281</v>
      </c>
      <c r="H6518" s="22" t="s">
        <v>1036</v>
      </c>
      <c r="I6518" s="26">
        <v>43697.480289351799</v>
      </c>
      <c r="J6518" s="23" t="str">
        <f>HYPERLINK("https://www.spark-marketing.ru/Card/Person/472540", "ООО ""МОЛОТ""")</f>
        <v>ООО "МОЛОТ"</v>
      </c>
      <c r="K6518" s="24" t="s">
        <v>9936</v>
      </c>
      <c r="L6518" s="28" t="s">
        <v>51</v>
      </c>
      <c r="M6518" s="25">
        <v>1289296.53</v>
      </c>
      <c r="N6518" s="27">
        <v>0.1450000692330978</v>
      </c>
    </row>
    <row r="6519" spans="1:14" x14ac:dyDescent="0.15">
      <c r="A6519" s="23" t="str">
        <f>HYPERLINK("https://www.spark-marketing.ru/Card/Person/89798", "УМВД РОССИИ ПО ГОРОДУ КИРОВУ")</f>
        <v>УМВД РОССИИ ПО ГОРОДУ КИРОВУ</v>
      </c>
      <c r="B6519" s="24" t="s">
        <v>8365</v>
      </c>
      <c r="C6519" s="25">
        <v>900000</v>
      </c>
      <c r="D6519" s="22" t="s">
        <v>9937</v>
      </c>
      <c r="E6519" s="22" t="s">
        <v>48</v>
      </c>
      <c r="F6519" s="23" t="str">
        <f>HYPERLINK("https://www.spark-marketing.ru/Card/Lot/72914525",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519" s="22" t="s">
        <v>224</v>
      </c>
      <c r="H6519" s="22" t="s">
        <v>225</v>
      </c>
      <c r="I6519" s="26">
        <v>43697.593680555598</v>
      </c>
      <c r="J6519" s="28" t="s">
        <v>51</v>
      </c>
      <c r="K6519" s="28" t="s">
        <v>51</v>
      </c>
      <c r="L6519" s="28" t="s">
        <v>51</v>
      </c>
      <c r="M6519" s="28" t="s">
        <v>51</v>
      </c>
      <c r="N6519" s="28" t="s">
        <v>51</v>
      </c>
    </row>
    <row r="6520" spans="1:14" hidden="1" outlineLevel="1" x14ac:dyDescent="0.2">
      <c r="A6520" s="23" t="str">
        <f>HYPERLINK("https://www.spark-marketing.ru/Card/Person/89798", "УМВД РОССИИ ПО ГОРОДУ КИРОВУ")</f>
        <v>УМВД РОССИИ ПО ГОРОДУ КИРОВУ</v>
      </c>
      <c r="B6520" s="24" t="s">
        <v>8365</v>
      </c>
      <c r="C6520" s="25">
        <v>900000</v>
      </c>
      <c r="D6520" s="22" t="s">
        <v>9937</v>
      </c>
      <c r="E6520" s="22" t="s">
        <v>48</v>
      </c>
      <c r="F6520" s="23" t="str">
        <f>HYPERLINK("https://www.spark-marketing.ru/Card/Lot/72914525",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520" s="22" t="s">
        <v>224</v>
      </c>
      <c r="H6520" s="22" t="s">
        <v>225</v>
      </c>
      <c r="I6520" s="26">
        <v>43697.593680555598</v>
      </c>
      <c r="J6520" s="23" t="str">
        <f>HYPERLINK("https://www.spark-marketing.ru/Card/Person/6454752", "ООО ""ЕВРО КЕЙТЕРИНГ 43""")</f>
        <v>ООО "ЕВРО КЕЙТЕРИНГ 43"</v>
      </c>
      <c r="K6520" s="24" t="s">
        <v>8367</v>
      </c>
      <c r="L6520" s="28" t="s">
        <v>51</v>
      </c>
      <c r="M6520" s="25">
        <v>7082.41</v>
      </c>
      <c r="N6520" s="27">
        <v>0.99213065555555557</v>
      </c>
    </row>
    <row r="6521" spans="1:14" ht="12.75" hidden="1" outlineLevel="1" x14ac:dyDescent="0.2">
      <c r="A6521" s="23" t="str">
        <f>HYPERLINK("https://www.spark-marketing.ru/Card/Person/89798", "УМВД РОССИИ ПО ГОРОДУ КИРОВУ")</f>
        <v>УМВД РОССИИ ПО ГОРОДУ КИРОВУ</v>
      </c>
      <c r="B6521" s="24" t="s">
        <v>8365</v>
      </c>
      <c r="C6521" s="25">
        <v>900000</v>
      </c>
      <c r="D6521" s="22" t="s">
        <v>9937</v>
      </c>
      <c r="E6521" s="22" t="s">
        <v>48</v>
      </c>
      <c r="F6521" s="23" t="str">
        <f>HYPERLINK("https://www.spark-marketing.ru/Card/Lot/72914525",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521" s="22" t="s">
        <v>224</v>
      </c>
      <c r="H6521" s="22" t="s">
        <v>225</v>
      </c>
      <c r="I6521" s="26">
        <v>43697.593680555598</v>
      </c>
      <c r="J6521" s="23" t="str">
        <f>HYPERLINK("https://www.spark-marketing.ru/Card/Person/89851", "ООО ""ФУД-СЕРВИС""")</f>
        <v>ООО "ФУД-СЕРВИС"</v>
      </c>
      <c r="K6521" s="24" t="s">
        <v>8368</v>
      </c>
      <c r="L6521" s="22" t="s">
        <v>10</v>
      </c>
      <c r="M6521" s="25">
        <v>7046.82</v>
      </c>
      <c r="N6521" s="27">
        <v>0.9921702</v>
      </c>
    </row>
    <row r="6522" spans="1:14" x14ac:dyDescent="0.15">
      <c r="A6522" s="23" t="str">
        <f>HYPERLINK("https://www.spark-marketing.ru/Card/Person/1033984", "МО МВД РОССИИ ""БАЛАШОВСКИЙ"" САРАТОВСКОЙ ОБЛАСТИ")</f>
        <v>МО МВД РОССИИ "БАЛАШОВСКИЙ" САРАТОВСКОЙ ОБЛАСТИ</v>
      </c>
      <c r="B6522" s="24" t="s">
        <v>9938</v>
      </c>
      <c r="C6522" s="25">
        <v>686200</v>
      </c>
      <c r="D6522" s="22" t="s">
        <v>9939</v>
      </c>
      <c r="E6522" s="22" t="s">
        <v>48</v>
      </c>
      <c r="F6522" s="23" t="str">
        <f>HYPERLINK("https://www.spark-marketing.ru/Card/Lot/72908483", "Оказание услуг по организации питания лиц, находящихся в специальном приемнике МО МВД России ""Балашовский""")</f>
        <v>Оказание услуг по организации питания лиц, находящихся в специальном приемнике МО МВД России "Балашовский"</v>
      </c>
      <c r="G6522" s="22" t="s">
        <v>351</v>
      </c>
      <c r="H6522" s="22" t="s">
        <v>4221</v>
      </c>
      <c r="I6522" s="26">
        <v>43697.539652777799</v>
      </c>
      <c r="J6522" s="28" t="s">
        <v>51</v>
      </c>
      <c r="K6522" s="28" t="s">
        <v>51</v>
      </c>
      <c r="L6522" s="28" t="s">
        <v>51</v>
      </c>
      <c r="M6522" s="28" t="s">
        <v>51</v>
      </c>
      <c r="N6522" s="28" t="s">
        <v>51</v>
      </c>
    </row>
    <row r="6523" spans="1:14" hidden="1" outlineLevel="1" x14ac:dyDescent="0.2">
      <c r="A6523" s="23" t="str">
        <f>HYPERLINK("https://www.spark-marketing.ru/Card/Person/1033984", "МО МВД РОССИИ ""БАЛАШОВСКИЙ"" САРАТОВСКОЙ ОБЛАСТИ")</f>
        <v>МО МВД РОССИИ "БАЛАШОВСКИЙ" САРАТОВСКОЙ ОБЛАСТИ</v>
      </c>
      <c r="B6523" s="24" t="s">
        <v>9938</v>
      </c>
      <c r="C6523" s="25">
        <v>686200</v>
      </c>
      <c r="D6523" s="22" t="s">
        <v>9939</v>
      </c>
      <c r="E6523" s="22" t="s">
        <v>48</v>
      </c>
      <c r="F6523" s="23" t="str">
        <f>HYPERLINK("https://www.spark-marketing.ru/Card/Lot/72908483", "Оказание услуг по организации питания лиц, находящихся в специальном приемнике МО МВД России ""Балашовский""")</f>
        <v>Оказание услуг по организации питания лиц, находящихся в специальном приемнике МО МВД России "Балашовский"</v>
      </c>
      <c r="G6523" s="22" t="s">
        <v>351</v>
      </c>
      <c r="H6523" s="22" t="s">
        <v>4221</v>
      </c>
      <c r="I6523" s="26">
        <v>43697.539652777799</v>
      </c>
      <c r="J6523" s="23" t="str">
        <f>HYPERLINK("https://www.spark-marketing.ru/Card/Person/1449198", "ООО ""КУЛИНАР""")</f>
        <v>ООО "КУЛИНАР"</v>
      </c>
      <c r="K6523" s="24" t="s">
        <v>9940</v>
      </c>
      <c r="L6523" s="28" t="s">
        <v>51</v>
      </c>
      <c r="M6523" s="25">
        <v>517979.5</v>
      </c>
      <c r="N6523" s="27">
        <v>0.24514791605945788</v>
      </c>
    </row>
    <row r="6524" spans="1:14" ht="12.75" hidden="1" outlineLevel="1" x14ac:dyDescent="0.2">
      <c r="A6524" s="23" t="str">
        <f>HYPERLINK("https://www.spark-marketing.ru/Card/Person/1033984", "МО МВД РОССИИ ""БАЛАШОВСКИЙ"" САРАТОВСКОЙ ОБЛАСТИ")</f>
        <v>МО МВД РОССИИ "БАЛАШОВСКИЙ" САРАТОВСКОЙ ОБЛАСТИ</v>
      </c>
      <c r="B6524" s="24" t="s">
        <v>9938</v>
      </c>
      <c r="C6524" s="25">
        <v>686200</v>
      </c>
      <c r="D6524" s="22" t="s">
        <v>9939</v>
      </c>
      <c r="E6524" s="22" t="s">
        <v>48</v>
      </c>
      <c r="F6524" s="23" t="str">
        <f>HYPERLINK("https://www.spark-marketing.ru/Card/Lot/72908483", "Оказание услуг по организации питания лиц, находящихся в специальном приемнике МО МВД России ""Балашовский""")</f>
        <v>Оказание услуг по организации питания лиц, находящихся в специальном приемнике МО МВД России "Балашовский"</v>
      </c>
      <c r="G6524" s="22" t="s">
        <v>351</v>
      </c>
      <c r="H6524" s="22" t="s">
        <v>4221</v>
      </c>
      <c r="I6524" s="26">
        <v>43697.539652777799</v>
      </c>
      <c r="J6524" s="23" t="str">
        <f>HYPERLINK("https://www.spark-marketing.ru/Card/Person/6445613", "Журавлев Владимир Викторович")</f>
        <v>Журавлев Владимир Викторович</v>
      </c>
      <c r="K6524" s="24" t="s">
        <v>7281</v>
      </c>
      <c r="L6524" s="22" t="s">
        <v>10</v>
      </c>
      <c r="M6524" s="25">
        <v>514548.5</v>
      </c>
      <c r="N6524" s="27">
        <v>0.25014791605945791</v>
      </c>
    </row>
    <row r="6525" spans="1:14" x14ac:dyDescent="0.15">
      <c r="A6525" s="23" t="str">
        <f>HYPERLINK("https://www.spark-marketing.ru/Card/Person/1083844", "ОМВД РОССИИ ПО ГОРОДУ САЯНОГОРСКУ")</f>
        <v>ОМВД РОССИИ ПО ГОРОДУ САЯНОГОРСКУ</v>
      </c>
      <c r="B6525" s="24" t="s">
        <v>6237</v>
      </c>
      <c r="C6525" s="25">
        <v>1064200</v>
      </c>
      <c r="D6525" s="22" t="s">
        <v>9941</v>
      </c>
      <c r="E6525" s="22" t="s">
        <v>48</v>
      </c>
      <c r="F6525" s="23" t="str">
        <f>HYPERLINK("https://www.spark-marketing.ru/Card/Lot/72903648", "Прочая закупка услуг (Услуги по обеспечению горячим трехразовым питанием лиц, содержащихся в изоляторе временного содержания и лиц, находящихся в камерах содержания задержанных лиц более 3-х часов ОМВД России по городу Саяногорску)")</f>
        <v>Прочая закупка услуг (Услуги по обеспечению горячим трехразовым питанием лиц, содержащихся в изоляторе временного содержания и лиц, находящихся в камерах содержания задержанных лиц более 3-х часов ОМВД России по городу Саяногорску)</v>
      </c>
      <c r="G6525" s="22" t="s">
        <v>92</v>
      </c>
      <c r="H6525" s="22" t="s">
        <v>6239</v>
      </c>
      <c r="I6525" s="26">
        <v>43697.588599536997</v>
      </c>
      <c r="J6525" s="23" t="str">
        <f>HYPERLINK("https://www.spark-marketing.ru/Card/Person/652202", "Бурмагина Татьяна Александровна")</f>
        <v>Бурмагина Татьяна Александровна</v>
      </c>
      <c r="K6525" s="24" t="s">
        <v>6240</v>
      </c>
      <c r="L6525" s="22" t="s">
        <v>10</v>
      </c>
      <c r="M6525" s="28" t="s">
        <v>51</v>
      </c>
      <c r="N6525" s="28" t="s">
        <v>51</v>
      </c>
    </row>
    <row r="6526" spans="1:14" x14ac:dyDescent="0.15">
      <c r="A6526" s="23" t="str">
        <f>HYPERLINK("https://www.spark-marketing.ru/Card/Person/1033984", "МО МВД РОССИИ ""БАЛАШОВСКИЙ"" САРАТОВСКОЙ ОБЛАСТИ")</f>
        <v>МО МВД РОССИИ "БАЛАШОВСКИЙ" САРАТОВСКОЙ ОБЛАСТИ</v>
      </c>
      <c r="B6526" s="24" t="s">
        <v>9938</v>
      </c>
      <c r="C6526" s="25">
        <v>71613</v>
      </c>
      <c r="D6526" s="22" t="s">
        <v>9942</v>
      </c>
      <c r="E6526" s="22" t="s">
        <v>48</v>
      </c>
      <c r="F6526" s="23" t="str">
        <f>HYPERLINK("https://www.spark-marketing.ru/Card/Lot/72906664", "Оказание услуг по организации питания лиц, находящихся в ИВС И КСЗ МО МВД России ""Балашовский""")</f>
        <v>Оказание услуг по организации питания лиц, находящихся в ИВС И КСЗ МО МВД России "Балашовский"</v>
      </c>
      <c r="G6526" s="22" t="s">
        <v>351</v>
      </c>
      <c r="H6526" s="22" t="s">
        <v>7280</v>
      </c>
      <c r="I6526" s="26">
        <v>43697.542210648098</v>
      </c>
      <c r="J6526" s="23" t="str">
        <f>HYPERLINK("https://www.spark-marketing.ru/Card/Person/1449198", "ООО ""КУЛИНАР""")</f>
        <v>ООО "КУЛИНАР"</v>
      </c>
      <c r="K6526" s="24" t="s">
        <v>9940</v>
      </c>
      <c r="L6526" s="22" t="s">
        <v>10</v>
      </c>
      <c r="M6526" s="28" t="s">
        <v>51</v>
      </c>
      <c r="N6526" s="28" t="s">
        <v>51</v>
      </c>
    </row>
    <row r="6527" spans="1:14" x14ac:dyDescent="0.15">
      <c r="A6527" s="23" t="str">
        <f>HYPERLINK("https://www.spark-marketing.ru/Card/Person/737290", "ГКУ «ЦБЗ ПРИ МИНЗДРАВЕ КАРЕЛИИ»")</f>
        <v>ГКУ «ЦБЗ ПРИ МИНЗДРАВЕ КАРЕЛИИ»</v>
      </c>
      <c r="B6527" s="24" t="s">
        <v>312</v>
      </c>
      <c r="C6527" s="25">
        <v>661136.4</v>
      </c>
      <c r="D6527" s="22" t="s">
        <v>9943</v>
      </c>
      <c r="E6527" s="22" t="s">
        <v>52</v>
      </c>
      <c r="F6527" s="23" t="str">
        <f>HYPERLINK("https://www.spark-marketing.ru/Card/Lot/72914535", "Поставка лекарственного препарата Гликопиррония бромид+индакатерол,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медицинскими...")</f>
        <v>Поставка лекарственного препарата Гликопиррония бромид+индакатерол,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медицинскими...</v>
      </c>
      <c r="G6527" s="22" t="s">
        <v>59</v>
      </c>
      <c r="H6527" s="22" t="s">
        <v>314</v>
      </c>
      <c r="I6527" s="26">
        <v>43697.605115740698</v>
      </c>
      <c r="J6527" s="28" t="s">
        <v>51</v>
      </c>
      <c r="K6527" s="28" t="s">
        <v>51</v>
      </c>
      <c r="L6527" s="28" t="s">
        <v>51</v>
      </c>
      <c r="M6527" s="28" t="s">
        <v>51</v>
      </c>
      <c r="N6527" s="28" t="s">
        <v>51</v>
      </c>
    </row>
    <row r="6528" spans="1:14" ht="12.75" hidden="1" outlineLevel="1" x14ac:dyDescent="0.2">
      <c r="A6528" s="23" t="str">
        <f>HYPERLINK("https://www.spark-marketing.ru/Card/Person/737290", "ГКУ «ЦБЗ ПРИ МИНЗДРАВЕ КАРЕЛИИ»")</f>
        <v>ГКУ «ЦБЗ ПРИ МИНЗДРАВЕ КАРЕЛИИ»</v>
      </c>
      <c r="B6528" s="24" t="s">
        <v>312</v>
      </c>
      <c r="C6528" s="25">
        <v>661136.4</v>
      </c>
      <c r="D6528" s="22" t="s">
        <v>9943</v>
      </c>
      <c r="E6528" s="22" t="s">
        <v>52</v>
      </c>
      <c r="F6528" s="23" t="str">
        <f>HYPERLINK("https://www.spark-marketing.ru/Card/Lot/72914535", "Поставка лекарственного препарата Гликопиррония бромид+индакатерол,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медицинскими...")</f>
        <v>Поставка лекарственного препарата Гликопиррония бромид+индакатерол,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медицинскими...</v>
      </c>
      <c r="G6528" s="22" t="s">
        <v>59</v>
      </c>
      <c r="H6528" s="22" t="s">
        <v>314</v>
      </c>
      <c r="I6528" s="26">
        <v>43697.605115740698</v>
      </c>
      <c r="J6528" s="23" t="str">
        <f>HYPERLINK("https://www.spark-marketing.ru/Card/Person/6073224", "ООО ""ЛЕКСТОР""")</f>
        <v>ООО "ЛЕКСТОР"</v>
      </c>
      <c r="K6528" s="24" t="s">
        <v>2797</v>
      </c>
      <c r="L6528" s="22" t="s">
        <v>10</v>
      </c>
      <c r="M6528" s="25">
        <v>568576.04</v>
      </c>
      <c r="N6528" s="27">
        <v>0.14000191185964045</v>
      </c>
    </row>
    <row r="6529" spans="1:14" hidden="1" outlineLevel="1" x14ac:dyDescent="0.2">
      <c r="A6529" s="23" t="str">
        <f>HYPERLINK("https://www.spark-marketing.ru/Card/Person/737290", "ГКУ «ЦБЗ ПРИ МИНЗДРАВЕ КАРЕЛИИ»")</f>
        <v>ГКУ «ЦБЗ ПРИ МИНЗДРАВЕ КАРЕЛИИ»</v>
      </c>
      <c r="B6529" s="24" t="s">
        <v>312</v>
      </c>
      <c r="C6529" s="25">
        <v>661136.4</v>
      </c>
      <c r="D6529" s="22" t="s">
        <v>9943</v>
      </c>
      <c r="E6529" s="22" t="s">
        <v>52</v>
      </c>
      <c r="F6529" s="23" t="str">
        <f>HYPERLINK("https://www.spark-marketing.ru/Card/Lot/72914535", "Поставка лекарственного препарата Гликопиррония бромид+индакатерол,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медицинскими...")</f>
        <v>Поставка лекарственного препарата Гликопиррония бромид+индакатерол,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медицинскими...</v>
      </c>
      <c r="G6529" s="22" t="s">
        <v>59</v>
      </c>
      <c r="H6529" s="22" t="s">
        <v>314</v>
      </c>
      <c r="I6529" s="26">
        <v>43697.605115740698</v>
      </c>
      <c r="J6529" s="23" t="str">
        <f>HYPERLINK("https://www.spark-marketing.ru/Card/Person/4896101", "ООО ""НПО МЕДИКА""")</f>
        <v>ООО "НПО МЕДИКА"</v>
      </c>
      <c r="K6529" s="24" t="s">
        <v>7121</v>
      </c>
      <c r="L6529" s="28" t="s">
        <v>51</v>
      </c>
      <c r="M6529" s="25">
        <v>585104.43999999994</v>
      </c>
      <c r="N6529" s="27">
        <v>0.1150019269851123</v>
      </c>
    </row>
    <row r="6530" spans="1:14" hidden="1" outlineLevel="1" x14ac:dyDescent="0.2">
      <c r="A6530" s="23" t="str">
        <f>HYPERLINK("https://www.spark-marketing.ru/Card/Person/737290", "ГКУ «ЦБЗ ПРИ МИНЗДРАВЕ КАРЕЛИИ»")</f>
        <v>ГКУ «ЦБЗ ПРИ МИНЗДРАВЕ КАРЕЛИИ»</v>
      </c>
      <c r="B6530" s="24" t="s">
        <v>312</v>
      </c>
      <c r="C6530" s="25">
        <v>661136.4</v>
      </c>
      <c r="D6530" s="22" t="s">
        <v>9943</v>
      </c>
      <c r="E6530" s="22" t="s">
        <v>52</v>
      </c>
      <c r="F6530" s="23" t="str">
        <f>HYPERLINK("https://www.spark-marketing.ru/Card/Lot/72914535", "Поставка лекарственного препарата Гликопиррония бромид+индакатерол,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медицинскими...")</f>
        <v>Поставка лекарственного препарата Гликопиррония бромид+индакатерол,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медицинскими...</v>
      </c>
      <c r="G6530" s="22" t="s">
        <v>59</v>
      </c>
      <c r="H6530" s="22" t="s">
        <v>314</v>
      </c>
      <c r="I6530" s="26">
        <v>43697.605115740698</v>
      </c>
      <c r="J6530" s="23" t="str">
        <f>HYPERLINK("https://www.spark-marketing.ru/Card/Person/2567284", "ООО ""РУСБИОФАРМА""")</f>
        <v>ООО "РУСБИОФАРМА"</v>
      </c>
      <c r="K6530" s="24" t="s">
        <v>9944</v>
      </c>
      <c r="L6530" s="28" t="s">
        <v>51</v>
      </c>
      <c r="M6530" s="25">
        <v>571881.72</v>
      </c>
      <c r="N6530" s="27">
        <v>0.13500191488473484</v>
      </c>
    </row>
    <row r="6531" spans="1:14" hidden="1" outlineLevel="1" x14ac:dyDescent="0.2">
      <c r="A6531" s="23" t="str">
        <f>HYPERLINK("https://www.spark-marketing.ru/Card/Person/737290", "ГКУ «ЦБЗ ПРИ МИНЗДРАВЕ КАРЕЛИИ»")</f>
        <v>ГКУ «ЦБЗ ПРИ МИНЗДРАВЕ КАРЕЛИИ»</v>
      </c>
      <c r="B6531" s="24" t="s">
        <v>312</v>
      </c>
      <c r="C6531" s="25">
        <v>661136.4</v>
      </c>
      <c r="D6531" s="22" t="s">
        <v>9943</v>
      </c>
      <c r="E6531" s="22" t="s">
        <v>52</v>
      </c>
      <c r="F6531" s="23" t="str">
        <f>HYPERLINK("https://www.spark-marketing.ru/Card/Lot/72914535", "Поставка лекарственного препарата Гликопиррония бромид+индакатерол,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медицинскими...")</f>
        <v>Поставка лекарственного препарата Гликопиррония бромид+индакатерол,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медицинскими...</v>
      </c>
      <c r="G6531" s="22" t="s">
        <v>59</v>
      </c>
      <c r="H6531" s="22" t="s">
        <v>314</v>
      </c>
      <c r="I6531" s="26">
        <v>43697.605115740698</v>
      </c>
      <c r="J6531" s="23" t="str">
        <f>HYPERLINK("https://www.spark-marketing.ru/Card/Person/19670", "ООО ""ПМ-ФАРМА""")</f>
        <v>ООО "ПМ-ФАРМА"</v>
      </c>
      <c r="K6531" s="24" t="s">
        <v>4521</v>
      </c>
      <c r="L6531" s="28" t="s">
        <v>51</v>
      </c>
      <c r="M6531" s="25">
        <v>641301</v>
      </c>
      <c r="N6531" s="27">
        <v>3.0001978411716552E-2</v>
      </c>
    </row>
    <row r="6532" spans="1:14" x14ac:dyDescent="0.15">
      <c r="A6532" s="23" t="str">
        <f>HYPERLINK("https://www.spark-marketing.ru/Card/Person/89798", "УМВД РОССИИ ПО ГОРОДУ КИРОВУ")</f>
        <v>УМВД РОССИИ ПО ГОРОДУ КИРОВУ</v>
      </c>
      <c r="B6532" s="24" t="s">
        <v>8365</v>
      </c>
      <c r="C6532" s="25">
        <v>900000</v>
      </c>
      <c r="D6532" s="22" t="s">
        <v>9945</v>
      </c>
      <c r="E6532" s="22" t="s">
        <v>48</v>
      </c>
      <c r="F6532" s="23" t="str">
        <f>HYPERLINK("https://www.spark-marketing.ru/Card/Lot/72914522",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532" s="22" t="s">
        <v>224</v>
      </c>
      <c r="H6532" s="22" t="s">
        <v>225</v>
      </c>
      <c r="I6532" s="26">
        <v>43697.588587963</v>
      </c>
      <c r="J6532" s="28" t="s">
        <v>51</v>
      </c>
      <c r="K6532" s="28" t="s">
        <v>51</v>
      </c>
      <c r="L6532" s="28" t="s">
        <v>51</v>
      </c>
      <c r="M6532" s="28" t="s">
        <v>51</v>
      </c>
      <c r="N6532" s="28" t="s">
        <v>51</v>
      </c>
    </row>
    <row r="6533" spans="1:14" hidden="1" outlineLevel="1" x14ac:dyDescent="0.2">
      <c r="A6533" s="23" t="str">
        <f>HYPERLINK("https://www.spark-marketing.ru/Card/Person/89798", "УМВД РОССИИ ПО ГОРОДУ КИРОВУ")</f>
        <v>УМВД РОССИИ ПО ГОРОДУ КИРОВУ</v>
      </c>
      <c r="B6533" s="24" t="s">
        <v>8365</v>
      </c>
      <c r="C6533" s="25">
        <v>900000</v>
      </c>
      <c r="D6533" s="22" t="s">
        <v>9945</v>
      </c>
      <c r="E6533" s="22" t="s">
        <v>48</v>
      </c>
      <c r="F6533" s="23" t="str">
        <f>HYPERLINK("https://www.spark-marketing.ru/Card/Lot/72914522",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533" s="22" t="s">
        <v>224</v>
      </c>
      <c r="H6533" s="22" t="s">
        <v>225</v>
      </c>
      <c r="I6533" s="26">
        <v>43697.588587963</v>
      </c>
      <c r="J6533" s="23" t="str">
        <f>HYPERLINK("https://www.spark-marketing.ru/Card/Person/6454752", "ООО ""ЕВРО КЕЙТЕРИНГ 43""")</f>
        <v>ООО "ЕВРО КЕЙТЕРИНГ 43"</v>
      </c>
      <c r="K6533" s="24" t="s">
        <v>8367</v>
      </c>
      <c r="L6533" s="28" t="s">
        <v>51</v>
      </c>
      <c r="M6533" s="25">
        <v>7082.41</v>
      </c>
      <c r="N6533" s="27">
        <v>0.99213065555555557</v>
      </c>
    </row>
    <row r="6534" spans="1:14" ht="12.75" hidden="1" outlineLevel="1" x14ac:dyDescent="0.2">
      <c r="A6534" s="23" t="str">
        <f>HYPERLINK("https://www.spark-marketing.ru/Card/Person/89798", "УМВД РОССИИ ПО ГОРОДУ КИРОВУ")</f>
        <v>УМВД РОССИИ ПО ГОРОДУ КИРОВУ</v>
      </c>
      <c r="B6534" s="24" t="s">
        <v>8365</v>
      </c>
      <c r="C6534" s="25">
        <v>900000</v>
      </c>
      <c r="D6534" s="22" t="s">
        <v>9945</v>
      </c>
      <c r="E6534" s="22" t="s">
        <v>48</v>
      </c>
      <c r="F6534" s="23" t="str">
        <f>HYPERLINK("https://www.spark-marketing.ru/Card/Lot/72914522",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534" s="22" t="s">
        <v>224</v>
      </c>
      <c r="H6534" s="22" t="s">
        <v>225</v>
      </c>
      <c r="I6534" s="26">
        <v>43697.588587963</v>
      </c>
      <c r="J6534" s="23" t="str">
        <f>HYPERLINK("https://www.spark-marketing.ru/Card/Person/89851", "ООО ""ФУД-СЕРВИС""")</f>
        <v>ООО "ФУД-СЕРВИС"</v>
      </c>
      <c r="K6534" s="24" t="s">
        <v>8368</v>
      </c>
      <c r="L6534" s="22" t="s">
        <v>10</v>
      </c>
      <c r="M6534" s="25">
        <v>7046.82</v>
      </c>
      <c r="N6534" s="27">
        <v>0.9921702</v>
      </c>
    </row>
    <row r="6535" spans="1:14" x14ac:dyDescent="0.15">
      <c r="A6535" s="23" t="str">
        <f>HYPERLINK("https://www.spark-marketing.ru/Card/Person/67958", "ГБОУ СРЕДНЯЯ ШКОЛА № 151 КРАСНОГВАРДЕЙСКОГО РАЙОНА САНКТ-ПЕТЕРБУРГА")</f>
        <v>ГБОУ СРЕДНЯЯ ШКОЛА № 151 КРАСНОГВАРДЕЙСКОГО РАЙОНА САНКТ-ПЕТЕРБУРГА</v>
      </c>
      <c r="B6535" s="24" t="s">
        <v>9946</v>
      </c>
      <c r="C6535" s="25">
        <v>25691.98</v>
      </c>
      <c r="D6535" s="22" t="s">
        <v>9947</v>
      </c>
      <c r="E6535" s="22" t="s">
        <v>62</v>
      </c>
      <c r="F6535" s="23" t="str">
        <f>HYPERLINK("https://www.spark-marketing.ru/Card/Lot/72908434", "Поставка журналов и канцелярских книг для Государственного бюджетного общеобразовательного учреждения средняя общеобразовательная школа № 151 Красногвардейского района Санкт-Петербурга для нужд Санкт-Петербурга в 2019 году")</f>
        <v>Поставка журналов и канцелярских книг для Государственного бюджетного общеобразовательного учреждения средняя общеобразовательная школа № 151 Красногвардейского района Санкт-Петербурга для нужд Санкт-Петербурга в 2019 году</v>
      </c>
      <c r="G6535" s="22" t="s">
        <v>117</v>
      </c>
      <c r="H6535" s="22" t="s">
        <v>117</v>
      </c>
      <c r="I6535" s="26">
        <v>43697.527534722198</v>
      </c>
      <c r="J6535" s="23" t="str">
        <f>HYPERLINK("https://www.spark-marketing.ru/Card/Person/884907", "ООО ""МЕДИАСНАБ""")</f>
        <v>ООО "МЕДИАСНАБ"</v>
      </c>
      <c r="K6535" s="24" t="s">
        <v>9948</v>
      </c>
      <c r="L6535" s="22" t="s">
        <v>10</v>
      </c>
      <c r="M6535" s="28" t="s">
        <v>51</v>
      </c>
      <c r="N6535" s="28" t="s">
        <v>51</v>
      </c>
    </row>
    <row r="6536" spans="1:14" x14ac:dyDescent="0.15">
      <c r="A6536" s="23" t="str">
        <f>HYPERLINK("https://www.spark-marketing.ru/Card/Person/737290", "ГКУ «ЦБЗ ПРИ МИНЗДРАВЕ КАРЕЛИИ»")</f>
        <v>ГКУ «ЦБЗ ПРИ МИНЗДРАВЕ КАРЕЛИИ»</v>
      </c>
      <c r="B6536" s="24" t="s">
        <v>312</v>
      </c>
      <c r="C6536" s="25">
        <v>891780</v>
      </c>
      <c r="D6536" s="22" t="s">
        <v>9949</v>
      </c>
      <c r="E6536" s="22" t="s">
        <v>52</v>
      </c>
      <c r="F6536" s="23" t="str">
        <f>HYPERLINK("https://www.spark-marketing.ru/Card/Lot/72914516", "Поставка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6536" s="22" t="s">
        <v>59</v>
      </c>
      <c r="H6536" s="22" t="s">
        <v>314</v>
      </c>
      <c r="I6536" s="26">
        <v>43697.582442129598</v>
      </c>
      <c r="J6536" s="28" t="s">
        <v>51</v>
      </c>
      <c r="K6536" s="28" t="s">
        <v>51</v>
      </c>
      <c r="L6536" s="28" t="s">
        <v>51</v>
      </c>
      <c r="M6536" s="28" t="s">
        <v>51</v>
      </c>
      <c r="N6536" s="28" t="s">
        <v>51</v>
      </c>
    </row>
    <row r="6537" spans="1:14" ht="12.75" hidden="1" outlineLevel="1" x14ac:dyDescent="0.2">
      <c r="A6537" s="23" t="str">
        <f>HYPERLINK("https://www.spark-marketing.ru/Card/Person/737290", "ГКУ «ЦБЗ ПРИ МИНЗДРАВЕ КАРЕЛИИ»")</f>
        <v>ГКУ «ЦБЗ ПРИ МИНЗДРАВЕ КАРЕЛИИ»</v>
      </c>
      <c r="B6537" s="24" t="s">
        <v>312</v>
      </c>
      <c r="C6537" s="25">
        <v>891780</v>
      </c>
      <c r="D6537" s="22" t="s">
        <v>9949</v>
      </c>
      <c r="E6537" s="22" t="s">
        <v>52</v>
      </c>
      <c r="F6537" s="23" t="str">
        <f>HYPERLINK("https://www.spark-marketing.ru/Card/Lot/72914516", "Поставка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6537" s="22" t="s">
        <v>59</v>
      </c>
      <c r="H6537" s="22" t="s">
        <v>314</v>
      </c>
      <c r="I6537" s="26">
        <v>43697.582442129598</v>
      </c>
      <c r="J6537" s="23" t="str">
        <f>HYPERLINK("https://www.spark-marketing.ru/Card/Person/6492462", "ООО ""ОН.К""")</f>
        <v>ООО "ОН.К"</v>
      </c>
      <c r="K6537" s="24" t="s">
        <v>2173</v>
      </c>
      <c r="L6537" s="22" t="s">
        <v>10</v>
      </c>
      <c r="M6537" s="25">
        <v>637622.69999999995</v>
      </c>
      <c r="N6537" s="27">
        <v>0.28499999999999998</v>
      </c>
    </row>
    <row r="6538" spans="1:14" hidden="1" outlineLevel="1" x14ac:dyDescent="0.2">
      <c r="A6538" s="23" t="str">
        <f>HYPERLINK("https://www.spark-marketing.ru/Card/Person/737290", "ГКУ «ЦБЗ ПРИ МИНЗДРАВЕ КАРЕЛИИ»")</f>
        <v>ГКУ «ЦБЗ ПРИ МИНЗДРАВЕ КАРЕЛИИ»</v>
      </c>
      <c r="B6538" s="24" t="s">
        <v>312</v>
      </c>
      <c r="C6538" s="25">
        <v>891780</v>
      </c>
      <c r="D6538" s="22" t="s">
        <v>9949</v>
      </c>
      <c r="E6538" s="22" t="s">
        <v>52</v>
      </c>
      <c r="F6538" s="23" t="str">
        <f>HYPERLINK("https://www.spark-marketing.ru/Card/Lot/72914516", "Поставка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6538" s="22" t="s">
        <v>59</v>
      </c>
      <c r="H6538" s="22" t="s">
        <v>314</v>
      </c>
      <c r="I6538" s="26">
        <v>43697.582442129598</v>
      </c>
      <c r="J6538" s="23" t="str">
        <f>HYPERLINK("https://www.spark-marketing.ru/Card/Person/6355351", "ООО ""РЕДФАРМ""")</f>
        <v>ООО "РЕДФАРМ"</v>
      </c>
      <c r="K6538" s="24" t="s">
        <v>2172</v>
      </c>
      <c r="L6538" s="28" t="s">
        <v>51</v>
      </c>
      <c r="M6538" s="25">
        <v>642081.6</v>
      </c>
      <c r="N6538" s="27">
        <v>0.28000000000000003</v>
      </c>
    </row>
    <row r="6539" spans="1:14" x14ac:dyDescent="0.15">
      <c r="A6539" s="23" t="str">
        <f>HYPERLINK("https://www.spark-marketing.ru/Card/Person/75125", "МУ МВД РОССИИ ""РЫБИНСКОЕ""")</f>
        <v>МУ МВД РОССИИ "РЫБИНСКОЕ"</v>
      </c>
      <c r="B6539" s="24" t="s">
        <v>9140</v>
      </c>
      <c r="C6539" s="25">
        <v>1600000</v>
      </c>
      <c r="D6539" s="22" t="s">
        <v>9950</v>
      </c>
      <c r="E6539" s="22" t="s">
        <v>96</v>
      </c>
      <c r="F6539" s="23" t="str">
        <f>HYPERLINK("https://www.spark-marketing.ru/Card/Lot/72916989", "Оказание услуг по обеспечению трехразовым питанием лиц, находящихся в специальном приемнике для содержания арестованных в административном порядке, изоляторе временного содержания  и специальных помещениях для задержанных лиц (СПЗЛ) МУ МВД России «Ры...")</f>
        <v>Оказание услуг по обеспечению трехразовым питанием лиц, находящихся в специальном приемнике для содержания арестованных в административном порядке, изоляторе временного содержания  и специальных помещениях для задержанных лиц (СПЗЛ) МУ МВД России «Ры...</v>
      </c>
      <c r="G6539" s="22" t="s">
        <v>185</v>
      </c>
      <c r="H6539" s="22" t="s">
        <v>185</v>
      </c>
      <c r="I6539" s="26">
        <v>43697.416064814803</v>
      </c>
      <c r="J6539" s="23" t="str">
        <f>HYPERLINK("https://www.spark-marketing.ru/Card/Person/1515551", "ООО ""ФАБУЛА""")</f>
        <v>ООО "ФАБУЛА"</v>
      </c>
      <c r="K6539" s="24" t="s">
        <v>9951</v>
      </c>
      <c r="L6539" s="22" t="s">
        <v>10</v>
      </c>
      <c r="M6539" s="28" t="s">
        <v>51</v>
      </c>
      <c r="N6539" s="28" t="s">
        <v>51</v>
      </c>
    </row>
    <row r="6540" spans="1:14" x14ac:dyDescent="0.15">
      <c r="A6540" s="23" t="str">
        <f>HYPERLINK("https://www.spark-marketing.ru/Card/Person/4355692", "ГБУЗС ""СГОД ИМ. А.А.ЗАДОРОЖНОГО""")</f>
        <v>ГБУЗС "СГОД ИМ. А.А.ЗАДОРОЖНОГО"</v>
      </c>
      <c r="B6540" s="24" t="s">
        <v>9952</v>
      </c>
      <c r="C6540" s="25">
        <v>2987030</v>
      </c>
      <c r="D6540" s="22" t="s">
        <v>9953</v>
      </c>
      <c r="E6540" s="22" t="s">
        <v>48</v>
      </c>
      <c r="F6540" s="23" t="str">
        <f>HYPERLINK("https://www.spark-marketing.ru/Card/Lot/72917896", "Оказание услуг по организации лечебного питания пациентов")</f>
        <v>Оказание услуг по организации лечебного питания пациентов</v>
      </c>
      <c r="G6540" s="22" t="s">
        <v>322</v>
      </c>
      <c r="H6540" s="22" t="s">
        <v>322</v>
      </c>
      <c r="I6540" s="26">
        <v>43697.581458333298</v>
      </c>
      <c r="J6540" s="28" t="s">
        <v>51</v>
      </c>
      <c r="K6540" s="28" t="s">
        <v>51</v>
      </c>
      <c r="L6540" s="28" t="s">
        <v>51</v>
      </c>
      <c r="M6540" s="28" t="s">
        <v>51</v>
      </c>
      <c r="N6540" s="28" t="s">
        <v>51</v>
      </c>
    </row>
    <row r="6541" spans="1:14" hidden="1" outlineLevel="1" x14ac:dyDescent="0.2">
      <c r="A6541" s="23" t="str">
        <f>HYPERLINK("https://www.spark-marketing.ru/Card/Person/4355692", "ГБУЗС ""СГОД ИМ. А.А.ЗАДОРОЖНОГО""")</f>
        <v>ГБУЗС "СГОД ИМ. А.А.ЗАДОРОЖНОГО"</v>
      </c>
      <c r="B6541" s="24" t="s">
        <v>9952</v>
      </c>
      <c r="C6541" s="25">
        <v>2987030</v>
      </c>
      <c r="D6541" s="22" t="s">
        <v>9953</v>
      </c>
      <c r="E6541" s="22" t="s">
        <v>48</v>
      </c>
      <c r="F6541" s="23" t="str">
        <f>HYPERLINK("https://www.spark-marketing.ru/Card/Lot/72917896", "Оказание услуг по организации лечебного питания пациентов")</f>
        <v>Оказание услуг по организации лечебного питания пациентов</v>
      </c>
      <c r="G6541" s="22" t="s">
        <v>322</v>
      </c>
      <c r="H6541" s="22" t="s">
        <v>322</v>
      </c>
      <c r="I6541" s="26">
        <v>43697.581458333298</v>
      </c>
      <c r="J6541" s="23" t="str">
        <f>HYPERLINK("https://www.spark-marketing.ru/Card/Person/945446", "ООО ""КАФЕ ""УЛЫБКА""")</f>
        <v>ООО "КАФЕ "УЛЫБКА"</v>
      </c>
      <c r="K6541" s="24" t="s">
        <v>9954</v>
      </c>
      <c r="L6541" s="28" t="s">
        <v>51</v>
      </c>
      <c r="M6541" s="25">
        <v>2792873.05</v>
      </c>
      <c r="N6541" s="27">
        <v>6.5000000000000002E-2</v>
      </c>
    </row>
    <row r="6542" spans="1:14" ht="12.75" hidden="1" outlineLevel="1" x14ac:dyDescent="0.2">
      <c r="A6542" s="23" t="str">
        <f>HYPERLINK("https://www.spark-marketing.ru/Card/Person/4355692", "ГБУЗС ""СГОД ИМ. А.А.ЗАДОРОЖНОГО""")</f>
        <v>ГБУЗС "СГОД ИМ. А.А.ЗАДОРОЖНОГО"</v>
      </c>
      <c r="B6542" s="24" t="s">
        <v>9952</v>
      </c>
      <c r="C6542" s="25">
        <v>2987030</v>
      </c>
      <c r="D6542" s="22" t="s">
        <v>9953</v>
      </c>
      <c r="E6542" s="22" t="s">
        <v>48</v>
      </c>
      <c r="F6542" s="23" t="str">
        <f>HYPERLINK("https://www.spark-marketing.ru/Card/Lot/72917896", "Оказание услуг по организации лечебного питания пациентов")</f>
        <v>Оказание услуг по организации лечебного питания пациентов</v>
      </c>
      <c r="G6542" s="22" t="s">
        <v>322</v>
      </c>
      <c r="H6542" s="22" t="s">
        <v>322</v>
      </c>
      <c r="I6542" s="26">
        <v>43697.581458333298</v>
      </c>
      <c r="J6542" s="23" t="str">
        <f>HYPERLINK("https://www.spark-marketing.ru/Card/Person/941707", "Христенко Людмила Владимировна")</f>
        <v>Христенко Людмила Владимировна</v>
      </c>
      <c r="K6542" s="24" t="s">
        <v>8586</v>
      </c>
      <c r="L6542" s="22" t="s">
        <v>10</v>
      </c>
      <c r="M6542" s="25">
        <v>2792873.05</v>
      </c>
      <c r="N6542" s="27">
        <v>6.5000000000000002E-2</v>
      </c>
    </row>
    <row r="6543" spans="1:14" hidden="1" outlineLevel="1" x14ac:dyDescent="0.2">
      <c r="A6543" s="23" t="str">
        <f>HYPERLINK("https://www.spark-marketing.ru/Card/Person/4355692", "ГБУЗС ""СГОД ИМ. А.А.ЗАДОРОЖНОГО""")</f>
        <v>ГБУЗС "СГОД ИМ. А.А.ЗАДОРОЖНОГО"</v>
      </c>
      <c r="B6543" s="24" t="s">
        <v>9952</v>
      </c>
      <c r="C6543" s="25">
        <v>2987030</v>
      </c>
      <c r="D6543" s="22" t="s">
        <v>9953</v>
      </c>
      <c r="E6543" s="22" t="s">
        <v>48</v>
      </c>
      <c r="F6543" s="23" t="str">
        <f>HYPERLINK("https://www.spark-marketing.ru/Card/Lot/72917896", "Оказание услуг по организации лечебного питания пациентов")</f>
        <v>Оказание услуг по организации лечебного питания пациентов</v>
      </c>
      <c r="G6543" s="22" t="s">
        <v>322</v>
      </c>
      <c r="H6543" s="22" t="s">
        <v>322</v>
      </c>
      <c r="I6543" s="26">
        <v>43697.581458333298</v>
      </c>
      <c r="J6543" s="23" t="str">
        <f>HYPERLINK("https://www.spark-marketing.ru/Card/Person/936332", "ООО МПС ""РЕГИОН""")</f>
        <v>ООО МПС "РЕГИОН"</v>
      </c>
      <c r="K6543" s="24" t="s">
        <v>9955</v>
      </c>
      <c r="L6543" s="28" t="s">
        <v>51</v>
      </c>
      <c r="M6543" s="25">
        <v>2792873.05</v>
      </c>
      <c r="N6543" s="27">
        <v>6.5000000000000002E-2</v>
      </c>
    </row>
    <row r="6544" spans="1:14" x14ac:dyDescent="0.15">
      <c r="A6544" s="23" t="str">
        <f>HYPERLINK("https://www.spark-marketing.ru/Card/Person/737290", "ГКУ «ЦБЗ ПРИ МИНЗДРАВЕ КАРЕЛИИ»")</f>
        <v>ГКУ «ЦБЗ ПРИ МИНЗДРАВЕ КАРЕЛИИ»</v>
      </c>
      <c r="B6544" s="24" t="s">
        <v>312</v>
      </c>
      <c r="C6544" s="25">
        <v>576560.64000000001</v>
      </c>
      <c r="D6544" s="22" t="s">
        <v>9956</v>
      </c>
      <c r="E6544" s="22" t="s">
        <v>52</v>
      </c>
      <c r="F6544" s="23" t="str">
        <f>HYPERLINK("https://www.spark-marketing.ru/Card/Lot/72915277", "Поставка лекарственного препарата Олодатерол +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из...")</f>
        <v>Поставка лекарственного препарата Олодатерол +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</v>
      </c>
      <c r="G6544" s="22" t="s">
        <v>59</v>
      </c>
      <c r="H6544" s="22" t="s">
        <v>314</v>
      </c>
      <c r="I6544" s="26">
        <v>43697.618750000001</v>
      </c>
      <c r="J6544" s="28" t="s">
        <v>51</v>
      </c>
      <c r="K6544" s="28" t="s">
        <v>51</v>
      </c>
      <c r="L6544" s="28" t="s">
        <v>51</v>
      </c>
      <c r="M6544" s="28" t="s">
        <v>51</v>
      </c>
      <c r="N6544" s="28" t="s">
        <v>51</v>
      </c>
    </row>
    <row r="6545" spans="1:14" hidden="1" outlineLevel="1" x14ac:dyDescent="0.2">
      <c r="A6545" s="23" t="str">
        <f>HYPERLINK("https://www.spark-marketing.ru/Card/Person/737290", "ГКУ «ЦБЗ ПРИ МИНЗДРАВЕ КАРЕЛИИ»")</f>
        <v>ГКУ «ЦБЗ ПРИ МИНЗДРАВЕ КАРЕЛИИ»</v>
      </c>
      <c r="B6545" s="24" t="s">
        <v>312</v>
      </c>
      <c r="C6545" s="25">
        <v>576560.64000000001</v>
      </c>
      <c r="D6545" s="22" t="s">
        <v>9956</v>
      </c>
      <c r="E6545" s="22" t="s">
        <v>52</v>
      </c>
      <c r="F6545" s="23" t="str">
        <f>HYPERLINK("https://www.spark-marketing.ru/Card/Lot/72915277", "Поставка лекарственного препарата Олодатерол +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из...")</f>
        <v>Поставка лекарственного препарата Олодатерол +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</v>
      </c>
      <c r="G6545" s="22" t="s">
        <v>59</v>
      </c>
      <c r="H6545" s="22" t="s">
        <v>314</v>
      </c>
      <c r="I6545" s="26">
        <v>43697.618750000001</v>
      </c>
      <c r="J6545" s="23" t="str">
        <f>HYPERLINK("https://www.spark-marketing.ru/Card/Person/19670", "ООО ""ПМ-ФАРМА""")</f>
        <v>ООО "ПМ-ФАРМА"</v>
      </c>
      <c r="K6545" s="24" t="s">
        <v>4521</v>
      </c>
      <c r="L6545" s="28" t="s">
        <v>51</v>
      </c>
      <c r="M6545" s="25">
        <v>525518</v>
      </c>
      <c r="N6545" s="27">
        <v>8.8529525706090517E-2</v>
      </c>
    </row>
    <row r="6546" spans="1:14" ht="12.75" hidden="1" outlineLevel="1" x14ac:dyDescent="0.2">
      <c r="A6546" s="23" t="str">
        <f>HYPERLINK("https://www.spark-marketing.ru/Card/Person/737290", "ГКУ «ЦБЗ ПРИ МИНЗДРАВЕ КАРЕЛИИ»")</f>
        <v>ГКУ «ЦБЗ ПРИ МИНЗДРАВЕ КАРЕЛИИ»</v>
      </c>
      <c r="B6546" s="24" t="s">
        <v>312</v>
      </c>
      <c r="C6546" s="25">
        <v>576560.64000000001</v>
      </c>
      <c r="D6546" s="22" t="s">
        <v>9956</v>
      </c>
      <c r="E6546" s="22" t="s">
        <v>52</v>
      </c>
      <c r="F6546" s="23" t="str">
        <f>HYPERLINK("https://www.spark-marketing.ru/Card/Lot/72915277", "Поставка лекарственного препарата Олодатерол +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из...")</f>
        <v>Поставка лекарственного препарата Олодатерол +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</v>
      </c>
      <c r="G6546" s="22" t="s">
        <v>59</v>
      </c>
      <c r="H6546" s="22" t="s">
        <v>314</v>
      </c>
      <c r="I6546" s="26">
        <v>43697.618750000001</v>
      </c>
      <c r="J6546" s="23" t="str">
        <f>HYPERLINK("https://www.spark-marketing.ru/Card/Person/6073224", "ООО ""ЛЕКСТОР""")</f>
        <v>ООО "ЛЕКСТОР"</v>
      </c>
      <c r="K6546" s="24" t="s">
        <v>2797</v>
      </c>
      <c r="L6546" s="22" t="s">
        <v>10</v>
      </c>
      <c r="M6546" s="25">
        <v>507629.84</v>
      </c>
      <c r="N6546" s="27">
        <v>0.11955516075464326</v>
      </c>
    </row>
    <row r="6547" spans="1:14" hidden="1" outlineLevel="1" x14ac:dyDescent="0.2">
      <c r="A6547" s="23" t="str">
        <f>HYPERLINK("https://www.spark-marketing.ru/Card/Person/737290", "ГКУ «ЦБЗ ПРИ МИНЗДРАВЕ КАРЕЛИИ»")</f>
        <v>ГКУ «ЦБЗ ПРИ МИНЗДРАВЕ КАРЕЛИИ»</v>
      </c>
      <c r="B6547" s="24" t="s">
        <v>312</v>
      </c>
      <c r="C6547" s="25">
        <v>576560.64000000001</v>
      </c>
      <c r="D6547" s="22" t="s">
        <v>9956</v>
      </c>
      <c r="E6547" s="22" t="s">
        <v>52</v>
      </c>
      <c r="F6547" s="23" t="str">
        <f>HYPERLINK("https://www.spark-marketing.ru/Card/Lot/72915277", "Поставка лекарственного препарата Олодатерол +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из...")</f>
        <v>Поставка лекарственного препарата Олодатерол +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из...</v>
      </c>
      <c r="G6547" s="22" t="s">
        <v>59</v>
      </c>
      <c r="H6547" s="22" t="s">
        <v>314</v>
      </c>
      <c r="I6547" s="26">
        <v>43697.618750000001</v>
      </c>
      <c r="J6547" s="23" t="str">
        <f>HYPERLINK("https://www.spark-marketing.ru/Card/Person/6440681", "ООО ""МИД""")</f>
        <v>ООО "МИД"</v>
      </c>
      <c r="K6547" s="24" t="s">
        <v>3849</v>
      </c>
      <c r="L6547" s="28" t="s">
        <v>51</v>
      </c>
      <c r="M6547" s="25">
        <v>510512.64000000001</v>
      </c>
      <c r="N6547" s="27">
        <v>0.11455516630479666</v>
      </c>
    </row>
    <row r="6548" spans="1:14" x14ac:dyDescent="0.15">
      <c r="A6548" s="23" t="str">
        <f>HYPERLINK("https://www.spark-marketing.ru/Card/Person/138752", "МБОУ СОШ №36 Г.ШАХТЫ")</f>
        <v>МБОУ СОШ №36 Г.ШАХТЫ</v>
      </c>
      <c r="B6548" s="24" t="s">
        <v>9957</v>
      </c>
      <c r="C6548" s="25">
        <v>50000</v>
      </c>
      <c r="D6548" s="22" t="s">
        <v>9958</v>
      </c>
      <c r="E6548" s="22" t="s">
        <v>91</v>
      </c>
      <c r="F6548" s="23" t="str">
        <f>HYPERLINK("https://www.spark-marketing.ru/Card/Lot/72904657", "услуги по текущему ремонту вычислительной и оргтехники")</f>
        <v>услуги по текущему ремонту вычислительной и оргтехники</v>
      </c>
      <c r="G6548" s="22" t="s">
        <v>267</v>
      </c>
      <c r="H6548" s="22" t="s">
        <v>4874</v>
      </c>
      <c r="I6548" s="26">
        <v>43697.55</v>
      </c>
      <c r="J6548" s="28" t="s">
        <v>51</v>
      </c>
      <c r="K6548" s="28" t="s">
        <v>51</v>
      </c>
      <c r="L6548" s="28" t="s">
        <v>51</v>
      </c>
      <c r="M6548" s="28" t="s">
        <v>51</v>
      </c>
      <c r="N6548" s="28" t="s">
        <v>51</v>
      </c>
    </row>
    <row r="6549" spans="1:14" x14ac:dyDescent="0.15">
      <c r="A6549" s="23" t="str">
        <f>HYPERLINK("https://www.spark-marketing.ru/Card/Person/737290", "ГКУ «ЦБЗ ПРИ МИНЗДРАВЕ КАРЕЛИИ»")</f>
        <v>ГКУ «ЦБЗ ПРИ МИНЗДРАВЕ КАРЕЛИИ»</v>
      </c>
      <c r="B6549" s="24" t="s">
        <v>312</v>
      </c>
      <c r="C6549" s="25">
        <v>1932441.16</v>
      </c>
      <c r="D6549" s="22" t="s">
        <v>9959</v>
      </c>
      <c r="E6549" s="22" t="s">
        <v>52</v>
      </c>
      <c r="F6549" s="23" t="str">
        <f>HYPERLINK("https://www.spark-marketing.ru/Card/Lot/72909426", "Поставка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Тиотропия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6549" s="22" t="s">
        <v>59</v>
      </c>
      <c r="H6549" s="22" t="s">
        <v>314</v>
      </c>
      <c r="I6549" s="26">
        <v>43697.576215277797</v>
      </c>
      <c r="J6549" s="23" t="str">
        <f>HYPERLINK("https://www.spark-marketing.ru/Card/Person/6073224", "ООО ""ЛЕКСТОР""")</f>
        <v>ООО "ЛЕКСТОР"</v>
      </c>
      <c r="K6549" s="24" t="s">
        <v>2797</v>
      </c>
      <c r="L6549" s="22" t="s">
        <v>10</v>
      </c>
      <c r="M6549" s="28" t="s">
        <v>51</v>
      </c>
      <c r="N6549" s="28" t="s">
        <v>51</v>
      </c>
    </row>
    <row r="6550" spans="1:14" x14ac:dyDescent="0.15">
      <c r="A6550" s="23" t="str">
        <f>HYPERLINK("https://www.spark-marketing.ru/Card/Person/6514735", "ГБУ КО ПОО ""КОЛЛЕДЖ АГРОТЕХНОЛОГИЙ И ПРИРОДООБУСТРОЙСТВА""")</f>
        <v>ГБУ КО ПОО "КОЛЛЕДЖ АГРОТЕХНОЛОГИЙ И ПРИРОДООБУСТРОЙСТВА"</v>
      </c>
      <c r="B6550" s="24" t="s">
        <v>9960</v>
      </c>
      <c r="C6550" s="25">
        <v>379260</v>
      </c>
      <c r="D6550" s="22" t="s">
        <v>9961</v>
      </c>
      <c r="E6550" s="22" t="s">
        <v>48</v>
      </c>
      <c r="F6550" s="23" t="str">
        <f>HYPERLINK("https://www.spark-marketing.ru/Card/Lot/72904670", "Оказание услуг по организации питания учащихся из малообеспеченных семей")</f>
        <v>Оказание услуг по организации питания учащихся из малообеспеченных семей</v>
      </c>
      <c r="G6550" s="22" t="s">
        <v>400</v>
      </c>
      <c r="H6550" s="22" t="s">
        <v>9962</v>
      </c>
      <c r="I6550" s="26">
        <v>43697.551388888904</v>
      </c>
      <c r="J6550" s="28" t="s">
        <v>51</v>
      </c>
      <c r="K6550" s="28" t="s">
        <v>51</v>
      </c>
      <c r="L6550" s="28" t="s">
        <v>51</v>
      </c>
      <c r="M6550" s="28" t="s">
        <v>51</v>
      </c>
      <c r="N6550" s="28" t="s">
        <v>51</v>
      </c>
    </row>
    <row r="6551" spans="1:14" x14ac:dyDescent="0.15">
      <c r="A6551" s="23" t="str">
        <f>HYPERLINK("https://www.spark-marketing.ru/Card/Person/737290", "ГКУ «ЦБЗ ПРИ МИНЗДРАВЕ КАРЕЛИИ»")</f>
        <v>ГКУ «ЦБЗ ПРИ МИНЗДРАВЕ КАРЕЛИИ»</v>
      </c>
      <c r="B6551" s="24" t="s">
        <v>312</v>
      </c>
      <c r="C6551" s="25">
        <v>46662</v>
      </c>
      <c r="D6551" s="22" t="s">
        <v>9963</v>
      </c>
      <c r="E6551" s="22" t="s">
        <v>52</v>
      </c>
      <c r="F6551" s="23" t="str">
        <f>HYPERLINK("https://www.spark-marketing.ru/Card/Lot/72911618", "Поставка лекарственного препарата Пиридостигмина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...")</f>
        <v>Поставка лекарственного препарата Пиридостигмина бромид,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...</v>
      </c>
      <c r="G6551" s="22" t="s">
        <v>59</v>
      </c>
      <c r="H6551" s="22" t="s">
        <v>314</v>
      </c>
      <c r="I6551" s="26">
        <v>43697.569803240702</v>
      </c>
      <c r="J6551" s="28" t="s">
        <v>51</v>
      </c>
      <c r="K6551" s="28" t="s">
        <v>51</v>
      </c>
      <c r="L6551" s="28" t="s">
        <v>51</v>
      </c>
      <c r="M6551" s="28" t="s">
        <v>51</v>
      </c>
      <c r="N6551" s="28" t="s">
        <v>51</v>
      </c>
    </row>
    <row r="6552" spans="1:14" x14ac:dyDescent="0.15">
      <c r="A6552" s="23" t="str">
        <f>HYPERLINK("https://www.spark-marketing.ru/Card/Person/4343663", "МИНЗДРАВ АЛТАЙСКОГО КРАЯ")</f>
        <v>МИНЗДРАВ АЛТАЙСКОГО КРАЯ</v>
      </c>
      <c r="B6552" s="24" t="s">
        <v>9429</v>
      </c>
      <c r="C6552" s="25">
        <v>18960</v>
      </c>
      <c r="D6552" s="22" t="s">
        <v>9964</v>
      </c>
      <c r="E6552" s="22" t="s">
        <v>336</v>
      </c>
      <c r="F6552" s="23" t="str">
        <f>HYPERLINK("https://www.spark-marketing.ru/Card/Lot/72906051",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552" s="22" t="s">
        <v>63</v>
      </c>
      <c r="H6552" s="22" t="s">
        <v>177</v>
      </c>
      <c r="I6552" s="26">
        <v>43697.569444444402</v>
      </c>
      <c r="J6552" s="28" t="s">
        <v>51</v>
      </c>
      <c r="K6552" s="28" t="s">
        <v>51</v>
      </c>
      <c r="L6552" s="28" t="s">
        <v>51</v>
      </c>
      <c r="M6552" s="28" t="s">
        <v>51</v>
      </c>
      <c r="N6552" s="28" t="s">
        <v>51</v>
      </c>
    </row>
    <row r="6553" spans="1:14" x14ac:dyDescent="0.15">
      <c r="A6553" s="23" t="str">
        <f>HYPERLINK("https://www.spark-marketing.ru/Card/Person/4343663", "МИНЗДРАВ АЛТАЙСКОГО КРАЯ")</f>
        <v>МИНЗДРАВ АЛТАЙСКОГО КРАЯ</v>
      </c>
      <c r="B6553" s="24" t="s">
        <v>9429</v>
      </c>
      <c r="C6553" s="25">
        <v>15300</v>
      </c>
      <c r="D6553" s="22" t="s">
        <v>9965</v>
      </c>
      <c r="E6553" s="22" t="s">
        <v>336</v>
      </c>
      <c r="F6553" s="23" t="str">
        <f>HYPERLINK("https://www.spark-marketing.ru/Card/Lot/72906054",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553" s="22" t="s">
        <v>63</v>
      </c>
      <c r="H6553" s="22" t="s">
        <v>177</v>
      </c>
      <c r="I6553" s="26">
        <v>43697.5715277778</v>
      </c>
      <c r="J6553" s="28" t="s">
        <v>51</v>
      </c>
      <c r="K6553" s="28" t="s">
        <v>51</v>
      </c>
      <c r="L6553" s="28" t="s">
        <v>51</v>
      </c>
      <c r="M6553" s="28" t="s">
        <v>51</v>
      </c>
      <c r="N6553" s="28" t="s">
        <v>51</v>
      </c>
    </row>
    <row r="6554" spans="1:14" x14ac:dyDescent="0.15">
      <c r="A6554" s="23" t="str">
        <f>HYPERLINK("https://www.spark-marketing.ru/Card/Person/66262", "ГБПОУ РО ""КТСИА""")</f>
        <v>ГБПОУ РО "КТСИА"</v>
      </c>
      <c r="B6554" s="24" t="s">
        <v>9643</v>
      </c>
      <c r="C6554" s="25">
        <v>594960</v>
      </c>
      <c r="D6554" s="22" t="s">
        <v>9966</v>
      </c>
      <c r="E6554" s="22" t="s">
        <v>48</v>
      </c>
      <c r="F6554" s="23" t="str">
        <f>HYPERLINK("https://www.spark-marketing.ru/Card/Lot/72904737", "Услуги по организации горячего питания обучающихся")</f>
        <v>Услуги по организации горячего питания обучающихся</v>
      </c>
      <c r="G6554" s="22" t="s">
        <v>267</v>
      </c>
      <c r="H6554" s="22" t="s">
        <v>9645</v>
      </c>
      <c r="I6554" s="26">
        <v>43697.543749999997</v>
      </c>
      <c r="J6554" s="28" t="s">
        <v>51</v>
      </c>
      <c r="K6554" s="28" t="s">
        <v>51</v>
      </c>
      <c r="L6554" s="28" t="s">
        <v>51</v>
      </c>
      <c r="M6554" s="28" t="s">
        <v>51</v>
      </c>
      <c r="N6554" s="28" t="s">
        <v>51</v>
      </c>
    </row>
    <row r="6555" spans="1:14" x14ac:dyDescent="0.15">
      <c r="A6555" s="23" t="str">
        <f>HYPERLINK("https://www.spark-marketing.ru/Card/Person/6514735", "ГБУ КО ПОО ""КОЛЛЕДЖ АГРОТЕХНОЛОГИЙ И ПРИРОДООБУСТРОЙСТВА""")</f>
        <v>ГБУ КО ПОО "КОЛЛЕДЖ АГРОТЕХНОЛОГИЙ И ПРИРОДООБУСТРОЙСТВА"</v>
      </c>
      <c r="B6555" s="24" t="s">
        <v>9960</v>
      </c>
      <c r="C6555" s="25">
        <v>428925</v>
      </c>
      <c r="D6555" s="22" t="s">
        <v>9967</v>
      </c>
      <c r="E6555" s="22" t="s">
        <v>48</v>
      </c>
      <c r="F6555" s="23" t="str">
        <f>HYPERLINK("https://www.spark-marketing.ru/Card/Lot/72904727", "Оказание услуг по организации питания детей-сирот и детей, оставшихся без попечения родителей")</f>
        <v>Оказание услуг по организации питания детей-сирот и детей, оставшихся без попечения родителей</v>
      </c>
      <c r="G6555" s="22" t="s">
        <v>400</v>
      </c>
      <c r="H6555" s="22" t="s">
        <v>9962</v>
      </c>
      <c r="I6555" s="26">
        <v>43697.541666666701</v>
      </c>
      <c r="J6555" s="28" t="s">
        <v>51</v>
      </c>
      <c r="K6555" s="28" t="s">
        <v>51</v>
      </c>
      <c r="L6555" s="28" t="s">
        <v>51</v>
      </c>
      <c r="M6555" s="28" t="s">
        <v>51</v>
      </c>
      <c r="N6555" s="28" t="s">
        <v>51</v>
      </c>
    </row>
    <row r="6556" spans="1:14" x14ac:dyDescent="0.15">
      <c r="A6556" s="23" t="str">
        <f>HYPERLINK("https://www.spark-marketing.ru/Card/Person/48288", "БУ ""МЕГИОНСКАЯ ГОРОДСКАЯ ДЕТСКАЯ БОЛЬНИЦА ""ЖЕМЧУЖИНКА""")</f>
        <v>БУ "МЕГИОНСКАЯ ГОРОДСКАЯ ДЕТСКАЯ БОЛЬНИЦА "ЖЕМЧУЖИНКА"</v>
      </c>
      <c r="B6556" s="24" t="s">
        <v>5117</v>
      </c>
      <c r="C6556" s="28" t="s">
        <v>51</v>
      </c>
      <c r="D6556" s="22" t="s">
        <v>9968</v>
      </c>
      <c r="E6556" s="22" t="s">
        <v>51</v>
      </c>
      <c r="F6556" s="23" t="str">
        <f>HYPERLINK("https://www.spark-marketing.ru/Card/Lot/72904738", "Оказание услуг по организации лечебного питания пациентов в сопровождающих лиц, проходящих лечение в условиях стационара")</f>
        <v>Оказание услуг по организации лечебного питания пациентов в сопровождающих лиц, проходящих лечение в условиях стационара</v>
      </c>
      <c r="G6556" s="22" t="s">
        <v>97</v>
      </c>
      <c r="H6556" s="22" t="s">
        <v>1711</v>
      </c>
      <c r="I6556" s="26">
        <v>43697.543749999997</v>
      </c>
      <c r="J6556" s="28" t="s">
        <v>51</v>
      </c>
      <c r="K6556" s="28" t="s">
        <v>51</v>
      </c>
      <c r="L6556" s="28" t="s">
        <v>51</v>
      </c>
      <c r="M6556" s="28" t="s">
        <v>51</v>
      </c>
      <c r="N6556" s="28" t="s">
        <v>51</v>
      </c>
    </row>
    <row r="6557" spans="1:14" x14ac:dyDescent="0.15">
      <c r="A6557" s="23" t="str">
        <f>HYPERLINK("https://www.spark-marketing.ru/Card/Person/1692809", "МО МВД РОССИИ ""УНЕЧСКИЙ""")</f>
        <v>МО МВД РОССИИ "УНЕЧСКИЙ"</v>
      </c>
      <c r="B6557" s="24" t="s">
        <v>3703</v>
      </c>
      <c r="C6557" s="25">
        <v>1150800</v>
      </c>
      <c r="D6557" s="22" t="s">
        <v>9969</v>
      </c>
      <c r="E6557" s="22" t="s">
        <v>48</v>
      </c>
      <c r="F6557" s="23" t="str">
        <f>HYPERLINK("https://www.spark-marketing.ru/Card/Lot/72905875", "услуги по организации ежедневного трехразового горячего питания, в том числе в выходные и праздничные дни лиц, содержащихся в комнате административно-задержанных, изоляторе временного содержания и специальном приемнике для содержания лиц, подвергнуты...")</f>
        <v>услуги по организации ежедневного трехразового горячего питания, в том числе в выходные и праздничные дни лиц, содержащихся в комнате административно-задержанных, изоляторе временного содержания и специальном приемнике для содержания лиц, подвергнуты...</v>
      </c>
      <c r="G6557" s="22" t="s">
        <v>475</v>
      </c>
      <c r="H6557" s="22" t="s">
        <v>6226</v>
      </c>
      <c r="I6557" s="26">
        <v>43697.4855439815</v>
      </c>
      <c r="J6557" s="28" t="s">
        <v>51</v>
      </c>
      <c r="K6557" s="28" t="s">
        <v>51</v>
      </c>
      <c r="L6557" s="28" t="s">
        <v>51</v>
      </c>
      <c r="M6557" s="28" t="s">
        <v>51</v>
      </c>
      <c r="N6557" s="28" t="s">
        <v>51</v>
      </c>
    </row>
    <row r="6558" spans="1:14" x14ac:dyDescent="0.15">
      <c r="A6558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6558" s="24" t="s">
        <v>5659</v>
      </c>
      <c r="C6558" s="25">
        <v>350000</v>
      </c>
      <c r="D6558" s="22" t="s">
        <v>9970</v>
      </c>
      <c r="E6558" s="22" t="s">
        <v>48</v>
      </c>
      <c r="F6558" s="23" t="str">
        <f>HYPERLINK("https://www.spark-marketing.ru/Card/Lot/72892751", "Оказание услуг по организации ежедневного трехразового горячего питания спецконтингента содержащегося в ИВС ПП № 8 Усть-Камчатского МО МВД России")</f>
        <v>Оказание услуг по организации ежедневного трехразового горячего питания спецконтингента содержащегося в ИВС ПП № 8 Усть-Камчатского МО МВД России</v>
      </c>
      <c r="G6558" s="22" t="s">
        <v>246</v>
      </c>
      <c r="H6558" s="22" t="s">
        <v>9971</v>
      </c>
      <c r="I6558" s="26">
        <v>43697.493020833303</v>
      </c>
      <c r="J6558" s="23" t="str">
        <f>HYPERLINK("https://www.spark-marketing.ru/Card/Person/6469055", "ООО ""АУРА""")</f>
        <v>ООО "АУРА"</v>
      </c>
      <c r="K6558" s="24" t="s">
        <v>9972</v>
      </c>
      <c r="L6558" s="22" t="s">
        <v>10</v>
      </c>
      <c r="M6558" s="28" t="s">
        <v>51</v>
      </c>
      <c r="N6558" s="28" t="s">
        <v>51</v>
      </c>
    </row>
    <row r="6559" spans="1:14" x14ac:dyDescent="0.15">
      <c r="A6559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6559" s="24" t="s">
        <v>5659</v>
      </c>
      <c r="C6559" s="25">
        <v>350000</v>
      </c>
      <c r="D6559" s="22" t="s">
        <v>9973</v>
      </c>
      <c r="E6559" s="22" t="s">
        <v>48</v>
      </c>
      <c r="F6559" s="23" t="str">
        <f>HYPERLINK("https://www.spark-marketing.ru/Card/Lot/72892800", "Оказание услуг по организации ежедневного трехразового горячего питания спецконтингента содержащегося в ИВС Усть-Камчатского МО МВД России")</f>
        <v>Оказание услуг по организации ежедневного трехразового горячего питания спецконтингента содержащегося в ИВС Усть-Камчатского МО МВД России</v>
      </c>
      <c r="G6559" s="22" t="s">
        <v>246</v>
      </c>
      <c r="H6559" s="22" t="s">
        <v>9971</v>
      </c>
      <c r="I6559" s="26">
        <v>43697.523229166698</v>
      </c>
      <c r="J6559" s="23" t="str">
        <f>HYPERLINK("https://www.spark-marketing.ru/Card/Person/5865887", "Джайлообаева Раиса Семеновна")</f>
        <v>Джайлообаева Раиса Семеновна</v>
      </c>
      <c r="K6559" s="24" t="s">
        <v>9974</v>
      </c>
      <c r="L6559" s="22" t="s">
        <v>10</v>
      </c>
      <c r="M6559" s="28" t="s">
        <v>51</v>
      </c>
      <c r="N6559" s="28" t="s">
        <v>51</v>
      </c>
    </row>
    <row r="6560" spans="1:14" x14ac:dyDescent="0.15">
      <c r="A6560" s="23" t="str">
        <f>HYPERLINK("https://www.spark-marketing.ru/Card/Person/4343663", "МИНЗДРАВ АЛТАЙСКОГО КРАЯ")</f>
        <v>МИНЗДРАВ АЛТАЙСКОГО КРАЯ</v>
      </c>
      <c r="B6560" s="24" t="s">
        <v>9429</v>
      </c>
      <c r="C6560" s="25">
        <v>28800</v>
      </c>
      <c r="D6560" s="22" t="s">
        <v>9975</v>
      </c>
      <c r="E6560" s="22" t="s">
        <v>336</v>
      </c>
      <c r="F6560" s="23" t="str">
        <f>HYPERLINK("https://www.spark-marketing.ru/Card/Lot/72903641",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560" s="22" t="s">
        <v>63</v>
      </c>
      <c r="H6560" s="22" t="s">
        <v>177</v>
      </c>
      <c r="I6560" s="26">
        <v>43697.532638888901</v>
      </c>
      <c r="J6560" s="28" t="s">
        <v>51</v>
      </c>
      <c r="K6560" s="28" t="s">
        <v>51</v>
      </c>
      <c r="L6560" s="28" t="s">
        <v>51</v>
      </c>
      <c r="M6560" s="28" t="s">
        <v>51</v>
      </c>
      <c r="N6560" s="28" t="s">
        <v>51</v>
      </c>
    </row>
    <row r="6561" spans="1:14" x14ac:dyDescent="0.15">
      <c r="A6561" s="23" t="str">
        <f>HYPERLINK("https://www.spark-marketing.ru/Card/Person/737290", "ГКУ «ЦБЗ ПРИ МИНЗДРАВЕ КАРЕЛИИ»")</f>
        <v>ГКУ «ЦБЗ ПРИ МИНЗДРАВЕ КАРЕЛИИ»</v>
      </c>
      <c r="B6561" s="24" t="s">
        <v>312</v>
      </c>
      <c r="C6561" s="25">
        <v>132999.57</v>
      </c>
      <c r="D6561" s="22" t="s">
        <v>9976</v>
      </c>
      <c r="E6561" s="22" t="s">
        <v>52</v>
      </c>
      <c r="F6561" s="23" t="str">
        <f>HYPERLINK("https://www.spark-marketing.ru/Card/Lot/72906697", "Поставка лекарственного препарата Деносумаб,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...")</f>
        <v>Поставка лекарственного препарата Деносумаб,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...</v>
      </c>
      <c r="G6561" s="22" t="s">
        <v>59</v>
      </c>
      <c r="H6561" s="22" t="s">
        <v>314</v>
      </c>
      <c r="I6561" s="26">
        <v>43697.517812500002</v>
      </c>
      <c r="J6561" s="23" t="str">
        <f>HYPERLINK("https://www.spark-marketing.ru/Card/Person/6441363", "ООО ""ИРВИН""")</f>
        <v>ООО "ИРВИН"</v>
      </c>
      <c r="K6561" s="24" t="s">
        <v>4849</v>
      </c>
      <c r="L6561" s="22" t="s">
        <v>10</v>
      </c>
      <c r="M6561" s="28" t="s">
        <v>51</v>
      </c>
      <c r="N6561" s="28" t="s">
        <v>51</v>
      </c>
    </row>
    <row r="6562" spans="1:14" x14ac:dyDescent="0.15">
      <c r="A6562" s="23" t="str">
        <f>HYPERLINK("https://www.spark-marketing.ru/Card/Person/4857912", "МЕЖРЕГИОНАЛЬНЫЙ ФИЛИАЛ ФКУ ""ЦЕНТР ПО ОБЕСПЕЧЕНИЮ ДЕЯТЕЛЬНОСТИ КАЗНАЧЕЙСТВА РОССИИ"" В Г. ХАБАРОВСКЕ")</f>
        <v>МЕЖРЕГИОНАЛЬНЫЙ ФИЛИАЛ ФКУ "ЦЕНТР ПО ОБЕСПЕЧЕНИЮ ДЕЯТЕЛЬНОСТИ КАЗНАЧЕЙСТВА РОССИИ" В Г. ХАБАРОВСКЕ</v>
      </c>
      <c r="B6562" s="24" t="s">
        <v>2576</v>
      </c>
      <c r="C6562" s="25">
        <v>254400</v>
      </c>
      <c r="D6562" s="22" t="s">
        <v>9977</v>
      </c>
      <c r="E6562" s="22" t="s">
        <v>91</v>
      </c>
      <c r="F6562" s="23" t="str">
        <f>HYPERLINK("https://www.spark-marketing.ru/Card/Lot/72894258", "Оказание услуг по техническому обслуживанию систем бесперебойного питания для нужд Управления Федерального казначейства по Хабаровскому краю")</f>
        <v>Оказание услуг по техническому обслуживанию систем бесперебойного питания для нужд Управления Федерального казначейства по Хабаровскому краю</v>
      </c>
      <c r="G6562" s="22" t="s">
        <v>1096</v>
      </c>
      <c r="H6562" s="22" t="s">
        <v>1097</v>
      </c>
      <c r="I6562" s="26">
        <v>43697.511527777802</v>
      </c>
      <c r="J6562" s="23" t="str">
        <f>HYPERLINK("https://www.spark-marketing.ru/Card/Person/232379", "Гузов Евгений Андреевич")</f>
        <v>Гузов Евгений Андреевич</v>
      </c>
      <c r="K6562" s="24" t="s">
        <v>9978</v>
      </c>
      <c r="L6562" s="22" t="s">
        <v>10</v>
      </c>
      <c r="M6562" s="28" t="s">
        <v>51</v>
      </c>
      <c r="N6562" s="28" t="s">
        <v>51</v>
      </c>
    </row>
    <row r="6563" spans="1:14" x14ac:dyDescent="0.15">
      <c r="A6563" s="23" t="str">
        <f>HYPERLINK("https://www.spark-marketing.ru/Card/Person/4343663", "МИНЗДРАВ АЛТАЙСКОГО КРАЯ")</f>
        <v>МИНЗДРАВ АЛТАЙСКОГО КРАЯ</v>
      </c>
      <c r="B6563" s="24" t="s">
        <v>9429</v>
      </c>
      <c r="C6563" s="25">
        <v>7260</v>
      </c>
      <c r="D6563" s="22" t="s">
        <v>9979</v>
      </c>
      <c r="E6563" s="22" t="s">
        <v>336</v>
      </c>
      <c r="F6563" s="23" t="str">
        <f>HYPERLINK("https://www.spark-marketing.ru/Card/Lot/72903621",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563" s="22" t="s">
        <v>63</v>
      </c>
      <c r="H6563" s="22" t="s">
        <v>177</v>
      </c>
      <c r="I6563" s="26">
        <v>43697.527777777803</v>
      </c>
      <c r="J6563" s="28" t="s">
        <v>51</v>
      </c>
      <c r="K6563" s="28" t="s">
        <v>51</v>
      </c>
      <c r="L6563" s="28" t="s">
        <v>51</v>
      </c>
      <c r="M6563" s="28" t="s">
        <v>51</v>
      </c>
      <c r="N6563" s="28" t="s">
        <v>51</v>
      </c>
    </row>
    <row r="6564" spans="1:14" x14ac:dyDescent="0.15">
      <c r="A6564" s="23" t="str">
        <f>HYPERLINK("https://www.spark-marketing.ru/Card/Person/65732", "ГАУСО ""ЦРИ ""ВЕТЕРАН""")</f>
        <v>ГАУСО "ЦРИ "ВЕТЕРАН"</v>
      </c>
      <c r="B6564" s="24" t="s">
        <v>9980</v>
      </c>
      <c r="C6564" s="25">
        <v>1890077.28</v>
      </c>
      <c r="D6564" s="22" t="s">
        <v>9981</v>
      </c>
      <c r="E6564" s="22" t="s">
        <v>96</v>
      </c>
      <c r="F6564" s="23" t="str">
        <f>HYPERLINK("https://www.spark-marketing.ru/Card/Lot/72909642", "Оказание услуг по организации горячего питания для нужд ГАУСО ""ЦРИ ""Ветеран""")</f>
        <v>Оказание услуг по организации горячего питания для нужд ГАУСО "ЦРИ "Ветеран"</v>
      </c>
      <c r="G6564" s="22" t="s">
        <v>217</v>
      </c>
      <c r="H6564" s="22" t="s">
        <v>9289</v>
      </c>
      <c r="I6564" s="26">
        <v>43697.514293981498</v>
      </c>
      <c r="J6564" s="23" t="str">
        <f>HYPERLINK("https://www.spark-marketing.ru/Card/Person/6075772", "ООО ""ЭТАЛОН+""")</f>
        <v>ООО "ЭТАЛОН+"</v>
      </c>
      <c r="K6564" s="24" t="s">
        <v>5846</v>
      </c>
      <c r="L6564" s="22" t="s">
        <v>10</v>
      </c>
      <c r="M6564" s="28" t="s">
        <v>51</v>
      </c>
      <c r="N6564" s="28" t="s">
        <v>51</v>
      </c>
    </row>
    <row r="6565" spans="1:14" ht="12.75" x14ac:dyDescent="0.2">
      <c r="A6565" s="23" t="str">
        <f>HYPERLINK("https://www.spark-marketing.ru/Card/Person/265510", "ОТДЕЛ МВД РОССИИ ПО Г. БЕРЕЗОВСКОМУ")</f>
        <v>ОТДЕЛ МВД РОССИИ ПО Г. БЕРЕЗОВСКОМУ</v>
      </c>
      <c r="B6565" s="24" t="s">
        <v>1543</v>
      </c>
      <c r="C6565" s="25">
        <v>174000</v>
      </c>
      <c r="D6565" s="22" t="s">
        <v>9982</v>
      </c>
      <c r="E6565" s="22" t="s">
        <v>48</v>
      </c>
      <c r="F6565" s="23" t="str">
        <f>HYPERLINK("https://www.spark-marketing.ru/Card/Lot/72906503", "Оказание услуг по организации 3-х разового питания арестованных и задержанных в ИВС Отдела МВД России по г. Березовскому, в соответствии с нормой питания для  подозреваемых  и  обвиняемых  в  совершении преступлений, находящихся в следственных изолят...")</f>
        <v>Оказание услуг по организации 3-х разового питания арестованных и задержанных в ИВС Отдела МВД России по г. Березовскому, в соответствии с нормой питания для  подозреваемых  и  обвиняемых  в  совершении преступлений, находящихся в следственных изолят...</v>
      </c>
      <c r="G6565" s="22" t="s">
        <v>304</v>
      </c>
      <c r="H6565" s="22" t="s">
        <v>1545</v>
      </c>
      <c r="I6565" s="26">
        <v>43696.716400463003</v>
      </c>
      <c r="J6565" s="23" t="str">
        <f>HYPERLINK("https://www.spark-marketing.ru/Card/Person/4537617", "Назарова Нина Германовна")</f>
        <v>Назарова Нина Германовна</v>
      </c>
      <c r="K6565" s="24" t="s">
        <v>1546</v>
      </c>
      <c r="L6565" s="22" t="s">
        <v>10</v>
      </c>
      <c r="M6565" s="25">
        <v>174000</v>
      </c>
      <c r="N6565" s="27">
        <v>0</v>
      </c>
    </row>
    <row r="6566" spans="1:14" ht="12.75" x14ac:dyDescent="0.2">
      <c r="A6566" s="23" t="str">
        <f>HYPERLINK("https://www.spark-marketing.ru/Card/Person/1037238", "МБУ ""ОДМ""")</f>
        <v>МБУ "ОДМ"</v>
      </c>
      <c r="B6566" s="24" t="s">
        <v>7957</v>
      </c>
      <c r="C6566" s="25">
        <v>71920</v>
      </c>
      <c r="D6566" s="22" t="s">
        <v>9983</v>
      </c>
      <c r="E6566" s="22" t="s">
        <v>1492</v>
      </c>
      <c r="F6566" s="23" t="str">
        <f>HYPERLINK("https://www.spark-marketing.ru/Card/Lot/72905117", "Оказание услуг по организации проживания, питания участников открытого городского слета работающей молодежи и молодых предпринимателей")</f>
        <v>Оказание услуг по организации проживания, питания участников открытого городского слета работающей молодежи и молодых предпринимателей</v>
      </c>
      <c r="G6566" s="22" t="s">
        <v>195</v>
      </c>
      <c r="H6566" s="22" t="s">
        <v>6179</v>
      </c>
      <c r="I6566" s="26">
        <v>43697.6159259259</v>
      </c>
      <c r="J6566" s="23" t="str">
        <f>HYPERLINK("https://www.spark-marketing.ru/Card/Person/6236197", "ООО ""СПАРТАНЕЦ""")</f>
        <v>ООО "СПАРТАНЕЦ"</v>
      </c>
      <c r="K6566" s="24" t="s">
        <v>7959</v>
      </c>
      <c r="L6566" s="22" t="s">
        <v>10</v>
      </c>
      <c r="M6566" s="25">
        <v>71920</v>
      </c>
      <c r="N6566" s="27">
        <v>0</v>
      </c>
    </row>
    <row r="6567" spans="1:14" x14ac:dyDescent="0.15">
      <c r="A6567" s="23" t="str">
        <f>HYPERLINK("https://www.spark-marketing.ru/Card/Person/1017381", "О МВД РОССИИ ПО БЕЗЕНЧУКСКОМУ РАЙОНУ")</f>
        <v>О МВД РОССИИ ПО БЕЗЕНЧУКСКОМУ РАЙОНУ</v>
      </c>
      <c r="B6567" s="24" t="s">
        <v>9984</v>
      </c>
      <c r="C6567" s="25">
        <v>250000</v>
      </c>
      <c r="D6567" s="22" t="s">
        <v>9985</v>
      </c>
      <c r="E6567" s="22" t="s">
        <v>48</v>
      </c>
      <c r="F6567" s="23" t="str">
        <f>HYPERLINK("https://www.spark-marketing.ru/Card/Lot/72899950",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567" s="22" t="s">
        <v>128</v>
      </c>
      <c r="H6567" s="22" t="s">
        <v>128</v>
      </c>
      <c r="I6567" s="26">
        <v>43697.474756944401</v>
      </c>
      <c r="J6567" s="28" t="s">
        <v>51</v>
      </c>
      <c r="K6567" s="28" t="s">
        <v>51</v>
      </c>
      <c r="L6567" s="28" t="s">
        <v>51</v>
      </c>
      <c r="M6567" s="28" t="s">
        <v>51</v>
      </c>
      <c r="N6567" s="28" t="s">
        <v>51</v>
      </c>
    </row>
    <row r="6568" spans="1:14" x14ac:dyDescent="0.15">
      <c r="A6568" s="23" t="str">
        <f t="shared" ref="A6568:A6577" si="143">HYPERLINK("https://www.spark-marketing.ru/Card/Person/34132", "СПБ ГБПОУ ""УОР № 1""")</f>
        <v>СПБ ГБПОУ "УОР № 1"</v>
      </c>
      <c r="B6568" s="24" t="s">
        <v>632</v>
      </c>
      <c r="C6568" s="25">
        <v>327977.33</v>
      </c>
      <c r="D6568" s="22" t="s">
        <v>9986</v>
      </c>
      <c r="E6568" s="22" t="s">
        <v>374</v>
      </c>
      <c r="F6568" s="23" t="str">
        <f>HYPERLINK("https://www.spark-marketing.ru/Card/Lot/72905797", "Оказание услуг на обеспечение участия в соревнованиях за пределами Санкт-Петербурга и Ленинградской области с учетом затрат на организацию питания и проживания для отделения ""Триатлон"" для нужд СПБ ГБПОУ ""УОР №1""")</f>
        <v>Оказание услуг на обеспечение участия в соревнованиях за пределами Санкт-Петербурга и Ленинградской области с учетом затрат на организацию питания и проживания для отделения "Триатлон" для нужд СПБ ГБПОУ "УОР №1"</v>
      </c>
      <c r="G6568" s="22" t="s">
        <v>117</v>
      </c>
      <c r="H6568" s="22" t="s">
        <v>117</v>
      </c>
      <c r="I6568" s="26">
        <v>43697.4616550926</v>
      </c>
      <c r="J6568" s="28" t="s">
        <v>51</v>
      </c>
      <c r="K6568" s="28" t="s">
        <v>51</v>
      </c>
      <c r="L6568" s="28" t="s">
        <v>51</v>
      </c>
      <c r="M6568" s="28" t="s">
        <v>51</v>
      </c>
      <c r="N6568" s="28" t="s">
        <v>51</v>
      </c>
    </row>
    <row r="6569" spans="1:14" hidden="1" outlineLevel="1" x14ac:dyDescent="0.2">
      <c r="A6569" s="23" t="str">
        <f t="shared" si="143"/>
        <v>СПБ ГБПОУ "УОР № 1"</v>
      </c>
      <c r="B6569" s="24" t="s">
        <v>632</v>
      </c>
      <c r="C6569" s="25">
        <v>327977.33</v>
      </c>
      <c r="D6569" s="22" t="s">
        <v>9986</v>
      </c>
      <c r="E6569" s="22" t="s">
        <v>374</v>
      </c>
      <c r="F6569" s="23" t="str">
        <f>HYPERLINK("https://www.spark-marketing.ru/Card/Lot/72905797", "Оказание услуг на обеспечение участия в соревнованиях за пределами Санкт-Петербурга и Ленинградской области с учетом затрат на организацию питания и проживания для отделения ""Триатлон"" для нужд СПБ ГБПОУ ""УОР №1""")</f>
        <v>Оказание услуг на обеспечение участия в соревнованиях за пределами Санкт-Петербурга и Ленинградской области с учетом затрат на организацию питания и проживания для отделения "Триатлон" для нужд СПБ ГБПОУ "УОР №1"</v>
      </c>
      <c r="G6569" s="22" t="s">
        <v>117</v>
      </c>
      <c r="H6569" s="22" t="s">
        <v>117</v>
      </c>
      <c r="I6569" s="26">
        <v>43697.4616550926</v>
      </c>
      <c r="J6569" s="23" t="str">
        <f>HYPERLINK("https://www.spark-marketing.ru/Card/Person/6199231", "Полочанская Ольга Геннадьевна")</f>
        <v>Полочанская Ольга Геннадьевна</v>
      </c>
      <c r="K6569" s="24" t="s">
        <v>2484</v>
      </c>
      <c r="L6569" s="28" t="s">
        <v>51</v>
      </c>
      <c r="M6569" s="25">
        <v>313218.32</v>
      </c>
      <c r="N6569" s="27">
        <v>4.5000091927085324E-2</v>
      </c>
    </row>
    <row r="6570" spans="1:14" hidden="1" outlineLevel="1" x14ac:dyDescent="0.2">
      <c r="A6570" s="23" t="str">
        <f t="shared" si="143"/>
        <v>СПБ ГБПОУ "УОР № 1"</v>
      </c>
      <c r="B6570" s="24" t="s">
        <v>632</v>
      </c>
      <c r="C6570" s="25">
        <v>327977.33</v>
      </c>
      <c r="D6570" s="22" t="s">
        <v>9986</v>
      </c>
      <c r="E6570" s="22" t="s">
        <v>374</v>
      </c>
      <c r="F6570" s="23" t="str">
        <f>HYPERLINK("https://www.spark-marketing.ru/Card/Lot/72905797", "Оказание услуг на обеспечение участия в соревнованиях за пределами Санкт-Петербурга и Ленинградской области с учетом затрат на организацию питания и проживания для отделения ""Триатлон"" для нужд СПБ ГБПОУ ""УОР №1""")</f>
        <v>Оказание услуг на обеспечение участия в соревнованиях за пределами Санкт-Петербурга и Ленинградской области с учетом затрат на организацию питания и проживания для отделения "Триатлон" для нужд СПБ ГБПОУ "УОР №1"</v>
      </c>
      <c r="G6570" s="22" t="s">
        <v>117</v>
      </c>
      <c r="H6570" s="22" t="s">
        <v>117</v>
      </c>
      <c r="I6570" s="26">
        <v>43697.4616550926</v>
      </c>
      <c r="J6570" s="23" t="str">
        <f>HYPERLINK("https://www.spark-marketing.ru/Card/Person/536300", "ООО ""ЕВРОСПОРТ""")</f>
        <v>ООО "ЕВРОСПОРТ"</v>
      </c>
      <c r="K6570" s="24" t="s">
        <v>9987</v>
      </c>
      <c r="L6570" s="28" t="s">
        <v>51</v>
      </c>
      <c r="M6570" s="25">
        <v>326337.44</v>
      </c>
      <c r="N6570" s="27">
        <v>5.000010214120592E-3</v>
      </c>
    </row>
    <row r="6571" spans="1:14" hidden="1" outlineLevel="1" x14ac:dyDescent="0.2">
      <c r="A6571" s="23" t="str">
        <f t="shared" si="143"/>
        <v>СПБ ГБПОУ "УОР № 1"</v>
      </c>
      <c r="B6571" s="24" t="s">
        <v>632</v>
      </c>
      <c r="C6571" s="25">
        <v>327977.33</v>
      </c>
      <c r="D6571" s="22" t="s">
        <v>9986</v>
      </c>
      <c r="E6571" s="22" t="s">
        <v>374</v>
      </c>
      <c r="F6571" s="23" t="str">
        <f>HYPERLINK("https://www.spark-marketing.ru/Card/Lot/72905797", "Оказание услуг на обеспечение участия в соревнованиях за пределами Санкт-Петербурга и Ленинградской области с учетом затрат на организацию питания и проживания для отделения ""Триатлон"" для нужд СПБ ГБПОУ ""УОР №1""")</f>
        <v>Оказание услуг на обеспечение участия в соревнованиях за пределами Санкт-Петербурга и Ленинградской области с учетом затрат на организацию питания и проживания для отделения "Триатлон" для нужд СПБ ГБПОУ "УОР №1"</v>
      </c>
      <c r="G6571" s="22" t="s">
        <v>117</v>
      </c>
      <c r="H6571" s="22" t="s">
        <v>117</v>
      </c>
      <c r="I6571" s="26">
        <v>43697.4616550926</v>
      </c>
      <c r="J6571" s="23" t="str">
        <f>HYPERLINK("https://www.spark-marketing.ru/Card/Person/6633519", "ООО ""КОММЕРЦПРО""")</f>
        <v>ООО "КОММЕРЦПРО"</v>
      </c>
      <c r="K6571" s="24" t="s">
        <v>7403</v>
      </c>
      <c r="L6571" s="28" t="s">
        <v>51</v>
      </c>
      <c r="M6571" s="25">
        <v>294000</v>
      </c>
      <c r="N6571" s="27">
        <v>0.10359658089783218</v>
      </c>
    </row>
    <row r="6572" spans="1:14" ht="12.75" hidden="1" outlineLevel="1" x14ac:dyDescent="0.2">
      <c r="A6572" s="23" t="str">
        <f t="shared" si="143"/>
        <v>СПБ ГБПОУ "УОР № 1"</v>
      </c>
      <c r="B6572" s="24" t="s">
        <v>632</v>
      </c>
      <c r="C6572" s="25">
        <v>327977.33</v>
      </c>
      <c r="D6572" s="22" t="s">
        <v>9986</v>
      </c>
      <c r="E6572" s="22" t="s">
        <v>374</v>
      </c>
      <c r="F6572" s="23" t="str">
        <f>HYPERLINK("https://www.spark-marketing.ru/Card/Lot/72905797", "Оказание услуг на обеспечение участия в соревнованиях за пределами Санкт-Петербурга и Ленинградской области с учетом затрат на организацию питания и проживания для отделения ""Триатлон"" для нужд СПБ ГБПОУ ""УОР №1""")</f>
        <v>Оказание услуг на обеспечение участия в соревнованиях за пределами Санкт-Петербурга и Ленинградской области с учетом затрат на организацию питания и проживания для отделения "Триатлон" для нужд СПБ ГБПОУ "УОР №1"</v>
      </c>
      <c r="G6572" s="22" t="s">
        <v>117</v>
      </c>
      <c r="H6572" s="22" t="s">
        <v>117</v>
      </c>
      <c r="I6572" s="26">
        <v>43697.4616550926</v>
      </c>
      <c r="J6572" s="23" t="str">
        <f>HYPERLINK("https://www.spark-marketing.ru/Card/Person/6369393", "ООО ""ВЕКТОР ГРУПП""")</f>
        <v>ООО "ВЕКТОР ГРУПП"</v>
      </c>
      <c r="K6572" s="24" t="s">
        <v>4733</v>
      </c>
      <c r="L6572" s="22" t="s">
        <v>10</v>
      </c>
      <c r="M6572" s="25">
        <v>293539.64</v>
      </c>
      <c r="N6572" s="27">
        <v>0.10500021449653243</v>
      </c>
    </row>
    <row r="6573" spans="1:14" x14ac:dyDescent="0.15">
      <c r="A6573" s="23" t="str">
        <f t="shared" si="143"/>
        <v>СПБ ГБПОУ "УОР № 1"</v>
      </c>
      <c r="B6573" s="24" t="s">
        <v>632</v>
      </c>
      <c r="C6573" s="25">
        <v>1072022.57</v>
      </c>
      <c r="D6573" s="22" t="s">
        <v>9988</v>
      </c>
      <c r="E6573" s="22" t="s">
        <v>374</v>
      </c>
      <c r="F6573" s="23" t="str">
        <f>HYPERLINK("https://www.spark-marketing.ru/Card/Lot/72903540", "Оказание услуг на 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предоставления спортивного...")</f>
        <v>Оказание услуг на 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предоставления спортивного...</v>
      </c>
      <c r="G6573" s="22" t="s">
        <v>117</v>
      </c>
      <c r="H6573" s="22" t="s">
        <v>117</v>
      </c>
      <c r="I6573" s="26">
        <v>43697.461087962998</v>
      </c>
      <c r="J6573" s="28" t="s">
        <v>51</v>
      </c>
      <c r="K6573" s="28" t="s">
        <v>51</v>
      </c>
      <c r="L6573" s="28" t="s">
        <v>51</v>
      </c>
      <c r="M6573" s="28" t="s">
        <v>51</v>
      </c>
      <c r="N6573" s="28" t="s">
        <v>51</v>
      </c>
    </row>
    <row r="6574" spans="1:14" hidden="1" outlineLevel="1" x14ac:dyDescent="0.2">
      <c r="A6574" s="23" t="str">
        <f t="shared" si="143"/>
        <v>СПБ ГБПОУ "УОР № 1"</v>
      </c>
      <c r="B6574" s="24" t="s">
        <v>632</v>
      </c>
      <c r="C6574" s="25">
        <v>1072022.57</v>
      </c>
      <c r="D6574" s="22" t="s">
        <v>9988</v>
      </c>
      <c r="E6574" s="22" t="s">
        <v>374</v>
      </c>
      <c r="F6574" s="23" t="str">
        <f>HYPERLINK("https://www.spark-marketing.ru/Card/Lot/72903540", "Оказание услуг на 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предоставления спортивного...")</f>
        <v>Оказание услуг на 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предоставления спортивного...</v>
      </c>
      <c r="G6574" s="22" t="s">
        <v>117</v>
      </c>
      <c r="H6574" s="22" t="s">
        <v>117</v>
      </c>
      <c r="I6574" s="26">
        <v>43697.461087962998</v>
      </c>
      <c r="J6574" s="23" t="str">
        <f>HYPERLINK("https://www.spark-marketing.ru/Card/Person/6501154", "ООО ""ГИГАНТ""")</f>
        <v>ООО "ГИГАНТ"</v>
      </c>
      <c r="K6574" s="24" t="s">
        <v>9887</v>
      </c>
      <c r="L6574" s="28" t="s">
        <v>51</v>
      </c>
      <c r="M6574" s="25">
        <v>1055942.24</v>
      </c>
      <c r="N6574" s="27">
        <v>1.4999992024421651E-2</v>
      </c>
    </row>
    <row r="6575" spans="1:14" hidden="1" outlineLevel="1" x14ac:dyDescent="0.2">
      <c r="A6575" s="23" t="str">
        <f t="shared" si="143"/>
        <v>СПБ ГБПОУ "УОР № 1"</v>
      </c>
      <c r="B6575" s="24" t="s">
        <v>632</v>
      </c>
      <c r="C6575" s="25">
        <v>1072022.57</v>
      </c>
      <c r="D6575" s="22" t="s">
        <v>9988</v>
      </c>
      <c r="E6575" s="22" t="s">
        <v>374</v>
      </c>
      <c r="F6575" s="23" t="str">
        <f>HYPERLINK("https://www.spark-marketing.ru/Card/Lot/72903540", "Оказание услуг на 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предоставления спортивного...")</f>
        <v>Оказание услуг на 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предоставления спортивного...</v>
      </c>
      <c r="G6575" s="22" t="s">
        <v>117</v>
      </c>
      <c r="H6575" s="22" t="s">
        <v>117</v>
      </c>
      <c r="I6575" s="26">
        <v>43697.461087962998</v>
      </c>
      <c r="J6575" s="23" t="str">
        <f>HYPERLINK("https://www.spark-marketing.ru/Card/Person/4919842", "ООО ""МАКСИ КО""")</f>
        <v>ООО "МАКСИ КО"</v>
      </c>
      <c r="K6575" s="24" t="s">
        <v>4581</v>
      </c>
      <c r="L6575" s="28" t="s">
        <v>51</v>
      </c>
      <c r="M6575" s="25">
        <v>897676.26</v>
      </c>
      <c r="N6575" s="27">
        <v>0.1626330591155371</v>
      </c>
    </row>
    <row r="6576" spans="1:14" hidden="1" outlineLevel="1" x14ac:dyDescent="0.2">
      <c r="A6576" s="23" t="str">
        <f t="shared" si="143"/>
        <v>СПБ ГБПОУ "УОР № 1"</v>
      </c>
      <c r="B6576" s="24" t="s">
        <v>632</v>
      </c>
      <c r="C6576" s="25">
        <v>1072022.57</v>
      </c>
      <c r="D6576" s="22" t="s">
        <v>9988</v>
      </c>
      <c r="E6576" s="22" t="s">
        <v>374</v>
      </c>
      <c r="F6576" s="23" t="str">
        <f>HYPERLINK("https://www.spark-marketing.ru/Card/Lot/72903540", "Оказание услуг на 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предоставления спортивного...")</f>
        <v>Оказание услуг на 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предоставления спортивного...</v>
      </c>
      <c r="G6576" s="22" t="s">
        <v>117</v>
      </c>
      <c r="H6576" s="22" t="s">
        <v>117</v>
      </c>
      <c r="I6576" s="26">
        <v>43697.461087962998</v>
      </c>
      <c r="J6576" s="23" t="str">
        <f>HYPERLINK("https://www.spark-marketing.ru/Card/Person/536300", "ООО ""ЕВРОСПОРТ""")</f>
        <v>ООО "ЕВРОСПОРТ"</v>
      </c>
      <c r="K6576" s="24" t="s">
        <v>9987</v>
      </c>
      <c r="L6576" s="28" t="s">
        <v>51</v>
      </c>
      <c r="M6576" s="25">
        <v>1066662.46</v>
      </c>
      <c r="N6576" s="27">
        <v>4.999997341473883E-3</v>
      </c>
    </row>
    <row r="6577" spans="1:14" ht="12.75" hidden="1" outlineLevel="1" x14ac:dyDescent="0.2">
      <c r="A6577" s="23" t="str">
        <f t="shared" si="143"/>
        <v>СПБ ГБПОУ "УОР № 1"</v>
      </c>
      <c r="B6577" s="24" t="s">
        <v>632</v>
      </c>
      <c r="C6577" s="25">
        <v>1072022.57</v>
      </c>
      <c r="D6577" s="22" t="s">
        <v>9988</v>
      </c>
      <c r="E6577" s="22" t="s">
        <v>374</v>
      </c>
      <c r="F6577" s="23" t="str">
        <f>HYPERLINK("https://www.spark-marketing.ru/Card/Lot/72903540", "Оказание услуг на 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предоставления спортивного...")</f>
        <v>Оказание услуг на 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предоставления спортивного...</v>
      </c>
      <c r="G6577" s="22" t="s">
        <v>117</v>
      </c>
      <c r="H6577" s="22" t="s">
        <v>117</v>
      </c>
      <c r="I6577" s="26">
        <v>43697.461087962998</v>
      </c>
      <c r="J6577" s="23" t="str">
        <f>HYPERLINK("https://www.spark-marketing.ru/Card/Person/6369393", "ООО ""ВЕКТОР ГРУПП""")</f>
        <v>ООО "ВЕКТОР ГРУПП"</v>
      </c>
      <c r="K6577" s="24" t="s">
        <v>4733</v>
      </c>
      <c r="L6577" s="22" t="s">
        <v>10</v>
      </c>
      <c r="M6577" s="25">
        <v>892316.15</v>
      </c>
      <c r="N6577" s="27">
        <v>0.16763305645701099</v>
      </c>
    </row>
    <row r="6578" spans="1:14" x14ac:dyDescent="0.15">
      <c r="A6578" s="23" t="str">
        <f>HYPERLINK("https://www.spark-marketing.ru/Card/Person/66410", "МО МВД РОССИИ ""РУБЦОВСКИЙ""")</f>
        <v>МО МВД РОССИИ "РУБЦОВСКИЙ"</v>
      </c>
      <c r="B6578" s="24" t="s">
        <v>9989</v>
      </c>
      <c r="C6578" s="25">
        <v>1050000</v>
      </c>
      <c r="D6578" s="22" t="s">
        <v>9990</v>
      </c>
      <c r="E6578" s="22" t="s">
        <v>48</v>
      </c>
      <c r="F6578" s="23" t="str">
        <f>HYPERLINK("https://www.spark-marketing.ru/Card/Lot/72898824", "Оказание услуг по обеспечению питанием задержанных")</f>
        <v>Оказание услуг по обеспечению питанием задержанных</v>
      </c>
      <c r="G6578" s="22" t="s">
        <v>63</v>
      </c>
      <c r="H6578" s="22" t="s">
        <v>1613</v>
      </c>
      <c r="I6578" s="26">
        <v>43697.436354166697</v>
      </c>
      <c r="J6578" s="23" t="str">
        <f>HYPERLINK("https://www.spark-marketing.ru/Card/Person/183395", "Шарипов Бахтиер Джурабоевич")</f>
        <v>Шарипов Бахтиер Джурабоевич</v>
      </c>
      <c r="K6578" s="24" t="s">
        <v>9991</v>
      </c>
      <c r="L6578" s="22" t="s">
        <v>10</v>
      </c>
      <c r="M6578" s="28" t="s">
        <v>51</v>
      </c>
      <c r="N6578" s="28" t="s">
        <v>51</v>
      </c>
    </row>
    <row r="6579" spans="1:14" x14ac:dyDescent="0.15">
      <c r="A6579" s="23" t="str">
        <f>HYPERLINK("https://www.spark-marketing.ru/Card/Person/66410", "МО МВД РОССИИ ""РУБЦОВСКИЙ""")</f>
        <v>МО МВД РОССИИ "РУБЦОВСКИЙ"</v>
      </c>
      <c r="B6579" s="24" t="s">
        <v>9989</v>
      </c>
      <c r="C6579" s="25">
        <v>1050000</v>
      </c>
      <c r="D6579" s="22" t="s">
        <v>9992</v>
      </c>
      <c r="E6579" s="22" t="s">
        <v>48</v>
      </c>
      <c r="F6579" s="23" t="str">
        <f>HYPERLINK("https://www.spark-marketing.ru/Card/Lot/72898899", "Оказание услуг по обеспечению питанием задержанных")</f>
        <v>Оказание услуг по обеспечению питанием задержанных</v>
      </c>
      <c r="G6579" s="22" t="s">
        <v>63</v>
      </c>
      <c r="H6579" s="22" t="s">
        <v>1859</v>
      </c>
      <c r="I6579" s="26">
        <v>43697.443437499998</v>
      </c>
      <c r="J6579" s="23" t="str">
        <f>HYPERLINK("https://www.spark-marketing.ru/Card/Person/183395", "Шарипов Бахтиер Джурабоевич")</f>
        <v>Шарипов Бахтиер Джурабоевич</v>
      </c>
      <c r="K6579" s="24" t="s">
        <v>9991</v>
      </c>
      <c r="L6579" s="22" t="s">
        <v>10</v>
      </c>
      <c r="M6579" s="28" t="s">
        <v>51</v>
      </c>
      <c r="N6579" s="28" t="s">
        <v>51</v>
      </c>
    </row>
    <row r="6580" spans="1:14" x14ac:dyDescent="0.15">
      <c r="A6580" s="23" t="str">
        <f>HYPERLINK("https://www.spark-marketing.ru/Card/Person/103054", "МВД ПО РЕСПУБЛИКЕ МАРИЙ ЭЛ")</f>
        <v>МВД ПО РЕСПУБЛИКЕ МАРИЙ ЭЛ</v>
      </c>
      <c r="B6580" s="24" t="s">
        <v>3247</v>
      </c>
      <c r="C6580" s="25">
        <v>90000</v>
      </c>
      <c r="D6580" s="22" t="s">
        <v>9993</v>
      </c>
      <c r="E6580" s="22" t="s">
        <v>48</v>
      </c>
      <c r="F6580" s="23" t="str">
        <f>HYPERLINK("https://www.spark-marketing.ru/Card/Lot/72905395", "Ежедневное оказание услуг по обеспечению пятиразовым питанием лиц, содержащихся в Центре временного содержания для несовершеннолетних правонарушителей МВД по Республике Марий Эл.")</f>
        <v>Ежедневное оказание услуг по обеспечению пятиразовым питанием лиц, содержащихся в Центре временного содержания для несовершеннолетних правонарушителей МВД по Республике Марий Эл.</v>
      </c>
      <c r="G6580" s="22" t="s">
        <v>3249</v>
      </c>
      <c r="H6580" s="22" t="s">
        <v>3250</v>
      </c>
      <c r="I6580" s="26">
        <v>43697.487974536998</v>
      </c>
      <c r="J6580" s="23" t="str">
        <f>HYPERLINK("https://www.spark-marketing.ru/Card/Person/2503411", "ООО ""МЦ""")</f>
        <v>ООО "МЦ"</v>
      </c>
      <c r="K6580" s="24" t="s">
        <v>9454</v>
      </c>
      <c r="L6580" s="22" t="s">
        <v>10</v>
      </c>
      <c r="M6580" s="28" t="s">
        <v>51</v>
      </c>
      <c r="N6580" s="28" t="s">
        <v>51</v>
      </c>
    </row>
    <row r="6581" spans="1:14" x14ac:dyDescent="0.15">
      <c r="A6581" s="23" t="str">
        <f>HYPERLINK("https://www.spark-marketing.ru/Card/Person/4378855", "МДОУ ДЕТСКИЙ САД КОМБИНИРОВАННОГО ВИДА № 36 ""СКАЗКА""")</f>
        <v>МДОУ ДЕТСКИЙ САД КОМБИНИРОВАННОГО ВИДА № 36 "СКАЗКА"</v>
      </c>
      <c r="B6581" s="24" t="s">
        <v>9994</v>
      </c>
      <c r="C6581" s="25">
        <v>126653</v>
      </c>
      <c r="D6581" s="22" t="s">
        <v>9995</v>
      </c>
      <c r="E6581" s="22" t="s">
        <v>48</v>
      </c>
      <c r="F6581" s="23" t="str">
        <f>HYPERLINK("https://www.spark-marketing.ru/Card/Lot/72902801",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6581" s="22" t="s">
        <v>49</v>
      </c>
      <c r="H6581" s="22" t="s">
        <v>50</v>
      </c>
      <c r="I6581" s="26">
        <v>43697.472500000003</v>
      </c>
      <c r="J6581" s="28" t="s">
        <v>51</v>
      </c>
      <c r="K6581" s="28" t="s">
        <v>51</v>
      </c>
      <c r="L6581" s="28" t="s">
        <v>51</v>
      </c>
      <c r="M6581" s="28" t="s">
        <v>51</v>
      </c>
      <c r="N6581" s="28" t="s">
        <v>51</v>
      </c>
    </row>
    <row r="6582" spans="1:14" x14ac:dyDescent="0.15">
      <c r="A6582" s="23" t="str">
        <f>HYPERLINK("https://www.spark-marketing.ru/Card/Person/883351", "КГБПОУ ""ЗАРИНСКИЙ ПОЛИТЕХНИЧЕСКИЙ ТЕХНИКУМ""")</f>
        <v>КГБПОУ "ЗАРИНСКИЙ ПОЛИТЕХНИЧЕСКИЙ ТЕХНИКУМ"</v>
      </c>
      <c r="B6582" s="24" t="s">
        <v>9996</v>
      </c>
      <c r="C6582" s="25">
        <v>223089.25</v>
      </c>
      <c r="D6582" s="22" t="s">
        <v>9997</v>
      </c>
      <c r="E6582" s="22" t="s">
        <v>9998</v>
      </c>
      <c r="F6582" s="23" t="str">
        <f>HYPERLINK("https://www.spark-marketing.ru/Card/Lot/72901518",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6582" s="22" t="s">
        <v>63</v>
      </c>
      <c r="H6582" s="22" t="s">
        <v>9999</v>
      </c>
      <c r="I6582" s="26">
        <v>43697.487500000003</v>
      </c>
      <c r="J6582" s="28" t="s">
        <v>51</v>
      </c>
      <c r="K6582" s="28" t="s">
        <v>51</v>
      </c>
      <c r="L6582" s="28" t="s">
        <v>51</v>
      </c>
      <c r="M6582" s="28" t="s">
        <v>51</v>
      </c>
      <c r="N6582" s="28" t="s">
        <v>51</v>
      </c>
    </row>
    <row r="6583" spans="1:14" x14ac:dyDescent="0.15">
      <c r="A6583" s="23" t="str">
        <f>HYPERLINK("https://www.spark-marketing.ru/Card/Person/1017381", "О МВД РОССИИ ПО БЕЗЕНЧУКСКОМУ РАЙОНУ")</f>
        <v>О МВД РОССИИ ПО БЕЗЕНЧУКСКОМУ РАЙОНУ</v>
      </c>
      <c r="B6583" s="24" t="s">
        <v>9984</v>
      </c>
      <c r="C6583" s="25">
        <v>250000</v>
      </c>
      <c r="D6583" s="22" t="s">
        <v>10000</v>
      </c>
      <c r="E6583" s="22" t="s">
        <v>48</v>
      </c>
      <c r="F6583" s="23" t="str">
        <f>HYPERLINK("https://www.spark-marketing.ru/Card/Lot/72899918",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583" s="22" t="s">
        <v>128</v>
      </c>
      <c r="H6583" s="22" t="s">
        <v>128</v>
      </c>
      <c r="I6583" s="26">
        <v>43697.470081018502</v>
      </c>
      <c r="J6583" s="28" t="s">
        <v>51</v>
      </c>
      <c r="K6583" s="28" t="s">
        <v>51</v>
      </c>
      <c r="L6583" s="28" t="s">
        <v>51</v>
      </c>
      <c r="M6583" s="28" t="s">
        <v>51</v>
      </c>
      <c r="N6583" s="28" t="s">
        <v>51</v>
      </c>
    </row>
    <row r="6584" spans="1:14" x14ac:dyDescent="0.15">
      <c r="A6584" s="23" t="str">
        <f>HYPERLINK("https://www.spark-marketing.ru/Card/Person/136319", "МУ МВД РОССИИ ""БИЙСКОЕ""")</f>
        <v>МУ МВД РОССИИ "БИЙСКОЕ"</v>
      </c>
      <c r="B6584" s="24" t="s">
        <v>9435</v>
      </c>
      <c r="C6584" s="25">
        <v>559190</v>
      </c>
      <c r="D6584" s="22" t="s">
        <v>10001</v>
      </c>
      <c r="E6584" s="22" t="s">
        <v>48</v>
      </c>
      <c r="F6584" s="23" t="str">
        <f>HYPERLINK("https://www.spark-marketing.ru/Card/Lot/72895329", "Услуги по обеспечению горячим питанием лиц, содержащихся в Изоляторе временного содержания МУ МВД России «Бийское» и лиц, в отношении которых в соответствии с КоАП РФ применено административное задержание на срок более трех часов и содержащихся в спе...")</f>
        <v>Услуги по обеспечению горячим питанием лиц, содержащихся в Изоляторе временного содержания МУ МВД России «Бийское» и лиц, в отношении которых в соответствии с КоАП РФ применено административное задержание на срок более трех часов и содержащихся в спе...</v>
      </c>
      <c r="G6584" s="22" t="s">
        <v>63</v>
      </c>
      <c r="H6584" s="22" t="s">
        <v>1294</v>
      </c>
      <c r="I6584" s="26">
        <v>43697.423634259299</v>
      </c>
      <c r="J6584" s="23" t="str">
        <f>HYPERLINK("https://www.spark-marketing.ru/Card/Person/896596", "Александрова Людмила Арташесовна")</f>
        <v>Александрова Людмила Арташесовна</v>
      </c>
      <c r="K6584" s="24" t="s">
        <v>9437</v>
      </c>
      <c r="L6584" s="22" t="s">
        <v>10</v>
      </c>
      <c r="M6584" s="28" t="s">
        <v>51</v>
      </c>
      <c r="N6584" s="28" t="s">
        <v>51</v>
      </c>
    </row>
    <row r="6585" spans="1:14" x14ac:dyDescent="0.15">
      <c r="A6585" s="23" t="str">
        <f>HYPERLINK("https://www.spark-marketing.ru/Card/Person/1017381", "О МВД РОССИИ ПО БЕЗЕНЧУКСКОМУ РАЙОНУ")</f>
        <v>О МВД РОССИИ ПО БЕЗЕНЧУКСКОМУ РАЙОНУ</v>
      </c>
      <c r="B6585" s="24" t="s">
        <v>9984</v>
      </c>
      <c r="C6585" s="25">
        <v>250000</v>
      </c>
      <c r="D6585" s="22" t="s">
        <v>10002</v>
      </c>
      <c r="E6585" s="22" t="s">
        <v>48</v>
      </c>
      <c r="F6585" s="23" t="str">
        <f>HYPERLINK("https://www.spark-marketing.ru/Card/Lot/72899910",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585" s="22" t="s">
        <v>128</v>
      </c>
      <c r="H6585" s="22" t="s">
        <v>128</v>
      </c>
      <c r="I6585" s="26">
        <v>43697.4683912037</v>
      </c>
      <c r="J6585" s="28" t="s">
        <v>51</v>
      </c>
      <c r="K6585" s="28" t="s">
        <v>51</v>
      </c>
      <c r="L6585" s="28" t="s">
        <v>51</v>
      </c>
      <c r="M6585" s="28" t="s">
        <v>51</v>
      </c>
      <c r="N6585" s="28" t="s">
        <v>51</v>
      </c>
    </row>
    <row r="6586" spans="1:14" x14ac:dyDescent="0.15">
      <c r="A6586" s="23" t="str">
        <f>HYPERLINK("https://www.spark-marketing.ru/Card/Person/905066", "КГБУ ДО ""АЛТАЙСКИЙ КРАЕВОЙ ДЕТСКИЙ ЭКОЛОГИЧЕСКИЙ ЦЕНТР""")</f>
        <v>КГБУ ДО "АЛТАЙСКИЙ КРАЕВОЙ ДЕТСКИЙ ЭКОЛОГИЧЕСКИЙ ЦЕНТР"</v>
      </c>
      <c r="B6586" s="24" t="s">
        <v>10003</v>
      </c>
      <c r="C6586" s="25">
        <v>4800.45</v>
      </c>
      <c r="D6586" s="22" t="s">
        <v>10004</v>
      </c>
      <c r="E6586" s="22" t="s">
        <v>10005</v>
      </c>
      <c r="F6586" s="23" t="str">
        <f>HYPERLINK("https://www.spark-marketing.ru/Card/Lot/72900394",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6586" s="22" t="s">
        <v>63</v>
      </c>
      <c r="H6586" s="22" t="s">
        <v>177</v>
      </c>
      <c r="I6586" s="26">
        <v>43697.464583333298</v>
      </c>
      <c r="J6586" s="28" t="s">
        <v>51</v>
      </c>
      <c r="K6586" s="28" t="s">
        <v>51</v>
      </c>
      <c r="L6586" s="28" t="s">
        <v>51</v>
      </c>
      <c r="M6586" s="28" t="s">
        <v>51</v>
      </c>
      <c r="N6586" s="28" t="s">
        <v>51</v>
      </c>
    </row>
    <row r="6587" spans="1:14" x14ac:dyDescent="0.15">
      <c r="A6587" s="23" t="str">
        <f>HYPERLINK("https://www.spark-marketing.ru/Card/Person/113755", "ФКУ ""ЦУКС ГУ МЧС РОССИИ ПО САХАЛИНСКОЙ ОБЛАСТИ""")</f>
        <v>ФКУ "ЦУКС ГУ МЧС РОССИИ ПО САХАЛИНСКОЙ ОБЛАСТИ"</v>
      </c>
      <c r="B6587" s="24" t="s">
        <v>10006</v>
      </c>
      <c r="C6587" s="25">
        <v>518256</v>
      </c>
      <c r="D6587" s="22" t="s">
        <v>10007</v>
      </c>
      <c r="E6587" s="22" t="s">
        <v>48</v>
      </c>
      <c r="F6587" s="23" t="str">
        <f>HYPERLINK("https://www.spark-marketing.ru/Card/Lot/72892664", "Услуги по организации комплексного горячего трехразового питания")</f>
        <v>Услуги по организации комплексного горячего трехразового питания</v>
      </c>
      <c r="G6587" s="22" t="s">
        <v>260</v>
      </c>
      <c r="H6587" s="22" t="s">
        <v>260</v>
      </c>
      <c r="I6587" s="26">
        <v>43697.424097222203</v>
      </c>
      <c r="J6587" s="28" t="s">
        <v>51</v>
      </c>
      <c r="K6587" s="28" t="s">
        <v>51</v>
      </c>
      <c r="L6587" s="28" t="s">
        <v>51</v>
      </c>
      <c r="M6587" s="28" t="s">
        <v>51</v>
      </c>
      <c r="N6587" s="28" t="s">
        <v>51</v>
      </c>
    </row>
    <row r="6588" spans="1:14" ht="12.75" hidden="1" outlineLevel="1" x14ac:dyDescent="0.2">
      <c r="A6588" s="23" t="str">
        <f>HYPERLINK("https://www.spark-marketing.ru/Card/Person/113755", "ФКУ ""ЦУКС ГУ МЧС РОССИИ ПО САХАЛИНСКОЙ ОБЛАСТИ""")</f>
        <v>ФКУ "ЦУКС ГУ МЧС РОССИИ ПО САХАЛИНСКОЙ ОБЛАСТИ"</v>
      </c>
      <c r="B6588" s="24" t="s">
        <v>10006</v>
      </c>
      <c r="C6588" s="25">
        <v>518256</v>
      </c>
      <c r="D6588" s="22" t="s">
        <v>10007</v>
      </c>
      <c r="E6588" s="22" t="s">
        <v>48</v>
      </c>
      <c r="F6588" s="23" t="str">
        <f>HYPERLINK("https://www.spark-marketing.ru/Card/Lot/72892664", "Услуги по организации комплексного горячего трехразового питания")</f>
        <v>Услуги по организации комплексного горячего трехразового питания</v>
      </c>
      <c r="G6588" s="22" t="s">
        <v>260</v>
      </c>
      <c r="H6588" s="22" t="s">
        <v>260</v>
      </c>
      <c r="I6588" s="26">
        <v>43697.424097222203</v>
      </c>
      <c r="J6588" s="23" t="str">
        <f>HYPERLINK("https://www.spark-marketing.ru/Card/Person/4364342", "ООО ""СЛАВЯНКА-ДВ""")</f>
        <v>ООО "СЛАВЯНКА-ДВ"</v>
      </c>
      <c r="K6588" s="24" t="s">
        <v>5233</v>
      </c>
      <c r="L6588" s="22" t="s">
        <v>10</v>
      </c>
      <c r="M6588" s="25">
        <v>295405.92</v>
      </c>
      <c r="N6588" s="27">
        <v>0.43</v>
      </c>
    </row>
    <row r="6589" spans="1:14" hidden="1" outlineLevel="1" x14ac:dyDescent="0.2">
      <c r="A6589" s="23" t="str">
        <f>HYPERLINK("https://www.spark-marketing.ru/Card/Person/113755", "ФКУ ""ЦУКС ГУ МЧС РОССИИ ПО САХАЛИНСКОЙ ОБЛАСТИ""")</f>
        <v>ФКУ "ЦУКС ГУ МЧС РОССИИ ПО САХАЛИНСКОЙ ОБЛАСТИ"</v>
      </c>
      <c r="B6589" s="24" t="s">
        <v>10006</v>
      </c>
      <c r="C6589" s="25">
        <v>518256</v>
      </c>
      <c r="D6589" s="22" t="s">
        <v>10007</v>
      </c>
      <c r="E6589" s="22" t="s">
        <v>48</v>
      </c>
      <c r="F6589" s="23" t="str">
        <f>HYPERLINK("https://www.spark-marketing.ru/Card/Lot/72892664", "Услуги по организации комплексного горячего трехразового питания")</f>
        <v>Услуги по организации комплексного горячего трехразового питания</v>
      </c>
      <c r="G6589" s="22" t="s">
        <v>260</v>
      </c>
      <c r="H6589" s="22" t="s">
        <v>260</v>
      </c>
      <c r="I6589" s="26">
        <v>43697.424097222203</v>
      </c>
      <c r="J6589" s="23" t="str">
        <f>HYPERLINK("https://www.spark-marketing.ru/Card/Person/114046", "Ко Радмила Гвансуновна")</f>
        <v>Ко Радмила Гвансуновна</v>
      </c>
      <c r="K6589" s="24" t="s">
        <v>3538</v>
      </c>
      <c r="L6589" s="28" t="s">
        <v>51</v>
      </c>
      <c r="M6589" s="25">
        <v>297997.2</v>
      </c>
      <c r="N6589" s="27">
        <v>0.42499999999999999</v>
      </c>
    </row>
    <row r="6590" spans="1:14" hidden="1" outlineLevel="1" x14ac:dyDescent="0.2">
      <c r="A6590" s="23" t="str">
        <f>HYPERLINK("https://www.spark-marketing.ru/Card/Person/113755", "ФКУ ""ЦУКС ГУ МЧС РОССИИ ПО САХАЛИНСКОЙ ОБЛАСТИ""")</f>
        <v>ФКУ "ЦУКС ГУ МЧС РОССИИ ПО САХАЛИНСКОЙ ОБЛАСТИ"</v>
      </c>
      <c r="B6590" s="24" t="s">
        <v>10006</v>
      </c>
      <c r="C6590" s="25">
        <v>518256</v>
      </c>
      <c r="D6590" s="22" t="s">
        <v>10007</v>
      </c>
      <c r="E6590" s="22" t="s">
        <v>48</v>
      </c>
      <c r="F6590" s="23" t="str">
        <f>HYPERLINK("https://www.spark-marketing.ru/Card/Lot/72892664", "Услуги по организации комплексного горячего трехразового питания")</f>
        <v>Услуги по организации комплексного горячего трехразового питания</v>
      </c>
      <c r="G6590" s="22" t="s">
        <v>260</v>
      </c>
      <c r="H6590" s="22" t="s">
        <v>260</v>
      </c>
      <c r="I6590" s="26">
        <v>43697.424097222203</v>
      </c>
      <c r="J6590" s="23" t="str">
        <f>HYPERLINK("https://www.spark-marketing.ru/Card/Person/6218410", "ООО ""А-МЕГА""")</f>
        <v>ООО "А-МЕГА"</v>
      </c>
      <c r="K6590" s="24" t="s">
        <v>10008</v>
      </c>
      <c r="L6590" s="28" t="s">
        <v>51</v>
      </c>
      <c r="M6590" s="25">
        <v>502708.32</v>
      </c>
      <c r="N6590" s="27">
        <v>0.03</v>
      </c>
    </row>
    <row r="6591" spans="1:14" x14ac:dyDescent="0.15">
      <c r="A6591" s="23" t="str">
        <f>HYPERLINK("https://www.spark-marketing.ru/Card/Person/1017381", "О МВД РОССИИ ПО БЕЗЕНЧУКСКОМУ РАЙОНУ")</f>
        <v>О МВД РОССИИ ПО БЕЗЕНЧУКСКОМУ РАЙОНУ</v>
      </c>
      <c r="B6591" s="24" t="s">
        <v>9984</v>
      </c>
      <c r="C6591" s="25">
        <v>250000</v>
      </c>
      <c r="D6591" s="22" t="s">
        <v>10009</v>
      </c>
      <c r="E6591" s="22" t="s">
        <v>48</v>
      </c>
      <c r="F6591" s="23" t="str">
        <f>HYPERLINK("https://www.spark-marketing.ru/Card/Lot/72900985", "Оказание услуг по организации питания (приготовлению и доставке) для ИВС, 1 усл. ед")</f>
        <v>Оказание услуг по организации питания (приготовлению и доставке) для ИВС, 1 усл. ед</v>
      </c>
      <c r="G6591" s="22" t="s">
        <v>128</v>
      </c>
      <c r="H6591" s="22" t="s">
        <v>128</v>
      </c>
      <c r="I6591" s="26">
        <v>43697.476192129601</v>
      </c>
      <c r="J6591" s="28" t="s">
        <v>51</v>
      </c>
      <c r="K6591" s="28" t="s">
        <v>51</v>
      </c>
      <c r="L6591" s="28" t="s">
        <v>51</v>
      </c>
      <c r="M6591" s="28" t="s">
        <v>51</v>
      </c>
      <c r="N6591" s="28" t="s">
        <v>51</v>
      </c>
    </row>
    <row r="6592" spans="1:14" x14ac:dyDescent="0.15">
      <c r="A6592" s="23" t="str">
        <f>HYPERLINK("https://www.spark-marketing.ru/Card/Person/1055042", "ГБПОУ ВО КПГК")</f>
        <v>ГБПОУ ВО КПГК</v>
      </c>
      <c r="B6592" s="24" t="s">
        <v>10010</v>
      </c>
      <c r="C6592" s="25">
        <v>355005</v>
      </c>
      <c r="D6592" s="22" t="s">
        <v>10011</v>
      </c>
      <c r="E6592" s="22" t="s">
        <v>48</v>
      </c>
      <c r="F6592" s="23" t="str">
        <f>HYPERLINK("https://www.spark-marketing.ru/Card/Lot/72903985", "Оказание услуг по организации питания обучающихся")</f>
        <v>Оказание услуг по организации питания обучающихся</v>
      </c>
      <c r="G6592" s="22" t="s">
        <v>663</v>
      </c>
      <c r="H6592" s="22" t="s">
        <v>2518</v>
      </c>
      <c r="I6592" s="26">
        <v>43697.461909722202</v>
      </c>
      <c r="J6592" s="23" t="str">
        <f>HYPERLINK("https://www.spark-marketing.ru/Card/Person/6583176", "ООО ""ТРИ М""")</f>
        <v>ООО "ТРИ М"</v>
      </c>
      <c r="K6592" s="24" t="s">
        <v>10012</v>
      </c>
      <c r="L6592" s="22" t="s">
        <v>10</v>
      </c>
      <c r="M6592" s="28" t="s">
        <v>51</v>
      </c>
      <c r="N6592" s="28" t="s">
        <v>51</v>
      </c>
    </row>
    <row r="6593" spans="1:14" x14ac:dyDescent="0.15">
      <c r="A6593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6593" s="24" t="s">
        <v>5659</v>
      </c>
      <c r="C6593" s="25">
        <v>2200000</v>
      </c>
      <c r="D6593" s="22" t="s">
        <v>10013</v>
      </c>
      <c r="E6593" s="22" t="s">
        <v>48</v>
      </c>
      <c r="F6593" s="23" t="str">
        <f>HYPERLINK("https://www.spark-marketing.ru/Card/Lot/72892448", "Оказание услуг по организации ежедневного пятиразового горячего питания спецконтингента содержащегося в ИВС ОМВД России по Елизовскому району")</f>
        <v>Оказание услуг по организации ежедневного пятиразового горячего питания спецконтингента содержащегося в ИВС ОМВД России по Елизовскому району</v>
      </c>
      <c r="G6593" s="22" t="s">
        <v>246</v>
      </c>
      <c r="H6593" s="22" t="s">
        <v>246</v>
      </c>
      <c r="I6593" s="26">
        <v>43697.413379629601</v>
      </c>
      <c r="J6593" s="28" t="s">
        <v>51</v>
      </c>
      <c r="K6593" s="28" t="s">
        <v>51</v>
      </c>
      <c r="L6593" s="28" t="s">
        <v>51</v>
      </c>
      <c r="M6593" s="28" t="s">
        <v>51</v>
      </c>
      <c r="N6593" s="28" t="s">
        <v>51</v>
      </c>
    </row>
    <row r="6594" spans="1:14" ht="12.75" hidden="1" outlineLevel="1" x14ac:dyDescent="0.2">
      <c r="A6594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6594" s="24" t="s">
        <v>5659</v>
      </c>
      <c r="C6594" s="25">
        <v>2200000</v>
      </c>
      <c r="D6594" s="22" t="s">
        <v>10013</v>
      </c>
      <c r="E6594" s="22" t="s">
        <v>48</v>
      </c>
      <c r="F6594" s="23" t="str">
        <f>HYPERLINK("https://www.spark-marketing.ru/Card/Lot/72892448", "Оказание услуг по организации ежедневного пятиразового горячего питания спецконтингента содержащегося в ИВС ОМВД России по Елизовскому району")</f>
        <v>Оказание услуг по организации ежедневного пятиразового горячего питания спецконтингента содержащегося в ИВС ОМВД России по Елизовскому району</v>
      </c>
      <c r="G6594" s="22" t="s">
        <v>246</v>
      </c>
      <c r="H6594" s="22" t="s">
        <v>246</v>
      </c>
      <c r="I6594" s="26">
        <v>43697.413379629601</v>
      </c>
      <c r="J6594" s="23" t="str">
        <f>HYPERLINK("https://www.spark-marketing.ru/Card/Person/6592089", "ООО ""АЙСУН""")</f>
        <v>ООО "АЙСУН"</v>
      </c>
      <c r="K6594" s="24" t="s">
        <v>10014</v>
      </c>
      <c r="L6594" s="22" t="s">
        <v>10</v>
      </c>
      <c r="M6594" s="25">
        <v>4021.39</v>
      </c>
      <c r="N6594" s="27">
        <v>0.99817209545454544</v>
      </c>
    </row>
    <row r="6595" spans="1:14" hidden="1" outlineLevel="1" x14ac:dyDescent="0.2">
      <c r="A6595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6595" s="24" t="s">
        <v>5659</v>
      </c>
      <c r="C6595" s="25">
        <v>2200000</v>
      </c>
      <c r="D6595" s="22" t="s">
        <v>10013</v>
      </c>
      <c r="E6595" s="22" t="s">
        <v>48</v>
      </c>
      <c r="F6595" s="23" t="str">
        <f>HYPERLINK("https://www.spark-marketing.ru/Card/Lot/72892448", "Оказание услуг по организации ежедневного пятиразового горячего питания спецконтингента содержащегося в ИВС ОМВД России по Елизовскому району")</f>
        <v>Оказание услуг по организации ежедневного пятиразового горячего питания спецконтингента содержащегося в ИВС ОМВД России по Елизовскому району</v>
      </c>
      <c r="G6595" s="22" t="s">
        <v>246</v>
      </c>
      <c r="H6595" s="22" t="s">
        <v>246</v>
      </c>
      <c r="I6595" s="26">
        <v>43697.413379629601</v>
      </c>
      <c r="J6595" s="23" t="str">
        <f>HYPERLINK("https://www.spark-marketing.ru/Card/Person/343392", "Николайчук Тарас Петрович")</f>
        <v>Николайчук Тарас Петрович</v>
      </c>
      <c r="K6595" s="24" t="s">
        <v>10015</v>
      </c>
      <c r="L6595" s="28" t="s">
        <v>51</v>
      </c>
      <c r="M6595" s="25">
        <v>4021.39</v>
      </c>
      <c r="N6595" s="27">
        <v>0.99817209545454544</v>
      </c>
    </row>
    <row r="6596" spans="1:14" x14ac:dyDescent="0.15">
      <c r="A6596" s="23" t="str">
        <f>HYPERLINK("https://www.spark-marketing.ru/Card/Person/4343663", "МИНЗДРАВ АЛТАЙСКОГО КРАЯ")</f>
        <v>МИНЗДРАВ АЛТАЙСКОГО КРАЯ</v>
      </c>
      <c r="B6596" s="24" t="s">
        <v>9429</v>
      </c>
      <c r="C6596" s="25">
        <v>99900</v>
      </c>
      <c r="D6596" s="22" t="s">
        <v>10016</v>
      </c>
      <c r="E6596" s="22" t="s">
        <v>336</v>
      </c>
      <c r="F6596" s="23" t="str">
        <f>HYPERLINK("https://www.spark-marketing.ru/Card/Lot/72899228",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596" s="22" t="s">
        <v>63</v>
      </c>
      <c r="H6596" s="22" t="s">
        <v>177</v>
      </c>
      <c r="I6596" s="26">
        <v>43697.451388888898</v>
      </c>
      <c r="J6596" s="28" t="s">
        <v>51</v>
      </c>
      <c r="K6596" s="28" t="s">
        <v>51</v>
      </c>
      <c r="L6596" s="28" t="s">
        <v>51</v>
      </c>
      <c r="M6596" s="28" t="s">
        <v>51</v>
      </c>
      <c r="N6596" s="28" t="s">
        <v>51</v>
      </c>
    </row>
    <row r="6597" spans="1:14" x14ac:dyDescent="0.15">
      <c r="A6597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6597" s="24" t="s">
        <v>5659</v>
      </c>
      <c r="C6597" s="25">
        <v>300000</v>
      </c>
      <c r="D6597" s="22" t="s">
        <v>10017</v>
      </c>
      <c r="E6597" s="22" t="s">
        <v>48</v>
      </c>
      <c r="F6597" s="23" t="str">
        <f>HYPERLINK("https://www.spark-marketing.ru/Card/Lot/72892803", "Оказание услуг по организации ежедневного трехразового горячего питания спецконтингента содержащегося в ИВС УМВД России по г. Петропавловску-Камчатскому")</f>
        <v>Оказание услуг по организации ежедневного трехразового горячего питания спецконтингента содержащегося в ИВС УМВД России по г. Петропавловску-Камчатскому</v>
      </c>
      <c r="G6597" s="22" t="s">
        <v>246</v>
      </c>
      <c r="H6597" s="22" t="s">
        <v>247</v>
      </c>
      <c r="I6597" s="26">
        <v>43697.451689814799</v>
      </c>
      <c r="J6597" s="23" t="str">
        <f>HYPERLINK("https://www.spark-marketing.ru/Card/Person/147450", "Гагиев Сослан Маратович")</f>
        <v>Гагиев Сослан Маратович</v>
      </c>
      <c r="K6597" s="24" t="s">
        <v>10018</v>
      </c>
      <c r="L6597" s="22" t="s">
        <v>10</v>
      </c>
      <c r="M6597" s="28" t="s">
        <v>51</v>
      </c>
      <c r="N6597" s="28" t="s">
        <v>51</v>
      </c>
    </row>
    <row r="6598" spans="1:14" x14ac:dyDescent="0.15">
      <c r="A6598" s="23" t="str">
        <f>HYPERLINK("https://www.spark-marketing.ru/Card/Person/1692809", "МО МВД РОССИИ ""УНЕЧСКИЙ""")</f>
        <v>МО МВД РОССИИ "УНЕЧСКИЙ"</v>
      </c>
      <c r="B6598" s="24" t="s">
        <v>3703</v>
      </c>
      <c r="C6598" s="25">
        <v>1146600</v>
      </c>
      <c r="D6598" s="22" t="s">
        <v>10019</v>
      </c>
      <c r="E6598" s="22" t="s">
        <v>48</v>
      </c>
      <c r="F6598" s="23" t="str">
        <f>HYPERLINK("https://www.spark-marketing.ru/Card/Lot/72903474", "услуги по организации ежедневного трехразового горячего питания, в том числе в выходные и праздничные дни лиц, содержащихся в комнате административно-задержанных, изоляторе временного содержания и специальном приемнике для содержания лиц, подвергнуты...")</f>
        <v>услуги по организации ежедневного трехразового горячего питания, в том числе в выходные и праздничные дни лиц, содержащихся в комнате административно-задержанных, изоляторе временного содержания и специальном приемнике для содержания лиц, подвергнуты...</v>
      </c>
      <c r="G6598" s="22" t="s">
        <v>475</v>
      </c>
      <c r="H6598" s="22" t="s">
        <v>6226</v>
      </c>
      <c r="I6598" s="26">
        <v>43697.429756944402</v>
      </c>
      <c r="J6598" s="28" t="s">
        <v>51</v>
      </c>
      <c r="K6598" s="28" t="s">
        <v>51</v>
      </c>
      <c r="L6598" s="28" t="s">
        <v>51</v>
      </c>
      <c r="M6598" s="28" t="s">
        <v>51</v>
      </c>
      <c r="N6598" s="28" t="s">
        <v>51</v>
      </c>
    </row>
    <row r="6599" spans="1:14" x14ac:dyDescent="0.15">
      <c r="A6599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6599" s="24" t="s">
        <v>5659</v>
      </c>
      <c r="C6599" s="25">
        <v>4000000</v>
      </c>
      <c r="D6599" s="22" t="s">
        <v>10020</v>
      </c>
      <c r="E6599" s="22" t="s">
        <v>48</v>
      </c>
      <c r="F6599" s="23" t="str">
        <f>HYPERLINK("https://www.spark-marketing.ru/Card/Lot/72892353", "Оказание услуг по организации ежедневного трехразового горячего питания для слушателей ЦПП УМВД России по Камчатскому краю")</f>
        <v>Оказание услуг по организации ежедневного трехразового горячего питания для слушателей ЦПП УМВД России по Камчатскому краю</v>
      </c>
      <c r="G6599" s="22" t="s">
        <v>246</v>
      </c>
      <c r="H6599" s="22" t="s">
        <v>246</v>
      </c>
      <c r="I6599" s="26">
        <v>43696.777743055602</v>
      </c>
      <c r="J6599" s="28" t="s">
        <v>51</v>
      </c>
      <c r="K6599" s="28" t="s">
        <v>51</v>
      </c>
      <c r="L6599" s="28" t="s">
        <v>51</v>
      </c>
      <c r="M6599" s="28" t="s">
        <v>51</v>
      </c>
      <c r="N6599" s="28" t="s">
        <v>51</v>
      </c>
    </row>
    <row r="6600" spans="1:14" hidden="1" outlineLevel="1" x14ac:dyDescent="0.2">
      <c r="A6600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6600" s="24" t="s">
        <v>5659</v>
      </c>
      <c r="C6600" s="25">
        <v>4000000</v>
      </c>
      <c r="D6600" s="22" t="s">
        <v>10020</v>
      </c>
      <c r="E6600" s="22" t="s">
        <v>48</v>
      </c>
      <c r="F6600" s="23" t="str">
        <f>HYPERLINK("https://www.spark-marketing.ru/Card/Lot/72892353", "Оказание услуг по организации ежедневного трехразового горячего питания для слушателей ЦПП УМВД России по Камчатскому краю")</f>
        <v>Оказание услуг по организации ежедневного трехразового горячего питания для слушателей ЦПП УМВД России по Камчатскому краю</v>
      </c>
      <c r="G6600" s="22" t="s">
        <v>246</v>
      </c>
      <c r="H6600" s="22" t="s">
        <v>246</v>
      </c>
      <c r="I6600" s="26">
        <v>43696.777743055602</v>
      </c>
      <c r="J6600" s="23" t="str">
        <f>HYPERLINK("https://www.spark-marketing.ru/Card/Person/114050", "Чиботэрикэ Светлана Ивановна")</f>
        <v>Чиботэрикэ Светлана Ивановна</v>
      </c>
      <c r="K6600" s="24" t="s">
        <v>10021</v>
      </c>
      <c r="L6600" s="28" t="s">
        <v>51</v>
      </c>
      <c r="M6600" s="25">
        <v>703.02</v>
      </c>
      <c r="N6600" s="27">
        <v>0.999824245</v>
      </c>
    </row>
    <row r="6601" spans="1:14" ht="12.75" hidden="1" outlineLevel="1" x14ac:dyDescent="0.2">
      <c r="A6601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6601" s="24" t="s">
        <v>5659</v>
      </c>
      <c r="C6601" s="25">
        <v>4000000</v>
      </c>
      <c r="D6601" s="22" t="s">
        <v>10020</v>
      </c>
      <c r="E6601" s="22" t="s">
        <v>48</v>
      </c>
      <c r="F6601" s="23" t="str">
        <f>HYPERLINK("https://www.spark-marketing.ru/Card/Lot/72892353", "Оказание услуг по организации ежедневного трехразового горячего питания для слушателей ЦПП УМВД России по Камчатскому краю")</f>
        <v>Оказание услуг по организации ежедневного трехразового горячего питания для слушателей ЦПП УМВД России по Камчатскому краю</v>
      </c>
      <c r="G6601" s="22" t="s">
        <v>246</v>
      </c>
      <c r="H6601" s="22" t="s">
        <v>246</v>
      </c>
      <c r="I6601" s="26">
        <v>43696.777743055602</v>
      </c>
      <c r="J6601" s="23" t="str">
        <f>HYPERLINK("https://www.spark-marketing.ru/Card/Person/147450", "Гагиев Сослан Маратович")</f>
        <v>Гагиев Сослан Маратович</v>
      </c>
      <c r="K6601" s="24" t="s">
        <v>10018</v>
      </c>
      <c r="L6601" s="22" t="s">
        <v>10</v>
      </c>
      <c r="M6601" s="25">
        <v>697.81</v>
      </c>
      <c r="N6601" s="27">
        <v>0.99982554749999997</v>
      </c>
    </row>
    <row r="6602" spans="1:14" x14ac:dyDescent="0.15">
      <c r="A6602" s="23" t="str">
        <f>HYPERLINK("https://www.spark-marketing.ru/Card/Person/102549", "КГБОУ ""МАРАЛИХИНСКАЯ ОБЩЕОБРАЗОВАТЕЛЬНАЯ ШКОЛА-ИНТЕРНАТ""")</f>
        <v>КГБОУ "МАРАЛИХИНСКАЯ ОБЩЕОБРАЗОВАТЕЛЬНАЯ ШКОЛА-ИНТЕРНАТ"</v>
      </c>
      <c r="B6602" s="24" t="s">
        <v>10022</v>
      </c>
      <c r="C6602" s="25">
        <v>62900</v>
      </c>
      <c r="D6602" s="22" t="s">
        <v>10023</v>
      </c>
      <c r="E6602" s="22" t="s">
        <v>2894</v>
      </c>
      <c r="F6602" s="23" t="str">
        <f>HYPERLINK("https://www.spark-marketing.ru/Card/Lot/72899235", "(244)Товары, работы или услуги на сумму, не превышающие 100 тыс. руб. (п.4 ч.1 ст.93 44-ФЗ)")</f>
        <v>(244)Товары, работы или услуги на сумму, не превышающие 100 тыс. руб. (п.4 ч.1 ст.93 44-ФЗ)</v>
      </c>
      <c r="G6602" s="22" t="s">
        <v>63</v>
      </c>
      <c r="H6602" s="22" t="s">
        <v>10024</v>
      </c>
      <c r="I6602" s="26">
        <v>43697.452083333301</v>
      </c>
      <c r="J6602" s="28" t="s">
        <v>51</v>
      </c>
      <c r="K6602" s="28" t="s">
        <v>51</v>
      </c>
      <c r="L6602" s="28" t="s">
        <v>51</v>
      </c>
      <c r="M6602" s="28" t="s">
        <v>51</v>
      </c>
      <c r="N6602" s="28" t="s">
        <v>51</v>
      </c>
    </row>
    <row r="6603" spans="1:14" x14ac:dyDescent="0.15">
      <c r="A6603" s="23" t="str">
        <f>HYPERLINK("https://www.spark-marketing.ru/Card/Person/4343663", "МИНЗДРАВ АЛТАЙСКОГО КРАЯ")</f>
        <v>МИНЗДРАВ АЛТАЙСКОГО КРАЯ</v>
      </c>
      <c r="B6603" s="24" t="s">
        <v>9429</v>
      </c>
      <c r="C6603" s="25">
        <v>48750</v>
      </c>
      <c r="D6603" s="22" t="s">
        <v>10025</v>
      </c>
      <c r="E6603" s="22" t="s">
        <v>336</v>
      </c>
      <c r="F6603" s="23" t="str">
        <f>HYPERLINK("https://www.spark-marketing.ru/Card/Lot/72899225",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603" s="22" t="s">
        <v>63</v>
      </c>
      <c r="H6603" s="22" t="s">
        <v>177</v>
      </c>
      <c r="I6603" s="26">
        <v>43697.4506944444</v>
      </c>
      <c r="J6603" s="28" t="s">
        <v>51</v>
      </c>
      <c r="K6603" s="28" t="s">
        <v>51</v>
      </c>
      <c r="L6603" s="28" t="s">
        <v>51</v>
      </c>
      <c r="M6603" s="28" t="s">
        <v>51</v>
      </c>
      <c r="N6603" s="28" t="s">
        <v>51</v>
      </c>
    </row>
    <row r="6604" spans="1:14" x14ac:dyDescent="0.15">
      <c r="A6604" s="23" t="str">
        <f>HYPERLINK("https://www.spark-marketing.ru/Card/Person/4344464", "АДМИНИСТРАЦИЯ ГУБЕРНАТОРА АРХАНГЕЛЬСКОЙ ОБЛАСТИ И ПРАВИТЕЛЬСТВА АРХАНГЕЛЬСКОЙ ОБЛАСТИ")</f>
        <v>АДМИНИСТРАЦИЯ ГУБЕРНАТОРА АРХАНГЕЛЬСКОЙ ОБЛАСТИ И ПРАВИТЕЛЬСТВА АРХАНГЕЛЬСКОЙ ОБЛАСТИ</v>
      </c>
      <c r="B6604" s="24" t="s">
        <v>10026</v>
      </c>
      <c r="C6604" s="25">
        <v>3500000</v>
      </c>
      <c r="D6604" s="22" t="s">
        <v>10027</v>
      </c>
      <c r="E6604" s="22" t="s">
        <v>96</v>
      </c>
      <c r="F6604" s="23" t="str">
        <f>HYPERLINK("https://www.spark-marketing.ru/Card/Lot/72903321", "Оказание услуг по организации питания при проведении официальных мероприятий с участием Губернатора Архангельской области, заместителей Губернатора Архангельской области, председателя Правительства Архангельской области, заместителей Председателя Пра...")</f>
        <v>Оказание услуг по организации питания при проведении официальных мероприятий с участием Губернатора Архангельской области, заместителей Губернатора Архангельской области, председателя Правительства Архангельской области, заместителей Председателя Пра...</v>
      </c>
      <c r="G6604" s="22" t="s">
        <v>214</v>
      </c>
      <c r="H6604" s="22" t="s">
        <v>523</v>
      </c>
      <c r="I6604" s="26">
        <v>43696.665219907401</v>
      </c>
      <c r="J6604" s="23" t="str">
        <f>HYPERLINK("https://www.spark-marketing.ru/Card/Person/487096", "ООО ""ДИЕТА29""")</f>
        <v>ООО "ДИЕТА29"</v>
      </c>
      <c r="K6604" s="24" t="s">
        <v>10028</v>
      </c>
      <c r="L6604" s="22" t="s">
        <v>10</v>
      </c>
      <c r="M6604" s="28" t="s">
        <v>51</v>
      </c>
      <c r="N6604" s="28" t="s">
        <v>51</v>
      </c>
    </row>
    <row r="6605" spans="1:14" x14ac:dyDescent="0.15">
      <c r="A6605" s="23" t="str">
        <f>HYPERLINK("https://www.spark-marketing.ru/Card/Person/1017820", "ОТДЕЛ МВД РОССИИ ПО ГОРОДУ МИХАЙЛОВКЕ")</f>
        <v>ОТДЕЛ МВД РОССИИ ПО ГОРОДУ МИХАЙЛОВКЕ</v>
      </c>
      <c r="B6605" s="24" t="s">
        <v>10029</v>
      </c>
      <c r="C6605" s="25">
        <v>1230000</v>
      </c>
      <c r="D6605" s="22" t="s">
        <v>10030</v>
      </c>
      <c r="E6605" s="22" t="s">
        <v>48</v>
      </c>
      <c r="F6605" s="23" t="str">
        <f>HYPERLINK("https://www.spark-marketing.ru/Card/Lot/72903480", "Услули по организации питания лиц, содержащихся в ИВС и СП")</f>
        <v>Услули по организации питания лиц, содержащихся в ИВС и СП</v>
      </c>
      <c r="G6605" s="22" t="s">
        <v>158</v>
      </c>
      <c r="H6605" s="22" t="s">
        <v>10031</v>
      </c>
      <c r="I6605" s="26">
        <v>43697.4315740741</v>
      </c>
      <c r="J6605" s="28" t="s">
        <v>51</v>
      </c>
      <c r="K6605" s="28" t="s">
        <v>51</v>
      </c>
      <c r="L6605" s="28" t="s">
        <v>51</v>
      </c>
      <c r="M6605" s="28" t="s">
        <v>51</v>
      </c>
      <c r="N6605" s="28" t="s">
        <v>51</v>
      </c>
    </row>
    <row r="6606" spans="1:14" hidden="1" outlineLevel="1" x14ac:dyDescent="0.2">
      <c r="A6606" s="23" t="str">
        <f>HYPERLINK("https://www.spark-marketing.ru/Card/Person/1017820", "ОТДЕЛ МВД РОССИИ ПО ГОРОДУ МИХАЙЛОВКЕ")</f>
        <v>ОТДЕЛ МВД РОССИИ ПО ГОРОДУ МИХАЙЛОВКЕ</v>
      </c>
      <c r="B6606" s="24" t="s">
        <v>10029</v>
      </c>
      <c r="C6606" s="25">
        <v>1230000</v>
      </c>
      <c r="D6606" s="22" t="s">
        <v>10030</v>
      </c>
      <c r="E6606" s="22" t="s">
        <v>48</v>
      </c>
      <c r="F6606" s="23" t="str">
        <f>HYPERLINK("https://www.spark-marketing.ru/Card/Lot/72903480", "Услули по организации питания лиц, содержащихся в ИВС и СП")</f>
        <v>Услули по организации питания лиц, содержащихся в ИВС и СП</v>
      </c>
      <c r="G6606" s="22" t="s">
        <v>158</v>
      </c>
      <c r="H6606" s="22" t="s">
        <v>10031</v>
      </c>
      <c r="I6606" s="26">
        <v>43697.4315740741</v>
      </c>
      <c r="J6606" s="23" t="str">
        <f>HYPERLINK("https://www.spark-marketing.ru/Card/Person/509134", "Чистякова Анастасия Сергеевна")</f>
        <v>Чистякова Анастасия Сергеевна</v>
      </c>
      <c r="K6606" s="24" t="s">
        <v>10032</v>
      </c>
      <c r="L6606" s="28" t="s">
        <v>51</v>
      </c>
      <c r="M6606" s="25">
        <v>71.55</v>
      </c>
      <c r="N6606" s="27">
        <v>0.99994182926829267</v>
      </c>
    </row>
    <row r="6607" spans="1:14" hidden="1" outlineLevel="1" x14ac:dyDescent="0.2">
      <c r="A6607" s="23" t="str">
        <f>HYPERLINK("https://www.spark-marketing.ru/Card/Person/1017820", "ОТДЕЛ МВД РОССИИ ПО ГОРОДУ МИХАЙЛОВКЕ")</f>
        <v>ОТДЕЛ МВД РОССИИ ПО ГОРОДУ МИХАЙЛОВКЕ</v>
      </c>
      <c r="B6607" s="24" t="s">
        <v>10029</v>
      </c>
      <c r="C6607" s="25">
        <v>1230000</v>
      </c>
      <c r="D6607" s="22" t="s">
        <v>10030</v>
      </c>
      <c r="E6607" s="22" t="s">
        <v>48</v>
      </c>
      <c r="F6607" s="23" t="str">
        <f>HYPERLINK("https://www.spark-marketing.ru/Card/Lot/72903480", "Услули по организации питания лиц, содержащихся в ИВС и СП")</f>
        <v>Услули по организации питания лиц, содержащихся в ИВС и СП</v>
      </c>
      <c r="G6607" s="22" t="s">
        <v>158</v>
      </c>
      <c r="H6607" s="22" t="s">
        <v>10031</v>
      </c>
      <c r="I6607" s="26">
        <v>43697.4315740741</v>
      </c>
      <c r="J6607" s="23" t="str">
        <f>HYPERLINK("https://www.spark-marketing.ru/Card/Person/5899330", "Голиков Владимир Леонидович")</f>
        <v>Голиков Владимир Леонидович</v>
      </c>
      <c r="K6607" s="24" t="s">
        <v>10033</v>
      </c>
      <c r="L6607" s="28" t="s">
        <v>51</v>
      </c>
      <c r="M6607" s="25">
        <v>69.7</v>
      </c>
      <c r="N6607" s="27">
        <v>0.9999433333333333</v>
      </c>
    </row>
    <row r="6608" spans="1:14" ht="12.75" hidden="1" outlineLevel="1" x14ac:dyDescent="0.2">
      <c r="A6608" s="23" t="str">
        <f>HYPERLINK("https://www.spark-marketing.ru/Card/Person/1017820", "ОТДЕЛ МВД РОССИИ ПО ГОРОДУ МИХАЙЛОВКЕ")</f>
        <v>ОТДЕЛ МВД РОССИИ ПО ГОРОДУ МИХАЙЛОВКЕ</v>
      </c>
      <c r="B6608" s="24" t="s">
        <v>10029</v>
      </c>
      <c r="C6608" s="25">
        <v>1230000</v>
      </c>
      <c r="D6608" s="22" t="s">
        <v>10030</v>
      </c>
      <c r="E6608" s="22" t="s">
        <v>48</v>
      </c>
      <c r="F6608" s="23" t="str">
        <f>HYPERLINK("https://www.spark-marketing.ru/Card/Lot/72903480", "Услули по организации питания лиц, содержащихся в ИВС и СП")</f>
        <v>Услули по организации питания лиц, содержащихся в ИВС и СП</v>
      </c>
      <c r="G6608" s="22" t="s">
        <v>158</v>
      </c>
      <c r="H6608" s="22" t="s">
        <v>10031</v>
      </c>
      <c r="I6608" s="26">
        <v>43697.4315740741</v>
      </c>
      <c r="J6608" s="23" t="str">
        <f>HYPERLINK("https://www.spark-marketing.ru/Card/Person/6694661", "ООО РГК ""МЕДВЕДИЦА""")</f>
        <v>ООО РГК "МЕДВЕДИЦА"</v>
      </c>
      <c r="K6608" s="24" t="s">
        <v>10034</v>
      </c>
      <c r="L6608" s="22" t="s">
        <v>10</v>
      </c>
      <c r="M6608" s="25">
        <v>117.8</v>
      </c>
      <c r="N6608" s="27">
        <v>0.99990422764227638</v>
      </c>
    </row>
    <row r="6609" spans="1:14" hidden="1" outlineLevel="1" x14ac:dyDescent="0.2">
      <c r="A6609" s="23" t="str">
        <f>HYPERLINK("https://www.spark-marketing.ru/Card/Person/1017820", "ОТДЕЛ МВД РОССИИ ПО ГОРОДУ МИХАЙЛОВКЕ")</f>
        <v>ОТДЕЛ МВД РОССИИ ПО ГОРОДУ МИХАЙЛОВКЕ</v>
      </c>
      <c r="B6609" s="24" t="s">
        <v>10029</v>
      </c>
      <c r="C6609" s="25">
        <v>1230000</v>
      </c>
      <c r="D6609" s="22" t="s">
        <v>10030</v>
      </c>
      <c r="E6609" s="22" t="s">
        <v>48</v>
      </c>
      <c r="F6609" s="23" t="str">
        <f>HYPERLINK("https://www.spark-marketing.ru/Card/Lot/72903480", "Услули по организации питания лиц, содержащихся в ИВС и СП")</f>
        <v>Услули по организации питания лиц, содержащихся в ИВС и СП</v>
      </c>
      <c r="G6609" s="22" t="s">
        <v>158</v>
      </c>
      <c r="H6609" s="22" t="s">
        <v>10031</v>
      </c>
      <c r="I6609" s="26">
        <v>43697.4315740741</v>
      </c>
      <c r="J6609" s="23" t="str">
        <f>HYPERLINK("https://www.spark-marketing.ru/Card/Person/520670", "ООО ""СОЮЗ К""")</f>
        <v>ООО "СОЮЗ К"</v>
      </c>
      <c r="K6609" s="24" t="s">
        <v>10035</v>
      </c>
      <c r="L6609" s="28" t="s">
        <v>51</v>
      </c>
      <c r="M6609" s="25">
        <v>369.89</v>
      </c>
      <c r="N6609" s="27">
        <v>0.99969927642276424</v>
      </c>
    </row>
    <row r="6610" spans="1:14" x14ac:dyDescent="0.15">
      <c r="A6610" s="23" t="str">
        <f>HYPERLINK("https://www.spark-marketing.ru/Card/Person/574571", "ФКУ ИК-3 УФСИН РОССИИ ПО Г. САНКТ-ПЕТЕРБУРГУ И ЛЕНИНГРАДСКОЙ ОБЛАСТИ")</f>
        <v>ФКУ ИК-3 УФСИН РОССИИ ПО Г. САНКТ-ПЕТЕРБУРГУ И ЛЕНИНГРАДСКОЙ ОБЛАСТИ</v>
      </c>
      <c r="B6610" s="24" t="s">
        <v>10036</v>
      </c>
      <c r="C6610" s="25">
        <v>65559</v>
      </c>
      <c r="D6610" s="22" t="s">
        <v>10037</v>
      </c>
      <c r="E6610" s="22" t="s">
        <v>437</v>
      </c>
      <c r="F6610" s="23" t="str">
        <f>HYPERLINK("https://www.spark-marketing.ru/Card/Lot/72901233", "Оказание услуг по проведению лабораторных исследований  в рамках программы производственного контроля")</f>
        <v>Оказание услуг по проведению лабораторных исследований  в рамках программы производственного контроля</v>
      </c>
      <c r="G6610" s="22" t="s">
        <v>162</v>
      </c>
      <c r="H6610" s="22" t="s">
        <v>4106</v>
      </c>
      <c r="I6610" s="26">
        <v>43697.378009259301</v>
      </c>
      <c r="J6610" s="23" t="str">
        <f>HYPERLINK("https://www.spark-marketing.ru/Card/Person/877408", "ООО ""СТОПРОФ""")</f>
        <v>ООО "СТОПРОФ"</v>
      </c>
      <c r="K6610" s="24" t="s">
        <v>10038</v>
      </c>
      <c r="L6610" s="22" t="s">
        <v>10</v>
      </c>
      <c r="M6610" s="28" t="s">
        <v>51</v>
      </c>
      <c r="N6610" s="28" t="s">
        <v>51</v>
      </c>
    </row>
    <row r="6611" spans="1:14" x14ac:dyDescent="0.15">
      <c r="A6611" s="23" t="str">
        <f>HYPERLINK("https://www.spark-marketing.ru/Card/Person/3860", "КГБУЗ ""ГОРОДСКАЯ БОЛЬНИЦА №2, Г. РУБЦОВСК""")</f>
        <v>КГБУЗ "ГОРОДСКАЯ БОЛЬНИЦА №2, Г. РУБЦОВСК"</v>
      </c>
      <c r="B6611" s="24" t="s">
        <v>10039</v>
      </c>
      <c r="C6611" s="25">
        <v>12260</v>
      </c>
      <c r="D6611" s="22" t="s">
        <v>10040</v>
      </c>
      <c r="E6611" s="22" t="s">
        <v>10041</v>
      </c>
      <c r="F6611" s="23" t="str">
        <f>HYPERLINK("https://www.spark-marketing.ru/Card/Lot/72898417", "Закупки малого объема по п.4. ст.93 Федерального закона №44 -ФЗ от 05.04.2013г. ""О контрактной системе в сфере закупок товаров, работ, услуг для обеспечения государственных и муниципальных нужд""")</f>
        <v>Закупки малого объема по п.4. ст.93 Федерального закона №44 -ФЗ от 05.04.2013г. "О контрактной системе в сфере закупок товаров, работ, услуг для обеспечения государственных и муниципальных нужд"</v>
      </c>
      <c r="G6611" s="22" t="s">
        <v>63</v>
      </c>
      <c r="H6611" s="22" t="s">
        <v>1859</v>
      </c>
      <c r="I6611" s="26">
        <v>43697.433333333298</v>
      </c>
      <c r="J6611" s="28" t="s">
        <v>51</v>
      </c>
      <c r="K6611" s="28" t="s">
        <v>51</v>
      </c>
      <c r="L6611" s="28" t="s">
        <v>51</v>
      </c>
      <c r="M6611" s="28" t="s">
        <v>51</v>
      </c>
      <c r="N6611" s="28" t="s">
        <v>51</v>
      </c>
    </row>
    <row r="6612" spans="1:14" x14ac:dyDescent="0.15">
      <c r="A6612" s="23" t="str">
        <f>HYPERLINK("https://www.spark-marketing.ru/Card/Person/1033372", "МКДОУ ДЕТСКИЙ САД ""СОЛНЫШКО""П.ОКТЯБРЬСКИЙ")</f>
        <v>МКДОУ ДЕТСКИЙ САД "СОЛНЫШКО"П.ОКТЯБРЬСКИЙ</v>
      </c>
      <c r="B6612" s="24" t="s">
        <v>10042</v>
      </c>
      <c r="C6612" s="25">
        <v>500000</v>
      </c>
      <c r="D6612" s="22" t="s">
        <v>10043</v>
      </c>
      <c r="E6612" s="22" t="s">
        <v>10044</v>
      </c>
      <c r="F6612" s="23" t="str">
        <f>HYPERLINK("https://www.spark-marketing.ru/Card/Lot/72895062", "продукты питания")</f>
        <v>продукты питания</v>
      </c>
      <c r="G6612" s="22" t="s">
        <v>281</v>
      </c>
      <c r="H6612" s="22" t="s">
        <v>281</v>
      </c>
      <c r="I6612" s="26">
        <v>43697.393148148098</v>
      </c>
      <c r="J6612" s="23" t="str">
        <f>HYPERLINK("https://www.spark-marketing.ru/Card/Person/6368007", "Чистовская Кристина Александровна")</f>
        <v>Чистовская Кристина Александровна</v>
      </c>
      <c r="K6612" s="24" t="s">
        <v>10045</v>
      </c>
      <c r="L6612" s="22" t="s">
        <v>10</v>
      </c>
      <c r="M6612" s="28" t="s">
        <v>51</v>
      </c>
      <c r="N6612" s="28" t="s">
        <v>51</v>
      </c>
    </row>
    <row r="6613" spans="1:14" x14ac:dyDescent="0.15">
      <c r="A6613" s="23" t="str">
        <f>HYPERLINK("https://www.spark-marketing.ru/Card/Person/24417", "ГБУЗ СО ""ОТРАДНЕНСКАЯ ГОРОДСКАЯ БОЛЬНИЦА""")</f>
        <v>ГБУЗ СО "ОТРАДНЕНСКАЯ ГОРОДСКАЯ БОЛЬНИЦА"</v>
      </c>
      <c r="B6613" s="24" t="s">
        <v>416</v>
      </c>
      <c r="C6613" s="25">
        <v>9235134</v>
      </c>
      <c r="D6613" s="22" t="s">
        <v>10046</v>
      </c>
      <c r="E6613" s="22" t="s">
        <v>48</v>
      </c>
      <c r="F6613" s="23" t="str">
        <f>HYPERLINK("https://www.spark-marketing.ru/Card/Lot/72899093",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""Отрадненская городская больница""")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"Отрадненская городская больница"</v>
      </c>
      <c r="G6613" s="22" t="s">
        <v>128</v>
      </c>
      <c r="H6613" s="22" t="s">
        <v>418</v>
      </c>
      <c r="I6613" s="26">
        <v>43697.413067129601</v>
      </c>
      <c r="J6613" s="28" t="s">
        <v>51</v>
      </c>
      <c r="K6613" s="28" t="s">
        <v>51</v>
      </c>
      <c r="L6613" s="28" t="s">
        <v>51</v>
      </c>
      <c r="M6613" s="28" t="s">
        <v>51</v>
      </c>
      <c r="N6613" s="28" t="s">
        <v>51</v>
      </c>
    </row>
    <row r="6614" spans="1:14" ht="12.75" hidden="1" outlineLevel="1" x14ac:dyDescent="0.2">
      <c r="A6614" s="23" t="str">
        <f>HYPERLINK("https://www.spark-marketing.ru/Card/Person/24417", "ГБУЗ СО ""ОТРАДНЕНСКАЯ ГОРОДСКАЯ БОЛЬНИЦА""")</f>
        <v>ГБУЗ СО "ОТРАДНЕНСКАЯ ГОРОДСКАЯ БОЛЬНИЦА"</v>
      </c>
      <c r="B6614" s="24" t="s">
        <v>416</v>
      </c>
      <c r="C6614" s="25">
        <v>9235134</v>
      </c>
      <c r="D6614" s="22" t="s">
        <v>10046</v>
      </c>
      <c r="E6614" s="22" t="s">
        <v>48</v>
      </c>
      <c r="F6614" s="23" t="str">
        <f>HYPERLINK("https://www.spark-marketing.ru/Card/Lot/72899093",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""Отрадненская городская больница""")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"Отрадненская городская больница"</v>
      </c>
      <c r="G6614" s="22" t="s">
        <v>128</v>
      </c>
      <c r="H6614" s="22" t="s">
        <v>418</v>
      </c>
      <c r="I6614" s="26">
        <v>43697.413067129601</v>
      </c>
      <c r="J6614" s="23" t="str">
        <f>HYPERLINK("https://www.spark-marketing.ru/Card/Person/6697059", "ООО ""ПРОДМАРКЕТ""")</f>
        <v>ООО "ПРОДМАРКЕТ"</v>
      </c>
      <c r="K6614" s="24" t="s">
        <v>6382</v>
      </c>
      <c r="L6614" s="22" t="s">
        <v>10</v>
      </c>
      <c r="M6614" s="25">
        <v>6326066.79</v>
      </c>
      <c r="N6614" s="27">
        <v>0.315</v>
      </c>
    </row>
    <row r="6615" spans="1:14" hidden="1" outlineLevel="1" x14ac:dyDescent="0.2">
      <c r="A6615" s="23" t="str">
        <f>HYPERLINK("https://www.spark-marketing.ru/Card/Person/24417", "ГБУЗ СО ""ОТРАДНЕНСКАЯ ГОРОДСКАЯ БОЛЬНИЦА""")</f>
        <v>ГБУЗ СО "ОТРАДНЕНСКАЯ ГОРОДСКАЯ БОЛЬНИЦА"</v>
      </c>
      <c r="B6615" s="24" t="s">
        <v>416</v>
      </c>
      <c r="C6615" s="25">
        <v>9235134</v>
      </c>
      <c r="D6615" s="22" t="s">
        <v>10046</v>
      </c>
      <c r="E6615" s="22" t="s">
        <v>48</v>
      </c>
      <c r="F6615" s="23" t="str">
        <f>HYPERLINK("https://www.spark-marketing.ru/Card/Lot/72899093",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""Отрадненская городская больница""")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"Отрадненская городская больница"</v>
      </c>
      <c r="G6615" s="22" t="s">
        <v>128</v>
      </c>
      <c r="H6615" s="22" t="s">
        <v>418</v>
      </c>
      <c r="I6615" s="26">
        <v>43697.413067129601</v>
      </c>
      <c r="J6615" s="23" t="str">
        <f>HYPERLINK("https://www.spark-marketing.ru/Card/Person/6288850", "ООО ""ЭКОСФЕРА""")</f>
        <v>ООО "ЭКОСФЕРА"</v>
      </c>
      <c r="K6615" s="24" t="s">
        <v>7098</v>
      </c>
      <c r="L6615" s="28" t="s">
        <v>51</v>
      </c>
      <c r="M6615" s="25">
        <v>9150000</v>
      </c>
      <c r="N6615" s="27">
        <v>9.2184910365133849E-3</v>
      </c>
    </row>
    <row r="6616" spans="1:14" hidden="1" outlineLevel="1" x14ac:dyDescent="0.2">
      <c r="A6616" s="23" t="str">
        <f>HYPERLINK("https://www.spark-marketing.ru/Card/Person/24417", "ГБУЗ СО ""ОТРАДНЕНСКАЯ ГОРОДСКАЯ БОЛЬНИЦА""")</f>
        <v>ГБУЗ СО "ОТРАДНЕНСКАЯ ГОРОДСКАЯ БОЛЬНИЦА"</v>
      </c>
      <c r="B6616" s="24" t="s">
        <v>416</v>
      </c>
      <c r="C6616" s="25">
        <v>9235134</v>
      </c>
      <c r="D6616" s="22" t="s">
        <v>10046</v>
      </c>
      <c r="E6616" s="22" t="s">
        <v>48</v>
      </c>
      <c r="F6616" s="23" t="str">
        <f>HYPERLINK("https://www.spark-marketing.ru/Card/Lot/72899093",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""Отрадненская городская больница""")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"Отрадненская городская больница"</v>
      </c>
      <c r="G6616" s="22" t="s">
        <v>128</v>
      </c>
      <c r="H6616" s="22" t="s">
        <v>418</v>
      </c>
      <c r="I6616" s="26">
        <v>43697.413067129601</v>
      </c>
      <c r="J6616" s="23" t="str">
        <f>HYPERLINK("https://www.spark-marketing.ru/Card/Person/1242795", "ООО ""КОНТИНЕНТ - КУЛИНАРИЯ""")</f>
        <v>ООО "КОНТИНЕНТ - КУЛИНАРИЯ"</v>
      </c>
      <c r="K6616" s="24" t="s">
        <v>6383</v>
      </c>
      <c r="L6616" s="28" t="s">
        <v>51</v>
      </c>
      <c r="M6616" s="25">
        <v>8897777</v>
      </c>
      <c r="N6616" s="27">
        <v>3.6529735248021306E-2</v>
      </c>
    </row>
    <row r="6617" spans="1:14" hidden="1" outlineLevel="1" x14ac:dyDescent="0.2">
      <c r="A6617" s="23" t="str">
        <f>HYPERLINK("https://www.spark-marketing.ru/Card/Person/24417", "ГБУЗ СО ""ОТРАДНЕНСКАЯ ГОРОДСКАЯ БОЛЬНИЦА""")</f>
        <v>ГБУЗ СО "ОТРАДНЕНСКАЯ ГОРОДСКАЯ БОЛЬНИЦА"</v>
      </c>
      <c r="B6617" s="24" t="s">
        <v>416</v>
      </c>
      <c r="C6617" s="25">
        <v>9235134</v>
      </c>
      <c r="D6617" s="22" t="s">
        <v>10046</v>
      </c>
      <c r="E6617" s="22" t="s">
        <v>48</v>
      </c>
      <c r="F6617" s="23" t="str">
        <f>HYPERLINK("https://www.spark-marketing.ru/Card/Lot/72899093",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""Отрадненская городская больница""")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"Отрадненская городская больница"</v>
      </c>
      <c r="G6617" s="22" t="s">
        <v>128</v>
      </c>
      <c r="H6617" s="22" t="s">
        <v>418</v>
      </c>
      <c r="I6617" s="26">
        <v>43697.413067129601</v>
      </c>
      <c r="J6617" s="23" t="str">
        <f>HYPERLINK("https://www.spark-marketing.ru/Card/Person/6697061", "Быков Захар Владимирович")</f>
        <v>Быков Захар Владимирович</v>
      </c>
      <c r="K6617" s="24" t="s">
        <v>10047</v>
      </c>
      <c r="L6617" s="28" t="s">
        <v>51</v>
      </c>
      <c r="M6617" s="25">
        <v>6372242.46</v>
      </c>
      <c r="N6617" s="27">
        <v>0.31</v>
      </c>
    </row>
    <row r="6618" spans="1:14" x14ac:dyDescent="0.15">
      <c r="A6618" s="23" t="str">
        <f>HYPERLINK("https://www.spark-marketing.ru/Card/Person/139807", "УПРАВЛЕНИЕ РОСКОМНАДЗОРА ПО РЕСПУБЛИКЕ ДАГЕСТАН")</f>
        <v>УПРАВЛЕНИЕ РОСКОМНАДЗОРА ПО РЕСПУБЛИКЕ ДАГЕСТАН</v>
      </c>
      <c r="B6618" s="24" t="s">
        <v>10048</v>
      </c>
      <c r="C6618" s="25">
        <v>6000</v>
      </c>
      <c r="D6618" s="22" t="s">
        <v>10049</v>
      </c>
      <c r="E6618" s="22" t="s">
        <v>91</v>
      </c>
      <c r="F6618" s="23" t="str">
        <f>HYPERLINK("https://www.spark-marketing.ru/Card/Lot/72896960", "Услуги")</f>
        <v>Услуги</v>
      </c>
      <c r="G6618" s="22" t="s">
        <v>1607</v>
      </c>
      <c r="H6618" s="22" t="s">
        <v>1608</v>
      </c>
      <c r="I6618" s="26">
        <v>43697.402453703697</v>
      </c>
      <c r="J6618" s="28" t="s">
        <v>51</v>
      </c>
      <c r="K6618" s="28" t="s">
        <v>51</v>
      </c>
      <c r="L6618" s="28" t="s">
        <v>51</v>
      </c>
      <c r="M6618" s="28" t="s">
        <v>51</v>
      </c>
      <c r="N6618" s="28" t="s">
        <v>51</v>
      </c>
    </row>
    <row r="6619" spans="1:14" ht="12.75" x14ac:dyDescent="0.2">
      <c r="A6619" s="23" t="str">
        <f>HYPERLINK("https://www.spark-marketing.ru/Card/Person/217481", "ФКУ ИК-32 ОУХД ГУФСИН РОССИИ ПО ИРКУТСКОЙ ОБЛАСТИ")</f>
        <v>ФКУ ИК-32 ОУХД ГУФСИН РОССИИ ПО ИРКУТСКОЙ ОБЛАСТИ</v>
      </c>
      <c r="B6619" s="24" t="s">
        <v>10050</v>
      </c>
      <c r="C6619" s="25">
        <v>165150</v>
      </c>
      <c r="D6619" s="22" t="s">
        <v>10051</v>
      </c>
      <c r="E6619" s="22" t="s">
        <v>10052</v>
      </c>
      <c r="F6619" s="23" t="str">
        <f>HYPERLINK("https://www.spark-marketing.ru/Card/Lot/72898109", "Прочая закупка товаров, работ и услуг (продукты питания)")</f>
        <v>Прочая закупка товаров, работ и услуг (продукты питания)</v>
      </c>
      <c r="G6619" s="22" t="s">
        <v>263</v>
      </c>
      <c r="H6619" s="22" t="s">
        <v>10053</v>
      </c>
      <c r="I6619" s="26">
        <v>43697.5783912037</v>
      </c>
      <c r="J6619" s="23" t="str">
        <f>HYPERLINK("https://www.spark-marketing.ru/Card/Person/581671", "Келлер Ирина Павловна")</f>
        <v>Келлер Ирина Павловна</v>
      </c>
      <c r="K6619" s="24" t="s">
        <v>10054</v>
      </c>
      <c r="L6619" s="22" t="s">
        <v>10</v>
      </c>
      <c r="M6619" s="25">
        <v>165000</v>
      </c>
      <c r="N6619" s="27">
        <v>9.0826521344232513E-4</v>
      </c>
    </row>
    <row r="6620" spans="1:14" x14ac:dyDescent="0.15">
      <c r="A6620" s="23" t="str">
        <f>HYPERLINK("https://www.spark-marketing.ru/Card/Person/19253", "УПРАВЛЕНИЕ МВД РОССИИ ПО ГОРОДУ СТАВРОПОЛЮ")</f>
        <v>УПРАВЛЕНИЕ МВД РОССИИ ПО ГОРОДУ СТАВРОПОЛЮ</v>
      </c>
      <c r="B6620" s="24" t="s">
        <v>6992</v>
      </c>
      <c r="C6620" s="25">
        <v>1187011.6599999999</v>
      </c>
      <c r="D6620" s="22" t="s">
        <v>10055</v>
      </c>
      <c r="E6620" s="22" t="s">
        <v>48</v>
      </c>
      <c r="F6620" s="23" t="str">
        <f>HYPERLINK("https://www.spark-marketing.ru/Card/Lot/72900707", "Оказание услуг по организации питания лиц, задержанных за административные правонарушения и содержащиеся в помещениях для задержанных в отделах полиции ОП №1, ОП №2 и ОП №3 Управления МВД России по городу Ставрополю")</f>
        <v>Оказание услуг по организации питания лиц, задержанных за административные правонарушения и содержащиеся в помещениях для задержанных в отделах полиции ОП №1, ОП №2 и ОП №3 Управления МВД России по городу Ставрополю</v>
      </c>
      <c r="G6620" s="22" t="s">
        <v>87</v>
      </c>
      <c r="H6620" s="22" t="s">
        <v>87</v>
      </c>
      <c r="I6620" s="26">
        <v>43697.090092592603</v>
      </c>
      <c r="J6620" s="23" t="str">
        <f>HYPERLINK("https://www.spark-marketing.ru/Card/Person/950178", "Левин Евгений Николаевич")</f>
        <v>Левин Евгений Николаевич</v>
      </c>
      <c r="K6620" s="24" t="s">
        <v>6994</v>
      </c>
      <c r="L6620" s="22" t="s">
        <v>10</v>
      </c>
      <c r="M6620" s="28" t="s">
        <v>51</v>
      </c>
      <c r="N6620" s="28" t="s">
        <v>51</v>
      </c>
    </row>
    <row r="6621" spans="1:14" x14ac:dyDescent="0.15">
      <c r="A6621" s="23" t="str">
        <f>HYPERLINK("https://www.spark-marketing.ru/Card/Person/4377027", "МБОУ ""ЯСШ № 7""")</f>
        <v>МБОУ "ЯСШ № 7"</v>
      </c>
      <c r="B6621" s="24" t="s">
        <v>10056</v>
      </c>
      <c r="C6621" s="25">
        <v>1452480</v>
      </c>
      <c r="D6621" s="22" t="s">
        <v>10057</v>
      </c>
      <c r="E6621" s="22" t="s">
        <v>48</v>
      </c>
      <c r="F6621" s="23" t="str">
        <f>HYPERLINK("https://www.spark-marketing.ru/Card/Lot/72903318", "Оказание услуг по организации горячего питания (завтраки, обеды) обучающихся")</f>
        <v>Оказание услуг по организации горячего питания (завтраки, обеды) обучающихся</v>
      </c>
      <c r="G6621" s="22" t="s">
        <v>108</v>
      </c>
      <c r="H6621" s="22" t="s">
        <v>1321</v>
      </c>
      <c r="I6621" s="26">
        <v>43696.653368055602</v>
      </c>
      <c r="J6621" s="23" t="str">
        <f>HYPERLINK("https://www.spark-marketing.ru/Card/Person/1730092", "ООО ""МИМОЗА""")</f>
        <v>ООО "МИМОЗА"</v>
      </c>
      <c r="K6621" s="24" t="s">
        <v>4673</v>
      </c>
      <c r="L6621" s="22" t="s">
        <v>10</v>
      </c>
      <c r="M6621" s="28" t="s">
        <v>51</v>
      </c>
      <c r="N6621" s="28" t="s">
        <v>51</v>
      </c>
    </row>
    <row r="6622" spans="1:14" x14ac:dyDescent="0.15">
      <c r="A6622" s="23" t="str">
        <f>HYPERLINK("https://www.spark-marketing.ru/Card/Person/102549", "КГБОУ ""МАРАЛИХИНСКАЯ ОБЩЕОБРАЗОВАТЕЛЬНАЯ ШКОЛА-ИНТЕРНАТ""")</f>
        <v>КГБОУ "МАРАЛИХИНСКАЯ ОБЩЕОБРАЗОВАТЕЛЬНАЯ ШКОЛА-ИНТЕРНАТ"</v>
      </c>
      <c r="B6622" s="24" t="s">
        <v>10022</v>
      </c>
      <c r="C6622" s="25">
        <v>83231.5</v>
      </c>
      <c r="D6622" s="22" t="s">
        <v>10058</v>
      </c>
      <c r="E6622" s="22" t="s">
        <v>10059</v>
      </c>
      <c r="F6622" s="23" t="str">
        <f>HYPERLINK("https://www.spark-marketing.ru/Card/Lot/72896630", "(244)Товары, работы или услуги на сумму, не превышающие 100 тыс. руб. (п.4 ч.1 ст.93 44-ФЗ)")</f>
        <v>(244)Товары, работы или услуги на сумму, не превышающие 100 тыс. руб. (п.4 ч.1 ст.93 44-ФЗ)</v>
      </c>
      <c r="G6622" s="22" t="s">
        <v>63</v>
      </c>
      <c r="H6622" s="22" t="s">
        <v>10024</v>
      </c>
      <c r="I6622" s="26">
        <v>43697.392361111102</v>
      </c>
      <c r="J6622" s="28" t="s">
        <v>51</v>
      </c>
      <c r="K6622" s="28" t="s">
        <v>51</v>
      </c>
      <c r="L6622" s="28" t="s">
        <v>51</v>
      </c>
      <c r="M6622" s="28" t="s">
        <v>51</v>
      </c>
      <c r="N6622" s="28" t="s">
        <v>51</v>
      </c>
    </row>
    <row r="6623" spans="1:14" x14ac:dyDescent="0.15">
      <c r="A6623" s="23" t="str">
        <f>HYPERLINK("https://www.spark-marketing.ru/Card/Person/878540", "КГБОУ ""НОВОАЛТАЙСКАЯ ОБЩЕОБРАЗОВАТЕЛЬНАЯ ШКОЛА-ИНТЕРНАТ""")</f>
        <v>КГБОУ "НОВОАЛТАЙСКАЯ ОБЩЕОБРАЗОВАТЕЛЬНАЯ ШКОЛА-ИНТЕРНАТ"</v>
      </c>
      <c r="B6623" s="24" t="s">
        <v>10060</v>
      </c>
      <c r="C6623" s="25">
        <v>63804.47</v>
      </c>
      <c r="D6623" s="22" t="s">
        <v>10061</v>
      </c>
      <c r="E6623" s="22" t="s">
        <v>10062</v>
      </c>
      <c r="F6623" s="23" t="str">
        <f>HYPERLINK("https://www.spark-marketing.ru/Card/Lot/72896475", "Закупка товаров, работ, услуг")</f>
        <v>Закупка товаров, работ, услуг</v>
      </c>
      <c r="G6623" s="22" t="s">
        <v>63</v>
      </c>
      <c r="H6623" s="22" t="s">
        <v>3262</v>
      </c>
      <c r="I6623" s="26">
        <v>43697.377083333296</v>
      </c>
      <c r="J6623" s="28" t="s">
        <v>51</v>
      </c>
      <c r="K6623" s="28" t="s">
        <v>51</v>
      </c>
      <c r="L6623" s="28" t="s">
        <v>51</v>
      </c>
      <c r="M6623" s="28" t="s">
        <v>51</v>
      </c>
      <c r="N6623" s="28" t="s">
        <v>51</v>
      </c>
    </row>
    <row r="6624" spans="1:14" x14ac:dyDescent="0.15">
      <c r="A6624" s="23" t="str">
        <f>HYPERLINK("https://www.spark-marketing.ru/Card/Person/90036", "МУНИЦИПАЛЬНЫЙ БЮДЖЕТНЫЙ ЛИЦЕЙ №28 ГОРОДА ОРЛА")</f>
        <v>МУНИЦИПАЛЬНЫЙ БЮДЖЕТНЫЙ ЛИЦЕЙ №28 ГОРОДА ОРЛА</v>
      </c>
      <c r="B6624" s="24" t="s">
        <v>10063</v>
      </c>
      <c r="C6624" s="25">
        <v>486864</v>
      </c>
      <c r="D6624" s="22" t="s">
        <v>10064</v>
      </c>
      <c r="E6624" s="22" t="s">
        <v>51</v>
      </c>
      <c r="F6624" s="23" t="str">
        <f>HYPERLINK("https://www.spark-marketing.ru/Card/Lot/72900444",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624" s="22" t="s">
        <v>1066</v>
      </c>
      <c r="H6624" s="22" t="s">
        <v>2864</v>
      </c>
      <c r="I6624" s="26">
        <v>43696.632060185198</v>
      </c>
      <c r="J6624" s="23" t="str">
        <f>HYPERLINK("https://www.spark-marketing.ru/Card/Person/6690794", "ООО ""ШКОЛЬНОЕ ПИТАНИЕ""")</f>
        <v>ООО "ШКОЛЬНОЕ ПИТАНИЕ"</v>
      </c>
      <c r="K6624" s="24" t="s">
        <v>8906</v>
      </c>
      <c r="L6624" s="22" t="s">
        <v>10</v>
      </c>
      <c r="M6624" s="28" t="s">
        <v>51</v>
      </c>
      <c r="N6624" s="28" t="s">
        <v>51</v>
      </c>
    </row>
    <row r="6625" spans="1:14" x14ac:dyDescent="0.15">
      <c r="A6625" s="23" t="str">
        <f>HYPERLINK("https://www.spark-marketing.ru/Card/Person/1028777", "БЮДЖЕТНЫЙ ЛИЦЕЙ № 40 Г. ОРЛА")</f>
        <v>БЮДЖЕТНЫЙ ЛИЦЕЙ № 40 Г. ОРЛА</v>
      </c>
      <c r="B6625" s="24" t="s">
        <v>10065</v>
      </c>
      <c r="C6625" s="25">
        <v>804700</v>
      </c>
      <c r="D6625" s="22" t="s">
        <v>10066</v>
      </c>
      <c r="E6625" s="22" t="s">
        <v>51</v>
      </c>
      <c r="F6625" s="23" t="str">
        <f>HYPERLINK("https://www.spark-marketing.ru/Card/Lot/72900499", "Оказание услуги по организации горячего питания учащихся")</f>
        <v>Оказание услуги по организации горячего питания учащихся</v>
      </c>
      <c r="G6625" s="22" t="s">
        <v>1066</v>
      </c>
      <c r="H6625" s="22" t="s">
        <v>2864</v>
      </c>
      <c r="I6625" s="26">
        <v>43696.676909722199</v>
      </c>
      <c r="J6625" s="23" t="str">
        <f>HYPERLINK("https://www.spark-marketing.ru/Card/Person/749651", "МУП ""СТОЛОВАЯ № 83""")</f>
        <v>МУП "СТОЛОВАЯ № 83"</v>
      </c>
      <c r="K6625" s="24" t="s">
        <v>9777</v>
      </c>
      <c r="L6625" s="22" t="s">
        <v>10</v>
      </c>
      <c r="M6625" s="28" t="s">
        <v>51</v>
      </c>
      <c r="N6625" s="28" t="s">
        <v>51</v>
      </c>
    </row>
    <row r="6626" spans="1:14" x14ac:dyDescent="0.15">
      <c r="A6626" s="23" t="str">
        <f>HYPERLINK("https://www.spark-marketing.ru/Card/Person/6162", "ГКБУ ""УЭАЗ""")</f>
        <v>ГКБУ "УЭАЗ"</v>
      </c>
      <c r="B6626" s="24" t="s">
        <v>2584</v>
      </c>
      <c r="C6626" s="25">
        <v>1717882</v>
      </c>
      <c r="D6626" s="22" t="s">
        <v>10067</v>
      </c>
      <c r="E6626" s="22" t="s">
        <v>152</v>
      </c>
      <c r="F6626" s="23" t="str">
        <f>HYPERLINK("https://www.spark-marketing.ru/Card/Lot/72895164", "Оказание услуг по техническому обслуживанию и текущему ремонту оборудования систем автоматики тепло-водоснабжения на объектах культурного наследия")</f>
        <v>Оказание услуг по техническому обслуживанию и текущему ремонту оборудования систем автоматики тепло-водоснабжения на объектах культурного наследия</v>
      </c>
      <c r="G6626" s="22" t="s">
        <v>153</v>
      </c>
      <c r="H6626" s="22" t="s">
        <v>153</v>
      </c>
      <c r="I6626" s="26">
        <v>43696.732094907398</v>
      </c>
      <c r="J6626" s="23" t="str">
        <f>HYPERLINK("https://www.spark-marketing.ru/Card/Person/366766", "ООО ""БАРЬЕР""")</f>
        <v>ООО "БАРЬЕР"</v>
      </c>
      <c r="K6626" s="24" t="s">
        <v>2590</v>
      </c>
      <c r="L6626" s="28" t="s">
        <v>51</v>
      </c>
      <c r="M6626" s="28" t="s">
        <v>51</v>
      </c>
      <c r="N6626" s="28" t="s">
        <v>51</v>
      </c>
    </row>
    <row r="6627" spans="1:14" ht="12.75" hidden="1" outlineLevel="1" x14ac:dyDescent="0.2">
      <c r="A6627" s="23" t="str">
        <f>HYPERLINK("https://www.spark-marketing.ru/Card/Person/6162", "ГКБУ ""УЭАЗ""")</f>
        <v>ГКБУ "УЭАЗ"</v>
      </c>
      <c r="B6627" s="24" t="s">
        <v>2584</v>
      </c>
      <c r="C6627" s="25">
        <v>1717882</v>
      </c>
      <c r="D6627" s="22" t="s">
        <v>10067</v>
      </c>
      <c r="E6627" s="22" t="s">
        <v>152</v>
      </c>
      <c r="F6627" s="23" t="str">
        <f>HYPERLINK("https://www.spark-marketing.ru/Card/Lot/72895164", "Оказание услуг по техническому обслуживанию и текущему ремонту оборудования систем автоматики тепло-водоснабжения на объектах культурного наследия")</f>
        <v>Оказание услуг по техническому обслуживанию и текущему ремонту оборудования систем автоматики тепло-водоснабжения на объектах культурного наследия</v>
      </c>
      <c r="G6627" s="22" t="s">
        <v>153</v>
      </c>
      <c r="H6627" s="22" t="s">
        <v>153</v>
      </c>
      <c r="I6627" s="26">
        <v>43696.732094907398</v>
      </c>
      <c r="J6627" s="23" t="str">
        <f>HYPERLINK("https://www.spark-marketing.ru/Card/Person/366766", "ООО ""БАРЬЕР""")</f>
        <v>ООО "БАРЬЕР"</v>
      </c>
      <c r="K6627" s="24" t="s">
        <v>2590</v>
      </c>
      <c r="L6627" s="22" t="s">
        <v>10</v>
      </c>
      <c r="M6627" s="25">
        <v>1709292.59</v>
      </c>
      <c r="N6627" s="27">
        <v>5.0000000000000001E-3</v>
      </c>
    </row>
    <row r="6628" spans="1:14" x14ac:dyDescent="0.15">
      <c r="A6628" s="23" t="str">
        <f>HYPERLINK("https://www.spark-marketing.ru/Card/Person/142088", "МБДОУ ДЕТСКИЙ САД ""ЗВЕЗДОЧКА""")</f>
        <v>МБДОУ ДЕТСКИЙ САД "ЗВЕЗДОЧКА"</v>
      </c>
      <c r="B6628" s="24" t="s">
        <v>10068</v>
      </c>
      <c r="C6628" s="25">
        <v>1020556</v>
      </c>
      <c r="D6628" s="22" t="s">
        <v>10069</v>
      </c>
      <c r="E6628" s="22" t="s">
        <v>48</v>
      </c>
      <c r="F6628" s="23" t="str">
        <f>HYPERLINK("https://www.spark-marketing.ru/Card/Lot/72898810", "Услуга по организации горячего питания детей в  дошкольном образовательном учреждении в помещении пищеблока МБДОУ д/с Звездочка")</f>
        <v>Услуга по организации горячего питания детей в  дошкольном образовательном учреждении в помещении пищеблока МБДОУ д/с Звездочка</v>
      </c>
      <c r="G6628" s="22" t="s">
        <v>267</v>
      </c>
      <c r="H6628" s="22" t="s">
        <v>267</v>
      </c>
      <c r="I6628" s="26">
        <v>43697.381412037001</v>
      </c>
      <c r="J6628" s="28" t="s">
        <v>51</v>
      </c>
      <c r="K6628" s="28" t="s">
        <v>51</v>
      </c>
      <c r="L6628" s="28" t="s">
        <v>51</v>
      </c>
      <c r="M6628" s="28" t="s">
        <v>51</v>
      </c>
      <c r="N6628" s="28" t="s">
        <v>51</v>
      </c>
    </row>
    <row r="6629" spans="1:14" ht="12.75" hidden="1" outlineLevel="1" x14ac:dyDescent="0.2">
      <c r="A6629" s="23" t="str">
        <f>HYPERLINK("https://www.spark-marketing.ru/Card/Person/142088", "МБДОУ ДЕТСКИЙ САД ""ЗВЕЗДОЧКА""")</f>
        <v>МБДОУ ДЕТСКИЙ САД "ЗВЕЗДОЧКА"</v>
      </c>
      <c r="B6629" s="24" t="s">
        <v>10068</v>
      </c>
      <c r="C6629" s="25">
        <v>1020556</v>
      </c>
      <c r="D6629" s="22" t="s">
        <v>10069</v>
      </c>
      <c r="E6629" s="22" t="s">
        <v>48</v>
      </c>
      <c r="F6629" s="23" t="str">
        <f>HYPERLINK("https://www.spark-marketing.ru/Card/Lot/72898810", "Услуга по организации горячего питания детей в  дошкольном образовательном учреждении в помещении пищеблока МБДОУ д/с Звездочка")</f>
        <v>Услуга по организации горячего питания детей в  дошкольном образовательном учреждении в помещении пищеблока МБДОУ д/с Звездочка</v>
      </c>
      <c r="G6629" s="22" t="s">
        <v>267</v>
      </c>
      <c r="H6629" s="22" t="s">
        <v>267</v>
      </c>
      <c r="I6629" s="26">
        <v>43697.381412037001</v>
      </c>
      <c r="J6629" s="23" t="str">
        <f>HYPERLINK("https://www.spark-marketing.ru/Card/Person/6073025", "ООО ""ЕВРОТРЕЙД""")</f>
        <v>ООО "ЕВРОТРЕЙД"</v>
      </c>
      <c r="K6629" s="24" t="s">
        <v>7945</v>
      </c>
      <c r="L6629" s="22" t="s">
        <v>10</v>
      </c>
      <c r="M6629" s="25">
        <v>872575.38</v>
      </c>
      <c r="N6629" s="27">
        <v>0.14499999999999999</v>
      </c>
    </row>
    <row r="6630" spans="1:14" hidden="1" outlineLevel="1" x14ac:dyDescent="0.2">
      <c r="A6630" s="23" t="str">
        <f>HYPERLINK("https://www.spark-marketing.ru/Card/Person/142088", "МБДОУ ДЕТСКИЙ САД ""ЗВЕЗДОЧКА""")</f>
        <v>МБДОУ ДЕТСКИЙ САД "ЗВЕЗДОЧКА"</v>
      </c>
      <c r="B6630" s="24" t="s">
        <v>10068</v>
      </c>
      <c r="C6630" s="25">
        <v>1020556</v>
      </c>
      <c r="D6630" s="22" t="s">
        <v>10069</v>
      </c>
      <c r="E6630" s="22" t="s">
        <v>48</v>
      </c>
      <c r="F6630" s="23" t="str">
        <f>HYPERLINK("https://www.spark-marketing.ru/Card/Lot/72898810", "Услуга по организации горячего питания детей в  дошкольном образовательном учреждении в помещении пищеблока МБДОУ д/с Звездочка")</f>
        <v>Услуга по организации горячего питания детей в  дошкольном образовательном учреждении в помещении пищеблока МБДОУ д/с Звездочка</v>
      </c>
      <c r="G6630" s="22" t="s">
        <v>267</v>
      </c>
      <c r="H6630" s="22" t="s">
        <v>267</v>
      </c>
      <c r="I6630" s="26">
        <v>43697.381412037001</v>
      </c>
      <c r="J6630" s="23" t="str">
        <f>HYPERLINK("https://www.spark-marketing.ru/Card/Person/4852527", "ООО ""ВИКТОРИЯ""")</f>
        <v>ООО "ВИКТОРИЯ"</v>
      </c>
      <c r="K6630" s="24" t="s">
        <v>2162</v>
      </c>
      <c r="L6630" s="28" t="s">
        <v>51</v>
      </c>
      <c r="M6630" s="25">
        <v>877678.16</v>
      </c>
      <c r="N6630" s="27">
        <v>0.14000000000000001</v>
      </c>
    </row>
    <row r="6631" spans="1:14" x14ac:dyDescent="0.15">
      <c r="A6631" s="23" t="str">
        <f>HYPERLINK("https://www.spark-marketing.ru/Card/Person/15359", "ГБУЗ ПК ""ОХАНСКАЯ ЦРБ""")</f>
        <v>ГБУЗ ПК "ОХАНСКАЯ ЦРБ"</v>
      </c>
      <c r="B6631" s="24" t="s">
        <v>2581</v>
      </c>
      <c r="C6631" s="25">
        <v>360000</v>
      </c>
      <c r="D6631" s="22" t="s">
        <v>10070</v>
      </c>
      <c r="E6631" s="22" t="s">
        <v>96</v>
      </c>
      <c r="F6631" s="23" t="str">
        <f>HYPERLINK("https://www.spark-marketing.ru/Card/Lot/72895288", "Услуги по предоставлению горячего питания для пациентов круглосуточных стационаров")</f>
        <v>Услуги по предоставлению горячего питания для пациентов круглосуточных стационаров</v>
      </c>
      <c r="G6631" s="22" t="s">
        <v>153</v>
      </c>
      <c r="H6631" s="22" t="s">
        <v>153</v>
      </c>
      <c r="I6631" s="26">
        <v>43697.331400463001</v>
      </c>
      <c r="J6631" s="23" t="str">
        <f>HYPERLINK("https://www.spark-marketing.ru/Card/Person/1427242", "ОХАНСКОЕ ГОРПО")</f>
        <v>ОХАНСКОЕ ГОРПО</v>
      </c>
      <c r="K6631" s="24" t="s">
        <v>2583</v>
      </c>
      <c r="L6631" s="22" t="s">
        <v>10</v>
      </c>
      <c r="M6631" s="28" t="s">
        <v>51</v>
      </c>
      <c r="N6631" s="28" t="s">
        <v>51</v>
      </c>
    </row>
    <row r="6632" spans="1:14" x14ac:dyDescent="0.15">
      <c r="A6632" s="23" t="str">
        <f>HYPERLINK("https://www.spark-marketing.ru/Card/Person/4343663", "МИНЗДРАВ АЛТАЙСКОГО КРАЯ")</f>
        <v>МИНЗДРАВ АЛТАЙСКОГО КРАЯ</v>
      </c>
      <c r="B6632" s="24" t="s">
        <v>9429</v>
      </c>
      <c r="C6632" s="25">
        <v>31200</v>
      </c>
      <c r="D6632" s="22" t="s">
        <v>10071</v>
      </c>
      <c r="E6632" s="22" t="s">
        <v>336</v>
      </c>
      <c r="F6632" s="23" t="str">
        <f>HYPERLINK("https://www.spark-marketing.ru/Card/Lot/72895616",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632" s="22" t="s">
        <v>63</v>
      </c>
      <c r="H6632" s="22" t="s">
        <v>177</v>
      </c>
      <c r="I6632" s="26">
        <v>43697.339583333298</v>
      </c>
      <c r="J6632" s="28" t="s">
        <v>51</v>
      </c>
      <c r="K6632" s="28" t="s">
        <v>51</v>
      </c>
      <c r="L6632" s="28" t="s">
        <v>51</v>
      </c>
      <c r="M6632" s="28" t="s">
        <v>51</v>
      </c>
      <c r="N6632" s="28" t="s">
        <v>51</v>
      </c>
    </row>
    <row r="6633" spans="1:14" x14ac:dyDescent="0.15">
      <c r="A6633" s="23" t="str">
        <f>HYPERLINK("https://www.spark-marketing.ru/Card/Person/4343663", "МИНЗДРАВ АЛТАЙСКОГО КРАЯ")</f>
        <v>МИНЗДРАВ АЛТАЙСКОГО КРАЯ</v>
      </c>
      <c r="B6633" s="24" t="s">
        <v>9429</v>
      </c>
      <c r="C6633" s="25">
        <v>99299.199999999997</v>
      </c>
      <c r="D6633" s="22" t="s">
        <v>10072</v>
      </c>
      <c r="E6633" s="22" t="s">
        <v>336</v>
      </c>
      <c r="F6633" s="23" t="str">
        <f>HYPERLINK("https://www.spark-marketing.ru/Card/Lot/72896461",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633" s="22" t="s">
        <v>63</v>
      </c>
      <c r="H6633" s="22" t="s">
        <v>177</v>
      </c>
      <c r="I6633" s="26">
        <v>43697.372916666704</v>
      </c>
      <c r="J6633" s="28" t="s">
        <v>51</v>
      </c>
      <c r="K6633" s="28" t="s">
        <v>51</v>
      </c>
      <c r="L6633" s="28" t="s">
        <v>51</v>
      </c>
      <c r="M6633" s="28" t="s">
        <v>51</v>
      </c>
      <c r="N6633" s="28" t="s">
        <v>51</v>
      </c>
    </row>
    <row r="6634" spans="1:14" x14ac:dyDescent="0.15">
      <c r="A6634" s="23" t="str">
        <f>HYPERLINK("https://www.spark-marketing.ru/Card/Person/55258", "ГЛАВНОЕ УПРАВЛЕНИЕ МЧС РОССИИ ПО ВОЛГОГРАДСКОЙ ОБЛАСТИ")</f>
        <v>ГЛАВНОЕ УПРАВЛЕНИЕ МЧС РОССИИ ПО ВОЛГОГРАДСКОЙ ОБЛАСТИ</v>
      </c>
      <c r="B6634" s="24" t="s">
        <v>6151</v>
      </c>
      <c r="C6634" s="25">
        <v>1000000</v>
      </c>
      <c r="D6634" s="22" t="s">
        <v>10073</v>
      </c>
      <c r="E6634" s="22" t="s">
        <v>48</v>
      </c>
      <c r="F6634" s="23" t="str">
        <f>HYPERLINK("https://www.spark-marketing.ru/Card/Lot/72895662", "Услуги общественного питания")</f>
        <v>Услуги общественного питания</v>
      </c>
      <c r="G6634" s="22" t="s">
        <v>158</v>
      </c>
      <c r="H6634" s="22" t="s">
        <v>171</v>
      </c>
      <c r="I6634" s="26">
        <v>43696.7484722222</v>
      </c>
      <c r="J6634" s="28" t="s">
        <v>51</v>
      </c>
      <c r="K6634" s="28" t="s">
        <v>51</v>
      </c>
      <c r="L6634" s="28" t="s">
        <v>51</v>
      </c>
      <c r="M6634" s="28" t="s">
        <v>51</v>
      </c>
      <c r="N6634" s="28" t="s">
        <v>51</v>
      </c>
    </row>
    <row r="6635" spans="1:14" x14ac:dyDescent="0.15">
      <c r="A6635" s="23" t="str">
        <f>HYPERLINK("https://www.spark-marketing.ru/Card/Person/878540", "КГБОУ ""НОВОАЛТАЙСКАЯ ОБЩЕОБРАЗОВАТЕЛЬНАЯ ШКОЛА-ИНТЕРНАТ""")</f>
        <v>КГБОУ "НОВОАЛТАЙСКАЯ ОБЩЕОБРАЗОВАТЕЛЬНАЯ ШКОЛА-ИНТЕРНАТ"</v>
      </c>
      <c r="B6635" s="24" t="s">
        <v>10060</v>
      </c>
      <c r="C6635" s="25">
        <v>98697.66</v>
      </c>
      <c r="D6635" s="22" t="s">
        <v>10074</v>
      </c>
      <c r="E6635" s="22" t="s">
        <v>10075</v>
      </c>
      <c r="F6635" s="23" t="str">
        <f>HYPERLINK("https://www.spark-marketing.ru/Card/Lot/72895608", "Закупка товаров, работ, услуг")</f>
        <v>Закупка товаров, работ, услуг</v>
      </c>
      <c r="G6635" s="22" t="s">
        <v>63</v>
      </c>
      <c r="H6635" s="22" t="s">
        <v>3262</v>
      </c>
      <c r="I6635" s="26">
        <v>43697.337500000001</v>
      </c>
      <c r="J6635" s="28" t="s">
        <v>51</v>
      </c>
      <c r="K6635" s="28" t="s">
        <v>51</v>
      </c>
      <c r="L6635" s="28" t="s">
        <v>51</v>
      </c>
      <c r="M6635" s="28" t="s">
        <v>51</v>
      </c>
      <c r="N6635" s="28" t="s">
        <v>51</v>
      </c>
    </row>
    <row r="6636" spans="1:14" x14ac:dyDescent="0.15">
      <c r="A6636" s="23" t="str">
        <f>HYPERLINK("https://www.spark-marketing.ru/Card/Person/102549", "КГБОУ ""МАРАЛИХИНСКАЯ ОБЩЕОБРАЗОВАТЕЛЬНАЯ ШКОЛА-ИНТЕРНАТ""")</f>
        <v>КГБОУ "МАРАЛИХИНСКАЯ ОБЩЕОБРАЗОВАТЕЛЬНАЯ ШКОЛА-ИНТЕРНАТ"</v>
      </c>
      <c r="B6636" s="24" t="s">
        <v>10022</v>
      </c>
      <c r="C6636" s="25">
        <v>105905.8</v>
      </c>
      <c r="D6636" s="22" t="s">
        <v>10076</v>
      </c>
      <c r="E6636" s="22" t="s">
        <v>464</v>
      </c>
      <c r="F6636" s="23" t="str">
        <f>HYPERLINK("https://www.spark-marketing.ru/Card/Lot/72894574", "(244)Товары, работы или услуги на сумму, не превышающие 100 тыс. руб. (п.4 ч.1 ст.93 44-ФЗ)")</f>
        <v>(244)Товары, работы или услуги на сумму, не превышающие 100 тыс. руб. (п.4 ч.1 ст.93 44-ФЗ)</v>
      </c>
      <c r="G6636" s="22" t="s">
        <v>63</v>
      </c>
      <c r="H6636" s="22" t="s">
        <v>10024</v>
      </c>
      <c r="I6636" s="26">
        <v>43697.302777777797</v>
      </c>
      <c r="J6636" s="28" t="s">
        <v>51</v>
      </c>
      <c r="K6636" s="28" t="s">
        <v>51</v>
      </c>
      <c r="L6636" s="28" t="s">
        <v>51</v>
      </c>
      <c r="M6636" s="28" t="s">
        <v>51</v>
      </c>
      <c r="N6636" s="28" t="s">
        <v>51</v>
      </c>
    </row>
    <row r="6637" spans="1:14" x14ac:dyDescent="0.15">
      <c r="A6637" s="23" t="str">
        <f>HYPERLINK("https://www.spark-marketing.ru/Card/Person/88381", "МБОУ ""СОШ № 5""")</f>
        <v>МБОУ "СОШ № 5"</v>
      </c>
      <c r="B6637" s="24" t="s">
        <v>10077</v>
      </c>
      <c r="C6637" s="25">
        <v>399600</v>
      </c>
      <c r="D6637" s="22" t="s">
        <v>10078</v>
      </c>
      <c r="E6637" s="22" t="s">
        <v>48</v>
      </c>
      <c r="F6637" s="23" t="str">
        <f>HYPERLINK("https://www.spark-marketing.ru/Card/Lot/72894548", "Оказание услуг по организации питания воспитанников")</f>
        <v>Оказание услуг по организации питания воспитанников</v>
      </c>
      <c r="G6637" s="22" t="s">
        <v>97</v>
      </c>
      <c r="H6637" s="22" t="s">
        <v>363</v>
      </c>
      <c r="I6637" s="26">
        <v>43697.292361111096</v>
      </c>
      <c r="J6637" s="28" t="s">
        <v>51</v>
      </c>
      <c r="K6637" s="28" t="s">
        <v>51</v>
      </c>
      <c r="L6637" s="28" t="s">
        <v>51</v>
      </c>
      <c r="M6637" s="28" t="s">
        <v>51</v>
      </c>
      <c r="N6637" s="28" t="s">
        <v>51</v>
      </c>
    </row>
    <row r="6638" spans="1:14" x14ac:dyDescent="0.15">
      <c r="A6638" s="23" t="str">
        <f>HYPERLINK("https://www.spark-marketing.ru/Card/Person/102549", "КГБОУ ""МАРАЛИХИНСКАЯ ОБЩЕОБРАЗОВАТЕЛЬНАЯ ШКОЛА-ИНТЕРНАТ""")</f>
        <v>КГБОУ "МАРАЛИХИНСКАЯ ОБЩЕОБРАЗОВАТЕЛЬНАЯ ШКОЛА-ИНТЕРНАТ"</v>
      </c>
      <c r="B6638" s="24" t="s">
        <v>10022</v>
      </c>
      <c r="C6638" s="25">
        <v>101788.2</v>
      </c>
      <c r="D6638" s="22" t="s">
        <v>10079</v>
      </c>
      <c r="E6638" s="22" t="s">
        <v>10080</v>
      </c>
      <c r="F6638" s="23" t="str">
        <f>HYPERLINK("https://www.spark-marketing.ru/Card/Lot/72894552", "(244)Товары, работы или услуги на сумму, не превышающие 100 тыс. руб. (п.4 ч.1 ст.93 44-ФЗ)")</f>
        <v>(244)Товары, работы или услуги на сумму, не превышающие 100 тыс. руб. (п.4 ч.1 ст.93 44-ФЗ)</v>
      </c>
      <c r="G6638" s="22" t="s">
        <v>63</v>
      </c>
      <c r="H6638" s="22" t="s">
        <v>10024</v>
      </c>
      <c r="I6638" s="26">
        <v>43697.2944444444</v>
      </c>
      <c r="J6638" s="28" t="s">
        <v>51</v>
      </c>
      <c r="K6638" s="28" t="s">
        <v>51</v>
      </c>
      <c r="L6638" s="28" t="s">
        <v>51</v>
      </c>
      <c r="M6638" s="28" t="s">
        <v>51</v>
      </c>
      <c r="N6638" s="28" t="s">
        <v>51</v>
      </c>
    </row>
    <row r="6639" spans="1:14" x14ac:dyDescent="0.15">
      <c r="A6639" s="23" t="str">
        <f>HYPERLINK("https://www.spark-marketing.ru/Card/Person/4343663", "МИНЗДРАВ АЛТАЙСКОГО КРАЯ")</f>
        <v>МИНЗДРАВ АЛТАЙСКОГО КРАЯ</v>
      </c>
      <c r="B6639" s="24" t="s">
        <v>9429</v>
      </c>
      <c r="C6639" s="25">
        <v>99000</v>
      </c>
      <c r="D6639" s="22" t="s">
        <v>10081</v>
      </c>
      <c r="E6639" s="22" t="s">
        <v>336</v>
      </c>
      <c r="F6639" s="23" t="str">
        <f>HYPERLINK("https://www.spark-marketing.ru/Card/Lot/72894529",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639" s="22" t="s">
        <v>63</v>
      </c>
      <c r="H6639" s="22" t="s">
        <v>177</v>
      </c>
      <c r="I6639" s="26">
        <v>43697.287499999999</v>
      </c>
      <c r="J6639" s="28" t="s">
        <v>51</v>
      </c>
      <c r="K6639" s="28" t="s">
        <v>51</v>
      </c>
      <c r="L6639" s="28" t="s">
        <v>51</v>
      </c>
      <c r="M6639" s="28" t="s">
        <v>51</v>
      </c>
      <c r="N6639" s="28" t="s">
        <v>51</v>
      </c>
    </row>
    <row r="6640" spans="1:14" x14ac:dyDescent="0.15">
      <c r="A6640" s="23" t="str">
        <f>HYPERLINK("https://www.spark-marketing.ru/Card/Person/102169", "КГБОУ ""БИЙСКАЯ ОБЩЕОБРАЗОВАТЕЛЬНАЯ ШКОЛА-ИНТЕРНАТ № 2""")</f>
        <v>КГБОУ "БИЙСКАЯ ОБЩЕОБРАЗОВАТЕЛЬНАЯ ШКОЛА-ИНТЕРНАТ № 2"</v>
      </c>
      <c r="B6640" s="24" t="s">
        <v>10082</v>
      </c>
      <c r="C6640" s="25">
        <v>26636.51</v>
      </c>
      <c r="D6640" s="22" t="s">
        <v>10083</v>
      </c>
      <c r="E6640" s="22" t="s">
        <v>10084</v>
      </c>
      <c r="F6640" s="23" t="str">
        <f>HYPERLINK("https://www.spark-marketing.ru/Card/Lot/72894537", "(000)Товары, работы или услуги на сумму, не превышающую 600 тыс. рублей (п. 5 ч. 1 ст. 93 Федерального закона № 44-ФЗ)")</f>
        <v>(000)Товары, работы или услуги на сумму, не превышающую 600 тыс. рублей (п. 5 ч. 1 ст. 93 Федерального закона № 44-ФЗ)</v>
      </c>
      <c r="G6640" s="22" t="s">
        <v>63</v>
      </c>
      <c r="H6640" s="22" t="s">
        <v>1294</v>
      </c>
      <c r="I6640" s="26">
        <v>43697.289583333302</v>
      </c>
      <c r="J6640" s="28" t="s">
        <v>51</v>
      </c>
      <c r="K6640" s="28" t="s">
        <v>51</v>
      </c>
      <c r="L6640" s="28" t="s">
        <v>51</v>
      </c>
      <c r="M6640" s="28" t="s">
        <v>51</v>
      </c>
      <c r="N6640" s="28" t="s">
        <v>51</v>
      </c>
    </row>
    <row r="6641" spans="1:14" x14ac:dyDescent="0.15">
      <c r="A6641" s="23" t="str">
        <f>HYPERLINK("https://www.spark-marketing.ru/Card/Person/4343663", "МИНЗДРАВ АЛТАЙСКОГО КРАЯ")</f>
        <v>МИНЗДРАВ АЛТАЙСКОГО КРАЯ</v>
      </c>
      <c r="B6641" s="24" t="s">
        <v>9429</v>
      </c>
      <c r="C6641" s="25">
        <v>135000</v>
      </c>
      <c r="D6641" s="22" t="s">
        <v>10085</v>
      </c>
      <c r="E6641" s="22" t="s">
        <v>336</v>
      </c>
      <c r="F6641" s="23" t="str">
        <f>HYPERLINK("https://www.spark-marketing.ru/Card/Lot/72894501",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6641" s="22" t="s">
        <v>63</v>
      </c>
      <c r="H6641" s="22" t="s">
        <v>177</v>
      </c>
      <c r="I6641" s="26">
        <v>43697.2722222222</v>
      </c>
      <c r="J6641" s="28" t="s">
        <v>51</v>
      </c>
      <c r="K6641" s="28" t="s">
        <v>51</v>
      </c>
      <c r="L6641" s="28" t="s">
        <v>51</v>
      </c>
      <c r="M6641" s="28" t="s">
        <v>51</v>
      </c>
      <c r="N6641" s="28" t="s">
        <v>51</v>
      </c>
    </row>
    <row r="6642" spans="1:14" x14ac:dyDescent="0.15">
      <c r="A6642" s="23" t="str">
        <f>HYPERLINK("https://www.spark-marketing.ru/Card/Person/1023924", "МБОУ СОШ № 203 ХЭЦ")</f>
        <v>МБОУ СОШ № 203 ХЭЦ</v>
      </c>
      <c r="B6642" s="24" t="s">
        <v>10086</v>
      </c>
      <c r="C6642" s="25">
        <v>510600</v>
      </c>
      <c r="D6642" s="22" t="s">
        <v>10087</v>
      </c>
      <c r="E6642" s="22" t="s">
        <v>48</v>
      </c>
      <c r="F6642" s="23" t="str">
        <f>HYPERLINK("https://www.spark-marketing.ru/Card/Lot/72894122", "Оказание услуг по организации горячего питания обучающихся в муниципальных образовательных учреждениях")</f>
        <v>Оказание услуг по организации горячего питания обучающихся в муниципальных образовательных учреждениях</v>
      </c>
      <c r="G6642" s="22" t="s">
        <v>195</v>
      </c>
      <c r="H6642" s="22" t="s">
        <v>196</v>
      </c>
      <c r="I6642" s="26">
        <v>43697.2368055556</v>
      </c>
      <c r="J6642" s="28" t="s">
        <v>51</v>
      </c>
      <c r="K6642" s="28" t="s">
        <v>51</v>
      </c>
      <c r="L6642" s="28" t="s">
        <v>51</v>
      </c>
      <c r="M6642" s="28" t="s">
        <v>51</v>
      </c>
      <c r="N6642" s="28" t="s">
        <v>51</v>
      </c>
    </row>
    <row r="6643" spans="1:14" x14ac:dyDescent="0.15">
      <c r="A6643" s="23" t="str">
        <f>HYPERLINK("https://www.spark-marketing.ru/Card/Person/1023924", "МБОУ СОШ № 203 ХЭЦ")</f>
        <v>МБОУ СОШ № 203 ХЭЦ</v>
      </c>
      <c r="B6643" s="24" t="s">
        <v>10086</v>
      </c>
      <c r="C6643" s="25">
        <v>255300</v>
      </c>
      <c r="D6643" s="22" t="s">
        <v>10088</v>
      </c>
      <c r="E6643" s="22" t="s">
        <v>48</v>
      </c>
      <c r="F6643" s="23" t="str">
        <f>HYPERLINK("https://www.spark-marketing.ru/Card/Lot/72894120", "Оказание услуг по организации горячего питания обучающихся в муниципальных образовательных учреждениях")</f>
        <v>Оказание услуг по организации горячего питания обучающихся в муниципальных образовательных учреждениях</v>
      </c>
      <c r="G6643" s="22" t="s">
        <v>195</v>
      </c>
      <c r="H6643" s="22" t="s">
        <v>196</v>
      </c>
      <c r="I6643" s="26">
        <v>43697.236111111102</v>
      </c>
      <c r="J6643" s="28" t="s">
        <v>51</v>
      </c>
      <c r="K6643" s="28" t="s">
        <v>51</v>
      </c>
      <c r="L6643" s="28" t="s">
        <v>51</v>
      </c>
      <c r="M6643" s="28" t="s">
        <v>51</v>
      </c>
      <c r="N6643" s="28" t="s">
        <v>51</v>
      </c>
    </row>
    <row r="6644" spans="1:14" ht="12.75" x14ac:dyDescent="0.2">
      <c r="A6644" s="23" t="str">
        <f>HYPERLINK("https://www.spark-marketing.ru/Card/Person/1006801", """МКУ ""КМСП""")</f>
        <v>"МКУ "КМСП"</v>
      </c>
      <c r="B6644" s="24" t="s">
        <v>10089</v>
      </c>
      <c r="C6644" s="25">
        <v>124319</v>
      </c>
      <c r="D6644" s="22" t="s">
        <v>10090</v>
      </c>
      <c r="E6644" s="22" t="s">
        <v>67</v>
      </c>
      <c r="F6644" s="23" t="str">
        <f>HYPERLINK("https://www.spark-marketing.ru/Card/Lot/72893838", "Оказание услуг по организации общественного питания.")</f>
        <v>Оказание услуг по организации общественного питания.</v>
      </c>
      <c r="G6644" s="22" t="s">
        <v>241</v>
      </c>
      <c r="H6644" s="22" t="s">
        <v>10091</v>
      </c>
      <c r="I6644" s="26">
        <v>43697.377465277801</v>
      </c>
      <c r="J6644" s="23" t="str">
        <f>HYPERLINK("https://www.spark-marketing.ru/Card/Person/449878", "Хитров Андрей Владимирович")</f>
        <v>Хитров Андрей Владимирович</v>
      </c>
      <c r="K6644" s="24" t="s">
        <v>10092</v>
      </c>
      <c r="L6644" s="22" t="s">
        <v>10</v>
      </c>
      <c r="M6644" s="25">
        <v>114530</v>
      </c>
      <c r="N6644" s="27">
        <v>7.8740980863745688E-2</v>
      </c>
    </row>
    <row r="6645" spans="1:14" x14ac:dyDescent="0.15">
      <c r="A6645" s="23" t="str">
        <f>HYPERLINK("https://www.spark-marketing.ru/Card/Person/878540", "КГБОУ ""НОВОАЛТАЙСКАЯ ОБЩЕОБРАЗОВАТЕЛЬНАЯ ШКОЛА-ИНТЕРНАТ""")</f>
        <v>КГБОУ "НОВОАЛТАЙСКАЯ ОБЩЕОБРАЗОВАТЕЛЬНАЯ ШКОЛА-ИНТЕРНАТ"</v>
      </c>
      <c r="B6645" s="24" t="s">
        <v>10060</v>
      </c>
      <c r="C6645" s="25">
        <v>84560</v>
      </c>
      <c r="D6645" s="22" t="s">
        <v>10093</v>
      </c>
      <c r="E6645" s="22" t="s">
        <v>10094</v>
      </c>
      <c r="F6645" s="23" t="str">
        <f>HYPERLINK("https://www.spark-marketing.ru/Card/Lot/72892959", "Закупка товаров, работ, услуг")</f>
        <v>Закупка товаров, работ, услуг</v>
      </c>
      <c r="G6645" s="22" t="s">
        <v>63</v>
      </c>
      <c r="H6645" s="22" t="s">
        <v>3262</v>
      </c>
      <c r="I6645" s="26">
        <v>43697.191666666702</v>
      </c>
      <c r="J6645" s="28" t="s">
        <v>51</v>
      </c>
      <c r="K6645" s="28" t="s">
        <v>51</v>
      </c>
      <c r="L6645" s="28" t="s">
        <v>51</v>
      </c>
      <c r="M6645" s="28" t="s">
        <v>51</v>
      </c>
      <c r="N6645" s="28" t="s">
        <v>51</v>
      </c>
    </row>
    <row r="6646" spans="1:14" x14ac:dyDescent="0.15">
      <c r="A6646" s="23" t="str">
        <f>HYPERLINK("https://www.spark-marketing.ru/Card/Person/1758657", "КГАУ ""СШ ОЛИМПИЙСКОГО РЕЗЕРВА ПО БАСКЕТБОЛУ ""ЕНИСЕЙ""")</f>
        <v>КГАУ "СШ ОЛИМПИЙСКОГО РЕЗЕРВА ПО БАСКЕТБОЛУ "ЕНИСЕЙ"</v>
      </c>
      <c r="B6646" s="24" t="s">
        <v>2683</v>
      </c>
      <c r="C6646" s="25">
        <v>176400</v>
      </c>
      <c r="D6646" s="22" t="s">
        <v>10095</v>
      </c>
      <c r="E6646" s="22" t="s">
        <v>9840</v>
      </c>
      <c r="F6646" s="23" t="str">
        <f>HYPERLINK("https://www.spark-marketing.ru/Card/Lot/72910436", "Оказание комплекса услуг , по организации питания и бронированию проживания, в связи с направлением в служебную командировку сотрудников Заказчика, а также учащихся для участия в учебно- тренировочных сборах.")</f>
        <v>Оказание комплекса услуг , по организации питания и бронированию проживания, в связи с направлением в служебную командировку сотрудников Заказчика, а также учащихся для участия в учебно- тренировочных сборах.</v>
      </c>
      <c r="G6646" s="22" t="s">
        <v>281</v>
      </c>
      <c r="H6646" s="22" t="s">
        <v>281</v>
      </c>
      <c r="I6646" s="26">
        <v>43697</v>
      </c>
      <c r="J6646" s="28" t="s">
        <v>51</v>
      </c>
      <c r="K6646" s="28" t="s">
        <v>51</v>
      </c>
      <c r="L6646" s="28" t="s">
        <v>51</v>
      </c>
      <c r="M6646" s="28" t="s">
        <v>51</v>
      </c>
      <c r="N6646" s="28" t="s">
        <v>51</v>
      </c>
    </row>
    <row r="6647" spans="1:14" x14ac:dyDescent="0.15">
      <c r="A6647" s="23" t="str">
        <f>HYPERLINK("https://www.spark-marketing.ru/Card/Person/1757164", "ООО ""МЦ ""ИЗУМРУД""")</f>
        <v>ООО "МЦ "ИЗУМРУД"</v>
      </c>
      <c r="B6647" s="24" t="s">
        <v>10096</v>
      </c>
      <c r="C6647" s="25">
        <v>948100</v>
      </c>
      <c r="D6647" s="22" t="s">
        <v>10097</v>
      </c>
      <c r="E6647" s="22" t="s">
        <v>10098</v>
      </c>
      <c r="F6647" s="23" t="str">
        <f>HYPERLINK("https://www.spark-marketing.ru/Card/Lot/72902280", "Право заключения договора на 907-U640-18/28 закупка услуг организации питания пациентов (от 18 лет) на период сентябрь 2019- февраль 2020гг")</f>
        <v>Право заключения договора на 907-U640-18/28 закупка услуг организации питания пациентов (от 18 лет) на период сентябрь 2019- февраль 2020гг</v>
      </c>
      <c r="G6647" s="22" t="s">
        <v>174</v>
      </c>
      <c r="H6647" s="22" t="s">
        <v>7998</v>
      </c>
      <c r="I6647" s="26">
        <v>43697</v>
      </c>
      <c r="J6647" s="28" t="s">
        <v>51</v>
      </c>
      <c r="K6647" s="28" t="s">
        <v>51</v>
      </c>
      <c r="L6647" s="28" t="s">
        <v>51</v>
      </c>
      <c r="M6647" s="28" t="s">
        <v>51</v>
      </c>
      <c r="N6647" s="28" t="s">
        <v>51</v>
      </c>
    </row>
    <row r="6648" spans="1:14" x14ac:dyDescent="0.15">
      <c r="A6648" s="23" t="str">
        <f>HYPERLINK("https://www.spark-marketing.ru/Card/Person/236030", "ОГАУСО ""КЦСОН""")</f>
        <v>ОГАУСО "КЦСОН"</v>
      </c>
      <c r="B6648" s="24" t="s">
        <v>549</v>
      </c>
      <c r="C6648" s="25">
        <v>4500000</v>
      </c>
      <c r="D6648" s="22" t="s">
        <v>10099</v>
      </c>
      <c r="E6648" s="22" t="s">
        <v>2265</v>
      </c>
      <c r="F6648" s="23" t="str">
        <f>HYPERLINK("https://www.spark-marketing.ru/Card/Lot/72925064", "Оказание услуг на поставку продуктов питания")</f>
        <v>Оказание услуг на поставку продуктов питания</v>
      </c>
      <c r="G6648" s="22" t="s">
        <v>263</v>
      </c>
      <c r="H6648" s="22" t="s">
        <v>263</v>
      </c>
      <c r="I6648" s="26">
        <v>43698</v>
      </c>
      <c r="J6648" s="28" t="s">
        <v>51</v>
      </c>
      <c r="K6648" s="28" t="s">
        <v>51</v>
      </c>
      <c r="L6648" s="28" t="s">
        <v>51</v>
      </c>
      <c r="M6648" s="28" t="s">
        <v>51</v>
      </c>
      <c r="N6648" s="28" t="s">
        <v>51</v>
      </c>
    </row>
    <row r="6649" spans="1:14" x14ac:dyDescent="0.2">
      <c r="A6649" s="23" t="str">
        <f>HYPERLINK("https://www.spark-marketing.ru/Card/Person/1180663", "МАОУ ""ПОЛЕССКАЯ СОШ""")</f>
        <v>МАОУ "ПОЛЕССКАЯ СОШ"</v>
      </c>
      <c r="B6649" s="24" t="s">
        <v>10100</v>
      </c>
      <c r="C6649" s="25">
        <v>2604210</v>
      </c>
      <c r="D6649" s="22" t="s">
        <v>10101</v>
      </c>
      <c r="E6649" s="22" t="s">
        <v>362</v>
      </c>
      <c r="F6649" s="23" t="str">
        <f>HYPERLINK("https://www.spark-marketing.ru/Card/Lot/72905960", "Оказание услуг по организации питания учащихся из малообеспеченных семей")</f>
        <v>Оказание услуг по организации питания учащихся из малообеспеченных семей</v>
      </c>
      <c r="G6649" s="22" t="s">
        <v>400</v>
      </c>
      <c r="H6649" s="22" t="s">
        <v>400</v>
      </c>
      <c r="I6649" s="26">
        <v>43697</v>
      </c>
      <c r="J6649" s="28" t="s">
        <v>51</v>
      </c>
      <c r="K6649" s="28" t="s">
        <v>51</v>
      </c>
      <c r="L6649" s="22" t="s">
        <v>10</v>
      </c>
      <c r="M6649" s="25">
        <v>2604210</v>
      </c>
      <c r="N6649" s="27">
        <v>0</v>
      </c>
    </row>
    <row r="6650" spans="1:14" x14ac:dyDescent="0.15">
      <c r="A6650" s="23" t="str">
        <f>HYPERLINK("https://www.spark-marketing.ru/Card/Person/125221", "ФГБОУ ВО ""ВГСПУ""")</f>
        <v>ФГБОУ ВО "ВГСПУ"</v>
      </c>
      <c r="B6650" s="24" t="s">
        <v>10102</v>
      </c>
      <c r="C6650" s="25">
        <v>316050</v>
      </c>
      <c r="D6650" s="22" t="s">
        <v>10103</v>
      </c>
      <c r="E6650" s="22" t="s">
        <v>362</v>
      </c>
      <c r="F6650" s="23" t="str">
        <f>HYPERLINK("https://www.spark-marketing.ru/Card/Lot/72916198", "Оказание услуг по организации питания в Детском профильном лагере ""Учебно-оздоровительный комплекс (база отдыха «Марафон»)")</f>
        <v>Оказание услуг по организации питания в Детском профильном лагере "Учебно-оздоровительный комплекс (база отдыха «Марафон»)</v>
      </c>
      <c r="G6650" s="22" t="s">
        <v>158</v>
      </c>
      <c r="H6650" s="22" t="s">
        <v>158</v>
      </c>
      <c r="I6650" s="26">
        <v>43697</v>
      </c>
      <c r="J6650" s="28" t="s">
        <v>51</v>
      </c>
      <c r="K6650" s="28" t="s">
        <v>51</v>
      </c>
      <c r="L6650" s="28" t="s">
        <v>51</v>
      </c>
      <c r="M6650" s="28" t="s">
        <v>51</v>
      </c>
      <c r="N6650" s="28" t="s">
        <v>51</v>
      </c>
    </row>
    <row r="6651" spans="1:14" x14ac:dyDescent="0.15">
      <c r="A6651" s="23" t="str">
        <f>HYPERLINK("https://www.spark-marketing.ru/Card/Person/92550", "АО ""У-УАЗ""")</f>
        <v>АО "У-УАЗ"</v>
      </c>
      <c r="B6651" s="24" t="s">
        <v>10104</v>
      </c>
      <c r="C6651" s="25">
        <v>6083200</v>
      </c>
      <c r="D6651" s="22" t="s">
        <v>10105</v>
      </c>
      <c r="E6651" s="22" t="s">
        <v>10106</v>
      </c>
      <c r="F6651" s="23" t="str">
        <f>HYPERLINK("https://www.spark-marketing.ru/Card/Lot/72901781", "1615-2019-00573. Оказание услуг по питанию и проживанию в гостинице")</f>
        <v>1615-2019-00573. Оказание услуг по питанию и проживанию в гостинице</v>
      </c>
      <c r="G6651" s="22" t="s">
        <v>433</v>
      </c>
      <c r="H6651" s="22" t="s">
        <v>974</v>
      </c>
      <c r="I6651" s="26">
        <v>43697</v>
      </c>
      <c r="J6651" s="28" t="s">
        <v>51</v>
      </c>
      <c r="K6651" s="28" t="s">
        <v>51</v>
      </c>
      <c r="L6651" s="28" t="s">
        <v>51</v>
      </c>
      <c r="M6651" s="28" t="s">
        <v>51</v>
      </c>
      <c r="N6651" s="28" t="s">
        <v>51</v>
      </c>
    </row>
    <row r="6652" spans="1:14" x14ac:dyDescent="0.2">
      <c r="A6652" s="23" t="str">
        <f>HYPERLINK("https://www.spark-marketing.ru/Card/Person/4343742", "ФГБУ «ДОП «РАДУГА»")</f>
        <v>ФГБУ «ДОП «РАДУГА»</v>
      </c>
      <c r="B6652" s="24" t="s">
        <v>10107</v>
      </c>
      <c r="C6652" s="25">
        <v>1000000</v>
      </c>
      <c r="D6652" s="22" t="s">
        <v>10108</v>
      </c>
      <c r="E6652" s="22" t="s">
        <v>362</v>
      </c>
      <c r="F6652" s="23" t="str">
        <f>HYPERLINK("https://www.spark-marketing.ru/Card/Lot/72919136", "Оказание услуг питания по типу «Блочное меню» (с предоставлением по требованию Заказчика сухого пайка)")</f>
        <v>Оказание услуг питания по типу «Блочное меню» (с предоставлением по требованию Заказчика сухого пайка)</v>
      </c>
      <c r="G6652" s="22" t="s">
        <v>108</v>
      </c>
      <c r="H6652" s="22" t="s">
        <v>108</v>
      </c>
      <c r="I6652" s="26">
        <v>43697</v>
      </c>
      <c r="J6652" s="28" t="s">
        <v>51</v>
      </c>
      <c r="K6652" s="28" t="s">
        <v>51</v>
      </c>
      <c r="L6652" s="28" t="s">
        <v>51</v>
      </c>
      <c r="M6652" s="25">
        <v>1000000</v>
      </c>
      <c r="N6652" s="27">
        <v>0</v>
      </c>
    </row>
    <row r="6653" spans="1:14" x14ac:dyDescent="0.15">
      <c r="A6653" s="23" t="str">
        <f>HYPERLINK("https://www.spark-marketing.ru/Card/Person/1754260", "АО ""КРАСЛЕСИНВЕСТ""")</f>
        <v>АО "КРАСЛЕСИНВЕСТ"</v>
      </c>
      <c r="B6653" s="24" t="s">
        <v>10109</v>
      </c>
      <c r="C6653" s="25">
        <v>54000000</v>
      </c>
      <c r="D6653" s="22" t="s">
        <v>10110</v>
      </c>
      <c r="E6653" s="22" t="s">
        <v>362</v>
      </c>
      <c r="F6653" s="23" t="str">
        <f>HYPERLINK("https://www.spark-marketing.ru/Card/Lot/72895832", "Оказание услуг общественного питания")</f>
        <v>Оказание услуг общественного питания</v>
      </c>
      <c r="G6653" s="22" t="s">
        <v>281</v>
      </c>
      <c r="H6653" s="22" t="s">
        <v>1036</v>
      </c>
      <c r="I6653" s="26">
        <v>43697</v>
      </c>
      <c r="J6653" s="28" t="s">
        <v>51</v>
      </c>
      <c r="K6653" s="28" t="s">
        <v>51</v>
      </c>
      <c r="L6653" s="28" t="s">
        <v>51</v>
      </c>
      <c r="M6653" s="28" t="s">
        <v>51</v>
      </c>
      <c r="N6653" s="28" t="s">
        <v>51</v>
      </c>
    </row>
    <row r="6654" spans="1:14" x14ac:dyDescent="0.2">
      <c r="A6654" s="23" t="str">
        <f>HYPERLINK("https://www.spark-marketing.ru/Card/Person/1569221", "СОШ № 36")</f>
        <v>СОШ № 36</v>
      </c>
      <c r="B6654" s="24" t="s">
        <v>10111</v>
      </c>
      <c r="C6654" s="25">
        <v>842400</v>
      </c>
      <c r="D6654" s="22" t="s">
        <v>10112</v>
      </c>
      <c r="E6654" s="22" t="s">
        <v>362</v>
      </c>
      <c r="F6654" s="23" t="str">
        <f>HYPERLINK("https://www.spark-marketing.ru/Card/Lot/72905962", "Оказание услуг по организации горячего питания обучающихся")</f>
        <v>Оказание услуг по организации горячего питания обучающихся</v>
      </c>
      <c r="G6654" s="22" t="s">
        <v>185</v>
      </c>
      <c r="H6654" s="22" t="s">
        <v>185</v>
      </c>
      <c r="I6654" s="26">
        <v>43697</v>
      </c>
      <c r="J6654" s="28" t="s">
        <v>51</v>
      </c>
      <c r="K6654" s="28" t="s">
        <v>51</v>
      </c>
      <c r="L6654" s="28" t="s">
        <v>51</v>
      </c>
      <c r="M6654" s="25">
        <v>842400</v>
      </c>
      <c r="N6654" s="27">
        <v>0</v>
      </c>
    </row>
    <row r="6655" spans="1:14" x14ac:dyDescent="0.15">
      <c r="A6655" s="23" t="str">
        <f>HYPERLINK("https://www.spark-marketing.ru/Card/Person/257800", "МБДОУ ""Д/С № 37 ""СКАЗКА""")</f>
        <v>МБДОУ "Д/С № 37 "СКАЗКА"</v>
      </c>
      <c r="B6655" s="24" t="s">
        <v>9287</v>
      </c>
      <c r="C6655" s="25">
        <v>117871.52</v>
      </c>
      <c r="D6655" s="22" t="s">
        <v>10113</v>
      </c>
      <c r="E6655" s="22" t="s">
        <v>52</v>
      </c>
      <c r="F6655" s="23" t="str">
        <f>HYPERLINK("https://www.spark-marketing.ru/Card/Lot/73788558", "Услуги по организации питания")</f>
        <v>Услуги по организации питания</v>
      </c>
      <c r="G6655" s="22" t="s">
        <v>217</v>
      </c>
      <c r="H6655" s="22" t="s">
        <v>9289</v>
      </c>
      <c r="I6655" s="26">
        <v>43697.4868055556</v>
      </c>
      <c r="J6655" s="28" t="s">
        <v>51</v>
      </c>
      <c r="K6655" s="28" t="s">
        <v>51</v>
      </c>
      <c r="L6655" s="28" t="s">
        <v>51</v>
      </c>
      <c r="M6655" s="28" t="s">
        <v>51</v>
      </c>
      <c r="N6655" s="28" t="s">
        <v>51</v>
      </c>
    </row>
    <row r="6656" spans="1:14" x14ac:dyDescent="0.2">
      <c r="A6656" s="23" t="str">
        <f>HYPERLINK("https://www.spark-marketing.ru/Card/Person/257838", "МБДОУ ""Д/С № 52 ""АЛТЫНЧЭЧ""")</f>
        <v>МБДОУ "Д/С № 52 "АЛТЫНЧЭЧ"</v>
      </c>
      <c r="B6656" s="24" t="s">
        <v>10114</v>
      </c>
      <c r="C6656" s="25">
        <v>325931.32</v>
      </c>
      <c r="D6656" s="22" t="s">
        <v>10115</v>
      </c>
      <c r="E6656" s="22" t="s">
        <v>52</v>
      </c>
      <c r="F6656" s="23" t="str">
        <f>HYPERLINK("https://www.spark-marketing.ru/Card/Lot/73787963", "Услуги по организации питания")</f>
        <v>Услуги по организации питания</v>
      </c>
      <c r="G6656" s="22" t="s">
        <v>217</v>
      </c>
      <c r="H6656" s="22" t="s">
        <v>9289</v>
      </c>
      <c r="I6656" s="26">
        <v>43697.3347222222</v>
      </c>
      <c r="J6656" s="28" t="s">
        <v>51</v>
      </c>
      <c r="K6656" s="28" t="s">
        <v>51</v>
      </c>
      <c r="L6656" s="28" t="s">
        <v>51</v>
      </c>
      <c r="M6656" s="25">
        <v>248480.48</v>
      </c>
      <c r="N6656" s="27">
        <v>0.23762932632555842</v>
      </c>
    </row>
    <row r="6657" spans="1:14" x14ac:dyDescent="0.15">
      <c r="A6657" s="23" t="str">
        <f>HYPERLINK("https://www.spark-marketing.ru/Card/Person/1324587", "МАОУ СОШ № 26")</f>
        <v>МАОУ СОШ № 26</v>
      </c>
      <c r="B6657" s="24" t="s">
        <v>10116</v>
      </c>
      <c r="C6657" s="25">
        <v>167680</v>
      </c>
      <c r="D6657" s="22" t="s">
        <v>10117</v>
      </c>
      <c r="E6657" s="22" t="s">
        <v>362</v>
      </c>
      <c r="F6657" s="23" t="str">
        <f>HYPERLINK("https://www.spark-marketing.ru/Card/Lot/72905590", "Оказание услуг по организации питания")</f>
        <v>Оказание услуг по организации питания</v>
      </c>
      <c r="G6657" s="22" t="s">
        <v>351</v>
      </c>
      <c r="H6657" s="22" t="s">
        <v>351</v>
      </c>
      <c r="I6657" s="26">
        <v>43697</v>
      </c>
      <c r="J6657" s="28" t="s">
        <v>51</v>
      </c>
      <c r="K6657" s="28" t="s">
        <v>51</v>
      </c>
      <c r="L6657" s="28" t="s">
        <v>51</v>
      </c>
      <c r="M6657" s="28" t="s">
        <v>51</v>
      </c>
      <c r="N6657" s="28" t="s">
        <v>51</v>
      </c>
    </row>
    <row r="6658" spans="1:14" x14ac:dyDescent="0.15">
      <c r="A6658" s="23" t="str">
        <f>HYPERLINK("https://www.spark-marketing.ru/Card/Person/6248", "ФГБОУ ВО ""ПГУ"", ПЕНЗЕНСКИЙ ГОСУДАРСТВЕННЫЙ УНИВЕРСИТЕТ, ФГБОУ ВО ""ПЕНЗЕНСКИЙ ГОСУДАРСТВЕННЫЙ УНИВЕРСИТЕТ""")</f>
        <v>ФГБОУ ВО "ПГУ", ПЕНЗЕНСКИЙ ГОСУДАРСТВЕННЫЙ УНИВЕРСИТЕТ, ФГБОУ ВО "ПЕНЗЕНСКИЙ ГОСУДАРСТВЕННЫЙ УНИВЕРСИТЕТ"</v>
      </c>
      <c r="B6658" s="24" t="s">
        <v>3557</v>
      </c>
      <c r="C6658" s="25">
        <v>145947.5</v>
      </c>
      <c r="D6658" s="22" t="s">
        <v>10118</v>
      </c>
      <c r="E6658" s="22" t="s">
        <v>362</v>
      </c>
      <c r="F6658" s="23" t="str">
        <f>HYPERLINK("https://www.spark-marketing.ru/Card/Lot/72897662", "Услуги по организации питания")</f>
        <v>Услуги по организации питания</v>
      </c>
      <c r="G6658" s="22" t="s">
        <v>72</v>
      </c>
      <c r="H6658" s="22" t="s">
        <v>72</v>
      </c>
      <c r="I6658" s="26">
        <v>43697</v>
      </c>
      <c r="J6658" s="28" t="s">
        <v>51</v>
      </c>
      <c r="K6658" s="28" t="s">
        <v>51</v>
      </c>
      <c r="L6658" s="28" t="s">
        <v>51</v>
      </c>
      <c r="M6658" s="28" t="s">
        <v>51</v>
      </c>
      <c r="N6658" s="28" t="s">
        <v>51</v>
      </c>
    </row>
    <row r="6659" spans="1:14" x14ac:dyDescent="0.2">
      <c r="A6659" s="23" t="str">
        <f>HYPERLINK("https://www.spark-marketing.ru/Card/Person/1627608", "ООО ""ГАЗПРОМТРАНС""")</f>
        <v>ООО "ГАЗПРОМТРАНС"</v>
      </c>
      <c r="B6659" s="24" t="s">
        <v>4020</v>
      </c>
      <c r="C6659" s="25">
        <v>1937561.47</v>
      </c>
      <c r="D6659" s="22" t="s">
        <v>10119</v>
      </c>
      <c r="E6659" s="22" t="s">
        <v>362</v>
      </c>
      <c r="F6659" s="23" t="str">
        <f>HYPERLINK("https://www.spark-marketing.ru/Card/Lot/72915806", "Оказание услуг по организации общественного питания и торгового обслуживания работников Сургутского филиала ООО ""Газпромтранс"" в 2020 г")</f>
        <v>Оказание услуг по организации общественного питания и торгового обслуживания работников Сургутского филиала ООО "Газпромтранс" в 2020 г</v>
      </c>
      <c r="G6659" s="22" t="s">
        <v>56</v>
      </c>
      <c r="H6659" s="22" t="s">
        <v>56</v>
      </c>
      <c r="I6659" s="26">
        <v>43697</v>
      </c>
      <c r="J6659" s="28" t="s">
        <v>51</v>
      </c>
      <c r="K6659" s="28" t="s">
        <v>51</v>
      </c>
      <c r="L6659" s="22" t="s">
        <v>10</v>
      </c>
      <c r="M6659" s="25">
        <v>1614516</v>
      </c>
      <c r="N6659" s="27">
        <v>0.1667278561231918</v>
      </c>
    </row>
    <row r="6660" spans="1:14" x14ac:dyDescent="0.15">
      <c r="A6660" s="23" t="str">
        <f>HYPERLINK("https://www.spark-marketing.ru/Card/Person/1022154", "МКОУШ ДЛЯ ОБУЧАЮЩИХСЯ С ОВЗ")</f>
        <v>МКОУШ ДЛЯ ОБУЧАЮЩИХСЯ С ОВЗ</v>
      </c>
      <c r="B6660" s="24" t="s">
        <v>9394</v>
      </c>
      <c r="C6660" s="25">
        <v>207018</v>
      </c>
      <c r="D6660" s="22" t="s">
        <v>10120</v>
      </c>
      <c r="E6660" s="22" t="s">
        <v>48</v>
      </c>
      <c r="F6660" s="23" t="str">
        <f>HYPERLINK("https://www.spark-marketing.ru/Card/Lot/72887483", "Оказание услуг по организации питания")</f>
        <v>Оказание услуг по организации питания</v>
      </c>
      <c r="G6660" s="22" t="s">
        <v>49</v>
      </c>
      <c r="H6660" s="22" t="s">
        <v>9391</v>
      </c>
      <c r="I6660" s="26">
        <v>43696.753333333298</v>
      </c>
      <c r="J6660" s="28" t="s">
        <v>51</v>
      </c>
      <c r="K6660" s="28" t="s">
        <v>51</v>
      </c>
      <c r="L6660" s="28" t="s">
        <v>51</v>
      </c>
      <c r="M6660" s="28" t="s">
        <v>51</v>
      </c>
      <c r="N6660" s="28" t="s">
        <v>51</v>
      </c>
    </row>
    <row r="6661" spans="1:14" x14ac:dyDescent="0.15">
      <c r="A6661" s="23" t="str">
        <f>HYPERLINK("https://www.spark-marketing.ru/Card/Person/25674", "ММО МВД РОССИИ ""ТОРБЕЕВСКИЙ""")</f>
        <v>ММО МВД РОССИИ "ТОРБЕЕВСКИЙ"</v>
      </c>
      <c r="B6661" s="24" t="s">
        <v>10121</v>
      </c>
      <c r="C6661" s="25">
        <v>115375</v>
      </c>
      <c r="D6661" s="22" t="s">
        <v>10122</v>
      </c>
      <c r="E6661" s="22" t="s">
        <v>48</v>
      </c>
      <c r="F6661" s="23" t="str">
        <f>HYPERLINK("https://www.spark-marketing.ru/Card/Lot/72883812", "Услуги по обеспечению питанием, осуществляемые по договору, 923 усл. ед")</f>
        <v>Услуги по обеспечению питанием, осуществляемые по договору, 923 усл. ед</v>
      </c>
      <c r="G6661" s="22" t="s">
        <v>277</v>
      </c>
      <c r="H6661" s="22" t="s">
        <v>10123</v>
      </c>
      <c r="I6661" s="26">
        <v>43696.711377314801</v>
      </c>
      <c r="J6661" s="28" t="s">
        <v>51</v>
      </c>
      <c r="K6661" s="28" t="s">
        <v>51</v>
      </c>
      <c r="L6661" s="28" t="s">
        <v>51</v>
      </c>
      <c r="M6661" s="28" t="s">
        <v>51</v>
      </c>
      <c r="N6661" s="28" t="s">
        <v>51</v>
      </c>
    </row>
    <row r="6662" spans="1:14" x14ac:dyDescent="0.15">
      <c r="A6662" s="23" t="str">
        <f>HYPERLINK("https://www.spark-marketing.ru/Card/Person/42330", "МОБУ СОШ № 6")</f>
        <v>МОБУ СОШ № 6</v>
      </c>
      <c r="B6662" s="24" t="s">
        <v>9390</v>
      </c>
      <c r="C6662" s="25">
        <v>520632</v>
      </c>
      <c r="D6662" s="22" t="s">
        <v>10124</v>
      </c>
      <c r="E6662" s="22" t="s">
        <v>48</v>
      </c>
      <c r="F6662" s="23" t="str">
        <f>HYPERLINK("https://www.spark-marketing.ru/Card/Lot/72887453", "Оказание услуг по организации питания")</f>
        <v>Оказание услуг по организации питания</v>
      </c>
      <c r="G6662" s="22" t="s">
        <v>49</v>
      </c>
      <c r="H6662" s="22" t="s">
        <v>9391</v>
      </c>
      <c r="I6662" s="26">
        <v>43696.732581018499</v>
      </c>
      <c r="J6662" s="28" t="s">
        <v>51</v>
      </c>
      <c r="K6662" s="28" t="s">
        <v>51</v>
      </c>
      <c r="L6662" s="28" t="s">
        <v>51</v>
      </c>
      <c r="M6662" s="28" t="s">
        <v>51</v>
      </c>
      <c r="N6662" s="28" t="s">
        <v>51</v>
      </c>
    </row>
    <row r="6663" spans="1:14" x14ac:dyDescent="0.15">
      <c r="A6663" s="23" t="str">
        <f>HYPERLINK("https://www.spark-marketing.ru/Card/Person/26501", "ГБУЗ РКЦ")</f>
        <v>ГБУЗ РКЦ</v>
      </c>
      <c r="B6663" s="24" t="s">
        <v>10125</v>
      </c>
      <c r="C6663" s="25">
        <v>36198640.719999999</v>
      </c>
      <c r="D6663" s="22" t="s">
        <v>10126</v>
      </c>
      <c r="E6663" s="22" t="s">
        <v>4551</v>
      </c>
      <c r="F6663" s="23" t="str">
        <f>HYPERLINK("https://www.spark-marketing.ru/Card/Lot/72890721", "Оказание услуг специализированной медицинской помощи по диетологии (организация диетического лечебного питания и адекватное его применение) пациентам для нужд ГБУЗ РКЦ")</f>
        <v>Оказание услуг специализированной медицинской помощи по диетологии (организация диетического лечебного питания и адекватное его применение) пациентам для нужд ГБУЗ РКЦ</v>
      </c>
      <c r="G6663" s="22" t="s">
        <v>145</v>
      </c>
      <c r="H6663" s="22" t="s">
        <v>145</v>
      </c>
      <c r="I6663" s="26">
        <v>43696.708796296298</v>
      </c>
      <c r="J6663" s="28" t="s">
        <v>51</v>
      </c>
      <c r="K6663" s="28" t="s">
        <v>51</v>
      </c>
      <c r="L6663" s="28" t="s">
        <v>51</v>
      </c>
      <c r="M6663" s="28" t="s">
        <v>51</v>
      </c>
      <c r="N6663" s="28" t="s">
        <v>51</v>
      </c>
    </row>
    <row r="6664" spans="1:14" ht="12.75" hidden="1" outlineLevel="1" x14ac:dyDescent="0.2">
      <c r="A6664" s="23" t="str">
        <f>HYPERLINK("https://www.spark-marketing.ru/Card/Person/26501", "ГБУЗ РКЦ")</f>
        <v>ГБУЗ РКЦ</v>
      </c>
      <c r="B6664" s="24" t="s">
        <v>10125</v>
      </c>
      <c r="C6664" s="25">
        <v>36198640.719999999</v>
      </c>
      <c r="D6664" s="22" t="s">
        <v>10126</v>
      </c>
      <c r="E6664" s="22" t="s">
        <v>4551</v>
      </c>
      <c r="F6664" s="23" t="str">
        <f>HYPERLINK("https://www.spark-marketing.ru/Card/Lot/72890721", "Оказание услуг специализированной медицинской помощи по диетологии (организация диетического лечебного питания и адекватное его применение) пациентам для нужд ГБУЗ РКЦ")</f>
        <v>Оказание услуг специализированной медицинской помощи по диетологии (организация диетического лечебного питания и адекватное его применение) пациентам для нужд ГБУЗ РКЦ</v>
      </c>
      <c r="G6664" s="22" t="s">
        <v>145</v>
      </c>
      <c r="H6664" s="22" t="s">
        <v>145</v>
      </c>
      <c r="I6664" s="26">
        <v>43696.708796296298</v>
      </c>
      <c r="J6664" s="23" t="str">
        <f>HYPERLINK("https://www.spark-marketing.ru/Card/Person/78004", "ООО ""ВЕСНА""")</f>
        <v>ООО "ВЕСНА"</v>
      </c>
      <c r="K6664" s="24" t="s">
        <v>10127</v>
      </c>
      <c r="L6664" s="22" t="s">
        <v>10</v>
      </c>
      <c r="M6664" s="25">
        <v>35836654.299999997</v>
      </c>
      <c r="N6664" s="27">
        <v>1.0000000353604438E-2</v>
      </c>
    </row>
    <row r="6665" spans="1:14" hidden="1" outlineLevel="1" x14ac:dyDescent="0.2">
      <c r="A6665" s="23" t="str">
        <f>HYPERLINK("https://www.spark-marketing.ru/Card/Person/26501", "ГБУЗ РКЦ")</f>
        <v>ГБУЗ РКЦ</v>
      </c>
      <c r="B6665" s="24" t="s">
        <v>10125</v>
      </c>
      <c r="C6665" s="25">
        <v>36198640.719999999</v>
      </c>
      <c r="D6665" s="22" t="s">
        <v>10126</v>
      </c>
      <c r="E6665" s="22" t="s">
        <v>4551</v>
      </c>
      <c r="F6665" s="23" t="str">
        <f>HYPERLINK("https://www.spark-marketing.ru/Card/Lot/72890721", "Оказание услуг специализированной медицинской помощи по диетологии (организация диетического лечебного питания и адекватное его применение) пациентам для нужд ГБУЗ РКЦ")</f>
        <v>Оказание услуг специализированной медицинской помощи по диетологии (организация диетического лечебного питания и адекватное его применение) пациентам для нужд ГБУЗ РКЦ</v>
      </c>
      <c r="G6665" s="22" t="s">
        <v>145</v>
      </c>
      <c r="H6665" s="22" t="s">
        <v>145</v>
      </c>
      <c r="I6665" s="26">
        <v>43696.708796296298</v>
      </c>
      <c r="J6665" s="23" t="str">
        <f>HYPERLINK("https://www.spark-marketing.ru/Card/Person/55995", "ООО ""УЦП АРТ-ЛАЙФ""")</f>
        <v>ООО "УЦП АРТ-ЛАЙФ"</v>
      </c>
      <c r="K6665" s="24" t="s">
        <v>10128</v>
      </c>
      <c r="L6665" s="28" t="s">
        <v>51</v>
      </c>
      <c r="M6665" s="25">
        <v>36017647.509999998</v>
      </c>
      <c r="N6665" s="27">
        <v>5.0000001768022188E-3</v>
      </c>
    </row>
    <row r="6666" spans="1:14" x14ac:dyDescent="0.15">
      <c r="A6666" s="23" t="str">
        <f>HYPERLINK("https://www.spark-marketing.ru/Card/Person/875818", "ГБУ ДО КК ЭБЦ")</f>
        <v>ГБУ ДО КК ЭБЦ</v>
      </c>
      <c r="B6666" s="24" t="s">
        <v>6913</v>
      </c>
      <c r="C6666" s="25">
        <v>414750</v>
      </c>
      <c r="D6666" s="22" t="s">
        <v>10129</v>
      </c>
      <c r="E6666" s="22" t="s">
        <v>6915</v>
      </c>
      <c r="F6666" s="23" t="str">
        <f>HYPERLINK("https://www.spark-marketing.ru/Card/Lot/72887972", "Оказание услуг по проживанию и трехразовому питанию участников краевого интеллектуального мероприятия «Школа комплексного исследования природы»")</f>
        <v>Оказание услуг по проживанию и трехразовому питанию участников краевого интеллектуального мероприятия «Школа комплексного исследования природы»</v>
      </c>
      <c r="G6666" s="22" t="s">
        <v>104</v>
      </c>
      <c r="H6666" s="22" t="s">
        <v>104</v>
      </c>
      <c r="I6666" s="26">
        <v>43693.656469907401</v>
      </c>
      <c r="J6666" s="28" t="s">
        <v>51</v>
      </c>
      <c r="K6666" s="28" t="s">
        <v>51</v>
      </c>
      <c r="L6666" s="28" t="s">
        <v>51</v>
      </c>
      <c r="M6666" s="28" t="s">
        <v>51</v>
      </c>
      <c r="N6666" s="28" t="s">
        <v>51</v>
      </c>
    </row>
    <row r="6667" spans="1:14" ht="12.75" hidden="1" outlineLevel="1" x14ac:dyDescent="0.2">
      <c r="A6667" s="23" t="str">
        <f>HYPERLINK("https://www.spark-marketing.ru/Card/Person/875818", "ГБУ ДО КК ЭБЦ")</f>
        <v>ГБУ ДО КК ЭБЦ</v>
      </c>
      <c r="B6667" s="24" t="s">
        <v>6913</v>
      </c>
      <c r="C6667" s="25">
        <v>414750</v>
      </c>
      <c r="D6667" s="22" t="s">
        <v>10129</v>
      </c>
      <c r="E6667" s="22" t="s">
        <v>6915</v>
      </c>
      <c r="F6667" s="23" t="str">
        <f>HYPERLINK("https://www.spark-marketing.ru/Card/Lot/72887972", "Оказание услуг по проживанию и трехразовому питанию участников краевого интеллектуального мероприятия «Школа комплексного исследования природы»")</f>
        <v>Оказание услуг по проживанию и трехразовому питанию участников краевого интеллектуального мероприятия «Школа комплексного исследования природы»</v>
      </c>
      <c r="G6667" s="22" t="s">
        <v>104</v>
      </c>
      <c r="H6667" s="22" t="s">
        <v>104</v>
      </c>
      <c r="I6667" s="26">
        <v>43693.656469907401</v>
      </c>
      <c r="J6667" s="23" t="str">
        <f>HYPERLINK("https://www.spark-marketing.ru/Card/Person/34901", "ЗАО ""САНАТОРИЙ ""ЖЕМЧУЖИНА МОРЯ""")</f>
        <v>ЗАО "САНАТОРИЙ "ЖЕМЧУЖИНА МОРЯ"</v>
      </c>
      <c r="K6667" s="24" t="s">
        <v>6916</v>
      </c>
      <c r="L6667" s="22" t="s">
        <v>10</v>
      </c>
      <c r="M6667" s="25">
        <v>383643.75</v>
      </c>
      <c r="N6667" s="27">
        <v>7.4999999999999997E-2</v>
      </c>
    </row>
    <row r="6668" spans="1:14" hidden="1" outlineLevel="1" x14ac:dyDescent="0.2">
      <c r="A6668" s="23" t="str">
        <f>HYPERLINK("https://www.spark-marketing.ru/Card/Person/875818", "ГБУ ДО КК ЭБЦ")</f>
        <v>ГБУ ДО КК ЭБЦ</v>
      </c>
      <c r="B6668" s="24" t="s">
        <v>6913</v>
      </c>
      <c r="C6668" s="25">
        <v>414750</v>
      </c>
      <c r="D6668" s="22" t="s">
        <v>10129</v>
      </c>
      <c r="E6668" s="22" t="s">
        <v>6915</v>
      </c>
      <c r="F6668" s="23" t="str">
        <f>HYPERLINK("https://www.spark-marketing.ru/Card/Lot/72887972", "Оказание услуг по проживанию и трехразовому питанию участников краевого интеллектуального мероприятия «Школа комплексного исследования природы»")</f>
        <v>Оказание услуг по проживанию и трехразовому питанию участников краевого интеллектуального мероприятия «Школа комплексного исследования природы»</v>
      </c>
      <c r="G6668" s="22" t="s">
        <v>104</v>
      </c>
      <c r="H6668" s="22" t="s">
        <v>104</v>
      </c>
      <c r="I6668" s="26">
        <v>43693.656469907401</v>
      </c>
      <c r="J6668" s="23" t="str">
        <f>HYPERLINK("https://www.spark-marketing.ru/Card/Person/6297120", "Ежова Дина Робертовна")</f>
        <v>Ежова Дина Робертовна</v>
      </c>
      <c r="K6668" s="24" t="s">
        <v>10130</v>
      </c>
      <c r="L6668" s="28" t="s">
        <v>51</v>
      </c>
      <c r="M6668" s="25">
        <v>381570</v>
      </c>
      <c r="N6668" s="27">
        <v>0.08</v>
      </c>
    </row>
    <row r="6669" spans="1:14" x14ac:dyDescent="0.2">
      <c r="A6669" s="23" t="str">
        <f>HYPERLINK("https://www.spark-marketing.ru/Card/Person/27856", "ГУ - КАЛИНИНГРАДСКОЕ РО ФОНДА СОЦИАЛЬНОГО СТРАХОВАНИЯ РОССИЙСКОЙ ФЕДЕРАЦИИ")</f>
        <v>ГУ - КАЛИНИНГРАДСКОЕ РО ФОНДА СОЦИАЛЬНОГО СТРАХОВАНИЯ РОССИЙСКОЙ ФЕДЕРАЦИИ</v>
      </c>
      <c r="B6669" s="24" t="s">
        <v>10131</v>
      </c>
      <c r="C6669" s="25">
        <v>262017</v>
      </c>
      <c r="D6669" s="22" t="s">
        <v>10132</v>
      </c>
      <c r="E6669" s="22" t="s">
        <v>86</v>
      </c>
      <c r="F6669" s="23" t="str">
        <f>HYPERLINK("https://www.spark-marketing.ru/Card/Lot/72892213", "Оказание услуг по санаторно-курортному лечению отдельных категорий граждан (детиинвалиды) по болезни эндокринной системы, расстройства питания и нарушения обмена веществ")</f>
        <v>Оказание услуг по санаторно-курортному лечению отдельных категорий граждан (детиинвалиды) по болезни эндокринной системы, расстройства питания и нарушения обмена веществ</v>
      </c>
      <c r="G6669" s="22" t="s">
        <v>400</v>
      </c>
      <c r="H6669" s="22" t="s">
        <v>401</v>
      </c>
      <c r="I6669" s="26">
        <v>43696.706608796303</v>
      </c>
      <c r="J6669" s="23" t="str">
        <f>HYPERLINK("https://www.spark-marketing.ru/Card/Person/132681", "АО ""БРЯНСКАГРОЗДРАВНИЦА""")</f>
        <v>АО "БРЯНСКАГРОЗДРАВНИЦА"</v>
      </c>
      <c r="K6669" s="24" t="s">
        <v>2456</v>
      </c>
      <c r="L6669" s="28" t="s">
        <v>51</v>
      </c>
      <c r="M6669" s="25">
        <v>260400</v>
      </c>
      <c r="N6669" s="27">
        <v>6.1713552937404824E-3</v>
      </c>
    </row>
    <row r="6670" spans="1:14" x14ac:dyDescent="0.15">
      <c r="A6670" s="23" t="str">
        <f>HYPERLINK("https://www.spark-marketing.ru/Card/Person/89693", "МУ МВД РОССИИ ""НОГИНСКОЕ""")</f>
        <v>МУ МВД РОССИИ "НОГИНСКОЕ"</v>
      </c>
      <c r="B6670" s="24" t="s">
        <v>10133</v>
      </c>
      <c r="C6670" s="25">
        <v>989520</v>
      </c>
      <c r="D6670" s="22" t="s">
        <v>10134</v>
      </c>
      <c r="E6670" s="22" t="s">
        <v>96</v>
      </c>
      <c r="F6670" s="23" t="str">
        <f>HYPERLINK("https://www.spark-marketing.ru/Card/Lot/72889837", "Оказание услуг для нужд МУ МВД России «Ногинское» в 2021 году по обеспечению питанием лиц, подозреваемых и обвиняемых в совершении преступлений, содержащихся в изоляторе временного содержания, лиц, подвергнутых административному аресту")</f>
        <v>Оказание услуг для нужд МУ МВД России «Ногинское» в 2021 году по обеспечению питанием лиц, подозреваемых и обвиняемых в совершении преступлений, содержащихся в изоляторе временного содержания, лиц, подвергнутых административному аресту</v>
      </c>
      <c r="G6670" s="22" t="s">
        <v>49</v>
      </c>
      <c r="H6670" s="22" t="s">
        <v>49</v>
      </c>
      <c r="I6670" s="26">
        <v>43696.610486111102</v>
      </c>
      <c r="J6670" s="23" t="str">
        <f>HYPERLINK("https://www.spark-marketing.ru/Card/Person/1278899", "ООО ""АМОС""")</f>
        <v>ООО "АМОС"</v>
      </c>
      <c r="K6670" s="24" t="s">
        <v>8885</v>
      </c>
      <c r="L6670" s="22" t="s">
        <v>10</v>
      </c>
      <c r="M6670" s="28" t="s">
        <v>51</v>
      </c>
      <c r="N6670" s="28" t="s">
        <v>51</v>
      </c>
    </row>
    <row r="6671" spans="1:14" x14ac:dyDescent="0.2">
      <c r="A6671" s="23" t="str">
        <f>HYPERLINK("https://www.spark-marketing.ru/Card/Person/81657", "МБОУ СОШ № 6")</f>
        <v>МБОУ СОШ № 6</v>
      </c>
      <c r="B6671" s="24" t="s">
        <v>10135</v>
      </c>
      <c r="C6671" s="25">
        <v>1073464</v>
      </c>
      <c r="D6671" s="22" t="s">
        <v>10136</v>
      </c>
      <c r="E6671" s="22" t="s">
        <v>48</v>
      </c>
      <c r="F6671" s="23" t="str">
        <f>HYPERLINK("https://www.spark-marketing.ru/Card/Lot/72892182", "оказание услуг по организации питания для льготных категорий обучающихся и обеспечение молоком (кисломолочными продуктами) обучающихся 1-4 классов МБОУ «СОШ №6».")</f>
        <v>оказание услуг по организации питания для льготных категорий обучающихся и обеспечение молоком (кисломолочными продуктами) обучающихся 1-4 классов МБОУ «СОШ №6».</v>
      </c>
      <c r="G6671" s="22" t="s">
        <v>162</v>
      </c>
      <c r="H6671" s="22" t="s">
        <v>10137</v>
      </c>
      <c r="I6671" s="26">
        <v>43696.711099537002</v>
      </c>
      <c r="J6671" s="23" t="str">
        <f>HYPERLINK("https://www.spark-marketing.ru/Card/Person/1281490", "Разина Елена Викторовна")</f>
        <v>Разина Елена Викторовна</v>
      </c>
      <c r="K6671" s="24" t="s">
        <v>5559</v>
      </c>
      <c r="L6671" s="28" t="s">
        <v>51</v>
      </c>
      <c r="M6671" s="25">
        <v>1073464</v>
      </c>
      <c r="N6671" s="27">
        <v>0</v>
      </c>
    </row>
    <row r="6672" spans="1:14" x14ac:dyDescent="0.15">
      <c r="A6672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6672" s="24" t="s">
        <v>5659</v>
      </c>
      <c r="C6672" s="25">
        <v>5500000</v>
      </c>
      <c r="D6672" s="22" t="s">
        <v>10138</v>
      </c>
      <c r="E6672" s="22" t="s">
        <v>48</v>
      </c>
      <c r="F6672" s="23" t="str">
        <f>HYPERLINK("https://www.spark-marketing.ru/Card/Lot/72868901", "Оказание услуг по организации ежедневного  горячего питания лиц содержащихся в ЦВСИГ УМВД России по Камчатскому краю")</f>
        <v>Оказание услуг по организации ежедневного  горячего питания лиц содержащихся в ЦВСИГ УМВД России по Камчатскому краю</v>
      </c>
      <c r="G6672" s="22" t="s">
        <v>246</v>
      </c>
      <c r="H6672" s="22" t="s">
        <v>246</v>
      </c>
      <c r="I6672" s="26">
        <v>43696.704895833303</v>
      </c>
      <c r="J6672" s="28" t="s">
        <v>51</v>
      </c>
      <c r="K6672" s="28" t="s">
        <v>51</v>
      </c>
      <c r="L6672" s="28" t="s">
        <v>51</v>
      </c>
      <c r="M6672" s="28" t="s">
        <v>51</v>
      </c>
      <c r="N6672" s="28" t="s">
        <v>51</v>
      </c>
    </row>
    <row r="6673" spans="1:14" ht="12.75" hidden="1" outlineLevel="1" x14ac:dyDescent="0.2">
      <c r="A6673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6673" s="24" t="s">
        <v>5659</v>
      </c>
      <c r="C6673" s="25">
        <v>5500000</v>
      </c>
      <c r="D6673" s="22" t="s">
        <v>10138</v>
      </c>
      <c r="E6673" s="22" t="s">
        <v>48</v>
      </c>
      <c r="F6673" s="23" t="str">
        <f>HYPERLINK("https://www.spark-marketing.ru/Card/Lot/72868901", "Оказание услуг по организации ежедневного  горячего питания лиц содержащихся в ЦВСИГ УМВД России по Камчатскому краю")</f>
        <v>Оказание услуг по организации ежедневного  горячего питания лиц содержащихся в ЦВСИГ УМВД России по Камчатскому краю</v>
      </c>
      <c r="G6673" s="22" t="s">
        <v>246</v>
      </c>
      <c r="H6673" s="22" t="s">
        <v>246</v>
      </c>
      <c r="I6673" s="26">
        <v>43696.704895833303</v>
      </c>
      <c r="J6673" s="23" t="str">
        <f>HYPERLINK("https://www.spark-marketing.ru/Card/Person/6592089", "ООО ""АЙСУН""")</f>
        <v>ООО "АЙСУН"</v>
      </c>
      <c r="K6673" s="24" t="s">
        <v>10014</v>
      </c>
      <c r="L6673" s="22" t="s">
        <v>10</v>
      </c>
      <c r="M6673" s="25">
        <v>5819.69</v>
      </c>
      <c r="N6673" s="27">
        <v>0.99894187454545458</v>
      </c>
    </row>
    <row r="6674" spans="1:14" hidden="1" outlineLevel="1" x14ac:dyDescent="0.2">
      <c r="A6674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6674" s="24" t="s">
        <v>5659</v>
      </c>
      <c r="C6674" s="25">
        <v>5500000</v>
      </c>
      <c r="D6674" s="22" t="s">
        <v>10138</v>
      </c>
      <c r="E6674" s="22" t="s">
        <v>48</v>
      </c>
      <c r="F6674" s="23" t="str">
        <f>HYPERLINK("https://www.spark-marketing.ru/Card/Lot/72868901", "Оказание услуг по организации ежедневного  горячего питания лиц содержащихся в ЦВСИГ УМВД России по Камчатскому краю")</f>
        <v>Оказание услуг по организации ежедневного  горячего питания лиц содержащихся в ЦВСИГ УМВД России по Камчатскому краю</v>
      </c>
      <c r="G6674" s="22" t="s">
        <v>246</v>
      </c>
      <c r="H6674" s="22" t="s">
        <v>246</v>
      </c>
      <c r="I6674" s="26">
        <v>43696.704895833303</v>
      </c>
      <c r="J6674" s="23" t="str">
        <f>HYPERLINK("https://www.spark-marketing.ru/Card/Person/343392", "Николайчук Тарас Петрович")</f>
        <v>Николайчук Тарас Петрович</v>
      </c>
      <c r="K6674" s="24" t="s">
        <v>10015</v>
      </c>
      <c r="L6674" s="28" t="s">
        <v>51</v>
      </c>
      <c r="M6674" s="25">
        <v>5819.69</v>
      </c>
      <c r="N6674" s="27">
        <v>0.99894187454545458</v>
      </c>
    </row>
    <row r="6675" spans="1:14" x14ac:dyDescent="0.15">
      <c r="A6675" s="23" t="str">
        <f>HYPERLINK("https://www.spark-marketing.ru/Card/Person/1010337", "ОГКУ ""ЦЗН Г.АСТРАХАНИ""")</f>
        <v>ОГКУ "ЦЗН Г.АСТРАХАНИ"</v>
      </c>
      <c r="B6675" s="24" t="s">
        <v>10139</v>
      </c>
      <c r="C6675" s="25">
        <v>85486</v>
      </c>
      <c r="D6675" s="22" t="s">
        <v>10140</v>
      </c>
      <c r="E6675" s="22" t="s">
        <v>51</v>
      </c>
      <c r="F6675" s="23" t="str">
        <f>HYPERLINK("https://www.spark-marketing.ru/Card/Lot/72882738", "Оказание образовательных услуг по профессиональному обучению лиц предпенсионного возраста в 2019 году по программе профессиональной переподготовки в рамках дополнительного профессионального образования по образовательной программе ""Технология продук...")</f>
        <v>Оказание образовательных услуг по профессиональному обучению лиц предпенсионного возраста в 2019 году по программе профессиональной переподготовки в рамках дополнительного профессионального образования по образовательной программе "Технология продук...</v>
      </c>
      <c r="G6675" s="22" t="s">
        <v>141</v>
      </c>
      <c r="H6675" s="22" t="s">
        <v>2201</v>
      </c>
      <c r="I6675" s="26">
        <v>43696.6257638889</v>
      </c>
      <c r="J6675" s="28" t="s">
        <v>51</v>
      </c>
      <c r="K6675" s="28" t="s">
        <v>51</v>
      </c>
      <c r="L6675" s="28" t="s">
        <v>51</v>
      </c>
      <c r="M6675" s="28" t="s">
        <v>51</v>
      </c>
      <c r="N6675" s="28" t="s">
        <v>51</v>
      </c>
    </row>
    <row r="6676" spans="1:14" hidden="1" outlineLevel="1" x14ac:dyDescent="0.2">
      <c r="A6676" s="23" t="str">
        <f>HYPERLINK("https://www.spark-marketing.ru/Card/Person/1010337", "ОГКУ ""ЦЗН Г.АСТРАХАНИ""")</f>
        <v>ОГКУ "ЦЗН Г.АСТРАХАНИ"</v>
      </c>
      <c r="B6676" s="24" t="s">
        <v>10139</v>
      </c>
      <c r="C6676" s="25">
        <v>85486</v>
      </c>
      <c r="D6676" s="22" t="s">
        <v>10140</v>
      </c>
      <c r="E6676" s="22" t="s">
        <v>51</v>
      </c>
      <c r="F6676" s="23" t="str">
        <f>HYPERLINK("https://www.spark-marketing.ru/Card/Lot/72882738", "Оказание образовательных услуг по профессиональному обучению лиц предпенсионного возраста в 2019 году по программе профессиональной переподготовки в рамках дополнительного профессионального образования по образовательной программе ""Технология продук...")</f>
        <v>Оказание образовательных услуг по профессиональному обучению лиц предпенсионного возраста в 2019 году по программе профессиональной переподготовки в рамках дополнительного профессионального образования по образовательной программе "Технология продук...</v>
      </c>
      <c r="G6676" s="22" t="s">
        <v>141</v>
      </c>
      <c r="H6676" s="22" t="s">
        <v>2201</v>
      </c>
      <c r="I6676" s="26">
        <v>43696.6257638889</v>
      </c>
      <c r="J6676" s="23" t="str">
        <f>HYPERLINK("https://www.spark-marketing.ru/Card/Person/5908467", "ООО ""АЗ""")</f>
        <v>ООО "АЗ"</v>
      </c>
      <c r="K6676" s="24" t="s">
        <v>10141</v>
      </c>
      <c r="L6676" s="28" t="s">
        <v>51</v>
      </c>
      <c r="M6676" s="25">
        <v>28210.18</v>
      </c>
      <c r="N6676" s="27">
        <v>0.67000233956437316</v>
      </c>
    </row>
    <row r="6677" spans="1:14" hidden="1" outlineLevel="1" x14ac:dyDescent="0.2">
      <c r="A6677" s="23" t="str">
        <f>HYPERLINK("https://www.spark-marketing.ru/Card/Person/1010337", "ОГКУ ""ЦЗН Г.АСТРАХАНИ""")</f>
        <v>ОГКУ "ЦЗН Г.АСТРАХАНИ"</v>
      </c>
      <c r="B6677" s="24" t="s">
        <v>10139</v>
      </c>
      <c r="C6677" s="25">
        <v>85486</v>
      </c>
      <c r="D6677" s="22" t="s">
        <v>10140</v>
      </c>
      <c r="E6677" s="22" t="s">
        <v>51</v>
      </c>
      <c r="F6677" s="23" t="str">
        <f>HYPERLINK("https://www.spark-marketing.ru/Card/Lot/72882738", "Оказание образовательных услуг по профессиональному обучению лиц предпенсионного возраста в 2019 году по программе профессиональной переподготовки в рамках дополнительного профессионального образования по образовательной программе ""Технология продук...")</f>
        <v>Оказание образовательных услуг по профессиональному обучению лиц предпенсионного возраста в 2019 году по программе профессиональной переподготовки в рамках дополнительного профессионального образования по образовательной программе "Технология продук...</v>
      </c>
      <c r="G6677" s="22" t="s">
        <v>141</v>
      </c>
      <c r="H6677" s="22" t="s">
        <v>2201</v>
      </c>
      <c r="I6677" s="26">
        <v>43696.6257638889</v>
      </c>
      <c r="J6677" s="23" t="str">
        <f>HYPERLINK("https://www.spark-marketing.ru/Card/Person/1838015", "ЧУ ДПО ""УЧЕБНЫЙ ЦЕНТР ЗОРГО""")</f>
        <v>ЧУ ДПО "УЧЕБНЫЙ ЦЕНТР ЗОРГО"</v>
      </c>
      <c r="K6677" s="24" t="s">
        <v>10142</v>
      </c>
      <c r="L6677" s="28" t="s">
        <v>51</v>
      </c>
      <c r="M6677" s="25">
        <v>50863.97</v>
      </c>
      <c r="N6677" s="27">
        <v>0.40500233956437309</v>
      </c>
    </row>
    <row r="6678" spans="1:14" ht="12.75" hidden="1" outlineLevel="1" x14ac:dyDescent="0.2">
      <c r="A6678" s="23" t="str">
        <f>HYPERLINK("https://www.spark-marketing.ru/Card/Person/1010337", "ОГКУ ""ЦЗН Г.АСТРАХАНИ""")</f>
        <v>ОГКУ "ЦЗН Г.АСТРАХАНИ"</v>
      </c>
      <c r="B6678" s="24" t="s">
        <v>10139</v>
      </c>
      <c r="C6678" s="25">
        <v>85486</v>
      </c>
      <c r="D6678" s="22" t="s">
        <v>10140</v>
      </c>
      <c r="E6678" s="22" t="s">
        <v>51</v>
      </c>
      <c r="F6678" s="23" t="str">
        <f>HYPERLINK("https://www.spark-marketing.ru/Card/Lot/72882738", "Оказание образовательных услуг по профессиональному обучению лиц предпенсионного возраста в 2019 году по программе профессиональной переподготовки в рамках дополнительного профессионального образования по образовательной программе ""Технология продук...")</f>
        <v>Оказание образовательных услуг по профессиональному обучению лиц предпенсионного возраста в 2019 году по программе профессиональной переподготовки в рамках дополнительного профессионального образования по образовательной программе "Технология продук...</v>
      </c>
      <c r="G6678" s="22" t="s">
        <v>141</v>
      </c>
      <c r="H6678" s="22" t="s">
        <v>2201</v>
      </c>
      <c r="I6678" s="26">
        <v>43696.6257638889</v>
      </c>
      <c r="J6678" s="23" t="str">
        <f>HYPERLINK("https://www.spark-marketing.ru/Card/Person/1092706", "ЧУДПО ""АСТРАХАНЬРЕГИОНКАЧЕСТВО""")</f>
        <v>ЧУДПО "АСТРАХАНЬРЕГИОНКАЧЕСТВО"</v>
      </c>
      <c r="K6678" s="24" t="s">
        <v>10143</v>
      </c>
      <c r="L6678" s="22" t="s">
        <v>10</v>
      </c>
      <c r="M6678" s="25">
        <v>27782.75</v>
      </c>
      <c r="N6678" s="27">
        <v>0.67500233956437317</v>
      </c>
    </row>
    <row r="6679" spans="1:14" x14ac:dyDescent="0.15">
      <c r="A6679" s="23" t="str">
        <f>HYPERLINK("https://www.spark-marketing.ru/Card/Person/25674", "ММО МВД РОССИИ ""ТОРБЕЕВСКИЙ""")</f>
        <v>ММО МВД РОССИИ "ТОРБЕЕВСКИЙ"</v>
      </c>
      <c r="B6679" s="24" t="s">
        <v>10121</v>
      </c>
      <c r="C6679" s="25">
        <v>115375</v>
      </c>
      <c r="D6679" s="22" t="s">
        <v>10144</v>
      </c>
      <c r="E6679" s="22" t="s">
        <v>48</v>
      </c>
      <c r="F6679" s="23" t="str">
        <f>HYPERLINK("https://www.spark-marketing.ru/Card/Lot/72883407", "Услуги по обеспечению питанием, осуществляемые по договору, 923 усл. ед")</f>
        <v>Услуги по обеспечению питанием, осуществляемые по договору, 923 усл. ед</v>
      </c>
      <c r="G6679" s="22" t="s">
        <v>277</v>
      </c>
      <c r="H6679" s="22" t="s">
        <v>10123</v>
      </c>
      <c r="I6679" s="26">
        <v>43696.702997685199</v>
      </c>
      <c r="J6679" s="28" t="s">
        <v>51</v>
      </c>
      <c r="K6679" s="28" t="s">
        <v>51</v>
      </c>
      <c r="L6679" s="28" t="s">
        <v>51</v>
      </c>
      <c r="M6679" s="28" t="s">
        <v>51</v>
      </c>
      <c r="N6679" s="28" t="s">
        <v>51</v>
      </c>
    </row>
    <row r="6680" spans="1:14" x14ac:dyDescent="0.15">
      <c r="A6680" s="23" t="str">
        <f>HYPERLINK("https://www.spark-marketing.ru/Card/Person/5890783", "ФЛ АО КОНЦЕРН РОСЭНЕРГОАТОМ ДИРЕКЦИЯ ПО СООРУЖЕНИЮ И ЭКСПЛУАТАЦИИ ПЛАВУЧИХ АТОМНЫХ ТЕПЛОЭЛЕКТРОСТАНЦИЙ")</f>
        <v>ФЛ АО КОНЦЕРН РОСЭНЕРГОАТОМ ДИРЕКЦИЯ ПО СООРУЖЕНИЮ И ЭКСПЛУАТАЦИИ ПЛАВУЧИХ АТОМНЫХ ТЕПЛОЭЛЕКТРОСТАНЦИЙ</v>
      </c>
      <c r="B6680" s="28" t="s">
        <v>51</v>
      </c>
      <c r="C6680" s="25">
        <v>0</v>
      </c>
      <c r="D6680" s="22" t="s">
        <v>10145</v>
      </c>
      <c r="E6680" s="22" t="s">
        <v>52</v>
      </c>
      <c r="F6680" s="23" t="str">
        <f>HYPERLINK("https://www.spark-marketing.ru/Card/Lot/72892233", "мониторинг цен в электронной форме на «Оказание услуг по организации питания для нужд ПАТЭС, а именно: общественное питание в столовых вахтового поселка ПАТЭС и ПЭБ в г. Певеке Чукотского автономного округа»")</f>
        <v>мониторинг цен в электронной форме на «Оказание услуг по организации питания для нужд ПАТЭС, а именно: общественное питание в столовых вахтового поселка ПАТЭС и ПЭБ в г. Певеке Чукотского автономного округа»</v>
      </c>
      <c r="G6680" s="22" t="s">
        <v>51</v>
      </c>
      <c r="H6680" s="22" t="s">
        <v>51</v>
      </c>
      <c r="I6680" s="26">
        <v>43696.684594907398</v>
      </c>
      <c r="J6680" s="28" t="s">
        <v>51</v>
      </c>
      <c r="K6680" s="28" t="s">
        <v>51</v>
      </c>
      <c r="L6680" s="28" t="s">
        <v>51</v>
      </c>
      <c r="M6680" s="28" t="s">
        <v>51</v>
      </c>
      <c r="N6680" s="28" t="s">
        <v>51</v>
      </c>
    </row>
    <row r="6681" spans="1:14" x14ac:dyDescent="0.15">
      <c r="A6681" s="23" t="str">
        <f>HYPERLINK("https://www.spark-marketing.ru/Card/Person/330031", "ДИРЕКЦИЯ СТРОЯЩИХСЯ ПАТЭС")</f>
        <v>ДИРЕКЦИЯ СТРОЯЩИХСЯ ПАТЭС</v>
      </c>
      <c r="B6681" s="24" t="s">
        <v>908</v>
      </c>
      <c r="C6681" s="28" t="s">
        <v>51</v>
      </c>
      <c r="D6681" s="22" t="s">
        <v>10146</v>
      </c>
      <c r="E6681" s="22" t="s">
        <v>48</v>
      </c>
      <c r="F6681" s="23" t="str">
        <f>HYPERLINK("https://www.spark-marketing.ru/Card/Lot/72891159", "«Оказание услуг по организации питания для нужд ПАТЭС, а именно: общественное питание в столовых вахтового поселка ПАТЭС и ПЭБ в г. Певеке Чукотского автономного округа»")</f>
        <v>«Оказание услуг по организации питания для нужд ПАТЭС, а именно: общественное питание в столовых вахтового поселка ПАТЭС и ПЭБ в г. Певеке Чукотского автономного округа»</v>
      </c>
      <c r="G6681" s="22" t="s">
        <v>56</v>
      </c>
      <c r="H6681" s="22" t="s">
        <v>56</v>
      </c>
      <c r="I6681" s="26">
        <v>43696.684548611098</v>
      </c>
      <c r="J6681" s="28" t="s">
        <v>51</v>
      </c>
      <c r="K6681" s="28" t="s">
        <v>51</v>
      </c>
      <c r="L6681" s="28" t="s">
        <v>51</v>
      </c>
      <c r="M6681" s="28" t="s">
        <v>51</v>
      </c>
      <c r="N6681" s="28" t="s">
        <v>51</v>
      </c>
    </row>
    <row r="6682" spans="1:14" x14ac:dyDescent="0.15">
      <c r="A6682" s="23" t="str">
        <f>HYPERLINK("https://www.spark-marketing.ru/Card/Person/1042158", "ГКУ ОРЦ ""ЛЕСНАЯ СКАЗКА""")</f>
        <v>ГКУ ОРЦ "ЛЕСНАЯ СКАЗКА"</v>
      </c>
      <c r="B6682" s="24" t="s">
        <v>10147</v>
      </c>
      <c r="C6682" s="25">
        <v>25983.3</v>
      </c>
      <c r="D6682" s="22" t="s">
        <v>10148</v>
      </c>
      <c r="E6682" s="22" t="s">
        <v>1018</v>
      </c>
      <c r="F6682" s="23" t="str">
        <f>HYPERLINK("https://www.spark-marketing.ru/Card/Lot/72883529", "оказание услуг по разработке паспортов отходов I-IV класса и/или материалов обоснования отхода к 5 классу опасности по кодам ФККО")</f>
        <v>оказание услуг по разработке паспортов отходов I-IV класса и/или материалов обоснования отхода к 5 классу опасности по кодам ФККО</v>
      </c>
      <c r="G6682" s="22" t="s">
        <v>292</v>
      </c>
      <c r="H6682" s="22" t="s">
        <v>9086</v>
      </c>
      <c r="I6682" s="26">
        <v>43696.689583333296</v>
      </c>
      <c r="J6682" s="28" t="s">
        <v>51</v>
      </c>
      <c r="K6682" s="28" t="s">
        <v>51</v>
      </c>
      <c r="L6682" s="28" t="s">
        <v>51</v>
      </c>
      <c r="M6682" s="28" t="s">
        <v>51</v>
      </c>
      <c r="N6682" s="28" t="s">
        <v>51</v>
      </c>
    </row>
    <row r="6683" spans="1:14" x14ac:dyDescent="0.15">
      <c r="A6683" s="23" t="str">
        <f>HYPERLINK("https://www.spark-marketing.ru/Card/Person/8568", "УПРАВЛЕНИЕ МВД РОССИИ ПО ГОРОДУ САРАТОВУ")</f>
        <v>УПРАВЛЕНИЕ МВД РОССИИ ПО ГОРОДУ САРАТОВУ</v>
      </c>
      <c r="B6683" s="24" t="s">
        <v>10149</v>
      </c>
      <c r="C6683" s="25">
        <v>4999000</v>
      </c>
      <c r="D6683" s="22" t="s">
        <v>10150</v>
      </c>
      <c r="E6683" s="22" t="s">
        <v>48</v>
      </c>
      <c r="F6683" s="23" t="str">
        <f>HYPERLINK("https://www.spark-marketing.ru/Card/Lot/72890486", "на оказание услуг по ежедневному приготовлению и поставке трехразового горячего питания, лиц, содержащихся в Изоляторе Временного Содержания подозреваемых и обвиняемых и Специальном приемнике для содержания лиц подвергнутых, административному аресту ...")</f>
        <v>на оказание услуг по ежедневному приготовлению и поставке трехразового горячего питания, лиц, содержащихся в Изоляторе Временного Содержания подозреваемых и обвиняемых и Специальном приемнике для содержания лиц подвергнутых, административному аресту ...</v>
      </c>
      <c r="G6683" s="22" t="s">
        <v>351</v>
      </c>
      <c r="H6683" s="22" t="s">
        <v>2983</v>
      </c>
      <c r="I6683" s="26">
        <v>43696.316562499997</v>
      </c>
      <c r="J6683" s="23" t="str">
        <f>HYPERLINK("https://www.spark-marketing.ru/Card/Person/66182", "Иванушкина Оксана Геннадиевна")</f>
        <v>Иванушкина Оксана Геннадиевна</v>
      </c>
      <c r="K6683" s="24" t="s">
        <v>10151</v>
      </c>
      <c r="L6683" s="28" t="s">
        <v>51</v>
      </c>
      <c r="M6683" s="28" t="s">
        <v>51</v>
      </c>
      <c r="N6683" s="28" t="s">
        <v>51</v>
      </c>
    </row>
    <row r="6684" spans="1:14" ht="12.75" hidden="1" outlineLevel="1" x14ac:dyDescent="0.2">
      <c r="A6684" s="23" t="str">
        <f>HYPERLINK("https://www.spark-marketing.ru/Card/Person/8568", "УПРАВЛЕНИЕ МВД РОССИИ ПО ГОРОДУ САРАТОВУ")</f>
        <v>УПРАВЛЕНИЕ МВД РОССИИ ПО ГОРОДУ САРАТОВУ</v>
      </c>
      <c r="B6684" s="24" t="s">
        <v>10149</v>
      </c>
      <c r="C6684" s="25">
        <v>4999000</v>
      </c>
      <c r="D6684" s="22" t="s">
        <v>10150</v>
      </c>
      <c r="E6684" s="22" t="s">
        <v>48</v>
      </c>
      <c r="F6684" s="23" t="str">
        <f>HYPERLINK("https://www.spark-marketing.ru/Card/Lot/72890486", "на оказание услуг по ежедневному приготовлению и поставке трехразового горячего питания, лиц, содержащихся в Изоляторе Временного Содержания подозреваемых и обвиняемых и Специальном приемнике для содержания лиц подвергнутых, административному аресту ...")</f>
        <v>на оказание услуг по ежедневному приготовлению и поставке трехразового горячего питания, лиц, содержащихся в Изоляторе Временного Содержания подозреваемых и обвиняемых и Специальном приемнике для содержания лиц подвергнутых, административному аресту ...</v>
      </c>
      <c r="G6684" s="22" t="s">
        <v>351</v>
      </c>
      <c r="H6684" s="22" t="s">
        <v>2983</v>
      </c>
      <c r="I6684" s="26">
        <v>43696.316562499997</v>
      </c>
      <c r="J6684" s="23" t="str">
        <f>HYPERLINK("https://www.spark-marketing.ru/Card/Person/66182", "Иванушкина Оксана Геннадиевна")</f>
        <v>Иванушкина Оксана Геннадиевна</v>
      </c>
      <c r="K6684" s="24" t="s">
        <v>10151</v>
      </c>
      <c r="L6684" s="22" t="s">
        <v>10</v>
      </c>
      <c r="M6684" s="25">
        <v>4974005</v>
      </c>
      <c r="N6684" s="27">
        <v>5.0000000000000001E-3</v>
      </c>
    </row>
    <row r="6685" spans="1:14" x14ac:dyDescent="0.15">
      <c r="A6685" s="23" t="str">
        <f>HYPERLINK("https://www.spark-marketing.ru/Card/Person/1017820", "ОТДЕЛ МВД РОССИИ ПО ГОРОДУ МИХАЙЛОВКЕ")</f>
        <v>ОТДЕЛ МВД РОССИИ ПО ГОРОДУ МИХАЙЛОВКЕ</v>
      </c>
      <c r="B6685" s="24" t="s">
        <v>10029</v>
      </c>
      <c r="C6685" s="25">
        <v>1924500</v>
      </c>
      <c r="D6685" s="22" t="s">
        <v>10152</v>
      </c>
      <c r="E6685" s="22" t="s">
        <v>48</v>
      </c>
      <c r="F6685" s="23" t="str">
        <f>HYPERLINK("https://www.spark-marketing.ru/Card/Lot/72890384", "Услуги по организации питания")</f>
        <v>Услуги по организации питания</v>
      </c>
      <c r="G6685" s="22" t="s">
        <v>158</v>
      </c>
      <c r="H6685" s="22" t="s">
        <v>10031</v>
      </c>
      <c r="I6685" s="26">
        <v>43696.6887615741</v>
      </c>
      <c r="J6685" s="28" t="s">
        <v>51</v>
      </c>
      <c r="K6685" s="28" t="s">
        <v>51</v>
      </c>
      <c r="L6685" s="28" t="s">
        <v>51</v>
      </c>
      <c r="M6685" s="28" t="s">
        <v>51</v>
      </c>
      <c r="N6685" s="28" t="s">
        <v>51</v>
      </c>
    </row>
    <row r="6686" spans="1:14" hidden="1" outlineLevel="1" x14ac:dyDescent="0.2">
      <c r="A6686" s="23" t="str">
        <f>HYPERLINK("https://www.spark-marketing.ru/Card/Person/1017820", "ОТДЕЛ МВД РОССИИ ПО ГОРОДУ МИХАЙЛОВКЕ")</f>
        <v>ОТДЕЛ МВД РОССИИ ПО ГОРОДУ МИХАЙЛОВКЕ</v>
      </c>
      <c r="B6686" s="24" t="s">
        <v>10029</v>
      </c>
      <c r="C6686" s="25">
        <v>1924500</v>
      </c>
      <c r="D6686" s="22" t="s">
        <v>10152</v>
      </c>
      <c r="E6686" s="22" t="s">
        <v>48</v>
      </c>
      <c r="F6686" s="23" t="str">
        <f>HYPERLINK("https://www.spark-marketing.ru/Card/Lot/72890384", "Услуги по организации питания")</f>
        <v>Услуги по организации питания</v>
      </c>
      <c r="G6686" s="22" t="s">
        <v>158</v>
      </c>
      <c r="H6686" s="22" t="s">
        <v>10031</v>
      </c>
      <c r="I6686" s="26">
        <v>43696.6887615741</v>
      </c>
      <c r="J6686" s="23" t="str">
        <f>HYPERLINK("https://www.spark-marketing.ru/Card/Person/5899330", "Голиков Владимир Леонидович")</f>
        <v>Голиков Владимир Леонидович</v>
      </c>
      <c r="K6686" s="24" t="s">
        <v>10033</v>
      </c>
      <c r="L6686" s="28" t="s">
        <v>51</v>
      </c>
      <c r="M6686" s="25">
        <v>67.16</v>
      </c>
      <c r="N6686" s="27">
        <v>0.99996510262405824</v>
      </c>
    </row>
    <row r="6687" spans="1:14" hidden="1" outlineLevel="1" x14ac:dyDescent="0.2">
      <c r="A6687" s="23" t="str">
        <f>HYPERLINK("https://www.spark-marketing.ru/Card/Person/1017820", "ОТДЕЛ МВД РОССИИ ПО ГОРОДУ МИХАЙЛОВКЕ")</f>
        <v>ОТДЕЛ МВД РОССИИ ПО ГОРОДУ МИХАЙЛОВКЕ</v>
      </c>
      <c r="B6687" s="24" t="s">
        <v>10029</v>
      </c>
      <c r="C6687" s="25">
        <v>1924500</v>
      </c>
      <c r="D6687" s="22" t="s">
        <v>10152</v>
      </c>
      <c r="E6687" s="22" t="s">
        <v>48</v>
      </c>
      <c r="F6687" s="23" t="str">
        <f>HYPERLINK("https://www.spark-marketing.ru/Card/Lot/72890384", "Услуги по организации питания")</f>
        <v>Услуги по организации питания</v>
      </c>
      <c r="G6687" s="22" t="s">
        <v>158</v>
      </c>
      <c r="H6687" s="22" t="s">
        <v>10031</v>
      </c>
      <c r="I6687" s="26">
        <v>43696.6887615741</v>
      </c>
      <c r="J6687" s="23" t="str">
        <f>HYPERLINK("https://www.spark-marketing.ru/Card/Person/520670", "ООО ""СОЮЗ К""")</f>
        <v>ООО "СОЮЗ К"</v>
      </c>
      <c r="K6687" s="24" t="s">
        <v>10035</v>
      </c>
      <c r="L6687" s="28" t="s">
        <v>51</v>
      </c>
      <c r="M6687" s="25">
        <v>347.66</v>
      </c>
      <c r="N6687" s="27">
        <v>0.9998193504806443</v>
      </c>
    </row>
    <row r="6688" spans="1:14" hidden="1" outlineLevel="1" x14ac:dyDescent="0.2">
      <c r="A6688" s="23" t="str">
        <f>HYPERLINK("https://www.spark-marketing.ru/Card/Person/1017820", "ОТДЕЛ МВД РОССИИ ПО ГОРОДУ МИХАЙЛОВКЕ")</f>
        <v>ОТДЕЛ МВД РОССИИ ПО ГОРОДУ МИХАЙЛОВКЕ</v>
      </c>
      <c r="B6688" s="24" t="s">
        <v>10029</v>
      </c>
      <c r="C6688" s="25">
        <v>1924500</v>
      </c>
      <c r="D6688" s="22" t="s">
        <v>10152</v>
      </c>
      <c r="E6688" s="22" t="s">
        <v>48</v>
      </c>
      <c r="F6688" s="23" t="str">
        <f>HYPERLINK("https://www.spark-marketing.ru/Card/Lot/72890384", "Услуги по организации питания")</f>
        <v>Услуги по организации питания</v>
      </c>
      <c r="G6688" s="22" t="s">
        <v>158</v>
      </c>
      <c r="H6688" s="22" t="s">
        <v>10031</v>
      </c>
      <c r="I6688" s="26">
        <v>43696.6887615741</v>
      </c>
      <c r="J6688" s="23" t="str">
        <f>HYPERLINK("https://www.spark-marketing.ru/Card/Person/509134", "Чистякова Анастасия Сергеевна")</f>
        <v>Чистякова Анастасия Сергеевна</v>
      </c>
      <c r="K6688" s="24" t="s">
        <v>10032</v>
      </c>
      <c r="L6688" s="28" t="s">
        <v>51</v>
      </c>
      <c r="M6688" s="25">
        <v>68.900000000000006</v>
      </c>
      <c r="N6688" s="27">
        <v>0.99996419849311513</v>
      </c>
    </row>
    <row r="6689" spans="1:14" ht="12.75" hidden="1" outlineLevel="1" x14ac:dyDescent="0.2">
      <c r="A6689" s="23" t="str">
        <f>HYPERLINK("https://www.spark-marketing.ru/Card/Person/1017820", "ОТДЕЛ МВД РОССИИ ПО ГОРОДУ МИХАЙЛОВКЕ")</f>
        <v>ОТДЕЛ МВД РОССИИ ПО ГОРОДУ МИХАЙЛОВКЕ</v>
      </c>
      <c r="B6689" s="24" t="s">
        <v>10029</v>
      </c>
      <c r="C6689" s="25">
        <v>1924500</v>
      </c>
      <c r="D6689" s="22" t="s">
        <v>10152</v>
      </c>
      <c r="E6689" s="22" t="s">
        <v>48</v>
      </c>
      <c r="F6689" s="23" t="str">
        <f>HYPERLINK("https://www.spark-marketing.ru/Card/Lot/72890384", "Услуги по организации питания")</f>
        <v>Услуги по организации питания</v>
      </c>
      <c r="G6689" s="22" t="s">
        <v>158</v>
      </c>
      <c r="H6689" s="22" t="s">
        <v>10031</v>
      </c>
      <c r="I6689" s="26">
        <v>43696.6887615741</v>
      </c>
      <c r="J6689" s="23" t="str">
        <f>HYPERLINK("https://www.spark-marketing.ru/Card/Person/6694661", "ООО РГК ""МЕДВЕДИЦА""")</f>
        <v>ООО РГК "МЕДВЕДИЦА"</v>
      </c>
      <c r="K6689" s="24" t="s">
        <v>10034</v>
      </c>
      <c r="L6689" s="22" t="s">
        <v>10</v>
      </c>
      <c r="M6689" s="25">
        <v>90</v>
      </c>
      <c r="N6689" s="27">
        <v>0.99995323460639129</v>
      </c>
    </row>
    <row r="6690" spans="1:14" x14ac:dyDescent="0.15">
      <c r="A6690" s="23" t="str">
        <f>HYPERLINK("https://www.spark-marketing.ru/Card/Person/1061238", "ОТДЕЛ МВД РОССИИ ПО ЛЫСКОВСКОМУ РАЙОНУ")</f>
        <v>ОТДЕЛ МВД РОССИИ ПО ЛЫСКОВСКОМУ РАЙОНУ</v>
      </c>
      <c r="B6690" s="24" t="s">
        <v>8258</v>
      </c>
      <c r="C6690" s="25">
        <v>400000</v>
      </c>
      <c r="D6690" s="22" t="s">
        <v>10153</v>
      </c>
      <c r="E6690" s="22" t="s">
        <v>48</v>
      </c>
      <c r="F6690" s="23" t="str">
        <f>HYPERLINK("https://www.spark-marketing.ru/Card/Lot/72886463", "ежедневное трехразовое горячее питание лиц, содержащихся в ИВС, и лиц, задержанных в административном порядке")</f>
        <v>ежедневное трехразовое горячее питание лиц, содержащихся в ИВС, и лиц, задержанных в административном порядке</v>
      </c>
      <c r="G6690" s="22" t="s">
        <v>76</v>
      </c>
      <c r="H6690" s="22" t="s">
        <v>8260</v>
      </c>
      <c r="I6690" s="26">
        <v>43696.465115740699</v>
      </c>
      <c r="J6690" s="28" t="s">
        <v>51</v>
      </c>
      <c r="K6690" s="28" t="s">
        <v>51</v>
      </c>
      <c r="L6690" s="28" t="s">
        <v>51</v>
      </c>
      <c r="M6690" s="28" t="s">
        <v>51</v>
      </c>
      <c r="N6690" s="28" t="s">
        <v>51</v>
      </c>
    </row>
    <row r="6691" spans="1:14" x14ac:dyDescent="0.15">
      <c r="A6691" s="23" t="str">
        <f>HYPERLINK("https://www.spark-marketing.ru/Card/Person/101107", "УМВД РОССИИ ПО Г.ЧЕРЕПОВЦУ")</f>
        <v>УМВД РОССИИ ПО Г.ЧЕРЕПОВЦУ</v>
      </c>
      <c r="B6691" s="24" t="s">
        <v>6522</v>
      </c>
      <c r="C6691" s="25">
        <v>3650000</v>
      </c>
      <c r="D6691" s="22" t="s">
        <v>10154</v>
      </c>
      <c r="E6691" s="22" t="s">
        <v>48</v>
      </c>
      <c r="F6691" s="23" t="str">
        <f>HYPERLINK("https://www.spark-marketing.ru/Card/Lot/72890753", "услуг по обеспечению трёхразовым горячим питанием")</f>
        <v>услуг по обеспечению трёхразовым горячим питанием</v>
      </c>
      <c r="G6691" s="22" t="s">
        <v>503</v>
      </c>
      <c r="H6691" s="22" t="s">
        <v>1157</v>
      </c>
      <c r="I6691" s="26">
        <v>43696.699178240699</v>
      </c>
      <c r="J6691" s="28" t="s">
        <v>51</v>
      </c>
      <c r="K6691" s="28" t="s">
        <v>51</v>
      </c>
      <c r="L6691" s="28" t="s">
        <v>51</v>
      </c>
      <c r="M6691" s="28" t="s">
        <v>51</v>
      </c>
      <c r="N6691" s="28" t="s">
        <v>51</v>
      </c>
    </row>
    <row r="6692" spans="1:14" x14ac:dyDescent="0.15">
      <c r="A6692" s="23" t="str">
        <f>HYPERLINK("https://www.spark-marketing.ru/Card/Person/4377823", "ОТДЕЛЕНИЕ МВД РОССИИ ПО АТНИНСКОМУ РАЙОНУ")</f>
        <v>ОТДЕЛЕНИЕ МВД РОССИИ ПО АТНИНСКОМУ РАЙОНУ</v>
      </c>
      <c r="B6692" s="24" t="s">
        <v>10155</v>
      </c>
      <c r="C6692" s="25">
        <v>5000</v>
      </c>
      <c r="D6692" s="22" t="s">
        <v>10156</v>
      </c>
      <c r="E6692" s="22" t="s">
        <v>48</v>
      </c>
      <c r="F6692" s="23" t="str">
        <f>HYPERLINK("https://www.spark-marketing.ru/Card/Lot/72881251", "Услуги по обеспечению питанием, осуществляемые по договору, 40 усл. ед")</f>
        <v>Услуги по обеспечению питанием, осуществляемые по договору, 40 усл. ед</v>
      </c>
      <c r="G6692" s="22" t="s">
        <v>217</v>
      </c>
      <c r="H6692" s="22" t="s">
        <v>10157</v>
      </c>
      <c r="I6692" s="26">
        <v>43696.671701388899</v>
      </c>
      <c r="J6692" s="28" t="s">
        <v>51</v>
      </c>
      <c r="K6692" s="28" t="s">
        <v>51</v>
      </c>
      <c r="L6692" s="28" t="s">
        <v>51</v>
      </c>
      <c r="M6692" s="28" t="s">
        <v>51</v>
      </c>
      <c r="N6692" s="28" t="s">
        <v>51</v>
      </c>
    </row>
    <row r="6693" spans="1:14" x14ac:dyDescent="0.15">
      <c r="A6693" s="23" t="str">
        <f>HYPERLINK("https://www.spark-marketing.ru/Card/Person/4377823", "ОТДЕЛЕНИЕ МВД РОССИИ ПО АТНИНСКОМУ РАЙОНУ")</f>
        <v>ОТДЕЛЕНИЕ МВД РОССИИ ПО АТНИНСКОМУ РАЙОНУ</v>
      </c>
      <c r="B6693" s="24" t="s">
        <v>10155</v>
      </c>
      <c r="C6693" s="25">
        <v>5000</v>
      </c>
      <c r="D6693" s="22" t="s">
        <v>10158</v>
      </c>
      <c r="E6693" s="22" t="s">
        <v>48</v>
      </c>
      <c r="F6693" s="23" t="str">
        <f>HYPERLINK("https://www.spark-marketing.ru/Card/Lot/72881228", "Услуги по обеспечению питанием, осуществляемые по договору, 40 усл. ед")</f>
        <v>Услуги по обеспечению питанием, осуществляемые по договору, 40 усл. ед</v>
      </c>
      <c r="G6693" s="22" t="s">
        <v>217</v>
      </c>
      <c r="H6693" s="22" t="s">
        <v>10157</v>
      </c>
      <c r="I6693" s="26">
        <v>43696.669224537</v>
      </c>
      <c r="J6693" s="28" t="s">
        <v>51</v>
      </c>
      <c r="K6693" s="28" t="s">
        <v>51</v>
      </c>
      <c r="L6693" s="28" t="s">
        <v>51</v>
      </c>
      <c r="M6693" s="28" t="s">
        <v>51</v>
      </c>
      <c r="N6693" s="28" t="s">
        <v>51</v>
      </c>
    </row>
    <row r="6694" spans="1:14" x14ac:dyDescent="0.15">
      <c r="A6694" s="23" t="str">
        <f>HYPERLINK("https://www.spark-marketing.ru/Card/Person/1004343", "МОУ СОШ №4")</f>
        <v>МОУ СОШ №4</v>
      </c>
      <c r="B6694" s="24" t="s">
        <v>10159</v>
      </c>
      <c r="C6694" s="25">
        <v>2499000</v>
      </c>
      <c r="D6694" s="22" t="s">
        <v>10160</v>
      </c>
      <c r="E6694" s="22" t="s">
        <v>48</v>
      </c>
      <c r="F6694" s="23" t="str">
        <f>HYPERLINK("https://www.spark-marketing.ru/Card/Lot/72890887", "Оказание услуг по организации питания для категорий обучающихся из многодетных, малообеспеченных, опекаемых семей, детей-инвалидов, обучающихся начальных классов МОУ СОШ №4")</f>
        <v>Оказание услуг по организации питания для категорий обучающихся из многодетных, малообеспеченных, опекаемых семей, детей-инвалидов, обучающихся начальных классов МОУ СОШ №4</v>
      </c>
      <c r="G6694" s="22" t="s">
        <v>185</v>
      </c>
      <c r="H6694" s="22" t="s">
        <v>2121</v>
      </c>
      <c r="I6694" s="26">
        <v>43696.384837963</v>
      </c>
      <c r="J6694" s="23" t="str">
        <f>HYPERLINK("https://www.spark-marketing.ru/Card/Person/1514444", "Рукавишникова Галина Александровна")</f>
        <v>Рукавишникова Галина Александровна</v>
      </c>
      <c r="K6694" s="24" t="s">
        <v>10161</v>
      </c>
      <c r="L6694" s="22" t="s">
        <v>10</v>
      </c>
      <c r="M6694" s="28" t="s">
        <v>51</v>
      </c>
      <c r="N6694" s="28" t="s">
        <v>51</v>
      </c>
    </row>
    <row r="6695" spans="1:14" x14ac:dyDescent="0.15">
      <c r="A6695" s="23" t="str">
        <f>HYPERLINK("https://www.spark-marketing.ru/Card/Person/54653", "ГБУ РС (Я) ""ОЦРБ""")</f>
        <v>ГБУ РС (Я) "ОЦРБ"</v>
      </c>
      <c r="B6695" s="24" t="s">
        <v>5242</v>
      </c>
      <c r="C6695" s="25">
        <v>2199843.1800000002</v>
      </c>
      <c r="D6695" s="22" t="s">
        <v>10162</v>
      </c>
      <c r="E6695" s="22" t="s">
        <v>51</v>
      </c>
      <c r="F6695" s="23" t="str">
        <f>HYPERLINK("https://www.spark-marketing.ru/Card/Lot/72874098", "Оказание услуги по организации, обслуживанию и обеспечению питанием пациентов, находящихся на стационарном лечении")</f>
        <v>Оказание услуги по организации, обслуживанию и обеспечению питанием пациентов, находящихся на стационарном лечении</v>
      </c>
      <c r="G6695" s="22" t="s">
        <v>241</v>
      </c>
      <c r="H6695" s="22" t="s">
        <v>5244</v>
      </c>
      <c r="I6695" s="26">
        <v>43696.626747685201</v>
      </c>
      <c r="J6695" s="28" t="s">
        <v>51</v>
      </c>
      <c r="K6695" s="28" t="s">
        <v>51</v>
      </c>
      <c r="L6695" s="28" t="s">
        <v>51</v>
      </c>
      <c r="M6695" s="28" t="s">
        <v>51</v>
      </c>
      <c r="N6695" s="28" t="s">
        <v>51</v>
      </c>
    </row>
    <row r="6696" spans="1:14" x14ac:dyDescent="0.15">
      <c r="A6696" s="23" t="str">
        <f>HYPERLINK("https://www.spark-marketing.ru/Card/Person/1011822", "УСЗН МО ""ЦИМЛЯНСКИЙ РАЙОН"" РОСТОВСКОЙ ОБЛАСТИ")</f>
        <v>УСЗН МО "ЦИМЛЯНСКИЙ РАЙОН" РОСТОВСКОЙ ОБЛАСТИ</v>
      </c>
      <c r="B6696" s="24" t="s">
        <v>10163</v>
      </c>
      <c r="C6696" s="25">
        <v>22870</v>
      </c>
      <c r="D6696" s="22" t="s">
        <v>10164</v>
      </c>
      <c r="E6696" s="22" t="s">
        <v>91</v>
      </c>
      <c r="F6696" s="23" t="str">
        <f>HYPERLINK("https://www.spark-marketing.ru/Card/Lot/72883531", "Оказание услуг по техническому обслуживанию и ремонту оргтехники, включая восстановление и заправку картриджей")</f>
        <v>Оказание услуг по техническому обслуживанию и ремонту оргтехники, включая восстановление и заправку картриджей</v>
      </c>
      <c r="G6696" s="22" t="s">
        <v>267</v>
      </c>
      <c r="H6696" s="22" t="s">
        <v>10165</v>
      </c>
      <c r="I6696" s="26">
        <v>43696.689583333296</v>
      </c>
      <c r="J6696" s="28" t="s">
        <v>51</v>
      </c>
      <c r="K6696" s="28" t="s">
        <v>51</v>
      </c>
      <c r="L6696" s="28" t="s">
        <v>51</v>
      </c>
      <c r="M6696" s="28" t="s">
        <v>51</v>
      </c>
      <c r="N6696" s="28" t="s">
        <v>51</v>
      </c>
    </row>
    <row r="6697" spans="1:14" x14ac:dyDescent="0.15">
      <c r="A6697" s="23" t="str">
        <f>HYPERLINK("https://www.spark-marketing.ru/Card/Person/33012", "ОМВД РОССИИ ПО Г. ПЕРВОУРАЛЬСКУ")</f>
        <v>ОМВД РОССИИ ПО Г. ПЕРВОУРАЛЬСКУ</v>
      </c>
      <c r="B6697" s="24" t="s">
        <v>8627</v>
      </c>
      <c r="C6697" s="25">
        <v>1600000</v>
      </c>
      <c r="D6697" s="22" t="s">
        <v>10166</v>
      </c>
      <c r="E6697" s="22" t="s">
        <v>48</v>
      </c>
      <c r="F6697" s="23" t="str">
        <f>HYPERLINK("https://www.spark-marketing.ru/Card/Lot/72890277", "Услуги по организации питания ИВС")</f>
        <v>Услуги по организации питания ИВС</v>
      </c>
      <c r="G6697" s="22" t="s">
        <v>174</v>
      </c>
      <c r="H6697" s="22" t="s">
        <v>3406</v>
      </c>
      <c r="I6697" s="26">
        <v>43696.667569444398</v>
      </c>
      <c r="J6697" s="23" t="str">
        <f>HYPERLINK("https://www.spark-marketing.ru/Card/Person/6462162", "ООО ""РАНДЕВУ""")</f>
        <v>ООО "РАНДЕВУ"</v>
      </c>
      <c r="K6697" s="24" t="s">
        <v>8629</v>
      </c>
      <c r="L6697" s="22" t="s">
        <v>10</v>
      </c>
      <c r="M6697" s="28" t="s">
        <v>51</v>
      </c>
      <c r="N6697" s="28" t="s">
        <v>51</v>
      </c>
    </row>
    <row r="6698" spans="1:14" x14ac:dyDescent="0.15">
      <c r="A6698" s="23" t="str">
        <f>HYPERLINK("https://www.spark-marketing.ru/Card/Person/144565", "МОБУ ЛИЦЕЙ")</f>
        <v>МОБУ ЛИЦЕЙ</v>
      </c>
      <c r="B6698" s="24" t="s">
        <v>9393</v>
      </c>
      <c r="C6698" s="25">
        <v>370356</v>
      </c>
      <c r="D6698" s="22" t="s">
        <v>10167</v>
      </c>
      <c r="E6698" s="22" t="s">
        <v>48</v>
      </c>
      <c r="F6698" s="23" t="str">
        <f>HYPERLINK("https://www.spark-marketing.ru/Card/Lot/72882167", "Оказание услуг по организации горячих завтраков и обедов для обучающихся на ступени основного общего и среднего (полного) общего образования МОБУ Лицея на сентябрь 2019 года")</f>
        <v>Оказание услуг по организации горячих завтраков и обедов для обучающихся на ступени основного общего и среднего (полного) общего образования МОБУ Лицея на сентябрь 2019 года</v>
      </c>
      <c r="G6698" s="22" t="s">
        <v>49</v>
      </c>
      <c r="H6698" s="22" t="s">
        <v>9391</v>
      </c>
      <c r="I6698" s="26">
        <v>43696.670763888898</v>
      </c>
      <c r="J6698" s="28" t="s">
        <v>51</v>
      </c>
      <c r="K6698" s="28" t="s">
        <v>51</v>
      </c>
      <c r="L6698" s="28" t="s">
        <v>51</v>
      </c>
      <c r="M6698" s="28" t="s">
        <v>51</v>
      </c>
      <c r="N6698" s="28" t="s">
        <v>51</v>
      </c>
    </row>
    <row r="6699" spans="1:14" x14ac:dyDescent="0.15">
      <c r="A6699" s="23" t="str">
        <f>HYPERLINK("https://www.spark-marketing.ru/Card/Person/54653", "ГБУ РС (Я) ""ОЦРБ""")</f>
        <v>ГБУ РС (Я) "ОЦРБ"</v>
      </c>
      <c r="B6699" s="24" t="s">
        <v>5242</v>
      </c>
      <c r="C6699" s="25">
        <v>1999969.83</v>
      </c>
      <c r="D6699" s="22" t="s">
        <v>10168</v>
      </c>
      <c r="E6699" s="22" t="s">
        <v>51</v>
      </c>
      <c r="F6699" s="23" t="str">
        <f>HYPERLINK("https://www.spark-marketing.ru/Card/Lot/72874097", "Оказание услуги по организации, обслуживанию и обеспечению питанием пациентов, находящихся на стационарном лечении")</f>
        <v>Оказание услуги по организации, обслуживанию и обеспечению питанием пациентов, находящихся на стационарном лечении</v>
      </c>
      <c r="G6699" s="22" t="s">
        <v>241</v>
      </c>
      <c r="H6699" s="22" t="s">
        <v>5244</v>
      </c>
      <c r="I6699" s="26">
        <v>43696.625601851898</v>
      </c>
      <c r="J6699" s="28" t="s">
        <v>51</v>
      </c>
      <c r="K6699" s="28" t="s">
        <v>51</v>
      </c>
      <c r="L6699" s="28" t="s">
        <v>51</v>
      </c>
      <c r="M6699" s="28" t="s">
        <v>51</v>
      </c>
      <c r="N6699" s="28" t="s">
        <v>51</v>
      </c>
    </row>
    <row r="6700" spans="1:14" x14ac:dyDescent="0.15">
      <c r="A6700" s="23" t="str">
        <f>HYPERLINK("https://www.spark-marketing.ru/Card/Person/1035010", "МДОУ ДЕТСКИЙ САД КОМБИНИРОВАННОГО ВИДА № 25 ""УЛЫБКА""")</f>
        <v>МДОУ ДЕТСКИЙ САД КОМБИНИРОВАННОГО ВИДА № 25 "УЛЫБКА"</v>
      </c>
      <c r="B6700" s="24" t="s">
        <v>10169</v>
      </c>
      <c r="C6700" s="25">
        <v>365187</v>
      </c>
      <c r="D6700" s="22" t="s">
        <v>10170</v>
      </c>
      <c r="E6700" s="22" t="s">
        <v>48</v>
      </c>
      <c r="F6700" s="23" t="str">
        <f>HYPERLINK("https://www.spark-marketing.ru/Card/Lot/72882165",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6700" s="22" t="s">
        <v>49</v>
      </c>
      <c r="H6700" s="22" t="s">
        <v>50</v>
      </c>
      <c r="I6700" s="26">
        <v>43696.6707060185</v>
      </c>
      <c r="J6700" s="28" t="s">
        <v>51</v>
      </c>
      <c r="K6700" s="28" t="s">
        <v>51</v>
      </c>
      <c r="L6700" s="28" t="s">
        <v>51</v>
      </c>
      <c r="M6700" s="28" t="s">
        <v>51</v>
      </c>
      <c r="N6700" s="28" t="s">
        <v>51</v>
      </c>
    </row>
    <row r="6701" spans="1:14" x14ac:dyDescent="0.15">
      <c r="A6701" s="23" t="str">
        <f>HYPERLINK("https://www.spark-marketing.ru/Card/Person/25674", "ММО МВД РОССИИ ""ТОРБЕЕВСКИЙ""")</f>
        <v>ММО МВД РОССИИ "ТОРБЕЕВСКИЙ"</v>
      </c>
      <c r="B6701" s="24" t="s">
        <v>10121</v>
      </c>
      <c r="C6701" s="25">
        <v>153250</v>
      </c>
      <c r="D6701" s="22" t="s">
        <v>10171</v>
      </c>
      <c r="E6701" s="22" t="s">
        <v>48</v>
      </c>
      <c r="F6701" s="23" t="str">
        <f>HYPERLINK("https://www.spark-marketing.ru/Card/Lot/72883421", "Услуги по обеспечению питанием, осуществляемые по договору, 1226 усл. ед")</f>
        <v>Услуги по обеспечению питанием, осуществляемые по договору, 1226 усл. ед</v>
      </c>
      <c r="G6701" s="22" t="s">
        <v>277</v>
      </c>
      <c r="H6701" s="22" t="s">
        <v>10123</v>
      </c>
      <c r="I6701" s="26">
        <v>43696.705925925897</v>
      </c>
      <c r="J6701" s="28" t="s">
        <v>51</v>
      </c>
      <c r="K6701" s="28" t="s">
        <v>51</v>
      </c>
      <c r="L6701" s="28" t="s">
        <v>51</v>
      </c>
      <c r="M6701" s="28" t="s">
        <v>51</v>
      </c>
      <c r="N6701" s="28" t="s">
        <v>51</v>
      </c>
    </row>
    <row r="6702" spans="1:14" x14ac:dyDescent="0.15">
      <c r="A6702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6702" s="24" t="s">
        <v>7829</v>
      </c>
      <c r="C6702" s="25">
        <v>1024587.3</v>
      </c>
      <c r="D6702" s="22" t="s">
        <v>10172</v>
      </c>
      <c r="E6702" s="22" t="s">
        <v>62</v>
      </c>
      <c r="F6702" s="23" t="str">
        <f>HYPERLINK("https://www.spark-marketing.ru/Card/Lot/72880451", "Поставка бланочной продукции для нужд УМВД России по Омской области")</f>
        <v>Поставка бланочной продукции для нужд УМВД России по Омской области</v>
      </c>
      <c r="G6702" s="22" t="s">
        <v>487</v>
      </c>
      <c r="H6702" s="22" t="s">
        <v>487</v>
      </c>
      <c r="I6702" s="26">
        <v>43696.384965277801</v>
      </c>
      <c r="J6702" s="28" t="s">
        <v>51</v>
      </c>
      <c r="K6702" s="28" t="s">
        <v>51</v>
      </c>
      <c r="L6702" s="28" t="s">
        <v>51</v>
      </c>
      <c r="M6702" s="28" t="s">
        <v>51</v>
      </c>
      <c r="N6702" s="28" t="s">
        <v>51</v>
      </c>
    </row>
    <row r="6703" spans="1:14" hidden="1" outlineLevel="1" x14ac:dyDescent="0.2">
      <c r="A6703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6703" s="24" t="s">
        <v>7829</v>
      </c>
      <c r="C6703" s="25">
        <v>1024587.3</v>
      </c>
      <c r="D6703" s="22" t="s">
        <v>10172</v>
      </c>
      <c r="E6703" s="22" t="s">
        <v>62</v>
      </c>
      <c r="F6703" s="23" t="str">
        <f>HYPERLINK("https://www.spark-marketing.ru/Card/Lot/72880451", "Поставка бланочной продукции для нужд УМВД России по Омской области")</f>
        <v>Поставка бланочной продукции для нужд УМВД России по Омской области</v>
      </c>
      <c r="G6703" s="22" t="s">
        <v>487</v>
      </c>
      <c r="H6703" s="22" t="s">
        <v>487</v>
      </c>
      <c r="I6703" s="26">
        <v>43696.384965277801</v>
      </c>
      <c r="J6703" s="23" t="str">
        <f>HYPERLINK("https://www.spark-marketing.ru/Card/Person/70363", "ООО ""ВИННЕР - ПРИНТ""")</f>
        <v>ООО "ВИННЕР - ПРИНТ"</v>
      </c>
      <c r="K6703" s="24" t="s">
        <v>3048</v>
      </c>
      <c r="L6703" s="28" t="s">
        <v>51</v>
      </c>
      <c r="M6703" s="25">
        <v>495000</v>
      </c>
      <c r="N6703" s="27">
        <v>0.51687864957920127</v>
      </c>
    </row>
    <row r="6704" spans="1:14" hidden="1" outlineLevel="1" x14ac:dyDescent="0.2">
      <c r="A6704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6704" s="24" t="s">
        <v>7829</v>
      </c>
      <c r="C6704" s="25">
        <v>1024587.3</v>
      </c>
      <c r="D6704" s="22" t="s">
        <v>10172</v>
      </c>
      <c r="E6704" s="22" t="s">
        <v>62</v>
      </c>
      <c r="F6704" s="23" t="str">
        <f>HYPERLINK("https://www.spark-marketing.ru/Card/Lot/72880451", "Поставка бланочной продукции для нужд УМВД России по Омской области")</f>
        <v>Поставка бланочной продукции для нужд УМВД России по Омской области</v>
      </c>
      <c r="G6704" s="22" t="s">
        <v>487</v>
      </c>
      <c r="H6704" s="22" t="s">
        <v>487</v>
      </c>
      <c r="I6704" s="26">
        <v>43696.384965277801</v>
      </c>
      <c r="J6704" s="23" t="str">
        <f>HYPERLINK("https://www.spark-marketing.ru/Card/Person/148599", "ООО ""БАРАБИНСКАЯ ТИПОГРАФИЯ""")</f>
        <v>ООО "БАРАБИНСКАЯ ТИПОГРАФИЯ"</v>
      </c>
      <c r="K6704" s="24" t="s">
        <v>4915</v>
      </c>
      <c r="L6704" s="28" t="s">
        <v>51</v>
      </c>
      <c r="M6704" s="25">
        <v>353954.12</v>
      </c>
      <c r="N6704" s="27">
        <v>0.65453981324968602</v>
      </c>
    </row>
    <row r="6705" spans="1:14" ht="12.75" hidden="1" outlineLevel="1" x14ac:dyDescent="0.2">
      <c r="A6705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6705" s="24" t="s">
        <v>7829</v>
      </c>
      <c r="C6705" s="25">
        <v>1024587.3</v>
      </c>
      <c r="D6705" s="22" t="s">
        <v>10172</v>
      </c>
      <c r="E6705" s="22" t="s">
        <v>62</v>
      </c>
      <c r="F6705" s="23" t="str">
        <f>HYPERLINK("https://www.spark-marketing.ru/Card/Lot/72880451", "Поставка бланочной продукции для нужд УМВД России по Омской области")</f>
        <v>Поставка бланочной продукции для нужд УМВД России по Омской области</v>
      </c>
      <c r="G6705" s="22" t="s">
        <v>487</v>
      </c>
      <c r="H6705" s="22" t="s">
        <v>487</v>
      </c>
      <c r="I6705" s="26">
        <v>43696.384965277801</v>
      </c>
      <c r="J6705" s="23" t="str">
        <f>HYPERLINK("https://www.spark-marketing.ru/Card/Person/50940", "Зимина Светлана Владимировна")</f>
        <v>Зимина Светлана Владимировна</v>
      </c>
      <c r="K6705" s="24" t="s">
        <v>6891</v>
      </c>
      <c r="L6705" s="22" t="s">
        <v>10</v>
      </c>
      <c r="M6705" s="25">
        <v>348831.18</v>
      </c>
      <c r="N6705" s="27">
        <v>0.6595398166656955</v>
      </c>
    </row>
    <row r="6706" spans="1:14" x14ac:dyDescent="0.15">
      <c r="A6706" s="23" t="str">
        <f>HYPERLINK("https://www.spark-marketing.ru/Card/Person/100525", "МБОУ СОШ № 32")</f>
        <v>МБОУ СОШ № 32</v>
      </c>
      <c r="B6706" s="24" t="s">
        <v>10173</v>
      </c>
      <c r="C6706" s="25">
        <v>388500</v>
      </c>
      <c r="D6706" s="22" t="s">
        <v>10174</v>
      </c>
      <c r="E6706" s="22" t="s">
        <v>48</v>
      </c>
      <c r="F6706" s="23" t="str">
        <f>HYPERLINK("https://www.spark-marketing.ru/Card/Lot/72879964", "Услуги по предоставлению питания учащимся, в том числе бесплатного питания, согласно Постановлению Администрации города Новочеркасска от 15.02.2017 № 197 «Об утверждении Порядка предоставления бесплатного питания учащимся муниципальных бюджетных обще...")</f>
        <v>Услуги по предоставлению питания учащимся, в том числе бесплатного питания, согласно Постановлению Администрации города Новочеркасска от 15.02.2017 № 197 «Об утверждении Порядка предоставления бесплатного питания учащимся муниципальных бюджетных обще...</v>
      </c>
      <c r="G6706" s="22" t="s">
        <v>267</v>
      </c>
      <c r="H6706" s="22" t="s">
        <v>6353</v>
      </c>
      <c r="I6706" s="26">
        <v>43696.644444444399</v>
      </c>
      <c r="J6706" s="28" t="s">
        <v>51</v>
      </c>
      <c r="K6706" s="28" t="s">
        <v>51</v>
      </c>
      <c r="L6706" s="28" t="s">
        <v>51</v>
      </c>
      <c r="M6706" s="28" t="s">
        <v>51</v>
      </c>
      <c r="N6706" s="28" t="s">
        <v>51</v>
      </c>
    </row>
    <row r="6707" spans="1:14" x14ac:dyDescent="0.15">
      <c r="A6707" s="23" t="str">
        <f>HYPERLINK("https://www.spark-marketing.ru/Card/Person/1004675", "МОУ ""СОШ № 47""")</f>
        <v>МОУ "СОШ № 47"</v>
      </c>
      <c r="B6707" s="24" t="s">
        <v>10175</v>
      </c>
      <c r="C6707" s="25">
        <v>171632</v>
      </c>
      <c r="D6707" s="22" t="s">
        <v>10176</v>
      </c>
      <c r="E6707" s="22" t="s">
        <v>48</v>
      </c>
      <c r="F6707" s="23" t="str">
        <f>HYPERLINK("https://www.spark-marketing.ru/Card/Lot/72879949", "оказание услуг по организации питания детей из малообеспеченных семей и детей с нарушениями здоровья")</f>
        <v>оказание услуг по организации питания детей из малообеспеченных семей и детей с нарушениями здоровья</v>
      </c>
      <c r="G6707" s="22" t="s">
        <v>469</v>
      </c>
      <c r="H6707" s="22" t="s">
        <v>5961</v>
      </c>
      <c r="I6707" s="26">
        <v>43696.640277777798</v>
      </c>
      <c r="J6707" s="28" t="s">
        <v>51</v>
      </c>
      <c r="K6707" s="28" t="s">
        <v>51</v>
      </c>
      <c r="L6707" s="28" t="s">
        <v>51</v>
      </c>
      <c r="M6707" s="28" t="s">
        <v>51</v>
      </c>
      <c r="N6707" s="28" t="s">
        <v>51</v>
      </c>
    </row>
    <row r="6708" spans="1:14" x14ac:dyDescent="0.15">
      <c r="A6708" s="23" t="str">
        <f>HYPERLINK("https://www.spark-marketing.ru/Card/Person/144565", "МОБУ ЛИЦЕЙ")</f>
        <v>МОБУ ЛИЦЕЙ</v>
      </c>
      <c r="B6708" s="24" t="s">
        <v>9393</v>
      </c>
      <c r="C6708" s="25">
        <v>289422</v>
      </c>
      <c r="D6708" s="22" t="s">
        <v>10177</v>
      </c>
      <c r="E6708" s="22" t="s">
        <v>48</v>
      </c>
      <c r="F6708" s="23" t="str">
        <f>HYPERLINK("https://www.spark-marketing.ru/Card/Lot/72882213", "Оказание услуг по организации горячих завтраков и обедов для обучающихся в начальной школе МОБУ Лицея на сентябрь 2019 года.")</f>
        <v>Оказание услуг по организации горячих завтраков и обедов для обучающихся в начальной школе МОБУ Лицея на сентябрь 2019 года.</v>
      </c>
      <c r="G6708" s="22" t="s">
        <v>49</v>
      </c>
      <c r="H6708" s="22" t="s">
        <v>9391</v>
      </c>
      <c r="I6708" s="26">
        <v>43696.639039351903</v>
      </c>
      <c r="J6708" s="28" t="s">
        <v>51</v>
      </c>
      <c r="K6708" s="28" t="s">
        <v>51</v>
      </c>
      <c r="L6708" s="28" t="s">
        <v>51</v>
      </c>
      <c r="M6708" s="28" t="s">
        <v>51</v>
      </c>
      <c r="N6708" s="28" t="s">
        <v>51</v>
      </c>
    </row>
    <row r="6709" spans="1:14" x14ac:dyDescent="0.15">
      <c r="A6709" s="23" t="str">
        <f>HYPERLINK("https://www.spark-marketing.ru/Card/Person/4365627", "ООО ""РН-БУРЕНИЕ""")</f>
        <v>ООО "РН-БУРЕНИЕ"</v>
      </c>
      <c r="B6709" s="24" t="s">
        <v>7087</v>
      </c>
      <c r="C6709" s="28" t="s">
        <v>51</v>
      </c>
      <c r="D6709" s="22" t="s">
        <v>10178</v>
      </c>
      <c r="E6709" s="22" t="s">
        <v>362</v>
      </c>
      <c r="F6709" s="23" t="str">
        <f>HYPERLINK("https://www.spark-marketing.ru/Card/Lot/73997119", "Организация питания на скв. №1 ""Северо-Октябрьская""")</f>
        <v>Организация питания на скв. №1 "Северо-Октябрьская"</v>
      </c>
      <c r="G6709" s="22" t="s">
        <v>56</v>
      </c>
      <c r="H6709" s="22" t="s">
        <v>56</v>
      </c>
      <c r="I6709" s="26">
        <v>43696.65</v>
      </c>
      <c r="J6709" s="28" t="s">
        <v>51</v>
      </c>
      <c r="K6709" s="28" t="s">
        <v>51</v>
      </c>
      <c r="L6709" s="28" t="s">
        <v>51</v>
      </c>
      <c r="M6709" s="28" t="s">
        <v>51</v>
      </c>
      <c r="N6709" s="28" t="s">
        <v>51</v>
      </c>
    </row>
    <row r="6710" spans="1:14" x14ac:dyDescent="0.15">
      <c r="A6710" s="23" t="str">
        <f>HYPERLINK("https://www.spark-marketing.ru/Card/Person/144152", "ОМВД РОССИИ ПО ГОРОДУ СЕВЕРОДВИНСКУ")</f>
        <v>ОМВД РОССИИ ПО ГОРОДУ СЕВЕРОДВИНСКУ</v>
      </c>
      <c r="B6710" s="24" t="s">
        <v>10179</v>
      </c>
      <c r="C6710" s="25">
        <v>5196000</v>
      </c>
      <c r="D6710" s="22" t="s">
        <v>10180</v>
      </c>
      <c r="E6710" s="22" t="s">
        <v>48</v>
      </c>
      <c r="F6710" s="23" t="str">
        <f>HYPERLINK("https://www.spark-marketing.ru/Card/Lot/72890493", "Услуги по обеспечению питанием")</f>
        <v>Услуги по обеспечению питанием</v>
      </c>
      <c r="G6710" s="22" t="s">
        <v>214</v>
      </c>
      <c r="H6710" s="22" t="s">
        <v>1178</v>
      </c>
      <c r="I6710" s="26">
        <v>43696.437256944402</v>
      </c>
      <c r="J6710" s="23" t="str">
        <f>HYPERLINK("https://www.spark-marketing.ru/Card/Person/339668", "ООО ""ДИЕТА""")</f>
        <v>ООО "ДИЕТА"</v>
      </c>
      <c r="K6710" s="24" t="s">
        <v>10181</v>
      </c>
      <c r="L6710" s="22" t="s">
        <v>10</v>
      </c>
      <c r="M6710" s="28" t="s">
        <v>51</v>
      </c>
      <c r="N6710" s="28" t="s">
        <v>51</v>
      </c>
    </row>
    <row r="6711" spans="1:14" x14ac:dyDescent="0.2">
      <c r="A6711" s="23" t="str">
        <f>HYPERLINK("https://www.spark-marketing.ru/Card/Person/4373885", "МБОУ ""ЯСШК № 1""")</f>
        <v>МБОУ "ЯСШК № 1"</v>
      </c>
      <c r="B6711" s="24" t="s">
        <v>10182</v>
      </c>
      <c r="C6711" s="25">
        <v>4993716</v>
      </c>
      <c r="D6711" s="22" t="s">
        <v>10183</v>
      </c>
      <c r="E6711" s="22" t="s">
        <v>48</v>
      </c>
      <c r="F6711" s="23" t="str">
        <f>HYPERLINK("https://www.spark-marketing.ru/Card/Lot/72892215", "Услуги  по организации горячего питания (завтраки) обучающихся")</f>
        <v>Услуги  по организации горячего питания (завтраки) обучающихся</v>
      </c>
      <c r="G6711" s="22" t="s">
        <v>108</v>
      </c>
      <c r="H6711" s="22" t="s">
        <v>1321</v>
      </c>
      <c r="I6711" s="26">
        <v>43696.651307870401</v>
      </c>
      <c r="J6711" s="23" t="str">
        <f>HYPERLINK("https://www.spark-marketing.ru/Card/Person/6171161", "Фартушная-Близнюк Галина Николаевна")</f>
        <v>Фартушная-Близнюк Галина Николаевна</v>
      </c>
      <c r="K6711" s="24" t="s">
        <v>6780</v>
      </c>
      <c r="L6711" s="28" t="s">
        <v>51</v>
      </c>
      <c r="M6711" s="25">
        <v>4993716</v>
      </c>
      <c r="N6711" s="27">
        <v>0</v>
      </c>
    </row>
    <row r="6712" spans="1:14" x14ac:dyDescent="0.15">
      <c r="A6712" s="23" t="str">
        <f>HYPERLINK("https://www.spark-marketing.ru/Card/Person/745478", "МО МВД РОССИИ ""СОВЕТСКИЙ""")</f>
        <v>МО МВД РОССИИ "СОВЕТСКИЙ"</v>
      </c>
      <c r="B6712" s="24" t="s">
        <v>10184</v>
      </c>
      <c r="C6712" s="25">
        <v>90000</v>
      </c>
      <c r="D6712" s="22" t="s">
        <v>10185</v>
      </c>
      <c r="E6712" s="22" t="s">
        <v>48</v>
      </c>
      <c r="F6712" s="23" t="str">
        <f>HYPERLINK("https://www.spark-marketing.ru/Card/Lot/72879826", "Услуги по обеспечению питания лиц содержащихся в спец. помещениях задержанных лиц, 6 усл. ед")</f>
        <v>Услуги по обеспечению питания лиц содержащихся в спец. помещениях задержанных лиц, 6 усл. ед</v>
      </c>
      <c r="G6712" s="22" t="s">
        <v>3249</v>
      </c>
      <c r="H6712" s="22" t="s">
        <v>869</v>
      </c>
      <c r="I6712" s="26">
        <v>43696.635763888902</v>
      </c>
      <c r="J6712" s="28" t="s">
        <v>51</v>
      </c>
      <c r="K6712" s="28" t="s">
        <v>51</v>
      </c>
      <c r="L6712" s="28" t="s">
        <v>51</v>
      </c>
      <c r="M6712" s="28" t="s">
        <v>51</v>
      </c>
      <c r="N6712" s="28" t="s">
        <v>51</v>
      </c>
    </row>
    <row r="6713" spans="1:14" x14ac:dyDescent="0.15">
      <c r="A6713" s="23" t="str">
        <f>HYPERLINK("https://www.spark-marketing.ru/Card/Person/241842", "ОГКУ ЦЗН ГОРОДА ТОМСКА И ТОМСКОГО РАЙОНА")</f>
        <v>ОГКУ ЦЗН ГОРОДА ТОМСКА И ТОМСКОГО РАЙОНА</v>
      </c>
      <c r="B6713" s="24" t="s">
        <v>4862</v>
      </c>
      <c r="C6713" s="25">
        <v>44382.57</v>
      </c>
      <c r="D6713" s="22" t="s">
        <v>10186</v>
      </c>
      <c r="E6713" s="22" t="s">
        <v>2599</v>
      </c>
      <c r="F6713" s="23" t="str">
        <f>HYPERLINK("https://www.spark-marketing.ru/Card/Lot/72874603", "Оказание услуг по дополнительному профессиональному образованию (повышение квалификации) граждан предпенсионного возраста, состоящих в трудовых отношениях, по программе «Современные технологии в общественном питании»")</f>
        <v>Оказание услуг по дополнительному профессиональному образованию (повышение квалификации) граждан предпенсионного возраста, состоящих в трудовых отношениях, по программе «Современные технологии в общественном питании»</v>
      </c>
      <c r="G6713" s="22" t="s">
        <v>149</v>
      </c>
      <c r="H6713" s="22" t="s">
        <v>496</v>
      </c>
      <c r="I6713" s="26">
        <v>43696.635277777801</v>
      </c>
      <c r="J6713" s="23" t="str">
        <f>HYPERLINK("https://www.spark-marketing.ru/Card/Person/440863", "ООО УКЦ "" АЛГОРИТМ-С""")</f>
        <v>ООО УКЦ " АЛГОРИТМ-С"</v>
      </c>
      <c r="K6713" s="24" t="s">
        <v>10187</v>
      </c>
      <c r="L6713" s="28" t="s">
        <v>51</v>
      </c>
      <c r="M6713" s="28" t="s">
        <v>51</v>
      </c>
      <c r="N6713" s="28" t="s">
        <v>51</v>
      </c>
    </row>
    <row r="6714" spans="1:14" x14ac:dyDescent="0.15">
      <c r="A6714" s="23" t="str">
        <f>HYPERLINK("https://www.spark-marketing.ru/Card/Person/241125", "ГКУ СО ""ЦХОО""")</f>
        <v>ГКУ СО "ЦХОО"</v>
      </c>
      <c r="B6714" s="24" t="s">
        <v>9152</v>
      </c>
      <c r="C6714" s="25">
        <v>42528.13</v>
      </c>
      <c r="D6714" s="22" t="s">
        <v>10188</v>
      </c>
      <c r="E6714" s="22" t="s">
        <v>96</v>
      </c>
      <c r="F6714" s="23" t="str">
        <f>HYPERLINK("https://www.spark-marketing.ru/Card/Lot/72881990", "Оказание услуг по организации горячего питания детей и лиц их сопровождающих в пути следования в пассажирских поездах для участия во Всероссийских спортивных играх школьников «Президентские спортивные игры»")</f>
        <v>Оказание услуг по организации горячего питания детей и лиц их сопровождающих в пути следования в пассажирских поездах для участия во Всероссийских спортивных играх школьников «Президентские спортивные игры»</v>
      </c>
      <c r="G6714" s="22" t="s">
        <v>351</v>
      </c>
      <c r="H6714" s="22" t="s">
        <v>2983</v>
      </c>
      <c r="I6714" s="26">
        <v>43696.678298611099</v>
      </c>
      <c r="J6714" s="28" t="s">
        <v>51</v>
      </c>
      <c r="K6714" s="28" t="s">
        <v>51</v>
      </c>
      <c r="L6714" s="28" t="s">
        <v>51</v>
      </c>
      <c r="M6714" s="28" t="s">
        <v>51</v>
      </c>
      <c r="N6714" s="28" t="s">
        <v>51</v>
      </c>
    </row>
    <row r="6715" spans="1:14" hidden="1" outlineLevel="1" x14ac:dyDescent="0.2">
      <c r="A6715" s="23" t="str">
        <f>HYPERLINK("https://www.spark-marketing.ru/Card/Person/241125", "ГКУ СО ""ЦХОО""")</f>
        <v>ГКУ СО "ЦХОО"</v>
      </c>
      <c r="B6715" s="24" t="s">
        <v>9152</v>
      </c>
      <c r="C6715" s="25">
        <v>42528.13</v>
      </c>
      <c r="D6715" s="22" t="s">
        <v>10188</v>
      </c>
      <c r="E6715" s="22" t="s">
        <v>96</v>
      </c>
      <c r="F6715" s="23" t="str">
        <f>HYPERLINK("https://www.spark-marketing.ru/Card/Lot/72881990", "Оказание услуг по организации горячего питания детей и лиц их сопровождающих в пути следования в пассажирских поездах для участия во Всероссийских спортивных играх школьников «Президентские спортивные игры»")</f>
        <v>Оказание услуг по организации горячего питания детей и лиц их сопровождающих в пути следования в пассажирских поездах для участия во Всероссийских спортивных играх школьников «Президентские спортивные игры»</v>
      </c>
      <c r="G6715" s="22" t="s">
        <v>351</v>
      </c>
      <c r="H6715" s="22" t="s">
        <v>2983</v>
      </c>
      <c r="I6715" s="26">
        <v>43696.678298611099</v>
      </c>
      <c r="J6715" s="23" t="str">
        <f>HYPERLINK("https://www.spark-marketing.ru/Card/Person/6681302", "Бусель Сергей Викторович")</f>
        <v>Бусель Сергей Викторович</v>
      </c>
      <c r="K6715" s="24" t="s">
        <v>10189</v>
      </c>
      <c r="L6715" s="28" t="s">
        <v>51</v>
      </c>
      <c r="M6715" s="25">
        <v>42528.13</v>
      </c>
      <c r="N6715" s="27">
        <v>0</v>
      </c>
    </row>
    <row r="6716" spans="1:14" ht="12.75" hidden="1" outlineLevel="1" x14ac:dyDescent="0.2">
      <c r="A6716" s="23" t="str">
        <f>HYPERLINK("https://www.spark-marketing.ru/Card/Person/241125", "ГКУ СО ""ЦХОО""")</f>
        <v>ГКУ СО "ЦХОО"</v>
      </c>
      <c r="B6716" s="24" t="s">
        <v>9152</v>
      </c>
      <c r="C6716" s="25">
        <v>42528.13</v>
      </c>
      <c r="D6716" s="22" t="s">
        <v>10188</v>
      </c>
      <c r="E6716" s="22" t="s">
        <v>96</v>
      </c>
      <c r="F6716" s="23" t="str">
        <f>HYPERLINK("https://www.spark-marketing.ru/Card/Lot/72881990", "Оказание услуг по организации горячего питания детей и лиц их сопровождающих в пути следования в пассажирских поездах для участия во Всероссийских спортивных играх школьников «Президентские спортивные игры»")</f>
        <v>Оказание услуг по организации горячего питания детей и лиц их сопровождающих в пути следования в пассажирских поездах для участия во Всероссийских спортивных играх школьников «Президентские спортивные игры»</v>
      </c>
      <c r="G6716" s="22" t="s">
        <v>351</v>
      </c>
      <c r="H6716" s="22" t="s">
        <v>2983</v>
      </c>
      <c r="I6716" s="26">
        <v>43696.678298611099</v>
      </c>
      <c r="J6716" s="23" t="str">
        <f>HYPERLINK("https://www.spark-marketing.ru/Card/Person/536498", "ООО ""АРГО-64""")</f>
        <v>ООО "АРГО-64"</v>
      </c>
      <c r="K6716" s="24" t="s">
        <v>10190</v>
      </c>
      <c r="L6716" s="22" t="s">
        <v>10</v>
      </c>
      <c r="M6716" s="25">
        <v>42526.13</v>
      </c>
      <c r="N6716" s="27">
        <v>4.7027696726848797E-5</v>
      </c>
    </row>
    <row r="6717" spans="1:14" x14ac:dyDescent="0.15">
      <c r="A6717" s="23" t="str">
        <f>HYPERLINK("https://www.spark-marketing.ru/Card/Person/737290", "ГКУ «ЦБЗ ПРИ МИНЗДРАВЕ КАРЕЛИИ»")</f>
        <v>ГКУ «ЦБЗ ПРИ МИНЗДРАВЕ КАРЕЛИИ»</v>
      </c>
      <c r="B6717" s="24" t="s">
        <v>312</v>
      </c>
      <c r="C6717" s="25">
        <v>182462.52</v>
      </c>
      <c r="D6717" s="22" t="s">
        <v>10191</v>
      </c>
      <c r="E6717" s="22" t="s">
        <v>52</v>
      </c>
      <c r="F6717" s="23" t="str">
        <f>HYPERLINK("https://www.spark-marketing.ru/Card/Lot/72883409", "Поставка лекарственного препарата Эволокумаб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рецеп...")</f>
        <v>Поставка лекарственного препарата Эволокумаб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</v>
      </c>
      <c r="G6717" s="22" t="s">
        <v>59</v>
      </c>
      <c r="H6717" s="22" t="s">
        <v>314</v>
      </c>
      <c r="I6717" s="26">
        <v>43696.637060185203</v>
      </c>
      <c r="J6717" s="23" t="str">
        <f>HYPERLINK("https://www.spark-marketing.ru/Card/Person/6441363", "ООО ""ИРВИН""")</f>
        <v>ООО "ИРВИН"</v>
      </c>
      <c r="K6717" s="24" t="s">
        <v>4849</v>
      </c>
      <c r="L6717" s="28" t="s">
        <v>51</v>
      </c>
      <c r="M6717" s="28" t="s">
        <v>51</v>
      </c>
      <c r="N6717" s="28" t="s">
        <v>51</v>
      </c>
    </row>
    <row r="6718" spans="1:14" ht="12.75" hidden="1" outlineLevel="1" x14ac:dyDescent="0.2">
      <c r="A6718" s="23" t="str">
        <f>HYPERLINK("https://www.spark-marketing.ru/Card/Person/737290", "ГКУ «ЦБЗ ПРИ МИНЗДРАВЕ КАРЕЛИИ»")</f>
        <v>ГКУ «ЦБЗ ПРИ МИНЗДРАВЕ КАРЕЛИИ»</v>
      </c>
      <c r="B6718" s="24" t="s">
        <v>312</v>
      </c>
      <c r="C6718" s="25">
        <v>182462.52</v>
      </c>
      <c r="D6718" s="22" t="s">
        <v>10191</v>
      </c>
      <c r="E6718" s="22" t="s">
        <v>52</v>
      </c>
      <c r="F6718" s="23" t="str">
        <f>HYPERLINK("https://www.spark-marketing.ru/Card/Lot/72883409", "Поставка лекарственного препарата Эволокумаб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рецеп...")</f>
        <v>Поставка лекарственного препарата Эволокумаб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рецеп...</v>
      </c>
      <c r="G6718" s="22" t="s">
        <v>59</v>
      </c>
      <c r="H6718" s="22" t="s">
        <v>314</v>
      </c>
      <c r="I6718" s="26">
        <v>43696.637060185203</v>
      </c>
      <c r="J6718" s="23" t="str">
        <f>HYPERLINK("https://www.spark-marketing.ru/Card/Person/6441363", "ООО ""ИРВИН""")</f>
        <v>ООО "ИРВИН"</v>
      </c>
      <c r="K6718" s="24" t="s">
        <v>4849</v>
      </c>
      <c r="L6718" s="22" t="s">
        <v>10</v>
      </c>
      <c r="M6718" s="25">
        <v>181550.21</v>
      </c>
      <c r="N6718" s="27">
        <v>4.9999857504982393E-3</v>
      </c>
    </row>
    <row r="6719" spans="1:14" x14ac:dyDescent="0.15">
      <c r="A6719" s="23" t="str">
        <f>HYPERLINK("https://www.spark-marketing.ru/Card/Person/159932", "ОТДЕЛ МВД РОССИИ ПО УСТЬ-ЛАБИНСКОМУ РАЙОНУ")</f>
        <v>ОТДЕЛ МВД РОССИИ ПО УСТЬ-ЛАБИНСКОМУ РАЙОНУ</v>
      </c>
      <c r="B6719" s="24" t="s">
        <v>10192</v>
      </c>
      <c r="C6719" s="25">
        <v>1359000</v>
      </c>
      <c r="D6719" s="22" t="s">
        <v>10193</v>
      </c>
      <c r="E6719" s="22" t="s">
        <v>48</v>
      </c>
      <c r="F6719" s="23" t="str">
        <f>HYPERLINK("https://www.spark-marketing.ru/Card/Lot/72889799", "Организация горячим трехразовым питанием граждан содержащихся в спец.учреждениях")</f>
        <v>Организация горячим трехразовым питанием граждан содержащихся в спец.учреждениях</v>
      </c>
      <c r="G6719" s="22" t="s">
        <v>104</v>
      </c>
      <c r="H6719" s="22" t="s">
        <v>104</v>
      </c>
      <c r="I6719" s="26">
        <v>43694.526122685202</v>
      </c>
      <c r="J6719" s="23" t="str">
        <f>HYPERLINK("https://www.spark-marketing.ru/Card/Person/249905", "Чеботарев Сергей Михайлович")</f>
        <v>Чеботарев Сергей Михайлович</v>
      </c>
      <c r="K6719" s="24" t="s">
        <v>10194</v>
      </c>
      <c r="L6719" s="28" t="s">
        <v>51</v>
      </c>
      <c r="M6719" s="28" t="s">
        <v>51</v>
      </c>
      <c r="N6719" s="28" t="s">
        <v>51</v>
      </c>
    </row>
    <row r="6720" spans="1:14" ht="12.75" hidden="1" outlineLevel="1" x14ac:dyDescent="0.2">
      <c r="A6720" s="23" t="str">
        <f>HYPERLINK("https://www.spark-marketing.ru/Card/Person/159932", "ОТДЕЛ МВД РОССИИ ПО УСТЬ-ЛАБИНСКОМУ РАЙОНУ")</f>
        <v>ОТДЕЛ МВД РОССИИ ПО УСТЬ-ЛАБИНСКОМУ РАЙОНУ</v>
      </c>
      <c r="B6720" s="24" t="s">
        <v>10192</v>
      </c>
      <c r="C6720" s="25">
        <v>1359000</v>
      </c>
      <c r="D6720" s="22" t="s">
        <v>10193</v>
      </c>
      <c r="E6720" s="22" t="s">
        <v>48</v>
      </c>
      <c r="F6720" s="23" t="str">
        <f>HYPERLINK("https://www.spark-marketing.ru/Card/Lot/72889799", "Организация горячим трехразовым питанием граждан содержащихся в спец.учреждениях")</f>
        <v>Организация горячим трехразовым питанием граждан содержащихся в спец.учреждениях</v>
      </c>
      <c r="G6720" s="22" t="s">
        <v>104</v>
      </c>
      <c r="H6720" s="22" t="s">
        <v>104</v>
      </c>
      <c r="I6720" s="26">
        <v>43694.526122685202</v>
      </c>
      <c r="J6720" s="23" t="str">
        <f>HYPERLINK("https://www.spark-marketing.ru/Card/Person/249905", "Чеботарев Сергей Михайлович")</f>
        <v>Чеботарев Сергей Михайлович</v>
      </c>
      <c r="K6720" s="24" t="s">
        <v>10194</v>
      </c>
      <c r="L6720" s="22" t="s">
        <v>10</v>
      </c>
      <c r="M6720" s="25">
        <v>218.91</v>
      </c>
      <c r="N6720" s="27">
        <v>0.99983891832229577</v>
      </c>
    </row>
    <row r="6721" spans="1:14" x14ac:dyDescent="0.15">
      <c r="A6721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6721" s="24" t="s">
        <v>2084</v>
      </c>
      <c r="C6721" s="25">
        <v>264735.09000000003</v>
      </c>
      <c r="D6721" s="22" t="s">
        <v>10195</v>
      </c>
      <c r="E6721" s="22" t="s">
        <v>48</v>
      </c>
      <c r="F6721" s="23" t="str">
        <f>HYPERLINK("https://www.spark-marketing.ru/Card/Lot/72883363", "оказание услуг по обеспечению трехразовым питанием (горячим) лиц, содержащихся в изоляторе временного содержания подозреваемых и обвиняемых Управления МВД России по городу Волгограду в 2019 году")</f>
        <v>оказание услуг по обеспечению трехразовым питанием (горячим) лиц, содержащихся в изоляторе временного содержания подозреваемых и обвиняемых Управления МВД России по городу Волгограду в 2019 году</v>
      </c>
      <c r="G6721" s="22" t="s">
        <v>158</v>
      </c>
      <c r="H6721" s="22" t="s">
        <v>171</v>
      </c>
      <c r="I6721" s="26">
        <v>43696.6222569444</v>
      </c>
      <c r="J6721" s="23" t="str">
        <f>HYPERLINK("https://www.spark-marketing.ru/Card/Person/6059347", "Цуцунава Владимир Степанович")</f>
        <v>Цуцунава Владимир Степанович</v>
      </c>
      <c r="K6721" s="24" t="s">
        <v>5859</v>
      </c>
      <c r="L6721" s="28" t="s">
        <v>51</v>
      </c>
      <c r="M6721" s="28" t="s">
        <v>51</v>
      </c>
      <c r="N6721" s="28" t="s">
        <v>51</v>
      </c>
    </row>
    <row r="6722" spans="1:14" ht="12.75" hidden="1" outlineLevel="1" x14ac:dyDescent="0.2">
      <c r="A6722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6722" s="24" t="s">
        <v>2084</v>
      </c>
      <c r="C6722" s="25">
        <v>264735.09000000003</v>
      </c>
      <c r="D6722" s="22" t="s">
        <v>10195</v>
      </c>
      <c r="E6722" s="22" t="s">
        <v>48</v>
      </c>
      <c r="F6722" s="23" t="str">
        <f>HYPERLINK("https://www.spark-marketing.ru/Card/Lot/72883363", "оказание услуг по обеспечению трехразовым питанием (горячим) лиц, содержащихся в изоляторе временного содержания подозреваемых и обвиняемых Управления МВД России по городу Волгограду в 2019 году")</f>
        <v>оказание услуг по обеспечению трехразовым питанием (горячим) лиц, содержащихся в изоляторе временного содержания подозреваемых и обвиняемых Управления МВД России по городу Волгограду в 2019 году</v>
      </c>
      <c r="G6722" s="22" t="s">
        <v>158</v>
      </c>
      <c r="H6722" s="22" t="s">
        <v>171</v>
      </c>
      <c r="I6722" s="26">
        <v>43696.6222569444</v>
      </c>
      <c r="J6722" s="23" t="str">
        <f>HYPERLINK("https://www.spark-marketing.ru/Card/Person/6059347", "Цуцунава Владимир Степанович")</f>
        <v>Цуцунава Владимир Степанович</v>
      </c>
      <c r="K6722" s="24" t="s">
        <v>5859</v>
      </c>
      <c r="L6722" s="22" t="s">
        <v>10</v>
      </c>
      <c r="M6722" s="25">
        <v>263411.40999999997</v>
      </c>
      <c r="N6722" s="27">
        <v>5.000017186992476E-3</v>
      </c>
    </row>
    <row r="6723" spans="1:14" x14ac:dyDescent="0.15">
      <c r="A6723" s="23" t="str">
        <f>HYPERLINK("https://www.spark-marketing.ru/Card/Person/159932", "ОТДЕЛ МВД РОССИИ ПО УСТЬ-ЛАБИНСКОМУ РАЙОНУ")</f>
        <v>ОТДЕЛ МВД РОССИИ ПО УСТЬ-ЛАБИНСКОМУ РАЙОНУ</v>
      </c>
      <c r="B6723" s="24" t="s">
        <v>10192</v>
      </c>
      <c r="C6723" s="25">
        <v>1359000</v>
      </c>
      <c r="D6723" s="22" t="s">
        <v>10196</v>
      </c>
      <c r="E6723" s="22" t="s">
        <v>48</v>
      </c>
      <c r="F6723" s="23" t="str">
        <f>HYPERLINK("https://www.spark-marketing.ru/Card/Lot/72889798", "Организация горячим трехразовым питанием граждан содержащихся в спец.учреждениях")</f>
        <v>Организация горячим трехразовым питанием граждан содержащихся в спец.учреждениях</v>
      </c>
      <c r="G6723" s="22" t="s">
        <v>104</v>
      </c>
      <c r="H6723" s="22" t="s">
        <v>104</v>
      </c>
      <c r="I6723" s="26">
        <v>43694.525034722203</v>
      </c>
      <c r="J6723" s="23" t="str">
        <f>HYPERLINK("https://www.spark-marketing.ru/Card/Person/249905", "Чеботарев Сергей Михайлович")</f>
        <v>Чеботарев Сергей Михайлович</v>
      </c>
      <c r="K6723" s="24" t="s">
        <v>10194</v>
      </c>
      <c r="L6723" s="22" t="s">
        <v>10</v>
      </c>
      <c r="M6723" s="28" t="s">
        <v>51</v>
      </c>
      <c r="N6723" s="28" t="s">
        <v>51</v>
      </c>
    </row>
    <row r="6724" spans="1:14" x14ac:dyDescent="0.15">
      <c r="A6724" s="23" t="str">
        <f>HYPERLINK("https://www.spark-marketing.ru/Card/Person/75125", "МУ МВД РОССИИ ""РЫБИНСКОЕ""")</f>
        <v>МУ МВД РОССИИ "РЫБИНСКОЕ"</v>
      </c>
      <c r="B6724" s="24" t="s">
        <v>9140</v>
      </c>
      <c r="C6724" s="25">
        <v>1400000</v>
      </c>
      <c r="D6724" s="22" t="s">
        <v>10197</v>
      </c>
      <c r="E6724" s="22" t="s">
        <v>96</v>
      </c>
      <c r="F6724" s="23" t="str">
        <f>HYPERLINK("https://www.spark-marketing.ru/Card/Lot/72889925", "Оказание услуг по обеспечению трехразовым питанием лиц, содержащихся в специальном приемнике, в изоляторе временного содержания и СПЗЛ для МУ МВД России ""Рыбинское""")</f>
        <v>Оказание услуг по обеспечению трехразовым питанием лиц, содержащихся в специальном приемнике, в изоляторе временного содержания и СПЗЛ для МУ МВД России "Рыбинское"</v>
      </c>
      <c r="G6724" s="22" t="s">
        <v>185</v>
      </c>
      <c r="H6724" s="22" t="s">
        <v>185</v>
      </c>
      <c r="I6724" s="26">
        <v>43696.628182870401</v>
      </c>
      <c r="J6724" s="23" t="str">
        <f>HYPERLINK("https://www.spark-marketing.ru/Card/Person/1515551", "ООО ""ФАБУЛА""")</f>
        <v>ООО "ФАБУЛА"</v>
      </c>
      <c r="K6724" s="24" t="s">
        <v>9951</v>
      </c>
      <c r="L6724" s="22" t="s">
        <v>10</v>
      </c>
      <c r="M6724" s="28" t="s">
        <v>51</v>
      </c>
      <c r="N6724" s="28" t="s">
        <v>51</v>
      </c>
    </row>
    <row r="6725" spans="1:14" x14ac:dyDescent="0.15">
      <c r="A6725" s="23" t="str">
        <f>HYPERLINK("https://www.spark-marketing.ru/Card/Person/1023072", "МО МВД РОССИИ ""СТРУГО-КРАСНЕНСКИЙ""")</f>
        <v>МО МВД РОССИИ "СТРУГО-КРАСНЕНСКИЙ"</v>
      </c>
      <c r="B6725" s="24" t="s">
        <v>10198</v>
      </c>
      <c r="C6725" s="25">
        <v>580000</v>
      </c>
      <c r="D6725" s="22" t="s">
        <v>10199</v>
      </c>
      <c r="E6725" s="22" t="s">
        <v>48</v>
      </c>
      <c r="F6725" s="23" t="str">
        <f>HYPERLINK("https://www.spark-marketing.ru/Card/Lot/72884011", "услуги по организации питания")</f>
        <v>услуги по организации питания</v>
      </c>
      <c r="G6725" s="22" t="s">
        <v>415</v>
      </c>
      <c r="H6725" s="22" t="s">
        <v>1122</v>
      </c>
      <c r="I6725" s="26">
        <v>43696.635925925897</v>
      </c>
      <c r="J6725" s="23" t="str">
        <f>HYPERLINK("https://www.spark-marketing.ru/Card/Person/2108960", "СТРУГОКРАСНЕНСКОЕ РАЙПО")</f>
        <v>СТРУГОКРАСНЕНСКОЕ РАЙПО</v>
      </c>
      <c r="K6725" s="24" t="s">
        <v>10200</v>
      </c>
      <c r="L6725" s="22" t="s">
        <v>10</v>
      </c>
      <c r="M6725" s="28" t="s">
        <v>51</v>
      </c>
      <c r="N6725" s="28" t="s">
        <v>51</v>
      </c>
    </row>
    <row r="6726" spans="1:14" x14ac:dyDescent="0.15">
      <c r="A6726" s="23" t="str">
        <f>HYPERLINK("https://www.spark-marketing.ru/Card/Person/737290", "ГКУ «ЦБЗ ПРИ МИНЗДРАВЕ КАРЕЛИИ»")</f>
        <v>ГКУ «ЦБЗ ПРИ МИНЗДРАВЕ КАРЕЛИИ»</v>
      </c>
      <c r="B6726" s="24" t="s">
        <v>312</v>
      </c>
      <c r="C6726" s="25">
        <v>14473.2</v>
      </c>
      <c r="D6726" s="22" t="s">
        <v>10201</v>
      </c>
      <c r="E6726" s="22" t="s">
        <v>52</v>
      </c>
      <c r="F6726" s="23" t="str">
        <f>HYPERLINK("https://www.spark-marketing.ru/Card/Lot/72881849", "Поставка лекарственного препарата      Валсартан+Сакубитрил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изд...")</f>
        <v>Поставка лекарственного препарата      Валсартан+Сакубитрил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</v>
      </c>
      <c r="G6726" s="22" t="s">
        <v>59</v>
      </c>
      <c r="H6726" s="22" t="s">
        <v>314</v>
      </c>
      <c r="I6726" s="26">
        <v>43696.611122685201</v>
      </c>
      <c r="J6726" s="23" t="str">
        <f>HYPERLINK("https://www.spark-marketing.ru/Card/Person/6073224", "ООО ""ЛЕКСТОР""")</f>
        <v>ООО "ЛЕКСТОР"</v>
      </c>
      <c r="K6726" s="24" t="s">
        <v>2797</v>
      </c>
      <c r="L6726" s="22" t="s">
        <v>10</v>
      </c>
      <c r="M6726" s="28" t="s">
        <v>51</v>
      </c>
      <c r="N6726" s="28" t="s">
        <v>51</v>
      </c>
    </row>
    <row r="6727" spans="1:14" x14ac:dyDescent="0.15">
      <c r="A6727" s="23" t="str">
        <f>HYPERLINK("https://www.spark-marketing.ru/Card/Person/1045330", "ГБУДО ""ДЕТСКО-ЮНОШЕСКИЙ ЦЕНТР"" ГБУДО ДЮЦ")</f>
        <v>ГБУДО "ДЕТСКО-ЮНОШЕСКИЙ ЦЕНТР" ГБУДО ДЮЦ</v>
      </c>
      <c r="B6727" s="24" t="s">
        <v>10202</v>
      </c>
      <c r="C6727" s="25">
        <v>220000</v>
      </c>
      <c r="D6727" s="22" t="s">
        <v>10203</v>
      </c>
      <c r="E6727" s="22" t="s">
        <v>51</v>
      </c>
      <c r="F6727" s="23" t="str">
        <f>HYPERLINK("https://www.spark-marketing.ru/Card/Lot/72878552", "Оказание услуг по организации питания и проживанию участников Областного фестиваля молодых инвалидов ""Движение - это жизнь!""(110 человек)")</f>
        <v>Оказание услуг по организации питания и проживанию участников Областного фестиваля молодых инвалидов "Движение - это жизнь!"(110 человек)</v>
      </c>
      <c r="G6727" s="22" t="s">
        <v>1972</v>
      </c>
      <c r="H6727" s="22" t="s">
        <v>1973</v>
      </c>
      <c r="I6727" s="26">
        <v>43696.507187499999</v>
      </c>
      <c r="J6727" s="23" t="str">
        <f>HYPERLINK("https://www.spark-marketing.ru/Card/Person/70334", "АО ""КУРОРТЫ ЗАУРАЛЬЯ""")</f>
        <v>АО "КУРОРТЫ ЗАУРАЛЬЯ"</v>
      </c>
      <c r="K6727" s="24" t="s">
        <v>10204</v>
      </c>
      <c r="L6727" s="22" t="s">
        <v>10</v>
      </c>
      <c r="M6727" s="28" t="s">
        <v>51</v>
      </c>
      <c r="N6727" s="28" t="s">
        <v>51</v>
      </c>
    </row>
    <row r="6728" spans="1:14" x14ac:dyDescent="0.15">
      <c r="A6728" s="23" t="str">
        <f>HYPERLINK("https://www.spark-marketing.ru/Card/Person/144564", "МОБУ СОШ № 2")</f>
        <v>МОБУ СОШ № 2</v>
      </c>
      <c r="B6728" s="24" t="s">
        <v>9392</v>
      </c>
      <c r="C6728" s="25">
        <v>393792</v>
      </c>
      <c r="D6728" s="22" t="s">
        <v>10205</v>
      </c>
      <c r="E6728" s="22" t="s">
        <v>48</v>
      </c>
      <c r="F6728" s="23" t="str">
        <f>HYPERLINK("https://www.spark-marketing.ru/Card/Lot/72879976", "Оказание услуг по организации горячих завтраков и обедов для обучающихся на ступени основного общего и среднего (полного) общего образования МОБУ СОШ №2")</f>
        <v>Оказание услуг по организации горячих завтраков и обедов для обучающихся на ступени основного общего и среднего (полного) общего образования МОБУ СОШ №2</v>
      </c>
      <c r="G6728" s="22" t="s">
        <v>49</v>
      </c>
      <c r="H6728" s="22" t="s">
        <v>9391</v>
      </c>
      <c r="I6728" s="26">
        <v>43696.597303240698</v>
      </c>
      <c r="J6728" s="28" t="s">
        <v>51</v>
      </c>
      <c r="K6728" s="28" t="s">
        <v>51</v>
      </c>
      <c r="L6728" s="28" t="s">
        <v>51</v>
      </c>
      <c r="M6728" s="28" t="s">
        <v>51</v>
      </c>
      <c r="N6728" s="28" t="s">
        <v>51</v>
      </c>
    </row>
    <row r="6729" spans="1:14" x14ac:dyDescent="0.15">
      <c r="A6729" s="23" t="str">
        <f>HYPERLINK("https://www.spark-marketing.ru/Card/Person/55545", "МО МВД РОССИИ ""БАРАБИНСКИЙ""")</f>
        <v>МО МВД РОССИИ "БАРАБИНСКИЙ"</v>
      </c>
      <c r="B6729" s="24" t="s">
        <v>5646</v>
      </c>
      <c r="C6729" s="25">
        <v>375354.9</v>
      </c>
      <c r="D6729" s="22" t="s">
        <v>10206</v>
      </c>
      <c r="E6729" s="22" t="s">
        <v>48</v>
      </c>
      <c r="F6729" s="23" t="str">
        <f>HYPERLINK("https://www.spark-marketing.ru/Card/Lot/72870799", "питание  арестованных")</f>
        <v>питание  арестованных</v>
      </c>
      <c r="G6729" s="22" t="s">
        <v>195</v>
      </c>
      <c r="H6729" s="22" t="s">
        <v>195</v>
      </c>
      <c r="I6729" s="26">
        <v>43696.577928240702</v>
      </c>
      <c r="J6729" s="28" t="s">
        <v>51</v>
      </c>
      <c r="K6729" s="28" t="s">
        <v>51</v>
      </c>
      <c r="L6729" s="28" t="s">
        <v>51</v>
      </c>
      <c r="M6729" s="28" t="s">
        <v>51</v>
      </c>
      <c r="N6729" s="28" t="s">
        <v>51</v>
      </c>
    </row>
    <row r="6730" spans="1:14" hidden="1" outlineLevel="1" x14ac:dyDescent="0.2">
      <c r="A6730" s="23" t="str">
        <f>HYPERLINK("https://www.spark-marketing.ru/Card/Person/55545", "МО МВД РОССИИ ""БАРАБИНСКИЙ""")</f>
        <v>МО МВД РОССИИ "БАРАБИНСКИЙ"</v>
      </c>
      <c r="B6730" s="24" t="s">
        <v>5646</v>
      </c>
      <c r="C6730" s="25">
        <v>375354.9</v>
      </c>
      <c r="D6730" s="22" t="s">
        <v>10206</v>
      </c>
      <c r="E6730" s="22" t="s">
        <v>48</v>
      </c>
      <c r="F6730" s="23" t="str">
        <f>HYPERLINK("https://www.spark-marketing.ru/Card/Lot/72870799", "питание  арестованных")</f>
        <v>питание  арестованных</v>
      </c>
      <c r="G6730" s="22" t="s">
        <v>195</v>
      </c>
      <c r="H6730" s="22" t="s">
        <v>195</v>
      </c>
      <c r="I6730" s="26">
        <v>43696.577928240702</v>
      </c>
      <c r="J6730" s="23" t="str">
        <f>HYPERLINK("https://www.spark-marketing.ru/Card/Person/4539028", "Тимофеева Ольга Константиновна")</f>
        <v>Тимофеева Ольга Константиновна</v>
      </c>
      <c r="K6730" s="24" t="s">
        <v>10207</v>
      </c>
      <c r="L6730" s="28" t="s">
        <v>51</v>
      </c>
      <c r="M6730" s="25">
        <v>272110.08000000002</v>
      </c>
      <c r="N6730" s="27">
        <v>0.2750592039693634</v>
      </c>
    </row>
    <row r="6731" spans="1:14" ht="12.75" hidden="1" outlineLevel="1" x14ac:dyDescent="0.2">
      <c r="A6731" s="23" t="str">
        <f>HYPERLINK("https://www.spark-marketing.ru/Card/Person/55545", "МО МВД РОССИИ ""БАРАБИНСКИЙ""")</f>
        <v>МО МВД РОССИИ "БАРАБИНСКИЙ"</v>
      </c>
      <c r="B6731" s="24" t="s">
        <v>5646</v>
      </c>
      <c r="C6731" s="25">
        <v>375354.9</v>
      </c>
      <c r="D6731" s="22" t="s">
        <v>10206</v>
      </c>
      <c r="E6731" s="22" t="s">
        <v>48</v>
      </c>
      <c r="F6731" s="23" t="str">
        <f>HYPERLINK("https://www.spark-marketing.ru/Card/Lot/72870799", "питание  арестованных")</f>
        <v>питание  арестованных</v>
      </c>
      <c r="G6731" s="22" t="s">
        <v>195</v>
      </c>
      <c r="H6731" s="22" t="s">
        <v>195</v>
      </c>
      <c r="I6731" s="26">
        <v>43696.577928240702</v>
      </c>
      <c r="J6731" s="23" t="str">
        <f>HYPERLINK("https://www.spark-marketing.ru/Card/Person/438073", "ООО СТОЛОВАЯ ""ОТДЫХ""")</f>
        <v>ООО СТОЛОВАЯ "ОТДЫХ"</v>
      </c>
      <c r="K6731" s="24" t="s">
        <v>10208</v>
      </c>
      <c r="L6731" s="22" t="s">
        <v>10</v>
      </c>
      <c r="M6731" s="25">
        <v>270233.31</v>
      </c>
      <c r="N6731" s="27">
        <v>0.28005919198070944</v>
      </c>
    </row>
    <row r="6732" spans="1:14" x14ac:dyDescent="0.15">
      <c r="A6732" s="23" t="str">
        <f>HYPERLINK("https://www.spark-marketing.ru/Card/Person/737290", "ГКУ «ЦБЗ ПРИ МИНЗДРАВЕ КАРЕЛИИ»")</f>
        <v>ГКУ «ЦБЗ ПРИ МИНЗДРАВЕ КАРЕЛИИ»</v>
      </c>
      <c r="B6732" s="24" t="s">
        <v>312</v>
      </c>
      <c r="C6732" s="25">
        <v>46612.800000000003</v>
      </c>
      <c r="D6732" s="22" t="s">
        <v>10209</v>
      </c>
      <c r="E6732" s="22" t="s">
        <v>52</v>
      </c>
      <c r="F6732" s="23" t="str">
        <f>HYPERLINK("https://www.spark-marketing.ru/Card/Lot/72881727", "Поставка лекарственного препарата Железа [III] гидроксид полимальтозат,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препара...")</f>
        <v>Поставка лекарственного препарата Железа [III] гидроксид полимальтозат,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препара...</v>
      </c>
      <c r="G6732" s="22" t="s">
        <v>59</v>
      </c>
      <c r="H6732" s="22" t="s">
        <v>314</v>
      </c>
      <c r="I6732" s="26">
        <v>43696.578449074099</v>
      </c>
      <c r="J6732" s="23" t="str">
        <f>HYPERLINK("https://www.spark-marketing.ru/Card/Person/6440681", "ООО ""МИД""")</f>
        <v>ООО "МИД"</v>
      </c>
      <c r="K6732" s="24" t="s">
        <v>3849</v>
      </c>
      <c r="L6732" s="22" t="s">
        <v>10</v>
      </c>
      <c r="M6732" s="28" t="s">
        <v>51</v>
      </c>
      <c r="N6732" s="28" t="s">
        <v>51</v>
      </c>
    </row>
    <row r="6733" spans="1:14" x14ac:dyDescent="0.15">
      <c r="A6733" s="23" t="str">
        <f>HYPERLINK("https://www.spark-marketing.ru/Card/Person/737290", "ГКУ «ЦБЗ ПРИ МИНЗДРАВЕ КАРЕЛИИ»")</f>
        <v>ГКУ «ЦБЗ ПРИ МИНЗДРАВЕ КАРЕЛИИ»</v>
      </c>
      <c r="B6733" s="24" t="s">
        <v>312</v>
      </c>
      <c r="C6733" s="25">
        <v>361320.82</v>
      </c>
      <c r="D6733" s="22" t="s">
        <v>10210</v>
      </c>
      <c r="E6733" s="22" t="s">
        <v>52</v>
      </c>
      <c r="F6733" s="23" t="str">
        <f>HYPERLINK("https://www.spark-marketing.ru/Card/Lot/72883952", "Поставка лекарственного препарата      Моксонидин,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изде...")</f>
        <v>Поставка лекарственного препарата      Моксонидин,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изде...</v>
      </c>
      <c r="G6733" s="22" t="s">
        <v>59</v>
      </c>
      <c r="H6733" s="22" t="s">
        <v>314</v>
      </c>
      <c r="I6733" s="26">
        <v>43696.597141203703</v>
      </c>
      <c r="J6733" s="28" t="s">
        <v>51</v>
      </c>
      <c r="K6733" s="28" t="s">
        <v>51</v>
      </c>
      <c r="L6733" s="28" t="s">
        <v>51</v>
      </c>
      <c r="M6733" s="28" t="s">
        <v>51</v>
      </c>
      <c r="N6733" s="28" t="s">
        <v>51</v>
      </c>
    </row>
    <row r="6734" spans="1:14" hidden="1" outlineLevel="1" x14ac:dyDescent="0.2">
      <c r="A6734" s="23" t="str">
        <f>HYPERLINK("https://www.spark-marketing.ru/Card/Person/737290", "ГКУ «ЦБЗ ПРИ МИНЗДРАВЕ КАРЕЛИИ»")</f>
        <v>ГКУ «ЦБЗ ПРИ МИНЗДРАВЕ КАРЕЛИИ»</v>
      </c>
      <c r="B6734" s="24" t="s">
        <v>312</v>
      </c>
      <c r="C6734" s="25">
        <v>361320.82</v>
      </c>
      <c r="D6734" s="22" t="s">
        <v>10210</v>
      </c>
      <c r="E6734" s="22" t="s">
        <v>52</v>
      </c>
      <c r="F6734" s="23" t="str">
        <f>HYPERLINK("https://www.spark-marketing.ru/Card/Lot/72883952", "Поставка лекарственного препарата      Моксонидин,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изде...")</f>
        <v>Поставка лекарственного препарата      Моксонидин,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изде...</v>
      </c>
      <c r="G6734" s="22" t="s">
        <v>59</v>
      </c>
      <c r="H6734" s="22" t="s">
        <v>314</v>
      </c>
      <c r="I6734" s="26">
        <v>43696.597141203703</v>
      </c>
      <c r="J6734" s="23" t="str">
        <f>HYPERLINK("https://www.spark-marketing.ru/Card/Person/59672", "ООО ""РИФАРМ М""")</f>
        <v>ООО "РИФАРМ М"</v>
      </c>
      <c r="K6734" s="24" t="s">
        <v>2440</v>
      </c>
      <c r="L6734" s="28" t="s">
        <v>51</v>
      </c>
      <c r="M6734" s="25">
        <v>221157.52</v>
      </c>
      <c r="N6734" s="27">
        <v>0.38791924583808929</v>
      </c>
    </row>
    <row r="6735" spans="1:14" hidden="1" outlineLevel="1" x14ac:dyDescent="0.2">
      <c r="A6735" s="23" t="str">
        <f>HYPERLINK("https://www.spark-marketing.ru/Card/Person/737290", "ГКУ «ЦБЗ ПРИ МИНЗДРАВЕ КАРЕЛИИ»")</f>
        <v>ГКУ «ЦБЗ ПРИ МИНЗДРАВЕ КАРЕЛИИ»</v>
      </c>
      <c r="B6735" s="24" t="s">
        <v>312</v>
      </c>
      <c r="C6735" s="25">
        <v>361320.82</v>
      </c>
      <c r="D6735" s="22" t="s">
        <v>10210</v>
      </c>
      <c r="E6735" s="22" t="s">
        <v>52</v>
      </c>
      <c r="F6735" s="23" t="str">
        <f>HYPERLINK("https://www.spark-marketing.ru/Card/Lot/72883952", "Поставка лекарственного препарата      Моксонидин,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изде...")</f>
        <v>Поставка лекарственного препарата      Моксонидин,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изде...</v>
      </c>
      <c r="G6735" s="22" t="s">
        <v>59</v>
      </c>
      <c r="H6735" s="22" t="s">
        <v>314</v>
      </c>
      <c r="I6735" s="26">
        <v>43696.597141203703</v>
      </c>
      <c r="J6735" s="23" t="str">
        <f>HYPERLINK("https://www.spark-marketing.ru/Card/Person/6440681", "ООО ""МИД""")</f>
        <v>ООО "МИД"</v>
      </c>
      <c r="K6735" s="24" t="s">
        <v>3849</v>
      </c>
      <c r="L6735" s="28" t="s">
        <v>51</v>
      </c>
      <c r="M6735" s="25">
        <v>231537.46</v>
      </c>
      <c r="N6735" s="27">
        <v>0.35919147974921567</v>
      </c>
    </row>
    <row r="6736" spans="1:14" ht="12.75" hidden="1" outlineLevel="1" x14ac:dyDescent="0.2">
      <c r="A6736" s="23" t="str">
        <f>HYPERLINK("https://www.spark-marketing.ru/Card/Person/737290", "ГКУ «ЦБЗ ПРИ МИНЗДРАВЕ КАРЕЛИИ»")</f>
        <v>ГКУ «ЦБЗ ПРИ МИНЗДРАВЕ КАРЕЛИИ»</v>
      </c>
      <c r="B6736" s="24" t="s">
        <v>312</v>
      </c>
      <c r="C6736" s="25">
        <v>361320.82</v>
      </c>
      <c r="D6736" s="22" t="s">
        <v>10210</v>
      </c>
      <c r="E6736" s="22" t="s">
        <v>52</v>
      </c>
      <c r="F6736" s="23" t="str">
        <f>HYPERLINK("https://www.spark-marketing.ru/Card/Lot/72883952", "Поставка лекарственного препарата      Моксонидин,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изде...")</f>
        <v>Поставка лекарственного препарата      Моксонидин,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изде...</v>
      </c>
      <c r="G6736" s="22" t="s">
        <v>59</v>
      </c>
      <c r="H6736" s="22" t="s">
        <v>314</v>
      </c>
      <c r="I6736" s="26">
        <v>43696.597141203703</v>
      </c>
      <c r="J6736" s="23" t="str">
        <f>HYPERLINK("https://www.spark-marketing.ru/Card/Person/5887470", "ООО ""ВИТАЛОН""")</f>
        <v>ООО "ВИТАЛОН"</v>
      </c>
      <c r="K6736" s="24" t="s">
        <v>2129</v>
      </c>
      <c r="L6736" s="22" t="s">
        <v>10</v>
      </c>
      <c r="M6736" s="25">
        <v>219350.92</v>
      </c>
      <c r="N6736" s="27">
        <v>0.39291923449083282</v>
      </c>
    </row>
    <row r="6737" spans="1:14" x14ac:dyDescent="0.15">
      <c r="A6737" s="23" t="str">
        <f>HYPERLINK("https://www.spark-marketing.ru/Card/Person/4347002", "ОМВД РОССИИ ПО УСТЬ-КУЛОМСКОМУ РАЙОНУ")</f>
        <v>ОМВД РОССИИ ПО УСТЬ-КУЛОМСКОМУ РАЙОНУ</v>
      </c>
      <c r="B6737" s="24" t="s">
        <v>7472</v>
      </c>
      <c r="C6737" s="25">
        <v>376000</v>
      </c>
      <c r="D6737" s="22" t="s">
        <v>10211</v>
      </c>
      <c r="E6737" s="22" t="s">
        <v>48</v>
      </c>
      <c r="F6737" s="23" t="str">
        <f>HYPERLINK("https://www.spark-marketing.ru/Card/Lot/72883792", "услуги по 3-ех разовому питанию для лиц, содержащихся в ИВС")</f>
        <v>услуги по 3-ех разовому питанию для лиц, содержащихся в ИВС</v>
      </c>
      <c r="G6737" s="22" t="s">
        <v>271</v>
      </c>
      <c r="H6737" s="22" t="s">
        <v>271</v>
      </c>
      <c r="I6737" s="26">
        <v>43696.491678240702</v>
      </c>
      <c r="J6737" s="28" t="s">
        <v>51</v>
      </c>
      <c r="K6737" s="28" t="s">
        <v>51</v>
      </c>
      <c r="L6737" s="28" t="s">
        <v>51</v>
      </c>
      <c r="M6737" s="28" t="s">
        <v>51</v>
      </c>
      <c r="N6737" s="28" t="s">
        <v>51</v>
      </c>
    </row>
    <row r="6738" spans="1:14" hidden="1" outlineLevel="1" x14ac:dyDescent="0.2">
      <c r="A6738" s="23" t="str">
        <f>HYPERLINK("https://www.spark-marketing.ru/Card/Person/4347002", "ОМВД РОССИИ ПО УСТЬ-КУЛОМСКОМУ РАЙОНУ")</f>
        <v>ОМВД РОССИИ ПО УСТЬ-КУЛОМСКОМУ РАЙОНУ</v>
      </c>
      <c r="B6738" s="24" t="s">
        <v>7472</v>
      </c>
      <c r="C6738" s="25">
        <v>376000</v>
      </c>
      <c r="D6738" s="22" t="s">
        <v>10211</v>
      </c>
      <c r="E6738" s="22" t="s">
        <v>48</v>
      </c>
      <c r="F6738" s="23" t="str">
        <f>HYPERLINK("https://www.spark-marketing.ru/Card/Lot/72883792", "услуги по 3-ех разовому питанию для лиц, содержащихся в ИВС")</f>
        <v>услуги по 3-ех разовому питанию для лиц, содержащихся в ИВС</v>
      </c>
      <c r="G6738" s="22" t="s">
        <v>271</v>
      </c>
      <c r="H6738" s="22" t="s">
        <v>271</v>
      </c>
      <c r="I6738" s="26">
        <v>43696.491678240702</v>
      </c>
      <c r="J6738" s="23" t="str">
        <f>HYPERLINK("https://www.spark-marketing.ru/Card/Person/776948", "Першин Василий Степанович")</f>
        <v>Першин Василий Степанович</v>
      </c>
      <c r="K6738" s="24" t="s">
        <v>6003</v>
      </c>
      <c r="L6738" s="28" t="s">
        <v>51</v>
      </c>
      <c r="M6738" s="25">
        <v>2043.04</v>
      </c>
      <c r="N6738" s="27">
        <v>0.99456638297872335</v>
      </c>
    </row>
    <row r="6739" spans="1:14" ht="12.75" hidden="1" outlineLevel="1" x14ac:dyDescent="0.2">
      <c r="A6739" s="23" t="str">
        <f>HYPERLINK("https://www.spark-marketing.ru/Card/Person/4347002", "ОМВД РОССИИ ПО УСТЬ-КУЛОМСКОМУ РАЙОНУ")</f>
        <v>ОМВД РОССИИ ПО УСТЬ-КУЛОМСКОМУ РАЙОНУ</v>
      </c>
      <c r="B6739" s="24" t="s">
        <v>7472</v>
      </c>
      <c r="C6739" s="25">
        <v>376000</v>
      </c>
      <c r="D6739" s="22" t="s">
        <v>10211</v>
      </c>
      <c r="E6739" s="22" t="s">
        <v>48</v>
      </c>
      <c r="F6739" s="23" t="str">
        <f>HYPERLINK("https://www.spark-marketing.ru/Card/Lot/72883792", "услуги по 3-ех разовому питанию для лиц, содержащихся в ИВС")</f>
        <v>услуги по 3-ех разовому питанию для лиц, содержащихся в ИВС</v>
      </c>
      <c r="G6739" s="22" t="s">
        <v>271</v>
      </c>
      <c r="H6739" s="22" t="s">
        <v>271</v>
      </c>
      <c r="I6739" s="26">
        <v>43696.491678240702</v>
      </c>
      <c r="J6739" s="23" t="str">
        <f>HYPERLINK("https://www.spark-marketing.ru/Card/Person/277997", "УСТЬ-КУЛОМСКОЕ СПО")</f>
        <v>УСТЬ-КУЛОМСКОЕ СПО</v>
      </c>
      <c r="K6739" s="24" t="s">
        <v>10212</v>
      </c>
      <c r="L6739" s="22" t="s">
        <v>10</v>
      </c>
      <c r="M6739" s="25">
        <v>2043.04</v>
      </c>
      <c r="N6739" s="27">
        <v>0.99456638297872335</v>
      </c>
    </row>
    <row r="6740" spans="1:14" x14ac:dyDescent="0.15">
      <c r="A6740" s="23" t="str">
        <f>HYPERLINK("https://www.spark-marketing.ru/Card/Person/4349131", "ОТДЕЛЕНИЕ МВД РОССИИ ПО ЧЕСМЕНСКОМУ РАЙОНУ ЧЕЛЯБИНСКОЙ ОБЛАСТИ")</f>
        <v>ОТДЕЛЕНИЕ МВД РОССИИ ПО ЧЕСМЕНСКОМУ РАЙОНУ ЧЕЛЯБИНСКОЙ ОБЛАСТИ</v>
      </c>
      <c r="B6740" s="24" t="s">
        <v>10213</v>
      </c>
      <c r="C6740" s="25">
        <v>250000</v>
      </c>
      <c r="D6740" s="22" t="s">
        <v>10214</v>
      </c>
      <c r="E6740" s="22" t="s">
        <v>48</v>
      </c>
      <c r="F6740" s="23" t="str">
        <f>HYPERLINK("https://www.spark-marketing.ru/Card/Lot/72876449", "Оказание услуг по обеспечению трехразовым питанием административно задержанных лиц содержащихся в ИВС Отделения МВД России по Чесменскому району Челябинской области для субъектов малого предпринимательства и социально ориентированных некоммерческих о...")</f>
        <v>Оказание услуг по обеспечению трехразовым питанием административно задержанных лиц содержащихся в ИВС Отделения МВД России по Чесменскому району Челябинской области для субъектов малого предпринимательства и социально ориентированных некоммерческих о...</v>
      </c>
      <c r="G6740" s="22" t="s">
        <v>469</v>
      </c>
      <c r="H6740" s="22" t="s">
        <v>10215</v>
      </c>
      <c r="I6740" s="26">
        <v>43696.547766203701</v>
      </c>
      <c r="J6740" s="23" t="str">
        <f>HYPERLINK("https://www.spark-marketing.ru/Card/Person/4390841", "ЧЕСМЕНСКОЕ ОПО")</f>
        <v>ЧЕСМЕНСКОЕ ОПО</v>
      </c>
      <c r="K6740" s="24" t="s">
        <v>10216</v>
      </c>
      <c r="L6740" s="22" t="s">
        <v>10</v>
      </c>
      <c r="M6740" s="28" t="s">
        <v>51</v>
      </c>
      <c r="N6740" s="28" t="s">
        <v>51</v>
      </c>
    </row>
    <row r="6741" spans="1:14" x14ac:dyDescent="0.15">
      <c r="A6741" s="23" t="str">
        <f>HYPERLINK("https://www.spark-marketing.ru/Card/Person/144564", "МОБУ СОШ № 2")</f>
        <v>МОБУ СОШ № 2</v>
      </c>
      <c r="B6741" s="24" t="s">
        <v>9392</v>
      </c>
      <c r="C6741" s="25">
        <v>332346</v>
      </c>
      <c r="D6741" s="22" t="s">
        <v>10217</v>
      </c>
      <c r="E6741" s="22" t="s">
        <v>48</v>
      </c>
      <c r="F6741" s="23" t="str">
        <f>HYPERLINK("https://www.spark-marketing.ru/Card/Lot/72879974", "Оказание услуг по организации горячих завтраков и обедов для обучающихся в начальной школе МОБУ СОШ №2")</f>
        <v>Оказание услуг по организации горячих завтраков и обедов для обучающихся в начальной школе МОБУ СОШ №2</v>
      </c>
      <c r="G6741" s="22" t="s">
        <v>49</v>
      </c>
      <c r="H6741" s="22" t="s">
        <v>9391</v>
      </c>
      <c r="I6741" s="26">
        <v>43696.597268518497</v>
      </c>
      <c r="J6741" s="28" t="s">
        <v>51</v>
      </c>
      <c r="K6741" s="28" t="s">
        <v>51</v>
      </c>
      <c r="L6741" s="28" t="s">
        <v>51</v>
      </c>
      <c r="M6741" s="28" t="s">
        <v>51</v>
      </c>
      <c r="N6741" s="28" t="s">
        <v>51</v>
      </c>
    </row>
    <row r="6742" spans="1:14" x14ac:dyDescent="0.15">
      <c r="A6742" s="23" t="str">
        <f>HYPERLINK("https://www.spark-marketing.ru/Card/Person/20208", "КГБУЗ ККОКБ ИМ. ПРОФЕССОРА П.Г.МАКАРОВА")</f>
        <v>КГБУЗ ККОКБ ИМ. ПРОФЕССОРА П.Г.МАКАРОВА</v>
      </c>
      <c r="B6742" s="24" t="s">
        <v>1784</v>
      </c>
      <c r="C6742" s="25">
        <v>499961.25</v>
      </c>
      <c r="D6742" s="22" t="s">
        <v>10218</v>
      </c>
      <c r="E6742" s="22" t="s">
        <v>48</v>
      </c>
      <c r="F6742" s="23" t="str">
        <f>HYPERLINK("https://www.spark-marketing.ru/Card/Lot/72875255", "Оказание услуг по организации и обеспечению лечебным питанием пациентов стационара (взрослых и детей)")</f>
        <v>Оказание услуг по организации и обеспечению лечебным питанием пациентов стационара (взрослых и детей)</v>
      </c>
      <c r="G6742" s="22" t="s">
        <v>281</v>
      </c>
      <c r="H6742" s="22" t="s">
        <v>1036</v>
      </c>
      <c r="I6742" s="26">
        <v>43696.596307870401</v>
      </c>
      <c r="J6742" s="23" t="str">
        <f>HYPERLINK("https://www.spark-marketing.ru/Card/Person/10897", "КГБУЗ ККБ")</f>
        <v>КГБУЗ ККБ</v>
      </c>
      <c r="K6742" s="24" t="s">
        <v>1786</v>
      </c>
      <c r="L6742" s="22" t="s">
        <v>10</v>
      </c>
      <c r="M6742" s="28" t="s">
        <v>51</v>
      </c>
      <c r="N6742" s="28" t="s">
        <v>51</v>
      </c>
    </row>
    <row r="6743" spans="1:14" x14ac:dyDescent="0.15">
      <c r="A6743" s="23" t="str">
        <f>HYPERLINK("https://www.spark-marketing.ru/Card/Person/135276", "ОТДЕЛ МВД РОССИИ ПО Г.БОР")</f>
        <v>ОТДЕЛ МВД РОССИИ ПО Г.БОР</v>
      </c>
      <c r="B6743" s="24" t="s">
        <v>293</v>
      </c>
      <c r="C6743" s="25">
        <v>1860000</v>
      </c>
      <c r="D6743" s="22" t="s">
        <v>10219</v>
      </c>
      <c r="E6743" s="22" t="s">
        <v>96</v>
      </c>
      <c r="F6743" s="23" t="str">
        <f>HYPERLINK("https://www.spark-marketing.ru/Card/Lot/72890158", "По организации горячего трехразового питания лиц, содержащихся в ИВС, СПЗ Отдела МВД России по г. Бор")</f>
        <v>По организации горячего трехразового питания лиц, содержащихся в ИВС, СПЗ Отдела МВД России по г. Бор</v>
      </c>
      <c r="G6743" s="22" t="s">
        <v>76</v>
      </c>
      <c r="H6743" s="22" t="s">
        <v>295</v>
      </c>
      <c r="I6743" s="26">
        <v>43696.526261574101</v>
      </c>
      <c r="J6743" s="23" t="str">
        <f>HYPERLINK("https://www.spark-marketing.ru/Card/Person/994458", "ООО ""ПОСЕЙДОН""")</f>
        <v>ООО "ПОСЕЙДОН"</v>
      </c>
      <c r="K6743" s="24" t="s">
        <v>10220</v>
      </c>
      <c r="L6743" s="22" t="s">
        <v>10</v>
      </c>
      <c r="M6743" s="28" t="s">
        <v>51</v>
      </c>
      <c r="N6743" s="28" t="s">
        <v>51</v>
      </c>
    </row>
    <row r="6744" spans="1:14" x14ac:dyDescent="0.15">
      <c r="A6744" s="23" t="str">
        <f>HYPERLINK("https://www.spark-marketing.ru/Card/Person/4349131", "ОТДЕЛЕНИЕ МВД РОССИИ ПО ЧЕСМЕНСКОМУ РАЙОНУ ЧЕЛЯБИНСКОЙ ОБЛАСТИ")</f>
        <v>ОТДЕЛЕНИЕ МВД РОССИИ ПО ЧЕСМЕНСКОМУ РАЙОНУ ЧЕЛЯБИНСКОЙ ОБЛАСТИ</v>
      </c>
      <c r="B6744" s="24" t="s">
        <v>10213</v>
      </c>
      <c r="C6744" s="25">
        <v>250000</v>
      </c>
      <c r="D6744" s="22" t="s">
        <v>10221</v>
      </c>
      <c r="E6744" s="22" t="s">
        <v>48</v>
      </c>
      <c r="F6744" s="23" t="str">
        <f>HYPERLINK("https://www.spark-marketing.ru/Card/Lot/72876457", "Оказание услуг по обеспечению трехразовым питанием административно задержанных лиц содержащихся в ИВС Отделения МВД России по Чесменскому району Челябинской области для субъектов малого предпринимательства и социально ориентированных некоммерческих о...")</f>
        <v>Оказание услуг по обеспечению трехразовым питанием административно задержанных лиц содержащихся в ИВС Отделения МВД России по Чесменскому району Челябинской области для субъектов малого предпринимательства и социально ориентированных некоммерческих о...</v>
      </c>
      <c r="G6744" s="22" t="s">
        <v>469</v>
      </c>
      <c r="H6744" s="22" t="s">
        <v>10215</v>
      </c>
      <c r="I6744" s="26">
        <v>43696.5641666667</v>
      </c>
      <c r="J6744" s="28" t="s">
        <v>51</v>
      </c>
      <c r="K6744" s="28" t="s">
        <v>51</v>
      </c>
      <c r="L6744" s="28" t="s">
        <v>51</v>
      </c>
      <c r="M6744" s="28" t="s">
        <v>51</v>
      </c>
      <c r="N6744" s="28" t="s">
        <v>51</v>
      </c>
    </row>
    <row r="6745" spans="1:14" x14ac:dyDescent="0.15">
      <c r="A6745" s="23" t="str">
        <f>HYPERLINK("https://www.spark-marketing.ru/Card/Person/4349131", "ОТДЕЛЕНИЕ МВД РОССИИ ПО ЧЕСМЕНСКОМУ РАЙОНУ ЧЕЛЯБИНСКОЙ ОБЛАСТИ")</f>
        <v>ОТДЕЛЕНИЕ МВД РОССИИ ПО ЧЕСМЕНСКОМУ РАЙОНУ ЧЕЛЯБИНСКОЙ ОБЛАСТИ</v>
      </c>
      <c r="B6745" s="24" t="s">
        <v>10213</v>
      </c>
      <c r="C6745" s="25">
        <v>167900</v>
      </c>
      <c r="D6745" s="22" t="s">
        <v>10222</v>
      </c>
      <c r="E6745" s="22" t="s">
        <v>48</v>
      </c>
      <c r="F6745" s="23" t="str">
        <f>HYPERLINK("https://www.spark-marketing.ru/Card/Lot/72878238", "оказание услуг по обеспечению трехразовым питанием подозреваемых и обвиняемых в совершении преступления лиц содержащихся в ИВС Отделения МВД России по Чесменскому району Челябинской области для субъектов малого предпринимательства и социально ориенти...")</f>
        <v>оказание услуг по обеспечению трехразовым питанием подозреваемых и обвиняемых в совершении преступления лиц содержащихся в ИВС Отделения МВД России по Чесменскому району Челябинской области для субъектов малого предпринимательства и социально ориенти...</v>
      </c>
      <c r="G6745" s="22" t="s">
        <v>469</v>
      </c>
      <c r="H6745" s="22" t="s">
        <v>10215</v>
      </c>
      <c r="I6745" s="26">
        <v>43696.596250000002</v>
      </c>
      <c r="J6745" s="23" t="str">
        <f>HYPERLINK("https://www.spark-marketing.ru/Card/Person/4390841", "ЧЕСМЕНСКОЕ ОПО")</f>
        <v>ЧЕСМЕНСКОЕ ОПО</v>
      </c>
      <c r="K6745" s="24" t="s">
        <v>10216</v>
      </c>
      <c r="L6745" s="22" t="s">
        <v>10</v>
      </c>
      <c r="M6745" s="28" t="s">
        <v>51</v>
      </c>
      <c r="N6745" s="28" t="s">
        <v>51</v>
      </c>
    </row>
    <row r="6746" spans="1:14" x14ac:dyDescent="0.15">
      <c r="A6746" s="23" t="str">
        <f>HYPERLINK("https://www.spark-marketing.ru/Card/Person/737290", "ГКУ «ЦБЗ ПРИ МИНЗДРАВЕ КАРЕЛИИ»")</f>
        <v>ГКУ «ЦБЗ ПРИ МИНЗДРАВЕ КАРЕЛИИ»</v>
      </c>
      <c r="B6746" s="24" t="s">
        <v>312</v>
      </c>
      <c r="C6746" s="25">
        <v>129519</v>
      </c>
      <c r="D6746" s="22" t="s">
        <v>10223</v>
      </c>
      <c r="E6746" s="22" t="s">
        <v>52</v>
      </c>
      <c r="F6746" s="23" t="str">
        <f>HYPERLINK("https://www.spark-marketing.ru/Card/Lot/72882798", "Поставка лекарственного препарата Вилантерол + Флутиказона фуроат,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м...")</f>
        <v>Поставка лекарственного препарата Вилантерол + Флутиказона фуроат,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м...</v>
      </c>
      <c r="G6746" s="22" t="s">
        <v>59</v>
      </c>
      <c r="H6746" s="22" t="s">
        <v>314</v>
      </c>
      <c r="I6746" s="26">
        <v>43696.569884259297</v>
      </c>
      <c r="J6746" s="23" t="str">
        <f>HYPERLINK("https://www.spark-marketing.ru/Card/Person/44169", "ООО ""СИГОР""")</f>
        <v>ООО "СИГОР"</v>
      </c>
      <c r="K6746" s="24" t="s">
        <v>2095</v>
      </c>
      <c r="L6746" s="22" t="s">
        <v>10</v>
      </c>
      <c r="M6746" s="28" t="s">
        <v>51</v>
      </c>
      <c r="N6746" s="28" t="s">
        <v>51</v>
      </c>
    </row>
    <row r="6747" spans="1:14" x14ac:dyDescent="0.15">
      <c r="A6747" s="23" t="str">
        <f>HYPERLINK("https://www.spark-marketing.ru/Card/Person/1015790", "ФКУ ""ЦУКС ГУ МЧС РОССИИ ПО ТОМСКОЙ ОБЛАСТИ""")</f>
        <v>ФКУ "ЦУКС ГУ МЧС РОССИИ ПО ТОМСКОЙ ОБЛАСТИ"</v>
      </c>
      <c r="B6747" s="24" t="s">
        <v>10224</v>
      </c>
      <c r="C6747" s="25">
        <v>1167743.3999999999</v>
      </c>
      <c r="D6747" s="22" t="s">
        <v>10225</v>
      </c>
      <c r="E6747" s="22" t="s">
        <v>48</v>
      </c>
      <c r="F6747" s="23" t="str">
        <f>HYPERLINK("https://www.spark-marketing.ru/Card/Lot/72873427", "Услуги по организации питания ОДС")</f>
        <v>Услуги по организации питания ОДС</v>
      </c>
      <c r="G6747" s="22" t="s">
        <v>149</v>
      </c>
      <c r="H6747" s="22" t="s">
        <v>496</v>
      </c>
      <c r="I6747" s="26">
        <v>43696.529027777797</v>
      </c>
      <c r="J6747" s="23" t="str">
        <f>HYPERLINK("https://www.spark-marketing.ru/Card/Person/839334", "ООО ""БЕЗЕ""")</f>
        <v>ООО "БЕЗЕ"</v>
      </c>
      <c r="K6747" s="24" t="s">
        <v>3938</v>
      </c>
      <c r="L6747" s="22" t="s">
        <v>10</v>
      </c>
      <c r="M6747" s="28" t="s">
        <v>51</v>
      </c>
      <c r="N6747" s="28" t="s">
        <v>51</v>
      </c>
    </row>
    <row r="6748" spans="1:14" x14ac:dyDescent="0.15">
      <c r="A6748" s="23" t="str">
        <f>HYPERLINK("https://www.spark-marketing.ru/Card/Person/19167", "ГКУ ""ВОЛГОСПАС""")</f>
        <v>ГКУ "ВОЛГОСПАС"</v>
      </c>
      <c r="B6748" s="24" t="s">
        <v>10226</v>
      </c>
      <c r="C6748" s="25">
        <v>893767.2</v>
      </c>
      <c r="D6748" s="22" t="s">
        <v>10227</v>
      </c>
      <c r="E6748" s="22" t="s">
        <v>10228</v>
      </c>
      <c r="F6748" s="23" t="str">
        <f>HYPERLINK("https://www.spark-marketing.ru/Card/Lot/72880476", "Выполнение работ по организации резервного источника питания помещения резервного центра обработки вызовов Системы-112")</f>
        <v>Выполнение работ по организации резервного источника питания помещения резервного центра обработки вызовов Системы-112</v>
      </c>
      <c r="G6748" s="22" t="s">
        <v>141</v>
      </c>
      <c r="H6748" s="22" t="s">
        <v>2201</v>
      </c>
      <c r="I6748" s="26">
        <v>43696.475243055596</v>
      </c>
      <c r="J6748" s="23" t="str">
        <f>HYPERLINK("https://www.spark-marketing.ru/Card/Person/449500", "ООО ""КОМПРЕССОР-ТЕХЦЕНТР""")</f>
        <v>ООО "КОМПРЕССОР-ТЕХЦЕНТР"</v>
      </c>
      <c r="K6748" s="24" t="s">
        <v>10229</v>
      </c>
      <c r="L6748" s="22" t="s">
        <v>10</v>
      </c>
      <c r="M6748" s="28" t="s">
        <v>51</v>
      </c>
      <c r="N6748" s="28" t="s">
        <v>51</v>
      </c>
    </row>
    <row r="6749" spans="1:14" x14ac:dyDescent="0.15">
      <c r="A6749" s="23" t="str">
        <f>HYPERLINK("https://www.spark-marketing.ru/Card/Person/55899", "ГБУЗ ""УСТЬ-ЛАБИНСКАЯ ЦРБ"" МЗ КК")</f>
        <v>ГБУЗ "УСТЬ-ЛАБИНСКАЯ ЦРБ" МЗ КК</v>
      </c>
      <c r="B6749" s="24" t="s">
        <v>1602</v>
      </c>
      <c r="C6749" s="25">
        <v>267587.5</v>
      </c>
      <c r="D6749" s="22" t="s">
        <v>10230</v>
      </c>
      <c r="E6749" s="22" t="s">
        <v>48</v>
      </c>
      <c r="F6749" s="23" t="str">
        <f>HYPERLINK("https://www.spark-marketing.ru/Card/Lot/72886745", "Оказание услуг по обеспечению лечебным питанием пациентов ГБУЗ ""Усть-Лабинская ЦРБ"" МЗ КК (инфекционное отделение)")</f>
        <v>Оказание услуг по обеспечению лечебным питанием пациентов ГБУЗ "Усть-Лабинская ЦРБ" МЗ КК (инфекционное отделение)</v>
      </c>
      <c r="G6749" s="22" t="s">
        <v>104</v>
      </c>
      <c r="H6749" s="22" t="s">
        <v>1424</v>
      </c>
      <c r="I6749" s="26">
        <v>43693.575706018499</v>
      </c>
      <c r="J6749" s="23" t="str">
        <f>HYPERLINK("https://www.spark-marketing.ru/Card/Person/878131", "ООО "" АГРОПРОМСЕРВИС """)</f>
        <v>ООО " АГРОПРОМСЕРВИС "</v>
      </c>
      <c r="K6749" s="24" t="s">
        <v>1425</v>
      </c>
      <c r="L6749" s="22" t="s">
        <v>10</v>
      </c>
      <c r="M6749" s="28" t="s">
        <v>51</v>
      </c>
      <c r="N6749" s="28" t="s">
        <v>51</v>
      </c>
    </row>
    <row r="6750" spans="1:14" x14ac:dyDescent="0.15">
      <c r="A6750" s="23" t="str">
        <f>HYPERLINK("https://www.spark-marketing.ru/Card/Person/81958", "МЕЖМУНИЦИПАЛЬНЫЙ ОТДЕЛ МВД РОССИИ ""ГУБАХИНСКИЙ""")</f>
        <v>МЕЖМУНИЦИПАЛЬНЫЙ ОТДЕЛ МВД РОССИИ "ГУБАХИНСКИЙ"</v>
      </c>
      <c r="B6750" s="24" t="s">
        <v>9521</v>
      </c>
      <c r="C6750" s="25">
        <v>629991.88</v>
      </c>
      <c r="D6750" s="22" t="s">
        <v>10231</v>
      </c>
      <c r="E6750" s="22" t="s">
        <v>48</v>
      </c>
      <c r="F6750" s="23" t="str">
        <f>HYPERLINK("https://www.spark-marketing.ru/Card/Lot/72878527", "Оказание услуг по поставке трехразового горячего питания для лиц, содержащихся в ИВС, лиц, содержащихся в специальном помещении дежурной части для задержанных более трех часов")</f>
        <v>Оказание услуг по поставке трехразового горячего питания для лиц, содержащихся в ИВС, лиц, содержащихся в специальном помещении дежурной части для задержанных более трех часов</v>
      </c>
      <c r="G6750" s="22" t="s">
        <v>153</v>
      </c>
      <c r="H6750" s="22" t="s">
        <v>1752</v>
      </c>
      <c r="I6750" s="26">
        <v>43696.397407407399</v>
      </c>
      <c r="J6750" s="23" t="str">
        <f>HYPERLINK("https://www.spark-marketing.ru/Card/Person/788890", "ООО ""МЕДИЛАЙН""")</f>
        <v>ООО "МЕДИЛАЙН"</v>
      </c>
      <c r="K6750" s="24" t="s">
        <v>3727</v>
      </c>
      <c r="L6750" s="22" t="s">
        <v>10</v>
      </c>
      <c r="M6750" s="28" t="s">
        <v>51</v>
      </c>
      <c r="N6750" s="28" t="s">
        <v>51</v>
      </c>
    </row>
    <row r="6751" spans="1:14" x14ac:dyDescent="0.15">
      <c r="A6751" s="23" t="str">
        <f>HYPERLINK("https://www.spark-marketing.ru/Card/Person/55899", "ГБУЗ ""УСТЬ-ЛАБИНСКАЯ ЦРБ"" МЗ КК")</f>
        <v>ГБУЗ "УСТЬ-ЛАБИНСКАЯ ЦРБ" МЗ КК</v>
      </c>
      <c r="B6751" s="24" t="s">
        <v>1602</v>
      </c>
      <c r="C6751" s="25">
        <v>320215.28000000003</v>
      </c>
      <c r="D6751" s="22" t="s">
        <v>10232</v>
      </c>
      <c r="E6751" s="22" t="s">
        <v>48</v>
      </c>
      <c r="F6751" s="23" t="str">
        <f>HYPERLINK("https://www.spark-marketing.ru/Card/Lot/72883834", "Оказание услуг по обеспечению лечебным питанием пациентов ГБУЗ ""Усть-Лабинская ЦРБ"" МЗ КК (акушерско-физиологическое отделение)")</f>
        <v>Оказание услуг по обеспечению лечебным питанием пациентов ГБУЗ "Усть-Лабинская ЦРБ" МЗ КК (акушерско-физиологическое отделение)</v>
      </c>
      <c r="G6751" s="22" t="s">
        <v>104</v>
      </c>
      <c r="H6751" s="22" t="s">
        <v>1424</v>
      </c>
      <c r="I6751" s="26">
        <v>43693.531446759298</v>
      </c>
      <c r="J6751" s="23" t="str">
        <f>HYPERLINK("https://www.spark-marketing.ru/Card/Person/878131", "ООО "" АГРОПРОМСЕРВИС """)</f>
        <v>ООО " АГРОПРОМСЕРВИС "</v>
      </c>
      <c r="K6751" s="24" t="s">
        <v>1425</v>
      </c>
      <c r="L6751" s="22" t="s">
        <v>10</v>
      </c>
      <c r="M6751" s="28" t="s">
        <v>51</v>
      </c>
      <c r="N6751" s="28" t="s">
        <v>51</v>
      </c>
    </row>
    <row r="6752" spans="1:14" x14ac:dyDescent="0.15">
      <c r="A6752" s="23" t="str">
        <f>HYPERLINK("https://www.spark-marketing.ru/Card/Person/737290", "ГКУ «ЦБЗ ПРИ МИНЗДРАВЕ КАРЕЛИИ»")</f>
        <v>ГКУ «ЦБЗ ПРИ МИНЗДРАВЕ КАРЕЛИИ»</v>
      </c>
      <c r="B6752" s="24" t="s">
        <v>312</v>
      </c>
      <c r="C6752" s="25">
        <v>31626</v>
      </c>
      <c r="D6752" s="22" t="s">
        <v>10233</v>
      </c>
      <c r="E6752" s="22" t="s">
        <v>52</v>
      </c>
      <c r="F6752" s="23" t="str">
        <f>HYPERLINK("https://www.spark-marketing.ru/Card/Lot/72879047", "Поставка лекарственных препаратов  Амиодарон,  Фуросемид,  Алфузозин,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медицински...")</f>
        <v>Поставка лекарственных препаратов  Амиодарон,  Фуросемид,  Алфузозин,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медицински...</v>
      </c>
      <c r="G6752" s="22" t="s">
        <v>59</v>
      </c>
      <c r="H6752" s="22" t="s">
        <v>314</v>
      </c>
      <c r="I6752" s="26">
        <v>43696.5226736111</v>
      </c>
      <c r="J6752" s="28" t="s">
        <v>51</v>
      </c>
      <c r="K6752" s="28" t="s">
        <v>51</v>
      </c>
      <c r="L6752" s="28" t="s">
        <v>51</v>
      </c>
      <c r="M6752" s="28" t="s">
        <v>51</v>
      </c>
      <c r="N6752" s="28" t="s">
        <v>51</v>
      </c>
    </row>
    <row r="6753" spans="1:14" x14ac:dyDescent="0.15">
      <c r="A6753" s="23" t="str">
        <f>HYPERLINK("https://www.spark-marketing.ru/Card/Person/441700", "ФКУ СИЗО-1 УФСИН РОССИИ ПО ЛИПЕЦКОЙ ОБЛАСТИ")</f>
        <v>ФКУ СИЗО-1 УФСИН РОССИИ ПО ЛИПЕЦКОЙ ОБЛАСТИ</v>
      </c>
      <c r="B6753" s="24" t="s">
        <v>8001</v>
      </c>
      <c r="C6753" s="25">
        <v>14000</v>
      </c>
      <c r="D6753" s="22" t="s">
        <v>10234</v>
      </c>
      <c r="E6753" s="22" t="s">
        <v>809</v>
      </c>
      <c r="F6753" s="23" t="str">
        <f>HYPERLINK("https://www.spark-marketing.ru/Card/Lot/72880956", "приобретение услуг по ремонту серверного оборудования")</f>
        <v>приобретение услуг по ремонту серверного оборудования</v>
      </c>
      <c r="G6753" s="22" t="s">
        <v>101</v>
      </c>
      <c r="H6753" s="22" t="s">
        <v>728</v>
      </c>
      <c r="I6753" s="26">
        <v>43696.582939814798</v>
      </c>
      <c r="J6753" s="28" t="s">
        <v>51</v>
      </c>
      <c r="K6753" s="28" t="s">
        <v>51</v>
      </c>
      <c r="L6753" s="28" t="s">
        <v>51</v>
      </c>
      <c r="M6753" s="28" t="s">
        <v>51</v>
      </c>
      <c r="N6753" s="28" t="s">
        <v>51</v>
      </c>
    </row>
    <row r="6754" spans="1:14" x14ac:dyDescent="0.15">
      <c r="A6754" s="23" t="str">
        <f>HYPERLINK("https://www.spark-marketing.ru/Card/Person/49399", "МО МВД РОССИИ ""КИНЕШЕМСКИЙ""")</f>
        <v>МО МВД РОССИИ "КИНЕШЕМСКИЙ"</v>
      </c>
      <c r="B6754" s="24" t="s">
        <v>2206</v>
      </c>
      <c r="C6754" s="25">
        <v>240000</v>
      </c>
      <c r="D6754" s="22" t="s">
        <v>10235</v>
      </c>
      <c r="E6754" s="22" t="s">
        <v>48</v>
      </c>
      <c r="F6754" s="23" t="str">
        <f>HYPERLINK("https://www.spark-marketing.ru/Card/Lot/72880463", "Оказание услуг по организации питания лиц, содержащихся в КСЗЛ для лиц, задержанных в административном порядке свыше 3-х часов и в изоляторе временного содержания МО МВД России «Кинешемский», в изоляторе временного содержания и КСЗЛ для лиц, задержан...")</f>
        <v>Оказание услуг по организации питания лиц, содержащихся в КСЗЛ для лиц, задержанных в административном порядке свыше 3-х часов и в изоляторе временного содержания МО МВД России «Кинешемский», в изоляторе временного содержания и КСЗЛ для лиц, задержан...</v>
      </c>
      <c r="G6754" s="22" t="s">
        <v>1047</v>
      </c>
      <c r="H6754" s="22" t="s">
        <v>1047</v>
      </c>
      <c r="I6754" s="26">
        <v>43696.530428240701</v>
      </c>
      <c r="J6754" s="23" t="str">
        <f>HYPERLINK("https://www.spark-marketing.ru/Card/Person/582836", "Ярославцева Татьяна Сергеевна")</f>
        <v>Ярославцева Татьяна Сергеевна</v>
      </c>
      <c r="K6754" s="24" t="s">
        <v>2209</v>
      </c>
      <c r="L6754" s="22" t="s">
        <v>10</v>
      </c>
      <c r="M6754" s="28" t="s">
        <v>51</v>
      </c>
      <c r="N6754" s="28" t="s">
        <v>51</v>
      </c>
    </row>
    <row r="6755" spans="1:14" x14ac:dyDescent="0.15">
      <c r="A6755" s="23" t="str">
        <f>HYPERLINK("https://www.spark-marketing.ru/Card/Person/147330", "УМВД РОССИИ ПО ИВАНОВСКОЙ ОБЛАСТИ")</f>
        <v>УМВД РОССИИ ПО ИВАНОВСКОЙ ОБЛАСТИ</v>
      </c>
      <c r="B6755" s="24" t="s">
        <v>10236</v>
      </c>
      <c r="C6755" s="25">
        <v>1840000</v>
      </c>
      <c r="D6755" s="22" t="s">
        <v>10237</v>
      </c>
      <c r="E6755" s="22" t="s">
        <v>48</v>
      </c>
      <c r="F6755" s="23" t="str">
        <f>HYPERLINK("https://www.spark-marketing.ru/Card/Lot/72880826", "Оказание услуг по организации питания для лиц, содержащихся в Центре временного содержания иностранных граждан УМВД России по Ивановской области")</f>
        <v>Оказание услуг по организации питания для лиц, содержащихся в Центре временного содержания иностранных граждан УМВД России по Ивановской области</v>
      </c>
      <c r="G6755" s="22" t="s">
        <v>1047</v>
      </c>
      <c r="H6755" s="22" t="s">
        <v>9008</v>
      </c>
      <c r="I6755" s="26">
        <v>43696.518287036997</v>
      </c>
      <c r="J6755" s="23" t="str">
        <f>HYPERLINK("https://www.spark-marketing.ru/Card/Person/347302", "ООО ""ФУДСТАР""")</f>
        <v>ООО "ФУДСТАР"</v>
      </c>
      <c r="K6755" s="24" t="s">
        <v>10238</v>
      </c>
      <c r="L6755" s="22" t="s">
        <v>10</v>
      </c>
      <c r="M6755" s="28" t="s">
        <v>51</v>
      </c>
      <c r="N6755" s="28" t="s">
        <v>51</v>
      </c>
    </row>
    <row r="6756" spans="1:14" x14ac:dyDescent="0.15">
      <c r="A6756" s="23" t="str">
        <f>HYPERLINK("https://www.spark-marketing.ru/Card/Person/147330", "УМВД РОССИИ ПО ИВАНОВСКОЙ ОБЛАСТИ")</f>
        <v>УМВД РОССИИ ПО ИВАНОВСКОЙ ОБЛАСТИ</v>
      </c>
      <c r="B6756" s="24" t="s">
        <v>10236</v>
      </c>
      <c r="C6756" s="25">
        <v>1840000</v>
      </c>
      <c r="D6756" s="22" t="s">
        <v>10239</v>
      </c>
      <c r="E6756" s="22" t="s">
        <v>48</v>
      </c>
      <c r="F6756" s="23" t="str">
        <f>HYPERLINK("https://www.spark-marketing.ru/Card/Lot/72878550", "Оказание услуг по организации питания для лиц, содержащихся в Центре временного содержания иностранных граждан УМВД России по Ивановской области")</f>
        <v>Оказание услуг по организации питания для лиц, содержащихся в Центре временного содержания иностранных граждан УМВД России по Ивановской области</v>
      </c>
      <c r="G6756" s="22" t="s">
        <v>1047</v>
      </c>
      <c r="H6756" s="22" t="s">
        <v>9008</v>
      </c>
      <c r="I6756" s="26">
        <v>43696.505868055603</v>
      </c>
      <c r="J6756" s="23" t="str">
        <f>HYPERLINK("https://www.spark-marketing.ru/Card/Person/347302", "ООО ""ФУДСТАР""")</f>
        <v>ООО "ФУДСТАР"</v>
      </c>
      <c r="K6756" s="24" t="s">
        <v>10238</v>
      </c>
      <c r="L6756" s="22" t="s">
        <v>10</v>
      </c>
      <c r="M6756" s="28" t="s">
        <v>51</v>
      </c>
      <c r="N6756" s="28" t="s">
        <v>51</v>
      </c>
    </row>
    <row r="6757" spans="1:14" x14ac:dyDescent="0.15">
      <c r="A6757" s="23" t="str">
        <f>HYPERLINK("https://www.spark-marketing.ru/Card/Person/2183355", "ГБУЗ МО ""МОКДЦД""")</f>
        <v>ГБУЗ МО "МОКДЦД"</v>
      </c>
      <c r="B6757" s="24" t="s">
        <v>3213</v>
      </c>
      <c r="C6757" s="25">
        <v>4900000</v>
      </c>
      <c r="D6757" s="22" t="s">
        <v>10240</v>
      </c>
      <c r="E6757" s="22" t="s">
        <v>48</v>
      </c>
      <c r="F6757" s="23" t="str">
        <f>HYPERLINK("https://www.spark-marketing.ru/Card/Lot/72880773", "Оказание услуг по аутсорсингу питания")</f>
        <v>Оказание услуг по аутсорсингу питания</v>
      </c>
      <c r="G6757" s="22" t="s">
        <v>56</v>
      </c>
      <c r="H6757" s="22" t="s">
        <v>56</v>
      </c>
      <c r="I6757" s="26">
        <v>43696.417372685202</v>
      </c>
      <c r="J6757" s="28" t="s">
        <v>51</v>
      </c>
      <c r="K6757" s="28" t="s">
        <v>51</v>
      </c>
      <c r="L6757" s="28" t="s">
        <v>51</v>
      </c>
      <c r="M6757" s="28" t="s">
        <v>51</v>
      </c>
      <c r="N6757" s="28" t="s">
        <v>51</v>
      </c>
    </row>
    <row r="6758" spans="1:14" x14ac:dyDescent="0.15">
      <c r="A6758" s="23" t="str">
        <f>HYPERLINK("https://www.spark-marketing.ru/Card/Person/53940", "ГБУЗ ‹‹КБ № 3››")</f>
        <v>ГБУЗ ‹‹КБ № 3››</v>
      </c>
      <c r="B6758" s="24" t="s">
        <v>10241</v>
      </c>
      <c r="C6758" s="25">
        <v>499400</v>
      </c>
      <c r="D6758" s="22" t="s">
        <v>10242</v>
      </c>
      <c r="E6758" s="22" t="s">
        <v>48</v>
      </c>
      <c r="F6758" s="23" t="str">
        <f>HYPERLINK("https://www.spark-marketing.ru/Card/Lot/72877985", "Оказание услуг по организации и доставке горячего лечебного питания")</f>
        <v>Оказание услуг по организации и доставке горячего лечебного питания</v>
      </c>
      <c r="G6758" s="22" t="s">
        <v>104</v>
      </c>
      <c r="H6758" s="22" t="s">
        <v>120</v>
      </c>
      <c r="I6758" s="26">
        <v>43693.378865740699</v>
      </c>
      <c r="J6758" s="23" t="str">
        <f>HYPERLINK("https://www.spark-marketing.ru/Card/Person/1170194", "Соколова Виктория Сергеевна")</f>
        <v>Соколова Виктория Сергеевна</v>
      </c>
      <c r="K6758" s="24" t="s">
        <v>2331</v>
      </c>
      <c r="L6758" s="22" t="s">
        <v>10</v>
      </c>
      <c r="M6758" s="28" t="s">
        <v>51</v>
      </c>
      <c r="N6758" s="28" t="s">
        <v>51</v>
      </c>
    </row>
    <row r="6759" spans="1:14" x14ac:dyDescent="0.15">
      <c r="A6759" s="23" t="str">
        <f>HYPERLINK("https://www.spark-marketing.ru/Card/Person/37622", "МИНИСТЕРСТВО ЗДРАВООХРАНЕНИЯ ИРКУТСКОЙ ОБЛАСТИ")</f>
        <v>МИНИСТЕРСТВО ЗДРАВООХРАНЕНИЯ ИРКУТСКОЙ ОБЛАСТИ</v>
      </c>
      <c r="B6759" s="24" t="s">
        <v>1102</v>
      </c>
      <c r="C6759" s="25">
        <v>8424295.5999999996</v>
      </c>
      <c r="D6759" s="22" t="s">
        <v>10243</v>
      </c>
      <c r="E6759" s="22" t="s">
        <v>1104</v>
      </c>
      <c r="F6759" s="23" t="str">
        <f>HYPERLINK("https://www.spark-marketing.ru/Card/Lot/72868814", "Оказание услуг по получению, хранению, учёту и доставке инвазивных и неинвазивных наркотических лекарственных препаратов и психотропных веществ в рамках развития паллиативной медицинской помощи")</f>
        <v>Оказание услуг по получению, хранению, учёту и доставке инвазивных и неинвазивных наркотических лекарственных препаратов и психотропных веществ в рамках развития паллиативной медицинской помощи</v>
      </c>
      <c r="G6759" s="22" t="s">
        <v>263</v>
      </c>
      <c r="H6759" s="22" t="s">
        <v>2768</v>
      </c>
      <c r="I6759" s="26">
        <v>43696.499155092599</v>
      </c>
      <c r="J6759" s="23" t="str">
        <f>HYPERLINK("https://www.spark-marketing.ru/Card/Person/53085", "АО ""ИООСАБ""")</f>
        <v>АО "ИООСАБ"</v>
      </c>
      <c r="K6759" s="24" t="s">
        <v>2445</v>
      </c>
      <c r="L6759" s="22" t="s">
        <v>10</v>
      </c>
      <c r="M6759" s="28" t="s">
        <v>51</v>
      </c>
      <c r="N6759" s="28" t="s">
        <v>51</v>
      </c>
    </row>
    <row r="6760" spans="1:14" x14ac:dyDescent="0.15">
      <c r="A6760" s="23" t="str">
        <f>HYPERLINK("https://www.spark-marketing.ru/Card/Person/22317", "УПРАВЛЕНИЕ ДЕЛАМИ ГУБЕРНАТОРА ИРКУТСКОЙ ОБЛАСТИ И ПРАВИТЕЛЬСТВА ИРКУТСКОЙ ОБЛАСТИ")</f>
        <v>УПРАВЛЕНИЕ ДЕЛАМИ ГУБЕРНАТОРА ИРКУТСКОЙ ОБЛАСТИ И ПРАВИТЕЛЬСТВА ИРКУТСКОЙ ОБЛАСТИ</v>
      </c>
      <c r="B6760" s="24" t="s">
        <v>10244</v>
      </c>
      <c r="C6760" s="25">
        <v>3000000</v>
      </c>
      <c r="D6760" s="22" t="s">
        <v>10245</v>
      </c>
      <c r="E6760" s="22" t="s">
        <v>51</v>
      </c>
      <c r="F6760" s="23" t="str">
        <f>HYPERLINK("https://www.spark-marketing.ru/Card/Lot/72866424", "услуги по организации общественного питания на официальных приемах")</f>
        <v>услуги по организации общественного питания на официальных приемах</v>
      </c>
      <c r="G6760" s="22" t="s">
        <v>263</v>
      </c>
      <c r="H6760" s="22" t="s">
        <v>2768</v>
      </c>
      <c r="I6760" s="26">
        <v>43696.494780092602</v>
      </c>
      <c r="J6760" s="23" t="str">
        <f>HYPERLINK("https://www.spark-marketing.ru/Card/Person/582241", "Журавель Алексей Сергеевич")</f>
        <v>Журавель Алексей Сергеевич</v>
      </c>
      <c r="K6760" s="24" t="s">
        <v>2769</v>
      </c>
      <c r="L6760" s="22" t="s">
        <v>10</v>
      </c>
      <c r="M6760" s="28" t="s">
        <v>51</v>
      </c>
      <c r="N6760" s="28" t="s">
        <v>51</v>
      </c>
    </row>
    <row r="6761" spans="1:14" x14ac:dyDescent="0.15">
      <c r="A6761" s="23" t="str">
        <f>HYPERLINK("https://www.spark-marketing.ru/Card/Person/61113", "ГУ МВД РОССИИ ПО ВОЛГОГРАДСКОЙ ОБЛАСТИ")</f>
        <v>ГУ МВД РОССИИ ПО ВОЛГОГРАДСКОЙ ОБЛАСТИ</v>
      </c>
      <c r="B6761" s="24" t="s">
        <v>8287</v>
      </c>
      <c r="C6761" s="25">
        <v>885000</v>
      </c>
      <c r="D6761" s="22" t="s">
        <v>10246</v>
      </c>
      <c r="E6761" s="22" t="s">
        <v>96</v>
      </c>
      <c r="F6761" s="23" t="str">
        <f>HYPERLINK("https://www.spark-marketing.ru/Card/Lot/72875232", "Оказание услуг по обеспечению пятиразовым питанием (горячим) несовершеннолетних, содержащихся в Центре временного содержания для несовершеннолетних правонарушителей ГУ МВД России по Волгоградской области, в 2020 году (для субъектов малого предпринима...")</f>
        <v>Оказание услуг по обеспечению пятиразовым питанием (горячим) несовершеннолетних, содержащихся в Центре временного содержания для несовершеннолетних правонарушителей ГУ МВД России по Волгоградской области, в 2020 году (для субъектов малого предпринима...</v>
      </c>
      <c r="G6761" s="22" t="s">
        <v>158</v>
      </c>
      <c r="H6761" s="22" t="s">
        <v>158</v>
      </c>
      <c r="I6761" s="26">
        <v>43696.489618055602</v>
      </c>
      <c r="J6761" s="28" t="s">
        <v>51</v>
      </c>
      <c r="K6761" s="28" t="s">
        <v>51</v>
      </c>
      <c r="L6761" s="28" t="s">
        <v>51</v>
      </c>
      <c r="M6761" s="28" t="s">
        <v>51</v>
      </c>
      <c r="N6761" s="28" t="s">
        <v>51</v>
      </c>
    </row>
    <row r="6762" spans="1:14" ht="12.75" hidden="1" outlineLevel="1" x14ac:dyDescent="0.2">
      <c r="A6762" s="23" t="str">
        <f>HYPERLINK("https://www.spark-marketing.ru/Card/Person/61113", "ГУ МВД РОССИИ ПО ВОЛГОГРАДСКОЙ ОБЛАСТИ")</f>
        <v>ГУ МВД РОССИИ ПО ВОЛГОГРАДСКОЙ ОБЛАСТИ</v>
      </c>
      <c r="B6762" s="24" t="s">
        <v>8287</v>
      </c>
      <c r="C6762" s="25">
        <v>885000</v>
      </c>
      <c r="D6762" s="22" t="s">
        <v>10246</v>
      </c>
      <c r="E6762" s="22" t="s">
        <v>96</v>
      </c>
      <c r="F6762" s="23" t="str">
        <f>HYPERLINK("https://www.spark-marketing.ru/Card/Lot/72875232", "Оказание услуг по обеспечению пятиразовым питанием (горячим) несовершеннолетних, содержащихся в Центре временного содержания для несовершеннолетних правонарушителей ГУ МВД России по Волгоградской области, в 2020 году (для субъектов малого предпринима...")</f>
        <v>Оказание услуг по обеспечению пятиразовым питанием (горячим) несовершеннолетних, содержащихся в Центре временного содержания для несовершеннолетних правонарушителей ГУ МВД России по Волгоградской области, в 2020 году (для субъектов малого предпринима...</v>
      </c>
      <c r="G6762" s="22" t="s">
        <v>158</v>
      </c>
      <c r="H6762" s="22" t="s">
        <v>158</v>
      </c>
      <c r="I6762" s="26">
        <v>43696.489618055602</v>
      </c>
      <c r="J6762" s="23" t="str">
        <f>HYPERLINK("https://www.spark-marketing.ru/Card/Person/56423", "ООО ""ВОЛГАСЕРВИСПРОДУКТ""")</f>
        <v>ООО "ВОЛГАСЕРВИСПРОДУКТ"</v>
      </c>
      <c r="K6762" s="24" t="s">
        <v>3035</v>
      </c>
      <c r="L6762" s="22" t="s">
        <v>10</v>
      </c>
      <c r="M6762" s="25">
        <v>590</v>
      </c>
      <c r="N6762" s="27">
        <v>0.9993333333333333</v>
      </c>
    </row>
    <row r="6763" spans="1:14" hidden="1" outlineLevel="1" x14ac:dyDescent="0.15">
      <c r="A6763" s="23" t="str">
        <f>HYPERLINK("https://www.spark-marketing.ru/Card/Person/61113", "ГУ МВД РОССИИ ПО ВОЛГОГРАДСКОЙ ОБЛАСТИ")</f>
        <v>ГУ МВД РОССИИ ПО ВОЛГОГРАДСКОЙ ОБЛАСТИ</v>
      </c>
      <c r="B6763" s="24" t="s">
        <v>8287</v>
      </c>
      <c r="C6763" s="25">
        <v>885000</v>
      </c>
      <c r="D6763" s="22" t="s">
        <v>10246</v>
      </c>
      <c r="E6763" s="22" t="s">
        <v>96</v>
      </c>
      <c r="F6763" s="23" t="str">
        <f>HYPERLINK("https://www.spark-marketing.ru/Card/Lot/72875232", "Оказание услуг по обеспечению пятиразовым питанием (горячим) несовершеннолетних, содержащихся в Центре временного содержания для несовершеннолетних правонарушителей ГУ МВД России по Волгоградской области, в 2020 году (для субъектов малого предпринима...")</f>
        <v>Оказание услуг по обеспечению пятиразовым питанием (горячим) несовершеннолетних, содержащихся в Центре временного содержания для несовершеннолетних правонарушителей ГУ МВД России по Волгоградской области, в 2020 году (для субъектов малого предпринима...</v>
      </c>
      <c r="G6763" s="22" t="s">
        <v>158</v>
      </c>
      <c r="H6763" s="22" t="s">
        <v>158</v>
      </c>
      <c r="I6763" s="26">
        <v>43696.489618055602</v>
      </c>
      <c r="J6763" s="23" t="str">
        <f>HYPERLINK("https://www.spark-marketing.ru/Card/Person/6623938", "ООО ""ВЕКТОР""")</f>
        <v>ООО "ВЕКТОР"</v>
      </c>
      <c r="K6763" s="24" t="s">
        <v>10247</v>
      </c>
      <c r="L6763" s="28" t="s">
        <v>51</v>
      </c>
      <c r="M6763" s="28" t="s">
        <v>51</v>
      </c>
      <c r="N6763" s="28" t="s">
        <v>51</v>
      </c>
    </row>
    <row r="6764" spans="1:14" x14ac:dyDescent="0.15">
      <c r="A6764" s="23" t="str">
        <f>HYPERLINK("https://www.spark-marketing.ru/Card/Person/135276", "ОТДЕЛ МВД РОССИИ ПО Г.БОР")</f>
        <v>ОТДЕЛ МВД РОССИИ ПО Г.БОР</v>
      </c>
      <c r="B6764" s="24" t="s">
        <v>293</v>
      </c>
      <c r="C6764" s="25">
        <v>1660000</v>
      </c>
      <c r="D6764" s="22" t="s">
        <v>10248</v>
      </c>
      <c r="E6764" s="22" t="s">
        <v>96</v>
      </c>
      <c r="F6764" s="23" t="str">
        <f>HYPERLINK("https://www.spark-marketing.ru/Card/Lot/72875137", "По организации горячего трехразового питания лиц, содержащихся в ИВС, СПЗ Отдела МВД России по г. Бор")</f>
        <v>По организации горячего трехразового питания лиц, содержащихся в ИВС, СПЗ Отдела МВД России по г. Бор</v>
      </c>
      <c r="G6764" s="22" t="s">
        <v>76</v>
      </c>
      <c r="H6764" s="22" t="s">
        <v>295</v>
      </c>
      <c r="I6764" s="26">
        <v>43696.423310185201</v>
      </c>
      <c r="J6764" s="23" t="str">
        <f>HYPERLINK("https://www.spark-marketing.ru/Card/Person/994458", "ООО ""ПОСЕЙДОН""")</f>
        <v>ООО "ПОСЕЙДОН"</v>
      </c>
      <c r="K6764" s="24" t="s">
        <v>10220</v>
      </c>
      <c r="L6764" s="22" t="s">
        <v>10</v>
      </c>
      <c r="M6764" s="28" t="s">
        <v>51</v>
      </c>
      <c r="N6764" s="28" t="s">
        <v>51</v>
      </c>
    </row>
    <row r="6765" spans="1:14" x14ac:dyDescent="0.15">
      <c r="A6765" s="23" t="str">
        <f>HYPERLINK("https://www.spark-marketing.ru/Card/Person/109832", "ОМВД РОССИИ ПО ТОЦКОМУ РАЙОНУ")</f>
        <v>ОМВД РОССИИ ПО ТОЦКОМУ РАЙОНУ</v>
      </c>
      <c r="B6765" s="24" t="s">
        <v>10249</v>
      </c>
      <c r="C6765" s="25">
        <v>570000</v>
      </c>
      <c r="D6765" s="22" t="s">
        <v>10250</v>
      </c>
      <c r="E6765" s="22" t="s">
        <v>48</v>
      </c>
      <c r="F6765" s="23" t="str">
        <f>HYPERLINK("https://www.spark-marketing.ru/Card/Lot/72875604", "Организация трехразового питания в ИВС")</f>
        <v>Организация трехразового питания в ИВС</v>
      </c>
      <c r="G6765" s="22" t="s">
        <v>132</v>
      </c>
      <c r="H6765" s="22" t="s">
        <v>10251</v>
      </c>
      <c r="I6765" s="26">
        <v>43696.4217361111</v>
      </c>
      <c r="J6765" s="23" t="str">
        <f>HYPERLINK("https://www.spark-marketing.ru/Card/Person/4560290", "ТОЦКОЕ РАЙПО")</f>
        <v>ТОЦКОЕ РАЙПО</v>
      </c>
      <c r="K6765" s="24" t="s">
        <v>10252</v>
      </c>
      <c r="L6765" s="22" t="s">
        <v>10</v>
      </c>
      <c r="M6765" s="28" t="s">
        <v>51</v>
      </c>
      <c r="N6765" s="28" t="s">
        <v>51</v>
      </c>
    </row>
    <row r="6766" spans="1:14" x14ac:dyDescent="0.15">
      <c r="A6766" s="23" t="str">
        <f>HYPERLINK("https://www.spark-marketing.ru/Card/Person/376673", "МО МВД РОССИИ ""НОВОСОКОЛЬНИЧЕСКИЙ""")</f>
        <v>МО МВД РОССИИ "НОВОСОКОЛЬНИЧЕСКИЙ"</v>
      </c>
      <c r="B6766" s="24" t="s">
        <v>10253</v>
      </c>
      <c r="C6766" s="25">
        <v>36500</v>
      </c>
      <c r="D6766" s="22" t="s">
        <v>10254</v>
      </c>
      <c r="E6766" s="22" t="s">
        <v>96</v>
      </c>
      <c r="F6766" s="23" t="str">
        <f>HYPERLINK("https://www.spark-marketing.ru/Card/Lot/72872391",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6766" s="22" t="s">
        <v>415</v>
      </c>
      <c r="H6766" s="22" t="s">
        <v>10255</v>
      </c>
      <c r="I6766" s="26">
        <v>43696.498668981498</v>
      </c>
      <c r="J6766" s="28" t="s">
        <v>51</v>
      </c>
      <c r="K6766" s="28" t="s">
        <v>51</v>
      </c>
      <c r="L6766" s="28" t="s">
        <v>51</v>
      </c>
      <c r="M6766" s="28" t="s">
        <v>51</v>
      </c>
      <c r="N6766" s="28" t="s">
        <v>51</v>
      </c>
    </row>
    <row r="6767" spans="1:14" x14ac:dyDescent="0.15">
      <c r="A6767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6767" s="24" t="s">
        <v>4930</v>
      </c>
      <c r="C6767" s="25">
        <v>2240000</v>
      </c>
      <c r="D6767" s="22" t="s">
        <v>10256</v>
      </c>
      <c r="E6767" s="22" t="s">
        <v>48</v>
      </c>
      <c r="F6767" s="23" t="str">
        <f>HYPERLINK("https://www.spark-marketing.ru/Card/Lot/72875528", "Оказание услуг по обеспечению питанием лиц, содержащихся в ИВС, СП, СПСЗЛ")</f>
        <v>Оказание услуг по обеспечению питанием лиц, содержащихся в ИВС, СП, СПСЗЛ</v>
      </c>
      <c r="G6767" s="22" t="s">
        <v>104</v>
      </c>
      <c r="H6767" s="22" t="s">
        <v>104</v>
      </c>
      <c r="I6767" s="26">
        <v>43695.702696759297</v>
      </c>
      <c r="J6767" s="23" t="str">
        <f>HYPERLINK("https://www.spark-marketing.ru/Card/Person/1944082", "ООО ""ВИЗАВИА""")</f>
        <v>ООО "ВИЗАВИА"</v>
      </c>
      <c r="K6767" s="24" t="s">
        <v>6798</v>
      </c>
      <c r="L6767" s="22" t="s">
        <v>10</v>
      </c>
      <c r="M6767" s="28" t="s">
        <v>51</v>
      </c>
      <c r="N6767" s="28" t="s">
        <v>51</v>
      </c>
    </row>
    <row r="6768" spans="1:14" x14ac:dyDescent="0.15">
      <c r="A6768" s="23" t="str">
        <f>HYPERLINK("https://www.spark-marketing.ru/Card/Person/25413", "ФГКУ ""СЗРПСО МЧС РОССИИ""")</f>
        <v>ФГКУ "СЗРПСО МЧС РОССИИ"</v>
      </c>
      <c r="B6768" s="24" t="s">
        <v>10257</v>
      </c>
      <c r="C6768" s="25">
        <v>480002.4</v>
      </c>
      <c r="D6768" s="22" t="s">
        <v>10258</v>
      </c>
      <c r="E6768" s="22" t="s">
        <v>48</v>
      </c>
      <c r="F6768" s="23" t="str">
        <f>HYPERLINK("https://www.spark-marketing.ru/Card/Lot/72877023", "Оказание услуг по организации горячего питания работников, несущих дежурство в Санкт-Петербургском ПСО ПСП Берег - филиал ФГКУ «СЗРПСО МЧС России»")</f>
        <v>Оказание услуг по организации горячего питания работников, несущих дежурство в Санкт-Петербургском ПСО ПСП Берег - филиал ФГКУ «СЗРПСО МЧС России»</v>
      </c>
      <c r="G6768" s="22" t="s">
        <v>162</v>
      </c>
      <c r="H6768" s="22" t="s">
        <v>162</v>
      </c>
      <c r="I6768" s="26">
        <v>43696.486018518503</v>
      </c>
      <c r="J6768" s="23" t="str">
        <f>HYPERLINK("https://www.spark-marketing.ru/Card/Person/4934825", "Разыграева Наталья Александровна")</f>
        <v>Разыграева Наталья Александровна</v>
      </c>
      <c r="K6768" s="24" t="s">
        <v>10259</v>
      </c>
      <c r="L6768" s="22" t="s">
        <v>10</v>
      </c>
      <c r="M6768" s="28" t="s">
        <v>51</v>
      </c>
      <c r="N6768" s="28" t="s">
        <v>51</v>
      </c>
    </row>
    <row r="6769" spans="1:14" x14ac:dyDescent="0.15">
      <c r="A6769" s="23" t="str">
        <f>HYPERLINK("https://www.spark-marketing.ru/Card/Person/376673", "МО МВД РОССИИ ""НОВОСОКОЛЬНИЧЕСКИЙ""")</f>
        <v>МО МВД РОССИИ "НОВОСОКОЛЬНИЧЕСКИЙ"</v>
      </c>
      <c r="B6769" s="24" t="s">
        <v>10253</v>
      </c>
      <c r="C6769" s="25">
        <v>36500</v>
      </c>
      <c r="D6769" s="22" t="s">
        <v>10260</v>
      </c>
      <c r="E6769" s="22" t="s">
        <v>96</v>
      </c>
      <c r="F6769" s="23" t="str">
        <f>HYPERLINK("https://www.spark-marketing.ru/Card/Lot/72872386",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6769" s="22" t="s">
        <v>415</v>
      </c>
      <c r="H6769" s="22" t="s">
        <v>10255</v>
      </c>
      <c r="I6769" s="26">
        <v>43696.496979166703</v>
      </c>
      <c r="J6769" s="28" t="s">
        <v>51</v>
      </c>
      <c r="K6769" s="28" t="s">
        <v>51</v>
      </c>
      <c r="L6769" s="28" t="s">
        <v>51</v>
      </c>
      <c r="M6769" s="28" t="s">
        <v>51</v>
      </c>
      <c r="N6769" s="28" t="s">
        <v>51</v>
      </c>
    </row>
    <row r="6770" spans="1:14" x14ac:dyDescent="0.15">
      <c r="A6770" s="23" t="str">
        <f>HYPERLINK("https://www.spark-marketing.ru/Card/Person/109832", "ОМВД РОССИИ ПО ТОЦКОМУ РАЙОНУ")</f>
        <v>ОМВД РОССИИ ПО ТОЦКОМУ РАЙОНУ</v>
      </c>
      <c r="B6770" s="24" t="s">
        <v>10249</v>
      </c>
      <c r="C6770" s="25">
        <v>570000</v>
      </c>
      <c r="D6770" s="22" t="s">
        <v>10261</v>
      </c>
      <c r="E6770" s="22" t="s">
        <v>48</v>
      </c>
      <c r="F6770" s="23" t="str">
        <f>HYPERLINK("https://www.spark-marketing.ru/Card/Lot/72873645", "Организация трехразового питания в ИВС")</f>
        <v>Организация трехразового питания в ИВС</v>
      </c>
      <c r="G6770" s="22" t="s">
        <v>132</v>
      </c>
      <c r="H6770" s="22" t="s">
        <v>10251</v>
      </c>
      <c r="I6770" s="26">
        <v>43693.771342592598</v>
      </c>
      <c r="J6770" s="23" t="str">
        <f>HYPERLINK("https://www.spark-marketing.ru/Card/Person/4560290", "ТОЦКОЕ РАЙПО")</f>
        <v>ТОЦКОЕ РАЙПО</v>
      </c>
      <c r="K6770" s="24" t="s">
        <v>10252</v>
      </c>
      <c r="L6770" s="22" t="s">
        <v>10</v>
      </c>
      <c r="M6770" s="28" t="s">
        <v>51</v>
      </c>
      <c r="N6770" s="28" t="s">
        <v>51</v>
      </c>
    </row>
    <row r="6771" spans="1:14" x14ac:dyDescent="0.15">
      <c r="A6771" s="23" t="str">
        <f>HYPERLINK("https://www.spark-marketing.ru/Card/Person/4349211", "ГБУ РК «МНОГОФУНКЦИОНАЛЬНЫЙ ЦЕНТР ПРЕДОСТАВЛЕНИЯ ГОСУДАРСТВЕННЫХ И МУНИЦИПАЛЬНЫХ УСЛУГ»")</f>
        <v>ГБУ РК «МНОГОФУНКЦИОНАЛЬНЫЙ ЦЕНТР ПРЕДОСТАВЛЕНИЯ ГОСУДАРСТВЕННЫХ И МУНИЦИПАЛЬНЫХ УСЛУГ»</v>
      </c>
      <c r="B6771" s="24" t="s">
        <v>10262</v>
      </c>
      <c r="C6771" s="25">
        <v>174147.23</v>
      </c>
      <c r="D6771" s="22" t="s">
        <v>10263</v>
      </c>
      <c r="E6771" s="22" t="s">
        <v>7386</v>
      </c>
      <c r="F6771" s="23" t="str">
        <f>HYPERLINK("https://www.spark-marketing.ru/Card/Lot/72874379", "Поставка аккумуляторов для источников бесперебойного питания для нужд ГБУ РК ""Многофункциональный центр предоставления государственных и муниципальных услуг""")</f>
        <v>Поставка аккумуляторов для источников бесперебойного питания для нужд ГБУ РК "Многофункциональный центр предоставления государственных и муниципальных услуг"</v>
      </c>
      <c r="G6771" s="22" t="s">
        <v>108</v>
      </c>
      <c r="H6771" s="22" t="s">
        <v>108</v>
      </c>
      <c r="I6771" s="26">
        <v>43696.337962963</v>
      </c>
      <c r="J6771" s="28" t="s">
        <v>51</v>
      </c>
      <c r="K6771" s="28" t="s">
        <v>51</v>
      </c>
      <c r="L6771" s="28" t="s">
        <v>51</v>
      </c>
      <c r="M6771" s="28" t="s">
        <v>51</v>
      </c>
      <c r="N6771" s="28" t="s">
        <v>51</v>
      </c>
    </row>
    <row r="6772" spans="1:14" ht="12.75" hidden="1" outlineLevel="1" x14ac:dyDescent="0.2">
      <c r="A6772" s="23" t="str">
        <f>HYPERLINK("https://www.spark-marketing.ru/Card/Person/4349211", "ГБУ РК «МНОГОФУНКЦИОНАЛЬНЫЙ ЦЕНТР ПРЕДОСТАВЛЕНИЯ ГОСУДАРСТВЕННЫХ И МУНИЦИПАЛЬНЫХ УСЛУГ»")</f>
        <v>ГБУ РК «МНОГОФУНКЦИОНАЛЬНЫЙ ЦЕНТР ПРЕДОСТАВЛЕНИЯ ГОСУДАРСТВЕННЫХ И МУНИЦИПАЛЬНЫХ УСЛУГ»</v>
      </c>
      <c r="B6772" s="24" t="s">
        <v>10262</v>
      </c>
      <c r="C6772" s="25">
        <v>174147.23</v>
      </c>
      <c r="D6772" s="22" t="s">
        <v>10263</v>
      </c>
      <c r="E6772" s="22" t="s">
        <v>7386</v>
      </c>
      <c r="F6772" s="23" t="str">
        <f>HYPERLINK("https://www.spark-marketing.ru/Card/Lot/72874379", "Поставка аккумуляторов для источников бесперебойного питания для нужд ГБУ РК ""Многофункциональный центр предоставления государственных и муниципальных услуг""")</f>
        <v>Поставка аккумуляторов для источников бесперебойного питания для нужд ГБУ РК "Многофункциональный центр предоставления государственных и муниципальных услуг"</v>
      </c>
      <c r="G6772" s="22" t="s">
        <v>108</v>
      </c>
      <c r="H6772" s="22" t="s">
        <v>108</v>
      </c>
      <c r="I6772" s="26">
        <v>43696.337962963</v>
      </c>
      <c r="J6772" s="23" t="str">
        <f>HYPERLINK("https://www.spark-marketing.ru/Card/Person/6506526", "ООО ""ВЫБОР""")</f>
        <v>ООО "ВЫБОР"</v>
      </c>
      <c r="K6772" s="24" t="s">
        <v>10264</v>
      </c>
      <c r="L6772" s="22" t="s">
        <v>10</v>
      </c>
      <c r="M6772" s="25">
        <v>154120.21</v>
      </c>
      <c r="N6772" s="27">
        <v>0.11500050847779777</v>
      </c>
    </row>
    <row r="6773" spans="1:14" hidden="1" outlineLevel="1" x14ac:dyDescent="0.2">
      <c r="A6773" s="23" t="str">
        <f>HYPERLINK("https://www.spark-marketing.ru/Card/Person/4349211", "ГБУ РК «МНОГОФУНКЦИОНАЛЬНЫЙ ЦЕНТР ПРЕДОСТАВЛЕНИЯ ГОСУДАРСТВЕННЫХ И МУНИЦИПАЛЬНЫХ УСЛУГ»")</f>
        <v>ГБУ РК «МНОГОФУНКЦИОНАЛЬНЫЙ ЦЕНТР ПРЕДОСТАВЛЕНИЯ ГОСУДАРСТВЕННЫХ И МУНИЦИПАЛЬНЫХ УСЛУГ»</v>
      </c>
      <c r="B6773" s="24" t="s">
        <v>10262</v>
      </c>
      <c r="C6773" s="25">
        <v>174147.23</v>
      </c>
      <c r="D6773" s="22" t="s">
        <v>10263</v>
      </c>
      <c r="E6773" s="22" t="s">
        <v>7386</v>
      </c>
      <c r="F6773" s="23" t="str">
        <f>HYPERLINK("https://www.spark-marketing.ru/Card/Lot/72874379", "Поставка аккумуляторов для источников бесперебойного питания для нужд ГБУ РК ""Многофункциональный центр предоставления государственных и муниципальных услуг""")</f>
        <v>Поставка аккумуляторов для источников бесперебойного питания для нужд ГБУ РК "Многофункциональный центр предоставления государственных и муниципальных услуг"</v>
      </c>
      <c r="G6773" s="22" t="s">
        <v>108</v>
      </c>
      <c r="H6773" s="22" t="s">
        <v>108</v>
      </c>
      <c r="I6773" s="26">
        <v>43696.337962963</v>
      </c>
      <c r="J6773" s="23" t="str">
        <f>HYPERLINK("https://www.spark-marketing.ru/Card/Person/933993", "ООО ""ТЕРРА""")</f>
        <v>ООО "ТЕРРА"</v>
      </c>
      <c r="K6773" s="24" t="s">
        <v>10265</v>
      </c>
      <c r="L6773" s="28" t="s">
        <v>51</v>
      </c>
      <c r="M6773" s="25">
        <v>154990.95000000001</v>
      </c>
      <c r="N6773" s="27">
        <v>0.11000048637006744</v>
      </c>
    </row>
    <row r="6774" spans="1:14" hidden="1" outlineLevel="1" x14ac:dyDescent="0.2">
      <c r="A6774" s="23" t="str">
        <f>HYPERLINK("https://www.spark-marketing.ru/Card/Person/4349211", "ГБУ РК «МНОГОФУНКЦИОНАЛЬНЫЙ ЦЕНТР ПРЕДОСТАВЛЕНИЯ ГОСУДАРСТВЕННЫХ И МУНИЦИПАЛЬНЫХ УСЛУГ»")</f>
        <v>ГБУ РК «МНОГОФУНКЦИОНАЛЬНЫЙ ЦЕНТР ПРЕДОСТАВЛЕНИЯ ГОСУДАРСТВЕННЫХ И МУНИЦИПАЛЬНЫХ УСЛУГ»</v>
      </c>
      <c r="B6774" s="24" t="s">
        <v>10262</v>
      </c>
      <c r="C6774" s="25">
        <v>174147.23</v>
      </c>
      <c r="D6774" s="22" t="s">
        <v>10263</v>
      </c>
      <c r="E6774" s="22" t="s">
        <v>7386</v>
      </c>
      <c r="F6774" s="23" t="str">
        <f>HYPERLINK("https://www.spark-marketing.ru/Card/Lot/72874379", "Поставка аккумуляторов для источников бесперебойного питания для нужд ГБУ РК ""Многофункциональный центр предоставления государственных и муниципальных услуг""")</f>
        <v>Поставка аккумуляторов для источников бесперебойного питания для нужд ГБУ РК "Многофункциональный центр предоставления государственных и муниципальных услуг"</v>
      </c>
      <c r="G6774" s="22" t="s">
        <v>108</v>
      </c>
      <c r="H6774" s="22" t="s">
        <v>108</v>
      </c>
      <c r="I6774" s="26">
        <v>43696.337962963</v>
      </c>
      <c r="J6774" s="23" t="str">
        <f>HYPERLINK("https://www.spark-marketing.ru/Card/Person/343131", "ООО ""ЩИТ""")</f>
        <v>ООО "ЩИТ"</v>
      </c>
      <c r="K6774" s="24" t="s">
        <v>10266</v>
      </c>
      <c r="L6774" s="28" t="s">
        <v>51</v>
      </c>
      <c r="M6774" s="25">
        <v>157603.17000000001</v>
      </c>
      <c r="N6774" s="27">
        <v>9.5000420046876421E-2</v>
      </c>
    </row>
    <row r="6775" spans="1:14" hidden="1" outlineLevel="1" x14ac:dyDescent="0.2">
      <c r="A6775" s="23" t="str">
        <f>HYPERLINK("https://www.spark-marketing.ru/Card/Person/4349211", "ГБУ РК «МНОГОФУНКЦИОНАЛЬНЫЙ ЦЕНТР ПРЕДОСТАВЛЕНИЯ ГОСУДАРСТВЕННЫХ И МУНИЦИПАЛЬНЫХ УСЛУГ»")</f>
        <v>ГБУ РК «МНОГОФУНКЦИОНАЛЬНЫЙ ЦЕНТР ПРЕДОСТАВЛЕНИЯ ГОСУДАРСТВЕННЫХ И МУНИЦИПАЛЬНЫХ УСЛУГ»</v>
      </c>
      <c r="B6775" s="24" t="s">
        <v>10262</v>
      </c>
      <c r="C6775" s="25">
        <v>174147.23</v>
      </c>
      <c r="D6775" s="22" t="s">
        <v>10263</v>
      </c>
      <c r="E6775" s="22" t="s">
        <v>7386</v>
      </c>
      <c r="F6775" s="23" t="str">
        <f>HYPERLINK("https://www.spark-marketing.ru/Card/Lot/72874379", "Поставка аккумуляторов для источников бесперебойного питания для нужд ГБУ РК ""Многофункциональный центр предоставления государственных и муниципальных услуг""")</f>
        <v>Поставка аккумуляторов для источников бесперебойного питания для нужд ГБУ РК "Многофункциональный центр предоставления государственных и муниципальных услуг"</v>
      </c>
      <c r="G6775" s="22" t="s">
        <v>108</v>
      </c>
      <c r="H6775" s="22" t="s">
        <v>108</v>
      </c>
      <c r="I6775" s="26">
        <v>43696.337962963</v>
      </c>
      <c r="J6775" s="23" t="str">
        <f>HYPERLINK("https://www.spark-marketing.ru/Card/Person/447710", "Бузов Александр Николаевич")</f>
        <v>Бузов Александр Николаевич</v>
      </c>
      <c r="K6775" s="24" t="s">
        <v>10267</v>
      </c>
      <c r="L6775" s="28" t="s">
        <v>51</v>
      </c>
      <c r="M6775" s="25">
        <v>168052.05</v>
      </c>
      <c r="N6775" s="27">
        <v>3.5000154754112368E-2</v>
      </c>
    </row>
    <row r="6776" spans="1:14" x14ac:dyDescent="0.15">
      <c r="A6776" s="23" t="str">
        <f>HYPERLINK("https://www.spark-marketing.ru/Card/Person/9852", "ОМВД РОССИИ ПО Г. КОСТОМУКШЕ")</f>
        <v>ОМВД РОССИИ ПО Г. КОСТОМУКШЕ</v>
      </c>
      <c r="B6776" s="24" t="s">
        <v>10268</v>
      </c>
      <c r="C6776" s="25">
        <v>1800000</v>
      </c>
      <c r="D6776" s="22" t="s">
        <v>10269</v>
      </c>
      <c r="E6776" s="22" t="s">
        <v>48</v>
      </c>
      <c r="F6776" s="23" t="str">
        <f>HYPERLINK("https://www.spark-marketing.ru/Card/Lot/72875513", "Питание арестованных")</f>
        <v>Питание арестованных</v>
      </c>
      <c r="G6776" s="22" t="s">
        <v>59</v>
      </c>
      <c r="H6776" s="22" t="s">
        <v>8526</v>
      </c>
      <c r="I6776" s="26">
        <v>43694.4992361111</v>
      </c>
      <c r="J6776" s="23" t="str">
        <f>HYPERLINK("https://www.spark-marketing.ru/Card/Person/1124199", "Тарасов Андрей Вильгельмович")</f>
        <v>Тарасов Андрей Вильгельмович</v>
      </c>
      <c r="K6776" s="24" t="s">
        <v>10270</v>
      </c>
      <c r="L6776" s="22" t="s">
        <v>10</v>
      </c>
      <c r="M6776" s="28" t="s">
        <v>51</v>
      </c>
      <c r="N6776" s="28" t="s">
        <v>51</v>
      </c>
    </row>
    <row r="6777" spans="1:14" x14ac:dyDescent="0.15">
      <c r="A6777" s="23" t="str">
        <f>HYPERLINK("https://www.spark-marketing.ru/Card/Person/102701", "УМВД РОССИИ ПО ГОРОДСКОМУ ОКРУГУ КРАСНОГОРСК")</f>
        <v>УМВД РОССИИ ПО ГОРОДСКОМУ ОКРУГУ КРАСНОГОРСК</v>
      </c>
      <c r="B6777" s="24" t="s">
        <v>5989</v>
      </c>
      <c r="C6777" s="25">
        <v>1493760</v>
      </c>
      <c r="D6777" s="22" t="s">
        <v>10271</v>
      </c>
      <c r="E6777" s="22" t="s">
        <v>48</v>
      </c>
      <c r="F6777" s="23" t="str">
        <f>HYPERLINK("https://www.spark-marketing.ru/Card/Lot/72875473", "Оказание услуг по питанию граждан содержащихся в ИВС УМВД России по городскому округу Красногорск")</f>
        <v>Оказание услуг по питанию граждан содержащихся в ИВС УМВД России по городскому округу Красногорск</v>
      </c>
      <c r="G6777" s="22" t="s">
        <v>49</v>
      </c>
      <c r="H6777" s="22" t="s">
        <v>10272</v>
      </c>
      <c r="I6777" s="26">
        <v>43696.387199074103</v>
      </c>
      <c r="J6777" s="23" t="str">
        <f>HYPERLINK("https://www.spark-marketing.ru/Card/Person/115242", "Башмаков Николай Николаевич")</f>
        <v>Башмаков Николай Николаевич</v>
      </c>
      <c r="K6777" s="24" t="s">
        <v>5812</v>
      </c>
      <c r="L6777" s="22" t="s">
        <v>10</v>
      </c>
      <c r="M6777" s="28" t="s">
        <v>51</v>
      </c>
      <c r="N6777" s="28" t="s">
        <v>51</v>
      </c>
    </row>
    <row r="6778" spans="1:14" x14ac:dyDescent="0.15">
      <c r="A6778" s="23" t="str">
        <f>HYPERLINK("https://www.spark-marketing.ru/Card/Person/323764", "ФКУ СИЗО-1 ГУФСИН РОССИИ ПО ИРКУТСКОЙ ОБЛАСТИ")</f>
        <v>ФКУ СИЗО-1 ГУФСИН РОССИИ ПО ИРКУТСКОЙ ОБЛАСТИ</v>
      </c>
      <c r="B6778" s="24" t="s">
        <v>9135</v>
      </c>
      <c r="C6778" s="25">
        <v>406585</v>
      </c>
      <c r="D6778" s="22" t="s">
        <v>10273</v>
      </c>
      <c r="E6778" s="22" t="s">
        <v>809</v>
      </c>
      <c r="F6778" s="23" t="str">
        <f>HYPERLINK("https://www.spark-marketing.ru/Card/Lot/72865459", "закупка товаров, работ, услуг в сфере информационно-коммуникационных технологий (Оргтехника)")</f>
        <v>закупка товаров, работ, услуг в сфере информационно-коммуникационных технологий (Оргтехника)</v>
      </c>
      <c r="G6778" s="22" t="s">
        <v>263</v>
      </c>
      <c r="H6778" s="22" t="s">
        <v>263</v>
      </c>
      <c r="I6778" s="26">
        <v>43693.726226851897</v>
      </c>
      <c r="J6778" s="23" t="str">
        <f>HYPERLINK("https://www.spark-marketing.ru/Card/Person/6393529", "Касимов Евгений Нуруллаевич")</f>
        <v>Касимов Евгений Нуруллаевич</v>
      </c>
      <c r="K6778" s="24" t="s">
        <v>10274</v>
      </c>
      <c r="L6778" s="22" t="s">
        <v>10</v>
      </c>
      <c r="M6778" s="28" t="s">
        <v>51</v>
      </c>
      <c r="N6778" s="28" t="s">
        <v>51</v>
      </c>
    </row>
    <row r="6779" spans="1:14" x14ac:dyDescent="0.15">
      <c r="A6779" s="23" t="str">
        <f>HYPERLINK("https://www.spark-marketing.ru/Card/Person/1033984", "МО МВД РОССИИ ""БАЛАШОВСКИЙ"" САРАТОВСКОЙ ОБЛАСТИ")</f>
        <v>МО МВД РОССИИ "БАЛАШОВСКИЙ" САРАТОВСКОЙ ОБЛАСТИ</v>
      </c>
      <c r="B6779" s="24" t="s">
        <v>9938</v>
      </c>
      <c r="C6779" s="25">
        <v>150093</v>
      </c>
      <c r="D6779" s="22" t="s">
        <v>10275</v>
      </c>
      <c r="E6779" s="22" t="s">
        <v>96</v>
      </c>
      <c r="F6779" s="23" t="str">
        <f>HYPERLINK("https://www.spark-marketing.ru/Card/Lot/72869144", "Оказание услуг по организации питания (приготовлению и доставке), 689 шт")</f>
        <v>Оказание услуг по организации питания (приготовлению и доставке), 689 шт</v>
      </c>
      <c r="G6779" s="22" t="s">
        <v>351</v>
      </c>
      <c r="H6779" s="22" t="s">
        <v>10276</v>
      </c>
      <c r="I6779" s="26">
        <v>43696.435914351903</v>
      </c>
      <c r="J6779" s="28" t="s">
        <v>51</v>
      </c>
      <c r="K6779" s="28" t="s">
        <v>51</v>
      </c>
      <c r="L6779" s="28" t="s">
        <v>51</v>
      </c>
      <c r="M6779" s="28" t="s">
        <v>51</v>
      </c>
      <c r="N6779" s="28" t="s">
        <v>51</v>
      </c>
    </row>
    <row r="6780" spans="1:14" x14ac:dyDescent="0.15">
      <c r="A6780" s="23" t="str">
        <f>HYPERLINK("https://www.spark-marketing.ru/Card/Person/4346304", "ФКУ ""ЦХИСО МВД ПО ЧЕЧЕНСКОЙ РЕСПУБЛИКЕ""")</f>
        <v>ФКУ "ЦХИСО МВД ПО ЧЕЧЕНСКОЙ РЕСПУБЛИКЕ"</v>
      </c>
      <c r="B6780" s="24" t="s">
        <v>1981</v>
      </c>
      <c r="C6780" s="25">
        <v>999797.02</v>
      </c>
      <c r="D6780" s="22" t="s">
        <v>10277</v>
      </c>
      <c r="E6780" s="22" t="s">
        <v>96</v>
      </c>
      <c r="F6780" s="23" t="str">
        <f>HYPERLINK("https://www.spark-marketing.ru/Card/Lot/72873651", "Организация ежедневного горячего питания, в том числе в выходные и праздничные дни, лиц содержащихся в Центре временного содержания иностранных граждан при МВД по Чеченской Республике")</f>
        <v>Организация ежедневного горячего питания, в том числе в выходные и праздничные дни, лиц содержащихся в Центре временного содержания иностранных граждан при МВД по Чеченской Республике</v>
      </c>
      <c r="G6780" s="22" t="s">
        <v>1983</v>
      </c>
      <c r="H6780" s="22" t="s">
        <v>1983</v>
      </c>
      <c r="I6780" s="26">
        <v>43693.773194444402</v>
      </c>
      <c r="J6780" s="23" t="str">
        <f>HYPERLINK("https://www.spark-marketing.ru/Card/Person/6459221", "Мусаитова Хеда Сайдмухмадовна")</f>
        <v>Мусаитова Хеда Сайдмухмадовна</v>
      </c>
      <c r="K6780" s="24" t="s">
        <v>10278</v>
      </c>
      <c r="L6780" s="22" t="s">
        <v>10</v>
      </c>
      <c r="M6780" s="28" t="s">
        <v>51</v>
      </c>
      <c r="N6780" s="28" t="s">
        <v>51</v>
      </c>
    </row>
    <row r="6781" spans="1:14" x14ac:dyDescent="0.15">
      <c r="A6781" s="23" t="str">
        <f>HYPERLINK("https://www.spark-marketing.ru/Card/Person/102549", "КГБОУ ""МАРАЛИХИНСКАЯ ОБЩЕОБРАЗОВАТЕЛЬНАЯ ШКОЛА-ИНТЕРНАТ""")</f>
        <v>КГБОУ "МАРАЛИХИНСКАЯ ОБЩЕОБРАЗОВАТЕЛЬНАЯ ШКОЛА-ИНТЕРНАТ"</v>
      </c>
      <c r="B6781" s="24" t="s">
        <v>10022</v>
      </c>
      <c r="C6781" s="25">
        <v>140980</v>
      </c>
      <c r="D6781" s="22" t="s">
        <v>10279</v>
      </c>
      <c r="E6781" s="22" t="s">
        <v>10280</v>
      </c>
      <c r="F6781" s="23" t="str">
        <f>HYPERLINK("https://www.spark-marketing.ru/Card/Lot/72869259", "(244)Товары, работы или услуги на сумму, не превышающие 100 тыс. руб. (п.4 ч.1 ст.93 44-ФЗ)")</f>
        <v>(244)Товары, работы или услуги на сумму, не превышающие 100 тыс. руб. (п.4 ч.1 ст.93 44-ФЗ)</v>
      </c>
      <c r="G6781" s="22" t="s">
        <v>63</v>
      </c>
      <c r="H6781" s="22" t="s">
        <v>10024</v>
      </c>
      <c r="I6781" s="26">
        <v>43696.433333333298</v>
      </c>
      <c r="J6781" s="28" t="s">
        <v>51</v>
      </c>
      <c r="K6781" s="28" t="s">
        <v>51</v>
      </c>
      <c r="L6781" s="28" t="s">
        <v>51</v>
      </c>
      <c r="M6781" s="28" t="s">
        <v>51</v>
      </c>
      <c r="N6781" s="28" t="s">
        <v>51</v>
      </c>
    </row>
    <row r="6782" spans="1:14" x14ac:dyDescent="0.15">
      <c r="A6782" s="23" t="str">
        <f>HYPERLINK("https://www.spark-marketing.ru/Card/Person/1033984", "МО МВД РОССИИ ""БАЛАШОВСКИЙ"" САРАТОВСКОЙ ОБЛАСТИ")</f>
        <v>МО МВД РОССИИ "БАЛАШОВСКИЙ" САРАТОВСКОЙ ОБЛАСТИ</v>
      </c>
      <c r="B6782" s="24" t="s">
        <v>9938</v>
      </c>
      <c r="C6782" s="25">
        <v>150842</v>
      </c>
      <c r="D6782" s="22" t="s">
        <v>10281</v>
      </c>
      <c r="E6782" s="22" t="s">
        <v>96</v>
      </c>
      <c r="F6782" s="23" t="str">
        <f>HYPERLINK("https://www.spark-marketing.ru/Card/Lot/72868917", "Оказание услуг по организации питания (приготовлению и доставке), 758 шт")</f>
        <v>Оказание услуг по организации питания (приготовлению и доставке), 758 шт</v>
      </c>
      <c r="G6782" s="22" t="s">
        <v>351</v>
      </c>
      <c r="H6782" s="22" t="s">
        <v>10282</v>
      </c>
      <c r="I6782" s="26">
        <v>43696.425717592603</v>
      </c>
      <c r="J6782" s="28" t="s">
        <v>51</v>
      </c>
      <c r="K6782" s="28" t="s">
        <v>51</v>
      </c>
      <c r="L6782" s="28" t="s">
        <v>51</v>
      </c>
      <c r="M6782" s="28" t="s">
        <v>51</v>
      </c>
      <c r="N6782" s="28" t="s">
        <v>51</v>
      </c>
    </row>
    <row r="6783" spans="1:14" x14ac:dyDescent="0.15">
      <c r="A6783" s="23" t="str">
        <f>HYPERLINK("https://www.spark-marketing.ru/Card/Person/1760888", "ГУ-ТОМСКОЕ РО ФОНДА СОЦИАЛЬНОГО СТРАХОВАНИЯ РОССИЙСКОЙ ФЕДЕРАЦИИ")</f>
        <v>ГУ-ТОМСКОЕ РО ФОНДА СОЦИАЛЬНОГО СТРАХОВАНИЯ РОССИЙСКОЙ ФЕДЕРАЦИИ</v>
      </c>
      <c r="B6783" s="24" t="s">
        <v>9626</v>
      </c>
      <c r="C6783" s="25">
        <v>786051</v>
      </c>
      <c r="D6783" s="22" t="s">
        <v>10283</v>
      </c>
      <c r="E6783" s="22" t="s">
        <v>86</v>
      </c>
      <c r="F6783" s="23" t="str">
        <f>HYPERLINK("https://www.spark-marketing.ru/Card/Lot/72866341", "Оказание услуг по санаторно-курортному лечению граждан получателей набора социальных услуг с заболеваниями по Классу IV МКБ-10 «Болезни эндокринной системы, расстройства питания и нарушения обмена веществ», с заболеваниями по Классу VI МКБ-10 «Болезн...")</f>
        <v>Оказание услуг по санаторно-курортному лечению граждан получателей набора социальных услуг с заболеваниями по Классу IV МКБ-10 «Болезни эндокринной системы, расстройства питания и нарушения обмена веществ», с заболеваниями по Классу VI МКБ-10 «Болезн...</v>
      </c>
      <c r="G6783" s="22" t="s">
        <v>149</v>
      </c>
      <c r="H6783" s="22" t="s">
        <v>496</v>
      </c>
      <c r="I6783" s="26">
        <v>43696.440995370402</v>
      </c>
      <c r="J6783" s="23" t="str">
        <f>HYPERLINK("https://www.spark-marketing.ru/Card/Person/136138", "АО ""САНАТОРИЙ ""МОТЫЛЕК""")</f>
        <v>АО "САНАТОРИЙ "МОТЫЛЕК"</v>
      </c>
      <c r="K6783" s="24" t="s">
        <v>10284</v>
      </c>
      <c r="L6783" s="22" t="s">
        <v>10</v>
      </c>
      <c r="M6783" s="28" t="s">
        <v>51</v>
      </c>
      <c r="N6783" s="28" t="s">
        <v>51</v>
      </c>
    </row>
    <row r="6784" spans="1:14" x14ac:dyDescent="0.15">
      <c r="A6784" s="23" t="str">
        <f>HYPERLINK("https://www.spark-marketing.ru/Card/Person/879104", "ОТДЕЛ МВД РОССИИ ПО КУРГАНИНСКОМУ РАЙОНУ")</f>
        <v>ОТДЕЛ МВД РОССИИ ПО КУРГАНИНСКОМУ РАЙОНУ</v>
      </c>
      <c r="B6784" s="24" t="s">
        <v>2141</v>
      </c>
      <c r="C6784" s="25">
        <v>498000</v>
      </c>
      <c r="D6784" s="22" t="s">
        <v>10285</v>
      </c>
      <c r="E6784" s="22" t="s">
        <v>48</v>
      </c>
      <c r="F6784" s="23" t="str">
        <f>HYPERLINK("https://www.spark-marketing.ru/Card/Lot/72870560", "Услуги по обеспечению питанием лиц, содержащихся в ИВС, КАА и СПСЗЛ Отдела МВД России по Курганинскому району")</f>
        <v>Услуги по обеспечению питанием лиц, содержащихся в ИВС, КАА и СПСЗЛ Отдела МВД России по Курганинскому району</v>
      </c>
      <c r="G6784" s="22" t="s">
        <v>104</v>
      </c>
      <c r="H6784" s="22" t="s">
        <v>2143</v>
      </c>
      <c r="I6784" s="26">
        <v>43693.424189814803</v>
      </c>
      <c r="J6784" s="23" t="str">
        <f>HYPERLINK("https://www.spark-marketing.ru/Card/Person/6426744", "Терещенко Людмила Николаевна")</f>
        <v>Терещенко Людмила Николаевна</v>
      </c>
      <c r="K6784" s="24" t="s">
        <v>10286</v>
      </c>
      <c r="L6784" s="22" t="s">
        <v>10</v>
      </c>
      <c r="M6784" s="28" t="s">
        <v>51</v>
      </c>
      <c r="N6784" s="28" t="s">
        <v>51</v>
      </c>
    </row>
    <row r="6785" spans="1:14" x14ac:dyDescent="0.15">
      <c r="A6785" s="23" t="str">
        <f>HYPERLINK("https://www.spark-marketing.ru/Card/Person/102701", "УМВД РОССИИ ПО ГОРОДСКОМУ ОКРУГУ КРАСНОГОРСК")</f>
        <v>УМВД РОССИИ ПО ГОРОДСКОМУ ОКРУГУ КРАСНОГОРСК</v>
      </c>
      <c r="B6785" s="24" t="s">
        <v>5989</v>
      </c>
      <c r="C6785" s="25">
        <v>1052480</v>
      </c>
      <c r="D6785" s="22" t="s">
        <v>10287</v>
      </c>
      <c r="E6785" s="22" t="s">
        <v>48</v>
      </c>
      <c r="F6785" s="23" t="str">
        <f>HYPERLINK("https://www.spark-marketing.ru/Card/Lot/72873339", "Услуги по питанию граждан содержащихся в ИВС УМВД России по городскому округу Красногорск")</f>
        <v>Услуги по питанию граждан содержащихся в ИВС УМВД России по городскому округу Красногорск</v>
      </c>
      <c r="G6785" s="22" t="s">
        <v>49</v>
      </c>
      <c r="H6785" s="22" t="s">
        <v>10272</v>
      </c>
      <c r="I6785" s="26">
        <v>43696.401840277802</v>
      </c>
      <c r="J6785" s="23" t="str">
        <f>HYPERLINK("https://www.spark-marketing.ru/Card/Person/115242", "Башмаков Николай Николаевич")</f>
        <v>Башмаков Николай Николаевич</v>
      </c>
      <c r="K6785" s="24" t="s">
        <v>5812</v>
      </c>
      <c r="L6785" s="22" t="s">
        <v>10</v>
      </c>
      <c r="M6785" s="28" t="s">
        <v>51</v>
      </c>
      <c r="N6785" s="28" t="s">
        <v>51</v>
      </c>
    </row>
    <row r="6786" spans="1:14" x14ac:dyDescent="0.15">
      <c r="A6786" s="23" t="str">
        <f>HYPERLINK("https://www.spark-marketing.ru/Card/Person/950591", "МКОУ ОКТЯБРЬСКАЯ СШ № 9")</f>
        <v>МКОУ ОКТЯБРЬСКАЯ СШ № 9</v>
      </c>
      <c r="B6786" s="24" t="s">
        <v>10288</v>
      </c>
      <c r="C6786" s="25">
        <v>1000000</v>
      </c>
      <c r="D6786" s="22" t="s">
        <v>10289</v>
      </c>
      <c r="E6786" s="22" t="s">
        <v>10290</v>
      </c>
      <c r="F6786" s="23" t="str">
        <f>HYPERLINK("https://www.spark-marketing.ru/Card/Lot/72866340", "Продукты питания")</f>
        <v>Продукты питания</v>
      </c>
      <c r="G6786" s="22" t="s">
        <v>281</v>
      </c>
      <c r="H6786" s="22" t="s">
        <v>281</v>
      </c>
      <c r="I6786" s="26">
        <v>43696.440034722204</v>
      </c>
      <c r="J6786" s="23" t="str">
        <f>HYPERLINK("https://www.spark-marketing.ru/Card/Person/6368007", "Чистовская Кристина Александровна")</f>
        <v>Чистовская Кристина Александровна</v>
      </c>
      <c r="K6786" s="24" t="s">
        <v>10045</v>
      </c>
      <c r="L6786" s="22" t="s">
        <v>10</v>
      </c>
      <c r="M6786" s="28" t="s">
        <v>51</v>
      </c>
      <c r="N6786" s="28" t="s">
        <v>51</v>
      </c>
    </row>
    <row r="6787" spans="1:14" x14ac:dyDescent="0.15">
      <c r="A6787" s="23" t="str">
        <f>HYPERLINK("https://www.spark-marketing.ru/Card/Person/999404", "МОУ ""СОШ № 9""")</f>
        <v>МОУ "СОШ № 9"</v>
      </c>
      <c r="B6787" s="24" t="s">
        <v>10291</v>
      </c>
      <c r="C6787" s="25">
        <v>126480</v>
      </c>
      <c r="D6787" s="22" t="s">
        <v>10292</v>
      </c>
      <c r="E6787" s="22" t="s">
        <v>48</v>
      </c>
      <c r="F6787" s="23" t="str">
        <f>HYPERLINK("https://www.spark-marketing.ru/Card/Lot/72871040", "Оказание услуг по организации питания детей из малообеспеченных семей и детей с нарушениями здоровья")</f>
        <v>Оказание услуг по организации питания детей из малообеспеченных семей и детей с нарушениями здоровья</v>
      </c>
      <c r="G6787" s="22" t="s">
        <v>469</v>
      </c>
      <c r="H6787" s="22" t="s">
        <v>5961</v>
      </c>
      <c r="I6787" s="26">
        <v>43696.457638888904</v>
      </c>
      <c r="J6787" s="28" t="s">
        <v>51</v>
      </c>
      <c r="K6787" s="28" t="s">
        <v>51</v>
      </c>
      <c r="L6787" s="28" t="s">
        <v>51</v>
      </c>
      <c r="M6787" s="28" t="s">
        <v>51</v>
      </c>
      <c r="N6787" s="28" t="s">
        <v>51</v>
      </c>
    </row>
    <row r="6788" spans="1:14" x14ac:dyDescent="0.15">
      <c r="A6788" s="23" t="str">
        <f>HYPERLINK("https://www.spark-marketing.ru/Card/Person/1009189", "ОМВД РОССИИ ПО ВЕЛЬСКОМУ РАЙОНУ")</f>
        <v>ОМВД РОССИИ ПО ВЕЛЬСКОМУ РАЙОНУ</v>
      </c>
      <c r="B6788" s="24" t="s">
        <v>9796</v>
      </c>
      <c r="C6788" s="25">
        <v>649047.56000000006</v>
      </c>
      <c r="D6788" s="22" t="s">
        <v>10293</v>
      </c>
      <c r="E6788" s="22" t="s">
        <v>48</v>
      </c>
      <c r="F6788" s="23" t="str">
        <f>HYPERLINK("https://www.spark-marketing.ru/Card/Lot/72873341", "Оказание услуг по организации трехразового ежедневного горячего питания для лиц, задержанных за административные правонарушения на срок более 3-х часов содержащихся в служебном помещении для задержанных лиц дежурной части ОМВД России по Вельскому рай...")</f>
        <v>Оказание услуг по организации трехразового ежедневного горячего питания для лиц, задержанных за административные правонарушения на срок более 3-х часов содержащихся в служебном помещении для задержанных лиц дежурной части ОМВД России по Вельскому рай...</v>
      </c>
      <c r="G6788" s="22" t="s">
        <v>214</v>
      </c>
      <c r="H6788" s="22" t="s">
        <v>214</v>
      </c>
      <c r="I6788" s="26">
        <v>43696.403668981497</v>
      </c>
      <c r="J6788" s="28" t="s">
        <v>51</v>
      </c>
      <c r="K6788" s="28" t="s">
        <v>51</v>
      </c>
      <c r="L6788" s="28" t="s">
        <v>51</v>
      </c>
      <c r="M6788" s="28" t="s">
        <v>51</v>
      </c>
      <c r="N6788" s="28" t="s">
        <v>51</v>
      </c>
    </row>
    <row r="6789" spans="1:14" ht="12.75" hidden="1" outlineLevel="1" x14ac:dyDescent="0.2">
      <c r="A6789" s="23" t="str">
        <f>HYPERLINK("https://www.spark-marketing.ru/Card/Person/1009189", "ОМВД РОССИИ ПО ВЕЛЬСКОМУ РАЙОНУ")</f>
        <v>ОМВД РОССИИ ПО ВЕЛЬСКОМУ РАЙОНУ</v>
      </c>
      <c r="B6789" s="24" t="s">
        <v>9796</v>
      </c>
      <c r="C6789" s="25">
        <v>649047.56000000006</v>
      </c>
      <c r="D6789" s="22" t="s">
        <v>10293</v>
      </c>
      <c r="E6789" s="22" t="s">
        <v>48</v>
      </c>
      <c r="F6789" s="23" t="str">
        <f>HYPERLINK("https://www.spark-marketing.ru/Card/Lot/72873341", "Оказание услуг по организации трехразового ежедневного горячего питания для лиц, задержанных за административные правонарушения на срок более 3-х часов содержащихся в служебном помещении для задержанных лиц дежурной части ОМВД России по Вельскому рай...")</f>
        <v>Оказание услуг по организации трехразового ежедневного горячего питания для лиц, задержанных за административные правонарушения на срок более 3-х часов содержащихся в служебном помещении для задержанных лиц дежурной части ОМВД России по Вельскому рай...</v>
      </c>
      <c r="G6789" s="22" t="s">
        <v>214</v>
      </c>
      <c r="H6789" s="22" t="s">
        <v>214</v>
      </c>
      <c r="I6789" s="26">
        <v>43696.403668981497</v>
      </c>
      <c r="J6789" s="23" t="str">
        <f>HYPERLINK("https://www.spark-marketing.ru/Card/Person/119695", "ФКУ ИК-14 УФСИН РОССИИ ПО АРХАНГЕЛЬСКОЙ ОБЛАСТИ")</f>
        <v>ФКУ ИК-14 УФСИН РОССИИ ПО АРХАНГЕЛЬСКОЙ ОБЛАСТИ</v>
      </c>
      <c r="K6789" s="24" t="s">
        <v>9798</v>
      </c>
      <c r="L6789" s="22" t="s">
        <v>10</v>
      </c>
      <c r="M6789" s="25">
        <v>2581.6</v>
      </c>
      <c r="N6789" s="27">
        <v>0.9960224794620598</v>
      </c>
    </row>
    <row r="6790" spans="1:14" hidden="1" outlineLevel="1" x14ac:dyDescent="0.2">
      <c r="A6790" s="23" t="str">
        <f>HYPERLINK("https://www.spark-marketing.ru/Card/Person/1009189", "ОМВД РОССИИ ПО ВЕЛЬСКОМУ РАЙОНУ")</f>
        <v>ОМВД РОССИИ ПО ВЕЛЬСКОМУ РАЙОНУ</v>
      </c>
      <c r="B6790" s="24" t="s">
        <v>9796</v>
      </c>
      <c r="C6790" s="25">
        <v>649047.56000000006</v>
      </c>
      <c r="D6790" s="22" t="s">
        <v>10293</v>
      </c>
      <c r="E6790" s="22" t="s">
        <v>48</v>
      </c>
      <c r="F6790" s="23" t="str">
        <f>HYPERLINK("https://www.spark-marketing.ru/Card/Lot/72873341", "Оказание услуг по организации трехразового ежедневного горячего питания для лиц, задержанных за административные правонарушения на срок более 3-х часов содержащихся в служебном помещении для задержанных лиц дежурной части ОМВД России по Вельскому рай...")</f>
        <v>Оказание услуг по организации трехразового ежедневного горячего питания для лиц, задержанных за административные правонарушения на срок более 3-х часов содержащихся в служебном помещении для задержанных лиц дежурной части ОМВД России по Вельскому рай...</v>
      </c>
      <c r="G6790" s="22" t="s">
        <v>214</v>
      </c>
      <c r="H6790" s="22" t="s">
        <v>214</v>
      </c>
      <c r="I6790" s="26">
        <v>43696.403668981497</v>
      </c>
      <c r="J6790" s="23" t="str">
        <f>HYPERLINK("https://www.spark-marketing.ru/Card/Person/1108452", "Милантьева Елена Валентиновна")</f>
        <v>Милантьева Елена Валентиновна</v>
      </c>
      <c r="K6790" s="24" t="s">
        <v>9799</v>
      </c>
      <c r="L6790" s="28" t="s">
        <v>51</v>
      </c>
      <c r="M6790" s="25">
        <v>2581.6</v>
      </c>
      <c r="N6790" s="27">
        <v>0.9960224794620598</v>
      </c>
    </row>
    <row r="6791" spans="1:14" x14ac:dyDescent="0.15">
      <c r="A6791" s="23" t="str">
        <f>HYPERLINK("https://www.spark-marketing.ru/Card/Person/543189", "ОМВД РОССИИ ПО ЖЕРДЕВСКОМУ РАЙОНУ")</f>
        <v>ОМВД РОССИИ ПО ЖЕРДЕВСКОМУ РАЙОНУ</v>
      </c>
      <c r="B6791" s="24" t="s">
        <v>10294</v>
      </c>
      <c r="C6791" s="25">
        <v>378329.7</v>
      </c>
      <c r="D6791" s="22" t="s">
        <v>10295</v>
      </c>
      <c r="E6791" s="22" t="s">
        <v>48</v>
      </c>
      <c r="F6791" s="23" t="str">
        <f>HYPERLINK("https://www.spark-marketing.ru/Card/Lot/72870591", "Оказание услуг по приготовлению горячего питания лицам, содержащимся в ИВС и СПЗ ОМВД России по Жердевскому району")</f>
        <v>Оказание услуг по приготовлению горячего питания лицам, содержащимся в ИВС и СПЗ ОМВД России по Жердевскому району</v>
      </c>
      <c r="G6791" s="22" t="s">
        <v>1370</v>
      </c>
      <c r="H6791" s="22" t="s">
        <v>1370</v>
      </c>
      <c r="I6791" s="26">
        <v>43693.698240740698</v>
      </c>
      <c r="J6791" s="23" t="str">
        <f>HYPERLINK("https://www.spark-marketing.ru/Card/Person/2296021", "ООО ""АНАСТАСИЯ""")</f>
        <v>ООО "АНАСТАСИЯ"</v>
      </c>
      <c r="K6791" s="24" t="s">
        <v>10296</v>
      </c>
      <c r="L6791" s="22" t="s">
        <v>10</v>
      </c>
      <c r="M6791" s="28" t="s">
        <v>51</v>
      </c>
      <c r="N6791" s="28" t="s">
        <v>51</v>
      </c>
    </row>
    <row r="6792" spans="1:14" x14ac:dyDescent="0.15">
      <c r="A6792" s="23" t="str">
        <f>HYPERLINK("https://www.spark-marketing.ru/Card/Person/102549", "КГБОУ ""МАРАЛИХИНСКАЯ ОБЩЕОБРАЗОВАТЕЛЬНАЯ ШКОЛА-ИНТЕРНАТ""")</f>
        <v>КГБОУ "МАРАЛИХИНСКАЯ ОБЩЕОБРАЗОВАТЕЛЬНАЯ ШКОЛА-ИНТЕРНАТ"</v>
      </c>
      <c r="B6792" s="24" t="s">
        <v>10022</v>
      </c>
      <c r="C6792" s="25">
        <v>50693.440000000002</v>
      </c>
      <c r="D6792" s="22" t="s">
        <v>10297</v>
      </c>
      <c r="E6792" s="22" t="s">
        <v>10298</v>
      </c>
      <c r="F6792" s="23" t="str">
        <f>HYPERLINK("https://www.spark-marketing.ru/Card/Lot/72869053", "(244)Товары, работы или услуги на сумму, не превышающие 100 тыс. руб. (п.4 ч.1 ст.93 44-ФЗ)")</f>
        <v>(244)Товары, работы или услуги на сумму, не превышающие 100 тыс. руб. (п.4 ч.1 ст.93 44-ФЗ)</v>
      </c>
      <c r="G6792" s="22" t="s">
        <v>63</v>
      </c>
      <c r="H6792" s="22" t="s">
        <v>10024</v>
      </c>
      <c r="I6792" s="26">
        <v>43696.386111111096</v>
      </c>
      <c r="J6792" s="28" t="s">
        <v>51</v>
      </c>
      <c r="K6792" s="28" t="s">
        <v>51</v>
      </c>
      <c r="L6792" s="28" t="s">
        <v>51</v>
      </c>
      <c r="M6792" s="28" t="s">
        <v>51</v>
      </c>
      <c r="N6792" s="28" t="s">
        <v>51</v>
      </c>
    </row>
    <row r="6793" spans="1:14" x14ac:dyDescent="0.15">
      <c r="A6793" s="23" t="str">
        <f>HYPERLINK("https://www.spark-marketing.ru/Card/Person/82686", "ОМВД РОССИИ ПО ЛОУХСКОМУ РАЙОНУ")</f>
        <v>ОМВД РОССИИ ПО ЛОУХСКОМУ РАЙОНУ</v>
      </c>
      <c r="B6793" s="24" t="s">
        <v>10299</v>
      </c>
      <c r="C6793" s="25">
        <v>340000</v>
      </c>
      <c r="D6793" s="22" t="s">
        <v>10300</v>
      </c>
      <c r="E6793" s="22" t="s">
        <v>48</v>
      </c>
      <c r="F6793" s="23" t="str">
        <f>HYPERLINK("https://www.spark-marketing.ru/Card/Lot/72870559", "за услуги по питанию лиц, содержащихся в ИВС")</f>
        <v>за услуги по питанию лиц, содержащихся в ИВС</v>
      </c>
      <c r="G6793" s="22" t="s">
        <v>59</v>
      </c>
      <c r="H6793" s="22" t="s">
        <v>59</v>
      </c>
      <c r="I6793" s="26">
        <v>43693.416516203702</v>
      </c>
      <c r="J6793" s="28" t="s">
        <v>51</v>
      </c>
      <c r="K6793" s="28" t="s">
        <v>51</v>
      </c>
      <c r="L6793" s="28" t="s">
        <v>51</v>
      </c>
      <c r="M6793" s="28" t="s">
        <v>51</v>
      </c>
      <c r="N6793" s="28" t="s">
        <v>51</v>
      </c>
    </row>
    <row r="6794" spans="1:14" x14ac:dyDescent="0.15">
      <c r="A6794" s="23" t="str">
        <f>HYPERLINK("https://www.spark-marketing.ru/Card/Person/4348382", "ООО ""ГАЗПРОМ ПИТАНИЕ""")</f>
        <v>ООО "ГАЗПРОМ ПИТАНИЕ"</v>
      </c>
      <c r="B6794" s="24" t="s">
        <v>2869</v>
      </c>
      <c r="C6794" s="25">
        <v>162000</v>
      </c>
      <c r="D6794" s="22" t="s">
        <v>10301</v>
      </c>
      <c r="E6794" s="22" t="s">
        <v>52</v>
      </c>
      <c r="F6794" s="23" t="str">
        <f>HYPERLINK("https://www.spark-marketing.ru/Card/Lot/72868685", "Оказание услуг на проведение лабораторных и инструментальных исследований для нужд филиала ""томское уооп"" ооо ""газпром питание"" г. томск")</f>
        <v>Оказание услуг на проведение лабораторных и инструментальных исследований для нужд филиала "томское уооп" ооо "газпром питание" г. томск</v>
      </c>
      <c r="G6794" s="22" t="s">
        <v>149</v>
      </c>
      <c r="H6794" s="22" t="s">
        <v>496</v>
      </c>
      <c r="I6794" s="26">
        <v>43696.4152777778</v>
      </c>
      <c r="J6794" s="28" t="s">
        <v>51</v>
      </c>
      <c r="K6794" s="28" t="s">
        <v>51</v>
      </c>
      <c r="L6794" s="28" t="s">
        <v>51</v>
      </c>
      <c r="M6794" s="28" t="s">
        <v>51</v>
      </c>
      <c r="N6794" s="28" t="s">
        <v>51</v>
      </c>
    </row>
    <row r="6795" spans="1:14" x14ac:dyDescent="0.15">
      <c r="A6795" s="23" t="str">
        <f>HYPERLINK("https://www.spark-marketing.ru/Card/Person/1001996", "МУНИЦИПАЛЬНАЯ СРЕДНЯЯ ОБЩЕОБРАЗОВАТЕЛЬНАЯ ШКОЛА №7")</f>
        <v>МУНИЦИПАЛЬНАЯ СРЕДНЯЯ ОБЩЕОБРАЗОВАТЕЛЬНАЯ ШКОЛА №7</v>
      </c>
      <c r="B6795" s="24" t="s">
        <v>10302</v>
      </c>
      <c r="C6795" s="25">
        <v>359660</v>
      </c>
      <c r="D6795" s="22" t="s">
        <v>10303</v>
      </c>
      <c r="E6795" s="22" t="s">
        <v>51</v>
      </c>
      <c r="F6795" s="23" t="str">
        <f>HYPERLINK("https://www.spark-marketing.ru/Card/Lot/72870561",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795" s="22" t="s">
        <v>1066</v>
      </c>
      <c r="H6795" s="22" t="s">
        <v>2864</v>
      </c>
      <c r="I6795" s="26">
        <v>43693.442326388897</v>
      </c>
      <c r="J6795" s="28" t="s">
        <v>51</v>
      </c>
      <c r="K6795" s="28" t="s">
        <v>51</v>
      </c>
      <c r="L6795" s="28" t="s">
        <v>51</v>
      </c>
      <c r="M6795" s="28" t="s">
        <v>51</v>
      </c>
      <c r="N6795" s="28" t="s">
        <v>51</v>
      </c>
    </row>
    <row r="6796" spans="1:14" x14ac:dyDescent="0.15">
      <c r="A6796" s="23" t="str">
        <f>HYPERLINK("https://www.spark-marketing.ru/Card/Person/60048", "МУНИЦИПАЛЬНАЯ БЮДЖЕТНАЯ ОБЩЕОБРАЗОВАТЕЛЬНАЯ СРЕДНЯЯ ШКОЛА № 13 Г. ОРЛА")</f>
        <v>МУНИЦИПАЛЬНАЯ БЮДЖЕТНАЯ ОБЩЕОБРАЗОВАТЕЛЬНАЯ СРЕДНЯЯ ШКОЛА № 13 Г. ОРЛА</v>
      </c>
      <c r="B6796" s="24" t="s">
        <v>10304</v>
      </c>
      <c r="C6796" s="25">
        <v>672640</v>
      </c>
      <c r="D6796" s="22" t="s">
        <v>10305</v>
      </c>
      <c r="E6796" s="22" t="s">
        <v>51</v>
      </c>
      <c r="F6796" s="23" t="str">
        <f>HYPERLINK("https://www.spark-marketing.ru/Card/Lot/72870570",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796" s="22" t="s">
        <v>1066</v>
      </c>
      <c r="H6796" s="22" t="s">
        <v>2864</v>
      </c>
      <c r="I6796" s="26">
        <v>43693.657905092601</v>
      </c>
      <c r="J6796" s="23" t="str">
        <f>HYPERLINK("https://www.spark-marketing.ru/Card/Person/104389", "ООО ""ВЕСНА - ОРЕЛ""")</f>
        <v>ООО "ВЕСНА - ОРЕЛ"</v>
      </c>
      <c r="K6796" s="24" t="s">
        <v>9246</v>
      </c>
      <c r="L6796" s="22" t="s">
        <v>10</v>
      </c>
      <c r="M6796" s="28" t="s">
        <v>51</v>
      </c>
      <c r="N6796" s="28" t="s">
        <v>51</v>
      </c>
    </row>
    <row r="6797" spans="1:14" x14ac:dyDescent="0.15">
      <c r="A6797" s="23" t="str">
        <f>HYPERLINK("https://www.spark-marketing.ru/Card/Person/543189", "ОМВД РОССИИ ПО ЖЕРДЕВСКОМУ РАЙОНУ")</f>
        <v>ОМВД РОССИИ ПО ЖЕРДЕВСКОМУ РАЙОНУ</v>
      </c>
      <c r="B6797" s="24" t="s">
        <v>10294</v>
      </c>
      <c r="C6797" s="25">
        <v>433300</v>
      </c>
      <c r="D6797" s="22" t="s">
        <v>10306</v>
      </c>
      <c r="E6797" s="22" t="s">
        <v>48</v>
      </c>
      <c r="F6797" s="23" t="str">
        <f>HYPERLINK("https://www.spark-marketing.ru/Card/Lot/72870602", "Оказание услуг по приготовлению горячего питания лицам, содержащимся в ИВС и СПЗ ОМВД России по Жердевскому району")</f>
        <v>Оказание услуг по приготовлению горячего питания лицам, содержащимся в ИВС и СПЗ ОМВД России по Жердевскому району</v>
      </c>
      <c r="G6797" s="22" t="s">
        <v>1370</v>
      </c>
      <c r="H6797" s="22" t="s">
        <v>1370</v>
      </c>
      <c r="I6797" s="26">
        <v>43693.705891203703</v>
      </c>
      <c r="J6797" s="23" t="str">
        <f>HYPERLINK("https://www.spark-marketing.ru/Card/Person/2296021", "ООО ""АНАСТАСИЯ""")</f>
        <v>ООО "АНАСТАСИЯ"</v>
      </c>
      <c r="K6797" s="24" t="s">
        <v>10296</v>
      </c>
      <c r="L6797" s="22" t="s">
        <v>10</v>
      </c>
      <c r="M6797" s="28" t="s">
        <v>51</v>
      </c>
      <c r="N6797" s="28" t="s">
        <v>51</v>
      </c>
    </row>
    <row r="6798" spans="1:14" x14ac:dyDescent="0.15">
      <c r="A6798" s="23" t="str">
        <f>HYPERLINK("https://www.spark-marketing.ru/Card/Person/238381", "МУНИЦИПАЛЬНАЯ БЮДЖЕТНАЯ ОТКРЫТАЯ (СМЕННАЯ) ОБЩЕОБРАЗОВАТЕЛЬНАЯ ШКОЛА № 48 Г.ОРЛА")</f>
        <v>МУНИЦИПАЛЬНАЯ БЮДЖЕТНАЯ ОТКРЫТАЯ (СМЕННАЯ) ОБЩЕОБРАЗОВАТЕЛЬНАЯ ШКОЛА № 48 Г.ОРЛА</v>
      </c>
      <c r="B6798" s="24" t="s">
        <v>10307</v>
      </c>
      <c r="C6798" s="25">
        <v>70070</v>
      </c>
      <c r="D6798" s="22" t="s">
        <v>10308</v>
      </c>
      <c r="E6798" s="22" t="s">
        <v>51</v>
      </c>
      <c r="F6798" s="23" t="str">
        <f>HYPERLINK("https://www.spark-marketing.ru/Card/Lot/72868182",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798" s="22" t="s">
        <v>1066</v>
      </c>
      <c r="H6798" s="22" t="s">
        <v>2864</v>
      </c>
      <c r="I6798" s="26">
        <v>43693.447048611102</v>
      </c>
      <c r="J6798" s="23" t="str">
        <f>HYPERLINK("https://www.spark-marketing.ru/Card/Person/6690794", "ООО ""ШКОЛЬНОЕ ПИТАНИЕ""")</f>
        <v>ООО "ШКОЛЬНОЕ ПИТАНИЕ"</v>
      </c>
      <c r="K6798" s="24" t="s">
        <v>8906</v>
      </c>
      <c r="L6798" s="22" t="s">
        <v>10</v>
      </c>
      <c r="M6798" s="28" t="s">
        <v>51</v>
      </c>
      <c r="N6798" s="28" t="s">
        <v>51</v>
      </c>
    </row>
    <row r="6799" spans="1:14" x14ac:dyDescent="0.15">
      <c r="A6799" s="23" t="str">
        <f>HYPERLINK("https://www.spark-marketing.ru/Card/Person/1002722", "МУНИЦИПАЛЬНАЯ БЮДЖЕТНАЯ СРЕДНЯЯ ОБЩЕОБРАЗОВАТЕЛЬНАЯ ШКОЛА №5 Г. ОРЛА")</f>
        <v>МУНИЦИПАЛЬНАЯ БЮДЖЕТНАЯ СРЕДНЯЯ ОБЩЕОБРАЗОВАТЕЛЬНАЯ ШКОЛА №5 Г. ОРЛА</v>
      </c>
      <c r="B6799" s="24" t="s">
        <v>10309</v>
      </c>
      <c r="C6799" s="25">
        <v>531486</v>
      </c>
      <c r="D6799" s="22" t="s">
        <v>10310</v>
      </c>
      <c r="E6799" s="22" t="s">
        <v>51</v>
      </c>
      <c r="F6799" s="23" t="str">
        <f>HYPERLINK("https://www.spark-marketing.ru/Card/Lot/72870563", "Оказание услуги  по организации горячего питания учащихся")</f>
        <v>Оказание услуги  по организации горячего питания учащихся</v>
      </c>
      <c r="G6799" s="22" t="s">
        <v>1066</v>
      </c>
      <c r="H6799" s="22" t="s">
        <v>2864</v>
      </c>
      <c r="I6799" s="26">
        <v>43693.470439814802</v>
      </c>
      <c r="J6799" s="23" t="str">
        <f>HYPERLINK("https://www.spark-marketing.ru/Card/Person/385389", "ООО ""ОФСАЙД""")</f>
        <v>ООО "ОФСАЙД"</v>
      </c>
      <c r="K6799" s="24" t="s">
        <v>9233</v>
      </c>
      <c r="L6799" s="22" t="s">
        <v>10</v>
      </c>
      <c r="M6799" s="28" t="s">
        <v>51</v>
      </c>
      <c r="N6799" s="28" t="s">
        <v>51</v>
      </c>
    </row>
    <row r="6800" spans="1:14" x14ac:dyDescent="0.15">
      <c r="A6800" s="23" t="str">
        <f>HYPERLINK("https://www.spark-marketing.ru/Card/Person/89332", "МУНИЦИПАЛЬНАЯ БЮДЖЕТНАЯ СРЕДНЯЯ ОБЩЕОБРАЗОВАТЕЛЬНАЯ ШКОЛА № 25 Г. ОРЛА")</f>
        <v>МУНИЦИПАЛЬНАЯ БЮДЖЕТНАЯ СРЕДНЯЯ ОБЩЕОБРАЗОВАТЕЛЬНАЯ ШКОЛА № 25 Г. ОРЛА</v>
      </c>
      <c r="B6800" s="24" t="s">
        <v>10311</v>
      </c>
      <c r="C6800" s="25">
        <v>219360</v>
      </c>
      <c r="D6800" s="22" t="s">
        <v>10312</v>
      </c>
      <c r="E6800" s="22" t="s">
        <v>51</v>
      </c>
      <c r="F6800" s="23" t="str">
        <f>HYPERLINK("https://www.spark-marketing.ru/Card/Lot/72868311",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800" s="22" t="s">
        <v>1066</v>
      </c>
      <c r="H6800" s="22" t="s">
        <v>1066</v>
      </c>
      <c r="I6800" s="26">
        <v>43693.675289351799</v>
      </c>
      <c r="J6800" s="23" t="str">
        <f>HYPERLINK("https://www.spark-marketing.ru/Card/Person/385389", "ООО ""ОФСАЙД""")</f>
        <v>ООО "ОФСАЙД"</v>
      </c>
      <c r="K6800" s="24" t="s">
        <v>9233</v>
      </c>
      <c r="L6800" s="22" t="s">
        <v>10</v>
      </c>
      <c r="M6800" s="28" t="s">
        <v>51</v>
      </c>
      <c r="N6800" s="28" t="s">
        <v>51</v>
      </c>
    </row>
    <row r="6801" spans="1:14" x14ac:dyDescent="0.15">
      <c r="A6801" s="23" t="str">
        <f>HYPERLINK("https://www.spark-marketing.ru/Card/Person/104524", "КГБПОУ ""АЛТАЙСКИЙ ТРАНСПОРТНЫЙ ТЕХНИКУМ""")</f>
        <v>КГБПОУ "АЛТАЙСКИЙ ТРАНСПОРТНЫЙ ТЕХНИКУМ"</v>
      </c>
      <c r="B6801" s="24" t="s">
        <v>10313</v>
      </c>
      <c r="C6801" s="25">
        <v>94580</v>
      </c>
      <c r="D6801" s="22" t="s">
        <v>10314</v>
      </c>
      <c r="E6801" s="22" t="s">
        <v>10315</v>
      </c>
      <c r="F6801" s="23" t="str">
        <f>HYPERLINK("https://www.spark-marketing.ru/Card/Lot/72867468", "Товары,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</v>
      </c>
      <c r="G6801" s="22" t="s">
        <v>63</v>
      </c>
      <c r="H6801" s="22" t="s">
        <v>177</v>
      </c>
      <c r="I6801" s="26">
        <v>43696.363888888904</v>
      </c>
      <c r="J6801" s="28" t="s">
        <v>51</v>
      </c>
      <c r="K6801" s="28" t="s">
        <v>51</v>
      </c>
      <c r="L6801" s="28" t="s">
        <v>51</v>
      </c>
      <c r="M6801" s="28" t="s">
        <v>51</v>
      </c>
      <c r="N6801" s="28" t="s">
        <v>51</v>
      </c>
    </row>
    <row r="6802" spans="1:14" x14ac:dyDescent="0.15">
      <c r="A6802" s="23" t="str">
        <f>HYPERLINK("https://www.spark-marketing.ru/Card/Person/4852528", "МБОУ - ШКОЛА № 52 Г.ОРЛА")</f>
        <v>МБОУ - ШКОЛА № 52 Г.ОРЛА</v>
      </c>
      <c r="B6802" s="24" t="s">
        <v>10316</v>
      </c>
      <c r="C6802" s="25">
        <v>195736</v>
      </c>
      <c r="D6802" s="22" t="s">
        <v>10317</v>
      </c>
      <c r="E6802" s="22" t="s">
        <v>51</v>
      </c>
      <c r="F6802" s="23" t="str">
        <f>HYPERLINK("https://www.spark-marketing.ru/Card/Lot/72868279", "Оказание услуги по организации горячего питания учащихся льготных категорий")</f>
        <v>Оказание услуги по организации горячего питания учащихся льготных категорий</v>
      </c>
      <c r="G6802" s="22" t="s">
        <v>1066</v>
      </c>
      <c r="H6802" s="22" t="s">
        <v>1066</v>
      </c>
      <c r="I6802" s="26">
        <v>43693.682233796302</v>
      </c>
      <c r="J6802" s="28" t="s">
        <v>51</v>
      </c>
      <c r="K6802" s="28" t="s">
        <v>51</v>
      </c>
      <c r="L6802" s="28" t="s">
        <v>51</v>
      </c>
      <c r="M6802" s="28" t="s">
        <v>51</v>
      </c>
      <c r="N6802" s="28" t="s">
        <v>51</v>
      </c>
    </row>
    <row r="6803" spans="1:14" x14ac:dyDescent="0.15">
      <c r="A6803" s="23" t="str">
        <f>HYPERLINK("https://www.spark-marketing.ru/Card/Person/4380407", "КОМИТЕТ БУХГАЛТЕРСКОГО УЧЕТА И ОТЧЕТНОСТИ АДМИНИСТРАЦИИ ГОРОДСКОГО ОКРУГА ГОРОД ЕЛЕЦ")</f>
        <v>КОМИТЕТ БУХГАЛТЕРСКОГО УЧЕТА И ОТЧЕТНОСТИ АДМИНИСТРАЦИИ ГОРОДСКОГО ОКРУГА ГОРОД ЕЛЕЦ</v>
      </c>
      <c r="B6803" s="24" t="s">
        <v>10318</v>
      </c>
      <c r="C6803" s="25">
        <v>120000</v>
      </c>
      <c r="D6803" s="22" t="s">
        <v>10319</v>
      </c>
      <c r="E6803" s="22" t="s">
        <v>1492</v>
      </c>
      <c r="F6803" s="23" t="str">
        <f>HYPERLINK("https://www.spark-marketing.ru/Card/Lot/72868307", "Услуги по организации питания и проживания участников форума молодежи города Ельца ""МолЕлец""")</f>
        <v>Услуги по организации питания и проживания участников форума молодежи города Ельца "МолЕлец"</v>
      </c>
      <c r="G6803" s="22" t="s">
        <v>101</v>
      </c>
      <c r="H6803" s="22" t="s">
        <v>2900</v>
      </c>
      <c r="I6803" s="26">
        <v>43693.660567129598</v>
      </c>
      <c r="J6803" s="23" t="str">
        <f>HYPERLINK("https://www.spark-marketing.ru/Card/Person/1758486", "МАУ ДОЦ ""БЕЛАЯ БЕРЁЗКА""")</f>
        <v>МАУ ДОЦ "БЕЛАЯ БЕРЁЗКА"</v>
      </c>
      <c r="K6803" s="24" t="s">
        <v>10320</v>
      </c>
      <c r="L6803" s="22" t="s">
        <v>10</v>
      </c>
      <c r="M6803" s="28" t="s">
        <v>51</v>
      </c>
      <c r="N6803" s="28" t="s">
        <v>51</v>
      </c>
    </row>
    <row r="6804" spans="1:14" x14ac:dyDescent="0.15">
      <c r="A6804" s="23" t="str">
        <f>HYPERLINK("https://www.spark-marketing.ru/Card/Person/878540", "КГБОУ ""НОВОАЛТАЙСКАЯ ОБЩЕОБРАЗОВАТЕЛЬНАЯ ШКОЛА-ИНТЕРНАТ""")</f>
        <v>КГБОУ "НОВОАЛТАЙСКАЯ ОБЩЕОБРАЗОВАТЕЛЬНАЯ ШКОЛА-ИНТЕРНАТ"</v>
      </c>
      <c r="B6804" s="24" t="s">
        <v>10060</v>
      </c>
      <c r="C6804" s="25">
        <v>94846.95</v>
      </c>
      <c r="D6804" s="22" t="s">
        <v>10321</v>
      </c>
      <c r="E6804" s="22" t="s">
        <v>10322</v>
      </c>
      <c r="F6804" s="23" t="str">
        <f>HYPERLINK("https://www.spark-marketing.ru/Card/Lot/72866653", "Закупка товаров, работ, услуг")</f>
        <v>Закупка товаров, работ, услуг</v>
      </c>
      <c r="G6804" s="22" t="s">
        <v>63</v>
      </c>
      <c r="H6804" s="22" t="s">
        <v>3262</v>
      </c>
      <c r="I6804" s="26">
        <v>43696.339583333298</v>
      </c>
      <c r="J6804" s="28" t="s">
        <v>51</v>
      </c>
      <c r="K6804" s="28" t="s">
        <v>51</v>
      </c>
      <c r="L6804" s="28" t="s">
        <v>51</v>
      </c>
      <c r="M6804" s="28" t="s">
        <v>51</v>
      </c>
      <c r="N6804" s="28" t="s">
        <v>51</v>
      </c>
    </row>
    <row r="6805" spans="1:14" x14ac:dyDescent="0.15">
      <c r="A6805" s="23" t="str">
        <f>HYPERLINK("https://www.spark-marketing.ru/Card/Person/1030990", "МУНИЦИПАЛЬНЫЙ БЮДЖЕТНЫЙ ОБЩЕОБРАЗОВАТЕЛЬНЫЙ ЛИЦЕЙ № 18 Г. ОРЛА")</f>
        <v>МУНИЦИПАЛЬНЫЙ БЮДЖЕТНЫЙ ОБЩЕОБРАЗОВАТЕЛЬНЫЙ ЛИЦЕЙ № 18 Г. ОРЛА</v>
      </c>
      <c r="B6805" s="24" t="s">
        <v>10323</v>
      </c>
      <c r="C6805" s="25">
        <v>526890</v>
      </c>
      <c r="D6805" s="22" t="s">
        <v>10324</v>
      </c>
      <c r="E6805" s="22" t="s">
        <v>51</v>
      </c>
      <c r="F6805" s="23" t="str">
        <f>HYPERLINK("https://www.spark-marketing.ru/Card/Lot/72870585", "Услуги по обеспечению питанием, осуществляемые по договору")</f>
        <v>Услуги по обеспечению питанием, осуществляемые по договору</v>
      </c>
      <c r="G6805" s="22" t="s">
        <v>1066</v>
      </c>
      <c r="H6805" s="22" t="s">
        <v>2864</v>
      </c>
      <c r="I6805" s="26">
        <v>43693.684374999997</v>
      </c>
      <c r="J6805" s="23" t="str">
        <f>HYPERLINK("https://www.spark-marketing.ru/Card/Person/104389", "ООО ""ВЕСНА - ОРЕЛ""")</f>
        <v>ООО "ВЕСНА - ОРЕЛ"</v>
      </c>
      <c r="K6805" s="24" t="s">
        <v>9246</v>
      </c>
      <c r="L6805" s="22" t="s">
        <v>10</v>
      </c>
      <c r="M6805" s="28" t="s">
        <v>51</v>
      </c>
      <c r="N6805" s="28" t="s">
        <v>51</v>
      </c>
    </row>
    <row r="6806" spans="1:14" x14ac:dyDescent="0.15">
      <c r="A6806" s="23" t="str">
        <f>HYPERLINK("https://www.spark-marketing.ru/Card/Person/18045", "ГБУЗ СО СОКВД")</f>
        <v>ГБУЗ СО СОКВД</v>
      </c>
      <c r="B6806" s="24" t="s">
        <v>10325</v>
      </c>
      <c r="C6806" s="25">
        <v>68637.3</v>
      </c>
      <c r="D6806" s="22" t="s">
        <v>10326</v>
      </c>
      <c r="E6806" s="22" t="s">
        <v>437</v>
      </c>
      <c r="F6806" s="23" t="str">
        <f>HYPERLINK("https://www.spark-marketing.ru/Card/Lot/72865875", "Оказание услуг по истытаниям и измерениям электрооборудования для нужд Филиала №2 ГБУЗ СО СОКВД")</f>
        <v>Оказание услуг по истытаниям и измерениям электрооборудования для нужд Филиала №2 ГБУЗ СО СОКВД</v>
      </c>
      <c r="G6806" s="22" t="s">
        <v>174</v>
      </c>
      <c r="H6806" s="22" t="s">
        <v>530</v>
      </c>
      <c r="I6806" s="26">
        <v>43693.624259259297</v>
      </c>
      <c r="J6806" s="28" t="s">
        <v>51</v>
      </c>
      <c r="K6806" s="28" t="s">
        <v>51</v>
      </c>
      <c r="L6806" s="28" t="s">
        <v>51</v>
      </c>
      <c r="M6806" s="28" t="s">
        <v>51</v>
      </c>
      <c r="N6806" s="28" t="s">
        <v>51</v>
      </c>
    </row>
    <row r="6807" spans="1:14" hidden="1" outlineLevel="1" x14ac:dyDescent="0.2">
      <c r="A6807" s="23" t="str">
        <f>HYPERLINK("https://www.spark-marketing.ru/Card/Person/18045", "ГБУЗ СО СОКВД")</f>
        <v>ГБУЗ СО СОКВД</v>
      </c>
      <c r="B6807" s="24" t="s">
        <v>10325</v>
      </c>
      <c r="C6807" s="25">
        <v>68637.3</v>
      </c>
      <c r="D6807" s="22" t="s">
        <v>10326</v>
      </c>
      <c r="E6807" s="22" t="s">
        <v>437</v>
      </c>
      <c r="F6807" s="23" t="str">
        <f>HYPERLINK("https://www.spark-marketing.ru/Card/Lot/72865875", "Оказание услуг по истытаниям и измерениям электрооборудования для нужд Филиала №2 ГБУЗ СО СОКВД")</f>
        <v>Оказание услуг по истытаниям и измерениям электрооборудования для нужд Филиала №2 ГБУЗ СО СОКВД</v>
      </c>
      <c r="G6807" s="22" t="s">
        <v>174</v>
      </c>
      <c r="H6807" s="22" t="s">
        <v>530</v>
      </c>
      <c r="I6807" s="26">
        <v>43693.624259259297</v>
      </c>
      <c r="J6807" s="23" t="str">
        <f>HYPERLINK("https://www.spark-marketing.ru/Card/Person/64677", "ООО ""МЕДТЕХНИКА-НТ""")</f>
        <v>ООО "МЕДТЕХНИКА-НТ"</v>
      </c>
      <c r="K6807" s="24" t="s">
        <v>10327</v>
      </c>
      <c r="L6807" s="28" t="s">
        <v>51</v>
      </c>
      <c r="M6807" s="25">
        <v>34656.81</v>
      </c>
      <c r="N6807" s="27">
        <v>0.49507323277576476</v>
      </c>
    </row>
    <row r="6808" spans="1:14" hidden="1" outlineLevel="1" x14ac:dyDescent="0.2">
      <c r="A6808" s="23" t="str">
        <f>HYPERLINK("https://www.spark-marketing.ru/Card/Person/18045", "ГБУЗ СО СОКВД")</f>
        <v>ГБУЗ СО СОКВД</v>
      </c>
      <c r="B6808" s="24" t="s">
        <v>10325</v>
      </c>
      <c r="C6808" s="25">
        <v>68637.3</v>
      </c>
      <c r="D6808" s="22" t="s">
        <v>10326</v>
      </c>
      <c r="E6808" s="22" t="s">
        <v>437</v>
      </c>
      <c r="F6808" s="23" t="str">
        <f>HYPERLINK("https://www.spark-marketing.ru/Card/Lot/72865875", "Оказание услуг по истытаниям и измерениям электрооборудования для нужд Филиала №2 ГБУЗ СО СОКВД")</f>
        <v>Оказание услуг по истытаниям и измерениям электрооборудования для нужд Филиала №2 ГБУЗ СО СОКВД</v>
      </c>
      <c r="G6808" s="22" t="s">
        <v>174</v>
      </c>
      <c r="H6808" s="22" t="s">
        <v>530</v>
      </c>
      <c r="I6808" s="26">
        <v>43693.624259259297</v>
      </c>
      <c r="J6808" s="23" t="str">
        <f>HYPERLINK("https://www.spark-marketing.ru/Card/Person/482039", "ООО УК ""ГЕЛИОС""")</f>
        <v>ООО УК "ГЕЛИОС"</v>
      </c>
      <c r="K6808" s="24" t="s">
        <v>8322</v>
      </c>
      <c r="L6808" s="28" t="s">
        <v>51</v>
      </c>
      <c r="M6808" s="25">
        <v>26700</v>
      </c>
      <c r="N6808" s="27">
        <v>0.610998684388809</v>
      </c>
    </row>
    <row r="6809" spans="1:14" ht="12.75" hidden="1" outlineLevel="1" x14ac:dyDescent="0.2">
      <c r="A6809" s="23" t="str">
        <f>HYPERLINK("https://www.spark-marketing.ru/Card/Person/18045", "ГБУЗ СО СОКВД")</f>
        <v>ГБУЗ СО СОКВД</v>
      </c>
      <c r="B6809" s="24" t="s">
        <v>10325</v>
      </c>
      <c r="C6809" s="25">
        <v>68637.3</v>
      </c>
      <c r="D6809" s="22" t="s">
        <v>10326</v>
      </c>
      <c r="E6809" s="22" t="s">
        <v>437</v>
      </c>
      <c r="F6809" s="23" t="str">
        <f>HYPERLINK("https://www.spark-marketing.ru/Card/Lot/72865875", "Оказание услуг по истытаниям и измерениям электрооборудования для нужд Филиала №2 ГБУЗ СО СОКВД")</f>
        <v>Оказание услуг по истытаниям и измерениям электрооборудования для нужд Филиала №2 ГБУЗ СО СОКВД</v>
      </c>
      <c r="G6809" s="22" t="s">
        <v>174</v>
      </c>
      <c r="H6809" s="22" t="s">
        <v>530</v>
      </c>
      <c r="I6809" s="26">
        <v>43693.624259259297</v>
      </c>
      <c r="J6809" s="23" t="str">
        <f>HYPERLINK("https://www.spark-marketing.ru/Card/Person/810046", "ООО ЦЭТЛ ""ЛИДЕР""")</f>
        <v>ООО ЦЭТЛ "ЛИДЕР"</v>
      </c>
      <c r="K6809" s="24" t="s">
        <v>10328</v>
      </c>
      <c r="L6809" s="22" t="s">
        <v>10</v>
      </c>
      <c r="M6809" s="25">
        <v>26000</v>
      </c>
      <c r="N6809" s="27">
        <v>0.62119722075314732</v>
      </c>
    </row>
    <row r="6810" spans="1:14" x14ac:dyDescent="0.15">
      <c r="A6810" s="23" t="str">
        <f>HYPERLINK("https://www.spark-marketing.ru/Card/Person/4998", "БУ ""РЕСПУБЛИКАНСКИЙ ПРОТИВОТУБЕРКУЛЕЗНЫЙ ДИСПАНСЕР"" МИНЗДРАВА ЧУВАШИИ")</f>
        <v>БУ "РЕСПУБЛИКАНСКИЙ ПРОТИВОТУБЕРКУЛЕЗНЫЙ ДИСПАНСЕР" МИНЗДРАВА ЧУВАШИИ</v>
      </c>
      <c r="B6810" s="24" t="s">
        <v>10329</v>
      </c>
      <c r="C6810" s="25">
        <v>3283500</v>
      </c>
      <c r="D6810" s="22" t="s">
        <v>10330</v>
      </c>
      <c r="E6810" s="22" t="s">
        <v>48</v>
      </c>
      <c r="F6810" s="23" t="str">
        <f>HYPERLINK("https://www.spark-marketing.ru/Card/Lot/72871541", "Оказание услуг по организации питания больных")</f>
        <v>Оказание услуг по организации питания больных</v>
      </c>
      <c r="G6810" s="22" t="s">
        <v>618</v>
      </c>
      <c r="H6810" s="22" t="s">
        <v>2842</v>
      </c>
      <c r="I6810" s="26">
        <v>43696.361921296302</v>
      </c>
      <c r="J6810" s="28" t="s">
        <v>51</v>
      </c>
      <c r="K6810" s="28" t="s">
        <v>51</v>
      </c>
      <c r="L6810" s="28" t="s">
        <v>51</v>
      </c>
      <c r="M6810" s="28" t="s">
        <v>51</v>
      </c>
      <c r="N6810" s="28" t="s">
        <v>51</v>
      </c>
    </row>
    <row r="6811" spans="1:14" hidden="1" outlineLevel="1" x14ac:dyDescent="0.2">
      <c r="A6811" s="23" t="str">
        <f>HYPERLINK("https://www.spark-marketing.ru/Card/Person/4998", "БУ ""РЕСПУБЛИКАНСКИЙ ПРОТИВОТУБЕРКУЛЕЗНЫЙ ДИСПАНСЕР"" МИНЗДРАВА ЧУВАШИИ")</f>
        <v>БУ "РЕСПУБЛИКАНСКИЙ ПРОТИВОТУБЕРКУЛЕЗНЫЙ ДИСПАНСЕР" МИНЗДРАВА ЧУВАШИИ</v>
      </c>
      <c r="B6811" s="24" t="s">
        <v>10329</v>
      </c>
      <c r="C6811" s="25">
        <v>3283500</v>
      </c>
      <c r="D6811" s="22" t="s">
        <v>10330</v>
      </c>
      <c r="E6811" s="22" t="s">
        <v>48</v>
      </c>
      <c r="F6811" s="23" t="str">
        <f>HYPERLINK("https://www.spark-marketing.ru/Card/Lot/72871541", "Оказание услуг по организации питания больных")</f>
        <v>Оказание услуг по организации питания больных</v>
      </c>
      <c r="G6811" s="22" t="s">
        <v>618</v>
      </c>
      <c r="H6811" s="22" t="s">
        <v>2842</v>
      </c>
      <c r="I6811" s="26">
        <v>43696.361921296302</v>
      </c>
      <c r="J6811" s="23" t="str">
        <f>HYPERLINK("https://www.spark-marketing.ru/Card/Person/367269", "Алексеева Инесса Геннадиевна")</f>
        <v>Алексеева Инесса Геннадиевна</v>
      </c>
      <c r="K6811" s="24" t="s">
        <v>10331</v>
      </c>
      <c r="L6811" s="28" t="s">
        <v>51</v>
      </c>
      <c r="M6811" s="25">
        <v>2347702.5</v>
      </c>
      <c r="N6811" s="27">
        <v>0.28499999999999998</v>
      </c>
    </row>
    <row r="6812" spans="1:14" ht="12.75" hidden="1" outlineLevel="1" x14ac:dyDescent="0.2">
      <c r="A6812" s="23" t="str">
        <f>HYPERLINK("https://www.spark-marketing.ru/Card/Person/4998", "БУ ""РЕСПУБЛИКАНСКИЙ ПРОТИВОТУБЕРКУЛЕЗНЫЙ ДИСПАНСЕР"" МИНЗДРАВА ЧУВАШИИ")</f>
        <v>БУ "РЕСПУБЛИКАНСКИЙ ПРОТИВОТУБЕРКУЛЕЗНЫЙ ДИСПАНСЕР" МИНЗДРАВА ЧУВАШИИ</v>
      </c>
      <c r="B6812" s="24" t="s">
        <v>10329</v>
      </c>
      <c r="C6812" s="25">
        <v>3283500</v>
      </c>
      <c r="D6812" s="22" t="s">
        <v>10330</v>
      </c>
      <c r="E6812" s="22" t="s">
        <v>48</v>
      </c>
      <c r="F6812" s="23" t="str">
        <f>HYPERLINK("https://www.spark-marketing.ru/Card/Lot/72871541", "Оказание услуг по организации питания больных")</f>
        <v>Оказание услуг по организации питания больных</v>
      </c>
      <c r="G6812" s="22" t="s">
        <v>618</v>
      </c>
      <c r="H6812" s="22" t="s">
        <v>2842</v>
      </c>
      <c r="I6812" s="26">
        <v>43696.361921296302</v>
      </c>
      <c r="J6812" s="23" t="str">
        <f>HYPERLINK("https://www.spark-marketing.ru/Card/Person/6418438", "ООО ""МЫ ЖЕНИМСЯ""")</f>
        <v>ООО "МЫ ЖЕНИМСЯ"</v>
      </c>
      <c r="K6812" s="24" t="s">
        <v>10332</v>
      </c>
      <c r="L6812" s="22" t="s">
        <v>10</v>
      </c>
      <c r="M6812" s="25">
        <v>2331285</v>
      </c>
      <c r="N6812" s="27">
        <v>0.28999999999999998</v>
      </c>
    </row>
    <row r="6813" spans="1:14" x14ac:dyDescent="0.15">
      <c r="A6813" s="23" t="str">
        <f>HYPERLINK("https://www.spark-marketing.ru/Card/Person/1046769", "МБОУ ""ЧАСТООЗЕРСКАЯ СРЕДНЯЯ ОБЩЕОБРАЗОВАТЕЛЬНАЯ ШКОЛА""")</f>
        <v>МБОУ "ЧАСТООЗЕРСКАЯ СРЕДНЯЯ ОБЩЕОБРАЗОВАТЕЛЬНАЯ ШКОЛА"</v>
      </c>
      <c r="B6813" s="24" t="s">
        <v>10333</v>
      </c>
      <c r="C6813" s="25">
        <v>936000</v>
      </c>
      <c r="D6813" s="22" t="s">
        <v>10334</v>
      </c>
      <c r="E6813" s="22" t="s">
        <v>48</v>
      </c>
      <c r="F6813" s="23" t="str">
        <f>HYPERLINK("https://www.spark-marketing.ru/Card/Lot/72865970",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6813" s="22" t="s">
        <v>1972</v>
      </c>
      <c r="H6813" s="22" t="s">
        <v>10335</v>
      </c>
      <c r="I6813" s="26">
        <v>43695.854467592602</v>
      </c>
      <c r="J6813" s="23" t="str">
        <f>HYPERLINK("https://www.spark-marketing.ru/Card/Person/450780", "Каширин Дмитрий Викторович")</f>
        <v>Каширин Дмитрий Викторович</v>
      </c>
      <c r="K6813" s="24" t="s">
        <v>10336</v>
      </c>
      <c r="L6813" s="22" t="s">
        <v>10</v>
      </c>
      <c r="M6813" s="28" t="s">
        <v>51</v>
      </c>
      <c r="N6813" s="28" t="s">
        <v>51</v>
      </c>
    </row>
    <row r="6814" spans="1:14" x14ac:dyDescent="0.15">
      <c r="A6814" s="23" t="str">
        <f t="shared" ref="A6814:A6819" si="144">HYPERLINK("https://www.spark-marketing.ru/Card/Person/233399", "ГБУ КК ""ЦОП ПО ЗВС""")</f>
        <v>ГБУ КК "ЦОП ПО ЗВС"</v>
      </c>
      <c r="B6814" s="24" t="s">
        <v>9885</v>
      </c>
      <c r="C6814" s="25">
        <v>358600</v>
      </c>
      <c r="D6814" s="22" t="s">
        <v>10337</v>
      </c>
      <c r="E6814" s="22" t="s">
        <v>1632</v>
      </c>
      <c r="F6814" s="23" t="str">
        <f t="shared" ref="F6814:F6819" si="145">HYPERLINK("https://www.spark-marketing.ru/Card/Lot/72868292",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6814" s="22" t="s">
        <v>104</v>
      </c>
      <c r="H6814" s="22" t="s">
        <v>969</v>
      </c>
      <c r="I6814" s="26">
        <v>43693.5953703704</v>
      </c>
      <c r="J6814" s="28" t="s">
        <v>51</v>
      </c>
      <c r="K6814" s="28" t="s">
        <v>51</v>
      </c>
      <c r="L6814" s="28" t="s">
        <v>51</v>
      </c>
      <c r="M6814" s="28" t="s">
        <v>51</v>
      </c>
      <c r="N6814" s="28" t="s">
        <v>51</v>
      </c>
    </row>
    <row r="6815" spans="1:14" hidden="1" outlineLevel="1" x14ac:dyDescent="0.2">
      <c r="A6815" s="23" t="str">
        <f t="shared" si="144"/>
        <v>ГБУ КК "ЦОП ПО ЗВС"</v>
      </c>
      <c r="B6815" s="24" t="s">
        <v>9885</v>
      </c>
      <c r="C6815" s="25">
        <v>358600</v>
      </c>
      <c r="D6815" s="22" t="s">
        <v>10337</v>
      </c>
      <c r="E6815" s="22" t="s">
        <v>1632</v>
      </c>
      <c r="F6815" s="23" t="str">
        <f t="shared" si="145"/>
        <v>Услуги предоставления средств размещения и общественного питания для участников спортивных мероприятий</v>
      </c>
      <c r="G6815" s="22" t="s">
        <v>104</v>
      </c>
      <c r="H6815" s="22" t="s">
        <v>969</v>
      </c>
      <c r="I6815" s="26">
        <v>43693.5953703704</v>
      </c>
      <c r="J6815" s="23" t="str">
        <f>HYPERLINK("https://www.spark-marketing.ru/Card/Person/6501154", "ООО ""ГИГАНТ""")</f>
        <v>ООО "ГИГАНТ"</v>
      </c>
      <c r="K6815" s="24" t="s">
        <v>9887</v>
      </c>
      <c r="L6815" s="28" t="s">
        <v>51</v>
      </c>
      <c r="M6815" s="25">
        <v>1818</v>
      </c>
      <c r="N6815" s="27">
        <v>0.99493028443948694</v>
      </c>
    </row>
    <row r="6816" spans="1:14" hidden="1" outlineLevel="1" x14ac:dyDescent="0.2">
      <c r="A6816" s="23" t="str">
        <f t="shared" si="144"/>
        <v>ГБУ КК "ЦОП ПО ЗВС"</v>
      </c>
      <c r="B6816" s="24" t="s">
        <v>9885</v>
      </c>
      <c r="C6816" s="25">
        <v>358600</v>
      </c>
      <c r="D6816" s="22" t="s">
        <v>10337</v>
      </c>
      <c r="E6816" s="22" t="s">
        <v>1632</v>
      </c>
      <c r="F6816" s="23" t="str">
        <f t="shared" si="145"/>
        <v>Услуги предоставления средств размещения и общественного питания для участников спортивных мероприятий</v>
      </c>
      <c r="G6816" s="22" t="s">
        <v>104</v>
      </c>
      <c r="H6816" s="22" t="s">
        <v>969</v>
      </c>
      <c r="I6816" s="26">
        <v>43693.5953703704</v>
      </c>
      <c r="J6816" s="23" t="str">
        <f>HYPERLINK("https://www.spark-marketing.ru/Card/Person/6199231", "Полочанская Ольга Геннадьевна")</f>
        <v>Полочанская Ольга Геннадьевна</v>
      </c>
      <c r="K6816" s="24" t="s">
        <v>2484</v>
      </c>
      <c r="L6816" s="28" t="s">
        <v>51</v>
      </c>
      <c r="M6816" s="25">
        <v>2050</v>
      </c>
      <c r="N6816" s="27">
        <v>0.9942833240379253</v>
      </c>
    </row>
    <row r="6817" spans="1:14" hidden="1" outlineLevel="1" x14ac:dyDescent="0.2">
      <c r="A6817" s="23" t="str">
        <f t="shared" si="144"/>
        <v>ГБУ КК "ЦОП ПО ЗВС"</v>
      </c>
      <c r="B6817" s="24" t="s">
        <v>9885</v>
      </c>
      <c r="C6817" s="25">
        <v>358600</v>
      </c>
      <c r="D6817" s="22" t="s">
        <v>10337</v>
      </c>
      <c r="E6817" s="22" t="s">
        <v>1632</v>
      </c>
      <c r="F6817" s="23" t="str">
        <f t="shared" si="145"/>
        <v>Услуги предоставления средств размещения и общественного питания для участников спортивных мероприятий</v>
      </c>
      <c r="G6817" s="22" t="s">
        <v>104</v>
      </c>
      <c r="H6817" s="22" t="s">
        <v>969</v>
      </c>
      <c r="I6817" s="26">
        <v>43693.5953703704</v>
      </c>
      <c r="J6817" s="23" t="str">
        <f>HYPERLINK("https://www.spark-marketing.ru/Card/Person/233813", "ООО ""СПРИНТ ТУР""")</f>
        <v>ООО "СПРИНТ ТУР"</v>
      </c>
      <c r="K6817" s="24" t="s">
        <v>9888</v>
      </c>
      <c r="L6817" s="28" t="s">
        <v>51</v>
      </c>
      <c r="M6817" s="25">
        <v>1867</v>
      </c>
      <c r="N6817" s="27">
        <v>0.99479364194088116</v>
      </c>
    </row>
    <row r="6818" spans="1:14" ht="12.75" hidden="1" outlineLevel="1" x14ac:dyDescent="0.2">
      <c r="A6818" s="23" t="str">
        <f t="shared" si="144"/>
        <v>ГБУ КК "ЦОП ПО ЗВС"</v>
      </c>
      <c r="B6818" s="24" t="s">
        <v>9885</v>
      </c>
      <c r="C6818" s="25">
        <v>358600</v>
      </c>
      <c r="D6818" s="22" t="s">
        <v>10337</v>
      </c>
      <c r="E6818" s="22" t="s">
        <v>1632</v>
      </c>
      <c r="F6818" s="23" t="str">
        <f t="shared" si="145"/>
        <v>Услуги предоставления средств размещения и общественного питания для участников спортивных мероприятий</v>
      </c>
      <c r="G6818" s="22" t="s">
        <v>104</v>
      </c>
      <c r="H6818" s="22" t="s">
        <v>969</v>
      </c>
      <c r="I6818" s="26">
        <v>43693.5953703704</v>
      </c>
      <c r="J6818" s="23" t="str">
        <f>HYPERLINK("https://www.spark-marketing.ru/Card/Person/6427451", "ООО ""АТИС ГРУПП""")</f>
        <v>ООО "АТИС ГРУПП"</v>
      </c>
      <c r="K6818" s="24" t="s">
        <v>10338</v>
      </c>
      <c r="L6818" s="22" t="s">
        <v>10</v>
      </c>
      <c r="M6818" s="25">
        <v>1807</v>
      </c>
      <c r="N6818" s="27">
        <v>0.99496095928611261</v>
      </c>
    </row>
    <row r="6819" spans="1:14" hidden="1" outlineLevel="1" x14ac:dyDescent="0.2">
      <c r="A6819" s="23" t="str">
        <f t="shared" si="144"/>
        <v>ГБУ КК "ЦОП ПО ЗВС"</v>
      </c>
      <c r="B6819" s="24" t="s">
        <v>9885</v>
      </c>
      <c r="C6819" s="25">
        <v>358600</v>
      </c>
      <c r="D6819" s="22" t="s">
        <v>10337</v>
      </c>
      <c r="E6819" s="22" t="s">
        <v>1632</v>
      </c>
      <c r="F6819" s="23" t="str">
        <f t="shared" si="145"/>
        <v>Услуги предоставления средств размещения и общественного питания для участников спортивных мероприятий</v>
      </c>
      <c r="G6819" s="22" t="s">
        <v>104</v>
      </c>
      <c r="H6819" s="22" t="s">
        <v>969</v>
      </c>
      <c r="I6819" s="26">
        <v>43693.5953703704</v>
      </c>
      <c r="J6819" s="23" t="str">
        <f>HYPERLINK("https://www.spark-marketing.ru/Card/Person/6514967", "ООО ""АЛЬЯНС""")</f>
        <v>ООО "АЛЬЯНС"</v>
      </c>
      <c r="K6819" s="24" t="s">
        <v>1634</v>
      </c>
      <c r="L6819" s="28" t="s">
        <v>51</v>
      </c>
      <c r="M6819" s="25">
        <v>2013</v>
      </c>
      <c r="N6819" s="27">
        <v>0.99438650306748466</v>
      </c>
    </row>
    <row r="6820" spans="1:14" x14ac:dyDescent="0.15">
      <c r="A6820" s="23" t="str">
        <f>HYPERLINK("https://www.spark-marketing.ru/Card/Person/104002", "УМВД РОССИИ ПО ГО САРАНСК")</f>
        <v>УМВД РОССИИ ПО ГО САРАНСК</v>
      </c>
      <c r="B6820" s="24" t="s">
        <v>10339</v>
      </c>
      <c r="C6820" s="25">
        <v>1350538.44</v>
      </c>
      <c r="D6820" s="22" t="s">
        <v>10340</v>
      </c>
      <c r="E6820" s="22" t="s">
        <v>48</v>
      </c>
      <c r="F6820" s="23" t="str">
        <f>HYPERLINK("https://www.spark-marketing.ru/Card/Lot/72871492", "Оказание услуг по организации и доставке ежедневного трехразового (включая выходные и праздничные дни) питания лиц подвергнутых административному аресту, содержащихся в специальном приемнике для содержания лиц подвергнутых к административному аресту ...")</f>
        <v>Оказание услуг по организации и доставке ежедневного трехразового (включая выходные и праздничные дни) питания лиц подвергнутых административному аресту, содержащихся в специальном приемнике для содержания лиц подвергнутых к административному аресту ...</v>
      </c>
      <c r="G6820" s="22" t="s">
        <v>277</v>
      </c>
      <c r="H6820" s="22" t="s">
        <v>278</v>
      </c>
      <c r="I6820" s="26">
        <v>43696.352962962999</v>
      </c>
      <c r="J6820" s="23" t="str">
        <f>HYPERLINK("https://www.spark-marketing.ru/Card/Person/6025350", "Чернышев Виктор Александрович")</f>
        <v>Чернышев Виктор Александрович</v>
      </c>
      <c r="K6820" s="24" t="s">
        <v>10341</v>
      </c>
      <c r="L6820" s="22" t="s">
        <v>10</v>
      </c>
      <c r="M6820" s="28" t="s">
        <v>51</v>
      </c>
      <c r="N6820" s="28" t="s">
        <v>51</v>
      </c>
    </row>
    <row r="6821" spans="1:14" x14ac:dyDescent="0.15">
      <c r="A6821" s="23" t="str">
        <f>HYPERLINK("https://www.spark-marketing.ru/Card/Person/104494", "МУНИЦИПАЛЬНАЯ БЮДЖЕТНАЯ СРЕДНЯЯ ОБЩЕОБРАЗОВАТЕЛЬНАЯ ШКОЛА № 49")</f>
        <v>МУНИЦИПАЛЬНАЯ БЮДЖЕТНАЯ СРЕДНЯЯ ОБЩЕОБРАЗОВАТЕЛЬНАЯ ШКОЛА № 49</v>
      </c>
      <c r="B6821" s="24" t="s">
        <v>10342</v>
      </c>
      <c r="C6821" s="25">
        <v>358200</v>
      </c>
      <c r="D6821" s="22" t="s">
        <v>10343</v>
      </c>
      <c r="E6821" s="22" t="s">
        <v>51</v>
      </c>
      <c r="F6821" s="23" t="str">
        <f>HYPERLINK("https://www.spark-marketing.ru/Card/Lot/72870566",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821" s="22" t="s">
        <v>1066</v>
      </c>
      <c r="H6821" s="22" t="s">
        <v>2864</v>
      </c>
      <c r="I6821" s="26">
        <v>43693.485474537003</v>
      </c>
      <c r="J6821" s="23" t="str">
        <f>HYPERLINK("https://www.spark-marketing.ru/Card/Person/104389", "ООО ""ВЕСНА - ОРЕЛ""")</f>
        <v>ООО "ВЕСНА - ОРЕЛ"</v>
      </c>
      <c r="K6821" s="24" t="s">
        <v>9246</v>
      </c>
      <c r="L6821" s="22" t="s">
        <v>10</v>
      </c>
      <c r="M6821" s="28" t="s">
        <v>51</v>
      </c>
      <c r="N6821" s="28" t="s">
        <v>51</v>
      </c>
    </row>
    <row r="6822" spans="1:14" x14ac:dyDescent="0.15">
      <c r="A6822" s="23" t="str">
        <f>HYPERLINK("https://www.spark-marketing.ru/Card/Person/102549", "КГБОУ ""МАРАЛИХИНСКАЯ ОБЩЕОБРАЗОВАТЕЛЬНАЯ ШКОЛА-ИНТЕРНАТ""")</f>
        <v>КГБОУ "МАРАЛИХИНСКАЯ ОБЩЕОБРАЗОВАТЕЛЬНАЯ ШКОЛА-ИНТЕРНАТ"</v>
      </c>
      <c r="B6822" s="24" t="s">
        <v>10022</v>
      </c>
      <c r="C6822" s="25">
        <v>37032.769999999997</v>
      </c>
      <c r="D6822" s="22" t="s">
        <v>10344</v>
      </c>
      <c r="E6822" s="22" t="s">
        <v>10345</v>
      </c>
      <c r="F6822" s="23" t="str">
        <f>HYPERLINK("https://www.spark-marketing.ru/Card/Lot/72866624", "(244)Товары, работы или услуги на сумму, не превышающие 100 тыс. руб. (п.4 ч.1 ст.93 44-ФЗ)")</f>
        <v>(244)Товары, работы или услуги на сумму, не превышающие 100 тыс. руб. (п.4 ч.1 ст.93 44-ФЗ)</v>
      </c>
      <c r="G6822" s="22" t="s">
        <v>63</v>
      </c>
      <c r="H6822" s="22" t="s">
        <v>10024</v>
      </c>
      <c r="I6822" s="26">
        <v>43696.308333333298</v>
      </c>
      <c r="J6822" s="28" t="s">
        <v>51</v>
      </c>
      <c r="K6822" s="28" t="s">
        <v>51</v>
      </c>
      <c r="L6822" s="28" t="s">
        <v>51</v>
      </c>
      <c r="M6822" s="28" t="s">
        <v>51</v>
      </c>
      <c r="N6822" s="28" t="s">
        <v>51</v>
      </c>
    </row>
    <row r="6823" spans="1:14" x14ac:dyDescent="0.15">
      <c r="A6823" s="23" t="str">
        <f>HYPERLINK("https://www.spark-marketing.ru/Card/Person/102549", "КГБОУ ""МАРАЛИХИНСКАЯ ОБЩЕОБРАЗОВАТЕЛЬНАЯ ШКОЛА-ИНТЕРНАТ""")</f>
        <v>КГБОУ "МАРАЛИХИНСКАЯ ОБЩЕОБРАЗОВАТЕЛЬНАЯ ШКОЛА-ИНТЕРНАТ"</v>
      </c>
      <c r="B6823" s="24" t="s">
        <v>10022</v>
      </c>
      <c r="C6823" s="25">
        <v>11574.78</v>
      </c>
      <c r="D6823" s="22" t="s">
        <v>10346</v>
      </c>
      <c r="E6823" s="22" t="s">
        <v>10347</v>
      </c>
      <c r="F6823" s="23" t="str">
        <f>HYPERLINK("https://www.spark-marketing.ru/Card/Lot/72865699", "(244)Товары, работы или услуги на сумму, не превышающие 100 тыс. руб. (п.4 ч.1 ст.93 44-ФЗ)")</f>
        <v>(244)Товары, работы или услуги на сумму, не превышающие 100 тыс. руб. (п.4 ч.1 ст.93 44-ФЗ)</v>
      </c>
      <c r="G6823" s="22" t="s">
        <v>63</v>
      </c>
      <c r="H6823" s="22" t="s">
        <v>10024</v>
      </c>
      <c r="I6823" s="26">
        <v>43696.290972222203</v>
      </c>
      <c r="J6823" s="28" t="s">
        <v>51</v>
      </c>
      <c r="K6823" s="28" t="s">
        <v>51</v>
      </c>
      <c r="L6823" s="28" t="s">
        <v>51</v>
      </c>
      <c r="M6823" s="28" t="s">
        <v>51</v>
      </c>
      <c r="N6823" s="28" t="s">
        <v>51</v>
      </c>
    </row>
    <row r="6824" spans="1:14" x14ac:dyDescent="0.15">
      <c r="A6824" s="23" t="str">
        <f>HYPERLINK("https://www.spark-marketing.ru/Card/Person/103323", "КГБПОУ ""АЛТАЙСКИЙ ПОЛИТЕХНИЧЕСКИЙ ТЕХНИКУМ""")</f>
        <v>КГБПОУ "АЛТАЙСКИЙ ПОЛИТЕХНИЧЕСКИЙ ТЕХНИКУМ"</v>
      </c>
      <c r="B6824" s="24" t="s">
        <v>10348</v>
      </c>
      <c r="C6824" s="25">
        <v>40950</v>
      </c>
      <c r="D6824" s="22" t="s">
        <v>10349</v>
      </c>
      <c r="E6824" s="22" t="s">
        <v>10080</v>
      </c>
      <c r="F6824" s="23" t="str">
        <f>HYPERLINK("https://www.spark-marketing.ru/Card/Lot/72865406", "(000)Товары, работы или услуги на сумму, не превышающую 100 тыс. руб. (п.4 ч.1 ст.93 Федерального закона №44-ФЗ)")</f>
        <v>(000)Товары, работы или услуги на сумму, не превышающую 100 тыс. руб. (п.4 ч.1 ст.93 Федерального закона №44-ФЗ)</v>
      </c>
      <c r="G6824" s="22" t="s">
        <v>63</v>
      </c>
      <c r="H6824" s="22" t="s">
        <v>177</v>
      </c>
      <c r="I6824" s="26">
        <v>43696.219444444403</v>
      </c>
      <c r="J6824" s="28" t="s">
        <v>51</v>
      </c>
      <c r="K6824" s="28" t="s">
        <v>51</v>
      </c>
      <c r="L6824" s="28" t="s">
        <v>51</v>
      </c>
      <c r="M6824" s="28" t="s">
        <v>51</v>
      </c>
      <c r="N6824" s="28" t="s">
        <v>51</v>
      </c>
    </row>
    <row r="6825" spans="1:14" x14ac:dyDescent="0.15">
      <c r="A6825" s="23" t="str">
        <f>HYPERLINK("https://www.spark-marketing.ru/Card/Person/103323", "КГБПОУ ""АЛТАЙСКИЙ ПОЛИТЕХНИЧЕСКИЙ ТЕХНИКУМ""")</f>
        <v>КГБПОУ "АЛТАЙСКИЙ ПОЛИТЕХНИЧЕСКИЙ ТЕХНИКУМ"</v>
      </c>
      <c r="B6825" s="24" t="s">
        <v>10348</v>
      </c>
      <c r="C6825" s="25">
        <v>108075</v>
      </c>
      <c r="D6825" s="22" t="s">
        <v>10350</v>
      </c>
      <c r="E6825" s="22" t="s">
        <v>586</v>
      </c>
      <c r="F6825" s="23" t="str">
        <f>HYPERLINK("https://www.spark-marketing.ru/Card/Lot/72865437",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6825" s="22" t="s">
        <v>63</v>
      </c>
      <c r="H6825" s="22" t="s">
        <v>177</v>
      </c>
      <c r="I6825" s="26">
        <v>43696.247222222199</v>
      </c>
      <c r="J6825" s="28" t="s">
        <v>51</v>
      </c>
      <c r="K6825" s="28" t="s">
        <v>51</v>
      </c>
      <c r="L6825" s="28" t="s">
        <v>51</v>
      </c>
      <c r="M6825" s="28" t="s">
        <v>51</v>
      </c>
      <c r="N6825" s="28" t="s">
        <v>51</v>
      </c>
    </row>
    <row r="6826" spans="1:14" x14ac:dyDescent="0.15">
      <c r="A6826" s="23" t="str">
        <f>HYPERLINK("https://www.spark-marketing.ru/Card/Person/103323", "КГБПОУ ""АЛТАЙСКИЙ ПОЛИТЕХНИЧЕСКИЙ ТЕХНИКУМ""")</f>
        <v>КГБПОУ "АЛТАЙСКИЙ ПОЛИТЕХНИЧЕСКИЙ ТЕХНИКУМ"</v>
      </c>
      <c r="B6826" s="24" t="s">
        <v>10348</v>
      </c>
      <c r="C6826" s="25">
        <v>72647</v>
      </c>
      <c r="D6826" s="22" t="s">
        <v>10351</v>
      </c>
      <c r="E6826" s="22" t="s">
        <v>10352</v>
      </c>
      <c r="F6826" s="23" t="str">
        <f>HYPERLINK("https://www.spark-marketing.ru/Card/Lot/72865404", "(000)Товары, работы или услуги на сумму, не превышающую 100 тыс. руб. (п.4 ч.1 ст.93 Федерального закона №44-ФЗ)")</f>
        <v>(000)Товары, работы или услуги на сумму, не превышающую 100 тыс. руб. (п.4 ч.1 ст.93 Федерального закона №44-ФЗ)</v>
      </c>
      <c r="G6826" s="22" t="s">
        <v>63</v>
      </c>
      <c r="H6826" s="22" t="s">
        <v>177</v>
      </c>
      <c r="I6826" s="26">
        <v>43696.215277777803</v>
      </c>
      <c r="J6826" s="28" t="s">
        <v>51</v>
      </c>
      <c r="K6826" s="28" t="s">
        <v>51</v>
      </c>
      <c r="L6826" s="28" t="s">
        <v>51</v>
      </c>
      <c r="M6826" s="28" t="s">
        <v>51</v>
      </c>
      <c r="N6826" s="28" t="s">
        <v>51</v>
      </c>
    </row>
    <row r="6827" spans="1:14" x14ac:dyDescent="0.15">
      <c r="A6827" s="23" t="str">
        <f>HYPERLINK("https://www.spark-marketing.ru/Card/Person/4434571", "МАОУ ""КУРОВСКАЯ СОШ № 2""")</f>
        <v>МАОУ "КУРОВСКАЯ СОШ № 2"</v>
      </c>
      <c r="B6827" s="24" t="s">
        <v>1214</v>
      </c>
      <c r="C6827" s="25">
        <v>2031090</v>
      </c>
      <c r="D6827" s="22" t="s">
        <v>10353</v>
      </c>
      <c r="E6827" s="22" t="s">
        <v>362</v>
      </c>
      <c r="F6827" s="23" t="str">
        <f>HYPERLINK("https://www.spark-marketing.ru/Card/Lot/72900965", "Оказание услуг по организации горячего питания учащихся на базе пищеблока Заказчика")</f>
        <v>Оказание услуг по организации горячего питания учащихся на базе пищеблока Заказчика</v>
      </c>
      <c r="G6827" s="22" t="s">
        <v>49</v>
      </c>
      <c r="H6827" s="22" t="s">
        <v>49</v>
      </c>
      <c r="I6827" s="26">
        <v>43697</v>
      </c>
      <c r="J6827" s="28" t="s">
        <v>51</v>
      </c>
      <c r="K6827" s="28" t="s">
        <v>51</v>
      </c>
      <c r="L6827" s="28" t="s">
        <v>51</v>
      </c>
      <c r="M6827" s="28" t="s">
        <v>51</v>
      </c>
      <c r="N6827" s="28" t="s">
        <v>51</v>
      </c>
    </row>
    <row r="6828" spans="1:14" x14ac:dyDescent="0.2">
      <c r="A6828" s="23" t="s">
        <v>114</v>
      </c>
      <c r="B6828" s="28" t="s">
        <v>51</v>
      </c>
      <c r="C6828" s="25">
        <v>86622312.930000007</v>
      </c>
      <c r="D6828" s="22" t="s">
        <v>10354</v>
      </c>
      <c r="E6828" s="22" t="s">
        <v>362</v>
      </c>
      <c r="F6828" s="23" t="str">
        <f>HYPERLINK("https://www.spark-marketing.ru/Card/Lot/72860992", "Оказание услуг по организации питания детей в дошкольных образовательных учреждениях городского округа Ревда в 2019-2020 годах")</f>
        <v>Оказание услуг по организации питания детей в дошкольных образовательных учреждениях городского округа Ревда в 2019-2020 годах</v>
      </c>
      <c r="G6828" s="22" t="s">
        <v>51</v>
      </c>
      <c r="H6828" s="22" t="s">
        <v>51</v>
      </c>
      <c r="I6828" s="26">
        <v>43693.528761574104</v>
      </c>
      <c r="J6828" s="28" t="s">
        <v>51</v>
      </c>
      <c r="K6828" s="28" t="s">
        <v>51</v>
      </c>
      <c r="L6828" s="22" t="s">
        <v>10</v>
      </c>
      <c r="M6828" s="25">
        <v>86622312.930000007</v>
      </c>
      <c r="N6828" s="27">
        <v>0</v>
      </c>
    </row>
    <row r="6829" spans="1:14" hidden="1" outlineLevel="1" x14ac:dyDescent="0.2">
      <c r="A6829" s="23" t="str">
        <f>HYPERLINK("https://www.spark-marketing.ru/Card/Person/4353363", "МАДОУ ДЕТСКИЙ САД № 34")</f>
        <v>МАДОУ ДЕТСКИЙ САД № 34</v>
      </c>
      <c r="B6829" s="24" t="s">
        <v>10355</v>
      </c>
      <c r="C6829" s="25">
        <v>30226306.960000001</v>
      </c>
      <c r="D6829" s="22" t="s">
        <v>10354</v>
      </c>
      <c r="E6829" s="22" t="s">
        <v>362</v>
      </c>
      <c r="F6829" s="23" t="str">
        <f>HYPERLINK("https://www.spark-marketing.ru/Card/Lot/72860992", "Оказание услуг по организации питания детей в дошкольных образовательных учреждениях городского округа Ревда в 2019-2020 годах")</f>
        <v>Оказание услуг по организации питания детей в дошкольных образовательных учреждениях городского округа Ревда в 2019-2020 годах</v>
      </c>
      <c r="G6829" s="22" t="s">
        <v>174</v>
      </c>
      <c r="H6829" s="22" t="s">
        <v>174</v>
      </c>
      <c r="I6829" s="26">
        <v>43693.528761574104</v>
      </c>
      <c r="J6829" s="28" t="s">
        <v>51</v>
      </c>
      <c r="K6829" s="28" t="s">
        <v>51</v>
      </c>
      <c r="L6829" s="22" t="s">
        <v>10</v>
      </c>
      <c r="M6829" s="28" t="s">
        <v>51</v>
      </c>
      <c r="N6829" s="27">
        <v>0</v>
      </c>
    </row>
    <row r="6830" spans="1:14" hidden="1" outlineLevel="1" x14ac:dyDescent="0.2">
      <c r="A6830" s="23" t="str">
        <f>HYPERLINK("https://www.spark-marketing.ru/Card/Person/4373910", "МАДОУ ДЕТСКИЙ САД № 50")</f>
        <v>МАДОУ ДЕТСКИЙ САД № 50</v>
      </c>
      <c r="B6830" s="24" t="s">
        <v>10356</v>
      </c>
      <c r="C6830" s="25">
        <v>27289024.940000001</v>
      </c>
      <c r="D6830" s="22" t="s">
        <v>10354</v>
      </c>
      <c r="E6830" s="22" t="s">
        <v>362</v>
      </c>
      <c r="F6830" s="23" t="str">
        <f>HYPERLINK("https://www.spark-marketing.ru/Card/Lot/72860992", "Оказание услуг по организации питания детей в дошкольных образовательных учреждениях городского округа Ревда в 2019-2020 годах")</f>
        <v>Оказание услуг по организации питания детей в дошкольных образовательных учреждениях городского округа Ревда в 2019-2020 годах</v>
      </c>
      <c r="G6830" s="22" t="s">
        <v>174</v>
      </c>
      <c r="H6830" s="22" t="s">
        <v>174</v>
      </c>
      <c r="I6830" s="26">
        <v>43693.528761574104</v>
      </c>
      <c r="J6830" s="28" t="s">
        <v>51</v>
      </c>
      <c r="K6830" s="28" t="s">
        <v>51</v>
      </c>
      <c r="L6830" s="22" t="s">
        <v>10</v>
      </c>
      <c r="M6830" s="28" t="s">
        <v>51</v>
      </c>
      <c r="N6830" s="27">
        <v>0</v>
      </c>
    </row>
    <row r="6831" spans="1:14" hidden="1" outlineLevel="1" x14ac:dyDescent="0.2">
      <c r="A6831" s="23" t="str">
        <f>HYPERLINK("https://www.spark-marketing.ru/Card/Person/4384531", "МАДОУ ДЕТСКИЙ САД № 39")</f>
        <v>МАДОУ ДЕТСКИЙ САД № 39</v>
      </c>
      <c r="B6831" s="24" t="s">
        <v>10357</v>
      </c>
      <c r="C6831" s="25">
        <v>11994129.33</v>
      </c>
      <c r="D6831" s="22" t="s">
        <v>10354</v>
      </c>
      <c r="E6831" s="22" t="s">
        <v>362</v>
      </c>
      <c r="F6831" s="23" t="str">
        <f>HYPERLINK("https://www.spark-marketing.ru/Card/Lot/72860992", "Оказание услуг по организации питания детей в дошкольных образовательных учреждениях городского округа Ревда в 2019-2020 годах")</f>
        <v>Оказание услуг по организации питания детей в дошкольных образовательных учреждениях городского округа Ревда в 2019-2020 годах</v>
      </c>
      <c r="G6831" s="22" t="s">
        <v>51</v>
      </c>
      <c r="H6831" s="22" t="s">
        <v>51</v>
      </c>
      <c r="I6831" s="26">
        <v>43693.528761574104</v>
      </c>
      <c r="J6831" s="28" t="s">
        <v>51</v>
      </c>
      <c r="K6831" s="28" t="s">
        <v>51</v>
      </c>
      <c r="L6831" s="22" t="s">
        <v>10</v>
      </c>
      <c r="M6831" s="28" t="s">
        <v>51</v>
      </c>
      <c r="N6831" s="27">
        <v>0</v>
      </c>
    </row>
    <row r="6832" spans="1:14" hidden="1" outlineLevel="1" x14ac:dyDescent="0.2">
      <c r="A6832" s="23" t="str">
        <f>HYPERLINK("https://www.spark-marketing.ru/Card/Person/4415423", "МАДОУ ДЕТСКИЙ САД № 46")</f>
        <v>МАДОУ ДЕТСКИЙ САД № 46</v>
      </c>
      <c r="B6832" s="24" t="s">
        <v>10358</v>
      </c>
      <c r="C6832" s="25">
        <v>17112851.699999999</v>
      </c>
      <c r="D6832" s="22" t="s">
        <v>10354</v>
      </c>
      <c r="E6832" s="22" t="s">
        <v>362</v>
      </c>
      <c r="F6832" s="23" t="str">
        <f>HYPERLINK("https://www.spark-marketing.ru/Card/Lot/72860992", "Оказание услуг по организации питания детей в дошкольных образовательных учреждениях городского округа Ревда в 2019-2020 годах")</f>
        <v>Оказание услуг по организации питания детей в дошкольных образовательных учреждениях городского округа Ревда в 2019-2020 годах</v>
      </c>
      <c r="G6832" s="22" t="s">
        <v>174</v>
      </c>
      <c r="H6832" s="22" t="s">
        <v>174</v>
      </c>
      <c r="I6832" s="26">
        <v>43693.528761574104</v>
      </c>
      <c r="J6832" s="28" t="s">
        <v>51</v>
      </c>
      <c r="K6832" s="28" t="s">
        <v>51</v>
      </c>
      <c r="L6832" s="22" t="s">
        <v>10</v>
      </c>
      <c r="M6832" s="28" t="s">
        <v>51</v>
      </c>
      <c r="N6832" s="27">
        <v>0</v>
      </c>
    </row>
    <row r="6833" spans="1:14" x14ac:dyDescent="0.2">
      <c r="A6833" s="23" t="str">
        <f>HYPERLINK("https://www.spark-marketing.ru/Card/Person/1758656", "ГАПОУ ТО ""ТОБОЛЬСКИЙ МНОГОПРОФИЛЬНЫЙ ТЕХНИКУМ""")</f>
        <v>ГАПОУ ТО "ТОБОЛЬСКИЙ МНОГОПРОФИЛЬНЫЙ ТЕХНИКУМ"</v>
      </c>
      <c r="B6833" s="24" t="s">
        <v>10359</v>
      </c>
      <c r="C6833" s="25">
        <v>1515266.1</v>
      </c>
      <c r="D6833" s="22" t="s">
        <v>10360</v>
      </c>
      <c r="E6833" s="22" t="s">
        <v>362</v>
      </c>
      <c r="F6833" s="23" t="str">
        <f>HYPERLINK("https://www.spark-marketing.ru/Card/Lot/72877356", "Оказание услуг по организации питания обучающихся ГАПОУ ТО «Тобольский многопрофильный техникум»")</f>
        <v>Оказание услуг по организации питания обучающихся ГАПОУ ТО «Тобольский многопрофильный техникум»</v>
      </c>
      <c r="G6833" s="22" t="s">
        <v>766</v>
      </c>
      <c r="H6833" s="22" t="s">
        <v>766</v>
      </c>
      <c r="I6833" s="26">
        <v>43696</v>
      </c>
      <c r="J6833" s="28" t="s">
        <v>51</v>
      </c>
      <c r="K6833" s="28" t="s">
        <v>51</v>
      </c>
      <c r="L6833" s="22" t="s">
        <v>10</v>
      </c>
      <c r="M6833" s="25">
        <v>1515266.1</v>
      </c>
      <c r="N6833" s="27">
        <v>0</v>
      </c>
    </row>
    <row r="6834" spans="1:14" x14ac:dyDescent="0.2">
      <c r="A6834" s="23" t="str">
        <f>HYPERLINK("https://www.spark-marketing.ru/Card/Person/1567365", "МАОУ ""СРЕДНЯЯ ОБЩЕОБРАЗОВАТЕЛЬНАЯ ШКОЛА №5""")</f>
        <v>МАОУ "СРЕДНЯЯ ОБЩЕОБРАЗОВАТЕЛЬНАЯ ШКОЛА №5"</v>
      </c>
      <c r="B6834" s="24" t="s">
        <v>10361</v>
      </c>
      <c r="C6834" s="25">
        <v>1511627.52</v>
      </c>
      <c r="D6834" s="22" t="s">
        <v>10362</v>
      </c>
      <c r="E6834" s="22" t="s">
        <v>362</v>
      </c>
      <c r="F6834" s="23" t="str">
        <f>HYPERLINK("https://www.spark-marketing.ru/Card/Lot/72867184", "услуги по организации горячего питания обучающихся из малоимущих семей и многодетных малоимущих семей, детей с ограниченными возможностями здоровья (ОВЗ), осваивающих образовательную программу начального, основного и среднего общего образования")</f>
        <v>услуги по организации горячего питания обучающихся из малоимущих семей и многодетных малоимущих семей, детей с ограниченными возможностями здоровья (ОВЗ), осваивающих образовательную программу начального, основного и среднего общего образования</v>
      </c>
      <c r="G6834" s="22" t="s">
        <v>153</v>
      </c>
      <c r="H6834" s="22" t="s">
        <v>153</v>
      </c>
      <c r="I6834" s="26">
        <v>43696</v>
      </c>
      <c r="J6834" s="28" t="s">
        <v>51</v>
      </c>
      <c r="K6834" s="28" t="s">
        <v>51</v>
      </c>
      <c r="L6834" s="22" t="s">
        <v>10</v>
      </c>
      <c r="M6834" s="25">
        <v>1471104</v>
      </c>
      <c r="N6834" s="27">
        <v>2.6807873939738807E-2</v>
      </c>
    </row>
    <row r="6835" spans="1:14" x14ac:dyDescent="0.15">
      <c r="A6835" s="23" t="str">
        <f>HYPERLINK("https://www.spark-marketing.ru/Card/Person/236446", "МАОУ ГИМНАЗИЯ №1 ИМ. А.С.ПУШКИНА Г.ЮЖНО-САХАЛИНСКА")</f>
        <v>МАОУ ГИМНАЗИЯ №1 ИМ. А.С.ПУШКИНА Г.ЮЖНО-САХАЛИНСКА</v>
      </c>
      <c r="B6835" s="24" t="s">
        <v>3305</v>
      </c>
      <c r="C6835" s="25">
        <v>3471171.26</v>
      </c>
      <c r="D6835" s="22" t="s">
        <v>10363</v>
      </c>
      <c r="E6835" s="22" t="s">
        <v>2273</v>
      </c>
      <c r="F6835" s="23" t="str">
        <f>HYPERLINK("https://www.spark-marketing.ru/Card/Lot/72867112", "Оказание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сем...")</f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6835" s="22" t="s">
        <v>260</v>
      </c>
      <c r="H6835" s="22" t="s">
        <v>260</v>
      </c>
      <c r="I6835" s="26">
        <v>43696</v>
      </c>
      <c r="J6835" s="28" t="s">
        <v>51</v>
      </c>
      <c r="K6835" s="28" t="s">
        <v>51</v>
      </c>
      <c r="L6835" s="28" t="s">
        <v>51</v>
      </c>
      <c r="M6835" s="28" t="s">
        <v>51</v>
      </c>
      <c r="N6835" s="28" t="s">
        <v>51</v>
      </c>
    </row>
    <row r="6836" spans="1:14" x14ac:dyDescent="0.15">
      <c r="A6836" s="23" t="str">
        <f>HYPERLINK("https://www.spark-marketing.ru/Card/Person/1758634", "ОГБУ ""МЕЖРАЙОННАЯ ВЕТСТАНЦИЯ ПО ШЕБЕКИНСКОМУ И КОРОЧАНСКОМУ РАЙОНАМ""")</f>
        <v>ОГБУ "МЕЖРАЙОННАЯ ВЕТСТАНЦИЯ ПО ШЕБЕКИНСКОМУ И КОРОЧАНСКОМУ РАЙОНАМ"</v>
      </c>
      <c r="B6836" s="24" t="s">
        <v>10364</v>
      </c>
      <c r="C6836" s="25">
        <v>610000</v>
      </c>
      <c r="D6836" s="22" t="s">
        <v>10365</v>
      </c>
      <c r="E6836" s="22" t="s">
        <v>10366</v>
      </c>
      <c r="F6836" s="23" t="str">
        <f>HYPERLINK("https://www.spark-marketing.ru/Card/Lot/72835058", "Оказание услуг по установке комплекта газобаллонного оборудования для питания двигателей автомобилей компримированным природным газом и документальное сопровождение перевода автотранспортных средств на газовое оборудование")</f>
        <v>Оказание услуг по установке комплекта газобаллонного оборудования для питания двигателей автомобилей компримированным природным газом и документальное сопровождение перевода автотранспортных средств на газовое оборудование</v>
      </c>
      <c r="G6836" s="22" t="s">
        <v>696</v>
      </c>
      <c r="H6836" s="22" t="s">
        <v>696</v>
      </c>
      <c r="I6836" s="26">
        <v>43693</v>
      </c>
      <c r="J6836" s="28" t="s">
        <v>51</v>
      </c>
      <c r="K6836" s="28" t="s">
        <v>51</v>
      </c>
      <c r="L6836" s="28" t="s">
        <v>51</v>
      </c>
      <c r="M6836" s="28" t="s">
        <v>51</v>
      </c>
      <c r="N6836" s="28" t="s">
        <v>51</v>
      </c>
    </row>
    <row r="6837" spans="1:14" x14ac:dyDescent="0.15">
      <c r="A6837" s="23" t="str">
        <f>HYPERLINK("https://www.spark-marketing.ru/Card/Person/4348600", "ПАО ""КУБАНЬЭНЕРГО""")</f>
        <v>ПАО "КУБАНЬЭНЕРГО"</v>
      </c>
      <c r="B6837" s="24" t="s">
        <v>10367</v>
      </c>
      <c r="C6837" s="25">
        <v>22131648</v>
      </c>
      <c r="D6837" s="22" t="s">
        <v>10368</v>
      </c>
      <c r="E6837" s="22" t="s">
        <v>3773</v>
      </c>
      <c r="F6837" s="23" t="str">
        <f>HYPERLINK("https://www.spark-marketing.ru/Card/Lot/72878386", "Аренда источников бесперебойного питания для обеспечения надежного электроснабжения объектов электроэнергетики в период проведения саммита и других мероприятий в формате «Россия-Африка» в г. Сочи")</f>
        <v>Аренда источников бесперебойного питания для обеспечения надежного электроснабжения объектов электроэнергетики в период проведения саммита и других мероприятий в формате «Россия-Африка» в г. Сочи</v>
      </c>
      <c r="G6837" s="22" t="s">
        <v>104</v>
      </c>
      <c r="H6837" s="22" t="s">
        <v>120</v>
      </c>
      <c r="I6837" s="26">
        <v>43696</v>
      </c>
      <c r="J6837" s="28" t="s">
        <v>51</v>
      </c>
      <c r="K6837" s="28" t="s">
        <v>51</v>
      </c>
      <c r="L6837" s="28" t="s">
        <v>51</v>
      </c>
      <c r="M6837" s="28" t="s">
        <v>51</v>
      </c>
      <c r="N6837" s="28" t="s">
        <v>51</v>
      </c>
    </row>
    <row r="6838" spans="1:14" x14ac:dyDescent="0.15">
      <c r="A6838" s="23" t="str">
        <f>HYPERLINK("https://www.spark-marketing.ru/Card/Person/87688", "КРАЕВОЙ ИНСТИТУТ РАЗВИТИЯ СИСТЕМЫ ПРОФЕССИОНАЛЬНОГО ОБРАЗОВАНИЯ, КГАОУ ДПО ХКИРСПО")</f>
        <v>КРАЕВОЙ ИНСТИТУТ РАЗВИТИЯ СИСТЕМЫ ПРОФЕССИОНАЛЬНОГО ОБРАЗОВАНИЯ, КГАОУ ДПО ХКИРСПО</v>
      </c>
      <c r="B6838" s="24" t="s">
        <v>5149</v>
      </c>
      <c r="C6838" s="25">
        <v>408000</v>
      </c>
      <c r="D6838" s="22" t="s">
        <v>10369</v>
      </c>
      <c r="E6838" s="22" t="s">
        <v>769</v>
      </c>
      <c r="F6838" s="23" t="str">
        <f>HYPERLINK("https://www.spark-marketing.ru/Card/Lot/72864590", "Оказание услуг по организации проживания и питания участников Краевого образовательного форума ""Инсайт""")</f>
        <v>Оказание услуг по организации проживания и питания участников Краевого образовательного форума "Инсайт"</v>
      </c>
      <c r="G6838" s="22" t="s">
        <v>1096</v>
      </c>
      <c r="H6838" s="22" t="s">
        <v>1096</v>
      </c>
      <c r="I6838" s="26">
        <v>43696</v>
      </c>
      <c r="J6838" s="28" t="s">
        <v>51</v>
      </c>
      <c r="K6838" s="28" t="s">
        <v>51</v>
      </c>
      <c r="L6838" s="28" t="s">
        <v>51</v>
      </c>
      <c r="M6838" s="28" t="s">
        <v>51</v>
      </c>
      <c r="N6838" s="28" t="s">
        <v>51</v>
      </c>
    </row>
    <row r="6839" spans="1:14" x14ac:dyDescent="0.2">
      <c r="A6839" s="23" t="str">
        <f>HYPERLINK("https://www.spark-marketing.ru/Card/Person/1284409", "ГОАПОУ ""ЛИСК""")</f>
        <v>ГОАПОУ "ЛИСК"</v>
      </c>
      <c r="B6839" s="24" t="s">
        <v>2646</v>
      </c>
      <c r="C6839" s="25">
        <v>133600</v>
      </c>
      <c r="D6839" s="22" t="s">
        <v>10370</v>
      </c>
      <c r="E6839" s="22" t="s">
        <v>769</v>
      </c>
      <c r="F6839" s="23" t="str">
        <f>HYPERLINK("https://www.spark-marketing.ru/Card/Lot/72871885", "Услуги проживания и питания в г. Казань")</f>
        <v>Услуги проживания и питания в г. Казань</v>
      </c>
      <c r="G6839" s="22" t="s">
        <v>101</v>
      </c>
      <c r="H6839" s="22" t="s">
        <v>101</v>
      </c>
      <c r="I6839" s="26">
        <v>43696</v>
      </c>
      <c r="J6839" s="28" t="s">
        <v>51</v>
      </c>
      <c r="K6839" s="28" t="s">
        <v>51</v>
      </c>
      <c r="L6839" s="28" t="s">
        <v>51</v>
      </c>
      <c r="M6839" s="25">
        <v>133600</v>
      </c>
      <c r="N6839" s="27">
        <v>0</v>
      </c>
    </row>
    <row r="6840" spans="1:14" x14ac:dyDescent="0.15">
      <c r="A6840" s="23" t="str">
        <f>HYPERLINK("https://www.spark-marketing.ru/Card/Person/3912944", "АО ""АНГСТРЕМ-Т""")</f>
        <v>АО "АНГСТРЕМ-Т"</v>
      </c>
      <c r="B6840" s="24" t="s">
        <v>10371</v>
      </c>
      <c r="C6840" s="25">
        <v>198452</v>
      </c>
      <c r="D6840" s="22" t="s">
        <v>10372</v>
      </c>
      <c r="E6840" s="22" t="s">
        <v>774</v>
      </c>
      <c r="F6840" s="23" t="str">
        <f>HYPERLINK("https://www.spark-marketing.ru/Card/Lot/72879446", "Российский рубль")</f>
        <v>Российский рубль</v>
      </c>
      <c r="G6840" s="22" t="s">
        <v>56</v>
      </c>
      <c r="H6840" s="22" t="s">
        <v>56</v>
      </c>
      <c r="I6840" s="26">
        <v>43696</v>
      </c>
      <c r="J6840" s="28" t="s">
        <v>51</v>
      </c>
      <c r="K6840" s="28" t="s">
        <v>51</v>
      </c>
      <c r="L6840" s="28" t="s">
        <v>51</v>
      </c>
      <c r="M6840" s="28" t="s">
        <v>51</v>
      </c>
      <c r="N6840" s="28" t="s">
        <v>51</v>
      </c>
    </row>
    <row r="6841" spans="1:14" x14ac:dyDescent="0.2">
      <c r="A6841" s="23" t="str">
        <f>HYPERLINK("https://www.spark-marketing.ru/Card/Person/393031", "МБУ ДОЗЛ ""ДУБКИ""")</f>
        <v>МБУ ДОЗЛ "ДУБКИ"</v>
      </c>
      <c r="B6841" s="24" t="s">
        <v>10373</v>
      </c>
      <c r="C6841" s="25">
        <v>504000</v>
      </c>
      <c r="D6841" s="22" t="s">
        <v>10374</v>
      </c>
      <c r="E6841" s="22" t="s">
        <v>52</v>
      </c>
      <c r="F6841" s="23" t="str">
        <f>HYPERLINK("https://www.spark-marketing.ru/Card/Lot/73785829", "Услуги по организации питания")</f>
        <v>Услуги по организации питания</v>
      </c>
      <c r="G6841" s="22" t="s">
        <v>217</v>
      </c>
      <c r="H6841" s="22" t="s">
        <v>10375</v>
      </c>
      <c r="I6841" s="26">
        <v>43696.000694444403</v>
      </c>
      <c r="J6841" s="28" t="s">
        <v>51</v>
      </c>
      <c r="K6841" s="28" t="s">
        <v>51</v>
      </c>
      <c r="L6841" s="28" t="s">
        <v>51</v>
      </c>
      <c r="M6841" s="25">
        <v>503990</v>
      </c>
      <c r="N6841" s="27">
        <v>1.9841269841269841E-5</v>
      </c>
    </row>
    <row r="6842" spans="1:14" x14ac:dyDescent="0.15">
      <c r="A6842" s="23" t="str">
        <f>HYPERLINK("https://www.spark-marketing.ru/Card/Person/916089", "ГАОУ ДПО ЦПМ")</f>
        <v>ГАОУ ДПО ЦПМ</v>
      </c>
      <c r="B6842" s="24" t="s">
        <v>8145</v>
      </c>
      <c r="C6842" s="25">
        <v>1539000</v>
      </c>
      <c r="D6842" s="22" t="s">
        <v>10376</v>
      </c>
      <c r="E6842" s="22" t="s">
        <v>1921</v>
      </c>
      <c r="F6842" s="23" t="str">
        <f>HYPERLINK("https://www.spark-marketing.ru/Card/Lot/72891090", "Оказание услуг по обеспечению проживанием и питанием команды обучающихся города Москвы в выездных образовательных мероприятиях")</f>
        <v>Оказание услуг по обеспечению проживанием и питанием команды обучающихся города Москвы в выездных образовательных мероприятиях</v>
      </c>
      <c r="G6842" s="22" t="s">
        <v>56</v>
      </c>
      <c r="H6842" s="22" t="s">
        <v>56</v>
      </c>
      <c r="I6842" s="26">
        <v>43696</v>
      </c>
      <c r="J6842" s="28" t="s">
        <v>51</v>
      </c>
      <c r="K6842" s="28" t="s">
        <v>51</v>
      </c>
      <c r="L6842" s="28" t="s">
        <v>51</v>
      </c>
      <c r="M6842" s="28" t="s">
        <v>51</v>
      </c>
      <c r="N6842" s="28" t="s">
        <v>51</v>
      </c>
    </row>
    <row r="6843" spans="1:14" x14ac:dyDescent="0.15">
      <c r="A6843" s="23" t="str">
        <f>HYPERLINK("https://www.spark-marketing.ru/Card/Person/1023094", "ГИМНАЗИЯ Г.ЛАБЫТНАНГИ")</f>
        <v>ГИМНАЗИЯ Г.ЛАБЫТНАНГИ</v>
      </c>
      <c r="B6843" s="24" t="s">
        <v>10377</v>
      </c>
      <c r="C6843" s="25">
        <v>1606011</v>
      </c>
      <c r="D6843" s="22" t="s">
        <v>10378</v>
      </c>
      <c r="E6843" s="22" t="s">
        <v>362</v>
      </c>
      <c r="F6843" s="23" t="str">
        <f>HYPERLINK("https://www.spark-marketing.ru/Card/Lot/72878295", "Оказание услуг по организации питания учащихся Гимназии г. Лабытнанги")</f>
        <v>Оказание услуг по организации питания учащихся Гимназии г. Лабытнанги</v>
      </c>
      <c r="G6843" s="22" t="s">
        <v>1056</v>
      </c>
      <c r="H6843" s="22" t="s">
        <v>1056</v>
      </c>
      <c r="I6843" s="26">
        <v>43696</v>
      </c>
      <c r="J6843" s="28" t="s">
        <v>51</v>
      </c>
      <c r="K6843" s="28" t="s">
        <v>51</v>
      </c>
      <c r="L6843" s="28" t="s">
        <v>51</v>
      </c>
      <c r="M6843" s="28" t="s">
        <v>51</v>
      </c>
      <c r="N6843" s="28" t="s">
        <v>51</v>
      </c>
    </row>
    <row r="6844" spans="1:14" x14ac:dyDescent="0.15">
      <c r="A6844" s="23" t="str">
        <f>HYPERLINK("https://www.spark-marketing.ru/Card/Person/4369400", "ООО АВИАПРЕДПРИЯТИЕ ""ГАЗПРОМ АВИА""")</f>
        <v>ООО АВИАПРЕДПРИЯТИЕ "ГАЗПРОМ АВИА"</v>
      </c>
      <c r="B6844" s="24" t="s">
        <v>1724</v>
      </c>
      <c r="C6844" s="25">
        <v>3322882.13</v>
      </c>
      <c r="D6844" s="22" t="s">
        <v>10379</v>
      </c>
      <c r="E6844" s="22" t="s">
        <v>362</v>
      </c>
      <c r="F6844" s="23" t="str">
        <f>HYPERLINK("https://www.spark-marketing.ru/Card/Lot/72887722", "Оказание услуг по обеспечению пассажиров и экипажей воздушных судов бортовым питанием в а/п г. Нижний Новгород")</f>
        <v>Оказание услуг по обеспечению пассажиров и экипажей воздушных судов бортовым питанием в а/п г. Нижний Новгород</v>
      </c>
      <c r="G6844" s="22" t="s">
        <v>56</v>
      </c>
      <c r="H6844" s="22" t="s">
        <v>56</v>
      </c>
      <c r="I6844" s="26">
        <v>43696</v>
      </c>
      <c r="J6844" s="28" t="s">
        <v>51</v>
      </c>
      <c r="K6844" s="28" t="s">
        <v>51</v>
      </c>
      <c r="L6844" s="28" t="s">
        <v>51</v>
      </c>
      <c r="M6844" s="28" t="s">
        <v>51</v>
      </c>
      <c r="N6844" s="28" t="s">
        <v>51</v>
      </c>
    </row>
    <row r="6845" spans="1:14" x14ac:dyDescent="0.15">
      <c r="A6845" s="23" t="str">
        <f>HYPERLINK("https://www.spark-marketing.ru/Card/Person/4369400", "ООО АВИАПРЕДПРИЯТИЕ ""ГАЗПРОМ АВИА""")</f>
        <v>ООО АВИАПРЕДПРИЯТИЕ "ГАЗПРОМ АВИА"</v>
      </c>
      <c r="B6845" s="24" t="s">
        <v>1724</v>
      </c>
      <c r="C6845" s="25">
        <v>4186645.31</v>
      </c>
      <c r="D6845" s="22" t="s">
        <v>10380</v>
      </c>
      <c r="E6845" s="22" t="s">
        <v>362</v>
      </c>
      <c r="F6845" s="23" t="str">
        <f>HYPERLINK("https://www.spark-marketing.ru/Card/Lot/72887771", "Оказание услуг по обеспечению пассажиров и экипажей воздушных судов бортовым питанием в а/п г. Белгород")</f>
        <v>Оказание услуг по обеспечению пассажиров и экипажей воздушных судов бортовым питанием в а/п г. Белгород</v>
      </c>
      <c r="G6845" s="22" t="s">
        <v>56</v>
      </c>
      <c r="H6845" s="22" t="s">
        <v>56</v>
      </c>
      <c r="I6845" s="26">
        <v>43696</v>
      </c>
      <c r="J6845" s="28" t="s">
        <v>51</v>
      </c>
      <c r="K6845" s="28" t="s">
        <v>51</v>
      </c>
      <c r="L6845" s="28" t="s">
        <v>51</v>
      </c>
      <c r="M6845" s="28" t="s">
        <v>51</v>
      </c>
      <c r="N6845" s="28" t="s">
        <v>51</v>
      </c>
    </row>
    <row r="6846" spans="1:14" x14ac:dyDescent="0.15">
      <c r="A6846" s="23" t="str">
        <f>HYPERLINK("https://www.spark-marketing.ru/Card/Person/549896", "ОАО ""ТОМСКГАЗПРОМ""")</f>
        <v>ОАО "ТОМСКГАЗПРОМ"</v>
      </c>
      <c r="B6846" s="24" t="s">
        <v>10381</v>
      </c>
      <c r="C6846" s="25">
        <v>10354050</v>
      </c>
      <c r="D6846" s="22" t="s">
        <v>10382</v>
      </c>
      <c r="E6846" s="22" t="s">
        <v>362</v>
      </c>
      <c r="F6846" s="23" t="str">
        <f>HYPERLINK("https://www.spark-marketing.ru/Card/Lot/72874027", "Оказание услуг по организации общественного питания на Останинском нефтяном месторождении ОАО Томскгазпром"" в 2019-2020 г.г.")</f>
        <v>Оказание услуг по организации общественного питания на Останинском нефтяном месторождении ОАО Томскгазпром" в 2019-2020 г.г.</v>
      </c>
      <c r="G6846" s="22" t="s">
        <v>149</v>
      </c>
      <c r="H6846" s="22" t="s">
        <v>496</v>
      </c>
      <c r="I6846" s="26">
        <v>43696</v>
      </c>
      <c r="J6846" s="28" t="s">
        <v>51</v>
      </c>
      <c r="K6846" s="28" t="s">
        <v>51</v>
      </c>
      <c r="L6846" s="28" t="s">
        <v>51</v>
      </c>
      <c r="M6846" s="28" t="s">
        <v>51</v>
      </c>
      <c r="N6846" s="28" t="s">
        <v>51</v>
      </c>
    </row>
    <row r="6847" spans="1:14" x14ac:dyDescent="0.2">
      <c r="A6847" s="23" t="str">
        <f>HYPERLINK("https://www.spark-marketing.ru/Card/Person/255347", "РЕАБИЛИТАЦИОННЫЙ ЦЕНТР ""АДЕЛИ""")</f>
        <v>РЕАБИЛИТАЦИОННЫЙ ЦЕНТР "АДЕЛИ"</v>
      </c>
      <c r="B6847" s="24" t="s">
        <v>10383</v>
      </c>
      <c r="C6847" s="25">
        <v>20333.330000000002</v>
      </c>
      <c r="D6847" s="22" t="s">
        <v>10384</v>
      </c>
      <c r="E6847" s="22" t="s">
        <v>10385</v>
      </c>
      <c r="F6847" s="23" t="str">
        <f>HYPERLINK("https://www.spark-marketing.ru/Card/Lot/72883644", "№61 Оказание услуги по разработке и установке программного комплекса «Система расчетов для предприятий общественного питания» для нужд РЕАБИЛИТАЦИОННЫЙ ЦЕНТР ""АДЕЛИ""")</f>
        <v>№61 Оказание услуги по разработке и установке программного комплекса «Система расчетов для предприятий общественного питания» для нужд РЕАБИЛИТАЦИОННЫЙ ЦЕНТР "АДЕЛИ"</v>
      </c>
      <c r="G6847" s="22" t="s">
        <v>852</v>
      </c>
      <c r="H6847" s="22" t="s">
        <v>2477</v>
      </c>
      <c r="I6847" s="26">
        <v>43696</v>
      </c>
      <c r="J6847" s="28" t="s">
        <v>51</v>
      </c>
      <c r="K6847" s="28" t="s">
        <v>51</v>
      </c>
      <c r="L6847" s="28" t="s">
        <v>51</v>
      </c>
      <c r="M6847" s="25">
        <v>20333</v>
      </c>
      <c r="N6847" s="27">
        <v>1.6229510857296861E-5</v>
      </c>
    </row>
    <row r="6848" spans="1:14" x14ac:dyDescent="0.2">
      <c r="A6848" s="23" t="str">
        <f>HYPERLINK("https://www.spark-marketing.ru/Card/Person/1763217", "АМУ ""КДЦ ""ЮЖНЫЙ""")</f>
        <v>АМУ "КДЦ "ЮЖНЫЙ"</v>
      </c>
      <c r="B6848" s="24" t="s">
        <v>10386</v>
      </c>
      <c r="C6848" s="25">
        <v>178940</v>
      </c>
      <c r="D6848" s="22" t="s">
        <v>10387</v>
      </c>
      <c r="E6848" s="22" t="s">
        <v>580</v>
      </c>
      <c r="F6848" s="23" t="str">
        <f>HYPERLINK("https://www.spark-marketing.ru/Card/Lot/72883072", "Услуги по организации питания участников Этнофестиваля ""Россия - созвучие культур»")</f>
        <v>Услуги по организации питания участников Этнофестиваля "Россия - созвучие культур»</v>
      </c>
      <c r="G6848" s="22" t="s">
        <v>162</v>
      </c>
      <c r="H6848" s="22" t="s">
        <v>162</v>
      </c>
      <c r="I6848" s="26">
        <v>43696</v>
      </c>
      <c r="J6848" s="28" t="s">
        <v>51</v>
      </c>
      <c r="K6848" s="28" t="s">
        <v>51</v>
      </c>
      <c r="L6848" s="22" t="s">
        <v>10</v>
      </c>
      <c r="M6848" s="25">
        <v>178940</v>
      </c>
      <c r="N6848" s="27">
        <v>0</v>
      </c>
    </row>
    <row r="6849" spans="1:14" x14ac:dyDescent="0.2">
      <c r="A6849" s="23" t="str">
        <f>HYPERLINK("https://www.spark-marketing.ru/Card/Person/946885", "МАОУ СОШ № 2")</f>
        <v>МАОУ СОШ № 2</v>
      </c>
      <c r="B6849" s="24" t="s">
        <v>10388</v>
      </c>
      <c r="C6849" s="25">
        <v>3109788.5</v>
      </c>
      <c r="D6849" s="22" t="s">
        <v>10389</v>
      </c>
      <c r="E6849" s="22" t="s">
        <v>362</v>
      </c>
      <c r="F6849" s="23" t="str">
        <f>HYPERLINK("https://www.spark-marketing.ru/Card/Lot/72863518", "Оказание услуги по организации горячего питания в общеобразовательной организации Брюховецкий район")</f>
        <v>Оказание услуги по организации горячего питания в общеобразовательной организации Брюховецкий район</v>
      </c>
      <c r="G6849" s="22" t="s">
        <v>104</v>
      </c>
      <c r="H6849" s="22" t="s">
        <v>104</v>
      </c>
      <c r="I6849" s="26">
        <v>43695</v>
      </c>
      <c r="J6849" s="28" t="s">
        <v>51</v>
      </c>
      <c r="K6849" s="28" t="s">
        <v>51</v>
      </c>
      <c r="L6849" s="22" t="s">
        <v>10</v>
      </c>
      <c r="M6849" s="25">
        <v>3077270</v>
      </c>
      <c r="N6849" s="27">
        <v>1.0456820455796271E-2</v>
      </c>
    </row>
    <row r="6850" spans="1:14" x14ac:dyDescent="0.15">
      <c r="A6850" s="23" t="str">
        <f>HYPERLINK("https://www.spark-marketing.ru/Card/Person/826981", "ОТДЕЛ МВД РОССИИ ПО РЫБНО-СЛОБОДСКОМУ РАЙОНУ")</f>
        <v>ОТДЕЛ МВД РОССИИ ПО РЫБНО-СЛОБОДСКОМУ РАЙОНУ</v>
      </c>
      <c r="B6850" s="24" t="s">
        <v>10390</v>
      </c>
      <c r="C6850" s="25">
        <v>145000</v>
      </c>
      <c r="D6850" s="22" t="s">
        <v>10391</v>
      </c>
      <c r="E6850" s="22" t="s">
        <v>48</v>
      </c>
      <c r="F6850" s="23" t="str">
        <f>HYPERLINK("https://www.spark-marketing.ru/Card/Lot/72862794",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6850" s="22" t="s">
        <v>217</v>
      </c>
      <c r="H6850" s="22" t="s">
        <v>10392</v>
      </c>
      <c r="I6850" s="26">
        <v>43694.515115740702</v>
      </c>
      <c r="J6850" s="28" t="s">
        <v>51</v>
      </c>
      <c r="K6850" s="28" t="s">
        <v>51</v>
      </c>
      <c r="L6850" s="28" t="s">
        <v>51</v>
      </c>
      <c r="M6850" s="28" t="s">
        <v>51</v>
      </c>
      <c r="N6850" s="28" t="s">
        <v>51</v>
      </c>
    </row>
    <row r="6851" spans="1:14" x14ac:dyDescent="0.15">
      <c r="A6851" s="23" t="str">
        <f>HYPERLINK("https://www.spark-marketing.ru/Card/Person/826981", "ОТДЕЛ МВД РОССИИ ПО РЫБНО-СЛОБОДСКОМУ РАЙОНУ")</f>
        <v>ОТДЕЛ МВД РОССИИ ПО РЫБНО-СЛОБОДСКОМУ РАЙОНУ</v>
      </c>
      <c r="B6851" s="24" t="s">
        <v>10390</v>
      </c>
      <c r="C6851" s="25">
        <v>145000</v>
      </c>
      <c r="D6851" s="22" t="s">
        <v>10393</v>
      </c>
      <c r="E6851" s="22" t="s">
        <v>48</v>
      </c>
      <c r="F6851" s="23" t="str">
        <f>HYPERLINK("https://www.spark-marketing.ru/Card/Lot/72862793",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6851" s="22" t="s">
        <v>217</v>
      </c>
      <c r="H6851" s="22" t="s">
        <v>10392</v>
      </c>
      <c r="I6851" s="26">
        <v>43694.513298611098</v>
      </c>
      <c r="J6851" s="28" t="s">
        <v>51</v>
      </c>
      <c r="K6851" s="28" t="s">
        <v>51</v>
      </c>
      <c r="L6851" s="28" t="s">
        <v>51</v>
      </c>
      <c r="M6851" s="28" t="s">
        <v>51</v>
      </c>
      <c r="N6851" s="28" t="s">
        <v>51</v>
      </c>
    </row>
    <row r="6852" spans="1:14" x14ac:dyDescent="0.15">
      <c r="A6852" s="23" t="str">
        <f>HYPERLINK("https://www.spark-marketing.ru/Card/Person/136600", "ГАУК Г. МОСКВЫ ПКИО ""ФИЛИ""")</f>
        <v>ГАУК Г. МОСКВЫ ПКИО "ФИЛИ"</v>
      </c>
      <c r="B6852" s="24" t="s">
        <v>1577</v>
      </c>
      <c r="C6852" s="25">
        <v>31492.799999999999</v>
      </c>
      <c r="D6852" s="22" t="s">
        <v>10394</v>
      </c>
      <c r="E6852" s="22" t="s">
        <v>52</v>
      </c>
      <c r="F6852" s="23" t="str">
        <f>HYPERLINK("https://www.spark-marketing.ru/Card/Lot/72861058", "Право заключения договора на осуществление торговой деятельности (оказание услуг) в нестационарном торговом объекте «Киоск» по адресу: г. Москва, пересечение Мичуринского проспекта и проспекта Лобачевского, Южный вход (у первого пруда), парк «Олимпий...")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пересечение Мичуринского проспекта и проспекта Лобачевского, Южный вход (у первого пруда), парк «Олимпий...</v>
      </c>
      <c r="G6852" s="22" t="s">
        <v>56</v>
      </c>
      <c r="H6852" s="22" t="s">
        <v>56</v>
      </c>
      <c r="I6852" s="26">
        <v>43694</v>
      </c>
      <c r="J6852" s="28" t="s">
        <v>51</v>
      </c>
      <c r="K6852" s="28" t="s">
        <v>51</v>
      </c>
      <c r="L6852" s="28" t="s">
        <v>51</v>
      </c>
      <c r="M6852" s="28" t="s">
        <v>51</v>
      </c>
      <c r="N6852" s="28" t="s">
        <v>51</v>
      </c>
    </row>
    <row r="6853" spans="1:14" x14ac:dyDescent="0.15">
      <c r="A6853" s="23" t="str">
        <f>HYPERLINK("https://www.spark-marketing.ru/Card/Person/136600", "ГАУК Г. МОСКВЫ ПКИО ""ФИЛИ""")</f>
        <v>ГАУК Г. МОСКВЫ ПКИО "ФИЛИ"</v>
      </c>
      <c r="B6853" s="24" t="s">
        <v>1577</v>
      </c>
      <c r="C6853" s="25">
        <v>31492.799999999999</v>
      </c>
      <c r="D6853" s="22" t="s">
        <v>10395</v>
      </c>
      <c r="E6853" s="22" t="s">
        <v>52</v>
      </c>
      <c r="F6853" s="23" t="str">
        <f>HYPERLINK("https://www.spark-marketing.ru/Card/Lot/72861059", "Право заключения договора на осуществление торговой деятельности (оказание услуг) в нестационарном торговом объекте «Киоск» по адресу: г. Москва, пересечение Мичуринского проспекта и проспекта Лобачевского, Юго-западный вход, парк «Олимпийской деревн...")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пересечение Мичуринского проспекта и проспекта Лобачевского, Юго-западный вход, парк «Олимпийской деревн...</v>
      </c>
      <c r="G6853" s="22" t="s">
        <v>56</v>
      </c>
      <c r="H6853" s="22" t="s">
        <v>56</v>
      </c>
      <c r="I6853" s="26">
        <v>43694</v>
      </c>
      <c r="J6853" s="28" t="s">
        <v>51</v>
      </c>
      <c r="K6853" s="28" t="s">
        <v>51</v>
      </c>
      <c r="L6853" s="28" t="s">
        <v>51</v>
      </c>
      <c r="M6853" s="28" t="s">
        <v>51</v>
      </c>
      <c r="N6853" s="28" t="s">
        <v>51</v>
      </c>
    </row>
    <row r="6854" spans="1:14" x14ac:dyDescent="0.15">
      <c r="A6854" s="23" t="str">
        <f>HYPERLINK("https://www.spark-marketing.ru/Card/Person/136600", "ГАУК Г. МОСКВЫ ПКИО ""ФИЛИ""")</f>
        <v>ГАУК Г. МОСКВЫ ПКИО "ФИЛИ"</v>
      </c>
      <c r="B6854" s="24" t="s">
        <v>1577</v>
      </c>
      <c r="C6854" s="25">
        <v>31492.799999999999</v>
      </c>
      <c r="D6854" s="22" t="s">
        <v>10396</v>
      </c>
      <c r="E6854" s="22" t="s">
        <v>52</v>
      </c>
      <c r="F6854" s="23" t="str">
        <f>HYPERLINK("https://www.spark-marketing.ru/Card/Lot/72861036", "Право заключения договора на осуществление торговой деятельности (оказание услуг) в нестационарном торговом объекте «Киоск» по адресу: г. Москва, пересечение Мичуринского проспекта и проспекта Лобачевского, Юго-восточный вход, парк «Олимпийской дерев...")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пересечение Мичуринского проспекта и проспекта Лобачевского, Юго-восточный вход, парк «Олимпийской дерев...</v>
      </c>
      <c r="G6854" s="22" t="s">
        <v>56</v>
      </c>
      <c r="H6854" s="22" t="s">
        <v>56</v>
      </c>
      <c r="I6854" s="26">
        <v>43694</v>
      </c>
      <c r="J6854" s="28" t="s">
        <v>51</v>
      </c>
      <c r="K6854" s="28" t="s">
        <v>51</v>
      </c>
      <c r="L6854" s="28" t="s">
        <v>51</v>
      </c>
      <c r="M6854" s="28" t="s">
        <v>51</v>
      </c>
      <c r="N6854" s="28" t="s">
        <v>51</v>
      </c>
    </row>
    <row r="6855" spans="1:14" x14ac:dyDescent="0.15">
      <c r="A6855" s="23" t="str">
        <f>HYPERLINK("https://www.spark-marketing.ru/Card/Person/1758571", "МАУК ""НИЖЕГОРОДСКИЙ ГОРОДСКОЙ МУЗЕЙ ТЕХНИКИ И ОБОРОННОЙ ПРОМЫШЛЕННОСТИ""")</f>
        <v>МАУК "НИЖЕГОРОДСКИЙ ГОРОДСКОЙ МУЗЕЙ ТЕХНИКИ И ОБОРОННОЙ ПРОМЫШЛЕННОСТИ"</v>
      </c>
      <c r="B6855" s="24" t="s">
        <v>10397</v>
      </c>
      <c r="C6855" s="25">
        <v>276850</v>
      </c>
      <c r="D6855" s="22" t="s">
        <v>10398</v>
      </c>
      <c r="E6855" s="22" t="s">
        <v>10399</v>
      </c>
      <c r="F6855" s="23" t="str">
        <f>HYPERLINK("https://www.spark-marketing.ru/Card/Lot/72863157", "Услуги организации питания организаторов, силовых структур и волонтеров, в рамках общегородского праздника «День города»")</f>
        <v>Услуги организации питания организаторов, силовых структур и волонтеров, в рамках общегородского праздника «День города»</v>
      </c>
      <c r="G6855" s="22" t="s">
        <v>76</v>
      </c>
      <c r="H6855" s="22" t="s">
        <v>76</v>
      </c>
      <c r="I6855" s="26">
        <v>43694</v>
      </c>
      <c r="J6855" s="28" t="s">
        <v>51</v>
      </c>
      <c r="K6855" s="28" t="s">
        <v>51</v>
      </c>
      <c r="L6855" s="28" t="s">
        <v>51</v>
      </c>
      <c r="M6855" s="28" t="s">
        <v>51</v>
      </c>
      <c r="N6855" s="28" t="s">
        <v>51</v>
      </c>
    </row>
    <row r="6856" spans="1:14" x14ac:dyDescent="0.15">
      <c r="A6856" s="23" t="str">
        <f>HYPERLINK("https://www.spark-marketing.ru/Card/Person/161709", "ООО ""ШЕРЕМЕТЬЕВО ВИП""")</f>
        <v>ООО "ШЕРЕМЕТЬЕВО ВИП"</v>
      </c>
      <c r="B6856" s="24" t="s">
        <v>1588</v>
      </c>
      <c r="C6856" s="28" t="s">
        <v>51</v>
      </c>
      <c r="D6856" s="22" t="s">
        <v>10400</v>
      </c>
      <c r="E6856" s="22" t="s">
        <v>1590</v>
      </c>
      <c r="F6856" s="23" t="str">
        <f>HYPERLINK("https://www.spark-marketing.ru/Card/Lot/72948148", "Оказание услуг по организации питания клиентов в бизнес залах «Малевич» и «Шагал» Терминала С.")</f>
        <v>Оказание услуг по организации питания клиентов в бизнес залах «Малевич» и «Шагал» Терминала С.</v>
      </c>
      <c r="G6856" s="22" t="s">
        <v>49</v>
      </c>
      <c r="H6856" s="22" t="s">
        <v>631</v>
      </c>
      <c r="I6856" s="26">
        <v>43693.747916666704</v>
      </c>
      <c r="J6856" s="28" t="s">
        <v>51</v>
      </c>
      <c r="K6856" s="28" t="s">
        <v>51</v>
      </c>
      <c r="L6856" s="28" t="s">
        <v>51</v>
      </c>
      <c r="M6856" s="28" t="s">
        <v>51</v>
      </c>
      <c r="N6856" s="28" t="s">
        <v>51</v>
      </c>
    </row>
    <row r="6857" spans="1:14" x14ac:dyDescent="0.15">
      <c r="A6857" s="23" t="str">
        <f>HYPERLINK("https://www.spark-marketing.ru/Card/Person/119629", "ГБПОУ РО ""НПГК""")</f>
        <v>ГБПОУ РО "НПГК"</v>
      </c>
      <c r="B6857" s="24" t="s">
        <v>6351</v>
      </c>
      <c r="C6857" s="25">
        <v>599512.5</v>
      </c>
      <c r="D6857" s="22" t="s">
        <v>10401</v>
      </c>
      <c r="E6857" s="22" t="s">
        <v>48</v>
      </c>
      <c r="F6857" s="23" t="str">
        <f>HYPERLINK("https://www.spark-marketing.ru/Card/Lot/72849349", "Оказание услуг по обеспечению питанием для обучающихся в Государственном бюджетном профессиональном образовательном учреждении Ростовской области «Новочеркасский промышленно-гуманитарный колледж».")</f>
        <v>Оказание услуг по обеспечению питанием для обучающихся в Государственном бюджетном профессиональном образовательном учреждении Ростовской области «Новочеркасский промышленно-гуманитарный колледж».</v>
      </c>
      <c r="G6857" s="22" t="s">
        <v>267</v>
      </c>
      <c r="H6857" s="22" t="s">
        <v>6353</v>
      </c>
      <c r="I6857" s="26">
        <v>43693.71875</v>
      </c>
      <c r="J6857" s="28" t="s">
        <v>51</v>
      </c>
      <c r="K6857" s="28" t="s">
        <v>51</v>
      </c>
      <c r="L6857" s="28" t="s">
        <v>51</v>
      </c>
      <c r="M6857" s="28" t="s">
        <v>51</v>
      </c>
      <c r="N6857" s="28" t="s">
        <v>51</v>
      </c>
    </row>
    <row r="6858" spans="1:14" x14ac:dyDescent="0.15">
      <c r="A6858" s="23" t="str">
        <f>HYPERLINK("https://www.spark-marketing.ru/Card/Person/358839", "ОМВД РОССИИ ПО ГДОВСКОМУ РАЙОНУ")</f>
        <v>ОМВД РОССИИ ПО ГДОВСКОМУ РАЙОНУ</v>
      </c>
      <c r="B6858" s="24" t="s">
        <v>4069</v>
      </c>
      <c r="C6858" s="25">
        <v>120000</v>
      </c>
      <c r="D6858" s="22" t="s">
        <v>10402</v>
      </c>
      <c r="E6858" s="22" t="s">
        <v>96</v>
      </c>
      <c r="F6858" s="23" t="str">
        <f>HYPERLINK("https://www.spark-marketing.ru/Card/Lot/72845183",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6858" s="22" t="s">
        <v>415</v>
      </c>
      <c r="H6858" s="22" t="s">
        <v>4071</v>
      </c>
      <c r="I6858" s="26">
        <v>43693.668854166703</v>
      </c>
      <c r="J6858" s="28" t="s">
        <v>51</v>
      </c>
      <c r="K6858" s="28" t="s">
        <v>51</v>
      </c>
      <c r="L6858" s="28" t="s">
        <v>51</v>
      </c>
      <c r="M6858" s="28" t="s">
        <v>51</v>
      </c>
      <c r="N6858" s="28" t="s">
        <v>51</v>
      </c>
    </row>
    <row r="6859" spans="1:14" x14ac:dyDescent="0.15">
      <c r="A6859" s="23" t="str">
        <f>HYPERLINK("https://www.spark-marketing.ru/Card/Person/25192", "УПРАВЛЕНИЕ ГОСУДАРСТВЕННЫХ ЗАКУПОК БРЯНСКОЙ ОБЛАСТИ")</f>
        <v>УПРАВЛЕНИЕ ГОСУДАРСТВЕННЫХ ЗАКУПОК БРЯНСКОЙ ОБЛАСТИ</v>
      </c>
      <c r="B6859" s="24" t="s">
        <v>9446</v>
      </c>
      <c r="C6859" s="25">
        <v>1500</v>
      </c>
      <c r="D6859" s="22" t="s">
        <v>10403</v>
      </c>
      <c r="E6859" s="22" t="s">
        <v>1166</v>
      </c>
      <c r="F6859" s="23" t="str">
        <f>HYPERLINK("https://www.spark-marketing.ru/Card/Lot/72845996", "Оказание услуг по утилизации оргтехники и оборудования для нужд управления государственных закупок Брянской области")</f>
        <v>Оказание услуг по утилизации оргтехники и оборудования для нужд управления государственных закупок Брянской области</v>
      </c>
      <c r="G6859" s="22" t="s">
        <v>475</v>
      </c>
      <c r="H6859" s="22" t="s">
        <v>476</v>
      </c>
      <c r="I6859" s="26">
        <v>43693.666666666701</v>
      </c>
      <c r="J6859" s="28" t="s">
        <v>51</v>
      </c>
      <c r="K6859" s="28" t="s">
        <v>51</v>
      </c>
      <c r="L6859" s="28" t="s">
        <v>51</v>
      </c>
      <c r="M6859" s="28" t="s">
        <v>51</v>
      </c>
      <c r="N6859" s="28" t="s">
        <v>51</v>
      </c>
    </row>
    <row r="6860" spans="1:14" x14ac:dyDescent="0.15">
      <c r="A6860" s="23" t="str">
        <f>HYPERLINK("https://www.spark-marketing.ru/Card/Person/27805", "ГУ МВД РОССИИ ПО Г. САНКТ-ПЕТЕРБУРГУ И ЛЕНИНГРАДСКОЙ ОБЛАСТИ")</f>
        <v>ГУ МВД РОССИИ ПО Г. САНКТ-ПЕТЕРБУРГУ И ЛЕНИНГРАДСКОЙ ОБЛАСТИ</v>
      </c>
      <c r="B6860" s="24" t="s">
        <v>10404</v>
      </c>
      <c r="C6860" s="25">
        <v>32256406.23</v>
      </c>
      <c r="D6860" s="22" t="s">
        <v>10405</v>
      </c>
      <c r="E6860" s="22" t="s">
        <v>96</v>
      </c>
      <c r="F6860" s="23" t="str">
        <f>HYPERLINK("https://www.spark-marketing.ru/Card/Lot/72860048", "Оказание услуг по организации трехразового горячего питания в сутки лицам, содержащимся в Спецприемнике, Изоляторе временного содержания, Центре временного содержания иностранных граждан №1, Центре временного содержания иностранных граждан №2 и пятир...")</f>
        <v>Оказание услуг по организации трехразового горячего питания в сутки лицам, содержащимся в Спецприемнике, Изоляторе временного содержания, Центре временного содержания иностранных граждан №1, Центре временного содержания иностранных граждан №2 и пятир...</v>
      </c>
      <c r="G6860" s="22" t="s">
        <v>162</v>
      </c>
      <c r="H6860" s="22" t="s">
        <v>9367</v>
      </c>
      <c r="I6860" s="26">
        <v>43693.673622685201</v>
      </c>
      <c r="J6860" s="23" t="str">
        <f>HYPERLINK("https://www.spark-marketing.ru/Card/Person/64649", "ООО ""ТРЕНД-КОМ""")</f>
        <v>ООО "ТРЕНД-КОМ"</v>
      </c>
      <c r="K6860" s="24" t="s">
        <v>10406</v>
      </c>
      <c r="L6860" s="22" t="s">
        <v>10</v>
      </c>
      <c r="M6860" s="28" t="s">
        <v>51</v>
      </c>
      <c r="N6860" s="28" t="s">
        <v>51</v>
      </c>
    </row>
    <row r="6861" spans="1:14" x14ac:dyDescent="0.15">
      <c r="A6861" s="23" t="str">
        <f>HYPERLINK("https://www.spark-marketing.ru/Card/Person/1068380", "ОТДЕЛ МВД РОССИИ ПО РОДИОНОВО-НЕСВЕТАЙСКОМУ РАЙОНУ")</f>
        <v>ОТДЕЛ МВД РОССИИ ПО РОДИОНОВО-НЕСВЕТАЙСКОМУ РАЙОНУ</v>
      </c>
      <c r="B6861" s="24" t="s">
        <v>10407</v>
      </c>
      <c r="C6861" s="25">
        <v>60000</v>
      </c>
      <c r="D6861" s="22" t="s">
        <v>10408</v>
      </c>
      <c r="E6861" s="22" t="s">
        <v>96</v>
      </c>
      <c r="F6861" s="23" t="str">
        <f>HYPERLINK("https://www.spark-marketing.ru/Card/Lot/72846297", "Оказание услуг по организации питания (приготовлению и доставке), 200 шт")</f>
        <v>Оказание услуг по организации питания (приготовлению и доставке), 200 шт</v>
      </c>
      <c r="G6861" s="22" t="s">
        <v>267</v>
      </c>
      <c r="H6861" s="22" t="s">
        <v>10409</v>
      </c>
      <c r="I6861" s="26">
        <v>43693.674918981502</v>
      </c>
      <c r="J6861" s="28" t="s">
        <v>51</v>
      </c>
      <c r="K6861" s="28" t="s">
        <v>51</v>
      </c>
      <c r="L6861" s="28" t="s">
        <v>51</v>
      </c>
      <c r="M6861" s="28" t="s">
        <v>51</v>
      </c>
      <c r="N6861" s="28" t="s">
        <v>51</v>
      </c>
    </row>
    <row r="6862" spans="1:14" x14ac:dyDescent="0.15">
      <c r="A6862" s="23" t="str">
        <f>HYPERLINK("https://www.spark-marketing.ru/Card/Person/20366", "МАОУ ГИМНАЗИЯ ИМЕНИ А.А.ПУШКИНА Г.О. БРОННИЦЫ")</f>
        <v>МАОУ ГИМНАЗИЯ ИМЕНИ А.А.ПУШКИНА Г.О. БРОННИЦЫ</v>
      </c>
      <c r="B6862" s="24" t="s">
        <v>1771</v>
      </c>
      <c r="C6862" s="25">
        <v>586083.54</v>
      </c>
      <c r="D6862" s="22" t="s">
        <v>10410</v>
      </c>
      <c r="E6862" s="22" t="s">
        <v>48</v>
      </c>
      <c r="F6862" s="23" t="str">
        <f>HYPERLINK("https://www.spark-marketing.ru/Card/Lot/72846207", "Услуги по организации питания")</f>
        <v>Услуги по организации питания</v>
      </c>
      <c r="G6862" s="22" t="s">
        <v>49</v>
      </c>
      <c r="H6862" s="22" t="s">
        <v>1773</v>
      </c>
      <c r="I6862" s="26">
        <v>43693.669780092598</v>
      </c>
      <c r="J6862" s="28" t="s">
        <v>51</v>
      </c>
      <c r="K6862" s="28" t="s">
        <v>51</v>
      </c>
      <c r="L6862" s="28" t="s">
        <v>51</v>
      </c>
      <c r="M6862" s="28" t="s">
        <v>51</v>
      </c>
      <c r="N6862" s="28" t="s">
        <v>51</v>
      </c>
    </row>
    <row r="6863" spans="1:14" x14ac:dyDescent="0.15">
      <c r="A6863" s="23" t="str">
        <f>HYPERLINK("https://www.spark-marketing.ru/Card/Person/160813", "ОМВД РОССИИ ПО РАЙОНУ ИМ. ЛАЗО")</f>
        <v>ОМВД РОССИИ ПО РАЙОНУ ИМ. ЛАЗО</v>
      </c>
      <c r="B6863" s="24" t="s">
        <v>10411</v>
      </c>
      <c r="C6863" s="25">
        <v>500192</v>
      </c>
      <c r="D6863" s="22" t="s">
        <v>10412</v>
      </c>
      <c r="E6863" s="22" t="s">
        <v>48</v>
      </c>
      <c r="F6863" s="23" t="str">
        <f>HYPERLINK("https://www.spark-marketing.ru/Card/Lot/72829302", "Услуги по организации 3-х разового горячего питания лиц, содержащихся в спецприемнике и арестованных по уголовным делам")</f>
        <v>Услуги по организации 3-х разового горячего питания лиц, содержащихся в спецприемнике и арестованных по уголовным делам</v>
      </c>
      <c r="G6863" s="22" t="s">
        <v>1096</v>
      </c>
      <c r="H6863" s="22" t="s">
        <v>10413</v>
      </c>
      <c r="I6863" s="26">
        <v>43693.631828703699</v>
      </c>
      <c r="J6863" s="23" t="str">
        <f>HYPERLINK("https://www.spark-marketing.ru/Card/Person/4921795", "ООО ""НАТАЛИ""")</f>
        <v>ООО "НАТАЛИ"</v>
      </c>
      <c r="K6863" s="24" t="s">
        <v>10414</v>
      </c>
      <c r="L6863" s="22" t="s">
        <v>10</v>
      </c>
      <c r="M6863" s="28" t="s">
        <v>51</v>
      </c>
      <c r="N6863" s="28" t="s">
        <v>51</v>
      </c>
    </row>
    <row r="6864" spans="1:14" x14ac:dyDescent="0.15">
      <c r="A6864" s="23" t="s">
        <v>114</v>
      </c>
      <c r="B6864" s="28" t="s">
        <v>51</v>
      </c>
      <c r="C6864" s="25">
        <v>934200</v>
      </c>
      <c r="D6864" s="22" t="s">
        <v>10415</v>
      </c>
      <c r="E6864" s="22" t="s">
        <v>10228</v>
      </c>
      <c r="F6864" s="23" t="str">
        <f t="shared" ref="F6864:F6890" si="146">HYPERLINK("https://www.spark-marketing.ru/Card/Lot/72859415", "Оказание услуг по замене светильников светодиодных с аварийным блоком питания для системы эвакуационного освещения здания")</f>
        <v>Оказание услуг по замене светильников светодиодных с аварийным блоком питания для системы эвакуационного освещения здания</v>
      </c>
      <c r="G6864" s="22" t="s">
        <v>51</v>
      </c>
      <c r="H6864" s="22" t="s">
        <v>51</v>
      </c>
      <c r="I6864" s="26">
        <v>43693.649398148104</v>
      </c>
      <c r="J6864" s="28" t="s">
        <v>51</v>
      </c>
      <c r="K6864" s="28" t="s">
        <v>51</v>
      </c>
      <c r="L6864" s="28" t="s">
        <v>51</v>
      </c>
      <c r="M6864" s="28" t="s">
        <v>51</v>
      </c>
      <c r="N6864" s="28" t="s">
        <v>51</v>
      </c>
    </row>
    <row r="6865" spans="1:14" hidden="1" outlineLevel="1" x14ac:dyDescent="0.15">
      <c r="A6865" s="23" t="str">
        <f>HYPERLINK("https://www.spark-marketing.ru/Card/Person/1037385", "МКДОУ ДЕТСКИЙ САД №9 ""СОЛНЫШКО""")</f>
        <v>МКДОУ ДЕТСКИЙ САД №9 "СОЛНЫШКО"</v>
      </c>
      <c r="B6865" s="24" t="s">
        <v>10416</v>
      </c>
      <c r="C6865" s="25">
        <v>3600</v>
      </c>
      <c r="D6865" s="22" t="s">
        <v>10415</v>
      </c>
      <c r="E6865" s="22" t="s">
        <v>10228</v>
      </c>
      <c r="F6865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65" s="22" t="s">
        <v>1047</v>
      </c>
      <c r="H6865" s="22" t="s">
        <v>1047</v>
      </c>
      <c r="I6865" s="26">
        <v>43693.649398148104</v>
      </c>
      <c r="J6865" s="28" t="s">
        <v>51</v>
      </c>
      <c r="K6865" s="28" t="s">
        <v>51</v>
      </c>
      <c r="L6865" s="28" t="s">
        <v>51</v>
      </c>
      <c r="M6865" s="28" t="s">
        <v>51</v>
      </c>
      <c r="N6865" s="28" t="s">
        <v>51</v>
      </c>
    </row>
    <row r="6866" spans="1:14" hidden="1" outlineLevel="1" x14ac:dyDescent="0.15">
      <c r="A6866" s="23" t="str">
        <f>HYPERLINK("https://www.spark-marketing.ru/Card/Person/1021907", "МКДОУ ДЕТСКИЙ САД №1 ""ЧАЙКА""")</f>
        <v>МКДОУ ДЕТСКИЙ САД №1 "ЧАЙКА"</v>
      </c>
      <c r="B6866" s="24" t="s">
        <v>10417</v>
      </c>
      <c r="C6866" s="25">
        <v>59400</v>
      </c>
      <c r="D6866" s="22" t="s">
        <v>10415</v>
      </c>
      <c r="E6866" s="22" t="s">
        <v>10228</v>
      </c>
      <c r="F6866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66" s="22" t="s">
        <v>1047</v>
      </c>
      <c r="H6866" s="22" t="s">
        <v>1047</v>
      </c>
      <c r="I6866" s="26">
        <v>43693.649398148104</v>
      </c>
      <c r="J6866" s="28" t="s">
        <v>51</v>
      </c>
      <c r="K6866" s="28" t="s">
        <v>51</v>
      </c>
      <c r="L6866" s="28" t="s">
        <v>51</v>
      </c>
      <c r="M6866" s="28" t="s">
        <v>51</v>
      </c>
      <c r="N6866" s="28" t="s">
        <v>51</v>
      </c>
    </row>
    <row r="6867" spans="1:14" hidden="1" outlineLevel="1" x14ac:dyDescent="0.15">
      <c r="A6867" s="23" t="str">
        <f>HYPERLINK("https://www.spark-marketing.ru/Card/Person/1037378", "МКДОУ ДЕТСКИЙ САД ""БУРАТИНО""")</f>
        <v>МКДОУ ДЕТСКИЙ САД "БУРАТИНО"</v>
      </c>
      <c r="B6867" s="24" t="s">
        <v>10418</v>
      </c>
      <c r="C6867" s="25">
        <v>46800</v>
      </c>
      <c r="D6867" s="22" t="s">
        <v>10415</v>
      </c>
      <c r="E6867" s="22" t="s">
        <v>10228</v>
      </c>
      <c r="F6867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67" s="22" t="s">
        <v>1047</v>
      </c>
      <c r="H6867" s="22" t="s">
        <v>1047</v>
      </c>
      <c r="I6867" s="26">
        <v>43693.649398148104</v>
      </c>
      <c r="J6867" s="28" t="s">
        <v>51</v>
      </c>
      <c r="K6867" s="28" t="s">
        <v>51</v>
      </c>
      <c r="L6867" s="28" t="s">
        <v>51</v>
      </c>
      <c r="M6867" s="28" t="s">
        <v>51</v>
      </c>
      <c r="N6867" s="28" t="s">
        <v>51</v>
      </c>
    </row>
    <row r="6868" spans="1:14" hidden="1" outlineLevel="1" x14ac:dyDescent="0.15">
      <c r="A6868" s="23" t="str">
        <f>HYPERLINK("https://www.spark-marketing.ru/Card/Person/1037382", "МКДОУ ДЕТСКИЙ САД КОМБИНИРОВАННОГО ВИДА №15 ""БЕРЕЗКА""")</f>
        <v>МКДОУ ДЕТСКИЙ САД КОМБИНИРОВАННОГО ВИДА №15 "БЕРЕЗКА"</v>
      </c>
      <c r="B6868" s="24" t="s">
        <v>10419</v>
      </c>
      <c r="C6868" s="25">
        <v>25200</v>
      </c>
      <c r="D6868" s="22" t="s">
        <v>10415</v>
      </c>
      <c r="E6868" s="22" t="s">
        <v>10228</v>
      </c>
      <c r="F6868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68" s="22" t="s">
        <v>1047</v>
      </c>
      <c r="H6868" s="22" t="s">
        <v>1047</v>
      </c>
      <c r="I6868" s="26">
        <v>43693.649398148104</v>
      </c>
      <c r="J6868" s="28" t="s">
        <v>51</v>
      </c>
      <c r="K6868" s="28" t="s">
        <v>51</v>
      </c>
      <c r="L6868" s="28" t="s">
        <v>51</v>
      </c>
      <c r="M6868" s="28" t="s">
        <v>51</v>
      </c>
      <c r="N6868" s="28" t="s">
        <v>51</v>
      </c>
    </row>
    <row r="6869" spans="1:14" hidden="1" outlineLevel="1" x14ac:dyDescent="0.15">
      <c r="A6869" s="23" t="str">
        <f>HYPERLINK("https://www.spark-marketing.ru/Card/Person/1037453", "МКДОУ ДЕТСКИЙ САД №3 ""РАДУГА""")</f>
        <v>МКДОУ ДЕТСКИЙ САД №3 "РАДУГА"</v>
      </c>
      <c r="B6869" s="24" t="s">
        <v>10420</v>
      </c>
      <c r="C6869" s="25">
        <v>57600</v>
      </c>
      <c r="D6869" s="22" t="s">
        <v>10415</v>
      </c>
      <c r="E6869" s="22" t="s">
        <v>10228</v>
      </c>
      <c r="F6869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69" s="22" t="s">
        <v>1047</v>
      </c>
      <c r="H6869" s="22" t="s">
        <v>1047</v>
      </c>
      <c r="I6869" s="26">
        <v>43693.649398148104</v>
      </c>
      <c r="J6869" s="28" t="s">
        <v>51</v>
      </c>
      <c r="K6869" s="28" t="s">
        <v>51</v>
      </c>
      <c r="L6869" s="28" t="s">
        <v>51</v>
      </c>
      <c r="M6869" s="28" t="s">
        <v>51</v>
      </c>
      <c r="N6869" s="28" t="s">
        <v>51</v>
      </c>
    </row>
    <row r="6870" spans="1:14" hidden="1" outlineLevel="1" x14ac:dyDescent="0.15">
      <c r="A6870" s="23" t="str">
        <f>HYPERLINK("https://www.spark-marketing.ru/Card/Person/1037556", "МКДОУ ДЕТСКИЙ САД ""ВЕСНУШКИ""")</f>
        <v>МКДОУ ДЕТСКИЙ САД "ВЕСНУШКИ"</v>
      </c>
      <c r="B6870" s="24" t="s">
        <v>10421</v>
      </c>
      <c r="C6870" s="25">
        <v>99000</v>
      </c>
      <c r="D6870" s="22" t="s">
        <v>10415</v>
      </c>
      <c r="E6870" s="22" t="s">
        <v>10228</v>
      </c>
      <c r="F6870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70" s="22" t="s">
        <v>1047</v>
      </c>
      <c r="H6870" s="22" t="s">
        <v>1047</v>
      </c>
      <c r="I6870" s="26">
        <v>43693.649398148104</v>
      </c>
      <c r="J6870" s="28" t="s">
        <v>51</v>
      </c>
      <c r="K6870" s="28" t="s">
        <v>51</v>
      </c>
      <c r="L6870" s="28" t="s">
        <v>51</v>
      </c>
      <c r="M6870" s="28" t="s">
        <v>51</v>
      </c>
      <c r="N6870" s="28" t="s">
        <v>51</v>
      </c>
    </row>
    <row r="6871" spans="1:14" hidden="1" outlineLevel="1" x14ac:dyDescent="0.15">
      <c r="A6871" s="23" t="str">
        <f>HYPERLINK("https://www.spark-marketing.ru/Card/Person/1037557", "МКДОУ ДЕТСКИЙ САД ОБЩЕРАЗВИВАЮЩЕГО ВИДА №2 ""РОДНИЧОК""")</f>
        <v>МКДОУ ДЕТСКИЙ САД ОБЩЕРАЗВИВАЮЩЕГО ВИДА №2 "РОДНИЧОК"</v>
      </c>
      <c r="B6871" s="24" t="s">
        <v>10422</v>
      </c>
      <c r="C6871" s="25">
        <v>25200</v>
      </c>
      <c r="D6871" s="22" t="s">
        <v>10415</v>
      </c>
      <c r="E6871" s="22" t="s">
        <v>10228</v>
      </c>
      <c r="F6871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71" s="22" t="s">
        <v>1047</v>
      </c>
      <c r="H6871" s="22" t="s">
        <v>1047</v>
      </c>
      <c r="I6871" s="26">
        <v>43693.649398148104</v>
      </c>
      <c r="J6871" s="28" t="s">
        <v>51</v>
      </c>
      <c r="K6871" s="28" t="s">
        <v>51</v>
      </c>
      <c r="L6871" s="28" t="s">
        <v>51</v>
      </c>
      <c r="M6871" s="28" t="s">
        <v>51</v>
      </c>
      <c r="N6871" s="28" t="s">
        <v>51</v>
      </c>
    </row>
    <row r="6872" spans="1:14" hidden="1" outlineLevel="1" x14ac:dyDescent="0.15">
      <c r="A6872" s="23" t="str">
        <f>HYPERLINK("https://www.spark-marketing.ru/Card/Person/1037559", "МКДОУ ДЕТСКИЙ САД ОБЩЕРАЗВИВАЮЩЕГО ВИДА №5 ""ЗОЛОТАЯ РЫБКА""")</f>
        <v>МКДОУ ДЕТСКИЙ САД ОБЩЕРАЗВИВАЮЩЕГО ВИДА №5 "ЗОЛОТАЯ РЫБКА"</v>
      </c>
      <c r="B6872" s="24" t="s">
        <v>10423</v>
      </c>
      <c r="C6872" s="25">
        <v>46800</v>
      </c>
      <c r="D6872" s="22" t="s">
        <v>10415</v>
      </c>
      <c r="E6872" s="22" t="s">
        <v>10228</v>
      </c>
      <c r="F6872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72" s="22" t="s">
        <v>1047</v>
      </c>
      <c r="H6872" s="22" t="s">
        <v>1047</v>
      </c>
      <c r="I6872" s="26">
        <v>43693.649398148104</v>
      </c>
      <c r="J6872" s="28" t="s">
        <v>51</v>
      </c>
      <c r="K6872" s="28" t="s">
        <v>51</v>
      </c>
      <c r="L6872" s="28" t="s">
        <v>51</v>
      </c>
      <c r="M6872" s="28" t="s">
        <v>51</v>
      </c>
      <c r="N6872" s="28" t="s">
        <v>51</v>
      </c>
    </row>
    <row r="6873" spans="1:14" hidden="1" outlineLevel="1" x14ac:dyDescent="0.15">
      <c r="A6873" s="23" t="str">
        <f>HYPERLINK("https://www.spark-marketing.ru/Card/Person/1037902", "МКДОУ ДЕТСКИЙ САД №6 ""ЛАСТОЧКА""")</f>
        <v>МКДОУ ДЕТСКИЙ САД №6 "ЛАСТОЧКА"</v>
      </c>
      <c r="B6873" s="24" t="s">
        <v>10424</v>
      </c>
      <c r="C6873" s="25">
        <v>39600</v>
      </c>
      <c r="D6873" s="22" t="s">
        <v>10415</v>
      </c>
      <c r="E6873" s="22" t="s">
        <v>10228</v>
      </c>
      <c r="F6873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73" s="22" t="s">
        <v>1047</v>
      </c>
      <c r="H6873" s="22" t="s">
        <v>1047</v>
      </c>
      <c r="I6873" s="26">
        <v>43693.649398148104</v>
      </c>
      <c r="J6873" s="28" t="s">
        <v>51</v>
      </c>
      <c r="K6873" s="28" t="s">
        <v>51</v>
      </c>
      <c r="L6873" s="28" t="s">
        <v>51</v>
      </c>
      <c r="M6873" s="28" t="s">
        <v>51</v>
      </c>
      <c r="N6873" s="28" t="s">
        <v>51</v>
      </c>
    </row>
    <row r="6874" spans="1:14" hidden="1" outlineLevel="1" x14ac:dyDescent="0.15">
      <c r="A6874" s="23" t="str">
        <f>HYPERLINK("https://www.spark-marketing.ru/Card/Person/1037953", "МКДОУ ДЕТСКИЙ САД ОБЩЕРАЗВИВАЮЩЕГО ВИДА №12 ""ЗВЕЗДОЧКА""")</f>
        <v>МКДОУ ДЕТСКИЙ САД ОБЩЕРАЗВИВАЮЩЕГО ВИДА №12 "ЗВЕЗДОЧКА"</v>
      </c>
      <c r="B6874" s="24" t="s">
        <v>10425</v>
      </c>
      <c r="C6874" s="25">
        <v>61200</v>
      </c>
      <c r="D6874" s="22" t="s">
        <v>10415</v>
      </c>
      <c r="E6874" s="22" t="s">
        <v>10228</v>
      </c>
      <c r="F6874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74" s="22" t="s">
        <v>1047</v>
      </c>
      <c r="H6874" s="22" t="s">
        <v>1047</v>
      </c>
      <c r="I6874" s="26">
        <v>43693.649398148104</v>
      </c>
      <c r="J6874" s="28" t="s">
        <v>51</v>
      </c>
      <c r="K6874" s="28" t="s">
        <v>51</v>
      </c>
      <c r="L6874" s="28" t="s">
        <v>51</v>
      </c>
      <c r="M6874" s="28" t="s">
        <v>51</v>
      </c>
      <c r="N6874" s="28" t="s">
        <v>51</v>
      </c>
    </row>
    <row r="6875" spans="1:14" hidden="1" outlineLevel="1" x14ac:dyDescent="0.15">
      <c r="A6875" s="23" t="str">
        <f>HYPERLINK("https://www.spark-marketing.ru/Card/Person/1037954", "МКДОУ ДЕТСКИЙ САД №11 ""ГОЛУБОК""")</f>
        <v>МКДОУ ДЕТСКИЙ САД №11 "ГОЛУБОК"</v>
      </c>
      <c r="B6875" s="24" t="s">
        <v>10426</v>
      </c>
      <c r="C6875" s="25">
        <v>32400</v>
      </c>
      <c r="D6875" s="22" t="s">
        <v>10415</v>
      </c>
      <c r="E6875" s="22" t="s">
        <v>10228</v>
      </c>
      <c r="F6875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75" s="22" t="s">
        <v>1047</v>
      </c>
      <c r="H6875" s="22" t="s">
        <v>1047</v>
      </c>
      <c r="I6875" s="26">
        <v>43693.649398148104</v>
      </c>
      <c r="J6875" s="28" t="s">
        <v>51</v>
      </c>
      <c r="K6875" s="28" t="s">
        <v>51</v>
      </c>
      <c r="L6875" s="28" t="s">
        <v>51</v>
      </c>
      <c r="M6875" s="28" t="s">
        <v>51</v>
      </c>
      <c r="N6875" s="28" t="s">
        <v>51</v>
      </c>
    </row>
    <row r="6876" spans="1:14" hidden="1" outlineLevel="1" x14ac:dyDescent="0.15">
      <c r="A6876" s="23" t="str">
        <f>HYPERLINK("https://www.spark-marketing.ru/Card/Person/1038484", "МКОУ МИХАЙЛОВСКАЯ ОШ")</f>
        <v>МКОУ МИХАЙЛОВСКАЯ ОШ</v>
      </c>
      <c r="B6876" s="24" t="s">
        <v>10427</v>
      </c>
      <c r="C6876" s="25">
        <v>21600</v>
      </c>
      <c r="D6876" s="22" t="s">
        <v>10415</v>
      </c>
      <c r="E6876" s="22" t="s">
        <v>10228</v>
      </c>
      <c r="F6876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76" s="22" t="s">
        <v>1047</v>
      </c>
      <c r="H6876" s="22" t="s">
        <v>1047</v>
      </c>
      <c r="I6876" s="26">
        <v>43693.649398148104</v>
      </c>
      <c r="J6876" s="28" t="s">
        <v>51</v>
      </c>
      <c r="K6876" s="28" t="s">
        <v>51</v>
      </c>
      <c r="L6876" s="28" t="s">
        <v>51</v>
      </c>
      <c r="M6876" s="28" t="s">
        <v>51</v>
      </c>
      <c r="N6876" s="28" t="s">
        <v>51</v>
      </c>
    </row>
    <row r="6877" spans="1:14" hidden="1" outlineLevel="1" x14ac:dyDescent="0.15">
      <c r="A6877" s="23" t="str">
        <f>HYPERLINK("https://www.spark-marketing.ru/Card/Person/1038947", "МКДОУ ДЕТСКИЙ САД ""ИСКОРКА""")</f>
        <v>МКДОУ ДЕТСКИЙ САД "ИСКОРКА"</v>
      </c>
      <c r="B6877" s="24" t="s">
        <v>10428</v>
      </c>
      <c r="C6877" s="25">
        <v>63000</v>
      </c>
      <c r="D6877" s="22" t="s">
        <v>10415</v>
      </c>
      <c r="E6877" s="22" t="s">
        <v>10228</v>
      </c>
      <c r="F6877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77" s="22" t="s">
        <v>1047</v>
      </c>
      <c r="H6877" s="22" t="s">
        <v>1047</v>
      </c>
      <c r="I6877" s="26">
        <v>43693.649398148104</v>
      </c>
      <c r="J6877" s="28" t="s">
        <v>51</v>
      </c>
      <c r="K6877" s="28" t="s">
        <v>51</v>
      </c>
      <c r="L6877" s="28" t="s">
        <v>51</v>
      </c>
      <c r="M6877" s="28" t="s">
        <v>51</v>
      </c>
      <c r="N6877" s="28" t="s">
        <v>51</v>
      </c>
    </row>
    <row r="6878" spans="1:14" hidden="1" outlineLevel="1" x14ac:dyDescent="0.15">
      <c r="A6878" s="23" t="str">
        <f>HYPERLINK("https://www.spark-marketing.ru/Card/Person/1038993", "МКДОУ ДЕТСКИЙ САД №4 ""ЗОЛОТОЙ ПЕТУШОК""")</f>
        <v>МКДОУ ДЕТСКИЙ САД №4 "ЗОЛОТОЙ ПЕТУШОК"</v>
      </c>
      <c r="B6878" s="24" t="s">
        <v>10429</v>
      </c>
      <c r="C6878" s="25">
        <v>21600</v>
      </c>
      <c r="D6878" s="22" t="s">
        <v>10415</v>
      </c>
      <c r="E6878" s="22" t="s">
        <v>10228</v>
      </c>
      <c r="F6878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78" s="22" t="s">
        <v>1047</v>
      </c>
      <c r="H6878" s="22" t="s">
        <v>1047</v>
      </c>
      <c r="I6878" s="26">
        <v>43693.649398148104</v>
      </c>
      <c r="J6878" s="28" t="s">
        <v>51</v>
      </c>
      <c r="K6878" s="28" t="s">
        <v>51</v>
      </c>
      <c r="L6878" s="28" t="s">
        <v>51</v>
      </c>
      <c r="M6878" s="28" t="s">
        <v>51</v>
      </c>
      <c r="N6878" s="28" t="s">
        <v>51</v>
      </c>
    </row>
    <row r="6879" spans="1:14" hidden="1" outlineLevel="1" x14ac:dyDescent="0.15">
      <c r="A6879" s="23" t="str">
        <f>HYPERLINK("https://www.spark-marketing.ru/Card/Person/1040773", "МКДОУ ДЕТСКИЙ САД ""МАЛЫШ""")</f>
        <v>МКДОУ ДЕТСКИЙ САД "МАЛЫШ"</v>
      </c>
      <c r="B6879" s="24" t="s">
        <v>10430</v>
      </c>
      <c r="C6879" s="25">
        <v>25200</v>
      </c>
      <c r="D6879" s="22" t="s">
        <v>10415</v>
      </c>
      <c r="E6879" s="22" t="s">
        <v>10228</v>
      </c>
      <c r="F6879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79" s="22" t="s">
        <v>1047</v>
      </c>
      <c r="H6879" s="22" t="s">
        <v>1047</v>
      </c>
      <c r="I6879" s="26">
        <v>43693.649398148104</v>
      </c>
      <c r="J6879" s="28" t="s">
        <v>51</v>
      </c>
      <c r="K6879" s="28" t="s">
        <v>51</v>
      </c>
      <c r="L6879" s="28" t="s">
        <v>51</v>
      </c>
      <c r="M6879" s="28" t="s">
        <v>51</v>
      </c>
      <c r="N6879" s="28" t="s">
        <v>51</v>
      </c>
    </row>
    <row r="6880" spans="1:14" hidden="1" outlineLevel="1" x14ac:dyDescent="0.15">
      <c r="A6880" s="23" t="str">
        <f>HYPERLINK("https://www.spark-marketing.ru/Card/Person/1042159", "МКДОУ ДЕТСКИЙ САД ""СВЕТЛЯЧОК"" С.ПОСТНИНСКИЙ")</f>
        <v>МКДОУ ДЕТСКИЙ САД "СВЕТЛЯЧОК" С.ПОСТНИНСКИЙ</v>
      </c>
      <c r="B6880" s="24" t="s">
        <v>10431</v>
      </c>
      <c r="C6880" s="25">
        <v>25200</v>
      </c>
      <c r="D6880" s="22" t="s">
        <v>10415</v>
      </c>
      <c r="E6880" s="22" t="s">
        <v>10228</v>
      </c>
      <c r="F6880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80" s="22" t="s">
        <v>1047</v>
      </c>
      <c r="H6880" s="22" t="s">
        <v>1047</v>
      </c>
      <c r="I6880" s="26">
        <v>43693.649398148104</v>
      </c>
      <c r="J6880" s="28" t="s">
        <v>51</v>
      </c>
      <c r="K6880" s="28" t="s">
        <v>51</v>
      </c>
      <c r="L6880" s="28" t="s">
        <v>51</v>
      </c>
      <c r="M6880" s="28" t="s">
        <v>51</v>
      </c>
      <c r="N6880" s="28" t="s">
        <v>51</v>
      </c>
    </row>
    <row r="6881" spans="1:14" hidden="1" outlineLevel="1" x14ac:dyDescent="0.15">
      <c r="A6881" s="23" t="str">
        <f>HYPERLINK("https://www.spark-marketing.ru/Card/Person/1042617", "МКОУ ОСТРЕЦОВСКАЯ ОШ")</f>
        <v>МКОУ ОСТРЕЦОВСКАЯ ОШ</v>
      </c>
      <c r="B6881" s="24" t="s">
        <v>10432</v>
      </c>
      <c r="C6881" s="25">
        <v>7200</v>
      </c>
      <c r="D6881" s="22" t="s">
        <v>10415</v>
      </c>
      <c r="E6881" s="22" t="s">
        <v>10228</v>
      </c>
      <c r="F6881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81" s="22" t="s">
        <v>1047</v>
      </c>
      <c r="H6881" s="22" t="s">
        <v>1047</v>
      </c>
      <c r="I6881" s="26">
        <v>43693.649398148104</v>
      </c>
      <c r="J6881" s="28" t="s">
        <v>51</v>
      </c>
      <c r="K6881" s="28" t="s">
        <v>51</v>
      </c>
      <c r="L6881" s="28" t="s">
        <v>51</v>
      </c>
      <c r="M6881" s="28" t="s">
        <v>51</v>
      </c>
      <c r="N6881" s="28" t="s">
        <v>51</v>
      </c>
    </row>
    <row r="6882" spans="1:14" hidden="1" outlineLevel="1" x14ac:dyDescent="0.15">
      <c r="A6882" s="23" t="str">
        <f>HYPERLINK("https://www.spark-marketing.ru/Card/Person/1042818", "МКОУ НАЧАЛЬНАЯ ШКОЛА-ДЕТСКИЙ САД ""ТОПОЛЕК""")</f>
        <v>МКОУ НАЧАЛЬНАЯ ШКОЛА-ДЕТСКИЙ САД "ТОПОЛЕК"</v>
      </c>
      <c r="B6882" s="24" t="s">
        <v>10433</v>
      </c>
      <c r="C6882" s="25">
        <v>14400</v>
      </c>
      <c r="D6882" s="22" t="s">
        <v>10415</v>
      </c>
      <c r="E6882" s="22" t="s">
        <v>10228</v>
      </c>
      <c r="F6882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82" s="22" t="s">
        <v>1047</v>
      </c>
      <c r="H6882" s="22" t="s">
        <v>1047</v>
      </c>
      <c r="I6882" s="26">
        <v>43693.649398148104</v>
      </c>
      <c r="J6882" s="28" t="s">
        <v>51</v>
      </c>
      <c r="K6882" s="28" t="s">
        <v>51</v>
      </c>
      <c r="L6882" s="28" t="s">
        <v>51</v>
      </c>
      <c r="M6882" s="28" t="s">
        <v>51</v>
      </c>
      <c r="N6882" s="28" t="s">
        <v>51</v>
      </c>
    </row>
    <row r="6883" spans="1:14" hidden="1" outlineLevel="1" x14ac:dyDescent="0.15">
      <c r="A6883" s="23" t="str">
        <f>HYPERLINK("https://www.spark-marketing.ru/Card/Person/1064535", "МБОУ СШ № 3")</f>
        <v>МБОУ СШ № 3</v>
      </c>
      <c r="B6883" s="24" t="s">
        <v>10434</v>
      </c>
      <c r="C6883" s="25">
        <v>70200</v>
      </c>
      <c r="D6883" s="22" t="s">
        <v>10415</v>
      </c>
      <c r="E6883" s="22" t="s">
        <v>10228</v>
      </c>
      <c r="F6883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83" s="22" t="s">
        <v>1047</v>
      </c>
      <c r="H6883" s="22" t="s">
        <v>1047</v>
      </c>
      <c r="I6883" s="26">
        <v>43693.649398148104</v>
      </c>
      <c r="J6883" s="28" t="s">
        <v>51</v>
      </c>
      <c r="K6883" s="28" t="s">
        <v>51</v>
      </c>
      <c r="L6883" s="28" t="s">
        <v>51</v>
      </c>
      <c r="M6883" s="28" t="s">
        <v>51</v>
      </c>
      <c r="N6883" s="28" t="s">
        <v>51</v>
      </c>
    </row>
    <row r="6884" spans="1:14" hidden="1" outlineLevel="1" x14ac:dyDescent="0.15">
      <c r="A6884" s="23" t="str">
        <f>HYPERLINK("https://www.spark-marketing.ru/Card/Person/1082857", "МКДОУ ДЕТСКИЙ САД ""УЛЫБКА""")</f>
        <v>МКДОУ ДЕТСКИЙ САД "УЛЫБКА"</v>
      </c>
      <c r="B6884" s="24" t="s">
        <v>10435</v>
      </c>
      <c r="C6884" s="25">
        <v>7200</v>
      </c>
      <c r="D6884" s="22" t="s">
        <v>10415</v>
      </c>
      <c r="E6884" s="22" t="s">
        <v>10228</v>
      </c>
      <c r="F6884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84" s="22" t="s">
        <v>1047</v>
      </c>
      <c r="H6884" s="22" t="s">
        <v>1047</v>
      </c>
      <c r="I6884" s="26">
        <v>43693.649398148104</v>
      </c>
      <c r="J6884" s="28" t="s">
        <v>51</v>
      </c>
      <c r="K6884" s="28" t="s">
        <v>51</v>
      </c>
      <c r="L6884" s="28" t="s">
        <v>51</v>
      </c>
      <c r="M6884" s="28" t="s">
        <v>51</v>
      </c>
      <c r="N6884" s="28" t="s">
        <v>51</v>
      </c>
    </row>
    <row r="6885" spans="1:14" hidden="1" outlineLevel="1" x14ac:dyDescent="0.15">
      <c r="A6885" s="23" t="str">
        <f>HYPERLINK("https://www.spark-marketing.ru/Card/Person/1017626", "МБОУ СШ № 4")</f>
        <v>МБОУ СШ № 4</v>
      </c>
      <c r="B6885" s="24" t="s">
        <v>10436</v>
      </c>
      <c r="C6885" s="25">
        <v>109800</v>
      </c>
      <c r="D6885" s="22" t="s">
        <v>10415</v>
      </c>
      <c r="E6885" s="22" t="s">
        <v>10228</v>
      </c>
      <c r="F6885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85" s="22" t="s">
        <v>1047</v>
      </c>
      <c r="H6885" s="22" t="s">
        <v>1047</v>
      </c>
      <c r="I6885" s="26">
        <v>43693.649398148104</v>
      </c>
      <c r="J6885" s="28" t="s">
        <v>51</v>
      </c>
      <c r="K6885" s="28" t="s">
        <v>51</v>
      </c>
      <c r="L6885" s="28" t="s">
        <v>51</v>
      </c>
      <c r="M6885" s="28" t="s">
        <v>51</v>
      </c>
      <c r="N6885" s="28" t="s">
        <v>51</v>
      </c>
    </row>
    <row r="6886" spans="1:14" hidden="1" outlineLevel="1" x14ac:dyDescent="0.15">
      <c r="A6886" s="23" t="str">
        <f>HYPERLINK("https://www.spark-marketing.ru/Card/Person/1041081", "МБОУ ЦГ СШ")</f>
        <v>МБОУ ЦГ СШ</v>
      </c>
      <c r="B6886" s="24" t="s">
        <v>10437</v>
      </c>
      <c r="C6886" s="25">
        <v>72000</v>
      </c>
      <c r="D6886" s="22" t="s">
        <v>10415</v>
      </c>
      <c r="E6886" s="22" t="s">
        <v>10228</v>
      </c>
      <c r="F6886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86" s="22" t="s">
        <v>1047</v>
      </c>
      <c r="H6886" s="22" t="s">
        <v>1047</v>
      </c>
      <c r="I6886" s="26">
        <v>43693.649398148104</v>
      </c>
      <c r="J6886" s="28" t="s">
        <v>51</v>
      </c>
      <c r="K6886" s="28" t="s">
        <v>51</v>
      </c>
      <c r="L6886" s="28" t="s">
        <v>51</v>
      </c>
      <c r="M6886" s="28" t="s">
        <v>51</v>
      </c>
      <c r="N6886" s="28" t="s">
        <v>51</v>
      </c>
    </row>
    <row r="6887" spans="1:14" hidden="1" outlineLevel="1" x14ac:dyDescent="0.2">
      <c r="A6887" s="28" t="s">
        <v>51</v>
      </c>
      <c r="B6887" s="28" t="s">
        <v>51</v>
      </c>
      <c r="C6887" s="28" t="s">
        <v>51</v>
      </c>
      <c r="D6887" s="22" t="s">
        <v>10415</v>
      </c>
      <c r="E6887" s="22" t="s">
        <v>10228</v>
      </c>
      <c r="F6887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87" s="22" t="s">
        <v>51</v>
      </c>
      <c r="H6887" s="22" t="s">
        <v>51</v>
      </c>
      <c r="I6887" s="26">
        <v>43693.649398148104</v>
      </c>
      <c r="J6887" s="23" t="str">
        <f>HYPERLINK("https://www.spark-marketing.ru/Card/Person/911187", "ООО ""ГОССПЕЦСТРОЙ""")</f>
        <v>ООО "ГОССПЕЦСТРОЙ"</v>
      </c>
      <c r="K6887" s="24" t="s">
        <v>10438</v>
      </c>
      <c r="L6887" s="28" t="s">
        <v>51</v>
      </c>
      <c r="M6887" s="25">
        <v>910845</v>
      </c>
      <c r="N6887" s="27">
        <v>2.5000000000000001E-2</v>
      </c>
    </row>
    <row r="6888" spans="1:14" hidden="1" outlineLevel="1" x14ac:dyDescent="0.2">
      <c r="A6888" s="28" t="s">
        <v>51</v>
      </c>
      <c r="B6888" s="28" t="s">
        <v>51</v>
      </c>
      <c r="C6888" s="28" t="s">
        <v>51</v>
      </c>
      <c r="D6888" s="22" t="s">
        <v>10415</v>
      </c>
      <c r="E6888" s="22" t="s">
        <v>10228</v>
      </c>
      <c r="F6888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88" s="22" t="s">
        <v>51</v>
      </c>
      <c r="H6888" s="22" t="s">
        <v>51</v>
      </c>
      <c r="I6888" s="26">
        <v>43693.649398148104</v>
      </c>
      <c r="J6888" s="23" t="str">
        <f>HYPERLINK("https://www.spark-marketing.ru/Card/Person/302661", "ООО ""ДОРПРОМСТРОЙ""")</f>
        <v>ООО "ДОРПРОМСТРОЙ"</v>
      </c>
      <c r="K6888" s="24" t="s">
        <v>10439</v>
      </c>
      <c r="L6888" s="28" t="s">
        <v>51</v>
      </c>
      <c r="M6888" s="25">
        <v>882819</v>
      </c>
      <c r="N6888" s="27">
        <v>5.5E-2</v>
      </c>
    </row>
    <row r="6889" spans="1:14" hidden="1" outlineLevel="1" x14ac:dyDescent="0.2">
      <c r="A6889" s="28" t="s">
        <v>51</v>
      </c>
      <c r="B6889" s="28" t="s">
        <v>51</v>
      </c>
      <c r="C6889" s="28" t="s">
        <v>51</v>
      </c>
      <c r="D6889" s="22" t="s">
        <v>10415</v>
      </c>
      <c r="E6889" s="22" t="s">
        <v>10228</v>
      </c>
      <c r="F6889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89" s="22" t="s">
        <v>51</v>
      </c>
      <c r="H6889" s="22" t="s">
        <v>51</v>
      </c>
      <c r="I6889" s="26">
        <v>43693.649398148104</v>
      </c>
      <c r="J6889" s="23" t="str">
        <f>HYPERLINK("https://www.spark-marketing.ru/Card/Person/343251", "Краснов Валерий Евгеньевич")</f>
        <v>Краснов Валерий Евгеньевич</v>
      </c>
      <c r="K6889" s="24" t="s">
        <v>10440</v>
      </c>
      <c r="L6889" s="22" t="s">
        <v>10</v>
      </c>
      <c r="M6889" s="25">
        <v>878148</v>
      </c>
      <c r="N6889" s="27">
        <v>0.06</v>
      </c>
    </row>
    <row r="6890" spans="1:14" hidden="1" outlineLevel="1" x14ac:dyDescent="0.2">
      <c r="A6890" s="28" t="s">
        <v>51</v>
      </c>
      <c r="B6890" s="28" t="s">
        <v>51</v>
      </c>
      <c r="C6890" s="28" t="s">
        <v>51</v>
      </c>
      <c r="D6890" s="22" t="s">
        <v>10415</v>
      </c>
      <c r="E6890" s="22" t="s">
        <v>10228</v>
      </c>
      <c r="F6890" s="23" t="str">
        <f t="shared" si="146"/>
        <v>Оказание услуг по замене светильников светодиодных с аварийным блоком питания для системы эвакуационного освещения здания</v>
      </c>
      <c r="G6890" s="22" t="s">
        <v>51</v>
      </c>
      <c r="H6890" s="22" t="s">
        <v>51</v>
      </c>
      <c r="I6890" s="26">
        <v>43693.649398148104</v>
      </c>
      <c r="J6890" s="23" t="str">
        <f>HYPERLINK("https://www.spark-marketing.ru/Card/Person/74500", "ООО ""СПБ КОМПЛЕКТ""")</f>
        <v>ООО "СПБ КОМПЛЕКТ"</v>
      </c>
      <c r="K6890" s="24" t="s">
        <v>10441</v>
      </c>
      <c r="L6890" s="28" t="s">
        <v>51</v>
      </c>
      <c r="M6890" s="25">
        <v>924858</v>
      </c>
      <c r="N6890" s="27">
        <v>0.01</v>
      </c>
    </row>
    <row r="6891" spans="1:14" x14ac:dyDescent="0.15">
      <c r="A6891" s="23" t="str">
        <f>HYPERLINK("https://www.spark-marketing.ru/Card/Person/60403", "УМВД РОССИИ ПО ГОРОДСКОМУ ОКРУГУ ЭЛЕКТРОСТАЛЬ")</f>
        <v>УМВД РОССИИ ПО ГОРОДСКОМУ ОКРУГУ ЭЛЕКТРОСТАЛЬ</v>
      </c>
      <c r="B6891" s="24" t="s">
        <v>10442</v>
      </c>
      <c r="C6891" s="25">
        <v>2133045</v>
      </c>
      <c r="D6891" s="22" t="s">
        <v>10443</v>
      </c>
      <c r="E6891" s="22" t="s">
        <v>48</v>
      </c>
      <c r="F6891" s="23" t="str">
        <f>HYPERLINK("https://www.spark-marketing.ru/Card/Lot/72855932", "оказание услуг по обеспечению ежедневным трехразовым горячим питанием лиц, задержанных за административное правонарушение на срок более трех часов, содержащихся в специальных помещениях для содержания задержанных лиц и граждан, подвергнутых администр...")</f>
        <v>оказание услуг по обеспечению ежедневным трехразовым горячим питанием лиц, задержанных за административное правонарушение на срок более трех часов, содержащихся в специальных помещениях для содержания задержанных лиц и граждан, подвергнутых администр...</v>
      </c>
      <c r="G6891" s="22" t="s">
        <v>49</v>
      </c>
      <c r="H6891" s="22" t="s">
        <v>742</v>
      </c>
      <c r="I6891" s="26">
        <v>43693.623993055597</v>
      </c>
      <c r="J6891" s="23" t="str">
        <f>HYPERLINK("https://www.spark-marketing.ru/Card/Person/3139135", "Тройникова Татьяна Николаевна")</f>
        <v>Тройникова Татьяна Николаевна</v>
      </c>
      <c r="K6891" s="24" t="s">
        <v>10444</v>
      </c>
      <c r="L6891" s="22" t="s">
        <v>10</v>
      </c>
      <c r="M6891" s="28" t="s">
        <v>51</v>
      </c>
      <c r="N6891" s="28" t="s">
        <v>51</v>
      </c>
    </row>
    <row r="6892" spans="1:14" x14ac:dyDescent="0.15">
      <c r="A6892" s="23" t="str">
        <f>HYPERLINK("https://www.spark-marketing.ru/Card/Person/2341", "УПРАВЛЕНИЕ РОСРЕЕСТРА ПО ЧУВАШСКОЙ РЕСПУБЛИКЕ")</f>
        <v>УПРАВЛЕНИЕ РОСРЕЕСТРА ПО ЧУВАШСКОЙ РЕСПУБЛИКЕ</v>
      </c>
      <c r="B6892" s="24" t="s">
        <v>10445</v>
      </c>
      <c r="C6892" s="25">
        <v>90000</v>
      </c>
      <c r="D6892" s="22" t="s">
        <v>10446</v>
      </c>
      <c r="E6892" s="22" t="s">
        <v>91</v>
      </c>
      <c r="F6892" s="23" t="str">
        <f>HYPERLINK("https://www.spark-marketing.ru/Card/Lot/72844480", "Оказание услуг по ремонту компьютеров и периферийного оборудования")</f>
        <v>Оказание услуг по ремонту компьютеров и периферийного оборудования</v>
      </c>
      <c r="G6892" s="22" t="s">
        <v>618</v>
      </c>
      <c r="H6892" s="22" t="s">
        <v>618</v>
      </c>
      <c r="I6892" s="26">
        <v>43693.589293981502</v>
      </c>
      <c r="J6892" s="28" t="s">
        <v>51</v>
      </c>
      <c r="K6892" s="28" t="s">
        <v>51</v>
      </c>
      <c r="L6892" s="28" t="s">
        <v>51</v>
      </c>
      <c r="M6892" s="28" t="s">
        <v>51</v>
      </c>
      <c r="N6892" s="28" t="s">
        <v>51</v>
      </c>
    </row>
    <row r="6893" spans="1:14" hidden="1" outlineLevel="1" x14ac:dyDescent="0.2">
      <c r="A6893" s="23" t="str">
        <f>HYPERLINK("https://www.spark-marketing.ru/Card/Person/2341", "УПРАВЛЕНИЕ РОСРЕЕСТРА ПО ЧУВАШСКОЙ РЕСПУБЛИКЕ")</f>
        <v>УПРАВЛЕНИЕ РОСРЕЕСТРА ПО ЧУВАШСКОЙ РЕСПУБЛИКЕ</v>
      </c>
      <c r="B6893" s="24" t="s">
        <v>10445</v>
      </c>
      <c r="C6893" s="25">
        <v>90000</v>
      </c>
      <c r="D6893" s="22" t="s">
        <v>10446</v>
      </c>
      <c r="E6893" s="22" t="s">
        <v>91</v>
      </c>
      <c r="F6893" s="23" t="str">
        <f>HYPERLINK("https://www.spark-marketing.ru/Card/Lot/72844480", "Оказание услуг по ремонту компьютеров и периферийного оборудования")</f>
        <v>Оказание услуг по ремонту компьютеров и периферийного оборудования</v>
      </c>
      <c r="G6893" s="22" t="s">
        <v>618</v>
      </c>
      <c r="H6893" s="22" t="s">
        <v>618</v>
      </c>
      <c r="I6893" s="26">
        <v>43693.589293981502</v>
      </c>
      <c r="J6893" s="23" t="str">
        <f>HYPERLINK("https://www.spark-marketing.ru/Card/Person/158328", "ООО ""М-СЕРВИС""")</f>
        <v>ООО "М-СЕРВИС"</v>
      </c>
      <c r="K6893" s="24" t="s">
        <v>2922</v>
      </c>
      <c r="L6893" s="28" t="s">
        <v>51</v>
      </c>
      <c r="M6893" s="25">
        <v>72127.81</v>
      </c>
      <c r="N6893" s="27">
        <v>0.19857988888888889</v>
      </c>
    </row>
    <row r="6894" spans="1:14" ht="12.75" hidden="1" outlineLevel="1" x14ac:dyDescent="0.2">
      <c r="A6894" s="23" t="str">
        <f>HYPERLINK("https://www.spark-marketing.ru/Card/Person/2341", "УПРАВЛЕНИЕ РОСРЕЕСТРА ПО ЧУВАШСКОЙ РЕСПУБЛИКЕ")</f>
        <v>УПРАВЛЕНИЕ РОСРЕЕСТРА ПО ЧУВАШСКОЙ РЕСПУБЛИКЕ</v>
      </c>
      <c r="B6894" s="24" t="s">
        <v>10445</v>
      </c>
      <c r="C6894" s="25">
        <v>90000</v>
      </c>
      <c r="D6894" s="22" t="s">
        <v>10446</v>
      </c>
      <c r="E6894" s="22" t="s">
        <v>91</v>
      </c>
      <c r="F6894" s="23" t="str">
        <f>HYPERLINK("https://www.spark-marketing.ru/Card/Lot/72844480", "Оказание услуг по ремонту компьютеров и периферийного оборудования")</f>
        <v>Оказание услуг по ремонту компьютеров и периферийного оборудования</v>
      </c>
      <c r="G6894" s="22" t="s">
        <v>618</v>
      </c>
      <c r="H6894" s="22" t="s">
        <v>618</v>
      </c>
      <c r="I6894" s="26">
        <v>43693.589293981502</v>
      </c>
      <c r="J6894" s="23" t="str">
        <f>HYPERLINK("https://www.spark-marketing.ru/Card/Person/6426382", "Цветков Андрей Рафаилович")</f>
        <v>Цветков Андрей Рафаилович</v>
      </c>
      <c r="K6894" s="24" t="s">
        <v>10447</v>
      </c>
      <c r="L6894" s="22" t="s">
        <v>10</v>
      </c>
      <c r="M6894" s="25">
        <v>71729.31</v>
      </c>
      <c r="N6894" s="27">
        <v>0.20300766666666667</v>
      </c>
    </row>
    <row r="6895" spans="1:14" x14ac:dyDescent="0.15">
      <c r="A6895" s="23" t="str">
        <f>HYPERLINK("https://www.spark-marketing.ru/Card/Person/1044653", "ОКУ ОХИНСКИЙ ЦЗН")</f>
        <v>ОКУ ОХИНСКИЙ ЦЗН</v>
      </c>
      <c r="B6895" s="24" t="s">
        <v>2597</v>
      </c>
      <c r="C6895" s="25">
        <v>6140</v>
      </c>
      <c r="D6895" s="22" t="s">
        <v>10448</v>
      </c>
      <c r="E6895" s="22" t="s">
        <v>2599</v>
      </c>
      <c r="F6895" s="23" t="str">
        <f>HYPERLINK("https://www.spark-marketing.ru/Card/Lot/72827481", "Оказание услуг по профессиональному обучению граждан по программе: ""Организация питания в дошкольных образовательных учреждениях"".")</f>
        <v>Оказание услуг по профессиональному обучению граждан по программе: "Организация питания в дошкольных образовательных учреждениях".</v>
      </c>
      <c r="G6895" s="22" t="s">
        <v>260</v>
      </c>
      <c r="H6895" s="22" t="s">
        <v>2600</v>
      </c>
      <c r="I6895" s="26">
        <v>43693.518530092602</v>
      </c>
      <c r="J6895" s="28" t="s">
        <v>51</v>
      </c>
      <c r="K6895" s="28" t="s">
        <v>51</v>
      </c>
      <c r="L6895" s="28" t="s">
        <v>51</v>
      </c>
      <c r="M6895" s="28" t="s">
        <v>51</v>
      </c>
      <c r="N6895" s="28" t="s">
        <v>51</v>
      </c>
    </row>
    <row r="6896" spans="1:14" x14ac:dyDescent="0.15">
      <c r="A6896" s="23" t="str">
        <f>HYPERLINK("https://www.spark-marketing.ru/Card/Person/10912", "ОТДЕЛ МВД РОССИИ ПО ЗЛАТОУСТОВСКОМУ ГОРОДСКОМУ ОКРУГУ ЧЕЛЯБИНСКОЙ ОБЛАСТИ")</f>
        <v>ОТДЕЛ МВД РОССИИ ПО ЗЛАТОУСТОВСКОМУ ГОРОДСКОМУ ОКРУГУ ЧЕЛЯБИНСКОЙ ОБЛАСТИ</v>
      </c>
      <c r="B6896" s="24" t="s">
        <v>10449</v>
      </c>
      <c r="C6896" s="25">
        <v>1580000</v>
      </c>
      <c r="D6896" s="22" t="s">
        <v>10450</v>
      </c>
      <c r="E6896" s="22" t="s">
        <v>48</v>
      </c>
      <c r="F6896" s="23" t="str">
        <f>HYPERLINK("https://www.spark-marketing.ru/Card/Lot/72841693", "Услуги по обеспечению ежедневным трёхразовым питанием подозреваемых и обвиняемых в совершении преступлений, находящихся в ИВС и специальном приемнике")</f>
        <v>Услуги по обеспечению ежедневным трёхразовым питанием подозреваемых и обвиняемых в совершении преступлений, находящихся в ИВС и специальном приемнике</v>
      </c>
      <c r="G6896" s="22" t="s">
        <v>469</v>
      </c>
      <c r="H6896" s="22" t="s">
        <v>1076</v>
      </c>
      <c r="I6896" s="26">
        <v>43693.501377314802</v>
      </c>
      <c r="J6896" s="23" t="str">
        <f>HYPERLINK("https://www.spark-marketing.ru/Card/Person/1523821", "ООО ""ТВИКС""")</f>
        <v>ООО "ТВИКС"</v>
      </c>
      <c r="K6896" s="24" t="s">
        <v>9507</v>
      </c>
      <c r="L6896" s="22" t="s">
        <v>10</v>
      </c>
      <c r="M6896" s="28" t="s">
        <v>51</v>
      </c>
      <c r="N6896" s="28" t="s">
        <v>51</v>
      </c>
    </row>
    <row r="6897" spans="1:14" x14ac:dyDescent="0.15">
      <c r="A6897" s="23" t="str">
        <f>HYPERLINK("https://www.spark-marketing.ru/Card/Person/5862006", "ЗАО ГАЗПРОМНЕФТЬ АЭРО")</f>
        <v>ЗАО ГАЗПРОМНЕФТЬ АЭРО</v>
      </c>
      <c r="B6897" s="28" t="s">
        <v>51</v>
      </c>
      <c r="C6897" s="28" t="s">
        <v>51</v>
      </c>
      <c r="D6897" s="22" t="s">
        <v>10451</v>
      </c>
      <c r="E6897" s="22" t="s">
        <v>52</v>
      </c>
      <c r="F6897" s="23" t="str">
        <f>HYPERLINK("https://www.spark-marketing.ru/Card/Lot/73280595", "Отбор организации, способной оказать услуги по организации питания работников для нужд филиала «Чкаловск» АО «Газпромнефть-Аэро»")</f>
        <v>Отбор организации, способной оказать услуги по организации питания работников для нужд филиала «Чкаловск» АО «Газпромнефть-Аэро»</v>
      </c>
      <c r="G6897" s="22" t="s">
        <v>51</v>
      </c>
      <c r="H6897" s="22" t="s">
        <v>51</v>
      </c>
      <c r="I6897" s="26">
        <v>43693.604166666701</v>
      </c>
      <c r="J6897" s="28" t="s">
        <v>51</v>
      </c>
      <c r="K6897" s="28" t="s">
        <v>51</v>
      </c>
      <c r="L6897" s="28" t="s">
        <v>51</v>
      </c>
      <c r="M6897" s="28" t="s">
        <v>51</v>
      </c>
      <c r="N6897" s="28" t="s">
        <v>51</v>
      </c>
    </row>
    <row r="6898" spans="1:14" x14ac:dyDescent="0.15">
      <c r="A6898" s="23" t="str">
        <f>HYPERLINK("https://www.spark-marketing.ru/Card/Person/272640", "МО МВД РОССИИ ""ПАВЛОВСКИЙ""")</f>
        <v>МО МВД РОССИИ "ПАВЛОВСКИЙ"</v>
      </c>
      <c r="B6898" s="24" t="s">
        <v>7516</v>
      </c>
      <c r="C6898" s="25">
        <v>100067</v>
      </c>
      <c r="D6898" s="22" t="s">
        <v>10452</v>
      </c>
      <c r="E6898" s="22" t="s">
        <v>48</v>
      </c>
      <c r="F6898" s="23" t="str">
        <f>HYPERLINK("https://www.spark-marketing.ru/Card/Lot/72844301", "Поставка сухих пайков для содержащихся в ИВС МО МВД России ""Павловский""")</f>
        <v>Поставка сухих пайков для содержащихся в ИВС МО МВД России "Павловский"</v>
      </c>
      <c r="G6898" s="22" t="s">
        <v>76</v>
      </c>
      <c r="H6898" s="22" t="s">
        <v>7518</v>
      </c>
      <c r="I6898" s="26">
        <v>43693.516863425903</v>
      </c>
      <c r="J6898" s="28" t="s">
        <v>51</v>
      </c>
      <c r="K6898" s="28" t="s">
        <v>51</v>
      </c>
      <c r="L6898" s="28" t="s">
        <v>51</v>
      </c>
      <c r="M6898" s="28" t="s">
        <v>51</v>
      </c>
      <c r="N6898" s="28" t="s">
        <v>51</v>
      </c>
    </row>
    <row r="6899" spans="1:14" ht="12.75" x14ac:dyDescent="0.2">
      <c r="A6899" s="23" t="str">
        <f>HYPERLINK("https://www.spark-marketing.ru/Card/Person/25216", "БУ ""НОВОЧЕБОКСАРСКИЙ МЕДИЦИНСКИЙ ЦЕНТР"" МИНЗДРАВА ЧУВАШИИ")</f>
        <v>БУ "НОВОЧЕБОКСАРСКИЙ МЕДИЦИНСКИЙ ЦЕНТР" МИНЗДРАВА ЧУВАШИИ</v>
      </c>
      <c r="B6899" s="24" t="s">
        <v>10453</v>
      </c>
      <c r="C6899" s="25">
        <v>217500</v>
      </c>
      <c r="D6899" s="22" t="s">
        <v>10454</v>
      </c>
      <c r="E6899" s="22" t="s">
        <v>48</v>
      </c>
      <c r="F6899" s="23" t="str">
        <f>HYPERLINK("https://www.spark-marketing.ru/Card/Lot/72844788", "Оказание услуг по приготовлению готовой пищевой продукции для лечебного питания больных, находящихся в стационарных отделениях БУ «Новочебоксарский медицинский центр» Минздрава Чувашии")</f>
        <v>Оказание услуг по приготовлению готовой пищевой продукции для лечебного питания больных, находящихся в стационарных отделениях БУ «Новочебоксарский медицинский центр» Минздрава Чувашии</v>
      </c>
      <c r="G6899" s="22" t="s">
        <v>618</v>
      </c>
      <c r="H6899" s="22" t="s">
        <v>7412</v>
      </c>
      <c r="I6899" s="26">
        <v>43693.561458333301</v>
      </c>
      <c r="J6899" s="23" t="str">
        <f>HYPERLINK("https://www.spark-marketing.ru/Card/Person/93793", "ООО ""ЗДОРОВОЕ ПИТАНИЕ""")</f>
        <v>ООО "ЗДОРОВОЕ ПИТАНИЕ"</v>
      </c>
      <c r="K6899" s="24" t="s">
        <v>10455</v>
      </c>
      <c r="L6899" s="22" t="s">
        <v>10</v>
      </c>
      <c r="M6899" s="25">
        <v>213625</v>
      </c>
      <c r="N6899" s="27">
        <v>1.7816091954022988E-2</v>
      </c>
    </row>
    <row r="6900" spans="1:14" x14ac:dyDescent="0.15">
      <c r="A6900" s="23" t="str">
        <f>HYPERLINK("https://www.spark-marketing.ru/Card/Person/267554", "ОМВД РОССИИ ""НЯНДОМСКИЙ""")</f>
        <v>ОМВД РОССИИ "НЯНДОМСКИЙ"</v>
      </c>
      <c r="B6900" s="24" t="s">
        <v>5793</v>
      </c>
      <c r="C6900" s="25">
        <v>321569.93</v>
      </c>
      <c r="D6900" s="22" t="s">
        <v>10456</v>
      </c>
      <c r="E6900" s="22" t="s">
        <v>48</v>
      </c>
      <c r="F6900" s="23" t="str">
        <f>HYPERLINK("https://www.spark-marketing.ru/Card/Lot/72844925", "Услуги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ОП ""Каргопольский"", в соответствии с нормой суточного довольствия, а также...")</f>
        <v>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ОП "Каргопольский", в соответствии с нормой суточного довольствия, а также...</v>
      </c>
      <c r="G6900" s="22" t="s">
        <v>214</v>
      </c>
      <c r="H6900" s="22" t="s">
        <v>214</v>
      </c>
      <c r="I6900" s="26">
        <v>43693.586875000001</v>
      </c>
      <c r="J6900" s="23" t="str">
        <f>HYPERLINK("https://www.spark-marketing.ru/Card/Person/284715", "Окулова Надежда Васильевна")</f>
        <v>Окулова Надежда Васильевна</v>
      </c>
      <c r="K6900" s="24" t="s">
        <v>10457</v>
      </c>
      <c r="L6900" s="22" t="s">
        <v>10</v>
      </c>
      <c r="M6900" s="28" t="s">
        <v>51</v>
      </c>
      <c r="N6900" s="28" t="s">
        <v>51</v>
      </c>
    </row>
    <row r="6901" spans="1:14" ht="12.75" x14ac:dyDescent="0.2">
      <c r="A6901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6901" s="24" t="s">
        <v>1019</v>
      </c>
      <c r="C6901" s="25">
        <v>243810</v>
      </c>
      <c r="D6901" s="22" t="s">
        <v>10458</v>
      </c>
      <c r="E6901" s="22" t="s">
        <v>48</v>
      </c>
      <c r="F6901" s="23" t="str">
        <f>HYPERLINK("https://www.spark-marketing.ru/Card/Lot/72842431", "Услуги по организации горячего питания для воспитанников ГБОУ РШИ ""Тувинский кадетский корпус""")</f>
        <v>Услуги по организации горячего питания для воспитанников ГБОУ РШИ "Тувинский кадетский корпус"</v>
      </c>
      <c r="G6901" s="22" t="s">
        <v>327</v>
      </c>
      <c r="H6901" s="22" t="s">
        <v>328</v>
      </c>
      <c r="I6901" s="26">
        <v>43693.538136574098</v>
      </c>
      <c r="J6901" s="23" t="str">
        <f>HYPERLINK("https://www.spark-marketing.ru/Card/Person/5893709", "ООО ""АРЖААН""")</f>
        <v>ООО "АРЖААН"</v>
      </c>
      <c r="K6901" s="24" t="s">
        <v>9661</v>
      </c>
      <c r="L6901" s="22" t="s">
        <v>10</v>
      </c>
      <c r="M6901" s="25">
        <v>239000</v>
      </c>
      <c r="N6901" s="27">
        <v>1.9728477092818178E-2</v>
      </c>
    </row>
    <row r="6902" spans="1:14" x14ac:dyDescent="0.2">
      <c r="A6902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6902" s="24" t="s">
        <v>1019</v>
      </c>
      <c r="C6902" s="25">
        <v>2275560</v>
      </c>
      <c r="D6902" s="22" t="s">
        <v>10459</v>
      </c>
      <c r="E6902" s="22" t="s">
        <v>48</v>
      </c>
      <c r="F6902" s="23" t="str">
        <f>HYPERLINK("https://www.spark-marketing.ru/Card/Lot/72842337", "Услуги по организации горячего питания для воспитанников ГБОУ РШИ ""Тувинский кадетский корпус""")</f>
        <v>Услуги по организации горячего питания для воспитанников ГБОУ РШИ "Тувинский кадетский корпус"</v>
      </c>
      <c r="G6902" s="22" t="s">
        <v>327</v>
      </c>
      <c r="H6902" s="22" t="s">
        <v>328</v>
      </c>
      <c r="I6902" s="26">
        <v>43693.747222222199</v>
      </c>
      <c r="J6902" s="23" t="str">
        <f>HYPERLINK("https://www.spark-marketing.ru/Card/Person/5893709", "ООО ""АРЖААН""")</f>
        <v>ООО "АРЖААН"</v>
      </c>
      <c r="K6902" s="24" t="s">
        <v>9661</v>
      </c>
      <c r="L6902" s="28" t="s">
        <v>51</v>
      </c>
      <c r="M6902" s="25">
        <v>2275560</v>
      </c>
      <c r="N6902" s="27">
        <v>0</v>
      </c>
    </row>
    <row r="6903" spans="1:14" x14ac:dyDescent="0.15">
      <c r="A6903" s="23" t="str">
        <f>HYPERLINK("https://www.spark-marketing.ru/Card/Person/4348382", "ООО ""ГАЗПРОМ ПИТАНИЕ""")</f>
        <v>ООО "ГАЗПРОМ ПИТАНИЕ"</v>
      </c>
      <c r="B6903" s="24" t="s">
        <v>2869</v>
      </c>
      <c r="C6903" s="25">
        <v>411250</v>
      </c>
      <c r="D6903" s="22" t="s">
        <v>10460</v>
      </c>
      <c r="E6903" s="22" t="s">
        <v>52</v>
      </c>
      <c r="F6903" s="23" t="str">
        <f>HYPERLINK("https://www.spark-marketing.ru/Card/Lot/72841305", "Оказание услуг по доставке грузов ж/д транспортом от ст. сосногорск до ст. воркута для нужд филиала ухтинское уооп ооо ""газпром питание""")</f>
        <v>Оказание услуг по доставке грузов ж/д транспортом от ст. сосногорск до ст. воркута для нужд филиала ухтинское уооп ооо "газпром питание"</v>
      </c>
      <c r="G6903" s="22" t="s">
        <v>271</v>
      </c>
      <c r="H6903" s="22" t="s">
        <v>8864</v>
      </c>
      <c r="I6903" s="26">
        <v>43693.566666666702</v>
      </c>
      <c r="J6903" s="28" t="s">
        <v>51</v>
      </c>
      <c r="K6903" s="28" t="s">
        <v>51</v>
      </c>
      <c r="L6903" s="28" t="s">
        <v>51</v>
      </c>
      <c r="M6903" s="28" t="s">
        <v>51</v>
      </c>
      <c r="N6903" s="28" t="s">
        <v>51</v>
      </c>
    </row>
    <row r="6904" spans="1:14" x14ac:dyDescent="0.15">
      <c r="A6904" s="23" t="str">
        <f>HYPERLINK("https://www.spark-marketing.ru/Card/Person/8568", "УПРАВЛЕНИЕ МВД РОССИИ ПО ГОРОДУ САРАТОВУ")</f>
        <v>УПРАВЛЕНИЕ МВД РОССИИ ПО ГОРОДУ САРАТОВУ</v>
      </c>
      <c r="B6904" s="24" t="s">
        <v>10149</v>
      </c>
      <c r="C6904" s="25">
        <v>1300000</v>
      </c>
      <c r="D6904" s="22" t="s">
        <v>10461</v>
      </c>
      <c r="E6904" s="22" t="s">
        <v>48</v>
      </c>
      <c r="F6904" s="23" t="str">
        <f>HYPERLINK("https://www.spark-marketing.ru/Card/Lot/72841567", "оказание услуг по приготовлению и поставке трехразового горячего питания, лиц, содержащихся в комнатах содержания задержанных отделов полиции № 1-7 в составе Управления МВД России по городу Саратову.")</f>
        <v>оказание услуг по приготовлению и поставке трехразового горячего питания, лиц, содержащихся в комнатах содержания задержанных отделов полиции № 1-7 в составе Управления МВД России по городу Саратову.</v>
      </c>
      <c r="G6904" s="22" t="s">
        <v>351</v>
      </c>
      <c r="H6904" s="22" t="s">
        <v>2983</v>
      </c>
      <c r="I6904" s="26">
        <v>43693.493657407402</v>
      </c>
      <c r="J6904" s="28" t="s">
        <v>51</v>
      </c>
      <c r="K6904" s="28" t="s">
        <v>51</v>
      </c>
      <c r="L6904" s="28" t="s">
        <v>51</v>
      </c>
      <c r="M6904" s="28" t="s">
        <v>51</v>
      </c>
      <c r="N6904" s="28" t="s">
        <v>51</v>
      </c>
    </row>
    <row r="6905" spans="1:14" ht="12.75" hidden="1" outlineLevel="1" x14ac:dyDescent="0.2">
      <c r="A6905" s="23" t="str">
        <f>HYPERLINK("https://www.spark-marketing.ru/Card/Person/8568", "УПРАВЛЕНИЕ МВД РОССИИ ПО ГОРОДУ САРАТОВУ")</f>
        <v>УПРАВЛЕНИЕ МВД РОССИИ ПО ГОРОДУ САРАТОВУ</v>
      </c>
      <c r="B6905" s="24" t="s">
        <v>10149</v>
      </c>
      <c r="C6905" s="25">
        <v>1300000</v>
      </c>
      <c r="D6905" s="22" t="s">
        <v>10461</v>
      </c>
      <c r="E6905" s="22" t="s">
        <v>48</v>
      </c>
      <c r="F6905" s="23" t="str">
        <f>HYPERLINK("https://www.spark-marketing.ru/Card/Lot/72841567", "оказание услуг по приготовлению и поставке трехразового горячего питания, лиц, содержащихся в комнатах содержания задержанных отделов полиции № 1-7 в составе Управления МВД России по городу Саратову.")</f>
        <v>оказание услуг по приготовлению и поставке трехразового горячего питания, лиц, содержащихся в комнатах содержания задержанных отделов полиции № 1-7 в составе Управления МВД России по городу Саратову.</v>
      </c>
      <c r="G6905" s="22" t="s">
        <v>351</v>
      </c>
      <c r="H6905" s="22" t="s">
        <v>2983</v>
      </c>
      <c r="I6905" s="26">
        <v>43693.493657407402</v>
      </c>
      <c r="J6905" s="23" t="str">
        <f>HYPERLINK("https://www.spark-marketing.ru/Card/Person/66182", "Иванушкина Оксана Геннадиевна")</f>
        <v>Иванушкина Оксана Геннадиевна</v>
      </c>
      <c r="K6905" s="24" t="s">
        <v>10151</v>
      </c>
      <c r="L6905" s="22" t="s">
        <v>10</v>
      </c>
      <c r="M6905" s="25">
        <v>1008500</v>
      </c>
      <c r="N6905" s="27">
        <v>0.22423076923076923</v>
      </c>
    </row>
    <row r="6906" spans="1:14" hidden="1" outlineLevel="1" x14ac:dyDescent="0.2">
      <c r="A6906" s="23" t="str">
        <f>HYPERLINK("https://www.spark-marketing.ru/Card/Person/8568", "УПРАВЛЕНИЕ МВД РОССИИ ПО ГОРОДУ САРАТОВУ")</f>
        <v>УПРАВЛЕНИЕ МВД РОССИИ ПО ГОРОДУ САРАТОВУ</v>
      </c>
      <c r="B6906" s="24" t="s">
        <v>10149</v>
      </c>
      <c r="C6906" s="25">
        <v>1300000</v>
      </c>
      <c r="D6906" s="22" t="s">
        <v>10461</v>
      </c>
      <c r="E6906" s="22" t="s">
        <v>48</v>
      </c>
      <c r="F6906" s="23" t="str">
        <f>HYPERLINK("https://www.spark-marketing.ru/Card/Lot/72841567", "оказание услуг по приготовлению и поставке трехразового горячего питания, лиц, содержащихся в комнатах содержания задержанных отделов полиции № 1-7 в составе Управления МВД России по городу Саратову.")</f>
        <v>оказание услуг по приготовлению и поставке трехразового горячего питания, лиц, содержащихся в комнатах содержания задержанных отделов полиции № 1-7 в составе Управления МВД России по городу Саратову.</v>
      </c>
      <c r="G6906" s="22" t="s">
        <v>351</v>
      </c>
      <c r="H6906" s="22" t="s">
        <v>2983</v>
      </c>
      <c r="I6906" s="26">
        <v>43693.493657407402</v>
      </c>
      <c r="J6906" s="23" t="str">
        <f>HYPERLINK("https://www.spark-marketing.ru/Card/Person/74927", "Рыженкова Юлия Валерьевна")</f>
        <v>Рыженкова Юлия Валерьевна</v>
      </c>
      <c r="K6906" s="24" t="s">
        <v>10462</v>
      </c>
      <c r="L6906" s="28" t="s">
        <v>51</v>
      </c>
      <c r="M6906" s="25">
        <v>1015000</v>
      </c>
      <c r="N6906" s="27">
        <v>0.21923076923076923</v>
      </c>
    </row>
    <row r="6907" spans="1:14" x14ac:dyDescent="0.15">
      <c r="A6907" s="23" t="str">
        <f>HYPERLINK("https://www.spark-marketing.ru/Card/Person/6497198", "ГКУ ""АЗ СЗ""")</f>
        <v>ГКУ "АЗ СЗ"</v>
      </c>
      <c r="B6907" s="24" t="s">
        <v>1151</v>
      </c>
      <c r="C6907" s="25">
        <v>9000000</v>
      </c>
      <c r="D6907" s="22" t="s">
        <v>10463</v>
      </c>
      <c r="E6907" s="22" t="s">
        <v>1153</v>
      </c>
      <c r="F6907" s="23" t="str">
        <f>HYPERLINK("https://www.spark-marketing.ru/Card/Lot/72833506", "Оказание услуг по приемке от поставщиков, хранению, учету, управлению товарными запасами, доставке и отпуску аптечными организациями закупленных лекарственных препаратов для медицинского применения, медицинских изделий и специализированных продуктов ...")</f>
        <v>Оказание услуг по приемке от поставщиков, хранению, учету, управлению товарными запасами, доставке и отпуску аптечными организациями закупленных лекарственных препаратов для медицинского применения, медицинских изделий и специализированных продуктов ...</v>
      </c>
      <c r="G6907" s="22" t="s">
        <v>304</v>
      </c>
      <c r="H6907" s="22" t="s">
        <v>1154</v>
      </c>
      <c r="I6907" s="26">
        <v>43693.523958333302</v>
      </c>
      <c r="J6907" s="23" t="str">
        <f>HYPERLINK("https://www.spark-marketing.ru/Card/Person/57014", "ОАО ""КУЗБАССФАРМА""")</f>
        <v>ОАО "КУЗБАССФАРМА"</v>
      </c>
      <c r="K6907" s="24" t="s">
        <v>10464</v>
      </c>
      <c r="L6907" s="22" t="s">
        <v>10</v>
      </c>
      <c r="M6907" s="28" t="s">
        <v>51</v>
      </c>
      <c r="N6907" s="28" t="s">
        <v>51</v>
      </c>
    </row>
    <row r="6908" spans="1:14" x14ac:dyDescent="0.15">
      <c r="A6908" s="23" t="str">
        <f>HYPERLINK("https://www.spark-marketing.ru/Card/Person/50743", "МП ""ДЕТСКОЕ ПИТАНИЕ""")</f>
        <v>МП "ДЕТСКОЕ ПИТАНИЕ"</v>
      </c>
      <c r="B6908" s="24" t="s">
        <v>1562</v>
      </c>
      <c r="C6908" s="28" t="s">
        <v>51</v>
      </c>
      <c r="D6908" s="22" t="s">
        <v>10465</v>
      </c>
      <c r="E6908" s="22" t="s">
        <v>10466</v>
      </c>
      <c r="F6908" s="23" t="str">
        <f>HYPERLINK("https://www.spark-marketing.ru/Card/Lot/72841399", "Поставка соли (для оказания услуг по предоставлению питания школьникам).")</f>
        <v>Поставка соли (для оказания услуг по предоставлению питания школьникам).</v>
      </c>
      <c r="G6908" s="22" t="s">
        <v>1522</v>
      </c>
      <c r="H6908" s="22" t="s">
        <v>1523</v>
      </c>
      <c r="I6908" s="26">
        <v>43693.561111111099</v>
      </c>
      <c r="J6908" s="28" t="s">
        <v>51</v>
      </c>
      <c r="K6908" s="28" t="s">
        <v>51</v>
      </c>
      <c r="L6908" s="28" t="s">
        <v>51</v>
      </c>
      <c r="M6908" s="28" t="s">
        <v>51</v>
      </c>
      <c r="N6908" s="28" t="s">
        <v>51</v>
      </c>
    </row>
    <row r="6909" spans="1:14" ht="12.75" x14ac:dyDescent="0.2">
      <c r="A6909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6909" s="24" t="s">
        <v>1019</v>
      </c>
      <c r="C6909" s="25">
        <v>243810</v>
      </c>
      <c r="D6909" s="22" t="s">
        <v>10467</v>
      </c>
      <c r="E6909" s="22" t="s">
        <v>48</v>
      </c>
      <c r="F6909" s="23" t="str">
        <f>HYPERLINK("https://www.spark-marketing.ru/Card/Lot/72842380", "Услуги по организации горячего питания для воспитанников ГБОУ РШИ ""Тувинский кадетский корпус""")</f>
        <v>Услуги по организации горячего питания для воспитанников ГБОУ РШИ "Тувинский кадетский корпус"</v>
      </c>
      <c r="G6909" s="22" t="s">
        <v>327</v>
      </c>
      <c r="H6909" s="22" t="s">
        <v>328</v>
      </c>
      <c r="I6909" s="26">
        <v>43693.531539351898</v>
      </c>
      <c r="J6909" s="23" t="str">
        <f>HYPERLINK("https://www.spark-marketing.ru/Card/Person/5893709", "ООО ""АРЖААН""")</f>
        <v>ООО "АРЖААН"</v>
      </c>
      <c r="K6909" s="24" t="s">
        <v>9661</v>
      </c>
      <c r="L6909" s="22" t="s">
        <v>10</v>
      </c>
      <c r="M6909" s="25">
        <v>239000</v>
      </c>
      <c r="N6909" s="27">
        <v>1.9728477092818178E-2</v>
      </c>
    </row>
    <row r="6910" spans="1:14" ht="12.75" x14ac:dyDescent="0.2">
      <c r="A6910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6910" s="24" t="s">
        <v>1019</v>
      </c>
      <c r="C6910" s="25">
        <v>243810</v>
      </c>
      <c r="D6910" s="22" t="s">
        <v>10468</v>
      </c>
      <c r="E6910" s="22" t="s">
        <v>48</v>
      </c>
      <c r="F6910" s="23" t="str">
        <f>HYPERLINK("https://www.spark-marketing.ru/Card/Lot/72842429", "Услуги по организации горячего питания для воспитанников ГБОУ РШИ "" Тувинский кадетский корпус""")</f>
        <v>Услуги по организации горячего питания для воспитанников ГБОУ РШИ " Тувинский кадетский корпус"</v>
      </c>
      <c r="G6910" s="22" t="s">
        <v>327</v>
      </c>
      <c r="H6910" s="22" t="s">
        <v>328</v>
      </c>
      <c r="I6910" s="26">
        <v>43693.537638888898</v>
      </c>
      <c r="J6910" s="23" t="str">
        <f>HYPERLINK("https://www.spark-marketing.ru/Card/Person/5893709", "ООО ""АРЖААН""")</f>
        <v>ООО "АРЖААН"</v>
      </c>
      <c r="K6910" s="24" t="s">
        <v>9661</v>
      </c>
      <c r="L6910" s="22" t="s">
        <v>10</v>
      </c>
      <c r="M6910" s="25">
        <v>239000</v>
      </c>
      <c r="N6910" s="27">
        <v>1.9728477092818178E-2</v>
      </c>
    </row>
    <row r="6911" spans="1:14" x14ac:dyDescent="0.15">
      <c r="A6911" s="23" t="str">
        <f>HYPERLINK("https://www.spark-marketing.ru/Card/Person/50743", "МП ""ДЕТСКОЕ ПИТАНИЕ""")</f>
        <v>МП "ДЕТСКОЕ ПИТАНИЕ"</v>
      </c>
      <c r="B6911" s="24" t="s">
        <v>1562</v>
      </c>
      <c r="C6911" s="28" t="s">
        <v>51</v>
      </c>
      <c r="D6911" s="22" t="s">
        <v>10469</v>
      </c>
      <c r="E6911" s="22" t="s">
        <v>10075</v>
      </c>
      <c r="F6911" s="23" t="str">
        <f>HYPERLINK("https://www.spark-marketing.ru/Card/Lot/72837434", "Поставка овощей свежих (для оказания услуг по организации питания в муниципальных бюджетных дошкольных учреждениях).")</f>
        <v>Поставка овощей свежих (для оказания услуг по организации питания в муниципальных бюджетных дошкольных учреждениях).</v>
      </c>
      <c r="G6911" s="22" t="s">
        <v>1522</v>
      </c>
      <c r="H6911" s="22" t="s">
        <v>1523</v>
      </c>
      <c r="I6911" s="26">
        <v>43693.554861111101</v>
      </c>
      <c r="J6911" s="28" t="s">
        <v>51</v>
      </c>
      <c r="K6911" s="28" t="s">
        <v>51</v>
      </c>
      <c r="L6911" s="28" t="s">
        <v>51</v>
      </c>
      <c r="M6911" s="28" t="s">
        <v>51</v>
      </c>
      <c r="N6911" s="28" t="s">
        <v>51</v>
      </c>
    </row>
    <row r="6912" spans="1:14" ht="12.75" x14ac:dyDescent="0.2">
      <c r="A6912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6912" s="24" t="s">
        <v>1019</v>
      </c>
      <c r="C6912" s="25">
        <v>243810</v>
      </c>
      <c r="D6912" s="22" t="s">
        <v>10470</v>
      </c>
      <c r="E6912" s="22" t="s">
        <v>48</v>
      </c>
      <c r="F6912" s="23" t="str">
        <f>HYPERLINK("https://www.spark-marketing.ru/Card/Lot/72842433", "Услуги по организации горячего питания для воспитанников ГБОУ РШИ ""Тувинский кадетский корпус""")</f>
        <v>Услуги по организации горячего питания для воспитанников ГБОУ РШИ "Тувинский кадетский корпус"</v>
      </c>
      <c r="G6912" s="22" t="s">
        <v>327</v>
      </c>
      <c r="H6912" s="22" t="s">
        <v>328</v>
      </c>
      <c r="I6912" s="26">
        <v>43693.538634259297</v>
      </c>
      <c r="J6912" s="23" t="str">
        <f>HYPERLINK("https://www.spark-marketing.ru/Card/Person/5893709", "ООО ""АРЖААН""")</f>
        <v>ООО "АРЖААН"</v>
      </c>
      <c r="K6912" s="24" t="s">
        <v>9661</v>
      </c>
      <c r="L6912" s="22" t="s">
        <v>10</v>
      </c>
      <c r="M6912" s="25">
        <v>239000</v>
      </c>
      <c r="N6912" s="27">
        <v>1.9728477092818178E-2</v>
      </c>
    </row>
    <row r="6913" spans="1:14" x14ac:dyDescent="0.15">
      <c r="A6913" s="23" t="str">
        <f>HYPERLINK("https://www.spark-marketing.ru/Card/Person/8568", "УПРАВЛЕНИЕ МВД РОССИИ ПО ГОРОДУ САРАТОВУ")</f>
        <v>УПРАВЛЕНИЕ МВД РОССИИ ПО ГОРОДУ САРАТОВУ</v>
      </c>
      <c r="B6913" s="24" t="s">
        <v>10149</v>
      </c>
      <c r="C6913" s="25">
        <v>1200000</v>
      </c>
      <c r="D6913" s="22" t="s">
        <v>10471</v>
      </c>
      <c r="E6913" s="22" t="s">
        <v>48</v>
      </c>
      <c r="F6913" s="23" t="str">
        <f>HYPERLINK("https://www.spark-marketing.ru/Card/Lot/72842608", "оказание услуг по приготовлению и поставке трехразового горячего питания, лиц, содержащихся в комнатах содержания задержанных отделов полиции № 1-7 в составе Управления МВД России по городу Саратову.")</f>
        <v>оказание услуг по приготовлению и поставке трехразового горячего питания, лиц, содержащихся в комнатах содержания задержанных отделов полиции № 1-7 в составе Управления МВД России по городу Саратову.</v>
      </c>
      <c r="G6913" s="22" t="s">
        <v>351</v>
      </c>
      <c r="H6913" s="22" t="s">
        <v>2983</v>
      </c>
      <c r="I6913" s="26">
        <v>43693.513449074097</v>
      </c>
      <c r="J6913" s="28" t="s">
        <v>51</v>
      </c>
      <c r="K6913" s="28" t="s">
        <v>51</v>
      </c>
      <c r="L6913" s="28" t="s">
        <v>51</v>
      </c>
      <c r="M6913" s="28" t="s">
        <v>51</v>
      </c>
      <c r="N6913" s="28" t="s">
        <v>51</v>
      </c>
    </row>
    <row r="6914" spans="1:14" ht="12.75" hidden="1" outlineLevel="1" x14ac:dyDescent="0.2">
      <c r="A6914" s="23" t="str">
        <f>HYPERLINK("https://www.spark-marketing.ru/Card/Person/8568", "УПРАВЛЕНИЕ МВД РОССИИ ПО ГОРОДУ САРАТОВУ")</f>
        <v>УПРАВЛЕНИЕ МВД РОССИИ ПО ГОРОДУ САРАТОВУ</v>
      </c>
      <c r="B6914" s="24" t="s">
        <v>10149</v>
      </c>
      <c r="C6914" s="25">
        <v>1200000</v>
      </c>
      <c r="D6914" s="22" t="s">
        <v>10471</v>
      </c>
      <c r="E6914" s="22" t="s">
        <v>48</v>
      </c>
      <c r="F6914" s="23" t="str">
        <f>HYPERLINK("https://www.spark-marketing.ru/Card/Lot/72842608", "оказание услуг по приготовлению и поставке трехразового горячего питания, лиц, содержащихся в комнатах содержания задержанных отделов полиции № 1-7 в составе Управления МВД России по городу Саратову.")</f>
        <v>оказание услуг по приготовлению и поставке трехразового горячего питания, лиц, содержащихся в комнатах содержания задержанных отделов полиции № 1-7 в составе Управления МВД России по городу Саратову.</v>
      </c>
      <c r="G6914" s="22" t="s">
        <v>351</v>
      </c>
      <c r="H6914" s="22" t="s">
        <v>2983</v>
      </c>
      <c r="I6914" s="26">
        <v>43693.513449074097</v>
      </c>
      <c r="J6914" s="23" t="str">
        <f>HYPERLINK("https://www.spark-marketing.ru/Card/Person/66182", "Иванушкина Оксана Геннадиевна")</f>
        <v>Иванушкина Оксана Геннадиевна</v>
      </c>
      <c r="K6914" s="24" t="s">
        <v>10151</v>
      </c>
      <c r="L6914" s="22" t="s">
        <v>10</v>
      </c>
      <c r="M6914" s="25">
        <v>942000</v>
      </c>
      <c r="N6914" s="27">
        <v>0.215</v>
      </c>
    </row>
    <row r="6915" spans="1:14" hidden="1" outlineLevel="1" x14ac:dyDescent="0.2">
      <c r="A6915" s="23" t="str">
        <f>HYPERLINK("https://www.spark-marketing.ru/Card/Person/8568", "УПРАВЛЕНИЕ МВД РОССИИ ПО ГОРОДУ САРАТОВУ")</f>
        <v>УПРАВЛЕНИЕ МВД РОССИИ ПО ГОРОДУ САРАТОВУ</v>
      </c>
      <c r="B6915" s="24" t="s">
        <v>10149</v>
      </c>
      <c r="C6915" s="25">
        <v>1200000</v>
      </c>
      <c r="D6915" s="22" t="s">
        <v>10471</v>
      </c>
      <c r="E6915" s="22" t="s">
        <v>48</v>
      </c>
      <c r="F6915" s="23" t="str">
        <f>HYPERLINK("https://www.spark-marketing.ru/Card/Lot/72842608", "оказание услуг по приготовлению и поставке трехразового горячего питания, лиц, содержащихся в комнатах содержания задержанных отделов полиции № 1-7 в составе Управления МВД России по городу Саратову.")</f>
        <v>оказание услуг по приготовлению и поставке трехразового горячего питания, лиц, содержащихся в комнатах содержания задержанных отделов полиции № 1-7 в составе Управления МВД России по городу Саратову.</v>
      </c>
      <c r="G6915" s="22" t="s">
        <v>351</v>
      </c>
      <c r="H6915" s="22" t="s">
        <v>2983</v>
      </c>
      <c r="I6915" s="26">
        <v>43693.513449074097</v>
      </c>
      <c r="J6915" s="23" t="str">
        <f>HYPERLINK("https://www.spark-marketing.ru/Card/Person/74927", "Рыженкова Юлия Валерьевна")</f>
        <v>Рыженкова Юлия Валерьевна</v>
      </c>
      <c r="K6915" s="24" t="s">
        <v>10462</v>
      </c>
      <c r="L6915" s="28" t="s">
        <v>51</v>
      </c>
      <c r="M6915" s="25">
        <v>948000</v>
      </c>
      <c r="N6915" s="27">
        <v>0.21</v>
      </c>
    </row>
    <row r="6916" spans="1:14" x14ac:dyDescent="0.15">
      <c r="A6916" s="23" t="str">
        <f>HYPERLINK("https://www.spark-marketing.ru/Card/Person/737290", "ГКУ «ЦБЗ ПРИ МИНЗДРАВЕ КАРЕЛИИ»")</f>
        <v>ГКУ «ЦБЗ ПРИ МИНЗДРАВЕ КАРЕЛИИ»</v>
      </c>
      <c r="B6916" s="24" t="s">
        <v>312</v>
      </c>
      <c r="C6916" s="25">
        <v>291182.40000000002</v>
      </c>
      <c r="D6916" s="22" t="s">
        <v>10472</v>
      </c>
      <c r="E6916" s="22" t="s">
        <v>52</v>
      </c>
      <c r="F6916" s="23" t="str">
        <f>HYPERLINK("https://www.spark-marketing.ru/Card/Lot/72841032", "Поставка лекарственного препарата  Альфакальцидол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изд...")</f>
        <v>Поставка лекарственного препарата  Альфакальцидол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</v>
      </c>
      <c r="G6916" s="22" t="s">
        <v>59</v>
      </c>
      <c r="H6916" s="22" t="s">
        <v>314</v>
      </c>
      <c r="I6916" s="26">
        <v>43693.460659722201</v>
      </c>
      <c r="J6916" s="28" t="s">
        <v>51</v>
      </c>
      <c r="K6916" s="28" t="s">
        <v>51</v>
      </c>
      <c r="L6916" s="28" t="s">
        <v>51</v>
      </c>
      <c r="M6916" s="28" t="s">
        <v>51</v>
      </c>
      <c r="N6916" s="28" t="s">
        <v>51</v>
      </c>
    </row>
    <row r="6917" spans="1:14" ht="12.75" hidden="1" outlineLevel="1" x14ac:dyDescent="0.2">
      <c r="A6917" s="23" t="str">
        <f>HYPERLINK("https://www.spark-marketing.ru/Card/Person/737290", "ГКУ «ЦБЗ ПРИ МИНЗДРАВЕ КАРЕЛИИ»")</f>
        <v>ГКУ «ЦБЗ ПРИ МИНЗДРАВЕ КАРЕЛИИ»</v>
      </c>
      <c r="B6917" s="24" t="s">
        <v>312</v>
      </c>
      <c r="C6917" s="25">
        <v>291182.40000000002</v>
      </c>
      <c r="D6917" s="22" t="s">
        <v>10472</v>
      </c>
      <c r="E6917" s="22" t="s">
        <v>52</v>
      </c>
      <c r="F6917" s="23" t="str">
        <f>HYPERLINK("https://www.spark-marketing.ru/Card/Lot/72841032", "Поставка лекарственного препарата  Альфакальцидол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изд...")</f>
        <v>Поставка лекарственного препарата  Альфакальцидол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</v>
      </c>
      <c r="G6917" s="22" t="s">
        <v>59</v>
      </c>
      <c r="H6917" s="22" t="s">
        <v>314</v>
      </c>
      <c r="I6917" s="26">
        <v>43693.460659722201</v>
      </c>
      <c r="J6917" s="23" t="str">
        <f>HYPERLINK("https://www.spark-marketing.ru/Card/Person/6492462", "ООО ""ОН.К""")</f>
        <v>ООО "ОН.К"</v>
      </c>
      <c r="K6917" s="24" t="s">
        <v>2173</v>
      </c>
      <c r="L6917" s="22" t="s">
        <v>10</v>
      </c>
      <c r="M6917" s="25">
        <v>189264.43</v>
      </c>
      <c r="N6917" s="27">
        <v>0.35001418354955521</v>
      </c>
    </row>
    <row r="6918" spans="1:14" hidden="1" outlineLevel="1" x14ac:dyDescent="0.2">
      <c r="A6918" s="23" t="str">
        <f>HYPERLINK("https://www.spark-marketing.ru/Card/Person/737290", "ГКУ «ЦБЗ ПРИ МИНЗДРАВЕ КАРЕЛИИ»")</f>
        <v>ГКУ «ЦБЗ ПРИ МИНЗДРАВЕ КАРЕЛИИ»</v>
      </c>
      <c r="B6918" s="24" t="s">
        <v>312</v>
      </c>
      <c r="C6918" s="25">
        <v>291182.40000000002</v>
      </c>
      <c r="D6918" s="22" t="s">
        <v>10472</v>
      </c>
      <c r="E6918" s="22" t="s">
        <v>52</v>
      </c>
      <c r="F6918" s="23" t="str">
        <f>HYPERLINK("https://www.spark-marketing.ru/Card/Lot/72841032", "Поставка лекарственного препарата  Альфакальцидол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изд...")</f>
        <v>Поставка лекарственного препарата  Альфакальцидол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</v>
      </c>
      <c r="G6918" s="22" t="s">
        <v>59</v>
      </c>
      <c r="H6918" s="22" t="s">
        <v>314</v>
      </c>
      <c r="I6918" s="26">
        <v>43693.460659722201</v>
      </c>
      <c r="J6918" s="23" t="str">
        <f>HYPERLINK("https://www.spark-marketing.ru/Card/Person/6459233", "ООО ""ПРОФСЕРВИС""")</f>
        <v>ООО "ПРОФСЕРВИС"</v>
      </c>
      <c r="K6918" s="24" t="s">
        <v>10473</v>
      </c>
      <c r="L6918" s="28" t="s">
        <v>51</v>
      </c>
      <c r="M6918" s="25">
        <v>228574</v>
      </c>
      <c r="N6918" s="27">
        <v>0.2150143690003242</v>
      </c>
    </row>
    <row r="6919" spans="1:14" hidden="1" outlineLevel="1" x14ac:dyDescent="0.2">
      <c r="A6919" s="23" t="str">
        <f>HYPERLINK("https://www.spark-marketing.ru/Card/Person/737290", "ГКУ «ЦБЗ ПРИ МИНЗДРАВЕ КАРЕЛИИ»")</f>
        <v>ГКУ «ЦБЗ ПРИ МИНЗДРАВЕ КАРЕЛИИ»</v>
      </c>
      <c r="B6919" s="24" t="s">
        <v>312</v>
      </c>
      <c r="C6919" s="25">
        <v>291182.40000000002</v>
      </c>
      <c r="D6919" s="22" t="s">
        <v>10472</v>
      </c>
      <c r="E6919" s="22" t="s">
        <v>52</v>
      </c>
      <c r="F6919" s="23" t="str">
        <f>HYPERLINK("https://www.spark-marketing.ru/Card/Lot/72841032", "Поставка лекарственного препарата  Альфакальцидол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изд...")</f>
        <v>Поставка лекарственного препарата  Альфакальцидол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</v>
      </c>
      <c r="G6919" s="22" t="s">
        <v>59</v>
      </c>
      <c r="H6919" s="22" t="s">
        <v>314</v>
      </c>
      <c r="I6919" s="26">
        <v>43693.460659722201</v>
      </c>
      <c r="J6919" s="23" t="str">
        <f>HYPERLINK("https://www.spark-marketing.ru/Card/Person/2594515", "ООО ""ФАРМ АСПЕКТ""")</f>
        <v>ООО "ФАРМ АСПЕКТ"</v>
      </c>
      <c r="K6919" s="24" t="s">
        <v>10474</v>
      </c>
      <c r="L6919" s="28" t="s">
        <v>51</v>
      </c>
      <c r="M6919" s="25">
        <v>190720.34</v>
      </c>
      <c r="N6919" s="27">
        <v>0.34501419041810222</v>
      </c>
    </row>
    <row r="6920" spans="1:14" x14ac:dyDescent="0.15">
      <c r="A6920" s="23" t="str">
        <f>HYPERLINK("https://www.spark-marketing.ru/Card/Person/1005091", "МБДОУ ДЕТСКИЙ САД №47 ОБЩЕРАЗВИВАЮЩЕГО ВИДА ""ЗОЛОТАЯ РЫБКА""")</f>
        <v>МБДОУ ДЕТСКИЙ САД №47 ОБЩЕРАЗВИВАЮЩЕГО ВИДА "ЗОЛОТАЯ РЫБКА"</v>
      </c>
      <c r="B6920" s="24" t="s">
        <v>5424</v>
      </c>
      <c r="C6920" s="25">
        <v>121000</v>
      </c>
      <c r="D6920" s="22" t="s">
        <v>10475</v>
      </c>
      <c r="E6920" s="22" t="s">
        <v>898</v>
      </c>
      <c r="F6920" s="23" t="str">
        <f>HYPERLINK("https://www.spark-marketing.ru/Card/Lot/72837359", "Оказание услуг по установке камер видеонаблюдения, серверов, обеспечивающих работоспособность установленных видеокамер, источников бесперебойного питания, домофонов и иных сопутствующих товаров, работ, услуг, в целях создания безопасных условий пребы...")</f>
        <v>Оказание услуг по установке камер видеонаблюдения, серверов, обеспечивающих работоспособность установленных видеокамер, источников бесперебойного питания, домофонов и иных сопутствующих товаров, работ, услуг, в целях создания безопасных условий пребы...</v>
      </c>
      <c r="G6920" s="22" t="s">
        <v>49</v>
      </c>
      <c r="H6920" s="22" t="s">
        <v>180</v>
      </c>
      <c r="I6920" s="26">
        <v>43693.513680555603</v>
      </c>
      <c r="J6920" s="28" t="s">
        <v>51</v>
      </c>
      <c r="K6920" s="28" t="s">
        <v>51</v>
      </c>
      <c r="L6920" s="28" t="s">
        <v>51</v>
      </c>
      <c r="M6920" s="28" t="s">
        <v>51</v>
      </c>
      <c r="N6920" s="28" t="s">
        <v>51</v>
      </c>
    </row>
    <row r="6921" spans="1:14" x14ac:dyDescent="0.15">
      <c r="A6921" s="23" t="str">
        <f>HYPERLINK("https://www.spark-marketing.ru/Card/Person/10912", "ОТДЕЛ МВД РОССИИ ПО ЗЛАТОУСТОВСКОМУ ГОРОДСКОМУ ОКРУГУ ЧЕЛЯБИНСКОЙ ОБЛАСТИ")</f>
        <v>ОТДЕЛ МВД РОССИИ ПО ЗЛАТОУСТОВСКОМУ ГОРОДСКОМУ ОКРУГУ ЧЕЛЯБИНСКОЙ ОБЛАСТИ</v>
      </c>
      <c r="B6921" s="24" t="s">
        <v>10449</v>
      </c>
      <c r="C6921" s="25">
        <v>1580000</v>
      </c>
      <c r="D6921" s="22" t="s">
        <v>10476</v>
      </c>
      <c r="E6921" s="22" t="s">
        <v>48</v>
      </c>
      <c r="F6921" s="23" t="str">
        <f>HYPERLINK("https://www.spark-marketing.ru/Card/Lot/72836190", "Услуги по обеспечению ежедневным трёхразовым питанием подозреваемых и обвиняемых в совершении преступлений, находящихся в ИВС и специальном приемнике")</f>
        <v>Услуги по обеспечению ежедневным трёхразовым питанием подозреваемых и обвиняемых в совершении преступлений, находящихся в ИВС и специальном приемнике</v>
      </c>
      <c r="G6921" s="22" t="s">
        <v>469</v>
      </c>
      <c r="H6921" s="22" t="s">
        <v>1076</v>
      </c>
      <c r="I6921" s="26">
        <v>43693.491620370398</v>
      </c>
      <c r="J6921" s="23" t="str">
        <f>HYPERLINK("https://www.spark-marketing.ru/Card/Person/1523821", "ООО ""ТВИКС""")</f>
        <v>ООО "ТВИКС"</v>
      </c>
      <c r="K6921" s="24" t="s">
        <v>9507</v>
      </c>
      <c r="L6921" s="22" t="s">
        <v>10</v>
      </c>
      <c r="M6921" s="28" t="s">
        <v>51</v>
      </c>
      <c r="N6921" s="28" t="s">
        <v>51</v>
      </c>
    </row>
    <row r="6922" spans="1:14" x14ac:dyDescent="0.15">
      <c r="A6922" s="23" t="str">
        <f>HYPERLINK("https://www.spark-marketing.ru/Card/Person/28703", "УМВД РОССИИ ПО КАЛУЖСКОЙ ОБЛАСТИ")</f>
        <v>УМВД РОССИИ ПО КАЛУЖСКОЙ ОБЛАСТИ</v>
      </c>
      <c r="B6922" s="24" t="s">
        <v>10477</v>
      </c>
      <c r="C6922" s="25">
        <v>977420</v>
      </c>
      <c r="D6922" s="22" t="s">
        <v>10478</v>
      </c>
      <c r="E6922" s="22" t="s">
        <v>48</v>
      </c>
      <c r="F6922" s="23" t="str">
        <f>HYPERLINK("https://www.spark-marketing.ru/Card/Lot/72842658", "Оказание услуг по ежедневной организации и доставке горячего трехразового питания лицам, содержащимся в ЦВСИГ УМВД России по Калужской области")</f>
        <v>Оказание услуг по ежедневной организации и доставке горячего трехразового питания лицам, содержащимся в ЦВСИГ УМВД России по Калужской области</v>
      </c>
      <c r="G6922" s="22" t="s">
        <v>112</v>
      </c>
      <c r="H6922" s="22" t="s">
        <v>112</v>
      </c>
      <c r="I6922" s="26">
        <v>43693.528240740699</v>
      </c>
      <c r="J6922" s="23" t="str">
        <f>HYPERLINK("https://www.spark-marketing.ru/Card/Person/4916563", "Халилов Арастун Алхады Оглы")</f>
        <v>Халилов Арастун Алхады Оглы</v>
      </c>
      <c r="K6922" s="24" t="s">
        <v>6140</v>
      </c>
      <c r="L6922" s="22" t="s">
        <v>10</v>
      </c>
      <c r="M6922" s="28" t="s">
        <v>51</v>
      </c>
      <c r="N6922" s="28" t="s">
        <v>51</v>
      </c>
    </row>
    <row r="6923" spans="1:14" x14ac:dyDescent="0.15">
      <c r="A6923" s="23" t="str">
        <f>HYPERLINK("https://www.spark-marketing.ru/Card/Person/813343", "МАОУ ""ШЫГЫРДАНСКАЯ СОШ ИМЕНИ ПРОФЕССОРА Э.З.ФЕИЗОВА"" БАТЫРЕВСКОГО РАЙОНА ЧУВАШСКОЙ РЕСПУБЛИКИ")</f>
        <v>МАОУ "ШЫГЫРДАНСКАЯ СОШ ИМЕНИ ПРОФЕССОРА Э.З.ФЕИЗОВА" БАТЫРЕВСКОГО РАЙОНА ЧУВАШСКОЙ РЕСПУБЛИКИ</v>
      </c>
      <c r="B6923" s="24" t="s">
        <v>10479</v>
      </c>
      <c r="C6923" s="25">
        <v>148290</v>
      </c>
      <c r="D6923" s="22" t="s">
        <v>10480</v>
      </c>
      <c r="E6923" s="22" t="s">
        <v>48</v>
      </c>
      <c r="F6923" s="23" t="str">
        <f>HYPERLINK("https://www.spark-marketing.ru/Card/Lot/72840051", "Оказание услуг по организации питания в МБОУ ""Шыгырданская СОШ имени профессора Э.З.Феизова"" Батыревского района Чувашской Республики")</f>
        <v>Оказание услуг по организации питания в МБОУ "Шыгырданская СОШ имени профессора Э.З.Феизова" Батыревского района Чувашской Республики</v>
      </c>
      <c r="G6923" s="22" t="s">
        <v>618</v>
      </c>
      <c r="H6923" s="22" t="s">
        <v>10481</v>
      </c>
      <c r="I6923" s="26">
        <v>43693.390567129602</v>
      </c>
      <c r="J6923" s="23" t="str">
        <f>HYPERLINK("https://www.spark-marketing.ru/Card/Person/392761", "ООО ""ОБЩЕПИТ ""БАТЫРЕВСКИЙ""")</f>
        <v>ООО "ОБЩЕПИТ "БАТЫРЕВСКИЙ"</v>
      </c>
      <c r="K6923" s="24" t="s">
        <v>10482</v>
      </c>
      <c r="L6923" s="22" t="s">
        <v>10</v>
      </c>
      <c r="M6923" s="28" t="s">
        <v>51</v>
      </c>
      <c r="N6923" s="28" t="s">
        <v>51</v>
      </c>
    </row>
    <row r="6924" spans="1:14" x14ac:dyDescent="0.15">
      <c r="A6924" s="23" t="str">
        <f>HYPERLINK("https://www.spark-marketing.ru/Card/Person/737290", "ГКУ «ЦБЗ ПРИ МИНЗДРАВЕ КАРЕЛИИ»")</f>
        <v>ГКУ «ЦБЗ ПРИ МИНЗДРАВЕ КАРЕЛИИ»</v>
      </c>
      <c r="B6924" s="24" t="s">
        <v>312</v>
      </c>
      <c r="C6924" s="25">
        <v>121294.32</v>
      </c>
      <c r="D6924" s="22" t="s">
        <v>10483</v>
      </c>
      <c r="E6924" s="22" t="s">
        <v>52</v>
      </c>
      <c r="F6924" s="23" t="str">
        <f>HYPERLINK("https://www.spark-marketing.ru/Card/Lot/72841085", "Поставка лекарственного препарата Алоглиптин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изделиям...")</f>
        <v>Поставка лекарственного препарата Алоглиптин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</v>
      </c>
      <c r="G6924" s="22" t="s">
        <v>59</v>
      </c>
      <c r="H6924" s="22" t="s">
        <v>314</v>
      </c>
      <c r="I6924" s="26">
        <v>43693.488402777803</v>
      </c>
      <c r="J6924" s="28" t="s">
        <v>51</v>
      </c>
      <c r="K6924" s="28" t="s">
        <v>51</v>
      </c>
      <c r="L6924" s="28" t="s">
        <v>51</v>
      </c>
      <c r="M6924" s="28" t="s">
        <v>51</v>
      </c>
      <c r="N6924" s="28" t="s">
        <v>51</v>
      </c>
    </row>
    <row r="6925" spans="1:14" hidden="1" outlineLevel="1" x14ac:dyDescent="0.2">
      <c r="A6925" s="23" t="str">
        <f>HYPERLINK("https://www.spark-marketing.ru/Card/Person/737290", "ГКУ «ЦБЗ ПРИ МИНЗДРАВЕ КАРЕЛИИ»")</f>
        <v>ГКУ «ЦБЗ ПРИ МИНЗДРАВЕ КАРЕЛИИ»</v>
      </c>
      <c r="B6925" s="24" t="s">
        <v>312</v>
      </c>
      <c r="C6925" s="25">
        <v>121294.32</v>
      </c>
      <c r="D6925" s="22" t="s">
        <v>10483</v>
      </c>
      <c r="E6925" s="22" t="s">
        <v>52</v>
      </c>
      <c r="F6925" s="23" t="str">
        <f>HYPERLINK("https://www.spark-marketing.ru/Card/Lot/72841085", "Поставка лекарственного препарата Алоглиптин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изделиям...")</f>
        <v>Поставка лекарственного препарата Алоглиптин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</v>
      </c>
      <c r="G6925" s="22" t="s">
        <v>59</v>
      </c>
      <c r="H6925" s="22" t="s">
        <v>314</v>
      </c>
      <c r="I6925" s="26">
        <v>43693.488402777803</v>
      </c>
      <c r="J6925" s="23" t="str">
        <f>HYPERLINK("https://www.spark-marketing.ru/Card/Person/6440681", "ООО ""МИД""")</f>
        <v>ООО "МИД"</v>
      </c>
      <c r="K6925" s="24" t="s">
        <v>3849</v>
      </c>
      <c r="L6925" s="28" t="s">
        <v>51</v>
      </c>
      <c r="M6925" s="25">
        <v>104550.6</v>
      </c>
      <c r="N6925" s="27">
        <v>0.13804207814512667</v>
      </c>
    </row>
    <row r="6926" spans="1:14" ht="12.75" hidden="1" outlineLevel="1" x14ac:dyDescent="0.2">
      <c r="A6926" s="23" t="str">
        <f>HYPERLINK("https://www.spark-marketing.ru/Card/Person/737290", "ГКУ «ЦБЗ ПРИ МИНЗДРАВЕ КАРЕЛИИ»")</f>
        <v>ГКУ «ЦБЗ ПРИ МИНЗДРАВЕ КАРЕЛИИ»</v>
      </c>
      <c r="B6926" s="24" t="s">
        <v>312</v>
      </c>
      <c r="C6926" s="25">
        <v>121294.32</v>
      </c>
      <c r="D6926" s="22" t="s">
        <v>10483</v>
      </c>
      <c r="E6926" s="22" t="s">
        <v>52</v>
      </c>
      <c r="F6926" s="23" t="str">
        <f>HYPERLINK("https://www.spark-marketing.ru/Card/Lot/72841085", "Поставка лекарственного препарата Алоглиптин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изделиям...")</f>
        <v>Поставка лекарственного препарата Алоглиптин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</v>
      </c>
      <c r="G6926" s="22" t="s">
        <v>59</v>
      </c>
      <c r="H6926" s="22" t="s">
        <v>314</v>
      </c>
      <c r="I6926" s="26">
        <v>43693.488402777803</v>
      </c>
      <c r="J6926" s="23" t="str">
        <f>HYPERLINK("https://www.spark-marketing.ru/Card/Person/6231467", "ООО ""ОБЛФАРМ АЛЬЯНС""")</f>
        <v>ООО "ОБЛФАРМ АЛЬЯНС"</v>
      </c>
      <c r="K6926" s="24" t="s">
        <v>2175</v>
      </c>
      <c r="L6926" s="22" t="s">
        <v>10</v>
      </c>
      <c r="M6926" s="25">
        <v>103944.13</v>
      </c>
      <c r="N6926" s="27">
        <v>0.14304206495407204</v>
      </c>
    </row>
    <row r="6927" spans="1:14" x14ac:dyDescent="0.15">
      <c r="A6927" s="23" t="str">
        <f>HYPERLINK("https://www.spark-marketing.ru/Card/Person/4347002", "ОМВД РОССИИ ПО УСТЬ-КУЛОМСКОМУ РАЙОНУ")</f>
        <v>ОМВД РОССИИ ПО УСТЬ-КУЛОМСКОМУ РАЙОНУ</v>
      </c>
      <c r="B6927" s="24" t="s">
        <v>7472</v>
      </c>
      <c r="C6927" s="25">
        <v>760000</v>
      </c>
      <c r="D6927" s="22" t="s">
        <v>10484</v>
      </c>
      <c r="E6927" s="22" t="s">
        <v>48</v>
      </c>
      <c r="F6927" s="23" t="str">
        <f>HYPERLINK("https://www.spark-marketing.ru/Card/Lot/72840375", "услуги по 3-ех разовому питанию для лиц, содержащихся в ИВС")</f>
        <v>услуги по 3-ех разовому питанию для лиц, содержащихся в ИВС</v>
      </c>
      <c r="G6927" s="22" t="s">
        <v>271</v>
      </c>
      <c r="H6927" s="22" t="s">
        <v>271</v>
      </c>
      <c r="I6927" s="26">
        <v>43693.420439814799</v>
      </c>
      <c r="J6927" s="28" t="s">
        <v>51</v>
      </c>
      <c r="K6927" s="28" t="s">
        <v>51</v>
      </c>
      <c r="L6927" s="28" t="s">
        <v>51</v>
      </c>
      <c r="M6927" s="28" t="s">
        <v>51</v>
      </c>
      <c r="N6927" s="28" t="s">
        <v>51</v>
      </c>
    </row>
    <row r="6928" spans="1:14" x14ac:dyDescent="0.15">
      <c r="A6928" s="23" t="str">
        <f>HYPERLINK("https://www.spark-marketing.ru/Card/Person/737290", "ГКУ «ЦБЗ ПРИ МИНЗДРАВЕ КАРЕЛИИ»")</f>
        <v>ГКУ «ЦБЗ ПРИ МИНЗДРАВЕ КАРЕЛИИ»</v>
      </c>
      <c r="B6928" s="24" t="s">
        <v>312</v>
      </c>
      <c r="C6928" s="25">
        <v>218289.6</v>
      </c>
      <c r="D6928" s="22" t="s">
        <v>10485</v>
      </c>
      <c r="E6928" s="22" t="s">
        <v>52</v>
      </c>
      <c r="F6928" s="23" t="str">
        <f>HYPERLINK("https://www.spark-marketing.ru/Card/Lot/72841038", "Поставка лекарственного препарата Линаглиптин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Линаглиптин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6928" s="22" t="s">
        <v>59</v>
      </c>
      <c r="H6928" s="22" t="s">
        <v>314</v>
      </c>
      <c r="I6928" s="26">
        <v>43693.4690162037</v>
      </c>
      <c r="J6928" s="28" t="s">
        <v>51</v>
      </c>
      <c r="K6928" s="28" t="s">
        <v>51</v>
      </c>
      <c r="L6928" s="28" t="s">
        <v>51</v>
      </c>
      <c r="M6928" s="28" t="s">
        <v>51</v>
      </c>
      <c r="N6928" s="28" t="s">
        <v>51</v>
      </c>
    </row>
    <row r="6929" spans="1:14" hidden="1" outlineLevel="1" x14ac:dyDescent="0.2">
      <c r="A6929" s="23" t="str">
        <f>HYPERLINK("https://www.spark-marketing.ru/Card/Person/737290", "ГКУ «ЦБЗ ПРИ МИНЗДРАВЕ КАРЕЛИИ»")</f>
        <v>ГКУ «ЦБЗ ПРИ МИНЗДРАВЕ КАРЕЛИИ»</v>
      </c>
      <c r="B6929" s="24" t="s">
        <v>312</v>
      </c>
      <c r="C6929" s="25">
        <v>218289.6</v>
      </c>
      <c r="D6929" s="22" t="s">
        <v>10485</v>
      </c>
      <c r="E6929" s="22" t="s">
        <v>52</v>
      </c>
      <c r="F6929" s="23" t="str">
        <f>HYPERLINK("https://www.spark-marketing.ru/Card/Lot/72841038", "Поставка лекарственного препарата Линаглиптин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Линаглиптин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6929" s="22" t="s">
        <v>59</v>
      </c>
      <c r="H6929" s="22" t="s">
        <v>314</v>
      </c>
      <c r="I6929" s="26">
        <v>43693.4690162037</v>
      </c>
      <c r="J6929" s="23" t="str">
        <f>HYPERLINK("https://www.spark-marketing.ru/Card/Person/6440681", "ООО ""МИД""")</f>
        <v>ООО "МИД"</v>
      </c>
      <c r="K6929" s="24" t="s">
        <v>3849</v>
      </c>
      <c r="L6929" s="28" t="s">
        <v>51</v>
      </c>
      <c r="M6929" s="25">
        <v>199689.60000000001</v>
      </c>
      <c r="N6929" s="27">
        <v>8.5207907293796861E-2</v>
      </c>
    </row>
    <row r="6930" spans="1:14" ht="12.75" hidden="1" outlineLevel="1" x14ac:dyDescent="0.2">
      <c r="A6930" s="23" t="str">
        <f>HYPERLINK("https://www.spark-marketing.ru/Card/Person/737290", "ГКУ «ЦБЗ ПРИ МИНЗДРАВЕ КАРЕЛИИ»")</f>
        <v>ГКУ «ЦБЗ ПРИ МИНЗДРАВЕ КАРЕЛИИ»</v>
      </c>
      <c r="B6930" s="24" t="s">
        <v>312</v>
      </c>
      <c r="C6930" s="25">
        <v>218289.6</v>
      </c>
      <c r="D6930" s="22" t="s">
        <v>10485</v>
      </c>
      <c r="E6930" s="22" t="s">
        <v>52</v>
      </c>
      <c r="F6930" s="23" t="str">
        <f>HYPERLINK("https://www.spark-marketing.ru/Card/Lot/72841038", "Поставка лекарственного препарата Линаглиптин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Линаглиптин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6930" s="22" t="s">
        <v>59</v>
      </c>
      <c r="H6930" s="22" t="s">
        <v>314</v>
      </c>
      <c r="I6930" s="26">
        <v>43693.4690162037</v>
      </c>
      <c r="J6930" s="23" t="str">
        <f>HYPERLINK("https://www.spark-marketing.ru/Card/Person/6577604", "ООО ""ФАРМРУБЕЖ""")</f>
        <v>ООО "ФАРМРУБЕЖ"</v>
      </c>
      <c r="K6930" s="24" t="s">
        <v>10486</v>
      </c>
      <c r="L6930" s="22" t="s">
        <v>10</v>
      </c>
      <c r="M6930" s="25">
        <v>198598.15</v>
      </c>
      <c r="N6930" s="27">
        <v>9.020791645593744E-2</v>
      </c>
    </row>
    <row r="6931" spans="1:14" x14ac:dyDescent="0.15">
      <c r="A6931" s="23" t="str">
        <f>HYPERLINK("https://www.spark-marketing.ru/Card/Person/813767", "МБОУ ""ШЫГЫРДАНСКАЯ СОШ №1"" БАТЫРЕВСКОГО РАЙОНА ЧУВАШСКОЙ РЕСПУБЛИКИ")</f>
        <v>МБОУ "ШЫГЫРДАНСКАЯ СОШ №1" БАТЫРЕВСКОГО РАЙОНА ЧУВАШСКОЙ РЕСПУБЛИКИ</v>
      </c>
      <c r="B6931" s="24" t="s">
        <v>10487</v>
      </c>
      <c r="C6931" s="25">
        <v>148290</v>
      </c>
      <c r="D6931" s="22" t="s">
        <v>10488</v>
      </c>
      <c r="E6931" s="22" t="s">
        <v>48</v>
      </c>
      <c r="F6931" s="23" t="str">
        <f>HYPERLINK("https://www.spark-marketing.ru/Card/Lot/72840091", "Оказание услуг по организации питания в МБОУ ""Шыгырданская СОШ №1"" Батыревского района Чувашской Республики")</f>
        <v>Оказание услуг по организации питания в МБОУ "Шыгырданская СОШ №1" Батыревского района Чувашской Республики</v>
      </c>
      <c r="G6931" s="22" t="s">
        <v>618</v>
      </c>
      <c r="H6931" s="22" t="s">
        <v>10481</v>
      </c>
      <c r="I6931" s="26">
        <v>43693.408981481502</v>
      </c>
      <c r="J6931" s="23" t="str">
        <f>HYPERLINK("https://www.spark-marketing.ru/Card/Person/392761", "ООО ""ОБЩЕПИТ ""БАТЫРЕВСКИЙ""")</f>
        <v>ООО "ОБЩЕПИТ "БАТЫРЕВСКИЙ"</v>
      </c>
      <c r="K6931" s="24" t="s">
        <v>10482</v>
      </c>
      <c r="L6931" s="22" t="s">
        <v>10</v>
      </c>
      <c r="M6931" s="28" t="s">
        <v>51</v>
      </c>
      <c r="N6931" s="28" t="s">
        <v>51</v>
      </c>
    </row>
    <row r="6932" spans="1:14" x14ac:dyDescent="0.15">
      <c r="A6932" s="23" t="str">
        <f>HYPERLINK("https://www.spark-marketing.ru/Card/Person/60276", "ОМВД РОССИИ ПО УДОРСКОМУ РАЙОНУ")</f>
        <v>ОМВД РОССИИ ПО УДОРСКОМУ РАЙОНУ</v>
      </c>
      <c r="B6932" s="24" t="s">
        <v>7490</v>
      </c>
      <c r="C6932" s="25">
        <v>500000</v>
      </c>
      <c r="D6932" s="22" t="s">
        <v>10489</v>
      </c>
      <c r="E6932" s="22" t="s">
        <v>48</v>
      </c>
      <c r="F6932" s="23" t="str">
        <f>HYPERLINK("https://www.spark-marketing.ru/Card/Lot/72841620", "услуги по организации питания для нужд ИВС ОМВД России по Удорскому району")</f>
        <v>услуги по организации питания для нужд ИВС ОМВД России по Удорскому району</v>
      </c>
      <c r="G6932" s="22" t="s">
        <v>271</v>
      </c>
      <c r="H6932" s="22" t="s">
        <v>271</v>
      </c>
      <c r="I6932" s="26">
        <v>43693.447627314803</v>
      </c>
      <c r="J6932" s="28" t="s">
        <v>51</v>
      </c>
      <c r="K6932" s="28" t="s">
        <v>51</v>
      </c>
      <c r="L6932" s="28" t="s">
        <v>51</v>
      </c>
      <c r="M6932" s="28" t="s">
        <v>51</v>
      </c>
      <c r="N6932" s="28" t="s">
        <v>51</v>
      </c>
    </row>
    <row r="6933" spans="1:14" x14ac:dyDescent="0.15">
      <c r="A6933" s="23" t="str">
        <f>HYPERLINK("https://www.spark-marketing.ru/Card/Person/4347002", "ОМВД РОССИИ ПО УСТЬ-КУЛОМСКОМУ РАЙОНУ")</f>
        <v>ОМВД РОССИИ ПО УСТЬ-КУЛОМСКОМУ РАЙОНУ</v>
      </c>
      <c r="B6933" s="24" t="s">
        <v>7472</v>
      </c>
      <c r="C6933" s="25">
        <v>412000</v>
      </c>
      <c r="D6933" s="22" t="s">
        <v>10490</v>
      </c>
      <c r="E6933" s="22" t="s">
        <v>48</v>
      </c>
      <c r="F6933" s="23" t="str">
        <f>HYPERLINK("https://www.spark-marketing.ru/Card/Lot/72840092", "услуги по 3-ех разовому питанию для лиц, содержащихся в ИВС")</f>
        <v>услуги по 3-ех разовому питанию для лиц, содержащихся в ИВС</v>
      </c>
      <c r="G6933" s="22" t="s">
        <v>271</v>
      </c>
      <c r="H6933" s="22" t="s">
        <v>271</v>
      </c>
      <c r="I6933" s="26">
        <v>43693.409259259301</v>
      </c>
      <c r="J6933" s="28" t="s">
        <v>51</v>
      </c>
      <c r="K6933" s="28" t="s">
        <v>51</v>
      </c>
      <c r="L6933" s="28" t="s">
        <v>51</v>
      </c>
      <c r="M6933" s="28" t="s">
        <v>51</v>
      </c>
      <c r="N6933" s="28" t="s">
        <v>51</v>
      </c>
    </row>
    <row r="6934" spans="1:14" x14ac:dyDescent="0.15">
      <c r="A6934" s="23" t="str">
        <f>HYPERLINK("https://www.spark-marketing.ru/Card/Person/60276", "ОМВД РОССИИ ПО УДОРСКОМУ РАЙОНУ")</f>
        <v>ОМВД РОССИИ ПО УДОРСКОМУ РАЙОНУ</v>
      </c>
      <c r="B6934" s="24" t="s">
        <v>7490</v>
      </c>
      <c r="C6934" s="25">
        <v>324000</v>
      </c>
      <c r="D6934" s="22" t="s">
        <v>10491</v>
      </c>
      <c r="E6934" s="22" t="s">
        <v>48</v>
      </c>
      <c r="F6934" s="23" t="str">
        <f>HYPERLINK("https://www.spark-marketing.ru/Card/Lot/72840191", "услуги по организации питания для нужд ИВС ОМВД России по Удорскому району")</f>
        <v>услуги по организации питания для нужд ИВС ОМВД России по Удорскому району</v>
      </c>
      <c r="G6934" s="22" t="s">
        <v>271</v>
      </c>
      <c r="H6934" s="22" t="s">
        <v>271</v>
      </c>
      <c r="I6934" s="26">
        <v>43693.440115740697</v>
      </c>
      <c r="J6934" s="28" t="s">
        <v>51</v>
      </c>
      <c r="K6934" s="28" t="s">
        <v>51</v>
      </c>
      <c r="L6934" s="28" t="s">
        <v>51</v>
      </c>
      <c r="M6934" s="28" t="s">
        <v>51</v>
      </c>
      <c r="N6934" s="28" t="s">
        <v>51</v>
      </c>
    </row>
    <row r="6935" spans="1:14" x14ac:dyDescent="0.15">
      <c r="A6935" s="23" t="str">
        <f>HYPERLINK("https://www.spark-marketing.ru/Card/Person/737290", "ГКУ «ЦБЗ ПРИ МИНЗДРАВЕ КАРЕЛИИ»")</f>
        <v>ГКУ «ЦБЗ ПРИ МИНЗДРАВЕ КАРЕЛИИ»</v>
      </c>
      <c r="B6935" s="24" t="s">
        <v>312</v>
      </c>
      <c r="C6935" s="25">
        <v>164504.70000000001</v>
      </c>
      <c r="D6935" s="22" t="s">
        <v>10492</v>
      </c>
      <c r="E6935" s="22" t="s">
        <v>52</v>
      </c>
      <c r="F6935" s="23" t="str">
        <f>HYPERLINK("https://www.spark-marketing.ru/Card/Lot/72840988", "Поставка лекарственного препарата Инсулин лизпро двухфазный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изд...")</f>
        <v>Поставка лекарственного препарата Инсулин лизпро двухфазный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изд...</v>
      </c>
      <c r="G6935" s="22" t="s">
        <v>59</v>
      </c>
      <c r="H6935" s="22" t="s">
        <v>314</v>
      </c>
      <c r="I6935" s="26">
        <v>43693.450682870403</v>
      </c>
      <c r="J6935" s="23" t="str">
        <f>HYPERLINK("https://www.spark-marketing.ru/Card/Person/5950409", "ООО ""БИАНТ""")</f>
        <v>ООО "БИАНТ"</v>
      </c>
      <c r="K6935" s="24" t="s">
        <v>3870</v>
      </c>
      <c r="L6935" s="22" t="s">
        <v>10</v>
      </c>
      <c r="M6935" s="28" t="s">
        <v>51</v>
      </c>
      <c r="N6935" s="28" t="s">
        <v>51</v>
      </c>
    </row>
    <row r="6936" spans="1:14" x14ac:dyDescent="0.15">
      <c r="A6936" s="23" t="str">
        <f>HYPERLINK("https://www.spark-marketing.ru/Card/Person/136411", "ОМВД РОССИИ ПО КЕМСКОМУ РАЙОНУ")</f>
        <v>ОМВД РОССИИ ПО КЕМСКОМУ РАЙОНУ</v>
      </c>
      <c r="B6936" s="24" t="s">
        <v>10493</v>
      </c>
      <c r="C6936" s="25">
        <v>600000</v>
      </c>
      <c r="D6936" s="22" t="s">
        <v>10494</v>
      </c>
      <c r="E6936" s="22" t="s">
        <v>48</v>
      </c>
      <c r="F6936" s="23" t="str">
        <f>HYPERLINK("https://www.spark-marketing.ru/Card/Lot/72840796", "Услуги по организации трехразового горячего питания для лиц содержащихся в ИВС")</f>
        <v>Услуги по организации трехразового горячего питания для лиц содержащихся в ИВС</v>
      </c>
      <c r="G6936" s="22" t="s">
        <v>59</v>
      </c>
      <c r="H6936" s="22" t="s">
        <v>59</v>
      </c>
      <c r="I6936" s="26">
        <v>43692.937314814801</v>
      </c>
      <c r="J6936" s="28" t="s">
        <v>51</v>
      </c>
      <c r="K6936" s="28" t="s">
        <v>51</v>
      </c>
      <c r="L6936" s="28" t="s">
        <v>51</v>
      </c>
      <c r="M6936" s="28" t="s">
        <v>51</v>
      </c>
      <c r="N6936" s="28" t="s">
        <v>51</v>
      </c>
    </row>
    <row r="6937" spans="1:14" x14ac:dyDescent="0.15">
      <c r="A6937" s="23" t="str">
        <f>HYPERLINK("https://www.spark-marketing.ru/Card/Person/813835", "МБОУ ""БАТЫРЕВСКАЯ СОШ №1"" БАТЫРЕВСКОГО РАЙОНА ЧУВАШСКОЙ РЕСПУБЛИКИ")</f>
        <v>МБОУ "БАТЫРЕВСКАЯ СОШ №1" БАТЫРЕВСКОГО РАЙОНА ЧУВАШСКОЙ РЕСПУБЛИКИ</v>
      </c>
      <c r="B6937" s="24" t="s">
        <v>10495</v>
      </c>
      <c r="C6937" s="25">
        <v>497855</v>
      </c>
      <c r="D6937" s="22" t="s">
        <v>10496</v>
      </c>
      <c r="E6937" s="22" t="s">
        <v>48</v>
      </c>
      <c r="F6937" s="23" t="str">
        <f>HYPERLINK("https://www.spark-marketing.ru/Card/Lot/72840024", "Оказание услуг по организации питания в МБОУ ""Батыревская СОШ №1"" Батыревского района Чувашской Республики")</f>
        <v>Оказание услуг по организации питания в МБОУ "Батыревская СОШ №1" Батыревского района Чувашской Республики</v>
      </c>
      <c r="G6937" s="22" t="s">
        <v>618</v>
      </c>
      <c r="H6937" s="22" t="s">
        <v>10481</v>
      </c>
      <c r="I6937" s="26">
        <v>43693.369293981501</v>
      </c>
      <c r="J6937" s="23" t="str">
        <f>HYPERLINK("https://www.spark-marketing.ru/Card/Person/392761", "ООО ""ОБЩЕПИТ ""БАТЫРЕВСКИЙ""")</f>
        <v>ООО "ОБЩЕПИТ "БАТЫРЕВСКИЙ"</v>
      </c>
      <c r="K6937" s="24" t="s">
        <v>10482</v>
      </c>
      <c r="L6937" s="22" t="s">
        <v>10</v>
      </c>
      <c r="M6937" s="28" t="s">
        <v>51</v>
      </c>
      <c r="N6937" s="28" t="s">
        <v>51</v>
      </c>
    </row>
    <row r="6938" spans="1:14" x14ac:dyDescent="0.15">
      <c r="A6938" s="23" t="str">
        <f>HYPERLINK("https://www.spark-marketing.ru/Card/Person/102549", "КГБОУ ""МАРАЛИХИНСКАЯ ОБЩЕОБРАЗОВАТЕЛЬНАЯ ШКОЛА-ИНТЕРНАТ""")</f>
        <v>КГБОУ "МАРАЛИХИНСКАЯ ОБЩЕОБРАЗОВАТЕЛЬНАЯ ШКОЛА-ИНТЕРНАТ"</v>
      </c>
      <c r="B6938" s="24" t="s">
        <v>10022</v>
      </c>
      <c r="C6938" s="25">
        <v>7995.66</v>
      </c>
      <c r="D6938" s="22" t="s">
        <v>10497</v>
      </c>
      <c r="E6938" s="22" t="s">
        <v>10498</v>
      </c>
      <c r="F6938" s="23" t="str">
        <f>HYPERLINK("https://www.spark-marketing.ru/Card/Lot/72832937", "(244)Товары, работы или услуги на сумму, не превышающие 100 тыс. руб. (п.4 ч.1 ст.93 44-ФЗ)")</f>
        <v>(244)Товары, работы или услуги на сумму, не превышающие 100 тыс. руб. (п.4 ч.1 ст.93 44-ФЗ)</v>
      </c>
      <c r="G6938" s="22" t="s">
        <v>63</v>
      </c>
      <c r="H6938" s="22" t="s">
        <v>10024</v>
      </c>
      <c r="I6938" s="26">
        <v>43693.458333333299</v>
      </c>
      <c r="J6938" s="28" t="s">
        <v>51</v>
      </c>
      <c r="K6938" s="28" t="s">
        <v>51</v>
      </c>
      <c r="L6938" s="28" t="s">
        <v>51</v>
      </c>
      <c r="M6938" s="28" t="s">
        <v>51</v>
      </c>
      <c r="N6938" s="28" t="s">
        <v>51</v>
      </c>
    </row>
    <row r="6939" spans="1:14" x14ac:dyDescent="0.15">
      <c r="A6939" s="23" t="str">
        <f>HYPERLINK("https://www.spark-marketing.ru/Card/Person/126347", "МО МВД РОССИИ ""ТРУБЧЕВСКИЙ""")</f>
        <v>МО МВД РОССИИ "ТРУБЧЕВСКИЙ"</v>
      </c>
      <c r="B6939" s="24" t="s">
        <v>4568</v>
      </c>
      <c r="C6939" s="25">
        <v>57000</v>
      </c>
      <c r="D6939" s="22" t="s">
        <v>10499</v>
      </c>
      <c r="E6939" s="22" t="s">
        <v>48</v>
      </c>
      <c r="F6939" s="23" t="str">
        <f>HYPERLINK("https://www.spark-marketing.ru/Card/Lot/72833901", "Услуга организации трехразового питания в г.Орел и Орловской области, 228 усл. ед")</f>
        <v>Услуга организации трехразового питания в г.Орел и Орловской области, 228 усл. ед</v>
      </c>
      <c r="G6939" s="22" t="s">
        <v>475</v>
      </c>
      <c r="H6939" s="22" t="s">
        <v>4570</v>
      </c>
      <c r="I6939" s="26">
        <v>43693.488483796304</v>
      </c>
      <c r="J6939" s="28" t="s">
        <v>51</v>
      </c>
      <c r="K6939" s="28" t="s">
        <v>51</v>
      </c>
      <c r="L6939" s="28" t="s">
        <v>51</v>
      </c>
      <c r="M6939" s="28" t="s">
        <v>51</v>
      </c>
      <c r="N6939" s="28" t="s">
        <v>51</v>
      </c>
    </row>
    <row r="6940" spans="1:14" x14ac:dyDescent="0.15">
      <c r="A6940" s="23" t="str">
        <f>HYPERLINK("https://www.spark-marketing.ru/Card/Person/149202", "МО МВД РОССИИ ""ВЫШНЕВОЛОЦКИЙ""")</f>
        <v>МО МВД РОССИИ "ВЫШНЕВОЛОЦКИЙ"</v>
      </c>
      <c r="B6940" s="24" t="s">
        <v>1042</v>
      </c>
      <c r="C6940" s="25">
        <v>831910</v>
      </c>
      <c r="D6940" s="22" t="s">
        <v>10500</v>
      </c>
      <c r="E6940" s="22" t="s">
        <v>96</v>
      </c>
      <c r="F6940" s="23" t="str">
        <f>HYPERLINK("https://www.spark-marketing.ru/Card/Lot/72840343", "Услуги по организации питания")</f>
        <v>Услуги по организации питания</v>
      </c>
      <c r="G6940" s="22" t="s">
        <v>137</v>
      </c>
      <c r="H6940" s="22" t="s">
        <v>1044</v>
      </c>
      <c r="I6940" s="26">
        <v>43693.406909722202</v>
      </c>
      <c r="J6940" s="28" t="s">
        <v>51</v>
      </c>
      <c r="K6940" s="28" t="s">
        <v>51</v>
      </c>
      <c r="L6940" s="28" t="s">
        <v>51</v>
      </c>
      <c r="M6940" s="28" t="s">
        <v>51</v>
      </c>
      <c r="N6940" s="28" t="s">
        <v>51</v>
      </c>
    </row>
    <row r="6941" spans="1:14" ht="12.75" hidden="1" outlineLevel="1" x14ac:dyDescent="0.2">
      <c r="A6941" s="23" t="str">
        <f>HYPERLINK("https://www.spark-marketing.ru/Card/Person/149202", "МО МВД РОССИИ ""ВЫШНЕВОЛОЦКИЙ""")</f>
        <v>МО МВД РОССИИ "ВЫШНЕВОЛОЦКИЙ"</v>
      </c>
      <c r="B6941" s="24" t="s">
        <v>1042</v>
      </c>
      <c r="C6941" s="25">
        <v>831910</v>
      </c>
      <c r="D6941" s="22" t="s">
        <v>10500</v>
      </c>
      <c r="E6941" s="22" t="s">
        <v>96</v>
      </c>
      <c r="F6941" s="23" t="str">
        <f>HYPERLINK("https://www.spark-marketing.ru/Card/Lot/72840343", "Услуги по организации питания")</f>
        <v>Услуги по организации питания</v>
      </c>
      <c r="G6941" s="22" t="s">
        <v>137</v>
      </c>
      <c r="H6941" s="22" t="s">
        <v>1044</v>
      </c>
      <c r="I6941" s="26">
        <v>43693.406909722202</v>
      </c>
      <c r="J6941" s="23" t="str">
        <f>HYPERLINK("https://www.spark-marketing.ru/Card/Person/137941", "Пушкина Светлана Александровна")</f>
        <v>Пушкина Светлана Александровна</v>
      </c>
      <c r="K6941" s="24" t="s">
        <v>3193</v>
      </c>
      <c r="L6941" s="22" t="s">
        <v>10</v>
      </c>
      <c r="M6941" s="25">
        <v>576051.12</v>
      </c>
      <c r="N6941" s="27">
        <v>0.30755596158238269</v>
      </c>
    </row>
    <row r="6942" spans="1:14" hidden="1" outlineLevel="1" x14ac:dyDescent="0.2">
      <c r="A6942" s="23" t="str">
        <f>HYPERLINK("https://www.spark-marketing.ru/Card/Person/149202", "МО МВД РОССИИ ""ВЫШНЕВОЛОЦКИЙ""")</f>
        <v>МО МВД РОССИИ "ВЫШНЕВОЛОЦКИЙ"</v>
      </c>
      <c r="B6942" s="24" t="s">
        <v>1042</v>
      </c>
      <c r="C6942" s="25">
        <v>831910</v>
      </c>
      <c r="D6942" s="22" t="s">
        <v>10500</v>
      </c>
      <c r="E6942" s="22" t="s">
        <v>96</v>
      </c>
      <c r="F6942" s="23" t="str">
        <f>HYPERLINK("https://www.spark-marketing.ru/Card/Lot/72840343", "Услуги по организации питания")</f>
        <v>Услуги по организации питания</v>
      </c>
      <c r="G6942" s="22" t="s">
        <v>137</v>
      </c>
      <c r="H6942" s="22" t="s">
        <v>1044</v>
      </c>
      <c r="I6942" s="26">
        <v>43693.406909722202</v>
      </c>
      <c r="J6942" s="23" t="str">
        <f>HYPERLINK("https://www.spark-marketing.ru/Card/Person/6572002", "ООО ""ПАРАДИЗ""")</f>
        <v>ООО "ПАРАДИЗ"</v>
      </c>
      <c r="K6942" s="24" t="s">
        <v>10501</v>
      </c>
      <c r="L6942" s="28" t="s">
        <v>51</v>
      </c>
      <c r="M6942" s="25">
        <v>580000</v>
      </c>
      <c r="N6942" s="27">
        <v>0.30280919811037249</v>
      </c>
    </row>
    <row r="6943" spans="1:14" x14ac:dyDescent="0.15">
      <c r="A6943" s="23" t="str">
        <f>HYPERLINK("https://www.spark-marketing.ru/Card/Person/817833", "ОТДЕЛ МВД РОССИИ ПО МЕНЗЕЛИНСКОМУ РАЙОНУ")</f>
        <v>ОТДЕЛ МВД РОССИИ ПО МЕНЗЕЛИНСКОМУ РАЙОНУ</v>
      </c>
      <c r="B6943" s="24" t="s">
        <v>10502</v>
      </c>
      <c r="C6943" s="25">
        <v>183000</v>
      </c>
      <c r="D6943" s="22" t="s">
        <v>10503</v>
      </c>
      <c r="E6943" s="22" t="s">
        <v>48</v>
      </c>
      <c r="F6943" s="23" t="str">
        <f>HYPERLINK("https://www.spark-marketing.ru/Card/Lot/72840259", "Оказание услуг по организации питания лиц содержащихся в ИВС, спецприемнике и СПСЗЛ отдела МВД России по Менезелинскому району")</f>
        <v>Оказание услуг по организации питания лиц содержащихся в ИВС, спецприемнике и СПСЗЛ отдела МВД России по Менезелинскому району</v>
      </c>
      <c r="G6943" s="22" t="s">
        <v>217</v>
      </c>
      <c r="H6943" s="22" t="s">
        <v>10504</v>
      </c>
      <c r="I6943" s="26">
        <v>43693.466527777797</v>
      </c>
      <c r="J6943" s="23" t="str">
        <f>HYPERLINK("https://www.spark-marketing.ru/Card/Person/6511597", "ООО ""ГОЛД""")</f>
        <v>ООО "ГОЛД"</v>
      </c>
      <c r="K6943" s="24" t="s">
        <v>10505</v>
      </c>
      <c r="L6943" s="22" t="s">
        <v>10</v>
      </c>
      <c r="M6943" s="28" t="s">
        <v>51</v>
      </c>
      <c r="N6943" s="28" t="s">
        <v>51</v>
      </c>
    </row>
    <row r="6944" spans="1:14" x14ac:dyDescent="0.15">
      <c r="A6944" s="23" t="str">
        <f>HYPERLINK("https://www.spark-marketing.ru/Card/Person/1013194", "ОМВД РОССИИ ПО НЕВЕЛЬСКОМУ ГОРОДСКОМУ ОКРУГУ")</f>
        <v>ОМВД РОССИИ ПО НЕВЕЛЬСКОМУ ГОРОДСКОМУ ОКРУГУ</v>
      </c>
      <c r="B6944" s="24" t="s">
        <v>2008</v>
      </c>
      <c r="C6944" s="25">
        <v>956000</v>
      </c>
      <c r="D6944" s="22" t="s">
        <v>10506</v>
      </c>
      <c r="E6944" s="22" t="s">
        <v>48</v>
      </c>
      <c r="F6944" s="23" t="str">
        <f>HYPERLINK("https://www.spark-marketing.ru/Card/Lot/72824625", "оказание услуг по организации питания лиц содержащихся в ИВС и СПЗЛ")</f>
        <v>оказание услуг по организации питания лиц содержащихся в ИВС и СПЗЛ</v>
      </c>
      <c r="G6944" s="22" t="s">
        <v>260</v>
      </c>
      <c r="H6944" s="22" t="s">
        <v>260</v>
      </c>
      <c r="I6944" s="26">
        <v>43692.730277777802</v>
      </c>
      <c r="J6944" s="28" t="s">
        <v>51</v>
      </c>
      <c r="K6944" s="28" t="s">
        <v>51</v>
      </c>
      <c r="L6944" s="28" t="s">
        <v>51</v>
      </c>
      <c r="M6944" s="28" t="s">
        <v>51</v>
      </c>
      <c r="N6944" s="28" t="s">
        <v>51</v>
      </c>
    </row>
    <row r="6945" spans="1:14" x14ac:dyDescent="0.15">
      <c r="A6945" s="23" t="str">
        <f>HYPERLINK("https://www.spark-marketing.ru/Card/Person/1057557", "ГУСО ЧКЦСОН ""БЕРЕГИНЯ"" ЗАБАЙКАЛЬСКОГО КРАЯ")</f>
        <v>ГУСО ЧКЦСОН "БЕРЕГИНЯ" ЗАБАЙКАЛЬСКОГО КРАЯ</v>
      </c>
      <c r="B6945" s="24" t="s">
        <v>10507</v>
      </c>
      <c r="C6945" s="25">
        <v>793125</v>
      </c>
      <c r="D6945" s="22" t="s">
        <v>10508</v>
      </c>
      <c r="E6945" s="22" t="s">
        <v>48</v>
      </c>
      <c r="F6945" s="23" t="str">
        <f>HYPERLINK("https://www.spark-marketing.ru/Card/Lot/72827615", "Оказание услуг по организации питания (9647-ЭА)")</f>
        <v>Оказание услуг по организации питания (9647-ЭА)</v>
      </c>
      <c r="G6945" s="22" t="s">
        <v>228</v>
      </c>
      <c r="H6945" s="22" t="s">
        <v>394</v>
      </c>
      <c r="I6945" s="26">
        <v>43693.479837963001</v>
      </c>
      <c r="J6945" s="23" t="str">
        <f>HYPERLINK("https://www.spark-marketing.ru/Card/Person/1673855", "ООО ""ЧИТАСТРОЙ""")</f>
        <v>ООО "ЧИТАСТРОЙ"</v>
      </c>
      <c r="K6945" s="24" t="s">
        <v>10509</v>
      </c>
      <c r="L6945" s="22" t="s">
        <v>10</v>
      </c>
      <c r="M6945" s="28" t="s">
        <v>51</v>
      </c>
      <c r="N6945" s="28" t="s">
        <v>51</v>
      </c>
    </row>
    <row r="6946" spans="1:14" x14ac:dyDescent="0.15">
      <c r="A6946" s="23" t="str">
        <f>HYPERLINK("https://www.spark-marketing.ru/Card/Person/1013194", "ОМВД РОССИИ ПО НЕВЕЛЬСКОМУ ГОРОДСКОМУ ОКРУГУ")</f>
        <v>ОМВД РОССИИ ПО НЕВЕЛЬСКОМУ ГОРОДСКОМУ ОКРУГУ</v>
      </c>
      <c r="B6946" s="24" t="s">
        <v>2008</v>
      </c>
      <c r="C6946" s="25">
        <v>956000</v>
      </c>
      <c r="D6946" s="22" t="s">
        <v>10510</v>
      </c>
      <c r="E6946" s="22" t="s">
        <v>48</v>
      </c>
      <c r="F6946" s="23" t="str">
        <f>HYPERLINK("https://www.spark-marketing.ru/Card/Lot/72824624", "оказание услуг по организации питания лиц содержащихся в ИВС и СПЗЛ")</f>
        <v>оказание услуг по организации питания лиц содержащихся в ИВС и СПЗЛ</v>
      </c>
      <c r="G6946" s="22" t="s">
        <v>260</v>
      </c>
      <c r="H6946" s="22" t="s">
        <v>260</v>
      </c>
      <c r="I6946" s="26">
        <v>43692.729629629597</v>
      </c>
      <c r="J6946" s="28" t="s">
        <v>51</v>
      </c>
      <c r="K6946" s="28" t="s">
        <v>51</v>
      </c>
      <c r="L6946" s="28" t="s">
        <v>51</v>
      </c>
      <c r="M6946" s="28" t="s">
        <v>51</v>
      </c>
      <c r="N6946" s="28" t="s">
        <v>51</v>
      </c>
    </row>
    <row r="6947" spans="1:14" x14ac:dyDescent="0.15">
      <c r="A6947" s="23" t="str">
        <f>HYPERLINK("https://www.spark-marketing.ru/Card/Person/125736", "МО МВД РОССИИ ""ПОЧЕПСКИЙ""")</f>
        <v>МО МВД РОССИИ "ПОЧЕПСКИЙ"</v>
      </c>
      <c r="B6947" s="24" t="s">
        <v>8829</v>
      </c>
      <c r="C6947" s="25">
        <v>887750</v>
      </c>
      <c r="D6947" s="22" t="s">
        <v>10511</v>
      </c>
      <c r="E6947" s="22" t="s">
        <v>48</v>
      </c>
      <c r="F6947" s="23" t="str">
        <f>HYPERLINK("https://www.spark-marketing.ru/Card/Lot/72840828", "Услуги по приготовлению комплексного горячего питания")</f>
        <v>Услуги по приготовлению комплексного горячего питания</v>
      </c>
      <c r="G6947" s="22" t="s">
        <v>475</v>
      </c>
      <c r="H6947" s="22" t="s">
        <v>8831</v>
      </c>
      <c r="I6947" s="26">
        <v>43693.462962963</v>
      </c>
      <c r="J6947" s="23" t="str">
        <f>HYPERLINK("https://www.spark-marketing.ru/Card/Person/5800025", "Гуревич Евгений Юрьевич")</f>
        <v>Гуревич Евгений Юрьевич</v>
      </c>
      <c r="K6947" s="24" t="s">
        <v>8832</v>
      </c>
      <c r="L6947" s="22" t="s">
        <v>10</v>
      </c>
      <c r="M6947" s="28" t="s">
        <v>51</v>
      </c>
      <c r="N6947" s="28" t="s">
        <v>51</v>
      </c>
    </row>
    <row r="6948" spans="1:14" x14ac:dyDescent="0.15">
      <c r="A6948" s="23" t="str">
        <f>HYPERLINK("https://www.spark-marketing.ru/Card/Person/360898", "МО МВД РОССИИ ""ШАДРИНСКИЙ""")</f>
        <v>МО МВД РОССИИ "ШАДРИНСКИЙ"</v>
      </c>
      <c r="B6948" s="24" t="s">
        <v>10512</v>
      </c>
      <c r="C6948" s="25">
        <v>240000</v>
      </c>
      <c r="D6948" s="22" t="s">
        <v>10513</v>
      </c>
      <c r="E6948" s="22" t="s">
        <v>48</v>
      </c>
      <c r="F6948" s="23" t="str">
        <f>HYPERLINK("https://www.spark-marketing.ru/Card/Lot/72832196", "Оказание услуг по обеспечению питанием лиц, подозреваемых и обвиняемых в совершении преступлений, содержащихся в ИВС МО МВД России ""Шадринский"", а также лиц, задержанных и арестованных за совершение административных правонарушений, содержащихся в М...")</f>
        <v>Оказание услуг по обеспечению питанием лиц, подозреваемых и обвиняемых в совершении преступлений, содержащихся в ИВС МО МВД России "Шадринский", а также лиц, задержанных и арестованных за совершение административных правонарушений, содержащихся в М...</v>
      </c>
      <c r="G6948" s="22" t="s">
        <v>1972</v>
      </c>
      <c r="H6948" s="22" t="s">
        <v>10514</v>
      </c>
      <c r="I6948" s="26">
        <v>43693.460914351897</v>
      </c>
      <c r="J6948" s="23" t="str">
        <f>HYPERLINK("https://www.spark-marketing.ru/Card/Person/436977", "ГОРПО ""УРАЛ""")</f>
        <v>ГОРПО "УРАЛ"</v>
      </c>
      <c r="K6948" s="24" t="s">
        <v>10515</v>
      </c>
      <c r="L6948" s="22" t="s">
        <v>10</v>
      </c>
      <c r="M6948" s="28" t="s">
        <v>51</v>
      </c>
      <c r="N6948" s="28" t="s">
        <v>51</v>
      </c>
    </row>
    <row r="6949" spans="1:14" x14ac:dyDescent="0.15">
      <c r="A6949" s="23" t="str">
        <f>HYPERLINK("https://www.spark-marketing.ru/Card/Person/74147", "УМВД РОССИИ ПО ВСЕВОЛОЖСКОМУ РАЙОНУ ЛО")</f>
        <v>УМВД РОССИИ ПО ВСЕВОЛОЖСКОМУ РАЙОНУ ЛО</v>
      </c>
      <c r="B6949" s="24" t="s">
        <v>10516</v>
      </c>
      <c r="C6949" s="25">
        <v>162000</v>
      </c>
      <c r="D6949" s="22" t="s">
        <v>10517</v>
      </c>
      <c r="E6949" s="22" t="s">
        <v>48</v>
      </c>
      <c r="F6949" s="23" t="str">
        <f>HYPERLINK("https://www.spark-marketing.ru/Card/Lot/72839945", "Услуги по питанию лиц, содержащихся в ИВС")</f>
        <v>Услуги по питанию лиц, содержащихся в ИВС</v>
      </c>
      <c r="G6949" s="22" t="s">
        <v>162</v>
      </c>
      <c r="H6949" s="22" t="s">
        <v>162</v>
      </c>
      <c r="I6949" s="26">
        <v>43692.940277777801</v>
      </c>
      <c r="J6949" s="23" t="str">
        <f>HYPERLINK("https://www.spark-marketing.ru/Card/Person/145409", "ВСЕВОЛОЖСКОЕ ПО")</f>
        <v>ВСЕВОЛОЖСКОЕ ПО</v>
      </c>
      <c r="K6949" s="24" t="s">
        <v>10518</v>
      </c>
      <c r="L6949" s="22" t="s">
        <v>10</v>
      </c>
      <c r="M6949" s="28" t="s">
        <v>51</v>
      </c>
      <c r="N6949" s="28" t="s">
        <v>51</v>
      </c>
    </row>
    <row r="6950" spans="1:14" x14ac:dyDescent="0.15">
      <c r="A6950" s="23" t="str">
        <f>HYPERLINK("https://www.spark-marketing.ru/Card/Person/10122", "ГБУЗ СО ""УРАЛЬСКИЙ ИНСТИТУТ КАРДИОЛОГИИ""")</f>
        <v>ГБУЗ СО "УРАЛЬСКИЙ ИНСТИТУТ КАРДИОЛОГИИ"</v>
      </c>
      <c r="B6950" s="24" t="s">
        <v>10519</v>
      </c>
      <c r="C6950" s="25">
        <v>129466.26</v>
      </c>
      <c r="D6950" s="22" t="s">
        <v>10520</v>
      </c>
      <c r="E6950" s="22" t="s">
        <v>152</v>
      </c>
      <c r="F6950" s="23" t="str">
        <f>HYPERLINK("https://www.spark-marketing.ru/Card/Lot/72831608", "Оказание услуг по техническому обслуживанию источников бесперебойного питания")</f>
        <v>Оказание услуг по техническому обслуживанию источников бесперебойного питания</v>
      </c>
      <c r="G6950" s="22" t="s">
        <v>174</v>
      </c>
      <c r="H6950" s="22" t="s">
        <v>530</v>
      </c>
      <c r="I6950" s="26">
        <v>43692.600694444402</v>
      </c>
      <c r="J6950" s="23" t="str">
        <f>HYPERLINK("https://www.spark-marketing.ru/Card/Person/411079", "ООО ""УРАЛСЕРВИС""")</f>
        <v>ООО "УРАЛСЕРВИС"</v>
      </c>
      <c r="K6950" s="24" t="s">
        <v>10521</v>
      </c>
      <c r="L6950" s="22" t="s">
        <v>10</v>
      </c>
      <c r="M6950" s="28" t="s">
        <v>51</v>
      </c>
      <c r="N6950" s="28" t="s">
        <v>51</v>
      </c>
    </row>
    <row r="6951" spans="1:14" x14ac:dyDescent="0.15">
      <c r="A6951" s="23" t="str">
        <f>HYPERLINK("https://www.spark-marketing.ru/Card/Person/149202", "МО МВД РОССИИ ""ВЫШНЕВОЛОЦКИЙ""")</f>
        <v>МО МВД РОССИИ "ВЫШНЕВОЛОЦКИЙ"</v>
      </c>
      <c r="B6951" s="24" t="s">
        <v>1042</v>
      </c>
      <c r="C6951" s="25">
        <v>831910</v>
      </c>
      <c r="D6951" s="22" t="s">
        <v>10522</v>
      </c>
      <c r="E6951" s="22" t="s">
        <v>96</v>
      </c>
      <c r="F6951" s="23" t="str">
        <f>HYPERLINK("https://www.spark-marketing.ru/Card/Lot/72840317", "Услуги по организации питания")</f>
        <v>Услуги по организации питания</v>
      </c>
      <c r="G6951" s="22" t="s">
        <v>137</v>
      </c>
      <c r="H6951" s="22" t="s">
        <v>1044</v>
      </c>
      <c r="I6951" s="26">
        <v>43693.401238425897</v>
      </c>
      <c r="J6951" s="28" t="s">
        <v>51</v>
      </c>
      <c r="K6951" s="28" t="s">
        <v>51</v>
      </c>
      <c r="L6951" s="28" t="s">
        <v>51</v>
      </c>
      <c r="M6951" s="28" t="s">
        <v>51</v>
      </c>
      <c r="N6951" s="28" t="s">
        <v>51</v>
      </c>
    </row>
    <row r="6952" spans="1:14" ht="12.75" hidden="1" outlineLevel="1" x14ac:dyDescent="0.2">
      <c r="A6952" s="23" t="str">
        <f>HYPERLINK("https://www.spark-marketing.ru/Card/Person/149202", "МО МВД РОССИИ ""ВЫШНЕВОЛОЦКИЙ""")</f>
        <v>МО МВД РОССИИ "ВЫШНЕВОЛОЦКИЙ"</v>
      </c>
      <c r="B6952" s="24" t="s">
        <v>1042</v>
      </c>
      <c r="C6952" s="25">
        <v>831910</v>
      </c>
      <c r="D6952" s="22" t="s">
        <v>10522</v>
      </c>
      <c r="E6952" s="22" t="s">
        <v>96</v>
      </c>
      <c r="F6952" s="23" t="str">
        <f>HYPERLINK("https://www.spark-marketing.ru/Card/Lot/72840317", "Услуги по организации питания")</f>
        <v>Услуги по организации питания</v>
      </c>
      <c r="G6952" s="22" t="s">
        <v>137</v>
      </c>
      <c r="H6952" s="22" t="s">
        <v>1044</v>
      </c>
      <c r="I6952" s="26">
        <v>43693.401238425897</v>
      </c>
      <c r="J6952" s="23" t="str">
        <f>HYPERLINK("https://www.spark-marketing.ru/Card/Person/137941", "Пушкина Светлана Александровна")</f>
        <v>Пушкина Светлана Александровна</v>
      </c>
      <c r="K6952" s="24" t="s">
        <v>3193</v>
      </c>
      <c r="L6952" s="22" t="s">
        <v>10</v>
      </c>
      <c r="M6952" s="25">
        <v>575863.85</v>
      </c>
      <c r="N6952" s="27">
        <v>0.30778107006767558</v>
      </c>
    </row>
    <row r="6953" spans="1:14" hidden="1" outlineLevel="1" x14ac:dyDescent="0.2">
      <c r="A6953" s="23" t="str">
        <f>HYPERLINK("https://www.spark-marketing.ru/Card/Person/149202", "МО МВД РОССИИ ""ВЫШНЕВОЛОЦКИЙ""")</f>
        <v>МО МВД РОССИИ "ВЫШНЕВОЛОЦКИЙ"</v>
      </c>
      <c r="B6953" s="24" t="s">
        <v>1042</v>
      </c>
      <c r="C6953" s="25">
        <v>831910</v>
      </c>
      <c r="D6953" s="22" t="s">
        <v>10522</v>
      </c>
      <c r="E6953" s="22" t="s">
        <v>96</v>
      </c>
      <c r="F6953" s="23" t="str">
        <f>HYPERLINK("https://www.spark-marketing.ru/Card/Lot/72840317", "Услуги по организации питания")</f>
        <v>Услуги по организации питания</v>
      </c>
      <c r="G6953" s="22" t="s">
        <v>137</v>
      </c>
      <c r="H6953" s="22" t="s">
        <v>1044</v>
      </c>
      <c r="I6953" s="26">
        <v>43693.401238425897</v>
      </c>
      <c r="J6953" s="23" t="str">
        <f>HYPERLINK("https://www.spark-marketing.ru/Card/Person/6572002", "ООО ""ПАРАДИЗ""")</f>
        <v>ООО "ПАРАДИЗ"</v>
      </c>
      <c r="K6953" s="24" t="s">
        <v>10501</v>
      </c>
      <c r="L6953" s="28" t="s">
        <v>51</v>
      </c>
      <c r="M6953" s="25">
        <v>580000</v>
      </c>
      <c r="N6953" s="27">
        <v>0.30280919811037249</v>
      </c>
    </row>
    <row r="6954" spans="1:14" x14ac:dyDescent="0.15">
      <c r="A6954" s="23" t="str">
        <f>HYPERLINK("https://www.spark-marketing.ru/Card/Person/1037541", "МБОУ ""СШ № 1""")</f>
        <v>МБОУ "СШ № 1"</v>
      </c>
      <c r="B6954" s="24" t="s">
        <v>10523</v>
      </c>
      <c r="C6954" s="25">
        <v>2494660</v>
      </c>
      <c r="D6954" s="22" t="s">
        <v>10524</v>
      </c>
      <c r="E6954" s="22" t="s">
        <v>48</v>
      </c>
      <c r="F6954" s="23" t="str">
        <f>HYPERLINK("https://www.spark-marketing.ru/Card/Lot/72836117", "Организация горячего питания учащихся с 01 сентября 2019 года по 31 мая 2020 года")</f>
        <v>Организация горячего питания учащихся с 01 сентября 2019 года по 31 мая 2020 года</v>
      </c>
      <c r="G6954" s="22" t="s">
        <v>415</v>
      </c>
      <c r="H6954" s="22" t="s">
        <v>3733</v>
      </c>
      <c r="I6954" s="26">
        <v>43693.408356481501</v>
      </c>
      <c r="J6954" s="23" t="str">
        <f>HYPERLINK("https://www.spark-marketing.ru/Card/Person/5900555", "Романов Эдуард Владимирович")</f>
        <v>Романов Эдуард Владимирович</v>
      </c>
      <c r="K6954" s="24" t="s">
        <v>1886</v>
      </c>
      <c r="L6954" s="22" t="s">
        <v>10</v>
      </c>
      <c r="M6954" s="28" t="s">
        <v>51</v>
      </c>
      <c r="N6954" s="28" t="s">
        <v>51</v>
      </c>
    </row>
    <row r="6955" spans="1:14" x14ac:dyDescent="0.15">
      <c r="A6955" s="23" t="str">
        <f>HYPERLINK("https://www.spark-marketing.ru/Card/Person/89798", "УМВД РОССИИ ПО ГОРОДУ КИРОВУ")</f>
        <v>УМВД РОССИИ ПО ГОРОДУ КИРОВУ</v>
      </c>
      <c r="B6955" s="24" t="s">
        <v>8365</v>
      </c>
      <c r="C6955" s="25">
        <v>422889</v>
      </c>
      <c r="D6955" s="22" t="s">
        <v>10525</v>
      </c>
      <c r="E6955" s="22" t="s">
        <v>48</v>
      </c>
      <c r="F6955" s="23" t="str">
        <f>HYPERLINK("https://www.spark-marketing.ru/Card/Lot/72833862",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955" s="22" t="s">
        <v>224</v>
      </c>
      <c r="H6955" s="22" t="s">
        <v>225</v>
      </c>
      <c r="I6955" s="26">
        <v>43693.416643518503</v>
      </c>
      <c r="J6955" s="23" t="str">
        <f>HYPERLINK("https://www.spark-marketing.ru/Card/Person/89851", "ООО ""ФУД-СЕРВИС""")</f>
        <v>ООО "ФУД-СЕРВИС"</v>
      </c>
      <c r="K6955" s="24" t="s">
        <v>8368</v>
      </c>
      <c r="L6955" s="28" t="s">
        <v>51</v>
      </c>
      <c r="M6955" s="28" t="s">
        <v>51</v>
      </c>
      <c r="N6955" s="28" t="s">
        <v>51</v>
      </c>
    </row>
    <row r="6956" spans="1:14" ht="12.75" hidden="1" outlineLevel="1" x14ac:dyDescent="0.2">
      <c r="A6956" s="23" t="str">
        <f>HYPERLINK("https://www.spark-marketing.ru/Card/Person/89798", "УМВД РОССИИ ПО ГОРОДУ КИРОВУ")</f>
        <v>УМВД РОССИИ ПО ГОРОДУ КИРОВУ</v>
      </c>
      <c r="B6956" s="24" t="s">
        <v>8365</v>
      </c>
      <c r="C6956" s="25">
        <v>422889</v>
      </c>
      <c r="D6956" s="22" t="s">
        <v>10525</v>
      </c>
      <c r="E6956" s="22" t="s">
        <v>48</v>
      </c>
      <c r="F6956" s="23" t="str">
        <f>HYPERLINK("https://www.spark-marketing.ru/Card/Lot/72833862",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956" s="22" t="s">
        <v>224</v>
      </c>
      <c r="H6956" s="22" t="s">
        <v>225</v>
      </c>
      <c r="I6956" s="26">
        <v>43693.416643518503</v>
      </c>
      <c r="J6956" s="23" t="str">
        <f>HYPERLINK("https://www.spark-marketing.ru/Card/Person/89851", "ООО ""ФУД-СЕРВИС""")</f>
        <v>ООО "ФУД-СЕРВИС"</v>
      </c>
      <c r="K6956" s="24" t="s">
        <v>8368</v>
      </c>
      <c r="L6956" s="22" t="s">
        <v>10</v>
      </c>
      <c r="M6956" s="25">
        <v>6986.89</v>
      </c>
      <c r="N6956" s="27">
        <v>0.98347819404146242</v>
      </c>
    </row>
    <row r="6957" spans="1:14" x14ac:dyDescent="0.15">
      <c r="A6957" s="23" t="str">
        <f>HYPERLINK("https://www.spark-marketing.ru/Card/Person/737290", "ГКУ «ЦБЗ ПРИ МИНЗДРАВЕ КАРЕЛИИ»")</f>
        <v>ГКУ «ЦБЗ ПРИ МИНЗДРАВЕ КАРЕЛИИ»</v>
      </c>
      <c r="B6957" s="24" t="s">
        <v>312</v>
      </c>
      <c r="C6957" s="25">
        <v>275504.40000000002</v>
      </c>
      <c r="D6957" s="22" t="s">
        <v>10526</v>
      </c>
      <c r="E6957" s="22" t="s">
        <v>52</v>
      </c>
      <c r="F6957" s="23" t="str">
        <f>HYPERLINK("https://www.spark-marketing.ru/Card/Lot/72833835", "Поставка лекарственного препарата Спиронолактон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Спиронолактон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6957" s="22" t="s">
        <v>59</v>
      </c>
      <c r="H6957" s="22" t="s">
        <v>314</v>
      </c>
      <c r="I6957" s="26">
        <v>43693.416631944398</v>
      </c>
      <c r="J6957" s="28" t="s">
        <v>51</v>
      </c>
      <c r="K6957" s="28" t="s">
        <v>51</v>
      </c>
      <c r="L6957" s="28" t="s">
        <v>51</v>
      </c>
      <c r="M6957" s="28" t="s">
        <v>51</v>
      </c>
      <c r="N6957" s="28" t="s">
        <v>51</v>
      </c>
    </row>
    <row r="6958" spans="1:14" ht="12.75" hidden="1" outlineLevel="1" x14ac:dyDescent="0.2">
      <c r="A6958" s="23" t="str">
        <f>HYPERLINK("https://www.spark-marketing.ru/Card/Person/737290", "ГКУ «ЦБЗ ПРИ МИНЗДРАВЕ КАРЕЛИИ»")</f>
        <v>ГКУ «ЦБЗ ПРИ МИНЗДРАВЕ КАРЕЛИИ»</v>
      </c>
      <c r="B6958" s="24" t="s">
        <v>312</v>
      </c>
      <c r="C6958" s="25">
        <v>275504.40000000002</v>
      </c>
      <c r="D6958" s="22" t="s">
        <v>10526</v>
      </c>
      <c r="E6958" s="22" t="s">
        <v>52</v>
      </c>
      <c r="F6958" s="23" t="str">
        <f>HYPERLINK("https://www.spark-marketing.ru/Card/Lot/72833835", "Поставка лекарственного препарата Спиронолактон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Спиронолактон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6958" s="22" t="s">
        <v>59</v>
      </c>
      <c r="H6958" s="22" t="s">
        <v>314</v>
      </c>
      <c r="I6958" s="26">
        <v>43693.416631944398</v>
      </c>
      <c r="J6958" s="23" t="str">
        <f>HYPERLINK("https://www.spark-marketing.ru/Card/Person/6231467", "ООО ""ОБЛФАРМ АЛЬЯНС""")</f>
        <v>ООО "ОБЛФАРМ АЛЬЯНС"</v>
      </c>
      <c r="K6958" s="24" t="s">
        <v>2175</v>
      </c>
      <c r="L6958" s="22" t="s">
        <v>10</v>
      </c>
      <c r="M6958" s="25">
        <v>265861.76000000001</v>
      </c>
      <c r="N6958" s="27">
        <v>3.4999949184114663E-2</v>
      </c>
    </row>
    <row r="6959" spans="1:14" hidden="1" outlineLevel="1" x14ac:dyDescent="0.2">
      <c r="A6959" s="23" t="str">
        <f>HYPERLINK("https://www.spark-marketing.ru/Card/Person/737290", "ГКУ «ЦБЗ ПРИ МИНЗДРАВЕ КАРЕЛИИ»")</f>
        <v>ГКУ «ЦБЗ ПРИ МИНЗДРАВЕ КАРЕЛИИ»</v>
      </c>
      <c r="B6959" s="24" t="s">
        <v>312</v>
      </c>
      <c r="C6959" s="25">
        <v>275504.40000000002</v>
      </c>
      <c r="D6959" s="22" t="s">
        <v>10526</v>
      </c>
      <c r="E6959" s="22" t="s">
        <v>52</v>
      </c>
      <c r="F6959" s="23" t="str">
        <f>HYPERLINK("https://www.spark-marketing.ru/Card/Lot/72833835", "Поставка лекарственного препарата Спиронолактон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ре...")</f>
        <v>Поставка лекарственного препарата Спиронолактон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ре...</v>
      </c>
      <c r="G6959" s="22" t="s">
        <v>59</v>
      </c>
      <c r="H6959" s="22" t="s">
        <v>314</v>
      </c>
      <c r="I6959" s="26">
        <v>43693.416631944398</v>
      </c>
      <c r="J6959" s="23" t="str">
        <f>HYPERLINK("https://www.spark-marketing.ru/Card/Person/1607891", "ООО ""МОСОБЛФАРМ""")</f>
        <v>ООО "МОСОБЛФАРМ"</v>
      </c>
      <c r="K6959" s="24" t="s">
        <v>2523</v>
      </c>
      <c r="L6959" s="28" t="s">
        <v>51</v>
      </c>
      <c r="M6959" s="25">
        <v>267239.28000000003</v>
      </c>
      <c r="N6959" s="27">
        <v>2.9999956443526855E-2</v>
      </c>
    </row>
    <row r="6960" spans="1:14" x14ac:dyDescent="0.15">
      <c r="A6960" s="23" t="str">
        <f>HYPERLINK("https://www.spark-marketing.ru/Card/Person/737290", "ГКУ «ЦБЗ ПРИ МИНЗДРАВЕ КАРЕЛИИ»")</f>
        <v>ГКУ «ЦБЗ ПРИ МИНЗДРАВЕ КАРЕЛИИ»</v>
      </c>
      <c r="B6960" s="24" t="s">
        <v>312</v>
      </c>
      <c r="C6960" s="25">
        <v>1000035</v>
      </c>
      <c r="D6960" s="22" t="s">
        <v>10527</v>
      </c>
      <c r="E6960" s="22" t="s">
        <v>52</v>
      </c>
      <c r="F6960" s="23" t="str">
        <f>HYPERLINK("https://www.spark-marketing.ru/Card/Lot/72833499", "Поставка лекарственного препарата Эмпаглифлозин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издел...")</f>
        <v>Поставка лекарственного препарата Эмпаглифлозин 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издел...</v>
      </c>
      <c r="G6960" s="22" t="s">
        <v>59</v>
      </c>
      <c r="H6960" s="22" t="s">
        <v>314</v>
      </c>
      <c r="I6960" s="26">
        <v>43693.387835648202</v>
      </c>
      <c r="J6960" s="23" t="str">
        <f>HYPERLINK("https://www.spark-marketing.ru/Card/Person/6492462", "ООО ""ОН.К""")</f>
        <v>ООО "ОН.К"</v>
      </c>
      <c r="K6960" s="24" t="s">
        <v>2173</v>
      </c>
      <c r="L6960" s="22" t="s">
        <v>10</v>
      </c>
      <c r="M6960" s="28" t="s">
        <v>51</v>
      </c>
      <c r="N6960" s="28" t="s">
        <v>51</v>
      </c>
    </row>
    <row r="6961" spans="1:14" x14ac:dyDescent="0.15">
      <c r="A6961" s="23" t="str">
        <f>HYPERLINK("https://www.spark-marketing.ru/Card/Person/89798", "УМВД РОССИИ ПО ГОРОДУ КИРОВУ")</f>
        <v>УМВД РОССИИ ПО ГОРОДУ КИРОВУ</v>
      </c>
      <c r="B6961" s="24" t="s">
        <v>8365</v>
      </c>
      <c r="C6961" s="25">
        <v>900000</v>
      </c>
      <c r="D6961" s="22" t="s">
        <v>10528</v>
      </c>
      <c r="E6961" s="22" t="s">
        <v>48</v>
      </c>
      <c r="F6961" s="23" t="str">
        <f>HYPERLINK("https://www.spark-marketing.ru/Card/Lot/72836198",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961" s="22" t="s">
        <v>224</v>
      </c>
      <c r="H6961" s="22" t="s">
        <v>225</v>
      </c>
      <c r="I6961" s="26">
        <v>43693.432777777802</v>
      </c>
      <c r="J6961" s="23" t="str">
        <f>HYPERLINK("https://www.spark-marketing.ru/Card/Person/89851", "ООО ""ФУД-СЕРВИС""")</f>
        <v>ООО "ФУД-СЕРВИС"</v>
      </c>
      <c r="K6961" s="24" t="s">
        <v>8368</v>
      </c>
      <c r="L6961" s="28" t="s">
        <v>51</v>
      </c>
      <c r="M6961" s="28" t="s">
        <v>51</v>
      </c>
      <c r="N6961" s="28" t="s">
        <v>51</v>
      </c>
    </row>
    <row r="6962" spans="1:14" ht="12.75" hidden="1" outlineLevel="1" x14ac:dyDescent="0.2">
      <c r="A6962" s="23" t="str">
        <f>HYPERLINK("https://www.spark-marketing.ru/Card/Person/89798", "УМВД РОССИИ ПО ГОРОДУ КИРОВУ")</f>
        <v>УМВД РОССИИ ПО ГОРОДУ КИРОВУ</v>
      </c>
      <c r="B6962" s="24" t="s">
        <v>8365</v>
      </c>
      <c r="C6962" s="25">
        <v>900000</v>
      </c>
      <c r="D6962" s="22" t="s">
        <v>10528</v>
      </c>
      <c r="E6962" s="22" t="s">
        <v>48</v>
      </c>
      <c r="F6962" s="23" t="str">
        <f>HYPERLINK("https://www.spark-marketing.ru/Card/Lot/72836198",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6962" s="22" t="s">
        <v>224</v>
      </c>
      <c r="H6962" s="22" t="s">
        <v>225</v>
      </c>
      <c r="I6962" s="26">
        <v>43693.432777777802</v>
      </c>
      <c r="J6962" s="23" t="str">
        <f>HYPERLINK("https://www.spark-marketing.ru/Card/Person/89851", "ООО ""ФУД-СЕРВИС""")</f>
        <v>ООО "ФУД-СЕРВИС"</v>
      </c>
      <c r="K6962" s="24" t="s">
        <v>8368</v>
      </c>
      <c r="L6962" s="22" t="s">
        <v>10</v>
      </c>
      <c r="M6962" s="25">
        <v>7082.41</v>
      </c>
      <c r="N6962" s="27">
        <v>0.99213065555555557</v>
      </c>
    </row>
    <row r="6963" spans="1:14" x14ac:dyDescent="0.15">
      <c r="A6963" s="23" t="str">
        <f>HYPERLINK("https://www.spark-marketing.ru/Card/Person/105918", "МБОУ ""ОКТЯБРЬСКАЯ СОШ № 1""")</f>
        <v>МБОУ "ОКТЯБРЬСКАЯ СОШ № 1"</v>
      </c>
      <c r="B6963" s="24" t="s">
        <v>10529</v>
      </c>
      <c r="C6963" s="25">
        <v>2661347.2599999998</v>
      </c>
      <c r="D6963" s="22" t="s">
        <v>10530</v>
      </c>
      <c r="E6963" s="22" t="s">
        <v>96</v>
      </c>
      <c r="F6963" s="23" t="str">
        <f>HYPERLINK("https://www.spark-marketing.ru/Card/Lot/72829562", "Услуги по организации питания для обучающихся из малоимущих, малоимущих многодетных семей для нужд МБОУ ""Октябрьская средняя общеобразовательная школа №1""")</f>
        <v>Услуги по организации питания для обучающихся из малоимущих, малоимущих многодетных семей для нужд МБОУ "Октябрьская средняя общеобразовательная школа №1"</v>
      </c>
      <c r="G6963" s="22" t="s">
        <v>153</v>
      </c>
      <c r="H6963" s="22" t="s">
        <v>153</v>
      </c>
      <c r="I6963" s="26">
        <v>43693.432615740698</v>
      </c>
      <c r="J6963" s="28" t="s">
        <v>51</v>
      </c>
      <c r="K6963" s="28" t="s">
        <v>51</v>
      </c>
      <c r="L6963" s="28" t="s">
        <v>51</v>
      </c>
      <c r="M6963" s="28" t="s">
        <v>51</v>
      </c>
      <c r="N6963" s="28" t="s">
        <v>51</v>
      </c>
    </row>
    <row r="6964" spans="1:14" ht="12.75" hidden="1" outlineLevel="1" x14ac:dyDescent="0.2">
      <c r="A6964" s="23" t="str">
        <f>HYPERLINK("https://www.spark-marketing.ru/Card/Person/105918", "МБОУ ""ОКТЯБРЬСКАЯ СОШ № 1""")</f>
        <v>МБОУ "ОКТЯБРЬСКАЯ СОШ № 1"</v>
      </c>
      <c r="B6964" s="24" t="s">
        <v>10529</v>
      </c>
      <c r="C6964" s="25">
        <v>2661347.2599999998</v>
      </c>
      <c r="D6964" s="22" t="s">
        <v>10530</v>
      </c>
      <c r="E6964" s="22" t="s">
        <v>96</v>
      </c>
      <c r="F6964" s="23" t="str">
        <f>HYPERLINK("https://www.spark-marketing.ru/Card/Lot/72829562", "Услуги по организации питания для обучающихся из малоимущих, малоимущих многодетных семей для нужд МБОУ ""Октябрьская средняя общеобразовательная школа №1""")</f>
        <v>Услуги по организации питания для обучающихся из малоимущих, малоимущих многодетных семей для нужд МБОУ "Октябрьская средняя общеобразовательная школа №1"</v>
      </c>
      <c r="G6964" s="22" t="s">
        <v>153</v>
      </c>
      <c r="H6964" s="22" t="s">
        <v>153</v>
      </c>
      <c r="I6964" s="26">
        <v>43693.432615740698</v>
      </c>
      <c r="J6964" s="23" t="str">
        <f>HYPERLINK("https://www.spark-marketing.ru/Card/Person/62685", "Сабиров Ильдар Талгатович")</f>
        <v>Сабиров Ильдар Талгатович</v>
      </c>
      <c r="K6964" s="24" t="s">
        <v>10531</v>
      </c>
      <c r="L6964" s="22" t="s">
        <v>10</v>
      </c>
      <c r="M6964" s="25">
        <v>2634733.7799999998</v>
      </c>
      <c r="N6964" s="27">
        <v>1.0000002780546571E-2</v>
      </c>
    </row>
    <row r="6965" spans="1:14" hidden="1" outlineLevel="1" x14ac:dyDescent="0.2">
      <c r="A6965" s="23" t="str">
        <f>HYPERLINK("https://www.spark-marketing.ru/Card/Person/105918", "МБОУ ""ОКТЯБРЬСКАЯ СОШ № 1""")</f>
        <v>МБОУ "ОКТЯБРЬСКАЯ СОШ № 1"</v>
      </c>
      <c r="B6965" s="24" t="s">
        <v>10529</v>
      </c>
      <c r="C6965" s="25">
        <v>2661347.2599999998</v>
      </c>
      <c r="D6965" s="22" t="s">
        <v>10530</v>
      </c>
      <c r="E6965" s="22" t="s">
        <v>96</v>
      </c>
      <c r="F6965" s="23" t="str">
        <f>HYPERLINK("https://www.spark-marketing.ru/Card/Lot/72829562", "Услуги по организации питания для обучающихся из малоимущих, малоимущих многодетных семей для нужд МБОУ ""Октябрьская средняя общеобразовательная школа №1""")</f>
        <v>Услуги по организации питания для обучающихся из малоимущих, малоимущих многодетных семей для нужд МБОУ "Октябрьская средняя общеобразовательная школа №1"</v>
      </c>
      <c r="G6965" s="22" t="s">
        <v>153</v>
      </c>
      <c r="H6965" s="22" t="s">
        <v>153</v>
      </c>
      <c r="I6965" s="26">
        <v>43693.432615740698</v>
      </c>
      <c r="J6965" s="23" t="str">
        <f>HYPERLINK("https://www.spark-marketing.ru/Card/Person/752895", "ООО ""ОЛИМП""")</f>
        <v>ООО "ОЛИМП"</v>
      </c>
      <c r="K6965" s="24" t="s">
        <v>10532</v>
      </c>
      <c r="L6965" s="28" t="s">
        <v>51</v>
      </c>
      <c r="M6965" s="25">
        <v>2648040.52</v>
      </c>
      <c r="N6965" s="27">
        <v>5.0000013902732855E-3</v>
      </c>
    </row>
    <row r="6966" spans="1:14" x14ac:dyDescent="0.15">
      <c r="A6966" s="23" t="str">
        <f>HYPERLINK("https://www.spark-marketing.ru/Card/Person/737290", "ГКУ «ЦБЗ ПРИ МИНЗДРАВЕ КАРЕЛИИ»")</f>
        <v>ГКУ «ЦБЗ ПРИ МИНЗДРАВЕ КАРЕЛИИ»</v>
      </c>
      <c r="B6966" s="24" t="s">
        <v>312</v>
      </c>
      <c r="C6966" s="25">
        <v>52354.5</v>
      </c>
      <c r="D6966" s="22" t="s">
        <v>10533</v>
      </c>
      <c r="E6966" s="22" t="s">
        <v>52</v>
      </c>
      <c r="F6966" s="23" t="str">
        <f>HYPERLINK("https://www.spark-marketing.ru/Card/Lot/72831403", "Поставка лекарственного препарата     Инсулин деглудек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изделиям...")</f>
        <v>Поставка лекарственного препарата     Инсулин деглудек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изделиям...</v>
      </c>
      <c r="G6966" s="22" t="s">
        <v>59</v>
      </c>
      <c r="H6966" s="22" t="s">
        <v>314</v>
      </c>
      <c r="I6966" s="26">
        <v>43692.748148148101</v>
      </c>
      <c r="J6966" s="23" t="str">
        <f>HYPERLINK("https://www.spark-marketing.ru/Card/Person/6492462", "ООО ""ОН.К""")</f>
        <v>ООО "ОН.К"</v>
      </c>
      <c r="K6966" s="24" t="s">
        <v>2173</v>
      </c>
      <c r="L6966" s="22" t="s">
        <v>10</v>
      </c>
      <c r="M6966" s="28" t="s">
        <v>51</v>
      </c>
      <c r="N6966" s="28" t="s">
        <v>51</v>
      </c>
    </row>
    <row r="6967" spans="1:14" x14ac:dyDescent="0.15">
      <c r="A6967" s="23" t="str">
        <f>HYPERLINK("https://www.spark-marketing.ru/Card/Person/32254", "ФКУ ДПО МУЦ УФСИН РОССИИ ПО МОСКОВСКОЙ ОБЛАСТИ")</f>
        <v>ФКУ ДПО МУЦ УФСИН РОССИИ ПО МОСКОВСКОЙ ОБЛАСТИ</v>
      </c>
      <c r="B6967" s="24" t="s">
        <v>2525</v>
      </c>
      <c r="C6967" s="25">
        <v>499875</v>
      </c>
      <c r="D6967" s="22" t="s">
        <v>10534</v>
      </c>
      <c r="E6967" s="22" t="s">
        <v>48</v>
      </c>
      <c r="F6967" s="23" t="str">
        <f>HYPERLINK("https://www.spark-marketing.ru/Card/Lot/72833987", "услуги по организации питания слушателей, прибывающих на специальное первоначальное обучение")</f>
        <v>услуги по организации питания слушателей, прибывающих на специальное первоначальное обучение</v>
      </c>
      <c r="G6967" s="22" t="s">
        <v>49</v>
      </c>
      <c r="H6967" s="22" t="s">
        <v>742</v>
      </c>
      <c r="I6967" s="26">
        <v>43692.835555555597</v>
      </c>
      <c r="J6967" s="23" t="str">
        <f>HYPERLINK("https://www.spark-marketing.ru/Card/Person/5909954", "Кан Юрий Иннокентьевич")</f>
        <v>Кан Юрий Иннокентьевич</v>
      </c>
      <c r="K6967" s="24" t="s">
        <v>2527</v>
      </c>
      <c r="L6967" s="22" t="s">
        <v>10</v>
      </c>
      <c r="M6967" s="28" t="s">
        <v>51</v>
      </c>
      <c r="N6967" s="28" t="s">
        <v>51</v>
      </c>
    </row>
    <row r="6968" spans="1:14" x14ac:dyDescent="0.15">
      <c r="A6968" s="23" t="str">
        <f>HYPERLINK("https://www.spark-marketing.ru/Card/Person/104362", "ГБУ РС (Я) ""ЭВЕНО-БЫТАНТАЙСКАЯ ЦРБ ИМ.К.А.СЕРЕБРЯКОВОЙ""")</f>
        <v>ГБУ РС (Я) "ЭВЕНО-БЫТАНТАЙСКАЯ ЦРБ ИМ.К.А.СЕРЕБРЯКОВОЙ"</v>
      </c>
      <c r="B6968" s="24" t="s">
        <v>5972</v>
      </c>
      <c r="C6968" s="25">
        <v>1887417.6</v>
      </c>
      <c r="D6968" s="22" t="s">
        <v>10535</v>
      </c>
      <c r="E6968" s="22" t="s">
        <v>48</v>
      </c>
      <c r="F6968" s="23" t="str">
        <f>HYPERLINK("https://www.spark-marketing.ru/Card/Lot/72824577", "услуги организации питания")</f>
        <v>услуги организации питания</v>
      </c>
      <c r="G6968" s="22" t="s">
        <v>241</v>
      </c>
      <c r="H6968" s="22" t="s">
        <v>5974</v>
      </c>
      <c r="I6968" s="26">
        <v>43692.674803240698</v>
      </c>
      <c r="J6968" s="28" t="s">
        <v>51</v>
      </c>
      <c r="K6968" s="28" t="s">
        <v>51</v>
      </c>
      <c r="L6968" s="28" t="s">
        <v>51</v>
      </c>
      <c r="M6968" s="28" t="s">
        <v>51</v>
      </c>
      <c r="N6968" s="28" t="s">
        <v>51</v>
      </c>
    </row>
    <row r="6969" spans="1:14" x14ac:dyDescent="0.15">
      <c r="A6969" s="23" t="str">
        <f>HYPERLINK("https://www.spark-marketing.ru/Card/Person/49206", "ФКУЗ МСЧ-38 ФСИН РОССИИ")</f>
        <v>ФКУЗ МСЧ-38 ФСИН РОССИИ</v>
      </c>
      <c r="B6969" s="24" t="s">
        <v>8012</v>
      </c>
      <c r="C6969" s="25">
        <v>759488.99</v>
      </c>
      <c r="D6969" s="22" t="s">
        <v>10536</v>
      </c>
      <c r="E6969" s="22" t="s">
        <v>86</v>
      </c>
      <c r="F6969" s="23" t="str">
        <f>HYPERLINK("https://www.spark-marketing.ru/Card/Lot/72826599", "Прочая закупка товаров, работ, услуг: оказание услуг по паспортизации рентгенологических (флюорографических) кабинетов")</f>
        <v>Прочая закупка товаров, работ, услуг: оказание услуг по паспортизации рентгенологических (флюорографических) кабинетов</v>
      </c>
      <c r="G6969" s="22" t="s">
        <v>263</v>
      </c>
      <c r="H6969" s="22" t="s">
        <v>263</v>
      </c>
      <c r="I6969" s="26">
        <v>43692.620879629598</v>
      </c>
      <c r="J6969" s="28" t="s">
        <v>51</v>
      </c>
      <c r="K6969" s="28" t="s">
        <v>51</v>
      </c>
      <c r="L6969" s="28" t="s">
        <v>51</v>
      </c>
      <c r="M6969" s="28" t="s">
        <v>51</v>
      </c>
      <c r="N6969" s="28" t="s">
        <v>51</v>
      </c>
    </row>
    <row r="6970" spans="1:14" x14ac:dyDescent="0.15">
      <c r="A6970" s="23" t="str">
        <f>HYPERLINK("https://www.spark-marketing.ru/Card/Person/9315", "МУ МВД РОССИИ ""ОРЕНБУРГСКОЕ""")</f>
        <v>МУ МВД РОССИИ "ОРЕНБУРГСКОЕ"</v>
      </c>
      <c r="B6970" s="24" t="s">
        <v>8227</v>
      </c>
      <c r="C6970" s="25">
        <v>1500000</v>
      </c>
      <c r="D6970" s="22" t="s">
        <v>10537</v>
      </c>
      <c r="E6970" s="22" t="s">
        <v>48</v>
      </c>
      <c r="F6970" s="23" t="str">
        <f>HYPERLINK("https://www.spark-marketing.ru/Card/Lot/72829130", "Оказание услуг по предоставлению горячего, готового трехразового питания для лиц, содержащихся в Специальном приемнике для содержания лиц подвергнутых административному аресту , а также административному задержанию МУ МВД России ""Оренбургское""")</f>
        <v>Оказание услуг по предоставлению горячего, готового трехразового питания для лиц, содержащихся в Специальном приемнике для содержания лиц подвергнутых административному аресту , а также административному задержанию МУ МВД России "Оренбургское"</v>
      </c>
      <c r="G6970" s="22" t="s">
        <v>132</v>
      </c>
      <c r="H6970" s="22" t="s">
        <v>587</v>
      </c>
      <c r="I6970" s="26">
        <v>43693.375486111101</v>
      </c>
      <c r="J6970" s="28" t="s">
        <v>51</v>
      </c>
      <c r="K6970" s="28" t="s">
        <v>51</v>
      </c>
      <c r="L6970" s="28" t="s">
        <v>51</v>
      </c>
      <c r="M6970" s="28" t="s">
        <v>51</v>
      </c>
      <c r="N6970" s="28" t="s">
        <v>51</v>
      </c>
    </row>
    <row r="6971" spans="1:14" x14ac:dyDescent="0.15">
      <c r="A6971" s="23" t="str">
        <f>HYPERLINK("https://www.spark-marketing.ru/Card/Person/995845", "ОМВД РОССИИ ПО СУДОГОДСКОМУ РАЙОНУ")</f>
        <v>ОМВД РОССИИ ПО СУДОГОДСКОМУ РАЙОНУ</v>
      </c>
      <c r="B6971" s="24" t="s">
        <v>10538</v>
      </c>
      <c r="C6971" s="25">
        <v>582500</v>
      </c>
      <c r="D6971" s="22" t="s">
        <v>10539</v>
      </c>
      <c r="E6971" s="22" t="s">
        <v>48</v>
      </c>
      <c r="F6971" s="23" t="str">
        <f>HYPERLINK("https://www.spark-marketing.ru/Card/Lot/72831658", "Прочая закупка услуг (услуги по организации ежедневного трехразового горячего питания лиц, подвергнутых административному аресту, и лиц, содержащихся в ИВС)")</f>
        <v>Прочая закупка услуг (услуги по организации ежедневного трехразового горячего питания лиц, подвергнутых административному аресту, и лиц, содержащихся в ИВС)</v>
      </c>
      <c r="G6971" s="22" t="s">
        <v>663</v>
      </c>
      <c r="H6971" s="22" t="s">
        <v>663</v>
      </c>
      <c r="I6971" s="26">
        <v>43693.390439814801</v>
      </c>
      <c r="J6971" s="28" t="s">
        <v>51</v>
      </c>
      <c r="K6971" s="28" t="s">
        <v>51</v>
      </c>
      <c r="L6971" s="28" t="s">
        <v>51</v>
      </c>
      <c r="M6971" s="28" t="s">
        <v>51</v>
      </c>
      <c r="N6971" s="28" t="s">
        <v>51</v>
      </c>
    </row>
    <row r="6972" spans="1:14" x14ac:dyDescent="0.15">
      <c r="A6972" s="23" t="str">
        <f>HYPERLINK("https://www.spark-marketing.ru/Card/Person/149794", "МУНИЦИПАЛЬНАЯ БЮДЖЕТНАЯ СРЕДНЯЯ ОБЩЕОБРАЗОВАТЕЛЬНАЯ ШКОЛА № 30 Г. ОРЛА")</f>
        <v>МУНИЦИПАЛЬНАЯ БЮДЖЕТНАЯ СРЕДНЯЯ ОБЩЕОБРАЗОВАТЕЛЬНАЯ ШКОЛА № 30 Г. ОРЛА</v>
      </c>
      <c r="B6972" s="24" t="s">
        <v>10540</v>
      </c>
      <c r="C6972" s="25">
        <v>394806</v>
      </c>
      <c r="D6972" s="22" t="s">
        <v>10541</v>
      </c>
      <c r="E6972" s="22" t="s">
        <v>51</v>
      </c>
      <c r="F6972" s="23" t="str">
        <f>HYPERLINK("https://www.spark-marketing.ru/Card/Lot/72831057",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972" s="22" t="s">
        <v>1066</v>
      </c>
      <c r="H6972" s="22" t="s">
        <v>2864</v>
      </c>
      <c r="I6972" s="26">
        <v>43692.529386574097</v>
      </c>
      <c r="J6972" s="28" t="s">
        <v>51</v>
      </c>
      <c r="K6972" s="28" t="s">
        <v>51</v>
      </c>
      <c r="L6972" s="28" t="s">
        <v>51</v>
      </c>
      <c r="M6972" s="28" t="s">
        <v>51</v>
      </c>
      <c r="N6972" s="28" t="s">
        <v>51</v>
      </c>
    </row>
    <row r="6973" spans="1:14" x14ac:dyDescent="0.15">
      <c r="A6973" s="23" t="str">
        <f>HYPERLINK("https://www.spark-marketing.ru/Card/Person/1052886", "МБОУ - ШКОЛА № 51 ГОРОДА ОРЛА")</f>
        <v>МБОУ - ШКОЛА № 51 ГОРОДА ОРЛА</v>
      </c>
      <c r="B6973" s="24" t="s">
        <v>8904</v>
      </c>
      <c r="C6973" s="25">
        <v>975200</v>
      </c>
      <c r="D6973" s="22" t="s">
        <v>10542</v>
      </c>
      <c r="E6973" s="22" t="s">
        <v>51</v>
      </c>
      <c r="F6973" s="23" t="str">
        <f>HYPERLINK("https://www.spark-marketing.ru/Card/Lot/72831061",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973" s="22" t="s">
        <v>1066</v>
      </c>
      <c r="H6973" s="22" t="s">
        <v>1066</v>
      </c>
      <c r="I6973" s="26">
        <v>43692.599293981497</v>
      </c>
      <c r="J6973" s="28" t="s">
        <v>51</v>
      </c>
      <c r="K6973" s="28" t="s">
        <v>51</v>
      </c>
      <c r="L6973" s="28" t="s">
        <v>51</v>
      </c>
      <c r="M6973" s="28" t="s">
        <v>51</v>
      </c>
      <c r="N6973" s="28" t="s">
        <v>51</v>
      </c>
    </row>
    <row r="6974" spans="1:14" x14ac:dyDescent="0.15">
      <c r="A6974" s="23" t="str">
        <f>HYPERLINK("https://www.spark-marketing.ru/Card/Person/90723", "МУ МВД РОССИИ ""ЩЕЛКОВСКОЕ""")</f>
        <v>МУ МВД РОССИИ "ЩЕЛКОВСКОЕ"</v>
      </c>
      <c r="B6974" s="24" t="s">
        <v>6423</v>
      </c>
      <c r="C6974" s="25">
        <v>2800880</v>
      </c>
      <c r="D6974" s="22" t="s">
        <v>10543</v>
      </c>
      <c r="E6974" s="22" t="s">
        <v>48</v>
      </c>
      <c r="F6974" s="23" t="str">
        <f>HYPERLINK("https://www.spark-marketing.ru/Card/Lot/72832044", "Оказание услуг по обеспечению трёх разовым питанием лиц подозреваемых и обвиняемых в совершении преступлений содержащихся в изоляторе временного содержания на 2020 год")</f>
        <v>Оказание услуг по обеспечению трёх разовым питанием лиц подозреваемых и обвиняемых в совершении преступлений содержащихся в изоляторе временного содержания на 2020 год</v>
      </c>
      <c r="G6974" s="22" t="s">
        <v>49</v>
      </c>
      <c r="H6974" s="22" t="s">
        <v>4644</v>
      </c>
      <c r="I6974" s="26">
        <v>43692.815150463</v>
      </c>
      <c r="J6974" s="28" t="s">
        <v>51</v>
      </c>
      <c r="K6974" s="28" t="s">
        <v>51</v>
      </c>
      <c r="L6974" s="28" t="s">
        <v>51</v>
      </c>
      <c r="M6974" s="28" t="s">
        <v>51</v>
      </c>
      <c r="N6974" s="28" t="s">
        <v>51</v>
      </c>
    </row>
    <row r="6975" spans="1:14" ht="12.75" hidden="1" outlineLevel="1" x14ac:dyDescent="0.2">
      <c r="A6975" s="23" t="str">
        <f>HYPERLINK("https://www.spark-marketing.ru/Card/Person/90723", "МУ МВД РОССИИ ""ЩЕЛКОВСКОЕ""")</f>
        <v>МУ МВД РОССИИ "ЩЕЛКОВСКОЕ"</v>
      </c>
      <c r="B6975" s="24" t="s">
        <v>6423</v>
      </c>
      <c r="C6975" s="25">
        <v>2800880</v>
      </c>
      <c r="D6975" s="22" t="s">
        <v>10543</v>
      </c>
      <c r="E6975" s="22" t="s">
        <v>48</v>
      </c>
      <c r="F6975" s="23" t="str">
        <f>HYPERLINK("https://www.spark-marketing.ru/Card/Lot/72832044", "Оказание услуг по обеспечению трёх разовым питанием лиц подозреваемых и обвиняемых в совершении преступлений содержащихся в изоляторе временного содержания на 2020 год")</f>
        <v>Оказание услуг по обеспечению трёх разовым питанием лиц подозреваемых и обвиняемых в совершении преступлений содержащихся в изоляторе временного содержания на 2020 год</v>
      </c>
      <c r="G6975" s="22" t="s">
        <v>49</v>
      </c>
      <c r="H6975" s="22" t="s">
        <v>4644</v>
      </c>
      <c r="I6975" s="26">
        <v>43692.815150463</v>
      </c>
      <c r="J6975" s="23" t="str">
        <f>HYPERLINK("https://www.spark-marketing.ru/Card/Person/131113", "ООО ""НИКА""")</f>
        <v>ООО "НИКА"</v>
      </c>
      <c r="K6975" s="24" t="s">
        <v>6425</v>
      </c>
      <c r="L6975" s="22" t="s">
        <v>10</v>
      </c>
      <c r="M6975" s="25">
        <v>307.72000000000003</v>
      </c>
      <c r="N6975" s="27">
        <v>0.99989013452914799</v>
      </c>
    </row>
    <row r="6976" spans="1:14" hidden="1" outlineLevel="1" x14ac:dyDescent="0.2">
      <c r="A6976" s="23" t="str">
        <f>HYPERLINK("https://www.spark-marketing.ru/Card/Person/90723", "МУ МВД РОССИИ ""ЩЕЛКОВСКОЕ""")</f>
        <v>МУ МВД РОССИИ "ЩЕЛКОВСКОЕ"</v>
      </c>
      <c r="B6976" s="24" t="s">
        <v>6423</v>
      </c>
      <c r="C6976" s="25">
        <v>2800880</v>
      </c>
      <c r="D6976" s="22" t="s">
        <v>10543</v>
      </c>
      <c r="E6976" s="22" t="s">
        <v>48</v>
      </c>
      <c r="F6976" s="23" t="str">
        <f>HYPERLINK("https://www.spark-marketing.ru/Card/Lot/72832044", "Оказание услуг по обеспечению трёх разовым питанием лиц подозреваемых и обвиняемых в совершении преступлений содержащихся в изоляторе временного содержания на 2020 год")</f>
        <v>Оказание услуг по обеспечению трёх разовым питанием лиц подозреваемых и обвиняемых в совершении преступлений содержащихся в изоляторе временного содержания на 2020 год</v>
      </c>
      <c r="G6976" s="22" t="s">
        <v>49</v>
      </c>
      <c r="H6976" s="22" t="s">
        <v>4644</v>
      </c>
      <c r="I6976" s="26">
        <v>43692.815150463</v>
      </c>
      <c r="J6976" s="23" t="str">
        <f>HYPERLINK("https://www.spark-marketing.ru/Card/Person/6310318", "ООО ""ОТДЕЛ МАРКЕТИНГА""")</f>
        <v>ООО "ОТДЕЛ МАРКЕТИНГА"</v>
      </c>
      <c r="K6976" s="24" t="s">
        <v>6426</v>
      </c>
      <c r="L6976" s="28" t="s">
        <v>51</v>
      </c>
      <c r="M6976" s="25">
        <v>309.29000000000002</v>
      </c>
      <c r="N6976" s="27">
        <v>0.9998895739910314</v>
      </c>
    </row>
    <row r="6977" spans="1:14" x14ac:dyDescent="0.15">
      <c r="A6977" s="23" t="str">
        <f>HYPERLINK("https://www.spark-marketing.ru/Card/Person/737290", "ГКУ «ЦБЗ ПРИ МИНЗДРАВЕ КАРЕЛИИ»")</f>
        <v>ГКУ «ЦБЗ ПРИ МИНЗДРАВЕ КАРЕЛИИ»</v>
      </c>
      <c r="B6977" s="24" t="s">
        <v>312</v>
      </c>
      <c r="C6977" s="25">
        <v>1167278.3999999999</v>
      </c>
      <c r="D6977" s="22" t="s">
        <v>10544</v>
      </c>
      <c r="E6977" s="22" t="s">
        <v>52</v>
      </c>
      <c r="F6977" s="23" t="str">
        <f>HYPERLINK("https://www.spark-marketing.ru/Card/Lot/72831185", "Поставка лекарственного препарата Апиксабан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рецепт...")</f>
        <v>Поставка лекарственного препарата Апиксабан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рецепт...</v>
      </c>
      <c r="G6977" s="22" t="s">
        <v>59</v>
      </c>
      <c r="H6977" s="22" t="s">
        <v>314</v>
      </c>
      <c r="I6977" s="26">
        <v>43693.377164351798</v>
      </c>
      <c r="J6977" s="23" t="str">
        <f>HYPERLINK("https://www.spark-marketing.ru/Card/Person/5950409", "ООО ""БИАНТ""")</f>
        <v>ООО "БИАНТ"</v>
      </c>
      <c r="K6977" s="24" t="s">
        <v>3870</v>
      </c>
      <c r="L6977" s="22" t="s">
        <v>10</v>
      </c>
      <c r="M6977" s="28" t="s">
        <v>51</v>
      </c>
      <c r="N6977" s="28" t="s">
        <v>51</v>
      </c>
    </row>
    <row r="6978" spans="1:14" x14ac:dyDescent="0.15">
      <c r="A6978" s="23" t="str">
        <f>HYPERLINK("https://www.spark-marketing.ru/Card/Person/737290", "ГКУ «ЦБЗ ПРИ МИНЗДРАВЕ КАРЕЛИИ»")</f>
        <v>ГКУ «ЦБЗ ПРИ МИНЗДРАВЕ КАРЕЛИИ»</v>
      </c>
      <c r="B6978" s="24" t="s">
        <v>312</v>
      </c>
      <c r="C6978" s="25">
        <v>59550</v>
      </c>
      <c r="D6978" s="22" t="s">
        <v>10545</v>
      </c>
      <c r="E6978" s="22" t="s">
        <v>52</v>
      </c>
      <c r="F6978" s="23" t="str">
        <f>HYPERLINK("https://www.spark-marketing.ru/Card/Lot/72832038", "Поставка лекарственного препарата Урсодезоксихолевая кислота,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медици...")</f>
        <v>Поставка лекарственного препарата Урсодезоксихолевая кислота,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медици...</v>
      </c>
      <c r="G6978" s="22" t="s">
        <v>59</v>
      </c>
      <c r="H6978" s="22" t="s">
        <v>314</v>
      </c>
      <c r="I6978" s="26">
        <v>43692.759560185201</v>
      </c>
      <c r="J6978" s="28" t="s">
        <v>51</v>
      </c>
      <c r="K6978" s="28" t="s">
        <v>51</v>
      </c>
      <c r="L6978" s="28" t="s">
        <v>51</v>
      </c>
      <c r="M6978" s="28" t="s">
        <v>51</v>
      </c>
      <c r="N6978" s="28" t="s">
        <v>51</v>
      </c>
    </row>
    <row r="6979" spans="1:14" x14ac:dyDescent="0.15">
      <c r="A6979" s="23" t="str">
        <f>HYPERLINK("https://www.spark-marketing.ru/Card/Person/89176", "МУНИЦИПАЛЬНЫЙ БЮДЖЕТНЫЙ ЛИЦЕЙ № 32 Г. ОРЛА")</f>
        <v>МУНИЦИПАЛЬНЫЙ БЮДЖЕТНЫЙ ЛИЦЕЙ № 32 Г. ОРЛА</v>
      </c>
      <c r="B6979" s="24" t="s">
        <v>10546</v>
      </c>
      <c r="C6979" s="25">
        <v>491788</v>
      </c>
      <c r="D6979" s="22" t="s">
        <v>10547</v>
      </c>
      <c r="E6979" s="22" t="s">
        <v>51</v>
      </c>
      <c r="F6979" s="23" t="str">
        <f>HYPERLINK("https://www.spark-marketing.ru/Card/Lot/72831059",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979" s="22" t="s">
        <v>1066</v>
      </c>
      <c r="H6979" s="22" t="s">
        <v>2864</v>
      </c>
      <c r="I6979" s="26">
        <v>43692.540486111102</v>
      </c>
      <c r="J6979" s="23" t="str">
        <f>HYPERLINK("https://www.spark-marketing.ru/Card/Person/6690794", "ООО ""ШКОЛЬНОЕ ПИТАНИЕ""")</f>
        <v>ООО "ШКОЛЬНОЕ ПИТАНИЕ"</v>
      </c>
      <c r="K6979" s="24" t="s">
        <v>8906</v>
      </c>
      <c r="L6979" s="22" t="s">
        <v>10</v>
      </c>
      <c r="M6979" s="28" t="s">
        <v>51</v>
      </c>
      <c r="N6979" s="28" t="s">
        <v>51</v>
      </c>
    </row>
    <row r="6980" spans="1:14" x14ac:dyDescent="0.15">
      <c r="A6980" s="23" t="str">
        <f>HYPERLINK("https://www.spark-marketing.ru/Card/Person/9315", "МУ МВД РОССИИ ""ОРЕНБУРГСКОЕ""")</f>
        <v>МУ МВД РОССИИ "ОРЕНБУРГСКОЕ"</v>
      </c>
      <c r="B6980" s="24" t="s">
        <v>8227</v>
      </c>
      <c r="C6980" s="25">
        <v>855000</v>
      </c>
      <c r="D6980" s="22" t="s">
        <v>10548</v>
      </c>
      <c r="E6980" s="22" t="s">
        <v>48</v>
      </c>
      <c r="F6980" s="23" t="str">
        <f>HYPERLINK("https://www.spark-marketing.ru/Card/Lot/72829138", "Оказание услуг по предоставлению горячего, готового трехразового питания для лиц, находящихся в Изоляторе временного содержания МУ МВД России ""Оренбургское""")</f>
        <v>Оказание услуг по предоставлению горячего, готового трехразового питания для лиц, находящихся в Изоляторе временного содержания МУ МВД России "Оренбургское"</v>
      </c>
      <c r="G6980" s="22" t="s">
        <v>132</v>
      </c>
      <c r="H6980" s="22" t="s">
        <v>587</v>
      </c>
      <c r="I6980" s="26">
        <v>43693.348263888904</v>
      </c>
      <c r="J6980" s="23" t="str">
        <f>HYPERLINK("https://www.spark-marketing.ru/Card/Person/415003", "ООО ""ПИТАНИЕ""")</f>
        <v>ООО "ПИТАНИЕ"</v>
      </c>
      <c r="K6980" s="24" t="s">
        <v>2714</v>
      </c>
      <c r="L6980" s="22" t="s">
        <v>10</v>
      </c>
      <c r="M6980" s="28" t="s">
        <v>51</v>
      </c>
      <c r="N6980" s="28" t="s">
        <v>51</v>
      </c>
    </row>
    <row r="6981" spans="1:14" x14ac:dyDescent="0.15">
      <c r="A6981" s="23" t="str">
        <f>HYPERLINK("https://www.spark-marketing.ru/Card/Person/59951", "МУНИЦИПАЛЬНАЯ БЮДЖЕТНАЯ СРЕДНЯЯ ОБЩЕОБРАЗОВАТЕЛЬНАЯ ШКОЛА № 31 Г. ОРЛА")</f>
        <v>МУНИЦИПАЛЬНАЯ БЮДЖЕТНАЯ СРЕДНЯЯ ОБЩЕОБРАЗОВАТЕЛЬНАЯ ШКОЛА № 31 Г. ОРЛА</v>
      </c>
      <c r="B6981" s="24" t="s">
        <v>10549</v>
      </c>
      <c r="C6981" s="25">
        <v>266056</v>
      </c>
      <c r="D6981" s="22" t="s">
        <v>10550</v>
      </c>
      <c r="E6981" s="22" t="s">
        <v>51</v>
      </c>
      <c r="F6981" s="23" t="str">
        <f>HYPERLINK("https://www.spark-marketing.ru/Card/Lot/72830251",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981" s="22" t="s">
        <v>1066</v>
      </c>
      <c r="H6981" s="22" t="s">
        <v>2864</v>
      </c>
      <c r="I6981" s="26">
        <v>43692.534525463001</v>
      </c>
      <c r="J6981" s="28" t="s">
        <v>51</v>
      </c>
      <c r="K6981" s="28" t="s">
        <v>51</v>
      </c>
      <c r="L6981" s="28" t="s">
        <v>51</v>
      </c>
      <c r="M6981" s="28" t="s">
        <v>51</v>
      </c>
      <c r="N6981" s="28" t="s">
        <v>51</v>
      </c>
    </row>
    <row r="6982" spans="1:14" x14ac:dyDescent="0.15">
      <c r="A6982" s="23" t="str">
        <f>HYPERLINK("https://www.spark-marketing.ru/Card/Person/1005187", "МУНИЦИПАЛЬНАЯ БЮДЖЕТНАЯ СРЕДНЯЯ ОБЩЕОБРАЗОВАТЕЛЬНАЯ ШКОЛА № 27 Г. ОРЛА")</f>
        <v>МУНИЦИПАЛЬНАЯ БЮДЖЕТНАЯ СРЕДНЯЯ ОБЩЕОБРАЗОВАТЕЛЬНАЯ ШКОЛА № 27 Г. ОРЛА</v>
      </c>
      <c r="B6982" s="24" t="s">
        <v>10551</v>
      </c>
      <c r="C6982" s="25">
        <v>475938</v>
      </c>
      <c r="D6982" s="22" t="s">
        <v>10552</v>
      </c>
      <c r="E6982" s="22" t="s">
        <v>51</v>
      </c>
      <c r="F6982" s="23" t="str">
        <f>HYPERLINK("https://www.spark-marketing.ru/Card/Lot/72831060", "Услуги по обеспечению питанием, осуществляемые по договору")</f>
        <v>Услуги по обеспечению питанием, осуществляемые по договору</v>
      </c>
      <c r="G6982" s="22" t="s">
        <v>1066</v>
      </c>
      <c r="H6982" s="22" t="s">
        <v>2864</v>
      </c>
      <c r="I6982" s="26">
        <v>43692.545949074098</v>
      </c>
      <c r="J6982" s="23" t="str">
        <f>HYPERLINK("https://www.spark-marketing.ru/Card/Person/6690794", "ООО ""ШКОЛЬНОЕ ПИТАНИЕ""")</f>
        <v>ООО "ШКОЛЬНОЕ ПИТАНИЕ"</v>
      </c>
      <c r="K6982" s="24" t="s">
        <v>8906</v>
      </c>
      <c r="L6982" s="22" t="s">
        <v>10</v>
      </c>
      <c r="M6982" s="28" t="s">
        <v>51</v>
      </c>
      <c r="N6982" s="28" t="s">
        <v>51</v>
      </c>
    </row>
    <row r="6983" spans="1:14" x14ac:dyDescent="0.15">
      <c r="A6983" s="23" t="str">
        <f>HYPERLINK("https://www.spark-marketing.ru/Card/Person/9315", "МУ МВД РОССИИ ""ОРЕНБУРГСКОЕ""")</f>
        <v>МУ МВД РОССИИ "ОРЕНБУРГСКОЕ"</v>
      </c>
      <c r="B6983" s="24" t="s">
        <v>8227</v>
      </c>
      <c r="C6983" s="25">
        <v>1325000</v>
      </c>
      <c r="D6983" s="22" t="s">
        <v>10553</v>
      </c>
      <c r="E6983" s="22" t="s">
        <v>48</v>
      </c>
      <c r="F6983" s="23" t="str">
        <f>HYPERLINK("https://www.spark-marketing.ru/Card/Lot/72829121", "Оказание услуг  по предоставлению горячего, готового  трехразового питания для лиц, содержащихся  в Специальном приемнике для содержания лиц подвергнутых административному аресту , а также административному задержанию МУ МВД России ""Оренбургское""")</f>
        <v>Оказание услуг  по предоставлению горячего, готового  трехразового питания для лиц, содержащихся  в Специальном приемнике для содержания лиц подвергнутых административному аресту , а также административному задержанию МУ МВД России "Оренбургское"</v>
      </c>
      <c r="G6983" s="22" t="s">
        <v>132</v>
      </c>
      <c r="H6983" s="22" t="s">
        <v>587</v>
      </c>
      <c r="I6983" s="26">
        <v>43693.360821759299</v>
      </c>
      <c r="J6983" s="28" t="s">
        <v>51</v>
      </c>
      <c r="K6983" s="28" t="s">
        <v>51</v>
      </c>
      <c r="L6983" s="28" t="s">
        <v>51</v>
      </c>
      <c r="M6983" s="28" t="s">
        <v>51</v>
      </c>
      <c r="N6983" s="28" t="s">
        <v>51</v>
      </c>
    </row>
    <row r="6984" spans="1:14" x14ac:dyDescent="0.15">
      <c r="A6984" s="23" t="str">
        <f>HYPERLINK("https://www.spark-marketing.ru/Card/Person/737290", "ГКУ «ЦБЗ ПРИ МИНЗДРАВЕ КАРЕЛИИ»")</f>
        <v>ГКУ «ЦБЗ ПРИ МИНЗДРАВЕ КАРЕЛИИ»</v>
      </c>
      <c r="B6984" s="24" t="s">
        <v>312</v>
      </c>
      <c r="C6984" s="25">
        <v>82140</v>
      </c>
      <c r="D6984" s="22" t="s">
        <v>10554</v>
      </c>
      <c r="E6984" s="22" t="s">
        <v>52</v>
      </c>
      <c r="F6984" s="23" t="str">
        <f>HYPERLINK("https://www.spark-marketing.ru/Card/Lot/72830424", "Поставка лекарственного препарата Месалазин,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...")</f>
        <v>Поставка лекарственного препарата Месалазин,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...</v>
      </c>
      <c r="G6984" s="22" t="s">
        <v>59</v>
      </c>
      <c r="H6984" s="22" t="s">
        <v>314</v>
      </c>
      <c r="I6984" s="26">
        <v>43692.768692129597</v>
      </c>
      <c r="J6984" s="28" t="s">
        <v>51</v>
      </c>
      <c r="K6984" s="28" t="s">
        <v>51</v>
      </c>
      <c r="L6984" s="28" t="s">
        <v>51</v>
      </c>
      <c r="M6984" s="28" t="s">
        <v>51</v>
      </c>
      <c r="N6984" s="28" t="s">
        <v>51</v>
      </c>
    </row>
    <row r="6985" spans="1:14" x14ac:dyDescent="0.15">
      <c r="A6985" s="23" t="str">
        <f>HYPERLINK("https://www.spark-marketing.ru/Card/Person/3529", "СИБИРСКИЙ ЮРИДИЧЕСКИЙ ИНСТИТУТ МВД РОССИИ, СИБЮИ МВД РОССИИ, СИБИРСКИЙ ЮИ МВД РОССИИ")</f>
        <v>СИБИРСКИЙ ЮРИДИЧЕСКИЙ ИНСТИТУТ МВД РОССИИ, СИБЮИ МВД РОССИИ, СИБИРСКИЙ ЮИ МВД РОССИИ</v>
      </c>
      <c r="B6985" s="24" t="s">
        <v>10555</v>
      </c>
      <c r="C6985" s="25">
        <v>18702133.800000001</v>
      </c>
      <c r="D6985" s="22" t="s">
        <v>10556</v>
      </c>
      <c r="E6985" s="22" t="s">
        <v>48</v>
      </c>
      <c r="F6985" s="23" t="str">
        <f>HYPERLINK("https://www.spark-marketing.ru/Card/Lot/72827568", "Услуги по организации питания")</f>
        <v>Услуги по организации питания</v>
      </c>
      <c r="G6985" s="22" t="s">
        <v>281</v>
      </c>
      <c r="H6985" s="22" t="s">
        <v>281</v>
      </c>
      <c r="I6985" s="26">
        <v>43693.3745486111</v>
      </c>
      <c r="J6985" s="28" t="s">
        <v>51</v>
      </c>
      <c r="K6985" s="28" t="s">
        <v>51</v>
      </c>
      <c r="L6985" s="28" t="s">
        <v>51</v>
      </c>
      <c r="M6985" s="28" t="s">
        <v>51</v>
      </c>
      <c r="N6985" s="28" t="s">
        <v>51</v>
      </c>
    </row>
    <row r="6986" spans="1:14" ht="12.75" hidden="1" outlineLevel="1" x14ac:dyDescent="0.2">
      <c r="A6986" s="23" t="str">
        <f>HYPERLINK("https://www.spark-marketing.ru/Card/Person/3529", "СИБИРСКИЙ ЮРИДИЧЕСКИЙ ИНСТИТУТ МВД РОССИИ, СИБЮИ МВД РОССИИ, СИБИРСКИЙ ЮИ МВД РОССИИ")</f>
        <v>СИБИРСКИЙ ЮРИДИЧЕСКИЙ ИНСТИТУТ МВД РОССИИ, СИБЮИ МВД РОССИИ, СИБИРСКИЙ ЮИ МВД РОССИИ</v>
      </c>
      <c r="B6986" s="24" t="s">
        <v>10555</v>
      </c>
      <c r="C6986" s="25">
        <v>18702133.800000001</v>
      </c>
      <c r="D6986" s="22" t="s">
        <v>10556</v>
      </c>
      <c r="E6986" s="22" t="s">
        <v>48</v>
      </c>
      <c r="F6986" s="23" t="str">
        <f>HYPERLINK("https://www.spark-marketing.ru/Card/Lot/72827568", "Услуги по организации питания")</f>
        <v>Услуги по организации питания</v>
      </c>
      <c r="G6986" s="22" t="s">
        <v>281</v>
      </c>
      <c r="H6986" s="22" t="s">
        <v>281</v>
      </c>
      <c r="I6986" s="26">
        <v>43693.3745486111</v>
      </c>
      <c r="J6986" s="23" t="str">
        <f>HYPERLINK("https://www.spark-marketing.ru/Card/Person/1206441", "ООО ""ФЕНИКС-2016""")</f>
        <v>ООО "ФЕНИКС-2016"</v>
      </c>
      <c r="K6986" s="24" t="s">
        <v>10557</v>
      </c>
      <c r="L6986" s="22" t="s">
        <v>10</v>
      </c>
      <c r="M6986" s="25">
        <v>18608623.129999999</v>
      </c>
      <c r="N6986" s="27">
        <v>5.0000000534698346E-3</v>
      </c>
    </row>
    <row r="6987" spans="1:14" hidden="1" outlineLevel="1" x14ac:dyDescent="0.2">
      <c r="A6987" s="23" t="str">
        <f>HYPERLINK("https://www.spark-marketing.ru/Card/Person/3529", "СИБИРСКИЙ ЮРИДИЧЕСКИЙ ИНСТИТУТ МВД РОССИИ, СИБЮИ МВД РОССИИ, СИБИРСКИЙ ЮИ МВД РОССИИ")</f>
        <v>СИБИРСКИЙ ЮРИДИЧЕСКИЙ ИНСТИТУТ МВД РОССИИ, СИБЮИ МВД РОССИИ, СИБИРСКИЙ ЮИ МВД РОССИИ</v>
      </c>
      <c r="B6987" s="24" t="s">
        <v>10555</v>
      </c>
      <c r="C6987" s="25">
        <v>18702133.800000001</v>
      </c>
      <c r="D6987" s="22" t="s">
        <v>10556</v>
      </c>
      <c r="E6987" s="22" t="s">
        <v>48</v>
      </c>
      <c r="F6987" s="23" t="str">
        <f>HYPERLINK("https://www.spark-marketing.ru/Card/Lot/72827568", "Услуги по организации питания")</f>
        <v>Услуги по организации питания</v>
      </c>
      <c r="G6987" s="22" t="s">
        <v>281</v>
      </c>
      <c r="H6987" s="22" t="s">
        <v>281</v>
      </c>
      <c r="I6987" s="26">
        <v>43693.3745486111</v>
      </c>
      <c r="J6987" s="23" t="str">
        <f>HYPERLINK("https://www.spark-marketing.ru/Card/Person/1842508", "ООО ""БЛЕСК ПЛЮС""")</f>
        <v>ООО "БЛЕСК ПЛЮС"</v>
      </c>
      <c r="K6987" s="24" t="s">
        <v>7445</v>
      </c>
      <c r="L6987" s="28" t="s">
        <v>51</v>
      </c>
      <c r="M6987" s="25">
        <v>18608623.129999999</v>
      </c>
      <c r="N6987" s="27">
        <v>5.0000000534698346E-3</v>
      </c>
    </row>
    <row r="6988" spans="1:14" x14ac:dyDescent="0.15">
      <c r="A6988" s="23" t="str">
        <f>HYPERLINK("https://www.spark-marketing.ru/Card/Person/150291", "МБОУ - ШКОЛА № 35 ГОРОДА ОРЛА")</f>
        <v>МБОУ - ШКОЛА № 35 ГОРОДА ОРЛА</v>
      </c>
      <c r="B6988" s="24" t="s">
        <v>10558</v>
      </c>
      <c r="C6988" s="25">
        <v>402680</v>
      </c>
      <c r="D6988" s="22" t="s">
        <v>10559</v>
      </c>
      <c r="E6988" s="22" t="s">
        <v>51</v>
      </c>
      <c r="F6988" s="23" t="str">
        <f>HYPERLINK("https://www.spark-marketing.ru/Card/Lot/72831051",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988" s="22" t="s">
        <v>1066</v>
      </c>
      <c r="H6988" s="22" t="s">
        <v>2864</v>
      </c>
      <c r="I6988" s="26">
        <v>43692.4999537037</v>
      </c>
      <c r="J6988" s="23" t="str">
        <f>HYPERLINK("https://www.spark-marketing.ru/Card/Person/385389", "ООО ""ОФСАЙД""")</f>
        <v>ООО "ОФСАЙД"</v>
      </c>
      <c r="K6988" s="24" t="s">
        <v>9233</v>
      </c>
      <c r="L6988" s="22" t="s">
        <v>10</v>
      </c>
      <c r="M6988" s="28" t="s">
        <v>51</v>
      </c>
      <c r="N6988" s="28" t="s">
        <v>51</v>
      </c>
    </row>
    <row r="6989" spans="1:14" x14ac:dyDescent="0.15">
      <c r="A6989" s="23" t="str">
        <f>HYPERLINK("https://www.spark-marketing.ru/Card/Person/149642", "МУНИЦИПАЛЬНАЯ БЮДЖЕТНАЯ СРЕДНЯЯ ОБЩЕОБРАЗОВАТЕЛЬНАЯ ШКОЛА № 33 Г. ОРЛА")</f>
        <v>МУНИЦИПАЛЬНАЯ БЮДЖЕТНАЯ СРЕДНЯЯ ОБЩЕОБРАЗОВАТЕЛЬНАЯ ШКОЛА № 33 Г. ОРЛА</v>
      </c>
      <c r="B6989" s="24" t="s">
        <v>10560</v>
      </c>
      <c r="C6989" s="25">
        <v>600282</v>
      </c>
      <c r="D6989" s="22" t="s">
        <v>10561</v>
      </c>
      <c r="E6989" s="22" t="s">
        <v>51</v>
      </c>
      <c r="F6989" s="23" t="str">
        <f>HYPERLINK("https://www.spark-marketing.ru/Card/Lot/72831053",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989" s="22" t="s">
        <v>1066</v>
      </c>
      <c r="H6989" s="22" t="s">
        <v>2864</v>
      </c>
      <c r="I6989" s="26">
        <v>43692.5026967593</v>
      </c>
      <c r="J6989" s="23" t="str">
        <f>HYPERLINK("https://www.spark-marketing.ru/Card/Person/385389", "ООО ""ОФСАЙД""")</f>
        <v>ООО "ОФСАЙД"</v>
      </c>
      <c r="K6989" s="24" t="s">
        <v>9233</v>
      </c>
      <c r="L6989" s="22" t="s">
        <v>10</v>
      </c>
      <c r="M6989" s="28" t="s">
        <v>51</v>
      </c>
      <c r="N6989" s="28" t="s">
        <v>51</v>
      </c>
    </row>
    <row r="6990" spans="1:14" x14ac:dyDescent="0.15">
      <c r="A6990" s="23" t="str">
        <f>HYPERLINK("https://www.spark-marketing.ru/Card/Person/1005799", "МУНИЦИПАЛЬНЫЙ БЮДЖЕТНЫЙ ЛИЦЕЙ №1 Г.ОРЛА")</f>
        <v>МУНИЦИПАЛЬНЫЙ БЮДЖЕТНЫЙ ЛИЦЕЙ №1 Г.ОРЛА</v>
      </c>
      <c r="B6990" s="24" t="s">
        <v>10562</v>
      </c>
      <c r="C6990" s="25">
        <v>697776</v>
      </c>
      <c r="D6990" s="22" t="s">
        <v>10563</v>
      </c>
      <c r="E6990" s="22" t="s">
        <v>51</v>
      </c>
      <c r="F6990" s="23" t="str">
        <f>HYPERLINK("https://www.spark-marketing.ru/Card/Lot/72832065", "Оказание услуги по организации горячего питания учащихся")</f>
        <v>Оказание услуги по организации горячего питания учащихся</v>
      </c>
      <c r="G6990" s="22" t="s">
        <v>1066</v>
      </c>
      <c r="H6990" s="22" t="s">
        <v>1066</v>
      </c>
      <c r="I6990" s="26">
        <v>43693.374305555597</v>
      </c>
      <c r="J6990" s="23" t="str">
        <f>HYPERLINK("https://www.spark-marketing.ru/Card/Person/749746", "МП КАФЕ ""ВСТРЕЧА""")</f>
        <v>МП КАФЕ "ВСТРЕЧА"</v>
      </c>
      <c r="K6990" s="24" t="s">
        <v>10564</v>
      </c>
      <c r="L6990" s="22" t="s">
        <v>10</v>
      </c>
      <c r="M6990" s="28" t="s">
        <v>51</v>
      </c>
      <c r="N6990" s="28" t="s">
        <v>51</v>
      </c>
    </row>
    <row r="6991" spans="1:14" x14ac:dyDescent="0.15">
      <c r="A6991" s="23" t="str">
        <f>HYPERLINK("https://www.spark-marketing.ru/Card/Person/1078653", "МБОУ ""НАЧАЛЬНАЯ ШКОЛА № 5 Г. ГОРНО-АЛТАЙСКА""")</f>
        <v>МБОУ "НАЧАЛЬНАЯ ШКОЛА № 5 Г. ГОРНО-АЛТАЙСКА"</v>
      </c>
      <c r="B6991" s="24" t="s">
        <v>10565</v>
      </c>
      <c r="C6991" s="25">
        <v>554100</v>
      </c>
      <c r="D6991" s="22" t="s">
        <v>10566</v>
      </c>
      <c r="E6991" s="22" t="s">
        <v>48</v>
      </c>
      <c r="F6991" s="23" t="str">
        <f>HYPERLINK("https://www.spark-marketing.ru/Card/Lot/72824672", "Оказание услуг горячего питания для нужд Муниципального бюджетного общеобразовательного учреждения ""НАЧАЛЬНАЯ ОБЩЕОБРАЗОВАТЕЛЬНАЯ ШКОЛА № 5 ГОРОДА ГОРНО-АЛТАЙСКА""")</f>
        <v>Оказание услуг горячего питания для нужд Муниципального бюджетного общеобразовательного учреждения "НАЧАЛЬНАЯ ОБЩЕОБРАЗОВАТЕЛЬНАЯ ШКОЛА № 5 ГОРОДА ГОРНО-АЛТАЙСКА"</v>
      </c>
      <c r="G6991" s="22" t="s">
        <v>1141</v>
      </c>
      <c r="H6991" s="22" t="s">
        <v>1141</v>
      </c>
      <c r="I6991" s="26">
        <v>43692.743483796301</v>
      </c>
      <c r="J6991" s="23" t="str">
        <f>HYPERLINK("https://www.spark-marketing.ru/Card/Person/930943", "ООО ""ШКОЛЬНИК""")</f>
        <v>ООО "ШКОЛЬНИК"</v>
      </c>
      <c r="K6991" s="24" t="s">
        <v>10567</v>
      </c>
      <c r="L6991" s="22" t="s">
        <v>10</v>
      </c>
      <c r="M6991" s="28" t="s">
        <v>51</v>
      </c>
      <c r="N6991" s="28" t="s">
        <v>51</v>
      </c>
    </row>
    <row r="6992" spans="1:14" x14ac:dyDescent="0.15">
      <c r="A6992" s="23" t="str">
        <f>HYPERLINK("https://www.spark-marketing.ru/Card/Person/89679", "МУНИЦИПАЛЬНАЯ БЮДЖЕТНАЯ СРЕДНЯЯ ОБЩЕОБРАЗОВАТЕЛЬНАЯ ШКОЛА № 15 Г. ОРЛА")</f>
        <v>МУНИЦИПАЛЬНАЯ БЮДЖЕТНАЯ СРЕДНЯЯ ОБЩЕОБРАЗОВАТЕЛЬНАЯ ШКОЛА № 15 Г. ОРЛА</v>
      </c>
      <c r="B6992" s="24" t="s">
        <v>10568</v>
      </c>
      <c r="C6992" s="25">
        <v>389814</v>
      </c>
      <c r="D6992" s="22" t="s">
        <v>10569</v>
      </c>
      <c r="E6992" s="22" t="s">
        <v>51</v>
      </c>
      <c r="F6992" s="23" t="str">
        <f>HYPERLINK("https://www.spark-marketing.ru/Card/Lot/72831046",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6992" s="22" t="s">
        <v>1066</v>
      </c>
      <c r="H6992" s="22" t="s">
        <v>1066</v>
      </c>
      <c r="I6992" s="26">
        <v>43692.432222222204</v>
      </c>
      <c r="J6992" s="23" t="str">
        <f>HYPERLINK("https://www.spark-marketing.ru/Card/Person/6690794", "ООО ""ШКОЛЬНОЕ ПИТАНИЕ""")</f>
        <v>ООО "ШКОЛЬНОЕ ПИТАНИЕ"</v>
      </c>
      <c r="K6992" s="24" t="s">
        <v>8906</v>
      </c>
      <c r="L6992" s="22" t="s">
        <v>10</v>
      </c>
      <c r="M6992" s="28" t="s">
        <v>51</v>
      </c>
      <c r="N6992" s="28" t="s">
        <v>51</v>
      </c>
    </row>
    <row r="6993" spans="1:14" x14ac:dyDescent="0.15">
      <c r="A6993" s="23" t="str">
        <f>HYPERLINK("https://www.spark-marketing.ru/Card/Person/136612", "МУНИЦИПАЛЬНАЯ БЮДЖЕТНАЯ СРЕДНЯЯ ОБЩЕОБРАЗОВАТЕЛЬНАЯ ШКОЛА №12 Г.ОРЛА")</f>
        <v>МУНИЦИПАЛЬНАЯ БЮДЖЕТНАЯ СРЕДНЯЯ ОБЩЕОБРАЗОВАТЕЛЬНАЯ ШКОЛА №12 Г.ОРЛА</v>
      </c>
      <c r="B6993" s="24" t="s">
        <v>10570</v>
      </c>
      <c r="C6993" s="25">
        <v>606778</v>
      </c>
      <c r="D6993" s="22" t="s">
        <v>10571</v>
      </c>
      <c r="E6993" s="22" t="s">
        <v>51</v>
      </c>
      <c r="F6993" s="23" t="str">
        <f>HYPERLINK("https://www.spark-marketing.ru/Card/Lot/72831024", "оказание услуг по организации питания учащихся. включающее приготовление и поставку готовых блюд")</f>
        <v>оказание услуг по организации питания учащихся. включающее приготовление и поставку готовых блюд</v>
      </c>
      <c r="G6993" s="22" t="s">
        <v>1066</v>
      </c>
      <c r="H6993" s="22" t="s">
        <v>1066</v>
      </c>
      <c r="I6993" s="26">
        <v>43692.686400462997</v>
      </c>
      <c r="J6993" s="23" t="str">
        <f>HYPERLINK("https://www.spark-marketing.ru/Card/Person/385389", "ООО ""ОФСАЙД""")</f>
        <v>ООО "ОФСАЙД"</v>
      </c>
      <c r="K6993" s="24" t="s">
        <v>9233</v>
      </c>
      <c r="L6993" s="22" t="s">
        <v>10</v>
      </c>
      <c r="M6993" s="28" t="s">
        <v>51</v>
      </c>
      <c r="N6993" s="28" t="s">
        <v>51</v>
      </c>
    </row>
    <row r="6994" spans="1:14" x14ac:dyDescent="0.15">
      <c r="A6994" s="23" t="str">
        <f>HYPERLINK("https://www.spark-marketing.ru/Card/Person/373563", "МО МВД РОССИИ ""КАРАСУКСКИЙ""")</f>
        <v>МО МВД РОССИИ "КАРАСУКСКИЙ"</v>
      </c>
      <c r="B6994" s="24" t="s">
        <v>10572</v>
      </c>
      <c r="C6994" s="25">
        <v>650000</v>
      </c>
      <c r="D6994" s="22" t="s">
        <v>10573</v>
      </c>
      <c r="E6994" s="22" t="s">
        <v>48</v>
      </c>
      <c r="F6994" s="23" t="str">
        <f>HYPERLINK("https://www.spark-marketing.ru/Card/Lot/72824582", "Оказание услуг по организации горячего, трехразового питания для лиц содержащихся в ИВС МО МВД России ""Карасукский""")</f>
        <v>Оказание услуг по организации горячего, трехразового питания для лиц содержащихся в ИВС МО МВД России "Карасукский"</v>
      </c>
      <c r="G6994" s="22" t="s">
        <v>195</v>
      </c>
      <c r="H6994" s="22" t="s">
        <v>195</v>
      </c>
      <c r="I6994" s="26">
        <v>43692.693159722199</v>
      </c>
      <c r="J6994" s="23" t="str">
        <f>HYPERLINK("https://www.spark-marketing.ru/Card/Person/1395973", "Буяльская Марина Петровна")</f>
        <v>Буяльская Марина Петровна</v>
      </c>
      <c r="K6994" s="24" t="s">
        <v>2803</v>
      </c>
      <c r="L6994" s="22" t="s">
        <v>10</v>
      </c>
      <c r="M6994" s="28" t="s">
        <v>51</v>
      </c>
      <c r="N6994" s="28" t="s">
        <v>51</v>
      </c>
    </row>
    <row r="6995" spans="1:14" x14ac:dyDescent="0.15">
      <c r="A6995" s="23" t="str">
        <f>HYPERLINK("https://www.spark-marketing.ru/Card/Person/373563", "МО МВД РОССИИ ""КАРАСУКСКИЙ""")</f>
        <v>МО МВД РОССИИ "КАРАСУКСКИЙ"</v>
      </c>
      <c r="B6995" s="24" t="s">
        <v>10572</v>
      </c>
      <c r="C6995" s="25">
        <v>500000</v>
      </c>
      <c r="D6995" s="22" t="s">
        <v>10574</v>
      </c>
      <c r="E6995" s="22" t="s">
        <v>48</v>
      </c>
      <c r="F6995" s="23" t="str">
        <f>HYPERLINK("https://www.spark-marketing.ru/Card/Lot/72826562", "Оказание услуг по организации горячего, трехразового питания для лиц содержащихся в ИВС МО МВД России ""Карасукский""")</f>
        <v>Оказание услуг по организации горячего, трехразового питания для лиц содержащихся в ИВС МО МВД России "Карасукский"</v>
      </c>
      <c r="G6995" s="22" t="s">
        <v>195</v>
      </c>
      <c r="H6995" s="22" t="s">
        <v>195</v>
      </c>
      <c r="I6995" s="26">
        <v>43692.701921296299</v>
      </c>
      <c r="J6995" s="23" t="str">
        <f>HYPERLINK("https://www.spark-marketing.ru/Card/Person/1395973", "Буяльская Марина Петровна")</f>
        <v>Буяльская Марина Петровна</v>
      </c>
      <c r="K6995" s="24" t="s">
        <v>2803</v>
      </c>
      <c r="L6995" s="22" t="s">
        <v>10</v>
      </c>
      <c r="M6995" s="28" t="s">
        <v>51</v>
      </c>
      <c r="N6995" s="28" t="s">
        <v>51</v>
      </c>
    </row>
    <row r="6996" spans="1:14" x14ac:dyDescent="0.15">
      <c r="A6996" s="23" t="str">
        <f>HYPERLINK("https://www.spark-marketing.ru/Card/Person/238601", "МУНИЦИПАЛЬНАЯ БЮДЖЕТНАЯ ГИМНАЗИЯ № 19 Г. ОРЛА")</f>
        <v>МУНИЦИПАЛЬНАЯ БЮДЖЕТНАЯ ГИМНАЗИЯ № 19 Г. ОРЛА</v>
      </c>
      <c r="B6996" s="24" t="s">
        <v>10575</v>
      </c>
      <c r="C6996" s="25">
        <v>830160</v>
      </c>
      <c r="D6996" s="22" t="s">
        <v>10576</v>
      </c>
      <c r="E6996" s="22" t="s">
        <v>51</v>
      </c>
      <c r="F6996" s="23" t="str">
        <f>HYPERLINK("https://www.spark-marketing.ru/Card/Lot/72831012", "Оказание услуги по организации горячего питания учащихся")</f>
        <v>Оказание услуги по организации горячего питания учащихся</v>
      </c>
      <c r="G6996" s="22" t="s">
        <v>1066</v>
      </c>
      <c r="H6996" s="22" t="s">
        <v>1066</v>
      </c>
      <c r="I6996" s="26">
        <v>43692.659664351799</v>
      </c>
      <c r="J6996" s="23" t="str">
        <f>HYPERLINK("https://www.spark-marketing.ru/Card/Person/749746", "МП КАФЕ ""ВСТРЕЧА""")</f>
        <v>МП КАФЕ "ВСТРЕЧА"</v>
      </c>
      <c r="K6996" s="24" t="s">
        <v>10564</v>
      </c>
      <c r="L6996" s="22" t="s">
        <v>10</v>
      </c>
      <c r="M6996" s="28" t="s">
        <v>51</v>
      </c>
      <c r="N6996" s="28" t="s">
        <v>51</v>
      </c>
    </row>
    <row r="6997" spans="1:14" x14ac:dyDescent="0.15">
      <c r="A6997" s="23" t="str">
        <f>HYPERLINK("https://www.spark-marketing.ru/Card/Person/91032", "МБОУ -СОШ №6 Г.ОРЛА")</f>
        <v>МБОУ -СОШ №6 Г.ОРЛА</v>
      </c>
      <c r="B6997" s="24" t="s">
        <v>10577</v>
      </c>
      <c r="C6997" s="25">
        <v>422560</v>
      </c>
      <c r="D6997" s="22" t="s">
        <v>10578</v>
      </c>
      <c r="E6997" s="22" t="s">
        <v>51</v>
      </c>
      <c r="F6997" s="23" t="str">
        <f>HYPERLINK("https://www.spark-marketing.ru/Card/Lot/72831045", "Оказание услуги по организации горячего питания учащихся")</f>
        <v>Оказание услуги по организации горячего питания учащихся</v>
      </c>
      <c r="G6997" s="22" t="s">
        <v>1066</v>
      </c>
      <c r="H6997" s="22" t="s">
        <v>1066</v>
      </c>
      <c r="I6997" s="26">
        <v>43692.417476851799</v>
      </c>
      <c r="J6997" s="23" t="str">
        <f>HYPERLINK("https://www.spark-marketing.ru/Card/Person/6690794", "ООО ""ШКОЛЬНОЕ ПИТАНИЕ""")</f>
        <v>ООО "ШКОЛЬНОЕ ПИТАНИЕ"</v>
      </c>
      <c r="K6997" s="24" t="s">
        <v>8906</v>
      </c>
      <c r="L6997" s="22" t="s">
        <v>10</v>
      </c>
      <c r="M6997" s="28" t="s">
        <v>51</v>
      </c>
      <c r="N6997" s="28" t="s">
        <v>51</v>
      </c>
    </row>
    <row r="6998" spans="1:14" x14ac:dyDescent="0.15">
      <c r="A6998" s="23" t="str">
        <f>HYPERLINK("https://www.spark-marketing.ru/Card/Person/134432", "МБОУ СОШ № 58")</f>
        <v>МБОУ СОШ № 58</v>
      </c>
      <c r="B6998" s="24" t="s">
        <v>10579</v>
      </c>
      <c r="C6998" s="25">
        <v>50320</v>
      </c>
      <c r="D6998" s="22" t="s">
        <v>10580</v>
      </c>
      <c r="E6998" s="22" t="s">
        <v>48</v>
      </c>
      <c r="F6998" s="23" t="str">
        <f>HYPERLINK("https://www.spark-marketing.ru/Card/Lot/72827968", "оказание услуг по организации горячего питания обучающихся в муниципальных общеобразовательных учреждениях")</f>
        <v>оказание услуг по организации горячего питания обучающихся в муниципальных общеобразовательных учреждениях</v>
      </c>
      <c r="G6998" s="22" t="s">
        <v>195</v>
      </c>
      <c r="H6998" s="22" t="s">
        <v>196</v>
      </c>
      <c r="I6998" s="26">
        <v>43693.318749999999</v>
      </c>
      <c r="J6998" s="28" t="s">
        <v>51</v>
      </c>
      <c r="K6998" s="28" t="s">
        <v>51</v>
      </c>
      <c r="L6998" s="28" t="s">
        <v>51</v>
      </c>
      <c r="M6998" s="28" t="s">
        <v>51</v>
      </c>
      <c r="N6998" s="28" t="s">
        <v>51</v>
      </c>
    </row>
    <row r="6999" spans="1:14" x14ac:dyDescent="0.15">
      <c r="A6999" s="23" t="str">
        <f>HYPERLINK("https://www.spark-marketing.ru/Card/Person/134432", "МБОУ СОШ № 58")</f>
        <v>МБОУ СОШ № 58</v>
      </c>
      <c r="B6999" s="24" t="s">
        <v>10579</v>
      </c>
      <c r="C6999" s="25">
        <v>357000</v>
      </c>
      <c r="D6999" s="22" t="s">
        <v>10581</v>
      </c>
      <c r="E6999" s="22" t="s">
        <v>48</v>
      </c>
      <c r="F6999" s="23" t="str">
        <f>HYPERLINK("https://www.spark-marketing.ru/Card/Lot/72827912", "оказание услуг по организации горячего питания обучающихся в муниципальных общеобразовательных учреждениях")</f>
        <v>оказание услуг по организации горячего питания обучающихся в муниципальных общеобразовательных учреждениях</v>
      </c>
      <c r="G6999" s="22" t="s">
        <v>195</v>
      </c>
      <c r="H6999" s="22" t="s">
        <v>196</v>
      </c>
      <c r="I6999" s="26">
        <v>43693.317361111098</v>
      </c>
      <c r="J6999" s="28" t="s">
        <v>51</v>
      </c>
      <c r="K6999" s="28" t="s">
        <v>51</v>
      </c>
      <c r="L6999" s="28" t="s">
        <v>51</v>
      </c>
      <c r="M6999" s="28" t="s">
        <v>51</v>
      </c>
      <c r="N6999" s="28" t="s">
        <v>51</v>
      </c>
    </row>
    <row r="7000" spans="1:14" x14ac:dyDescent="0.15">
      <c r="A7000" s="23" t="str">
        <f>HYPERLINK("https://www.spark-marketing.ru/Card/Person/103323", "КГБПОУ ""АЛТАЙСКИЙ ПОЛИТЕХНИЧЕСКИЙ ТЕХНИКУМ""")</f>
        <v>КГБПОУ "АЛТАЙСКИЙ ПОЛИТЕХНИЧЕСКИЙ ТЕХНИКУМ"</v>
      </c>
      <c r="B7000" s="24" t="s">
        <v>10348</v>
      </c>
      <c r="C7000" s="25">
        <v>103710</v>
      </c>
      <c r="D7000" s="22" t="s">
        <v>10582</v>
      </c>
      <c r="E7000" s="22" t="s">
        <v>1617</v>
      </c>
      <c r="F7000" s="23" t="str">
        <f>HYPERLINK("https://www.spark-marketing.ru/Card/Lot/72827910",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7000" s="22" t="s">
        <v>63</v>
      </c>
      <c r="H7000" s="22" t="s">
        <v>177</v>
      </c>
      <c r="I7000" s="26">
        <v>43693.316666666702</v>
      </c>
      <c r="J7000" s="28" t="s">
        <v>51</v>
      </c>
      <c r="K7000" s="28" t="s">
        <v>51</v>
      </c>
      <c r="L7000" s="28" t="s">
        <v>51</v>
      </c>
      <c r="M7000" s="28" t="s">
        <v>51</v>
      </c>
      <c r="N7000" s="28" t="s">
        <v>51</v>
      </c>
    </row>
    <row r="7001" spans="1:14" x14ac:dyDescent="0.15">
      <c r="A7001" s="23" t="str">
        <f>HYPERLINK("https://www.spark-marketing.ru/Card/Person/102549", "КГБОУ ""МАРАЛИХИНСКАЯ ОБЩЕОБРАЗОВАТЕЛЬНАЯ ШКОЛА-ИНТЕРНАТ""")</f>
        <v>КГБОУ "МАРАЛИХИНСКАЯ ОБЩЕОБРАЗОВАТЕЛЬНАЯ ШКОЛА-ИНТЕРНАТ"</v>
      </c>
      <c r="B7001" s="24" t="s">
        <v>10022</v>
      </c>
      <c r="C7001" s="25">
        <v>19370.52</v>
      </c>
      <c r="D7001" s="22" t="s">
        <v>10583</v>
      </c>
      <c r="E7001" s="22" t="s">
        <v>10584</v>
      </c>
      <c r="F7001" s="23" t="str">
        <f>HYPERLINK("https://www.spark-marketing.ru/Card/Lot/72827894", "(244)Товары, работы или услуги на сумму, не превышающие 100 тыс. руб. (п.4 ч.1 ст.93 44-ФЗ)")</f>
        <v>(244)Товары, работы или услуги на сумму, не превышающие 100 тыс. руб. (п.4 ч.1 ст.93 44-ФЗ)</v>
      </c>
      <c r="G7001" s="22" t="s">
        <v>63</v>
      </c>
      <c r="H7001" s="22" t="s">
        <v>10024</v>
      </c>
      <c r="I7001" s="26">
        <v>43693.307638888902</v>
      </c>
      <c r="J7001" s="28" t="s">
        <v>51</v>
      </c>
      <c r="K7001" s="28" t="s">
        <v>51</v>
      </c>
      <c r="L7001" s="28" t="s">
        <v>51</v>
      </c>
      <c r="M7001" s="28" t="s">
        <v>51</v>
      </c>
      <c r="N7001" s="28" t="s">
        <v>51</v>
      </c>
    </row>
    <row r="7002" spans="1:14" x14ac:dyDescent="0.15">
      <c r="A7002" s="23" t="str">
        <f>HYPERLINK("https://www.spark-marketing.ru/Card/Person/1014078", "БОУ Г. ОМСКА ""ЛИЦЕЙ № 66""")</f>
        <v>БОУ Г. ОМСКА "ЛИЦЕЙ № 66"</v>
      </c>
      <c r="B7002" s="24" t="s">
        <v>10585</v>
      </c>
      <c r="C7002" s="25">
        <v>33180</v>
      </c>
      <c r="D7002" s="22" t="s">
        <v>10586</v>
      </c>
      <c r="E7002" s="22" t="s">
        <v>48</v>
      </c>
      <c r="F7002" s="23" t="str">
        <f>HYPERLINK("https://www.spark-marketing.ru/Card/Lot/72827406", "Услуги по организации питания обучающихся")</f>
        <v>Услуги по организации питания обучающихся</v>
      </c>
      <c r="G7002" s="22" t="s">
        <v>487</v>
      </c>
      <c r="H7002" s="22" t="s">
        <v>488</v>
      </c>
      <c r="I7002" s="26">
        <v>43693.275000000001</v>
      </c>
      <c r="J7002" s="28" t="s">
        <v>51</v>
      </c>
      <c r="K7002" s="28" t="s">
        <v>51</v>
      </c>
      <c r="L7002" s="28" t="s">
        <v>51</v>
      </c>
      <c r="M7002" s="28" t="s">
        <v>51</v>
      </c>
      <c r="N7002" s="28" t="s">
        <v>51</v>
      </c>
    </row>
    <row r="7003" spans="1:14" x14ac:dyDescent="0.15">
      <c r="A7003" s="23" t="str">
        <f>HYPERLINK("https://www.spark-marketing.ru/Card/Person/1014078", "БОУ Г. ОМСКА ""ЛИЦЕЙ № 66""")</f>
        <v>БОУ Г. ОМСКА "ЛИЦЕЙ № 66"</v>
      </c>
      <c r="B7003" s="24" t="s">
        <v>10585</v>
      </c>
      <c r="C7003" s="25">
        <v>25000</v>
      </c>
      <c r="D7003" s="22" t="s">
        <v>10587</v>
      </c>
      <c r="E7003" s="22" t="s">
        <v>48</v>
      </c>
      <c r="F7003" s="23" t="str">
        <f>HYPERLINK("https://www.spark-marketing.ru/Card/Lot/72827423", "Услуги по организации питания обучающихся")</f>
        <v>Услуги по организации питания обучающихся</v>
      </c>
      <c r="G7003" s="22" t="s">
        <v>487</v>
      </c>
      <c r="H7003" s="22" t="s">
        <v>488</v>
      </c>
      <c r="I7003" s="26">
        <v>43693.283333333296</v>
      </c>
      <c r="J7003" s="28" t="s">
        <v>51</v>
      </c>
      <c r="K7003" s="28" t="s">
        <v>51</v>
      </c>
      <c r="L7003" s="28" t="s">
        <v>51</v>
      </c>
      <c r="M7003" s="28" t="s">
        <v>51</v>
      </c>
      <c r="N7003" s="28" t="s">
        <v>51</v>
      </c>
    </row>
    <row r="7004" spans="1:14" x14ac:dyDescent="0.15">
      <c r="A7004" s="23" t="str">
        <f>HYPERLINK("https://www.spark-marketing.ru/Card/Person/103323", "КГБПОУ ""АЛТАЙСКИЙ ПОЛИТЕХНИЧЕСКИЙ ТЕХНИКУМ""")</f>
        <v>КГБПОУ "АЛТАЙСКИЙ ПОЛИТЕХНИЧЕСКИЙ ТЕХНИКУМ"</v>
      </c>
      <c r="B7004" s="24" t="s">
        <v>10348</v>
      </c>
      <c r="C7004" s="25">
        <v>58200.55</v>
      </c>
      <c r="D7004" s="22" t="s">
        <v>10588</v>
      </c>
      <c r="E7004" s="22" t="s">
        <v>10589</v>
      </c>
      <c r="F7004" s="23" t="str">
        <f>HYPERLINK("https://www.spark-marketing.ru/Card/Lot/72826552", "(000)Товары, работы или услуги на сумму, не превышающую 100 тыс. руб. (п.4 ч.1 ст.93 Федерального закона №44-ФЗ)")</f>
        <v>(000)Товары, работы или услуги на сумму, не превышающую 100 тыс. руб. (п.4 ч.1 ст.93 Федерального закона №44-ФЗ)</v>
      </c>
      <c r="G7004" s="22" t="s">
        <v>63</v>
      </c>
      <c r="H7004" s="22" t="s">
        <v>177</v>
      </c>
      <c r="I7004" s="26">
        <v>43693.251388888901</v>
      </c>
      <c r="J7004" s="28" t="s">
        <v>51</v>
      </c>
      <c r="K7004" s="28" t="s">
        <v>51</v>
      </c>
      <c r="L7004" s="28" t="s">
        <v>51</v>
      </c>
      <c r="M7004" s="28" t="s">
        <v>51</v>
      </c>
      <c r="N7004" s="28" t="s">
        <v>51</v>
      </c>
    </row>
    <row r="7005" spans="1:14" x14ac:dyDescent="0.15">
      <c r="A7005" s="23" t="str">
        <f>HYPERLINK("https://www.spark-marketing.ru/Card/Person/103323", "КГБПОУ ""АЛТАЙСКИЙ ПОЛИТЕХНИЧЕСКИЙ ТЕХНИКУМ""")</f>
        <v>КГБПОУ "АЛТАЙСКИЙ ПОЛИТЕХНИЧЕСКИЙ ТЕХНИКУМ"</v>
      </c>
      <c r="B7005" s="24" t="s">
        <v>10348</v>
      </c>
      <c r="C7005" s="25">
        <v>67299.8</v>
      </c>
      <c r="D7005" s="22" t="s">
        <v>10590</v>
      </c>
      <c r="E7005" s="22" t="s">
        <v>10059</v>
      </c>
      <c r="F7005" s="23" t="str">
        <f>HYPERLINK("https://www.spark-marketing.ru/Card/Lot/72824877", "(000)Товары, работы или услуги на сумму, не превышающую 100 тыс. руб. (п.4 ч.1 ст.93 Федерального закона №44-ФЗ)")</f>
        <v>(000)Товары, работы или услуги на сумму, не превышающую 100 тыс. руб. (п.4 ч.1 ст.93 Федерального закона №44-ФЗ)</v>
      </c>
      <c r="G7005" s="22" t="s">
        <v>63</v>
      </c>
      <c r="H7005" s="22" t="s">
        <v>177</v>
      </c>
      <c r="I7005" s="26">
        <v>43693.204861111102</v>
      </c>
      <c r="J7005" s="28" t="s">
        <v>51</v>
      </c>
      <c r="K7005" s="28" t="s">
        <v>51</v>
      </c>
      <c r="L7005" s="28" t="s">
        <v>51</v>
      </c>
      <c r="M7005" s="28" t="s">
        <v>51</v>
      </c>
      <c r="N7005" s="28" t="s">
        <v>51</v>
      </c>
    </row>
    <row r="7006" spans="1:14" x14ac:dyDescent="0.15">
      <c r="A7006" s="23" t="str">
        <f>HYPERLINK("https://www.spark-marketing.ru/Card/Person/430969", "АО ""ТРАНСНЕФТЬ - УРАЛ""")</f>
        <v>АО "ТРАНСНЕФТЬ - УРАЛ"</v>
      </c>
      <c r="B7006" s="24" t="s">
        <v>10591</v>
      </c>
      <c r="C7006" s="25">
        <v>921692.16000000003</v>
      </c>
      <c r="D7006" s="22" t="s">
        <v>10592</v>
      </c>
      <c r="E7006" s="22" t="s">
        <v>362</v>
      </c>
      <c r="F7006" s="23" t="str">
        <f>HYPERLINK("https://www.spark-marketing.ru/Card/Lot/72833724", "2600-M05-К-Y12-02908-2019 «Оказание услуг по организации горячего питания работников СУПЛАВ (филиал АО «Транснефть-Урал»)»")</f>
        <v>2600-M05-К-Y12-02908-2019 «Оказание услуг по организации горячего питания работников СУПЛАВ (филиал АО «Транснефть-Урал»)»</v>
      </c>
      <c r="G7006" s="22" t="s">
        <v>145</v>
      </c>
      <c r="H7006" s="22" t="s">
        <v>436</v>
      </c>
      <c r="I7006" s="26">
        <v>43693</v>
      </c>
      <c r="J7006" s="28" t="s">
        <v>51</v>
      </c>
      <c r="K7006" s="28" t="s">
        <v>51</v>
      </c>
      <c r="L7006" s="22" t="s">
        <v>10</v>
      </c>
      <c r="M7006" s="28" t="s">
        <v>51</v>
      </c>
      <c r="N7006" s="28" t="s">
        <v>51</v>
      </c>
    </row>
    <row r="7007" spans="1:14" x14ac:dyDescent="0.2">
      <c r="A7007" s="23" t="str">
        <f>HYPERLINK("https://www.spark-marketing.ru/Card/Person/102476", "МБУДО ""СОБ""МЕРИДИАН""")</f>
        <v>МБУДО "СОБ"МЕРИДИАН"</v>
      </c>
      <c r="B7007" s="24" t="s">
        <v>10593</v>
      </c>
      <c r="C7007" s="25">
        <v>105000</v>
      </c>
      <c r="D7007" s="22" t="s">
        <v>10594</v>
      </c>
      <c r="E7007" s="22" t="s">
        <v>362</v>
      </c>
      <c r="F7007" s="23" t="str">
        <f>HYPERLINK("https://www.spark-marketing.ru/Card/Lot/72856967", "Оказание услуг по организации питания участников ""Республиканского туристического слета учащихся"".")</f>
        <v>Оказание услуг по организации питания участников "Республиканского туристического слета учащихся".</v>
      </c>
      <c r="G7007" s="22" t="s">
        <v>281</v>
      </c>
      <c r="H7007" s="22" t="s">
        <v>281</v>
      </c>
      <c r="I7007" s="26">
        <v>43693</v>
      </c>
      <c r="J7007" s="28" t="s">
        <v>51</v>
      </c>
      <c r="K7007" s="28" t="s">
        <v>51</v>
      </c>
      <c r="L7007" s="22" t="s">
        <v>10</v>
      </c>
      <c r="M7007" s="25">
        <v>105000</v>
      </c>
      <c r="N7007" s="27">
        <v>0</v>
      </c>
    </row>
    <row r="7008" spans="1:14" x14ac:dyDescent="0.15">
      <c r="A7008" s="23" t="str">
        <f>HYPERLINK("https://www.spark-marketing.ru/Card/Person/1390375", "ФГАУ ""УПРАВЛЕНИЕ СПОРТМЕРОПРИЯТИЙ""")</f>
        <v>ФГАУ "УПРАВЛЕНИЕ СПОРТМЕРОПРИЯТИЙ"</v>
      </c>
      <c r="B7008" s="24" t="s">
        <v>2632</v>
      </c>
      <c r="C7008" s="25">
        <v>7480000</v>
      </c>
      <c r="D7008" s="22" t="s">
        <v>10595</v>
      </c>
      <c r="E7008" s="22" t="s">
        <v>769</v>
      </c>
      <c r="F7008" s="23" t="str">
        <f>HYPERLINK("https://www.spark-marketing.ru/Card/Lot/72842701", "Оказание услуг по организации проживания и питания участников V Всероссийской спартакиады среди трудящихся")</f>
        <v>Оказание услуг по организации проживания и питания участников V Всероссийской спартакиады среди трудящихся</v>
      </c>
      <c r="G7008" s="22" t="s">
        <v>1370</v>
      </c>
      <c r="H7008" s="22" t="s">
        <v>1370</v>
      </c>
      <c r="I7008" s="26">
        <v>43693</v>
      </c>
      <c r="J7008" s="28" t="s">
        <v>51</v>
      </c>
      <c r="K7008" s="28" t="s">
        <v>51</v>
      </c>
      <c r="L7008" s="28" t="s">
        <v>51</v>
      </c>
      <c r="M7008" s="28" t="s">
        <v>51</v>
      </c>
      <c r="N7008" s="28" t="s">
        <v>51</v>
      </c>
    </row>
    <row r="7009" spans="1:14" x14ac:dyDescent="0.2">
      <c r="A7009" s="23" t="str">
        <f>HYPERLINK("https://www.spark-marketing.ru/Card/Person/257794", "МБДОУ ""Д/С ""СОЛНЫШКО"" С. НОВОНИКОЛЬСК""")</f>
        <v>МБДОУ "Д/С "СОЛНЫШКО" С. НОВОНИКОЛЬСК"</v>
      </c>
      <c r="B7009" s="24" t="s">
        <v>10596</v>
      </c>
      <c r="C7009" s="25">
        <v>55192.800000000003</v>
      </c>
      <c r="D7009" s="22" t="s">
        <v>10597</v>
      </c>
      <c r="E7009" s="22" t="s">
        <v>52</v>
      </c>
      <c r="F7009" s="23" t="str">
        <f>HYPERLINK("https://www.spark-marketing.ru/Card/Lot/73785753", "Услуги по организации питания")</f>
        <v>Услуги по организации питания</v>
      </c>
      <c r="G7009" s="22" t="s">
        <v>217</v>
      </c>
      <c r="H7009" s="22" t="s">
        <v>9294</v>
      </c>
      <c r="I7009" s="26">
        <v>43693.457638888904</v>
      </c>
      <c r="J7009" s="28" t="s">
        <v>51</v>
      </c>
      <c r="K7009" s="28" t="s">
        <v>51</v>
      </c>
      <c r="L7009" s="28" t="s">
        <v>51</v>
      </c>
      <c r="M7009" s="25">
        <v>55192.800000000003</v>
      </c>
      <c r="N7009" s="27">
        <v>0</v>
      </c>
    </row>
    <row r="7010" spans="1:14" x14ac:dyDescent="0.15">
      <c r="A7010" s="23" t="str">
        <f>HYPERLINK("https://www.spark-marketing.ru/Card/Person/615426", "ГАУ КО СШОР ""ОРЛЕНОК""")</f>
        <v>ГАУ КО СШОР "ОРЛЕНОК"</v>
      </c>
      <c r="B7010" s="24" t="s">
        <v>10598</v>
      </c>
      <c r="C7010" s="25">
        <v>495000</v>
      </c>
      <c r="D7010" s="22" t="s">
        <v>10599</v>
      </c>
      <c r="E7010" s="22" t="s">
        <v>362</v>
      </c>
      <c r="F7010" s="23" t="str">
        <f>HYPERLINK("https://www.spark-marketing.ru/Card/Lot/72858192", "Предоставление услуг по обеспечению горячим питанием (завтрак (в том числе свежий фрукт), обед, полдник, ужин, ужин-2) проживающих в ГАУ КО СШОР «Орленок» (в т.ч. детей)")</f>
        <v>Предоставление услуг по обеспечению горячим питанием (завтрак (в том числе свежий фрукт), обед, полдник, ужин, ужин-2) проживающих в ГАУ КО СШОР «Орленок» (в т.ч. детей)</v>
      </c>
      <c r="G7010" s="22" t="s">
        <v>112</v>
      </c>
      <c r="H7010" s="22" t="s">
        <v>112</v>
      </c>
      <c r="I7010" s="26">
        <v>43693</v>
      </c>
      <c r="J7010" s="28" t="s">
        <v>51</v>
      </c>
      <c r="K7010" s="28" t="s">
        <v>51</v>
      </c>
      <c r="L7010" s="28" t="s">
        <v>51</v>
      </c>
      <c r="M7010" s="28" t="s">
        <v>51</v>
      </c>
      <c r="N7010" s="28" t="s">
        <v>51</v>
      </c>
    </row>
    <row r="7011" spans="1:14" x14ac:dyDescent="0.15">
      <c r="A7011" s="23" t="str">
        <f>HYPERLINK("https://www.spark-marketing.ru/Card/Person/953086", "ГБУ ДО ""КЦЭТК""")</f>
        <v>ГБУ ДО "КЦЭТК"</v>
      </c>
      <c r="B7011" s="24" t="s">
        <v>10600</v>
      </c>
      <c r="C7011" s="25">
        <v>560000</v>
      </c>
      <c r="D7011" s="22" t="s">
        <v>10601</v>
      </c>
      <c r="E7011" s="22" t="s">
        <v>362</v>
      </c>
      <c r="F7011" s="23" t="str">
        <f>HYPERLINK("https://www.spark-marketing.ru/Card/Lot/72837180", "Оказание услуг по организации горячим питанием детей филиала ГБУ ДО «КЦЭТК» - детский оздоровительно-образовательный центр «Солнечный» в период с 16 августа 2019 года по 29 августа 2019 года включительно")</f>
        <v>Оказание услуг по организации горячим питанием детей филиала ГБУ ДО «КЦЭТК» - детский оздоровительно-образовательный центр «Солнечный» в период с 16 августа 2019 года по 29 августа 2019 года включительно</v>
      </c>
      <c r="G7011" s="22" t="s">
        <v>87</v>
      </c>
      <c r="H7011" s="22" t="s">
        <v>87</v>
      </c>
      <c r="I7011" s="26">
        <v>43693</v>
      </c>
      <c r="J7011" s="28" t="s">
        <v>51</v>
      </c>
      <c r="K7011" s="28" t="s">
        <v>51</v>
      </c>
      <c r="L7011" s="28" t="s">
        <v>51</v>
      </c>
      <c r="M7011" s="28" t="s">
        <v>51</v>
      </c>
      <c r="N7011" s="28" t="s">
        <v>51</v>
      </c>
    </row>
    <row r="7012" spans="1:14" x14ac:dyDescent="0.15">
      <c r="A7012" s="23" t="str">
        <f>HYPERLINK("https://www.spark-marketing.ru/Card/Person/1752165", "АО ""ГРИНАТОМ""")</f>
        <v>АО "ГРИНАТОМ"</v>
      </c>
      <c r="B7012" s="24" t="s">
        <v>509</v>
      </c>
      <c r="C7012" s="25">
        <v>823000</v>
      </c>
      <c r="D7012" s="22" t="s">
        <v>10602</v>
      </c>
      <c r="E7012" s="22" t="s">
        <v>580</v>
      </c>
      <c r="F7012" s="23" t="str">
        <f>HYPERLINK("https://www.spark-marketing.ru/Card/Lot/72858829", "Оказание услуг по организации выездного обслуживания и питания участников мероприятий АО «Гринатом»")</f>
        <v>Оказание услуг по организации выездного обслуживания и питания участников мероприятий АО «Гринатом»</v>
      </c>
      <c r="G7012" s="22" t="s">
        <v>56</v>
      </c>
      <c r="H7012" s="22" t="s">
        <v>56</v>
      </c>
      <c r="I7012" s="26">
        <v>43693</v>
      </c>
      <c r="J7012" s="28" t="s">
        <v>51</v>
      </c>
      <c r="K7012" s="28" t="s">
        <v>51</v>
      </c>
      <c r="L7012" s="28" t="s">
        <v>51</v>
      </c>
      <c r="M7012" s="28" t="s">
        <v>51</v>
      </c>
      <c r="N7012" s="28" t="s">
        <v>51</v>
      </c>
    </row>
    <row r="7013" spans="1:14" x14ac:dyDescent="0.2">
      <c r="A7013" s="23" t="str">
        <f>HYPERLINK("https://www.spark-marketing.ru/Card/Person/4874743", "ГАУ ВО ""СК ""РОТОР""")</f>
        <v>ГАУ ВО "СК "РОТОР"</v>
      </c>
      <c r="B7013" s="24" t="s">
        <v>1208</v>
      </c>
      <c r="C7013" s="25">
        <v>354200</v>
      </c>
      <c r="D7013" s="22" t="s">
        <v>10603</v>
      </c>
      <c r="E7013" s="22" t="s">
        <v>769</v>
      </c>
      <c r="F7013" s="23" t="str">
        <f>HYPERLINK("https://www.spark-marketing.ru/Card/Lot/72846404", "Оказание услуг по организации проживания и питания в отеле «Планета Люкс» для футбольной команды «Ротор» с 20 августа 2019 года по 22 августа 2019 года в городе Владикавказ")</f>
        <v>Оказание услуг по организации проживания и питания в отеле «Планета Люкс» для футбольной команды «Ротор» с 20 августа 2019 года по 22 августа 2019 года в городе Владикавказ</v>
      </c>
      <c r="G7013" s="22" t="s">
        <v>783</v>
      </c>
      <c r="H7013" s="22" t="s">
        <v>783</v>
      </c>
      <c r="I7013" s="26">
        <v>43693</v>
      </c>
      <c r="J7013" s="28" t="s">
        <v>51</v>
      </c>
      <c r="K7013" s="28" t="s">
        <v>51</v>
      </c>
      <c r="L7013" s="28" t="s">
        <v>51</v>
      </c>
      <c r="M7013" s="25">
        <v>354200</v>
      </c>
      <c r="N7013" s="27">
        <v>0</v>
      </c>
    </row>
    <row r="7014" spans="1:14" x14ac:dyDescent="0.2">
      <c r="A7014" s="23" t="str">
        <f>HYPERLINK("https://www.spark-marketing.ru/Card/Person/882145", "МАОУ СОШ № 7 ИМЕНИ Г.К. ЖУКОВА")</f>
        <v>МАОУ СОШ № 7 ИМЕНИ Г.К. ЖУКОВА</v>
      </c>
      <c r="B7014" s="24" t="s">
        <v>10604</v>
      </c>
      <c r="C7014" s="25">
        <v>803600</v>
      </c>
      <c r="D7014" s="22" t="s">
        <v>10605</v>
      </c>
      <c r="E7014" s="22" t="s">
        <v>362</v>
      </c>
      <c r="F7014" s="23" t="str">
        <f>HYPERLINK("https://www.spark-marketing.ru/Card/Lot/72857929", "Оказание услуг по организации и обеспечению питанием школьников")</f>
        <v>Оказание услуг по организации и обеспечению питанием школьников</v>
      </c>
      <c r="G7014" s="22" t="s">
        <v>104</v>
      </c>
      <c r="H7014" s="22" t="s">
        <v>104</v>
      </c>
      <c r="I7014" s="26">
        <v>43693</v>
      </c>
      <c r="J7014" s="28" t="s">
        <v>51</v>
      </c>
      <c r="K7014" s="28" t="s">
        <v>51</v>
      </c>
      <c r="L7014" s="22" t="s">
        <v>10</v>
      </c>
      <c r="M7014" s="25">
        <v>803600</v>
      </c>
      <c r="N7014" s="27">
        <v>0</v>
      </c>
    </row>
    <row r="7015" spans="1:14" x14ac:dyDescent="0.2">
      <c r="A7015" s="23" t="str">
        <f>HYPERLINK("https://www.spark-marketing.ru/Card/Person/539487", "ГАНОУ СО ""ДВОРЕЦ МОЛОДЁЖИ""")</f>
        <v>ГАНОУ СО "ДВОРЕЦ МОЛОДЁЖИ"</v>
      </c>
      <c r="B7015" s="24" t="s">
        <v>4429</v>
      </c>
      <c r="C7015" s="25">
        <v>297000</v>
      </c>
      <c r="D7015" s="22" t="s">
        <v>10606</v>
      </c>
      <c r="E7015" s="22" t="s">
        <v>4431</v>
      </c>
      <c r="F7015" s="23" t="str">
        <f>HYPERLINK("https://www.spark-marketing.ru/Card/Lot/72833398", "Оказание услуг по организации питания участников областных соревнований юных инспекторов движения «Безопасное колесо-2019»")</f>
        <v>Оказание услуг по организации питания участников областных соревнований юных инспекторов движения «Безопасное колесо-2019»</v>
      </c>
      <c r="G7015" s="22" t="s">
        <v>174</v>
      </c>
      <c r="H7015" s="22" t="s">
        <v>174</v>
      </c>
      <c r="I7015" s="26">
        <v>43693</v>
      </c>
      <c r="J7015" s="28" t="s">
        <v>51</v>
      </c>
      <c r="K7015" s="28" t="s">
        <v>51</v>
      </c>
      <c r="L7015" s="28" t="s">
        <v>51</v>
      </c>
      <c r="M7015" s="25">
        <v>297000</v>
      </c>
      <c r="N7015" s="27">
        <v>0</v>
      </c>
    </row>
    <row r="7016" spans="1:14" x14ac:dyDescent="0.2">
      <c r="A7016" s="23" t="str">
        <f>HYPERLINK("https://www.spark-marketing.ru/Card/Person/120908", "МАОУ ЛИПОВСКАЯ СОШ")</f>
        <v>МАОУ ЛИПОВСКАЯ СОШ</v>
      </c>
      <c r="B7016" s="24" t="s">
        <v>10607</v>
      </c>
      <c r="C7016" s="25">
        <v>399890</v>
      </c>
      <c r="D7016" s="22" t="s">
        <v>10608</v>
      </c>
      <c r="E7016" s="22" t="s">
        <v>362</v>
      </c>
      <c r="F7016" s="23" t="str">
        <f>HYPERLINK("https://www.spark-marketing.ru/Card/Lot/72823439", "Услуги по организации питания обучающихся")</f>
        <v>Услуги по организации питания обучающихся</v>
      </c>
      <c r="G7016" s="22" t="s">
        <v>174</v>
      </c>
      <c r="H7016" s="22" t="s">
        <v>174</v>
      </c>
      <c r="I7016" s="26">
        <v>43692</v>
      </c>
      <c r="J7016" s="28" t="s">
        <v>51</v>
      </c>
      <c r="K7016" s="28" t="s">
        <v>51</v>
      </c>
      <c r="L7016" s="22" t="s">
        <v>10</v>
      </c>
      <c r="M7016" s="25">
        <v>399890</v>
      </c>
      <c r="N7016" s="27">
        <v>0</v>
      </c>
    </row>
    <row r="7017" spans="1:14" x14ac:dyDescent="0.2">
      <c r="A7017" s="23" t="str">
        <f>HYPERLINK("https://www.spark-marketing.ru/Card/Person/597256", "АО ""АВИАКОМПАНИЯ ""АВРОРА""")</f>
        <v>АО "АВИАКОМПАНИЯ "АВРОРА"</v>
      </c>
      <c r="B7017" s="24" t="s">
        <v>10609</v>
      </c>
      <c r="C7017" s="25">
        <v>22800000</v>
      </c>
      <c r="D7017" s="22" t="s">
        <v>10610</v>
      </c>
      <c r="E7017" s="22" t="s">
        <v>769</v>
      </c>
      <c r="F7017" s="23" t="str">
        <f>HYPERLINK("https://www.spark-marketing.ru/Card/Lot/72804495", "Оказание комплекса гостиничных услуг (проживание, питание, трансфер) для экипажей в г. Хабаровск»")</f>
        <v>Оказание комплекса гостиничных услуг (проживание, питание, трансфер) для экипажей в г. Хабаровск»</v>
      </c>
      <c r="G7017" s="22" t="s">
        <v>260</v>
      </c>
      <c r="H7017" s="22" t="s">
        <v>804</v>
      </c>
      <c r="I7017" s="26">
        <v>43692</v>
      </c>
      <c r="J7017" s="28" t="s">
        <v>51</v>
      </c>
      <c r="K7017" s="28" t="s">
        <v>51</v>
      </c>
      <c r="L7017" s="22" t="s">
        <v>10</v>
      </c>
      <c r="M7017" s="25">
        <v>19000000</v>
      </c>
      <c r="N7017" s="27">
        <v>0.16666666666666666</v>
      </c>
    </row>
    <row r="7018" spans="1:14" x14ac:dyDescent="0.15">
      <c r="A7018" s="23" t="str">
        <f>HYPERLINK("https://www.spark-marketing.ru/Card/Person/418059", "ГКАУ ""ЦСП ПЕРМСКОГО КРАЯ""")</f>
        <v>ГКАУ "ЦСП ПЕРМСКОГО КРАЯ"</v>
      </c>
      <c r="B7018" s="24" t="s">
        <v>10611</v>
      </c>
      <c r="C7018" s="25">
        <v>277200</v>
      </c>
      <c r="D7018" s="22" t="s">
        <v>10612</v>
      </c>
      <c r="E7018" s="22" t="s">
        <v>5136</v>
      </c>
      <c r="F7018" s="23" t="str">
        <f>HYPERLINK("https://www.spark-marketing.ru/Card/Lot/72830994", "Услуги по организации ежедневного горячего питания в период проведения тренировочных мероприятий.")</f>
        <v>Услуги по организации ежедневного горячего питания в период проведения тренировочных мероприятий.</v>
      </c>
      <c r="G7018" s="22" t="s">
        <v>153</v>
      </c>
      <c r="H7018" s="22" t="s">
        <v>153</v>
      </c>
      <c r="I7018" s="26">
        <v>43693</v>
      </c>
      <c r="J7018" s="28" t="s">
        <v>51</v>
      </c>
      <c r="K7018" s="28" t="s">
        <v>51</v>
      </c>
      <c r="L7018" s="28" t="s">
        <v>51</v>
      </c>
      <c r="M7018" s="28" t="s">
        <v>51</v>
      </c>
      <c r="N7018" s="28" t="s">
        <v>51</v>
      </c>
    </row>
    <row r="7019" spans="1:14" x14ac:dyDescent="0.2">
      <c r="A7019" s="23" t="str">
        <f>HYPERLINK("https://www.spark-marketing.ru/Card/Person/4348376", "АО ""ЖТК""")</f>
        <v>АО "ЖТК"</v>
      </c>
      <c r="B7019" s="24" t="s">
        <v>2312</v>
      </c>
      <c r="C7019" s="25">
        <v>3171990</v>
      </c>
      <c r="D7019" s="22" t="s">
        <v>10613</v>
      </c>
      <c r="E7019" s="22" t="s">
        <v>2314</v>
      </c>
      <c r="F7019" s="23" t="str">
        <f>HYPERLINK("https://www.spark-marketing.ru/Card/Lot/72863677", "Поставка бакалейной продукции для предприятий общественного питания Шилкинского ТПО, оказывающих услуги питания работникам ОАО ""РЖД""")</f>
        <v>Поставка бакалейной продукции для предприятий общественного питания Шилкинского ТПО, оказывающих услуги питания работникам ОАО "РЖД"</v>
      </c>
      <c r="G7019" s="22" t="s">
        <v>228</v>
      </c>
      <c r="H7019" s="22" t="s">
        <v>228</v>
      </c>
      <c r="I7019" s="26">
        <v>43695</v>
      </c>
      <c r="J7019" s="28" t="s">
        <v>51</v>
      </c>
      <c r="K7019" s="28" t="s">
        <v>51</v>
      </c>
      <c r="L7019" s="22" t="s">
        <v>10</v>
      </c>
      <c r="M7019" s="25">
        <v>3171990</v>
      </c>
      <c r="N7019" s="27">
        <v>0</v>
      </c>
    </row>
    <row r="7020" spans="1:14" x14ac:dyDescent="0.15">
      <c r="A7020" s="23" t="str">
        <f>HYPERLINK("https://www.spark-marketing.ru/Card/Person/4369400", "ООО АВИАПРЕДПРИЯТИЕ ""ГАЗПРОМ АВИА""")</f>
        <v>ООО АВИАПРЕДПРИЯТИЕ "ГАЗПРОМ АВИА"</v>
      </c>
      <c r="B7020" s="24" t="s">
        <v>1724</v>
      </c>
      <c r="C7020" s="25">
        <v>3674325.42</v>
      </c>
      <c r="D7020" s="22" t="s">
        <v>10614</v>
      </c>
      <c r="E7020" s="22" t="s">
        <v>362</v>
      </c>
      <c r="F7020" s="23" t="str">
        <f>HYPERLINK("https://www.spark-marketing.ru/Card/Lot/72845665", "Оказание услуг по обеспечению пассажиров и экипажей воздушных судов бортовым питанием в а/п г. Самара")</f>
        <v>Оказание услуг по обеспечению пассажиров и экипажей воздушных судов бортовым питанием в а/п г. Самара</v>
      </c>
      <c r="G7020" s="22" t="s">
        <v>56</v>
      </c>
      <c r="H7020" s="22" t="s">
        <v>56</v>
      </c>
      <c r="I7020" s="26">
        <v>43693</v>
      </c>
      <c r="J7020" s="28" t="s">
        <v>51</v>
      </c>
      <c r="K7020" s="28" t="s">
        <v>51</v>
      </c>
      <c r="L7020" s="28" t="s">
        <v>51</v>
      </c>
      <c r="M7020" s="28" t="s">
        <v>51</v>
      </c>
      <c r="N7020" s="28" t="s">
        <v>51</v>
      </c>
    </row>
    <row r="7021" spans="1:14" x14ac:dyDescent="0.15">
      <c r="A7021" s="23" t="str">
        <f>HYPERLINK("https://www.spark-marketing.ru/Card/Person/77706", "АО ""ПОЧТА РОССИИ""")</f>
        <v>АО "ПОЧТА РОССИИ"</v>
      </c>
      <c r="B7021" s="24" t="s">
        <v>2613</v>
      </c>
      <c r="C7021" s="25">
        <v>4986324</v>
      </c>
      <c r="D7021" s="22" t="s">
        <v>10615</v>
      </c>
      <c r="E7021" s="22" t="s">
        <v>362</v>
      </c>
      <c r="F7021" s="23" t="str">
        <f>HYPERLINK("https://www.spark-marketing.ru/Card/Lot/72821275", "Оказание услуг по организации питания работников ОСП МРАСЦ им. В.Н. Бугаенко УФПС Московской области - филиала ФГУП ""Почта России""")</f>
        <v>Оказание услуг по организации питания работников ОСП МРАСЦ им. В.Н. Бугаенко УФПС Московской области - филиала ФГУП "Почта России"</v>
      </c>
      <c r="G7021" s="22" t="s">
        <v>56</v>
      </c>
      <c r="H7021" s="22" t="s">
        <v>56</v>
      </c>
      <c r="I7021" s="26">
        <v>43692</v>
      </c>
      <c r="J7021" s="28" t="s">
        <v>51</v>
      </c>
      <c r="K7021" s="28" t="s">
        <v>51</v>
      </c>
      <c r="L7021" s="28" t="s">
        <v>51</v>
      </c>
      <c r="M7021" s="28" t="s">
        <v>51</v>
      </c>
      <c r="N7021" s="28" t="s">
        <v>51</v>
      </c>
    </row>
    <row r="7022" spans="1:14" x14ac:dyDescent="0.2">
      <c r="A7022" s="23" t="str">
        <f>HYPERLINK("https://www.spark-marketing.ru/Card/Person/42100", "САМАРСКИЙ УНИВЕРСИТЕТ")</f>
        <v>САМАРСКИЙ УНИВЕРСИТЕТ</v>
      </c>
      <c r="B7022" s="24" t="s">
        <v>8729</v>
      </c>
      <c r="C7022" s="25">
        <v>1052500</v>
      </c>
      <c r="D7022" s="22" t="s">
        <v>10616</v>
      </c>
      <c r="E7022" s="22" t="s">
        <v>794</v>
      </c>
      <c r="F7022" s="23" t="str">
        <f>HYPERLINK("https://www.spark-marketing.ru/Card/Lot/72845463", "Оказание услуг по размещению, питанию и трансферу участников адапционных семинаров Самарского университета")</f>
        <v>Оказание услуг по размещению, питанию и трансферу участников адапционных семинаров Самарского университета</v>
      </c>
      <c r="G7022" s="22" t="s">
        <v>128</v>
      </c>
      <c r="H7022" s="22" t="s">
        <v>129</v>
      </c>
      <c r="I7022" s="26">
        <v>43693</v>
      </c>
      <c r="J7022" s="28" t="s">
        <v>51</v>
      </c>
      <c r="K7022" s="28" t="s">
        <v>51</v>
      </c>
      <c r="L7022" s="28" t="s">
        <v>51</v>
      </c>
      <c r="M7022" s="25">
        <v>0</v>
      </c>
      <c r="N7022" s="27">
        <v>1</v>
      </c>
    </row>
    <row r="7023" spans="1:14" x14ac:dyDescent="0.15">
      <c r="A7023" s="23" t="str">
        <f>HYPERLINK("https://www.spark-marketing.ru/Card/Person/4369400", "ООО АВИАПРЕДПРИЯТИЕ ""ГАЗПРОМ АВИА""")</f>
        <v>ООО АВИАПРЕДПРИЯТИЕ "ГАЗПРОМ АВИА"</v>
      </c>
      <c r="B7023" s="24" t="s">
        <v>1724</v>
      </c>
      <c r="C7023" s="25">
        <v>11406000</v>
      </c>
      <c r="D7023" s="22" t="s">
        <v>10617</v>
      </c>
      <c r="E7023" s="22" t="s">
        <v>362</v>
      </c>
      <c r="F7023" s="23" t="str">
        <f>HYPERLINK("https://www.spark-marketing.ru/Card/Lot/72859592", "Оказание услуг по обеспечению пассажиров и экипажей воздушных судов бортовым питанием в а/п г. Ухта")</f>
        <v>Оказание услуг по обеспечению пассажиров и экипажей воздушных судов бортовым питанием в а/п г. Ухта</v>
      </c>
      <c r="G7023" s="22" t="s">
        <v>56</v>
      </c>
      <c r="H7023" s="22" t="s">
        <v>56</v>
      </c>
      <c r="I7023" s="26">
        <v>43693</v>
      </c>
      <c r="J7023" s="28" t="s">
        <v>51</v>
      </c>
      <c r="K7023" s="28" t="s">
        <v>51</v>
      </c>
      <c r="L7023" s="28" t="s">
        <v>51</v>
      </c>
      <c r="M7023" s="28" t="s">
        <v>51</v>
      </c>
      <c r="N7023" s="28" t="s">
        <v>51</v>
      </c>
    </row>
    <row r="7024" spans="1:14" x14ac:dyDescent="0.2">
      <c r="A7024" s="23" t="str">
        <f>HYPERLINK("https://www.spark-marketing.ru/Card/Person/235130", "МАОУ ВОСТОЧНАЯ ГИМНАЗИЯ Г. ЮЖНО-САХАЛИНСКА")</f>
        <v>МАОУ ВОСТОЧНАЯ ГИМНАЗИЯ Г. ЮЖНО-САХАЛИНСКА</v>
      </c>
      <c r="B7024" s="24" t="s">
        <v>10618</v>
      </c>
      <c r="C7024" s="25">
        <v>2286177.2599999998</v>
      </c>
      <c r="D7024" s="22" t="s">
        <v>10619</v>
      </c>
      <c r="E7024" s="22" t="s">
        <v>2217</v>
      </c>
      <c r="F7024" s="23" t="str">
        <f>HYPERLINK("https://www.spark-marketing.ru/Card/Lot/72826735", "Оказание услуг МАОУ Восточная гимназия г. Южно-Сахалинска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семе...")</f>
        <v>Оказание услуг МАОУ Восточная гимназия г. Южно-Сахалинска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семе...</v>
      </c>
      <c r="G7024" s="22" t="s">
        <v>260</v>
      </c>
      <c r="H7024" s="22" t="s">
        <v>804</v>
      </c>
      <c r="I7024" s="26">
        <v>43693</v>
      </c>
      <c r="J7024" s="28" t="s">
        <v>51</v>
      </c>
      <c r="K7024" s="28" t="s">
        <v>51</v>
      </c>
      <c r="L7024" s="22" t="s">
        <v>10</v>
      </c>
      <c r="M7024" s="25">
        <v>2286177.2599999998</v>
      </c>
      <c r="N7024" s="27">
        <v>0</v>
      </c>
    </row>
    <row r="7025" spans="1:14" x14ac:dyDescent="0.2">
      <c r="A7025" s="23" t="str">
        <f>HYPERLINK("https://www.spark-marketing.ru/Card/Person/125167", "МАОУ ГИМНАЗИЯ № 2 Г. ЮЖНО-САХАЛИНСКА")</f>
        <v>МАОУ ГИМНАЗИЯ № 2 Г. ЮЖНО-САХАЛИНСКА</v>
      </c>
      <c r="B7025" s="24" t="s">
        <v>10620</v>
      </c>
      <c r="C7025" s="25">
        <v>3807500</v>
      </c>
      <c r="D7025" s="22" t="s">
        <v>10621</v>
      </c>
      <c r="E7025" s="22" t="s">
        <v>362</v>
      </c>
      <c r="F7025" s="23" t="str">
        <f>HYPERLINK("https://www.spark-marketing.ru/Card/Lot/72835916", "Оказание услуг МАОУ Гимназия № 2 г. Южно-Сахалинска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коре...")</f>
        <v>Оказание услуг МАОУ Гимназия № 2 г. Южно-Сахалинска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коре...</v>
      </c>
      <c r="G7025" s="22" t="s">
        <v>260</v>
      </c>
      <c r="H7025" s="22" t="s">
        <v>804</v>
      </c>
      <c r="I7025" s="26">
        <v>43693</v>
      </c>
      <c r="J7025" s="28" t="s">
        <v>51</v>
      </c>
      <c r="K7025" s="28" t="s">
        <v>51</v>
      </c>
      <c r="L7025" s="28" t="s">
        <v>51</v>
      </c>
      <c r="M7025" s="25">
        <v>3807500</v>
      </c>
      <c r="N7025" s="27">
        <v>0</v>
      </c>
    </row>
    <row r="7026" spans="1:14" x14ac:dyDescent="0.15">
      <c r="A7026" s="23" t="str">
        <f>HYPERLINK("https://www.spark-marketing.ru/Card/Person/526355", "ФГБОУ ВО ""РЭУ ИМ. Г.В. ПЛЕХАНОВА"", РЭУ ИМ. Г.В. ПЛЕХАНОВА")</f>
        <v>ФГБОУ ВО "РЭУ ИМ. Г.В. ПЛЕХАНОВА", РЭУ ИМ. Г.В. ПЛЕХАНОВА</v>
      </c>
      <c r="B7026" s="24" t="s">
        <v>565</v>
      </c>
      <c r="C7026" s="25">
        <v>270800</v>
      </c>
      <c r="D7026" s="22" t="s">
        <v>10622</v>
      </c>
      <c r="E7026" s="22" t="s">
        <v>10623</v>
      </c>
      <c r="F7026" s="23" t="str">
        <f>HYPERLINK("https://www.spark-marketing.ru/Card/Lot/72857868", "Оказание услуг по организации и обслуживанию питания в рамках проводимого мероприятия в Центральном доме учёных для нужд ФГБОУ ВО ""РЭУ им. Г.В. Плеханова""")</f>
        <v>Оказание услуг по организации и обслуживанию питания в рамках проводимого мероприятия в Центральном доме учёных для нужд ФГБОУ ВО "РЭУ им. Г.В. Плеханова"</v>
      </c>
      <c r="G7026" s="22" t="s">
        <v>56</v>
      </c>
      <c r="H7026" s="22" t="s">
        <v>56</v>
      </c>
      <c r="I7026" s="26">
        <v>43693</v>
      </c>
      <c r="J7026" s="28" t="s">
        <v>51</v>
      </c>
      <c r="K7026" s="28" t="s">
        <v>51</v>
      </c>
      <c r="L7026" s="28" t="s">
        <v>51</v>
      </c>
      <c r="M7026" s="28" t="s">
        <v>51</v>
      </c>
      <c r="N7026" s="28" t="s">
        <v>51</v>
      </c>
    </row>
    <row r="7027" spans="1:14" x14ac:dyDescent="0.15">
      <c r="A7027" s="23" t="str">
        <f>HYPERLINK("https://www.spark-marketing.ru/Card/Person/50743", "МП ""ДЕТСКОЕ ПИТАНИЕ""")</f>
        <v>МП "ДЕТСКОЕ ПИТАНИЕ"</v>
      </c>
      <c r="B7027" s="24" t="s">
        <v>1562</v>
      </c>
      <c r="C7027" s="25">
        <v>1451250</v>
      </c>
      <c r="D7027" s="22" t="s">
        <v>10624</v>
      </c>
      <c r="E7027" s="22" t="s">
        <v>9835</v>
      </c>
      <c r="F7027" s="23" t="str">
        <f>HYPERLINK("https://www.spark-marketing.ru/Card/Lot/72858611", "Поставка свинины нежирных сортов бескостной (для оказания услуг по предоставлению питания школьникам).")</f>
        <v>Поставка свинины нежирных сортов бескостной (для оказания услуг по предоставлению питания школьникам).</v>
      </c>
      <c r="G7027" s="22" t="s">
        <v>1522</v>
      </c>
      <c r="H7027" s="22" t="s">
        <v>1522</v>
      </c>
      <c r="I7027" s="26">
        <v>43693</v>
      </c>
      <c r="J7027" s="28" t="s">
        <v>51</v>
      </c>
      <c r="K7027" s="28" t="s">
        <v>51</v>
      </c>
      <c r="L7027" s="28" t="s">
        <v>51</v>
      </c>
      <c r="M7027" s="28" t="s">
        <v>51</v>
      </c>
      <c r="N7027" s="28" t="s">
        <v>51</v>
      </c>
    </row>
    <row r="7028" spans="1:14" x14ac:dyDescent="0.15">
      <c r="A7028" s="23" t="str">
        <f>HYPERLINK("https://www.spark-marketing.ru/Card/Person/1760026", "ЗАО ""ПФК ""КРЫЛЬЯ СОВЕТОВ""")</f>
        <v>ЗАО "ПФК "КРЫЛЬЯ СОВЕТОВ"</v>
      </c>
      <c r="B7028" s="24" t="s">
        <v>2056</v>
      </c>
      <c r="C7028" s="25">
        <v>147000</v>
      </c>
      <c r="D7028" s="22" t="s">
        <v>10625</v>
      </c>
      <c r="E7028" s="22" t="s">
        <v>2058</v>
      </c>
      <c r="F7028" s="23" t="str">
        <f>HYPERLINK("https://www.spark-marketing.ru/Card/Lot/72856755", "Комплекс услуг по организации питания и проживания команд 2003, 2004, 2005 гг.рр. ЦПФ в рамках участия в соревнованиях")</f>
        <v>Комплекс услуг по организации питания и проживания команд 2003, 2004, 2005 гг.рр. ЦПФ в рамках участия в соревнованиях</v>
      </c>
      <c r="G7028" s="22" t="s">
        <v>277</v>
      </c>
      <c r="H7028" s="22" t="s">
        <v>277</v>
      </c>
      <c r="I7028" s="26">
        <v>43693</v>
      </c>
      <c r="J7028" s="28" t="s">
        <v>51</v>
      </c>
      <c r="K7028" s="28" t="s">
        <v>51</v>
      </c>
      <c r="L7028" s="28" t="s">
        <v>51</v>
      </c>
      <c r="M7028" s="28" t="s">
        <v>51</v>
      </c>
      <c r="N7028" s="28" t="s">
        <v>51</v>
      </c>
    </row>
    <row r="7029" spans="1:14" x14ac:dyDescent="0.2">
      <c r="A7029" s="23" t="str">
        <f>HYPERLINK("https://www.spark-marketing.ru/Card/Person/4348376", "АО ""ЖТК""")</f>
        <v>АО "ЖТК"</v>
      </c>
      <c r="B7029" s="24" t="s">
        <v>2312</v>
      </c>
      <c r="C7029" s="25">
        <v>4954194.2</v>
      </c>
      <c r="D7029" s="22" t="s">
        <v>10626</v>
      </c>
      <c r="E7029" s="22" t="s">
        <v>2314</v>
      </c>
      <c r="F7029" s="23" t="str">
        <f>HYPERLINK("https://www.spark-marketing.ru/Card/Lot/72863710", "Поставка бакалейной продукции для предприятий общественного питания, оказывающих услуги питания работникам ОАО ""РЖД"" ( ст. Хилок)")</f>
        <v>Поставка бакалейной продукции для предприятий общественного питания, оказывающих услуги питания работникам ОАО "РЖД" ( ст. Хилок)</v>
      </c>
      <c r="G7029" s="22" t="s">
        <v>228</v>
      </c>
      <c r="H7029" s="22" t="s">
        <v>228</v>
      </c>
      <c r="I7029" s="26">
        <v>43695</v>
      </c>
      <c r="J7029" s="28" t="s">
        <v>51</v>
      </c>
      <c r="K7029" s="28" t="s">
        <v>51</v>
      </c>
      <c r="L7029" s="22" t="s">
        <v>10</v>
      </c>
      <c r="M7029" s="25">
        <v>4954194.2</v>
      </c>
      <c r="N7029" s="27">
        <v>0</v>
      </c>
    </row>
    <row r="7030" spans="1:14" x14ac:dyDescent="0.2">
      <c r="A7030" s="23" t="str">
        <f>HYPERLINK("https://www.spark-marketing.ru/Card/Person/257936", "МБДОУ ""Д/С ""ГОЛЧЭЧЭК"" С. НОВОЕ НАДЫРОВО""")</f>
        <v>МБДОУ "Д/С "ГОЛЧЭЧЭК" С. НОВОЕ НАДЫРОВО"</v>
      </c>
      <c r="B7030" s="24" t="s">
        <v>9292</v>
      </c>
      <c r="C7030" s="25">
        <v>27447.8</v>
      </c>
      <c r="D7030" s="22" t="s">
        <v>10627</v>
      </c>
      <c r="E7030" s="22" t="s">
        <v>52</v>
      </c>
      <c r="F7030" s="23" t="str">
        <f>HYPERLINK("https://www.spark-marketing.ru/Card/Lot/73785815", "Услуги по организации питания")</f>
        <v>Услуги по организации питания</v>
      </c>
      <c r="G7030" s="22" t="s">
        <v>217</v>
      </c>
      <c r="H7030" s="22" t="s">
        <v>9294</v>
      </c>
      <c r="I7030" s="26">
        <v>43693.488888888904</v>
      </c>
      <c r="J7030" s="28" t="s">
        <v>51</v>
      </c>
      <c r="K7030" s="28" t="s">
        <v>51</v>
      </c>
      <c r="L7030" s="28" t="s">
        <v>51</v>
      </c>
      <c r="M7030" s="25">
        <v>27447.8</v>
      </c>
      <c r="N7030" s="27">
        <v>0</v>
      </c>
    </row>
    <row r="7031" spans="1:14" x14ac:dyDescent="0.15">
      <c r="A7031" s="23" t="str">
        <f>HYPERLINK("https://www.spark-marketing.ru/Card/Person/418059", "ГКАУ ""ЦСП ПЕРМСКОГО КРАЯ""")</f>
        <v>ГКАУ "ЦСП ПЕРМСКОГО КРАЯ"</v>
      </c>
      <c r="B7031" s="24" t="s">
        <v>10611</v>
      </c>
      <c r="C7031" s="25">
        <v>329400</v>
      </c>
      <c r="D7031" s="22" t="s">
        <v>10628</v>
      </c>
      <c r="E7031" s="22" t="s">
        <v>5136</v>
      </c>
      <c r="F7031" s="23" t="str">
        <f>HYPERLINK("https://www.spark-marketing.ru/Card/Lot/72840660", "Услуги по организации ежедневного трехразового горячего питания в период проведения спортивных мероприятий в соответствии с заявками.")</f>
        <v>Услуги по организации ежедневного трехразового горячего питания в период проведения спортивных мероприятий в соответствии с заявками.</v>
      </c>
      <c r="G7031" s="22" t="s">
        <v>153</v>
      </c>
      <c r="H7031" s="22" t="s">
        <v>153</v>
      </c>
      <c r="I7031" s="26">
        <v>43693</v>
      </c>
      <c r="J7031" s="28" t="s">
        <v>51</v>
      </c>
      <c r="K7031" s="28" t="s">
        <v>51</v>
      </c>
      <c r="L7031" s="28" t="s">
        <v>51</v>
      </c>
      <c r="M7031" s="28" t="s">
        <v>51</v>
      </c>
      <c r="N7031" s="28" t="s">
        <v>51</v>
      </c>
    </row>
    <row r="7032" spans="1:14" x14ac:dyDescent="0.2">
      <c r="A7032" s="23" t="str">
        <f>HYPERLINK("https://www.spark-marketing.ru/Card/Person/539487", "ГАНОУ СО ""ДВОРЕЦ МОЛОДЁЖИ""")</f>
        <v>ГАНОУ СО "ДВОРЕЦ МОЛОДЁЖИ"</v>
      </c>
      <c r="B7032" s="24" t="s">
        <v>4429</v>
      </c>
      <c r="C7032" s="25">
        <v>108000</v>
      </c>
      <c r="D7032" s="22" t="s">
        <v>10629</v>
      </c>
      <c r="E7032" s="22" t="s">
        <v>4431</v>
      </c>
      <c r="F7032" s="23" t="str">
        <f>HYPERLINK("https://www.spark-marketing.ru/Card/Lot/72835057", "Оказание услуг по организации питания участников областного полевого лагеря «Юный пожарный»")</f>
        <v>Оказание услуг по организации питания участников областного полевого лагеря «Юный пожарный»</v>
      </c>
      <c r="G7032" s="22" t="s">
        <v>174</v>
      </c>
      <c r="H7032" s="22" t="s">
        <v>174</v>
      </c>
      <c r="I7032" s="26">
        <v>43693</v>
      </c>
      <c r="J7032" s="28" t="s">
        <v>51</v>
      </c>
      <c r="K7032" s="28" t="s">
        <v>51</v>
      </c>
      <c r="L7032" s="28" t="s">
        <v>51</v>
      </c>
      <c r="M7032" s="25">
        <v>108000</v>
      </c>
      <c r="N7032" s="27">
        <v>0</v>
      </c>
    </row>
    <row r="7033" spans="1:14" x14ac:dyDescent="0.2">
      <c r="A7033" s="23" t="str">
        <f>HYPERLINK("https://www.spark-marketing.ru/Card/Person/4346388", "ФГБОУ ВО ОРЕНБУРГСКИЙ ГАУ")</f>
        <v>ФГБОУ ВО ОРЕНБУРГСКИЙ ГАУ</v>
      </c>
      <c r="B7033" s="24" t="s">
        <v>10630</v>
      </c>
      <c r="C7033" s="25">
        <v>299925</v>
      </c>
      <c r="D7033" s="22" t="s">
        <v>10631</v>
      </c>
      <c r="E7033" s="22" t="s">
        <v>362</v>
      </c>
      <c r="F7033" s="23" t="str">
        <f>HYPERLINK("https://www.spark-marketing.ru/Card/Lot/72844385", "Оказание услуг питания для сотрудников УОХ ФГБОУ ВО Оренбургский ГАУ")</f>
        <v>Оказание услуг питания для сотрудников УОХ ФГБОУ ВО Оренбургский ГАУ</v>
      </c>
      <c r="G7033" s="22" t="s">
        <v>132</v>
      </c>
      <c r="H7033" s="22" t="s">
        <v>132</v>
      </c>
      <c r="I7033" s="26">
        <v>43693</v>
      </c>
      <c r="J7033" s="28" t="s">
        <v>51</v>
      </c>
      <c r="K7033" s="28" t="s">
        <v>51</v>
      </c>
      <c r="L7033" s="28" t="s">
        <v>51</v>
      </c>
      <c r="M7033" s="25">
        <v>299925</v>
      </c>
      <c r="N7033" s="27">
        <v>0</v>
      </c>
    </row>
    <row r="7034" spans="1:14" x14ac:dyDescent="0.15">
      <c r="A7034" s="23" t="str">
        <f>HYPERLINK("https://www.spark-marketing.ru/Card/Person/127777", "ГАУ""ЦСПСИД Г.КАЧКАНАРА""")</f>
        <v>ГАУ"ЦСПСИД Г.КАЧКАНАРА"</v>
      </c>
      <c r="B7034" s="24" t="s">
        <v>9569</v>
      </c>
      <c r="C7034" s="25">
        <v>433200</v>
      </c>
      <c r="D7034" s="22" t="s">
        <v>10632</v>
      </c>
      <c r="E7034" s="22" t="s">
        <v>362</v>
      </c>
      <c r="F7034" s="23" t="str">
        <f>HYPERLINK("https://www.spark-marketing.ru/Card/Lot/72803412", "Российский рубль")</f>
        <v>Российский рубль</v>
      </c>
      <c r="G7034" s="22" t="s">
        <v>174</v>
      </c>
      <c r="H7034" s="22" t="s">
        <v>9571</v>
      </c>
      <c r="I7034" s="26">
        <v>43692</v>
      </c>
      <c r="J7034" s="28" t="s">
        <v>51</v>
      </c>
      <c r="K7034" s="28" t="s">
        <v>51</v>
      </c>
      <c r="L7034" s="28" t="s">
        <v>51</v>
      </c>
      <c r="M7034" s="28" t="s">
        <v>51</v>
      </c>
      <c r="N7034" s="28" t="s">
        <v>51</v>
      </c>
    </row>
    <row r="7035" spans="1:14" x14ac:dyDescent="0.2">
      <c r="A7035" s="23" t="str">
        <f>HYPERLINK("https://www.spark-marketing.ru/Card/Person/100744", "АО ""ПЛЕСЕЦКОЕ ДОРОЖНОЕ УПРАВЛЕНИЕ""")</f>
        <v>АО "ПЛЕСЕЦКОЕ ДОРОЖНОЕ УПРАВЛЕНИЕ"</v>
      </c>
      <c r="B7035" s="24" t="s">
        <v>4211</v>
      </c>
      <c r="C7035" s="25">
        <v>500000</v>
      </c>
      <c r="D7035" s="22" t="s">
        <v>10633</v>
      </c>
      <c r="E7035" s="22" t="s">
        <v>362</v>
      </c>
      <c r="F7035" s="23" t="str">
        <f>HYPERLINK("https://www.spark-marketing.ru/Card/Lot/72842204", "Оказание услуг общественного питания для работников Заказчика")</f>
        <v>Оказание услуг общественного питания для работников Заказчика</v>
      </c>
      <c r="G7035" s="22" t="s">
        <v>214</v>
      </c>
      <c r="H7035" s="22" t="s">
        <v>214</v>
      </c>
      <c r="I7035" s="26">
        <v>43693</v>
      </c>
      <c r="J7035" s="28" t="s">
        <v>51</v>
      </c>
      <c r="K7035" s="28" t="s">
        <v>51</v>
      </c>
      <c r="L7035" s="22" t="s">
        <v>10</v>
      </c>
      <c r="M7035" s="25">
        <v>500000</v>
      </c>
      <c r="N7035" s="27">
        <v>0</v>
      </c>
    </row>
    <row r="7036" spans="1:14" x14ac:dyDescent="0.2">
      <c r="A7036" s="23" t="str">
        <f>HYPERLINK("https://www.spark-marketing.ru/Card/Person/4392806", "ГАПОУ ТО ""ЗСГК""")</f>
        <v>ГАПОУ ТО "ЗСГК"</v>
      </c>
      <c r="B7036" s="24" t="s">
        <v>10634</v>
      </c>
      <c r="C7036" s="25">
        <v>808185</v>
      </c>
      <c r="D7036" s="22" t="s">
        <v>10635</v>
      </c>
      <c r="E7036" s="22" t="s">
        <v>362</v>
      </c>
      <c r="F7036" s="23" t="str">
        <f>HYPERLINK("https://www.spark-marketing.ru/Card/Lot/72837199", "Оказание услуг по обеспечению питанием обучающихся")</f>
        <v>Оказание услуг по обеспечению питанием обучающихся</v>
      </c>
      <c r="G7036" s="22" t="s">
        <v>766</v>
      </c>
      <c r="H7036" s="22" t="s">
        <v>766</v>
      </c>
      <c r="I7036" s="26">
        <v>43693</v>
      </c>
      <c r="J7036" s="28" t="s">
        <v>51</v>
      </c>
      <c r="K7036" s="28" t="s">
        <v>51</v>
      </c>
      <c r="L7036" s="22" t="s">
        <v>10</v>
      </c>
      <c r="M7036" s="25">
        <v>0</v>
      </c>
      <c r="N7036" s="27">
        <v>1</v>
      </c>
    </row>
    <row r="7037" spans="1:14" x14ac:dyDescent="0.15">
      <c r="A7037" s="23" t="str">
        <f>HYPERLINK("https://www.spark-marketing.ru/Card/Person/4343594", "СО РАН; СИБИРСКОЕ ОТДЕЛЕНИЕ РАН")</f>
        <v>СО РАН; СИБИРСКОЕ ОТДЕЛЕНИЕ РАН</v>
      </c>
      <c r="B7037" s="24" t="s">
        <v>10636</v>
      </c>
      <c r="C7037" s="25">
        <v>294140</v>
      </c>
      <c r="D7037" s="22" t="s">
        <v>10637</v>
      </c>
      <c r="E7037" s="22" t="s">
        <v>362</v>
      </c>
      <c r="F7037" s="23" t="str">
        <f>HYPERLINK("https://www.spark-marketing.ru/Card/Lot/72826915", "Оказание услуг общественного питания на базе отдыха «Бухта» для сторонних проживающих")</f>
        <v>Оказание услуг общественного питания на базе отдыха «Бухта» для сторонних проживающих</v>
      </c>
      <c r="G7037" s="22" t="s">
        <v>195</v>
      </c>
      <c r="H7037" s="22" t="s">
        <v>195</v>
      </c>
      <c r="I7037" s="26">
        <v>43693</v>
      </c>
      <c r="J7037" s="28" t="s">
        <v>51</v>
      </c>
      <c r="K7037" s="28" t="s">
        <v>51</v>
      </c>
      <c r="L7037" s="28" t="s">
        <v>51</v>
      </c>
      <c r="M7037" s="28" t="s">
        <v>51</v>
      </c>
      <c r="N7037" s="28" t="s">
        <v>51</v>
      </c>
    </row>
    <row r="7038" spans="1:14" x14ac:dyDescent="0.15">
      <c r="A7038" s="23" t="str">
        <f>HYPERLINK("https://www.spark-marketing.ru/Card/Person/1756753", "ГАУ МО ""ЦСП № 6""")</f>
        <v>ГАУ МО "ЦСП № 6"</v>
      </c>
      <c r="B7038" s="24" t="s">
        <v>6503</v>
      </c>
      <c r="C7038" s="25">
        <v>1318567</v>
      </c>
      <c r="D7038" s="22" t="s">
        <v>10638</v>
      </c>
      <c r="E7038" s="22" t="s">
        <v>9286</v>
      </c>
      <c r="F7038" s="23" t="str">
        <f>HYPERLINK("https://www.spark-marketing.ru/Card/Lot/72842971", "Услуги по организации спортивных мероприятий (обеспечение транспортными билетами, проживание и питание, ЖВК ""Подмосковье"")")</f>
        <v>Услуги по организации спортивных мероприятий (обеспечение транспортными билетами, проживание и питание, ЖВК "Подмосковье")</v>
      </c>
      <c r="G7038" s="22" t="s">
        <v>49</v>
      </c>
      <c r="H7038" s="22" t="s">
        <v>49</v>
      </c>
      <c r="I7038" s="26">
        <v>43693</v>
      </c>
      <c r="J7038" s="28" t="s">
        <v>51</v>
      </c>
      <c r="K7038" s="28" t="s">
        <v>51</v>
      </c>
      <c r="L7038" s="28" t="s">
        <v>51</v>
      </c>
      <c r="M7038" s="28" t="s">
        <v>51</v>
      </c>
      <c r="N7038" s="28" t="s">
        <v>51</v>
      </c>
    </row>
    <row r="7039" spans="1:14" x14ac:dyDescent="0.15">
      <c r="A7039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7039" s="24" t="s">
        <v>10639</v>
      </c>
      <c r="C7039" s="25">
        <v>53521</v>
      </c>
      <c r="D7039" s="22" t="s">
        <v>10640</v>
      </c>
      <c r="E7039" s="22" t="s">
        <v>48</v>
      </c>
      <c r="F7039" s="23" t="str">
        <f>HYPERLINK("https://www.spark-marketing.ru/Card/Lot/72820174", "Оказание услуг по организации питания (приготовление и доставка) для несовершеннолетних лиц, 139 усл. ед")</f>
        <v>Оказание услуг по организации питания (приготовление и доставка) для несовершеннолетних лиц, 139 усл. ед</v>
      </c>
      <c r="G7039" s="22" t="s">
        <v>267</v>
      </c>
      <c r="H7039" s="22" t="s">
        <v>10641</v>
      </c>
      <c r="I7039" s="26">
        <v>43692.754351851901</v>
      </c>
      <c r="J7039" s="28" t="s">
        <v>51</v>
      </c>
      <c r="K7039" s="28" t="s">
        <v>51</v>
      </c>
      <c r="L7039" s="28" t="s">
        <v>51</v>
      </c>
      <c r="M7039" s="28" t="s">
        <v>51</v>
      </c>
      <c r="N7039" s="28" t="s">
        <v>51</v>
      </c>
    </row>
    <row r="7040" spans="1:14" x14ac:dyDescent="0.15">
      <c r="A7040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7040" s="24" t="s">
        <v>10639</v>
      </c>
      <c r="C7040" s="25">
        <v>53512</v>
      </c>
      <c r="D7040" s="22" t="s">
        <v>10642</v>
      </c>
      <c r="E7040" s="22" t="s">
        <v>48</v>
      </c>
      <c r="F7040" s="23" t="str">
        <f>HYPERLINK("https://www.spark-marketing.ru/Card/Lot/72820181", "Оказание услуг по организации питания (приготовление и доставка) для несовершеннолетних лиц, 128 усл. ед")</f>
        <v>Оказание услуг по организации питания (приготовление и доставка) для несовершеннолетних лиц, 128 усл. ед</v>
      </c>
      <c r="G7040" s="22" t="s">
        <v>267</v>
      </c>
      <c r="H7040" s="22" t="s">
        <v>10641</v>
      </c>
      <c r="I7040" s="26">
        <v>43692.757303240702</v>
      </c>
      <c r="J7040" s="28" t="s">
        <v>51</v>
      </c>
      <c r="K7040" s="28" t="s">
        <v>51</v>
      </c>
      <c r="L7040" s="28" t="s">
        <v>51</v>
      </c>
      <c r="M7040" s="28" t="s">
        <v>51</v>
      </c>
      <c r="N7040" s="28" t="s">
        <v>51</v>
      </c>
    </row>
    <row r="7041" spans="1:14" x14ac:dyDescent="0.15">
      <c r="A7041" s="23" t="str">
        <f>HYPERLINK("https://www.spark-marketing.ru/Card/Person/60544", "ГБПОУ ВО ""ВКСПТ""")</f>
        <v>ГБПОУ ВО "ВКСПТ"</v>
      </c>
      <c r="B7041" s="24" t="s">
        <v>10643</v>
      </c>
      <c r="C7041" s="25">
        <v>975390</v>
      </c>
      <c r="D7041" s="22" t="s">
        <v>10644</v>
      </c>
      <c r="E7041" s="22" t="s">
        <v>48</v>
      </c>
      <c r="F7041" s="23" t="str">
        <f>HYPERLINK("https://www.spark-marketing.ru/Card/Lot/72822397", "2019-05323/ Оказание услуг по организации горячего питания студентов ГБПОУ ВО ""ВКСПТ""")</f>
        <v>2019-05323/ Оказание услуг по организации горячего питания студентов ГБПОУ ВО "ВКСПТ"</v>
      </c>
      <c r="G7041" s="22" t="s">
        <v>82</v>
      </c>
      <c r="H7041" s="22" t="s">
        <v>83</v>
      </c>
      <c r="I7041" s="26">
        <v>43692.745625000003</v>
      </c>
      <c r="J7041" s="28" t="s">
        <v>51</v>
      </c>
      <c r="K7041" s="28" t="s">
        <v>51</v>
      </c>
      <c r="L7041" s="28" t="s">
        <v>51</v>
      </c>
      <c r="M7041" s="28" t="s">
        <v>51</v>
      </c>
      <c r="N7041" s="28" t="s">
        <v>51</v>
      </c>
    </row>
    <row r="7042" spans="1:14" hidden="1" outlineLevel="1" x14ac:dyDescent="0.2">
      <c r="A7042" s="23" t="str">
        <f>HYPERLINK("https://www.spark-marketing.ru/Card/Person/60544", "ГБПОУ ВО ""ВКСПТ""")</f>
        <v>ГБПОУ ВО "ВКСПТ"</v>
      </c>
      <c r="B7042" s="24" t="s">
        <v>10643</v>
      </c>
      <c r="C7042" s="25">
        <v>975390</v>
      </c>
      <c r="D7042" s="22" t="s">
        <v>10644</v>
      </c>
      <c r="E7042" s="22" t="s">
        <v>48</v>
      </c>
      <c r="F7042" s="23" t="str">
        <f>HYPERLINK("https://www.spark-marketing.ru/Card/Lot/72822397", "2019-05323/ Оказание услуг по организации горячего питания студентов ГБПОУ ВО ""ВКСПТ""")</f>
        <v>2019-05323/ Оказание услуг по организации горячего питания студентов ГБПОУ ВО "ВКСПТ"</v>
      </c>
      <c r="G7042" s="22" t="s">
        <v>82</v>
      </c>
      <c r="H7042" s="22" t="s">
        <v>83</v>
      </c>
      <c r="I7042" s="26">
        <v>43692.745625000003</v>
      </c>
      <c r="J7042" s="23" t="str">
        <f>HYPERLINK("https://www.spark-marketing.ru/Card/Person/515260", "ООО ""ЛВД""")</f>
        <v>ООО "ЛВД"</v>
      </c>
      <c r="K7042" s="24" t="s">
        <v>5468</v>
      </c>
      <c r="L7042" s="28" t="s">
        <v>51</v>
      </c>
      <c r="M7042" s="25">
        <v>931428.3</v>
      </c>
      <c r="N7042" s="27">
        <v>4.5070894719035463E-2</v>
      </c>
    </row>
    <row r="7043" spans="1:14" ht="12.75" hidden="1" outlineLevel="1" x14ac:dyDescent="0.2">
      <c r="A7043" s="23" t="str">
        <f>HYPERLINK("https://www.spark-marketing.ru/Card/Person/60544", "ГБПОУ ВО ""ВКСПТ""")</f>
        <v>ГБПОУ ВО "ВКСПТ"</v>
      </c>
      <c r="B7043" s="24" t="s">
        <v>10643</v>
      </c>
      <c r="C7043" s="25">
        <v>975390</v>
      </c>
      <c r="D7043" s="22" t="s">
        <v>10644</v>
      </c>
      <c r="E7043" s="22" t="s">
        <v>48</v>
      </c>
      <c r="F7043" s="23" t="str">
        <f>HYPERLINK("https://www.spark-marketing.ru/Card/Lot/72822397", "2019-05323/ Оказание услуг по организации горячего питания студентов ГБПОУ ВО ""ВКСПТ""")</f>
        <v>2019-05323/ Оказание услуг по организации горячего питания студентов ГБПОУ ВО "ВКСПТ"</v>
      </c>
      <c r="G7043" s="22" t="s">
        <v>82</v>
      </c>
      <c r="H7043" s="22" t="s">
        <v>83</v>
      </c>
      <c r="I7043" s="26">
        <v>43692.745625000003</v>
      </c>
      <c r="J7043" s="23" t="str">
        <f>HYPERLINK("https://www.spark-marketing.ru/Card/Person/59814", "ООО КП ""СОЛНЕЧНЫЙ""")</f>
        <v>ООО КП "СОЛНЕЧНЫЙ"</v>
      </c>
      <c r="K7043" s="24" t="s">
        <v>7783</v>
      </c>
      <c r="L7043" s="22" t="s">
        <v>10</v>
      </c>
      <c r="M7043" s="25">
        <v>926551.35</v>
      </c>
      <c r="N7043" s="27">
        <v>5.0070894719035461E-2</v>
      </c>
    </row>
    <row r="7044" spans="1:14" x14ac:dyDescent="0.15">
      <c r="A7044" s="23" t="str">
        <f>HYPERLINK("https://www.spark-marketing.ru/Card/Person/160813", "ОМВД РОССИИ ПО РАЙОНУ ИМ. ЛАЗО")</f>
        <v>ОМВД РОССИИ ПО РАЙОНУ ИМ. ЛАЗО</v>
      </c>
      <c r="B7044" s="24" t="s">
        <v>10411</v>
      </c>
      <c r="C7044" s="25">
        <v>850590</v>
      </c>
      <c r="D7044" s="22" t="s">
        <v>10645</v>
      </c>
      <c r="E7044" s="22" t="s">
        <v>48</v>
      </c>
      <c r="F7044" s="23" t="str">
        <f>HYPERLINK("https://www.spark-marketing.ru/Card/Lot/72807455", "Услуги по организации 3-х разового горячего питания лиц, содержащихся в спецприемнике и арестованных по уголовным делам")</f>
        <v>Услуги по организации 3-х разового горячего питания лиц, содержащихся в спецприемнике и арестованных по уголовным делам</v>
      </c>
      <c r="G7044" s="22" t="s">
        <v>1096</v>
      </c>
      <c r="H7044" s="22" t="s">
        <v>10413</v>
      </c>
      <c r="I7044" s="26">
        <v>43692.670740740701</v>
      </c>
      <c r="J7044" s="23" t="str">
        <f>HYPERLINK("https://www.spark-marketing.ru/Card/Person/4921795", "ООО ""НАТАЛИ""")</f>
        <v>ООО "НАТАЛИ"</v>
      </c>
      <c r="K7044" s="24" t="s">
        <v>10414</v>
      </c>
      <c r="L7044" s="22" t="s">
        <v>10</v>
      </c>
      <c r="M7044" s="28" t="s">
        <v>51</v>
      </c>
      <c r="N7044" s="28" t="s">
        <v>51</v>
      </c>
    </row>
    <row r="7045" spans="1:14" x14ac:dyDescent="0.15">
      <c r="A7045" s="23" t="str">
        <f>HYPERLINK("https://www.spark-marketing.ru/Card/Person/160813", "ОМВД РОССИИ ПО РАЙОНУ ИМ. ЛАЗО")</f>
        <v>ОМВД РОССИИ ПО РАЙОНУ ИМ. ЛАЗО</v>
      </c>
      <c r="B7045" s="24" t="s">
        <v>10411</v>
      </c>
      <c r="C7045" s="25">
        <v>2383500</v>
      </c>
      <c r="D7045" s="22" t="s">
        <v>10646</v>
      </c>
      <c r="E7045" s="22" t="s">
        <v>48</v>
      </c>
      <c r="F7045" s="23" t="str">
        <f>HYPERLINK("https://www.spark-marketing.ru/Card/Lot/72810834", "Услуги по организации 3-х разового горячего питания лиц, содержащихся в спецприемнике и арестованных по уголовным делам")</f>
        <v>Услуги по организации 3-х разового горячего питания лиц, содержащихся в спецприемнике и арестованных по уголовным делам</v>
      </c>
      <c r="G7045" s="22" t="s">
        <v>1096</v>
      </c>
      <c r="H7045" s="22" t="s">
        <v>10413</v>
      </c>
      <c r="I7045" s="26">
        <v>43692.736956018503</v>
      </c>
      <c r="J7045" s="23" t="str">
        <f>HYPERLINK("https://www.spark-marketing.ru/Card/Person/4921795", "ООО ""НАТАЛИ""")</f>
        <v>ООО "НАТАЛИ"</v>
      </c>
      <c r="K7045" s="24" t="s">
        <v>10414</v>
      </c>
      <c r="L7045" s="22" t="s">
        <v>10</v>
      </c>
      <c r="M7045" s="28" t="s">
        <v>51</v>
      </c>
      <c r="N7045" s="28" t="s">
        <v>51</v>
      </c>
    </row>
    <row r="7046" spans="1:14" x14ac:dyDescent="0.15">
      <c r="A7046" s="23" t="str">
        <f>HYPERLINK("https://www.spark-marketing.ru/Card/Person/737290", "ГКУ «ЦБЗ ПРИ МИНЗДРАВЕ КАРЕЛИИ»")</f>
        <v>ГКУ «ЦБЗ ПРИ МИНЗДРАВЕ КАРЕЛИИ»</v>
      </c>
      <c r="B7046" s="24" t="s">
        <v>312</v>
      </c>
      <c r="C7046" s="25">
        <v>2864590.2</v>
      </c>
      <c r="D7046" s="22" t="s">
        <v>10647</v>
      </c>
      <c r="E7046" s="22" t="s">
        <v>52</v>
      </c>
      <c r="F7046" s="23" t="str">
        <f>HYPERLINK("https://www.spark-marketing.ru/Card/Lot/72822416", "Поставка лекарственного препарата Аторвастатин,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Аторвастатин,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7046" s="22" t="s">
        <v>59</v>
      </c>
      <c r="H7046" s="22" t="s">
        <v>314</v>
      </c>
      <c r="I7046" s="26">
        <v>43692.722210648099</v>
      </c>
      <c r="J7046" s="28" t="s">
        <v>51</v>
      </c>
      <c r="K7046" s="28" t="s">
        <v>51</v>
      </c>
      <c r="L7046" s="28" t="s">
        <v>51</v>
      </c>
      <c r="M7046" s="28" t="s">
        <v>51</v>
      </c>
      <c r="N7046" s="28" t="s">
        <v>51</v>
      </c>
    </row>
    <row r="7047" spans="1:14" hidden="1" outlineLevel="1" x14ac:dyDescent="0.2">
      <c r="A7047" s="23" t="str">
        <f>HYPERLINK("https://www.spark-marketing.ru/Card/Person/737290", "ГКУ «ЦБЗ ПРИ МИНЗДРАВЕ КАРЕЛИИ»")</f>
        <v>ГКУ «ЦБЗ ПРИ МИНЗДРАВЕ КАРЕЛИИ»</v>
      </c>
      <c r="B7047" s="24" t="s">
        <v>312</v>
      </c>
      <c r="C7047" s="25">
        <v>2864590.2</v>
      </c>
      <c r="D7047" s="22" t="s">
        <v>10647</v>
      </c>
      <c r="E7047" s="22" t="s">
        <v>52</v>
      </c>
      <c r="F7047" s="23" t="str">
        <f>HYPERLINK("https://www.spark-marketing.ru/Card/Lot/72822416", "Поставка лекарственного препарата Аторвастатин,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Аторвастатин,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7047" s="22" t="s">
        <v>59</v>
      </c>
      <c r="H7047" s="22" t="s">
        <v>314</v>
      </c>
      <c r="I7047" s="26">
        <v>43692.722210648099</v>
      </c>
      <c r="J7047" s="23" t="str">
        <f>HYPERLINK("https://www.spark-marketing.ru/Card/Person/1607891", "ООО ""МОСОБЛФАРМ""")</f>
        <v>ООО "МОСОБЛФАРМ"</v>
      </c>
      <c r="K7047" s="24" t="s">
        <v>2523</v>
      </c>
      <c r="L7047" s="28" t="s">
        <v>51</v>
      </c>
      <c r="M7047" s="25">
        <v>2778652.5</v>
      </c>
      <c r="N7047" s="27">
        <v>2.9999997905459565E-2</v>
      </c>
    </row>
    <row r="7048" spans="1:14" ht="12.75" hidden="1" outlineLevel="1" x14ac:dyDescent="0.2">
      <c r="A7048" s="23" t="str">
        <f>HYPERLINK("https://www.spark-marketing.ru/Card/Person/737290", "ГКУ «ЦБЗ ПРИ МИНЗДРАВЕ КАРЕЛИИ»")</f>
        <v>ГКУ «ЦБЗ ПРИ МИНЗДРАВЕ КАРЕЛИИ»</v>
      </c>
      <c r="B7048" s="24" t="s">
        <v>312</v>
      </c>
      <c r="C7048" s="25">
        <v>2864590.2</v>
      </c>
      <c r="D7048" s="22" t="s">
        <v>10647</v>
      </c>
      <c r="E7048" s="22" t="s">
        <v>52</v>
      </c>
      <c r="F7048" s="23" t="str">
        <f>HYPERLINK("https://www.spark-marketing.ru/Card/Lot/72822416", "Поставка лекарственного препарата Аторвастатин,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изделия...")</f>
        <v>Поставка лекарственного препарата Аторвастатин, для обеспечение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изделия...</v>
      </c>
      <c r="G7048" s="22" t="s">
        <v>59</v>
      </c>
      <c r="H7048" s="22" t="s">
        <v>314</v>
      </c>
      <c r="I7048" s="26">
        <v>43692.722210648099</v>
      </c>
      <c r="J7048" s="23" t="str">
        <f>HYPERLINK("https://www.spark-marketing.ru/Card/Person/6231467", "ООО ""ОБЛФАРМ АЛЬЯНС""")</f>
        <v>ООО "ОБЛФАРМ АЛЬЯНС"</v>
      </c>
      <c r="K7048" s="24" t="s">
        <v>2175</v>
      </c>
      <c r="L7048" s="22" t="s">
        <v>10</v>
      </c>
      <c r="M7048" s="25">
        <v>2764329.55</v>
      </c>
      <c r="N7048" s="27">
        <v>3.4999997556369497E-2</v>
      </c>
    </row>
    <row r="7049" spans="1:14" x14ac:dyDescent="0.15">
      <c r="A7049" s="23" t="str">
        <f>HYPERLINK("https://www.spark-marketing.ru/Card/Person/4344533", "КУРГАНСКАЯ ОБЛАСТНАЯ ДУМА")</f>
        <v>КУРГАНСКАЯ ОБЛАСТНАЯ ДУМА</v>
      </c>
      <c r="B7049" s="24" t="s">
        <v>10648</v>
      </c>
      <c r="C7049" s="25">
        <v>54933.33</v>
      </c>
      <c r="D7049" s="22" t="s">
        <v>10649</v>
      </c>
      <c r="E7049" s="22" t="s">
        <v>96</v>
      </c>
      <c r="F7049" s="23" t="str">
        <f>HYPERLINK("https://www.spark-marketing.ru/Card/Lot/72819986", "Оказание услуг по организации питания участников мероприятия «День депутата Курганской областной Думы» в Куртамышском районе")</f>
        <v>Оказание услуг по организации питания участников мероприятия «День депутата Курганской областной Думы» в Куртамышском районе</v>
      </c>
      <c r="G7049" s="22" t="s">
        <v>1972</v>
      </c>
      <c r="H7049" s="22" t="s">
        <v>10650</v>
      </c>
      <c r="I7049" s="26">
        <v>43692.621631944399</v>
      </c>
      <c r="J7049" s="23" t="str">
        <f>HYPERLINK("https://www.spark-marketing.ru/Card/Person/2586673", "РАЙПО")</f>
        <v>РАЙПО</v>
      </c>
      <c r="K7049" s="24" t="s">
        <v>10651</v>
      </c>
      <c r="L7049" s="22" t="s">
        <v>10</v>
      </c>
      <c r="M7049" s="28" t="s">
        <v>51</v>
      </c>
      <c r="N7049" s="28" t="s">
        <v>51</v>
      </c>
    </row>
    <row r="7050" spans="1:14" x14ac:dyDescent="0.15">
      <c r="A7050" s="23" t="str">
        <f>HYPERLINK("https://www.spark-marketing.ru/Card/Person/22505", "УПРАВЛЕНИЕ МВД РОССИИ ПО Г. ЭЛИСТЕ")</f>
        <v>УПРАВЛЕНИЕ МВД РОССИИ ПО Г. ЭЛИСТЕ</v>
      </c>
      <c r="B7050" s="24" t="s">
        <v>10652</v>
      </c>
      <c r="C7050" s="25">
        <v>690000</v>
      </c>
      <c r="D7050" s="22" t="s">
        <v>10653</v>
      </c>
      <c r="E7050" s="22" t="s">
        <v>48</v>
      </c>
      <c r="F7050" s="23" t="str">
        <f>HYPERLINK("https://www.spark-marketing.ru/Card/Lot/72822307", "Услуги по приготовлению горячего питания")</f>
        <v>Услуги по приготовлению горячего питания</v>
      </c>
      <c r="G7050" s="22" t="s">
        <v>8513</v>
      </c>
      <c r="H7050" s="22" t="s">
        <v>8513</v>
      </c>
      <c r="I7050" s="26">
        <v>43692.700763888897</v>
      </c>
      <c r="J7050" s="23" t="str">
        <f>HYPERLINK("https://www.spark-marketing.ru/Card/Person/2486792", "ООО ""ГАРМОНИЯ""")</f>
        <v>ООО "ГАРМОНИЯ"</v>
      </c>
      <c r="K7050" s="24" t="s">
        <v>10654</v>
      </c>
      <c r="L7050" s="22" t="s">
        <v>10</v>
      </c>
      <c r="M7050" s="28" t="s">
        <v>51</v>
      </c>
      <c r="N7050" s="28" t="s">
        <v>51</v>
      </c>
    </row>
    <row r="7051" spans="1:14" x14ac:dyDescent="0.15">
      <c r="A7051" s="23" t="str">
        <f>HYPERLINK("https://www.spark-marketing.ru/Card/Person/130363", "ОМВД РОССИИ ПО ПЕТУШИНСКОМУ РАЙОНУ")</f>
        <v>ОМВД РОССИИ ПО ПЕТУШИНСКОМУ РАЙОНУ</v>
      </c>
      <c r="B7051" s="24" t="s">
        <v>10655</v>
      </c>
      <c r="C7051" s="25">
        <v>2196000</v>
      </c>
      <c r="D7051" s="22" t="s">
        <v>10656</v>
      </c>
      <c r="E7051" s="22" t="s">
        <v>96</v>
      </c>
      <c r="F7051" s="23" t="str">
        <f>HYPERLINK("https://www.spark-marketing.ru/Card/Lot/72820902", "услуги по трехразовому питанию лиц содержащихся в ивс")</f>
        <v>услуги по трехразовому питанию лиц содержащихся в ивс</v>
      </c>
      <c r="G7051" s="22" t="s">
        <v>663</v>
      </c>
      <c r="H7051" s="22" t="s">
        <v>10657</v>
      </c>
      <c r="I7051" s="26">
        <v>43692.706979166702</v>
      </c>
      <c r="J7051" s="23" t="str">
        <f>HYPERLINK("https://www.spark-marketing.ru/Card/Person/984987", "ООО ""МЕРКУРИЙ""")</f>
        <v>ООО "МЕРКУРИЙ"</v>
      </c>
      <c r="K7051" s="24" t="s">
        <v>10658</v>
      </c>
      <c r="L7051" s="22" t="s">
        <v>10</v>
      </c>
      <c r="M7051" s="28" t="s">
        <v>51</v>
      </c>
      <c r="N7051" s="28" t="s">
        <v>51</v>
      </c>
    </row>
    <row r="7052" spans="1:14" x14ac:dyDescent="0.15">
      <c r="A7052" s="23" t="str">
        <f>HYPERLINK("https://www.spark-marketing.ru/Card/Person/820473", "ОТДЕЛ МВД РОССИИ ПО АКСУБАЕВСКОМУ РАЙОНУ")</f>
        <v>ОТДЕЛ МВД РОССИИ ПО АКСУБАЕВСКОМУ РАЙОНУ</v>
      </c>
      <c r="B7052" s="24" t="s">
        <v>10659</v>
      </c>
      <c r="C7052" s="25">
        <v>324066</v>
      </c>
      <c r="D7052" s="22" t="s">
        <v>10660</v>
      </c>
      <c r="E7052" s="22" t="s">
        <v>48</v>
      </c>
      <c r="F7052" s="23" t="str">
        <f>HYPERLINK("https://www.spark-marketing.ru/Card/Lot/72822246", "услуги по организации готового горячего питания лиц, содержащихся в ИВС,СП, КЗСЛ отдела МВД России по Аксубаевскому району")</f>
        <v>услуги по организации готового горячего питания лиц, содержащихся в ИВС,СП, КЗСЛ отдела МВД России по Аксубаевскому району</v>
      </c>
      <c r="G7052" s="22" t="s">
        <v>217</v>
      </c>
      <c r="H7052" s="22" t="s">
        <v>10661</v>
      </c>
      <c r="I7052" s="26">
        <v>43692.667858796303</v>
      </c>
      <c r="J7052" s="28" t="s">
        <v>51</v>
      </c>
      <c r="K7052" s="28" t="s">
        <v>51</v>
      </c>
      <c r="L7052" s="28" t="s">
        <v>51</v>
      </c>
      <c r="M7052" s="28" t="s">
        <v>51</v>
      </c>
      <c r="N7052" s="28" t="s">
        <v>51</v>
      </c>
    </row>
    <row r="7053" spans="1:14" x14ac:dyDescent="0.15">
      <c r="A7053" s="23" t="str">
        <f>HYPERLINK("https://www.spark-marketing.ru/Card/Person/737290", "ГКУ «ЦБЗ ПРИ МИНЗДРАВЕ КАРЕЛИИ»")</f>
        <v>ГКУ «ЦБЗ ПРИ МИНЗДРАВЕ КАРЕЛИИ»</v>
      </c>
      <c r="B7053" s="24" t="s">
        <v>312</v>
      </c>
      <c r="C7053" s="25">
        <v>1685089.5</v>
      </c>
      <c r="D7053" s="22" t="s">
        <v>10662</v>
      </c>
      <c r="E7053" s="22" t="s">
        <v>52</v>
      </c>
      <c r="F7053" s="23" t="str">
        <f>HYPERLINK("https://www.spark-marketing.ru/Card/Lot/72822410", "Поставка лекарственного препарата Инсулин аспарт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р...")</f>
        <v>Поставка лекарственного препарата Инсулин аспарт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р...</v>
      </c>
      <c r="G7053" s="22" t="s">
        <v>59</v>
      </c>
      <c r="H7053" s="22" t="s">
        <v>314</v>
      </c>
      <c r="I7053" s="26">
        <v>43692.739421296297</v>
      </c>
      <c r="J7053" s="23" t="str">
        <f>HYPERLINK("https://www.spark-marketing.ru/Card/Person/6492462", "ООО ""ОН.К""")</f>
        <v>ООО "ОН.К"</v>
      </c>
      <c r="K7053" s="24" t="s">
        <v>2173</v>
      </c>
      <c r="L7053" s="22" t="s">
        <v>10</v>
      </c>
      <c r="M7053" s="28" t="s">
        <v>51</v>
      </c>
      <c r="N7053" s="28" t="s">
        <v>51</v>
      </c>
    </row>
    <row r="7054" spans="1:14" x14ac:dyDescent="0.15">
      <c r="A7054" s="23" t="str">
        <f>HYPERLINK("https://www.spark-marketing.ru/Card/Person/172810", "ОТДЕЛ МВД РОССИИ ПО ГОРОДУ ГЕЛЕНДЖИКУ")</f>
        <v>ОТДЕЛ МВД РОССИИ ПО ГОРОДУ ГЕЛЕНДЖИКУ</v>
      </c>
      <c r="B7054" s="24" t="s">
        <v>3040</v>
      </c>
      <c r="C7054" s="25">
        <v>3434959.5</v>
      </c>
      <c r="D7054" s="22" t="s">
        <v>10663</v>
      </c>
      <c r="E7054" s="22" t="s">
        <v>48</v>
      </c>
      <c r="F7054" s="23" t="str">
        <f>HYPERLINK("https://www.spark-marketing.ru/Card/Lot/72822617", "питание ИВС и СП")</f>
        <v>питание ИВС и СП</v>
      </c>
      <c r="G7054" s="22" t="s">
        <v>104</v>
      </c>
      <c r="H7054" s="22" t="s">
        <v>3042</v>
      </c>
      <c r="I7054" s="26">
        <v>43692.712500000001</v>
      </c>
      <c r="J7054" s="23" t="str">
        <f>HYPERLINK("https://www.spark-marketing.ru/Card/Person/453241", "Бобров Алексей Александрович")</f>
        <v>Бобров Алексей Александрович</v>
      </c>
      <c r="K7054" s="24" t="s">
        <v>10664</v>
      </c>
      <c r="L7054" s="28" t="s">
        <v>51</v>
      </c>
      <c r="M7054" s="28" t="s">
        <v>51</v>
      </c>
      <c r="N7054" s="28" t="s">
        <v>51</v>
      </c>
    </row>
    <row r="7055" spans="1:14" hidden="1" outlineLevel="1" x14ac:dyDescent="0.2">
      <c r="A7055" s="23" t="str">
        <f>HYPERLINK("https://www.spark-marketing.ru/Card/Person/172810", "ОТДЕЛ МВД РОССИИ ПО ГОРОДУ ГЕЛЕНДЖИКУ")</f>
        <v>ОТДЕЛ МВД РОССИИ ПО ГОРОДУ ГЕЛЕНДЖИКУ</v>
      </c>
      <c r="B7055" s="24" t="s">
        <v>3040</v>
      </c>
      <c r="C7055" s="25">
        <v>3434959.5</v>
      </c>
      <c r="D7055" s="22" t="s">
        <v>10663</v>
      </c>
      <c r="E7055" s="22" t="s">
        <v>48</v>
      </c>
      <c r="F7055" s="23" t="str">
        <f>HYPERLINK("https://www.spark-marketing.ru/Card/Lot/72822617", "питание ИВС и СП")</f>
        <v>питание ИВС и СП</v>
      </c>
      <c r="G7055" s="22" t="s">
        <v>104</v>
      </c>
      <c r="H7055" s="22" t="s">
        <v>3042</v>
      </c>
      <c r="I7055" s="26">
        <v>43692.712500000001</v>
      </c>
      <c r="J7055" s="23" t="str">
        <f>HYPERLINK("https://www.spark-marketing.ru/Card/Person/453241", "Бобров Алексей Александрович")</f>
        <v>Бобров Алексей Александрович</v>
      </c>
      <c r="K7055" s="24" t="s">
        <v>10664</v>
      </c>
      <c r="L7055" s="28" t="s">
        <v>51</v>
      </c>
      <c r="M7055" s="25">
        <v>3426780</v>
      </c>
      <c r="N7055" s="27">
        <v>2.3812507833061787E-3</v>
      </c>
    </row>
    <row r="7056" spans="1:14" x14ac:dyDescent="0.15">
      <c r="A7056" s="23" t="str">
        <f>HYPERLINK("https://www.spark-marketing.ru/Card/Person/28660", "ГКУ ""ЦЕНТР ГО И ЧС""")</f>
        <v>ГКУ "ЦЕНТР ГО И ЧС"</v>
      </c>
      <c r="B7056" s="24" t="s">
        <v>10665</v>
      </c>
      <c r="C7056" s="25">
        <v>596499.96</v>
      </c>
      <c r="D7056" s="22" t="s">
        <v>10666</v>
      </c>
      <c r="E7056" s="22" t="s">
        <v>10041</v>
      </c>
      <c r="F7056" s="23" t="str">
        <f>HYPERLINK("https://www.spark-marketing.ru/Card/Lot/72816966", "Поставка радиостанций")</f>
        <v>Поставка радиостанций</v>
      </c>
      <c r="G7056" s="22" t="s">
        <v>132</v>
      </c>
      <c r="H7056" s="22" t="s">
        <v>587</v>
      </c>
      <c r="I7056" s="26">
        <v>43692.620173611103</v>
      </c>
      <c r="J7056" s="23" t="str">
        <f>HYPERLINK("https://www.spark-marketing.ru/Card/Person/390597", "ООО ""КОМПЛЕКС-СНАСТ""")</f>
        <v>ООО "КОМПЛЕКС-СНАСТ"</v>
      </c>
      <c r="K7056" s="24" t="s">
        <v>10667</v>
      </c>
      <c r="L7056" s="28" t="s">
        <v>51</v>
      </c>
      <c r="M7056" s="28" t="s">
        <v>51</v>
      </c>
      <c r="N7056" s="28" t="s">
        <v>51</v>
      </c>
    </row>
    <row r="7057" spans="1:14" hidden="1" outlineLevel="1" x14ac:dyDescent="0.15">
      <c r="A7057" s="23" t="str">
        <f>HYPERLINK("https://www.spark-marketing.ru/Card/Person/28660", "ГКУ ""ЦЕНТР ГО И ЧС""")</f>
        <v>ГКУ "ЦЕНТР ГО И ЧС"</v>
      </c>
      <c r="B7057" s="24" t="s">
        <v>10665</v>
      </c>
      <c r="C7057" s="25">
        <v>596499.96</v>
      </c>
      <c r="D7057" s="22" t="s">
        <v>10666</v>
      </c>
      <c r="E7057" s="22" t="s">
        <v>10041</v>
      </c>
      <c r="F7057" s="23" t="str">
        <f>HYPERLINK("https://www.spark-marketing.ru/Card/Lot/72816966", "Поставка радиостанций")</f>
        <v>Поставка радиостанций</v>
      </c>
      <c r="G7057" s="22" t="s">
        <v>132</v>
      </c>
      <c r="H7057" s="22" t="s">
        <v>587</v>
      </c>
      <c r="I7057" s="26">
        <v>43692.620173611103</v>
      </c>
      <c r="J7057" s="23" t="str">
        <f>HYPERLINK("https://www.spark-marketing.ru/Card/Person/390597", "ООО ""КОМПЛЕКС-СНАСТ""")</f>
        <v>ООО "КОМПЛЕКС-СНАСТ"</v>
      </c>
      <c r="K7057" s="24" t="s">
        <v>10667</v>
      </c>
      <c r="L7057" s="22" t="s">
        <v>10</v>
      </c>
      <c r="M7057" s="28" t="s">
        <v>51</v>
      </c>
      <c r="N7057" s="28" t="s">
        <v>51</v>
      </c>
    </row>
    <row r="7058" spans="1:14" x14ac:dyDescent="0.15">
      <c r="A7058" s="23" t="str">
        <f>HYPERLINK("https://www.spark-marketing.ru/Card/Person/32528", "ГБУ РС(Я) ""ЯРКБ""")</f>
        <v>ГБУ РС(Я) "ЯРКБ"</v>
      </c>
      <c r="B7058" s="24" t="s">
        <v>10668</v>
      </c>
      <c r="C7058" s="25">
        <v>680000</v>
      </c>
      <c r="D7058" s="22" t="s">
        <v>10669</v>
      </c>
      <c r="E7058" s="22" t="s">
        <v>355</v>
      </c>
      <c r="F7058" s="23" t="str">
        <f>HYPERLINK("https://www.spark-marketing.ru/Card/Lot/72807500", "Оказание услуг по техническому обслуживанию и ремонту резервных источников питания (электроснабжения)")</f>
        <v>Оказание услуг по техническому обслуживанию и ремонту резервных источников питания (электроснабжения)</v>
      </c>
      <c r="G7058" s="22" t="s">
        <v>241</v>
      </c>
      <c r="H7058" s="22" t="s">
        <v>242</v>
      </c>
      <c r="I7058" s="26">
        <v>43692.688182870399</v>
      </c>
      <c r="J7058" s="28" t="s">
        <v>51</v>
      </c>
      <c r="K7058" s="28" t="s">
        <v>51</v>
      </c>
      <c r="L7058" s="28" t="s">
        <v>51</v>
      </c>
      <c r="M7058" s="28" t="s">
        <v>51</v>
      </c>
      <c r="N7058" s="28" t="s">
        <v>51</v>
      </c>
    </row>
    <row r="7059" spans="1:14" ht="12.75" hidden="1" outlineLevel="1" x14ac:dyDescent="0.2">
      <c r="A7059" s="23" t="str">
        <f>HYPERLINK("https://www.spark-marketing.ru/Card/Person/32528", "ГБУ РС(Я) ""ЯРКБ""")</f>
        <v>ГБУ РС(Я) "ЯРКБ"</v>
      </c>
      <c r="B7059" s="24" t="s">
        <v>10668</v>
      </c>
      <c r="C7059" s="25">
        <v>680000</v>
      </c>
      <c r="D7059" s="22" t="s">
        <v>10669</v>
      </c>
      <c r="E7059" s="22" t="s">
        <v>355</v>
      </c>
      <c r="F7059" s="23" t="str">
        <f>HYPERLINK("https://www.spark-marketing.ru/Card/Lot/72807500", "Оказание услуг по техническому обслуживанию и ремонту резервных источников питания (электроснабжения)")</f>
        <v>Оказание услуг по техническому обслуживанию и ремонту резервных источников питания (электроснабжения)</v>
      </c>
      <c r="G7059" s="22" t="s">
        <v>241</v>
      </c>
      <c r="H7059" s="22" t="s">
        <v>242</v>
      </c>
      <c r="I7059" s="26">
        <v>43692.688182870399</v>
      </c>
      <c r="J7059" s="23" t="str">
        <f>HYPERLINK("https://www.spark-marketing.ru/Card/Person/455329", "ООО ""ВОСТОК-ПРОФИ""")</f>
        <v>ООО "ВОСТОК-ПРОФИ"</v>
      </c>
      <c r="K7059" s="24" t="s">
        <v>10670</v>
      </c>
      <c r="L7059" s="22" t="s">
        <v>10</v>
      </c>
      <c r="M7059" s="25">
        <v>475400</v>
      </c>
      <c r="N7059" s="27">
        <v>0.30088235294117649</v>
      </c>
    </row>
    <row r="7060" spans="1:14" hidden="1" outlineLevel="1" x14ac:dyDescent="0.2">
      <c r="A7060" s="23" t="str">
        <f>HYPERLINK("https://www.spark-marketing.ru/Card/Person/32528", "ГБУ РС(Я) ""ЯРКБ""")</f>
        <v>ГБУ РС(Я) "ЯРКБ"</v>
      </c>
      <c r="B7060" s="24" t="s">
        <v>10668</v>
      </c>
      <c r="C7060" s="25">
        <v>680000</v>
      </c>
      <c r="D7060" s="22" t="s">
        <v>10669</v>
      </c>
      <c r="E7060" s="22" t="s">
        <v>355</v>
      </c>
      <c r="F7060" s="23" t="str">
        <f>HYPERLINK("https://www.spark-marketing.ru/Card/Lot/72807500", "Оказание услуг по техническому обслуживанию и ремонту резервных источников питания (электроснабжения)")</f>
        <v>Оказание услуг по техническому обслуживанию и ремонту резервных источников питания (электроснабжения)</v>
      </c>
      <c r="G7060" s="22" t="s">
        <v>241</v>
      </c>
      <c r="H7060" s="22" t="s">
        <v>242</v>
      </c>
      <c r="I7060" s="26">
        <v>43692.688182870399</v>
      </c>
      <c r="J7060" s="23" t="str">
        <f>HYPERLINK("https://www.spark-marketing.ru/Card/Person/6468969", "ООО ""ЯКУТСКЭНЕРГОМОНТАЖ""")</f>
        <v>ООО "ЯКУТСКЭНЕРГОМОНТАЖ"</v>
      </c>
      <c r="K7060" s="24" t="s">
        <v>10671</v>
      </c>
      <c r="L7060" s="28" t="s">
        <v>51</v>
      </c>
      <c r="M7060" s="25">
        <v>475400</v>
      </c>
      <c r="N7060" s="27">
        <v>0.30088235294117649</v>
      </c>
    </row>
    <row r="7061" spans="1:14" x14ac:dyDescent="0.15">
      <c r="A7061" s="23" t="str">
        <f>HYPERLINK("https://www.spark-marketing.ru/Card/Person/733640", "МБОУ СОШ ИМ. Р.ГАРЕЕВА Г.ЯНАУЛ")</f>
        <v>МБОУ СОШ ИМ. Р.ГАРЕЕВА Г.ЯНАУЛ</v>
      </c>
      <c r="B7061" s="24" t="s">
        <v>10672</v>
      </c>
      <c r="C7061" s="25">
        <v>975780</v>
      </c>
      <c r="D7061" s="22" t="s">
        <v>10673</v>
      </c>
      <c r="E7061" s="22" t="s">
        <v>48</v>
      </c>
      <c r="F7061" s="23" t="str">
        <f>HYPERLINK("https://www.spark-marketing.ru/Card/Lot/72816925", "Оказание услуг по организации горячего питания обучающихся")</f>
        <v>Оказание услуг по организации горячего питания обучающихся</v>
      </c>
      <c r="G7061" s="22" t="s">
        <v>145</v>
      </c>
      <c r="H7061" s="22" t="s">
        <v>145</v>
      </c>
      <c r="I7061" s="26">
        <v>43692.676574074103</v>
      </c>
      <c r="J7061" s="23" t="str">
        <f>HYPERLINK("https://www.spark-marketing.ru/Card/Person/6275152", "ООО ""ЯНАУЛЬСКИЙ КДП""")</f>
        <v>ООО "ЯНАУЛЬСКИЙ КДП"</v>
      </c>
      <c r="K7061" s="24" t="s">
        <v>10674</v>
      </c>
      <c r="L7061" s="22" t="s">
        <v>10</v>
      </c>
      <c r="M7061" s="28" t="s">
        <v>51</v>
      </c>
      <c r="N7061" s="28" t="s">
        <v>51</v>
      </c>
    </row>
    <row r="7062" spans="1:14" x14ac:dyDescent="0.15">
      <c r="A7062" s="23" t="str">
        <f>HYPERLINK("https://www.spark-marketing.ru/Card/Person/294436", "ОТДЕЛЕНИЕ МВД РОССИИ ПО Г. МЫСКИ")</f>
        <v>ОТДЕЛЕНИЕ МВД РОССИИ ПО Г. МЫСКИ</v>
      </c>
      <c r="B7062" s="24" t="s">
        <v>10675</v>
      </c>
      <c r="C7062" s="25">
        <v>600000</v>
      </c>
      <c r="D7062" s="22" t="s">
        <v>10676</v>
      </c>
      <c r="E7062" s="22" t="s">
        <v>96</v>
      </c>
      <c r="F7062" s="23" t="str">
        <f>HYPERLINK("https://www.spark-marketing.ru/Card/Lot/72810137", "Услуги по обеспечению горячим питанием подозреваемых и обвиняемых")</f>
        <v>Услуги по обеспечению горячим питанием подозреваемых и обвиняемых</v>
      </c>
      <c r="G7062" s="22" t="s">
        <v>304</v>
      </c>
      <c r="H7062" s="22" t="s">
        <v>305</v>
      </c>
      <c r="I7062" s="26">
        <v>43692.407708333303</v>
      </c>
      <c r="J7062" s="23" t="str">
        <f>HYPERLINK("https://www.spark-marketing.ru/Card/Person/623897", "Джум Светлана Анатольевна")</f>
        <v>Джум Светлана Анатольевна</v>
      </c>
      <c r="K7062" s="24" t="s">
        <v>10677</v>
      </c>
      <c r="L7062" s="22" t="s">
        <v>10</v>
      </c>
      <c r="M7062" s="28" t="s">
        <v>51</v>
      </c>
      <c r="N7062" s="28" t="s">
        <v>51</v>
      </c>
    </row>
    <row r="7063" spans="1:14" x14ac:dyDescent="0.15">
      <c r="A7063" s="23" t="str">
        <f>HYPERLINK("https://www.spark-marketing.ru/Card/Person/137643", "АДМИНИСТРАЦИЯ БАГАНСКОГО РАЙОНА НОВОСИБИРСКОЙ ОБЛАСТИ")</f>
        <v>АДМИНИСТРАЦИЯ БАГАНСКОГО РАЙОНА НОВОСИБИРСКОЙ ОБЛАСТИ</v>
      </c>
      <c r="B7063" s="24" t="s">
        <v>2346</v>
      </c>
      <c r="C7063" s="25">
        <v>30279.83</v>
      </c>
      <c r="D7063" s="22" t="s">
        <v>10678</v>
      </c>
      <c r="E7063" s="22" t="s">
        <v>96</v>
      </c>
      <c r="F7063" s="23" t="str">
        <f>HYPERLINK("https://www.spark-marketing.ru/Card/Lot/72812355", "Оказание услуг по организации питания в рамках проведения приемов официальных лиц и делегаций, торжественных мероприятий, конференций, совещаний.")</f>
        <v>Оказание услуг по организации питания в рамках проведения приемов официальных лиц и делегаций, торжественных мероприятий, конференций, совещаний.</v>
      </c>
      <c r="G7063" s="22" t="s">
        <v>195</v>
      </c>
      <c r="H7063" s="22" t="s">
        <v>2348</v>
      </c>
      <c r="I7063" s="26">
        <v>43692.6489814815</v>
      </c>
      <c r="J7063" s="23" t="str">
        <f>HYPERLINK("https://www.spark-marketing.ru/Card/Person/422046", "Даций Иван Иванович")</f>
        <v>Даций Иван Иванович</v>
      </c>
      <c r="K7063" s="24" t="s">
        <v>10679</v>
      </c>
      <c r="L7063" s="22" t="s">
        <v>10</v>
      </c>
      <c r="M7063" s="28" t="s">
        <v>51</v>
      </c>
      <c r="N7063" s="28" t="s">
        <v>51</v>
      </c>
    </row>
    <row r="7064" spans="1:14" ht="12.75" x14ac:dyDescent="0.2">
      <c r="A7064" s="23" t="str">
        <f>HYPERLINK("https://www.spark-marketing.ru/Card/Person/65307", "ЛОГБУ ""ТИХВИНСКИЙ КЦСОН""")</f>
        <v>ЛОГБУ "ТИХВИНСКИЙ КЦСОН"</v>
      </c>
      <c r="B7064" s="24" t="s">
        <v>10680</v>
      </c>
      <c r="C7064" s="25">
        <v>132913.20000000001</v>
      </c>
      <c r="D7064" s="22" t="s">
        <v>10681</v>
      </c>
      <c r="E7064" s="22" t="s">
        <v>48</v>
      </c>
      <c r="F7064" s="23" t="str">
        <f>HYPERLINK("https://www.spark-marketing.ru/Card/Lot/72821735", "Услуги по организации питания несовершеннолетних ЛОГБУ ""Тихвинский КЦСОН""")</f>
        <v>Услуги по организации питания несовершеннолетних ЛОГБУ "Тихвинский КЦСОН"</v>
      </c>
      <c r="G7064" s="22" t="s">
        <v>162</v>
      </c>
      <c r="H7064" s="22" t="s">
        <v>10682</v>
      </c>
      <c r="I7064" s="26">
        <v>43691.754351851901</v>
      </c>
      <c r="J7064" s="23" t="str">
        <f>HYPERLINK("https://www.spark-marketing.ru/Card/Person/668154", "МП ""КОМБИНАТ ПИТАНИЯ""")</f>
        <v>МП "КОМБИНАТ ПИТАНИЯ"</v>
      </c>
      <c r="K7064" s="24" t="s">
        <v>10683</v>
      </c>
      <c r="L7064" s="22" t="s">
        <v>10</v>
      </c>
      <c r="M7064" s="25">
        <v>132913.20000000001</v>
      </c>
      <c r="N7064" s="27">
        <v>0</v>
      </c>
    </row>
    <row r="7065" spans="1:14" x14ac:dyDescent="0.15">
      <c r="A7065" s="23" t="str">
        <f>HYPERLINK("https://www.spark-marketing.ru/Card/Person/233399", "ГБУ КК ""ЦОП ПО ЗВС""")</f>
        <v>ГБУ КК "ЦОП ПО ЗВС"</v>
      </c>
      <c r="B7065" s="24" t="s">
        <v>9885</v>
      </c>
      <c r="C7065" s="25">
        <v>210000</v>
      </c>
      <c r="D7065" s="22" t="s">
        <v>10684</v>
      </c>
      <c r="E7065" s="22" t="s">
        <v>1632</v>
      </c>
      <c r="F7065" s="23" t="str">
        <f>HYPERLINK("https://www.spark-marketing.ru/Card/Lot/72820292",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7065" s="22" t="s">
        <v>104</v>
      </c>
      <c r="H7065" s="22" t="s">
        <v>104</v>
      </c>
      <c r="I7065" s="26">
        <v>43692.610613425903</v>
      </c>
      <c r="J7065" s="28" t="s">
        <v>51</v>
      </c>
      <c r="K7065" s="28" t="s">
        <v>51</v>
      </c>
      <c r="L7065" s="28" t="s">
        <v>51</v>
      </c>
      <c r="M7065" s="28" t="s">
        <v>51</v>
      </c>
      <c r="N7065" s="28" t="s">
        <v>51</v>
      </c>
    </row>
    <row r="7066" spans="1:14" hidden="1" outlineLevel="1" x14ac:dyDescent="0.2">
      <c r="A7066" s="23" t="str">
        <f>HYPERLINK("https://www.spark-marketing.ru/Card/Person/233399", "ГБУ КК ""ЦОП ПО ЗВС""")</f>
        <v>ГБУ КК "ЦОП ПО ЗВС"</v>
      </c>
      <c r="B7066" s="24" t="s">
        <v>9885</v>
      </c>
      <c r="C7066" s="25">
        <v>210000</v>
      </c>
      <c r="D7066" s="22" t="s">
        <v>10684</v>
      </c>
      <c r="E7066" s="22" t="s">
        <v>1632</v>
      </c>
      <c r="F7066" s="23" t="str">
        <f>HYPERLINK("https://www.spark-marketing.ru/Card/Lot/72820292",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7066" s="22" t="s">
        <v>104</v>
      </c>
      <c r="H7066" s="22" t="s">
        <v>104</v>
      </c>
      <c r="I7066" s="26">
        <v>43692.610613425903</v>
      </c>
      <c r="J7066" s="23" t="str">
        <f>HYPERLINK("https://www.spark-marketing.ru/Card/Person/6501154", "ООО ""ГИГАНТ""")</f>
        <v>ООО "ГИГАНТ"</v>
      </c>
      <c r="K7066" s="24" t="s">
        <v>9887</v>
      </c>
      <c r="L7066" s="28" t="s">
        <v>51</v>
      </c>
      <c r="M7066" s="25">
        <v>1959.6</v>
      </c>
      <c r="N7066" s="27">
        <v>0.99066857142857145</v>
      </c>
    </row>
    <row r="7067" spans="1:14" hidden="1" outlineLevel="1" x14ac:dyDescent="0.2">
      <c r="A7067" s="23" t="str">
        <f>HYPERLINK("https://www.spark-marketing.ru/Card/Person/233399", "ГБУ КК ""ЦОП ПО ЗВС""")</f>
        <v>ГБУ КК "ЦОП ПО ЗВС"</v>
      </c>
      <c r="B7067" s="24" t="s">
        <v>9885</v>
      </c>
      <c r="C7067" s="25">
        <v>210000</v>
      </c>
      <c r="D7067" s="22" t="s">
        <v>10684</v>
      </c>
      <c r="E7067" s="22" t="s">
        <v>1632</v>
      </c>
      <c r="F7067" s="23" t="str">
        <f>HYPERLINK("https://www.spark-marketing.ru/Card/Lot/72820292",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7067" s="22" t="s">
        <v>104</v>
      </c>
      <c r="H7067" s="22" t="s">
        <v>104</v>
      </c>
      <c r="I7067" s="26">
        <v>43692.610613425903</v>
      </c>
      <c r="J7067" s="23" t="str">
        <f>HYPERLINK("https://www.spark-marketing.ru/Card/Person/6382723", "Крячко Владислав Петрович")</f>
        <v>Крячко Владислав Петрович</v>
      </c>
      <c r="K7067" s="24" t="s">
        <v>7992</v>
      </c>
      <c r="L7067" s="28" t="s">
        <v>51</v>
      </c>
      <c r="M7067" s="25">
        <v>1874</v>
      </c>
      <c r="N7067" s="27">
        <v>0.99107619047619044</v>
      </c>
    </row>
    <row r="7068" spans="1:14" hidden="1" outlineLevel="1" x14ac:dyDescent="0.2">
      <c r="A7068" s="23" t="str">
        <f>HYPERLINK("https://www.spark-marketing.ru/Card/Person/233399", "ГБУ КК ""ЦОП ПО ЗВС""")</f>
        <v>ГБУ КК "ЦОП ПО ЗВС"</v>
      </c>
      <c r="B7068" s="24" t="s">
        <v>9885</v>
      </c>
      <c r="C7068" s="25">
        <v>210000</v>
      </c>
      <c r="D7068" s="22" t="s">
        <v>10684</v>
      </c>
      <c r="E7068" s="22" t="s">
        <v>1632</v>
      </c>
      <c r="F7068" s="23" t="str">
        <f>HYPERLINK("https://www.spark-marketing.ru/Card/Lot/72820292",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7068" s="22" t="s">
        <v>104</v>
      </c>
      <c r="H7068" s="22" t="s">
        <v>104</v>
      </c>
      <c r="I7068" s="26">
        <v>43692.610613425903</v>
      </c>
      <c r="J7068" s="23" t="str">
        <f>HYPERLINK("https://www.spark-marketing.ru/Card/Person/6199231", "Полочанская Ольга Геннадьевна")</f>
        <v>Полочанская Ольга Геннадьевна</v>
      </c>
      <c r="K7068" s="24" t="s">
        <v>2484</v>
      </c>
      <c r="L7068" s="28" t="s">
        <v>51</v>
      </c>
      <c r="M7068" s="25">
        <v>1985</v>
      </c>
      <c r="N7068" s="27">
        <v>0.99054761904761901</v>
      </c>
    </row>
    <row r="7069" spans="1:14" ht="12.75" hidden="1" outlineLevel="1" x14ac:dyDescent="0.2">
      <c r="A7069" s="23" t="str">
        <f>HYPERLINK("https://www.spark-marketing.ru/Card/Person/233399", "ГБУ КК ""ЦОП ПО ЗВС""")</f>
        <v>ГБУ КК "ЦОП ПО ЗВС"</v>
      </c>
      <c r="B7069" s="24" t="s">
        <v>9885</v>
      </c>
      <c r="C7069" s="25">
        <v>210000</v>
      </c>
      <c r="D7069" s="22" t="s">
        <v>10684</v>
      </c>
      <c r="E7069" s="22" t="s">
        <v>1632</v>
      </c>
      <c r="F7069" s="23" t="str">
        <f>HYPERLINK("https://www.spark-marketing.ru/Card/Lot/72820292",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7069" s="22" t="s">
        <v>104</v>
      </c>
      <c r="H7069" s="22" t="s">
        <v>104</v>
      </c>
      <c r="I7069" s="26">
        <v>43692.610613425903</v>
      </c>
      <c r="J7069" s="23" t="str">
        <f>HYPERLINK("https://www.spark-marketing.ru/Card/Person/657466", "АО ""СКО ""РОСЮГКУРОРТ""")</f>
        <v>АО "СКО "РОСЮГКУРОРТ"</v>
      </c>
      <c r="K7069" s="24" t="s">
        <v>10685</v>
      </c>
      <c r="L7069" s="22" t="s">
        <v>10</v>
      </c>
      <c r="M7069" s="25">
        <v>1886.5</v>
      </c>
      <c r="N7069" s="27">
        <v>0.99101666666666666</v>
      </c>
    </row>
    <row r="7070" spans="1:14" x14ac:dyDescent="0.15">
      <c r="A7070" s="23" t="str">
        <f>HYPERLINK("https://www.spark-marketing.ru/Card/Person/130591", "МБОУ СОШ № 1 Г. ЯНАУЛ")</f>
        <v>МБОУ СОШ № 1 Г. ЯНАУЛ</v>
      </c>
      <c r="B7070" s="24" t="s">
        <v>10686</v>
      </c>
      <c r="C7070" s="25">
        <v>945540</v>
      </c>
      <c r="D7070" s="22" t="s">
        <v>10687</v>
      </c>
      <c r="E7070" s="22" t="s">
        <v>48</v>
      </c>
      <c r="F7070" s="23" t="str">
        <f>HYPERLINK("https://www.spark-marketing.ru/Card/Lot/72816896", "Оказание услуг по организации горячего питания обучающихся")</f>
        <v>Оказание услуг по организации горячего питания обучающихся</v>
      </c>
      <c r="G7070" s="22" t="s">
        <v>145</v>
      </c>
      <c r="H7070" s="22" t="s">
        <v>1316</v>
      </c>
      <c r="I7070" s="26">
        <v>43692.646874999999</v>
      </c>
      <c r="J7070" s="23" t="str">
        <f>HYPERLINK("https://www.spark-marketing.ru/Card/Person/6275152", "ООО ""ЯНАУЛЬСКИЙ КДП""")</f>
        <v>ООО "ЯНАУЛЬСКИЙ КДП"</v>
      </c>
      <c r="K7070" s="24" t="s">
        <v>10674</v>
      </c>
      <c r="L7070" s="22" t="s">
        <v>10</v>
      </c>
      <c r="M7070" s="28" t="s">
        <v>51</v>
      </c>
      <c r="N7070" s="28" t="s">
        <v>51</v>
      </c>
    </row>
    <row r="7071" spans="1:14" x14ac:dyDescent="0.15">
      <c r="A7071" s="23" t="str">
        <f>HYPERLINK("https://www.spark-marketing.ru/Card/Person/733445", "МБОУ ООШ С. ШУДЕК")</f>
        <v>МБОУ ООШ С. ШУДЕК</v>
      </c>
      <c r="B7071" s="24" t="s">
        <v>10688</v>
      </c>
      <c r="C7071" s="25">
        <v>500634</v>
      </c>
      <c r="D7071" s="22" t="s">
        <v>10689</v>
      </c>
      <c r="E7071" s="22" t="s">
        <v>48</v>
      </c>
      <c r="F7071" s="23" t="str">
        <f>HYPERLINK("https://www.spark-marketing.ru/Card/Lot/72816884", "Оказание услуг по организации горячего питания обучающихся")</f>
        <v>Оказание услуг по организации горячего питания обучающихся</v>
      </c>
      <c r="G7071" s="22" t="s">
        <v>145</v>
      </c>
      <c r="H7071" s="22" t="s">
        <v>10690</v>
      </c>
      <c r="I7071" s="26">
        <v>43692.643287036997</v>
      </c>
      <c r="J7071" s="23" t="str">
        <f>HYPERLINK("https://www.spark-marketing.ru/Card/Person/6275152", "ООО ""ЯНАУЛЬСКИЙ КДП""")</f>
        <v>ООО "ЯНАУЛЬСКИЙ КДП"</v>
      </c>
      <c r="K7071" s="24" t="s">
        <v>10674</v>
      </c>
      <c r="L7071" s="22" t="s">
        <v>10</v>
      </c>
      <c r="M7071" s="28" t="s">
        <v>51</v>
      </c>
      <c r="N7071" s="28" t="s">
        <v>51</v>
      </c>
    </row>
    <row r="7072" spans="1:14" x14ac:dyDescent="0.15">
      <c r="A7072" s="23" t="str">
        <f>HYPERLINK("https://www.spark-marketing.ru/Card/Person/733125", "МБОУ ГИМНАЗИЯ ИМ. И.Ш.МУКСИНОВА Г.ЯНАУЛ")</f>
        <v>МБОУ ГИМНАЗИЯ ИМ. И.Ш.МУКСИНОВА Г.ЯНАУЛ</v>
      </c>
      <c r="B7072" s="24" t="s">
        <v>10691</v>
      </c>
      <c r="C7072" s="25">
        <v>930960</v>
      </c>
      <c r="D7072" s="22" t="s">
        <v>10692</v>
      </c>
      <c r="E7072" s="22" t="s">
        <v>48</v>
      </c>
      <c r="F7072" s="23" t="str">
        <f>HYPERLINK("https://www.spark-marketing.ru/Card/Lot/72816903", "Оказание услуг по организации горячего питания обучающихся")</f>
        <v>Оказание услуг по организации горячего питания обучающихся</v>
      </c>
      <c r="G7072" s="22" t="s">
        <v>145</v>
      </c>
      <c r="H7072" s="22" t="s">
        <v>1316</v>
      </c>
      <c r="I7072" s="26">
        <v>43692.6507291667</v>
      </c>
      <c r="J7072" s="23" t="str">
        <f>HYPERLINK("https://www.spark-marketing.ru/Card/Person/6275152", "ООО ""ЯНАУЛЬСКИЙ КДП""")</f>
        <v>ООО "ЯНАУЛЬСКИЙ КДП"</v>
      </c>
      <c r="K7072" s="24" t="s">
        <v>10674</v>
      </c>
      <c r="L7072" s="22" t="s">
        <v>10</v>
      </c>
      <c r="M7072" s="28" t="s">
        <v>51</v>
      </c>
      <c r="N7072" s="28" t="s">
        <v>51</v>
      </c>
    </row>
    <row r="7073" spans="1:14" x14ac:dyDescent="0.15">
      <c r="A7073" s="23" t="str">
        <f>HYPERLINK("https://www.spark-marketing.ru/Card/Person/34244", "ГБОУ ""ЦЕНТР СПЕЦИАЛЬНОГО ОБРАЗОВАНИЯ № 1""")</f>
        <v>ГБОУ "ЦЕНТР СПЕЦИАЛЬНОГО ОБРАЗОВАНИЯ № 1"</v>
      </c>
      <c r="B7073" s="24" t="s">
        <v>10693</v>
      </c>
      <c r="C7073" s="25">
        <v>8061772.5800000001</v>
      </c>
      <c r="D7073" s="22" t="s">
        <v>10694</v>
      </c>
      <c r="E7073" s="22" t="s">
        <v>48</v>
      </c>
      <c r="F7073" s="23" t="str">
        <f>HYPERLINK("https://www.spark-marketing.ru/Card/Lot/72822224", "Оказание услуг по приготовлению и доставке горячего 2-х разового питания обучающихся (идентификационный номер: 807-А-ГЗ)")</f>
        <v>Оказание услуг по приготовлению и доставке горячего 2-х разового питания обучающихся (идентификационный номер: 807-А-ГЗ)</v>
      </c>
      <c r="G7073" s="22" t="s">
        <v>415</v>
      </c>
      <c r="H7073" s="22" t="s">
        <v>4542</v>
      </c>
      <c r="I7073" s="26">
        <v>43692.674131944397</v>
      </c>
      <c r="J7073" s="23" t="str">
        <f>HYPERLINK("https://www.spark-marketing.ru/Card/Person/111215", "ООО ""РЕСУРС""")</f>
        <v>ООО "РЕСУРС"</v>
      </c>
      <c r="K7073" s="24" t="s">
        <v>10695</v>
      </c>
      <c r="L7073" s="22" t="s">
        <v>10</v>
      </c>
      <c r="M7073" s="28" t="s">
        <v>51</v>
      </c>
      <c r="N7073" s="28" t="s">
        <v>51</v>
      </c>
    </row>
    <row r="7074" spans="1:14" x14ac:dyDescent="0.15">
      <c r="A7074" s="23" t="str">
        <f>HYPERLINK("https://www.spark-marketing.ru/Card/Person/734440", "МБОУ СОШ С.ШАФРАНОВО")</f>
        <v>МБОУ СОШ С.ШАФРАНОВО</v>
      </c>
      <c r="B7074" s="24" t="s">
        <v>10696</v>
      </c>
      <c r="C7074" s="25">
        <v>388106.45</v>
      </c>
      <c r="D7074" s="22" t="s">
        <v>10697</v>
      </c>
      <c r="E7074" s="22" t="s">
        <v>48</v>
      </c>
      <c r="F7074" s="23" t="str">
        <f>HYPERLINK("https://www.spark-marketing.ru/Card/Lot/72816943",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074" s="22" t="s">
        <v>145</v>
      </c>
      <c r="H7074" s="22" t="s">
        <v>10698</v>
      </c>
      <c r="I7074" s="26">
        <v>43692.704050925902</v>
      </c>
      <c r="J7074" s="28" t="s">
        <v>51</v>
      </c>
      <c r="K7074" s="28" t="s">
        <v>51</v>
      </c>
      <c r="L7074" s="28" t="s">
        <v>51</v>
      </c>
      <c r="M7074" s="28" t="s">
        <v>51</v>
      </c>
      <c r="N7074" s="28" t="s">
        <v>51</v>
      </c>
    </row>
    <row r="7075" spans="1:14" ht="12.75" hidden="1" outlineLevel="1" x14ac:dyDescent="0.2">
      <c r="A7075" s="23" t="str">
        <f>HYPERLINK("https://www.spark-marketing.ru/Card/Person/734440", "МБОУ СОШ С.ШАФРАНОВО")</f>
        <v>МБОУ СОШ С.ШАФРАНОВО</v>
      </c>
      <c r="B7075" s="24" t="s">
        <v>10696</v>
      </c>
      <c r="C7075" s="25">
        <v>388106.45</v>
      </c>
      <c r="D7075" s="22" t="s">
        <v>10697</v>
      </c>
      <c r="E7075" s="22" t="s">
        <v>48</v>
      </c>
      <c r="F7075" s="23" t="str">
        <f>HYPERLINK("https://www.spark-marketing.ru/Card/Lot/72816943",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075" s="22" t="s">
        <v>145</v>
      </c>
      <c r="H7075" s="22" t="s">
        <v>10698</v>
      </c>
      <c r="I7075" s="26">
        <v>43692.704050925902</v>
      </c>
      <c r="J7075" s="23" t="str">
        <f>HYPERLINK("https://www.spark-marketing.ru/Card/Person/776224", "Резяпова Гузель Римовна")</f>
        <v>Резяпова Гузель Римовна</v>
      </c>
      <c r="K7075" s="24" t="s">
        <v>10699</v>
      </c>
      <c r="L7075" s="22" t="s">
        <v>10</v>
      </c>
      <c r="M7075" s="25">
        <v>388106.45</v>
      </c>
      <c r="N7075" s="27">
        <v>0</v>
      </c>
    </row>
    <row r="7076" spans="1:14" hidden="1" outlineLevel="1" x14ac:dyDescent="0.2">
      <c r="A7076" s="23" t="str">
        <f>HYPERLINK("https://www.spark-marketing.ru/Card/Person/734440", "МБОУ СОШ С.ШАФРАНОВО")</f>
        <v>МБОУ СОШ С.ШАФРАНОВО</v>
      </c>
      <c r="B7076" s="24" t="s">
        <v>10696</v>
      </c>
      <c r="C7076" s="25">
        <v>388106.45</v>
      </c>
      <c r="D7076" s="22" t="s">
        <v>10697</v>
      </c>
      <c r="E7076" s="22" t="s">
        <v>48</v>
      </c>
      <c r="F7076" s="23" t="str">
        <f>HYPERLINK("https://www.spark-marketing.ru/Card/Lot/72816943",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076" s="22" t="s">
        <v>145</v>
      </c>
      <c r="H7076" s="22" t="s">
        <v>10698</v>
      </c>
      <c r="I7076" s="26">
        <v>43692.704050925902</v>
      </c>
      <c r="J7076" s="23" t="str">
        <f>HYPERLINK("https://www.spark-marketing.ru/Card/Person/154304", "Резяпов Анвар Явдатович")</f>
        <v>Резяпов Анвар Явдатович</v>
      </c>
      <c r="K7076" s="24" t="s">
        <v>10700</v>
      </c>
      <c r="L7076" s="28" t="s">
        <v>51</v>
      </c>
      <c r="M7076" s="25">
        <v>388106.45</v>
      </c>
      <c r="N7076" s="27">
        <v>0</v>
      </c>
    </row>
    <row r="7077" spans="1:14" x14ac:dyDescent="0.15">
      <c r="A7077" s="23" t="str">
        <f>HYPERLINK("https://www.spark-marketing.ru/Card/Person/4339", "ГУ ""МЕЖМУНИЦИПАЛЬНЫЙ ОТДЕЛ МВД РОССИИ ""МОЖГИНСКИЙ""")</f>
        <v>ГУ "МЕЖМУНИЦИПАЛЬНЫЙ ОТДЕЛ МВД РОССИИ "МОЖГИНСКИЙ"</v>
      </c>
      <c r="B7077" s="24" t="s">
        <v>10701</v>
      </c>
      <c r="C7077" s="25">
        <v>1980600</v>
      </c>
      <c r="D7077" s="22" t="s">
        <v>10702</v>
      </c>
      <c r="E7077" s="22" t="s">
        <v>67</v>
      </c>
      <c r="F7077" s="23" t="str">
        <f>HYPERLINK("https://www.spark-marketing.ru/Card/Lot/72817487", "питание задержанных и спецконтингента")</f>
        <v>питание задержанных и спецконтингента</v>
      </c>
      <c r="G7077" s="22" t="s">
        <v>852</v>
      </c>
      <c r="H7077" s="22" t="s">
        <v>852</v>
      </c>
      <c r="I7077" s="26">
        <v>43692.471655092602</v>
      </c>
      <c r="J7077" s="23" t="str">
        <f>HYPERLINK("https://www.spark-marketing.ru/Card/Person/6230032", "ООО ""ШКОЛЬНОЕ ПИТАНИЕ""")</f>
        <v>ООО "ШКОЛЬНОЕ ПИТАНИЕ"</v>
      </c>
      <c r="K7077" s="24" t="s">
        <v>10703</v>
      </c>
      <c r="L7077" s="22" t="s">
        <v>10</v>
      </c>
      <c r="M7077" s="28" t="s">
        <v>51</v>
      </c>
      <c r="N7077" s="28" t="s">
        <v>51</v>
      </c>
    </row>
    <row r="7078" spans="1:14" x14ac:dyDescent="0.15">
      <c r="A7078" s="23" t="str">
        <f>HYPERLINK("https://www.spark-marketing.ru/Card/Person/150320", "ГУ ""МЕЖМУНИЦИПАЛЬНЫЙ ОТДЕЛ МВД РОССИИ ""ИГРИНСКИЙ""")</f>
        <v>ГУ "МЕЖМУНИЦИПАЛЬНЫЙ ОТДЕЛ МВД РОССИИ "ИГРИНСКИЙ"</v>
      </c>
      <c r="B7078" s="24" t="s">
        <v>10704</v>
      </c>
      <c r="C7078" s="25">
        <v>40000</v>
      </c>
      <c r="D7078" s="22" t="s">
        <v>10705</v>
      </c>
      <c r="E7078" s="22" t="s">
        <v>96</v>
      </c>
      <c r="F7078" s="23" t="str">
        <f>HYPERLINK("https://www.spark-marketing.ru/Card/Lot/72816717", "Оказание услуг по организации питания (приготовлению и доставке), 158 шт")</f>
        <v>Оказание услуг по организации питания (приготовлению и доставке), 158 шт</v>
      </c>
      <c r="G7078" s="22" t="s">
        <v>852</v>
      </c>
      <c r="H7078" s="22" t="s">
        <v>10706</v>
      </c>
      <c r="I7078" s="26">
        <v>43692.705902777801</v>
      </c>
      <c r="J7078" s="28" t="s">
        <v>51</v>
      </c>
      <c r="K7078" s="28" t="s">
        <v>51</v>
      </c>
      <c r="L7078" s="28" t="s">
        <v>51</v>
      </c>
      <c r="M7078" s="28" t="s">
        <v>51</v>
      </c>
      <c r="N7078" s="28" t="s">
        <v>51</v>
      </c>
    </row>
    <row r="7079" spans="1:14" x14ac:dyDescent="0.15">
      <c r="A7079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7079" s="24" t="s">
        <v>850</v>
      </c>
      <c r="C7079" s="25">
        <v>5641585.7999999998</v>
      </c>
      <c r="D7079" s="22" t="s">
        <v>10707</v>
      </c>
      <c r="E7079" s="22" t="s">
        <v>48</v>
      </c>
      <c r="F7079" s="23" t="str">
        <f>HYPERLINK("https://www.spark-marketing.ru/Card/Lot/72817801", "Оказание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выдворения, депортации или реадмиссии, содержащихся ...")</f>
        <v>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выдворения, депортации или реадмиссии, содержащихся ...</v>
      </c>
      <c r="G7079" s="22" t="s">
        <v>852</v>
      </c>
      <c r="H7079" s="22" t="s">
        <v>852</v>
      </c>
      <c r="I7079" s="26">
        <v>43692.681921296302</v>
      </c>
      <c r="J7079" s="28" t="s">
        <v>51</v>
      </c>
      <c r="K7079" s="28" t="s">
        <v>51</v>
      </c>
      <c r="L7079" s="28" t="s">
        <v>51</v>
      </c>
      <c r="M7079" s="28" t="s">
        <v>51</v>
      </c>
      <c r="N7079" s="28" t="s">
        <v>51</v>
      </c>
    </row>
    <row r="7080" spans="1:14" ht="12.75" hidden="1" outlineLevel="1" x14ac:dyDescent="0.2">
      <c r="A7080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7080" s="24" t="s">
        <v>850</v>
      </c>
      <c r="C7080" s="25">
        <v>5641585.7999999998</v>
      </c>
      <c r="D7080" s="22" t="s">
        <v>10707</v>
      </c>
      <c r="E7080" s="22" t="s">
        <v>48</v>
      </c>
      <c r="F7080" s="23" t="str">
        <f>HYPERLINK("https://www.spark-marketing.ru/Card/Lot/72817801", "Оказание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выдворения, депортации или реадмиссии, содержащихся ...")</f>
        <v>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выдворения, депортации или реадмиссии, содержащихся ...</v>
      </c>
      <c r="G7080" s="22" t="s">
        <v>852</v>
      </c>
      <c r="H7080" s="22" t="s">
        <v>852</v>
      </c>
      <c r="I7080" s="26">
        <v>43692.681921296302</v>
      </c>
      <c r="J7080" s="23" t="str">
        <f>HYPERLINK("https://www.spark-marketing.ru/Card/Person/6377441", "ООО ""НАБЕРЕЖНОЕ""")</f>
        <v>ООО "НАБЕРЕЖНОЕ"</v>
      </c>
      <c r="K7080" s="24" t="s">
        <v>10708</v>
      </c>
      <c r="L7080" s="22" t="s">
        <v>10</v>
      </c>
      <c r="M7080" s="25">
        <v>603.95000000000005</v>
      </c>
      <c r="N7080" s="27">
        <v>0.99989294676684704</v>
      </c>
    </row>
    <row r="7081" spans="1:14" hidden="1" outlineLevel="1" x14ac:dyDescent="0.2">
      <c r="A7081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7081" s="24" t="s">
        <v>850</v>
      </c>
      <c r="C7081" s="25">
        <v>5641585.7999999998</v>
      </c>
      <c r="D7081" s="22" t="s">
        <v>10707</v>
      </c>
      <c r="E7081" s="22" t="s">
        <v>48</v>
      </c>
      <c r="F7081" s="23" t="str">
        <f>HYPERLINK("https://www.spark-marketing.ru/Card/Lot/72817801", "Оказание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выдворения, депортации или реадмиссии, содержащихся ...")</f>
        <v>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выдворения, депортации или реадмиссии, содержащихся ...</v>
      </c>
      <c r="G7081" s="22" t="s">
        <v>852</v>
      </c>
      <c r="H7081" s="22" t="s">
        <v>852</v>
      </c>
      <c r="I7081" s="26">
        <v>43692.681921296302</v>
      </c>
      <c r="J7081" s="23" t="str">
        <f>HYPERLINK("https://www.spark-marketing.ru/Card/Person/6599514", "ООО ""ПРОВАНС""")</f>
        <v>ООО "ПРОВАНС"</v>
      </c>
      <c r="K7081" s="24" t="s">
        <v>10709</v>
      </c>
      <c r="L7081" s="28" t="s">
        <v>51</v>
      </c>
      <c r="M7081" s="25">
        <v>609.1</v>
      </c>
      <c r="N7081" s="27">
        <v>0.99989203390294978</v>
      </c>
    </row>
    <row r="7082" spans="1:14" x14ac:dyDescent="0.15">
      <c r="A7082" s="23" t="str">
        <f>HYPERLINK("https://www.spark-marketing.ru/Card/Person/1036882", "МОУ ""СОШ №10 С. СОЛДАТО-АЛЕКСАНДРОВСКОГО""")</f>
        <v>МОУ "СОШ №10 С. СОЛДАТО-АЛЕКСАНДРОВСКОГО"</v>
      </c>
      <c r="B7082" s="24" t="s">
        <v>10710</v>
      </c>
      <c r="C7082" s="25">
        <v>1008620</v>
      </c>
      <c r="D7082" s="22" t="s">
        <v>10711</v>
      </c>
      <c r="E7082" s="22" t="s">
        <v>48</v>
      </c>
      <c r="F7082" s="23" t="str">
        <f>HYPERLINK("https://www.spark-marketing.ru/Card/Lot/72820954", "Оказание услуг по организации горячего питания учащихся МОУ ""СОШ № 10 с. Солдато -Александровского""")</f>
        <v>Оказание услуг по организации горячего питания учащихся МОУ "СОШ № 10 с. Солдато -Александровского"</v>
      </c>
      <c r="G7082" s="22" t="s">
        <v>87</v>
      </c>
      <c r="H7082" s="22" t="s">
        <v>87</v>
      </c>
      <c r="I7082" s="26">
        <v>43692.661759259303</v>
      </c>
      <c r="J7082" s="23" t="str">
        <f>HYPERLINK("https://www.spark-marketing.ru/Card/Person/1089650", "Орлова Ирина Сергеевна")</f>
        <v>Орлова Ирина Сергеевна</v>
      </c>
      <c r="K7082" s="24" t="s">
        <v>10712</v>
      </c>
      <c r="L7082" s="22" t="s">
        <v>10</v>
      </c>
      <c r="M7082" s="28" t="s">
        <v>51</v>
      </c>
      <c r="N7082" s="28" t="s">
        <v>51</v>
      </c>
    </row>
    <row r="7083" spans="1:14" x14ac:dyDescent="0.15">
      <c r="A7083" s="23" t="str">
        <f>HYPERLINK("https://www.spark-marketing.ru/Card/Person/150320", "ГУ ""МЕЖМУНИЦИПАЛЬНЫЙ ОТДЕЛ МВД РОССИИ ""ИГРИНСКИЙ""")</f>
        <v>ГУ "МЕЖМУНИЦИПАЛЬНЫЙ ОТДЕЛ МВД РОССИИ "ИГРИНСКИЙ"</v>
      </c>
      <c r="B7083" s="24" t="s">
        <v>10704</v>
      </c>
      <c r="C7083" s="25">
        <v>196000</v>
      </c>
      <c r="D7083" s="22" t="s">
        <v>10713</v>
      </c>
      <c r="E7083" s="22" t="s">
        <v>96</v>
      </c>
      <c r="F7083" s="23" t="str">
        <f>HYPERLINK("https://www.spark-marketing.ru/Card/Lot/72816307", "Оказание услуг по организации питания (приготовлению и доставке), 567 шт")</f>
        <v>Оказание услуг по организации питания (приготовлению и доставке), 567 шт</v>
      </c>
      <c r="G7083" s="22" t="s">
        <v>852</v>
      </c>
      <c r="H7083" s="22" t="s">
        <v>10706</v>
      </c>
      <c r="I7083" s="26">
        <v>43692.7004282407</v>
      </c>
      <c r="J7083" s="28" t="s">
        <v>51</v>
      </c>
      <c r="K7083" s="28" t="s">
        <v>51</v>
      </c>
      <c r="L7083" s="28" t="s">
        <v>51</v>
      </c>
      <c r="M7083" s="28" t="s">
        <v>51</v>
      </c>
      <c r="N7083" s="28" t="s">
        <v>51</v>
      </c>
    </row>
    <row r="7084" spans="1:14" x14ac:dyDescent="0.15">
      <c r="A7084" s="23" t="str">
        <f>HYPERLINK("https://www.spark-marketing.ru/Card/Person/540586", "МОМВД РОССИИ ""САСОВСКИЙ""")</f>
        <v>МОМВД РОССИИ "САСОВСКИЙ"</v>
      </c>
      <c r="B7084" s="24" t="s">
        <v>10714</v>
      </c>
      <c r="C7084" s="25">
        <v>1100000</v>
      </c>
      <c r="D7084" s="22" t="s">
        <v>10715</v>
      </c>
      <c r="E7084" s="22" t="s">
        <v>48</v>
      </c>
      <c r="F7084" s="23" t="str">
        <f>HYPERLINK("https://www.spark-marketing.ru/Card/Lot/72821358", "Оказание услуг по организации трехразового ежедневного горячего питания лиц, содержащихся в изоляторе временного содержания МОМВД России ""Сасовский""")</f>
        <v>Оказание услуг по организации трехразового ежедневного горячего питания лиц, содержащихся в изоляторе временного содержания МОМВД России "Сасовский"</v>
      </c>
      <c r="G7084" s="22" t="s">
        <v>1522</v>
      </c>
      <c r="H7084" s="22" t="s">
        <v>10716</v>
      </c>
      <c r="I7084" s="26">
        <v>43692.643240740697</v>
      </c>
      <c r="J7084" s="23" t="str">
        <f>HYPERLINK("https://www.spark-marketing.ru/Card/Person/6688928", "Нагаева Елена Евгеньевна")</f>
        <v>Нагаева Елена Евгеньевна</v>
      </c>
      <c r="K7084" s="24" t="s">
        <v>10717</v>
      </c>
      <c r="L7084" s="22" t="s">
        <v>10</v>
      </c>
      <c r="M7084" s="28" t="s">
        <v>51</v>
      </c>
      <c r="N7084" s="28" t="s">
        <v>51</v>
      </c>
    </row>
    <row r="7085" spans="1:14" x14ac:dyDescent="0.15">
      <c r="A7085" s="23" t="str">
        <f>HYPERLINK("https://www.spark-marketing.ru/Card/Person/68687", "УМВД РОССИИ ПО Г.СМОЛЕНСКУ")</f>
        <v>УМВД РОССИИ ПО Г.СМОЛЕНСКУ</v>
      </c>
      <c r="B7085" s="24" t="s">
        <v>10718</v>
      </c>
      <c r="C7085" s="25">
        <v>4397000</v>
      </c>
      <c r="D7085" s="22" t="s">
        <v>10719</v>
      </c>
      <c r="E7085" s="22" t="s">
        <v>48</v>
      </c>
      <c r="F7085" s="23" t="str">
        <f>HYPERLINK("https://www.spark-marketing.ru/Card/Lot/72820928",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7085" s="22" t="s">
        <v>460</v>
      </c>
      <c r="H7085" s="22" t="s">
        <v>460</v>
      </c>
      <c r="I7085" s="26">
        <v>43692.6575578704</v>
      </c>
      <c r="J7085" s="28" t="s">
        <v>51</v>
      </c>
      <c r="K7085" s="28" t="s">
        <v>51</v>
      </c>
      <c r="L7085" s="28" t="s">
        <v>51</v>
      </c>
      <c r="M7085" s="28" t="s">
        <v>51</v>
      </c>
      <c r="N7085" s="28" t="s">
        <v>51</v>
      </c>
    </row>
    <row r="7086" spans="1:14" x14ac:dyDescent="0.15">
      <c r="A7086" s="23" t="str">
        <f>HYPERLINK("https://www.spark-marketing.ru/Card/Person/733000", "МБОУ СОШ № 4 Г. ЯНАУЛ")</f>
        <v>МБОУ СОШ № 4 Г. ЯНАУЛ</v>
      </c>
      <c r="B7086" s="24" t="s">
        <v>10720</v>
      </c>
      <c r="C7086" s="25">
        <v>809280</v>
      </c>
      <c r="D7086" s="22" t="s">
        <v>10721</v>
      </c>
      <c r="E7086" s="22" t="s">
        <v>48</v>
      </c>
      <c r="F7086" s="23" t="str">
        <f>HYPERLINK("https://www.spark-marketing.ru/Card/Lot/72816927", "оказание услуг по организации горячего питания обучающихся")</f>
        <v>оказание услуг по организации горячего питания обучающихся</v>
      </c>
      <c r="G7086" s="22" t="s">
        <v>145</v>
      </c>
      <c r="H7086" s="22" t="s">
        <v>1316</v>
      </c>
      <c r="I7086" s="26">
        <v>43692.677824074097</v>
      </c>
      <c r="J7086" s="23" t="str">
        <f>HYPERLINK("https://www.spark-marketing.ru/Card/Person/6275152", "ООО ""ЯНАУЛЬСКИЙ КДП""")</f>
        <v>ООО "ЯНАУЛЬСКИЙ КДП"</v>
      </c>
      <c r="K7086" s="24" t="s">
        <v>10674</v>
      </c>
      <c r="L7086" s="22" t="s">
        <v>10</v>
      </c>
      <c r="M7086" s="28" t="s">
        <v>51</v>
      </c>
      <c r="N7086" s="28" t="s">
        <v>51</v>
      </c>
    </row>
    <row r="7087" spans="1:14" x14ac:dyDescent="0.15">
      <c r="A7087" s="23" t="str">
        <f>HYPERLINK("https://www.spark-marketing.ru/Card/Person/22505", "УПРАВЛЕНИЕ МВД РОССИИ ПО Г. ЭЛИСТЕ")</f>
        <v>УПРАВЛЕНИЕ МВД РОССИИ ПО Г. ЭЛИСТЕ</v>
      </c>
      <c r="B7087" s="24" t="s">
        <v>10652</v>
      </c>
      <c r="C7087" s="25">
        <v>690000</v>
      </c>
      <c r="D7087" s="22" t="s">
        <v>10722</v>
      </c>
      <c r="E7087" s="22" t="s">
        <v>48</v>
      </c>
      <c r="F7087" s="23" t="str">
        <f>HYPERLINK("https://www.spark-marketing.ru/Card/Lot/72820418", "Услуги по приготовлению горячего питания")</f>
        <v>Услуги по приготовлению горячего питания</v>
      </c>
      <c r="G7087" s="22" t="s">
        <v>8513</v>
      </c>
      <c r="H7087" s="22" t="s">
        <v>8513</v>
      </c>
      <c r="I7087" s="26">
        <v>43692.695208333302</v>
      </c>
      <c r="J7087" s="23" t="str">
        <f>HYPERLINK("https://www.spark-marketing.ru/Card/Person/2486792", "ООО ""ГАРМОНИЯ""")</f>
        <v>ООО "ГАРМОНИЯ"</v>
      </c>
      <c r="K7087" s="24" t="s">
        <v>10654</v>
      </c>
      <c r="L7087" s="22" t="s">
        <v>10</v>
      </c>
      <c r="M7087" s="28" t="s">
        <v>51</v>
      </c>
      <c r="N7087" s="28" t="s">
        <v>51</v>
      </c>
    </row>
    <row r="7088" spans="1:14" x14ac:dyDescent="0.15">
      <c r="A7088" s="23" t="str">
        <f>HYPERLINK("https://www.spark-marketing.ru/Card/Person/1007996", "ОМВД РОССИИ ПО Г. ЛАНГЕПАСУ")</f>
        <v>ОМВД РОССИИ ПО Г. ЛАНГЕПАСУ</v>
      </c>
      <c r="B7088" s="24" t="s">
        <v>10723</v>
      </c>
      <c r="C7088" s="25">
        <v>408870</v>
      </c>
      <c r="D7088" s="22" t="s">
        <v>10724</v>
      </c>
      <c r="E7088" s="22" t="s">
        <v>48</v>
      </c>
      <c r="F7088" s="23" t="str">
        <f>HYPERLINK("https://www.spark-marketing.ru/Card/Lot/72816892", "Оказание услуг по организации ежедневного комплексного питания (завтрак, обед, ужин) для лиц, содержащихся в изоляторе временного содержания подозреваемых и обвиняемых ОМВД России по городу Лангепасу, и лиц, задержанных на срок более трех часов, и со...")</f>
        <v>Оказание услуг по организации ежедневного комплексного питания (завтрак, обед, ужин) для лиц, содержащихся в изоляторе временного содержания подозреваемых и обвиняемых ОМВД России по городу Лангепасу, и лиц, задержанных на срок более трех часов, и со...</v>
      </c>
      <c r="G7088" s="22" t="s">
        <v>97</v>
      </c>
      <c r="H7088" s="22" t="s">
        <v>10725</v>
      </c>
      <c r="I7088" s="26">
        <v>43692.645092592596</v>
      </c>
      <c r="J7088" s="23" t="str">
        <f>HYPERLINK("https://www.spark-marketing.ru/Card/Person/1646254", "Цхе Ольга Захаровна")</f>
        <v>Цхе Ольга Захаровна</v>
      </c>
      <c r="K7088" s="24" t="s">
        <v>10726</v>
      </c>
      <c r="L7088" s="22" t="s">
        <v>10</v>
      </c>
      <c r="M7088" s="28" t="s">
        <v>51</v>
      </c>
      <c r="N7088" s="28" t="s">
        <v>51</v>
      </c>
    </row>
    <row r="7089" spans="1:14" x14ac:dyDescent="0.15">
      <c r="A7089" s="23" t="str">
        <f>HYPERLINK("https://www.spark-marketing.ru/Card/Person/1760888", "ГУ-ТОМСКОЕ РО ФОНДА СОЦИАЛЬНОГО СТРАХОВАНИЯ РОССИЙСКОЙ ФЕДЕРАЦИИ")</f>
        <v>ГУ-ТОМСКОЕ РО ФОНДА СОЦИАЛЬНОГО СТРАХОВАНИЯ РОССИЙСКОЙ ФЕДЕРАЦИИ</v>
      </c>
      <c r="B7089" s="24" t="s">
        <v>9626</v>
      </c>
      <c r="C7089" s="25">
        <v>673758</v>
      </c>
      <c r="D7089" s="22" t="s">
        <v>10727</v>
      </c>
      <c r="E7089" s="22" t="s">
        <v>86</v>
      </c>
      <c r="F7089" s="23" t="str">
        <f>HYPERLINK("https://www.spark-marketing.ru/Card/Lot/72810074", "Оказание услуг по санаторно-курортному лечению граждан получателей набора социальных услуг с заболеваниями по Классу IV МКБ-10 «Болезни эндокринной системы, расстройства питания и нарушения обмена веществ», с заболеваниями по Классу VI МКБ-10 «Болезн...")</f>
        <v>Оказание услуг по санаторно-курортному лечению граждан получателей набора социальных услуг с заболеваниями по Классу IV МКБ-10 «Болезни эндокринной системы, расстройства питания и нарушения обмена веществ», с заболеваниями по Классу VI МКБ-10 «Болезн...</v>
      </c>
      <c r="G7089" s="22" t="s">
        <v>149</v>
      </c>
      <c r="H7089" s="22" t="s">
        <v>496</v>
      </c>
      <c r="I7089" s="26">
        <v>43692.684004629598</v>
      </c>
      <c r="J7089" s="23" t="str">
        <f>HYPERLINK("https://www.spark-marketing.ru/Card/Person/177813", "ООО ""КСКК ""АКВАЛОО""")</f>
        <v>ООО "КСКК "АКВАЛОО"</v>
      </c>
      <c r="K7089" s="24" t="s">
        <v>4517</v>
      </c>
      <c r="L7089" s="22" t="s">
        <v>10</v>
      </c>
      <c r="M7089" s="28" t="s">
        <v>51</v>
      </c>
      <c r="N7089" s="28" t="s">
        <v>51</v>
      </c>
    </row>
    <row r="7090" spans="1:14" x14ac:dyDescent="0.15">
      <c r="A7090" s="23" t="str">
        <f>HYPERLINK("https://www.spark-marketing.ru/Card/Person/1007996", "ОМВД РОССИИ ПО Г. ЛАНГЕПАСУ")</f>
        <v>ОМВД РОССИИ ПО Г. ЛАНГЕПАСУ</v>
      </c>
      <c r="B7090" s="24" t="s">
        <v>10723</v>
      </c>
      <c r="C7090" s="25">
        <v>2023000</v>
      </c>
      <c r="D7090" s="22" t="s">
        <v>10728</v>
      </c>
      <c r="E7090" s="22" t="s">
        <v>48</v>
      </c>
      <c r="F7090" s="23" t="str">
        <f>HYPERLINK("https://www.spark-marketing.ru/Card/Lot/72817826", "Оказание услуг по организации ежедневного комплексного питания (завтрак, обед, ужин) для лиц, содержащихся в изоляторе временного содержания подозреваемых и обвиняемых ОМВД России по городу Лангепасу, и лиц, задержанных на срок более трех часов, и со...")</f>
        <v>Оказание услуг по организации ежедневного комплексного питания (завтрак, обед, ужин) для лиц, содержащихся в изоляторе временного содержания подозреваемых и обвиняемых ОМВД России по городу Лангепасу, и лиц, задержанных на срок более трех часов, и со...</v>
      </c>
      <c r="G7090" s="22" t="s">
        <v>97</v>
      </c>
      <c r="H7090" s="22" t="s">
        <v>10725</v>
      </c>
      <c r="I7090" s="26">
        <v>43692.660451388903</v>
      </c>
      <c r="J7090" s="23" t="str">
        <f>HYPERLINK("https://www.spark-marketing.ru/Card/Person/1646254", "Цхе Ольга Захаровна")</f>
        <v>Цхе Ольга Захаровна</v>
      </c>
      <c r="K7090" s="24" t="s">
        <v>10726</v>
      </c>
      <c r="L7090" s="22" t="s">
        <v>10</v>
      </c>
      <c r="M7090" s="28" t="s">
        <v>51</v>
      </c>
      <c r="N7090" s="28" t="s">
        <v>51</v>
      </c>
    </row>
    <row r="7091" spans="1:14" x14ac:dyDescent="0.15">
      <c r="A7091" s="23" t="str">
        <f>HYPERLINK("https://www.spark-marketing.ru/Card/Person/641486", "ОТДЕЛ МВД РОССИИ ПО ДАВЛЕКАНОВСКОМУ РАЙОНУ")</f>
        <v>ОТДЕЛ МВД РОССИИ ПО ДАВЛЕКАНОВСКОМУ РАЙОНУ</v>
      </c>
      <c r="B7091" s="24" t="s">
        <v>10729</v>
      </c>
      <c r="C7091" s="25">
        <v>650000</v>
      </c>
      <c r="D7091" s="22" t="s">
        <v>10730</v>
      </c>
      <c r="E7091" s="22" t="s">
        <v>48</v>
      </c>
      <c r="F7091" s="23" t="str">
        <f>HYPERLINK("https://www.spark-marketing.ru/Card/Lot/72814606", "Обеспечение трехразовым горячим питанием спецконтингента содержащегося в ИВС")</f>
        <v>Обеспечение трехразовым горячим питанием спецконтингента содержащегося в ИВС</v>
      </c>
      <c r="G7091" s="22" t="s">
        <v>145</v>
      </c>
      <c r="H7091" s="22" t="s">
        <v>10731</v>
      </c>
      <c r="I7091" s="26">
        <v>43692.660289351901</v>
      </c>
      <c r="J7091" s="23" t="str">
        <f>HYPERLINK("https://www.spark-marketing.ru/Card/Person/992890", "Петрова Татьяна Геннадьевна")</f>
        <v>Петрова Татьяна Геннадьевна</v>
      </c>
      <c r="K7091" s="24" t="s">
        <v>10732</v>
      </c>
      <c r="L7091" s="22" t="s">
        <v>10</v>
      </c>
      <c r="M7091" s="28" t="s">
        <v>51</v>
      </c>
      <c r="N7091" s="28" t="s">
        <v>51</v>
      </c>
    </row>
    <row r="7092" spans="1:14" x14ac:dyDescent="0.15">
      <c r="A7092" s="23" t="str">
        <f>HYPERLINK("https://www.spark-marketing.ru/Card/Person/9852", "ОМВД РОССИИ ПО Г. КОСТОМУКШЕ")</f>
        <v>ОМВД РОССИИ ПО Г. КОСТОМУКШЕ</v>
      </c>
      <c r="B7092" s="24" t="s">
        <v>10268</v>
      </c>
      <c r="C7092" s="25">
        <v>1800000</v>
      </c>
      <c r="D7092" s="22" t="s">
        <v>10733</v>
      </c>
      <c r="E7092" s="22" t="s">
        <v>48</v>
      </c>
      <c r="F7092" s="23" t="str">
        <f>HYPERLINK("https://www.spark-marketing.ru/Card/Lot/72821015", "Питание арестованных")</f>
        <v>Питание арестованных</v>
      </c>
      <c r="G7092" s="22" t="s">
        <v>59</v>
      </c>
      <c r="H7092" s="22" t="s">
        <v>8526</v>
      </c>
      <c r="I7092" s="26">
        <v>43692.674131944397</v>
      </c>
      <c r="J7092" s="23" t="str">
        <f>HYPERLINK("https://www.spark-marketing.ru/Card/Person/1124199", "Тарасов Андрей Вильгельмович")</f>
        <v>Тарасов Андрей Вильгельмович</v>
      </c>
      <c r="K7092" s="24" t="s">
        <v>10270</v>
      </c>
      <c r="L7092" s="22" t="s">
        <v>10</v>
      </c>
      <c r="M7092" s="28" t="s">
        <v>51</v>
      </c>
      <c r="N7092" s="28" t="s">
        <v>51</v>
      </c>
    </row>
    <row r="7093" spans="1:14" x14ac:dyDescent="0.15">
      <c r="A7093" s="23" t="str">
        <f>HYPERLINK("https://www.spark-marketing.ru/Card/Person/1037220", "МОУ ""СОШ № 6 С. СОЛДАТО-АЛЕКСАНДРОВСКОГО СОВЕТСКОГО РАЙОНА""")</f>
        <v>МОУ "СОШ № 6 С. СОЛДАТО-АЛЕКСАНДРОВСКОГО СОВЕТСКОГО РАЙОНА"</v>
      </c>
      <c r="B7093" s="24" t="s">
        <v>10734</v>
      </c>
      <c r="C7093" s="25">
        <v>1561622</v>
      </c>
      <c r="D7093" s="22" t="s">
        <v>10735</v>
      </c>
      <c r="E7093" s="22" t="s">
        <v>48</v>
      </c>
      <c r="F7093" s="23" t="str">
        <f>HYPERLINK("https://www.spark-marketing.ru/Card/Lot/72821881", "Организация питания учащихся МОУ "" СОШ № 6 с. Солдато- Александровского Советского района """)</f>
        <v>Организация питания учащихся МОУ " СОШ № 6 с. Солдато- Александровского Советского района "</v>
      </c>
      <c r="G7093" s="22" t="s">
        <v>87</v>
      </c>
      <c r="H7093" s="22" t="s">
        <v>869</v>
      </c>
      <c r="I7093" s="26">
        <v>43692.684895833299</v>
      </c>
      <c r="J7093" s="23" t="str">
        <f>HYPERLINK("https://www.spark-marketing.ru/Card/Person/479403", "Подкладова Галина Михайловна")</f>
        <v>Подкладова Галина Михайловна</v>
      </c>
      <c r="K7093" s="24" t="s">
        <v>10736</v>
      </c>
      <c r="L7093" s="22" t="s">
        <v>10</v>
      </c>
      <c r="M7093" s="28" t="s">
        <v>51</v>
      </c>
      <c r="N7093" s="28" t="s">
        <v>51</v>
      </c>
    </row>
    <row r="7094" spans="1:14" x14ac:dyDescent="0.15">
      <c r="A7094" s="23" t="str">
        <f>HYPERLINK("https://www.spark-marketing.ru/Card/Person/1007996", "ОМВД РОССИИ ПО Г. ЛАНГЕПАСУ")</f>
        <v>ОМВД РОССИИ ПО Г. ЛАНГЕПАСУ</v>
      </c>
      <c r="B7094" s="24" t="s">
        <v>10723</v>
      </c>
      <c r="C7094" s="25">
        <v>2020200</v>
      </c>
      <c r="D7094" s="22" t="s">
        <v>10737</v>
      </c>
      <c r="E7094" s="22" t="s">
        <v>48</v>
      </c>
      <c r="F7094" s="23" t="str">
        <f>HYPERLINK("https://www.spark-marketing.ru/Card/Lot/72820037", "Оказание услуг по организации ежедневного комплексного питания (завтрак, обед, ужин) для лиц, содержащихся в изоляторе временного содержания подозреваемых и обвиняемых ОМВД России по городу Лангепасу, и лиц, задержанных на срок более трех часов, и со...")</f>
        <v>Оказание услуг по организации ежедневного комплексного питания (завтрак, обед, ужин) для лиц, содержащихся в изоляторе временного содержания подозреваемых и обвиняемых ОМВД России по городу Лангепасу, и лиц, задержанных на срок более трех часов, и со...</v>
      </c>
      <c r="G7094" s="22" t="s">
        <v>97</v>
      </c>
      <c r="H7094" s="22" t="s">
        <v>10725</v>
      </c>
      <c r="I7094" s="26">
        <v>43692.673206018502</v>
      </c>
      <c r="J7094" s="23" t="str">
        <f>HYPERLINK("https://www.spark-marketing.ru/Card/Person/1646254", "Цхе Ольга Захаровна")</f>
        <v>Цхе Ольга Захаровна</v>
      </c>
      <c r="K7094" s="24" t="s">
        <v>10726</v>
      </c>
      <c r="L7094" s="22" t="s">
        <v>10</v>
      </c>
      <c r="M7094" s="28" t="s">
        <v>51</v>
      </c>
      <c r="N7094" s="28" t="s">
        <v>51</v>
      </c>
    </row>
    <row r="7095" spans="1:14" x14ac:dyDescent="0.15">
      <c r="A7095" s="23" t="str">
        <f>HYPERLINK("https://www.spark-marketing.ru/Card/Person/734061", "МБОУ ООШ С. КАЙМАШАБАШ")</f>
        <v>МБОУ ООШ С. КАЙМАШАБАШ</v>
      </c>
      <c r="B7095" s="24" t="s">
        <v>10738</v>
      </c>
      <c r="C7095" s="25">
        <v>307251</v>
      </c>
      <c r="D7095" s="22" t="s">
        <v>10739</v>
      </c>
      <c r="E7095" s="22" t="s">
        <v>48</v>
      </c>
      <c r="F7095" s="23" t="str">
        <f>HYPERLINK("https://www.spark-marketing.ru/Card/Lot/72816898", "Оказание услуг по организации горячего питания обучающихся")</f>
        <v>Оказание услуг по организации горячего питания обучающихся</v>
      </c>
      <c r="G7095" s="22" t="s">
        <v>145</v>
      </c>
      <c r="H7095" s="22" t="s">
        <v>10690</v>
      </c>
      <c r="I7095" s="26">
        <v>43692.648287037002</v>
      </c>
      <c r="J7095" s="23" t="str">
        <f>HYPERLINK("https://www.spark-marketing.ru/Card/Person/6275152", "ООО ""ЯНАУЛЬСКИЙ КДП""")</f>
        <v>ООО "ЯНАУЛЬСКИЙ КДП"</v>
      </c>
      <c r="K7095" s="24" t="s">
        <v>10674</v>
      </c>
      <c r="L7095" s="22" t="s">
        <v>10</v>
      </c>
      <c r="M7095" s="28" t="s">
        <v>51</v>
      </c>
      <c r="N7095" s="28" t="s">
        <v>51</v>
      </c>
    </row>
    <row r="7096" spans="1:14" collapsed="1" x14ac:dyDescent="0.15">
      <c r="A7096" s="23" t="str">
        <f>HYPERLINK("https://www.spark-marketing.ru/Card/Person/59329", "МБОУ СОШ № 4 С.РАЕВСКИЙ")</f>
        <v>МБОУ СОШ № 4 С.РАЕВСКИЙ</v>
      </c>
      <c r="B7096" s="24" t="s">
        <v>10740</v>
      </c>
      <c r="C7096" s="25">
        <v>833419.62</v>
      </c>
      <c r="D7096" s="22" t="s">
        <v>10741</v>
      </c>
      <c r="E7096" s="22" t="s">
        <v>48</v>
      </c>
      <c r="F7096" s="23" t="str">
        <f>HYPERLINK("https://www.spark-marketing.ru/Card/Lot/72816918",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096" s="22" t="s">
        <v>145</v>
      </c>
      <c r="H7096" s="22" t="s">
        <v>10698</v>
      </c>
      <c r="I7096" s="26">
        <v>43692.666550925896</v>
      </c>
      <c r="J7096" s="28" t="s">
        <v>51</v>
      </c>
      <c r="K7096" s="28" t="s">
        <v>51</v>
      </c>
      <c r="L7096" s="28" t="s">
        <v>51</v>
      </c>
      <c r="M7096" s="28" t="s">
        <v>51</v>
      </c>
      <c r="N7096" s="28" t="s">
        <v>51</v>
      </c>
    </row>
    <row r="7097" spans="1:14" ht="12.75" hidden="1" outlineLevel="1" x14ac:dyDescent="0.2">
      <c r="A7097" s="23" t="str">
        <f>HYPERLINK("https://www.spark-marketing.ru/Card/Person/59329", "МБОУ СОШ № 4 С.РАЕВСКИЙ")</f>
        <v>МБОУ СОШ № 4 С.РАЕВСКИЙ</v>
      </c>
      <c r="B7097" s="24" t="s">
        <v>10740</v>
      </c>
      <c r="C7097" s="25">
        <v>833419.62</v>
      </c>
      <c r="D7097" s="22" t="s">
        <v>10741</v>
      </c>
      <c r="E7097" s="22" t="s">
        <v>48</v>
      </c>
      <c r="F7097" s="23" t="str">
        <f>HYPERLINK("https://www.spark-marketing.ru/Card/Lot/72816918",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097" s="22" t="s">
        <v>145</v>
      </c>
      <c r="H7097" s="22" t="s">
        <v>10698</v>
      </c>
      <c r="I7097" s="26">
        <v>43692.666550925896</v>
      </c>
      <c r="J7097" s="23" t="str">
        <f>HYPERLINK("https://www.spark-marketing.ru/Card/Person/776224", "Резяпова Гузель Римовна")</f>
        <v>Резяпова Гузель Римовна</v>
      </c>
      <c r="K7097" s="24" t="s">
        <v>10699</v>
      </c>
      <c r="L7097" s="22" t="s">
        <v>10</v>
      </c>
      <c r="M7097" s="25">
        <v>833419.62</v>
      </c>
      <c r="N7097" s="27">
        <v>0</v>
      </c>
    </row>
    <row r="7098" spans="1:14" hidden="1" outlineLevel="1" x14ac:dyDescent="0.2">
      <c r="A7098" s="23" t="str">
        <f>HYPERLINK("https://www.spark-marketing.ru/Card/Person/59329", "МБОУ СОШ № 4 С.РАЕВСКИЙ")</f>
        <v>МБОУ СОШ № 4 С.РАЕВСКИЙ</v>
      </c>
      <c r="B7098" s="24" t="s">
        <v>10740</v>
      </c>
      <c r="C7098" s="25">
        <v>833419.62</v>
      </c>
      <c r="D7098" s="22" t="s">
        <v>10741</v>
      </c>
      <c r="E7098" s="22" t="s">
        <v>48</v>
      </c>
      <c r="F7098" s="23" t="str">
        <f>HYPERLINK("https://www.spark-marketing.ru/Card/Lot/72816918",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098" s="22" t="s">
        <v>145</v>
      </c>
      <c r="H7098" s="22" t="s">
        <v>10698</v>
      </c>
      <c r="I7098" s="26">
        <v>43692.666550925896</v>
      </c>
      <c r="J7098" s="23" t="str">
        <f>HYPERLINK("https://www.spark-marketing.ru/Card/Person/154304", "Резяпов Анвар Явдатович")</f>
        <v>Резяпов Анвар Явдатович</v>
      </c>
      <c r="K7098" s="24" t="s">
        <v>10700</v>
      </c>
      <c r="L7098" s="28" t="s">
        <v>51</v>
      </c>
      <c r="M7098" s="25">
        <v>833419.62</v>
      </c>
      <c r="N7098" s="27">
        <v>0</v>
      </c>
    </row>
    <row r="7099" spans="1:14" x14ac:dyDescent="0.15">
      <c r="A7099" s="23" t="str">
        <f>HYPERLINK("https://www.spark-marketing.ru/Card/Person/150320", "ГУ ""МЕЖМУНИЦИПАЛЬНЫЙ ОТДЕЛ МВД РОССИИ ""ИГРИНСКИЙ""")</f>
        <v>ГУ "МЕЖМУНИЦИПАЛЬНЫЙ ОТДЕЛ МВД РОССИИ "ИГРИНСКИЙ"</v>
      </c>
      <c r="B7099" s="24" t="s">
        <v>10704</v>
      </c>
      <c r="C7099" s="25">
        <v>40000</v>
      </c>
      <c r="D7099" s="22" t="s">
        <v>10742</v>
      </c>
      <c r="E7099" s="22" t="s">
        <v>96</v>
      </c>
      <c r="F7099" s="23" t="str">
        <f>HYPERLINK("https://www.spark-marketing.ru/Card/Lot/72816238", "Оказание услуг по организации питания (приготовлению и доставке), 158 шт")</f>
        <v>Оказание услуг по организации питания (приготовлению и доставке), 158 шт</v>
      </c>
      <c r="G7099" s="22" t="s">
        <v>852</v>
      </c>
      <c r="H7099" s="22" t="s">
        <v>10706</v>
      </c>
      <c r="I7099" s="26">
        <v>43692.698344907403</v>
      </c>
      <c r="J7099" s="28" t="s">
        <v>51</v>
      </c>
      <c r="K7099" s="28" t="s">
        <v>51</v>
      </c>
      <c r="L7099" s="28" t="s">
        <v>51</v>
      </c>
      <c r="M7099" s="28" t="s">
        <v>51</v>
      </c>
      <c r="N7099" s="28" t="s">
        <v>51</v>
      </c>
    </row>
    <row r="7100" spans="1:14" x14ac:dyDescent="0.15">
      <c r="A7100" s="23" t="str">
        <f>HYPERLINK("https://www.spark-marketing.ru/Card/Person/733861", "МБОУ СОШ С. БАЙГУЗИНО")</f>
        <v>МБОУ СОШ С. БАЙГУЗИНО</v>
      </c>
      <c r="B7100" s="24" t="s">
        <v>10743</v>
      </c>
      <c r="C7100" s="25">
        <v>848489.2</v>
      </c>
      <c r="D7100" s="22" t="s">
        <v>10744</v>
      </c>
      <c r="E7100" s="22" t="s">
        <v>48</v>
      </c>
      <c r="F7100" s="23" t="str">
        <f>HYPERLINK("https://www.spark-marketing.ru/Card/Lot/72816894", "Оказание услуг по организации горячего питания обучающихся и воспитанников дошкольной группы")</f>
        <v>Оказание услуг по организации горячего питания обучающихся и воспитанников дошкольной группы</v>
      </c>
      <c r="G7100" s="22" t="s">
        <v>145</v>
      </c>
      <c r="H7100" s="22" t="s">
        <v>10690</v>
      </c>
      <c r="I7100" s="26">
        <v>43692.645428240699</v>
      </c>
      <c r="J7100" s="23" t="str">
        <f>HYPERLINK("https://www.spark-marketing.ru/Card/Person/6275152", "ООО ""ЯНАУЛЬСКИЙ КДП""")</f>
        <v>ООО "ЯНАУЛЬСКИЙ КДП"</v>
      </c>
      <c r="K7100" s="24" t="s">
        <v>10674</v>
      </c>
      <c r="L7100" s="22" t="s">
        <v>10</v>
      </c>
      <c r="M7100" s="28" t="s">
        <v>51</v>
      </c>
      <c r="N7100" s="28" t="s">
        <v>51</v>
      </c>
    </row>
    <row r="7101" spans="1:14" x14ac:dyDescent="0.15">
      <c r="A7101" s="23" t="str">
        <f>HYPERLINK("https://www.spark-marketing.ru/Card/Person/997890", "ОТДЕЛ МВД РОССИИ ПО Г. ШАХУНЬЯ")</f>
        <v>ОТДЕЛ МВД РОССИИ ПО Г. ШАХУНЬЯ</v>
      </c>
      <c r="B7101" s="24" t="s">
        <v>3358</v>
      </c>
      <c r="C7101" s="25">
        <v>1861000</v>
      </c>
      <c r="D7101" s="22" t="s">
        <v>10745</v>
      </c>
      <c r="E7101" s="22" t="s">
        <v>48</v>
      </c>
      <c r="F7101" s="23" t="str">
        <f>HYPERLINK("https://www.spark-marketing.ru/Card/Lot/72821046", "Оказание услуг по организации питания лиц содержащихся в изоляторе временного содержания подозреваемых и обвиняемых в специальном помещении задержанных Отдела МВД России по г. Шахунья")</f>
        <v>Оказание услуг по организации питания лиц содержащихся в изоляторе временного содержания подозреваемых и обвиняемых в специальном помещении задержанных Отдела МВД России по г. Шахунья</v>
      </c>
      <c r="G7101" s="22" t="s">
        <v>76</v>
      </c>
      <c r="H7101" s="22" t="s">
        <v>3360</v>
      </c>
      <c r="I7101" s="26">
        <v>43692.593773148103</v>
      </c>
      <c r="J7101" s="28" t="s">
        <v>51</v>
      </c>
      <c r="K7101" s="28" t="s">
        <v>51</v>
      </c>
      <c r="L7101" s="28" t="s">
        <v>51</v>
      </c>
      <c r="M7101" s="28" t="s">
        <v>51</v>
      </c>
      <c r="N7101" s="28" t="s">
        <v>51</v>
      </c>
    </row>
    <row r="7102" spans="1:14" x14ac:dyDescent="0.15">
      <c r="A7102" s="23" t="str">
        <f>HYPERLINK("https://www.spark-marketing.ru/Card/Person/150320", "ГУ ""МЕЖМУНИЦИПАЛЬНЫЙ ОТДЕЛ МВД РОССИИ ""ИГРИНСКИЙ""")</f>
        <v>ГУ "МЕЖМУНИЦИПАЛЬНЫЙ ОТДЕЛ МВД РОССИИ "ИГРИНСКИЙ"</v>
      </c>
      <c r="B7102" s="24" t="s">
        <v>10704</v>
      </c>
      <c r="C7102" s="25">
        <v>196000</v>
      </c>
      <c r="D7102" s="22" t="s">
        <v>10746</v>
      </c>
      <c r="E7102" s="22" t="s">
        <v>96</v>
      </c>
      <c r="F7102" s="23" t="str">
        <f>HYPERLINK("https://www.spark-marketing.ru/Card/Lot/72815936", "Оказание услуг по организации питания (приготовлению и доставке), 567 шт")</f>
        <v>Оказание услуг по организации питания (приготовлению и доставке), 567 шт</v>
      </c>
      <c r="G7102" s="22" t="s">
        <v>852</v>
      </c>
      <c r="H7102" s="22" t="s">
        <v>10706</v>
      </c>
      <c r="I7102" s="26">
        <v>43692.695381944402</v>
      </c>
      <c r="J7102" s="28" t="s">
        <v>51</v>
      </c>
      <c r="K7102" s="28" t="s">
        <v>51</v>
      </c>
      <c r="L7102" s="28" t="s">
        <v>51</v>
      </c>
      <c r="M7102" s="28" t="s">
        <v>51</v>
      </c>
      <c r="N7102" s="28" t="s">
        <v>51</v>
      </c>
    </row>
    <row r="7103" spans="1:14" x14ac:dyDescent="0.15">
      <c r="A7103" s="23" t="str">
        <f>HYPERLINK("https://www.spark-marketing.ru/Card/Person/638887", "ОТДЕЛ МВД РОССИИ ПО КУЮРГАЗИНСКОМУ РАЙОНУ")</f>
        <v>ОТДЕЛ МВД РОССИИ ПО КУЮРГАЗИНСКОМУ РАЙОНУ</v>
      </c>
      <c r="B7103" s="24" t="s">
        <v>10747</v>
      </c>
      <c r="C7103" s="25">
        <v>200000</v>
      </c>
      <c r="D7103" s="22" t="s">
        <v>10748</v>
      </c>
      <c r="E7103" s="22" t="s">
        <v>96</v>
      </c>
      <c r="F7103" s="23" t="str">
        <f>HYPERLINK("https://www.spark-marketing.ru/Card/Lot/72813886", "Оказание услуг по организации питания (приготовлению и доставке), 769 шт")</f>
        <v>Оказание услуг по организации питания (приготовлению и доставке), 769 шт</v>
      </c>
      <c r="G7103" s="22" t="s">
        <v>145</v>
      </c>
      <c r="H7103" s="22" t="s">
        <v>1600</v>
      </c>
      <c r="I7103" s="26">
        <v>43692.646655092598</v>
      </c>
      <c r="J7103" s="28" t="s">
        <v>51</v>
      </c>
      <c r="K7103" s="28" t="s">
        <v>51</v>
      </c>
      <c r="L7103" s="28" t="s">
        <v>51</v>
      </c>
      <c r="M7103" s="28" t="s">
        <v>51</v>
      </c>
      <c r="N7103" s="28" t="s">
        <v>51</v>
      </c>
    </row>
    <row r="7104" spans="1:14" x14ac:dyDescent="0.15">
      <c r="A7104" s="23" t="str">
        <f>HYPERLINK("https://www.spark-marketing.ru/Card/Person/638887", "ОТДЕЛ МВД РОССИИ ПО КУЮРГАЗИНСКОМУ РАЙОНУ")</f>
        <v>ОТДЕЛ МВД РОССИИ ПО КУЮРГАЗИНСКОМУ РАЙОНУ</v>
      </c>
      <c r="B7104" s="24" t="s">
        <v>10747</v>
      </c>
      <c r="C7104" s="25">
        <v>250000</v>
      </c>
      <c r="D7104" s="22" t="s">
        <v>10749</v>
      </c>
      <c r="E7104" s="22" t="s">
        <v>96</v>
      </c>
      <c r="F7104" s="23" t="str">
        <f>HYPERLINK("https://www.spark-marketing.ru/Card/Lot/72811987", "Оказание услуг по организации питания (приготовлению и доставке), 962 шт")</f>
        <v>Оказание услуг по организации питания (приготовлению и доставке), 962 шт</v>
      </c>
      <c r="G7104" s="22" t="s">
        <v>145</v>
      </c>
      <c r="H7104" s="22" t="s">
        <v>1600</v>
      </c>
      <c r="I7104" s="26">
        <v>43692.644363425898</v>
      </c>
      <c r="J7104" s="28" t="s">
        <v>51</v>
      </c>
      <c r="K7104" s="28" t="s">
        <v>51</v>
      </c>
      <c r="L7104" s="28" t="s">
        <v>51</v>
      </c>
      <c r="M7104" s="28" t="s">
        <v>51</v>
      </c>
      <c r="N7104" s="28" t="s">
        <v>51</v>
      </c>
    </row>
    <row r="7105" spans="1:14" x14ac:dyDescent="0.15">
      <c r="A7105" s="23" t="str">
        <f>HYPERLINK("https://www.spark-marketing.ru/Card/Person/54648", "АО ""В/О""ИЗОТОП""")</f>
        <v>АО "В/О"ИЗОТОП"</v>
      </c>
      <c r="B7105" s="24" t="s">
        <v>9850</v>
      </c>
      <c r="C7105" s="28" t="s">
        <v>51</v>
      </c>
      <c r="D7105" s="22" t="s">
        <v>10750</v>
      </c>
      <c r="E7105" s="22" t="s">
        <v>67</v>
      </c>
      <c r="F7105" s="23" t="str">
        <f>HYPERLINK("https://www.spark-marketing.ru/Card/Lot/72936122", "Оказание услуг по организации питания в рамках командообразующего мероприятия.")</f>
        <v>Оказание услуг по организации питания в рамках командообразующего мероприятия.</v>
      </c>
      <c r="G7105" s="22" t="s">
        <v>56</v>
      </c>
      <c r="H7105" s="22" t="s">
        <v>56</v>
      </c>
      <c r="I7105" s="26">
        <v>43693.621678240699</v>
      </c>
      <c r="J7105" s="28" t="s">
        <v>51</v>
      </c>
      <c r="K7105" s="28" t="s">
        <v>51</v>
      </c>
      <c r="L7105" s="28" t="s">
        <v>51</v>
      </c>
      <c r="M7105" s="28" t="s">
        <v>51</v>
      </c>
      <c r="N7105" s="28" t="s">
        <v>51</v>
      </c>
    </row>
    <row r="7106" spans="1:14" collapsed="1" x14ac:dyDescent="0.15">
      <c r="A7106" s="23" t="s">
        <v>114</v>
      </c>
      <c r="B7106" s="28" t="s">
        <v>51</v>
      </c>
      <c r="C7106" s="25">
        <v>24052387.84</v>
      </c>
      <c r="D7106" s="22" t="s">
        <v>10751</v>
      </c>
      <c r="E7106" s="22" t="s">
        <v>48</v>
      </c>
      <c r="F7106" s="23" t="str">
        <f t="shared" ref="F7106:F7119" si="147">HYPERLINK("https://www.spark-marketing.ru/Card/Lot/72821846", "оказание услуг по организации сбалансированного питания воспитанников для нужд муниципальных автономных дошкольных образовательных учреждений")</f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06" s="22" t="s">
        <v>51</v>
      </c>
      <c r="H7106" s="22" t="s">
        <v>51</v>
      </c>
      <c r="I7106" s="26">
        <v>43692.653472222199</v>
      </c>
      <c r="J7106" s="28" t="s">
        <v>51</v>
      </c>
      <c r="K7106" s="28" t="s">
        <v>51</v>
      </c>
      <c r="L7106" s="28" t="s">
        <v>51</v>
      </c>
      <c r="M7106" s="28" t="s">
        <v>51</v>
      </c>
      <c r="N7106" s="28" t="s">
        <v>51</v>
      </c>
    </row>
    <row r="7107" spans="1:14" hidden="1" outlineLevel="1" x14ac:dyDescent="0.15">
      <c r="A7107" s="23" t="str">
        <f>HYPERLINK("https://www.spark-marketing.ru/Card/Person/87396", "МАДОУ ""ДЕТСКИЙ САД КОМБИНИРОВАННОГО ВИДА №110 ""КУРОЧКА РЯБА""")</f>
        <v>МАДОУ "ДЕТСКИЙ САД КОМБИНИРОВАННОГО ВИДА №110 "КУРОЧКА РЯБА"</v>
      </c>
      <c r="B7107" s="24" t="s">
        <v>9648</v>
      </c>
      <c r="C7107" s="25">
        <v>1802711.04</v>
      </c>
      <c r="D7107" s="22" t="s">
        <v>10751</v>
      </c>
      <c r="E7107" s="22" t="s">
        <v>48</v>
      </c>
      <c r="F7107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07" s="22" t="s">
        <v>217</v>
      </c>
      <c r="H7107" s="22" t="s">
        <v>1998</v>
      </c>
      <c r="I7107" s="26">
        <v>43692.653472222199</v>
      </c>
      <c r="J7107" s="28" t="s">
        <v>51</v>
      </c>
      <c r="K7107" s="28" t="s">
        <v>51</v>
      </c>
      <c r="L7107" s="28" t="s">
        <v>51</v>
      </c>
      <c r="M7107" s="28" t="s">
        <v>51</v>
      </c>
      <c r="N7107" s="28" t="s">
        <v>51</v>
      </c>
    </row>
    <row r="7108" spans="1:14" hidden="1" outlineLevel="1" x14ac:dyDescent="0.15">
      <c r="A7108" s="23" t="str">
        <f>HYPERLINK("https://www.spark-marketing.ru/Card/Person/87467", "МАДОУ ""ЦЕНТР РАЗВИТИЯ РЕБЕНКА - ДЕТСКИЙ САД №111 ""БАТЫР""")</f>
        <v>МАДОУ "ЦЕНТР РАЗВИТИЯ РЕБЕНКА - ДЕТСКИЙ САД №111 "БАТЫР"</v>
      </c>
      <c r="B7108" s="24" t="s">
        <v>10752</v>
      </c>
      <c r="C7108" s="25">
        <v>3199406.0800000001</v>
      </c>
      <c r="D7108" s="22" t="s">
        <v>10751</v>
      </c>
      <c r="E7108" s="22" t="s">
        <v>48</v>
      </c>
      <c r="F7108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08" s="22" t="s">
        <v>217</v>
      </c>
      <c r="H7108" s="22" t="s">
        <v>1998</v>
      </c>
      <c r="I7108" s="26">
        <v>43692.653472222199</v>
      </c>
      <c r="J7108" s="28" t="s">
        <v>51</v>
      </c>
      <c r="K7108" s="28" t="s">
        <v>51</v>
      </c>
      <c r="L7108" s="28" t="s">
        <v>51</v>
      </c>
      <c r="M7108" s="28" t="s">
        <v>51</v>
      </c>
      <c r="N7108" s="28" t="s">
        <v>51</v>
      </c>
    </row>
    <row r="7109" spans="1:14" hidden="1" outlineLevel="1" x14ac:dyDescent="0.15">
      <c r="A7109" s="23" t="str">
        <f>HYPERLINK("https://www.spark-marketing.ru/Card/Person/87471", "МАДОУ ""ДЕТСКИЙ САД ОБЩЕРАЗВИВАЮЩЕГО ВИДА С ПРИОРИТЕТНЫМ ОСУЩЕСТВЛЕНИЕМ ДЕЯТЕЛЬНОСТИ ПО ПОЗНАВАТЕЛЬНО-РЕЧЕВОМУ НАПРАВЛЕНИЮ РАЗВИТИЯ ВОСПИТАННИКОВ №108 ""СЧАСТЛИВОЕ ДЕТСТВО""")</f>
        <v>МАДОУ "ДЕТСКИЙ САД ОБЩЕРАЗВИВАЮЩЕГО ВИДА С ПРИОРИТЕТНЫМ ОСУЩЕСТВЛЕНИЕМ ДЕЯТЕЛЬНОСТИ ПО ПОЗНАВАТЕЛЬНО-РЕЧЕВОМУ НАПРАВЛЕНИЮ РАЗВИТИЯ ВОСПИТАННИКОВ №108 "СЧАСТЛИВОЕ ДЕТСТВО"</v>
      </c>
      <c r="B7109" s="24" t="s">
        <v>10753</v>
      </c>
      <c r="C7109" s="25">
        <v>1932636.1599999999</v>
      </c>
      <c r="D7109" s="22" t="s">
        <v>10751</v>
      </c>
      <c r="E7109" s="22" t="s">
        <v>48</v>
      </c>
      <c r="F7109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09" s="22" t="s">
        <v>217</v>
      </c>
      <c r="H7109" s="22" t="s">
        <v>1998</v>
      </c>
      <c r="I7109" s="26">
        <v>43692.653472222199</v>
      </c>
      <c r="J7109" s="28" t="s">
        <v>51</v>
      </c>
      <c r="K7109" s="28" t="s">
        <v>51</v>
      </c>
      <c r="L7109" s="28" t="s">
        <v>51</v>
      </c>
      <c r="M7109" s="28" t="s">
        <v>51</v>
      </c>
      <c r="N7109" s="28" t="s">
        <v>51</v>
      </c>
    </row>
    <row r="7110" spans="1:14" hidden="1" outlineLevel="1" x14ac:dyDescent="0.15">
      <c r="A7110" s="23" t="str">
        <f>HYPERLINK("https://www.spark-marketing.ru/Card/Person/88221", "МАДОУ ""ДЕТСКИЙ САД ОБЩЕРАЗВИВАЮЩЕГО ВИДА С ПРИОРИТЕТНЫМ ОСУЩЕСТВЛЕНИЕМ ДЕЯТЕЛЬНОСТИ ПО ПОЗНАВАТЕЛЬНО-РЕЧЕВОМУ НАПРАВЛЕНИЮ РАЗВИТИЯ ВОСПИТАННИКОВ №119 ""КРОХА""")</f>
        <v>МАДОУ "ДЕТСКИЙ САД ОБЩЕРАЗВИВАЮЩЕГО ВИДА С ПРИОРИТЕТНЫМ ОСУЩЕСТВЛЕНИЕМ ДЕЯТЕЛЬНОСТИ ПО ПОЗНАВАТЕЛЬНО-РЕЧЕВОМУ НАПРАВЛЕНИЮ РАЗВИТИЯ ВОСПИТАННИКОВ №119 "КРОХА"</v>
      </c>
      <c r="B7110" s="24" t="s">
        <v>10754</v>
      </c>
      <c r="C7110" s="25">
        <v>2460456.96</v>
      </c>
      <c r="D7110" s="22" t="s">
        <v>10751</v>
      </c>
      <c r="E7110" s="22" t="s">
        <v>48</v>
      </c>
      <c r="F7110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10" s="22" t="s">
        <v>217</v>
      </c>
      <c r="H7110" s="22" t="s">
        <v>1998</v>
      </c>
      <c r="I7110" s="26">
        <v>43692.653472222199</v>
      </c>
      <c r="J7110" s="28" t="s">
        <v>51</v>
      </c>
      <c r="K7110" s="28" t="s">
        <v>51</v>
      </c>
      <c r="L7110" s="28" t="s">
        <v>51</v>
      </c>
      <c r="M7110" s="28" t="s">
        <v>51</v>
      </c>
      <c r="N7110" s="28" t="s">
        <v>51</v>
      </c>
    </row>
    <row r="7111" spans="1:14" hidden="1" outlineLevel="1" x14ac:dyDescent="0.15">
      <c r="A7111" s="23" t="str">
        <f>HYPERLINK("https://www.spark-marketing.ru/Card/Person/88300", "МАДОУ ""ДЕТСКИЙ САД ОБЩЕРАЗВИВАЮЩЕГО ВИДА С ПРИОРИТЕТНЫМ ОСУЩЕСТВЛЕНИЕМ ДЕЯТЕЛЬНОСТИ ПО ПОЗНАВАТЕЛЬНО-РЕЧЕВОМУ НАПРАВЛЕНИЮ РАЗВИТИЯ ВОСПИТАННИКОВ №116 ""ФИАЛКА""")</f>
        <v>МАДОУ "ДЕТСКИЙ САД ОБЩЕРАЗВИВАЮЩЕГО ВИДА С ПРИОРИТЕТНЫМ ОСУЩЕСТВЛЕНИЕМ ДЕЯТЕЛЬНОСТИ ПО ПОЗНАВАТЕЛЬНО-РЕЧЕВОМУ НАПРАВЛЕНИЮ РАЗВИТИЯ ВОСПИТАННИКОВ №116 "ФИАЛКА"</v>
      </c>
      <c r="B7111" s="24" t="s">
        <v>10755</v>
      </c>
      <c r="C7111" s="25">
        <v>1956997.1200000001</v>
      </c>
      <c r="D7111" s="22" t="s">
        <v>10751</v>
      </c>
      <c r="E7111" s="22" t="s">
        <v>48</v>
      </c>
      <c r="F7111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11" s="22" t="s">
        <v>217</v>
      </c>
      <c r="H7111" s="22" t="s">
        <v>1998</v>
      </c>
      <c r="I7111" s="26">
        <v>43692.653472222199</v>
      </c>
      <c r="J7111" s="28" t="s">
        <v>51</v>
      </c>
      <c r="K7111" s="28" t="s">
        <v>51</v>
      </c>
      <c r="L7111" s="28" t="s">
        <v>51</v>
      </c>
      <c r="M7111" s="28" t="s">
        <v>51</v>
      </c>
      <c r="N7111" s="28" t="s">
        <v>51</v>
      </c>
    </row>
    <row r="7112" spans="1:14" hidden="1" outlineLevel="1" x14ac:dyDescent="0.15">
      <c r="A7112" s="23" t="str">
        <f>HYPERLINK("https://www.spark-marketing.ru/Card/Person/88456", "МАДОУ ""ДЕТСКИЙ САД КОМБИНИРОВАННОГО ВИДА №109 ""КУРАЙ""")</f>
        <v>МАДОУ "ДЕТСКИЙ САД КОМБИНИРОВАННОГО ВИДА №109 "КУРАЙ"</v>
      </c>
      <c r="B7112" s="24" t="s">
        <v>9647</v>
      </c>
      <c r="C7112" s="25">
        <v>1583462.3999999999</v>
      </c>
      <c r="D7112" s="22" t="s">
        <v>10751</v>
      </c>
      <c r="E7112" s="22" t="s">
        <v>48</v>
      </c>
      <c r="F7112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12" s="22" t="s">
        <v>217</v>
      </c>
      <c r="H7112" s="22" t="s">
        <v>1998</v>
      </c>
      <c r="I7112" s="26">
        <v>43692.653472222199</v>
      </c>
      <c r="J7112" s="28" t="s">
        <v>51</v>
      </c>
      <c r="K7112" s="28" t="s">
        <v>51</v>
      </c>
      <c r="L7112" s="28" t="s">
        <v>51</v>
      </c>
      <c r="M7112" s="28" t="s">
        <v>51</v>
      </c>
      <c r="N7112" s="28" t="s">
        <v>51</v>
      </c>
    </row>
    <row r="7113" spans="1:14" hidden="1" outlineLevel="1" x14ac:dyDescent="0.15">
      <c r="A7113" s="23" t="str">
        <f>HYPERLINK("https://www.spark-marketing.ru/Card/Person/88479", "МАДОУ ""ДЕТСКИЙ САД ОБЩЕРАЗВИВАЮЩЕГО ВИДА С ПРИОРИТЕТНЫМ ОСУЩЕСТВЛЕНИЕМ ДЕЯТЕЛЬНОСТИ ПО ПОЗНАВАТЕЛЬНО-РЕЧЕВОМУ НАПРАВЛЕНИЮ РАЗВИТИЯ ВОСПИТАННИКОВ №114 ""ЧЕЛНИНСКАЯ МОЗАИКА""")</f>
        <v>МАДОУ "ДЕТСКИЙ САД ОБЩЕРАЗВИВАЮЩЕГО ВИДА С ПРИОРИТЕТНЫМ ОСУЩЕСТВЛЕНИЕМ ДЕЯТЕЛЬНОСТИ ПО ПОЗНАВАТЕЛЬНО-РЕЧЕВОМУ НАПРАВЛЕНИЮ РАЗВИТИЯ ВОСПИТАННИКОВ №114 "ЧЕЛНИНСКАЯ МОЗАИКА"</v>
      </c>
      <c r="B7113" s="24" t="s">
        <v>10756</v>
      </c>
      <c r="C7113" s="25">
        <v>2070681.6000000001</v>
      </c>
      <c r="D7113" s="22" t="s">
        <v>10751</v>
      </c>
      <c r="E7113" s="22" t="s">
        <v>48</v>
      </c>
      <c r="F7113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13" s="22" t="s">
        <v>217</v>
      </c>
      <c r="H7113" s="22" t="s">
        <v>1998</v>
      </c>
      <c r="I7113" s="26">
        <v>43692.653472222199</v>
      </c>
      <c r="J7113" s="28" t="s">
        <v>51</v>
      </c>
      <c r="K7113" s="28" t="s">
        <v>51</v>
      </c>
      <c r="L7113" s="28" t="s">
        <v>51</v>
      </c>
      <c r="M7113" s="28" t="s">
        <v>51</v>
      </c>
      <c r="N7113" s="28" t="s">
        <v>51</v>
      </c>
    </row>
    <row r="7114" spans="1:14" hidden="1" outlineLevel="1" x14ac:dyDescent="0.15">
      <c r="A7114" s="23" t="str">
        <f>HYPERLINK("https://www.spark-marketing.ru/Card/Person/88498", "МАДОУ ""ДЕТСКИЙ САД ОБЩЕРАЗВИВАЮЩЕГО ВИДА С ПРИОРИТЕТНЫМ ОСУЩЕСТВЛЕНИЕМ ДЕЯТЕЛЬНОСТИ ПО ПОЗНАВАТЕЛЬНО-РЕЧЕВОМУ НАПРАВЛЕНИЮ РАЗВИТИЯ ВОСПИТАННИКОВ №115 ""ЗВЕЗДОЧКИ""")</f>
        <v>МАДОУ "ДЕТСКИЙ САД ОБЩЕРАЗВИВАЮЩЕГО ВИДА С ПРИОРИТЕТНЫМ ОСУЩЕСТВЛЕНИЕМ ДЕЯТЕЛЬНОСТИ ПО ПОЗНАВАТЕЛЬНО-РЕЧЕВОМУ НАПРАВЛЕНИЮ РАЗВИТИЯ ВОСПИТАННИКОВ №115 "ЗВЕЗДОЧКИ"</v>
      </c>
      <c r="B7114" s="24" t="s">
        <v>10757</v>
      </c>
      <c r="C7114" s="25">
        <v>2387374.0800000001</v>
      </c>
      <c r="D7114" s="22" t="s">
        <v>10751</v>
      </c>
      <c r="E7114" s="22" t="s">
        <v>48</v>
      </c>
      <c r="F7114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14" s="22" t="s">
        <v>217</v>
      </c>
      <c r="H7114" s="22" t="s">
        <v>1998</v>
      </c>
      <c r="I7114" s="26">
        <v>43692.653472222199</v>
      </c>
      <c r="J7114" s="28" t="s">
        <v>51</v>
      </c>
      <c r="K7114" s="28" t="s">
        <v>51</v>
      </c>
      <c r="L7114" s="28" t="s">
        <v>51</v>
      </c>
      <c r="M7114" s="28" t="s">
        <v>51</v>
      </c>
      <c r="N7114" s="28" t="s">
        <v>51</v>
      </c>
    </row>
    <row r="7115" spans="1:14" hidden="1" outlineLevel="1" x14ac:dyDescent="0.15">
      <c r="A7115" s="23" t="str">
        <f>HYPERLINK("https://www.spark-marketing.ru/Card/Person/88519", "МАДОУ ""ДЕТСКИЙ САД ОБЩЕРАЗВИВАЮЩЕГО ВИДА С ПРИОРИТЕТНЫМ ОСУЩЕСТВЛЕНИЕМ ДЕЯТЕЛЬНОСТИ ПО ПОЗНАВАТЕЛЬНО-РЕЧЕВОМУ НАПРАВЛЕНИЮ РАЗВИТИЯ ВОСПИТАННИКОВ №113 ""НЕПОСЕДЫ""")</f>
        <v>МАДОУ "ДЕТСКИЙ САД ОБЩЕРАЗВИВАЮЩЕГО ВИДА С ПРИОРИТЕТНЫМ ОСУЩЕСТВЛЕНИЕМ ДЕЯТЕЛЬНОСТИ ПО ПОЗНАВАТЕЛЬНО-РЕЧЕВОМУ НАПРАВЛЕНИЮ РАЗВИТИЯ ВОСПИТАННИКОВ №113 "НЕПОСЕДЫ"</v>
      </c>
      <c r="B7115" s="24" t="s">
        <v>10758</v>
      </c>
      <c r="C7115" s="25">
        <v>2119403.52</v>
      </c>
      <c r="D7115" s="22" t="s">
        <v>10751</v>
      </c>
      <c r="E7115" s="22" t="s">
        <v>48</v>
      </c>
      <c r="F7115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15" s="22" t="s">
        <v>217</v>
      </c>
      <c r="H7115" s="22" t="s">
        <v>1998</v>
      </c>
      <c r="I7115" s="26">
        <v>43692.653472222199</v>
      </c>
      <c r="J7115" s="28" t="s">
        <v>51</v>
      </c>
      <c r="K7115" s="28" t="s">
        <v>51</v>
      </c>
      <c r="L7115" s="28" t="s">
        <v>51</v>
      </c>
      <c r="M7115" s="28" t="s">
        <v>51</v>
      </c>
      <c r="N7115" s="28" t="s">
        <v>51</v>
      </c>
    </row>
    <row r="7116" spans="1:14" hidden="1" outlineLevel="1" x14ac:dyDescent="0.15">
      <c r="A7116" s="23" t="str">
        <f>HYPERLINK("https://www.spark-marketing.ru/Card/Person/88807", "МАДОУ ""ДЕТСКИЙ САД ОБЩЕРАЗВИВАЮЩЕГО ВИДА С ПРИОРИТЕТНЫМ ОСУЩЕСТВЛЕНИЕМ ДЕЯТЕЛЬНОСТИ ПО ПОЗНАВАТЕЛЬНО-РЕЧЕВОМУ НАПРАВЛЕНИЮ РАЗВИТИЯ ВОСПИТАННИКОВ №118 ""ЯБЛОЧКО""")</f>
        <v>МАДОУ "ДЕТСКИЙ САД ОБЩЕРАЗВИВАЮЩЕГО ВИДА С ПРИОРИТЕТНЫМ ОСУЩЕСТВЛЕНИЕМ ДЕЯТЕЛЬНОСТИ ПО ПОЗНАВАТЕЛЬНО-РЕЧЕВОМУ НАПРАВЛЕНИЮ РАЗВИТИЯ ВОСПИТАННИКОВ №118 "ЯБЛОЧКО"</v>
      </c>
      <c r="B7116" s="24" t="s">
        <v>10759</v>
      </c>
      <c r="C7116" s="25">
        <v>2371133.4399999999</v>
      </c>
      <c r="D7116" s="22" t="s">
        <v>10751</v>
      </c>
      <c r="E7116" s="22" t="s">
        <v>48</v>
      </c>
      <c r="F7116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16" s="22" t="s">
        <v>217</v>
      </c>
      <c r="H7116" s="22" t="s">
        <v>1998</v>
      </c>
      <c r="I7116" s="26">
        <v>43692.653472222199</v>
      </c>
      <c r="J7116" s="28" t="s">
        <v>51</v>
      </c>
      <c r="K7116" s="28" t="s">
        <v>51</v>
      </c>
      <c r="L7116" s="28" t="s">
        <v>51</v>
      </c>
      <c r="M7116" s="28" t="s">
        <v>51</v>
      </c>
      <c r="N7116" s="28" t="s">
        <v>51</v>
      </c>
    </row>
    <row r="7117" spans="1:14" hidden="1" outlineLevel="1" x14ac:dyDescent="0.15">
      <c r="A7117" s="23" t="str">
        <f>HYPERLINK("https://www.spark-marketing.ru/Card/Person/89007", "МАДОУ ""ДЕТСКИЙ САД ОБЩЕРАЗВИВАЮЩЕГО ВИДА С ПРИОРИТЕТНЫМ ОСУЩЕСТВЛЕНИЕМ ДЕЯТЕЛЬНОСТИ ПО ПОЗНАВАТЕЛЬНО-РЕЧЕВОМУ НАПРАВЛЕНИЮ РАЗВИТИЯ ВОСПИТАННИКОВ №117 ""УЕНЧЫК""")</f>
        <v>МАДОУ "ДЕТСКИЙ САД ОБЩЕРАЗВИВАЮЩЕГО ВИДА С ПРИОРИТЕТНЫМ ОСУЩЕСТВЛЕНИЕМ ДЕЯТЕЛЬНОСТИ ПО ПОЗНАВАТЕЛЬНО-РЕЧЕВОМУ НАПРАВЛЕНИЮ РАЗВИТИЯ ВОСПИТАННИКОВ №117 "УЕНЧЫК"</v>
      </c>
      <c r="B7117" s="24" t="s">
        <v>10760</v>
      </c>
      <c r="C7117" s="25">
        <v>2168125.4399999999</v>
      </c>
      <c r="D7117" s="22" t="s">
        <v>10751</v>
      </c>
      <c r="E7117" s="22" t="s">
        <v>48</v>
      </c>
      <c r="F7117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17" s="22" t="s">
        <v>217</v>
      </c>
      <c r="H7117" s="22" t="s">
        <v>1998</v>
      </c>
      <c r="I7117" s="26">
        <v>43692.653472222199</v>
      </c>
      <c r="J7117" s="28" t="s">
        <v>51</v>
      </c>
      <c r="K7117" s="28" t="s">
        <v>51</v>
      </c>
      <c r="L7117" s="28" t="s">
        <v>51</v>
      </c>
      <c r="M7117" s="28" t="s">
        <v>51</v>
      </c>
      <c r="N7117" s="28" t="s">
        <v>51</v>
      </c>
    </row>
    <row r="7118" spans="1:14" hidden="1" outlineLevel="1" x14ac:dyDescent="0.2">
      <c r="A7118" s="28" t="s">
        <v>51</v>
      </c>
      <c r="B7118" s="28" t="s">
        <v>51</v>
      </c>
      <c r="C7118" s="28" t="s">
        <v>51</v>
      </c>
      <c r="D7118" s="22" t="s">
        <v>10751</v>
      </c>
      <c r="E7118" s="22" t="s">
        <v>48</v>
      </c>
      <c r="F7118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18" s="22" t="s">
        <v>51</v>
      </c>
      <c r="H7118" s="22" t="s">
        <v>51</v>
      </c>
      <c r="I7118" s="26">
        <v>43692.653472222199</v>
      </c>
      <c r="J7118" s="23" t="str">
        <f>HYPERLINK("https://www.spark-marketing.ru/Card/Person/87385", "ООО ""ШКОЛЬНОЕ ПИТАНИЕ""")</f>
        <v>ООО "ШКОЛЬНОЕ ПИТАНИЕ"</v>
      </c>
      <c r="K7118" s="24" t="s">
        <v>6356</v>
      </c>
      <c r="L7118" s="22" t="s">
        <v>10</v>
      </c>
      <c r="M7118" s="25">
        <v>24052387.84</v>
      </c>
      <c r="N7118" s="27">
        <v>0</v>
      </c>
    </row>
    <row r="7119" spans="1:14" hidden="1" outlineLevel="1" x14ac:dyDescent="0.2">
      <c r="A7119" s="28" t="s">
        <v>51</v>
      </c>
      <c r="B7119" s="28" t="s">
        <v>51</v>
      </c>
      <c r="C7119" s="28" t="s">
        <v>51</v>
      </c>
      <c r="D7119" s="22" t="s">
        <v>10751</v>
      </c>
      <c r="E7119" s="22" t="s">
        <v>48</v>
      </c>
      <c r="F7119" s="23" t="str">
        <f t="shared" si="14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119" s="22" t="s">
        <v>51</v>
      </c>
      <c r="H7119" s="22" t="s">
        <v>51</v>
      </c>
      <c r="I7119" s="26">
        <v>43692.653472222199</v>
      </c>
      <c r="J7119" s="23" t="str">
        <f>HYPERLINK("https://www.spark-marketing.ru/Card/Person/300377", "ООО ""ТУЙМАЗЫ-ФРУКТ""")</f>
        <v>ООО "ТУЙМАЗЫ-ФРУКТ"</v>
      </c>
      <c r="K7119" s="24" t="s">
        <v>9052</v>
      </c>
      <c r="L7119" s="28" t="s">
        <v>51</v>
      </c>
      <c r="M7119" s="25">
        <v>24052387.84</v>
      </c>
      <c r="N7119" s="27">
        <v>0</v>
      </c>
    </row>
    <row r="7120" spans="1:14" x14ac:dyDescent="0.15">
      <c r="A7120" s="23" t="str">
        <f>HYPERLINK("https://www.spark-marketing.ru/Card/Person/54391", "ОТДЕЛ МВД РОССИИ ПО ТУРУХАНСКОМУ РАЙОНУ")</f>
        <v>ОТДЕЛ МВД РОССИИ ПО ТУРУХАНСКОМУ РАЙОНУ</v>
      </c>
      <c r="B7120" s="24" t="s">
        <v>10761</v>
      </c>
      <c r="C7120" s="25">
        <v>1227825</v>
      </c>
      <c r="D7120" s="22" t="s">
        <v>10762</v>
      </c>
      <c r="E7120" s="22" t="s">
        <v>48</v>
      </c>
      <c r="F7120" s="23" t="str">
        <f>HYPERLINK("https://www.spark-marketing.ru/Card/Lot/72810252", "Оказание услуг по организации горячего трёхразового питания лиц, содержащихся в ИВС")</f>
        <v>Оказание услуг по организации горячего трёхразового питания лиц, содержащихся в ИВС</v>
      </c>
      <c r="G7120" s="22" t="s">
        <v>281</v>
      </c>
      <c r="H7120" s="22" t="s">
        <v>281</v>
      </c>
      <c r="I7120" s="26">
        <v>43692.522083333301</v>
      </c>
      <c r="J7120" s="28" t="s">
        <v>51</v>
      </c>
      <c r="K7120" s="28" t="s">
        <v>51</v>
      </c>
      <c r="L7120" s="28" t="s">
        <v>51</v>
      </c>
      <c r="M7120" s="28" t="s">
        <v>51</v>
      </c>
      <c r="N7120" s="28" t="s">
        <v>51</v>
      </c>
    </row>
    <row r="7121" spans="1:14" x14ac:dyDescent="0.15">
      <c r="A7121" s="23" t="str">
        <f>HYPERLINK("https://www.spark-marketing.ru/Card/Person/54391", "ОТДЕЛ МВД РОССИИ ПО ТУРУХАНСКОМУ РАЙОНУ")</f>
        <v>ОТДЕЛ МВД РОССИИ ПО ТУРУХАНСКОМУ РАЙОНУ</v>
      </c>
      <c r="B7121" s="24" t="s">
        <v>10761</v>
      </c>
      <c r="C7121" s="25">
        <v>1266048</v>
      </c>
      <c r="D7121" s="22" t="s">
        <v>10763</v>
      </c>
      <c r="E7121" s="22" t="s">
        <v>48</v>
      </c>
      <c r="F7121" s="23" t="str">
        <f>HYPERLINK("https://www.spark-marketing.ru/Card/Lot/72810222", "Оказание услуг по организации горячего трёхразового питания лиц, содержащихся в ИВС")</f>
        <v>Оказание услуг по организации горячего трёхразового питания лиц, содержащихся в ИВС</v>
      </c>
      <c r="G7121" s="22" t="s">
        <v>281</v>
      </c>
      <c r="H7121" s="22" t="s">
        <v>281</v>
      </c>
      <c r="I7121" s="26">
        <v>43692.510312500002</v>
      </c>
      <c r="J7121" s="28" t="s">
        <v>51</v>
      </c>
      <c r="K7121" s="28" t="s">
        <v>51</v>
      </c>
      <c r="L7121" s="28" t="s">
        <v>51</v>
      </c>
      <c r="M7121" s="28" t="s">
        <v>51</v>
      </c>
      <c r="N7121" s="28" t="s">
        <v>51</v>
      </c>
    </row>
    <row r="7122" spans="1:14" x14ac:dyDescent="0.15">
      <c r="A7122" s="23" t="str">
        <f>HYPERLINK("https://www.spark-marketing.ru/Card/Person/874027", "ГБУ КК ""ЦОП ПО САМБО И ДЗЮДО""")</f>
        <v>ГБУ КК "ЦОП ПО САМБО И ДЗЮДО"</v>
      </c>
      <c r="B7122" s="24" t="s">
        <v>10764</v>
      </c>
      <c r="C7122" s="25">
        <v>140000</v>
      </c>
      <c r="D7122" s="22" t="s">
        <v>10765</v>
      </c>
      <c r="E7122" s="22" t="s">
        <v>10766</v>
      </c>
      <c r="F7122" s="23" t="str">
        <f>HYPERLINK("https://www.spark-marketing.ru/Card/Lot/72818546", "Оказание услуг по организации и проведению спортивных мероприятий")</f>
        <v>Оказание услуг по организации и проведению спортивных мероприятий</v>
      </c>
      <c r="G7122" s="22" t="s">
        <v>104</v>
      </c>
      <c r="H7122" s="22" t="s">
        <v>3800</v>
      </c>
      <c r="I7122" s="26">
        <v>43691.628171296303</v>
      </c>
      <c r="J7122" s="23" t="str">
        <f>HYPERLINK("https://www.spark-marketing.ru/Card/Person/1172445", "Маркарьян Елена Леонтьевна")</f>
        <v>Маркарьян Елена Леонтьевна</v>
      </c>
      <c r="K7122" s="24" t="s">
        <v>10767</v>
      </c>
      <c r="L7122" s="22" t="s">
        <v>10</v>
      </c>
      <c r="M7122" s="28" t="s">
        <v>51</v>
      </c>
      <c r="N7122" s="28" t="s">
        <v>51</v>
      </c>
    </row>
    <row r="7123" spans="1:14" collapsed="1" x14ac:dyDescent="0.15">
      <c r="A7123" s="23" t="s">
        <v>114</v>
      </c>
      <c r="B7123" s="28" t="s">
        <v>51</v>
      </c>
      <c r="C7123" s="25">
        <v>6174519</v>
      </c>
      <c r="D7123" s="22" t="s">
        <v>10768</v>
      </c>
      <c r="E7123" s="22" t="s">
        <v>48</v>
      </c>
      <c r="F7123" s="23" t="str">
        <f t="shared" ref="F7123:F7142" si="148">HYPERLINK("https://www.spark-marketing.ru/Card/Lot/72821279", "СОВМЕСТНЫЙ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предприни...")</f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23" s="22" t="s">
        <v>51</v>
      </c>
      <c r="H7123" s="22" t="s">
        <v>51</v>
      </c>
      <c r="I7123" s="26">
        <v>43691.651238425897</v>
      </c>
      <c r="J7123" s="23" t="str">
        <f t="shared" ref="J7123:J7142" si="149">HYPERLINK("https://www.spark-marketing.ru/Card/Person/6580511", "ООО ""ПРОМСЕРВИС""")</f>
        <v>ООО "ПРОМСЕРВИС"</v>
      </c>
      <c r="K7123" s="24" t="s">
        <v>10769</v>
      </c>
      <c r="L7123" s="28" t="s">
        <v>51</v>
      </c>
      <c r="M7123" s="28" t="s">
        <v>51</v>
      </c>
      <c r="N7123" s="28" t="s">
        <v>51</v>
      </c>
    </row>
    <row r="7124" spans="1:14" hidden="1" outlineLevel="1" x14ac:dyDescent="0.15">
      <c r="A7124" s="23" t="str">
        <f>HYPERLINK("https://www.spark-marketing.ru/Card/Person/1010828", "МБОУ ГИМНАЗИЯ №3 Г.ПРОЛЕТАРСКА")</f>
        <v>МБОУ ГИМНАЗИЯ №3 Г.ПРОЛЕТАРСКА</v>
      </c>
      <c r="B7124" s="24" t="s">
        <v>10770</v>
      </c>
      <c r="C7124" s="25">
        <v>675272</v>
      </c>
      <c r="D7124" s="22" t="s">
        <v>10768</v>
      </c>
      <c r="E7124" s="22" t="s">
        <v>48</v>
      </c>
      <c r="F7124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24" s="22" t="s">
        <v>267</v>
      </c>
      <c r="H7124" s="22" t="s">
        <v>267</v>
      </c>
      <c r="I7124" s="26">
        <v>43691.651238425897</v>
      </c>
      <c r="J7124" s="23" t="str">
        <f t="shared" si="149"/>
        <v>ООО "ПРОМСЕРВИС"</v>
      </c>
      <c r="K7124" s="24" t="s">
        <v>10769</v>
      </c>
      <c r="L7124" s="28" t="s">
        <v>51</v>
      </c>
      <c r="M7124" s="28" t="s">
        <v>51</v>
      </c>
      <c r="N7124" s="28" t="s">
        <v>51</v>
      </c>
    </row>
    <row r="7125" spans="1:14" hidden="1" outlineLevel="1" x14ac:dyDescent="0.15">
      <c r="A7125" s="23" t="str">
        <f>HYPERLINK("https://www.spark-marketing.ru/Card/Person/1011846", "МБОУ ПРОЛЕТАРСКАЯ СОШ №5")</f>
        <v>МБОУ ПРОЛЕТАРСКАЯ СОШ №5</v>
      </c>
      <c r="B7125" s="24" t="s">
        <v>10771</v>
      </c>
      <c r="C7125" s="25">
        <v>937082</v>
      </c>
      <c r="D7125" s="22" t="s">
        <v>10768</v>
      </c>
      <c r="E7125" s="22" t="s">
        <v>48</v>
      </c>
      <c r="F7125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25" s="22" t="s">
        <v>267</v>
      </c>
      <c r="H7125" s="22" t="s">
        <v>267</v>
      </c>
      <c r="I7125" s="26">
        <v>43691.651238425897</v>
      </c>
      <c r="J7125" s="23" t="str">
        <f t="shared" si="149"/>
        <v>ООО "ПРОМСЕРВИС"</v>
      </c>
      <c r="K7125" s="24" t="s">
        <v>10769</v>
      </c>
      <c r="L7125" s="28" t="s">
        <v>51</v>
      </c>
      <c r="M7125" s="28" t="s">
        <v>51</v>
      </c>
      <c r="N7125" s="28" t="s">
        <v>51</v>
      </c>
    </row>
    <row r="7126" spans="1:14" hidden="1" outlineLevel="1" x14ac:dyDescent="0.15">
      <c r="A7126" s="23" t="str">
        <f>HYPERLINK("https://www.spark-marketing.ru/Card/Person/1012628", "МБОУ КОВРИНОВСКАЯ СОШ")</f>
        <v>МБОУ КОВРИНОВСКАЯ СОШ</v>
      </c>
      <c r="B7126" s="24" t="s">
        <v>10772</v>
      </c>
      <c r="C7126" s="25">
        <v>229846</v>
      </c>
      <c r="D7126" s="22" t="s">
        <v>10768</v>
      </c>
      <c r="E7126" s="22" t="s">
        <v>48</v>
      </c>
      <c r="F7126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26" s="22" t="s">
        <v>267</v>
      </c>
      <c r="H7126" s="22" t="s">
        <v>10773</v>
      </c>
      <c r="I7126" s="26">
        <v>43691.651238425897</v>
      </c>
      <c r="J7126" s="23" t="str">
        <f t="shared" si="149"/>
        <v>ООО "ПРОМСЕРВИС"</v>
      </c>
      <c r="K7126" s="24" t="s">
        <v>10769</v>
      </c>
      <c r="L7126" s="28" t="s">
        <v>51</v>
      </c>
      <c r="M7126" s="28" t="s">
        <v>51</v>
      </c>
      <c r="N7126" s="28" t="s">
        <v>51</v>
      </c>
    </row>
    <row r="7127" spans="1:14" hidden="1" outlineLevel="1" x14ac:dyDescent="0.15">
      <c r="A7127" s="23" t="str">
        <f>HYPERLINK("https://www.spark-marketing.ru/Card/Person/1013179", "МБОУ ПРОЛЕТАРСКАЯ СОШ № 6")</f>
        <v>МБОУ ПРОЛЕТАРСКАЯ СОШ № 6</v>
      </c>
      <c r="B7127" s="24" t="s">
        <v>10774</v>
      </c>
      <c r="C7127" s="25">
        <v>750273</v>
      </c>
      <c r="D7127" s="22" t="s">
        <v>10768</v>
      </c>
      <c r="E7127" s="22" t="s">
        <v>48</v>
      </c>
      <c r="F7127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27" s="22" t="s">
        <v>267</v>
      </c>
      <c r="H7127" s="22" t="s">
        <v>267</v>
      </c>
      <c r="I7127" s="26">
        <v>43691.651238425897</v>
      </c>
      <c r="J7127" s="23" t="str">
        <f t="shared" si="149"/>
        <v>ООО "ПРОМСЕРВИС"</v>
      </c>
      <c r="K7127" s="24" t="s">
        <v>10769</v>
      </c>
      <c r="L7127" s="28" t="s">
        <v>51</v>
      </c>
      <c r="M7127" s="28" t="s">
        <v>51</v>
      </c>
      <c r="N7127" s="28" t="s">
        <v>51</v>
      </c>
    </row>
    <row r="7128" spans="1:14" hidden="1" outlineLevel="1" x14ac:dyDescent="0.15">
      <c r="A7128" s="23" t="str">
        <f>HYPERLINK("https://www.spark-marketing.ru/Card/Person/1016985", "МБОУ ШТЕЙНГАРДТОВСКАЯ ООШ")</f>
        <v>МБОУ ШТЕЙНГАРДТОВСКАЯ ООШ</v>
      </c>
      <c r="B7128" s="24" t="s">
        <v>10775</v>
      </c>
      <c r="C7128" s="25">
        <v>23850</v>
      </c>
      <c r="D7128" s="22" t="s">
        <v>10768</v>
      </c>
      <c r="E7128" s="22" t="s">
        <v>48</v>
      </c>
      <c r="F7128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28" s="22" t="s">
        <v>267</v>
      </c>
      <c r="H7128" s="22" t="s">
        <v>10773</v>
      </c>
      <c r="I7128" s="26">
        <v>43691.651238425897</v>
      </c>
      <c r="J7128" s="23" t="str">
        <f t="shared" si="149"/>
        <v>ООО "ПРОМСЕРВИС"</v>
      </c>
      <c r="K7128" s="24" t="s">
        <v>10769</v>
      </c>
      <c r="L7128" s="28" t="s">
        <v>51</v>
      </c>
      <c r="M7128" s="28" t="s">
        <v>51</v>
      </c>
      <c r="N7128" s="28" t="s">
        <v>51</v>
      </c>
    </row>
    <row r="7129" spans="1:14" hidden="1" outlineLevel="1" x14ac:dyDescent="0.15">
      <c r="A7129" s="23" t="str">
        <f>HYPERLINK("https://www.spark-marketing.ru/Card/Person/1017230", "МБОУСОШ № 4 ИМ. НИСАНОВА Х.Д. Г. ПРОЛЕТАРСКА")</f>
        <v>МБОУСОШ № 4 ИМ. НИСАНОВА Х.Д. Г. ПРОЛЕТАРСКА</v>
      </c>
      <c r="B7129" s="24" t="s">
        <v>10776</v>
      </c>
      <c r="C7129" s="25">
        <v>748507</v>
      </c>
      <c r="D7129" s="22" t="s">
        <v>10768</v>
      </c>
      <c r="E7129" s="22" t="s">
        <v>48</v>
      </c>
      <c r="F7129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29" s="22" t="s">
        <v>267</v>
      </c>
      <c r="H7129" s="22" t="s">
        <v>267</v>
      </c>
      <c r="I7129" s="26">
        <v>43691.651238425897</v>
      </c>
      <c r="J7129" s="23" t="str">
        <f t="shared" si="149"/>
        <v>ООО "ПРОМСЕРВИС"</v>
      </c>
      <c r="K7129" s="24" t="s">
        <v>10769</v>
      </c>
      <c r="L7129" s="28" t="s">
        <v>51</v>
      </c>
      <c r="M7129" s="28" t="s">
        <v>51</v>
      </c>
      <c r="N7129" s="28" t="s">
        <v>51</v>
      </c>
    </row>
    <row r="7130" spans="1:14" hidden="1" outlineLevel="1" x14ac:dyDescent="0.15">
      <c r="A7130" s="23" t="str">
        <f>HYPERLINK("https://www.spark-marketing.ru/Card/Person/1017432", "МБОУ МОКРО-ЕЛЬМУТЯНСКАЯ ООШ")</f>
        <v>МБОУ МОКРО-ЕЛЬМУТЯНСКАЯ ООШ</v>
      </c>
      <c r="B7130" s="24" t="s">
        <v>10777</v>
      </c>
      <c r="C7130" s="25">
        <v>177780</v>
      </c>
      <c r="D7130" s="22" t="s">
        <v>10768</v>
      </c>
      <c r="E7130" s="22" t="s">
        <v>48</v>
      </c>
      <c r="F7130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30" s="22" t="s">
        <v>267</v>
      </c>
      <c r="H7130" s="22" t="s">
        <v>10773</v>
      </c>
      <c r="I7130" s="26">
        <v>43691.651238425897</v>
      </c>
      <c r="J7130" s="23" t="str">
        <f t="shared" si="149"/>
        <v>ООО "ПРОМСЕРВИС"</v>
      </c>
      <c r="K7130" s="24" t="s">
        <v>10769</v>
      </c>
      <c r="L7130" s="28" t="s">
        <v>51</v>
      </c>
      <c r="M7130" s="28" t="s">
        <v>51</v>
      </c>
      <c r="N7130" s="28" t="s">
        <v>51</v>
      </c>
    </row>
    <row r="7131" spans="1:14" hidden="1" outlineLevel="1" x14ac:dyDescent="0.15">
      <c r="A7131" s="23" t="str">
        <f>HYPERLINK("https://www.spark-marketing.ru/Card/Person/1038931", "МБОУ НИКОЛАЕВСКАЯ СОШ")</f>
        <v>МБОУ НИКОЛАЕВСКАЯ СОШ</v>
      </c>
      <c r="B7131" s="24" t="s">
        <v>10778</v>
      </c>
      <c r="C7131" s="25">
        <v>242328</v>
      </c>
      <c r="D7131" s="22" t="s">
        <v>10768</v>
      </c>
      <c r="E7131" s="22" t="s">
        <v>48</v>
      </c>
      <c r="F7131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31" s="22" t="s">
        <v>267</v>
      </c>
      <c r="H7131" s="22" t="s">
        <v>10773</v>
      </c>
      <c r="I7131" s="26">
        <v>43691.651238425897</v>
      </c>
      <c r="J7131" s="23" t="str">
        <f t="shared" si="149"/>
        <v>ООО "ПРОМСЕРВИС"</v>
      </c>
      <c r="K7131" s="24" t="s">
        <v>10769</v>
      </c>
      <c r="L7131" s="28" t="s">
        <v>51</v>
      </c>
      <c r="M7131" s="28" t="s">
        <v>51</v>
      </c>
      <c r="N7131" s="28" t="s">
        <v>51</v>
      </c>
    </row>
    <row r="7132" spans="1:14" hidden="1" outlineLevel="1" x14ac:dyDescent="0.15">
      <c r="A7132" s="23" t="str">
        <f>HYPERLINK("https://www.spark-marketing.ru/Card/Person/1039118", "МБОУ УЮТНЕНСКАЯ СОШ")</f>
        <v>МБОУ УЮТНЕНСКАЯ СОШ</v>
      </c>
      <c r="B7132" s="24" t="s">
        <v>10779</v>
      </c>
      <c r="C7132" s="25">
        <v>138270</v>
      </c>
      <c r="D7132" s="22" t="s">
        <v>10768</v>
      </c>
      <c r="E7132" s="22" t="s">
        <v>48</v>
      </c>
      <c r="F7132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32" s="22" t="s">
        <v>267</v>
      </c>
      <c r="H7132" s="22" t="s">
        <v>10773</v>
      </c>
      <c r="I7132" s="26">
        <v>43691.651238425897</v>
      </c>
      <c r="J7132" s="23" t="str">
        <f t="shared" si="149"/>
        <v>ООО "ПРОМСЕРВИС"</v>
      </c>
      <c r="K7132" s="24" t="s">
        <v>10769</v>
      </c>
      <c r="L7132" s="28" t="s">
        <v>51</v>
      </c>
      <c r="M7132" s="28" t="s">
        <v>51</v>
      </c>
      <c r="N7132" s="28" t="s">
        <v>51</v>
      </c>
    </row>
    <row r="7133" spans="1:14" hidden="1" outlineLevel="1" x14ac:dyDescent="0.15">
      <c r="A7133" s="23" t="str">
        <f>HYPERLINK("https://www.spark-marketing.ru/Card/Person/1039615", "МБОУ НОВО-МОИСЕЕВСКАЯ ООШ")</f>
        <v>МБОУ НОВО-МОИСЕЕВСКАЯ ООШ</v>
      </c>
      <c r="B7133" s="24" t="s">
        <v>10780</v>
      </c>
      <c r="C7133" s="25">
        <v>68339</v>
      </c>
      <c r="D7133" s="22" t="s">
        <v>10768</v>
      </c>
      <c r="E7133" s="22" t="s">
        <v>48</v>
      </c>
      <c r="F7133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33" s="22" t="s">
        <v>267</v>
      </c>
      <c r="H7133" s="22" t="s">
        <v>10773</v>
      </c>
      <c r="I7133" s="26">
        <v>43691.651238425897</v>
      </c>
      <c r="J7133" s="23" t="str">
        <f t="shared" si="149"/>
        <v>ООО "ПРОМСЕРВИС"</v>
      </c>
      <c r="K7133" s="24" t="s">
        <v>10769</v>
      </c>
      <c r="L7133" s="28" t="s">
        <v>51</v>
      </c>
      <c r="M7133" s="28" t="s">
        <v>51</v>
      </c>
      <c r="N7133" s="28" t="s">
        <v>51</v>
      </c>
    </row>
    <row r="7134" spans="1:14" hidden="1" outlineLevel="1" x14ac:dyDescent="0.15">
      <c r="A7134" s="23" t="str">
        <f>HYPERLINK("https://www.spark-marketing.ru/Card/Person/1039881", "МБОУ ДАЛЬНЕНСКАЯ СОШ")</f>
        <v>МБОУ ДАЛЬНЕНСКАЯ СОШ</v>
      </c>
      <c r="B7134" s="24" t="s">
        <v>10781</v>
      </c>
      <c r="C7134" s="25">
        <v>154780</v>
      </c>
      <c r="D7134" s="22" t="s">
        <v>10768</v>
      </c>
      <c r="E7134" s="22" t="s">
        <v>48</v>
      </c>
      <c r="F7134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34" s="22" t="s">
        <v>267</v>
      </c>
      <c r="H7134" s="22" t="s">
        <v>10773</v>
      </c>
      <c r="I7134" s="26">
        <v>43691.651238425897</v>
      </c>
      <c r="J7134" s="23" t="str">
        <f t="shared" si="149"/>
        <v>ООО "ПРОМСЕРВИС"</v>
      </c>
      <c r="K7134" s="24" t="s">
        <v>10769</v>
      </c>
      <c r="L7134" s="28" t="s">
        <v>51</v>
      </c>
      <c r="M7134" s="28" t="s">
        <v>51</v>
      </c>
      <c r="N7134" s="28" t="s">
        <v>51</v>
      </c>
    </row>
    <row r="7135" spans="1:14" hidden="1" outlineLevel="1" x14ac:dyDescent="0.15">
      <c r="A7135" s="23" t="str">
        <f>HYPERLINK("https://www.spark-marketing.ru/Card/Person/1040595", "МБОУ СУХОВСКАЯ СОШ")</f>
        <v>МБОУ СУХОВСКАЯ СОШ</v>
      </c>
      <c r="B7135" s="24" t="s">
        <v>10782</v>
      </c>
      <c r="C7135" s="25">
        <v>271048</v>
      </c>
      <c r="D7135" s="22" t="s">
        <v>10768</v>
      </c>
      <c r="E7135" s="22" t="s">
        <v>48</v>
      </c>
      <c r="F7135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35" s="22" t="s">
        <v>267</v>
      </c>
      <c r="H7135" s="22" t="s">
        <v>10773</v>
      </c>
      <c r="I7135" s="26">
        <v>43691.651238425897</v>
      </c>
      <c r="J7135" s="23" t="str">
        <f t="shared" si="149"/>
        <v>ООО "ПРОМСЕРВИС"</v>
      </c>
      <c r="K7135" s="24" t="s">
        <v>10769</v>
      </c>
      <c r="L7135" s="28" t="s">
        <v>51</v>
      </c>
      <c r="M7135" s="28" t="s">
        <v>51</v>
      </c>
      <c r="N7135" s="28" t="s">
        <v>51</v>
      </c>
    </row>
    <row r="7136" spans="1:14" hidden="1" outlineLevel="1" x14ac:dyDescent="0.15">
      <c r="A7136" s="23" t="str">
        <f>HYPERLINK("https://www.spark-marketing.ru/Card/Person/1040676", "МБОУ ПЛЕМЗАВОДСКАЯ ООШ")</f>
        <v>МБОУ ПЛЕМЗАВОДСКАЯ ООШ</v>
      </c>
      <c r="B7136" s="24" t="s">
        <v>10783</v>
      </c>
      <c r="C7136" s="25">
        <v>269752</v>
      </c>
      <c r="D7136" s="22" t="s">
        <v>10768</v>
      </c>
      <c r="E7136" s="22" t="s">
        <v>48</v>
      </c>
      <c r="F7136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36" s="22" t="s">
        <v>267</v>
      </c>
      <c r="H7136" s="22" t="s">
        <v>10773</v>
      </c>
      <c r="I7136" s="26">
        <v>43691.651238425897</v>
      </c>
      <c r="J7136" s="23" t="str">
        <f t="shared" si="149"/>
        <v>ООО "ПРОМСЕРВИС"</v>
      </c>
      <c r="K7136" s="24" t="s">
        <v>10769</v>
      </c>
      <c r="L7136" s="28" t="s">
        <v>51</v>
      </c>
      <c r="M7136" s="28" t="s">
        <v>51</v>
      </c>
      <c r="N7136" s="28" t="s">
        <v>51</v>
      </c>
    </row>
    <row r="7137" spans="1:14" hidden="1" outlineLevel="1" x14ac:dyDescent="0.15">
      <c r="A7137" s="23" t="str">
        <f>HYPERLINK("https://www.spark-marketing.ru/Card/Person/1040879", "МБОУ ГАНЧУКОВСКАЯ ООШ")</f>
        <v>МБОУ ГАНЧУКОВСКАЯ ООШ</v>
      </c>
      <c r="B7137" s="24" t="s">
        <v>10784</v>
      </c>
      <c r="C7137" s="25">
        <v>82920</v>
      </c>
      <c r="D7137" s="22" t="s">
        <v>10768</v>
      </c>
      <c r="E7137" s="22" t="s">
        <v>48</v>
      </c>
      <c r="F7137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37" s="22" t="s">
        <v>267</v>
      </c>
      <c r="H7137" s="22" t="s">
        <v>10773</v>
      </c>
      <c r="I7137" s="26">
        <v>43691.651238425897</v>
      </c>
      <c r="J7137" s="23" t="str">
        <f t="shared" si="149"/>
        <v>ООО "ПРОМСЕРВИС"</v>
      </c>
      <c r="K7137" s="24" t="s">
        <v>10769</v>
      </c>
      <c r="L7137" s="28" t="s">
        <v>51</v>
      </c>
      <c r="M7137" s="28" t="s">
        <v>51</v>
      </c>
      <c r="N7137" s="28" t="s">
        <v>51</v>
      </c>
    </row>
    <row r="7138" spans="1:14" hidden="1" outlineLevel="1" x14ac:dyDescent="0.15">
      <c r="A7138" s="23" t="str">
        <f>HYPERLINK("https://www.spark-marketing.ru/Card/Person/1065042", "МБОУ ПРИВОЛЬНЕНСКАЯ НОШ")</f>
        <v>МБОУ ПРИВОЛЬНЕНСКАЯ НОШ</v>
      </c>
      <c r="B7138" s="24" t="s">
        <v>10785</v>
      </c>
      <c r="C7138" s="25">
        <v>135774</v>
      </c>
      <c r="D7138" s="22" t="s">
        <v>10768</v>
      </c>
      <c r="E7138" s="22" t="s">
        <v>48</v>
      </c>
      <c r="F7138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38" s="22" t="s">
        <v>267</v>
      </c>
      <c r="H7138" s="22" t="s">
        <v>10773</v>
      </c>
      <c r="I7138" s="26">
        <v>43691.651238425897</v>
      </c>
      <c r="J7138" s="23" t="str">
        <f t="shared" si="149"/>
        <v>ООО "ПРОМСЕРВИС"</v>
      </c>
      <c r="K7138" s="24" t="s">
        <v>10769</v>
      </c>
      <c r="L7138" s="28" t="s">
        <v>51</v>
      </c>
      <c r="M7138" s="28" t="s">
        <v>51</v>
      </c>
      <c r="N7138" s="28" t="s">
        <v>51</v>
      </c>
    </row>
    <row r="7139" spans="1:14" hidden="1" outlineLevel="1" x14ac:dyDescent="0.15">
      <c r="A7139" s="23" t="str">
        <f>HYPERLINK("https://www.spark-marketing.ru/Card/Person/4376459", "МБОУ НАУМОВСКАЯ ООШ")</f>
        <v>МБОУ НАУМОВСКАЯ ООШ</v>
      </c>
      <c r="B7139" s="24" t="s">
        <v>10786</v>
      </c>
      <c r="C7139" s="25">
        <v>59490</v>
      </c>
      <c r="D7139" s="22" t="s">
        <v>10768</v>
      </c>
      <c r="E7139" s="22" t="s">
        <v>48</v>
      </c>
      <c r="F7139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39" s="22" t="s">
        <v>267</v>
      </c>
      <c r="H7139" s="22" t="s">
        <v>10773</v>
      </c>
      <c r="I7139" s="26">
        <v>43691.651238425897</v>
      </c>
      <c r="J7139" s="23" t="str">
        <f t="shared" si="149"/>
        <v>ООО "ПРОМСЕРВИС"</v>
      </c>
      <c r="K7139" s="24" t="s">
        <v>10769</v>
      </c>
      <c r="L7139" s="28" t="s">
        <v>51</v>
      </c>
      <c r="M7139" s="28" t="s">
        <v>51</v>
      </c>
      <c r="N7139" s="28" t="s">
        <v>51</v>
      </c>
    </row>
    <row r="7140" spans="1:14" hidden="1" outlineLevel="1" x14ac:dyDescent="0.15">
      <c r="A7140" s="23" t="str">
        <f>HYPERLINK("https://www.spark-marketing.ru/Card/Person/4376628", "МБОУ БУДЕННОВСКАЯ СОШ")</f>
        <v>МБОУ БУДЕННОВСКАЯ СОШ</v>
      </c>
      <c r="B7140" s="24" t="s">
        <v>10787</v>
      </c>
      <c r="C7140" s="25">
        <v>357926</v>
      </c>
      <c r="D7140" s="22" t="s">
        <v>10768</v>
      </c>
      <c r="E7140" s="22" t="s">
        <v>48</v>
      </c>
      <c r="F7140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40" s="22" t="s">
        <v>267</v>
      </c>
      <c r="H7140" s="22" t="s">
        <v>10773</v>
      </c>
      <c r="I7140" s="26">
        <v>43691.651238425897</v>
      </c>
      <c r="J7140" s="23" t="str">
        <f t="shared" si="149"/>
        <v>ООО "ПРОМСЕРВИС"</v>
      </c>
      <c r="K7140" s="24" t="s">
        <v>10769</v>
      </c>
      <c r="L7140" s="28" t="s">
        <v>51</v>
      </c>
      <c r="M7140" s="28" t="s">
        <v>51</v>
      </c>
      <c r="N7140" s="28" t="s">
        <v>51</v>
      </c>
    </row>
    <row r="7141" spans="1:14" hidden="1" outlineLevel="1" x14ac:dyDescent="0.15">
      <c r="A7141" s="23" t="str">
        <f>HYPERLINK("https://www.spark-marketing.ru/Card/Person/4380867", "МБОУ ЛИЦЕЙ №1 Г. ПРОЛЕТАРСКА")</f>
        <v>МБОУ ЛИЦЕЙ №1 Г. ПРОЛЕТАРСКА</v>
      </c>
      <c r="B7141" s="24" t="s">
        <v>10788</v>
      </c>
      <c r="C7141" s="25">
        <v>851282</v>
      </c>
      <c r="D7141" s="22" t="s">
        <v>10768</v>
      </c>
      <c r="E7141" s="22" t="s">
        <v>48</v>
      </c>
      <c r="F7141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41" s="22" t="s">
        <v>267</v>
      </c>
      <c r="H7141" s="22" t="s">
        <v>267</v>
      </c>
      <c r="I7141" s="26">
        <v>43691.651238425897</v>
      </c>
      <c r="J7141" s="23" t="str">
        <f t="shared" si="149"/>
        <v>ООО "ПРОМСЕРВИС"</v>
      </c>
      <c r="K7141" s="24" t="s">
        <v>10769</v>
      </c>
      <c r="L7141" s="28" t="s">
        <v>51</v>
      </c>
      <c r="M7141" s="28" t="s">
        <v>51</v>
      </c>
      <c r="N7141" s="28" t="s">
        <v>51</v>
      </c>
    </row>
    <row r="7142" spans="1:14" hidden="1" outlineLevel="1" x14ac:dyDescent="0.2">
      <c r="A7142" s="28" t="s">
        <v>51</v>
      </c>
      <c r="B7142" s="28" t="s">
        <v>51</v>
      </c>
      <c r="C7142" s="28" t="s">
        <v>51</v>
      </c>
      <c r="D7142" s="22" t="s">
        <v>10768</v>
      </c>
      <c r="E7142" s="22" t="s">
        <v>48</v>
      </c>
      <c r="F7142" s="23" t="str">
        <f t="shared" si="148"/>
        <v>СОВМЕСТНЫЙ АУКЦИОН В ЭЛЕКТРОННОЙ ФОРМЕ по определению исполнителя  на право заключения договоров на оказание услуг по предоставлению горячего питания обучающимся образовательной организации на сентябрь-декабрь 2019 года   у субъектов малого предприни...</v>
      </c>
      <c r="G7142" s="22" t="s">
        <v>51</v>
      </c>
      <c r="H7142" s="22" t="s">
        <v>51</v>
      </c>
      <c r="I7142" s="26">
        <v>43691.651238425897</v>
      </c>
      <c r="J7142" s="23" t="str">
        <f t="shared" si="149"/>
        <v>ООО "ПРОМСЕРВИС"</v>
      </c>
      <c r="K7142" s="24" t="s">
        <v>10769</v>
      </c>
      <c r="L7142" s="22" t="s">
        <v>10</v>
      </c>
      <c r="M7142" s="25">
        <v>6143646.4000000004</v>
      </c>
      <c r="N7142" s="27">
        <v>5.0000008097796766E-3</v>
      </c>
    </row>
    <row r="7143" spans="1:14" x14ac:dyDescent="0.15">
      <c r="A7143" s="23" t="str">
        <f>HYPERLINK("https://www.spark-marketing.ru/Card/Person/638887", "ОТДЕЛ МВД РОССИИ ПО КУЮРГАЗИНСКОМУ РАЙОНУ")</f>
        <v>ОТДЕЛ МВД РОССИИ ПО КУЮРГАЗИНСКОМУ РАЙОНУ</v>
      </c>
      <c r="B7143" s="24" t="s">
        <v>10747</v>
      </c>
      <c r="C7143" s="25">
        <v>5000</v>
      </c>
      <c r="D7143" s="22" t="s">
        <v>10789</v>
      </c>
      <c r="E7143" s="22" t="s">
        <v>48</v>
      </c>
      <c r="F7143" s="23" t="str">
        <f>HYPERLINK("https://www.spark-marketing.ru/Card/Lot/72814055", "Оказание услуг по организации питания (приготовлению и доставке) для ИВС, 25 усл. ед")</f>
        <v>Оказание услуг по организации питания (приготовлению и доставке) для ИВС, 25 усл. ед</v>
      </c>
      <c r="G7143" s="22" t="s">
        <v>145</v>
      </c>
      <c r="H7143" s="22" t="s">
        <v>1600</v>
      </c>
      <c r="I7143" s="26">
        <v>43692.653807870403</v>
      </c>
      <c r="J7143" s="28" t="s">
        <v>51</v>
      </c>
      <c r="K7143" s="28" t="s">
        <v>51</v>
      </c>
      <c r="L7143" s="28" t="s">
        <v>51</v>
      </c>
      <c r="M7143" s="28" t="s">
        <v>51</v>
      </c>
      <c r="N7143" s="28" t="s">
        <v>51</v>
      </c>
    </row>
    <row r="7144" spans="1:14" x14ac:dyDescent="0.15">
      <c r="A7144" s="23" t="str">
        <f>HYPERLINK("https://www.spark-marketing.ru/Card/Person/4654415", "ООО ""УК""ВОЛМА""")</f>
        <v>ООО "УК"ВОЛМА"</v>
      </c>
      <c r="B7144" s="24" t="s">
        <v>10790</v>
      </c>
      <c r="C7144" s="28" t="s">
        <v>51</v>
      </c>
      <c r="D7144" s="22" t="s">
        <v>10791</v>
      </c>
      <c r="E7144" s="22" t="s">
        <v>1590</v>
      </c>
      <c r="F7144" s="23" t="str">
        <f>HYPERLINK("https://www.spark-marketing.ru/Card/Lot/72815661", "Комплексное оказание услуг по организации питания сотрудников производственной площадки ВОЛМА - Оренбург в 2020г.")</f>
        <v>Комплексное оказание услуг по организации питания сотрудников производственной площадки ВОЛМА - Оренбург в 2020г.</v>
      </c>
      <c r="G7144" s="22" t="s">
        <v>158</v>
      </c>
      <c r="H7144" s="22" t="s">
        <v>171</v>
      </c>
      <c r="I7144" s="26">
        <v>43692.645138888904</v>
      </c>
      <c r="J7144" s="28" t="s">
        <v>51</v>
      </c>
      <c r="K7144" s="28" t="s">
        <v>51</v>
      </c>
      <c r="L7144" s="28" t="s">
        <v>51</v>
      </c>
      <c r="M7144" s="28" t="s">
        <v>51</v>
      </c>
      <c r="N7144" s="28" t="s">
        <v>51</v>
      </c>
    </row>
    <row r="7145" spans="1:14" x14ac:dyDescent="0.15">
      <c r="A7145" s="23" t="str">
        <f>HYPERLINK("https://www.spark-marketing.ru/Card/Person/4348382", "ООО ""ГАЗПРОМ ПИТАНИЕ""")</f>
        <v>ООО "ГАЗПРОМ ПИТАНИЕ"</v>
      </c>
      <c r="B7145" s="24" t="s">
        <v>2869</v>
      </c>
      <c r="C7145" s="25">
        <v>151500.84</v>
      </c>
      <c r="D7145" s="22" t="s">
        <v>10792</v>
      </c>
      <c r="E7145" s="22" t="s">
        <v>52</v>
      </c>
      <c r="F7145" s="23" t="str">
        <f>HYPERLINK("https://www.spark-marketing.ru/Card/Lot/72815211", "Оказание услуг по информационному сопровождению системы консультантплюс для нужд филиала "" краснодарское уооп"" ооо ""газпром питание""")</f>
        <v>Оказание услуг по информационному сопровождению системы консультантплюс для нужд филиала " краснодарское уооп" ооо "газпром питание"</v>
      </c>
      <c r="G7145" s="22" t="s">
        <v>56</v>
      </c>
      <c r="H7145" s="22" t="s">
        <v>56</v>
      </c>
      <c r="I7145" s="26">
        <v>43692.630555555603</v>
      </c>
      <c r="J7145" s="28" t="s">
        <v>51</v>
      </c>
      <c r="K7145" s="28" t="s">
        <v>51</v>
      </c>
      <c r="L7145" s="28" t="s">
        <v>51</v>
      </c>
      <c r="M7145" s="28" t="s">
        <v>51</v>
      </c>
      <c r="N7145" s="28" t="s">
        <v>51</v>
      </c>
    </row>
    <row r="7146" spans="1:14" collapsed="1" x14ac:dyDescent="0.15">
      <c r="A7146" s="23" t="str">
        <f t="shared" ref="A7146:A7151" si="150">HYPERLINK("https://www.spark-marketing.ru/Card/Person/233399", "ГБУ КК ""ЦОП ПО ЗВС""")</f>
        <v>ГБУ КК "ЦОП ПО ЗВС"</v>
      </c>
      <c r="B7146" s="24" t="s">
        <v>9885</v>
      </c>
      <c r="C7146" s="25">
        <v>500000</v>
      </c>
      <c r="D7146" s="22" t="s">
        <v>10793</v>
      </c>
      <c r="E7146" s="22" t="s">
        <v>1632</v>
      </c>
      <c r="F7146" s="23" t="str">
        <f t="shared" ref="F7146:F7151" si="151">HYPERLINK("https://www.spark-marketing.ru/Card/Lot/72816773",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7146" s="22" t="s">
        <v>104</v>
      </c>
      <c r="H7146" s="22" t="s">
        <v>104</v>
      </c>
      <c r="I7146" s="26">
        <v>43692.555983796301</v>
      </c>
      <c r="J7146" s="28" t="s">
        <v>51</v>
      </c>
      <c r="K7146" s="28" t="s">
        <v>51</v>
      </c>
      <c r="L7146" s="28" t="s">
        <v>51</v>
      </c>
      <c r="M7146" s="28" t="s">
        <v>51</v>
      </c>
      <c r="N7146" s="28" t="s">
        <v>51</v>
      </c>
    </row>
    <row r="7147" spans="1:14" hidden="1" outlineLevel="1" x14ac:dyDescent="0.2">
      <c r="A7147" s="23" t="str">
        <f t="shared" si="150"/>
        <v>ГБУ КК "ЦОП ПО ЗВС"</v>
      </c>
      <c r="B7147" s="24" t="s">
        <v>9885</v>
      </c>
      <c r="C7147" s="25">
        <v>500000</v>
      </c>
      <c r="D7147" s="22" t="s">
        <v>10793</v>
      </c>
      <c r="E7147" s="22" t="s">
        <v>1632</v>
      </c>
      <c r="F7147" s="23" t="str">
        <f t="shared" si="151"/>
        <v>Услуги предоставления средств размещения и общественного питания для участников спортивных мероприятий</v>
      </c>
      <c r="G7147" s="22" t="s">
        <v>104</v>
      </c>
      <c r="H7147" s="22" t="s">
        <v>104</v>
      </c>
      <c r="I7147" s="26">
        <v>43692.555983796301</v>
      </c>
      <c r="J7147" s="23" t="str">
        <f>HYPERLINK("https://www.spark-marketing.ru/Card/Person/6402176", "ООО ""КОМПАНИЯ СТС""")</f>
        <v>ООО "КОМПАНИЯ СТС"</v>
      </c>
      <c r="K7147" s="24" t="s">
        <v>5653</v>
      </c>
      <c r="L7147" s="28" t="s">
        <v>51</v>
      </c>
      <c r="M7147" s="25">
        <v>2462.5</v>
      </c>
      <c r="N7147" s="27">
        <v>0.99507500000000004</v>
      </c>
    </row>
    <row r="7148" spans="1:14" hidden="1" outlineLevel="1" x14ac:dyDescent="0.2">
      <c r="A7148" s="23" t="str">
        <f t="shared" si="150"/>
        <v>ГБУ КК "ЦОП ПО ЗВС"</v>
      </c>
      <c r="B7148" s="24" t="s">
        <v>9885</v>
      </c>
      <c r="C7148" s="25">
        <v>500000</v>
      </c>
      <c r="D7148" s="22" t="s">
        <v>10793</v>
      </c>
      <c r="E7148" s="22" t="s">
        <v>1632</v>
      </c>
      <c r="F7148" s="23" t="str">
        <f t="shared" si="151"/>
        <v>Услуги предоставления средств размещения и общественного питания для участников спортивных мероприятий</v>
      </c>
      <c r="G7148" s="22" t="s">
        <v>104</v>
      </c>
      <c r="H7148" s="22" t="s">
        <v>104</v>
      </c>
      <c r="I7148" s="26">
        <v>43692.555983796301</v>
      </c>
      <c r="J7148" s="23" t="str">
        <f>HYPERLINK("https://www.spark-marketing.ru/Card/Person/6382723", "Крячко Владислав Петрович")</f>
        <v>Крячко Владислав Петрович</v>
      </c>
      <c r="K7148" s="24" t="s">
        <v>7992</v>
      </c>
      <c r="L7148" s="28" t="s">
        <v>51</v>
      </c>
      <c r="M7148" s="25">
        <v>1599</v>
      </c>
      <c r="N7148" s="27">
        <v>0.99680199999999997</v>
      </c>
    </row>
    <row r="7149" spans="1:14" hidden="1" outlineLevel="1" x14ac:dyDescent="0.2">
      <c r="A7149" s="23" t="str">
        <f t="shared" si="150"/>
        <v>ГБУ КК "ЦОП ПО ЗВС"</v>
      </c>
      <c r="B7149" s="24" t="s">
        <v>9885</v>
      </c>
      <c r="C7149" s="25">
        <v>500000</v>
      </c>
      <c r="D7149" s="22" t="s">
        <v>10793</v>
      </c>
      <c r="E7149" s="22" t="s">
        <v>1632</v>
      </c>
      <c r="F7149" s="23" t="str">
        <f t="shared" si="151"/>
        <v>Услуги предоставления средств размещения и общественного питания для участников спортивных мероприятий</v>
      </c>
      <c r="G7149" s="22" t="s">
        <v>104</v>
      </c>
      <c r="H7149" s="22" t="s">
        <v>104</v>
      </c>
      <c r="I7149" s="26">
        <v>43692.555983796301</v>
      </c>
      <c r="J7149" s="23" t="str">
        <f>HYPERLINK("https://www.spark-marketing.ru/Card/Person/6199231", "Полочанская Ольга Геннадьевна")</f>
        <v>Полочанская Ольга Геннадьевна</v>
      </c>
      <c r="K7149" s="24" t="s">
        <v>2484</v>
      </c>
      <c r="L7149" s="28" t="s">
        <v>51</v>
      </c>
      <c r="M7149" s="25">
        <v>2000</v>
      </c>
      <c r="N7149" s="27">
        <v>0.996</v>
      </c>
    </row>
    <row r="7150" spans="1:14" hidden="1" outlineLevel="1" x14ac:dyDescent="0.2">
      <c r="A7150" s="23" t="str">
        <f t="shared" si="150"/>
        <v>ГБУ КК "ЦОП ПО ЗВС"</v>
      </c>
      <c r="B7150" s="24" t="s">
        <v>9885</v>
      </c>
      <c r="C7150" s="25">
        <v>500000</v>
      </c>
      <c r="D7150" s="22" t="s">
        <v>10793</v>
      </c>
      <c r="E7150" s="22" t="s">
        <v>1632</v>
      </c>
      <c r="F7150" s="23" t="str">
        <f t="shared" si="151"/>
        <v>Услуги предоставления средств размещения и общественного питания для участников спортивных мероприятий</v>
      </c>
      <c r="G7150" s="22" t="s">
        <v>104</v>
      </c>
      <c r="H7150" s="22" t="s">
        <v>104</v>
      </c>
      <c r="I7150" s="26">
        <v>43692.555983796301</v>
      </c>
      <c r="J7150" s="23" t="str">
        <f>HYPERLINK("https://www.spark-marketing.ru/Card/Person/657466", "АО ""СКО ""РОСЮГКУРОРТ""")</f>
        <v>АО "СКО "РОСЮГКУРОРТ"</v>
      </c>
      <c r="K7150" s="24" t="s">
        <v>10685</v>
      </c>
      <c r="L7150" s="28" t="s">
        <v>51</v>
      </c>
      <c r="M7150" s="25">
        <v>1795</v>
      </c>
      <c r="N7150" s="27">
        <v>0.99641000000000002</v>
      </c>
    </row>
    <row r="7151" spans="1:14" ht="12.75" hidden="1" outlineLevel="1" x14ac:dyDescent="0.2">
      <c r="A7151" s="23" t="str">
        <f t="shared" si="150"/>
        <v>ГБУ КК "ЦОП ПО ЗВС"</v>
      </c>
      <c r="B7151" s="24" t="s">
        <v>9885</v>
      </c>
      <c r="C7151" s="25">
        <v>500000</v>
      </c>
      <c r="D7151" s="22" t="s">
        <v>10793</v>
      </c>
      <c r="E7151" s="22" t="s">
        <v>1632</v>
      </c>
      <c r="F7151" s="23" t="str">
        <f t="shared" si="151"/>
        <v>Услуги предоставления средств размещения и общественного питания для участников спортивных мероприятий</v>
      </c>
      <c r="G7151" s="22" t="s">
        <v>104</v>
      </c>
      <c r="H7151" s="22" t="s">
        <v>104</v>
      </c>
      <c r="I7151" s="26">
        <v>43692.555983796301</v>
      </c>
      <c r="J7151" s="23" t="str">
        <f>HYPERLINK("https://www.spark-marketing.ru/Card/Person/6514967", "ООО ""АЛЬЯНС""")</f>
        <v>ООО "АЛЬЯНС"</v>
      </c>
      <c r="K7151" s="24" t="s">
        <v>1634</v>
      </c>
      <c r="L7151" s="22" t="s">
        <v>10</v>
      </c>
      <c r="M7151" s="25">
        <v>1586.5</v>
      </c>
      <c r="N7151" s="27">
        <v>0.99682700000000002</v>
      </c>
    </row>
    <row r="7152" spans="1:14" x14ac:dyDescent="0.15">
      <c r="A7152" s="23" t="str">
        <f>HYPERLINK("https://www.spark-marketing.ru/Card/Person/999072", "МБДОУ ""ДЕТСКИЙ САД ОБЩЕРАЗВИВАЮЩЕГО ВИДА № 19 ""СВЕТЛЯЧОК""")</f>
        <v>МБДОУ "ДЕТСКИЙ САД ОБЩЕРАЗВИВАЮЩЕГО ВИДА № 19 "СВЕТЛЯЧОК"</v>
      </c>
      <c r="B7152" s="24" t="s">
        <v>10794</v>
      </c>
      <c r="C7152" s="25">
        <v>165160</v>
      </c>
      <c r="D7152" s="22" t="s">
        <v>10795</v>
      </c>
      <c r="E7152" s="22" t="s">
        <v>194</v>
      </c>
      <c r="F7152" s="23" t="str">
        <f>HYPERLINK("https://www.spark-marketing.ru/Card/Lot/72811162", "информационные стенды")</f>
        <v>информационные стенды</v>
      </c>
      <c r="G7152" s="22" t="s">
        <v>696</v>
      </c>
      <c r="H7152" s="22" t="s">
        <v>10796</v>
      </c>
      <c r="I7152" s="26">
        <v>43692.613888888904</v>
      </c>
      <c r="J7152" s="28" t="s">
        <v>51</v>
      </c>
      <c r="K7152" s="28" t="s">
        <v>51</v>
      </c>
      <c r="L7152" s="28" t="s">
        <v>51</v>
      </c>
      <c r="M7152" s="28" t="s">
        <v>51</v>
      </c>
      <c r="N7152" s="28" t="s">
        <v>51</v>
      </c>
    </row>
    <row r="7153" spans="1:14" collapsed="1" x14ac:dyDescent="0.15">
      <c r="A7153" s="23" t="str">
        <f>HYPERLINK("https://www.spark-marketing.ru/Card/Person/233399", "ГБУ КК ""ЦОП ПО ЗВС""")</f>
        <v>ГБУ КК "ЦОП ПО ЗВС"</v>
      </c>
      <c r="B7153" s="24" t="s">
        <v>9885</v>
      </c>
      <c r="C7153" s="25">
        <v>375000</v>
      </c>
      <c r="D7153" s="22" t="s">
        <v>10797</v>
      </c>
      <c r="E7153" s="22" t="s">
        <v>1632</v>
      </c>
      <c r="F7153" s="23" t="str">
        <f>HYPERLINK("https://www.spark-marketing.ru/Card/Lot/72819917",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7153" s="22" t="s">
        <v>104</v>
      </c>
      <c r="H7153" s="22" t="s">
        <v>104</v>
      </c>
      <c r="I7153" s="26">
        <v>43692.574594907397</v>
      </c>
      <c r="J7153" s="28" t="s">
        <v>51</v>
      </c>
      <c r="K7153" s="28" t="s">
        <v>51</v>
      </c>
      <c r="L7153" s="28" t="s">
        <v>51</v>
      </c>
      <c r="M7153" s="28" t="s">
        <v>51</v>
      </c>
      <c r="N7153" s="28" t="s">
        <v>51</v>
      </c>
    </row>
    <row r="7154" spans="1:14" hidden="1" outlineLevel="1" x14ac:dyDescent="0.2">
      <c r="A7154" s="23" t="str">
        <f>HYPERLINK("https://www.spark-marketing.ru/Card/Person/233399", "ГБУ КК ""ЦОП ПО ЗВС""")</f>
        <v>ГБУ КК "ЦОП ПО ЗВС"</v>
      </c>
      <c r="B7154" s="24" t="s">
        <v>9885</v>
      </c>
      <c r="C7154" s="25">
        <v>375000</v>
      </c>
      <c r="D7154" s="22" t="s">
        <v>10797</v>
      </c>
      <c r="E7154" s="22" t="s">
        <v>1632</v>
      </c>
      <c r="F7154" s="23" t="str">
        <f>HYPERLINK("https://www.spark-marketing.ru/Card/Lot/72819917",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7154" s="22" t="s">
        <v>104</v>
      </c>
      <c r="H7154" s="22" t="s">
        <v>104</v>
      </c>
      <c r="I7154" s="26">
        <v>43692.574594907397</v>
      </c>
      <c r="J7154" s="23" t="str">
        <f>HYPERLINK("https://www.spark-marketing.ru/Card/Person/6501154", "ООО ""ГИГАНТ""")</f>
        <v>ООО "ГИГАНТ"</v>
      </c>
      <c r="K7154" s="24" t="s">
        <v>9887</v>
      </c>
      <c r="L7154" s="28" t="s">
        <v>51</v>
      </c>
      <c r="M7154" s="25">
        <v>1862</v>
      </c>
      <c r="N7154" s="27">
        <v>0.99503466666666662</v>
      </c>
    </row>
    <row r="7155" spans="1:14" hidden="1" outlineLevel="1" x14ac:dyDescent="0.2">
      <c r="A7155" s="23" t="str">
        <f>HYPERLINK("https://www.spark-marketing.ru/Card/Person/233399", "ГБУ КК ""ЦОП ПО ЗВС""")</f>
        <v>ГБУ КК "ЦОП ПО ЗВС"</v>
      </c>
      <c r="B7155" s="24" t="s">
        <v>9885</v>
      </c>
      <c r="C7155" s="25">
        <v>375000</v>
      </c>
      <c r="D7155" s="22" t="s">
        <v>10797</v>
      </c>
      <c r="E7155" s="22" t="s">
        <v>1632</v>
      </c>
      <c r="F7155" s="23" t="str">
        <f>HYPERLINK("https://www.spark-marketing.ru/Card/Lot/72819917",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7155" s="22" t="s">
        <v>104</v>
      </c>
      <c r="H7155" s="22" t="s">
        <v>104</v>
      </c>
      <c r="I7155" s="26">
        <v>43692.574594907397</v>
      </c>
      <c r="J7155" s="23" t="str">
        <f>HYPERLINK("https://www.spark-marketing.ru/Card/Person/6402176", "ООО ""КОМПАНИЯ СТС""")</f>
        <v>ООО "КОМПАНИЯ СТС"</v>
      </c>
      <c r="K7155" s="24" t="s">
        <v>5653</v>
      </c>
      <c r="L7155" s="28" t="s">
        <v>51</v>
      </c>
      <c r="M7155" s="25">
        <v>2475</v>
      </c>
      <c r="N7155" s="27">
        <v>0.99339999999999995</v>
      </c>
    </row>
    <row r="7156" spans="1:14" hidden="1" outlineLevel="1" x14ac:dyDescent="0.2">
      <c r="A7156" s="23" t="str">
        <f>HYPERLINK("https://www.spark-marketing.ru/Card/Person/233399", "ГБУ КК ""ЦОП ПО ЗВС""")</f>
        <v>ГБУ КК "ЦОП ПО ЗВС"</v>
      </c>
      <c r="B7156" s="24" t="s">
        <v>9885</v>
      </c>
      <c r="C7156" s="25">
        <v>375000</v>
      </c>
      <c r="D7156" s="22" t="s">
        <v>10797</v>
      </c>
      <c r="E7156" s="22" t="s">
        <v>1632</v>
      </c>
      <c r="F7156" s="23" t="str">
        <f>HYPERLINK("https://www.spark-marketing.ru/Card/Lot/72819917",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7156" s="22" t="s">
        <v>104</v>
      </c>
      <c r="H7156" s="22" t="s">
        <v>104</v>
      </c>
      <c r="I7156" s="26">
        <v>43692.574594907397</v>
      </c>
      <c r="J7156" s="23" t="str">
        <f>HYPERLINK("https://www.spark-marketing.ru/Card/Person/6382723", "Крячко Владислав Петрович")</f>
        <v>Крячко Владислав Петрович</v>
      </c>
      <c r="K7156" s="24" t="s">
        <v>7992</v>
      </c>
      <c r="L7156" s="28" t="s">
        <v>51</v>
      </c>
      <c r="M7156" s="25">
        <v>1724</v>
      </c>
      <c r="N7156" s="27">
        <v>0.99540266666666666</v>
      </c>
    </row>
    <row r="7157" spans="1:14" ht="12.75" hidden="1" outlineLevel="1" x14ac:dyDescent="0.2">
      <c r="A7157" s="23" t="str">
        <f>HYPERLINK("https://www.spark-marketing.ru/Card/Person/233399", "ГБУ КК ""ЦОП ПО ЗВС""")</f>
        <v>ГБУ КК "ЦОП ПО ЗВС"</v>
      </c>
      <c r="B7157" s="24" t="s">
        <v>9885</v>
      </c>
      <c r="C7157" s="25">
        <v>375000</v>
      </c>
      <c r="D7157" s="22" t="s">
        <v>10797</v>
      </c>
      <c r="E7157" s="22" t="s">
        <v>1632</v>
      </c>
      <c r="F7157" s="23" t="str">
        <f>HYPERLINK("https://www.spark-marketing.ru/Card/Lot/72819917",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7157" s="22" t="s">
        <v>104</v>
      </c>
      <c r="H7157" s="22" t="s">
        <v>104</v>
      </c>
      <c r="I7157" s="26">
        <v>43692.574594907397</v>
      </c>
      <c r="J7157" s="23" t="str">
        <f>HYPERLINK("https://www.spark-marketing.ru/Card/Person/657466", "АО ""СКО ""РОСЮГКУРОРТ""")</f>
        <v>АО "СКО "РОСЮГКУРОРТ"</v>
      </c>
      <c r="K7157" s="24" t="s">
        <v>10685</v>
      </c>
      <c r="L7157" s="22" t="s">
        <v>10</v>
      </c>
      <c r="M7157" s="25">
        <v>1736.5</v>
      </c>
      <c r="N7157" s="27">
        <v>0.99536933333333333</v>
      </c>
    </row>
    <row r="7158" spans="1:14" collapsed="1" x14ac:dyDescent="0.15">
      <c r="A7158" s="23" t="str">
        <f t="shared" ref="A7158:A7165" si="152">HYPERLINK("https://www.spark-marketing.ru/Card/Person/3720", "ГБУК Г. МОСКВЫ ""ГАЛЕРЕЯ А. ШИЛОВА""")</f>
        <v>ГБУК Г. МОСКВЫ "ГАЛЕРЕЯ А. ШИЛОВА"</v>
      </c>
      <c r="B7158" s="24" t="s">
        <v>10798</v>
      </c>
      <c r="C7158" s="25">
        <v>1536180</v>
      </c>
      <c r="D7158" s="22" t="s">
        <v>10799</v>
      </c>
      <c r="E7158" s="22" t="s">
        <v>756</v>
      </c>
      <c r="F7158" s="23" t="str">
        <f t="shared" ref="F7158:F7165" si="153">HYPERLINK("https://www.spark-marketing.ru/Card/Lot/72817678", "Оказание услуг по техническому обслуживанию систем пожаротушения и их элементов, пожарной и охранно-пожарной сигнализации и их элементов, систем (элементов систем) дымоудаления и противодымной вентиляции, систем оповещения и эвакуации и их элементов ...")</f>
        <v>Оказание услуг по техническому обслуживанию систем пожаротушения и их элементов, пожарной и охранно-пожарной сигнализации и их элементов, систем (элементов систем) дымоудаления и противодымной вентиляции, систем оповещения и эвакуации и их элементов ...</v>
      </c>
      <c r="G7158" s="22" t="s">
        <v>56</v>
      </c>
      <c r="H7158" s="22" t="s">
        <v>56</v>
      </c>
      <c r="I7158" s="26">
        <v>43692.605682870402</v>
      </c>
      <c r="J7158" s="28" t="s">
        <v>51</v>
      </c>
      <c r="K7158" s="28" t="s">
        <v>51</v>
      </c>
      <c r="L7158" s="28" t="s">
        <v>51</v>
      </c>
      <c r="M7158" s="28" t="s">
        <v>51</v>
      </c>
      <c r="N7158" s="28" t="s">
        <v>51</v>
      </c>
    </row>
    <row r="7159" spans="1:14" hidden="1" outlineLevel="1" x14ac:dyDescent="0.2">
      <c r="A7159" s="23" t="str">
        <f t="shared" si="152"/>
        <v>ГБУК Г. МОСКВЫ "ГАЛЕРЕЯ А. ШИЛОВА"</v>
      </c>
      <c r="B7159" s="24" t="s">
        <v>10798</v>
      </c>
      <c r="C7159" s="25">
        <v>1536180</v>
      </c>
      <c r="D7159" s="22" t="s">
        <v>10799</v>
      </c>
      <c r="E7159" s="22" t="s">
        <v>756</v>
      </c>
      <c r="F7159" s="23" t="str">
        <f t="shared" si="153"/>
        <v>Оказание услуг по техническому обслуживанию систем пожаротушения и их элементов, пожарной и охранно-пожарной сигнализации и их элементов, систем (элементов систем) дымоудаления и противодымной вентиляции, систем оповещения и эвакуации и их элементов ...</v>
      </c>
      <c r="G7159" s="22" t="s">
        <v>56</v>
      </c>
      <c r="H7159" s="22" t="s">
        <v>56</v>
      </c>
      <c r="I7159" s="26">
        <v>43692.605682870402</v>
      </c>
      <c r="J7159" s="23" t="str">
        <f>HYPERLINK("https://www.spark-marketing.ru/Card/Person/5869453", "ООО ""СТРОЙСИТИСЕРВИС""")</f>
        <v>ООО "СТРОЙСИТИСЕРВИС"</v>
      </c>
      <c r="K7159" s="24" t="s">
        <v>10800</v>
      </c>
      <c r="L7159" s="28" t="s">
        <v>51</v>
      </c>
      <c r="M7159" s="25">
        <v>698000</v>
      </c>
      <c r="N7159" s="27">
        <v>0.54562616360061977</v>
      </c>
    </row>
    <row r="7160" spans="1:14" hidden="1" outlineLevel="1" x14ac:dyDescent="0.2">
      <c r="A7160" s="23" t="str">
        <f t="shared" si="152"/>
        <v>ГБУК Г. МОСКВЫ "ГАЛЕРЕЯ А. ШИЛОВА"</v>
      </c>
      <c r="B7160" s="24" t="s">
        <v>10798</v>
      </c>
      <c r="C7160" s="25">
        <v>1536180</v>
      </c>
      <c r="D7160" s="22" t="s">
        <v>10799</v>
      </c>
      <c r="E7160" s="22" t="s">
        <v>756</v>
      </c>
      <c r="F7160" s="23" t="str">
        <f t="shared" si="153"/>
        <v>Оказание услуг по техническому обслуживанию систем пожаротушения и их элементов, пожарной и охранно-пожарной сигнализации и их элементов, систем (элементов систем) дымоудаления и противодымной вентиляции, систем оповещения и эвакуации и их элементов ...</v>
      </c>
      <c r="G7160" s="22" t="s">
        <v>56</v>
      </c>
      <c r="H7160" s="22" t="s">
        <v>56</v>
      </c>
      <c r="I7160" s="26">
        <v>43692.605682870402</v>
      </c>
      <c r="J7160" s="23" t="str">
        <f>HYPERLINK("https://www.spark-marketing.ru/Card/Person/73893", "ООО ""ТОРАКС""")</f>
        <v>ООО "ТОРАКС"</v>
      </c>
      <c r="K7160" s="24" t="s">
        <v>10801</v>
      </c>
      <c r="L7160" s="28" t="s">
        <v>51</v>
      </c>
      <c r="M7160" s="25">
        <v>361002.3</v>
      </c>
      <c r="N7160" s="27">
        <v>0.76500000000000001</v>
      </c>
    </row>
    <row r="7161" spans="1:14" hidden="1" outlineLevel="1" x14ac:dyDescent="0.2">
      <c r="A7161" s="23" t="str">
        <f t="shared" si="152"/>
        <v>ГБУК Г. МОСКВЫ "ГАЛЕРЕЯ А. ШИЛОВА"</v>
      </c>
      <c r="B7161" s="24" t="s">
        <v>10798</v>
      </c>
      <c r="C7161" s="25">
        <v>1536180</v>
      </c>
      <c r="D7161" s="22" t="s">
        <v>10799</v>
      </c>
      <c r="E7161" s="22" t="s">
        <v>756</v>
      </c>
      <c r="F7161" s="23" t="str">
        <f t="shared" si="153"/>
        <v>Оказание услуг по техническому обслуживанию систем пожаротушения и их элементов, пожарной и охранно-пожарной сигнализации и их элементов, систем (элементов систем) дымоудаления и противодымной вентиляции, систем оповещения и эвакуации и их элементов ...</v>
      </c>
      <c r="G7161" s="22" t="s">
        <v>56</v>
      </c>
      <c r="H7161" s="22" t="s">
        <v>56</v>
      </c>
      <c r="I7161" s="26">
        <v>43692.605682870402</v>
      </c>
      <c r="J7161" s="23" t="str">
        <f>HYPERLINK("https://www.spark-marketing.ru/Card/Person/920685", "ООО ""СБЦР""")</f>
        <v>ООО "СБЦР"</v>
      </c>
      <c r="K7161" s="24" t="s">
        <v>10802</v>
      </c>
      <c r="L7161" s="28" t="s">
        <v>51</v>
      </c>
      <c r="M7161" s="25">
        <v>1182858.6000000001</v>
      </c>
      <c r="N7161" s="27">
        <v>0.23</v>
      </c>
    </row>
    <row r="7162" spans="1:14" hidden="1" outlineLevel="1" x14ac:dyDescent="0.2">
      <c r="A7162" s="23" t="str">
        <f t="shared" si="152"/>
        <v>ГБУК Г. МОСКВЫ "ГАЛЕРЕЯ А. ШИЛОВА"</v>
      </c>
      <c r="B7162" s="24" t="s">
        <v>10798</v>
      </c>
      <c r="C7162" s="25">
        <v>1536180</v>
      </c>
      <c r="D7162" s="22" t="s">
        <v>10799</v>
      </c>
      <c r="E7162" s="22" t="s">
        <v>756</v>
      </c>
      <c r="F7162" s="23" t="str">
        <f t="shared" si="153"/>
        <v>Оказание услуг по техническому обслуживанию систем пожаротушения и их элементов, пожарной и охранно-пожарной сигнализации и их элементов, систем (элементов систем) дымоудаления и противодымной вентиляции, систем оповещения и эвакуации и их элементов ...</v>
      </c>
      <c r="G7162" s="22" t="s">
        <v>56</v>
      </c>
      <c r="H7162" s="22" t="s">
        <v>56</v>
      </c>
      <c r="I7162" s="26">
        <v>43692.605682870402</v>
      </c>
      <c r="J7162" s="23" t="str">
        <f>HYPERLINK("https://www.spark-marketing.ru/Card/Person/1602555", "ООО ""ПОЖМОНТАЖГРУПП""")</f>
        <v>ООО "ПОЖМОНТАЖГРУПП"</v>
      </c>
      <c r="K7162" s="24" t="s">
        <v>7555</v>
      </c>
      <c r="L7162" s="28" t="s">
        <v>51</v>
      </c>
      <c r="M7162" s="25">
        <v>714323.7</v>
      </c>
      <c r="N7162" s="27">
        <v>0.53500000000000003</v>
      </c>
    </row>
    <row r="7163" spans="1:14" ht="12.75" hidden="1" outlineLevel="1" x14ac:dyDescent="0.2">
      <c r="A7163" s="23" t="str">
        <f t="shared" si="152"/>
        <v>ГБУК Г. МОСКВЫ "ГАЛЕРЕЯ А. ШИЛОВА"</v>
      </c>
      <c r="B7163" s="24" t="s">
        <v>10798</v>
      </c>
      <c r="C7163" s="25">
        <v>1536180</v>
      </c>
      <c r="D7163" s="22" t="s">
        <v>10799</v>
      </c>
      <c r="E7163" s="22" t="s">
        <v>756</v>
      </c>
      <c r="F7163" s="23" t="str">
        <f t="shared" si="153"/>
        <v>Оказание услуг по техническому обслуживанию систем пожаротушения и их элементов, пожарной и охранно-пожарной сигнализации и их элементов, систем (элементов систем) дымоудаления и противодымной вентиляции, систем оповещения и эвакуации и их элементов ...</v>
      </c>
      <c r="G7163" s="22" t="s">
        <v>56</v>
      </c>
      <c r="H7163" s="22" t="s">
        <v>56</v>
      </c>
      <c r="I7163" s="26">
        <v>43692.605682870402</v>
      </c>
      <c r="J7163" s="23" t="str">
        <f>HYPERLINK("https://www.spark-marketing.ru/Card/Person/5921742", "ООО ""КСБ""")</f>
        <v>ООО "КСБ"</v>
      </c>
      <c r="K7163" s="24" t="s">
        <v>7553</v>
      </c>
      <c r="L7163" s="22" t="s">
        <v>10</v>
      </c>
      <c r="M7163" s="25">
        <v>353321.4</v>
      </c>
      <c r="N7163" s="27">
        <v>0.77</v>
      </c>
    </row>
    <row r="7164" spans="1:14" hidden="1" outlineLevel="1" x14ac:dyDescent="0.2">
      <c r="A7164" s="23" t="str">
        <f t="shared" si="152"/>
        <v>ГБУК Г. МОСКВЫ "ГАЛЕРЕЯ А. ШИЛОВА"</v>
      </c>
      <c r="B7164" s="24" t="s">
        <v>10798</v>
      </c>
      <c r="C7164" s="25">
        <v>1536180</v>
      </c>
      <c r="D7164" s="22" t="s">
        <v>10799</v>
      </c>
      <c r="E7164" s="22" t="s">
        <v>756</v>
      </c>
      <c r="F7164" s="23" t="str">
        <f t="shared" si="153"/>
        <v>Оказание услуг по техническому обслуживанию систем пожаротушения и их элементов, пожарной и охранно-пожарной сигнализации и их элементов, систем (элементов систем) дымоудаления и противодымной вентиляции, систем оповещения и эвакуации и их элементов ...</v>
      </c>
      <c r="G7164" s="22" t="s">
        <v>56</v>
      </c>
      <c r="H7164" s="22" t="s">
        <v>56</v>
      </c>
      <c r="I7164" s="26">
        <v>43692.605682870402</v>
      </c>
      <c r="J7164" s="23" t="str">
        <f>HYPERLINK("https://www.spark-marketing.ru/Card/Person/89369", "ООО ""ЭНЕРГОСТАР""")</f>
        <v>ООО "ЭНЕРГОСТАР"</v>
      </c>
      <c r="K7164" s="24" t="s">
        <v>10803</v>
      </c>
      <c r="L7164" s="28" t="s">
        <v>51</v>
      </c>
      <c r="M7164" s="25">
        <v>729685.5</v>
      </c>
      <c r="N7164" s="27">
        <v>0.52500000000000002</v>
      </c>
    </row>
    <row r="7165" spans="1:14" hidden="1" outlineLevel="1" x14ac:dyDescent="0.2">
      <c r="A7165" s="23" t="str">
        <f t="shared" si="152"/>
        <v>ГБУК Г. МОСКВЫ "ГАЛЕРЕЯ А. ШИЛОВА"</v>
      </c>
      <c r="B7165" s="24" t="s">
        <v>10798</v>
      </c>
      <c r="C7165" s="25">
        <v>1536180</v>
      </c>
      <c r="D7165" s="22" t="s">
        <v>10799</v>
      </c>
      <c r="E7165" s="22" t="s">
        <v>756</v>
      </c>
      <c r="F7165" s="23" t="str">
        <f t="shared" si="153"/>
        <v>Оказание услуг по техническому обслуживанию систем пожаротушения и их элементов, пожарной и охранно-пожарной сигнализации и их элементов, систем (элементов систем) дымоудаления и противодымной вентиляции, систем оповещения и эвакуации и их элементов ...</v>
      </c>
      <c r="G7165" s="22" t="s">
        <v>56</v>
      </c>
      <c r="H7165" s="22" t="s">
        <v>56</v>
      </c>
      <c r="I7165" s="26">
        <v>43692.605682870402</v>
      </c>
      <c r="J7165" s="23" t="str">
        <f>HYPERLINK("https://www.spark-marketing.ru/Card/Person/2553652", "ООО ""ОПТИМАЛЬНАЯ ЗАЩИТА""")</f>
        <v>ООО "ОПТИМАЛЬНАЯ ЗАЩИТА"</v>
      </c>
      <c r="K7165" s="24" t="s">
        <v>10804</v>
      </c>
      <c r="L7165" s="28" t="s">
        <v>51</v>
      </c>
      <c r="M7165" s="25">
        <v>698961.9</v>
      </c>
      <c r="N7165" s="27">
        <v>0.54500000000000004</v>
      </c>
    </row>
    <row r="7166" spans="1:14" x14ac:dyDescent="0.15">
      <c r="A7166" s="23" t="str">
        <f>HYPERLINK("https://www.spark-marketing.ru/Card/Person/246263", "ОТДЕЛ МВД РОССИИ ПО БОГОРОДСКОМУ РАЙОНУ")</f>
        <v>ОТДЕЛ МВД РОССИИ ПО БОГОРОДСКОМУ РАЙОНУ</v>
      </c>
      <c r="B7166" s="24" t="s">
        <v>6629</v>
      </c>
      <c r="C7166" s="25">
        <v>832175.08</v>
      </c>
      <c r="D7166" s="22" t="s">
        <v>10805</v>
      </c>
      <c r="E7166" s="22" t="s">
        <v>48</v>
      </c>
      <c r="F7166" s="23" t="str">
        <f>HYPERLINK("https://www.spark-marketing.ru/Card/Lot/72816779", "Услуги по ежедневному трехразовому горячему питанию лиц, подозреваемых либо обвиняемых в совершении преступлений, находящихся в изоляторе временного содержания и лиц, находящихся в специальном помещении , для задержанных лиц, задержанных в администра...")</f>
        <v>Услуги по ежедневному трехразовому горячему питанию лиц, подозреваемых либо обвиняемых в совершении преступлений, находящихся в изоляторе временного содержания и лиц, находящихся в специальном помещении , для задержанных лиц, задержанных в администра...</v>
      </c>
      <c r="G7166" s="22" t="s">
        <v>76</v>
      </c>
      <c r="H7166" s="22" t="s">
        <v>6631</v>
      </c>
      <c r="I7166" s="26">
        <v>43692.467858796299</v>
      </c>
      <c r="J7166" s="28" t="s">
        <v>51</v>
      </c>
      <c r="K7166" s="28" t="s">
        <v>51</v>
      </c>
      <c r="L7166" s="28" t="s">
        <v>51</v>
      </c>
      <c r="M7166" s="28" t="s">
        <v>51</v>
      </c>
      <c r="N7166" s="28" t="s">
        <v>51</v>
      </c>
    </row>
    <row r="7167" spans="1:14" x14ac:dyDescent="0.15">
      <c r="A7167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7167" s="24" t="s">
        <v>2576</v>
      </c>
      <c r="C7167" s="25">
        <v>231533.33</v>
      </c>
      <c r="D7167" s="22" t="s">
        <v>10806</v>
      </c>
      <c r="E7167" s="22" t="s">
        <v>91</v>
      </c>
      <c r="F7167" s="23" t="str">
        <f>HYPERLINK("https://www.spark-marketing.ru/Card/Lot/72816825", "Оказание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Костромской, Тверской области.")</f>
        <v>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Костромской, Тверской области.</v>
      </c>
      <c r="G7167" s="22" t="s">
        <v>137</v>
      </c>
      <c r="H7167" s="22" t="s">
        <v>137</v>
      </c>
      <c r="I7167" s="26">
        <v>43692.604108796302</v>
      </c>
      <c r="J7167" s="28" t="s">
        <v>51</v>
      </c>
      <c r="K7167" s="28" t="s">
        <v>51</v>
      </c>
      <c r="L7167" s="28" t="s">
        <v>51</v>
      </c>
      <c r="M7167" s="28" t="s">
        <v>51</v>
      </c>
      <c r="N7167" s="28" t="s">
        <v>51</v>
      </c>
    </row>
    <row r="7168" spans="1:14" hidden="1" outlineLevel="1" x14ac:dyDescent="0.2">
      <c r="A7168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7168" s="24" t="s">
        <v>2576</v>
      </c>
      <c r="C7168" s="25">
        <v>231533.33</v>
      </c>
      <c r="D7168" s="22" t="s">
        <v>10806</v>
      </c>
      <c r="E7168" s="22" t="s">
        <v>91</v>
      </c>
      <c r="F7168" s="23" t="str">
        <f>HYPERLINK("https://www.spark-marketing.ru/Card/Lot/72816825", "Оказание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Костромской, Тверской области.")</f>
        <v>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Костромской, Тверской области.</v>
      </c>
      <c r="G7168" s="22" t="s">
        <v>137</v>
      </c>
      <c r="H7168" s="22" t="s">
        <v>137</v>
      </c>
      <c r="I7168" s="26">
        <v>43692.604108796302</v>
      </c>
      <c r="J7168" s="23" t="str">
        <f>HYPERLINK("https://www.spark-marketing.ru/Card/Person/1327917", "Попова Ирина Михайловна")</f>
        <v>Попова Ирина Михайловна</v>
      </c>
      <c r="K7168" s="24" t="s">
        <v>5640</v>
      </c>
      <c r="L7168" s="28" t="s">
        <v>51</v>
      </c>
      <c r="M7168" s="25">
        <v>65986.55</v>
      </c>
      <c r="N7168" s="27">
        <v>0.71500193946158852</v>
      </c>
    </row>
    <row r="7169" spans="1:14" ht="12.75" hidden="1" outlineLevel="1" x14ac:dyDescent="0.2">
      <c r="A7169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7169" s="24" t="s">
        <v>2576</v>
      </c>
      <c r="C7169" s="25">
        <v>231533.33</v>
      </c>
      <c r="D7169" s="22" t="s">
        <v>10806</v>
      </c>
      <c r="E7169" s="22" t="s">
        <v>91</v>
      </c>
      <c r="F7169" s="23" t="str">
        <f>HYPERLINK("https://www.spark-marketing.ru/Card/Lot/72816825", "Оказание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Костромской, Тверской области.")</f>
        <v>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Костромской, Тверской области.</v>
      </c>
      <c r="G7169" s="22" t="s">
        <v>137</v>
      </c>
      <c r="H7169" s="22" t="s">
        <v>137</v>
      </c>
      <c r="I7169" s="26">
        <v>43692.604108796302</v>
      </c>
      <c r="J7169" s="23" t="str">
        <f>HYPERLINK("https://www.spark-marketing.ru/Card/Person/6204178", "Васильев Алексей Витальевич")</f>
        <v>Васильев Алексей Витальевич</v>
      </c>
      <c r="K7169" s="24" t="s">
        <v>5637</v>
      </c>
      <c r="L7169" s="22" t="s">
        <v>10</v>
      </c>
      <c r="M7169" s="25">
        <v>64828.88</v>
      </c>
      <c r="N7169" s="27">
        <v>0.72000195393034772</v>
      </c>
    </row>
    <row r="7170" spans="1:14" hidden="1" outlineLevel="1" x14ac:dyDescent="0.2">
      <c r="A7170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7170" s="24" t="s">
        <v>2576</v>
      </c>
      <c r="C7170" s="25">
        <v>231533.33</v>
      </c>
      <c r="D7170" s="22" t="s">
        <v>10806</v>
      </c>
      <c r="E7170" s="22" t="s">
        <v>91</v>
      </c>
      <c r="F7170" s="23" t="str">
        <f>HYPERLINK("https://www.spark-marketing.ru/Card/Lot/72816825", "Оказание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Костромской, Тверской области.")</f>
        <v>Оказание услуг по техническому обслуживанию и регламентно-профилактическому ремонту систем бесперебойного питания для обеспечения нужд Управления Федерального казначейства по Костромской, Тверской области.</v>
      </c>
      <c r="G7170" s="22" t="s">
        <v>137</v>
      </c>
      <c r="H7170" s="22" t="s">
        <v>137</v>
      </c>
      <c r="I7170" s="26">
        <v>43692.604108796302</v>
      </c>
      <c r="J7170" s="23" t="str">
        <f>HYPERLINK("https://www.spark-marketing.ru/Card/Person/629942", "ООО ""ФЕНИКС СБ""")</f>
        <v>ООО "ФЕНИКС СБ"</v>
      </c>
      <c r="K7170" s="24" t="s">
        <v>10807</v>
      </c>
      <c r="L7170" s="28" t="s">
        <v>51</v>
      </c>
      <c r="M7170" s="25">
        <v>105347.33</v>
      </c>
      <c r="N7170" s="27">
        <v>0.54500144752377555</v>
      </c>
    </row>
    <row r="7171" spans="1:14" x14ac:dyDescent="0.15">
      <c r="A7171" s="23" t="str">
        <f>HYPERLINK("https://www.spark-marketing.ru/Card/Person/812534", "ОТДЕЛ МВД РОССИИ ПО БАЛТАСИНСКОМУ РАЙОНУ")</f>
        <v>ОТДЕЛ МВД РОССИИ ПО БАЛТАСИНСКОМУ РАЙОНУ</v>
      </c>
      <c r="B7171" s="24" t="s">
        <v>10808</v>
      </c>
      <c r="C7171" s="25">
        <v>50000</v>
      </c>
      <c r="D7171" s="22" t="s">
        <v>10809</v>
      </c>
      <c r="E7171" s="22" t="s">
        <v>48</v>
      </c>
      <c r="F7171" s="23" t="str">
        <f>HYPERLINK("https://www.spark-marketing.ru/Card/Lot/72810925", "Оказание услуг по организации питания (приготовлению и доставке) для ИВС, 250 усл. ед")</f>
        <v>Оказание услуг по организации питания (приготовлению и доставке) для ИВС, 250 усл. ед</v>
      </c>
      <c r="G7171" s="22" t="s">
        <v>217</v>
      </c>
      <c r="H7171" s="22" t="s">
        <v>10810</v>
      </c>
      <c r="I7171" s="26">
        <v>43692.617847222202</v>
      </c>
      <c r="J7171" s="28" t="s">
        <v>51</v>
      </c>
      <c r="K7171" s="28" t="s">
        <v>51</v>
      </c>
      <c r="L7171" s="28" t="s">
        <v>51</v>
      </c>
      <c r="M7171" s="28" t="s">
        <v>51</v>
      </c>
      <c r="N7171" s="28" t="s">
        <v>51</v>
      </c>
    </row>
    <row r="7172" spans="1:14" x14ac:dyDescent="0.15">
      <c r="A7172" s="23" t="str">
        <f>HYPERLINK("https://www.spark-marketing.ru/Card/Person/44160", "ГБУ РО ""ГКБ № 5""")</f>
        <v>ГБУ РО "ГКБ № 5"</v>
      </c>
      <c r="B7172" s="24" t="s">
        <v>10811</v>
      </c>
      <c r="C7172" s="25">
        <v>5244414</v>
      </c>
      <c r="D7172" s="22" t="s">
        <v>10812</v>
      </c>
      <c r="E7172" s="22" t="s">
        <v>48</v>
      </c>
      <c r="F7172" s="23" t="str">
        <f>HYPERLINK("https://www.spark-marketing.ru/Card/Lot/72819864", "Оказание услуг по приготовлению и поставке лечебно-диетического питания пациентам, находящихся на стационарном лечении в Государственном бюджетном учреждении Рязанской области «Городская клиническая больница № 5»")</f>
        <v>Оказание услуг по приготовлению и поставке лечебно-диетического питания пациентам, находящихся на стационарном лечении в Государственном бюджетном учреждении Рязанской области «Городская клиническая больница № 5»</v>
      </c>
      <c r="G7172" s="22" t="s">
        <v>1522</v>
      </c>
      <c r="H7172" s="22" t="s">
        <v>1523</v>
      </c>
      <c r="I7172" s="26">
        <v>43692.523807870399</v>
      </c>
      <c r="J7172" s="23" t="str">
        <f>HYPERLINK("https://www.spark-marketing.ru/Card/Person/2539161", "ООО ""ДИОНИС""")</f>
        <v>ООО "ДИОНИС"</v>
      </c>
      <c r="K7172" s="24" t="s">
        <v>10813</v>
      </c>
      <c r="L7172" s="22" t="s">
        <v>10</v>
      </c>
      <c r="M7172" s="28" t="s">
        <v>51</v>
      </c>
      <c r="N7172" s="28" t="s">
        <v>51</v>
      </c>
    </row>
    <row r="7173" spans="1:14" x14ac:dyDescent="0.15">
      <c r="A7173" s="23" t="str">
        <f>HYPERLINK("https://www.spark-marketing.ru/Card/Person/242935", "ГБУ НСО ""ЦМТ""")</f>
        <v>ГБУ НСО "ЦМТ"</v>
      </c>
      <c r="B7173" s="24" t="s">
        <v>4918</v>
      </c>
      <c r="C7173" s="25">
        <v>301966.67</v>
      </c>
      <c r="D7173" s="22" t="s">
        <v>10814</v>
      </c>
      <c r="E7173" s="22" t="s">
        <v>1632</v>
      </c>
      <c r="F7173" s="23" t="str">
        <f>HYPERLINK("https://www.spark-marketing.ru/Card/Lot/72806590", "оказание услуг по организации проживания и питания китайской делегации, федеральных экспертов и организаторов в рамках Российско-Китайского молодежного бизнес-инкубатора")</f>
        <v>оказание услуг по организации проживания и питания китайской делегации, федеральных экспертов и организаторов в рамках Российско-Китайского молодежного бизнес-инкубатора</v>
      </c>
      <c r="G7173" s="22" t="s">
        <v>195</v>
      </c>
      <c r="H7173" s="22" t="s">
        <v>196</v>
      </c>
      <c r="I7173" s="26">
        <v>43692.590972222199</v>
      </c>
      <c r="J7173" s="23" t="str">
        <f>HYPERLINK("https://www.spark-marketing.ru/Card/Person/4766589", "ООО ""МК ХОЛДИНГ""")</f>
        <v>ООО "МК ХОЛДИНГ"</v>
      </c>
      <c r="K7173" s="24" t="s">
        <v>10815</v>
      </c>
      <c r="L7173" s="28" t="s">
        <v>51</v>
      </c>
      <c r="M7173" s="28" t="s">
        <v>51</v>
      </c>
      <c r="N7173" s="28" t="s">
        <v>51</v>
      </c>
    </row>
    <row r="7174" spans="1:14" ht="12.75" hidden="1" outlineLevel="1" x14ac:dyDescent="0.2">
      <c r="A7174" s="23" t="str">
        <f>HYPERLINK("https://www.spark-marketing.ru/Card/Person/242935", "ГБУ НСО ""ЦМТ""")</f>
        <v>ГБУ НСО "ЦМТ"</v>
      </c>
      <c r="B7174" s="24" t="s">
        <v>4918</v>
      </c>
      <c r="C7174" s="25">
        <v>301966.67</v>
      </c>
      <c r="D7174" s="22" t="s">
        <v>10814</v>
      </c>
      <c r="E7174" s="22" t="s">
        <v>1632</v>
      </c>
      <c r="F7174" s="23" t="str">
        <f>HYPERLINK("https://www.spark-marketing.ru/Card/Lot/72806590", "оказание услуг по организации проживания и питания китайской делегации, федеральных экспертов и организаторов в рамках Российско-Китайского молодежного бизнес-инкубатора")</f>
        <v>оказание услуг по организации проживания и питания китайской делегации, федеральных экспертов и организаторов в рамках Российско-Китайского молодежного бизнес-инкубатора</v>
      </c>
      <c r="G7174" s="22" t="s">
        <v>195</v>
      </c>
      <c r="H7174" s="22" t="s">
        <v>196</v>
      </c>
      <c r="I7174" s="26">
        <v>43692.590972222199</v>
      </c>
      <c r="J7174" s="23" t="str">
        <f>HYPERLINK("https://www.spark-marketing.ru/Card/Person/4766589", "ООО ""МК ХОЛДИНГ""")</f>
        <v>ООО "МК ХОЛДИНГ"</v>
      </c>
      <c r="K7174" s="24" t="s">
        <v>10815</v>
      </c>
      <c r="L7174" s="22" t="s">
        <v>10</v>
      </c>
      <c r="M7174" s="25">
        <v>300456.83</v>
      </c>
      <c r="N7174" s="27">
        <v>5.0000220222980235E-3</v>
      </c>
    </row>
    <row r="7175" spans="1:14" x14ac:dyDescent="0.15">
      <c r="A7175" s="23" t="str">
        <f>HYPERLINK("https://www.spark-marketing.ru/Card/Person/137075", "КОУ ""ХАНТЫ-МАНСИЙСКАЯ ШКОЛА ДЛЯ ОБУЧАЮЩИХСЯ С ОГРАНИЧЕННЫМИ ВОЗМОЖНОСТЯМИ ЗДОРОВЬЯ""")</f>
        <v>КОУ "ХАНТЫ-МАНСИЙСКАЯ ШКОЛА ДЛЯ ОБУЧАЮЩИХСЯ С ОГРАНИЧЕННЫМИ ВОЗМОЖНОСТЯМИ ЗДОРОВЬЯ"</v>
      </c>
      <c r="B7175" s="24" t="s">
        <v>10816</v>
      </c>
      <c r="C7175" s="25">
        <v>959616</v>
      </c>
      <c r="D7175" s="22" t="s">
        <v>10817</v>
      </c>
      <c r="E7175" s="22" t="s">
        <v>96</v>
      </c>
      <c r="F7175" s="23" t="str">
        <f>HYPERLINK("https://www.spark-marketing.ru/Card/Lot/72815385", "оказание услуг по обеспечению горячим питанием учащихся")</f>
        <v>оказание услуг по обеспечению горячим питанием учащихся</v>
      </c>
      <c r="G7175" s="22" t="s">
        <v>97</v>
      </c>
      <c r="H7175" s="22" t="s">
        <v>98</v>
      </c>
      <c r="I7175" s="26">
        <v>43692.605115740698</v>
      </c>
      <c r="J7175" s="28" t="s">
        <v>51</v>
      </c>
      <c r="K7175" s="28" t="s">
        <v>51</v>
      </c>
      <c r="L7175" s="28" t="s">
        <v>51</v>
      </c>
      <c r="M7175" s="28" t="s">
        <v>51</v>
      </c>
      <c r="N7175" s="28" t="s">
        <v>51</v>
      </c>
    </row>
    <row r="7176" spans="1:14" ht="12.75" hidden="1" outlineLevel="1" x14ac:dyDescent="0.2">
      <c r="A7176" s="23" t="str">
        <f>HYPERLINK("https://www.spark-marketing.ru/Card/Person/137075", "КОУ ""ХАНТЫ-МАНСИЙСКАЯ ШКОЛА ДЛЯ ОБУЧАЮЩИХСЯ С ОГРАНИЧЕННЫМИ ВОЗМОЖНОСТЯМИ ЗДОРОВЬЯ""")</f>
        <v>КОУ "ХАНТЫ-МАНСИЙСКАЯ ШКОЛА ДЛЯ ОБУЧАЮЩИХСЯ С ОГРАНИЧЕННЫМИ ВОЗМОЖНОСТЯМИ ЗДОРОВЬЯ"</v>
      </c>
      <c r="B7176" s="24" t="s">
        <v>10816</v>
      </c>
      <c r="C7176" s="25">
        <v>959616</v>
      </c>
      <c r="D7176" s="22" t="s">
        <v>10817</v>
      </c>
      <c r="E7176" s="22" t="s">
        <v>96</v>
      </c>
      <c r="F7176" s="23" t="str">
        <f>HYPERLINK("https://www.spark-marketing.ru/Card/Lot/72815385", "оказание услуг по обеспечению горячим питанием учащихся")</f>
        <v>оказание услуг по обеспечению горячим питанием учащихся</v>
      </c>
      <c r="G7176" s="22" t="s">
        <v>97</v>
      </c>
      <c r="H7176" s="22" t="s">
        <v>98</v>
      </c>
      <c r="I7176" s="26">
        <v>43692.605115740698</v>
      </c>
      <c r="J7176" s="23" t="str">
        <f>HYPERLINK("https://www.spark-marketing.ru/Card/Person/2511796", "ООО ""ФЕРМЕРСКОЕ ХОЗЯЙСТВО ""ОМК""")</f>
        <v>ООО "ФЕРМЕРСКОЕ ХОЗЯЙСТВО "ОМК"</v>
      </c>
      <c r="K7176" s="24" t="s">
        <v>10818</v>
      </c>
      <c r="L7176" s="22" t="s">
        <v>10</v>
      </c>
      <c r="M7176" s="25">
        <v>653759.68000000005</v>
      </c>
      <c r="N7176" s="27">
        <v>0.31872782446311859</v>
      </c>
    </row>
    <row r="7177" spans="1:14" hidden="1" outlineLevel="1" x14ac:dyDescent="0.2">
      <c r="A7177" s="23" t="str">
        <f>HYPERLINK("https://www.spark-marketing.ru/Card/Person/137075", "КОУ ""ХАНТЫ-МАНСИЙСКАЯ ШКОЛА ДЛЯ ОБУЧАЮЩИХСЯ С ОГРАНИЧЕННЫМИ ВОЗМОЖНОСТЯМИ ЗДОРОВЬЯ""")</f>
        <v>КОУ "ХАНТЫ-МАНСИЙСКАЯ ШКОЛА ДЛЯ ОБУЧАЮЩИХСЯ С ОГРАНИЧЕННЫМИ ВОЗМОЖНОСТЯМИ ЗДОРОВЬЯ"</v>
      </c>
      <c r="B7177" s="24" t="s">
        <v>10816</v>
      </c>
      <c r="C7177" s="25">
        <v>959616</v>
      </c>
      <c r="D7177" s="22" t="s">
        <v>10817</v>
      </c>
      <c r="E7177" s="22" t="s">
        <v>96</v>
      </c>
      <c r="F7177" s="23" t="str">
        <f>HYPERLINK("https://www.spark-marketing.ru/Card/Lot/72815385", "оказание услуг по обеспечению горячим питанием учащихся")</f>
        <v>оказание услуг по обеспечению горячим питанием учащихся</v>
      </c>
      <c r="G7177" s="22" t="s">
        <v>97</v>
      </c>
      <c r="H7177" s="22" t="s">
        <v>98</v>
      </c>
      <c r="I7177" s="26">
        <v>43692.605115740698</v>
      </c>
      <c r="J7177" s="23" t="str">
        <f>HYPERLINK("https://www.spark-marketing.ru/Card/Person/153589", "ООО ""ПЕРСПЕКТИВА""")</f>
        <v>ООО "ПЕРСПЕКТИВА"</v>
      </c>
      <c r="K7177" s="24" t="s">
        <v>9906</v>
      </c>
      <c r="L7177" s="28" t="s">
        <v>51</v>
      </c>
      <c r="M7177" s="25">
        <v>658557.76</v>
      </c>
      <c r="N7177" s="27">
        <v>0.31372782446311859</v>
      </c>
    </row>
    <row r="7178" spans="1:14" x14ac:dyDescent="0.2">
      <c r="A7178" s="23" t="str">
        <f>HYPERLINK("https://www.spark-marketing.ru/Card/Person/32544", "ГБУЗ ЯО ""ЯОКНБ""")</f>
        <v>ГБУЗ ЯО "ЯОКНБ"</v>
      </c>
      <c r="B7178" s="24" t="s">
        <v>10819</v>
      </c>
      <c r="C7178" s="25">
        <v>14709763.720000001</v>
      </c>
      <c r="D7178" s="22" t="s">
        <v>10820</v>
      </c>
      <c r="E7178" s="22" t="s">
        <v>48</v>
      </c>
      <c r="F7178" s="23" t="str">
        <f>HYPERLINK("https://www.spark-marketing.ru/Card/Lot/72817518", "Оказание услуг по организации и доставке горячего питания для Государственного бюджетного учреждения здравоохранения Ярославской области «Ярославская областная клиническая наркологическая больница»")</f>
        <v>Оказание услуг по организации и доставке горячего питания для Государственного бюджетного учреждения здравоохранения Ярославской области «Ярославская областная клиническая наркологическая больница»</v>
      </c>
      <c r="G7178" s="22" t="s">
        <v>185</v>
      </c>
      <c r="H7178" s="22" t="s">
        <v>3365</v>
      </c>
      <c r="I7178" s="26">
        <v>43692.589583333298</v>
      </c>
      <c r="J7178" s="23" t="str">
        <f>HYPERLINK("https://www.spark-marketing.ru/Card/Person/59339", "ООО ""КОМБИНАТ СОЦИАЛЬНОГО ПИТАНИЯ""")</f>
        <v>ООО "КОМБИНАТ СОЦИАЛЬНОГО ПИТАНИЯ"</v>
      </c>
      <c r="K7178" s="24" t="s">
        <v>10821</v>
      </c>
      <c r="L7178" s="28" t="s">
        <v>51</v>
      </c>
      <c r="M7178" s="25">
        <v>14709763.720000001</v>
      </c>
      <c r="N7178" s="27">
        <v>0</v>
      </c>
    </row>
    <row r="7179" spans="1:14" x14ac:dyDescent="0.15">
      <c r="A7179" s="23" t="str">
        <f>HYPERLINK("https://www.spark-marketing.ru/Card/Person/1006249", "МБОУ НГО ""СОШ № 2""")</f>
        <v>МБОУ НГО "СОШ № 2"</v>
      </c>
      <c r="B7179" s="24" t="s">
        <v>623</v>
      </c>
      <c r="C7179" s="25">
        <v>577092</v>
      </c>
      <c r="D7179" s="22" t="s">
        <v>10822</v>
      </c>
      <c r="E7179" s="22" t="s">
        <v>48</v>
      </c>
      <c r="F7179" s="23" t="str">
        <f>HYPERLINK("https://www.spark-marketing.ru/Card/Lot/72814889", "Услуга по организации питания учащихся МБОУ НГО ""СОШ №2""")</f>
        <v>Услуга по организации питания учащихся МБОУ НГО "СОШ №2"</v>
      </c>
      <c r="G7179" s="22" t="s">
        <v>174</v>
      </c>
      <c r="H7179" s="22" t="s">
        <v>174</v>
      </c>
      <c r="I7179" s="26">
        <v>43692.389826388899</v>
      </c>
      <c r="J7179" s="23" t="str">
        <f>HYPERLINK("https://www.spark-marketing.ru/Card/Person/1478566", "Амахина Ирина Вадимовна")</f>
        <v>Амахина Ирина Вадимовна</v>
      </c>
      <c r="K7179" s="24" t="s">
        <v>5399</v>
      </c>
      <c r="L7179" s="22" t="s">
        <v>10</v>
      </c>
      <c r="M7179" s="28" t="s">
        <v>51</v>
      </c>
      <c r="N7179" s="28" t="s">
        <v>51</v>
      </c>
    </row>
    <row r="7180" spans="1:14" x14ac:dyDescent="0.15">
      <c r="A7180" s="23" t="str">
        <f>HYPERLINK("https://www.spark-marketing.ru/Card/Person/995791", "ОМВД РОССИИ ПО НЕРЧИНСКОМУ РАЙОНУ")</f>
        <v>ОМВД РОССИИ ПО НЕРЧИНСКОМУ РАЙОНУ</v>
      </c>
      <c r="B7180" s="24" t="s">
        <v>2573</v>
      </c>
      <c r="C7180" s="25">
        <v>1630000</v>
      </c>
      <c r="D7180" s="22" t="s">
        <v>10823</v>
      </c>
      <c r="E7180" s="22" t="s">
        <v>48</v>
      </c>
      <c r="F7180" s="23" t="str">
        <f>HYPERLINK("https://www.spark-marketing.ru/Card/Lot/72810026", "Приготовление горячего питания для лиц, содержащихся в ИВС")</f>
        <v>Приготовление горячего питания для лиц, содержащихся в ИВС</v>
      </c>
      <c r="G7180" s="22" t="s">
        <v>228</v>
      </c>
      <c r="H7180" s="22" t="s">
        <v>10824</v>
      </c>
      <c r="I7180" s="26">
        <v>43691.475949074098</v>
      </c>
      <c r="J7180" s="28" t="s">
        <v>51</v>
      </c>
      <c r="K7180" s="28" t="s">
        <v>51</v>
      </c>
      <c r="L7180" s="28" t="s">
        <v>51</v>
      </c>
      <c r="M7180" s="28" t="s">
        <v>51</v>
      </c>
      <c r="N7180" s="28" t="s">
        <v>51</v>
      </c>
    </row>
    <row r="7181" spans="1:14" x14ac:dyDescent="0.15">
      <c r="A7181" s="23" t="str">
        <f>HYPERLINK("https://www.spark-marketing.ru/Card/Person/997890", "ОТДЕЛ МВД РОССИИ ПО Г. ШАХУНЬЯ")</f>
        <v>ОТДЕЛ МВД РОССИИ ПО Г. ШАХУНЬЯ</v>
      </c>
      <c r="B7181" s="24" t="s">
        <v>3358</v>
      </c>
      <c r="C7181" s="25">
        <v>1790000</v>
      </c>
      <c r="D7181" s="22" t="s">
        <v>10825</v>
      </c>
      <c r="E7181" s="22" t="s">
        <v>48</v>
      </c>
      <c r="F7181" s="23" t="str">
        <f>HYPERLINK("https://www.spark-marketing.ru/Card/Lot/72815804", "Оказание услуг по организации питания лиц содержащихся в изоляторе временного содержания подозреваемых и обвиняемых в специальном помещении задержанных Отдела МВД России по г. Шахунья")</f>
        <v>Оказание услуг по организации питания лиц содержащихся в изоляторе временного содержания подозреваемых и обвиняемых в специальном помещении задержанных Отдела МВД России по г. Шахунья</v>
      </c>
      <c r="G7181" s="22" t="s">
        <v>76</v>
      </c>
      <c r="H7181" s="22" t="s">
        <v>3360</v>
      </c>
      <c r="I7181" s="26">
        <v>43692.526041666701</v>
      </c>
      <c r="J7181" s="28" t="s">
        <v>51</v>
      </c>
      <c r="K7181" s="28" t="s">
        <v>51</v>
      </c>
      <c r="L7181" s="28" t="s">
        <v>51</v>
      </c>
      <c r="M7181" s="28" t="s">
        <v>51</v>
      </c>
      <c r="N7181" s="28" t="s">
        <v>51</v>
      </c>
    </row>
    <row r="7182" spans="1:14" x14ac:dyDescent="0.15">
      <c r="A7182" s="23" t="str">
        <f>HYPERLINK("https://www.spark-marketing.ru/Card/Person/3529", "СИБИРСКИЙ ЮРИДИЧЕСКИЙ ИНСТИТУТ МВД РОССИИ, СИБЮИ МВД РОССИИ, СИБИРСКИЙ ЮИ МВД РОССИИ")</f>
        <v>СИБИРСКИЙ ЮРИДИЧЕСКИЙ ИНСТИТУТ МВД РОССИИ, СИБЮИ МВД РОССИИ, СИБИРСКИЙ ЮИ МВД РОССИИ</v>
      </c>
      <c r="B7182" s="24" t="s">
        <v>10555</v>
      </c>
      <c r="C7182" s="25">
        <v>18702151.649999999</v>
      </c>
      <c r="D7182" s="22" t="s">
        <v>10826</v>
      </c>
      <c r="E7182" s="22" t="s">
        <v>48</v>
      </c>
      <c r="F7182" s="23" t="str">
        <f>HYPERLINK("https://www.spark-marketing.ru/Card/Lot/72811488", "Услуги по организации питания")</f>
        <v>Услуги по организации питания</v>
      </c>
      <c r="G7182" s="22" t="s">
        <v>281</v>
      </c>
      <c r="H7182" s="22" t="s">
        <v>281</v>
      </c>
      <c r="I7182" s="26">
        <v>43692.536180555602</v>
      </c>
      <c r="J7182" s="28" t="s">
        <v>51</v>
      </c>
      <c r="K7182" s="28" t="s">
        <v>51</v>
      </c>
      <c r="L7182" s="28" t="s">
        <v>51</v>
      </c>
      <c r="M7182" s="28" t="s">
        <v>51</v>
      </c>
      <c r="N7182" s="28" t="s">
        <v>51</v>
      </c>
    </row>
    <row r="7183" spans="1:14" hidden="1" outlineLevel="1" x14ac:dyDescent="0.2">
      <c r="A7183" s="23" t="str">
        <f>HYPERLINK("https://www.spark-marketing.ru/Card/Person/3529", "СИБИРСКИЙ ЮРИДИЧЕСКИЙ ИНСТИТУТ МВД РОССИИ, СИБЮИ МВД РОССИИ, СИБИРСКИЙ ЮИ МВД РОССИИ")</f>
        <v>СИБИРСКИЙ ЮРИДИЧЕСКИЙ ИНСТИТУТ МВД РОССИИ, СИБЮИ МВД РОССИИ, СИБИРСКИЙ ЮИ МВД РОССИИ</v>
      </c>
      <c r="B7183" s="24" t="s">
        <v>10555</v>
      </c>
      <c r="C7183" s="25">
        <v>18702151.649999999</v>
      </c>
      <c r="D7183" s="22" t="s">
        <v>10826</v>
      </c>
      <c r="E7183" s="22" t="s">
        <v>48</v>
      </c>
      <c r="F7183" s="23" t="str">
        <f>HYPERLINK("https://www.spark-marketing.ru/Card/Lot/72811488", "Услуги по организации питания")</f>
        <v>Услуги по организации питания</v>
      </c>
      <c r="G7183" s="22" t="s">
        <v>281</v>
      </c>
      <c r="H7183" s="22" t="s">
        <v>281</v>
      </c>
      <c r="I7183" s="26">
        <v>43692.536180555602</v>
      </c>
      <c r="J7183" s="23" t="str">
        <f>HYPERLINK("https://www.spark-marketing.ru/Card/Person/5910323", "Федорова Елена Владимировна")</f>
        <v>Федорова Елена Владимировна</v>
      </c>
      <c r="K7183" s="24" t="s">
        <v>2487</v>
      </c>
      <c r="L7183" s="28" t="s">
        <v>51</v>
      </c>
      <c r="M7183" s="25">
        <v>14026613.65</v>
      </c>
      <c r="N7183" s="27">
        <v>0.25000000467860606</v>
      </c>
    </row>
    <row r="7184" spans="1:14" ht="12.75" hidden="1" outlineLevel="1" x14ac:dyDescent="0.2">
      <c r="A7184" s="23" t="str">
        <f>HYPERLINK("https://www.spark-marketing.ru/Card/Person/3529", "СИБИРСКИЙ ЮРИДИЧЕСКИЙ ИНСТИТУТ МВД РОССИИ, СИБЮИ МВД РОССИИ, СИБИРСКИЙ ЮИ МВД РОССИИ")</f>
        <v>СИБИРСКИЙ ЮРИДИЧЕСКИЙ ИНСТИТУТ МВД РОССИИ, СИБЮИ МВД РОССИИ, СИБИРСКИЙ ЮИ МВД РОССИИ</v>
      </c>
      <c r="B7184" s="24" t="s">
        <v>10555</v>
      </c>
      <c r="C7184" s="25">
        <v>18702151.649999999</v>
      </c>
      <c r="D7184" s="22" t="s">
        <v>10826</v>
      </c>
      <c r="E7184" s="22" t="s">
        <v>48</v>
      </c>
      <c r="F7184" s="23" t="str">
        <f>HYPERLINK("https://www.spark-marketing.ru/Card/Lot/72811488", "Услуги по организации питания")</f>
        <v>Услуги по организации питания</v>
      </c>
      <c r="G7184" s="22" t="s">
        <v>281</v>
      </c>
      <c r="H7184" s="22" t="s">
        <v>281</v>
      </c>
      <c r="I7184" s="26">
        <v>43692.536180555602</v>
      </c>
      <c r="J7184" s="23" t="str">
        <f>HYPERLINK("https://www.spark-marketing.ru/Card/Person/1206441", "ООО ""ФЕНИКС-2016""")</f>
        <v>ООО "ФЕНИКС-2016"</v>
      </c>
      <c r="K7184" s="24" t="s">
        <v>10557</v>
      </c>
      <c r="L7184" s="22" t="s">
        <v>10</v>
      </c>
      <c r="M7184" s="25">
        <v>14026613.65</v>
      </c>
      <c r="N7184" s="27">
        <v>0.25000000467860606</v>
      </c>
    </row>
    <row r="7185" spans="1:14" hidden="1" outlineLevel="1" x14ac:dyDescent="0.2">
      <c r="A7185" s="23" t="str">
        <f>HYPERLINK("https://www.spark-marketing.ru/Card/Person/3529", "СИБИРСКИЙ ЮРИДИЧЕСКИЙ ИНСТИТУТ МВД РОССИИ, СИБЮИ МВД РОССИИ, СИБИРСКИЙ ЮИ МВД РОССИИ")</f>
        <v>СИБИРСКИЙ ЮРИДИЧЕСКИЙ ИНСТИТУТ МВД РОССИИ, СИБЮИ МВД РОССИИ, СИБИРСКИЙ ЮИ МВД РОССИИ</v>
      </c>
      <c r="B7185" s="24" t="s">
        <v>10555</v>
      </c>
      <c r="C7185" s="25">
        <v>18702151.649999999</v>
      </c>
      <c r="D7185" s="22" t="s">
        <v>10826</v>
      </c>
      <c r="E7185" s="22" t="s">
        <v>48</v>
      </c>
      <c r="F7185" s="23" t="str">
        <f>HYPERLINK("https://www.spark-marketing.ru/Card/Lot/72811488", "Услуги по организации питания")</f>
        <v>Услуги по организации питания</v>
      </c>
      <c r="G7185" s="22" t="s">
        <v>281</v>
      </c>
      <c r="H7185" s="22" t="s">
        <v>281</v>
      </c>
      <c r="I7185" s="26">
        <v>43692.536180555602</v>
      </c>
      <c r="J7185" s="23" t="str">
        <f>HYPERLINK("https://www.spark-marketing.ru/Card/Person/111950", "ООО ""КУЛИНАР""")</f>
        <v>ООО "КУЛИНАР"</v>
      </c>
      <c r="K7185" s="24" t="s">
        <v>10827</v>
      </c>
      <c r="L7185" s="28" t="s">
        <v>51</v>
      </c>
      <c r="M7185" s="25">
        <v>14120124.41</v>
      </c>
      <c r="N7185" s="27">
        <v>0.24500000458503393</v>
      </c>
    </row>
    <row r="7186" spans="1:14" hidden="1" outlineLevel="1" x14ac:dyDescent="0.2">
      <c r="A7186" s="23" t="str">
        <f>HYPERLINK("https://www.spark-marketing.ru/Card/Person/3529", "СИБИРСКИЙ ЮРИДИЧЕСКИЙ ИНСТИТУТ МВД РОССИИ, СИБЮИ МВД РОССИИ, СИБИРСКИЙ ЮИ МВД РОССИИ")</f>
        <v>СИБИРСКИЙ ЮРИДИЧЕСКИЙ ИНСТИТУТ МВД РОССИИ, СИБЮИ МВД РОССИИ, СИБИРСКИЙ ЮИ МВД РОССИИ</v>
      </c>
      <c r="B7186" s="24" t="s">
        <v>10555</v>
      </c>
      <c r="C7186" s="25">
        <v>18702151.649999999</v>
      </c>
      <c r="D7186" s="22" t="s">
        <v>10826</v>
      </c>
      <c r="E7186" s="22" t="s">
        <v>48</v>
      </c>
      <c r="F7186" s="23" t="str">
        <f>HYPERLINK("https://www.spark-marketing.ru/Card/Lot/72811488", "Услуги по организации питания")</f>
        <v>Услуги по организации питания</v>
      </c>
      <c r="G7186" s="22" t="s">
        <v>281</v>
      </c>
      <c r="H7186" s="22" t="s">
        <v>281</v>
      </c>
      <c r="I7186" s="26">
        <v>43692.536180555602</v>
      </c>
      <c r="J7186" s="23" t="str">
        <f>HYPERLINK("https://www.spark-marketing.ru/Card/Person/6460701", "ООО ""УСАДЬБА+""")</f>
        <v>ООО "УСАДЬБА+"</v>
      </c>
      <c r="K7186" s="24" t="s">
        <v>6234</v>
      </c>
      <c r="L7186" s="28" t="s">
        <v>51</v>
      </c>
      <c r="M7186" s="25">
        <v>16270871.890000001</v>
      </c>
      <c r="N7186" s="27">
        <v>0.13000000243287516</v>
      </c>
    </row>
    <row r="7187" spans="1:14" x14ac:dyDescent="0.15">
      <c r="A7187" s="23" t="str">
        <f>HYPERLINK("https://www.spark-marketing.ru/Card/Person/16527", "ФКУ ""ЦХИСО УМВД РОССИИ ПО СМОЛЕНСКОЙ ОБЛАСТИ""")</f>
        <v>ФКУ "ЦХИСО УМВД РОССИИ ПО СМОЛЕНСКОЙ ОБЛАСТИ"</v>
      </c>
      <c r="B7187" s="24" t="s">
        <v>10828</v>
      </c>
      <c r="C7187" s="25">
        <v>3725000</v>
      </c>
      <c r="D7187" s="22" t="s">
        <v>10829</v>
      </c>
      <c r="E7187" s="22" t="s">
        <v>96</v>
      </c>
      <c r="F7187" s="23" t="str">
        <f>HYPERLINK("https://www.spark-marketing.ru/Card/Lot/72814490", "Оказание услуг по предоставлению готового горячего питания для иностранных граждан лиц без гражданства, содержащихся в центре временного содержания иностранных граждан Управления Министерства внутренних дел Российской Федерации по Смоленской области")</f>
        <v>Оказание услуг по предоставлению готового горячего питания для иностранных граждан лиц без гражданства, содержащихся в центре временного содержания иностранных граждан Управления Министерства внутренних дел Российской Федерации по Смоленской области</v>
      </c>
      <c r="G7187" s="22" t="s">
        <v>460</v>
      </c>
      <c r="H7187" s="22" t="s">
        <v>460</v>
      </c>
      <c r="I7187" s="26">
        <v>43692.531782407401</v>
      </c>
      <c r="J7187" s="23" t="str">
        <f>HYPERLINK("https://www.spark-marketing.ru/Card/Person/555300", "ДУХОВЩИНСКОЕ РАЙПО")</f>
        <v>ДУХОВЩИНСКОЕ РАЙПО</v>
      </c>
      <c r="K7187" s="24" t="s">
        <v>10830</v>
      </c>
      <c r="L7187" s="22" t="s">
        <v>10</v>
      </c>
      <c r="M7187" s="28" t="s">
        <v>51</v>
      </c>
      <c r="N7187" s="28" t="s">
        <v>51</v>
      </c>
    </row>
    <row r="7188" spans="1:14" x14ac:dyDescent="0.15">
      <c r="A7188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7188" s="24" t="s">
        <v>3377</v>
      </c>
      <c r="C7188" s="25">
        <v>924000</v>
      </c>
      <c r="D7188" s="22" t="s">
        <v>10831</v>
      </c>
      <c r="E7188" s="22" t="s">
        <v>96</v>
      </c>
      <c r="F7188" s="23" t="str">
        <f>HYPERLINK("https://www.spark-marketing.ru/Card/Lot/72814546", "Оказание услуг по организации питания членов официальных иностранных делегаций, прибывающих в Санкт-Петербург, и участников мероприятий, проводимых Комитетом по внешним связям Санкт-Петербурга")</f>
        <v>Оказание услуг по организации питания членов официальных иностранных делегаций, прибывающих в Санкт-Петербург, и участников мероприятий, проводимых Комитетом по внешним связям Санкт-Петербурга</v>
      </c>
      <c r="G7188" s="22" t="s">
        <v>117</v>
      </c>
      <c r="H7188" s="22" t="s">
        <v>117</v>
      </c>
      <c r="I7188" s="26">
        <v>43692.516469907401</v>
      </c>
      <c r="J7188" s="28" t="s">
        <v>51</v>
      </c>
      <c r="K7188" s="28" t="s">
        <v>51</v>
      </c>
      <c r="L7188" s="28" t="s">
        <v>51</v>
      </c>
      <c r="M7188" s="28" t="s">
        <v>51</v>
      </c>
      <c r="N7188" s="28" t="s">
        <v>51</v>
      </c>
    </row>
    <row r="7189" spans="1:14" x14ac:dyDescent="0.15">
      <c r="A7189" s="23" t="str">
        <f>HYPERLINK("https://www.spark-marketing.ru/Card/Person/1042885", "МЕЖМУНИЦИПАЛЬНЫЙ ОТДЕЛ МВД РОССИИ ""ВЕРЕЩАГИНСКИЙ""")</f>
        <v>МЕЖМУНИЦИПАЛЬНЫЙ ОТДЕЛ МВД РОССИИ "ВЕРЕЩАГИНСКИЙ"</v>
      </c>
      <c r="B7189" s="24" t="s">
        <v>9891</v>
      </c>
      <c r="C7189" s="25">
        <v>12800</v>
      </c>
      <c r="D7189" s="22" t="s">
        <v>10832</v>
      </c>
      <c r="E7189" s="22" t="s">
        <v>48</v>
      </c>
      <c r="F7189" s="23" t="str">
        <f>HYPERLINK("https://www.spark-marketing.ru/Card/Lot/72805970", "Оказание услуг по организации питания (приготовлению и доставке) для ИВС, 64 усл. ед")</f>
        <v>Оказание услуг по организации питания (приготовлению и доставке) для ИВС, 64 усл. ед</v>
      </c>
      <c r="G7189" s="22" t="s">
        <v>153</v>
      </c>
      <c r="H7189" s="22" t="s">
        <v>10833</v>
      </c>
      <c r="I7189" s="26">
        <v>43692.523611111101</v>
      </c>
      <c r="J7189" s="28" t="s">
        <v>51</v>
      </c>
      <c r="K7189" s="28" t="s">
        <v>51</v>
      </c>
      <c r="L7189" s="28" t="s">
        <v>51</v>
      </c>
      <c r="M7189" s="28" t="s">
        <v>51</v>
      </c>
      <c r="N7189" s="28" t="s">
        <v>51</v>
      </c>
    </row>
    <row r="7190" spans="1:14" x14ac:dyDescent="0.15">
      <c r="A7190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7190" s="24" t="s">
        <v>3377</v>
      </c>
      <c r="C7190" s="25">
        <v>900000</v>
      </c>
      <c r="D7190" s="22" t="s">
        <v>10834</v>
      </c>
      <c r="E7190" s="22" t="s">
        <v>96</v>
      </c>
      <c r="F7190" s="23" t="str">
        <f>HYPERLINK("https://www.spark-marketing.ru/Card/Lot/72810248", "Оказание услуг по организации выездного обслуживания и питания (кофе-брейки, фуршеты) для организации приема официальных иностранных делегаций, прибывающих в Санкт-Петербург, и участников мероприятий, проводимых Комитетом по внешним связям Санкт-Пете...")</f>
        <v>Оказание услуг по организации выездного обслуживания и питания (кофе-брейки, фуршеты) для организации приема официальных иностранных делегаций, прибывающих в Санкт-Петербург, и участников мероприятий, проводимых Комитетом по внешним связям Санкт-Пете...</v>
      </c>
      <c r="G7190" s="22" t="s">
        <v>117</v>
      </c>
      <c r="H7190" s="22" t="s">
        <v>117</v>
      </c>
      <c r="I7190" s="26">
        <v>43692.515787037002</v>
      </c>
      <c r="J7190" s="28" t="s">
        <v>51</v>
      </c>
      <c r="K7190" s="28" t="s">
        <v>51</v>
      </c>
      <c r="L7190" s="28" t="s">
        <v>51</v>
      </c>
      <c r="M7190" s="28" t="s">
        <v>51</v>
      </c>
      <c r="N7190" s="28" t="s">
        <v>51</v>
      </c>
    </row>
    <row r="7191" spans="1:14" hidden="1" outlineLevel="1" x14ac:dyDescent="0.2">
      <c r="A7191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7191" s="24" t="s">
        <v>3377</v>
      </c>
      <c r="C7191" s="25">
        <v>900000</v>
      </c>
      <c r="D7191" s="22" t="s">
        <v>10834</v>
      </c>
      <c r="E7191" s="22" t="s">
        <v>96</v>
      </c>
      <c r="F7191" s="23" t="str">
        <f>HYPERLINK("https://www.spark-marketing.ru/Card/Lot/72810248", "Оказание услуг по организации выездного обслуживания и питания (кофе-брейки, фуршеты) для организации приема официальных иностранных делегаций, прибывающих в Санкт-Петербург, и участников мероприятий, проводимых Комитетом по внешним связям Санкт-Пете...")</f>
        <v>Оказание услуг по организации выездного обслуживания и питания (кофе-брейки, фуршеты) для организации приема официальных иностранных делегаций, прибывающих в Санкт-Петербург, и участников мероприятий, проводимых Комитетом по внешним связям Санкт-Пете...</v>
      </c>
      <c r="G7191" s="22" t="s">
        <v>117</v>
      </c>
      <c r="H7191" s="22" t="s">
        <v>117</v>
      </c>
      <c r="I7191" s="26">
        <v>43692.515787037002</v>
      </c>
      <c r="J7191" s="23" t="str">
        <f>HYPERLINK("https://www.spark-marketing.ru/Card/Person/153998", "ООО ""СОЮЗ-КЕЙТЕРИНГ""")</f>
        <v>ООО "СОЮЗ-КЕЙТЕРИНГ"</v>
      </c>
      <c r="K7191" s="24" t="s">
        <v>10835</v>
      </c>
      <c r="L7191" s="28" t="s">
        <v>51</v>
      </c>
      <c r="M7191" s="25">
        <v>2605</v>
      </c>
      <c r="N7191" s="27">
        <v>0.99710555555555558</v>
      </c>
    </row>
    <row r="7192" spans="1:14" hidden="1" outlineLevel="1" x14ac:dyDescent="0.2">
      <c r="A7192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7192" s="24" t="s">
        <v>3377</v>
      </c>
      <c r="C7192" s="25">
        <v>900000</v>
      </c>
      <c r="D7192" s="22" t="s">
        <v>10834</v>
      </c>
      <c r="E7192" s="22" t="s">
        <v>96</v>
      </c>
      <c r="F7192" s="23" t="str">
        <f>HYPERLINK("https://www.spark-marketing.ru/Card/Lot/72810248", "Оказание услуг по организации выездного обслуживания и питания (кофе-брейки, фуршеты) для организации приема официальных иностранных делегаций, прибывающих в Санкт-Петербург, и участников мероприятий, проводимых Комитетом по внешним связям Санкт-Пете...")</f>
        <v>Оказание услуг по организации выездного обслуживания и питания (кофе-брейки, фуршеты) для организации приема официальных иностранных делегаций, прибывающих в Санкт-Петербург, и участников мероприятий, проводимых Комитетом по внешним связям Санкт-Пете...</v>
      </c>
      <c r="G7192" s="22" t="s">
        <v>117</v>
      </c>
      <c r="H7192" s="22" t="s">
        <v>117</v>
      </c>
      <c r="I7192" s="26">
        <v>43692.515787037002</v>
      </c>
      <c r="J7192" s="23" t="str">
        <f>HYPERLINK("https://www.spark-marketing.ru/Card/Person/721103", "ООО ""ЕСЛ ГРУПП""")</f>
        <v>ООО "ЕСЛ ГРУПП"</v>
      </c>
      <c r="K7192" s="24" t="s">
        <v>10836</v>
      </c>
      <c r="L7192" s="28" t="s">
        <v>51</v>
      </c>
      <c r="M7192" s="25">
        <v>4006.98</v>
      </c>
      <c r="N7192" s="27">
        <v>0.99554779999999998</v>
      </c>
    </row>
    <row r="7193" spans="1:14" ht="12.75" hidden="1" outlineLevel="1" x14ac:dyDescent="0.2">
      <c r="A7193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7193" s="24" t="s">
        <v>3377</v>
      </c>
      <c r="C7193" s="25">
        <v>900000</v>
      </c>
      <c r="D7193" s="22" t="s">
        <v>10834</v>
      </c>
      <c r="E7193" s="22" t="s">
        <v>96</v>
      </c>
      <c r="F7193" s="23" t="str">
        <f>HYPERLINK("https://www.spark-marketing.ru/Card/Lot/72810248", "Оказание услуг по организации выездного обслуживания и питания (кофе-брейки, фуршеты) для организации приема официальных иностранных делегаций, прибывающих в Санкт-Петербург, и участников мероприятий, проводимых Комитетом по внешним связям Санкт-Пете...")</f>
        <v>Оказание услуг по организации выездного обслуживания и питания (кофе-брейки, фуршеты) для организации приема официальных иностранных делегаций, прибывающих в Санкт-Петербург, и участников мероприятий, проводимых Комитетом по внешним связям Санкт-Пете...</v>
      </c>
      <c r="G7193" s="22" t="s">
        <v>117</v>
      </c>
      <c r="H7193" s="22" t="s">
        <v>117</v>
      </c>
      <c r="I7193" s="26">
        <v>43692.515787037002</v>
      </c>
      <c r="J7193" s="23" t="str">
        <f>HYPERLINK("https://www.spark-marketing.ru/Card/Person/2232828", "ООО ""АРПИНА""")</f>
        <v>ООО "АРПИНА"</v>
      </c>
      <c r="K7193" s="24" t="s">
        <v>3380</v>
      </c>
      <c r="L7193" s="22" t="s">
        <v>10</v>
      </c>
      <c r="M7193" s="25">
        <v>2584.66</v>
      </c>
      <c r="N7193" s="27">
        <v>0.99712815555555556</v>
      </c>
    </row>
    <row r="7194" spans="1:14" x14ac:dyDescent="0.15">
      <c r="A7194" s="23" t="str">
        <f>HYPERLINK("https://www.spark-marketing.ru/Card/Person/1054302", "МКОУ СОШ № 1 Г. НИЖНИЕ СЕРГИ")</f>
        <v>МКОУ СОШ № 1 Г. НИЖНИЕ СЕРГИ</v>
      </c>
      <c r="B7194" s="24" t="s">
        <v>10837</v>
      </c>
      <c r="C7194" s="25">
        <v>761883.66</v>
      </c>
      <c r="D7194" s="22" t="s">
        <v>10838</v>
      </c>
      <c r="E7194" s="22" t="s">
        <v>48</v>
      </c>
      <c r="F7194" s="23" t="str">
        <f>HYPERLINK("https://www.spark-marketing.ru/Card/Lot/72810362", "Оказание услуг по организации питания обучающихся в МКОУ СОШ № 1 г. Нижние Серги")</f>
        <v>Оказание услуг по организации питания обучающихся в МКОУ СОШ № 1 г. Нижние Серги</v>
      </c>
      <c r="G7194" s="22" t="s">
        <v>174</v>
      </c>
      <c r="H7194" s="22" t="s">
        <v>174</v>
      </c>
      <c r="I7194" s="26">
        <v>43692.597222222197</v>
      </c>
      <c r="J7194" s="28" t="s">
        <v>51</v>
      </c>
      <c r="K7194" s="28" t="s">
        <v>51</v>
      </c>
      <c r="L7194" s="28" t="s">
        <v>51</v>
      </c>
      <c r="M7194" s="28" t="s">
        <v>51</v>
      </c>
      <c r="N7194" s="28" t="s">
        <v>51</v>
      </c>
    </row>
    <row r="7195" spans="1:14" hidden="1" outlineLevel="1" x14ac:dyDescent="0.2">
      <c r="A7195" s="23" t="str">
        <f>HYPERLINK("https://www.spark-marketing.ru/Card/Person/1054302", "МКОУ СОШ № 1 Г. НИЖНИЕ СЕРГИ")</f>
        <v>МКОУ СОШ № 1 Г. НИЖНИЕ СЕРГИ</v>
      </c>
      <c r="B7195" s="24" t="s">
        <v>10837</v>
      </c>
      <c r="C7195" s="25">
        <v>761883.66</v>
      </c>
      <c r="D7195" s="22" t="s">
        <v>10838</v>
      </c>
      <c r="E7195" s="22" t="s">
        <v>48</v>
      </c>
      <c r="F7195" s="23" t="str">
        <f>HYPERLINK("https://www.spark-marketing.ru/Card/Lot/72810362", "Оказание услуг по организации питания обучающихся в МКОУ СОШ № 1 г. Нижние Серги")</f>
        <v>Оказание услуг по организации питания обучающихся в МКОУ СОШ № 1 г. Нижние Серги</v>
      </c>
      <c r="G7195" s="22" t="s">
        <v>174</v>
      </c>
      <c r="H7195" s="22" t="s">
        <v>174</v>
      </c>
      <c r="I7195" s="26">
        <v>43692.597222222197</v>
      </c>
      <c r="J7195" s="23" t="str">
        <f>HYPERLINK("https://www.spark-marketing.ru/Card/Person/572976", "Стратулат Ольга Николаевна")</f>
        <v>Стратулат Ольга Николаевна</v>
      </c>
      <c r="K7195" s="24" t="s">
        <v>10839</v>
      </c>
      <c r="L7195" s="28" t="s">
        <v>51</v>
      </c>
      <c r="M7195" s="25">
        <v>761883.66</v>
      </c>
      <c r="N7195" s="27">
        <v>0</v>
      </c>
    </row>
    <row r="7196" spans="1:14" ht="12.75" hidden="1" outlineLevel="1" x14ac:dyDescent="0.2">
      <c r="A7196" s="23" t="str">
        <f>HYPERLINK("https://www.spark-marketing.ru/Card/Person/1054302", "МКОУ СОШ № 1 Г. НИЖНИЕ СЕРГИ")</f>
        <v>МКОУ СОШ № 1 Г. НИЖНИЕ СЕРГИ</v>
      </c>
      <c r="B7196" s="24" t="s">
        <v>10837</v>
      </c>
      <c r="C7196" s="25">
        <v>761883.66</v>
      </c>
      <c r="D7196" s="22" t="s">
        <v>10838</v>
      </c>
      <c r="E7196" s="22" t="s">
        <v>48</v>
      </c>
      <c r="F7196" s="23" t="str">
        <f>HYPERLINK("https://www.spark-marketing.ru/Card/Lot/72810362", "Оказание услуг по организации питания обучающихся в МКОУ СОШ № 1 г. Нижние Серги")</f>
        <v>Оказание услуг по организации питания обучающихся в МКОУ СОШ № 1 г. Нижние Серги</v>
      </c>
      <c r="G7196" s="22" t="s">
        <v>174</v>
      </c>
      <c r="H7196" s="22" t="s">
        <v>174</v>
      </c>
      <c r="I7196" s="26">
        <v>43692.597222222197</v>
      </c>
      <c r="J7196" s="23" t="str">
        <f>HYPERLINK("https://www.spark-marketing.ru/Card/Person/1480679", "ООО ""КШП""")</f>
        <v>ООО "КШП"</v>
      </c>
      <c r="K7196" s="24" t="s">
        <v>5252</v>
      </c>
      <c r="L7196" s="22" t="s">
        <v>10</v>
      </c>
      <c r="M7196" s="25">
        <v>723790</v>
      </c>
      <c r="N7196" s="27">
        <v>4.9999313543487731E-2</v>
      </c>
    </row>
    <row r="7197" spans="1:14" x14ac:dyDescent="0.15">
      <c r="A7197" s="23" t="str">
        <f>HYPERLINK("https://www.spark-marketing.ru/Card/Person/5970506", "УПРАВЛЕНИЕ РОСГВАРДИИ ПО РЕСПУБЛИКЕ ТАТАРСТАН")</f>
        <v>УПРАВЛЕНИЕ РОСГВАРДИИ ПО РЕСПУБЛИКЕ ТАТАРСТАН</v>
      </c>
      <c r="B7197" s="24" t="s">
        <v>2875</v>
      </c>
      <c r="C7197" s="25">
        <v>3678899.62</v>
      </c>
      <c r="D7197" s="22" t="s">
        <v>10840</v>
      </c>
      <c r="E7197" s="22" t="s">
        <v>10841</v>
      </c>
      <c r="F7197" s="23" t="str">
        <f>HYPERLINK("https://www.spark-marketing.ru/Card/Lot/72810991", "Ремонт вооружения, военной и специальной техники и  военно-технического имущества в рамках государственного оборонного  заказа в целях обеспечения государственной программы вооружения (оказание услуг по техническому обслуживанию и замене агрегатов вы...")</f>
        <v>Ремонт вооружения, военной и специальной техники и  военно-технического имущества в рамках государственного оборонного  заказа в целях обеспечения государственной программы вооружения (оказание услуг по техническому обслуживанию и замене агрегатов вы...</v>
      </c>
      <c r="G7197" s="22" t="s">
        <v>217</v>
      </c>
      <c r="H7197" s="22" t="s">
        <v>217</v>
      </c>
      <c r="I7197" s="26">
        <v>43692.524537037003</v>
      </c>
      <c r="J7197" s="23" t="str">
        <f>HYPERLINK("https://www.spark-marketing.ru/Card/Person/86207", "ПАО ""КАЗАНСКИЙ ВЕРТОЛЕТНЫЙ ЗАВОД""")</f>
        <v>ПАО "КАЗАНСКИЙ ВЕРТОЛЕТНЫЙ ЗАВОД"</v>
      </c>
      <c r="K7197" s="24" t="s">
        <v>10842</v>
      </c>
      <c r="L7197" s="22" t="s">
        <v>10</v>
      </c>
      <c r="M7197" s="28" t="s">
        <v>51</v>
      </c>
      <c r="N7197" s="28" t="s">
        <v>51</v>
      </c>
    </row>
    <row r="7198" spans="1:14" x14ac:dyDescent="0.15">
      <c r="A7198" s="23" t="str">
        <f>HYPERLINK("https://www.spark-marketing.ru/Card/Person/3529", "СИБИРСКИЙ ЮРИДИЧЕСКИЙ ИНСТИТУТ МВД РОССИИ, СИБЮИ МВД РОССИИ, СИБИРСКИЙ ЮИ МВД РОССИИ")</f>
        <v>СИБИРСКИЙ ЮРИДИЧЕСКИЙ ИНСТИТУТ МВД РОССИИ, СИБЮИ МВД РОССИИ, СИБИРСКИЙ ЮИ МВД РОССИИ</v>
      </c>
      <c r="B7198" s="24" t="s">
        <v>10555</v>
      </c>
      <c r="C7198" s="25">
        <v>2188224</v>
      </c>
      <c r="D7198" s="22" t="s">
        <v>10843</v>
      </c>
      <c r="E7198" s="22" t="s">
        <v>48</v>
      </c>
      <c r="F7198" s="23" t="str">
        <f>HYPERLINK("https://www.spark-marketing.ru/Card/Lot/72810440", "Услуги по организации питания")</f>
        <v>Услуги по организации питания</v>
      </c>
      <c r="G7198" s="22" t="s">
        <v>281</v>
      </c>
      <c r="H7198" s="22" t="s">
        <v>1036</v>
      </c>
      <c r="I7198" s="26">
        <v>43692.514201388898</v>
      </c>
      <c r="J7198" s="28" t="s">
        <v>51</v>
      </c>
      <c r="K7198" s="28" t="s">
        <v>51</v>
      </c>
      <c r="L7198" s="28" t="s">
        <v>51</v>
      </c>
      <c r="M7198" s="28" t="s">
        <v>51</v>
      </c>
      <c r="N7198" s="28" t="s">
        <v>51</v>
      </c>
    </row>
    <row r="7199" spans="1:14" ht="12.75" hidden="1" outlineLevel="1" x14ac:dyDescent="0.2">
      <c r="A7199" s="23" t="str">
        <f>HYPERLINK("https://www.spark-marketing.ru/Card/Person/3529", "СИБИРСКИЙ ЮРИДИЧЕСКИЙ ИНСТИТУТ МВД РОССИИ, СИБЮИ МВД РОССИИ, СИБИРСКИЙ ЮИ МВД РОССИИ")</f>
        <v>СИБИРСКИЙ ЮРИДИЧЕСКИЙ ИНСТИТУТ МВД РОССИИ, СИБЮИ МВД РОССИИ, СИБИРСКИЙ ЮИ МВД РОССИИ</v>
      </c>
      <c r="B7199" s="24" t="s">
        <v>10555</v>
      </c>
      <c r="C7199" s="25">
        <v>2188224</v>
      </c>
      <c r="D7199" s="22" t="s">
        <v>10843</v>
      </c>
      <c r="E7199" s="22" t="s">
        <v>48</v>
      </c>
      <c r="F7199" s="23" t="str">
        <f>HYPERLINK("https://www.spark-marketing.ru/Card/Lot/72810440", "Услуги по организации питания")</f>
        <v>Услуги по организации питания</v>
      </c>
      <c r="G7199" s="22" t="s">
        <v>281</v>
      </c>
      <c r="H7199" s="22" t="s">
        <v>1036</v>
      </c>
      <c r="I7199" s="26">
        <v>43692.514201388898</v>
      </c>
      <c r="J7199" s="23" t="str">
        <f>HYPERLINK("https://www.spark-marketing.ru/Card/Person/1206441", "ООО ""ФЕНИКС-2016""")</f>
        <v>ООО "ФЕНИКС-2016"</v>
      </c>
      <c r="K7199" s="24" t="s">
        <v>10557</v>
      </c>
      <c r="L7199" s="22" t="s">
        <v>10</v>
      </c>
      <c r="M7199" s="25">
        <v>2177282.88</v>
      </c>
      <c r="N7199" s="27">
        <v>5.0000000000000001E-3</v>
      </c>
    </row>
    <row r="7200" spans="1:14" hidden="1" outlineLevel="1" x14ac:dyDescent="0.2">
      <c r="A7200" s="23" t="str">
        <f>HYPERLINK("https://www.spark-marketing.ru/Card/Person/3529", "СИБИРСКИЙ ЮРИДИЧЕСКИЙ ИНСТИТУТ МВД РОССИИ, СИБЮИ МВД РОССИИ, СИБИРСКИЙ ЮИ МВД РОССИИ")</f>
        <v>СИБИРСКИЙ ЮРИДИЧЕСКИЙ ИНСТИТУТ МВД РОССИИ, СИБЮИ МВД РОССИИ, СИБИРСКИЙ ЮИ МВД РОССИИ</v>
      </c>
      <c r="B7200" s="24" t="s">
        <v>10555</v>
      </c>
      <c r="C7200" s="25">
        <v>2188224</v>
      </c>
      <c r="D7200" s="22" t="s">
        <v>10843</v>
      </c>
      <c r="E7200" s="22" t="s">
        <v>48</v>
      </c>
      <c r="F7200" s="23" t="str">
        <f>HYPERLINK("https://www.spark-marketing.ru/Card/Lot/72810440", "Услуги по организации питания")</f>
        <v>Услуги по организации питания</v>
      </c>
      <c r="G7200" s="22" t="s">
        <v>281</v>
      </c>
      <c r="H7200" s="22" t="s">
        <v>1036</v>
      </c>
      <c r="I7200" s="26">
        <v>43692.514201388898</v>
      </c>
      <c r="J7200" s="23" t="str">
        <f>HYPERLINK("https://www.spark-marketing.ru/Card/Person/5910323", "Федорова Елена Владимировна")</f>
        <v>Федорова Елена Владимировна</v>
      </c>
      <c r="K7200" s="24" t="s">
        <v>2487</v>
      </c>
      <c r="L7200" s="28" t="s">
        <v>51</v>
      </c>
      <c r="M7200" s="25">
        <v>2177282.88</v>
      </c>
      <c r="N7200" s="27">
        <v>5.0000000000000001E-3</v>
      </c>
    </row>
    <row r="7201" spans="1:14" x14ac:dyDescent="0.15">
      <c r="A7201" s="23" t="str">
        <f>HYPERLINK("https://www.spark-marketing.ru/Card/Person/245748", "МО МВД РОССИИ ""КРАСНОЗЕРСКИЙ""")</f>
        <v>МО МВД РОССИИ "КРАСНОЗЕРСКИЙ"</v>
      </c>
      <c r="B7201" s="24" t="s">
        <v>5096</v>
      </c>
      <c r="C7201" s="25">
        <v>120000</v>
      </c>
      <c r="D7201" s="22" t="s">
        <v>10844</v>
      </c>
      <c r="E7201" s="22" t="s">
        <v>48</v>
      </c>
      <c r="F7201" s="23" t="str">
        <f>HYPERLINK("https://www.spark-marketing.ru/Card/Lot/72805034", "Услуга организации трехразового питания в г.Орел и Орловской области, 376 усл. ед")</f>
        <v>Услуга организации трехразового питания в г.Орел и Орловской области, 376 усл. ед</v>
      </c>
      <c r="G7201" s="22" t="s">
        <v>195</v>
      </c>
      <c r="H7201" s="22" t="s">
        <v>10845</v>
      </c>
      <c r="I7201" s="26">
        <v>43692.519351851799</v>
      </c>
      <c r="J7201" s="28" t="s">
        <v>51</v>
      </c>
      <c r="K7201" s="28" t="s">
        <v>51</v>
      </c>
      <c r="L7201" s="28" t="s">
        <v>51</v>
      </c>
      <c r="M7201" s="28" t="s">
        <v>51</v>
      </c>
      <c r="N7201" s="28" t="s">
        <v>51</v>
      </c>
    </row>
    <row r="7202" spans="1:14" x14ac:dyDescent="0.15">
      <c r="A7202" s="23" t="str">
        <f>HYPERLINK("https://www.spark-marketing.ru/Card/Person/37152", "ГБУЗ РК ""СЫКТЫВДИНСКАЯ ЦРБ""")</f>
        <v>ГБУЗ РК "СЫКТЫВДИНСКАЯ ЦРБ"</v>
      </c>
      <c r="B7202" s="24" t="s">
        <v>2880</v>
      </c>
      <c r="C7202" s="25">
        <v>172775</v>
      </c>
      <c r="D7202" s="22" t="s">
        <v>10846</v>
      </c>
      <c r="E7202" s="22" t="s">
        <v>86</v>
      </c>
      <c r="F7202" s="23" t="str">
        <f>HYPERLINK("https://www.spark-marketing.ru/Card/Lot/72809394", "Оказание услуг по проведению лабораторных исследований")</f>
        <v>Оказание услуг по проведению лабораторных исследований</v>
      </c>
      <c r="G7202" s="22" t="s">
        <v>271</v>
      </c>
      <c r="H7202" s="22" t="s">
        <v>10847</v>
      </c>
      <c r="I7202" s="26">
        <v>43692.488923611098</v>
      </c>
      <c r="J7202" s="28" t="s">
        <v>51</v>
      </c>
      <c r="K7202" s="28" t="s">
        <v>51</v>
      </c>
      <c r="L7202" s="28" t="s">
        <v>51</v>
      </c>
      <c r="M7202" s="28" t="s">
        <v>51</v>
      </c>
      <c r="N7202" s="28" t="s">
        <v>51</v>
      </c>
    </row>
    <row r="7203" spans="1:14" x14ac:dyDescent="0.15">
      <c r="A7203" s="23" t="str">
        <f>HYPERLINK("https://www.spark-marketing.ru/Card/Person/22849", "АДМИНИСТРАЦИЯ ГОРОДСКОГО ОКРУГА ШАТУРА")</f>
        <v>АДМИНИСТРАЦИЯ ГОРОДСКОГО ОКРУГА ШАТУРА</v>
      </c>
      <c r="B7203" s="24" t="s">
        <v>4507</v>
      </c>
      <c r="C7203" s="25">
        <v>290000</v>
      </c>
      <c r="D7203" s="22" t="s">
        <v>10848</v>
      </c>
      <c r="E7203" s="22" t="s">
        <v>48</v>
      </c>
      <c r="F7203" s="23" t="str">
        <f>HYPERLINK("https://www.spark-marketing.ru/Card/Lot/72807820", "Оказание услуг по организации питания участников праздничных мероприятий, приемов, совещаний для нужд администрации городского округа Шатура")</f>
        <v>Оказание услуг по организации питания участников праздничных мероприятий, приемов, совещаний для нужд администрации городского округа Шатура</v>
      </c>
      <c r="G7203" s="22" t="s">
        <v>49</v>
      </c>
      <c r="H7203" s="22" t="s">
        <v>4509</v>
      </c>
      <c r="I7203" s="26">
        <v>43692.5243402778</v>
      </c>
      <c r="J7203" s="28" t="s">
        <v>51</v>
      </c>
      <c r="K7203" s="28" t="s">
        <v>51</v>
      </c>
      <c r="L7203" s="28" t="s">
        <v>51</v>
      </c>
      <c r="M7203" s="28" t="s">
        <v>51</v>
      </c>
      <c r="N7203" s="28" t="s">
        <v>51</v>
      </c>
    </row>
    <row r="7204" spans="1:14" x14ac:dyDescent="0.15">
      <c r="A7204" s="23" t="str">
        <f>HYPERLINK("https://www.spark-marketing.ru/Card/Person/879805", "КГБУ СП ""КРАЕВАЯ СПОРТИВНАЯ ШКОЛА ОЛИМПИЙСКОГО РЕЗЕРВА""")</f>
        <v>КГБУ СП "КРАЕВАЯ СПОРТИВНАЯ ШКОЛА ОЛИМПИЙСКОГО РЕЗЕРВА"</v>
      </c>
      <c r="B7204" s="24" t="s">
        <v>10849</v>
      </c>
      <c r="C7204" s="25">
        <v>387459</v>
      </c>
      <c r="D7204" s="22" t="s">
        <v>10850</v>
      </c>
      <c r="E7204" s="22" t="s">
        <v>10851</v>
      </c>
      <c r="F7204" s="23" t="str">
        <f>HYPERLINK("https://www.spark-marketing.ru/Card/Lot/72806397", "Товары, работы или услуги на сумму, не превышающую 400 тыс. рублей (в случае заключения заказчиком контракта в соответствии с пунктом 5 части 1 статьи 93 44ФЗ)")</f>
        <v>Товары, работы или услуги на сумму, не превышающую 400 тыс. рублей (в случае заключения заказчиком контракта в соответствии с пунктом 5 части 1 статьи 93 44ФЗ)</v>
      </c>
      <c r="G7204" s="22" t="s">
        <v>63</v>
      </c>
      <c r="H7204" s="22" t="s">
        <v>177</v>
      </c>
      <c r="I7204" s="26">
        <v>43692.534722222197</v>
      </c>
      <c r="J7204" s="28" t="s">
        <v>51</v>
      </c>
      <c r="K7204" s="28" t="s">
        <v>51</v>
      </c>
      <c r="L7204" s="28" t="s">
        <v>51</v>
      </c>
      <c r="M7204" s="28" t="s">
        <v>51</v>
      </c>
      <c r="N7204" s="28" t="s">
        <v>51</v>
      </c>
    </row>
    <row r="7205" spans="1:14" x14ac:dyDescent="0.15">
      <c r="A7205" s="23" t="str">
        <f>HYPERLINK("https://www.spark-marketing.ru/Card/Person/245748", "МО МВД РОССИИ ""КРАСНОЗЕРСКИЙ""")</f>
        <v>МО МВД РОССИИ "КРАСНОЗЕРСКИЙ"</v>
      </c>
      <c r="B7205" s="24" t="s">
        <v>5096</v>
      </c>
      <c r="C7205" s="25">
        <v>120000</v>
      </c>
      <c r="D7205" s="22" t="s">
        <v>10852</v>
      </c>
      <c r="E7205" s="22" t="s">
        <v>48</v>
      </c>
      <c r="F7205" s="23" t="str">
        <f>HYPERLINK("https://www.spark-marketing.ru/Card/Lot/72805963", "Услуга организации трехразового питания в г.Орел и Орловской области, 376 усл. ед")</f>
        <v>Услуга организации трехразового питания в г.Орел и Орловской области, 376 усл. ед</v>
      </c>
      <c r="G7205" s="22" t="s">
        <v>195</v>
      </c>
      <c r="H7205" s="22" t="s">
        <v>10845</v>
      </c>
      <c r="I7205" s="26">
        <v>43692.5225347222</v>
      </c>
      <c r="J7205" s="28" t="s">
        <v>51</v>
      </c>
      <c r="K7205" s="28" t="s">
        <v>51</v>
      </c>
      <c r="L7205" s="28" t="s">
        <v>51</v>
      </c>
      <c r="M7205" s="28" t="s">
        <v>51</v>
      </c>
      <c r="N7205" s="28" t="s">
        <v>51</v>
      </c>
    </row>
    <row r="7206" spans="1:14" x14ac:dyDescent="0.15">
      <c r="A7206" s="23" t="s">
        <v>114</v>
      </c>
      <c r="B7206" s="28" t="s">
        <v>51</v>
      </c>
      <c r="C7206" s="25">
        <v>7982274.5599999996</v>
      </c>
      <c r="D7206" s="22" t="s">
        <v>10853</v>
      </c>
      <c r="E7206" s="22" t="s">
        <v>48</v>
      </c>
      <c r="F7206" s="23" t="str">
        <f t="shared" ref="F7206:F7213" si="154">HYPERLINK("https://www.spark-marketing.ru/Card/Lot/72811423", "оказание услуг по организации сбалансированного питания воспитанников для нужд муниципальных бюджетных дошкольных образовательных учреждений")</f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06" s="22" t="s">
        <v>51</v>
      </c>
      <c r="H7206" s="22" t="s">
        <v>51</v>
      </c>
      <c r="I7206" s="26">
        <v>43692.504166666702</v>
      </c>
      <c r="J7206" s="28" t="s">
        <v>51</v>
      </c>
      <c r="K7206" s="28" t="s">
        <v>51</v>
      </c>
      <c r="L7206" s="28" t="s">
        <v>51</v>
      </c>
      <c r="M7206" s="28" t="s">
        <v>51</v>
      </c>
      <c r="N7206" s="28" t="s">
        <v>51</v>
      </c>
    </row>
    <row r="7207" spans="1:14" hidden="1" outlineLevel="1" x14ac:dyDescent="0.15">
      <c r="A7207" s="23" t="str">
        <f>HYPERLINK("https://www.spark-marketing.ru/Card/Person/88949", "МБДОУ ""ДЕТСКИЙ САД КОМБИНИРОВАННОГО ВИДА №6 ""НЕЗАБУДКА""")</f>
        <v>МБДОУ "ДЕТСКИЙ САД КОМБИНИРОВАННОГО ВИДА №6 "НЕЗАБУДКА"</v>
      </c>
      <c r="B7207" s="24" t="s">
        <v>9059</v>
      </c>
      <c r="C7207" s="25">
        <v>1559101.4399999999</v>
      </c>
      <c r="D7207" s="22" t="s">
        <v>10853</v>
      </c>
      <c r="E7207" s="22" t="s">
        <v>48</v>
      </c>
      <c r="F7207" s="23" t="str">
        <f t="shared" si="15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07" s="22" t="s">
        <v>217</v>
      </c>
      <c r="H7207" s="22" t="s">
        <v>1998</v>
      </c>
      <c r="I7207" s="26">
        <v>43692.504166666702</v>
      </c>
      <c r="J7207" s="28" t="s">
        <v>51</v>
      </c>
      <c r="K7207" s="28" t="s">
        <v>51</v>
      </c>
      <c r="L7207" s="28" t="s">
        <v>51</v>
      </c>
      <c r="M7207" s="28" t="s">
        <v>51</v>
      </c>
      <c r="N7207" s="28" t="s">
        <v>51</v>
      </c>
    </row>
    <row r="7208" spans="1:14" hidden="1" outlineLevel="1" x14ac:dyDescent="0.15">
      <c r="A7208" s="23" t="str">
        <f>HYPERLINK("https://www.spark-marketing.ru/Card/Person/89133", "МБДОУ ""ДЕТСКИЙ САД КОМБИНИРОВАННОГО ВИДА №16 ""СКВОРУШКА""")</f>
        <v>МБДОУ "ДЕТСКИЙ САД КОМБИНИРОВАННОГО ВИДА №16 "СКВОРУШКА"</v>
      </c>
      <c r="B7208" s="24" t="s">
        <v>9060</v>
      </c>
      <c r="C7208" s="25">
        <v>1396695.04</v>
      </c>
      <c r="D7208" s="22" t="s">
        <v>10853</v>
      </c>
      <c r="E7208" s="22" t="s">
        <v>48</v>
      </c>
      <c r="F7208" s="23" t="str">
        <f t="shared" si="15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08" s="22" t="s">
        <v>217</v>
      </c>
      <c r="H7208" s="22" t="s">
        <v>1998</v>
      </c>
      <c r="I7208" s="26">
        <v>43692.504166666702</v>
      </c>
      <c r="J7208" s="28" t="s">
        <v>51</v>
      </c>
      <c r="K7208" s="28" t="s">
        <v>51</v>
      </c>
      <c r="L7208" s="28" t="s">
        <v>51</v>
      </c>
      <c r="M7208" s="28" t="s">
        <v>51</v>
      </c>
      <c r="N7208" s="28" t="s">
        <v>51</v>
      </c>
    </row>
    <row r="7209" spans="1:14" hidden="1" outlineLevel="1" x14ac:dyDescent="0.15">
      <c r="A7209" s="23" t="str">
        <f>HYPERLINK("https://www.spark-marketing.ru/Card/Person/89728", "МБДОУ ""ДЕТСКИЙ САД КОМБИНИРОВАННОГО ВИДА №31 ""КРАСНАЯ ШАПОЧКА""")</f>
        <v>МБДОУ "ДЕТСКИЙ САД КОМБИНИРОВАННОГО ВИДА №31 "КРАСНАЯ ШАПОЧКА"</v>
      </c>
      <c r="B7209" s="24" t="s">
        <v>9063</v>
      </c>
      <c r="C7209" s="25">
        <v>1835192.3200000001</v>
      </c>
      <c r="D7209" s="22" t="s">
        <v>10853</v>
      </c>
      <c r="E7209" s="22" t="s">
        <v>48</v>
      </c>
      <c r="F7209" s="23" t="str">
        <f t="shared" si="15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09" s="22" t="s">
        <v>217</v>
      </c>
      <c r="H7209" s="22" t="s">
        <v>1998</v>
      </c>
      <c r="I7209" s="26">
        <v>43692.504166666702</v>
      </c>
      <c r="J7209" s="28" t="s">
        <v>51</v>
      </c>
      <c r="K7209" s="28" t="s">
        <v>51</v>
      </c>
      <c r="L7209" s="28" t="s">
        <v>51</v>
      </c>
      <c r="M7209" s="28" t="s">
        <v>51</v>
      </c>
      <c r="N7209" s="28" t="s">
        <v>51</v>
      </c>
    </row>
    <row r="7210" spans="1:14" hidden="1" outlineLevel="1" x14ac:dyDescent="0.15">
      <c r="A7210" s="23" t="str">
        <f>HYPERLINK("https://www.spark-marketing.ru/Card/Person/90218", "МБДОУ ""ДЕТСКИЙ САД КОМБИНИРОВАННОГО ВИДА №5 ""ТЕРЕМОК""")</f>
        <v>МБДОУ "ДЕТСКИЙ САД КОМБИНИРОВАННОГО ВИДА №5 "ТЕРЕМОК"</v>
      </c>
      <c r="B7210" s="24" t="s">
        <v>9049</v>
      </c>
      <c r="C7210" s="25">
        <v>1096243.2</v>
      </c>
      <c r="D7210" s="22" t="s">
        <v>10853</v>
      </c>
      <c r="E7210" s="22" t="s">
        <v>48</v>
      </c>
      <c r="F7210" s="23" t="str">
        <f t="shared" si="15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10" s="22" t="s">
        <v>217</v>
      </c>
      <c r="H7210" s="22" t="s">
        <v>1998</v>
      </c>
      <c r="I7210" s="26">
        <v>43692.504166666702</v>
      </c>
      <c r="J7210" s="28" t="s">
        <v>51</v>
      </c>
      <c r="K7210" s="28" t="s">
        <v>51</v>
      </c>
      <c r="L7210" s="28" t="s">
        <v>51</v>
      </c>
      <c r="M7210" s="28" t="s">
        <v>51</v>
      </c>
      <c r="N7210" s="28" t="s">
        <v>51</v>
      </c>
    </row>
    <row r="7211" spans="1:14" hidden="1" outlineLevel="1" x14ac:dyDescent="0.15">
      <c r="A7211" s="23" t="str">
        <f>HYPERLINK("https://www.spark-marketing.ru/Card/Person/91506", "МБДОУ ""ДЕТСКИЙ САД №11 ""ЙОЛДЫЗ""")</f>
        <v>МБДОУ "ДЕТСКИЙ САД №11 "ЙОЛДЫЗ"</v>
      </c>
      <c r="B7211" s="24" t="s">
        <v>10854</v>
      </c>
      <c r="C7211" s="25">
        <v>2095042.5600000001</v>
      </c>
      <c r="D7211" s="22" t="s">
        <v>10853</v>
      </c>
      <c r="E7211" s="22" t="s">
        <v>48</v>
      </c>
      <c r="F7211" s="23" t="str">
        <f t="shared" si="15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11" s="22" t="s">
        <v>217</v>
      </c>
      <c r="H7211" s="22" t="s">
        <v>1998</v>
      </c>
      <c r="I7211" s="26">
        <v>43692.504166666702</v>
      </c>
      <c r="J7211" s="28" t="s">
        <v>51</v>
      </c>
      <c r="K7211" s="28" t="s">
        <v>51</v>
      </c>
      <c r="L7211" s="28" t="s">
        <v>51</v>
      </c>
      <c r="M7211" s="28" t="s">
        <v>51</v>
      </c>
      <c r="N7211" s="28" t="s">
        <v>51</v>
      </c>
    </row>
    <row r="7212" spans="1:14" hidden="1" outlineLevel="1" x14ac:dyDescent="0.2">
      <c r="A7212" s="28" t="s">
        <v>51</v>
      </c>
      <c r="B7212" s="28" t="s">
        <v>51</v>
      </c>
      <c r="C7212" s="28" t="s">
        <v>51</v>
      </c>
      <c r="D7212" s="22" t="s">
        <v>10853</v>
      </c>
      <c r="E7212" s="22" t="s">
        <v>48</v>
      </c>
      <c r="F7212" s="23" t="str">
        <f t="shared" si="15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12" s="22" t="s">
        <v>51</v>
      </c>
      <c r="H7212" s="22" t="s">
        <v>51</v>
      </c>
      <c r="I7212" s="26">
        <v>43692.504166666702</v>
      </c>
      <c r="J7212" s="23" t="str">
        <f>HYPERLINK("https://www.spark-marketing.ru/Card/Person/87385", "ООО ""ШКОЛЬНОЕ ПИТАНИЕ""")</f>
        <v>ООО "ШКОЛЬНОЕ ПИТАНИЕ"</v>
      </c>
      <c r="K7212" s="24" t="s">
        <v>6356</v>
      </c>
      <c r="L7212" s="22" t="s">
        <v>10</v>
      </c>
      <c r="M7212" s="25">
        <v>7982274.5599999996</v>
      </c>
      <c r="N7212" s="27">
        <v>0</v>
      </c>
    </row>
    <row r="7213" spans="1:14" hidden="1" outlineLevel="1" x14ac:dyDescent="0.2">
      <c r="A7213" s="28" t="s">
        <v>51</v>
      </c>
      <c r="B7213" s="28" t="s">
        <v>51</v>
      </c>
      <c r="C7213" s="28" t="s">
        <v>51</v>
      </c>
      <c r="D7213" s="22" t="s">
        <v>10853</v>
      </c>
      <c r="E7213" s="22" t="s">
        <v>48</v>
      </c>
      <c r="F7213" s="23" t="str">
        <f t="shared" si="15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13" s="22" t="s">
        <v>51</v>
      </c>
      <c r="H7213" s="22" t="s">
        <v>51</v>
      </c>
      <c r="I7213" s="26">
        <v>43692.504166666702</v>
      </c>
      <c r="J7213" s="23" t="str">
        <f>HYPERLINK("https://www.spark-marketing.ru/Card/Person/300377", "ООО ""ТУЙМАЗЫ-ФРУКТ""")</f>
        <v>ООО "ТУЙМАЗЫ-ФРУКТ"</v>
      </c>
      <c r="K7213" s="24" t="s">
        <v>9052</v>
      </c>
      <c r="L7213" s="28" t="s">
        <v>51</v>
      </c>
      <c r="M7213" s="25">
        <v>7982274.5599999996</v>
      </c>
      <c r="N7213" s="27">
        <v>0</v>
      </c>
    </row>
    <row r="7214" spans="1:14" x14ac:dyDescent="0.15">
      <c r="A7214" s="23" t="str">
        <f>HYPERLINK("https://www.spark-marketing.ru/Card/Person/142330", "МО МВД РОССИИ ""СЛОБОДСКОЙ""")</f>
        <v>МО МВД РОССИИ "СЛОБОДСКОЙ"</v>
      </c>
      <c r="B7214" s="24" t="s">
        <v>10855</v>
      </c>
      <c r="C7214" s="25">
        <v>863460</v>
      </c>
      <c r="D7214" s="22" t="s">
        <v>10856</v>
      </c>
      <c r="E7214" s="22" t="s">
        <v>48</v>
      </c>
      <c r="F7214" s="23" t="str">
        <f>HYPERLINK("https://www.spark-marketing.ru/Card/Lot/72807703", "оказание услуг  по организации питания лиц, содержащихся в ИВС и комнатах для содержания задержанных лиц (СПСЗЛ)  для государственных нужд МО МВД России «Слободской» 2021 год")</f>
        <v>оказание услуг  по организации питания лиц, содержащихся в ИВС и комнатах для содержания задержанных лиц (СПСЗЛ)  для государственных нужд МО МВД России «Слободской» 2021 год</v>
      </c>
      <c r="G7214" s="22" t="s">
        <v>224</v>
      </c>
      <c r="H7214" s="22" t="s">
        <v>224</v>
      </c>
      <c r="I7214" s="26">
        <v>43692.456817129598</v>
      </c>
      <c r="J7214" s="23" t="str">
        <f>HYPERLINK("https://www.spark-marketing.ru/Card/Person/1226127", "ООО ""АВРОРА""")</f>
        <v>ООО "АВРОРА"</v>
      </c>
      <c r="K7214" s="24" t="s">
        <v>10857</v>
      </c>
      <c r="L7214" s="28" t="s">
        <v>51</v>
      </c>
      <c r="M7214" s="28" t="s">
        <v>51</v>
      </c>
      <c r="N7214" s="28" t="s">
        <v>51</v>
      </c>
    </row>
    <row r="7215" spans="1:14" ht="12.75" hidden="1" outlineLevel="1" x14ac:dyDescent="0.2">
      <c r="A7215" s="23" t="str">
        <f>HYPERLINK("https://www.spark-marketing.ru/Card/Person/142330", "МО МВД РОССИИ ""СЛОБОДСКОЙ""")</f>
        <v>МО МВД РОССИИ "СЛОБОДСКОЙ"</v>
      </c>
      <c r="B7215" s="24" t="s">
        <v>10855</v>
      </c>
      <c r="C7215" s="25">
        <v>863460</v>
      </c>
      <c r="D7215" s="22" t="s">
        <v>10856</v>
      </c>
      <c r="E7215" s="22" t="s">
        <v>48</v>
      </c>
      <c r="F7215" s="23" t="str">
        <f>HYPERLINK("https://www.spark-marketing.ru/Card/Lot/72807703", "оказание услуг  по организации питания лиц, содержащихся в ИВС и комнатах для содержания задержанных лиц (СПСЗЛ)  для государственных нужд МО МВД России «Слободской» 2021 год")</f>
        <v>оказание услуг  по организации питания лиц, содержащихся в ИВС и комнатах для содержания задержанных лиц (СПСЗЛ)  для государственных нужд МО МВД России «Слободской» 2021 год</v>
      </c>
      <c r="G7215" s="22" t="s">
        <v>224</v>
      </c>
      <c r="H7215" s="22" t="s">
        <v>224</v>
      </c>
      <c r="I7215" s="26">
        <v>43692.456817129598</v>
      </c>
      <c r="J7215" s="23" t="str">
        <f>HYPERLINK("https://www.spark-marketing.ru/Card/Person/1226127", "ООО ""АВРОРА""")</f>
        <v>ООО "АВРОРА"</v>
      </c>
      <c r="K7215" s="24" t="s">
        <v>10857</v>
      </c>
      <c r="L7215" s="22" t="s">
        <v>10</v>
      </c>
      <c r="M7215" s="25">
        <v>859142.7</v>
      </c>
      <c r="N7215" s="27">
        <v>5.0000000000000001E-3</v>
      </c>
    </row>
    <row r="7216" spans="1:14" x14ac:dyDescent="0.15">
      <c r="A7216" s="23" t="str">
        <f>HYPERLINK("https://www.spark-marketing.ru/Card/Person/142330", "МО МВД РОССИИ ""СЛОБОДСКОЙ""")</f>
        <v>МО МВД РОССИИ "СЛОБОДСКОЙ"</v>
      </c>
      <c r="B7216" s="24" t="s">
        <v>10855</v>
      </c>
      <c r="C7216" s="25">
        <v>230097.6</v>
      </c>
      <c r="D7216" s="22" t="s">
        <v>10858</v>
      </c>
      <c r="E7216" s="22" t="s">
        <v>48</v>
      </c>
      <c r="F7216" s="23" t="str">
        <f>HYPERLINK("https://www.spark-marketing.ru/Card/Lot/72806523", "оказание услуг  по организации питания лиц, содержащихся в ИВС и комнатах для содержания задержанных лиц (СПСЗЛ) ОП «Белохолуницкое»  для государственных нужд МО МВД России «Слободской» 2020 год.")</f>
        <v>оказание услуг  по организации питания лиц, содержащихся в ИВС и комнатах для содержания задержанных лиц (СПСЗЛ) ОП «Белохолуницкое»  для государственных нужд МО МВД России «Слободской» 2020 год.</v>
      </c>
      <c r="G7216" s="22" t="s">
        <v>224</v>
      </c>
      <c r="H7216" s="22" t="s">
        <v>224</v>
      </c>
      <c r="I7216" s="26">
        <v>43692.4592708333</v>
      </c>
      <c r="J7216" s="23" t="str">
        <f>HYPERLINK("https://www.spark-marketing.ru/Card/Person/2317931", "ООО ""РИОЛА""")</f>
        <v>ООО "РИОЛА"</v>
      </c>
      <c r="K7216" s="24" t="s">
        <v>10859</v>
      </c>
      <c r="L7216" s="22" t="s">
        <v>10</v>
      </c>
      <c r="M7216" s="28" t="s">
        <v>51</v>
      </c>
      <c r="N7216" s="28" t="s">
        <v>51</v>
      </c>
    </row>
    <row r="7217" spans="1:14" x14ac:dyDescent="0.15">
      <c r="A7217" s="23" t="str">
        <f>HYPERLINK("https://www.spark-marketing.ru/Card/Person/60652", "ОМВД РОССИИ ПО ГОРОДСКОМУ ОКРУГУ ЛОБНЯ")</f>
        <v>ОМВД РОССИИ ПО ГОРОДСКОМУ ОКРУГУ ЛОБНЯ</v>
      </c>
      <c r="B7217" s="24" t="s">
        <v>10860</v>
      </c>
      <c r="C7217" s="25">
        <v>1817700</v>
      </c>
      <c r="D7217" s="22" t="s">
        <v>10861</v>
      </c>
      <c r="E7217" s="22" t="s">
        <v>48</v>
      </c>
      <c r="F7217" s="23" t="str">
        <f>HYPERLINK("https://www.spark-marketing.ru/Card/Lot/72810477", "Оказание услуг по организации питания граждан")</f>
        <v>Оказание услуг по организации питания граждан</v>
      </c>
      <c r="G7217" s="22" t="s">
        <v>49</v>
      </c>
      <c r="H7217" s="22" t="s">
        <v>378</v>
      </c>
      <c r="I7217" s="26">
        <v>43692.417951388903</v>
      </c>
      <c r="J7217" s="23" t="str">
        <f>HYPERLINK("https://www.spark-marketing.ru/Card/Person/115242", "Башмаков Николай Николаевич")</f>
        <v>Башмаков Николай Николаевич</v>
      </c>
      <c r="K7217" s="24" t="s">
        <v>5812</v>
      </c>
      <c r="L7217" s="22" t="s">
        <v>10</v>
      </c>
      <c r="M7217" s="28" t="s">
        <v>51</v>
      </c>
      <c r="N7217" s="28" t="s">
        <v>51</v>
      </c>
    </row>
    <row r="7218" spans="1:14" ht="12.75" x14ac:dyDescent="0.2">
      <c r="A7218" s="23" t="str">
        <f>HYPERLINK("https://www.spark-marketing.ru/Card/Person/222991", "ГБУЗ РЕСПУБЛИКИ МОРДОВИЯ ""ИЧАЛКОВСКАЯ МБ""")</f>
        <v>ГБУЗ РЕСПУБЛИКИ МОРДОВИЯ "ИЧАЛКОВСКАЯ МБ"</v>
      </c>
      <c r="B7218" s="24" t="s">
        <v>10862</v>
      </c>
      <c r="C7218" s="25">
        <v>499972.47</v>
      </c>
      <c r="D7218" s="22" t="s">
        <v>10863</v>
      </c>
      <c r="E7218" s="22" t="s">
        <v>96</v>
      </c>
      <c r="F7218" s="23" t="str">
        <f>HYPERLINK("https://www.spark-marketing.ru/Card/Lot/72808709", "оказание услуг по обеспечению горячим ежедневным (включая выходные и праздничные дни) четырехразовым питанием лиц, находящихся на лечении в паллиативном отделении, расположенной в поликлиническом отделении №3 в с. Большое Игнатово.")</f>
        <v>оказание услуг по обеспечению горячим ежедневным (включая выходные и праздничные дни) четырехразовым питанием лиц, находящихся на лечении в паллиативном отделении, расположенной в поликлиническом отделении №3 в с. Большое Игнатово.</v>
      </c>
      <c r="G7218" s="22" t="s">
        <v>277</v>
      </c>
      <c r="H7218" s="22" t="s">
        <v>10864</v>
      </c>
      <c r="I7218" s="26">
        <v>43692.459490740701</v>
      </c>
      <c r="J7218" s="23" t="str">
        <f>HYPERLINK("https://www.spark-marketing.ru/Card/Person/368731", "ПО ""БОЛЬШЕИГНАТОВСКОЕ""")</f>
        <v>ПО "БОЛЬШЕИГНАТОВСКОЕ"</v>
      </c>
      <c r="K7218" s="24" t="s">
        <v>10865</v>
      </c>
      <c r="L7218" s="22" t="s">
        <v>10</v>
      </c>
      <c r="M7218" s="25">
        <v>499919.4</v>
      </c>
      <c r="N7218" s="27">
        <v>1.0614584439019212E-4</v>
      </c>
    </row>
    <row r="7219" spans="1:14" x14ac:dyDescent="0.15">
      <c r="A7219" s="23" t="str">
        <f>HYPERLINK("https://www.spark-marketing.ru/Card/Person/60652", "ОМВД РОССИИ ПО ГОРОДСКОМУ ОКРУГУ ЛОБНЯ")</f>
        <v>ОМВД РОССИИ ПО ГОРОДСКОМУ ОКРУГУ ЛОБНЯ</v>
      </c>
      <c r="B7219" s="24" t="s">
        <v>10860</v>
      </c>
      <c r="C7219" s="25">
        <v>1817700</v>
      </c>
      <c r="D7219" s="22" t="s">
        <v>10866</v>
      </c>
      <c r="E7219" s="22" t="s">
        <v>48</v>
      </c>
      <c r="F7219" s="23" t="str">
        <f>HYPERLINK("https://www.spark-marketing.ru/Card/Lot/72814900", "Оказание услуг по организации питания граждан")</f>
        <v>Оказание услуг по организации питания граждан</v>
      </c>
      <c r="G7219" s="22" t="s">
        <v>49</v>
      </c>
      <c r="H7219" s="22" t="s">
        <v>378</v>
      </c>
      <c r="I7219" s="26">
        <v>43692.427696759303</v>
      </c>
      <c r="J7219" s="23" t="str">
        <f>HYPERLINK("https://www.spark-marketing.ru/Card/Person/115242", "Башмаков Николай Николаевич")</f>
        <v>Башмаков Николай Николаевич</v>
      </c>
      <c r="K7219" s="24" t="s">
        <v>5812</v>
      </c>
      <c r="L7219" s="22" t="s">
        <v>10</v>
      </c>
      <c r="M7219" s="28" t="s">
        <v>51</v>
      </c>
      <c r="N7219" s="28" t="s">
        <v>51</v>
      </c>
    </row>
    <row r="7220" spans="1:14" x14ac:dyDescent="0.15">
      <c r="A7220" s="23" t="str">
        <f>HYPERLINK("https://www.spark-marketing.ru/Card/Person/175573", "ОТДЕЛ МВД РОССИИ ПО БЕЛОРЕЧЕНСКОМУ РАЙОНУ")</f>
        <v>ОТДЕЛ МВД РОССИИ ПО БЕЛОРЕЧЕНСКОМУ РАЙОНУ</v>
      </c>
      <c r="B7220" s="24" t="s">
        <v>10867</v>
      </c>
      <c r="C7220" s="25">
        <v>3139820</v>
      </c>
      <c r="D7220" s="22" t="s">
        <v>10868</v>
      </c>
      <c r="E7220" s="22" t="s">
        <v>48</v>
      </c>
      <c r="F7220" s="23" t="str">
        <f>HYPERLINK("https://www.spark-marketing.ru/Card/Lot/72810948", "Услуги по поставке готового питания для задержанных и арестованных")</f>
        <v>Услуги по поставке готового питания для задержанных и арестованных</v>
      </c>
      <c r="G7220" s="22" t="s">
        <v>104</v>
      </c>
      <c r="H7220" s="22" t="s">
        <v>104</v>
      </c>
      <c r="I7220" s="26">
        <v>43692.444293981498</v>
      </c>
      <c r="J7220" s="23" t="str">
        <f>HYPERLINK("https://www.spark-marketing.ru/Card/Person/174720", "Кивандов Александр Суренович")</f>
        <v>Кивандов Александр Суренович</v>
      </c>
      <c r="K7220" s="24" t="s">
        <v>2891</v>
      </c>
      <c r="L7220" s="22" t="s">
        <v>10</v>
      </c>
      <c r="M7220" s="28" t="s">
        <v>51</v>
      </c>
      <c r="N7220" s="28" t="s">
        <v>51</v>
      </c>
    </row>
    <row r="7221" spans="1:14" x14ac:dyDescent="0.15">
      <c r="A7221" s="23" t="str">
        <f>HYPERLINK("https://www.spark-marketing.ru/Card/Person/175573", "ОТДЕЛ МВД РОССИИ ПО БЕЛОРЕЧЕНСКОМУ РАЙОНУ")</f>
        <v>ОТДЕЛ МВД РОССИИ ПО БЕЛОРЕЧЕНСКОМУ РАЙОНУ</v>
      </c>
      <c r="B7221" s="24" t="s">
        <v>10867</v>
      </c>
      <c r="C7221" s="25">
        <v>3139900</v>
      </c>
      <c r="D7221" s="22" t="s">
        <v>10869</v>
      </c>
      <c r="E7221" s="22" t="s">
        <v>48</v>
      </c>
      <c r="F7221" s="23" t="str">
        <f>HYPERLINK("https://www.spark-marketing.ru/Card/Lot/72810943", "Услуги по поставке готового питания для задержанных и арестованных")</f>
        <v>Услуги по поставке готового питания для задержанных и арестованных</v>
      </c>
      <c r="G7221" s="22" t="s">
        <v>104</v>
      </c>
      <c r="H7221" s="22" t="s">
        <v>104</v>
      </c>
      <c r="I7221" s="26">
        <v>43692.426469907397</v>
      </c>
      <c r="J7221" s="23" t="str">
        <f>HYPERLINK("https://www.spark-marketing.ru/Card/Person/174720", "Кивандов Александр Суренович")</f>
        <v>Кивандов Александр Суренович</v>
      </c>
      <c r="K7221" s="24" t="s">
        <v>2891</v>
      </c>
      <c r="L7221" s="28" t="s">
        <v>51</v>
      </c>
      <c r="M7221" s="28" t="s">
        <v>51</v>
      </c>
      <c r="N7221" s="28" t="s">
        <v>51</v>
      </c>
    </row>
    <row r="7222" spans="1:14" ht="12.75" hidden="1" outlineLevel="1" x14ac:dyDescent="0.2">
      <c r="A7222" s="23" t="str">
        <f>HYPERLINK("https://www.spark-marketing.ru/Card/Person/175573", "ОТДЕЛ МВД РОССИИ ПО БЕЛОРЕЧЕНСКОМУ РАЙОНУ")</f>
        <v>ОТДЕЛ МВД РОССИИ ПО БЕЛОРЕЧЕНСКОМУ РАЙОНУ</v>
      </c>
      <c r="B7222" s="24" t="s">
        <v>10867</v>
      </c>
      <c r="C7222" s="25">
        <v>3139900</v>
      </c>
      <c r="D7222" s="22" t="s">
        <v>10869</v>
      </c>
      <c r="E7222" s="22" t="s">
        <v>48</v>
      </c>
      <c r="F7222" s="23" t="str">
        <f>HYPERLINK("https://www.spark-marketing.ru/Card/Lot/72810943", "Услуги по поставке готового питания для задержанных и арестованных")</f>
        <v>Услуги по поставке готового питания для задержанных и арестованных</v>
      </c>
      <c r="G7222" s="22" t="s">
        <v>104</v>
      </c>
      <c r="H7222" s="22" t="s">
        <v>104</v>
      </c>
      <c r="I7222" s="26">
        <v>43692.426469907397</v>
      </c>
      <c r="J7222" s="23" t="str">
        <f>HYPERLINK("https://www.spark-marketing.ru/Card/Person/174720", "Кивандов Александр Суренович")</f>
        <v>Кивандов Александр Суренович</v>
      </c>
      <c r="K7222" s="24" t="s">
        <v>2891</v>
      </c>
      <c r="L7222" s="22" t="s">
        <v>10</v>
      </c>
      <c r="M7222" s="25">
        <v>3124200.5</v>
      </c>
      <c r="N7222" s="27">
        <v>5.0000000000000001E-3</v>
      </c>
    </row>
    <row r="7223" spans="1:14" x14ac:dyDescent="0.15">
      <c r="A7223" s="23" t="str">
        <f>HYPERLINK("https://www.spark-marketing.ru/Card/Person/142330", "МО МВД РОССИИ ""СЛОБОДСКОЙ""")</f>
        <v>МО МВД РОССИИ "СЛОБОДСКОЙ"</v>
      </c>
      <c r="B7223" s="24" t="s">
        <v>10855</v>
      </c>
      <c r="C7223" s="25">
        <v>230565</v>
      </c>
      <c r="D7223" s="22" t="s">
        <v>10870</v>
      </c>
      <c r="E7223" s="22" t="s">
        <v>48</v>
      </c>
      <c r="F7223" s="23" t="str">
        <f>HYPERLINK("https://www.spark-marketing.ru/Card/Lot/72806596", "оказание услуг  по организации питания лиц, содержащихся в ИВС и комнатах для содержания задержанных лиц (СПСЗЛ) ОП «Белохолуницкое»  для государственных нужд МО МВД России «Слободской» 2021 год.")</f>
        <v>оказание услуг  по организации питания лиц, содержащихся в ИВС и комнатах для содержания задержанных лиц (СПСЗЛ) ОП «Белохолуницкое»  для государственных нужд МО МВД России «Слободской» 2021 год.</v>
      </c>
      <c r="G7223" s="22" t="s">
        <v>224</v>
      </c>
      <c r="H7223" s="22" t="s">
        <v>224</v>
      </c>
      <c r="I7223" s="26">
        <v>43692.461354166699</v>
      </c>
      <c r="J7223" s="23" t="str">
        <f>HYPERLINK("https://www.spark-marketing.ru/Card/Person/2317931", "ООО ""РИОЛА""")</f>
        <v>ООО "РИОЛА"</v>
      </c>
      <c r="K7223" s="24" t="s">
        <v>10859</v>
      </c>
      <c r="L7223" s="22" t="s">
        <v>10</v>
      </c>
      <c r="M7223" s="28" t="s">
        <v>51</v>
      </c>
      <c r="N7223" s="28" t="s">
        <v>51</v>
      </c>
    </row>
    <row r="7224" spans="1:14" x14ac:dyDescent="0.15">
      <c r="A7224" s="23" t="str">
        <f>HYPERLINK("https://www.spark-marketing.ru/Card/Person/1024266", "МОУ ""СОШ № 1""")</f>
        <v>МОУ "СОШ № 1"</v>
      </c>
      <c r="B7224" s="24" t="s">
        <v>7983</v>
      </c>
      <c r="C7224" s="25">
        <v>239496</v>
      </c>
      <c r="D7224" s="22" t="s">
        <v>10871</v>
      </c>
      <c r="E7224" s="22" t="s">
        <v>48</v>
      </c>
      <c r="F7224" s="23" t="str">
        <f>HYPERLINK("https://www.spark-marketing.ru/Card/Lot/72804584", "Оказание услуг по организации питания детей из малообеспеченных семей и детей с нарушениями здоровья")</f>
        <v>Оказание услуг по организации питания детей из малообеспеченных семей и детей с нарушениями здоровья</v>
      </c>
      <c r="G7224" s="22" t="s">
        <v>469</v>
      </c>
      <c r="H7224" s="22" t="s">
        <v>5961</v>
      </c>
      <c r="I7224" s="26">
        <v>43692.497222222199</v>
      </c>
      <c r="J7224" s="28" t="s">
        <v>51</v>
      </c>
      <c r="K7224" s="28" t="s">
        <v>51</v>
      </c>
      <c r="L7224" s="28" t="s">
        <v>51</v>
      </c>
      <c r="M7224" s="28" t="s">
        <v>51</v>
      </c>
      <c r="N7224" s="28" t="s">
        <v>51</v>
      </c>
    </row>
    <row r="7225" spans="1:14" x14ac:dyDescent="0.15">
      <c r="A7225" s="23" t="str">
        <f>HYPERLINK("https://www.spark-marketing.ru/Card/Person/4365627", "ООО ""РН-БУРЕНИЕ""")</f>
        <v>ООО "РН-БУРЕНИЕ"</v>
      </c>
      <c r="B7225" s="24" t="s">
        <v>7087</v>
      </c>
      <c r="C7225" s="25">
        <v>6081277.1799999997</v>
      </c>
      <c r="D7225" s="22" t="s">
        <v>10872</v>
      </c>
      <c r="E7225" s="22" t="s">
        <v>362</v>
      </c>
      <c r="F7225" s="23" t="str">
        <f>HYPERLINK("https://www.spark-marketing.ru/Card/Lot/72805024", "Оказание услуг по организации питания на разведочных скважинах для Иркутского филиала ООО ""РН-Бурение""")</f>
        <v>Оказание услуг по организации питания на разведочных скважинах для Иркутского филиала ООО "РН-Бурение"</v>
      </c>
      <c r="G7225" s="22" t="s">
        <v>56</v>
      </c>
      <c r="H7225" s="22" t="s">
        <v>56</v>
      </c>
      <c r="I7225" s="26">
        <v>43692.460416666698</v>
      </c>
      <c r="J7225" s="28" t="s">
        <v>51</v>
      </c>
      <c r="K7225" s="28" t="s">
        <v>51</v>
      </c>
      <c r="L7225" s="28" t="s">
        <v>51</v>
      </c>
      <c r="M7225" s="28" t="s">
        <v>51</v>
      </c>
      <c r="N7225" s="28" t="s">
        <v>51</v>
      </c>
    </row>
    <row r="7226" spans="1:14" x14ac:dyDescent="0.15">
      <c r="A7226" s="23" t="str">
        <f>HYPERLINK("https://www.spark-marketing.ru/Card/Person/1024899", "МБУК ""КОМПАС"" ГОРОДСКОГО ОКРУГА ВЛАСИХА")</f>
        <v>МБУК "КОМПАС" ГОРОДСКОГО ОКРУГА ВЛАСИХА</v>
      </c>
      <c r="B7226" s="24" t="s">
        <v>10873</v>
      </c>
      <c r="C7226" s="25">
        <v>29604.67</v>
      </c>
      <c r="D7226" s="22" t="s">
        <v>10874</v>
      </c>
      <c r="E7226" s="22" t="s">
        <v>48</v>
      </c>
      <c r="F7226" s="23" t="str">
        <f>HYPERLINK("https://www.spark-marketing.ru/Card/Lot/72804867", "Оказание услуг по организации горячего питания")</f>
        <v>Оказание услуг по организации горячего питания</v>
      </c>
      <c r="G7226" s="22" t="s">
        <v>49</v>
      </c>
      <c r="H7226" s="22" t="s">
        <v>10875</v>
      </c>
      <c r="I7226" s="26">
        <v>43692.471817129597</v>
      </c>
      <c r="J7226" s="28" t="s">
        <v>51</v>
      </c>
      <c r="K7226" s="28" t="s">
        <v>51</v>
      </c>
      <c r="L7226" s="28" t="s">
        <v>51</v>
      </c>
      <c r="M7226" s="28" t="s">
        <v>51</v>
      </c>
      <c r="N7226" s="28" t="s">
        <v>51</v>
      </c>
    </row>
    <row r="7227" spans="1:14" x14ac:dyDescent="0.15">
      <c r="A7227" s="23" t="str">
        <f>HYPERLINK("https://www.spark-marketing.ru/Card/Person/813485", "МАОУ ""ТАТАРСКО-СУГУТСКАЯ СОШ"" БАТЫРЕВСКОГО РАЙОНА ЧУВАШСКОЙ РЕСПУБЛИКИ")</f>
        <v>МАОУ "ТАТАРСКО-СУГУТСКАЯ СОШ" БАТЫРЕВСКОГО РАЙОНА ЧУВАШСКОЙ РЕСПУБЛИКИ</v>
      </c>
      <c r="B7227" s="24" t="s">
        <v>10876</v>
      </c>
      <c r="C7227" s="25">
        <v>555684</v>
      </c>
      <c r="D7227" s="22" t="s">
        <v>10877</v>
      </c>
      <c r="E7227" s="22" t="s">
        <v>48</v>
      </c>
      <c r="F7227" s="23" t="str">
        <f>HYPERLINK("https://www.spark-marketing.ru/Card/Lot/72807449", "Оказание услуг по организации питания в МБОУ ""Татарско-Сугутская СОШ"" Батыревского района Чувашской Республики")</f>
        <v>Оказание услуг по организации питания в МБОУ "Татарско-Сугутская СОШ" Батыревского района Чувашской Республики</v>
      </c>
      <c r="G7227" s="22" t="s">
        <v>618</v>
      </c>
      <c r="H7227" s="22" t="s">
        <v>10481</v>
      </c>
      <c r="I7227" s="26">
        <v>43692.415810185201</v>
      </c>
      <c r="J7227" s="23" t="str">
        <f>HYPERLINK("https://www.spark-marketing.ru/Card/Person/392761", "ООО ""ОБЩЕПИТ ""БАТЫРЕВСКИЙ""")</f>
        <v>ООО "ОБЩЕПИТ "БАТЫРЕВСКИЙ"</v>
      </c>
      <c r="K7227" s="24" t="s">
        <v>10482</v>
      </c>
      <c r="L7227" s="22" t="s">
        <v>10</v>
      </c>
      <c r="M7227" s="28" t="s">
        <v>51</v>
      </c>
      <c r="N7227" s="28" t="s">
        <v>51</v>
      </c>
    </row>
    <row r="7228" spans="1:14" x14ac:dyDescent="0.15">
      <c r="A7228" s="23" t="str">
        <f>HYPERLINK("https://www.spark-marketing.ru/Card/Person/89798", "УМВД РОССИИ ПО ГОРОДУ КИРОВУ")</f>
        <v>УМВД РОССИИ ПО ГОРОДУ КИРОВУ</v>
      </c>
      <c r="B7228" s="24" t="s">
        <v>8365</v>
      </c>
      <c r="C7228" s="25">
        <v>900000</v>
      </c>
      <c r="D7228" s="22" t="s">
        <v>10878</v>
      </c>
      <c r="E7228" s="22" t="s">
        <v>48</v>
      </c>
      <c r="F7228" s="23" t="str">
        <f>HYPERLINK("https://www.spark-marketing.ru/Card/Lot/72807498",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7228" s="22" t="s">
        <v>224</v>
      </c>
      <c r="H7228" s="22" t="s">
        <v>225</v>
      </c>
      <c r="I7228" s="26">
        <v>43692.423101851899</v>
      </c>
      <c r="J7228" s="23" t="str">
        <f>HYPERLINK("https://www.spark-marketing.ru/Card/Person/89851", "ООО ""ФУД-СЕРВИС""")</f>
        <v>ООО "ФУД-СЕРВИС"</v>
      </c>
      <c r="K7228" s="24" t="s">
        <v>8368</v>
      </c>
      <c r="L7228" s="28" t="s">
        <v>51</v>
      </c>
      <c r="M7228" s="28" t="s">
        <v>51</v>
      </c>
      <c r="N7228" s="28" t="s">
        <v>51</v>
      </c>
    </row>
    <row r="7229" spans="1:14" ht="12.75" hidden="1" outlineLevel="1" x14ac:dyDescent="0.2">
      <c r="A7229" s="23" t="str">
        <f>HYPERLINK("https://www.spark-marketing.ru/Card/Person/89798", "УМВД РОССИИ ПО ГОРОДУ КИРОВУ")</f>
        <v>УМВД РОССИИ ПО ГОРОДУ КИРОВУ</v>
      </c>
      <c r="B7229" s="24" t="s">
        <v>8365</v>
      </c>
      <c r="C7229" s="25">
        <v>900000</v>
      </c>
      <c r="D7229" s="22" t="s">
        <v>10878</v>
      </c>
      <c r="E7229" s="22" t="s">
        <v>48</v>
      </c>
      <c r="F7229" s="23" t="str">
        <f>HYPERLINK("https://www.spark-marketing.ru/Card/Lot/72807498",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7229" s="22" t="s">
        <v>224</v>
      </c>
      <c r="H7229" s="22" t="s">
        <v>225</v>
      </c>
      <c r="I7229" s="26">
        <v>43692.423101851899</v>
      </c>
      <c r="J7229" s="23" t="str">
        <f>HYPERLINK("https://www.spark-marketing.ru/Card/Person/89851", "ООО ""ФУД-СЕРВИС""")</f>
        <v>ООО "ФУД-СЕРВИС"</v>
      </c>
      <c r="K7229" s="24" t="s">
        <v>8368</v>
      </c>
      <c r="L7229" s="22" t="s">
        <v>10</v>
      </c>
      <c r="M7229" s="25">
        <v>14069.3</v>
      </c>
      <c r="N7229" s="27">
        <v>0.98436744444444446</v>
      </c>
    </row>
    <row r="7230" spans="1:14" x14ac:dyDescent="0.15">
      <c r="A7230" s="23" t="str">
        <f>HYPERLINK("https://www.spark-marketing.ru/Card/Person/89798", "УМВД РОССИИ ПО ГОРОДУ КИРОВУ")</f>
        <v>УМВД РОССИИ ПО ГОРОДУ КИРОВУ</v>
      </c>
      <c r="B7230" s="24" t="s">
        <v>8365</v>
      </c>
      <c r="C7230" s="25">
        <v>900000</v>
      </c>
      <c r="D7230" s="22" t="s">
        <v>10879</v>
      </c>
      <c r="E7230" s="22" t="s">
        <v>48</v>
      </c>
      <c r="F7230" s="23" t="str">
        <f>HYPERLINK("https://www.spark-marketing.ru/Card/Lot/72807547",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7230" s="22" t="s">
        <v>224</v>
      </c>
      <c r="H7230" s="22" t="s">
        <v>225</v>
      </c>
      <c r="I7230" s="26">
        <v>43692.429027777798</v>
      </c>
      <c r="J7230" s="28" t="s">
        <v>51</v>
      </c>
      <c r="K7230" s="28" t="s">
        <v>51</v>
      </c>
      <c r="L7230" s="28" t="s">
        <v>51</v>
      </c>
      <c r="M7230" s="28" t="s">
        <v>51</v>
      </c>
      <c r="N7230" s="28" t="s">
        <v>51</v>
      </c>
    </row>
    <row r="7231" spans="1:14" hidden="1" outlineLevel="1" x14ac:dyDescent="0.2">
      <c r="A7231" s="23" t="str">
        <f>HYPERLINK("https://www.spark-marketing.ru/Card/Person/89798", "УМВД РОССИИ ПО ГОРОДУ КИРОВУ")</f>
        <v>УМВД РОССИИ ПО ГОРОДУ КИРОВУ</v>
      </c>
      <c r="B7231" s="24" t="s">
        <v>8365</v>
      </c>
      <c r="C7231" s="25">
        <v>900000</v>
      </c>
      <c r="D7231" s="22" t="s">
        <v>10879</v>
      </c>
      <c r="E7231" s="22" t="s">
        <v>48</v>
      </c>
      <c r="F7231" s="23" t="str">
        <f>HYPERLINK("https://www.spark-marketing.ru/Card/Lot/72807547",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7231" s="22" t="s">
        <v>224</v>
      </c>
      <c r="H7231" s="22" t="s">
        <v>225</v>
      </c>
      <c r="I7231" s="26">
        <v>43692.429027777798</v>
      </c>
      <c r="J7231" s="23" t="str">
        <f>HYPERLINK("https://www.spark-marketing.ru/Card/Person/6454752", "ООО ""ЕВРО КЕЙТЕРИНГ 43""")</f>
        <v>ООО "ЕВРО КЕЙТЕРИНГ 43"</v>
      </c>
      <c r="K7231" s="24" t="s">
        <v>8367</v>
      </c>
      <c r="L7231" s="28" t="s">
        <v>51</v>
      </c>
      <c r="M7231" s="25">
        <v>14069.3</v>
      </c>
      <c r="N7231" s="27">
        <v>0.98436744444444446</v>
      </c>
    </row>
    <row r="7232" spans="1:14" ht="12.75" hidden="1" outlineLevel="1" x14ac:dyDescent="0.2">
      <c r="A7232" s="23" t="str">
        <f>HYPERLINK("https://www.spark-marketing.ru/Card/Person/89798", "УМВД РОССИИ ПО ГОРОДУ КИРОВУ")</f>
        <v>УМВД РОССИИ ПО ГОРОДУ КИРОВУ</v>
      </c>
      <c r="B7232" s="24" t="s">
        <v>8365</v>
      </c>
      <c r="C7232" s="25">
        <v>900000</v>
      </c>
      <c r="D7232" s="22" t="s">
        <v>10879</v>
      </c>
      <c r="E7232" s="22" t="s">
        <v>48</v>
      </c>
      <c r="F7232" s="23" t="str">
        <f>HYPERLINK("https://www.spark-marketing.ru/Card/Lot/72807547",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7232" s="22" t="s">
        <v>224</v>
      </c>
      <c r="H7232" s="22" t="s">
        <v>225</v>
      </c>
      <c r="I7232" s="26">
        <v>43692.429027777798</v>
      </c>
      <c r="J7232" s="23" t="str">
        <f>HYPERLINK("https://www.spark-marketing.ru/Card/Person/89851", "ООО ""ФУД-СЕРВИС""")</f>
        <v>ООО "ФУД-СЕРВИС"</v>
      </c>
      <c r="K7232" s="24" t="s">
        <v>8368</v>
      </c>
      <c r="L7232" s="22" t="s">
        <v>10</v>
      </c>
      <c r="M7232" s="25">
        <v>13998.6</v>
      </c>
      <c r="N7232" s="27">
        <v>0.98444600000000004</v>
      </c>
    </row>
    <row r="7233" spans="1:14" x14ac:dyDescent="0.15">
      <c r="A7233" s="23" t="str">
        <f>HYPERLINK("https://www.spark-marketing.ru/Card/Person/79273", "КОГБУЗ ""НЕМСКАЯ ЦЕНТРАЛЬНАЯ РАЙОННАЯ БОЛЬНИЦА""")</f>
        <v>КОГБУЗ "НЕМСКАЯ ЦЕНТРАЛЬНАЯ РАЙОННАЯ БОЛЬНИЦА"</v>
      </c>
      <c r="B7233" s="24" t="s">
        <v>5633</v>
      </c>
      <c r="C7233" s="25">
        <v>1970000</v>
      </c>
      <c r="D7233" s="22" t="s">
        <v>10880</v>
      </c>
      <c r="E7233" s="22" t="s">
        <v>48</v>
      </c>
      <c r="F7233" s="23" t="str">
        <f>HYPERLINK("https://www.spark-marketing.ru/Card/Lot/72810500", "Оказание услуг по приготовлению и передаче ежедневного лечебного горячего питания для больных стационара Кировского областного государственного бюджетного учреждения здравоохранения ""Немская центральная районная больница""")</f>
        <v>Оказание услуг по приготовлению и передаче ежедневного лечебного горячего питания для больных стационара Кировского областного государственного бюджетного учреждения здравоохранения "Немская центральная районная больница"</v>
      </c>
      <c r="G7233" s="22" t="s">
        <v>224</v>
      </c>
      <c r="H7233" s="22" t="s">
        <v>5635</v>
      </c>
      <c r="I7233" s="26">
        <v>43692.431747685201</v>
      </c>
      <c r="J7233" s="28" t="s">
        <v>51</v>
      </c>
      <c r="K7233" s="28" t="s">
        <v>51</v>
      </c>
      <c r="L7233" s="28" t="s">
        <v>51</v>
      </c>
      <c r="M7233" s="28" t="s">
        <v>51</v>
      </c>
      <c r="N7233" s="28" t="s">
        <v>51</v>
      </c>
    </row>
    <row r="7234" spans="1:14" x14ac:dyDescent="0.15">
      <c r="A7234" s="23" t="s">
        <v>114</v>
      </c>
      <c r="B7234" s="28" t="s">
        <v>51</v>
      </c>
      <c r="C7234" s="25">
        <v>915084.16</v>
      </c>
      <c r="D7234" s="22" t="s">
        <v>10881</v>
      </c>
      <c r="E7234" s="22" t="s">
        <v>48</v>
      </c>
      <c r="F7234" s="23" t="str">
        <f t="shared" ref="F7234:F7239" si="155">HYPERLINK("https://www.spark-marketing.ru/Card/Lot/72808455", "оказание услуг по организации сбалансированного питания воспитанников для нужд муниципальных бюджетных дошкольных образовательных учреждений")</f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34" s="22" t="s">
        <v>51</v>
      </c>
      <c r="H7234" s="22" t="s">
        <v>51</v>
      </c>
      <c r="I7234" s="26">
        <v>43692.452777777798</v>
      </c>
      <c r="J7234" s="28" t="s">
        <v>51</v>
      </c>
      <c r="K7234" s="28" t="s">
        <v>51</v>
      </c>
      <c r="L7234" s="28" t="s">
        <v>51</v>
      </c>
      <c r="M7234" s="28" t="s">
        <v>51</v>
      </c>
      <c r="N7234" s="28" t="s">
        <v>51</v>
      </c>
    </row>
    <row r="7235" spans="1:14" hidden="1" outlineLevel="1" x14ac:dyDescent="0.15">
      <c r="A7235" s="23" t="str">
        <f>HYPERLINK("https://www.spark-marketing.ru/Card/Person/90218", "МБДОУ ""ДЕТСКИЙ САД КОМБИНИРОВАННОГО ВИДА №5 ""ТЕРЕМОК""")</f>
        <v>МБДОУ "ДЕТСКИЙ САД КОМБИНИРОВАННОГО ВИДА №5 "ТЕРЕМОК"</v>
      </c>
      <c r="B7235" s="24" t="s">
        <v>9049</v>
      </c>
      <c r="C7235" s="25">
        <v>282476.79999999999</v>
      </c>
      <c r="D7235" s="22" t="s">
        <v>10881</v>
      </c>
      <c r="E7235" s="22" t="s">
        <v>48</v>
      </c>
      <c r="F7235" s="23" t="str">
        <f t="shared" si="155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35" s="22" t="s">
        <v>217</v>
      </c>
      <c r="H7235" s="22" t="s">
        <v>1998</v>
      </c>
      <c r="I7235" s="26">
        <v>43692.452777777798</v>
      </c>
      <c r="J7235" s="28" t="s">
        <v>51</v>
      </c>
      <c r="K7235" s="28" t="s">
        <v>51</v>
      </c>
      <c r="L7235" s="28" t="s">
        <v>51</v>
      </c>
      <c r="M7235" s="28" t="s">
        <v>51</v>
      </c>
      <c r="N7235" s="28" t="s">
        <v>51</v>
      </c>
    </row>
    <row r="7236" spans="1:14" hidden="1" outlineLevel="1" x14ac:dyDescent="0.15">
      <c r="A7236" s="23" t="str">
        <f>HYPERLINK("https://www.spark-marketing.ru/Card/Person/90298", "МБДОУ ""ДЕТСКИЙ САД КОМБИНИРОВАННОГО ВИДА №75 ""ГВОЗДИЧКА""")</f>
        <v>МБДОУ "ДЕТСКИЙ САД КОМБИНИРОВАННОГО ВИДА №75 "ГВОЗДИЧКА"</v>
      </c>
      <c r="B7236" s="24" t="s">
        <v>9050</v>
      </c>
      <c r="C7236" s="25">
        <v>159660.79999999999</v>
      </c>
      <c r="D7236" s="22" t="s">
        <v>10881</v>
      </c>
      <c r="E7236" s="22" t="s">
        <v>48</v>
      </c>
      <c r="F7236" s="23" t="str">
        <f t="shared" si="155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36" s="22" t="s">
        <v>217</v>
      </c>
      <c r="H7236" s="22" t="s">
        <v>1998</v>
      </c>
      <c r="I7236" s="26">
        <v>43692.452777777798</v>
      </c>
      <c r="J7236" s="28" t="s">
        <v>51</v>
      </c>
      <c r="K7236" s="28" t="s">
        <v>51</v>
      </c>
      <c r="L7236" s="28" t="s">
        <v>51</v>
      </c>
      <c r="M7236" s="28" t="s">
        <v>51</v>
      </c>
      <c r="N7236" s="28" t="s">
        <v>51</v>
      </c>
    </row>
    <row r="7237" spans="1:14" hidden="1" outlineLevel="1" x14ac:dyDescent="0.15">
      <c r="A7237" s="23" t="str">
        <f>HYPERLINK("https://www.spark-marketing.ru/Card/Person/90855", "МБДОУ ""ДЕТСКИЙ САД ПРИСМОТРА И ОЗДОРОВЛЕНИЯ №38 ""АЛЕНЬКИЙ ЦВЕТОЧЕК""")</f>
        <v>МБДОУ "ДЕТСКИЙ САД ПРИСМОТРА И ОЗДОРОВЛЕНИЯ №38 "АЛЕНЬКИЙ ЦВЕТОЧЕК"</v>
      </c>
      <c r="B7237" s="24" t="s">
        <v>10882</v>
      </c>
      <c r="C7237" s="25">
        <v>472946.56</v>
      </c>
      <c r="D7237" s="22" t="s">
        <v>10881</v>
      </c>
      <c r="E7237" s="22" t="s">
        <v>48</v>
      </c>
      <c r="F7237" s="23" t="str">
        <f t="shared" si="155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37" s="22" t="s">
        <v>217</v>
      </c>
      <c r="H7237" s="22" t="s">
        <v>1998</v>
      </c>
      <c r="I7237" s="26">
        <v>43692.452777777798</v>
      </c>
      <c r="J7237" s="28" t="s">
        <v>51</v>
      </c>
      <c r="K7237" s="28" t="s">
        <v>51</v>
      </c>
      <c r="L7237" s="28" t="s">
        <v>51</v>
      </c>
      <c r="M7237" s="28" t="s">
        <v>51</v>
      </c>
      <c r="N7237" s="28" t="s">
        <v>51</v>
      </c>
    </row>
    <row r="7238" spans="1:14" hidden="1" outlineLevel="1" x14ac:dyDescent="0.2">
      <c r="A7238" s="28" t="s">
        <v>51</v>
      </c>
      <c r="B7238" s="28" t="s">
        <v>51</v>
      </c>
      <c r="C7238" s="28" t="s">
        <v>51</v>
      </c>
      <c r="D7238" s="22" t="s">
        <v>10881</v>
      </c>
      <c r="E7238" s="22" t="s">
        <v>48</v>
      </c>
      <c r="F7238" s="23" t="str">
        <f t="shared" si="155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38" s="22" t="s">
        <v>51</v>
      </c>
      <c r="H7238" s="22" t="s">
        <v>51</v>
      </c>
      <c r="I7238" s="26">
        <v>43692.452777777798</v>
      </c>
      <c r="J7238" s="23" t="str">
        <f>HYPERLINK("https://www.spark-marketing.ru/Card/Person/87385", "ООО ""ШКОЛЬНОЕ ПИТАНИЕ""")</f>
        <v>ООО "ШКОЛЬНОЕ ПИТАНИЕ"</v>
      </c>
      <c r="K7238" s="24" t="s">
        <v>6356</v>
      </c>
      <c r="L7238" s="22" t="s">
        <v>10</v>
      </c>
      <c r="M7238" s="25">
        <v>915084.16</v>
      </c>
      <c r="N7238" s="27">
        <v>0</v>
      </c>
    </row>
    <row r="7239" spans="1:14" hidden="1" outlineLevel="1" x14ac:dyDescent="0.2">
      <c r="A7239" s="28" t="s">
        <v>51</v>
      </c>
      <c r="B7239" s="28" t="s">
        <v>51</v>
      </c>
      <c r="C7239" s="28" t="s">
        <v>51</v>
      </c>
      <c r="D7239" s="22" t="s">
        <v>10881</v>
      </c>
      <c r="E7239" s="22" t="s">
        <v>48</v>
      </c>
      <c r="F7239" s="23" t="str">
        <f t="shared" si="155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239" s="22" t="s">
        <v>51</v>
      </c>
      <c r="H7239" s="22" t="s">
        <v>51</v>
      </c>
      <c r="I7239" s="26">
        <v>43692.452777777798</v>
      </c>
      <c r="J7239" s="23" t="str">
        <f>HYPERLINK("https://www.spark-marketing.ru/Card/Person/300377", "ООО ""ТУЙМАЗЫ-ФРУКТ""")</f>
        <v>ООО "ТУЙМАЗЫ-ФРУКТ"</v>
      </c>
      <c r="K7239" s="24" t="s">
        <v>9052</v>
      </c>
      <c r="L7239" s="28" t="s">
        <v>51</v>
      </c>
      <c r="M7239" s="25">
        <v>915084.16</v>
      </c>
      <c r="N7239" s="27">
        <v>0</v>
      </c>
    </row>
    <row r="7240" spans="1:14" x14ac:dyDescent="0.15">
      <c r="A7240" s="23" t="str">
        <f>HYPERLINK("https://www.spark-marketing.ru/Card/Person/31604", "ГБУЗ ""СКИБ""")</f>
        <v>ГБУЗ "СКИБ"</v>
      </c>
      <c r="B7240" s="24" t="s">
        <v>10883</v>
      </c>
      <c r="C7240" s="25">
        <v>496156</v>
      </c>
      <c r="D7240" s="22" t="s">
        <v>10884</v>
      </c>
      <c r="E7240" s="22" t="s">
        <v>96</v>
      </c>
      <c r="F7240" s="23" t="str">
        <f>HYPERLINK("https://www.spark-marketing.ru/Card/Lot/72806478", "Оказание услуг по обеспечению лечебным питанием")</f>
        <v>Оказание услуг по обеспечению лечебным питанием</v>
      </c>
      <c r="G7240" s="22" t="s">
        <v>104</v>
      </c>
      <c r="H7240" s="22" t="s">
        <v>120</v>
      </c>
      <c r="I7240" s="26">
        <v>43691.746874999997</v>
      </c>
      <c r="J7240" s="28" t="s">
        <v>51</v>
      </c>
      <c r="K7240" s="28" t="s">
        <v>51</v>
      </c>
      <c r="L7240" s="28" t="s">
        <v>51</v>
      </c>
      <c r="M7240" s="28" t="s">
        <v>51</v>
      </c>
      <c r="N7240" s="28" t="s">
        <v>51</v>
      </c>
    </row>
    <row r="7241" spans="1:14" ht="12.75" hidden="1" outlineLevel="1" x14ac:dyDescent="0.2">
      <c r="A7241" s="23" t="str">
        <f>HYPERLINK("https://www.spark-marketing.ru/Card/Person/31604", "ГБУЗ ""СКИБ""")</f>
        <v>ГБУЗ "СКИБ"</v>
      </c>
      <c r="B7241" s="24" t="s">
        <v>10883</v>
      </c>
      <c r="C7241" s="25">
        <v>496156</v>
      </c>
      <c r="D7241" s="22" t="s">
        <v>10884</v>
      </c>
      <c r="E7241" s="22" t="s">
        <v>96</v>
      </c>
      <c r="F7241" s="23" t="str">
        <f>HYPERLINK("https://www.spark-marketing.ru/Card/Lot/72806478", "Оказание услуг по обеспечению лечебным питанием")</f>
        <v>Оказание услуг по обеспечению лечебным питанием</v>
      </c>
      <c r="G7241" s="22" t="s">
        <v>104</v>
      </c>
      <c r="H7241" s="22" t="s">
        <v>120</v>
      </c>
      <c r="I7241" s="26">
        <v>43691.746874999997</v>
      </c>
      <c r="J7241" s="23" t="str">
        <f>HYPERLINK("https://www.spark-marketing.ru/Card/Person/91192", "ООО ""КЗП""")</f>
        <v>ООО "КЗП"</v>
      </c>
      <c r="K7241" s="24" t="s">
        <v>10885</v>
      </c>
      <c r="L7241" s="22" t="s">
        <v>10</v>
      </c>
      <c r="M7241" s="25">
        <v>488750</v>
      </c>
      <c r="N7241" s="27">
        <v>1.4926756907101799E-2</v>
      </c>
    </row>
    <row r="7242" spans="1:14" hidden="1" outlineLevel="1" x14ac:dyDescent="0.2">
      <c r="A7242" s="23" t="str">
        <f>HYPERLINK("https://www.spark-marketing.ru/Card/Person/31604", "ГБУЗ ""СКИБ""")</f>
        <v>ГБУЗ "СКИБ"</v>
      </c>
      <c r="B7242" s="24" t="s">
        <v>10883</v>
      </c>
      <c r="C7242" s="25">
        <v>496156</v>
      </c>
      <c r="D7242" s="22" t="s">
        <v>10884</v>
      </c>
      <c r="E7242" s="22" t="s">
        <v>96</v>
      </c>
      <c r="F7242" s="23" t="str">
        <f>HYPERLINK("https://www.spark-marketing.ru/Card/Lot/72806478", "Оказание услуг по обеспечению лечебным питанием")</f>
        <v>Оказание услуг по обеспечению лечебным питанием</v>
      </c>
      <c r="G7242" s="22" t="s">
        <v>104</v>
      </c>
      <c r="H7242" s="22" t="s">
        <v>120</v>
      </c>
      <c r="I7242" s="26">
        <v>43691.746874999997</v>
      </c>
      <c r="J7242" s="23" t="str">
        <f>HYPERLINK("https://www.spark-marketing.ru/Card/Person/114603", "ООО ""РЕГИОНАЛЬНЫЙ ПИЩЕКОМБИНАТ""")</f>
        <v>ООО "РЕГИОНАЛЬНЫЙ ПИЩЕКОМБИНАТ"</v>
      </c>
      <c r="K7242" s="24" t="s">
        <v>10886</v>
      </c>
      <c r="L7242" s="28" t="s">
        <v>51</v>
      </c>
      <c r="M7242" s="25">
        <v>493675.22</v>
      </c>
      <c r="N7242" s="27">
        <v>5.0000000000000001E-3</v>
      </c>
    </row>
    <row r="7243" spans="1:14" x14ac:dyDescent="0.15">
      <c r="A7243" s="23" t="str">
        <f>HYPERLINK("https://www.spark-marketing.ru/Card/Person/813663", "МАОУ ""СУГУТСКАЯ СОШ"" БАТЫРЕВСКОГО РАЙОНА ЧУВАШСКОЙ РЕСПУБЛИКИ")</f>
        <v>МАОУ "СУГУТСКАЯ СОШ" БАТЫРЕВСКОГО РАЙОНА ЧУВАШСКОЙ РЕСПУБЛИКИ</v>
      </c>
      <c r="B7243" s="24" t="s">
        <v>10887</v>
      </c>
      <c r="C7243" s="25">
        <v>130814</v>
      </c>
      <c r="D7243" s="22" t="s">
        <v>10888</v>
      </c>
      <c r="E7243" s="22" t="s">
        <v>48</v>
      </c>
      <c r="F7243" s="23" t="str">
        <f>HYPERLINK("https://www.spark-marketing.ru/Card/Lot/72808705", "Оказание услуг по организации питания в МБОУ ""Сугутская СОШ"" Батыревского района Чувашской Республики")</f>
        <v>Оказание услуг по организации питания в МБОУ "Сугутская СОШ" Батыревского района Чувашской Республики</v>
      </c>
      <c r="G7243" s="22" t="s">
        <v>618</v>
      </c>
      <c r="H7243" s="22" t="s">
        <v>10481</v>
      </c>
      <c r="I7243" s="26">
        <v>43692.441863425898</v>
      </c>
      <c r="J7243" s="23" t="str">
        <f>HYPERLINK("https://www.spark-marketing.ru/Card/Person/392761", "ООО ""ОБЩЕПИТ ""БАТЫРЕВСКИЙ""")</f>
        <v>ООО "ОБЩЕПИТ "БАТЫРЕВСКИЙ"</v>
      </c>
      <c r="K7243" s="24" t="s">
        <v>10482</v>
      </c>
      <c r="L7243" s="22" t="s">
        <v>10</v>
      </c>
      <c r="M7243" s="28" t="s">
        <v>51</v>
      </c>
      <c r="N7243" s="28" t="s">
        <v>51</v>
      </c>
    </row>
    <row r="7244" spans="1:14" x14ac:dyDescent="0.15">
      <c r="A7244" s="23" t="str">
        <f>HYPERLINK("https://www.spark-marketing.ru/Card/Person/344681", "МУ МВД РОССИИ ПО ЗАТО САРОВ")</f>
        <v>МУ МВД РОССИИ ПО ЗАТО САРОВ</v>
      </c>
      <c r="B7244" s="24" t="s">
        <v>10889</v>
      </c>
      <c r="C7244" s="25">
        <v>700000</v>
      </c>
      <c r="D7244" s="22" t="s">
        <v>10890</v>
      </c>
      <c r="E7244" s="22" t="s">
        <v>48</v>
      </c>
      <c r="F7244" s="23" t="str">
        <f>HYPERLINK("https://www.spark-marketing.ru/Card/Lot/72808745", "услуги по обеспечению питанием")</f>
        <v>услуги по обеспечению питанием</v>
      </c>
      <c r="G7244" s="22" t="s">
        <v>76</v>
      </c>
      <c r="H7244" s="22" t="s">
        <v>10891</v>
      </c>
      <c r="I7244" s="26">
        <v>43692.447916666701</v>
      </c>
      <c r="J7244" s="23" t="str">
        <f>HYPERLINK("https://www.spark-marketing.ru/Card/Person/514248", "МУП ""КШП""")</f>
        <v>МУП "КШП"</v>
      </c>
      <c r="K7244" s="24" t="s">
        <v>7464</v>
      </c>
      <c r="L7244" s="22" t="s">
        <v>10</v>
      </c>
      <c r="M7244" s="28" t="s">
        <v>51</v>
      </c>
      <c r="N7244" s="28" t="s">
        <v>51</v>
      </c>
    </row>
    <row r="7245" spans="1:14" x14ac:dyDescent="0.15">
      <c r="A7245" s="23" t="str">
        <f>HYPERLINK("https://www.spark-marketing.ru/Card/Person/142330", "МО МВД РОССИИ ""СЛОБОДСКОЙ""")</f>
        <v>МО МВД РОССИИ "СЛОБОДСКОЙ"</v>
      </c>
      <c r="B7245" s="24" t="s">
        <v>10855</v>
      </c>
      <c r="C7245" s="25">
        <v>864000</v>
      </c>
      <c r="D7245" s="22" t="s">
        <v>10892</v>
      </c>
      <c r="E7245" s="22" t="s">
        <v>48</v>
      </c>
      <c r="F7245" s="23" t="str">
        <f>HYPERLINK("https://www.spark-marketing.ru/Card/Lot/72807666", "оказание услуг по организации питания лиц, содержащихся в ИВС и комнатах для содержания задержанных лиц (СПСЗЛ) для государственных нужд МО МВД России Слободской» 2020 год.")</f>
        <v>оказание услуг по организации питания лиц, содержащихся в ИВС и комнатах для содержания задержанных лиц (СПСЗЛ) для государственных нужд МО МВД России Слободской» 2020 год.</v>
      </c>
      <c r="G7245" s="22" t="s">
        <v>224</v>
      </c>
      <c r="H7245" s="22" t="s">
        <v>224</v>
      </c>
      <c r="I7245" s="26">
        <v>43692.454317129603</v>
      </c>
      <c r="J7245" s="28" t="s">
        <v>51</v>
      </c>
      <c r="K7245" s="28" t="s">
        <v>51</v>
      </c>
      <c r="L7245" s="28" t="s">
        <v>51</v>
      </c>
      <c r="M7245" s="28" t="s">
        <v>51</v>
      </c>
      <c r="N7245" s="28" t="s">
        <v>51</v>
      </c>
    </row>
    <row r="7246" spans="1:14" ht="12.75" hidden="1" outlineLevel="1" x14ac:dyDescent="0.2">
      <c r="A7246" s="23" t="str">
        <f>HYPERLINK("https://www.spark-marketing.ru/Card/Person/142330", "МО МВД РОССИИ ""СЛОБОДСКОЙ""")</f>
        <v>МО МВД РОССИИ "СЛОБОДСКОЙ"</v>
      </c>
      <c r="B7246" s="24" t="s">
        <v>10855</v>
      </c>
      <c r="C7246" s="25">
        <v>864000</v>
      </c>
      <c r="D7246" s="22" t="s">
        <v>10892</v>
      </c>
      <c r="E7246" s="22" t="s">
        <v>48</v>
      </c>
      <c r="F7246" s="23" t="str">
        <f>HYPERLINK("https://www.spark-marketing.ru/Card/Lot/72807666", "оказание услуг по организации питания лиц, содержащихся в ИВС и комнатах для содержания задержанных лиц (СПСЗЛ) для государственных нужд МО МВД России Слободской» 2020 год.")</f>
        <v>оказание услуг по организации питания лиц, содержащихся в ИВС и комнатах для содержания задержанных лиц (СПСЗЛ) для государственных нужд МО МВД России Слободской» 2020 год.</v>
      </c>
      <c r="G7246" s="22" t="s">
        <v>224</v>
      </c>
      <c r="H7246" s="22" t="s">
        <v>224</v>
      </c>
      <c r="I7246" s="26">
        <v>43692.454317129603</v>
      </c>
      <c r="J7246" s="23" t="str">
        <f>HYPERLINK("https://www.spark-marketing.ru/Card/Person/1226199", "ООО ""ТРАПЕЗА""")</f>
        <v>ООО "ТРАПЕЗА"</v>
      </c>
      <c r="K7246" s="24" t="s">
        <v>10893</v>
      </c>
      <c r="L7246" s="22" t="s">
        <v>10</v>
      </c>
      <c r="M7246" s="25">
        <v>725760</v>
      </c>
      <c r="N7246" s="27">
        <v>0.16</v>
      </c>
    </row>
    <row r="7247" spans="1:14" hidden="1" outlineLevel="1" x14ac:dyDescent="0.2">
      <c r="A7247" s="23" t="str">
        <f>HYPERLINK("https://www.spark-marketing.ru/Card/Person/142330", "МО МВД РОССИИ ""СЛОБОДСКОЙ""")</f>
        <v>МО МВД РОССИИ "СЛОБОДСКОЙ"</v>
      </c>
      <c r="B7247" s="24" t="s">
        <v>10855</v>
      </c>
      <c r="C7247" s="25">
        <v>864000</v>
      </c>
      <c r="D7247" s="22" t="s">
        <v>10892</v>
      </c>
      <c r="E7247" s="22" t="s">
        <v>48</v>
      </c>
      <c r="F7247" s="23" t="str">
        <f>HYPERLINK("https://www.spark-marketing.ru/Card/Lot/72807666", "оказание услуг по организации питания лиц, содержащихся в ИВС и комнатах для содержания задержанных лиц (СПСЗЛ) для государственных нужд МО МВД России Слободской» 2020 год.")</f>
        <v>оказание услуг по организации питания лиц, содержащихся в ИВС и комнатах для содержания задержанных лиц (СПСЗЛ) для государственных нужд МО МВД России Слободской» 2020 год.</v>
      </c>
      <c r="G7247" s="22" t="s">
        <v>224</v>
      </c>
      <c r="H7247" s="22" t="s">
        <v>224</v>
      </c>
      <c r="I7247" s="26">
        <v>43692.454317129603</v>
      </c>
      <c r="J7247" s="23" t="str">
        <f>HYPERLINK("https://www.spark-marketing.ru/Card/Person/1226127", "ООО ""АВРОРА""")</f>
        <v>ООО "АВРОРА"</v>
      </c>
      <c r="K7247" s="24" t="s">
        <v>10857</v>
      </c>
      <c r="L7247" s="28" t="s">
        <v>51</v>
      </c>
      <c r="M7247" s="25">
        <v>730080</v>
      </c>
      <c r="N7247" s="27">
        <v>0.155</v>
      </c>
    </row>
    <row r="7248" spans="1:14" x14ac:dyDescent="0.15">
      <c r="A7248" s="23" t="str">
        <f>HYPERLINK("https://www.spark-marketing.ru/Card/Person/344681", "МУ МВД РОССИИ ПО ЗАТО САРОВ")</f>
        <v>МУ МВД РОССИИ ПО ЗАТО САРОВ</v>
      </c>
      <c r="B7248" s="24" t="s">
        <v>10889</v>
      </c>
      <c r="C7248" s="25">
        <v>1400000</v>
      </c>
      <c r="D7248" s="22" t="s">
        <v>10894</v>
      </c>
      <c r="E7248" s="22" t="s">
        <v>48</v>
      </c>
      <c r="F7248" s="23" t="str">
        <f>HYPERLINK("https://www.spark-marketing.ru/Card/Lot/72810213", "услуги по обеспечению питанием")</f>
        <v>услуги по обеспечению питанием</v>
      </c>
      <c r="G7248" s="22" t="s">
        <v>76</v>
      </c>
      <c r="H7248" s="22" t="s">
        <v>10891</v>
      </c>
      <c r="I7248" s="26">
        <v>43691.732210648202</v>
      </c>
      <c r="J7248" s="23" t="str">
        <f>HYPERLINK("https://www.spark-marketing.ru/Card/Person/514248", "МУП ""КШП""")</f>
        <v>МУП "КШП"</v>
      </c>
      <c r="K7248" s="24" t="s">
        <v>7464</v>
      </c>
      <c r="L7248" s="22" t="s">
        <v>10</v>
      </c>
      <c r="M7248" s="28" t="s">
        <v>51</v>
      </c>
      <c r="N7248" s="28" t="s">
        <v>51</v>
      </c>
    </row>
    <row r="7249" spans="1:14" x14ac:dyDescent="0.15">
      <c r="A7249" s="23" t="str">
        <f>HYPERLINK("https://www.spark-marketing.ru/Card/Person/999511", "ОМВД РОССИИ ПО ЛИХОСЛАВЛЬСКОМУ РАЙОНУ")</f>
        <v>ОМВД РОССИИ ПО ЛИХОСЛАВЛЬСКОМУ РАЙОНУ</v>
      </c>
      <c r="B7249" s="24" t="s">
        <v>10895</v>
      </c>
      <c r="C7249" s="25">
        <v>435870</v>
      </c>
      <c r="D7249" s="22" t="s">
        <v>10896</v>
      </c>
      <c r="E7249" s="22" t="s">
        <v>48</v>
      </c>
      <c r="F7249" s="23" t="str">
        <f>HYPERLINK("https://www.spark-marketing.ru/Card/Lot/72806320", "Услуги по питанию в ИВС")</f>
        <v>Услуги по питанию в ИВС</v>
      </c>
      <c r="G7249" s="22" t="s">
        <v>137</v>
      </c>
      <c r="H7249" s="22" t="s">
        <v>10897</v>
      </c>
      <c r="I7249" s="26">
        <v>43691.637939814798</v>
      </c>
      <c r="J7249" s="23" t="str">
        <f>HYPERLINK("https://www.spark-marketing.ru/Card/Person/5852096", "Беджанян Ева Шахмаловна")</f>
        <v>Беджанян Ева Шахмаловна</v>
      </c>
      <c r="K7249" s="24" t="s">
        <v>10898</v>
      </c>
      <c r="L7249" s="22" t="s">
        <v>10</v>
      </c>
      <c r="M7249" s="28" t="s">
        <v>51</v>
      </c>
      <c r="N7249" s="28" t="s">
        <v>51</v>
      </c>
    </row>
    <row r="7250" spans="1:14" x14ac:dyDescent="0.15">
      <c r="A7250" s="23" t="str">
        <f>HYPERLINK("https://www.spark-marketing.ru/Card/Person/104492", "МУНИЦИПАЛЬНАЯ БЮДЖЕТНАЯ СРЕДНЯЯ ОБЩЕОБРАЗОВАТЕЛЬНАЯ ШКОЛА №37 ГОРОДА ОРЛА")</f>
        <v>МУНИЦИПАЛЬНАЯ БЮДЖЕТНАЯ СРЕДНЯЯ ОБЩЕОБРАЗОВАТЕЛЬНАЯ ШКОЛА №37 ГОРОДА ОРЛА</v>
      </c>
      <c r="B7250" s="24" t="s">
        <v>10899</v>
      </c>
      <c r="C7250" s="25">
        <v>724224</v>
      </c>
      <c r="D7250" s="22" t="s">
        <v>10900</v>
      </c>
      <c r="E7250" s="22" t="s">
        <v>51</v>
      </c>
      <c r="F7250" s="23" t="str">
        <f>HYPERLINK("https://www.spark-marketing.ru/Card/Lot/72806981", "услуги по организации питания, включающее приготовление и поставку готовых блюд")</f>
        <v>услуги по организации питания, включающее приготовление и поставку готовых блюд</v>
      </c>
      <c r="G7250" s="22" t="s">
        <v>1066</v>
      </c>
      <c r="H7250" s="22" t="s">
        <v>2864</v>
      </c>
      <c r="I7250" s="26">
        <v>43691.668402777803</v>
      </c>
      <c r="J7250" s="23" t="str">
        <f>HYPERLINK("https://www.spark-marketing.ru/Card/Person/104389", "ООО ""ВЕСНА - ОРЕЛ""")</f>
        <v>ООО "ВЕСНА - ОРЕЛ"</v>
      </c>
      <c r="K7250" s="24" t="s">
        <v>9246</v>
      </c>
      <c r="L7250" s="22" t="s">
        <v>10</v>
      </c>
      <c r="M7250" s="28" t="s">
        <v>51</v>
      </c>
      <c r="N7250" s="28" t="s">
        <v>51</v>
      </c>
    </row>
    <row r="7251" spans="1:14" x14ac:dyDescent="0.15">
      <c r="A7251" s="23" t="str">
        <f>HYPERLINK("https://www.spark-marketing.ru/Card/Person/579762", "ГАУ ТО ""ОЦПР""")</f>
        <v>ГАУ ТО "ОЦПР"</v>
      </c>
      <c r="B7251" s="24" t="s">
        <v>10901</v>
      </c>
      <c r="C7251" s="28" t="s">
        <v>51</v>
      </c>
      <c r="D7251" s="22" t="s">
        <v>10902</v>
      </c>
      <c r="E7251" s="22" t="s">
        <v>6493</v>
      </c>
      <c r="F7251" s="23" t="str">
        <f>HYPERLINK("https://www.spark-marketing.ru/Card/Lot/72799064", "Поставка продуктов питания(колбаса,сосиски)")</f>
        <v>Поставка продуктов питания(колбаса,сосиски)</v>
      </c>
      <c r="G7251" s="22" t="s">
        <v>766</v>
      </c>
      <c r="H7251" s="22" t="s">
        <v>10903</v>
      </c>
      <c r="I7251" s="26">
        <v>43692.301388888904</v>
      </c>
      <c r="J7251" s="28" t="s">
        <v>51</v>
      </c>
      <c r="K7251" s="28" t="s">
        <v>51</v>
      </c>
      <c r="L7251" s="28" t="s">
        <v>51</v>
      </c>
      <c r="M7251" s="28" t="s">
        <v>51</v>
      </c>
      <c r="N7251" s="28" t="s">
        <v>51</v>
      </c>
    </row>
    <row r="7252" spans="1:14" x14ac:dyDescent="0.15">
      <c r="A7252" s="23" t="str">
        <f>HYPERLINK("https://www.spark-marketing.ru/Card/Person/108406", "ОМВД РОССИИ ПО Г.ГУБКИНСКОМУ")</f>
        <v>ОМВД РОССИИ ПО Г.ГУБКИНСКОМУ</v>
      </c>
      <c r="B7252" s="24" t="s">
        <v>10904</v>
      </c>
      <c r="C7252" s="25">
        <v>650000</v>
      </c>
      <c r="D7252" s="22" t="s">
        <v>10905</v>
      </c>
      <c r="E7252" s="22" t="s">
        <v>48</v>
      </c>
      <c r="F7252" s="23" t="str">
        <f>HYPERLINK("https://www.spark-marketing.ru/Card/Lot/72807031", "Оказание услуг по организации горячего питания лиц, находящихся в ИВС ОМВД России по г.Губкинскому")</f>
        <v>Оказание услуг по организации горячего питания лиц, находящихся в ИВС ОМВД России по г.Губкинскому</v>
      </c>
      <c r="G7252" s="22" t="s">
        <v>1056</v>
      </c>
      <c r="H7252" s="22" t="s">
        <v>10906</v>
      </c>
      <c r="I7252" s="26">
        <v>43691.828125</v>
      </c>
      <c r="J7252" s="23" t="str">
        <f>HYPERLINK("https://www.spark-marketing.ru/Card/Person/1681709", "Вайсеро Евгений Александрович")</f>
        <v>Вайсеро Евгений Александрович</v>
      </c>
      <c r="K7252" s="24" t="s">
        <v>10907</v>
      </c>
      <c r="L7252" s="22" t="s">
        <v>10</v>
      </c>
      <c r="M7252" s="28" t="s">
        <v>51</v>
      </c>
      <c r="N7252" s="28" t="s">
        <v>51</v>
      </c>
    </row>
    <row r="7253" spans="1:14" x14ac:dyDescent="0.15">
      <c r="A7253" s="23" t="str">
        <f>HYPERLINK("https://www.spark-marketing.ru/Card/Person/108406", "ОМВД РОССИИ ПО Г.ГУБКИНСКОМУ")</f>
        <v>ОМВД РОССИИ ПО Г.ГУБКИНСКОМУ</v>
      </c>
      <c r="B7253" s="24" t="s">
        <v>10904</v>
      </c>
      <c r="C7253" s="25">
        <v>650000</v>
      </c>
      <c r="D7253" s="22" t="s">
        <v>10908</v>
      </c>
      <c r="E7253" s="22" t="s">
        <v>48</v>
      </c>
      <c r="F7253" s="23" t="str">
        <f>HYPERLINK("https://www.spark-marketing.ru/Card/Lot/72807032", "Оказание услуг по организации горячего питания лиц, находящихся в ИВС ОМВД России по г.Губкинскому")</f>
        <v>Оказание услуг по организации горячего питания лиц, находящихся в ИВС ОМВД России по г.Губкинскому</v>
      </c>
      <c r="G7253" s="22" t="s">
        <v>1056</v>
      </c>
      <c r="H7253" s="22" t="s">
        <v>10906</v>
      </c>
      <c r="I7253" s="26">
        <v>43691.837361111102</v>
      </c>
      <c r="J7253" s="23" t="str">
        <f>HYPERLINK("https://www.spark-marketing.ru/Card/Person/1681709", "Вайсеро Евгений Александрович")</f>
        <v>Вайсеро Евгений Александрович</v>
      </c>
      <c r="K7253" s="24" t="s">
        <v>10907</v>
      </c>
      <c r="L7253" s="22" t="s">
        <v>10</v>
      </c>
      <c r="M7253" s="28" t="s">
        <v>51</v>
      </c>
      <c r="N7253" s="28" t="s">
        <v>51</v>
      </c>
    </row>
    <row r="7254" spans="1:14" x14ac:dyDescent="0.15">
      <c r="A7254" s="23" t="str">
        <f>HYPERLINK("https://www.spark-marketing.ru/Card/Person/1000543", "МУНИЦИПАЛЬНАЯ БЮДЖЕТНАЯ СРЕДНЯЯ ОБЩЕОБРАЗОВАТЕЛЬНАЯ ШКОЛА № 11 Г. ОРЛА")</f>
        <v>МУНИЦИПАЛЬНАЯ БЮДЖЕТНАЯ СРЕДНЯЯ ОБЩЕОБРАЗОВАТЕЛЬНАЯ ШКОЛА № 11 Г. ОРЛА</v>
      </c>
      <c r="B7254" s="24" t="s">
        <v>10909</v>
      </c>
      <c r="C7254" s="25">
        <v>486264</v>
      </c>
      <c r="D7254" s="22" t="s">
        <v>10910</v>
      </c>
      <c r="E7254" s="22" t="s">
        <v>51</v>
      </c>
      <c r="F7254" s="23" t="str">
        <f>HYPERLINK("https://www.spark-marketing.ru/Card/Lot/72806432",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7254" s="22" t="s">
        <v>1066</v>
      </c>
      <c r="H7254" s="22" t="s">
        <v>2864</v>
      </c>
      <c r="I7254" s="26">
        <v>43691.617372685199</v>
      </c>
      <c r="J7254" s="23" t="str">
        <f>HYPERLINK("https://www.spark-marketing.ru/Card/Person/385389", "ООО ""ОФСАЙД""")</f>
        <v>ООО "ОФСАЙД"</v>
      </c>
      <c r="K7254" s="24" t="s">
        <v>9233</v>
      </c>
      <c r="L7254" s="22" t="s">
        <v>10</v>
      </c>
      <c r="M7254" s="28" t="s">
        <v>51</v>
      </c>
      <c r="N7254" s="28" t="s">
        <v>51</v>
      </c>
    </row>
    <row r="7255" spans="1:14" x14ac:dyDescent="0.15">
      <c r="A7255" s="23" t="str">
        <f>HYPERLINK("https://www.spark-marketing.ru/Card/Person/6399444", "РН УВАТНЕФТ ООО РН УВАТНЕФТЕГАЗ")</f>
        <v>РН УВАТНЕФТ ООО РН УВАТНЕФТЕГАЗ</v>
      </c>
      <c r="B7255" s="28" t="s">
        <v>51</v>
      </c>
      <c r="C7255" s="28" t="s">
        <v>51</v>
      </c>
      <c r="D7255" s="22" t="s">
        <v>10911</v>
      </c>
      <c r="E7255" s="22" t="s">
        <v>362</v>
      </c>
      <c r="F7255" s="23" t="str">
        <f>HYPERLINK("https://www.spark-marketing.ru/Card/Lot/72799580", "Услуги организации общественного питания и буфетного обслуживания работников ООО «РН-Уватнефтегаз» в административно-офисном зданиипо адресу г. Тюмень, ул. Ленина, 67")</f>
        <v>Услуги организации общественного питания и буфетного обслуживания работников ООО «РН-Уватнефтегаз» в административно-офисном зданиипо адресу г. Тюмень, ул. Ленина, 67</v>
      </c>
      <c r="G7255" s="22" t="s">
        <v>51</v>
      </c>
      <c r="H7255" s="22" t="s">
        <v>51</v>
      </c>
      <c r="I7255" s="26">
        <v>43692.402083333298</v>
      </c>
      <c r="J7255" s="28" t="s">
        <v>51</v>
      </c>
      <c r="K7255" s="28" t="s">
        <v>51</v>
      </c>
      <c r="L7255" s="28" t="s">
        <v>51</v>
      </c>
      <c r="M7255" s="28" t="s">
        <v>51</v>
      </c>
      <c r="N7255" s="28" t="s">
        <v>51</v>
      </c>
    </row>
    <row r="7256" spans="1:14" x14ac:dyDescent="0.15">
      <c r="A7256" s="23" t="str">
        <f>HYPERLINK("https://www.spark-marketing.ru/Card/Person/540780", "ОМВД РОССИИ ПО РЯЗАНСКОМУ РАЙОНУ")</f>
        <v>ОМВД РОССИИ ПО РЯЗАНСКОМУ РАЙОНУ</v>
      </c>
      <c r="B7256" s="24" t="s">
        <v>10912</v>
      </c>
      <c r="C7256" s="25">
        <v>10500</v>
      </c>
      <c r="D7256" s="22" t="s">
        <v>10913</v>
      </c>
      <c r="E7256" s="22" t="s">
        <v>96</v>
      </c>
      <c r="F7256" s="23" t="str">
        <f>HYPERLINK("https://www.spark-marketing.ru/Card/Lot/72801134", "Оказание услуг по организации питания (приготовлению и доставке), 35 шт")</f>
        <v>Оказание услуг по организации питания (приготовлению и доставке), 35 шт</v>
      </c>
      <c r="G7256" s="22" t="s">
        <v>1522</v>
      </c>
      <c r="H7256" s="22" t="s">
        <v>1523</v>
      </c>
      <c r="I7256" s="26">
        <v>43692.375127314801</v>
      </c>
      <c r="J7256" s="28" t="s">
        <v>51</v>
      </c>
      <c r="K7256" s="28" t="s">
        <v>51</v>
      </c>
      <c r="L7256" s="28" t="s">
        <v>51</v>
      </c>
      <c r="M7256" s="28" t="s">
        <v>51</v>
      </c>
      <c r="N7256" s="28" t="s">
        <v>51</v>
      </c>
    </row>
    <row r="7257" spans="1:14" x14ac:dyDescent="0.15">
      <c r="A7257" s="23" t="str">
        <f>HYPERLINK("https://www.spark-marketing.ru/Card/Person/1069639", "МУНИЦИПАЛЬНАЯ БЮДЖЕТНАЯ СРЕДНЯЯ ОБЩЕОБРАЗОВАТЕЛЬНАЯ ШКОЛА №3 Г. ОРЛА")</f>
        <v>МУНИЦИПАЛЬНАЯ БЮДЖЕТНАЯ СРЕДНЯЯ ОБЩЕОБРАЗОВАТЕЛЬНАЯ ШКОЛА №3 Г. ОРЛА</v>
      </c>
      <c r="B7257" s="24" t="s">
        <v>10914</v>
      </c>
      <c r="C7257" s="25">
        <v>258720</v>
      </c>
      <c r="D7257" s="22" t="s">
        <v>10915</v>
      </c>
      <c r="E7257" s="22" t="s">
        <v>51</v>
      </c>
      <c r="F7257" s="23" t="str">
        <f>HYPERLINK("https://www.spark-marketing.ru/Card/Lot/72804291",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7257" s="22" t="s">
        <v>1066</v>
      </c>
      <c r="H7257" s="22" t="s">
        <v>2864</v>
      </c>
      <c r="I7257" s="26">
        <v>43691.613726851901</v>
      </c>
      <c r="J7257" s="23" t="str">
        <f>HYPERLINK("https://www.spark-marketing.ru/Card/Person/385389", "ООО ""ОФСАЙД""")</f>
        <v>ООО "ОФСАЙД"</v>
      </c>
      <c r="K7257" s="24" t="s">
        <v>9233</v>
      </c>
      <c r="L7257" s="22" t="s">
        <v>10</v>
      </c>
      <c r="M7257" s="28" t="s">
        <v>51</v>
      </c>
      <c r="N7257" s="28" t="s">
        <v>51</v>
      </c>
    </row>
    <row r="7258" spans="1:14" x14ac:dyDescent="0.15">
      <c r="A7258" s="23" t="str">
        <f>HYPERLINK("https://www.spark-marketing.ru/Card/Person/579762", "ГАУ ТО ""ОЦПР""")</f>
        <v>ГАУ ТО "ОЦПР"</v>
      </c>
      <c r="B7258" s="24" t="s">
        <v>10901</v>
      </c>
      <c r="C7258" s="28" t="s">
        <v>51</v>
      </c>
      <c r="D7258" s="22" t="s">
        <v>10916</v>
      </c>
      <c r="E7258" s="22" t="s">
        <v>1234</v>
      </c>
      <c r="F7258" s="23" t="str">
        <f>HYPERLINK("https://www.spark-marketing.ru/Card/Lot/72798992", "Поставка продуктов питания (молочная продукция)")</f>
        <v>Поставка продуктов питания (молочная продукция)</v>
      </c>
      <c r="G7258" s="22" t="s">
        <v>766</v>
      </c>
      <c r="H7258" s="22" t="s">
        <v>10903</v>
      </c>
      <c r="I7258" s="26">
        <v>43692.284027777801</v>
      </c>
      <c r="J7258" s="28" t="s">
        <v>51</v>
      </c>
      <c r="K7258" s="28" t="s">
        <v>51</v>
      </c>
      <c r="L7258" s="28" t="s">
        <v>51</v>
      </c>
      <c r="M7258" s="28" t="s">
        <v>51</v>
      </c>
      <c r="N7258" s="28" t="s">
        <v>51</v>
      </c>
    </row>
    <row r="7259" spans="1:14" x14ac:dyDescent="0.15">
      <c r="A7259" s="23" t="str">
        <f>HYPERLINK("https://www.spark-marketing.ru/Card/Person/540780", "ОМВД РОССИИ ПО РЯЗАНСКОМУ РАЙОНУ")</f>
        <v>ОМВД РОССИИ ПО РЯЗАНСКОМУ РАЙОНУ</v>
      </c>
      <c r="B7259" s="24" t="s">
        <v>10912</v>
      </c>
      <c r="C7259" s="25">
        <v>10500</v>
      </c>
      <c r="D7259" s="22" t="s">
        <v>10917</v>
      </c>
      <c r="E7259" s="22" t="s">
        <v>96</v>
      </c>
      <c r="F7259" s="23" t="str">
        <f>HYPERLINK("https://www.spark-marketing.ru/Card/Lot/72801122", "Оказание услуг по организации питания (приготовлению и доставке), 35 шт")</f>
        <v>Оказание услуг по организации питания (приготовлению и доставке), 35 шт</v>
      </c>
      <c r="G7259" s="22" t="s">
        <v>1522</v>
      </c>
      <c r="H7259" s="22" t="s">
        <v>1523</v>
      </c>
      <c r="I7259" s="26">
        <v>43692.371296296304</v>
      </c>
      <c r="J7259" s="28" t="s">
        <v>51</v>
      </c>
      <c r="K7259" s="28" t="s">
        <v>51</v>
      </c>
      <c r="L7259" s="28" t="s">
        <v>51</v>
      </c>
      <c r="M7259" s="28" t="s">
        <v>51</v>
      </c>
      <c r="N7259" s="28" t="s">
        <v>51</v>
      </c>
    </row>
    <row r="7260" spans="1:14" x14ac:dyDescent="0.15">
      <c r="A7260" s="23" t="str">
        <f>HYPERLINK("https://www.spark-marketing.ru/Card/Person/999807", "МОУ ""СОШ № 45""")</f>
        <v>МОУ "СОШ № 45"</v>
      </c>
      <c r="B7260" s="24" t="s">
        <v>10918</v>
      </c>
      <c r="C7260" s="25">
        <v>156400</v>
      </c>
      <c r="D7260" s="22" t="s">
        <v>10919</v>
      </c>
      <c r="E7260" s="22" t="s">
        <v>48</v>
      </c>
      <c r="F7260" s="23" t="str">
        <f>HYPERLINK("https://www.spark-marketing.ru/Card/Lot/72802629", "Оказание услуг по организации питания детей из малообеспеченных семей и детей с нарушениями здоровья")</f>
        <v>Оказание услуг по организации питания детей из малообеспеченных семей и детей с нарушениями здоровья</v>
      </c>
      <c r="G7260" s="22" t="s">
        <v>469</v>
      </c>
      <c r="H7260" s="22" t="s">
        <v>5961</v>
      </c>
      <c r="I7260" s="26">
        <v>43692.339583333298</v>
      </c>
      <c r="J7260" s="28" t="s">
        <v>51</v>
      </c>
      <c r="K7260" s="28" t="s">
        <v>51</v>
      </c>
      <c r="L7260" s="28" t="s">
        <v>51</v>
      </c>
      <c r="M7260" s="28" t="s">
        <v>51</v>
      </c>
      <c r="N7260" s="28" t="s">
        <v>51</v>
      </c>
    </row>
    <row r="7261" spans="1:14" x14ac:dyDescent="0.15">
      <c r="A7261" s="23" t="str">
        <f>HYPERLINK("https://www.spark-marketing.ru/Card/Person/109090", "ФГКУ ""НЕВСКИЙ СЦ МЧС РОССИИ""")</f>
        <v>ФГКУ "НЕВСКИЙ СЦ МЧС РОССИИ"</v>
      </c>
      <c r="B7261" s="24" t="s">
        <v>10920</v>
      </c>
      <c r="C7261" s="25">
        <v>427000</v>
      </c>
      <c r="D7261" s="22" t="s">
        <v>10921</v>
      </c>
      <c r="E7261" s="22" t="s">
        <v>48</v>
      </c>
      <c r="F7261" s="23" t="str">
        <f>HYPERLINK("https://www.spark-marketing.ru/Card/Lot/72806492", "Оказание услуг по организации питания личного состава")</f>
        <v>Оказание услуг по организации питания личного состава</v>
      </c>
      <c r="G7261" s="22" t="s">
        <v>117</v>
      </c>
      <c r="H7261" s="22" t="s">
        <v>117</v>
      </c>
      <c r="I7261" s="26">
        <v>43691.894745370402</v>
      </c>
      <c r="J7261" s="28" t="s">
        <v>51</v>
      </c>
      <c r="K7261" s="28" t="s">
        <v>51</v>
      </c>
      <c r="L7261" s="28" t="s">
        <v>51</v>
      </c>
      <c r="M7261" s="28" t="s">
        <v>51</v>
      </c>
      <c r="N7261" s="28" t="s">
        <v>51</v>
      </c>
    </row>
    <row r="7262" spans="1:14" hidden="1" outlineLevel="1" x14ac:dyDescent="0.2">
      <c r="A7262" s="23" t="str">
        <f>HYPERLINK("https://www.spark-marketing.ru/Card/Person/109090", "ФГКУ ""НЕВСКИЙ СЦ МЧС РОССИИ""")</f>
        <v>ФГКУ "НЕВСКИЙ СЦ МЧС РОССИИ"</v>
      </c>
      <c r="B7262" s="24" t="s">
        <v>10920</v>
      </c>
      <c r="C7262" s="25">
        <v>427000</v>
      </c>
      <c r="D7262" s="22" t="s">
        <v>10921</v>
      </c>
      <c r="E7262" s="22" t="s">
        <v>48</v>
      </c>
      <c r="F7262" s="23" t="str">
        <f>HYPERLINK("https://www.spark-marketing.ru/Card/Lot/72806492", "Оказание услуг по организации питания личного состава")</f>
        <v>Оказание услуг по организации питания личного состава</v>
      </c>
      <c r="G7262" s="22" t="s">
        <v>117</v>
      </c>
      <c r="H7262" s="22" t="s">
        <v>117</v>
      </c>
      <c r="I7262" s="26">
        <v>43691.894745370402</v>
      </c>
      <c r="J7262" s="23" t="str">
        <f>HYPERLINK("https://www.spark-marketing.ru/Card/Person/6515876", "ООО ""БЕСТФЕСТ""")</f>
        <v>ООО "БЕСТФЕСТ"</v>
      </c>
      <c r="K7262" s="24" t="s">
        <v>10922</v>
      </c>
      <c r="L7262" s="28" t="s">
        <v>51</v>
      </c>
      <c r="M7262" s="25">
        <v>408580.17</v>
      </c>
      <c r="N7262" s="27">
        <v>4.313777517564403E-2</v>
      </c>
    </row>
    <row r="7263" spans="1:14" ht="12.75" hidden="1" outlineLevel="1" x14ac:dyDescent="0.2">
      <c r="A7263" s="23" t="str">
        <f>HYPERLINK("https://www.spark-marketing.ru/Card/Person/109090", "ФГКУ ""НЕВСКИЙ СЦ МЧС РОССИИ""")</f>
        <v>ФГКУ "НЕВСКИЙ СЦ МЧС РОССИИ"</v>
      </c>
      <c r="B7263" s="24" t="s">
        <v>10920</v>
      </c>
      <c r="C7263" s="25">
        <v>427000</v>
      </c>
      <c r="D7263" s="22" t="s">
        <v>10921</v>
      </c>
      <c r="E7263" s="22" t="s">
        <v>48</v>
      </c>
      <c r="F7263" s="23" t="str">
        <f>HYPERLINK("https://www.spark-marketing.ru/Card/Lot/72806492", "Оказание услуг по организации питания личного состава")</f>
        <v>Оказание услуг по организации питания личного состава</v>
      </c>
      <c r="G7263" s="22" t="s">
        <v>117</v>
      </c>
      <c r="H7263" s="22" t="s">
        <v>117</v>
      </c>
      <c r="I7263" s="26">
        <v>43691.894745370402</v>
      </c>
      <c r="J7263" s="23" t="str">
        <f>HYPERLINK("https://www.spark-marketing.ru/Card/Person/64663", "ООО ""СТК""")</f>
        <v>ООО "СТК"</v>
      </c>
      <c r="K7263" s="24" t="s">
        <v>10923</v>
      </c>
      <c r="L7263" s="22" t="s">
        <v>10</v>
      </c>
      <c r="M7263" s="25">
        <v>395280</v>
      </c>
      <c r="N7263" s="27">
        <v>7.4285714285714288E-2</v>
      </c>
    </row>
    <row r="7264" spans="1:14" hidden="1" outlineLevel="1" x14ac:dyDescent="0.2">
      <c r="A7264" s="23" t="str">
        <f>HYPERLINK("https://www.spark-marketing.ru/Card/Person/109090", "ФГКУ ""НЕВСКИЙ СЦ МЧС РОССИИ""")</f>
        <v>ФГКУ "НЕВСКИЙ СЦ МЧС РОССИИ"</v>
      </c>
      <c r="B7264" s="24" t="s">
        <v>10920</v>
      </c>
      <c r="C7264" s="25">
        <v>427000</v>
      </c>
      <c r="D7264" s="22" t="s">
        <v>10921</v>
      </c>
      <c r="E7264" s="22" t="s">
        <v>48</v>
      </c>
      <c r="F7264" s="23" t="str">
        <f>HYPERLINK("https://www.spark-marketing.ru/Card/Lot/72806492", "Оказание услуг по организации питания личного состава")</f>
        <v>Оказание услуг по организации питания личного состава</v>
      </c>
      <c r="G7264" s="22" t="s">
        <v>117</v>
      </c>
      <c r="H7264" s="22" t="s">
        <v>117</v>
      </c>
      <c r="I7264" s="26">
        <v>43691.894745370402</v>
      </c>
      <c r="J7264" s="23" t="str">
        <f>HYPERLINK("https://www.spark-marketing.ru/Card/Person/6209995", "Хлынцев Геннадий Владимирович")</f>
        <v>Хлынцев Геннадий Владимирович</v>
      </c>
      <c r="K7264" s="24" t="s">
        <v>10924</v>
      </c>
      <c r="L7264" s="28" t="s">
        <v>51</v>
      </c>
      <c r="M7264" s="25">
        <v>420000</v>
      </c>
      <c r="N7264" s="27">
        <v>1.6393442622950821E-2</v>
      </c>
    </row>
    <row r="7265" spans="1:14" x14ac:dyDescent="0.15">
      <c r="A7265" s="23" t="s">
        <v>114</v>
      </c>
      <c r="B7265" s="28" t="s">
        <v>51</v>
      </c>
      <c r="C7265" s="25">
        <v>26083032</v>
      </c>
      <c r="D7265" s="22" t="s">
        <v>10925</v>
      </c>
      <c r="E7265" s="22" t="s">
        <v>48</v>
      </c>
      <c r="F7265" s="23" t="str">
        <f t="shared" ref="F7265:F7273" si="156">HYPERLINK("https://www.spark-marketing.ru/Card/Lot/72811359", "выполнение услуг по организации питания обучающихся")</f>
        <v>выполнение услуг по организации питания обучающихся</v>
      </c>
      <c r="G7265" s="22" t="s">
        <v>51</v>
      </c>
      <c r="H7265" s="22" t="s">
        <v>51</v>
      </c>
      <c r="I7265" s="26">
        <v>43692.596527777801</v>
      </c>
      <c r="J7265" s="28" t="s">
        <v>51</v>
      </c>
      <c r="K7265" s="28" t="s">
        <v>51</v>
      </c>
      <c r="L7265" s="28" t="s">
        <v>51</v>
      </c>
      <c r="M7265" s="28" t="s">
        <v>51</v>
      </c>
      <c r="N7265" s="28" t="s">
        <v>51</v>
      </c>
    </row>
    <row r="7266" spans="1:14" hidden="1" outlineLevel="1" x14ac:dyDescent="0.15">
      <c r="A7266" s="23" t="str">
        <f>HYPERLINK("https://www.spark-marketing.ru/Card/Person/69514", "МОБУ СОШ № 34 ЛГО")</f>
        <v>МОБУ СОШ № 34 ЛГО</v>
      </c>
      <c r="B7266" s="24" t="s">
        <v>10926</v>
      </c>
      <c r="C7266" s="25">
        <v>4021588</v>
      </c>
      <c r="D7266" s="22" t="s">
        <v>10925</v>
      </c>
      <c r="E7266" s="22" t="s">
        <v>48</v>
      </c>
      <c r="F7266" s="23" t="str">
        <f t="shared" si="156"/>
        <v>выполнение услуг по организации питания обучающихся</v>
      </c>
      <c r="G7266" s="22" t="s">
        <v>543</v>
      </c>
      <c r="H7266" s="22" t="s">
        <v>10927</v>
      </c>
      <c r="I7266" s="26">
        <v>43692.596527777801</v>
      </c>
      <c r="J7266" s="28" t="s">
        <v>51</v>
      </c>
      <c r="K7266" s="28" t="s">
        <v>51</v>
      </c>
      <c r="L7266" s="28" t="s">
        <v>51</v>
      </c>
      <c r="M7266" s="28" t="s">
        <v>51</v>
      </c>
      <c r="N7266" s="28" t="s">
        <v>51</v>
      </c>
    </row>
    <row r="7267" spans="1:14" hidden="1" outlineLevel="1" x14ac:dyDescent="0.15">
      <c r="A7267" s="23" t="str">
        <f>HYPERLINK("https://www.spark-marketing.ru/Card/Person/73946", "МОБУ СОШ № 1 ЛГО")</f>
        <v>МОБУ СОШ № 1 ЛГО</v>
      </c>
      <c r="B7267" s="24" t="s">
        <v>10928</v>
      </c>
      <c r="C7267" s="25">
        <v>3655340</v>
      </c>
      <c r="D7267" s="22" t="s">
        <v>10925</v>
      </c>
      <c r="E7267" s="22" t="s">
        <v>48</v>
      </c>
      <c r="F7267" s="23" t="str">
        <f t="shared" si="156"/>
        <v>выполнение услуг по организации питания обучающихся</v>
      </c>
      <c r="G7267" s="22" t="s">
        <v>543</v>
      </c>
      <c r="H7267" s="22" t="s">
        <v>10927</v>
      </c>
      <c r="I7267" s="26">
        <v>43692.596527777801</v>
      </c>
      <c r="J7267" s="28" t="s">
        <v>51</v>
      </c>
      <c r="K7267" s="28" t="s">
        <v>51</v>
      </c>
      <c r="L7267" s="28" t="s">
        <v>51</v>
      </c>
      <c r="M7267" s="28" t="s">
        <v>51</v>
      </c>
      <c r="N7267" s="28" t="s">
        <v>51</v>
      </c>
    </row>
    <row r="7268" spans="1:14" hidden="1" outlineLevel="1" x14ac:dyDescent="0.15">
      <c r="A7268" s="23" t="str">
        <f>HYPERLINK("https://www.spark-marketing.ru/Card/Person/74073", "МОБУ СОШ № 2 ЛГО")</f>
        <v>МОБУ СОШ № 2 ЛГО</v>
      </c>
      <c r="B7268" s="24" t="s">
        <v>10929</v>
      </c>
      <c r="C7268" s="25">
        <v>1971864</v>
      </c>
      <c r="D7268" s="22" t="s">
        <v>10925</v>
      </c>
      <c r="E7268" s="22" t="s">
        <v>48</v>
      </c>
      <c r="F7268" s="23" t="str">
        <f t="shared" si="156"/>
        <v>выполнение услуг по организации питания обучающихся</v>
      </c>
      <c r="G7268" s="22" t="s">
        <v>543</v>
      </c>
      <c r="H7268" s="22" t="s">
        <v>10927</v>
      </c>
      <c r="I7268" s="26">
        <v>43692.596527777801</v>
      </c>
      <c r="J7268" s="28" t="s">
        <v>51</v>
      </c>
      <c r="K7268" s="28" t="s">
        <v>51</v>
      </c>
      <c r="L7268" s="28" t="s">
        <v>51</v>
      </c>
      <c r="M7268" s="28" t="s">
        <v>51</v>
      </c>
      <c r="N7268" s="28" t="s">
        <v>51</v>
      </c>
    </row>
    <row r="7269" spans="1:14" hidden="1" outlineLevel="1" x14ac:dyDescent="0.15">
      <c r="A7269" s="23" t="str">
        <f>HYPERLINK("https://www.spark-marketing.ru/Card/Person/74183", "МОБУ СОШ № 5ЛГО")</f>
        <v>МОБУ СОШ № 5ЛГО</v>
      </c>
      <c r="B7269" s="24" t="s">
        <v>10930</v>
      </c>
      <c r="C7269" s="25">
        <v>5804752</v>
      </c>
      <c r="D7269" s="22" t="s">
        <v>10925</v>
      </c>
      <c r="E7269" s="22" t="s">
        <v>48</v>
      </c>
      <c r="F7269" s="23" t="str">
        <f t="shared" si="156"/>
        <v>выполнение услуг по организации питания обучающихся</v>
      </c>
      <c r="G7269" s="22" t="s">
        <v>543</v>
      </c>
      <c r="H7269" s="22" t="s">
        <v>10927</v>
      </c>
      <c r="I7269" s="26">
        <v>43692.596527777801</v>
      </c>
      <c r="J7269" s="28" t="s">
        <v>51</v>
      </c>
      <c r="K7269" s="28" t="s">
        <v>51</v>
      </c>
      <c r="L7269" s="28" t="s">
        <v>51</v>
      </c>
      <c r="M7269" s="28" t="s">
        <v>51</v>
      </c>
      <c r="N7269" s="28" t="s">
        <v>51</v>
      </c>
    </row>
    <row r="7270" spans="1:14" hidden="1" outlineLevel="1" x14ac:dyDescent="0.15">
      <c r="A7270" s="23" t="str">
        <f>HYPERLINK("https://www.spark-marketing.ru/Card/Person/74186", "МОБУ СОШ № 3 ЛГО")</f>
        <v>МОБУ СОШ № 3 ЛГО</v>
      </c>
      <c r="B7270" s="24" t="s">
        <v>10931</v>
      </c>
      <c r="C7270" s="25">
        <v>3605972</v>
      </c>
      <c r="D7270" s="22" t="s">
        <v>10925</v>
      </c>
      <c r="E7270" s="22" t="s">
        <v>48</v>
      </c>
      <c r="F7270" s="23" t="str">
        <f t="shared" si="156"/>
        <v>выполнение услуг по организации питания обучающихся</v>
      </c>
      <c r="G7270" s="22" t="s">
        <v>543</v>
      </c>
      <c r="H7270" s="22" t="s">
        <v>543</v>
      </c>
      <c r="I7270" s="26">
        <v>43692.596527777801</v>
      </c>
      <c r="J7270" s="28" t="s">
        <v>51</v>
      </c>
      <c r="K7270" s="28" t="s">
        <v>51</v>
      </c>
      <c r="L7270" s="28" t="s">
        <v>51</v>
      </c>
      <c r="M7270" s="28" t="s">
        <v>51</v>
      </c>
      <c r="N7270" s="28" t="s">
        <v>51</v>
      </c>
    </row>
    <row r="7271" spans="1:14" hidden="1" outlineLevel="1" x14ac:dyDescent="0.15">
      <c r="A7271" s="23" t="str">
        <f>HYPERLINK("https://www.spark-marketing.ru/Card/Person/74338", "МОБУ ""СОШ № 4 ЛГО""")</f>
        <v>МОБУ "СОШ № 4 ЛГО"</v>
      </c>
      <c r="B7271" s="24" t="s">
        <v>10932</v>
      </c>
      <c r="C7271" s="25">
        <v>3439984</v>
      </c>
      <c r="D7271" s="22" t="s">
        <v>10925</v>
      </c>
      <c r="E7271" s="22" t="s">
        <v>48</v>
      </c>
      <c r="F7271" s="23" t="str">
        <f t="shared" si="156"/>
        <v>выполнение услуг по организации питания обучающихся</v>
      </c>
      <c r="G7271" s="22" t="s">
        <v>543</v>
      </c>
      <c r="H7271" s="22" t="s">
        <v>10927</v>
      </c>
      <c r="I7271" s="26">
        <v>43692.596527777801</v>
      </c>
      <c r="J7271" s="28" t="s">
        <v>51</v>
      </c>
      <c r="K7271" s="28" t="s">
        <v>51</v>
      </c>
      <c r="L7271" s="28" t="s">
        <v>51</v>
      </c>
      <c r="M7271" s="28" t="s">
        <v>51</v>
      </c>
      <c r="N7271" s="28" t="s">
        <v>51</v>
      </c>
    </row>
    <row r="7272" spans="1:14" hidden="1" outlineLevel="1" x14ac:dyDescent="0.15">
      <c r="A7272" s="23" t="str">
        <f>HYPERLINK("https://www.spark-marketing.ru/Card/Person/74374", "МОБУ СОШ № 7 ЛГО")</f>
        <v>МОБУ СОШ № 7 ЛГО</v>
      </c>
      <c r="B7272" s="24" t="s">
        <v>10933</v>
      </c>
      <c r="C7272" s="25">
        <v>2235568</v>
      </c>
      <c r="D7272" s="22" t="s">
        <v>10925</v>
      </c>
      <c r="E7272" s="22" t="s">
        <v>48</v>
      </c>
      <c r="F7272" s="23" t="str">
        <f t="shared" si="156"/>
        <v>выполнение услуг по организации питания обучающихся</v>
      </c>
      <c r="G7272" s="22" t="s">
        <v>543</v>
      </c>
      <c r="H7272" s="22" t="s">
        <v>10927</v>
      </c>
      <c r="I7272" s="26">
        <v>43692.596527777801</v>
      </c>
      <c r="J7272" s="28" t="s">
        <v>51</v>
      </c>
      <c r="K7272" s="28" t="s">
        <v>51</v>
      </c>
      <c r="L7272" s="28" t="s">
        <v>51</v>
      </c>
      <c r="M7272" s="28" t="s">
        <v>51</v>
      </c>
      <c r="N7272" s="28" t="s">
        <v>51</v>
      </c>
    </row>
    <row r="7273" spans="1:14" hidden="1" outlineLevel="1" x14ac:dyDescent="0.15">
      <c r="A7273" s="23" t="str">
        <f>HYPERLINK("https://www.spark-marketing.ru/Card/Person/74568", "МОБУ СОШ №156 ЛГО")</f>
        <v>МОБУ СОШ №156 ЛГО</v>
      </c>
      <c r="B7273" s="24" t="s">
        <v>10934</v>
      </c>
      <c r="C7273" s="25">
        <v>1347964</v>
      </c>
      <c r="D7273" s="22" t="s">
        <v>10925</v>
      </c>
      <c r="E7273" s="22" t="s">
        <v>48</v>
      </c>
      <c r="F7273" s="23" t="str">
        <f t="shared" si="156"/>
        <v>выполнение услуг по организации питания обучающихся</v>
      </c>
      <c r="G7273" s="22" t="s">
        <v>543</v>
      </c>
      <c r="H7273" s="22" t="s">
        <v>10927</v>
      </c>
      <c r="I7273" s="26">
        <v>43692.596527777801</v>
      </c>
      <c r="J7273" s="28" t="s">
        <v>51</v>
      </c>
      <c r="K7273" s="28" t="s">
        <v>51</v>
      </c>
      <c r="L7273" s="28" t="s">
        <v>51</v>
      </c>
      <c r="M7273" s="28" t="s">
        <v>51</v>
      </c>
      <c r="N7273" s="28" t="s">
        <v>51</v>
      </c>
    </row>
    <row r="7274" spans="1:14" x14ac:dyDescent="0.15">
      <c r="A7274" s="23" t="str">
        <f>HYPERLINK("https://www.spark-marketing.ru/Card/Person/36686", "БУ ""СОВЕТСКИЙ ПОЛИТЕХНИЧЕСКИЙ КОЛЛЕДЖ""")</f>
        <v>БУ "СОВЕТСКИЙ ПОЛИТЕХНИЧЕСКИЙ КОЛЛЕДЖ"</v>
      </c>
      <c r="B7274" s="24" t="s">
        <v>10935</v>
      </c>
      <c r="C7274" s="25">
        <v>241508.67</v>
      </c>
      <c r="D7274" s="22" t="s">
        <v>10936</v>
      </c>
      <c r="E7274" s="22" t="s">
        <v>809</v>
      </c>
      <c r="F7274" s="23" t="str">
        <f>HYPERLINK("https://www.spark-marketing.ru/Card/Lot/72805414", "Поставка оборудования с целью повышения уровня доступности объектов и услуг для лиц с ограниченными возможностями здоровья")</f>
        <v>Поставка оборудования с целью повышения уровня доступности объектов и услуг для лиц с ограниченными возможностями здоровья</v>
      </c>
      <c r="G7274" s="22" t="s">
        <v>97</v>
      </c>
      <c r="H7274" s="22" t="s">
        <v>97</v>
      </c>
      <c r="I7274" s="26">
        <v>43692.392673611103</v>
      </c>
      <c r="J7274" s="28" t="s">
        <v>51</v>
      </c>
      <c r="K7274" s="28" t="s">
        <v>51</v>
      </c>
      <c r="L7274" s="28" t="s">
        <v>51</v>
      </c>
      <c r="M7274" s="28" t="s">
        <v>51</v>
      </c>
      <c r="N7274" s="28" t="s">
        <v>51</v>
      </c>
    </row>
    <row r="7275" spans="1:14" ht="12.75" hidden="1" outlineLevel="1" x14ac:dyDescent="0.2">
      <c r="A7275" s="23" t="str">
        <f>HYPERLINK("https://www.spark-marketing.ru/Card/Person/36686", "БУ ""СОВЕТСКИЙ ПОЛИТЕХНИЧЕСКИЙ КОЛЛЕДЖ""")</f>
        <v>БУ "СОВЕТСКИЙ ПОЛИТЕХНИЧЕСКИЙ КОЛЛЕДЖ"</v>
      </c>
      <c r="B7275" s="24" t="s">
        <v>10935</v>
      </c>
      <c r="C7275" s="25">
        <v>241508.67</v>
      </c>
      <c r="D7275" s="22" t="s">
        <v>10936</v>
      </c>
      <c r="E7275" s="22" t="s">
        <v>809</v>
      </c>
      <c r="F7275" s="23" t="str">
        <f>HYPERLINK("https://www.spark-marketing.ru/Card/Lot/72805414", "Поставка оборудования с целью повышения уровня доступности объектов и услуг для лиц с ограниченными возможностями здоровья")</f>
        <v>Поставка оборудования с целью повышения уровня доступности объектов и услуг для лиц с ограниченными возможностями здоровья</v>
      </c>
      <c r="G7275" s="22" t="s">
        <v>97</v>
      </c>
      <c r="H7275" s="22" t="s">
        <v>97</v>
      </c>
      <c r="I7275" s="26">
        <v>43692.392673611103</v>
      </c>
      <c r="J7275" s="23" t="str">
        <f>HYPERLINK("https://www.spark-marketing.ru/Card/Person/4859467", "ООО ""ВИТРОКОММЕРЦ""")</f>
        <v>ООО "ВИТРОКОММЕРЦ"</v>
      </c>
      <c r="K7275" s="24" t="s">
        <v>10937</v>
      </c>
      <c r="L7275" s="22" t="s">
        <v>10</v>
      </c>
      <c r="M7275" s="25">
        <v>215000</v>
      </c>
      <c r="N7275" s="27">
        <v>0.10976280892938543</v>
      </c>
    </row>
    <row r="7276" spans="1:14" hidden="1" outlineLevel="1" x14ac:dyDescent="0.2">
      <c r="A7276" s="23" t="str">
        <f>HYPERLINK("https://www.spark-marketing.ru/Card/Person/36686", "БУ ""СОВЕТСКИЙ ПОЛИТЕХНИЧЕСКИЙ КОЛЛЕДЖ""")</f>
        <v>БУ "СОВЕТСКИЙ ПОЛИТЕХНИЧЕСКИЙ КОЛЛЕДЖ"</v>
      </c>
      <c r="B7276" s="24" t="s">
        <v>10935</v>
      </c>
      <c r="C7276" s="25">
        <v>241508.67</v>
      </c>
      <c r="D7276" s="22" t="s">
        <v>10936</v>
      </c>
      <c r="E7276" s="22" t="s">
        <v>809</v>
      </c>
      <c r="F7276" s="23" t="str">
        <f>HYPERLINK("https://www.spark-marketing.ru/Card/Lot/72805414", "Поставка оборудования с целью повышения уровня доступности объектов и услуг для лиц с ограниченными возможностями здоровья")</f>
        <v>Поставка оборудования с целью повышения уровня доступности объектов и услуг для лиц с ограниченными возможностями здоровья</v>
      </c>
      <c r="G7276" s="22" t="s">
        <v>97</v>
      </c>
      <c r="H7276" s="22" t="s">
        <v>97</v>
      </c>
      <c r="I7276" s="26">
        <v>43692.392673611103</v>
      </c>
      <c r="J7276" s="23" t="str">
        <f>HYPERLINK("https://www.spark-marketing.ru/Card/Person/6058940", "Предеин Михаил Александрович")</f>
        <v>Предеин Михаил Александрович</v>
      </c>
      <c r="K7276" s="24" t="s">
        <v>10938</v>
      </c>
      <c r="L7276" s="28" t="s">
        <v>51</v>
      </c>
      <c r="M7276" s="25">
        <v>224000</v>
      </c>
      <c r="N7276" s="27">
        <v>7.2497066047359712E-2</v>
      </c>
    </row>
    <row r="7277" spans="1:14" x14ac:dyDescent="0.15">
      <c r="A7277" s="23" t="str">
        <f>HYPERLINK("https://www.spark-marketing.ru/Card/Person/122536", "МОУ ""СОШ № 24""")</f>
        <v>МОУ "СОШ № 24"</v>
      </c>
      <c r="B7277" s="24" t="s">
        <v>10939</v>
      </c>
      <c r="C7277" s="25">
        <v>120088</v>
      </c>
      <c r="D7277" s="22" t="s">
        <v>10940</v>
      </c>
      <c r="E7277" s="22" t="s">
        <v>48</v>
      </c>
      <c r="F7277" s="23" t="str">
        <f>HYPERLINK("https://www.spark-marketing.ru/Card/Lot/72802775", "Оказание услуг по организации питания детей из малообеспеченных семей и детей с нарушениями здоровья")</f>
        <v>Оказание услуг по организации питания детей из малообеспеченных семей и детей с нарушениями здоровья</v>
      </c>
      <c r="G7277" s="22" t="s">
        <v>469</v>
      </c>
      <c r="H7277" s="22" t="s">
        <v>5961</v>
      </c>
      <c r="I7277" s="26">
        <v>43692.315277777801</v>
      </c>
      <c r="J7277" s="28" t="s">
        <v>51</v>
      </c>
      <c r="K7277" s="28" t="s">
        <v>51</v>
      </c>
      <c r="L7277" s="28" t="s">
        <v>51</v>
      </c>
      <c r="M7277" s="28" t="s">
        <v>51</v>
      </c>
      <c r="N7277" s="28" t="s">
        <v>51</v>
      </c>
    </row>
    <row r="7278" spans="1:14" x14ac:dyDescent="0.15">
      <c r="A7278" s="23" t="str">
        <f>HYPERLINK("https://www.spark-marketing.ru/Card/Person/103323", "КГБПОУ ""АЛТАЙСКИЙ ПОЛИТЕХНИЧЕСКИЙ ТЕХНИКУМ""")</f>
        <v>КГБПОУ "АЛТАЙСКИЙ ПОЛИТЕХНИЧЕСКИЙ ТЕХНИКУМ"</v>
      </c>
      <c r="B7278" s="24" t="s">
        <v>10348</v>
      </c>
      <c r="C7278" s="25">
        <v>17500</v>
      </c>
      <c r="D7278" s="22" t="s">
        <v>10941</v>
      </c>
      <c r="E7278" s="22" t="s">
        <v>10298</v>
      </c>
      <c r="F7278" s="23" t="str">
        <f>HYPERLINK("https://www.spark-marketing.ru/Card/Lot/72802790", "(000)Товары, работы или услуги на сумму, не превышающую 100 тыс. руб. (п.4 ч.1 ст.93 Федерального закона №44-ФЗ)")</f>
        <v>(000)Товары, работы или услуги на сумму, не превышающую 100 тыс. руб. (п.4 ч.1 ст.93 Федерального закона №44-ФЗ)</v>
      </c>
      <c r="G7278" s="22" t="s">
        <v>63</v>
      </c>
      <c r="H7278" s="22" t="s">
        <v>177</v>
      </c>
      <c r="I7278" s="26">
        <v>43692.322916666701</v>
      </c>
      <c r="J7278" s="28" t="s">
        <v>51</v>
      </c>
      <c r="K7278" s="28" t="s">
        <v>51</v>
      </c>
      <c r="L7278" s="28" t="s">
        <v>51</v>
      </c>
      <c r="M7278" s="28" t="s">
        <v>51</v>
      </c>
      <c r="N7278" s="28" t="s">
        <v>51</v>
      </c>
    </row>
    <row r="7279" spans="1:14" x14ac:dyDescent="0.15">
      <c r="A7279" s="23" t="str">
        <f>HYPERLINK("https://www.spark-marketing.ru/Card/Person/103323", "КГБПОУ ""АЛТАЙСКИЙ ПОЛИТЕХНИЧЕСКИЙ ТЕХНИКУМ""")</f>
        <v>КГБПОУ "АЛТАЙСКИЙ ПОЛИТЕХНИЧЕСКИЙ ТЕХНИКУМ"</v>
      </c>
      <c r="B7279" s="24" t="s">
        <v>10348</v>
      </c>
      <c r="C7279" s="25">
        <v>221200</v>
      </c>
      <c r="D7279" s="22" t="s">
        <v>10942</v>
      </c>
      <c r="E7279" s="22" t="s">
        <v>976</v>
      </c>
      <c r="F7279" s="23" t="str">
        <f>HYPERLINK("https://www.spark-marketing.ru/Card/Lot/72802564",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7279" s="22" t="s">
        <v>63</v>
      </c>
      <c r="H7279" s="22" t="s">
        <v>177</v>
      </c>
      <c r="I7279" s="26">
        <v>43692.305555555598</v>
      </c>
      <c r="J7279" s="28" t="s">
        <v>51</v>
      </c>
      <c r="K7279" s="28" t="s">
        <v>51</v>
      </c>
      <c r="L7279" s="28" t="s">
        <v>51</v>
      </c>
      <c r="M7279" s="28" t="s">
        <v>51</v>
      </c>
      <c r="N7279" s="28" t="s">
        <v>51</v>
      </c>
    </row>
    <row r="7280" spans="1:14" x14ac:dyDescent="0.15">
      <c r="A7280" s="23" t="str">
        <f>HYPERLINK("https://www.spark-marketing.ru/Card/Person/103323", "КГБПОУ ""АЛТАЙСКИЙ ПОЛИТЕХНИЧЕСКИЙ ТЕХНИКУМ""")</f>
        <v>КГБПОУ "АЛТАЙСКИЙ ПОЛИТЕХНИЧЕСКИЙ ТЕХНИКУМ"</v>
      </c>
      <c r="B7280" s="24" t="s">
        <v>10348</v>
      </c>
      <c r="C7280" s="25">
        <v>112000</v>
      </c>
      <c r="D7280" s="22" t="s">
        <v>10943</v>
      </c>
      <c r="E7280" s="22" t="s">
        <v>2894</v>
      </c>
      <c r="F7280" s="23" t="str">
        <f>HYPERLINK("https://www.spark-marketing.ru/Card/Lot/72802767",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7280" s="22" t="s">
        <v>63</v>
      </c>
      <c r="H7280" s="22" t="s">
        <v>177</v>
      </c>
      <c r="I7280" s="26">
        <v>43692.311805555597</v>
      </c>
      <c r="J7280" s="28" t="s">
        <v>51</v>
      </c>
      <c r="K7280" s="28" t="s">
        <v>51</v>
      </c>
      <c r="L7280" s="28" t="s">
        <v>51</v>
      </c>
      <c r="M7280" s="28" t="s">
        <v>51</v>
      </c>
      <c r="N7280" s="28" t="s">
        <v>51</v>
      </c>
    </row>
    <row r="7281" spans="1:14" x14ac:dyDescent="0.15">
      <c r="A7281" s="23" t="str">
        <f>HYPERLINK("https://www.spark-marketing.ru/Card/Person/103323", "КГБПОУ ""АЛТАЙСКИЙ ПОЛИТЕХНИЧЕСКИЙ ТЕХНИКУМ""")</f>
        <v>КГБПОУ "АЛТАЙСКИЙ ПОЛИТЕХНИЧЕСКИЙ ТЕХНИКУМ"</v>
      </c>
      <c r="B7281" s="24" t="s">
        <v>10348</v>
      </c>
      <c r="C7281" s="25">
        <v>217752.4</v>
      </c>
      <c r="D7281" s="22" t="s">
        <v>10944</v>
      </c>
      <c r="E7281" s="22" t="s">
        <v>464</v>
      </c>
      <c r="F7281" s="23" t="str">
        <f>HYPERLINK("https://www.spark-marketing.ru/Card/Lot/72802538",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7281" s="22" t="s">
        <v>63</v>
      </c>
      <c r="H7281" s="22" t="s">
        <v>177</v>
      </c>
      <c r="I7281" s="26">
        <v>43692.290972222203</v>
      </c>
      <c r="J7281" s="28" t="s">
        <v>51</v>
      </c>
      <c r="K7281" s="28" t="s">
        <v>51</v>
      </c>
      <c r="L7281" s="28" t="s">
        <v>51</v>
      </c>
      <c r="M7281" s="28" t="s">
        <v>51</v>
      </c>
      <c r="N7281" s="28" t="s">
        <v>51</v>
      </c>
    </row>
    <row r="7282" spans="1:14" x14ac:dyDescent="0.15">
      <c r="A7282" s="23" t="str">
        <f>HYPERLINK("https://www.spark-marketing.ru/Card/Person/103323", "КГБПОУ ""АЛТАЙСКИЙ ПОЛИТЕХНИЧЕСКИЙ ТЕХНИКУМ""")</f>
        <v>КГБПОУ "АЛТАЙСКИЙ ПОЛИТЕХНИЧЕСКИЙ ТЕХНИКУМ"</v>
      </c>
      <c r="B7282" s="24" t="s">
        <v>10348</v>
      </c>
      <c r="C7282" s="25">
        <v>16045</v>
      </c>
      <c r="D7282" s="22" t="s">
        <v>10945</v>
      </c>
      <c r="E7282" s="22" t="s">
        <v>595</v>
      </c>
      <c r="F7282" s="23" t="str">
        <f>HYPERLINK("https://www.spark-marketing.ru/Card/Lot/72798936", "(000)Товары, работы или услуги на сумму, не превышающую 100 тыс. руб. (п.4 ч.1 ст.93 Федерального закона №44-ФЗ)")</f>
        <v>(000)Товары, работы или услуги на сумму, не превышающую 100 тыс. руб. (п.4 ч.1 ст.93 Федерального закона №44-ФЗ)</v>
      </c>
      <c r="G7282" s="22" t="s">
        <v>63</v>
      </c>
      <c r="H7282" s="22" t="s">
        <v>177</v>
      </c>
      <c r="I7282" s="26">
        <v>43692.256944444402</v>
      </c>
      <c r="J7282" s="28" t="s">
        <v>51</v>
      </c>
      <c r="K7282" s="28" t="s">
        <v>51</v>
      </c>
      <c r="L7282" s="28" t="s">
        <v>51</v>
      </c>
      <c r="M7282" s="28" t="s">
        <v>51</v>
      </c>
      <c r="N7282" s="28" t="s">
        <v>51</v>
      </c>
    </row>
    <row r="7283" spans="1:14" x14ac:dyDescent="0.15">
      <c r="A7283" s="23" t="str">
        <f>HYPERLINK("https://www.spark-marketing.ru/Card/Person/133569", "МО МВД РОССИИ ""УСТЬ-КУТСКИЙ""")</f>
        <v>МО МВД РОССИИ "УСТЬ-КУТСКИЙ"</v>
      </c>
      <c r="B7283" s="24" t="s">
        <v>3540</v>
      </c>
      <c r="C7283" s="25">
        <v>264000</v>
      </c>
      <c r="D7283" s="22" t="s">
        <v>10946</v>
      </c>
      <c r="E7283" s="22" t="s">
        <v>48</v>
      </c>
      <c r="F7283" s="23" t="str">
        <f>HYPERLINK("https://www.spark-marketing.ru/Card/Lot/72805710", "Прочая закупка товаров, работ и услуг (Оказание услуг по доставке и организации ежедневного трехразового питания лиц подозреваемых и обвиняемых, административно-арестованных лиц, содержащихся в ИВС Межмуниципального отдела Министерства внутренних дел...")</f>
        <v>Прочая закупка товаров, работ и услуг (Оказание услуг по доставке и организации ежедневного трехразового питания лиц подозреваемых и обвиняемых, административно-арестованных лиц, содержащихся в ИВС Межмуниципального отдела Министерства внутренних дел...</v>
      </c>
      <c r="G7283" s="22" t="s">
        <v>263</v>
      </c>
      <c r="H7283" s="22" t="s">
        <v>10947</v>
      </c>
      <c r="I7283" s="26">
        <v>43691.453553240703</v>
      </c>
      <c r="J7283" s="28" t="s">
        <v>51</v>
      </c>
      <c r="K7283" s="28" t="s">
        <v>51</v>
      </c>
      <c r="L7283" s="28" t="s">
        <v>51</v>
      </c>
      <c r="M7283" s="28" t="s">
        <v>51</v>
      </c>
      <c r="N7283" s="28" t="s">
        <v>51</v>
      </c>
    </row>
    <row r="7284" spans="1:14" x14ac:dyDescent="0.15">
      <c r="A7284" s="23" t="str">
        <f>HYPERLINK("https://www.spark-marketing.ru/Card/Person/103323", "КГБПОУ ""АЛТАЙСКИЙ ПОЛИТЕХНИЧЕСКИЙ ТЕХНИКУМ""")</f>
        <v>КГБПОУ "АЛТАЙСКИЙ ПОЛИТЕХНИЧЕСКИЙ ТЕХНИКУМ"</v>
      </c>
      <c r="B7284" s="24" t="s">
        <v>10348</v>
      </c>
      <c r="C7284" s="25">
        <v>73350</v>
      </c>
      <c r="D7284" s="22" t="s">
        <v>10948</v>
      </c>
      <c r="E7284" s="22" t="s">
        <v>10949</v>
      </c>
      <c r="F7284" s="23" t="str">
        <f>HYPERLINK("https://www.spark-marketing.ru/Card/Lot/72798921",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7284" s="22" t="s">
        <v>63</v>
      </c>
      <c r="H7284" s="22" t="s">
        <v>177</v>
      </c>
      <c r="I7284" s="26">
        <v>43692.241666666698</v>
      </c>
      <c r="J7284" s="28" t="s">
        <v>51</v>
      </c>
      <c r="K7284" s="28" t="s">
        <v>51</v>
      </c>
      <c r="L7284" s="28" t="s">
        <v>51</v>
      </c>
      <c r="M7284" s="28" t="s">
        <v>51</v>
      </c>
      <c r="N7284" s="28" t="s">
        <v>51</v>
      </c>
    </row>
    <row r="7285" spans="1:14" x14ac:dyDescent="0.15">
      <c r="A7285" s="23" t="str">
        <f>HYPERLINK("https://www.spark-marketing.ru/Card/Person/133569", "МО МВД РОССИИ ""УСТЬ-КУТСКИЙ""")</f>
        <v>МО МВД РОССИИ "УСТЬ-КУТСКИЙ"</v>
      </c>
      <c r="B7285" s="24" t="s">
        <v>3540</v>
      </c>
      <c r="C7285" s="25">
        <v>264000</v>
      </c>
      <c r="D7285" s="22" t="s">
        <v>10950</v>
      </c>
      <c r="E7285" s="22" t="s">
        <v>48</v>
      </c>
      <c r="F7285" s="23" t="str">
        <f>HYPERLINK("https://www.spark-marketing.ru/Card/Lot/72800518", "Прочая закупка товаров, работ и услуг (Оказание услуг по доставке и организации ежедневного трехразового питания лиц подозреваемых и обвиняемых, административно-арестованных лиц, содержащихся в ИВС Межмуниципального отдела Министерства внутренних дел...")</f>
        <v>Прочая закупка товаров, работ и услуг (Оказание услуг по доставке и организации ежедневного трехразового питания лиц подозреваемых и обвиняемых, административно-арестованных лиц, содержащихся в ИВС Межмуниципального отдела Министерства внутренних дел...</v>
      </c>
      <c r="G7285" s="22" t="s">
        <v>263</v>
      </c>
      <c r="H7285" s="22" t="s">
        <v>10947</v>
      </c>
      <c r="I7285" s="26">
        <v>43691.435486111099</v>
      </c>
      <c r="J7285" s="28" t="s">
        <v>51</v>
      </c>
      <c r="K7285" s="28" t="s">
        <v>51</v>
      </c>
      <c r="L7285" s="28" t="s">
        <v>51</v>
      </c>
      <c r="M7285" s="28" t="s">
        <v>51</v>
      </c>
      <c r="N7285" s="28" t="s">
        <v>51</v>
      </c>
    </row>
    <row r="7286" spans="1:14" x14ac:dyDescent="0.15">
      <c r="A7286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7286" s="24" t="s">
        <v>3255</v>
      </c>
      <c r="C7286" s="25">
        <v>29322</v>
      </c>
      <c r="D7286" s="22" t="s">
        <v>10951</v>
      </c>
      <c r="E7286" s="22" t="s">
        <v>9540</v>
      </c>
      <c r="F7286" s="23" t="str">
        <f>HYPERLINK("https://www.spark-marketing.ru/Card/Lot/72798049", "Поставка лекарственного препарата для медицинского применения ""Тикагрелол""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п...")</f>
        <v>Поставка лекарственного препарата для медицинского применения "Тикагрелол"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</v>
      </c>
      <c r="G7286" s="22" t="s">
        <v>210</v>
      </c>
      <c r="H7286" s="22" t="s">
        <v>3257</v>
      </c>
      <c r="I7286" s="26">
        <v>43692.152083333298</v>
      </c>
      <c r="J7286" s="28" t="s">
        <v>51</v>
      </c>
      <c r="K7286" s="28" t="s">
        <v>51</v>
      </c>
      <c r="L7286" s="28" t="s">
        <v>51</v>
      </c>
      <c r="M7286" s="28" t="s">
        <v>51</v>
      </c>
      <c r="N7286" s="28" t="s">
        <v>51</v>
      </c>
    </row>
    <row r="7287" spans="1:14" x14ac:dyDescent="0.15">
      <c r="A7287" s="23" t="str">
        <f>HYPERLINK("https://www.spark-marketing.ru/Card/Person/50743", "МП ""ДЕТСКОЕ ПИТАНИЕ""")</f>
        <v>МП "ДЕТСКОЕ ПИТАНИЕ"</v>
      </c>
      <c r="B7287" s="24" t="s">
        <v>1562</v>
      </c>
      <c r="C7287" s="25">
        <v>650000</v>
      </c>
      <c r="D7287" s="22" t="s">
        <v>10952</v>
      </c>
      <c r="E7287" s="22" t="s">
        <v>7033</v>
      </c>
      <c r="F7287" s="23" t="str">
        <f>HYPERLINK("https://www.spark-marketing.ru/Card/Lot/72814006", "Поставка тушек цыпленка-бройлера (для оказания услуг по предоставлению питания школьникам).")</f>
        <v>Поставка тушек цыпленка-бройлера (для оказания услуг по предоставлению питания школьникам).</v>
      </c>
      <c r="G7287" s="22" t="s">
        <v>1522</v>
      </c>
      <c r="H7287" s="22" t="s">
        <v>1522</v>
      </c>
      <c r="I7287" s="26">
        <v>43692</v>
      </c>
      <c r="J7287" s="28" t="s">
        <v>51</v>
      </c>
      <c r="K7287" s="28" t="s">
        <v>51</v>
      </c>
      <c r="L7287" s="28" t="s">
        <v>51</v>
      </c>
      <c r="M7287" s="28" t="s">
        <v>51</v>
      </c>
      <c r="N7287" s="28" t="s">
        <v>51</v>
      </c>
    </row>
    <row r="7288" spans="1:14" x14ac:dyDescent="0.15">
      <c r="A7288" s="23" t="str">
        <f>HYPERLINK("https://www.spark-marketing.ru/Card/Person/1479309", "МАОУ ГИМНАЗИЯ №1")</f>
        <v>МАОУ ГИМНАЗИЯ №1</v>
      </c>
      <c r="B7288" s="24" t="s">
        <v>10953</v>
      </c>
      <c r="C7288" s="25">
        <v>160528</v>
      </c>
      <c r="D7288" s="22" t="s">
        <v>10954</v>
      </c>
      <c r="E7288" s="22" t="s">
        <v>362</v>
      </c>
      <c r="F7288" s="23" t="str">
        <f>HYPERLINK("https://www.spark-marketing.ru/Card/Lot/72817231", "Оказание услуг по организации питания")</f>
        <v>Оказание услуг по организации питания</v>
      </c>
      <c r="G7288" s="22" t="s">
        <v>351</v>
      </c>
      <c r="H7288" s="22" t="s">
        <v>351</v>
      </c>
      <c r="I7288" s="26">
        <v>43692</v>
      </c>
      <c r="J7288" s="28" t="s">
        <v>51</v>
      </c>
      <c r="K7288" s="28" t="s">
        <v>51</v>
      </c>
      <c r="L7288" s="28" t="s">
        <v>51</v>
      </c>
      <c r="M7288" s="28" t="s">
        <v>51</v>
      </c>
      <c r="N7288" s="28" t="s">
        <v>51</v>
      </c>
    </row>
    <row r="7289" spans="1:14" x14ac:dyDescent="0.15">
      <c r="A7289" s="23" t="str">
        <f>HYPERLINK("https://www.spark-marketing.ru/Card/Person/50743", "МП ""ДЕТСКОЕ ПИТАНИЕ""")</f>
        <v>МП "ДЕТСКОЕ ПИТАНИЕ"</v>
      </c>
      <c r="B7289" s="24" t="s">
        <v>1562</v>
      </c>
      <c r="C7289" s="25">
        <v>521910</v>
      </c>
      <c r="D7289" s="22" t="s">
        <v>10952</v>
      </c>
      <c r="E7289" s="22" t="s">
        <v>10955</v>
      </c>
      <c r="F7289" s="23" t="str">
        <f>HYPERLINK("https://www.spark-marketing.ru/Card/Lot/72814005", "Поставка филе бедра цыпленка-бройлера (грудка, бедро) (для оказания услуг по предоставлению питания школьникам).")</f>
        <v>Поставка филе бедра цыпленка-бройлера (грудка, бедро) (для оказания услуг по предоставлению питания школьникам).</v>
      </c>
      <c r="G7289" s="22" t="s">
        <v>1522</v>
      </c>
      <c r="H7289" s="22" t="s">
        <v>1522</v>
      </c>
      <c r="I7289" s="26">
        <v>43692</v>
      </c>
      <c r="J7289" s="28" t="s">
        <v>51</v>
      </c>
      <c r="K7289" s="28" t="s">
        <v>51</v>
      </c>
      <c r="L7289" s="28" t="s">
        <v>51</v>
      </c>
      <c r="M7289" s="28" t="s">
        <v>51</v>
      </c>
      <c r="N7289" s="28" t="s">
        <v>51</v>
      </c>
    </row>
    <row r="7290" spans="1:14" x14ac:dyDescent="0.15">
      <c r="A7290" s="23" t="str">
        <f>HYPERLINK("https://www.spark-marketing.ru/Card/Person/1575800", "СОШ № 29")</f>
        <v>СОШ № 29</v>
      </c>
      <c r="B7290" s="24" t="s">
        <v>10956</v>
      </c>
      <c r="C7290" s="25">
        <v>1236300</v>
      </c>
      <c r="D7290" s="22" t="s">
        <v>10957</v>
      </c>
      <c r="E7290" s="22" t="s">
        <v>362</v>
      </c>
      <c r="F7290" s="23" t="str">
        <f>HYPERLINK("https://www.spark-marketing.ru/Card/Lot/72981492", "оказание услуг по организации горячего питания обучающихся")</f>
        <v>оказание услуг по организации горячего питания обучающихся</v>
      </c>
      <c r="G7290" s="22" t="s">
        <v>185</v>
      </c>
      <c r="H7290" s="22" t="s">
        <v>185</v>
      </c>
      <c r="I7290" s="26">
        <v>43700</v>
      </c>
      <c r="J7290" s="28" t="s">
        <v>51</v>
      </c>
      <c r="K7290" s="28" t="s">
        <v>51</v>
      </c>
      <c r="L7290" s="28" t="s">
        <v>51</v>
      </c>
      <c r="M7290" s="28" t="s">
        <v>51</v>
      </c>
      <c r="N7290" s="28" t="s">
        <v>51</v>
      </c>
    </row>
    <row r="7291" spans="1:14" x14ac:dyDescent="0.2">
      <c r="A7291" s="23" t="str">
        <f>HYPERLINK("https://www.spark-marketing.ru/Card/Person/373492", "ФГБНУ ""ОМСКИЙ АНЦ""")</f>
        <v>ФГБНУ "ОМСКИЙ АНЦ"</v>
      </c>
      <c r="B7291" s="24" t="s">
        <v>10958</v>
      </c>
      <c r="C7291" s="25">
        <v>104338.33</v>
      </c>
      <c r="D7291" s="22" t="s">
        <v>10959</v>
      </c>
      <c r="E7291" s="22" t="s">
        <v>362</v>
      </c>
      <c r="F7291" s="23" t="str">
        <f>HYPERLINK("https://www.spark-marketing.ru/Card/Lot/72817182", "Услуги по обеспечению горячим питанием в полевых условиях сотрудников организации")</f>
        <v>Услуги по обеспечению горячим питанием в полевых условиях сотрудников организации</v>
      </c>
      <c r="G7291" s="22" t="s">
        <v>487</v>
      </c>
      <c r="H7291" s="22" t="s">
        <v>487</v>
      </c>
      <c r="I7291" s="26">
        <v>43692</v>
      </c>
      <c r="J7291" s="28" t="s">
        <v>51</v>
      </c>
      <c r="K7291" s="28" t="s">
        <v>51</v>
      </c>
      <c r="L7291" s="22" t="s">
        <v>10</v>
      </c>
      <c r="M7291" s="25">
        <v>96360</v>
      </c>
      <c r="N7291" s="27">
        <v>7.6465954553805879E-2</v>
      </c>
    </row>
    <row r="7292" spans="1:14" x14ac:dyDescent="0.2">
      <c r="A7292" s="23" t="str">
        <f>HYPERLINK("https://www.spark-marketing.ru/Card/Person/1284409", "ГОАПОУ ""ЛИСК""")</f>
        <v>ГОАПОУ "ЛИСК"</v>
      </c>
      <c r="B7292" s="24" t="s">
        <v>2646</v>
      </c>
      <c r="C7292" s="25">
        <v>556920</v>
      </c>
      <c r="D7292" s="22" t="s">
        <v>10960</v>
      </c>
      <c r="E7292" s="22" t="s">
        <v>362</v>
      </c>
      <c r="F7292" s="23" t="str">
        <f>HYPERLINK("https://www.spark-marketing.ru/Card/Lot/72810509", "Оказание услуг по обеспечению студентов горячим питанием в 3 квартале 2019 года")</f>
        <v>Оказание услуг по обеспечению студентов горячим питанием в 3 квартале 2019 года</v>
      </c>
      <c r="G7292" s="22" t="s">
        <v>101</v>
      </c>
      <c r="H7292" s="22" t="s">
        <v>101</v>
      </c>
      <c r="I7292" s="26">
        <v>43692</v>
      </c>
      <c r="J7292" s="28" t="s">
        <v>51</v>
      </c>
      <c r="K7292" s="28" t="s">
        <v>51</v>
      </c>
      <c r="L7292" s="28" t="s">
        <v>51</v>
      </c>
      <c r="M7292" s="25">
        <v>556920</v>
      </c>
      <c r="N7292" s="27">
        <v>0</v>
      </c>
    </row>
    <row r="7293" spans="1:14" x14ac:dyDescent="0.2">
      <c r="A7293" s="23" t="str">
        <f>HYPERLINK("https://www.spark-marketing.ru/Card/Person/4348376", "АО ""ЖТК""")</f>
        <v>АО "ЖТК"</v>
      </c>
      <c r="B7293" s="24" t="s">
        <v>2312</v>
      </c>
      <c r="C7293" s="25">
        <v>306280</v>
      </c>
      <c r="D7293" s="22" t="s">
        <v>10961</v>
      </c>
      <c r="E7293" s="22" t="s">
        <v>580</v>
      </c>
      <c r="F7293" s="23" t="str">
        <f>HYPERLINK("https://www.spark-marketing.ru/Card/Lot/72811834", "Поставка продуктов питания на оказание услуг по организации питания пассажиров при задержке поездов более 4-х часов,а также пассажиров,оказавшихся в зоне чрезвычайных ситуаций (Краснодар)")</f>
        <v>Поставка продуктов питания на оказание услуг по организации питания пассажиров при задержке поездов более 4-х часов,а также пассажиров,оказавшихся в зоне чрезвычайных ситуаций (Краснодар)</v>
      </c>
      <c r="G7293" s="22" t="s">
        <v>104</v>
      </c>
      <c r="H7293" s="22" t="s">
        <v>104</v>
      </c>
      <c r="I7293" s="26">
        <v>43692</v>
      </c>
      <c r="J7293" s="28" t="s">
        <v>51</v>
      </c>
      <c r="K7293" s="28" t="s">
        <v>51</v>
      </c>
      <c r="L7293" s="28" t="s">
        <v>51</v>
      </c>
      <c r="M7293" s="25">
        <v>336000</v>
      </c>
      <c r="N7293" s="27">
        <v>-9.7035392451351704E-2</v>
      </c>
    </row>
    <row r="7294" spans="1:14" x14ac:dyDescent="0.15">
      <c r="A7294" s="23" t="str">
        <f>HYPERLINK("https://www.spark-marketing.ru/Card/Person/4351284", "ФГБУ ""ВНИИОКЕАНГЕОЛОГИЯ""")</f>
        <v>ФГБУ "ВНИИОКЕАНГЕОЛОГИЯ"</v>
      </c>
      <c r="B7294" s="24" t="s">
        <v>9297</v>
      </c>
      <c r="C7294" s="25">
        <v>10382028.24</v>
      </c>
      <c r="D7294" s="22" t="s">
        <v>10962</v>
      </c>
      <c r="E7294" s="22" t="s">
        <v>9299</v>
      </c>
      <c r="F7294" s="23" t="str">
        <f>HYPERLINK("https://www.spark-marketing.ru/Card/Lot/72822057", "Оказание услуг по транспортному обслуживанию, обеспечению питанием и прочим сопутствующим расходами на борту НЭС «Михаил Сомов» в район архипелага Северная Земля")</f>
        <v>Оказание услуг по транспортному обслуживанию, обеспечению питанием и прочим сопутствующим расходами на борту НЭС «Михаил Сомов» в район архипелага Северная Земля</v>
      </c>
      <c r="G7294" s="22" t="s">
        <v>214</v>
      </c>
      <c r="H7294" s="22" t="s">
        <v>214</v>
      </c>
      <c r="I7294" s="26">
        <v>43692</v>
      </c>
      <c r="J7294" s="28" t="s">
        <v>51</v>
      </c>
      <c r="K7294" s="28" t="s">
        <v>51</v>
      </c>
      <c r="L7294" s="28" t="s">
        <v>51</v>
      </c>
      <c r="M7294" s="28" t="s">
        <v>51</v>
      </c>
      <c r="N7294" s="28" t="s">
        <v>51</v>
      </c>
    </row>
    <row r="7295" spans="1:14" x14ac:dyDescent="0.15">
      <c r="A7295" s="23" t="str">
        <f>HYPERLINK("https://www.spark-marketing.ru/Card/Person/50743", "МП ""ДЕТСКОЕ ПИТАНИЕ""")</f>
        <v>МП "ДЕТСКОЕ ПИТАНИЕ"</v>
      </c>
      <c r="B7295" s="24" t="s">
        <v>1562</v>
      </c>
      <c r="C7295" s="25">
        <v>1330000</v>
      </c>
      <c r="D7295" s="22" t="s">
        <v>10952</v>
      </c>
      <c r="E7295" s="22" t="s">
        <v>7033</v>
      </c>
      <c r="F7295" s="23" t="str">
        <f>HYPERLINK("https://www.spark-marketing.ru/Card/Lot/72814007", "Поставка мяса цыпленка-бройлера бескостное (для оказания услуг по предоставлению питания школьникам).")</f>
        <v>Поставка мяса цыпленка-бройлера бескостное (для оказания услуг по предоставлению питания школьникам).</v>
      </c>
      <c r="G7295" s="22" t="s">
        <v>1522</v>
      </c>
      <c r="H7295" s="22" t="s">
        <v>1522</v>
      </c>
      <c r="I7295" s="26">
        <v>43692</v>
      </c>
      <c r="J7295" s="28" t="s">
        <v>51</v>
      </c>
      <c r="K7295" s="28" t="s">
        <v>51</v>
      </c>
      <c r="L7295" s="28" t="s">
        <v>51</v>
      </c>
      <c r="M7295" s="28" t="s">
        <v>51</v>
      </c>
      <c r="N7295" s="28" t="s">
        <v>51</v>
      </c>
    </row>
    <row r="7296" spans="1:14" x14ac:dyDescent="0.2">
      <c r="A7296" s="23" t="str">
        <f>HYPERLINK("https://www.spark-marketing.ru/Card/Person/811044", "ГАУ СО ""УРФА""")</f>
        <v>ГАУ СО "УРФА"</v>
      </c>
      <c r="B7296" s="24" t="s">
        <v>6460</v>
      </c>
      <c r="C7296" s="25">
        <v>284930</v>
      </c>
      <c r="D7296" s="22" t="s">
        <v>10963</v>
      </c>
      <c r="E7296" s="22" t="s">
        <v>6462</v>
      </c>
      <c r="F7296" s="23" t="str">
        <f>HYPERLINK("https://www.spark-marketing.ru/Card/Lot/72817360", "Оказание услуг по организации проживания и питания футбольной команды в период проведения соревнований по футболу")</f>
        <v>Оказание услуг по организации проживания и питания футбольной команды в период проведения соревнований по футболу</v>
      </c>
      <c r="G7296" s="22" t="s">
        <v>469</v>
      </c>
      <c r="H7296" s="22" t="s">
        <v>469</v>
      </c>
      <c r="I7296" s="26">
        <v>43692</v>
      </c>
      <c r="J7296" s="28" t="s">
        <v>51</v>
      </c>
      <c r="K7296" s="28" t="s">
        <v>51</v>
      </c>
      <c r="L7296" s="22" t="s">
        <v>10</v>
      </c>
      <c r="M7296" s="25">
        <v>284930</v>
      </c>
      <c r="N7296" s="27">
        <v>0</v>
      </c>
    </row>
    <row r="7297" spans="1:14" x14ac:dyDescent="0.15">
      <c r="A7297" s="23" t="str">
        <f>HYPERLINK("https://www.spark-marketing.ru/Card/Person/50743", "МП ""ДЕТСКОЕ ПИТАНИЕ""")</f>
        <v>МП "ДЕТСКОЕ ПИТАНИЕ"</v>
      </c>
      <c r="B7297" s="24" t="s">
        <v>1562</v>
      </c>
      <c r="C7297" s="25">
        <v>140849.28</v>
      </c>
      <c r="D7297" s="22" t="s">
        <v>10964</v>
      </c>
      <c r="E7297" s="22" t="s">
        <v>10965</v>
      </c>
      <c r="F7297" s="23" t="str">
        <f>HYPERLINK("https://www.spark-marketing.ru/Card/Lot/72821192", "Поставка филе минтая мороженное на оказание услуг по предоставлению благотворительного питания гражданам, находящимся в тяжелой жизненной ситуации")</f>
        <v>Поставка филе минтая мороженное на оказание услуг по предоставлению благотворительного питания гражданам, находящимся в тяжелой жизненной ситуации</v>
      </c>
      <c r="G7297" s="22" t="s">
        <v>1522</v>
      </c>
      <c r="H7297" s="22" t="s">
        <v>1522</v>
      </c>
      <c r="I7297" s="26">
        <v>43692</v>
      </c>
      <c r="J7297" s="28" t="s">
        <v>51</v>
      </c>
      <c r="K7297" s="28" t="s">
        <v>51</v>
      </c>
      <c r="L7297" s="28" t="s">
        <v>51</v>
      </c>
      <c r="M7297" s="28" t="s">
        <v>51</v>
      </c>
      <c r="N7297" s="28" t="s">
        <v>51</v>
      </c>
    </row>
    <row r="7298" spans="1:14" x14ac:dyDescent="0.2">
      <c r="A7298" s="23" t="str">
        <f>HYPERLINK("https://www.spark-marketing.ru/Card/Person/763", "ФГБОУ ВО РНИМУ ИМ. Н.И. ПИРОГОВА МИНЗДРАВА РОССИИ")</f>
        <v>ФГБОУ ВО РНИМУ ИМ. Н.И. ПИРОГОВА МИНЗДРАВА РОССИИ</v>
      </c>
      <c r="B7298" s="24" t="s">
        <v>1375</v>
      </c>
      <c r="C7298" s="25">
        <v>200000</v>
      </c>
      <c r="D7298" s="22" t="s">
        <v>10966</v>
      </c>
      <c r="E7298" s="22" t="s">
        <v>1213</v>
      </c>
      <c r="F7298" s="23" t="str">
        <f>HYPERLINK("https://www.spark-marketing.ru/Card/Lot/72805204", "Оказание услуг по обеспечению питанием в учебно-спортивно-оздоровительном комплексе (УСОК) Конаково")</f>
        <v>Оказание услуг по обеспечению питанием в учебно-спортивно-оздоровительном комплексе (УСОК) Конаково</v>
      </c>
      <c r="G7298" s="22" t="s">
        <v>56</v>
      </c>
      <c r="H7298" s="22" t="s">
        <v>56</v>
      </c>
      <c r="I7298" s="26">
        <v>43692</v>
      </c>
      <c r="J7298" s="28" t="s">
        <v>51</v>
      </c>
      <c r="K7298" s="28" t="s">
        <v>51</v>
      </c>
      <c r="L7298" s="28" t="s">
        <v>51</v>
      </c>
      <c r="M7298" s="25">
        <v>200000</v>
      </c>
      <c r="N7298" s="27">
        <v>0</v>
      </c>
    </row>
    <row r="7299" spans="1:14" x14ac:dyDescent="0.2">
      <c r="A7299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7299" s="24" t="s">
        <v>6649</v>
      </c>
      <c r="C7299" s="25">
        <v>2993800</v>
      </c>
      <c r="D7299" s="22" t="s">
        <v>10967</v>
      </c>
      <c r="E7299" s="22" t="s">
        <v>952</v>
      </c>
      <c r="F7299" s="23" t="str">
        <f>HYPERLINK("https://www.spark-marketing.ru/Card/Lot/72806932", "Оказание услуг по организации общественного питания в ФГАУ ""Санаторий ФССП России ""Зелёная долина""")</f>
        <v>Оказание услуг по организации общественного питания в ФГАУ "Санаторий ФССП России "Зелёная долина"</v>
      </c>
      <c r="G7299" s="22" t="s">
        <v>104</v>
      </c>
      <c r="H7299" s="22" t="s">
        <v>104</v>
      </c>
      <c r="I7299" s="26">
        <v>43692</v>
      </c>
      <c r="J7299" s="28" t="s">
        <v>51</v>
      </c>
      <c r="K7299" s="28" t="s">
        <v>51</v>
      </c>
      <c r="L7299" s="22" t="s">
        <v>10</v>
      </c>
      <c r="M7299" s="25">
        <v>2993800</v>
      </c>
      <c r="N7299" s="27">
        <v>0</v>
      </c>
    </row>
    <row r="7300" spans="1:14" x14ac:dyDescent="0.2">
      <c r="A7300" s="23" t="str">
        <f>HYPERLINK("https://www.spark-marketing.ru/Card/Person/4346656", "ФГБУ ""ТЦСКР ""КРЫМСКИЙ""")</f>
        <v>ФГБУ "ТЦСКР "КРЫМСКИЙ"</v>
      </c>
      <c r="B7300" s="24" t="s">
        <v>2225</v>
      </c>
      <c r="C7300" s="25">
        <v>481820</v>
      </c>
      <c r="D7300" s="22" t="s">
        <v>10968</v>
      </c>
      <c r="E7300" s="22" t="s">
        <v>580</v>
      </c>
      <c r="F7300" s="23" t="str">
        <f>HYPERLINK("https://www.spark-marketing.ru/Card/Lot/72815880", "Оказание услуг питания")</f>
        <v>Оказание услуг питания</v>
      </c>
      <c r="G7300" s="22" t="s">
        <v>108</v>
      </c>
      <c r="H7300" s="22" t="s">
        <v>108</v>
      </c>
      <c r="I7300" s="26">
        <v>43692</v>
      </c>
      <c r="J7300" s="28" t="s">
        <v>51</v>
      </c>
      <c r="K7300" s="28" t="s">
        <v>51</v>
      </c>
      <c r="L7300" s="28" t="s">
        <v>51</v>
      </c>
      <c r="M7300" s="25">
        <v>481820</v>
      </c>
      <c r="N7300" s="27">
        <v>0</v>
      </c>
    </row>
    <row r="7301" spans="1:14" x14ac:dyDescent="0.15">
      <c r="A7301" s="23" t="str">
        <f>HYPERLINK("https://www.spark-marketing.ru/Card/Person/1752222", "СПБ ГАУ ""ЦЕНТР ПОДГОТОВКИ""")</f>
        <v>СПБ ГАУ "ЦЕНТР ПОДГОТОВКИ"</v>
      </c>
      <c r="B7301" s="24" t="s">
        <v>9583</v>
      </c>
      <c r="C7301" s="25">
        <v>215600</v>
      </c>
      <c r="D7301" s="22" t="s">
        <v>10969</v>
      </c>
      <c r="E7301" s="22" t="s">
        <v>10970</v>
      </c>
      <c r="F7301" s="23" t="str">
        <f>HYPERLINK("https://www.spark-marketing.ru/Card/Lot/72811884", "Оказание услуг по организации проживания и питания для членов спортивной сборной команды Санкт-Петербурга по конькобежному спорту на тренировочном мероприятии по специальной физической подготовке к этапам Кубка России")</f>
        <v>Оказание услуг по организации проживания и питания для членов спортивной сборной команды Санкт-Петербурга по конькобежному спорту на тренировочном мероприятии по специальной физической подготовке к этапам Кубка России</v>
      </c>
      <c r="G7301" s="22" t="s">
        <v>49</v>
      </c>
      <c r="H7301" s="22" t="s">
        <v>49</v>
      </c>
      <c r="I7301" s="26">
        <v>43692</v>
      </c>
      <c r="J7301" s="28" t="s">
        <v>51</v>
      </c>
      <c r="K7301" s="28" t="s">
        <v>51</v>
      </c>
      <c r="L7301" s="28" t="s">
        <v>51</v>
      </c>
      <c r="M7301" s="28" t="s">
        <v>51</v>
      </c>
      <c r="N7301" s="28" t="s">
        <v>51</v>
      </c>
    </row>
    <row r="7302" spans="1:14" x14ac:dyDescent="0.15">
      <c r="A7302" s="23" t="str">
        <f>HYPERLINK("https://www.spark-marketing.ru/Card/Person/4343585", "ФГБОУ ВО СТГМУ МИНЗДРАВА РОССИИ")</f>
        <v>ФГБОУ ВО СТГМУ МИНЗДРАВА РОССИИ</v>
      </c>
      <c r="B7302" s="24" t="s">
        <v>10971</v>
      </c>
      <c r="C7302" s="25">
        <v>252000</v>
      </c>
      <c r="D7302" s="22" t="s">
        <v>10972</v>
      </c>
      <c r="E7302" s="22" t="s">
        <v>5136</v>
      </c>
      <c r="F7302" s="23" t="str">
        <f>HYPERLINK("https://www.spark-marketing.ru/Card/Lot/72815841", "Оказание услуг по обеспечению 3-х разовым питанием отдыхающих спортивно-оздоровительного лагеря ""Ставрополье"" для нужд СтГМУ.")</f>
        <v>Оказание услуг по обеспечению 3-х разовым питанием отдыхающих спортивно-оздоровительного лагеря "Ставрополье" для нужд СтГМУ.</v>
      </c>
      <c r="G7302" s="22" t="s">
        <v>87</v>
      </c>
      <c r="H7302" s="22" t="s">
        <v>87</v>
      </c>
      <c r="I7302" s="26">
        <v>43692</v>
      </c>
      <c r="J7302" s="28" t="s">
        <v>51</v>
      </c>
      <c r="K7302" s="28" t="s">
        <v>51</v>
      </c>
      <c r="L7302" s="28" t="s">
        <v>51</v>
      </c>
      <c r="M7302" s="28" t="s">
        <v>51</v>
      </c>
      <c r="N7302" s="28" t="s">
        <v>51</v>
      </c>
    </row>
    <row r="7303" spans="1:14" x14ac:dyDescent="0.2">
      <c r="A7303" s="23" t="str">
        <f>HYPERLINK("https://www.spark-marketing.ru/Card/Person/1759969", "МАДОУ ""ДЕТСКИЙ САД № 421 ""ГАРМОНИЯ"""" Г.ПЕРМИ")</f>
        <v>МАДОУ "ДЕТСКИЙ САД № 421 "ГАРМОНИЯ"" Г.ПЕРМИ</v>
      </c>
      <c r="B7303" s="24" t="s">
        <v>10973</v>
      </c>
      <c r="C7303" s="25">
        <v>23840953.109999999</v>
      </c>
      <c r="D7303" s="22" t="s">
        <v>10974</v>
      </c>
      <c r="E7303" s="22" t="s">
        <v>362</v>
      </c>
      <c r="F7303" s="23" t="str">
        <f>HYPERLINK("https://www.spark-marketing.ru/Card/Lot/72821142", "На право заключить договор на оказание услуги по организации питания воспитанников в муниципальном автономном дошкольном образовательном учреждении «Детский сад № 421 «Гармония» г. Перми")</f>
        <v>На право заключить договор на оказание услуги по организации питания воспитанников в муниципальном автономном дошкольном образовательном учреждении «Детский сад № 421 «Гармония» г. Перми</v>
      </c>
      <c r="G7303" s="22" t="s">
        <v>153</v>
      </c>
      <c r="H7303" s="22" t="s">
        <v>153</v>
      </c>
      <c r="I7303" s="26">
        <v>43692</v>
      </c>
      <c r="J7303" s="28" t="s">
        <v>51</v>
      </c>
      <c r="K7303" s="28" t="s">
        <v>51</v>
      </c>
      <c r="L7303" s="28" t="s">
        <v>51</v>
      </c>
      <c r="M7303" s="25">
        <v>23809207.5</v>
      </c>
      <c r="N7303" s="27">
        <v>1.3315579227696406E-3</v>
      </c>
    </row>
    <row r="7304" spans="1:14" x14ac:dyDescent="0.2">
      <c r="A7304" s="23" t="str">
        <f>HYPERLINK("https://www.spark-marketing.ru/Card/Person/4874743", "ГАУ ВО ""СК ""РОТОР""")</f>
        <v>ГАУ ВО "СК "РОТОР"</v>
      </c>
      <c r="B7304" s="24" t="s">
        <v>1208</v>
      </c>
      <c r="C7304" s="25">
        <v>284000</v>
      </c>
      <c r="D7304" s="22" t="s">
        <v>10975</v>
      </c>
      <c r="E7304" s="22" t="s">
        <v>769</v>
      </c>
      <c r="F7304" s="23" t="str">
        <f>HYPERLINK("https://www.spark-marketing.ru/Card/Lot/72817171", "Оказание услуг по гостиничному проживанию и организации питания спортивной школы ""Ротор""")</f>
        <v>Оказание услуг по гостиничному проживанию и организации питания спортивной школы "Ротор"</v>
      </c>
      <c r="G7304" s="22" t="s">
        <v>1066</v>
      </c>
      <c r="H7304" s="22" t="s">
        <v>1066</v>
      </c>
      <c r="I7304" s="26">
        <v>43692</v>
      </c>
      <c r="J7304" s="28" t="s">
        <v>51</v>
      </c>
      <c r="K7304" s="28" t="s">
        <v>51</v>
      </c>
      <c r="L7304" s="28" t="s">
        <v>51</v>
      </c>
      <c r="M7304" s="25">
        <v>284000</v>
      </c>
      <c r="N7304" s="27">
        <v>0</v>
      </c>
    </row>
    <row r="7305" spans="1:14" x14ac:dyDescent="0.15">
      <c r="A7305" s="23" t="str">
        <f>HYPERLINK("https://www.spark-marketing.ru/Card/Person/1298160", "МАОУ ""КУРОВСКАЯ СОШ № 6""")</f>
        <v>МАОУ "КУРОВСКАЯ СОШ № 6"</v>
      </c>
      <c r="B7305" s="24" t="s">
        <v>1235</v>
      </c>
      <c r="C7305" s="25">
        <v>1921280</v>
      </c>
      <c r="D7305" s="22" t="s">
        <v>10976</v>
      </c>
      <c r="E7305" s="22" t="s">
        <v>362</v>
      </c>
      <c r="F7305" s="23" t="str">
        <f>HYPERLINK("https://www.spark-marketing.ru/Card/Lot/72784720", "Оказание услуг по организации горячего питания учащихся на базе пищеблока Заказчика")</f>
        <v>Оказание услуг по организации горячего питания учащихся на базе пищеблока Заказчика</v>
      </c>
      <c r="G7305" s="22" t="s">
        <v>49</v>
      </c>
      <c r="H7305" s="22" t="s">
        <v>49</v>
      </c>
      <c r="I7305" s="26">
        <v>43691</v>
      </c>
      <c r="J7305" s="28" t="s">
        <v>51</v>
      </c>
      <c r="K7305" s="28" t="s">
        <v>51</v>
      </c>
      <c r="L7305" s="28" t="s">
        <v>51</v>
      </c>
      <c r="M7305" s="28" t="s">
        <v>51</v>
      </c>
      <c r="N7305" s="28" t="s">
        <v>51</v>
      </c>
    </row>
    <row r="7306" spans="1:14" x14ac:dyDescent="0.15">
      <c r="A7306" s="23" t="str">
        <f>HYPERLINK("https://www.spark-marketing.ru/Card/Person/4349000", "ФГБОУ ВО ""КГТУ""")</f>
        <v>ФГБОУ ВО "КГТУ"</v>
      </c>
      <c r="B7306" s="24" t="s">
        <v>1457</v>
      </c>
      <c r="C7306" s="25">
        <v>176400</v>
      </c>
      <c r="D7306" s="22" t="s">
        <v>10977</v>
      </c>
      <c r="E7306" s="22" t="s">
        <v>362</v>
      </c>
      <c r="F7306" s="23" t="str">
        <f>HYPERLINK("https://www.spark-marketing.ru/Card/Lot/72821466", "Оказание услуг по питанию и проживанию участников похода от КГТУ, БГАРФ, КМРК")</f>
        <v>Оказание услуг по питанию и проживанию участников похода от КГТУ, БГАРФ, КМРК</v>
      </c>
      <c r="G7306" s="22" t="s">
        <v>400</v>
      </c>
      <c r="H7306" s="22" t="s">
        <v>400</v>
      </c>
      <c r="I7306" s="26">
        <v>43692</v>
      </c>
      <c r="J7306" s="28" t="s">
        <v>51</v>
      </c>
      <c r="K7306" s="28" t="s">
        <v>51</v>
      </c>
      <c r="L7306" s="28" t="s">
        <v>51</v>
      </c>
      <c r="M7306" s="28" t="s">
        <v>51</v>
      </c>
      <c r="N7306" s="28" t="s">
        <v>51</v>
      </c>
    </row>
    <row r="7307" spans="1:14" x14ac:dyDescent="0.15">
      <c r="A7307" s="23" t="str">
        <f>HYPERLINK("https://www.spark-marketing.ru/Card/Person/32680", "ГБУК КО ""ТЕАТР ЭСТРАДЫ ""ЯНТАРЬ-ХОЛЛ""")</f>
        <v>ГБУК КО "ТЕАТР ЭСТРАДЫ "ЯНТАРЬ-ХОЛЛ"</v>
      </c>
      <c r="B7307" s="24" t="s">
        <v>10978</v>
      </c>
      <c r="C7307" s="25">
        <v>221540</v>
      </c>
      <c r="D7307" s="22" t="s">
        <v>10979</v>
      </c>
      <c r="E7307" s="22" t="s">
        <v>362</v>
      </c>
      <c r="F7307" s="23" t="str">
        <f>HYPERLINK("https://www.spark-marketing.ru/Card/Lot/72817305", "Услуги по организации питания для артистов мероприятия - концертная программа ""90 лет со дня основания Академического ансамбля песни и пляски Российской армии имени А.В. Александрова Минобороны России""")</f>
        <v>Услуги по организации питания для артистов мероприятия - концертная программа "90 лет со дня основания Академического ансамбля песни и пляски Российской армии имени А.В. Александрова Минобороны России"</v>
      </c>
      <c r="G7307" s="22" t="s">
        <v>400</v>
      </c>
      <c r="H7307" s="22" t="s">
        <v>400</v>
      </c>
      <c r="I7307" s="26">
        <v>43692</v>
      </c>
      <c r="J7307" s="28" t="s">
        <v>51</v>
      </c>
      <c r="K7307" s="28" t="s">
        <v>51</v>
      </c>
      <c r="L7307" s="28" t="s">
        <v>51</v>
      </c>
      <c r="M7307" s="28" t="s">
        <v>51</v>
      </c>
      <c r="N7307" s="28" t="s">
        <v>51</v>
      </c>
    </row>
    <row r="7308" spans="1:14" x14ac:dyDescent="0.15">
      <c r="A7308" s="23" t="str">
        <f>HYPERLINK("https://www.spark-marketing.ru/Card/Person/1575800", "СОШ № 29")</f>
        <v>СОШ № 29</v>
      </c>
      <c r="B7308" s="24" t="s">
        <v>10956</v>
      </c>
      <c r="C7308" s="25">
        <v>699558.40000000002</v>
      </c>
      <c r="D7308" s="22" t="s">
        <v>10980</v>
      </c>
      <c r="E7308" s="22" t="s">
        <v>362</v>
      </c>
      <c r="F7308" s="23" t="str">
        <f>HYPERLINK("https://www.spark-marketing.ru/Card/Lot/72981440", "организация горячего питания воспитанников групп детей дошкольного возраста")</f>
        <v>организация горячего питания воспитанников групп детей дошкольного возраста</v>
      </c>
      <c r="G7308" s="22" t="s">
        <v>185</v>
      </c>
      <c r="H7308" s="22" t="s">
        <v>185</v>
      </c>
      <c r="I7308" s="26">
        <v>43700</v>
      </c>
      <c r="J7308" s="28" t="s">
        <v>51</v>
      </c>
      <c r="K7308" s="28" t="s">
        <v>51</v>
      </c>
      <c r="L7308" s="28" t="s">
        <v>51</v>
      </c>
      <c r="M7308" s="28" t="s">
        <v>51</v>
      </c>
      <c r="N7308" s="28" t="s">
        <v>51</v>
      </c>
    </row>
    <row r="7309" spans="1:14" x14ac:dyDescent="0.2">
      <c r="A7309" s="23" t="str">
        <f>HYPERLINK("https://www.spark-marketing.ru/Card/Person/1755523", "МАОУ СОШ № 10")</f>
        <v>МАОУ СОШ № 10</v>
      </c>
      <c r="B7309" s="24" t="s">
        <v>10981</v>
      </c>
      <c r="C7309" s="25">
        <v>290541.15999999997</v>
      </c>
      <c r="D7309" s="22" t="s">
        <v>10982</v>
      </c>
      <c r="E7309" s="22" t="s">
        <v>362</v>
      </c>
      <c r="F7309" s="23" t="str">
        <f>HYPERLINK("https://www.spark-marketing.ru/Card/Lot/72803504", "на оказание услуги по организации горячего питания обучающихся из малоимущих семей и многодетных малоимущих семей, детей с ограниченными возможностями здоровья (ОВЗ), осваивающих образовательную программу начального, основного и среднего общего образ...")</f>
        <v>на оказание услуги по организации горячего питания обучающихся из малоимущих семей и многодетных малоимущих семей, детей с ограниченными возможностями здоровья (ОВЗ), осваивающих образовательную программу начального, основного и среднего общего образ...</v>
      </c>
      <c r="G7309" s="22" t="s">
        <v>153</v>
      </c>
      <c r="H7309" s="22" t="s">
        <v>153</v>
      </c>
      <c r="I7309" s="26">
        <v>43692</v>
      </c>
      <c r="J7309" s="28" t="s">
        <v>51</v>
      </c>
      <c r="K7309" s="28" t="s">
        <v>51</v>
      </c>
      <c r="L7309" s="22" t="s">
        <v>10</v>
      </c>
      <c r="M7309" s="25">
        <v>290541.15999999997</v>
      </c>
      <c r="N7309" s="27">
        <v>0</v>
      </c>
    </row>
    <row r="7310" spans="1:14" x14ac:dyDescent="0.15">
      <c r="A7310" s="23" t="str">
        <f>HYPERLINK("https://www.spark-marketing.ru/Card/Person/6511290", "ГАУ ЛО ""СШ ""ЛЕНИНГРАДЕЦ""")</f>
        <v>ГАУ ЛО "СШ "ЛЕНИНГРАДЕЦ"</v>
      </c>
      <c r="B7310" s="24" t="s">
        <v>10983</v>
      </c>
      <c r="C7310" s="25">
        <v>214600</v>
      </c>
      <c r="D7310" s="22" t="s">
        <v>10984</v>
      </c>
      <c r="E7310" s="22" t="s">
        <v>10985</v>
      </c>
      <c r="F7310" s="23" t="str">
        <f>HYPERLINK("https://www.spark-marketing.ru/Card/Lot/72819639", "Оказание услуг по организации проживания и питания")</f>
        <v>Оказание услуг по организации проживания и питания</v>
      </c>
      <c r="G7310" s="22" t="s">
        <v>162</v>
      </c>
      <c r="H7310" s="22" t="s">
        <v>162</v>
      </c>
      <c r="I7310" s="26">
        <v>43692</v>
      </c>
      <c r="J7310" s="28" t="s">
        <v>51</v>
      </c>
      <c r="K7310" s="28" t="s">
        <v>51</v>
      </c>
      <c r="L7310" s="28" t="s">
        <v>51</v>
      </c>
      <c r="M7310" s="28" t="s">
        <v>51</v>
      </c>
      <c r="N7310" s="28" t="s">
        <v>51</v>
      </c>
    </row>
    <row r="7311" spans="1:14" x14ac:dyDescent="0.2">
      <c r="A7311" s="23" t="str">
        <f>HYPERLINK("https://www.spark-marketing.ru/Card/Person/4348513", "ФГУП ""ГВСУ № 4""")</f>
        <v>ФГУП "ГВСУ № 4"</v>
      </c>
      <c r="B7311" s="24" t="s">
        <v>10986</v>
      </c>
      <c r="C7311" s="25">
        <v>4127500</v>
      </c>
      <c r="D7311" s="22" t="s">
        <v>10987</v>
      </c>
      <c r="E7311" s="22" t="s">
        <v>362</v>
      </c>
      <c r="F7311" s="23" t="str">
        <f>HYPERLINK("https://www.spark-marketing.ru/Card/Lot/72804009", "Организация питания сотрудников")</f>
        <v>Организация питания сотрудников</v>
      </c>
      <c r="G7311" s="22" t="s">
        <v>246</v>
      </c>
      <c r="H7311" s="22" t="s">
        <v>246</v>
      </c>
      <c r="I7311" s="26">
        <v>43692</v>
      </c>
      <c r="J7311" s="28" t="s">
        <v>51</v>
      </c>
      <c r="K7311" s="28" t="s">
        <v>51</v>
      </c>
      <c r="L7311" s="28" t="s">
        <v>51</v>
      </c>
      <c r="M7311" s="25">
        <v>4127500</v>
      </c>
      <c r="N7311" s="27">
        <v>0</v>
      </c>
    </row>
    <row r="7312" spans="1:14" x14ac:dyDescent="0.2">
      <c r="A7312" s="23" t="str">
        <f>HYPERLINK("https://www.spark-marketing.ru/Card/Person/1001644", "МАОУ СОШ № 9")</f>
        <v>МАОУ СОШ № 9</v>
      </c>
      <c r="B7312" s="24" t="s">
        <v>10988</v>
      </c>
      <c r="C7312" s="25">
        <v>2482125</v>
      </c>
      <c r="D7312" s="22" t="s">
        <v>10989</v>
      </c>
      <c r="E7312" s="22" t="s">
        <v>362</v>
      </c>
      <c r="F7312" s="23" t="str">
        <f>HYPERLINK("https://www.spark-marketing.ru/Card/Lot/72784849", "Оказание услуг по организации горячего питания учащихся")</f>
        <v>Оказание услуг по организации горячего питания учащихся</v>
      </c>
      <c r="G7312" s="22" t="s">
        <v>174</v>
      </c>
      <c r="H7312" s="22" t="s">
        <v>174</v>
      </c>
      <c r="I7312" s="26">
        <v>43691</v>
      </c>
      <c r="J7312" s="28" t="s">
        <v>51</v>
      </c>
      <c r="K7312" s="28" t="s">
        <v>51</v>
      </c>
      <c r="L7312" s="22" t="s">
        <v>10</v>
      </c>
      <c r="M7312" s="25">
        <v>2482125</v>
      </c>
      <c r="N7312" s="27">
        <v>0</v>
      </c>
    </row>
    <row r="7313" spans="1:14" x14ac:dyDescent="0.15">
      <c r="A7313" s="23" t="str">
        <f>HYPERLINK("https://www.spark-marketing.ru/Card/Person/49008", "АО ""ДЕПАРТАМЕНТ ПРОДОВОЛЬСТВИЯ""")</f>
        <v>АО "ДЕПАРТАМЕНТ ПРОДОВОЛЬСТВИЯ"</v>
      </c>
      <c r="B7313" s="24" t="s">
        <v>2101</v>
      </c>
      <c r="C7313" s="25">
        <v>2280000</v>
      </c>
      <c r="D7313" s="22" t="s">
        <v>10990</v>
      </c>
      <c r="E7313" s="22" t="s">
        <v>5837</v>
      </c>
      <c r="F7313" s="23" t="str">
        <f>HYPERLINK("https://www.spark-marketing.ru/Card/Lot/72821194", "Услуги по перевозке сотрудников АО ""Департамент продовольствия и социального питания г. Казани"" по маршруту на рабочие места и обратно")</f>
        <v>Услуги по перевозке сотрудников АО "Департамент продовольствия и социального питания г. Казани" по маршруту на рабочие места и обратно</v>
      </c>
      <c r="G7313" s="22" t="s">
        <v>217</v>
      </c>
      <c r="H7313" s="22" t="s">
        <v>937</v>
      </c>
      <c r="I7313" s="26">
        <v>43692</v>
      </c>
      <c r="J7313" s="28" t="s">
        <v>51</v>
      </c>
      <c r="K7313" s="28" t="s">
        <v>51</v>
      </c>
      <c r="L7313" s="28" t="s">
        <v>51</v>
      </c>
      <c r="M7313" s="28" t="s">
        <v>51</v>
      </c>
      <c r="N7313" s="28" t="s">
        <v>51</v>
      </c>
    </row>
    <row r="7314" spans="1:14" x14ac:dyDescent="0.15">
      <c r="A7314" s="23" t="str">
        <f>HYPERLINK("https://www.spark-marketing.ru/Card/Person/6447149", "МБДОУ ДЕТСКИЙ САД № 75")</f>
        <v>МБДОУ ДЕТСКИЙ САД № 75</v>
      </c>
      <c r="B7314" s="24" t="s">
        <v>10991</v>
      </c>
      <c r="C7314" s="25">
        <v>20253.64</v>
      </c>
      <c r="D7314" s="22" t="s">
        <v>10992</v>
      </c>
      <c r="E7314" s="22" t="s">
        <v>1014</v>
      </c>
      <c r="F7314" s="23" t="str">
        <f>HYPERLINK("https://www.spark-marketing.ru/Card/Lot/72796286", "Закупка в 2019 году услуг по подписке изданий для нужд муниципального бюджетного дошкольного образовательного учреждения детский сад № 75")</f>
        <v>Закупка в 2019 году услуг по подписке изданий для нужд муниципального бюджетного дошкольного образовательного учреждения детский сад № 75</v>
      </c>
      <c r="G7314" s="22" t="s">
        <v>49</v>
      </c>
      <c r="H7314" s="22" t="s">
        <v>577</v>
      </c>
      <c r="I7314" s="26">
        <v>43691.8258796296</v>
      </c>
      <c r="J7314" s="28" t="s">
        <v>51</v>
      </c>
      <c r="K7314" s="28" t="s">
        <v>51</v>
      </c>
      <c r="L7314" s="28" t="s">
        <v>51</v>
      </c>
      <c r="M7314" s="28" t="s">
        <v>51</v>
      </c>
      <c r="N7314" s="28" t="s">
        <v>51</v>
      </c>
    </row>
    <row r="7315" spans="1:14" x14ac:dyDescent="0.15">
      <c r="A7315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7315" s="24" t="s">
        <v>10993</v>
      </c>
      <c r="C7315" s="25">
        <v>529000</v>
      </c>
      <c r="D7315" s="22" t="s">
        <v>10994</v>
      </c>
      <c r="E7315" s="22" t="s">
        <v>48</v>
      </c>
      <c r="F7315" s="23" t="str">
        <f>HYPERLINK("https://www.spark-marketing.ru/Card/Lot/72796007", "Обеспечение горячим питание спецконтингента ИВС")</f>
        <v>Обеспечение горячим питание спецконтингента ИВС</v>
      </c>
      <c r="G7315" s="22" t="s">
        <v>217</v>
      </c>
      <c r="H7315" s="22" t="s">
        <v>10995</v>
      </c>
      <c r="I7315" s="26">
        <v>43691.726041666698</v>
      </c>
      <c r="J7315" s="23" t="str">
        <f>HYPERLINK("https://www.spark-marketing.ru/Card/Person/4962952", "Минсадыров Эдуард Марсович")</f>
        <v>Минсадыров Эдуард Марсович</v>
      </c>
      <c r="K7315" s="24" t="s">
        <v>10996</v>
      </c>
      <c r="L7315" s="22" t="s">
        <v>10</v>
      </c>
      <c r="M7315" s="28" t="s">
        <v>51</v>
      </c>
      <c r="N7315" s="28" t="s">
        <v>51</v>
      </c>
    </row>
    <row r="7316" spans="1:14" x14ac:dyDescent="0.15">
      <c r="A7316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7316" s="24" t="s">
        <v>10993</v>
      </c>
      <c r="C7316" s="25">
        <v>529000</v>
      </c>
      <c r="D7316" s="22" t="s">
        <v>10997</v>
      </c>
      <c r="E7316" s="22" t="s">
        <v>48</v>
      </c>
      <c r="F7316" s="23" t="str">
        <f>HYPERLINK("https://www.spark-marketing.ru/Card/Lot/72796098", "Питание ИВС, СП, СПЗЛ")</f>
        <v>Питание ИВС, СП, СПЗЛ</v>
      </c>
      <c r="G7316" s="22" t="s">
        <v>217</v>
      </c>
      <c r="H7316" s="22" t="s">
        <v>10995</v>
      </c>
      <c r="I7316" s="26">
        <v>43691.730798611097</v>
      </c>
      <c r="J7316" s="23" t="str">
        <f>HYPERLINK("https://www.spark-marketing.ru/Card/Person/4962952", "Минсадыров Эдуард Марсович")</f>
        <v>Минсадыров Эдуард Марсович</v>
      </c>
      <c r="K7316" s="24" t="s">
        <v>10996</v>
      </c>
      <c r="L7316" s="22" t="s">
        <v>10</v>
      </c>
      <c r="M7316" s="28" t="s">
        <v>51</v>
      </c>
      <c r="N7316" s="28" t="s">
        <v>51</v>
      </c>
    </row>
    <row r="7317" spans="1:14" x14ac:dyDescent="0.15">
      <c r="A7317" s="23" t="str">
        <f>HYPERLINK("https://www.spark-marketing.ru/Card/Person/53504", "УМВД РОССИИ ПО ЦЕНТРАЛЬНОМУ РАЙОНУ Г. СПБ")</f>
        <v>УМВД РОССИИ ПО ЦЕНТРАЛЬНОМУ РАЙОНУ Г. СПБ</v>
      </c>
      <c r="B7317" s="24" t="s">
        <v>10998</v>
      </c>
      <c r="C7317" s="25">
        <v>346635</v>
      </c>
      <c r="D7317" s="22" t="s">
        <v>10999</v>
      </c>
      <c r="E7317" s="22" t="s">
        <v>96</v>
      </c>
      <c r="F7317" s="23" t="str">
        <f>HYPERLINK("https://www.spark-marketing.ru/Card/Lot/72796091", "Услуги по организации горячего питания для лиц, задержанных за административные правонарушения и содержащихся на срок более 3-х часов в дежурных частях УМВД России по Центральному району г. СПб")</f>
        <v>Услуги по организации горячего питания для лиц, задержанных за административные правонарушения и содержащихся на срок более 3-х часов в дежурных частях УМВД России по Центральному району г. СПб</v>
      </c>
      <c r="G7317" s="22" t="s">
        <v>117</v>
      </c>
      <c r="H7317" s="22" t="s">
        <v>117</v>
      </c>
      <c r="I7317" s="26">
        <v>43691.740486111099</v>
      </c>
      <c r="J7317" s="23" t="str">
        <f>HYPERLINK("https://www.spark-marketing.ru/Card/Person/6410323", "Андрющенко Надежда Андреевна")</f>
        <v>Андрющенко Надежда Андреевна</v>
      </c>
      <c r="K7317" s="24" t="s">
        <v>11000</v>
      </c>
      <c r="L7317" s="22" t="s">
        <v>10</v>
      </c>
      <c r="M7317" s="28" t="s">
        <v>51</v>
      </c>
      <c r="N7317" s="28" t="s">
        <v>51</v>
      </c>
    </row>
    <row r="7318" spans="1:14" x14ac:dyDescent="0.15">
      <c r="A7318" s="23" t="str">
        <f>HYPERLINK("https://www.spark-marketing.ru/Card/Person/1019932", "ОМВД РОССИИ ПО ЯРОСЛАВСКОМУ РАЙОНУ")</f>
        <v>ОМВД РОССИИ ПО ЯРОСЛАВСКОМУ РАЙОНУ</v>
      </c>
      <c r="B7318" s="24" t="s">
        <v>11001</v>
      </c>
      <c r="C7318" s="25">
        <v>30000</v>
      </c>
      <c r="D7318" s="22" t="s">
        <v>11002</v>
      </c>
      <c r="E7318" s="22" t="s">
        <v>48</v>
      </c>
      <c r="F7318" s="23" t="str">
        <f>HYPERLINK("https://www.spark-marketing.ru/Card/Lot/72792023",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7318" s="22" t="s">
        <v>185</v>
      </c>
      <c r="H7318" s="22" t="s">
        <v>3365</v>
      </c>
      <c r="I7318" s="26">
        <v>43691.733576388899</v>
      </c>
      <c r="J7318" s="28" t="s">
        <v>51</v>
      </c>
      <c r="K7318" s="28" t="s">
        <v>51</v>
      </c>
      <c r="L7318" s="28" t="s">
        <v>51</v>
      </c>
      <c r="M7318" s="28" t="s">
        <v>51</v>
      </c>
      <c r="N7318" s="28" t="s">
        <v>51</v>
      </c>
    </row>
    <row r="7319" spans="1:14" x14ac:dyDescent="0.15">
      <c r="A7319" s="23" t="str">
        <f>HYPERLINK("https://www.spark-marketing.ru/Card/Person/4060", "ГБУЗ МО ""МОПЦ""")</f>
        <v>ГБУЗ МО "МОПЦ"</v>
      </c>
      <c r="B7319" s="24" t="s">
        <v>11003</v>
      </c>
      <c r="C7319" s="25">
        <v>299872.96000000002</v>
      </c>
      <c r="D7319" s="22" t="s">
        <v>11004</v>
      </c>
      <c r="E7319" s="22" t="s">
        <v>48</v>
      </c>
      <c r="F7319" s="23" t="str">
        <f>HYPERLINK("https://www.spark-marketing.ru/Card/Lot/72793595", "Оказание услуг по организации питания пациентов в ГБУЗ МО МОПЦ (1)")</f>
        <v>Оказание услуг по организации питания пациентов в ГБУЗ МО МОПЦ (1)</v>
      </c>
      <c r="G7319" s="22" t="s">
        <v>49</v>
      </c>
      <c r="H7319" s="22" t="s">
        <v>7442</v>
      </c>
      <c r="I7319" s="26">
        <v>43691.742928240703</v>
      </c>
      <c r="J7319" s="28" t="s">
        <v>51</v>
      </c>
      <c r="K7319" s="28" t="s">
        <v>51</v>
      </c>
      <c r="L7319" s="28" t="s">
        <v>51</v>
      </c>
      <c r="M7319" s="28" t="s">
        <v>51</v>
      </c>
      <c r="N7319" s="28" t="s">
        <v>51</v>
      </c>
    </row>
    <row r="7320" spans="1:14" x14ac:dyDescent="0.15">
      <c r="A7320" s="23" t="str">
        <f>HYPERLINK("https://www.spark-marketing.ru/Card/Person/183760", "МО МВД РОССИИ ""АЛАТЫРСКИЙ""")</f>
        <v>МО МВД РОССИИ "АЛАТЫРСКИЙ"</v>
      </c>
      <c r="B7320" s="24" t="s">
        <v>3783</v>
      </c>
      <c r="C7320" s="25">
        <v>300000</v>
      </c>
      <c r="D7320" s="22" t="s">
        <v>11005</v>
      </c>
      <c r="E7320" s="22" t="s">
        <v>48</v>
      </c>
      <c r="F7320" s="23" t="str">
        <f>HYPERLINK("https://www.spark-marketing.ru/Card/Lot/72793181", "Услуги общественного питания, 1200 усл. ед")</f>
        <v>Услуги общественного питания, 1200 усл. ед</v>
      </c>
      <c r="G7320" s="22" t="s">
        <v>618</v>
      </c>
      <c r="H7320" s="22" t="s">
        <v>3785</v>
      </c>
      <c r="I7320" s="26">
        <v>43691.739907407398</v>
      </c>
      <c r="J7320" s="28" t="s">
        <v>51</v>
      </c>
      <c r="K7320" s="28" t="s">
        <v>51</v>
      </c>
      <c r="L7320" s="28" t="s">
        <v>51</v>
      </c>
      <c r="M7320" s="28" t="s">
        <v>51</v>
      </c>
      <c r="N7320" s="28" t="s">
        <v>51</v>
      </c>
    </row>
    <row r="7321" spans="1:14" x14ac:dyDescent="0.15">
      <c r="A7321" s="23" t="str">
        <f>HYPERLINK("https://www.spark-marketing.ru/Card/Person/733950", "МБОУ ООШ С. КИСАК-КАИН")</f>
        <v>МБОУ ООШ С. КИСАК-КАИН</v>
      </c>
      <c r="B7321" s="24" t="s">
        <v>11006</v>
      </c>
      <c r="C7321" s="25">
        <v>497246.2</v>
      </c>
      <c r="D7321" s="22" t="s">
        <v>11007</v>
      </c>
      <c r="E7321" s="22" t="s">
        <v>48</v>
      </c>
      <c r="F7321" s="23" t="str">
        <f>HYPERLINK("https://www.spark-marketing.ru/Card/Lot/72794118", "Оказание услуг по организации горячего питания обучающихся и воспитанников дошкольной группы")</f>
        <v>Оказание услуг по организации горячего питания обучающихся и воспитанников дошкольной группы</v>
      </c>
      <c r="G7321" s="22" t="s">
        <v>145</v>
      </c>
      <c r="H7321" s="22" t="s">
        <v>10690</v>
      </c>
      <c r="I7321" s="26">
        <v>43691.690856481502</v>
      </c>
      <c r="J7321" s="23" t="str">
        <f>HYPERLINK("https://www.spark-marketing.ru/Card/Person/6275152", "ООО ""ЯНАУЛЬСКИЙ КДП""")</f>
        <v>ООО "ЯНАУЛЬСКИЙ КДП"</v>
      </c>
      <c r="K7321" s="24" t="s">
        <v>10674</v>
      </c>
      <c r="L7321" s="22" t="s">
        <v>10</v>
      </c>
      <c r="M7321" s="28" t="s">
        <v>51</v>
      </c>
      <c r="N7321" s="28" t="s">
        <v>51</v>
      </c>
    </row>
    <row r="7322" spans="1:14" x14ac:dyDescent="0.15">
      <c r="A7322" s="23" t="str">
        <f>HYPERLINK("https://www.spark-marketing.ru/Card/Person/732981", "МБОУ ООШ С. МАКСИМОВО")</f>
        <v>МБОУ ООШ С. МАКСИМОВО</v>
      </c>
      <c r="B7322" s="24" t="s">
        <v>11008</v>
      </c>
      <c r="C7322" s="25">
        <v>206550</v>
      </c>
      <c r="D7322" s="22" t="s">
        <v>11009</v>
      </c>
      <c r="E7322" s="22" t="s">
        <v>48</v>
      </c>
      <c r="F7322" s="23" t="str">
        <f>HYPERLINK("https://www.spark-marketing.ru/Card/Lot/72793821", "оказание услуг по организации горячего питания обучающихся")</f>
        <v>оказание услуг по организации горячего питания обучающихся</v>
      </c>
      <c r="G7322" s="22" t="s">
        <v>145</v>
      </c>
      <c r="H7322" s="22" t="s">
        <v>10690</v>
      </c>
      <c r="I7322" s="26">
        <v>43691.691539351901</v>
      </c>
      <c r="J7322" s="23" t="str">
        <f>HYPERLINK("https://www.spark-marketing.ru/Card/Person/6275152", "ООО ""ЯНАУЛЬСКИЙ КДП""")</f>
        <v>ООО "ЯНАУЛЬСКИЙ КДП"</v>
      </c>
      <c r="K7322" s="24" t="s">
        <v>10674</v>
      </c>
      <c r="L7322" s="22" t="s">
        <v>10</v>
      </c>
      <c r="M7322" s="28" t="s">
        <v>51</v>
      </c>
      <c r="N7322" s="28" t="s">
        <v>51</v>
      </c>
    </row>
    <row r="7323" spans="1:14" x14ac:dyDescent="0.15">
      <c r="A7323" s="23" t="str">
        <f>HYPERLINK("https://www.spark-marketing.ru/Card/Person/4060", "ГБУЗ МО ""МОПЦ""")</f>
        <v>ГБУЗ МО "МОПЦ"</v>
      </c>
      <c r="B7323" s="24" t="s">
        <v>11003</v>
      </c>
      <c r="C7323" s="25">
        <v>299872.96000000002</v>
      </c>
      <c r="D7323" s="22" t="s">
        <v>11010</v>
      </c>
      <c r="E7323" s="22" t="s">
        <v>48</v>
      </c>
      <c r="F7323" s="23" t="str">
        <f>HYPERLINK("https://www.spark-marketing.ru/Card/Lot/72793555", "Оказание услуг по организации питания пациентов в ГБУЗ МО МОПЦ (2)")</f>
        <v>Оказание услуг по организации питания пациентов в ГБУЗ МО МОПЦ (2)</v>
      </c>
      <c r="G7323" s="22" t="s">
        <v>49</v>
      </c>
      <c r="H7323" s="22" t="s">
        <v>7442</v>
      </c>
      <c r="I7323" s="26">
        <v>43691.711412037002</v>
      </c>
      <c r="J7323" s="28" t="s">
        <v>51</v>
      </c>
      <c r="K7323" s="28" t="s">
        <v>51</v>
      </c>
      <c r="L7323" s="28" t="s">
        <v>51</v>
      </c>
      <c r="M7323" s="28" t="s">
        <v>51</v>
      </c>
      <c r="N7323" s="28" t="s">
        <v>51</v>
      </c>
    </row>
    <row r="7324" spans="1:14" collapsed="1" x14ac:dyDescent="0.15">
      <c r="A7324" s="23" t="s">
        <v>114</v>
      </c>
      <c r="B7324" s="28" t="s">
        <v>51</v>
      </c>
      <c r="C7324" s="25">
        <v>37710766.079999998</v>
      </c>
      <c r="D7324" s="22" t="s">
        <v>11011</v>
      </c>
      <c r="E7324" s="22" t="s">
        <v>48</v>
      </c>
      <c r="F7324" s="23" t="str">
        <f t="shared" ref="F7324:F7346" si="157">HYPERLINK("https://www.spark-marketing.ru/Card/Lot/72794866", "оказание услуг по организации сбалансированного питания воспитанников для нужд муниципальных автономных дошкольных образовательных учреждений")</f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24" s="22" t="s">
        <v>51</v>
      </c>
      <c r="H7324" s="22" t="s">
        <v>51</v>
      </c>
      <c r="I7324" s="26">
        <v>43691.716666666704</v>
      </c>
      <c r="J7324" s="28" t="s">
        <v>51</v>
      </c>
      <c r="K7324" s="28" t="s">
        <v>51</v>
      </c>
      <c r="L7324" s="28" t="s">
        <v>51</v>
      </c>
      <c r="M7324" s="28" t="s">
        <v>51</v>
      </c>
      <c r="N7324" s="28" t="s">
        <v>51</v>
      </c>
    </row>
    <row r="7325" spans="1:14" hidden="1" outlineLevel="1" x14ac:dyDescent="0.15">
      <c r="A7325" s="23" t="str">
        <f>HYPERLINK("https://www.spark-marketing.ru/Card/Person/88348", "МАДОУ ""ЦЕНТР РАЗВИТИЯ РЕБЕНКА - ДЕТСКИЙ САД №64 ""ЛАНДЫШ""")</f>
        <v>МАДОУ "ЦЕНТР РАЗВИТИЯ РЕБЕНКА - ДЕТСКИЙ САД №64 "ЛАНДЫШ"</v>
      </c>
      <c r="B7325" s="24" t="s">
        <v>9650</v>
      </c>
      <c r="C7325" s="25">
        <v>2021959.6799999999</v>
      </c>
      <c r="D7325" s="22" t="s">
        <v>11011</v>
      </c>
      <c r="E7325" s="22" t="s">
        <v>48</v>
      </c>
      <c r="F7325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25" s="22" t="s">
        <v>217</v>
      </c>
      <c r="H7325" s="22" t="s">
        <v>1998</v>
      </c>
      <c r="I7325" s="26">
        <v>43691.716666666704</v>
      </c>
      <c r="J7325" s="28" t="s">
        <v>51</v>
      </c>
      <c r="K7325" s="28" t="s">
        <v>51</v>
      </c>
      <c r="L7325" s="28" t="s">
        <v>51</v>
      </c>
      <c r="M7325" s="28" t="s">
        <v>51</v>
      </c>
      <c r="N7325" s="28" t="s">
        <v>51</v>
      </c>
    </row>
    <row r="7326" spans="1:14" hidden="1" outlineLevel="1" x14ac:dyDescent="0.15">
      <c r="A7326" s="23" t="str">
        <f>HYPERLINK("https://www.spark-marketing.ru/Card/Person/89241", "МАДОУ ""ДЕТСКИЙ САД КОМБИНИРОВАННОГО ВИДА №44 ""ЗОЛУШКА""")</f>
        <v>МАДОУ "ДЕТСКИЙ САД КОМБИНИРОВАННОГО ВИДА №44 "ЗОЛУШКА"</v>
      </c>
      <c r="B7326" s="24" t="s">
        <v>11012</v>
      </c>
      <c r="C7326" s="25">
        <v>1859553.28</v>
      </c>
      <c r="D7326" s="22" t="s">
        <v>11011</v>
      </c>
      <c r="E7326" s="22" t="s">
        <v>48</v>
      </c>
      <c r="F7326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26" s="22" t="s">
        <v>217</v>
      </c>
      <c r="H7326" s="22" t="s">
        <v>1998</v>
      </c>
      <c r="I7326" s="26">
        <v>43691.716666666704</v>
      </c>
      <c r="J7326" s="28" t="s">
        <v>51</v>
      </c>
      <c r="K7326" s="28" t="s">
        <v>51</v>
      </c>
      <c r="L7326" s="28" t="s">
        <v>51</v>
      </c>
      <c r="M7326" s="28" t="s">
        <v>51</v>
      </c>
      <c r="N7326" s="28" t="s">
        <v>51</v>
      </c>
    </row>
    <row r="7327" spans="1:14" hidden="1" outlineLevel="1" x14ac:dyDescent="0.15">
      <c r="A7327" s="23" t="str">
        <f>HYPERLINK("https://www.spark-marketing.ru/Card/Person/87712", "МАДОУ ""ДЕТСКИЙ САД №29 ""БЕРЕЗКА""")</f>
        <v>МАДОУ "ДЕТСКИЙ САД №29 "БЕРЕЗКА"</v>
      </c>
      <c r="B7327" s="24" t="s">
        <v>9649</v>
      </c>
      <c r="C7327" s="25">
        <v>1713387.52</v>
      </c>
      <c r="D7327" s="22" t="s">
        <v>11011</v>
      </c>
      <c r="E7327" s="22" t="s">
        <v>48</v>
      </c>
      <c r="F7327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27" s="22" t="s">
        <v>217</v>
      </c>
      <c r="H7327" s="22" t="s">
        <v>1998</v>
      </c>
      <c r="I7327" s="26">
        <v>43691.716666666704</v>
      </c>
      <c r="J7327" s="28" t="s">
        <v>51</v>
      </c>
      <c r="K7327" s="28" t="s">
        <v>51</v>
      </c>
      <c r="L7327" s="28" t="s">
        <v>51</v>
      </c>
      <c r="M7327" s="28" t="s">
        <v>51</v>
      </c>
      <c r="N7327" s="28" t="s">
        <v>51</v>
      </c>
    </row>
    <row r="7328" spans="1:14" hidden="1" outlineLevel="1" x14ac:dyDescent="0.15">
      <c r="A7328" s="23" t="str">
        <f>HYPERLINK("https://www.spark-marketing.ru/Card/Person/88570", "МАДОУ ""ДЕТСКИЙ САД №94 ""ЛИЛИЯ""")</f>
        <v>МАДОУ "ДЕТСКИЙ САД №94 "ЛИЛИЯ"</v>
      </c>
      <c r="B7328" s="24" t="s">
        <v>11013</v>
      </c>
      <c r="C7328" s="25">
        <v>2119403.52</v>
      </c>
      <c r="D7328" s="22" t="s">
        <v>11011</v>
      </c>
      <c r="E7328" s="22" t="s">
        <v>48</v>
      </c>
      <c r="F7328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28" s="22" t="s">
        <v>217</v>
      </c>
      <c r="H7328" s="22" t="s">
        <v>1998</v>
      </c>
      <c r="I7328" s="26">
        <v>43691.716666666704</v>
      </c>
      <c r="J7328" s="28" t="s">
        <v>51</v>
      </c>
      <c r="K7328" s="28" t="s">
        <v>51</v>
      </c>
      <c r="L7328" s="28" t="s">
        <v>51</v>
      </c>
      <c r="M7328" s="28" t="s">
        <v>51</v>
      </c>
      <c r="N7328" s="28" t="s">
        <v>51</v>
      </c>
    </row>
    <row r="7329" spans="1:14" hidden="1" outlineLevel="1" x14ac:dyDescent="0.15">
      <c r="A7329" s="23" t="str">
        <f>HYPERLINK("https://www.spark-marketing.ru/Card/Person/88937", "МАДОУ ""ДЕТСКИЙ САД ОБЩЕРАЗВИВАЮЩЕГО ВИДА №53 ""КРЕПЫШ""")</f>
        <v>МАДОУ "ДЕТСКИЙ САД ОБЩЕРАЗВИВАЮЩЕГО ВИДА №53 "КРЕПЫШ"</v>
      </c>
      <c r="B7329" s="24" t="s">
        <v>11014</v>
      </c>
      <c r="C7329" s="25">
        <v>2046320.6399999999</v>
      </c>
      <c r="D7329" s="22" t="s">
        <v>11011</v>
      </c>
      <c r="E7329" s="22" t="s">
        <v>48</v>
      </c>
      <c r="F7329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29" s="22" t="s">
        <v>217</v>
      </c>
      <c r="H7329" s="22" t="s">
        <v>1998</v>
      </c>
      <c r="I7329" s="26">
        <v>43691.716666666704</v>
      </c>
      <c r="J7329" s="28" t="s">
        <v>51</v>
      </c>
      <c r="K7329" s="28" t="s">
        <v>51</v>
      </c>
      <c r="L7329" s="28" t="s">
        <v>51</v>
      </c>
      <c r="M7329" s="28" t="s">
        <v>51</v>
      </c>
      <c r="N7329" s="28" t="s">
        <v>51</v>
      </c>
    </row>
    <row r="7330" spans="1:14" hidden="1" outlineLevel="1" x14ac:dyDescent="0.15">
      <c r="A7330" s="23" t="str">
        <f>HYPERLINK("https://www.spark-marketing.ru/Card/Person/89249", "МАДОУ ""ДЕТСКИЙ САД ОБЩЕРАЗВИВАЮЩЕГО ВИДА №20 ""ОЛЕСЯ""")</f>
        <v>МАДОУ "ДЕТСКИЙ САД ОБЩЕРАЗВИВАЮЩЕГО ВИДА №20 "ОЛЕСЯ"</v>
      </c>
      <c r="B7330" s="24" t="s">
        <v>9651</v>
      </c>
      <c r="C7330" s="25">
        <v>1502259.2</v>
      </c>
      <c r="D7330" s="22" t="s">
        <v>11011</v>
      </c>
      <c r="E7330" s="22" t="s">
        <v>48</v>
      </c>
      <c r="F7330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30" s="22" t="s">
        <v>217</v>
      </c>
      <c r="H7330" s="22" t="s">
        <v>1998</v>
      </c>
      <c r="I7330" s="26">
        <v>43691.716666666704</v>
      </c>
      <c r="J7330" s="28" t="s">
        <v>51</v>
      </c>
      <c r="K7330" s="28" t="s">
        <v>51</v>
      </c>
      <c r="L7330" s="28" t="s">
        <v>51</v>
      </c>
      <c r="M7330" s="28" t="s">
        <v>51</v>
      </c>
      <c r="N7330" s="28" t="s">
        <v>51</v>
      </c>
    </row>
    <row r="7331" spans="1:14" hidden="1" outlineLevel="1" x14ac:dyDescent="0.15">
      <c r="A7331" s="23" t="str">
        <f>HYPERLINK("https://www.spark-marketing.ru/Card/Person/89381", "МАДОУ ""ДЕТСКИЙ САД №96 ""УМНИЧКА""")</f>
        <v>МАДОУ "ДЕТСКИЙ САД №96 "УМНИЧКА"</v>
      </c>
      <c r="B7331" s="24" t="s">
        <v>9652</v>
      </c>
      <c r="C7331" s="25">
        <v>1672785.9199999999</v>
      </c>
      <c r="D7331" s="22" t="s">
        <v>11011</v>
      </c>
      <c r="E7331" s="22" t="s">
        <v>48</v>
      </c>
      <c r="F7331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31" s="22" t="s">
        <v>217</v>
      </c>
      <c r="H7331" s="22" t="s">
        <v>1998</v>
      </c>
      <c r="I7331" s="26">
        <v>43691.716666666704</v>
      </c>
      <c r="J7331" s="28" t="s">
        <v>51</v>
      </c>
      <c r="K7331" s="28" t="s">
        <v>51</v>
      </c>
      <c r="L7331" s="28" t="s">
        <v>51</v>
      </c>
      <c r="M7331" s="28" t="s">
        <v>51</v>
      </c>
      <c r="N7331" s="28" t="s">
        <v>51</v>
      </c>
    </row>
    <row r="7332" spans="1:14" hidden="1" outlineLevel="1" x14ac:dyDescent="0.15">
      <c r="A7332" s="23" t="str">
        <f>HYPERLINK("https://www.spark-marketing.ru/Card/Person/89653", "МАДОУ ""ДЕТСКИЙ САД КОМБИНИРОВАННОГО ВИДА №32 ""ЧАЙКА""")</f>
        <v>МАДОУ "ДЕТСКИЙ САД КОМБИНИРОВАННОГО ВИДА №32 "ЧАЙКА"</v>
      </c>
      <c r="B7332" s="24" t="s">
        <v>11015</v>
      </c>
      <c r="C7332" s="25">
        <v>1965117.4399999999</v>
      </c>
      <c r="D7332" s="22" t="s">
        <v>11011</v>
      </c>
      <c r="E7332" s="22" t="s">
        <v>48</v>
      </c>
      <c r="F7332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32" s="22" t="s">
        <v>217</v>
      </c>
      <c r="H7332" s="22" t="s">
        <v>1998</v>
      </c>
      <c r="I7332" s="26">
        <v>43691.716666666704</v>
      </c>
      <c r="J7332" s="28" t="s">
        <v>51</v>
      </c>
      <c r="K7332" s="28" t="s">
        <v>51</v>
      </c>
      <c r="L7332" s="28" t="s">
        <v>51</v>
      </c>
      <c r="M7332" s="28" t="s">
        <v>51</v>
      </c>
      <c r="N7332" s="28" t="s">
        <v>51</v>
      </c>
    </row>
    <row r="7333" spans="1:14" hidden="1" outlineLevel="1" x14ac:dyDescent="0.15">
      <c r="A7333" s="23" t="str">
        <f>HYPERLINK("https://www.spark-marketing.ru/Card/Person/89742", "МАДОУ ""ДЕТСКИЙ САД КОМБИНИРОВАННОГО ВИДА №23 ""СВЕТЛЯЧОК""")</f>
        <v>МАДОУ "ДЕТСКИЙ САД КОМБИНИРОВАННОГО ВИДА №23 "СВЕТЛЯЧОК"</v>
      </c>
      <c r="B7333" s="24" t="s">
        <v>11016</v>
      </c>
      <c r="C7333" s="25">
        <v>1810831.3600000001</v>
      </c>
      <c r="D7333" s="22" t="s">
        <v>11011</v>
      </c>
      <c r="E7333" s="22" t="s">
        <v>48</v>
      </c>
      <c r="F7333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33" s="22" t="s">
        <v>217</v>
      </c>
      <c r="H7333" s="22" t="s">
        <v>1998</v>
      </c>
      <c r="I7333" s="26">
        <v>43691.716666666704</v>
      </c>
      <c r="J7333" s="28" t="s">
        <v>51</v>
      </c>
      <c r="K7333" s="28" t="s">
        <v>51</v>
      </c>
      <c r="L7333" s="28" t="s">
        <v>51</v>
      </c>
      <c r="M7333" s="28" t="s">
        <v>51</v>
      </c>
      <c r="N7333" s="28" t="s">
        <v>51</v>
      </c>
    </row>
    <row r="7334" spans="1:14" hidden="1" outlineLevel="1" x14ac:dyDescent="0.15">
      <c r="A7334" s="23" t="str">
        <f>HYPERLINK("https://www.spark-marketing.ru/Card/Person/89852", "МАДОУ ""ДЕТСКИЙ САД №95 ""БАЛКЫШ""")</f>
        <v>МАДОУ "ДЕТСКИЙ САД №95 "БАЛКЫШ"</v>
      </c>
      <c r="B7334" s="24" t="s">
        <v>11017</v>
      </c>
      <c r="C7334" s="25">
        <v>1948876.8</v>
      </c>
      <c r="D7334" s="22" t="s">
        <v>11011</v>
      </c>
      <c r="E7334" s="22" t="s">
        <v>48</v>
      </c>
      <c r="F7334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34" s="22" t="s">
        <v>217</v>
      </c>
      <c r="H7334" s="22" t="s">
        <v>1998</v>
      </c>
      <c r="I7334" s="26">
        <v>43691.716666666704</v>
      </c>
      <c r="J7334" s="28" t="s">
        <v>51</v>
      </c>
      <c r="K7334" s="28" t="s">
        <v>51</v>
      </c>
      <c r="L7334" s="28" t="s">
        <v>51</v>
      </c>
      <c r="M7334" s="28" t="s">
        <v>51</v>
      </c>
      <c r="N7334" s="28" t="s">
        <v>51</v>
      </c>
    </row>
    <row r="7335" spans="1:14" hidden="1" outlineLevel="1" x14ac:dyDescent="0.15">
      <c r="A7335" s="23" t="str">
        <f>HYPERLINK("https://www.spark-marketing.ru/Card/Person/89983", "МАДОУ ""ДЕТСКИЙ САД №9 ""АЛАН""")</f>
        <v>МАДОУ "ДЕТСКИЙ САД №9 "АЛАН"</v>
      </c>
      <c r="B7335" s="24" t="s">
        <v>11018</v>
      </c>
      <c r="C7335" s="25">
        <v>2078801.9199999999</v>
      </c>
      <c r="D7335" s="22" t="s">
        <v>11011</v>
      </c>
      <c r="E7335" s="22" t="s">
        <v>48</v>
      </c>
      <c r="F7335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35" s="22" t="s">
        <v>217</v>
      </c>
      <c r="H7335" s="22" t="s">
        <v>1998</v>
      </c>
      <c r="I7335" s="26">
        <v>43691.716666666704</v>
      </c>
      <c r="J7335" s="28" t="s">
        <v>51</v>
      </c>
      <c r="K7335" s="28" t="s">
        <v>51</v>
      </c>
      <c r="L7335" s="28" t="s">
        <v>51</v>
      </c>
      <c r="M7335" s="28" t="s">
        <v>51</v>
      </c>
      <c r="N7335" s="28" t="s">
        <v>51</v>
      </c>
    </row>
    <row r="7336" spans="1:14" hidden="1" outlineLevel="1" x14ac:dyDescent="0.15">
      <c r="A7336" s="23" t="str">
        <f>HYPERLINK("https://www.spark-marketing.ru/Card/Person/90015", "МАДОУ ""ДЕТСКИЙ САД ОБЩЕРАЗВИВАЮЩЕГО ВИДА С ПРИОРИТЕТНЫМ ОСУЩЕСТВЛЕНИЕМ ДЕЯТЕЛЬНОСТИ ПО ПОЗНАВАТЕЛЬНО-РЕЧЕВОМУ НАПРАВЛЕНИЮ РАЗВИТИЯ ДЕТЕЙ №77 ""ТЕРЕМОК""")</f>
        <v>МАДОУ "ДЕТСКИЙ САД ОБЩЕРАЗВИВАЮЩЕГО ВИДА С ПРИОРИТЕТНЫМ ОСУЩЕСТВЛЕНИЕМ ДЕЯТЕЛЬНОСТИ ПО ПОЗНАВАТЕЛЬНО-РЕЧЕВОМУ НАПРАВЛЕНИЮ РАЗВИТИЯ ДЕТЕЙ №77 "ТЕРЕМОК"</v>
      </c>
      <c r="B7336" s="24" t="s">
        <v>9653</v>
      </c>
      <c r="C7336" s="25">
        <v>1689026.5600000001</v>
      </c>
      <c r="D7336" s="22" t="s">
        <v>11011</v>
      </c>
      <c r="E7336" s="22" t="s">
        <v>48</v>
      </c>
      <c r="F7336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36" s="22" t="s">
        <v>217</v>
      </c>
      <c r="H7336" s="22" t="s">
        <v>1998</v>
      </c>
      <c r="I7336" s="26">
        <v>43691.716666666704</v>
      </c>
      <c r="J7336" s="28" t="s">
        <v>51</v>
      </c>
      <c r="K7336" s="28" t="s">
        <v>51</v>
      </c>
      <c r="L7336" s="28" t="s">
        <v>51</v>
      </c>
      <c r="M7336" s="28" t="s">
        <v>51</v>
      </c>
      <c r="N7336" s="28" t="s">
        <v>51</v>
      </c>
    </row>
    <row r="7337" spans="1:14" hidden="1" outlineLevel="1" x14ac:dyDescent="0.15">
      <c r="A7337" s="23" t="str">
        <f>HYPERLINK("https://www.spark-marketing.ru/Card/Person/90759", "МАДОУ ""ДЕТСКИЙ САД КОМБИНИРОВАННОГО ВИДА №60 ""ИВОЛГА""")</f>
        <v>МАДОУ "ДЕТСКИЙ САД КОМБИНИРОВАННОГО ВИДА №60 "ИВОЛГА"</v>
      </c>
      <c r="B7337" s="24" t="s">
        <v>11019</v>
      </c>
      <c r="C7337" s="25">
        <v>1932636.1599999999</v>
      </c>
      <c r="D7337" s="22" t="s">
        <v>11011</v>
      </c>
      <c r="E7337" s="22" t="s">
        <v>48</v>
      </c>
      <c r="F7337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37" s="22" t="s">
        <v>217</v>
      </c>
      <c r="H7337" s="22" t="s">
        <v>1998</v>
      </c>
      <c r="I7337" s="26">
        <v>43691.716666666704</v>
      </c>
      <c r="J7337" s="28" t="s">
        <v>51</v>
      </c>
      <c r="K7337" s="28" t="s">
        <v>51</v>
      </c>
      <c r="L7337" s="28" t="s">
        <v>51</v>
      </c>
      <c r="M7337" s="28" t="s">
        <v>51</v>
      </c>
      <c r="N7337" s="28" t="s">
        <v>51</v>
      </c>
    </row>
    <row r="7338" spans="1:14" hidden="1" outlineLevel="1" x14ac:dyDescent="0.15">
      <c r="A7338" s="23" t="str">
        <f>HYPERLINK("https://www.spark-marketing.ru/Card/Person/91104", "МАДОУ ""ЦЕНТР РАЗВИТИЯ РЕБЕНКА - ДЕТСКИЙ САД №50 ""РОДНИЧОК""")</f>
        <v>МАДОУ "ЦЕНТР РАЗВИТИЯ РЕБЕНКА - ДЕТСКИЙ САД №50 "РОДНИЧОК"</v>
      </c>
      <c r="B7338" s="24" t="s">
        <v>11020</v>
      </c>
      <c r="C7338" s="25">
        <v>1965117.4399999999</v>
      </c>
      <c r="D7338" s="22" t="s">
        <v>11011</v>
      </c>
      <c r="E7338" s="22" t="s">
        <v>48</v>
      </c>
      <c r="F7338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38" s="22" t="s">
        <v>217</v>
      </c>
      <c r="H7338" s="22" t="s">
        <v>1998</v>
      </c>
      <c r="I7338" s="26">
        <v>43691.716666666704</v>
      </c>
      <c r="J7338" s="28" t="s">
        <v>51</v>
      </c>
      <c r="K7338" s="28" t="s">
        <v>51</v>
      </c>
      <c r="L7338" s="28" t="s">
        <v>51</v>
      </c>
      <c r="M7338" s="28" t="s">
        <v>51</v>
      </c>
      <c r="N7338" s="28" t="s">
        <v>51</v>
      </c>
    </row>
    <row r="7339" spans="1:14" hidden="1" outlineLevel="1" x14ac:dyDescent="0.15">
      <c r="A7339" s="23" t="str">
        <f>HYPERLINK("https://www.spark-marketing.ru/Card/Person/91401", "МАДОУ ""ДЕТСКИЙ САД ОБЩЕРАЗВИВАЮЩЕГО ВИДА №73 ""ОГОНЕК""")</f>
        <v>МАДОУ "ДЕТСКИЙ САД ОБЩЕРАЗВИВАЮЩЕГО ВИДА №73 "ОГОНЕК"</v>
      </c>
      <c r="B7339" s="24" t="s">
        <v>11021</v>
      </c>
      <c r="C7339" s="25">
        <v>2127523.8399999999</v>
      </c>
      <c r="D7339" s="22" t="s">
        <v>11011</v>
      </c>
      <c r="E7339" s="22" t="s">
        <v>48</v>
      </c>
      <c r="F7339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39" s="22" t="s">
        <v>217</v>
      </c>
      <c r="H7339" s="22" t="s">
        <v>1998</v>
      </c>
      <c r="I7339" s="26">
        <v>43691.716666666704</v>
      </c>
      <c r="J7339" s="28" t="s">
        <v>51</v>
      </c>
      <c r="K7339" s="28" t="s">
        <v>51</v>
      </c>
      <c r="L7339" s="28" t="s">
        <v>51</v>
      </c>
      <c r="M7339" s="28" t="s">
        <v>51</v>
      </c>
      <c r="N7339" s="28" t="s">
        <v>51</v>
      </c>
    </row>
    <row r="7340" spans="1:14" hidden="1" outlineLevel="1" x14ac:dyDescent="0.15">
      <c r="A7340" s="23" t="str">
        <f>HYPERLINK("https://www.spark-marketing.ru/Card/Person/91465", "МАДОУ ""ЦЕНТР РАЗВИТИЯ РЕБЕНКА - ДЕТСКИЙ САД №83 ""ФЕЯ""")</f>
        <v>МАДОУ "ЦЕНТР РАЗВИТИЯ РЕБЕНКА - ДЕТСКИЙ САД №83 "ФЕЯ"</v>
      </c>
      <c r="B7340" s="24" t="s">
        <v>11022</v>
      </c>
      <c r="C7340" s="25">
        <v>2184366.0800000001</v>
      </c>
      <c r="D7340" s="22" t="s">
        <v>11011</v>
      </c>
      <c r="E7340" s="22" t="s">
        <v>48</v>
      </c>
      <c r="F7340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40" s="22" t="s">
        <v>217</v>
      </c>
      <c r="H7340" s="22" t="s">
        <v>1998</v>
      </c>
      <c r="I7340" s="26">
        <v>43691.716666666704</v>
      </c>
      <c r="J7340" s="28" t="s">
        <v>51</v>
      </c>
      <c r="K7340" s="28" t="s">
        <v>51</v>
      </c>
      <c r="L7340" s="28" t="s">
        <v>51</v>
      </c>
      <c r="M7340" s="28" t="s">
        <v>51</v>
      </c>
      <c r="N7340" s="28" t="s">
        <v>51</v>
      </c>
    </row>
    <row r="7341" spans="1:14" hidden="1" outlineLevel="1" x14ac:dyDescent="0.15">
      <c r="A7341" s="23" t="str">
        <f>HYPERLINK("https://www.spark-marketing.ru/Card/Person/91903", "МАДОУ ""ДЕТСКИЙ САД КОМБИНИРОВАННОГО ВИДА №13 ""УЛЫБКА""")</f>
        <v>МАДОУ "ДЕТСКИЙ САД КОМБИНИРОВАННОГО ВИДА №13 "УЛЫБКА"</v>
      </c>
      <c r="B7341" s="24" t="s">
        <v>9654</v>
      </c>
      <c r="C7341" s="25">
        <v>1559101.4399999999</v>
      </c>
      <c r="D7341" s="22" t="s">
        <v>11011</v>
      </c>
      <c r="E7341" s="22" t="s">
        <v>48</v>
      </c>
      <c r="F7341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41" s="22" t="s">
        <v>217</v>
      </c>
      <c r="H7341" s="22" t="s">
        <v>1998</v>
      </c>
      <c r="I7341" s="26">
        <v>43691.716666666704</v>
      </c>
      <c r="J7341" s="28" t="s">
        <v>51</v>
      </c>
      <c r="K7341" s="28" t="s">
        <v>51</v>
      </c>
      <c r="L7341" s="28" t="s">
        <v>51</v>
      </c>
      <c r="M7341" s="28" t="s">
        <v>51</v>
      </c>
      <c r="N7341" s="28" t="s">
        <v>51</v>
      </c>
    </row>
    <row r="7342" spans="1:14" hidden="1" outlineLevel="1" x14ac:dyDescent="0.15">
      <c r="A7342" s="23" t="str">
        <f>HYPERLINK("https://www.spark-marketing.ru/Card/Person/92105", "МАДОУ ""ДЕТСКИЙ САД КОМБИНИРОВАННОГО ВИДА №35 ""СОЛОВУШКА""")</f>
        <v>МАДОУ "ДЕТСКИЙ САД КОМБИНИРОВАННОГО ВИДА №35 "СОЛОВУШКА"</v>
      </c>
      <c r="B7342" s="24" t="s">
        <v>11023</v>
      </c>
      <c r="C7342" s="25">
        <v>1770229.76</v>
      </c>
      <c r="D7342" s="22" t="s">
        <v>11011</v>
      </c>
      <c r="E7342" s="22" t="s">
        <v>48</v>
      </c>
      <c r="F7342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42" s="22" t="s">
        <v>217</v>
      </c>
      <c r="H7342" s="22" t="s">
        <v>1998</v>
      </c>
      <c r="I7342" s="26">
        <v>43691.716666666704</v>
      </c>
      <c r="J7342" s="28" t="s">
        <v>51</v>
      </c>
      <c r="K7342" s="28" t="s">
        <v>51</v>
      </c>
      <c r="L7342" s="28" t="s">
        <v>51</v>
      </c>
      <c r="M7342" s="28" t="s">
        <v>51</v>
      </c>
      <c r="N7342" s="28" t="s">
        <v>51</v>
      </c>
    </row>
    <row r="7343" spans="1:14" hidden="1" outlineLevel="1" x14ac:dyDescent="0.15">
      <c r="A7343" s="23" t="str">
        <f>HYPERLINK("https://www.spark-marketing.ru/Card/Person/94186", "МАДОУ ""ЦЕНТР РАЗВИТИЯ РЕБЕНКА - ДЕТСКИЙ САД №1 ""ШАТЛЫК""")</f>
        <v>МАДОУ "ЦЕНТР РАЗВИТИЯ РЕБЕНКА - ДЕТСКИЙ САД №1 "ШАТЛЫК"</v>
      </c>
      <c r="B7343" s="24" t="s">
        <v>11024</v>
      </c>
      <c r="C7343" s="25">
        <v>2200606.7200000002</v>
      </c>
      <c r="D7343" s="22" t="s">
        <v>11011</v>
      </c>
      <c r="E7343" s="22" t="s">
        <v>48</v>
      </c>
      <c r="F7343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43" s="22" t="s">
        <v>217</v>
      </c>
      <c r="H7343" s="22" t="s">
        <v>1998</v>
      </c>
      <c r="I7343" s="26">
        <v>43691.716666666704</v>
      </c>
      <c r="J7343" s="28" t="s">
        <v>51</v>
      </c>
      <c r="K7343" s="28" t="s">
        <v>51</v>
      </c>
      <c r="L7343" s="28" t="s">
        <v>51</v>
      </c>
      <c r="M7343" s="28" t="s">
        <v>51</v>
      </c>
      <c r="N7343" s="28" t="s">
        <v>51</v>
      </c>
    </row>
    <row r="7344" spans="1:14" hidden="1" outlineLevel="1" x14ac:dyDescent="0.15">
      <c r="A7344" s="23" t="str">
        <f>HYPERLINK("https://www.spark-marketing.ru/Card/Person/94380", "МАДОУ ""ДЕТСКИЙ САД №97 ""ПЧЕЛКА""")</f>
        <v>МАДОУ "ДЕТСКИЙ САД №97 "ПЧЕЛКА"</v>
      </c>
      <c r="B7344" s="24" t="s">
        <v>9655</v>
      </c>
      <c r="C7344" s="25">
        <v>1542860.8</v>
      </c>
      <c r="D7344" s="22" t="s">
        <v>11011</v>
      </c>
      <c r="E7344" s="22" t="s">
        <v>48</v>
      </c>
      <c r="F7344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44" s="22" t="s">
        <v>217</v>
      </c>
      <c r="H7344" s="22" t="s">
        <v>1998</v>
      </c>
      <c r="I7344" s="26">
        <v>43691.716666666704</v>
      </c>
      <c r="J7344" s="28" t="s">
        <v>51</v>
      </c>
      <c r="K7344" s="28" t="s">
        <v>51</v>
      </c>
      <c r="L7344" s="28" t="s">
        <v>51</v>
      </c>
      <c r="M7344" s="28" t="s">
        <v>51</v>
      </c>
      <c r="N7344" s="28" t="s">
        <v>51</v>
      </c>
    </row>
    <row r="7345" spans="1:14" hidden="1" outlineLevel="1" x14ac:dyDescent="0.2">
      <c r="A7345" s="28" t="s">
        <v>51</v>
      </c>
      <c r="B7345" s="28" t="s">
        <v>51</v>
      </c>
      <c r="C7345" s="28" t="s">
        <v>51</v>
      </c>
      <c r="D7345" s="22" t="s">
        <v>11011</v>
      </c>
      <c r="E7345" s="22" t="s">
        <v>48</v>
      </c>
      <c r="F7345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45" s="22" t="s">
        <v>51</v>
      </c>
      <c r="H7345" s="22" t="s">
        <v>51</v>
      </c>
      <c r="I7345" s="26">
        <v>43691.716666666704</v>
      </c>
      <c r="J7345" s="23" t="str">
        <f>HYPERLINK("https://www.spark-marketing.ru/Card/Person/87385", "ООО ""ШКОЛЬНОЕ ПИТАНИЕ""")</f>
        <v>ООО "ШКОЛЬНОЕ ПИТАНИЕ"</v>
      </c>
      <c r="K7345" s="24" t="s">
        <v>6356</v>
      </c>
      <c r="L7345" s="22" t="s">
        <v>10</v>
      </c>
      <c r="M7345" s="25">
        <v>37710766.079999998</v>
      </c>
      <c r="N7345" s="27">
        <v>0</v>
      </c>
    </row>
    <row r="7346" spans="1:14" hidden="1" outlineLevel="1" x14ac:dyDescent="0.2">
      <c r="A7346" s="28" t="s">
        <v>51</v>
      </c>
      <c r="B7346" s="28" t="s">
        <v>51</v>
      </c>
      <c r="C7346" s="28" t="s">
        <v>51</v>
      </c>
      <c r="D7346" s="22" t="s">
        <v>11011</v>
      </c>
      <c r="E7346" s="22" t="s">
        <v>48</v>
      </c>
      <c r="F7346" s="23" t="str">
        <f t="shared" si="157"/>
        <v>оказание услуг по организации сбалансированного питания воспитанников для нужд муниципальных автономных дошкольных образовательных учреждений</v>
      </c>
      <c r="G7346" s="22" t="s">
        <v>51</v>
      </c>
      <c r="H7346" s="22" t="s">
        <v>51</v>
      </c>
      <c r="I7346" s="26">
        <v>43691.716666666704</v>
      </c>
      <c r="J7346" s="23" t="str">
        <f>HYPERLINK("https://www.spark-marketing.ru/Card/Person/300377", "ООО ""ТУЙМАЗЫ-ФРУКТ""")</f>
        <v>ООО "ТУЙМАЗЫ-ФРУКТ"</v>
      </c>
      <c r="K7346" s="24" t="s">
        <v>9052</v>
      </c>
      <c r="L7346" s="28" t="s">
        <v>51</v>
      </c>
      <c r="M7346" s="25">
        <v>37710766.079999998</v>
      </c>
      <c r="N7346" s="27">
        <v>0</v>
      </c>
    </row>
    <row r="7347" spans="1:14" collapsed="1" x14ac:dyDescent="0.15">
      <c r="A7347" s="23" t="str">
        <f>HYPERLINK("https://www.spark-marketing.ru/Card/Person/134293", "МБОУ БЛ ИМ.М.БУРАНГУЛОВА С.РАЕВСКИЙ")</f>
        <v>МБОУ БЛ ИМ.М.БУРАНГУЛОВА С.РАЕВСКИЙ</v>
      </c>
      <c r="B7347" s="24" t="s">
        <v>11025</v>
      </c>
      <c r="C7347" s="25">
        <v>2427633.2799999998</v>
      </c>
      <c r="D7347" s="22" t="s">
        <v>11026</v>
      </c>
      <c r="E7347" s="22" t="s">
        <v>48</v>
      </c>
      <c r="F7347" s="23" t="str">
        <f>HYPERLINK("https://www.spark-marketing.ru/Card/Lot/72794683",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</v>
      </c>
      <c r="G7347" s="22" t="s">
        <v>145</v>
      </c>
      <c r="H7347" s="22" t="s">
        <v>10698</v>
      </c>
      <c r="I7347" s="26">
        <v>43691.669155092597</v>
      </c>
      <c r="J7347" s="28" t="s">
        <v>51</v>
      </c>
      <c r="K7347" s="28" t="s">
        <v>51</v>
      </c>
      <c r="L7347" s="28" t="s">
        <v>51</v>
      </c>
      <c r="M7347" s="28" t="s">
        <v>51</v>
      </c>
      <c r="N7347" s="28" t="s">
        <v>51</v>
      </c>
    </row>
    <row r="7348" spans="1:14" ht="12.75" hidden="1" outlineLevel="1" x14ac:dyDescent="0.2">
      <c r="A7348" s="23" t="str">
        <f>HYPERLINK("https://www.spark-marketing.ru/Card/Person/134293", "МБОУ БЛ ИМ.М.БУРАНГУЛОВА С.РАЕВСКИЙ")</f>
        <v>МБОУ БЛ ИМ.М.БУРАНГУЛОВА С.РАЕВСКИЙ</v>
      </c>
      <c r="B7348" s="24" t="s">
        <v>11025</v>
      </c>
      <c r="C7348" s="25">
        <v>2427633.2799999998</v>
      </c>
      <c r="D7348" s="22" t="s">
        <v>11026</v>
      </c>
      <c r="E7348" s="22" t="s">
        <v>48</v>
      </c>
      <c r="F7348" s="23" t="str">
        <f>HYPERLINK("https://www.spark-marketing.ru/Card/Lot/72794683",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</v>
      </c>
      <c r="G7348" s="22" t="s">
        <v>145</v>
      </c>
      <c r="H7348" s="22" t="s">
        <v>10698</v>
      </c>
      <c r="I7348" s="26">
        <v>43691.669155092597</v>
      </c>
      <c r="J7348" s="23" t="str">
        <f>HYPERLINK("https://www.spark-marketing.ru/Card/Person/776224", "Резяпова Гузель Римовна")</f>
        <v>Резяпова Гузель Римовна</v>
      </c>
      <c r="K7348" s="24" t="s">
        <v>10699</v>
      </c>
      <c r="L7348" s="22" t="s">
        <v>10</v>
      </c>
      <c r="M7348" s="25">
        <v>2427633.2799999998</v>
      </c>
      <c r="N7348" s="27">
        <v>0</v>
      </c>
    </row>
    <row r="7349" spans="1:14" hidden="1" outlineLevel="1" x14ac:dyDescent="0.2">
      <c r="A7349" s="23" t="str">
        <f>HYPERLINK("https://www.spark-marketing.ru/Card/Person/134293", "МБОУ БЛ ИМ.М.БУРАНГУЛОВА С.РАЕВСКИЙ")</f>
        <v>МБОУ БЛ ИМ.М.БУРАНГУЛОВА С.РАЕВСКИЙ</v>
      </c>
      <c r="B7349" s="24" t="s">
        <v>11025</v>
      </c>
      <c r="C7349" s="25">
        <v>2427633.2799999998</v>
      </c>
      <c r="D7349" s="22" t="s">
        <v>11026</v>
      </c>
      <c r="E7349" s="22" t="s">
        <v>48</v>
      </c>
      <c r="F7349" s="23" t="str">
        <f>HYPERLINK("https://www.spark-marketing.ru/Card/Lot/72794683",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</v>
      </c>
      <c r="G7349" s="22" t="s">
        <v>145</v>
      </c>
      <c r="H7349" s="22" t="s">
        <v>10698</v>
      </c>
      <c r="I7349" s="26">
        <v>43691.669155092597</v>
      </c>
      <c r="J7349" s="23" t="str">
        <f>HYPERLINK("https://www.spark-marketing.ru/Card/Person/154304", "Резяпов Анвар Явдатович")</f>
        <v>Резяпов Анвар Явдатович</v>
      </c>
      <c r="K7349" s="24" t="s">
        <v>10700</v>
      </c>
      <c r="L7349" s="28" t="s">
        <v>51</v>
      </c>
      <c r="M7349" s="25">
        <v>2427633.2799999998</v>
      </c>
      <c r="N7349" s="27">
        <v>0</v>
      </c>
    </row>
    <row r="7350" spans="1:14" hidden="1" outlineLevel="1" x14ac:dyDescent="0.2">
      <c r="A7350" s="23" t="str">
        <f>HYPERLINK("https://www.spark-marketing.ru/Card/Person/134293", "МБОУ БЛ ИМ.М.БУРАНГУЛОВА С.РАЕВСКИЙ")</f>
        <v>МБОУ БЛ ИМ.М.БУРАНГУЛОВА С.РАЕВСКИЙ</v>
      </c>
      <c r="B7350" s="24" t="s">
        <v>11025</v>
      </c>
      <c r="C7350" s="25">
        <v>2427633.2799999998</v>
      </c>
      <c r="D7350" s="22" t="s">
        <v>11026</v>
      </c>
      <c r="E7350" s="22" t="s">
        <v>48</v>
      </c>
      <c r="F7350" s="23" t="str">
        <f>HYPERLINK("https://www.spark-marketing.ru/Card/Lot/72794683",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</v>
      </c>
      <c r="G7350" s="22" t="s">
        <v>145</v>
      </c>
      <c r="H7350" s="22" t="s">
        <v>10698</v>
      </c>
      <c r="I7350" s="26">
        <v>43691.669155092597</v>
      </c>
      <c r="J7350" s="23" t="str">
        <f>HYPERLINK("https://www.spark-marketing.ru/Card/Person/6000615", "Тухватшин Денис Валериевич")</f>
        <v>Тухватшин Денис Валериевич</v>
      </c>
      <c r="K7350" s="24" t="s">
        <v>11027</v>
      </c>
      <c r="L7350" s="28" t="s">
        <v>51</v>
      </c>
      <c r="M7350" s="25">
        <v>2427633.2799999998</v>
      </c>
      <c r="N7350" s="27">
        <v>0</v>
      </c>
    </row>
    <row r="7351" spans="1:14" x14ac:dyDescent="0.15">
      <c r="A7351" s="23" t="str">
        <f>HYPERLINK("https://www.spark-marketing.ru/Card/Person/88607", "ГАУЗ ""РККВД""")</f>
        <v>ГАУЗ "РККВД"</v>
      </c>
      <c r="B7351" s="24" t="s">
        <v>2144</v>
      </c>
      <c r="C7351" s="25">
        <v>183096</v>
      </c>
      <c r="D7351" s="22" t="s">
        <v>11028</v>
      </c>
      <c r="E7351" s="22" t="s">
        <v>48</v>
      </c>
      <c r="F7351" s="23" t="str">
        <f>HYPERLINK("https://www.spark-marketing.ru/Card/Lot/72793833", "Оказание услуг по организации готового лечебного питания для больных, находящихся на стационарном лечении в «Бугульминском КВД"" - филиале ГАУЗ «РККВД» по адресу: г.Бугульма, ул. Ф.Энгельса, д. 27")</f>
        <v>Оказание услуг по организации готового лечебного питания для больных, находящихся на стационарном лечении в «Бугульминском КВД" - филиале ГАУЗ «РККВД» по адресу: г.Бугульма, ул. Ф.Энгельса, д. 27</v>
      </c>
      <c r="G7351" s="22" t="s">
        <v>217</v>
      </c>
      <c r="H7351" s="22" t="s">
        <v>11029</v>
      </c>
      <c r="I7351" s="26">
        <v>43691.697777777801</v>
      </c>
      <c r="J7351" s="23" t="str">
        <f>HYPERLINK("https://www.spark-marketing.ru/Card/Person/1677797", "Карнаухова Альбина Минравхатовна")</f>
        <v>Карнаухова Альбина Минравхатовна</v>
      </c>
      <c r="K7351" s="24" t="s">
        <v>11030</v>
      </c>
      <c r="L7351" s="22" t="s">
        <v>10</v>
      </c>
      <c r="M7351" s="28" t="s">
        <v>51</v>
      </c>
      <c r="N7351" s="28" t="s">
        <v>51</v>
      </c>
    </row>
    <row r="7352" spans="1:14" collapsed="1" x14ac:dyDescent="0.15">
      <c r="A7352" s="23" t="s">
        <v>114</v>
      </c>
      <c r="B7352" s="28" t="s">
        <v>51</v>
      </c>
      <c r="C7352" s="25">
        <v>8602080</v>
      </c>
      <c r="D7352" s="22" t="s">
        <v>11031</v>
      </c>
      <c r="E7352" s="22" t="s">
        <v>48</v>
      </c>
      <c r="F7352" s="23" t="str">
        <f t="shared" ref="F7352:F7373" si="158">HYPERLINK("https://www.spark-marketing.ru/Card/Lot/72795161", "оказание услуг по организации питания обучающихся")</f>
        <v>оказание услуг по организации питания обучающихся</v>
      </c>
      <c r="G7352" s="22" t="s">
        <v>51</v>
      </c>
      <c r="H7352" s="22" t="s">
        <v>51</v>
      </c>
      <c r="I7352" s="26">
        <v>43691.680300925902</v>
      </c>
      <c r="J7352" s="23" t="str">
        <f t="shared" ref="J7352:J7373" si="159">HYPERLINK("https://www.spark-marketing.ru/Card/Person/4390598", "МУП ""СТЭК+"" МО ""КОНАКОВСКИЙ РАЙОН""")</f>
        <v>МУП "СТЭК+" МО "КОНАКОВСКИЙ РАЙОН"</v>
      </c>
      <c r="K7352" s="24" t="s">
        <v>11032</v>
      </c>
      <c r="L7352" s="22" t="s">
        <v>10</v>
      </c>
      <c r="M7352" s="28" t="s">
        <v>51</v>
      </c>
      <c r="N7352" s="28" t="s">
        <v>51</v>
      </c>
    </row>
    <row r="7353" spans="1:14" hidden="1" outlineLevel="1" x14ac:dyDescent="0.15">
      <c r="A7353" s="23" t="str">
        <f>HYPERLINK("https://www.spark-marketing.ru/Card/Person/67462", "МБОУ СОШ № 1 П. НОВОЗАВИДОВСКИЙ")</f>
        <v>МБОУ СОШ № 1 П. НОВОЗАВИДОВСКИЙ</v>
      </c>
      <c r="B7353" s="24" t="s">
        <v>11033</v>
      </c>
      <c r="C7353" s="25">
        <v>583020</v>
      </c>
      <c r="D7353" s="22" t="s">
        <v>11031</v>
      </c>
      <c r="E7353" s="22" t="s">
        <v>48</v>
      </c>
      <c r="F7353" s="23" t="str">
        <f t="shared" si="158"/>
        <v>оказание услуг по организации питания обучающихся</v>
      </c>
      <c r="G7353" s="22" t="s">
        <v>137</v>
      </c>
      <c r="H7353" s="22" t="s">
        <v>137</v>
      </c>
      <c r="I7353" s="26">
        <v>43691.680300925902</v>
      </c>
      <c r="J7353" s="23" t="str">
        <f t="shared" si="159"/>
        <v>МУП "СТЭК+" МО "КОНАКОВСКИЙ РАЙОН"</v>
      </c>
      <c r="K7353" s="24" t="s">
        <v>11032</v>
      </c>
      <c r="L7353" s="22" t="s">
        <v>10</v>
      </c>
      <c r="M7353" s="28" t="s">
        <v>51</v>
      </c>
      <c r="N7353" s="28" t="s">
        <v>51</v>
      </c>
    </row>
    <row r="7354" spans="1:14" hidden="1" outlineLevel="1" x14ac:dyDescent="0.15">
      <c r="A7354" s="23" t="str">
        <f>HYPERLINK("https://www.spark-marketing.ru/Card/Person/94201", "МБОУ СОШ № 2 П. РЕДКИНО")</f>
        <v>МБОУ СОШ № 2 П. РЕДКИНО</v>
      </c>
      <c r="B7354" s="24" t="s">
        <v>11034</v>
      </c>
      <c r="C7354" s="25">
        <v>899200</v>
      </c>
      <c r="D7354" s="22" t="s">
        <v>11031</v>
      </c>
      <c r="E7354" s="22" t="s">
        <v>48</v>
      </c>
      <c r="F7354" s="23" t="str">
        <f t="shared" si="158"/>
        <v>оказание услуг по организации питания обучающихся</v>
      </c>
      <c r="G7354" s="22" t="s">
        <v>137</v>
      </c>
      <c r="H7354" s="22" t="s">
        <v>137</v>
      </c>
      <c r="I7354" s="26">
        <v>43691.680300925902</v>
      </c>
      <c r="J7354" s="23" t="str">
        <f t="shared" si="159"/>
        <v>МУП "СТЭК+" МО "КОНАКОВСКИЙ РАЙОН"</v>
      </c>
      <c r="K7354" s="24" t="s">
        <v>11032</v>
      </c>
      <c r="L7354" s="22" t="s">
        <v>10</v>
      </c>
      <c r="M7354" s="28" t="s">
        <v>51</v>
      </c>
      <c r="N7354" s="28" t="s">
        <v>51</v>
      </c>
    </row>
    <row r="7355" spans="1:14" hidden="1" outlineLevel="1" x14ac:dyDescent="0.15">
      <c r="A7355" s="23" t="str">
        <f>HYPERLINK("https://www.spark-marketing.ru/Card/Person/100168", "МБОУ СОШ №6 Г. КОНАКОВО")</f>
        <v>МБОУ СОШ №6 Г. КОНАКОВО</v>
      </c>
      <c r="B7355" s="24" t="s">
        <v>11035</v>
      </c>
      <c r="C7355" s="25">
        <v>811200</v>
      </c>
      <c r="D7355" s="22" t="s">
        <v>11031</v>
      </c>
      <c r="E7355" s="22" t="s">
        <v>48</v>
      </c>
      <c r="F7355" s="23" t="str">
        <f t="shared" si="158"/>
        <v>оказание услуг по организации питания обучающихся</v>
      </c>
      <c r="G7355" s="22" t="s">
        <v>137</v>
      </c>
      <c r="H7355" s="22" t="s">
        <v>11036</v>
      </c>
      <c r="I7355" s="26">
        <v>43691.680300925902</v>
      </c>
      <c r="J7355" s="23" t="str">
        <f t="shared" si="159"/>
        <v>МУП "СТЭК+" МО "КОНАКОВСКИЙ РАЙОН"</v>
      </c>
      <c r="K7355" s="24" t="s">
        <v>11032</v>
      </c>
      <c r="L7355" s="22" t="s">
        <v>10</v>
      </c>
      <c r="M7355" s="28" t="s">
        <v>51</v>
      </c>
      <c r="N7355" s="28" t="s">
        <v>51</v>
      </c>
    </row>
    <row r="7356" spans="1:14" hidden="1" outlineLevel="1" x14ac:dyDescent="0.15">
      <c r="A7356" s="23" t="str">
        <f>HYPERLINK("https://www.spark-marketing.ru/Card/Person/998376", "МБОУ СОШ № 2 ПОС. НОВОЗАВИДОВСКИЙ")</f>
        <v>МБОУ СОШ № 2 ПОС. НОВОЗАВИДОВСКИЙ</v>
      </c>
      <c r="B7356" s="24" t="s">
        <v>11037</v>
      </c>
      <c r="C7356" s="25">
        <v>518240</v>
      </c>
      <c r="D7356" s="22" t="s">
        <v>11031</v>
      </c>
      <c r="E7356" s="22" t="s">
        <v>48</v>
      </c>
      <c r="F7356" s="23" t="str">
        <f t="shared" si="158"/>
        <v>оказание услуг по организации питания обучающихся</v>
      </c>
      <c r="G7356" s="22" t="s">
        <v>137</v>
      </c>
      <c r="H7356" s="22" t="s">
        <v>137</v>
      </c>
      <c r="I7356" s="26">
        <v>43691.680300925902</v>
      </c>
      <c r="J7356" s="23" t="str">
        <f t="shared" si="159"/>
        <v>МУП "СТЭК+" МО "КОНАКОВСКИЙ РАЙОН"</v>
      </c>
      <c r="K7356" s="24" t="s">
        <v>11032</v>
      </c>
      <c r="L7356" s="22" t="s">
        <v>10</v>
      </c>
      <c r="M7356" s="28" t="s">
        <v>51</v>
      </c>
      <c r="N7356" s="28" t="s">
        <v>51</v>
      </c>
    </row>
    <row r="7357" spans="1:14" hidden="1" outlineLevel="1" x14ac:dyDescent="0.15">
      <c r="A7357" s="23" t="str">
        <f>HYPERLINK("https://www.spark-marketing.ru/Card/Person/1009887", "МБОУ СОШ ПОС. ОЗЕРКИ")</f>
        <v>МБОУ СОШ ПОС. ОЗЕРКИ</v>
      </c>
      <c r="B7357" s="24" t="s">
        <v>11038</v>
      </c>
      <c r="C7357" s="25">
        <v>256000</v>
      </c>
      <c r="D7357" s="22" t="s">
        <v>11031</v>
      </c>
      <c r="E7357" s="22" t="s">
        <v>48</v>
      </c>
      <c r="F7357" s="23" t="str">
        <f t="shared" si="158"/>
        <v>оказание услуг по организации питания обучающихся</v>
      </c>
      <c r="G7357" s="22" t="s">
        <v>137</v>
      </c>
      <c r="H7357" s="22" t="s">
        <v>137</v>
      </c>
      <c r="I7357" s="26">
        <v>43691.680300925902</v>
      </c>
      <c r="J7357" s="23" t="str">
        <f t="shared" si="159"/>
        <v>МУП "СТЭК+" МО "КОНАКОВСКИЙ РАЙОН"</v>
      </c>
      <c r="K7357" s="24" t="s">
        <v>11032</v>
      </c>
      <c r="L7357" s="22" t="s">
        <v>10</v>
      </c>
      <c r="M7357" s="28" t="s">
        <v>51</v>
      </c>
      <c r="N7357" s="28" t="s">
        <v>51</v>
      </c>
    </row>
    <row r="7358" spans="1:14" hidden="1" outlineLevel="1" x14ac:dyDescent="0.15">
      <c r="A7358" s="23" t="str">
        <f>HYPERLINK("https://www.spark-marketing.ru/Card/Person/1011373", "МБОУ СОШ С.ЗАВИДОВО")</f>
        <v>МБОУ СОШ С.ЗАВИДОВО</v>
      </c>
      <c r="B7358" s="24" t="s">
        <v>11039</v>
      </c>
      <c r="C7358" s="25">
        <v>217250</v>
      </c>
      <c r="D7358" s="22" t="s">
        <v>11031</v>
      </c>
      <c r="E7358" s="22" t="s">
        <v>48</v>
      </c>
      <c r="F7358" s="23" t="str">
        <f t="shared" si="158"/>
        <v>оказание услуг по организации питания обучающихся</v>
      </c>
      <c r="G7358" s="22" t="s">
        <v>137</v>
      </c>
      <c r="H7358" s="22" t="s">
        <v>137</v>
      </c>
      <c r="I7358" s="26">
        <v>43691.680300925902</v>
      </c>
      <c r="J7358" s="23" t="str">
        <f t="shared" si="159"/>
        <v>МУП "СТЭК+" МО "КОНАКОВСКИЙ РАЙОН"</v>
      </c>
      <c r="K7358" s="24" t="s">
        <v>11032</v>
      </c>
      <c r="L7358" s="22" t="s">
        <v>10</v>
      </c>
      <c r="M7358" s="28" t="s">
        <v>51</v>
      </c>
      <c r="N7358" s="28" t="s">
        <v>51</v>
      </c>
    </row>
    <row r="7359" spans="1:14" hidden="1" outlineLevel="1" x14ac:dyDescent="0.15">
      <c r="A7359" s="23" t="str">
        <f>HYPERLINK("https://www.spark-marketing.ru/Card/Person/1012383", "МБОУ СОШ Д.ВАХОНИНО")</f>
        <v>МБОУ СОШ Д.ВАХОНИНО</v>
      </c>
      <c r="B7359" s="24" t="s">
        <v>11040</v>
      </c>
      <c r="C7359" s="25">
        <v>277200</v>
      </c>
      <c r="D7359" s="22" t="s">
        <v>11031</v>
      </c>
      <c r="E7359" s="22" t="s">
        <v>48</v>
      </c>
      <c r="F7359" s="23" t="str">
        <f t="shared" si="158"/>
        <v>оказание услуг по организации питания обучающихся</v>
      </c>
      <c r="G7359" s="22" t="s">
        <v>137</v>
      </c>
      <c r="H7359" s="22" t="s">
        <v>137</v>
      </c>
      <c r="I7359" s="26">
        <v>43691.680300925902</v>
      </c>
      <c r="J7359" s="23" t="str">
        <f t="shared" si="159"/>
        <v>МУП "СТЭК+" МО "КОНАКОВСКИЙ РАЙОН"</v>
      </c>
      <c r="K7359" s="24" t="s">
        <v>11032</v>
      </c>
      <c r="L7359" s="22" t="s">
        <v>10</v>
      </c>
      <c r="M7359" s="28" t="s">
        <v>51</v>
      </c>
      <c r="N7359" s="28" t="s">
        <v>51</v>
      </c>
    </row>
    <row r="7360" spans="1:14" hidden="1" outlineLevel="1" x14ac:dyDescent="0.15">
      <c r="A7360" s="23" t="str">
        <f>HYPERLINK("https://www.spark-marketing.ru/Card/Person/1038022", "МБОУ СОШ №2 Г. КОНАКОВО")</f>
        <v>МБОУ СОШ №2 Г. КОНАКОВО</v>
      </c>
      <c r="B7360" s="24" t="s">
        <v>11041</v>
      </c>
      <c r="C7360" s="25">
        <v>602770</v>
      </c>
      <c r="D7360" s="22" t="s">
        <v>11031</v>
      </c>
      <c r="E7360" s="22" t="s">
        <v>48</v>
      </c>
      <c r="F7360" s="23" t="str">
        <f t="shared" si="158"/>
        <v>оказание услуг по организации питания обучающихся</v>
      </c>
      <c r="G7360" s="22" t="s">
        <v>137</v>
      </c>
      <c r="H7360" s="22" t="s">
        <v>137</v>
      </c>
      <c r="I7360" s="26">
        <v>43691.680300925902</v>
      </c>
      <c r="J7360" s="23" t="str">
        <f t="shared" si="159"/>
        <v>МУП "СТЭК+" МО "КОНАКОВСКИЙ РАЙОН"</v>
      </c>
      <c r="K7360" s="24" t="s">
        <v>11032</v>
      </c>
      <c r="L7360" s="22" t="s">
        <v>10</v>
      </c>
      <c r="M7360" s="28" t="s">
        <v>51</v>
      </c>
      <c r="N7360" s="28" t="s">
        <v>51</v>
      </c>
    </row>
    <row r="7361" spans="1:14" hidden="1" outlineLevel="1" x14ac:dyDescent="0.15">
      <c r="A7361" s="23" t="str">
        <f>HYPERLINK("https://www.spark-marketing.ru/Card/Person/1038265", "МБОУ СКШ №4 Г. КОНАКОВО")</f>
        <v>МБОУ СКШ №4 Г. КОНАКОВО</v>
      </c>
      <c r="B7361" s="24" t="s">
        <v>11042</v>
      </c>
      <c r="C7361" s="25">
        <v>417120</v>
      </c>
      <c r="D7361" s="22" t="s">
        <v>11031</v>
      </c>
      <c r="E7361" s="22" t="s">
        <v>48</v>
      </c>
      <c r="F7361" s="23" t="str">
        <f t="shared" si="158"/>
        <v>оказание услуг по организации питания обучающихся</v>
      </c>
      <c r="G7361" s="22" t="s">
        <v>137</v>
      </c>
      <c r="H7361" s="22" t="s">
        <v>137</v>
      </c>
      <c r="I7361" s="26">
        <v>43691.680300925902</v>
      </c>
      <c r="J7361" s="23" t="str">
        <f t="shared" si="159"/>
        <v>МУП "СТЭК+" МО "КОНАКОВСКИЙ РАЙОН"</v>
      </c>
      <c r="K7361" s="24" t="s">
        <v>11032</v>
      </c>
      <c r="L7361" s="22" t="s">
        <v>10</v>
      </c>
      <c r="M7361" s="28" t="s">
        <v>51</v>
      </c>
      <c r="N7361" s="28" t="s">
        <v>51</v>
      </c>
    </row>
    <row r="7362" spans="1:14" hidden="1" outlineLevel="1" x14ac:dyDescent="0.15">
      <c r="A7362" s="23" t="str">
        <f>HYPERLINK("https://www.spark-marketing.ru/Card/Person/1038866", "МБОУ СОШ №3 Г. КОНАКОВО")</f>
        <v>МБОУ СОШ №3 Г. КОНАКОВО</v>
      </c>
      <c r="B7362" s="24" t="s">
        <v>11043</v>
      </c>
      <c r="C7362" s="25">
        <v>705600</v>
      </c>
      <c r="D7362" s="22" t="s">
        <v>11031</v>
      </c>
      <c r="E7362" s="22" t="s">
        <v>48</v>
      </c>
      <c r="F7362" s="23" t="str">
        <f t="shared" si="158"/>
        <v>оказание услуг по организации питания обучающихся</v>
      </c>
      <c r="G7362" s="22" t="s">
        <v>137</v>
      </c>
      <c r="H7362" s="22" t="s">
        <v>137</v>
      </c>
      <c r="I7362" s="26">
        <v>43691.680300925902</v>
      </c>
      <c r="J7362" s="23" t="str">
        <f t="shared" si="159"/>
        <v>МУП "СТЭК+" МО "КОНАКОВСКИЙ РАЙОН"</v>
      </c>
      <c r="K7362" s="24" t="s">
        <v>11032</v>
      </c>
      <c r="L7362" s="22" t="s">
        <v>10</v>
      </c>
      <c r="M7362" s="28" t="s">
        <v>51</v>
      </c>
      <c r="N7362" s="28" t="s">
        <v>51</v>
      </c>
    </row>
    <row r="7363" spans="1:14" hidden="1" outlineLevel="1" x14ac:dyDescent="0.15">
      <c r="A7363" s="23" t="str">
        <f>HYPERLINK("https://www.spark-marketing.ru/Card/Person/1039687", "МБОУ СОШ №1 Г.КОНАКОВО ИМ.ДЕНИСА СТРЕБИНА")</f>
        <v>МБОУ СОШ №1 Г.КОНАКОВО ИМ.ДЕНИСА СТРЕБИНА</v>
      </c>
      <c r="B7363" s="24" t="s">
        <v>11044</v>
      </c>
      <c r="C7363" s="25">
        <v>359450</v>
      </c>
      <c r="D7363" s="22" t="s">
        <v>11031</v>
      </c>
      <c r="E7363" s="22" t="s">
        <v>48</v>
      </c>
      <c r="F7363" s="23" t="str">
        <f t="shared" si="158"/>
        <v>оказание услуг по организации питания обучающихся</v>
      </c>
      <c r="G7363" s="22" t="s">
        <v>137</v>
      </c>
      <c r="H7363" s="22" t="s">
        <v>137</v>
      </c>
      <c r="I7363" s="26">
        <v>43691.680300925902</v>
      </c>
      <c r="J7363" s="23" t="str">
        <f t="shared" si="159"/>
        <v>МУП "СТЭК+" МО "КОНАКОВСКИЙ РАЙОН"</v>
      </c>
      <c r="K7363" s="24" t="s">
        <v>11032</v>
      </c>
      <c r="L7363" s="22" t="s">
        <v>10</v>
      </c>
      <c r="M7363" s="28" t="s">
        <v>51</v>
      </c>
      <c r="N7363" s="28" t="s">
        <v>51</v>
      </c>
    </row>
    <row r="7364" spans="1:14" hidden="1" outlineLevel="1" x14ac:dyDescent="0.15">
      <c r="A7364" s="23" t="str">
        <f>HYPERLINK("https://www.spark-marketing.ru/Card/Person/1039688", "МБОУ СОШ С. СЕЛИХОВО")</f>
        <v>МБОУ СОШ С. СЕЛИХОВО</v>
      </c>
      <c r="B7364" s="24" t="s">
        <v>11045</v>
      </c>
      <c r="C7364" s="25">
        <v>224000</v>
      </c>
      <c r="D7364" s="22" t="s">
        <v>11031</v>
      </c>
      <c r="E7364" s="22" t="s">
        <v>48</v>
      </c>
      <c r="F7364" s="23" t="str">
        <f t="shared" si="158"/>
        <v>оказание услуг по организации питания обучающихся</v>
      </c>
      <c r="G7364" s="22" t="s">
        <v>137</v>
      </c>
      <c r="H7364" s="22" t="s">
        <v>137</v>
      </c>
      <c r="I7364" s="26">
        <v>43691.680300925902</v>
      </c>
      <c r="J7364" s="23" t="str">
        <f t="shared" si="159"/>
        <v>МУП "СТЭК+" МО "КОНАКОВСКИЙ РАЙОН"</v>
      </c>
      <c r="K7364" s="24" t="s">
        <v>11032</v>
      </c>
      <c r="L7364" s="22" t="s">
        <v>10</v>
      </c>
      <c r="M7364" s="28" t="s">
        <v>51</v>
      </c>
      <c r="N7364" s="28" t="s">
        <v>51</v>
      </c>
    </row>
    <row r="7365" spans="1:14" hidden="1" outlineLevel="1" x14ac:dyDescent="0.15">
      <c r="A7365" s="23" t="str">
        <f>HYPERLINK("https://www.spark-marketing.ru/Card/Person/1042474", "МБОУ ООШ Д. СТАРОЕ МЕЛКОВО")</f>
        <v>МБОУ ООШ Д. СТАРОЕ МЕЛКОВО</v>
      </c>
      <c r="B7365" s="24" t="s">
        <v>11046</v>
      </c>
      <c r="C7365" s="25">
        <v>96000</v>
      </c>
      <c r="D7365" s="22" t="s">
        <v>11031</v>
      </c>
      <c r="E7365" s="22" t="s">
        <v>48</v>
      </c>
      <c r="F7365" s="23" t="str">
        <f t="shared" si="158"/>
        <v>оказание услуг по организации питания обучающихся</v>
      </c>
      <c r="G7365" s="22" t="s">
        <v>137</v>
      </c>
      <c r="H7365" s="22" t="s">
        <v>137</v>
      </c>
      <c r="I7365" s="26">
        <v>43691.680300925902</v>
      </c>
      <c r="J7365" s="23" t="str">
        <f t="shared" si="159"/>
        <v>МУП "СТЭК+" МО "КОНАКОВСКИЙ РАЙОН"</v>
      </c>
      <c r="K7365" s="24" t="s">
        <v>11032</v>
      </c>
      <c r="L7365" s="22" t="s">
        <v>10</v>
      </c>
      <c r="M7365" s="28" t="s">
        <v>51</v>
      </c>
      <c r="N7365" s="28" t="s">
        <v>51</v>
      </c>
    </row>
    <row r="7366" spans="1:14" hidden="1" outlineLevel="1" x14ac:dyDescent="0.15">
      <c r="A7366" s="23" t="str">
        <f>HYPERLINK("https://www.spark-marketing.ru/Card/Person/1044135", "МБОУ СОШ ПОС.РАДЧЕНКО")</f>
        <v>МБОУ СОШ ПОС.РАДЧЕНКО</v>
      </c>
      <c r="B7366" s="24" t="s">
        <v>11047</v>
      </c>
      <c r="C7366" s="25">
        <v>265650</v>
      </c>
      <c r="D7366" s="22" t="s">
        <v>11031</v>
      </c>
      <c r="E7366" s="22" t="s">
        <v>48</v>
      </c>
      <c r="F7366" s="23" t="str">
        <f t="shared" si="158"/>
        <v>оказание услуг по организации питания обучающихся</v>
      </c>
      <c r="G7366" s="22" t="s">
        <v>137</v>
      </c>
      <c r="H7366" s="22" t="s">
        <v>137</v>
      </c>
      <c r="I7366" s="26">
        <v>43691.680300925902</v>
      </c>
      <c r="J7366" s="23" t="str">
        <f t="shared" si="159"/>
        <v>МУП "СТЭК+" МО "КОНАКОВСКИЙ РАЙОН"</v>
      </c>
      <c r="K7366" s="24" t="s">
        <v>11032</v>
      </c>
      <c r="L7366" s="22" t="s">
        <v>10</v>
      </c>
      <c r="M7366" s="28" t="s">
        <v>51</v>
      </c>
      <c r="N7366" s="28" t="s">
        <v>51</v>
      </c>
    </row>
    <row r="7367" spans="1:14" hidden="1" outlineLevel="1" x14ac:dyDescent="0.15">
      <c r="A7367" s="23" t="str">
        <f>HYPERLINK("https://www.spark-marketing.ru/Card/Person/4353492", "МБОУ СОШ № 3 ПОС. РЕДКИНО")</f>
        <v>МБОУ СОШ № 3 ПОС. РЕДКИНО</v>
      </c>
      <c r="B7367" s="24" t="s">
        <v>11048</v>
      </c>
      <c r="C7367" s="25">
        <v>442400</v>
      </c>
      <c r="D7367" s="22" t="s">
        <v>11031</v>
      </c>
      <c r="E7367" s="22" t="s">
        <v>48</v>
      </c>
      <c r="F7367" s="23" t="str">
        <f t="shared" si="158"/>
        <v>оказание услуг по организации питания обучающихся</v>
      </c>
      <c r="G7367" s="22" t="s">
        <v>137</v>
      </c>
      <c r="H7367" s="22" t="s">
        <v>137</v>
      </c>
      <c r="I7367" s="26">
        <v>43691.680300925902</v>
      </c>
      <c r="J7367" s="23" t="str">
        <f t="shared" si="159"/>
        <v>МУП "СТЭК+" МО "КОНАКОВСКИЙ РАЙОН"</v>
      </c>
      <c r="K7367" s="24" t="s">
        <v>11032</v>
      </c>
      <c r="L7367" s="22" t="s">
        <v>10</v>
      </c>
      <c r="M7367" s="28" t="s">
        <v>51</v>
      </c>
      <c r="N7367" s="28" t="s">
        <v>51</v>
      </c>
    </row>
    <row r="7368" spans="1:14" hidden="1" outlineLevel="1" x14ac:dyDescent="0.15">
      <c r="A7368" s="23" t="str">
        <f>HYPERLINK("https://www.spark-marketing.ru/Card/Person/4353915", "МБОУ СОШ №1 П. РЕДКИНО")</f>
        <v>МБОУ СОШ №1 П. РЕДКИНО</v>
      </c>
      <c r="B7368" s="24" t="s">
        <v>11049</v>
      </c>
      <c r="C7368" s="25">
        <v>516670</v>
      </c>
      <c r="D7368" s="22" t="s">
        <v>11031</v>
      </c>
      <c r="E7368" s="22" t="s">
        <v>48</v>
      </c>
      <c r="F7368" s="23" t="str">
        <f t="shared" si="158"/>
        <v>оказание услуг по организации питания обучающихся</v>
      </c>
      <c r="G7368" s="22" t="s">
        <v>137</v>
      </c>
      <c r="H7368" s="22" t="s">
        <v>137</v>
      </c>
      <c r="I7368" s="26">
        <v>43691.680300925902</v>
      </c>
      <c r="J7368" s="23" t="str">
        <f t="shared" si="159"/>
        <v>МУП "СТЭК+" МО "КОНАКОВСКИЙ РАЙОН"</v>
      </c>
      <c r="K7368" s="24" t="s">
        <v>11032</v>
      </c>
      <c r="L7368" s="22" t="s">
        <v>10</v>
      </c>
      <c r="M7368" s="28" t="s">
        <v>51</v>
      </c>
      <c r="N7368" s="28" t="s">
        <v>51</v>
      </c>
    </row>
    <row r="7369" spans="1:14" hidden="1" outlineLevel="1" x14ac:dyDescent="0.15">
      <c r="A7369" s="23" t="str">
        <f>HYPERLINK("https://www.spark-marketing.ru/Card/Person/4373590", "МБОУ СОШ Д. МОКШИНО")</f>
        <v>МБОУ СОШ Д. МОКШИНО</v>
      </c>
      <c r="B7369" s="24" t="s">
        <v>11050</v>
      </c>
      <c r="C7369" s="25">
        <v>572110</v>
      </c>
      <c r="D7369" s="22" t="s">
        <v>11031</v>
      </c>
      <c r="E7369" s="22" t="s">
        <v>48</v>
      </c>
      <c r="F7369" s="23" t="str">
        <f t="shared" si="158"/>
        <v>оказание услуг по организации питания обучающихся</v>
      </c>
      <c r="G7369" s="22" t="s">
        <v>137</v>
      </c>
      <c r="H7369" s="22" t="s">
        <v>137</v>
      </c>
      <c r="I7369" s="26">
        <v>43691.680300925902</v>
      </c>
      <c r="J7369" s="23" t="str">
        <f t="shared" si="159"/>
        <v>МУП "СТЭК+" МО "КОНАКОВСКИЙ РАЙОН"</v>
      </c>
      <c r="K7369" s="24" t="s">
        <v>11032</v>
      </c>
      <c r="L7369" s="22" t="s">
        <v>10</v>
      </c>
      <c r="M7369" s="28" t="s">
        <v>51</v>
      </c>
      <c r="N7369" s="28" t="s">
        <v>51</v>
      </c>
    </row>
    <row r="7370" spans="1:14" hidden="1" outlineLevel="1" x14ac:dyDescent="0.15">
      <c r="A7370" s="23" t="str">
        <f>HYPERLINK("https://www.spark-marketing.ru/Card/Person/4376991", "МБОУ СОШ С.ДМИТРОВА ГОРА")</f>
        <v>МБОУ СОШ С.ДМИТРОВА ГОРА</v>
      </c>
      <c r="B7370" s="24" t="s">
        <v>11051</v>
      </c>
      <c r="C7370" s="25">
        <v>205400</v>
      </c>
      <c r="D7370" s="22" t="s">
        <v>11031</v>
      </c>
      <c r="E7370" s="22" t="s">
        <v>48</v>
      </c>
      <c r="F7370" s="23" t="str">
        <f t="shared" si="158"/>
        <v>оказание услуг по организации питания обучающихся</v>
      </c>
      <c r="G7370" s="22" t="s">
        <v>137</v>
      </c>
      <c r="H7370" s="22" t="s">
        <v>137</v>
      </c>
      <c r="I7370" s="26">
        <v>43691.680300925902</v>
      </c>
      <c r="J7370" s="23" t="str">
        <f t="shared" si="159"/>
        <v>МУП "СТЭК+" МО "КОНАКОВСКИЙ РАЙОН"</v>
      </c>
      <c r="K7370" s="24" t="s">
        <v>11032</v>
      </c>
      <c r="L7370" s="22" t="s">
        <v>10</v>
      </c>
      <c r="M7370" s="28" t="s">
        <v>51</v>
      </c>
      <c r="N7370" s="28" t="s">
        <v>51</v>
      </c>
    </row>
    <row r="7371" spans="1:14" hidden="1" outlineLevel="1" x14ac:dyDescent="0.15">
      <c r="A7371" s="23" t="str">
        <f>HYPERLINK("https://www.spark-marketing.ru/Card/Person/4377494", "МБОУ СОШ П.ИЗОПЛИТ")</f>
        <v>МБОУ СОШ П.ИЗОПЛИТ</v>
      </c>
      <c r="B7371" s="24" t="s">
        <v>11052</v>
      </c>
      <c r="C7371" s="25">
        <v>158400</v>
      </c>
      <c r="D7371" s="22" t="s">
        <v>11031</v>
      </c>
      <c r="E7371" s="22" t="s">
        <v>48</v>
      </c>
      <c r="F7371" s="23" t="str">
        <f t="shared" si="158"/>
        <v>оказание услуг по организации питания обучающихся</v>
      </c>
      <c r="G7371" s="22" t="s">
        <v>137</v>
      </c>
      <c r="H7371" s="22" t="s">
        <v>137</v>
      </c>
      <c r="I7371" s="26">
        <v>43691.680300925902</v>
      </c>
      <c r="J7371" s="23" t="str">
        <f t="shared" si="159"/>
        <v>МУП "СТЭК+" МО "КОНАКОВСКИЙ РАЙОН"</v>
      </c>
      <c r="K7371" s="24" t="s">
        <v>11032</v>
      </c>
      <c r="L7371" s="22" t="s">
        <v>10</v>
      </c>
      <c r="M7371" s="28" t="s">
        <v>51</v>
      </c>
      <c r="N7371" s="28" t="s">
        <v>51</v>
      </c>
    </row>
    <row r="7372" spans="1:14" hidden="1" outlineLevel="1" x14ac:dyDescent="0.15">
      <c r="A7372" s="23" t="str">
        <f>HYPERLINK("https://www.spark-marketing.ru/Card/Person/4377735", "МБОУ СОШ С.ГОРОДНЯ")</f>
        <v>МБОУ СОШ С.ГОРОДНЯ</v>
      </c>
      <c r="B7372" s="24" t="s">
        <v>11053</v>
      </c>
      <c r="C7372" s="25">
        <v>300800</v>
      </c>
      <c r="D7372" s="22" t="s">
        <v>11031</v>
      </c>
      <c r="E7372" s="22" t="s">
        <v>48</v>
      </c>
      <c r="F7372" s="23" t="str">
        <f t="shared" si="158"/>
        <v>оказание услуг по организации питания обучающихся</v>
      </c>
      <c r="G7372" s="22" t="s">
        <v>137</v>
      </c>
      <c r="H7372" s="22" t="s">
        <v>137</v>
      </c>
      <c r="I7372" s="26">
        <v>43691.680300925902</v>
      </c>
      <c r="J7372" s="23" t="str">
        <f t="shared" si="159"/>
        <v>МУП "СТЭК+" МО "КОНАКОВСКИЙ РАЙОН"</v>
      </c>
      <c r="K7372" s="24" t="s">
        <v>11032</v>
      </c>
      <c r="L7372" s="22" t="s">
        <v>10</v>
      </c>
      <c r="M7372" s="28" t="s">
        <v>51</v>
      </c>
      <c r="N7372" s="28" t="s">
        <v>51</v>
      </c>
    </row>
    <row r="7373" spans="1:14" hidden="1" outlineLevel="1" x14ac:dyDescent="0.15">
      <c r="A7373" s="23" t="str">
        <f>HYPERLINK("https://www.spark-marketing.ru/Card/Person/4379506", "МБОУ СОШ Д. РУЧЬИ")</f>
        <v>МБОУ СОШ Д. РУЧЬИ</v>
      </c>
      <c r="B7373" s="24" t="s">
        <v>11054</v>
      </c>
      <c r="C7373" s="25">
        <v>173600</v>
      </c>
      <c r="D7373" s="22" t="s">
        <v>11031</v>
      </c>
      <c r="E7373" s="22" t="s">
        <v>48</v>
      </c>
      <c r="F7373" s="23" t="str">
        <f t="shared" si="158"/>
        <v>оказание услуг по организации питания обучающихся</v>
      </c>
      <c r="G7373" s="22" t="s">
        <v>137</v>
      </c>
      <c r="H7373" s="22" t="s">
        <v>137</v>
      </c>
      <c r="I7373" s="26">
        <v>43691.680300925902</v>
      </c>
      <c r="J7373" s="23" t="str">
        <f t="shared" si="159"/>
        <v>МУП "СТЭК+" МО "КОНАКОВСКИЙ РАЙОН"</v>
      </c>
      <c r="K7373" s="24" t="s">
        <v>11032</v>
      </c>
      <c r="L7373" s="22" t="s">
        <v>10</v>
      </c>
      <c r="M7373" s="28" t="s">
        <v>51</v>
      </c>
      <c r="N7373" s="28" t="s">
        <v>51</v>
      </c>
    </row>
    <row r="7374" spans="1:14" collapsed="1" x14ac:dyDescent="0.15">
      <c r="A7374" s="23" t="str">
        <f>HYPERLINK("https://www.spark-marketing.ru/Card/Person/2867", "ФГБУ ""НМИЦ ГБ ИМ. ГЕЛЬМГОЛЬЦА"" МИНЗДРАВА РОССИИ")</f>
        <v>ФГБУ "НМИЦ ГБ ИМ. ГЕЛЬМГОЛЬЦА" МИНЗДРАВА РОССИИ</v>
      </c>
      <c r="B7374" s="24" t="s">
        <v>11055</v>
      </c>
      <c r="C7374" s="25">
        <v>4057078.15</v>
      </c>
      <c r="D7374" s="22" t="s">
        <v>11056</v>
      </c>
      <c r="E7374" s="22" t="s">
        <v>62</v>
      </c>
      <c r="F7374" s="23" t="str">
        <f>HYPERLINK("https://www.spark-marketing.ru/Card/Lot/72794947", "Оказание услуг по изготовлению индивидуальной печатной продукции")</f>
        <v>Оказание услуг по изготовлению индивидуальной печатной продукции</v>
      </c>
      <c r="G7374" s="22" t="s">
        <v>56</v>
      </c>
      <c r="H7374" s="22" t="s">
        <v>56</v>
      </c>
      <c r="I7374" s="26">
        <v>43691.598113425898</v>
      </c>
      <c r="J7374" s="23" t="str">
        <f>HYPERLINK("https://www.spark-marketing.ru/Card/Person/6251235", "Минин Георгий Владимирович")</f>
        <v>Минин Георгий Владимирович</v>
      </c>
      <c r="K7374" s="24" t="s">
        <v>11057</v>
      </c>
      <c r="L7374" s="28" t="s">
        <v>51</v>
      </c>
      <c r="M7374" s="28" t="s">
        <v>51</v>
      </c>
      <c r="N7374" s="28" t="s">
        <v>51</v>
      </c>
    </row>
    <row r="7375" spans="1:14" ht="12.75" hidden="1" outlineLevel="1" x14ac:dyDescent="0.2">
      <c r="A7375" s="23" t="str">
        <f>HYPERLINK("https://www.spark-marketing.ru/Card/Person/2867", "ФГБУ ""НМИЦ ГБ ИМ. ГЕЛЬМГОЛЬЦА"" МИНЗДРАВА РОССИИ")</f>
        <v>ФГБУ "НМИЦ ГБ ИМ. ГЕЛЬМГОЛЬЦА" МИНЗДРАВА РОССИИ</v>
      </c>
      <c r="B7375" s="24" t="s">
        <v>11055</v>
      </c>
      <c r="C7375" s="25">
        <v>4057078.15</v>
      </c>
      <c r="D7375" s="22" t="s">
        <v>11056</v>
      </c>
      <c r="E7375" s="22" t="s">
        <v>62</v>
      </c>
      <c r="F7375" s="23" t="str">
        <f>HYPERLINK("https://www.spark-marketing.ru/Card/Lot/72794947", "Оказание услуг по изготовлению индивидуальной печатной продукции")</f>
        <v>Оказание услуг по изготовлению индивидуальной печатной продукции</v>
      </c>
      <c r="G7375" s="22" t="s">
        <v>56</v>
      </c>
      <c r="H7375" s="22" t="s">
        <v>56</v>
      </c>
      <c r="I7375" s="26">
        <v>43691.598113425898</v>
      </c>
      <c r="J7375" s="23" t="str">
        <f>HYPERLINK("https://www.spark-marketing.ru/Card/Person/6251235", "Минин Георгий Владимирович")</f>
        <v>Минин Георгий Владимирович</v>
      </c>
      <c r="K7375" s="24" t="s">
        <v>11057</v>
      </c>
      <c r="L7375" s="22" t="s">
        <v>10</v>
      </c>
      <c r="M7375" s="25">
        <v>4036700</v>
      </c>
      <c r="N7375" s="27">
        <v>5.0228635600721664E-3</v>
      </c>
    </row>
    <row r="7376" spans="1:14" x14ac:dyDescent="0.15">
      <c r="A7376" s="23" t="str">
        <f>HYPERLINK("https://www.spark-marketing.ru/Card/Person/999802", "МО МВД РОССИИ ""ГОРОДЕЦКИЙ""")</f>
        <v>МО МВД РОССИИ "ГОРОДЕЦКИЙ"</v>
      </c>
      <c r="B7376" s="24" t="s">
        <v>11058</v>
      </c>
      <c r="C7376" s="25">
        <v>932150.62</v>
      </c>
      <c r="D7376" s="22" t="s">
        <v>11059</v>
      </c>
      <c r="E7376" s="22" t="s">
        <v>48</v>
      </c>
      <c r="F7376" s="23" t="str">
        <f>HYPERLINK("https://www.spark-marketing.ru/Card/Lot/72795464", "оказание услуг по питанию лиц, содержащихся в ИВС и задержанных в административном порядке в МО МВД России ""Городецкий"" в 2021 году")</f>
        <v>оказание услуг по питанию лиц, содержащихся в ИВС и задержанных в административном порядке в МО МВД России "Городецкий" в 2021 году</v>
      </c>
      <c r="G7376" s="22" t="s">
        <v>76</v>
      </c>
      <c r="H7376" s="22" t="s">
        <v>11060</v>
      </c>
      <c r="I7376" s="26">
        <v>43691.650451388901</v>
      </c>
      <c r="J7376" s="23" t="str">
        <f>HYPERLINK("https://www.spark-marketing.ru/Card/Person/1263885", "Киселев Павел Сергеевич")</f>
        <v>Киселев Павел Сергеевич</v>
      </c>
      <c r="K7376" s="24" t="s">
        <v>11061</v>
      </c>
      <c r="L7376" s="22" t="s">
        <v>10</v>
      </c>
      <c r="M7376" s="28" t="s">
        <v>51</v>
      </c>
      <c r="N7376" s="28" t="s">
        <v>51</v>
      </c>
    </row>
    <row r="7377" spans="1:14" x14ac:dyDescent="0.15">
      <c r="A7377" s="23" t="str">
        <f>HYPERLINK("https://www.spark-marketing.ru/Card/Person/8437", "ОГБУЗ ""ИОПНД""")</f>
        <v>ОГБУЗ "ИОПНД"</v>
      </c>
      <c r="B7377" s="24" t="s">
        <v>4312</v>
      </c>
      <c r="C7377" s="25">
        <v>3251059.2</v>
      </c>
      <c r="D7377" s="22" t="s">
        <v>11062</v>
      </c>
      <c r="E7377" s="22" t="s">
        <v>48</v>
      </c>
      <c r="F7377" s="23" t="str">
        <f>HYPERLINK("https://www.spark-marketing.ru/Card/Lot/72782204", "Оказание услуг по обеспечению готовым горячим питанием пациентов")</f>
        <v>Оказание услуг по обеспечению готовым горячим питанием пациентов</v>
      </c>
      <c r="G7377" s="22" t="s">
        <v>263</v>
      </c>
      <c r="H7377" s="22" t="s">
        <v>2768</v>
      </c>
      <c r="I7377" s="26">
        <v>43691.682939814797</v>
      </c>
      <c r="J7377" s="28" t="s">
        <v>51</v>
      </c>
      <c r="K7377" s="28" t="s">
        <v>51</v>
      </c>
      <c r="L7377" s="28" t="s">
        <v>51</v>
      </c>
      <c r="M7377" s="28" t="s">
        <v>51</v>
      </c>
      <c r="N7377" s="28" t="s">
        <v>51</v>
      </c>
    </row>
    <row r="7378" spans="1:14" collapsed="1" x14ac:dyDescent="0.15">
      <c r="A7378" s="23" t="str">
        <f>HYPERLINK("https://www.spark-marketing.ru/Card/Person/1031529", "ФБУЗ ИМЦ РОСПОТРЕБНАДЗОРА")</f>
        <v>ФБУЗ ИМЦ РОСПОТРЕБНАДЗОРА</v>
      </c>
      <c r="B7378" s="24" t="s">
        <v>11063</v>
      </c>
      <c r="C7378" s="25">
        <v>7800000</v>
      </c>
      <c r="D7378" s="22" t="s">
        <v>11064</v>
      </c>
      <c r="E7378" s="22" t="s">
        <v>9738</v>
      </c>
      <c r="F7378" s="23" t="str">
        <f>HYPERLINK("https://www.spark-marketing.ru/Card/Lot/72794875", "Выполнение работ по созданию Информационного ресурса, направленного на защиту потребителей от недостоверной информации о продукции, в том числе не соответствующей принципам здорового питания, и содержащий результаты оценки качества пищевой продукции,...")</f>
        <v>Выполнение работ по созданию Информационного ресурса, направленного на защиту потребителей от недостоверной информации о продукции, в том числе не соответствующей принципам здорового питания, и содержащий результаты оценки качества пищевой продукции,...</v>
      </c>
      <c r="G7378" s="22" t="s">
        <v>56</v>
      </c>
      <c r="H7378" s="22" t="s">
        <v>56</v>
      </c>
      <c r="I7378" s="26">
        <v>43691.675694444399</v>
      </c>
      <c r="J7378" s="28" t="s">
        <v>51</v>
      </c>
      <c r="K7378" s="28" t="s">
        <v>51</v>
      </c>
      <c r="L7378" s="28" t="s">
        <v>51</v>
      </c>
      <c r="M7378" s="28" t="s">
        <v>51</v>
      </c>
      <c r="N7378" s="28" t="s">
        <v>51</v>
      </c>
    </row>
    <row r="7379" spans="1:14" ht="12.75" hidden="1" outlineLevel="1" x14ac:dyDescent="0.2">
      <c r="A7379" s="23" t="str">
        <f>HYPERLINK("https://www.spark-marketing.ru/Card/Person/1031529", "ФБУЗ ИМЦ РОСПОТРЕБНАДЗОРА")</f>
        <v>ФБУЗ ИМЦ РОСПОТРЕБНАДЗОРА</v>
      </c>
      <c r="B7379" s="24" t="s">
        <v>11063</v>
      </c>
      <c r="C7379" s="25">
        <v>7800000</v>
      </c>
      <c r="D7379" s="22" t="s">
        <v>11064</v>
      </c>
      <c r="E7379" s="22" t="s">
        <v>9738</v>
      </c>
      <c r="F7379" s="23" t="str">
        <f>HYPERLINK("https://www.spark-marketing.ru/Card/Lot/72794875", "Выполнение работ по созданию Информационного ресурса, направленного на защиту потребителей от недостоверной информации о продукции, в том числе не соответствующей принципам здорового питания, и содержащий результаты оценки качества пищевой продукции,...")</f>
        <v>Выполнение работ по созданию Информационного ресурса, направленного на защиту потребителей от недостоверной информации о продукции, в том числе не соответствующей принципам здорового питания, и содержащий результаты оценки качества пищевой продукции,...</v>
      </c>
      <c r="G7379" s="22" t="s">
        <v>56</v>
      </c>
      <c r="H7379" s="22" t="s">
        <v>56</v>
      </c>
      <c r="I7379" s="26">
        <v>43691.675694444399</v>
      </c>
      <c r="J7379" s="23" t="str">
        <f>HYPERLINK("https://www.spark-marketing.ru/Card/Person/1977606", "ООО ""РЭДМЭДРОБОТ""")</f>
        <v>ООО "РЭДМЭДРОБОТ"</v>
      </c>
      <c r="K7379" s="24" t="s">
        <v>11065</v>
      </c>
      <c r="L7379" s="22" t="s">
        <v>10</v>
      </c>
      <c r="M7379" s="25">
        <v>5770000</v>
      </c>
      <c r="N7379" s="27">
        <v>0.26025641025641028</v>
      </c>
    </row>
    <row r="7380" spans="1:14" hidden="1" outlineLevel="1" x14ac:dyDescent="0.2">
      <c r="A7380" s="23" t="str">
        <f>HYPERLINK("https://www.spark-marketing.ru/Card/Person/1031529", "ФБУЗ ИМЦ РОСПОТРЕБНАДЗОРА")</f>
        <v>ФБУЗ ИМЦ РОСПОТРЕБНАДЗОРА</v>
      </c>
      <c r="B7380" s="24" t="s">
        <v>11063</v>
      </c>
      <c r="C7380" s="25">
        <v>7800000</v>
      </c>
      <c r="D7380" s="22" t="s">
        <v>11064</v>
      </c>
      <c r="E7380" s="22" t="s">
        <v>9738</v>
      </c>
      <c r="F7380" s="23" t="str">
        <f>HYPERLINK("https://www.spark-marketing.ru/Card/Lot/72794875", "Выполнение работ по созданию Информационного ресурса, направленного на защиту потребителей от недостоверной информации о продукции, в том числе не соответствующей принципам здорового питания, и содержащий результаты оценки качества пищевой продукции,...")</f>
        <v>Выполнение работ по созданию Информационного ресурса, направленного на защиту потребителей от недостоверной информации о продукции, в том числе не соответствующей принципам здорового питания, и содержащий результаты оценки качества пищевой продукции,...</v>
      </c>
      <c r="G7380" s="22" t="s">
        <v>56</v>
      </c>
      <c r="H7380" s="22" t="s">
        <v>56</v>
      </c>
      <c r="I7380" s="26">
        <v>43691.675694444399</v>
      </c>
      <c r="J7380" s="23" t="str">
        <f>HYPERLINK("https://www.spark-marketing.ru/Card/Person/6365434", "ООО ""ИНТЕГРО""")</f>
        <v>ООО "ИНТЕГРО"</v>
      </c>
      <c r="K7380" s="24" t="s">
        <v>11066</v>
      </c>
      <c r="L7380" s="28" t="s">
        <v>51</v>
      </c>
      <c r="M7380" s="25">
        <v>7800000</v>
      </c>
      <c r="N7380" s="27">
        <v>0</v>
      </c>
    </row>
    <row r="7381" spans="1:14" collapsed="1" x14ac:dyDescent="0.15">
      <c r="A7381" s="23" t="str">
        <f>HYPERLINK("https://www.spark-marketing.ru/Card/Person/8437", "ОГБУЗ ""ИОПНД""")</f>
        <v>ОГБУЗ "ИОПНД"</v>
      </c>
      <c r="B7381" s="24" t="s">
        <v>4312</v>
      </c>
      <c r="C7381" s="25">
        <v>4880370</v>
      </c>
      <c r="D7381" s="22" t="s">
        <v>11067</v>
      </c>
      <c r="E7381" s="22" t="s">
        <v>48</v>
      </c>
      <c r="F7381" s="23" t="str">
        <f>HYPERLINK("https://www.spark-marketing.ru/Card/Lot/72782203", "Оказание услуг по обеспечению диетическим питанием пациентов")</f>
        <v>Оказание услуг по обеспечению диетическим питанием пациентов</v>
      </c>
      <c r="G7381" s="22" t="s">
        <v>263</v>
      </c>
      <c r="H7381" s="22" t="s">
        <v>2768</v>
      </c>
      <c r="I7381" s="26">
        <v>43691.681585648097</v>
      </c>
      <c r="J7381" s="28" t="s">
        <v>51</v>
      </c>
      <c r="K7381" s="28" t="s">
        <v>51</v>
      </c>
      <c r="L7381" s="28" t="s">
        <v>51</v>
      </c>
      <c r="M7381" s="28" t="s">
        <v>51</v>
      </c>
      <c r="N7381" s="28" t="s">
        <v>51</v>
      </c>
    </row>
    <row r="7382" spans="1:14" hidden="1" outlineLevel="1" x14ac:dyDescent="0.2">
      <c r="A7382" s="23" t="str">
        <f>HYPERLINK("https://www.spark-marketing.ru/Card/Person/8437", "ОГБУЗ ""ИОПНД""")</f>
        <v>ОГБУЗ "ИОПНД"</v>
      </c>
      <c r="B7382" s="24" t="s">
        <v>4312</v>
      </c>
      <c r="C7382" s="25">
        <v>4880370</v>
      </c>
      <c r="D7382" s="22" t="s">
        <v>11067</v>
      </c>
      <c r="E7382" s="22" t="s">
        <v>48</v>
      </c>
      <c r="F7382" s="23" t="str">
        <f>HYPERLINK("https://www.spark-marketing.ru/Card/Lot/72782203", "Оказание услуг по обеспечению диетическим питанием пациентов")</f>
        <v>Оказание услуг по обеспечению диетическим питанием пациентов</v>
      </c>
      <c r="G7382" s="22" t="s">
        <v>263</v>
      </c>
      <c r="H7382" s="22" t="s">
        <v>2768</v>
      </c>
      <c r="I7382" s="26">
        <v>43691.681585648097</v>
      </c>
      <c r="J7382" s="23" t="str">
        <f>HYPERLINK("https://www.spark-marketing.ru/Card/Person/6690295", "Лапчева Надежда Борисовна")</f>
        <v>Лапчева Надежда Борисовна</v>
      </c>
      <c r="K7382" s="24" t="s">
        <v>4483</v>
      </c>
      <c r="L7382" s="28" t="s">
        <v>51</v>
      </c>
      <c r="M7382" s="25">
        <v>3513866</v>
      </c>
      <c r="N7382" s="27">
        <v>0.28000008196099885</v>
      </c>
    </row>
    <row r="7383" spans="1:14" ht="12.75" hidden="1" outlineLevel="1" x14ac:dyDescent="0.2">
      <c r="A7383" s="23" t="str">
        <f>HYPERLINK("https://www.spark-marketing.ru/Card/Person/8437", "ОГБУЗ ""ИОПНД""")</f>
        <v>ОГБУЗ "ИОПНД"</v>
      </c>
      <c r="B7383" s="24" t="s">
        <v>4312</v>
      </c>
      <c r="C7383" s="25">
        <v>4880370</v>
      </c>
      <c r="D7383" s="22" t="s">
        <v>11067</v>
      </c>
      <c r="E7383" s="22" t="s">
        <v>48</v>
      </c>
      <c r="F7383" s="23" t="str">
        <f>HYPERLINK("https://www.spark-marketing.ru/Card/Lot/72782203", "Оказание услуг по обеспечению диетическим питанием пациентов")</f>
        <v>Оказание услуг по обеспечению диетическим питанием пациентов</v>
      </c>
      <c r="G7383" s="22" t="s">
        <v>263</v>
      </c>
      <c r="H7383" s="22" t="s">
        <v>2768</v>
      </c>
      <c r="I7383" s="26">
        <v>43691.681585648097</v>
      </c>
      <c r="J7383" s="23" t="str">
        <f>HYPERLINK("https://www.spark-marketing.ru/Card/Person/112724", "Скороходова Ольга Валерьевна")</f>
        <v>Скороходова Ольга Валерьевна</v>
      </c>
      <c r="K7383" s="24" t="s">
        <v>4484</v>
      </c>
      <c r="L7383" s="22" t="s">
        <v>10</v>
      </c>
      <c r="M7383" s="25">
        <v>3489464.55</v>
      </c>
      <c r="N7383" s="27">
        <v>0.28499999999999998</v>
      </c>
    </row>
    <row r="7384" spans="1:14" x14ac:dyDescent="0.15">
      <c r="A7384" s="23" t="str">
        <f>HYPERLINK("https://www.spark-marketing.ru/Card/Person/235381", "МОУ ""СОШ № 5""")</f>
        <v>МОУ "СОШ № 5"</v>
      </c>
      <c r="B7384" s="24" t="s">
        <v>6572</v>
      </c>
      <c r="C7384" s="25">
        <v>57120</v>
      </c>
      <c r="D7384" s="22" t="s">
        <v>11068</v>
      </c>
      <c r="E7384" s="22" t="s">
        <v>48</v>
      </c>
      <c r="F7384" s="23" t="str">
        <f>HYPERLINK("https://www.spark-marketing.ru/Card/Lot/72791620", "Оказание услуг по обеспечению льготным питанием детей из малообеспеченных семей и детей с нарушением здоровья")</f>
        <v>Оказание услуг по обеспечению льготным питанием детей из малообеспеченных семей и детей с нарушением здоровья</v>
      </c>
      <c r="G7384" s="22" t="s">
        <v>469</v>
      </c>
      <c r="H7384" s="22" t="s">
        <v>5961</v>
      </c>
      <c r="I7384" s="26">
        <v>43691.675694444399</v>
      </c>
      <c r="J7384" s="28" t="s">
        <v>51</v>
      </c>
      <c r="K7384" s="28" t="s">
        <v>51</v>
      </c>
      <c r="L7384" s="28" t="s">
        <v>51</v>
      </c>
      <c r="M7384" s="28" t="s">
        <v>51</v>
      </c>
      <c r="N7384" s="28" t="s">
        <v>51</v>
      </c>
    </row>
    <row r="7385" spans="1:14" collapsed="1" x14ac:dyDescent="0.15">
      <c r="A7385" s="23" t="str">
        <f>HYPERLINK("https://www.spark-marketing.ru/Card/Person/240707", "МБОУ ГИМНАЗИЯ С.РАЕВСКИЙ")</f>
        <v>МБОУ ГИМНАЗИЯ С.РАЕВСКИЙ</v>
      </c>
      <c r="B7385" s="24" t="s">
        <v>11069</v>
      </c>
      <c r="C7385" s="25">
        <v>491959.16</v>
      </c>
      <c r="D7385" s="22" t="s">
        <v>11070</v>
      </c>
      <c r="E7385" s="22" t="s">
        <v>48</v>
      </c>
      <c r="F7385" s="23" t="str">
        <f>HYPERLINK("https://www.spark-marketing.ru/Card/Lot/72788582",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385" s="22" t="s">
        <v>145</v>
      </c>
      <c r="H7385" s="22" t="s">
        <v>10698</v>
      </c>
      <c r="I7385" s="26">
        <v>43691.638263888897</v>
      </c>
      <c r="J7385" s="28" t="s">
        <v>51</v>
      </c>
      <c r="K7385" s="28" t="s">
        <v>51</v>
      </c>
      <c r="L7385" s="28" t="s">
        <v>51</v>
      </c>
      <c r="M7385" s="28" t="s">
        <v>51</v>
      </c>
      <c r="N7385" s="28" t="s">
        <v>51</v>
      </c>
    </row>
    <row r="7386" spans="1:14" ht="12.75" hidden="1" outlineLevel="1" x14ac:dyDescent="0.2">
      <c r="A7386" s="23" t="str">
        <f>HYPERLINK("https://www.spark-marketing.ru/Card/Person/240707", "МБОУ ГИМНАЗИЯ С.РАЕВСКИЙ")</f>
        <v>МБОУ ГИМНАЗИЯ С.РАЕВСКИЙ</v>
      </c>
      <c r="B7386" s="24" t="s">
        <v>11069</v>
      </c>
      <c r="C7386" s="25">
        <v>491959.16</v>
      </c>
      <c r="D7386" s="22" t="s">
        <v>11070</v>
      </c>
      <c r="E7386" s="22" t="s">
        <v>48</v>
      </c>
      <c r="F7386" s="23" t="str">
        <f>HYPERLINK("https://www.spark-marketing.ru/Card/Lot/72788582",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386" s="22" t="s">
        <v>145</v>
      </c>
      <c r="H7386" s="22" t="s">
        <v>10698</v>
      </c>
      <c r="I7386" s="26">
        <v>43691.638263888897</v>
      </c>
      <c r="J7386" s="23" t="str">
        <f>HYPERLINK("https://www.spark-marketing.ru/Card/Person/776224", "Резяпова Гузель Римовна")</f>
        <v>Резяпова Гузель Римовна</v>
      </c>
      <c r="K7386" s="24" t="s">
        <v>10699</v>
      </c>
      <c r="L7386" s="22" t="s">
        <v>10</v>
      </c>
      <c r="M7386" s="25">
        <v>491959.16</v>
      </c>
      <c r="N7386" s="27">
        <v>0</v>
      </c>
    </row>
    <row r="7387" spans="1:14" hidden="1" outlineLevel="1" x14ac:dyDescent="0.2">
      <c r="A7387" s="23" t="str">
        <f>HYPERLINK("https://www.spark-marketing.ru/Card/Person/240707", "МБОУ ГИМНАЗИЯ С.РАЕВСКИЙ")</f>
        <v>МБОУ ГИМНАЗИЯ С.РАЕВСКИЙ</v>
      </c>
      <c r="B7387" s="24" t="s">
        <v>11069</v>
      </c>
      <c r="C7387" s="25">
        <v>491959.16</v>
      </c>
      <c r="D7387" s="22" t="s">
        <v>11070</v>
      </c>
      <c r="E7387" s="22" t="s">
        <v>48</v>
      </c>
      <c r="F7387" s="23" t="str">
        <f>HYPERLINK("https://www.spark-marketing.ru/Card/Lot/72788582",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387" s="22" t="s">
        <v>145</v>
      </c>
      <c r="H7387" s="22" t="s">
        <v>10698</v>
      </c>
      <c r="I7387" s="26">
        <v>43691.638263888897</v>
      </c>
      <c r="J7387" s="23" t="str">
        <f>HYPERLINK("https://www.spark-marketing.ru/Card/Person/154304", "Резяпов Анвар Явдатович")</f>
        <v>Резяпов Анвар Явдатович</v>
      </c>
      <c r="K7387" s="24" t="s">
        <v>10700</v>
      </c>
      <c r="L7387" s="28" t="s">
        <v>51</v>
      </c>
      <c r="M7387" s="25">
        <v>491959.16</v>
      </c>
      <c r="N7387" s="27">
        <v>0</v>
      </c>
    </row>
    <row r="7388" spans="1:14" collapsed="1" x14ac:dyDescent="0.15">
      <c r="A7388" s="23" t="str">
        <f>HYPERLINK("https://www.spark-marketing.ru/Card/Person/147330", "УМВД РОССИИ ПО ИВАНОВСКОЙ ОБЛАСТИ")</f>
        <v>УМВД РОССИИ ПО ИВАНОВСКОЙ ОБЛАСТИ</v>
      </c>
      <c r="B7388" s="24" t="s">
        <v>10236</v>
      </c>
      <c r="C7388" s="25">
        <v>3297300</v>
      </c>
      <c r="D7388" s="22" t="s">
        <v>11071</v>
      </c>
      <c r="E7388" s="22" t="s">
        <v>48</v>
      </c>
      <c r="F7388" s="23" t="str">
        <f>HYPERLINK("https://www.spark-marketing.ru/Card/Lot/72795020", "Оказание услуг по организации питания для лиц, содержащихся в Изоляторе временного содержания  и Специальном приемнике УМВД России по Ивановской области")</f>
        <v>Оказание услуг по организации питания для лиц, содержащихся в Изоляторе временного содержания  и Специальном приемнике УМВД России по Ивановской области</v>
      </c>
      <c r="G7388" s="22" t="s">
        <v>1047</v>
      </c>
      <c r="H7388" s="22" t="s">
        <v>1047</v>
      </c>
      <c r="I7388" s="26">
        <v>43691.632581018501</v>
      </c>
      <c r="J7388" s="28" t="s">
        <v>51</v>
      </c>
      <c r="K7388" s="28" t="s">
        <v>51</v>
      </c>
      <c r="L7388" s="28" t="s">
        <v>51</v>
      </c>
      <c r="M7388" s="28" t="s">
        <v>51</v>
      </c>
      <c r="N7388" s="28" t="s">
        <v>51</v>
      </c>
    </row>
    <row r="7389" spans="1:14" ht="12.75" hidden="1" outlineLevel="1" x14ac:dyDescent="0.2">
      <c r="A7389" s="23" t="str">
        <f>HYPERLINK("https://www.spark-marketing.ru/Card/Person/147330", "УМВД РОССИИ ПО ИВАНОВСКОЙ ОБЛАСТИ")</f>
        <v>УМВД РОССИИ ПО ИВАНОВСКОЙ ОБЛАСТИ</v>
      </c>
      <c r="B7389" s="24" t="s">
        <v>10236</v>
      </c>
      <c r="C7389" s="25">
        <v>3297300</v>
      </c>
      <c r="D7389" s="22" t="s">
        <v>11071</v>
      </c>
      <c r="E7389" s="22" t="s">
        <v>48</v>
      </c>
      <c r="F7389" s="23" t="str">
        <f>HYPERLINK("https://www.spark-marketing.ru/Card/Lot/72795020", "Оказание услуг по организации питания для лиц, содержащихся в Изоляторе временного содержания  и Специальном приемнике УМВД России по Ивановской области")</f>
        <v>Оказание услуг по организации питания для лиц, содержащихся в Изоляторе временного содержания  и Специальном приемнике УМВД России по Ивановской области</v>
      </c>
      <c r="G7389" s="22" t="s">
        <v>1047</v>
      </c>
      <c r="H7389" s="22" t="s">
        <v>1047</v>
      </c>
      <c r="I7389" s="26">
        <v>43691.632581018501</v>
      </c>
      <c r="J7389" s="23" t="str">
        <f>HYPERLINK("https://www.spark-marketing.ru/Card/Person/511897", "ООО ""СНАБЖЕНИЕ""")</f>
        <v>ООО "СНАБЖЕНИЕ"</v>
      </c>
      <c r="K7389" s="24" t="s">
        <v>1957</v>
      </c>
      <c r="L7389" s="22" t="s">
        <v>10</v>
      </c>
      <c r="M7389" s="25">
        <v>863.52</v>
      </c>
      <c r="N7389" s="27">
        <v>0.99973811300154669</v>
      </c>
    </row>
    <row r="7390" spans="1:14" hidden="1" outlineLevel="1" x14ac:dyDescent="0.2">
      <c r="A7390" s="23" t="str">
        <f>HYPERLINK("https://www.spark-marketing.ru/Card/Person/147330", "УМВД РОССИИ ПО ИВАНОВСКОЙ ОБЛАСТИ")</f>
        <v>УМВД РОССИИ ПО ИВАНОВСКОЙ ОБЛАСТИ</v>
      </c>
      <c r="B7390" s="24" t="s">
        <v>10236</v>
      </c>
      <c r="C7390" s="25">
        <v>3297300</v>
      </c>
      <c r="D7390" s="22" t="s">
        <v>11071</v>
      </c>
      <c r="E7390" s="22" t="s">
        <v>48</v>
      </c>
      <c r="F7390" s="23" t="str">
        <f>HYPERLINK("https://www.spark-marketing.ru/Card/Lot/72795020", "Оказание услуг по организации питания для лиц, содержащихся в Изоляторе временного содержания  и Специальном приемнике УМВД России по Ивановской области")</f>
        <v>Оказание услуг по организации питания для лиц, содержащихся в Изоляторе временного содержания  и Специальном приемнике УМВД России по Ивановской области</v>
      </c>
      <c r="G7390" s="22" t="s">
        <v>1047</v>
      </c>
      <c r="H7390" s="22" t="s">
        <v>1047</v>
      </c>
      <c r="I7390" s="26">
        <v>43691.632581018501</v>
      </c>
      <c r="J7390" s="23" t="str">
        <f>HYPERLINK("https://www.spark-marketing.ru/Card/Person/4872314", "ООО ""ФОРТУНА""")</f>
        <v>ООО "ФОРТУНА"</v>
      </c>
      <c r="K7390" s="24" t="s">
        <v>1955</v>
      </c>
      <c r="L7390" s="28" t="s">
        <v>51</v>
      </c>
      <c r="M7390" s="25">
        <v>872.43</v>
      </c>
      <c r="N7390" s="27">
        <v>0.99973541079064687</v>
      </c>
    </row>
    <row r="7391" spans="1:14" x14ac:dyDescent="0.15">
      <c r="A7391" s="23" t="str">
        <f>HYPERLINK("https://www.spark-marketing.ru/Card/Person/999511", "ОМВД РОССИИ ПО ЛИХОСЛАВЛЬСКОМУ РАЙОНУ")</f>
        <v>ОМВД РОССИИ ПО ЛИХОСЛАВЛЬСКОМУ РАЙОНУ</v>
      </c>
      <c r="B7391" s="24" t="s">
        <v>10895</v>
      </c>
      <c r="C7391" s="25">
        <v>435870</v>
      </c>
      <c r="D7391" s="22" t="s">
        <v>11072</v>
      </c>
      <c r="E7391" s="22" t="s">
        <v>48</v>
      </c>
      <c r="F7391" s="23" t="str">
        <f>HYPERLINK("https://www.spark-marketing.ru/Card/Lot/72794030", "Услуги по питанию в ИВС")</f>
        <v>Услуги по питанию в ИВС</v>
      </c>
      <c r="G7391" s="22" t="s">
        <v>137</v>
      </c>
      <c r="H7391" s="22" t="s">
        <v>10897</v>
      </c>
      <c r="I7391" s="26">
        <v>43691.628692129598</v>
      </c>
      <c r="J7391" s="23" t="str">
        <f>HYPERLINK("https://www.spark-marketing.ru/Card/Person/5852096", "Беджанян Ева Шахмаловна")</f>
        <v>Беджанян Ева Шахмаловна</v>
      </c>
      <c r="K7391" s="24" t="s">
        <v>10898</v>
      </c>
      <c r="L7391" s="22" t="s">
        <v>10</v>
      </c>
      <c r="M7391" s="28" t="s">
        <v>51</v>
      </c>
      <c r="N7391" s="28" t="s">
        <v>51</v>
      </c>
    </row>
    <row r="7392" spans="1:14" x14ac:dyDescent="0.15">
      <c r="A7392" s="23" t="str">
        <f>HYPERLINK("https://www.spark-marketing.ru/Card/Person/52181", "ГБУЗ СК "" ПКСКЦ""")</f>
        <v>ГБУЗ СК " ПКСКЦ"</v>
      </c>
      <c r="B7392" s="24" t="s">
        <v>11073</v>
      </c>
      <c r="C7392" s="25">
        <v>527100</v>
      </c>
      <c r="D7392" s="22" t="s">
        <v>11074</v>
      </c>
      <c r="E7392" s="22" t="s">
        <v>48</v>
      </c>
      <c r="F7392" s="23" t="str">
        <f>HYPERLINK("https://www.spark-marketing.ru/Card/Lot/72793934", "оказание услуг по организации лечебного питания")</f>
        <v>оказание услуг по организации лечебного питания</v>
      </c>
      <c r="G7392" s="22" t="s">
        <v>87</v>
      </c>
      <c r="H7392" s="22" t="s">
        <v>5826</v>
      </c>
      <c r="I7392" s="26">
        <v>43691.454756944397</v>
      </c>
      <c r="J7392" s="23" t="str">
        <f>HYPERLINK("https://www.spark-marketing.ru/Card/Person/4934894", "Мурзин Дмитрий Тимофеевич")</f>
        <v>Мурзин Дмитрий Тимофеевич</v>
      </c>
      <c r="K7392" s="24" t="s">
        <v>11075</v>
      </c>
      <c r="L7392" s="22" t="s">
        <v>10</v>
      </c>
      <c r="M7392" s="28" t="s">
        <v>51</v>
      </c>
      <c r="N7392" s="28" t="s">
        <v>51</v>
      </c>
    </row>
    <row r="7393" spans="1:14" collapsed="1" x14ac:dyDescent="0.15">
      <c r="A7393" s="23" t="str">
        <f>HYPERLINK("https://www.spark-marketing.ru/Card/Person/147330", "УМВД РОССИИ ПО ИВАНОВСКОЙ ОБЛАСТИ")</f>
        <v>УМВД РОССИИ ПО ИВАНОВСКОЙ ОБЛАСТИ</v>
      </c>
      <c r="B7393" s="24" t="s">
        <v>10236</v>
      </c>
      <c r="C7393" s="25">
        <v>3297300</v>
      </c>
      <c r="D7393" s="22" t="s">
        <v>11076</v>
      </c>
      <c r="E7393" s="22" t="s">
        <v>48</v>
      </c>
      <c r="F7393" s="23" t="str">
        <f>HYPERLINK("https://www.spark-marketing.ru/Card/Lot/72795006", "Оказание услуг по организации питания для лиц, содержащихся в Изоляторе временного содержания и Специальном приемнике УМВД России по Ивановской области")</f>
        <v>Оказание услуг по организации питания для лиц, содержащихся в Изоляторе временного содержания и Специальном приемнике УМВД России по Ивановской области</v>
      </c>
      <c r="G7393" s="22" t="s">
        <v>1047</v>
      </c>
      <c r="H7393" s="22" t="s">
        <v>1047</v>
      </c>
      <c r="I7393" s="26">
        <v>43691.630983796298</v>
      </c>
      <c r="J7393" s="28" t="s">
        <v>51</v>
      </c>
      <c r="K7393" s="28" t="s">
        <v>51</v>
      </c>
      <c r="L7393" s="28" t="s">
        <v>51</v>
      </c>
      <c r="M7393" s="28" t="s">
        <v>51</v>
      </c>
      <c r="N7393" s="28" t="s">
        <v>51</v>
      </c>
    </row>
    <row r="7394" spans="1:14" ht="12.75" hidden="1" outlineLevel="1" x14ac:dyDescent="0.2">
      <c r="A7394" s="23" t="str">
        <f>HYPERLINK("https://www.spark-marketing.ru/Card/Person/147330", "УМВД РОССИИ ПО ИВАНОВСКОЙ ОБЛАСТИ")</f>
        <v>УМВД РОССИИ ПО ИВАНОВСКОЙ ОБЛАСТИ</v>
      </c>
      <c r="B7394" s="24" t="s">
        <v>10236</v>
      </c>
      <c r="C7394" s="25">
        <v>3297300</v>
      </c>
      <c r="D7394" s="22" t="s">
        <v>11076</v>
      </c>
      <c r="E7394" s="22" t="s">
        <v>48</v>
      </c>
      <c r="F7394" s="23" t="str">
        <f>HYPERLINK("https://www.spark-marketing.ru/Card/Lot/72795006", "Оказание услуг по организации питания для лиц, содержащихся в Изоляторе временного содержания и Специальном приемнике УМВД России по Ивановской области")</f>
        <v>Оказание услуг по организации питания для лиц, содержащихся в Изоляторе временного содержания и Специальном приемнике УМВД России по Ивановской области</v>
      </c>
      <c r="G7394" s="22" t="s">
        <v>1047</v>
      </c>
      <c r="H7394" s="22" t="s">
        <v>1047</v>
      </c>
      <c r="I7394" s="26">
        <v>43691.630983796298</v>
      </c>
      <c r="J7394" s="23" t="str">
        <f>HYPERLINK("https://www.spark-marketing.ru/Card/Person/236610", "Пискарев Владимир Евгеньевич")</f>
        <v>Пискарев Владимир Евгеньевич</v>
      </c>
      <c r="K7394" s="24" t="s">
        <v>1954</v>
      </c>
      <c r="L7394" s="22" t="s">
        <v>10</v>
      </c>
      <c r="M7394" s="25">
        <v>833.69</v>
      </c>
      <c r="N7394" s="27">
        <v>0.99974715979741002</v>
      </c>
    </row>
    <row r="7395" spans="1:14" hidden="1" outlineLevel="1" x14ac:dyDescent="0.2">
      <c r="A7395" s="23" t="str">
        <f>HYPERLINK("https://www.spark-marketing.ru/Card/Person/147330", "УМВД РОССИИ ПО ИВАНОВСКОЙ ОБЛАСТИ")</f>
        <v>УМВД РОССИИ ПО ИВАНОВСКОЙ ОБЛАСТИ</v>
      </c>
      <c r="B7395" s="24" t="s">
        <v>10236</v>
      </c>
      <c r="C7395" s="25">
        <v>3297300</v>
      </c>
      <c r="D7395" s="22" t="s">
        <v>11076</v>
      </c>
      <c r="E7395" s="22" t="s">
        <v>48</v>
      </c>
      <c r="F7395" s="23" t="str">
        <f>HYPERLINK("https://www.spark-marketing.ru/Card/Lot/72795006", "Оказание услуг по организации питания для лиц, содержащихся в Изоляторе временного содержания и Специальном приемнике УМВД России по Ивановской области")</f>
        <v>Оказание услуг по организации питания для лиц, содержащихся в Изоляторе временного содержания и Специальном приемнике УМВД России по Ивановской области</v>
      </c>
      <c r="G7395" s="22" t="s">
        <v>1047</v>
      </c>
      <c r="H7395" s="22" t="s">
        <v>1047</v>
      </c>
      <c r="I7395" s="26">
        <v>43691.630983796298</v>
      </c>
      <c r="J7395" s="23" t="str">
        <f>HYPERLINK("https://www.spark-marketing.ru/Card/Person/4872314", "ООО ""ФОРТУНА""")</f>
        <v>ООО "ФОРТУНА"</v>
      </c>
      <c r="K7395" s="24" t="s">
        <v>1955</v>
      </c>
      <c r="L7395" s="28" t="s">
        <v>51</v>
      </c>
      <c r="M7395" s="25">
        <v>843.27</v>
      </c>
      <c r="N7395" s="27">
        <v>0.9997442543899554</v>
      </c>
    </row>
    <row r="7396" spans="1:14" x14ac:dyDescent="0.15">
      <c r="A7396" s="23" t="str">
        <f>HYPERLINK("https://www.spark-marketing.ru/Card/Person/1015772", "ОМВД РОССИИ ПО УВАТСКОМУ РАЙОНУ")</f>
        <v>ОМВД РОССИИ ПО УВАТСКОМУ РАЙОНУ</v>
      </c>
      <c r="B7396" s="24" t="s">
        <v>7170</v>
      </c>
      <c r="C7396" s="25">
        <v>220400</v>
      </c>
      <c r="D7396" s="22" t="s">
        <v>11077</v>
      </c>
      <c r="E7396" s="22" t="s">
        <v>96</v>
      </c>
      <c r="F7396" s="23" t="str">
        <f>HYPERLINK("https://www.spark-marketing.ru/Card/Lot/72785701", "Оказание услуг по организации питания (приготовлению и доставке), 800 шт")</f>
        <v>Оказание услуг по организации питания (приготовлению и доставке), 800 шт</v>
      </c>
      <c r="G7396" s="22" t="s">
        <v>766</v>
      </c>
      <c r="H7396" s="22" t="s">
        <v>7172</v>
      </c>
      <c r="I7396" s="26">
        <v>43691.5859375</v>
      </c>
      <c r="J7396" s="28" t="s">
        <v>51</v>
      </c>
      <c r="K7396" s="28" t="s">
        <v>51</v>
      </c>
      <c r="L7396" s="28" t="s">
        <v>51</v>
      </c>
      <c r="M7396" s="28" t="s">
        <v>51</v>
      </c>
      <c r="N7396" s="28" t="s">
        <v>51</v>
      </c>
    </row>
    <row r="7397" spans="1:14" collapsed="1" x14ac:dyDescent="0.15">
      <c r="A7397" s="23" t="str">
        <f>HYPERLINK("https://www.spark-marketing.ru/Card/Person/8568", "УПРАВЛЕНИЕ МВД РОССИИ ПО ГОРОДУ САРАТОВУ")</f>
        <v>УПРАВЛЕНИЕ МВД РОССИИ ПО ГОРОДУ САРАТОВУ</v>
      </c>
      <c r="B7397" s="24" t="s">
        <v>10149</v>
      </c>
      <c r="C7397" s="25">
        <v>4999000</v>
      </c>
      <c r="D7397" s="22" t="s">
        <v>11078</v>
      </c>
      <c r="E7397" s="22" t="s">
        <v>48</v>
      </c>
      <c r="F7397" s="23" t="str">
        <f>HYPERLINK("https://www.spark-marketing.ru/Card/Lot/72788944", "на оказание услуг по ежедневному приготовлению и поставке трехразового горячего питания, лиц, содержащихся в Изоляторе Временного Содержания подозреваемых и обвиняемых и Специальном приемнике для содержания лиц подвергнутых, административному аресту ...")</f>
        <v>на оказание услуг по ежедневному приготовлению и поставке трехразового горячего питания, лиц, содержащихся в Изоляторе Временного Содержания подозреваемых и обвиняемых и Специальном приемнике для содержания лиц подвергнутых, административному аресту ...</v>
      </c>
      <c r="G7397" s="22" t="s">
        <v>351</v>
      </c>
      <c r="H7397" s="22" t="s">
        <v>2983</v>
      </c>
      <c r="I7397" s="26">
        <v>43691.464351851799</v>
      </c>
      <c r="J7397" s="23" t="str">
        <f>HYPERLINK("https://www.spark-marketing.ru/Card/Person/66182", "Иванушкина Оксана Геннадиевна")</f>
        <v>Иванушкина Оксана Геннадиевна</v>
      </c>
      <c r="K7397" s="24" t="s">
        <v>10151</v>
      </c>
      <c r="L7397" s="28" t="s">
        <v>51</v>
      </c>
      <c r="M7397" s="28" t="s">
        <v>51</v>
      </c>
      <c r="N7397" s="28" t="s">
        <v>51</v>
      </c>
    </row>
    <row r="7398" spans="1:14" ht="12.75" hidden="1" outlineLevel="1" x14ac:dyDescent="0.2">
      <c r="A7398" s="23" t="str">
        <f>HYPERLINK("https://www.spark-marketing.ru/Card/Person/8568", "УПРАВЛЕНИЕ МВД РОССИИ ПО ГОРОДУ САРАТОВУ")</f>
        <v>УПРАВЛЕНИЕ МВД РОССИИ ПО ГОРОДУ САРАТОВУ</v>
      </c>
      <c r="B7398" s="24" t="s">
        <v>10149</v>
      </c>
      <c r="C7398" s="25">
        <v>4999000</v>
      </c>
      <c r="D7398" s="22" t="s">
        <v>11078</v>
      </c>
      <c r="E7398" s="22" t="s">
        <v>48</v>
      </c>
      <c r="F7398" s="23" t="str">
        <f>HYPERLINK("https://www.spark-marketing.ru/Card/Lot/72788944", "на оказание услуг по ежедневному приготовлению и поставке трехразового горячего питания, лиц, содержащихся в Изоляторе Временного Содержания подозреваемых и обвиняемых и Специальном приемнике для содержания лиц подвергнутых, административному аресту ...")</f>
        <v>на оказание услуг по ежедневному приготовлению и поставке трехразового горячего питания, лиц, содержащихся в Изоляторе Временного Содержания подозреваемых и обвиняемых и Специальном приемнике для содержания лиц подвергнутых, административному аресту ...</v>
      </c>
      <c r="G7398" s="22" t="s">
        <v>351</v>
      </c>
      <c r="H7398" s="22" t="s">
        <v>2983</v>
      </c>
      <c r="I7398" s="26">
        <v>43691.464351851799</v>
      </c>
      <c r="J7398" s="23" t="str">
        <f>HYPERLINK("https://www.spark-marketing.ru/Card/Person/66182", "Иванушкина Оксана Геннадиевна")</f>
        <v>Иванушкина Оксана Геннадиевна</v>
      </c>
      <c r="K7398" s="24" t="s">
        <v>10151</v>
      </c>
      <c r="L7398" s="22" t="s">
        <v>10</v>
      </c>
      <c r="M7398" s="25">
        <v>4974005</v>
      </c>
      <c r="N7398" s="27">
        <v>5.0000000000000001E-3</v>
      </c>
    </row>
    <row r="7399" spans="1:14" x14ac:dyDescent="0.15">
      <c r="A7399" s="23" t="str">
        <f>HYPERLINK("https://www.spark-marketing.ru/Card/Person/356822", "МО МВД РОССИИ ""КУЛЕБАКСКИЙ""")</f>
        <v>МО МВД РОССИИ "КУЛЕБАКСКИЙ"</v>
      </c>
      <c r="B7399" s="24" t="s">
        <v>11079</v>
      </c>
      <c r="C7399" s="25">
        <v>431161.02</v>
      </c>
      <c r="D7399" s="22" t="s">
        <v>11080</v>
      </c>
      <c r="E7399" s="22" t="s">
        <v>48</v>
      </c>
      <c r="F7399" s="23" t="str">
        <f>HYPERLINK("https://www.spark-marketing.ru/Card/Lot/72788728", "питание арестованных")</f>
        <v>питание арестованных</v>
      </c>
      <c r="G7399" s="22" t="s">
        <v>76</v>
      </c>
      <c r="H7399" s="22" t="s">
        <v>11081</v>
      </c>
      <c r="I7399" s="26">
        <v>43691.4292824074</v>
      </c>
      <c r="J7399" s="23" t="str">
        <f>HYPERLINK("https://www.spark-marketing.ru/Card/Person/1777611", "МУП ""ЦОП""")</f>
        <v>МУП "ЦОП"</v>
      </c>
      <c r="K7399" s="24" t="s">
        <v>11082</v>
      </c>
      <c r="L7399" s="22" t="s">
        <v>10</v>
      </c>
      <c r="M7399" s="28" t="s">
        <v>51</v>
      </c>
      <c r="N7399" s="28" t="s">
        <v>51</v>
      </c>
    </row>
    <row r="7400" spans="1:14" x14ac:dyDescent="0.15">
      <c r="A7400" s="23" t="str">
        <f>HYPERLINK("https://www.spark-marketing.ru/Card/Person/1007186", "МБДОУ №32 Г.ШАХТЫ")</f>
        <v>МБДОУ №32 Г.ШАХТЫ</v>
      </c>
      <c r="B7400" s="24" t="s">
        <v>11083</v>
      </c>
      <c r="C7400" s="25">
        <v>201842.8</v>
      </c>
      <c r="D7400" s="22" t="s">
        <v>11084</v>
      </c>
      <c r="E7400" s="22" t="s">
        <v>48</v>
      </c>
      <c r="F7400" s="23" t="str">
        <f>HYPERLINK("https://www.spark-marketing.ru/Card/Lot/72787050", "Услуги по организации питания")</f>
        <v>Услуги по организации питания</v>
      </c>
      <c r="G7400" s="22" t="s">
        <v>267</v>
      </c>
      <c r="H7400" s="22" t="s">
        <v>4874</v>
      </c>
      <c r="I7400" s="26">
        <v>43691.6159722222</v>
      </c>
      <c r="J7400" s="28" t="s">
        <v>51</v>
      </c>
      <c r="K7400" s="28" t="s">
        <v>51</v>
      </c>
      <c r="L7400" s="28" t="s">
        <v>51</v>
      </c>
      <c r="M7400" s="28" t="s">
        <v>51</v>
      </c>
      <c r="N7400" s="28" t="s">
        <v>51</v>
      </c>
    </row>
    <row r="7401" spans="1:14" x14ac:dyDescent="0.15">
      <c r="A7401" s="23" t="str">
        <f>HYPERLINK("https://www.spark-marketing.ru/Card/Person/1018388", "ГБУ РА ""ЦЕНТР РАЗВИТИЯ ТУРИЗМА И ПРЕДПРИНИМАТЕЛЬСТВА РЕСПУБЛИКИ АЛТАЙ""")</f>
        <v>ГБУ РА "ЦЕНТР РАЗВИТИЯ ТУРИЗМА И ПРЕДПРИНИМАТЕЛЬСТВА РЕСПУБЛИКИ АЛТАЙ"</v>
      </c>
      <c r="B7401" s="24" t="s">
        <v>11085</v>
      </c>
      <c r="C7401" s="25">
        <v>200000</v>
      </c>
      <c r="D7401" s="22" t="s">
        <v>11086</v>
      </c>
      <c r="E7401" s="22" t="s">
        <v>8606</v>
      </c>
      <c r="F7401" s="23" t="str">
        <f>HYPERLINK("https://www.spark-marketing.ru/Card/Lot/72780864", "Оказание услуг по оборудованию выставочного стенда 28-ой Международной выставки продуктов питания «WorldFood Moskow 2019» для участия субъектов малого и среднего предпринимательства")</f>
        <v>Оказание услуг по оборудованию выставочного стенда 28-ой Международной выставки продуктов питания «WorldFood Moskow 2019» для участия субъектов малого и среднего предпринимательства</v>
      </c>
      <c r="G7401" s="22" t="s">
        <v>1141</v>
      </c>
      <c r="H7401" s="22" t="s">
        <v>1142</v>
      </c>
      <c r="I7401" s="26">
        <v>43691.523043981499</v>
      </c>
      <c r="J7401" s="23" t="str">
        <f>HYPERLINK("https://www.spark-marketing.ru/Card/Person/4737638", "Осипова Ольга Борисовна")</f>
        <v>Осипова Ольга Борисовна</v>
      </c>
      <c r="K7401" s="24" t="s">
        <v>11087</v>
      </c>
      <c r="L7401" s="22" t="s">
        <v>10</v>
      </c>
      <c r="M7401" s="28" t="s">
        <v>51</v>
      </c>
      <c r="N7401" s="28" t="s">
        <v>51</v>
      </c>
    </row>
    <row r="7402" spans="1:14" x14ac:dyDescent="0.15">
      <c r="A7402" s="23" t="str">
        <f>HYPERLINK("https://www.spark-marketing.ru/Card/Person/130365", "ОМВД РОССИИ ПО СОБИНСКОМУ РАЙОНУ")</f>
        <v>ОМВД РОССИИ ПО СОБИНСКОМУ РАЙОНУ</v>
      </c>
      <c r="B7402" s="24" t="s">
        <v>6130</v>
      </c>
      <c r="C7402" s="25">
        <v>1620000</v>
      </c>
      <c r="D7402" s="22" t="s">
        <v>11088</v>
      </c>
      <c r="E7402" s="22" t="s">
        <v>48</v>
      </c>
      <c r="F7402" s="23" t="str">
        <f>HYPERLINK("https://www.spark-marketing.ru/Card/Lot/72790852", "Прочая закупка товаров, работ и услуг ( услуги по организации трехразового горячего питания лиц, содержащихся в изоляторе временного содержания, специальном приемнике и камерах административного содержания ОМВД России по Собинскому району в мирное вр...")</f>
        <v>Прочая закупка товаров, работ и услуг ( услуги по организации трехразового горячего питания лиц, содержащихся в изоляторе временного содержания, специальном приемнике и камерах административного содержания ОМВД России по Собинскому району в мирное вр...</v>
      </c>
      <c r="G7402" s="22" t="s">
        <v>663</v>
      </c>
      <c r="H7402" s="22" t="s">
        <v>663</v>
      </c>
      <c r="I7402" s="26">
        <v>43691.586678240703</v>
      </c>
      <c r="J7402" s="28" t="s">
        <v>51</v>
      </c>
      <c r="K7402" s="28" t="s">
        <v>51</v>
      </c>
      <c r="L7402" s="28" t="s">
        <v>51</v>
      </c>
      <c r="M7402" s="28" t="s">
        <v>51</v>
      </c>
      <c r="N7402" s="28" t="s">
        <v>51</v>
      </c>
    </row>
    <row r="7403" spans="1:14" x14ac:dyDescent="0.15">
      <c r="A7403" s="23" t="str">
        <f>HYPERLINK("https://www.spark-marketing.ru/Card/Person/1043239", "ОМВД РОССИИ ПО ЧЕРЛАКСКОМУ РАЙОНУ")</f>
        <v>ОМВД РОССИИ ПО ЧЕРЛАКСКОМУ РАЙОНУ</v>
      </c>
      <c r="B7403" s="24" t="s">
        <v>11089</v>
      </c>
      <c r="C7403" s="25">
        <v>99694.8</v>
      </c>
      <c r="D7403" s="22" t="s">
        <v>11090</v>
      </c>
      <c r="E7403" s="22" t="s">
        <v>48</v>
      </c>
      <c r="F7403" s="23" t="str">
        <f>HYPERLINK("https://www.spark-marketing.ru/Card/Lot/72785199",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7403" s="22" t="s">
        <v>487</v>
      </c>
      <c r="H7403" s="22" t="s">
        <v>11091</v>
      </c>
      <c r="I7403" s="26">
        <v>43691.562847222202</v>
      </c>
      <c r="J7403" s="28" t="s">
        <v>51</v>
      </c>
      <c r="K7403" s="28" t="s">
        <v>51</v>
      </c>
      <c r="L7403" s="28" t="s">
        <v>51</v>
      </c>
      <c r="M7403" s="28" t="s">
        <v>51</v>
      </c>
      <c r="N7403" s="28" t="s">
        <v>51</v>
      </c>
    </row>
    <row r="7404" spans="1:14" x14ac:dyDescent="0.15">
      <c r="A7404" s="23" t="str">
        <f>HYPERLINK("https://www.spark-marketing.ru/Card/Person/1983199", "ДИРЕКЦИЯ СОЦИАЛЬНОЙ СФЕРЫ ЮЖНО УРАЛЬСКОЙ ЖЕЛЕЗНОЙ ДОРОГИ ФЛ ОАО РЖД")</f>
        <v>ДИРЕКЦИЯ СОЦИАЛЬНОЙ СФЕРЫ ЮЖНО УРАЛЬСКОЙ ЖЕЛЕЗНОЙ ДОРОГИ ФЛ ОАО РЖД</v>
      </c>
      <c r="B7404" s="24" t="s">
        <v>330</v>
      </c>
      <c r="C7404" s="25">
        <v>6327.48</v>
      </c>
      <c r="D7404" s="28" t="s">
        <v>51</v>
      </c>
      <c r="E7404" s="22" t="s">
        <v>86</v>
      </c>
      <c r="F7404" s="23" t="str">
        <f>HYPERLINK("https://www.spark-marketing.ru/Card/Lot/72785185", "№24068 Оказание услуг по контролю качества воды в системах водоснабжения столовых для комбината общественного питания ДКЖД г.Челябинска")</f>
        <v>№24068 Оказание услуг по контролю качества воды в системах водоснабжения столовых для комбината общественного питания ДКЖД г.Челябинска</v>
      </c>
      <c r="G7404" s="22" t="s">
        <v>469</v>
      </c>
      <c r="H7404" s="22" t="s">
        <v>491</v>
      </c>
      <c r="I7404" s="26">
        <v>43691.551076388903</v>
      </c>
      <c r="J7404" s="28" t="s">
        <v>51</v>
      </c>
      <c r="K7404" s="28" t="s">
        <v>51</v>
      </c>
      <c r="L7404" s="28" t="s">
        <v>51</v>
      </c>
      <c r="M7404" s="28" t="s">
        <v>51</v>
      </c>
      <c r="N7404" s="28" t="s">
        <v>51</v>
      </c>
    </row>
    <row r="7405" spans="1:14" x14ac:dyDescent="0.15">
      <c r="A7405" s="23" t="str">
        <f>HYPERLINK("https://www.spark-marketing.ru/Card/Person/1043239", "ОМВД РОССИИ ПО ЧЕРЛАКСКОМУ РАЙОНУ")</f>
        <v>ОМВД РОССИИ ПО ЧЕРЛАКСКОМУ РАЙОНУ</v>
      </c>
      <c r="B7405" s="24" t="s">
        <v>11089</v>
      </c>
      <c r="C7405" s="25">
        <v>264917</v>
      </c>
      <c r="D7405" s="22" t="s">
        <v>11092</v>
      </c>
      <c r="E7405" s="22" t="s">
        <v>48</v>
      </c>
      <c r="F7405" s="23" t="str">
        <f>HYPERLINK("https://www.spark-marketing.ru/Card/Lot/72785685",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7405" s="22" t="s">
        <v>487</v>
      </c>
      <c r="H7405" s="22" t="s">
        <v>11091</v>
      </c>
      <c r="I7405" s="26">
        <v>43691.582685185203</v>
      </c>
      <c r="J7405" s="28" t="s">
        <v>51</v>
      </c>
      <c r="K7405" s="28" t="s">
        <v>51</v>
      </c>
      <c r="L7405" s="28" t="s">
        <v>51</v>
      </c>
      <c r="M7405" s="28" t="s">
        <v>51</v>
      </c>
      <c r="N7405" s="28" t="s">
        <v>51</v>
      </c>
    </row>
    <row r="7406" spans="1:14" x14ac:dyDescent="0.15">
      <c r="A7406" s="23" t="str">
        <f>HYPERLINK("https://www.spark-marketing.ru/Card/Person/1043239", "ОМВД РОССИИ ПО ЧЕРЛАКСКОМУ РАЙОНУ")</f>
        <v>ОМВД РОССИИ ПО ЧЕРЛАКСКОМУ РАЙОНУ</v>
      </c>
      <c r="B7406" s="24" t="s">
        <v>11089</v>
      </c>
      <c r="C7406" s="25">
        <v>265496.40000000002</v>
      </c>
      <c r="D7406" s="22" t="s">
        <v>11093</v>
      </c>
      <c r="E7406" s="22" t="s">
        <v>48</v>
      </c>
      <c r="F7406" s="23" t="str">
        <f>HYPERLINK("https://www.spark-marketing.ru/Card/Lot/72785664",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7406" s="22" t="s">
        <v>487</v>
      </c>
      <c r="H7406" s="22" t="s">
        <v>11091</v>
      </c>
      <c r="I7406" s="26">
        <v>43691.5781712963</v>
      </c>
      <c r="J7406" s="28" t="s">
        <v>51</v>
      </c>
      <c r="K7406" s="28" t="s">
        <v>51</v>
      </c>
      <c r="L7406" s="28" t="s">
        <v>51</v>
      </c>
      <c r="M7406" s="28" t="s">
        <v>51</v>
      </c>
      <c r="N7406" s="28" t="s">
        <v>51</v>
      </c>
    </row>
    <row r="7407" spans="1:14" collapsed="1" x14ac:dyDescent="0.15">
      <c r="A7407" s="23" t="s">
        <v>114</v>
      </c>
      <c r="B7407" s="28" t="s">
        <v>51</v>
      </c>
      <c r="C7407" s="25">
        <v>37182945.280000001</v>
      </c>
      <c r="D7407" s="22" t="s">
        <v>11094</v>
      </c>
      <c r="E7407" s="22" t="s">
        <v>48</v>
      </c>
      <c r="F7407" s="23" t="str">
        <f t="shared" ref="F7407:F7432" si="160">HYPERLINK("https://www.spark-marketing.ru/Card/Lot/72788864", "оказание услуг по организации сбалансированного питания воспитанников для нужд муниципальных бюджетных дошкольных образовательных учреждений")</f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07" s="22" t="s">
        <v>51</v>
      </c>
      <c r="H7407" s="22" t="s">
        <v>51</v>
      </c>
      <c r="I7407" s="26">
        <v>43691.578472222202</v>
      </c>
      <c r="J7407" s="28" t="s">
        <v>51</v>
      </c>
      <c r="K7407" s="28" t="s">
        <v>51</v>
      </c>
      <c r="L7407" s="28" t="s">
        <v>51</v>
      </c>
      <c r="M7407" s="28" t="s">
        <v>51</v>
      </c>
      <c r="N7407" s="28" t="s">
        <v>51</v>
      </c>
    </row>
    <row r="7408" spans="1:14" hidden="1" outlineLevel="1" x14ac:dyDescent="0.15">
      <c r="A7408" s="23" t="str">
        <f>HYPERLINK("https://www.spark-marketing.ru/Card/Person/87469", "МБДОУ ""ДЕТСКИЙ САД КОМБИНИРОВАННОГО ВИДА №84 ""СЕРЕБРЯНОЕ КОПЫТЦЕ""")</f>
        <v>МБДОУ "ДЕТСКИЙ САД КОМБИНИРОВАННОГО ВИДА №84 "СЕРЕБРЯНОЕ КОПЫТЦЕ"</v>
      </c>
      <c r="B7408" s="24" t="s">
        <v>9056</v>
      </c>
      <c r="C7408" s="25">
        <v>1193687.04</v>
      </c>
      <c r="D7408" s="22" t="s">
        <v>11094</v>
      </c>
      <c r="E7408" s="22" t="s">
        <v>48</v>
      </c>
      <c r="F7408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08" s="22" t="s">
        <v>217</v>
      </c>
      <c r="H7408" s="22" t="s">
        <v>1998</v>
      </c>
      <c r="I7408" s="26">
        <v>43691.578472222202</v>
      </c>
      <c r="J7408" s="28" t="s">
        <v>51</v>
      </c>
      <c r="K7408" s="28" t="s">
        <v>51</v>
      </c>
      <c r="L7408" s="28" t="s">
        <v>51</v>
      </c>
      <c r="M7408" s="28" t="s">
        <v>51</v>
      </c>
      <c r="N7408" s="28" t="s">
        <v>51</v>
      </c>
    </row>
    <row r="7409" spans="1:14" hidden="1" outlineLevel="1" x14ac:dyDescent="0.15">
      <c r="A7409" s="23" t="str">
        <f>HYPERLINK("https://www.spark-marketing.ru/Card/Person/87484", "МБДОУ ""ДЕТСКИЙ САД №92 ""ГОЛБАКЧА""")</f>
        <v>МБДОУ "ДЕТСКИЙ САД №92 "ГОЛБАКЧА"</v>
      </c>
      <c r="B7409" s="24" t="s">
        <v>9057</v>
      </c>
      <c r="C7409" s="25">
        <v>1932636.1599999999</v>
      </c>
      <c r="D7409" s="22" t="s">
        <v>11094</v>
      </c>
      <c r="E7409" s="22" t="s">
        <v>48</v>
      </c>
      <c r="F7409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09" s="22" t="s">
        <v>217</v>
      </c>
      <c r="H7409" s="22" t="s">
        <v>1998</v>
      </c>
      <c r="I7409" s="26">
        <v>43691.578472222202</v>
      </c>
      <c r="J7409" s="28" t="s">
        <v>51</v>
      </c>
      <c r="K7409" s="28" t="s">
        <v>51</v>
      </c>
      <c r="L7409" s="28" t="s">
        <v>51</v>
      </c>
      <c r="M7409" s="28" t="s">
        <v>51</v>
      </c>
      <c r="N7409" s="28" t="s">
        <v>51</v>
      </c>
    </row>
    <row r="7410" spans="1:14" hidden="1" outlineLevel="1" x14ac:dyDescent="0.15">
      <c r="A7410" s="23" t="str">
        <f>HYPERLINK("https://www.spark-marketing.ru/Card/Person/87496", "МБДОУ ""ДЕТСКИЙ САД КОМБИНИРОВАННОГО ВИДА №76 ""ВЕТЕРОК""")</f>
        <v>МБДОУ "ДЕТСКИЙ САД КОМБИНИРОВАННОГО ВИДА №76 "ВЕТЕРОК"</v>
      </c>
      <c r="B7410" s="24" t="s">
        <v>11095</v>
      </c>
      <c r="C7410" s="25">
        <v>1307371.52</v>
      </c>
      <c r="D7410" s="22" t="s">
        <v>11094</v>
      </c>
      <c r="E7410" s="22" t="s">
        <v>48</v>
      </c>
      <c r="F7410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10" s="22" t="s">
        <v>217</v>
      </c>
      <c r="H7410" s="22" t="s">
        <v>1998</v>
      </c>
      <c r="I7410" s="26">
        <v>43691.578472222202</v>
      </c>
      <c r="J7410" s="28" t="s">
        <v>51</v>
      </c>
      <c r="K7410" s="28" t="s">
        <v>51</v>
      </c>
      <c r="L7410" s="28" t="s">
        <v>51</v>
      </c>
      <c r="M7410" s="28" t="s">
        <v>51</v>
      </c>
      <c r="N7410" s="28" t="s">
        <v>51</v>
      </c>
    </row>
    <row r="7411" spans="1:14" hidden="1" outlineLevel="1" x14ac:dyDescent="0.15">
      <c r="A7411" s="23" t="str">
        <f>HYPERLINK("https://www.spark-marketing.ru/Card/Person/87691", "МБДОУ ""ДЕТСКИЙ САД №90 ""ЕЛОЧКА""")</f>
        <v>МБДОУ "ДЕТСКИЙ САД №90 "ЕЛОЧКА"</v>
      </c>
      <c r="B7411" s="24" t="s">
        <v>11096</v>
      </c>
      <c r="C7411" s="25">
        <v>2005719.04</v>
      </c>
      <c r="D7411" s="22" t="s">
        <v>11094</v>
      </c>
      <c r="E7411" s="22" t="s">
        <v>48</v>
      </c>
      <c r="F7411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11" s="22" t="s">
        <v>217</v>
      </c>
      <c r="H7411" s="22" t="s">
        <v>1998</v>
      </c>
      <c r="I7411" s="26">
        <v>43691.578472222202</v>
      </c>
      <c r="J7411" s="28" t="s">
        <v>51</v>
      </c>
      <c r="K7411" s="28" t="s">
        <v>51</v>
      </c>
      <c r="L7411" s="28" t="s">
        <v>51</v>
      </c>
      <c r="M7411" s="28" t="s">
        <v>51</v>
      </c>
      <c r="N7411" s="28" t="s">
        <v>51</v>
      </c>
    </row>
    <row r="7412" spans="1:14" hidden="1" outlineLevel="1" x14ac:dyDescent="0.15">
      <c r="A7412" s="23" t="str">
        <f>HYPERLINK("https://www.spark-marketing.ru/Card/Person/88117", "МБДОУ ""ДЕТСКИЙ САД КОМБИНИРОВАННОГО ВИДА №78 ""ЕЛОЧКА""")</f>
        <v>МБДОУ "ДЕТСКИЙ САД КОМБИНИРОВАННОГО ВИДА №78 "ЕЛОЧКА"</v>
      </c>
      <c r="B7412" s="24" t="s">
        <v>11097</v>
      </c>
      <c r="C7412" s="25">
        <v>1859553.28</v>
      </c>
      <c r="D7412" s="22" t="s">
        <v>11094</v>
      </c>
      <c r="E7412" s="22" t="s">
        <v>48</v>
      </c>
      <c r="F7412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12" s="22" t="s">
        <v>217</v>
      </c>
      <c r="H7412" s="22" t="s">
        <v>1998</v>
      </c>
      <c r="I7412" s="26">
        <v>43691.578472222202</v>
      </c>
      <c r="J7412" s="28" t="s">
        <v>51</v>
      </c>
      <c r="K7412" s="28" t="s">
        <v>51</v>
      </c>
      <c r="L7412" s="28" t="s">
        <v>51</v>
      </c>
      <c r="M7412" s="28" t="s">
        <v>51</v>
      </c>
      <c r="N7412" s="28" t="s">
        <v>51</v>
      </c>
    </row>
    <row r="7413" spans="1:14" hidden="1" outlineLevel="1" x14ac:dyDescent="0.15">
      <c r="A7413" s="23" t="str">
        <f>HYPERLINK("https://www.spark-marketing.ru/Card/Person/88289", "МБДОУ ""ДЕТСКИЙ САД №87 ""ЗОЛУШКА""")</f>
        <v>МБДОУ "ДЕТСКИЙ САД №87 "ЗОЛУШКА"</v>
      </c>
      <c r="B7413" s="24" t="s">
        <v>11098</v>
      </c>
      <c r="C7413" s="25">
        <v>2168125.4399999999</v>
      </c>
      <c r="D7413" s="22" t="s">
        <v>11094</v>
      </c>
      <c r="E7413" s="22" t="s">
        <v>48</v>
      </c>
      <c r="F7413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13" s="22" t="s">
        <v>217</v>
      </c>
      <c r="H7413" s="22" t="s">
        <v>1998</v>
      </c>
      <c r="I7413" s="26">
        <v>43691.578472222202</v>
      </c>
      <c r="J7413" s="28" t="s">
        <v>51</v>
      </c>
      <c r="K7413" s="28" t="s">
        <v>51</v>
      </c>
      <c r="L7413" s="28" t="s">
        <v>51</v>
      </c>
      <c r="M7413" s="28" t="s">
        <v>51</v>
      </c>
      <c r="N7413" s="28" t="s">
        <v>51</v>
      </c>
    </row>
    <row r="7414" spans="1:14" hidden="1" outlineLevel="1" x14ac:dyDescent="0.15">
      <c r="A7414" s="23" t="str">
        <f>HYPERLINK("https://www.spark-marketing.ru/Card/Person/88291", "МБДОУ ""ДЕТСКИЙ САД КОМБИНИРОВАННОГО ВИДА №82 ""ПОДСОЛНУШЕК""")</f>
        <v>МБДОУ "ДЕТСКИЙ САД КОМБИНИРОВАННОГО ВИДА №82 "ПОДСОЛНУШЕК"</v>
      </c>
      <c r="B7414" s="24" t="s">
        <v>11099</v>
      </c>
      <c r="C7414" s="25">
        <v>1924515.8400000001</v>
      </c>
      <c r="D7414" s="22" t="s">
        <v>11094</v>
      </c>
      <c r="E7414" s="22" t="s">
        <v>48</v>
      </c>
      <c r="F7414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14" s="22" t="s">
        <v>217</v>
      </c>
      <c r="H7414" s="22" t="s">
        <v>1998</v>
      </c>
      <c r="I7414" s="26">
        <v>43691.578472222202</v>
      </c>
      <c r="J7414" s="28" t="s">
        <v>51</v>
      </c>
      <c r="K7414" s="28" t="s">
        <v>51</v>
      </c>
      <c r="L7414" s="28" t="s">
        <v>51</v>
      </c>
      <c r="M7414" s="28" t="s">
        <v>51</v>
      </c>
      <c r="N7414" s="28" t="s">
        <v>51</v>
      </c>
    </row>
    <row r="7415" spans="1:14" hidden="1" outlineLevel="1" x14ac:dyDescent="0.15">
      <c r="A7415" s="23" t="str">
        <f>HYPERLINK("https://www.spark-marketing.ru/Card/Person/88318", "МБДОУ ""ДЕТСКИЙ САД №79 ""ВИШЕНКА""")</f>
        <v>МБДОУ "ДЕТСКИЙ САД №79 "ВИШЕНКА"</v>
      </c>
      <c r="B7415" s="24" t="s">
        <v>11100</v>
      </c>
      <c r="C7415" s="25">
        <v>2127523.8399999999</v>
      </c>
      <c r="D7415" s="22" t="s">
        <v>11094</v>
      </c>
      <c r="E7415" s="22" t="s">
        <v>48</v>
      </c>
      <c r="F7415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15" s="22" t="s">
        <v>217</v>
      </c>
      <c r="H7415" s="22" t="s">
        <v>1998</v>
      </c>
      <c r="I7415" s="26">
        <v>43691.578472222202</v>
      </c>
      <c r="J7415" s="28" t="s">
        <v>51</v>
      </c>
      <c r="K7415" s="28" t="s">
        <v>51</v>
      </c>
      <c r="L7415" s="28" t="s">
        <v>51</v>
      </c>
      <c r="M7415" s="28" t="s">
        <v>51</v>
      </c>
      <c r="N7415" s="28" t="s">
        <v>51</v>
      </c>
    </row>
    <row r="7416" spans="1:14" hidden="1" outlineLevel="1" x14ac:dyDescent="0.15">
      <c r="A7416" s="23" t="str">
        <f>HYPERLINK("https://www.spark-marketing.ru/Card/Person/88755", "МБДОУ ""ДЕТСКИЙ САД №89 ""ЧУЛПАН""")</f>
        <v>МБДОУ "ДЕТСКИЙ САД №89 "ЧУЛПАН"</v>
      </c>
      <c r="B7416" s="24" t="s">
        <v>9058</v>
      </c>
      <c r="C7416" s="25">
        <v>698347.52000000002</v>
      </c>
      <c r="D7416" s="22" t="s">
        <v>11094</v>
      </c>
      <c r="E7416" s="22" t="s">
        <v>48</v>
      </c>
      <c r="F7416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16" s="22" t="s">
        <v>217</v>
      </c>
      <c r="H7416" s="22" t="s">
        <v>1998</v>
      </c>
      <c r="I7416" s="26">
        <v>43691.578472222202</v>
      </c>
      <c r="J7416" s="28" t="s">
        <v>51</v>
      </c>
      <c r="K7416" s="28" t="s">
        <v>51</v>
      </c>
      <c r="L7416" s="28" t="s">
        <v>51</v>
      </c>
      <c r="M7416" s="28" t="s">
        <v>51</v>
      </c>
      <c r="N7416" s="28" t="s">
        <v>51</v>
      </c>
    </row>
    <row r="7417" spans="1:14" hidden="1" outlineLevel="1" x14ac:dyDescent="0.15">
      <c r="A7417" s="23" t="str">
        <f>HYPERLINK("https://www.spark-marketing.ru/Card/Person/88855", "МБДОУ ""ДЕТСКИЙ САД №93 ""ЛАСТОЧКА""")</f>
        <v>МБДОУ "ДЕТСКИЙ САД №93 "ЛАСТОЧКА"</v>
      </c>
      <c r="B7417" s="24" t="s">
        <v>11101</v>
      </c>
      <c r="C7417" s="25">
        <v>1697146.8799999999</v>
      </c>
      <c r="D7417" s="22" t="s">
        <v>11094</v>
      </c>
      <c r="E7417" s="22" t="s">
        <v>48</v>
      </c>
      <c r="F7417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17" s="22" t="s">
        <v>217</v>
      </c>
      <c r="H7417" s="22" t="s">
        <v>1998</v>
      </c>
      <c r="I7417" s="26">
        <v>43691.578472222202</v>
      </c>
      <c r="J7417" s="28" t="s">
        <v>51</v>
      </c>
      <c r="K7417" s="28" t="s">
        <v>51</v>
      </c>
      <c r="L7417" s="28" t="s">
        <v>51</v>
      </c>
      <c r="M7417" s="28" t="s">
        <v>51</v>
      </c>
      <c r="N7417" s="28" t="s">
        <v>51</v>
      </c>
    </row>
    <row r="7418" spans="1:14" hidden="1" outlineLevel="1" x14ac:dyDescent="0.15">
      <c r="A7418" s="23" t="str">
        <f>HYPERLINK("https://www.spark-marketing.ru/Card/Person/89571", "МБДОУ ""ДЕТСКИЙ САД №49 ""ГУЛЬНАЗ""")</f>
        <v>МБДОУ "ДЕТСКИЙ САД №49 "ГУЛЬНАЗ"</v>
      </c>
      <c r="B7418" s="24" t="s">
        <v>9062</v>
      </c>
      <c r="C7418" s="25">
        <v>1315491.8400000001</v>
      </c>
      <c r="D7418" s="22" t="s">
        <v>11094</v>
      </c>
      <c r="E7418" s="22" t="s">
        <v>48</v>
      </c>
      <c r="F7418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18" s="22" t="s">
        <v>217</v>
      </c>
      <c r="H7418" s="22" t="s">
        <v>1998</v>
      </c>
      <c r="I7418" s="26">
        <v>43691.578472222202</v>
      </c>
      <c r="J7418" s="28" t="s">
        <v>51</v>
      </c>
      <c r="K7418" s="28" t="s">
        <v>51</v>
      </c>
      <c r="L7418" s="28" t="s">
        <v>51</v>
      </c>
      <c r="M7418" s="28" t="s">
        <v>51</v>
      </c>
      <c r="N7418" s="28" t="s">
        <v>51</v>
      </c>
    </row>
    <row r="7419" spans="1:14" hidden="1" outlineLevel="1" x14ac:dyDescent="0.15">
      <c r="A7419" s="23" t="str">
        <f>HYPERLINK("https://www.spark-marketing.ru/Card/Person/89812", "МБДОУ ""ДЕТСКИЙ САД №57 ""ВЕСНЯНКА""")</f>
        <v>МБДОУ "ДЕТСКИЙ САД №57 "ВЕСНЯНКА"</v>
      </c>
      <c r="B7419" s="24" t="s">
        <v>11102</v>
      </c>
      <c r="C7419" s="25">
        <v>1055641.6000000001</v>
      </c>
      <c r="D7419" s="22" t="s">
        <v>11094</v>
      </c>
      <c r="E7419" s="22" t="s">
        <v>48</v>
      </c>
      <c r="F7419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19" s="22" t="s">
        <v>217</v>
      </c>
      <c r="H7419" s="22" t="s">
        <v>1998</v>
      </c>
      <c r="I7419" s="26">
        <v>43691.578472222202</v>
      </c>
      <c r="J7419" s="28" t="s">
        <v>51</v>
      </c>
      <c r="K7419" s="28" t="s">
        <v>51</v>
      </c>
      <c r="L7419" s="28" t="s">
        <v>51</v>
      </c>
      <c r="M7419" s="28" t="s">
        <v>51</v>
      </c>
      <c r="N7419" s="28" t="s">
        <v>51</v>
      </c>
    </row>
    <row r="7420" spans="1:14" hidden="1" outlineLevel="1" x14ac:dyDescent="0.15">
      <c r="A7420" s="23" t="str">
        <f>HYPERLINK("https://www.spark-marketing.ru/Card/Person/89898", "МБДОУ ""ДЕТСКИЙ САД КОМБИНИРОВАННОГО ВИДА №74 ""АЙСЫЛУ""")</f>
        <v>МБДОУ "ДЕТСКИЙ САД КОМБИНИРОВАННОГО ВИДА №74 "АЙСЫЛУ"</v>
      </c>
      <c r="B7420" s="24" t="s">
        <v>11103</v>
      </c>
      <c r="C7420" s="25">
        <v>1965117.4399999999</v>
      </c>
      <c r="D7420" s="22" t="s">
        <v>11094</v>
      </c>
      <c r="E7420" s="22" t="s">
        <v>48</v>
      </c>
      <c r="F7420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20" s="22" t="s">
        <v>217</v>
      </c>
      <c r="H7420" s="22" t="s">
        <v>1998</v>
      </c>
      <c r="I7420" s="26">
        <v>43691.578472222202</v>
      </c>
      <c r="J7420" s="28" t="s">
        <v>51</v>
      </c>
      <c r="K7420" s="28" t="s">
        <v>51</v>
      </c>
      <c r="L7420" s="28" t="s">
        <v>51</v>
      </c>
      <c r="M7420" s="28" t="s">
        <v>51</v>
      </c>
      <c r="N7420" s="28" t="s">
        <v>51</v>
      </c>
    </row>
    <row r="7421" spans="1:14" hidden="1" outlineLevel="1" x14ac:dyDescent="0.15">
      <c r="A7421" s="23" t="str">
        <f>HYPERLINK("https://www.spark-marketing.ru/Card/Person/90154", "МБДОУ ""ДЕТСКИЙ САД №37 ""МАЛЫШ""")</f>
        <v>МБДОУ "ДЕТСКИЙ САД №37 "МАЛЫШ"</v>
      </c>
      <c r="B7421" s="24" t="s">
        <v>11104</v>
      </c>
      <c r="C7421" s="25">
        <v>1867673.6000000001</v>
      </c>
      <c r="D7421" s="22" t="s">
        <v>11094</v>
      </c>
      <c r="E7421" s="22" t="s">
        <v>48</v>
      </c>
      <c r="F7421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21" s="22" t="s">
        <v>217</v>
      </c>
      <c r="H7421" s="22" t="s">
        <v>1998</v>
      </c>
      <c r="I7421" s="26">
        <v>43691.578472222202</v>
      </c>
      <c r="J7421" s="28" t="s">
        <v>51</v>
      </c>
      <c r="K7421" s="28" t="s">
        <v>51</v>
      </c>
      <c r="L7421" s="28" t="s">
        <v>51</v>
      </c>
      <c r="M7421" s="28" t="s">
        <v>51</v>
      </c>
      <c r="N7421" s="28" t="s">
        <v>51</v>
      </c>
    </row>
    <row r="7422" spans="1:14" hidden="1" outlineLevel="1" x14ac:dyDescent="0.15">
      <c r="A7422" s="23" t="str">
        <f>HYPERLINK("https://www.spark-marketing.ru/Card/Person/90163", "МБДОУ ""ДЕТСКИЙ САД №70 ""ЯГОДКА""")</f>
        <v>МБДОУ "ДЕТСКИЙ САД №70 "ЯГОДКА"</v>
      </c>
      <c r="B7422" s="24" t="s">
        <v>11105</v>
      </c>
      <c r="C7422" s="25">
        <v>1672785.9199999999</v>
      </c>
      <c r="D7422" s="22" t="s">
        <v>11094</v>
      </c>
      <c r="E7422" s="22" t="s">
        <v>48</v>
      </c>
      <c r="F7422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22" s="22" t="s">
        <v>217</v>
      </c>
      <c r="H7422" s="22" t="s">
        <v>1998</v>
      </c>
      <c r="I7422" s="26">
        <v>43691.578472222202</v>
      </c>
      <c r="J7422" s="28" t="s">
        <v>51</v>
      </c>
      <c r="K7422" s="28" t="s">
        <v>51</v>
      </c>
      <c r="L7422" s="28" t="s">
        <v>51</v>
      </c>
      <c r="M7422" s="28" t="s">
        <v>51</v>
      </c>
      <c r="N7422" s="28" t="s">
        <v>51</v>
      </c>
    </row>
    <row r="7423" spans="1:14" hidden="1" outlineLevel="1" x14ac:dyDescent="0.15">
      <c r="A7423" s="23" t="str">
        <f>HYPERLINK("https://www.spark-marketing.ru/Card/Person/90298", "МБДОУ ""ДЕТСКИЙ САД КОМБИНИРОВАННОГО ВИДА №75 ""ГВОЗДИЧКА""")</f>
        <v>МБДОУ "ДЕТСКИЙ САД КОМБИНИРОВАННОГО ВИДА №75 "ГВОЗДИЧКА"</v>
      </c>
      <c r="B7423" s="24" t="s">
        <v>9050</v>
      </c>
      <c r="C7423" s="25">
        <v>1534740.48</v>
      </c>
      <c r="D7423" s="22" t="s">
        <v>11094</v>
      </c>
      <c r="E7423" s="22" t="s">
        <v>48</v>
      </c>
      <c r="F7423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23" s="22" t="s">
        <v>217</v>
      </c>
      <c r="H7423" s="22" t="s">
        <v>1998</v>
      </c>
      <c r="I7423" s="26">
        <v>43691.578472222202</v>
      </c>
      <c r="J7423" s="28" t="s">
        <v>51</v>
      </c>
      <c r="K7423" s="28" t="s">
        <v>51</v>
      </c>
      <c r="L7423" s="28" t="s">
        <v>51</v>
      </c>
      <c r="M7423" s="28" t="s">
        <v>51</v>
      </c>
      <c r="N7423" s="28" t="s">
        <v>51</v>
      </c>
    </row>
    <row r="7424" spans="1:14" hidden="1" outlineLevel="1" x14ac:dyDescent="0.15">
      <c r="A7424" s="23" t="str">
        <f>HYPERLINK("https://www.spark-marketing.ru/Card/Person/90369", "МБДОУ ""ДЕТСКИЙ САД №33 ""КОЛОБОК""")</f>
        <v>МБДОУ "ДЕТСКИЙ САД №33 "КОЛОБОК"</v>
      </c>
      <c r="B7424" s="24" t="s">
        <v>9069</v>
      </c>
      <c r="C7424" s="25">
        <v>1421056</v>
      </c>
      <c r="D7424" s="22" t="s">
        <v>11094</v>
      </c>
      <c r="E7424" s="22" t="s">
        <v>48</v>
      </c>
      <c r="F7424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24" s="22" t="s">
        <v>217</v>
      </c>
      <c r="H7424" s="22" t="s">
        <v>1998</v>
      </c>
      <c r="I7424" s="26">
        <v>43691.578472222202</v>
      </c>
      <c r="J7424" s="28" t="s">
        <v>51</v>
      </c>
      <c r="K7424" s="28" t="s">
        <v>51</v>
      </c>
      <c r="L7424" s="28" t="s">
        <v>51</v>
      </c>
      <c r="M7424" s="28" t="s">
        <v>51</v>
      </c>
      <c r="N7424" s="28" t="s">
        <v>51</v>
      </c>
    </row>
    <row r="7425" spans="1:14" hidden="1" outlineLevel="1" x14ac:dyDescent="0.15">
      <c r="A7425" s="23" t="str">
        <f>HYPERLINK("https://www.spark-marketing.ru/Card/Person/90724", "МБДОУ ""ДЕТСКИЙ САД №69 ""РАДУГА""")</f>
        <v>МБДОУ "ДЕТСКИЙ САД №69 "РАДУГА"</v>
      </c>
      <c r="B7425" s="24" t="s">
        <v>11106</v>
      </c>
      <c r="C7425" s="25">
        <v>1908275.2</v>
      </c>
      <c r="D7425" s="22" t="s">
        <v>11094</v>
      </c>
      <c r="E7425" s="22" t="s">
        <v>48</v>
      </c>
      <c r="F7425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25" s="22" t="s">
        <v>217</v>
      </c>
      <c r="H7425" s="22" t="s">
        <v>1998</v>
      </c>
      <c r="I7425" s="26">
        <v>43691.578472222202</v>
      </c>
      <c r="J7425" s="28" t="s">
        <v>51</v>
      </c>
      <c r="K7425" s="28" t="s">
        <v>51</v>
      </c>
      <c r="L7425" s="28" t="s">
        <v>51</v>
      </c>
      <c r="M7425" s="28" t="s">
        <v>51</v>
      </c>
      <c r="N7425" s="28" t="s">
        <v>51</v>
      </c>
    </row>
    <row r="7426" spans="1:14" hidden="1" outlineLevel="1" x14ac:dyDescent="0.15">
      <c r="A7426" s="23" t="str">
        <f>HYPERLINK("https://www.spark-marketing.ru/Card/Person/90998", "МБДОУ ""ДЕТСКИЙ САД №72 ""АНТОШКА""")</f>
        <v>МБДОУ "ДЕТСКИЙ САД №72 "АНТОШКА"</v>
      </c>
      <c r="B7426" s="24" t="s">
        <v>11107</v>
      </c>
      <c r="C7426" s="25">
        <v>2135644.1600000001</v>
      </c>
      <c r="D7426" s="22" t="s">
        <v>11094</v>
      </c>
      <c r="E7426" s="22" t="s">
        <v>48</v>
      </c>
      <c r="F7426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26" s="22" t="s">
        <v>217</v>
      </c>
      <c r="H7426" s="22" t="s">
        <v>1998</v>
      </c>
      <c r="I7426" s="26">
        <v>43691.578472222202</v>
      </c>
      <c r="J7426" s="28" t="s">
        <v>51</v>
      </c>
      <c r="K7426" s="28" t="s">
        <v>51</v>
      </c>
      <c r="L7426" s="28" t="s">
        <v>51</v>
      </c>
      <c r="M7426" s="28" t="s">
        <v>51</v>
      </c>
      <c r="N7426" s="28" t="s">
        <v>51</v>
      </c>
    </row>
    <row r="7427" spans="1:14" hidden="1" outlineLevel="1" x14ac:dyDescent="0.15">
      <c r="A7427" s="23" t="str">
        <f>HYPERLINK("https://www.spark-marketing.ru/Card/Person/91138", "МБДОУ ""ДЕТСКИЙ САД КОМБИНИРОВАННОГО ВИДА №81 ""ГУЛЬЧАЧАК""")</f>
        <v>МБДОУ "ДЕТСКИЙ САД КОМБИНИРОВАННОГО ВИДА №81 "ГУЛЬЧАЧАК"</v>
      </c>
      <c r="B7427" s="24" t="s">
        <v>11108</v>
      </c>
      <c r="C7427" s="25">
        <v>1347973.1200000001</v>
      </c>
      <c r="D7427" s="22" t="s">
        <v>11094</v>
      </c>
      <c r="E7427" s="22" t="s">
        <v>48</v>
      </c>
      <c r="F7427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27" s="22" t="s">
        <v>217</v>
      </c>
      <c r="H7427" s="22" t="s">
        <v>1998</v>
      </c>
      <c r="I7427" s="26">
        <v>43691.578472222202</v>
      </c>
      <c r="J7427" s="28" t="s">
        <v>51</v>
      </c>
      <c r="K7427" s="28" t="s">
        <v>51</v>
      </c>
      <c r="L7427" s="28" t="s">
        <v>51</v>
      </c>
      <c r="M7427" s="28" t="s">
        <v>51</v>
      </c>
      <c r="N7427" s="28" t="s">
        <v>51</v>
      </c>
    </row>
    <row r="7428" spans="1:14" hidden="1" outlineLevel="1" x14ac:dyDescent="0.15">
      <c r="A7428" s="23" t="str">
        <f>HYPERLINK("https://www.spark-marketing.ru/Card/Person/91299", "МБДОУ ""ДЕТСКИЙ САД №26 ""ЛЕЙСАН""")</f>
        <v>МБДОУ "ДЕТСКИЙ САД №26 "ЛЕЙСАН"</v>
      </c>
      <c r="B7428" s="24" t="s">
        <v>11109</v>
      </c>
      <c r="C7428" s="25">
        <v>1534740.48</v>
      </c>
      <c r="D7428" s="22" t="s">
        <v>11094</v>
      </c>
      <c r="E7428" s="22" t="s">
        <v>48</v>
      </c>
      <c r="F7428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28" s="22" t="s">
        <v>217</v>
      </c>
      <c r="H7428" s="22" t="s">
        <v>1998</v>
      </c>
      <c r="I7428" s="26">
        <v>43691.578472222202</v>
      </c>
      <c r="J7428" s="28" t="s">
        <v>51</v>
      </c>
      <c r="K7428" s="28" t="s">
        <v>51</v>
      </c>
      <c r="L7428" s="28" t="s">
        <v>51</v>
      </c>
      <c r="M7428" s="28" t="s">
        <v>51</v>
      </c>
      <c r="N7428" s="28" t="s">
        <v>51</v>
      </c>
    </row>
    <row r="7429" spans="1:14" hidden="1" outlineLevel="1" x14ac:dyDescent="0.15">
      <c r="A7429" s="23" t="str">
        <f>HYPERLINK("https://www.spark-marketing.ru/Card/Person/92102", "МБДОУ ""ЦЕНТР РАЗВИТИЯ РЕБЕНКА-ДЕТСКИЙ САД №86 ""ЭЛЕКТРОНИК""")</f>
        <v>МБДОУ "ЦЕНТР РАЗВИТИЯ РЕБЕНКА-ДЕТСКИЙ САД №86 "ЭЛЕКТРОНИК"</v>
      </c>
      <c r="B7429" s="24" t="s">
        <v>11110</v>
      </c>
      <c r="C7429" s="25">
        <v>1534740.48</v>
      </c>
      <c r="D7429" s="22" t="s">
        <v>11094</v>
      </c>
      <c r="E7429" s="22" t="s">
        <v>48</v>
      </c>
      <c r="F7429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29" s="22" t="s">
        <v>217</v>
      </c>
      <c r="H7429" s="22" t="s">
        <v>1998</v>
      </c>
      <c r="I7429" s="26">
        <v>43691.578472222202</v>
      </c>
      <c r="J7429" s="28" t="s">
        <v>51</v>
      </c>
      <c r="K7429" s="28" t="s">
        <v>51</v>
      </c>
      <c r="L7429" s="28" t="s">
        <v>51</v>
      </c>
      <c r="M7429" s="28" t="s">
        <v>51</v>
      </c>
      <c r="N7429" s="28" t="s">
        <v>51</v>
      </c>
    </row>
    <row r="7430" spans="1:14" hidden="1" outlineLevel="1" x14ac:dyDescent="0.15">
      <c r="A7430" s="23" t="str">
        <f>HYPERLINK("https://www.spark-marketing.ru/Card/Person/5886758", "МБДОУ ""ДЕТСКИЙ САД №120 ""ЛАДУШКИ""")</f>
        <v>МБДОУ "ДЕТСКИЙ САД №120 "ЛАДУШКИ"</v>
      </c>
      <c r="B7430" s="24" t="s">
        <v>9076</v>
      </c>
      <c r="C7430" s="25">
        <v>974438.40000000002</v>
      </c>
      <c r="D7430" s="22" t="s">
        <v>11094</v>
      </c>
      <c r="E7430" s="22" t="s">
        <v>48</v>
      </c>
      <c r="F7430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30" s="22" t="s">
        <v>217</v>
      </c>
      <c r="H7430" s="22" t="s">
        <v>1998</v>
      </c>
      <c r="I7430" s="26">
        <v>43691.578472222202</v>
      </c>
      <c r="J7430" s="28" t="s">
        <v>51</v>
      </c>
      <c r="K7430" s="28" t="s">
        <v>51</v>
      </c>
      <c r="L7430" s="28" t="s">
        <v>51</v>
      </c>
      <c r="M7430" s="28" t="s">
        <v>51</v>
      </c>
      <c r="N7430" s="28" t="s">
        <v>51</v>
      </c>
    </row>
    <row r="7431" spans="1:14" hidden="1" outlineLevel="1" x14ac:dyDescent="0.2">
      <c r="A7431" s="28" t="s">
        <v>51</v>
      </c>
      <c r="B7431" s="28" t="s">
        <v>51</v>
      </c>
      <c r="C7431" s="28" t="s">
        <v>51</v>
      </c>
      <c r="D7431" s="22" t="s">
        <v>11094</v>
      </c>
      <c r="E7431" s="22" t="s">
        <v>48</v>
      </c>
      <c r="F7431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31" s="22" t="s">
        <v>51</v>
      </c>
      <c r="H7431" s="22" t="s">
        <v>51</v>
      </c>
      <c r="I7431" s="26">
        <v>43691.578472222202</v>
      </c>
      <c r="J7431" s="23" t="str">
        <f>HYPERLINK("https://www.spark-marketing.ru/Card/Person/87385", "ООО ""ШКОЛЬНОЕ ПИТАНИЕ""")</f>
        <v>ООО "ШКОЛЬНОЕ ПИТАНИЕ"</v>
      </c>
      <c r="K7431" s="24" t="s">
        <v>6356</v>
      </c>
      <c r="L7431" s="22" t="s">
        <v>10</v>
      </c>
      <c r="M7431" s="25">
        <v>37182945.280000001</v>
      </c>
      <c r="N7431" s="27">
        <v>0</v>
      </c>
    </row>
    <row r="7432" spans="1:14" hidden="1" outlineLevel="1" x14ac:dyDescent="0.2">
      <c r="A7432" s="28" t="s">
        <v>51</v>
      </c>
      <c r="B7432" s="28" t="s">
        <v>51</v>
      </c>
      <c r="C7432" s="28" t="s">
        <v>51</v>
      </c>
      <c r="D7432" s="22" t="s">
        <v>11094</v>
      </c>
      <c r="E7432" s="22" t="s">
        <v>48</v>
      </c>
      <c r="F7432" s="23" t="str">
        <f t="shared" si="160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32" s="22" t="s">
        <v>51</v>
      </c>
      <c r="H7432" s="22" t="s">
        <v>51</v>
      </c>
      <c r="I7432" s="26">
        <v>43691.578472222202</v>
      </c>
      <c r="J7432" s="23" t="str">
        <f>HYPERLINK("https://www.spark-marketing.ru/Card/Person/300377", "ООО ""ТУЙМАЗЫ-ФРУКТ""")</f>
        <v>ООО "ТУЙМАЗЫ-ФРУКТ"</v>
      </c>
      <c r="K7432" s="24" t="s">
        <v>9052</v>
      </c>
      <c r="L7432" s="28" t="s">
        <v>51</v>
      </c>
      <c r="M7432" s="25">
        <v>37182945.280000001</v>
      </c>
      <c r="N7432" s="27">
        <v>0</v>
      </c>
    </row>
    <row r="7433" spans="1:14" x14ac:dyDescent="0.15">
      <c r="A7433" s="23" t="str">
        <f>HYPERLINK("https://www.spark-marketing.ru/Card/Person/45243", "МБОУ ""БЕРЕЗОВСКАЯ СОШ""")</f>
        <v>МБОУ "БЕРЕЗОВСКАЯ СОШ"</v>
      </c>
      <c r="B7433" s="24" t="s">
        <v>2528</v>
      </c>
      <c r="C7433" s="25">
        <v>4539112</v>
      </c>
      <c r="D7433" s="22" t="s">
        <v>11111</v>
      </c>
      <c r="E7433" s="22" t="s">
        <v>48</v>
      </c>
      <c r="F7433" s="23" t="str">
        <f>HYPERLINK("https://www.spark-marketing.ru/Card/Lot/72781383", "Оказание услуг по организации горячего питания обучающихся МБОУ «Березовская СОШ».")</f>
        <v>Оказание услуг по организации горячего питания обучающихся МБОУ «Березовская СОШ».</v>
      </c>
      <c r="G7433" s="22" t="s">
        <v>97</v>
      </c>
      <c r="H7433" s="22" t="s">
        <v>482</v>
      </c>
      <c r="I7433" s="26">
        <v>43691.5097916667</v>
      </c>
      <c r="J7433" s="23" t="str">
        <f>HYPERLINK("https://www.spark-marketing.ru/Card/Person/45078", "ООО "" ПЕРЕКРЕСТОК""")</f>
        <v>ООО " ПЕРЕКРЕСТОК"</v>
      </c>
      <c r="K7433" s="24" t="s">
        <v>2530</v>
      </c>
      <c r="L7433" s="22" t="s">
        <v>10</v>
      </c>
      <c r="M7433" s="28" t="s">
        <v>51</v>
      </c>
      <c r="N7433" s="28" t="s">
        <v>51</v>
      </c>
    </row>
    <row r="7434" spans="1:14" x14ac:dyDescent="0.15">
      <c r="A7434" s="23" t="str">
        <f>HYPERLINK("https://www.spark-marketing.ru/Card/Person/89221", "ОТДЕЛ МВД РОССИИ ПО ТЕМРЮКСКОМУ РАЙОНУ")</f>
        <v>ОТДЕЛ МВД РОССИИ ПО ТЕМРЮКСКОМУ РАЙОНУ</v>
      </c>
      <c r="B7434" s="24" t="s">
        <v>9450</v>
      </c>
      <c r="C7434" s="25">
        <v>3727456.5</v>
      </c>
      <c r="D7434" s="22" t="s">
        <v>11112</v>
      </c>
      <c r="E7434" s="22" t="s">
        <v>48</v>
      </c>
      <c r="F7434" s="23" t="str">
        <f>HYPERLINK("https://www.spark-marketing.ru/Card/Lot/72785865", "Питание ИВС")</f>
        <v>Питание ИВС</v>
      </c>
      <c r="G7434" s="22" t="s">
        <v>104</v>
      </c>
      <c r="H7434" s="22" t="s">
        <v>1269</v>
      </c>
      <c r="I7434" s="26">
        <v>43691.5090277778</v>
      </c>
      <c r="J7434" s="28" t="s">
        <v>51</v>
      </c>
      <c r="K7434" s="28" t="s">
        <v>51</v>
      </c>
      <c r="L7434" s="28" t="s">
        <v>51</v>
      </c>
      <c r="M7434" s="28" t="s">
        <v>51</v>
      </c>
      <c r="N7434" s="28" t="s">
        <v>51</v>
      </c>
    </row>
    <row r="7435" spans="1:14" ht="12.75" x14ac:dyDescent="0.2">
      <c r="A7435" s="23" t="str">
        <f>HYPERLINK("https://www.spark-marketing.ru/Card/Person/46689", "ОТДЕЛ МВД РОССИИ ПО Г. ОСИННИКИ")</f>
        <v>ОТДЕЛ МВД РОССИИ ПО Г. ОСИННИКИ</v>
      </c>
      <c r="B7435" s="24" t="s">
        <v>11113</v>
      </c>
      <c r="C7435" s="25">
        <v>490000</v>
      </c>
      <c r="D7435" s="22" t="s">
        <v>11114</v>
      </c>
      <c r="E7435" s="22" t="s">
        <v>48</v>
      </c>
      <c r="F7435" s="23" t="str">
        <f>HYPERLINK("https://www.spark-marketing.ru/Card/Lot/72785501", "Питание заключенных")</f>
        <v>Питание заключенных</v>
      </c>
      <c r="G7435" s="22" t="s">
        <v>304</v>
      </c>
      <c r="H7435" s="22" t="s">
        <v>11115</v>
      </c>
      <c r="I7435" s="26">
        <v>43691.660717592596</v>
      </c>
      <c r="J7435" s="23" t="str">
        <f>HYPERLINK("https://www.spark-marketing.ru/Card/Person/294981", "Гуляр Оксана Николаевна")</f>
        <v>Гуляр Оксана Николаевна</v>
      </c>
      <c r="K7435" s="24" t="s">
        <v>3896</v>
      </c>
      <c r="L7435" s="22" t="s">
        <v>10</v>
      </c>
      <c r="M7435" s="25">
        <v>490000</v>
      </c>
      <c r="N7435" s="27">
        <v>0</v>
      </c>
    </row>
    <row r="7436" spans="1:14" x14ac:dyDescent="0.15">
      <c r="A7436" s="23" t="str">
        <f>HYPERLINK("https://www.spark-marketing.ru/Card/Person/4349437", "ГУЧ ГОССОБРАНИЕ РБ")</f>
        <v>ГУЧ ГОССОБРАНИЕ РБ</v>
      </c>
      <c r="B7436" s="24" t="s">
        <v>11116</v>
      </c>
      <c r="C7436" s="25">
        <v>499456.64</v>
      </c>
      <c r="D7436" s="22" t="s">
        <v>11117</v>
      </c>
      <c r="E7436" s="22" t="s">
        <v>96</v>
      </c>
      <c r="F7436" s="23" t="str">
        <f>HYPERLINK("https://www.spark-marketing.ru/Card/Lot/72780027", "Оказание услуг по обеспечению питания в представительских целях и для обслуживания официальных делегаций")</f>
        <v>Оказание услуг по обеспечению питания в представительских целях и для обслуживания официальных делегаций</v>
      </c>
      <c r="G7436" s="22" t="s">
        <v>145</v>
      </c>
      <c r="H7436" s="22" t="s">
        <v>436</v>
      </c>
      <c r="I7436" s="26">
        <v>43691.5210532407</v>
      </c>
      <c r="J7436" s="23" t="str">
        <f>HYPERLINK("https://www.spark-marketing.ru/Card/Person/180514", "КП РБ КОМБИНАТ ПИТАНИЯ")</f>
        <v>КП РБ КОМБИНАТ ПИТАНИЯ</v>
      </c>
      <c r="K7436" s="24" t="s">
        <v>4774</v>
      </c>
      <c r="L7436" s="22" t="s">
        <v>10</v>
      </c>
      <c r="M7436" s="28" t="s">
        <v>51</v>
      </c>
      <c r="N7436" s="28" t="s">
        <v>51</v>
      </c>
    </row>
    <row r="7437" spans="1:14" x14ac:dyDescent="0.15">
      <c r="A7437" s="23" t="str">
        <f>HYPERLINK("https://www.spark-marketing.ru/Card/Person/4344466", "МУ ""СОЦИАЛЬНО-РЕАБИЛИТАЦИОННЫЙ ЦЕНТР ДЛЯ ДЕТЕЙ И ПОДРОСТКОВ С ОГРАНИЧЕННЫМИ ВОЗМОЖНОСТЯМИ"" Г. МАГНИТОГОРСКА")</f>
        <v>МУ "СОЦИАЛЬНО-РЕАБИЛИТАЦИОННЫЙ ЦЕНТР ДЛЯ ДЕТЕЙ И ПОДРОСТКОВ С ОГРАНИЧЕННЫМИ ВОЗМОЖНОСТЯМИ" Г. МАГНИТОГОРСКА</v>
      </c>
      <c r="B7437" s="24" t="s">
        <v>11118</v>
      </c>
      <c r="C7437" s="25">
        <v>279125</v>
      </c>
      <c r="D7437" s="22" t="s">
        <v>11119</v>
      </c>
      <c r="E7437" s="22" t="s">
        <v>48</v>
      </c>
      <c r="F7437" s="23" t="str">
        <f>HYPERLINK("https://www.spark-marketing.ru/Card/Lot/72780927", "№34901-2019-ЭА-1847 Оказание услуг по организации 3-х разового горячего питания (завтрак, обед, полдник) для детей отделения дневного пребывания, в возрасте 3-6 лет, согласно примерному меню (Приложение № 1), графику заездов (Приложение № 2) и  техни...")</f>
        <v>№34901-2019-ЭА-1847 Оказание услуг по организации 3-х разового горячего питания (завтрак, обед, полдник) для детей отделения дневного пребывания, в возрасте 3-6 лет, согласно примерному меню (Приложение № 1), графику заездов (Приложение № 2) и  техни...</v>
      </c>
      <c r="G7437" s="22" t="s">
        <v>469</v>
      </c>
      <c r="H7437" s="22" t="s">
        <v>470</v>
      </c>
      <c r="I7437" s="26">
        <v>43691.5131944444</v>
      </c>
      <c r="J7437" s="23" t="str">
        <f>HYPERLINK("https://www.spark-marketing.ru/Card/Person/102584", "АО ""ГОРТОРГ""")</f>
        <v>АО "ГОРТОРГ"</v>
      </c>
      <c r="K7437" s="24" t="s">
        <v>8671</v>
      </c>
      <c r="L7437" s="22" t="s">
        <v>10</v>
      </c>
      <c r="M7437" s="28" t="s">
        <v>51</v>
      </c>
      <c r="N7437" s="28" t="s">
        <v>51</v>
      </c>
    </row>
    <row r="7438" spans="1:14" collapsed="1" x14ac:dyDescent="0.15">
      <c r="A7438" s="23" t="str">
        <f>HYPERLINK("https://www.spark-marketing.ru/Card/Person/5855083", "УПРАВЛЕНИЕ РОСГВАРДИИ ПО РЕСПУБЛИКЕ АДЫГЕЯ")</f>
        <v>УПРАВЛЕНИЕ РОСГВАРДИИ ПО РЕСПУБЛИКЕ АДЫГЕЯ</v>
      </c>
      <c r="B7438" s="24" t="s">
        <v>923</v>
      </c>
      <c r="C7438" s="25">
        <v>758208</v>
      </c>
      <c r="D7438" s="22" t="s">
        <v>11120</v>
      </c>
      <c r="E7438" s="22" t="s">
        <v>48</v>
      </c>
      <c r="F7438" s="23" t="str">
        <f>HYPERLINK("https://www.spark-marketing.ru/Card/Lot/72785736", "Услуги по обеспечению питанием военнослужащих для нужд Управления Федеральной службы войск нациоанльной гвардии Российской Федерации по республике Адыгея")</f>
        <v>Услуги по обеспечению питанием военнослужащих для нужд Управления Федеральной службы войск нациоанльной гвардии Российской Федерации по республике Адыгея</v>
      </c>
      <c r="G7438" s="22" t="s">
        <v>925</v>
      </c>
      <c r="H7438" s="22" t="s">
        <v>926</v>
      </c>
      <c r="I7438" s="26">
        <v>43691.460115740701</v>
      </c>
      <c r="J7438" s="28" t="s">
        <v>51</v>
      </c>
      <c r="K7438" s="28" t="s">
        <v>51</v>
      </c>
      <c r="L7438" s="28" t="s">
        <v>51</v>
      </c>
      <c r="M7438" s="28" t="s">
        <v>51</v>
      </c>
      <c r="N7438" s="28" t="s">
        <v>51</v>
      </c>
    </row>
    <row r="7439" spans="1:14" ht="12.75" hidden="1" outlineLevel="1" x14ac:dyDescent="0.2">
      <c r="A7439" s="23" t="str">
        <f>HYPERLINK("https://www.spark-marketing.ru/Card/Person/5855083", "УПРАВЛЕНИЕ РОСГВАРДИИ ПО РЕСПУБЛИКЕ АДЫГЕЯ")</f>
        <v>УПРАВЛЕНИЕ РОСГВАРДИИ ПО РЕСПУБЛИКЕ АДЫГЕЯ</v>
      </c>
      <c r="B7439" s="24" t="s">
        <v>923</v>
      </c>
      <c r="C7439" s="25">
        <v>758208</v>
      </c>
      <c r="D7439" s="22" t="s">
        <v>11120</v>
      </c>
      <c r="E7439" s="22" t="s">
        <v>48</v>
      </c>
      <c r="F7439" s="23" t="str">
        <f>HYPERLINK("https://www.spark-marketing.ru/Card/Lot/72785736", "Услуги по обеспечению питанием военнослужащих для нужд Управления Федеральной службы войск нациоанльной гвардии Российской Федерации по республике Адыгея")</f>
        <v>Услуги по обеспечению питанием военнослужащих для нужд Управления Федеральной службы войск нациоанльной гвардии Российской Федерации по республике Адыгея</v>
      </c>
      <c r="G7439" s="22" t="s">
        <v>925</v>
      </c>
      <c r="H7439" s="22" t="s">
        <v>926</v>
      </c>
      <c r="I7439" s="26">
        <v>43691.460115740701</v>
      </c>
      <c r="J7439" s="23" t="str">
        <f>HYPERLINK("https://www.spark-marketing.ru/Card/Person/6617631", "Провоторова Мария Кирилловна")</f>
        <v>Провоторова Мария Кирилловна</v>
      </c>
      <c r="K7439" s="24" t="s">
        <v>3949</v>
      </c>
      <c r="L7439" s="22" t="s">
        <v>10</v>
      </c>
      <c r="M7439" s="25">
        <v>371521.92</v>
      </c>
      <c r="N7439" s="27">
        <v>0.51</v>
      </c>
    </row>
    <row r="7440" spans="1:14" hidden="1" outlineLevel="1" x14ac:dyDescent="0.2">
      <c r="A7440" s="23" t="str">
        <f>HYPERLINK("https://www.spark-marketing.ru/Card/Person/5855083", "УПРАВЛЕНИЕ РОСГВАРДИИ ПО РЕСПУБЛИКЕ АДЫГЕЯ")</f>
        <v>УПРАВЛЕНИЕ РОСГВАРДИИ ПО РЕСПУБЛИКЕ АДЫГЕЯ</v>
      </c>
      <c r="B7440" s="24" t="s">
        <v>923</v>
      </c>
      <c r="C7440" s="25">
        <v>758208</v>
      </c>
      <c r="D7440" s="22" t="s">
        <v>11120</v>
      </c>
      <c r="E7440" s="22" t="s">
        <v>48</v>
      </c>
      <c r="F7440" s="23" t="str">
        <f>HYPERLINK("https://www.spark-marketing.ru/Card/Lot/72785736", "Услуги по обеспечению питанием военнослужащих для нужд Управления Федеральной службы войск нациоанльной гвардии Российской Федерации по республике Адыгея")</f>
        <v>Услуги по обеспечению питанием военнослужащих для нужд Управления Федеральной службы войск нациоанльной гвардии Российской Федерации по республике Адыгея</v>
      </c>
      <c r="G7440" s="22" t="s">
        <v>925</v>
      </c>
      <c r="H7440" s="22" t="s">
        <v>926</v>
      </c>
      <c r="I7440" s="26">
        <v>43691.460115740701</v>
      </c>
      <c r="J7440" s="23" t="str">
        <f>HYPERLINK("https://www.spark-marketing.ru/Card/Person/943735", "Сиюхова Бэла Каплановна")</f>
        <v>Сиюхова Бэла Каплановна</v>
      </c>
      <c r="K7440" s="24" t="s">
        <v>11121</v>
      </c>
      <c r="L7440" s="28" t="s">
        <v>51</v>
      </c>
      <c r="M7440" s="25">
        <v>375312.96</v>
      </c>
      <c r="N7440" s="27">
        <v>0.505</v>
      </c>
    </row>
    <row r="7441" spans="1:14" hidden="1" outlineLevel="1" x14ac:dyDescent="0.2">
      <c r="A7441" s="23" t="str">
        <f>HYPERLINK("https://www.spark-marketing.ru/Card/Person/5855083", "УПРАВЛЕНИЕ РОСГВАРДИИ ПО РЕСПУБЛИКЕ АДЫГЕЯ")</f>
        <v>УПРАВЛЕНИЕ РОСГВАРДИИ ПО РЕСПУБЛИКЕ АДЫГЕЯ</v>
      </c>
      <c r="B7441" s="24" t="s">
        <v>923</v>
      </c>
      <c r="C7441" s="25">
        <v>758208</v>
      </c>
      <c r="D7441" s="22" t="s">
        <v>11120</v>
      </c>
      <c r="E7441" s="22" t="s">
        <v>48</v>
      </c>
      <c r="F7441" s="23" t="str">
        <f>HYPERLINK("https://www.spark-marketing.ru/Card/Lot/72785736", "Услуги по обеспечению питанием военнослужащих для нужд Управления Федеральной службы войск нациоанльной гвардии Российской Федерации по республике Адыгея")</f>
        <v>Услуги по обеспечению питанием военнослужащих для нужд Управления Федеральной службы войск нациоанльной гвардии Российской Федерации по республике Адыгея</v>
      </c>
      <c r="G7441" s="22" t="s">
        <v>925</v>
      </c>
      <c r="H7441" s="22" t="s">
        <v>926</v>
      </c>
      <c r="I7441" s="26">
        <v>43691.460115740701</v>
      </c>
      <c r="J7441" s="23" t="str">
        <f>HYPERLINK("https://www.spark-marketing.ru/Card/Person/6692287", "Намитокова Мариет Нальбиевна")</f>
        <v>Намитокова Мариет Нальбиевна</v>
      </c>
      <c r="K7441" s="24" t="s">
        <v>11122</v>
      </c>
      <c r="L7441" s="28" t="s">
        <v>51</v>
      </c>
      <c r="M7441" s="25">
        <v>712715.52</v>
      </c>
      <c r="N7441" s="27">
        <v>0.06</v>
      </c>
    </row>
    <row r="7442" spans="1:14" x14ac:dyDescent="0.15">
      <c r="A7442" s="23" t="str">
        <f>HYPERLINK("https://www.spark-marketing.ru/Card/Person/57304", "ГАУ ""ГОРМЕДТЕХНИКА""")</f>
        <v>ГАУ "ГОРМЕДТЕХНИКА"</v>
      </c>
      <c r="B7442" s="24" t="s">
        <v>11123</v>
      </c>
      <c r="C7442" s="25">
        <v>2811650.4</v>
      </c>
      <c r="D7442" s="22" t="s">
        <v>11124</v>
      </c>
      <c r="E7442" s="22" t="s">
        <v>1153</v>
      </c>
      <c r="F7442" s="23" t="str">
        <f>HYPERLINK("https://www.spark-marketing.ru/Card/Lot/72781922", "Аукцион в электронной форме на оказание услуг стикеровки наборов продуктов питания льготных категорий граждан для нужд ГБУ «Гормедтехника» в 2019 году (РЦ2019-026)")</f>
        <v>Аукцион в электронной форме на оказание услуг стикеровки наборов продуктов питания льготных категорий граждан для нужд ГБУ «Гормедтехника» в 2019 году (РЦ2019-026)</v>
      </c>
      <c r="G7442" s="22" t="s">
        <v>56</v>
      </c>
      <c r="H7442" s="22" t="s">
        <v>56</v>
      </c>
      <c r="I7442" s="26">
        <v>43691.460543981499</v>
      </c>
      <c r="J7442" s="23" t="str">
        <f>HYPERLINK("https://www.spark-marketing.ru/Card/Person/6455556", "Новиков Сергей Владимирович")</f>
        <v>Новиков Сергей Владимирович</v>
      </c>
      <c r="K7442" s="24" t="s">
        <v>11125</v>
      </c>
      <c r="L7442" s="22" t="s">
        <v>10</v>
      </c>
      <c r="M7442" s="28" t="s">
        <v>51</v>
      </c>
      <c r="N7442" s="28" t="s">
        <v>51</v>
      </c>
    </row>
    <row r="7443" spans="1:14" x14ac:dyDescent="0.15">
      <c r="A7443" s="23" t="str">
        <f>HYPERLINK("https://www.spark-marketing.ru/Card/Person/879104", "ОТДЕЛ МВД РОССИИ ПО КУРГАНИНСКОМУ РАЙОНУ")</f>
        <v>ОТДЕЛ МВД РОССИИ ПО КУРГАНИНСКОМУ РАЙОНУ</v>
      </c>
      <c r="B7443" s="24" t="s">
        <v>2141</v>
      </c>
      <c r="C7443" s="25">
        <v>498000</v>
      </c>
      <c r="D7443" s="22" t="s">
        <v>11126</v>
      </c>
      <c r="E7443" s="22" t="s">
        <v>48</v>
      </c>
      <c r="F7443" s="23" t="str">
        <f>HYPERLINK("https://www.spark-marketing.ru/Card/Lot/72781958", "Услуги по обеспечению питанием лиц, содержащихся в ИВС, КАА и СПСЗЛ Отдела МВД России по Курганинскому району")</f>
        <v>Услуги по обеспечению питанием лиц, содержащихся в ИВС, КАА и СПСЗЛ Отдела МВД России по Курганинскому району</v>
      </c>
      <c r="G7443" s="22" t="s">
        <v>104</v>
      </c>
      <c r="H7443" s="22" t="s">
        <v>2143</v>
      </c>
      <c r="I7443" s="26">
        <v>43691.478923611103</v>
      </c>
      <c r="J7443" s="23" t="str">
        <f>HYPERLINK("https://www.spark-marketing.ru/Card/Person/6426744", "Терещенко Людмила Николаевна")</f>
        <v>Терещенко Людмила Николаевна</v>
      </c>
      <c r="K7443" s="24" t="s">
        <v>10286</v>
      </c>
      <c r="L7443" s="22" t="s">
        <v>10</v>
      </c>
      <c r="M7443" s="28" t="s">
        <v>51</v>
      </c>
      <c r="N7443" s="28" t="s">
        <v>51</v>
      </c>
    </row>
    <row r="7444" spans="1:14" collapsed="1" x14ac:dyDescent="0.15">
      <c r="A7444" s="23" t="str">
        <f>HYPERLINK("https://www.spark-marketing.ru/Card/Person/645599", "ОМВД РОССИИ ПО УСТЬ-АБАКАНСКОМУ РАЙОНУ")</f>
        <v>ОМВД РОССИИ ПО УСТЬ-АБАКАНСКОМУ РАЙОНУ</v>
      </c>
      <c r="B7444" s="24" t="s">
        <v>11127</v>
      </c>
      <c r="C7444" s="25">
        <v>1602700</v>
      </c>
      <c r="D7444" s="22" t="s">
        <v>11128</v>
      </c>
      <c r="E7444" s="22" t="s">
        <v>48</v>
      </c>
      <c r="F7444" s="23" t="str">
        <f>HYPERLINK("https://www.spark-marketing.ru/Card/Lot/72777618", "Услуги по ежедневному обеспечению горячим трехразовым питанием лиц, подозреваемых и обвиняемых в совершении преступлений, задержанных за совершение административных правонарушений, находящихся в ИВС ОМВД России по Усть-Абаканскому району и лиц, содер...")</f>
        <v>Услуги по ежедневному обеспечению горячим трехразовым питанием лиц, подозреваемых и обвиняемых в совершении преступлений, задержанных за совершение административных правонарушений, находящихся в ИВС ОМВД России по Усть-Абаканскому району и лиц, содер...</v>
      </c>
      <c r="G7444" s="22" t="s">
        <v>92</v>
      </c>
      <c r="H7444" s="22" t="s">
        <v>9681</v>
      </c>
      <c r="I7444" s="26">
        <v>43691.476030092599</v>
      </c>
      <c r="J7444" s="28" t="s">
        <v>51</v>
      </c>
      <c r="K7444" s="28" t="s">
        <v>51</v>
      </c>
      <c r="L7444" s="28" t="s">
        <v>51</v>
      </c>
      <c r="M7444" s="28" t="s">
        <v>51</v>
      </c>
      <c r="N7444" s="28" t="s">
        <v>51</v>
      </c>
    </row>
    <row r="7445" spans="1:14" ht="12.75" hidden="1" outlineLevel="1" x14ac:dyDescent="0.2">
      <c r="A7445" s="23" t="str">
        <f>HYPERLINK("https://www.spark-marketing.ru/Card/Person/645599", "ОМВД РОССИИ ПО УСТЬ-АБАКАНСКОМУ РАЙОНУ")</f>
        <v>ОМВД РОССИИ ПО УСТЬ-АБАКАНСКОМУ РАЙОНУ</v>
      </c>
      <c r="B7445" s="24" t="s">
        <v>11127</v>
      </c>
      <c r="C7445" s="25">
        <v>1602700</v>
      </c>
      <c r="D7445" s="22" t="s">
        <v>11128</v>
      </c>
      <c r="E7445" s="22" t="s">
        <v>48</v>
      </c>
      <c r="F7445" s="23" t="str">
        <f>HYPERLINK("https://www.spark-marketing.ru/Card/Lot/72777618", "Услуги по ежедневному обеспечению горячим трехразовым питанием лиц, подозреваемых и обвиняемых в совершении преступлений, задержанных за совершение административных правонарушений, находящихся в ИВС ОМВД России по Усть-Абаканскому району и лиц, содер...")</f>
        <v>Услуги по ежедневному обеспечению горячим трехразовым питанием лиц, подозреваемых и обвиняемых в совершении преступлений, задержанных за совершение административных правонарушений, находящихся в ИВС ОМВД России по Усть-Абаканскому району и лиц, содер...</v>
      </c>
      <c r="G7445" s="22" t="s">
        <v>92</v>
      </c>
      <c r="H7445" s="22" t="s">
        <v>9681</v>
      </c>
      <c r="I7445" s="26">
        <v>43691.476030092599</v>
      </c>
      <c r="J7445" s="23" t="str">
        <f>HYPERLINK("https://www.spark-marketing.ru/Card/Person/656154", "ООО ""ЗЕВС""")</f>
        <v>ООО "ЗЕВС"</v>
      </c>
      <c r="K7445" s="24" t="s">
        <v>5981</v>
      </c>
      <c r="L7445" s="22" t="s">
        <v>10</v>
      </c>
      <c r="M7445" s="25">
        <v>2431.52</v>
      </c>
      <c r="N7445" s="27">
        <v>0.99848286017345733</v>
      </c>
    </row>
    <row r="7446" spans="1:14" hidden="1" outlineLevel="1" x14ac:dyDescent="0.2">
      <c r="A7446" s="23" t="str">
        <f>HYPERLINK("https://www.spark-marketing.ru/Card/Person/645599", "ОМВД РОССИИ ПО УСТЬ-АБАКАНСКОМУ РАЙОНУ")</f>
        <v>ОМВД РОССИИ ПО УСТЬ-АБАКАНСКОМУ РАЙОНУ</v>
      </c>
      <c r="B7446" s="24" t="s">
        <v>11127</v>
      </c>
      <c r="C7446" s="25">
        <v>1602700</v>
      </c>
      <c r="D7446" s="22" t="s">
        <v>11128</v>
      </c>
      <c r="E7446" s="22" t="s">
        <v>48</v>
      </c>
      <c r="F7446" s="23" t="str">
        <f>HYPERLINK("https://www.spark-marketing.ru/Card/Lot/72777618", "Услуги по ежедневному обеспечению горячим трехразовым питанием лиц, подозреваемых и обвиняемых в совершении преступлений, задержанных за совершение административных правонарушений, находящихся в ИВС ОМВД России по Усть-Абаканскому району и лиц, содер...")</f>
        <v>Услуги по ежедневному обеспечению горячим трехразовым питанием лиц, подозреваемых и обвиняемых в совершении преступлений, задержанных за совершение административных правонарушений, находящихся в ИВС ОМВД России по Усть-Абаканскому району и лиц, содер...</v>
      </c>
      <c r="G7446" s="22" t="s">
        <v>92</v>
      </c>
      <c r="H7446" s="22" t="s">
        <v>9681</v>
      </c>
      <c r="I7446" s="26">
        <v>43691.476030092599</v>
      </c>
      <c r="J7446" s="23" t="str">
        <f>HYPERLINK("https://www.spark-marketing.ru/Card/Person/4948502", "Будаева Ольга Борисовна")</f>
        <v>Будаева Ольга Борисовна</v>
      </c>
      <c r="K7446" s="24" t="s">
        <v>5983</v>
      </c>
      <c r="L7446" s="28" t="s">
        <v>51</v>
      </c>
      <c r="M7446" s="25">
        <v>2443.8000000000002</v>
      </c>
      <c r="N7446" s="27">
        <v>0.99847519810320084</v>
      </c>
    </row>
    <row r="7447" spans="1:14" x14ac:dyDescent="0.15">
      <c r="A7447" s="23" t="str">
        <f>HYPERLINK("https://www.spark-marketing.ru/Card/Person/54648", "АО ""В/О""ИЗОТОП""")</f>
        <v>АО "В/О"ИЗОТОП"</v>
      </c>
      <c r="B7447" s="24" t="s">
        <v>9850</v>
      </c>
      <c r="C7447" s="25">
        <v>0</v>
      </c>
      <c r="D7447" s="22" t="s">
        <v>11129</v>
      </c>
      <c r="E7447" s="22" t="s">
        <v>52</v>
      </c>
      <c r="F7447" s="23" t="str">
        <f>HYPERLINK("https://www.spark-marketing.ru/Card/Lot/72797409", "мониторинг цен в электронной форме на Оказание услуг по организации питания в рамках командообразующего мероприятия.")</f>
        <v>мониторинг цен в электронной форме на Оказание услуг по организации питания в рамках командообразующего мероприятия.</v>
      </c>
      <c r="G7447" s="22" t="s">
        <v>56</v>
      </c>
      <c r="H7447" s="22" t="s">
        <v>56</v>
      </c>
      <c r="I7447" s="26">
        <v>43691.4351157407</v>
      </c>
      <c r="J7447" s="28" t="s">
        <v>51</v>
      </c>
      <c r="K7447" s="28" t="s">
        <v>51</v>
      </c>
      <c r="L7447" s="28" t="s">
        <v>51</v>
      </c>
      <c r="M7447" s="28" t="s">
        <v>51</v>
      </c>
      <c r="N7447" s="28" t="s">
        <v>51</v>
      </c>
    </row>
    <row r="7448" spans="1:14" collapsed="1" x14ac:dyDescent="0.15">
      <c r="A7448" s="23" t="str">
        <f>HYPERLINK("https://www.spark-marketing.ru/Card/Person/68404", "МО МВД РОССИИ ""СТРЕЖЕВСКОЙ"" УМВД РОССИИ ПО ТОМСКОЙ ОБЛАСТИ")</f>
        <v>МО МВД РОССИИ "СТРЕЖЕВСКОЙ" УМВД РОССИИ ПО ТОМСКОЙ ОБЛАСТИ</v>
      </c>
      <c r="B7448" s="24" t="s">
        <v>11130</v>
      </c>
      <c r="C7448" s="25">
        <v>475897.59999999998</v>
      </c>
      <c r="D7448" s="22" t="s">
        <v>11131</v>
      </c>
      <c r="E7448" s="22" t="s">
        <v>48</v>
      </c>
      <c r="F7448" s="23" t="str">
        <f>HYPERLINK("https://www.spark-marketing.ru/Card/Lot/72780055", "Услуги по приготовлению трех разового питания лиц, содержащихся в ИВС")</f>
        <v>Услуги по приготовлению трех разового питания лиц, содержащихся в ИВС</v>
      </c>
      <c r="G7448" s="22" t="s">
        <v>149</v>
      </c>
      <c r="H7448" s="22" t="s">
        <v>1025</v>
      </c>
      <c r="I7448" s="26">
        <v>43691.581967592603</v>
      </c>
      <c r="J7448" s="28" t="s">
        <v>51</v>
      </c>
      <c r="K7448" s="28" t="s">
        <v>51</v>
      </c>
      <c r="L7448" s="28" t="s">
        <v>51</v>
      </c>
      <c r="M7448" s="28" t="s">
        <v>51</v>
      </c>
      <c r="N7448" s="28" t="s">
        <v>51</v>
      </c>
    </row>
    <row r="7449" spans="1:14" ht="12.75" hidden="1" outlineLevel="1" x14ac:dyDescent="0.2">
      <c r="A7449" s="23" t="str">
        <f>HYPERLINK("https://www.spark-marketing.ru/Card/Person/68404", "МО МВД РОССИИ ""СТРЕЖЕВСКОЙ"" УМВД РОССИИ ПО ТОМСКОЙ ОБЛАСТИ")</f>
        <v>МО МВД РОССИИ "СТРЕЖЕВСКОЙ" УМВД РОССИИ ПО ТОМСКОЙ ОБЛАСТИ</v>
      </c>
      <c r="B7449" s="24" t="s">
        <v>11130</v>
      </c>
      <c r="C7449" s="25">
        <v>475897.59999999998</v>
      </c>
      <c r="D7449" s="22" t="s">
        <v>11131</v>
      </c>
      <c r="E7449" s="22" t="s">
        <v>48</v>
      </c>
      <c r="F7449" s="23" t="str">
        <f>HYPERLINK("https://www.spark-marketing.ru/Card/Lot/72780055", "Услуги по приготовлению трех разового питания лиц, содержащихся в ИВС")</f>
        <v>Услуги по приготовлению трех разового питания лиц, содержащихся в ИВС</v>
      </c>
      <c r="G7449" s="22" t="s">
        <v>149</v>
      </c>
      <c r="H7449" s="22" t="s">
        <v>1025</v>
      </c>
      <c r="I7449" s="26">
        <v>43691.581967592603</v>
      </c>
      <c r="J7449" s="23" t="str">
        <f>HYPERLINK("https://www.spark-marketing.ru/Card/Person/563717", "ООО ""ПИОН""")</f>
        <v>ООО "ПИОН"</v>
      </c>
      <c r="K7449" s="24" t="s">
        <v>11132</v>
      </c>
      <c r="L7449" s="22" t="s">
        <v>10</v>
      </c>
      <c r="M7449" s="25">
        <v>402015.6</v>
      </c>
      <c r="N7449" s="27">
        <v>0.15524768353528154</v>
      </c>
    </row>
    <row r="7450" spans="1:14" hidden="1" outlineLevel="1" x14ac:dyDescent="0.2">
      <c r="A7450" s="23" t="str">
        <f>HYPERLINK("https://www.spark-marketing.ru/Card/Person/68404", "МО МВД РОССИИ ""СТРЕЖЕВСКОЙ"" УМВД РОССИИ ПО ТОМСКОЙ ОБЛАСТИ")</f>
        <v>МО МВД РОССИИ "СТРЕЖЕВСКОЙ" УМВД РОССИИ ПО ТОМСКОЙ ОБЛАСТИ</v>
      </c>
      <c r="B7450" s="24" t="s">
        <v>11130</v>
      </c>
      <c r="C7450" s="25">
        <v>475897.59999999998</v>
      </c>
      <c r="D7450" s="22" t="s">
        <v>11131</v>
      </c>
      <c r="E7450" s="22" t="s">
        <v>48</v>
      </c>
      <c r="F7450" s="23" t="str">
        <f>HYPERLINK("https://www.spark-marketing.ru/Card/Lot/72780055", "Услуги по приготовлению трех разового питания лиц, содержащихся в ИВС")</f>
        <v>Услуги по приготовлению трех разового питания лиц, содержащихся в ИВС</v>
      </c>
      <c r="G7450" s="22" t="s">
        <v>149</v>
      </c>
      <c r="H7450" s="22" t="s">
        <v>1025</v>
      </c>
      <c r="I7450" s="26">
        <v>43691.581967592603</v>
      </c>
      <c r="J7450" s="23" t="str">
        <f>HYPERLINK("https://www.spark-marketing.ru/Card/Person/840171", "ООО ""УРС""")</f>
        <v>ООО "УРС"</v>
      </c>
      <c r="K7450" s="24" t="s">
        <v>11133</v>
      </c>
      <c r="L7450" s="28" t="s">
        <v>51</v>
      </c>
      <c r="M7450" s="25">
        <v>434718</v>
      </c>
      <c r="N7450" s="27">
        <v>8.6530379644696676E-2</v>
      </c>
    </row>
    <row r="7451" spans="1:14" x14ac:dyDescent="0.15">
      <c r="A7451" s="23" t="str">
        <f>HYPERLINK("https://www.spark-marketing.ru/Card/Person/36630", "ГБУЗ ЯНАО ""ЛГБ""")</f>
        <v>ГБУЗ ЯНАО "ЛГБ"</v>
      </c>
      <c r="B7451" s="24" t="s">
        <v>6988</v>
      </c>
      <c r="C7451" s="25">
        <v>152520.20000000001</v>
      </c>
      <c r="D7451" s="22" t="s">
        <v>11134</v>
      </c>
      <c r="E7451" s="22" t="s">
        <v>603</v>
      </c>
      <c r="F7451" s="23" t="str">
        <f>HYPERLINK("https://www.spark-marketing.ru/Card/Lot/72775950", "Оказание услуг по поверке средств измерений")</f>
        <v>Оказание услуг по поверке средств измерений</v>
      </c>
      <c r="G7451" s="22" t="s">
        <v>1056</v>
      </c>
      <c r="H7451" s="22" t="s">
        <v>6990</v>
      </c>
      <c r="I7451" s="26">
        <v>43690.737442129597</v>
      </c>
      <c r="J7451" s="28" t="s">
        <v>51</v>
      </c>
      <c r="K7451" s="28" t="s">
        <v>51</v>
      </c>
      <c r="L7451" s="28" t="s">
        <v>51</v>
      </c>
      <c r="M7451" s="28" t="s">
        <v>51</v>
      </c>
      <c r="N7451" s="28" t="s">
        <v>51</v>
      </c>
    </row>
    <row r="7452" spans="1:14" x14ac:dyDescent="0.15">
      <c r="A7452" s="23" t="str">
        <f>HYPERLINK("https://www.spark-marketing.ru/Card/Person/54897", "КГБУЗ ""ПТД Г.СЛАВГОРОД""")</f>
        <v>КГБУЗ "ПТД Г.СЛАВГОРОД"</v>
      </c>
      <c r="B7452" s="24" t="s">
        <v>11135</v>
      </c>
      <c r="C7452" s="25">
        <v>7184.8</v>
      </c>
      <c r="D7452" s="22" t="s">
        <v>11136</v>
      </c>
      <c r="E7452" s="22" t="s">
        <v>11137</v>
      </c>
      <c r="F7452" s="23" t="str">
        <f>HYPERLINK("https://www.spark-marketing.ru/Card/Lot/72778261", "Товары, работы и услуги, закупаемые у единственного поставщика (п.4 ч.1 ст.93 44-ФЗ) в 2019 году")</f>
        <v>Товары, работы и услуги, закупаемые у единственного поставщика (п.4 ч.1 ст.93 44-ФЗ) в 2019 году</v>
      </c>
      <c r="G7452" s="22" t="s">
        <v>63</v>
      </c>
      <c r="H7452" s="22" t="s">
        <v>6594</v>
      </c>
      <c r="I7452" s="26">
        <v>43691.456250000003</v>
      </c>
      <c r="J7452" s="28" t="s">
        <v>51</v>
      </c>
      <c r="K7452" s="28" t="s">
        <v>51</v>
      </c>
      <c r="L7452" s="28" t="s">
        <v>51</v>
      </c>
      <c r="M7452" s="28" t="s">
        <v>51</v>
      </c>
      <c r="N7452" s="28" t="s">
        <v>51</v>
      </c>
    </row>
    <row r="7453" spans="1:14" collapsed="1" x14ac:dyDescent="0.15">
      <c r="A7453" s="23" t="str">
        <f>HYPERLINK("https://www.spark-marketing.ru/Card/Person/56553", "ГБУЗ ИБ № 3")</f>
        <v>ГБУЗ ИБ № 3</v>
      </c>
      <c r="B7453" s="24" t="s">
        <v>254</v>
      </c>
      <c r="C7453" s="25">
        <v>499330</v>
      </c>
      <c r="D7453" s="22" t="s">
        <v>11138</v>
      </c>
      <c r="E7453" s="22" t="s">
        <v>96</v>
      </c>
      <c r="F7453" s="23" t="str">
        <f>HYPERLINK("https://www.spark-marketing.ru/Card/Lot/72780699", "Оказание услуг по обеспечению лечебным питанием")</f>
        <v>Оказание услуг по обеспечению лечебным питанием</v>
      </c>
      <c r="G7453" s="22" t="s">
        <v>104</v>
      </c>
      <c r="H7453" s="22" t="s">
        <v>1689</v>
      </c>
      <c r="I7453" s="26">
        <v>43690.371817129599</v>
      </c>
      <c r="J7453" s="28" t="s">
        <v>51</v>
      </c>
      <c r="K7453" s="28" t="s">
        <v>51</v>
      </c>
      <c r="L7453" s="28" t="s">
        <v>51</v>
      </c>
      <c r="M7453" s="28" t="s">
        <v>51</v>
      </c>
      <c r="N7453" s="28" t="s">
        <v>51</v>
      </c>
    </row>
    <row r="7454" spans="1:14" ht="12.75" hidden="1" outlineLevel="1" x14ac:dyDescent="0.2">
      <c r="A7454" s="23" t="str">
        <f>HYPERLINK("https://www.spark-marketing.ru/Card/Person/56553", "ГБУЗ ИБ № 3")</f>
        <v>ГБУЗ ИБ № 3</v>
      </c>
      <c r="B7454" s="24" t="s">
        <v>254</v>
      </c>
      <c r="C7454" s="25">
        <v>499330</v>
      </c>
      <c r="D7454" s="22" t="s">
        <v>11138</v>
      </c>
      <c r="E7454" s="22" t="s">
        <v>96</v>
      </c>
      <c r="F7454" s="23" t="str">
        <f>HYPERLINK("https://www.spark-marketing.ru/Card/Lot/72780699", "Оказание услуг по обеспечению лечебным питанием")</f>
        <v>Оказание услуг по обеспечению лечебным питанием</v>
      </c>
      <c r="G7454" s="22" t="s">
        <v>104</v>
      </c>
      <c r="H7454" s="22" t="s">
        <v>1689</v>
      </c>
      <c r="I7454" s="26">
        <v>43690.371817129599</v>
      </c>
      <c r="J7454" s="23" t="str">
        <f>HYPERLINK("https://www.spark-marketing.ru/Card/Person/54395", "Третьяков Вячеслав Викторович")</f>
        <v>Третьяков Вячеслав Викторович</v>
      </c>
      <c r="K7454" s="24" t="s">
        <v>1690</v>
      </c>
      <c r="L7454" s="22" t="s">
        <v>10</v>
      </c>
      <c r="M7454" s="25">
        <v>289611.40000000002</v>
      </c>
      <c r="N7454" s="27">
        <v>0.42</v>
      </c>
    </row>
    <row r="7455" spans="1:14" hidden="1" outlineLevel="1" x14ac:dyDescent="0.2">
      <c r="A7455" s="23" t="str">
        <f>HYPERLINK("https://www.spark-marketing.ru/Card/Person/56553", "ГБУЗ ИБ № 3")</f>
        <v>ГБУЗ ИБ № 3</v>
      </c>
      <c r="B7455" s="24" t="s">
        <v>254</v>
      </c>
      <c r="C7455" s="25">
        <v>499330</v>
      </c>
      <c r="D7455" s="22" t="s">
        <v>11138</v>
      </c>
      <c r="E7455" s="22" t="s">
        <v>96</v>
      </c>
      <c r="F7455" s="23" t="str">
        <f>HYPERLINK("https://www.spark-marketing.ru/Card/Lot/72780699", "Оказание услуг по обеспечению лечебным питанием")</f>
        <v>Оказание услуг по обеспечению лечебным питанием</v>
      </c>
      <c r="G7455" s="22" t="s">
        <v>104</v>
      </c>
      <c r="H7455" s="22" t="s">
        <v>1689</v>
      </c>
      <c r="I7455" s="26">
        <v>43690.371817129599</v>
      </c>
      <c r="J7455" s="23" t="str">
        <f>HYPERLINK("https://www.spark-marketing.ru/Card/Person/2461569", "ООО ""КОНСТАНТИНОВ""")</f>
        <v>ООО "КОНСТАНТИНОВ"</v>
      </c>
      <c r="K7455" s="24" t="s">
        <v>1691</v>
      </c>
      <c r="L7455" s="28" t="s">
        <v>51</v>
      </c>
      <c r="M7455" s="25">
        <v>292108.05</v>
      </c>
      <c r="N7455" s="27">
        <v>0.41499999999999998</v>
      </c>
    </row>
    <row r="7456" spans="1:14" x14ac:dyDescent="0.15">
      <c r="A7456" s="23" t="str">
        <f>HYPERLINK("https://www.spark-marketing.ru/Card/Person/364139", "МО МВД РОССИИ ""ОСТРОВСКИЙ""")</f>
        <v>МО МВД РОССИИ "ОСТРОВСКИЙ"</v>
      </c>
      <c r="B7456" s="24" t="s">
        <v>3731</v>
      </c>
      <c r="C7456" s="25">
        <v>401730.25</v>
      </c>
      <c r="D7456" s="22" t="s">
        <v>11139</v>
      </c>
      <c r="E7456" s="22" t="s">
        <v>48</v>
      </c>
      <c r="F7456" s="23" t="str">
        <f>HYPERLINK("https://www.spark-marketing.ru/Card/Lot/72780158", "Пригот горяч пищи для подозр и обвин в соверш преступл,находящ в изоляторе врем содержания")</f>
        <v>Пригот горяч пищи для подозр и обвин в соверш преступл,находящ в изоляторе врем содержания</v>
      </c>
      <c r="G7456" s="22" t="s">
        <v>292</v>
      </c>
      <c r="H7456" s="22" t="s">
        <v>3733</v>
      </c>
      <c r="I7456" s="26">
        <v>43691.399942129603</v>
      </c>
      <c r="J7456" s="28" t="s">
        <v>51</v>
      </c>
      <c r="K7456" s="28" t="s">
        <v>51</v>
      </c>
      <c r="L7456" s="28" t="s">
        <v>51</v>
      </c>
      <c r="M7456" s="28" t="s">
        <v>51</v>
      </c>
      <c r="N7456" s="28" t="s">
        <v>51</v>
      </c>
    </row>
    <row r="7457" spans="1:14" x14ac:dyDescent="0.15">
      <c r="A7457" s="23" t="str">
        <f>HYPERLINK("https://www.spark-marketing.ru/Card/Person/1072382", "МБОУ СШ №6")</f>
        <v>МБОУ СШ №6</v>
      </c>
      <c r="B7457" s="24" t="s">
        <v>4047</v>
      </c>
      <c r="C7457" s="25">
        <v>2554424.4</v>
      </c>
      <c r="D7457" s="22" t="s">
        <v>11140</v>
      </c>
      <c r="E7457" s="22" t="s">
        <v>48</v>
      </c>
      <c r="F7457" s="23" t="str">
        <f>HYPERLINK("https://www.spark-marketing.ru/Card/Lot/72780897", "Услуги по организации горячего питания обучающихся в МБОУ СШ №6")</f>
        <v>Услуги по организации горячего питания обучающихся в МБОУ СШ №6</v>
      </c>
      <c r="G7457" s="22" t="s">
        <v>76</v>
      </c>
      <c r="H7457" s="22" t="s">
        <v>76</v>
      </c>
      <c r="I7457" s="26">
        <v>43691.418055555601</v>
      </c>
      <c r="J7457" s="28" t="s">
        <v>51</v>
      </c>
      <c r="K7457" s="28" t="s">
        <v>51</v>
      </c>
      <c r="L7457" s="28" t="s">
        <v>51</v>
      </c>
      <c r="M7457" s="28" t="s">
        <v>51</v>
      </c>
      <c r="N7457" s="28" t="s">
        <v>51</v>
      </c>
    </row>
    <row r="7458" spans="1:14" x14ac:dyDescent="0.15">
      <c r="A7458" s="23" t="str">
        <f>HYPERLINK("https://www.spark-marketing.ru/Card/Person/56553", "ГБУЗ ИБ № 3")</f>
        <v>ГБУЗ ИБ № 3</v>
      </c>
      <c r="B7458" s="24" t="s">
        <v>254</v>
      </c>
      <c r="C7458" s="25">
        <v>160500</v>
      </c>
      <c r="D7458" s="22" t="s">
        <v>11141</v>
      </c>
      <c r="E7458" s="22" t="s">
        <v>11142</v>
      </c>
      <c r="F7458" s="23" t="str">
        <f>HYPERLINK("https://www.spark-marketing.ru/Card/Lot/72780702", "Оказание транспортных услуг по доставке лечебного питания")</f>
        <v>Оказание транспортных услуг по доставке лечебного питания</v>
      </c>
      <c r="G7458" s="22" t="s">
        <v>104</v>
      </c>
      <c r="H7458" s="22" t="s">
        <v>1689</v>
      </c>
      <c r="I7458" s="26">
        <v>43690.405868055597</v>
      </c>
      <c r="J7458" s="23" t="str">
        <f>HYPERLINK("https://www.spark-marketing.ru/Card/Person/54395", "Третьяков Вячеслав Викторович")</f>
        <v>Третьяков Вячеслав Викторович</v>
      </c>
      <c r="K7458" s="24" t="s">
        <v>1690</v>
      </c>
      <c r="L7458" s="22" t="s">
        <v>10</v>
      </c>
      <c r="M7458" s="28" t="s">
        <v>51</v>
      </c>
      <c r="N7458" s="28" t="s">
        <v>51</v>
      </c>
    </row>
    <row r="7459" spans="1:14" x14ac:dyDescent="0.15">
      <c r="A7459" s="23" t="str">
        <f>HYPERLINK("https://www.spark-marketing.ru/Card/Person/21236", "УВД ПО ЮВАО ГУ МВД РОССИИ ПО Г. МОСКВЕ")</f>
        <v>УВД ПО ЮВАО ГУ МВД РОССИИ ПО Г. МОСКВЕ</v>
      </c>
      <c r="B7459" s="24" t="s">
        <v>11143</v>
      </c>
      <c r="C7459" s="25">
        <v>384295.12</v>
      </c>
      <c r="D7459" s="22" t="s">
        <v>11144</v>
      </c>
      <c r="E7459" s="22" t="s">
        <v>48</v>
      </c>
      <c r="F7459" s="23" t="str">
        <f>HYPERLINK("https://www.spark-marketing.ru/Card/Lot/72777679", "Оказание услуг по организации комплексного горячего питания лиц, содержащихся в ИВС ПиО УВД по ЮВАО ГУ МВД России по г. Москве")</f>
        <v>Оказание услуг по организации комплексного горячего питания лиц, содержащихся в ИВС ПиО УВД по ЮВАО ГУ МВД России по г. Москве</v>
      </c>
      <c r="G7459" s="22" t="s">
        <v>56</v>
      </c>
      <c r="H7459" s="22" t="s">
        <v>56</v>
      </c>
      <c r="I7459" s="26">
        <v>43690.856712963003</v>
      </c>
      <c r="J7459" s="28" t="s">
        <v>51</v>
      </c>
      <c r="K7459" s="28" t="s">
        <v>51</v>
      </c>
      <c r="L7459" s="28" t="s">
        <v>51</v>
      </c>
      <c r="M7459" s="28" t="s">
        <v>51</v>
      </c>
      <c r="N7459" s="28" t="s">
        <v>51</v>
      </c>
    </row>
    <row r="7460" spans="1:14" ht="12.75" hidden="1" outlineLevel="1" x14ac:dyDescent="0.2">
      <c r="A7460" s="23" t="str">
        <f>HYPERLINK("https://www.spark-marketing.ru/Card/Person/21236", "УВД ПО ЮВАО ГУ МВД РОССИИ ПО Г. МОСКВЕ")</f>
        <v>УВД ПО ЮВАО ГУ МВД РОССИИ ПО Г. МОСКВЕ</v>
      </c>
      <c r="B7460" s="24" t="s">
        <v>11143</v>
      </c>
      <c r="C7460" s="25">
        <v>384295.12</v>
      </c>
      <c r="D7460" s="22" t="s">
        <v>11144</v>
      </c>
      <c r="E7460" s="22" t="s">
        <v>48</v>
      </c>
      <c r="F7460" s="23" t="str">
        <f>HYPERLINK("https://www.spark-marketing.ru/Card/Lot/72777679", "Оказание услуг по организации комплексного горячего питания лиц, содержащихся в ИВС ПиО УВД по ЮВАО ГУ МВД России по г. Москве")</f>
        <v>Оказание услуг по организации комплексного горячего питания лиц, содержащихся в ИВС ПиО УВД по ЮВАО ГУ МВД России по г. Москве</v>
      </c>
      <c r="G7460" s="22" t="s">
        <v>56</v>
      </c>
      <c r="H7460" s="22" t="s">
        <v>56</v>
      </c>
      <c r="I7460" s="26">
        <v>43690.856712963003</v>
      </c>
      <c r="J7460" s="23" t="str">
        <f>HYPERLINK("https://www.spark-marketing.ru/Card/Person/6516523", "ООО ""ВИТА""")</f>
        <v>ООО "ВИТА"</v>
      </c>
      <c r="K7460" s="24" t="s">
        <v>7450</v>
      </c>
      <c r="L7460" s="22" t="s">
        <v>10</v>
      </c>
      <c r="M7460" s="25">
        <v>380452.16</v>
      </c>
      <c r="N7460" s="27">
        <v>1.0000022899067779E-2</v>
      </c>
    </row>
    <row r="7461" spans="1:14" hidden="1" outlineLevel="1" x14ac:dyDescent="0.2">
      <c r="A7461" s="23" t="str">
        <f>HYPERLINK("https://www.spark-marketing.ru/Card/Person/21236", "УВД ПО ЮВАО ГУ МВД РОССИИ ПО Г. МОСКВЕ")</f>
        <v>УВД ПО ЮВАО ГУ МВД РОССИИ ПО Г. МОСКВЕ</v>
      </c>
      <c r="B7461" s="24" t="s">
        <v>11143</v>
      </c>
      <c r="C7461" s="25">
        <v>384295.12</v>
      </c>
      <c r="D7461" s="22" t="s">
        <v>11144</v>
      </c>
      <c r="E7461" s="22" t="s">
        <v>48</v>
      </c>
      <c r="F7461" s="23" t="str">
        <f>HYPERLINK("https://www.spark-marketing.ru/Card/Lot/72777679", "Оказание услуг по организации комплексного горячего питания лиц, содержащихся в ИВС ПиО УВД по ЮВАО ГУ МВД России по г. Москве")</f>
        <v>Оказание услуг по организации комплексного горячего питания лиц, содержащихся в ИВС ПиО УВД по ЮВАО ГУ МВД России по г. Москве</v>
      </c>
      <c r="G7461" s="22" t="s">
        <v>56</v>
      </c>
      <c r="H7461" s="22" t="s">
        <v>56</v>
      </c>
      <c r="I7461" s="26">
        <v>43690.856712963003</v>
      </c>
      <c r="J7461" s="23" t="str">
        <f>HYPERLINK("https://www.spark-marketing.ru/Card/Person/6690318", "Мысина Юлия Александровна")</f>
        <v>Мысина Юлия Александровна</v>
      </c>
      <c r="K7461" s="24" t="s">
        <v>11145</v>
      </c>
      <c r="L7461" s="28" t="s">
        <v>51</v>
      </c>
      <c r="M7461" s="25">
        <v>382373.64</v>
      </c>
      <c r="N7461" s="27">
        <v>5.0000114495338897E-3</v>
      </c>
    </row>
    <row r="7462" spans="1:14" x14ac:dyDescent="0.15">
      <c r="A7462" s="23" t="str">
        <f>HYPERLINK("https://www.spark-marketing.ru/Card/Person/19253", "УПРАВЛЕНИЕ МВД РОССИИ ПО ГОРОДУ СТАВРОПОЛЮ")</f>
        <v>УПРАВЛЕНИЕ МВД РОССИИ ПО ГОРОДУ СТАВРОПОЛЮ</v>
      </c>
      <c r="B7462" s="24" t="s">
        <v>6992</v>
      </c>
      <c r="C7462" s="25">
        <v>394998.19</v>
      </c>
      <c r="D7462" s="22" t="s">
        <v>11146</v>
      </c>
      <c r="E7462" s="22" t="s">
        <v>48</v>
      </c>
      <c r="F7462" s="23" t="str">
        <f>HYPERLINK("https://www.spark-marketing.ru/Card/Lot/72777687", "Оказание услуг по организации питания лиц, задержанных за административные правонарушения и содержащиеся в помещениях для задержанных в отделах полиции ОП №1, ОП №2 и ОП №3 Управления МВД России по городу Ставрополю")</f>
        <v>Оказание услуг по организации питания лиц, задержанных за административные правонарушения и содержащиеся в помещениях для задержанных в отделах полиции ОП №1, ОП №2 и ОП №3 Управления МВД России по городу Ставрополю</v>
      </c>
      <c r="G7462" s="22" t="s">
        <v>87</v>
      </c>
      <c r="H7462" s="22" t="s">
        <v>87</v>
      </c>
      <c r="I7462" s="26">
        <v>43691.409247685202</v>
      </c>
      <c r="J7462" s="23" t="str">
        <f>HYPERLINK("https://www.spark-marketing.ru/Card/Person/950178", "Левин Евгений Николаевич")</f>
        <v>Левин Евгений Николаевич</v>
      </c>
      <c r="K7462" s="24" t="s">
        <v>6994</v>
      </c>
      <c r="L7462" s="22" t="s">
        <v>10</v>
      </c>
      <c r="M7462" s="28" t="s">
        <v>51</v>
      </c>
      <c r="N7462" s="28" t="s">
        <v>51</v>
      </c>
    </row>
    <row r="7463" spans="1:14" x14ac:dyDescent="0.15">
      <c r="A7463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7463" s="24" t="s">
        <v>3255</v>
      </c>
      <c r="C7463" s="25">
        <v>57396.23</v>
      </c>
      <c r="D7463" s="22" t="s">
        <v>11147</v>
      </c>
      <c r="E7463" s="22" t="s">
        <v>9540</v>
      </c>
      <c r="F7463" s="23" t="str">
        <f>HYPERLINK("https://www.spark-marketing.ru/Card/Lot/72778123", "Поставка лекарственного препарата для медицинского применения ""Клоназепам""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п...")</f>
        <v>Поставка лекарственного препарата для медицинского применения "Клоназепам"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</v>
      </c>
      <c r="G7463" s="22" t="s">
        <v>210</v>
      </c>
      <c r="H7463" s="22" t="s">
        <v>3257</v>
      </c>
      <c r="I7463" s="26">
        <v>43691.405555555597</v>
      </c>
      <c r="J7463" s="28" t="s">
        <v>51</v>
      </c>
      <c r="K7463" s="28" t="s">
        <v>51</v>
      </c>
      <c r="L7463" s="28" t="s">
        <v>51</v>
      </c>
      <c r="M7463" s="28" t="s">
        <v>51</v>
      </c>
      <c r="N7463" s="28" t="s">
        <v>51</v>
      </c>
    </row>
    <row r="7464" spans="1:14" x14ac:dyDescent="0.15">
      <c r="A7464" s="23" t="s">
        <v>114</v>
      </c>
      <c r="B7464" s="28" t="s">
        <v>51</v>
      </c>
      <c r="C7464" s="25">
        <v>34016020.479999997</v>
      </c>
      <c r="D7464" s="22" t="s">
        <v>11148</v>
      </c>
      <c r="E7464" s="22" t="s">
        <v>48</v>
      </c>
      <c r="F7464" s="23" t="str">
        <f t="shared" ref="F7464:F7486" si="161">HYPERLINK("https://www.spark-marketing.ru/Card/Lot/72780075", "оказание услуг по организации сбалансированного питания воспитанников для нужд муниципальных бюджетных дошкольных образовательных учреждений")</f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64" s="22" t="s">
        <v>51</v>
      </c>
      <c r="H7464" s="22" t="s">
        <v>51</v>
      </c>
      <c r="I7464" s="26">
        <v>43691.376388888901</v>
      </c>
      <c r="J7464" s="28" t="s">
        <v>51</v>
      </c>
      <c r="K7464" s="28" t="s">
        <v>51</v>
      </c>
      <c r="L7464" s="28" t="s">
        <v>51</v>
      </c>
      <c r="M7464" s="28" t="s">
        <v>51</v>
      </c>
      <c r="N7464" s="28" t="s">
        <v>51</v>
      </c>
    </row>
    <row r="7465" spans="1:14" hidden="1" outlineLevel="1" x14ac:dyDescent="0.15">
      <c r="A7465" s="23" t="str">
        <f>HYPERLINK("https://www.spark-marketing.ru/Card/Person/78502", "МБДОУ ""ДЕТСКИЙ САД №58 ""ТОПОЛЕК""")</f>
        <v>МБДОУ "ДЕТСКИЙ САД №58 "ТОПОЛЕК"</v>
      </c>
      <c r="B7465" s="24" t="s">
        <v>11149</v>
      </c>
      <c r="C7465" s="25">
        <v>1737748.48</v>
      </c>
      <c r="D7465" s="22" t="s">
        <v>11148</v>
      </c>
      <c r="E7465" s="22" t="s">
        <v>48</v>
      </c>
      <c r="F7465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65" s="22" t="s">
        <v>217</v>
      </c>
      <c r="H7465" s="22" t="s">
        <v>1998</v>
      </c>
      <c r="I7465" s="26">
        <v>43691.376388888901</v>
      </c>
      <c r="J7465" s="28" t="s">
        <v>51</v>
      </c>
      <c r="K7465" s="28" t="s">
        <v>51</v>
      </c>
      <c r="L7465" s="28" t="s">
        <v>51</v>
      </c>
      <c r="M7465" s="28" t="s">
        <v>51</v>
      </c>
      <c r="N7465" s="28" t="s">
        <v>51</v>
      </c>
    </row>
    <row r="7466" spans="1:14" hidden="1" outlineLevel="1" x14ac:dyDescent="0.15">
      <c r="A7466" s="23" t="str">
        <f>HYPERLINK("https://www.spark-marketing.ru/Card/Person/88241", "МБДОУ ""ДЕТСКИЙ САД КОМБИНИРОВАННОГО ВИДА №55 ""ШАЛУНИШКА""")</f>
        <v>МБДОУ "ДЕТСКИЙ САД КОМБИНИРОВАННОГО ВИДА №55 "ШАЛУНИШКА"</v>
      </c>
      <c r="B7466" s="24" t="s">
        <v>11150</v>
      </c>
      <c r="C7466" s="25">
        <v>1867673.6000000001</v>
      </c>
      <c r="D7466" s="22" t="s">
        <v>11148</v>
      </c>
      <c r="E7466" s="22" t="s">
        <v>48</v>
      </c>
      <c r="F7466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66" s="22" t="s">
        <v>217</v>
      </c>
      <c r="H7466" s="22" t="s">
        <v>1998</v>
      </c>
      <c r="I7466" s="26">
        <v>43691.376388888901</v>
      </c>
      <c r="J7466" s="28" t="s">
        <v>51</v>
      </c>
      <c r="K7466" s="28" t="s">
        <v>51</v>
      </c>
      <c r="L7466" s="28" t="s">
        <v>51</v>
      </c>
      <c r="M7466" s="28" t="s">
        <v>51</v>
      </c>
      <c r="N7466" s="28" t="s">
        <v>51</v>
      </c>
    </row>
    <row r="7467" spans="1:14" hidden="1" outlineLevel="1" x14ac:dyDescent="0.15">
      <c r="A7467" s="23" t="str">
        <f>HYPERLINK("https://www.spark-marketing.ru/Card/Person/89475", "МБДОУ ""ЦЕНТР РАЗВИТИЯ РЕБЕНКА-ДЕТСКИЙ САД №51 ""ТОРНАКАЙ""")</f>
        <v>МБДОУ "ЦЕНТР РАЗВИТИЯ РЕБЕНКА-ДЕТСКИЙ САД №51 "ТОРНАКАЙ"</v>
      </c>
      <c r="B7467" s="24" t="s">
        <v>11151</v>
      </c>
      <c r="C7467" s="25">
        <v>2046320.6399999999</v>
      </c>
      <c r="D7467" s="22" t="s">
        <v>11148</v>
      </c>
      <c r="E7467" s="22" t="s">
        <v>48</v>
      </c>
      <c r="F7467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67" s="22" t="s">
        <v>217</v>
      </c>
      <c r="H7467" s="22" t="s">
        <v>1998</v>
      </c>
      <c r="I7467" s="26">
        <v>43691.376388888901</v>
      </c>
      <c r="J7467" s="28" t="s">
        <v>51</v>
      </c>
      <c r="K7467" s="28" t="s">
        <v>51</v>
      </c>
      <c r="L7467" s="28" t="s">
        <v>51</v>
      </c>
      <c r="M7467" s="28" t="s">
        <v>51</v>
      </c>
      <c r="N7467" s="28" t="s">
        <v>51</v>
      </c>
    </row>
    <row r="7468" spans="1:14" hidden="1" outlineLevel="1" x14ac:dyDescent="0.15">
      <c r="A7468" s="23" t="str">
        <f>HYPERLINK("https://www.spark-marketing.ru/Card/Person/89540", "МБДОУ ""ЦЕНТР РАЗВИТИЯ РЕБЕНКА - ДЕТСКИЙ САД № 47 ""АЙГУЛЬ""")</f>
        <v>МБДОУ "ЦЕНТР РАЗВИТИЯ РЕБЕНКА - ДЕТСКИЙ САД № 47 "АЙГУЛЬ"</v>
      </c>
      <c r="B7468" s="24" t="s">
        <v>11152</v>
      </c>
      <c r="C7468" s="25">
        <v>2492938.2400000002</v>
      </c>
      <c r="D7468" s="22" t="s">
        <v>11148</v>
      </c>
      <c r="E7468" s="22" t="s">
        <v>48</v>
      </c>
      <c r="F7468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68" s="22" t="s">
        <v>217</v>
      </c>
      <c r="H7468" s="22" t="s">
        <v>1998</v>
      </c>
      <c r="I7468" s="26">
        <v>43691.376388888901</v>
      </c>
      <c r="J7468" s="28" t="s">
        <v>51</v>
      </c>
      <c r="K7468" s="28" t="s">
        <v>51</v>
      </c>
      <c r="L7468" s="28" t="s">
        <v>51</v>
      </c>
      <c r="M7468" s="28" t="s">
        <v>51</v>
      </c>
      <c r="N7468" s="28" t="s">
        <v>51</v>
      </c>
    </row>
    <row r="7469" spans="1:14" hidden="1" outlineLevel="1" x14ac:dyDescent="0.15">
      <c r="A7469" s="23" t="str">
        <f>HYPERLINK("https://www.spark-marketing.ru/Card/Person/89655", "МБДОУ ""ДЕТСКИЙ САД №59 ""ДРУЖБА""")</f>
        <v>МБДОУ "ДЕТСКИЙ САД №59 "ДРУЖБА"</v>
      </c>
      <c r="B7469" s="24" t="s">
        <v>11153</v>
      </c>
      <c r="C7469" s="25">
        <v>1900154.8799999999</v>
      </c>
      <c r="D7469" s="22" t="s">
        <v>11148</v>
      </c>
      <c r="E7469" s="22" t="s">
        <v>48</v>
      </c>
      <c r="F7469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69" s="22" t="s">
        <v>217</v>
      </c>
      <c r="H7469" s="22" t="s">
        <v>1998</v>
      </c>
      <c r="I7469" s="26">
        <v>43691.376388888901</v>
      </c>
      <c r="J7469" s="28" t="s">
        <v>51</v>
      </c>
      <c r="K7469" s="28" t="s">
        <v>51</v>
      </c>
      <c r="L7469" s="28" t="s">
        <v>51</v>
      </c>
      <c r="M7469" s="28" t="s">
        <v>51</v>
      </c>
      <c r="N7469" s="28" t="s">
        <v>51</v>
      </c>
    </row>
    <row r="7470" spans="1:14" hidden="1" outlineLevel="1" x14ac:dyDescent="0.15">
      <c r="A7470" s="23" t="str">
        <f>HYPERLINK("https://www.spark-marketing.ru/Card/Person/89752", "МБДОУ ""ДЕТСКИЙ САД КОМБИНИРОВАННОГО ВИДА №61 ""АЛЕНУШКА""")</f>
        <v>МБДОУ "ДЕТСКИЙ САД КОМБИНИРОВАННОГО ВИДА №61 "АЛЕНУШКА"</v>
      </c>
      <c r="B7470" s="24" t="s">
        <v>11154</v>
      </c>
      <c r="C7470" s="25">
        <v>1469777.9199999999</v>
      </c>
      <c r="D7470" s="22" t="s">
        <v>11148</v>
      </c>
      <c r="E7470" s="22" t="s">
        <v>48</v>
      </c>
      <c r="F7470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70" s="22" t="s">
        <v>217</v>
      </c>
      <c r="H7470" s="22" t="s">
        <v>1998</v>
      </c>
      <c r="I7470" s="26">
        <v>43691.376388888901</v>
      </c>
      <c r="J7470" s="28" t="s">
        <v>51</v>
      </c>
      <c r="K7470" s="28" t="s">
        <v>51</v>
      </c>
      <c r="L7470" s="28" t="s">
        <v>51</v>
      </c>
      <c r="M7470" s="28" t="s">
        <v>51</v>
      </c>
      <c r="N7470" s="28" t="s">
        <v>51</v>
      </c>
    </row>
    <row r="7471" spans="1:14" hidden="1" outlineLevel="1" x14ac:dyDescent="0.15">
      <c r="A7471" s="23" t="str">
        <f>HYPERLINK("https://www.spark-marketing.ru/Card/Person/89813", "МБДОУ ""ДЕТСКИЙ САД №45 ""МАШЕНЬКА""")</f>
        <v>МБДОУ "ДЕТСКИЙ САД №45 "МАШЕНЬКА"</v>
      </c>
      <c r="B7471" s="24" t="s">
        <v>11155</v>
      </c>
      <c r="C7471" s="25">
        <v>1908275.2</v>
      </c>
      <c r="D7471" s="22" t="s">
        <v>11148</v>
      </c>
      <c r="E7471" s="22" t="s">
        <v>48</v>
      </c>
      <c r="F7471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71" s="22" t="s">
        <v>217</v>
      </c>
      <c r="H7471" s="22" t="s">
        <v>1998</v>
      </c>
      <c r="I7471" s="26">
        <v>43691.376388888901</v>
      </c>
      <c r="J7471" s="28" t="s">
        <v>51</v>
      </c>
      <c r="K7471" s="28" t="s">
        <v>51</v>
      </c>
      <c r="L7471" s="28" t="s">
        <v>51</v>
      </c>
      <c r="M7471" s="28" t="s">
        <v>51</v>
      </c>
      <c r="N7471" s="28" t="s">
        <v>51</v>
      </c>
    </row>
    <row r="7472" spans="1:14" hidden="1" outlineLevel="1" x14ac:dyDescent="0.15">
      <c r="A7472" s="23" t="str">
        <f>HYPERLINK("https://www.spark-marketing.ru/Card/Person/89954", "МБДОУ ""ДЕТСКИЙ САД №43 ""РУЧЕЕК""")</f>
        <v>МБДОУ "ДЕТСКИЙ САД №43 "РУЧЕЕК"</v>
      </c>
      <c r="B7472" s="24" t="s">
        <v>9065</v>
      </c>
      <c r="C7472" s="25">
        <v>576542.71999999997</v>
      </c>
      <c r="D7472" s="22" t="s">
        <v>11148</v>
      </c>
      <c r="E7472" s="22" t="s">
        <v>48</v>
      </c>
      <c r="F7472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72" s="22" t="s">
        <v>217</v>
      </c>
      <c r="H7472" s="22" t="s">
        <v>1998</v>
      </c>
      <c r="I7472" s="26">
        <v>43691.376388888901</v>
      </c>
      <c r="J7472" s="28" t="s">
        <v>51</v>
      </c>
      <c r="K7472" s="28" t="s">
        <v>51</v>
      </c>
      <c r="L7472" s="28" t="s">
        <v>51</v>
      </c>
      <c r="M7472" s="28" t="s">
        <v>51</v>
      </c>
      <c r="N7472" s="28" t="s">
        <v>51</v>
      </c>
    </row>
    <row r="7473" spans="1:14" hidden="1" outlineLevel="1" x14ac:dyDescent="0.15">
      <c r="A7473" s="23" t="str">
        <f>HYPERLINK("https://www.spark-marketing.ru/Card/Person/89990", "МБДОУ ""ДЕТСКИЙ САД №56 ""РОДНИЧОК""")</f>
        <v>МБДОУ "ДЕТСКИЙ САД №56 "РОДНИЧОК"</v>
      </c>
      <c r="B7473" s="24" t="s">
        <v>11156</v>
      </c>
      <c r="C7473" s="25">
        <v>1883914.24</v>
      </c>
      <c r="D7473" s="22" t="s">
        <v>11148</v>
      </c>
      <c r="E7473" s="22" t="s">
        <v>48</v>
      </c>
      <c r="F7473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73" s="22" t="s">
        <v>217</v>
      </c>
      <c r="H7473" s="22" t="s">
        <v>1998</v>
      </c>
      <c r="I7473" s="26">
        <v>43691.376388888901</v>
      </c>
      <c r="J7473" s="28" t="s">
        <v>51</v>
      </c>
      <c r="K7473" s="28" t="s">
        <v>51</v>
      </c>
      <c r="L7473" s="28" t="s">
        <v>51</v>
      </c>
      <c r="M7473" s="28" t="s">
        <v>51</v>
      </c>
      <c r="N7473" s="28" t="s">
        <v>51</v>
      </c>
    </row>
    <row r="7474" spans="1:14" hidden="1" outlineLevel="1" x14ac:dyDescent="0.15">
      <c r="A7474" s="23" t="str">
        <f>HYPERLINK("https://www.spark-marketing.ru/Card/Person/90178", "МБДОУ ""ДЕТСКИЙ САД КОМБИНИРОВАННОГО ВИДА №65 ""МАШЕНЬКА""")</f>
        <v>МБДОУ "ДЕТСКИЙ САД КОМБИНИРОВАННОГО ВИДА №65 "МАШЕНЬКА"</v>
      </c>
      <c r="B7474" s="24" t="s">
        <v>9066</v>
      </c>
      <c r="C7474" s="25">
        <v>1729628.1599999999</v>
      </c>
      <c r="D7474" s="22" t="s">
        <v>11148</v>
      </c>
      <c r="E7474" s="22" t="s">
        <v>48</v>
      </c>
      <c r="F7474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74" s="22" t="s">
        <v>217</v>
      </c>
      <c r="H7474" s="22" t="s">
        <v>1998</v>
      </c>
      <c r="I7474" s="26">
        <v>43691.376388888901</v>
      </c>
      <c r="J7474" s="28" t="s">
        <v>51</v>
      </c>
      <c r="K7474" s="28" t="s">
        <v>51</v>
      </c>
      <c r="L7474" s="28" t="s">
        <v>51</v>
      </c>
      <c r="M7474" s="28" t="s">
        <v>51</v>
      </c>
      <c r="N7474" s="28" t="s">
        <v>51</v>
      </c>
    </row>
    <row r="7475" spans="1:14" hidden="1" outlineLevel="1" x14ac:dyDescent="0.15">
      <c r="A7475" s="23" t="str">
        <f>HYPERLINK("https://www.spark-marketing.ru/Card/Person/90179", "МБДОУ ""ДЕТСКИЙ САД КОМБИНИРОВАННОГО ВИДА №54 ""ИСКОРКА""")</f>
        <v>МБДОУ "ДЕТСКИЙ САД КОМБИНИРОВАННОГО ВИДА №54 "ИСКОРКА"</v>
      </c>
      <c r="B7475" s="24" t="s">
        <v>9067</v>
      </c>
      <c r="C7475" s="25">
        <v>1567221.76</v>
      </c>
      <c r="D7475" s="22" t="s">
        <v>11148</v>
      </c>
      <c r="E7475" s="22" t="s">
        <v>48</v>
      </c>
      <c r="F7475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75" s="22" t="s">
        <v>217</v>
      </c>
      <c r="H7475" s="22" t="s">
        <v>1998</v>
      </c>
      <c r="I7475" s="26">
        <v>43691.376388888901</v>
      </c>
      <c r="J7475" s="28" t="s">
        <v>51</v>
      </c>
      <c r="K7475" s="28" t="s">
        <v>51</v>
      </c>
      <c r="L7475" s="28" t="s">
        <v>51</v>
      </c>
      <c r="M7475" s="28" t="s">
        <v>51</v>
      </c>
      <c r="N7475" s="28" t="s">
        <v>51</v>
      </c>
    </row>
    <row r="7476" spans="1:14" hidden="1" outlineLevel="1" x14ac:dyDescent="0.15">
      <c r="A7476" s="23" t="str">
        <f>HYPERLINK("https://www.spark-marketing.ru/Card/Person/90438", "МБДОУ ""ДЕТСКИЙ САД КОМПЕНСИРУЮЩЕГО ВИДА №48 ""ВИННИ-ПУХ""")</f>
        <v>МБДОУ "ДЕТСКИЙ САД КОМПЕНСИРУЮЩЕГО ВИДА №48 "ВИННИ-ПУХ"</v>
      </c>
      <c r="B7476" s="24" t="s">
        <v>9070</v>
      </c>
      <c r="C7476" s="25">
        <v>836392.95999999996</v>
      </c>
      <c r="D7476" s="22" t="s">
        <v>11148</v>
      </c>
      <c r="E7476" s="22" t="s">
        <v>48</v>
      </c>
      <c r="F7476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76" s="22" t="s">
        <v>217</v>
      </c>
      <c r="H7476" s="22" t="s">
        <v>1998</v>
      </c>
      <c r="I7476" s="26">
        <v>43691.376388888901</v>
      </c>
      <c r="J7476" s="28" t="s">
        <v>51</v>
      </c>
      <c r="K7476" s="28" t="s">
        <v>51</v>
      </c>
      <c r="L7476" s="28" t="s">
        <v>51</v>
      </c>
      <c r="M7476" s="28" t="s">
        <v>51</v>
      </c>
      <c r="N7476" s="28" t="s">
        <v>51</v>
      </c>
    </row>
    <row r="7477" spans="1:14" hidden="1" outlineLevel="1" x14ac:dyDescent="0.15">
      <c r="A7477" s="23" t="str">
        <f>HYPERLINK("https://www.spark-marketing.ru/Card/Person/90508", "МБДОУ ""ДЕТСКИЙ САД КОМБИНИРОВАННОГО ВИДА №52 ""СКАЗКА""")</f>
        <v>МБДОУ "ДЕТСКИЙ САД КОМБИНИРОВАННОГО ВИДА №52 "СКАЗКА"</v>
      </c>
      <c r="B7477" s="24" t="s">
        <v>11157</v>
      </c>
      <c r="C7477" s="25">
        <v>1818951.6799999999</v>
      </c>
      <c r="D7477" s="22" t="s">
        <v>11148</v>
      </c>
      <c r="E7477" s="22" t="s">
        <v>48</v>
      </c>
      <c r="F7477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77" s="22" t="s">
        <v>217</v>
      </c>
      <c r="H7477" s="22" t="s">
        <v>1998</v>
      </c>
      <c r="I7477" s="26">
        <v>43691.376388888901</v>
      </c>
      <c r="J7477" s="28" t="s">
        <v>51</v>
      </c>
      <c r="K7477" s="28" t="s">
        <v>51</v>
      </c>
      <c r="L7477" s="28" t="s">
        <v>51</v>
      </c>
      <c r="M7477" s="28" t="s">
        <v>51</v>
      </c>
      <c r="N7477" s="28" t="s">
        <v>51</v>
      </c>
    </row>
    <row r="7478" spans="1:14" hidden="1" outlineLevel="1" x14ac:dyDescent="0.15">
      <c r="A7478" s="23" t="str">
        <f>HYPERLINK("https://www.spark-marketing.ru/Card/Person/90510", "МБДОУ ""ДЕТСКИЙ САД КОМБИНИРОВАННОГО ВИДА №41 ""ПОДСНЕЖНИК""")</f>
        <v>МБДОУ "ДЕТСКИЙ САД КОМБИНИРОВАННОГО ВИДА №41 "ПОДСНЕЖНИК"</v>
      </c>
      <c r="B7478" s="24" t="s">
        <v>11158</v>
      </c>
      <c r="C7478" s="25">
        <v>1550981.1200000001</v>
      </c>
      <c r="D7478" s="22" t="s">
        <v>11148</v>
      </c>
      <c r="E7478" s="22" t="s">
        <v>48</v>
      </c>
      <c r="F7478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78" s="22" t="s">
        <v>217</v>
      </c>
      <c r="H7478" s="22" t="s">
        <v>1998</v>
      </c>
      <c r="I7478" s="26">
        <v>43691.376388888901</v>
      </c>
      <c r="J7478" s="28" t="s">
        <v>51</v>
      </c>
      <c r="K7478" s="28" t="s">
        <v>51</v>
      </c>
      <c r="L7478" s="28" t="s">
        <v>51</v>
      </c>
      <c r="M7478" s="28" t="s">
        <v>51</v>
      </c>
      <c r="N7478" s="28" t="s">
        <v>51</v>
      </c>
    </row>
    <row r="7479" spans="1:14" hidden="1" outlineLevel="1" x14ac:dyDescent="0.15">
      <c r="A7479" s="23" t="str">
        <f>HYPERLINK("https://www.spark-marketing.ru/Card/Person/90642", "МБДОУ ""ДЕТСКИЙ САД КОМБИНИРОВАННОГО ВИДА №40 ""КОЛОСОК""")</f>
        <v>МБДОУ "ДЕТСКИЙ САД КОМБИНИРОВАННОГО ВИДА №40 "КОЛОСОК"</v>
      </c>
      <c r="B7479" s="24" t="s">
        <v>11159</v>
      </c>
      <c r="C7479" s="25">
        <v>2005719.04</v>
      </c>
      <c r="D7479" s="22" t="s">
        <v>11148</v>
      </c>
      <c r="E7479" s="22" t="s">
        <v>48</v>
      </c>
      <c r="F7479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79" s="22" t="s">
        <v>217</v>
      </c>
      <c r="H7479" s="22" t="s">
        <v>1998</v>
      </c>
      <c r="I7479" s="26">
        <v>43691.376388888901</v>
      </c>
      <c r="J7479" s="28" t="s">
        <v>51</v>
      </c>
      <c r="K7479" s="28" t="s">
        <v>51</v>
      </c>
      <c r="L7479" s="28" t="s">
        <v>51</v>
      </c>
      <c r="M7479" s="28" t="s">
        <v>51</v>
      </c>
      <c r="N7479" s="28" t="s">
        <v>51</v>
      </c>
    </row>
    <row r="7480" spans="1:14" hidden="1" outlineLevel="1" x14ac:dyDescent="0.15">
      <c r="A7480" s="23" t="str">
        <f>HYPERLINK("https://www.spark-marketing.ru/Card/Person/90643", "МБДОУ ""ДЕТСКИЙ САД КОМБИНИРОВАННОГО ВИДА №46 ""ЗЕМЛЯНИЧКА""")</f>
        <v>МБДОУ "ДЕТСКИЙ САД КОМБИНИРОВАННОГО ВИДА №46 "ЗЕМЛЯНИЧКА"</v>
      </c>
      <c r="B7480" s="24" t="s">
        <v>9071</v>
      </c>
      <c r="C7480" s="25">
        <v>1534740.48</v>
      </c>
      <c r="D7480" s="22" t="s">
        <v>11148</v>
      </c>
      <c r="E7480" s="22" t="s">
        <v>48</v>
      </c>
      <c r="F7480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80" s="22" t="s">
        <v>217</v>
      </c>
      <c r="H7480" s="22" t="s">
        <v>1998</v>
      </c>
      <c r="I7480" s="26">
        <v>43691.376388888901</v>
      </c>
      <c r="J7480" s="28" t="s">
        <v>51</v>
      </c>
      <c r="K7480" s="28" t="s">
        <v>51</v>
      </c>
      <c r="L7480" s="28" t="s">
        <v>51</v>
      </c>
      <c r="M7480" s="28" t="s">
        <v>51</v>
      </c>
      <c r="N7480" s="28" t="s">
        <v>51</v>
      </c>
    </row>
    <row r="7481" spans="1:14" hidden="1" outlineLevel="1" x14ac:dyDescent="0.15">
      <c r="A7481" s="23" t="str">
        <f>HYPERLINK("https://www.spark-marketing.ru/Card/Person/90856", "МБДОУ ""ДЕТСКИЙ САД КОМБИНИРОВАННОГО ВИДА №67 ""НАДЕЖДА""")</f>
        <v>МБДОУ "ДЕТСКИЙ САД КОМБИНИРОВАННОГО ВИДА №67 "НАДЕЖДА"</v>
      </c>
      <c r="B7481" s="24" t="s">
        <v>9072</v>
      </c>
      <c r="C7481" s="25">
        <v>1128724.48</v>
      </c>
      <c r="D7481" s="22" t="s">
        <v>11148</v>
      </c>
      <c r="E7481" s="22" t="s">
        <v>48</v>
      </c>
      <c r="F7481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81" s="22" t="s">
        <v>217</v>
      </c>
      <c r="H7481" s="22" t="s">
        <v>1998</v>
      </c>
      <c r="I7481" s="26">
        <v>43691.376388888901</v>
      </c>
      <c r="J7481" s="28" t="s">
        <v>51</v>
      </c>
      <c r="K7481" s="28" t="s">
        <v>51</v>
      </c>
      <c r="L7481" s="28" t="s">
        <v>51</v>
      </c>
      <c r="M7481" s="28" t="s">
        <v>51</v>
      </c>
      <c r="N7481" s="28" t="s">
        <v>51</v>
      </c>
    </row>
    <row r="7482" spans="1:14" hidden="1" outlineLevel="1" x14ac:dyDescent="0.15">
      <c r="A7482" s="23" t="str">
        <f>HYPERLINK("https://www.spark-marketing.ru/Card/Person/91022", "МБДОУ ""ДЕТСКИЙ САД №68 ""ВАСИЛЕК""")</f>
        <v>МБДОУ "ДЕТСКИЙ САД №68 "ВАСИЛЕК"</v>
      </c>
      <c r="B7482" s="24" t="s">
        <v>11160</v>
      </c>
      <c r="C7482" s="25">
        <v>2200606.7200000002</v>
      </c>
      <c r="D7482" s="22" t="s">
        <v>11148</v>
      </c>
      <c r="E7482" s="22" t="s">
        <v>48</v>
      </c>
      <c r="F7482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82" s="22" t="s">
        <v>217</v>
      </c>
      <c r="H7482" s="22" t="s">
        <v>1998</v>
      </c>
      <c r="I7482" s="26">
        <v>43691.376388888901</v>
      </c>
      <c r="J7482" s="28" t="s">
        <v>51</v>
      </c>
      <c r="K7482" s="28" t="s">
        <v>51</v>
      </c>
      <c r="L7482" s="28" t="s">
        <v>51</v>
      </c>
      <c r="M7482" s="28" t="s">
        <v>51</v>
      </c>
      <c r="N7482" s="28" t="s">
        <v>51</v>
      </c>
    </row>
    <row r="7483" spans="1:14" hidden="1" outlineLevel="1" x14ac:dyDescent="0.15">
      <c r="A7483" s="23" t="str">
        <f>HYPERLINK("https://www.spark-marketing.ru/Card/Person/91053", "МБДОУ ""ДЕТСКИЙ САД №63 ""ЖЕМЧУЖИНКА""")</f>
        <v>МБДОУ "ДЕТСКИЙ САД №63 "ЖЕМЧУЖИНКА"</v>
      </c>
      <c r="B7483" s="24" t="s">
        <v>11161</v>
      </c>
      <c r="C7483" s="25">
        <v>1664665.6000000001</v>
      </c>
      <c r="D7483" s="22" t="s">
        <v>11148</v>
      </c>
      <c r="E7483" s="22" t="s">
        <v>48</v>
      </c>
      <c r="F7483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83" s="22" t="s">
        <v>217</v>
      </c>
      <c r="H7483" s="22" t="s">
        <v>1998</v>
      </c>
      <c r="I7483" s="26">
        <v>43691.376388888901</v>
      </c>
      <c r="J7483" s="28" t="s">
        <v>51</v>
      </c>
      <c r="K7483" s="28" t="s">
        <v>51</v>
      </c>
      <c r="L7483" s="28" t="s">
        <v>51</v>
      </c>
      <c r="M7483" s="28" t="s">
        <v>51</v>
      </c>
      <c r="N7483" s="28" t="s">
        <v>51</v>
      </c>
    </row>
    <row r="7484" spans="1:14" hidden="1" outlineLevel="1" x14ac:dyDescent="0.15">
      <c r="A7484" s="23" t="str">
        <f>HYPERLINK("https://www.spark-marketing.ru/Card/Person/91054", "МБДОУ ""ДЕТСКИЙ САД №66 ""ВЕСЕЛЫЕ НОТКИ""")</f>
        <v>МБДОУ "ДЕТСКИЙ САД №66 "ВЕСЕЛЫЕ НОТКИ"</v>
      </c>
      <c r="B7484" s="24" t="s">
        <v>11162</v>
      </c>
      <c r="C7484" s="25">
        <v>2095042.5600000001</v>
      </c>
      <c r="D7484" s="22" t="s">
        <v>11148</v>
      </c>
      <c r="E7484" s="22" t="s">
        <v>48</v>
      </c>
      <c r="F7484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84" s="22" t="s">
        <v>217</v>
      </c>
      <c r="H7484" s="22" t="s">
        <v>1998</v>
      </c>
      <c r="I7484" s="26">
        <v>43691.376388888901</v>
      </c>
      <c r="J7484" s="28" t="s">
        <v>51</v>
      </c>
      <c r="K7484" s="28" t="s">
        <v>51</v>
      </c>
      <c r="L7484" s="28" t="s">
        <v>51</v>
      </c>
      <c r="M7484" s="28" t="s">
        <v>51</v>
      </c>
      <c r="N7484" s="28" t="s">
        <v>51</v>
      </c>
    </row>
    <row r="7485" spans="1:14" hidden="1" outlineLevel="1" x14ac:dyDescent="0.2">
      <c r="A7485" s="28" t="s">
        <v>51</v>
      </c>
      <c r="B7485" s="28" t="s">
        <v>51</v>
      </c>
      <c r="C7485" s="28" t="s">
        <v>51</v>
      </c>
      <c r="D7485" s="22" t="s">
        <v>11148</v>
      </c>
      <c r="E7485" s="22" t="s">
        <v>48</v>
      </c>
      <c r="F7485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85" s="22" t="s">
        <v>51</v>
      </c>
      <c r="H7485" s="22" t="s">
        <v>51</v>
      </c>
      <c r="I7485" s="26">
        <v>43691.376388888901</v>
      </c>
      <c r="J7485" s="23" t="str">
        <f>HYPERLINK("https://www.spark-marketing.ru/Card/Person/87385", "ООО ""ШКОЛЬНОЕ ПИТАНИЕ""")</f>
        <v>ООО "ШКОЛЬНОЕ ПИТАНИЕ"</v>
      </c>
      <c r="K7485" s="24" t="s">
        <v>6356</v>
      </c>
      <c r="L7485" s="22" t="s">
        <v>10</v>
      </c>
      <c r="M7485" s="25">
        <v>34016020.479999997</v>
      </c>
      <c r="N7485" s="27">
        <v>0</v>
      </c>
    </row>
    <row r="7486" spans="1:14" hidden="1" outlineLevel="1" x14ac:dyDescent="0.2">
      <c r="A7486" s="28" t="s">
        <v>51</v>
      </c>
      <c r="B7486" s="28" t="s">
        <v>51</v>
      </c>
      <c r="C7486" s="28" t="s">
        <v>51</v>
      </c>
      <c r="D7486" s="22" t="s">
        <v>11148</v>
      </c>
      <c r="E7486" s="22" t="s">
        <v>48</v>
      </c>
      <c r="F7486" s="23" t="str">
        <f t="shared" si="161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486" s="22" t="s">
        <v>51</v>
      </c>
      <c r="H7486" s="22" t="s">
        <v>51</v>
      </c>
      <c r="I7486" s="26">
        <v>43691.376388888901</v>
      </c>
      <c r="J7486" s="23" t="str">
        <f>HYPERLINK("https://www.spark-marketing.ru/Card/Person/300377", "ООО ""ТУЙМАЗЫ-ФРУКТ""")</f>
        <v>ООО "ТУЙМАЗЫ-ФРУКТ"</v>
      </c>
      <c r="K7486" s="24" t="s">
        <v>9052</v>
      </c>
      <c r="L7486" s="28" t="s">
        <v>51</v>
      </c>
      <c r="M7486" s="25">
        <v>34016020.479999997</v>
      </c>
      <c r="N7486" s="27">
        <v>0</v>
      </c>
    </row>
    <row r="7487" spans="1:14" x14ac:dyDescent="0.15">
      <c r="A7487" s="23" t="str">
        <f>HYPERLINK("https://www.spark-marketing.ru/Card/Person/137305", """СУРГУТСКИЙ ЛО МВД РОССИИ НА ТРАНСПОРТЕ""")</f>
        <v>"СУРГУТСКИЙ ЛО МВД РОССИИ НА ТРАНСПОРТЕ"</v>
      </c>
      <c r="B7487" s="24" t="s">
        <v>11163</v>
      </c>
      <c r="C7487" s="25">
        <v>67744.800000000003</v>
      </c>
      <c r="D7487" s="22" t="s">
        <v>11164</v>
      </c>
      <c r="E7487" s="22" t="s">
        <v>11165</v>
      </c>
      <c r="F7487" s="23" t="str">
        <f>HYPERLINK("https://www.spark-marketing.ru/Card/Lot/72776157", "Услуги, Компьютерное оборудование")</f>
        <v>Услуги, Компьютерное оборудование</v>
      </c>
      <c r="G7487" s="22" t="s">
        <v>97</v>
      </c>
      <c r="H7487" s="22" t="s">
        <v>3533</v>
      </c>
      <c r="I7487" s="26">
        <v>43691.3985763889</v>
      </c>
      <c r="J7487" s="28" t="s">
        <v>51</v>
      </c>
      <c r="K7487" s="28" t="s">
        <v>51</v>
      </c>
      <c r="L7487" s="28" t="s">
        <v>51</v>
      </c>
      <c r="M7487" s="28" t="s">
        <v>51</v>
      </c>
      <c r="N7487" s="28" t="s">
        <v>51</v>
      </c>
    </row>
    <row r="7488" spans="1:14" x14ac:dyDescent="0.15">
      <c r="A7488" s="23" t="str">
        <f>HYPERLINK("https://www.spark-marketing.ru/Card/Person/1007804", "МОУ ССОШ")</f>
        <v>МОУ ССОШ</v>
      </c>
      <c r="B7488" s="24" t="s">
        <v>11166</v>
      </c>
      <c r="C7488" s="25">
        <v>1724587.67</v>
      </c>
      <c r="D7488" s="22" t="s">
        <v>11167</v>
      </c>
      <c r="E7488" s="22" t="s">
        <v>48</v>
      </c>
      <c r="F7488" s="23" t="str">
        <f>HYPERLINK("https://www.spark-marketing.ru/Card/Lot/72778985", "Приготовление и организация горячего питания обучающихся МОУ ССОШ")</f>
        <v>Приготовление и организация горячего питания обучающихся МОУ ССОШ</v>
      </c>
      <c r="G7488" s="22" t="s">
        <v>49</v>
      </c>
      <c r="H7488" s="22" t="s">
        <v>49</v>
      </c>
      <c r="I7488" s="26">
        <v>43691.391666666699</v>
      </c>
      <c r="J7488" s="28" t="s">
        <v>51</v>
      </c>
      <c r="K7488" s="28" t="s">
        <v>51</v>
      </c>
      <c r="L7488" s="28" t="s">
        <v>51</v>
      </c>
      <c r="M7488" s="28" t="s">
        <v>51</v>
      </c>
      <c r="N7488" s="28" t="s">
        <v>51</v>
      </c>
    </row>
    <row r="7489" spans="1:14" ht="12.75" hidden="1" outlineLevel="1" x14ac:dyDescent="0.2">
      <c r="A7489" s="23" t="str">
        <f>HYPERLINK("https://www.spark-marketing.ru/Card/Person/1007804", "МОУ ССОШ")</f>
        <v>МОУ ССОШ</v>
      </c>
      <c r="B7489" s="24" t="s">
        <v>11166</v>
      </c>
      <c r="C7489" s="25">
        <v>1724587.67</v>
      </c>
      <c r="D7489" s="22" t="s">
        <v>11167</v>
      </c>
      <c r="E7489" s="22" t="s">
        <v>48</v>
      </c>
      <c r="F7489" s="23" t="str">
        <f>HYPERLINK("https://www.spark-marketing.ru/Card/Lot/72778985", "Приготовление и организация горячего питания обучающихся МОУ ССОШ")</f>
        <v>Приготовление и организация горячего питания обучающихся МОУ ССОШ</v>
      </c>
      <c r="G7489" s="22" t="s">
        <v>49</v>
      </c>
      <c r="H7489" s="22" t="s">
        <v>49</v>
      </c>
      <c r="I7489" s="26">
        <v>43691.391666666699</v>
      </c>
      <c r="J7489" s="23" t="str">
        <f>HYPERLINK("https://www.spark-marketing.ru/Card/Person/75516", "ООО ""КОНЦЕПТ""")</f>
        <v>ООО "КОНЦЕПТ"</v>
      </c>
      <c r="K7489" s="24" t="s">
        <v>1717</v>
      </c>
      <c r="L7489" s="22" t="s">
        <v>10</v>
      </c>
      <c r="M7489" s="25">
        <v>1611248.04</v>
      </c>
      <c r="N7489" s="27">
        <v>6.5719842471099188E-2</v>
      </c>
    </row>
    <row r="7490" spans="1:14" hidden="1" outlineLevel="1" x14ac:dyDescent="0.2">
      <c r="A7490" s="23" t="str">
        <f>HYPERLINK("https://www.spark-marketing.ru/Card/Person/1007804", "МОУ ССОШ")</f>
        <v>МОУ ССОШ</v>
      </c>
      <c r="B7490" s="24" t="s">
        <v>11166</v>
      </c>
      <c r="C7490" s="25">
        <v>1724587.67</v>
      </c>
      <c r="D7490" s="22" t="s">
        <v>11167</v>
      </c>
      <c r="E7490" s="22" t="s">
        <v>48</v>
      </c>
      <c r="F7490" s="23" t="str">
        <f>HYPERLINK("https://www.spark-marketing.ru/Card/Lot/72778985", "Приготовление и организация горячего питания обучающихся МОУ ССОШ")</f>
        <v>Приготовление и организация горячего питания обучающихся МОУ ССОШ</v>
      </c>
      <c r="G7490" s="22" t="s">
        <v>49</v>
      </c>
      <c r="H7490" s="22" t="s">
        <v>49</v>
      </c>
      <c r="I7490" s="26">
        <v>43691.391666666699</v>
      </c>
      <c r="J7490" s="23" t="str">
        <f>HYPERLINK("https://www.spark-marketing.ru/Card/Person/31262", "ООО ""АЛЬЯНС""")</f>
        <v>ООО "АЛЬЯНС"</v>
      </c>
      <c r="K7490" s="24" t="s">
        <v>1718</v>
      </c>
      <c r="L7490" s="28" t="s">
        <v>51</v>
      </c>
      <c r="M7490" s="25">
        <v>1569375</v>
      </c>
      <c r="N7490" s="27">
        <v>8.9999872259320976E-2</v>
      </c>
    </row>
    <row r="7491" spans="1:14" x14ac:dyDescent="0.15">
      <c r="A7491" s="23" t="str">
        <f>HYPERLINK("https://www.spark-marketing.ru/Card/Person/878616", "ОТДЕЛ МВД РОССИИ ПО НОВОПОКРОВСКОМУ РАЙОНУ")</f>
        <v>ОТДЕЛ МВД РОССИИ ПО НОВОПОКРОВСКОМУ РАЙОНУ</v>
      </c>
      <c r="B7491" s="24" t="s">
        <v>11168</v>
      </c>
      <c r="C7491" s="25">
        <v>1786000</v>
      </c>
      <c r="D7491" s="22" t="s">
        <v>11169</v>
      </c>
      <c r="E7491" s="22" t="s">
        <v>48</v>
      </c>
      <c r="F7491" s="23" t="str">
        <f>HYPERLINK("https://www.spark-marketing.ru/Card/Lot/72778408", "питание ивс")</f>
        <v>питание ивс</v>
      </c>
      <c r="G7491" s="22" t="s">
        <v>104</v>
      </c>
      <c r="H7491" s="22" t="s">
        <v>11170</v>
      </c>
      <c r="I7491" s="26">
        <v>43690.710069444402</v>
      </c>
      <c r="J7491" s="23" t="str">
        <f>HYPERLINK("https://www.spark-marketing.ru/Card/Person/882635", "ПК ""НОВОПОКРОВСКОЕ СЕЛЬПО""")</f>
        <v>ПК "НОВОПОКРОВСКОЕ СЕЛЬПО"</v>
      </c>
      <c r="K7491" s="24" t="s">
        <v>11171</v>
      </c>
      <c r="L7491" s="22" t="s">
        <v>10</v>
      </c>
      <c r="M7491" s="28" t="s">
        <v>51</v>
      </c>
      <c r="N7491" s="28" t="s">
        <v>51</v>
      </c>
    </row>
    <row r="7492" spans="1:14" x14ac:dyDescent="0.15">
      <c r="A7492" s="23" t="str">
        <f>HYPERLINK("https://www.spark-marketing.ru/Card/Person/4453815", "ООО ""РН-СНАБЖЕНИЕ-НЕФТЕЮГАНСК""")</f>
        <v>ООО "РН-СНАБЖЕНИЕ-НЕФТЕЮГАНСК"</v>
      </c>
      <c r="B7492" s="24" t="s">
        <v>6335</v>
      </c>
      <c r="C7492" s="28" t="s">
        <v>51</v>
      </c>
      <c r="D7492" s="22" t="s">
        <v>11172</v>
      </c>
      <c r="E7492" s="22" t="s">
        <v>2217</v>
      </c>
      <c r="F7492" s="23" t="str">
        <f>HYPERLINK("https://www.spark-marketing.ru/Card/Lot/72779373", "Оказание услуг по обеспечению питанием работников на ЮТМ")</f>
        <v>Оказание услуг по обеспечению питанием работников на ЮТМ</v>
      </c>
      <c r="G7492" s="22" t="s">
        <v>97</v>
      </c>
      <c r="H7492" s="22" t="s">
        <v>363</v>
      </c>
      <c r="I7492" s="26">
        <v>43691.413194444402</v>
      </c>
      <c r="J7492" s="28" t="s">
        <v>51</v>
      </c>
      <c r="K7492" s="28" t="s">
        <v>51</v>
      </c>
      <c r="L7492" s="28" t="s">
        <v>51</v>
      </c>
      <c r="M7492" s="28" t="s">
        <v>51</v>
      </c>
      <c r="N7492" s="28" t="s">
        <v>51</v>
      </c>
    </row>
    <row r="7493" spans="1:14" x14ac:dyDescent="0.15">
      <c r="A7493" s="23" t="str">
        <f>HYPERLINK("https://www.spark-marketing.ru/Card/Person/1015757", "МБОУ ""КОЛПАКОВСКАЯ СОШ""")</f>
        <v>МБОУ "КОЛПАКОВСКАЯ СОШ"</v>
      </c>
      <c r="B7493" s="24" t="s">
        <v>11173</v>
      </c>
      <c r="C7493" s="25">
        <v>100215.33</v>
      </c>
      <c r="D7493" s="22" t="s">
        <v>11174</v>
      </c>
      <c r="E7493" s="22" t="s">
        <v>3907</v>
      </c>
      <c r="F7493" s="23" t="str">
        <f>HYPERLINK("https://www.spark-marketing.ru/Card/Lot/72776000", "Поставка прочих продуктов питания, не включенных в другие группировки")</f>
        <v>Поставка прочих продуктов питания, не включенных в другие группировки</v>
      </c>
      <c r="G7493" s="22" t="s">
        <v>174</v>
      </c>
      <c r="H7493" s="22" t="s">
        <v>11175</v>
      </c>
      <c r="I7493" s="26">
        <v>43691.408518518503</v>
      </c>
      <c r="J7493" s="28" t="s">
        <v>51</v>
      </c>
      <c r="K7493" s="28" t="s">
        <v>51</v>
      </c>
      <c r="L7493" s="28" t="s">
        <v>51</v>
      </c>
      <c r="M7493" s="28" t="s">
        <v>51</v>
      </c>
      <c r="N7493" s="28" t="s">
        <v>51</v>
      </c>
    </row>
    <row r="7494" spans="1:14" ht="12.75" hidden="1" outlineLevel="1" x14ac:dyDescent="0.2">
      <c r="A7494" s="23" t="str">
        <f>HYPERLINK("https://www.spark-marketing.ru/Card/Person/1015757", "МБОУ ""КОЛПАКОВСКАЯ СОШ""")</f>
        <v>МБОУ "КОЛПАКОВСКАЯ СОШ"</v>
      </c>
      <c r="B7494" s="24" t="s">
        <v>11173</v>
      </c>
      <c r="C7494" s="25">
        <v>100215.33</v>
      </c>
      <c r="D7494" s="22" t="s">
        <v>11174</v>
      </c>
      <c r="E7494" s="22" t="s">
        <v>3907</v>
      </c>
      <c r="F7494" s="23" t="str">
        <f>HYPERLINK("https://www.spark-marketing.ru/Card/Lot/72776000", "Поставка прочих продуктов питания, не включенных в другие группировки")</f>
        <v>Поставка прочих продуктов питания, не включенных в другие группировки</v>
      </c>
      <c r="G7494" s="22" t="s">
        <v>174</v>
      </c>
      <c r="H7494" s="22" t="s">
        <v>11175</v>
      </c>
      <c r="I7494" s="26">
        <v>43691.408518518503</v>
      </c>
      <c r="J7494" s="23" t="str">
        <f>HYPERLINK("https://www.spark-marketing.ru/Card/Person/4421334", "Аристов Сергей Николаевич")</f>
        <v>Аристов Сергей Николаевич</v>
      </c>
      <c r="K7494" s="24" t="s">
        <v>11176</v>
      </c>
      <c r="L7494" s="22" t="s">
        <v>10</v>
      </c>
      <c r="M7494" s="25">
        <v>92699.13</v>
      </c>
      <c r="N7494" s="27">
        <v>7.5000501420291688E-2</v>
      </c>
    </row>
    <row r="7495" spans="1:14" hidden="1" outlineLevel="1" x14ac:dyDescent="0.2">
      <c r="A7495" s="23" t="str">
        <f>HYPERLINK("https://www.spark-marketing.ru/Card/Person/1015757", "МБОУ ""КОЛПАКОВСКАЯ СОШ""")</f>
        <v>МБОУ "КОЛПАКОВСКАЯ СОШ"</v>
      </c>
      <c r="B7495" s="24" t="s">
        <v>11173</v>
      </c>
      <c r="C7495" s="25">
        <v>100215.33</v>
      </c>
      <c r="D7495" s="22" t="s">
        <v>11174</v>
      </c>
      <c r="E7495" s="22" t="s">
        <v>3907</v>
      </c>
      <c r="F7495" s="23" t="str">
        <f>HYPERLINK("https://www.spark-marketing.ru/Card/Lot/72776000", "Поставка прочих продуктов питания, не включенных в другие группировки")</f>
        <v>Поставка прочих продуктов питания, не включенных в другие группировки</v>
      </c>
      <c r="G7495" s="22" t="s">
        <v>174</v>
      </c>
      <c r="H7495" s="22" t="s">
        <v>11175</v>
      </c>
      <c r="I7495" s="26">
        <v>43691.408518518503</v>
      </c>
      <c r="J7495" s="23" t="str">
        <f>HYPERLINK("https://www.spark-marketing.ru/Card/Person/6572322", "Смольников Александр Владимирович")</f>
        <v>Смольников Александр Владимирович</v>
      </c>
      <c r="K7495" s="24" t="s">
        <v>11177</v>
      </c>
      <c r="L7495" s="28" t="s">
        <v>51</v>
      </c>
      <c r="M7495" s="25">
        <v>93200.21</v>
      </c>
      <c r="N7495" s="27">
        <v>7.0000467992272233E-2</v>
      </c>
    </row>
    <row r="7496" spans="1:14" x14ac:dyDescent="0.15">
      <c r="A7496" s="23" t="str">
        <f>HYPERLINK("https://www.spark-marketing.ru/Card/Person/83316", "МБОУ СОШ № 80")</f>
        <v>МБОУ СОШ № 80</v>
      </c>
      <c r="B7496" s="24" t="s">
        <v>11178</v>
      </c>
      <c r="C7496" s="25">
        <v>180000</v>
      </c>
      <c r="D7496" s="22" t="s">
        <v>11179</v>
      </c>
      <c r="E7496" s="22" t="s">
        <v>10059</v>
      </c>
      <c r="F7496" s="23" t="str">
        <f>HYPERLINK("https://www.spark-marketing.ru/Card/Lot/72775625", "Поставка продуктов питания (Продукция рыболовства и связанные с ней услуги) для нужд МБОУ СОШ №80")</f>
        <v>Поставка продуктов питания (Продукция рыболовства и связанные с ней услуги) для нужд МБОУ СОШ №80</v>
      </c>
      <c r="G7496" s="22" t="s">
        <v>195</v>
      </c>
      <c r="H7496" s="22" t="s">
        <v>196</v>
      </c>
      <c r="I7496" s="26">
        <v>43691.361111111102</v>
      </c>
      <c r="J7496" s="28" t="s">
        <v>51</v>
      </c>
      <c r="K7496" s="28" t="s">
        <v>51</v>
      </c>
      <c r="L7496" s="28" t="s">
        <v>51</v>
      </c>
      <c r="M7496" s="28" t="s">
        <v>51</v>
      </c>
      <c r="N7496" s="28" t="s">
        <v>51</v>
      </c>
    </row>
    <row r="7497" spans="1:14" x14ac:dyDescent="0.15">
      <c r="A7497" s="23" t="str">
        <f>HYPERLINK("https://www.spark-marketing.ru/Card/Person/148215", "МБОУ ХМР НОШ П. ГОРНОПРАВДИНСК")</f>
        <v>МБОУ ХМР НОШ П. ГОРНОПРАВДИНСК</v>
      </c>
      <c r="B7497" s="24" t="s">
        <v>11180</v>
      </c>
      <c r="C7497" s="25">
        <v>2973316.8</v>
      </c>
      <c r="D7497" s="22" t="s">
        <v>11181</v>
      </c>
      <c r="E7497" s="22" t="s">
        <v>48</v>
      </c>
      <c r="F7497" s="23" t="str">
        <f>HYPERLINK("https://www.spark-marketing.ru/Card/Lot/72776949", "Оказание услуг по организации горячего питания учащихся")</f>
        <v>Оказание услуг по организации горячего питания учащихся</v>
      </c>
      <c r="G7497" s="22" t="s">
        <v>97</v>
      </c>
      <c r="H7497" s="22" t="s">
        <v>7105</v>
      </c>
      <c r="I7497" s="26">
        <v>43691.423611111102</v>
      </c>
      <c r="J7497" s="28" t="s">
        <v>51</v>
      </c>
      <c r="K7497" s="28" t="s">
        <v>51</v>
      </c>
      <c r="L7497" s="28" t="s">
        <v>51</v>
      </c>
      <c r="M7497" s="28" t="s">
        <v>51</v>
      </c>
      <c r="N7497" s="28" t="s">
        <v>51</v>
      </c>
    </row>
    <row r="7498" spans="1:14" ht="12.75" hidden="1" outlineLevel="1" x14ac:dyDescent="0.2">
      <c r="A7498" s="23" t="str">
        <f>HYPERLINK("https://www.spark-marketing.ru/Card/Person/148215", "МБОУ ХМР НОШ П. ГОРНОПРАВДИНСК")</f>
        <v>МБОУ ХМР НОШ П. ГОРНОПРАВДИНСК</v>
      </c>
      <c r="B7498" s="24" t="s">
        <v>11180</v>
      </c>
      <c r="C7498" s="25">
        <v>2973316.8</v>
      </c>
      <c r="D7498" s="22" t="s">
        <v>11181</v>
      </c>
      <c r="E7498" s="22" t="s">
        <v>48</v>
      </c>
      <c r="F7498" s="23" t="str">
        <f>HYPERLINK("https://www.spark-marketing.ru/Card/Lot/72776949", "Оказание услуг по организации горячего питания учащихся")</f>
        <v>Оказание услуг по организации горячего питания учащихся</v>
      </c>
      <c r="G7498" s="22" t="s">
        <v>97</v>
      </c>
      <c r="H7498" s="22" t="s">
        <v>7105</v>
      </c>
      <c r="I7498" s="26">
        <v>43691.423611111102</v>
      </c>
      <c r="J7498" s="23" t="str">
        <f>HYPERLINK("https://www.spark-marketing.ru/Card/Person/4726235", "Поступинский Виталий Сергеевич")</f>
        <v>Поступинский Виталий Сергеевич</v>
      </c>
      <c r="K7498" s="24" t="s">
        <v>11182</v>
      </c>
      <c r="L7498" s="22" t="s">
        <v>10</v>
      </c>
      <c r="M7498" s="25">
        <v>2869999.99</v>
      </c>
      <c r="N7498" s="27">
        <v>3.4747999271386082E-2</v>
      </c>
    </row>
    <row r="7499" spans="1:14" hidden="1" outlineLevel="1" x14ac:dyDescent="0.2">
      <c r="A7499" s="23" t="str">
        <f>HYPERLINK("https://www.spark-marketing.ru/Card/Person/148215", "МБОУ ХМР НОШ П. ГОРНОПРАВДИНСК")</f>
        <v>МБОУ ХМР НОШ П. ГОРНОПРАВДИНСК</v>
      </c>
      <c r="B7499" s="24" t="s">
        <v>11180</v>
      </c>
      <c r="C7499" s="25">
        <v>2973316.8</v>
      </c>
      <c r="D7499" s="22" t="s">
        <v>11181</v>
      </c>
      <c r="E7499" s="22" t="s">
        <v>48</v>
      </c>
      <c r="F7499" s="23" t="str">
        <f>HYPERLINK("https://www.spark-marketing.ru/Card/Lot/72776949", "Оказание услуг по организации горячего питания учащихся")</f>
        <v>Оказание услуг по организации горячего питания учащихся</v>
      </c>
      <c r="G7499" s="22" t="s">
        <v>97</v>
      </c>
      <c r="H7499" s="22" t="s">
        <v>7105</v>
      </c>
      <c r="I7499" s="26">
        <v>43691.423611111102</v>
      </c>
      <c r="J7499" s="23" t="str">
        <f>HYPERLINK("https://www.spark-marketing.ru/Card/Person/4563327", "Поступинская Марина Сергеевна")</f>
        <v>Поступинская Марина Сергеевна</v>
      </c>
      <c r="K7499" s="24" t="s">
        <v>7106</v>
      </c>
      <c r="L7499" s="28" t="s">
        <v>51</v>
      </c>
      <c r="M7499" s="25">
        <v>2970000</v>
      </c>
      <c r="N7499" s="27">
        <v>1.1155218979692981E-3</v>
      </c>
    </row>
    <row r="7500" spans="1:14" x14ac:dyDescent="0.15">
      <c r="A7500" s="23" t="str">
        <f>HYPERLINK("https://www.spark-marketing.ru/Card/Person/995798", "ОМВД РОССИИ ПО ОЛОВЯННИНСКОМУ РАЙОНУ")</f>
        <v>ОМВД РОССИИ ПО ОЛОВЯННИНСКОМУ РАЙОНУ</v>
      </c>
      <c r="B7500" s="24" t="s">
        <v>2885</v>
      </c>
      <c r="C7500" s="25">
        <v>2292860.11</v>
      </c>
      <c r="D7500" s="22" t="s">
        <v>11183</v>
      </c>
      <c r="E7500" s="22" t="s">
        <v>48</v>
      </c>
      <c r="F7500" s="23" t="str">
        <f>HYPERLINK("https://www.spark-marketing.ru/Card/Lot/72772089", "Обеспечение питанием лиц подозреваемых и обвиняемых , административно-арестованных содержацихся в ИВС")</f>
        <v>Обеспечение питанием лиц подозреваемых и обвиняемых , административно-арестованных содержацихся в ИВС</v>
      </c>
      <c r="G7500" s="22" t="s">
        <v>228</v>
      </c>
      <c r="H7500" s="22" t="s">
        <v>2887</v>
      </c>
      <c r="I7500" s="26">
        <v>43690.470983796302</v>
      </c>
      <c r="J7500" s="28" t="s">
        <v>51</v>
      </c>
      <c r="K7500" s="28" t="s">
        <v>51</v>
      </c>
      <c r="L7500" s="28" t="s">
        <v>51</v>
      </c>
      <c r="M7500" s="28" t="s">
        <v>51</v>
      </c>
      <c r="N7500" s="28" t="s">
        <v>51</v>
      </c>
    </row>
    <row r="7501" spans="1:14" x14ac:dyDescent="0.15">
      <c r="A7501" s="23" t="str">
        <f>HYPERLINK("https://www.spark-marketing.ru/Card/Person/150011", "МУНИЦИПАЛЬНАЯ БЮДЖЕТНАЯ СРЕДНЯЯ ОБЩЕОБРАЗОВАТЕЛЬНАЯ ШКОЛА № 10 Г. ОРЛА")</f>
        <v>МУНИЦИПАЛЬНАЯ БЮДЖЕТНАЯ СРЕДНЯЯ ОБЩЕОБРАЗОВАТЕЛЬНАЯ ШКОЛА № 10 Г. ОРЛА</v>
      </c>
      <c r="B7501" s="24" t="s">
        <v>11184</v>
      </c>
      <c r="C7501" s="25">
        <v>538566</v>
      </c>
      <c r="D7501" s="22" t="s">
        <v>11185</v>
      </c>
      <c r="E7501" s="22" t="s">
        <v>51</v>
      </c>
      <c r="F7501" s="23" t="str">
        <f>HYPERLINK("https://www.spark-marketing.ru/Card/Lot/72776788",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7501" s="22" t="s">
        <v>1066</v>
      </c>
      <c r="H7501" s="22" t="s">
        <v>2864</v>
      </c>
      <c r="I7501" s="26">
        <v>43690.770601851902</v>
      </c>
      <c r="J7501" s="23" t="str">
        <f>HYPERLINK("https://www.spark-marketing.ru/Card/Person/749651", "МУП ""СТОЛОВАЯ № 83""")</f>
        <v>МУП "СТОЛОВАЯ № 83"</v>
      </c>
      <c r="K7501" s="24" t="s">
        <v>9777</v>
      </c>
      <c r="L7501" s="22" t="s">
        <v>10</v>
      </c>
      <c r="M7501" s="28" t="s">
        <v>51</v>
      </c>
      <c r="N7501" s="28" t="s">
        <v>51</v>
      </c>
    </row>
    <row r="7502" spans="1:14" x14ac:dyDescent="0.15">
      <c r="A7502" s="23" t="str">
        <f>HYPERLINK("https://www.spark-marketing.ru/Card/Person/879810", "ОМВД РОССИИ ПО АЛТАЙСКОМУ РАЙОНУ")</f>
        <v>ОМВД РОССИИ ПО АЛТАЙСКОМУ РАЙОНУ</v>
      </c>
      <c r="B7502" s="24" t="s">
        <v>8602</v>
      </c>
      <c r="C7502" s="25">
        <v>300000</v>
      </c>
      <c r="D7502" s="22" t="s">
        <v>11186</v>
      </c>
      <c r="E7502" s="22" t="s">
        <v>48</v>
      </c>
      <c r="F7502" s="23" t="str">
        <f>HYPERLINK("https://www.spark-marketing.ru/Card/Lot/72774220", "Услуги общественного питания, 1200 усл. ед")</f>
        <v>Услуги общественного питания, 1200 усл. ед</v>
      </c>
      <c r="G7502" s="22" t="s">
        <v>63</v>
      </c>
      <c r="H7502" s="22" t="s">
        <v>8604</v>
      </c>
      <c r="I7502" s="26">
        <v>43691.315416666701</v>
      </c>
      <c r="J7502" s="28" t="s">
        <v>51</v>
      </c>
      <c r="K7502" s="28" t="s">
        <v>51</v>
      </c>
      <c r="L7502" s="28" t="s">
        <v>51</v>
      </c>
      <c r="M7502" s="28" t="s">
        <v>51</v>
      </c>
      <c r="N7502" s="28" t="s">
        <v>51</v>
      </c>
    </row>
    <row r="7503" spans="1:14" x14ac:dyDescent="0.15">
      <c r="A7503" s="23" t="str">
        <f>HYPERLINK("https://www.spark-marketing.ru/Card/Person/1024533", "МОУ ""СОШ № 21""")</f>
        <v>МОУ "СОШ № 21"</v>
      </c>
      <c r="B7503" s="24" t="s">
        <v>8502</v>
      </c>
      <c r="C7503" s="25">
        <v>57120</v>
      </c>
      <c r="D7503" s="22" t="s">
        <v>11187</v>
      </c>
      <c r="E7503" s="22" t="s">
        <v>48</v>
      </c>
      <c r="F7503" s="23" t="str">
        <f>HYPERLINK("https://www.spark-marketing.ru/Card/Lot/72774063", "Оказание услуг по обеспечению льготным питанием детей из малообеспеченных семей и детей с нарушением здоровья обучающихся в МОУ «СОШ № 21»")</f>
        <v>Оказание услуг по обеспечению льготным питанием детей из малообеспеченных семей и детей с нарушением здоровья обучающихся в МОУ «СОШ № 21»</v>
      </c>
      <c r="G7503" s="22" t="s">
        <v>469</v>
      </c>
      <c r="H7503" s="22" t="s">
        <v>5961</v>
      </c>
      <c r="I7503" s="26">
        <v>43691.292361111096</v>
      </c>
      <c r="J7503" s="28" t="s">
        <v>51</v>
      </c>
      <c r="K7503" s="28" t="s">
        <v>51</v>
      </c>
      <c r="L7503" s="28" t="s">
        <v>51</v>
      </c>
      <c r="M7503" s="28" t="s">
        <v>51</v>
      </c>
      <c r="N7503" s="28" t="s">
        <v>51</v>
      </c>
    </row>
    <row r="7504" spans="1:14" x14ac:dyDescent="0.15">
      <c r="A7504" s="23" t="str">
        <f>HYPERLINK("https://www.spark-marketing.ru/Card/Person/253221", "ОТДЕЛЕНИЕ МВД РОССИИ ПО АРХАНГЕЛЬСКОМУ РАЙОНУ")</f>
        <v>ОТДЕЛЕНИЕ МВД РОССИИ ПО АРХАНГЕЛЬСКОМУ РАЙОНУ</v>
      </c>
      <c r="B7504" s="24" t="s">
        <v>11188</v>
      </c>
      <c r="C7504" s="25">
        <v>36740.120000000003</v>
      </c>
      <c r="D7504" s="22" t="s">
        <v>11189</v>
      </c>
      <c r="E7504" s="22" t="s">
        <v>48</v>
      </c>
      <c r="F7504" s="23" t="str">
        <f>HYPERLINK("https://www.spark-marketing.ru/Card/Lot/72773887", "Услуги по обеспечению питания лиц содержащихся в спец. помещениях задержанных лиц, 2 усл. ед")</f>
        <v>Услуги по обеспечению питания лиц содержащихся в спец. помещениях задержанных лиц, 2 усл. ед</v>
      </c>
      <c r="G7504" s="22" t="s">
        <v>145</v>
      </c>
      <c r="H7504" s="22" t="s">
        <v>11190</v>
      </c>
      <c r="I7504" s="26">
        <v>43691.295601851903</v>
      </c>
      <c r="J7504" s="28" t="s">
        <v>51</v>
      </c>
      <c r="K7504" s="28" t="s">
        <v>51</v>
      </c>
      <c r="L7504" s="28" t="s">
        <v>51</v>
      </c>
      <c r="M7504" s="28" t="s">
        <v>51</v>
      </c>
      <c r="N7504" s="28" t="s">
        <v>51</v>
      </c>
    </row>
    <row r="7505" spans="1:14" x14ac:dyDescent="0.15">
      <c r="A7505" s="23" t="str">
        <f>HYPERLINK("https://www.spark-marketing.ru/Card/Person/891510", "КГБУ ""БАРНАУЛЬСКИЙ ЦЕНТР ПОМОЩИ ДЕТЯМ, ОСТАВШИМСЯ БЕЗ ПОПЕЧЕНИЯ РОДИТЕЛЕЙ, № 2""")</f>
        <v>КГБУ "БАРНАУЛЬСКИЙ ЦЕНТР ПОМОЩИ ДЕТЯМ, ОСТАВШИМСЯ БЕЗ ПОПЕЧЕНИЯ РОДИТЕЛЕЙ, № 2"</v>
      </c>
      <c r="B7505" s="24" t="s">
        <v>11191</v>
      </c>
      <c r="C7505" s="25">
        <v>18500</v>
      </c>
      <c r="D7505" s="22" t="s">
        <v>11192</v>
      </c>
      <c r="E7505" s="22" t="s">
        <v>976</v>
      </c>
      <c r="F7505" s="23" t="str">
        <f>HYPERLINK("https://www.spark-marketing.ru/Card/Lot/72773746",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7505" s="22" t="s">
        <v>63</v>
      </c>
      <c r="H7505" s="22" t="s">
        <v>177</v>
      </c>
      <c r="I7505" s="26">
        <v>43691.253472222197</v>
      </c>
      <c r="J7505" s="28" t="s">
        <v>51</v>
      </c>
      <c r="K7505" s="28" t="s">
        <v>51</v>
      </c>
      <c r="L7505" s="28" t="s">
        <v>51</v>
      </c>
      <c r="M7505" s="28" t="s">
        <v>51</v>
      </c>
      <c r="N7505" s="28" t="s">
        <v>51</v>
      </c>
    </row>
    <row r="7506" spans="1:14" x14ac:dyDescent="0.15">
      <c r="A7506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7506" s="24" t="s">
        <v>3255</v>
      </c>
      <c r="C7506" s="25">
        <v>59013.440000000002</v>
      </c>
      <c r="D7506" s="22" t="s">
        <v>11193</v>
      </c>
      <c r="E7506" s="22" t="s">
        <v>9540</v>
      </c>
      <c r="F7506" s="23" t="str">
        <f>HYPERLINK("https://www.spark-marketing.ru/Card/Lot/72772336", "Поставка лекарственных препаратов для медицинского применения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лечеб...")</f>
        <v>Поставка лекарственных препаратов для медицинского применения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лечеб...</v>
      </c>
      <c r="G7506" s="22" t="s">
        <v>210</v>
      </c>
      <c r="H7506" s="22" t="s">
        <v>3257</v>
      </c>
      <c r="I7506" s="26">
        <v>43691.172916666699</v>
      </c>
      <c r="J7506" s="28" t="s">
        <v>51</v>
      </c>
      <c r="K7506" s="28" t="s">
        <v>51</v>
      </c>
      <c r="L7506" s="28" t="s">
        <v>51</v>
      </c>
      <c r="M7506" s="28" t="s">
        <v>51</v>
      </c>
      <c r="N7506" s="28" t="s">
        <v>51</v>
      </c>
    </row>
    <row r="7507" spans="1:14" x14ac:dyDescent="0.15">
      <c r="A7507" s="23" t="str">
        <f>HYPERLINK("https://www.spark-marketing.ru/Card/Person/291431", "КАЛИНИНГРАДСКИЙ ОБЛАСТНОЙ ИНСТИТУТ РАЗВИТИЯ ОБРАЗОВАНИЯ")</f>
        <v>КАЛИНИНГРАДСКИЙ ОБЛАСТНОЙ ИНСТИТУТ РАЗВИТИЯ ОБРАЗОВАНИЯ</v>
      </c>
      <c r="B7507" s="24" t="s">
        <v>1911</v>
      </c>
      <c r="C7507" s="25">
        <v>27000</v>
      </c>
      <c r="D7507" s="22" t="s">
        <v>11194</v>
      </c>
      <c r="E7507" s="22" t="s">
        <v>48</v>
      </c>
      <c r="F7507" s="23" t="str">
        <f>HYPERLINK("https://www.spark-marketing.ru/Card/Lot/72772004", "Оказание услуг по организации питания")</f>
        <v>Оказание услуг по организации питания</v>
      </c>
      <c r="G7507" s="22" t="s">
        <v>400</v>
      </c>
      <c r="H7507" s="22" t="s">
        <v>401</v>
      </c>
      <c r="I7507" s="26">
        <v>43691.155555555597</v>
      </c>
      <c r="J7507" s="28" t="s">
        <v>51</v>
      </c>
      <c r="K7507" s="28" t="s">
        <v>51</v>
      </c>
      <c r="L7507" s="28" t="s">
        <v>51</v>
      </c>
      <c r="M7507" s="28" t="s">
        <v>51</v>
      </c>
      <c r="N7507" s="28" t="s">
        <v>51</v>
      </c>
    </row>
    <row r="7508" spans="1:14" x14ac:dyDescent="0.2">
      <c r="A7508" s="23" t="str">
        <f>HYPERLINK("https://www.spark-marketing.ru/Card/Person/3843", "ГБУ РС (Я) ""ЯГБ №2""")</f>
        <v>ГБУ РС (Я) "ЯГБ №2"</v>
      </c>
      <c r="B7508" s="24" t="s">
        <v>11195</v>
      </c>
      <c r="C7508" s="25">
        <v>1799885.04</v>
      </c>
      <c r="D7508" s="22" t="s">
        <v>11196</v>
      </c>
      <c r="E7508" s="22" t="s">
        <v>48</v>
      </c>
      <c r="F7508" s="23" t="str">
        <f>HYPERLINK("https://www.spark-marketing.ru/Card/Lot/72772057", "Оказание услуги по обеспечению питанием пациентов")</f>
        <v>Оказание услуги по обеспечению питанием пациентов</v>
      </c>
      <c r="G7508" s="22" t="s">
        <v>241</v>
      </c>
      <c r="H7508" s="22" t="s">
        <v>242</v>
      </c>
      <c r="I7508" s="26">
        <v>43691.383333333302</v>
      </c>
      <c r="J7508" s="23" t="str">
        <f>HYPERLINK("https://www.spark-marketing.ru/Card/Person/75005", "ПК ""ЯКУТСКОЕ ПО""")</f>
        <v>ПК "ЯКУТСКОЕ ПО"</v>
      </c>
      <c r="K7508" s="24" t="s">
        <v>11197</v>
      </c>
      <c r="L7508" s="28" t="s">
        <v>51</v>
      </c>
      <c r="M7508" s="25">
        <v>1799880</v>
      </c>
      <c r="N7508" s="27">
        <v>2.8001788380884595E-6</v>
      </c>
    </row>
    <row r="7509" spans="1:14" x14ac:dyDescent="0.2">
      <c r="A7509" s="23" t="str">
        <f>HYPERLINK("https://www.spark-marketing.ru/Card/Person/50743", "МП ""ДЕТСКОЕ ПИТАНИЕ""")</f>
        <v>МП "ДЕТСКОЕ ПИТАНИЕ"</v>
      </c>
      <c r="B7509" s="24" t="s">
        <v>1562</v>
      </c>
      <c r="C7509" s="25">
        <v>735000</v>
      </c>
      <c r="D7509" s="22" t="s">
        <v>11198</v>
      </c>
      <c r="E7509" s="22" t="s">
        <v>1564</v>
      </c>
      <c r="F7509" s="23" t="str">
        <f>HYPERLINK("https://www.spark-marketing.ru/Card/Lot/72794349", "Поставка йогурта (для оказания услуг по предоставлению питания школьникам).")</f>
        <v>Поставка йогурта (для оказания услуг по предоставлению питания школьникам).</v>
      </c>
      <c r="G7509" s="22" t="s">
        <v>1522</v>
      </c>
      <c r="H7509" s="22" t="s">
        <v>1522</v>
      </c>
      <c r="I7509" s="26">
        <v>43691</v>
      </c>
      <c r="J7509" s="28" t="s">
        <v>51</v>
      </c>
      <c r="K7509" s="28" t="s">
        <v>51</v>
      </c>
      <c r="L7509" s="22" t="s">
        <v>10</v>
      </c>
      <c r="M7509" s="25">
        <v>625000</v>
      </c>
      <c r="N7509" s="27">
        <v>0.14965986394557823</v>
      </c>
    </row>
    <row r="7510" spans="1:14" x14ac:dyDescent="0.2">
      <c r="A7510" s="23" t="str">
        <f>HYPERLINK("https://www.spark-marketing.ru/Card/Person/1390375", "ФГАУ ""УПРАВЛЕНИЕ СПОРТМЕРОПРИЯТИЙ""")</f>
        <v>ФГАУ "УПРАВЛЕНИЕ СПОРТМЕРОПРИЯТИЙ"</v>
      </c>
      <c r="B7510" s="24" t="s">
        <v>2632</v>
      </c>
      <c r="C7510" s="25">
        <v>18079200</v>
      </c>
      <c r="D7510" s="22" t="s">
        <v>11199</v>
      </c>
      <c r="E7510" s="22" t="s">
        <v>769</v>
      </c>
      <c r="F7510" s="23" t="str">
        <f>HYPERLINK("https://www.spark-marketing.ru/Card/Lot/72794891", "Оказание услуг по организации проживания и питания участников Всероссийских соревнований по футболу ""Кожаный мяч"" - финальные соревнования среди мальчиков 2004-2005 г.р.")</f>
        <v>Оказание услуг по организации проживания и питания участников Всероссийских соревнований по футболу "Кожаный мяч" - финальные соревнования среди мальчиков 2004-2005 г.р.</v>
      </c>
      <c r="G7510" s="22" t="s">
        <v>158</v>
      </c>
      <c r="H7510" s="22" t="s">
        <v>158</v>
      </c>
      <c r="I7510" s="26">
        <v>43691</v>
      </c>
      <c r="J7510" s="28" t="s">
        <v>51</v>
      </c>
      <c r="K7510" s="28" t="s">
        <v>51</v>
      </c>
      <c r="L7510" s="28" t="s">
        <v>51</v>
      </c>
      <c r="M7510" s="25">
        <v>16329600</v>
      </c>
      <c r="N7510" s="27">
        <v>9.6774193548387094E-2</v>
      </c>
    </row>
    <row r="7511" spans="1:14" x14ac:dyDescent="0.15">
      <c r="A7511" s="23" t="str">
        <f>HYPERLINK("https://www.spark-marketing.ru/Card/Person/4348359", "АО ""СВЯЗЬТРАНСНЕФТЬ""")</f>
        <v>АО "СВЯЗЬТРАНСНЕФТЬ"</v>
      </c>
      <c r="B7511" s="24" t="s">
        <v>11200</v>
      </c>
      <c r="C7511" s="25">
        <v>3794067.02</v>
      </c>
      <c r="D7511" s="22" t="s">
        <v>11201</v>
      </c>
      <c r="E7511" s="22" t="s">
        <v>1403</v>
      </c>
      <c r="F7511" s="23" t="str">
        <f>HYPERLINK("https://www.spark-marketing.ru/Card/Lot/72795913", "173/1-29/ОЭЗ-09.2019 Оказание услуг по техническому обслуживанию и ремонту источников бесперебойного питания зданий АУП АО ""Связьтранснефть"" по адресу: ул. Наметкина, д. 12, ул. Люблинская, д. 6.")</f>
        <v>173/1-29/ОЭЗ-09.2019 Оказание услуг по техническому обслуживанию и ремонту источников бесперебойного питания зданий АУП АО "Связьтранснефть" по адресу: ул. Наметкина, д. 12, ул. Люблинская, д. 6.</v>
      </c>
      <c r="G7511" s="22" t="s">
        <v>56</v>
      </c>
      <c r="H7511" s="22" t="s">
        <v>56</v>
      </c>
      <c r="I7511" s="26">
        <v>43691</v>
      </c>
      <c r="J7511" s="28" t="s">
        <v>51</v>
      </c>
      <c r="K7511" s="28" t="s">
        <v>51</v>
      </c>
      <c r="L7511" s="28" t="s">
        <v>51</v>
      </c>
      <c r="M7511" s="28" t="s">
        <v>51</v>
      </c>
      <c r="N7511" s="28" t="s">
        <v>51</v>
      </c>
    </row>
    <row r="7512" spans="1:14" x14ac:dyDescent="0.15">
      <c r="A7512" s="23" t="str">
        <f>HYPERLINK("https://www.spark-marketing.ru/Card/Person/50743", "МП ""ДЕТСКОЕ ПИТАНИЕ""")</f>
        <v>МП "ДЕТСКОЕ ПИТАНИЕ"</v>
      </c>
      <c r="B7512" s="24" t="s">
        <v>1562</v>
      </c>
      <c r="C7512" s="25">
        <v>65920</v>
      </c>
      <c r="D7512" s="22" t="s">
        <v>11202</v>
      </c>
      <c r="E7512" s="22" t="s">
        <v>11203</v>
      </c>
      <c r="F7512" s="23" t="str">
        <f>HYPERLINK("https://www.spark-marketing.ru/Card/Lot/72792956", "Поставка муки пшеничной высший сорт для оказания услуг по предоставлению питания школьникам.")</f>
        <v>Поставка муки пшеничной высший сорт для оказания услуг по предоставлению питания школьникам.</v>
      </c>
      <c r="G7512" s="22" t="s">
        <v>1522</v>
      </c>
      <c r="H7512" s="22" t="s">
        <v>1522</v>
      </c>
      <c r="I7512" s="26">
        <v>43691</v>
      </c>
      <c r="J7512" s="28" t="s">
        <v>51</v>
      </c>
      <c r="K7512" s="28" t="s">
        <v>51</v>
      </c>
      <c r="L7512" s="28" t="s">
        <v>51</v>
      </c>
      <c r="M7512" s="28" t="s">
        <v>51</v>
      </c>
      <c r="N7512" s="28" t="s">
        <v>51</v>
      </c>
    </row>
    <row r="7513" spans="1:14" x14ac:dyDescent="0.2">
      <c r="A7513" s="23" t="str">
        <f>HYPERLINK("https://www.spark-marketing.ru/Card/Person/61084", "МУ ДК ""УГОЛЬЩИКОВ""")</f>
        <v>МУ ДК "УГОЛЬЩИКОВ"</v>
      </c>
      <c r="B7513" s="24" t="s">
        <v>11204</v>
      </c>
      <c r="C7513" s="25">
        <v>114500</v>
      </c>
      <c r="D7513" s="22" t="s">
        <v>11205</v>
      </c>
      <c r="E7513" s="22" t="s">
        <v>580</v>
      </c>
      <c r="F7513" s="23" t="str">
        <f>HYPERLINK("https://www.spark-marketing.ru/Card/Lot/72773755", "Оказание услуг по организации питания и обслуживания фуршета во время торжественной встречи ветеранов труда и почетных пенсионеров ООО «ММК-УГОЛЬ»")</f>
        <v>Оказание услуг по организации питания и обслуживания фуршета во время торжественной встречи ветеранов труда и почетных пенсионеров ООО «ММК-УГОЛЬ»</v>
      </c>
      <c r="G7513" s="22" t="s">
        <v>304</v>
      </c>
      <c r="H7513" s="22" t="s">
        <v>304</v>
      </c>
      <c r="I7513" s="26">
        <v>43691</v>
      </c>
      <c r="J7513" s="28" t="s">
        <v>51</v>
      </c>
      <c r="K7513" s="28" t="s">
        <v>51</v>
      </c>
      <c r="L7513" s="22" t="s">
        <v>10</v>
      </c>
      <c r="M7513" s="25">
        <v>114500</v>
      </c>
      <c r="N7513" s="27">
        <v>0</v>
      </c>
    </row>
    <row r="7514" spans="1:14" x14ac:dyDescent="0.2">
      <c r="A7514" s="23" t="str">
        <f>HYPERLINK("https://www.spark-marketing.ru/Card/Person/50743", "МП ""ДЕТСКОЕ ПИТАНИЕ""")</f>
        <v>МП "ДЕТСКОЕ ПИТАНИЕ"</v>
      </c>
      <c r="B7514" s="24" t="s">
        <v>1562</v>
      </c>
      <c r="C7514" s="25">
        <v>108972.5</v>
      </c>
      <c r="D7514" s="22" t="s">
        <v>11202</v>
      </c>
      <c r="E7514" s="22" t="s">
        <v>3064</v>
      </c>
      <c r="F7514" s="23" t="str">
        <f>HYPERLINK("https://www.spark-marketing.ru/Card/Lot/72792957", "Поставка горошка зеленого быстрозамороженного (для оказания услуг по предоставлению питания школьникам).")</f>
        <v>Поставка горошка зеленого быстрозамороженного (для оказания услуг по предоставлению питания школьникам).</v>
      </c>
      <c r="G7514" s="22" t="s">
        <v>1522</v>
      </c>
      <c r="H7514" s="22" t="s">
        <v>1522</v>
      </c>
      <c r="I7514" s="26">
        <v>43691</v>
      </c>
      <c r="J7514" s="28" t="s">
        <v>51</v>
      </c>
      <c r="K7514" s="28" t="s">
        <v>51</v>
      </c>
      <c r="L7514" s="22" t="s">
        <v>10</v>
      </c>
      <c r="M7514" s="25">
        <v>101920</v>
      </c>
      <c r="N7514" s="27">
        <v>6.471816283924843E-2</v>
      </c>
    </row>
    <row r="7515" spans="1:14" x14ac:dyDescent="0.15">
      <c r="A7515" s="23" t="str">
        <f>HYPERLINK("https://www.spark-marketing.ru/Card/Person/50743", "МП ""ДЕТСКОЕ ПИТАНИЕ""")</f>
        <v>МП "ДЕТСКОЕ ПИТАНИЕ"</v>
      </c>
      <c r="B7515" s="24" t="s">
        <v>1562</v>
      </c>
      <c r="C7515" s="25">
        <v>717152</v>
      </c>
      <c r="D7515" s="22" t="s">
        <v>11202</v>
      </c>
      <c r="E7515" s="22" t="s">
        <v>3064</v>
      </c>
      <c r="F7515" s="23" t="str">
        <f>HYPERLINK("https://www.spark-marketing.ru/Card/Lot/72792942", "Поставка консервированных овощей для оказания услуг по предоставлению питания школьникам.")</f>
        <v>Поставка консервированных овощей для оказания услуг по предоставлению питания школьникам.</v>
      </c>
      <c r="G7515" s="22" t="s">
        <v>1522</v>
      </c>
      <c r="H7515" s="22" t="s">
        <v>1522</v>
      </c>
      <c r="I7515" s="26">
        <v>43691</v>
      </c>
      <c r="J7515" s="28" t="s">
        <v>51</v>
      </c>
      <c r="K7515" s="28" t="s">
        <v>51</v>
      </c>
      <c r="L7515" s="28" t="s">
        <v>51</v>
      </c>
      <c r="M7515" s="28" t="s">
        <v>51</v>
      </c>
      <c r="N7515" s="28" t="s">
        <v>51</v>
      </c>
    </row>
    <row r="7516" spans="1:14" x14ac:dyDescent="0.15">
      <c r="A7516" s="23" t="str">
        <f>HYPERLINK("https://www.spark-marketing.ru/Card/Person/6441023", "АНО ""КВЦ ИНВЕСТ""")</f>
        <v>АНО "КВЦ ИНВЕСТ"</v>
      </c>
      <c r="B7516" s="24" t="s">
        <v>243</v>
      </c>
      <c r="C7516" s="25">
        <v>686850</v>
      </c>
      <c r="D7516" s="22" t="s">
        <v>11206</v>
      </c>
      <c r="E7516" s="22" t="s">
        <v>245</v>
      </c>
      <c r="F7516" s="23" t="str">
        <f>HYPERLINK("https://www.spark-marketing.ru/Card/Lot/72777436", "Услуги по организации участия субъектов малого и среднего предпринимательства Камчатского края в 28-й Международной выставке продуктов питания WorldFood Moscow - 2019 в период с 24 по 27 сентября 2019 г")</f>
        <v>Услуги по организации участия субъектов малого и среднего предпринимательства Камчатского края в 28-й Международной выставке продуктов питания WorldFood Moscow - 2019 в период с 24 по 27 сентября 2019 г</v>
      </c>
      <c r="G7516" s="22" t="s">
        <v>246</v>
      </c>
      <c r="H7516" s="22" t="s">
        <v>246</v>
      </c>
      <c r="I7516" s="26">
        <v>43691</v>
      </c>
      <c r="J7516" s="28" t="s">
        <v>51</v>
      </c>
      <c r="K7516" s="28" t="s">
        <v>51</v>
      </c>
      <c r="L7516" s="28" t="s">
        <v>51</v>
      </c>
      <c r="M7516" s="28" t="s">
        <v>51</v>
      </c>
      <c r="N7516" s="28" t="s">
        <v>51</v>
      </c>
    </row>
    <row r="7517" spans="1:14" x14ac:dyDescent="0.15">
      <c r="A7517" s="23" t="str">
        <f>HYPERLINK("https://www.spark-marketing.ru/Card/Person/293838", "ООО ""РЖД ТУР""")</f>
        <v>ООО "РЖД ТУР"</v>
      </c>
      <c r="B7517" s="24" t="s">
        <v>11207</v>
      </c>
      <c r="C7517" s="25">
        <v>113400</v>
      </c>
      <c r="D7517" s="22" t="s">
        <v>11208</v>
      </c>
      <c r="E7517" s="22" t="s">
        <v>580</v>
      </c>
      <c r="F7517" s="23" t="str">
        <f>HYPERLINK("https://www.spark-marketing.ru/Card/Lot/72782037", "Услуги по организации питания организованной группы пассажиров в количестве 36 человек в поезде по маршруту Москва-Минск")</f>
        <v>Услуги по организации питания организованной группы пассажиров в количестве 36 человек в поезде по маршруту Москва-Минск</v>
      </c>
      <c r="G7517" s="22" t="s">
        <v>56</v>
      </c>
      <c r="H7517" s="22" t="s">
        <v>56</v>
      </c>
      <c r="I7517" s="26">
        <v>43691</v>
      </c>
      <c r="J7517" s="28" t="s">
        <v>51</v>
      </c>
      <c r="K7517" s="28" t="s">
        <v>51</v>
      </c>
      <c r="L7517" s="28" t="s">
        <v>51</v>
      </c>
      <c r="M7517" s="28" t="s">
        <v>51</v>
      </c>
      <c r="N7517" s="28" t="s">
        <v>51</v>
      </c>
    </row>
    <row r="7518" spans="1:14" x14ac:dyDescent="0.15">
      <c r="A7518" s="23" t="str">
        <f>HYPERLINK("https://www.spark-marketing.ru/Card/Person/4350496", "ГБУ ЛО ""СББЖ ЛОМОНОСОВСКОГО РАЙОНА""")</f>
        <v>ГБУ ЛО "СББЖ ЛОМОНОСОВСКОГО РАЙОНА"</v>
      </c>
      <c r="B7518" s="24" t="s">
        <v>11209</v>
      </c>
      <c r="C7518" s="25">
        <v>390000</v>
      </c>
      <c r="D7518" s="22" t="s">
        <v>11210</v>
      </c>
      <c r="E7518" s="22" t="s">
        <v>580</v>
      </c>
      <c r="F7518" s="23" t="str">
        <f>HYPERLINK("https://www.spark-marketing.ru/Card/Lot/72789898", "Оказание услуг по организации питания при проведении тактико-специальных учений для нужд ГБУ ЛО «СББЖ Ломоносовского района» в д. Гостилицы Ломоносовского района Ленинградской области")</f>
        <v>Оказание услуг по организации питания при проведении тактико-специальных учений для нужд ГБУ ЛО «СББЖ Ломоносовского района» в д. Гостилицы Ломоносовского района Ленинградской области</v>
      </c>
      <c r="G7518" s="22" t="s">
        <v>117</v>
      </c>
      <c r="H7518" s="22" t="s">
        <v>117</v>
      </c>
      <c r="I7518" s="26">
        <v>43691</v>
      </c>
      <c r="J7518" s="28" t="s">
        <v>51</v>
      </c>
      <c r="K7518" s="28" t="s">
        <v>51</v>
      </c>
      <c r="L7518" s="28" t="s">
        <v>51</v>
      </c>
      <c r="M7518" s="28" t="s">
        <v>51</v>
      </c>
      <c r="N7518" s="28" t="s">
        <v>51</v>
      </c>
    </row>
    <row r="7519" spans="1:14" x14ac:dyDescent="0.15">
      <c r="A7519" s="23" t="str">
        <f>HYPERLINK("https://www.spark-marketing.ru/Card/Person/50743", "МП ""ДЕТСКОЕ ПИТАНИЕ""")</f>
        <v>МП "ДЕТСКОЕ ПИТАНИЕ"</v>
      </c>
      <c r="B7519" s="24" t="s">
        <v>1562</v>
      </c>
      <c r="C7519" s="25">
        <v>505500</v>
      </c>
      <c r="D7519" s="22" t="s">
        <v>11198</v>
      </c>
      <c r="E7519" s="22" t="s">
        <v>1564</v>
      </c>
      <c r="F7519" s="23" t="str">
        <f>HYPERLINK("https://www.spark-marketing.ru/Card/Lot/72794350", "Поставка молока (для оказания услуг по предоставлению питания школьникам).")</f>
        <v>Поставка молока (для оказания услуг по предоставлению питания школьникам).</v>
      </c>
      <c r="G7519" s="22" t="s">
        <v>1522</v>
      </c>
      <c r="H7519" s="22" t="s">
        <v>1522</v>
      </c>
      <c r="I7519" s="26">
        <v>43691</v>
      </c>
      <c r="J7519" s="28" t="s">
        <v>51</v>
      </c>
      <c r="K7519" s="28" t="s">
        <v>51</v>
      </c>
      <c r="L7519" s="28" t="s">
        <v>51</v>
      </c>
      <c r="M7519" s="28" t="s">
        <v>51</v>
      </c>
      <c r="N7519" s="28" t="s">
        <v>51</v>
      </c>
    </row>
    <row r="7520" spans="1:14" x14ac:dyDescent="0.15">
      <c r="A7520" s="23" t="str">
        <f>HYPERLINK("https://www.spark-marketing.ru/Card/Person/1745", "НИЦ ""КУРЧАТОВСКИЙ ИНСТИТУТ""")</f>
        <v>НИЦ "КУРЧАТОВСКИЙ ИНСТИТУТ"</v>
      </c>
      <c r="B7520" s="24" t="s">
        <v>11211</v>
      </c>
      <c r="C7520" s="25">
        <v>2500000</v>
      </c>
      <c r="D7520" s="22" t="s">
        <v>11212</v>
      </c>
      <c r="E7520" s="22" t="s">
        <v>580</v>
      </c>
      <c r="F7520" s="23" t="str">
        <f>HYPERLINK("https://www.spark-marketing.ru/Card/Lot/72768400", "Российский рубль")</f>
        <v>Российский рубль</v>
      </c>
      <c r="G7520" s="22" t="s">
        <v>56</v>
      </c>
      <c r="H7520" s="22" t="s">
        <v>56</v>
      </c>
      <c r="I7520" s="26">
        <v>43690</v>
      </c>
      <c r="J7520" s="28" t="s">
        <v>51</v>
      </c>
      <c r="K7520" s="28" t="s">
        <v>51</v>
      </c>
      <c r="L7520" s="28" t="s">
        <v>51</v>
      </c>
      <c r="M7520" s="28" t="s">
        <v>51</v>
      </c>
      <c r="N7520" s="28" t="s">
        <v>51</v>
      </c>
    </row>
    <row r="7521" spans="1:14" x14ac:dyDescent="0.15">
      <c r="A7521" s="23" t="str">
        <f>HYPERLINK("https://www.spark-marketing.ru/Card/Person/49128", "ПАО АКБ ""СВЯЗЬ-БАНК""")</f>
        <v>ПАО АКБ "СВЯЗЬ-БАНК"</v>
      </c>
      <c r="B7521" s="24" t="s">
        <v>11213</v>
      </c>
      <c r="C7521" s="25">
        <v>3504807.84</v>
      </c>
      <c r="D7521" s="22" t="s">
        <v>11214</v>
      </c>
      <c r="E7521" s="22" t="s">
        <v>11215</v>
      </c>
      <c r="F7521" s="23" t="str">
        <f>HYPERLINK("https://www.spark-marketing.ru/Card/Lot/72786149", "Оказание услуг по технической поддержке систем бесперебойного питания и кондиционирования")</f>
        <v>Оказание услуг по технической поддержке систем бесперебойного питания и кондиционирования</v>
      </c>
      <c r="G7521" s="22" t="s">
        <v>56</v>
      </c>
      <c r="H7521" s="22" t="s">
        <v>56</v>
      </c>
      <c r="I7521" s="26">
        <v>43691</v>
      </c>
      <c r="J7521" s="28" t="s">
        <v>51</v>
      </c>
      <c r="K7521" s="28" t="s">
        <v>51</v>
      </c>
      <c r="L7521" s="28" t="s">
        <v>51</v>
      </c>
      <c r="M7521" s="28" t="s">
        <v>51</v>
      </c>
      <c r="N7521" s="28" t="s">
        <v>51</v>
      </c>
    </row>
    <row r="7522" spans="1:14" x14ac:dyDescent="0.15">
      <c r="A7522" s="23" t="str">
        <f>HYPERLINK("https://www.spark-marketing.ru/Card/Person/50743", "МП ""ДЕТСКОЕ ПИТАНИЕ""")</f>
        <v>МП "ДЕТСКОЕ ПИТАНИЕ"</v>
      </c>
      <c r="B7522" s="24" t="s">
        <v>1562</v>
      </c>
      <c r="C7522" s="25">
        <v>708660</v>
      </c>
      <c r="D7522" s="22" t="s">
        <v>11202</v>
      </c>
      <c r="E7522" s="22" t="s">
        <v>1564</v>
      </c>
      <c r="F7522" s="23" t="str">
        <f>HYPERLINK("https://www.spark-marketing.ru/Card/Lot/72792955", "Поставка молока сгущенного с сахаром для оказания услуг по предоставлению питания школьникам.")</f>
        <v>Поставка молока сгущенного с сахаром для оказания услуг по предоставлению питания школьникам.</v>
      </c>
      <c r="G7522" s="22" t="s">
        <v>1522</v>
      </c>
      <c r="H7522" s="22" t="s">
        <v>1522</v>
      </c>
      <c r="I7522" s="26">
        <v>43691</v>
      </c>
      <c r="J7522" s="28" t="s">
        <v>51</v>
      </c>
      <c r="K7522" s="28" t="s">
        <v>51</v>
      </c>
      <c r="L7522" s="28" t="s">
        <v>51</v>
      </c>
      <c r="M7522" s="28" t="s">
        <v>51</v>
      </c>
      <c r="N7522" s="28" t="s">
        <v>51</v>
      </c>
    </row>
    <row r="7523" spans="1:14" x14ac:dyDescent="0.2">
      <c r="A7523" s="23" t="str">
        <f>HYPERLINK("https://www.spark-marketing.ru/Card/Person/893822", "МАОУ СОШ № 7 ИМ. А.Т. МОМОТ")</f>
        <v>МАОУ СОШ № 7 ИМ. А.Т. МОМОТ</v>
      </c>
      <c r="B7523" s="24" t="s">
        <v>11216</v>
      </c>
      <c r="C7523" s="25">
        <v>1041880</v>
      </c>
      <c r="D7523" s="22" t="s">
        <v>11217</v>
      </c>
      <c r="E7523" s="22" t="s">
        <v>362</v>
      </c>
      <c r="F7523" s="23" t="str">
        <f>HYPERLINK("https://www.spark-marketing.ru/Card/Lot/72796316", "Оказание услуги по организации питания учащихся МАОУ СОШ №7 имени А. Т. Момот в первом полугодии 2019 -2020 учебного года")</f>
        <v>Оказание услуги по организации питания учащихся МАОУ СОШ №7 имени А. Т. Момот в первом полугодии 2019 -2020 учебного года</v>
      </c>
      <c r="G7523" s="22" t="s">
        <v>104</v>
      </c>
      <c r="H7523" s="22" t="s">
        <v>104</v>
      </c>
      <c r="I7523" s="26">
        <v>43691</v>
      </c>
      <c r="J7523" s="28" t="s">
        <v>51</v>
      </c>
      <c r="K7523" s="28" t="s">
        <v>51</v>
      </c>
      <c r="L7523" s="22" t="s">
        <v>10</v>
      </c>
      <c r="M7523" s="25">
        <v>1031072</v>
      </c>
      <c r="N7523" s="27">
        <v>1.0373555495834453E-2</v>
      </c>
    </row>
    <row r="7524" spans="1:14" x14ac:dyDescent="0.15">
      <c r="A7524" s="23" t="str">
        <f>HYPERLINK("https://www.spark-marketing.ru/Card/Person/4875967", "ГАПОУ ПО ПКТТ")</f>
        <v>ГАПОУ ПО ПКТТ</v>
      </c>
      <c r="B7524" s="24" t="s">
        <v>11218</v>
      </c>
      <c r="C7524" s="25">
        <v>1335711</v>
      </c>
      <c r="D7524" s="22" t="s">
        <v>11219</v>
      </c>
      <c r="E7524" s="22" t="s">
        <v>362</v>
      </c>
      <c r="F7524" s="23" t="str">
        <f>HYPERLINK("https://www.spark-marketing.ru/Card/Lot/72780142", "Услуги по организации горячего питания обучающихся в Отделении транспорта и дорожного хозяйства ГАПОУ ПО ПКТТ")</f>
        <v>Услуги по организации горячего питания обучающихся в Отделении транспорта и дорожного хозяйства ГАПОУ ПО ПКТТ</v>
      </c>
      <c r="G7524" s="22" t="s">
        <v>72</v>
      </c>
      <c r="H7524" s="22" t="s">
        <v>72</v>
      </c>
      <c r="I7524" s="26">
        <v>43691</v>
      </c>
      <c r="J7524" s="28" t="s">
        <v>51</v>
      </c>
      <c r="K7524" s="28" t="s">
        <v>51</v>
      </c>
      <c r="L7524" s="28" t="s">
        <v>51</v>
      </c>
      <c r="M7524" s="28" t="s">
        <v>51</v>
      </c>
      <c r="N7524" s="28" t="s">
        <v>51</v>
      </c>
    </row>
    <row r="7525" spans="1:14" x14ac:dyDescent="0.15">
      <c r="A7525" s="23" t="str">
        <f>HYPERLINK("https://www.spark-marketing.ru/Card/Person/22935", "КБГУ, КАБАРДИНО-БАЛКАРСКИЙ ГОСУДАРСТВЕННЫЙ УНИВЕРСИТЕТ ИМ. Х. М. БЕРБЕКОВА")</f>
        <v>КБГУ, КАБАРДИНО-БАЛКАРСКИЙ ГОСУДАРСТВЕННЫЙ УНИВЕРСИТЕТ ИМ. Х. М. БЕРБЕКОВА</v>
      </c>
      <c r="B7525" s="24" t="s">
        <v>1200</v>
      </c>
      <c r="C7525" s="25">
        <v>274400</v>
      </c>
      <c r="D7525" s="22" t="s">
        <v>11220</v>
      </c>
      <c r="E7525" s="22" t="s">
        <v>6495</v>
      </c>
      <c r="F7525" s="23" t="str">
        <f>HYPERLINK("https://www.spark-marketing.ru/Card/Lot/72781178", "Оказание услуги по организации питания и проживания студентов КБГУ")</f>
        <v>Оказание услуги по организации питания и проживания студентов КБГУ</v>
      </c>
      <c r="G7525" s="22" t="s">
        <v>986</v>
      </c>
      <c r="H7525" s="22" t="s">
        <v>986</v>
      </c>
      <c r="I7525" s="26">
        <v>43691</v>
      </c>
      <c r="J7525" s="28" t="s">
        <v>51</v>
      </c>
      <c r="K7525" s="28" t="s">
        <v>51</v>
      </c>
      <c r="L7525" s="28" t="s">
        <v>51</v>
      </c>
      <c r="M7525" s="28" t="s">
        <v>51</v>
      </c>
      <c r="N7525" s="28" t="s">
        <v>51</v>
      </c>
    </row>
    <row r="7526" spans="1:14" x14ac:dyDescent="0.2">
      <c r="A7526" s="23" t="str">
        <f>HYPERLINK("https://www.spark-marketing.ru/Card/Person/45246", "МАОУ ""БЕРЕЗОВСКАЯ НОШ""")</f>
        <v>МАОУ "БЕРЕЗОВСКАЯ НОШ"</v>
      </c>
      <c r="B7526" s="24" t="s">
        <v>11221</v>
      </c>
      <c r="C7526" s="25">
        <v>4197632</v>
      </c>
      <c r="D7526" s="22" t="s">
        <v>11222</v>
      </c>
      <c r="E7526" s="22" t="s">
        <v>362</v>
      </c>
      <c r="F7526" s="23" t="str">
        <f>HYPERLINK("https://www.spark-marketing.ru/Card/Lot/72776226", "Оказание услуг по организации горячего питания обучающихся МАОУ Березовская НОШ")</f>
        <v>Оказание услуг по организации горячего питания обучающихся МАОУ Березовская НОШ</v>
      </c>
      <c r="G7526" s="22" t="s">
        <v>97</v>
      </c>
      <c r="H7526" s="22" t="s">
        <v>482</v>
      </c>
      <c r="I7526" s="26">
        <v>43691</v>
      </c>
      <c r="J7526" s="28" t="s">
        <v>51</v>
      </c>
      <c r="K7526" s="28" t="s">
        <v>51</v>
      </c>
      <c r="L7526" s="22" t="s">
        <v>10</v>
      </c>
      <c r="M7526" s="25">
        <v>4197632</v>
      </c>
      <c r="N7526" s="27">
        <v>0</v>
      </c>
    </row>
    <row r="7527" spans="1:14" x14ac:dyDescent="0.2">
      <c r="A7527" s="23" t="str">
        <f>HYPERLINK("https://www.spark-marketing.ru/Card/Person/61084", "МУ ДК ""УГОЛЬЩИКОВ""")</f>
        <v>МУ ДК "УГОЛЬЩИКОВ"</v>
      </c>
      <c r="B7527" s="24" t="s">
        <v>11204</v>
      </c>
      <c r="C7527" s="25">
        <v>464260</v>
      </c>
      <c r="D7527" s="22" t="s">
        <v>11223</v>
      </c>
      <c r="E7527" s="22" t="s">
        <v>580</v>
      </c>
      <c r="F7527" s="23" t="str">
        <f>HYPERLINK("https://www.spark-marketing.ru/Card/Lot/72802011", "Оказание услуг по организации питания и обслуживания банкета во время корпоративного торжественного мероприятия, посвященного празднованию Дня шахтера ООО «ММК-УГОЛЬ».")</f>
        <v>Оказание услуг по организации питания и обслуживания банкета во время корпоративного торжественного мероприятия, посвященного празднованию Дня шахтера ООО «ММК-УГОЛЬ».</v>
      </c>
      <c r="G7527" s="22" t="s">
        <v>304</v>
      </c>
      <c r="H7527" s="22" t="s">
        <v>304</v>
      </c>
      <c r="I7527" s="26">
        <v>43692</v>
      </c>
      <c r="J7527" s="28" t="s">
        <v>51</v>
      </c>
      <c r="K7527" s="28" t="s">
        <v>51</v>
      </c>
      <c r="L7527" s="22" t="s">
        <v>10</v>
      </c>
      <c r="M7527" s="25">
        <v>464260</v>
      </c>
      <c r="N7527" s="27">
        <v>0</v>
      </c>
    </row>
    <row r="7528" spans="1:14" x14ac:dyDescent="0.15">
      <c r="A7528" s="23" t="str">
        <f>HYPERLINK("https://www.spark-marketing.ru/Card/Person/418059", "ГКАУ ""ЦСП ПЕРМСКОГО КРАЯ""")</f>
        <v>ГКАУ "ЦСП ПЕРМСКОГО КРАЯ"</v>
      </c>
      <c r="B7528" s="24" t="s">
        <v>10611</v>
      </c>
      <c r="C7528" s="25">
        <v>245700</v>
      </c>
      <c r="D7528" s="22" t="s">
        <v>11224</v>
      </c>
      <c r="E7528" s="22" t="s">
        <v>5136</v>
      </c>
      <c r="F7528" s="23" t="str">
        <f>HYPERLINK("https://www.spark-marketing.ru/Card/Lot/72784771", "Услуги по организации ежедневного трехразового горячего питания в период проведения спортивных мероприятий в соответствии с заявками.")</f>
        <v>Услуги по организации ежедневного трехразового горячего питания в период проведения спортивных мероприятий в соответствии с заявками.</v>
      </c>
      <c r="G7528" s="22" t="s">
        <v>153</v>
      </c>
      <c r="H7528" s="22" t="s">
        <v>153</v>
      </c>
      <c r="I7528" s="26">
        <v>43691</v>
      </c>
      <c r="J7528" s="28" t="s">
        <v>51</v>
      </c>
      <c r="K7528" s="28" t="s">
        <v>51</v>
      </c>
      <c r="L7528" s="28" t="s">
        <v>51</v>
      </c>
      <c r="M7528" s="28" t="s">
        <v>51</v>
      </c>
      <c r="N7528" s="28" t="s">
        <v>51</v>
      </c>
    </row>
    <row r="7529" spans="1:14" x14ac:dyDescent="0.15">
      <c r="A7529" s="23" t="str">
        <f>HYPERLINK("https://www.spark-marketing.ru/Card/Person/20763", "ФГБОУ ВО ""СГУ"", СГУ, СОЧИНСКИЙ ГОСУДАРСТВЕННЫЙ УНИВЕРСИТЕТ, ФГБОУ ВО ""СОЧИНСКИЙ ГОСУДАРСТВЕННЫЙ УНИВЕРСИТЕТ""")</f>
        <v>ФГБОУ ВО "СГУ", СГУ, СОЧИНСКИЙ ГОСУДАРСТВЕННЫЙ УНИВЕРСИТЕТ, ФГБОУ ВО "СОЧИНСКИЙ ГОСУДАРСТВЕННЫЙ УНИВЕРСИТЕТ"</v>
      </c>
      <c r="B7529" s="24" t="s">
        <v>11225</v>
      </c>
      <c r="C7529" s="25">
        <v>176880</v>
      </c>
      <c r="D7529" s="22" t="s">
        <v>11226</v>
      </c>
      <c r="E7529" s="22" t="s">
        <v>362</v>
      </c>
      <c r="F7529" s="23" t="str">
        <f>HYPERLINK("https://www.spark-marketing.ru/Card/Lot/72778657", "Оказание услуг по организации питания слушателей летней языковой школы для преподавателей и студентов из университетов Луганской Народной Республики")</f>
        <v>Оказание услуг по организации питания слушателей летней языковой школы для преподавателей и студентов из университетов Луганской Народной Республики</v>
      </c>
      <c r="G7529" s="22" t="s">
        <v>104</v>
      </c>
      <c r="H7529" s="22" t="s">
        <v>104</v>
      </c>
      <c r="I7529" s="26">
        <v>43691</v>
      </c>
      <c r="J7529" s="28" t="s">
        <v>51</v>
      </c>
      <c r="K7529" s="28" t="s">
        <v>51</v>
      </c>
      <c r="L7529" s="28" t="s">
        <v>51</v>
      </c>
      <c r="M7529" s="28" t="s">
        <v>51</v>
      </c>
      <c r="N7529" s="28" t="s">
        <v>51</v>
      </c>
    </row>
    <row r="7530" spans="1:14" x14ac:dyDescent="0.15">
      <c r="A7530" s="23" t="str">
        <f>HYPERLINK("https://www.spark-marketing.ru/Card/Person/1481105", "МАОУ ""СОШ № 30 ИМЕНИ 10-ГО ГВАРДЕЙСКОГО УДТК""")</f>
        <v>МАОУ "СОШ № 30 ИМЕНИ 10-ГО ГВАРДЕЙСКОГО УДТК"</v>
      </c>
      <c r="B7530" s="24" t="s">
        <v>11227</v>
      </c>
      <c r="C7530" s="25">
        <v>2285582</v>
      </c>
      <c r="D7530" s="22" t="s">
        <v>11228</v>
      </c>
      <c r="E7530" s="22" t="s">
        <v>362</v>
      </c>
      <c r="F7530" s="23" t="str">
        <f>HYPERLINK("https://www.spark-marketing.ru/Card/Lot/72770462", "На оказание услуг по организации горячего питания обучающихся Муниципального автономного общеобразовательного учреждения «Средняя общеобразовательная школа№30 имени 10-го гвардейского Уральского добровольческого танкового корпуса»")</f>
        <v>На оказание услуг по организации горячего питания обучающихся Муниципального автономного общеобразовательного учреждения «Средняя общеобразовательная школа№30 имени 10-го гвардейского Уральского добровольческого танкового корпуса»</v>
      </c>
      <c r="G7530" s="22" t="s">
        <v>174</v>
      </c>
      <c r="H7530" s="22" t="s">
        <v>174</v>
      </c>
      <c r="I7530" s="26">
        <v>43690</v>
      </c>
      <c r="J7530" s="28" t="s">
        <v>51</v>
      </c>
      <c r="K7530" s="28" t="s">
        <v>51</v>
      </c>
      <c r="L7530" s="28" t="s">
        <v>51</v>
      </c>
      <c r="M7530" s="28" t="s">
        <v>51</v>
      </c>
      <c r="N7530" s="28" t="s">
        <v>51</v>
      </c>
    </row>
    <row r="7531" spans="1:14" x14ac:dyDescent="0.2">
      <c r="A7531" s="23" t="str">
        <f>HYPERLINK("https://www.spark-marketing.ru/Card/Person/82508", "ООО ""ГАЗПРОМ ГАЗОРАСПРЕДЕЛЕНИЕ ТОМСК""")</f>
        <v>ООО "ГАЗПРОМ ГАЗОРАСПРЕДЕЛЕНИЕ ТОМСК"</v>
      </c>
      <c r="B7531" s="24" t="s">
        <v>11229</v>
      </c>
      <c r="C7531" s="25">
        <v>367526.5</v>
      </c>
      <c r="D7531" s="22" t="s">
        <v>11230</v>
      </c>
      <c r="E7531" s="22" t="s">
        <v>2273</v>
      </c>
      <c r="F7531" s="23" t="str">
        <f>HYPERLINK("https://www.spark-marketing.ru/Card/Lot/72780335", "Оказание услуг по организации питания и обслуживанию при проведении торжественного мероприятия, посвященного празднованию коллективом ООО «Газпром газораспределение Томск» Дня работников нефтяной и газовой промышленности")</f>
        <v>Оказание услуг по организации питания и обслуживанию при проведении торжественного мероприятия, посвященного празднованию коллективом ООО «Газпром газораспределение Томск» Дня работников нефтяной и газовой промышленности</v>
      </c>
      <c r="G7531" s="22" t="s">
        <v>149</v>
      </c>
      <c r="H7531" s="22" t="s">
        <v>149</v>
      </c>
      <c r="I7531" s="26">
        <v>43691</v>
      </c>
      <c r="J7531" s="28" t="s">
        <v>51</v>
      </c>
      <c r="K7531" s="28" t="s">
        <v>51</v>
      </c>
      <c r="L7531" s="22" t="s">
        <v>10</v>
      </c>
      <c r="M7531" s="25">
        <v>367526.5</v>
      </c>
      <c r="N7531" s="27">
        <v>0</v>
      </c>
    </row>
    <row r="7532" spans="1:14" x14ac:dyDescent="0.15">
      <c r="A7532" s="23" t="str">
        <f>HYPERLINK("https://www.spark-marketing.ru/Card/Person/150161", "ФГБУ ""КОМБИНАТ ПИТАНИЯ ""КРЕМЛЕВСКИЙ""")</f>
        <v>ФГБУ "КОМБИНАТ ПИТАНИЯ "КРЕМЛЕВСКИЙ"</v>
      </c>
      <c r="B7532" s="24" t="s">
        <v>574</v>
      </c>
      <c r="C7532" s="25">
        <v>9123750</v>
      </c>
      <c r="D7532" s="22" t="s">
        <v>11231</v>
      </c>
      <c r="E7532" s="22" t="s">
        <v>576</v>
      </c>
      <c r="F7532" s="23" t="str">
        <f>HYPERLINK("https://www.spark-marketing.ru/Card/Lot/72793058", "Оказание услуг по обеспечению питанием")</f>
        <v>Оказание услуг по обеспечению питанием</v>
      </c>
      <c r="G7532" s="22" t="s">
        <v>145</v>
      </c>
      <c r="H7532" s="22" t="s">
        <v>436</v>
      </c>
      <c r="I7532" s="26">
        <v>43691</v>
      </c>
      <c r="J7532" s="28" t="s">
        <v>51</v>
      </c>
      <c r="K7532" s="28" t="s">
        <v>51</v>
      </c>
      <c r="L7532" s="28" t="s">
        <v>51</v>
      </c>
      <c r="M7532" s="28" t="s">
        <v>51</v>
      </c>
      <c r="N7532" s="28" t="s">
        <v>51</v>
      </c>
    </row>
    <row r="7533" spans="1:14" x14ac:dyDescent="0.15">
      <c r="A7533" s="23" t="str">
        <f>HYPERLINK("https://www.spark-marketing.ru/Card/Person/1481105", "МАОУ ""СОШ № 30 ИМЕНИ 10-ГО ГВАРДЕЙСКОГО УДТК""")</f>
        <v>МАОУ "СОШ № 30 ИМЕНИ 10-ГО ГВАРДЕЙСКОГО УДТК"</v>
      </c>
      <c r="B7533" s="24" t="s">
        <v>11227</v>
      </c>
      <c r="C7533" s="25">
        <v>2162758</v>
      </c>
      <c r="D7533" s="22" t="s">
        <v>11232</v>
      </c>
      <c r="E7533" s="22" t="s">
        <v>362</v>
      </c>
      <c r="F7533" s="23" t="str">
        <f>HYPERLINK("https://www.spark-marketing.ru/Card/Lot/72787491", "На оказание услуг по организации горячего питания обучающихся Муниципального автономного общеобразовательного учреждения «Средняя общеобразовательная школа№30 имени 10-го гвардейского Уральского добровольческого танкового корпуса»")</f>
        <v>На оказание услуг по организации горячего питания обучающихся Муниципального автономного общеобразовательного учреждения «Средняя общеобразовательная школа№30 имени 10-го гвардейского Уральского добровольческого танкового корпуса»</v>
      </c>
      <c r="G7533" s="22" t="s">
        <v>174</v>
      </c>
      <c r="H7533" s="22" t="s">
        <v>174</v>
      </c>
      <c r="I7533" s="26">
        <v>43691</v>
      </c>
      <c r="J7533" s="28" t="s">
        <v>51</v>
      </c>
      <c r="K7533" s="28" t="s">
        <v>51</v>
      </c>
      <c r="L7533" s="28" t="s">
        <v>51</v>
      </c>
      <c r="M7533" s="28" t="s">
        <v>51</v>
      </c>
      <c r="N7533" s="28" t="s">
        <v>51</v>
      </c>
    </row>
    <row r="7534" spans="1:14" x14ac:dyDescent="0.15">
      <c r="A7534" s="23" t="str">
        <f>HYPERLINK("https://www.spark-marketing.ru/Card/Person/19011", "УВД ПО СВАО ГУ МВД РОССИИ ПО Г. МОСКВЕ")</f>
        <v>УВД ПО СВАО ГУ МВД РОССИИ ПО Г. МОСКВЕ</v>
      </c>
      <c r="B7534" s="24" t="s">
        <v>11233</v>
      </c>
      <c r="C7534" s="25">
        <v>3640800</v>
      </c>
      <c r="D7534" s="22" t="s">
        <v>11234</v>
      </c>
      <c r="E7534" s="22" t="s">
        <v>48</v>
      </c>
      <c r="F7534" s="23" t="str">
        <f>HYPERLINK("https://www.spark-marketing.ru/Card/Lot/72770597", "Оказание услуг по обеспечению трехразовым питанием лиц, подозреваемых и обвиняемых в совершении преступлений, содержащихся в Изоляторе временного содержания УВД по СВАО ГУ МВД России по г. Москве")</f>
        <v>Оказание услуг по обеспечению трехразовым питанием лиц, подозреваемых и обвиняемых в совершении преступлений, содержащихся в Изоляторе временного содержания УВД по СВАО ГУ МВД России по г. Москве</v>
      </c>
      <c r="G7534" s="22" t="s">
        <v>56</v>
      </c>
      <c r="H7534" s="22" t="s">
        <v>56</v>
      </c>
      <c r="I7534" s="26">
        <v>43690.759907407402</v>
      </c>
      <c r="J7534" s="28" t="s">
        <v>51</v>
      </c>
      <c r="K7534" s="28" t="s">
        <v>51</v>
      </c>
      <c r="L7534" s="28" t="s">
        <v>51</v>
      </c>
      <c r="M7534" s="28" t="s">
        <v>51</v>
      </c>
      <c r="N7534" s="28" t="s">
        <v>51</v>
      </c>
    </row>
    <row r="7535" spans="1:14" hidden="1" outlineLevel="1" x14ac:dyDescent="0.2">
      <c r="A7535" s="23" t="str">
        <f>HYPERLINK("https://www.spark-marketing.ru/Card/Person/19011", "УВД ПО СВАО ГУ МВД РОССИИ ПО Г. МОСКВЕ")</f>
        <v>УВД ПО СВАО ГУ МВД РОССИИ ПО Г. МОСКВЕ</v>
      </c>
      <c r="B7535" s="24" t="s">
        <v>11233</v>
      </c>
      <c r="C7535" s="25">
        <v>3640800</v>
      </c>
      <c r="D7535" s="22" t="s">
        <v>11234</v>
      </c>
      <c r="E7535" s="22" t="s">
        <v>48</v>
      </c>
      <c r="F7535" s="23" t="str">
        <f>HYPERLINK("https://www.spark-marketing.ru/Card/Lot/72770597", "Оказание услуг по обеспечению трехразовым питанием лиц, подозреваемых и обвиняемых в совершении преступлений, содержащихся в Изоляторе временного содержания УВД по СВАО ГУ МВД России по г. Москве")</f>
        <v>Оказание услуг по обеспечению трехразовым питанием лиц, подозреваемых и обвиняемых в совершении преступлений, содержащихся в Изоляторе временного содержания УВД по СВАО ГУ МВД России по г. Москве</v>
      </c>
      <c r="G7535" s="22" t="s">
        <v>56</v>
      </c>
      <c r="H7535" s="22" t="s">
        <v>56</v>
      </c>
      <c r="I7535" s="26">
        <v>43690.759907407402</v>
      </c>
      <c r="J7535" s="23" t="str">
        <f>HYPERLINK("https://www.spark-marketing.ru/Card/Person/6530007", "ООО ""СИРИУС СТАР""")</f>
        <v>ООО "СИРИУС СТАР"</v>
      </c>
      <c r="K7535" s="24" t="s">
        <v>11235</v>
      </c>
      <c r="L7535" s="28" t="s">
        <v>51</v>
      </c>
      <c r="M7535" s="25">
        <v>3604392</v>
      </c>
      <c r="N7535" s="27">
        <v>0.01</v>
      </c>
    </row>
    <row r="7536" spans="1:14" ht="12.75" hidden="1" outlineLevel="1" x14ac:dyDescent="0.2">
      <c r="A7536" s="23" t="str">
        <f>HYPERLINK("https://www.spark-marketing.ru/Card/Person/19011", "УВД ПО СВАО ГУ МВД РОССИИ ПО Г. МОСКВЕ")</f>
        <v>УВД ПО СВАО ГУ МВД РОССИИ ПО Г. МОСКВЕ</v>
      </c>
      <c r="B7536" s="24" t="s">
        <v>11233</v>
      </c>
      <c r="C7536" s="25">
        <v>3640800</v>
      </c>
      <c r="D7536" s="22" t="s">
        <v>11234</v>
      </c>
      <c r="E7536" s="22" t="s">
        <v>48</v>
      </c>
      <c r="F7536" s="23" t="str">
        <f>HYPERLINK("https://www.spark-marketing.ru/Card/Lot/72770597", "Оказание услуг по обеспечению трехразовым питанием лиц, подозреваемых и обвиняемых в совершении преступлений, содержащихся в Изоляторе временного содержания УВД по СВАО ГУ МВД России по г. Москве")</f>
        <v>Оказание услуг по обеспечению трехразовым питанием лиц, подозреваемых и обвиняемых в совершении преступлений, содержащихся в Изоляторе временного содержания УВД по СВАО ГУ МВД России по г. Москве</v>
      </c>
      <c r="G7536" s="22" t="s">
        <v>56</v>
      </c>
      <c r="H7536" s="22" t="s">
        <v>56</v>
      </c>
      <c r="I7536" s="26">
        <v>43690.759907407402</v>
      </c>
      <c r="J7536" s="23" t="str">
        <f>HYPERLINK("https://www.spark-marketing.ru/Card/Person/6578901", "ООО ""ДОРОГА""")</f>
        <v>ООО "ДОРОГА"</v>
      </c>
      <c r="K7536" s="24" t="s">
        <v>3102</v>
      </c>
      <c r="L7536" s="22" t="s">
        <v>10</v>
      </c>
      <c r="M7536" s="25">
        <v>3586188</v>
      </c>
      <c r="N7536" s="27">
        <v>1.4999999999999999E-2</v>
      </c>
    </row>
    <row r="7537" spans="1:14" x14ac:dyDescent="0.15">
      <c r="A7537" s="23" t="str">
        <f>HYPERLINK("https://www.spark-marketing.ru/Card/Person/1476", "ГУ-БРЯНСКОЕ РО ФОНДА СОЦИАЛЬНОГО СТРАХОВАНИЯ РОССИЙСКОЙ ФЕДЕРАЦИИ")</f>
        <v>ГУ-БРЯНСКОЕ РО ФОНДА СОЦИАЛЬНОГО СТРАХОВАНИЯ РОССИЙСКОЙ ФЕДЕРАЦИИ</v>
      </c>
      <c r="B7537" s="24" t="s">
        <v>2454</v>
      </c>
      <c r="C7537" s="25">
        <v>2096136</v>
      </c>
      <c r="D7537" s="22" t="s">
        <v>11236</v>
      </c>
      <c r="E7537" s="22" t="s">
        <v>86</v>
      </c>
      <c r="F7537" s="23" t="str">
        <f>HYPERLINK("https://www.spark-marketing.ru/Card/Lot/72770602", "Оказание услуг по санаторно-курортному лечению граждан-получателей набора социальных услуг в организациях, оказывающих санаторно-курортные услуги по профилям заболеваний: заболевания по Классу XI МКБ-10 «Болезни органов пищеварения», заболевания по К...")</f>
        <v>Оказание услуг по санаторно-курортному лечению граждан-получателей набора социальных услуг в организациях, оказывающих санаторно-курортные услуги по профилям заболеваний: заболевания по Классу XI МКБ-10 «Болезни органов пищеварения», заболевания по К...</v>
      </c>
      <c r="G7537" s="22" t="s">
        <v>475</v>
      </c>
      <c r="H7537" s="22" t="s">
        <v>476</v>
      </c>
      <c r="I7537" s="26">
        <v>43690.767928240697</v>
      </c>
      <c r="J7537" s="28" t="s">
        <v>51</v>
      </c>
      <c r="K7537" s="28" t="s">
        <v>51</v>
      </c>
      <c r="L7537" s="28" t="s">
        <v>51</v>
      </c>
      <c r="M7537" s="28" t="s">
        <v>51</v>
      </c>
      <c r="N7537" s="28" t="s">
        <v>51</v>
      </c>
    </row>
    <row r="7538" spans="1:14" x14ac:dyDescent="0.15">
      <c r="A7538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7538" s="24" t="s">
        <v>3377</v>
      </c>
      <c r="C7538" s="25">
        <v>726000</v>
      </c>
      <c r="D7538" s="22" t="s">
        <v>11237</v>
      </c>
      <c r="E7538" s="22" t="s">
        <v>96</v>
      </c>
      <c r="F7538" s="23" t="str">
        <f>HYPERLINK("https://www.spark-marketing.ru/Card/Lot/72768666", "Оказание услуг по организации питания членов делегаций, участников мероприятий с участием представителей органов власти стран СНГ, Абхазии, Грузии, Южной Осетии в 2019 году")</f>
        <v>Оказание услуг по организации питания членов делегаций, участников мероприятий с участием представителей органов власти стран СНГ, Абхазии, Грузии, Южной Осетии в 2019 году</v>
      </c>
      <c r="G7538" s="22" t="s">
        <v>117</v>
      </c>
      <c r="H7538" s="22" t="s">
        <v>117</v>
      </c>
      <c r="I7538" s="26">
        <v>43690.607916666697</v>
      </c>
      <c r="J7538" s="28" t="s">
        <v>51</v>
      </c>
      <c r="K7538" s="28" t="s">
        <v>51</v>
      </c>
      <c r="L7538" s="28" t="s">
        <v>51</v>
      </c>
      <c r="M7538" s="28" t="s">
        <v>51</v>
      </c>
      <c r="N7538" s="28" t="s">
        <v>51</v>
      </c>
    </row>
    <row r="7539" spans="1:14" ht="12.75" hidden="1" outlineLevel="1" x14ac:dyDescent="0.2">
      <c r="A7539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7539" s="24" t="s">
        <v>3377</v>
      </c>
      <c r="C7539" s="25">
        <v>726000</v>
      </c>
      <c r="D7539" s="22" t="s">
        <v>11237</v>
      </c>
      <c r="E7539" s="22" t="s">
        <v>96</v>
      </c>
      <c r="F7539" s="23" t="str">
        <f>HYPERLINK("https://www.spark-marketing.ru/Card/Lot/72768666", "Оказание услуг по организации питания членов делегаций, участников мероприятий с участием представителей органов власти стран СНГ, Абхазии, Грузии, Южной Осетии в 2019 году")</f>
        <v>Оказание услуг по организации питания членов делегаций, участников мероприятий с участием представителей органов власти стран СНГ, Абхазии, Грузии, Южной Осетии в 2019 году</v>
      </c>
      <c r="G7539" s="22" t="s">
        <v>117</v>
      </c>
      <c r="H7539" s="22" t="s">
        <v>117</v>
      </c>
      <c r="I7539" s="26">
        <v>43690.607916666697</v>
      </c>
      <c r="J7539" s="23" t="str">
        <f>HYPERLINK("https://www.spark-marketing.ru/Card/Person/2232828", "ООО ""АРПИНА""")</f>
        <v>ООО "АРПИНА"</v>
      </c>
      <c r="K7539" s="24" t="s">
        <v>3380</v>
      </c>
      <c r="L7539" s="22" t="s">
        <v>10</v>
      </c>
      <c r="M7539" s="25">
        <v>12230.55</v>
      </c>
      <c r="N7539" s="27">
        <v>0.98315351239669424</v>
      </c>
    </row>
    <row r="7540" spans="1:14" hidden="1" outlineLevel="1" x14ac:dyDescent="0.2">
      <c r="A7540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7540" s="24" t="s">
        <v>3377</v>
      </c>
      <c r="C7540" s="25">
        <v>726000</v>
      </c>
      <c r="D7540" s="22" t="s">
        <v>11237</v>
      </c>
      <c r="E7540" s="22" t="s">
        <v>96</v>
      </c>
      <c r="F7540" s="23" t="str">
        <f>HYPERLINK("https://www.spark-marketing.ru/Card/Lot/72768666", "Оказание услуг по организации питания членов делегаций, участников мероприятий с участием представителей органов власти стран СНГ, Абхазии, Грузии, Южной Осетии в 2019 году")</f>
        <v>Оказание услуг по организации питания членов делегаций, участников мероприятий с участием представителей органов власти стран СНГ, Абхазии, Грузии, Южной Осетии в 2019 году</v>
      </c>
      <c r="G7540" s="22" t="s">
        <v>117</v>
      </c>
      <c r="H7540" s="22" t="s">
        <v>117</v>
      </c>
      <c r="I7540" s="26">
        <v>43690.607916666697</v>
      </c>
      <c r="J7540" s="23" t="str">
        <f>HYPERLINK("https://www.spark-marketing.ru/Card/Person/135856", "ООО ""АЛЬЯНС""")</f>
        <v>ООО "АЛЬЯНС"</v>
      </c>
      <c r="K7540" s="24" t="s">
        <v>7981</v>
      </c>
      <c r="L7540" s="28" t="s">
        <v>51</v>
      </c>
      <c r="M7540" s="25">
        <v>12000</v>
      </c>
      <c r="N7540" s="27">
        <v>0.98347107438016534</v>
      </c>
    </row>
    <row r="7541" spans="1:14" x14ac:dyDescent="0.15">
      <c r="A7541" s="23" t="str">
        <f>HYPERLINK("https://www.spark-marketing.ru/Card/Person/71275", "МОМВД РОССИИ ""МИЧУРИНСКИЙ""")</f>
        <v>МОМВД РОССИИ "МИЧУРИНСКИЙ"</v>
      </c>
      <c r="B7541" s="24" t="s">
        <v>11238</v>
      </c>
      <c r="C7541" s="25">
        <v>65800</v>
      </c>
      <c r="D7541" s="22" t="s">
        <v>11239</v>
      </c>
      <c r="E7541" s="22" t="s">
        <v>48</v>
      </c>
      <c r="F7541" s="23" t="str">
        <f>HYPERLINK("https://www.spark-marketing.ru/Card/Lot/72768548", "Услуги по приготовлению горячего питания для ИВС")</f>
        <v>Услуги по приготовлению горячего питания для ИВС</v>
      </c>
      <c r="G7541" s="22" t="s">
        <v>1370</v>
      </c>
      <c r="H7541" s="22" t="s">
        <v>11240</v>
      </c>
      <c r="I7541" s="26">
        <v>43690.712638888901</v>
      </c>
      <c r="J7541" s="28" t="s">
        <v>51</v>
      </c>
      <c r="K7541" s="28" t="s">
        <v>51</v>
      </c>
      <c r="L7541" s="28" t="s">
        <v>51</v>
      </c>
      <c r="M7541" s="28" t="s">
        <v>51</v>
      </c>
      <c r="N7541" s="28" t="s">
        <v>51</v>
      </c>
    </row>
    <row r="7542" spans="1:14" ht="12.75" hidden="1" outlineLevel="1" x14ac:dyDescent="0.2">
      <c r="A7542" s="23" t="str">
        <f>HYPERLINK("https://www.spark-marketing.ru/Card/Person/71275", "МОМВД РОССИИ ""МИЧУРИНСКИЙ""")</f>
        <v>МОМВД РОССИИ "МИЧУРИНСКИЙ"</v>
      </c>
      <c r="B7542" s="24" t="s">
        <v>11238</v>
      </c>
      <c r="C7542" s="25">
        <v>65800</v>
      </c>
      <c r="D7542" s="22" t="s">
        <v>11239</v>
      </c>
      <c r="E7542" s="22" t="s">
        <v>48</v>
      </c>
      <c r="F7542" s="23" t="str">
        <f>HYPERLINK("https://www.spark-marketing.ru/Card/Lot/72768548", "Услуги по приготовлению горячего питания для ИВС")</f>
        <v>Услуги по приготовлению горячего питания для ИВС</v>
      </c>
      <c r="G7542" s="22" t="s">
        <v>1370</v>
      </c>
      <c r="H7542" s="22" t="s">
        <v>11240</v>
      </c>
      <c r="I7542" s="26">
        <v>43690.712638888901</v>
      </c>
      <c r="J7542" s="23" t="str">
        <f>HYPERLINK("https://www.spark-marketing.ru/Card/Person/839734", "ООО ""МИЧВЕЛЛ""")</f>
        <v>ООО "МИЧВЕЛЛ"</v>
      </c>
      <c r="K7542" s="24" t="s">
        <v>11241</v>
      </c>
      <c r="L7542" s="22" t="s">
        <v>10</v>
      </c>
      <c r="M7542" s="25">
        <v>65800</v>
      </c>
      <c r="N7542" s="27">
        <v>0</v>
      </c>
    </row>
    <row r="7543" spans="1:14" hidden="1" outlineLevel="1" x14ac:dyDescent="0.2">
      <c r="A7543" s="23" t="str">
        <f>HYPERLINK("https://www.spark-marketing.ru/Card/Person/71275", "МОМВД РОССИИ ""МИЧУРИНСКИЙ""")</f>
        <v>МОМВД РОССИИ "МИЧУРИНСКИЙ"</v>
      </c>
      <c r="B7543" s="24" t="s">
        <v>11238</v>
      </c>
      <c r="C7543" s="25">
        <v>65800</v>
      </c>
      <c r="D7543" s="22" t="s">
        <v>11239</v>
      </c>
      <c r="E7543" s="22" t="s">
        <v>48</v>
      </c>
      <c r="F7543" s="23" t="str">
        <f>HYPERLINK("https://www.spark-marketing.ru/Card/Lot/72768548", "Услуги по приготовлению горячего питания для ИВС")</f>
        <v>Услуги по приготовлению горячего питания для ИВС</v>
      </c>
      <c r="G7543" s="22" t="s">
        <v>1370</v>
      </c>
      <c r="H7543" s="22" t="s">
        <v>11240</v>
      </c>
      <c r="I7543" s="26">
        <v>43690.712638888901</v>
      </c>
      <c r="J7543" s="23" t="str">
        <f>HYPERLINK("https://www.spark-marketing.ru/Card/Person/837064", "Одоян Омар Мамоевич")</f>
        <v>Одоян Омар Мамоевич</v>
      </c>
      <c r="K7543" s="24" t="s">
        <v>11242</v>
      </c>
      <c r="L7543" s="28" t="s">
        <v>51</v>
      </c>
      <c r="M7543" s="25">
        <v>65800</v>
      </c>
      <c r="N7543" s="27">
        <v>0</v>
      </c>
    </row>
    <row r="7544" spans="1:14" x14ac:dyDescent="0.15">
      <c r="A7544" s="23" t="str">
        <f>HYPERLINK("https://www.spark-marketing.ru/Card/Person/50924", "ГУЗ ""ТО ДМС ""ИНШИНКА"" ИМ. СУПРУГОВ БАТАШЕВА И.С. И БАТАШЕВОЙ А.В.""")</f>
        <v>ГУЗ "ТО ДМС "ИНШИНКА" ИМ. СУПРУГОВ БАТАШЕВА И.С. И БАТАШЕВОЙ А.В."</v>
      </c>
      <c r="B7544" s="24" t="s">
        <v>652</v>
      </c>
      <c r="C7544" s="25">
        <v>556920</v>
      </c>
      <c r="D7544" s="22" t="s">
        <v>11243</v>
      </c>
      <c r="E7544" s="22" t="s">
        <v>48</v>
      </c>
      <c r="F7544" s="23" t="str">
        <f>HYPERLINK("https://www.spark-marketing.ru/Card/Lot/72768734", "Оказание услуг по организации лечебного питания пациентов")</f>
        <v>Оказание услуг по организации лечебного питания пациентов</v>
      </c>
      <c r="G7544" s="22" t="s">
        <v>68</v>
      </c>
      <c r="H7544" s="22" t="s">
        <v>654</v>
      </c>
      <c r="I7544" s="26">
        <v>43690.6897453704</v>
      </c>
      <c r="J7544" s="28" t="s">
        <v>51</v>
      </c>
      <c r="K7544" s="28" t="s">
        <v>51</v>
      </c>
      <c r="L7544" s="28" t="s">
        <v>51</v>
      </c>
      <c r="M7544" s="28" t="s">
        <v>51</v>
      </c>
      <c r="N7544" s="28" t="s">
        <v>51</v>
      </c>
    </row>
    <row r="7545" spans="1:14" ht="12.75" hidden="1" outlineLevel="1" x14ac:dyDescent="0.2">
      <c r="A7545" s="23" t="str">
        <f>HYPERLINK("https://www.spark-marketing.ru/Card/Person/50924", "ГУЗ ""ТО ДМС ""ИНШИНКА"" ИМ. СУПРУГОВ БАТАШЕВА И.С. И БАТАШЕВОЙ А.В.""")</f>
        <v>ГУЗ "ТО ДМС "ИНШИНКА" ИМ. СУПРУГОВ БАТАШЕВА И.С. И БАТАШЕВОЙ А.В."</v>
      </c>
      <c r="B7545" s="24" t="s">
        <v>652</v>
      </c>
      <c r="C7545" s="25">
        <v>556920</v>
      </c>
      <c r="D7545" s="22" t="s">
        <v>11243</v>
      </c>
      <c r="E7545" s="22" t="s">
        <v>48</v>
      </c>
      <c r="F7545" s="23" t="str">
        <f>HYPERLINK("https://www.spark-marketing.ru/Card/Lot/72768734", "Оказание услуг по организации лечебного питания пациентов")</f>
        <v>Оказание услуг по организации лечебного питания пациентов</v>
      </c>
      <c r="G7545" s="22" t="s">
        <v>68</v>
      </c>
      <c r="H7545" s="22" t="s">
        <v>654</v>
      </c>
      <c r="I7545" s="26">
        <v>43690.6897453704</v>
      </c>
      <c r="J7545" s="23" t="str">
        <f>HYPERLINK("https://www.spark-marketing.ru/Card/Person/125220", "ООО ""ПАРТНЕР""")</f>
        <v>ООО "ПАРТНЕР"</v>
      </c>
      <c r="K7545" s="24" t="s">
        <v>3334</v>
      </c>
      <c r="L7545" s="22" t="s">
        <v>10</v>
      </c>
      <c r="M7545" s="25">
        <v>442751.4</v>
      </c>
      <c r="N7545" s="27">
        <v>0.20499999999999999</v>
      </c>
    </row>
    <row r="7546" spans="1:14" hidden="1" outlineLevel="1" x14ac:dyDescent="0.2">
      <c r="A7546" s="23" t="str">
        <f>HYPERLINK("https://www.spark-marketing.ru/Card/Person/50924", "ГУЗ ""ТО ДМС ""ИНШИНКА"" ИМ. СУПРУГОВ БАТАШЕВА И.С. И БАТАШЕВОЙ А.В.""")</f>
        <v>ГУЗ "ТО ДМС "ИНШИНКА" ИМ. СУПРУГОВ БАТАШЕВА И.С. И БАТАШЕВОЙ А.В."</v>
      </c>
      <c r="B7546" s="24" t="s">
        <v>652</v>
      </c>
      <c r="C7546" s="25">
        <v>556920</v>
      </c>
      <c r="D7546" s="22" t="s">
        <v>11243</v>
      </c>
      <c r="E7546" s="22" t="s">
        <v>48</v>
      </c>
      <c r="F7546" s="23" t="str">
        <f>HYPERLINK("https://www.spark-marketing.ru/Card/Lot/72768734", "Оказание услуг по организации лечебного питания пациентов")</f>
        <v>Оказание услуг по организации лечебного питания пациентов</v>
      </c>
      <c r="G7546" s="22" t="s">
        <v>68</v>
      </c>
      <c r="H7546" s="22" t="s">
        <v>654</v>
      </c>
      <c r="I7546" s="26">
        <v>43690.6897453704</v>
      </c>
      <c r="J7546" s="23" t="str">
        <f>HYPERLINK("https://www.spark-marketing.ru/Card/Person/5917713", "ООО ""БАРБУС""")</f>
        <v>ООО "БАРБУС"</v>
      </c>
      <c r="K7546" s="24" t="s">
        <v>3333</v>
      </c>
      <c r="L7546" s="28" t="s">
        <v>51</v>
      </c>
      <c r="M7546" s="25">
        <v>445536</v>
      </c>
      <c r="N7546" s="27">
        <v>0.2</v>
      </c>
    </row>
    <row r="7547" spans="1:14" x14ac:dyDescent="0.15">
      <c r="A7547" s="23" t="str">
        <f>HYPERLINK("https://www.spark-marketing.ru/Card/Person/132705", "МБОУ СОШ №2 С.РАЕВСКИЙ")</f>
        <v>МБОУ СОШ №2 С.РАЕВСКИЙ</v>
      </c>
      <c r="B7547" s="24" t="s">
        <v>11244</v>
      </c>
      <c r="C7547" s="25">
        <v>788672.82</v>
      </c>
      <c r="D7547" s="22" t="s">
        <v>11245</v>
      </c>
      <c r="E7547" s="22" t="s">
        <v>48</v>
      </c>
      <c r="F7547" s="23" t="str">
        <f>HYPERLINK("https://www.spark-marketing.ru/Card/Lot/72764692",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547" s="22" t="s">
        <v>145</v>
      </c>
      <c r="H7547" s="22" t="s">
        <v>10698</v>
      </c>
      <c r="I7547" s="26">
        <v>43690.717361111099</v>
      </c>
      <c r="J7547" s="28" t="s">
        <v>51</v>
      </c>
      <c r="K7547" s="28" t="s">
        <v>51</v>
      </c>
      <c r="L7547" s="28" t="s">
        <v>51</v>
      </c>
      <c r="M7547" s="28" t="s">
        <v>51</v>
      </c>
      <c r="N7547" s="28" t="s">
        <v>51</v>
      </c>
    </row>
    <row r="7548" spans="1:14" ht="12.75" hidden="1" outlineLevel="1" x14ac:dyDescent="0.2">
      <c r="A7548" s="23" t="str">
        <f>HYPERLINK("https://www.spark-marketing.ru/Card/Person/132705", "МБОУ СОШ №2 С.РАЕВСКИЙ")</f>
        <v>МБОУ СОШ №2 С.РАЕВСКИЙ</v>
      </c>
      <c r="B7548" s="24" t="s">
        <v>11244</v>
      </c>
      <c r="C7548" s="25">
        <v>788672.82</v>
      </c>
      <c r="D7548" s="22" t="s">
        <v>11245</v>
      </c>
      <c r="E7548" s="22" t="s">
        <v>48</v>
      </c>
      <c r="F7548" s="23" t="str">
        <f>HYPERLINK("https://www.spark-marketing.ru/Card/Lot/72764692",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548" s="22" t="s">
        <v>145</v>
      </c>
      <c r="H7548" s="22" t="s">
        <v>10698</v>
      </c>
      <c r="I7548" s="26">
        <v>43690.717361111099</v>
      </c>
      <c r="J7548" s="23" t="str">
        <f>HYPERLINK("https://www.spark-marketing.ru/Card/Person/776224", "Резяпова Гузель Римовна")</f>
        <v>Резяпова Гузель Римовна</v>
      </c>
      <c r="K7548" s="24" t="s">
        <v>10699</v>
      </c>
      <c r="L7548" s="22" t="s">
        <v>10</v>
      </c>
      <c r="M7548" s="25">
        <v>658541.93999999994</v>
      </c>
      <c r="N7548" s="27">
        <v>0.1649998284459708</v>
      </c>
    </row>
    <row r="7549" spans="1:14" hidden="1" outlineLevel="1" x14ac:dyDescent="0.2">
      <c r="A7549" s="23" t="str">
        <f>HYPERLINK("https://www.spark-marketing.ru/Card/Person/132705", "МБОУ СОШ №2 С.РАЕВСКИЙ")</f>
        <v>МБОУ СОШ №2 С.РАЕВСКИЙ</v>
      </c>
      <c r="B7549" s="24" t="s">
        <v>11244</v>
      </c>
      <c r="C7549" s="25">
        <v>788672.82</v>
      </c>
      <c r="D7549" s="22" t="s">
        <v>11245</v>
      </c>
      <c r="E7549" s="22" t="s">
        <v>48</v>
      </c>
      <c r="F7549" s="23" t="str">
        <f>HYPERLINK("https://www.spark-marketing.ru/Card/Lot/72764692",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549" s="22" t="s">
        <v>145</v>
      </c>
      <c r="H7549" s="22" t="s">
        <v>10698</v>
      </c>
      <c r="I7549" s="26">
        <v>43690.717361111099</v>
      </c>
      <c r="J7549" s="23" t="str">
        <f>HYPERLINK("https://www.spark-marketing.ru/Card/Person/154304", "Резяпов Анвар Явдатович")</f>
        <v>Резяпов Анвар Явдатович</v>
      </c>
      <c r="K7549" s="24" t="s">
        <v>10700</v>
      </c>
      <c r="L7549" s="28" t="s">
        <v>51</v>
      </c>
      <c r="M7549" s="25">
        <v>660000</v>
      </c>
      <c r="N7549" s="27">
        <v>0.16315107702076001</v>
      </c>
    </row>
    <row r="7550" spans="1:14" hidden="1" outlineLevel="1" x14ac:dyDescent="0.2">
      <c r="A7550" s="23" t="str">
        <f>HYPERLINK("https://www.spark-marketing.ru/Card/Person/132705", "МБОУ СОШ №2 С.РАЕВСКИЙ")</f>
        <v>МБОУ СОШ №2 С.РАЕВСКИЙ</v>
      </c>
      <c r="B7550" s="24" t="s">
        <v>11244</v>
      </c>
      <c r="C7550" s="25">
        <v>788672.82</v>
      </c>
      <c r="D7550" s="22" t="s">
        <v>11245</v>
      </c>
      <c r="E7550" s="22" t="s">
        <v>48</v>
      </c>
      <c r="F7550" s="23" t="str">
        <f>HYPERLINK("https://www.spark-marketing.ru/Card/Lot/72764692", "Аукцион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столовой.")</f>
        <v>Аукцион в электронной форме на право заключения контракта на оказание услуг по организации горячего питания для обучающихся образовательного учреждения в школьной столовой.</v>
      </c>
      <c r="G7550" s="22" t="s">
        <v>145</v>
      </c>
      <c r="H7550" s="22" t="s">
        <v>10698</v>
      </c>
      <c r="I7550" s="26">
        <v>43690.717361111099</v>
      </c>
      <c r="J7550" s="23" t="str">
        <f>HYPERLINK("https://www.spark-marketing.ru/Card/Person/991360", "АЛЬШЕЕВСКОЕ РАЙПО")</f>
        <v>АЛЬШЕЕВСКОЕ РАЙПО</v>
      </c>
      <c r="K7550" s="24" t="s">
        <v>11246</v>
      </c>
      <c r="L7550" s="28" t="s">
        <v>51</v>
      </c>
      <c r="M7550" s="25">
        <v>662485.30000000005</v>
      </c>
      <c r="N7550" s="27">
        <v>0.15999983364457773</v>
      </c>
    </row>
    <row r="7551" spans="1:14" x14ac:dyDescent="0.15">
      <c r="A7551" s="23" t="str">
        <f t="shared" ref="A7551:A7558" si="162">HYPERLINK("https://www.spark-marketing.ru/Card/Person/89970", "ОГБУВ ""ГОСВЕТСЛУЖБА""")</f>
        <v>ОГБУВ "ГОСВЕТСЛУЖБА"</v>
      </c>
      <c r="B7551" s="24" t="s">
        <v>11247</v>
      </c>
      <c r="C7551" s="25">
        <v>85826.43</v>
      </c>
      <c r="D7551" s="22" t="s">
        <v>11248</v>
      </c>
      <c r="E7551" s="22" t="s">
        <v>1862</v>
      </c>
      <c r="F7551" s="23" t="str">
        <f t="shared" ref="F7551:F7558" si="163">HYPERLINK("https://www.spark-marketing.ru/Card/Lot/72768531", "Запрос котировок в электронной форме на право заключить контракт на оказание услуг по вывозу и утилизации оборудования для нужд ОГБУВ «Госветслужба» (№ 984-эзк)")</f>
        <v>Запрос котировок в электронной форме на право заключить контракт на оказание услуг по вывозу и утилизации оборудования для нужд ОГБУВ «Госветслужба» (№ 984-эзк)</v>
      </c>
      <c r="G7551" s="22" t="s">
        <v>460</v>
      </c>
      <c r="H7551" s="22" t="s">
        <v>461</v>
      </c>
      <c r="I7551" s="26">
        <v>43690.667592592603</v>
      </c>
      <c r="J7551" s="28" t="s">
        <v>51</v>
      </c>
      <c r="K7551" s="28" t="s">
        <v>51</v>
      </c>
      <c r="L7551" s="28" t="s">
        <v>51</v>
      </c>
      <c r="M7551" s="28" t="s">
        <v>51</v>
      </c>
      <c r="N7551" s="28" t="s">
        <v>51</v>
      </c>
    </row>
    <row r="7552" spans="1:14" ht="12.75" hidden="1" outlineLevel="1" x14ac:dyDescent="0.2">
      <c r="A7552" s="23" t="str">
        <f t="shared" si="162"/>
        <v>ОГБУВ "ГОСВЕТСЛУЖБА"</v>
      </c>
      <c r="B7552" s="24" t="s">
        <v>11247</v>
      </c>
      <c r="C7552" s="25">
        <v>85826.43</v>
      </c>
      <c r="D7552" s="22" t="s">
        <v>11248</v>
      </c>
      <c r="E7552" s="22" t="s">
        <v>1862</v>
      </c>
      <c r="F7552" s="23" t="str">
        <f t="shared" si="163"/>
        <v>Запрос котировок в электронной форме на право заключить контракт на оказание услуг по вывозу и утилизации оборудования для нужд ОГБУВ «Госветслужба» (№ 984-эзк)</v>
      </c>
      <c r="G7552" s="22" t="s">
        <v>460</v>
      </c>
      <c r="H7552" s="22" t="s">
        <v>461</v>
      </c>
      <c r="I7552" s="26">
        <v>43690.667592592603</v>
      </c>
      <c r="J7552" s="23" t="str">
        <f>HYPERLINK("https://www.spark-marketing.ru/Card/Person/6448773", "ООО ""ПРОМРЕСУРС""")</f>
        <v>ООО "ПРОМРЕСУРС"</v>
      </c>
      <c r="K7552" s="24" t="s">
        <v>11249</v>
      </c>
      <c r="L7552" s="22" t="s">
        <v>10</v>
      </c>
      <c r="M7552" s="25">
        <v>1</v>
      </c>
      <c r="N7552" s="27">
        <v>0.99998834857747199</v>
      </c>
    </row>
    <row r="7553" spans="1:14" hidden="1" outlineLevel="1" x14ac:dyDescent="0.2">
      <c r="A7553" s="23" t="str">
        <f t="shared" si="162"/>
        <v>ОГБУВ "ГОСВЕТСЛУЖБА"</v>
      </c>
      <c r="B7553" s="24" t="s">
        <v>11247</v>
      </c>
      <c r="C7553" s="25">
        <v>85826.43</v>
      </c>
      <c r="D7553" s="22" t="s">
        <v>11248</v>
      </c>
      <c r="E7553" s="22" t="s">
        <v>1862</v>
      </c>
      <c r="F7553" s="23" t="str">
        <f t="shared" si="163"/>
        <v>Запрос котировок в электронной форме на право заключить контракт на оказание услуг по вывозу и утилизации оборудования для нужд ОГБУВ «Госветслужба» (№ 984-эзк)</v>
      </c>
      <c r="G7553" s="22" t="s">
        <v>460</v>
      </c>
      <c r="H7553" s="22" t="s">
        <v>461</v>
      </c>
      <c r="I7553" s="26">
        <v>43690.667592592603</v>
      </c>
      <c r="J7553" s="23" t="str">
        <f>HYPERLINK("https://www.spark-marketing.ru/Card/Person/6337928", "ООО ""СМУ-21""")</f>
        <v>ООО "СМУ-21"</v>
      </c>
      <c r="K7553" s="24" t="s">
        <v>1864</v>
      </c>
      <c r="L7553" s="28" t="s">
        <v>51</v>
      </c>
      <c r="M7553" s="25">
        <v>8800</v>
      </c>
      <c r="N7553" s="27">
        <v>0.89746748175358104</v>
      </c>
    </row>
    <row r="7554" spans="1:14" hidden="1" outlineLevel="1" x14ac:dyDescent="0.2">
      <c r="A7554" s="23" t="str">
        <f t="shared" si="162"/>
        <v>ОГБУВ "ГОСВЕТСЛУЖБА"</v>
      </c>
      <c r="B7554" s="24" t="s">
        <v>11247</v>
      </c>
      <c r="C7554" s="25">
        <v>85826.43</v>
      </c>
      <c r="D7554" s="22" t="s">
        <v>11248</v>
      </c>
      <c r="E7554" s="22" t="s">
        <v>1862</v>
      </c>
      <c r="F7554" s="23" t="str">
        <f t="shared" si="163"/>
        <v>Запрос котировок в электронной форме на право заключить контракт на оказание услуг по вывозу и утилизации оборудования для нужд ОГБУВ «Госветслужба» (№ 984-эзк)</v>
      </c>
      <c r="G7554" s="22" t="s">
        <v>460</v>
      </c>
      <c r="H7554" s="22" t="s">
        <v>461</v>
      </c>
      <c r="I7554" s="26">
        <v>43690.667592592603</v>
      </c>
      <c r="J7554" s="23" t="str">
        <f>HYPERLINK("https://www.spark-marketing.ru/Card/Person/6296731", "ООО ""МЕТАЛЛИНВЕСТ""")</f>
        <v>ООО "МЕТАЛЛИНВЕСТ"</v>
      </c>
      <c r="K7554" s="24" t="s">
        <v>11250</v>
      </c>
      <c r="L7554" s="28" t="s">
        <v>51</v>
      </c>
      <c r="M7554" s="25">
        <v>23699</v>
      </c>
      <c r="N7554" s="27">
        <v>0.72387293750887693</v>
      </c>
    </row>
    <row r="7555" spans="1:14" hidden="1" outlineLevel="1" x14ac:dyDescent="0.2">
      <c r="A7555" s="23" t="str">
        <f t="shared" si="162"/>
        <v>ОГБУВ "ГОСВЕТСЛУЖБА"</v>
      </c>
      <c r="B7555" s="24" t="s">
        <v>11247</v>
      </c>
      <c r="C7555" s="25">
        <v>85826.43</v>
      </c>
      <c r="D7555" s="22" t="s">
        <v>11248</v>
      </c>
      <c r="E7555" s="22" t="s">
        <v>1862</v>
      </c>
      <c r="F7555" s="23" t="str">
        <f t="shared" si="163"/>
        <v>Запрос котировок в электронной форме на право заключить контракт на оказание услуг по вывозу и утилизации оборудования для нужд ОГБУВ «Госветслужба» (№ 984-эзк)</v>
      </c>
      <c r="G7555" s="22" t="s">
        <v>460</v>
      </c>
      <c r="H7555" s="22" t="s">
        <v>461</v>
      </c>
      <c r="I7555" s="26">
        <v>43690.667592592603</v>
      </c>
      <c r="J7555" s="23" t="str">
        <f>HYPERLINK("https://www.spark-marketing.ru/Card/Person/4741959", "ООО ""ВЕГА""")</f>
        <v>ООО "ВЕГА"</v>
      </c>
      <c r="K7555" s="24" t="s">
        <v>11251</v>
      </c>
      <c r="L7555" s="28" t="s">
        <v>51</v>
      </c>
      <c r="M7555" s="25">
        <v>26900</v>
      </c>
      <c r="N7555" s="27">
        <v>0.68657673399674202</v>
      </c>
    </row>
    <row r="7556" spans="1:14" hidden="1" outlineLevel="1" x14ac:dyDescent="0.2">
      <c r="A7556" s="23" t="str">
        <f t="shared" si="162"/>
        <v>ОГБУВ "ГОСВЕТСЛУЖБА"</v>
      </c>
      <c r="B7556" s="24" t="s">
        <v>11247</v>
      </c>
      <c r="C7556" s="25">
        <v>85826.43</v>
      </c>
      <c r="D7556" s="22" t="s">
        <v>11248</v>
      </c>
      <c r="E7556" s="22" t="s">
        <v>1862</v>
      </c>
      <c r="F7556" s="23" t="str">
        <f t="shared" si="163"/>
        <v>Запрос котировок в электронной форме на право заключить контракт на оказание услуг по вывозу и утилизации оборудования для нужд ОГБУВ «Госветслужба» (№ 984-эзк)</v>
      </c>
      <c r="G7556" s="22" t="s">
        <v>460</v>
      </c>
      <c r="H7556" s="22" t="s">
        <v>461</v>
      </c>
      <c r="I7556" s="26">
        <v>43690.667592592603</v>
      </c>
      <c r="J7556" s="23" t="str">
        <f>HYPERLINK("https://www.spark-marketing.ru/Card/Person/825879", "Закиров Рустем Рифкатович")</f>
        <v>Закиров Рустем Рифкатович</v>
      </c>
      <c r="K7556" s="24" t="s">
        <v>2466</v>
      </c>
      <c r="L7556" s="28" t="s">
        <v>51</v>
      </c>
      <c r="M7556" s="25">
        <v>36000</v>
      </c>
      <c r="N7556" s="27">
        <v>0.58054878899192242</v>
      </c>
    </row>
    <row r="7557" spans="1:14" hidden="1" outlineLevel="1" x14ac:dyDescent="0.2">
      <c r="A7557" s="23" t="str">
        <f t="shared" si="162"/>
        <v>ОГБУВ "ГОСВЕТСЛУЖБА"</v>
      </c>
      <c r="B7557" s="24" t="s">
        <v>11247</v>
      </c>
      <c r="C7557" s="25">
        <v>85826.43</v>
      </c>
      <c r="D7557" s="22" t="s">
        <v>11248</v>
      </c>
      <c r="E7557" s="22" t="s">
        <v>1862</v>
      </c>
      <c r="F7557" s="23" t="str">
        <f t="shared" si="163"/>
        <v>Запрос котировок в электронной форме на право заключить контракт на оказание услуг по вывозу и утилизации оборудования для нужд ОГБУВ «Госветслужба» (№ 984-эзк)</v>
      </c>
      <c r="G7557" s="22" t="s">
        <v>460</v>
      </c>
      <c r="H7557" s="22" t="s">
        <v>461</v>
      </c>
      <c r="I7557" s="26">
        <v>43690.667592592603</v>
      </c>
      <c r="J7557" s="23" t="str">
        <f>HYPERLINK("https://www.spark-marketing.ru/Card/Person/6583180", "Кленов Сергей Александрович")</f>
        <v>Кленов Сергей Александрович</v>
      </c>
      <c r="K7557" s="24" t="s">
        <v>11252</v>
      </c>
      <c r="L7557" s="28" t="s">
        <v>51</v>
      </c>
      <c r="M7557" s="25">
        <v>49000</v>
      </c>
      <c r="N7557" s="27">
        <v>0.42908029612789439</v>
      </c>
    </row>
    <row r="7558" spans="1:14" hidden="1" outlineLevel="1" x14ac:dyDescent="0.2">
      <c r="A7558" s="23" t="str">
        <f t="shared" si="162"/>
        <v>ОГБУВ "ГОСВЕТСЛУЖБА"</v>
      </c>
      <c r="B7558" s="24" t="s">
        <v>11247</v>
      </c>
      <c r="C7558" s="25">
        <v>85826.43</v>
      </c>
      <c r="D7558" s="22" t="s">
        <v>11248</v>
      </c>
      <c r="E7558" s="22" t="s">
        <v>1862</v>
      </c>
      <c r="F7558" s="23" t="str">
        <f t="shared" si="163"/>
        <v>Запрос котировок в электронной форме на право заключить контракт на оказание услуг по вывозу и утилизации оборудования для нужд ОГБУВ «Госветслужба» (№ 984-эзк)</v>
      </c>
      <c r="G7558" s="22" t="s">
        <v>460</v>
      </c>
      <c r="H7558" s="22" t="s">
        <v>461</v>
      </c>
      <c r="I7558" s="26">
        <v>43690.667592592603</v>
      </c>
      <c r="J7558" s="23" t="str">
        <f>HYPERLINK("https://www.spark-marketing.ru/Card/Person/222249", "ООО ""ВЕДУЩАЯ УТИЛИЗИРУЮЩАЯ КОМПАНИЯ""")</f>
        <v>ООО "ВЕДУЩАЯ УТИЛИЗИРУЮЩАЯ КОМПАНИЯ"</v>
      </c>
      <c r="K7558" s="24" t="s">
        <v>11253</v>
      </c>
      <c r="L7558" s="28" t="s">
        <v>51</v>
      </c>
      <c r="M7558" s="25">
        <v>85826.43</v>
      </c>
      <c r="N7558" s="27">
        <v>0</v>
      </c>
    </row>
    <row r="7559" spans="1:14" x14ac:dyDescent="0.15">
      <c r="A7559" s="23" t="str">
        <f>HYPERLINK("https://www.spark-marketing.ru/Card/Person/71275", "МОМВД РОССИИ ""МИЧУРИНСКИЙ""")</f>
        <v>МОМВД РОССИИ "МИЧУРИНСКИЙ"</v>
      </c>
      <c r="B7559" s="24" t="s">
        <v>11238</v>
      </c>
      <c r="C7559" s="25">
        <v>65800</v>
      </c>
      <c r="D7559" s="22" t="s">
        <v>11254</v>
      </c>
      <c r="E7559" s="22" t="s">
        <v>48</v>
      </c>
      <c r="F7559" s="23" t="str">
        <f>HYPERLINK("https://www.spark-marketing.ru/Card/Lot/72768569", "Услуги по приготовлению горячего питания для ИВС ( 2020 г.)")</f>
        <v>Услуги по приготовлению горячего питания для ИВС ( 2020 г.)</v>
      </c>
      <c r="G7559" s="22" t="s">
        <v>1370</v>
      </c>
      <c r="H7559" s="22" t="s">
        <v>11240</v>
      </c>
      <c r="I7559" s="26">
        <v>43690.714861111097</v>
      </c>
      <c r="J7559" s="28" t="s">
        <v>51</v>
      </c>
      <c r="K7559" s="28" t="s">
        <v>51</v>
      </c>
      <c r="L7559" s="28" t="s">
        <v>51</v>
      </c>
      <c r="M7559" s="28" t="s">
        <v>51</v>
      </c>
      <c r="N7559" s="28" t="s">
        <v>51</v>
      </c>
    </row>
    <row r="7560" spans="1:14" ht="12.75" hidden="1" outlineLevel="1" x14ac:dyDescent="0.2">
      <c r="A7560" s="23" t="str">
        <f>HYPERLINK("https://www.spark-marketing.ru/Card/Person/71275", "МОМВД РОССИИ ""МИЧУРИНСКИЙ""")</f>
        <v>МОМВД РОССИИ "МИЧУРИНСКИЙ"</v>
      </c>
      <c r="B7560" s="24" t="s">
        <v>11238</v>
      </c>
      <c r="C7560" s="25">
        <v>65800</v>
      </c>
      <c r="D7560" s="22" t="s">
        <v>11254</v>
      </c>
      <c r="E7560" s="22" t="s">
        <v>48</v>
      </c>
      <c r="F7560" s="23" t="str">
        <f>HYPERLINK("https://www.spark-marketing.ru/Card/Lot/72768569", "Услуги по приготовлению горячего питания для ИВС ( 2020 г.)")</f>
        <v>Услуги по приготовлению горячего питания для ИВС ( 2020 г.)</v>
      </c>
      <c r="G7560" s="22" t="s">
        <v>1370</v>
      </c>
      <c r="H7560" s="22" t="s">
        <v>11240</v>
      </c>
      <c r="I7560" s="26">
        <v>43690.714861111097</v>
      </c>
      <c r="J7560" s="23" t="str">
        <f>HYPERLINK("https://www.spark-marketing.ru/Card/Person/839734", "ООО ""МИЧВЕЛЛ""")</f>
        <v>ООО "МИЧВЕЛЛ"</v>
      </c>
      <c r="K7560" s="24" t="s">
        <v>11241</v>
      </c>
      <c r="L7560" s="22" t="s">
        <v>10</v>
      </c>
      <c r="M7560" s="25">
        <v>65800</v>
      </c>
      <c r="N7560" s="27">
        <v>0</v>
      </c>
    </row>
    <row r="7561" spans="1:14" hidden="1" outlineLevel="1" x14ac:dyDescent="0.2">
      <c r="A7561" s="23" t="str">
        <f>HYPERLINK("https://www.spark-marketing.ru/Card/Person/71275", "МОМВД РОССИИ ""МИЧУРИНСКИЙ""")</f>
        <v>МОМВД РОССИИ "МИЧУРИНСКИЙ"</v>
      </c>
      <c r="B7561" s="24" t="s">
        <v>11238</v>
      </c>
      <c r="C7561" s="25">
        <v>65800</v>
      </c>
      <c r="D7561" s="22" t="s">
        <v>11254</v>
      </c>
      <c r="E7561" s="22" t="s">
        <v>48</v>
      </c>
      <c r="F7561" s="23" t="str">
        <f>HYPERLINK("https://www.spark-marketing.ru/Card/Lot/72768569", "Услуги по приготовлению горячего питания для ИВС ( 2020 г.)")</f>
        <v>Услуги по приготовлению горячего питания для ИВС ( 2020 г.)</v>
      </c>
      <c r="G7561" s="22" t="s">
        <v>1370</v>
      </c>
      <c r="H7561" s="22" t="s">
        <v>11240</v>
      </c>
      <c r="I7561" s="26">
        <v>43690.714861111097</v>
      </c>
      <c r="J7561" s="23" t="str">
        <f>HYPERLINK("https://www.spark-marketing.ru/Card/Person/837064", "Одоян Омар Мамоевич")</f>
        <v>Одоян Омар Мамоевич</v>
      </c>
      <c r="K7561" s="24" t="s">
        <v>11242</v>
      </c>
      <c r="L7561" s="28" t="s">
        <v>51</v>
      </c>
      <c r="M7561" s="25">
        <v>65800</v>
      </c>
      <c r="N7561" s="27">
        <v>0</v>
      </c>
    </row>
    <row r="7562" spans="1:14" x14ac:dyDescent="0.15">
      <c r="A7562" s="23" t="str">
        <f>HYPERLINK("https://www.spark-marketing.ru/Card/Person/733309", "МБОУ СОШ С. СУСАДЫ-ЭБАЛАК")</f>
        <v>МБОУ СОШ С. СУСАДЫ-ЭБАЛАК</v>
      </c>
      <c r="B7562" s="24" t="s">
        <v>11255</v>
      </c>
      <c r="C7562" s="25">
        <v>573237</v>
      </c>
      <c r="D7562" s="22" t="s">
        <v>11256</v>
      </c>
      <c r="E7562" s="22" t="s">
        <v>48</v>
      </c>
      <c r="F7562" s="23" t="str">
        <f>HYPERLINK("https://www.spark-marketing.ru/Card/Lot/72768379", "Оказание услуг по организации горячего питания обучающихся")</f>
        <v>Оказание услуг по организации горячего питания обучающихся</v>
      </c>
      <c r="G7562" s="22" t="s">
        <v>145</v>
      </c>
      <c r="H7562" s="22" t="s">
        <v>10690</v>
      </c>
      <c r="I7562" s="26">
        <v>43690.723726851902</v>
      </c>
      <c r="J7562" s="23" t="str">
        <f>HYPERLINK("https://www.spark-marketing.ru/Card/Person/6275152", "ООО ""ЯНАУЛЬСКИЙ КДП""")</f>
        <v>ООО "ЯНАУЛЬСКИЙ КДП"</v>
      </c>
      <c r="K7562" s="24" t="s">
        <v>10674</v>
      </c>
      <c r="L7562" s="22" t="s">
        <v>10</v>
      </c>
      <c r="M7562" s="28" t="s">
        <v>51</v>
      </c>
      <c r="N7562" s="28" t="s">
        <v>51</v>
      </c>
    </row>
    <row r="7563" spans="1:14" x14ac:dyDescent="0.15">
      <c r="A7563" s="23" t="str">
        <f>HYPERLINK("https://www.spark-marketing.ru/Card/Person/59773", "ГУЗ ""ГБ № 7 Г.ТУЛЫ""")</f>
        <v>ГУЗ "ГБ № 7 Г.ТУЛЫ"</v>
      </c>
      <c r="B7563" s="24" t="s">
        <v>11257</v>
      </c>
      <c r="C7563" s="25">
        <v>732000</v>
      </c>
      <c r="D7563" s="22" t="s">
        <v>11258</v>
      </c>
      <c r="E7563" s="22" t="s">
        <v>48</v>
      </c>
      <c r="F7563" s="23" t="str">
        <f>HYPERLINK("https://www.spark-marketing.ru/Card/Lot/72768714", "Оказание услуг по организации питания")</f>
        <v>Оказание услуг по организации питания</v>
      </c>
      <c r="G7563" s="22" t="s">
        <v>68</v>
      </c>
      <c r="H7563" s="22" t="s">
        <v>69</v>
      </c>
      <c r="I7563" s="26">
        <v>43690.686874999999</v>
      </c>
      <c r="J7563" s="23" t="str">
        <f>HYPERLINK("https://www.spark-marketing.ru/Card/Person/51530", "ООО ""ЛЕГЕНДА""")</f>
        <v>ООО "ЛЕГЕНДА"</v>
      </c>
      <c r="K7563" s="24" t="s">
        <v>6869</v>
      </c>
      <c r="L7563" s="28" t="s">
        <v>51</v>
      </c>
      <c r="M7563" s="28" t="s">
        <v>51</v>
      </c>
      <c r="N7563" s="28" t="s">
        <v>51</v>
      </c>
    </row>
    <row r="7564" spans="1:14" ht="12.75" hidden="1" outlineLevel="1" x14ac:dyDescent="0.2">
      <c r="A7564" s="23" t="str">
        <f>HYPERLINK("https://www.spark-marketing.ru/Card/Person/59773", "ГУЗ ""ГБ № 7 Г.ТУЛЫ""")</f>
        <v>ГУЗ "ГБ № 7 Г.ТУЛЫ"</v>
      </c>
      <c r="B7564" s="24" t="s">
        <v>11257</v>
      </c>
      <c r="C7564" s="25">
        <v>732000</v>
      </c>
      <c r="D7564" s="22" t="s">
        <v>11258</v>
      </c>
      <c r="E7564" s="22" t="s">
        <v>48</v>
      </c>
      <c r="F7564" s="23" t="str">
        <f>HYPERLINK("https://www.spark-marketing.ru/Card/Lot/72768714", "Оказание услуг по организации питания")</f>
        <v>Оказание услуг по организации питания</v>
      </c>
      <c r="G7564" s="22" t="s">
        <v>68</v>
      </c>
      <c r="H7564" s="22" t="s">
        <v>69</v>
      </c>
      <c r="I7564" s="26">
        <v>43690.686874999999</v>
      </c>
      <c r="J7564" s="23" t="str">
        <f>HYPERLINK("https://www.spark-marketing.ru/Card/Person/51530", "ООО ""ЛЕГЕНДА""")</f>
        <v>ООО "ЛЕГЕНДА"</v>
      </c>
      <c r="K7564" s="24" t="s">
        <v>6869</v>
      </c>
      <c r="L7564" s="22" t="s">
        <v>10</v>
      </c>
      <c r="M7564" s="25">
        <v>728340</v>
      </c>
      <c r="N7564" s="27">
        <v>5.0000000000000001E-3</v>
      </c>
    </row>
    <row r="7565" spans="1:14" x14ac:dyDescent="0.15">
      <c r="A7565" s="23" t="str">
        <f>HYPERLINK("https://www.spark-marketing.ru/Card/Person/734049", "МБОУ НОШ С. ЗАЙЦЕВО")</f>
        <v>МБОУ НОШ С. ЗАЙЦЕВО</v>
      </c>
      <c r="B7565" s="24" t="s">
        <v>11259</v>
      </c>
      <c r="C7565" s="25">
        <v>96149.4</v>
      </c>
      <c r="D7565" s="22" t="s">
        <v>11260</v>
      </c>
      <c r="E7565" s="22" t="s">
        <v>48</v>
      </c>
      <c r="F7565" s="23" t="str">
        <f>HYPERLINK("https://www.spark-marketing.ru/Card/Lot/72765799", "Оказание услуг по организации горячего питания обучающихся и воспитанников дошкольной группы")</f>
        <v>Оказание услуг по организации горячего питания обучающихся и воспитанников дошкольной группы</v>
      </c>
      <c r="G7565" s="22" t="s">
        <v>145</v>
      </c>
      <c r="H7565" s="22" t="s">
        <v>10690</v>
      </c>
      <c r="I7565" s="26">
        <v>43690.707314814797</v>
      </c>
      <c r="J7565" s="28" t="s">
        <v>51</v>
      </c>
      <c r="K7565" s="28" t="s">
        <v>51</v>
      </c>
      <c r="L7565" s="28" t="s">
        <v>51</v>
      </c>
      <c r="M7565" s="28" t="s">
        <v>51</v>
      </c>
      <c r="N7565" s="28" t="s">
        <v>51</v>
      </c>
    </row>
    <row r="7566" spans="1:14" x14ac:dyDescent="0.15">
      <c r="A7566" s="23" t="str">
        <f>HYPERLINK("https://www.spark-marketing.ru/Card/Person/734044", "МБОУ ООШ С. ИСТЯК")</f>
        <v>МБОУ ООШ С. ИСТЯК</v>
      </c>
      <c r="B7566" s="24" t="s">
        <v>11261</v>
      </c>
      <c r="C7566" s="25">
        <v>980775</v>
      </c>
      <c r="D7566" s="22" t="s">
        <v>11262</v>
      </c>
      <c r="E7566" s="22" t="s">
        <v>48</v>
      </c>
      <c r="F7566" s="23" t="str">
        <f>HYPERLINK("https://www.spark-marketing.ru/Card/Lot/72767055", "Оказание услуг по организации горячего питания обучающихся")</f>
        <v>Оказание услуг по организации горячего питания обучающихся</v>
      </c>
      <c r="G7566" s="22" t="s">
        <v>145</v>
      </c>
      <c r="H7566" s="22" t="s">
        <v>10690</v>
      </c>
      <c r="I7566" s="26">
        <v>43690.500104166698</v>
      </c>
      <c r="J7566" s="23" t="str">
        <f>HYPERLINK("https://www.spark-marketing.ru/Card/Person/6275152", "ООО ""ЯНАУЛЬСКИЙ КДП""")</f>
        <v>ООО "ЯНАУЛЬСКИЙ КДП"</v>
      </c>
      <c r="K7566" s="24" t="s">
        <v>10674</v>
      </c>
      <c r="L7566" s="22" t="s">
        <v>10</v>
      </c>
      <c r="M7566" s="28" t="s">
        <v>51</v>
      </c>
      <c r="N7566" s="28" t="s">
        <v>51</v>
      </c>
    </row>
    <row r="7567" spans="1:14" x14ac:dyDescent="0.15">
      <c r="A7567" s="23" t="str">
        <f>HYPERLINK("https://www.spark-marketing.ru/Card/Person/135216", "ОМВД РОССИИ ПО МИРНИНСКОМУ РАЙОНУ")</f>
        <v>ОМВД РОССИИ ПО МИРНИНСКОМУ РАЙОНУ</v>
      </c>
      <c r="B7567" s="24" t="s">
        <v>5214</v>
      </c>
      <c r="C7567" s="25">
        <v>500000</v>
      </c>
      <c r="D7567" s="22" t="s">
        <v>11263</v>
      </c>
      <c r="E7567" s="22" t="s">
        <v>48</v>
      </c>
      <c r="F7567" s="23" t="str">
        <f>HYPERLINK("https://www.spark-marketing.ru/Card/Lot/72758436", "питание ИВС г. Удачный")</f>
        <v>питание ИВС г. Удачный</v>
      </c>
      <c r="G7567" s="22" t="s">
        <v>241</v>
      </c>
      <c r="H7567" s="22" t="s">
        <v>4987</v>
      </c>
      <c r="I7567" s="26">
        <v>43690.733287037001</v>
      </c>
      <c r="J7567" s="28" t="s">
        <v>51</v>
      </c>
      <c r="K7567" s="28" t="s">
        <v>51</v>
      </c>
      <c r="L7567" s="28" t="s">
        <v>51</v>
      </c>
      <c r="M7567" s="28" t="s">
        <v>51</v>
      </c>
      <c r="N7567" s="28" t="s">
        <v>51</v>
      </c>
    </row>
    <row r="7568" spans="1:14" x14ac:dyDescent="0.15">
      <c r="A7568" s="23" t="str">
        <f>HYPERLINK("https://www.spark-marketing.ru/Card/Person/60530", "МО МВД РОССИИ ""УСОЛЬСКИЙ""")</f>
        <v>МО МВД РОССИИ "УСОЛЬСКИЙ"</v>
      </c>
      <c r="B7568" s="24" t="s">
        <v>11264</v>
      </c>
      <c r="C7568" s="25">
        <v>1550000</v>
      </c>
      <c r="D7568" s="22" t="s">
        <v>11265</v>
      </c>
      <c r="E7568" s="22" t="s">
        <v>48</v>
      </c>
      <c r="F7568" s="23" t="str">
        <f>HYPERLINK("https://www.spark-marketing.ru/Card/Lot/72758794", "Прочая закупка товаров. работ. услуг (организация питания для лиц, содержащихся в ИВС и спец.приемнике)")</f>
        <v>Прочая закупка товаров. работ. услуг (организация питания для лиц, содержащихся в ИВС и спец.приемнике)</v>
      </c>
      <c r="G7568" s="22" t="s">
        <v>263</v>
      </c>
      <c r="H7568" s="22" t="s">
        <v>11266</v>
      </c>
      <c r="I7568" s="26">
        <v>43690.679629629602</v>
      </c>
      <c r="J7568" s="23" t="str">
        <f>HYPERLINK("https://www.spark-marketing.ru/Card/Person/85928", "ООО ""САНАТОРИЙ УСОЛЬЕ""")</f>
        <v>ООО "САНАТОРИЙ УСОЛЬЕ"</v>
      </c>
      <c r="K7568" s="24" t="s">
        <v>11267</v>
      </c>
      <c r="L7568" s="22" t="s">
        <v>10</v>
      </c>
      <c r="M7568" s="28" t="s">
        <v>51</v>
      </c>
      <c r="N7568" s="28" t="s">
        <v>51</v>
      </c>
    </row>
    <row r="7569" spans="1:14" x14ac:dyDescent="0.15">
      <c r="A7569" s="23" t="str">
        <f>HYPERLINK("https://www.spark-marketing.ru/Card/Person/60530", "МО МВД РОССИИ ""УСОЛЬСКИЙ""")</f>
        <v>МО МВД РОССИИ "УСОЛЬСКИЙ"</v>
      </c>
      <c r="B7569" s="24" t="s">
        <v>11264</v>
      </c>
      <c r="C7569" s="25">
        <v>1550000</v>
      </c>
      <c r="D7569" s="22" t="s">
        <v>11268</v>
      </c>
      <c r="E7569" s="22" t="s">
        <v>48</v>
      </c>
      <c r="F7569" s="23" t="str">
        <f>HYPERLINK("https://www.spark-marketing.ru/Card/Lot/72758799", "Прочая закупка товаров. работ. услуг (организация питания для лиц, содержащихся в ИВС и спец.приемнике)")</f>
        <v>Прочая закупка товаров. работ. услуг (организация питания для лиц, содержащихся в ИВС и спец.приемнике)</v>
      </c>
      <c r="G7569" s="22" t="s">
        <v>263</v>
      </c>
      <c r="H7569" s="22" t="s">
        <v>11266</v>
      </c>
      <c r="I7569" s="26">
        <v>43690.693090277797</v>
      </c>
      <c r="J7569" s="23" t="str">
        <f>HYPERLINK("https://www.spark-marketing.ru/Card/Person/85928", "ООО ""САНАТОРИЙ УСОЛЬЕ""")</f>
        <v>ООО "САНАТОРИЙ УСОЛЬЕ"</v>
      </c>
      <c r="K7569" s="24" t="s">
        <v>11267</v>
      </c>
      <c r="L7569" s="22" t="s">
        <v>10</v>
      </c>
      <c r="M7569" s="28" t="s">
        <v>51</v>
      </c>
      <c r="N7569" s="28" t="s">
        <v>51</v>
      </c>
    </row>
    <row r="7570" spans="1:14" x14ac:dyDescent="0.15">
      <c r="A7570" s="23" t="str">
        <f>HYPERLINK("https://www.spark-marketing.ru/Card/Person/4858914", "МБУ ""ММЦ ""РОДИНА""")</f>
        <v>МБУ "ММЦ "РОДИНА"</v>
      </c>
      <c r="B7570" s="24" t="s">
        <v>11269</v>
      </c>
      <c r="C7570" s="25">
        <v>123000</v>
      </c>
      <c r="D7570" s="22" t="s">
        <v>11270</v>
      </c>
      <c r="E7570" s="22" t="s">
        <v>1632</v>
      </c>
      <c r="F7570" s="23" t="str">
        <f>HYPERLINK("https://www.spark-marketing.ru/Card/Lot/72769131", "оказание услуг по организации проживания и питания в рамках открытого выездного слета студенческого актива «Активация» в загородном лагере")</f>
        <v>оказание услуг по организации проживания и питания в рамках открытого выездного слета студенческого актива «Активация» в загородном лагере</v>
      </c>
      <c r="G7570" s="22" t="s">
        <v>68</v>
      </c>
      <c r="H7570" s="22" t="s">
        <v>69</v>
      </c>
      <c r="I7570" s="26">
        <v>43690.637187499997</v>
      </c>
      <c r="J7570" s="28" t="s">
        <v>51</v>
      </c>
      <c r="K7570" s="28" t="s">
        <v>51</v>
      </c>
      <c r="L7570" s="28" t="s">
        <v>51</v>
      </c>
      <c r="M7570" s="28" t="s">
        <v>51</v>
      </c>
      <c r="N7570" s="28" t="s">
        <v>51</v>
      </c>
    </row>
    <row r="7571" spans="1:14" ht="12.75" hidden="1" outlineLevel="1" x14ac:dyDescent="0.2">
      <c r="A7571" s="23" t="str">
        <f>HYPERLINK("https://www.spark-marketing.ru/Card/Person/4858914", "МБУ ""ММЦ ""РОДИНА""")</f>
        <v>МБУ "ММЦ "РОДИНА"</v>
      </c>
      <c r="B7571" s="24" t="s">
        <v>11269</v>
      </c>
      <c r="C7571" s="25">
        <v>123000</v>
      </c>
      <c r="D7571" s="22" t="s">
        <v>11270</v>
      </c>
      <c r="E7571" s="22" t="s">
        <v>1632</v>
      </c>
      <c r="F7571" s="23" t="str">
        <f>HYPERLINK("https://www.spark-marketing.ru/Card/Lot/72769131", "оказание услуг по организации проживания и питания в рамках открытого выездного слета студенческого актива «Активация» в загородном лагере")</f>
        <v>оказание услуг по организации проживания и питания в рамках открытого выездного слета студенческого актива «Активация» в загородном лагере</v>
      </c>
      <c r="G7571" s="22" t="s">
        <v>68</v>
      </c>
      <c r="H7571" s="22" t="s">
        <v>69</v>
      </c>
      <c r="I7571" s="26">
        <v>43690.637187499997</v>
      </c>
      <c r="J7571" s="23" t="str">
        <f>HYPERLINK("https://www.spark-marketing.ru/Card/Person/85787", "ООО ""ПАНСИОНАТ С САНАТОРНО-КУРОРТНЫМ ЛЕЧЕНИЕМ ""ВЕЛЕГОЖ""")</f>
        <v>ООО "ПАНСИОНАТ С САНАТОРНО-КУРОРТНЫМ ЛЕЧЕНИЕМ "ВЕЛЕГОЖ"</v>
      </c>
      <c r="K7571" s="24" t="s">
        <v>11271</v>
      </c>
      <c r="L7571" s="22" t="s">
        <v>10</v>
      </c>
      <c r="M7571" s="25">
        <v>123000</v>
      </c>
      <c r="N7571" s="27">
        <v>0</v>
      </c>
    </row>
    <row r="7572" spans="1:14" hidden="1" outlineLevel="1" x14ac:dyDescent="0.2">
      <c r="A7572" s="23" t="str">
        <f>HYPERLINK("https://www.spark-marketing.ru/Card/Person/4858914", "МБУ ""ММЦ ""РОДИНА""")</f>
        <v>МБУ "ММЦ "РОДИНА"</v>
      </c>
      <c r="B7572" s="24" t="s">
        <v>11269</v>
      </c>
      <c r="C7572" s="25">
        <v>123000</v>
      </c>
      <c r="D7572" s="22" t="s">
        <v>11270</v>
      </c>
      <c r="E7572" s="22" t="s">
        <v>1632</v>
      </c>
      <c r="F7572" s="23" t="str">
        <f>HYPERLINK("https://www.spark-marketing.ru/Card/Lot/72769131", "оказание услуг по организации проживания и питания в рамках открытого выездного слета студенческого актива «Активация» в загородном лагере")</f>
        <v>оказание услуг по организации проживания и питания в рамках открытого выездного слета студенческого актива «Активация» в загородном лагере</v>
      </c>
      <c r="G7572" s="22" t="s">
        <v>68</v>
      </c>
      <c r="H7572" s="22" t="s">
        <v>69</v>
      </c>
      <c r="I7572" s="26">
        <v>43690.637187499997</v>
      </c>
      <c r="J7572" s="23" t="str">
        <f>HYPERLINK("https://www.spark-marketing.ru/Card/Person/530332", "РФ ""ЭКОРАЗВИТИЕ""")</f>
        <v>РФ "ЭКОРАЗВИТИЕ"</v>
      </c>
      <c r="K7572" s="24" t="s">
        <v>11272</v>
      </c>
      <c r="L7572" s="28" t="s">
        <v>51</v>
      </c>
      <c r="M7572" s="25">
        <v>123000</v>
      </c>
      <c r="N7572" s="27">
        <v>0</v>
      </c>
    </row>
    <row r="7573" spans="1:14" x14ac:dyDescent="0.15">
      <c r="A7573" s="23" t="str">
        <f>HYPERLINK("https://www.spark-marketing.ru/Card/Person/135216", "ОМВД РОССИИ ПО МИРНИНСКОМУ РАЙОНУ")</f>
        <v>ОМВД РОССИИ ПО МИРНИНСКОМУ РАЙОНУ</v>
      </c>
      <c r="B7573" s="24" t="s">
        <v>5214</v>
      </c>
      <c r="C7573" s="25">
        <v>500000</v>
      </c>
      <c r="D7573" s="22" t="s">
        <v>11273</v>
      </c>
      <c r="E7573" s="22" t="s">
        <v>48</v>
      </c>
      <c r="F7573" s="23" t="str">
        <f>HYPERLINK("https://www.spark-marketing.ru/Card/Lot/72758435", "питание ИВС г. Удачный")</f>
        <v>питание ИВС г. Удачный</v>
      </c>
      <c r="G7573" s="22" t="s">
        <v>241</v>
      </c>
      <c r="H7573" s="22" t="s">
        <v>4987</v>
      </c>
      <c r="I7573" s="26">
        <v>43690.729699074102</v>
      </c>
      <c r="J7573" s="23" t="str">
        <f>HYPERLINK("https://www.spark-marketing.ru/Card/Person/1754869", "АО ""АЛРОСА-ТОРГ""")</f>
        <v>АО "АЛРОСА-ТОРГ"</v>
      </c>
      <c r="K7573" s="24" t="s">
        <v>5216</v>
      </c>
      <c r="L7573" s="22" t="s">
        <v>10</v>
      </c>
      <c r="M7573" s="28" t="s">
        <v>51</v>
      </c>
      <c r="N7573" s="28" t="s">
        <v>51</v>
      </c>
    </row>
    <row r="7574" spans="1:14" x14ac:dyDescent="0.15">
      <c r="A7574" s="23" t="str">
        <f>HYPERLINK("https://www.spark-marketing.ru/Card/Person/91642", "ГБУК Г. МОСКВЫ ""ММК""")</f>
        <v>ГБУК Г. МОСКВЫ "ММК"</v>
      </c>
      <c r="B7574" s="24" t="s">
        <v>11274</v>
      </c>
      <c r="C7574" s="25">
        <v>749521.32</v>
      </c>
      <c r="D7574" s="22" t="s">
        <v>11275</v>
      </c>
      <c r="E7574" s="22" t="s">
        <v>756</v>
      </c>
      <c r="F7574" s="23" t="str">
        <f>HYPERLINK("https://www.spark-marketing.ru/Card/Lot/72768527", "Оказание услуг по эксплуатации и техническому обслуживанию противопожарных систем зданий и помещений ГБУК г. Москвы ""ММК""")</f>
        <v>Оказание услуг по эксплуатации и техническому обслуживанию противопожарных систем зданий и помещений ГБУК г. Москвы "ММК"</v>
      </c>
      <c r="G7574" s="22" t="s">
        <v>56</v>
      </c>
      <c r="H7574" s="22" t="s">
        <v>56</v>
      </c>
      <c r="I7574" s="26">
        <v>43690.712314814802</v>
      </c>
      <c r="J7574" s="28" t="s">
        <v>51</v>
      </c>
      <c r="K7574" s="28" t="s">
        <v>51</v>
      </c>
      <c r="L7574" s="28" t="s">
        <v>51</v>
      </c>
      <c r="M7574" s="28" t="s">
        <v>51</v>
      </c>
      <c r="N7574" s="28" t="s">
        <v>51</v>
      </c>
    </row>
    <row r="7575" spans="1:14" hidden="1" outlineLevel="1" x14ac:dyDescent="0.2">
      <c r="A7575" s="23" t="str">
        <f>HYPERLINK("https://www.spark-marketing.ru/Card/Person/91642", "ГБУК Г. МОСКВЫ ""ММК""")</f>
        <v>ГБУК Г. МОСКВЫ "ММК"</v>
      </c>
      <c r="B7575" s="24" t="s">
        <v>11274</v>
      </c>
      <c r="C7575" s="25">
        <v>749521.32</v>
      </c>
      <c r="D7575" s="22" t="s">
        <v>11275</v>
      </c>
      <c r="E7575" s="22" t="s">
        <v>756</v>
      </c>
      <c r="F7575" s="23" t="str">
        <f>HYPERLINK("https://www.spark-marketing.ru/Card/Lot/72768527", "Оказание услуг по эксплуатации и техническому обслуживанию противопожарных систем зданий и помещений ГБУК г. Москвы ""ММК""")</f>
        <v>Оказание услуг по эксплуатации и техническому обслуживанию противопожарных систем зданий и помещений ГБУК г. Москвы "ММК"</v>
      </c>
      <c r="G7575" s="22" t="s">
        <v>56</v>
      </c>
      <c r="H7575" s="22" t="s">
        <v>56</v>
      </c>
      <c r="I7575" s="26">
        <v>43690.712314814802</v>
      </c>
      <c r="J7575" s="23" t="str">
        <f>HYPERLINK("https://www.spark-marketing.ru/Card/Person/461358", "ООО ""СИБ""")</f>
        <v>ООО "СИБ"</v>
      </c>
      <c r="K7575" s="24" t="s">
        <v>11276</v>
      </c>
      <c r="L7575" s="28" t="s">
        <v>51</v>
      </c>
      <c r="M7575" s="25">
        <v>391757.9</v>
      </c>
      <c r="N7575" s="27">
        <v>0.47732253967105298</v>
      </c>
    </row>
    <row r="7576" spans="1:14" hidden="1" outlineLevel="1" x14ac:dyDescent="0.2">
      <c r="A7576" s="23" t="str">
        <f>HYPERLINK("https://www.spark-marketing.ru/Card/Person/91642", "ГБУК Г. МОСКВЫ ""ММК""")</f>
        <v>ГБУК Г. МОСКВЫ "ММК"</v>
      </c>
      <c r="B7576" s="24" t="s">
        <v>11274</v>
      </c>
      <c r="C7576" s="25">
        <v>749521.32</v>
      </c>
      <c r="D7576" s="22" t="s">
        <v>11275</v>
      </c>
      <c r="E7576" s="22" t="s">
        <v>756</v>
      </c>
      <c r="F7576" s="23" t="str">
        <f>HYPERLINK("https://www.spark-marketing.ru/Card/Lot/72768527", "Оказание услуг по эксплуатации и техническому обслуживанию противопожарных систем зданий и помещений ГБУК г. Москвы ""ММК""")</f>
        <v>Оказание услуг по эксплуатации и техническому обслуживанию противопожарных систем зданий и помещений ГБУК г. Москвы "ММК"</v>
      </c>
      <c r="G7576" s="22" t="s">
        <v>56</v>
      </c>
      <c r="H7576" s="22" t="s">
        <v>56</v>
      </c>
      <c r="I7576" s="26">
        <v>43690.712314814802</v>
      </c>
      <c r="J7576" s="23" t="str">
        <f>HYPERLINK("https://www.spark-marketing.ru/Card/Person/90710", "ООО ""СИГНАЛ-БЕЗОПАСНОСТЬ+""")</f>
        <v>ООО "СИГНАЛ-БЕЗОПАСНОСТЬ+"</v>
      </c>
      <c r="K7576" s="24" t="s">
        <v>11277</v>
      </c>
      <c r="L7576" s="28" t="s">
        <v>51</v>
      </c>
      <c r="M7576" s="25">
        <v>417991.17</v>
      </c>
      <c r="N7576" s="27">
        <v>0.44232250791745326</v>
      </c>
    </row>
    <row r="7577" spans="1:14" ht="12.75" hidden="1" outlineLevel="1" x14ac:dyDescent="0.2">
      <c r="A7577" s="23" t="str">
        <f>HYPERLINK("https://www.spark-marketing.ru/Card/Person/91642", "ГБУК Г. МОСКВЫ ""ММК""")</f>
        <v>ГБУК Г. МОСКВЫ "ММК"</v>
      </c>
      <c r="B7577" s="24" t="s">
        <v>11274</v>
      </c>
      <c r="C7577" s="25">
        <v>749521.32</v>
      </c>
      <c r="D7577" s="22" t="s">
        <v>11275</v>
      </c>
      <c r="E7577" s="22" t="s">
        <v>756</v>
      </c>
      <c r="F7577" s="23" t="str">
        <f>HYPERLINK("https://www.spark-marketing.ru/Card/Lot/72768527", "Оказание услуг по эксплуатации и техническому обслуживанию противопожарных систем зданий и помещений ГБУК г. Москвы ""ММК""")</f>
        <v>Оказание услуг по эксплуатации и техническому обслуживанию противопожарных систем зданий и помещений ГБУК г. Москвы "ММК"</v>
      </c>
      <c r="G7577" s="22" t="s">
        <v>56</v>
      </c>
      <c r="H7577" s="22" t="s">
        <v>56</v>
      </c>
      <c r="I7577" s="26">
        <v>43690.712314814802</v>
      </c>
      <c r="J7577" s="23" t="str">
        <f>HYPERLINK("https://www.spark-marketing.ru/Card/Person/5921742", "ООО ""КСБ""")</f>
        <v>ООО "КСБ"</v>
      </c>
      <c r="K7577" s="24" t="s">
        <v>7553</v>
      </c>
      <c r="L7577" s="22" t="s">
        <v>10</v>
      </c>
      <c r="M7577" s="25">
        <v>335543.75</v>
      </c>
      <c r="N7577" s="27">
        <v>0.55232260771448105</v>
      </c>
    </row>
    <row r="7578" spans="1:14" hidden="1" outlineLevel="1" x14ac:dyDescent="0.2">
      <c r="A7578" s="23" t="str">
        <f>HYPERLINK("https://www.spark-marketing.ru/Card/Person/91642", "ГБУК Г. МОСКВЫ ""ММК""")</f>
        <v>ГБУК Г. МОСКВЫ "ММК"</v>
      </c>
      <c r="B7578" s="24" t="s">
        <v>11274</v>
      </c>
      <c r="C7578" s="25">
        <v>749521.32</v>
      </c>
      <c r="D7578" s="22" t="s">
        <v>11275</v>
      </c>
      <c r="E7578" s="22" t="s">
        <v>756</v>
      </c>
      <c r="F7578" s="23" t="str">
        <f>HYPERLINK("https://www.spark-marketing.ru/Card/Lot/72768527", "Оказание услуг по эксплуатации и техническому обслуживанию противопожарных систем зданий и помещений ГБУК г. Москвы ""ММК""")</f>
        <v>Оказание услуг по эксплуатации и техническому обслуживанию противопожарных систем зданий и помещений ГБУК г. Москвы "ММК"</v>
      </c>
      <c r="G7578" s="22" t="s">
        <v>56</v>
      </c>
      <c r="H7578" s="22" t="s">
        <v>56</v>
      </c>
      <c r="I7578" s="26">
        <v>43690.712314814802</v>
      </c>
      <c r="J7578" s="23" t="str">
        <f>HYPERLINK("https://www.spark-marketing.ru/Card/Person/57586", "ООО НПК ""СЕКЬЮРИТИ ЦЕНТР С&amp;Т""")</f>
        <v>ООО НПК "СЕКЬЮРИТИ ЦЕНТР С&amp;Т"</v>
      </c>
      <c r="K7578" s="24" t="s">
        <v>11278</v>
      </c>
      <c r="L7578" s="28" t="s">
        <v>51</v>
      </c>
      <c r="M7578" s="25">
        <v>339291.36</v>
      </c>
      <c r="N7578" s="27">
        <v>0.54732260317825254</v>
      </c>
    </row>
    <row r="7579" spans="1:14" x14ac:dyDescent="0.15">
      <c r="A7579" s="23" t="str">
        <f>HYPERLINK("https://www.spark-marketing.ru/Card/Person/127605", "ГУП ""МОСКОВСКИЙ МЕТРОПОЛИТЕН""")</f>
        <v>ГУП "МОСКОВСКИЙ МЕТРОПОЛИТЕН"</v>
      </c>
      <c r="B7579" s="24" t="s">
        <v>4088</v>
      </c>
      <c r="C7579" s="25">
        <v>2336367.7200000002</v>
      </c>
      <c r="D7579" s="22" t="s">
        <v>11279</v>
      </c>
      <c r="E7579" s="22" t="s">
        <v>152</v>
      </c>
      <c r="F7579" s="23" t="str">
        <f>HYPERLINK("https://www.spark-marketing.ru/Card/Lot/72768507", "Оказание услуг по ремонту источников питания ИПП")</f>
        <v>Оказание услуг по ремонту источников питания ИПП</v>
      </c>
      <c r="G7579" s="22" t="s">
        <v>56</v>
      </c>
      <c r="H7579" s="22" t="s">
        <v>56</v>
      </c>
      <c r="I7579" s="26">
        <v>43690.709247685198</v>
      </c>
      <c r="J7579" s="28" t="s">
        <v>51</v>
      </c>
      <c r="K7579" s="28" t="s">
        <v>51</v>
      </c>
      <c r="L7579" s="28" t="s">
        <v>51</v>
      </c>
      <c r="M7579" s="28" t="s">
        <v>51</v>
      </c>
      <c r="N7579" s="28" t="s">
        <v>51</v>
      </c>
    </row>
    <row r="7580" spans="1:14" ht="12.75" hidden="1" outlineLevel="1" x14ac:dyDescent="0.2">
      <c r="A7580" s="23" t="str">
        <f>HYPERLINK("https://www.spark-marketing.ru/Card/Person/127605", "ГУП ""МОСКОВСКИЙ МЕТРОПОЛИТЕН""")</f>
        <v>ГУП "МОСКОВСКИЙ МЕТРОПОЛИТЕН"</v>
      </c>
      <c r="B7580" s="24" t="s">
        <v>4088</v>
      </c>
      <c r="C7580" s="25">
        <v>2336367.7200000002</v>
      </c>
      <c r="D7580" s="22" t="s">
        <v>11279</v>
      </c>
      <c r="E7580" s="22" t="s">
        <v>152</v>
      </c>
      <c r="F7580" s="23" t="str">
        <f>HYPERLINK("https://www.spark-marketing.ru/Card/Lot/72768507", "Оказание услуг по ремонту источников питания ИПП")</f>
        <v>Оказание услуг по ремонту источников питания ИПП</v>
      </c>
      <c r="G7580" s="22" t="s">
        <v>56</v>
      </c>
      <c r="H7580" s="22" t="s">
        <v>56</v>
      </c>
      <c r="I7580" s="26">
        <v>43690.709247685198</v>
      </c>
      <c r="J7580" s="23" t="str">
        <f>HYPERLINK("https://www.spark-marketing.ru/Card/Person/6447587", "ООО ""СЕАЛ""")</f>
        <v>ООО "СЕАЛ"</v>
      </c>
      <c r="K7580" s="24" t="s">
        <v>11280</v>
      </c>
      <c r="L7580" s="22" t="s">
        <v>10</v>
      </c>
      <c r="M7580" s="25">
        <v>2289638.16</v>
      </c>
      <c r="N7580" s="27">
        <v>2.0000944029478374E-2</v>
      </c>
    </row>
    <row r="7581" spans="1:14" hidden="1" outlineLevel="1" x14ac:dyDescent="0.2">
      <c r="A7581" s="23" t="str">
        <f>HYPERLINK("https://www.spark-marketing.ru/Card/Person/127605", "ГУП ""МОСКОВСКИЙ МЕТРОПОЛИТЕН""")</f>
        <v>ГУП "МОСКОВСКИЙ МЕТРОПОЛИТЕН"</v>
      </c>
      <c r="B7581" s="24" t="s">
        <v>4088</v>
      </c>
      <c r="C7581" s="25">
        <v>2336367.7200000002</v>
      </c>
      <c r="D7581" s="22" t="s">
        <v>11279</v>
      </c>
      <c r="E7581" s="22" t="s">
        <v>152</v>
      </c>
      <c r="F7581" s="23" t="str">
        <f>HYPERLINK("https://www.spark-marketing.ru/Card/Lot/72768507", "Оказание услуг по ремонту источников питания ИПП")</f>
        <v>Оказание услуг по ремонту источников питания ИПП</v>
      </c>
      <c r="G7581" s="22" t="s">
        <v>56</v>
      </c>
      <c r="H7581" s="22" t="s">
        <v>56</v>
      </c>
      <c r="I7581" s="26">
        <v>43690.709247685198</v>
      </c>
      <c r="J7581" s="23" t="str">
        <f>HYPERLINK("https://www.spark-marketing.ru/Card/Person/4310773", "ООО ""ЯУЗАМОТОРС-М""")</f>
        <v>ООО "ЯУЗАМОТОРС-М"</v>
      </c>
      <c r="K7581" s="24" t="s">
        <v>11281</v>
      </c>
      <c r="L7581" s="28" t="s">
        <v>51</v>
      </c>
      <c r="M7581" s="25">
        <v>2301319.9900000002</v>
      </c>
      <c r="N7581" s="27">
        <v>1.5000947710405792E-2</v>
      </c>
    </row>
    <row r="7582" spans="1:14" x14ac:dyDescent="0.15">
      <c r="A7582" s="23" t="str">
        <f>HYPERLINK("https://www.spark-marketing.ru/Card/Person/732898", "МБОУ СОШ С. ЯМАДЫ")</f>
        <v>МБОУ СОШ С. ЯМАДЫ</v>
      </c>
      <c r="B7582" s="24" t="s">
        <v>11282</v>
      </c>
      <c r="C7582" s="25">
        <v>1130418</v>
      </c>
      <c r="D7582" s="22" t="s">
        <v>11283</v>
      </c>
      <c r="E7582" s="22" t="s">
        <v>48</v>
      </c>
      <c r="F7582" s="23" t="str">
        <f>HYPERLINK("https://www.spark-marketing.ru/Card/Lot/72767048", "Оказание услуг по организации горячего питания обучающихся")</f>
        <v>Оказание услуг по организации горячего питания обучающихся</v>
      </c>
      <c r="G7582" s="22" t="s">
        <v>145</v>
      </c>
      <c r="H7582" s="22" t="s">
        <v>10690</v>
      </c>
      <c r="I7582" s="26">
        <v>43690.441666666702</v>
      </c>
      <c r="J7582" s="23" t="str">
        <f>HYPERLINK("https://www.spark-marketing.ru/Card/Person/6275152", "ООО ""ЯНАУЛЬСКИЙ КДП""")</f>
        <v>ООО "ЯНАУЛЬСКИЙ КДП"</v>
      </c>
      <c r="K7582" s="24" t="s">
        <v>10674</v>
      </c>
      <c r="L7582" s="22" t="s">
        <v>10</v>
      </c>
      <c r="M7582" s="28" t="s">
        <v>51</v>
      </c>
      <c r="N7582" s="28" t="s">
        <v>51</v>
      </c>
    </row>
    <row r="7583" spans="1:14" x14ac:dyDescent="0.15">
      <c r="A7583" s="23" t="s">
        <v>114</v>
      </c>
      <c r="B7583" s="28" t="s">
        <v>51</v>
      </c>
      <c r="C7583" s="25">
        <v>36785049.600000001</v>
      </c>
      <c r="D7583" s="22" t="s">
        <v>11284</v>
      </c>
      <c r="E7583" s="22" t="s">
        <v>48</v>
      </c>
      <c r="F7583" s="23" t="str">
        <f t="shared" ref="F7583:F7607" si="164">HYPERLINK("https://www.spark-marketing.ru/Card/Lot/72768838", "оказание услуг по организации сбалансированного питания воспитанников для нужд муниципальных бюджетных дошкольных образовательных учреждений")</f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83" s="22" t="s">
        <v>51</v>
      </c>
      <c r="H7583" s="22" t="s">
        <v>51</v>
      </c>
      <c r="I7583" s="26">
        <v>43690.681250000001</v>
      </c>
      <c r="J7583" s="28" t="s">
        <v>51</v>
      </c>
      <c r="K7583" s="28" t="s">
        <v>51</v>
      </c>
      <c r="L7583" s="28" t="s">
        <v>51</v>
      </c>
      <c r="M7583" s="28" t="s">
        <v>51</v>
      </c>
      <c r="N7583" s="28" t="s">
        <v>51</v>
      </c>
    </row>
    <row r="7584" spans="1:14" hidden="1" outlineLevel="1" x14ac:dyDescent="0.15">
      <c r="A7584" s="23" t="str">
        <f>HYPERLINK("https://www.spark-marketing.ru/Card/Person/48905", "МБДОУ ""ДЕТСКИЙ САД №10 ""МАЛЕНЬКИЙ ПРИНЦ""")</f>
        <v>МБДОУ "ДЕТСКИЙ САД №10 "МАЛЕНЬКИЙ ПРИНЦ"</v>
      </c>
      <c r="B7584" s="24" t="s">
        <v>9054</v>
      </c>
      <c r="C7584" s="25">
        <v>1916395.52</v>
      </c>
      <c r="D7584" s="22" t="s">
        <v>11284</v>
      </c>
      <c r="E7584" s="22" t="s">
        <v>48</v>
      </c>
      <c r="F7584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84" s="22" t="s">
        <v>217</v>
      </c>
      <c r="H7584" s="22" t="s">
        <v>1998</v>
      </c>
      <c r="I7584" s="26">
        <v>43690.681250000001</v>
      </c>
      <c r="J7584" s="28" t="s">
        <v>51</v>
      </c>
      <c r="K7584" s="28" t="s">
        <v>51</v>
      </c>
      <c r="L7584" s="28" t="s">
        <v>51</v>
      </c>
      <c r="M7584" s="28" t="s">
        <v>51</v>
      </c>
      <c r="N7584" s="28" t="s">
        <v>51</v>
      </c>
    </row>
    <row r="7585" spans="1:14" hidden="1" outlineLevel="1" x14ac:dyDescent="0.15">
      <c r="A7585" s="23" t="str">
        <f>HYPERLINK("https://www.spark-marketing.ru/Card/Person/50458", "МБДОУ ""ДЕТСКИЙ САД КОМБИНИРОВАННОГО ВИДА №12 ""ГУСЕЛЬКИ""")</f>
        <v>МБДОУ "ДЕТСКИЙ САД КОМБИНИРОВАННОГО ВИДА №12 "ГУСЕЛЬКИ"</v>
      </c>
      <c r="B7585" s="24" t="s">
        <v>9055</v>
      </c>
      <c r="C7585" s="25">
        <v>1737748.48</v>
      </c>
      <c r="D7585" s="22" t="s">
        <v>11284</v>
      </c>
      <c r="E7585" s="22" t="s">
        <v>48</v>
      </c>
      <c r="F7585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85" s="22" t="s">
        <v>217</v>
      </c>
      <c r="H7585" s="22" t="s">
        <v>1998</v>
      </c>
      <c r="I7585" s="26">
        <v>43690.681250000001</v>
      </c>
      <c r="J7585" s="28" t="s">
        <v>51</v>
      </c>
      <c r="K7585" s="28" t="s">
        <v>51</v>
      </c>
      <c r="L7585" s="28" t="s">
        <v>51</v>
      </c>
      <c r="M7585" s="28" t="s">
        <v>51</v>
      </c>
      <c r="N7585" s="28" t="s">
        <v>51</v>
      </c>
    </row>
    <row r="7586" spans="1:14" hidden="1" outlineLevel="1" x14ac:dyDescent="0.15">
      <c r="A7586" s="23" t="str">
        <f>HYPERLINK("https://www.spark-marketing.ru/Card/Person/89131", "МБДОУ ""ДЕТСКИЙ САД №3 ""ЭЛЛЮКИ""")</f>
        <v>МБДОУ "ДЕТСКИЙ САД №3 "ЭЛЛЮКИ"</v>
      </c>
      <c r="B7586" s="24" t="s">
        <v>11285</v>
      </c>
      <c r="C7586" s="25">
        <v>1956997.1200000001</v>
      </c>
      <c r="D7586" s="22" t="s">
        <v>11284</v>
      </c>
      <c r="E7586" s="22" t="s">
        <v>48</v>
      </c>
      <c r="F7586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86" s="22" t="s">
        <v>217</v>
      </c>
      <c r="H7586" s="22" t="s">
        <v>1998</v>
      </c>
      <c r="I7586" s="26">
        <v>43690.681250000001</v>
      </c>
      <c r="J7586" s="28" t="s">
        <v>51</v>
      </c>
      <c r="K7586" s="28" t="s">
        <v>51</v>
      </c>
      <c r="L7586" s="28" t="s">
        <v>51</v>
      </c>
      <c r="M7586" s="28" t="s">
        <v>51</v>
      </c>
      <c r="N7586" s="28" t="s">
        <v>51</v>
      </c>
    </row>
    <row r="7587" spans="1:14" hidden="1" outlineLevel="1" x14ac:dyDescent="0.15">
      <c r="A7587" s="23" t="str">
        <f>HYPERLINK("https://www.spark-marketing.ru/Card/Person/89195", "МБДОУ ""ДЕТСКИЙ САД КОМБИНИРОВАННОГО ВИДА №14 ""ЗЕРНЫШКО""")</f>
        <v>МБДОУ "ДЕТСКИЙ САД КОМБИНИРОВАННОГО ВИДА №14 "ЗЕРНЫШКО"</v>
      </c>
      <c r="B7587" s="24" t="s">
        <v>9061</v>
      </c>
      <c r="C7587" s="25">
        <v>1486018.5600000001</v>
      </c>
      <c r="D7587" s="22" t="s">
        <v>11284</v>
      </c>
      <c r="E7587" s="22" t="s">
        <v>48</v>
      </c>
      <c r="F7587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87" s="22" t="s">
        <v>217</v>
      </c>
      <c r="H7587" s="22" t="s">
        <v>1998</v>
      </c>
      <c r="I7587" s="26">
        <v>43690.681250000001</v>
      </c>
      <c r="J7587" s="28" t="s">
        <v>51</v>
      </c>
      <c r="K7587" s="28" t="s">
        <v>51</v>
      </c>
      <c r="L7587" s="28" t="s">
        <v>51</v>
      </c>
      <c r="M7587" s="28" t="s">
        <v>51</v>
      </c>
      <c r="N7587" s="28" t="s">
        <v>51</v>
      </c>
    </row>
    <row r="7588" spans="1:14" hidden="1" outlineLevel="1" x14ac:dyDescent="0.15">
      <c r="A7588" s="23" t="str">
        <f>HYPERLINK("https://www.spark-marketing.ru/Card/Person/89246", "МБДОУ ""ДЕТСКИЙ САД КОМБИНИРОВАННОГО ВИДА №4 ""ВЕСЕЛИНКА""")</f>
        <v>МБДОУ "ДЕТСКИЙ САД КОМБИНИРОВАННОГО ВИДА №4 "ВЕСЕЛИНКА"</v>
      </c>
      <c r="B7588" s="24" t="s">
        <v>11286</v>
      </c>
      <c r="C7588" s="25">
        <v>2078801.9199999999</v>
      </c>
      <c r="D7588" s="22" t="s">
        <v>11284</v>
      </c>
      <c r="E7588" s="22" t="s">
        <v>48</v>
      </c>
      <c r="F7588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88" s="22" t="s">
        <v>217</v>
      </c>
      <c r="H7588" s="22" t="s">
        <v>1998</v>
      </c>
      <c r="I7588" s="26">
        <v>43690.681250000001</v>
      </c>
      <c r="J7588" s="28" t="s">
        <v>51</v>
      </c>
      <c r="K7588" s="28" t="s">
        <v>51</v>
      </c>
      <c r="L7588" s="28" t="s">
        <v>51</v>
      </c>
      <c r="M7588" s="28" t="s">
        <v>51</v>
      </c>
      <c r="N7588" s="28" t="s">
        <v>51</v>
      </c>
    </row>
    <row r="7589" spans="1:14" hidden="1" outlineLevel="1" x14ac:dyDescent="0.15">
      <c r="A7589" s="23" t="str">
        <f>HYPERLINK("https://www.spark-marketing.ru/Card/Person/89440", "МБДОУ ""ДЕТСКИЙ САД №39 ""ВЕСЕЛЫЙ УЛЕЙ""")</f>
        <v>МБДОУ "ДЕТСКИЙ САД №39 "ВЕСЕЛЫЙ УЛЕЙ"</v>
      </c>
      <c r="B7589" s="24" t="s">
        <v>11287</v>
      </c>
      <c r="C7589" s="25">
        <v>1965117.4399999999</v>
      </c>
      <c r="D7589" s="22" t="s">
        <v>11284</v>
      </c>
      <c r="E7589" s="22" t="s">
        <v>48</v>
      </c>
      <c r="F7589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89" s="22" t="s">
        <v>217</v>
      </c>
      <c r="H7589" s="22" t="s">
        <v>1998</v>
      </c>
      <c r="I7589" s="26">
        <v>43690.681250000001</v>
      </c>
      <c r="J7589" s="28" t="s">
        <v>51</v>
      </c>
      <c r="K7589" s="28" t="s">
        <v>51</v>
      </c>
      <c r="L7589" s="28" t="s">
        <v>51</v>
      </c>
      <c r="M7589" s="28" t="s">
        <v>51</v>
      </c>
      <c r="N7589" s="28" t="s">
        <v>51</v>
      </c>
    </row>
    <row r="7590" spans="1:14" hidden="1" outlineLevel="1" x14ac:dyDescent="0.15">
      <c r="A7590" s="23" t="str">
        <f>HYPERLINK("https://www.spark-marketing.ru/Card/Person/89808", "МБДОУ ""ДЕТСКИЙ САД №28 ""СНЕЖИНКА""")</f>
        <v>МБДОУ "ДЕТСКИЙ САД №28 "СНЕЖИНКА"</v>
      </c>
      <c r="B7590" s="24" t="s">
        <v>9064</v>
      </c>
      <c r="C7590" s="25">
        <v>1518499.8400000001</v>
      </c>
      <c r="D7590" s="22" t="s">
        <v>11284</v>
      </c>
      <c r="E7590" s="22" t="s">
        <v>48</v>
      </c>
      <c r="F7590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90" s="22" t="s">
        <v>217</v>
      </c>
      <c r="H7590" s="22" t="s">
        <v>1998</v>
      </c>
      <c r="I7590" s="26">
        <v>43690.681250000001</v>
      </c>
      <c r="J7590" s="28" t="s">
        <v>51</v>
      </c>
      <c r="K7590" s="28" t="s">
        <v>51</v>
      </c>
      <c r="L7590" s="28" t="s">
        <v>51</v>
      </c>
      <c r="M7590" s="28" t="s">
        <v>51</v>
      </c>
      <c r="N7590" s="28" t="s">
        <v>51</v>
      </c>
    </row>
    <row r="7591" spans="1:14" hidden="1" outlineLevel="1" x14ac:dyDescent="0.15">
      <c r="A7591" s="23" t="str">
        <f>HYPERLINK("https://www.spark-marketing.ru/Card/Person/89819", "МБДОУ ""ДЕТСКИЙ САД №2 ""АЛСУ""")</f>
        <v>МБДОУ "ДЕТСКИЙ САД №2 "АЛСУ"</v>
      </c>
      <c r="B7591" s="24" t="s">
        <v>11288</v>
      </c>
      <c r="C7591" s="25">
        <v>2298050.5600000001</v>
      </c>
      <c r="D7591" s="22" t="s">
        <v>11284</v>
      </c>
      <c r="E7591" s="22" t="s">
        <v>48</v>
      </c>
      <c r="F7591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91" s="22" t="s">
        <v>217</v>
      </c>
      <c r="H7591" s="22" t="s">
        <v>1998</v>
      </c>
      <c r="I7591" s="26">
        <v>43690.681250000001</v>
      </c>
      <c r="J7591" s="28" t="s">
        <v>51</v>
      </c>
      <c r="K7591" s="28" t="s">
        <v>51</v>
      </c>
      <c r="L7591" s="28" t="s">
        <v>51</v>
      </c>
      <c r="M7591" s="28" t="s">
        <v>51</v>
      </c>
      <c r="N7591" s="28" t="s">
        <v>51</v>
      </c>
    </row>
    <row r="7592" spans="1:14" hidden="1" outlineLevel="1" x14ac:dyDescent="0.15">
      <c r="A7592" s="23" t="str">
        <f>HYPERLINK("https://www.spark-marketing.ru/Card/Person/89959", "МБДОУ ""ДЕТСКИЙ САД №30 ""БЕЛОЧКА""")</f>
        <v>МБДОУ "ДЕТСКИЙ САД №30 "БЕЛОЧКА"</v>
      </c>
      <c r="B7592" s="24" t="s">
        <v>11289</v>
      </c>
      <c r="C7592" s="25">
        <v>2306170.8799999999</v>
      </c>
      <c r="D7592" s="22" t="s">
        <v>11284</v>
      </c>
      <c r="E7592" s="22" t="s">
        <v>48</v>
      </c>
      <c r="F7592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92" s="22" t="s">
        <v>217</v>
      </c>
      <c r="H7592" s="22" t="s">
        <v>1998</v>
      </c>
      <c r="I7592" s="26">
        <v>43690.681250000001</v>
      </c>
      <c r="J7592" s="28" t="s">
        <v>51</v>
      </c>
      <c r="K7592" s="28" t="s">
        <v>51</v>
      </c>
      <c r="L7592" s="28" t="s">
        <v>51</v>
      </c>
      <c r="M7592" s="28" t="s">
        <v>51</v>
      </c>
      <c r="N7592" s="28" t="s">
        <v>51</v>
      </c>
    </row>
    <row r="7593" spans="1:14" hidden="1" outlineLevel="1" x14ac:dyDescent="0.15">
      <c r="A7593" s="23" t="str">
        <f>HYPERLINK("https://www.spark-marketing.ru/Card/Person/90299", "МБДОУ ""ДЕТСКИЙ САД КОМБИНИРОВАННОГО ВИДА №36 ""ЗОЛОТОЙ КЛЮЧИК""")</f>
        <v>МБДОУ "ДЕТСКИЙ САД КОМБИНИРОВАННОГО ВИДА №36 "ЗОЛОТОЙ КЛЮЧИК"</v>
      </c>
      <c r="B7593" s="24" t="s">
        <v>9068</v>
      </c>
      <c r="C7593" s="25">
        <v>1721507.8400000001</v>
      </c>
      <c r="D7593" s="22" t="s">
        <v>11284</v>
      </c>
      <c r="E7593" s="22" t="s">
        <v>48</v>
      </c>
      <c r="F7593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93" s="22" t="s">
        <v>217</v>
      </c>
      <c r="H7593" s="22" t="s">
        <v>1998</v>
      </c>
      <c r="I7593" s="26">
        <v>43690.681250000001</v>
      </c>
      <c r="J7593" s="28" t="s">
        <v>51</v>
      </c>
      <c r="K7593" s="28" t="s">
        <v>51</v>
      </c>
      <c r="L7593" s="28" t="s">
        <v>51</v>
      </c>
      <c r="M7593" s="28" t="s">
        <v>51</v>
      </c>
      <c r="N7593" s="28" t="s">
        <v>51</v>
      </c>
    </row>
    <row r="7594" spans="1:14" hidden="1" outlineLevel="1" x14ac:dyDescent="0.15">
      <c r="A7594" s="23" t="str">
        <f>HYPERLINK("https://www.spark-marketing.ru/Card/Person/90428", "МБДОУ ""ЦЕНТР РАЗВИТИЯ РЕБЕНКА-ДЕТСКИЙ САД №34 ""ЗОЛОТАЯ РЫБКА""")</f>
        <v>МБДОУ "ЦЕНТР РАЗВИТИЯ РЕБЕНКА-ДЕТСКИЙ САД №34 "ЗОЛОТАЯ РЫБКА"</v>
      </c>
      <c r="B7594" s="24" t="s">
        <v>11290</v>
      </c>
      <c r="C7594" s="25">
        <v>2013839.3600000001</v>
      </c>
      <c r="D7594" s="22" t="s">
        <v>11284</v>
      </c>
      <c r="E7594" s="22" t="s">
        <v>48</v>
      </c>
      <c r="F7594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94" s="22" t="s">
        <v>217</v>
      </c>
      <c r="H7594" s="22" t="s">
        <v>1998</v>
      </c>
      <c r="I7594" s="26">
        <v>43690.681250000001</v>
      </c>
      <c r="J7594" s="28" t="s">
        <v>51</v>
      </c>
      <c r="K7594" s="28" t="s">
        <v>51</v>
      </c>
      <c r="L7594" s="28" t="s">
        <v>51</v>
      </c>
      <c r="M7594" s="28" t="s">
        <v>51</v>
      </c>
      <c r="N7594" s="28" t="s">
        <v>51</v>
      </c>
    </row>
    <row r="7595" spans="1:14" hidden="1" outlineLevel="1" x14ac:dyDescent="0.15">
      <c r="A7595" s="23" t="str">
        <f>HYPERLINK("https://www.spark-marketing.ru/Card/Person/90855", "МБДОУ ""ДЕТСКИЙ САД ПРИСМОТРА И ОЗДОРОВЛЕНИЯ №38 ""АЛЕНЬКИЙ ЦВЕТОЧЕК""")</f>
        <v>МБДОУ "ДЕТСКИЙ САД ПРИСМОТРА И ОЗДОРОВЛЕНИЯ №38 "АЛЕНЬКИЙ ЦВЕТОЧЕК"</v>
      </c>
      <c r="B7595" s="24" t="s">
        <v>10882</v>
      </c>
      <c r="C7595" s="25">
        <v>625264.64000000001</v>
      </c>
      <c r="D7595" s="22" t="s">
        <v>11284</v>
      </c>
      <c r="E7595" s="22" t="s">
        <v>48</v>
      </c>
      <c r="F7595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95" s="22" t="s">
        <v>217</v>
      </c>
      <c r="H7595" s="22" t="s">
        <v>1998</v>
      </c>
      <c r="I7595" s="26">
        <v>43690.681250000001</v>
      </c>
      <c r="J7595" s="28" t="s">
        <v>51</v>
      </c>
      <c r="K7595" s="28" t="s">
        <v>51</v>
      </c>
      <c r="L7595" s="28" t="s">
        <v>51</v>
      </c>
      <c r="M7595" s="28" t="s">
        <v>51</v>
      </c>
      <c r="N7595" s="28" t="s">
        <v>51</v>
      </c>
    </row>
    <row r="7596" spans="1:14" hidden="1" outlineLevel="1" x14ac:dyDescent="0.15">
      <c r="A7596" s="23" t="str">
        <f>HYPERLINK("https://www.spark-marketing.ru/Card/Person/90976", "МБДОУ ""ДЕТСКИЙ САД КОМБИНИРОВАННОГО ВИДА №18 ""СОЛНЫШКО""")</f>
        <v>МБДОУ "ДЕТСКИЙ САД КОМБИНИРОВАННОГО ВИДА №18 "СОЛНЫШКО"</v>
      </c>
      <c r="B7596" s="24" t="s">
        <v>9073</v>
      </c>
      <c r="C7596" s="25">
        <v>1372334.0800000001</v>
      </c>
      <c r="D7596" s="22" t="s">
        <v>11284</v>
      </c>
      <c r="E7596" s="22" t="s">
        <v>48</v>
      </c>
      <c r="F7596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96" s="22" t="s">
        <v>217</v>
      </c>
      <c r="H7596" s="22" t="s">
        <v>1998</v>
      </c>
      <c r="I7596" s="26">
        <v>43690.681250000001</v>
      </c>
      <c r="J7596" s="28" t="s">
        <v>51</v>
      </c>
      <c r="K7596" s="28" t="s">
        <v>51</v>
      </c>
      <c r="L7596" s="28" t="s">
        <v>51</v>
      </c>
      <c r="M7596" s="28" t="s">
        <v>51</v>
      </c>
      <c r="N7596" s="28" t="s">
        <v>51</v>
      </c>
    </row>
    <row r="7597" spans="1:14" hidden="1" outlineLevel="1" x14ac:dyDescent="0.15">
      <c r="A7597" s="23" t="str">
        <f>HYPERLINK("https://www.spark-marketing.ru/Card/Person/90993", "МБДОУ ""ДЕТСКИЙ САД КОМПЕНСИРУЮЩЕГО ВИДА №8 ""ЗОРЕНЬКА""")</f>
        <v>МБДОУ "ДЕТСКИЙ САД КОМПЕНСИРУЮЩЕГО ВИДА №8 "ЗОРЕНЬКА"</v>
      </c>
      <c r="B7597" s="24" t="s">
        <v>11291</v>
      </c>
      <c r="C7597" s="25">
        <v>1315491.8400000001</v>
      </c>
      <c r="D7597" s="22" t="s">
        <v>11284</v>
      </c>
      <c r="E7597" s="22" t="s">
        <v>48</v>
      </c>
      <c r="F7597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97" s="22" t="s">
        <v>217</v>
      </c>
      <c r="H7597" s="22" t="s">
        <v>1998</v>
      </c>
      <c r="I7597" s="26">
        <v>43690.681250000001</v>
      </c>
      <c r="J7597" s="28" t="s">
        <v>51</v>
      </c>
      <c r="K7597" s="28" t="s">
        <v>51</v>
      </c>
      <c r="L7597" s="28" t="s">
        <v>51</v>
      </c>
      <c r="M7597" s="28" t="s">
        <v>51</v>
      </c>
      <c r="N7597" s="28" t="s">
        <v>51</v>
      </c>
    </row>
    <row r="7598" spans="1:14" hidden="1" outlineLevel="1" x14ac:dyDescent="0.15">
      <c r="A7598" s="23" t="str">
        <f>HYPERLINK("https://www.spark-marketing.ru/Card/Person/91076", "МБДОУ ""ДЕТСКИЙ САД КОМБИНИРОВАННОГО ВИДА №17 ""ЛЕСНАЯ СКАЗКА""")</f>
        <v>МБДОУ "ДЕТСКИЙ САД КОМБИНИРОВАННОГО ВИДА №17 "ЛЕСНАЯ СКАЗКА"</v>
      </c>
      <c r="B7598" s="24" t="s">
        <v>11292</v>
      </c>
      <c r="C7598" s="25">
        <v>1445416.96</v>
      </c>
      <c r="D7598" s="22" t="s">
        <v>11284</v>
      </c>
      <c r="E7598" s="22" t="s">
        <v>48</v>
      </c>
      <c r="F7598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98" s="22" t="s">
        <v>217</v>
      </c>
      <c r="H7598" s="22" t="s">
        <v>1998</v>
      </c>
      <c r="I7598" s="26">
        <v>43690.681250000001</v>
      </c>
      <c r="J7598" s="28" t="s">
        <v>51</v>
      </c>
      <c r="K7598" s="28" t="s">
        <v>51</v>
      </c>
      <c r="L7598" s="28" t="s">
        <v>51</v>
      </c>
      <c r="M7598" s="28" t="s">
        <v>51</v>
      </c>
      <c r="N7598" s="28" t="s">
        <v>51</v>
      </c>
    </row>
    <row r="7599" spans="1:14" hidden="1" outlineLevel="1" x14ac:dyDescent="0.15">
      <c r="A7599" s="23" t="str">
        <f>HYPERLINK("https://www.spark-marketing.ru/Card/Person/91099", "МБДОУ ""ДЕТСКИЙ САД ПРИСМОТРА И ОЗДОРОВЛЕНИЯ №24 ""БУРАТИНО""")</f>
        <v>МБДОУ "ДЕТСКИЙ САД ПРИСМОТРА И ОЗДОРОВЛЕНИЯ №24 "БУРАТИНО"</v>
      </c>
      <c r="B7599" s="24" t="s">
        <v>11293</v>
      </c>
      <c r="C7599" s="25">
        <v>665866.23999999999</v>
      </c>
      <c r="D7599" s="22" t="s">
        <v>11284</v>
      </c>
      <c r="E7599" s="22" t="s">
        <v>48</v>
      </c>
      <c r="F7599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599" s="22" t="s">
        <v>217</v>
      </c>
      <c r="H7599" s="22" t="s">
        <v>1998</v>
      </c>
      <c r="I7599" s="26">
        <v>43690.681250000001</v>
      </c>
      <c r="J7599" s="28" t="s">
        <v>51</v>
      </c>
      <c r="K7599" s="28" t="s">
        <v>51</v>
      </c>
      <c r="L7599" s="28" t="s">
        <v>51</v>
      </c>
      <c r="M7599" s="28" t="s">
        <v>51</v>
      </c>
      <c r="N7599" s="28" t="s">
        <v>51</v>
      </c>
    </row>
    <row r="7600" spans="1:14" hidden="1" outlineLevel="1" x14ac:dyDescent="0.15">
      <c r="A7600" s="23" t="str">
        <f>HYPERLINK("https://www.spark-marketing.ru/Card/Person/91101", "МБДОУ ""ДЕТСКИЙ САД ПРИСМОТРА И ОЗДОРОВЛЕНИЯ №22 ""КОЛОКОЛЬЧИК""")</f>
        <v>МБДОУ "ДЕТСКИЙ САД ПРИСМОТРА И ОЗДОРОВЛЕНИЯ №22 "КОЛОКОЛЬЧИК"</v>
      </c>
      <c r="B7600" s="24" t="s">
        <v>11294</v>
      </c>
      <c r="C7600" s="25">
        <v>1591582.72</v>
      </c>
      <c r="D7600" s="22" t="s">
        <v>11284</v>
      </c>
      <c r="E7600" s="22" t="s">
        <v>48</v>
      </c>
      <c r="F7600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600" s="22" t="s">
        <v>217</v>
      </c>
      <c r="H7600" s="22" t="s">
        <v>1998</v>
      </c>
      <c r="I7600" s="26">
        <v>43690.681250000001</v>
      </c>
      <c r="J7600" s="28" t="s">
        <v>51</v>
      </c>
      <c r="K7600" s="28" t="s">
        <v>51</v>
      </c>
      <c r="L7600" s="28" t="s">
        <v>51</v>
      </c>
      <c r="M7600" s="28" t="s">
        <v>51</v>
      </c>
      <c r="N7600" s="28" t="s">
        <v>51</v>
      </c>
    </row>
    <row r="7601" spans="1:14" hidden="1" outlineLevel="1" x14ac:dyDescent="0.15">
      <c r="A7601" s="23" t="str">
        <f>HYPERLINK("https://www.spark-marketing.ru/Card/Person/91269", "МБДОУ ""ДЕТСКИЙ САД №27 ""РОСИНКА""")</f>
        <v>МБДОУ "ДЕТСКИЙ САД №27 "РОСИНКА"</v>
      </c>
      <c r="B7601" s="24" t="s">
        <v>9074</v>
      </c>
      <c r="C7601" s="25">
        <v>1680906.24</v>
      </c>
      <c r="D7601" s="22" t="s">
        <v>11284</v>
      </c>
      <c r="E7601" s="22" t="s">
        <v>48</v>
      </c>
      <c r="F7601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601" s="22" t="s">
        <v>217</v>
      </c>
      <c r="H7601" s="22" t="s">
        <v>1998</v>
      </c>
      <c r="I7601" s="26">
        <v>43690.681250000001</v>
      </c>
      <c r="J7601" s="28" t="s">
        <v>51</v>
      </c>
      <c r="K7601" s="28" t="s">
        <v>51</v>
      </c>
      <c r="L7601" s="28" t="s">
        <v>51</v>
      </c>
      <c r="M7601" s="28" t="s">
        <v>51</v>
      </c>
      <c r="N7601" s="28" t="s">
        <v>51</v>
      </c>
    </row>
    <row r="7602" spans="1:14" hidden="1" outlineLevel="1" x14ac:dyDescent="0.15">
      <c r="A7602" s="23" t="str">
        <f>HYPERLINK("https://www.spark-marketing.ru/Card/Person/91337", "МБДОУ ""ДЕТСКИЙ САД №19 ""АЛЕНКА""")</f>
        <v>МБДОУ "ДЕТСКИЙ САД №19 "АЛЕНКА"</v>
      </c>
      <c r="B7602" s="24" t="s">
        <v>11295</v>
      </c>
      <c r="C7602" s="25">
        <v>1956997.1200000001</v>
      </c>
      <c r="D7602" s="22" t="s">
        <v>11284</v>
      </c>
      <c r="E7602" s="22" t="s">
        <v>48</v>
      </c>
      <c r="F7602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602" s="22" t="s">
        <v>217</v>
      </c>
      <c r="H7602" s="22" t="s">
        <v>1998</v>
      </c>
      <c r="I7602" s="26">
        <v>43690.681250000001</v>
      </c>
      <c r="J7602" s="28" t="s">
        <v>51</v>
      </c>
      <c r="K7602" s="28" t="s">
        <v>51</v>
      </c>
      <c r="L7602" s="28" t="s">
        <v>51</v>
      </c>
      <c r="M7602" s="28" t="s">
        <v>51</v>
      </c>
      <c r="N7602" s="28" t="s">
        <v>51</v>
      </c>
    </row>
    <row r="7603" spans="1:14" hidden="1" outlineLevel="1" x14ac:dyDescent="0.15">
      <c r="A7603" s="23" t="str">
        <f>HYPERLINK("https://www.spark-marketing.ru/Card/Person/91368", "МБДОУ ""ДЕТСКИЙ САД №25 ""СКАЗКА""")</f>
        <v>МБДОУ "ДЕТСКИЙ САД №25 "СКАЗКА"</v>
      </c>
      <c r="B7603" s="24" t="s">
        <v>11296</v>
      </c>
      <c r="C7603" s="25">
        <v>1745868.8</v>
      </c>
      <c r="D7603" s="22" t="s">
        <v>11284</v>
      </c>
      <c r="E7603" s="22" t="s">
        <v>48</v>
      </c>
      <c r="F7603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603" s="22" t="s">
        <v>217</v>
      </c>
      <c r="H7603" s="22" t="s">
        <v>1998</v>
      </c>
      <c r="I7603" s="26">
        <v>43690.681250000001</v>
      </c>
      <c r="J7603" s="28" t="s">
        <v>51</v>
      </c>
      <c r="K7603" s="28" t="s">
        <v>51</v>
      </c>
      <c r="L7603" s="28" t="s">
        <v>51</v>
      </c>
      <c r="M7603" s="28" t="s">
        <v>51</v>
      </c>
      <c r="N7603" s="28" t="s">
        <v>51</v>
      </c>
    </row>
    <row r="7604" spans="1:14" hidden="1" outlineLevel="1" x14ac:dyDescent="0.15">
      <c r="A7604" s="23" t="str">
        <f>HYPERLINK("https://www.spark-marketing.ru/Card/Person/93011", "МБДОУ ""ДЕТСКИЙ САД №7 ""РЯБИНУШКА""")</f>
        <v>МБДОУ "ДЕТСКИЙ САД №7 "РЯБИНУШКА"</v>
      </c>
      <c r="B7604" s="24" t="s">
        <v>9075</v>
      </c>
      <c r="C7604" s="25">
        <v>1762109.4399999999</v>
      </c>
      <c r="D7604" s="22" t="s">
        <v>11284</v>
      </c>
      <c r="E7604" s="22" t="s">
        <v>48</v>
      </c>
      <c r="F7604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604" s="22" t="s">
        <v>217</v>
      </c>
      <c r="H7604" s="22" t="s">
        <v>1998</v>
      </c>
      <c r="I7604" s="26">
        <v>43690.681250000001</v>
      </c>
      <c r="J7604" s="28" t="s">
        <v>51</v>
      </c>
      <c r="K7604" s="28" t="s">
        <v>51</v>
      </c>
      <c r="L7604" s="28" t="s">
        <v>51</v>
      </c>
      <c r="M7604" s="28" t="s">
        <v>51</v>
      </c>
      <c r="N7604" s="28" t="s">
        <v>51</v>
      </c>
    </row>
    <row r="7605" spans="1:14" hidden="1" outlineLevel="1" x14ac:dyDescent="0.15">
      <c r="A7605" s="23" t="str">
        <f>HYPERLINK("https://www.spark-marketing.ru/Card/Person/94095", "МБДОУ ""ЦЕНТР РАЗВИТИЯ РЕБЕНКА - ДЕТСКИЙ САД №21 ""РАДОСТЬ""")</f>
        <v>МБДОУ "ЦЕНТР РАЗВИТИЯ РЕБЕНКА - ДЕТСКИЙ САД №21 "РАДОСТЬ"</v>
      </c>
      <c r="B7605" s="24" t="s">
        <v>11297</v>
      </c>
      <c r="C7605" s="25">
        <v>1624064</v>
      </c>
      <c r="D7605" s="22" t="s">
        <v>11284</v>
      </c>
      <c r="E7605" s="22" t="s">
        <v>48</v>
      </c>
      <c r="F7605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605" s="22" t="s">
        <v>217</v>
      </c>
      <c r="H7605" s="22" t="s">
        <v>1998</v>
      </c>
      <c r="I7605" s="26">
        <v>43690.681250000001</v>
      </c>
      <c r="J7605" s="28" t="s">
        <v>51</v>
      </c>
      <c r="K7605" s="28" t="s">
        <v>51</v>
      </c>
      <c r="L7605" s="28" t="s">
        <v>51</v>
      </c>
      <c r="M7605" s="28" t="s">
        <v>51</v>
      </c>
      <c r="N7605" s="28" t="s">
        <v>51</v>
      </c>
    </row>
    <row r="7606" spans="1:14" hidden="1" outlineLevel="1" x14ac:dyDescent="0.2">
      <c r="A7606" s="28" t="s">
        <v>51</v>
      </c>
      <c r="B7606" s="28" t="s">
        <v>51</v>
      </c>
      <c r="C7606" s="28" t="s">
        <v>51</v>
      </c>
      <c r="D7606" s="22" t="s">
        <v>11284</v>
      </c>
      <c r="E7606" s="22" t="s">
        <v>48</v>
      </c>
      <c r="F7606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606" s="22" t="s">
        <v>51</v>
      </c>
      <c r="H7606" s="22" t="s">
        <v>51</v>
      </c>
      <c r="I7606" s="26">
        <v>43690.681250000001</v>
      </c>
      <c r="J7606" s="23" t="str">
        <f>HYPERLINK("https://www.spark-marketing.ru/Card/Person/87385", "ООО ""ШКОЛЬНОЕ ПИТАНИЕ""")</f>
        <v>ООО "ШКОЛЬНОЕ ПИТАНИЕ"</v>
      </c>
      <c r="K7606" s="24" t="s">
        <v>6356</v>
      </c>
      <c r="L7606" s="22" t="s">
        <v>10</v>
      </c>
      <c r="M7606" s="25">
        <v>36785049.600000001</v>
      </c>
      <c r="N7606" s="27">
        <v>0</v>
      </c>
    </row>
    <row r="7607" spans="1:14" hidden="1" outlineLevel="1" x14ac:dyDescent="0.2">
      <c r="A7607" s="28" t="s">
        <v>51</v>
      </c>
      <c r="B7607" s="28" t="s">
        <v>51</v>
      </c>
      <c r="C7607" s="28" t="s">
        <v>51</v>
      </c>
      <c r="D7607" s="22" t="s">
        <v>11284</v>
      </c>
      <c r="E7607" s="22" t="s">
        <v>48</v>
      </c>
      <c r="F7607" s="23" t="str">
        <f t="shared" si="16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7607" s="22" t="s">
        <v>51</v>
      </c>
      <c r="H7607" s="22" t="s">
        <v>51</v>
      </c>
      <c r="I7607" s="26">
        <v>43690.681250000001</v>
      </c>
      <c r="J7607" s="23" t="str">
        <f>HYPERLINK("https://www.spark-marketing.ru/Card/Person/300377", "ООО ""ТУЙМАЗЫ-ФРУКТ""")</f>
        <v>ООО "ТУЙМАЗЫ-ФРУКТ"</v>
      </c>
      <c r="K7607" s="24" t="s">
        <v>9052</v>
      </c>
      <c r="L7607" s="28" t="s">
        <v>51</v>
      </c>
      <c r="M7607" s="25">
        <v>36785049.600000001</v>
      </c>
      <c r="N7607" s="27">
        <v>0</v>
      </c>
    </row>
    <row r="7608" spans="1:14" x14ac:dyDescent="0.15">
      <c r="A7608" s="23" t="str">
        <f>HYPERLINK("https://www.spark-marketing.ru/Card/Person/7441", "ГБУ ""АВТОМОБИЛЬНЫЕ ДОРОГИ""")</f>
        <v>ГБУ "АВТОМОБИЛЬНЫЕ ДОРОГИ"</v>
      </c>
      <c r="B7608" s="24" t="s">
        <v>11298</v>
      </c>
      <c r="C7608" s="25">
        <v>27570231.649999999</v>
      </c>
      <c r="D7608" s="22" t="s">
        <v>11299</v>
      </c>
      <c r="E7608" s="22" t="s">
        <v>11300</v>
      </c>
      <c r="F7608" s="23" t="str">
        <f>HYPERLINK("https://www.spark-marketing.ru/Card/Lot/72770491", "Запрос предложений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""Автомобильные дороги""")</f>
        <v>Запрос предложений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"Автомобильные дороги"</v>
      </c>
      <c r="G7608" s="22" t="s">
        <v>56</v>
      </c>
      <c r="H7608" s="22" t="s">
        <v>56</v>
      </c>
      <c r="I7608" s="26">
        <v>43690.667361111096</v>
      </c>
      <c r="J7608" s="28" t="s">
        <v>51</v>
      </c>
      <c r="K7608" s="28" t="s">
        <v>51</v>
      </c>
      <c r="L7608" s="28" t="s">
        <v>51</v>
      </c>
      <c r="M7608" s="28" t="s">
        <v>51</v>
      </c>
      <c r="N7608" s="28" t="s">
        <v>51</v>
      </c>
    </row>
    <row r="7609" spans="1:14" hidden="1" outlineLevel="1" x14ac:dyDescent="0.15">
      <c r="A7609" s="23" t="str">
        <f>HYPERLINK("https://www.spark-marketing.ru/Card/Person/7441", "ГБУ ""АВТОМОБИЛЬНЫЕ ДОРОГИ""")</f>
        <v>ГБУ "АВТОМОБИЛЬНЫЕ ДОРОГИ"</v>
      </c>
      <c r="B7609" s="24" t="s">
        <v>11298</v>
      </c>
      <c r="C7609" s="25">
        <v>27570231.649999999</v>
      </c>
      <c r="D7609" s="22" t="s">
        <v>11299</v>
      </c>
      <c r="E7609" s="22" t="s">
        <v>11300</v>
      </c>
      <c r="F7609" s="23" t="str">
        <f>HYPERLINK("https://www.spark-marketing.ru/Card/Lot/72770491", "Запрос предложений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""Автомобильные дороги""")</f>
        <v>Запрос предложений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"Автомобильные дороги"</v>
      </c>
      <c r="G7609" s="22" t="s">
        <v>56</v>
      </c>
      <c r="H7609" s="22" t="s">
        <v>56</v>
      </c>
      <c r="I7609" s="26">
        <v>43690.667361111096</v>
      </c>
      <c r="J7609" s="23" t="str">
        <f>HYPERLINK("https://www.spark-marketing.ru/Card/Person/19703", "ООО ""АЗК СТРОЙ ГРУПП""")</f>
        <v>ООО "АЗК СТРОЙ ГРУПП"</v>
      </c>
      <c r="K7609" s="24" t="s">
        <v>11301</v>
      </c>
      <c r="L7609" s="28" t="s">
        <v>51</v>
      </c>
      <c r="M7609" s="28" t="s">
        <v>51</v>
      </c>
      <c r="N7609" s="28" t="s">
        <v>51</v>
      </c>
    </row>
    <row r="7610" spans="1:14" hidden="1" outlineLevel="1" x14ac:dyDescent="0.15">
      <c r="A7610" s="23" t="str">
        <f>HYPERLINK("https://www.spark-marketing.ru/Card/Person/7441", "ГБУ ""АВТОМОБИЛЬНЫЕ ДОРОГИ""")</f>
        <v>ГБУ "АВТОМОБИЛЬНЫЕ ДОРОГИ"</v>
      </c>
      <c r="B7610" s="24" t="s">
        <v>11298</v>
      </c>
      <c r="C7610" s="25">
        <v>27570231.649999999</v>
      </c>
      <c r="D7610" s="22" t="s">
        <v>11299</v>
      </c>
      <c r="E7610" s="22" t="s">
        <v>11300</v>
      </c>
      <c r="F7610" s="23" t="str">
        <f>HYPERLINK("https://www.spark-marketing.ru/Card/Lot/72770491", "Запрос предложений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""Автомобильные дороги""")</f>
        <v>Запрос предложений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"Автомобильные дороги"</v>
      </c>
      <c r="G7610" s="22" t="s">
        <v>56</v>
      </c>
      <c r="H7610" s="22" t="s">
        <v>56</v>
      </c>
      <c r="I7610" s="26">
        <v>43690.667361111096</v>
      </c>
      <c r="J7610" s="23" t="str">
        <f>HYPERLINK("https://www.spark-marketing.ru/Card/Person/6049565", "ООО ""КОМСТРОЙ""")</f>
        <v>ООО "КОМСТРОЙ"</v>
      </c>
      <c r="K7610" s="24" t="s">
        <v>11302</v>
      </c>
      <c r="L7610" s="28" t="s">
        <v>51</v>
      </c>
      <c r="M7610" s="28" t="s">
        <v>51</v>
      </c>
      <c r="N7610" s="28" t="s">
        <v>51</v>
      </c>
    </row>
    <row r="7611" spans="1:14" hidden="1" outlineLevel="1" x14ac:dyDescent="0.2">
      <c r="A7611" s="23" t="str">
        <f>HYPERLINK("https://www.spark-marketing.ru/Card/Person/7441", "ГБУ ""АВТОМОБИЛЬНЫЕ ДОРОГИ""")</f>
        <v>ГБУ "АВТОМОБИЛЬНЫЕ ДОРОГИ"</v>
      </c>
      <c r="B7611" s="24" t="s">
        <v>11298</v>
      </c>
      <c r="C7611" s="25">
        <v>27570231.649999999</v>
      </c>
      <c r="D7611" s="22" t="s">
        <v>11299</v>
      </c>
      <c r="E7611" s="22" t="s">
        <v>11300</v>
      </c>
      <c r="F7611" s="23" t="str">
        <f>HYPERLINK("https://www.spark-marketing.ru/Card/Lot/72770491", "Запрос предложений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""Автомобильные дороги""")</f>
        <v>Запрос предложений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"Автомобильные дороги"</v>
      </c>
      <c r="G7611" s="22" t="s">
        <v>56</v>
      </c>
      <c r="H7611" s="22" t="s">
        <v>56</v>
      </c>
      <c r="I7611" s="26">
        <v>43690.667361111096</v>
      </c>
      <c r="J7611" s="23" t="str">
        <f>HYPERLINK("https://www.spark-marketing.ru/Card/Person/1638983", "РОУ ""МОСКОВСКАЯ ДОБРОВОЛЬНАЯ ПОЖАРНАЯ КОМАНДА ""СПМ-01""")</f>
        <v>РОУ "МОСКОВСКАЯ ДОБРОВОЛЬНАЯ ПОЖАРНАЯ КОМАНДА "СПМ-01"</v>
      </c>
      <c r="K7611" s="24" t="s">
        <v>11303</v>
      </c>
      <c r="L7611" s="28" t="s">
        <v>51</v>
      </c>
      <c r="M7611" s="25">
        <v>25916017</v>
      </c>
      <c r="N7611" s="27">
        <v>6.0000027239524481E-2</v>
      </c>
    </row>
    <row r="7612" spans="1:14" x14ac:dyDescent="0.15">
      <c r="A7612" s="23" t="str">
        <f>HYPERLINK("https://www.spark-marketing.ru/Card/Person/1020034", "ГБУ БО СШОР ""ЛОКОМОТИВ""")</f>
        <v>ГБУ БО СШОР "ЛОКОМОТИВ"</v>
      </c>
      <c r="B7612" s="24" t="s">
        <v>11304</v>
      </c>
      <c r="C7612" s="25">
        <v>135000</v>
      </c>
      <c r="D7612" s="22" t="s">
        <v>11305</v>
      </c>
      <c r="E7612" s="22" t="s">
        <v>67</v>
      </c>
      <c r="F7612" s="23" t="str">
        <f>HYPERLINK("https://www.spark-marketing.ru/Card/Lot/72764385", "Услуги сторонних организаций (организация питания во время тренировочных мероприятий)")</f>
        <v>Услуги сторонних организаций (организация питания во время тренировочных мероприятий)</v>
      </c>
      <c r="G7612" s="22" t="s">
        <v>475</v>
      </c>
      <c r="H7612" s="22" t="s">
        <v>11306</v>
      </c>
      <c r="I7612" s="26">
        <v>43690.688194444403</v>
      </c>
      <c r="J7612" s="28" t="s">
        <v>51</v>
      </c>
      <c r="K7612" s="28" t="s">
        <v>51</v>
      </c>
      <c r="L7612" s="28" t="s">
        <v>51</v>
      </c>
      <c r="M7612" s="28" t="s">
        <v>51</v>
      </c>
      <c r="N7612" s="28" t="s">
        <v>51</v>
      </c>
    </row>
    <row r="7613" spans="1:14" x14ac:dyDescent="0.15">
      <c r="A7613" s="23" t="str">
        <f>HYPERLINK("https://www.spark-marketing.ru/Card/Person/61320", "УПРАВЛЕНИЕ РОСРЕЕСТРА ПО КАЛИНИНГРАДСКОЙ ОБЛАСТИ")</f>
        <v>УПРАВЛЕНИЕ РОСРЕЕСТРА ПО КАЛИНИНГРАДСКОЙ ОБЛАСТИ</v>
      </c>
      <c r="B7613" s="24" t="s">
        <v>11307</v>
      </c>
      <c r="C7613" s="25">
        <v>95000</v>
      </c>
      <c r="D7613" s="22" t="s">
        <v>11308</v>
      </c>
      <c r="E7613" s="22" t="s">
        <v>91</v>
      </c>
      <c r="F7613" s="23" t="str">
        <f>HYPERLINK("https://www.spark-marketing.ru/Card/Lot/72768106", "Оказание услуг по техническому обслуживанию и (или) выполнение работ по ремонту серверного оборудования")</f>
        <v>Оказание услуг по техническому обслуживанию и (или) выполнение работ по ремонту серверного оборудования</v>
      </c>
      <c r="G7613" s="22" t="s">
        <v>400</v>
      </c>
      <c r="H7613" s="22" t="s">
        <v>400</v>
      </c>
      <c r="I7613" s="26">
        <v>43690.630752314799</v>
      </c>
      <c r="J7613" s="28" t="s">
        <v>51</v>
      </c>
      <c r="K7613" s="28" t="s">
        <v>51</v>
      </c>
      <c r="L7613" s="28" t="s">
        <v>51</v>
      </c>
      <c r="M7613" s="28" t="s">
        <v>51</v>
      </c>
      <c r="N7613" s="28" t="s">
        <v>51</v>
      </c>
    </row>
    <row r="7614" spans="1:14" ht="12.75" hidden="1" outlineLevel="1" x14ac:dyDescent="0.2">
      <c r="A7614" s="23" t="str">
        <f>HYPERLINK("https://www.spark-marketing.ru/Card/Person/61320", "УПРАВЛЕНИЕ РОСРЕЕСТРА ПО КАЛИНИНГРАДСКОЙ ОБЛАСТИ")</f>
        <v>УПРАВЛЕНИЕ РОСРЕЕСТРА ПО КАЛИНИНГРАДСКОЙ ОБЛАСТИ</v>
      </c>
      <c r="B7614" s="24" t="s">
        <v>11307</v>
      </c>
      <c r="C7614" s="25">
        <v>95000</v>
      </c>
      <c r="D7614" s="22" t="s">
        <v>11308</v>
      </c>
      <c r="E7614" s="22" t="s">
        <v>91</v>
      </c>
      <c r="F7614" s="23" t="str">
        <f>HYPERLINK("https://www.spark-marketing.ru/Card/Lot/72768106", "Оказание услуг по техническому обслуживанию и (или) выполнение работ по ремонту серверного оборудования")</f>
        <v>Оказание услуг по техническому обслуживанию и (или) выполнение работ по ремонту серверного оборудования</v>
      </c>
      <c r="G7614" s="22" t="s">
        <v>400</v>
      </c>
      <c r="H7614" s="22" t="s">
        <v>400</v>
      </c>
      <c r="I7614" s="26">
        <v>43690.630752314799</v>
      </c>
      <c r="J7614" s="23" t="str">
        <f>HYPERLINK("https://www.spark-marketing.ru/Card/Person/6632052", "ООО ""ПРИНТ""")</f>
        <v>ООО "ПРИНТ"</v>
      </c>
      <c r="K7614" s="24" t="s">
        <v>2897</v>
      </c>
      <c r="L7614" s="22" t="s">
        <v>10</v>
      </c>
      <c r="M7614" s="25">
        <v>50855.18</v>
      </c>
      <c r="N7614" s="27">
        <v>0.46468231578947367</v>
      </c>
    </row>
    <row r="7615" spans="1:14" hidden="1" outlineLevel="1" x14ac:dyDescent="0.2">
      <c r="A7615" s="23" t="str">
        <f>HYPERLINK("https://www.spark-marketing.ru/Card/Person/61320", "УПРАВЛЕНИЕ РОСРЕЕСТРА ПО КАЛИНИНГРАДСКОЙ ОБЛАСТИ")</f>
        <v>УПРАВЛЕНИЕ РОСРЕЕСТРА ПО КАЛИНИНГРАДСКОЙ ОБЛАСТИ</v>
      </c>
      <c r="B7615" s="24" t="s">
        <v>11307</v>
      </c>
      <c r="C7615" s="25">
        <v>95000</v>
      </c>
      <c r="D7615" s="22" t="s">
        <v>11308</v>
      </c>
      <c r="E7615" s="22" t="s">
        <v>91</v>
      </c>
      <c r="F7615" s="23" t="str">
        <f>HYPERLINK("https://www.spark-marketing.ru/Card/Lot/72768106", "Оказание услуг по техническому обслуживанию и (или) выполнение работ по ремонту серверного оборудования")</f>
        <v>Оказание услуг по техническому обслуживанию и (или) выполнение работ по ремонту серверного оборудования</v>
      </c>
      <c r="G7615" s="22" t="s">
        <v>400</v>
      </c>
      <c r="H7615" s="22" t="s">
        <v>400</v>
      </c>
      <c r="I7615" s="26">
        <v>43690.630752314799</v>
      </c>
      <c r="J7615" s="23" t="str">
        <f>HYPERLINK("https://www.spark-marketing.ru/Card/Person/274798", "ООО ""ХОЛМРОК-СЕРВИС ПЛЮС""")</f>
        <v>ООО "ХОЛМРОК-СЕРВИС ПЛЮС"</v>
      </c>
      <c r="K7615" s="24" t="s">
        <v>11309</v>
      </c>
      <c r="L7615" s="28" t="s">
        <v>51</v>
      </c>
      <c r="M7615" s="25">
        <v>104200.21</v>
      </c>
      <c r="N7615" s="27">
        <v>-9.6844315789473681E-2</v>
      </c>
    </row>
    <row r="7616" spans="1:14" hidden="1" outlineLevel="1" x14ac:dyDescent="0.2">
      <c r="A7616" s="23" t="str">
        <f>HYPERLINK("https://www.spark-marketing.ru/Card/Person/61320", "УПРАВЛЕНИЕ РОСРЕЕСТРА ПО КАЛИНИНГРАДСКОЙ ОБЛАСТИ")</f>
        <v>УПРАВЛЕНИЕ РОСРЕЕСТРА ПО КАЛИНИНГРАДСКОЙ ОБЛАСТИ</v>
      </c>
      <c r="B7616" s="24" t="s">
        <v>11307</v>
      </c>
      <c r="C7616" s="25">
        <v>95000</v>
      </c>
      <c r="D7616" s="22" t="s">
        <v>11308</v>
      </c>
      <c r="E7616" s="22" t="s">
        <v>91</v>
      </c>
      <c r="F7616" s="23" t="str">
        <f>HYPERLINK("https://www.spark-marketing.ru/Card/Lot/72768106", "Оказание услуг по техническому обслуживанию и (или) выполнение работ по ремонту серверного оборудования")</f>
        <v>Оказание услуг по техническому обслуживанию и (или) выполнение работ по ремонту серверного оборудования</v>
      </c>
      <c r="G7616" s="22" t="s">
        <v>400</v>
      </c>
      <c r="H7616" s="22" t="s">
        <v>400</v>
      </c>
      <c r="I7616" s="26">
        <v>43690.630752314799</v>
      </c>
      <c r="J7616" s="23" t="str">
        <f>HYPERLINK("https://www.spark-marketing.ru/Card/Person/580280", "ООО ""ТЕХНОСЕРВИС""")</f>
        <v>ООО "ТЕХНОСЕРВИС"</v>
      </c>
      <c r="K7616" s="24" t="s">
        <v>11310</v>
      </c>
      <c r="L7616" s="28" t="s">
        <v>51</v>
      </c>
      <c r="M7616" s="25">
        <v>54093.01</v>
      </c>
      <c r="N7616" s="27">
        <v>0.43059989473684213</v>
      </c>
    </row>
    <row r="7617" spans="1:14" x14ac:dyDescent="0.15">
      <c r="A7617" s="23" t="str">
        <f>HYPERLINK("https://www.spark-marketing.ru/Card/Person/812166", "МБОУ ""НОРВАШ ШИГАЛИНСКАЯ СОШ"" БАТЫРЕВСКОГО РАЙОНА ЧУВАШСКОЙ РЕСПУБЛИКИ")</f>
        <v>МБОУ "НОРВАШ ШИГАЛИНСКАЯ СОШ" БАТЫРЕВСКОГО РАЙОНА ЧУВАШСКОЙ РЕСПУБЛИКИ</v>
      </c>
      <c r="B7617" s="24" t="s">
        <v>11311</v>
      </c>
      <c r="C7617" s="25">
        <v>507555</v>
      </c>
      <c r="D7617" s="22" t="s">
        <v>11312</v>
      </c>
      <c r="E7617" s="22" t="s">
        <v>48</v>
      </c>
      <c r="F7617" s="23" t="str">
        <f>HYPERLINK("https://www.spark-marketing.ru/Card/Lot/72767932", "Оказание услуг по организации питания в МБОУ ""Норваш Шигалинская СОШ"" Батыревского района Чувашской Республики")</f>
        <v>Оказание услуг по организации питания в МБОУ "Норваш Шигалинская СОШ" Батыревского района Чувашской Республики</v>
      </c>
      <c r="G7617" s="22" t="s">
        <v>618</v>
      </c>
      <c r="H7617" s="22" t="s">
        <v>10481</v>
      </c>
      <c r="I7617" s="26">
        <v>43690.490787037001</v>
      </c>
      <c r="J7617" s="23" t="str">
        <f>HYPERLINK("https://www.spark-marketing.ru/Card/Person/392761", "ООО ""ОБЩЕПИТ ""БАТЫРЕВСКИЙ""")</f>
        <v>ООО "ОБЩЕПИТ "БАТЫРЕВСКИЙ"</v>
      </c>
      <c r="K7617" s="24" t="s">
        <v>10482</v>
      </c>
      <c r="L7617" s="22" t="s">
        <v>10</v>
      </c>
      <c r="M7617" s="28" t="s">
        <v>51</v>
      </c>
      <c r="N7617" s="28" t="s">
        <v>51</v>
      </c>
    </row>
    <row r="7618" spans="1:14" x14ac:dyDescent="0.15">
      <c r="A7618" s="23" t="str">
        <f>HYPERLINK("https://www.spark-marketing.ru/Card/Person/151681", "УМВД РОССИИ ПО ГОРОДУ ПСКОВУ")</f>
        <v>УМВД РОССИИ ПО ГОРОДУ ПСКОВУ</v>
      </c>
      <c r="B7618" s="24" t="s">
        <v>11313</v>
      </c>
      <c r="C7618" s="25">
        <v>189000</v>
      </c>
      <c r="D7618" s="22" t="s">
        <v>11314</v>
      </c>
      <c r="E7618" s="22" t="s">
        <v>48</v>
      </c>
      <c r="F7618" s="23" t="str">
        <f>HYPERLINK("https://www.spark-marketing.ru/Card/Lot/72766163", "Питание в ИВС")</f>
        <v>Питание в ИВС</v>
      </c>
      <c r="G7618" s="22" t="s">
        <v>415</v>
      </c>
      <c r="H7618" s="22" t="s">
        <v>4542</v>
      </c>
      <c r="I7618" s="26">
        <v>43690.660879629599</v>
      </c>
      <c r="J7618" s="23" t="str">
        <f>HYPERLINK("https://www.spark-marketing.ru/Card/Person/4893587", "ООО ""ПАТРИЯ""")</f>
        <v>ООО "ПАТРИЯ"</v>
      </c>
      <c r="K7618" s="24" t="s">
        <v>11315</v>
      </c>
      <c r="L7618" s="22" t="s">
        <v>10</v>
      </c>
      <c r="M7618" s="28" t="s">
        <v>51</v>
      </c>
      <c r="N7618" s="28" t="s">
        <v>51</v>
      </c>
    </row>
    <row r="7619" spans="1:14" x14ac:dyDescent="0.15">
      <c r="A7619" s="23" t="str">
        <f>HYPERLINK("https://www.spark-marketing.ru/Card/Person/732268", "ОМВД РОССИИ ПО МЕДВЕЖЬЕГОРСКОМУ РАЙОНУ")</f>
        <v>ОМВД РОССИИ ПО МЕДВЕЖЬЕГОРСКОМУ РАЙОНУ</v>
      </c>
      <c r="B7619" s="24" t="s">
        <v>3114</v>
      </c>
      <c r="C7619" s="25">
        <v>131950</v>
      </c>
      <c r="D7619" s="22" t="s">
        <v>11316</v>
      </c>
      <c r="E7619" s="22" t="s">
        <v>96</v>
      </c>
      <c r="F7619" s="23" t="str">
        <f>HYPERLINK("https://www.spark-marketing.ru/Card/Lot/72764368", "Оказание услуг по организации питания (приготовлению и доставке), 455 шт")</f>
        <v>Оказание услуг по организации питания (приготовлению и доставке), 455 шт</v>
      </c>
      <c r="G7619" s="22" t="s">
        <v>59</v>
      </c>
      <c r="H7619" s="22" t="s">
        <v>3116</v>
      </c>
      <c r="I7619" s="26">
        <v>43690.700844907398</v>
      </c>
      <c r="J7619" s="28" t="s">
        <v>51</v>
      </c>
      <c r="K7619" s="28" t="s">
        <v>51</v>
      </c>
      <c r="L7619" s="28" t="s">
        <v>51</v>
      </c>
      <c r="M7619" s="28" t="s">
        <v>51</v>
      </c>
      <c r="N7619" s="28" t="s">
        <v>51</v>
      </c>
    </row>
    <row r="7620" spans="1:14" x14ac:dyDescent="0.15">
      <c r="A7620" s="23" t="str">
        <f>HYPERLINK("https://www.spark-marketing.ru/Card/Person/371885", "ОМВД РОССИИ ПО КОСТРОМСКОМУ РАЙОНУ")</f>
        <v>ОМВД РОССИИ ПО КОСТРОМСКОМУ РАЙОНУ</v>
      </c>
      <c r="B7620" s="24" t="s">
        <v>11317</v>
      </c>
      <c r="C7620" s="25">
        <v>656000</v>
      </c>
      <c r="D7620" s="22" t="s">
        <v>11318</v>
      </c>
      <c r="E7620" s="22" t="s">
        <v>48</v>
      </c>
      <c r="F7620" s="23" t="str">
        <f>HYPERLINK("https://www.spark-marketing.ru/Card/Lot/72767954", "Оказание услуг по организации горячего питания для граждан, содержащихся в Специальном приемнике для лиц, подвергнутых административному аресту ОМВД России по Костромскому району")</f>
        <v>Оказание услуг по организации горячего питания для граждан, содержащихся в Специальном приемнике для лиц, подвергнутых административному аресту ОМВД России по Костромскому району</v>
      </c>
      <c r="G7620" s="22" t="s">
        <v>292</v>
      </c>
      <c r="H7620" s="22" t="s">
        <v>11319</v>
      </c>
      <c r="I7620" s="26">
        <v>43690.630532407398</v>
      </c>
      <c r="J7620" s="23" t="str">
        <f>HYPERLINK("https://www.spark-marketing.ru/Card/Person/234123", "ООО ""ЛИКА""")</f>
        <v>ООО "ЛИКА"</v>
      </c>
      <c r="K7620" s="24" t="s">
        <v>3509</v>
      </c>
      <c r="L7620" s="28" t="s">
        <v>51</v>
      </c>
      <c r="M7620" s="28" t="s">
        <v>51</v>
      </c>
      <c r="N7620" s="28" t="s">
        <v>51</v>
      </c>
    </row>
    <row r="7621" spans="1:14" ht="12.75" hidden="1" outlineLevel="1" x14ac:dyDescent="0.2">
      <c r="A7621" s="23" t="str">
        <f>HYPERLINK("https://www.spark-marketing.ru/Card/Person/371885", "ОМВД РОССИИ ПО КОСТРОМСКОМУ РАЙОНУ")</f>
        <v>ОМВД РОССИИ ПО КОСТРОМСКОМУ РАЙОНУ</v>
      </c>
      <c r="B7621" s="24" t="s">
        <v>11317</v>
      </c>
      <c r="C7621" s="25">
        <v>656000</v>
      </c>
      <c r="D7621" s="22" t="s">
        <v>11318</v>
      </c>
      <c r="E7621" s="22" t="s">
        <v>48</v>
      </c>
      <c r="F7621" s="23" t="str">
        <f>HYPERLINK("https://www.spark-marketing.ru/Card/Lot/72767954", "Оказание услуг по организации горячего питания для граждан, содержащихся в Специальном приемнике для лиц, подвергнутых административному аресту ОМВД России по Костромскому району")</f>
        <v>Оказание услуг по организации горячего питания для граждан, содержащихся в Специальном приемнике для лиц, подвергнутых административному аресту ОМВД России по Костромскому району</v>
      </c>
      <c r="G7621" s="22" t="s">
        <v>292</v>
      </c>
      <c r="H7621" s="22" t="s">
        <v>11319</v>
      </c>
      <c r="I7621" s="26">
        <v>43690.630532407398</v>
      </c>
      <c r="J7621" s="23" t="str">
        <f>HYPERLINK("https://www.spark-marketing.ru/Card/Person/234123", "ООО ""ЛИКА""")</f>
        <v>ООО "ЛИКА"</v>
      </c>
      <c r="K7621" s="24" t="s">
        <v>3509</v>
      </c>
      <c r="L7621" s="22" t="s">
        <v>10</v>
      </c>
      <c r="M7621" s="25">
        <v>652720</v>
      </c>
      <c r="N7621" s="27">
        <v>5.0000000000000001E-3</v>
      </c>
    </row>
    <row r="7622" spans="1:14" x14ac:dyDescent="0.15">
      <c r="A7622" s="23" t="str">
        <f>HYPERLINK("https://www.spark-marketing.ru/Card/Person/112485", "МБОУ ""СРЕДНЯЯ ОБЩЕОБРАЗОВАТЕЛЬНАЯ ШКОЛА №4""")</f>
        <v>МБОУ "СРЕДНЯЯ ОБЩЕОБРАЗОВАТЕЛЬНАЯ ШКОЛА №4"</v>
      </c>
      <c r="B7622" s="24" t="s">
        <v>1193</v>
      </c>
      <c r="C7622" s="25">
        <v>589064.25</v>
      </c>
      <c r="D7622" s="22" t="s">
        <v>11320</v>
      </c>
      <c r="E7622" s="22" t="s">
        <v>48</v>
      </c>
      <c r="F7622" s="23" t="str">
        <f>HYPERLINK("https://www.spark-marketing.ru/Card/Lot/72765510", "Услуги по организации питания для учащихся Муниципального бюджетного общеобразовательного учреждения «Средняя общеобразовательная школа №4»")</f>
        <v>Услуги по организации питания для учащихся Муниципального бюджетного общеобразовательного учреждения «Средняя общеобразовательная школа №4»</v>
      </c>
      <c r="G7622" s="22" t="s">
        <v>49</v>
      </c>
      <c r="H7622" s="22" t="s">
        <v>1185</v>
      </c>
      <c r="I7622" s="26">
        <v>43690.670787037001</v>
      </c>
      <c r="J7622" s="28" t="s">
        <v>51</v>
      </c>
      <c r="K7622" s="28" t="s">
        <v>51</v>
      </c>
      <c r="L7622" s="28" t="s">
        <v>51</v>
      </c>
      <c r="M7622" s="28" t="s">
        <v>51</v>
      </c>
      <c r="N7622" s="28" t="s">
        <v>51</v>
      </c>
    </row>
    <row r="7623" spans="1:14" x14ac:dyDescent="0.15">
      <c r="A7623" s="23" t="str">
        <f>HYPERLINK("https://www.spark-marketing.ru/Card/Person/151681", "УМВД РОССИИ ПО ГОРОДУ ПСКОВУ")</f>
        <v>УМВД РОССИИ ПО ГОРОДУ ПСКОВУ</v>
      </c>
      <c r="B7623" s="24" t="s">
        <v>11313</v>
      </c>
      <c r="C7623" s="25">
        <v>163000</v>
      </c>
      <c r="D7623" s="22" t="s">
        <v>11321</v>
      </c>
      <c r="E7623" s="22" t="s">
        <v>48</v>
      </c>
      <c r="F7623" s="23" t="str">
        <f>HYPERLINK("https://www.spark-marketing.ru/Card/Lot/72764089", "Питание в СП")</f>
        <v>Питание в СП</v>
      </c>
      <c r="G7623" s="22" t="s">
        <v>415</v>
      </c>
      <c r="H7623" s="22" t="s">
        <v>4542</v>
      </c>
      <c r="I7623" s="26">
        <v>43690.571666666699</v>
      </c>
      <c r="J7623" s="23" t="str">
        <f>HYPERLINK("https://www.spark-marketing.ru/Card/Person/4893587", "ООО ""ПАТРИЯ""")</f>
        <v>ООО "ПАТРИЯ"</v>
      </c>
      <c r="K7623" s="24" t="s">
        <v>11315</v>
      </c>
      <c r="L7623" s="22" t="s">
        <v>10</v>
      </c>
      <c r="M7623" s="28" t="s">
        <v>51</v>
      </c>
      <c r="N7623" s="28" t="s">
        <v>51</v>
      </c>
    </row>
    <row r="7624" spans="1:14" x14ac:dyDescent="0.15">
      <c r="A7624" s="23" t="str">
        <f>HYPERLINK("https://www.spark-marketing.ru/Card/Person/49629", "УМВД РОССИИ ПО УЛЬЯНОВСКОЙ ОБЛАСТИ")</f>
        <v>УМВД РОССИИ ПО УЛЬЯНОВСКОЙ ОБЛАСТИ</v>
      </c>
      <c r="B7624" s="24" t="s">
        <v>2757</v>
      </c>
      <c r="C7624" s="25">
        <v>1514223.36</v>
      </c>
      <c r="D7624" s="22" t="s">
        <v>11322</v>
      </c>
      <c r="E7624" s="22" t="s">
        <v>48</v>
      </c>
      <c r="F7624" s="23" t="str">
        <f>HYPERLINK("https://www.spark-marketing.ru/Card/Lot/72764486", "Оказание услуг по организации питания слушателей ЦПП УМВД России по Ульяновской области")</f>
        <v>Оказание услуг по организации питания слушателей ЦПП УМВД России по Ульяновской области</v>
      </c>
      <c r="G7624" s="22" t="s">
        <v>1918</v>
      </c>
      <c r="H7624" s="22" t="s">
        <v>1918</v>
      </c>
      <c r="I7624" s="26">
        <v>43690.629363425898</v>
      </c>
      <c r="J7624" s="28" t="s">
        <v>51</v>
      </c>
      <c r="K7624" s="28" t="s">
        <v>51</v>
      </c>
      <c r="L7624" s="28" t="s">
        <v>51</v>
      </c>
      <c r="M7624" s="28" t="s">
        <v>51</v>
      </c>
      <c r="N7624" s="28" t="s">
        <v>51</v>
      </c>
    </row>
    <row r="7625" spans="1:14" ht="12.75" hidden="1" outlineLevel="1" x14ac:dyDescent="0.2">
      <c r="A7625" s="23" t="str">
        <f>HYPERLINK("https://www.spark-marketing.ru/Card/Person/49629", "УМВД РОССИИ ПО УЛЬЯНОВСКОЙ ОБЛАСТИ")</f>
        <v>УМВД РОССИИ ПО УЛЬЯНОВСКОЙ ОБЛАСТИ</v>
      </c>
      <c r="B7625" s="24" t="s">
        <v>2757</v>
      </c>
      <c r="C7625" s="25">
        <v>1514223.36</v>
      </c>
      <c r="D7625" s="22" t="s">
        <v>11322</v>
      </c>
      <c r="E7625" s="22" t="s">
        <v>48</v>
      </c>
      <c r="F7625" s="23" t="str">
        <f>HYPERLINK("https://www.spark-marketing.ru/Card/Lot/72764486", "Оказание услуг по организации питания слушателей ЦПП УМВД России по Ульяновской области")</f>
        <v>Оказание услуг по организации питания слушателей ЦПП УМВД России по Ульяновской области</v>
      </c>
      <c r="G7625" s="22" t="s">
        <v>1918</v>
      </c>
      <c r="H7625" s="22" t="s">
        <v>1918</v>
      </c>
      <c r="I7625" s="26">
        <v>43690.629363425898</v>
      </c>
      <c r="J7625" s="23" t="str">
        <f>HYPERLINK("https://www.spark-marketing.ru/Card/Person/4764340", "ООО ""РОШКОШ""")</f>
        <v>ООО "РОШКОШ"</v>
      </c>
      <c r="K7625" s="24" t="s">
        <v>11323</v>
      </c>
      <c r="L7625" s="22" t="s">
        <v>10</v>
      </c>
      <c r="M7625" s="25">
        <v>1506652.24</v>
      </c>
      <c r="N7625" s="27">
        <v>5.0000021132945672E-3</v>
      </c>
    </row>
    <row r="7626" spans="1:14" hidden="1" outlineLevel="1" x14ac:dyDescent="0.2">
      <c r="A7626" s="23" t="str">
        <f>HYPERLINK("https://www.spark-marketing.ru/Card/Person/49629", "УМВД РОССИИ ПО УЛЬЯНОВСКОЙ ОБЛАСТИ")</f>
        <v>УМВД РОССИИ ПО УЛЬЯНОВСКОЙ ОБЛАСТИ</v>
      </c>
      <c r="B7626" s="24" t="s">
        <v>2757</v>
      </c>
      <c r="C7626" s="25">
        <v>1514223.36</v>
      </c>
      <c r="D7626" s="22" t="s">
        <v>11322</v>
      </c>
      <c r="E7626" s="22" t="s">
        <v>48</v>
      </c>
      <c r="F7626" s="23" t="str">
        <f>HYPERLINK("https://www.spark-marketing.ru/Card/Lot/72764486", "Оказание услуг по организации питания слушателей ЦПП УМВД России по Ульяновской области")</f>
        <v>Оказание услуг по организации питания слушателей ЦПП УМВД России по Ульяновской области</v>
      </c>
      <c r="G7626" s="22" t="s">
        <v>1918</v>
      </c>
      <c r="H7626" s="22" t="s">
        <v>1918</v>
      </c>
      <c r="I7626" s="26">
        <v>43690.629363425898</v>
      </c>
      <c r="J7626" s="23" t="str">
        <f>HYPERLINK("https://www.spark-marketing.ru/Card/Person/4894819", "ООО ""УСПЕХ""")</f>
        <v>ООО "УСПЕХ"</v>
      </c>
      <c r="K7626" s="24" t="s">
        <v>2759</v>
      </c>
      <c r="L7626" s="28" t="s">
        <v>51</v>
      </c>
      <c r="M7626" s="25">
        <v>1506652.24</v>
      </c>
      <c r="N7626" s="27">
        <v>5.0000021132945672E-3</v>
      </c>
    </row>
    <row r="7627" spans="1:14" x14ac:dyDescent="0.15">
      <c r="A7627" s="23" t="str">
        <f>HYPERLINK("https://www.spark-marketing.ru/Card/Person/151681", "УМВД РОССИИ ПО ГОРОДУ ПСКОВУ")</f>
        <v>УМВД РОССИИ ПО ГОРОДУ ПСКОВУ</v>
      </c>
      <c r="B7627" s="24" t="s">
        <v>11313</v>
      </c>
      <c r="C7627" s="25">
        <v>163000</v>
      </c>
      <c r="D7627" s="22" t="s">
        <v>11324</v>
      </c>
      <c r="E7627" s="22" t="s">
        <v>48</v>
      </c>
      <c r="F7627" s="23" t="str">
        <f>HYPERLINK("https://www.spark-marketing.ru/Card/Lot/72764090", "Питание в СП")</f>
        <v>Питание в СП</v>
      </c>
      <c r="G7627" s="22" t="s">
        <v>415</v>
      </c>
      <c r="H7627" s="22" t="s">
        <v>4542</v>
      </c>
      <c r="I7627" s="26">
        <v>43690.573113425897</v>
      </c>
      <c r="J7627" s="23" t="str">
        <f>HYPERLINK("https://www.spark-marketing.ru/Card/Person/4893587", "ООО ""ПАТРИЯ""")</f>
        <v>ООО "ПАТРИЯ"</v>
      </c>
      <c r="K7627" s="24" t="s">
        <v>11315</v>
      </c>
      <c r="L7627" s="22" t="s">
        <v>10</v>
      </c>
      <c r="M7627" s="28" t="s">
        <v>51</v>
      </c>
      <c r="N7627" s="28" t="s">
        <v>51</v>
      </c>
    </row>
    <row r="7628" spans="1:14" x14ac:dyDescent="0.15">
      <c r="A7628" s="23" t="str">
        <f>HYPERLINK("https://www.spark-marketing.ru/Card/Person/4377593", "МОУ ""МАЛОМАЯКСКАЯ ШКОЛА"" ГОРОДА АЛУШТЫ")</f>
        <v>МОУ "МАЛОМАЯКСКАЯ ШКОЛА" ГОРОДА АЛУШТЫ</v>
      </c>
      <c r="B7628" s="24" t="s">
        <v>11325</v>
      </c>
      <c r="C7628" s="25">
        <v>565940</v>
      </c>
      <c r="D7628" s="22" t="s">
        <v>11326</v>
      </c>
      <c r="E7628" s="22" t="s">
        <v>48</v>
      </c>
      <c r="F7628" s="23" t="str">
        <f>HYPERLINK("https://www.spark-marketing.ru/Card/Lot/72767062",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7628" s="22" t="s">
        <v>108</v>
      </c>
      <c r="H7628" s="22" t="s">
        <v>375</v>
      </c>
      <c r="I7628" s="26">
        <v>43690.545462962997</v>
      </c>
      <c r="J7628" s="23" t="str">
        <f>HYPERLINK("https://www.spark-marketing.ru/Card/Person/1988271", "ООО ""АЛУШТИНСКАЯ ШКОЛЯРОЧКА""")</f>
        <v>ООО "АЛУШТИНСКАЯ ШКОЛЯРОЧКА"</v>
      </c>
      <c r="K7628" s="24" t="s">
        <v>11327</v>
      </c>
      <c r="L7628" s="22" t="s">
        <v>10</v>
      </c>
      <c r="M7628" s="28" t="s">
        <v>51</v>
      </c>
      <c r="N7628" s="28" t="s">
        <v>51</v>
      </c>
    </row>
    <row r="7629" spans="1:14" x14ac:dyDescent="0.15">
      <c r="A7629" s="23" t="str">
        <f>HYPERLINK("https://www.spark-marketing.ru/Card/Person/71275", "МОМВД РОССИИ ""МИЧУРИНСКИЙ""")</f>
        <v>МОМВД РОССИИ "МИЧУРИНСКИЙ"</v>
      </c>
      <c r="B7629" s="24" t="s">
        <v>11238</v>
      </c>
      <c r="C7629" s="25">
        <v>491260</v>
      </c>
      <c r="D7629" s="22" t="s">
        <v>11328</v>
      </c>
      <c r="E7629" s="22" t="s">
        <v>48</v>
      </c>
      <c r="F7629" s="23" t="str">
        <f>HYPERLINK("https://www.spark-marketing.ru/Card/Lot/72766731", "Услуги по приготовлению горячего питания для спец.приемника и КСЗ ( 01.06.2021-15.08.2021)")</f>
        <v>Услуги по приготовлению горячего питания для спец.приемника и КСЗ ( 01.06.2021-15.08.2021)</v>
      </c>
      <c r="G7629" s="22" t="s">
        <v>1370</v>
      </c>
      <c r="H7629" s="22" t="s">
        <v>11240</v>
      </c>
      <c r="I7629" s="26">
        <v>43690.646435185197</v>
      </c>
      <c r="J7629" s="28" t="s">
        <v>51</v>
      </c>
      <c r="K7629" s="28" t="s">
        <v>51</v>
      </c>
      <c r="L7629" s="28" t="s">
        <v>51</v>
      </c>
      <c r="M7629" s="28" t="s">
        <v>51</v>
      </c>
      <c r="N7629" s="28" t="s">
        <v>51</v>
      </c>
    </row>
    <row r="7630" spans="1:14" ht="12.75" hidden="1" outlineLevel="1" x14ac:dyDescent="0.2">
      <c r="A7630" s="23" t="str">
        <f>HYPERLINK("https://www.spark-marketing.ru/Card/Person/71275", "МОМВД РОССИИ ""МИЧУРИНСКИЙ""")</f>
        <v>МОМВД РОССИИ "МИЧУРИНСКИЙ"</v>
      </c>
      <c r="B7630" s="24" t="s">
        <v>11238</v>
      </c>
      <c r="C7630" s="25">
        <v>491260</v>
      </c>
      <c r="D7630" s="22" t="s">
        <v>11328</v>
      </c>
      <c r="E7630" s="22" t="s">
        <v>48</v>
      </c>
      <c r="F7630" s="23" t="str">
        <f>HYPERLINK("https://www.spark-marketing.ru/Card/Lot/72766731", "Услуги по приготовлению горячего питания для спец.приемника и КСЗ ( 01.06.2021-15.08.2021)")</f>
        <v>Услуги по приготовлению горячего питания для спец.приемника и КСЗ ( 01.06.2021-15.08.2021)</v>
      </c>
      <c r="G7630" s="22" t="s">
        <v>1370</v>
      </c>
      <c r="H7630" s="22" t="s">
        <v>11240</v>
      </c>
      <c r="I7630" s="26">
        <v>43690.646435185197</v>
      </c>
      <c r="J7630" s="23" t="str">
        <f>HYPERLINK("https://www.spark-marketing.ru/Card/Person/839734", "ООО ""МИЧВЕЛЛ""")</f>
        <v>ООО "МИЧВЕЛЛ"</v>
      </c>
      <c r="K7630" s="24" t="s">
        <v>11241</v>
      </c>
      <c r="L7630" s="22" t="s">
        <v>10</v>
      </c>
      <c r="M7630" s="25">
        <v>491260</v>
      </c>
      <c r="N7630" s="27">
        <v>0</v>
      </c>
    </row>
    <row r="7631" spans="1:14" hidden="1" outlineLevel="1" x14ac:dyDescent="0.2">
      <c r="A7631" s="23" t="str">
        <f>HYPERLINK("https://www.spark-marketing.ru/Card/Person/71275", "МОМВД РОССИИ ""МИЧУРИНСКИЙ""")</f>
        <v>МОМВД РОССИИ "МИЧУРИНСКИЙ"</v>
      </c>
      <c r="B7631" s="24" t="s">
        <v>11238</v>
      </c>
      <c r="C7631" s="25">
        <v>491260</v>
      </c>
      <c r="D7631" s="22" t="s">
        <v>11328</v>
      </c>
      <c r="E7631" s="22" t="s">
        <v>48</v>
      </c>
      <c r="F7631" s="23" t="str">
        <f>HYPERLINK("https://www.spark-marketing.ru/Card/Lot/72766731", "Услуги по приготовлению горячего питания для спец.приемника и КСЗ ( 01.06.2021-15.08.2021)")</f>
        <v>Услуги по приготовлению горячего питания для спец.приемника и КСЗ ( 01.06.2021-15.08.2021)</v>
      </c>
      <c r="G7631" s="22" t="s">
        <v>1370</v>
      </c>
      <c r="H7631" s="22" t="s">
        <v>11240</v>
      </c>
      <c r="I7631" s="26">
        <v>43690.646435185197</v>
      </c>
      <c r="J7631" s="23" t="str">
        <f>HYPERLINK("https://www.spark-marketing.ru/Card/Person/837064", "Одоян Омар Мамоевич")</f>
        <v>Одоян Омар Мамоевич</v>
      </c>
      <c r="K7631" s="24" t="s">
        <v>11242</v>
      </c>
      <c r="L7631" s="28" t="s">
        <v>51</v>
      </c>
      <c r="M7631" s="25">
        <v>491260</v>
      </c>
      <c r="N7631" s="27">
        <v>0</v>
      </c>
    </row>
    <row r="7632" spans="1:14" x14ac:dyDescent="0.15">
      <c r="A7632" s="23" t="str">
        <f>HYPERLINK("https://www.spark-marketing.ru/Card/Person/1002704", "МБОУ АЖИНОВСКАЯ СОШ")</f>
        <v>МБОУ АЖИНОВСКАЯ СОШ</v>
      </c>
      <c r="B7632" s="24" t="s">
        <v>11329</v>
      </c>
      <c r="C7632" s="25">
        <v>84960</v>
      </c>
      <c r="D7632" s="22" t="s">
        <v>11330</v>
      </c>
      <c r="E7632" s="22" t="s">
        <v>48</v>
      </c>
      <c r="F7632" s="23" t="str">
        <f>HYPERLINK("https://www.spark-marketing.ru/Card/Lot/72762507", "оказание услуг по организации питания учащихся на 2 полугодие 2019 года")</f>
        <v>оказание услуг по организации питания учащихся на 2 полугодие 2019 года</v>
      </c>
      <c r="G7632" s="22" t="s">
        <v>267</v>
      </c>
      <c r="H7632" s="22" t="s">
        <v>11331</v>
      </c>
      <c r="I7632" s="26">
        <v>43690.65625</v>
      </c>
      <c r="J7632" s="28" t="s">
        <v>51</v>
      </c>
      <c r="K7632" s="28" t="s">
        <v>51</v>
      </c>
      <c r="L7632" s="28" t="s">
        <v>51</v>
      </c>
      <c r="M7632" s="28" t="s">
        <v>51</v>
      </c>
      <c r="N7632" s="28" t="s">
        <v>51</v>
      </c>
    </row>
    <row r="7633" spans="1:14" x14ac:dyDescent="0.15">
      <c r="A7633" s="23" t="str">
        <f>HYPERLINK("https://www.spark-marketing.ru/Card/Person/55899", "ГБУЗ ""УСТЬ-ЛАБИНСКАЯ ЦРБ"" МЗ КК")</f>
        <v>ГБУЗ "УСТЬ-ЛАБИНСКАЯ ЦРБ" МЗ КК</v>
      </c>
      <c r="B7633" s="24" t="s">
        <v>1602</v>
      </c>
      <c r="C7633" s="25">
        <v>177525</v>
      </c>
      <c r="D7633" s="22" t="s">
        <v>11332</v>
      </c>
      <c r="E7633" s="22" t="s">
        <v>48</v>
      </c>
      <c r="F7633" s="23" t="str">
        <f>HYPERLINK("https://www.spark-marketing.ru/Card/Lot/72763991", "Оказание услуг по обеспечению лечебным питанием пациентов ГБУЗ ""Усть-Лабинская ЦРБ"" МЗ КК (отделение сестринского ухода и паллиативной помощи)")</f>
        <v>Оказание услуг по обеспечению лечебным питанием пациентов ГБУЗ "Усть-Лабинская ЦРБ" МЗ КК (отделение сестринского ухода и паллиативной помощи)</v>
      </c>
      <c r="G7633" s="22" t="s">
        <v>104</v>
      </c>
      <c r="H7633" s="22" t="s">
        <v>1424</v>
      </c>
      <c r="I7633" s="26">
        <v>43689.648518518501</v>
      </c>
      <c r="J7633" s="23" t="str">
        <f>HYPERLINK("https://www.spark-marketing.ru/Card/Person/878131", "ООО "" АГРОПРОМСЕРВИС """)</f>
        <v>ООО " АГРОПРОМСЕРВИС "</v>
      </c>
      <c r="K7633" s="24" t="s">
        <v>1425</v>
      </c>
      <c r="L7633" s="22" t="s">
        <v>10</v>
      </c>
      <c r="M7633" s="28" t="s">
        <v>51</v>
      </c>
      <c r="N7633" s="28" t="s">
        <v>51</v>
      </c>
    </row>
    <row r="7634" spans="1:14" x14ac:dyDescent="0.15">
      <c r="A7634" s="23" t="str">
        <f>HYPERLINK("https://www.spark-marketing.ru/Card/Person/151681", "УМВД РОССИИ ПО ГОРОДУ ПСКОВУ")</f>
        <v>УМВД РОССИИ ПО ГОРОДУ ПСКОВУ</v>
      </c>
      <c r="B7634" s="24" t="s">
        <v>11313</v>
      </c>
      <c r="C7634" s="25">
        <v>189000</v>
      </c>
      <c r="D7634" s="22" t="s">
        <v>11333</v>
      </c>
      <c r="E7634" s="22" t="s">
        <v>48</v>
      </c>
      <c r="F7634" s="23" t="str">
        <f>HYPERLINK("https://www.spark-marketing.ru/Card/Lot/72764091", "Питание в ИВС")</f>
        <v>Питание в ИВС</v>
      </c>
      <c r="G7634" s="22" t="s">
        <v>415</v>
      </c>
      <c r="H7634" s="22" t="s">
        <v>4542</v>
      </c>
      <c r="I7634" s="26">
        <v>43690.574282407397</v>
      </c>
      <c r="J7634" s="23" t="str">
        <f>HYPERLINK("https://www.spark-marketing.ru/Card/Person/4893587", "ООО ""ПАТРИЯ""")</f>
        <v>ООО "ПАТРИЯ"</v>
      </c>
      <c r="K7634" s="24" t="s">
        <v>11315</v>
      </c>
      <c r="L7634" s="22" t="s">
        <v>10</v>
      </c>
      <c r="M7634" s="28" t="s">
        <v>51</v>
      </c>
      <c r="N7634" s="28" t="s">
        <v>51</v>
      </c>
    </row>
    <row r="7635" spans="1:14" x14ac:dyDescent="0.15">
      <c r="A7635" s="23" t="str">
        <f>HYPERLINK("https://www.spark-marketing.ru/Card/Person/71275", "МОМВД РОССИИ ""МИЧУРИНСКИЙ""")</f>
        <v>МОМВД РОССИИ "МИЧУРИНСКИЙ"</v>
      </c>
      <c r="B7635" s="24" t="s">
        <v>11238</v>
      </c>
      <c r="C7635" s="25">
        <v>491260</v>
      </c>
      <c r="D7635" s="22" t="s">
        <v>11334</v>
      </c>
      <c r="E7635" s="22" t="s">
        <v>48</v>
      </c>
      <c r="F7635" s="23" t="str">
        <f>HYPERLINK("https://www.spark-marketing.ru/Card/Lot/72764245", "Услуги по приготовлению горячего питания для спец.приемника и КСЗ ( 16 .08.2021-31.10.2021)")</f>
        <v>Услуги по приготовлению горячего питания для спец.приемника и КСЗ ( 16 .08.2021-31.10.2021)</v>
      </c>
      <c r="G7635" s="22" t="s">
        <v>1370</v>
      </c>
      <c r="H7635" s="22" t="s">
        <v>11240</v>
      </c>
      <c r="I7635" s="26">
        <v>43690.633773148104</v>
      </c>
      <c r="J7635" s="28" t="s">
        <v>51</v>
      </c>
      <c r="K7635" s="28" t="s">
        <v>51</v>
      </c>
      <c r="L7635" s="28" t="s">
        <v>51</v>
      </c>
      <c r="M7635" s="28" t="s">
        <v>51</v>
      </c>
      <c r="N7635" s="28" t="s">
        <v>51</v>
      </c>
    </row>
    <row r="7636" spans="1:14" ht="12.75" hidden="1" outlineLevel="1" x14ac:dyDescent="0.2">
      <c r="A7636" s="23" t="str">
        <f>HYPERLINK("https://www.spark-marketing.ru/Card/Person/71275", "МОМВД РОССИИ ""МИЧУРИНСКИЙ""")</f>
        <v>МОМВД РОССИИ "МИЧУРИНСКИЙ"</v>
      </c>
      <c r="B7636" s="24" t="s">
        <v>11238</v>
      </c>
      <c r="C7636" s="25">
        <v>491260</v>
      </c>
      <c r="D7636" s="22" t="s">
        <v>11334</v>
      </c>
      <c r="E7636" s="22" t="s">
        <v>48</v>
      </c>
      <c r="F7636" s="23" t="str">
        <f>HYPERLINK("https://www.spark-marketing.ru/Card/Lot/72764245", "Услуги по приготовлению горячего питания для спец.приемника и КСЗ ( 16 .08.2021-31.10.2021)")</f>
        <v>Услуги по приготовлению горячего питания для спец.приемника и КСЗ ( 16 .08.2021-31.10.2021)</v>
      </c>
      <c r="G7636" s="22" t="s">
        <v>1370</v>
      </c>
      <c r="H7636" s="22" t="s">
        <v>11240</v>
      </c>
      <c r="I7636" s="26">
        <v>43690.633773148104</v>
      </c>
      <c r="J7636" s="23" t="str">
        <f>HYPERLINK("https://www.spark-marketing.ru/Card/Person/839734", "ООО ""МИЧВЕЛЛ""")</f>
        <v>ООО "МИЧВЕЛЛ"</v>
      </c>
      <c r="K7636" s="24" t="s">
        <v>11241</v>
      </c>
      <c r="L7636" s="22" t="s">
        <v>10</v>
      </c>
      <c r="M7636" s="25">
        <v>491260</v>
      </c>
      <c r="N7636" s="27">
        <v>0</v>
      </c>
    </row>
    <row r="7637" spans="1:14" hidden="1" outlineLevel="1" x14ac:dyDescent="0.2">
      <c r="A7637" s="23" t="str">
        <f>HYPERLINK("https://www.spark-marketing.ru/Card/Person/71275", "МОМВД РОССИИ ""МИЧУРИНСКИЙ""")</f>
        <v>МОМВД РОССИИ "МИЧУРИНСКИЙ"</v>
      </c>
      <c r="B7637" s="24" t="s">
        <v>11238</v>
      </c>
      <c r="C7637" s="25">
        <v>491260</v>
      </c>
      <c r="D7637" s="22" t="s">
        <v>11334</v>
      </c>
      <c r="E7637" s="22" t="s">
        <v>48</v>
      </c>
      <c r="F7637" s="23" t="str">
        <f>HYPERLINK("https://www.spark-marketing.ru/Card/Lot/72764245", "Услуги по приготовлению горячего питания для спец.приемника и КСЗ ( 16 .08.2021-31.10.2021)")</f>
        <v>Услуги по приготовлению горячего питания для спец.приемника и КСЗ ( 16 .08.2021-31.10.2021)</v>
      </c>
      <c r="G7637" s="22" t="s">
        <v>1370</v>
      </c>
      <c r="H7637" s="22" t="s">
        <v>11240</v>
      </c>
      <c r="I7637" s="26">
        <v>43690.633773148104</v>
      </c>
      <c r="J7637" s="23" t="str">
        <f>HYPERLINK("https://www.spark-marketing.ru/Card/Person/837064", "Одоян Омар Мамоевич")</f>
        <v>Одоян Омар Мамоевич</v>
      </c>
      <c r="K7637" s="24" t="s">
        <v>11242</v>
      </c>
      <c r="L7637" s="28" t="s">
        <v>51</v>
      </c>
      <c r="M7637" s="25">
        <v>491260</v>
      </c>
      <c r="N7637" s="27">
        <v>0</v>
      </c>
    </row>
    <row r="7638" spans="1:14" x14ac:dyDescent="0.15">
      <c r="A7638" s="23" t="str">
        <f>HYPERLINK("https://www.spark-marketing.ru/Card/Person/736652", "ОТДЕЛ МВД РФ ПО КЯХТИНСКОМУ РАЙОНУ")</f>
        <v>ОТДЕЛ МВД РФ ПО КЯХТИНСКОМУ РАЙОНУ</v>
      </c>
      <c r="B7638" s="24" t="s">
        <v>11335</v>
      </c>
      <c r="C7638" s="25">
        <v>4440958.28</v>
      </c>
      <c r="D7638" s="22" t="s">
        <v>11336</v>
      </c>
      <c r="E7638" s="22" t="s">
        <v>48</v>
      </c>
      <c r="F7638" s="23" t="str">
        <f>HYPERLINK("https://www.spark-marketing.ru/Card/Lot/72756101", "Услуги по обеспечению питанием лиц содержащихся в ИВС")</f>
        <v>Услуги по обеспечению питанием лиц содержащихся в ИВС</v>
      </c>
      <c r="G7638" s="22" t="s">
        <v>433</v>
      </c>
      <c r="H7638" s="22" t="s">
        <v>3120</v>
      </c>
      <c r="I7638" s="26">
        <v>43690.651597222197</v>
      </c>
      <c r="J7638" s="23" t="str">
        <f>HYPERLINK("https://www.spark-marketing.ru/Card/Person/147203", "ООО ""СЕРВИС""")</f>
        <v>ООО "СЕРВИС"</v>
      </c>
      <c r="K7638" s="24" t="s">
        <v>11337</v>
      </c>
      <c r="L7638" s="22" t="s">
        <v>10</v>
      </c>
      <c r="M7638" s="28" t="s">
        <v>51</v>
      </c>
      <c r="N7638" s="28" t="s">
        <v>51</v>
      </c>
    </row>
    <row r="7639" spans="1:14" x14ac:dyDescent="0.15">
      <c r="A7639" s="23" t="str">
        <f>HYPERLINK("https://www.spark-marketing.ru/Card/Person/999802", "МО МВД РОССИИ ""ГОРОДЕЦКИЙ""")</f>
        <v>МО МВД РОССИИ "ГОРОДЕЦКИЙ"</v>
      </c>
      <c r="B7639" s="24" t="s">
        <v>11058</v>
      </c>
      <c r="C7639" s="25">
        <v>984093.6</v>
      </c>
      <c r="D7639" s="22" t="s">
        <v>11338</v>
      </c>
      <c r="E7639" s="22" t="s">
        <v>48</v>
      </c>
      <c r="F7639" s="23" t="str">
        <f>HYPERLINK("https://www.spark-marketing.ru/Card/Lot/72762635", "оказание услуг по питанию лиц, содержащихся в ИВС и задержанных в административном порядке в МО МВД России ""Городецкий"" в 2020 году")</f>
        <v>оказание услуг по питанию лиц, содержащихся в ИВС и задержанных в административном порядке в МО МВД России "Городецкий" в 2020 году</v>
      </c>
      <c r="G7639" s="22" t="s">
        <v>76</v>
      </c>
      <c r="H7639" s="22" t="s">
        <v>11060</v>
      </c>
      <c r="I7639" s="26">
        <v>43690.539849537003</v>
      </c>
      <c r="J7639" s="23" t="str">
        <f>HYPERLINK("https://www.spark-marketing.ru/Card/Person/1263885", "Киселев Павел Сергеевич")</f>
        <v>Киселев Павел Сергеевич</v>
      </c>
      <c r="K7639" s="24" t="s">
        <v>11061</v>
      </c>
      <c r="L7639" s="22" t="s">
        <v>10</v>
      </c>
      <c r="M7639" s="28" t="s">
        <v>51</v>
      </c>
      <c r="N7639" s="28" t="s">
        <v>51</v>
      </c>
    </row>
    <row r="7640" spans="1:14" x14ac:dyDescent="0.15">
      <c r="A7640" s="23" t="str">
        <f>HYPERLINK("https://www.spark-marketing.ru/Card/Person/102361", "ФКУ ""ЦУКС ГУ МЧС РОССИИ ПО ЧЕЛЯБИНСКОЙ ОБЛАСТИ""")</f>
        <v>ФКУ "ЦУКС ГУ МЧС РОССИИ ПО ЧЕЛЯБИНСКОЙ ОБЛАСТИ"</v>
      </c>
      <c r="B7640" s="24" t="s">
        <v>11339</v>
      </c>
      <c r="C7640" s="25">
        <v>547400</v>
      </c>
      <c r="D7640" s="22" t="s">
        <v>11340</v>
      </c>
      <c r="E7640" s="22" t="s">
        <v>48</v>
      </c>
      <c r="F7640" s="23" t="str">
        <f>HYPERLINK("https://www.spark-marketing.ru/Card/Lot/72759795", "Услуги по организации питания дежурных смен")</f>
        <v>Услуги по организации питания дежурных смен</v>
      </c>
      <c r="G7640" s="22" t="s">
        <v>469</v>
      </c>
      <c r="H7640" s="22" t="s">
        <v>491</v>
      </c>
      <c r="I7640" s="26">
        <v>43690.609525462998</v>
      </c>
      <c r="J7640" s="23" t="str">
        <f>HYPERLINK("https://www.spark-marketing.ru/Card/Person/996424", "ФАУ ДПО УЧЕБНЫЙ ЦЕНТР ФПС ПО ЧЕЛЯБИНСКОЙ ОБЛАСТИ")</f>
        <v>ФАУ ДПО УЧЕБНЫЙ ЦЕНТР ФПС ПО ЧЕЛЯБИНСКОЙ ОБЛАСТИ</v>
      </c>
      <c r="K7640" s="24" t="s">
        <v>11341</v>
      </c>
      <c r="L7640" s="22" t="s">
        <v>10</v>
      </c>
      <c r="M7640" s="28" t="s">
        <v>51</v>
      </c>
      <c r="N7640" s="28" t="s">
        <v>51</v>
      </c>
    </row>
    <row r="7641" spans="1:14" x14ac:dyDescent="0.15">
      <c r="A7641" s="23" t="str">
        <f>HYPERLINK("https://www.spark-marketing.ru/Card/Person/28654", "ОГБУЗ ""ИГБ № 7""")</f>
        <v>ОГБУЗ "ИГБ № 7"</v>
      </c>
      <c r="B7641" s="24" t="s">
        <v>11342</v>
      </c>
      <c r="C7641" s="25">
        <v>4071713.4</v>
      </c>
      <c r="D7641" s="22" t="s">
        <v>11343</v>
      </c>
      <c r="E7641" s="22" t="s">
        <v>48</v>
      </c>
      <c r="F7641" s="23" t="str">
        <f>HYPERLINK("https://www.spark-marketing.ru/Card/Lot/72753518", "Оказание услуг по организации общественного питания")</f>
        <v>Оказание услуг по организации общественного питания</v>
      </c>
      <c r="G7641" s="22" t="s">
        <v>263</v>
      </c>
      <c r="H7641" s="22" t="s">
        <v>2768</v>
      </c>
      <c r="I7641" s="26">
        <v>43690.593449074098</v>
      </c>
      <c r="J7641" s="28" t="s">
        <v>51</v>
      </c>
      <c r="K7641" s="28" t="s">
        <v>51</v>
      </c>
      <c r="L7641" s="28" t="s">
        <v>51</v>
      </c>
      <c r="M7641" s="28" t="s">
        <v>51</v>
      </c>
      <c r="N7641" s="28" t="s">
        <v>51</v>
      </c>
    </row>
    <row r="7642" spans="1:14" ht="12.75" hidden="1" outlineLevel="1" x14ac:dyDescent="0.2">
      <c r="A7642" s="23" t="str">
        <f>HYPERLINK("https://www.spark-marketing.ru/Card/Person/28654", "ОГБУЗ ""ИГБ № 7""")</f>
        <v>ОГБУЗ "ИГБ № 7"</v>
      </c>
      <c r="B7642" s="24" t="s">
        <v>11342</v>
      </c>
      <c r="C7642" s="25">
        <v>4071713.4</v>
      </c>
      <c r="D7642" s="22" t="s">
        <v>11343</v>
      </c>
      <c r="E7642" s="22" t="s">
        <v>48</v>
      </c>
      <c r="F7642" s="23" t="str">
        <f>HYPERLINK("https://www.spark-marketing.ru/Card/Lot/72753518", "Оказание услуг по организации общественного питания")</f>
        <v>Оказание услуг по организации общественного питания</v>
      </c>
      <c r="G7642" s="22" t="s">
        <v>263</v>
      </c>
      <c r="H7642" s="22" t="s">
        <v>2768</v>
      </c>
      <c r="I7642" s="26">
        <v>43690.593449074098</v>
      </c>
      <c r="J7642" s="23" t="str">
        <f>HYPERLINK("https://www.spark-marketing.ru/Card/Person/233976", "ООО ""КАРИ""")</f>
        <v>ООО "КАРИ"</v>
      </c>
      <c r="K7642" s="24" t="s">
        <v>11344</v>
      </c>
      <c r="L7642" s="22" t="s">
        <v>10</v>
      </c>
      <c r="M7642" s="25">
        <v>3053784.1</v>
      </c>
      <c r="N7642" s="27">
        <v>0.25000023331701099</v>
      </c>
    </row>
    <row r="7643" spans="1:14" hidden="1" outlineLevel="1" x14ac:dyDescent="0.2">
      <c r="A7643" s="23" t="str">
        <f>HYPERLINK("https://www.spark-marketing.ru/Card/Person/28654", "ОГБУЗ ""ИГБ № 7""")</f>
        <v>ОГБУЗ "ИГБ № 7"</v>
      </c>
      <c r="B7643" s="24" t="s">
        <v>11342</v>
      </c>
      <c r="C7643" s="25">
        <v>4071713.4</v>
      </c>
      <c r="D7643" s="22" t="s">
        <v>11343</v>
      </c>
      <c r="E7643" s="22" t="s">
        <v>48</v>
      </c>
      <c r="F7643" s="23" t="str">
        <f>HYPERLINK("https://www.spark-marketing.ru/Card/Lot/72753518", "Оказание услуг по организации общественного питания")</f>
        <v>Оказание услуг по организации общественного питания</v>
      </c>
      <c r="G7643" s="22" t="s">
        <v>263</v>
      </c>
      <c r="H7643" s="22" t="s">
        <v>2768</v>
      </c>
      <c r="I7643" s="26">
        <v>43690.593449074098</v>
      </c>
      <c r="J7643" s="23" t="str">
        <f>HYPERLINK("https://www.spark-marketing.ru/Card/Person/114732", "Радина Вера Борисовна")</f>
        <v>Радина Вера Борисовна</v>
      </c>
      <c r="K7643" s="24" t="s">
        <v>9717</v>
      </c>
      <c r="L7643" s="28" t="s">
        <v>51</v>
      </c>
      <c r="M7643" s="25">
        <v>3074142.67</v>
      </c>
      <c r="N7643" s="27">
        <v>0.24500023258022041</v>
      </c>
    </row>
    <row r="7644" spans="1:14" x14ac:dyDescent="0.15">
      <c r="A7644" s="23" t="str">
        <f>HYPERLINK("https://www.spark-marketing.ru/Card/Person/732268", "ОМВД РОССИИ ПО МЕДВЕЖЬЕГОРСКОМУ РАЙОНУ")</f>
        <v>ОМВД РОССИИ ПО МЕДВЕЖЬЕГОРСКОМУ РАЙОНУ</v>
      </c>
      <c r="B7644" s="24" t="s">
        <v>3114</v>
      </c>
      <c r="C7644" s="25">
        <v>261000</v>
      </c>
      <c r="D7644" s="22" t="s">
        <v>11345</v>
      </c>
      <c r="E7644" s="22" t="s">
        <v>96</v>
      </c>
      <c r="F7644" s="23" t="str">
        <f>HYPERLINK("https://www.spark-marketing.ru/Card/Lot/72759008", "Оказание услуг по организации питания (приготовлению и доставке), 900 шт")</f>
        <v>Оказание услуг по организации питания (приготовлению и доставке), 900 шт</v>
      </c>
      <c r="G7644" s="22" t="s">
        <v>59</v>
      </c>
      <c r="H7644" s="22" t="s">
        <v>3116</v>
      </c>
      <c r="I7644" s="26">
        <v>43690.598460648202</v>
      </c>
      <c r="J7644" s="28" t="s">
        <v>51</v>
      </c>
      <c r="K7644" s="28" t="s">
        <v>51</v>
      </c>
      <c r="L7644" s="28" t="s">
        <v>51</v>
      </c>
      <c r="M7644" s="28" t="s">
        <v>51</v>
      </c>
      <c r="N7644" s="28" t="s">
        <v>51</v>
      </c>
    </row>
    <row r="7645" spans="1:14" x14ac:dyDescent="0.15">
      <c r="A7645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7645" s="24" t="s">
        <v>3255</v>
      </c>
      <c r="C7645" s="25">
        <v>238267.66</v>
      </c>
      <c r="D7645" s="22" t="s">
        <v>11346</v>
      </c>
      <c r="E7645" s="22" t="s">
        <v>52</v>
      </c>
      <c r="F7645" s="23" t="str">
        <f>HYPERLINK("https://www.spark-marketing.ru/Card/Lot/72748638", "Поставка лекарственного препарата для медицинского применения ""Интерферон альфа-2а""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специализиро...")</f>
        <v>Поставка лекарственного препарата для медицинского применения "Интерферон альфа-2а"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</v>
      </c>
      <c r="G7645" s="22" t="s">
        <v>210</v>
      </c>
      <c r="H7645" s="22" t="s">
        <v>3257</v>
      </c>
      <c r="I7645" s="26">
        <v>43690.589849536998</v>
      </c>
      <c r="J7645" s="23" t="str">
        <f>HYPERLINK("https://www.spark-marketing.ru/Card/Person/4345864", "АО ""Р-ФАРМ""")</f>
        <v>АО "Р-ФАРМ"</v>
      </c>
      <c r="K7645" s="24" t="s">
        <v>11347</v>
      </c>
      <c r="L7645" s="22" t="s">
        <v>10</v>
      </c>
      <c r="M7645" s="28" t="s">
        <v>51</v>
      </c>
      <c r="N7645" s="28" t="s">
        <v>51</v>
      </c>
    </row>
    <row r="7646" spans="1:14" x14ac:dyDescent="0.15">
      <c r="A7646" s="23" t="str">
        <f>HYPERLINK("https://www.spark-marketing.ru/Card/Person/818223", "МБОУ СОШ № 6")</f>
        <v>МБОУ СОШ № 6</v>
      </c>
      <c r="B7646" s="24" t="s">
        <v>11348</v>
      </c>
      <c r="C7646" s="25">
        <v>386724.48</v>
      </c>
      <c r="D7646" s="22" t="s">
        <v>11349</v>
      </c>
      <c r="E7646" s="22" t="s">
        <v>48</v>
      </c>
      <c r="F7646" s="23" t="str">
        <f>HYPERLINK("https://www.spark-marketing.ru/Card/Lot/72759842", "№ зз-25934-19 обеспечение питанием учащихся")</f>
        <v>№ зз-25934-19 обеспечение питанием учащихся</v>
      </c>
      <c r="G7646" s="22" t="s">
        <v>852</v>
      </c>
      <c r="H7646" s="22" t="s">
        <v>6348</v>
      </c>
      <c r="I7646" s="26">
        <v>43690.587939814803</v>
      </c>
      <c r="J7646" s="23" t="str">
        <f>HYPERLINK("https://www.spark-marketing.ru/Card/Person/4409135", "МУП ""ШКОЛЬНОЕ ПИТАНИЕ""")</f>
        <v>МУП "ШКОЛЬНОЕ ПИТАНИЕ"</v>
      </c>
      <c r="K7646" s="24" t="s">
        <v>6349</v>
      </c>
      <c r="L7646" s="22" t="s">
        <v>10</v>
      </c>
      <c r="M7646" s="28" t="s">
        <v>51</v>
      </c>
      <c r="N7646" s="28" t="s">
        <v>51</v>
      </c>
    </row>
    <row r="7647" spans="1:14" x14ac:dyDescent="0.15">
      <c r="A7647" s="23" t="str">
        <f>HYPERLINK("https://www.spark-marketing.ru/Card/Person/4192", "ГУ - АМУРСКОЕ РО ФОНДА СОЦИАЛЬНОГО СТРАХОВАНИЯ РОССИЙСКОЙ ФЕДЕРАЦИИ")</f>
        <v>ГУ - АМУРСКОЕ РО ФОНДА СОЦИАЛЬНОГО СТРАХОВАНИЯ РОССИЙСКОЙ ФЕДЕРАЦИИ</v>
      </c>
      <c r="B7647" s="24" t="s">
        <v>11350</v>
      </c>
      <c r="C7647" s="25">
        <v>118999.86</v>
      </c>
      <c r="D7647" s="22" t="s">
        <v>11351</v>
      </c>
      <c r="E7647" s="22" t="s">
        <v>86</v>
      </c>
      <c r="F7647" s="23" t="str">
        <f>HYPERLINK("https://www.spark-marketing.ru/Card/Lot/72748832", "Оказание услуг по санаторно-курортному лечению застрахованного лица, пострадавшего вследствие несчастного случая на производстве в санаторно-курортных организациях на территории Приморского края, по профилю лечения - заболевания нервной системы и усл...")</f>
        <v>Оказание услуг по санаторно-курортному лечению застрахованного лица, пострадавшего вследствие несчастного случая на производстве в санаторно-курортных организациях на территории Приморского края, по профилю лечения - заболевания нервной системы и усл...</v>
      </c>
      <c r="G7647" s="22" t="s">
        <v>543</v>
      </c>
      <c r="H7647" s="22" t="s">
        <v>543</v>
      </c>
      <c r="I7647" s="26">
        <v>43690.449780092596</v>
      </c>
      <c r="J7647" s="23" t="str">
        <f>HYPERLINK("https://www.spark-marketing.ru/Card/Person/193105", "ООО ""САНАТОРИЙ ""СТРОИТЕЛЬ""")</f>
        <v>ООО "САНАТОРИЙ "СТРОИТЕЛЬ"</v>
      </c>
      <c r="K7647" s="24" t="s">
        <v>11352</v>
      </c>
      <c r="L7647" s="28" t="s">
        <v>51</v>
      </c>
      <c r="M7647" s="28" t="s">
        <v>51</v>
      </c>
      <c r="N7647" s="28" t="s">
        <v>51</v>
      </c>
    </row>
    <row r="7648" spans="1:14" ht="12.75" hidden="1" outlineLevel="1" x14ac:dyDescent="0.2">
      <c r="A7648" s="23" t="str">
        <f>HYPERLINK("https://www.spark-marketing.ru/Card/Person/4192", "ГУ - АМУРСКОЕ РО ФОНДА СОЦИАЛЬНОГО СТРАХОВАНИЯ РОССИЙСКОЙ ФЕДЕРАЦИИ")</f>
        <v>ГУ - АМУРСКОЕ РО ФОНДА СОЦИАЛЬНОГО СТРАХОВАНИЯ РОССИЙСКОЙ ФЕДЕРАЦИИ</v>
      </c>
      <c r="B7648" s="24" t="s">
        <v>11350</v>
      </c>
      <c r="C7648" s="25">
        <v>118999.86</v>
      </c>
      <c r="D7648" s="22" t="s">
        <v>11351</v>
      </c>
      <c r="E7648" s="22" t="s">
        <v>86</v>
      </c>
      <c r="F7648" s="23" t="str">
        <f>HYPERLINK("https://www.spark-marketing.ru/Card/Lot/72748832", "Оказание услуг по санаторно-курортному лечению застрахованного лица, пострадавшего вследствие несчастного случая на производстве в санаторно-курортных организациях на территории Приморского края, по профилю лечения - заболевания нервной системы и усл...")</f>
        <v>Оказание услуг по санаторно-курортному лечению застрахованного лица, пострадавшего вследствие несчастного случая на производстве в санаторно-курортных организациях на территории Приморского края, по профилю лечения - заболевания нервной системы и усл...</v>
      </c>
      <c r="G7648" s="22" t="s">
        <v>543</v>
      </c>
      <c r="H7648" s="22" t="s">
        <v>543</v>
      </c>
      <c r="I7648" s="26">
        <v>43690.449780092596</v>
      </c>
      <c r="J7648" s="23" t="str">
        <f>HYPERLINK("https://www.spark-marketing.ru/Card/Person/193105", "ООО ""САНАТОРИЙ ""СТРОИТЕЛЬ""")</f>
        <v>ООО "САНАТОРИЙ "СТРОИТЕЛЬ"</v>
      </c>
      <c r="K7648" s="24" t="s">
        <v>11352</v>
      </c>
      <c r="L7648" s="22" t="s">
        <v>10</v>
      </c>
      <c r="M7648" s="25">
        <v>118404.86</v>
      </c>
      <c r="N7648" s="27">
        <v>5.0000058823598615E-3</v>
      </c>
    </row>
    <row r="7649" spans="1:14" x14ac:dyDescent="0.15">
      <c r="A7649" s="23" t="str">
        <f>HYPERLINK("https://www.spark-marketing.ru/Card/Person/813629", "ОТДЕЛ МВД РОССИИ ПО МАМАДЫШСКОМУ РАЙОНУ")</f>
        <v>ОТДЕЛ МВД РОССИИ ПО МАМАДЫШСКОМУ РАЙОНУ</v>
      </c>
      <c r="B7649" s="24" t="s">
        <v>9752</v>
      </c>
      <c r="C7649" s="25">
        <v>395000</v>
      </c>
      <c r="D7649" s="22" t="s">
        <v>11353</v>
      </c>
      <c r="E7649" s="22" t="s">
        <v>96</v>
      </c>
      <c r="F7649" s="23" t="str">
        <f>HYPERLINK("https://www.spark-marketing.ru/Card/Lot/72764147", "Питание ИВС")</f>
        <v>Питание ИВС</v>
      </c>
      <c r="G7649" s="22" t="s">
        <v>217</v>
      </c>
      <c r="H7649" s="22" t="s">
        <v>9754</v>
      </c>
      <c r="I7649" s="26">
        <v>43690.597592592603</v>
      </c>
      <c r="J7649" s="23" t="str">
        <f>HYPERLINK("https://www.spark-marketing.ru/Card/Person/5774654", "Иванова Светлана Владимировна")</f>
        <v>Иванова Светлана Владимировна</v>
      </c>
      <c r="K7649" s="24" t="s">
        <v>9755</v>
      </c>
      <c r="L7649" s="22" t="s">
        <v>10</v>
      </c>
      <c r="M7649" s="28" t="s">
        <v>51</v>
      </c>
      <c r="N7649" s="28" t="s">
        <v>51</v>
      </c>
    </row>
    <row r="7650" spans="1:14" x14ac:dyDescent="0.15">
      <c r="A7650" s="23" t="str">
        <f>HYPERLINK("https://www.spark-marketing.ru/Card/Person/257912", "ГБОУ РЛИ ДУВАНСКОГО РАЙОНА")</f>
        <v>ГБОУ РЛИ ДУВАНСКОГО РАЙОНА</v>
      </c>
      <c r="B7650" s="24" t="s">
        <v>11354</v>
      </c>
      <c r="C7650" s="25">
        <v>413630</v>
      </c>
      <c r="D7650" s="22" t="s">
        <v>11355</v>
      </c>
      <c r="E7650" s="22" t="s">
        <v>10075</v>
      </c>
      <c r="F7650" s="23" t="str">
        <f>HYPERLINK("https://www.spark-marketing.ru/Card/Lot/72758334", "Услуги по предоставлению продуктов питания (овощи свежие)")</f>
        <v>Услуги по предоставлению продуктов питания (овощи свежие)</v>
      </c>
      <c r="G7650" s="22" t="s">
        <v>145</v>
      </c>
      <c r="H7650" s="22" t="s">
        <v>11356</v>
      </c>
      <c r="I7650" s="26">
        <v>43690.545486111099</v>
      </c>
      <c r="J7650" s="28" t="s">
        <v>51</v>
      </c>
      <c r="K7650" s="28" t="s">
        <v>51</v>
      </c>
      <c r="L7650" s="28" t="s">
        <v>51</v>
      </c>
      <c r="M7650" s="28" t="s">
        <v>51</v>
      </c>
      <c r="N7650" s="28" t="s">
        <v>51</v>
      </c>
    </row>
    <row r="7651" spans="1:14" hidden="1" outlineLevel="1" x14ac:dyDescent="0.2">
      <c r="A7651" s="23" t="str">
        <f>HYPERLINK("https://www.spark-marketing.ru/Card/Person/257912", "ГБОУ РЛИ ДУВАНСКОГО РАЙОНА")</f>
        <v>ГБОУ РЛИ ДУВАНСКОГО РАЙОНА</v>
      </c>
      <c r="B7651" s="24" t="s">
        <v>11354</v>
      </c>
      <c r="C7651" s="25">
        <v>413630</v>
      </c>
      <c r="D7651" s="22" t="s">
        <v>11355</v>
      </c>
      <c r="E7651" s="22" t="s">
        <v>10075</v>
      </c>
      <c r="F7651" s="23" t="str">
        <f>HYPERLINK("https://www.spark-marketing.ru/Card/Lot/72758334", "Услуги по предоставлению продуктов питания (овощи свежие)")</f>
        <v>Услуги по предоставлению продуктов питания (овощи свежие)</v>
      </c>
      <c r="G7651" s="22" t="s">
        <v>145</v>
      </c>
      <c r="H7651" s="22" t="s">
        <v>11356</v>
      </c>
      <c r="I7651" s="26">
        <v>43690.545486111099</v>
      </c>
      <c r="J7651" s="23" t="str">
        <f>HYPERLINK("https://www.spark-marketing.ru/Card/Person/1088483", "Гайнуллин Эмель Фанилович")</f>
        <v>Гайнуллин Эмель Фанилович</v>
      </c>
      <c r="K7651" s="24" t="s">
        <v>11357</v>
      </c>
      <c r="L7651" s="28" t="s">
        <v>51</v>
      </c>
      <c r="M7651" s="25">
        <v>138566.04999999999</v>
      </c>
      <c r="N7651" s="27">
        <v>0.66500000000000004</v>
      </c>
    </row>
    <row r="7652" spans="1:14" hidden="1" outlineLevel="1" x14ac:dyDescent="0.2">
      <c r="A7652" s="23" t="str">
        <f>HYPERLINK("https://www.spark-marketing.ru/Card/Person/257912", "ГБОУ РЛИ ДУВАНСКОГО РАЙОНА")</f>
        <v>ГБОУ РЛИ ДУВАНСКОГО РАЙОНА</v>
      </c>
      <c r="B7652" s="24" t="s">
        <v>11354</v>
      </c>
      <c r="C7652" s="25">
        <v>413630</v>
      </c>
      <c r="D7652" s="22" t="s">
        <v>11355</v>
      </c>
      <c r="E7652" s="22" t="s">
        <v>10075</v>
      </c>
      <c r="F7652" s="23" t="str">
        <f>HYPERLINK("https://www.spark-marketing.ru/Card/Lot/72758334", "Услуги по предоставлению продуктов питания (овощи свежие)")</f>
        <v>Услуги по предоставлению продуктов питания (овощи свежие)</v>
      </c>
      <c r="G7652" s="22" t="s">
        <v>145</v>
      </c>
      <c r="H7652" s="22" t="s">
        <v>11356</v>
      </c>
      <c r="I7652" s="26">
        <v>43690.545486111099</v>
      </c>
      <c r="J7652" s="23" t="str">
        <f>HYPERLINK("https://www.spark-marketing.ru/Card/Person/6688012", "Махмадов Муродали Абдужаборович")</f>
        <v>Махмадов Муродали Абдужаборович</v>
      </c>
      <c r="K7652" s="24" t="s">
        <v>11358</v>
      </c>
      <c r="L7652" s="28" t="s">
        <v>51</v>
      </c>
      <c r="M7652" s="25">
        <v>231632.8</v>
      </c>
      <c r="N7652" s="27">
        <v>0.44</v>
      </c>
    </row>
    <row r="7653" spans="1:14" ht="12.75" hidden="1" outlineLevel="1" x14ac:dyDescent="0.2">
      <c r="A7653" s="23" t="str">
        <f>HYPERLINK("https://www.spark-marketing.ru/Card/Person/257912", "ГБОУ РЛИ ДУВАНСКОГО РАЙОНА")</f>
        <v>ГБОУ РЛИ ДУВАНСКОГО РАЙОНА</v>
      </c>
      <c r="B7653" s="24" t="s">
        <v>11354</v>
      </c>
      <c r="C7653" s="25">
        <v>413630</v>
      </c>
      <c r="D7653" s="22" t="s">
        <v>11355</v>
      </c>
      <c r="E7653" s="22" t="s">
        <v>10075</v>
      </c>
      <c r="F7653" s="23" t="str">
        <f>HYPERLINK("https://www.spark-marketing.ru/Card/Lot/72758334", "Услуги по предоставлению продуктов питания (овощи свежие)")</f>
        <v>Услуги по предоставлению продуктов питания (овощи свежие)</v>
      </c>
      <c r="G7653" s="22" t="s">
        <v>145</v>
      </c>
      <c r="H7653" s="22" t="s">
        <v>11356</v>
      </c>
      <c r="I7653" s="26">
        <v>43690.545486111099</v>
      </c>
      <c r="J7653" s="23" t="str">
        <f>HYPERLINK("https://www.spark-marketing.ru/Card/Person/4364352", "Аминева Алина Артуровна")</f>
        <v>Аминева Алина Артуровна</v>
      </c>
      <c r="K7653" s="24" t="s">
        <v>11359</v>
      </c>
      <c r="L7653" s="22" t="s">
        <v>10</v>
      </c>
      <c r="M7653" s="25">
        <v>136497.9</v>
      </c>
      <c r="N7653" s="27">
        <v>0.67</v>
      </c>
    </row>
    <row r="7654" spans="1:14" hidden="1" outlineLevel="1" x14ac:dyDescent="0.2">
      <c r="A7654" s="23" t="str">
        <f>HYPERLINK("https://www.spark-marketing.ru/Card/Person/257912", "ГБОУ РЛИ ДУВАНСКОГО РАЙОНА")</f>
        <v>ГБОУ РЛИ ДУВАНСКОГО РАЙОНА</v>
      </c>
      <c r="B7654" s="24" t="s">
        <v>11354</v>
      </c>
      <c r="C7654" s="25">
        <v>413630</v>
      </c>
      <c r="D7654" s="22" t="s">
        <v>11355</v>
      </c>
      <c r="E7654" s="22" t="s">
        <v>10075</v>
      </c>
      <c r="F7654" s="23" t="str">
        <f>HYPERLINK("https://www.spark-marketing.ru/Card/Lot/72758334", "Услуги по предоставлению продуктов питания (овощи свежие)")</f>
        <v>Услуги по предоставлению продуктов питания (овощи свежие)</v>
      </c>
      <c r="G7654" s="22" t="s">
        <v>145</v>
      </c>
      <c r="H7654" s="22" t="s">
        <v>11356</v>
      </c>
      <c r="I7654" s="26">
        <v>43690.545486111099</v>
      </c>
      <c r="J7654" s="23" t="str">
        <f>HYPERLINK("https://www.spark-marketing.ru/Card/Person/4916115", "ООО ""АГРОНОМ""")</f>
        <v>ООО "АГРОНОМ"</v>
      </c>
      <c r="K7654" s="24" t="s">
        <v>11360</v>
      </c>
      <c r="L7654" s="28" t="s">
        <v>51</v>
      </c>
      <c r="M7654" s="25">
        <v>277132.09999999998</v>
      </c>
      <c r="N7654" s="27">
        <v>0.33</v>
      </c>
    </row>
    <row r="7655" spans="1:14" x14ac:dyDescent="0.15">
      <c r="A7655" s="23" t="str">
        <f>HYPERLINK("https://www.spark-marketing.ru/Card/Person/241341", "МБОУ - СОШ № 13 СТ. ГРИВЕНСКОЙ")</f>
        <v>МБОУ - СОШ № 13 СТ. ГРИВЕНСКОЙ</v>
      </c>
      <c r="B7655" s="24" t="s">
        <v>11361</v>
      </c>
      <c r="C7655" s="25">
        <v>1449810</v>
      </c>
      <c r="D7655" s="22" t="s">
        <v>11362</v>
      </c>
      <c r="E7655" s="22" t="s">
        <v>48</v>
      </c>
      <c r="F7655" s="23" t="str">
        <f>HYPERLINK("https://www.spark-marketing.ru/Card/Lot/72760641", "Оказание услуг по организации горячего питания")</f>
        <v>Оказание услуг по организации горячего питания</v>
      </c>
      <c r="G7655" s="22" t="s">
        <v>104</v>
      </c>
      <c r="H7655" s="22" t="s">
        <v>5791</v>
      </c>
      <c r="I7655" s="26">
        <v>43690.494814814803</v>
      </c>
      <c r="J7655" s="28" t="s">
        <v>51</v>
      </c>
      <c r="K7655" s="28" t="s">
        <v>51</v>
      </c>
      <c r="L7655" s="28" t="s">
        <v>51</v>
      </c>
      <c r="M7655" s="28" t="s">
        <v>51</v>
      </c>
      <c r="N7655" s="28" t="s">
        <v>51</v>
      </c>
    </row>
    <row r="7656" spans="1:14" hidden="1" outlineLevel="1" x14ac:dyDescent="0.2">
      <c r="A7656" s="23" t="str">
        <f>HYPERLINK("https://www.spark-marketing.ru/Card/Person/241341", "МБОУ - СОШ № 13 СТ. ГРИВЕНСКОЙ")</f>
        <v>МБОУ - СОШ № 13 СТ. ГРИВЕНСКОЙ</v>
      </c>
      <c r="B7656" s="24" t="s">
        <v>11361</v>
      </c>
      <c r="C7656" s="25">
        <v>1449810</v>
      </c>
      <c r="D7656" s="22" t="s">
        <v>11362</v>
      </c>
      <c r="E7656" s="22" t="s">
        <v>48</v>
      </c>
      <c r="F7656" s="23" t="str">
        <f>HYPERLINK("https://www.spark-marketing.ru/Card/Lot/72760641", "Оказание услуг по организации горячего питания")</f>
        <v>Оказание услуг по организации горячего питания</v>
      </c>
      <c r="G7656" s="22" t="s">
        <v>104</v>
      </c>
      <c r="H7656" s="22" t="s">
        <v>5791</v>
      </c>
      <c r="I7656" s="26">
        <v>43690.494814814803</v>
      </c>
      <c r="J7656" s="23" t="str">
        <f>HYPERLINK("https://www.spark-marketing.ru/Card/Person/50415", "ООО ""ЮГ-ПРОДСЕРВИС""")</f>
        <v>ООО "ЮГ-ПРОДСЕРВИС"</v>
      </c>
      <c r="K7656" s="24" t="s">
        <v>11363</v>
      </c>
      <c r="L7656" s="28" t="s">
        <v>51</v>
      </c>
      <c r="M7656" s="25">
        <v>1225089.45</v>
      </c>
      <c r="N7656" s="27">
        <v>0.155</v>
      </c>
    </row>
    <row r="7657" spans="1:14" ht="12.75" hidden="1" outlineLevel="1" x14ac:dyDescent="0.2">
      <c r="A7657" s="23" t="str">
        <f>HYPERLINK("https://www.spark-marketing.ru/Card/Person/241341", "МБОУ - СОШ № 13 СТ. ГРИВЕНСКОЙ")</f>
        <v>МБОУ - СОШ № 13 СТ. ГРИВЕНСКОЙ</v>
      </c>
      <c r="B7657" s="24" t="s">
        <v>11361</v>
      </c>
      <c r="C7657" s="25">
        <v>1449810</v>
      </c>
      <c r="D7657" s="22" t="s">
        <v>11362</v>
      </c>
      <c r="E7657" s="22" t="s">
        <v>48</v>
      </c>
      <c r="F7657" s="23" t="str">
        <f>HYPERLINK("https://www.spark-marketing.ru/Card/Lot/72760641", "Оказание услуг по организации горячего питания")</f>
        <v>Оказание услуг по организации горячего питания</v>
      </c>
      <c r="G7657" s="22" t="s">
        <v>104</v>
      </c>
      <c r="H7657" s="22" t="s">
        <v>5791</v>
      </c>
      <c r="I7657" s="26">
        <v>43690.494814814803</v>
      </c>
      <c r="J7657" s="23" t="str">
        <f>HYPERLINK("https://www.spark-marketing.ru/Card/Person/56423", "ООО ""ВОЛГАСЕРВИСПРОДУКТ""")</f>
        <v>ООО "ВОЛГАСЕРВИСПРОДУКТ"</v>
      </c>
      <c r="K7657" s="24" t="s">
        <v>3035</v>
      </c>
      <c r="L7657" s="22" t="s">
        <v>10</v>
      </c>
      <c r="M7657" s="25">
        <v>1217840.3999999999</v>
      </c>
      <c r="N7657" s="27">
        <v>0.16</v>
      </c>
    </row>
    <row r="7658" spans="1:14" x14ac:dyDescent="0.15">
      <c r="A7658" s="23" t="str">
        <f>HYPERLINK("https://www.spark-marketing.ru/Card/Person/1003382", "ОМВД РОССИИ ПО БЕЛОЯРСКОМУ РАЙОНУ")</f>
        <v>ОМВД РОССИИ ПО БЕЛОЯРСКОМУ РАЙОНУ</v>
      </c>
      <c r="B7658" s="24" t="s">
        <v>9113</v>
      </c>
      <c r="C7658" s="25">
        <v>3185</v>
      </c>
      <c r="D7658" s="22" t="s">
        <v>11364</v>
      </c>
      <c r="E7658" s="22" t="s">
        <v>96</v>
      </c>
      <c r="F7658" s="23" t="str">
        <f>HYPERLINK("https://www.spark-marketing.ru/Card/Lot/72755808",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7658" s="22" t="s">
        <v>97</v>
      </c>
      <c r="H7658" s="22" t="s">
        <v>9115</v>
      </c>
      <c r="I7658" s="26">
        <v>43690.544594907398</v>
      </c>
      <c r="J7658" s="28" t="s">
        <v>51</v>
      </c>
      <c r="K7658" s="28" t="s">
        <v>51</v>
      </c>
      <c r="L7658" s="28" t="s">
        <v>51</v>
      </c>
      <c r="M7658" s="28" t="s">
        <v>51</v>
      </c>
      <c r="N7658" s="28" t="s">
        <v>51</v>
      </c>
    </row>
    <row r="7659" spans="1:14" x14ac:dyDescent="0.15">
      <c r="A7659" s="23" t="str">
        <f>HYPERLINK("https://www.spark-marketing.ru/Card/Person/135338", "МБОУ - СОШ № 5 СТ. СТАРОВЕЛИЧКОВСКОЙ")</f>
        <v>МБОУ - СОШ № 5 СТ. СТАРОВЕЛИЧКОВСКОЙ</v>
      </c>
      <c r="B7659" s="24" t="s">
        <v>11365</v>
      </c>
      <c r="C7659" s="25">
        <v>3148475</v>
      </c>
      <c r="D7659" s="22" t="s">
        <v>11366</v>
      </c>
      <c r="E7659" s="22" t="s">
        <v>48</v>
      </c>
      <c r="F7659" s="23" t="str">
        <f>HYPERLINK("https://www.spark-marketing.ru/Card/Lot/72761184", "Оказание услуг по организации горячего питания")</f>
        <v>Оказание услуг по организации горячего питания</v>
      </c>
      <c r="G7659" s="22" t="s">
        <v>104</v>
      </c>
      <c r="H7659" s="22" t="s">
        <v>5791</v>
      </c>
      <c r="I7659" s="26">
        <v>43690.4843287037</v>
      </c>
      <c r="J7659" s="28" t="s">
        <v>51</v>
      </c>
      <c r="K7659" s="28" t="s">
        <v>51</v>
      </c>
      <c r="L7659" s="28" t="s">
        <v>51</v>
      </c>
      <c r="M7659" s="28" t="s">
        <v>51</v>
      </c>
      <c r="N7659" s="28" t="s">
        <v>51</v>
      </c>
    </row>
    <row r="7660" spans="1:14" hidden="1" outlineLevel="1" x14ac:dyDescent="0.2">
      <c r="A7660" s="23" t="str">
        <f>HYPERLINK("https://www.spark-marketing.ru/Card/Person/135338", "МБОУ - СОШ № 5 СТ. СТАРОВЕЛИЧКОВСКОЙ")</f>
        <v>МБОУ - СОШ № 5 СТ. СТАРОВЕЛИЧКОВСКОЙ</v>
      </c>
      <c r="B7660" s="24" t="s">
        <v>11365</v>
      </c>
      <c r="C7660" s="25">
        <v>3148475</v>
      </c>
      <c r="D7660" s="22" t="s">
        <v>11366</v>
      </c>
      <c r="E7660" s="22" t="s">
        <v>48</v>
      </c>
      <c r="F7660" s="23" t="str">
        <f>HYPERLINK("https://www.spark-marketing.ru/Card/Lot/72761184", "Оказание услуг по организации горячего питания")</f>
        <v>Оказание услуг по организации горячего питания</v>
      </c>
      <c r="G7660" s="22" t="s">
        <v>104</v>
      </c>
      <c r="H7660" s="22" t="s">
        <v>5791</v>
      </c>
      <c r="I7660" s="26">
        <v>43690.4843287037</v>
      </c>
      <c r="J7660" s="23" t="str">
        <f>HYPERLINK("https://www.spark-marketing.ru/Card/Person/50415", "ООО ""ЮГ-ПРОДСЕРВИС""")</f>
        <v>ООО "ЮГ-ПРОДСЕРВИС"</v>
      </c>
      <c r="K7660" s="24" t="s">
        <v>11363</v>
      </c>
      <c r="L7660" s="28" t="s">
        <v>51</v>
      </c>
      <c r="M7660" s="25">
        <v>2498006.81</v>
      </c>
      <c r="N7660" s="27">
        <v>0.20659785769301012</v>
      </c>
    </row>
    <row r="7661" spans="1:14" hidden="1" outlineLevel="1" x14ac:dyDescent="0.2">
      <c r="A7661" s="23" t="str">
        <f>HYPERLINK("https://www.spark-marketing.ru/Card/Person/135338", "МБОУ - СОШ № 5 СТ. СТАРОВЕЛИЧКОВСКОЙ")</f>
        <v>МБОУ - СОШ № 5 СТ. СТАРОВЕЛИЧКОВСКОЙ</v>
      </c>
      <c r="B7661" s="24" t="s">
        <v>11365</v>
      </c>
      <c r="C7661" s="25">
        <v>3148475</v>
      </c>
      <c r="D7661" s="22" t="s">
        <v>11366</v>
      </c>
      <c r="E7661" s="22" t="s">
        <v>48</v>
      </c>
      <c r="F7661" s="23" t="str">
        <f>HYPERLINK("https://www.spark-marketing.ru/Card/Lot/72761184", "Оказание услуг по организации горячего питания")</f>
        <v>Оказание услуг по организации горячего питания</v>
      </c>
      <c r="G7661" s="22" t="s">
        <v>104</v>
      </c>
      <c r="H7661" s="22" t="s">
        <v>5791</v>
      </c>
      <c r="I7661" s="26">
        <v>43690.4843287037</v>
      </c>
      <c r="J7661" s="23" t="str">
        <f>HYPERLINK("https://www.spark-marketing.ru/Card/Person/91517", "Науменко Ирина Александровна")</f>
        <v>Науменко Ирина Александровна</v>
      </c>
      <c r="K7661" s="24" t="s">
        <v>11367</v>
      </c>
      <c r="L7661" s="28" t="s">
        <v>51</v>
      </c>
      <c r="M7661" s="25">
        <v>2770657.58</v>
      </c>
      <c r="N7661" s="27">
        <v>0.12000013339791486</v>
      </c>
    </row>
    <row r="7662" spans="1:14" ht="12.75" hidden="1" outlineLevel="1" x14ac:dyDescent="0.2">
      <c r="A7662" s="23" t="str">
        <f>HYPERLINK("https://www.spark-marketing.ru/Card/Person/135338", "МБОУ - СОШ № 5 СТ. СТАРОВЕЛИЧКОВСКОЙ")</f>
        <v>МБОУ - СОШ № 5 СТ. СТАРОВЕЛИЧКОВСКОЙ</v>
      </c>
      <c r="B7662" s="24" t="s">
        <v>11365</v>
      </c>
      <c r="C7662" s="25">
        <v>3148475</v>
      </c>
      <c r="D7662" s="22" t="s">
        <v>11366</v>
      </c>
      <c r="E7662" s="22" t="s">
        <v>48</v>
      </c>
      <c r="F7662" s="23" t="str">
        <f>HYPERLINK("https://www.spark-marketing.ru/Card/Lot/72761184", "Оказание услуг по организации горячего питания")</f>
        <v>Оказание услуг по организации горячего питания</v>
      </c>
      <c r="G7662" s="22" t="s">
        <v>104</v>
      </c>
      <c r="H7662" s="22" t="s">
        <v>5791</v>
      </c>
      <c r="I7662" s="26">
        <v>43690.4843287037</v>
      </c>
      <c r="J7662" s="23" t="str">
        <f>HYPERLINK("https://www.spark-marketing.ru/Card/Person/56423", "ООО ""ВОЛГАСЕРВИСПРОДУКТ""")</f>
        <v>ООО "ВОЛГАСЕРВИСПРОДУКТ"</v>
      </c>
      <c r="K7662" s="24" t="s">
        <v>3035</v>
      </c>
      <c r="L7662" s="22" t="s">
        <v>10</v>
      </c>
      <c r="M7662" s="25">
        <v>2482264.4300000002</v>
      </c>
      <c r="N7662" s="27">
        <v>0.21159785928108052</v>
      </c>
    </row>
    <row r="7663" spans="1:14" x14ac:dyDescent="0.15">
      <c r="A7663" s="23" t="str">
        <f>HYPERLINK("https://www.spark-marketing.ru/Card/Person/64196", "МБОУ-СОШ № 4 СТ. СТАРОВЕЛИЧКОВСКОЙ")</f>
        <v>МБОУ-СОШ № 4 СТ. СТАРОВЕЛИЧКОВСКОЙ</v>
      </c>
      <c r="B7663" s="24" t="s">
        <v>11368</v>
      </c>
      <c r="C7663" s="25">
        <v>2218839.12</v>
      </c>
      <c r="D7663" s="22" t="s">
        <v>11369</v>
      </c>
      <c r="E7663" s="22" t="s">
        <v>48</v>
      </c>
      <c r="F7663" s="23" t="str">
        <f>HYPERLINK("https://www.spark-marketing.ru/Card/Lot/72760636", "Оказание услуг по организации горячего питания")</f>
        <v>Оказание услуг по организации горячего питания</v>
      </c>
      <c r="G7663" s="22" t="s">
        <v>104</v>
      </c>
      <c r="H7663" s="22" t="s">
        <v>5791</v>
      </c>
      <c r="I7663" s="26">
        <v>43690.482685185198</v>
      </c>
      <c r="J7663" s="28" t="s">
        <v>51</v>
      </c>
      <c r="K7663" s="28" t="s">
        <v>51</v>
      </c>
      <c r="L7663" s="28" t="s">
        <v>51</v>
      </c>
      <c r="M7663" s="28" t="s">
        <v>51</v>
      </c>
      <c r="N7663" s="28" t="s">
        <v>51</v>
      </c>
    </row>
    <row r="7664" spans="1:14" hidden="1" outlineLevel="1" x14ac:dyDescent="0.2">
      <c r="A7664" s="23" t="str">
        <f>HYPERLINK("https://www.spark-marketing.ru/Card/Person/64196", "МБОУ-СОШ № 4 СТ. СТАРОВЕЛИЧКОВСКОЙ")</f>
        <v>МБОУ-СОШ № 4 СТ. СТАРОВЕЛИЧКОВСКОЙ</v>
      </c>
      <c r="B7664" s="24" t="s">
        <v>11368</v>
      </c>
      <c r="C7664" s="25">
        <v>2218839.12</v>
      </c>
      <c r="D7664" s="22" t="s">
        <v>11369</v>
      </c>
      <c r="E7664" s="22" t="s">
        <v>48</v>
      </c>
      <c r="F7664" s="23" t="str">
        <f>HYPERLINK("https://www.spark-marketing.ru/Card/Lot/72760636", "Оказание услуг по организации горячего питания")</f>
        <v>Оказание услуг по организации горячего питания</v>
      </c>
      <c r="G7664" s="22" t="s">
        <v>104</v>
      </c>
      <c r="H7664" s="22" t="s">
        <v>5791</v>
      </c>
      <c r="I7664" s="26">
        <v>43690.482685185198</v>
      </c>
      <c r="J7664" s="23" t="str">
        <f>HYPERLINK("https://www.spark-marketing.ru/Card/Person/91517", "Науменко Ирина Александровна")</f>
        <v>Науменко Ирина Александровна</v>
      </c>
      <c r="K7664" s="24" t="s">
        <v>11367</v>
      </c>
      <c r="L7664" s="28" t="s">
        <v>51</v>
      </c>
      <c r="M7664" s="25">
        <v>1952578.32</v>
      </c>
      <c r="N7664" s="27">
        <v>0.12000004759245456</v>
      </c>
    </row>
    <row r="7665" spans="1:14" ht="12.75" hidden="1" outlineLevel="1" x14ac:dyDescent="0.2">
      <c r="A7665" s="23" t="str">
        <f>HYPERLINK("https://www.spark-marketing.ru/Card/Person/64196", "МБОУ-СОШ № 4 СТ. СТАРОВЕЛИЧКОВСКОЙ")</f>
        <v>МБОУ-СОШ № 4 СТ. СТАРОВЕЛИЧКОВСКОЙ</v>
      </c>
      <c r="B7665" s="24" t="s">
        <v>11368</v>
      </c>
      <c r="C7665" s="25">
        <v>2218839.12</v>
      </c>
      <c r="D7665" s="22" t="s">
        <v>11369</v>
      </c>
      <c r="E7665" s="22" t="s">
        <v>48</v>
      </c>
      <c r="F7665" s="23" t="str">
        <f>HYPERLINK("https://www.spark-marketing.ru/Card/Lot/72760636", "Оказание услуг по организации горячего питания")</f>
        <v>Оказание услуг по организации горячего питания</v>
      </c>
      <c r="G7665" s="22" t="s">
        <v>104</v>
      </c>
      <c r="H7665" s="22" t="s">
        <v>5791</v>
      </c>
      <c r="I7665" s="26">
        <v>43690.482685185198</v>
      </c>
      <c r="J7665" s="23" t="str">
        <f>HYPERLINK("https://www.spark-marketing.ru/Card/Person/56423", "ООО ""ВОЛГАСЕРВИСПРОДУКТ""")</f>
        <v>ООО "ВОЛГАСЕРВИСПРОДУКТ"</v>
      </c>
      <c r="K7665" s="24" t="s">
        <v>3035</v>
      </c>
      <c r="L7665" s="22" t="s">
        <v>10</v>
      </c>
      <c r="M7665" s="25">
        <v>1930389.92</v>
      </c>
      <c r="N7665" s="27">
        <v>0.13000005155849245</v>
      </c>
    </row>
    <row r="7666" spans="1:14" hidden="1" outlineLevel="1" x14ac:dyDescent="0.2">
      <c r="A7666" s="23" t="str">
        <f>HYPERLINK("https://www.spark-marketing.ru/Card/Person/64196", "МБОУ-СОШ № 4 СТ. СТАРОВЕЛИЧКОВСКОЙ")</f>
        <v>МБОУ-СОШ № 4 СТ. СТАРОВЕЛИЧКОВСКОЙ</v>
      </c>
      <c r="B7666" s="24" t="s">
        <v>11368</v>
      </c>
      <c r="C7666" s="25">
        <v>2218839.12</v>
      </c>
      <c r="D7666" s="22" t="s">
        <v>11369</v>
      </c>
      <c r="E7666" s="22" t="s">
        <v>48</v>
      </c>
      <c r="F7666" s="23" t="str">
        <f>HYPERLINK("https://www.spark-marketing.ru/Card/Lot/72760636", "Оказание услуг по организации горячего питания")</f>
        <v>Оказание услуг по организации горячего питания</v>
      </c>
      <c r="G7666" s="22" t="s">
        <v>104</v>
      </c>
      <c r="H7666" s="22" t="s">
        <v>5791</v>
      </c>
      <c r="I7666" s="26">
        <v>43690.482685185198</v>
      </c>
      <c r="J7666" s="23" t="str">
        <f>HYPERLINK("https://www.spark-marketing.ru/Card/Person/50415", "ООО ""ЮГ-ПРОДСЕРВИС""")</f>
        <v>ООО "ЮГ-ПРОДСЕРВИС"</v>
      </c>
      <c r="K7666" s="24" t="s">
        <v>11363</v>
      </c>
      <c r="L7666" s="28" t="s">
        <v>51</v>
      </c>
      <c r="M7666" s="25">
        <v>1941484.12</v>
      </c>
      <c r="N7666" s="27">
        <v>0.1250000495754735</v>
      </c>
    </row>
    <row r="7667" spans="1:14" x14ac:dyDescent="0.15">
      <c r="A7667" s="23" t="s">
        <v>114</v>
      </c>
      <c r="B7667" s="28" t="s">
        <v>51</v>
      </c>
      <c r="C7667" s="25">
        <v>1559272</v>
      </c>
      <c r="D7667" s="22" t="s">
        <v>11370</v>
      </c>
      <c r="E7667" s="22" t="s">
        <v>48</v>
      </c>
      <c r="F7667" s="23" t="str">
        <f t="shared" ref="F7667:F7682" si="165">HYPERLINK("https://www.spark-marketing.ru/Card/Lot/72760511", "Услуга: ""Организация бесплатного горячего питания льготных категорий учащихся общеобразовательных учреждений Родионово-Несветайского района""")</f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67" s="22" t="s">
        <v>51</v>
      </c>
      <c r="H7667" s="22" t="s">
        <v>51</v>
      </c>
      <c r="I7667" s="26">
        <v>43689.715451388904</v>
      </c>
      <c r="J7667" s="28" t="s">
        <v>51</v>
      </c>
      <c r="K7667" s="28" t="s">
        <v>51</v>
      </c>
      <c r="L7667" s="28" t="s">
        <v>51</v>
      </c>
      <c r="M7667" s="28" t="s">
        <v>51</v>
      </c>
      <c r="N7667" s="28" t="s">
        <v>51</v>
      </c>
    </row>
    <row r="7668" spans="1:14" hidden="1" outlineLevel="1" x14ac:dyDescent="0.15">
      <c r="A7668" s="23" t="str">
        <f>HYPERLINK("https://www.spark-marketing.ru/Card/Person/1051864", "МБОУ ""БОЛЬШЕКРЕПИНСКАЯ СОШ""")</f>
        <v>МБОУ "БОЛЬШЕКРЕПИНСКАЯ СОШ"</v>
      </c>
      <c r="B7668" s="24" t="s">
        <v>11371</v>
      </c>
      <c r="C7668" s="25">
        <v>163806.5</v>
      </c>
      <c r="D7668" s="22" t="s">
        <v>11370</v>
      </c>
      <c r="E7668" s="22" t="s">
        <v>48</v>
      </c>
      <c r="F7668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68" s="22" t="s">
        <v>267</v>
      </c>
      <c r="H7668" s="22" t="s">
        <v>10409</v>
      </c>
      <c r="I7668" s="26">
        <v>43689.715451388904</v>
      </c>
      <c r="J7668" s="28" t="s">
        <v>51</v>
      </c>
      <c r="K7668" s="28" t="s">
        <v>51</v>
      </c>
      <c r="L7668" s="28" t="s">
        <v>51</v>
      </c>
      <c r="M7668" s="28" t="s">
        <v>51</v>
      </c>
      <c r="N7668" s="28" t="s">
        <v>51</v>
      </c>
    </row>
    <row r="7669" spans="1:14" hidden="1" outlineLevel="1" x14ac:dyDescent="0.15">
      <c r="A7669" s="23" t="str">
        <f>HYPERLINK("https://www.spark-marketing.ru/Card/Person/105112", "МБОУ ""БОЛДЫРЕВСКАЯ ООШ""")</f>
        <v>МБОУ "БОЛДЫРЕВСКАЯ ООШ"</v>
      </c>
      <c r="B7669" s="24" t="s">
        <v>11372</v>
      </c>
      <c r="C7669" s="25">
        <v>58058</v>
      </c>
      <c r="D7669" s="22" t="s">
        <v>11370</v>
      </c>
      <c r="E7669" s="22" t="s">
        <v>48</v>
      </c>
      <c r="F7669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69" s="22" t="s">
        <v>267</v>
      </c>
      <c r="H7669" s="22" t="s">
        <v>10409</v>
      </c>
      <c r="I7669" s="26">
        <v>43689.715451388904</v>
      </c>
      <c r="J7669" s="28" t="s">
        <v>51</v>
      </c>
      <c r="K7669" s="28" t="s">
        <v>51</v>
      </c>
      <c r="L7669" s="28" t="s">
        <v>51</v>
      </c>
      <c r="M7669" s="28" t="s">
        <v>51</v>
      </c>
      <c r="N7669" s="28" t="s">
        <v>51</v>
      </c>
    </row>
    <row r="7670" spans="1:14" hidden="1" outlineLevel="1" x14ac:dyDescent="0.15">
      <c r="A7670" s="23" t="str">
        <f>HYPERLINK("https://www.spark-marketing.ru/Card/Person/1050132", "МБОУ ""ВЫДЕЛЯНСКАЯ СОШ""")</f>
        <v>МБОУ "ВЫДЕЛЯНСКАЯ СОШ"</v>
      </c>
      <c r="B7670" s="24" t="s">
        <v>11373</v>
      </c>
      <c r="C7670" s="25">
        <v>55984.5</v>
      </c>
      <c r="D7670" s="22" t="s">
        <v>11370</v>
      </c>
      <c r="E7670" s="22" t="s">
        <v>48</v>
      </c>
      <c r="F7670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70" s="22" t="s">
        <v>267</v>
      </c>
      <c r="H7670" s="22" t="s">
        <v>10409</v>
      </c>
      <c r="I7670" s="26">
        <v>43689.715451388904</v>
      </c>
      <c r="J7670" s="28" t="s">
        <v>51</v>
      </c>
      <c r="K7670" s="28" t="s">
        <v>51</v>
      </c>
      <c r="L7670" s="28" t="s">
        <v>51</v>
      </c>
      <c r="M7670" s="28" t="s">
        <v>51</v>
      </c>
      <c r="N7670" s="28" t="s">
        <v>51</v>
      </c>
    </row>
    <row r="7671" spans="1:14" hidden="1" outlineLevel="1" x14ac:dyDescent="0.15">
      <c r="A7671" s="23" t="str">
        <f>HYPERLINK("https://www.spark-marketing.ru/Card/Person/1050974", "МБОУ ""РОДИОНОВО-НЕСВЕТАЙСКАЯ СОШ № 7""")</f>
        <v>МБОУ "РОДИОНОВО-НЕСВЕТАЙСКАЯ СОШ № 7"</v>
      </c>
      <c r="B7671" s="24" t="s">
        <v>11374</v>
      </c>
      <c r="C7671" s="25">
        <v>466537.5</v>
      </c>
      <c r="D7671" s="22" t="s">
        <v>11370</v>
      </c>
      <c r="E7671" s="22" t="s">
        <v>48</v>
      </c>
      <c r="F7671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71" s="22" t="s">
        <v>267</v>
      </c>
      <c r="H7671" s="22" t="s">
        <v>10409</v>
      </c>
      <c r="I7671" s="26">
        <v>43689.715451388904</v>
      </c>
      <c r="J7671" s="28" t="s">
        <v>51</v>
      </c>
      <c r="K7671" s="28" t="s">
        <v>51</v>
      </c>
      <c r="L7671" s="28" t="s">
        <v>51</v>
      </c>
      <c r="M7671" s="28" t="s">
        <v>51</v>
      </c>
      <c r="N7671" s="28" t="s">
        <v>51</v>
      </c>
    </row>
    <row r="7672" spans="1:14" hidden="1" outlineLevel="1" x14ac:dyDescent="0.15">
      <c r="A7672" s="23" t="str">
        <f>HYPERLINK("https://www.spark-marketing.ru/Card/Person/1052348", "МБОУ ""АЛЕКСЕЕВО-ТУЗЛОВСКАЯ СОШ""")</f>
        <v>МБОУ "АЛЕКСЕЕВО-ТУЗЛОВСКАЯ СОШ"</v>
      </c>
      <c r="B7672" s="24" t="s">
        <v>11375</v>
      </c>
      <c r="C7672" s="25">
        <v>49764</v>
      </c>
      <c r="D7672" s="22" t="s">
        <v>11370</v>
      </c>
      <c r="E7672" s="22" t="s">
        <v>48</v>
      </c>
      <c r="F7672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72" s="22" t="s">
        <v>267</v>
      </c>
      <c r="H7672" s="22" t="s">
        <v>10409</v>
      </c>
      <c r="I7672" s="26">
        <v>43689.715451388904</v>
      </c>
      <c r="J7672" s="28" t="s">
        <v>51</v>
      </c>
      <c r="K7672" s="28" t="s">
        <v>51</v>
      </c>
      <c r="L7672" s="28" t="s">
        <v>51</v>
      </c>
      <c r="M7672" s="28" t="s">
        <v>51</v>
      </c>
      <c r="N7672" s="28" t="s">
        <v>51</v>
      </c>
    </row>
    <row r="7673" spans="1:14" hidden="1" outlineLevel="1" x14ac:dyDescent="0.15">
      <c r="A7673" s="23" t="str">
        <f>HYPERLINK("https://www.spark-marketing.ru/Card/Person/1053761", "МБОУ ""АВИЛОВСКАЯ СОШ""")</f>
        <v>МБОУ "АВИЛОВСКАЯ СОШ"</v>
      </c>
      <c r="B7673" s="24" t="s">
        <v>11376</v>
      </c>
      <c r="C7673" s="25">
        <v>91234</v>
      </c>
      <c r="D7673" s="22" t="s">
        <v>11370</v>
      </c>
      <c r="E7673" s="22" t="s">
        <v>48</v>
      </c>
      <c r="F7673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73" s="22" t="s">
        <v>267</v>
      </c>
      <c r="H7673" s="22" t="s">
        <v>10409</v>
      </c>
      <c r="I7673" s="26">
        <v>43689.715451388904</v>
      </c>
      <c r="J7673" s="28" t="s">
        <v>51</v>
      </c>
      <c r="K7673" s="28" t="s">
        <v>51</v>
      </c>
      <c r="L7673" s="28" t="s">
        <v>51</v>
      </c>
      <c r="M7673" s="28" t="s">
        <v>51</v>
      </c>
      <c r="N7673" s="28" t="s">
        <v>51</v>
      </c>
    </row>
    <row r="7674" spans="1:14" hidden="1" outlineLevel="1" x14ac:dyDescent="0.15">
      <c r="A7674" s="23" t="str">
        <f>HYPERLINK("https://www.spark-marketing.ru/Card/Person/1053953", "МБОУ ""ВЕСЕЛОВСКАЯ СОШ""")</f>
        <v>МБОУ "ВЕСЕЛОВСКАЯ СОШ"</v>
      </c>
      <c r="B7674" s="24" t="s">
        <v>11377</v>
      </c>
      <c r="C7674" s="25">
        <v>51837.5</v>
      </c>
      <c r="D7674" s="22" t="s">
        <v>11370</v>
      </c>
      <c r="E7674" s="22" t="s">
        <v>48</v>
      </c>
      <c r="F7674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74" s="22" t="s">
        <v>267</v>
      </c>
      <c r="H7674" s="22" t="s">
        <v>10409</v>
      </c>
      <c r="I7674" s="26">
        <v>43689.715451388904</v>
      </c>
      <c r="J7674" s="28" t="s">
        <v>51</v>
      </c>
      <c r="K7674" s="28" t="s">
        <v>51</v>
      </c>
      <c r="L7674" s="28" t="s">
        <v>51</v>
      </c>
      <c r="M7674" s="28" t="s">
        <v>51</v>
      </c>
      <c r="N7674" s="28" t="s">
        <v>51</v>
      </c>
    </row>
    <row r="7675" spans="1:14" hidden="1" outlineLevel="1" x14ac:dyDescent="0.15">
      <c r="A7675" s="23" t="str">
        <f>HYPERLINK("https://www.spark-marketing.ru/Card/Person/1053955", "МБОУ ""АГРАФЕНОВСКАЯ СОШ""")</f>
        <v>МБОУ "АГРАФЕНОВСКАЯ СОШ"</v>
      </c>
      <c r="B7675" s="24" t="s">
        <v>11378</v>
      </c>
      <c r="C7675" s="25">
        <v>89160.5</v>
      </c>
      <c r="D7675" s="22" t="s">
        <v>11370</v>
      </c>
      <c r="E7675" s="22" t="s">
        <v>48</v>
      </c>
      <c r="F7675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75" s="22" t="s">
        <v>267</v>
      </c>
      <c r="H7675" s="22" t="s">
        <v>10409</v>
      </c>
      <c r="I7675" s="26">
        <v>43689.715451388904</v>
      </c>
      <c r="J7675" s="28" t="s">
        <v>51</v>
      </c>
      <c r="K7675" s="28" t="s">
        <v>51</v>
      </c>
      <c r="L7675" s="28" t="s">
        <v>51</v>
      </c>
      <c r="M7675" s="28" t="s">
        <v>51</v>
      </c>
      <c r="N7675" s="28" t="s">
        <v>51</v>
      </c>
    </row>
    <row r="7676" spans="1:14" hidden="1" outlineLevel="1" x14ac:dyDescent="0.15">
      <c r="A7676" s="23" t="str">
        <f>HYPERLINK("https://www.spark-marketing.ru/Card/Person/1057334", "МБОУ ""ГЕНЕРАЛЬСКАЯ ООШ""")</f>
        <v>МБОУ "ГЕНЕРАЛЬСКАЯ ООШ"</v>
      </c>
      <c r="B7676" s="24" t="s">
        <v>11379</v>
      </c>
      <c r="C7676" s="25">
        <v>41470</v>
      </c>
      <c r="D7676" s="22" t="s">
        <v>11370</v>
      </c>
      <c r="E7676" s="22" t="s">
        <v>48</v>
      </c>
      <c r="F7676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76" s="22" t="s">
        <v>267</v>
      </c>
      <c r="H7676" s="22" t="s">
        <v>10409</v>
      </c>
      <c r="I7676" s="26">
        <v>43689.715451388904</v>
      </c>
      <c r="J7676" s="28" t="s">
        <v>51</v>
      </c>
      <c r="K7676" s="28" t="s">
        <v>51</v>
      </c>
      <c r="L7676" s="28" t="s">
        <v>51</v>
      </c>
      <c r="M7676" s="28" t="s">
        <v>51</v>
      </c>
      <c r="N7676" s="28" t="s">
        <v>51</v>
      </c>
    </row>
    <row r="7677" spans="1:14" hidden="1" outlineLevel="1" x14ac:dyDescent="0.15">
      <c r="A7677" s="23" t="str">
        <f>HYPERLINK("https://www.spark-marketing.ru/Card/Person/1060039", "МБОУ ""БАРИЛО-КРЕПИНСКАЯ СОШ""")</f>
        <v>МБОУ "БАРИЛО-КРЕПИНСКАЯ СОШ"</v>
      </c>
      <c r="B7677" s="24" t="s">
        <v>11380</v>
      </c>
      <c r="C7677" s="25">
        <v>85013.5</v>
      </c>
      <c r="D7677" s="22" t="s">
        <v>11370</v>
      </c>
      <c r="E7677" s="22" t="s">
        <v>48</v>
      </c>
      <c r="F7677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77" s="22" t="s">
        <v>267</v>
      </c>
      <c r="H7677" s="22" t="s">
        <v>10409</v>
      </c>
      <c r="I7677" s="26">
        <v>43689.715451388904</v>
      </c>
      <c r="J7677" s="28" t="s">
        <v>51</v>
      </c>
      <c r="K7677" s="28" t="s">
        <v>51</v>
      </c>
      <c r="L7677" s="28" t="s">
        <v>51</v>
      </c>
      <c r="M7677" s="28" t="s">
        <v>51</v>
      </c>
      <c r="N7677" s="28" t="s">
        <v>51</v>
      </c>
    </row>
    <row r="7678" spans="1:14" hidden="1" outlineLevel="1" x14ac:dyDescent="0.15">
      <c r="A7678" s="23" t="str">
        <f>HYPERLINK("https://www.spark-marketing.ru/Card/Person/1066761", "МБОУ ""ВОЛОШИНСКАЯ СОШ""")</f>
        <v>МБОУ "ВОЛОШИНСКАЯ СОШ"</v>
      </c>
      <c r="B7678" s="24" t="s">
        <v>11381</v>
      </c>
      <c r="C7678" s="25">
        <v>130630.5</v>
      </c>
      <c r="D7678" s="22" t="s">
        <v>11370</v>
      </c>
      <c r="E7678" s="22" t="s">
        <v>48</v>
      </c>
      <c r="F7678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78" s="22" t="s">
        <v>267</v>
      </c>
      <c r="H7678" s="22" t="s">
        <v>10409</v>
      </c>
      <c r="I7678" s="26">
        <v>43689.715451388904</v>
      </c>
      <c r="J7678" s="28" t="s">
        <v>51</v>
      </c>
      <c r="K7678" s="28" t="s">
        <v>51</v>
      </c>
      <c r="L7678" s="28" t="s">
        <v>51</v>
      </c>
      <c r="M7678" s="28" t="s">
        <v>51</v>
      </c>
      <c r="N7678" s="28" t="s">
        <v>51</v>
      </c>
    </row>
    <row r="7679" spans="1:14" hidden="1" outlineLevel="1" x14ac:dyDescent="0.15">
      <c r="A7679" s="23" t="str">
        <f>HYPERLINK("https://www.spark-marketing.ru/Card/Person/1067121", "МБОУ ""ДАРЬЕВСКАЯ СОШ""")</f>
        <v>МБОУ "ДАРЬЕВСКАЯ СОШ"</v>
      </c>
      <c r="B7679" s="24" t="s">
        <v>11382</v>
      </c>
      <c r="C7679" s="25">
        <v>89160.5</v>
      </c>
      <c r="D7679" s="22" t="s">
        <v>11370</v>
      </c>
      <c r="E7679" s="22" t="s">
        <v>48</v>
      </c>
      <c r="F7679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79" s="22" t="s">
        <v>267</v>
      </c>
      <c r="H7679" s="22" t="s">
        <v>10409</v>
      </c>
      <c r="I7679" s="26">
        <v>43689.715451388904</v>
      </c>
      <c r="J7679" s="28" t="s">
        <v>51</v>
      </c>
      <c r="K7679" s="28" t="s">
        <v>51</v>
      </c>
      <c r="L7679" s="28" t="s">
        <v>51</v>
      </c>
      <c r="M7679" s="28" t="s">
        <v>51</v>
      </c>
      <c r="N7679" s="28" t="s">
        <v>51</v>
      </c>
    </row>
    <row r="7680" spans="1:14" hidden="1" outlineLevel="1" x14ac:dyDescent="0.15">
      <c r="A7680" s="23" t="str">
        <f>HYPERLINK("https://www.spark-marketing.ru/Card/Person/1067283", "МБОУ ""ПЛАТОВО-ИВАНОВСКАЯ ООШ""")</f>
        <v>МБОУ "ПЛАТОВО-ИВАНОВСКАЯ ООШ"</v>
      </c>
      <c r="B7680" s="24" t="s">
        <v>11383</v>
      </c>
      <c r="C7680" s="25">
        <v>49764</v>
      </c>
      <c r="D7680" s="22" t="s">
        <v>11370</v>
      </c>
      <c r="E7680" s="22" t="s">
        <v>48</v>
      </c>
      <c r="F7680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80" s="22" t="s">
        <v>267</v>
      </c>
      <c r="H7680" s="22" t="s">
        <v>10409</v>
      </c>
      <c r="I7680" s="26">
        <v>43689.715451388904</v>
      </c>
      <c r="J7680" s="28" t="s">
        <v>51</v>
      </c>
      <c r="K7680" s="28" t="s">
        <v>51</v>
      </c>
      <c r="L7680" s="28" t="s">
        <v>51</v>
      </c>
      <c r="M7680" s="28" t="s">
        <v>51</v>
      </c>
      <c r="N7680" s="28" t="s">
        <v>51</v>
      </c>
    </row>
    <row r="7681" spans="1:14" hidden="1" outlineLevel="1" x14ac:dyDescent="0.15">
      <c r="A7681" s="23" t="str">
        <f>HYPERLINK("https://www.spark-marketing.ru/Card/Person/1067337", "МБОУ ""КАМЕННО-БРОДСКАЯ ООШ"" ИМЕНИ ГЕРОЯ СОВЕТСКОГО СОЮЗА ОРЕХОВА С.Я.")</f>
        <v>МБОУ "КАМЕННО-БРОДСКАЯ ООШ" ИМЕНИ ГЕРОЯ СОВЕТСКОГО СОЮЗА ОРЕХОВА С.Я.</v>
      </c>
      <c r="B7681" s="24" t="s">
        <v>11384</v>
      </c>
      <c r="C7681" s="25">
        <v>43543.5</v>
      </c>
      <c r="D7681" s="22" t="s">
        <v>11370</v>
      </c>
      <c r="E7681" s="22" t="s">
        <v>48</v>
      </c>
      <c r="F7681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81" s="22" t="s">
        <v>267</v>
      </c>
      <c r="H7681" s="22" t="s">
        <v>10409</v>
      </c>
      <c r="I7681" s="26">
        <v>43689.715451388904</v>
      </c>
      <c r="J7681" s="28" t="s">
        <v>51</v>
      </c>
      <c r="K7681" s="28" t="s">
        <v>51</v>
      </c>
      <c r="L7681" s="28" t="s">
        <v>51</v>
      </c>
      <c r="M7681" s="28" t="s">
        <v>51</v>
      </c>
      <c r="N7681" s="28" t="s">
        <v>51</v>
      </c>
    </row>
    <row r="7682" spans="1:14" hidden="1" outlineLevel="1" x14ac:dyDescent="0.15">
      <c r="A7682" s="23" t="str">
        <f>HYPERLINK("https://www.spark-marketing.ru/Card/Person/1072434", "МБОУ ""КУТЕЙНИКОВСКАЯ СОШ""")</f>
        <v>МБОУ "КУТЕЙНИКОВСКАЯ СОШ"</v>
      </c>
      <c r="B7682" s="24" t="s">
        <v>11385</v>
      </c>
      <c r="C7682" s="25">
        <v>93307.5</v>
      </c>
      <c r="D7682" s="22" t="s">
        <v>11370</v>
      </c>
      <c r="E7682" s="22" t="s">
        <v>48</v>
      </c>
      <c r="F7682" s="23" t="str">
        <f t="shared" si="165"/>
        <v>Услуга: "Организация бесплатного горячего питания льготных категорий учащихся общеобразовательных учреждений Родионово-Несветайского района"</v>
      </c>
      <c r="G7682" s="22" t="s">
        <v>267</v>
      </c>
      <c r="H7682" s="22" t="s">
        <v>10409</v>
      </c>
      <c r="I7682" s="26">
        <v>43689.715451388904</v>
      </c>
      <c r="J7682" s="28" t="s">
        <v>51</v>
      </c>
      <c r="K7682" s="28" t="s">
        <v>51</v>
      </c>
      <c r="L7682" s="28" t="s">
        <v>51</v>
      </c>
      <c r="M7682" s="28" t="s">
        <v>51</v>
      </c>
      <c r="N7682" s="28" t="s">
        <v>51</v>
      </c>
    </row>
    <row r="7683" spans="1:14" x14ac:dyDescent="0.15">
      <c r="A7683" s="23" t="str">
        <f>HYPERLINK("https://www.spark-marketing.ru/Card/Person/4343663", "МИНЗДРАВ АЛТАЙСКОГО КРАЯ")</f>
        <v>МИНЗДРАВ АЛТАЙСКОГО КРАЯ</v>
      </c>
      <c r="B7683" s="24" t="s">
        <v>9429</v>
      </c>
      <c r="C7683" s="25">
        <v>298997.76000000001</v>
      </c>
      <c r="D7683" s="22" t="s">
        <v>11386</v>
      </c>
      <c r="E7683" s="22" t="s">
        <v>336</v>
      </c>
      <c r="F7683" s="23" t="str">
        <f>HYPERLINK("https://www.spark-marketing.ru/Card/Lot/72756708",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7683" s="22" t="s">
        <v>63</v>
      </c>
      <c r="H7683" s="22" t="s">
        <v>177</v>
      </c>
      <c r="I7683" s="26">
        <v>43690.559722222199</v>
      </c>
      <c r="J7683" s="28" t="s">
        <v>51</v>
      </c>
      <c r="K7683" s="28" t="s">
        <v>51</v>
      </c>
      <c r="L7683" s="28" t="s">
        <v>51</v>
      </c>
      <c r="M7683" s="28" t="s">
        <v>51</v>
      </c>
      <c r="N7683" s="28" t="s">
        <v>51</v>
      </c>
    </row>
    <row r="7684" spans="1:14" x14ac:dyDescent="0.15">
      <c r="A7684" s="23" t="str">
        <f>HYPERLINK("https://www.spark-marketing.ru/Card/Person/149739", "ОТДЕЛ МВД РФ ПО ЗАКАМЕНСКОМУ РАЙОНУ")</f>
        <v>ОТДЕЛ МВД РФ ПО ЗАКАМЕНСКОМУ РАЙОНУ</v>
      </c>
      <c r="B7684" s="24" t="s">
        <v>11387</v>
      </c>
      <c r="C7684" s="25">
        <v>1469380</v>
      </c>
      <c r="D7684" s="22" t="s">
        <v>11388</v>
      </c>
      <c r="E7684" s="22" t="s">
        <v>48</v>
      </c>
      <c r="F7684" s="23" t="str">
        <f>HYPERLINK("https://www.spark-marketing.ru/Card/Lot/72748799", "Питание ИВС")</f>
        <v>Питание ИВС</v>
      </c>
      <c r="G7684" s="22" t="s">
        <v>433</v>
      </c>
      <c r="H7684" s="22" t="s">
        <v>5082</v>
      </c>
      <c r="I7684" s="26">
        <v>43690.5159837963</v>
      </c>
      <c r="J7684" s="23" t="str">
        <f>HYPERLINK("https://www.spark-marketing.ru/Card/Person/5767388", "ООО ""ГОРНЫЙ ВОЗДУХ""")</f>
        <v>ООО "ГОРНЫЙ ВОЗДУХ"</v>
      </c>
      <c r="K7684" s="24" t="s">
        <v>5083</v>
      </c>
      <c r="L7684" s="22" t="s">
        <v>10</v>
      </c>
      <c r="M7684" s="28" t="s">
        <v>51</v>
      </c>
      <c r="N7684" s="28" t="s">
        <v>51</v>
      </c>
    </row>
    <row r="7685" spans="1:14" x14ac:dyDescent="0.15">
      <c r="A7685" s="23" t="str">
        <f>HYPERLINK("https://www.spark-marketing.ru/Card/Person/1024595", "МОУ ""СОШ № 16""")</f>
        <v>МОУ "СОШ № 16"</v>
      </c>
      <c r="B7685" s="24" t="s">
        <v>8509</v>
      </c>
      <c r="C7685" s="25">
        <v>172550</v>
      </c>
      <c r="D7685" s="22" t="s">
        <v>11389</v>
      </c>
      <c r="E7685" s="22" t="s">
        <v>48</v>
      </c>
      <c r="F7685" s="23" t="str">
        <f>HYPERLINK("https://www.spark-marketing.ru/Card/Lot/72755134", "оказание услуг по обеспечению льготным питанием детей из малообеспеченных семей и детей с нарушением здоровья")</f>
        <v>оказание услуг по обеспечению льготным питанием детей из малообеспеченных семей и детей с нарушением здоровья</v>
      </c>
      <c r="G7685" s="22" t="s">
        <v>469</v>
      </c>
      <c r="H7685" s="22" t="s">
        <v>5961</v>
      </c>
      <c r="I7685" s="26">
        <v>43690.521527777797</v>
      </c>
      <c r="J7685" s="28" t="s">
        <v>51</v>
      </c>
      <c r="K7685" s="28" t="s">
        <v>51</v>
      </c>
      <c r="L7685" s="28" t="s">
        <v>51</v>
      </c>
      <c r="M7685" s="28" t="s">
        <v>51</v>
      </c>
      <c r="N7685" s="28" t="s">
        <v>51</v>
      </c>
    </row>
    <row r="7686" spans="1:14" x14ac:dyDescent="0.15">
      <c r="A7686" s="23" t="str">
        <f t="shared" ref="A7686:A7691" si="166">HYPERLINK("https://www.spark-marketing.ru/Card/Person/997250", "ОТДЕЛ МВД РОССИИ ПО НИКОЛАЕВСКОМУ РАЙОНУ")</f>
        <v>ОТДЕЛ МВД РОССИИ ПО НИКОЛАЕВСКОМУ РАЙОНУ</v>
      </c>
      <c r="B7686" s="24" t="s">
        <v>11390</v>
      </c>
      <c r="C7686" s="25">
        <v>800000</v>
      </c>
      <c r="D7686" s="22" t="s">
        <v>11391</v>
      </c>
      <c r="E7686" s="22" t="s">
        <v>11392</v>
      </c>
      <c r="F7686" s="23" t="str">
        <f>HYPERLINK("https://www.spark-marketing.ru/Card/Lot/72755245", "Оказание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 и лиц, содержащихся в изоляторе временного содержания подозреваемых и об...")</f>
        <v>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 и лиц, содержащихся в изоляторе временного содержания подозреваемых и об...</v>
      </c>
      <c r="G7686" s="22" t="s">
        <v>158</v>
      </c>
      <c r="H7686" s="22" t="s">
        <v>158</v>
      </c>
      <c r="I7686" s="26">
        <v>43690.519699074102</v>
      </c>
      <c r="J7686" s="28" t="s">
        <v>51</v>
      </c>
      <c r="K7686" s="28" t="s">
        <v>51</v>
      </c>
      <c r="L7686" s="28" t="s">
        <v>51</v>
      </c>
      <c r="M7686" s="28" t="s">
        <v>51</v>
      </c>
      <c r="N7686" s="28" t="s">
        <v>51</v>
      </c>
    </row>
    <row r="7687" spans="1:14" hidden="1" outlineLevel="1" x14ac:dyDescent="0.2">
      <c r="A7687" s="23" t="str">
        <f t="shared" si="166"/>
        <v>ОТДЕЛ МВД РОССИИ ПО НИКОЛАЕВСКОМУ РАЙОНУ</v>
      </c>
      <c r="B7687" s="24" t="s">
        <v>11390</v>
      </c>
      <c r="C7687" s="25">
        <v>800000</v>
      </c>
      <c r="D7687" s="22" t="s">
        <v>11391</v>
      </c>
      <c r="E7687" s="22" t="s">
        <v>11392</v>
      </c>
      <c r="F7687" s="23" t="str">
        <f>HYPERLINK("https://www.spark-marketing.ru/Card/Lot/72755245", "Оказание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 и лиц, содержащихся в изоляторе временного содержания подозреваемых и об...")</f>
        <v>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 и лиц, содержащихся в изоляторе временного содержания подозреваемых и об...</v>
      </c>
      <c r="G7687" s="22" t="s">
        <v>158</v>
      </c>
      <c r="H7687" s="22" t="s">
        <v>158</v>
      </c>
      <c r="I7687" s="26">
        <v>43690.519699074102</v>
      </c>
      <c r="J7687" s="23" t="str">
        <f>HYPERLINK("https://www.spark-marketing.ru/Card/Person/520670", "ООО ""СОЮЗ К""")</f>
        <v>ООО "СОЮЗ К"</v>
      </c>
      <c r="K7687" s="24" t="s">
        <v>10035</v>
      </c>
      <c r="L7687" s="28" t="s">
        <v>51</v>
      </c>
      <c r="M7687" s="25">
        <v>716000</v>
      </c>
      <c r="N7687" s="27">
        <v>0.105</v>
      </c>
    </row>
    <row r="7688" spans="1:14" ht="12.75" hidden="1" outlineLevel="1" x14ac:dyDescent="0.2">
      <c r="A7688" s="23" t="str">
        <f t="shared" si="166"/>
        <v>ОТДЕЛ МВД РОССИИ ПО НИКОЛАЕВСКОМУ РАЙОНУ</v>
      </c>
      <c r="B7688" s="24" t="s">
        <v>11390</v>
      </c>
      <c r="C7688" s="25">
        <v>800000</v>
      </c>
      <c r="D7688" s="22" t="s">
        <v>11391</v>
      </c>
      <c r="E7688" s="22" t="s">
        <v>11392</v>
      </c>
      <c r="F7688" s="23" t="str">
        <f>HYPERLINK("https://www.spark-marketing.ru/Card/Lot/72755245", "Оказание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 и лиц, содержащихся в изоляторе временного содержания подозреваемых и об...")</f>
        <v>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 и лиц, содержащихся в изоляторе временного содержания подозреваемых и об...</v>
      </c>
      <c r="G7688" s="22" t="s">
        <v>158</v>
      </c>
      <c r="H7688" s="22" t="s">
        <v>158</v>
      </c>
      <c r="I7688" s="26">
        <v>43690.519699074102</v>
      </c>
      <c r="J7688" s="23" t="str">
        <f>HYPERLINK("https://www.spark-marketing.ru/Card/Person/503232", "НИКОЛАЕВСКОЕ РАЙПО")</f>
        <v>НИКОЛАЕВСКОЕ РАЙПО</v>
      </c>
      <c r="K7688" s="24" t="s">
        <v>11393</v>
      </c>
      <c r="L7688" s="22" t="s">
        <v>10</v>
      </c>
      <c r="M7688" s="25">
        <v>712000</v>
      </c>
      <c r="N7688" s="27">
        <v>0.11</v>
      </c>
    </row>
    <row r="7689" spans="1:14" x14ac:dyDescent="0.15">
      <c r="A7689" s="23" t="str">
        <f t="shared" si="166"/>
        <v>ОТДЕЛ МВД РОССИИ ПО НИКОЛАЕВСКОМУ РАЙОНУ</v>
      </c>
      <c r="B7689" s="24" t="s">
        <v>11390</v>
      </c>
      <c r="C7689" s="25">
        <v>690000</v>
      </c>
      <c r="D7689" s="22" t="s">
        <v>11394</v>
      </c>
      <c r="E7689" s="22" t="s">
        <v>11392</v>
      </c>
      <c r="F7689" s="23" t="str">
        <f>HYPERLINK("https://www.spark-marketing.ru/Card/Lot/72760279", "Оказание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 и лиц, содержащихся в изоляторе временного содержания подозреваемых и об...")</f>
        <v>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 и лиц, содержащихся в изоляторе временного содержания подозреваемых и об...</v>
      </c>
      <c r="G7689" s="22" t="s">
        <v>158</v>
      </c>
      <c r="H7689" s="22" t="s">
        <v>158</v>
      </c>
      <c r="I7689" s="26">
        <v>43690.527060185203</v>
      </c>
      <c r="J7689" s="28" t="s">
        <v>51</v>
      </c>
      <c r="K7689" s="28" t="s">
        <v>51</v>
      </c>
      <c r="L7689" s="28" t="s">
        <v>51</v>
      </c>
      <c r="M7689" s="28" t="s">
        <v>51</v>
      </c>
      <c r="N7689" s="28" t="s">
        <v>51</v>
      </c>
    </row>
    <row r="7690" spans="1:14" hidden="1" outlineLevel="1" x14ac:dyDescent="0.2">
      <c r="A7690" s="23" t="str">
        <f t="shared" si="166"/>
        <v>ОТДЕЛ МВД РОССИИ ПО НИКОЛАЕВСКОМУ РАЙОНУ</v>
      </c>
      <c r="B7690" s="24" t="s">
        <v>11390</v>
      </c>
      <c r="C7690" s="25">
        <v>690000</v>
      </c>
      <c r="D7690" s="22" t="s">
        <v>11394</v>
      </c>
      <c r="E7690" s="22" t="s">
        <v>11392</v>
      </c>
      <c r="F7690" s="23" t="str">
        <f>HYPERLINK("https://www.spark-marketing.ru/Card/Lot/72760279", "Оказание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 и лиц, содержащихся в изоляторе временного содержания подозреваемых и об...")</f>
        <v>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 и лиц, содержащихся в изоляторе временного содержания подозреваемых и об...</v>
      </c>
      <c r="G7690" s="22" t="s">
        <v>158</v>
      </c>
      <c r="H7690" s="22" t="s">
        <v>158</v>
      </c>
      <c r="I7690" s="26">
        <v>43690.527060185203</v>
      </c>
      <c r="J7690" s="23" t="str">
        <f>HYPERLINK("https://www.spark-marketing.ru/Card/Person/520670", "ООО ""СОЮЗ К""")</f>
        <v>ООО "СОЮЗ К"</v>
      </c>
      <c r="K7690" s="24" t="s">
        <v>10035</v>
      </c>
      <c r="L7690" s="28" t="s">
        <v>51</v>
      </c>
      <c r="M7690" s="25">
        <v>614100</v>
      </c>
      <c r="N7690" s="27">
        <v>0.11</v>
      </c>
    </row>
    <row r="7691" spans="1:14" ht="12.75" hidden="1" outlineLevel="1" x14ac:dyDescent="0.2">
      <c r="A7691" s="23" t="str">
        <f t="shared" si="166"/>
        <v>ОТДЕЛ МВД РОССИИ ПО НИКОЛАЕВСКОМУ РАЙОНУ</v>
      </c>
      <c r="B7691" s="24" t="s">
        <v>11390</v>
      </c>
      <c r="C7691" s="25">
        <v>690000</v>
      </c>
      <c r="D7691" s="22" t="s">
        <v>11394</v>
      </c>
      <c r="E7691" s="22" t="s">
        <v>11392</v>
      </c>
      <c r="F7691" s="23" t="str">
        <f>HYPERLINK("https://www.spark-marketing.ru/Card/Lot/72760279", "Оказание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 и лиц, содержащихся в изоляторе временного содержания подозреваемых и об...")</f>
        <v>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 и лиц, содержащихся в изоляторе временного содержания подозреваемых и об...</v>
      </c>
      <c r="G7691" s="22" t="s">
        <v>158</v>
      </c>
      <c r="H7691" s="22" t="s">
        <v>158</v>
      </c>
      <c r="I7691" s="26">
        <v>43690.527060185203</v>
      </c>
      <c r="J7691" s="23" t="str">
        <f>HYPERLINK("https://www.spark-marketing.ru/Card/Person/503232", "НИКОЛАЕВСКОЕ РАЙПО")</f>
        <v>НИКОЛАЕВСКОЕ РАЙПО</v>
      </c>
      <c r="K7691" s="24" t="s">
        <v>11393</v>
      </c>
      <c r="L7691" s="22" t="s">
        <v>10</v>
      </c>
      <c r="M7691" s="25">
        <v>610650</v>
      </c>
      <c r="N7691" s="27">
        <v>0.115</v>
      </c>
    </row>
    <row r="7692" spans="1:14" x14ac:dyDescent="0.15">
      <c r="A7692" s="23" t="str">
        <f>HYPERLINK("https://www.spark-marketing.ru/Card/Person/1082835", "КОМИТЕТ ПО ДЕЛАМ МОЛОДЕЖИ АДМИНИСТРАЦИИ ГОРОДСКОГО ОКРУГА ПОДОЛЬСК")</f>
        <v>КОМИТЕТ ПО ДЕЛАМ МОЛОДЕЖИ АДМИНИСТРАЦИИ ГОРОДСКОГО ОКРУГА ПОДОЛЬСК</v>
      </c>
      <c r="B7692" s="24" t="s">
        <v>11395</v>
      </c>
      <c r="C7692" s="25">
        <v>47996.67</v>
      </c>
      <c r="D7692" s="22" t="s">
        <v>11396</v>
      </c>
      <c r="E7692" s="22" t="s">
        <v>48</v>
      </c>
      <c r="F7692" s="23" t="str">
        <f>HYPERLINK("https://www.spark-marketing.ru/Card/Lot/72757796", "Услуги по организации общественного питания")</f>
        <v>Услуги по организации общественного питания</v>
      </c>
      <c r="G7692" s="22" t="s">
        <v>49</v>
      </c>
      <c r="H7692" s="22" t="s">
        <v>50</v>
      </c>
      <c r="I7692" s="26">
        <v>43690.467638888898</v>
      </c>
      <c r="J7692" s="28" t="s">
        <v>51</v>
      </c>
      <c r="K7692" s="28" t="s">
        <v>51</v>
      </c>
      <c r="L7692" s="28" t="s">
        <v>51</v>
      </c>
      <c r="M7692" s="28" t="s">
        <v>51</v>
      </c>
      <c r="N7692" s="28" t="s">
        <v>51</v>
      </c>
    </row>
    <row r="7693" spans="1:14" ht="12.75" hidden="1" outlineLevel="1" x14ac:dyDescent="0.2">
      <c r="A7693" s="23" t="str">
        <f>HYPERLINK("https://www.spark-marketing.ru/Card/Person/1082835", "КОМИТЕТ ПО ДЕЛАМ МОЛОДЕЖИ АДМИНИСТРАЦИИ ГОРОДСКОГО ОКРУГА ПОДОЛЬСК")</f>
        <v>КОМИТЕТ ПО ДЕЛАМ МОЛОДЕЖИ АДМИНИСТРАЦИИ ГОРОДСКОГО ОКРУГА ПОДОЛЬСК</v>
      </c>
      <c r="B7693" s="24" t="s">
        <v>11395</v>
      </c>
      <c r="C7693" s="25">
        <v>47996.67</v>
      </c>
      <c r="D7693" s="22" t="s">
        <v>11396</v>
      </c>
      <c r="E7693" s="22" t="s">
        <v>48</v>
      </c>
      <c r="F7693" s="23" t="str">
        <f>HYPERLINK("https://www.spark-marketing.ru/Card/Lot/72757796", "Услуги по организации общественного питания")</f>
        <v>Услуги по организации общественного питания</v>
      </c>
      <c r="G7693" s="22" t="s">
        <v>49</v>
      </c>
      <c r="H7693" s="22" t="s">
        <v>50</v>
      </c>
      <c r="I7693" s="26">
        <v>43690.467638888898</v>
      </c>
      <c r="J7693" s="23" t="str">
        <f>HYPERLINK("https://www.spark-marketing.ru/Card/Person/2527706", "ООО ""ФЛОКС""")</f>
        <v>ООО "ФЛОКС"</v>
      </c>
      <c r="K7693" s="24" t="s">
        <v>11397</v>
      </c>
      <c r="L7693" s="22" t="s">
        <v>10</v>
      </c>
      <c r="M7693" s="25">
        <v>31437.5</v>
      </c>
      <c r="N7693" s="27">
        <v>0.34500664316920321</v>
      </c>
    </row>
    <row r="7694" spans="1:14" hidden="1" outlineLevel="1" x14ac:dyDescent="0.2">
      <c r="A7694" s="23" t="str">
        <f>HYPERLINK("https://www.spark-marketing.ru/Card/Person/1082835", "КОМИТЕТ ПО ДЕЛАМ МОЛОДЕЖИ АДМИНИСТРАЦИИ ГОРОДСКОГО ОКРУГА ПОДОЛЬСК")</f>
        <v>КОМИТЕТ ПО ДЕЛАМ МОЛОДЕЖИ АДМИНИСТРАЦИИ ГОРОДСКОГО ОКРУГА ПОДОЛЬСК</v>
      </c>
      <c r="B7694" s="24" t="s">
        <v>11395</v>
      </c>
      <c r="C7694" s="25">
        <v>47996.67</v>
      </c>
      <c r="D7694" s="22" t="s">
        <v>11396</v>
      </c>
      <c r="E7694" s="22" t="s">
        <v>48</v>
      </c>
      <c r="F7694" s="23" t="str">
        <f>HYPERLINK("https://www.spark-marketing.ru/Card/Lot/72757796", "Услуги по организации общественного питания")</f>
        <v>Услуги по организации общественного питания</v>
      </c>
      <c r="G7694" s="22" t="s">
        <v>49</v>
      </c>
      <c r="H7694" s="22" t="s">
        <v>50</v>
      </c>
      <c r="I7694" s="26">
        <v>43690.467638888898</v>
      </c>
      <c r="J7694" s="23" t="str">
        <f>HYPERLINK("https://www.spark-marketing.ru/Card/Person/47262", "МУП ""ПКП И ОРТ""")</f>
        <v>МУП "ПКП И ОРТ"</v>
      </c>
      <c r="K7694" s="24" t="s">
        <v>4140</v>
      </c>
      <c r="L7694" s="28" t="s">
        <v>51</v>
      </c>
      <c r="M7694" s="25">
        <v>33837.33</v>
      </c>
      <c r="N7694" s="27">
        <v>0.29500671609092882</v>
      </c>
    </row>
    <row r="7695" spans="1:14" x14ac:dyDescent="0.15">
      <c r="A7695" s="23" t="str">
        <f>HYPERLINK("https://www.spark-marketing.ru/Card/Person/9754", "ГБПОУ МО ""КРАСНОГОРСКИЙ КОЛЛЕДЖ""")</f>
        <v>ГБПОУ МО "КРАСНОГОРСКИЙ КОЛЛЕДЖ"</v>
      </c>
      <c r="B7695" s="24" t="s">
        <v>11398</v>
      </c>
      <c r="C7695" s="25">
        <v>1183625</v>
      </c>
      <c r="D7695" s="22" t="s">
        <v>11399</v>
      </c>
      <c r="E7695" s="22" t="s">
        <v>48</v>
      </c>
      <c r="F7695" s="23" t="str">
        <f>HYPERLINK("https://www.spark-marketing.ru/Card/Lot/72758658", "Оказание услуг по обеспечению готовыми горячим питанием обучающихся ГБПОУ МО «Красногорский колледж» ф-л Тучково на 2 полугодие 2019г.")</f>
        <v>Оказание услуг по обеспечению готовыми горячим питанием обучающихся ГБПОУ МО «Красногорский колледж» ф-л Тучково на 2 полугодие 2019г.</v>
      </c>
      <c r="G7695" s="22" t="s">
        <v>49</v>
      </c>
      <c r="H7695" s="22" t="s">
        <v>11400</v>
      </c>
      <c r="I7695" s="26">
        <v>43690.3680902778</v>
      </c>
      <c r="J7695" s="28" t="s">
        <v>51</v>
      </c>
      <c r="K7695" s="28" t="s">
        <v>51</v>
      </c>
      <c r="L7695" s="28" t="s">
        <v>51</v>
      </c>
      <c r="M7695" s="28" t="s">
        <v>51</v>
      </c>
      <c r="N7695" s="28" t="s">
        <v>51</v>
      </c>
    </row>
    <row r="7696" spans="1:14" hidden="1" outlineLevel="1" x14ac:dyDescent="0.2">
      <c r="A7696" s="23" t="str">
        <f>HYPERLINK("https://www.spark-marketing.ru/Card/Person/9754", "ГБПОУ МО ""КРАСНОГОРСКИЙ КОЛЛЕДЖ""")</f>
        <v>ГБПОУ МО "КРАСНОГОРСКИЙ КОЛЛЕДЖ"</v>
      </c>
      <c r="B7696" s="24" t="s">
        <v>11398</v>
      </c>
      <c r="C7696" s="25">
        <v>1183625</v>
      </c>
      <c r="D7696" s="22" t="s">
        <v>11399</v>
      </c>
      <c r="E7696" s="22" t="s">
        <v>48</v>
      </c>
      <c r="F7696" s="23" t="str">
        <f>HYPERLINK("https://www.spark-marketing.ru/Card/Lot/72758658", "Оказание услуг по обеспечению готовыми горячим питанием обучающихся ГБПОУ МО «Красногорский колледж» ф-л Тучково на 2 полугодие 2019г.")</f>
        <v>Оказание услуг по обеспечению готовыми горячим питанием обучающихся ГБПОУ МО «Красногорский колледж» ф-л Тучково на 2 полугодие 2019г.</v>
      </c>
      <c r="G7696" s="22" t="s">
        <v>49</v>
      </c>
      <c r="H7696" s="22" t="s">
        <v>11400</v>
      </c>
      <c r="I7696" s="26">
        <v>43690.3680902778</v>
      </c>
      <c r="J7696" s="23" t="str">
        <f>HYPERLINK("https://www.spark-marketing.ru/Card/Person/6650209", "Кишенина Ксения Владимировна")</f>
        <v>Кишенина Ксения Владимировна</v>
      </c>
      <c r="K7696" s="24" t="s">
        <v>11401</v>
      </c>
      <c r="L7696" s="28" t="s">
        <v>51</v>
      </c>
      <c r="M7696" s="25">
        <v>1124443.7</v>
      </c>
      <c r="N7696" s="27">
        <v>5.000004224310909E-2</v>
      </c>
    </row>
    <row r="7697" spans="1:14" ht="12.75" hidden="1" outlineLevel="1" x14ac:dyDescent="0.2">
      <c r="A7697" s="23" t="str">
        <f>HYPERLINK("https://www.spark-marketing.ru/Card/Person/9754", "ГБПОУ МО ""КРАСНОГОРСКИЙ КОЛЛЕДЖ""")</f>
        <v>ГБПОУ МО "КРАСНОГОРСКИЙ КОЛЛЕДЖ"</v>
      </c>
      <c r="B7697" s="24" t="s">
        <v>11398</v>
      </c>
      <c r="C7697" s="25">
        <v>1183625</v>
      </c>
      <c r="D7697" s="22" t="s">
        <v>11399</v>
      </c>
      <c r="E7697" s="22" t="s">
        <v>48</v>
      </c>
      <c r="F7697" s="23" t="str">
        <f>HYPERLINK("https://www.spark-marketing.ru/Card/Lot/72758658", "Оказание услуг по обеспечению готовыми горячим питанием обучающихся ГБПОУ МО «Красногорский колледж» ф-л Тучково на 2 полугодие 2019г.")</f>
        <v>Оказание услуг по обеспечению готовыми горячим питанием обучающихся ГБПОУ МО «Красногорский колледж» ф-л Тучково на 2 полугодие 2019г.</v>
      </c>
      <c r="G7697" s="22" t="s">
        <v>49</v>
      </c>
      <c r="H7697" s="22" t="s">
        <v>11400</v>
      </c>
      <c r="I7697" s="26">
        <v>43690.3680902778</v>
      </c>
      <c r="J7697" s="23" t="str">
        <f>HYPERLINK("https://www.spark-marketing.ru/Card/Person/6682773", "Марков Виталий Геннадьевич")</f>
        <v>Марков Виталий Геннадьевич</v>
      </c>
      <c r="K7697" s="24" t="s">
        <v>11402</v>
      </c>
      <c r="L7697" s="22" t="s">
        <v>10</v>
      </c>
      <c r="M7697" s="25">
        <v>1094853.05</v>
      </c>
      <c r="N7697" s="27">
        <v>7.5000063364663638E-2</v>
      </c>
    </row>
    <row r="7698" spans="1:14" hidden="1" outlineLevel="1" x14ac:dyDescent="0.2">
      <c r="A7698" s="23" t="str">
        <f>HYPERLINK("https://www.spark-marketing.ru/Card/Person/9754", "ГБПОУ МО ""КРАСНОГОРСКИЙ КОЛЛЕДЖ""")</f>
        <v>ГБПОУ МО "КРАСНОГОРСКИЙ КОЛЛЕДЖ"</v>
      </c>
      <c r="B7698" s="24" t="s">
        <v>11398</v>
      </c>
      <c r="C7698" s="25">
        <v>1183625</v>
      </c>
      <c r="D7698" s="22" t="s">
        <v>11399</v>
      </c>
      <c r="E7698" s="22" t="s">
        <v>48</v>
      </c>
      <c r="F7698" s="23" t="str">
        <f>HYPERLINK("https://www.spark-marketing.ru/Card/Lot/72758658", "Оказание услуг по обеспечению готовыми горячим питанием обучающихся ГБПОУ МО «Красногорский колледж» ф-л Тучково на 2 полугодие 2019г.")</f>
        <v>Оказание услуг по обеспечению готовыми горячим питанием обучающихся ГБПОУ МО «Красногорский колледж» ф-л Тучково на 2 полугодие 2019г.</v>
      </c>
      <c r="G7698" s="22" t="s">
        <v>49</v>
      </c>
      <c r="H7698" s="22" t="s">
        <v>11400</v>
      </c>
      <c r="I7698" s="26">
        <v>43690.3680902778</v>
      </c>
      <c r="J7698" s="23" t="str">
        <f>HYPERLINK("https://www.spark-marketing.ru/Card/Person/1379612", "Сергеев Сергей Николаевич")</f>
        <v>Сергеев Сергей Николаевич</v>
      </c>
      <c r="K7698" s="24" t="s">
        <v>11403</v>
      </c>
      <c r="L7698" s="28" t="s">
        <v>51</v>
      </c>
      <c r="M7698" s="25">
        <v>1100771.18</v>
      </c>
      <c r="N7698" s="27">
        <v>7.0000059140352733E-2</v>
      </c>
    </row>
    <row r="7699" spans="1:14" x14ac:dyDescent="0.15">
      <c r="A7699" s="23" t="str">
        <f>HYPERLINK("https://www.spark-marketing.ru/Card/Person/24996", "ОТДЕЛ МВД РОССИИ ПО ЛЕНИНГРАДСКОМУ РАЙОНУ")</f>
        <v>ОТДЕЛ МВД РОССИИ ПО ЛЕНИНГРАДСКОМУ РАЙОНУ</v>
      </c>
      <c r="B7699" s="24" t="s">
        <v>7316</v>
      </c>
      <c r="C7699" s="25">
        <v>1095000</v>
      </c>
      <c r="D7699" s="22" t="s">
        <v>11404</v>
      </c>
      <c r="E7699" s="22" t="s">
        <v>48</v>
      </c>
      <c r="F7699" s="23" t="str">
        <f>HYPERLINK("https://www.spark-marketing.ru/Card/Lot/72758508", "Оказание услуг по обеспечению 3-х разовым ежедневным горячим питанием лиц, содержащихся в изоляторе временного содержания и лиц, содержащихся в камере административно задержанных Отдела МВД России по Ленинградскому району (питание административно-аре...")</f>
        <v>Оказание услуг по обеспечению 3-х разовым ежедневным горячим питанием лиц, содержащихся в изоляторе временного содержания и лиц, содержащихся в камере административно задержанных Отдела МВД России по Ленинградскому району (питание административно-аре...</v>
      </c>
      <c r="G7699" s="22" t="s">
        <v>104</v>
      </c>
      <c r="H7699" s="22" t="s">
        <v>7318</v>
      </c>
      <c r="I7699" s="26">
        <v>43689.703090277799</v>
      </c>
      <c r="J7699" s="23" t="str">
        <f>HYPERLINK("https://www.spark-marketing.ru/Card/Person/1156686", "Ткаченко Любовь Васильевна")</f>
        <v>Ткаченко Любовь Васильевна</v>
      </c>
      <c r="K7699" s="24" t="s">
        <v>7319</v>
      </c>
      <c r="L7699" s="22" t="s">
        <v>10</v>
      </c>
      <c r="M7699" s="28" t="s">
        <v>51</v>
      </c>
      <c r="N7699" s="28" t="s">
        <v>51</v>
      </c>
    </row>
    <row r="7700" spans="1:14" x14ac:dyDescent="0.15">
      <c r="A7700" s="23" t="str">
        <f>HYPERLINK("https://www.spark-marketing.ru/Card/Person/135216", "ОМВД РОССИИ ПО МИРНИНСКОМУ РАЙОНУ")</f>
        <v>ОМВД РОССИИ ПО МИРНИНСКОМУ РАЙОНУ</v>
      </c>
      <c r="B7700" s="24" t="s">
        <v>5214</v>
      </c>
      <c r="C7700" s="25">
        <v>1152900</v>
      </c>
      <c r="D7700" s="22" t="s">
        <v>11405</v>
      </c>
      <c r="E7700" s="22" t="s">
        <v>48</v>
      </c>
      <c r="F7700" s="23" t="str">
        <f>HYPERLINK("https://www.spark-marketing.ru/Card/Lot/72747022", "питание ИВС Мирный")</f>
        <v>питание ИВС Мирный</v>
      </c>
      <c r="G7700" s="22" t="s">
        <v>241</v>
      </c>
      <c r="H7700" s="22" t="s">
        <v>4987</v>
      </c>
      <c r="I7700" s="26">
        <v>43690.448576388902</v>
      </c>
      <c r="J7700" s="23" t="str">
        <f>HYPERLINK("https://www.spark-marketing.ru/Card/Person/458156", "ООО ""МИРЯНКА""")</f>
        <v>ООО "МИРЯНКА"</v>
      </c>
      <c r="K7700" s="24" t="s">
        <v>11406</v>
      </c>
      <c r="L7700" s="22" t="s">
        <v>10</v>
      </c>
      <c r="M7700" s="28" t="s">
        <v>51</v>
      </c>
      <c r="N7700" s="28" t="s">
        <v>51</v>
      </c>
    </row>
    <row r="7701" spans="1:14" x14ac:dyDescent="0.15">
      <c r="A7701" s="23" t="str">
        <f>HYPERLINK("https://www.spark-marketing.ru/Card/Person/1017266", "МО МВД РОССИИ ""МУРОМСКИЙ""")</f>
        <v>МО МВД РОССИИ "МУРОМСКИЙ"</v>
      </c>
      <c r="B7701" s="24" t="s">
        <v>11407</v>
      </c>
      <c r="C7701" s="25">
        <v>2093000</v>
      </c>
      <c r="D7701" s="22" t="s">
        <v>11408</v>
      </c>
      <c r="E7701" s="22" t="s">
        <v>48</v>
      </c>
      <c r="F7701" s="23" t="str">
        <f>HYPERLINK("https://www.spark-marketing.ru/Card/Lot/72756007", "Оказание услуг по организации трехразового горячего питания лиц, содержащихся в изоляторе временного содержания подозреваемых и обвиняемых, специальном приемнике для содержания лиц, подвергнутых административному аресту, комнате содержания задержанны...")</f>
        <v>Оказание услуг по организации трехразового горячего питания лиц, содержащихся в изоляторе временного содержания подозреваемых и обвиняемых, специальном приемнике для содержания лиц, подвергнутых административному аресту, комнате содержания задержанны...</v>
      </c>
      <c r="G7701" s="22" t="s">
        <v>663</v>
      </c>
      <c r="H7701" s="22" t="s">
        <v>6528</v>
      </c>
      <c r="I7701" s="26">
        <v>43690.4441898148</v>
      </c>
      <c r="J7701" s="23" t="str">
        <f>HYPERLINK("https://www.spark-marketing.ru/Card/Person/6455838", "Савченко Игорь Владимирович")</f>
        <v>Савченко Игорь Владимирович</v>
      </c>
      <c r="K7701" s="24" t="s">
        <v>6529</v>
      </c>
      <c r="L7701" s="22" t="s">
        <v>10</v>
      </c>
      <c r="M7701" s="28" t="s">
        <v>51</v>
      </c>
      <c r="N7701" s="28" t="s">
        <v>51</v>
      </c>
    </row>
    <row r="7702" spans="1:14" x14ac:dyDescent="0.15">
      <c r="A7702" s="23" t="str">
        <f>HYPERLINK("https://www.spark-marketing.ru/Card/Person/138907", "ГБУЗ АО ""ДГП №4""")</f>
        <v>ГБУЗ АО "ДГП №4"</v>
      </c>
      <c r="B7702" s="24" t="s">
        <v>11409</v>
      </c>
      <c r="C7702" s="25">
        <v>128583.08</v>
      </c>
      <c r="D7702" s="22" t="s">
        <v>11410</v>
      </c>
      <c r="E7702" s="22" t="s">
        <v>603</v>
      </c>
      <c r="F7702" s="23" t="str">
        <f>HYPERLINK("https://www.spark-marketing.ru/Card/Lot/72752964", "Оказание услуг по поверке средств измерений")</f>
        <v>Оказание услуг по поверке средств измерений</v>
      </c>
      <c r="G7702" s="22" t="s">
        <v>141</v>
      </c>
      <c r="H7702" s="22" t="s">
        <v>2201</v>
      </c>
      <c r="I7702" s="26">
        <v>43690.3733333333</v>
      </c>
      <c r="J7702" s="28" t="s">
        <v>51</v>
      </c>
      <c r="K7702" s="28" t="s">
        <v>51</v>
      </c>
      <c r="L7702" s="28" t="s">
        <v>51</v>
      </c>
      <c r="M7702" s="28" t="s">
        <v>51</v>
      </c>
      <c r="N7702" s="28" t="s">
        <v>51</v>
      </c>
    </row>
    <row r="7703" spans="1:14" hidden="1" outlineLevel="1" x14ac:dyDescent="0.2">
      <c r="A7703" s="23" t="str">
        <f>HYPERLINK("https://www.spark-marketing.ru/Card/Person/138907", "ГБУЗ АО ""ДГП №4""")</f>
        <v>ГБУЗ АО "ДГП №4"</v>
      </c>
      <c r="B7703" s="24" t="s">
        <v>11409</v>
      </c>
      <c r="C7703" s="25">
        <v>128583.08</v>
      </c>
      <c r="D7703" s="22" t="s">
        <v>11410</v>
      </c>
      <c r="E7703" s="22" t="s">
        <v>603</v>
      </c>
      <c r="F7703" s="23" t="str">
        <f>HYPERLINK("https://www.spark-marketing.ru/Card/Lot/72752964", "Оказание услуг по поверке средств измерений")</f>
        <v>Оказание услуг по поверке средств измерений</v>
      </c>
      <c r="G7703" s="22" t="s">
        <v>141</v>
      </c>
      <c r="H7703" s="22" t="s">
        <v>2201</v>
      </c>
      <c r="I7703" s="26">
        <v>43690.3733333333</v>
      </c>
      <c r="J7703" s="23" t="str">
        <f>HYPERLINK("https://www.spark-marketing.ru/Card/Person/31382", "ФБУ ""АСТРАХАНСКИЙ ЦСМ""")</f>
        <v>ФБУ "АСТРАХАНСКИЙ ЦСМ"</v>
      </c>
      <c r="K7703" s="24" t="s">
        <v>11411</v>
      </c>
      <c r="L7703" s="28" t="s">
        <v>51</v>
      </c>
      <c r="M7703" s="25">
        <v>32900</v>
      </c>
      <c r="N7703" s="27">
        <v>0.74413429822959598</v>
      </c>
    </row>
    <row r="7704" spans="1:14" ht="12.75" hidden="1" outlineLevel="1" x14ac:dyDescent="0.2">
      <c r="A7704" s="23" t="str">
        <f>HYPERLINK("https://www.spark-marketing.ru/Card/Person/138907", "ГБУЗ АО ""ДГП №4""")</f>
        <v>ГБУЗ АО "ДГП №4"</v>
      </c>
      <c r="B7704" s="24" t="s">
        <v>11409</v>
      </c>
      <c r="C7704" s="25">
        <v>128583.08</v>
      </c>
      <c r="D7704" s="22" t="s">
        <v>11410</v>
      </c>
      <c r="E7704" s="22" t="s">
        <v>603</v>
      </c>
      <c r="F7704" s="23" t="str">
        <f>HYPERLINK("https://www.spark-marketing.ru/Card/Lot/72752964", "Оказание услуг по поверке средств измерений")</f>
        <v>Оказание услуг по поверке средств измерений</v>
      </c>
      <c r="G7704" s="22" t="s">
        <v>141</v>
      </c>
      <c r="H7704" s="22" t="s">
        <v>2201</v>
      </c>
      <c r="I7704" s="26">
        <v>43690.3733333333</v>
      </c>
      <c r="J7704" s="23" t="str">
        <f>HYPERLINK("https://www.spark-marketing.ru/Card/Person/490969", "ООО ""РЕГИОНАЛЬНЫЙ СТАНДАРТ""")</f>
        <v>ООО "РЕГИОНАЛЬНЫЙ СТАНДАРТ"</v>
      </c>
      <c r="K7704" s="24" t="s">
        <v>11412</v>
      </c>
      <c r="L7704" s="22" t="s">
        <v>10</v>
      </c>
      <c r="M7704" s="25">
        <v>32257.08</v>
      </c>
      <c r="N7704" s="27">
        <v>0.74913433400413176</v>
      </c>
    </row>
    <row r="7705" spans="1:14" x14ac:dyDescent="0.15">
      <c r="A7705" s="23" t="str">
        <f>HYPERLINK("https://www.spark-marketing.ru/Card/Person/8111", "КГБУЗ ""ДОМ РЕБЕНКА СПЕЦИАЛИЗИРОВАННЫЙ, Г. БИЙСК"" И КГБУЗ ""ДРС, Г. БИЙСК""")</f>
        <v>КГБУЗ "ДОМ РЕБЕНКА СПЕЦИАЛИЗИРОВАННЫЙ, Г. БИЙСК" И КГБУЗ "ДРС, Г. БИЙСК"</v>
      </c>
      <c r="B7705" s="24" t="s">
        <v>11413</v>
      </c>
      <c r="C7705" s="25">
        <v>11180</v>
      </c>
      <c r="D7705" s="22" t="s">
        <v>11414</v>
      </c>
      <c r="E7705" s="22" t="s">
        <v>336</v>
      </c>
      <c r="F7705" s="23" t="str">
        <f>HYPERLINK("https://www.spark-marketing.ru/Card/Lot/72753380", "Товары,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</v>
      </c>
      <c r="G7705" s="22" t="s">
        <v>63</v>
      </c>
      <c r="H7705" s="22" t="s">
        <v>1294</v>
      </c>
      <c r="I7705" s="26">
        <v>43690.485416666699</v>
      </c>
      <c r="J7705" s="28" t="s">
        <v>51</v>
      </c>
      <c r="K7705" s="28" t="s">
        <v>51</v>
      </c>
      <c r="L7705" s="28" t="s">
        <v>51</v>
      </c>
      <c r="M7705" s="28" t="s">
        <v>51</v>
      </c>
      <c r="N7705" s="28" t="s">
        <v>51</v>
      </c>
    </row>
    <row r="7706" spans="1:14" x14ac:dyDescent="0.15">
      <c r="A7706" s="23" t="str">
        <f>HYPERLINK("https://www.spark-marketing.ru/Card/Person/9754", "ГБПОУ МО ""КРАСНОГОРСКИЙ КОЛЛЕДЖ""")</f>
        <v>ГБПОУ МО "КРАСНОГОРСКИЙ КОЛЛЕДЖ"</v>
      </c>
      <c r="B7706" s="24" t="s">
        <v>11398</v>
      </c>
      <c r="C7706" s="25">
        <v>499316.67</v>
      </c>
      <c r="D7706" s="22" t="s">
        <v>11415</v>
      </c>
      <c r="E7706" s="22" t="s">
        <v>48</v>
      </c>
      <c r="F7706" s="23" t="str">
        <f>HYPERLINK("https://www.spark-marketing.ru/Card/Lot/72755008", "Оказание услуг по поставке готового горячего питания для обучающихся ГБПОУ МО «Красногорский колледж» на 2 полугодие 2019г.")</f>
        <v>Оказание услуг по поставке готового горячего питания для обучающихся ГБПОУ МО «Красногорский колледж» на 2 полугодие 2019г.</v>
      </c>
      <c r="G7706" s="22" t="s">
        <v>49</v>
      </c>
      <c r="H7706" s="22" t="s">
        <v>10272</v>
      </c>
      <c r="I7706" s="26">
        <v>43690.367361111101</v>
      </c>
      <c r="J7706" s="28" t="s">
        <v>51</v>
      </c>
      <c r="K7706" s="28" t="s">
        <v>51</v>
      </c>
      <c r="L7706" s="28" t="s">
        <v>51</v>
      </c>
      <c r="M7706" s="28" t="s">
        <v>51</v>
      </c>
      <c r="N7706" s="28" t="s">
        <v>51</v>
      </c>
    </row>
    <row r="7707" spans="1:14" hidden="1" outlineLevel="1" x14ac:dyDescent="0.2">
      <c r="A7707" s="23" t="str">
        <f>HYPERLINK("https://www.spark-marketing.ru/Card/Person/9754", "ГБПОУ МО ""КРАСНОГОРСКИЙ КОЛЛЕДЖ""")</f>
        <v>ГБПОУ МО "КРАСНОГОРСКИЙ КОЛЛЕДЖ"</v>
      </c>
      <c r="B7707" s="24" t="s">
        <v>11398</v>
      </c>
      <c r="C7707" s="25">
        <v>499316.67</v>
      </c>
      <c r="D7707" s="22" t="s">
        <v>11415</v>
      </c>
      <c r="E7707" s="22" t="s">
        <v>48</v>
      </c>
      <c r="F7707" s="23" t="str">
        <f>HYPERLINK("https://www.spark-marketing.ru/Card/Lot/72755008", "Оказание услуг по поставке готового горячего питания для обучающихся ГБПОУ МО «Красногорский колледж» на 2 полугодие 2019г.")</f>
        <v>Оказание услуг по поставке готового горячего питания для обучающихся ГБПОУ МО «Красногорский колледж» на 2 полугодие 2019г.</v>
      </c>
      <c r="G7707" s="22" t="s">
        <v>49</v>
      </c>
      <c r="H7707" s="22" t="s">
        <v>10272</v>
      </c>
      <c r="I7707" s="26">
        <v>43690.367361111101</v>
      </c>
      <c r="J7707" s="23" t="str">
        <f>HYPERLINK("https://www.spark-marketing.ru/Card/Person/6044808", "Федотов Александр Владимирович")</f>
        <v>Федотов Александр Владимирович</v>
      </c>
      <c r="K7707" s="24" t="s">
        <v>11416</v>
      </c>
      <c r="L7707" s="28" t="s">
        <v>51</v>
      </c>
      <c r="M7707" s="25">
        <v>496820</v>
      </c>
      <c r="N7707" s="27">
        <v>5.0001735371663037E-3</v>
      </c>
    </row>
    <row r="7708" spans="1:14" ht="12.75" hidden="1" outlineLevel="1" x14ac:dyDescent="0.2">
      <c r="A7708" s="23" t="str">
        <f>HYPERLINK("https://www.spark-marketing.ru/Card/Person/9754", "ГБПОУ МО ""КРАСНОГОРСКИЙ КОЛЛЕДЖ""")</f>
        <v>ГБПОУ МО "КРАСНОГОРСКИЙ КОЛЛЕДЖ"</v>
      </c>
      <c r="B7708" s="24" t="s">
        <v>11398</v>
      </c>
      <c r="C7708" s="25">
        <v>499316.67</v>
      </c>
      <c r="D7708" s="22" t="s">
        <v>11415</v>
      </c>
      <c r="E7708" s="22" t="s">
        <v>48</v>
      </c>
      <c r="F7708" s="23" t="str">
        <f>HYPERLINK("https://www.spark-marketing.ru/Card/Lot/72755008", "Оказание услуг по поставке готового горячего питания для обучающихся ГБПОУ МО «Красногорский колледж» на 2 полугодие 2019г.")</f>
        <v>Оказание услуг по поставке готового горячего питания для обучающихся ГБПОУ МО «Красногорский колледж» на 2 полугодие 2019г.</v>
      </c>
      <c r="G7708" s="22" t="s">
        <v>49</v>
      </c>
      <c r="H7708" s="22" t="s">
        <v>10272</v>
      </c>
      <c r="I7708" s="26">
        <v>43690.367361111101</v>
      </c>
      <c r="J7708" s="23" t="str">
        <f>HYPERLINK("https://www.spark-marketing.ru/Card/Person/1379612", "Сергеев Сергей Николаевич")</f>
        <v>Сергеев Сергей Николаевич</v>
      </c>
      <c r="K7708" s="24" t="s">
        <v>11403</v>
      </c>
      <c r="L7708" s="22" t="s">
        <v>10</v>
      </c>
      <c r="M7708" s="25">
        <v>494323.41</v>
      </c>
      <c r="N7708" s="27">
        <v>1.0000186855367757E-2</v>
      </c>
    </row>
    <row r="7709" spans="1:14" x14ac:dyDescent="0.15">
      <c r="A7709" s="23" t="str">
        <f>HYPERLINK("https://www.spark-marketing.ru/Card/Person/1035215", "МО МВД РОССИИ ""НЕВЕЛЬСКИЙ""")</f>
        <v>МО МВД РОССИИ "НЕВЕЛЬСКИЙ"</v>
      </c>
      <c r="B7709" s="24" t="s">
        <v>11417</v>
      </c>
      <c r="C7709" s="25">
        <v>280000</v>
      </c>
      <c r="D7709" s="22" t="s">
        <v>11418</v>
      </c>
      <c r="E7709" s="22" t="s">
        <v>48</v>
      </c>
      <c r="F7709" s="23" t="str">
        <f>HYPERLINK("https://www.spark-marketing.ru/Card/Lot/72758265", "Оказание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 в КСЗ более трех часов")</f>
        <v>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 в КСЗ более трех часов</v>
      </c>
      <c r="G7709" s="22" t="s">
        <v>415</v>
      </c>
      <c r="H7709" s="22" t="s">
        <v>415</v>
      </c>
      <c r="I7709" s="26">
        <v>43690.476215277798</v>
      </c>
      <c r="J7709" s="23" t="str">
        <f>HYPERLINK("https://www.spark-marketing.ru/Card/Person/376205", "НЕВЕЛЬСКОЕ РАЙПО")</f>
        <v>НЕВЕЛЬСКОЕ РАЙПО</v>
      </c>
      <c r="K7709" s="24" t="s">
        <v>11419</v>
      </c>
      <c r="L7709" s="22" t="s">
        <v>10</v>
      </c>
      <c r="M7709" s="28" t="s">
        <v>51</v>
      </c>
      <c r="N7709" s="28" t="s">
        <v>51</v>
      </c>
    </row>
    <row r="7710" spans="1:14" x14ac:dyDescent="0.15">
      <c r="A7710" s="23" t="str">
        <f>HYPERLINK("https://www.spark-marketing.ru/Card/Person/135216", "ОМВД РОССИИ ПО МИРНИНСКОМУ РАЙОНУ")</f>
        <v>ОМВД РОССИИ ПО МИРНИНСКОМУ РАЙОНУ</v>
      </c>
      <c r="B7710" s="24" t="s">
        <v>5214</v>
      </c>
      <c r="C7710" s="25">
        <v>1152900</v>
      </c>
      <c r="D7710" s="22" t="s">
        <v>11420</v>
      </c>
      <c r="E7710" s="22" t="s">
        <v>48</v>
      </c>
      <c r="F7710" s="23" t="str">
        <f>HYPERLINK("https://www.spark-marketing.ru/Card/Lot/72747020", "питание ИВС г. Мирный")</f>
        <v>питание ИВС г. Мирный</v>
      </c>
      <c r="G7710" s="22" t="s">
        <v>241</v>
      </c>
      <c r="H7710" s="22" t="s">
        <v>4987</v>
      </c>
      <c r="I7710" s="26">
        <v>43690.446053240703</v>
      </c>
      <c r="J7710" s="23" t="str">
        <f>HYPERLINK("https://www.spark-marketing.ru/Card/Person/458156", "ООО ""МИРЯНКА""")</f>
        <v>ООО "МИРЯНКА"</v>
      </c>
      <c r="K7710" s="24" t="s">
        <v>11406</v>
      </c>
      <c r="L7710" s="22" t="s">
        <v>10</v>
      </c>
      <c r="M7710" s="28" t="s">
        <v>51</v>
      </c>
      <c r="N7710" s="28" t="s">
        <v>51</v>
      </c>
    </row>
    <row r="7711" spans="1:14" x14ac:dyDescent="0.15">
      <c r="A7711" s="23" t="str">
        <f>HYPERLINK("https://www.spark-marketing.ru/Card/Person/24996", "ОТДЕЛ МВД РОССИИ ПО ЛЕНИНГРАДСКОМУ РАЙОНУ")</f>
        <v>ОТДЕЛ МВД РОССИИ ПО ЛЕНИНГРАДСКОМУ РАЙОНУ</v>
      </c>
      <c r="B7711" s="24" t="s">
        <v>7316</v>
      </c>
      <c r="C7711" s="25">
        <v>1095000</v>
      </c>
      <c r="D7711" s="22" t="s">
        <v>11421</v>
      </c>
      <c r="E7711" s="22" t="s">
        <v>48</v>
      </c>
      <c r="F7711" s="23" t="str">
        <f>HYPERLINK("https://www.spark-marketing.ru/Card/Lot/72758507", "Обеспечение 3-х разовым ежедневным горячим питанием лиц, содержащихся в изоляторе временного содержания и лиц, содержащихся в камере административно задержанных Отдела МВД России по Ленинградскому району (питание административно-арестованных)")</f>
        <v>Обеспечение 3-х разовым ежедневным горячим питанием лиц, содержащихся в изоляторе временного содержания и лиц, содержащихся в камере административно задержанных Отдела МВД России по Ленинградскому району (питание административно-арестованных)</v>
      </c>
      <c r="G7711" s="22" t="s">
        <v>104</v>
      </c>
      <c r="H7711" s="22" t="s">
        <v>7318</v>
      </c>
      <c r="I7711" s="26">
        <v>43689.692349536999</v>
      </c>
      <c r="J7711" s="23" t="str">
        <f>HYPERLINK("https://www.spark-marketing.ru/Card/Person/1156686", "Ткаченко Любовь Васильевна")</f>
        <v>Ткаченко Любовь Васильевна</v>
      </c>
      <c r="K7711" s="24" t="s">
        <v>7319</v>
      </c>
      <c r="L7711" s="22" t="s">
        <v>10</v>
      </c>
      <c r="M7711" s="28" t="s">
        <v>51</v>
      </c>
      <c r="N7711" s="28" t="s">
        <v>51</v>
      </c>
    </row>
    <row r="7712" spans="1:14" x14ac:dyDescent="0.15">
      <c r="A7712" s="23" t="str">
        <f>HYPERLINK("https://www.spark-marketing.ru/Card/Person/71940", "ОТДЕЛ МВД РОССИИ ПО ВАРНЕНСКОМУ РАЙОНУ ЧЕЛЯБИНСКОЙ ОБЛАСТИ")</f>
        <v>ОТДЕЛ МВД РОССИИ ПО ВАРНЕНСКОМУ РАЙОНУ ЧЕЛЯБИНСКОЙ ОБЛАСТИ</v>
      </c>
      <c r="B7712" s="24" t="s">
        <v>9195</v>
      </c>
      <c r="C7712" s="25">
        <v>153200</v>
      </c>
      <c r="D7712" s="22" t="s">
        <v>11422</v>
      </c>
      <c r="E7712" s="22" t="s">
        <v>48</v>
      </c>
      <c r="F7712" s="23" t="str">
        <f>HYPERLINK("https://www.spark-marketing.ru/Card/Lot/72749248", "оказание услуг по организации трехразовым горячим питание лиц, находящихся в служебном помещении задержанных")</f>
        <v>оказание услуг по организации трехразовым горячим питание лиц, находящихся в служебном помещении задержанных</v>
      </c>
      <c r="G7712" s="22" t="s">
        <v>469</v>
      </c>
      <c r="H7712" s="22" t="s">
        <v>9197</v>
      </c>
      <c r="I7712" s="26">
        <v>43689.715937499997</v>
      </c>
      <c r="J7712" s="28" t="s">
        <v>51</v>
      </c>
      <c r="K7712" s="28" t="s">
        <v>51</v>
      </c>
      <c r="L7712" s="28" t="s">
        <v>51</v>
      </c>
      <c r="M7712" s="28" t="s">
        <v>51</v>
      </c>
      <c r="N7712" s="28" t="s">
        <v>51</v>
      </c>
    </row>
    <row r="7713" spans="1:14" x14ac:dyDescent="0.15">
      <c r="A7713" s="23" t="str">
        <f>HYPERLINK("https://www.spark-marketing.ru/Card/Person/127401", "УМВД РОССИИ ПО Г.ЮЖНО-САХАЛИНСКУ")</f>
        <v>УМВД РОССИИ ПО Г.ЮЖНО-САХАЛИНСКУ</v>
      </c>
      <c r="B7713" s="24" t="s">
        <v>11423</v>
      </c>
      <c r="C7713" s="25">
        <v>1540000</v>
      </c>
      <c r="D7713" s="22" t="s">
        <v>11424</v>
      </c>
      <c r="E7713" s="22" t="s">
        <v>48</v>
      </c>
      <c r="F7713" s="23" t="str">
        <f>HYPERLINK("https://www.spark-marketing.ru/Card/Lot/72744318", "Оказание услуг по организации горячего трехразового питания лиц, арестованных в административном порядке, содержащихся в специальном приемнике, специальном помещении содержания задержанных лиц, и лиц, содержащихся в изоляторе временного содержания УМ...")</f>
        <v>Оказание услуг по организации горячего трехразового питания лиц, арестованных в административном порядке, содержащихся в специальном приемнике, специальном помещении содержания задержанных лиц, и лиц, содержащихся в изоляторе временного содержания УМ...</v>
      </c>
      <c r="G7713" s="22" t="s">
        <v>260</v>
      </c>
      <c r="H7713" s="22" t="s">
        <v>260</v>
      </c>
      <c r="I7713" s="26">
        <v>43689.736736111103</v>
      </c>
      <c r="J7713" s="28" t="s">
        <v>51</v>
      </c>
      <c r="K7713" s="28" t="s">
        <v>51</v>
      </c>
      <c r="L7713" s="28" t="s">
        <v>51</v>
      </c>
      <c r="M7713" s="28" t="s">
        <v>51</v>
      </c>
      <c r="N7713" s="28" t="s">
        <v>51</v>
      </c>
    </row>
    <row r="7714" spans="1:14" hidden="1" outlineLevel="1" x14ac:dyDescent="0.2">
      <c r="A7714" s="23" t="str">
        <f>HYPERLINK("https://www.spark-marketing.ru/Card/Person/127401", "УМВД РОССИИ ПО Г.ЮЖНО-САХАЛИНСКУ")</f>
        <v>УМВД РОССИИ ПО Г.ЮЖНО-САХАЛИНСКУ</v>
      </c>
      <c r="B7714" s="24" t="s">
        <v>11423</v>
      </c>
      <c r="C7714" s="25">
        <v>1540000</v>
      </c>
      <c r="D7714" s="22" t="s">
        <v>11424</v>
      </c>
      <c r="E7714" s="22" t="s">
        <v>48</v>
      </c>
      <c r="F7714" s="23" t="str">
        <f>HYPERLINK("https://www.spark-marketing.ru/Card/Lot/72744318", "Оказание услуг по организации горячего трехразового питания лиц, арестованных в административном порядке, содержащихся в специальном приемнике, специальном помещении содержания задержанных лиц, и лиц, содержащихся в изоляторе временного содержания УМ...")</f>
        <v>Оказание услуг по организации горячего трехразового питания лиц, арестованных в административном порядке, содержащихся в специальном приемнике, специальном помещении содержания задержанных лиц, и лиц, содержащихся в изоляторе временного содержания УМ...</v>
      </c>
      <c r="G7714" s="22" t="s">
        <v>260</v>
      </c>
      <c r="H7714" s="22" t="s">
        <v>260</v>
      </c>
      <c r="I7714" s="26">
        <v>43689.736736111103</v>
      </c>
      <c r="J7714" s="23" t="str">
        <f>HYPERLINK("https://www.spark-marketing.ru/Card/Person/797550", "Герасимов Виктор Юрьевич")</f>
        <v>Герасимов Виктор Юрьевич</v>
      </c>
      <c r="K7714" s="24" t="s">
        <v>3539</v>
      </c>
      <c r="L7714" s="28" t="s">
        <v>51</v>
      </c>
      <c r="M7714" s="25">
        <v>1509200</v>
      </c>
      <c r="N7714" s="27">
        <v>0.02</v>
      </c>
    </row>
    <row r="7715" spans="1:14" ht="12.75" hidden="1" outlineLevel="1" x14ac:dyDescent="0.2">
      <c r="A7715" s="23" t="str">
        <f>HYPERLINK("https://www.spark-marketing.ru/Card/Person/127401", "УМВД РОССИИ ПО Г.ЮЖНО-САХАЛИНСКУ")</f>
        <v>УМВД РОССИИ ПО Г.ЮЖНО-САХАЛИНСКУ</v>
      </c>
      <c r="B7715" s="24" t="s">
        <v>11423</v>
      </c>
      <c r="C7715" s="25">
        <v>1540000</v>
      </c>
      <c r="D7715" s="22" t="s">
        <v>11424</v>
      </c>
      <c r="E7715" s="22" t="s">
        <v>48</v>
      </c>
      <c r="F7715" s="23" t="str">
        <f>HYPERLINK("https://www.spark-marketing.ru/Card/Lot/72744318", "Оказание услуг по организации горячего трехразового питания лиц, арестованных в административном порядке, содержащихся в специальном приемнике, специальном помещении содержания задержанных лиц, и лиц, содержащихся в изоляторе временного содержания УМ...")</f>
        <v>Оказание услуг по организации горячего трехразового питания лиц, арестованных в административном порядке, содержащихся в специальном приемнике, специальном помещении содержания задержанных лиц, и лиц, содержащихся в изоляторе временного содержания УМ...</v>
      </c>
      <c r="G7715" s="22" t="s">
        <v>260</v>
      </c>
      <c r="H7715" s="22" t="s">
        <v>260</v>
      </c>
      <c r="I7715" s="26">
        <v>43689.736736111103</v>
      </c>
      <c r="J7715" s="23" t="str">
        <f>HYPERLINK("https://www.spark-marketing.ru/Card/Person/114046", "Ко Радмила Гвансуновна")</f>
        <v>Ко Радмила Гвансуновна</v>
      </c>
      <c r="K7715" s="24" t="s">
        <v>3538</v>
      </c>
      <c r="L7715" s="22" t="s">
        <v>10</v>
      </c>
      <c r="M7715" s="25">
        <v>1501500</v>
      </c>
      <c r="N7715" s="27">
        <v>2.5000000000000001E-2</v>
      </c>
    </row>
    <row r="7716" spans="1:14" x14ac:dyDescent="0.15">
      <c r="A7716" s="23" t="str">
        <f>HYPERLINK("https://www.spark-marketing.ru/Card/Person/71940", "ОТДЕЛ МВД РОССИИ ПО ВАРНЕНСКОМУ РАЙОНУ ЧЕЛЯБИНСКОЙ ОБЛАСТИ")</f>
        <v>ОТДЕЛ МВД РОССИИ ПО ВАРНЕНСКОМУ РАЙОНУ ЧЕЛЯБИНСКОЙ ОБЛАСТИ</v>
      </c>
      <c r="B7716" s="24" t="s">
        <v>9195</v>
      </c>
      <c r="C7716" s="25">
        <v>153200</v>
      </c>
      <c r="D7716" s="22" t="s">
        <v>11425</v>
      </c>
      <c r="E7716" s="22" t="s">
        <v>48</v>
      </c>
      <c r="F7716" s="23" t="str">
        <f>HYPERLINK("https://www.spark-marketing.ru/Card/Lot/72748989", "оказание услуг по организации трехразовым горячим питанием лиц, находящихся в служебном помещении задержанных")</f>
        <v>оказание услуг по организации трехразовым горячим питанием лиц, находящихся в служебном помещении задержанных</v>
      </c>
      <c r="G7716" s="22" t="s">
        <v>469</v>
      </c>
      <c r="H7716" s="22" t="s">
        <v>9197</v>
      </c>
      <c r="I7716" s="26">
        <v>43689.704722222203</v>
      </c>
      <c r="J7716" s="28" t="s">
        <v>51</v>
      </c>
      <c r="K7716" s="28" t="s">
        <v>51</v>
      </c>
      <c r="L7716" s="28" t="s">
        <v>51</v>
      </c>
      <c r="M7716" s="28" t="s">
        <v>51</v>
      </c>
      <c r="N7716" s="28" t="s">
        <v>51</v>
      </c>
    </row>
    <row r="7717" spans="1:14" x14ac:dyDescent="0.15">
      <c r="A7717" s="23" t="str">
        <f>HYPERLINK("https://www.spark-marketing.ru/Card/Person/1012794", "ОМВД РОССИИ ПО НИКОЛАЕВСКОМУ РАЙОНУ")</f>
        <v>ОМВД РОССИИ ПО НИКОЛАЕВСКОМУ РАЙОНУ</v>
      </c>
      <c r="B7717" s="24" t="s">
        <v>3742</v>
      </c>
      <c r="C7717" s="25">
        <v>702270</v>
      </c>
      <c r="D7717" s="22" t="s">
        <v>11426</v>
      </c>
      <c r="E7717" s="22" t="s">
        <v>48</v>
      </c>
      <c r="F7717" s="23" t="str">
        <f>HYPERLINK("https://www.spark-marketing.ru/Card/Lot/72744912", "Оказание услуг по организации питания лиц, содержащихся в изоляторе временного содержания  подозреваемых и обвиняемых ОМВД России по Николаевскому району в период с 01.01.2021 по 30.06.2021 года")</f>
        <v>Оказание услуг по организации питания лиц, содержащихся в изоляторе временного содержания  подозреваемых и обвиняемых ОМВД России по Николаевскому району в период с 01.01.2021 по 30.06.2021 года</v>
      </c>
      <c r="G7717" s="22" t="s">
        <v>1096</v>
      </c>
      <c r="H7717" s="22" t="s">
        <v>3400</v>
      </c>
      <c r="I7717" s="26">
        <v>43689.708946759303</v>
      </c>
      <c r="J7717" s="28" t="s">
        <v>51</v>
      </c>
      <c r="K7717" s="28" t="s">
        <v>51</v>
      </c>
      <c r="L7717" s="28" t="s">
        <v>51</v>
      </c>
      <c r="M7717" s="28" t="s">
        <v>51</v>
      </c>
      <c r="N7717" s="28" t="s">
        <v>51</v>
      </c>
    </row>
    <row r="7718" spans="1:14" x14ac:dyDescent="0.15">
      <c r="A7718" s="23" t="str">
        <f>HYPERLINK("https://www.spark-marketing.ru/Card/Person/16393", "ГОБУЗ ""ОЦГБ""")</f>
        <v>ГОБУЗ "ОЦГБ"</v>
      </c>
      <c r="B7718" s="24" t="s">
        <v>11427</v>
      </c>
      <c r="C7718" s="25">
        <v>544073.69999999995</v>
      </c>
      <c r="D7718" s="22" t="s">
        <v>11428</v>
      </c>
      <c r="E7718" s="22" t="s">
        <v>62</v>
      </c>
      <c r="F7718" s="23" t="str">
        <f>HYPERLINK("https://www.spark-marketing.ru/Card/Lot/72755093", "Оказание услуг по изготовлению полиграфической продукции")</f>
        <v>Оказание услуг по изготовлению полиграфической продукции</v>
      </c>
      <c r="G7718" s="22" t="s">
        <v>340</v>
      </c>
      <c r="H7718" s="22" t="s">
        <v>11429</v>
      </c>
      <c r="I7718" s="26">
        <v>43690.4156365741</v>
      </c>
      <c r="J7718" s="28" t="s">
        <v>51</v>
      </c>
      <c r="K7718" s="28" t="s">
        <v>51</v>
      </c>
      <c r="L7718" s="28" t="s">
        <v>51</v>
      </c>
      <c r="M7718" s="28" t="s">
        <v>51</v>
      </c>
      <c r="N7718" s="28" t="s">
        <v>51</v>
      </c>
    </row>
    <row r="7719" spans="1:14" ht="12.75" hidden="1" outlineLevel="1" x14ac:dyDescent="0.2">
      <c r="A7719" s="23" t="str">
        <f>HYPERLINK("https://www.spark-marketing.ru/Card/Person/16393", "ГОБУЗ ""ОЦГБ""")</f>
        <v>ГОБУЗ "ОЦГБ"</v>
      </c>
      <c r="B7719" s="24" t="s">
        <v>11427</v>
      </c>
      <c r="C7719" s="25">
        <v>544073.69999999995</v>
      </c>
      <c r="D7719" s="22" t="s">
        <v>11428</v>
      </c>
      <c r="E7719" s="22" t="s">
        <v>62</v>
      </c>
      <c r="F7719" s="23" t="str">
        <f>HYPERLINK("https://www.spark-marketing.ru/Card/Lot/72755093", "Оказание услуг по изготовлению полиграфической продукции")</f>
        <v>Оказание услуг по изготовлению полиграфической продукции</v>
      </c>
      <c r="G7719" s="22" t="s">
        <v>340</v>
      </c>
      <c r="H7719" s="22" t="s">
        <v>11429</v>
      </c>
      <c r="I7719" s="26">
        <v>43690.4156365741</v>
      </c>
      <c r="J7719" s="23" t="str">
        <f>HYPERLINK("https://www.spark-marketing.ru/Card/Person/6190405", "Чекашова Елизавета Александровна")</f>
        <v>Чекашова Елизавета Александровна</v>
      </c>
      <c r="K7719" s="24" t="s">
        <v>11430</v>
      </c>
      <c r="L7719" s="22" t="s">
        <v>10</v>
      </c>
      <c r="M7719" s="25">
        <v>204490.75</v>
      </c>
      <c r="N7719" s="27">
        <v>0.62414880557542107</v>
      </c>
    </row>
    <row r="7720" spans="1:14" hidden="1" outlineLevel="1" x14ac:dyDescent="0.2">
      <c r="A7720" s="23" t="str">
        <f>HYPERLINK("https://www.spark-marketing.ru/Card/Person/16393", "ГОБУЗ ""ОЦГБ""")</f>
        <v>ГОБУЗ "ОЦГБ"</v>
      </c>
      <c r="B7720" s="24" t="s">
        <v>11427</v>
      </c>
      <c r="C7720" s="25">
        <v>544073.69999999995</v>
      </c>
      <c r="D7720" s="22" t="s">
        <v>11428</v>
      </c>
      <c r="E7720" s="22" t="s">
        <v>62</v>
      </c>
      <c r="F7720" s="23" t="str">
        <f>HYPERLINK("https://www.spark-marketing.ru/Card/Lot/72755093", "Оказание услуг по изготовлению полиграфической продукции")</f>
        <v>Оказание услуг по изготовлению полиграфической продукции</v>
      </c>
      <c r="G7720" s="22" t="s">
        <v>340</v>
      </c>
      <c r="H7720" s="22" t="s">
        <v>11429</v>
      </c>
      <c r="I7720" s="26">
        <v>43690.4156365741</v>
      </c>
      <c r="J7720" s="23" t="str">
        <f>HYPERLINK("https://www.spark-marketing.ru/Card/Person/70363", "ООО ""ВИННЕР - ПРИНТ""")</f>
        <v>ООО "ВИННЕР - ПРИНТ"</v>
      </c>
      <c r="K7720" s="24" t="s">
        <v>3048</v>
      </c>
      <c r="L7720" s="28" t="s">
        <v>51</v>
      </c>
      <c r="M7720" s="25">
        <v>247000</v>
      </c>
      <c r="N7720" s="27">
        <v>0.54601738698268265</v>
      </c>
    </row>
    <row r="7721" spans="1:14" hidden="1" outlineLevel="1" x14ac:dyDescent="0.2">
      <c r="A7721" s="23" t="str">
        <f>HYPERLINK("https://www.spark-marketing.ru/Card/Person/16393", "ГОБУЗ ""ОЦГБ""")</f>
        <v>ГОБУЗ "ОЦГБ"</v>
      </c>
      <c r="B7721" s="24" t="s">
        <v>11427</v>
      </c>
      <c r="C7721" s="25">
        <v>544073.69999999995</v>
      </c>
      <c r="D7721" s="22" t="s">
        <v>11428</v>
      </c>
      <c r="E7721" s="22" t="s">
        <v>62</v>
      </c>
      <c r="F7721" s="23" t="str">
        <f>HYPERLINK("https://www.spark-marketing.ru/Card/Lot/72755093", "Оказание услуг по изготовлению полиграфической продукции")</f>
        <v>Оказание услуг по изготовлению полиграфической продукции</v>
      </c>
      <c r="G7721" s="22" t="s">
        <v>340</v>
      </c>
      <c r="H7721" s="22" t="s">
        <v>11429</v>
      </c>
      <c r="I7721" s="26">
        <v>43690.4156365741</v>
      </c>
      <c r="J7721" s="23" t="str">
        <f>HYPERLINK("https://www.spark-marketing.ru/Card/Person/372909", "ООО ""ОПТИМАЛЬНЫЕ РЕШЕНИЯ""")</f>
        <v>ООО "ОПТИМАЛЬНЫЕ РЕШЕНИЯ"</v>
      </c>
      <c r="K7721" s="24" t="s">
        <v>11431</v>
      </c>
      <c r="L7721" s="28" t="s">
        <v>51</v>
      </c>
      <c r="M7721" s="25">
        <v>207211.12</v>
      </c>
      <c r="N7721" s="27">
        <v>0.61914880281844165</v>
      </c>
    </row>
    <row r="7722" spans="1:14" x14ac:dyDescent="0.15">
      <c r="A7722" s="23" t="str">
        <f>HYPERLINK("https://www.spark-marketing.ru/Card/Person/813110", "МБОУ ""ПЕРВОМАЙСКАЯ СОШ"" БАТЫРЕВСКОГО РАЙОНА ЧУВАШСКОЙ РЕСПУБЛИКИ")</f>
        <v>МБОУ "ПЕРВОМАЙСКАЯ СОШ" БАТЫРЕВСКОГО РАЙОНА ЧУВАШСКОЙ РЕСПУБЛИКИ</v>
      </c>
      <c r="B7722" s="24" t="s">
        <v>11432</v>
      </c>
      <c r="C7722" s="25">
        <v>141060</v>
      </c>
      <c r="D7722" s="22" t="s">
        <v>11433</v>
      </c>
      <c r="E7722" s="22" t="s">
        <v>48</v>
      </c>
      <c r="F7722" s="23" t="str">
        <f>HYPERLINK("https://www.spark-marketing.ru/Card/Lot/72754442", "Оказание услуг по организации питания в МБОУ ""Первомайская СОШ имени Васлея Митты"" Батыревского района Чувашской Республики")</f>
        <v>Оказание услуг по организации питания в МБОУ "Первомайская СОШ имени Васлея Митты" Батыревского района Чувашской Республики</v>
      </c>
      <c r="G7722" s="22" t="s">
        <v>618</v>
      </c>
      <c r="H7722" s="22" t="s">
        <v>10481</v>
      </c>
      <c r="I7722" s="26">
        <v>43690.406643518501</v>
      </c>
      <c r="J7722" s="23" t="str">
        <f>HYPERLINK("https://www.spark-marketing.ru/Card/Person/392761", "ООО ""ОБЩЕПИТ ""БАТЫРЕВСКИЙ""")</f>
        <v>ООО "ОБЩЕПИТ "БАТЫРЕВСКИЙ"</v>
      </c>
      <c r="K7722" s="24" t="s">
        <v>10482</v>
      </c>
      <c r="L7722" s="22" t="s">
        <v>10</v>
      </c>
      <c r="M7722" s="28" t="s">
        <v>51</v>
      </c>
      <c r="N7722" s="28" t="s">
        <v>51</v>
      </c>
    </row>
    <row r="7723" spans="1:14" x14ac:dyDescent="0.15">
      <c r="A7723" s="23" t="str">
        <f>HYPERLINK("https://www.spark-marketing.ru/Card/Person/4348382", "ООО ""ГАЗПРОМ ПИТАНИЕ""")</f>
        <v>ООО "ГАЗПРОМ ПИТАНИЕ"</v>
      </c>
      <c r="B7723" s="24" t="s">
        <v>2869</v>
      </c>
      <c r="C7723" s="25">
        <v>99900</v>
      </c>
      <c r="D7723" s="22" t="s">
        <v>11434</v>
      </c>
      <c r="E7723" s="22" t="s">
        <v>52</v>
      </c>
      <c r="F7723" s="23" t="str">
        <f>HYPERLINK("https://www.spark-marketing.ru/Card/Lot/72751992", "Оказание услуг по обучению и проверке знаний по программе охрана труда для нужд филиала новоуренгойское уооп ооо ""газпром питание""")</f>
        <v>Оказание услуг по обучению и проверке знаний по программе охрана труда для нужд филиала новоуренгойское уооп ооо "газпром питание"</v>
      </c>
      <c r="G7723" s="22" t="s">
        <v>56</v>
      </c>
      <c r="H7723" s="22" t="s">
        <v>56</v>
      </c>
      <c r="I7723" s="26">
        <v>43690.4194444444</v>
      </c>
      <c r="J7723" s="28" t="s">
        <v>51</v>
      </c>
      <c r="K7723" s="28" t="s">
        <v>51</v>
      </c>
      <c r="L7723" s="28" t="s">
        <v>51</v>
      </c>
      <c r="M7723" s="28" t="s">
        <v>51</v>
      </c>
      <c r="N7723" s="28" t="s">
        <v>51</v>
      </c>
    </row>
    <row r="7724" spans="1:14" x14ac:dyDescent="0.15">
      <c r="A7724" s="23" t="str">
        <f>HYPERLINK("https://www.spark-marketing.ru/Card/Person/68948", "УПРАВЛЕНИЕ МВД РОССИИ ПО ГОРОДУ УФЕ")</f>
        <v>УПРАВЛЕНИЕ МВД РОССИИ ПО ГОРОДУ УФЕ</v>
      </c>
      <c r="B7724" s="24" t="s">
        <v>11435</v>
      </c>
      <c r="C7724" s="25">
        <v>10000000</v>
      </c>
      <c r="D7724" s="22" t="s">
        <v>11436</v>
      </c>
      <c r="E7724" s="22" t="s">
        <v>48</v>
      </c>
      <c r="F7724" s="23" t="str">
        <f>HYPERLINK("https://www.spark-marketing.ru/Card/Lot/72750601", "Оказание услуг по организации ежедневного трехразового горячего питания лиц, содержащихся в специальных учреждениях  и лиц, задержанных за административные правонарушения на срок более 3 часов в специальных помещениях отделов полиции Управления МВД Р...")</f>
        <v>Оказание услуг по организации ежедневного трехразового горячего питания лиц, содержащихся в специальных учреждениях  и лиц, задержанных за административные правонарушения на срок более 3 часов в специальных помещениях отделов полиции Управления МВД Р...</v>
      </c>
      <c r="G7724" s="22" t="s">
        <v>145</v>
      </c>
      <c r="H7724" s="22" t="s">
        <v>436</v>
      </c>
      <c r="I7724" s="26">
        <v>43690.436747685198</v>
      </c>
      <c r="J7724" s="28" t="s">
        <v>51</v>
      </c>
      <c r="K7724" s="28" t="s">
        <v>51</v>
      </c>
      <c r="L7724" s="28" t="s">
        <v>51</v>
      </c>
      <c r="M7724" s="28" t="s">
        <v>51</v>
      </c>
      <c r="N7724" s="28" t="s">
        <v>51</v>
      </c>
    </row>
    <row r="7725" spans="1:14" ht="12.75" hidden="1" outlineLevel="1" x14ac:dyDescent="0.2">
      <c r="A7725" s="23" t="str">
        <f>HYPERLINK("https://www.spark-marketing.ru/Card/Person/68948", "УПРАВЛЕНИЕ МВД РОССИИ ПО ГОРОДУ УФЕ")</f>
        <v>УПРАВЛЕНИЕ МВД РОССИИ ПО ГОРОДУ УФЕ</v>
      </c>
      <c r="B7725" s="24" t="s">
        <v>11435</v>
      </c>
      <c r="C7725" s="25">
        <v>10000000</v>
      </c>
      <c r="D7725" s="22" t="s">
        <v>11436</v>
      </c>
      <c r="E7725" s="22" t="s">
        <v>48</v>
      </c>
      <c r="F7725" s="23" t="str">
        <f>HYPERLINK("https://www.spark-marketing.ru/Card/Lot/72750601", "Оказание услуг по организации ежедневного трехразового горячего питания лиц, содержащихся в специальных учреждениях  и лиц, задержанных за административные правонарушения на срок более 3 часов в специальных помещениях отделов полиции Управления МВД Р...")</f>
        <v>Оказание услуг по организации ежедневного трехразового горячего питания лиц, содержащихся в специальных учреждениях  и лиц, задержанных за административные правонарушения на срок более 3 часов в специальных помещениях отделов полиции Управления МВД Р...</v>
      </c>
      <c r="G7725" s="22" t="s">
        <v>145</v>
      </c>
      <c r="H7725" s="22" t="s">
        <v>436</v>
      </c>
      <c r="I7725" s="26">
        <v>43690.436747685198</v>
      </c>
      <c r="J7725" s="23" t="str">
        <f>HYPERLINK("https://www.spark-marketing.ru/Card/Person/4543822", "ООО ""ФКС""")</f>
        <v>ООО "ФКС"</v>
      </c>
      <c r="K7725" s="24" t="s">
        <v>11437</v>
      </c>
      <c r="L7725" s="22" t="s">
        <v>10</v>
      </c>
      <c r="M7725" s="25">
        <v>1562.88</v>
      </c>
      <c r="N7725" s="27">
        <v>0.999843712</v>
      </c>
    </row>
    <row r="7726" spans="1:14" hidden="1" outlineLevel="1" x14ac:dyDescent="0.2">
      <c r="A7726" s="23" t="str">
        <f>HYPERLINK("https://www.spark-marketing.ru/Card/Person/68948", "УПРАВЛЕНИЕ МВД РОССИИ ПО ГОРОДУ УФЕ")</f>
        <v>УПРАВЛЕНИЕ МВД РОССИИ ПО ГОРОДУ УФЕ</v>
      </c>
      <c r="B7726" s="24" t="s">
        <v>11435</v>
      </c>
      <c r="C7726" s="25">
        <v>10000000</v>
      </c>
      <c r="D7726" s="22" t="s">
        <v>11436</v>
      </c>
      <c r="E7726" s="22" t="s">
        <v>48</v>
      </c>
      <c r="F7726" s="23" t="str">
        <f>HYPERLINK("https://www.spark-marketing.ru/Card/Lot/72750601", "Оказание услуг по организации ежедневного трехразового горячего питания лиц, содержащихся в специальных учреждениях  и лиц, задержанных за административные правонарушения на срок более 3 часов в специальных помещениях отделов полиции Управления МВД Р...")</f>
        <v>Оказание услуг по организации ежедневного трехразового горячего питания лиц, содержащихся в специальных учреждениях  и лиц, задержанных за административные правонарушения на срок более 3 часов в специальных помещениях отделов полиции Управления МВД Р...</v>
      </c>
      <c r="G7726" s="22" t="s">
        <v>145</v>
      </c>
      <c r="H7726" s="22" t="s">
        <v>436</v>
      </c>
      <c r="I7726" s="26">
        <v>43690.436747685198</v>
      </c>
      <c r="J7726" s="23" t="str">
        <f>HYPERLINK("https://www.spark-marketing.ru/Card/Person/987813", "ООО ""БАЗИС""")</f>
        <v>ООО "БАЗИС"</v>
      </c>
      <c r="K7726" s="24" t="s">
        <v>11438</v>
      </c>
      <c r="L7726" s="28" t="s">
        <v>51</v>
      </c>
      <c r="M7726" s="25">
        <v>1573.3</v>
      </c>
      <c r="N7726" s="27">
        <v>0.99984267000000004</v>
      </c>
    </row>
    <row r="7727" spans="1:14" x14ac:dyDescent="0.15">
      <c r="A7727" s="23" t="str">
        <f>HYPERLINK("https://www.spark-marketing.ru/Card/Person/68844", "УПРАВЛЕНИЕ МВД РОССИИ ПО НИЖНЕКАМСКОМУ РАЙОНУ")</f>
        <v>УПРАВЛЕНИЕ МВД РОССИИ ПО НИЖНЕКАМСКОМУ РАЙОНУ</v>
      </c>
      <c r="B7727" s="24" t="s">
        <v>11439</v>
      </c>
      <c r="C7727" s="25">
        <v>5230000</v>
      </c>
      <c r="D7727" s="22" t="s">
        <v>11440</v>
      </c>
      <c r="E7727" s="22" t="s">
        <v>48</v>
      </c>
      <c r="F7727" s="23" t="str">
        <f>HYPERLINK("https://www.spark-marketing.ru/Card/Lot/72755946", "Прочая закупка товаров, работ, услуг (услуги по предоставлению горячего питания для лиц, содержащихся в изоляторе временного содержания, специальном приемнике и специальном помещении для содержания задержанных лиц Управления МВД России по Нижнекамско...")</f>
        <v>Прочая закупка товаров, работ, услуг (услуги по предоставлению горячего питания для лиц, содержащихся в изоляторе временного содержания, специальном приемнике и специальном помещении для содержания задержанных лиц Управления МВД России по Нижнекамско...</v>
      </c>
      <c r="G7727" s="22" t="s">
        <v>217</v>
      </c>
      <c r="H7727" s="22" t="s">
        <v>5604</v>
      </c>
      <c r="I7727" s="26">
        <v>43690.384178240703</v>
      </c>
      <c r="J7727" s="28" t="s">
        <v>51</v>
      </c>
      <c r="K7727" s="28" t="s">
        <v>51</v>
      </c>
      <c r="L7727" s="28" t="s">
        <v>51</v>
      </c>
      <c r="M7727" s="28" t="s">
        <v>51</v>
      </c>
      <c r="N7727" s="28" t="s">
        <v>51</v>
      </c>
    </row>
    <row r="7728" spans="1:14" ht="12.75" hidden="1" outlineLevel="1" x14ac:dyDescent="0.2">
      <c r="A7728" s="23" t="str">
        <f>HYPERLINK("https://www.spark-marketing.ru/Card/Person/68844", "УПРАВЛЕНИЕ МВД РОССИИ ПО НИЖНЕКАМСКОМУ РАЙОНУ")</f>
        <v>УПРАВЛЕНИЕ МВД РОССИИ ПО НИЖНЕКАМСКОМУ РАЙОНУ</v>
      </c>
      <c r="B7728" s="24" t="s">
        <v>11439</v>
      </c>
      <c r="C7728" s="25">
        <v>5230000</v>
      </c>
      <c r="D7728" s="22" t="s">
        <v>11440</v>
      </c>
      <c r="E7728" s="22" t="s">
        <v>48</v>
      </c>
      <c r="F7728" s="23" t="str">
        <f>HYPERLINK("https://www.spark-marketing.ru/Card/Lot/72755946", "Прочая закупка товаров, работ, услуг (услуги по предоставлению горячего питания для лиц, содержащихся в изоляторе временного содержания, специальном приемнике и специальном помещении для содержания задержанных лиц Управления МВД России по Нижнекамско...")</f>
        <v>Прочая закупка товаров, работ, услуг (услуги по предоставлению горячего питания для лиц, содержащихся в изоляторе временного содержания, специальном приемнике и специальном помещении для содержания задержанных лиц Управления МВД России по Нижнекамско...</v>
      </c>
      <c r="G7728" s="22" t="s">
        <v>217</v>
      </c>
      <c r="H7728" s="22" t="s">
        <v>5604</v>
      </c>
      <c r="I7728" s="26">
        <v>43690.384178240703</v>
      </c>
      <c r="J7728" s="23" t="str">
        <f>HYPERLINK("https://www.spark-marketing.ru/Card/Person/843340", "ООО ""ТАЗАЛЫК""")</f>
        <v>ООО "ТАЗАЛЫК"</v>
      </c>
      <c r="K7728" s="24" t="s">
        <v>11441</v>
      </c>
      <c r="L7728" s="22" t="s">
        <v>10</v>
      </c>
      <c r="M7728" s="25">
        <v>621</v>
      </c>
      <c r="N7728" s="27">
        <v>0.99988126195028681</v>
      </c>
    </row>
    <row r="7729" spans="1:14" hidden="1" outlineLevel="1" x14ac:dyDescent="0.2">
      <c r="A7729" s="23" t="str">
        <f>HYPERLINK("https://www.spark-marketing.ru/Card/Person/68844", "УПРАВЛЕНИЕ МВД РОССИИ ПО НИЖНЕКАМСКОМУ РАЙОНУ")</f>
        <v>УПРАВЛЕНИЕ МВД РОССИИ ПО НИЖНЕКАМСКОМУ РАЙОНУ</v>
      </c>
      <c r="B7729" s="24" t="s">
        <v>11439</v>
      </c>
      <c r="C7729" s="25">
        <v>5230000</v>
      </c>
      <c r="D7729" s="22" t="s">
        <v>11440</v>
      </c>
      <c r="E7729" s="22" t="s">
        <v>48</v>
      </c>
      <c r="F7729" s="23" t="str">
        <f>HYPERLINK("https://www.spark-marketing.ru/Card/Lot/72755946", "Прочая закупка товаров, работ, услуг (услуги по предоставлению горячего питания для лиц, содержащихся в изоляторе временного содержания, специальном приемнике и специальном помещении для содержания задержанных лиц Управления МВД России по Нижнекамско...")</f>
        <v>Прочая закупка товаров, работ, услуг (услуги по предоставлению горячего питания для лиц, содержащихся в изоляторе временного содержания, специальном приемнике и специальном помещении для содержания задержанных лиц Управления МВД России по Нижнекамско...</v>
      </c>
      <c r="G7729" s="22" t="s">
        <v>217</v>
      </c>
      <c r="H7729" s="22" t="s">
        <v>5604</v>
      </c>
      <c r="I7729" s="26">
        <v>43690.384178240703</v>
      </c>
      <c r="J7729" s="23" t="str">
        <f>HYPERLINK("https://www.spark-marketing.ru/Card/Person/6084653", "ООО ""ВИТАРА""")</f>
        <v>ООО "ВИТАРА"</v>
      </c>
      <c r="K7729" s="24" t="s">
        <v>2437</v>
      </c>
      <c r="L7729" s="28" t="s">
        <v>51</v>
      </c>
      <c r="M7729" s="25">
        <v>626.75</v>
      </c>
      <c r="N7729" s="27">
        <v>0.99988016252390055</v>
      </c>
    </row>
    <row r="7730" spans="1:14" x14ac:dyDescent="0.15">
      <c r="A7730" s="23" t="str">
        <f>HYPERLINK("https://www.spark-marketing.ru/Card/Person/145087", "МБОУ ""БАТЫРЕВСКАЯ СОШ №2"" БАТЫРЕВСКОГО РАЙОНА ЧУВАШСКОЙ РЕСПУБЛИКИ")</f>
        <v>МБОУ "БАТЫРЕВСКАЯ СОШ №2" БАТЫРЕВСКОГО РАЙОНА ЧУВАШСКОЙ РЕСПУБЛИКИ</v>
      </c>
      <c r="B7730" s="24" t="s">
        <v>11442</v>
      </c>
      <c r="C7730" s="25">
        <v>329916</v>
      </c>
      <c r="D7730" s="22" t="s">
        <v>11443</v>
      </c>
      <c r="E7730" s="22" t="s">
        <v>48</v>
      </c>
      <c r="F7730" s="23" t="str">
        <f>HYPERLINK("https://www.spark-marketing.ru/Card/Lot/72754788", "Оказание услуг по организации питания в МБОУ ""Батыревская СОШ №2"" Батыревского района Чувашской Республики")</f>
        <v>Оказание услуг по организации питания в МБОУ "Батыревская СОШ №2" Батыревского района Чувашской Республики</v>
      </c>
      <c r="G7730" s="22" t="s">
        <v>618</v>
      </c>
      <c r="H7730" s="22" t="s">
        <v>10481</v>
      </c>
      <c r="I7730" s="26">
        <v>43690.357245370396</v>
      </c>
      <c r="J7730" s="23" t="str">
        <f>HYPERLINK("https://www.spark-marketing.ru/Card/Person/392761", "ООО ""ОБЩЕПИТ ""БАТЫРЕВСКИЙ""")</f>
        <v>ООО "ОБЩЕПИТ "БАТЫРЕВСКИЙ"</v>
      </c>
      <c r="K7730" s="24" t="s">
        <v>10482</v>
      </c>
      <c r="L7730" s="22" t="s">
        <v>10</v>
      </c>
      <c r="M7730" s="28" t="s">
        <v>51</v>
      </c>
      <c r="N7730" s="28" t="s">
        <v>51</v>
      </c>
    </row>
    <row r="7731" spans="1:14" x14ac:dyDescent="0.15">
      <c r="A7731" s="23" t="str">
        <f>HYPERLINK("https://www.spark-marketing.ru/Card/Person/68844", "УПРАВЛЕНИЕ МВД РОССИИ ПО НИЖНЕКАМСКОМУ РАЙОНУ")</f>
        <v>УПРАВЛЕНИЕ МВД РОССИИ ПО НИЖНЕКАМСКОМУ РАЙОНУ</v>
      </c>
      <c r="B7731" s="24" t="s">
        <v>11439</v>
      </c>
      <c r="C7731" s="25">
        <v>5230000</v>
      </c>
      <c r="D7731" s="22" t="s">
        <v>11444</v>
      </c>
      <c r="E7731" s="22" t="s">
        <v>48</v>
      </c>
      <c r="F7731" s="23" t="str">
        <f>HYPERLINK("https://www.spark-marketing.ru/Card/Lot/72755948", "Прочая закупка товаров, работ, услуг (услуги по предоставлению горячего питания для лиц, содержащихся в изоляторе временного содержания, специальном приемнике и специальном помещении для содержания задержанных лиц Управления МВД России по Нижнекамско...")</f>
        <v>Прочая закупка товаров, работ, услуг (услуги по предоставлению горячего питания для лиц, содержащихся в изоляторе временного содержания, специальном приемнике и специальном помещении для содержания задержанных лиц Управления МВД России по Нижнекамско...</v>
      </c>
      <c r="G7731" s="22" t="s">
        <v>217</v>
      </c>
      <c r="H7731" s="22" t="s">
        <v>5604</v>
      </c>
      <c r="I7731" s="26">
        <v>43690.387824074103</v>
      </c>
      <c r="J7731" s="28" t="s">
        <v>51</v>
      </c>
      <c r="K7731" s="28" t="s">
        <v>51</v>
      </c>
      <c r="L7731" s="28" t="s">
        <v>51</v>
      </c>
      <c r="M7731" s="28" t="s">
        <v>51</v>
      </c>
      <c r="N7731" s="28" t="s">
        <v>51</v>
      </c>
    </row>
    <row r="7732" spans="1:14" ht="12.75" hidden="1" outlineLevel="1" x14ac:dyDescent="0.2">
      <c r="A7732" s="23" t="str">
        <f>HYPERLINK("https://www.spark-marketing.ru/Card/Person/68844", "УПРАВЛЕНИЕ МВД РОССИИ ПО НИЖНЕКАМСКОМУ РАЙОНУ")</f>
        <v>УПРАВЛЕНИЕ МВД РОССИИ ПО НИЖНЕКАМСКОМУ РАЙОНУ</v>
      </c>
      <c r="B7732" s="24" t="s">
        <v>11439</v>
      </c>
      <c r="C7732" s="25">
        <v>5230000</v>
      </c>
      <c r="D7732" s="22" t="s">
        <v>11444</v>
      </c>
      <c r="E7732" s="22" t="s">
        <v>48</v>
      </c>
      <c r="F7732" s="23" t="str">
        <f>HYPERLINK("https://www.spark-marketing.ru/Card/Lot/72755948", "Прочая закупка товаров, работ, услуг (услуги по предоставлению горячего питания для лиц, содержащихся в изоляторе временного содержания, специальном приемнике и специальном помещении для содержания задержанных лиц Управления МВД России по Нижнекамско...")</f>
        <v>Прочая закупка товаров, работ, услуг (услуги по предоставлению горячего питания для лиц, содержащихся в изоляторе временного содержания, специальном приемнике и специальном помещении для содержания задержанных лиц Управления МВД России по Нижнекамско...</v>
      </c>
      <c r="G7732" s="22" t="s">
        <v>217</v>
      </c>
      <c r="H7732" s="22" t="s">
        <v>5604</v>
      </c>
      <c r="I7732" s="26">
        <v>43690.387824074103</v>
      </c>
      <c r="J7732" s="23" t="str">
        <f>HYPERLINK("https://www.spark-marketing.ru/Card/Person/843340", "ООО ""ТАЗАЛЫК""")</f>
        <v>ООО "ТАЗАЛЫК"</v>
      </c>
      <c r="K7732" s="24" t="s">
        <v>11441</v>
      </c>
      <c r="L7732" s="22" t="s">
        <v>10</v>
      </c>
      <c r="M7732" s="25">
        <v>576.6</v>
      </c>
      <c r="N7732" s="27">
        <v>0.99988975143403447</v>
      </c>
    </row>
    <row r="7733" spans="1:14" hidden="1" outlineLevel="1" x14ac:dyDescent="0.2">
      <c r="A7733" s="23" t="str">
        <f>HYPERLINK("https://www.spark-marketing.ru/Card/Person/68844", "УПРАВЛЕНИЕ МВД РОССИИ ПО НИЖНЕКАМСКОМУ РАЙОНУ")</f>
        <v>УПРАВЛЕНИЕ МВД РОССИИ ПО НИЖНЕКАМСКОМУ РАЙОНУ</v>
      </c>
      <c r="B7733" s="24" t="s">
        <v>11439</v>
      </c>
      <c r="C7733" s="25">
        <v>5230000</v>
      </c>
      <c r="D7733" s="22" t="s">
        <v>11444</v>
      </c>
      <c r="E7733" s="22" t="s">
        <v>48</v>
      </c>
      <c r="F7733" s="23" t="str">
        <f>HYPERLINK("https://www.spark-marketing.ru/Card/Lot/72755948", "Прочая закупка товаров, работ, услуг (услуги по предоставлению горячего питания для лиц, содержащихся в изоляторе временного содержания, специальном приемнике и специальном помещении для содержания задержанных лиц Управления МВД России по Нижнекамско...")</f>
        <v>Прочая закупка товаров, работ, услуг (услуги по предоставлению горячего питания для лиц, содержащихся в изоляторе временного содержания, специальном приемнике и специальном помещении для содержания задержанных лиц Управления МВД России по Нижнекамско...</v>
      </c>
      <c r="G7733" s="22" t="s">
        <v>217</v>
      </c>
      <c r="H7733" s="22" t="s">
        <v>5604</v>
      </c>
      <c r="I7733" s="26">
        <v>43690.387824074103</v>
      </c>
      <c r="J7733" s="23" t="str">
        <f>HYPERLINK("https://www.spark-marketing.ru/Card/Person/6084653", "ООО ""ВИТАРА""")</f>
        <v>ООО "ВИТАРА"</v>
      </c>
      <c r="K7733" s="24" t="s">
        <v>2437</v>
      </c>
      <c r="L7733" s="28" t="s">
        <v>51</v>
      </c>
      <c r="M7733" s="25">
        <v>582.79999999999995</v>
      </c>
      <c r="N7733" s="27">
        <v>0.99988856596558318</v>
      </c>
    </row>
    <row r="7734" spans="1:14" x14ac:dyDescent="0.15">
      <c r="A7734" s="23" t="str">
        <f>HYPERLINK("https://www.spark-marketing.ru/Card/Person/293681", "ОТДЕЛ МВД РОССИИ ПО ТОПКИНСКОМУ РАЙОНУ")</f>
        <v>ОТДЕЛ МВД РОССИИ ПО ТОПКИНСКОМУ РАЙОНУ</v>
      </c>
      <c r="B7734" s="24" t="s">
        <v>7136</v>
      </c>
      <c r="C7734" s="25">
        <v>450000</v>
      </c>
      <c r="D7734" s="22" t="s">
        <v>11445</v>
      </c>
      <c r="E7734" s="22" t="s">
        <v>48</v>
      </c>
      <c r="F7734" s="23" t="str">
        <f>HYPERLINK("https://www.spark-marketing.ru/Card/Lot/72747967", "Оказание услуг по обеспечению ежедневным трехразовым питанием лиц подвергнутых административному задержанию, подозреваемых и обвиняемых в совершении преступлений и находящихся в изоляторе временного содержания")</f>
        <v>Оказание услуг по обеспечению ежедневным трехразовым питанием лиц подвергнутых административному задержанию, подозреваемых и обвиняемых в совершении преступлений и находящихся в изоляторе временного содержания</v>
      </c>
      <c r="G7734" s="22" t="s">
        <v>304</v>
      </c>
      <c r="H7734" s="22" t="s">
        <v>7138</v>
      </c>
      <c r="I7734" s="26">
        <v>43690.442361111098</v>
      </c>
      <c r="J7734" s="23" t="str">
        <f>HYPERLINK("https://www.spark-marketing.ru/Card/Person/632208", "ООО ""МЕРКУРИЙ""")</f>
        <v>ООО "МЕРКУРИЙ"</v>
      </c>
      <c r="K7734" s="24" t="s">
        <v>11446</v>
      </c>
      <c r="L7734" s="22" t="s">
        <v>10</v>
      </c>
      <c r="M7734" s="28" t="s">
        <v>51</v>
      </c>
      <c r="N7734" s="28" t="s">
        <v>51</v>
      </c>
    </row>
    <row r="7735" spans="1:14" x14ac:dyDescent="0.15">
      <c r="A7735" s="23" t="str">
        <f>HYPERLINK("https://www.spark-marketing.ru/Card/Person/1012794", "ОМВД РОССИИ ПО НИКОЛАЕВСКОМУ РАЙОНУ")</f>
        <v>ОМВД РОССИИ ПО НИКОЛАЕВСКОМУ РАЙОНУ</v>
      </c>
      <c r="B7735" s="24" t="s">
        <v>3742</v>
      </c>
      <c r="C7735" s="25">
        <v>702270</v>
      </c>
      <c r="D7735" s="22" t="s">
        <v>11447</v>
      </c>
      <c r="E7735" s="22" t="s">
        <v>48</v>
      </c>
      <c r="F7735" s="23" t="str">
        <f>HYPERLINK("https://www.spark-marketing.ru/Card/Lot/72744646", "Оказание услуг по организации питания лиц, содержащихся в изоляторе временного содержания подозреваемых и обвиняемых ОМВД России по Николаевскому району с 01.01.2020 по 30.06.2020")</f>
        <v>Оказание услуг по организации питания лиц, содержащихся в изоляторе временного содержания подозреваемых и обвиняемых ОМВД России по Николаевскому району с 01.01.2020 по 30.06.2020</v>
      </c>
      <c r="G7735" s="22" t="s">
        <v>1096</v>
      </c>
      <c r="H7735" s="22" t="s">
        <v>3400</v>
      </c>
      <c r="I7735" s="26">
        <v>43689.710497685199</v>
      </c>
      <c r="J7735" s="28" t="s">
        <v>51</v>
      </c>
      <c r="K7735" s="28" t="s">
        <v>51</v>
      </c>
      <c r="L7735" s="28" t="s">
        <v>51</v>
      </c>
      <c r="M7735" s="28" t="s">
        <v>51</v>
      </c>
      <c r="N7735" s="28" t="s">
        <v>51</v>
      </c>
    </row>
    <row r="7736" spans="1:14" x14ac:dyDescent="0.15">
      <c r="A7736" s="23" t="str">
        <f>HYPERLINK("https://www.spark-marketing.ru/Card/Person/812636", "ОТДЕЛ МВД РОССИИ ПО АГРЫЗСКОМУ РАЙОНУ")</f>
        <v>ОТДЕЛ МВД РОССИИ ПО АГРЫЗСКОМУ РАЙОНУ</v>
      </c>
      <c r="B7736" s="24" t="s">
        <v>9199</v>
      </c>
      <c r="C7736" s="25">
        <v>528000</v>
      </c>
      <c r="D7736" s="22" t="s">
        <v>11448</v>
      </c>
      <c r="E7736" s="22" t="s">
        <v>48</v>
      </c>
      <c r="F7736" s="23" t="str">
        <f>HYPERLINK("https://www.spark-marketing.ru/Card/Lot/72752799", "Прочая закупка услуг (питание лиц, содержащихся в изоляторе временного содержания, специальном приемнике и комнате содержания задержанных лиц)")</f>
        <v>Прочая закупка услуг (питание лиц, содержащихся в изоляторе временного содержания, специальном приемнике и комнате содержания задержанных лиц)</v>
      </c>
      <c r="G7736" s="22" t="s">
        <v>217</v>
      </c>
      <c r="H7736" s="22" t="s">
        <v>9201</v>
      </c>
      <c r="I7736" s="26">
        <v>43690.326979166697</v>
      </c>
      <c r="J7736" s="28" t="s">
        <v>51</v>
      </c>
      <c r="K7736" s="28" t="s">
        <v>51</v>
      </c>
      <c r="L7736" s="28" t="s">
        <v>51</v>
      </c>
      <c r="M7736" s="28" t="s">
        <v>51</v>
      </c>
      <c r="N7736" s="28" t="s">
        <v>51</v>
      </c>
    </row>
    <row r="7737" spans="1:14" x14ac:dyDescent="0.15">
      <c r="A7737" s="23" t="str">
        <f>HYPERLINK("https://www.spark-marketing.ru/Card/Person/818742", "ОТДЕЛ МВД РОССИИ ПО АПАСТОВСКОМУ РАЙОНУ")</f>
        <v>ОТДЕЛ МВД РОССИИ ПО АПАСТОВСКОМУ РАЙОНУ</v>
      </c>
      <c r="B7737" s="24" t="s">
        <v>11449</v>
      </c>
      <c r="C7737" s="25">
        <v>400000</v>
      </c>
      <c r="D7737" s="22" t="s">
        <v>11450</v>
      </c>
      <c r="E7737" s="22" t="s">
        <v>48</v>
      </c>
      <c r="F7737" s="23" t="str">
        <f>HYPERLINK("https://www.spark-marketing.ru/Card/Lot/72752334", "услуги по организации питания подозреваемых и обвиняемых в совершении преступлений, находящихся в изоляторе временного содержания подозреваемых и обвиняемых, лиц содержащихся в комнате содержания задержанных лиц Отдела МВД России по Апастовскому райо...")</f>
        <v>услуги по организации питания подозреваемых и обвиняемых в совершении преступлений, находящихся в изоляторе временного содержания подозреваемых и обвиняемых, лиц содержащихся в комнате содержания задержанных лиц Отдела МВД России по Апастовскому райо...</v>
      </c>
      <c r="G7737" s="22" t="s">
        <v>217</v>
      </c>
      <c r="H7737" s="22" t="s">
        <v>11451</v>
      </c>
      <c r="I7737" s="26">
        <v>43690.370393518497</v>
      </c>
      <c r="J7737" s="28" t="s">
        <v>51</v>
      </c>
      <c r="K7737" s="28" t="s">
        <v>51</v>
      </c>
      <c r="L7737" s="28" t="s">
        <v>51</v>
      </c>
      <c r="M7737" s="28" t="s">
        <v>51</v>
      </c>
      <c r="N7737" s="28" t="s">
        <v>51</v>
      </c>
    </row>
    <row r="7738" spans="1:14" x14ac:dyDescent="0.15">
      <c r="A7738" s="23" t="str">
        <f>HYPERLINK("https://www.spark-marketing.ru/Card/Person/769", "ФКУ ""ЦОКР""")</f>
        <v>ФКУ "ЦОКР"</v>
      </c>
      <c r="B7738" s="24" t="s">
        <v>2576</v>
      </c>
      <c r="C7738" s="25">
        <v>232000</v>
      </c>
      <c r="D7738" s="22" t="s">
        <v>11452</v>
      </c>
      <c r="E7738" s="22" t="s">
        <v>91</v>
      </c>
      <c r="F7738" s="23" t="str">
        <f>HYPERLINK("https://www.spark-marketing.ru/Card/Lot/72751669", "Оказание услуг по техническому обслуживанию источников бесперебойного питания для обеспечения нужд Управления Федерального казначейства по г. Севастополю")</f>
        <v>Оказание услуг по техническому обслуживанию источников бесперебойного питания для обеспечения нужд Управления Федерального казначейства по г. Севастополю</v>
      </c>
      <c r="G7738" s="22" t="s">
        <v>322</v>
      </c>
      <c r="H7738" s="22" t="s">
        <v>322</v>
      </c>
      <c r="I7738" s="26">
        <v>43686.661712963003</v>
      </c>
      <c r="J7738" s="23" t="str">
        <f>HYPERLINK("https://www.spark-marketing.ru/Card/Person/2005302", "ООО ""ЧЕРЕМШИНА ЭНЕРГОСТАНДАРТ""")</f>
        <v>ООО "ЧЕРЕМШИНА ЭНЕРГОСТАНДАРТ"</v>
      </c>
      <c r="K7738" s="24" t="s">
        <v>11453</v>
      </c>
      <c r="L7738" s="22" t="s">
        <v>10</v>
      </c>
      <c r="M7738" s="28" t="s">
        <v>51</v>
      </c>
      <c r="N7738" s="28" t="s">
        <v>51</v>
      </c>
    </row>
    <row r="7739" spans="1:14" x14ac:dyDescent="0.15">
      <c r="A7739" s="23" t="str">
        <f>HYPERLINK("https://www.spark-marketing.ru/Card/Person/818742", "ОТДЕЛ МВД РОССИИ ПО АПАСТОВСКОМУ РАЙОНУ")</f>
        <v>ОТДЕЛ МВД РОССИИ ПО АПАСТОВСКОМУ РАЙОНУ</v>
      </c>
      <c r="B7739" s="24" t="s">
        <v>11449</v>
      </c>
      <c r="C7739" s="25">
        <v>400000</v>
      </c>
      <c r="D7739" s="22" t="s">
        <v>11454</v>
      </c>
      <c r="E7739" s="22" t="s">
        <v>48</v>
      </c>
      <c r="F7739" s="23" t="str">
        <f>HYPERLINK("https://www.spark-marketing.ru/Card/Lot/72752373", "услуги по организации питания подозреваемых и обвиняемых в совершении преступлений, находящихся в изоляторе временного содержания подозреваемых и обвиняемых, лиц содержащихся в комнате содержания задержанных лиц Отдела МВД России по Апастовскому райо...")</f>
        <v>услуги по организации питания подозреваемых и обвиняемых в совершении преступлений, находящихся в изоляторе временного содержания подозреваемых и обвиняемых, лиц содержащихся в комнате содержания задержанных лиц Отдела МВД России по Апастовскому райо...</v>
      </c>
      <c r="G7739" s="22" t="s">
        <v>217</v>
      </c>
      <c r="H7739" s="22" t="s">
        <v>11451</v>
      </c>
      <c r="I7739" s="26">
        <v>43690.376157407401</v>
      </c>
      <c r="J7739" s="28" t="s">
        <v>51</v>
      </c>
      <c r="K7739" s="28" t="s">
        <v>51</v>
      </c>
      <c r="L7739" s="28" t="s">
        <v>51</v>
      </c>
      <c r="M7739" s="28" t="s">
        <v>51</v>
      </c>
      <c r="N7739" s="28" t="s">
        <v>51</v>
      </c>
    </row>
    <row r="7740" spans="1:14" x14ac:dyDescent="0.15">
      <c r="A7740" s="23" t="str">
        <f>HYPERLINK("https://www.spark-marketing.ru/Card/Person/254222", "МКОУ ""ШКОЛА №47""")</f>
        <v>МКОУ "ШКОЛА №47"</v>
      </c>
      <c r="B7740" s="24" t="s">
        <v>11455</v>
      </c>
      <c r="C7740" s="25">
        <v>2824058.9</v>
      </c>
      <c r="D7740" s="22" t="s">
        <v>11456</v>
      </c>
      <c r="E7740" s="22" t="s">
        <v>48</v>
      </c>
      <c r="F7740" s="23" t="str">
        <f>HYPERLINK("https://www.spark-marketing.ru/Card/Lot/72750332", "№ зз-24332-19 Услуга по организации питания и выдачи продуктовых наборов")</f>
        <v>№ зз-24332-19 Услуга по организации питания и выдачи продуктовых наборов</v>
      </c>
      <c r="G7740" s="22" t="s">
        <v>852</v>
      </c>
      <c r="H7740" s="22" t="s">
        <v>2477</v>
      </c>
      <c r="I7740" s="26">
        <v>43689.798391203702</v>
      </c>
      <c r="J7740" s="23" t="str">
        <f>HYPERLINK("https://www.spark-marketing.ru/Card/Person/6527871", "ООО ""ДОМАШНЯЯ КУХНЯ""")</f>
        <v>ООО "ДОМАШНЯЯ КУХНЯ"</v>
      </c>
      <c r="K7740" s="24" t="s">
        <v>11457</v>
      </c>
      <c r="L7740" s="22" t="s">
        <v>10</v>
      </c>
      <c r="M7740" s="28" t="s">
        <v>51</v>
      </c>
      <c r="N7740" s="28" t="s">
        <v>51</v>
      </c>
    </row>
    <row r="7741" spans="1:14" x14ac:dyDescent="0.15">
      <c r="A7741" s="23" t="str">
        <f>HYPERLINK("https://www.spark-marketing.ru/Card/Person/4378341", "МБОУ ""ОКТЯБРЬСКАЯ ШКОЛА №3 ИМЕНИ И.ГАСПРИНСКОГО""")</f>
        <v>МБОУ "ОКТЯБРЬСКАЯ ШКОЛА №3 ИМЕНИ И.ГАСПРИНСКОГО"</v>
      </c>
      <c r="B7741" s="24" t="s">
        <v>11458</v>
      </c>
      <c r="C7741" s="25">
        <v>880518</v>
      </c>
      <c r="D7741" s="22" t="s">
        <v>11459</v>
      </c>
      <c r="E7741" s="22" t="s">
        <v>48</v>
      </c>
      <c r="F7741" s="23" t="str">
        <f>HYPERLINK("https://www.spark-marketing.ru/Card/Lot/72752236", "Услуги по обеспечению горячим питанием учащихся 1-4 классов и учащихся льготных категорий")</f>
        <v>Услуги по обеспечению горячим питанием учащихся 1-4 классов и учащихся льготных категорий</v>
      </c>
      <c r="G7741" s="22" t="s">
        <v>108</v>
      </c>
      <c r="H7741" s="22" t="s">
        <v>11460</v>
      </c>
      <c r="I7741" s="26">
        <v>43690.348738425899</v>
      </c>
      <c r="J7741" s="23" t="str">
        <f>HYPERLINK("https://www.spark-marketing.ru/Card/Person/5789450", "Шмакова Наталия Владимировна")</f>
        <v>Шмакова Наталия Владимировна</v>
      </c>
      <c r="K7741" s="24" t="s">
        <v>4594</v>
      </c>
      <c r="L7741" s="22" t="s">
        <v>10</v>
      </c>
      <c r="M7741" s="28" t="s">
        <v>51</v>
      </c>
      <c r="N7741" s="28" t="s">
        <v>51</v>
      </c>
    </row>
    <row r="7742" spans="1:14" x14ac:dyDescent="0.15">
      <c r="A7742" s="23" t="str">
        <f>HYPERLINK("https://www.spark-marketing.ru/Card/Person/818742", "ОТДЕЛ МВД РОССИИ ПО АПАСТОВСКОМУ РАЙОНУ")</f>
        <v>ОТДЕЛ МВД РОССИИ ПО АПАСТОВСКОМУ РАЙОНУ</v>
      </c>
      <c r="B7742" s="24" t="s">
        <v>11449</v>
      </c>
      <c r="C7742" s="25">
        <v>111300</v>
      </c>
      <c r="D7742" s="22" t="s">
        <v>11461</v>
      </c>
      <c r="E7742" s="22" t="s">
        <v>48</v>
      </c>
      <c r="F7742" s="23" t="str">
        <f>HYPERLINK("https://www.spark-marketing.ru/Card/Lot/72752933", "услуги по организации питания подозреваемых и обвиняемых в совершении преступлений, находящихся в изоляторе временного содержания подозреваемых и обвиняемых, лиц содержащихся в комнате содержания задержанных лиц Отдела МВД России по Апастовскому райо...")</f>
        <v>услуги по организации питания подозреваемых и обвиняемых в совершении преступлений, находящихся в изоляторе временного содержания подозреваемых и обвиняемых, лиц содержащихся в комнате содержания задержанных лиц Отдела МВД России по Апастовскому райо...</v>
      </c>
      <c r="G7742" s="22" t="s">
        <v>217</v>
      </c>
      <c r="H7742" s="22" t="s">
        <v>11451</v>
      </c>
      <c r="I7742" s="26">
        <v>43690.365937499999</v>
      </c>
      <c r="J7742" s="28" t="s">
        <v>51</v>
      </c>
      <c r="K7742" s="28" t="s">
        <v>51</v>
      </c>
      <c r="L7742" s="28" t="s">
        <v>51</v>
      </c>
      <c r="M7742" s="28" t="s">
        <v>51</v>
      </c>
      <c r="N7742" s="28" t="s">
        <v>51</v>
      </c>
    </row>
    <row r="7743" spans="1:14" x14ac:dyDescent="0.15">
      <c r="A7743" s="23" t="str">
        <f>HYPERLINK("https://www.spark-marketing.ru/Card/Person/34855", "МО МВД РОССИИ ""ШИМАНОВСКИЙ""")</f>
        <v>МО МВД РОССИИ "ШИМАНОВСКИЙ"</v>
      </c>
      <c r="B7743" s="24" t="s">
        <v>11462</v>
      </c>
      <c r="C7743" s="25">
        <v>770000</v>
      </c>
      <c r="D7743" s="22" t="s">
        <v>11463</v>
      </c>
      <c r="E7743" s="22" t="s">
        <v>48</v>
      </c>
      <c r="F7743" s="23" t="str">
        <f>HYPERLINK("https://www.spark-marketing.ru/Card/Lot/72744932", "Услуги по обеспечению питанием, осуществляемые по договору, лиц, содержащихся в ИВС МО МВД России ""Шимановский""")</f>
        <v>Услуги по обеспечению питанием, осуществляемые по договору, лиц, содержащихся в ИВС МО МВД России "Шимановский"</v>
      </c>
      <c r="G7743" s="22" t="s">
        <v>210</v>
      </c>
      <c r="H7743" s="22" t="s">
        <v>11464</v>
      </c>
      <c r="I7743" s="26">
        <v>43689.738958333299</v>
      </c>
      <c r="J7743" s="23" t="str">
        <f>HYPERLINK("https://www.spark-marketing.ru/Card/Person/327930", "Никогосян Жулета Воскановна")</f>
        <v>Никогосян Жулета Воскановна</v>
      </c>
      <c r="K7743" s="24" t="s">
        <v>11465</v>
      </c>
      <c r="L7743" s="22" t="s">
        <v>10</v>
      </c>
      <c r="M7743" s="28" t="s">
        <v>51</v>
      </c>
      <c r="N7743" s="28" t="s">
        <v>51</v>
      </c>
    </row>
    <row r="7744" spans="1:14" x14ac:dyDescent="0.15">
      <c r="A7744" s="23" t="str">
        <f>HYPERLINK("https://www.spark-marketing.ru/Card/Person/640799", "ОТДЕЛЕНИЕ МВД РОССИИ ПО СТЕРЛИБАШЕВСКОМУ РАЙОНУ")</f>
        <v>ОТДЕЛЕНИЕ МВД РОССИИ ПО СТЕРЛИБАШЕВСКОМУ РАЙОНУ</v>
      </c>
      <c r="B7744" s="24" t="s">
        <v>8648</v>
      </c>
      <c r="C7744" s="25">
        <v>16000</v>
      </c>
      <c r="D7744" s="22" t="s">
        <v>11466</v>
      </c>
      <c r="E7744" s="22" t="s">
        <v>8045</v>
      </c>
      <c r="F7744" s="23" t="str">
        <f>HYPERLINK("https://www.spark-marketing.ru/Card/Lot/72748366", "Услуги по обеспечению трехразовым питанием лиц, содержащихся в КЗСЛ")</f>
        <v>Услуги по обеспечению трехразовым питанием лиц, содержащихся в КЗСЛ</v>
      </c>
      <c r="G7744" s="22" t="s">
        <v>145</v>
      </c>
      <c r="H7744" s="22" t="s">
        <v>8650</v>
      </c>
      <c r="I7744" s="26">
        <v>43690.382037037001</v>
      </c>
      <c r="J7744" s="28" t="s">
        <v>51</v>
      </c>
      <c r="K7744" s="28" t="s">
        <v>51</v>
      </c>
      <c r="L7744" s="28" t="s">
        <v>51</v>
      </c>
      <c r="M7744" s="28" t="s">
        <v>51</v>
      </c>
      <c r="N7744" s="28" t="s">
        <v>51</v>
      </c>
    </row>
    <row r="7745" spans="1:14" x14ac:dyDescent="0.15">
      <c r="A7745" s="23" t="str">
        <f>HYPERLINK("https://www.spark-marketing.ru/Card/Person/1026608", "КОУ ОО ""ОРЛОВСКАЯ ОБЩЕОБРАЗОВАТЕЛЬНАЯ ШКОЛА ДЛЯ ОБУЧАЮЩИХСЯ С ОГРАНИЧЕННЫМИ ВОЗМОЖНОСТЯМИ ЗДОРОВЬЯ""")</f>
        <v>КОУ ОО "ОРЛОВСКАЯ ОБЩЕОБРАЗОВАТЕЛЬНАЯ ШКОЛА ДЛЯ ОБУЧАЮЩИХСЯ С ОГРАНИЧЕННЫМИ ВОЗМОЖНОСТЯМИ ЗДОРОВЬЯ"</v>
      </c>
      <c r="B7745" s="24" t="s">
        <v>11467</v>
      </c>
      <c r="C7745" s="25">
        <v>1689845.85</v>
      </c>
      <c r="D7745" s="22" t="s">
        <v>11468</v>
      </c>
      <c r="E7745" s="22" t="s">
        <v>67</v>
      </c>
      <c r="F7745" s="23" t="str">
        <f>HYPERLINK("https://www.spark-marketing.ru/Card/Lot/72753197", "Оказание услуги по организации горячего питания учащихся")</f>
        <v>Оказание услуги по организации горячего питания учащихся</v>
      </c>
      <c r="G7745" s="22" t="s">
        <v>1066</v>
      </c>
      <c r="H7745" s="22" t="s">
        <v>2864</v>
      </c>
      <c r="I7745" s="26">
        <v>43689.718958333302</v>
      </c>
      <c r="J7745" s="23" t="str">
        <f>HYPERLINK("https://www.spark-marketing.ru/Card/Person/385389", "ООО ""ОФСАЙД""")</f>
        <v>ООО "ОФСАЙД"</v>
      </c>
      <c r="K7745" s="24" t="s">
        <v>9233</v>
      </c>
      <c r="L7745" s="22" t="s">
        <v>10</v>
      </c>
      <c r="M7745" s="28" t="s">
        <v>51</v>
      </c>
      <c r="N7745" s="28" t="s">
        <v>51</v>
      </c>
    </row>
    <row r="7746" spans="1:14" x14ac:dyDescent="0.15">
      <c r="A7746" s="23" t="str">
        <f>HYPERLINK("https://www.spark-marketing.ru/Card/Person/81958", "МЕЖМУНИЦИПАЛЬНЫЙ ОТДЕЛ МВД РОССИИ ""ГУБАХИНСКИЙ""")</f>
        <v>МЕЖМУНИЦИПАЛЬНЫЙ ОТДЕЛ МВД РОССИИ "ГУБАХИНСКИЙ"</v>
      </c>
      <c r="B7746" s="24" t="s">
        <v>9521</v>
      </c>
      <c r="C7746" s="25">
        <v>2109998.14</v>
      </c>
      <c r="D7746" s="22" t="s">
        <v>11469</v>
      </c>
      <c r="E7746" s="22" t="s">
        <v>48</v>
      </c>
      <c r="F7746" s="23" t="str">
        <f>HYPERLINK("https://www.spark-marketing.ru/Card/Lot/72747485", "Оказание услуг по поставке трехразового горячего питания для лиц, содержащихся в СПАА и в специальном помещении для задержанных лиц ДЧ")</f>
        <v>Оказание услуг по поставке трехразового горячего питания для лиц, содержащихся в СПАА и в специальном помещении для задержанных лиц ДЧ</v>
      </c>
      <c r="G7746" s="22" t="s">
        <v>153</v>
      </c>
      <c r="H7746" s="22" t="s">
        <v>11470</v>
      </c>
      <c r="I7746" s="26">
        <v>43689.634363425903</v>
      </c>
      <c r="J7746" s="23" t="str">
        <f>HYPERLINK("https://www.spark-marketing.ru/Card/Person/358098", "ООО ""УРАЛСТРОЙ""")</f>
        <v>ООО "УРАЛСТРОЙ"</v>
      </c>
      <c r="K7746" s="24" t="s">
        <v>11471</v>
      </c>
      <c r="L7746" s="22" t="s">
        <v>10</v>
      </c>
      <c r="M7746" s="28" t="s">
        <v>51</v>
      </c>
      <c r="N7746" s="28" t="s">
        <v>51</v>
      </c>
    </row>
    <row r="7747" spans="1:14" x14ac:dyDescent="0.15">
      <c r="A7747" s="23" t="str">
        <f>HYPERLINK("https://www.spark-marketing.ru/Card/Person/21113", "ГБУЗ ПК ""ГОРНОЗАВОДСКАЯ РБ""")</f>
        <v>ГБУЗ ПК "ГОРНОЗАВОДСКАЯ РБ"</v>
      </c>
      <c r="B7747" s="24" t="s">
        <v>11472</v>
      </c>
      <c r="C7747" s="25">
        <v>2800000</v>
      </c>
      <c r="D7747" s="22" t="s">
        <v>11473</v>
      </c>
      <c r="E7747" s="22" t="s">
        <v>96</v>
      </c>
      <c r="F7747" s="23" t="str">
        <f>HYPERLINK("https://www.spark-marketing.ru/Card/Lot/72746861", "Право заключения гражданско-правового договора на оказание услуг по организации питания для пациентов Государственного бюджетного учреждения здравоохранения Пермского края «Горнозаводская районная больница», находящихся на стационарном лечении")</f>
        <v>Право заключения гражданско-правового договора на оказание услуг по организации питания для пациентов Государственного бюджетного учреждения здравоохранения Пермского края «Горнозаводская районная больница», находящихся на стационарном лечении</v>
      </c>
      <c r="G7747" s="22" t="s">
        <v>153</v>
      </c>
      <c r="H7747" s="22" t="s">
        <v>153</v>
      </c>
      <c r="I7747" s="26">
        <v>43689.704421296301</v>
      </c>
      <c r="J7747" s="23" t="str">
        <f>HYPERLINK("https://www.spark-marketing.ru/Card/Person/783212", "Василенко Павел Алексеевич")</f>
        <v>Василенко Павел Алексеевич</v>
      </c>
      <c r="K7747" s="24" t="s">
        <v>11474</v>
      </c>
      <c r="L7747" s="22" t="s">
        <v>10</v>
      </c>
      <c r="M7747" s="28" t="s">
        <v>51</v>
      </c>
      <c r="N7747" s="28" t="s">
        <v>51</v>
      </c>
    </row>
    <row r="7748" spans="1:14" x14ac:dyDescent="0.15">
      <c r="A7748" s="23" t="str">
        <f t="shared" ref="A7748:A7753" si="167">HYPERLINK("https://www.spark-marketing.ru/Card/Person/35542", "ГБУЗ ""ТБ ИМ. А.Е.РАБУХИНА ДЗМ""")</f>
        <v>ГБУЗ "ТБ ИМ. А.Е.РАБУХИНА ДЗМ"</v>
      </c>
      <c r="B7748" s="24" t="s">
        <v>11475</v>
      </c>
      <c r="C7748" s="25">
        <v>8537980.6199999992</v>
      </c>
      <c r="D7748" s="22" t="s">
        <v>11476</v>
      </c>
      <c r="E7748" s="22" t="s">
        <v>756</v>
      </c>
      <c r="F7748" s="23" t="str">
        <f t="shared" ref="F7748:F7753" si="168">HYPERLINK("https://www.spark-marketing.ru/Card/Lot/72750442", "Аукцион в электронной форме среди субъектов малого предпринимательства на право заключения контракта на оказание услуг по текущему ремонту системы автоматической пожарной сигнализации (АПС) и системы оповещения и управления эвакуации (СОУЭ) в зданиях...")</f>
        <v>Аукцион в электронной форме среди субъектов малого предпринимательства на право заключения контракта на оказание услуг по текущему ремонту системы автоматической пожарной сигнализации (АПС) и системы оповещения и управления эвакуации (СОУЭ) в зданиях...</v>
      </c>
      <c r="G7748" s="22" t="s">
        <v>49</v>
      </c>
      <c r="H7748" s="22" t="s">
        <v>204</v>
      </c>
      <c r="I7748" s="26">
        <v>43690.346817129597</v>
      </c>
      <c r="J7748" s="28" t="s">
        <v>51</v>
      </c>
      <c r="K7748" s="28" t="s">
        <v>51</v>
      </c>
      <c r="L7748" s="28" t="s">
        <v>51</v>
      </c>
      <c r="M7748" s="28" t="s">
        <v>51</v>
      </c>
      <c r="N7748" s="28" t="s">
        <v>51</v>
      </c>
    </row>
    <row r="7749" spans="1:14" hidden="1" outlineLevel="1" x14ac:dyDescent="0.2">
      <c r="A7749" s="23" t="str">
        <f t="shared" si="167"/>
        <v>ГБУЗ "ТБ ИМ. А.Е.РАБУХИНА ДЗМ"</v>
      </c>
      <c r="B7749" s="24" t="s">
        <v>11475</v>
      </c>
      <c r="C7749" s="25">
        <v>8537980.6199999992</v>
      </c>
      <c r="D7749" s="22" t="s">
        <v>11476</v>
      </c>
      <c r="E7749" s="22" t="s">
        <v>756</v>
      </c>
      <c r="F7749" s="23" t="str">
        <f t="shared" si="168"/>
        <v>Аукцион в электронной форме среди субъектов малого предпринимательства на право заключения контракта на оказание услуг по текущему ремонту системы автоматической пожарной сигнализации (АПС) и системы оповещения и управления эвакуации (СОУЭ) в зданиях...</v>
      </c>
      <c r="G7749" s="22" t="s">
        <v>49</v>
      </c>
      <c r="H7749" s="22" t="s">
        <v>204</v>
      </c>
      <c r="I7749" s="26">
        <v>43690.346817129597</v>
      </c>
      <c r="J7749" s="23" t="str">
        <f>HYPERLINK("https://www.spark-marketing.ru/Card/Person/131182", "ООО ""ГОРИЗОНТ""")</f>
        <v>ООО "ГОРИЗОНТ"</v>
      </c>
      <c r="K7749" s="24" t="s">
        <v>11477</v>
      </c>
      <c r="L7749" s="28" t="s">
        <v>51</v>
      </c>
      <c r="M7749" s="25">
        <v>6158480.7999999998</v>
      </c>
      <c r="N7749" s="27">
        <v>0.27869585630425103</v>
      </c>
    </row>
    <row r="7750" spans="1:14" hidden="1" outlineLevel="1" x14ac:dyDescent="0.2">
      <c r="A7750" s="23" t="str">
        <f t="shared" si="167"/>
        <v>ГБУЗ "ТБ ИМ. А.Е.РАБУХИНА ДЗМ"</v>
      </c>
      <c r="B7750" s="24" t="s">
        <v>11475</v>
      </c>
      <c r="C7750" s="25">
        <v>8537980.6199999992</v>
      </c>
      <c r="D7750" s="22" t="s">
        <v>11476</v>
      </c>
      <c r="E7750" s="22" t="s">
        <v>756</v>
      </c>
      <c r="F7750" s="23" t="str">
        <f t="shared" si="168"/>
        <v>Аукцион в электронной форме среди субъектов малого предпринимательства на право заключения контракта на оказание услуг по текущему ремонту системы автоматической пожарной сигнализации (АПС) и системы оповещения и управления эвакуации (СОУЭ) в зданиях...</v>
      </c>
      <c r="G7750" s="22" t="s">
        <v>49</v>
      </c>
      <c r="H7750" s="22" t="s">
        <v>204</v>
      </c>
      <c r="I7750" s="26">
        <v>43690.346817129597</v>
      </c>
      <c r="J7750" s="23" t="str">
        <f>HYPERLINK("https://www.spark-marketing.ru/Card/Person/6442258", "ООО ""ВЕКТОР""")</f>
        <v>ООО "ВЕКТОР"</v>
      </c>
      <c r="K7750" s="24" t="s">
        <v>11478</v>
      </c>
      <c r="L7750" s="28" t="s">
        <v>51</v>
      </c>
      <c r="M7750" s="25">
        <v>8367221</v>
      </c>
      <c r="N7750" s="27">
        <v>2.0000000890140226E-2</v>
      </c>
    </row>
    <row r="7751" spans="1:14" hidden="1" outlineLevel="1" x14ac:dyDescent="0.2">
      <c r="A7751" s="23" t="str">
        <f t="shared" si="167"/>
        <v>ГБУЗ "ТБ ИМ. А.Е.РАБУХИНА ДЗМ"</v>
      </c>
      <c r="B7751" s="24" t="s">
        <v>11475</v>
      </c>
      <c r="C7751" s="25">
        <v>8537980.6199999992</v>
      </c>
      <c r="D7751" s="22" t="s">
        <v>11476</v>
      </c>
      <c r="E7751" s="22" t="s">
        <v>756</v>
      </c>
      <c r="F7751" s="23" t="str">
        <f t="shared" si="168"/>
        <v>Аукцион в электронной форме среди субъектов малого предпринимательства на право заключения контракта на оказание услуг по текущему ремонту системы автоматической пожарной сигнализации (АПС) и системы оповещения и управления эвакуации (СОУЭ) в зданиях...</v>
      </c>
      <c r="G7751" s="22" t="s">
        <v>49</v>
      </c>
      <c r="H7751" s="22" t="s">
        <v>204</v>
      </c>
      <c r="I7751" s="26">
        <v>43690.346817129597</v>
      </c>
      <c r="J7751" s="23" t="str">
        <f>HYPERLINK("https://www.spark-marketing.ru/Card/Person/6680312", "Асессоров Александр Владимирович")</f>
        <v>Асессоров Александр Владимирович</v>
      </c>
      <c r="K7751" s="24" t="s">
        <v>11479</v>
      </c>
      <c r="L7751" s="28" t="s">
        <v>51</v>
      </c>
      <c r="M7751" s="25">
        <v>6329240.4000000004</v>
      </c>
      <c r="N7751" s="27">
        <v>0.25869585775658505</v>
      </c>
    </row>
    <row r="7752" spans="1:14" ht="12.75" hidden="1" outlineLevel="1" x14ac:dyDescent="0.2">
      <c r="A7752" s="23" t="str">
        <f t="shared" si="167"/>
        <v>ГБУЗ "ТБ ИМ. А.Е.РАБУХИНА ДЗМ"</v>
      </c>
      <c r="B7752" s="24" t="s">
        <v>11475</v>
      </c>
      <c r="C7752" s="25">
        <v>8537980.6199999992</v>
      </c>
      <c r="D7752" s="22" t="s">
        <v>11476</v>
      </c>
      <c r="E7752" s="22" t="s">
        <v>756</v>
      </c>
      <c r="F7752" s="23" t="str">
        <f t="shared" si="168"/>
        <v>Аукцион в электронной форме среди субъектов малого предпринимательства на право заключения контракта на оказание услуг по текущему ремонту системы автоматической пожарной сигнализации (АПС) и системы оповещения и управления эвакуации (СОУЭ) в зданиях...</v>
      </c>
      <c r="G7752" s="22" t="s">
        <v>49</v>
      </c>
      <c r="H7752" s="22" t="s">
        <v>204</v>
      </c>
      <c r="I7752" s="26">
        <v>43690.346817129597</v>
      </c>
      <c r="J7752" s="23" t="str">
        <f>HYPERLINK("https://www.spark-marketing.ru/Card/Person/6621609", "Касаткин Антон Павлович")</f>
        <v>Касаткин Антон Павлович</v>
      </c>
      <c r="K7752" s="24" t="s">
        <v>11480</v>
      </c>
      <c r="L7752" s="22" t="s">
        <v>10</v>
      </c>
      <c r="M7752" s="25">
        <v>5615790.9000000004</v>
      </c>
      <c r="N7752" s="27">
        <v>0.34225771292509682</v>
      </c>
    </row>
    <row r="7753" spans="1:14" hidden="1" outlineLevel="1" x14ac:dyDescent="0.2">
      <c r="A7753" s="23" t="str">
        <f t="shared" si="167"/>
        <v>ГБУЗ "ТБ ИМ. А.Е.РАБУХИНА ДЗМ"</v>
      </c>
      <c r="B7753" s="24" t="s">
        <v>11475</v>
      </c>
      <c r="C7753" s="25">
        <v>8537980.6199999992</v>
      </c>
      <c r="D7753" s="22" t="s">
        <v>11476</v>
      </c>
      <c r="E7753" s="22" t="s">
        <v>756</v>
      </c>
      <c r="F7753" s="23" t="str">
        <f t="shared" si="168"/>
        <v>Аукцион в электронной форме среди субъектов малого предпринимательства на право заключения контракта на оказание услуг по текущему ремонту системы автоматической пожарной сигнализации (АПС) и системы оповещения и управления эвакуации (СОУЭ) в зданиях...</v>
      </c>
      <c r="G7753" s="22" t="s">
        <v>49</v>
      </c>
      <c r="H7753" s="22" t="s">
        <v>204</v>
      </c>
      <c r="I7753" s="26">
        <v>43690.346817129597</v>
      </c>
      <c r="J7753" s="23" t="str">
        <f>HYPERLINK("https://www.spark-marketing.ru/Card/Person/5897938", "ООО ""ОСМ""")</f>
        <v>ООО "ОСМ"</v>
      </c>
      <c r="K7753" s="24" t="s">
        <v>11481</v>
      </c>
      <c r="L7753" s="28" t="s">
        <v>51</v>
      </c>
      <c r="M7753" s="25">
        <v>5658480.7999999998</v>
      </c>
      <c r="N7753" s="27">
        <v>0.33725771328818033</v>
      </c>
    </row>
    <row r="7754" spans="1:14" x14ac:dyDescent="0.15">
      <c r="A7754" s="23" t="str">
        <f>HYPERLINK("https://www.spark-marketing.ru/Card/Person/56576", "МО МВД РОССИИ ""АПАТИТСКИЙ""")</f>
        <v>МО МВД РОССИИ "АПАТИТСКИЙ"</v>
      </c>
      <c r="B7754" s="24" t="s">
        <v>7499</v>
      </c>
      <c r="C7754" s="25">
        <v>660000</v>
      </c>
      <c r="D7754" s="22" t="s">
        <v>11482</v>
      </c>
      <c r="E7754" s="22" t="s">
        <v>48</v>
      </c>
      <c r="F7754" s="23" t="str">
        <f>HYPERLINK("https://www.spark-marketing.ru/Card/Lot/72750305", "Услуги питания (г. Кировск)")</f>
        <v>Услуги питания (г. Кировск)</v>
      </c>
      <c r="G7754" s="22" t="s">
        <v>340</v>
      </c>
      <c r="H7754" s="22" t="s">
        <v>7501</v>
      </c>
      <c r="I7754" s="26">
        <v>43689.717384259297</v>
      </c>
      <c r="J7754" s="23" t="str">
        <f>HYPERLINK("https://www.spark-marketing.ru/Card/Person/1387803", "ООО ""РЕСТО""")</f>
        <v>ООО "РЕСТО"</v>
      </c>
      <c r="K7754" s="24" t="s">
        <v>11483</v>
      </c>
      <c r="L7754" s="22" t="s">
        <v>10</v>
      </c>
      <c r="M7754" s="28" t="s">
        <v>51</v>
      </c>
      <c r="N7754" s="28" t="s">
        <v>51</v>
      </c>
    </row>
    <row r="7755" spans="1:14" x14ac:dyDescent="0.15">
      <c r="A7755" s="23" t="str">
        <f>HYPERLINK("https://www.spark-marketing.ru/Card/Person/4349514", "МИНСЕЛЬХОЗПРОД УР")</f>
        <v>МИНСЕЛЬХОЗПРОД УР</v>
      </c>
      <c r="B7755" s="24" t="s">
        <v>11484</v>
      </c>
      <c r="C7755" s="25">
        <v>209957.18</v>
      </c>
      <c r="D7755" s="22" t="s">
        <v>11485</v>
      </c>
      <c r="E7755" s="22" t="s">
        <v>91</v>
      </c>
      <c r="F7755" s="23" t="str">
        <f>HYPERLINK("https://www.spark-marketing.ru/Card/Lot/72750512", "№ зз-23845-19 Оказание услуг по техническому обслуживанию, ремонту, настройке и калибровке компьютерной техники, периферийных устройств сканирования и печати, источников бесперебойного питания")</f>
        <v>№ зз-23845-19 Оказание услуг по техническому обслуживанию, ремонту, настройке и калибровке компьютерной техники, периферийных устройств сканирования и печати, источников бесперебойного питания</v>
      </c>
      <c r="G7755" s="22" t="s">
        <v>852</v>
      </c>
      <c r="H7755" s="22" t="s">
        <v>2477</v>
      </c>
      <c r="I7755" s="26">
        <v>43690.352083333302</v>
      </c>
      <c r="J7755" s="28" t="s">
        <v>51</v>
      </c>
      <c r="K7755" s="28" t="s">
        <v>51</v>
      </c>
      <c r="L7755" s="28" t="s">
        <v>51</v>
      </c>
      <c r="M7755" s="28" t="s">
        <v>51</v>
      </c>
      <c r="N7755" s="28" t="s">
        <v>51</v>
      </c>
    </row>
    <row r="7756" spans="1:14" hidden="1" outlineLevel="1" x14ac:dyDescent="0.2">
      <c r="A7756" s="23" t="str">
        <f>HYPERLINK("https://www.spark-marketing.ru/Card/Person/4349514", "МИНСЕЛЬХОЗПРОД УР")</f>
        <v>МИНСЕЛЬХОЗПРОД УР</v>
      </c>
      <c r="B7756" s="24" t="s">
        <v>11484</v>
      </c>
      <c r="C7756" s="25">
        <v>209957.18</v>
      </c>
      <c r="D7756" s="22" t="s">
        <v>11485</v>
      </c>
      <c r="E7756" s="22" t="s">
        <v>91</v>
      </c>
      <c r="F7756" s="23" t="str">
        <f>HYPERLINK("https://www.spark-marketing.ru/Card/Lot/72750512", "№ зз-23845-19 Оказание услуг по техническому обслуживанию, ремонту, настройке и калибровке компьютерной техники, периферийных устройств сканирования и печати, источников бесперебойного питания")</f>
        <v>№ зз-23845-19 Оказание услуг по техническому обслуживанию, ремонту, настройке и калибровке компьютерной техники, периферийных устройств сканирования и печати, источников бесперебойного питания</v>
      </c>
      <c r="G7756" s="22" t="s">
        <v>852</v>
      </c>
      <c r="H7756" s="22" t="s">
        <v>2477</v>
      </c>
      <c r="I7756" s="26">
        <v>43690.352083333302</v>
      </c>
      <c r="J7756" s="23" t="str">
        <f>HYPERLINK("https://www.spark-marketing.ru/Card/Person/121455", "Вахитов Василь Робертович")</f>
        <v>Вахитов Василь Робертович</v>
      </c>
      <c r="K7756" s="24" t="s">
        <v>11486</v>
      </c>
      <c r="L7756" s="28" t="s">
        <v>51</v>
      </c>
      <c r="M7756" s="25">
        <v>87346.57</v>
      </c>
      <c r="N7756" s="27">
        <v>0.5839791237432318</v>
      </c>
    </row>
    <row r="7757" spans="1:14" ht="12.75" hidden="1" outlineLevel="1" x14ac:dyDescent="0.2">
      <c r="A7757" s="23" t="str">
        <f>HYPERLINK("https://www.spark-marketing.ru/Card/Person/4349514", "МИНСЕЛЬХОЗПРОД УР")</f>
        <v>МИНСЕЛЬХОЗПРОД УР</v>
      </c>
      <c r="B7757" s="24" t="s">
        <v>11484</v>
      </c>
      <c r="C7757" s="25">
        <v>209957.18</v>
      </c>
      <c r="D7757" s="22" t="s">
        <v>11485</v>
      </c>
      <c r="E7757" s="22" t="s">
        <v>91</v>
      </c>
      <c r="F7757" s="23" t="str">
        <f>HYPERLINK("https://www.spark-marketing.ru/Card/Lot/72750512", "№ зз-23845-19 Оказание услуг по техническому обслуживанию, ремонту, настройке и калибровке компьютерной техники, периферийных устройств сканирования и печати, источников бесперебойного питания")</f>
        <v>№ зз-23845-19 Оказание услуг по техническому обслуживанию, ремонту, настройке и калибровке компьютерной техники, периферийных устройств сканирования и печати, источников бесперебойного питания</v>
      </c>
      <c r="G7757" s="22" t="s">
        <v>852</v>
      </c>
      <c r="H7757" s="22" t="s">
        <v>2477</v>
      </c>
      <c r="I7757" s="26">
        <v>43690.352083333302</v>
      </c>
      <c r="J7757" s="23" t="str">
        <f>HYPERLINK("https://www.spark-marketing.ru/Card/Person/59603", "ООО ""ИНТЕРКОМ СЕРВИС""")</f>
        <v>ООО "ИНТЕРКОМ СЕРВИС"</v>
      </c>
      <c r="K7757" s="24" t="s">
        <v>11487</v>
      </c>
      <c r="L7757" s="22" t="s">
        <v>10</v>
      </c>
      <c r="M7757" s="25">
        <v>34120.15</v>
      </c>
      <c r="N7757" s="27">
        <v>0.83748995866681009</v>
      </c>
    </row>
    <row r="7758" spans="1:14" hidden="1" outlineLevel="1" x14ac:dyDescent="0.2">
      <c r="A7758" s="23" t="str">
        <f>HYPERLINK("https://www.spark-marketing.ru/Card/Person/4349514", "МИНСЕЛЬХОЗПРОД УР")</f>
        <v>МИНСЕЛЬХОЗПРОД УР</v>
      </c>
      <c r="B7758" s="24" t="s">
        <v>11484</v>
      </c>
      <c r="C7758" s="25">
        <v>209957.18</v>
      </c>
      <c r="D7758" s="22" t="s">
        <v>11485</v>
      </c>
      <c r="E7758" s="22" t="s">
        <v>91</v>
      </c>
      <c r="F7758" s="23" t="str">
        <f>HYPERLINK("https://www.spark-marketing.ru/Card/Lot/72750512", "№ зз-23845-19 Оказание услуг по техническому обслуживанию, ремонту, настройке и калибровке компьютерной техники, периферийных устройств сканирования и печати, источников бесперебойного питания")</f>
        <v>№ зз-23845-19 Оказание услуг по техническому обслуживанию, ремонту, настройке и калибровке компьютерной техники, периферийных устройств сканирования и печати, источников бесперебойного питания</v>
      </c>
      <c r="G7758" s="22" t="s">
        <v>852</v>
      </c>
      <c r="H7758" s="22" t="s">
        <v>2477</v>
      </c>
      <c r="I7758" s="26">
        <v>43690.352083333302</v>
      </c>
      <c r="J7758" s="23" t="str">
        <f>HYPERLINK("https://www.spark-marketing.ru/Card/Person/81451", "ООО ""ИТ-ПРИВОЛЖЬЕ""")</f>
        <v>ООО "ИТ-ПРИВОЛЖЬЕ"</v>
      </c>
      <c r="K7758" s="24" t="s">
        <v>11488</v>
      </c>
      <c r="L7758" s="28" t="s">
        <v>51</v>
      </c>
      <c r="M7758" s="25">
        <v>34802.54</v>
      </c>
      <c r="N7758" s="27">
        <v>0.83423981975753336</v>
      </c>
    </row>
    <row r="7759" spans="1:14" x14ac:dyDescent="0.15">
      <c r="A7759" s="23" t="str">
        <f>HYPERLINK("https://www.spark-marketing.ru/Card/Person/1013934", "ОМВД РОССИИ ПО Г. ЮГОРСКУ")</f>
        <v>ОМВД РОССИИ ПО Г. ЮГОРСКУ</v>
      </c>
      <c r="B7759" s="24" t="s">
        <v>3461</v>
      </c>
      <c r="C7759" s="25">
        <v>8700</v>
      </c>
      <c r="D7759" s="22" t="s">
        <v>11489</v>
      </c>
      <c r="E7759" s="22" t="s">
        <v>48</v>
      </c>
      <c r="F7759" s="23" t="str">
        <f>HYPERLINK("https://www.spark-marketing.ru/Card/Lot/72747580",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7759" s="22" t="s">
        <v>97</v>
      </c>
      <c r="H7759" s="22" t="s">
        <v>3463</v>
      </c>
      <c r="I7759" s="26">
        <v>43690.341261574104</v>
      </c>
      <c r="J7759" s="28" t="s">
        <v>51</v>
      </c>
      <c r="K7759" s="28" t="s">
        <v>51</v>
      </c>
      <c r="L7759" s="28" t="s">
        <v>51</v>
      </c>
      <c r="M7759" s="28" t="s">
        <v>51</v>
      </c>
      <c r="N7759" s="28" t="s">
        <v>51</v>
      </c>
    </row>
    <row r="7760" spans="1:14" x14ac:dyDescent="0.15">
      <c r="A7760" s="23" t="str">
        <f>HYPERLINK("https://www.spark-marketing.ru/Card/Person/4445343", "АО ""БНП""")</f>
        <v>АО "БНП"</v>
      </c>
      <c r="B7760" s="24" t="s">
        <v>11490</v>
      </c>
      <c r="C7760" s="28" t="s">
        <v>51</v>
      </c>
      <c r="D7760" s="22" t="s">
        <v>11491</v>
      </c>
      <c r="E7760" s="22" t="s">
        <v>362</v>
      </c>
      <c r="F7760" s="23" t="str">
        <f>HYPERLINK("https://www.spark-marketing.ru/Card/Lot/73998399", "Оказание услуг по проведению корпоративного мероприятия, посвященного празднованию Дня работника нефтяной и газовой промышленности")</f>
        <v>Оказание услуг по проведению корпоративного мероприятия, посвященного празднованию Дня работника нефтяной и газовой промышленности</v>
      </c>
      <c r="G7760" s="22" t="s">
        <v>228</v>
      </c>
      <c r="H7760" s="22" t="s">
        <v>394</v>
      </c>
      <c r="I7760" s="26">
        <v>43690.355555555601</v>
      </c>
      <c r="J7760" s="28" t="s">
        <v>51</v>
      </c>
      <c r="K7760" s="28" t="s">
        <v>51</v>
      </c>
      <c r="L7760" s="28" t="s">
        <v>51</v>
      </c>
      <c r="M7760" s="28" t="s">
        <v>51</v>
      </c>
      <c r="N7760" s="28" t="s">
        <v>51</v>
      </c>
    </row>
    <row r="7761" spans="1:14" x14ac:dyDescent="0.15">
      <c r="A7761" s="23" t="str">
        <f>HYPERLINK("https://www.spark-marketing.ru/Card/Person/6491463", "ГБУЗ ПК ""ГКБ ИМ. М.А. ТВЕРЬЕ""")</f>
        <v>ГБУЗ ПК "ГКБ ИМ. М.А. ТВЕРЬЕ"</v>
      </c>
      <c r="B7761" s="24" t="s">
        <v>11492</v>
      </c>
      <c r="C7761" s="25">
        <v>2952600</v>
      </c>
      <c r="D7761" s="22" t="s">
        <v>11493</v>
      </c>
      <c r="E7761" s="22" t="s">
        <v>96</v>
      </c>
      <c r="F7761" s="23" t="str">
        <f>HYPERLINK("https://www.spark-marketing.ru/Card/Lot/72746934", "Оказание услуг по обеспечению лечебным питанием пациентов, находящихся на стационарном лечении в ГБУЗ ПК «ГКБ им. М.А. Тверье»")</f>
        <v>Оказание услуг по обеспечению лечебным питанием пациентов, находящихся на стационарном лечении в ГБУЗ ПК «ГКБ им. М.А. Тверье»</v>
      </c>
      <c r="G7761" s="22" t="s">
        <v>153</v>
      </c>
      <c r="H7761" s="22" t="s">
        <v>153</v>
      </c>
      <c r="I7761" s="26">
        <v>43689.906458333302</v>
      </c>
      <c r="J7761" s="23" t="str">
        <f>HYPERLINK("https://www.spark-marketing.ru/Card/Person/47274", "ООО ""ЭЛИОНА""")</f>
        <v>ООО "ЭЛИОНА"</v>
      </c>
      <c r="K7761" s="24" t="s">
        <v>5443</v>
      </c>
      <c r="L7761" s="22" t="s">
        <v>10</v>
      </c>
      <c r="M7761" s="28" t="s">
        <v>51</v>
      </c>
      <c r="N7761" s="28" t="s">
        <v>51</v>
      </c>
    </row>
    <row r="7762" spans="1:14" x14ac:dyDescent="0.15">
      <c r="A7762" s="23" t="str">
        <f>HYPERLINK("https://www.spark-marketing.ru/Card/Person/425599", "МО МВД РОССИИ ""ТЮКАЛИНСКИЙ""")</f>
        <v>МО МВД РОССИИ "ТЮКАЛИНСКИЙ"</v>
      </c>
      <c r="B7762" s="24" t="s">
        <v>11494</v>
      </c>
      <c r="C7762" s="25">
        <v>96900</v>
      </c>
      <c r="D7762" s="22" t="s">
        <v>11495</v>
      </c>
      <c r="E7762" s="22" t="s">
        <v>48</v>
      </c>
      <c r="F7762" s="23" t="str">
        <f>HYPERLINK("https://www.spark-marketing.ru/Card/Lot/72746798",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7762" s="22" t="s">
        <v>487</v>
      </c>
      <c r="H7762" s="22" t="s">
        <v>11496</v>
      </c>
      <c r="I7762" s="26">
        <v>43690.2886574074</v>
      </c>
      <c r="J7762" s="28" t="s">
        <v>51</v>
      </c>
      <c r="K7762" s="28" t="s">
        <v>51</v>
      </c>
      <c r="L7762" s="28" t="s">
        <v>51</v>
      </c>
      <c r="M7762" s="28" t="s">
        <v>51</v>
      </c>
      <c r="N7762" s="28" t="s">
        <v>51</v>
      </c>
    </row>
    <row r="7763" spans="1:14" x14ac:dyDescent="0.15">
      <c r="A7763" s="23" t="str">
        <f>HYPERLINK("https://www.spark-marketing.ru/Card/Person/653", "ФКУ ""ВСОУМТС МВД РОССИИ""")</f>
        <v>ФКУ "ВСОУМТС МВД РОССИИ"</v>
      </c>
      <c r="B7763" s="24" t="s">
        <v>11497</v>
      </c>
      <c r="C7763" s="25">
        <v>67000</v>
      </c>
      <c r="D7763" s="22" t="s">
        <v>11498</v>
      </c>
      <c r="E7763" s="22" t="s">
        <v>11499</v>
      </c>
      <c r="F7763" s="23" t="str">
        <f>HYPERLINK("https://www.spark-marketing.ru/Card/Lot/72745891", "Работы, Услуги")</f>
        <v>Работы, Услуги</v>
      </c>
      <c r="G7763" s="22" t="s">
        <v>263</v>
      </c>
      <c r="H7763" s="22" t="s">
        <v>2768</v>
      </c>
      <c r="I7763" s="26">
        <v>43690.238749999997</v>
      </c>
      <c r="J7763" s="28" t="s">
        <v>51</v>
      </c>
      <c r="K7763" s="28" t="s">
        <v>51</v>
      </c>
      <c r="L7763" s="28" t="s">
        <v>51</v>
      </c>
      <c r="M7763" s="28" t="s">
        <v>51</v>
      </c>
      <c r="N7763" s="28" t="s">
        <v>51</v>
      </c>
    </row>
    <row r="7764" spans="1:14" x14ac:dyDescent="0.15">
      <c r="A7764" s="23" t="str">
        <f>HYPERLINK("https://www.spark-marketing.ru/Card/Person/102169", "КГБОУ ""БИЙСКАЯ ОБЩЕОБРАЗОВАТЕЛЬНАЯ ШКОЛА-ИНТЕРНАТ № 2""")</f>
        <v>КГБОУ "БИЙСКАЯ ОБЩЕОБРАЗОВАТЕЛЬНАЯ ШКОЛА-ИНТЕРНАТ № 2"</v>
      </c>
      <c r="B7764" s="24" t="s">
        <v>10082</v>
      </c>
      <c r="C7764" s="25">
        <v>62300</v>
      </c>
      <c r="D7764" s="22" t="s">
        <v>11500</v>
      </c>
      <c r="E7764" s="22" t="s">
        <v>10080</v>
      </c>
      <c r="F7764" s="23" t="str">
        <f>HYPERLINK("https://www.spark-marketing.ru/Card/Lot/72744896", "(000)Товары, работы или услуги на сумму, не превышающую 100 тыс. руб. (п.4 ч.1 ст.93 Федерального закона №44-ФЗ)")</f>
        <v>(000)Товары, работы или услуги на сумму, не превышающую 100 тыс. руб. (п.4 ч.1 ст.93 Федерального закона №44-ФЗ)</v>
      </c>
      <c r="G7764" s="22" t="s">
        <v>63</v>
      </c>
      <c r="H7764" s="22" t="s">
        <v>1294</v>
      </c>
      <c r="I7764" s="26">
        <v>43690.206250000003</v>
      </c>
      <c r="J7764" s="28" t="s">
        <v>51</v>
      </c>
      <c r="K7764" s="28" t="s">
        <v>51</v>
      </c>
      <c r="L7764" s="28" t="s">
        <v>51</v>
      </c>
      <c r="M7764" s="28" t="s">
        <v>51</v>
      </c>
      <c r="N7764" s="28" t="s">
        <v>51</v>
      </c>
    </row>
    <row r="7765" spans="1:14" x14ac:dyDescent="0.15">
      <c r="A7765" s="23" t="str">
        <f>HYPERLINK("https://www.spark-marketing.ru/Card/Person/4358738", "ООО ""РН-САХАЛИНМОРНЕФТЕГАЗ""")</f>
        <v>ООО "РН-САХАЛИНМОРНЕФТЕГАЗ"</v>
      </c>
      <c r="B7765" s="24" t="s">
        <v>3408</v>
      </c>
      <c r="C7765" s="28" t="s">
        <v>51</v>
      </c>
      <c r="D7765" s="22" t="s">
        <v>11501</v>
      </c>
      <c r="E7765" s="22" t="s">
        <v>362</v>
      </c>
      <c r="F7765" s="23" t="str">
        <f>HYPERLINK("https://www.spark-marketing.ru/Card/Lot/73999202", "Услуги по организации питания при проведении плановых мероприятий Заказчика")</f>
        <v>Услуги по организации питания при проведении плановых мероприятий Заказчика</v>
      </c>
      <c r="G7765" s="22" t="s">
        <v>260</v>
      </c>
      <c r="H7765" s="22" t="s">
        <v>804</v>
      </c>
      <c r="I7765" s="26">
        <v>43690.124305555597</v>
      </c>
      <c r="J7765" s="28" t="s">
        <v>51</v>
      </c>
      <c r="K7765" s="28" t="s">
        <v>51</v>
      </c>
      <c r="L7765" s="28" t="s">
        <v>51</v>
      </c>
      <c r="M7765" s="28" t="s">
        <v>51</v>
      </c>
      <c r="N7765" s="28" t="s">
        <v>51</v>
      </c>
    </row>
    <row r="7766" spans="1:14" x14ac:dyDescent="0.15">
      <c r="A7766" s="23" t="str">
        <f>HYPERLINK("https://www.spark-marketing.ru/Card/Person/50743", "МП ""ДЕТСКОЕ ПИТАНИЕ""")</f>
        <v>МП "ДЕТСКОЕ ПИТАНИЕ"</v>
      </c>
      <c r="B7766" s="24" t="s">
        <v>1562</v>
      </c>
      <c r="C7766" s="25">
        <v>986350</v>
      </c>
      <c r="D7766" s="22" t="s">
        <v>11502</v>
      </c>
      <c r="E7766" s="22" t="s">
        <v>9835</v>
      </c>
      <c r="F7766" s="23" t="str">
        <f>HYPERLINK("https://www.spark-marketing.ru/Card/Lot/72757679", "Поставка печени говяжьей (для оказания услуг по предоставлению питания школьникам).")</f>
        <v>Поставка печени говяжьей (для оказания услуг по предоставлению питания школьникам).</v>
      </c>
      <c r="G7766" s="22" t="s">
        <v>1522</v>
      </c>
      <c r="H7766" s="22" t="s">
        <v>1522</v>
      </c>
      <c r="I7766" s="26">
        <v>43690</v>
      </c>
      <c r="J7766" s="28" t="s">
        <v>51</v>
      </c>
      <c r="K7766" s="28" t="s">
        <v>51</v>
      </c>
      <c r="L7766" s="28" t="s">
        <v>51</v>
      </c>
      <c r="M7766" s="28" t="s">
        <v>51</v>
      </c>
      <c r="N7766" s="28" t="s">
        <v>51</v>
      </c>
    </row>
    <row r="7767" spans="1:14" x14ac:dyDescent="0.15">
      <c r="A7767" s="23" t="str">
        <f>HYPERLINK("https://www.spark-marketing.ru/Card/Person/4875967", "ГАПОУ ПО ПКТТ")</f>
        <v>ГАПОУ ПО ПКТТ</v>
      </c>
      <c r="B7767" s="24" t="s">
        <v>11218</v>
      </c>
      <c r="C7767" s="25">
        <v>274050</v>
      </c>
      <c r="D7767" s="22" t="s">
        <v>11503</v>
      </c>
      <c r="E7767" s="22" t="s">
        <v>362</v>
      </c>
      <c r="F7767" s="23" t="str">
        <f>HYPERLINK("https://www.spark-marketing.ru/Card/Lot/72763471", "Услуги по организации горячего питания обучающихся в ГАПОУ ПО ПКТТ (Лунинский филиал)")</f>
        <v>Услуги по организации горячего питания обучающихся в ГАПОУ ПО ПКТТ (Лунинский филиал)</v>
      </c>
      <c r="G7767" s="22" t="s">
        <v>72</v>
      </c>
      <c r="H7767" s="22" t="s">
        <v>72</v>
      </c>
      <c r="I7767" s="26">
        <v>43690</v>
      </c>
      <c r="J7767" s="28" t="s">
        <v>51</v>
      </c>
      <c r="K7767" s="28" t="s">
        <v>51</v>
      </c>
      <c r="L7767" s="28" t="s">
        <v>51</v>
      </c>
      <c r="M7767" s="28" t="s">
        <v>51</v>
      </c>
      <c r="N7767" s="28" t="s">
        <v>51</v>
      </c>
    </row>
    <row r="7768" spans="1:14" x14ac:dyDescent="0.15">
      <c r="A7768" s="23" t="str">
        <f>HYPERLINK("https://www.spark-marketing.ru/Card/Person/54404", "ФГБОУ ВО АГМУ МИНЗДРАВА РОССИИ")</f>
        <v>ФГБОУ ВО АГМУ МИНЗДРАВА РОССИИ</v>
      </c>
      <c r="B7768" s="24" t="s">
        <v>11504</v>
      </c>
      <c r="C7768" s="25">
        <v>322000</v>
      </c>
      <c r="D7768" s="22" t="s">
        <v>11505</v>
      </c>
      <c r="E7768" s="22" t="s">
        <v>362</v>
      </c>
      <c r="F7768" s="23" t="str">
        <f>HYPERLINK("https://www.spark-marketing.ru/Card/Lot/72747358", "Организация питания")</f>
        <v>Организация питания</v>
      </c>
      <c r="G7768" s="22" t="s">
        <v>63</v>
      </c>
      <c r="H7768" s="22" t="s">
        <v>63</v>
      </c>
      <c r="I7768" s="26">
        <v>43690</v>
      </c>
      <c r="J7768" s="28" t="s">
        <v>51</v>
      </c>
      <c r="K7768" s="28" t="s">
        <v>51</v>
      </c>
      <c r="L7768" s="28" t="s">
        <v>51</v>
      </c>
      <c r="M7768" s="28" t="s">
        <v>51</v>
      </c>
      <c r="N7768" s="28" t="s">
        <v>51</v>
      </c>
    </row>
    <row r="7769" spans="1:14" x14ac:dyDescent="0.2">
      <c r="A7769" s="23" t="str">
        <f>HYPERLINK("https://www.spark-marketing.ru/Card/Person/4874743", "ГАУ ВО ""СК ""РОТОР""")</f>
        <v>ГАУ ВО "СК "РОТОР"</v>
      </c>
      <c r="B7769" s="24" t="s">
        <v>1208</v>
      </c>
      <c r="C7769" s="25">
        <v>137000</v>
      </c>
      <c r="D7769" s="22" t="s">
        <v>11506</v>
      </c>
      <c r="E7769" s="22" t="s">
        <v>769</v>
      </c>
      <c r="F7769" s="23" t="str">
        <f>HYPERLINK("https://www.spark-marketing.ru/Card/Lot/72763429", "Услуги по организации проживания и питания в отеле «Север Сити» для футбольной команды «Ротор - 2», в период с 15 августа 2019 года по 16 августа 2019 года в городе Москва, Российской Федерации")</f>
        <v>Услуги по организации проживания и питания в отеле «Север Сити» для футбольной команды «Ротор - 2», в период с 15 августа 2019 года по 16 августа 2019 года в городе Москва, Российской Федерации</v>
      </c>
      <c r="G7769" s="22" t="s">
        <v>56</v>
      </c>
      <c r="H7769" s="22" t="s">
        <v>56</v>
      </c>
      <c r="I7769" s="26">
        <v>43690</v>
      </c>
      <c r="J7769" s="28" t="s">
        <v>51</v>
      </c>
      <c r="K7769" s="28" t="s">
        <v>51</v>
      </c>
      <c r="L7769" s="28" t="s">
        <v>51</v>
      </c>
      <c r="M7769" s="25">
        <v>137000</v>
      </c>
      <c r="N7769" s="27">
        <v>0</v>
      </c>
    </row>
    <row r="7770" spans="1:14" x14ac:dyDescent="0.15">
      <c r="A7770" s="23" t="str">
        <f>HYPERLINK("https://www.spark-marketing.ru/Card/Person/127505", "МАОУ ГИМНАЗИЯ № 25")</f>
        <v>МАОУ ГИМНАЗИЯ № 25</v>
      </c>
      <c r="B7770" s="24" t="s">
        <v>11507</v>
      </c>
      <c r="C7770" s="25">
        <v>253135.18</v>
      </c>
      <c r="D7770" s="22" t="s">
        <v>11508</v>
      </c>
      <c r="E7770" s="22" t="s">
        <v>362</v>
      </c>
      <c r="F7770" s="23" t="str">
        <f>HYPERLINK("https://www.spark-marketing.ru/Card/Lot/72758983", "Оказание услуг по организации питания")</f>
        <v>Оказание услуг по организации питания</v>
      </c>
      <c r="G7770" s="22" t="s">
        <v>104</v>
      </c>
      <c r="H7770" s="22" t="s">
        <v>104</v>
      </c>
      <c r="I7770" s="26">
        <v>43690</v>
      </c>
      <c r="J7770" s="28" t="s">
        <v>51</v>
      </c>
      <c r="K7770" s="28" t="s">
        <v>51</v>
      </c>
      <c r="L7770" s="28" t="s">
        <v>51</v>
      </c>
      <c r="M7770" s="28" t="s">
        <v>51</v>
      </c>
      <c r="N7770" s="28" t="s">
        <v>51</v>
      </c>
    </row>
    <row r="7771" spans="1:14" x14ac:dyDescent="0.15">
      <c r="A7771" s="23" t="str">
        <f>HYPERLINK("https://www.spark-marketing.ru/Card/Person/4351284", "ФГБУ ""ВНИИОКЕАНГЕОЛОГИЯ""")</f>
        <v>ФГБУ "ВНИИОКЕАНГЕОЛОГИЯ"</v>
      </c>
      <c r="B7771" s="24" t="s">
        <v>9297</v>
      </c>
      <c r="C7771" s="25">
        <v>13325267.4</v>
      </c>
      <c r="D7771" s="22" t="s">
        <v>11509</v>
      </c>
      <c r="E7771" s="22" t="s">
        <v>9299</v>
      </c>
      <c r="F7771" s="23" t="str">
        <f>HYPERLINK("https://www.spark-marketing.ru/Card/Lot/72770182", "Оказание услуг по транспортному обслуживанию, обеспечению питанием и прочим сопутствующим расходами на борту НЭС «Михаил Сомов»")</f>
        <v>Оказание услуг по транспортному обслуживанию, обеспечению питанием и прочим сопутствующим расходами на борту НЭС «Михаил Сомов»</v>
      </c>
      <c r="G7771" s="22" t="s">
        <v>241</v>
      </c>
      <c r="H7771" s="22" t="s">
        <v>241</v>
      </c>
      <c r="I7771" s="26">
        <v>43690</v>
      </c>
      <c r="J7771" s="28" t="s">
        <v>51</v>
      </c>
      <c r="K7771" s="28" t="s">
        <v>51</v>
      </c>
      <c r="L7771" s="28" t="s">
        <v>51</v>
      </c>
      <c r="M7771" s="28" t="s">
        <v>51</v>
      </c>
      <c r="N7771" s="28" t="s">
        <v>51</v>
      </c>
    </row>
    <row r="7772" spans="1:14" x14ac:dyDescent="0.15">
      <c r="A7772" s="23" t="str">
        <f>HYPERLINK("https://www.spark-marketing.ru/Card/Person/72890", "ГУП РК ""КАРЕЛФАРМ""")</f>
        <v>ГУП РК "КАРЕЛФАРМ"</v>
      </c>
      <c r="B7772" s="24" t="s">
        <v>1668</v>
      </c>
      <c r="C7772" s="25">
        <v>144312</v>
      </c>
      <c r="D7772" s="22" t="s">
        <v>11510</v>
      </c>
      <c r="E7772" s="22" t="s">
        <v>3561</v>
      </c>
      <c r="F7772" s="23" t="str">
        <f>HYPERLINK("https://www.spark-marketing.ru/Card/Lot/72767704", "оказание услуг по приемке, хранению, комплектованию, доставке, отпуску и учёту лекарственных препаратов, изделий медицинского назначения и специализированных продуктов лечебного питания, приобретаемых за счет средств бюджета Республики Карелия для об...")</f>
        <v>оказание услуг по приемке, хранению, комплектованию, доставке, отпуску и учёту лекарственных препаратов, изделий медицинского назначения и специализированных продуктов лечебного питания, приобретаемых за счет средств бюджета Республики Карелия для об...</v>
      </c>
      <c r="G7772" s="22" t="s">
        <v>59</v>
      </c>
      <c r="H7772" s="22" t="s">
        <v>59</v>
      </c>
      <c r="I7772" s="26">
        <v>43690</v>
      </c>
      <c r="J7772" s="28" t="s">
        <v>51</v>
      </c>
      <c r="K7772" s="28" t="s">
        <v>51</v>
      </c>
      <c r="L7772" s="28" t="s">
        <v>51</v>
      </c>
      <c r="M7772" s="28" t="s">
        <v>51</v>
      </c>
      <c r="N7772" s="28" t="s">
        <v>51</v>
      </c>
    </row>
    <row r="7773" spans="1:14" x14ac:dyDescent="0.15">
      <c r="A7773" s="23" t="str">
        <f>HYPERLINK("https://www.spark-marketing.ru/Card/Person/1753800", "ГАУ ВО ""ВОЛГОГРАДСКИЙ ОБЛАСТНОЙ БИЗНЕС - ИНКУБАТОР""")</f>
        <v>ГАУ ВО "ВОЛГОГРАДСКИЙ ОБЛАСТНОЙ БИЗНЕС - ИНКУБАТОР"</v>
      </c>
      <c r="B7773" s="24" t="s">
        <v>11511</v>
      </c>
      <c r="C7773" s="25">
        <v>300000</v>
      </c>
      <c r="D7773" s="22" t="s">
        <v>11512</v>
      </c>
      <c r="E7773" s="22" t="s">
        <v>554</v>
      </c>
      <c r="F7773" s="23" t="str">
        <f>HYPERLINK("https://www.spark-marketing.ru/Card/Lot/72767582", "Оказание услуги по обеспечению СМСП в 26-ой международной выставке продуктов питания WorldFood Moscow 2019")</f>
        <v>Оказание услуги по обеспечению СМСП в 26-ой международной выставке продуктов питания WorldFood Moscow 2019</v>
      </c>
      <c r="G7773" s="22" t="s">
        <v>158</v>
      </c>
      <c r="H7773" s="22" t="s">
        <v>158</v>
      </c>
      <c r="I7773" s="26">
        <v>43690</v>
      </c>
      <c r="J7773" s="28" t="s">
        <v>51</v>
      </c>
      <c r="K7773" s="28" t="s">
        <v>51</v>
      </c>
      <c r="L7773" s="28" t="s">
        <v>51</v>
      </c>
      <c r="M7773" s="28" t="s">
        <v>51</v>
      </c>
      <c r="N7773" s="28" t="s">
        <v>51</v>
      </c>
    </row>
    <row r="7774" spans="1:14" x14ac:dyDescent="0.15">
      <c r="A7774" s="23" t="str">
        <f>HYPERLINK("https://www.spark-marketing.ru/Card/Person/50743", "МП ""ДЕТСКОЕ ПИТАНИЕ""")</f>
        <v>МП "ДЕТСКОЕ ПИТАНИЕ"</v>
      </c>
      <c r="B7774" s="24" t="s">
        <v>1562</v>
      </c>
      <c r="C7774" s="25">
        <v>1479866</v>
      </c>
      <c r="D7774" s="22" t="s">
        <v>11502</v>
      </c>
      <c r="E7774" s="22" t="s">
        <v>9835</v>
      </c>
      <c r="F7774" s="23" t="str">
        <f>HYPERLINK("https://www.spark-marketing.ru/Card/Lot/72757680", "Поставку говядины - мясо котлетное (для оказания услуг по предоставлению питания школьникам).")</f>
        <v>Поставку говядины - мясо котлетное (для оказания услуг по предоставлению питания школьникам).</v>
      </c>
      <c r="G7774" s="22" t="s">
        <v>1522</v>
      </c>
      <c r="H7774" s="22" t="s">
        <v>1522</v>
      </c>
      <c r="I7774" s="26">
        <v>43690</v>
      </c>
      <c r="J7774" s="28" t="s">
        <v>51</v>
      </c>
      <c r="K7774" s="28" t="s">
        <v>51</v>
      </c>
      <c r="L7774" s="28" t="s">
        <v>51</v>
      </c>
      <c r="M7774" s="28" t="s">
        <v>51</v>
      </c>
      <c r="N7774" s="28" t="s">
        <v>51</v>
      </c>
    </row>
    <row r="7775" spans="1:14" x14ac:dyDescent="0.15">
      <c r="A7775" s="23" t="str">
        <f>HYPERLINK("https://www.spark-marketing.ru/Card/Person/1447245", "МАОУ СОШ №2")</f>
        <v>МАОУ СОШ №2</v>
      </c>
      <c r="B7775" s="24" t="s">
        <v>2627</v>
      </c>
      <c r="C7775" s="25">
        <v>381739</v>
      </c>
      <c r="D7775" s="22" t="s">
        <v>11513</v>
      </c>
      <c r="E7775" s="22" t="s">
        <v>362</v>
      </c>
      <c r="F7775" s="23" t="str">
        <f>HYPERLINK("https://www.spark-marketing.ru/Card/Lot/72760063", "Организация горячего питания")</f>
        <v>Организация горячего питания</v>
      </c>
      <c r="G7775" s="22" t="s">
        <v>104</v>
      </c>
      <c r="H7775" s="22" t="s">
        <v>104</v>
      </c>
      <c r="I7775" s="26">
        <v>43690</v>
      </c>
      <c r="J7775" s="28" t="s">
        <v>51</v>
      </c>
      <c r="K7775" s="28" t="s">
        <v>51</v>
      </c>
      <c r="L7775" s="28" t="s">
        <v>51</v>
      </c>
      <c r="M7775" s="28" t="s">
        <v>51</v>
      </c>
      <c r="N7775" s="28" t="s">
        <v>51</v>
      </c>
    </row>
    <row r="7776" spans="1:14" x14ac:dyDescent="0.15">
      <c r="A7776" s="23" t="str">
        <f>HYPERLINK("https://www.spark-marketing.ru/Card/Person/1025702", "МАОУ ЛИЦЕЙ №2 Г. ЮЖНО-САХАЛИНСКА")</f>
        <v>МАОУ ЛИЦЕЙ №2 Г. ЮЖНО-САХАЛИНСКА</v>
      </c>
      <c r="B7776" s="24" t="s">
        <v>11514</v>
      </c>
      <c r="C7776" s="25">
        <v>270545.45</v>
      </c>
      <c r="D7776" s="22" t="s">
        <v>11515</v>
      </c>
      <c r="E7776" s="22" t="s">
        <v>362</v>
      </c>
      <c r="F7776" s="23" t="str">
        <f>HYPERLINK("https://www.spark-marketing.ru/Card/Lot/72760360", "Организация питания обучающихся из малоимущих семей, семей находящихся в социально опасном положении семей коренных малочисленных народов севера Сахалинской области осваивающих образовательную программы основного общего и среднего общего образования ...")</f>
        <v>Организация питания обучающихся из малоимущих семей, семей находящихся в социально опасном положении семей коренных малочисленных народов севера Сахалинской области осваивающих образовательную программы основного общего и среднего общего образования ...</v>
      </c>
      <c r="G7776" s="22" t="s">
        <v>260</v>
      </c>
      <c r="H7776" s="22" t="s">
        <v>260</v>
      </c>
      <c r="I7776" s="26">
        <v>43690</v>
      </c>
      <c r="J7776" s="28" t="s">
        <v>51</v>
      </c>
      <c r="K7776" s="28" t="s">
        <v>51</v>
      </c>
      <c r="L7776" s="28" t="s">
        <v>51</v>
      </c>
      <c r="M7776" s="28" t="s">
        <v>51</v>
      </c>
      <c r="N7776" s="28" t="s">
        <v>51</v>
      </c>
    </row>
    <row r="7777" spans="1:14" x14ac:dyDescent="0.15">
      <c r="A7777" s="23" t="str">
        <f>HYPERLINK("https://www.spark-marketing.ru/Card/Person/1004997", "МАУДО ""ДЮЦ ""РАДУГА""")</f>
        <v>МАУДО "ДЮЦ "РАДУГА"</v>
      </c>
      <c r="B7777" s="24" t="s">
        <v>11516</v>
      </c>
      <c r="C7777" s="25">
        <v>289616</v>
      </c>
      <c r="D7777" s="22" t="s">
        <v>11517</v>
      </c>
      <c r="E7777" s="22" t="s">
        <v>580</v>
      </c>
      <c r="F7777" s="23" t="str">
        <f>HYPERLINK("https://www.spark-marketing.ru/Card/Lot/72754097", "Услуги по организации горячего питания учащихся в лагере с дневным пребыванием")</f>
        <v>Услуги по организации горячего питания учащихся в лагере с дневным пребыванием</v>
      </c>
      <c r="G7777" s="22" t="s">
        <v>153</v>
      </c>
      <c r="H7777" s="22" t="s">
        <v>153</v>
      </c>
      <c r="I7777" s="26">
        <v>43690</v>
      </c>
      <c r="J7777" s="28" t="s">
        <v>51</v>
      </c>
      <c r="K7777" s="28" t="s">
        <v>51</v>
      </c>
      <c r="L7777" s="28" t="s">
        <v>51</v>
      </c>
      <c r="M7777" s="28" t="s">
        <v>51</v>
      </c>
      <c r="N7777" s="28" t="s">
        <v>51</v>
      </c>
    </row>
    <row r="7778" spans="1:14" x14ac:dyDescent="0.15">
      <c r="A7778" s="23" t="str">
        <f>HYPERLINK("https://www.spark-marketing.ru/Card/Person/4349237", "АО ""АТК ""ЯМАЛ""")</f>
        <v>АО "АТК "ЯМАЛ"</v>
      </c>
      <c r="B7778" s="24" t="s">
        <v>4031</v>
      </c>
      <c r="C7778" s="25">
        <v>3600000</v>
      </c>
      <c r="D7778" s="22" t="s">
        <v>11518</v>
      </c>
      <c r="E7778" s="22" t="s">
        <v>769</v>
      </c>
      <c r="F7778" s="23" t="str">
        <f>HYPERLINK("https://www.spark-marketing.ru/Card/Lot/72734656", "Оказание гостиничных услуг (проживание, питание, трансфер) для инженерно-технического персонала АО «АТК «Ямал» и пассажиров задержанных и отмененных рейсов АО «АТК «Ямал» в г. Санкт-Петербург")</f>
        <v>Оказание гостиничных услуг (проживание, питание, трансфер) для инженерно-технического персонала АО «АТК «Ямал» и пассажиров задержанных и отмененных рейсов АО «АТК «Ямал» в г. Санкт-Петербург</v>
      </c>
      <c r="G7778" s="22" t="s">
        <v>117</v>
      </c>
      <c r="H7778" s="22" t="s">
        <v>117</v>
      </c>
      <c r="I7778" s="26">
        <v>43689</v>
      </c>
      <c r="J7778" s="28" t="s">
        <v>51</v>
      </c>
      <c r="K7778" s="28" t="s">
        <v>51</v>
      </c>
      <c r="L7778" s="28" t="s">
        <v>51</v>
      </c>
      <c r="M7778" s="28" t="s">
        <v>51</v>
      </c>
      <c r="N7778" s="28" t="s">
        <v>51</v>
      </c>
    </row>
    <row r="7779" spans="1:14" x14ac:dyDescent="0.15">
      <c r="A7779" s="23" t="str">
        <f>HYPERLINK("https://www.spark-marketing.ru/Card/Person/1576282", "СОШ № 20 ИМЕНИ П.И.БАТОВА")</f>
        <v>СОШ № 20 ИМЕНИ П.И.БАТОВА</v>
      </c>
      <c r="B7779" s="24" t="s">
        <v>11519</v>
      </c>
      <c r="C7779" s="25">
        <v>1402250</v>
      </c>
      <c r="D7779" s="22" t="s">
        <v>11520</v>
      </c>
      <c r="E7779" s="22" t="s">
        <v>1412</v>
      </c>
      <c r="F7779" s="23" t="str">
        <f>HYPERLINK("https://www.spark-marketing.ru/Card/Lot/72750763", "Оказание услуг по организации горячего питания обучающихся в СОШ № 20")</f>
        <v>Оказание услуг по организации горячего питания обучающихся в СОШ № 20</v>
      </c>
      <c r="G7779" s="22" t="s">
        <v>185</v>
      </c>
      <c r="H7779" s="22" t="s">
        <v>185</v>
      </c>
      <c r="I7779" s="26">
        <v>43690</v>
      </c>
      <c r="J7779" s="28" t="s">
        <v>51</v>
      </c>
      <c r="K7779" s="28" t="s">
        <v>51</v>
      </c>
      <c r="L7779" s="28" t="s">
        <v>51</v>
      </c>
      <c r="M7779" s="28" t="s">
        <v>51</v>
      </c>
      <c r="N7779" s="28" t="s">
        <v>51</v>
      </c>
    </row>
    <row r="7780" spans="1:14" x14ac:dyDescent="0.2">
      <c r="A7780" s="23" t="str">
        <f>HYPERLINK("https://www.spark-marketing.ru/Card/Person/139187", "МАОУ ""ЛИЦЕЙ""")</f>
        <v>МАОУ "ЛИЦЕЙ"</v>
      </c>
      <c r="B7780" s="24" t="s">
        <v>11521</v>
      </c>
      <c r="C7780" s="25">
        <v>1615500</v>
      </c>
      <c r="D7780" s="22" t="s">
        <v>11522</v>
      </c>
      <c r="E7780" s="22" t="s">
        <v>362</v>
      </c>
      <c r="F7780" s="23" t="str">
        <f>HYPERLINK("https://www.spark-marketing.ru/Card/Lot/72757725", "Оказание услуг по организации горячего питания (завтраки, обеды) обучающихся МАОУ «Лицей».")</f>
        <v>Оказание услуг по организации горячего питания (завтраки, обеды) обучающихся МАОУ «Лицей».</v>
      </c>
      <c r="G7780" s="22" t="s">
        <v>49</v>
      </c>
      <c r="H7780" s="22" t="s">
        <v>49</v>
      </c>
      <c r="I7780" s="26">
        <v>43690</v>
      </c>
      <c r="J7780" s="28" t="s">
        <v>51</v>
      </c>
      <c r="K7780" s="28" t="s">
        <v>51</v>
      </c>
      <c r="L7780" s="22" t="s">
        <v>10</v>
      </c>
      <c r="M7780" s="25">
        <v>1615500</v>
      </c>
      <c r="N7780" s="27">
        <v>0</v>
      </c>
    </row>
    <row r="7781" spans="1:14" x14ac:dyDescent="0.15">
      <c r="A7781" s="23" t="str">
        <f>HYPERLINK("https://www.spark-marketing.ru/Card/Person/115546", "МАОУ ЛИЦЕЙ № 11 ИМ. В.В. РАССОХИНА")</f>
        <v>МАОУ ЛИЦЕЙ № 11 ИМ. В.В. РАССОХИНА</v>
      </c>
      <c r="B7781" s="24" t="s">
        <v>11523</v>
      </c>
      <c r="C7781" s="25">
        <v>476800</v>
      </c>
      <c r="D7781" s="22" t="s">
        <v>11524</v>
      </c>
      <c r="E7781" s="22" t="s">
        <v>362</v>
      </c>
      <c r="F7781" s="23" t="str">
        <f>HYPERLINK("https://www.spark-marketing.ru/Card/Lot/72758190", "Услуги по организации питания учащихся")</f>
        <v>Услуги по организации питания учащихся</v>
      </c>
      <c r="G7781" s="22" t="s">
        <v>104</v>
      </c>
      <c r="H7781" s="22" t="s">
        <v>104</v>
      </c>
      <c r="I7781" s="26">
        <v>43690</v>
      </c>
      <c r="J7781" s="28" t="s">
        <v>51</v>
      </c>
      <c r="K7781" s="28" t="s">
        <v>51</v>
      </c>
      <c r="L7781" s="28" t="s">
        <v>51</v>
      </c>
      <c r="M7781" s="28" t="s">
        <v>51</v>
      </c>
      <c r="N7781" s="28" t="s">
        <v>51</v>
      </c>
    </row>
    <row r="7782" spans="1:14" x14ac:dyDescent="0.15">
      <c r="A7782" s="23" t="str">
        <f>HYPERLINK("https://www.spark-marketing.ru/Card/Person/50743", "МП ""ДЕТСКОЕ ПИТАНИЕ""")</f>
        <v>МП "ДЕТСКОЕ ПИТАНИЕ"</v>
      </c>
      <c r="B7782" s="24" t="s">
        <v>1562</v>
      </c>
      <c r="C7782" s="25">
        <v>1452000</v>
      </c>
      <c r="D7782" s="22" t="s">
        <v>11502</v>
      </c>
      <c r="E7782" s="22" t="s">
        <v>9835</v>
      </c>
      <c r="F7782" s="23" t="str">
        <f>HYPERLINK("https://www.spark-marketing.ru/Card/Lot/72757678", "Поставка говядины (для оказания услуг по предоставлению питания школьникам).")</f>
        <v>Поставка говядины (для оказания услуг по предоставлению питания школьникам).</v>
      </c>
      <c r="G7782" s="22" t="s">
        <v>1522</v>
      </c>
      <c r="H7782" s="22" t="s">
        <v>1522</v>
      </c>
      <c r="I7782" s="26">
        <v>43690</v>
      </c>
      <c r="J7782" s="28" t="s">
        <v>51</v>
      </c>
      <c r="K7782" s="28" t="s">
        <v>51</v>
      </c>
      <c r="L7782" s="28" t="s">
        <v>51</v>
      </c>
      <c r="M7782" s="28" t="s">
        <v>51</v>
      </c>
      <c r="N7782" s="28" t="s">
        <v>51</v>
      </c>
    </row>
    <row r="7783" spans="1:14" x14ac:dyDescent="0.15">
      <c r="A7783" s="23" t="str">
        <f>HYPERLINK("https://www.spark-marketing.ru/Card/Person/234618", "МДОУ №27")</f>
        <v>МДОУ №27</v>
      </c>
      <c r="B7783" s="24" t="s">
        <v>11525</v>
      </c>
      <c r="C7783" s="25">
        <v>17160</v>
      </c>
      <c r="D7783" s="22" t="s">
        <v>11526</v>
      </c>
      <c r="E7783" s="22" t="s">
        <v>1014</v>
      </c>
      <c r="F7783" s="23" t="str">
        <f>HYPERLINK("https://www.spark-marketing.ru/Card/Lot/72743674", "Оказание услуг по подписке на электронные журналы")</f>
        <v>Оказание услуг по подписке на электронные журналы</v>
      </c>
      <c r="G7783" s="22" t="s">
        <v>49</v>
      </c>
      <c r="H7783" s="22" t="s">
        <v>4820</v>
      </c>
      <c r="I7783" s="26">
        <v>43689.929976851898</v>
      </c>
      <c r="J7783" s="28" t="s">
        <v>51</v>
      </c>
      <c r="K7783" s="28" t="s">
        <v>51</v>
      </c>
      <c r="L7783" s="28" t="s">
        <v>51</v>
      </c>
      <c r="M7783" s="28" t="s">
        <v>51</v>
      </c>
      <c r="N7783" s="28" t="s">
        <v>51</v>
      </c>
    </row>
    <row r="7784" spans="1:14" x14ac:dyDescent="0.15">
      <c r="A7784" s="23" t="str">
        <f>HYPERLINK("https://www.spark-marketing.ru/Card/Person/16089", "ВОЙСКОВАЯ ЧАСТЬ 5588")</f>
        <v>ВОЙСКОВАЯ ЧАСТЬ 5588</v>
      </c>
      <c r="B7784" s="24" t="s">
        <v>11527</v>
      </c>
      <c r="C7784" s="25">
        <v>21580</v>
      </c>
      <c r="D7784" s="22" t="s">
        <v>11528</v>
      </c>
      <c r="E7784" s="22" t="s">
        <v>11529</v>
      </c>
      <c r="F7784" s="23" t="str">
        <f>HYPERLINK("https://www.spark-marketing.ru/Card/Lot/72742391", "Услуги, Продукты питания")</f>
        <v>Услуги, Продукты питания</v>
      </c>
      <c r="G7784" s="22" t="s">
        <v>87</v>
      </c>
      <c r="H7784" s="22" t="s">
        <v>869</v>
      </c>
      <c r="I7784" s="26">
        <v>43689.782789351899</v>
      </c>
      <c r="J7784" s="28" t="s">
        <v>51</v>
      </c>
      <c r="K7784" s="28" t="s">
        <v>51</v>
      </c>
      <c r="L7784" s="28" t="s">
        <v>51</v>
      </c>
      <c r="M7784" s="28" t="s">
        <v>51</v>
      </c>
      <c r="N7784" s="28" t="s">
        <v>51</v>
      </c>
    </row>
    <row r="7785" spans="1:14" x14ac:dyDescent="0.15">
      <c r="A7785" s="23" t="str">
        <f>HYPERLINK("https://www.spark-marketing.ru/Card/Person/116209", "МБОУ ""ГАТЧИНСКАЯ СОШ № 7""")</f>
        <v>МБОУ "ГАТЧИНСКАЯ СОШ № 7"</v>
      </c>
      <c r="B7785" s="24" t="s">
        <v>11530</v>
      </c>
      <c r="C7785" s="25">
        <v>2600416</v>
      </c>
      <c r="D7785" s="22" t="s">
        <v>11531</v>
      </c>
      <c r="E7785" s="22" t="s">
        <v>48</v>
      </c>
      <c r="F7785" s="23" t="str">
        <f>HYPERLINK("https://www.spark-marketing.ru/Card/Lot/72742325", "Услуги по организации питания для учащихся образовательных учреждений в 2019/2020 году")</f>
        <v>Услуги по организации питания для учащихся образовательных учреждений в 2019/2020 году</v>
      </c>
      <c r="G7785" s="22" t="s">
        <v>162</v>
      </c>
      <c r="H7785" s="22" t="s">
        <v>2343</v>
      </c>
      <c r="I7785" s="26">
        <v>43689.7394444444</v>
      </c>
      <c r="J7785" s="23" t="str">
        <f>HYPERLINK("https://www.spark-marketing.ru/Card/Person/127078", "Васильева Ирина Эдуардовна")</f>
        <v>Васильева Ирина Эдуардовна</v>
      </c>
      <c r="K7785" s="24" t="s">
        <v>2344</v>
      </c>
      <c r="L7785" s="22" t="s">
        <v>10</v>
      </c>
      <c r="M7785" s="28" t="s">
        <v>51</v>
      </c>
      <c r="N7785" s="28" t="s">
        <v>51</v>
      </c>
    </row>
    <row r="7786" spans="1:14" collapsed="1" x14ac:dyDescent="0.15">
      <c r="A7786" s="23" t="str">
        <f>HYPERLINK("https://www.spark-marketing.ru/Card/Person/20306", "ЗАКОНОДАТЕЛЬНОЕ СОБРАНИЕ ОРЕНБУРГСКОЙ ОБЛАСТИ")</f>
        <v>ЗАКОНОДАТЕЛЬНОЕ СОБРАНИЕ ОРЕНБУРГСКОЙ ОБЛАСТИ</v>
      </c>
      <c r="B7786" s="24" t="s">
        <v>11532</v>
      </c>
      <c r="C7786" s="25">
        <v>46334.46</v>
      </c>
      <c r="D7786" s="22" t="s">
        <v>11533</v>
      </c>
      <c r="E7786" s="22" t="s">
        <v>7386</v>
      </c>
      <c r="F7786" s="23" t="str">
        <f>HYPERLINK("https://www.spark-marketing.ru/Card/Lot/72738703", "Поставка аккумуляторных батарей для источников бесперебойного питания")</f>
        <v>Поставка аккумуляторных батарей для источников бесперебойного питания</v>
      </c>
      <c r="G7786" s="22" t="s">
        <v>132</v>
      </c>
      <c r="H7786" s="22" t="s">
        <v>587</v>
      </c>
      <c r="I7786" s="26">
        <v>43689.720127314802</v>
      </c>
      <c r="J7786" s="28" t="s">
        <v>51</v>
      </c>
      <c r="K7786" s="28" t="s">
        <v>51</v>
      </c>
      <c r="L7786" s="28" t="s">
        <v>51</v>
      </c>
      <c r="M7786" s="28" t="s">
        <v>51</v>
      </c>
      <c r="N7786" s="28" t="s">
        <v>51</v>
      </c>
    </row>
    <row r="7787" spans="1:14" hidden="1" outlineLevel="1" x14ac:dyDescent="0.2">
      <c r="A7787" s="23" t="str">
        <f>HYPERLINK("https://www.spark-marketing.ru/Card/Person/20306", "ЗАКОНОДАТЕЛЬНОЕ СОБРАНИЕ ОРЕНБУРГСКОЙ ОБЛАСТИ")</f>
        <v>ЗАКОНОДАТЕЛЬНОЕ СОБРАНИЕ ОРЕНБУРГСКОЙ ОБЛАСТИ</v>
      </c>
      <c r="B7787" s="24" t="s">
        <v>11532</v>
      </c>
      <c r="C7787" s="25">
        <v>46334.46</v>
      </c>
      <c r="D7787" s="22" t="s">
        <v>11533</v>
      </c>
      <c r="E7787" s="22" t="s">
        <v>7386</v>
      </c>
      <c r="F7787" s="23" t="str">
        <f>HYPERLINK("https://www.spark-marketing.ru/Card/Lot/72738703", "Поставка аккумуляторных батарей для источников бесперебойного питания")</f>
        <v>Поставка аккумуляторных батарей для источников бесперебойного питания</v>
      </c>
      <c r="G7787" s="22" t="s">
        <v>132</v>
      </c>
      <c r="H7787" s="22" t="s">
        <v>587</v>
      </c>
      <c r="I7787" s="26">
        <v>43689.720127314802</v>
      </c>
      <c r="J7787" s="23" t="str">
        <f>HYPERLINK("https://www.spark-marketing.ru/Card/Person/379343", "ООО ""СЕРВИС ПЛЮС""")</f>
        <v>ООО "СЕРВИС ПЛЮС"</v>
      </c>
      <c r="K7787" s="24" t="s">
        <v>7393</v>
      </c>
      <c r="L7787" s="28" t="s">
        <v>51</v>
      </c>
      <c r="M7787" s="25">
        <v>37762.629999999997</v>
      </c>
      <c r="N7787" s="27">
        <v>0.18499902664237372</v>
      </c>
    </row>
    <row r="7788" spans="1:14" ht="12.75" hidden="1" outlineLevel="1" x14ac:dyDescent="0.2">
      <c r="A7788" s="23" t="str">
        <f>HYPERLINK("https://www.spark-marketing.ru/Card/Person/20306", "ЗАКОНОДАТЕЛЬНОЕ СОБРАНИЕ ОРЕНБУРГСКОЙ ОБЛАСТИ")</f>
        <v>ЗАКОНОДАТЕЛЬНОЕ СОБРАНИЕ ОРЕНБУРГСКОЙ ОБЛАСТИ</v>
      </c>
      <c r="B7788" s="24" t="s">
        <v>11532</v>
      </c>
      <c r="C7788" s="25">
        <v>46334.46</v>
      </c>
      <c r="D7788" s="22" t="s">
        <v>11533</v>
      </c>
      <c r="E7788" s="22" t="s">
        <v>7386</v>
      </c>
      <c r="F7788" s="23" t="str">
        <f>HYPERLINK("https://www.spark-marketing.ru/Card/Lot/72738703", "Поставка аккумуляторных батарей для источников бесперебойного питания")</f>
        <v>Поставка аккумуляторных батарей для источников бесперебойного питания</v>
      </c>
      <c r="G7788" s="22" t="s">
        <v>132</v>
      </c>
      <c r="H7788" s="22" t="s">
        <v>587</v>
      </c>
      <c r="I7788" s="26">
        <v>43689.720127314802</v>
      </c>
      <c r="J7788" s="23" t="str">
        <f>HYPERLINK("https://www.spark-marketing.ru/Card/Person/475524", "ООО ""ТЕХНОЛАЙН""")</f>
        <v>ООО "ТЕХНОЛАЙН"</v>
      </c>
      <c r="K7788" s="24" t="s">
        <v>7396</v>
      </c>
      <c r="L7788" s="22" t="s">
        <v>10</v>
      </c>
      <c r="M7788" s="25">
        <v>29190.5</v>
      </c>
      <c r="N7788" s="27">
        <v>0.37000452794744992</v>
      </c>
    </row>
    <row r="7789" spans="1:14" hidden="1" outlineLevel="1" x14ac:dyDescent="0.2">
      <c r="A7789" s="23" t="str">
        <f>HYPERLINK("https://www.spark-marketing.ru/Card/Person/20306", "ЗАКОНОДАТЕЛЬНОЕ СОБРАНИЕ ОРЕНБУРГСКОЙ ОБЛАСТИ")</f>
        <v>ЗАКОНОДАТЕЛЬНОЕ СОБРАНИЕ ОРЕНБУРГСКОЙ ОБЛАСТИ</v>
      </c>
      <c r="B7789" s="24" t="s">
        <v>11532</v>
      </c>
      <c r="C7789" s="25">
        <v>46334.46</v>
      </c>
      <c r="D7789" s="22" t="s">
        <v>11533</v>
      </c>
      <c r="E7789" s="22" t="s">
        <v>7386</v>
      </c>
      <c r="F7789" s="23" t="str">
        <f>HYPERLINK("https://www.spark-marketing.ru/Card/Lot/72738703", "Поставка аккумуляторных батарей для источников бесперебойного питания")</f>
        <v>Поставка аккумуляторных батарей для источников бесперебойного питания</v>
      </c>
      <c r="G7789" s="22" t="s">
        <v>132</v>
      </c>
      <c r="H7789" s="22" t="s">
        <v>587</v>
      </c>
      <c r="I7789" s="26">
        <v>43689.720127314802</v>
      </c>
      <c r="J7789" s="23" t="str">
        <f>HYPERLINK("https://www.spark-marketing.ru/Card/Person/343131", "ООО ""ЩИТ""")</f>
        <v>ООО "ЩИТ"</v>
      </c>
      <c r="K7789" s="24" t="s">
        <v>10266</v>
      </c>
      <c r="L7789" s="28" t="s">
        <v>51</v>
      </c>
      <c r="M7789" s="25">
        <v>29422.17</v>
      </c>
      <c r="N7789" s="27">
        <v>0.36500457758653065</v>
      </c>
    </row>
    <row r="7790" spans="1:14" hidden="1" outlineLevel="1" x14ac:dyDescent="0.2">
      <c r="A7790" s="23" t="str">
        <f>HYPERLINK("https://www.spark-marketing.ru/Card/Person/20306", "ЗАКОНОДАТЕЛЬНОЕ СОБРАНИЕ ОРЕНБУРГСКОЙ ОБЛАСТИ")</f>
        <v>ЗАКОНОДАТЕЛЬНОЕ СОБРАНИЕ ОРЕНБУРГСКОЙ ОБЛАСТИ</v>
      </c>
      <c r="B7790" s="24" t="s">
        <v>11532</v>
      </c>
      <c r="C7790" s="25">
        <v>46334.46</v>
      </c>
      <c r="D7790" s="22" t="s">
        <v>11533</v>
      </c>
      <c r="E7790" s="22" t="s">
        <v>7386</v>
      </c>
      <c r="F7790" s="23" t="str">
        <f>HYPERLINK("https://www.spark-marketing.ru/Card/Lot/72738703", "Поставка аккумуляторных батарей для источников бесперебойного питания")</f>
        <v>Поставка аккумуляторных батарей для источников бесперебойного питания</v>
      </c>
      <c r="G7790" s="22" t="s">
        <v>132</v>
      </c>
      <c r="H7790" s="22" t="s">
        <v>587</v>
      </c>
      <c r="I7790" s="26">
        <v>43689.720127314802</v>
      </c>
      <c r="J7790" s="23" t="str">
        <f>HYPERLINK("https://www.spark-marketing.ru/Card/Person/6499677", "Егоров Сергей Николаевич")</f>
        <v>Егоров Сергей Николаевич</v>
      </c>
      <c r="K7790" s="24" t="s">
        <v>11534</v>
      </c>
      <c r="L7790" s="28" t="s">
        <v>51</v>
      </c>
      <c r="M7790" s="25">
        <v>30580.52</v>
      </c>
      <c r="N7790" s="27">
        <v>0.34000482578193425</v>
      </c>
    </row>
    <row r="7791" spans="1:14" x14ac:dyDescent="0.15">
      <c r="A7791" s="23" t="str">
        <f>HYPERLINK("https://www.spark-marketing.ru/Card/Person/1025266", "ТОГБПОУ ""ЖЕЛЕЗНОДОРОЖНЫЙ КОЛЛЕДЖ ИМЕНИ В.М. БАРАНОВА""")</f>
        <v>ТОГБПОУ "ЖЕЛЕЗНОДОРОЖНЫЙ КОЛЛЕДЖ ИМЕНИ В.М. БАРАНОВА"</v>
      </c>
      <c r="B7791" s="24" t="s">
        <v>9614</v>
      </c>
      <c r="C7791" s="25">
        <v>530400</v>
      </c>
      <c r="D7791" s="22" t="s">
        <v>11535</v>
      </c>
      <c r="E7791" s="22" t="s">
        <v>48</v>
      </c>
      <c r="F7791" s="23" t="str">
        <f>HYPERLINK("https://www.spark-marketing.ru/Card/Lot/72742011", "Оказание услуг по организации горячего питания (горячих обедов)")</f>
        <v>Оказание услуг по организации горячего питания (горячих обедов)</v>
      </c>
      <c r="G7791" s="22" t="s">
        <v>1370</v>
      </c>
      <c r="H7791" s="22" t="s">
        <v>9079</v>
      </c>
      <c r="I7791" s="26">
        <v>43689.720289351899</v>
      </c>
      <c r="J7791" s="28" t="s">
        <v>51</v>
      </c>
      <c r="K7791" s="28" t="s">
        <v>51</v>
      </c>
      <c r="L7791" s="28" t="s">
        <v>51</v>
      </c>
      <c r="M7791" s="28" t="s">
        <v>51</v>
      </c>
      <c r="N7791" s="28" t="s">
        <v>51</v>
      </c>
    </row>
    <row r="7792" spans="1:14" x14ac:dyDescent="0.15">
      <c r="A7792" s="23" t="str">
        <f>HYPERLINK("https://www.spark-marketing.ru/Card/Person/1025266", "ТОГБПОУ ""ЖЕЛЕЗНОДОРОЖНЫЙ КОЛЛЕДЖ ИМЕНИ В.М. БАРАНОВА""")</f>
        <v>ТОГБПОУ "ЖЕЛЕЗНОДОРОЖНЫЙ КОЛЛЕДЖ ИМЕНИ В.М. БАРАНОВА"</v>
      </c>
      <c r="B7792" s="24" t="s">
        <v>9614</v>
      </c>
      <c r="C7792" s="25">
        <v>78000</v>
      </c>
      <c r="D7792" s="22" t="s">
        <v>11536</v>
      </c>
      <c r="E7792" s="22" t="s">
        <v>48</v>
      </c>
      <c r="F7792" s="23" t="str">
        <f>HYPERLINK("https://www.spark-marketing.ru/Card/Lot/72742020", "Оказание услуг по организации горячего питания (горячее питание)")</f>
        <v>Оказание услуг по организации горячего питания (горячее питание)</v>
      </c>
      <c r="G7792" s="22" t="s">
        <v>1370</v>
      </c>
      <c r="H7792" s="22" t="s">
        <v>9079</v>
      </c>
      <c r="I7792" s="26">
        <v>43689.724027777796</v>
      </c>
      <c r="J7792" s="28" t="s">
        <v>51</v>
      </c>
      <c r="K7792" s="28" t="s">
        <v>51</v>
      </c>
      <c r="L7792" s="28" t="s">
        <v>51</v>
      </c>
      <c r="M7792" s="28" t="s">
        <v>51</v>
      </c>
      <c r="N7792" s="28" t="s">
        <v>51</v>
      </c>
    </row>
    <row r="7793" spans="1:14" collapsed="1" x14ac:dyDescent="0.15">
      <c r="A7793" s="23" t="str">
        <f>HYPERLINK("https://www.spark-marketing.ru/Card/Person/71275", "МОМВД РОССИИ ""МИЧУРИНСКИЙ""")</f>
        <v>МОМВД РОССИИ "МИЧУРИНСКИЙ"</v>
      </c>
      <c r="B7793" s="24" t="s">
        <v>11238</v>
      </c>
      <c r="C7793" s="25">
        <v>491260</v>
      </c>
      <c r="D7793" s="22" t="s">
        <v>11537</v>
      </c>
      <c r="E7793" s="22" t="s">
        <v>48</v>
      </c>
      <c r="F7793" s="23" t="str">
        <f>HYPERLINK("https://www.spark-marketing.ru/Card/Lot/72741616", "Услуги по приготовлению горячего питания для спец.приемника и КСЗ ( 16.03.2021-31.05.2021)")</f>
        <v>Услуги по приготовлению горячего питания для спец.приемника и КСЗ ( 16.03.2021-31.05.2021)</v>
      </c>
      <c r="G7793" s="22" t="s">
        <v>1370</v>
      </c>
      <c r="H7793" s="22" t="s">
        <v>11538</v>
      </c>
      <c r="I7793" s="26">
        <v>43689.682129629597</v>
      </c>
      <c r="J7793" s="28" t="s">
        <v>51</v>
      </c>
      <c r="K7793" s="28" t="s">
        <v>51</v>
      </c>
      <c r="L7793" s="28" t="s">
        <v>51</v>
      </c>
      <c r="M7793" s="28" t="s">
        <v>51</v>
      </c>
      <c r="N7793" s="28" t="s">
        <v>51</v>
      </c>
    </row>
    <row r="7794" spans="1:14" ht="12.75" hidden="1" outlineLevel="1" x14ac:dyDescent="0.2">
      <c r="A7794" s="23" t="str">
        <f>HYPERLINK("https://www.spark-marketing.ru/Card/Person/71275", "МОМВД РОССИИ ""МИЧУРИНСКИЙ""")</f>
        <v>МОМВД РОССИИ "МИЧУРИНСКИЙ"</v>
      </c>
      <c r="B7794" s="24" t="s">
        <v>11238</v>
      </c>
      <c r="C7794" s="25">
        <v>491260</v>
      </c>
      <c r="D7794" s="22" t="s">
        <v>11537</v>
      </c>
      <c r="E7794" s="22" t="s">
        <v>48</v>
      </c>
      <c r="F7794" s="23" t="str">
        <f>HYPERLINK("https://www.spark-marketing.ru/Card/Lot/72741616", "Услуги по приготовлению горячего питания для спец.приемника и КСЗ ( 16.03.2021-31.05.2021)")</f>
        <v>Услуги по приготовлению горячего питания для спец.приемника и КСЗ ( 16.03.2021-31.05.2021)</v>
      </c>
      <c r="G7794" s="22" t="s">
        <v>1370</v>
      </c>
      <c r="H7794" s="22" t="s">
        <v>11538</v>
      </c>
      <c r="I7794" s="26">
        <v>43689.682129629597</v>
      </c>
      <c r="J7794" s="23" t="str">
        <f>HYPERLINK("https://www.spark-marketing.ru/Card/Person/839734", "ООО ""МИЧВЕЛЛ""")</f>
        <v>ООО "МИЧВЕЛЛ"</v>
      </c>
      <c r="K7794" s="24" t="s">
        <v>11241</v>
      </c>
      <c r="L7794" s="22" t="s">
        <v>10</v>
      </c>
      <c r="M7794" s="25">
        <v>491260</v>
      </c>
      <c r="N7794" s="27">
        <v>0</v>
      </c>
    </row>
    <row r="7795" spans="1:14" hidden="1" outlineLevel="1" x14ac:dyDescent="0.2">
      <c r="A7795" s="23" t="str">
        <f>HYPERLINK("https://www.spark-marketing.ru/Card/Person/71275", "МОМВД РОССИИ ""МИЧУРИНСКИЙ""")</f>
        <v>МОМВД РОССИИ "МИЧУРИНСКИЙ"</v>
      </c>
      <c r="B7795" s="24" t="s">
        <v>11238</v>
      </c>
      <c r="C7795" s="25">
        <v>491260</v>
      </c>
      <c r="D7795" s="22" t="s">
        <v>11537</v>
      </c>
      <c r="E7795" s="22" t="s">
        <v>48</v>
      </c>
      <c r="F7795" s="23" t="str">
        <f>HYPERLINK("https://www.spark-marketing.ru/Card/Lot/72741616", "Услуги по приготовлению горячего питания для спец.приемника и КСЗ ( 16.03.2021-31.05.2021)")</f>
        <v>Услуги по приготовлению горячего питания для спец.приемника и КСЗ ( 16.03.2021-31.05.2021)</v>
      </c>
      <c r="G7795" s="22" t="s">
        <v>1370</v>
      </c>
      <c r="H7795" s="22" t="s">
        <v>11538</v>
      </c>
      <c r="I7795" s="26">
        <v>43689.682129629597</v>
      </c>
      <c r="J7795" s="23" t="str">
        <f>HYPERLINK("https://www.spark-marketing.ru/Card/Person/837064", "Одоян Омар Мамоевич")</f>
        <v>Одоян Омар Мамоевич</v>
      </c>
      <c r="K7795" s="24" t="s">
        <v>11242</v>
      </c>
      <c r="L7795" s="28" t="s">
        <v>51</v>
      </c>
      <c r="M7795" s="25">
        <v>491260</v>
      </c>
      <c r="N7795" s="27">
        <v>0</v>
      </c>
    </row>
    <row r="7796" spans="1:14" x14ac:dyDescent="0.15">
      <c r="A7796" s="23" t="str">
        <f>HYPERLINK("https://www.spark-marketing.ru/Card/Person/53933", "СПБ ГБПОУ ""УОР № 2 (ТЕХНИКУМ)""")</f>
        <v>СПБ ГБПОУ "УОР № 2 (ТЕХНИКУМ)"</v>
      </c>
      <c r="B7796" s="24" t="s">
        <v>2322</v>
      </c>
      <c r="C7796" s="25">
        <v>498000</v>
      </c>
      <c r="D7796" s="22" t="s">
        <v>11539</v>
      </c>
      <c r="E7796" s="22" t="s">
        <v>51</v>
      </c>
      <c r="F7796" s="23" t="str">
        <f>HYPERLINK("https://www.spark-marketing.ru/Card/Lot/72741922", "Оказание услуг по предоставлению проживания, питания, спортивных сооружений при проведении тренировочного мероприятия к Всероссийским соревнованиям для занимающихся СПб ГБПОУ ""УОР № 2 (техникум)"" отделения ""Конькобежный спорт"" в 2019 году")</f>
        <v>Оказание услуг по предоставлению проживания, питания, спортивных сооружений при проведении тренировочного мероприятия к Всероссийским соревнованиям для занимающихся СПб ГБПОУ "УОР № 2 (техникум)" отделения "Конькобежный спорт" в 2019 году</v>
      </c>
      <c r="G7796" s="22" t="s">
        <v>117</v>
      </c>
      <c r="H7796" s="22" t="s">
        <v>117</v>
      </c>
      <c r="I7796" s="26">
        <v>43689.684432870403</v>
      </c>
      <c r="J7796" s="23" t="str">
        <f>HYPERLINK("https://www.spark-marketing.ru/Card/Person/6369393", "ООО ""ВЕКТОР ГРУПП""")</f>
        <v>ООО "ВЕКТОР ГРУПП"</v>
      </c>
      <c r="K7796" s="24" t="s">
        <v>4733</v>
      </c>
      <c r="L7796" s="22" t="s">
        <v>10</v>
      </c>
      <c r="M7796" s="28" t="s">
        <v>51</v>
      </c>
      <c r="N7796" s="28" t="s">
        <v>51</v>
      </c>
    </row>
    <row r="7797" spans="1:14" x14ac:dyDescent="0.15">
      <c r="A7797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7797" s="24" t="s">
        <v>309</v>
      </c>
      <c r="C7797" s="25">
        <v>498960</v>
      </c>
      <c r="D7797" s="22" t="s">
        <v>11540</v>
      </c>
      <c r="E7797" s="22" t="s">
        <v>48</v>
      </c>
      <c r="F7797" s="23" t="str">
        <f>HYPERLINK("https://www.spark-marketing.ru/Card/Lot/72742036", "Оказание услуг по питанию граждан, находящихся в спец. приемнике для содержания лиц, подвергнутых административному аресту")</f>
        <v>Оказание услуг по питанию граждан, находящихся в спец. приемнике для содержания лиц, подвергнутых административному аресту</v>
      </c>
      <c r="G7797" s="22" t="s">
        <v>49</v>
      </c>
      <c r="H7797" s="22" t="s">
        <v>5949</v>
      </c>
      <c r="I7797" s="26">
        <v>43689.706608796303</v>
      </c>
      <c r="J7797" s="28" t="s">
        <v>51</v>
      </c>
      <c r="K7797" s="28" t="s">
        <v>51</v>
      </c>
      <c r="L7797" s="28" t="s">
        <v>51</v>
      </c>
      <c r="M7797" s="28" t="s">
        <v>51</v>
      </c>
      <c r="N7797" s="28" t="s">
        <v>51</v>
      </c>
    </row>
    <row r="7798" spans="1:14" x14ac:dyDescent="0.15">
      <c r="A7798" s="23" t="str">
        <f>HYPERLINK("https://www.spark-marketing.ru/Card/Person/71940", "ОТДЕЛ МВД РОССИИ ПО ВАРНЕНСКОМУ РАЙОНУ ЧЕЛЯБИНСКОЙ ОБЛАСТИ")</f>
        <v>ОТДЕЛ МВД РОССИИ ПО ВАРНЕНСКОМУ РАЙОНУ ЧЕЛЯБИНСКОЙ ОБЛАСТИ</v>
      </c>
      <c r="B7798" s="24" t="s">
        <v>9195</v>
      </c>
      <c r="C7798" s="25">
        <v>280000</v>
      </c>
      <c r="D7798" s="22" t="s">
        <v>11541</v>
      </c>
      <c r="E7798" s="22" t="s">
        <v>48</v>
      </c>
      <c r="F7798" s="23" t="str">
        <f>HYPERLINK("https://www.spark-marketing.ru/Card/Lot/72736549", "питание в ИВС")</f>
        <v>питание в ИВС</v>
      </c>
      <c r="G7798" s="22" t="s">
        <v>469</v>
      </c>
      <c r="H7798" s="22" t="s">
        <v>9197</v>
      </c>
      <c r="I7798" s="26">
        <v>43689.6703009259</v>
      </c>
      <c r="J7798" s="28" t="s">
        <v>51</v>
      </c>
      <c r="K7798" s="28" t="s">
        <v>51</v>
      </c>
      <c r="L7798" s="28" t="s">
        <v>51</v>
      </c>
      <c r="M7798" s="28" t="s">
        <v>51</v>
      </c>
      <c r="N7798" s="28" t="s">
        <v>51</v>
      </c>
    </row>
    <row r="7799" spans="1:14" x14ac:dyDescent="0.15">
      <c r="A7799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7799" s="24" t="s">
        <v>309</v>
      </c>
      <c r="C7799" s="25">
        <v>734440</v>
      </c>
      <c r="D7799" s="22" t="s">
        <v>11542</v>
      </c>
      <c r="E7799" s="22" t="s">
        <v>48</v>
      </c>
      <c r="F7799" s="23" t="str">
        <f>HYPERLINK("https://www.spark-marketing.ru/Card/Lot/72741968", "Оказание услуг по питанию граждан находящихся в ИВС")</f>
        <v>Оказание услуг по питанию граждан находящихся в ИВС</v>
      </c>
      <c r="G7799" s="22" t="s">
        <v>49</v>
      </c>
      <c r="H7799" s="22" t="s">
        <v>5949</v>
      </c>
      <c r="I7799" s="26">
        <v>43689.692777777796</v>
      </c>
      <c r="J7799" s="28" t="s">
        <v>51</v>
      </c>
      <c r="K7799" s="28" t="s">
        <v>51</v>
      </c>
      <c r="L7799" s="28" t="s">
        <v>51</v>
      </c>
      <c r="M7799" s="28" t="s">
        <v>51</v>
      </c>
      <c r="N7799" s="28" t="s">
        <v>51</v>
      </c>
    </row>
    <row r="7800" spans="1:14" collapsed="1" x14ac:dyDescent="0.15">
      <c r="A7800" s="23" t="str">
        <f>HYPERLINK("https://www.spark-marketing.ru/Card/Person/34895", "УМВД РОССИИ ПО Г. АБАКАНУ")</f>
        <v>УМВД РОССИИ ПО Г. АБАКАНУ</v>
      </c>
      <c r="B7800" s="24" t="s">
        <v>5979</v>
      </c>
      <c r="C7800" s="25">
        <v>1764787.5</v>
      </c>
      <c r="D7800" s="22" t="s">
        <v>11543</v>
      </c>
      <c r="E7800" s="22" t="s">
        <v>48</v>
      </c>
      <c r="F7800" s="23" t="str">
        <f>HYPERLINK("https://www.spark-marketing.ru/Card/Lot/72732583", "Оказание  услуг по организации (приготовить из своих продуктов своими силами и средствами) и  доставке готового питания для, содержащихся в Центре временного содержания иностранных граждан УМВД России по г. Абакану».")</f>
        <v>Оказание  услуг по организации (приготовить из своих продуктов своими силами и средствами) и  доставке готового питания для, содержащихся в Центре временного содержания иностранных граждан УМВД России по г. Абакану».</v>
      </c>
      <c r="G7800" s="22" t="s">
        <v>92</v>
      </c>
      <c r="H7800" s="22" t="s">
        <v>93</v>
      </c>
      <c r="I7800" s="26">
        <v>43689.707002314797</v>
      </c>
      <c r="J7800" s="23" t="str">
        <f>HYPERLINK("https://www.spark-marketing.ru/Card/Person/89155", "Хаит Наталья Владимировна")</f>
        <v>Хаит Наталья Владимировна</v>
      </c>
      <c r="K7800" s="24" t="s">
        <v>11544</v>
      </c>
      <c r="L7800" s="28" t="s">
        <v>51</v>
      </c>
      <c r="M7800" s="28" t="s">
        <v>51</v>
      </c>
      <c r="N7800" s="28" t="s">
        <v>51</v>
      </c>
    </row>
    <row r="7801" spans="1:14" ht="12.75" hidden="1" outlineLevel="1" x14ac:dyDescent="0.2">
      <c r="A7801" s="23" t="str">
        <f>HYPERLINK("https://www.spark-marketing.ru/Card/Person/34895", "УМВД РОССИИ ПО Г. АБАКАНУ")</f>
        <v>УМВД РОССИИ ПО Г. АБАКАНУ</v>
      </c>
      <c r="B7801" s="24" t="s">
        <v>5979</v>
      </c>
      <c r="C7801" s="25">
        <v>1764787.5</v>
      </c>
      <c r="D7801" s="22" t="s">
        <v>11543</v>
      </c>
      <c r="E7801" s="22" t="s">
        <v>48</v>
      </c>
      <c r="F7801" s="23" t="str">
        <f>HYPERLINK("https://www.spark-marketing.ru/Card/Lot/72732583", "Оказание  услуг по организации (приготовить из своих продуктов своими силами и средствами) и  доставке готового питания для, содержащихся в Центре временного содержания иностранных граждан УМВД России по г. Абакану».")</f>
        <v>Оказание  услуг по организации (приготовить из своих продуктов своими силами и средствами) и  доставке готового питания для, содержащихся в Центре временного содержания иностранных граждан УМВД России по г. Абакану».</v>
      </c>
      <c r="G7801" s="22" t="s">
        <v>92</v>
      </c>
      <c r="H7801" s="22" t="s">
        <v>93</v>
      </c>
      <c r="I7801" s="26">
        <v>43689.707002314797</v>
      </c>
      <c r="J7801" s="23" t="str">
        <f>HYPERLINK("https://www.spark-marketing.ru/Card/Person/89155", "Хаит Наталья Владимировна")</f>
        <v>Хаит Наталья Владимировна</v>
      </c>
      <c r="K7801" s="24" t="s">
        <v>11544</v>
      </c>
      <c r="L7801" s="22" t="s">
        <v>10</v>
      </c>
      <c r="M7801" s="25">
        <v>1755963.56</v>
      </c>
      <c r="N7801" s="27">
        <v>5.000001416601149E-3</v>
      </c>
    </row>
    <row r="7802" spans="1:14" x14ac:dyDescent="0.15">
      <c r="A7802" s="23" t="str">
        <f>HYPERLINK("https://www.spark-marketing.ru/Card/Person/358649", "МО МВД РОССИИ ""ОПОЧЕЦКИЙ""")</f>
        <v>МО МВД РОССИИ "ОПОЧЕЦКИЙ"</v>
      </c>
      <c r="B7802" s="24" t="s">
        <v>413</v>
      </c>
      <c r="C7802" s="25">
        <v>406000</v>
      </c>
      <c r="D7802" s="22" t="s">
        <v>11545</v>
      </c>
      <c r="E7802" s="22" t="s">
        <v>48</v>
      </c>
      <c r="F7802" s="23" t="str">
        <f>HYPERLINK("https://www.spark-marketing.ru/Card/Lot/72739945", "Оказание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 в КСЗ более трех часов")</f>
        <v>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 в КСЗ более трех часов</v>
      </c>
      <c r="G7802" s="22" t="s">
        <v>415</v>
      </c>
      <c r="H7802" s="22" t="s">
        <v>415</v>
      </c>
      <c r="I7802" s="26">
        <v>43689.6707986111</v>
      </c>
      <c r="J7802" s="23" t="str">
        <f>HYPERLINK("https://www.spark-marketing.ru/Card/Person/111405", "ООО ""ОПОЧАНКА""")</f>
        <v>ООО "ОПОЧАНКА"</v>
      </c>
      <c r="K7802" s="24" t="s">
        <v>11546</v>
      </c>
      <c r="L7802" s="22" t="s">
        <v>10</v>
      </c>
      <c r="M7802" s="28" t="s">
        <v>51</v>
      </c>
      <c r="N7802" s="28" t="s">
        <v>51</v>
      </c>
    </row>
    <row r="7803" spans="1:14" x14ac:dyDescent="0.15">
      <c r="A7803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7803" s="24" t="s">
        <v>309</v>
      </c>
      <c r="C7803" s="25">
        <v>734440</v>
      </c>
      <c r="D7803" s="22" t="s">
        <v>11547</v>
      </c>
      <c r="E7803" s="22" t="s">
        <v>48</v>
      </c>
      <c r="F7803" s="23" t="str">
        <f>HYPERLINK("https://www.spark-marketing.ru/Card/Lot/72741986", "Оказание услуг по питанию граждан находящихся в ИВС")</f>
        <v>Оказание услуг по питанию граждан находящихся в ИВС</v>
      </c>
      <c r="G7803" s="22" t="s">
        <v>49</v>
      </c>
      <c r="H7803" s="22" t="s">
        <v>5949</v>
      </c>
      <c r="I7803" s="26">
        <v>43689.698680555601</v>
      </c>
      <c r="J7803" s="28" t="s">
        <v>51</v>
      </c>
      <c r="K7803" s="28" t="s">
        <v>51</v>
      </c>
      <c r="L7803" s="28" t="s">
        <v>51</v>
      </c>
      <c r="M7803" s="28" t="s">
        <v>51</v>
      </c>
      <c r="N7803" s="28" t="s">
        <v>51</v>
      </c>
    </row>
    <row r="7804" spans="1:14" x14ac:dyDescent="0.15">
      <c r="A7804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7804" s="24" t="s">
        <v>309</v>
      </c>
      <c r="C7804" s="25">
        <v>498960</v>
      </c>
      <c r="D7804" s="22" t="s">
        <v>11548</v>
      </c>
      <c r="E7804" s="22" t="s">
        <v>48</v>
      </c>
      <c r="F7804" s="23" t="str">
        <f>HYPERLINK("https://www.spark-marketing.ru/Card/Lot/72741999", "Оказание услуг по питанию граждан, находящихся в спец. приемнике для содержания лиц, подвергнутых административному аресту")</f>
        <v>Оказание услуг по питанию граждан, находящихся в спец. приемнике для содержания лиц, подвергнутых административному аресту</v>
      </c>
      <c r="G7804" s="22" t="s">
        <v>49</v>
      </c>
      <c r="H7804" s="22" t="s">
        <v>5949</v>
      </c>
      <c r="I7804" s="26">
        <v>43689.702187499999</v>
      </c>
      <c r="J7804" s="28" t="s">
        <v>51</v>
      </c>
      <c r="K7804" s="28" t="s">
        <v>51</v>
      </c>
      <c r="L7804" s="28" t="s">
        <v>51</v>
      </c>
      <c r="M7804" s="28" t="s">
        <v>51</v>
      </c>
      <c r="N7804" s="28" t="s">
        <v>51</v>
      </c>
    </row>
    <row r="7805" spans="1:14" collapsed="1" x14ac:dyDescent="0.15">
      <c r="A7805" s="23" t="str">
        <f>HYPERLINK("https://www.spark-marketing.ru/Card/Person/71275", "МОМВД РОССИИ ""МИЧУРИНСКИЙ""")</f>
        <v>МОМВД РОССИИ "МИЧУРИНСКИЙ"</v>
      </c>
      <c r="B7805" s="24" t="s">
        <v>11238</v>
      </c>
      <c r="C7805" s="25">
        <v>491260</v>
      </c>
      <c r="D7805" s="22" t="s">
        <v>11549</v>
      </c>
      <c r="E7805" s="22" t="s">
        <v>48</v>
      </c>
      <c r="F7805" s="23" t="str">
        <f>HYPERLINK("https://www.spark-marketing.ru/Card/Lot/72741926", "Услуги по приготовлению горячего питания для спец.приемника и КСЗ ( 1.11.2021-31.12.2021)")</f>
        <v>Услуги по приготовлению горячего питания для спец.приемника и КСЗ ( 1.11.2021-31.12.2021)</v>
      </c>
      <c r="G7805" s="22" t="s">
        <v>1370</v>
      </c>
      <c r="H7805" s="22" t="s">
        <v>11240</v>
      </c>
      <c r="I7805" s="26">
        <v>43689.685844907399</v>
      </c>
      <c r="J7805" s="28" t="s">
        <v>51</v>
      </c>
      <c r="K7805" s="28" t="s">
        <v>51</v>
      </c>
      <c r="L7805" s="28" t="s">
        <v>51</v>
      </c>
      <c r="M7805" s="28" t="s">
        <v>51</v>
      </c>
      <c r="N7805" s="28" t="s">
        <v>51</v>
      </c>
    </row>
    <row r="7806" spans="1:14" ht="12.75" hidden="1" outlineLevel="1" x14ac:dyDescent="0.2">
      <c r="A7806" s="23" t="str">
        <f>HYPERLINK("https://www.spark-marketing.ru/Card/Person/71275", "МОМВД РОССИИ ""МИЧУРИНСКИЙ""")</f>
        <v>МОМВД РОССИИ "МИЧУРИНСКИЙ"</v>
      </c>
      <c r="B7806" s="24" t="s">
        <v>11238</v>
      </c>
      <c r="C7806" s="25">
        <v>491260</v>
      </c>
      <c r="D7806" s="22" t="s">
        <v>11549</v>
      </c>
      <c r="E7806" s="22" t="s">
        <v>48</v>
      </c>
      <c r="F7806" s="23" t="str">
        <f>HYPERLINK("https://www.spark-marketing.ru/Card/Lot/72741926", "Услуги по приготовлению горячего питания для спец.приемника и КСЗ ( 1.11.2021-31.12.2021)")</f>
        <v>Услуги по приготовлению горячего питания для спец.приемника и КСЗ ( 1.11.2021-31.12.2021)</v>
      </c>
      <c r="G7806" s="22" t="s">
        <v>1370</v>
      </c>
      <c r="H7806" s="22" t="s">
        <v>11240</v>
      </c>
      <c r="I7806" s="26">
        <v>43689.685844907399</v>
      </c>
      <c r="J7806" s="23" t="str">
        <f>HYPERLINK("https://www.spark-marketing.ru/Card/Person/839734", "ООО ""МИЧВЕЛЛ""")</f>
        <v>ООО "МИЧВЕЛЛ"</v>
      </c>
      <c r="K7806" s="24" t="s">
        <v>11241</v>
      </c>
      <c r="L7806" s="22" t="s">
        <v>10</v>
      </c>
      <c r="M7806" s="25">
        <v>491260</v>
      </c>
      <c r="N7806" s="27">
        <v>0</v>
      </c>
    </row>
    <row r="7807" spans="1:14" hidden="1" outlineLevel="1" x14ac:dyDescent="0.2">
      <c r="A7807" s="23" t="str">
        <f>HYPERLINK("https://www.spark-marketing.ru/Card/Person/71275", "МОМВД РОССИИ ""МИЧУРИНСКИЙ""")</f>
        <v>МОМВД РОССИИ "МИЧУРИНСКИЙ"</v>
      </c>
      <c r="B7807" s="24" t="s">
        <v>11238</v>
      </c>
      <c r="C7807" s="25">
        <v>491260</v>
      </c>
      <c r="D7807" s="22" t="s">
        <v>11549</v>
      </c>
      <c r="E7807" s="22" t="s">
        <v>48</v>
      </c>
      <c r="F7807" s="23" t="str">
        <f>HYPERLINK("https://www.spark-marketing.ru/Card/Lot/72741926", "Услуги по приготовлению горячего питания для спец.приемника и КСЗ ( 1.11.2021-31.12.2021)")</f>
        <v>Услуги по приготовлению горячего питания для спец.приемника и КСЗ ( 1.11.2021-31.12.2021)</v>
      </c>
      <c r="G7807" s="22" t="s">
        <v>1370</v>
      </c>
      <c r="H7807" s="22" t="s">
        <v>11240</v>
      </c>
      <c r="I7807" s="26">
        <v>43689.685844907399</v>
      </c>
      <c r="J7807" s="23" t="str">
        <f>HYPERLINK("https://www.spark-marketing.ru/Card/Person/837064", "Одоян Омар Мамоевич")</f>
        <v>Одоян Омар Мамоевич</v>
      </c>
      <c r="K7807" s="24" t="s">
        <v>11242</v>
      </c>
      <c r="L7807" s="28" t="s">
        <v>51</v>
      </c>
      <c r="M7807" s="25">
        <v>491260</v>
      </c>
      <c r="N7807" s="27">
        <v>0</v>
      </c>
    </row>
    <row r="7808" spans="1:14" x14ac:dyDescent="0.15">
      <c r="A7808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08" s="24" t="s">
        <v>11550</v>
      </c>
      <c r="C7808" s="25">
        <v>50000</v>
      </c>
      <c r="D7808" s="22" t="s">
        <v>11551</v>
      </c>
      <c r="E7808" s="22" t="s">
        <v>48</v>
      </c>
      <c r="F7808" s="23" t="str">
        <f>HYPERLINK("https://www.spark-marketing.ru/Card/Lot/72725423",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08" s="22" t="s">
        <v>1096</v>
      </c>
      <c r="H7808" s="22" t="s">
        <v>1096</v>
      </c>
      <c r="I7808" s="26">
        <v>43689.638113425899</v>
      </c>
      <c r="J7808" s="23" t="str">
        <f>HYPERLINK("https://www.spark-marketing.ru/Card/Person/130859", "МБОУ ООШ № 2 Р.П. ХОР")</f>
        <v>МБОУ ООШ № 2 Р.П. ХОР</v>
      </c>
      <c r="K7808" s="24" t="s">
        <v>11552</v>
      </c>
      <c r="L7808" s="22" t="s">
        <v>10</v>
      </c>
      <c r="M7808" s="28" t="s">
        <v>51</v>
      </c>
      <c r="N7808" s="28" t="s">
        <v>51</v>
      </c>
    </row>
    <row r="7809" spans="1:14" x14ac:dyDescent="0.15">
      <c r="A7809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09" s="24" t="s">
        <v>11550</v>
      </c>
      <c r="C7809" s="25">
        <v>50000</v>
      </c>
      <c r="D7809" s="22" t="s">
        <v>11553</v>
      </c>
      <c r="E7809" s="22" t="s">
        <v>48</v>
      </c>
      <c r="F7809" s="23" t="str">
        <f>HYPERLINK("https://www.spark-marketing.ru/Card/Lot/72725027",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09" s="22" t="s">
        <v>1096</v>
      </c>
      <c r="H7809" s="22" t="s">
        <v>10413</v>
      </c>
      <c r="I7809" s="26">
        <v>43689.629363425898</v>
      </c>
      <c r="J7809" s="23" t="str">
        <f>HYPERLINK("https://www.spark-marketing.ru/Card/Person/153203", "МБОУ СОШ С. ПОЛЕТНОЕ")</f>
        <v>МБОУ СОШ С. ПОЛЕТНОЕ</v>
      </c>
      <c r="K7809" s="24" t="s">
        <v>11554</v>
      </c>
      <c r="L7809" s="22" t="s">
        <v>10</v>
      </c>
      <c r="M7809" s="28" t="s">
        <v>51</v>
      </c>
      <c r="N7809" s="28" t="s">
        <v>51</v>
      </c>
    </row>
    <row r="7810" spans="1:14" collapsed="1" x14ac:dyDescent="0.15">
      <c r="A7810" s="23" t="str">
        <f>HYPERLINK("https://www.spark-marketing.ru/Card/Person/142614", "МБОУ СОШ № 11")</f>
        <v>МБОУ СОШ № 11</v>
      </c>
      <c r="B7810" s="24" t="s">
        <v>11555</v>
      </c>
      <c r="C7810" s="25">
        <v>3982594</v>
      </c>
      <c r="D7810" s="22" t="s">
        <v>11556</v>
      </c>
      <c r="E7810" s="22" t="s">
        <v>48</v>
      </c>
      <c r="F7810" s="23" t="str">
        <f>HYPERLINK("https://www.spark-marketing.ru/Card/Lot/72723646", "Оказание услуг по организации питания учащихся")</f>
        <v>Оказание услуг по организации питания учащихся</v>
      </c>
      <c r="G7810" s="22" t="s">
        <v>543</v>
      </c>
      <c r="H7810" s="22" t="s">
        <v>5665</v>
      </c>
      <c r="I7810" s="26">
        <v>43689.651840277802</v>
      </c>
      <c r="J7810" s="28" t="s">
        <v>51</v>
      </c>
      <c r="K7810" s="28" t="s">
        <v>51</v>
      </c>
      <c r="L7810" s="28" t="s">
        <v>51</v>
      </c>
      <c r="M7810" s="28" t="s">
        <v>51</v>
      </c>
      <c r="N7810" s="28" t="s">
        <v>51</v>
      </c>
    </row>
    <row r="7811" spans="1:14" hidden="1" outlineLevel="1" x14ac:dyDescent="0.2">
      <c r="A7811" s="23" t="str">
        <f>HYPERLINK("https://www.spark-marketing.ru/Card/Person/142614", "МБОУ СОШ № 11")</f>
        <v>МБОУ СОШ № 11</v>
      </c>
      <c r="B7811" s="24" t="s">
        <v>11555</v>
      </c>
      <c r="C7811" s="25">
        <v>3982594</v>
      </c>
      <c r="D7811" s="22" t="s">
        <v>11556</v>
      </c>
      <c r="E7811" s="22" t="s">
        <v>48</v>
      </c>
      <c r="F7811" s="23" t="str">
        <f>HYPERLINK("https://www.spark-marketing.ru/Card/Lot/72723646", "Оказание услуг по организации питания учащихся")</f>
        <v>Оказание услуг по организации питания учащихся</v>
      </c>
      <c r="G7811" s="22" t="s">
        <v>543</v>
      </c>
      <c r="H7811" s="22" t="s">
        <v>5665</v>
      </c>
      <c r="I7811" s="26">
        <v>43689.651840277802</v>
      </c>
      <c r="J7811" s="23" t="str">
        <f>HYPERLINK("https://www.spark-marketing.ru/Card/Person/947188", "Третиников Сергей Петрович")</f>
        <v>Третиников Сергей Петрович</v>
      </c>
      <c r="K7811" s="24" t="s">
        <v>11557</v>
      </c>
      <c r="L7811" s="28" t="s">
        <v>51</v>
      </c>
      <c r="M7811" s="25">
        <v>3305553.02</v>
      </c>
      <c r="N7811" s="27">
        <v>0.17</v>
      </c>
    </row>
    <row r="7812" spans="1:14" hidden="1" outlineLevel="1" x14ac:dyDescent="0.2">
      <c r="A7812" s="23" t="str">
        <f>HYPERLINK("https://www.spark-marketing.ru/Card/Person/142614", "МБОУ СОШ № 11")</f>
        <v>МБОУ СОШ № 11</v>
      </c>
      <c r="B7812" s="24" t="s">
        <v>11555</v>
      </c>
      <c r="C7812" s="25">
        <v>3982594</v>
      </c>
      <c r="D7812" s="22" t="s">
        <v>11556</v>
      </c>
      <c r="E7812" s="22" t="s">
        <v>48</v>
      </c>
      <c r="F7812" s="23" t="str">
        <f>HYPERLINK("https://www.spark-marketing.ru/Card/Lot/72723646", "Оказание услуг по организации питания учащихся")</f>
        <v>Оказание услуг по организации питания учащихся</v>
      </c>
      <c r="G7812" s="22" t="s">
        <v>543</v>
      </c>
      <c r="H7812" s="22" t="s">
        <v>5665</v>
      </c>
      <c r="I7812" s="26">
        <v>43689.651840277802</v>
      </c>
      <c r="J7812" s="23" t="str">
        <f>HYPERLINK("https://www.spark-marketing.ru/Card/Person/6464579", "ООО ""СОЮЗ ВОСТОК""")</f>
        <v>ООО "СОЮЗ ВОСТОК"</v>
      </c>
      <c r="K7812" s="24" t="s">
        <v>11558</v>
      </c>
      <c r="L7812" s="28" t="s">
        <v>51</v>
      </c>
      <c r="M7812" s="25">
        <v>3504682.72</v>
      </c>
      <c r="N7812" s="27">
        <v>0.12</v>
      </c>
    </row>
    <row r="7813" spans="1:14" ht="12.75" hidden="1" outlineLevel="1" x14ac:dyDescent="0.2">
      <c r="A7813" s="23" t="str">
        <f>HYPERLINK("https://www.spark-marketing.ru/Card/Person/142614", "МБОУ СОШ № 11")</f>
        <v>МБОУ СОШ № 11</v>
      </c>
      <c r="B7813" s="24" t="s">
        <v>11555</v>
      </c>
      <c r="C7813" s="25">
        <v>3982594</v>
      </c>
      <c r="D7813" s="22" t="s">
        <v>11556</v>
      </c>
      <c r="E7813" s="22" t="s">
        <v>48</v>
      </c>
      <c r="F7813" s="23" t="str">
        <f>HYPERLINK("https://www.spark-marketing.ru/Card/Lot/72723646", "Оказание услуг по организации питания учащихся")</f>
        <v>Оказание услуг по организации питания учащихся</v>
      </c>
      <c r="G7813" s="22" t="s">
        <v>543</v>
      </c>
      <c r="H7813" s="22" t="s">
        <v>5665</v>
      </c>
      <c r="I7813" s="26">
        <v>43689.651840277802</v>
      </c>
      <c r="J7813" s="23" t="str">
        <f>HYPERLINK("https://www.spark-marketing.ru/Card/Person/6464572", "Третиникова Екатерина Сергеевна")</f>
        <v>Третиникова Екатерина Сергеевна</v>
      </c>
      <c r="K7813" s="24" t="s">
        <v>11559</v>
      </c>
      <c r="L7813" s="22" t="s">
        <v>10</v>
      </c>
      <c r="M7813" s="25">
        <v>3106423.32</v>
      </c>
      <c r="N7813" s="27">
        <v>0.22</v>
      </c>
    </row>
    <row r="7814" spans="1:14" x14ac:dyDescent="0.15">
      <c r="A7814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14" s="24" t="s">
        <v>11550</v>
      </c>
      <c r="C7814" s="25">
        <v>30000</v>
      </c>
      <c r="D7814" s="22" t="s">
        <v>11560</v>
      </c>
      <c r="E7814" s="22" t="s">
        <v>48</v>
      </c>
      <c r="F7814" s="23" t="str">
        <f>HYPERLINK("https://www.spark-marketing.ru/Card/Lot/72725421",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14" s="22" t="s">
        <v>1096</v>
      </c>
      <c r="H7814" s="22" t="s">
        <v>10413</v>
      </c>
      <c r="I7814" s="26">
        <v>43689.633391203701</v>
      </c>
      <c r="J7814" s="23" t="str">
        <f>HYPERLINK("https://www.spark-marketing.ru/Card/Person/495507", "МБОУ СОШ С. СОКОЛОВКА")</f>
        <v>МБОУ СОШ С. СОКОЛОВКА</v>
      </c>
      <c r="K7814" s="24" t="s">
        <v>11561</v>
      </c>
      <c r="L7814" s="22" t="s">
        <v>10</v>
      </c>
      <c r="M7814" s="28" t="s">
        <v>51</v>
      </c>
      <c r="N7814" s="28" t="s">
        <v>51</v>
      </c>
    </row>
    <row r="7815" spans="1:14" x14ac:dyDescent="0.15">
      <c r="A7815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15" s="24" t="s">
        <v>11550</v>
      </c>
      <c r="C7815" s="25">
        <v>70000</v>
      </c>
      <c r="D7815" s="22" t="s">
        <v>11562</v>
      </c>
      <c r="E7815" s="22" t="s">
        <v>48</v>
      </c>
      <c r="F7815" s="23" t="str">
        <f>HYPERLINK("https://www.spark-marketing.ru/Card/Lot/72726034",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15" s="22" t="s">
        <v>1096</v>
      </c>
      <c r="H7815" s="22" t="s">
        <v>1096</v>
      </c>
      <c r="I7815" s="26">
        <v>43689.630590277797</v>
      </c>
      <c r="J7815" s="23" t="str">
        <f>HYPERLINK("https://www.spark-marketing.ru/Card/Person/488977", "МБОУ СОШ Р.П. МУХЕН")</f>
        <v>МБОУ СОШ Р.П. МУХЕН</v>
      </c>
      <c r="K7815" s="24" t="s">
        <v>11563</v>
      </c>
      <c r="L7815" s="22" t="s">
        <v>10</v>
      </c>
      <c r="M7815" s="28" t="s">
        <v>51</v>
      </c>
      <c r="N7815" s="28" t="s">
        <v>51</v>
      </c>
    </row>
    <row r="7816" spans="1:14" x14ac:dyDescent="0.15">
      <c r="A7816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16" s="24" t="s">
        <v>11550</v>
      </c>
      <c r="C7816" s="25">
        <v>91000</v>
      </c>
      <c r="D7816" s="22" t="s">
        <v>11564</v>
      </c>
      <c r="E7816" s="22" t="s">
        <v>48</v>
      </c>
      <c r="F7816" s="23" t="str">
        <f>HYPERLINK("https://www.spark-marketing.ru/Card/Lot/72726082",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16" s="22" t="s">
        <v>1096</v>
      </c>
      <c r="H7816" s="22" t="s">
        <v>10413</v>
      </c>
      <c r="I7816" s="26">
        <v>43689.641655092601</v>
      </c>
      <c r="J7816" s="23" t="str">
        <f>HYPERLINK("https://www.spark-marketing.ru/Card/Person/489414", "МБОУ СОШ №1 Р.П. ПЕРЕЯСЛАВКА")</f>
        <v>МБОУ СОШ №1 Р.П. ПЕРЕЯСЛАВКА</v>
      </c>
      <c r="K7816" s="24" t="s">
        <v>11565</v>
      </c>
      <c r="L7816" s="22" t="s">
        <v>10</v>
      </c>
      <c r="M7816" s="28" t="s">
        <v>51</v>
      </c>
      <c r="N7816" s="28" t="s">
        <v>51</v>
      </c>
    </row>
    <row r="7817" spans="1:14" x14ac:dyDescent="0.15">
      <c r="A7817" s="23" t="str">
        <f>HYPERLINK("https://www.spark-marketing.ru/Card/Person/358649", "МО МВД РОССИИ ""ОПОЧЕЦКИЙ""")</f>
        <v>МО МВД РОССИИ "ОПОЧЕЦКИЙ"</v>
      </c>
      <c r="B7817" s="24" t="s">
        <v>413</v>
      </c>
      <c r="C7817" s="25">
        <v>406000</v>
      </c>
      <c r="D7817" s="22" t="s">
        <v>11566</v>
      </c>
      <c r="E7817" s="22" t="s">
        <v>48</v>
      </c>
      <c r="F7817" s="23" t="str">
        <f>HYPERLINK("https://www.spark-marketing.ru/Card/Lot/72739887", "Оказание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 в КСЗ более трех часов")</f>
        <v>Оказание услуг по организации комплексного горячего питания осужденных, арестованных, административно-арестованных, содержащихся в ИВС и административно-задержанных в КСЗ более трех часов</v>
      </c>
      <c r="G7817" s="22" t="s">
        <v>415</v>
      </c>
      <c r="H7817" s="22" t="s">
        <v>415</v>
      </c>
      <c r="I7817" s="26">
        <v>43689.662766203699</v>
      </c>
      <c r="J7817" s="28" t="s">
        <v>51</v>
      </c>
      <c r="K7817" s="28" t="s">
        <v>51</v>
      </c>
      <c r="L7817" s="28" t="s">
        <v>51</v>
      </c>
      <c r="M7817" s="28" t="s">
        <v>51</v>
      </c>
      <c r="N7817" s="28" t="s">
        <v>51</v>
      </c>
    </row>
    <row r="7818" spans="1:14" x14ac:dyDescent="0.15">
      <c r="A7818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18" s="24" t="s">
        <v>11550</v>
      </c>
      <c r="C7818" s="25">
        <v>80000</v>
      </c>
      <c r="D7818" s="22" t="s">
        <v>11567</v>
      </c>
      <c r="E7818" s="22" t="s">
        <v>48</v>
      </c>
      <c r="F7818" s="23" t="str">
        <f>HYPERLINK("https://www.spark-marketing.ru/Card/Lot/72726081",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18" s="22" t="s">
        <v>1096</v>
      </c>
      <c r="H7818" s="22" t="s">
        <v>1096</v>
      </c>
      <c r="I7818" s="26">
        <v>43689.636770833298</v>
      </c>
      <c r="J7818" s="23" t="str">
        <f>HYPERLINK("https://www.spark-marketing.ru/Card/Person/495489", "МБОУ СОШ № 1 Р.П. ХОР")</f>
        <v>МБОУ СОШ № 1 Р.П. ХОР</v>
      </c>
      <c r="K7818" s="24" t="s">
        <v>11568</v>
      </c>
      <c r="L7818" s="22" t="s">
        <v>10</v>
      </c>
      <c r="M7818" s="28" t="s">
        <v>51</v>
      </c>
      <c r="N7818" s="28" t="s">
        <v>51</v>
      </c>
    </row>
    <row r="7819" spans="1:14" x14ac:dyDescent="0.15">
      <c r="A7819" s="23" t="str">
        <f>HYPERLINK("https://www.spark-marketing.ru/Card/Person/238577", "ГБУ ДО ПО ""ЦСП""")</f>
        <v>ГБУ ДО ПО "ЦСП"</v>
      </c>
      <c r="B7819" s="24" t="s">
        <v>11569</v>
      </c>
      <c r="C7819" s="25">
        <v>64050</v>
      </c>
      <c r="D7819" s="22" t="s">
        <v>11570</v>
      </c>
      <c r="E7819" s="22" t="s">
        <v>96</v>
      </c>
      <c r="F7819" s="23" t="str">
        <f>HYPERLINK("https://www.spark-marketing.ru/Card/Lot/72741006", "Оказание услуг по питанию на Десятой областной летней Спартакиаде детей-инвалидов (идентификационный номер: 4717-А-ГЗ-Л)")</f>
        <v>Оказание услуг по питанию на Десятой областной летней Спартакиаде детей-инвалидов (идентификационный номер: 4717-А-ГЗ-Л)</v>
      </c>
      <c r="G7819" s="22" t="s">
        <v>415</v>
      </c>
      <c r="H7819" s="22" t="s">
        <v>4542</v>
      </c>
      <c r="I7819" s="26">
        <v>43689.6503240741</v>
      </c>
      <c r="J7819" s="23" t="str">
        <f>HYPERLINK("https://www.spark-marketing.ru/Card/Person/787898", "УОИО ""ПУШКИНОГОРЬЕ""")</f>
        <v>УОИО "ПУШКИНОГОРЬЕ"</v>
      </c>
      <c r="K7819" s="24" t="s">
        <v>11571</v>
      </c>
      <c r="L7819" s="22" t="s">
        <v>10</v>
      </c>
      <c r="M7819" s="28" t="s">
        <v>51</v>
      </c>
      <c r="N7819" s="28" t="s">
        <v>51</v>
      </c>
    </row>
    <row r="7820" spans="1:14" x14ac:dyDescent="0.15">
      <c r="A7820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20" s="24" t="s">
        <v>11550</v>
      </c>
      <c r="C7820" s="25">
        <v>60000</v>
      </c>
      <c r="D7820" s="22" t="s">
        <v>11572</v>
      </c>
      <c r="E7820" s="22" t="s">
        <v>48</v>
      </c>
      <c r="F7820" s="23" t="str">
        <f>HYPERLINK("https://www.spark-marketing.ru/Card/Lot/72725420",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20" s="22" t="s">
        <v>1096</v>
      </c>
      <c r="H7820" s="22" t="s">
        <v>10413</v>
      </c>
      <c r="I7820" s="26">
        <v>43689.6322685185</v>
      </c>
      <c r="J7820" s="23" t="str">
        <f>HYPERLINK("https://www.spark-marketing.ru/Card/Person/495508", "МБОУ СОШ № 2 Р.П. ПЕРЕЯСЛАВКА")</f>
        <v>МБОУ СОШ № 2 Р.П. ПЕРЕЯСЛАВКА</v>
      </c>
      <c r="K7820" s="24" t="s">
        <v>11573</v>
      </c>
      <c r="L7820" s="22" t="s">
        <v>10</v>
      </c>
      <c r="M7820" s="28" t="s">
        <v>51</v>
      </c>
      <c r="N7820" s="28" t="s">
        <v>51</v>
      </c>
    </row>
    <row r="7821" spans="1:14" x14ac:dyDescent="0.15">
      <c r="A7821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21" s="24" t="s">
        <v>11550</v>
      </c>
      <c r="C7821" s="25">
        <v>50000</v>
      </c>
      <c r="D7821" s="22" t="s">
        <v>11574</v>
      </c>
      <c r="E7821" s="22" t="s">
        <v>48</v>
      </c>
      <c r="F7821" s="23" t="str">
        <f>HYPERLINK("https://www.spark-marketing.ru/Card/Lot/72723644",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21" s="22" t="s">
        <v>1096</v>
      </c>
      <c r="H7821" s="22" t="s">
        <v>10413</v>
      </c>
      <c r="I7821" s="26">
        <v>43689.627476851798</v>
      </c>
      <c r="J7821" s="23" t="str">
        <f>HYPERLINK("https://www.spark-marketing.ru/Card/Person/489189", "МБОУ СОШ С.БИЧЕВАЯ")</f>
        <v>МБОУ СОШ С.БИЧЕВАЯ</v>
      </c>
      <c r="K7821" s="24" t="s">
        <v>11575</v>
      </c>
      <c r="L7821" s="22" t="s">
        <v>10</v>
      </c>
      <c r="M7821" s="28" t="s">
        <v>51</v>
      </c>
      <c r="N7821" s="28" t="s">
        <v>51</v>
      </c>
    </row>
    <row r="7822" spans="1:14" x14ac:dyDescent="0.15">
      <c r="A7822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22" s="24" t="s">
        <v>11550</v>
      </c>
      <c r="C7822" s="25">
        <v>80000</v>
      </c>
      <c r="D7822" s="22" t="s">
        <v>11576</v>
      </c>
      <c r="E7822" s="22" t="s">
        <v>48</v>
      </c>
      <c r="F7822" s="23" t="str">
        <f>HYPERLINK("https://www.spark-marketing.ru/Card/Lot/72726035",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22" s="22" t="s">
        <v>1096</v>
      </c>
      <c r="H7822" s="22" t="s">
        <v>1096</v>
      </c>
      <c r="I7822" s="26">
        <v>43689.635231481501</v>
      </c>
      <c r="J7822" s="23" t="str">
        <f>HYPERLINK("https://www.spark-marketing.ru/Card/Person/153204", "МБОУ СОШ № 3 Р.П. ХОР")</f>
        <v>МБОУ СОШ № 3 Р.П. ХОР</v>
      </c>
      <c r="K7822" s="24" t="s">
        <v>11577</v>
      </c>
      <c r="L7822" s="22" t="s">
        <v>10</v>
      </c>
      <c r="M7822" s="28" t="s">
        <v>51</v>
      </c>
      <c r="N7822" s="28" t="s">
        <v>51</v>
      </c>
    </row>
    <row r="7823" spans="1:14" x14ac:dyDescent="0.15">
      <c r="A7823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23" s="24" t="s">
        <v>11550</v>
      </c>
      <c r="C7823" s="25">
        <v>50000</v>
      </c>
      <c r="D7823" s="22" t="s">
        <v>11578</v>
      </c>
      <c r="E7823" s="22" t="s">
        <v>48</v>
      </c>
      <c r="F7823" s="23" t="str">
        <f>HYPERLINK("https://www.spark-marketing.ru/Card/Lot/72725028",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23" s="22" t="s">
        <v>1096</v>
      </c>
      <c r="H7823" s="22" t="s">
        <v>10413</v>
      </c>
      <c r="I7823" s="26">
        <v>43689.630023148202</v>
      </c>
      <c r="J7823" s="23" t="str">
        <f>HYPERLINK("https://www.spark-marketing.ru/Card/Person/489644", "МБОУ СОШ С. МОГИЛЕВКА")</f>
        <v>МБОУ СОШ С. МОГИЛЕВКА</v>
      </c>
      <c r="K7823" s="24" t="s">
        <v>11579</v>
      </c>
      <c r="L7823" s="22" t="s">
        <v>10</v>
      </c>
      <c r="M7823" s="28" t="s">
        <v>51</v>
      </c>
      <c r="N7823" s="28" t="s">
        <v>51</v>
      </c>
    </row>
    <row r="7824" spans="1:14" x14ac:dyDescent="0.15">
      <c r="A7824" s="23" t="str">
        <f>HYPERLINK("https://www.spark-marketing.ru/Card/Person/71940", "ОТДЕЛ МВД РОССИИ ПО ВАРНЕНСКОМУ РАЙОНУ ЧЕЛЯБИНСКОЙ ОБЛАСТИ")</f>
        <v>ОТДЕЛ МВД РОССИИ ПО ВАРНЕНСКОМУ РАЙОНУ ЧЕЛЯБИНСКОЙ ОБЛАСТИ</v>
      </c>
      <c r="B7824" s="24" t="s">
        <v>9195</v>
      </c>
      <c r="C7824" s="25">
        <v>280000</v>
      </c>
      <c r="D7824" s="22" t="s">
        <v>11580</v>
      </c>
      <c r="E7824" s="22" t="s">
        <v>48</v>
      </c>
      <c r="F7824" s="23" t="str">
        <f>HYPERLINK("https://www.spark-marketing.ru/Card/Lot/72736443", "оказание услуг по организации трехразовым горячим питанием лиц, находящихся в изоляторе временного содержания")</f>
        <v>оказание услуг по организации трехразовым горячим питанием лиц, находящихся в изоляторе временного содержания</v>
      </c>
      <c r="G7824" s="22" t="s">
        <v>469</v>
      </c>
      <c r="H7824" s="22" t="s">
        <v>9197</v>
      </c>
      <c r="I7824" s="26">
        <v>43689.6491550926</v>
      </c>
      <c r="J7824" s="28" t="s">
        <v>51</v>
      </c>
      <c r="K7824" s="28" t="s">
        <v>51</v>
      </c>
      <c r="L7824" s="28" t="s">
        <v>51</v>
      </c>
      <c r="M7824" s="28" t="s">
        <v>51</v>
      </c>
      <c r="N7824" s="28" t="s">
        <v>51</v>
      </c>
    </row>
    <row r="7825" spans="1:14" x14ac:dyDescent="0.15">
      <c r="A7825" s="23" t="str">
        <f>HYPERLINK("https://www.spark-marketing.ru/Card/Person/999851", "ОТДЕЛ МВД РОССИИ ПО Г. ДОНЕЦКУ")</f>
        <v>ОТДЕЛ МВД РОССИИ ПО Г. ДОНЕЦКУ</v>
      </c>
      <c r="B7825" s="24" t="s">
        <v>9106</v>
      </c>
      <c r="C7825" s="25">
        <v>299700</v>
      </c>
      <c r="D7825" s="22" t="s">
        <v>11581</v>
      </c>
      <c r="E7825" s="22" t="s">
        <v>96</v>
      </c>
      <c r="F7825" s="23" t="str">
        <f>HYPERLINK("https://www.spark-marketing.ru/Card/Lot/72735795", "Оказание услуг по организации питания (приготовлению и доставке), 999 шт")</f>
        <v>Оказание услуг по организации питания (приготовлению и доставке), 999 шт</v>
      </c>
      <c r="G7825" s="22" t="s">
        <v>267</v>
      </c>
      <c r="H7825" s="22" t="s">
        <v>9108</v>
      </c>
      <c r="I7825" s="26">
        <v>43689.657129629602</v>
      </c>
      <c r="J7825" s="28" t="s">
        <v>51</v>
      </c>
      <c r="K7825" s="28" t="s">
        <v>51</v>
      </c>
      <c r="L7825" s="28" t="s">
        <v>51</v>
      </c>
      <c r="M7825" s="28" t="s">
        <v>51</v>
      </c>
      <c r="N7825" s="28" t="s">
        <v>51</v>
      </c>
    </row>
    <row r="7826" spans="1:14" x14ac:dyDescent="0.15">
      <c r="A7826" s="23" t="str">
        <f>HYPERLINK("https://www.spark-marketing.ru/Card/Person/999851", "ОТДЕЛ МВД РОССИИ ПО Г. ДОНЕЦКУ")</f>
        <v>ОТДЕЛ МВД РОССИИ ПО Г. ДОНЕЦКУ</v>
      </c>
      <c r="B7826" s="24" t="s">
        <v>9106</v>
      </c>
      <c r="C7826" s="25">
        <v>299700</v>
      </c>
      <c r="D7826" s="22" t="s">
        <v>11582</v>
      </c>
      <c r="E7826" s="22" t="s">
        <v>96</v>
      </c>
      <c r="F7826" s="23" t="str">
        <f>HYPERLINK("https://www.spark-marketing.ru/Card/Lot/72736071", "Оказание услуг по организации питания (приготовлению и доставке), 999 шт")</f>
        <v>Оказание услуг по организации питания (приготовлению и доставке), 999 шт</v>
      </c>
      <c r="G7826" s="22" t="s">
        <v>267</v>
      </c>
      <c r="H7826" s="22" t="s">
        <v>9108</v>
      </c>
      <c r="I7826" s="26">
        <v>43689.661921296298</v>
      </c>
      <c r="J7826" s="28" t="s">
        <v>51</v>
      </c>
      <c r="K7826" s="28" t="s">
        <v>51</v>
      </c>
      <c r="L7826" s="28" t="s">
        <v>51</v>
      </c>
      <c r="M7826" s="28" t="s">
        <v>51</v>
      </c>
      <c r="N7826" s="28" t="s">
        <v>51</v>
      </c>
    </row>
    <row r="7827" spans="1:14" collapsed="1" x14ac:dyDescent="0.15">
      <c r="A7827" s="23" t="str">
        <f>HYPERLINK("https://www.spark-marketing.ru/Card/Person/951387", "МБОУ СОШ № 5")</f>
        <v>МБОУ СОШ № 5</v>
      </c>
      <c r="B7827" s="24" t="s">
        <v>11583</v>
      </c>
      <c r="C7827" s="25">
        <v>605120</v>
      </c>
      <c r="D7827" s="22" t="s">
        <v>11584</v>
      </c>
      <c r="E7827" s="22" t="s">
        <v>48</v>
      </c>
      <c r="F7827" s="23" t="str">
        <f>HYPERLINK("https://www.spark-marketing.ru/Card/Lot/72724517", "Оказание услуг по огранизации питания учащихся")</f>
        <v>Оказание услуг по огранизации питания учащихся</v>
      </c>
      <c r="G7827" s="22" t="s">
        <v>543</v>
      </c>
      <c r="H7827" s="22" t="s">
        <v>5665</v>
      </c>
      <c r="I7827" s="26">
        <v>43689.665335648097</v>
      </c>
      <c r="J7827" s="23" t="str">
        <f>HYPERLINK("https://www.spark-marketing.ru/Card/Person/948554", "Сопеску Ольга Анатольевна")</f>
        <v>Сопеску Ольга Анатольевна</v>
      </c>
      <c r="K7827" s="24" t="s">
        <v>11585</v>
      </c>
      <c r="L7827" s="28" t="s">
        <v>51</v>
      </c>
      <c r="M7827" s="28" t="s">
        <v>51</v>
      </c>
      <c r="N7827" s="28" t="s">
        <v>51</v>
      </c>
    </row>
    <row r="7828" spans="1:14" ht="12.75" hidden="1" outlineLevel="1" x14ac:dyDescent="0.2">
      <c r="A7828" s="23" t="str">
        <f>HYPERLINK("https://www.spark-marketing.ru/Card/Person/951387", "МБОУ СОШ № 5")</f>
        <v>МБОУ СОШ № 5</v>
      </c>
      <c r="B7828" s="24" t="s">
        <v>11583</v>
      </c>
      <c r="C7828" s="25">
        <v>605120</v>
      </c>
      <c r="D7828" s="22" t="s">
        <v>11584</v>
      </c>
      <c r="E7828" s="22" t="s">
        <v>48</v>
      </c>
      <c r="F7828" s="23" t="str">
        <f>HYPERLINK("https://www.spark-marketing.ru/Card/Lot/72724517", "Оказание услуг по огранизации питания учащихся")</f>
        <v>Оказание услуг по огранизации питания учащихся</v>
      </c>
      <c r="G7828" s="22" t="s">
        <v>543</v>
      </c>
      <c r="H7828" s="22" t="s">
        <v>5665</v>
      </c>
      <c r="I7828" s="26">
        <v>43689.665335648097</v>
      </c>
      <c r="J7828" s="23" t="str">
        <f>HYPERLINK("https://www.spark-marketing.ru/Card/Person/948554", "Сопеску Ольга Анатольевна")</f>
        <v>Сопеску Ольга Анатольевна</v>
      </c>
      <c r="K7828" s="24" t="s">
        <v>11585</v>
      </c>
      <c r="L7828" s="22" t="s">
        <v>10</v>
      </c>
      <c r="M7828" s="25">
        <v>602094.4</v>
      </c>
      <c r="N7828" s="27">
        <v>5.0000000000000001E-3</v>
      </c>
    </row>
    <row r="7829" spans="1:14" x14ac:dyDescent="0.15">
      <c r="A7829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29" s="24" t="s">
        <v>11550</v>
      </c>
      <c r="C7829" s="25">
        <v>40000</v>
      </c>
      <c r="D7829" s="22" t="s">
        <v>11586</v>
      </c>
      <c r="E7829" s="22" t="s">
        <v>48</v>
      </c>
      <c r="F7829" s="23" t="str">
        <f>HYPERLINK("https://www.spark-marketing.ru/Card/Lot/72723645",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29" s="22" t="s">
        <v>1096</v>
      </c>
      <c r="H7829" s="22" t="s">
        <v>10413</v>
      </c>
      <c r="I7829" s="26">
        <v>43689.628159722197</v>
      </c>
      <c r="J7829" s="23" t="str">
        <f>HYPERLINK("https://www.spark-marketing.ru/Card/Person/499138", "МБОУ СОШ С. ЧЕРНЯЕВО")</f>
        <v>МБОУ СОШ С. ЧЕРНЯЕВО</v>
      </c>
      <c r="K7829" s="24" t="s">
        <v>11587</v>
      </c>
      <c r="L7829" s="22" t="s">
        <v>10</v>
      </c>
      <c r="M7829" s="28" t="s">
        <v>51</v>
      </c>
      <c r="N7829" s="28" t="s">
        <v>51</v>
      </c>
    </row>
    <row r="7830" spans="1:14" x14ac:dyDescent="0.15">
      <c r="A7830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30" s="24" t="s">
        <v>11550</v>
      </c>
      <c r="C7830" s="25">
        <v>30000</v>
      </c>
      <c r="D7830" s="22" t="s">
        <v>11588</v>
      </c>
      <c r="E7830" s="22" t="s">
        <v>48</v>
      </c>
      <c r="F7830" s="23" t="str">
        <f>HYPERLINK("https://www.spark-marketing.ru/Card/Lot/72723643",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30" s="22" t="s">
        <v>1096</v>
      </c>
      <c r="H7830" s="22" t="s">
        <v>10413</v>
      </c>
      <c r="I7830" s="26">
        <v>43689.622766203698</v>
      </c>
      <c r="J7830" s="23" t="str">
        <f>HYPERLINK("https://www.spark-marketing.ru/Card/Person/490945", "МБОУ СОШ С. КРУГЛИКОВО")</f>
        <v>МБОУ СОШ С. КРУГЛИКОВО</v>
      </c>
      <c r="K7830" s="24" t="s">
        <v>11589</v>
      </c>
      <c r="L7830" s="22" t="s">
        <v>10</v>
      </c>
      <c r="M7830" s="28" t="s">
        <v>51</v>
      </c>
      <c r="N7830" s="28" t="s">
        <v>51</v>
      </c>
    </row>
    <row r="7831" spans="1:14" x14ac:dyDescent="0.2">
      <c r="A7831" s="23" t="str">
        <f>HYPERLINK("https://www.spark-marketing.ru/Card/Person/59448", "ФКУЗ ""МСЧ МВД РОССИИ ПО АРХАНГЕЛЬСКОЙ ОБЛАСТИ""")</f>
        <v>ФКУЗ "МСЧ МВД РОССИИ ПО АРХАНГЕЛЬСКОЙ ОБЛАСТИ"</v>
      </c>
      <c r="B7831" s="24" t="s">
        <v>11590</v>
      </c>
      <c r="C7831" s="25">
        <v>6096065</v>
      </c>
      <c r="D7831" s="22" t="s">
        <v>11591</v>
      </c>
      <c r="E7831" s="22" t="s">
        <v>48</v>
      </c>
      <c r="F7831" s="23" t="str">
        <f>HYPERLINK("https://www.spark-marketing.ru/Card/Lot/72741105", "Оказание услуг по организации лечебного питания пациентов, находящихся в стационаре круглосуточного пребывания ФКУЗ ""МСЧ МВД России по Архангельской области""")</f>
        <v>Оказание услуг по организации лечебного питания пациентов, находящихся в стационаре круглосуточного пребывания ФКУЗ "МСЧ МВД России по Архангельской области"</v>
      </c>
      <c r="G7831" s="22" t="s">
        <v>214</v>
      </c>
      <c r="H7831" s="22" t="s">
        <v>523</v>
      </c>
      <c r="I7831" s="26">
        <v>43689.6069444444</v>
      </c>
      <c r="J7831" s="23" t="str">
        <f>HYPERLINK("https://www.spark-marketing.ru/Card/Person/80061", "ООО ""АРХАНГЕЛЬСКИЙ ТРЕСТ СТОЛОВЫХ""")</f>
        <v>ООО "АРХАНГЕЛЬСКИЙ ТРЕСТ СТОЛОВЫХ"</v>
      </c>
      <c r="K7831" s="24" t="s">
        <v>8895</v>
      </c>
      <c r="L7831" s="28" t="s">
        <v>51</v>
      </c>
      <c r="M7831" s="25">
        <v>6096065</v>
      </c>
      <c r="N7831" s="27">
        <v>0</v>
      </c>
    </row>
    <row r="7832" spans="1:14" x14ac:dyDescent="0.15">
      <c r="A7832" s="23" t="str">
        <f>HYPERLINK("https://www.spark-marketing.ru/Card/Person/5890783", "ФЛ АО КОНЦЕРН РОСЭНЕРГОАТОМ ДИРЕКЦИЯ ПО СООРУЖЕНИЮ И ЭКСПЛУАТАЦИИ ПЛАВУЧИХ АТОМНЫХ ТЕПЛОЭЛЕКТРОСТАНЦИЙ")</f>
        <v>ФЛ АО КОНЦЕРН РОСЭНЕРГОАТОМ ДИРЕКЦИЯ ПО СООРУЖЕНИЮ И ЭКСПЛУАТАЦИИ ПЛАВУЧИХ АТОМНЫХ ТЕПЛОЭЛЕКТРОСТАНЦИЙ</v>
      </c>
      <c r="B7832" s="28" t="s">
        <v>51</v>
      </c>
      <c r="C7832" s="25">
        <v>0</v>
      </c>
      <c r="D7832" s="22" t="s">
        <v>11592</v>
      </c>
      <c r="E7832" s="22" t="s">
        <v>52</v>
      </c>
      <c r="F7832" s="23" t="str">
        <f>HYPERLINK("https://www.spark-marketing.ru/Card/Lot/72744017", "мониторинг цен в электронной форме на Оказание услуг по организации питания для нужд ПАТЭС, а именно: общественное питание в столовых вахтового поселка ПАТЭС и ПЭБ в г. Певеке Чукотского автономного округа")</f>
        <v>мониторинг цен в электронной форме на Оказание услуг по организации питания для нужд ПАТЭС, а именно: общественное питание в столовых вахтового поселка ПАТЭС и ПЭБ в г. Певеке Чукотского автономного округа</v>
      </c>
      <c r="G7832" s="22" t="s">
        <v>51</v>
      </c>
      <c r="H7832" s="22" t="s">
        <v>51</v>
      </c>
      <c r="I7832" s="26">
        <v>43689.597534722197</v>
      </c>
      <c r="J7832" s="28" t="s">
        <v>51</v>
      </c>
      <c r="K7832" s="28" t="s">
        <v>51</v>
      </c>
      <c r="L7832" s="28" t="s">
        <v>51</v>
      </c>
      <c r="M7832" s="28" t="s">
        <v>51</v>
      </c>
      <c r="N7832" s="28" t="s">
        <v>51</v>
      </c>
    </row>
    <row r="7833" spans="1:14" x14ac:dyDescent="0.15">
      <c r="A7833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33" s="24" t="s">
        <v>11550</v>
      </c>
      <c r="C7833" s="25">
        <v>50000</v>
      </c>
      <c r="D7833" s="22" t="s">
        <v>11593</v>
      </c>
      <c r="E7833" s="22" t="s">
        <v>48</v>
      </c>
      <c r="F7833" s="23" t="str">
        <f>HYPERLINK("https://www.spark-marketing.ru/Card/Lot/72723642",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33" s="22" t="s">
        <v>1096</v>
      </c>
      <c r="H7833" s="22" t="s">
        <v>1096</v>
      </c>
      <c r="I7833" s="26">
        <v>43689.622152777803</v>
      </c>
      <c r="J7833" s="23" t="str">
        <f>HYPERLINK("https://www.spark-marketing.ru/Card/Person/495509", "МБОУ СОШ П. СИТА")</f>
        <v>МБОУ СОШ П. СИТА</v>
      </c>
      <c r="K7833" s="24" t="s">
        <v>11594</v>
      </c>
      <c r="L7833" s="22" t="s">
        <v>10</v>
      </c>
      <c r="M7833" s="28" t="s">
        <v>51</v>
      </c>
      <c r="N7833" s="28" t="s">
        <v>51</v>
      </c>
    </row>
    <row r="7834" spans="1:14" x14ac:dyDescent="0.15">
      <c r="A7834" s="23" t="str">
        <f>HYPERLINK("https://www.spark-marketing.ru/Card/Person/6579876", "МБОУ СОШ ""МОЗАИКА""")</f>
        <v>МБОУ СОШ "МОЗАИКА"</v>
      </c>
      <c r="B7834" s="24" t="s">
        <v>11595</v>
      </c>
      <c r="C7834" s="25">
        <v>574800</v>
      </c>
      <c r="D7834" s="22" t="s">
        <v>11596</v>
      </c>
      <c r="E7834" s="22" t="s">
        <v>48</v>
      </c>
      <c r="F7834" s="23" t="str">
        <f>HYPERLINK("https://www.spark-marketing.ru/Card/Lot/72735067",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7834" s="22" t="s">
        <v>49</v>
      </c>
      <c r="H7834" s="22" t="s">
        <v>10272</v>
      </c>
      <c r="I7834" s="26">
        <v>43689.607569444401</v>
      </c>
      <c r="J7834" s="28" t="s">
        <v>51</v>
      </c>
      <c r="K7834" s="28" t="s">
        <v>51</v>
      </c>
      <c r="L7834" s="28" t="s">
        <v>51</v>
      </c>
      <c r="M7834" s="28" t="s">
        <v>51</v>
      </c>
      <c r="N7834" s="28" t="s">
        <v>51</v>
      </c>
    </row>
    <row r="7835" spans="1:14" x14ac:dyDescent="0.15">
      <c r="A7835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35" s="24" t="s">
        <v>11550</v>
      </c>
      <c r="C7835" s="25">
        <v>50000</v>
      </c>
      <c r="D7835" s="22" t="s">
        <v>11597</v>
      </c>
      <c r="E7835" s="22" t="s">
        <v>48</v>
      </c>
      <c r="F7835" s="23" t="str">
        <f>HYPERLINK("https://www.spark-marketing.ru/Card/Lot/72723364",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35" s="22" t="s">
        <v>1096</v>
      </c>
      <c r="H7835" s="22" t="s">
        <v>10413</v>
      </c>
      <c r="I7835" s="26">
        <v>43689.6233796296</v>
      </c>
      <c r="J7835" s="23" t="str">
        <f>HYPERLINK("https://www.spark-marketing.ru/Card/Person/489376", "МБОО СОШ С. ГЕОРГИЕВКА")</f>
        <v>МБОО СОШ С. ГЕОРГИЕВКА</v>
      </c>
      <c r="K7835" s="24" t="s">
        <v>11598</v>
      </c>
      <c r="L7835" s="22" t="s">
        <v>10</v>
      </c>
      <c r="M7835" s="28" t="s">
        <v>51</v>
      </c>
      <c r="N7835" s="28" t="s">
        <v>51</v>
      </c>
    </row>
    <row r="7836" spans="1:14" x14ac:dyDescent="0.15">
      <c r="A7836" s="23" t="str">
        <f>HYPERLINK("https://www.spark-marketing.ru/Card/Person/330031", "ДИРЕКЦИЯ СТРОЯЩИХСЯ ПАТЭС")</f>
        <v>ДИРЕКЦИЯ СТРОЯЩИХСЯ ПАТЭС</v>
      </c>
      <c r="B7836" s="24" t="s">
        <v>908</v>
      </c>
      <c r="C7836" s="28" t="s">
        <v>51</v>
      </c>
      <c r="D7836" s="22" t="s">
        <v>11599</v>
      </c>
      <c r="E7836" s="22" t="s">
        <v>48</v>
      </c>
      <c r="F7836" s="23" t="str">
        <f>HYPERLINK("https://www.spark-marketing.ru/Card/Lot/72936786", "Оказание услуг по организации питания для нужд ПАТЭС, а именно: общественное питание в столовых вахтового поселка ПАТЭС и ПЭБ в г. Певеке Чукотского автономного округа")</f>
        <v>Оказание услуг по организации питания для нужд ПАТЭС, а именно: общественное питание в столовых вахтового поселка ПАТЭС и ПЭБ в г. Певеке Чукотского автономного округа</v>
      </c>
      <c r="G7836" s="22" t="s">
        <v>56</v>
      </c>
      <c r="H7836" s="22" t="s">
        <v>56</v>
      </c>
      <c r="I7836" s="26">
        <v>43689.597500000003</v>
      </c>
      <c r="J7836" s="28" t="s">
        <v>51</v>
      </c>
      <c r="K7836" s="28" t="s">
        <v>51</v>
      </c>
      <c r="L7836" s="28" t="s">
        <v>51</v>
      </c>
      <c r="M7836" s="28" t="s">
        <v>51</v>
      </c>
      <c r="N7836" s="28" t="s">
        <v>51</v>
      </c>
    </row>
    <row r="7837" spans="1:14" x14ac:dyDescent="0.15">
      <c r="A7837" s="23" t="str">
        <f>HYPERLINK("https://www.spark-marketing.ru/Card/Person/817619", "ОМВД РОССИИ ПО АЛДАНСКОМУ РАЙОНУ")</f>
        <v>ОМВД РОССИИ ПО АЛДАНСКОМУ РАЙОНУ</v>
      </c>
      <c r="B7837" s="24" t="s">
        <v>913</v>
      </c>
      <c r="C7837" s="25">
        <v>940000</v>
      </c>
      <c r="D7837" s="22" t="s">
        <v>11600</v>
      </c>
      <c r="E7837" s="22" t="s">
        <v>48</v>
      </c>
      <c r="F7837" s="23" t="str">
        <f>HYPERLINK("https://www.spark-marketing.ru/Card/Lot/72722344", "оказание услуг по приготовлению и обеспечению горячим питанием для лиц подозреваемых и обвиняемых в совершении преступлений, находящихся в изоляторе временного содержания отдела МВД России по Алданскому району")</f>
        <v>оказание услуг по приготовлению и обеспечению горячим питанием для лиц подозреваемых и обвиняемых в совершении преступлений, находящихся в изоляторе временного содержания отдела МВД России по Алданскому району</v>
      </c>
      <c r="G7837" s="22" t="s">
        <v>241</v>
      </c>
      <c r="H7837" s="22" t="s">
        <v>915</v>
      </c>
      <c r="I7837" s="26">
        <v>43689.547442129602</v>
      </c>
      <c r="J7837" s="28" t="s">
        <v>51</v>
      </c>
      <c r="K7837" s="28" t="s">
        <v>51</v>
      </c>
      <c r="L7837" s="28" t="s">
        <v>51</v>
      </c>
      <c r="M7837" s="28" t="s">
        <v>51</v>
      </c>
      <c r="N7837" s="28" t="s">
        <v>51</v>
      </c>
    </row>
    <row r="7838" spans="1:14" x14ac:dyDescent="0.15">
      <c r="A7838" s="23" t="str">
        <f>HYPERLINK("https://www.spark-marketing.ru/Card/Person/149583", "КГКУ ""НОРИЛЬСКИЙ ДЕТСКИЙ ДОМ""")</f>
        <v>КГКУ "НОРИЛЬСКИЙ ДЕТСКИЙ ДОМ"</v>
      </c>
      <c r="B7838" s="24" t="s">
        <v>11601</v>
      </c>
      <c r="C7838" s="25">
        <v>3011029.56</v>
      </c>
      <c r="D7838" s="22" t="s">
        <v>11602</v>
      </c>
      <c r="E7838" s="22" t="s">
        <v>48</v>
      </c>
      <c r="F7838" s="23" t="str">
        <f>HYPERLINK("https://www.spark-marketing.ru/Card/Lot/72732780", "ЭА № 45951/19 - Оказание услуг по организации готового горячего питания для воспитанников краевого государственного казенного учреждения для детей-сирот и детей, оставшихся без попечения родителей ""Норильский детский дом""")</f>
        <v>ЭА № 45951/19 - Оказание услуг по организации готового горячего питания для воспитанников краевого государственного казенного учреждения для детей-сирот и детей, оставшихся без попечения родителей "Норильский детский дом"</v>
      </c>
      <c r="G7838" s="22" t="s">
        <v>281</v>
      </c>
      <c r="H7838" s="22" t="s">
        <v>3025</v>
      </c>
      <c r="I7838" s="26">
        <v>43689.584560185198</v>
      </c>
      <c r="J7838" s="23" t="str">
        <f>HYPERLINK("https://www.spark-marketing.ru/Card/Person/450898", "ООО ""СЕВЕРНЫЙ ПРОЕКТ""")</f>
        <v>ООО "СЕВЕРНЫЙ ПРОЕКТ"</v>
      </c>
      <c r="K7838" s="24" t="s">
        <v>11603</v>
      </c>
      <c r="L7838" s="22" t="s">
        <v>10</v>
      </c>
      <c r="M7838" s="28" t="s">
        <v>51</v>
      </c>
      <c r="N7838" s="28" t="s">
        <v>51</v>
      </c>
    </row>
    <row r="7839" spans="1:14" x14ac:dyDescent="0.15">
      <c r="A7839" s="23" t="str">
        <f>HYPERLINK("https://www.spark-marketing.ru/Card/Person/103732", "ЧЕЛЯБИНСКАЯ ТАМОЖНЯ")</f>
        <v>ЧЕЛЯБИНСКАЯ ТАМОЖНЯ</v>
      </c>
      <c r="B7839" s="24" t="s">
        <v>8245</v>
      </c>
      <c r="C7839" s="25">
        <v>1064587.32</v>
      </c>
      <c r="D7839" s="22" t="s">
        <v>11604</v>
      </c>
      <c r="E7839" s="22" t="s">
        <v>898</v>
      </c>
      <c r="F7839" s="23" t="str">
        <f>HYPERLINK("https://www.spark-marketing.ru/Card/Lot/72737025", "Восстановление работоспособности системы бесперебойного гарантированного электроснабжения Челябинского таможенного поста с заменой вышедшего из строя оборудования (источника бесперебойного питания) с подключением дизель-генераторной установки")</f>
        <v>Восстановление работоспособности системы бесперебойного гарантированного электроснабжения Челябинского таможенного поста с заменой вышедшего из строя оборудования (источника бесперебойного питания) с подключением дизель-генераторной установки</v>
      </c>
      <c r="G7839" s="22" t="s">
        <v>469</v>
      </c>
      <c r="H7839" s="22" t="s">
        <v>469</v>
      </c>
      <c r="I7839" s="26">
        <v>43689.592523148101</v>
      </c>
      <c r="J7839" s="28" t="s">
        <v>51</v>
      </c>
      <c r="K7839" s="28" t="s">
        <v>51</v>
      </c>
      <c r="L7839" s="28" t="s">
        <v>51</v>
      </c>
      <c r="M7839" s="28" t="s">
        <v>51</v>
      </c>
      <c r="N7839" s="28" t="s">
        <v>51</v>
      </c>
    </row>
    <row r="7840" spans="1:14" x14ac:dyDescent="0.15">
      <c r="A7840" s="23" t="str">
        <f>HYPERLINK("https://www.spark-marketing.ru/Card/Person/1692792", "УМВД РОССИИ ПО ХАБАРОВСКОМУ КРАЮ")</f>
        <v>УМВД РОССИИ ПО ХАБАРОВСКОМУ КРАЮ</v>
      </c>
      <c r="B7840" s="24" t="s">
        <v>7435</v>
      </c>
      <c r="C7840" s="25">
        <v>1370000</v>
      </c>
      <c r="D7840" s="22" t="s">
        <v>11605</v>
      </c>
      <c r="E7840" s="22" t="s">
        <v>48</v>
      </c>
      <c r="F7840" s="23" t="str">
        <f>HYPERLINK("https://www.spark-marketing.ru/Card/Lot/72723630", "Оказание услуг по организации питания иностранных граждан, содержащихся в ЦВСИГ УМВД России по Хабаровскому краю.")</f>
        <v>Оказание услуг по организации питания иностранных граждан, содержащихся в ЦВСИГ УМВД России по Хабаровскому краю.</v>
      </c>
      <c r="G7840" s="22" t="s">
        <v>1096</v>
      </c>
      <c r="H7840" s="22" t="s">
        <v>1096</v>
      </c>
      <c r="I7840" s="26">
        <v>43689.597743055601</v>
      </c>
      <c r="J7840" s="28" t="s">
        <v>51</v>
      </c>
      <c r="K7840" s="28" t="s">
        <v>51</v>
      </c>
      <c r="L7840" s="28" t="s">
        <v>51</v>
      </c>
      <c r="M7840" s="28" t="s">
        <v>51</v>
      </c>
      <c r="N7840" s="28" t="s">
        <v>51</v>
      </c>
    </row>
    <row r="7841" spans="1:14" x14ac:dyDescent="0.15">
      <c r="A7841" s="23" t="str">
        <f>HYPERLINK("https://www.spark-marketing.ru/Card/Person/817619", "ОМВД РОССИИ ПО АЛДАНСКОМУ РАЙОНУ")</f>
        <v>ОМВД РОССИИ ПО АЛДАНСКОМУ РАЙОНУ</v>
      </c>
      <c r="B7841" s="24" t="s">
        <v>913</v>
      </c>
      <c r="C7841" s="25">
        <v>650000</v>
      </c>
      <c r="D7841" s="22" t="s">
        <v>11606</v>
      </c>
      <c r="E7841" s="22" t="s">
        <v>48</v>
      </c>
      <c r="F7841" s="23" t="str">
        <f>HYPERLINK("https://www.spark-marketing.ru/Card/Lot/72722346", "оказание услуг по приготовлению и обеспечению горячим питанием лиц, подвергнутых административному аресту находящихся в спец. приемнике отдела МВД России по Алданскому району")</f>
        <v>оказание услуг по приготовлению и обеспечению горячим питанием лиц, подвергнутых административному аресту находящихся в спец. приемнике отдела МВД России по Алданскому району</v>
      </c>
      <c r="G7841" s="22" t="s">
        <v>241</v>
      </c>
      <c r="H7841" s="22" t="s">
        <v>915</v>
      </c>
      <c r="I7841" s="26">
        <v>43689.551435185203</v>
      </c>
      <c r="J7841" s="28" t="s">
        <v>51</v>
      </c>
      <c r="K7841" s="28" t="s">
        <v>51</v>
      </c>
      <c r="L7841" s="28" t="s">
        <v>51</v>
      </c>
      <c r="M7841" s="28" t="s">
        <v>51</v>
      </c>
      <c r="N7841" s="28" t="s">
        <v>51</v>
      </c>
    </row>
    <row r="7842" spans="1:14" x14ac:dyDescent="0.15">
      <c r="A7842" s="23" t="str">
        <f>HYPERLINK("https://www.spark-marketing.ru/Card/Person/120059", "МЕЖМУНИЦИПАЛЬНЫЙ ОТДЕЛ МВД РОССИИ ""КЫШТЫМСКИЙ"" ЧЕЛЯБИНСКОЙ ОБЛАСТИ")</f>
        <v>МЕЖМУНИЦИПАЛЬНЫЙ ОТДЕЛ МВД РОССИИ "КЫШТЫМСКИЙ" ЧЕЛЯБИНСКОЙ ОБЛАСТИ</v>
      </c>
      <c r="B7842" s="24" t="s">
        <v>2730</v>
      </c>
      <c r="C7842" s="25">
        <v>1416000</v>
      </c>
      <c r="D7842" s="22" t="s">
        <v>11607</v>
      </c>
      <c r="E7842" s="22" t="s">
        <v>96</v>
      </c>
      <c r="F7842" s="23" t="str">
        <f>HYPERLINK("https://www.spark-marketing.ru/Card/Lot/72737127", "услуги по обеспечению горячим трёхразовым питанием лиц, содержащихся в ИВС")</f>
        <v>услуги по обеспечению горячим трёхразовым питанием лиц, содержащихся в ИВС</v>
      </c>
      <c r="G7842" s="22" t="s">
        <v>469</v>
      </c>
      <c r="H7842" s="22" t="s">
        <v>2732</v>
      </c>
      <c r="I7842" s="26">
        <v>43689.599467592598</v>
      </c>
      <c r="J7842" s="28" t="s">
        <v>51</v>
      </c>
      <c r="K7842" s="28" t="s">
        <v>51</v>
      </c>
      <c r="L7842" s="28" t="s">
        <v>51</v>
      </c>
      <c r="M7842" s="28" t="s">
        <v>51</v>
      </c>
      <c r="N7842" s="28" t="s">
        <v>51</v>
      </c>
    </row>
    <row r="7843" spans="1:14" x14ac:dyDescent="0.15">
      <c r="A7843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43" s="24" t="s">
        <v>11550</v>
      </c>
      <c r="C7843" s="25">
        <v>20000</v>
      </c>
      <c r="D7843" s="22" t="s">
        <v>11608</v>
      </c>
      <c r="E7843" s="22" t="s">
        <v>48</v>
      </c>
      <c r="F7843" s="23" t="str">
        <f>HYPERLINK("https://www.spark-marketing.ru/Card/Lot/72725326",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43" s="22" t="s">
        <v>1096</v>
      </c>
      <c r="H7843" s="22" t="s">
        <v>10413</v>
      </c>
      <c r="I7843" s="26">
        <v>43689.616759259297</v>
      </c>
      <c r="J7843" s="23" t="str">
        <f>HYPERLINK("https://www.spark-marketing.ru/Card/Person/499087", "МБОУ СОШ П. ДУРМИН")</f>
        <v>МБОУ СОШ П. ДУРМИН</v>
      </c>
      <c r="K7843" s="24" t="s">
        <v>11609</v>
      </c>
      <c r="L7843" s="22" t="s">
        <v>10</v>
      </c>
      <c r="M7843" s="28" t="s">
        <v>51</v>
      </c>
      <c r="N7843" s="28" t="s">
        <v>51</v>
      </c>
    </row>
    <row r="7844" spans="1:14" collapsed="1" x14ac:dyDescent="0.15">
      <c r="A7844" s="23" t="str">
        <f>HYPERLINK("https://www.spark-marketing.ru/Card/Person/53695", "УМВД РОССИИ ПО СЕРГИЕВО-ПОСАДСКОМУ РАЙОНУ")</f>
        <v>УМВД РОССИИ ПО СЕРГИЕВО-ПОСАДСКОМУ РАЙОНУ</v>
      </c>
      <c r="B7844" s="24" t="s">
        <v>11610</v>
      </c>
      <c r="C7844" s="25">
        <v>2208360</v>
      </c>
      <c r="D7844" s="22" t="s">
        <v>11611</v>
      </c>
      <c r="E7844" s="22" t="s">
        <v>48</v>
      </c>
      <c r="F7844" s="23" t="str">
        <f>HYPERLINK("https://www.spark-marketing.ru/Card/Lot/72740073", "Оказание услуг по питанию граждан для нужд УМВД России по Сергиево-Посадскому району")</f>
        <v>Оказание услуг по питанию граждан для нужд УМВД России по Сергиево-Посадскому району</v>
      </c>
      <c r="G7844" s="22" t="s">
        <v>49</v>
      </c>
      <c r="H7844" s="22" t="s">
        <v>49</v>
      </c>
      <c r="I7844" s="26">
        <v>43689.431238425903</v>
      </c>
      <c r="J7844" s="28" t="s">
        <v>51</v>
      </c>
      <c r="K7844" s="28" t="s">
        <v>51</v>
      </c>
      <c r="L7844" s="28" t="s">
        <v>51</v>
      </c>
      <c r="M7844" s="28" t="s">
        <v>51</v>
      </c>
      <c r="N7844" s="28" t="s">
        <v>51</v>
      </c>
    </row>
    <row r="7845" spans="1:14" ht="12.75" hidden="1" outlineLevel="1" x14ac:dyDescent="0.2">
      <c r="A7845" s="23" t="str">
        <f>HYPERLINK("https://www.spark-marketing.ru/Card/Person/53695", "УМВД РОССИИ ПО СЕРГИЕВО-ПОСАДСКОМУ РАЙОНУ")</f>
        <v>УМВД РОССИИ ПО СЕРГИЕВО-ПОСАДСКОМУ РАЙОНУ</v>
      </c>
      <c r="B7845" s="24" t="s">
        <v>11610</v>
      </c>
      <c r="C7845" s="25">
        <v>2208360</v>
      </c>
      <c r="D7845" s="22" t="s">
        <v>11611</v>
      </c>
      <c r="E7845" s="22" t="s">
        <v>48</v>
      </c>
      <c r="F7845" s="23" t="str">
        <f>HYPERLINK("https://www.spark-marketing.ru/Card/Lot/72740073", "Оказание услуг по питанию граждан для нужд УМВД России по Сергиево-Посадскому району")</f>
        <v>Оказание услуг по питанию граждан для нужд УМВД России по Сергиево-Посадскому району</v>
      </c>
      <c r="G7845" s="22" t="s">
        <v>49</v>
      </c>
      <c r="H7845" s="22" t="s">
        <v>49</v>
      </c>
      <c r="I7845" s="26">
        <v>43689.431238425903</v>
      </c>
      <c r="J7845" s="23" t="str">
        <f>HYPERLINK("https://www.spark-marketing.ru/Card/Person/6075868", "Королев Борис Борисович")</f>
        <v>Королев Борис Борисович</v>
      </c>
      <c r="K7845" s="24" t="s">
        <v>11612</v>
      </c>
      <c r="L7845" s="22" t="s">
        <v>10</v>
      </c>
      <c r="M7845" s="25">
        <v>291.39999999999998</v>
      </c>
      <c r="N7845" s="27">
        <v>0.99986804687641506</v>
      </c>
    </row>
    <row r="7846" spans="1:14" hidden="1" outlineLevel="1" x14ac:dyDescent="0.2">
      <c r="A7846" s="23" t="str">
        <f>HYPERLINK("https://www.spark-marketing.ru/Card/Person/53695", "УМВД РОССИИ ПО СЕРГИЕВО-ПОСАДСКОМУ РАЙОНУ")</f>
        <v>УМВД РОССИИ ПО СЕРГИЕВО-ПОСАДСКОМУ РАЙОНУ</v>
      </c>
      <c r="B7846" s="24" t="s">
        <v>11610</v>
      </c>
      <c r="C7846" s="25">
        <v>2208360</v>
      </c>
      <c r="D7846" s="22" t="s">
        <v>11611</v>
      </c>
      <c r="E7846" s="22" t="s">
        <v>48</v>
      </c>
      <c r="F7846" s="23" t="str">
        <f>HYPERLINK("https://www.spark-marketing.ru/Card/Lot/72740073", "Оказание услуг по питанию граждан для нужд УМВД России по Сергиево-Посадскому району")</f>
        <v>Оказание услуг по питанию граждан для нужд УМВД России по Сергиево-Посадскому району</v>
      </c>
      <c r="G7846" s="22" t="s">
        <v>49</v>
      </c>
      <c r="H7846" s="22" t="s">
        <v>49</v>
      </c>
      <c r="I7846" s="26">
        <v>43689.431238425903</v>
      </c>
      <c r="J7846" s="23" t="str">
        <f>HYPERLINK("https://www.spark-marketing.ru/Card/Person/115242", "Башмаков Николай Николаевич")</f>
        <v>Башмаков Николай Николаевич</v>
      </c>
      <c r="K7846" s="24" t="s">
        <v>5812</v>
      </c>
      <c r="L7846" s="28" t="s">
        <v>51</v>
      </c>
      <c r="M7846" s="25">
        <v>292.95</v>
      </c>
      <c r="N7846" s="27">
        <v>0.99986734499809815</v>
      </c>
    </row>
    <row r="7847" spans="1:14" x14ac:dyDescent="0.15">
      <c r="A7847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47" s="24" t="s">
        <v>11550</v>
      </c>
      <c r="C7847" s="25">
        <v>30000</v>
      </c>
      <c r="D7847" s="22" t="s">
        <v>11613</v>
      </c>
      <c r="E7847" s="22" t="s">
        <v>48</v>
      </c>
      <c r="F7847" s="23" t="str">
        <f>HYPERLINK("https://www.spark-marketing.ru/Card/Lot/72725024",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47" s="22" t="s">
        <v>1096</v>
      </c>
      <c r="H7847" s="22" t="s">
        <v>10413</v>
      </c>
      <c r="I7847" s="26">
        <v>43689.6196180556</v>
      </c>
      <c r="J7847" s="23" t="str">
        <f>HYPERLINK("https://www.spark-marketing.ru/Card/Person/495501", "МБОУ СОШ С. СВЯТОГОРЬЕ")</f>
        <v>МБОУ СОШ С. СВЯТОГОРЬЕ</v>
      </c>
      <c r="K7847" s="24" t="s">
        <v>11614</v>
      </c>
      <c r="L7847" s="22" t="s">
        <v>10</v>
      </c>
      <c r="M7847" s="28" t="s">
        <v>51</v>
      </c>
      <c r="N7847" s="28" t="s">
        <v>51</v>
      </c>
    </row>
    <row r="7848" spans="1:14" x14ac:dyDescent="0.15">
      <c r="A7848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48" s="24" t="s">
        <v>11550</v>
      </c>
      <c r="C7848" s="25">
        <v>20000</v>
      </c>
      <c r="D7848" s="22" t="s">
        <v>11615</v>
      </c>
      <c r="E7848" s="22" t="s">
        <v>48</v>
      </c>
      <c r="F7848" s="23" t="str">
        <f>HYPERLINK("https://www.spark-marketing.ru/Card/Lot/72724501",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48" s="22" t="s">
        <v>1096</v>
      </c>
      <c r="H7848" s="22" t="s">
        <v>10413</v>
      </c>
      <c r="I7848" s="26">
        <v>43689.621203703697</v>
      </c>
      <c r="J7848" s="23" t="str">
        <f>HYPERLINK("https://www.spark-marketing.ru/Card/Person/489510", "МБОУ ООШ С. ГРОДЕКОВО")</f>
        <v>МБОУ ООШ С. ГРОДЕКОВО</v>
      </c>
      <c r="K7848" s="24" t="s">
        <v>11616</v>
      </c>
      <c r="L7848" s="22" t="s">
        <v>10</v>
      </c>
      <c r="M7848" s="28" t="s">
        <v>51</v>
      </c>
      <c r="N7848" s="28" t="s">
        <v>51</v>
      </c>
    </row>
    <row r="7849" spans="1:14" x14ac:dyDescent="0.15">
      <c r="A7849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49" s="24" t="s">
        <v>11550</v>
      </c>
      <c r="C7849" s="25">
        <v>20000</v>
      </c>
      <c r="D7849" s="22" t="s">
        <v>11617</v>
      </c>
      <c r="E7849" s="22" t="s">
        <v>48</v>
      </c>
      <c r="F7849" s="23" t="str">
        <f>HYPERLINK("https://www.spark-marketing.ru/Card/Lot/72725327",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49" s="22" t="s">
        <v>1096</v>
      </c>
      <c r="H7849" s="22" t="s">
        <v>10413</v>
      </c>
      <c r="I7849" s="26">
        <v>43689.618923611102</v>
      </c>
      <c r="J7849" s="23" t="str">
        <f>HYPERLINK("https://www.spark-marketing.ru/Card/Person/495502", "МБОУ СОШ П. СИДИМА")</f>
        <v>МБОУ СОШ П. СИДИМА</v>
      </c>
      <c r="K7849" s="24" t="s">
        <v>11618</v>
      </c>
      <c r="L7849" s="22" t="s">
        <v>10</v>
      </c>
      <c r="M7849" s="28" t="s">
        <v>51</v>
      </c>
      <c r="N7849" s="28" t="s">
        <v>51</v>
      </c>
    </row>
    <row r="7850" spans="1:14" x14ac:dyDescent="0.15">
      <c r="A7850" s="23" t="str">
        <f>HYPERLINK("https://www.spark-marketing.ru/Card/Person/1028471", "КГКУ ""ЦЕНТР СОЦИАЛЬНОЙ ПОДДЕРЖКИ НАСЕЛЕНИЯ ПО РАЙОНУ ИМЕНИ ЛАЗО""")</f>
        <v>КГКУ "ЦЕНТР СОЦИАЛЬНОЙ ПОДДЕРЖКИ НАСЕЛЕНИЯ ПО РАЙОНУ ИМЕНИ ЛАЗО"</v>
      </c>
      <c r="B7850" s="24" t="s">
        <v>11550</v>
      </c>
      <c r="C7850" s="25">
        <v>20000</v>
      </c>
      <c r="D7850" s="22" t="s">
        <v>11619</v>
      </c>
      <c r="E7850" s="22" t="s">
        <v>48</v>
      </c>
      <c r="F7850" s="23" t="str">
        <f>HYPERLINK("https://www.spark-marketing.ru/Card/Lot/72725328", "Оказание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(служеб...")</f>
        <v>Оказание услуг по организации питания в оздоровительном лагере с дневным пребыванием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 (служеб...</v>
      </c>
      <c r="G7850" s="22" t="s">
        <v>1096</v>
      </c>
      <c r="H7850" s="22" t="s">
        <v>1096</v>
      </c>
      <c r="I7850" s="26">
        <v>43689.620312500003</v>
      </c>
      <c r="J7850" s="23" t="str">
        <f>HYPERLINK("https://www.spark-marketing.ru/Card/Person/1078605", "МБОУ СОШ П. ОБОР ИМ. Е.А. ДИКОПОЛЬЦЕВА")</f>
        <v>МБОУ СОШ П. ОБОР ИМ. Е.А. ДИКОПОЛЬЦЕВА</v>
      </c>
      <c r="K7850" s="24" t="s">
        <v>11620</v>
      </c>
      <c r="L7850" s="22" t="s">
        <v>10</v>
      </c>
      <c r="M7850" s="28" t="s">
        <v>51</v>
      </c>
      <c r="N7850" s="28" t="s">
        <v>51</v>
      </c>
    </row>
    <row r="7851" spans="1:14" collapsed="1" x14ac:dyDescent="0.15">
      <c r="A7851" s="23" t="str">
        <f>HYPERLINK("https://www.spark-marketing.ru/Card/Person/68947", "УМВД РОССИИ ПО Г. ЙОШКАР-ОЛЕ")</f>
        <v>УМВД РОССИИ ПО Г. ЙОШКАР-ОЛЕ</v>
      </c>
      <c r="B7851" s="24" t="s">
        <v>9602</v>
      </c>
      <c r="C7851" s="25">
        <v>1370770</v>
      </c>
      <c r="D7851" s="22" t="s">
        <v>11621</v>
      </c>
      <c r="E7851" s="22" t="s">
        <v>96</v>
      </c>
      <c r="F7851" s="23" t="str">
        <f>HYPERLINK("https://www.spark-marketing.ru/Card/Lot/72741861", "Услуги по обеспечению питанием")</f>
        <v>Услуги по обеспечению питанием</v>
      </c>
      <c r="G7851" s="22" t="s">
        <v>3249</v>
      </c>
      <c r="H7851" s="22" t="s">
        <v>3250</v>
      </c>
      <c r="I7851" s="26">
        <v>43689.610509259299</v>
      </c>
      <c r="J7851" s="28" t="s">
        <v>51</v>
      </c>
      <c r="K7851" s="28" t="s">
        <v>51</v>
      </c>
      <c r="L7851" s="28" t="s">
        <v>51</v>
      </c>
      <c r="M7851" s="28" t="s">
        <v>51</v>
      </c>
      <c r="N7851" s="28" t="s">
        <v>51</v>
      </c>
    </row>
    <row r="7852" spans="1:14" ht="12.75" hidden="1" outlineLevel="1" x14ac:dyDescent="0.2">
      <c r="A7852" s="23" t="str">
        <f>HYPERLINK("https://www.spark-marketing.ru/Card/Person/68947", "УМВД РОССИИ ПО Г. ЙОШКАР-ОЛЕ")</f>
        <v>УМВД РОССИИ ПО Г. ЙОШКАР-ОЛЕ</v>
      </c>
      <c r="B7852" s="24" t="s">
        <v>9602</v>
      </c>
      <c r="C7852" s="25">
        <v>1370770</v>
      </c>
      <c r="D7852" s="22" t="s">
        <v>11621</v>
      </c>
      <c r="E7852" s="22" t="s">
        <v>96</v>
      </c>
      <c r="F7852" s="23" t="str">
        <f>HYPERLINK("https://www.spark-marketing.ru/Card/Lot/72741861", "Услуги по обеспечению питанием")</f>
        <v>Услуги по обеспечению питанием</v>
      </c>
      <c r="G7852" s="22" t="s">
        <v>3249</v>
      </c>
      <c r="H7852" s="22" t="s">
        <v>3250</v>
      </c>
      <c r="I7852" s="26">
        <v>43689.610509259299</v>
      </c>
      <c r="J7852" s="23" t="str">
        <f>HYPERLINK("https://www.spark-marketing.ru/Card/Person/4441248", "Шалагина Марина Александровна")</f>
        <v>Шалагина Марина Александровна</v>
      </c>
      <c r="K7852" s="24" t="s">
        <v>9455</v>
      </c>
      <c r="L7852" s="22" t="s">
        <v>10</v>
      </c>
      <c r="M7852" s="25">
        <v>1035438.15</v>
      </c>
      <c r="N7852" s="27">
        <v>0.24463028079108823</v>
      </c>
    </row>
    <row r="7853" spans="1:14" hidden="1" outlineLevel="1" x14ac:dyDescent="0.2">
      <c r="A7853" s="23" t="str">
        <f>HYPERLINK("https://www.spark-marketing.ru/Card/Person/68947", "УМВД РОССИИ ПО Г. ЙОШКАР-ОЛЕ")</f>
        <v>УМВД РОССИИ ПО Г. ЙОШКАР-ОЛЕ</v>
      </c>
      <c r="B7853" s="24" t="s">
        <v>9602</v>
      </c>
      <c r="C7853" s="25">
        <v>1370770</v>
      </c>
      <c r="D7853" s="22" t="s">
        <v>11621</v>
      </c>
      <c r="E7853" s="22" t="s">
        <v>96</v>
      </c>
      <c r="F7853" s="23" t="str">
        <f>HYPERLINK("https://www.spark-marketing.ru/Card/Lot/72741861", "Услуги по обеспечению питанием")</f>
        <v>Услуги по обеспечению питанием</v>
      </c>
      <c r="G7853" s="22" t="s">
        <v>3249</v>
      </c>
      <c r="H7853" s="22" t="s">
        <v>3250</v>
      </c>
      <c r="I7853" s="26">
        <v>43689.610509259299</v>
      </c>
      <c r="J7853" s="23" t="str">
        <f>HYPERLINK("https://www.spark-marketing.ru/Card/Person/2503411", "ООО ""МЦ""")</f>
        <v>ООО "МЦ"</v>
      </c>
      <c r="K7853" s="24" t="s">
        <v>9454</v>
      </c>
      <c r="L7853" s="28" t="s">
        <v>51</v>
      </c>
      <c r="M7853" s="25">
        <v>1042292</v>
      </c>
      <c r="N7853" s="27">
        <v>0.23963028079108822</v>
      </c>
    </row>
    <row r="7854" spans="1:14" x14ac:dyDescent="0.15">
      <c r="A7854" s="23" t="str">
        <f>HYPERLINK("https://www.spark-marketing.ru/Card/Person/111494", "МБОУ ""СОШ №11""")</f>
        <v>МБОУ "СОШ №11"</v>
      </c>
      <c r="B7854" s="24" t="s">
        <v>1183</v>
      </c>
      <c r="C7854" s="25">
        <v>589082.07999999996</v>
      </c>
      <c r="D7854" s="22" t="s">
        <v>11622</v>
      </c>
      <c r="E7854" s="22" t="s">
        <v>48</v>
      </c>
      <c r="F7854" s="23" t="str">
        <f>HYPERLINK("https://www.spark-marketing.ru/Card/Lot/72733087", "Оказание услуг по организации питания обучающихся в МБОУ ""Средняя общеобразовательная школа №11""")</f>
        <v>Оказание услуг по организации питания обучающихся в МБОУ "Средняя общеобразовательная школа №11"</v>
      </c>
      <c r="G7854" s="22" t="s">
        <v>49</v>
      </c>
      <c r="H7854" s="22" t="s">
        <v>1185</v>
      </c>
      <c r="I7854" s="26">
        <v>43689.575937499998</v>
      </c>
      <c r="J7854" s="28" t="s">
        <v>51</v>
      </c>
      <c r="K7854" s="28" t="s">
        <v>51</v>
      </c>
      <c r="L7854" s="28" t="s">
        <v>51</v>
      </c>
      <c r="M7854" s="28" t="s">
        <v>51</v>
      </c>
      <c r="N7854" s="28" t="s">
        <v>51</v>
      </c>
    </row>
    <row r="7855" spans="1:14" collapsed="1" x14ac:dyDescent="0.15">
      <c r="A7855" s="23" t="str">
        <f>HYPERLINK("https://www.spark-marketing.ru/Card/Person/188185", "ОТДЕЛ МВД РОССИИ ПО УСПЕНСКОМУ РАЙОНУ")</f>
        <v>ОТДЕЛ МВД РОССИИ ПО УСПЕНСКОМУ РАЙОНУ</v>
      </c>
      <c r="B7855" s="24" t="s">
        <v>6005</v>
      </c>
      <c r="C7855" s="25">
        <v>673000</v>
      </c>
      <c r="D7855" s="22" t="s">
        <v>11623</v>
      </c>
      <c r="E7855" s="22" t="s">
        <v>48</v>
      </c>
      <c r="F7855" s="23" t="str">
        <f>HYPERLINK("https://www.spark-marketing.ru/Card/Lot/72740995", "питание ивс и сп")</f>
        <v>питание ивс и сп</v>
      </c>
      <c r="G7855" s="22" t="s">
        <v>104</v>
      </c>
      <c r="H7855" s="22" t="s">
        <v>104</v>
      </c>
      <c r="I7855" s="26">
        <v>43689.575497685197</v>
      </c>
      <c r="J7855" s="23" t="str">
        <f>HYPERLINK("https://www.spark-marketing.ru/Card/Person/5972284", "Костырин Алексей Михайлович")</f>
        <v>Костырин Алексей Михайлович</v>
      </c>
      <c r="K7855" s="24" t="s">
        <v>3202</v>
      </c>
      <c r="L7855" s="28" t="s">
        <v>51</v>
      </c>
      <c r="M7855" s="28" t="s">
        <v>51</v>
      </c>
      <c r="N7855" s="28" t="s">
        <v>51</v>
      </c>
    </row>
    <row r="7856" spans="1:14" hidden="1" outlineLevel="1" x14ac:dyDescent="0.15">
      <c r="A7856" s="23" t="str">
        <f>HYPERLINK("https://www.spark-marketing.ru/Card/Person/188185", "ОТДЕЛ МВД РОССИИ ПО УСПЕНСКОМУ РАЙОНУ")</f>
        <v>ОТДЕЛ МВД РОССИИ ПО УСПЕНСКОМУ РАЙОНУ</v>
      </c>
      <c r="B7856" s="24" t="s">
        <v>6005</v>
      </c>
      <c r="C7856" s="25">
        <v>673000</v>
      </c>
      <c r="D7856" s="22" t="s">
        <v>11623</v>
      </c>
      <c r="E7856" s="22" t="s">
        <v>48</v>
      </c>
      <c r="F7856" s="23" t="str">
        <f>HYPERLINK("https://www.spark-marketing.ru/Card/Lot/72740995", "питание ивс и сп")</f>
        <v>питание ивс и сп</v>
      </c>
      <c r="G7856" s="22" t="s">
        <v>104</v>
      </c>
      <c r="H7856" s="22" t="s">
        <v>104</v>
      </c>
      <c r="I7856" s="26">
        <v>43689.575497685197</v>
      </c>
      <c r="J7856" s="23" t="str">
        <f>HYPERLINK("https://www.spark-marketing.ru/Card/Person/5972284", "Костырин Алексей Михайлович")</f>
        <v>Костырин Алексей Михайлович</v>
      </c>
      <c r="K7856" s="24" t="s">
        <v>3202</v>
      </c>
      <c r="L7856" s="22" t="s">
        <v>10</v>
      </c>
      <c r="M7856" s="28" t="s">
        <v>51</v>
      </c>
      <c r="N7856" s="28" t="s">
        <v>51</v>
      </c>
    </row>
    <row r="7857" spans="1:14" x14ac:dyDescent="0.15">
      <c r="A7857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7857" s="24" t="s">
        <v>4496</v>
      </c>
      <c r="C7857" s="25">
        <v>410000</v>
      </c>
      <c r="D7857" s="22" t="s">
        <v>11624</v>
      </c>
      <c r="E7857" s="22" t="s">
        <v>48</v>
      </c>
      <c r="F7857" s="23" t="str">
        <f>HYPERLINK("https://www.spark-marketing.ru/Card/Lot/72736353", "Обеспечение горячим питанием арестованных и задержанных")</f>
        <v>Обеспечение горячим питанием арестованных и задержанных</v>
      </c>
      <c r="G7857" s="22" t="s">
        <v>469</v>
      </c>
      <c r="H7857" s="22" t="s">
        <v>469</v>
      </c>
      <c r="I7857" s="26">
        <v>43689.5722916667</v>
      </c>
      <c r="J7857" s="28" t="s">
        <v>51</v>
      </c>
      <c r="K7857" s="28" t="s">
        <v>51</v>
      </c>
      <c r="L7857" s="28" t="s">
        <v>51</v>
      </c>
      <c r="M7857" s="28" t="s">
        <v>51</v>
      </c>
      <c r="N7857" s="28" t="s">
        <v>51</v>
      </c>
    </row>
    <row r="7858" spans="1:14" x14ac:dyDescent="0.15">
      <c r="A7858" s="23" t="str">
        <f>HYPERLINK("https://www.spark-marketing.ru/Card/Person/4224", "ГКУ НСО ""НОВОСИБОБЛФАРМ""")</f>
        <v>ГКУ НСО "НОВОСИБОБЛФАРМ"</v>
      </c>
      <c r="B7858" s="24" t="s">
        <v>11625</v>
      </c>
      <c r="C7858" s="25">
        <v>11700</v>
      </c>
      <c r="D7858" s="22" t="s">
        <v>11626</v>
      </c>
      <c r="E7858" s="22" t="s">
        <v>11627</v>
      </c>
      <c r="F7858" s="23" t="str">
        <f>HYPERLINK("https://www.spark-marketing.ru/Card/Lot/72724918", "Оказание услуг по приему, хранению и отпуску лекарственных препаратов для медицинского применения, медицинских изделий, а также специализированных продуктов лечебного питания по бесплатным и льготным рецептам гражданам, имеющим право на льготное лека...")</f>
        <v>Оказание услуг по приему, хранению и отпуску лекарственных препаратов для медицинского применения, медицинских изделий, а также специализированных продуктов лечебного питания по бесплатным и льготным рецептам гражданам, имеющим право на льготное лека...</v>
      </c>
      <c r="G7858" s="22" t="s">
        <v>195</v>
      </c>
      <c r="H7858" s="22" t="s">
        <v>196</v>
      </c>
      <c r="I7858" s="26">
        <v>43689.568055555603</v>
      </c>
      <c r="J7858" s="28" t="s">
        <v>51</v>
      </c>
      <c r="K7858" s="28" t="s">
        <v>51</v>
      </c>
      <c r="L7858" s="28" t="s">
        <v>51</v>
      </c>
      <c r="M7858" s="28" t="s">
        <v>51</v>
      </c>
      <c r="N7858" s="28" t="s">
        <v>51</v>
      </c>
    </row>
    <row r="7859" spans="1:14" x14ac:dyDescent="0.15">
      <c r="A7859" s="23" t="str">
        <f>HYPERLINK("https://www.spark-marketing.ru/Card/Person/4224", "ГКУ НСО ""НОВОСИБОБЛФАРМ""")</f>
        <v>ГКУ НСО "НОВОСИБОБЛФАРМ"</v>
      </c>
      <c r="B7859" s="24" t="s">
        <v>11625</v>
      </c>
      <c r="C7859" s="25">
        <v>46800</v>
      </c>
      <c r="D7859" s="22" t="s">
        <v>11628</v>
      </c>
      <c r="E7859" s="22" t="s">
        <v>11627</v>
      </c>
      <c r="F7859" s="23" t="str">
        <f>HYPERLINK("https://www.spark-marketing.ru/Card/Lot/72724919", "Оказание услуг по приему, хранению и отпуску лекарственных препаратов для медицинского применения, медицинских изделий, а также специализированных продуктов лечебного питания по бесплатным и льготным рецептам гражданам, имеющим право на льготное лека...")</f>
        <v>Оказание услуг по приему, хранению и отпуску лекарственных препаратов для медицинского применения, медицинских изделий, а также специализированных продуктов лечебного питания по бесплатным и льготным рецептам гражданам, имеющим право на льготное лека...</v>
      </c>
      <c r="G7859" s="22" t="s">
        <v>195</v>
      </c>
      <c r="H7859" s="22" t="s">
        <v>196</v>
      </c>
      <c r="I7859" s="26">
        <v>43689.568055555603</v>
      </c>
      <c r="J7859" s="28" t="s">
        <v>51</v>
      </c>
      <c r="K7859" s="28" t="s">
        <v>51</v>
      </c>
      <c r="L7859" s="28" t="s">
        <v>51</v>
      </c>
      <c r="M7859" s="28" t="s">
        <v>51</v>
      </c>
      <c r="N7859" s="28" t="s">
        <v>51</v>
      </c>
    </row>
    <row r="7860" spans="1:14" x14ac:dyDescent="0.2">
      <c r="A7860" s="23" t="str">
        <f>HYPERLINK("https://www.spark-marketing.ru/Card/Person/124868", "ГБОУ ""НАБЕРЕЖНОЧЕЛНИНСКАЯ ШКОЛА №67""")</f>
        <v>ГБОУ "НАБЕРЕЖНОЧЕЛНИНСКАЯ ШКОЛА №67"</v>
      </c>
      <c r="B7860" s="24" t="s">
        <v>11629</v>
      </c>
      <c r="C7860" s="25">
        <v>1167250</v>
      </c>
      <c r="D7860" s="22" t="s">
        <v>11630</v>
      </c>
      <c r="E7860" s="22" t="s">
        <v>48</v>
      </c>
      <c r="F7860" s="23" t="str">
        <f>HYPERLINK("https://www.spark-marketing.ru/Card/Lot/72733378", "оказание услуг по организации питания учащихся для нужд ГБОУ «Набережночелнинская школа №67 для детей с ограниченными возможностями здоровья»")</f>
        <v>оказание услуг по организации питания учащихся для нужд ГБОУ «Набережночелнинская школа №67 для детей с ограниченными возможностями здоровья»</v>
      </c>
      <c r="G7860" s="22" t="s">
        <v>217</v>
      </c>
      <c r="H7860" s="22" t="s">
        <v>217</v>
      </c>
      <c r="I7860" s="26">
        <v>43689.574999999997</v>
      </c>
      <c r="J7860" s="23" t="str">
        <f>HYPERLINK("https://www.spark-marketing.ru/Card/Person/87385", "ООО ""ШКОЛЬНОЕ ПИТАНИЕ""")</f>
        <v>ООО "ШКОЛЬНОЕ ПИТАНИЕ"</v>
      </c>
      <c r="K7860" s="24" t="s">
        <v>6356</v>
      </c>
      <c r="L7860" s="28" t="s">
        <v>51</v>
      </c>
      <c r="M7860" s="25">
        <v>1167250</v>
      </c>
      <c r="N7860" s="27">
        <v>0</v>
      </c>
    </row>
    <row r="7861" spans="1:14" x14ac:dyDescent="0.15">
      <c r="A7861" s="23" t="str">
        <f>HYPERLINK("https://www.spark-marketing.ru/Card/Person/56576", "МО МВД РОССИИ ""АПАТИТСКИЙ""")</f>
        <v>МО МВД РОССИИ "АПАТИТСКИЙ"</v>
      </c>
      <c r="B7861" s="24" t="s">
        <v>7499</v>
      </c>
      <c r="C7861" s="25">
        <v>660000</v>
      </c>
      <c r="D7861" s="22" t="s">
        <v>11631</v>
      </c>
      <c r="E7861" s="22" t="s">
        <v>48</v>
      </c>
      <c r="F7861" s="23" t="str">
        <f>HYPERLINK("https://www.spark-marketing.ru/Card/Lot/72739779", "Услуги питания (г. Кировск)")</f>
        <v>Услуги питания (г. Кировск)</v>
      </c>
      <c r="G7861" s="22" t="s">
        <v>340</v>
      </c>
      <c r="H7861" s="22" t="s">
        <v>11632</v>
      </c>
      <c r="I7861" s="26">
        <v>43689.566608796304</v>
      </c>
      <c r="J7861" s="23" t="str">
        <f>HYPERLINK("https://www.spark-marketing.ru/Card/Person/1387803", "ООО ""РЕСТО""")</f>
        <v>ООО "РЕСТО"</v>
      </c>
      <c r="K7861" s="24" t="s">
        <v>11483</v>
      </c>
      <c r="L7861" s="22" t="s">
        <v>10</v>
      </c>
      <c r="M7861" s="28" t="s">
        <v>51</v>
      </c>
      <c r="N7861" s="28" t="s">
        <v>51</v>
      </c>
    </row>
    <row r="7862" spans="1:14" collapsed="1" x14ac:dyDescent="0.15">
      <c r="A7862" s="23" t="str">
        <f>HYPERLINK("https://www.spark-marketing.ru/Card/Person/47948", "ГБУЗ НО ""НОПНБ № 3""")</f>
        <v>ГБУЗ НО "НОПНБ № 3"</v>
      </c>
      <c r="B7862" s="24" t="s">
        <v>11633</v>
      </c>
      <c r="C7862" s="25">
        <v>312895</v>
      </c>
      <c r="D7862" s="22" t="s">
        <v>11634</v>
      </c>
      <c r="E7862" s="22" t="s">
        <v>3809</v>
      </c>
      <c r="F7862" s="23" t="str">
        <f>HYPERLINK("https://www.spark-marketing.ru/Card/Lot/72733482", "Поставка продуктов питания")</f>
        <v>Поставка продуктов питания</v>
      </c>
      <c r="G7862" s="22" t="s">
        <v>76</v>
      </c>
      <c r="H7862" s="22" t="s">
        <v>76</v>
      </c>
      <c r="I7862" s="26">
        <v>43689.552268518499</v>
      </c>
      <c r="J7862" s="23" t="str">
        <f>HYPERLINK("https://www.spark-marketing.ru/Card/Person/1263972", "ООО ТД ""ДВИЖЕНИЕ НН""")</f>
        <v>ООО ТД "ДВИЖЕНИЕ НН"</v>
      </c>
      <c r="K7862" s="24" t="s">
        <v>11635</v>
      </c>
      <c r="L7862" s="28" t="s">
        <v>51</v>
      </c>
      <c r="M7862" s="28" t="s">
        <v>51</v>
      </c>
      <c r="N7862" s="28" t="s">
        <v>51</v>
      </c>
    </row>
    <row r="7863" spans="1:14" ht="12.75" hidden="1" outlineLevel="1" x14ac:dyDescent="0.2">
      <c r="A7863" s="23" t="str">
        <f>HYPERLINK("https://www.spark-marketing.ru/Card/Person/47948", "ГБУЗ НО ""НОПНБ № 3""")</f>
        <v>ГБУЗ НО "НОПНБ № 3"</v>
      </c>
      <c r="B7863" s="24" t="s">
        <v>11633</v>
      </c>
      <c r="C7863" s="25">
        <v>312895</v>
      </c>
      <c r="D7863" s="22" t="s">
        <v>11634</v>
      </c>
      <c r="E7863" s="22" t="s">
        <v>3809</v>
      </c>
      <c r="F7863" s="23" t="str">
        <f>HYPERLINK("https://www.spark-marketing.ru/Card/Lot/72733482", "Поставка продуктов питания")</f>
        <v>Поставка продуктов питания</v>
      </c>
      <c r="G7863" s="22" t="s">
        <v>76</v>
      </c>
      <c r="H7863" s="22" t="s">
        <v>76</v>
      </c>
      <c r="I7863" s="26">
        <v>43689.552268518499</v>
      </c>
      <c r="J7863" s="23" t="str">
        <f>HYPERLINK("https://www.spark-marketing.ru/Card/Person/1263972", "ООО ТД ""ДВИЖЕНИЕ НН""")</f>
        <v>ООО ТД "ДВИЖЕНИЕ НН"</v>
      </c>
      <c r="K7863" s="24" t="s">
        <v>11635</v>
      </c>
      <c r="L7863" s="22" t="s">
        <v>10</v>
      </c>
      <c r="M7863" s="25">
        <v>311330</v>
      </c>
      <c r="N7863" s="27">
        <v>5.0016778791607411E-3</v>
      </c>
    </row>
    <row r="7864" spans="1:14" collapsed="1" x14ac:dyDescent="0.2">
      <c r="A7864" s="23" t="s">
        <v>114</v>
      </c>
      <c r="B7864" s="28" t="s">
        <v>51</v>
      </c>
      <c r="C7864" s="25">
        <v>13639290</v>
      </c>
      <c r="D7864" s="22" t="s">
        <v>11636</v>
      </c>
      <c r="E7864" s="22" t="s">
        <v>48</v>
      </c>
      <c r="F7864" s="23" t="str">
        <f t="shared" ref="F7864:F7885" si="169">HYPERLINK("https://www.spark-marketing.ru/Card/Lot/72733216",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7864" s="22" t="s">
        <v>51</v>
      </c>
      <c r="H7864" s="22" t="s">
        <v>51</v>
      </c>
      <c r="I7864" s="26">
        <v>43689.557638888902</v>
      </c>
      <c r="J7864" s="23" t="str">
        <f t="shared" ref="J7864:J7885" si="170">HYPERLINK("https://www.spark-marketing.ru/Card/Person/280517", "МБУ ""ПРОМЖИЛСТРОЙТОРГ""")</f>
        <v>МБУ "ПРОМЖИЛСТРОЙТОРГ"</v>
      </c>
      <c r="K7864" s="24" t="s">
        <v>7515</v>
      </c>
      <c r="L7864" s="28" t="s">
        <v>51</v>
      </c>
      <c r="M7864" s="25">
        <v>13639290</v>
      </c>
      <c r="N7864" s="27">
        <v>0</v>
      </c>
    </row>
    <row r="7865" spans="1:14" hidden="1" outlineLevel="1" x14ac:dyDescent="0.2">
      <c r="A7865" s="23" t="str">
        <f>HYPERLINK("https://www.spark-marketing.ru/Card/Person/1070719", "МКОУ ""ПРОГИМНАЗИЯ №9 ""РУЧЕЕК""")</f>
        <v>МКОУ "ПРОГИМНАЗИЯ №9 "РУЧЕЕК"</v>
      </c>
      <c r="B7865" s="24" t="s">
        <v>11637</v>
      </c>
      <c r="C7865" s="25">
        <v>79500</v>
      </c>
      <c r="D7865" s="22" t="s">
        <v>11636</v>
      </c>
      <c r="E7865" s="22" t="s">
        <v>48</v>
      </c>
      <c r="F7865" s="23" t="str">
        <f t="shared" si="169"/>
        <v>Услуги по обеспечению питанием, осуществляемые по договору, прочие</v>
      </c>
      <c r="G7865" s="22" t="s">
        <v>1607</v>
      </c>
      <c r="H7865" s="22" t="s">
        <v>11638</v>
      </c>
      <c r="I7865" s="26">
        <v>43689.557638888902</v>
      </c>
      <c r="J7865" s="23" t="str">
        <f t="shared" si="170"/>
        <v>МБУ "ПРОМЖИЛСТРОЙТОРГ"</v>
      </c>
      <c r="K7865" s="24" t="s">
        <v>7515</v>
      </c>
      <c r="L7865" s="28" t="s">
        <v>51</v>
      </c>
      <c r="M7865" s="28" t="s">
        <v>51</v>
      </c>
      <c r="N7865" s="27">
        <v>0</v>
      </c>
    </row>
    <row r="7866" spans="1:14" hidden="1" outlineLevel="1" x14ac:dyDescent="0.2">
      <c r="A7866" s="23" t="str">
        <f>HYPERLINK("https://www.spark-marketing.ru/Card/Person/1071041", "МКОУ ПРОГИМНАЗИЯ №10 ""СКАЗКА""")</f>
        <v>МКОУ ПРОГИМНАЗИЯ №10 "СКАЗКА"</v>
      </c>
      <c r="B7866" s="24" t="s">
        <v>11639</v>
      </c>
      <c r="C7866" s="25">
        <v>488850</v>
      </c>
      <c r="D7866" s="22" t="s">
        <v>11636</v>
      </c>
      <c r="E7866" s="22" t="s">
        <v>48</v>
      </c>
      <c r="F7866" s="23" t="str">
        <f t="shared" si="169"/>
        <v>Услуги по обеспечению питанием, осуществляемые по договору, прочие</v>
      </c>
      <c r="G7866" s="22" t="s">
        <v>1607</v>
      </c>
      <c r="H7866" s="22" t="s">
        <v>11638</v>
      </c>
      <c r="I7866" s="26">
        <v>43689.557638888902</v>
      </c>
      <c r="J7866" s="23" t="str">
        <f t="shared" si="170"/>
        <v>МБУ "ПРОМЖИЛСТРОЙТОРГ"</v>
      </c>
      <c r="K7866" s="24" t="s">
        <v>7515</v>
      </c>
      <c r="L7866" s="28" t="s">
        <v>51</v>
      </c>
      <c r="M7866" s="28" t="s">
        <v>51</v>
      </c>
      <c r="N7866" s="27">
        <v>0</v>
      </c>
    </row>
    <row r="7867" spans="1:14" hidden="1" outlineLevel="1" x14ac:dyDescent="0.2">
      <c r="A7867" s="23" t="str">
        <f>HYPERLINK("https://www.spark-marketing.ru/Card/Person/1744402", "МКОУ ""ПРОГИМНАЗИЯ №6 ""ИВУШКА""")</f>
        <v>МКОУ "ПРОГИМНАЗИЯ №6 "ИВУШКА"</v>
      </c>
      <c r="B7867" s="24" t="s">
        <v>11640</v>
      </c>
      <c r="C7867" s="25">
        <v>180000</v>
      </c>
      <c r="D7867" s="22" t="s">
        <v>11636</v>
      </c>
      <c r="E7867" s="22" t="s">
        <v>48</v>
      </c>
      <c r="F7867" s="23" t="str">
        <f t="shared" si="169"/>
        <v>Услуги по обеспечению питанием, осуществляемые по договору, прочие</v>
      </c>
      <c r="G7867" s="22" t="s">
        <v>1607</v>
      </c>
      <c r="H7867" s="22" t="s">
        <v>11638</v>
      </c>
      <c r="I7867" s="26">
        <v>43689.557638888902</v>
      </c>
      <c r="J7867" s="23" t="str">
        <f t="shared" si="170"/>
        <v>МБУ "ПРОМЖИЛСТРОЙТОРГ"</v>
      </c>
      <c r="K7867" s="24" t="s">
        <v>7515</v>
      </c>
      <c r="L7867" s="28" t="s">
        <v>51</v>
      </c>
      <c r="M7867" s="28" t="s">
        <v>51</v>
      </c>
      <c r="N7867" s="27">
        <v>0</v>
      </c>
    </row>
    <row r="7868" spans="1:14" hidden="1" outlineLevel="1" x14ac:dyDescent="0.2">
      <c r="A7868" s="23" t="str">
        <f>HYPERLINK("https://www.spark-marketing.ru/Card/Person/1744790", "МКОУ СОШ № 2")</f>
        <v>МКОУ СОШ № 2</v>
      </c>
      <c r="B7868" s="24" t="s">
        <v>11641</v>
      </c>
      <c r="C7868" s="25">
        <v>235920</v>
      </c>
      <c r="D7868" s="22" t="s">
        <v>11636</v>
      </c>
      <c r="E7868" s="22" t="s">
        <v>48</v>
      </c>
      <c r="F7868" s="23" t="str">
        <f t="shared" si="169"/>
        <v>Услуги по обеспечению питанием, осуществляемые по договору, прочие</v>
      </c>
      <c r="G7868" s="22" t="s">
        <v>1607</v>
      </c>
      <c r="H7868" s="22" t="s">
        <v>11638</v>
      </c>
      <c r="I7868" s="26">
        <v>43689.557638888902</v>
      </c>
      <c r="J7868" s="23" t="str">
        <f t="shared" si="170"/>
        <v>МБУ "ПРОМЖИЛСТРОЙТОРГ"</v>
      </c>
      <c r="K7868" s="24" t="s">
        <v>7515</v>
      </c>
      <c r="L7868" s="28" t="s">
        <v>51</v>
      </c>
      <c r="M7868" s="28" t="s">
        <v>51</v>
      </c>
      <c r="N7868" s="27">
        <v>0</v>
      </c>
    </row>
    <row r="7869" spans="1:14" hidden="1" outlineLevel="1" x14ac:dyDescent="0.2">
      <c r="A7869" s="23" t="str">
        <f>HYPERLINK("https://www.spark-marketing.ru/Card/Person/1744799", "МКОУ ""СОШ № 7 ИМ.А.АЛИБЕКОВА""")</f>
        <v>МКОУ "СОШ № 7 ИМ.А.АЛИБЕКОВА"</v>
      </c>
      <c r="B7869" s="24" t="s">
        <v>11642</v>
      </c>
      <c r="C7869" s="25">
        <v>350880</v>
      </c>
      <c r="D7869" s="22" t="s">
        <v>11636</v>
      </c>
      <c r="E7869" s="22" t="s">
        <v>48</v>
      </c>
      <c r="F7869" s="23" t="str">
        <f t="shared" si="169"/>
        <v>Услуги по обеспечению питанием, осуществляемые по договору, прочие</v>
      </c>
      <c r="G7869" s="22" t="s">
        <v>1607</v>
      </c>
      <c r="H7869" s="22" t="s">
        <v>11638</v>
      </c>
      <c r="I7869" s="26">
        <v>43689.557638888902</v>
      </c>
      <c r="J7869" s="23" t="str">
        <f t="shared" si="170"/>
        <v>МБУ "ПРОМЖИЛСТРОЙТОРГ"</v>
      </c>
      <c r="K7869" s="24" t="s">
        <v>7515</v>
      </c>
      <c r="L7869" s="28" t="s">
        <v>51</v>
      </c>
      <c r="M7869" s="28" t="s">
        <v>51</v>
      </c>
      <c r="N7869" s="27">
        <v>0</v>
      </c>
    </row>
    <row r="7870" spans="1:14" hidden="1" outlineLevel="1" x14ac:dyDescent="0.2">
      <c r="A7870" s="23" t="str">
        <f>HYPERLINK("https://www.spark-marketing.ru/Card/Person/1744809", "МКОУ СОШ № 9")</f>
        <v>МКОУ СОШ № 9</v>
      </c>
      <c r="B7870" s="24" t="s">
        <v>11643</v>
      </c>
      <c r="C7870" s="25">
        <v>482400</v>
      </c>
      <c r="D7870" s="22" t="s">
        <v>11636</v>
      </c>
      <c r="E7870" s="22" t="s">
        <v>48</v>
      </c>
      <c r="F7870" s="23" t="str">
        <f t="shared" si="169"/>
        <v>Услуги по обеспечению питанием, осуществляемые по договору, прочие</v>
      </c>
      <c r="G7870" s="22" t="s">
        <v>1607</v>
      </c>
      <c r="H7870" s="22" t="s">
        <v>11638</v>
      </c>
      <c r="I7870" s="26">
        <v>43689.557638888902</v>
      </c>
      <c r="J7870" s="23" t="str">
        <f t="shared" si="170"/>
        <v>МБУ "ПРОМЖИЛСТРОЙТОРГ"</v>
      </c>
      <c r="K7870" s="24" t="s">
        <v>7515</v>
      </c>
      <c r="L7870" s="28" t="s">
        <v>51</v>
      </c>
      <c r="M7870" s="28" t="s">
        <v>51</v>
      </c>
      <c r="N7870" s="27">
        <v>0</v>
      </c>
    </row>
    <row r="7871" spans="1:14" hidden="1" outlineLevel="1" x14ac:dyDescent="0.2">
      <c r="A7871" s="23" t="str">
        <f>HYPERLINK("https://www.spark-marketing.ru/Card/Person/1744813", "МКОУ ""СОШ №10 ИМ. А.И. ИСМАИЛОВА """)</f>
        <v>МКОУ "СОШ №10 ИМ. А.И. ИСМАИЛОВА "</v>
      </c>
      <c r="B7871" s="24" t="s">
        <v>11644</v>
      </c>
      <c r="C7871" s="25">
        <v>990000</v>
      </c>
      <c r="D7871" s="22" t="s">
        <v>11636</v>
      </c>
      <c r="E7871" s="22" t="s">
        <v>48</v>
      </c>
      <c r="F7871" s="23" t="str">
        <f t="shared" si="169"/>
        <v>Услуги по обеспечению питанием, осуществляемые по договору, прочие</v>
      </c>
      <c r="G7871" s="22" t="s">
        <v>1607</v>
      </c>
      <c r="H7871" s="22" t="s">
        <v>11638</v>
      </c>
      <c r="I7871" s="26">
        <v>43689.557638888902</v>
      </c>
      <c r="J7871" s="23" t="str">
        <f t="shared" si="170"/>
        <v>МБУ "ПРОМЖИЛСТРОЙТОРГ"</v>
      </c>
      <c r="K7871" s="24" t="s">
        <v>7515</v>
      </c>
      <c r="L7871" s="28" t="s">
        <v>51</v>
      </c>
      <c r="M7871" s="28" t="s">
        <v>51</v>
      </c>
      <c r="N7871" s="27">
        <v>0</v>
      </c>
    </row>
    <row r="7872" spans="1:14" hidden="1" outlineLevel="1" x14ac:dyDescent="0.2">
      <c r="A7872" s="23" t="str">
        <f>HYPERLINK("https://www.spark-marketing.ru/Card/Person/1744821", "МКОУ СОШ № 3 ИМЕНИ С.А.ДЖАНХУВАТОВА")</f>
        <v>МКОУ СОШ № 3 ИМЕНИ С.А.ДЖАНХУВАТОВА</v>
      </c>
      <c r="B7872" s="24" t="s">
        <v>11645</v>
      </c>
      <c r="C7872" s="25">
        <v>642000</v>
      </c>
      <c r="D7872" s="22" t="s">
        <v>11636</v>
      </c>
      <c r="E7872" s="22" t="s">
        <v>48</v>
      </c>
      <c r="F7872" s="23" t="str">
        <f t="shared" si="169"/>
        <v>Услуги по обеспечению питанием, осуществляемые по договору, прочие</v>
      </c>
      <c r="G7872" s="22" t="s">
        <v>1607</v>
      </c>
      <c r="H7872" s="22" t="s">
        <v>11638</v>
      </c>
      <c r="I7872" s="26">
        <v>43689.557638888902</v>
      </c>
      <c r="J7872" s="23" t="str">
        <f t="shared" si="170"/>
        <v>МБУ "ПРОМЖИЛСТРОЙТОРГ"</v>
      </c>
      <c r="K7872" s="24" t="s">
        <v>7515</v>
      </c>
      <c r="L7872" s="28" t="s">
        <v>51</v>
      </c>
      <c r="M7872" s="28" t="s">
        <v>51</v>
      </c>
      <c r="N7872" s="27">
        <v>0</v>
      </c>
    </row>
    <row r="7873" spans="1:14" hidden="1" outlineLevel="1" x14ac:dyDescent="0.2">
      <c r="A7873" s="23" t="str">
        <f>HYPERLINK("https://www.spark-marketing.ru/Card/Person/1744852", "МКОУ СОШ № 14")</f>
        <v>МКОУ СОШ № 14</v>
      </c>
      <c r="B7873" s="24" t="s">
        <v>11646</v>
      </c>
      <c r="C7873" s="25">
        <v>912240</v>
      </c>
      <c r="D7873" s="22" t="s">
        <v>11636</v>
      </c>
      <c r="E7873" s="22" t="s">
        <v>48</v>
      </c>
      <c r="F7873" s="23" t="str">
        <f t="shared" si="169"/>
        <v>Услуги по обеспечению питанием, осуществляемые по договору, прочие</v>
      </c>
      <c r="G7873" s="22" t="s">
        <v>1607</v>
      </c>
      <c r="H7873" s="22" t="s">
        <v>11638</v>
      </c>
      <c r="I7873" s="26">
        <v>43689.557638888902</v>
      </c>
      <c r="J7873" s="23" t="str">
        <f t="shared" si="170"/>
        <v>МБУ "ПРОМЖИЛСТРОЙТОРГ"</v>
      </c>
      <c r="K7873" s="24" t="s">
        <v>7515</v>
      </c>
      <c r="L7873" s="28" t="s">
        <v>51</v>
      </c>
      <c r="M7873" s="28" t="s">
        <v>51</v>
      </c>
      <c r="N7873" s="27">
        <v>0</v>
      </c>
    </row>
    <row r="7874" spans="1:14" hidden="1" outlineLevel="1" x14ac:dyDescent="0.2">
      <c r="A7874" s="23" t="str">
        <f>HYPERLINK("https://www.spark-marketing.ru/Card/Person/1744853", "МКОУ ГИМНАЗИЯ №3")</f>
        <v>МКОУ ГИМНАЗИЯ №3</v>
      </c>
      <c r="B7874" s="24" t="s">
        <v>11647</v>
      </c>
      <c r="C7874" s="25">
        <v>1071360</v>
      </c>
      <c r="D7874" s="22" t="s">
        <v>11636</v>
      </c>
      <c r="E7874" s="22" t="s">
        <v>48</v>
      </c>
      <c r="F7874" s="23" t="str">
        <f t="shared" si="169"/>
        <v>Услуги по обеспечению питанием, осуществляемые по договору, прочие</v>
      </c>
      <c r="G7874" s="22" t="s">
        <v>1607</v>
      </c>
      <c r="H7874" s="22" t="s">
        <v>11638</v>
      </c>
      <c r="I7874" s="26">
        <v>43689.557638888902</v>
      </c>
      <c r="J7874" s="23" t="str">
        <f t="shared" si="170"/>
        <v>МБУ "ПРОМЖИЛСТРОЙТОРГ"</v>
      </c>
      <c r="K7874" s="24" t="s">
        <v>7515</v>
      </c>
      <c r="L7874" s="28" t="s">
        <v>51</v>
      </c>
      <c r="M7874" s="28" t="s">
        <v>51</v>
      </c>
      <c r="N7874" s="27">
        <v>0</v>
      </c>
    </row>
    <row r="7875" spans="1:14" hidden="1" outlineLevel="1" x14ac:dyDescent="0.2">
      <c r="A7875" s="23" t="str">
        <f>HYPERLINK("https://www.spark-marketing.ru/Card/Person/1744855", "МКОУ СОШ №12 ИМ.Л.Н.ТОЛСТОГО")</f>
        <v>МКОУ СОШ №12 ИМ.Л.Н.ТОЛСТОГО</v>
      </c>
      <c r="B7875" s="24" t="s">
        <v>11648</v>
      </c>
      <c r="C7875" s="25">
        <v>675600</v>
      </c>
      <c r="D7875" s="22" t="s">
        <v>11636</v>
      </c>
      <c r="E7875" s="22" t="s">
        <v>48</v>
      </c>
      <c r="F7875" s="23" t="str">
        <f t="shared" si="169"/>
        <v>Услуги по обеспечению питанием, осуществляемые по договору, прочие</v>
      </c>
      <c r="G7875" s="22" t="s">
        <v>1607</v>
      </c>
      <c r="H7875" s="22" t="s">
        <v>11638</v>
      </c>
      <c r="I7875" s="26">
        <v>43689.557638888902</v>
      </c>
      <c r="J7875" s="23" t="str">
        <f t="shared" si="170"/>
        <v>МБУ "ПРОМЖИЛСТРОЙТОРГ"</v>
      </c>
      <c r="K7875" s="24" t="s">
        <v>7515</v>
      </c>
      <c r="L7875" s="28" t="s">
        <v>51</v>
      </c>
      <c r="M7875" s="28" t="s">
        <v>51</v>
      </c>
      <c r="N7875" s="27">
        <v>0</v>
      </c>
    </row>
    <row r="7876" spans="1:14" hidden="1" outlineLevel="1" x14ac:dyDescent="0.2">
      <c r="A7876" s="23" t="str">
        <f>HYPERLINK("https://www.spark-marketing.ru/Card/Person/1744860", "МКОУ СОШ № 8")</f>
        <v>МКОУ СОШ № 8</v>
      </c>
      <c r="B7876" s="24" t="s">
        <v>11649</v>
      </c>
      <c r="C7876" s="25">
        <v>241680</v>
      </c>
      <c r="D7876" s="22" t="s">
        <v>11636</v>
      </c>
      <c r="E7876" s="22" t="s">
        <v>48</v>
      </c>
      <c r="F7876" s="23" t="str">
        <f t="shared" si="169"/>
        <v>Услуги по обеспечению питанием, осуществляемые по договору, прочие</v>
      </c>
      <c r="G7876" s="22" t="s">
        <v>1607</v>
      </c>
      <c r="H7876" s="22" t="s">
        <v>11638</v>
      </c>
      <c r="I7876" s="26">
        <v>43689.557638888902</v>
      </c>
      <c r="J7876" s="23" t="str">
        <f t="shared" si="170"/>
        <v>МБУ "ПРОМЖИЛСТРОЙТОРГ"</v>
      </c>
      <c r="K7876" s="24" t="s">
        <v>7515</v>
      </c>
      <c r="L7876" s="28" t="s">
        <v>51</v>
      </c>
      <c r="M7876" s="28" t="s">
        <v>51</v>
      </c>
      <c r="N7876" s="27">
        <v>0</v>
      </c>
    </row>
    <row r="7877" spans="1:14" hidden="1" outlineLevel="1" x14ac:dyDescent="0.2">
      <c r="A7877" s="23" t="str">
        <f>HYPERLINK("https://www.spark-marketing.ru/Card/Person/1744861", "МКОУ ""СРЕДНЯЯ ОБЩЕОБРАЗОВАТЕЛЬНАЯ ШКОЛА № 17 ИМЕНИ ДАЦАЕВА М.М.""")</f>
        <v>МКОУ "СРЕДНЯЯ ОБЩЕОБРАЗОВАТЕЛЬНАЯ ШКОЛА № 17 ИМЕНИ ДАЦАЕВА М.М."</v>
      </c>
      <c r="B7877" s="24" t="s">
        <v>11650</v>
      </c>
      <c r="C7877" s="25">
        <v>1158720</v>
      </c>
      <c r="D7877" s="22" t="s">
        <v>11636</v>
      </c>
      <c r="E7877" s="22" t="s">
        <v>48</v>
      </c>
      <c r="F7877" s="23" t="str">
        <f t="shared" si="169"/>
        <v>Услуги по обеспечению питанием, осуществляемые по договору, прочие</v>
      </c>
      <c r="G7877" s="22" t="s">
        <v>1607</v>
      </c>
      <c r="H7877" s="22" t="s">
        <v>11638</v>
      </c>
      <c r="I7877" s="26">
        <v>43689.557638888902</v>
      </c>
      <c r="J7877" s="23" t="str">
        <f t="shared" si="170"/>
        <v>МБУ "ПРОМЖИЛСТРОЙТОРГ"</v>
      </c>
      <c r="K7877" s="24" t="s">
        <v>7515</v>
      </c>
      <c r="L7877" s="28" t="s">
        <v>51</v>
      </c>
      <c r="M7877" s="28" t="s">
        <v>51</v>
      </c>
      <c r="N7877" s="27">
        <v>0</v>
      </c>
    </row>
    <row r="7878" spans="1:14" hidden="1" outlineLevel="1" x14ac:dyDescent="0.2">
      <c r="A7878" s="23" t="str">
        <f>HYPERLINK("https://www.spark-marketing.ru/Card/Person/1744862", "МКОУ СОШ № 11")</f>
        <v>МКОУ СОШ № 11</v>
      </c>
      <c r="B7878" s="24" t="s">
        <v>11651</v>
      </c>
      <c r="C7878" s="25">
        <v>527280</v>
      </c>
      <c r="D7878" s="22" t="s">
        <v>11636</v>
      </c>
      <c r="E7878" s="22" t="s">
        <v>48</v>
      </c>
      <c r="F7878" s="23" t="str">
        <f t="shared" si="169"/>
        <v>Услуги по обеспечению питанием, осуществляемые по договору, прочие</v>
      </c>
      <c r="G7878" s="22" t="s">
        <v>1607</v>
      </c>
      <c r="H7878" s="22" t="s">
        <v>11638</v>
      </c>
      <c r="I7878" s="26">
        <v>43689.557638888902</v>
      </c>
      <c r="J7878" s="23" t="str">
        <f t="shared" si="170"/>
        <v>МБУ "ПРОМЖИЛСТРОЙТОРГ"</v>
      </c>
      <c r="K7878" s="24" t="s">
        <v>7515</v>
      </c>
      <c r="L7878" s="28" t="s">
        <v>51</v>
      </c>
      <c r="M7878" s="28" t="s">
        <v>51</v>
      </c>
      <c r="N7878" s="27">
        <v>0</v>
      </c>
    </row>
    <row r="7879" spans="1:14" hidden="1" outlineLevel="1" x14ac:dyDescent="0.2">
      <c r="A7879" s="23" t="str">
        <f>HYPERLINK("https://www.spark-marketing.ru/Card/Person/1744863", "МКОУ ""СОШ №5 ИМ.ГЕРОЯ РОССИИ МУСАЛАЕВА Т.О.""")</f>
        <v>МКОУ "СОШ №5 ИМ.ГЕРОЯ РОССИИ МУСАЛАЕВА Т.О."</v>
      </c>
      <c r="B7879" s="24" t="s">
        <v>11652</v>
      </c>
      <c r="C7879" s="25">
        <v>653520</v>
      </c>
      <c r="D7879" s="22" t="s">
        <v>11636</v>
      </c>
      <c r="E7879" s="22" t="s">
        <v>48</v>
      </c>
      <c r="F7879" s="23" t="str">
        <f t="shared" si="169"/>
        <v>Услуги по обеспечению питанием, осуществляемые по договору, прочие</v>
      </c>
      <c r="G7879" s="22" t="s">
        <v>1607</v>
      </c>
      <c r="H7879" s="22" t="s">
        <v>11638</v>
      </c>
      <c r="I7879" s="26">
        <v>43689.557638888902</v>
      </c>
      <c r="J7879" s="23" t="str">
        <f t="shared" si="170"/>
        <v>МБУ "ПРОМЖИЛСТРОЙТОРГ"</v>
      </c>
      <c r="K7879" s="24" t="s">
        <v>7515</v>
      </c>
      <c r="L7879" s="28" t="s">
        <v>51</v>
      </c>
      <c r="M7879" s="28" t="s">
        <v>51</v>
      </c>
      <c r="N7879" s="27">
        <v>0</v>
      </c>
    </row>
    <row r="7880" spans="1:14" hidden="1" outlineLevel="1" x14ac:dyDescent="0.2">
      <c r="A7880" s="23" t="str">
        <f>HYPERLINK("https://www.spark-marketing.ru/Card/Person/1744934", "МКОУ ""СОШ №15 ИМ ИСПАЙХАНОВИА В.И.""")</f>
        <v>МКОУ "СОШ №15 ИМ ИСПАЙХАНОВИА В.И."</v>
      </c>
      <c r="B7880" s="24" t="s">
        <v>11653</v>
      </c>
      <c r="C7880" s="25">
        <v>712500</v>
      </c>
      <c r="D7880" s="22" t="s">
        <v>11636</v>
      </c>
      <c r="E7880" s="22" t="s">
        <v>48</v>
      </c>
      <c r="F7880" s="23" t="str">
        <f t="shared" si="169"/>
        <v>Услуги по обеспечению питанием, осуществляемые по договору, прочие</v>
      </c>
      <c r="G7880" s="22" t="s">
        <v>1607</v>
      </c>
      <c r="H7880" s="22" t="s">
        <v>11638</v>
      </c>
      <c r="I7880" s="26">
        <v>43689.557638888902</v>
      </c>
      <c r="J7880" s="23" t="str">
        <f t="shared" si="170"/>
        <v>МБУ "ПРОМЖИЛСТРОЙТОРГ"</v>
      </c>
      <c r="K7880" s="24" t="s">
        <v>7515</v>
      </c>
      <c r="L7880" s="28" t="s">
        <v>51</v>
      </c>
      <c r="M7880" s="28" t="s">
        <v>51</v>
      </c>
      <c r="N7880" s="27">
        <v>0</v>
      </c>
    </row>
    <row r="7881" spans="1:14" hidden="1" outlineLevel="1" x14ac:dyDescent="0.2">
      <c r="A7881" s="23" t="str">
        <f>HYPERLINK("https://www.spark-marketing.ru/Card/Person/1744935", "МКОУ ГИМНАЗИЯ № 2 ИМ. А.М.САЙТИЕВА")</f>
        <v>МКОУ ГИМНАЗИЯ № 2 ИМ. А.М.САЙТИЕВА</v>
      </c>
      <c r="B7881" s="24" t="s">
        <v>11654</v>
      </c>
      <c r="C7881" s="25">
        <v>1072800</v>
      </c>
      <c r="D7881" s="22" t="s">
        <v>11636</v>
      </c>
      <c r="E7881" s="22" t="s">
        <v>48</v>
      </c>
      <c r="F7881" s="23" t="str">
        <f t="shared" si="169"/>
        <v>Услуги по обеспечению питанием, осуществляемые по договору, прочие</v>
      </c>
      <c r="G7881" s="22" t="s">
        <v>1607</v>
      </c>
      <c r="H7881" s="22" t="s">
        <v>11638</v>
      </c>
      <c r="I7881" s="26">
        <v>43689.557638888902</v>
      </c>
      <c r="J7881" s="23" t="str">
        <f t="shared" si="170"/>
        <v>МБУ "ПРОМЖИЛСТРОЙТОРГ"</v>
      </c>
      <c r="K7881" s="24" t="s">
        <v>7515</v>
      </c>
      <c r="L7881" s="28" t="s">
        <v>51</v>
      </c>
      <c r="M7881" s="28" t="s">
        <v>51</v>
      </c>
      <c r="N7881" s="27">
        <v>0</v>
      </c>
    </row>
    <row r="7882" spans="1:14" hidden="1" outlineLevel="1" x14ac:dyDescent="0.2">
      <c r="A7882" s="23" t="str">
        <f>HYPERLINK("https://www.spark-marketing.ru/Card/Person/1744936", "МКОУ СОШ № 4")</f>
        <v>МКОУ СОШ № 4</v>
      </c>
      <c r="B7882" s="24" t="s">
        <v>11655</v>
      </c>
      <c r="C7882" s="25">
        <v>855000</v>
      </c>
      <c r="D7882" s="22" t="s">
        <v>11636</v>
      </c>
      <c r="E7882" s="22" t="s">
        <v>48</v>
      </c>
      <c r="F7882" s="23" t="str">
        <f t="shared" si="169"/>
        <v>Услуги по обеспечению питанием, осуществляемые по договору, прочие</v>
      </c>
      <c r="G7882" s="22" t="s">
        <v>1607</v>
      </c>
      <c r="H7882" s="22" t="s">
        <v>11638</v>
      </c>
      <c r="I7882" s="26">
        <v>43689.557638888902</v>
      </c>
      <c r="J7882" s="23" t="str">
        <f t="shared" si="170"/>
        <v>МБУ "ПРОМЖИЛСТРОЙТОРГ"</v>
      </c>
      <c r="K7882" s="24" t="s">
        <v>7515</v>
      </c>
      <c r="L7882" s="28" t="s">
        <v>51</v>
      </c>
      <c r="M7882" s="28" t="s">
        <v>51</v>
      </c>
      <c r="N7882" s="27">
        <v>0</v>
      </c>
    </row>
    <row r="7883" spans="1:14" hidden="1" outlineLevel="1" x14ac:dyDescent="0.2">
      <c r="A7883" s="23" t="str">
        <f>HYPERLINK("https://www.spark-marketing.ru/Card/Person/1744937", "МКОУ СОШ № 16")</f>
        <v>МКОУ СОШ № 16</v>
      </c>
      <c r="B7883" s="24" t="s">
        <v>11656</v>
      </c>
      <c r="C7883" s="25">
        <v>606000</v>
      </c>
      <c r="D7883" s="22" t="s">
        <v>11636</v>
      </c>
      <c r="E7883" s="22" t="s">
        <v>48</v>
      </c>
      <c r="F7883" s="23" t="str">
        <f t="shared" si="169"/>
        <v>Услуги по обеспечению питанием, осуществляемые по договору, прочие</v>
      </c>
      <c r="G7883" s="22" t="s">
        <v>1607</v>
      </c>
      <c r="H7883" s="22" t="s">
        <v>11638</v>
      </c>
      <c r="I7883" s="26">
        <v>43689.557638888902</v>
      </c>
      <c r="J7883" s="23" t="str">
        <f t="shared" si="170"/>
        <v>МБУ "ПРОМЖИЛСТРОЙТОРГ"</v>
      </c>
      <c r="K7883" s="24" t="s">
        <v>7515</v>
      </c>
      <c r="L7883" s="28" t="s">
        <v>51</v>
      </c>
      <c r="M7883" s="28" t="s">
        <v>51</v>
      </c>
      <c r="N7883" s="27">
        <v>0</v>
      </c>
    </row>
    <row r="7884" spans="1:14" hidden="1" outlineLevel="1" x14ac:dyDescent="0.2">
      <c r="A7884" s="23" t="str">
        <f>HYPERLINK("https://www.spark-marketing.ru/Card/Person/6622763", "МКОУ СОШ №19")</f>
        <v>МКОУ СОШ №19</v>
      </c>
      <c r="B7884" s="24" t="s">
        <v>11657</v>
      </c>
      <c r="C7884" s="25">
        <v>1030800</v>
      </c>
      <c r="D7884" s="22" t="s">
        <v>11636</v>
      </c>
      <c r="E7884" s="22" t="s">
        <v>48</v>
      </c>
      <c r="F7884" s="23" t="str">
        <f t="shared" si="169"/>
        <v>Услуги по обеспечению питанием, осуществляемые по договору, прочие</v>
      </c>
      <c r="G7884" s="22" t="s">
        <v>1607</v>
      </c>
      <c r="H7884" s="22" t="s">
        <v>11638</v>
      </c>
      <c r="I7884" s="26">
        <v>43689.557638888902</v>
      </c>
      <c r="J7884" s="23" t="str">
        <f t="shared" si="170"/>
        <v>МБУ "ПРОМЖИЛСТРОЙТОРГ"</v>
      </c>
      <c r="K7884" s="24" t="s">
        <v>7515</v>
      </c>
      <c r="L7884" s="28" t="s">
        <v>51</v>
      </c>
      <c r="M7884" s="28" t="s">
        <v>51</v>
      </c>
      <c r="N7884" s="27">
        <v>0</v>
      </c>
    </row>
    <row r="7885" spans="1:14" hidden="1" outlineLevel="1" x14ac:dyDescent="0.2">
      <c r="A7885" s="23" t="str">
        <f>HYPERLINK("https://www.spark-marketing.ru/Card/Person/1744858", "МКОУ ""ГИМНАЗИЯ ИМ. М.ГОРЬКОГО""")</f>
        <v>МКОУ "ГИМНАЗИЯ ИМ. М.ГОРЬКОГО"</v>
      </c>
      <c r="B7885" s="24" t="s">
        <v>11658</v>
      </c>
      <c r="C7885" s="25">
        <v>672240</v>
      </c>
      <c r="D7885" s="22" t="s">
        <v>11636</v>
      </c>
      <c r="E7885" s="22" t="s">
        <v>48</v>
      </c>
      <c r="F7885" s="23" t="str">
        <f t="shared" si="169"/>
        <v>Услуги по обеспечению питанием, осуществляемые по договору, прочие</v>
      </c>
      <c r="G7885" s="22" t="s">
        <v>1607</v>
      </c>
      <c r="H7885" s="22" t="s">
        <v>11638</v>
      </c>
      <c r="I7885" s="26">
        <v>43689.557638888902</v>
      </c>
      <c r="J7885" s="23" t="str">
        <f t="shared" si="170"/>
        <v>МБУ "ПРОМЖИЛСТРОЙТОРГ"</v>
      </c>
      <c r="K7885" s="24" t="s">
        <v>7515</v>
      </c>
      <c r="L7885" s="28" t="s">
        <v>51</v>
      </c>
      <c r="M7885" s="28" t="s">
        <v>51</v>
      </c>
      <c r="N7885" s="27">
        <v>0</v>
      </c>
    </row>
    <row r="7886" spans="1:14" x14ac:dyDescent="0.15">
      <c r="A7886" s="23" t="str">
        <f>HYPERLINK("https://www.spark-marketing.ru/Card/Person/1002866", "МБУ ФСО ""КГКИ""")</f>
        <v>МБУ ФСО "КГКИ"</v>
      </c>
      <c r="B7886" s="24" t="s">
        <v>11659</v>
      </c>
      <c r="C7886" s="25">
        <v>39200</v>
      </c>
      <c r="D7886" s="22" t="s">
        <v>11660</v>
      </c>
      <c r="E7886" s="22" t="s">
        <v>11661</v>
      </c>
      <c r="F7886" s="23" t="str">
        <f>HYPERLINK("https://www.spark-marketing.ru/Card/Lot/72733078", "Оказание услуг по проживанию и питанию тренера и спортсменов")</f>
        <v>Оказание услуг по проживанию и питанию тренера и спортсменов</v>
      </c>
      <c r="G7886" s="22" t="s">
        <v>49</v>
      </c>
      <c r="H7886" s="22" t="s">
        <v>180</v>
      </c>
      <c r="I7886" s="26">
        <v>43689.565428240698</v>
      </c>
      <c r="J7886" s="28" t="s">
        <v>51</v>
      </c>
      <c r="K7886" s="28" t="s">
        <v>51</v>
      </c>
      <c r="L7886" s="28" t="s">
        <v>51</v>
      </c>
      <c r="M7886" s="28" t="s">
        <v>51</v>
      </c>
      <c r="N7886" s="28" t="s">
        <v>51</v>
      </c>
    </row>
    <row r="7887" spans="1:14" x14ac:dyDescent="0.15">
      <c r="A7887" s="23" t="str">
        <f>HYPERLINK("https://www.spark-marketing.ru/Card/Person/4224", "ГКУ НСО ""НОВОСИБОБЛФАРМ""")</f>
        <v>ГКУ НСО "НОВОСИБОБЛФАРМ"</v>
      </c>
      <c r="B7887" s="24" t="s">
        <v>11625</v>
      </c>
      <c r="C7887" s="25">
        <v>52650</v>
      </c>
      <c r="D7887" s="22" t="s">
        <v>11662</v>
      </c>
      <c r="E7887" s="22" t="s">
        <v>11627</v>
      </c>
      <c r="F7887" s="23" t="str">
        <f>HYPERLINK("https://www.spark-marketing.ru/Card/Lot/72724917", "Оказание услуг по приему, хранению и отпуску лекарственных препаратов для медицинского применения, медицинских изделий, а также специализированных продуктов лечебного питания по бесплатным и льготным рецептам гражданам, имеющим право на льготное лека...")</f>
        <v>Оказание услуг по приему, хранению и отпуску лекарственных препаратов для медицинского применения, медицинских изделий, а также специализированных продуктов лечебного питания по бесплатным и льготным рецептам гражданам, имеющим право на льготное лека...</v>
      </c>
      <c r="G7887" s="22" t="s">
        <v>195</v>
      </c>
      <c r="H7887" s="22" t="s">
        <v>196</v>
      </c>
      <c r="I7887" s="26">
        <v>43689.568055555603</v>
      </c>
      <c r="J7887" s="28" t="s">
        <v>51</v>
      </c>
      <c r="K7887" s="28" t="s">
        <v>51</v>
      </c>
      <c r="L7887" s="28" t="s">
        <v>51</v>
      </c>
      <c r="M7887" s="28" t="s">
        <v>51</v>
      </c>
      <c r="N7887" s="28" t="s">
        <v>51</v>
      </c>
    </row>
    <row r="7888" spans="1:14" x14ac:dyDescent="0.15">
      <c r="A7888" s="23" t="str">
        <f>HYPERLINK("https://www.spark-marketing.ru/Card/Person/1692792", "УМВД РОССИИ ПО ХАБАРОВСКОМУ КРАЮ")</f>
        <v>УМВД РОССИИ ПО ХАБАРОВСКОМУ КРАЮ</v>
      </c>
      <c r="B7888" s="24" t="s">
        <v>7435</v>
      </c>
      <c r="C7888" s="25">
        <v>1370000</v>
      </c>
      <c r="D7888" s="22" t="s">
        <v>11663</v>
      </c>
      <c r="E7888" s="22" t="s">
        <v>48</v>
      </c>
      <c r="F7888" s="23" t="str">
        <f>HYPERLINK("https://www.spark-marketing.ru/Card/Lot/72723626", "Оказание услуг по организации питания иностранных граждан, содержащихся в ЦВСИГ УМВД России по Хабаровскому краю.")</f>
        <v>Оказание услуг по организации питания иностранных граждан, содержащихся в ЦВСИГ УМВД России по Хабаровскому краю.</v>
      </c>
      <c r="G7888" s="22" t="s">
        <v>1096</v>
      </c>
      <c r="H7888" s="22" t="s">
        <v>1096</v>
      </c>
      <c r="I7888" s="26">
        <v>43689.567986111098</v>
      </c>
      <c r="J7888" s="28" t="s">
        <v>51</v>
      </c>
      <c r="K7888" s="28" t="s">
        <v>51</v>
      </c>
      <c r="L7888" s="28" t="s">
        <v>51</v>
      </c>
      <c r="M7888" s="28" t="s">
        <v>51</v>
      </c>
      <c r="N7888" s="28" t="s">
        <v>51</v>
      </c>
    </row>
    <row r="7889" spans="1:14" collapsed="1" x14ac:dyDescent="0.15">
      <c r="A7889" s="23" t="str">
        <f>HYPERLINK("https://www.spark-marketing.ru/Card/Person/188185", "ОТДЕЛ МВД РОССИИ ПО УСПЕНСКОМУ РАЙОНУ")</f>
        <v>ОТДЕЛ МВД РОССИИ ПО УСПЕНСКОМУ РАЙОНУ</v>
      </c>
      <c r="B7889" s="24" t="s">
        <v>6005</v>
      </c>
      <c r="C7889" s="25">
        <v>673000</v>
      </c>
      <c r="D7889" s="22" t="s">
        <v>11664</v>
      </c>
      <c r="E7889" s="22" t="s">
        <v>48</v>
      </c>
      <c r="F7889" s="23" t="str">
        <f>HYPERLINK("https://www.spark-marketing.ru/Card/Lot/72740990", "питание ивс и сп")</f>
        <v>питание ивс и сп</v>
      </c>
      <c r="G7889" s="22" t="s">
        <v>104</v>
      </c>
      <c r="H7889" s="22" t="s">
        <v>104</v>
      </c>
      <c r="I7889" s="26">
        <v>43689.563078703701</v>
      </c>
      <c r="J7889" s="23" t="str">
        <f>HYPERLINK("https://www.spark-marketing.ru/Card/Person/5972284", "Костырин Алексей Михайлович")</f>
        <v>Костырин Алексей Михайлович</v>
      </c>
      <c r="K7889" s="24" t="s">
        <v>3202</v>
      </c>
      <c r="L7889" s="28" t="s">
        <v>51</v>
      </c>
      <c r="M7889" s="28" t="s">
        <v>51</v>
      </c>
      <c r="N7889" s="28" t="s">
        <v>51</v>
      </c>
    </row>
    <row r="7890" spans="1:14" hidden="1" outlineLevel="1" x14ac:dyDescent="0.15">
      <c r="A7890" s="23" t="str">
        <f>HYPERLINK("https://www.spark-marketing.ru/Card/Person/188185", "ОТДЕЛ МВД РОССИИ ПО УСПЕНСКОМУ РАЙОНУ")</f>
        <v>ОТДЕЛ МВД РОССИИ ПО УСПЕНСКОМУ РАЙОНУ</v>
      </c>
      <c r="B7890" s="24" t="s">
        <v>6005</v>
      </c>
      <c r="C7890" s="25">
        <v>673000</v>
      </c>
      <c r="D7890" s="22" t="s">
        <v>11664</v>
      </c>
      <c r="E7890" s="22" t="s">
        <v>48</v>
      </c>
      <c r="F7890" s="23" t="str">
        <f>HYPERLINK("https://www.spark-marketing.ru/Card/Lot/72740990", "питание ивс и сп")</f>
        <v>питание ивс и сп</v>
      </c>
      <c r="G7890" s="22" t="s">
        <v>104</v>
      </c>
      <c r="H7890" s="22" t="s">
        <v>104</v>
      </c>
      <c r="I7890" s="26">
        <v>43689.563078703701</v>
      </c>
      <c r="J7890" s="23" t="str">
        <f>HYPERLINK("https://www.spark-marketing.ru/Card/Person/5972284", "Костырин Алексей Михайлович")</f>
        <v>Костырин Алексей Михайлович</v>
      </c>
      <c r="K7890" s="24" t="s">
        <v>3202</v>
      </c>
      <c r="L7890" s="22" t="s">
        <v>10</v>
      </c>
      <c r="M7890" s="28" t="s">
        <v>51</v>
      </c>
      <c r="N7890" s="28" t="s">
        <v>51</v>
      </c>
    </row>
    <row r="7891" spans="1:14" ht="12.75" x14ac:dyDescent="0.2">
      <c r="A7891" s="23" t="str">
        <f>HYPERLINK("https://www.spark-marketing.ru/Card/Person/8010", "МО МВД РОССИИ ""НОВОЗЫБКОВСКИЙ""")</f>
        <v>МО МВД РОССИИ "НОВОЗЫБКОВСКИЙ"</v>
      </c>
      <c r="B7891" s="24" t="s">
        <v>8857</v>
      </c>
      <c r="C7891" s="25">
        <v>50091</v>
      </c>
      <c r="D7891" s="22" t="s">
        <v>11665</v>
      </c>
      <c r="E7891" s="22" t="s">
        <v>48</v>
      </c>
      <c r="F7891" s="23" t="str">
        <f>HYPERLINK("https://www.spark-marketing.ru/Card/Lot/72731709", "Услуги по ежедневному трехразовому горячему питанию, в том числе в выходные и праздничные дни, лиц, содержащихся в изоляторе временного содержания, а также лиц, задержанных на срок более трех часов, содержащихся в специальных помещениях МО МВД России...")</f>
        <v>Услуги по ежедневному трехразовому горячему питанию, в том числе в выходные и праздничные дни, лиц, содержащихся в изоляторе временного содержания, а также лиц, задержанных на срок более трех часов, содержащихся в специальных помещениях МО МВД России...</v>
      </c>
      <c r="G7891" s="22" t="s">
        <v>475</v>
      </c>
      <c r="H7891" s="22" t="s">
        <v>8859</v>
      </c>
      <c r="I7891" s="26">
        <v>43689.493692129603</v>
      </c>
      <c r="J7891" s="23" t="str">
        <f>HYPERLINK("https://www.spark-marketing.ru/Card/Person/329453", "ФКУ СИЗО-2 УФСИН РОССИИ ПО БРЯНСКОЙ ОБЛАСТИ")</f>
        <v>ФКУ СИЗО-2 УФСИН РОССИИ ПО БРЯНСКОЙ ОБЛАСТИ</v>
      </c>
      <c r="K7891" s="24" t="s">
        <v>8860</v>
      </c>
      <c r="L7891" s="22" t="s">
        <v>10</v>
      </c>
      <c r="M7891" s="25">
        <v>50091</v>
      </c>
      <c r="N7891" s="27">
        <v>0</v>
      </c>
    </row>
    <row r="7892" spans="1:14" collapsed="1" x14ac:dyDescent="0.15">
      <c r="A7892" s="23" t="str">
        <f t="shared" ref="A7892:A7898" si="171">HYPERLINK("https://www.spark-marketing.ru/Card/Person/295082", "ГБУЗ КККД")</f>
        <v>ГБУЗ КККД</v>
      </c>
      <c r="B7892" s="24" t="s">
        <v>11666</v>
      </c>
      <c r="C7892" s="25">
        <v>185150</v>
      </c>
      <c r="D7892" s="22" t="s">
        <v>11667</v>
      </c>
      <c r="E7892" s="22" t="s">
        <v>1807</v>
      </c>
      <c r="F7892" s="23" t="str">
        <f t="shared" ref="F7892:F7898" si="172">HYPERLINK("https://www.spark-marketing.ru/Card/Lot/72720568", "Оказание услуг по изготовлению информационной продукции")</f>
        <v>Оказание услуг по изготовлению информационной продукции</v>
      </c>
      <c r="G7892" s="22" t="s">
        <v>246</v>
      </c>
      <c r="H7892" s="22" t="s">
        <v>247</v>
      </c>
      <c r="I7892" s="26">
        <v>43689.529305555603</v>
      </c>
      <c r="J7892" s="28" t="s">
        <v>51</v>
      </c>
      <c r="K7892" s="28" t="s">
        <v>51</v>
      </c>
      <c r="L7892" s="28" t="s">
        <v>51</v>
      </c>
      <c r="M7892" s="28" t="s">
        <v>51</v>
      </c>
      <c r="N7892" s="28" t="s">
        <v>51</v>
      </c>
    </row>
    <row r="7893" spans="1:14" hidden="1" outlineLevel="1" x14ac:dyDescent="0.2">
      <c r="A7893" s="23" t="str">
        <f t="shared" si="171"/>
        <v>ГБУЗ КККД</v>
      </c>
      <c r="B7893" s="24" t="s">
        <v>11666</v>
      </c>
      <c r="C7893" s="25">
        <v>185150</v>
      </c>
      <c r="D7893" s="22" t="s">
        <v>11667</v>
      </c>
      <c r="E7893" s="22" t="s">
        <v>1807</v>
      </c>
      <c r="F7893" s="23" t="str">
        <f t="shared" si="172"/>
        <v>Оказание услуг по изготовлению информационной продукции</v>
      </c>
      <c r="G7893" s="22" t="s">
        <v>246</v>
      </c>
      <c r="H7893" s="22" t="s">
        <v>247</v>
      </c>
      <c r="I7893" s="26">
        <v>43689.529305555603</v>
      </c>
      <c r="J7893" s="23" t="str">
        <f>HYPERLINK("https://www.spark-marketing.ru/Card/Person/287289", "Сальков Владимир Алексеевич")</f>
        <v>Сальков Владимир Алексеевич</v>
      </c>
      <c r="K7893" s="24" t="s">
        <v>11668</v>
      </c>
      <c r="L7893" s="28" t="s">
        <v>51</v>
      </c>
      <c r="M7893" s="25">
        <v>127965.25</v>
      </c>
      <c r="N7893" s="27">
        <v>0.30885633270321361</v>
      </c>
    </row>
    <row r="7894" spans="1:14" hidden="1" outlineLevel="1" x14ac:dyDescent="0.2">
      <c r="A7894" s="23" t="str">
        <f t="shared" si="171"/>
        <v>ГБУЗ КККД</v>
      </c>
      <c r="B7894" s="24" t="s">
        <v>11666</v>
      </c>
      <c r="C7894" s="25">
        <v>185150</v>
      </c>
      <c r="D7894" s="22" t="s">
        <v>11667</v>
      </c>
      <c r="E7894" s="22" t="s">
        <v>1807</v>
      </c>
      <c r="F7894" s="23" t="str">
        <f t="shared" si="172"/>
        <v>Оказание услуг по изготовлению информационной продукции</v>
      </c>
      <c r="G7894" s="22" t="s">
        <v>246</v>
      </c>
      <c r="H7894" s="22" t="s">
        <v>247</v>
      </c>
      <c r="I7894" s="26">
        <v>43689.529305555603</v>
      </c>
      <c r="J7894" s="23" t="str">
        <f>HYPERLINK("https://www.spark-marketing.ru/Card/Person/6362798", "Арсеньева Ирина Вячеславовна")</f>
        <v>Арсеньева Ирина Вячеславовна</v>
      </c>
      <c r="K7894" s="24" t="s">
        <v>11669</v>
      </c>
      <c r="L7894" s="28" t="s">
        <v>51</v>
      </c>
      <c r="M7894" s="25">
        <v>79074.25</v>
      </c>
      <c r="N7894" s="27">
        <v>0.57291790440183632</v>
      </c>
    </row>
    <row r="7895" spans="1:14" hidden="1" outlineLevel="1" x14ac:dyDescent="0.2">
      <c r="A7895" s="23" t="str">
        <f t="shared" si="171"/>
        <v>ГБУЗ КККД</v>
      </c>
      <c r="B7895" s="24" t="s">
        <v>11666</v>
      </c>
      <c r="C7895" s="25">
        <v>185150</v>
      </c>
      <c r="D7895" s="22" t="s">
        <v>11667</v>
      </c>
      <c r="E7895" s="22" t="s">
        <v>1807</v>
      </c>
      <c r="F7895" s="23" t="str">
        <f t="shared" si="172"/>
        <v>Оказание услуг по изготовлению информационной продукции</v>
      </c>
      <c r="G7895" s="22" t="s">
        <v>246</v>
      </c>
      <c r="H7895" s="22" t="s">
        <v>247</v>
      </c>
      <c r="I7895" s="26">
        <v>43689.529305555603</v>
      </c>
      <c r="J7895" s="23" t="str">
        <f>HYPERLINK("https://www.spark-marketing.ru/Card/Person/5773961", "ООО ""СЛАВЯНСКАЯ ТИПОГРАФИЯ""")</f>
        <v>ООО "СЛАВЯНСКАЯ ТИПОГРАФИЯ"</v>
      </c>
      <c r="K7895" s="24" t="s">
        <v>1814</v>
      </c>
      <c r="L7895" s="28" t="s">
        <v>51</v>
      </c>
      <c r="M7895" s="25">
        <v>129816.75</v>
      </c>
      <c r="N7895" s="27">
        <v>0.2988563327032136</v>
      </c>
    </row>
    <row r="7896" spans="1:14" hidden="1" outlineLevel="1" x14ac:dyDescent="0.2">
      <c r="A7896" s="23" t="str">
        <f t="shared" si="171"/>
        <v>ГБУЗ КККД</v>
      </c>
      <c r="B7896" s="24" t="s">
        <v>11666</v>
      </c>
      <c r="C7896" s="25">
        <v>185150</v>
      </c>
      <c r="D7896" s="22" t="s">
        <v>11667</v>
      </c>
      <c r="E7896" s="22" t="s">
        <v>1807</v>
      </c>
      <c r="F7896" s="23" t="str">
        <f t="shared" si="172"/>
        <v>Оказание услуг по изготовлению информационной продукции</v>
      </c>
      <c r="G7896" s="22" t="s">
        <v>246</v>
      </c>
      <c r="H7896" s="22" t="s">
        <v>247</v>
      </c>
      <c r="I7896" s="26">
        <v>43689.529305555603</v>
      </c>
      <c r="J7896" s="23" t="str">
        <f>HYPERLINK("https://www.spark-marketing.ru/Card/Person/6687983", "Ищук Дмитрий Сергеевич")</f>
        <v>Ищук Дмитрий Сергеевич</v>
      </c>
      <c r="K7896" s="24" t="s">
        <v>11670</v>
      </c>
      <c r="L7896" s="28" t="s">
        <v>51</v>
      </c>
      <c r="M7896" s="25">
        <v>119074.25</v>
      </c>
      <c r="N7896" s="27">
        <v>0.35687685660275453</v>
      </c>
    </row>
    <row r="7897" spans="1:14" ht="12.75" hidden="1" outlineLevel="1" x14ac:dyDescent="0.2">
      <c r="A7897" s="23" t="str">
        <f t="shared" si="171"/>
        <v>ГБУЗ КККД</v>
      </c>
      <c r="B7897" s="24" t="s">
        <v>11666</v>
      </c>
      <c r="C7897" s="25">
        <v>185150</v>
      </c>
      <c r="D7897" s="22" t="s">
        <v>11667</v>
      </c>
      <c r="E7897" s="22" t="s">
        <v>1807</v>
      </c>
      <c r="F7897" s="23" t="str">
        <f t="shared" si="172"/>
        <v>Оказание услуг по изготовлению информационной продукции</v>
      </c>
      <c r="G7897" s="22" t="s">
        <v>246</v>
      </c>
      <c r="H7897" s="22" t="s">
        <v>247</v>
      </c>
      <c r="I7897" s="26">
        <v>43689.529305555603</v>
      </c>
      <c r="J7897" s="23" t="str">
        <f>HYPERLINK("https://www.spark-marketing.ru/Card/Person/6410659", "ООО ""МЕГАПРИНТ""")</f>
        <v>ООО "МЕГАПРИНТ"</v>
      </c>
      <c r="K7897" s="24" t="s">
        <v>11671</v>
      </c>
      <c r="L7897" s="22" t="s">
        <v>10</v>
      </c>
      <c r="M7897" s="25">
        <v>48742.5</v>
      </c>
      <c r="N7897" s="27">
        <v>0.73674048069133136</v>
      </c>
    </row>
    <row r="7898" spans="1:14" hidden="1" outlineLevel="1" x14ac:dyDescent="0.2">
      <c r="A7898" s="23" t="str">
        <f t="shared" si="171"/>
        <v>ГБУЗ КККД</v>
      </c>
      <c r="B7898" s="24" t="s">
        <v>11666</v>
      </c>
      <c r="C7898" s="25">
        <v>185150</v>
      </c>
      <c r="D7898" s="22" t="s">
        <v>11667</v>
      </c>
      <c r="E7898" s="22" t="s">
        <v>1807</v>
      </c>
      <c r="F7898" s="23" t="str">
        <f t="shared" si="172"/>
        <v>Оказание услуг по изготовлению информационной продукции</v>
      </c>
      <c r="G7898" s="22" t="s">
        <v>246</v>
      </c>
      <c r="H7898" s="22" t="s">
        <v>247</v>
      </c>
      <c r="I7898" s="26">
        <v>43689.529305555603</v>
      </c>
      <c r="J7898" s="23" t="str">
        <f>HYPERLINK("https://www.spark-marketing.ru/Card/Person/280432", "ООО ""КАМЧАТПРЕСС""")</f>
        <v>ООО "КАМЧАТПРЕСС"</v>
      </c>
      <c r="K7898" s="24" t="s">
        <v>11672</v>
      </c>
      <c r="L7898" s="28" t="s">
        <v>51</v>
      </c>
      <c r="M7898" s="25">
        <v>58000</v>
      </c>
      <c r="N7898" s="27">
        <v>0.68674048069133131</v>
      </c>
    </row>
    <row r="7899" spans="1:14" x14ac:dyDescent="0.15">
      <c r="A7899" s="23" t="str">
        <f>HYPERLINK("https://www.spark-marketing.ru/Card/Person/1057449", "ОТДЕЛ МВД РОССИИ ПО КАСЛИНСКОМУ РАЙОНУ ЧЕЛЯБИНСКОЙ ОБЛАСТИ")</f>
        <v>ОТДЕЛ МВД РОССИИ ПО КАСЛИНСКОМУ РАЙОНУ ЧЕЛЯБИНСКОЙ ОБЛАСТИ</v>
      </c>
      <c r="B7899" s="24" t="s">
        <v>11673</v>
      </c>
      <c r="C7899" s="25">
        <v>92687.6</v>
      </c>
      <c r="D7899" s="22" t="s">
        <v>11674</v>
      </c>
      <c r="E7899" s="22" t="s">
        <v>96</v>
      </c>
      <c r="F7899" s="23" t="str">
        <f>HYPERLINK("https://www.spark-marketing.ru/Card/Lot/72729642",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7899" s="22" t="s">
        <v>469</v>
      </c>
      <c r="H7899" s="22" t="s">
        <v>11675</v>
      </c>
      <c r="I7899" s="26">
        <v>43689.5288194444</v>
      </c>
      <c r="J7899" s="28" t="s">
        <v>51</v>
      </c>
      <c r="K7899" s="28" t="s">
        <v>51</v>
      </c>
      <c r="L7899" s="28" t="s">
        <v>51</v>
      </c>
      <c r="M7899" s="28" t="s">
        <v>51</v>
      </c>
      <c r="N7899" s="28" t="s">
        <v>51</v>
      </c>
    </row>
    <row r="7900" spans="1:14" x14ac:dyDescent="0.15">
      <c r="A7900" s="23" t="str">
        <f>HYPERLINK("https://www.spark-marketing.ru/Card/Person/100639", "ОТДЕЛ МВД РОССИИ ПО ТАЙМЫРСКОМУ ДОЛГАНО-НЕНЕЦКОМУ РАЙОНУ")</f>
        <v>ОТДЕЛ МВД РОССИИ ПО ТАЙМЫРСКОМУ ДОЛГАНО-НЕНЕЦКОМУ РАЙОНУ</v>
      </c>
      <c r="B7900" s="24" t="s">
        <v>1441</v>
      </c>
      <c r="C7900" s="25">
        <v>800000</v>
      </c>
      <c r="D7900" s="22" t="s">
        <v>11676</v>
      </c>
      <c r="E7900" s="22" t="s">
        <v>48</v>
      </c>
      <c r="F7900" s="23" t="str">
        <f>HYPERLINK("https://www.spark-marketing.ru/Card/Lot/72727456", "Услуги по организации горячего питания")</f>
        <v>Услуги по организации горячего питания</v>
      </c>
      <c r="G7900" s="22" t="s">
        <v>281</v>
      </c>
      <c r="H7900" s="22" t="s">
        <v>281</v>
      </c>
      <c r="I7900" s="26">
        <v>43689.513437499998</v>
      </c>
      <c r="J7900" s="23" t="str">
        <f>HYPERLINK("https://www.spark-marketing.ru/Card/Person/475480", "Власенко Алёна Владимировна")</f>
        <v>Власенко Алёна Владимировна</v>
      </c>
      <c r="K7900" s="24" t="s">
        <v>1443</v>
      </c>
      <c r="L7900" s="22" t="s">
        <v>10</v>
      </c>
      <c r="M7900" s="28" t="s">
        <v>51</v>
      </c>
      <c r="N7900" s="28" t="s">
        <v>51</v>
      </c>
    </row>
    <row r="7901" spans="1:14" x14ac:dyDescent="0.15">
      <c r="A7901" s="23" t="str">
        <f>HYPERLINK("https://www.spark-marketing.ru/Card/Person/732268", "ОМВД РОССИИ ПО МЕДВЕЖЬЕГОРСКОМУ РАЙОНУ")</f>
        <v>ОМВД РОССИИ ПО МЕДВЕЖЬЕГОРСКОМУ РАЙОНУ</v>
      </c>
      <c r="B7901" s="24" t="s">
        <v>3114</v>
      </c>
      <c r="C7901" s="25">
        <v>281880</v>
      </c>
      <c r="D7901" s="22" t="s">
        <v>11677</v>
      </c>
      <c r="E7901" s="22" t="s">
        <v>96</v>
      </c>
      <c r="F7901" s="23" t="str">
        <f>HYPERLINK("https://www.spark-marketing.ru/Card/Lot/72728319", "Оказание услуг по организации питания (приготовлению и доставке), 972 шт")</f>
        <v>Оказание услуг по организации питания (приготовлению и доставке), 972 шт</v>
      </c>
      <c r="G7901" s="22" t="s">
        <v>59</v>
      </c>
      <c r="H7901" s="22" t="s">
        <v>3116</v>
      </c>
      <c r="I7901" s="26">
        <v>43689.5012615741</v>
      </c>
      <c r="J7901" s="28" t="s">
        <v>51</v>
      </c>
      <c r="K7901" s="28" t="s">
        <v>51</v>
      </c>
      <c r="L7901" s="28" t="s">
        <v>51</v>
      </c>
      <c r="M7901" s="28" t="s">
        <v>51</v>
      </c>
      <c r="N7901" s="28" t="s">
        <v>51</v>
      </c>
    </row>
    <row r="7902" spans="1:14" x14ac:dyDescent="0.15">
      <c r="A7902" s="23" t="str">
        <f>HYPERLINK("https://www.spark-marketing.ru/Card/Person/37941", "ГБУЗ ПК ""БОЛЬШЕСОСНОВСКАЯ ЦРБ ИМ. КОЛЧАНОВОЙ Г.Ф.""")</f>
        <v>ГБУЗ ПК "БОЛЬШЕСОСНОВСКАЯ ЦРБ ИМ. КОЛЧАНОВОЙ Г.Ф."</v>
      </c>
      <c r="B7902" s="24" t="s">
        <v>11678</v>
      </c>
      <c r="C7902" s="25">
        <v>499969.8</v>
      </c>
      <c r="D7902" s="22" t="s">
        <v>11679</v>
      </c>
      <c r="E7902" s="22" t="s">
        <v>96</v>
      </c>
      <c r="F7902" s="23" t="str">
        <f>HYPERLINK("https://www.spark-marketing.ru/Card/Lot/72730520", "УСЛУГИ ПО ОРГАНИЗАЦИИ ПИТАНИЯ")</f>
        <v>УСЛУГИ ПО ОРГАНИЗАЦИИ ПИТАНИЯ</v>
      </c>
      <c r="G7902" s="22" t="s">
        <v>153</v>
      </c>
      <c r="H7902" s="22" t="s">
        <v>153</v>
      </c>
      <c r="I7902" s="26">
        <v>43689.535474536999</v>
      </c>
      <c r="J7902" s="23" t="str">
        <f>HYPERLINK("https://www.spark-marketing.ru/Card/Person/38488", "Бурдина Елена Дмитриевна")</f>
        <v>Бурдина Елена Дмитриевна</v>
      </c>
      <c r="K7902" s="24" t="s">
        <v>11680</v>
      </c>
      <c r="L7902" s="22" t="s">
        <v>10</v>
      </c>
      <c r="M7902" s="28" t="s">
        <v>51</v>
      </c>
      <c r="N7902" s="28" t="s">
        <v>51</v>
      </c>
    </row>
    <row r="7903" spans="1:14" x14ac:dyDescent="0.15">
      <c r="A7903" s="23" t="str">
        <f>HYPERLINK("https://www.spark-marketing.ru/Card/Person/100639", "ОТДЕЛ МВД РОССИИ ПО ТАЙМЫРСКОМУ ДОЛГАНО-НЕНЕЦКОМУ РАЙОНУ")</f>
        <v>ОТДЕЛ МВД РОССИИ ПО ТАЙМЫРСКОМУ ДОЛГАНО-НЕНЕЦКОМУ РАЙОНУ</v>
      </c>
      <c r="B7903" s="24" t="s">
        <v>1441</v>
      </c>
      <c r="C7903" s="25">
        <v>800000</v>
      </c>
      <c r="D7903" s="22" t="s">
        <v>11681</v>
      </c>
      <c r="E7903" s="22" t="s">
        <v>48</v>
      </c>
      <c r="F7903" s="23" t="str">
        <f>HYPERLINK("https://www.spark-marketing.ru/Card/Lot/72727449", "Услуги по организации горячего питания")</f>
        <v>Услуги по организации горячего питания</v>
      </c>
      <c r="G7903" s="22" t="s">
        <v>281</v>
      </c>
      <c r="H7903" s="22" t="s">
        <v>281</v>
      </c>
      <c r="I7903" s="26">
        <v>43689.505648148202</v>
      </c>
      <c r="J7903" s="23" t="str">
        <f>HYPERLINK("https://www.spark-marketing.ru/Card/Person/475480", "Власенко Алёна Владимировна")</f>
        <v>Власенко Алёна Владимировна</v>
      </c>
      <c r="K7903" s="24" t="s">
        <v>1443</v>
      </c>
      <c r="L7903" s="22" t="s">
        <v>10</v>
      </c>
      <c r="M7903" s="28" t="s">
        <v>51</v>
      </c>
      <c r="N7903" s="28" t="s">
        <v>51</v>
      </c>
    </row>
    <row r="7904" spans="1:14" x14ac:dyDescent="0.15">
      <c r="A7904" s="23" t="str">
        <f>HYPERLINK("https://www.spark-marketing.ru/Card/Person/732268", "ОМВД РОССИИ ПО МЕДВЕЖЬЕГОРСКОМУ РАЙОНУ")</f>
        <v>ОМВД РОССИИ ПО МЕДВЕЖЬЕГОРСКОМУ РАЙОНУ</v>
      </c>
      <c r="B7904" s="24" t="s">
        <v>3114</v>
      </c>
      <c r="C7904" s="25">
        <v>281880</v>
      </c>
      <c r="D7904" s="22" t="s">
        <v>11682</v>
      </c>
      <c r="E7904" s="22" t="s">
        <v>96</v>
      </c>
      <c r="F7904" s="23" t="str">
        <f>HYPERLINK("https://www.spark-marketing.ru/Card/Lot/72728544", "Оказание услуг по организации питания (приготовлению и доставке), 972 шт")</f>
        <v>Оказание услуг по организации питания (приготовлению и доставке), 972 шт</v>
      </c>
      <c r="G7904" s="22" t="s">
        <v>59</v>
      </c>
      <c r="H7904" s="22" t="s">
        <v>3116</v>
      </c>
      <c r="I7904" s="26">
        <v>43689.5078587963</v>
      </c>
      <c r="J7904" s="28" t="s">
        <v>51</v>
      </c>
      <c r="K7904" s="28" t="s">
        <v>51</v>
      </c>
      <c r="L7904" s="28" t="s">
        <v>51</v>
      </c>
      <c r="M7904" s="28" t="s">
        <v>51</v>
      </c>
      <c r="N7904" s="28" t="s">
        <v>51</v>
      </c>
    </row>
    <row r="7905" spans="1:14" x14ac:dyDescent="0.15">
      <c r="A7905" s="23" t="str">
        <f>HYPERLINK("https://www.spark-marketing.ru/Card/Person/999851", "ОТДЕЛ МВД РОССИИ ПО Г. ДОНЕЦКУ")</f>
        <v>ОТДЕЛ МВД РОССИИ ПО Г. ДОНЕЦКУ</v>
      </c>
      <c r="B7905" s="24" t="s">
        <v>9106</v>
      </c>
      <c r="C7905" s="25">
        <v>297000</v>
      </c>
      <c r="D7905" s="22" t="s">
        <v>11683</v>
      </c>
      <c r="E7905" s="22" t="s">
        <v>96</v>
      </c>
      <c r="F7905" s="23" t="str">
        <f>HYPERLINK("https://www.spark-marketing.ru/Card/Lot/72728553", "Оказание услуг по организации питания (приготовлению и доставке), 990 шт")</f>
        <v>Оказание услуг по организации питания (приготовлению и доставке), 990 шт</v>
      </c>
      <c r="G7905" s="22" t="s">
        <v>267</v>
      </c>
      <c r="H7905" s="22" t="s">
        <v>9108</v>
      </c>
      <c r="I7905" s="26">
        <v>43689.511759259301</v>
      </c>
      <c r="J7905" s="28" t="s">
        <v>51</v>
      </c>
      <c r="K7905" s="28" t="s">
        <v>51</v>
      </c>
      <c r="L7905" s="28" t="s">
        <v>51</v>
      </c>
      <c r="M7905" s="28" t="s">
        <v>51</v>
      </c>
      <c r="N7905" s="28" t="s">
        <v>51</v>
      </c>
    </row>
    <row r="7906" spans="1:14" x14ac:dyDescent="0.15">
      <c r="A7906" s="23" t="str">
        <f>HYPERLINK("https://www.spark-marketing.ru/Card/Person/1066394", "МО МВД РОССИИ ""ЛЬГОВСКИЙ""")</f>
        <v>МО МВД РОССИИ "ЛЬГОВСКИЙ"</v>
      </c>
      <c r="B7906" s="24" t="s">
        <v>11684</v>
      </c>
      <c r="C7906" s="25">
        <v>4700</v>
      </c>
      <c r="D7906" s="22" t="s">
        <v>11685</v>
      </c>
      <c r="E7906" s="22" t="s">
        <v>48</v>
      </c>
      <c r="F7906" s="23" t="str">
        <f>HYPERLINK("https://www.spark-marketing.ru/Card/Lot/72728321", "Услуги общественного питания, 18 усл. ед")</f>
        <v>Услуги общественного питания, 18 усл. ед</v>
      </c>
      <c r="G7906" s="22" t="s">
        <v>1111</v>
      </c>
      <c r="H7906" s="22" t="s">
        <v>11686</v>
      </c>
      <c r="I7906" s="26">
        <v>43689.501863425903</v>
      </c>
      <c r="J7906" s="28" t="s">
        <v>51</v>
      </c>
      <c r="K7906" s="28" t="s">
        <v>51</v>
      </c>
      <c r="L7906" s="28" t="s">
        <v>51</v>
      </c>
      <c r="M7906" s="28" t="s">
        <v>51</v>
      </c>
      <c r="N7906" s="28" t="s">
        <v>51</v>
      </c>
    </row>
    <row r="7907" spans="1:14" x14ac:dyDescent="0.15">
      <c r="A7907" s="23" t="str">
        <f>HYPERLINK("https://www.spark-marketing.ru/Card/Person/140828", "ОТДЕЛ МВД РОССИИ ПО ЧАЙКОВСКОМУ ГОРОДСКОМУ ОКРУГУ")</f>
        <v>ОТДЕЛ МВД РОССИИ ПО ЧАЙКОВСКОМУ ГОРОДСКОМУ ОКРУГУ</v>
      </c>
      <c r="B7907" s="24" t="s">
        <v>11687</v>
      </c>
      <c r="C7907" s="25">
        <v>1930800</v>
      </c>
      <c r="D7907" s="22" t="s">
        <v>11688</v>
      </c>
      <c r="E7907" s="22" t="s">
        <v>48</v>
      </c>
      <c r="F7907" s="23" t="str">
        <f>HYPERLINK("https://www.spark-marketing.ru/Card/Lot/72733512", "Услуги по обеспечению горячим питанием лиц, содержащихся в ИВС, СПАА, а также лиц, задержанных за административные правонарушения на срок более трех часов.")</f>
        <v>Услуги по обеспечению горячим питанием лиц, содержащихся в ИВС, СПАА, а также лиц, задержанных за административные правонарушения на срок более трех часов.</v>
      </c>
      <c r="G7907" s="22" t="s">
        <v>153</v>
      </c>
      <c r="H7907" s="22" t="s">
        <v>6056</v>
      </c>
      <c r="I7907" s="26">
        <v>43689.484085648102</v>
      </c>
      <c r="J7907" s="23" t="str">
        <f>HYPERLINK("https://www.spark-marketing.ru/Card/Person/750261", "Филатова Оксана Рафиковна")</f>
        <v>Филатова Оксана Рафиковна</v>
      </c>
      <c r="K7907" s="24" t="s">
        <v>11689</v>
      </c>
      <c r="L7907" s="22" t="s">
        <v>10</v>
      </c>
      <c r="M7907" s="28" t="s">
        <v>51</v>
      </c>
      <c r="N7907" s="28" t="s">
        <v>51</v>
      </c>
    </row>
    <row r="7908" spans="1:14" ht="12.75" x14ac:dyDescent="0.2">
      <c r="A7908" s="23" t="str">
        <f>HYPERLINK("https://www.spark-marketing.ru/Card/Person/8010", "МО МВД РОССИИ ""НОВОЗЫБКОВСКИЙ""")</f>
        <v>МО МВД РОССИИ "НОВОЗЫБКОВСКИЙ"</v>
      </c>
      <c r="B7908" s="24" t="s">
        <v>8857</v>
      </c>
      <c r="C7908" s="25">
        <v>499891.20000000001</v>
      </c>
      <c r="D7908" s="22" t="s">
        <v>11690</v>
      </c>
      <c r="E7908" s="22" t="s">
        <v>48</v>
      </c>
      <c r="F7908" s="23" t="str">
        <f>HYPERLINK("https://www.spark-marketing.ru/Card/Lot/72730440", "Услуги по организации ежедневного трехразового горячего питания, в том числе в выходные и праздничные дни лиц, содержащихся в специальном приемнике для содержания лиц, подвергнутых административному аресту МО МВД России «Новозыбковский»")</f>
        <v>Услуги по организации ежедневного трехразового горячего питания, в том числе в выходные и праздничные дни лиц, содержащихся в специальном приемнике для содержания лиц, подвергнутых административному аресту МО МВД России «Новозыбковский»</v>
      </c>
      <c r="G7908" s="22" t="s">
        <v>475</v>
      </c>
      <c r="H7908" s="22" t="s">
        <v>8859</v>
      </c>
      <c r="I7908" s="26">
        <v>43689.4555092593</v>
      </c>
      <c r="J7908" s="23" t="str">
        <f>HYPERLINK("https://www.spark-marketing.ru/Card/Person/329453", "ФКУ СИЗО-2 УФСИН РОССИИ ПО БРЯНСКОЙ ОБЛАСТИ")</f>
        <v>ФКУ СИЗО-2 УФСИН РОССИИ ПО БРЯНСКОЙ ОБЛАСТИ</v>
      </c>
      <c r="K7908" s="24" t="s">
        <v>8860</v>
      </c>
      <c r="L7908" s="22" t="s">
        <v>10</v>
      </c>
      <c r="M7908" s="25">
        <v>499891.20000000001</v>
      </c>
      <c r="N7908" s="27">
        <v>0</v>
      </c>
    </row>
    <row r="7909" spans="1:14" x14ac:dyDescent="0.15">
      <c r="A7909" s="23" t="str">
        <f>HYPERLINK("https://www.spark-marketing.ru/Card/Person/1066394", "МО МВД РОССИИ ""ЛЬГОВСКИЙ""")</f>
        <v>МО МВД РОССИИ "ЛЬГОВСКИЙ"</v>
      </c>
      <c r="B7909" s="24" t="s">
        <v>11684</v>
      </c>
      <c r="C7909" s="25">
        <v>2500</v>
      </c>
      <c r="D7909" s="22" t="s">
        <v>11691</v>
      </c>
      <c r="E7909" s="22" t="s">
        <v>48</v>
      </c>
      <c r="F7909" s="23" t="str">
        <f>HYPERLINK("https://www.spark-marketing.ru/Card/Lot/72728144", "Услуги общественного питания, 10 усл. ед")</f>
        <v>Услуги общественного питания, 10 усл. ед</v>
      </c>
      <c r="G7909" s="22" t="s">
        <v>1111</v>
      </c>
      <c r="H7909" s="22" t="s">
        <v>11686</v>
      </c>
      <c r="I7909" s="26">
        <v>43689.494247685201</v>
      </c>
      <c r="J7909" s="28" t="s">
        <v>51</v>
      </c>
      <c r="K7909" s="28" t="s">
        <v>51</v>
      </c>
      <c r="L7909" s="28" t="s">
        <v>51</v>
      </c>
      <c r="M7909" s="28" t="s">
        <v>51</v>
      </c>
      <c r="N7909" s="28" t="s">
        <v>51</v>
      </c>
    </row>
    <row r="7910" spans="1:14" x14ac:dyDescent="0.15">
      <c r="A7910" s="23" t="str">
        <f>HYPERLINK("https://www.spark-marketing.ru/Card/Person/79653", "КГБПОУ ""БОГОТОЛЬСКИЙ ТЕХНИКУМ ТРАНСПОРТА""")</f>
        <v>КГБПОУ "БОГОТОЛЬСКИЙ ТЕХНИКУМ ТРАНСПОРТА"</v>
      </c>
      <c r="B7910" s="24" t="s">
        <v>11692</v>
      </c>
      <c r="C7910" s="25">
        <v>2539634.2400000002</v>
      </c>
      <c r="D7910" s="22" t="s">
        <v>11693</v>
      </c>
      <c r="E7910" s="22" t="s">
        <v>48</v>
      </c>
      <c r="F7910" s="23" t="str">
        <f>HYPERLINK("https://www.spark-marketing.ru/Card/Lot/72721688", "ЭА № 45909/19 -Оказание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«Боготольский техникум транспорта»")</f>
        <v>ЭА № 45909/19 -Оказание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«Боготольский техникум транспорта»</v>
      </c>
      <c r="G7910" s="22" t="s">
        <v>281</v>
      </c>
      <c r="H7910" s="22" t="s">
        <v>11694</v>
      </c>
      <c r="I7910" s="26">
        <v>43689.471736111103</v>
      </c>
      <c r="J7910" s="23" t="str">
        <f>HYPERLINK("https://www.spark-marketing.ru/Card/Person/200493", "Федоров Юрий Васильевич")</f>
        <v>Федоров Юрий Васильевич</v>
      </c>
      <c r="K7910" s="24" t="s">
        <v>11695</v>
      </c>
      <c r="L7910" s="22" t="s">
        <v>10</v>
      </c>
      <c r="M7910" s="28" t="s">
        <v>51</v>
      </c>
      <c r="N7910" s="28" t="s">
        <v>51</v>
      </c>
    </row>
    <row r="7911" spans="1:14" collapsed="1" x14ac:dyDescent="0.15">
      <c r="A7911" s="23" t="str">
        <f>HYPERLINK("https://www.spark-marketing.ru/Card/Person/21055", "ГБКУ АО ""АРХАНГЕЛЬСКИЙ ЦСПСИД""")</f>
        <v>ГБКУ АО "АРХАНГЕЛЬСКИЙ ЦСПСИД"</v>
      </c>
      <c r="B7911" s="24" t="s">
        <v>11696</v>
      </c>
      <c r="C7911" s="25">
        <v>10080095</v>
      </c>
      <c r="D7911" s="22" t="s">
        <v>11697</v>
      </c>
      <c r="E7911" s="22" t="s">
        <v>48</v>
      </c>
      <c r="F7911" s="23" t="str">
        <f>HYPERLINK("https://www.spark-marketing.ru/Card/Lot/72733303", "Оказание услуг по организации горячего питания для несовершеннолетних находящихся в ГБКУ АО ""Архангельский ЦСПСиД""")</f>
        <v>Оказание услуг по организации горячего питания для несовершеннолетних находящихся в ГБКУ АО "Архангельский ЦСПСиД"</v>
      </c>
      <c r="G7911" s="22" t="s">
        <v>214</v>
      </c>
      <c r="H7911" s="22" t="s">
        <v>523</v>
      </c>
      <c r="I7911" s="26">
        <v>43689.477650462999</v>
      </c>
      <c r="J7911" s="28" t="s">
        <v>51</v>
      </c>
      <c r="K7911" s="28" t="s">
        <v>51</v>
      </c>
      <c r="L7911" s="28" t="s">
        <v>51</v>
      </c>
      <c r="M7911" s="28" t="s">
        <v>51</v>
      </c>
      <c r="N7911" s="28" t="s">
        <v>51</v>
      </c>
    </row>
    <row r="7912" spans="1:14" ht="12.75" hidden="1" outlineLevel="1" x14ac:dyDescent="0.2">
      <c r="A7912" s="23" t="str">
        <f>HYPERLINK("https://www.spark-marketing.ru/Card/Person/21055", "ГБКУ АО ""АРХАНГЕЛЬСКИЙ ЦСПСИД""")</f>
        <v>ГБКУ АО "АРХАНГЕЛЬСКИЙ ЦСПСИД"</v>
      </c>
      <c r="B7912" s="24" t="s">
        <v>11696</v>
      </c>
      <c r="C7912" s="25">
        <v>10080095</v>
      </c>
      <c r="D7912" s="22" t="s">
        <v>11697</v>
      </c>
      <c r="E7912" s="22" t="s">
        <v>48</v>
      </c>
      <c r="F7912" s="23" t="str">
        <f>HYPERLINK("https://www.spark-marketing.ru/Card/Lot/72733303", "Оказание услуг по организации горячего питания для несовершеннолетних находящихся в ГБКУ АО ""Архангельский ЦСПСиД""")</f>
        <v>Оказание услуг по организации горячего питания для несовершеннолетних находящихся в ГБКУ АО "Архангельский ЦСПСиД"</v>
      </c>
      <c r="G7912" s="22" t="s">
        <v>214</v>
      </c>
      <c r="H7912" s="22" t="s">
        <v>523</v>
      </c>
      <c r="I7912" s="26">
        <v>43689.477650462999</v>
      </c>
      <c r="J7912" s="23" t="str">
        <f>HYPERLINK("https://www.spark-marketing.ru/Card/Person/1998441", "ООО ""ФОРТУНА""")</f>
        <v>ООО "ФОРТУНА"</v>
      </c>
      <c r="K7912" s="24" t="s">
        <v>11698</v>
      </c>
      <c r="L7912" s="22" t="s">
        <v>10</v>
      </c>
      <c r="M7912" s="25">
        <v>9828092.5999999996</v>
      </c>
      <c r="N7912" s="27">
        <v>2.5000002480135355E-2</v>
      </c>
    </row>
    <row r="7913" spans="1:14" hidden="1" outlineLevel="1" x14ac:dyDescent="0.2">
      <c r="A7913" s="23" t="str">
        <f>HYPERLINK("https://www.spark-marketing.ru/Card/Person/21055", "ГБКУ АО ""АРХАНГЕЛЬСКИЙ ЦСПСИД""")</f>
        <v>ГБКУ АО "АРХАНГЕЛЬСКИЙ ЦСПСИД"</v>
      </c>
      <c r="B7913" s="24" t="s">
        <v>11696</v>
      </c>
      <c r="C7913" s="25">
        <v>10080095</v>
      </c>
      <c r="D7913" s="22" t="s">
        <v>11697</v>
      </c>
      <c r="E7913" s="22" t="s">
        <v>48</v>
      </c>
      <c r="F7913" s="23" t="str">
        <f>HYPERLINK("https://www.spark-marketing.ru/Card/Lot/72733303", "Оказание услуг по организации горячего питания для несовершеннолетних находящихся в ГБКУ АО ""Архангельский ЦСПСиД""")</f>
        <v>Оказание услуг по организации горячего питания для несовершеннолетних находящихся в ГБКУ АО "Архангельский ЦСПСиД"</v>
      </c>
      <c r="G7913" s="22" t="s">
        <v>214</v>
      </c>
      <c r="H7913" s="22" t="s">
        <v>523</v>
      </c>
      <c r="I7913" s="26">
        <v>43689.477650462999</v>
      </c>
      <c r="J7913" s="23" t="str">
        <f>HYPERLINK("https://www.spark-marketing.ru/Card/Person/80061", "ООО ""АРХАНГЕЛЬСКИЙ ТРЕСТ СТОЛОВЫХ""")</f>
        <v>ООО "АРХАНГЕЛЬСКИЙ ТРЕСТ СТОЛОВЫХ"</v>
      </c>
      <c r="K7913" s="24" t="s">
        <v>8895</v>
      </c>
      <c r="L7913" s="28" t="s">
        <v>51</v>
      </c>
      <c r="M7913" s="25">
        <v>9878493.0800000001</v>
      </c>
      <c r="N7913" s="27">
        <v>2.0000001984108284E-2</v>
      </c>
    </row>
    <row r="7914" spans="1:14" collapsed="1" x14ac:dyDescent="0.15">
      <c r="A7914" s="23" t="str">
        <f t="shared" ref="A7914:A7919" si="173">HYPERLINK("https://www.spark-marketing.ru/Card/Person/10601", "АРБИТРАЖНЫЙ СУД ПЕНЗЕНСКОЙ ОБЛАСТИ")</f>
        <v>АРБИТРАЖНЫЙ СУД ПЕНЗЕНСКОЙ ОБЛАСТИ</v>
      </c>
      <c r="B7914" s="24" t="s">
        <v>11699</v>
      </c>
      <c r="C7914" s="25">
        <v>740800</v>
      </c>
      <c r="D7914" s="22" t="s">
        <v>11700</v>
      </c>
      <c r="E7914" s="22" t="s">
        <v>355</v>
      </c>
      <c r="F7914" s="23" t="str">
        <f t="shared" ref="F7914:F7919" si="174">HYPERLINK("https://www.spark-marketing.ru/Card/Lot/72730422", "Оказание услуги по ремонту и настройке ИБП ENTEL IPX M60CP Системы бесперебойного питания административного здания Арбитражного суда Пензенской области, с заменой аккумуляторных батарей")</f>
        <v>Оказание услуги по ремонту и настройке ИБП ENTEL IPX M60CP Системы бесперебойного питания административного здания Арбитражного суда Пензенской области, с заменой аккумуляторных батарей</v>
      </c>
      <c r="G7914" s="22" t="s">
        <v>72</v>
      </c>
      <c r="H7914" s="22" t="s">
        <v>4552</v>
      </c>
      <c r="I7914" s="26">
        <v>43689.481932870403</v>
      </c>
      <c r="J7914" s="28" t="s">
        <v>51</v>
      </c>
      <c r="K7914" s="28" t="s">
        <v>51</v>
      </c>
      <c r="L7914" s="28" t="s">
        <v>51</v>
      </c>
      <c r="M7914" s="28" t="s">
        <v>51</v>
      </c>
      <c r="N7914" s="28" t="s">
        <v>51</v>
      </c>
    </row>
    <row r="7915" spans="1:14" hidden="1" outlineLevel="1" x14ac:dyDescent="0.2">
      <c r="A7915" s="23" t="str">
        <f t="shared" si="173"/>
        <v>АРБИТРАЖНЫЙ СУД ПЕНЗЕНСКОЙ ОБЛАСТИ</v>
      </c>
      <c r="B7915" s="24" t="s">
        <v>11699</v>
      </c>
      <c r="C7915" s="25">
        <v>740800</v>
      </c>
      <c r="D7915" s="22" t="s">
        <v>11700</v>
      </c>
      <c r="E7915" s="22" t="s">
        <v>355</v>
      </c>
      <c r="F7915" s="23" t="str">
        <f t="shared" si="174"/>
        <v>Оказание услуги по ремонту и настройке ИБП ENTEL IPX M60CP Системы бесперебойного питания административного здания Арбитражного суда Пензенской области, с заменой аккумуляторных батарей</v>
      </c>
      <c r="G7915" s="22" t="s">
        <v>72</v>
      </c>
      <c r="H7915" s="22" t="s">
        <v>4552</v>
      </c>
      <c r="I7915" s="26">
        <v>43689.481932870403</v>
      </c>
      <c r="J7915" s="23" t="str">
        <f>HYPERLINK("https://www.spark-marketing.ru/Card/Person/179436", "ООО ""АСЭС""")</f>
        <v>ООО "АСЭС"</v>
      </c>
      <c r="K7915" s="24" t="s">
        <v>11701</v>
      </c>
      <c r="L7915" s="28" t="s">
        <v>51</v>
      </c>
      <c r="M7915" s="25">
        <v>664265.27</v>
      </c>
      <c r="N7915" s="27">
        <v>0.10331362041036717</v>
      </c>
    </row>
    <row r="7916" spans="1:14" ht="12.75" hidden="1" outlineLevel="1" x14ac:dyDescent="0.2">
      <c r="A7916" s="23" t="str">
        <f t="shared" si="173"/>
        <v>АРБИТРАЖНЫЙ СУД ПЕНЗЕНСКОЙ ОБЛАСТИ</v>
      </c>
      <c r="B7916" s="24" t="s">
        <v>11699</v>
      </c>
      <c r="C7916" s="25">
        <v>740800</v>
      </c>
      <c r="D7916" s="22" t="s">
        <v>11700</v>
      </c>
      <c r="E7916" s="22" t="s">
        <v>355</v>
      </c>
      <c r="F7916" s="23" t="str">
        <f t="shared" si="174"/>
        <v>Оказание услуги по ремонту и настройке ИБП ENTEL IPX M60CP Системы бесперебойного питания административного здания Арбитражного суда Пензенской области, с заменой аккумуляторных батарей</v>
      </c>
      <c r="G7916" s="22" t="s">
        <v>72</v>
      </c>
      <c r="H7916" s="22" t="s">
        <v>4552</v>
      </c>
      <c r="I7916" s="26">
        <v>43689.481932870403</v>
      </c>
      <c r="J7916" s="23" t="str">
        <f>HYPERLINK("https://www.spark-marketing.ru/Card/Person/137170", "ООО ""ОРИОН""")</f>
        <v>ООО "ОРИОН"</v>
      </c>
      <c r="K7916" s="24" t="s">
        <v>11702</v>
      </c>
      <c r="L7916" s="22" t="s">
        <v>10</v>
      </c>
      <c r="M7916" s="25">
        <v>529991</v>
      </c>
      <c r="N7916" s="27">
        <v>0.28456938444924407</v>
      </c>
    </row>
    <row r="7917" spans="1:14" hidden="1" outlineLevel="1" x14ac:dyDescent="0.2">
      <c r="A7917" s="23" t="str">
        <f t="shared" si="173"/>
        <v>АРБИТРАЖНЫЙ СУД ПЕНЗЕНСКОЙ ОБЛАСТИ</v>
      </c>
      <c r="B7917" s="24" t="s">
        <v>11699</v>
      </c>
      <c r="C7917" s="25">
        <v>740800</v>
      </c>
      <c r="D7917" s="22" t="s">
        <v>11700</v>
      </c>
      <c r="E7917" s="22" t="s">
        <v>355</v>
      </c>
      <c r="F7917" s="23" t="str">
        <f t="shared" si="174"/>
        <v>Оказание услуги по ремонту и настройке ИБП ENTEL IPX M60CP Системы бесперебойного питания административного здания Арбитражного суда Пензенской области, с заменой аккумуляторных батарей</v>
      </c>
      <c r="G7917" s="22" t="s">
        <v>72</v>
      </c>
      <c r="H7917" s="22" t="s">
        <v>4552</v>
      </c>
      <c r="I7917" s="26">
        <v>43689.481932870403</v>
      </c>
      <c r="J7917" s="23" t="str">
        <f>HYPERLINK("https://www.spark-marketing.ru/Card/Person/6489162", "ООО ""АЛАС ЭНЕРГИЯ""")</f>
        <v>ООО "АЛАС ЭНЕРГИЯ"</v>
      </c>
      <c r="K7917" s="24" t="s">
        <v>6025</v>
      </c>
      <c r="L7917" s="28" t="s">
        <v>51</v>
      </c>
      <c r="M7917" s="25">
        <v>600367</v>
      </c>
      <c r="N7917" s="27">
        <v>0.18956938444924407</v>
      </c>
    </row>
    <row r="7918" spans="1:14" hidden="1" outlineLevel="1" x14ac:dyDescent="0.2">
      <c r="A7918" s="23" t="str">
        <f t="shared" si="173"/>
        <v>АРБИТРАЖНЫЙ СУД ПЕНЗЕНСКОЙ ОБЛАСТИ</v>
      </c>
      <c r="B7918" s="24" t="s">
        <v>11699</v>
      </c>
      <c r="C7918" s="25">
        <v>740800</v>
      </c>
      <c r="D7918" s="22" t="s">
        <v>11700</v>
      </c>
      <c r="E7918" s="22" t="s">
        <v>355</v>
      </c>
      <c r="F7918" s="23" t="str">
        <f t="shared" si="174"/>
        <v>Оказание услуги по ремонту и настройке ИБП ENTEL IPX M60CP Системы бесперебойного питания административного здания Арбитражного суда Пензенской области, с заменой аккумуляторных батарей</v>
      </c>
      <c r="G7918" s="22" t="s">
        <v>72</v>
      </c>
      <c r="H7918" s="22" t="s">
        <v>4552</v>
      </c>
      <c r="I7918" s="26">
        <v>43689.481932870403</v>
      </c>
      <c r="J7918" s="23" t="str">
        <f>HYPERLINK("https://www.spark-marketing.ru/Card/Person/140775", "ООО ""АЛЬФА-ЭНЕРГО""")</f>
        <v>ООО "АЛЬФА-ЭНЕРГО"</v>
      </c>
      <c r="K7918" s="24" t="s">
        <v>3030</v>
      </c>
      <c r="L7918" s="28" t="s">
        <v>51</v>
      </c>
      <c r="M7918" s="25">
        <v>533695</v>
      </c>
      <c r="N7918" s="27">
        <v>0.27956938444924406</v>
      </c>
    </row>
    <row r="7919" spans="1:14" hidden="1" outlineLevel="1" x14ac:dyDescent="0.2">
      <c r="A7919" s="23" t="str">
        <f t="shared" si="173"/>
        <v>АРБИТРАЖНЫЙ СУД ПЕНЗЕНСКОЙ ОБЛАСТИ</v>
      </c>
      <c r="B7919" s="24" t="s">
        <v>11699</v>
      </c>
      <c r="C7919" s="25">
        <v>740800</v>
      </c>
      <c r="D7919" s="22" t="s">
        <v>11700</v>
      </c>
      <c r="E7919" s="22" t="s">
        <v>355</v>
      </c>
      <c r="F7919" s="23" t="str">
        <f t="shared" si="174"/>
        <v>Оказание услуги по ремонту и настройке ИБП ENTEL IPX M60CP Системы бесперебойного питания административного здания Арбитражного суда Пензенской области, с заменой аккумуляторных батарей</v>
      </c>
      <c r="G7919" s="22" t="s">
        <v>72</v>
      </c>
      <c r="H7919" s="22" t="s">
        <v>4552</v>
      </c>
      <c r="I7919" s="26">
        <v>43689.481932870403</v>
      </c>
      <c r="J7919" s="23" t="str">
        <f>HYPERLINK("https://www.spark-marketing.ru/Card/Person/1353110", "ООО ""ПАРУС ЭЛЕКТРО""")</f>
        <v>ООО "ПАРУС ЭЛЕКТРО"</v>
      </c>
      <c r="K7919" s="24" t="s">
        <v>11703</v>
      </c>
      <c r="L7919" s="28" t="s">
        <v>51</v>
      </c>
      <c r="M7919" s="25">
        <v>596663</v>
      </c>
      <c r="N7919" s="27">
        <v>0.19456938444924407</v>
      </c>
    </row>
    <row r="7920" spans="1:14" x14ac:dyDescent="0.15">
      <c r="A7920" s="23" t="str">
        <f>HYPERLINK("https://www.spark-marketing.ru/Card/Person/57501", "МОМВД РОССИИ ""ЛЮДИНОВСКИЙ""")</f>
        <v>МОМВД РОССИИ "ЛЮДИНОВСКИЙ"</v>
      </c>
      <c r="B7920" s="24" t="s">
        <v>3975</v>
      </c>
      <c r="C7920" s="25">
        <v>90000</v>
      </c>
      <c r="D7920" s="22" t="s">
        <v>11704</v>
      </c>
      <c r="E7920" s="22" t="s">
        <v>96</v>
      </c>
      <c r="F7920" s="23" t="str">
        <f>HYPERLINK("https://www.spark-marketing.ru/Card/Lot/72724333", "Оказание услуг по организации питания (приготовлению и доставке), 346 шт")</f>
        <v>Оказание услуг по организации питания (приготовлению и доставке), 346 шт</v>
      </c>
      <c r="G7920" s="22" t="s">
        <v>112</v>
      </c>
      <c r="H7920" s="22" t="s">
        <v>3977</v>
      </c>
      <c r="I7920" s="26">
        <v>43689.430474537003</v>
      </c>
      <c r="J7920" s="28" t="s">
        <v>51</v>
      </c>
      <c r="K7920" s="28" t="s">
        <v>51</v>
      </c>
      <c r="L7920" s="28" t="s">
        <v>51</v>
      </c>
      <c r="M7920" s="28" t="s">
        <v>51</v>
      </c>
      <c r="N7920" s="28" t="s">
        <v>51</v>
      </c>
    </row>
    <row r="7921" spans="1:14" x14ac:dyDescent="0.15">
      <c r="A7921" s="23" t="str">
        <f>HYPERLINK("https://www.spark-marketing.ru/Card/Person/125479", "МОМВД РОССИИ ""ЮХНОВСКИЙ""")</f>
        <v>МОМВД РОССИИ "ЮХНОВСКИЙ"</v>
      </c>
      <c r="B7921" s="24" t="s">
        <v>11705</v>
      </c>
      <c r="C7921" s="25">
        <v>165000</v>
      </c>
      <c r="D7921" s="22" t="s">
        <v>11706</v>
      </c>
      <c r="E7921" s="22" t="s">
        <v>96</v>
      </c>
      <c r="F7921" s="23" t="str">
        <f>HYPERLINK("https://www.spark-marketing.ru/Card/Lot/72724147", "Оказание услуг по организации питания (приготовлению и доставке), 550 шт")</f>
        <v>Оказание услуг по организации питания (приготовлению и доставке), 550 шт</v>
      </c>
      <c r="G7921" s="22" t="s">
        <v>112</v>
      </c>
      <c r="H7921" s="22" t="s">
        <v>11707</v>
      </c>
      <c r="I7921" s="26">
        <v>43689.418576388904</v>
      </c>
      <c r="J7921" s="28" t="s">
        <v>51</v>
      </c>
      <c r="K7921" s="28" t="s">
        <v>51</v>
      </c>
      <c r="L7921" s="28" t="s">
        <v>51</v>
      </c>
      <c r="M7921" s="28" t="s">
        <v>51</v>
      </c>
      <c r="N7921" s="28" t="s">
        <v>51</v>
      </c>
    </row>
    <row r="7922" spans="1:14" x14ac:dyDescent="0.15">
      <c r="A7922" s="23" t="str">
        <f>HYPERLINK("https://www.spark-marketing.ru/Card/Person/57501", "МОМВД РОССИИ ""ЛЮДИНОВСКИЙ""")</f>
        <v>МОМВД РОССИИ "ЛЮДИНОВСКИЙ"</v>
      </c>
      <c r="B7922" s="24" t="s">
        <v>3975</v>
      </c>
      <c r="C7922" s="25">
        <v>90000</v>
      </c>
      <c r="D7922" s="22" t="s">
        <v>11708</v>
      </c>
      <c r="E7922" s="22" t="s">
        <v>96</v>
      </c>
      <c r="F7922" s="23" t="str">
        <f>HYPERLINK("https://www.spark-marketing.ru/Card/Lot/72724322", "Оказание услуг по организации питания (приготовлению и доставке), 346 шт")</f>
        <v>Оказание услуг по организации питания (приготовлению и доставке), 346 шт</v>
      </c>
      <c r="G7922" s="22" t="s">
        <v>112</v>
      </c>
      <c r="H7922" s="22" t="s">
        <v>3977</v>
      </c>
      <c r="I7922" s="26">
        <v>43689.427199074104</v>
      </c>
      <c r="J7922" s="28" t="s">
        <v>51</v>
      </c>
      <c r="K7922" s="28" t="s">
        <v>51</v>
      </c>
      <c r="L7922" s="28" t="s">
        <v>51</v>
      </c>
      <c r="M7922" s="28" t="s">
        <v>51</v>
      </c>
      <c r="N7922" s="28" t="s">
        <v>51</v>
      </c>
    </row>
    <row r="7923" spans="1:14" x14ac:dyDescent="0.15">
      <c r="A7923" s="23" t="str">
        <f>HYPERLINK("https://www.spark-marketing.ru/Card/Person/4348577", "АО ЧМЗ")</f>
        <v>АО ЧМЗ</v>
      </c>
      <c r="B7923" s="24" t="s">
        <v>11709</v>
      </c>
      <c r="C7923" s="28" t="s">
        <v>51</v>
      </c>
      <c r="D7923" s="22" t="s">
        <v>11710</v>
      </c>
      <c r="E7923" s="22" t="s">
        <v>96</v>
      </c>
      <c r="F7923" s="23" t="str">
        <f>HYPERLINK("https://www.spark-marketing.ru/Card/Lot/72913422", "Услуги по организации питания для работников АО ЧМЗ в количестве 12 человек в период их стажировки на базе ОАО «Соликамский магниевый завод»")</f>
        <v>Услуги по организации питания для работников АО ЧМЗ в количестве 12 человек в период их стажировки на базе ОАО «Соликамский магниевый завод»</v>
      </c>
      <c r="G7923" s="22" t="s">
        <v>852</v>
      </c>
      <c r="H7923" s="22" t="s">
        <v>992</v>
      </c>
      <c r="I7923" s="26">
        <v>43692.402546296304</v>
      </c>
      <c r="J7923" s="28" t="s">
        <v>51</v>
      </c>
      <c r="K7923" s="28" t="s">
        <v>51</v>
      </c>
      <c r="L7923" s="28" t="s">
        <v>51</v>
      </c>
      <c r="M7923" s="28" t="s">
        <v>51</v>
      </c>
      <c r="N7923" s="28" t="s">
        <v>51</v>
      </c>
    </row>
    <row r="7924" spans="1:14" x14ac:dyDescent="0.15">
      <c r="A7924" s="23" t="str">
        <f>HYPERLINK("https://www.spark-marketing.ru/Card/Person/57501", "МОМВД РОССИИ ""ЛЮДИНОВСКИЙ""")</f>
        <v>МОМВД РОССИИ "ЛЮДИНОВСКИЙ"</v>
      </c>
      <c r="B7924" s="24" t="s">
        <v>3975</v>
      </c>
      <c r="C7924" s="25">
        <v>90000</v>
      </c>
      <c r="D7924" s="22" t="s">
        <v>11711</v>
      </c>
      <c r="E7924" s="22" t="s">
        <v>96</v>
      </c>
      <c r="F7924" s="23" t="str">
        <f>HYPERLINK("https://www.spark-marketing.ru/Card/Lot/72724307", "Оказание услуг по организации питания (приготовлению и доставке), 346 шт")</f>
        <v>Оказание услуг по организации питания (приготовлению и доставке), 346 шт</v>
      </c>
      <c r="G7924" s="22" t="s">
        <v>112</v>
      </c>
      <c r="H7924" s="22" t="s">
        <v>3977</v>
      </c>
      <c r="I7924" s="26">
        <v>43689.424143518503</v>
      </c>
      <c r="J7924" s="28" t="s">
        <v>51</v>
      </c>
      <c r="K7924" s="28" t="s">
        <v>51</v>
      </c>
      <c r="L7924" s="28" t="s">
        <v>51</v>
      </c>
      <c r="M7924" s="28" t="s">
        <v>51</v>
      </c>
      <c r="N7924" s="28" t="s">
        <v>51</v>
      </c>
    </row>
    <row r="7925" spans="1:14" x14ac:dyDescent="0.15">
      <c r="A7925" s="23" t="str">
        <f>HYPERLINK("https://www.spark-marketing.ru/Card/Person/4348577", "АО ЧМЗ")</f>
        <v>АО ЧМЗ</v>
      </c>
      <c r="B7925" s="24" t="s">
        <v>11709</v>
      </c>
      <c r="C7925" s="25">
        <v>0</v>
      </c>
      <c r="D7925" s="22" t="s">
        <v>11712</v>
      </c>
      <c r="E7925" s="22" t="s">
        <v>52</v>
      </c>
      <c r="F7925" s="23" t="str">
        <f>HYPERLINK("https://www.spark-marketing.ru/Card/Lot/72743905", "мониторинг цен в электронной форме на Услуги по организации питания для работников АО ЧМЗ в количестве 12 человек в период их стажировки на базе ОАО «Соликамский магниевый завод»")</f>
        <v>мониторинг цен в электронной форме на Услуги по организации питания для работников АО ЧМЗ в количестве 12 человек в период их стажировки на базе ОАО «Соликамский магниевый завод»</v>
      </c>
      <c r="G7925" s="22" t="s">
        <v>852</v>
      </c>
      <c r="H7925" s="22" t="s">
        <v>992</v>
      </c>
      <c r="I7925" s="26">
        <v>43689.423726851899</v>
      </c>
      <c r="J7925" s="28" t="s">
        <v>51</v>
      </c>
      <c r="K7925" s="28" t="s">
        <v>51</v>
      </c>
      <c r="L7925" s="28" t="s">
        <v>51</v>
      </c>
      <c r="M7925" s="28" t="s">
        <v>51</v>
      </c>
      <c r="N7925" s="28" t="s">
        <v>51</v>
      </c>
    </row>
    <row r="7926" spans="1:14" x14ac:dyDescent="0.15">
      <c r="A7926" s="23" t="str">
        <f>HYPERLINK("https://www.spark-marketing.ru/Card/Person/13495", "ФГБОУ ВДЦ ""ОРЛЁНОК""")</f>
        <v>ФГБОУ ВДЦ "ОРЛЁНОК"</v>
      </c>
      <c r="B7926" s="24" t="s">
        <v>11713</v>
      </c>
      <c r="C7926" s="25">
        <v>200000</v>
      </c>
      <c r="D7926" s="22" t="s">
        <v>11714</v>
      </c>
      <c r="E7926" s="22" t="s">
        <v>48</v>
      </c>
      <c r="F7926" s="23" t="str">
        <f>HYPERLINK("https://www.spark-marketing.ru/Card/Lot/72728789", "Оказание услуг общественного питания")</f>
        <v>Оказание услуг общественного питания</v>
      </c>
      <c r="G7926" s="22" t="s">
        <v>104</v>
      </c>
      <c r="H7926" s="22" t="s">
        <v>104</v>
      </c>
      <c r="I7926" s="26">
        <v>43689.4520486111</v>
      </c>
      <c r="J7926" s="23" t="str">
        <f>HYPERLINK("https://www.spark-marketing.ru/Card/Person/905309", "ООО КОМПАНИЯ ""БЭРРИМОР""")</f>
        <v>ООО КОМПАНИЯ "БЭРРИМОР"</v>
      </c>
      <c r="K7926" s="24" t="s">
        <v>11715</v>
      </c>
      <c r="L7926" s="22" t="s">
        <v>10</v>
      </c>
      <c r="M7926" s="28" t="s">
        <v>51</v>
      </c>
      <c r="N7926" s="28" t="s">
        <v>51</v>
      </c>
    </row>
    <row r="7927" spans="1:14" x14ac:dyDescent="0.15">
      <c r="A7927" s="23" t="str">
        <f>HYPERLINK("https://www.spark-marketing.ru/Card/Person/1016993", "БОУ Г. ОМСКА ""ГИМНАЗИЯ № 85""")</f>
        <v>БОУ Г. ОМСКА "ГИМНАЗИЯ № 85"</v>
      </c>
      <c r="B7927" s="24" t="s">
        <v>11716</v>
      </c>
      <c r="C7927" s="25">
        <v>48578</v>
      </c>
      <c r="D7927" s="22" t="s">
        <v>11717</v>
      </c>
      <c r="E7927" s="22" t="s">
        <v>48</v>
      </c>
      <c r="F7927" s="23" t="str">
        <f>HYPERLINK("https://www.spark-marketing.ru/Card/Lot/72725468", "Услуги по организации питания обучающихся")</f>
        <v>Услуги по организации питания обучающихся</v>
      </c>
      <c r="G7927" s="22" t="s">
        <v>487</v>
      </c>
      <c r="H7927" s="22" t="s">
        <v>488</v>
      </c>
      <c r="I7927" s="26">
        <v>43689.448611111096</v>
      </c>
      <c r="J7927" s="28" t="s">
        <v>51</v>
      </c>
      <c r="K7927" s="28" t="s">
        <v>51</v>
      </c>
      <c r="L7927" s="28" t="s">
        <v>51</v>
      </c>
      <c r="M7927" s="28" t="s">
        <v>51</v>
      </c>
      <c r="N7927" s="28" t="s">
        <v>51</v>
      </c>
    </row>
    <row r="7928" spans="1:14" x14ac:dyDescent="0.15">
      <c r="A7928" s="23" t="str">
        <f>HYPERLINK("https://www.spark-marketing.ru/Card/Person/59768", "УМВД РОССИИ ПО Г. ЧЕЛЯБИНСКУ")</f>
        <v>УМВД РОССИИ ПО Г. ЧЕЛЯБИНСКУ</v>
      </c>
      <c r="B7928" s="24" t="s">
        <v>2327</v>
      </c>
      <c r="C7928" s="25">
        <v>1393207.3</v>
      </c>
      <c r="D7928" s="22" t="s">
        <v>11718</v>
      </c>
      <c r="E7928" s="22" t="s">
        <v>48</v>
      </c>
      <c r="F7928" s="23" t="str">
        <f>HYPERLINK("https://www.spark-marketing.ru/Card/Lot/72725265", "Оказание услуг по обеспечению ежедневным трёхразовым горячим питанием лиц, содержащихся в ИВС и специальных приемниках УМВД России по г. Челябинску.")</f>
        <v>Оказание услуг по обеспечению ежедневным трёхразовым горячим питанием лиц, содержащихся в ИВС и специальных приемниках УМВД России по г. Челябинску.</v>
      </c>
      <c r="G7928" s="22" t="s">
        <v>469</v>
      </c>
      <c r="H7928" s="22" t="s">
        <v>491</v>
      </c>
      <c r="I7928" s="26">
        <v>43689.432835648098</v>
      </c>
      <c r="J7928" s="23" t="str">
        <f>HYPERLINK("https://www.spark-marketing.ru/Card/Person/134890", "ООО ""МИРОСЛАВА""")</f>
        <v>ООО "МИРОСЛАВА"</v>
      </c>
      <c r="K7928" s="24" t="s">
        <v>2329</v>
      </c>
      <c r="L7928" s="22" t="s">
        <v>10</v>
      </c>
      <c r="M7928" s="28" t="s">
        <v>51</v>
      </c>
      <c r="N7928" s="28" t="s">
        <v>51</v>
      </c>
    </row>
    <row r="7929" spans="1:14" x14ac:dyDescent="0.15">
      <c r="A7929" s="23" t="str">
        <f>HYPERLINK("https://www.spark-marketing.ru/Card/Person/1036996", "МАДОУ Д/С ""ВАСИЛЁК""")</f>
        <v>МАДОУ Д/С "ВАСИЛЁК"</v>
      </c>
      <c r="B7929" s="24" t="s">
        <v>11719</v>
      </c>
      <c r="C7929" s="25">
        <v>1566500</v>
      </c>
      <c r="D7929" s="22" t="s">
        <v>11720</v>
      </c>
      <c r="E7929" s="22" t="s">
        <v>48</v>
      </c>
      <c r="F7929" s="23" t="str">
        <f>HYPERLINK("https://www.spark-marketing.ru/Card/Lot/72726064", "Оказание услуг по организации питания в муниципальном бюджетном дошкольном образовательном учреждении «Детский сад общеразвивающего вида «Василёк» муниципального образования «Ладушкинский городской округ»")</f>
        <v>Оказание услуг по организации питания в муниципальном бюджетном дошкольном образовательном учреждении «Детский сад общеразвивающего вида «Василёк» муниципального образования «Ладушкинский городской округ»</v>
      </c>
      <c r="G7929" s="22" t="s">
        <v>400</v>
      </c>
      <c r="H7929" s="22" t="s">
        <v>400</v>
      </c>
      <c r="I7929" s="26">
        <v>43689.383333333302</v>
      </c>
      <c r="J7929" s="28" t="s">
        <v>51</v>
      </c>
      <c r="K7929" s="28" t="s">
        <v>51</v>
      </c>
      <c r="L7929" s="28" t="s">
        <v>51</v>
      </c>
      <c r="M7929" s="28" t="s">
        <v>51</v>
      </c>
      <c r="N7929" s="28" t="s">
        <v>51</v>
      </c>
    </row>
    <row r="7930" spans="1:14" x14ac:dyDescent="0.15">
      <c r="A7930" s="23" t="str">
        <f>HYPERLINK("https://www.spark-marketing.ru/Card/Person/153611", "КГБУЗ ""КОМСОМОЛЬСКАЯ МЕЖРАЙОННАЯ БОЛЬНИЦА""")</f>
        <v>КГБУЗ "КОМСОМОЛЬСКАЯ МЕЖРАЙОННАЯ БОЛЬНИЦА"</v>
      </c>
      <c r="B7930" s="24" t="s">
        <v>11721</v>
      </c>
      <c r="C7930" s="25">
        <v>3807831.06</v>
      </c>
      <c r="D7930" s="22" t="s">
        <v>11722</v>
      </c>
      <c r="E7930" s="22" t="s">
        <v>48</v>
      </c>
      <c r="F7930" s="23" t="str">
        <f>HYPERLINK("https://www.spark-marketing.ru/Card/Lot/72721565", "Оказание услуг по организации лечебного питания")</f>
        <v>Оказание услуг по организации лечебного питания</v>
      </c>
      <c r="G7930" s="22" t="s">
        <v>1096</v>
      </c>
      <c r="H7930" s="22" t="s">
        <v>11723</v>
      </c>
      <c r="I7930" s="26">
        <v>43689.452696759297</v>
      </c>
      <c r="J7930" s="23" t="str">
        <f>HYPERLINK("https://www.spark-marketing.ru/Card/Person/1222004", "Лавренюк Инна Валерьевна")</f>
        <v>Лавренюк Инна Валерьевна</v>
      </c>
      <c r="K7930" s="24" t="s">
        <v>4721</v>
      </c>
      <c r="L7930" s="22" t="s">
        <v>10</v>
      </c>
      <c r="M7930" s="28" t="s">
        <v>51</v>
      </c>
      <c r="N7930" s="28" t="s">
        <v>51</v>
      </c>
    </row>
    <row r="7931" spans="1:14" x14ac:dyDescent="0.15">
      <c r="A7931" s="23" t="str">
        <f>HYPERLINK("https://www.spark-marketing.ru/Card/Person/125479", "МОМВД РОССИИ ""ЮХНОВСКИЙ""")</f>
        <v>МОМВД РОССИИ "ЮХНОВСКИЙ"</v>
      </c>
      <c r="B7931" s="24" t="s">
        <v>11705</v>
      </c>
      <c r="C7931" s="25">
        <v>165000</v>
      </c>
      <c r="D7931" s="22" t="s">
        <v>11724</v>
      </c>
      <c r="E7931" s="22" t="s">
        <v>96</v>
      </c>
      <c r="F7931" s="23" t="str">
        <f>HYPERLINK("https://www.spark-marketing.ru/Card/Lot/72724096", "Оказание услуг по организации питания (приготовлению и доставке), 550 шт")</f>
        <v>Оказание услуг по организации питания (приготовлению и доставке), 550 шт</v>
      </c>
      <c r="G7931" s="22" t="s">
        <v>112</v>
      </c>
      <c r="H7931" s="22" t="s">
        <v>11707</v>
      </c>
      <c r="I7931" s="26">
        <v>43689.420150462996</v>
      </c>
      <c r="J7931" s="28" t="s">
        <v>51</v>
      </c>
      <c r="K7931" s="28" t="s">
        <v>51</v>
      </c>
      <c r="L7931" s="28" t="s">
        <v>51</v>
      </c>
      <c r="M7931" s="28" t="s">
        <v>51</v>
      </c>
      <c r="N7931" s="28" t="s">
        <v>51</v>
      </c>
    </row>
    <row r="7932" spans="1:14" x14ac:dyDescent="0.15">
      <c r="A7932" s="23" t="str">
        <f>HYPERLINK("https://www.spark-marketing.ru/Card/Person/78877", "ОМВД РОССИИ ПО СЕГЕЖСКОМУ РАЙОНУ")</f>
        <v>ОМВД РОССИИ ПО СЕГЕЖСКОМУ РАЙОНУ</v>
      </c>
      <c r="B7932" s="24" t="s">
        <v>8559</v>
      </c>
      <c r="C7932" s="25">
        <v>880000</v>
      </c>
      <c r="D7932" s="22" t="s">
        <v>11725</v>
      </c>
      <c r="E7932" s="22" t="s">
        <v>48</v>
      </c>
      <c r="F7932" s="23" t="str">
        <f>HYPERLINK("https://www.spark-marketing.ru/Card/Lot/72730415", "Оказание услуг по питанию задержанных лиц в ИВС и СПЗЛ")</f>
        <v>Оказание услуг по питанию задержанных лиц в ИВС и СПЗЛ</v>
      </c>
      <c r="G7932" s="22" t="s">
        <v>59</v>
      </c>
      <c r="H7932" s="22" t="s">
        <v>59</v>
      </c>
      <c r="I7932" s="26">
        <v>43689.418275463002</v>
      </c>
      <c r="J7932" s="28" t="s">
        <v>51</v>
      </c>
      <c r="K7932" s="28" t="s">
        <v>51</v>
      </c>
      <c r="L7932" s="28" t="s">
        <v>51</v>
      </c>
      <c r="M7932" s="28" t="s">
        <v>51</v>
      </c>
      <c r="N7932" s="28" t="s">
        <v>51</v>
      </c>
    </row>
    <row r="7933" spans="1:14" collapsed="1" x14ac:dyDescent="0.15">
      <c r="A7933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7933" s="24" t="s">
        <v>11726</v>
      </c>
      <c r="C7933" s="25">
        <v>1250000</v>
      </c>
      <c r="D7933" s="22" t="s">
        <v>11727</v>
      </c>
      <c r="E7933" s="22" t="s">
        <v>48</v>
      </c>
      <c r="F7933" s="23" t="str">
        <f>HYPERLINK("https://www.spark-marketing.ru/Card/Lot/72733224", "Оказание услуг по обеспечению ежедневным трёхразовым горячим питанием лиц содержащихся в изоляторе временного содержания и камерах административно задержанных.")</f>
        <v>Оказание услуг по обеспечению ежедневным трёхразовым горячим питанием лиц содержащихся в изоляторе временного содержания и камерах административно задержанных.</v>
      </c>
      <c r="G7933" s="22" t="s">
        <v>153</v>
      </c>
      <c r="H7933" s="22" t="s">
        <v>11728</v>
      </c>
      <c r="I7933" s="26">
        <v>43689.387824074103</v>
      </c>
      <c r="J7933" s="28" t="s">
        <v>51</v>
      </c>
      <c r="K7933" s="28" t="s">
        <v>51</v>
      </c>
      <c r="L7933" s="28" t="s">
        <v>51</v>
      </c>
      <c r="M7933" s="28" t="s">
        <v>51</v>
      </c>
      <c r="N7933" s="28" t="s">
        <v>51</v>
      </c>
    </row>
    <row r="7934" spans="1:14" ht="12.75" hidden="1" outlineLevel="1" x14ac:dyDescent="0.2">
      <c r="A7934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7934" s="24" t="s">
        <v>11726</v>
      </c>
      <c r="C7934" s="25">
        <v>1250000</v>
      </c>
      <c r="D7934" s="22" t="s">
        <v>11727</v>
      </c>
      <c r="E7934" s="22" t="s">
        <v>48</v>
      </c>
      <c r="F7934" s="23" t="str">
        <f>HYPERLINK("https://www.spark-marketing.ru/Card/Lot/72733224", "Оказание услуг по обеспечению ежедневным трёхразовым горячим питанием лиц содержащихся в изоляторе временного содержания и камерах административно задержанных.")</f>
        <v>Оказание услуг по обеспечению ежедневным трёхразовым горячим питанием лиц содержащихся в изоляторе временного содержания и камерах административно задержанных.</v>
      </c>
      <c r="G7934" s="22" t="s">
        <v>153</v>
      </c>
      <c r="H7934" s="22" t="s">
        <v>11728</v>
      </c>
      <c r="I7934" s="26">
        <v>43689.387824074103</v>
      </c>
      <c r="J7934" s="23" t="str">
        <f>HYPERLINK("https://www.spark-marketing.ru/Card/Person/6007138", "Кропачева Светлана Борисовна")</f>
        <v>Кропачева Светлана Борисовна</v>
      </c>
      <c r="K7934" s="24" t="s">
        <v>11729</v>
      </c>
      <c r="L7934" s="22" t="s">
        <v>10</v>
      </c>
      <c r="M7934" s="25">
        <v>868.2</v>
      </c>
      <c r="N7934" s="27">
        <v>0.99930543999999999</v>
      </c>
    </row>
    <row r="7935" spans="1:14" hidden="1" outlineLevel="1" x14ac:dyDescent="0.2">
      <c r="A7935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7935" s="24" t="s">
        <v>11726</v>
      </c>
      <c r="C7935" s="25">
        <v>1250000</v>
      </c>
      <c r="D7935" s="22" t="s">
        <v>11727</v>
      </c>
      <c r="E7935" s="22" t="s">
        <v>48</v>
      </c>
      <c r="F7935" s="23" t="str">
        <f>HYPERLINK("https://www.spark-marketing.ru/Card/Lot/72733224", "Оказание услуг по обеспечению ежедневным трёхразовым горячим питанием лиц содержащихся в изоляторе временного содержания и камерах административно задержанных.")</f>
        <v>Оказание услуг по обеспечению ежедневным трёхразовым горячим питанием лиц содержащихся в изоляторе временного содержания и камерах административно задержанных.</v>
      </c>
      <c r="G7935" s="22" t="s">
        <v>153</v>
      </c>
      <c r="H7935" s="22" t="s">
        <v>11728</v>
      </c>
      <c r="I7935" s="26">
        <v>43689.387824074103</v>
      </c>
      <c r="J7935" s="23" t="str">
        <f>HYPERLINK("https://www.spark-marketing.ru/Card/Person/1403159", "ООО ""МАЛАХИТ""")</f>
        <v>ООО "МАЛАХИТ"</v>
      </c>
      <c r="K7935" s="24" t="s">
        <v>11730</v>
      </c>
      <c r="L7935" s="28" t="s">
        <v>51</v>
      </c>
      <c r="M7935" s="25">
        <v>919.87</v>
      </c>
      <c r="N7935" s="27">
        <v>0.99926410399999999</v>
      </c>
    </row>
    <row r="7936" spans="1:14" collapsed="1" x14ac:dyDescent="0.15">
      <c r="A7936" s="23" t="s">
        <v>114</v>
      </c>
      <c r="B7936" s="28" t="s">
        <v>51</v>
      </c>
      <c r="C7936" s="25">
        <v>9176277.1999999993</v>
      </c>
      <c r="D7936" s="22" t="s">
        <v>11731</v>
      </c>
      <c r="E7936" s="22" t="s">
        <v>48</v>
      </c>
      <c r="F7936" s="23" t="str">
        <f t="shared" ref="F7936:F7943" si="175">HYPERLINK("https://www.spark-marketing.ru/Card/Lot/72720532", "Оказание услуг по организации  питания обучающихся    в общеобразовательных учреждениях городского округа Большой Камень")</f>
        <v>Оказание услуг по организации  питания обучающихся    в общеобразовательных учреждениях городского округа Большой Камень</v>
      </c>
      <c r="G7936" s="22" t="s">
        <v>51</v>
      </c>
      <c r="H7936" s="22" t="s">
        <v>51</v>
      </c>
      <c r="I7936" s="26">
        <v>43689.402499999997</v>
      </c>
      <c r="J7936" s="28" t="s">
        <v>51</v>
      </c>
      <c r="K7936" s="28" t="s">
        <v>51</v>
      </c>
      <c r="L7936" s="28" t="s">
        <v>51</v>
      </c>
      <c r="M7936" s="28" t="s">
        <v>51</v>
      </c>
      <c r="N7936" s="28" t="s">
        <v>51</v>
      </c>
    </row>
    <row r="7937" spans="1:14" hidden="1" outlineLevel="1" x14ac:dyDescent="0.15">
      <c r="A7937" s="23" t="str">
        <f>HYPERLINK("https://www.spark-marketing.ru/Card/Person/44988", "МБОУ СОШ № 2 ГОРОДСКОГО ОКРУГА БОЛЬШОЙ КАМЕНЬ")</f>
        <v>МБОУ СОШ № 2 ГОРОДСКОГО ОКРУГА БОЛЬШОЙ КАМЕНЬ</v>
      </c>
      <c r="B7937" s="24" t="s">
        <v>11732</v>
      </c>
      <c r="C7937" s="25">
        <v>2388880.7999999998</v>
      </c>
      <c r="D7937" s="22" t="s">
        <v>11731</v>
      </c>
      <c r="E7937" s="22" t="s">
        <v>48</v>
      </c>
      <c r="F7937" s="23" t="str">
        <f t="shared" si="175"/>
        <v>Оказание услуг по организации  питания обучающихся    в общеобразовательных учреждениях городского округа Большой Камень</v>
      </c>
      <c r="G7937" s="22" t="s">
        <v>543</v>
      </c>
      <c r="H7937" s="22" t="s">
        <v>11733</v>
      </c>
      <c r="I7937" s="26">
        <v>43689.402499999997</v>
      </c>
      <c r="J7937" s="28" t="s">
        <v>51</v>
      </c>
      <c r="K7937" s="28" t="s">
        <v>51</v>
      </c>
      <c r="L7937" s="28" t="s">
        <v>51</v>
      </c>
      <c r="M7937" s="28" t="s">
        <v>51</v>
      </c>
      <c r="N7937" s="28" t="s">
        <v>51</v>
      </c>
    </row>
    <row r="7938" spans="1:14" hidden="1" outlineLevel="1" x14ac:dyDescent="0.15">
      <c r="A7938" s="23" t="str">
        <f>HYPERLINK("https://www.spark-marketing.ru/Card/Person/115612", "МБОУ СОШ № 1 ГОРОДСКОГО ОКРУГА БОЛЬШОЙ КАМЕНЬ")</f>
        <v>МБОУ СОШ № 1 ГОРОДСКОГО ОКРУГА БОЛЬШОЙ КАМЕНЬ</v>
      </c>
      <c r="B7938" s="24" t="s">
        <v>11734</v>
      </c>
      <c r="C7938" s="25">
        <v>2442318.7999999998</v>
      </c>
      <c r="D7938" s="22" t="s">
        <v>11731</v>
      </c>
      <c r="E7938" s="22" t="s">
        <v>48</v>
      </c>
      <c r="F7938" s="23" t="str">
        <f t="shared" si="175"/>
        <v>Оказание услуг по организации  питания обучающихся    в общеобразовательных учреждениях городского округа Большой Камень</v>
      </c>
      <c r="G7938" s="22" t="s">
        <v>543</v>
      </c>
      <c r="H7938" s="22" t="s">
        <v>11733</v>
      </c>
      <c r="I7938" s="26">
        <v>43689.402499999997</v>
      </c>
      <c r="J7938" s="28" t="s">
        <v>51</v>
      </c>
      <c r="K7938" s="28" t="s">
        <v>51</v>
      </c>
      <c r="L7938" s="28" t="s">
        <v>51</v>
      </c>
      <c r="M7938" s="28" t="s">
        <v>51</v>
      </c>
      <c r="N7938" s="28" t="s">
        <v>51</v>
      </c>
    </row>
    <row r="7939" spans="1:14" hidden="1" outlineLevel="1" x14ac:dyDescent="0.15">
      <c r="A7939" s="23" t="str">
        <f>HYPERLINK("https://www.spark-marketing.ru/Card/Person/125686", "МБОУ СОШ № 3 ГОРОДСКОГО ОКРУГА БОЛЬШОЙ КАМЕНЬ")</f>
        <v>МБОУ СОШ № 3 ГОРОДСКОГО ОКРУГА БОЛЬШОЙ КАМЕНЬ</v>
      </c>
      <c r="B7939" s="24" t="s">
        <v>11735</v>
      </c>
      <c r="C7939" s="25">
        <v>1896094.8</v>
      </c>
      <c r="D7939" s="22" t="s">
        <v>11731</v>
      </c>
      <c r="E7939" s="22" t="s">
        <v>48</v>
      </c>
      <c r="F7939" s="23" t="str">
        <f t="shared" si="175"/>
        <v>Оказание услуг по организации  питания обучающихся    в общеобразовательных учреждениях городского округа Большой Камень</v>
      </c>
      <c r="G7939" s="22" t="s">
        <v>543</v>
      </c>
      <c r="H7939" s="22" t="s">
        <v>11733</v>
      </c>
      <c r="I7939" s="26">
        <v>43689.402499999997</v>
      </c>
      <c r="J7939" s="28" t="s">
        <v>51</v>
      </c>
      <c r="K7939" s="28" t="s">
        <v>51</v>
      </c>
      <c r="L7939" s="28" t="s">
        <v>51</v>
      </c>
      <c r="M7939" s="28" t="s">
        <v>51</v>
      </c>
      <c r="N7939" s="28" t="s">
        <v>51</v>
      </c>
    </row>
    <row r="7940" spans="1:14" hidden="1" outlineLevel="1" x14ac:dyDescent="0.15">
      <c r="A7940" s="23" t="str">
        <f>HYPERLINK("https://www.spark-marketing.ru/Card/Person/949755", "МБОУ СОШ № 4 ГОРОДСКОГО ОКРУГА БОЛЬШОЙ КАМЕНЬ")</f>
        <v>МБОУ СОШ № 4 ГОРОДСКОГО ОКРУГА БОЛЬШОЙ КАМЕНЬ</v>
      </c>
      <c r="B7940" s="24" t="s">
        <v>11736</v>
      </c>
      <c r="C7940" s="25">
        <v>1329159.2</v>
      </c>
      <c r="D7940" s="22" t="s">
        <v>11731</v>
      </c>
      <c r="E7940" s="22" t="s">
        <v>48</v>
      </c>
      <c r="F7940" s="23" t="str">
        <f t="shared" si="175"/>
        <v>Оказание услуг по организации  питания обучающихся    в общеобразовательных учреждениях городского округа Большой Камень</v>
      </c>
      <c r="G7940" s="22" t="s">
        <v>543</v>
      </c>
      <c r="H7940" s="22" t="s">
        <v>11733</v>
      </c>
      <c r="I7940" s="26">
        <v>43689.402499999997</v>
      </c>
      <c r="J7940" s="28" t="s">
        <v>51</v>
      </c>
      <c r="K7940" s="28" t="s">
        <v>51</v>
      </c>
      <c r="L7940" s="28" t="s">
        <v>51</v>
      </c>
      <c r="M7940" s="28" t="s">
        <v>51</v>
      </c>
      <c r="N7940" s="28" t="s">
        <v>51</v>
      </c>
    </row>
    <row r="7941" spans="1:14" hidden="1" outlineLevel="1" x14ac:dyDescent="0.15">
      <c r="A7941" s="23" t="str">
        <f>HYPERLINK("https://www.spark-marketing.ru/Card/Person/949789", "МБОУ СОШ № 44 ГОРОДСКОГО ОКРУГА БОЛЬШОЙ КАМЕНЬ")</f>
        <v>МБОУ СОШ № 44 ГОРОДСКОГО ОКРУГА БОЛЬШОЙ КАМЕНЬ</v>
      </c>
      <c r="B7941" s="24" t="s">
        <v>11737</v>
      </c>
      <c r="C7941" s="25">
        <v>1119823.6000000001</v>
      </c>
      <c r="D7941" s="22" t="s">
        <v>11731</v>
      </c>
      <c r="E7941" s="22" t="s">
        <v>48</v>
      </c>
      <c r="F7941" s="23" t="str">
        <f t="shared" si="175"/>
        <v>Оказание услуг по организации  питания обучающихся    в общеобразовательных учреждениях городского округа Большой Камень</v>
      </c>
      <c r="G7941" s="22" t="s">
        <v>543</v>
      </c>
      <c r="H7941" s="22" t="s">
        <v>11733</v>
      </c>
      <c r="I7941" s="26">
        <v>43689.402499999997</v>
      </c>
      <c r="J7941" s="28" t="s">
        <v>51</v>
      </c>
      <c r="K7941" s="28" t="s">
        <v>51</v>
      </c>
      <c r="L7941" s="28" t="s">
        <v>51</v>
      </c>
      <c r="M7941" s="28" t="s">
        <v>51</v>
      </c>
      <c r="N7941" s="28" t="s">
        <v>51</v>
      </c>
    </row>
    <row r="7942" spans="1:14" hidden="1" outlineLevel="1" x14ac:dyDescent="0.2">
      <c r="A7942" s="28" t="s">
        <v>51</v>
      </c>
      <c r="B7942" s="28" t="s">
        <v>51</v>
      </c>
      <c r="C7942" s="28" t="s">
        <v>51</v>
      </c>
      <c r="D7942" s="22" t="s">
        <v>11731</v>
      </c>
      <c r="E7942" s="22" t="s">
        <v>48</v>
      </c>
      <c r="F7942" s="23" t="str">
        <f t="shared" si="175"/>
        <v>Оказание услуг по организации  питания обучающихся    в общеобразовательных учреждениях городского округа Большой Камень</v>
      </c>
      <c r="G7942" s="22" t="s">
        <v>51</v>
      </c>
      <c r="H7942" s="22" t="s">
        <v>51</v>
      </c>
      <c r="I7942" s="26">
        <v>43689.402499999997</v>
      </c>
      <c r="J7942" s="23" t="str">
        <f>HYPERLINK("https://www.spark-marketing.ru/Card/Person/4888930", "ООО ""ФЕНИКС""")</f>
        <v>ООО "ФЕНИКС"</v>
      </c>
      <c r="K7942" s="24" t="s">
        <v>11738</v>
      </c>
      <c r="L7942" s="28" t="s">
        <v>51</v>
      </c>
      <c r="M7942" s="25">
        <v>6882207.7000000002</v>
      </c>
      <c r="N7942" s="27">
        <v>0.2500000217953311</v>
      </c>
    </row>
    <row r="7943" spans="1:14" hidden="1" outlineLevel="1" x14ac:dyDescent="0.2">
      <c r="A7943" s="28" t="s">
        <v>51</v>
      </c>
      <c r="B7943" s="28" t="s">
        <v>51</v>
      </c>
      <c r="C7943" s="28" t="s">
        <v>51</v>
      </c>
      <c r="D7943" s="22" t="s">
        <v>11731</v>
      </c>
      <c r="E7943" s="22" t="s">
        <v>48</v>
      </c>
      <c r="F7943" s="23" t="str">
        <f t="shared" si="175"/>
        <v>Оказание услуг по организации  питания обучающихся    в общеобразовательных учреждениях городского округа Большой Камень</v>
      </c>
      <c r="G7943" s="22" t="s">
        <v>51</v>
      </c>
      <c r="H7943" s="22" t="s">
        <v>51</v>
      </c>
      <c r="I7943" s="26">
        <v>43689.402499999997</v>
      </c>
      <c r="J7943" s="23" t="str">
        <f>HYPERLINK("https://www.spark-marketing.ru/Card/Person/6464579", "ООО ""СОЮЗ ВОСТОК""")</f>
        <v>ООО "СОЮЗ ВОСТОК"</v>
      </c>
      <c r="K7943" s="24" t="s">
        <v>11558</v>
      </c>
      <c r="L7943" s="22" t="s">
        <v>10</v>
      </c>
      <c r="M7943" s="25">
        <v>6836326.3099999996</v>
      </c>
      <c r="N7943" s="27">
        <v>0.25500002223123774</v>
      </c>
    </row>
    <row r="7944" spans="1:14" x14ac:dyDescent="0.15">
      <c r="A7944" s="23" t="str">
        <f>HYPERLINK("https://www.spark-marketing.ru/Card/Person/1074758", "МКОУ С(К)Ш № 107")</f>
        <v>МКОУ С(К)Ш № 107</v>
      </c>
      <c r="B7944" s="24" t="s">
        <v>11739</v>
      </c>
      <c r="C7944" s="25">
        <v>210000</v>
      </c>
      <c r="D7944" s="22" t="s">
        <v>11740</v>
      </c>
      <c r="E7944" s="22" t="s">
        <v>48</v>
      </c>
      <c r="F7944" s="23" t="str">
        <f>HYPERLINK("https://www.spark-marketing.ru/Card/Lot/72724610", "Услуги по поставке готовых блюд для организации двухразового горячего питания (далее товар) для детей с ограниченными возможностями здоровья (ОВЗ), обучающихся в МКОУ С(К)Ш № 107")</f>
        <v>Услуги по поставке готовых блюд для организации двухразового горячего питания (далее товар) для детей с ограниченными возможностями здоровья (ОВЗ), обучающихся в МКОУ С(К)Ш № 107</v>
      </c>
      <c r="G7944" s="22" t="s">
        <v>195</v>
      </c>
      <c r="H7944" s="22" t="s">
        <v>196</v>
      </c>
      <c r="I7944" s="26">
        <v>43689.413194444402</v>
      </c>
      <c r="J7944" s="28" t="s">
        <v>51</v>
      </c>
      <c r="K7944" s="28" t="s">
        <v>51</v>
      </c>
      <c r="L7944" s="28" t="s">
        <v>51</v>
      </c>
      <c r="M7944" s="28" t="s">
        <v>51</v>
      </c>
      <c r="N7944" s="28" t="s">
        <v>51</v>
      </c>
    </row>
    <row r="7945" spans="1:14" x14ac:dyDescent="0.15">
      <c r="A7945" s="23" t="str">
        <f>HYPERLINK("https://www.spark-marketing.ru/Card/Person/1012794", "ОМВД РОССИИ ПО НИКОЛАЕВСКОМУ РАЙОНУ")</f>
        <v>ОМВД РОССИИ ПО НИКОЛАЕВСКОМУ РАЙОНУ</v>
      </c>
      <c r="B7945" s="24" t="s">
        <v>3742</v>
      </c>
      <c r="C7945" s="25">
        <v>400000</v>
      </c>
      <c r="D7945" s="22" t="s">
        <v>11741</v>
      </c>
      <c r="E7945" s="22" t="s">
        <v>48</v>
      </c>
      <c r="F7945" s="23" t="str">
        <f>HYPERLINK("https://www.spark-marketing.ru/Card/Lot/72721030", "Оказание услуг по организации питания лиц, содержащихся в изоляторе временного содержания  подозреваемых и обвиняемых ОМВД России по Николаевскому району на 2019 год")</f>
        <v>Оказание услуг по организации питания лиц, содержащихся в изоляторе временного содержания  подозреваемых и обвиняемых ОМВД России по Николаевскому району на 2019 год</v>
      </c>
      <c r="G7945" s="22" t="s">
        <v>1096</v>
      </c>
      <c r="H7945" s="22" t="s">
        <v>3400</v>
      </c>
      <c r="I7945" s="26">
        <v>43689.393622685202</v>
      </c>
      <c r="J7945" s="28" t="s">
        <v>51</v>
      </c>
      <c r="K7945" s="28" t="s">
        <v>51</v>
      </c>
      <c r="L7945" s="28" t="s">
        <v>51</v>
      </c>
      <c r="M7945" s="28" t="s">
        <v>51</v>
      </c>
      <c r="N7945" s="28" t="s">
        <v>51</v>
      </c>
    </row>
    <row r="7946" spans="1:14" x14ac:dyDescent="0.15">
      <c r="A7946" s="23" t="str">
        <f>HYPERLINK("https://www.spark-marketing.ru/Card/Person/150107", "ОМВД РОССИИ ПО СКОВОРОДИНСКОМУ РАЙОНУ")</f>
        <v>ОМВД РОССИИ ПО СКОВОРОДИНСКОМУ РАЙОНУ</v>
      </c>
      <c r="B7946" s="24" t="s">
        <v>11742</v>
      </c>
      <c r="C7946" s="25">
        <v>840000</v>
      </c>
      <c r="D7946" s="22" t="s">
        <v>11743</v>
      </c>
      <c r="E7946" s="22" t="s">
        <v>48</v>
      </c>
      <c r="F7946" s="23" t="str">
        <f>HYPERLINK("https://www.spark-marketing.ru/Card/Lot/72720507", "оказание услуг по приготовлению и доставке горячего питания, подозреваемым и обвиняемым, содержащимся в ИВС ОМВД России по Сковородинскому району на 2020 год.")</f>
        <v>оказание услуг по приготовлению и доставке горячего питания, подозреваемым и обвиняемым, содержащимся в ИВС ОМВД России по Сковородинскому району на 2020 год.</v>
      </c>
      <c r="G7946" s="22" t="s">
        <v>210</v>
      </c>
      <c r="H7946" s="22" t="s">
        <v>11744</v>
      </c>
      <c r="I7946" s="26">
        <v>43689.387546296297</v>
      </c>
      <c r="J7946" s="28" t="s">
        <v>51</v>
      </c>
      <c r="K7946" s="28" t="s">
        <v>51</v>
      </c>
      <c r="L7946" s="28" t="s">
        <v>51</v>
      </c>
      <c r="M7946" s="28" t="s">
        <v>51</v>
      </c>
      <c r="N7946" s="28" t="s">
        <v>51</v>
      </c>
    </row>
    <row r="7947" spans="1:14" x14ac:dyDescent="0.15">
      <c r="A7947" s="23" t="str">
        <f>HYPERLINK("https://www.spark-marketing.ru/Card/Person/60374", "МБДОУ ДЕТСКИЙ САД №6 ""УЛЫБКА""")</f>
        <v>МБДОУ ДЕТСКИЙ САД №6 "УЛЫБКА"</v>
      </c>
      <c r="B7947" s="24" t="s">
        <v>8879</v>
      </c>
      <c r="C7947" s="25">
        <v>124179</v>
      </c>
      <c r="D7947" s="22" t="s">
        <v>11745</v>
      </c>
      <c r="E7947" s="22" t="s">
        <v>152</v>
      </c>
      <c r="F7947" s="23" t="str">
        <f>HYPERLINK("https://www.spark-marketing.ru/Card/Lot/72724675", "Оказание услуг по поставке и установке домофонов")</f>
        <v>Оказание услуг по поставке и установке домофонов</v>
      </c>
      <c r="G7947" s="22" t="s">
        <v>49</v>
      </c>
      <c r="H7947" s="22" t="s">
        <v>1263</v>
      </c>
      <c r="I7947" s="26">
        <v>43689.388854166697</v>
      </c>
      <c r="J7947" s="28" t="s">
        <v>51</v>
      </c>
      <c r="K7947" s="28" t="s">
        <v>51</v>
      </c>
      <c r="L7947" s="28" t="s">
        <v>51</v>
      </c>
      <c r="M7947" s="28" t="s">
        <v>51</v>
      </c>
      <c r="N7947" s="28" t="s">
        <v>51</v>
      </c>
    </row>
    <row r="7948" spans="1:14" x14ac:dyDescent="0.15">
      <c r="A7948" s="23" t="str">
        <f>HYPERLINK("https://www.spark-marketing.ru/Card/Person/1074758", "МКОУ С(К)Ш № 107")</f>
        <v>МКОУ С(К)Ш № 107</v>
      </c>
      <c r="B7948" s="24" t="s">
        <v>11739</v>
      </c>
      <c r="C7948" s="25">
        <v>196800</v>
      </c>
      <c r="D7948" s="22" t="s">
        <v>11746</v>
      </c>
      <c r="E7948" s="22" t="s">
        <v>48</v>
      </c>
      <c r="F7948" s="23" t="str">
        <f>HYPERLINK("https://www.spark-marketing.ru/Card/Lot/72724609", "Услуги по поставке готовых блюд для организации двухразового горячего питания (далее товар) для детей с ограниченными возможностями здоровья (ОВЗ), обучающихся в МКОУ С(К)Ш № 107")</f>
        <v>Услуги по поставке готовых блюд для организации двухразового горячего питания (далее товар) для детей с ограниченными возможностями здоровья (ОВЗ), обучающихся в МКОУ С(К)Ш № 107</v>
      </c>
      <c r="G7948" s="22" t="s">
        <v>195</v>
      </c>
      <c r="H7948" s="22" t="s">
        <v>196</v>
      </c>
      <c r="I7948" s="26">
        <v>43689.413194444402</v>
      </c>
      <c r="J7948" s="28" t="s">
        <v>51</v>
      </c>
      <c r="K7948" s="28" t="s">
        <v>51</v>
      </c>
      <c r="L7948" s="28" t="s">
        <v>51</v>
      </c>
      <c r="M7948" s="28" t="s">
        <v>51</v>
      </c>
      <c r="N7948" s="28" t="s">
        <v>51</v>
      </c>
    </row>
    <row r="7949" spans="1:14" collapsed="1" x14ac:dyDescent="0.15">
      <c r="A7949" s="23" t="str">
        <f>HYPERLINK("https://www.spark-marketing.ru/Card/Person/89798", "УМВД РОССИИ ПО ГОРОДУ КИРОВУ")</f>
        <v>УМВД РОССИИ ПО ГОРОДУ КИРОВУ</v>
      </c>
      <c r="B7949" s="24" t="s">
        <v>8365</v>
      </c>
      <c r="C7949" s="25">
        <v>900000</v>
      </c>
      <c r="D7949" s="22" t="s">
        <v>11747</v>
      </c>
      <c r="E7949" s="22" t="s">
        <v>48</v>
      </c>
      <c r="F7949" s="23" t="str">
        <f>HYPERLINK("https://www.spark-marketing.ru/Card/Lot/72727164",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7949" s="22" t="s">
        <v>224</v>
      </c>
      <c r="H7949" s="22" t="s">
        <v>225</v>
      </c>
      <c r="I7949" s="26">
        <v>43689.4004166667</v>
      </c>
      <c r="J7949" s="28" t="s">
        <v>51</v>
      </c>
      <c r="K7949" s="28" t="s">
        <v>51</v>
      </c>
      <c r="L7949" s="28" t="s">
        <v>51</v>
      </c>
      <c r="M7949" s="28" t="s">
        <v>51</v>
      </c>
      <c r="N7949" s="28" t="s">
        <v>51</v>
      </c>
    </row>
    <row r="7950" spans="1:14" hidden="1" outlineLevel="1" x14ac:dyDescent="0.2">
      <c r="A7950" s="23" t="str">
        <f>HYPERLINK("https://www.spark-marketing.ru/Card/Person/89798", "УМВД РОССИИ ПО ГОРОДУ КИРОВУ")</f>
        <v>УМВД РОССИИ ПО ГОРОДУ КИРОВУ</v>
      </c>
      <c r="B7950" s="24" t="s">
        <v>8365</v>
      </c>
      <c r="C7950" s="25">
        <v>900000</v>
      </c>
      <c r="D7950" s="22" t="s">
        <v>11747</v>
      </c>
      <c r="E7950" s="22" t="s">
        <v>48</v>
      </c>
      <c r="F7950" s="23" t="str">
        <f>HYPERLINK("https://www.spark-marketing.ru/Card/Lot/72727164",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7950" s="22" t="s">
        <v>224</v>
      </c>
      <c r="H7950" s="22" t="s">
        <v>225</v>
      </c>
      <c r="I7950" s="26">
        <v>43689.4004166667</v>
      </c>
      <c r="J7950" s="23" t="str">
        <f>HYPERLINK("https://www.spark-marketing.ru/Card/Person/6454752", "ООО ""ЕВРО КЕЙТЕРИНГ 43""")</f>
        <v>ООО "ЕВРО КЕЙТЕРИНГ 43"</v>
      </c>
      <c r="K7950" s="24" t="s">
        <v>8367</v>
      </c>
      <c r="L7950" s="28" t="s">
        <v>51</v>
      </c>
      <c r="M7950" s="25">
        <v>14069.3</v>
      </c>
      <c r="N7950" s="27">
        <v>0.98436744444444446</v>
      </c>
    </row>
    <row r="7951" spans="1:14" ht="12.75" hidden="1" outlineLevel="1" x14ac:dyDescent="0.2">
      <c r="A7951" s="23" t="str">
        <f>HYPERLINK("https://www.spark-marketing.ru/Card/Person/89798", "УМВД РОССИИ ПО ГОРОДУ КИРОВУ")</f>
        <v>УМВД РОССИИ ПО ГОРОДУ КИРОВУ</v>
      </c>
      <c r="B7951" s="24" t="s">
        <v>8365</v>
      </c>
      <c r="C7951" s="25">
        <v>900000</v>
      </c>
      <c r="D7951" s="22" t="s">
        <v>11747</v>
      </c>
      <c r="E7951" s="22" t="s">
        <v>48</v>
      </c>
      <c r="F7951" s="23" t="str">
        <f>HYPERLINK("https://www.spark-marketing.ru/Card/Lot/72727164",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7951" s="22" t="s">
        <v>224</v>
      </c>
      <c r="H7951" s="22" t="s">
        <v>225</v>
      </c>
      <c r="I7951" s="26">
        <v>43689.4004166667</v>
      </c>
      <c r="J7951" s="23" t="str">
        <f>HYPERLINK("https://www.spark-marketing.ru/Card/Person/89851", "ООО ""ФУД-СЕРВИС""")</f>
        <v>ООО "ФУД-СЕРВИС"</v>
      </c>
      <c r="K7951" s="24" t="s">
        <v>8368</v>
      </c>
      <c r="L7951" s="22" t="s">
        <v>10</v>
      </c>
      <c r="M7951" s="25">
        <v>13998.6</v>
      </c>
      <c r="N7951" s="27">
        <v>0.98444600000000004</v>
      </c>
    </row>
    <row r="7952" spans="1:14" x14ac:dyDescent="0.15">
      <c r="A7952" s="23" t="str">
        <f>HYPERLINK("https://www.spark-marketing.ru/Card/Person/1752170", "ОМВД РОССИИ ПО ЧАГОДОЩЕНСКОМУ РАЙОНУ")</f>
        <v>ОМВД РОССИИ ПО ЧАГОДОЩЕНСКОМУ РАЙОНУ</v>
      </c>
      <c r="B7952" s="24" t="s">
        <v>2938</v>
      </c>
      <c r="C7952" s="25">
        <v>399960</v>
      </c>
      <c r="D7952" s="22" t="s">
        <v>11748</v>
      </c>
      <c r="E7952" s="22" t="s">
        <v>48</v>
      </c>
      <c r="F7952" s="23" t="str">
        <f>HYPERLINK("https://www.spark-marketing.ru/Card/Lot/72728672", "Оказание услуг по организации питания административно арестованных, подозреваемых и обвиняемых, содержащихся под стражей, а также задержанных более 3 часов граждан")</f>
        <v>Оказание услуг по организации питания административно арестованных, подозреваемых и обвиняемых, содержащихся под стражей, а также задержанных более 3 часов граждан</v>
      </c>
      <c r="G7952" s="22" t="s">
        <v>503</v>
      </c>
      <c r="H7952" s="22" t="s">
        <v>1487</v>
      </c>
      <c r="I7952" s="26">
        <v>43689.413993055598</v>
      </c>
      <c r="J7952" s="28" t="s">
        <v>51</v>
      </c>
      <c r="K7952" s="28" t="s">
        <v>51</v>
      </c>
      <c r="L7952" s="28" t="s">
        <v>51</v>
      </c>
      <c r="M7952" s="28" t="s">
        <v>51</v>
      </c>
      <c r="N7952" s="28" t="s">
        <v>51</v>
      </c>
    </row>
    <row r="7953" spans="1:14" x14ac:dyDescent="0.15">
      <c r="A7953" s="23" t="str">
        <f>HYPERLINK("https://www.spark-marketing.ru/Card/Person/950938", "МБОУ ""ШКОЛА №2 ИМ. Ю.А. ГАГАРИНА""")</f>
        <v>МБОУ "ШКОЛА №2 ИМ. Ю.А. ГАГАРИНА"</v>
      </c>
      <c r="B7953" s="24" t="s">
        <v>11749</v>
      </c>
      <c r="C7953" s="25">
        <v>878202.28</v>
      </c>
      <c r="D7953" s="22" t="s">
        <v>11750</v>
      </c>
      <c r="E7953" s="22" t="s">
        <v>48</v>
      </c>
      <c r="F7953" s="23" t="str">
        <f>HYPERLINK("https://www.spark-marketing.ru/Card/Lot/72721866", "Оказание услуг по организации горячего питания для обучающихся муниципального бюджетного общеобразовательного учреждения «Средней общеобразовательной школы № 2 им.Ю.А. Гагарина» в соответствии со Спецификацией (приложение № 1), утвержденной Заказчико...")</f>
        <v>Оказание услуг по организации горячего питания для обучающихся муниципального бюджетного общеобразовательного учреждения «Средней общеобразовательной школы № 2 им.Ю.А. Гагарина» в соответствии со Спецификацией (приложение № 1), утвержденной Заказчико...</v>
      </c>
      <c r="G7953" s="22" t="s">
        <v>281</v>
      </c>
      <c r="H7953" s="22" t="s">
        <v>1436</v>
      </c>
      <c r="I7953" s="26">
        <v>43689.384166666699</v>
      </c>
      <c r="J7953" s="23" t="str">
        <f>HYPERLINK("https://www.spark-marketing.ru/Card/Person/227190", "ООО ""РИЧ""")</f>
        <v>ООО "РИЧ"</v>
      </c>
      <c r="K7953" s="24" t="s">
        <v>1437</v>
      </c>
      <c r="L7953" s="22" t="s">
        <v>10</v>
      </c>
      <c r="M7953" s="28" t="s">
        <v>51</v>
      </c>
      <c r="N7953" s="28" t="s">
        <v>51</v>
      </c>
    </row>
    <row r="7954" spans="1:14" x14ac:dyDescent="0.15">
      <c r="A7954" s="23" t="str">
        <f>HYPERLINK("https://www.spark-marketing.ru/Card/Person/150107", "ОМВД РОССИИ ПО СКОВОРОДИНСКОМУ РАЙОНУ")</f>
        <v>ОМВД РОССИИ ПО СКОВОРОДИНСКОМУ РАЙОНУ</v>
      </c>
      <c r="B7954" s="24" t="s">
        <v>11742</v>
      </c>
      <c r="C7954" s="25">
        <v>840000</v>
      </c>
      <c r="D7954" s="22" t="s">
        <v>11751</v>
      </c>
      <c r="E7954" s="22" t="s">
        <v>48</v>
      </c>
      <c r="F7954" s="23" t="str">
        <f>HYPERLINK("https://www.spark-marketing.ru/Card/Lot/72720529", "оказание услуг по приготовлению и доставке горячего питания, подозреваемым и обвиняемым, содержащимся в ИВС ОМВД России по Сковородинскому району на 2021 год")</f>
        <v>оказание услуг по приготовлению и доставке горячего питания, подозреваемым и обвиняемым, содержащимся в ИВС ОМВД России по Сковородинскому району на 2021 год</v>
      </c>
      <c r="G7954" s="22" t="s">
        <v>210</v>
      </c>
      <c r="H7954" s="22" t="s">
        <v>11744</v>
      </c>
      <c r="I7954" s="26">
        <v>43689.395335648202</v>
      </c>
      <c r="J7954" s="28" t="s">
        <v>51</v>
      </c>
      <c r="K7954" s="28" t="s">
        <v>51</v>
      </c>
      <c r="L7954" s="28" t="s">
        <v>51</v>
      </c>
      <c r="M7954" s="28" t="s">
        <v>51</v>
      </c>
      <c r="N7954" s="28" t="s">
        <v>51</v>
      </c>
    </row>
    <row r="7955" spans="1:14" collapsed="1" x14ac:dyDescent="0.15">
      <c r="A7955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7955" s="24" t="s">
        <v>11726</v>
      </c>
      <c r="C7955" s="25">
        <v>1250000</v>
      </c>
      <c r="D7955" s="22" t="s">
        <v>11752</v>
      </c>
      <c r="E7955" s="22" t="s">
        <v>48</v>
      </c>
      <c r="F7955" s="23" t="str">
        <f>HYPERLINK("https://www.spark-marketing.ru/Card/Lot/72733222", "Оказание услуг по обеспечению ежедневным трёхразовым горячим питанием лиц содержащихся в изоляторе временного содержания и камерах административно задержанных.")</f>
        <v>Оказание услуг по обеспечению ежедневным трёхразовым горячим питанием лиц содержащихся в изоляторе временного содержания и камерах административно задержанных.</v>
      </c>
      <c r="G7955" s="22" t="s">
        <v>153</v>
      </c>
      <c r="H7955" s="22" t="s">
        <v>11728</v>
      </c>
      <c r="I7955" s="26">
        <v>43689.385914351798</v>
      </c>
      <c r="J7955" s="28" t="s">
        <v>51</v>
      </c>
      <c r="K7955" s="28" t="s">
        <v>51</v>
      </c>
      <c r="L7955" s="28" t="s">
        <v>51</v>
      </c>
      <c r="M7955" s="28" t="s">
        <v>51</v>
      </c>
      <c r="N7955" s="28" t="s">
        <v>51</v>
      </c>
    </row>
    <row r="7956" spans="1:14" ht="12.75" hidden="1" outlineLevel="1" x14ac:dyDescent="0.2">
      <c r="A7956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7956" s="24" t="s">
        <v>11726</v>
      </c>
      <c r="C7956" s="25">
        <v>1250000</v>
      </c>
      <c r="D7956" s="22" t="s">
        <v>11752</v>
      </c>
      <c r="E7956" s="22" t="s">
        <v>48</v>
      </c>
      <c r="F7956" s="23" t="str">
        <f>HYPERLINK("https://www.spark-marketing.ru/Card/Lot/72733222", "Оказание услуг по обеспечению ежедневным трёхразовым горячим питанием лиц содержащихся в изоляторе временного содержания и камерах административно задержанных.")</f>
        <v>Оказание услуг по обеспечению ежедневным трёхразовым горячим питанием лиц содержащихся в изоляторе временного содержания и камерах административно задержанных.</v>
      </c>
      <c r="G7956" s="22" t="s">
        <v>153</v>
      </c>
      <c r="H7956" s="22" t="s">
        <v>11728</v>
      </c>
      <c r="I7956" s="26">
        <v>43689.385914351798</v>
      </c>
      <c r="J7956" s="23" t="str">
        <f>HYPERLINK("https://www.spark-marketing.ru/Card/Person/6007138", "Кропачева Светлана Борисовна")</f>
        <v>Кропачева Светлана Борисовна</v>
      </c>
      <c r="K7956" s="24" t="s">
        <v>11729</v>
      </c>
      <c r="L7956" s="22" t="s">
        <v>10</v>
      </c>
      <c r="M7956" s="25">
        <v>843.87</v>
      </c>
      <c r="N7956" s="27">
        <v>0.99932490399999996</v>
      </c>
    </row>
    <row r="7957" spans="1:14" hidden="1" outlineLevel="1" x14ac:dyDescent="0.2">
      <c r="A7957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7957" s="24" t="s">
        <v>11726</v>
      </c>
      <c r="C7957" s="25">
        <v>1250000</v>
      </c>
      <c r="D7957" s="22" t="s">
        <v>11752</v>
      </c>
      <c r="E7957" s="22" t="s">
        <v>48</v>
      </c>
      <c r="F7957" s="23" t="str">
        <f>HYPERLINK("https://www.spark-marketing.ru/Card/Lot/72733222", "Оказание услуг по обеспечению ежедневным трёхразовым горячим питанием лиц содержащихся в изоляторе временного содержания и камерах административно задержанных.")</f>
        <v>Оказание услуг по обеспечению ежедневным трёхразовым горячим питанием лиц содержащихся в изоляторе временного содержания и камерах административно задержанных.</v>
      </c>
      <c r="G7957" s="22" t="s">
        <v>153</v>
      </c>
      <c r="H7957" s="22" t="s">
        <v>11728</v>
      </c>
      <c r="I7957" s="26">
        <v>43689.385914351798</v>
      </c>
      <c r="J7957" s="23" t="str">
        <f>HYPERLINK("https://www.spark-marketing.ru/Card/Person/1403159", "ООО ""МАЛАХИТ""")</f>
        <v>ООО "МАЛАХИТ"</v>
      </c>
      <c r="K7957" s="24" t="s">
        <v>11730</v>
      </c>
      <c r="L7957" s="28" t="s">
        <v>51</v>
      </c>
      <c r="M7957" s="25">
        <v>850.86</v>
      </c>
      <c r="N7957" s="27">
        <v>0.99931931200000002</v>
      </c>
    </row>
    <row r="7958" spans="1:14" x14ac:dyDescent="0.2">
      <c r="A7958" s="23" t="str">
        <f>HYPERLINK("https://www.spark-marketing.ru/Card/Person/124869", "ГБОУ ""НАБЕРЕЖНОЧЕЛНИНСКАЯ ШКОЛА №69""")</f>
        <v>ГБОУ "НАБЕРЕЖНОЧЕЛНИНСКАЯ ШКОЛА №69"</v>
      </c>
      <c r="B7958" s="24" t="s">
        <v>11753</v>
      </c>
      <c r="C7958" s="25">
        <v>1800000</v>
      </c>
      <c r="D7958" s="22" t="s">
        <v>11754</v>
      </c>
      <c r="E7958" s="22" t="s">
        <v>48</v>
      </c>
      <c r="F7958" s="23" t="str">
        <f>HYPERLINK("https://www.spark-marketing.ru/Card/Lot/72723524", "оказание услуг по организации питания учащихся для нужд ГБОУ «Набережночелнинская школа №69 для детей с ограниченными возможностями здоровья»")</f>
        <v>оказание услуг по организации питания учащихся для нужд ГБОУ «Набережночелнинская школа №69 для детей с ограниченными возможностями здоровья»</v>
      </c>
      <c r="G7958" s="22" t="s">
        <v>217</v>
      </c>
      <c r="H7958" s="22" t="s">
        <v>1998</v>
      </c>
      <c r="I7958" s="26">
        <v>43689.35</v>
      </c>
      <c r="J7958" s="23" t="str">
        <f>HYPERLINK("https://www.spark-marketing.ru/Card/Person/87385", "ООО ""ШКОЛЬНОЕ ПИТАНИЕ""")</f>
        <v>ООО "ШКОЛЬНОЕ ПИТАНИЕ"</v>
      </c>
      <c r="K7958" s="24" t="s">
        <v>6356</v>
      </c>
      <c r="L7958" s="28" t="s">
        <v>51</v>
      </c>
      <c r="M7958" s="25">
        <v>1800000</v>
      </c>
      <c r="N7958" s="27">
        <v>0</v>
      </c>
    </row>
    <row r="7959" spans="1:14" x14ac:dyDescent="0.15">
      <c r="A7959" s="23" t="str">
        <f>HYPERLINK("https://www.spark-marketing.ru/Card/Person/362430", "ОТДЕЛ МВД РОССИИ ПО САЛЬСКОМУ РАЙОНУ")</f>
        <v>ОТДЕЛ МВД РОССИИ ПО САЛЬСКОМУ РАЙОНУ</v>
      </c>
      <c r="B7959" s="24" t="s">
        <v>11755</v>
      </c>
      <c r="C7959" s="25">
        <v>656000</v>
      </c>
      <c r="D7959" s="22" t="s">
        <v>11756</v>
      </c>
      <c r="E7959" s="22" t="s">
        <v>96</v>
      </c>
      <c r="F7959" s="23" t="str">
        <f>HYPERLINK("https://www.spark-marketing.ru/Card/Lot/72739726", "услуги по организации горячего питания лиц, содержащихся в ИВС, а также лиц задержанных в административном порядке (прочая закупка работ, услуг)")</f>
        <v>услуги по организации горячего питания лиц, содержащихся в ИВС, а также лиц задержанных в административном порядке (прочая закупка работ, услуг)</v>
      </c>
      <c r="G7959" s="22" t="s">
        <v>267</v>
      </c>
      <c r="H7959" s="22" t="s">
        <v>267</v>
      </c>
      <c r="I7959" s="26">
        <v>43689.370960648099</v>
      </c>
      <c r="J7959" s="23" t="str">
        <f>HYPERLINK("https://www.spark-marketing.ru/Card/Person/363943", "Пономарева Ольга Николаевна")</f>
        <v>Пономарева Ольга Николаевна</v>
      </c>
      <c r="K7959" s="24" t="s">
        <v>11757</v>
      </c>
      <c r="L7959" s="22" t="s">
        <v>10</v>
      </c>
      <c r="M7959" s="28" t="s">
        <v>51</v>
      </c>
      <c r="N7959" s="28" t="s">
        <v>51</v>
      </c>
    </row>
    <row r="7960" spans="1:14" x14ac:dyDescent="0.15">
      <c r="A7960" s="23" t="str">
        <f>HYPERLINK("https://www.spark-marketing.ru/Card/Person/108500", "УПРАВЛЕНИЕ МВД РОССИИ ПО ЗАТО Г. ОЗЕРСК ЧЕЛЯБИНСКОЙ ОБЛАСТИ")</f>
        <v>УПРАВЛЕНИЕ МВД РОССИИ ПО ЗАТО Г. ОЗЕРСК ЧЕЛЯБИНСКОЙ ОБЛАСТИ</v>
      </c>
      <c r="B7960" s="24" t="s">
        <v>11758</v>
      </c>
      <c r="C7960" s="25">
        <v>186322.23</v>
      </c>
      <c r="D7960" s="22" t="s">
        <v>11759</v>
      </c>
      <c r="E7960" s="22" t="s">
        <v>96</v>
      </c>
      <c r="F7960" s="23" t="str">
        <f>HYPERLINK("https://www.spark-marketing.ru/Card/Lot/72721816",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7960" s="22" t="s">
        <v>469</v>
      </c>
      <c r="H7960" s="22" t="s">
        <v>11760</v>
      </c>
      <c r="I7960" s="26">
        <v>43689.341018518498</v>
      </c>
      <c r="J7960" s="28" t="s">
        <v>51</v>
      </c>
      <c r="K7960" s="28" t="s">
        <v>51</v>
      </c>
      <c r="L7960" s="28" t="s">
        <v>51</v>
      </c>
      <c r="M7960" s="28" t="s">
        <v>51</v>
      </c>
      <c r="N7960" s="28" t="s">
        <v>51</v>
      </c>
    </row>
    <row r="7961" spans="1:14" x14ac:dyDescent="0.15">
      <c r="A7961" s="23" t="str">
        <f>HYPERLINK("https://www.spark-marketing.ru/Card/Person/103664", "МО МВД РОССИИ ""КОЗЬМОДЕМЬЯНСКИЙ""")</f>
        <v>МО МВД РОССИИ "КОЗЬМОДЕМЬЯНСКИЙ"</v>
      </c>
      <c r="B7961" s="24" t="s">
        <v>11761</v>
      </c>
      <c r="C7961" s="25">
        <v>400000</v>
      </c>
      <c r="D7961" s="22" t="s">
        <v>11762</v>
      </c>
      <c r="E7961" s="22" t="s">
        <v>96</v>
      </c>
      <c r="F7961" s="23" t="str">
        <f>HYPERLINK("https://www.spark-marketing.ru/Card/Lot/72724362", "Услуги по обеспечению трехразовым питанием подозреваемых и обвиняемых в совершении преступлений, лиц подвергнутых административному аресту, находящихся в ИВС МО МВД России «Козьмодемьянский», и лиц, задержанных за административные правонарушения и со...")</f>
        <v>Услуги по обеспечению трехразовым питанием подозреваемых и обвиняемых в совершении преступлений, лиц подвергнутых административному аресту, находящихся в ИВС МО МВД России «Козьмодемьянский», и лиц, задержанных за административные правонарушения и со...</v>
      </c>
      <c r="G7961" s="22" t="s">
        <v>3249</v>
      </c>
      <c r="H7961" s="22" t="s">
        <v>11763</v>
      </c>
      <c r="I7961" s="26">
        <v>43689.322731481501</v>
      </c>
      <c r="J7961" s="23" t="str">
        <f>HYPERLINK("https://www.spark-marketing.ru/Card/Person/2307759", "ТРОИЦКО-ПОСАДСКОЕ ПО")</f>
        <v>ТРОИЦКО-ПОСАДСКОЕ ПО</v>
      </c>
      <c r="K7961" s="24" t="s">
        <v>11764</v>
      </c>
      <c r="L7961" s="22" t="s">
        <v>10</v>
      </c>
      <c r="M7961" s="28" t="s">
        <v>51</v>
      </c>
      <c r="N7961" s="28" t="s">
        <v>51</v>
      </c>
    </row>
    <row r="7962" spans="1:14" x14ac:dyDescent="0.15">
      <c r="A7962" s="23" t="str">
        <f>HYPERLINK("https://www.spark-marketing.ru/Card/Person/1759399", "МОУ ""СОШ № 44 ИМЕНИ С.Ф. БАРОНЕНКО""")</f>
        <v>МОУ "СОШ № 44 ИМЕНИ С.Ф. БАРОНЕНКО"</v>
      </c>
      <c r="B7962" s="24" t="s">
        <v>11765</v>
      </c>
      <c r="C7962" s="25">
        <v>989400</v>
      </c>
      <c r="D7962" s="22" t="s">
        <v>11766</v>
      </c>
      <c r="E7962" s="22" t="s">
        <v>1412</v>
      </c>
      <c r="F7962" s="23" t="str">
        <f>HYPERLINK("https://www.spark-marketing.ru/Card/Lot/72731663", "Оказание услуг по организации питания детей из малообеспеченных семей и детей с нарушением здоровья, обучающихся в МОУ ""СОШ № 44 имени С.Ф. Бароненко""")</f>
        <v>Оказание услуг по организации питания детей из малообеспеченных семей и детей с нарушением здоровья, обучающихся в МОУ "СОШ № 44 имени С.Ф. Бароненко"</v>
      </c>
      <c r="G7962" s="22" t="s">
        <v>469</v>
      </c>
      <c r="H7962" s="22" t="s">
        <v>469</v>
      </c>
      <c r="I7962" s="26">
        <v>43689</v>
      </c>
      <c r="J7962" s="28" t="s">
        <v>51</v>
      </c>
      <c r="K7962" s="28" t="s">
        <v>51</v>
      </c>
      <c r="L7962" s="28" t="s">
        <v>51</v>
      </c>
      <c r="M7962" s="28" t="s">
        <v>51</v>
      </c>
      <c r="N7962" s="28" t="s">
        <v>51</v>
      </c>
    </row>
    <row r="7963" spans="1:14" x14ac:dyDescent="0.2">
      <c r="A7963" s="23" t="str">
        <f>HYPERLINK("https://www.spark-marketing.ru/Card/Person/4353240", "ООО ""ОРЕНБУРГ ВОДОКАНАЛ""")</f>
        <v>ООО "ОРЕНБУРГ ВОДОКАНАЛ"</v>
      </c>
      <c r="B7963" s="24" t="s">
        <v>11767</v>
      </c>
      <c r="C7963" s="25">
        <v>150000</v>
      </c>
      <c r="D7963" s="22" t="s">
        <v>11768</v>
      </c>
      <c r="E7963" s="22" t="s">
        <v>958</v>
      </c>
      <c r="F7963" s="23" t="str">
        <f>HYPERLINK("https://www.spark-marketing.ru/Card/Lot/72734728", "Оказание услуг по экспертизе промышленной безопасности технологических трубопроводов хлора на объектах ООО «Оренбург Водоканал»")</f>
        <v>Оказание услуг по экспертизе промышленной безопасности технологических трубопроводов хлора на объектах ООО «Оренбург Водоканал»</v>
      </c>
      <c r="G7963" s="22" t="s">
        <v>132</v>
      </c>
      <c r="H7963" s="22" t="s">
        <v>587</v>
      </c>
      <c r="I7963" s="26">
        <v>43689</v>
      </c>
      <c r="J7963" s="28" t="s">
        <v>51</v>
      </c>
      <c r="K7963" s="28" t="s">
        <v>51</v>
      </c>
      <c r="L7963" s="28" t="s">
        <v>51</v>
      </c>
      <c r="M7963" s="25">
        <v>120000</v>
      </c>
      <c r="N7963" s="27">
        <v>0.2</v>
      </c>
    </row>
    <row r="7964" spans="1:14" x14ac:dyDescent="0.2">
      <c r="A7964" s="23" t="str">
        <f>HYPERLINK("https://www.spark-marketing.ru/Card/Person/1748", "ФГАОУ ВО ПЕРВЫЙ МГМУ ИМ.И.М. СЕЧЕНОВА МИНЗДРАВА РОССИИ (СЕЧЕНОВСКИЙ УНИВЕРСИТЕТ)")</f>
        <v>ФГАОУ ВО ПЕРВЫЙ МГМУ ИМ.И.М. СЕЧЕНОВА МИНЗДРАВА РОССИИ (СЕЧЕНОВСКИЙ УНИВЕРСИТЕТ)</v>
      </c>
      <c r="B7964" s="24" t="s">
        <v>6472</v>
      </c>
      <c r="C7964" s="25">
        <v>998907.2</v>
      </c>
      <c r="D7964" s="22" t="s">
        <v>11769</v>
      </c>
      <c r="E7964" s="22" t="s">
        <v>562</v>
      </c>
      <c r="F7964" s="23" t="str">
        <f>HYPERLINK("https://www.spark-marketing.ru/Card/Lot/72735531", "Оказание услуг по организации питания обучающихся в Ресурсном центре ""Московский Сеченовский Предуниверсарий"" из числа инвалидов, многодетных и социально необеспеченных семей для нужд ФГАОУ ВО Первый МГМУ им. И.М. Сеченова Минздрава России (Сеченов...")</f>
        <v>Оказание услуг по организации питания обучающихся в Ресурсном центре "Московский Сеченовский Предуниверсарий" из числа инвалидов, многодетных и социально необеспеченных семей для нужд ФГАОУ ВО Первый МГМУ им. И.М. Сеченова Минздрава России (Сеченов...</v>
      </c>
      <c r="G7964" s="22" t="s">
        <v>56</v>
      </c>
      <c r="H7964" s="22" t="s">
        <v>56</v>
      </c>
      <c r="I7964" s="26">
        <v>43689</v>
      </c>
      <c r="J7964" s="28" t="s">
        <v>51</v>
      </c>
      <c r="K7964" s="28" t="s">
        <v>51</v>
      </c>
      <c r="L7964" s="22" t="s">
        <v>10</v>
      </c>
      <c r="M7964" s="25">
        <v>998907.2</v>
      </c>
      <c r="N7964" s="27">
        <v>0</v>
      </c>
    </row>
    <row r="7965" spans="1:14" x14ac:dyDescent="0.15">
      <c r="A7965" s="23" t="str">
        <f>HYPERLINK("https://www.spark-marketing.ru/Card/Person/119700", "МАОУ ЛИЦЕЙ № 12")</f>
        <v>МАОУ ЛИЦЕЙ № 12</v>
      </c>
      <c r="B7965" s="24" t="s">
        <v>11770</v>
      </c>
      <c r="C7965" s="25">
        <v>314013.33</v>
      </c>
      <c r="D7965" s="22" t="s">
        <v>11771</v>
      </c>
      <c r="E7965" s="22" t="s">
        <v>362</v>
      </c>
      <c r="F7965" s="23" t="str">
        <f>HYPERLINK("https://www.spark-marketing.ru/Card/Lot/72722061", "оказание услуг по организации горячего питания учащихся в первой четверти 2019-2020 учебного года")</f>
        <v>оказание услуг по организации горячего питания учащихся в первой четверти 2019-2020 учебного года</v>
      </c>
      <c r="G7965" s="22" t="s">
        <v>281</v>
      </c>
      <c r="H7965" s="22" t="s">
        <v>281</v>
      </c>
      <c r="I7965" s="26">
        <v>43689</v>
      </c>
      <c r="J7965" s="28" t="s">
        <v>51</v>
      </c>
      <c r="K7965" s="28" t="s">
        <v>51</v>
      </c>
      <c r="L7965" s="28" t="s">
        <v>51</v>
      </c>
      <c r="M7965" s="28" t="s">
        <v>51</v>
      </c>
      <c r="N7965" s="28" t="s">
        <v>51</v>
      </c>
    </row>
    <row r="7966" spans="1:14" x14ac:dyDescent="0.2">
      <c r="A7966" s="23" t="str">
        <f>HYPERLINK("https://www.spark-marketing.ru/Card/Person/4348787", "КРЫМСКИЙ ФЕДЕРАЛЬНЫЙ УНИВЕРСИТЕТ ИМЕНИ В.И. ВЕРНАДСКОГО, ФГАОУ ВО ""КФУ ИМ. В.И. ВЕРНАДСКОГО""")</f>
        <v>КРЫМСКИЙ ФЕДЕРАЛЬНЫЙ УНИВЕРСИТЕТ ИМЕНИ В.И. ВЕРНАДСКОГО, ФГАОУ ВО "КФУ ИМ. В.И. ВЕРНАДСКОГО"</v>
      </c>
      <c r="B7966" s="24" t="s">
        <v>11772</v>
      </c>
      <c r="C7966" s="25">
        <v>1630000</v>
      </c>
      <c r="D7966" s="22" t="s">
        <v>11773</v>
      </c>
      <c r="E7966" s="22" t="s">
        <v>794</v>
      </c>
      <c r="F7966" s="23" t="str">
        <f>HYPERLINK("https://www.spark-marketing.ru/Card/Lot/72726738", "Услуга по организации проживания и питания для участников, организаторов/волонтеров, экспертов Форума добровольчества «ВКоманде добра»")</f>
        <v>Услуга по организации проживания и питания для участников, организаторов/волонтеров, экспертов Форума добровольчества «ВКоманде добра»</v>
      </c>
      <c r="G7966" s="22" t="s">
        <v>108</v>
      </c>
      <c r="H7966" s="22" t="s">
        <v>1355</v>
      </c>
      <c r="I7966" s="26">
        <v>43689</v>
      </c>
      <c r="J7966" s="28" t="s">
        <v>51</v>
      </c>
      <c r="K7966" s="28" t="s">
        <v>51</v>
      </c>
      <c r="L7966" s="22" t="s">
        <v>10</v>
      </c>
      <c r="M7966" s="25">
        <v>1629998</v>
      </c>
      <c r="N7966" s="27">
        <v>1.2269938650306748E-6</v>
      </c>
    </row>
    <row r="7967" spans="1:14" x14ac:dyDescent="0.2">
      <c r="A7967" s="23" t="str">
        <f>HYPERLINK("https://www.spark-marketing.ru/Card/Person/1193847", "МАОУ СОШ № 5")</f>
        <v>МАОУ СОШ № 5</v>
      </c>
      <c r="B7967" s="24" t="s">
        <v>2949</v>
      </c>
      <c r="C7967" s="25">
        <v>416250</v>
      </c>
      <c r="D7967" s="22" t="s">
        <v>11774</v>
      </c>
      <c r="E7967" s="22" t="s">
        <v>362</v>
      </c>
      <c r="F7967" s="23" t="str">
        <f>HYPERLINK("https://www.spark-marketing.ru/Card/Lot/72743000", "Российский рубль")</f>
        <v>Российский рубль</v>
      </c>
      <c r="G7967" s="22" t="s">
        <v>137</v>
      </c>
      <c r="H7967" s="22" t="s">
        <v>11775</v>
      </c>
      <c r="I7967" s="26">
        <v>43689</v>
      </c>
      <c r="J7967" s="28" t="s">
        <v>51</v>
      </c>
      <c r="K7967" s="28" t="s">
        <v>51</v>
      </c>
      <c r="L7967" s="22" t="s">
        <v>10</v>
      </c>
      <c r="M7967" s="25">
        <v>416250</v>
      </c>
      <c r="N7967" s="27">
        <v>0</v>
      </c>
    </row>
    <row r="7968" spans="1:14" x14ac:dyDescent="0.2">
      <c r="A7968" s="23" t="str">
        <f>HYPERLINK("https://www.spark-marketing.ru/Card/Person/4434548", "МАОУ ИСЕТСКАЯ СОШ №2")</f>
        <v>МАОУ ИСЕТСКАЯ СОШ №2</v>
      </c>
      <c r="B7968" s="24" t="s">
        <v>11776</v>
      </c>
      <c r="C7968" s="25">
        <v>5913525</v>
      </c>
      <c r="D7968" s="22" t="s">
        <v>11777</v>
      </c>
      <c r="E7968" s="22" t="s">
        <v>362</v>
      </c>
      <c r="F7968" s="23" t="str">
        <f>HYPERLINK("https://www.spark-marketing.ru/Card/Lot/72734190", "оказание услуг по обеспечению питанием учащихся и воспитанников МАОУ Исетская СОШ №2")</f>
        <v>оказание услуг по обеспечению питанием учащихся и воспитанников МАОУ Исетская СОШ №2</v>
      </c>
      <c r="G7968" s="22" t="s">
        <v>766</v>
      </c>
      <c r="H7968" s="22" t="s">
        <v>766</v>
      </c>
      <c r="I7968" s="26">
        <v>43689</v>
      </c>
      <c r="J7968" s="28" t="s">
        <v>51</v>
      </c>
      <c r="K7968" s="28" t="s">
        <v>51</v>
      </c>
      <c r="L7968" s="22" t="s">
        <v>10</v>
      </c>
      <c r="M7968" s="25">
        <v>5913525</v>
      </c>
      <c r="N7968" s="27">
        <v>0</v>
      </c>
    </row>
    <row r="7969" spans="1:14" x14ac:dyDescent="0.15">
      <c r="A7969" s="23" t="str">
        <f>HYPERLINK("https://www.spark-marketing.ru/Card/Person/172281", "ФГУСХП ""УЛЬЯНОВСКОЕ"" ФСИН РОССИИ")</f>
        <v>ФГУСХП "УЛЬЯНОВСКОЕ" ФСИН РОССИИ</v>
      </c>
      <c r="B7969" s="24" t="s">
        <v>11778</v>
      </c>
      <c r="C7969" s="25">
        <v>747879.6</v>
      </c>
      <c r="D7969" s="22" t="s">
        <v>11779</v>
      </c>
      <c r="E7969" s="22" t="s">
        <v>2473</v>
      </c>
      <c r="F7969" s="23" t="str">
        <f>HYPERLINK("https://www.spark-marketing.ru/Card/Lot/72727108", "Оказание транспортно-экспедиционных услуг по перевозке продуктов питания для нужд ФГУСХП «Ульяновское» ФСИН России.")</f>
        <v>Оказание транспортно-экспедиционных услуг по перевозке продуктов питания для нужд ФГУСХП «Ульяновское» ФСИН России.</v>
      </c>
      <c r="G7969" s="22" t="s">
        <v>852</v>
      </c>
      <c r="H7969" s="22" t="s">
        <v>852</v>
      </c>
      <c r="I7969" s="26">
        <v>43689</v>
      </c>
      <c r="J7969" s="28" t="s">
        <v>51</v>
      </c>
      <c r="K7969" s="28" t="s">
        <v>51</v>
      </c>
      <c r="L7969" s="28" t="s">
        <v>51</v>
      </c>
      <c r="M7969" s="28" t="s">
        <v>51</v>
      </c>
      <c r="N7969" s="28" t="s">
        <v>51</v>
      </c>
    </row>
    <row r="7970" spans="1:14" x14ac:dyDescent="0.2">
      <c r="A7970" s="23" t="str">
        <f>HYPERLINK("https://www.spark-marketing.ru/Card/Person/1003293", "МАОУ СОШ № 18")</f>
        <v>МАОУ СОШ № 18</v>
      </c>
      <c r="B7970" s="24" t="s">
        <v>11780</v>
      </c>
      <c r="C7970" s="25">
        <v>1433700</v>
      </c>
      <c r="D7970" s="22" t="s">
        <v>11781</v>
      </c>
      <c r="E7970" s="22" t="s">
        <v>362</v>
      </c>
      <c r="F7970" s="23" t="str">
        <f>HYPERLINK("https://www.spark-marketing.ru/Card/Lot/72728282", "оказание услуг по организации горячего питания")</f>
        <v>оказание услуг по организации горячего питания</v>
      </c>
      <c r="G7970" s="22" t="s">
        <v>174</v>
      </c>
      <c r="H7970" s="22" t="s">
        <v>174</v>
      </c>
      <c r="I7970" s="26">
        <v>43689</v>
      </c>
      <c r="J7970" s="28" t="s">
        <v>51</v>
      </c>
      <c r="K7970" s="28" t="s">
        <v>51</v>
      </c>
      <c r="L7970" s="28" t="s">
        <v>51</v>
      </c>
      <c r="M7970" s="25">
        <v>1433700</v>
      </c>
      <c r="N7970" s="27">
        <v>0</v>
      </c>
    </row>
    <row r="7971" spans="1:14" x14ac:dyDescent="0.2">
      <c r="A7971" s="23" t="str">
        <f>HYPERLINK("https://www.spark-marketing.ru/Card/Person/61084", "МУ ДК ""УГОЛЬЩИКОВ""")</f>
        <v>МУ ДК "УГОЛЬЩИКОВ"</v>
      </c>
      <c r="B7971" s="24" t="s">
        <v>11204</v>
      </c>
      <c r="C7971" s="25">
        <v>252330</v>
      </c>
      <c r="D7971" s="22" t="s">
        <v>11782</v>
      </c>
      <c r="E7971" s="22" t="s">
        <v>580</v>
      </c>
      <c r="F7971" s="23" t="str">
        <f>HYPERLINK("https://www.spark-marketing.ru/Card/Lot/72729057", "Оказание услуг по организации питания и обслуживания банкета во время корпоративного мероприятия, посвященного празднованию «Дня шахтера» ООО «ММК-УГОЛЬ»")</f>
        <v>Оказание услуг по организации питания и обслуживания банкета во время корпоративного мероприятия, посвященного празднованию «Дня шахтера» ООО «ММК-УГОЛЬ»</v>
      </c>
      <c r="G7971" s="22" t="s">
        <v>304</v>
      </c>
      <c r="H7971" s="22" t="s">
        <v>304</v>
      </c>
      <c r="I7971" s="26">
        <v>43689</v>
      </c>
      <c r="J7971" s="28" t="s">
        <v>51</v>
      </c>
      <c r="K7971" s="28" t="s">
        <v>51</v>
      </c>
      <c r="L7971" s="22" t="s">
        <v>10</v>
      </c>
      <c r="M7971" s="25">
        <v>252330</v>
      </c>
      <c r="N7971" s="27">
        <v>0</v>
      </c>
    </row>
    <row r="7972" spans="1:14" x14ac:dyDescent="0.15">
      <c r="A7972" s="23" t="str">
        <f>HYPERLINK("https://www.spark-marketing.ru/Card/Person/45677", "ФГАОУ ВО ""УРФУ ИМЕНИ ПЕРВОГО ПРЕЗИДЕНТА РОССИИ Б.Н. ЕЛЬЦИНА"", УРАЛЬСКИЙ ФЕДЕРАЛЬНЫЙ УНИВЕРСИТЕТ, УРФУ, УРАЛЬСКИЙ ФЕДЕРАЛЬНЫЙ УНИВЕРСИТЕТ ИМЕНИ ПЕРВОГО ПРЕЗИДЕНТА РОССИИ Б.Н. ЕЛЬЦИНА")</f>
        <v>ФГАОУ ВО "УРФУ ИМЕНИ ПЕРВОГО ПРЕЗИДЕНТА РОССИИ Б.Н. ЕЛЬЦИНА", УРАЛЬСКИЙ ФЕДЕРАЛЬНЫЙ УНИВЕРСИТЕТ, УРФУ, УРАЛЬСКИЙ ФЕДЕРАЛЬНЫЙ УНИВЕРСИТЕТ ИМЕНИ ПЕРВОГО ПРЕЗИДЕНТА РОССИИ Б.Н. ЕЛЬЦИНА</v>
      </c>
      <c r="B7972" s="24" t="s">
        <v>11783</v>
      </c>
      <c r="C7972" s="25">
        <v>21117317.399999999</v>
      </c>
      <c r="D7972" s="22" t="s">
        <v>11784</v>
      </c>
      <c r="E7972" s="22" t="s">
        <v>562</v>
      </c>
      <c r="F7972" s="23" t="str">
        <f>HYPERLINK("https://www.spark-marketing.ru/Card/Lot/72735899", "Оказание услуг по организации питания учащихся Специализированного учебно-научного центра (СУНЦ) УрФУ")</f>
        <v>Оказание услуг по организации питания учащихся Специализированного учебно-научного центра (СУНЦ) УрФУ</v>
      </c>
      <c r="G7972" s="22" t="s">
        <v>174</v>
      </c>
      <c r="H7972" s="22" t="s">
        <v>174</v>
      </c>
      <c r="I7972" s="26">
        <v>43689</v>
      </c>
      <c r="J7972" s="28" t="s">
        <v>51</v>
      </c>
      <c r="K7972" s="28" t="s">
        <v>51</v>
      </c>
      <c r="L7972" s="28" t="s">
        <v>51</v>
      </c>
      <c r="M7972" s="28" t="s">
        <v>51</v>
      </c>
      <c r="N7972" s="28" t="s">
        <v>51</v>
      </c>
    </row>
    <row r="7973" spans="1:14" x14ac:dyDescent="0.2">
      <c r="A7973" s="23" t="str">
        <f>HYPERLINK("https://www.spark-marketing.ru/Card/Person/1763217", "АМУ ""КДЦ ""ЮЖНЫЙ""")</f>
        <v>АМУ "КДЦ "ЮЖНЫЙ"</v>
      </c>
      <c r="B7973" s="24" t="s">
        <v>10386</v>
      </c>
      <c r="C7973" s="25">
        <v>150000</v>
      </c>
      <c r="D7973" s="22" t="s">
        <v>11785</v>
      </c>
      <c r="E7973" s="22" t="s">
        <v>580</v>
      </c>
      <c r="F7973" s="23" t="str">
        <f>HYPERLINK("https://www.spark-marketing.ru/Card/Lot/72734727", "Услуги по выездной организации питания участников празднования, посвященного Дню Всеволожского района")</f>
        <v>Услуги по выездной организации питания участников празднования, посвященного Дню Всеволожского района</v>
      </c>
      <c r="G7973" s="22" t="s">
        <v>162</v>
      </c>
      <c r="H7973" s="22" t="s">
        <v>162</v>
      </c>
      <c r="I7973" s="26">
        <v>43689</v>
      </c>
      <c r="J7973" s="28" t="s">
        <v>51</v>
      </c>
      <c r="K7973" s="28" t="s">
        <v>51</v>
      </c>
      <c r="L7973" s="22" t="s">
        <v>10</v>
      </c>
      <c r="M7973" s="25">
        <v>150000</v>
      </c>
      <c r="N7973" s="27">
        <v>0</v>
      </c>
    </row>
    <row r="7974" spans="1:14" x14ac:dyDescent="0.2">
      <c r="A7974" s="23" t="str">
        <f>HYPERLINK("https://www.spark-marketing.ru/Card/Person/378723", "АО ""ОЭЗ ППТ ""ЛИПЕЦК""")</f>
        <v>АО "ОЭЗ ППТ "ЛИПЕЦК"</v>
      </c>
      <c r="B7974" s="24" t="s">
        <v>11786</v>
      </c>
      <c r="C7974" s="25">
        <v>344850</v>
      </c>
      <c r="D7974" s="22" t="s">
        <v>11787</v>
      </c>
      <c r="E7974" s="22" t="s">
        <v>11788</v>
      </c>
      <c r="F7974" s="23" t="str">
        <f>HYPERLINK("https://www.spark-marketing.ru/Card/Lot/72742992", "Выполнение комплекса услуг, связанных с организацией общественного питания (деловой обед) участников презентационного мероприятия")</f>
        <v>Выполнение комплекса услуг, связанных с организацией общественного питания (деловой обед) участников презентационного мероприятия</v>
      </c>
      <c r="G7974" s="22" t="s">
        <v>101</v>
      </c>
      <c r="H7974" s="22" t="s">
        <v>8020</v>
      </c>
      <c r="I7974" s="26">
        <v>43689</v>
      </c>
      <c r="J7974" s="28" t="s">
        <v>51</v>
      </c>
      <c r="K7974" s="28" t="s">
        <v>51</v>
      </c>
      <c r="L7974" s="28" t="s">
        <v>51</v>
      </c>
      <c r="M7974" s="25">
        <v>344850</v>
      </c>
      <c r="N7974" s="27">
        <v>0</v>
      </c>
    </row>
    <row r="7975" spans="1:14" x14ac:dyDescent="0.15">
      <c r="A7975" s="23" t="str">
        <f>HYPERLINK("https://www.spark-marketing.ru/Card/Person/1386561", "ОМВД РОССИИ ПО ОКТЯБРЬСКОМУ РАЙОНУ")</f>
        <v>ОМВД РОССИИ ПО ОКТЯБРЬСКОМУ РАЙОНУ</v>
      </c>
      <c r="B7975" s="24" t="s">
        <v>11789</v>
      </c>
      <c r="C7975" s="25">
        <v>300000</v>
      </c>
      <c r="D7975" s="22" t="s">
        <v>11790</v>
      </c>
      <c r="E7975" s="22" t="s">
        <v>96</v>
      </c>
      <c r="F7975" s="23" t="str">
        <f>HYPERLINK("https://www.spark-marketing.ru/Card/Lot/72719295", "Оказание услуг по организации питания (приготовлению и доставке), 1000 шт")</f>
        <v>Оказание услуг по организации питания (приготовлению и доставке), 1000 шт</v>
      </c>
      <c r="G7975" s="22" t="s">
        <v>97</v>
      </c>
      <c r="H7975" s="22" t="s">
        <v>465</v>
      </c>
      <c r="I7975" s="26">
        <v>43688.449108796303</v>
      </c>
      <c r="J7975" s="28" t="s">
        <v>51</v>
      </c>
      <c r="K7975" s="28" t="s">
        <v>51</v>
      </c>
      <c r="L7975" s="28" t="s">
        <v>51</v>
      </c>
      <c r="M7975" s="28" t="s">
        <v>51</v>
      </c>
      <c r="N7975" s="28" t="s">
        <v>51</v>
      </c>
    </row>
    <row r="7976" spans="1:14" x14ac:dyDescent="0.15">
      <c r="A7976" s="23" t="str">
        <f>HYPERLINK("https://www.spark-marketing.ru/Card/Person/1386561", "ОМВД РОССИИ ПО ОКТЯБРЬСКОМУ РАЙОНУ")</f>
        <v>ОМВД РОССИИ ПО ОКТЯБРЬСКОМУ РАЙОНУ</v>
      </c>
      <c r="B7976" s="24" t="s">
        <v>11789</v>
      </c>
      <c r="C7976" s="25">
        <v>300000</v>
      </c>
      <c r="D7976" s="22" t="s">
        <v>11791</v>
      </c>
      <c r="E7976" s="22" t="s">
        <v>48</v>
      </c>
      <c r="F7976" s="23" t="str">
        <f>HYPERLINK("https://www.spark-marketing.ru/Card/Lot/72719285", "Услуги по доставке горячего питания (завтрак, обед, ужин), 625 усл. ед")</f>
        <v>Услуги по доставке горячего питания (завтрак, обед, ужин), 625 усл. ед</v>
      </c>
      <c r="G7976" s="22" t="s">
        <v>97</v>
      </c>
      <c r="H7976" s="22" t="s">
        <v>465</v>
      </c>
      <c r="I7976" s="26">
        <v>43688.438113425902</v>
      </c>
      <c r="J7976" s="28" t="s">
        <v>51</v>
      </c>
      <c r="K7976" s="28" t="s">
        <v>51</v>
      </c>
      <c r="L7976" s="28" t="s">
        <v>51</v>
      </c>
      <c r="M7976" s="28" t="s">
        <v>51</v>
      </c>
      <c r="N7976" s="28" t="s">
        <v>51</v>
      </c>
    </row>
    <row r="7977" spans="1:14" x14ac:dyDescent="0.15">
      <c r="A7977" s="23" t="str">
        <f>HYPERLINK("https://www.spark-marketing.ru/Card/Person/1386561", "ОМВД РОССИИ ПО ОКТЯБРЬСКОМУ РАЙОНУ")</f>
        <v>ОМВД РОССИИ ПО ОКТЯБРЬСКОМУ РАЙОНУ</v>
      </c>
      <c r="B7977" s="24" t="s">
        <v>11789</v>
      </c>
      <c r="C7977" s="25">
        <v>123600</v>
      </c>
      <c r="D7977" s="22" t="s">
        <v>11792</v>
      </c>
      <c r="E7977" s="22" t="s">
        <v>96</v>
      </c>
      <c r="F7977" s="23" t="str">
        <f>HYPERLINK("https://www.spark-marketing.ru/Card/Lot/72719265", "Оказание услуг по организации питания (приготовлению и доставке), 412 шт")</f>
        <v>Оказание услуг по организации питания (приготовлению и доставке), 412 шт</v>
      </c>
      <c r="G7977" s="22" t="s">
        <v>97</v>
      </c>
      <c r="H7977" s="22" t="s">
        <v>465</v>
      </c>
      <c r="I7977" s="26">
        <v>43688.418333333299</v>
      </c>
      <c r="J7977" s="28" t="s">
        <v>51</v>
      </c>
      <c r="K7977" s="28" t="s">
        <v>51</v>
      </c>
      <c r="L7977" s="28" t="s">
        <v>51</v>
      </c>
      <c r="M7977" s="28" t="s">
        <v>51</v>
      </c>
      <c r="N7977" s="28" t="s">
        <v>51</v>
      </c>
    </row>
    <row r="7978" spans="1:14" x14ac:dyDescent="0.15">
      <c r="A7978" s="23" t="str">
        <f>HYPERLINK("https://www.spark-marketing.ru/Card/Person/73425", "КГБУ ""ХАБАРОВСКИЙ ДПИ № 1""")</f>
        <v>КГБУ "ХАБАРОВСКИЙ ДПИ № 1"</v>
      </c>
      <c r="B7978" s="24" t="s">
        <v>11793</v>
      </c>
      <c r="C7978" s="25">
        <v>290960</v>
      </c>
      <c r="D7978" s="22" t="s">
        <v>11794</v>
      </c>
      <c r="E7978" s="22" t="s">
        <v>362</v>
      </c>
      <c r="F7978" s="23" t="str">
        <f>HYPERLINK("https://www.spark-marketing.ru/Card/Lot/72719227", "Поставка диетического питания")</f>
        <v>Поставка диетического питания</v>
      </c>
      <c r="G7978" s="22" t="s">
        <v>1096</v>
      </c>
      <c r="H7978" s="22" t="s">
        <v>1096</v>
      </c>
      <c r="I7978" s="26">
        <v>43688</v>
      </c>
      <c r="J7978" s="28" t="s">
        <v>51</v>
      </c>
      <c r="K7978" s="28" t="s">
        <v>51</v>
      </c>
      <c r="L7978" s="28" t="s">
        <v>51</v>
      </c>
      <c r="M7978" s="28" t="s">
        <v>51</v>
      </c>
      <c r="N7978" s="28" t="s">
        <v>51</v>
      </c>
    </row>
    <row r="7979" spans="1:14" x14ac:dyDescent="0.2">
      <c r="A7979" s="23" t="str">
        <f>HYPERLINK("https://www.spark-marketing.ru/Card/Person/1003816", "МОУ ""СОШ № 6""")</f>
        <v>МОУ "СОШ № 6"</v>
      </c>
      <c r="B7979" s="24" t="s">
        <v>8151</v>
      </c>
      <c r="C7979" s="25">
        <v>237728</v>
      </c>
      <c r="D7979" s="22" t="s">
        <v>11795</v>
      </c>
      <c r="E7979" s="22" t="s">
        <v>362</v>
      </c>
      <c r="F7979" s="23" t="str">
        <f>HYPERLINK("https://www.spark-marketing.ru/Card/Lot/72719497", "Оказание услуг по обеспечению льготным питанием детей из малообеспеченных семей и детей с нарушением здоровья обучающихся в МОУ «СОШ № 6»")</f>
        <v>Оказание услуг по обеспечению льготным питанием детей из малообеспеченных семей и детей с нарушением здоровья обучающихся в МОУ «СОШ № 6»</v>
      </c>
      <c r="G7979" s="22" t="s">
        <v>469</v>
      </c>
      <c r="H7979" s="22" t="s">
        <v>469</v>
      </c>
      <c r="I7979" s="26">
        <v>43688</v>
      </c>
      <c r="J7979" s="28" t="s">
        <v>51</v>
      </c>
      <c r="K7979" s="28" t="s">
        <v>51</v>
      </c>
      <c r="L7979" s="22" t="s">
        <v>10</v>
      </c>
      <c r="M7979" s="25">
        <v>237728</v>
      </c>
      <c r="N7979" s="27">
        <v>0</v>
      </c>
    </row>
    <row r="7980" spans="1:14" x14ac:dyDescent="0.15">
      <c r="A7980" s="23" t="str">
        <f>HYPERLINK("https://www.spark-marketing.ru/Card/Person/91720", "МУНИЦИПАЛЬНАЯ БЮДЖЕТНАЯ ГИМНАЗИЯ № 34 Г. ОРЛА")</f>
        <v>МУНИЦИПАЛЬНАЯ БЮДЖЕТНАЯ ГИМНАЗИЯ № 34 Г. ОРЛА</v>
      </c>
      <c r="B7980" s="24" t="s">
        <v>9794</v>
      </c>
      <c r="C7980" s="25">
        <v>279718</v>
      </c>
      <c r="D7980" s="22" t="s">
        <v>11796</v>
      </c>
      <c r="E7980" s="22" t="s">
        <v>51</v>
      </c>
      <c r="F7980" s="23" t="str">
        <f>HYPERLINK("https://www.spark-marketing.ru/Card/Lot/72725185", "Оказание услуг по организации питания учащихся, включающее приготовление и поставку готовых блюд")</f>
        <v>Оказание услуг по организации питания учащихся, включающее приготовление и поставку готовых блюд</v>
      </c>
      <c r="G7980" s="22" t="s">
        <v>1066</v>
      </c>
      <c r="H7980" s="22" t="s">
        <v>2864</v>
      </c>
      <c r="I7980" s="26">
        <v>43687.699594907397</v>
      </c>
      <c r="J7980" s="28" t="s">
        <v>51</v>
      </c>
      <c r="K7980" s="28" t="s">
        <v>51</v>
      </c>
      <c r="L7980" s="28" t="s">
        <v>51</v>
      </c>
      <c r="M7980" s="28" t="s">
        <v>51</v>
      </c>
      <c r="N7980" s="28" t="s">
        <v>51</v>
      </c>
    </row>
    <row r="7981" spans="1:14" x14ac:dyDescent="0.15">
      <c r="A7981" s="23" t="str">
        <f>HYPERLINK("https://www.spark-marketing.ru/Card/Person/113837", "МАОУ -СОШ № 1 СТ.КАЛИНИНСКОЙ")</f>
        <v>МАОУ -СОШ № 1 СТ.КАЛИНИНСКОЙ</v>
      </c>
      <c r="B7981" s="24" t="s">
        <v>11797</v>
      </c>
      <c r="C7981" s="25">
        <v>4682299.68</v>
      </c>
      <c r="D7981" s="22" t="s">
        <v>11798</v>
      </c>
      <c r="E7981" s="22" t="s">
        <v>362</v>
      </c>
      <c r="F7981" s="23" t="str">
        <f>HYPERLINK("https://www.spark-marketing.ru/Card/Lot/72718851", "оказание услуги организации горячего питания обучающихся (на базе пищеблока заказчика на условиях аренды)")</f>
        <v>оказание услуги организации горячего питания обучающихся (на базе пищеблока заказчика на условиях аренды)</v>
      </c>
      <c r="G7981" s="22" t="s">
        <v>104</v>
      </c>
      <c r="H7981" s="22" t="s">
        <v>104</v>
      </c>
      <c r="I7981" s="26">
        <v>43687</v>
      </c>
      <c r="J7981" s="28" t="s">
        <v>51</v>
      </c>
      <c r="K7981" s="28" t="s">
        <v>51</v>
      </c>
      <c r="L7981" s="28" t="s">
        <v>51</v>
      </c>
      <c r="M7981" s="28" t="s">
        <v>51</v>
      </c>
      <c r="N7981" s="28" t="s">
        <v>51</v>
      </c>
    </row>
    <row r="7982" spans="1:14" x14ac:dyDescent="0.2">
      <c r="A7982" s="23" t="str">
        <f>HYPERLINK("https://www.spark-marketing.ru/Card/Person/4365603", "ООО ""ГАЗПРОМ ДОБЫЧА КРАСНОДАР""")</f>
        <v>ООО "ГАЗПРОМ ДОБЫЧА КРАСНОДАР"</v>
      </c>
      <c r="B7982" s="24" t="s">
        <v>11799</v>
      </c>
      <c r="C7982" s="25">
        <v>2949460</v>
      </c>
      <c r="D7982" s="22" t="s">
        <v>11800</v>
      </c>
      <c r="E7982" s="22" t="s">
        <v>362</v>
      </c>
      <c r="F7982" s="23" t="str">
        <f>HYPERLINK("https://www.spark-marketing.ru/Card/Lot/72718935", "Оказание услуг по организации общественного питания и торгового обслуживания для работников ООО ""Газпром добыча Краснодар"" по адресу: Краснодарский край, п. Южный, ул. Северная, 4 в 2020 году")</f>
        <v>Оказание услуг по организации общественного питания и торгового обслуживания для работников ООО "Газпром добыча Краснодар" по адресу: Краснодарский край, п. Южный, ул. Северная, 4 в 2020 году</v>
      </c>
      <c r="G7982" s="22" t="s">
        <v>104</v>
      </c>
      <c r="H7982" s="22" t="s">
        <v>120</v>
      </c>
      <c r="I7982" s="26">
        <v>43687</v>
      </c>
      <c r="J7982" s="28" t="s">
        <v>51</v>
      </c>
      <c r="K7982" s="28" t="s">
        <v>51</v>
      </c>
      <c r="L7982" s="22" t="s">
        <v>10</v>
      </c>
      <c r="M7982" s="25">
        <v>2457368</v>
      </c>
      <c r="N7982" s="27">
        <v>0.16684138791507597</v>
      </c>
    </row>
    <row r="7983" spans="1:14" x14ac:dyDescent="0.15">
      <c r="A7983" s="23" t="str">
        <f>HYPERLINK("https://www.spark-marketing.ru/Card/Person/399223", "МБОУ ""ГАТЧИНСКИЙ ЛИЦЕЙ № 3""")</f>
        <v>МБОУ "ГАТЧИНСКИЙ ЛИЦЕЙ № 3"</v>
      </c>
      <c r="B7983" s="24" t="s">
        <v>11801</v>
      </c>
      <c r="C7983" s="25">
        <v>1999192</v>
      </c>
      <c r="D7983" s="22" t="s">
        <v>11802</v>
      </c>
      <c r="E7983" s="22" t="s">
        <v>48</v>
      </c>
      <c r="F7983" s="23" t="str">
        <f>HYPERLINK("https://www.spark-marketing.ru/Card/Lot/72716595", "Оказание услуг по организации горячего питания для учащихся общеобразовательных учреждений")</f>
        <v>Оказание услуг по организации горячего питания для учащихся общеобразовательных учреждений</v>
      </c>
      <c r="G7983" s="22" t="s">
        <v>162</v>
      </c>
      <c r="H7983" s="22" t="s">
        <v>2343</v>
      </c>
      <c r="I7983" s="26">
        <v>43686.793043981503</v>
      </c>
      <c r="J7983" s="23" t="str">
        <f>HYPERLINK("https://www.spark-marketing.ru/Card/Person/671813", "Барсукова Тамара Ивановна")</f>
        <v>Барсукова Тамара Ивановна</v>
      </c>
      <c r="K7983" s="24" t="s">
        <v>11803</v>
      </c>
      <c r="L7983" s="22" t="s">
        <v>10</v>
      </c>
      <c r="M7983" s="28" t="s">
        <v>51</v>
      </c>
      <c r="N7983" s="28" t="s">
        <v>51</v>
      </c>
    </row>
    <row r="7984" spans="1:14" x14ac:dyDescent="0.2">
      <c r="A7984" s="23" t="str">
        <f>HYPERLINK("https://www.spark-marketing.ru/Card/Person/2274", "ФГБУ ""ЦСП""")</f>
        <v>ФГБУ "ЦСП"</v>
      </c>
      <c r="B7984" s="24" t="s">
        <v>11804</v>
      </c>
      <c r="C7984" s="25">
        <v>8123800</v>
      </c>
      <c r="D7984" s="22" t="s">
        <v>11805</v>
      </c>
      <c r="E7984" s="22" t="s">
        <v>96</v>
      </c>
      <c r="F7984" s="23" t="str">
        <f>HYPERLINK("https://www.spark-marketing.ru/Card/Lot/72716258", "Оказание услуг по организации горячего питания для нужд филиала ФГБУ «ЦСП» МСБК «Парамоново»")</f>
        <v>Оказание услуг по организации горячего питания для нужд филиала ФГБУ «ЦСП» МСБК «Парамоново»</v>
      </c>
      <c r="G7984" s="22" t="s">
        <v>49</v>
      </c>
      <c r="H7984" s="22" t="s">
        <v>49</v>
      </c>
      <c r="I7984" s="26">
        <v>43686.827777777798</v>
      </c>
      <c r="J7984" s="23" t="str">
        <f>HYPERLINK("https://www.spark-marketing.ru/Card/Person/4688348", "ООО ""КОМБИНАТ ПИТАНИЯ ""МК""")</f>
        <v>ООО "КОМБИНАТ ПИТАНИЯ "МК"</v>
      </c>
      <c r="K7984" s="24" t="s">
        <v>11806</v>
      </c>
      <c r="L7984" s="28" t="s">
        <v>51</v>
      </c>
      <c r="M7984" s="25">
        <v>8123800</v>
      </c>
      <c r="N7984" s="27">
        <v>0</v>
      </c>
    </row>
    <row r="7985" spans="1:14" x14ac:dyDescent="0.15">
      <c r="A7985" s="23" t="str">
        <f>HYPERLINK("https://www.spark-marketing.ru/Card/Person/66007", "МБОУ ""СУСАНИНСКАЯ СОШ""")</f>
        <v>МБОУ "СУСАНИНСКАЯ СОШ"</v>
      </c>
      <c r="B7985" s="24" t="s">
        <v>11807</v>
      </c>
      <c r="C7985" s="25">
        <v>1105208</v>
      </c>
      <c r="D7985" s="22" t="s">
        <v>11808</v>
      </c>
      <c r="E7985" s="22" t="s">
        <v>48</v>
      </c>
      <c r="F7985" s="23" t="str">
        <f>HYPERLINK("https://www.spark-marketing.ru/Card/Lot/72716593",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гг.")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гг.</v>
      </c>
      <c r="G7985" s="22" t="s">
        <v>162</v>
      </c>
      <c r="H7985" s="22" t="s">
        <v>9367</v>
      </c>
      <c r="I7985" s="26">
        <v>43686.778425925899</v>
      </c>
      <c r="J7985" s="23" t="str">
        <f>HYPERLINK("https://www.spark-marketing.ru/Card/Person/127256", "Жосан Ирина Петровна")</f>
        <v>Жосан Ирина Петровна</v>
      </c>
      <c r="K7985" s="24" t="s">
        <v>11809</v>
      </c>
      <c r="L7985" s="22" t="s">
        <v>10</v>
      </c>
      <c r="M7985" s="28" t="s">
        <v>51</v>
      </c>
      <c r="N7985" s="28" t="s">
        <v>51</v>
      </c>
    </row>
    <row r="7986" spans="1:14" x14ac:dyDescent="0.15">
      <c r="A7986" s="23" t="str">
        <f>HYPERLINK("https://www.spark-marketing.ru/Card/Person/2937", "УМВД РОССИИ ПО Г. НИЖНЕВАРТОВСКУ")</f>
        <v>УМВД РОССИИ ПО Г. НИЖНЕВАРТОВСКУ</v>
      </c>
      <c r="B7986" s="24" t="s">
        <v>759</v>
      </c>
      <c r="C7986" s="25">
        <v>291060</v>
      </c>
      <c r="D7986" s="22" t="s">
        <v>11810</v>
      </c>
      <c r="E7986" s="22" t="s">
        <v>48</v>
      </c>
      <c r="F7986" s="23" t="str">
        <f>HYPERLINK("https://www.spark-marketing.ru/Card/Lot/72713289", "оказание услуг по организации 3-х разового горячего питания лиц, содержащихся в ИВС МОМВД ""Нижневартовский"", числящихся за УМВД России по г. Нижневартовску")</f>
        <v>оказание услуг по организации 3-х разового горячего питания лиц, содержащихся в ИВС МОМВД "Нижневартовский", числящихся за УМВД России по г. Нижневартовску</v>
      </c>
      <c r="G7986" s="22" t="s">
        <v>766</v>
      </c>
      <c r="H7986" s="22" t="s">
        <v>766</v>
      </c>
      <c r="I7986" s="26">
        <v>43686.708344907398</v>
      </c>
      <c r="J7986" s="23" t="str">
        <f>HYPERLINK("https://www.spark-marketing.ru/Card/Person/53572", "ООО ""КАРАВАН""")</f>
        <v>ООО "КАРАВАН"</v>
      </c>
      <c r="K7986" s="24" t="s">
        <v>2373</v>
      </c>
      <c r="L7986" s="22" t="s">
        <v>10</v>
      </c>
      <c r="M7986" s="28" t="s">
        <v>51</v>
      </c>
      <c r="N7986" s="28" t="s">
        <v>51</v>
      </c>
    </row>
    <row r="7987" spans="1:14" collapsed="1" x14ac:dyDescent="0.15">
      <c r="A7987" s="23" t="str">
        <f>HYPERLINK("https://www.spark-marketing.ru/Card/Person/4344165", "ПРАВИТЕЛЬСТВО КРАЯ")</f>
        <v>ПРАВИТЕЛЬСТВО КРАЯ</v>
      </c>
      <c r="B7987" s="24" t="s">
        <v>3971</v>
      </c>
      <c r="C7987" s="25">
        <v>500000</v>
      </c>
      <c r="D7987" s="22" t="s">
        <v>11811</v>
      </c>
      <c r="E7987" s="22" t="s">
        <v>48</v>
      </c>
      <c r="F7987" s="23" t="str">
        <f>HYPERLINK("https://www.spark-marketing.ru/Card/Lot/72720361", "Оказание услуг по организации общественного питания")</f>
        <v>Оказание услуг по организации общественного питания</v>
      </c>
      <c r="G7987" s="22" t="s">
        <v>1096</v>
      </c>
      <c r="H7987" s="22" t="s">
        <v>1097</v>
      </c>
      <c r="I7987" s="26">
        <v>43686.731643518498</v>
      </c>
      <c r="J7987" s="28" t="s">
        <v>51</v>
      </c>
      <c r="K7987" s="28" t="s">
        <v>51</v>
      </c>
      <c r="L7987" s="28" t="s">
        <v>51</v>
      </c>
      <c r="M7987" s="28" t="s">
        <v>51</v>
      </c>
      <c r="N7987" s="28" t="s">
        <v>51</v>
      </c>
    </row>
    <row r="7988" spans="1:14" hidden="1" outlineLevel="1" x14ac:dyDescent="0.2">
      <c r="A7988" s="23" t="str">
        <f>HYPERLINK("https://www.spark-marketing.ru/Card/Person/4344165", "ПРАВИТЕЛЬСТВО КРАЯ")</f>
        <v>ПРАВИТЕЛЬСТВО КРАЯ</v>
      </c>
      <c r="B7988" s="24" t="s">
        <v>3971</v>
      </c>
      <c r="C7988" s="25">
        <v>500000</v>
      </c>
      <c r="D7988" s="22" t="s">
        <v>11811</v>
      </c>
      <c r="E7988" s="22" t="s">
        <v>48</v>
      </c>
      <c r="F7988" s="23" t="str">
        <f>HYPERLINK("https://www.spark-marketing.ru/Card/Lot/72720361", "Оказание услуг по организации общественного питания")</f>
        <v>Оказание услуг по организации общественного питания</v>
      </c>
      <c r="G7988" s="22" t="s">
        <v>1096</v>
      </c>
      <c r="H7988" s="22" t="s">
        <v>1097</v>
      </c>
      <c r="I7988" s="26">
        <v>43686.731643518498</v>
      </c>
      <c r="J7988" s="23" t="str">
        <f>HYPERLINK("https://www.spark-marketing.ru/Card/Person/490269", "ООО ""РЕЖЕНТ СЕРВИС""")</f>
        <v>ООО "РЕЖЕНТ СЕРВИС"</v>
      </c>
      <c r="K7988" s="24" t="s">
        <v>6261</v>
      </c>
      <c r="L7988" s="28" t="s">
        <v>51</v>
      </c>
      <c r="M7988" s="25">
        <v>11565.01</v>
      </c>
      <c r="N7988" s="27">
        <v>0.97686998000000003</v>
      </c>
    </row>
    <row r="7989" spans="1:14" ht="12.75" hidden="1" outlineLevel="1" x14ac:dyDescent="0.2">
      <c r="A7989" s="23" t="str">
        <f>HYPERLINK("https://www.spark-marketing.ru/Card/Person/4344165", "ПРАВИТЕЛЬСТВО КРАЯ")</f>
        <v>ПРАВИТЕЛЬСТВО КРАЯ</v>
      </c>
      <c r="B7989" s="24" t="s">
        <v>3971</v>
      </c>
      <c r="C7989" s="25">
        <v>500000</v>
      </c>
      <c r="D7989" s="22" t="s">
        <v>11811</v>
      </c>
      <c r="E7989" s="22" t="s">
        <v>48</v>
      </c>
      <c r="F7989" s="23" t="str">
        <f>HYPERLINK("https://www.spark-marketing.ru/Card/Lot/72720361", "Оказание услуг по организации общественного питания")</f>
        <v>Оказание услуг по организации общественного питания</v>
      </c>
      <c r="G7989" s="22" t="s">
        <v>1096</v>
      </c>
      <c r="H7989" s="22" t="s">
        <v>1097</v>
      </c>
      <c r="I7989" s="26">
        <v>43686.731643518498</v>
      </c>
      <c r="J7989" s="23" t="str">
        <f>HYPERLINK("https://www.spark-marketing.ru/Card/Person/165477", "ООО ""М.Л.""")</f>
        <v>ООО "М.Л."</v>
      </c>
      <c r="K7989" s="24" t="s">
        <v>11812</v>
      </c>
      <c r="L7989" s="22" t="s">
        <v>10</v>
      </c>
      <c r="M7989" s="25">
        <v>11565</v>
      </c>
      <c r="N7989" s="27">
        <v>0.97687000000000002</v>
      </c>
    </row>
    <row r="7990" spans="1:14" x14ac:dyDescent="0.15">
      <c r="A7990" s="23" t="str">
        <f>HYPERLINK("https://www.spark-marketing.ru/Card/Person/1009739", "ОТДЕЛ ЗДРАВООХРАНЕНИЯ")</f>
        <v>ОТДЕЛ ЗДРАВООХРАНЕНИЯ</v>
      </c>
      <c r="B7990" s="24" t="s">
        <v>3572</v>
      </c>
      <c r="C7990" s="25">
        <v>9375</v>
      </c>
      <c r="D7990" s="22" t="s">
        <v>11813</v>
      </c>
      <c r="E7990" s="22" t="s">
        <v>52</v>
      </c>
      <c r="F7990" s="23" t="str">
        <f>HYPERLINK("https://www.spark-marketing.ru/Card/Lot/72710461",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7990" s="22" t="s">
        <v>3574</v>
      </c>
      <c r="H7990" s="22" t="s">
        <v>3574</v>
      </c>
      <c r="I7990" s="26">
        <v>43686.712627314802</v>
      </c>
      <c r="J7990" s="28" t="s">
        <v>51</v>
      </c>
      <c r="K7990" s="28" t="s">
        <v>51</v>
      </c>
      <c r="L7990" s="28" t="s">
        <v>51</v>
      </c>
      <c r="M7990" s="28" t="s">
        <v>51</v>
      </c>
      <c r="N7990" s="28" t="s">
        <v>51</v>
      </c>
    </row>
    <row r="7991" spans="1:14" collapsed="1" x14ac:dyDescent="0.15">
      <c r="A7991" s="23" t="str">
        <f t="shared" ref="A7991:A7998" si="176">HYPERLINK("https://www.spark-marketing.ru/Card/Person/6086", "ГКУ ""ДИРЕКЦИЯ ОДОТСЗН Г. МОСКВЫ""")</f>
        <v>ГКУ "ДИРЕКЦИЯ ОДОТСЗН Г. МОСКВЫ"</v>
      </c>
      <c r="B7991" s="24" t="s">
        <v>164</v>
      </c>
      <c r="C7991" s="25">
        <v>7299045</v>
      </c>
      <c r="D7991" s="22" t="s">
        <v>11814</v>
      </c>
      <c r="E7991" s="22" t="s">
        <v>86</v>
      </c>
      <c r="F7991" s="23" t="str">
        <f t="shared" ref="F7991:F7998" si="177">HYPERLINK("https://www.spark-marketing.ru/Card/Lot/72716062", "Оказание услуг по предоставлению санаторно-курортного лечения (по путевкам) в 2019-2020 году в санатории для лечения болезней эндокринной системы, расстройства питания и нарушение обмена веществ, а также сопутствующих заболеваний, являющихся профильн...")</f>
        <v>Оказание услуг по предоставлению санаторно-курортного лечения (по путевкам) в 2019-2020 году в санатории для лечения болезней эндокринной системы, расстройства питания и нарушение обмена веществ, а также сопутствующих заболеваний, являющихся профильн...</v>
      </c>
      <c r="G7991" s="22" t="s">
        <v>56</v>
      </c>
      <c r="H7991" s="22" t="s">
        <v>56</v>
      </c>
      <c r="I7991" s="26">
        <v>43686.726388888899</v>
      </c>
      <c r="J7991" s="28" t="s">
        <v>51</v>
      </c>
      <c r="K7991" s="28" t="s">
        <v>51</v>
      </c>
      <c r="L7991" s="28" t="s">
        <v>51</v>
      </c>
      <c r="M7991" s="28" t="s">
        <v>51</v>
      </c>
      <c r="N7991" s="28" t="s">
        <v>51</v>
      </c>
    </row>
    <row r="7992" spans="1:14" hidden="1" outlineLevel="1" x14ac:dyDescent="0.2">
      <c r="A7992" s="23" t="str">
        <f t="shared" si="176"/>
        <v>ГКУ "ДИРЕКЦИЯ ОДОТСЗН Г. МОСКВЫ"</v>
      </c>
      <c r="B7992" s="24" t="s">
        <v>164</v>
      </c>
      <c r="C7992" s="25">
        <v>7299045</v>
      </c>
      <c r="D7992" s="22" t="s">
        <v>11814</v>
      </c>
      <c r="E7992" s="22" t="s">
        <v>86</v>
      </c>
      <c r="F7992" s="23" t="str">
        <f t="shared" si="177"/>
        <v>Оказание услуг по предоставлению санаторно-курортного лечения (по путевкам) в 2019-2020 году в санатории для лечения болезней эндокринной системы, расстройства питания и нарушение обмена веществ, а также сопутствующих заболеваний, являющихся профильн...</v>
      </c>
      <c r="G7992" s="22" t="s">
        <v>56</v>
      </c>
      <c r="H7992" s="22" t="s">
        <v>56</v>
      </c>
      <c r="I7992" s="26">
        <v>43686.726388888899</v>
      </c>
      <c r="J7992" s="23" t="str">
        <f>HYPERLINK("https://www.spark-marketing.ru/Card/Person/4347531", "ГБУРК «СДДР «МОРСКОЙ»")</f>
        <v>ГБУРК «СДДР «МОРСКОЙ»</v>
      </c>
      <c r="K7992" s="24" t="s">
        <v>11815</v>
      </c>
      <c r="L7992" s="28" t="s">
        <v>51</v>
      </c>
      <c r="M7992" s="25">
        <v>6903000</v>
      </c>
      <c r="N7992" s="27">
        <v>5.4259838102107875E-2</v>
      </c>
    </row>
    <row r="7993" spans="1:14" hidden="1" outlineLevel="1" x14ac:dyDescent="0.2">
      <c r="A7993" s="23" t="str">
        <f t="shared" si="176"/>
        <v>ГКУ "ДИРЕКЦИЯ ОДОТСЗН Г. МОСКВЫ"</v>
      </c>
      <c r="B7993" s="24" t="s">
        <v>164</v>
      </c>
      <c r="C7993" s="25">
        <v>7299045</v>
      </c>
      <c r="D7993" s="22" t="s">
        <v>11814</v>
      </c>
      <c r="E7993" s="22" t="s">
        <v>86</v>
      </c>
      <c r="F7993" s="23" t="str">
        <f t="shared" si="177"/>
        <v>Оказание услуг по предоставлению санаторно-курортного лечения (по путевкам) в 2019-2020 году в санатории для лечения болезней эндокринной системы, расстройства питания и нарушение обмена веществ, а также сопутствующих заболеваний, являющихся профильн...</v>
      </c>
      <c r="G7993" s="22" t="s">
        <v>56</v>
      </c>
      <c r="H7993" s="22" t="s">
        <v>56</v>
      </c>
      <c r="I7993" s="26">
        <v>43686.726388888899</v>
      </c>
      <c r="J7993" s="23" t="str">
        <f>HYPERLINK("https://www.spark-marketing.ru/Card/Person/4354200", "ООО ""САНАТОРИЙ КИРОВА""")</f>
        <v>ООО "САНАТОРИЙ КИРОВА"</v>
      </c>
      <c r="K7993" s="24" t="s">
        <v>11816</v>
      </c>
      <c r="L7993" s="28" t="s">
        <v>51</v>
      </c>
      <c r="M7993" s="25">
        <v>7294950</v>
      </c>
      <c r="N7993" s="27">
        <v>5.6103229943095295E-4</v>
      </c>
    </row>
    <row r="7994" spans="1:14" ht="12.75" hidden="1" outlineLevel="1" x14ac:dyDescent="0.2">
      <c r="A7994" s="23" t="str">
        <f t="shared" si="176"/>
        <v>ГКУ "ДИРЕКЦИЯ ОДОТСЗН Г. МОСКВЫ"</v>
      </c>
      <c r="B7994" s="24" t="s">
        <v>164</v>
      </c>
      <c r="C7994" s="25">
        <v>7299045</v>
      </c>
      <c r="D7994" s="22" t="s">
        <v>11814</v>
      </c>
      <c r="E7994" s="22" t="s">
        <v>86</v>
      </c>
      <c r="F7994" s="23" t="str">
        <f t="shared" si="177"/>
        <v>Оказание услуг по предоставлению санаторно-курортного лечения (по путевкам) в 2019-2020 году в санатории для лечения болезней эндокринной системы, расстройства питания и нарушение обмена веществ, а также сопутствующих заболеваний, являющихся профильн...</v>
      </c>
      <c r="G7994" s="22" t="s">
        <v>56</v>
      </c>
      <c r="H7994" s="22" t="s">
        <v>56</v>
      </c>
      <c r="I7994" s="26">
        <v>43686.726388888899</v>
      </c>
      <c r="J7994" s="23" t="str">
        <f>HYPERLINK("https://www.spark-marketing.ru/Card/Person/5859440", "ООО ""ГОЛУБАЯ ВОЛНА""")</f>
        <v>ООО "ГОЛУБАЯ ВОЛНА"</v>
      </c>
      <c r="K7994" s="24" t="s">
        <v>7092</v>
      </c>
      <c r="L7994" s="22" t="s">
        <v>10</v>
      </c>
      <c r="M7994" s="25">
        <v>6932250</v>
      </c>
      <c r="N7994" s="27">
        <v>5.0252464534743926E-2</v>
      </c>
    </row>
    <row r="7995" spans="1:14" ht="12.75" hidden="1" outlineLevel="1" x14ac:dyDescent="0.2">
      <c r="A7995" s="23" t="str">
        <f t="shared" si="176"/>
        <v>ГКУ "ДИРЕКЦИЯ ОДОТСЗН Г. МОСКВЫ"</v>
      </c>
      <c r="B7995" s="24" t="s">
        <v>164</v>
      </c>
      <c r="C7995" s="25">
        <v>7299045</v>
      </c>
      <c r="D7995" s="22" t="s">
        <v>11814</v>
      </c>
      <c r="E7995" s="22" t="s">
        <v>86</v>
      </c>
      <c r="F7995" s="23" t="str">
        <f t="shared" si="177"/>
        <v>Оказание услуг по предоставлению санаторно-курортного лечения (по путевкам) в 2019-2020 году в санатории для лечения болезней эндокринной системы, расстройства питания и нарушение обмена веществ, а также сопутствующих заболеваний, являющихся профильн...</v>
      </c>
      <c r="G7995" s="22" t="s">
        <v>56</v>
      </c>
      <c r="H7995" s="22" t="s">
        <v>56</v>
      </c>
      <c r="I7995" s="26">
        <v>43686.726388888899</v>
      </c>
      <c r="J7995" s="23" t="str">
        <f>HYPERLINK("https://www.spark-marketing.ru/Card/Person/645060", "ООО ""САНАТОРИЙ ""СЛАВУТИЧ""")</f>
        <v>ООО "САНАТОРИЙ "СЛАВУТИЧ"</v>
      </c>
      <c r="K7995" s="24" t="s">
        <v>7287</v>
      </c>
      <c r="L7995" s="22" t="s">
        <v>10</v>
      </c>
      <c r="M7995" s="25">
        <v>7299045</v>
      </c>
      <c r="N7995" s="27">
        <v>0</v>
      </c>
    </row>
    <row r="7996" spans="1:14" hidden="1" outlineLevel="1" x14ac:dyDescent="0.2">
      <c r="A7996" s="23" t="str">
        <f t="shared" si="176"/>
        <v>ГКУ "ДИРЕКЦИЯ ОДОТСЗН Г. МОСКВЫ"</v>
      </c>
      <c r="B7996" s="24" t="s">
        <v>164</v>
      </c>
      <c r="C7996" s="25">
        <v>7299045</v>
      </c>
      <c r="D7996" s="22" t="s">
        <v>11814</v>
      </c>
      <c r="E7996" s="22" t="s">
        <v>86</v>
      </c>
      <c r="F7996" s="23" t="str">
        <f t="shared" si="177"/>
        <v>Оказание услуг по предоставлению санаторно-курортного лечения (по путевкам) в 2019-2020 году в санатории для лечения болезней эндокринной системы, расстройства питания и нарушение обмена веществ, а также сопутствующих заболеваний, являющихся профильн...</v>
      </c>
      <c r="G7996" s="22" t="s">
        <v>56</v>
      </c>
      <c r="H7996" s="22" t="s">
        <v>56</v>
      </c>
      <c r="I7996" s="26">
        <v>43686.726388888899</v>
      </c>
      <c r="J7996" s="23" t="str">
        <f>HYPERLINK("https://www.spark-marketing.ru/Card/Person/806771", "ГУП РК ""СОК ""РУССИЯ""")</f>
        <v>ГУП РК "СОК "РУССИЯ"</v>
      </c>
      <c r="K7996" s="24" t="s">
        <v>11817</v>
      </c>
      <c r="L7996" s="28" t="s">
        <v>51</v>
      </c>
      <c r="M7996" s="25">
        <v>7299045</v>
      </c>
      <c r="N7996" s="27">
        <v>0</v>
      </c>
    </row>
    <row r="7997" spans="1:14" hidden="1" outlineLevel="1" x14ac:dyDescent="0.15">
      <c r="A7997" s="23" t="str">
        <f t="shared" si="176"/>
        <v>ГКУ "ДИРЕКЦИЯ ОДОТСЗН Г. МОСКВЫ"</v>
      </c>
      <c r="B7997" s="24" t="s">
        <v>164</v>
      </c>
      <c r="C7997" s="25">
        <v>7299045</v>
      </c>
      <c r="D7997" s="22" t="s">
        <v>11814</v>
      </c>
      <c r="E7997" s="22" t="s">
        <v>86</v>
      </c>
      <c r="F7997" s="23" t="str">
        <f t="shared" si="177"/>
        <v>Оказание услуг по предоставлению санаторно-курортного лечения (по путевкам) в 2019-2020 году в санатории для лечения болезней эндокринной системы, расстройства питания и нарушение обмена веществ, а также сопутствующих заболеваний, являющихся профильн...</v>
      </c>
      <c r="G7997" s="22" t="s">
        <v>56</v>
      </c>
      <c r="H7997" s="22" t="s">
        <v>56</v>
      </c>
      <c r="I7997" s="26">
        <v>43686.726388888899</v>
      </c>
      <c r="J7997" s="23" t="str">
        <f>HYPERLINK("https://www.spark-marketing.ru/Card/Person/4841238", "ООО ""МБС-ТУР""")</f>
        <v>ООО "МБС-ТУР"</v>
      </c>
      <c r="K7997" s="24" t="s">
        <v>11818</v>
      </c>
      <c r="L7997" s="28" t="s">
        <v>51</v>
      </c>
      <c r="M7997" s="28" t="s">
        <v>51</v>
      </c>
      <c r="N7997" s="28" t="s">
        <v>51</v>
      </c>
    </row>
    <row r="7998" spans="1:14" hidden="1" outlineLevel="1" x14ac:dyDescent="0.2">
      <c r="A7998" s="23" t="str">
        <f t="shared" si="176"/>
        <v>ГКУ "ДИРЕКЦИЯ ОДОТСЗН Г. МОСКВЫ"</v>
      </c>
      <c r="B7998" s="24" t="s">
        <v>164</v>
      </c>
      <c r="C7998" s="25">
        <v>7299045</v>
      </c>
      <c r="D7998" s="22" t="s">
        <v>11814</v>
      </c>
      <c r="E7998" s="22" t="s">
        <v>86</v>
      </c>
      <c r="F7998" s="23" t="str">
        <f t="shared" si="177"/>
        <v>Оказание услуг по предоставлению санаторно-курортного лечения (по путевкам) в 2019-2020 году в санатории для лечения болезней эндокринной системы, расстройства питания и нарушение обмена веществ, а также сопутствующих заболеваний, являющихся профильн...</v>
      </c>
      <c r="G7998" s="22" t="s">
        <v>56</v>
      </c>
      <c r="H7998" s="22" t="s">
        <v>56</v>
      </c>
      <c r="I7998" s="26">
        <v>43686.726388888899</v>
      </c>
      <c r="J7998" s="23" t="str">
        <f>HYPERLINK("https://www.spark-marketing.ru/Card/Person/76375", "АО ""САНАТОРИЙ ""УТЕС""")</f>
        <v>АО "САНАТОРИЙ "УТЕС"</v>
      </c>
      <c r="K7998" s="24" t="s">
        <v>11819</v>
      </c>
      <c r="L7998" s="28" t="s">
        <v>51</v>
      </c>
      <c r="M7998" s="25">
        <v>7020000</v>
      </c>
      <c r="N7998" s="27">
        <v>3.8230343832652079E-2</v>
      </c>
    </row>
    <row r="7999" spans="1:14" x14ac:dyDescent="0.15">
      <c r="A7999" s="23" t="str">
        <f>HYPERLINK("https://www.spark-marketing.ru/Card/Person/79536", "КГБПОУ ""ЛЕСОСИБИРСКИЙ ТЕХНОЛОГИЧЕСКИЙ ТЕХНИКУМ""")</f>
        <v>КГБПОУ "ЛЕСОСИБИРСКИЙ ТЕХНОЛОГИЧЕСКИЙ ТЕХНИКУМ"</v>
      </c>
      <c r="B7999" s="24" t="s">
        <v>7790</v>
      </c>
      <c r="C7999" s="25">
        <v>1649646.35</v>
      </c>
      <c r="D7999" s="22" t="s">
        <v>11820</v>
      </c>
      <c r="E7999" s="22" t="s">
        <v>48</v>
      </c>
      <c r="F7999" s="23" t="str">
        <f>HYPERLINK("https://www.spark-marketing.ru/Card/Lot/72714946",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7999" s="22" t="s">
        <v>281</v>
      </c>
      <c r="H7999" s="22" t="s">
        <v>1448</v>
      </c>
      <c r="I7999" s="26">
        <v>43686.716967592598</v>
      </c>
      <c r="J7999" s="28" t="s">
        <v>51</v>
      </c>
      <c r="K7999" s="28" t="s">
        <v>51</v>
      </c>
      <c r="L7999" s="28" t="s">
        <v>51</v>
      </c>
      <c r="M7999" s="28" t="s">
        <v>51</v>
      </c>
      <c r="N7999" s="28" t="s">
        <v>51</v>
      </c>
    </row>
    <row r="8000" spans="1:14" x14ac:dyDescent="0.15">
      <c r="A8000" s="23" t="str">
        <f>HYPERLINK("https://www.spark-marketing.ru/Card/Person/2937", "УМВД РОССИИ ПО Г. НИЖНЕВАРТОВСКУ")</f>
        <v>УМВД РОССИИ ПО Г. НИЖНЕВАРТОВСКУ</v>
      </c>
      <c r="B8000" s="24" t="s">
        <v>759</v>
      </c>
      <c r="C8000" s="25">
        <v>1033200</v>
      </c>
      <c r="D8000" s="22" t="s">
        <v>11821</v>
      </c>
      <c r="E8000" s="22" t="s">
        <v>48</v>
      </c>
      <c r="F8000" s="23" t="str">
        <f>HYPERLINK("https://www.spark-marketing.ru/Card/Lot/72714975", "Оказание услуг по организации 3-х разового горячего питания лиц, содержащихся в специальном приемнике УМВД России по г. Нижневартовску")</f>
        <v>Оказание услуг по организации 3-х разового горячего питания лиц, содержащихся в специальном приемнике УМВД России по г. Нижневартовску</v>
      </c>
      <c r="G8000" s="22" t="s">
        <v>766</v>
      </c>
      <c r="H8000" s="22" t="s">
        <v>766</v>
      </c>
      <c r="I8000" s="26">
        <v>43686.7280439815</v>
      </c>
      <c r="J8000" s="23" t="str">
        <f>HYPERLINK("https://www.spark-marketing.ru/Card/Person/53572", "ООО ""КАРАВАН""")</f>
        <v>ООО "КАРАВАН"</v>
      </c>
      <c r="K8000" s="24" t="s">
        <v>2373</v>
      </c>
      <c r="L8000" s="22" t="s">
        <v>10</v>
      </c>
      <c r="M8000" s="28" t="s">
        <v>51</v>
      </c>
      <c r="N8000" s="28" t="s">
        <v>51</v>
      </c>
    </row>
    <row r="8001" spans="1:14" collapsed="1" x14ac:dyDescent="0.15">
      <c r="A8001" s="23" t="str">
        <f>HYPERLINK("https://www.spark-marketing.ru/Card/Person/5904504", "ГБУЗ ""ОДКБ""")</f>
        <v>ГБУЗ "ОДКБ"</v>
      </c>
      <c r="B8001" s="24" t="s">
        <v>2289</v>
      </c>
      <c r="C8001" s="25">
        <v>39575.54</v>
      </c>
      <c r="D8001" s="22" t="s">
        <v>11822</v>
      </c>
      <c r="E8001" s="22" t="s">
        <v>336</v>
      </c>
      <c r="F8001" s="23" t="str">
        <f>HYPERLINK("https://www.spark-marketing.ru/Card/Lot/72722700", "на поставку пюре для детского питания")</f>
        <v>на поставку пюре для детского питания</v>
      </c>
      <c r="G8001" s="22" t="s">
        <v>132</v>
      </c>
      <c r="H8001" s="22" t="s">
        <v>587</v>
      </c>
      <c r="I8001" s="26">
        <v>43686.698159722197</v>
      </c>
      <c r="J8001" s="28" t="s">
        <v>51</v>
      </c>
      <c r="K8001" s="28" t="s">
        <v>51</v>
      </c>
      <c r="L8001" s="28" t="s">
        <v>51</v>
      </c>
      <c r="M8001" s="28" t="s">
        <v>51</v>
      </c>
      <c r="N8001" s="28" t="s">
        <v>51</v>
      </c>
    </row>
    <row r="8002" spans="1:14" ht="12.75" hidden="1" outlineLevel="1" x14ac:dyDescent="0.2">
      <c r="A8002" s="23" t="str">
        <f>HYPERLINK("https://www.spark-marketing.ru/Card/Person/5904504", "ГБУЗ ""ОДКБ""")</f>
        <v>ГБУЗ "ОДКБ"</v>
      </c>
      <c r="B8002" s="24" t="s">
        <v>2289</v>
      </c>
      <c r="C8002" s="25">
        <v>39575.54</v>
      </c>
      <c r="D8002" s="22" t="s">
        <v>11822</v>
      </c>
      <c r="E8002" s="22" t="s">
        <v>336</v>
      </c>
      <c r="F8002" s="23" t="str">
        <f>HYPERLINK("https://www.spark-marketing.ru/Card/Lot/72722700", "на поставку пюре для детского питания")</f>
        <v>на поставку пюре для детского питания</v>
      </c>
      <c r="G8002" s="22" t="s">
        <v>132</v>
      </c>
      <c r="H8002" s="22" t="s">
        <v>587</v>
      </c>
      <c r="I8002" s="26">
        <v>43686.698159722197</v>
      </c>
      <c r="J8002" s="23" t="str">
        <f>HYPERLINK("https://www.spark-marketing.ru/Card/Person/67213", "ООО ""РЕАЛ""")</f>
        <v>ООО "РЕАЛ"</v>
      </c>
      <c r="K8002" s="24" t="s">
        <v>8739</v>
      </c>
      <c r="L8002" s="22" t="s">
        <v>10</v>
      </c>
      <c r="M8002" s="25">
        <v>37201</v>
      </c>
      <c r="N8002" s="27">
        <v>6.0000192037809215E-2</v>
      </c>
    </row>
    <row r="8003" spans="1:14" hidden="1" outlineLevel="1" x14ac:dyDescent="0.2">
      <c r="A8003" s="23" t="str">
        <f>HYPERLINK("https://www.spark-marketing.ru/Card/Person/5904504", "ГБУЗ ""ОДКБ""")</f>
        <v>ГБУЗ "ОДКБ"</v>
      </c>
      <c r="B8003" s="24" t="s">
        <v>2289</v>
      </c>
      <c r="C8003" s="25">
        <v>39575.54</v>
      </c>
      <c r="D8003" s="22" t="s">
        <v>11822</v>
      </c>
      <c r="E8003" s="22" t="s">
        <v>336</v>
      </c>
      <c r="F8003" s="23" t="str">
        <f>HYPERLINK("https://www.spark-marketing.ru/Card/Lot/72722700", "на поставку пюре для детского питания")</f>
        <v>на поставку пюре для детского питания</v>
      </c>
      <c r="G8003" s="22" t="s">
        <v>132</v>
      </c>
      <c r="H8003" s="22" t="s">
        <v>587</v>
      </c>
      <c r="I8003" s="26">
        <v>43686.698159722197</v>
      </c>
      <c r="J8003" s="23" t="str">
        <f>HYPERLINK("https://www.spark-marketing.ru/Card/Person/109389", "ООО ""ЕВРОЛЭНД""")</f>
        <v>ООО "ЕВРОЛЭНД"</v>
      </c>
      <c r="K8003" s="24" t="s">
        <v>8740</v>
      </c>
      <c r="L8003" s="28" t="s">
        <v>51</v>
      </c>
      <c r="M8003" s="25">
        <v>39179.78</v>
      </c>
      <c r="N8003" s="27">
        <v>1.0000116233410839E-2</v>
      </c>
    </row>
    <row r="8004" spans="1:14" x14ac:dyDescent="0.15">
      <c r="A8004" s="23" t="str">
        <f>HYPERLINK("https://www.spark-marketing.ru/Card/Person/733706", "МБОУ ООШ С. ОРЛОВКА")</f>
        <v>МБОУ ООШ С. ОРЛОВКА</v>
      </c>
      <c r="B8004" s="24" t="s">
        <v>11823</v>
      </c>
      <c r="C8004" s="25">
        <v>669495</v>
      </c>
      <c r="D8004" s="22" t="s">
        <v>11824</v>
      </c>
      <c r="E8004" s="22" t="s">
        <v>48</v>
      </c>
      <c r="F8004" s="23" t="str">
        <f>HYPERLINK("https://www.spark-marketing.ru/Card/Lot/72716205", "Оказание услуг по организации горячего питания обучающихся")</f>
        <v>Оказание услуг по организации горячего питания обучающихся</v>
      </c>
      <c r="G8004" s="22" t="s">
        <v>145</v>
      </c>
      <c r="H8004" s="22" t="s">
        <v>10690</v>
      </c>
      <c r="I8004" s="26">
        <v>43686.688321759299</v>
      </c>
      <c r="J8004" s="23" t="str">
        <f>HYPERLINK("https://www.spark-marketing.ru/Card/Person/6275152", "ООО ""ЯНАУЛЬСКИЙ КДП""")</f>
        <v>ООО "ЯНАУЛЬСКИЙ КДП"</v>
      </c>
      <c r="K8004" s="24" t="s">
        <v>10674</v>
      </c>
      <c r="L8004" s="22" t="s">
        <v>10</v>
      </c>
      <c r="M8004" s="28" t="s">
        <v>51</v>
      </c>
      <c r="N8004" s="28" t="s">
        <v>51</v>
      </c>
    </row>
    <row r="8005" spans="1:14" x14ac:dyDescent="0.15">
      <c r="A8005" s="23" t="str">
        <f>HYPERLINK("https://www.spark-marketing.ru/Card/Person/1038029", "МАОУ ""КИЧМЕНГСКО-ГОРОДЕЦКАЯ СРЕДНЯЯ ШКОЛА""")</f>
        <v>МАОУ "КИЧМЕНГСКО-ГОРОДЕЦКАЯ СРЕДНЯЯ ШКОЛА"</v>
      </c>
      <c r="B8005" s="24" t="s">
        <v>11825</v>
      </c>
      <c r="C8005" s="25">
        <v>2077700</v>
      </c>
      <c r="D8005" s="22" t="s">
        <v>11826</v>
      </c>
      <c r="E8005" s="22" t="s">
        <v>48</v>
      </c>
      <c r="F8005" s="23" t="str">
        <f>HYPERLINK("https://www.spark-marketing.ru/Card/Lot/72716283", "услуги общественного питания обучающихся")</f>
        <v>услуги общественного питания обучающихся</v>
      </c>
      <c r="G8005" s="22" t="s">
        <v>503</v>
      </c>
      <c r="H8005" s="22" t="s">
        <v>11827</v>
      </c>
      <c r="I8005" s="26">
        <v>43686.702777777798</v>
      </c>
      <c r="J8005" s="23" t="str">
        <f>HYPERLINK("https://www.spark-marketing.ru/Card/Person/623939", "ООО ""РАДУГА""")</f>
        <v>ООО "РАДУГА"</v>
      </c>
      <c r="K8005" s="24" t="s">
        <v>11828</v>
      </c>
      <c r="L8005" s="22" t="s">
        <v>10</v>
      </c>
      <c r="M8005" s="28" t="s">
        <v>51</v>
      </c>
      <c r="N8005" s="28" t="s">
        <v>51</v>
      </c>
    </row>
    <row r="8006" spans="1:14" collapsed="1" x14ac:dyDescent="0.15">
      <c r="A8006" s="23" t="str">
        <f>HYPERLINK("https://www.spark-marketing.ru/Card/Person/53695", "УМВД РОССИИ ПО СЕРГИЕВО-ПОСАДСКОМУ РАЙОНУ")</f>
        <v>УМВД РОССИИ ПО СЕРГИЕВО-ПОСАДСКОМУ РАЙОНУ</v>
      </c>
      <c r="B8006" s="24" t="s">
        <v>11610</v>
      </c>
      <c r="C8006" s="25">
        <v>2337000</v>
      </c>
      <c r="D8006" s="22" t="s">
        <v>11829</v>
      </c>
      <c r="E8006" s="22" t="s">
        <v>48</v>
      </c>
      <c r="F8006" s="23" t="str">
        <f>HYPERLINK("https://www.spark-marketing.ru/Card/Lot/72715959", "Оказание услуг по питанию граждан для нужд УМВД России по Сергиево-Посадскому району")</f>
        <v>Оказание услуг по питанию граждан для нужд УМВД России по Сергиево-Посадскому району</v>
      </c>
      <c r="G8006" s="22" t="s">
        <v>49</v>
      </c>
      <c r="H8006" s="22" t="s">
        <v>49</v>
      </c>
      <c r="I8006" s="26">
        <v>43686.667418981502</v>
      </c>
      <c r="J8006" s="28" t="s">
        <v>51</v>
      </c>
      <c r="K8006" s="28" t="s">
        <v>51</v>
      </c>
      <c r="L8006" s="28" t="s">
        <v>51</v>
      </c>
      <c r="M8006" s="28" t="s">
        <v>51</v>
      </c>
      <c r="N8006" s="28" t="s">
        <v>51</v>
      </c>
    </row>
    <row r="8007" spans="1:14" ht="12.75" hidden="1" outlineLevel="1" x14ac:dyDescent="0.2">
      <c r="A8007" s="23" t="str">
        <f>HYPERLINK("https://www.spark-marketing.ru/Card/Person/53695", "УМВД РОССИИ ПО СЕРГИЕВО-ПОСАДСКОМУ РАЙОНУ")</f>
        <v>УМВД РОССИИ ПО СЕРГИЕВО-ПОСАДСКОМУ РАЙОНУ</v>
      </c>
      <c r="B8007" s="24" t="s">
        <v>11610</v>
      </c>
      <c r="C8007" s="25">
        <v>2337000</v>
      </c>
      <c r="D8007" s="22" t="s">
        <v>11829</v>
      </c>
      <c r="E8007" s="22" t="s">
        <v>48</v>
      </c>
      <c r="F8007" s="23" t="str">
        <f>HYPERLINK("https://www.spark-marketing.ru/Card/Lot/72715959", "Оказание услуг по питанию граждан для нужд УМВД России по Сергиево-Посадскому району")</f>
        <v>Оказание услуг по питанию граждан для нужд УМВД России по Сергиево-Посадскому району</v>
      </c>
      <c r="G8007" s="22" t="s">
        <v>49</v>
      </c>
      <c r="H8007" s="22" t="s">
        <v>49</v>
      </c>
      <c r="I8007" s="26">
        <v>43686.667418981502</v>
      </c>
      <c r="J8007" s="23" t="str">
        <f>HYPERLINK("https://www.spark-marketing.ru/Card/Person/6075868", "Королев Борис Борисович")</f>
        <v>Королев Борис Борисович</v>
      </c>
      <c r="K8007" s="24" t="s">
        <v>11612</v>
      </c>
      <c r="L8007" s="22" t="s">
        <v>10</v>
      </c>
      <c r="M8007" s="25">
        <v>257.83</v>
      </c>
      <c r="N8007" s="27">
        <v>0.99988967479674795</v>
      </c>
    </row>
    <row r="8008" spans="1:14" hidden="1" outlineLevel="1" x14ac:dyDescent="0.2">
      <c r="A8008" s="23" t="str">
        <f>HYPERLINK("https://www.spark-marketing.ru/Card/Person/53695", "УМВД РОССИИ ПО СЕРГИЕВО-ПОСАДСКОМУ РАЙОНУ")</f>
        <v>УМВД РОССИИ ПО СЕРГИЕВО-ПОСАДСКОМУ РАЙОНУ</v>
      </c>
      <c r="B8008" s="24" t="s">
        <v>11610</v>
      </c>
      <c r="C8008" s="25">
        <v>2337000</v>
      </c>
      <c r="D8008" s="22" t="s">
        <v>11829</v>
      </c>
      <c r="E8008" s="22" t="s">
        <v>48</v>
      </c>
      <c r="F8008" s="23" t="str">
        <f>HYPERLINK("https://www.spark-marketing.ru/Card/Lot/72715959", "Оказание услуг по питанию граждан для нужд УМВД России по Сергиево-Посадскому району")</f>
        <v>Оказание услуг по питанию граждан для нужд УМВД России по Сергиево-Посадскому району</v>
      </c>
      <c r="G8008" s="22" t="s">
        <v>49</v>
      </c>
      <c r="H8008" s="22" t="s">
        <v>49</v>
      </c>
      <c r="I8008" s="26">
        <v>43686.667418981502</v>
      </c>
      <c r="J8008" s="23" t="str">
        <f>HYPERLINK("https://www.spark-marketing.ru/Card/Person/115242", "Башмаков Николай Николаевич")</f>
        <v>Башмаков Николай Николаевич</v>
      </c>
      <c r="K8008" s="24" t="s">
        <v>5812</v>
      </c>
      <c r="L8008" s="28" t="s">
        <v>51</v>
      </c>
      <c r="M8008" s="25">
        <v>259.26</v>
      </c>
      <c r="N8008" s="27">
        <v>0.99988906290115531</v>
      </c>
    </row>
    <row r="8009" spans="1:14" x14ac:dyDescent="0.15">
      <c r="A8009" s="23" t="str">
        <f>HYPERLINK("https://www.spark-marketing.ru/Card/Person/733922", "МБОУ СОШ С.КАРМАНОВО")</f>
        <v>МБОУ СОШ С.КАРМАНОВО</v>
      </c>
      <c r="B8009" s="24" t="s">
        <v>11830</v>
      </c>
      <c r="C8009" s="25">
        <v>1384713</v>
      </c>
      <c r="D8009" s="22" t="s">
        <v>11831</v>
      </c>
      <c r="E8009" s="22" t="s">
        <v>48</v>
      </c>
      <c r="F8009" s="23" t="str">
        <f>HYPERLINK("https://www.spark-marketing.ru/Card/Lot/72715381", "Оказание услуг по организации горячего питания обучающихся и воспитанников дошкольной группы")</f>
        <v>Оказание услуг по организации горячего питания обучающихся и воспитанников дошкольной группы</v>
      </c>
      <c r="G8009" s="22" t="s">
        <v>145</v>
      </c>
      <c r="H8009" s="22" t="s">
        <v>10690</v>
      </c>
      <c r="I8009" s="26">
        <v>43686.674398148098</v>
      </c>
      <c r="J8009" s="23" t="str">
        <f>HYPERLINK("https://www.spark-marketing.ru/Card/Person/6275152", "ООО ""ЯНАУЛЬСКИЙ КДП""")</f>
        <v>ООО "ЯНАУЛЬСКИЙ КДП"</v>
      </c>
      <c r="K8009" s="24" t="s">
        <v>10674</v>
      </c>
      <c r="L8009" s="22" t="s">
        <v>10</v>
      </c>
      <c r="M8009" s="28" t="s">
        <v>51</v>
      </c>
      <c r="N8009" s="28" t="s">
        <v>51</v>
      </c>
    </row>
    <row r="8010" spans="1:14" x14ac:dyDescent="0.15">
      <c r="A8010" s="23" t="str">
        <f>HYPERLINK("https://www.spark-marketing.ru/Card/Person/1009739", "ОТДЕЛ ЗДРАВООХРАНЕНИЯ")</f>
        <v>ОТДЕЛ ЗДРАВООХРАНЕНИЯ</v>
      </c>
      <c r="B8010" s="24" t="s">
        <v>3572</v>
      </c>
      <c r="C8010" s="25">
        <v>12657</v>
      </c>
      <c r="D8010" s="22" t="s">
        <v>11832</v>
      </c>
      <c r="E8010" s="22" t="s">
        <v>52</v>
      </c>
      <c r="F8010" s="23" t="str">
        <f>HYPERLINK("https://www.spark-marketing.ru/Card/Lot/72710431",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8010" s="22" t="s">
        <v>3574</v>
      </c>
      <c r="H8010" s="22" t="s">
        <v>3574</v>
      </c>
      <c r="I8010" s="26">
        <v>43686.706759259301</v>
      </c>
      <c r="J8010" s="28" t="s">
        <v>51</v>
      </c>
      <c r="K8010" s="28" t="s">
        <v>51</v>
      </c>
      <c r="L8010" s="28" t="s">
        <v>51</v>
      </c>
      <c r="M8010" s="28" t="s">
        <v>51</v>
      </c>
      <c r="N8010" s="28" t="s">
        <v>51</v>
      </c>
    </row>
    <row r="8011" spans="1:14" collapsed="1" x14ac:dyDescent="0.15">
      <c r="A8011" s="23" t="str">
        <f>HYPERLINK("https://www.spark-marketing.ru/Card/Person/55077", "ФКУ ""ЦУКС ГУ МЧС РОССИИ ПО Г. САНКТ-ПЕТЕРБУРГУ""")</f>
        <v>ФКУ "ЦУКС ГУ МЧС РОССИИ ПО Г. САНКТ-ПЕТЕРБУРГУ"</v>
      </c>
      <c r="B8011" s="24" t="s">
        <v>11833</v>
      </c>
      <c r="C8011" s="25">
        <v>1200800</v>
      </c>
      <c r="D8011" s="22" t="s">
        <v>11834</v>
      </c>
      <c r="E8011" s="22" t="s">
        <v>48</v>
      </c>
      <c r="F8011" s="23" t="str">
        <f>HYPERLINK("https://www.spark-marketing.ru/Card/Lot/72716270", "Оказание услуг по организации питания личного состава, дежурных смен и лиц, несущих суточное дежурство в подразделениях ФКУ ""ЦУКС ГУ МЧС России по г. Санкт-Петербургу""")</f>
        <v>Оказание услуг по организации питания личного состава, дежурных смен и лиц, несущих суточное дежурство в подразделениях ФКУ "ЦУКС ГУ МЧС России по г. Санкт-Петербургу"</v>
      </c>
      <c r="G8011" s="22" t="s">
        <v>117</v>
      </c>
      <c r="H8011" s="22" t="s">
        <v>117</v>
      </c>
      <c r="I8011" s="26">
        <v>43686.690393518496</v>
      </c>
      <c r="J8011" s="28" t="s">
        <v>51</v>
      </c>
      <c r="K8011" s="28" t="s">
        <v>51</v>
      </c>
      <c r="L8011" s="28" t="s">
        <v>51</v>
      </c>
      <c r="M8011" s="28" t="s">
        <v>51</v>
      </c>
      <c r="N8011" s="28" t="s">
        <v>51</v>
      </c>
    </row>
    <row r="8012" spans="1:14" ht="12.75" hidden="1" outlineLevel="1" x14ac:dyDescent="0.2">
      <c r="A8012" s="23" t="str">
        <f>HYPERLINK("https://www.spark-marketing.ru/Card/Person/55077", "ФКУ ""ЦУКС ГУ МЧС РОССИИ ПО Г. САНКТ-ПЕТЕРБУРГУ""")</f>
        <v>ФКУ "ЦУКС ГУ МЧС РОССИИ ПО Г. САНКТ-ПЕТЕРБУРГУ"</v>
      </c>
      <c r="B8012" s="24" t="s">
        <v>11833</v>
      </c>
      <c r="C8012" s="25">
        <v>1200800</v>
      </c>
      <c r="D8012" s="22" t="s">
        <v>11834</v>
      </c>
      <c r="E8012" s="22" t="s">
        <v>48</v>
      </c>
      <c r="F8012" s="23" t="str">
        <f>HYPERLINK("https://www.spark-marketing.ru/Card/Lot/72716270", "Оказание услуг по организации питания личного состава, дежурных смен и лиц, несущих суточное дежурство в подразделениях ФКУ ""ЦУКС ГУ МЧС России по г. Санкт-Петербургу""")</f>
        <v>Оказание услуг по организации питания личного состава, дежурных смен и лиц, несущих суточное дежурство в подразделениях ФКУ "ЦУКС ГУ МЧС России по г. Санкт-Петербургу"</v>
      </c>
      <c r="G8012" s="22" t="s">
        <v>117</v>
      </c>
      <c r="H8012" s="22" t="s">
        <v>117</v>
      </c>
      <c r="I8012" s="26">
        <v>43686.690393518496</v>
      </c>
      <c r="J8012" s="23" t="str">
        <f>HYPERLINK("https://www.spark-marketing.ru/Card/Person/6157823", "Порошин Павел Юрьевич")</f>
        <v>Порошин Павел Юрьевич</v>
      </c>
      <c r="K8012" s="24" t="s">
        <v>11835</v>
      </c>
      <c r="L8012" s="22" t="s">
        <v>10</v>
      </c>
      <c r="M8012" s="25">
        <v>870331.28</v>
      </c>
      <c r="N8012" s="27">
        <v>0.27520712858094604</v>
      </c>
    </row>
    <row r="8013" spans="1:14" hidden="1" outlineLevel="1" x14ac:dyDescent="0.2">
      <c r="A8013" s="23" t="str">
        <f>HYPERLINK("https://www.spark-marketing.ru/Card/Person/55077", "ФКУ ""ЦУКС ГУ МЧС РОССИИ ПО Г. САНКТ-ПЕТЕРБУРГУ""")</f>
        <v>ФКУ "ЦУКС ГУ МЧС РОССИИ ПО Г. САНКТ-ПЕТЕРБУРГУ"</v>
      </c>
      <c r="B8013" s="24" t="s">
        <v>11833</v>
      </c>
      <c r="C8013" s="25">
        <v>1200800</v>
      </c>
      <c r="D8013" s="22" t="s">
        <v>11834</v>
      </c>
      <c r="E8013" s="22" t="s">
        <v>48</v>
      </c>
      <c r="F8013" s="23" t="str">
        <f>HYPERLINK("https://www.spark-marketing.ru/Card/Lot/72716270", "Оказание услуг по организации питания личного состава, дежурных смен и лиц, несущих суточное дежурство в подразделениях ФКУ ""ЦУКС ГУ МЧС России по г. Санкт-Петербургу""")</f>
        <v>Оказание услуг по организации питания личного состава, дежурных смен и лиц, несущих суточное дежурство в подразделениях ФКУ "ЦУКС ГУ МЧС России по г. Санкт-Петербургу"</v>
      </c>
      <c r="G8013" s="22" t="s">
        <v>117</v>
      </c>
      <c r="H8013" s="22" t="s">
        <v>117</v>
      </c>
      <c r="I8013" s="26">
        <v>43686.690393518496</v>
      </c>
      <c r="J8013" s="23" t="str">
        <f>HYPERLINK("https://www.spark-marketing.ru/Card/Person/55145", "ООО ""СТОЛОВАЯ ЛТА""")</f>
        <v>ООО "СТОЛОВАЯ ЛТА"</v>
      </c>
      <c r="K8013" s="24" t="s">
        <v>11836</v>
      </c>
      <c r="L8013" s="28" t="s">
        <v>51</v>
      </c>
      <c r="M8013" s="25">
        <v>1181245.6299999999</v>
      </c>
      <c r="N8013" s="27">
        <v>1.6284452031978681E-2</v>
      </c>
    </row>
    <row r="8014" spans="1:14" hidden="1" outlineLevel="1" x14ac:dyDescent="0.2">
      <c r="A8014" s="23" t="str">
        <f>HYPERLINK("https://www.spark-marketing.ru/Card/Person/55077", "ФКУ ""ЦУКС ГУ МЧС РОССИИ ПО Г. САНКТ-ПЕТЕРБУРГУ""")</f>
        <v>ФКУ "ЦУКС ГУ МЧС РОССИИ ПО Г. САНКТ-ПЕТЕРБУРГУ"</v>
      </c>
      <c r="B8014" s="24" t="s">
        <v>11833</v>
      </c>
      <c r="C8014" s="25">
        <v>1200800</v>
      </c>
      <c r="D8014" s="22" t="s">
        <v>11834</v>
      </c>
      <c r="E8014" s="22" t="s">
        <v>48</v>
      </c>
      <c r="F8014" s="23" t="str">
        <f>HYPERLINK("https://www.spark-marketing.ru/Card/Lot/72716270", "Оказание услуг по организации питания личного состава, дежурных смен и лиц, несущих суточное дежурство в подразделениях ФКУ ""ЦУКС ГУ МЧС России по г. Санкт-Петербургу""")</f>
        <v>Оказание услуг по организации питания личного состава, дежурных смен и лиц, несущих суточное дежурство в подразделениях ФКУ "ЦУКС ГУ МЧС России по г. Санкт-Петербургу"</v>
      </c>
      <c r="G8014" s="22" t="s">
        <v>117</v>
      </c>
      <c r="H8014" s="22" t="s">
        <v>117</v>
      </c>
      <c r="I8014" s="26">
        <v>43686.690393518496</v>
      </c>
      <c r="J8014" s="23" t="str">
        <f>HYPERLINK("https://www.spark-marketing.ru/Card/Person/110665", "ООО ""МИРРА""")</f>
        <v>ООО "МИРРА"</v>
      </c>
      <c r="K8014" s="24" t="s">
        <v>11837</v>
      </c>
      <c r="L8014" s="28" t="s">
        <v>51</v>
      </c>
      <c r="M8014" s="25">
        <v>876335.28</v>
      </c>
      <c r="N8014" s="27">
        <v>0.27020712858094603</v>
      </c>
    </row>
    <row r="8015" spans="1:14" x14ac:dyDescent="0.15">
      <c r="A8015" s="23" t="str">
        <f>HYPERLINK("https://www.spark-marketing.ru/Card/Person/1037117", "МАОУ ""ПЕРВОМАЙСКАЯ СРЕДНЯЯ ШКОЛА""")</f>
        <v>МАОУ "ПЕРВОМАЙСКАЯ СРЕДНЯЯ ШКОЛА"</v>
      </c>
      <c r="B8015" s="24" t="s">
        <v>11838</v>
      </c>
      <c r="C8015" s="25">
        <v>1267500</v>
      </c>
      <c r="D8015" s="22" t="s">
        <v>11839</v>
      </c>
      <c r="E8015" s="22" t="s">
        <v>48</v>
      </c>
      <c r="F8015" s="23" t="str">
        <f>HYPERLINK("https://www.spark-marketing.ru/Card/Lot/72714904", "Оказание услуг общественного питания обучающихся.")</f>
        <v>Оказание услуг общественного питания обучающихся.</v>
      </c>
      <c r="G8015" s="22" t="s">
        <v>503</v>
      </c>
      <c r="H8015" s="22" t="s">
        <v>11827</v>
      </c>
      <c r="I8015" s="26">
        <v>43686.701122685197</v>
      </c>
      <c r="J8015" s="23" t="str">
        <f>HYPERLINK("https://www.spark-marketing.ru/Card/Person/623939", "ООО ""РАДУГА""")</f>
        <v>ООО "РАДУГА"</v>
      </c>
      <c r="K8015" s="24" t="s">
        <v>11828</v>
      </c>
      <c r="L8015" s="22" t="s">
        <v>10</v>
      </c>
      <c r="M8015" s="28" t="s">
        <v>51</v>
      </c>
      <c r="N8015" s="28" t="s">
        <v>51</v>
      </c>
    </row>
    <row r="8016" spans="1:14" collapsed="1" x14ac:dyDescent="0.15">
      <c r="A8016" s="23" t="str">
        <f>HYPERLINK("https://www.spark-marketing.ru/Card/Person/10607", "ГБУ ДСЗМ")</f>
        <v>ГБУ ДСЗМ</v>
      </c>
      <c r="B8016" s="24" t="s">
        <v>3052</v>
      </c>
      <c r="C8016" s="25">
        <v>250000</v>
      </c>
      <c r="D8016" s="22" t="s">
        <v>11840</v>
      </c>
      <c r="E8016" s="22" t="s">
        <v>96</v>
      </c>
      <c r="F8016" s="23" t="str">
        <f>HYPERLINK("https://www.spark-marketing.ru/Card/Lot/72713346", "Услуги по организации питания и ресторанного обслуживания для подготовки и проведения Международного турнира по современному пятиборью «Кубок Кремля»")</f>
        <v>Услуги по организации питания и ресторанного обслуживания для подготовки и проведения Международного турнира по современному пятиборью «Кубок Кремля»</v>
      </c>
      <c r="G8016" s="22" t="s">
        <v>56</v>
      </c>
      <c r="H8016" s="22" t="s">
        <v>56</v>
      </c>
      <c r="I8016" s="26">
        <v>43686.706944444399</v>
      </c>
      <c r="J8016" s="28" t="s">
        <v>51</v>
      </c>
      <c r="K8016" s="28" t="s">
        <v>51</v>
      </c>
      <c r="L8016" s="28" t="s">
        <v>51</v>
      </c>
      <c r="M8016" s="28" t="s">
        <v>51</v>
      </c>
      <c r="N8016" s="28" t="s">
        <v>51</v>
      </c>
    </row>
    <row r="8017" spans="1:14" hidden="1" outlineLevel="1" x14ac:dyDescent="0.2">
      <c r="A8017" s="23" t="str">
        <f>HYPERLINK("https://www.spark-marketing.ru/Card/Person/10607", "ГБУ ДСЗМ")</f>
        <v>ГБУ ДСЗМ</v>
      </c>
      <c r="B8017" s="24" t="s">
        <v>3052</v>
      </c>
      <c r="C8017" s="25">
        <v>250000</v>
      </c>
      <c r="D8017" s="22" t="s">
        <v>11840</v>
      </c>
      <c r="E8017" s="22" t="s">
        <v>96</v>
      </c>
      <c r="F8017" s="23" t="str">
        <f>HYPERLINK("https://www.spark-marketing.ru/Card/Lot/72713346", "Услуги по организации питания и ресторанного обслуживания для подготовки и проведения Международного турнира по современному пятиборью «Кубок Кремля»")</f>
        <v>Услуги по организации питания и ресторанного обслуживания для подготовки и проведения Международного турнира по современному пятиборью «Кубок Кремля»</v>
      </c>
      <c r="G8017" s="22" t="s">
        <v>56</v>
      </c>
      <c r="H8017" s="22" t="s">
        <v>56</v>
      </c>
      <c r="I8017" s="26">
        <v>43686.706944444399</v>
      </c>
      <c r="J8017" s="23" t="str">
        <f>HYPERLINK("https://www.spark-marketing.ru/Card/Person/5970918", "ООО ""ПРОФИ КЕЙТЕРИНГ""")</f>
        <v>ООО "ПРОФИ КЕЙТЕРИНГ"</v>
      </c>
      <c r="K8017" s="24" t="s">
        <v>11841</v>
      </c>
      <c r="L8017" s="28" t="s">
        <v>51</v>
      </c>
      <c r="M8017" s="25">
        <v>249000</v>
      </c>
      <c r="N8017" s="27">
        <v>4.0000000000000001E-3</v>
      </c>
    </row>
    <row r="8018" spans="1:14" hidden="1" outlineLevel="1" x14ac:dyDescent="0.2">
      <c r="A8018" s="23" t="str">
        <f>HYPERLINK("https://www.spark-marketing.ru/Card/Person/10607", "ГБУ ДСЗМ")</f>
        <v>ГБУ ДСЗМ</v>
      </c>
      <c r="B8018" s="24" t="s">
        <v>3052</v>
      </c>
      <c r="C8018" s="25">
        <v>250000</v>
      </c>
      <c r="D8018" s="22" t="s">
        <v>11840</v>
      </c>
      <c r="E8018" s="22" t="s">
        <v>96</v>
      </c>
      <c r="F8018" s="23" t="str">
        <f>HYPERLINK("https://www.spark-marketing.ru/Card/Lot/72713346", "Услуги по организации питания и ресторанного обслуживания для подготовки и проведения Международного турнира по современному пятиборью «Кубок Кремля»")</f>
        <v>Услуги по организации питания и ресторанного обслуживания для подготовки и проведения Международного турнира по современному пятиборью «Кубок Кремля»</v>
      </c>
      <c r="G8018" s="22" t="s">
        <v>56</v>
      </c>
      <c r="H8018" s="22" t="s">
        <v>56</v>
      </c>
      <c r="I8018" s="26">
        <v>43686.706944444399</v>
      </c>
      <c r="J8018" s="23" t="str">
        <f>HYPERLINK("https://www.spark-marketing.ru/Card/Person/6391853", "ООО ""АЛЬДЖЕНСА""")</f>
        <v>ООО "АЛЬДЖЕНСА"</v>
      </c>
      <c r="K8018" s="24" t="s">
        <v>2499</v>
      </c>
      <c r="L8018" s="28" t="s">
        <v>51</v>
      </c>
      <c r="M8018" s="25">
        <v>180000</v>
      </c>
      <c r="N8018" s="27">
        <v>0.28000000000000003</v>
      </c>
    </row>
    <row r="8019" spans="1:14" ht="12.75" hidden="1" outlineLevel="1" x14ac:dyDescent="0.2">
      <c r="A8019" s="23" t="str">
        <f>HYPERLINK("https://www.spark-marketing.ru/Card/Person/10607", "ГБУ ДСЗМ")</f>
        <v>ГБУ ДСЗМ</v>
      </c>
      <c r="B8019" s="24" t="s">
        <v>3052</v>
      </c>
      <c r="C8019" s="25">
        <v>250000</v>
      </c>
      <c r="D8019" s="22" t="s">
        <v>11840</v>
      </c>
      <c r="E8019" s="22" t="s">
        <v>96</v>
      </c>
      <c r="F8019" s="23" t="str">
        <f>HYPERLINK("https://www.spark-marketing.ru/Card/Lot/72713346", "Услуги по организации питания и ресторанного обслуживания для подготовки и проведения Международного турнира по современному пятиборью «Кубок Кремля»")</f>
        <v>Услуги по организации питания и ресторанного обслуживания для подготовки и проведения Международного турнира по современному пятиборью «Кубок Кремля»</v>
      </c>
      <c r="G8019" s="22" t="s">
        <v>56</v>
      </c>
      <c r="H8019" s="22" t="s">
        <v>56</v>
      </c>
      <c r="I8019" s="26">
        <v>43686.706944444399</v>
      </c>
      <c r="J8019" s="23" t="str">
        <f>HYPERLINK("https://www.spark-marketing.ru/Card/Person/125672", "ООО ""СТАФФ""")</f>
        <v>ООО "СТАФФ"</v>
      </c>
      <c r="K8019" s="24" t="s">
        <v>11842</v>
      </c>
      <c r="L8019" s="22" t="s">
        <v>10</v>
      </c>
      <c r="M8019" s="25">
        <v>237500</v>
      </c>
      <c r="N8019" s="27">
        <v>0.05</v>
      </c>
    </row>
    <row r="8020" spans="1:14" hidden="1" outlineLevel="1" x14ac:dyDescent="0.2">
      <c r="A8020" s="23" t="str">
        <f>HYPERLINK("https://www.spark-marketing.ru/Card/Person/10607", "ГБУ ДСЗМ")</f>
        <v>ГБУ ДСЗМ</v>
      </c>
      <c r="B8020" s="24" t="s">
        <v>3052</v>
      </c>
      <c r="C8020" s="25">
        <v>250000</v>
      </c>
      <c r="D8020" s="22" t="s">
        <v>11840</v>
      </c>
      <c r="E8020" s="22" t="s">
        <v>96</v>
      </c>
      <c r="F8020" s="23" t="str">
        <f>HYPERLINK("https://www.spark-marketing.ru/Card/Lot/72713346", "Услуги по организации питания и ресторанного обслуживания для подготовки и проведения Международного турнира по современному пятиборью «Кубок Кремля»")</f>
        <v>Услуги по организации питания и ресторанного обслуживания для подготовки и проведения Международного турнира по современному пятиборью «Кубок Кремля»</v>
      </c>
      <c r="G8020" s="22" t="s">
        <v>56</v>
      </c>
      <c r="H8020" s="22" t="s">
        <v>56</v>
      </c>
      <c r="I8020" s="26">
        <v>43686.706944444399</v>
      </c>
      <c r="J8020" s="23" t="str">
        <f>HYPERLINK("https://www.spark-marketing.ru/Card/Person/721103", "ООО ""ЕСЛ ГРУПП""")</f>
        <v>ООО "ЕСЛ ГРУПП"</v>
      </c>
      <c r="K8020" s="24" t="s">
        <v>10836</v>
      </c>
      <c r="L8020" s="28" t="s">
        <v>51</v>
      </c>
      <c r="M8020" s="25">
        <v>216000</v>
      </c>
      <c r="N8020" s="27">
        <v>0.13600000000000001</v>
      </c>
    </row>
    <row r="8021" spans="1:14" collapsed="1" x14ac:dyDescent="0.15">
      <c r="A8021" s="23" t="str">
        <f t="shared" ref="A8021:A8028" si="178">HYPERLINK("https://www.spark-marketing.ru/Card/Person/6086", "ГКУ ""ДИРЕКЦИЯ ОДОТСЗН Г. МОСКВЫ""")</f>
        <v>ГКУ "ДИРЕКЦИЯ ОДОТСЗН Г. МОСКВЫ"</v>
      </c>
      <c r="B8021" s="24" t="s">
        <v>164</v>
      </c>
      <c r="C8021" s="25">
        <v>6176115</v>
      </c>
      <c r="D8021" s="22" t="s">
        <v>11843</v>
      </c>
      <c r="E8021" s="22" t="s">
        <v>86</v>
      </c>
      <c r="F8021" s="23" t="str">
        <f t="shared" ref="F8021:F8028" si="179">HYPERLINK("https://www.spark-marketing.ru/Card/Lot/72715771", "Оказание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кишечник...")</f>
        <v>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</v>
      </c>
      <c r="G8021" s="22" t="s">
        <v>56</v>
      </c>
      <c r="H8021" s="22" t="s">
        <v>56</v>
      </c>
      <c r="I8021" s="26">
        <v>43686.6875</v>
      </c>
      <c r="J8021" s="28" t="s">
        <v>51</v>
      </c>
      <c r="K8021" s="28" t="s">
        <v>51</v>
      </c>
      <c r="L8021" s="28" t="s">
        <v>51</v>
      </c>
      <c r="M8021" s="28" t="s">
        <v>51</v>
      </c>
      <c r="N8021" s="28" t="s">
        <v>51</v>
      </c>
    </row>
    <row r="8022" spans="1:14" hidden="1" outlineLevel="1" x14ac:dyDescent="0.15">
      <c r="A8022" s="23" t="str">
        <f t="shared" si="178"/>
        <v>ГКУ "ДИРЕКЦИЯ ОДОТСЗН Г. МОСКВЫ"</v>
      </c>
      <c r="B8022" s="24" t="s">
        <v>164</v>
      </c>
      <c r="C8022" s="25">
        <v>6176115</v>
      </c>
      <c r="D8022" s="22" t="s">
        <v>11843</v>
      </c>
      <c r="E8022" s="22" t="s">
        <v>86</v>
      </c>
      <c r="F8022" s="23" t="str">
        <f t="shared" si="179"/>
        <v>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</v>
      </c>
      <c r="G8022" s="22" t="s">
        <v>56</v>
      </c>
      <c r="H8022" s="22" t="s">
        <v>56</v>
      </c>
      <c r="I8022" s="26">
        <v>43686.6875</v>
      </c>
      <c r="J8022" s="23" t="str">
        <f>HYPERLINK("https://www.spark-marketing.ru/Card/Person/534377", "ОАО "" САНАТОРИЙ "" РОДНИК """)</f>
        <v>ОАО " САНАТОРИЙ " РОДНИК "</v>
      </c>
      <c r="K8022" s="24" t="s">
        <v>11844</v>
      </c>
      <c r="L8022" s="28" t="s">
        <v>51</v>
      </c>
      <c r="M8022" s="28" t="s">
        <v>51</v>
      </c>
      <c r="N8022" s="28" t="s">
        <v>51</v>
      </c>
    </row>
    <row r="8023" spans="1:14" hidden="1" outlineLevel="1" x14ac:dyDescent="0.2">
      <c r="A8023" s="23" t="str">
        <f t="shared" si="178"/>
        <v>ГКУ "ДИРЕКЦИЯ ОДОТСЗН Г. МОСКВЫ"</v>
      </c>
      <c r="B8023" s="24" t="s">
        <v>164</v>
      </c>
      <c r="C8023" s="25">
        <v>6176115</v>
      </c>
      <c r="D8023" s="22" t="s">
        <v>11843</v>
      </c>
      <c r="E8023" s="22" t="s">
        <v>86</v>
      </c>
      <c r="F8023" s="23" t="str">
        <f t="shared" si="179"/>
        <v>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</v>
      </c>
      <c r="G8023" s="22" t="s">
        <v>56</v>
      </c>
      <c r="H8023" s="22" t="s">
        <v>56</v>
      </c>
      <c r="I8023" s="26">
        <v>43686.6875</v>
      </c>
      <c r="J8023" s="23" t="str">
        <f>HYPERLINK("https://www.spark-marketing.ru/Card/Person/4345289", "ООО ""САНАТОРИЙ ""РУСЬ""")</f>
        <v>ООО "САНАТОРИЙ "РУСЬ"</v>
      </c>
      <c r="K8023" s="24" t="s">
        <v>11845</v>
      </c>
      <c r="L8023" s="28" t="s">
        <v>51</v>
      </c>
      <c r="M8023" s="25">
        <v>5890500</v>
      </c>
      <c r="N8023" s="27">
        <v>4.6245090967379977E-2</v>
      </c>
    </row>
    <row r="8024" spans="1:14" ht="12.75" hidden="1" outlineLevel="1" x14ac:dyDescent="0.2">
      <c r="A8024" s="23" t="str">
        <f t="shared" si="178"/>
        <v>ГКУ "ДИРЕКЦИЯ ОДОТСЗН Г. МОСКВЫ"</v>
      </c>
      <c r="B8024" s="24" t="s">
        <v>164</v>
      </c>
      <c r="C8024" s="25">
        <v>6176115</v>
      </c>
      <c r="D8024" s="22" t="s">
        <v>11843</v>
      </c>
      <c r="E8024" s="22" t="s">
        <v>86</v>
      </c>
      <c r="F8024" s="23" t="str">
        <f t="shared" si="179"/>
        <v>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</v>
      </c>
      <c r="G8024" s="22" t="s">
        <v>56</v>
      </c>
      <c r="H8024" s="22" t="s">
        <v>56</v>
      </c>
      <c r="I8024" s="26">
        <v>43686.6875</v>
      </c>
      <c r="J8024" s="23" t="str">
        <f>HYPERLINK("https://www.spark-marketing.ru/Card/Person/177813", "ООО ""КСКК ""АКВАЛОО""")</f>
        <v>ООО "КСКК "АКВАЛОО"</v>
      </c>
      <c r="K8024" s="24" t="s">
        <v>4517</v>
      </c>
      <c r="L8024" s="22" t="s">
        <v>10</v>
      </c>
      <c r="M8024" s="25">
        <v>6172650</v>
      </c>
      <c r="N8024" s="27">
        <v>5.6103229943095295E-4</v>
      </c>
    </row>
    <row r="8025" spans="1:14" hidden="1" outlineLevel="1" x14ac:dyDescent="0.15">
      <c r="A8025" s="23" t="str">
        <f t="shared" si="178"/>
        <v>ГКУ "ДИРЕКЦИЯ ОДОТСЗН Г. МОСКВЫ"</v>
      </c>
      <c r="B8025" s="24" t="s">
        <v>164</v>
      </c>
      <c r="C8025" s="25">
        <v>6176115</v>
      </c>
      <c r="D8025" s="22" t="s">
        <v>11843</v>
      </c>
      <c r="E8025" s="22" t="s">
        <v>86</v>
      </c>
      <c r="F8025" s="23" t="str">
        <f t="shared" si="179"/>
        <v>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</v>
      </c>
      <c r="G8025" s="22" t="s">
        <v>56</v>
      </c>
      <c r="H8025" s="22" t="s">
        <v>56</v>
      </c>
      <c r="I8025" s="26">
        <v>43686.6875</v>
      </c>
      <c r="J8025" s="23" t="str">
        <f>HYPERLINK("https://www.spark-marketing.ru/Card/Person/136138", "АО ""САНАТОРИЙ ""МОТЫЛЕК""")</f>
        <v>АО "САНАТОРИЙ "МОТЫЛЕК"</v>
      </c>
      <c r="K8025" s="24" t="s">
        <v>10284</v>
      </c>
      <c r="L8025" s="28" t="s">
        <v>51</v>
      </c>
      <c r="M8025" s="28" t="s">
        <v>51</v>
      </c>
      <c r="N8025" s="28" t="s">
        <v>51</v>
      </c>
    </row>
    <row r="8026" spans="1:14" ht="12.75" hidden="1" outlineLevel="1" x14ac:dyDescent="0.2">
      <c r="A8026" s="23" t="str">
        <f t="shared" si="178"/>
        <v>ГКУ "ДИРЕКЦИЯ ОДОТСЗН Г. МОСКВЫ"</v>
      </c>
      <c r="B8026" s="24" t="s">
        <v>164</v>
      </c>
      <c r="C8026" s="25">
        <v>6176115</v>
      </c>
      <c r="D8026" s="22" t="s">
        <v>11843</v>
      </c>
      <c r="E8026" s="22" t="s">
        <v>86</v>
      </c>
      <c r="F8026" s="23" t="str">
        <f t="shared" si="179"/>
        <v>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</v>
      </c>
      <c r="G8026" s="22" t="s">
        <v>56</v>
      </c>
      <c r="H8026" s="22" t="s">
        <v>56</v>
      </c>
      <c r="I8026" s="26">
        <v>43686.6875</v>
      </c>
      <c r="J8026" s="23" t="str">
        <f>HYPERLINK("https://www.spark-marketing.ru/Card/Person/34901", "ЗАО ""САНАТОРИЙ ""ЖЕМЧУЖИНА МОРЯ""")</f>
        <v>ЗАО "САНАТОРИЙ "ЖЕМЧУЖИНА МОРЯ"</v>
      </c>
      <c r="K8026" s="24" t="s">
        <v>6916</v>
      </c>
      <c r="L8026" s="22" t="s">
        <v>10</v>
      </c>
      <c r="M8026" s="25">
        <v>5568750</v>
      </c>
      <c r="N8026" s="27">
        <v>9.8340947343111329E-2</v>
      </c>
    </row>
    <row r="8027" spans="1:14" ht="12.75" hidden="1" outlineLevel="1" x14ac:dyDescent="0.2">
      <c r="A8027" s="23" t="str">
        <f t="shared" si="178"/>
        <v>ГКУ "ДИРЕКЦИЯ ОДОТСЗН Г. МОСКВЫ"</v>
      </c>
      <c r="B8027" s="24" t="s">
        <v>164</v>
      </c>
      <c r="C8027" s="25">
        <v>6176115</v>
      </c>
      <c r="D8027" s="22" t="s">
        <v>11843</v>
      </c>
      <c r="E8027" s="22" t="s">
        <v>86</v>
      </c>
      <c r="F8027" s="23" t="str">
        <f t="shared" si="179"/>
        <v>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</v>
      </c>
      <c r="G8027" s="22" t="s">
        <v>56</v>
      </c>
      <c r="H8027" s="22" t="s">
        <v>56</v>
      </c>
      <c r="I8027" s="26">
        <v>43686.6875</v>
      </c>
      <c r="J8027" s="23" t="str">
        <f>HYPERLINK("https://www.spark-marketing.ru/Card/Person/53126", "АО ""ДИЛУЧ""")</f>
        <v>АО "ДИЛУЧ"</v>
      </c>
      <c r="K8027" s="24" t="s">
        <v>11846</v>
      </c>
      <c r="L8027" s="22" t="s">
        <v>10</v>
      </c>
      <c r="M8027" s="25">
        <v>5940000</v>
      </c>
      <c r="N8027" s="27">
        <v>3.8230343832652079E-2</v>
      </c>
    </row>
    <row r="8028" spans="1:14" hidden="1" outlineLevel="1" x14ac:dyDescent="0.2">
      <c r="A8028" s="23" t="str">
        <f t="shared" si="178"/>
        <v>ГКУ "ДИРЕКЦИЯ ОДОТСЗН Г. МОСКВЫ"</v>
      </c>
      <c r="B8028" s="24" t="s">
        <v>164</v>
      </c>
      <c r="C8028" s="25">
        <v>6176115</v>
      </c>
      <c r="D8028" s="22" t="s">
        <v>11843</v>
      </c>
      <c r="E8028" s="22" t="s">
        <v>86</v>
      </c>
      <c r="F8028" s="23" t="str">
        <f t="shared" si="179"/>
        <v>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</v>
      </c>
      <c r="G8028" s="22" t="s">
        <v>56</v>
      </c>
      <c r="H8028" s="22" t="s">
        <v>56</v>
      </c>
      <c r="I8028" s="26">
        <v>43686.6875</v>
      </c>
      <c r="J8028" s="23" t="str">
        <f>HYPERLINK("https://www.spark-marketing.ru/Card/Person/235871", "ОАО ""САНАТОРИЙ ""ЮЖНОЕ ВЗМОРЬЕ""")</f>
        <v>ОАО "САНАТОРИЙ "ЮЖНОЕ ВЗМОРЬЕ"</v>
      </c>
      <c r="K8028" s="24" t="s">
        <v>11847</v>
      </c>
      <c r="L8028" s="28" t="s">
        <v>51</v>
      </c>
      <c r="M8028" s="25">
        <v>6176115</v>
      </c>
      <c r="N8028" s="27">
        <v>0</v>
      </c>
    </row>
    <row r="8029" spans="1:14" x14ac:dyDescent="0.15">
      <c r="A8029" s="23" t="str">
        <f>HYPERLINK("https://www.spark-marketing.ru/Card/Person/358685", "МО МВД РОССИИ ""ПЕЧОРСКИЙ""")</f>
        <v>МО МВД РОССИИ "ПЕЧОРСКИЙ"</v>
      </c>
      <c r="B8029" s="24" t="s">
        <v>11848</v>
      </c>
      <c r="C8029" s="25">
        <v>223000</v>
      </c>
      <c r="D8029" s="22" t="s">
        <v>11849</v>
      </c>
      <c r="E8029" s="22" t="s">
        <v>48</v>
      </c>
      <c r="F8029" s="23" t="str">
        <f>HYPERLINK("https://www.spark-marketing.ru/Card/Lot/72727551", "Услуги по организации суточного трехразового горячего питания лиц содержащихся в ИВС")</f>
        <v>Услуги по организации суточного трехразового горячего питания лиц содержащихся в ИВС</v>
      </c>
      <c r="G8029" s="22" t="s">
        <v>415</v>
      </c>
      <c r="H8029" s="22" t="s">
        <v>11850</v>
      </c>
      <c r="I8029" s="26">
        <v>43686.691712963002</v>
      </c>
      <c r="J8029" s="23" t="str">
        <f>HYPERLINK("https://www.spark-marketing.ru/Card/Person/6071888", "Осипова Светлана Петровна")</f>
        <v>Осипова Светлана Петровна</v>
      </c>
      <c r="K8029" s="24" t="s">
        <v>11851</v>
      </c>
      <c r="L8029" s="22" t="s">
        <v>10</v>
      </c>
      <c r="M8029" s="28" t="s">
        <v>51</v>
      </c>
      <c r="N8029" s="28" t="s">
        <v>51</v>
      </c>
    </row>
    <row r="8030" spans="1:14" collapsed="1" x14ac:dyDescent="0.15">
      <c r="A8030" s="23" t="str">
        <f>HYPERLINK("https://www.spark-marketing.ru/Card/Person/22827", "УМВД РОССИИ ПО ГОРОДУ АСТРАХАНИ")</f>
        <v>УМВД РОССИИ ПО ГОРОДУ АСТРАХАНИ</v>
      </c>
      <c r="B8030" s="24" t="s">
        <v>11852</v>
      </c>
      <c r="C8030" s="25">
        <v>7517000</v>
      </c>
      <c r="D8030" s="22" t="s">
        <v>11853</v>
      </c>
      <c r="E8030" s="22" t="s">
        <v>48</v>
      </c>
      <c r="F8030" s="23" t="str">
        <f>HYPERLINK("https://www.spark-marketing.ru/Card/Lot/72715966", "Оказание услуг по организации горячего питания для лиц, содержащихся в ИВС УМВД России по городу Астрахани, Специальном приемнике для лиц, подвергнутых административному аресту УМВД России по городу Астрахани, а также содержащихся в комнатах для соде...")</f>
        <v>Оказание услуг по организации горячего питания для лиц, содержащихся в ИВС УМВД России по городу Астрахани, Специальном приемнике для лиц, подвергнутых административному аресту УМВД России по городу Астрахани, а также содержащихся в комнатах для соде...</v>
      </c>
      <c r="G8030" s="22" t="s">
        <v>141</v>
      </c>
      <c r="H8030" s="22" t="s">
        <v>141</v>
      </c>
      <c r="I8030" s="26">
        <v>43686.674340277801</v>
      </c>
      <c r="J8030" s="28" t="s">
        <v>51</v>
      </c>
      <c r="K8030" s="28" t="s">
        <v>51</v>
      </c>
      <c r="L8030" s="28" t="s">
        <v>51</v>
      </c>
      <c r="M8030" s="28" t="s">
        <v>51</v>
      </c>
      <c r="N8030" s="28" t="s">
        <v>51</v>
      </c>
    </row>
    <row r="8031" spans="1:14" hidden="1" outlineLevel="1" x14ac:dyDescent="0.2">
      <c r="A8031" s="23" t="str">
        <f>HYPERLINK("https://www.spark-marketing.ru/Card/Person/22827", "УМВД РОССИИ ПО ГОРОДУ АСТРАХАНИ")</f>
        <v>УМВД РОССИИ ПО ГОРОДУ АСТРАХАНИ</v>
      </c>
      <c r="B8031" s="24" t="s">
        <v>11852</v>
      </c>
      <c r="C8031" s="25">
        <v>7517000</v>
      </c>
      <c r="D8031" s="22" t="s">
        <v>11853</v>
      </c>
      <c r="E8031" s="22" t="s">
        <v>48</v>
      </c>
      <c r="F8031" s="23" t="str">
        <f>HYPERLINK("https://www.spark-marketing.ru/Card/Lot/72715966", "Оказание услуг по организации горячего питания для лиц, содержащихся в ИВС УМВД России по городу Астрахани, Специальном приемнике для лиц, подвергнутых административному аресту УМВД России по городу Астрахани, а также содержащихся в комнатах для соде...")</f>
        <v>Оказание услуг по организации горячего питания для лиц, содержащихся в ИВС УМВД России по городу Астрахани, Специальном приемнике для лиц, подвергнутых административному аресту УМВД России по городу Астрахани, а также содержащихся в комнатах для соде...</v>
      </c>
      <c r="G8031" s="22" t="s">
        <v>141</v>
      </c>
      <c r="H8031" s="22" t="s">
        <v>141</v>
      </c>
      <c r="I8031" s="26">
        <v>43686.674340277801</v>
      </c>
      <c r="J8031" s="23" t="str">
        <f>HYPERLINK("https://www.spark-marketing.ru/Card/Person/242503", "ООО ""ФЕНИКС""")</f>
        <v>ООО "ФЕНИКС"</v>
      </c>
      <c r="K8031" s="24" t="s">
        <v>2451</v>
      </c>
      <c r="L8031" s="28" t="s">
        <v>51</v>
      </c>
      <c r="M8031" s="25">
        <v>6159320</v>
      </c>
      <c r="N8031" s="27">
        <v>0.18061460689104697</v>
      </c>
    </row>
    <row r="8032" spans="1:14" ht="12.75" hidden="1" outlineLevel="1" x14ac:dyDescent="0.2">
      <c r="A8032" s="23" t="str">
        <f>HYPERLINK("https://www.spark-marketing.ru/Card/Person/22827", "УМВД РОССИИ ПО ГОРОДУ АСТРАХАНИ")</f>
        <v>УМВД РОССИИ ПО ГОРОДУ АСТРАХАНИ</v>
      </c>
      <c r="B8032" s="24" t="s">
        <v>11852</v>
      </c>
      <c r="C8032" s="25">
        <v>7517000</v>
      </c>
      <c r="D8032" s="22" t="s">
        <v>11853</v>
      </c>
      <c r="E8032" s="22" t="s">
        <v>48</v>
      </c>
      <c r="F8032" s="23" t="str">
        <f>HYPERLINK("https://www.spark-marketing.ru/Card/Lot/72715966", "Оказание услуг по организации горячего питания для лиц, содержащихся в ИВС УМВД России по городу Астрахани, Специальном приемнике для лиц, подвергнутых административному аресту УМВД России по городу Астрахани, а также содержащихся в комнатах для соде...")</f>
        <v>Оказание услуг по организации горячего питания для лиц, содержащихся в ИВС УМВД России по городу Астрахани, Специальном приемнике для лиц, подвергнутых административному аресту УМВД России по городу Астрахани, а также содержащихся в комнатах для соде...</v>
      </c>
      <c r="G8032" s="22" t="s">
        <v>141</v>
      </c>
      <c r="H8032" s="22" t="s">
        <v>141</v>
      </c>
      <c r="I8032" s="26">
        <v>43686.674340277801</v>
      </c>
      <c r="J8032" s="23" t="str">
        <f>HYPERLINK("https://www.spark-marketing.ru/Card/Person/6618416", "Мамедов Заур Эльдар Оглы")</f>
        <v>Мамедов Заур Эльдар Оглы</v>
      </c>
      <c r="K8032" s="24" t="s">
        <v>2452</v>
      </c>
      <c r="L8032" s="22" t="s">
        <v>10</v>
      </c>
      <c r="M8032" s="25">
        <v>6159320</v>
      </c>
      <c r="N8032" s="27">
        <v>0.18061460689104697</v>
      </c>
    </row>
    <row r="8033" spans="1:14" x14ac:dyDescent="0.15">
      <c r="A8033" s="23" t="str">
        <f>HYPERLINK("https://www.spark-marketing.ru/Card/Person/4391", "МЕЖМУНИЦИПАЛЬНЫЙ ОТДЕЛ МВД РОССИИ ""ОЧЕРСКИЙ""")</f>
        <v>МЕЖМУНИЦИПАЛЬНЫЙ ОТДЕЛ МВД РОССИИ "ОЧЕРСКИЙ"</v>
      </c>
      <c r="B8033" s="24" t="s">
        <v>11854</v>
      </c>
      <c r="C8033" s="25">
        <v>750000</v>
      </c>
      <c r="D8033" s="22" t="s">
        <v>11855</v>
      </c>
      <c r="E8033" s="22" t="s">
        <v>67</v>
      </c>
      <c r="F8033" s="23" t="str">
        <f>HYPERLINK("https://www.spark-marketing.ru/Card/Lot/72726791", "Поставка горячего питания")</f>
        <v>Поставка горячего питания</v>
      </c>
      <c r="G8033" s="22" t="s">
        <v>153</v>
      </c>
      <c r="H8033" s="22" t="s">
        <v>153</v>
      </c>
      <c r="I8033" s="26">
        <v>43686.6635648148</v>
      </c>
      <c r="J8033" s="23" t="str">
        <f>HYPERLINK("https://www.spark-marketing.ru/Card/Person/38488", "Бурдина Елена Дмитриевна")</f>
        <v>Бурдина Елена Дмитриевна</v>
      </c>
      <c r="K8033" s="24" t="s">
        <v>11680</v>
      </c>
      <c r="L8033" s="22" t="s">
        <v>10</v>
      </c>
      <c r="M8033" s="28" t="s">
        <v>51</v>
      </c>
      <c r="N8033" s="28" t="s">
        <v>51</v>
      </c>
    </row>
    <row r="8034" spans="1:14" collapsed="1" x14ac:dyDescent="0.15">
      <c r="A8034" s="23" t="str">
        <f>HYPERLINK("https://www.spark-marketing.ru/Card/Person/151015", "СРЦДН Г. ГЛАЗОВА «СЕМЬЯ»")</f>
        <v>СРЦДН Г. ГЛАЗОВА «СЕМЬЯ»</v>
      </c>
      <c r="B8034" s="24" t="s">
        <v>990</v>
      </c>
      <c r="C8034" s="25">
        <v>375000</v>
      </c>
      <c r="D8034" s="22" t="s">
        <v>11856</v>
      </c>
      <c r="E8034" s="22" t="s">
        <v>48</v>
      </c>
      <c r="F8034" s="23" t="str">
        <f>HYPERLINK("https://www.spark-marketing.ru/Card/Lot/72714398", "№ зз-26496-19 Оказание услуг по организации питания несовершеннолетних")</f>
        <v>№ зз-26496-19 Оказание услуг по организации питания несовершеннолетних</v>
      </c>
      <c r="G8034" s="22" t="s">
        <v>852</v>
      </c>
      <c r="H8034" s="22" t="s">
        <v>992</v>
      </c>
      <c r="I8034" s="26">
        <v>43686.642013888901</v>
      </c>
      <c r="J8034" s="28" t="s">
        <v>51</v>
      </c>
      <c r="K8034" s="28" t="s">
        <v>51</v>
      </c>
      <c r="L8034" s="28" t="s">
        <v>51</v>
      </c>
      <c r="M8034" s="28" t="s">
        <v>51</v>
      </c>
      <c r="N8034" s="28" t="s">
        <v>51</v>
      </c>
    </row>
    <row r="8035" spans="1:14" hidden="1" outlineLevel="1" x14ac:dyDescent="0.2">
      <c r="A8035" s="23" t="str">
        <f>HYPERLINK("https://www.spark-marketing.ru/Card/Person/151015", "СРЦДН Г. ГЛАЗОВА «СЕМЬЯ»")</f>
        <v>СРЦДН Г. ГЛАЗОВА «СЕМЬЯ»</v>
      </c>
      <c r="B8035" s="24" t="s">
        <v>990</v>
      </c>
      <c r="C8035" s="25">
        <v>375000</v>
      </c>
      <c r="D8035" s="22" t="s">
        <v>11856</v>
      </c>
      <c r="E8035" s="22" t="s">
        <v>48</v>
      </c>
      <c r="F8035" s="23" t="str">
        <f>HYPERLINK("https://www.spark-marketing.ru/Card/Lot/72714398", "№ зз-26496-19 Оказание услуг по организации питания несовершеннолетних")</f>
        <v>№ зз-26496-19 Оказание услуг по организации питания несовершеннолетних</v>
      </c>
      <c r="G8035" s="22" t="s">
        <v>852</v>
      </c>
      <c r="H8035" s="22" t="s">
        <v>992</v>
      </c>
      <c r="I8035" s="26">
        <v>43686.642013888901</v>
      </c>
      <c r="J8035" s="23" t="str">
        <f>HYPERLINK("https://www.spark-marketing.ru/Card/Person/44655", "МАУ ""ЗДОРОВОЕ ПИТАНИЕ""")</f>
        <v>МАУ "ЗДОРОВОЕ ПИТАНИЕ"</v>
      </c>
      <c r="K8035" s="24" t="s">
        <v>11857</v>
      </c>
      <c r="L8035" s="28" t="s">
        <v>51</v>
      </c>
      <c r="M8035" s="25">
        <v>356175</v>
      </c>
      <c r="N8035" s="27">
        <v>5.0200000000000002E-2</v>
      </c>
    </row>
    <row r="8036" spans="1:14" ht="12.75" hidden="1" outlineLevel="1" x14ac:dyDescent="0.2">
      <c r="A8036" s="23" t="str">
        <f>HYPERLINK("https://www.spark-marketing.ru/Card/Person/151015", "СРЦДН Г. ГЛАЗОВА «СЕМЬЯ»")</f>
        <v>СРЦДН Г. ГЛАЗОВА «СЕМЬЯ»</v>
      </c>
      <c r="B8036" s="24" t="s">
        <v>990</v>
      </c>
      <c r="C8036" s="25">
        <v>375000</v>
      </c>
      <c r="D8036" s="22" t="s">
        <v>11856</v>
      </c>
      <c r="E8036" s="22" t="s">
        <v>48</v>
      </c>
      <c r="F8036" s="23" t="str">
        <f>HYPERLINK("https://www.spark-marketing.ru/Card/Lot/72714398", "№ зз-26496-19 Оказание услуг по организации питания несовершеннолетних")</f>
        <v>№ зз-26496-19 Оказание услуг по организации питания несовершеннолетних</v>
      </c>
      <c r="G8036" s="22" t="s">
        <v>852</v>
      </c>
      <c r="H8036" s="22" t="s">
        <v>992</v>
      </c>
      <c r="I8036" s="26">
        <v>43686.642013888901</v>
      </c>
      <c r="J8036" s="23" t="str">
        <f>HYPERLINK("https://www.spark-marketing.ru/Card/Person/6468263", "ООО ""ОБЩЕПИТ СЕРВИС""")</f>
        <v>ООО "ОБЩЕПИТ СЕРВИС"</v>
      </c>
      <c r="K8036" s="24" t="s">
        <v>11858</v>
      </c>
      <c r="L8036" s="22" t="s">
        <v>10</v>
      </c>
      <c r="M8036" s="25">
        <v>339000</v>
      </c>
      <c r="N8036" s="27">
        <v>9.6000000000000002E-2</v>
      </c>
    </row>
    <row r="8037" spans="1:14" x14ac:dyDescent="0.15">
      <c r="A8037" s="23" t="str">
        <f>HYPERLINK("https://www.spark-marketing.ru/Card/Person/826408", "ОТДЕЛ МВД РОССИИ ПО АРСКОМУ РАЙОНУ")</f>
        <v>ОТДЕЛ МВД РОССИИ ПО АРСКОМУ РАЙОНУ</v>
      </c>
      <c r="B8037" s="24" t="s">
        <v>11859</v>
      </c>
      <c r="C8037" s="25">
        <v>49000</v>
      </c>
      <c r="D8037" s="22" t="s">
        <v>11860</v>
      </c>
      <c r="E8037" s="22" t="s">
        <v>96</v>
      </c>
      <c r="F8037" s="23" t="str">
        <f>HYPERLINK("https://www.spark-marketing.ru/Card/Lot/72707782",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8037" s="22" t="s">
        <v>217</v>
      </c>
      <c r="H8037" s="22" t="s">
        <v>11861</v>
      </c>
      <c r="I8037" s="26">
        <v>43686.636863425898</v>
      </c>
      <c r="J8037" s="28" t="s">
        <v>51</v>
      </c>
      <c r="K8037" s="28" t="s">
        <v>51</v>
      </c>
      <c r="L8037" s="28" t="s">
        <v>51</v>
      </c>
      <c r="M8037" s="28" t="s">
        <v>51</v>
      </c>
      <c r="N8037" s="28" t="s">
        <v>51</v>
      </c>
    </row>
    <row r="8038" spans="1:14" x14ac:dyDescent="0.15">
      <c r="A8038" s="23" t="str">
        <f>HYPERLINK("https://www.spark-marketing.ru/Card/Person/34205", "МВД ПО РЕСПУБЛИКЕ ТАТАРСТАН")</f>
        <v>МВД ПО РЕСПУБЛИКЕ ТАТАРСТАН</v>
      </c>
      <c r="B8038" s="24" t="s">
        <v>5565</v>
      </c>
      <c r="C8038" s="25">
        <v>5767.8</v>
      </c>
      <c r="D8038" s="22" t="s">
        <v>11862</v>
      </c>
      <c r="E8038" s="22" t="s">
        <v>11863</v>
      </c>
      <c r="F8038" s="23" t="str">
        <f>HYPERLINK("https://www.spark-marketing.ru/Card/Lot/72712224", "Прочая закупка товаров, работ, услуг (Поставка разъемов для систем видеонаблюдения, оповещения, телевидения для нужд МВД по Республике Татарстан)")</f>
        <v>Прочая закупка товаров, работ, услуг (Поставка разъемов для систем видеонаблюдения, оповещения, телевидения для нужд МВД по Республике Татарстан)</v>
      </c>
      <c r="G8038" s="22" t="s">
        <v>217</v>
      </c>
      <c r="H8038" s="22" t="s">
        <v>937</v>
      </c>
      <c r="I8038" s="26">
        <v>43686.637268518498</v>
      </c>
      <c r="J8038" s="23" t="str">
        <f>HYPERLINK("https://www.spark-marketing.ru/Card/Person/37690", "ООО ""СПЕКТР 16""")</f>
        <v>ООО "СПЕКТР 16"</v>
      </c>
      <c r="K8038" s="24" t="s">
        <v>11864</v>
      </c>
      <c r="L8038" s="22" t="s">
        <v>10</v>
      </c>
      <c r="M8038" s="28" t="s">
        <v>51</v>
      </c>
      <c r="N8038" s="28" t="s">
        <v>51</v>
      </c>
    </row>
    <row r="8039" spans="1:14" collapsed="1" x14ac:dyDescent="0.15">
      <c r="A8039" s="23" t="str">
        <f>HYPERLINK("https://www.spark-marketing.ru/Card/Person/81209", "УМВД РОССИИ ПО ГОРОДУ СЫКТЫВКАРУ")</f>
        <v>УМВД РОССИИ ПО ГОРОДУ СЫКТЫВКАРУ</v>
      </c>
      <c r="B8039" s="24" t="s">
        <v>11865</v>
      </c>
      <c r="C8039" s="25">
        <v>8578000</v>
      </c>
      <c r="D8039" s="22" t="s">
        <v>11866</v>
      </c>
      <c r="E8039" s="22" t="s">
        <v>48</v>
      </c>
      <c r="F8039" s="23" t="str">
        <f>HYPERLINK("https://www.spark-marketing.ru/Card/Lot/72724120", "Оказание услуг по обеспечению трехразовым питанием лиц, содержащихся в СП и ИВС УМВД России по городу Сыктывкару")</f>
        <v>Оказание услуг по обеспечению трехразовым питанием лиц, содержащихся в СП и ИВС УМВД России по городу Сыктывкару</v>
      </c>
      <c r="G8039" s="22" t="s">
        <v>271</v>
      </c>
      <c r="H8039" s="22" t="s">
        <v>271</v>
      </c>
      <c r="I8039" s="26">
        <v>43686.656979166699</v>
      </c>
      <c r="J8039" s="28" t="s">
        <v>51</v>
      </c>
      <c r="K8039" s="28" t="s">
        <v>51</v>
      </c>
      <c r="L8039" s="28" t="s">
        <v>51</v>
      </c>
      <c r="M8039" s="28" t="s">
        <v>51</v>
      </c>
      <c r="N8039" s="28" t="s">
        <v>51</v>
      </c>
    </row>
    <row r="8040" spans="1:14" hidden="1" outlineLevel="1" x14ac:dyDescent="0.2">
      <c r="A8040" s="23" t="str">
        <f>HYPERLINK("https://www.spark-marketing.ru/Card/Person/81209", "УМВД РОССИИ ПО ГОРОДУ СЫКТЫВКАРУ")</f>
        <v>УМВД РОССИИ ПО ГОРОДУ СЫКТЫВКАРУ</v>
      </c>
      <c r="B8040" s="24" t="s">
        <v>11865</v>
      </c>
      <c r="C8040" s="25">
        <v>8578000</v>
      </c>
      <c r="D8040" s="22" t="s">
        <v>11866</v>
      </c>
      <c r="E8040" s="22" t="s">
        <v>48</v>
      </c>
      <c r="F8040" s="23" t="str">
        <f>HYPERLINK("https://www.spark-marketing.ru/Card/Lot/72724120", "Оказание услуг по обеспечению трехразовым питанием лиц, содержащихся в СП и ИВС УМВД России по городу Сыктывкару")</f>
        <v>Оказание услуг по обеспечению трехразовым питанием лиц, содержащихся в СП и ИВС УМВД России по городу Сыктывкару</v>
      </c>
      <c r="G8040" s="22" t="s">
        <v>271</v>
      </c>
      <c r="H8040" s="22" t="s">
        <v>271</v>
      </c>
      <c r="I8040" s="26">
        <v>43686.656979166699</v>
      </c>
      <c r="J8040" s="23" t="str">
        <f>HYPERLINK("https://www.spark-marketing.ru/Card/Person/6111094", "ООО ""ИНДУСТРИАЛЬНОЕ ПИТАНИЕ""")</f>
        <v>ООО "ИНДУСТРИАЛЬНОЕ ПИТАНИЕ"</v>
      </c>
      <c r="K8040" s="24" t="s">
        <v>11867</v>
      </c>
      <c r="L8040" s="28" t="s">
        <v>51</v>
      </c>
      <c r="M8040" s="25">
        <v>1758.9</v>
      </c>
      <c r="N8040" s="27">
        <v>0.99979495220331083</v>
      </c>
    </row>
    <row r="8041" spans="1:14" ht="12.75" hidden="1" outlineLevel="1" x14ac:dyDescent="0.2">
      <c r="A8041" s="23" t="str">
        <f>HYPERLINK("https://www.spark-marketing.ru/Card/Person/81209", "УМВД РОССИИ ПО ГОРОДУ СЫКТЫВКАРУ")</f>
        <v>УМВД РОССИИ ПО ГОРОДУ СЫКТЫВКАРУ</v>
      </c>
      <c r="B8041" s="24" t="s">
        <v>11865</v>
      </c>
      <c r="C8041" s="25">
        <v>8578000</v>
      </c>
      <c r="D8041" s="22" t="s">
        <v>11866</v>
      </c>
      <c r="E8041" s="22" t="s">
        <v>48</v>
      </c>
      <c r="F8041" s="23" t="str">
        <f>HYPERLINK("https://www.spark-marketing.ru/Card/Lot/72724120", "Оказание услуг по обеспечению трехразовым питанием лиц, содержащихся в СП и ИВС УМВД России по городу Сыктывкару")</f>
        <v>Оказание услуг по обеспечению трехразовым питанием лиц, содержащихся в СП и ИВС УМВД России по городу Сыктывкару</v>
      </c>
      <c r="G8041" s="22" t="s">
        <v>271</v>
      </c>
      <c r="H8041" s="22" t="s">
        <v>271</v>
      </c>
      <c r="I8041" s="26">
        <v>43686.656979166699</v>
      </c>
      <c r="J8041" s="23" t="str">
        <f>HYPERLINK("https://www.spark-marketing.ru/Card/Person/4168629", "ООО ""БИО-ЛАЙТ""")</f>
        <v>ООО "БИО-ЛАЙТ"</v>
      </c>
      <c r="K8041" s="24" t="s">
        <v>11868</v>
      </c>
      <c r="L8041" s="22" t="s">
        <v>10</v>
      </c>
      <c r="M8041" s="25">
        <v>1709.7</v>
      </c>
      <c r="N8041" s="27">
        <v>0.99980068780601539</v>
      </c>
    </row>
    <row r="8042" spans="1:14" ht="12.75" x14ac:dyDescent="0.2">
      <c r="A8042" s="23" t="str">
        <f>HYPERLINK("https://www.spark-marketing.ru/Card/Person/79071", "МБОУ ""ШКОЛА-ИНТЕРНАТ""")</f>
        <v>МБОУ "ШКОЛА-ИНТЕРНАТ"</v>
      </c>
      <c r="B8042" s="24" t="s">
        <v>11869</v>
      </c>
      <c r="C8042" s="25">
        <v>490182</v>
      </c>
      <c r="D8042" s="22" t="s">
        <v>11870</v>
      </c>
      <c r="E8042" s="22" t="s">
        <v>48</v>
      </c>
      <c r="F8042" s="23" t="str">
        <f>HYPERLINK("https://www.spark-marketing.ru/Card/Lot/72716179", "Оказание услуг по предоставлению питания школьникам образовательных учреждений города Рязани")</f>
        <v>Оказание услуг по предоставлению питания школьникам образовательных учреждений города Рязани</v>
      </c>
      <c r="G8042" s="22" t="s">
        <v>1522</v>
      </c>
      <c r="H8042" s="22" t="s">
        <v>1523</v>
      </c>
      <c r="I8042" s="26">
        <v>43686.589872685203</v>
      </c>
      <c r="J8042" s="23" t="str">
        <f>HYPERLINK("https://www.spark-marketing.ru/Card/Person/50743", "МП ""ДЕТСКОЕ ПИТАНИЕ""")</f>
        <v>МП "ДЕТСКОЕ ПИТАНИЕ"</v>
      </c>
      <c r="K8042" s="24" t="s">
        <v>1562</v>
      </c>
      <c r="L8042" s="22" t="s">
        <v>10</v>
      </c>
      <c r="M8042" s="25">
        <v>490182</v>
      </c>
      <c r="N8042" s="27">
        <v>0</v>
      </c>
    </row>
    <row r="8043" spans="1:14" x14ac:dyDescent="0.15">
      <c r="A8043" s="23" t="str">
        <f>HYPERLINK("https://www.spark-marketing.ru/Card/Person/270031", "ОТДЕЛ МВД РОССИИ ПО КСТОВСКОМУ РАЙОНУ")</f>
        <v>ОТДЕЛ МВД РОССИИ ПО КСТОВСКОМУ РАЙОНУ</v>
      </c>
      <c r="B8043" s="24" t="s">
        <v>9724</v>
      </c>
      <c r="C8043" s="25">
        <v>20000</v>
      </c>
      <c r="D8043" s="22" t="s">
        <v>11871</v>
      </c>
      <c r="E8043" s="22" t="s">
        <v>96</v>
      </c>
      <c r="F8043" s="23" t="str">
        <f>HYPERLINK("https://www.spark-marketing.ru/Card/Lot/72708156", "Оказание услуг по организации питания (приготовлению и доставке), 6 шт")</f>
        <v>Оказание услуг по организации питания (приготовлению и доставке), 6 шт</v>
      </c>
      <c r="G8043" s="22" t="s">
        <v>76</v>
      </c>
      <c r="H8043" s="22" t="s">
        <v>11872</v>
      </c>
      <c r="I8043" s="26">
        <v>43686.650486111103</v>
      </c>
      <c r="J8043" s="28" t="s">
        <v>51</v>
      </c>
      <c r="K8043" s="28" t="s">
        <v>51</v>
      </c>
      <c r="L8043" s="28" t="s">
        <v>51</v>
      </c>
      <c r="M8043" s="28" t="s">
        <v>51</v>
      </c>
      <c r="N8043" s="28" t="s">
        <v>51</v>
      </c>
    </row>
    <row r="8044" spans="1:14" x14ac:dyDescent="0.15">
      <c r="A8044" s="23" t="str">
        <f>HYPERLINK("https://www.spark-marketing.ru/Card/Person/382099", "МО МВД РОССИИ ""ДЕДОВИЧСКИЙ""")</f>
        <v>МО МВД РОССИИ "ДЕДОВИЧСКИЙ"</v>
      </c>
      <c r="B8044" s="24" t="s">
        <v>11873</v>
      </c>
      <c r="C8044" s="25">
        <v>1014000</v>
      </c>
      <c r="D8044" s="22" t="s">
        <v>11874</v>
      </c>
      <c r="E8044" s="22" t="s">
        <v>48</v>
      </c>
      <c r="F8044" s="23" t="str">
        <f>HYPERLINK("https://www.spark-marketing.ru/Card/Lot/72715103", "питание в ИВС")</f>
        <v>питание в ИВС</v>
      </c>
      <c r="G8044" s="22" t="s">
        <v>415</v>
      </c>
      <c r="H8044" s="22" t="s">
        <v>11875</v>
      </c>
      <c r="I8044" s="26">
        <v>43686.643969907404</v>
      </c>
      <c r="J8044" s="23" t="str">
        <f>HYPERLINK("https://www.spark-marketing.ru/Card/Person/2268052", "ООО ""ШИК""")</f>
        <v>ООО "ШИК"</v>
      </c>
      <c r="K8044" s="24" t="s">
        <v>11876</v>
      </c>
      <c r="L8044" s="22" t="s">
        <v>10</v>
      </c>
      <c r="M8044" s="28" t="s">
        <v>51</v>
      </c>
      <c r="N8044" s="28" t="s">
        <v>51</v>
      </c>
    </row>
    <row r="8045" spans="1:14" collapsed="1" x14ac:dyDescent="0.15">
      <c r="A8045" s="23" t="str">
        <f t="shared" ref="A8045:A8050" si="180">HYPERLINK("https://www.spark-marketing.ru/Card/Person/81209", "УМВД РОССИИ ПО ГОРОДУ СЫКТЫВКАРУ")</f>
        <v>УМВД РОССИИ ПО ГОРОДУ СЫКТЫВКАРУ</v>
      </c>
      <c r="B8045" s="24" t="s">
        <v>11865</v>
      </c>
      <c r="C8045" s="25">
        <v>8620000</v>
      </c>
      <c r="D8045" s="22" t="s">
        <v>11877</v>
      </c>
      <c r="E8045" s="22" t="s">
        <v>48</v>
      </c>
      <c r="F8045" s="23" t="str">
        <f>HYPERLINK("https://www.spark-marketing.ru/Card/Lot/72715391", "Оказание услуг по обеспечению трехразовым питанием лиц, содержащихся в СП и ИВС УМВД России по городу Сыктывкару")</f>
        <v>Оказание услуг по обеспечению трехразовым питанием лиц, содержащихся в СП и ИВС УМВД России по городу Сыктывкару</v>
      </c>
      <c r="G8045" s="22" t="s">
        <v>271</v>
      </c>
      <c r="H8045" s="22" t="s">
        <v>271</v>
      </c>
      <c r="I8045" s="26">
        <v>43686.644641203697</v>
      </c>
      <c r="J8045" s="28" t="s">
        <v>51</v>
      </c>
      <c r="K8045" s="28" t="s">
        <v>51</v>
      </c>
      <c r="L8045" s="28" t="s">
        <v>51</v>
      </c>
      <c r="M8045" s="28" t="s">
        <v>51</v>
      </c>
      <c r="N8045" s="28" t="s">
        <v>51</v>
      </c>
    </row>
    <row r="8046" spans="1:14" hidden="1" outlineLevel="1" x14ac:dyDescent="0.2">
      <c r="A8046" s="23" t="str">
        <f t="shared" si="180"/>
        <v>УМВД РОССИИ ПО ГОРОДУ СЫКТЫВКАРУ</v>
      </c>
      <c r="B8046" s="24" t="s">
        <v>11865</v>
      </c>
      <c r="C8046" s="25">
        <v>8620000</v>
      </c>
      <c r="D8046" s="22" t="s">
        <v>11877</v>
      </c>
      <c r="E8046" s="22" t="s">
        <v>48</v>
      </c>
      <c r="F8046" s="23" t="str">
        <f>HYPERLINK("https://www.spark-marketing.ru/Card/Lot/72715391", "Оказание услуг по обеспечению трехразовым питанием лиц, содержащихся в СП и ИВС УМВД России по городу Сыктывкару")</f>
        <v>Оказание услуг по обеспечению трехразовым питанием лиц, содержащихся в СП и ИВС УМВД России по городу Сыктывкару</v>
      </c>
      <c r="G8046" s="22" t="s">
        <v>271</v>
      </c>
      <c r="H8046" s="22" t="s">
        <v>271</v>
      </c>
      <c r="I8046" s="26">
        <v>43686.644641203697</v>
      </c>
      <c r="J8046" s="23" t="str">
        <f>HYPERLINK("https://www.spark-marketing.ru/Card/Person/6111094", "ООО ""ИНДУСТРИАЛЬНОЕ ПИТАНИЕ""")</f>
        <v>ООО "ИНДУСТРИАЛЬНОЕ ПИТАНИЕ"</v>
      </c>
      <c r="K8046" s="24" t="s">
        <v>11867</v>
      </c>
      <c r="L8046" s="28" t="s">
        <v>51</v>
      </c>
      <c r="M8046" s="25">
        <v>1709.7</v>
      </c>
      <c r="N8046" s="27">
        <v>0.99980165893271467</v>
      </c>
    </row>
    <row r="8047" spans="1:14" ht="12.75" hidden="1" outlineLevel="1" x14ac:dyDescent="0.2">
      <c r="A8047" s="23" t="str">
        <f t="shared" si="180"/>
        <v>УМВД РОССИИ ПО ГОРОДУ СЫКТЫВКАРУ</v>
      </c>
      <c r="B8047" s="24" t="s">
        <v>11865</v>
      </c>
      <c r="C8047" s="25">
        <v>8620000</v>
      </c>
      <c r="D8047" s="22" t="s">
        <v>11877</v>
      </c>
      <c r="E8047" s="22" t="s">
        <v>48</v>
      </c>
      <c r="F8047" s="23" t="str">
        <f>HYPERLINK("https://www.spark-marketing.ru/Card/Lot/72715391", "Оказание услуг по обеспечению трехразовым питанием лиц, содержащихся в СП и ИВС УМВД России по городу Сыктывкару")</f>
        <v>Оказание услуг по обеспечению трехразовым питанием лиц, содержащихся в СП и ИВС УМВД России по городу Сыктывкару</v>
      </c>
      <c r="G8047" s="22" t="s">
        <v>271</v>
      </c>
      <c r="H8047" s="22" t="s">
        <v>271</v>
      </c>
      <c r="I8047" s="26">
        <v>43686.644641203697</v>
      </c>
      <c r="J8047" s="23" t="str">
        <f>HYPERLINK("https://www.spark-marketing.ru/Card/Person/4168629", "ООО ""БИО-ЛАЙТ""")</f>
        <v>ООО "БИО-ЛАЙТ"</v>
      </c>
      <c r="K8047" s="24" t="s">
        <v>11868</v>
      </c>
      <c r="L8047" s="22" t="s">
        <v>10</v>
      </c>
      <c r="M8047" s="25">
        <v>1697.4</v>
      </c>
      <c r="N8047" s="27">
        <v>0.99980308584686772</v>
      </c>
    </row>
    <row r="8048" spans="1:14" collapsed="1" x14ac:dyDescent="0.15">
      <c r="A8048" s="23" t="str">
        <f t="shared" si="180"/>
        <v>УМВД РОССИИ ПО ГОРОДУ СЫКТЫВКАРУ</v>
      </c>
      <c r="B8048" s="24" t="s">
        <v>11865</v>
      </c>
      <c r="C8048" s="25">
        <v>1540000</v>
      </c>
      <c r="D8048" s="22" t="s">
        <v>11878</v>
      </c>
      <c r="E8048" s="22" t="s">
        <v>48</v>
      </c>
      <c r="F8048" s="23" t="str">
        <f>HYPERLINK("https://www.spark-marketing.ru/Card/Lot/72715176", "Оказание услуг по обеспечению трехразовым питанием лиц, содержащихся в спецприемниках и ИВС УЦМВД России по городу Сыктывкару")</f>
        <v>Оказание услуг по обеспечению трехразовым питанием лиц, содержащихся в спецприемниках и ИВС УЦМВД России по городу Сыктывкару</v>
      </c>
      <c r="G8048" s="22" t="s">
        <v>271</v>
      </c>
      <c r="H8048" s="22" t="s">
        <v>271</v>
      </c>
      <c r="I8048" s="26">
        <v>43686.6477662037</v>
      </c>
      <c r="J8048" s="28" t="s">
        <v>51</v>
      </c>
      <c r="K8048" s="28" t="s">
        <v>51</v>
      </c>
      <c r="L8048" s="28" t="s">
        <v>51</v>
      </c>
      <c r="M8048" s="28" t="s">
        <v>51</v>
      </c>
      <c r="N8048" s="28" t="s">
        <v>51</v>
      </c>
    </row>
    <row r="8049" spans="1:14" ht="12.75" hidden="1" outlineLevel="1" x14ac:dyDescent="0.2">
      <c r="A8049" s="23" t="str">
        <f t="shared" si="180"/>
        <v>УМВД РОССИИ ПО ГОРОДУ СЫКТЫВКАРУ</v>
      </c>
      <c r="B8049" s="24" t="s">
        <v>11865</v>
      </c>
      <c r="C8049" s="25">
        <v>1540000</v>
      </c>
      <c r="D8049" s="22" t="s">
        <v>11878</v>
      </c>
      <c r="E8049" s="22" t="s">
        <v>48</v>
      </c>
      <c r="F8049" s="23" t="str">
        <f>HYPERLINK("https://www.spark-marketing.ru/Card/Lot/72715176", "Оказание услуг по обеспечению трехразовым питанием лиц, содержащихся в спецприемниках и ИВС УЦМВД России по городу Сыктывкару")</f>
        <v>Оказание услуг по обеспечению трехразовым питанием лиц, содержащихся в спецприемниках и ИВС УЦМВД России по городу Сыктывкару</v>
      </c>
      <c r="G8049" s="22" t="s">
        <v>271</v>
      </c>
      <c r="H8049" s="22" t="s">
        <v>271</v>
      </c>
      <c r="I8049" s="26">
        <v>43686.6477662037</v>
      </c>
      <c r="J8049" s="23" t="str">
        <f>HYPERLINK("https://www.spark-marketing.ru/Card/Person/6111094", "ООО ""ИНДУСТРИАЛЬНОЕ ПИТАНИЕ""")</f>
        <v>ООО "ИНДУСТРИАЛЬНОЕ ПИТАНИЕ"</v>
      </c>
      <c r="K8049" s="24" t="s">
        <v>11867</v>
      </c>
      <c r="L8049" s="22" t="s">
        <v>10</v>
      </c>
      <c r="M8049" s="25">
        <v>1767.8</v>
      </c>
      <c r="N8049" s="27">
        <v>0.99885207792207797</v>
      </c>
    </row>
    <row r="8050" spans="1:14" hidden="1" outlineLevel="1" x14ac:dyDescent="0.2">
      <c r="A8050" s="23" t="str">
        <f t="shared" si="180"/>
        <v>УМВД РОССИИ ПО ГОРОДУ СЫКТЫВКАРУ</v>
      </c>
      <c r="B8050" s="24" t="s">
        <v>11865</v>
      </c>
      <c r="C8050" s="25">
        <v>1540000</v>
      </c>
      <c r="D8050" s="22" t="s">
        <v>11878</v>
      </c>
      <c r="E8050" s="22" t="s">
        <v>48</v>
      </c>
      <c r="F8050" s="23" t="str">
        <f>HYPERLINK("https://www.spark-marketing.ru/Card/Lot/72715176", "Оказание услуг по обеспечению трехразовым питанием лиц, содержащихся в спецприемниках и ИВС УЦМВД России по городу Сыктывкару")</f>
        <v>Оказание услуг по обеспечению трехразовым питанием лиц, содержащихся в спецприемниках и ИВС УЦМВД России по городу Сыктывкару</v>
      </c>
      <c r="G8050" s="22" t="s">
        <v>271</v>
      </c>
      <c r="H8050" s="22" t="s">
        <v>271</v>
      </c>
      <c r="I8050" s="26">
        <v>43686.6477662037</v>
      </c>
      <c r="J8050" s="23" t="str">
        <f>HYPERLINK("https://www.spark-marketing.ru/Card/Person/2539895", "ООО ""РЕСТОРАН ПУШКИНСКИЙ""")</f>
        <v>ООО "РЕСТОРАН ПУШКИНСКИЙ"</v>
      </c>
      <c r="K8050" s="24" t="s">
        <v>11879</v>
      </c>
      <c r="L8050" s="28" t="s">
        <v>51</v>
      </c>
      <c r="M8050" s="25">
        <v>1778.79</v>
      </c>
      <c r="N8050" s="27">
        <v>0.99884494155844161</v>
      </c>
    </row>
    <row r="8051" spans="1:14" x14ac:dyDescent="0.15">
      <c r="A8051" s="23" t="str">
        <f>HYPERLINK("https://www.spark-marketing.ru/Card/Person/818784", "МБОУ ""СОШ № 1""")</f>
        <v>МБОУ "СОШ № 1"</v>
      </c>
      <c r="B8051" s="24" t="s">
        <v>11880</v>
      </c>
      <c r="C8051" s="25">
        <v>736973.44</v>
      </c>
      <c r="D8051" s="22" t="s">
        <v>11881</v>
      </c>
      <c r="E8051" s="22" t="s">
        <v>48</v>
      </c>
      <c r="F8051" s="23" t="str">
        <f>HYPERLINK("https://www.spark-marketing.ru/Card/Lot/72716228", "№ зз-25967-19 Услуги по обеспечению питанием, осуществляемые по договору")</f>
        <v>№ зз-25967-19 Услуги по обеспечению питанием, осуществляемые по договору</v>
      </c>
      <c r="G8051" s="22" t="s">
        <v>852</v>
      </c>
      <c r="H8051" s="22" t="s">
        <v>6348</v>
      </c>
      <c r="I8051" s="26">
        <v>43686.658854166701</v>
      </c>
      <c r="J8051" s="23" t="str">
        <f>HYPERLINK("https://www.spark-marketing.ru/Card/Person/4409135", "МУП ""ШКОЛЬНОЕ ПИТАНИЕ""")</f>
        <v>МУП "ШКОЛЬНОЕ ПИТАНИЕ"</v>
      </c>
      <c r="K8051" s="24" t="s">
        <v>6349</v>
      </c>
      <c r="L8051" s="22" t="s">
        <v>10</v>
      </c>
      <c r="M8051" s="28" t="s">
        <v>51</v>
      </c>
      <c r="N8051" s="28" t="s">
        <v>51</v>
      </c>
    </row>
    <row r="8052" spans="1:14" collapsed="1" x14ac:dyDescent="0.15">
      <c r="A8052" s="23" t="str">
        <f>HYPERLINK("https://www.spark-marketing.ru/Card/Person/55778", "ГБУЗ РК ""ВИБ""")</f>
        <v>ГБУЗ РК "ВИБ"</v>
      </c>
      <c r="B8052" s="24" t="s">
        <v>11882</v>
      </c>
      <c r="C8052" s="25">
        <v>119599.08</v>
      </c>
      <c r="D8052" s="22" t="s">
        <v>11883</v>
      </c>
      <c r="E8052" s="22" t="s">
        <v>6043</v>
      </c>
      <c r="F8052" s="23" t="str">
        <f>HYPERLINK("https://www.spark-marketing.ru/Card/Lot/72724885", "Оказание транспортных услуг по перевозке готовых блюд для пациентов для нужд Государственного бюджетного учреждения здравоохранения Республики Коми «Воркутинская инфекционная больница"" в 4 квартале 2019 года")</f>
        <v>Оказание транспортных услуг по перевозке готовых блюд для пациентов для нужд Государственного бюджетного учреждения здравоохранения Республики Коми «Воркутинская инфекционная больница" в 4 квартале 2019 года</v>
      </c>
      <c r="G8052" s="22" t="s">
        <v>271</v>
      </c>
      <c r="H8052" s="22" t="s">
        <v>8864</v>
      </c>
      <c r="I8052" s="26">
        <v>43686.625162037002</v>
      </c>
      <c r="J8052" s="28" t="s">
        <v>51</v>
      </c>
      <c r="K8052" s="28" t="s">
        <v>51</v>
      </c>
      <c r="L8052" s="28" t="s">
        <v>51</v>
      </c>
      <c r="M8052" s="28" t="s">
        <v>51</v>
      </c>
      <c r="N8052" s="28" t="s">
        <v>51</v>
      </c>
    </row>
    <row r="8053" spans="1:14" hidden="1" outlineLevel="1" x14ac:dyDescent="0.2">
      <c r="A8053" s="23" t="str">
        <f>HYPERLINK("https://www.spark-marketing.ru/Card/Person/55778", "ГБУЗ РК ""ВИБ""")</f>
        <v>ГБУЗ РК "ВИБ"</v>
      </c>
      <c r="B8053" s="24" t="s">
        <v>11882</v>
      </c>
      <c r="C8053" s="25">
        <v>119599.08</v>
      </c>
      <c r="D8053" s="22" t="s">
        <v>11883</v>
      </c>
      <c r="E8053" s="22" t="s">
        <v>6043</v>
      </c>
      <c r="F8053" s="23" t="str">
        <f>HYPERLINK("https://www.spark-marketing.ru/Card/Lot/72724885", "Оказание транспортных услуг по перевозке готовых блюд для пациентов для нужд Государственного бюджетного учреждения здравоохранения Республики Коми «Воркутинская инфекционная больница"" в 4 квартале 2019 года")</f>
        <v>Оказание транспортных услуг по перевозке готовых блюд для пациентов для нужд Государственного бюджетного учреждения здравоохранения Республики Коми «Воркутинская инфекционная больница" в 4 квартале 2019 года</v>
      </c>
      <c r="G8053" s="22" t="s">
        <v>271</v>
      </c>
      <c r="H8053" s="22" t="s">
        <v>8864</v>
      </c>
      <c r="I8053" s="26">
        <v>43686.625162037002</v>
      </c>
      <c r="J8053" s="23" t="str">
        <f>HYPERLINK("https://www.spark-marketing.ru/Card/Person/6334531", "ООО ""ТС""")</f>
        <v>ООО "ТС"</v>
      </c>
      <c r="K8053" s="24" t="s">
        <v>11884</v>
      </c>
      <c r="L8053" s="28" t="s">
        <v>51</v>
      </c>
      <c r="M8053" s="25">
        <v>73553.429999999993</v>
      </c>
      <c r="N8053" s="27">
        <v>0.385000035117327</v>
      </c>
    </row>
    <row r="8054" spans="1:14" ht="12.75" hidden="1" outlineLevel="1" x14ac:dyDescent="0.2">
      <c r="A8054" s="23" t="str">
        <f>HYPERLINK("https://www.spark-marketing.ru/Card/Person/55778", "ГБУЗ РК ""ВИБ""")</f>
        <v>ГБУЗ РК "ВИБ"</v>
      </c>
      <c r="B8054" s="24" t="s">
        <v>11882</v>
      </c>
      <c r="C8054" s="25">
        <v>119599.08</v>
      </c>
      <c r="D8054" s="22" t="s">
        <v>11883</v>
      </c>
      <c r="E8054" s="22" t="s">
        <v>6043</v>
      </c>
      <c r="F8054" s="23" t="str">
        <f>HYPERLINK("https://www.spark-marketing.ru/Card/Lot/72724885", "Оказание транспортных услуг по перевозке готовых блюд для пациентов для нужд Государственного бюджетного учреждения здравоохранения Республики Коми «Воркутинская инфекционная больница"" в 4 квартале 2019 года")</f>
        <v>Оказание транспортных услуг по перевозке готовых блюд для пациентов для нужд Государственного бюджетного учреждения здравоохранения Республики Коми «Воркутинская инфекционная больница" в 4 квартале 2019 года</v>
      </c>
      <c r="G8054" s="22" t="s">
        <v>271</v>
      </c>
      <c r="H8054" s="22" t="s">
        <v>8864</v>
      </c>
      <c r="I8054" s="26">
        <v>43686.625162037002</v>
      </c>
      <c r="J8054" s="23" t="str">
        <f>HYPERLINK("https://www.spark-marketing.ru/Card/Person/291566", "Колчин Юрий Михайлович")</f>
        <v>Колчин Юрий Михайлович</v>
      </c>
      <c r="K8054" s="24" t="s">
        <v>11885</v>
      </c>
      <c r="L8054" s="22" t="s">
        <v>10</v>
      </c>
      <c r="M8054" s="25">
        <v>72955.429999999993</v>
      </c>
      <c r="N8054" s="27">
        <v>0.39000007357916133</v>
      </c>
    </row>
    <row r="8055" spans="1:14" collapsed="1" x14ac:dyDescent="0.15">
      <c r="A8055" s="23" t="str">
        <f>HYPERLINK("https://www.spark-marketing.ru/Card/Person/2865", "АДМИНИСТРАЦИЯ Г.ТАГАНРОГА")</f>
        <v>АДМИНИСТРАЦИЯ Г.ТАГАНРОГА</v>
      </c>
      <c r="B8055" s="24" t="s">
        <v>11886</v>
      </c>
      <c r="C8055" s="25">
        <v>29250</v>
      </c>
      <c r="D8055" s="22" t="s">
        <v>11887</v>
      </c>
      <c r="E8055" s="22" t="s">
        <v>96</v>
      </c>
      <c r="F8055" s="23" t="str">
        <f>HYPERLINK("https://www.spark-marketing.ru/Card/Lot/72710827", "Услуги по организации питания")</f>
        <v>Услуги по организации питания</v>
      </c>
      <c r="G8055" s="22" t="s">
        <v>267</v>
      </c>
      <c r="H8055" s="22" t="s">
        <v>1388</v>
      </c>
      <c r="I8055" s="26">
        <v>43686.634212962999</v>
      </c>
      <c r="J8055" s="28" t="s">
        <v>51</v>
      </c>
      <c r="K8055" s="28" t="s">
        <v>51</v>
      </c>
      <c r="L8055" s="28" t="s">
        <v>51</v>
      </c>
      <c r="M8055" s="28" t="s">
        <v>51</v>
      </c>
      <c r="N8055" s="28" t="s">
        <v>51</v>
      </c>
    </row>
    <row r="8056" spans="1:14" ht="12.75" hidden="1" outlineLevel="1" x14ac:dyDescent="0.2">
      <c r="A8056" s="23" t="str">
        <f>HYPERLINK("https://www.spark-marketing.ru/Card/Person/2865", "АДМИНИСТРАЦИЯ Г.ТАГАНРОГА")</f>
        <v>АДМИНИСТРАЦИЯ Г.ТАГАНРОГА</v>
      </c>
      <c r="B8056" s="24" t="s">
        <v>11886</v>
      </c>
      <c r="C8056" s="25">
        <v>29250</v>
      </c>
      <c r="D8056" s="22" t="s">
        <v>11887</v>
      </c>
      <c r="E8056" s="22" t="s">
        <v>96</v>
      </c>
      <c r="F8056" s="23" t="str">
        <f>HYPERLINK("https://www.spark-marketing.ru/Card/Lot/72710827", "Услуги по организации питания")</f>
        <v>Услуги по организации питания</v>
      </c>
      <c r="G8056" s="22" t="s">
        <v>267</v>
      </c>
      <c r="H8056" s="22" t="s">
        <v>1388</v>
      </c>
      <c r="I8056" s="26">
        <v>43686.634212962999</v>
      </c>
      <c r="J8056" s="23" t="str">
        <f>HYPERLINK("https://www.spark-marketing.ru/Card/Person/154670", "ООО ""ПАРТНЕР-СЕРВИС""")</f>
        <v>ООО "ПАРТНЕР-СЕРВИС"</v>
      </c>
      <c r="K8056" s="24" t="s">
        <v>11888</v>
      </c>
      <c r="L8056" s="22" t="s">
        <v>10</v>
      </c>
      <c r="M8056" s="25">
        <v>23270</v>
      </c>
      <c r="N8056" s="27">
        <v>0.20444444444444446</v>
      </c>
    </row>
    <row r="8057" spans="1:14" hidden="1" outlineLevel="1" x14ac:dyDescent="0.2">
      <c r="A8057" s="23" t="str">
        <f>HYPERLINK("https://www.spark-marketing.ru/Card/Person/2865", "АДМИНИСТРАЦИЯ Г.ТАГАНРОГА")</f>
        <v>АДМИНИСТРАЦИЯ Г.ТАГАНРОГА</v>
      </c>
      <c r="B8057" s="24" t="s">
        <v>11886</v>
      </c>
      <c r="C8057" s="25">
        <v>29250</v>
      </c>
      <c r="D8057" s="22" t="s">
        <v>11887</v>
      </c>
      <c r="E8057" s="22" t="s">
        <v>96</v>
      </c>
      <c r="F8057" s="23" t="str">
        <f>HYPERLINK("https://www.spark-marketing.ru/Card/Lot/72710827", "Услуги по организации питания")</f>
        <v>Услуги по организации питания</v>
      </c>
      <c r="G8057" s="22" t="s">
        <v>267</v>
      </c>
      <c r="H8057" s="22" t="s">
        <v>1388</v>
      </c>
      <c r="I8057" s="26">
        <v>43686.634212962999</v>
      </c>
      <c r="J8057" s="23" t="str">
        <f>HYPERLINK("https://www.spark-marketing.ru/Card/Person/6686337", "Ларина Ирина Анатольевна")</f>
        <v>Ларина Ирина Анатольевна</v>
      </c>
      <c r="K8057" s="24" t="s">
        <v>11889</v>
      </c>
      <c r="L8057" s="28" t="s">
        <v>51</v>
      </c>
      <c r="M8057" s="25">
        <v>29201</v>
      </c>
      <c r="N8057" s="27">
        <v>1.6752136752136752E-3</v>
      </c>
    </row>
    <row r="8058" spans="1:14" x14ac:dyDescent="0.15">
      <c r="A8058" s="23" t="str">
        <f>HYPERLINK("https://www.spark-marketing.ru/Card/Person/125413", "ОТДЕЛ МВД РОССИИ ПО Г. НОВОШАХТИНСКУ")</f>
        <v>ОТДЕЛ МВД РОССИИ ПО Г. НОВОШАХТИНСКУ</v>
      </c>
      <c r="B8058" s="24" t="s">
        <v>5055</v>
      </c>
      <c r="C8058" s="25">
        <v>278999.7</v>
      </c>
      <c r="D8058" s="22" t="s">
        <v>11890</v>
      </c>
      <c r="E8058" s="22" t="s">
        <v>48</v>
      </c>
      <c r="F8058" s="23" t="str">
        <f>HYPERLINK("https://www.spark-marketing.ru/Card/Lot/72708133", "Услуги общественного питания, 1 усл. ед")</f>
        <v>Услуги общественного питания, 1 усл. ед</v>
      </c>
      <c r="G8058" s="22" t="s">
        <v>267</v>
      </c>
      <c r="H8058" s="22" t="s">
        <v>5057</v>
      </c>
      <c r="I8058" s="26">
        <v>43686.645405092597</v>
      </c>
      <c r="J8058" s="28" t="s">
        <v>51</v>
      </c>
      <c r="K8058" s="28" t="s">
        <v>51</v>
      </c>
      <c r="L8058" s="28" t="s">
        <v>51</v>
      </c>
      <c r="M8058" s="28" t="s">
        <v>51</v>
      </c>
      <c r="N8058" s="28" t="s">
        <v>51</v>
      </c>
    </row>
    <row r="8059" spans="1:14" x14ac:dyDescent="0.15">
      <c r="A8059" s="23" t="str">
        <f>HYPERLINK("https://www.spark-marketing.ru/Card/Person/382099", "МО МВД РОССИИ ""ДЕДОВИЧСКИЙ""")</f>
        <v>МО МВД РОССИИ "ДЕДОВИЧСКИЙ"</v>
      </c>
      <c r="B8059" s="24" t="s">
        <v>11873</v>
      </c>
      <c r="C8059" s="25">
        <v>1014000</v>
      </c>
      <c r="D8059" s="22" t="s">
        <v>11891</v>
      </c>
      <c r="E8059" s="22" t="s">
        <v>48</v>
      </c>
      <c r="F8059" s="23" t="str">
        <f>HYPERLINK("https://www.spark-marketing.ru/Card/Lot/72715062", "питание в ИВС")</f>
        <v>питание в ИВС</v>
      </c>
      <c r="G8059" s="22" t="s">
        <v>415</v>
      </c>
      <c r="H8059" s="22" t="s">
        <v>11875</v>
      </c>
      <c r="I8059" s="26">
        <v>43686.639432870397</v>
      </c>
      <c r="J8059" s="23" t="str">
        <f>HYPERLINK("https://www.spark-marketing.ru/Card/Person/2268052", "ООО ""ШИК""")</f>
        <v>ООО "ШИК"</v>
      </c>
      <c r="K8059" s="24" t="s">
        <v>11876</v>
      </c>
      <c r="L8059" s="22" t="s">
        <v>10</v>
      </c>
      <c r="M8059" s="28" t="s">
        <v>51</v>
      </c>
      <c r="N8059" s="28" t="s">
        <v>51</v>
      </c>
    </row>
    <row r="8060" spans="1:14" x14ac:dyDescent="0.15">
      <c r="A8060" s="23" t="str">
        <f>HYPERLINK("https://www.spark-marketing.ru/Card/Person/1008155", "МБОУ ""БОРКОВСКАЯ СОШ""")</f>
        <v>МБОУ "БОРКОВСКАЯ СОШ"</v>
      </c>
      <c r="B8060" s="24" t="s">
        <v>501</v>
      </c>
      <c r="C8060" s="25">
        <v>322020</v>
      </c>
      <c r="D8060" s="22" t="s">
        <v>11892</v>
      </c>
      <c r="E8060" s="22" t="s">
        <v>51</v>
      </c>
      <c r="F8060" s="23" t="str">
        <f>HYPERLINK("https://www.spark-marketing.ru/Card/Lot/72713629", "Услуги по обеспечению питанием, осуществляемые по договору")</f>
        <v>Услуги по обеспечению питанием, осуществляемые по договору</v>
      </c>
      <c r="G8060" s="22" t="s">
        <v>503</v>
      </c>
      <c r="H8060" s="22" t="s">
        <v>188</v>
      </c>
      <c r="I8060" s="26">
        <v>43686.666643518503</v>
      </c>
      <c r="J8060" s="23" t="str">
        <f>HYPERLINK("https://www.spark-marketing.ru/Card/Person/291171", "Новгородцев Владимир Анатольевич")</f>
        <v>Новгородцев Владимир Анатольевич</v>
      </c>
      <c r="K8060" s="24" t="s">
        <v>11893</v>
      </c>
      <c r="L8060" s="22" t="s">
        <v>10</v>
      </c>
      <c r="M8060" s="28" t="s">
        <v>51</v>
      </c>
      <c r="N8060" s="28" t="s">
        <v>51</v>
      </c>
    </row>
    <row r="8061" spans="1:14" x14ac:dyDescent="0.15">
      <c r="A8061" s="23" t="str">
        <f>HYPERLINK("https://www.spark-marketing.ru/Card/Person/1017059", "ГБПОУ РО ""ВПК""")</f>
        <v>ГБПОУ РО "ВПК"</v>
      </c>
      <c r="B8061" s="24" t="s">
        <v>11894</v>
      </c>
      <c r="C8061" s="25">
        <v>9200</v>
      </c>
      <c r="D8061" s="22" t="s">
        <v>11895</v>
      </c>
      <c r="E8061" s="22" t="s">
        <v>437</v>
      </c>
      <c r="F8061" s="23" t="str">
        <f>HYPERLINK("https://www.spark-marketing.ru/Card/Lot/72708207", "Услуга по техническое экспертизе (46 единиц) движимого имущества (оборудования)")</f>
        <v>Услуга по техническое экспертизе (46 единиц) движимого имущества (оборудования)</v>
      </c>
      <c r="G8061" s="22" t="s">
        <v>267</v>
      </c>
      <c r="H8061" s="22" t="s">
        <v>11896</v>
      </c>
      <c r="I8061" s="26">
        <v>43686.652083333298</v>
      </c>
      <c r="J8061" s="28" t="s">
        <v>51</v>
      </c>
      <c r="K8061" s="28" t="s">
        <v>51</v>
      </c>
      <c r="L8061" s="28" t="s">
        <v>51</v>
      </c>
      <c r="M8061" s="28" t="s">
        <v>51</v>
      </c>
      <c r="N8061" s="28" t="s">
        <v>51</v>
      </c>
    </row>
    <row r="8062" spans="1:14" x14ac:dyDescent="0.15">
      <c r="A8062" s="23" t="str">
        <f>HYPERLINK("https://www.spark-marketing.ru/Card/Person/826408", "ОТДЕЛ МВД РОССИИ ПО АРСКОМУ РАЙОНУ")</f>
        <v>ОТДЕЛ МВД РОССИИ ПО АРСКОМУ РАЙОНУ</v>
      </c>
      <c r="B8062" s="24" t="s">
        <v>11859</v>
      </c>
      <c r="C8062" s="25">
        <v>99000</v>
      </c>
      <c r="D8062" s="22" t="s">
        <v>11897</v>
      </c>
      <c r="E8062" s="22" t="s">
        <v>96</v>
      </c>
      <c r="F8062" s="23" t="str">
        <f>HYPERLINK("https://www.spark-marketing.ru/Card/Lot/72708148", "Услуга по питанию, 1 шт")</f>
        <v>Услуга по питанию, 1 шт</v>
      </c>
      <c r="G8062" s="22" t="s">
        <v>217</v>
      </c>
      <c r="H8062" s="22" t="s">
        <v>11861</v>
      </c>
      <c r="I8062" s="26">
        <v>43686.648865740703</v>
      </c>
      <c r="J8062" s="28" t="s">
        <v>51</v>
      </c>
      <c r="K8062" s="28" t="s">
        <v>51</v>
      </c>
      <c r="L8062" s="28" t="s">
        <v>51</v>
      </c>
      <c r="M8062" s="28" t="s">
        <v>51</v>
      </c>
      <c r="N8062" s="28" t="s">
        <v>51</v>
      </c>
    </row>
    <row r="8063" spans="1:14" x14ac:dyDescent="0.2">
      <c r="A8063" s="23" t="str">
        <f>HYPERLINK("https://www.spark-marketing.ru/Card/Person/79071", "МБОУ ""ШКОЛА-ИНТЕРНАТ""")</f>
        <v>МБОУ "ШКОЛА-ИНТЕРНАТ"</v>
      </c>
      <c r="B8063" s="24" t="s">
        <v>11869</v>
      </c>
      <c r="C8063" s="25">
        <v>2464915.2000000002</v>
      </c>
      <c r="D8063" s="22" t="s">
        <v>11898</v>
      </c>
      <c r="E8063" s="22" t="s">
        <v>48</v>
      </c>
      <c r="F8063" s="23" t="str">
        <f>HYPERLINK("https://www.spark-marketing.ru/Card/Lot/72716064", "Оказание услуг по предоставлению питания школьникам образовательных учреждений города Рязани")</f>
        <v>Оказание услуг по предоставлению питания школьникам образовательных учреждений города Рязани</v>
      </c>
      <c r="G8063" s="22" t="s">
        <v>1522</v>
      </c>
      <c r="H8063" s="22" t="s">
        <v>1523</v>
      </c>
      <c r="I8063" s="26">
        <v>43686.664583333302</v>
      </c>
      <c r="J8063" s="23" t="str">
        <f>HYPERLINK("https://www.spark-marketing.ru/Card/Person/50743", "МП ""ДЕТСКОЕ ПИТАНИЕ""")</f>
        <v>МП "ДЕТСКОЕ ПИТАНИЕ"</v>
      </c>
      <c r="K8063" s="24" t="s">
        <v>1562</v>
      </c>
      <c r="L8063" s="28" t="s">
        <v>51</v>
      </c>
      <c r="M8063" s="25">
        <v>2464915.2000000002</v>
      </c>
      <c r="N8063" s="27">
        <v>0</v>
      </c>
    </row>
    <row r="8064" spans="1:14" x14ac:dyDescent="0.15">
      <c r="A8064" s="23" t="str">
        <f>HYPERLINK("https://www.spark-marketing.ru/Card/Person/125413", "ОТДЕЛ МВД РОССИИ ПО Г. НОВОШАХТИНСКУ")</f>
        <v>ОТДЕЛ МВД РОССИИ ПО Г. НОВОШАХТИНСКУ</v>
      </c>
      <c r="B8064" s="24" t="s">
        <v>5055</v>
      </c>
      <c r="C8064" s="25">
        <v>278999.94</v>
      </c>
      <c r="D8064" s="22" t="s">
        <v>11899</v>
      </c>
      <c r="E8064" s="22" t="s">
        <v>48</v>
      </c>
      <c r="F8064" s="23" t="str">
        <f>HYPERLINK("https://www.spark-marketing.ru/Card/Lot/72707790",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8064" s="22" t="s">
        <v>267</v>
      </c>
      <c r="H8064" s="22" t="s">
        <v>5057</v>
      </c>
      <c r="I8064" s="26">
        <v>43686.639131944401</v>
      </c>
      <c r="J8064" s="28" t="s">
        <v>51</v>
      </c>
      <c r="K8064" s="28" t="s">
        <v>51</v>
      </c>
      <c r="L8064" s="28" t="s">
        <v>51</v>
      </c>
      <c r="M8064" s="28" t="s">
        <v>51</v>
      </c>
      <c r="N8064" s="28" t="s">
        <v>51</v>
      </c>
    </row>
    <row r="8065" spans="1:14" x14ac:dyDescent="0.15">
      <c r="A8065" s="23" t="str">
        <f>HYPERLINK("https://www.spark-marketing.ru/Card/Person/826408", "ОТДЕЛ МВД РОССИИ ПО АРСКОМУ РАЙОНУ")</f>
        <v>ОТДЕЛ МВД РОССИИ ПО АРСКОМУ РАЙОНУ</v>
      </c>
      <c r="B8065" s="24" t="s">
        <v>11859</v>
      </c>
      <c r="C8065" s="25">
        <v>99000</v>
      </c>
      <c r="D8065" s="22" t="s">
        <v>11900</v>
      </c>
      <c r="E8065" s="22" t="s">
        <v>96</v>
      </c>
      <c r="F8065" s="23" t="str">
        <f>HYPERLINK("https://www.spark-marketing.ru/Card/Lot/72708139", "Услуга по питанию, 1 шт")</f>
        <v>Услуга по питанию, 1 шт</v>
      </c>
      <c r="G8065" s="22" t="s">
        <v>217</v>
      </c>
      <c r="H8065" s="22" t="s">
        <v>11861</v>
      </c>
      <c r="I8065" s="26">
        <v>43686.6464583333</v>
      </c>
      <c r="J8065" s="28" t="s">
        <v>51</v>
      </c>
      <c r="K8065" s="28" t="s">
        <v>51</v>
      </c>
      <c r="L8065" s="28" t="s">
        <v>51</v>
      </c>
      <c r="M8065" s="28" t="s">
        <v>51</v>
      </c>
      <c r="N8065" s="28" t="s">
        <v>51</v>
      </c>
    </row>
    <row r="8066" spans="1:14" collapsed="1" x14ac:dyDescent="0.15">
      <c r="A8066" s="23" t="str">
        <f>HYPERLINK("https://www.spark-marketing.ru/Card/Person/22358", "МКУ ""АХС""")</f>
        <v>МКУ "АХС"</v>
      </c>
      <c r="B8066" s="24" t="s">
        <v>1378</v>
      </c>
      <c r="C8066" s="25">
        <v>70000</v>
      </c>
      <c r="D8066" s="22" t="s">
        <v>11901</v>
      </c>
      <c r="E8066" s="22" t="s">
        <v>152</v>
      </c>
      <c r="F8066" s="23" t="str">
        <f>HYPERLINK("https://www.spark-marketing.ru/Card/Lot/72710888", "Оказание услуг по техническому обслуживанию и ремонту офисной техники")</f>
        <v>Оказание услуг по техническому обслуживанию и ремонту офисной техники</v>
      </c>
      <c r="G8066" s="22" t="s">
        <v>158</v>
      </c>
      <c r="H8066" s="22" t="s">
        <v>1380</v>
      </c>
      <c r="I8066" s="26">
        <v>43686.647696759297</v>
      </c>
      <c r="J8066" s="28" t="s">
        <v>51</v>
      </c>
      <c r="K8066" s="28" t="s">
        <v>51</v>
      </c>
      <c r="L8066" s="28" t="s">
        <v>51</v>
      </c>
      <c r="M8066" s="28" t="s">
        <v>51</v>
      </c>
      <c r="N8066" s="28" t="s">
        <v>51</v>
      </c>
    </row>
    <row r="8067" spans="1:14" ht="12.75" hidden="1" outlineLevel="1" x14ac:dyDescent="0.2">
      <c r="A8067" s="23" t="str">
        <f>HYPERLINK("https://www.spark-marketing.ru/Card/Person/22358", "МКУ ""АХС""")</f>
        <v>МКУ "АХС"</v>
      </c>
      <c r="B8067" s="24" t="s">
        <v>1378</v>
      </c>
      <c r="C8067" s="25">
        <v>70000</v>
      </c>
      <c r="D8067" s="22" t="s">
        <v>11901</v>
      </c>
      <c r="E8067" s="22" t="s">
        <v>152</v>
      </c>
      <c r="F8067" s="23" t="str">
        <f>HYPERLINK("https://www.spark-marketing.ru/Card/Lot/72710888", "Оказание услуг по техническому обслуживанию и ремонту офисной техники")</f>
        <v>Оказание услуг по техническому обслуживанию и ремонту офисной техники</v>
      </c>
      <c r="G8067" s="22" t="s">
        <v>158</v>
      </c>
      <c r="H8067" s="22" t="s">
        <v>1380</v>
      </c>
      <c r="I8067" s="26">
        <v>43686.647696759297</v>
      </c>
      <c r="J8067" s="23" t="str">
        <f>HYPERLINK("https://www.spark-marketing.ru/Card/Person/331536", "ООО ""ТОНЕКС""")</f>
        <v>ООО "ТОНЕКС"</v>
      </c>
      <c r="K8067" s="24" t="s">
        <v>11902</v>
      </c>
      <c r="L8067" s="22" t="s">
        <v>10</v>
      </c>
      <c r="M8067" s="25">
        <v>28771.599999999999</v>
      </c>
      <c r="N8067" s="27">
        <v>0.58897714285714287</v>
      </c>
    </row>
    <row r="8068" spans="1:14" hidden="1" outlineLevel="1" x14ac:dyDescent="0.2">
      <c r="A8068" s="23" t="str">
        <f>HYPERLINK("https://www.spark-marketing.ru/Card/Person/22358", "МКУ ""АХС""")</f>
        <v>МКУ "АХС"</v>
      </c>
      <c r="B8068" s="24" t="s">
        <v>1378</v>
      </c>
      <c r="C8068" s="25">
        <v>70000</v>
      </c>
      <c r="D8068" s="22" t="s">
        <v>11901</v>
      </c>
      <c r="E8068" s="22" t="s">
        <v>152</v>
      </c>
      <c r="F8068" s="23" t="str">
        <f>HYPERLINK("https://www.spark-marketing.ru/Card/Lot/72710888", "Оказание услуг по техническому обслуживанию и ремонту офисной техники")</f>
        <v>Оказание услуг по техническому обслуживанию и ремонту офисной техники</v>
      </c>
      <c r="G8068" s="22" t="s">
        <v>158</v>
      </c>
      <c r="H8068" s="22" t="s">
        <v>1380</v>
      </c>
      <c r="I8068" s="26">
        <v>43686.647696759297</v>
      </c>
      <c r="J8068" s="23" t="str">
        <f>HYPERLINK("https://www.spark-marketing.ru/Card/Person/6082975", "ООО ""ВОЛГА - ЯРД""")</f>
        <v>ООО "ВОЛГА - ЯРД"</v>
      </c>
      <c r="K8068" s="24" t="s">
        <v>8235</v>
      </c>
      <c r="L8068" s="28" t="s">
        <v>51</v>
      </c>
      <c r="M8068" s="25">
        <v>29304.400000000001</v>
      </c>
      <c r="N8068" s="27">
        <v>0.58136571428571426</v>
      </c>
    </row>
    <row r="8069" spans="1:14" hidden="1" outlineLevel="1" x14ac:dyDescent="0.2">
      <c r="A8069" s="23" t="str">
        <f>HYPERLINK("https://www.spark-marketing.ru/Card/Person/22358", "МКУ ""АХС""")</f>
        <v>МКУ "АХС"</v>
      </c>
      <c r="B8069" s="24" t="s">
        <v>1378</v>
      </c>
      <c r="C8069" s="25">
        <v>70000</v>
      </c>
      <c r="D8069" s="22" t="s">
        <v>11901</v>
      </c>
      <c r="E8069" s="22" t="s">
        <v>152</v>
      </c>
      <c r="F8069" s="23" t="str">
        <f>HYPERLINK("https://www.spark-marketing.ru/Card/Lot/72710888", "Оказание услуг по техническому обслуживанию и ремонту офисной техники")</f>
        <v>Оказание услуг по техническому обслуживанию и ремонту офисной техники</v>
      </c>
      <c r="G8069" s="22" t="s">
        <v>158</v>
      </c>
      <c r="H8069" s="22" t="s">
        <v>1380</v>
      </c>
      <c r="I8069" s="26">
        <v>43686.647696759297</v>
      </c>
      <c r="J8069" s="23" t="str">
        <f>HYPERLINK("https://www.spark-marketing.ru/Card/Person/501020", "Бережной Виталий Витальевич")</f>
        <v>Бережной Виталий Витальевич</v>
      </c>
      <c r="K8069" s="24" t="s">
        <v>11903</v>
      </c>
      <c r="L8069" s="28" t="s">
        <v>51</v>
      </c>
      <c r="M8069" s="25">
        <v>95371.67</v>
      </c>
      <c r="N8069" s="27">
        <v>-0.36245242857142856</v>
      </c>
    </row>
    <row r="8070" spans="1:14" x14ac:dyDescent="0.15">
      <c r="A8070" s="23" t="str">
        <f>HYPERLINK("https://www.spark-marketing.ru/Card/Person/826408", "ОТДЕЛ МВД РОССИИ ПО АРСКОМУ РАЙОНУ")</f>
        <v>ОТДЕЛ МВД РОССИИ ПО АРСКОМУ РАЙОНУ</v>
      </c>
      <c r="B8070" s="24" t="s">
        <v>11859</v>
      </c>
      <c r="C8070" s="25">
        <v>49000</v>
      </c>
      <c r="D8070" s="22" t="s">
        <v>11904</v>
      </c>
      <c r="E8070" s="22" t="s">
        <v>96</v>
      </c>
      <c r="F8070" s="23" t="str">
        <f>HYPERLINK("https://www.spark-marketing.ru/Card/Lot/72706648", "Услуга по питанию, 98 шт")</f>
        <v>Услуга по питанию, 98 шт</v>
      </c>
      <c r="G8070" s="22" t="s">
        <v>217</v>
      </c>
      <c r="H8070" s="22" t="s">
        <v>11861</v>
      </c>
      <c r="I8070" s="26">
        <v>43686.615891203699</v>
      </c>
      <c r="J8070" s="28" t="s">
        <v>51</v>
      </c>
      <c r="K8070" s="28" t="s">
        <v>51</v>
      </c>
      <c r="L8070" s="28" t="s">
        <v>51</v>
      </c>
      <c r="M8070" s="28" t="s">
        <v>51</v>
      </c>
      <c r="N8070" s="28" t="s">
        <v>51</v>
      </c>
    </row>
    <row r="8071" spans="1:14" x14ac:dyDescent="0.15">
      <c r="A8071" s="23" t="str">
        <f>HYPERLINK("https://www.spark-marketing.ru/Card/Person/1041021", "ОТДЕЛ МВД РОССИИ ПО КУЕДИНСКОМУ РАЙОНУ")</f>
        <v>ОТДЕЛ МВД РОССИИ ПО КУЕДИНСКОМУ РАЙОНУ</v>
      </c>
      <c r="B8071" s="24" t="s">
        <v>11905</v>
      </c>
      <c r="C8071" s="25">
        <v>1330000</v>
      </c>
      <c r="D8071" s="22" t="s">
        <v>11906</v>
      </c>
      <c r="E8071" s="22" t="s">
        <v>48</v>
      </c>
      <c r="F8071" s="23" t="str">
        <f>HYPERLINK("https://www.spark-marketing.ru/Card/Lot/72724061", "Услуги по обеспечению питания")</f>
        <v>Услуги по обеспечению питания</v>
      </c>
      <c r="G8071" s="22" t="s">
        <v>153</v>
      </c>
      <c r="H8071" s="22" t="s">
        <v>11907</v>
      </c>
      <c r="I8071" s="26">
        <v>43686.5988194444</v>
      </c>
      <c r="J8071" s="23" t="str">
        <f>HYPERLINK("https://www.spark-marketing.ru/Card/Person/6685912", "ООО ""ЗОЖ""")</f>
        <v>ООО "ЗОЖ"</v>
      </c>
      <c r="K8071" s="24" t="s">
        <v>11908</v>
      </c>
      <c r="L8071" s="22" t="s">
        <v>10</v>
      </c>
      <c r="M8071" s="28" t="s">
        <v>51</v>
      </c>
      <c r="N8071" s="28" t="s">
        <v>51</v>
      </c>
    </row>
    <row r="8072" spans="1:14" x14ac:dyDescent="0.15">
      <c r="A8072" s="23" t="str">
        <f>HYPERLINK("https://www.spark-marketing.ru/Card/Person/125413", "ОТДЕЛ МВД РОССИИ ПО Г. НОВОШАХТИНСКУ")</f>
        <v>ОТДЕЛ МВД РОССИИ ПО Г. НОВОШАХТИНСКУ</v>
      </c>
      <c r="B8072" s="24" t="s">
        <v>5055</v>
      </c>
      <c r="C8072" s="25">
        <v>278999.7</v>
      </c>
      <c r="D8072" s="22" t="s">
        <v>11909</v>
      </c>
      <c r="E8072" s="22" t="s">
        <v>48</v>
      </c>
      <c r="F8072" s="23" t="str">
        <f>HYPERLINK("https://www.spark-marketing.ru/Card/Lot/72706159",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8072" s="22" t="s">
        <v>267</v>
      </c>
      <c r="H8072" s="22" t="s">
        <v>5057</v>
      </c>
      <c r="I8072" s="26">
        <v>43686.605972222198</v>
      </c>
      <c r="J8072" s="28" t="s">
        <v>51</v>
      </c>
      <c r="K8072" s="28" t="s">
        <v>51</v>
      </c>
      <c r="L8072" s="28" t="s">
        <v>51</v>
      </c>
      <c r="M8072" s="28" t="s">
        <v>51</v>
      </c>
      <c r="N8072" s="28" t="s">
        <v>51</v>
      </c>
    </row>
    <row r="8073" spans="1:14" x14ac:dyDescent="0.15">
      <c r="A8073" s="23" t="str">
        <f>HYPERLINK("https://www.spark-marketing.ru/Card/Person/32254", "ФКУ ДПО МУЦ УФСИН РОССИИ ПО МОСКОВСКОЙ ОБЛАСТИ")</f>
        <v>ФКУ ДПО МУЦ УФСИН РОССИИ ПО МОСКОВСКОЙ ОБЛАСТИ</v>
      </c>
      <c r="B8073" s="24" t="s">
        <v>2525</v>
      </c>
      <c r="C8073" s="25">
        <v>499875</v>
      </c>
      <c r="D8073" s="22" t="s">
        <v>11910</v>
      </c>
      <c r="E8073" s="22" t="s">
        <v>48</v>
      </c>
      <c r="F8073" s="23" t="str">
        <f>HYPERLINK("https://www.spark-marketing.ru/Card/Lot/72714031", "услуги по организации питания слушателей, прибывающих на специальное первоначальное обучение")</f>
        <v>услуги по организации питания слушателей, прибывающих на специальное первоначальное обучение</v>
      </c>
      <c r="G8073" s="22" t="s">
        <v>49</v>
      </c>
      <c r="H8073" s="22" t="s">
        <v>742</v>
      </c>
      <c r="I8073" s="26">
        <v>43686.600601851896</v>
      </c>
      <c r="J8073" s="23" t="str">
        <f>HYPERLINK("https://www.spark-marketing.ru/Card/Person/5909954", "Кан Юрий Иннокентьевич")</f>
        <v>Кан Юрий Иннокентьевич</v>
      </c>
      <c r="K8073" s="24" t="s">
        <v>2527</v>
      </c>
      <c r="L8073" s="22" t="s">
        <v>10</v>
      </c>
      <c r="M8073" s="28" t="s">
        <v>51</v>
      </c>
      <c r="N8073" s="28" t="s">
        <v>51</v>
      </c>
    </row>
    <row r="8074" spans="1:14" collapsed="1" x14ac:dyDescent="0.15">
      <c r="A8074" s="23" t="str">
        <f>HYPERLINK("https://www.spark-marketing.ru/Card/Person/22827", "УМВД РОССИИ ПО ГОРОДУ АСТРАХАНИ")</f>
        <v>УМВД РОССИИ ПО ГОРОДУ АСТРАХАНИ</v>
      </c>
      <c r="B8074" s="24" t="s">
        <v>11852</v>
      </c>
      <c r="C8074" s="25">
        <v>7516960</v>
      </c>
      <c r="D8074" s="22" t="s">
        <v>11911</v>
      </c>
      <c r="E8074" s="22" t="s">
        <v>48</v>
      </c>
      <c r="F8074" s="23" t="str">
        <f>HYPERLINK("https://www.spark-marketing.ru/Card/Lot/72715750", "Оказание услуг по организации горячего питания для лиц, содержащихся в ИВС УМВД России по городу Астрахани, Специальном приемнике для лиц, подвергнутых административному аресту УМВД России по городу Астрахани, а также содержащихся в комнатах для соде...")</f>
        <v>Оказание услуг по организации горячего питания для лиц, содержащихся в ИВС УМВД России по городу Астрахани, Специальном приемнике для лиц, подвергнутых административному аресту УМВД России по городу Астрахани, а также содержащихся в комнатах для соде...</v>
      </c>
      <c r="G8074" s="22" t="s">
        <v>141</v>
      </c>
      <c r="H8074" s="22" t="s">
        <v>141</v>
      </c>
      <c r="I8074" s="26">
        <v>43686.598773148202</v>
      </c>
      <c r="J8074" s="28" t="s">
        <v>51</v>
      </c>
      <c r="K8074" s="28" t="s">
        <v>51</v>
      </c>
      <c r="L8074" s="28" t="s">
        <v>51</v>
      </c>
      <c r="M8074" s="28" t="s">
        <v>51</v>
      </c>
      <c r="N8074" s="28" t="s">
        <v>51</v>
      </c>
    </row>
    <row r="8075" spans="1:14" ht="12.75" hidden="1" outlineLevel="1" x14ac:dyDescent="0.2">
      <c r="A8075" s="23" t="str">
        <f>HYPERLINK("https://www.spark-marketing.ru/Card/Person/22827", "УМВД РОССИИ ПО ГОРОДУ АСТРАХАНИ")</f>
        <v>УМВД РОССИИ ПО ГОРОДУ АСТРАХАНИ</v>
      </c>
      <c r="B8075" s="24" t="s">
        <v>11852</v>
      </c>
      <c r="C8075" s="25">
        <v>7516960</v>
      </c>
      <c r="D8075" s="22" t="s">
        <v>11911</v>
      </c>
      <c r="E8075" s="22" t="s">
        <v>48</v>
      </c>
      <c r="F8075" s="23" t="str">
        <f>HYPERLINK("https://www.spark-marketing.ru/Card/Lot/72715750", "Оказание услуг по организации горячего питания для лиц, содержащихся в ИВС УМВД России по городу Астрахани, Специальном приемнике для лиц, подвергнутых административному аресту УМВД России по городу Астрахани, а также содержащихся в комнатах для соде...")</f>
        <v>Оказание услуг по организации горячего питания для лиц, содержащихся в ИВС УМВД России по городу Астрахани, Специальном приемнике для лиц, подвергнутых административному аресту УМВД России по городу Астрахани, а также содержащихся в комнатах для соде...</v>
      </c>
      <c r="G8075" s="22" t="s">
        <v>141</v>
      </c>
      <c r="H8075" s="22" t="s">
        <v>141</v>
      </c>
      <c r="I8075" s="26">
        <v>43686.598773148202</v>
      </c>
      <c r="J8075" s="23" t="str">
        <f>HYPERLINK("https://www.spark-marketing.ru/Card/Person/242503", "ООО ""ФЕНИКС""")</f>
        <v>ООО "ФЕНИКС"</v>
      </c>
      <c r="K8075" s="24" t="s">
        <v>2451</v>
      </c>
      <c r="L8075" s="22" t="s">
        <v>10</v>
      </c>
      <c r="M8075" s="25">
        <v>4284667.2</v>
      </c>
      <c r="N8075" s="27">
        <v>0.43</v>
      </c>
    </row>
    <row r="8076" spans="1:14" hidden="1" outlineLevel="1" x14ac:dyDescent="0.2">
      <c r="A8076" s="23" t="str">
        <f>HYPERLINK("https://www.spark-marketing.ru/Card/Person/22827", "УМВД РОССИИ ПО ГОРОДУ АСТРАХАНИ")</f>
        <v>УМВД РОССИИ ПО ГОРОДУ АСТРАХАНИ</v>
      </c>
      <c r="B8076" s="24" t="s">
        <v>11852</v>
      </c>
      <c r="C8076" s="25">
        <v>7516960</v>
      </c>
      <c r="D8076" s="22" t="s">
        <v>11911</v>
      </c>
      <c r="E8076" s="22" t="s">
        <v>48</v>
      </c>
      <c r="F8076" s="23" t="str">
        <f>HYPERLINK("https://www.spark-marketing.ru/Card/Lot/72715750", "Оказание услуг по организации горячего питания для лиц, содержащихся в ИВС УМВД России по городу Астрахани, Специальном приемнике для лиц, подвергнутых административному аресту УМВД России по городу Астрахани, а также содержащихся в комнатах для соде...")</f>
        <v>Оказание услуг по организации горячего питания для лиц, содержащихся в ИВС УМВД России по городу Астрахани, Специальном приемнике для лиц, подвергнутых административному аресту УМВД России по городу Астрахани, а также содержащихся в комнатах для соде...</v>
      </c>
      <c r="G8076" s="22" t="s">
        <v>141</v>
      </c>
      <c r="H8076" s="22" t="s">
        <v>141</v>
      </c>
      <c r="I8076" s="26">
        <v>43686.598773148202</v>
      </c>
      <c r="J8076" s="23" t="str">
        <f>HYPERLINK("https://www.spark-marketing.ru/Card/Person/6618416", "Мамедов Заур Эльдар Оглы")</f>
        <v>Мамедов Заур Эльдар Оглы</v>
      </c>
      <c r="K8076" s="24" t="s">
        <v>2452</v>
      </c>
      <c r="L8076" s="28" t="s">
        <v>51</v>
      </c>
      <c r="M8076" s="25">
        <v>4322252</v>
      </c>
      <c r="N8076" s="27">
        <v>0.42499999999999999</v>
      </c>
    </row>
    <row r="8077" spans="1:14" collapsed="1" x14ac:dyDescent="0.15">
      <c r="A8077" s="23" t="str">
        <f>HYPERLINK("https://www.spark-marketing.ru/Card/Person/9479", "ГБУЗ АО ""АОПТД""")</f>
        <v>ГБУЗ АО "АОПТД"</v>
      </c>
      <c r="B8077" s="24" t="s">
        <v>11912</v>
      </c>
      <c r="C8077" s="25">
        <v>435279.7</v>
      </c>
      <c r="D8077" s="22" t="s">
        <v>11913</v>
      </c>
      <c r="E8077" s="22" t="s">
        <v>62</v>
      </c>
      <c r="F8077" s="23" t="str">
        <f>HYPERLINK("https://www.spark-marketing.ru/Card/Lot/72696039", "Поставка бланочной продукции")</f>
        <v>Поставка бланочной продукции</v>
      </c>
      <c r="G8077" s="22" t="s">
        <v>210</v>
      </c>
      <c r="H8077" s="22" t="s">
        <v>3257</v>
      </c>
      <c r="I8077" s="26">
        <v>43686.598692129599</v>
      </c>
      <c r="J8077" s="28" t="s">
        <v>51</v>
      </c>
      <c r="K8077" s="28" t="s">
        <v>51</v>
      </c>
      <c r="L8077" s="28" t="s">
        <v>51</v>
      </c>
      <c r="M8077" s="28" t="s">
        <v>51</v>
      </c>
      <c r="N8077" s="28" t="s">
        <v>51</v>
      </c>
    </row>
    <row r="8078" spans="1:14" hidden="1" outlineLevel="1" x14ac:dyDescent="0.2">
      <c r="A8078" s="23" t="str">
        <f>HYPERLINK("https://www.spark-marketing.ru/Card/Person/9479", "ГБУЗ АО ""АОПТД""")</f>
        <v>ГБУЗ АО "АОПТД"</v>
      </c>
      <c r="B8078" s="24" t="s">
        <v>11912</v>
      </c>
      <c r="C8078" s="25">
        <v>435279.7</v>
      </c>
      <c r="D8078" s="22" t="s">
        <v>11913</v>
      </c>
      <c r="E8078" s="22" t="s">
        <v>62</v>
      </c>
      <c r="F8078" s="23" t="str">
        <f>HYPERLINK("https://www.spark-marketing.ru/Card/Lot/72696039", "Поставка бланочной продукции")</f>
        <v>Поставка бланочной продукции</v>
      </c>
      <c r="G8078" s="22" t="s">
        <v>210</v>
      </c>
      <c r="H8078" s="22" t="s">
        <v>3257</v>
      </c>
      <c r="I8078" s="26">
        <v>43686.598692129599</v>
      </c>
      <c r="J8078" s="23" t="str">
        <f>HYPERLINK("https://www.spark-marketing.ru/Card/Person/186080", "ООО ""АМУРПРИНТ""")</f>
        <v>ООО "АМУРПРИНТ"</v>
      </c>
      <c r="K8078" s="24" t="s">
        <v>11914</v>
      </c>
      <c r="L8078" s="28" t="s">
        <v>51</v>
      </c>
      <c r="M8078" s="25">
        <v>428750.5</v>
      </c>
      <c r="N8078" s="27">
        <v>1.5000010338180256E-2</v>
      </c>
    </row>
    <row r="8079" spans="1:14" ht="12.75" hidden="1" outlineLevel="1" x14ac:dyDescent="0.2">
      <c r="A8079" s="23" t="str">
        <f>HYPERLINK("https://www.spark-marketing.ru/Card/Person/9479", "ГБУЗ АО ""АОПТД""")</f>
        <v>ГБУЗ АО "АОПТД"</v>
      </c>
      <c r="B8079" s="24" t="s">
        <v>11912</v>
      </c>
      <c r="C8079" s="25">
        <v>435279.7</v>
      </c>
      <c r="D8079" s="22" t="s">
        <v>11913</v>
      </c>
      <c r="E8079" s="22" t="s">
        <v>62</v>
      </c>
      <c r="F8079" s="23" t="str">
        <f>HYPERLINK("https://www.spark-marketing.ru/Card/Lot/72696039", "Поставка бланочной продукции")</f>
        <v>Поставка бланочной продукции</v>
      </c>
      <c r="G8079" s="22" t="s">
        <v>210</v>
      </c>
      <c r="H8079" s="22" t="s">
        <v>3257</v>
      </c>
      <c r="I8079" s="26">
        <v>43686.598692129599</v>
      </c>
      <c r="J8079" s="23" t="str">
        <f>HYPERLINK("https://www.spark-marketing.ru/Card/Person/315383", "ООО ""ИПК ""ОДЕОН""")</f>
        <v>ООО "ИПК "ОДЕОН"</v>
      </c>
      <c r="K8079" s="24" t="s">
        <v>11915</v>
      </c>
      <c r="L8079" s="22" t="s">
        <v>10</v>
      </c>
      <c r="M8079" s="25">
        <v>158876.98000000001</v>
      </c>
      <c r="N8079" s="27">
        <v>0.63500025385975956</v>
      </c>
    </row>
    <row r="8080" spans="1:14" hidden="1" outlineLevel="1" x14ac:dyDescent="0.2">
      <c r="A8080" s="23" t="str">
        <f>HYPERLINK("https://www.spark-marketing.ru/Card/Person/9479", "ГБУЗ АО ""АОПТД""")</f>
        <v>ГБУЗ АО "АОПТД"</v>
      </c>
      <c r="B8080" s="24" t="s">
        <v>11912</v>
      </c>
      <c r="C8080" s="25">
        <v>435279.7</v>
      </c>
      <c r="D8080" s="22" t="s">
        <v>11913</v>
      </c>
      <c r="E8080" s="22" t="s">
        <v>62</v>
      </c>
      <c r="F8080" s="23" t="str">
        <f>HYPERLINK("https://www.spark-marketing.ru/Card/Lot/72696039", "Поставка бланочной продукции")</f>
        <v>Поставка бланочной продукции</v>
      </c>
      <c r="G8080" s="22" t="s">
        <v>210</v>
      </c>
      <c r="H8080" s="22" t="s">
        <v>3257</v>
      </c>
      <c r="I8080" s="26">
        <v>43686.598692129599</v>
      </c>
      <c r="J8080" s="23" t="str">
        <f>HYPERLINK("https://www.spark-marketing.ru/Card/Person/1233520", "ООО ""ДЕЛЬТА""")</f>
        <v>ООО "ДЕЛЬТА"</v>
      </c>
      <c r="K8080" s="24" t="s">
        <v>11916</v>
      </c>
      <c r="L8080" s="28" t="s">
        <v>51</v>
      </c>
      <c r="M8080" s="25">
        <v>161053.38</v>
      </c>
      <c r="N8080" s="27">
        <v>0.63000025041369956</v>
      </c>
    </row>
    <row r="8081" spans="1:14" x14ac:dyDescent="0.15">
      <c r="A8081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8081" s="24" t="s">
        <v>6728</v>
      </c>
      <c r="C8081" s="25">
        <v>680000</v>
      </c>
      <c r="D8081" s="22" t="s">
        <v>11917</v>
      </c>
      <c r="E8081" s="22" t="s">
        <v>48</v>
      </c>
      <c r="F8081" s="23" t="str">
        <f>HYPERLINK("https://www.spark-marketing.ru/Card/Lot/72706951", "оказание услуг по обеспечению 3-х разовым ежедневным горячим питанием лиц, содержащихся в изоляторе временного содержания подозреваемых и обвиняемых, а также административно арестованных  Отдела Министерства внутренних дел Российской Федерации по Ема...")</f>
        <v>оказание услуг по обеспечению 3-х разовым ежедневным горячим питанием лиц, содержащихся в изоляторе временного содержания подозреваемых и обвиняемых, а также административно арестованных  Отдела Министерства внутренних дел Российской Федерации по Ема...</v>
      </c>
      <c r="G8081" s="22" t="s">
        <v>469</v>
      </c>
      <c r="H8081" s="22" t="s">
        <v>6730</v>
      </c>
      <c r="I8081" s="26">
        <v>43686.562962962998</v>
      </c>
      <c r="J8081" s="28" t="s">
        <v>51</v>
      </c>
      <c r="K8081" s="28" t="s">
        <v>51</v>
      </c>
      <c r="L8081" s="28" t="s">
        <v>51</v>
      </c>
      <c r="M8081" s="28" t="s">
        <v>51</v>
      </c>
      <c r="N8081" s="28" t="s">
        <v>51</v>
      </c>
    </row>
    <row r="8082" spans="1:14" x14ac:dyDescent="0.15">
      <c r="A8082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8082" s="24" t="s">
        <v>6728</v>
      </c>
      <c r="C8082" s="25">
        <v>680000</v>
      </c>
      <c r="D8082" s="22" t="s">
        <v>11918</v>
      </c>
      <c r="E8082" s="22" t="s">
        <v>48</v>
      </c>
      <c r="F8082" s="23" t="str">
        <f>HYPERLINK("https://www.spark-marketing.ru/Card/Lot/72706952", "Услуги по обеспечению питанием, осуществляемые по договору, прочие (услуги по обеспечению 3-х разовым ежедневным горячим питанием лиц, содержащихся в изоляторе временного содержания подозреваемых и обвиняемых, и административно задержанных отдела МВД...")</f>
        <v>Услуги по обеспечению питанием, осуществляемые по договору, прочие (услуги по обеспечению 3-х разовым ежедневным горячим питанием лиц, содержащихся в изоляторе временного содержания подозреваемых и обвиняемых, и административно задержанных отдела МВД...</v>
      </c>
      <c r="G8082" s="22" t="s">
        <v>469</v>
      </c>
      <c r="H8082" s="22" t="s">
        <v>6730</v>
      </c>
      <c r="I8082" s="26">
        <v>43686.566643518498</v>
      </c>
      <c r="J8082" s="28" t="s">
        <v>51</v>
      </c>
      <c r="K8082" s="28" t="s">
        <v>51</v>
      </c>
      <c r="L8082" s="28" t="s">
        <v>51</v>
      </c>
      <c r="M8082" s="28" t="s">
        <v>51</v>
      </c>
      <c r="N8082" s="28" t="s">
        <v>51</v>
      </c>
    </row>
    <row r="8083" spans="1:14" x14ac:dyDescent="0.15">
      <c r="A8083" s="23" t="str">
        <f>HYPERLINK("https://www.spark-marketing.ru/Card/Person/125413", "ОТДЕЛ МВД РОССИИ ПО Г. НОВОШАХТИНСКУ")</f>
        <v>ОТДЕЛ МВД РОССИИ ПО Г. НОВОШАХТИНСКУ</v>
      </c>
      <c r="B8083" s="24" t="s">
        <v>5055</v>
      </c>
      <c r="C8083" s="25">
        <v>278999.7</v>
      </c>
      <c r="D8083" s="22" t="s">
        <v>11919</v>
      </c>
      <c r="E8083" s="22" t="s">
        <v>48</v>
      </c>
      <c r="F8083" s="23" t="str">
        <f>HYPERLINK("https://www.spark-marketing.ru/Card/Lot/72702577",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8083" s="22" t="s">
        <v>267</v>
      </c>
      <c r="H8083" s="22" t="s">
        <v>5057</v>
      </c>
      <c r="I8083" s="26">
        <v>43686.534895833298</v>
      </c>
      <c r="J8083" s="28" t="s">
        <v>51</v>
      </c>
      <c r="K8083" s="28" t="s">
        <v>51</v>
      </c>
      <c r="L8083" s="28" t="s">
        <v>51</v>
      </c>
      <c r="M8083" s="28" t="s">
        <v>51</v>
      </c>
      <c r="N8083" s="28" t="s">
        <v>51</v>
      </c>
    </row>
    <row r="8084" spans="1:14" x14ac:dyDescent="0.15">
      <c r="A8084" s="23" t="str">
        <f>HYPERLINK("https://www.spark-marketing.ru/Card/Person/1009899", "МБОУ ""СОШ № 2 Г. НИКОЛЬСКА""")</f>
        <v>МБОУ "СОШ № 2 Г. НИКОЛЬСКА"</v>
      </c>
      <c r="B8084" s="24" t="s">
        <v>11920</v>
      </c>
      <c r="C8084" s="25">
        <v>1696068</v>
      </c>
      <c r="D8084" s="22" t="s">
        <v>11921</v>
      </c>
      <c r="E8084" s="22" t="s">
        <v>51</v>
      </c>
      <c r="F8084" s="23" t="str">
        <f>HYPERLINK("https://www.spark-marketing.ru/Card/Lot/72716099", "Услуги по обеспечению питанием, осуществляемые по договору")</f>
        <v>Услуги по обеспечению питанием, осуществляемые по договору</v>
      </c>
      <c r="G8084" s="22" t="s">
        <v>503</v>
      </c>
      <c r="H8084" s="22" t="s">
        <v>503</v>
      </c>
      <c r="I8084" s="26">
        <v>43686.500381944403</v>
      </c>
      <c r="J8084" s="23" t="str">
        <f>HYPERLINK("https://www.spark-marketing.ru/Card/Person/239087", "ООО ""МЕРИДИАН""")</f>
        <v>ООО "МЕРИДИАН"</v>
      </c>
      <c r="K8084" s="24" t="s">
        <v>11922</v>
      </c>
      <c r="L8084" s="22" t="s">
        <v>10</v>
      </c>
      <c r="M8084" s="28" t="s">
        <v>51</v>
      </c>
      <c r="N8084" s="28" t="s">
        <v>51</v>
      </c>
    </row>
    <row r="8085" spans="1:14" x14ac:dyDescent="0.15">
      <c r="A8085" s="23" t="str">
        <f>HYPERLINK("https://www.spark-marketing.ru/Card/Person/81958", "МЕЖМУНИЦИПАЛЬНЫЙ ОТДЕЛ МВД РОССИИ ""ГУБАХИНСКИЙ""")</f>
        <v>МЕЖМУНИЦИПАЛЬНЫЙ ОТДЕЛ МВД РОССИИ "ГУБАХИНСКИЙ"</v>
      </c>
      <c r="B8085" s="24" t="s">
        <v>9521</v>
      </c>
      <c r="C8085" s="25">
        <v>2109998.14</v>
      </c>
      <c r="D8085" s="22" t="s">
        <v>11923</v>
      </c>
      <c r="E8085" s="22" t="s">
        <v>48</v>
      </c>
      <c r="F8085" s="23" t="str">
        <f>HYPERLINK("https://www.spark-marketing.ru/Card/Lot/72721142", "Оказание услуг по поставке трехразового горячего питания для лиц, содержащихся в СПАА и в специальном помещении для задержанных лиц ДЧ")</f>
        <v>Оказание услуг по поставке трехразового горячего питания для лиц, содержащихся в СПАА и в специальном помещении для задержанных лиц ДЧ</v>
      </c>
      <c r="G8085" s="22" t="s">
        <v>153</v>
      </c>
      <c r="H8085" s="22" t="s">
        <v>11470</v>
      </c>
      <c r="I8085" s="26">
        <v>43686.5159837963</v>
      </c>
      <c r="J8085" s="23" t="str">
        <f>HYPERLINK("https://www.spark-marketing.ru/Card/Person/358098", "ООО ""УРАЛСТРОЙ""")</f>
        <v>ООО "УРАЛСТРОЙ"</v>
      </c>
      <c r="K8085" s="24" t="s">
        <v>11471</v>
      </c>
      <c r="L8085" s="22" t="s">
        <v>10</v>
      </c>
      <c r="M8085" s="28" t="s">
        <v>51</v>
      </c>
      <c r="N8085" s="28" t="s">
        <v>51</v>
      </c>
    </row>
    <row r="8086" spans="1:14" x14ac:dyDescent="0.15">
      <c r="A8086" s="23" t="str">
        <f>HYPERLINK("https://www.spark-marketing.ru/Card/Person/1014339", "МБОУ СОШ № 2")</f>
        <v>МБОУ СОШ № 2</v>
      </c>
      <c r="B8086" s="24" t="s">
        <v>6515</v>
      </c>
      <c r="C8086" s="25">
        <v>2766720</v>
      </c>
      <c r="D8086" s="22" t="s">
        <v>11924</v>
      </c>
      <c r="E8086" s="22" t="s">
        <v>48</v>
      </c>
      <c r="F8086" s="23" t="str">
        <f>HYPERLINK("https://www.spark-marketing.ru/Card/Lot/72702017", "Оказание услуг по организации питания льготной категории")</f>
        <v>Оказание услуг по организации питания льготной категории</v>
      </c>
      <c r="G8086" s="22" t="s">
        <v>97</v>
      </c>
      <c r="H8086" s="22" t="s">
        <v>1127</v>
      </c>
      <c r="I8086" s="26">
        <v>43686.503321759301</v>
      </c>
      <c r="J8086" s="23" t="str">
        <f>HYPERLINK("https://www.spark-marketing.ru/Card/Person/930688", "УП ""КОМБИНАТ ОБЩЕСТВЕННОГО ПИТАНИЯ"" ГОРОДА РАДУЖНЫЙ")</f>
        <v>УП "КОМБИНАТ ОБЩЕСТВЕННОГО ПИТАНИЯ" ГОРОДА РАДУЖНЫЙ</v>
      </c>
      <c r="K8086" s="24" t="s">
        <v>1428</v>
      </c>
      <c r="L8086" s="22" t="s">
        <v>10</v>
      </c>
      <c r="M8086" s="28" t="s">
        <v>51</v>
      </c>
      <c r="N8086" s="28" t="s">
        <v>51</v>
      </c>
    </row>
    <row r="8087" spans="1:14" x14ac:dyDescent="0.15">
      <c r="A8087" s="23" t="str">
        <f>HYPERLINK("https://www.spark-marketing.ru/Card/Person/124293", "ГОБОУ ЦИО")</f>
        <v>ГОБОУ ЦИО</v>
      </c>
      <c r="B8087" s="24" t="s">
        <v>11925</v>
      </c>
      <c r="C8087" s="25">
        <v>719452</v>
      </c>
      <c r="D8087" s="22" t="s">
        <v>11926</v>
      </c>
      <c r="E8087" s="22" t="s">
        <v>48</v>
      </c>
      <c r="F8087" s="23" t="str">
        <f>HYPERLINK("https://www.spark-marketing.ru/Card/Lot/72705088", "Оказания услуг по организации питания обучающихся с ограниченными возможностями здоровья")</f>
        <v>Оказания услуг по организации питания обучающихся с ограниченными возможностями здоровья</v>
      </c>
      <c r="G8087" s="22" t="s">
        <v>849</v>
      </c>
      <c r="H8087" s="22" t="s">
        <v>7002</v>
      </c>
      <c r="I8087" s="26">
        <v>43686.512152777803</v>
      </c>
      <c r="J8087" s="23" t="str">
        <f>HYPERLINK("https://www.spark-marketing.ru/Card/Person/17228", "ООО ""МЕД-ФУД""")</f>
        <v>ООО "МЕД-ФУД"</v>
      </c>
      <c r="K8087" s="24" t="s">
        <v>9686</v>
      </c>
      <c r="L8087" s="22" t="s">
        <v>10</v>
      </c>
      <c r="M8087" s="28" t="s">
        <v>51</v>
      </c>
      <c r="N8087" s="28" t="s">
        <v>51</v>
      </c>
    </row>
    <row r="8088" spans="1:14" collapsed="1" x14ac:dyDescent="0.15">
      <c r="A8088" s="23" t="s">
        <v>114</v>
      </c>
      <c r="B8088" s="28" t="s">
        <v>51</v>
      </c>
      <c r="C8088" s="25">
        <v>4335891.96</v>
      </c>
      <c r="D8088" s="22" t="s">
        <v>11927</v>
      </c>
      <c r="E8088" s="22" t="s">
        <v>48</v>
      </c>
      <c r="F8088" s="23" t="str">
        <f t="shared" ref="F8088:F8096" si="181">HYPERLINK("https://www.spark-marketing.ru/Card/Lot/72706257", "Оказание услуг по организации горячего питания детей, обучающихся в муниципальных бюджетных общеобразовательных учреждениях г. Протвино на 2-е полугодие 2019 года")</f>
        <v>Оказание услуг по организации горячего питания детей, обучающихся в муниципальных бюджетных общеобразовательных учреждениях г. Протвино на 2-е полугодие 2019 года</v>
      </c>
      <c r="G8088" s="22" t="s">
        <v>51</v>
      </c>
      <c r="H8088" s="22" t="s">
        <v>51</v>
      </c>
      <c r="I8088" s="26">
        <v>43686.5171064815</v>
      </c>
      <c r="J8088" s="28" t="s">
        <v>51</v>
      </c>
      <c r="K8088" s="28" t="s">
        <v>51</v>
      </c>
      <c r="L8088" s="28" t="s">
        <v>51</v>
      </c>
      <c r="M8088" s="28" t="s">
        <v>51</v>
      </c>
      <c r="N8088" s="28" t="s">
        <v>51</v>
      </c>
    </row>
    <row r="8089" spans="1:14" hidden="1" outlineLevel="1" x14ac:dyDescent="0.15">
      <c r="A8089" s="23" t="str">
        <f>HYPERLINK("https://www.spark-marketing.ru/Card/Person/147224", "МБОУ ""СРЕДНЯЯ ОБЩЕОБРАЗОВАТЕЛЬНАЯ ШКОЛА № 1""")</f>
        <v>МБОУ "СРЕДНЯЯ ОБЩЕОБРАЗОВАТЕЛЬНАЯ ШКОЛА № 1"</v>
      </c>
      <c r="B8089" s="24" t="s">
        <v>11928</v>
      </c>
      <c r="C8089" s="25">
        <v>931909.72</v>
      </c>
      <c r="D8089" s="22" t="s">
        <v>11927</v>
      </c>
      <c r="E8089" s="22" t="s">
        <v>48</v>
      </c>
      <c r="F8089" s="23" t="str">
        <f t="shared" si="181"/>
        <v>Оказание услуг по организации горячего питания детей, обучающихся в муниципальных бюджетных общеобразовательных учреждениях г. Протвино на 2-е полугодие 2019 года</v>
      </c>
      <c r="G8089" s="22" t="s">
        <v>49</v>
      </c>
      <c r="H8089" s="22" t="s">
        <v>11929</v>
      </c>
      <c r="I8089" s="26">
        <v>43686.5171064815</v>
      </c>
      <c r="J8089" s="28" t="s">
        <v>51</v>
      </c>
      <c r="K8089" s="28" t="s">
        <v>51</v>
      </c>
      <c r="L8089" s="28" t="s">
        <v>51</v>
      </c>
      <c r="M8089" s="28" t="s">
        <v>51</v>
      </c>
      <c r="N8089" s="28" t="s">
        <v>51</v>
      </c>
    </row>
    <row r="8090" spans="1:14" hidden="1" outlineLevel="1" x14ac:dyDescent="0.15">
      <c r="A8090" s="23" t="str">
        <f>HYPERLINK("https://www.spark-marketing.ru/Card/Person/998462", "МБОУ ""СОШ №3""")</f>
        <v>МБОУ "СОШ №3"</v>
      </c>
      <c r="B8090" s="24" t="s">
        <v>11930</v>
      </c>
      <c r="C8090" s="25">
        <v>851987.36</v>
      </c>
      <c r="D8090" s="22" t="s">
        <v>11927</v>
      </c>
      <c r="E8090" s="22" t="s">
        <v>48</v>
      </c>
      <c r="F8090" s="23" t="str">
        <f t="shared" si="181"/>
        <v>Оказание услуг по организации горячего питания детей, обучающихся в муниципальных бюджетных общеобразовательных учреждениях г. Протвино на 2-е полугодие 2019 года</v>
      </c>
      <c r="G8090" s="22" t="s">
        <v>49</v>
      </c>
      <c r="H8090" s="22" t="s">
        <v>11929</v>
      </c>
      <c r="I8090" s="26">
        <v>43686.5171064815</v>
      </c>
      <c r="J8090" s="28" t="s">
        <v>51</v>
      </c>
      <c r="K8090" s="28" t="s">
        <v>51</v>
      </c>
      <c r="L8090" s="28" t="s">
        <v>51</v>
      </c>
      <c r="M8090" s="28" t="s">
        <v>51</v>
      </c>
      <c r="N8090" s="28" t="s">
        <v>51</v>
      </c>
    </row>
    <row r="8091" spans="1:14" hidden="1" outlineLevel="1" x14ac:dyDescent="0.15">
      <c r="A8091" s="23" t="str">
        <f>HYPERLINK("https://www.spark-marketing.ru/Card/Person/1000261", "МБОУ ""ЛИЦЕЙ № 2""")</f>
        <v>МБОУ "ЛИЦЕЙ № 2"</v>
      </c>
      <c r="B8091" s="24" t="s">
        <v>11931</v>
      </c>
      <c r="C8091" s="25">
        <v>868053</v>
      </c>
      <c r="D8091" s="22" t="s">
        <v>11927</v>
      </c>
      <c r="E8091" s="22" t="s">
        <v>48</v>
      </c>
      <c r="F8091" s="23" t="str">
        <f t="shared" si="181"/>
        <v>Оказание услуг по организации горячего питания детей, обучающихся в муниципальных бюджетных общеобразовательных учреждениях г. Протвино на 2-е полугодие 2019 года</v>
      </c>
      <c r="G8091" s="22" t="s">
        <v>49</v>
      </c>
      <c r="H8091" s="22" t="s">
        <v>11929</v>
      </c>
      <c r="I8091" s="26">
        <v>43686.5171064815</v>
      </c>
      <c r="J8091" s="28" t="s">
        <v>51</v>
      </c>
      <c r="K8091" s="28" t="s">
        <v>51</v>
      </c>
      <c r="L8091" s="28" t="s">
        <v>51</v>
      </c>
      <c r="M8091" s="28" t="s">
        <v>51</v>
      </c>
      <c r="N8091" s="28" t="s">
        <v>51</v>
      </c>
    </row>
    <row r="8092" spans="1:14" hidden="1" outlineLevel="1" x14ac:dyDescent="0.15">
      <c r="A8092" s="23" t="str">
        <f>HYPERLINK("https://www.spark-marketing.ru/Card/Person/1000990", "МБОУ ""ГИМНАЗИЯ""")</f>
        <v>МБОУ "ГИМНАЗИЯ"</v>
      </c>
      <c r="B8092" s="24" t="s">
        <v>11932</v>
      </c>
      <c r="C8092" s="25">
        <v>988596.6</v>
      </c>
      <c r="D8092" s="22" t="s">
        <v>11927</v>
      </c>
      <c r="E8092" s="22" t="s">
        <v>48</v>
      </c>
      <c r="F8092" s="23" t="str">
        <f t="shared" si="181"/>
        <v>Оказание услуг по организации горячего питания детей, обучающихся в муниципальных бюджетных общеобразовательных учреждениях г. Протвино на 2-е полугодие 2019 года</v>
      </c>
      <c r="G8092" s="22" t="s">
        <v>49</v>
      </c>
      <c r="H8092" s="22" t="s">
        <v>11929</v>
      </c>
      <c r="I8092" s="26">
        <v>43686.5171064815</v>
      </c>
      <c r="J8092" s="28" t="s">
        <v>51</v>
      </c>
      <c r="K8092" s="28" t="s">
        <v>51</v>
      </c>
      <c r="L8092" s="28" t="s">
        <v>51</v>
      </c>
      <c r="M8092" s="28" t="s">
        <v>51</v>
      </c>
      <c r="N8092" s="28" t="s">
        <v>51</v>
      </c>
    </row>
    <row r="8093" spans="1:14" hidden="1" outlineLevel="1" x14ac:dyDescent="0.15">
      <c r="A8093" s="23" t="str">
        <f>HYPERLINK("https://www.spark-marketing.ru/Card/Person/1005467", "МБОУ ""ЛИЦЕЙ""")</f>
        <v>МБОУ "ЛИЦЕЙ"</v>
      </c>
      <c r="B8093" s="24" t="s">
        <v>11933</v>
      </c>
      <c r="C8093" s="25">
        <v>695345.28</v>
      </c>
      <c r="D8093" s="22" t="s">
        <v>11927</v>
      </c>
      <c r="E8093" s="22" t="s">
        <v>48</v>
      </c>
      <c r="F8093" s="23" t="str">
        <f t="shared" si="181"/>
        <v>Оказание услуг по организации горячего питания детей, обучающихся в муниципальных бюджетных общеобразовательных учреждениях г. Протвино на 2-е полугодие 2019 года</v>
      </c>
      <c r="G8093" s="22" t="s">
        <v>49</v>
      </c>
      <c r="H8093" s="22" t="s">
        <v>11929</v>
      </c>
      <c r="I8093" s="26">
        <v>43686.5171064815</v>
      </c>
      <c r="J8093" s="28" t="s">
        <v>51</v>
      </c>
      <c r="K8093" s="28" t="s">
        <v>51</v>
      </c>
      <c r="L8093" s="28" t="s">
        <v>51</v>
      </c>
      <c r="M8093" s="28" t="s">
        <v>51</v>
      </c>
      <c r="N8093" s="28" t="s">
        <v>51</v>
      </c>
    </row>
    <row r="8094" spans="1:14" hidden="1" outlineLevel="1" x14ac:dyDescent="0.2">
      <c r="A8094" s="28" t="s">
        <v>51</v>
      </c>
      <c r="B8094" s="28" t="s">
        <v>51</v>
      </c>
      <c r="C8094" s="28" t="s">
        <v>51</v>
      </c>
      <c r="D8094" s="22" t="s">
        <v>11927</v>
      </c>
      <c r="E8094" s="22" t="s">
        <v>48</v>
      </c>
      <c r="F8094" s="23" t="str">
        <f t="shared" si="181"/>
        <v>Оказание услуг по организации горячего питания детей, обучающихся в муниципальных бюджетных общеобразовательных учреждениях г. Протвино на 2-е полугодие 2019 года</v>
      </c>
      <c r="G8094" s="22" t="s">
        <v>51</v>
      </c>
      <c r="H8094" s="22" t="s">
        <v>51</v>
      </c>
      <c r="I8094" s="26">
        <v>43686.5171064815</v>
      </c>
      <c r="J8094" s="23" t="str">
        <f>HYPERLINK("https://www.spark-marketing.ru/Card/Person/4349786", "ООО ""АМБАР""")</f>
        <v>ООО "АМБАР"</v>
      </c>
      <c r="K8094" s="24" t="s">
        <v>11934</v>
      </c>
      <c r="L8094" s="22" t="s">
        <v>10</v>
      </c>
      <c r="M8094" s="25">
        <v>1690997.86</v>
      </c>
      <c r="N8094" s="27">
        <v>0.61000000101478546</v>
      </c>
    </row>
    <row r="8095" spans="1:14" hidden="1" outlineLevel="1" x14ac:dyDescent="0.2">
      <c r="A8095" s="28" t="s">
        <v>51</v>
      </c>
      <c r="B8095" s="28" t="s">
        <v>51</v>
      </c>
      <c r="C8095" s="28" t="s">
        <v>51</v>
      </c>
      <c r="D8095" s="22" t="s">
        <v>11927</v>
      </c>
      <c r="E8095" s="22" t="s">
        <v>48</v>
      </c>
      <c r="F8095" s="23" t="str">
        <f t="shared" si="181"/>
        <v>Оказание услуг по организации горячего питания детей, обучающихся в муниципальных бюджетных общеобразовательных учреждениях г. Протвино на 2-е полугодие 2019 года</v>
      </c>
      <c r="G8095" s="22" t="s">
        <v>51</v>
      </c>
      <c r="H8095" s="22" t="s">
        <v>51</v>
      </c>
      <c r="I8095" s="26">
        <v>43686.5171064815</v>
      </c>
      <c r="J8095" s="23" t="str">
        <f>HYPERLINK("https://www.spark-marketing.ru/Card/Person/4471626", "ООО ""ОРС""")</f>
        <v>ООО "ОРС"</v>
      </c>
      <c r="K8095" s="24" t="s">
        <v>11935</v>
      </c>
      <c r="L8095" s="28" t="s">
        <v>51</v>
      </c>
      <c r="M8095" s="25">
        <v>1712677.32</v>
      </c>
      <c r="N8095" s="27">
        <v>0.6050000009686588</v>
      </c>
    </row>
    <row r="8096" spans="1:14" hidden="1" outlineLevel="1" x14ac:dyDescent="0.2">
      <c r="A8096" s="28" t="s">
        <v>51</v>
      </c>
      <c r="B8096" s="28" t="s">
        <v>51</v>
      </c>
      <c r="C8096" s="28" t="s">
        <v>51</v>
      </c>
      <c r="D8096" s="22" t="s">
        <v>11927</v>
      </c>
      <c r="E8096" s="22" t="s">
        <v>48</v>
      </c>
      <c r="F8096" s="23" t="str">
        <f t="shared" si="181"/>
        <v>Оказание услуг по организации горячего питания детей, обучающихся в муниципальных бюджетных общеобразовательных учреждениях г. Протвино на 2-е полугодие 2019 года</v>
      </c>
      <c r="G8096" s="22" t="s">
        <v>51</v>
      </c>
      <c r="H8096" s="22" t="s">
        <v>51</v>
      </c>
      <c r="I8096" s="26">
        <v>43686.5171064815</v>
      </c>
      <c r="J8096" s="23" t="str">
        <f>HYPERLINK("https://www.spark-marketing.ru/Card/Person/5861718", "Шишов Максим Владимирович")</f>
        <v>Шишов Максим Владимирович</v>
      </c>
      <c r="K8096" s="24" t="s">
        <v>11936</v>
      </c>
      <c r="L8096" s="28" t="s">
        <v>51</v>
      </c>
      <c r="M8096" s="25">
        <v>3369404.58</v>
      </c>
      <c r="N8096" s="27">
        <v>0.22290393508790288</v>
      </c>
    </row>
    <row r="8097" spans="1:14" x14ac:dyDescent="0.15">
      <c r="A8097" s="23" t="str">
        <f>HYPERLINK("https://www.spark-marketing.ru/Card/Person/123053", "ФКУ ИК-11 УФСИН РОССИИ ПО КУРСКОЙ ОБЛАСТИ")</f>
        <v>ФКУ ИК-11 УФСИН РОССИИ ПО КУРСКОЙ ОБЛАСТИ</v>
      </c>
      <c r="B8097" s="24" t="s">
        <v>11937</v>
      </c>
      <c r="C8097" s="25">
        <v>17750</v>
      </c>
      <c r="D8097" s="22" t="s">
        <v>11938</v>
      </c>
      <c r="E8097" s="22" t="s">
        <v>437</v>
      </c>
      <c r="F8097" s="23" t="str">
        <f>HYPERLINK("https://www.spark-marketing.ru/Card/Lot/72708213", "услуги по регистрации деклараций")</f>
        <v>услуги по регистрации деклараций</v>
      </c>
      <c r="G8097" s="22" t="s">
        <v>1111</v>
      </c>
      <c r="H8097" s="22" t="s">
        <v>11939</v>
      </c>
      <c r="I8097" s="26">
        <v>43686.470532407402</v>
      </c>
      <c r="J8097" s="28" t="s">
        <v>51</v>
      </c>
      <c r="K8097" s="28" t="s">
        <v>51</v>
      </c>
      <c r="L8097" s="28" t="s">
        <v>51</v>
      </c>
      <c r="M8097" s="28" t="s">
        <v>51</v>
      </c>
      <c r="N8097" s="28" t="s">
        <v>51</v>
      </c>
    </row>
    <row r="8098" spans="1:14" hidden="1" outlineLevel="1" x14ac:dyDescent="0.2">
      <c r="A8098" s="23" t="str">
        <f>HYPERLINK("https://www.spark-marketing.ru/Card/Person/123053", "ФКУ ИК-11 УФСИН РОССИИ ПО КУРСКОЙ ОБЛАСТИ")</f>
        <v>ФКУ ИК-11 УФСИН РОССИИ ПО КУРСКОЙ ОБЛАСТИ</v>
      </c>
      <c r="B8098" s="24" t="s">
        <v>11937</v>
      </c>
      <c r="C8098" s="25">
        <v>17750</v>
      </c>
      <c r="D8098" s="22" t="s">
        <v>11938</v>
      </c>
      <c r="E8098" s="22" t="s">
        <v>437</v>
      </c>
      <c r="F8098" s="23" t="str">
        <f>HYPERLINK("https://www.spark-marketing.ru/Card/Lot/72708213", "услуги по регистрации деклараций")</f>
        <v>услуги по регистрации деклараций</v>
      </c>
      <c r="G8098" s="22" t="s">
        <v>1111</v>
      </c>
      <c r="H8098" s="22" t="s">
        <v>11939</v>
      </c>
      <c r="I8098" s="26">
        <v>43686.470532407402</v>
      </c>
      <c r="J8098" s="23" t="str">
        <f>HYPERLINK("https://www.spark-marketing.ru/Card/Person/6514748", "ООО ""ГОЛДЕН ИМПОРТ""")</f>
        <v>ООО "ГОЛДЕН ИМПОРТ"</v>
      </c>
      <c r="K8098" s="24" t="s">
        <v>11940</v>
      </c>
      <c r="L8098" s="28" t="s">
        <v>51</v>
      </c>
      <c r="M8098" s="25">
        <v>4211.25</v>
      </c>
      <c r="N8098" s="27">
        <v>0.76274647887323943</v>
      </c>
    </row>
    <row r="8099" spans="1:14" ht="12.75" hidden="1" outlineLevel="1" x14ac:dyDescent="0.2">
      <c r="A8099" s="23" t="str">
        <f>HYPERLINK("https://www.spark-marketing.ru/Card/Person/123053", "ФКУ ИК-11 УФСИН РОССИИ ПО КУРСКОЙ ОБЛАСТИ")</f>
        <v>ФКУ ИК-11 УФСИН РОССИИ ПО КУРСКОЙ ОБЛАСТИ</v>
      </c>
      <c r="B8099" s="24" t="s">
        <v>11937</v>
      </c>
      <c r="C8099" s="25">
        <v>17750</v>
      </c>
      <c r="D8099" s="22" t="s">
        <v>11938</v>
      </c>
      <c r="E8099" s="22" t="s">
        <v>437</v>
      </c>
      <c r="F8099" s="23" t="str">
        <f>HYPERLINK("https://www.spark-marketing.ru/Card/Lot/72708213", "услуги по регистрации деклараций")</f>
        <v>услуги по регистрации деклараций</v>
      </c>
      <c r="G8099" s="22" t="s">
        <v>1111</v>
      </c>
      <c r="H8099" s="22" t="s">
        <v>11939</v>
      </c>
      <c r="I8099" s="26">
        <v>43686.470532407402</v>
      </c>
      <c r="J8099" s="23" t="str">
        <f>HYPERLINK("https://www.spark-marketing.ru/Card/Person/6436127", "ООО ""КЦС""")</f>
        <v>ООО "КЦС"</v>
      </c>
      <c r="K8099" s="24" t="s">
        <v>11941</v>
      </c>
      <c r="L8099" s="22" t="s">
        <v>10</v>
      </c>
      <c r="M8099" s="25">
        <v>4100</v>
      </c>
      <c r="N8099" s="27">
        <v>0.76901408450704223</v>
      </c>
    </row>
    <row r="8100" spans="1:14" x14ac:dyDescent="0.15">
      <c r="A8100" s="23" t="str">
        <f>HYPERLINK("https://www.spark-marketing.ru/Card/Person/642269", "ОТДЕЛ МВД РОССИИ ПО БЕЛЕБЕЕВСКОМУ РАЙОНУ")</f>
        <v>ОТДЕЛ МВД РОССИИ ПО БЕЛЕБЕЕВСКОМУ РАЙОНУ</v>
      </c>
      <c r="B8100" s="24" t="s">
        <v>11942</v>
      </c>
      <c r="C8100" s="25">
        <v>2400000</v>
      </c>
      <c r="D8100" s="22" t="s">
        <v>11943</v>
      </c>
      <c r="E8100" s="22" t="s">
        <v>48</v>
      </c>
      <c r="F8100" s="23" t="str">
        <f>HYPERLINK("https://www.spark-marketing.ru/Card/Lot/72702006", "Организация питания лиц, содержащихся в спецучреждениях")</f>
        <v>Организация питания лиц, содержащихся в спецучреждениях</v>
      </c>
      <c r="G8100" s="22" t="s">
        <v>145</v>
      </c>
      <c r="H8100" s="22" t="s">
        <v>11944</v>
      </c>
      <c r="I8100" s="26">
        <v>43686.460636574098</v>
      </c>
      <c r="J8100" s="23" t="str">
        <f>HYPERLINK("https://www.spark-marketing.ru/Card/Person/6686816", "Горячева Екатерина Алексеевна")</f>
        <v>Горячева Екатерина Алексеевна</v>
      </c>
      <c r="K8100" s="24" t="s">
        <v>11945</v>
      </c>
      <c r="L8100" s="22" t="s">
        <v>10</v>
      </c>
      <c r="M8100" s="28" t="s">
        <v>51</v>
      </c>
      <c r="N8100" s="28" t="s">
        <v>51</v>
      </c>
    </row>
    <row r="8101" spans="1:14" x14ac:dyDescent="0.15">
      <c r="A8101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8101" s="24" t="s">
        <v>11946</v>
      </c>
      <c r="C8101" s="25">
        <v>14198515</v>
      </c>
      <c r="D8101" s="22" t="s">
        <v>11947</v>
      </c>
      <c r="E8101" s="22" t="s">
        <v>48</v>
      </c>
      <c r="F8101" s="23" t="str">
        <f>HYPERLINK("https://www.spark-marketing.ru/Card/Lot/72706299", "Оказание услуг по обеспечению трёхразовым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Егорьевск")</f>
        <v>Оказание услуг по обеспечению трёхразовым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</v>
      </c>
      <c r="G8101" s="22" t="s">
        <v>49</v>
      </c>
      <c r="H8101" s="22" t="s">
        <v>49</v>
      </c>
      <c r="I8101" s="26">
        <v>43686.495057870401</v>
      </c>
      <c r="J8101" s="23" t="str">
        <f>HYPERLINK("https://www.spark-marketing.ru/Card/Person/6427430", "Хлопотова Ирина Анатольевна")</f>
        <v>Хлопотова Ирина Анатольевна</v>
      </c>
      <c r="K8101" s="24" t="s">
        <v>11948</v>
      </c>
      <c r="L8101" s="28" t="s">
        <v>51</v>
      </c>
      <c r="M8101" s="28" t="s">
        <v>51</v>
      </c>
      <c r="N8101" s="28" t="s">
        <v>51</v>
      </c>
    </row>
    <row r="8102" spans="1:14" hidden="1" outlineLevel="1" x14ac:dyDescent="0.15">
      <c r="A8102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8102" s="24" t="s">
        <v>11946</v>
      </c>
      <c r="C8102" s="25">
        <v>14198515</v>
      </c>
      <c r="D8102" s="22" t="s">
        <v>11947</v>
      </c>
      <c r="E8102" s="22" t="s">
        <v>48</v>
      </c>
      <c r="F8102" s="23" t="str">
        <f>HYPERLINK("https://www.spark-marketing.ru/Card/Lot/72706299", "Оказание услуг по обеспечению трёхразовым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Егорьевск")</f>
        <v>Оказание услуг по обеспечению трёхразовым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</v>
      </c>
      <c r="G8102" s="22" t="s">
        <v>49</v>
      </c>
      <c r="H8102" s="22" t="s">
        <v>49</v>
      </c>
      <c r="I8102" s="26">
        <v>43686.495057870401</v>
      </c>
      <c r="J8102" s="23" t="str">
        <f>HYPERLINK("https://www.spark-marketing.ru/Card/Person/6427430", "Хлопотова Ирина Анатольевна")</f>
        <v>Хлопотова Ирина Анатольевна</v>
      </c>
      <c r="K8102" s="24" t="s">
        <v>11948</v>
      </c>
      <c r="L8102" s="22" t="s">
        <v>10</v>
      </c>
      <c r="M8102" s="28" t="s">
        <v>51</v>
      </c>
      <c r="N8102" s="28" t="s">
        <v>51</v>
      </c>
    </row>
    <row r="8103" spans="1:14" x14ac:dyDescent="0.15">
      <c r="A8103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8103" s="24" t="s">
        <v>11946</v>
      </c>
      <c r="C8103" s="25">
        <v>10738515</v>
      </c>
      <c r="D8103" s="22" t="s">
        <v>11949</v>
      </c>
      <c r="E8103" s="22" t="s">
        <v>48</v>
      </c>
      <c r="F8103" s="23" t="str">
        <f>HYPERLINK("https://www.spark-marketing.ru/Card/Lot/72706200", "Оказание услуг по обеспечению трёхразовым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Егорьевск")</f>
        <v>Оказание услуг по обеспечению трёхразовым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</v>
      </c>
      <c r="G8103" s="22" t="s">
        <v>49</v>
      </c>
      <c r="H8103" s="22" t="s">
        <v>49</v>
      </c>
      <c r="I8103" s="26">
        <v>43686.4838310185</v>
      </c>
      <c r="J8103" s="28" t="s">
        <v>51</v>
      </c>
      <c r="K8103" s="28" t="s">
        <v>51</v>
      </c>
      <c r="L8103" s="28" t="s">
        <v>51</v>
      </c>
      <c r="M8103" s="28" t="s">
        <v>51</v>
      </c>
      <c r="N8103" s="28" t="s">
        <v>51</v>
      </c>
    </row>
    <row r="8104" spans="1:14" ht="12.75" hidden="1" outlineLevel="1" x14ac:dyDescent="0.2">
      <c r="A8104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8104" s="24" t="s">
        <v>11946</v>
      </c>
      <c r="C8104" s="25">
        <v>10738515</v>
      </c>
      <c r="D8104" s="22" t="s">
        <v>11949</v>
      </c>
      <c r="E8104" s="22" t="s">
        <v>48</v>
      </c>
      <c r="F8104" s="23" t="str">
        <f>HYPERLINK("https://www.spark-marketing.ru/Card/Lot/72706200", "Оказание услуг по обеспечению трёхразовым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Егорьевск")</f>
        <v>Оказание услуг по обеспечению трёхразовым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</v>
      </c>
      <c r="G8104" s="22" t="s">
        <v>49</v>
      </c>
      <c r="H8104" s="22" t="s">
        <v>49</v>
      </c>
      <c r="I8104" s="26">
        <v>43686.4838310185</v>
      </c>
      <c r="J8104" s="23" t="str">
        <f>HYPERLINK("https://www.spark-marketing.ru/Card/Person/6427430", "Хлопотова Ирина Анатольевна")</f>
        <v>Хлопотова Ирина Анатольевна</v>
      </c>
      <c r="K8104" s="24" t="s">
        <v>11948</v>
      </c>
      <c r="L8104" s="22" t="s">
        <v>10</v>
      </c>
      <c r="M8104" s="25">
        <v>1487.04</v>
      </c>
      <c r="N8104" s="27">
        <v>0.99986152275244766</v>
      </c>
    </row>
    <row r="8105" spans="1:14" hidden="1" outlineLevel="1" x14ac:dyDescent="0.2">
      <c r="A8105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8105" s="24" t="s">
        <v>11946</v>
      </c>
      <c r="C8105" s="25">
        <v>10738515</v>
      </c>
      <c r="D8105" s="22" t="s">
        <v>11949</v>
      </c>
      <c r="E8105" s="22" t="s">
        <v>48</v>
      </c>
      <c r="F8105" s="23" t="str">
        <f>HYPERLINK("https://www.spark-marketing.ru/Card/Lot/72706200", "Оказание услуг по обеспечению трёхразовым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Егорьевск")</f>
        <v>Оказание услуг по обеспечению трёхразовым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</v>
      </c>
      <c r="G8105" s="22" t="s">
        <v>49</v>
      </c>
      <c r="H8105" s="22" t="s">
        <v>49</v>
      </c>
      <c r="I8105" s="26">
        <v>43686.4838310185</v>
      </c>
      <c r="J8105" s="23" t="str">
        <f>HYPERLINK("https://www.spark-marketing.ru/Card/Person/4684100", "ООО ""ТЕХНОЛОГИИ ВКУСА""")</f>
        <v>ООО "ТЕХНОЛОГИИ ВКУСА"</v>
      </c>
      <c r="K8105" s="24" t="s">
        <v>9609</v>
      </c>
      <c r="L8105" s="28" t="s">
        <v>51</v>
      </c>
      <c r="M8105" s="25">
        <v>1497.74</v>
      </c>
      <c r="N8105" s="27">
        <v>0.99986052633907019</v>
      </c>
    </row>
    <row r="8106" spans="1:14" x14ac:dyDescent="0.15">
      <c r="A8106" s="23" t="str">
        <f>HYPERLINK("https://www.spark-marketing.ru/Card/Person/49629", "УМВД РОССИИ ПО УЛЬЯНОВСКОЙ ОБЛАСТИ")</f>
        <v>УМВД РОССИИ ПО УЛЬЯНОВСКОЙ ОБЛАСТИ</v>
      </c>
      <c r="B8106" s="24" t="s">
        <v>2757</v>
      </c>
      <c r="C8106" s="25">
        <v>200000</v>
      </c>
      <c r="D8106" s="22" t="s">
        <v>11950</v>
      </c>
      <c r="E8106" s="22" t="s">
        <v>48</v>
      </c>
      <c r="F8106" s="23" t="str">
        <f>HYPERLINK("https://www.spark-marketing.ru/Card/Lot/72702707", "Оказание услуг по организации питания несовершеннолетних, содержащихся в ЦВСНП УМВД России по Ульяновской области")</f>
        <v>Оказание услуг по организации питания несовершеннолетних, содержащихся в ЦВСНП УМВД России по Ульяновской области</v>
      </c>
      <c r="G8106" s="22" t="s">
        <v>1918</v>
      </c>
      <c r="H8106" s="22" t="s">
        <v>1918</v>
      </c>
      <c r="I8106" s="26">
        <v>43686.468807870398</v>
      </c>
      <c r="J8106" s="28" t="s">
        <v>51</v>
      </c>
      <c r="K8106" s="28" t="s">
        <v>51</v>
      </c>
      <c r="L8106" s="28" t="s">
        <v>51</v>
      </c>
      <c r="M8106" s="28" t="s">
        <v>51</v>
      </c>
      <c r="N8106" s="28" t="s">
        <v>51</v>
      </c>
    </row>
    <row r="8107" spans="1:14" x14ac:dyDescent="0.15">
      <c r="A8107" s="23" t="str">
        <f>HYPERLINK("https://www.spark-marketing.ru/Card/Person/11947", "ГБУ КО ""МФЦ КАЛУЖСКОЙ ОБЛАСТИ""")</f>
        <v>ГБУ КО "МФЦ КАЛУЖСКОЙ ОБЛАСТИ"</v>
      </c>
      <c r="B8107" s="24" t="s">
        <v>5883</v>
      </c>
      <c r="C8107" s="25">
        <v>200000</v>
      </c>
      <c r="D8107" s="22" t="s">
        <v>11951</v>
      </c>
      <c r="E8107" s="22" t="s">
        <v>91</v>
      </c>
      <c r="F8107" s="23" t="str">
        <f>HYPERLINK("https://www.spark-marketing.ru/Card/Lot/72702699", "Оказание услуг по ремонту периферийного оборудования")</f>
        <v>Оказание услуг по ремонту периферийного оборудования</v>
      </c>
      <c r="G8107" s="22" t="s">
        <v>112</v>
      </c>
      <c r="H8107" s="22" t="s">
        <v>389</v>
      </c>
      <c r="I8107" s="26">
        <v>43686.464293981502</v>
      </c>
      <c r="J8107" s="28" t="s">
        <v>51</v>
      </c>
      <c r="K8107" s="28" t="s">
        <v>51</v>
      </c>
      <c r="L8107" s="28" t="s">
        <v>51</v>
      </c>
      <c r="M8107" s="28" t="s">
        <v>51</v>
      </c>
      <c r="N8107" s="28" t="s">
        <v>51</v>
      </c>
    </row>
    <row r="8108" spans="1:14" ht="12.75" hidden="1" outlineLevel="1" x14ac:dyDescent="0.2">
      <c r="A8108" s="23" t="str">
        <f>HYPERLINK("https://www.spark-marketing.ru/Card/Person/11947", "ГБУ КО ""МФЦ КАЛУЖСКОЙ ОБЛАСТИ""")</f>
        <v>ГБУ КО "МФЦ КАЛУЖСКОЙ ОБЛАСТИ"</v>
      </c>
      <c r="B8108" s="24" t="s">
        <v>5883</v>
      </c>
      <c r="C8108" s="25">
        <v>200000</v>
      </c>
      <c r="D8108" s="22" t="s">
        <v>11951</v>
      </c>
      <c r="E8108" s="22" t="s">
        <v>91</v>
      </c>
      <c r="F8108" s="23" t="str">
        <f>HYPERLINK("https://www.spark-marketing.ru/Card/Lot/72702699", "Оказание услуг по ремонту периферийного оборудования")</f>
        <v>Оказание услуг по ремонту периферийного оборудования</v>
      </c>
      <c r="G8108" s="22" t="s">
        <v>112</v>
      </c>
      <c r="H8108" s="22" t="s">
        <v>389</v>
      </c>
      <c r="I8108" s="26">
        <v>43686.464293981502</v>
      </c>
      <c r="J8108" s="23" t="str">
        <f>HYPERLINK("https://www.spark-marketing.ru/Card/Person/612365", "ООО ""КОПИРУС""")</f>
        <v>ООО "КОПИРУС"</v>
      </c>
      <c r="K8108" s="24" t="s">
        <v>7887</v>
      </c>
      <c r="L8108" s="22" t="s">
        <v>10</v>
      </c>
      <c r="M8108" s="25">
        <v>129946.7</v>
      </c>
      <c r="N8108" s="27">
        <v>0.35026649999999998</v>
      </c>
    </row>
    <row r="8109" spans="1:14" hidden="1" outlineLevel="1" x14ac:dyDescent="0.2">
      <c r="A8109" s="23" t="str">
        <f>HYPERLINK("https://www.spark-marketing.ru/Card/Person/11947", "ГБУ КО ""МФЦ КАЛУЖСКОЙ ОБЛАСТИ""")</f>
        <v>ГБУ КО "МФЦ КАЛУЖСКОЙ ОБЛАСТИ"</v>
      </c>
      <c r="B8109" s="24" t="s">
        <v>5883</v>
      </c>
      <c r="C8109" s="25">
        <v>200000</v>
      </c>
      <c r="D8109" s="22" t="s">
        <v>11951</v>
      </c>
      <c r="E8109" s="22" t="s">
        <v>91</v>
      </c>
      <c r="F8109" s="23" t="str">
        <f>HYPERLINK("https://www.spark-marketing.ru/Card/Lot/72702699", "Оказание услуг по ремонту периферийного оборудования")</f>
        <v>Оказание услуг по ремонту периферийного оборудования</v>
      </c>
      <c r="G8109" s="22" t="s">
        <v>112</v>
      </c>
      <c r="H8109" s="22" t="s">
        <v>389</v>
      </c>
      <c r="I8109" s="26">
        <v>43686.464293981502</v>
      </c>
      <c r="J8109" s="23" t="str">
        <f>HYPERLINK("https://www.spark-marketing.ru/Card/Person/282437", "ООО ""АПГРЕЙД СЕРВИС""")</f>
        <v>ООО "АПГРЕЙД СЕРВИС"</v>
      </c>
      <c r="K8109" s="24" t="s">
        <v>11952</v>
      </c>
      <c r="L8109" s="28" t="s">
        <v>51</v>
      </c>
      <c r="M8109" s="25">
        <v>130969.91</v>
      </c>
      <c r="N8109" s="27">
        <v>0.34515045</v>
      </c>
    </row>
    <row r="8110" spans="1:14" hidden="1" outlineLevel="1" x14ac:dyDescent="0.2">
      <c r="A8110" s="23" t="str">
        <f>HYPERLINK("https://www.spark-marketing.ru/Card/Person/11947", "ГБУ КО ""МФЦ КАЛУЖСКОЙ ОБЛАСТИ""")</f>
        <v>ГБУ КО "МФЦ КАЛУЖСКОЙ ОБЛАСТИ"</v>
      </c>
      <c r="B8110" s="24" t="s">
        <v>5883</v>
      </c>
      <c r="C8110" s="25">
        <v>200000</v>
      </c>
      <c r="D8110" s="22" t="s">
        <v>11951</v>
      </c>
      <c r="E8110" s="22" t="s">
        <v>91</v>
      </c>
      <c r="F8110" s="23" t="str">
        <f>HYPERLINK("https://www.spark-marketing.ru/Card/Lot/72702699", "Оказание услуг по ремонту периферийного оборудования")</f>
        <v>Оказание услуг по ремонту периферийного оборудования</v>
      </c>
      <c r="G8110" s="22" t="s">
        <v>112</v>
      </c>
      <c r="H8110" s="22" t="s">
        <v>389</v>
      </c>
      <c r="I8110" s="26">
        <v>43686.464293981502</v>
      </c>
      <c r="J8110" s="23" t="str">
        <f>HYPERLINK("https://www.spark-marketing.ru/Card/Person/336738", "ООО ""ПМ ГРУПП""")</f>
        <v>ООО "ПМ ГРУПП"</v>
      </c>
      <c r="K8110" s="24" t="s">
        <v>11953</v>
      </c>
      <c r="L8110" s="28" t="s">
        <v>51</v>
      </c>
      <c r="M8110" s="25">
        <v>179060.8</v>
      </c>
      <c r="N8110" s="27">
        <v>0.104696</v>
      </c>
    </row>
    <row r="8111" spans="1:14" x14ac:dyDescent="0.15">
      <c r="A8111" s="23" t="str">
        <f>HYPERLINK("https://www.spark-marketing.ru/Card/Person/4345974", "МИНЗДРАВ ЗАБАЙКАЛЬСКОГО КРАЯ")</f>
        <v>МИНЗДРАВ ЗАБАЙКАЛЬСКОГО КРАЯ</v>
      </c>
      <c r="B8111" s="24" t="s">
        <v>671</v>
      </c>
      <c r="C8111" s="25">
        <v>242688</v>
      </c>
      <c r="D8111" s="22" t="s">
        <v>11954</v>
      </c>
      <c r="E8111" s="22" t="s">
        <v>9540</v>
      </c>
      <c r="F8111" s="23" t="str">
        <f>HYPERLINK("https://www.spark-marketing.ru/Card/Lot/72697343", "Товары, работы или услуги на сумму, не превышающие 100 тыс. руб. (п.4 ч.1 ст.93 44-ФЗ)")</f>
        <v>Товары, работы или услуги на сумму, не превышающие 100 тыс. руб. (п.4 ч.1 ст.93 44-ФЗ)</v>
      </c>
      <c r="G8111" s="22" t="s">
        <v>228</v>
      </c>
      <c r="H8111" s="22" t="s">
        <v>394</v>
      </c>
      <c r="I8111" s="26">
        <v>43686.425000000003</v>
      </c>
      <c r="J8111" s="28" t="s">
        <v>51</v>
      </c>
      <c r="K8111" s="28" t="s">
        <v>51</v>
      </c>
      <c r="L8111" s="28" t="s">
        <v>51</v>
      </c>
      <c r="M8111" s="28" t="s">
        <v>51</v>
      </c>
      <c r="N8111" s="28" t="s">
        <v>51</v>
      </c>
    </row>
    <row r="8112" spans="1:14" x14ac:dyDescent="0.15">
      <c r="A8112" s="23" t="str">
        <f>HYPERLINK("https://www.spark-marketing.ru/Card/Person/131441", "МОУ ЗСОШ №1")</f>
        <v>МОУ ЗСОШ №1</v>
      </c>
      <c r="B8112" s="24" t="s">
        <v>1715</v>
      </c>
      <c r="C8112" s="25">
        <v>529737</v>
      </c>
      <c r="D8112" s="22" t="s">
        <v>11955</v>
      </c>
      <c r="E8112" s="22" t="s">
        <v>48</v>
      </c>
      <c r="F8112" s="23" t="str">
        <f>HYPERLINK("https://www.spark-marketing.ru/Card/Lot/72705025", "Услуги по приготовлению и организации горячего питания детей в сентябре 2019 года МОУ Запрудненская СОШ № 1")</f>
        <v>Услуги по приготовлению и организации горячего питания детей в сентябре 2019 года МОУ Запрудненская СОШ № 1</v>
      </c>
      <c r="G8112" s="22" t="s">
        <v>49</v>
      </c>
      <c r="H8112" s="22" t="s">
        <v>49</v>
      </c>
      <c r="I8112" s="26">
        <v>43686.434004629598</v>
      </c>
      <c r="J8112" s="28" t="s">
        <v>51</v>
      </c>
      <c r="K8112" s="28" t="s">
        <v>51</v>
      </c>
      <c r="L8112" s="28" t="s">
        <v>51</v>
      </c>
      <c r="M8112" s="28" t="s">
        <v>51</v>
      </c>
      <c r="N8112" s="28" t="s">
        <v>51</v>
      </c>
    </row>
    <row r="8113" spans="1:14" ht="12.75" hidden="1" outlineLevel="1" x14ac:dyDescent="0.2">
      <c r="A8113" s="23" t="str">
        <f>HYPERLINK("https://www.spark-marketing.ru/Card/Person/131441", "МОУ ЗСОШ №1")</f>
        <v>МОУ ЗСОШ №1</v>
      </c>
      <c r="B8113" s="24" t="s">
        <v>1715</v>
      </c>
      <c r="C8113" s="25">
        <v>529737</v>
      </c>
      <c r="D8113" s="22" t="s">
        <v>11955</v>
      </c>
      <c r="E8113" s="22" t="s">
        <v>48</v>
      </c>
      <c r="F8113" s="23" t="str">
        <f>HYPERLINK("https://www.spark-marketing.ru/Card/Lot/72705025", "Услуги по приготовлению и организации горячего питания детей в сентябре 2019 года МОУ Запрудненская СОШ № 1")</f>
        <v>Услуги по приготовлению и организации горячего питания детей в сентябре 2019 года МОУ Запрудненская СОШ № 1</v>
      </c>
      <c r="G8113" s="22" t="s">
        <v>49</v>
      </c>
      <c r="H8113" s="22" t="s">
        <v>49</v>
      </c>
      <c r="I8113" s="26">
        <v>43686.434004629598</v>
      </c>
      <c r="J8113" s="23" t="str">
        <f>HYPERLINK("https://www.spark-marketing.ru/Card/Person/75516", "ООО ""КОНЦЕПТ""")</f>
        <v>ООО "КОНЦЕПТ"</v>
      </c>
      <c r="K8113" s="24" t="s">
        <v>1717</v>
      </c>
      <c r="L8113" s="22" t="s">
        <v>10</v>
      </c>
      <c r="M8113" s="25">
        <v>429086.78</v>
      </c>
      <c r="N8113" s="27">
        <v>0.19000035866854684</v>
      </c>
    </row>
    <row r="8114" spans="1:14" hidden="1" outlineLevel="1" x14ac:dyDescent="0.2">
      <c r="A8114" s="23" t="str">
        <f>HYPERLINK("https://www.spark-marketing.ru/Card/Person/131441", "МОУ ЗСОШ №1")</f>
        <v>МОУ ЗСОШ №1</v>
      </c>
      <c r="B8114" s="24" t="s">
        <v>1715</v>
      </c>
      <c r="C8114" s="25">
        <v>529737</v>
      </c>
      <c r="D8114" s="22" t="s">
        <v>11955</v>
      </c>
      <c r="E8114" s="22" t="s">
        <v>48</v>
      </c>
      <c r="F8114" s="23" t="str">
        <f>HYPERLINK("https://www.spark-marketing.ru/Card/Lot/72705025", "Услуги по приготовлению и организации горячего питания детей в сентябре 2019 года МОУ Запрудненская СОШ № 1")</f>
        <v>Услуги по приготовлению и организации горячего питания детей в сентябре 2019 года МОУ Запрудненская СОШ № 1</v>
      </c>
      <c r="G8114" s="22" t="s">
        <v>49</v>
      </c>
      <c r="H8114" s="22" t="s">
        <v>49</v>
      </c>
      <c r="I8114" s="26">
        <v>43686.434004629598</v>
      </c>
      <c r="J8114" s="23" t="str">
        <f>HYPERLINK("https://www.spark-marketing.ru/Card/Person/6681346", "Алексютенко Сергей Владимирович")</f>
        <v>Алексютенко Сергей Владимирович</v>
      </c>
      <c r="K8114" s="24" t="s">
        <v>9024</v>
      </c>
      <c r="L8114" s="28" t="s">
        <v>51</v>
      </c>
      <c r="M8114" s="25">
        <v>430000</v>
      </c>
      <c r="N8114" s="27">
        <v>0.18827644661407453</v>
      </c>
    </row>
    <row r="8115" spans="1:14" x14ac:dyDescent="0.2">
      <c r="A8115" s="23" t="str">
        <f>HYPERLINK("https://www.spark-marketing.ru/Card/Person/144936", "БОУ ""ЮГОРСКИЙ ФИЗИКО-МАТЕМАТИЧЕСКИЙ ЛИЦЕЙ-ИНТЕРНАТ""")</f>
        <v>БОУ "ЮГОРСКИЙ ФИЗИКО-МАТЕМАТИЧЕСКИЙ ЛИЦЕЙ-ИНТЕРНАТ"</v>
      </c>
      <c r="B8115" s="24" t="s">
        <v>11956</v>
      </c>
      <c r="C8115" s="25">
        <v>7041758.4000000004</v>
      </c>
      <c r="D8115" s="22" t="s">
        <v>11957</v>
      </c>
      <c r="E8115" s="22" t="s">
        <v>48</v>
      </c>
      <c r="F8115" s="23" t="str">
        <f>HYPERLINK("https://www.spark-marketing.ru/Card/Lot/72694609", "Оказание услуг по организации общественного питания")</f>
        <v>Оказание услуг по организации общественного питания</v>
      </c>
      <c r="G8115" s="22" t="s">
        <v>97</v>
      </c>
      <c r="H8115" s="22" t="s">
        <v>98</v>
      </c>
      <c r="I8115" s="26">
        <v>43686.425694444399</v>
      </c>
      <c r="J8115" s="23" t="str">
        <f>HYPERLINK("https://www.spark-marketing.ru/Card/Person/153589", "ООО ""ПЕРСПЕКТИВА""")</f>
        <v>ООО "ПЕРСПЕКТИВА"</v>
      </c>
      <c r="K8115" s="24" t="s">
        <v>9906</v>
      </c>
      <c r="L8115" s="28" t="s">
        <v>51</v>
      </c>
      <c r="M8115" s="25">
        <v>7041758.4000000004</v>
      </c>
      <c r="N8115" s="27">
        <v>0</v>
      </c>
    </row>
    <row r="8116" spans="1:14" x14ac:dyDescent="0.15">
      <c r="A8116" s="23" t="str">
        <f>HYPERLINK("https://www.spark-marketing.ru/Card/Person/4345974", "МИНЗДРАВ ЗАБАЙКАЛЬСКОГО КРАЯ")</f>
        <v>МИНЗДРАВ ЗАБАЙКАЛЬСКОГО КРАЯ</v>
      </c>
      <c r="B8116" s="24" t="s">
        <v>671</v>
      </c>
      <c r="C8116" s="25">
        <v>121344</v>
      </c>
      <c r="D8116" s="22" t="s">
        <v>11958</v>
      </c>
      <c r="E8116" s="22" t="s">
        <v>9540</v>
      </c>
      <c r="F8116" s="23" t="str">
        <f>HYPERLINK("https://www.spark-marketing.ru/Card/Lot/72697369", "Товары, работы или услуги на сумму, не превышающие 100 тыс. руб. (п.4 ч.1 ст.93 44-ФЗ)")</f>
        <v>Товары, работы или услуги на сумму, не превышающие 100 тыс. руб. (п.4 ч.1 ст.93 44-ФЗ)</v>
      </c>
      <c r="G8116" s="22" t="s">
        <v>228</v>
      </c>
      <c r="H8116" s="22" t="s">
        <v>394</v>
      </c>
      <c r="I8116" s="26">
        <v>43686.430555555598</v>
      </c>
      <c r="J8116" s="28" t="s">
        <v>51</v>
      </c>
      <c r="K8116" s="28" t="s">
        <v>51</v>
      </c>
      <c r="L8116" s="28" t="s">
        <v>51</v>
      </c>
      <c r="M8116" s="28" t="s">
        <v>51</v>
      </c>
      <c r="N8116" s="28" t="s">
        <v>51</v>
      </c>
    </row>
    <row r="8117" spans="1:14" x14ac:dyDescent="0.15">
      <c r="A8117" s="23" t="str">
        <f>HYPERLINK("https://www.spark-marketing.ru/Card/Person/89798", "УМВД РОССИИ ПО ГОРОДУ КИРОВУ")</f>
        <v>УМВД РОССИИ ПО ГОРОДУ КИРОВУ</v>
      </c>
      <c r="B8117" s="24" t="s">
        <v>8365</v>
      </c>
      <c r="C8117" s="25">
        <v>900000</v>
      </c>
      <c r="D8117" s="22" t="s">
        <v>11959</v>
      </c>
      <c r="E8117" s="22" t="s">
        <v>48</v>
      </c>
      <c r="F8117" s="23" t="str">
        <f>HYPERLINK("https://www.spark-marketing.ru/Card/Lot/72700982",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117" s="22" t="s">
        <v>224</v>
      </c>
      <c r="H8117" s="22" t="s">
        <v>225</v>
      </c>
      <c r="I8117" s="26">
        <v>43686.418506944399</v>
      </c>
      <c r="J8117" s="28" t="s">
        <v>51</v>
      </c>
      <c r="K8117" s="28" t="s">
        <v>51</v>
      </c>
      <c r="L8117" s="28" t="s">
        <v>51</v>
      </c>
      <c r="M8117" s="28" t="s">
        <v>51</v>
      </c>
      <c r="N8117" s="28" t="s">
        <v>51</v>
      </c>
    </row>
    <row r="8118" spans="1:14" ht="12.75" hidden="1" outlineLevel="1" x14ac:dyDescent="0.2">
      <c r="A8118" s="23" t="str">
        <f>HYPERLINK("https://www.spark-marketing.ru/Card/Person/89798", "УМВД РОССИИ ПО ГОРОДУ КИРОВУ")</f>
        <v>УМВД РОССИИ ПО ГОРОДУ КИРОВУ</v>
      </c>
      <c r="B8118" s="24" t="s">
        <v>8365</v>
      </c>
      <c r="C8118" s="25">
        <v>900000</v>
      </c>
      <c r="D8118" s="22" t="s">
        <v>11959</v>
      </c>
      <c r="E8118" s="22" t="s">
        <v>48</v>
      </c>
      <c r="F8118" s="23" t="str">
        <f>HYPERLINK("https://www.spark-marketing.ru/Card/Lot/72700982",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118" s="22" t="s">
        <v>224</v>
      </c>
      <c r="H8118" s="22" t="s">
        <v>225</v>
      </c>
      <c r="I8118" s="26">
        <v>43686.418506944399</v>
      </c>
      <c r="J8118" s="23" t="str">
        <f>HYPERLINK("https://www.spark-marketing.ru/Card/Person/89851", "ООО ""ФУД-СЕРВИС""")</f>
        <v>ООО "ФУД-СЕРВИС"</v>
      </c>
      <c r="K8118" s="24" t="s">
        <v>8368</v>
      </c>
      <c r="L8118" s="22" t="s">
        <v>10</v>
      </c>
      <c r="M8118" s="25">
        <v>6951.78</v>
      </c>
      <c r="N8118" s="27">
        <v>0.99227580000000004</v>
      </c>
    </row>
    <row r="8119" spans="1:14" hidden="1" outlineLevel="1" x14ac:dyDescent="0.2">
      <c r="A8119" s="23" t="str">
        <f>HYPERLINK("https://www.spark-marketing.ru/Card/Person/89798", "УМВД РОССИИ ПО ГОРОДУ КИРОВУ")</f>
        <v>УМВД РОССИИ ПО ГОРОДУ КИРОВУ</v>
      </c>
      <c r="B8119" s="24" t="s">
        <v>8365</v>
      </c>
      <c r="C8119" s="25">
        <v>900000</v>
      </c>
      <c r="D8119" s="22" t="s">
        <v>11959</v>
      </c>
      <c r="E8119" s="22" t="s">
        <v>48</v>
      </c>
      <c r="F8119" s="23" t="str">
        <f>HYPERLINK("https://www.spark-marketing.ru/Card/Lot/72700982",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119" s="22" t="s">
        <v>224</v>
      </c>
      <c r="H8119" s="22" t="s">
        <v>225</v>
      </c>
      <c r="I8119" s="26">
        <v>43686.418506944399</v>
      </c>
      <c r="J8119" s="23" t="str">
        <f>HYPERLINK("https://www.spark-marketing.ru/Card/Person/6454752", "ООО ""ЕВРО КЕЙТЕРИНГ 43""")</f>
        <v>ООО "ЕВРО КЕЙТЕРИНГ 43"</v>
      </c>
      <c r="K8119" s="24" t="s">
        <v>8367</v>
      </c>
      <c r="L8119" s="28" t="s">
        <v>51</v>
      </c>
      <c r="M8119" s="25">
        <v>6986.89</v>
      </c>
      <c r="N8119" s="27">
        <v>0.99223678888888889</v>
      </c>
    </row>
    <row r="8120" spans="1:14" x14ac:dyDescent="0.15">
      <c r="A8120" s="23" t="str">
        <f>HYPERLINK("https://www.spark-marketing.ru/Card/Person/238985", "МБОУ ""СОШ №1 Г. НИКОЛЬСКА""")</f>
        <v>МБОУ "СОШ №1 Г. НИКОЛЬСКА"</v>
      </c>
      <c r="B8120" s="24" t="s">
        <v>1137</v>
      </c>
      <c r="C8120" s="25">
        <v>2208151</v>
      </c>
      <c r="D8120" s="22" t="s">
        <v>11960</v>
      </c>
      <c r="E8120" s="22" t="s">
        <v>48</v>
      </c>
      <c r="F8120" s="23" t="str">
        <f>HYPERLINK("https://www.spark-marketing.ru/Card/Lot/72715795", "Оказание услуг по организации горячего питания")</f>
        <v>Оказание услуг по организации горячего питания</v>
      </c>
      <c r="G8120" s="22" t="s">
        <v>503</v>
      </c>
      <c r="H8120" s="22" t="s">
        <v>503</v>
      </c>
      <c r="I8120" s="26">
        <v>43686.428900462997</v>
      </c>
      <c r="J8120" s="23" t="str">
        <f>HYPERLINK("https://www.spark-marketing.ru/Card/Person/239087", "ООО ""МЕРИДИАН""")</f>
        <v>ООО "МЕРИДИАН"</v>
      </c>
      <c r="K8120" s="24" t="s">
        <v>11922</v>
      </c>
      <c r="L8120" s="22" t="s">
        <v>10</v>
      </c>
      <c r="M8120" s="28" t="s">
        <v>51</v>
      </c>
      <c r="N8120" s="28" t="s">
        <v>51</v>
      </c>
    </row>
    <row r="8121" spans="1:14" x14ac:dyDescent="0.15">
      <c r="A8121" s="23" t="str">
        <f>HYPERLINK("https://www.spark-marketing.ru/Card/Person/246974", "ОТДЕЛ МВД РОССИИ ПО ЯШКИНСКОМУ РАЙОНУ")</f>
        <v>ОТДЕЛ МВД РОССИИ ПО ЯШКИНСКОМУ РАЙОНУ</v>
      </c>
      <c r="B8121" s="24" t="s">
        <v>11961</v>
      </c>
      <c r="C8121" s="25">
        <v>510000</v>
      </c>
      <c r="D8121" s="22" t="s">
        <v>11962</v>
      </c>
      <c r="E8121" s="22" t="s">
        <v>48</v>
      </c>
      <c r="F8121" s="23" t="str">
        <f>HYPERLINK("https://www.spark-marketing.ru/Card/Lot/72693259", "услуги по организации ежедневного комплексного горячего питания лиц,находящихся в изоляторе временного содержания")</f>
        <v>услуги по организации ежедневного комплексного горячего питания лиц,находящихся в изоляторе временного содержания</v>
      </c>
      <c r="G8121" s="22" t="s">
        <v>304</v>
      </c>
      <c r="H8121" s="22" t="s">
        <v>11963</v>
      </c>
      <c r="I8121" s="26">
        <v>43686.400775463</v>
      </c>
      <c r="J8121" s="28" t="s">
        <v>51</v>
      </c>
      <c r="K8121" s="28" t="s">
        <v>51</v>
      </c>
      <c r="L8121" s="28" t="s">
        <v>51</v>
      </c>
      <c r="M8121" s="28" t="s">
        <v>51</v>
      </c>
      <c r="N8121" s="28" t="s">
        <v>51</v>
      </c>
    </row>
    <row r="8122" spans="1:14" x14ac:dyDescent="0.15">
      <c r="A8122" s="23" t="str">
        <f>HYPERLINK("https://www.spark-marketing.ru/Card/Person/733606", "МБОУ СОШ С. СТАРЫЙ ВАРЯШ")</f>
        <v>МБОУ СОШ С. СТАРЫЙ ВАРЯШ</v>
      </c>
      <c r="B8122" s="24" t="s">
        <v>11964</v>
      </c>
      <c r="C8122" s="25">
        <v>392228.6</v>
      </c>
      <c r="D8122" s="22" t="s">
        <v>11965</v>
      </c>
      <c r="E8122" s="22" t="s">
        <v>48</v>
      </c>
      <c r="F8122" s="23" t="str">
        <f>HYPERLINK("https://www.spark-marketing.ru/Card/Lot/72700447", "Оказание услуг по организации горячего питания обучающихся и воспитанников дошкольной группы")</f>
        <v>Оказание услуг по организации горячего питания обучающихся и воспитанников дошкольной группы</v>
      </c>
      <c r="G8122" s="22" t="s">
        <v>145</v>
      </c>
      <c r="H8122" s="22" t="s">
        <v>10690</v>
      </c>
      <c r="I8122" s="26">
        <v>43686.410127314797</v>
      </c>
      <c r="J8122" s="23" t="str">
        <f>HYPERLINK("https://www.spark-marketing.ru/Card/Person/6275152", "ООО ""ЯНАУЛЬСКИЙ КДП""")</f>
        <v>ООО "ЯНАУЛЬСКИЙ КДП"</v>
      </c>
      <c r="K8122" s="24" t="s">
        <v>10674</v>
      </c>
      <c r="L8122" s="22" t="s">
        <v>10</v>
      </c>
      <c r="M8122" s="28" t="s">
        <v>51</v>
      </c>
      <c r="N8122" s="28" t="s">
        <v>51</v>
      </c>
    </row>
    <row r="8123" spans="1:14" x14ac:dyDescent="0.15">
      <c r="A8123" s="23" t="str">
        <f>HYPERLINK("https://www.spark-marketing.ru/Card/Person/734290", "МБОУ СОШ С. САНДУГАЧ")</f>
        <v>МБОУ СОШ С. САНДУГАЧ</v>
      </c>
      <c r="B8123" s="24" t="s">
        <v>11966</v>
      </c>
      <c r="C8123" s="25">
        <v>1170347.6000000001</v>
      </c>
      <c r="D8123" s="22" t="s">
        <v>11967</v>
      </c>
      <c r="E8123" s="22" t="s">
        <v>48</v>
      </c>
      <c r="F8123" s="23" t="str">
        <f>HYPERLINK("https://www.spark-marketing.ru/Card/Lot/72701637", "Оказание услуг по организации горячего питания обучающихся и воспитанников дошкольной группы")</f>
        <v>Оказание услуг по организации горячего питания обучающихся и воспитанников дошкольной группы</v>
      </c>
      <c r="G8123" s="22" t="s">
        <v>145</v>
      </c>
      <c r="H8123" s="22" t="s">
        <v>10690</v>
      </c>
      <c r="I8123" s="26">
        <v>43686.411377314798</v>
      </c>
      <c r="J8123" s="23" t="str">
        <f>HYPERLINK("https://www.spark-marketing.ru/Card/Person/6275152", "ООО ""ЯНАУЛЬСКИЙ КДП""")</f>
        <v>ООО "ЯНАУЛЬСКИЙ КДП"</v>
      </c>
      <c r="K8123" s="24" t="s">
        <v>10674</v>
      </c>
      <c r="L8123" s="22" t="s">
        <v>10</v>
      </c>
      <c r="M8123" s="28" t="s">
        <v>51</v>
      </c>
      <c r="N8123" s="28" t="s">
        <v>51</v>
      </c>
    </row>
    <row r="8124" spans="1:14" x14ac:dyDescent="0.15">
      <c r="A8124" s="23" t="str">
        <f>HYPERLINK("https://www.spark-marketing.ru/Card/Person/4347456", "ГБУЗРК ""КЕРЧЕНСКАЯ ГОРОДСКАЯ БОЛЬНИЦА №3""")</f>
        <v>ГБУЗРК "КЕРЧЕНСКАЯ ГОРОДСКАЯ БОЛЬНИЦА №3"</v>
      </c>
      <c r="B8124" s="24" t="s">
        <v>11968</v>
      </c>
      <c r="C8124" s="25">
        <v>200000</v>
      </c>
      <c r="D8124" s="22" t="s">
        <v>11969</v>
      </c>
      <c r="E8124" s="22" t="s">
        <v>91</v>
      </c>
      <c r="F8124" s="23" t="str">
        <f>HYPERLINK("https://www.spark-marketing.ru/Card/Lot/72704590", "Услуги по ремонту принтеров, многофункциональных устройств (МФУ) , LCD-мониторов и  заправка картриджей для нужд ГБУЗ РК ""Керченская городская больница №3""")</f>
        <v>Услуги по ремонту принтеров, многофункциональных устройств (МФУ) , LCD-мониторов и  заправка картриджей для нужд ГБУЗ РК "Керченская городская больница №3"</v>
      </c>
      <c r="G8124" s="22" t="s">
        <v>108</v>
      </c>
      <c r="H8124" s="22" t="s">
        <v>344</v>
      </c>
      <c r="I8124" s="26">
        <v>43686.377534722204</v>
      </c>
      <c r="J8124" s="28" t="s">
        <v>51</v>
      </c>
      <c r="K8124" s="28" t="s">
        <v>51</v>
      </c>
      <c r="L8124" s="28" t="s">
        <v>51</v>
      </c>
      <c r="M8124" s="28" t="s">
        <v>51</v>
      </c>
      <c r="N8124" s="28" t="s">
        <v>51</v>
      </c>
    </row>
    <row r="8125" spans="1:14" ht="12.75" hidden="1" outlineLevel="1" x14ac:dyDescent="0.2">
      <c r="A8125" s="23" t="str">
        <f>HYPERLINK("https://www.spark-marketing.ru/Card/Person/4347456", "ГБУЗРК ""КЕРЧЕНСКАЯ ГОРОДСКАЯ БОЛЬНИЦА №3""")</f>
        <v>ГБУЗРК "КЕРЧЕНСКАЯ ГОРОДСКАЯ БОЛЬНИЦА №3"</v>
      </c>
      <c r="B8125" s="24" t="s">
        <v>11968</v>
      </c>
      <c r="C8125" s="25">
        <v>200000</v>
      </c>
      <c r="D8125" s="22" t="s">
        <v>11969</v>
      </c>
      <c r="E8125" s="22" t="s">
        <v>91</v>
      </c>
      <c r="F8125" s="23" t="str">
        <f>HYPERLINK("https://www.spark-marketing.ru/Card/Lot/72704590", "Услуги по ремонту принтеров, многофункциональных устройств (МФУ) , LCD-мониторов и  заправка картриджей для нужд ГБУЗ РК ""Керченская городская больница №3""")</f>
        <v>Услуги по ремонту принтеров, многофункциональных устройств (МФУ) , LCD-мониторов и  заправка картриджей для нужд ГБУЗ РК "Керченская городская больница №3"</v>
      </c>
      <c r="G8125" s="22" t="s">
        <v>108</v>
      </c>
      <c r="H8125" s="22" t="s">
        <v>344</v>
      </c>
      <c r="I8125" s="26">
        <v>43686.377534722204</v>
      </c>
      <c r="J8125" s="23" t="str">
        <f>HYPERLINK("https://www.spark-marketing.ru/Card/Person/6571684", "Ларионов Василий Витальевич")</f>
        <v>Ларионов Василий Витальевич</v>
      </c>
      <c r="K8125" s="24" t="s">
        <v>11970</v>
      </c>
      <c r="L8125" s="22" t="s">
        <v>10</v>
      </c>
      <c r="M8125" s="25">
        <v>45915.46</v>
      </c>
      <c r="N8125" s="27">
        <v>0.77042270000000002</v>
      </c>
    </row>
    <row r="8126" spans="1:14" hidden="1" outlineLevel="1" x14ac:dyDescent="0.2">
      <c r="A8126" s="23" t="str">
        <f>HYPERLINK("https://www.spark-marketing.ru/Card/Person/4347456", "ГБУЗРК ""КЕРЧЕНСКАЯ ГОРОДСКАЯ БОЛЬНИЦА №3""")</f>
        <v>ГБУЗРК "КЕРЧЕНСКАЯ ГОРОДСКАЯ БОЛЬНИЦА №3"</v>
      </c>
      <c r="B8126" s="24" t="s">
        <v>11968</v>
      </c>
      <c r="C8126" s="25">
        <v>200000</v>
      </c>
      <c r="D8126" s="22" t="s">
        <v>11969</v>
      </c>
      <c r="E8126" s="22" t="s">
        <v>91</v>
      </c>
      <c r="F8126" s="23" t="str">
        <f>HYPERLINK("https://www.spark-marketing.ru/Card/Lot/72704590", "Услуги по ремонту принтеров, многофункциональных устройств (МФУ) , LCD-мониторов и  заправка картриджей для нужд ГБУЗ РК ""Керченская городская больница №3""")</f>
        <v>Услуги по ремонту принтеров, многофункциональных устройств (МФУ) , LCD-мониторов и  заправка картриджей для нужд ГБУЗ РК "Керченская городская больница №3"</v>
      </c>
      <c r="G8126" s="22" t="s">
        <v>108</v>
      </c>
      <c r="H8126" s="22" t="s">
        <v>344</v>
      </c>
      <c r="I8126" s="26">
        <v>43686.377534722204</v>
      </c>
      <c r="J8126" s="23" t="str">
        <f>HYPERLINK("https://www.spark-marketing.ru/Card/Person/940690", "ООО ""ЮНИТ-СЕРВИС""")</f>
        <v>ООО "ЮНИТ-СЕРВИС"</v>
      </c>
      <c r="K8126" s="24" t="s">
        <v>11971</v>
      </c>
      <c r="L8126" s="28" t="s">
        <v>51</v>
      </c>
      <c r="M8126" s="25">
        <v>46571.39</v>
      </c>
      <c r="N8126" s="27">
        <v>0.76714305000000005</v>
      </c>
    </row>
    <row r="8127" spans="1:14" x14ac:dyDescent="0.15">
      <c r="A8127" s="23" t="str">
        <f>HYPERLINK("https://www.spark-marketing.ru/Card/Person/4345974", "МИНЗДРАВ ЗАБАЙКАЛЬСКОГО КРАЯ")</f>
        <v>МИНЗДРАВ ЗАБАЙКАЛЬСКОГО КРАЯ</v>
      </c>
      <c r="B8127" s="24" t="s">
        <v>671</v>
      </c>
      <c r="C8127" s="25">
        <v>182016</v>
      </c>
      <c r="D8127" s="22" t="s">
        <v>11972</v>
      </c>
      <c r="E8127" s="22" t="s">
        <v>9540</v>
      </c>
      <c r="F8127" s="23" t="str">
        <f>HYPERLINK("https://www.spark-marketing.ru/Card/Lot/72696311", "Товары, работы или услуги на сумму, не превышающие 100 тыс. руб. (п.4 ч.1 ст.93 44-ФЗ)")</f>
        <v>Товары, работы или услуги на сумму, не превышающие 100 тыс. руб. (п.4 ч.1 ст.93 44-ФЗ)</v>
      </c>
      <c r="G8127" s="22" t="s">
        <v>228</v>
      </c>
      <c r="H8127" s="22" t="s">
        <v>394</v>
      </c>
      <c r="I8127" s="26">
        <v>43686.412499999999</v>
      </c>
      <c r="J8127" s="28" t="s">
        <v>51</v>
      </c>
      <c r="K8127" s="28" t="s">
        <v>51</v>
      </c>
      <c r="L8127" s="28" t="s">
        <v>51</v>
      </c>
      <c r="M8127" s="28" t="s">
        <v>51</v>
      </c>
      <c r="N8127" s="28" t="s">
        <v>51</v>
      </c>
    </row>
    <row r="8128" spans="1:14" x14ac:dyDescent="0.15">
      <c r="A8128" s="23" t="str">
        <f>HYPERLINK("https://www.spark-marketing.ru/Card/Person/89798", "УМВД РОССИИ ПО ГОРОДУ КИРОВУ")</f>
        <v>УМВД РОССИИ ПО ГОРОДУ КИРОВУ</v>
      </c>
      <c r="B8128" s="24" t="s">
        <v>8365</v>
      </c>
      <c r="C8128" s="25">
        <v>900000</v>
      </c>
      <c r="D8128" s="22" t="s">
        <v>11973</v>
      </c>
      <c r="E8128" s="22" t="s">
        <v>48</v>
      </c>
      <c r="F8128" s="23" t="str">
        <f>HYPERLINK("https://www.spark-marketing.ru/Card/Lot/72698596",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128" s="22" t="s">
        <v>224</v>
      </c>
      <c r="H8128" s="22" t="s">
        <v>225</v>
      </c>
      <c r="I8128" s="26">
        <v>43686.392951388902</v>
      </c>
      <c r="J8128" s="28" t="s">
        <v>51</v>
      </c>
      <c r="K8128" s="28" t="s">
        <v>51</v>
      </c>
      <c r="L8128" s="28" t="s">
        <v>51</v>
      </c>
      <c r="M8128" s="28" t="s">
        <v>51</v>
      </c>
      <c r="N8128" s="28" t="s">
        <v>51</v>
      </c>
    </row>
    <row r="8129" spans="1:14" ht="12.75" hidden="1" outlineLevel="1" x14ac:dyDescent="0.2">
      <c r="A8129" s="23" t="str">
        <f>HYPERLINK("https://www.spark-marketing.ru/Card/Person/89798", "УМВД РОССИИ ПО ГОРОДУ КИРОВУ")</f>
        <v>УМВД РОССИИ ПО ГОРОДУ КИРОВУ</v>
      </c>
      <c r="B8129" s="24" t="s">
        <v>8365</v>
      </c>
      <c r="C8129" s="25">
        <v>900000</v>
      </c>
      <c r="D8129" s="22" t="s">
        <v>11973</v>
      </c>
      <c r="E8129" s="22" t="s">
        <v>48</v>
      </c>
      <c r="F8129" s="23" t="str">
        <f>HYPERLINK("https://www.spark-marketing.ru/Card/Lot/72698596",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129" s="22" t="s">
        <v>224</v>
      </c>
      <c r="H8129" s="22" t="s">
        <v>225</v>
      </c>
      <c r="I8129" s="26">
        <v>43686.392951388902</v>
      </c>
      <c r="J8129" s="23" t="str">
        <f>HYPERLINK("https://www.spark-marketing.ru/Card/Person/89851", "ООО ""ФУД-СЕРВИС""")</f>
        <v>ООО "ФУД-СЕРВИС"</v>
      </c>
      <c r="K8129" s="24" t="s">
        <v>8368</v>
      </c>
      <c r="L8129" s="22" t="s">
        <v>10</v>
      </c>
      <c r="M8129" s="25">
        <v>6951.78</v>
      </c>
      <c r="N8129" s="27">
        <v>0.99227580000000004</v>
      </c>
    </row>
    <row r="8130" spans="1:14" hidden="1" outlineLevel="1" x14ac:dyDescent="0.2">
      <c r="A8130" s="23" t="str">
        <f>HYPERLINK("https://www.spark-marketing.ru/Card/Person/89798", "УМВД РОССИИ ПО ГОРОДУ КИРОВУ")</f>
        <v>УМВД РОССИИ ПО ГОРОДУ КИРОВУ</v>
      </c>
      <c r="B8130" s="24" t="s">
        <v>8365</v>
      </c>
      <c r="C8130" s="25">
        <v>900000</v>
      </c>
      <c r="D8130" s="22" t="s">
        <v>11973</v>
      </c>
      <c r="E8130" s="22" t="s">
        <v>48</v>
      </c>
      <c r="F8130" s="23" t="str">
        <f>HYPERLINK("https://www.spark-marketing.ru/Card/Lot/72698596",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130" s="22" t="s">
        <v>224</v>
      </c>
      <c r="H8130" s="22" t="s">
        <v>225</v>
      </c>
      <c r="I8130" s="26">
        <v>43686.392951388902</v>
      </c>
      <c r="J8130" s="23" t="str">
        <f>HYPERLINK("https://www.spark-marketing.ru/Card/Person/6454752", "ООО ""ЕВРО КЕЙТЕРИНГ 43""")</f>
        <v>ООО "ЕВРО КЕЙТЕРИНГ 43"</v>
      </c>
      <c r="K8130" s="24" t="s">
        <v>8367</v>
      </c>
      <c r="L8130" s="28" t="s">
        <v>51</v>
      </c>
      <c r="M8130" s="25">
        <v>6986.89</v>
      </c>
      <c r="N8130" s="27">
        <v>0.99223678888888889</v>
      </c>
    </row>
    <row r="8131" spans="1:14" x14ac:dyDescent="0.15">
      <c r="A8131" s="23" t="str">
        <f>HYPERLINK("https://www.spark-marketing.ru/Card/Person/246974", "ОТДЕЛ МВД РОССИИ ПО ЯШКИНСКОМУ РАЙОНУ")</f>
        <v>ОТДЕЛ МВД РОССИИ ПО ЯШКИНСКОМУ РАЙОНУ</v>
      </c>
      <c r="B8131" s="24" t="s">
        <v>11961</v>
      </c>
      <c r="C8131" s="25">
        <v>510000</v>
      </c>
      <c r="D8131" s="22" t="s">
        <v>11974</v>
      </c>
      <c r="E8131" s="22" t="s">
        <v>48</v>
      </c>
      <c r="F8131" s="23" t="str">
        <f>HYPERLINK("https://www.spark-marketing.ru/Card/Lot/72693261", "услуги по организации ежедневного комплексного горячего питания лиц, находящихся в изоляторе временного содержания")</f>
        <v>услуги по организации ежедневного комплексного горячего питания лиц, находящихся в изоляторе временного содержания</v>
      </c>
      <c r="G8131" s="22" t="s">
        <v>304</v>
      </c>
      <c r="H8131" s="22" t="s">
        <v>11963</v>
      </c>
      <c r="I8131" s="26">
        <v>43686.405775462998</v>
      </c>
      <c r="J8131" s="23" t="str">
        <f>HYPERLINK("https://www.spark-marketing.ru/Card/Person/626250", "ГПОУ ЯТТИМ")</f>
        <v>ГПОУ ЯТТИМ</v>
      </c>
      <c r="K8131" s="24" t="s">
        <v>11975</v>
      </c>
      <c r="L8131" s="22" t="s">
        <v>10</v>
      </c>
      <c r="M8131" s="28" t="s">
        <v>51</v>
      </c>
      <c r="N8131" s="28" t="s">
        <v>51</v>
      </c>
    </row>
    <row r="8132" spans="1:14" x14ac:dyDescent="0.15">
      <c r="A8132" s="23" t="str">
        <f>HYPERLINK("https://www.spark-marketing.ru/Card/Person/1027967", "КГБОУ ШИ 1")</f>
        <v>КГБОУ ШИ 1</v>
      </c>
      <c r="B8132" s="24" t="s">
        <v>11976</v>
      </c>
      <c r="C8132" s="25">
        <v>2856303.33</v>
      </c>
      <c r="D8132" s="22" t="s">
        <v>11977</v>
      </c>
      <c r="E8132" s="22" t="s">
        <v>48</v>
      </c>
      <c r="F8132" s="23" t="str">
        <f>HYPERLINK("https://www.spark-marketing.ru/Card/Lot/72692128", "Оказание услуг по организации питания")</f>
        <v>Оказание услуг по организации питания</v>
      </c>
      <c r="G8132" s="22" t="s">
        <v>1096</v>
      </c>
      <c r="H8132" s="22" t="s">
        <v>1097</v>
      </c>
      <c r="I8132" s="26">
        <v>43686.405474537001</v>
      </c>
      <c r="J8132" s="28" t="s">
        <v>51</v>
      </c>
      <c r="K8132" s="28" t="s">
        <v>51</v>
      </c>
      <c r="L8132" s="28" t="s">
        <v>51</v>
      </c>
      <c r="M8132" s="28" t="s">
        <v>51</v>
      </c>
      <c r="N8132" s="28" t="s">
        <v>51</v>
      </c>
    </row>
    <row r="8133" spans="1:14" x14ac:dyDescent="0.15">
      <c r="A8133" s="23" t="str">
        <f>HYPERLINK("https://www.spark-marketing.ru/Card/Person/4374404", "ГБПОУ ВО ""КОЛЬЧУГИНСКИЙ ПК""")</f>
        <v>ГБПОУ ВО "КОЛЬЧУГИНСКИЙ ПК"</v>
      </c>
      <c r="B8133" s="24" t="s">
        <v>11978</v>
      </c>
      <c r="C8133" s="25">
        <v>726390</v>
      </c>
      <c r="D8133" s="22" t="s">
        <v>11979</v>
      </c>
      <c r="E8133" s="22" t="s">
        <v>48</v>
      </c>
      <c r="F8133" s="23" t="str">
        <f>HYPERLINK("https://www.spark-marketing.ru/Card/Lot/72696837", "Оказание услуг по организации питания")</f>
        <v>Оказание услуг по организации питания</v>
      </c>
      <c r="G8133" s="22" t="s">
        <v>663</v>
      </c>
      <c r="H8133" s="22" t="s">
        <v>663</v>
      </c>
      <c r="I8133" s="26">
        <v>43686.386111111096</v>
      </c>
      <c r="J8133" s="28" t="s">
        <v>51</v>
      </c>
      <c r="K8133" s="28" t="s">
        <v>51</v>
      </c>
      <c r="L8133" s="28" t="s">
        <v>51</v>
      </c>
      <c r="M8133" s="28" t="s">
        <v>51</v>
      </c>
      <c r="N8133" s="28" t="s">
        <v>51</v>
      </c>
    </row>
    <row r="8134" spans="1:14" ht="12.75" hidden="1" outlineLevel="1" x14ac:dyDescent="0.2">
      <c r="A8134" s="23" t="str">
        <f>HYPERLINK("https://www.spark-marketing.ru/Card/Person/4374404", "ГБПОУ ВО ""КОЛЬЧУГИНСКИЙ ПК""")</f>
        <v>ГБПОУ ВО "КОЛЬЧУГИНСКИЙ ПК"</v>
      </c>
      <c r="B8134" s="24" t="s">
        <v>11978</v>
      </c>
      <c r="C8134" s="25">
        <v>726390</v>
      </c>
      <c r="D8134" s="22" t="s">
        <v>11979</v>
      </c>
      <c r="E8134" s="22" t="s">
        <v>48</v>
      </c>
      <c r="F8134" s="23" t="str">
        <f>HYPERLINK("https://www.spark-marketing.ru/Card/Lot/72696837", "Оказание услуг по организации питания")</f>
        <v>Оказание услуг по организации питания</v>
      </c>
      <c r="G8134" s="22" t="s">
        <v>663</v>
      </c>
      <c r="H8134" s="22" t="s">
        <v>663</v>
      </c>
      <c r="I8134" s="26">
        <v>43686.386111111096</v>
      </c>
      <c r="J8134" s="23" t="str">
        <f>HYPERLINK("https://www.spark-marketing.ru/Card/Person/5785323", "Семенов Сергей Николаевич")</f>
        <v>Семенов Сергей Николаевич</v>
      </c>
      <c r="K8134" s="24" t="s">
        <v>6744</v>
      </c>
      <c r="L8134" s="22" t="s">
        <v>10</v>
      </c>
      <c r="M8134" s="25">
        <v>657210</v>
      </c>
      <c r="N8134" s="27">
        <v>9.5238095238095233E-2</v>
      </c>
    </row>
    <row r="8135" spans="1:14" hidden="1" outlineLevel="1" x14ac:dyDescent="0.2">
      <c r="A8135" s="23" t="str">
        <f>HYPERLINK("https://www.spark-marketing.ru/Card/Person/4374404", "ГБПОУ ВО ""КОЛЬЧУГИНСКИЙ ПК""")</f>
        <v>ГБПОУ ВО "КОЛЬЧУГИНСКИЙ ПК"</v>
      </c>
      <c r="B8135" s="24" t="s">
        <v>11978</v>
      </c>
      <c r="C8135" s="25">
        <v>726390</v>
      </c>
      <c r="D8135" s="22" t="s">
        <v>11979</v>
      </c>
      <c r="E8135" s="22" t="s">
        <v>48</v>
      </c>
      <c r="F8135" s="23" t="str">
        <f>HYPERLINK("https://www.spark-marketing.ru/Card/Lot/72696837", "Оказание услуг по организации питания")</f>
        <v>Оказание услуг по организации питания</v>
      </c>
      <c r="G8135" s="22" t="s">
        <v>663</v>
      </c>
      <c r="H8135" s="22" t="s">
        <v>663</v>
      </c>
      <c r="I8135" s="26">
        <v>43686.386111111096</v>
      </c>
      <c r="J8135" s="23" t="str">
        <f>HYPERLINK("https://www.spark-marketing.ru/Card/Person/4401310", "Макарова Елена Александровна")</f>
        <v>Макарова Елена Александровна</v>
      </c>
      <c r="K8135" s="24" t="s">
        <v>6555</v>
      </c>
      <c r="L8135" s="28" t="s">
        <v>51</v>
      </c>
      <c r="M8135" s="25">
        <v>667587</v>
      </c>
      <c r="N8135" s="27">
        <v>8.0952380952380956E-2</v>
      </c>
    </row>
    <row r="8136" spans="1:14" x14ac:dyDescent="0.15">
      <c r="A8136" s="23" t="str">
        <f>HYPERLINK("https://www.spark-marketing.ru/Card/Person/109671", "БДОУ Г. ОМСКА ""ДЕТСКИЙ САД № 210""")</f>
        <v>БДОУ Г. ОМСКА "ДЕТСКИЙ САД № 210"</v>
      </c>
      <c r="B8136" s="24" t="s">
        <v>11980</v>
      </c>
      <c r="C8136" s="25">
        <v>3000</v>
      </c>
      <c r="D8136" s="22" t="s">
        <v>11981</v>
      </c>
      <c r="E8136" s="22" t="s">
        <v>11982</v>
      </c>
      <c r="F8136" s="23" t="str">
        <f>HYPERLINK("https://www.spark-marketing.ru/Card/Lot/72695612", "Поставка продуктов питания")</f>
        <v>Поставка продуктов питания</v>
      </c>
      <c r="G8136" s="22" t="s">
        <v>487</v>
      </c>
      <c r="H8136" s="22" t="s">
        <v>488</v>
      </c>
      <c r="I8136" s="26">
        <v>43686.350694444402</v>
      </c>
      <c r="J8136" s="28" t="s">
        <v>51</v>
      </c>
      <c r="K8136" s="28" t="s">
        <v>51</v>
      </c>
      <c r="L8136" s="28" t="s">
        <v>51</v>
      </c>
      <c r="M8136" s="28" t="s">
        <v>51</v>
      </c>
      <c r="N8136" s="28" t="s">
        <v>51</v>
      </c>
    </row>
    <row r="8137" spans="1:14" x14ac:dyDescent="0.15">
      <c r="A8137" s="23" t="str">
        <f>HYPERLINK("https://www.spark-marketing.ru/Card/Person/28703", "УМВД РОССИИ ПО КАЛУЖСКОЙ ОБЛАСТИ")</f>
        <v>УМВД РОССИИ ПО КАЛУЖСКОЙ ОБЛАСТИ</v>
      </c>
      <c r="B8137" s="24" t="s">
        <v>10477</v>
      </c>
      <c r="C8137" s="25">
        <v>4300000</v>
      </c>
      <c r="D8137" s="22" t="s">
        <v>11983</v>
      </c>
      <c r="E8137" s="22" t="s">
        <v>48</v>
      </c>
      <c r="F8137" s="23" t="str">
        <f>HYPERLINK("https://www.spark-marketing.ru/Card/Lot/72697808", "Оказание услуг по ежедневной организации и доставке горячего трехразового питания лицам, содержащимся в ЦВСИГ УМВД России по Калужской области")</f>
        <v>Оказание услуг по ежедневной организации и доставке горячего трехразового питания лицам, содержащимся в ЦВСИГ УМВД России по Калужской области</v>
      </c>
      <c r="G8137" s="22" t="s">
        <v>112</v>
      </c>
      <c r="H8137" s="22" t="s">
        <v>112</v>
      </c>
      <c r="I8137" s="26">
        <v>43686.3539467593</v>
      </c>
      <c r="J8137" s="23" t="str">
        <f>HYPERLINK("https://www.spark-marketing.ru/Card/Person/4916563", "Халилов Арастун Алхады Оглы")</f>
        <v>Халилов Арастун Алхады Оглы</v>
      </c>
      <c r="K8137" s="24" t="s">
        <v>6140</v>
      </c>
      <c r="L8137" s="22" t="s">
        <v>10</v>
      </c>
      <c r="M8137" s="28" t="s">
        <v>51</v>
      </c>
      <c r="N8137" s="28" t="s">
        <v>51</v>
      </c>
    </row>
    <row r="8138" spans="1:14" x14ac:dyDescent="0.15">
      <c r="A8138" s="23" t="str">
        <f>HYPERLINK("https://www.spark-marketing.ru/Card/Person/14201", "ГБУЗ РК ""УСТЬ-ЦИЛЕМСКАЯ ЦРБ""")</f>
        <v>ГБУЗ РК "УСТЬ-ЦИЛЕМСКАЯ ЦРБ"</v>
      </c>
      <c r="B8138" s="24" t="s">
        <v>729</v>
      </c>
      <c r="C8138" s="25">
        <v>999922.5</v>
      </c>
      <c r="D8138" s="22" t="s">
        <v>11984</v>
      </c>
      <c r="E8138" s="22" t="s">
        <v>48</v>
      </c>
      <c r="F8138" s="23" t="str">
        <f>HYPERLINK("https://www.spark-marketing.ru/Card/Lot/72698502", "Оказание услуг по приготовлению диетического питания в стационарных отделениях ГБУЗ РК «Усть-Цилемская ЦРБ»")</f>
        <v>Оказание услуг по приготовлению диетического питания в стационарных отделениях ГБУЗ РК «Усть-Цилемская ЦРБ»</v>
      </c>
      <c r="G8138" s="22" t="s">
        <v>271</v>
      </c>
      <c r="H8138" s="22" t="s">
        <v>731</v>
      </c>
      <c r="I8138" s="26">
        <v>43686.361319444397</v>
      </c>
      <c r="J8138" s="23" t="str">
        <f>HYPERLINK("https://www.spark-marketing.ru/Card/Person/4688351", "Семяшкина Елена Николаевна")</f>
        <v>Семяшкина Елена Николаевна</v>
      </c>
      <c r="K8138" s="24" t="s">
        <v>11985</v>
      </c>
      <c r="L8138" s="22" t="s">
        <v>10</v>
      </c>
      <c r="M8138" s="28" t="s">
        <v>51</v>
      </c>
      <c r="N8138" s="28" t="s">
        <v>51</v>
      </c>
    </row>
    <row r="8139" spans="1:14" x14ac:dyDescent="0.15">
      <c r="A8139" s="23" t="str">
        <f>HYPERLINK("https://www.spark-marketing.ru/Card/Person/28703", "УМВД РОССИИ ПО КАЛУЖСКОЙ ОБЛАСТИ")</f>
        <v>УМВД РОССИИ ПО КАЛУЖСКОЙ ОБЛАСТИ</v>
      </c>
      <c r="B8139" s="24" t="s">
        <v>10477</v>
      </c>
      <c r="C8139" s="25">
        <v>4300000</v>
      </c>
      <c r="D8139" s="22" t="s">
        <v>11986</v>
      </c>
      <c r="E8139" s="22" t="s">
        <v>48</v>
      </c>
      <c r="F8139" s="23" t="str">
        <f>HYPERLINK("https://www.spark-marketing.ru/Card/Lot/72697806", "Оказание услуг по ежедневной организации и доставке горячего трехразового питания лицам, содержащимся в ЦВСИГ УМВД России по Калужской области")</f>
        <v>Оказание услуг по ежедневной организации и доставке горячего трехразового питания лицам, содержащимся в ЦВСИГ УМВД России по Калужской области</v>
      </c>
      <c r="G8139" s="22" t="s">
        <v>112</v>
      </c>
      <c r="H8139" s="22" t="s">
        <v>112</v>
      </c>
      <c r="I8139" s="26">
        <v>43686.353333333303</v>
      </c>
      <c r="J8139" s="23" t="str">
        <f>HYPERLINK("https://www.spark-marketing.ru/Card/Person/4916563", "Халилов Арастун Алхады Оглы")</f>
        <v>Халилов Арастун Алхады Оглы</v>
      </c>
      <c r="K8139" s="24" t="s">
        <v>6140</v>
      </c>
      <c r="L8139" s="22" t="s">
        <v>10</v>
      </c>
      <c r="M8139" s="28" t="s">
        <v>51</v>
      </c>
      <c r="N8139" s="28" t="s">
        <v>51</v>
      </c>
    </row>
    <row r="8140" spans="1:14" x14ac:dyDescent="0.15">
      <c r="A8140" s="23" t="str">
        <f>HYPERLINK("https://www.spark-marketing.ru/Card/Person/123626", "МОУ КОШЕЛЕВСКАЯ ООШ")</f>
        <v>МОУ КОШЕЛЕВСКАЯ ООШ</v>
      </c>
      <c r="B8140" s="24" t="s">
        <v>732</v>
      </c>
      <c r="C8140" s="25">
        <v>351839.24</v>
      </c>
      <c r="D8140" s="22" t="s">
        <v>11987</v>
      </c>
      <c r="E8140" s="22" t="s">
        <v>48</v>
      </c>
      <c r="F8140" s="23" t="str">
        <f>HYPERLINK("https://www.spark-marketing.ru/Card/Lot/72700463", "Услуги по организации питания для учащихся МОУ Кошелевской ООШ на 2-е полугодие 2019 года")</f>
        <v>Услуги по организации питания для учащихся МОУ Кошелевской ООШ на 2-е полугодие 2019 года</v>
      </c>
      <c r="G8140" s="22" t="s">
        <v>49</v>
      </c>
      <c r="H8140" s="22" t="s">
        <v>49</v>
      </c>
      <c r="I8140" s="26">
        <v>43686.374027777798</v>
      </c>
      <c r="J8140" s="28" t="s">
        <v>51</v>
      </c>
      <c r="K8140" s="28" t="s">
        <v>51</v>
      </c>
      <c r="L8140" s="28" t="s">
        <v>51</v>
      </c>
      <c r="M8140" s="28" t="s">
        <v>51</v>
      </c>
      <c r="N8140" s="28" t="s">
        <v>51</v>
      </c>
    </row>
    <row r="8141" spans="1:14" ht="12.75" hidden="1" outlineLevel="1" x14ac:dyDescent="0.2">
      <c r="A8141" s="23" t="str">
        <f>HYPERLINK("https://www.spark-marketing.ru/Card/Person/123626", "МОУ КОШЕЛЕВСКАЯ ООШ")</f>
        <v>МОУ КОШЕЛЕВСКАЯ ООШ</v>
      </c>
      <c r="B8141" s="24" t="s">
        <v>732</v>
      </c>
      <c r="C8141" s="25">
        <v>351839.24</v>
      </c>
      <c r="D8141" s="22" t="s">
        <v>11987</v>
      </c>
      <c r="E8141" s="22" t="s">
        <v>48</v>
      </c>
      <c r="F8141" s="23" t="str">
        <f>HYPERLINK("https://www.spark-marketing.ru/Card/Lot/72700463", "Услуги по организации питания для учащихся МОУ Кошелевской ООШ на 2-е полугодие 2019 года")</f>
        <v>Услуги по организации питания для учащихся МОУ Кошелевской ООШ на 2-е полугодие 2019 года</v>
      </c>
      <c r="G8141" s="22" t="s">
        <v>49</v>
      </c>
      <c r="H8141" s="22" t="s">
        <v>49</v>
      </c>
      <c r="I8141" s="26">
        <v>43686.374027777798</v>
      </c>
      <c r="J8141" s="23" t="str">
        <f>HYPERLINK("https://www.spark-marketing.ru/Card/Person/75516", "ООО ""КОНЦЕПТ""")</f>
        <v>ООО "КОНЦЕПТ"</v>
      </c>
      <c r="K8141" s="24" t="s">
        <v>1717</v>
      </c>
      <c r="L8141" s="22" t="s">
        <v>10</v>
      </c>
      <c r="M8141" s="25">
        <v>325773.34000000003</v>
      </c>
      <c r="N8141" s="27">
        <v>7.4084687086068052E-2</v>
      </c>
    </row>
    <row r="8142" spans="1:14" hidden="1" outlineLevel="1" x14ac:dyDescent="0.2">
      <c r="A8142" s="23" t="str">
        <f>HYPERLINK("https://www.spark-marketing.ru/Card/Person/123626", "МОУ КОШЕЛЕВСКАЯ ООШ")</f>
        <v>МОУ КОШЕЛЕВСКАЯ ООШ</v>
      </c>
      <c r="B8142" s="24" t="s">
        <v>732</v>
      </c>
      <c r="C8142" s="25">
        <v>351839.24</v>
      </c>
      <c r="D8142" s="22" t="s">
        <v>11987</v>
      </c>
      <c r="E8142" s="22" t="s">
        <v>48</v>
      </c>
      <c r="F8142" s="23" t="str">
        <f>HYPERLINK("https://www.spark-marketing.ru/Card/Lot/72700463", "Услуги по организации питания для учащихся МОУ Кошелевской ООШ на 2-е полугодие 2019 года")</f>
        <v>Услуги по организации питания для учащихся МОУ Кошелевской ООШ на 2-е полугодие 2019 года</v>
      </c>
      <c r="G8142" s="22" t="s">
        <v>49</v>
      </c>
      <c r="H8142" s="22" t="s">
        <v>49</v>
      </c>
      <c r="I8142" s="26">
        <v>43686.374027777798</v>
      </c>
      <c r="J8142" s="23" t="str">
        <f>HYPERLINK("https://www.spark-marketing.ru/Card/Person/31262", "ООО ""АЛЬЯНС""")</f>
        <v>ООО "АЛЬЯНС"</v>
      </c>
      <c r="K8142" s="24" t="s">
        <v>1718</v>
      </c>
      <c r="L8142" s="28" t="s">
        <v>51</v>
      </c>
      <c r="M8142" s="25">
        <v>332488.03999999998</v>
      </c>
      <c r="N8142" s="27">
        <v>5.5000118804258445E-2</v>
      </c>
    </row>
    <row r="8143" spans="1:14" x14ac:dyDescent="0.15">
      <c r="A8143" s="23" t="str">
        <f>HYPERLINK("https://www.spark-marketing.ru/Card/Person/639159", "ОТДЕЛ МВД РОССИИ ПО МЕЛЕУЗОВСКОМУ РАЙОНУ")</f>
        <v>ОТДЕЛ МВД РОССИИ ПО МЕЛЕУЗОВСКОМУ РАЙОНУ</v>
      </c>
      <c r="B8143" s="24" t="s">
        <v>9041</v>
      </c>
      <c r="C8143" s="25">
        <v>300000</v>
      </c>
      <c r="D8143" s="22" t="s">
        <v>11988</v>
      </c>
      <c r="E8143" s="22" t="s">
        <v>48</v>
      </c>
      <c r="F8143" s="23" t="str">
        <f>HYPERLINK("https://www.spark-marketing.ru/Card/Lot/72693585", "Оказание услуг по организации питания следственно - арестованных и административно - арестованных лиц, содержащихся в ИВС")</f>
        <v>Оказание услуг по организации питания следственно - арестованных и административно - арестованных лиц, содержащихся в ИВС</v>
      </c>
      <c r="G8143" s="22" t="s">
        <v>145</v>
      </c>
      <c r="H8143" s="22" t="s">
        <v>9043</v>
      </c>
      <c r="I8143" s="26">
        <v>43686.355023148099</v>
      </c>
      <c r="J8143" s="28" t="s">
        <v>51</v>
      </c>
      <c r="K8143" s="28" t="s">
        <v>51</v>
      </c>
      <c r="L8143" s="28" t="s">
        <v>51</v>
      </c>
      <c r="M8143" s="28" t="s">
        <v>51</v>
      </c>
      <c r="N8143" s="28" t="s">
        <v>51</v>
      </c>
    </row>
    <row r="8144" spans="1:14" x14ac:dyDescent="0.15">
      <c r="A8144" s="23" t="str">
        <f>HYPERLINK("https://www.spark-marketing.ru/Card/Person/31347", "МБОУ ""СОШ № 2"" С. ЧУГУЕВКА")</f>
        <v>МБОУ "СОШ № 2" С. ЧУГУЕВКА</v>
      </c>
      <c r="B8144" s="24" t="s">
        <v>11989</v>
      </c>
      <c r="C8144" s="25">
        <v>1805184</v>
      </c>
      <c r="D8144" s="22" t="s">
        <v>11990</v>
      </c>
      <c r="E8144" s="22" t="s">
        <v>48</v>
      </c>
      <c r="F8144" s="23" t="str">
        <f>HYPERLINK("https://www.spark-marketing.ru/Card/Lot/72691923", "Услуги по обеспечению питанием учащихся 1-4 классов и учащихся льготных категорий")</f>
        <v>Услуги по обеспечению питанием учащихся 1-4 классов и учащихся льготных категорий</v>
      </c>
      <c r="G8144" s="22" t="s">
        <v>543</v>
      </c>
      <c r="H8144" s="22" t="s">
        <v>11991</v>
      </c>
      <c r="I8144" s="26">
        <v>43686.343935185199</v>
      </c>
      <c r="J8144" s="23" t="str">
        <f>HYPERLINK("https://www.spark-marketing.ru/Card/Person/1686660", "Чистякова Наталья Владимировна")</f>
        <v>Чистякова Наталья Владимировна</v>
      </c>
      <c r="K8144" s="24" t="s">
        <v>11992</v>
      </c>
      <c r="L8144" s="22" t="s">
        <v>10</v>
      </c>
      <c r="M8144" s="28" t="s">
        <v>51</v>
      </c>
      <c r="N8144" s="28" t="s">
        <v>51</v>
      </c>
    </row>
    <row r="8145" spans="1:14" x14ac:dyDescent="0.15">
      <c r="A8145" s="23" t="str">
        <f>HYPERLINK("https://www.spark-marketing.ru/Card/Person/33250", "ФГБОУ ВО ""ВГУ""")</f>
        <v>ФГБОУ ВО "ВГУ"</v>
      </c>
      <c r="B8145" s="24" t="s">
        <v>3566</v>
      </c>
      <c r="C8145" s="25">
        <v>476500</v>
      </c>
      <c r="D8145" s="22" t="s">
        <v>11993</v>
      </c>
      <c r="E8145" s="22" t="s">
        <v>362</v>
      </c>
      <c r="F8145" s="23" t="str">
        <f>HYPERLINK("https://www.spark-marketing.ru/Card/Lot/72715267", "Оказание услуг общественного питания")</f>
        <v>Оказание услуг общественного питания</v>
      </c>
      <c r="G8145" s="22" t="s">
        <v>82</v>
      </c>
      <c r="H8145" s="22" t="s">
        <v>83</v>
      </c>
      <c r="I8145" s="26">
        <v>43686</v>
      </c>
      <c r="J8145" s="28" t="s">
        <v>51</v>
      </c>
      <c r="K8145" s="28" t="s">
        <v>51</v>
      </c>
      <c r="L8145" s="28" t="s">
        <v>51</v>
      </c>
      <c r="M8145" s="28" t="s">
        <v>51</v>
      </c>
      <c r="N8145" s="28" t="s">
        <v>51</v>
      </c>
    </row>
    <row r="8146" spans="1:14" x14ac:dyDescent="0.15">
      <c r="A8146" s="23" t="str">
        <f>HYPERLINK("https://www.spark-marketing.ru/Card/Person/4365974", "ООО ""ГАЗПРОМ ДОБЫЧА АСТРАХАНЬ""")</f>
        <v>ООО "ГАЗПРОМ ДОБЫЧА АСТРАХАНЬ"</v>
      </c>
      <c r="B8146" s="24" t="s">
        <v>11994</v>
      </c>
      <c r="C8146" s="25">
        <v>1408918.74</v>
      </c>
      <c r="D8146" s="22" t="s">
        <v>11995</v>
      </c>
      <c r="E8146" s="22" t="s">
        <v>562</v>
      </c>
      <c r="F8146" s="23" t="str">
        <f>HYPERLINK("https://www.spark-marketing.ru/Card/Lot/72704222", "Организация завтраков категории ""Эконом"" при проведении производственных совещаний в ООО «Газпром добыча Астрахань» в 2020 г.")</f>
        <v>Организация завтраков категории "Эконом" при проведении производственных совещаний в ООО «Газпром добыча Астрахань» в 2020 г.</v>
      </c>
      <c r="G8146" s="22" t="s">
        <v>141</v>
      </c>
      <c r="H8146" s="22" t="s">
        <v>2201</v>
      </c>
      <c r="I8146" s="26">
        <v>43686</v>
      </c>
      <c r="J8146" s="28" t="s">
        <v>51</v>
      </c>
      <c r="K8146" s="28" t="s">
        <v>51</v>
      </c>
      <c r="L8146" s="22" t="s">
        <v>10</v>
      </c>
      <c r="M8146" s="28" t="s">
        <v>51</v>
      </c>
      <c r="N8146" s="28" t="s">
        <v>51</v>
      </c>
    </row>
    <row r="8147" spans="1:14" x14ac:dyDescent="0.2">
      <c r="A8147" s="23" t="str">
        <f>HYPERLINK("https://www.spark-marketing.ru/Card/Person/1716488", "ООО ""ГАЗПРОМ ГАЗОБЕЗОПАСНОСТЬ""")</f>
        <v>ООО "ГАЗПРОМ ГАЗОБЕЗОПАСНОСТЬ"</v>
      </c>
      <c r="B8147" s="24" t="s">
        <v>11996</v>
      </c>
      <c r="C8147" s="25">
        <v>4176000</v>
      </c>
      <c r="D8147" s="22" t="s">
        <v>11997</v>
      </c>
      <c r="E8147" s="22" t="s">
        <v>362</v>
      </c>
      <c r="F8147" s="23" t="str">
        <f>HYPERLINK("https://www.spark-marketing.ru/Card/Lot/72715369", "Оказание услуг по обеспечению двухразовым горячим питанием вахтового персонала для Оренбургской ВЧ ООО ""Газпром газобезопасность""")</f>
        <v>Оказание услуг по обеспечению двухразовым горячим питанием вахтового персонала для Оренбургской ВЧ ООО "Газпром газобезопасность"</v>
      </c>
      <c r="G8147" s="22" t="s">
        <v>56</v>
      </c>
      <c r="H8147" s="22" t="s">
        <v>56</v>
      </c>
      <c r="I8147" s="26">
        <v>43686</v>
      </c>
      <c r="J8147" s="28" t="s">
        <v>51</v>
      </c>
      <c r="K8147" s="28" t="s">
        <v>51</v>
      </c>
      <c r="L8147" s="22" t="s">
        <v>10</v>
      </c>
      <c r="M8147" s="25">
        <v>3480000</v>
      </c>
      <c r="N8147" s="27">
        <v>0.16666666666666666</v>
      </c>
    </row>
    <row r="8148" spans="1:14" x14ac:dyDescent="0.15">
      <c r="A8148" s="23" t="str">
        <f>HYPERLINK("https://www.spark-marketing.ru/Card/Person/33250", "ФГБОУ ВО ""ВГУ""")</f>
        <v>ФГБОУ ВО "ВГУ"</v>
      </c>
      <c r="B8148" s="24" t="s">
        <v>3566</v>
      </c>
      <c r="C8148" s="25">
        <v>431500</v>
      </c>
      <c r="D8148" s="22" t="s">
        <v>11998</v>
      </c>
      <c r="E8148" s="22" t="s">
        <v>362</v>
      </c>
      <c r="F8148" s="23" t="str">
        <f>HYPERLINK("https://www.spark-marketing.ru/Card/Lot/72715263", "Оказание услуг общественного питания")</f>
        <v>Оказание услуг общественного питания</v>
      </c>
      <c r="G8148" s="22" t="s">
        <v>82</v>
      </c>
      <c r="H8148" s="22" t="s">
        <v>83</v>
      </c>
      <c r="I8148" s="26">
        <v>43686</v>
      </c>
      <c r="J8148" s="28" t="s">
        <v>51</v>
      </c>
      <c r="K8148" s="28" t="s">
        <v>51</v>
      </c>
      <c r="L8148" s="28" t="s">
        <v>51</v>
      </c>
      <c r="M8148" s="28" t="s">
        <v>51</v>
      </c>
      <c r="N8148" s="28" t="s">
        <v>51</v>
      </c>
    </row>
    <row r="8149" spans="1:14" x14ac:dyDescent="0.15">
      <c r="A8149" s="23" t="str">
        <f>HYPERLINK("https://www.spark-marketing.ru/Card/Person/4434648", "МАОУ СОШ №26")</f>
        <v>МАОУ СОШ №26</v>
      </c>
      <c r="B8149" s="24" t="s">
        <v>11999</v>
      </c>
      <c r="C8149" s="25">
        <v>706244</v>
      </c>
      <c r="D8149" s="22" t="s">
        <v>12000</v>
      </c>
      <c r="E8149" s="22" t="s">
        <v>362</v>
      </c>
      <c r="F8149" s="23" t="str">
        <f>HYPERLINK("https://www.spark-marketing.ru/Card/Lot/72711895", "Оказание услуг по организации питания обучающихся для нужд МАОУ СОШ №26.")</f>
        <v>Оказание услуг по организации питания обучающихся для нужд МАОУ СОШ №26.</v>
      </c>
      <c r="G8149" s="22" t="s">
        <v>400</v>
      </c>
      <c r="H8149" s="22" t="s">
        <v>401</v>
      </c>
      <c r="I8149" s="26">
        <v>43686</v>
      </c>
      <c r="J8149" s="28" t="s">
        <v>51</v>
      </c>
      <c r="K8149" s="28" t="s">
        <v>51</v>
      </c>
      <c r="L8149" s="28" t="s">
        <v>51</v>
      </c>
      <c r="M8149" s="28" t="s">
        <v>51</v>
      </c>
      <c r="N8149" s="28" t="s">
        <v>51</v>
      </c>
    </row>
    <row r="8150" spans="1:14" x14ac:dyDescent="0.15">
      <c r="A8150" s="23" t="str">
        <f>HYPERLINK("https://www.spark-marketing.ru/Card/Person/947644", "МАОУ ГИМНАЗИЯ № 11")</f>
        <v>МАОУ ГИМНАЗИЯ № 11</v>
      </c>
      <c r="B8150" s="24" t="s">
        <v>12001</v>
      </c>
      <c r="C8150" s="25">
        <v>245326.32</v>
      </c>
      <c r="D8150" s="22" t="s">
        <v>12002</v>
      </c>
      <c r="E8150" s="22" t="s">
        <v>362</v>
      </c>
      <c r="F8150" s="23" t="str">
        <f>HYPERLINK("https://www.spark-marketing.ru/Card/Lot/72697166", "Оказание услуг поорганизации горячего питания в первой четверти 2019- 2020 учебного года")</f>
        <v>Оказание услуг поорганизации горячего питания в первой четверти 2019- 2020 учебного года</v>
      </c>
      <c r="G8150" s="22" t="s">
        <v>281</v>
      </c>
      <c r="H8150" s="22" t="s">
        <v>281</v>
      </c>
      <c r="I8150" s="26">
        <v>43686</v>
      </c>
      <c r="J8150" s="28" t="s">
        <v>51</v>
      </c>
      <c r="K8150" s="28" t="s">
        <v>51</v>
      </c>
      <c r="L8150" s="28" t="s">
        <v>51</v>
      </c>
      <c r="M8150" s="28" t="s">
        <v>51</v>
      </c>
      <c r="N8150" s="28" t="s">
        <v>51</v>
      </c>
    </row>
    <row r="8151" spans="1:14" x14ac:dyDescent="0.15">
      <c r="A8151" s="23" t="str">
        <f>HYPERLINK("https://www.spark-marketing.ru/Card/Person/42354", "СПБГЭТУ ""ЛЭТИ""")</f>
        <v>СПБГЭТУ "ЛЭТИ"</v>
      </c>
      <c r="B8151" s="24" t="s">
        <v>12003</v>
      </c>
      <c r="C8151" s="25">
        <v>1813509</v>
      </c>
      <c r="D8151" s="22" t="s">
        <v>12004</v>
      </c>
      <c r="E8151" s="22" t="s">
        <v>769</v>
      </c>
      <c r="F8151" s="23" t="str">
        <f>HYPERLINK("https://www.spark-marketing.ru/Card/Lot/72710237", "Оказание услуг по временному размещению и питанию участников культурно-массовых мероприятий для обучающихся СПбГЭТУ «ЛЭТИ»")</f>
        <v>Оказание услуг по временному размещению и питанию участников культурно-массовых мероприятий для обучающихся СПбГЭТУ «ЛЭТИ»</v>
      </c>
      <c r="G8151" s="22" t="s">
        <v>117</v>
      </c>
      <c r="H8151" s="22" t="s">
        <v>117</v>
      </c>
      <c r="I8151" s="26">
        <v>43686</v>
      </c>
      <c r="J8151" s="28" t="s">
        <v>51</v>
      </c>
      <c r="K8151" s="28" t="s">
        <v>51</v>
      </c>
      <c r="L8151" s="28" t="s">
        <v>51</v>
      </c>
      <c r="M8151" s="28" t="s">
        <v>51</v>
      </c>
      <c r="N8151" s="28" t="s">
        <v>51</v>
      </c>
    </row>
    <row r="8152" spans="1:14" x14ac:dyDescent="0.2">
      <c r="A8152" s="23" t="str">
        <f>HYPERLINK("https://www.spark-marketing.ru/Card/Person/1762925", "ГАУ ДО ТО ""ДТИС""ПИОНЕР""")</f>
        <v>ГАУ ДО ТО "ДТИС"ПИОНЕР"</v>
      </c>
      <c r="B8152" s="24" t="s">
        <v>1228</v>
      </c>
      <c r="C8152" s="25">
        <v>200000</v>
      </c>
      <c r="D8152" s="22" t="s">
        <v>12005</v>
      </c>
      <c r="E8152" s="22" t="s">
        <v>362</v>
      </c>
      <c r="F8152" s="23" t="str">
        <f>HYPERLINK("https://www.spark-marketing.ru/Card/Lot/72698041", "Оказание услуг по организации питания и транспортных услуг по перевозке оборудования в рамках проведения XII Межрегионального экологического фестиваля «Живая планета» (далее - Услуги), в период с 11 по 16 августа 2019 года, на территории учебного цен...")</f>
        <v>Оказание услуг по организации питания и транспортных услуг по перевозке оборудования в рамках проведения XII Межрегионального экологического фестиваля «Живая планета» (далее - Услуги), в период с 11 по 16 августа 2019 года, на территории учебного цен...</v>
      </c>
      <c r="G8152" s="22" t="s">
        <v>766</v>
      </c>
      <c r="H8152" s="22" t="s">
        <v>766</v>
      </c>
      <c r="I8152" s="26">
        <v>43686</v>
      </c>
      <c r="J8152" s="28" t="s">
        <v>51</v>
      </c>
      <c r="K8152" s="28" t="s">
        <v>51</v>
      </c>
      <c r="L8152" s="28" t="s">
        <v>51</v>
      </c>
      <c r="M8152" s="25">
        <v>200000</v>
      </c>
      <c r="N8152" s="27">
        <v>0</v>
      </c>
    </row>
    <row r="8153" spans="1:14" x14ac:dyDescent="0.2">
      <c r="A8153" s="23" t="str">
        <f>HYPERLINK("https://www.spark-marketing.ru/Card/Person/1759314", "МОУ ""СОШ № 7""")</f>
        <v>МОУ "СОШ № 7"</v>
      </c>
      <c r="B8153" s="24" t="s">
        <v>7265</v>
      </c>
      <c r="C8153" s="25">
        <v>238000</v>
      </c>
      <c r="D8153" s="22" t="s">
        <v>12006</v>
      </c>
      <c r="E8153" s="22" t="s">
        <v>362</v>
      </c>
      <c r="F8153" s="23" t="str">
        <f>HYPERLINK("https://www.spark-marketing.ru/Card/Lot/72705227", "Оказание услуг по обеспечению льготным питанием детей из малообеспеченных семей и детей с нарушениями здоровья, обучающихся в МОУ ""СОШ № 7""")</f>
        <v>Оказание услуг по обеспечению льготным питанием детей из малообеспеченных семей и детей с нарушениями здоровья, обучающихся в МОУ "СОШ № 7"</v>
      </c>
      <c r="G8153" s="22" t="s">
        <v>469</v>
      </c>
      <c r="H8153" s="22" t="s">
        <v>469</v>
      </c>
      <c r="I8153" s="26">
        <v>43686</v>
      </c>
      <c r="J8153" s="28" t="s">
        <v>51</v>
      </c>
      <c r="K8153" s="28" t="s">
        <v>51</v>
      </c>
      <c r="L8153" s="22" t="s">
        <v>10</v>
      </c>
      <c r="M8153" s="25">
        <v>238000</v>
      </c>
      <c r="N8153" s="27">
        <v>0</v>
      </c>
    </row>
    <row r="8154" spans="1:14" x14ac:dyDescent="0.15">
      <c r="A8154" s="23" t="str">
        <f>HYPERLINK("https://www.spark-marketing.ru/Card/Person/540172", "ОГАУ ""ФК ""САХАЛИН""")</f>
        <v>ОГАУ "ФК "САХАЛИН"</v>
      </c>
      <c r="B8154" s="24" t="s">
        <v>1416</v>
      </c>
      <c r="C8154" s="25">
        <v>504000</v>
      </c>
      <c r="D8154" s="22" t="s">
        <v>12007</v>
      </c>
      <c r="E8154" s="22" t="s">
        <v>362</v>
      </c>
      <c r="F8154" s="23" t="str">
        <f>HYPERLINK("https://www.spark-marketing.ru/Card/Lot/72698096", "Оказание услуг по организации питания")</f>
        <v>Оказание услуг по организации питания</v>
      </c>
      <c r="G8154" s="22" t="s">
        <v>260</v>
      </c>
      <c r="H8154" s="22" t="s">
        <v>260</v>
      </c>
      <c r="I8154" s="26">
        <v>43686</v>
      </c>
      <c r="J8154" s="28" t="s">
        <v>51</v>
      </c>
      <c r="K8154" s="28" t="s">
        <v>51</v>
      </c>
      <c r="L8154" s="28" t="s">
        <v>51</v>
      </c>
      <c r="M8154" s="28" t="s">
        <v>51</v>
      </c>
      <c r="N8154" s="28" t="s">
        <v>51</v>
      </c>
    </row>
    <row r="8155" spans="1:14" x14ac:dyDescent="0.2">
      <c r="A8155" s="23" t="str">
        <f>HYPERLINK("https://www.spark-marketing.ru/Card/Person/1053704", "МАОУ СОШ № 3 ИМ. ПУШКИНА")</f>
        <v>МАОУ СОШ № 3 ИМ. ПУШКИНА</v>
      </c>
      <c r="B8155" s="24" t="s">
        <v>6806</v>
      </c>
      <c r="C8155" s="25">
        <v>4440640</v>
      </c>
      <c r="D8155" s="22" t="s">
        <v>12008</v>
      </c>
      <c r="E8155" s="22" t="s">
        <v>362</v>
      </c>
      <c r="F8155" s="23" t="str">
        <f>HYPERLINK("https://www.spark-marketing.ru/Card/Lot/72710136", "Оказание услуги по организации питания обучающихся МАОУ СОШ № 3 им. Пушкина в 1 полугодии 2019-2020 учебного года")</f>
        <v>Оказание услуги по организации питания обучающихся МАОУ СОШ № 3 им. Пушкина в 1 полугодии 2019-2020 учебного года</v>
      </c>
      <c r="G8155" s="22" t="s">
        <v>104</v>
      </c>
      <c r="H8155" s="22" t="s">
        <v>104</v>
      </c>
      <c r="I8155" s="26">
        <v>43686</v>
      </c>
      <c r="J8155" s="28" t="s">
        <v>51</v>
      </c>
      <c r="K8155" s="28" t="s">
        <v>51</v>
      </c>
      <c r="L8155" s="22" t="s">
        <v>10</v>
      </c>
      <c r="M8155" s="25">
        <v>4431240</v>
      </c>
      <c r="N8155" s="27">
        <v>2.1168119910643509E-3</v>
      </c>
    </row>
    <row r="8156" spans="1:14" x14ac:dyDescent="0.15">
      <c r="A8156" s="23" t="str">
        <f>HYPERLINK("https://www.spark-marketing.ru/Card/Person/277524", "ГУП АО ""ФОНД ИМУЩЕСТВА И ИНВЕСТИЦИЙ""")</f>
        <v>ГУП АО "ФОНД ИМУЩЕСТВА И ИНВЕСТИЦИЙ"</v>
      </c>
      <c r="B8156" s="24" t="s">
        <v>6470</v>
      </c>
      <c r="C8156" s="25">
        <v>1000000</v>
      </c>
      <c r="D8156" s="22" t="s">
        <v>12009</v>
      </c>
      <c r="E8156" s="22" t="s">
        <v>580</v>
      </c>
      <c r="F8156" s="23" t="str">
        <f>HYPERLINK("https://www.spark-marketing.ru/Card/Lot/72713274", "на оказание услуг по организации питания проживающих в Бизнес-центр-отеле ""Столица Поморья""")</f>
        <v>на оказание услуг по организации питания проживающих в Бизнес-центр-отеле "Столица Поморья"</v>
      </c>
      <c r="G8156" s="22" t="s">
        <v>214</v>
      </c>
      <c r="H8156" s="22" t="s">
        <v>214</v>
      </c>
      <c r="I8156" s="26">
        <v>43686</v>
      </c>
      <c r="J8156" s="28" t="s">
        <v>51</v>
      </c>
      <c r="K8156" s="28" t="s">
        <v>51</v>
      </c>
      <c r="L8156" s="28" t="s">
        <v>51</v>
      </c>
      <c r="M8156" s="28" t="s">
        <v>51</v>
      </c>
      <c r="N8156" s="28" t="s">
        <v>51</v>
      </c>
    </row>
    <row r="8157" spans="1:14" x14ac:dyDescent="0.2">
      <c r="A8157" s="23" t="str">
        <f>HYPERLINK("https://www.spark-marketing.ru/Card/Person/87752", "АО ""НПП ""АЛМАЗ""")</f>
        <v>АО "НПП "АЛМАЗ"</v>
      </c>
      <c r="B8157" s="24" t="s">
        <v>2980</v>
      </c>
      <c r="C8157" s="25">
        <v>1667647</v>
      </c>
      <c r="D8157" s="22" t="s">
        <v>12010</v>
      </c>
      <c r="E8157" s="22" t="s">
        <v>2265</v>
      </c>
      <c r="F8157" s="23" t="str">
        <f>HYPERLINK("https://www.spark-marketing.ru/Card/Lot/72701224", "0570-2019-00328 Предоставление услуги по обеспечению лечебно-профилактическим питанием работников")</f>
        <v>0570-2019-00328 Предоставление услуги по обеспечению лечебно-профилактическим питанием работников</v>
      </c>
      <c r="G8157" s="22" t="s">
        <v>351</v>
      </c>
      <c r="H8157" s="22" t="s">
        <v>2983</v>
      </c>
      <c r="I8157" s="26">
        <v>43686</v>
      </c>
      <c r="J8157" s="28" t="s">
        <v>51</v>
      </c>
      <c r="K8157" s="28" t="s">
        <v>51</v>
      </c>
      <c r="L8157" s="28" t="s">
        <v>51</v>
      </c>
      <c r="M8157" s="25">
        <v>1665000</v>
      </c>
      <c r="N8157" s="27">
        <v>1.5872663699212123E-3</v>
      </c>
    </row>
    <row r="8158" spans="1:14" x14ac:dyDescent="0.2">
      <c r="A8158" s="23" t="str">
        <f>HYPERLINK("https://www.spark-marketing.ru/Card/Person/1693711", "АО ""МЕЖДУНАРОДНЫЙ АЭРОПОРТ ""ВНУКОВО""")</f>
        <v>АО "МЕЖДУНАРОДНЫЙ АЭРОПОРТ "ВНУКОВО"</v>
      </c>
      <c r="B8158" s="24" t="s">
        <v>12011</v>
      </c>
      <c r="C8158" s="25">
        <v>1050000</v>
      </c>
      <c r="D8158" s="22" t="s">
        <v>12012</v>
      </c>
      <c r="E8158" s="22" t="s">
        <v>958</v>
      </c>
      <c r="F8158" s="23" t="str">
        <f>HYPERLINK("https://www.spark-marketing.ru/Card/Lot/72715303", "Услуги по техническому аудиту телескопических трапов и источников наземного питания.")</f>
        <v>Услуги по техническому аудиту телескопических трапов и источников наземного питания.</v>
      </c>
      <c r="G8158" s="22" t="s">
        <v>56</v>
      </c>
      <c r="H8158" s="22" t="s">
        <v>56</v>
      </c>
      <c r="I8158" s="26">
        <v>43686</v>
      </c>
      <c r="J8158" s="28" t="s">
        <v>51</v>
      </c>
      <c r="K8158" s="28" t="s">
        <v>51</v>
      </c>
      <c r="L8158" s="28" t="s">
        <v>51</v>
      </c>
      <c r="M8158" s="25">
        <v>1050000</v>
      </c>
      <c r="N8158" s="27">
        <v>0</v>
      </c>
    </row>
    <row r="8159" spans="1:14" x14ac:dyDescent="0.2">
      <c r="A8159" s="23" t="str">
        <f>HYPERLINK("https://www.spark-marketing.ru/Card/Person/1072598", "МАОУ ""СОШ №20""")</f>
        <v>МАОУ "СОШ №20"</v>
      </c>
      <c r="B8159" s="24" t="s">
        <v>12013</v>
      </c>
      <c r="C8159" s="25">
        <v>284900</v>
      </c>
      <c r="D8159" s="22" t="s">
        <v>12014</v>
      </c>
      <c r="E8159" s="22" t="s">
        <v>362</v>
      </c>
      <c r="F8159" s="23" t="str">
        <f>HYPERLINK("https://www.spark-marketing.ru/Card/Lot/72690159", "Оказание услуг по организации питания обучающихся классы с ограниченными возможностями здоровья с 1-го по 11-й")</f>
        <v>Оказание услуг по организации питания обучающихся классы с ограниченными возможностями здоровья с 1-го по 11-й</v>
      </c>
      <c r="G8159" s="22" t="s">
        <v>1972</v>
      </c>
      <c r="H8159" s="22" t="s">
        <v>1972</v>
      </c>
      <c r="I8159" s="26">
        <v>43685</v>
      </c>
      <c r="J8159" s="28" t="s">
        <v>51</v>
      </c>
      <c r="K8159" s="28" t="s">
        <v>51</v>
      </c>
      <c r="L8159" s="22" t="s">
        <v>10</v>
      </c>
      <c r="M8159" s="25">
        <v>284900</v>
      </c>
      <c r="N8159" s="27">
        <v>0</v>
      </c>
    </row>
    <row r="8160" spans="1:14" x14ac:dyDescent="0.15">
      <c r="A8160" s="23" t="str">
        <f>HYPERLINK("https://www.spark-marketing.ru/Card/Person/33250", "ФГБОУ ВО ""ВГУ""")</f>
        <v>ФГБОУ ВО "ВГУ"</v>
      </c>
      <c r="B8160" s="24" t="s">
        <v>3566</v>
      </c>
      <c r="C8160" s="25">
        <v>387000</v>
      </c>
      <c r="D8160" s="22" t="s">
        <v>12015</v>
      </c>
      <c r="E8160" s="22" t="s">
        <v>362</v>
      </c>
      <c r="F8160" s="23" t="str">
        <f>HYPERLINK("https://www.spark-marketing.ru/Card/Lot/72716669", "Оказание услуг общественного питания")</f>
        <v>Оказание услуг общественного питания</v>
      </c>
      <c r="G8160" s="22" t="s">
        <v>82</v>
      </c>
      <c r="H8160" s="22" t="s">
        <v>83</v>
      </c>
      <c r="I8160" s="26">
        <v>43686</v>
      </c>
      <c r="J8160" s="28" t="s">
        <v>51</v>
      </c>
      <c r="K8160" s="28" t="s">
        <v>51</v>
      </c>
      <c r="L8160" s="28" t="s">
        <v>51</v>
      </c>
      <c r="M8160" s="28" t="s">
        <v>51</v>
      </c>
      <c r="N8160" s="28" t="s">
        <v>51</v>
      </c>
    </row>
    <row r="8161" spans="1:14" x14ac:dyDescent="0.2">
      <c r="A8161" s="23" t="str">
        <f>HYPERLINK("https://www.spark-marketing.ru/Card/Person/106524", "МАУ ""ЗДОЛ ""ЗОЛОТОЙ ЛУГ""")</f>
        <v>МАУ "ЗДОЛ "ЗОЛОТОЙ ЛУГ"</v>
      </c>
      <c r="B8161" s="24" t="s">
        <v>9277</v>
      </c>
      <c r="C8161" s="25">
        <v>943500</v>
      </c>
      <c r="D8161" s="22" t="s">
        <v>12016</v>
      </c>
      <c r="E8161" s="22" t="s">
        <v>362</v>
      </c>
      <c r="F8161" s="23" t="str">
        <f>HYPERLINK("https://www.spark-marketing.ru/Card/Lot/72699307", "Оказание услуг по организации питания детей в загородном оздоровительном лагере МАУ «ЗДОЛ «Золотой луг» в период летних каникул 2019 года.")</f>
        <v>Оказание услуг по организации питания детей в загородном оздоровительном лагере МАУ «ЗДОЛ «Золотой луг» в период летних каникул 2019 года.</v>
      </c>
      <c r="G8161" s="22" t="s">
        <v>174</v>
      </c>
      <c r="H8161" s="22" t="s">
        <v>174</v>
      </c>
      <c r="I8161" s="26">
        <v>43686</v>
      </c>
      <c r="J8161" s="28" t="s">
        <v>51</v>
      </c>
      <c r="K8161" s="28" t="s">
        <v>51</v>
      </c>
      <c r="L8161" s="22" t="s">
        <v>10</v>
      </c>
      <c r="M8161" s="25">
        <v>943500</v>
      </c>
      <c r="N8161" s="27">
        <v>0</v>
      </c>
    </row>
    <row r="8162" spans="1:14" x14ac:dyDescent="0.2">
      <c r="A8162" s="23" t="str">
        <f>HYPERLINK("https://www.spark-marketing.ru/Card/Person/1072598", "МАОУ ""СОШ №20""")</f>
        <v>МАОУ "СОШ №20"</v>
      </c>
      <c r="B8162" s="24" t="s">
        <v>12013</v>
      </c>
      <c r="C8162" s="25">
        <v>847800</v>
      </c>
      <c r="D8162" s="22" t="s">
        <v>12014</v>
      </c>
      <c r="E8162" s="22" t="s">
        <v>362</v>
      </c>
      <c r="F8162" s="23" t="str">
        <f>HYPERLINK("https://www.spark-marketing.ru/Card/Lot/72690158", "Оказание услуг по организации питания обучающихся из малоимущих семей")</f>
        <v>Оказание услуг по организации питания обучающихся из малоимущих семей</v>
      </c>
      <c r="G8162" s="22" t="s">
        <v>1972</v>
      </c>
      <c r="H8162" s="22" t="s">
        <v>1972</v>
      </c>
      <c r="I8162" s="26">
        <v>43685</v>
      </c>
      <c r="J8162" s="28" t="s">
        <v>51</v>
      </c>
      <c r="K8162" s="28" t="s">
        <v>51</v>
      </c>
      <c r="L8162" s="22" t="s">
        <v>10</v>
      </c>
      <c r="M8162" s="25">
        <v>847800</v>
      </c>
      <c r="N8162" s="27">
        <v>0</v>
      </c>
    </row>
    <row r="8163" spans="1:14" x14ac:dyDescent="0.2">
      <c r="A8163" s="23" t="str">
        <f>HYPERLINK("https://www.spark-marketing.ru/Card/Person/1072598", "МАОУ ""СОШ №20""")</f>
        <v>МАОУ "СОШ №20"</v>
      </c>
      <c r="B8163" s="24" t="s">
        <v>12013</v>
      </c>
      <c r="C8163" s="25">
        <v>1887012</v>
      </c>
      <c r="D8163" s="22" t="s">
        <v>12017</v>
      </c>
      <c r="E8163" s="22" t="s">
        <v>362</v>
      </c>
      <c r="F8163" s="23" t="str">
        <f>HYPERLINK("https://www.spark-marketing.ru/Card/Lot/72690161", "Оказание услуг по организации питания воспитанников групп по присмотру и уходу за детьми дошкольного возраста")</f>
        <v>Оказание услуг по организации питания воспитанников групп по присмотру и уходу за детьми дошкольного возраста</v>
      </c>
      <c r="G8163" s="22" t="s">
        <v>1972</v>
      </c>
      <c r="H8163" s="22" t="s">
        <v>1972</v>
      </c>
      <c r="I8163" s="26">
        <v>43685</v>
      </c>
      <c r="J8163" s="28" t="s">
        <v>51</v>
      </c>
      <c r="K8163" s="28" t="s">
        <v>51</v>
      </c>
      <c r="L8163" s="22" t="s">
        <v>10</v>
      </c>
      <c r="M8163" s="25">
        <v>1887012</v>
      </c>
      <c r="N8163" s="27">
        <v>0</v>
      </c>
    </row>
    <row r="8164" spans="1:14" x14ac:dyDescent="0.15">
      <c r="A8164" s="23" t="str">
        <f>HYPERLINK("https://www.spark-marketing.ru/Card/Person/4469602", "МАОУ ЛИЦЕЙ № 18")</f>
        <v>МАОУ ЛИЦЕЙ № 18</v>
      </c>
      <c r="B8164" s="24" t="s">
        <v>2251</v>
      </c>
      <c r="C8164" s="25">
        <v>179353.23</v>
      </c>
      <c r="D8164" s="22" t="s">
        <v>12018</v>
      </c>
      <c r="E8164" s="22" t="s">
        <v>362</v>
      </c>
      <c r="F8164" s="23" t="str">
        <f>HYPERLINK("https://www.spark-marketing.ru/Card/Lot/72760103", "Оказание услуги по обеспечению бесплатным питанием отдельных категорий обучающихся в МАОУ лицее №18 в сентябре 2019 года")</f>
        <v>Оказание услуги по обеспечению бесплатным питанием отдельных категорий обучающихся в МАОУ лицее №18 в сентябре 2019 года</v>
      </c>
      <c r="G8164" s="22" t="s">
        <v>400</v>
      </c>
      <c r="H8164" s="22" t="s">
        <v>400</v>
      </c>
      <c r="I8164" s="26">
        <v>43690</v>
      </c>
      <c r="J8164" s="28" t="s">
        <v>51</v>
      </c>
      <c r="K8164" s="28" t="s">
        <v>51</v>
      </c>
      <c r="L8164" s="28" t="s">
        <v>51</v>
      </c>
      <c r="M8164" s="28" t="s">
        <v>51</v>
      </c>
      <c r="N8164" s="28" t="s">
        <v>51</v>
      </c>
    </row>
    <row r="8165" spans="1:14" x14ac:dyDescent="0.15">
      <c r="A8165" s="23" t="str">
        <f>HYPERLINK("https://www.spark-marketing.ru/Card/Person/68614", "ИЯФ СО РАН")</f>
        <v>ИЯФ СО РАН</v>
      </c>
      <c r="B8165" s="24" t="s">
        <v>7663</v>
      </c>
      <c r="C8165" s="25">
        <v>647971.5</v>
      </c>
      <c r="D8165" s="22" t="s">
        <v>12019</v>
      </c>
      <c r="E8165" s="22" t="s">
        <v>580</v>
      </c>
      <c r="F8165" s="23" t="str">
        <f>HYPERLINK("https://www.spark-marketing.ru/Card/Lot/72698106", "Оказание услуг по организации питания участников Международного совещания по методам электронного охлаждения пучков заряженных частиц")</f>
        <v>Оказание услуг по организации питания участников Международного совещания по методам электронного охлаждения пучков заряженных частиц</v>
      </c>
      <c r="G8165" s="22" t="s">
        <v>195</v>
      </c>
      <c r="H8165" s="22" t="s">
        <v>195</v>
      </c>
      <c r="I8165" s="26">
        <v>43686</v>
      </c>
      <c r="J8165" s="28" t="s">
        <v>51</v>
      </c>
      <c r="K8165" s="28" t="s">
        <v>51</v>
      </c>
      <c r="L8165" s="28" t="s">
        <v>51</v>
      </c>
      <c r="M8165" s="28" t="s">
        <v>51</v>
      </c>
      <c r="N8165" s="28" t="s">
        <v>51</v>
      </c>
    </row>
    <row r="8166" spans="1:14" x14ac:dyDescent="0.15">
      <c r="A8166" s="23" t="str">
        <f>HYPERLINK("https://www.spark-marketing.ru/Card/Person/1450593", "МАОУ ""СОШ № 3""")</f>
        <v>МАОУ "СОШ № 3"</v>
      </c>
      <c r="B8166" s="24" t="s">
        <v>3297</v>
      </c>
      <c r="C8166" s="25">
        <v>150000</v>
      </c>
      <c r="D8166" s="22" t="s">
        <v>12020</v>
      </c>
      <c r="E8166" s="22" t="s">
        <v>1412</v>
      </c>
      <c r="F8166" s="23" t="str">
        <f>HYPERLINK("https://www.spark-marketing.ru/Card/Lot/72694246", "на оказание услуг по обеспечению питанием детей находящихся в профильном лагере с дневным пребыванием на базе МАОУ «СОШ № 3»")</f>
        <v>на оказание услуг по обеспечению питанием детей находящихся в профильном лагере с дневным пребыванием на базе МАОУ «СОШ № 3»</v>
      </c>
      <c r="G8166" s="22" t="s">
        <v>153</v>
      </c>
      <c r="H8166" s="22" t="s">
        <v>153</v>
      </c>
      <c r="I8166" s="26">
        <v>43686</v>
      </c>
      <c r="J8166" s="28" t="s">
        <v>51</v>
      </c>
      <c r="K8166" s="28" t="s">
        <v>51</v>
      </c>
      <c r="L8166" s="28" t="s">
        <v>51</v>
      </c>
      <c r="M8166" s="28" t="s">
        <v>51</v>
      </c>
      <c r="N8166" s="28" t="s">
        <v>51</v>
      </c>
    </row>
    <row r="8167" spans="1:14" x14ac:dyDescent="0.15">
      <c r="A8167" s="23" t="str">
        <f>HYPERLINK("https://www.spark-marketing.ru/Card/Person/151681", "УМВД РОССИИ ПО ГОРОДУ ПСКОВУ")</f>
        <v>УМВД РОССИИ ПО ГОРОДУ ПСКОВУ</v>
      </c>
      <c r="B8167" s="24" t="s">
        <v>11313</v>
      </c>
      <c r="C8167" s="25">
        <v>170750</v>
      </c>
      <c r="D8167" s="22" t="s">
        <v>12021</v>
      </c>
      <c r="E8167" s="22" t="s">
        <v>48</v>
      </c>
      <c r="F8167" s="23" t="str">
        <f>HYPERLINK("https://www.spark-marketing.ru/Card/Lot/72696356", "Питание в СП")</f>
        <v>Питание в СП</v>
      </c>
      <c r="G8167" s="22" t="s">
        <v>415</v>
      </c>
      <c r="H8167" s="22" t="s">
        <v>4542</v>
      </c>
      <c r="I8167" s="26">
        <v>43685.806828703702</v>
      </c>
      <c r="J8167" s="23" t="str">
        <f>HYPERLINK("https://www.spark-marketing.ru/Card/Person/4893587", "ООО ""ПАТРИЯ""")</f>
        <v>ООО "ПАТРИЯ"</v>
      </c>
      <c r="K8167" s="24" t="s">
        <v>11315</v>
      </c>
      <c r="L8167" s="22" t="s">
        <v>10</v>
      </c>
      <c r="M8167" s="28" t="s">
        <v>51</v>
      </c>
      <c r="N8167" s="28" t="s">
        <v>51</v>
      </c>
    </row>
    <row r="8168" spans="1:14" x14ac:dyDescent="0.15">
      <c r="A8168" s="23" t="str">
        <f>HYPERLINK("https://www.spark-marketing.ru/Card/Person/32470", "ОМВД РОССИИ ПО Г. НАХОДКЕ")</f>
        <v>ОМВД РОССИИ ПО Г. НАХОДКЕ</v>
      </c>
      <c r="B8168" s="24" t="s">
        <v>8886</v>
      </c>
      <c r="C8168" s="25">
        <v>244550</v>
      </c>
      <c r="D8168" s="22" t="s">
        <v>12022</v>
      </c>
      <c r="E8168" s="22" t="s">
        <v>96</v>
      </c>
      <c r="F8168" s="23" t="str">
        <f>HYPERLINK("https://www.spark-marketing.ru/Card/Lot/72692350", "сухой рацион питания")</f>
        <v>сухой рацион питания</v>
      </c>
      <c r="G8168" s="22" t="s">
        <v>543</v>
      </c>
      <c r="H8168" s="22" t="s">
        <v>8888</v>
      </c>
      <c r="I8168" s="26">
        <v>43685.755543981497</v>
      </c>
      <c r="J8168" s="23" t="str">
        <f>HYPERLINK("https://www.spark-marketing.ru/Card/Person/147204", "ООО ""РТК""")</f>
        <v>ООО "РТК"</v>
      </c>
      <c r="K8168" s="24" t="s">
        <v>7301</v>
      </c>
      <c r="L8168" s="28" t="s">
        <v>51</v>
      </c>
      <c r="M8168" s="28" t="s">
        <v>51</v>
      </c>
      <c r="N8168" s="28" t="s">
        <v>51</v>
      </c>
    </row>
    <row r="8169" spans="1:14" x14ac:dyDescent="0.15">
      <c r="A8169" s="23" t="str">
        <f>HYPERLINK("https://www.spark-marketing.ru/Card/Person/109208", "МОУ ""СРЕДНЯЯ ШКОЛА №11""")</f>
        <v>МОУ "СРЕДНЯЯ ШКОЛА №11"</v>
      </c>
      <c r="B8169" s="24" t="s">
        <v>12023</v>
      </c>
      <c r="C8169" s="25">
        <v>780000</v>
      </c>
      <c r="D8169" s="22" t="s">
        <v>12024</v>
      </c>
      <c r="E8169" s="22" t="s">
        <v>48</v>
      </c>
      <c r="F8169" s="23" t="str">
        <f>HYPERLINK("https://www.spark-marketing.ru/Card/Lot/72688359", "Организация горячего питания учащихся в МОУ ""Средняя школа №11"" города Кимры Тверской области")</f>
        <v>Организация горячего питания учащихся в МОУ "Средняя школа №11" города Кимры Тверской области</v>
      </c>
      <c r="G8169" s="22" t="s">
        <v>137</v>
      </c>
      <c r="H8169" s="22" t="s">
        <v>1431</v>
      </c>
      <c r="I8169" s="26">
        <v>43685.7097222222</v>
      </c>
      <c r="J8169" s="28" t="s">
        <v>51</v>
      </c>
      <c r="K8169" s="28" t="s">
        <v>51</v>
      </c>
      <c r="L8169" s="28" t="s">
        <v>51</v>
      </c>
      <c r="M8169" s="28" t="s">
        <v>51</v>
      </c>
      <c r="N8169" s="28" t="s">
        <v>51</v>
      </c>
    </row>
    <row r="8170" spans="1:14" ht="12.75" hidden="1" outlineLevel="1" x14ac:dyDescent="0.2">
      <c r="A8170" s="23" t="str">
        <f>HYPERLINK("https://www.spark-marketing.ru/Card/Person/109208", "МОУ ""СРЕДНЯЯ ШКОЛА №11""")</f>
        <v>МОУ "СРЕДНЯЯ ШКОЛА №11"</v>
      </c>
      <c r="B8170" s="24" t="s">
        <v>12023</v>
      </c>
      <c r="C8170" s="25">
        <v>780000</v>
      </c>
      <c r="D8170" s="22" t="s">
        <v>12024</v>
      </c>
      <c r="E8170" s="22" t="s">
        <v>48</v>
      </c>
      <c r="F8170" s="23" t="str">
        <f>HYPERLINK("https://www.spark-marketing.ru/Card/Lot/72688359", "Организация горячего питания учащихся в МОУ ""Средняя школа №11"" города Кимры Тверской области")</f>
        <v>Организация горячего питания учащихся в МОУ "Средняя школа №11" города Кимры Тверской области</v>
      </c>
      <c r="G8170" s="22" t="s">
        <v>137</v>
      </c>
      <c r="H8170" s="22" t="s">
        <v>1431</v>
      </c>
      <c r="I8170" s="26">
        <v>43685.7097222222</v>
      </c>
      <c r="J8170" s="23" t="str">
        <f>HYPERLINK("https://www.spark-marketing.ru/Card/Person/331373", "Платонова Елена Павловна")</f>
        <v>Платонова Елена Павловна</v>
      </c>
      <c r="K8170" s="24" t="s">
        <v>1433</v>
      </c>
      <c r="L8170" s="22" t="s">
        <v>10</v>
      </c>
      <c r="M8170" s="25">
        <v>300415.37</v>
      </c>
      <c r="N8170" s="27">
        <v>0.61485208974358974</v>
      </c>
    </row>
    <row r="8171" spans="1:14" hidden="1" outlineLevel="1" x14ac:dyDescent="0.2">
      <c r="A8171" s="23" t="str">
        <f>HYPERLINK("https://www.spark-marketing.ru/Card/Person/109208", "МОУ ""СРЕДНЯЯ ШКОЛА №11""")</f>
        <v>МОУ "СРЕДНЯЯ ШКОЛА №11"</v>
      </c>
      <c r="B8171" s="24" t="s">
        <v>12023</v>
      </c>
      <c r="C8171" s="25">
        <v>780000</v>
      </c>
      <c r="D8171" s="22" t="s">
        <v>12024</v>
      </c>
      <c r="E8171" s="22" t="s">
        <v>48</v>
      </c>
      <c r="F8171" s="23" t="str">
        <f>HYPERLINK("https://www.spark-marketing.ru/Card/Lot/72688359", "Организация горячего питания учащихся в МОУ ""Средняя школа №11"" города Кимры Тверской области")</f>
        <v>Организация горячего питания учащихся в МОУ "Средняя школа №11" города Кимры Тверской области</v>
      </c>
      <c r="G8171" s="22" t="s">
        <v>137</v>
      </c>
      <c r="H8171" s="22" t="s">
        <v>1431</v>
      </c>
      <c r="I8171" s="26">
        <v>43685.7097222222</v>
      </c>
      <c r="J8171" s="23" t="str">
        <f>HYPERLINK("https://www.spark-marketing.ru/Card/Person/622548", "Лукьянова Мария Анатольевна")</f>
        <v>Лукьянова Мария Анатольевна</v>
      </c>
      <c r="K8171" s="24" t="s">
        <v>1432</v>
      </c>
      <c r="L8171" s="28" t="s">
        <v>51</v>
      </c>
      <c r="M8171" s="25">
        <v>304315.37</v>
      </c>
      <c r="N8171" s="27">
        <v>0.60985208974358973</v>
      </c>
    </row>
    <row r="8172" spans="1:14" x14ac:dyDescent="0.15">
      <c r="A8172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8172" s="24" t="s">
        <v>12025</v>
      </c>
      <c r="C8172" s="25">
        <v>8063167</v>
      </c>
      <c r="D8172" s="22" t="s">
        <v>12026</v>
      </c>
      <c r="E8172" s="22" t="s">
        <v>48</v>
      </c>
      <c r="F8172" s="23" t="str">
        <f>HYPERLINK("https://www.spark-marketing.ru/Card/Lot/72689043", "Прочая закупка товаров, работ и услуг (Оказание услуг по организации питания лиц, содержащихся в ИВС №№1, 2, в спецприемнике и СПСЗЛ отделов полиции Управления МВД России по г.Казани)")</f>
        <v>Прочая закупка товаров, работ и услуг (Оказание услуг по организации питания лиц, содержащихся в ИВС №№1, 2, в спецприемнике и СПСЗЛ отделов полиции Управления МВД России по г.Казани)</v>
      </c>
      <c r="G8172" s="22" t="s">
        <v>217</v>
      </c>
      <c r="H8172" s="22" t="s">
        <v>217</v>
      </c>
      <c r="I8172" s="26">
        <v>43685.729050925896</v>
      </c>
      <c r="J8172" s="28" t="s">
        <v>51</v>
      </c>
      <c r="K8172" s="28" t="s">
        <v>51</v>
      </c>
      <c r="L8172" s="28" t="s">
        <v>51</v>
      </c>
      <c r="M8172" s="28" t="s">
        <v>51</v>
      </c>
      <c r="N8172" s="28" t="s">
        <v>51</v>
      </c>
    </row>
    <row r="8173" spans="1:14" ht="12.75" hidden="1" outlineLevel="1" x14ac:dyDescent="0.2">
      <c r="A8173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8173" s="24" t="s">
        <v>12025</v>
      </c>
      <c r="C8173" s="25">
        <v>8063167</v>
      </c>
      <c r="D8173" s="22" t="s">
        <v>12026</v>
      </c>
      <c r="E8173" s="22" t="s">
        <v>48</v>
      </c>
      <c r="F8173" s="23" t="str">
        <f>HYPERLINK("https://www.spark-marketing.ru/Card/Lot/72689043", "Прочая закупка товаров, работ и услуг (Оказание услуг по организации питания лиц, содержащихся в ИВС №№1, 2, в спецприемнике и СПСЗЛ отделов полиции Управления МВД России по г.Казани)")</f>
        <v>Прочая закупка товаров, работ и услуг (Оказание услуг по организации питания лиц, содержащихся в ИВС №№1, 2, в спецприемнике и СПСЗЛ отделов полиции Управления МВД России по г.Казани)</v>
      </c>
      <c r="G8173" s="22" t="s">
        <v>217</v>
      </c>
      <c r="H8173" s="22" t="s">
        <v>217</v>
      </c>
      <c r="I8173" s="26">
        <v>43685.729050925896</v>
      </c>
      <c r="J8173" s="23" t="str">
        <f>HYPERLINK("https://www.spark-marketing.ru/Card/Person/4889913", "ООО АНТАРЕС-Х""")</f>
        <v>ООО АНТАРЕС-Х"</v>
      </c>
      <c r="K8173" s="24" t="s">
        <v>2877</v>
      </c>
      <c r="L8173" s="22" t="s">
        <v>10</v>
      </c>
      <c r="M8173" s="25">
        <v>571.23</v>
      </c>
      <c r="N8173" s="27">
        <v>0.99992915562830342</v>
      </c>
    </row>
    <row r="8174" spans="1:14" hidden="1" outlineLevel="1" x14ac:dyDescent="0.2">
      <c r="A8174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8174" s="24" t="s">
        <v>12025</v>
      </c>
      <c r="C8174" s="25">
        <v>8063167</v>
      </c>
      <c r="D8174" s="22" t="s">
        <v>12026</v>
      </c>
      <c r="E8174" s="22" t="s">
        <v>48</v>
      </c>
      <c r="F8174" s="23" t="str">
        <f>HYPERLINK("https://www.spark-marketing.ru/Card/Lot/72689043", "Прочая закупка товаров, работ и услуг (Оказание услуг по организации питания лиц, содержащихся в ИВС №№1, 2, в спецприемнике и СПСЗЛ отделов полиции Управления МВД России по г.Казани)")</f>
        <v>Прочая закупка товаров, работ и услуг (Оказание услуг по организации питания лиц, содержащихся в ИВС №№1, 2, в спецприемнике и СПСЗЛ отделов полиции Управления МВД России по г.Казани)</v>
      </c>
      <c r="G8174" s="22" t="s">
        <v>217</v>
      </c>
      <c r="H8174" s="22" t="s">
        <v>217</v>
      </c>
      <c r="I8174" s="26">
        <v>43685.729050925896</v>
      </c>
      <c r="J8174" s="23" t="str">
        <f>HYPERLINK("https://www.spark-marketing.ru/Card/Person/6460355", "ООО ""ЛЕАНИМА""")</f>
        <v>ООО "ЛЕАНИМА"</v>
      </c>
      <c r="K8174" s="24" t="s">
        <v>12027</v>
      </c>
      <c r="L8174" s="28" t="s">
        <v>51</v>
      </c>
      <c r="M8174" s="25">
        <v>574.53</v>
      </c>
      <c r="N8174" s="27">
        <v>0.99992874635983608</v>
      </c>
    </row>
    <row r="8175" spans="1:14" x14ac:dyDescent="0.15">
      <c r="A8175" s="23" t="str">
        <f>HYPERLINK("https://www.spark-marketing.ru/Card/Person/1002627", "МОУ ""СРЕДНЯЯ ШКОЛА №13""")</f>
        <v>МОУ "СРЕДНЯЯ ШКОЛА №13"</v>
      </c>
      <c r="B8175" s="24" t="s">
        <v>12028</v>
      </c>
      <c r="C8175" s="25">
        <v>149940</v>
      </c>
      <c r="D8175" s="22" t="s">
        <v>12029</v>
      </c>
      <c r="E8175" s="22" t="s">
        <v>48</v>
      </c>
      <c r="F8175" s="23" t="str">
        <f>HYPERLINK("https://www.spark-marketing.ru/Card/Lot/72687885", "Оказание услуг по организации горячего питания учащихся МОУ ""Средняя школа № 13"" города Кимры")</f>
        <v>Оказание услуг по организации горячего питания учащихся МОУ "Средняя школа № 13" города Кимры</v>
      </c>
      <c r="G8175" s="22" t="s">
        <v>137</v>
      </c>
      <c r="H8175" s="22" t="s">
        <v>1431</v>
      </c>
      <c r="I8175" s="26">
        <v>43685.720879629604</v>
      </c>
      <c r="J8175" s="23" t="str">
        <f>HYPERLINK("https://www.spark-marketing.ru/Card/Person/622548", "Лукьянова Мария Анатольевна")</f>
        <v>Лукьянова Мария Анатольевна</v>
      </c>
      <c r="K8175" s="24" t="s">
        <v>1432</v>
      </c>
      <c r="L8175" s="22" t="s">
        <v>10</v>
      </c>
      <c r="M8175" s="28" t="s">
        <v>51</v>
      </c>
      <c r="N8175" s="28" t="s">
        <v>51</v>
      </c>
    </row>
    <row r="8176" spans="1:14" x14ac:dyDescent="0.15">
      <c r="A8176" s="23" t="str">
        <f>HYPERLINK("https://www.spark-marketing.ru/Card/Person/743377", "МБОУ СОШ С. ТУКАЕВО")</f>
        <v>МБОУ СОШ С. ТУКАЕВО</v>
      </c>
      <c r="B8176" s="24" t="s">
        <v>12030</v>
      </c>
      <c r="C8176" s="25">
        <v>420147.28</v>
      </c>
      <c r="D8176" s="22" t="s">
        <v>12031</v>
      </c>
      <c r="E8176" s="22" t="s">
        <v>48</v>
      </c>
      <c r="F8176" s="23" t="str">
        <f>HYPERLINK("https://www.spark-marketing.ru/Card/Lot/72686347", "Оказание услуги по организации горячего питания в школе")</f>
        <v>Оказание услуги по организации горячего питания в школе</v>
      </c>
      <c r="G8176" s="22" t="s">
        <v>145</v>
      </c>
      <c r="H8176" s="22" t="s">
        <v>12032</v>
      </c>
      <c r="I8176" s="26">
        <v>43685.709502314799</v>
      </c>
      <c r="J8176" s="28" t="s">
        <v>51</v>
      </c>
      <c r="K8176" s="28" t="s">
        <v>51</v>
      </c>
      <c r="L8176" s="28" t="s">
        <v>51</v>
      </c>
      <c r="M8176" s="28" t="s">
        <v>51</v>
      </c>
      <c r="N8176" s="28" t="s">
        <v>51</v>
      </c>
    </row>
    <row r="8177" spans="1:14" ht="12.75" hidden="1" outlineLevel="1" x14ac:dyDescent="0.2">
      <c r="A8177" s="23" t="str">
        <f>HYPERLINK("https://www.spark-marketing.ru/Card/Person/743377", "МБОУ СОШ С. ТУКАЕВО")</f>
        <v>МБОУ СОШ С. ТУКАЕВО</v>
      </c>
      <c r="B8177" s="24" t="s">
        <v>12030</v>
      </c>
      <c r="C8177" s="25">
        <v>420147.28</v>
      </c>
      <c r="D8177" s="22" t="s">
        <v>12031</v>
      </c>
      <c r="E8177" s="22" t="s">
        <v>48</v>
      </c>
      <c r="F8177" s="23" t="str">
        <f>HYPERLINK("https://www.spark-marketing.ru/Card/Lot/72686347", "Оказание услуги по организации горячего питания в школе")</f>
        <v>Оказание услуги по организации горячего питания в школе</v>
      </c>
      <c r="G8177" s="22" t="s">
        <v>145</v>
      </c>
      <c r="H8177" s="22" t="s">
        <v>12032</v>
      </c>
      <c r="I8177" s="26">
        <v>43685.709502314799</v>
      </c>
      <c r="J8177" s="23" t="str">
        <f>HYPERLINK("https://www.spark-marketing.ru/Card/Person/173124", "ПО ""ПИЩЕВИК""")</f>
        <v>ПО "ПИЩЕВИК"</v>
      </c>
      <c r="K8177" s="24" t="s">
        <v>12033</v>
      </c>
      <c r="L8177" s="22" t="s">
        <v>10</v>
      </c>
      <c r="M8177" s="25">
        <v>327714.71999999997</v>
      </c>
      <c r="N8177" s="27">
        <v>0.22000037701065209</v>
      </c>
    </row>
    <row r="8178" spans="1:14" hidden="1" outlineLevel="1" x14ac:dyDescent="0.2">
      <c r="A8178" s="23" t="str">
        <f>HYPERLINK("https://www.spark-marketing.ru/Card/Person/743377", "МБОУ СОШ С. ТУКАЕВО")</f>
        <v>МБОУ СОШ С. ТУКАЕВО</v>
      </c>
      <c r="B8178" s="24" t="s">
        <v>12030</v>
      </c>
      <c r="C8178" s="25">
        <v>420147.28</v>
      </c>
      <c r="D8178" s="22" t="s">
        <v>12031</v>
      </c>
      <c r="E8178" s="22" t="s">
        <v>48</v>
      </c>
      <c r="F8178" s="23" t="str">
        <f>HYPERLINK("https://www.spark-marketing.ru/Card/Lot/72686347", "Оказание услуги по организации горячего питания в школе")</f>
        <v>Оказание услуги по организации горячего питания в школе</v>
      </c>
      <c r="G8178" s="22" t="s">
        <v>145</v>
      </c>
      <c r="H8178" s="22" t="s">
        <v>12032</v>
      </c>
      <c r="I8178" s="26">
        <v>43685.709502314799</v>
      </c>
      <c r="J8178" s="23" t="str">
        <f>HYPERLINK("https://www.spark-marketing.ru/Card/Person/145110", "ООО ""ТК ""ЗК""")</f>
        <v>ООО "ТК "ЗК"</v>
      </c>
      <c r="K8178" s="24" t="s">
        <v>5800</v>
      </c>
      <c r="L8178" s="28" t="s">
        <v>51</v>
      </c>
      <c r="M8178" s="25">
        <v>329815.46000000002</v>
      </c>
      <c r="N8178" s="27">
        <v>0.21500036844222817</v>
      </c>
    </row>
    <row r="8179" spans="1:14" x14ac:dyDescent="0.15">
      <c r="A8179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8179" s="24" t="s">
        <v>12025</v>
      </c>
      <c r="C8179" s="25">
        <v>8057167</v>
      </c>
      <c r="D8179" s="22" t="s">
        <v>12034</v>
      </c>
      <c r="E8179" s="22" t="s">
        <v>48</v>
      </c>
      <c r="F8179" s="23" t="str">
        <f>HYPERLINK("https://www.spark-marketing.ru/Card/Lot/72688396", "Прочая закупка товаров, работ и услуг (Оказание услуг по организации питания лиц, содержащихся в ИВС №№1, 2, в спецприемнике и СПСЗЛ отделов полиции Управления МВД России по г.Казани)")</f>
        <v>Прочая закупка товаров, работ и услуг (Оказание услуг по организации питания лиц, содержащихся в ИВС №№1, 2, в спецприемнике и СПСЗЛ отделов полиции Управления МВД России по г.Казани)</v>
      </c>
      <c r="G8179" s="22" t="s">
        <v>217</v>
      </c>
      <c r="H8179" s="22" t="s">
        <v>217</v>
      </c>
      <c r="I8179" s="26">
        <v>43685.714201388902</v>
      </c>
      <c r="J8179" s="28" t="s">
        <v>51</v>
      </c>
      <c r="K8179" s="28" t="s">
        <v>51</v>
      </c>
      <c r="L8179" s="28" t="s">
        <v>51</v>
      </c>
      <c r="M8179" s="28" t="s">
        <v>51</v>
      </c>
      <c r="N8179" s="28" t="s">
        <v>51</v>
      </c>
    </row>
    <row r="8180" spans="1:14" ht="12.75" hidden="1" outlineLevel="1" x14ac:dyDescent="0.2">
      <c r="A8180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8180" s="24" t="s">
        <v>12025</v>
      </c>
      <c r="C8180" s="25">
        <v>8057167</v>
      </c>
      <c r="D8180" s="22" t="s">
        <v>12034</v>
      </c>
      <c r="E8180" s="22" t="s">
        <v>48</v>
      </c>
      <c r="F8180" s="23" t="str">
        <f>HYPERLINK("https://www.spark-marketing.ru/Card/Lot/72688396", "Прочая закупка товаров, работ и услуг (Оказание услуг по организации питания лиц, содержащихся в ИВС №№1, 2, в спецприемнике и СПСЗЛ отделов полиции Управления МВД России по г.Казани)")</f>
        <v>Прочая закупка товаров, работ и услуг (Оказание услуг по организации питания лиц, содержащихся в ИВС №№1, 2, в спецприемнике и СПСЗЛ отделов полиции Управления МВД России по г.Казани)</v>
      </c>
      <c r="G8180" s="22" t="s">
        <v>217</v>
      </c>
      <c r="H8180" s="22" t="s">
        <v>217</v>
      </c>
      <c r="I8180" s="26">
        <v>43685.714201388902</v>
      </c>
      <c r="J8180" s="23" t="str">
        <f>HYPERLINK("https://www.spark-marketing.ru/Card/Person/4889913", "ООО АНТАРЕС-Х""")</f>
        <v>ООО АНТАРЕС-Х"</v>
      </c>
      <c r="K8180" s="24" t="s">
        <v>2877</v>
      </c>
      <c r="L8180" s="22" t="s">
        <v>10</v>
      </c>
      <c r="M8180" s="25">
        <v>532.44000000000005</v>
      </c>
      <c r="N8180" s="27">
        <v>0.99993391721929059</v>
      </c>
    </row>
    <row r="8181" spans="1:14" hidden="1" outlineLevel="1" x14ac:dyDescent="0.2">
      <c r="A8181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8181" s="24" t="s">
        <v>12025</v>
      </c>
      <c r="C8181" s="25">
        <v>8057167</v>
      </c>
      <c r="D8181" s="22" t="s">
        <v>12034</v>
      </c>
      <c r="E8181" s="22" t="s">
        <v>48</v>
      </c>
      <c r="F8181" s="23" t="str">
        <f>HYPERLINK("https://www.spark-marketing.ru/Card/Lot/72688396", "Прочая закупка товаров, работ и услуг (Оказание услуг по организации питания лиц, содержащихся в ИВС №№1, 2, в спецприемнике и СПСЗЛ отделов полиции Управления МВД России по г.Казани)")</f>
        <v>Прочая закупка товаров, работ и услуг (Оказание услуг по организации питания лиц, содержащихся в ИВС №№1, 2, в спецприемнике и СПСЗЛ отделов полиции Управления МВД России по г.Казани)</v>
      </c>
      <c r="G8181" s="22" t="s">
        <v>217</v>
      </c>
      <c r="H8181" s="22" t="s">
        <v>217</v>
      </c>
      <c r="I8181" s="26">
        <v>43685.714201388902</v>
      </c>
      <c r="J8181" s="23" t="str">
        <f>HYPERLINK("https://www.spark-marketing.ru/Card/Person/6460355", "ООО ""ЛЕАНИМА""")</f>
        <v>ООО "ЛЕАНИМА"</v>
      </c>
      <c r="K8181" s="24" t="s">
        <v>12027</v>
      </c>
      <c r="L8181" s="28" t="s">
        <v>51</v>
      </c>
      <c r="M8181" s="25">
        <v>535.45000000000005</v>
      </c>
      <c r="N8181" s="27">
        <v>0.99993354363884979</v>
      </c>
    </row>
    <row r="8182" spans="1:14" x14ac:dyDescent="0.15">
      <c r="A8182" s="23" t="str">
        <f>HYPERLINK("https://www.spark-marketing.ru/Card/Person/4365627", "ООО ""РН-БУРЕНИЕ""")</f>
        <v>ООО "РН-БУРЕНИЕ"</v>
      </c>
      <c r="B8182" s="24" t="s">
        <v>7087</v>
      </c>
      <c r="C8182" s="28" t="s">
        <v>51</v>
      </c>
      <c r="D8182" s="22" t="s">
        <v>12035</v>
      </c>
      <c r="E8182" s="22" t="s">
        <v>362</v>
      </c>
      <c r="F8182" s="23" t="str">
        <f>HYPERLINK("https://www.spark-marketing.ru/Card/Lot/72687919", "Оказание услуг по организации питания для нужд Ханты-Мансийского филиала ООО «РН-Бурение»")</f>
        <v>Оказание услуг по организации питания для нужд Ханты-Мансийского филиала ООО «РН-Бурение»</v>
      </c>
      <c r="G8182" s="22" t="s">
        <v>56</v>
      </c>
      <c r="H8182" s="22" t="s">
        <v>56</v>
      </c>
      <c r="I8182" s="26">
        <v>43685.729166666701</v>
      </c>
      <c r="J8182" s="28" t="s">
        <v>51</v>
      </c>
      <c r="K8182" s="28" t="s">
        <v>51</v>
      </c>
      <c r="L8182" s="28" t="s">
        <v>51</v>
      </c>
      <c r="M8182" s="28" t="s">
        <v>51</v>
      </c>
      <c r="N8182" s="28" t="s">
        <v>51</v>
      </c>
    </row>
    <row r="8183" spans="1:14" x14ac:dyDescent="0.15">
      <c r="A8183" s="23" t="str">
        <f>HYPERLINK("https://www.spark-marketing.ru/Card/Person/9420", "МУ МВД РОССИИ ""РАМЕНСКОЕ""")</f>
        <v>МУ МВД РОССИИ "РАМЕНСКОЕ"</v>
      </c>
      <c r="B8183" s="24" t="s">
        <v>8516</v>
      </c>
      <c r="C8183" s="25">
        <v>2490000</v>
      </c>
      <c r="D8183" s="22" t="s">
        <v>12036</v>
      </c>
      <c r="E8183" s="22" t="s">
        <v>96</v>
      </c>
      <c r="F8183" s="23" t="str">
        <f>HYPERLINK("https://www.spark-marketing.ru/Card/Lot/72687305", "Оказание услуг по питанию граждан")</f>
        <v>Оказание услуг по питанию граждан</v>
      </c>
      <c r="G8183" s="22" t="s">
        <v>49</v>
      </c>
      <c r="H8183" s="22" t="s">
        <v>49</v>
      </c>
      <c r="I8183" s="26">
        <v>43685.698379629597</v>
      </c>
      <c r="J8183" s="23" t="str">
        <f>HYPERLINK("https://www.spark-marketing.ru/Card/Person/4855641", "Кузахмедов Марат Рашидович")</f>
        <v>Кузахмедов Марат Рашидович</v>
      </c>
      <c r="K8183" s="24" t="s">
        <v>8518</v>
      </c>
      <c r="L8183" s="22" t="s">
        <v>10</v>
      </c>
      <c r="M8183" s="28" t="s">
        <v>51</v>
      </c>
      <c r="N8183" s="28" t="s">
        <v>51</v>
      </c>
    </row>
    <row r="8184" spans="1:14" x14ac:dyDescent="0.15">
      <c r="A8184" s="23" t="str">
        <f>HYPERLINK("https://www.spark-marketing.ru/Card/Person/734255", "МБОУ СОШ Д. НОВОФЕДОРОВКА")</f>
        <v>МБОУ СОШ Д. НОВОФЕДОРОВКА</v>
      </c>
      <c r="B8184" s="24" t="s">
        <v>12037</v>
      </c>
      <c r="C8184" s="25">
        <v>439048.82</v>
      </c>
      <c r="D8184" s="22" t="s">
        <v>12038</v>
      </c>
      <c r="E8184" s="22" t="s">
        <v>48</v>
      </c>
      <c r="F8184" s="23" t="str">
        <f>HYPERLINK("https://www.spark-marketing.ru/Card/Lot/72686230", "Оказание услуги по организации горячего питания в школе")</f>
        <v>Оказание услуги по организации горячего питания в школе</v>
      </c>
      <c r="G8184" s="22" t="s">
        <v>145</v>
      </c>
      <c r="H8184" s="22" t="s">
        <v>12032</v>
      </c>
      <c r="I8184" s="26">
        <v>43685.688321759299</v>
      </c>
      <c r="J8184" s="28" t="s">
        <v>51</v>
      </c>
      <c r="K8184" s="28" t="s">
        <v>51</v>
      </c>
      <c r="L8184" s="28" t="s">
        <v>51</v>
      </c>
      <c r="M8184" s="28" t="s">
        <v>51</v>
      </c>
      <c r="N8184" s="28" t="s">
        <v>51</v>
      </c>
    </row>
    <row r="8185" spans="1:14" ht="12.75" hidden="1" outlineLevel="1" x14ac:dyDescent="0.2">
      <c r="A8185" s="23" t="str">
        <f>HYPERLINK("https://www.spark-marketing.ru/Card/Person/734255", "МБОУ СОШ Д. НОВОФЕДОРОВКА")</f>
        <v>МБОУ СОШ Д. НОВОФЕДОРОВКА</v>
      </c>
      <c r="B8185" s="24" t="s">
        <v>12037</v>
      </c>
      <c r="C8185" s="25">
        <v>439048.82</v>
      </c>
      <c r="D8185" s="22" t="s">
        <v>12038</v>
      </c>
      <c r="E8185" s="22" t="s">
        <v>48</v>
      </c>
      <c r="F8185" s="23" t="str">
        <f>HYPERLINK("https://www.spark-marketing.ru/Card/Lot/72686230", "Оказание услуги по организации горячего питания в школе")</f>
        <v>Оказание услуги по организации горячего питания в школе</v>
      </c>
      <c r="G8185" s="22" t="s">
        <v>145</v>
      </c>
      <c r="H8185" s="22" t="s">
        <v>12032</v>
      </c>
      <c r="I8185" s="26">
        <v>43685.688321759299</v>
      </c>
      <c r="J8185" s="23" t="str">
        <f>HYPERLINK("https://www.spark-marketing.ru/Card/Person/173124", "ПО ""ПИЩЕВИК""")</f>
        <v>ПО "ПИЩЕВИК"</v>
      </c>
      <c r="K8185" s="24" t="s">
        <v>12033</v>
      </c>
      <c r="L8185" s="22" t="s">
        <v>10</v>
      </c>
      <c r="M8185" s="25">
        <v>373191.62</v>
      </c>
      <c r="N8185" s="27">
        <v>0.14999971984892249</v>
      </c>
    </row>
    <row r="8186" spans="1:14" hidden="1" outlineLevel="1" x14ac:dyDescent="0.2">
      <c r="A8186" s="23" t="str">
        <f>HYPERLINK("https://www.spark-marketing.ru/Card/Person/734255", "МБОУ СОШ Д. НОВОФЕДОРОВКА")</f>
        <v>МБОУ СОШ Д. НОВОФЕДОРОВКА</v>
      </c>
      <c r="B8186" s="24" t="s">
        <v>12037</v>
      </c>
      <c r="C8186" s="25">
        <v>439048.82</v>
      </c>
      <c r="D8186" s="22" t="s">
        <v>12038</v>
      </c>
      <c r="E8186" s="22" t="s">
        <v>48</v>
      </c>
      <c r="F8186" s="23" t="str">
        <f>HYPERLINK("https://www.spark-marketing.ru/Card/Lot/72686230", "Оказание услуги по организации горячего питания в школе")</f>
        <v>Оказание услуги по организации горячего питания в школе</v>
      </c>
      <c r="G8186" s="22" t="s">
        <v>145</v>
      </c>
      <c r="H8186" s="22" t="s">
        <v>12032</v>
      </c>
      <c r="I8186" s="26">
        <v>43685.688321759299</v>
      </c>
      <c r="J8186" s="23" t="str">
        <f>HYPERLINK("https://www.spark-marketing.ru/Card/Person/145110", "ООО ""ТК ""ЗК""")</f>
        <v>ООО "ТК "ЗК"</v>
      </c>
      <c r="K8186" s="24" t="s">
        <v>5800</v>
      </c>
      <c r="L8186" s="28" t="s">
        <v>51</v>
      </c>
      <c r="M8186" s="25">
        <v>375386.86</v>
      </c>
      <c r="N8186" s="27">
        <v>0.14499972918729176</v>
      </c>
    </row>
    <row r="8187" spans="1:14" x14ac:dyDescent="0.15">
      <c r="A8187" s="23" t="str">
        <f>HYPERLINK("https://www.spark-marketing.ru/Card/Person/4679", "ОМВД РОССИИ ПО НАДЫМСКОМУ РАЙОНУ")</f>
        <v>ОМВД РОССИИ ПО НАДЫМСКОМУ РАЙОНУ</v>
      </c>
      <c r="B8187" s="24" t="s">
        <v>4091</v>
      </c>
      <c r="C8187" s="25">
        <v>500000</v>
      </c>
      <c r="D8187" s="22" t="s">
        <v>12039</v>
      </c>
      <c r="E8187" s="22" t="s">
        <v>48</v>
      </c>
      <c r="F8187" s="23" t="str">
        <f>HYPERLINK("https://www.spark-marketing.ru/Card/Lot/72682105", "Оказание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району")</f>
        <v>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</v>
      </c>
      <c r="G8187" s="22" t="s">
        <v>1056</v>
      </c>
      <c r="H8187" s="22" t="s">
        <v>2702</v>
      </c>
      <c r="I8187" s="26">
        <v>43685.670474537001</v>
      </c>
      <c r="J8187" s="28" t="s">
        <v>51</v>
      </c>
      <c r="K8187" s="28" t="s">
        <v>51</v>
      </c>
      <c r="L8187" s="28" t="s">
        <v>51</v>
      </c>
      <c r="M8187" s="28" t="s">
        <v>51</v>
      </c>
      <c r="N8187" s="28" t="s">
        <v>51</v>
      </c>
    </row>
    <row r="8188" spans="1:14" hidden="1" outlineLevel="1" x14ac:dyDescent="0.2">
      <c r="A8188" s="23" t="str">
        <f>HYPERLINK("https://www.spark-marketing.ru/Card/Person/4679", "ОМВД РОССИИ ПО НАДЫМСКОМУ РАЙОНУ")</f>
        <v>ОМВД РОССИИ ПО НАДЫМСКОМУ РАЙОНУ</v>
      </c>
      <c r="B8188" s="24" t="s">
        <v>4091</v>
      </c>
      <c r="C8188" s="25">
        <v>500000</v>
      </c>
      <c r="D8188" s="22" t="s">
        <v>12039</v>
      </c>
      <c r="E8188" s="22" t="s">
        <v>48</v>
      </c>
      <c r="F8188" s="23" t="str">
        <f>HYPERLINK("https://www.spark-marketing.ru/Card/Lot/72682105", "Оказание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району")</f>
        <v>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</v>
      </c>
      <c r="G8188" s="22" t="s">
        <v>1056</v>
      </c>
      <c r="H8188" s="22" t="s">
        <v>2702</v>
      </c>
      <c r="I8188" s="26">
        <v>43685.670474537001</v>
      </c>
      <c r="J8188" s="23" t="str">
        <f>HYPERLINK("https://www.spark-marketing.ru/Card/Person/3954292", "Пуканюк Галина Михайловна")</f>
        <v>Пуканюк Галина Михайловна</v>
      </c>
      <c r="K8188" s="24" t="s">
        <v>6150</v>
      </c>
      <c r="L8188" s="28" t="s">
        <v>51</v>
      </c>
      <c r="M8188" s="25">
        <v>381.14</v>
      </c>
      <c r="N8188" s="27">
        <v>0.99923772</v>
      </c>
    </row>
    <row r="8189" spans="1:14" ht="12.75" hidden="1" outlineLevel="1" x14ac:dyDescent="0.2">
      <c r="A8189" s="23" t="str">
        <f>HYPERLINK("https://www.spark-marketing.ru/Card/Person/4679", "ОМВД РОССИИ ПО НАДЫМСКОМУ РАЙОНУ")</f>
        <v>ОМВД РОССИИ ПО НАДЫМСКОМУ РАЙОНУ</v>
      </c>
      <c r="B8189" s="24" t="s">
        <v>4091</v>
      </c>
      <c r="C8189" s="25">
        <v>500000</v>
      </c>
      <c r="D8189" s="22" t="s">
        <v>12039</v>
      </c>
      <c r="E8189" s="22" t="s">
        <v>48</v>
      </c>
      <c r="F8189" s="23" t="str">
        <f>HYPERLINK("https://www.spark-marketing.ru/Card/Lot/72682105", "Оказание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району")</f>
        <v>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</v>
      </c>
      <c r="G8189" s="22" t="s">
        <v>1056</v>
      </c>
      <c r="H8189" s="22" t="s">
        <v>2702</v>
      </c>
      <c r="I8189" s="26">
        <v>43685.670474537001</v>
      </c>
      <c r="J8189" s="23" t="str">
        <f>HYPERLINK("https://www.spark-marketing.ru/Card/Person/76164", "Гусак Жанна Алексеевна")</f>
        <v>Гусак Жанна Алексеевна</v>
      </c>
      <c r="K8189" s="24" t="s">
        <v>6149</v>
      </c>
      <c r="L8189" s="22" t="s">
        <v>10</v>
      </c>
      <c r="M8189" s="25">
        <v>374.68</v>
      </c>
      <c r="N8189" s="27">
        <v>0.99925063999999997</v>
      </c>
    </row>
    <row r="8190" spans="1:14" x14ac:dyDescent="0.15">
      <c r="A8190" s="23" t="str">
        <f>HYPERLINK("https://www.spark-marketing.ru/Card/Person/152066", "ОМВД РОССИИ ""ПРИМОРСКИЙ""")</f>
        <v>ОМВД РОССИИ "ПРИМОРСКИЙ"</v>
      </c>
      <c r="B8190" s="24" t="s">
        <v>7249</v>
      </c>
      <c r="C8190" s="25">
        <v>17267.63</v>
      </c>
      <c r="D8190" s="22" t="s">
        <v>12040</v>
      </c>
      <c r="E8190" s="22" t="s">
        <v>48</v>
      </c>
      <c r="F8190" s="23" t="str">
        <f>HYPERLINK("https://www.spark-marketing.ru/Card/Lot/72684199",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8190" s="22" t="s">
        <v>214</v>
      </c>
      <c r="H8190" s="22" t="s">
        <v>7251</v>
      </c>
      <c r="I8190" s="26">
        <v>43685.691203703696</v>
      </c>
      <c r="J8190" s="28" t="s">
        <v>51</v>
      </c>
      <c r="K8190" s="28" t="s">
        <v>51</v>
      </c>
      <c r="L8190" s="28" t="s">
        <v>51</v>
      </c>
      <c r="M8190" s="28" t="s">
        <v>51</v>
      </c>
      <c r="N8190" s="28" t="s">
        <v>51</v>
      </c>
    </row>
    <row r="8191" spans="1:14" x14ac:dyDescent="0.15">
      <c r="A8191" s="23" t="str">
        <f>HYPERLINK("https://www.spark-marketing.ru/Card/Person/254285", "МКУ ""ИДД""")</f>
        <v>МКУ "ИДД"</v>
      </c>
      <c r="B8191" s="24" t="s">
        <v>12041</v>
      </c>
      <c r="C8191" s="25">
        <v>712277.48</v>
      </c>
      <c r="D8191" s="22" t="s">
        <v>12042</v>
      </c>
      <c r="E8191" s="22" t="s">
        <v>48</v>
      </c>
      <c r="F8191" s="23" t="str">
        <f>HYPERLINK("https://www.spark-marketing.ru/Card/Lot/72694491", "№ зз-26425-19 Оказание услуг по организации питания")</f>
        <v>№ зз-26425-19 Оказание услуг по организации питания</v>
      </c>
      <c r="G8191" s="22" t="s">
        <v>852</v>
      </c>
      <c r="H8191" s="22" t="s">
        <v>2477</v>
      </c>
      <c r="I8191" s="26">
        <v>43685.6929282407</v>
      </c>
      <c r="J8191" s="23" t="str">
        <f>HYPERLINK("https://www.spark-marketing.ru/Card/Person/380676", "ООО ""ВЕНТА""")</f>
        <v>ООО "ВЕНТА"</v>
      </c>
      <c r="K8191" s="24" t="s">
        <v>12043</v>
      </c>
      <c r="L8191" s="22" t="s">
        <v>10</v>
      </c>
      <c r="M8191" s="28" t="s">
        <v>51</v>
      </c>
      <c r="N8191" s="28" t="s">
        <v>51</v>
      </c>
    </row>
    <row r="8192" spans="1:14" x14ac:dyDescent="0.15">
      <c r="A8192" s="23" t="str">
        <f>HYPERLINK("https://www.spark-marketing.ru/Card/Person/142272", "МДОУ ДЕТСКИЙ САД ОБЩЕРАЗВИВАЮЩЕГО ВИДА №28 ""ПЕТУШОК""")</f>
        <v>МДОУ ДЕТСКИЙ САД ОБЩЕРАЗВИВАЮЩЕГО ВИДА №28 "ПЕТУШОК"</v>
      </c>
      <c r="B8192" s="24" t="s">
        <v>12044</v>
      </c>
      <c r="C8192" s="25">
        <v>398178</v>
      </c>
      <c r="D8192" s="22" t="s">
        <v>12045</v>
      </c>
      <c r="E8192" s="22" t="s">
        <v>48</v>
      </c>
      <c r="F8192" s="23" t="str">
        <f>HYPERLINK("https://www.spark-marketing.ru/Card/Lot/72685732",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8192" s="22" t="s">
        <v>49</v>
      </c>
      <c r="H8192" s="22" t="s">
        <v>50</v>
      </c>
      <c r="I8192" s="26">
        <v>43685.6695833333</v>
      </c>
      <c r="J8192" s="28" t="s">
        <v>51</v>
      </c>
      <c r="K8192" s="28" t="s">
        <v>51</v>
      </c>
      <c r="L8192" s="28" t="s">
        <v>51</v>
      </c>
      <c r="M8192" s="28" t="s">
        <v>51</v>
      </c>
      <c r="N8192" s="28" t="s">
        <v>51</v>
      </c>
    </row>
    <row r="8193" spans="1:14" x14ac:dyDescent="0.15">
      <c r="A8193" s="23" t="str">
        <f>HYPERLINK("https://www.spark-marketing.ru/Card/Person/2259383", "МБОУ СОШ С. ИШЛЫ")</f>
        <v>МБОУ СОШ С. ИШЛЫ</v>
      </c>
      <c r="B8193" s="24" t="s">
        <v>12046</v>
      </c>
      <c r="C8193" s="25">
        <v>496308.02</v>
      </c>
      <c r="D8193" s="22" t="s">
        <v>12047</v>
      </c>
      <c r="E8193" s="22" t="s">
        <v>48</v>
      </c>
      <c r="F8193" s="23" t="str">
        <f>HYPERLINK("https://www.spark-marketing.ru/Card/Lot/72686236", "Оказание услуги по организации горячего питания в школе")</f>
        <v>Оказание услуги по организации горячего питания в школе</v>
      </c>
      <c r="G8193" s="22" t="s">
        <v>145</v>
      </c>
      <c r="H8193" s="22" t="s">
        <v>12032</v>
      </c>
      <c r="I8193" s="26">
        <v>43685.7036226852</v>
      </c>
      <c r="J8193" s="28" t="s">
        <v>51</v>
      </c>
      <c r="K8193" s="28" t="s">
        <v>51</v>
      </c>
      <c r="L8193" s="28" t="s">
        <v>51</v>
      </c>
      <c r="M8193" s="28" t="s">
        <v>51</v>
      </c>
      <c r="N8193" s="28" t="s">
        <v>51</v>
      </c>
    </row>
    <row r="8194" spans="1:14" ht="12.75" hidden="1" outlineLevel="1" x14ac:dyDescent="0.2">
      <c r="A8194" s="23" t="str">
        <f>HYPERLINK("https://www.spark-marketing.ru/Card/Person/2259383", "МБОУ СОШ С. ИШЛЫ")</f>
        <v>МБОУ СОШ С. ИШЛЫ</v>
      </c>
      <c r="B8194" s="24" t="s">
        <v>12046</v>
      </c>
      <c r="C8194" s="25">
        <v>496308.02</v>
      </c>
      <c r="D8194" s="22" t="s">
        <v>12047</v>
      </c>
      <c r="E8194" s="22" t="s">
        <v>48</v>
      </c>
      <c r="F8194" s="23" t="str">
        <f>HYPERLINK("https://www.spark-marketing.ru/Card/Lot/72686236", "Оказание услуги по организации горячего питания в школе")</f>
        <v>Оказание услуги по организации горячего питания в школе</v>
      </c>
      <c r="G8194" s="22" t="s">
        <v>145</v>
      </c>
      <c r="H8194" s="22" t="s">
        <v>12032</v>
      </c>
      <c r="I8194" s="26">
        <v>43685.7036226852</v>
      </c>
      <c r="J8194" s="23" t="str">
        <f>HYPERLINK("https://www.spark-marketing.ru/Card/Person/173124", "ПО ""ПИЩЕВИК""")</f>
        <v>ПО "ПИЩЕВИК"</v>
      </c>
      <c r="K8194" s="24" t="s">
        <v>12033</v>
      </c>
      <c r="L8194" s="22" t="s">
        <v>10</v>
      </c>
      <c r="M8194" s="25">
        <v>382157.18</v>
      </c>
      <c r="N8194" s="27">
        <v>0.22999999073156221</v>
      </c>
    </row>
    <row r="8195" spans="1:14" hidden="1" outlineLevel="1" x14ac:dyDescent="0.2">
      <c r="A8195" s="23" t="str">
        <f>HYPERLINK("https://www.spark-marketing.ru/Card/Person/2259383", "МБОУ СОШ С. ИШЛЫ")</f>
        <v>МБОУ СОШ С. ИШЛЫ</v>
      </c>
      <c r="B8195" s="24" t="s">
        <v>12046</v>
      </c>
      <c r="C8195" s="25">
        <v>496308.02</v>
      </c>
      <c r="D8195" s="22" t="s">
        <v>12047</v>
      </c>
      <c r="E8195" s="22" t="s">
        <v>48</v>
      </c>
      <c r="F8195" s="23" t="str">
        <f>HYPERLINK("https://www.spark-marketing.ru/Card/Lot/72686236", "Оказание услуги по организации горячего питания в школе")</f>
        <v>Оказание услуги по организации горячего питания в школе</v>
      </c>
      <c r="G8195" s="22" t="s">
        <v>145</v>
      </c>
      <c r="H8195" s="22" t="s">
        <v>12032</v>
      </c>
      <c r="I8195" s="26">
        <v>43685.7036226852</v>
      </c>
      <c r="J8195" s="23" t="str">
        <f>HYPERLINK("https://www.spark-marketing.ru/Card/Person/145110", "ООО ""ТК ""ЗК""")</f>
        <v>ООО "ТК "ЗК"</v>
      </c>
      <c r="K8195" s="24" t="s">
        <v>5800</v>
      </c>
      <c r="L8195" s="28" t="s">
        <v>51</v>
      </c>
      <c r="M8195" s="25">
        <v>384638.71999999997</v>
      </c>
      <c r="N8195" s="27">
        <v>0.22499999093305001</v>
      </c>
    </row>
    <row r="8196" spans="1:14" x14ac:dyDescent="0.15">
      <c r="A8196" s="23" t="str">
        <f>HYPERLINK("https://www.spark-marketing.ru/Card/Person/740097", "МБОУ СОШ С. КУЕЗБАШЕВО")</f>
        <v>МБОУ СОШ С. КУЕЗБАШЕВО</v>
      </c>
      <c r="B8196" s="24" t="s">
        <v>12048</v>
      </c>
      <c r="C8196" s="25">
        <v>852699.14</v>
      </c>
      <c r="D8196" s="22" t="s">
        <v>12049</v>
      </c>
      <c r="E8196" s="22" t="s">
        <v>48</v>
      </c>
      <c r="F8196" s="23" t="str">
        <f>HYPERLINK("https://www.spark-marketing.ru/Card/Lot/72686229", "Оказание услуги по организации горячего питания в школе")</f>
        <v>Оказание услуги по организации горячего питания в школе</v>
      </c>
      <c r="G8196" s="22" t="s">
        <v>145</v>
      </c>
      <c r="H8196" s="22" t="s">
        <v>12032</v>
      </c>
      <c r="I8196" s="26">
        <v>43685.687777777799</v>
      </c>
      <c r="J8196" s="28" t="s">
        <v>51</v>
      </c>
      <c r="K8196" s="28" t="s">
        <v>51</v>
      </c>
      <c r="L8196" s="28" t="s">
        <v>51</v>
      </c>
      <c r="M8196" s="28" t="s">
        <v>51</v>
      </c>
      <c r="N8196" s="28" t="s">
        <v>51</v>
      </c>
    </row>
    <row r="8197" spans="1:14" ht="12.75" hidden="1" outlineLevel="1" x14ac:dyDescent="0.2">
      <c r="A8197" s="23" t="str">
        <f>HYPERLINK("https://www.spark-marketing.ru/Card/Person/740097", "МБОУ СОШ С. КУЕЗБАШЕВО")</f>
        <v>МБОУ СОШ С. КУЕЗБАШЕВО</v>
      </c>
      <c r="B8197" s="24" t="s">
        <v>12048</v>
      </c>
      <c r="C8197" s="25">
        <v>852699.14</v>
      </c>
      <c r="D8197" s="22" t="s">
        <v>12049</v>
      </c>
      <c r="E8197" s="22" t="s">
        <v>48</v>
      </c>
      <c r="F8197" s="23" t="str">
        <f>HYPERLINK("https://www.spark-marketing.ru/Card/Lot/72686229", "Оказание услуги по организации горячего питания в школе")</f>
        <v>Оказание услуги по организации горячего питания в школе</v>
      </c>
      <c r="G8197" s="22" t="s">
        <v>145</v>
      </c>
      <c r="H8197" s="22" t="s">
        <v>12032</v>
      </c>
      <c r="I8197" s="26">
        <v>43685.687777777799</v>
      </c>
      <c r="J8197" s="23" t="str">
        <f>HYPERLINK("https://www.spark-marketing.ru/Card/Person/173124", "ПО ""ПИЩЕВИК""")</f>
        <v>ПО "ПИЩЕВИК"</v>
      </c>
      <c r="K8197" s="24" t="s">
        <v>12033</v>
      </c>
      <c r="L8197" s="22" t="s">
        <v>10</v>
      </c>
      <c r="M8197" s="25">
        <v>724794.14</v>
      </c>
      <c r="N8197" s="27">
        <v>0.1500001512843088</v>
      </c>
    </row>
    <row r="8198" spans="1:14" hidden="1" outlineLevel="1" x14ac:dyDescent="0.2">
      <c r="A8198" s="23" t="str">
        <f>HYPERLINK("https://www.spark-marketing.ru/Card/Person/740097", "МБОУ СОШ С. КУЕЗБАШЕВО")</f>
        <v>МБОУ СОШ С. КУЕЗБАШЕВО</v>
      </c>
      <c r="B8198" s="24" t="s">
        <v>12048</v>
      </c>
      <c r="C8198" s="25">
        <v>852699.14</v>
      </c>
      <c r="D8198" s="22" t="s">
        <v>12049</v>
      </c>
      <c r="E8198" s="22" t="s">
        <v>48</v>
      </c>
      <c r="F8198" s="23" t="str">
        <f>HYPERLINK("https://www.spark-marketing.ru/Card/Lot/72686229", "Оказание услуги по организации горячего питания в школе")</f>
        <v>Оказание услуги по организации горячего питания в школе</v>
      </c>
      <c r="G8198" s="22" t="s">
        <v>145</v>
      </c>
      <c r="H8198" s="22" t="s">
        <v>12032</v>
      </c>
      <c r="I8198" s="26">
        <v>43685.687777777799</v>
      </c>
      <c r="J8198" s="23" t="str">
        <f>HYPERLINK("https://www.spark-marketing.ru/Card/Person/145110", "ООО ""ТК ""ЗК""")</f>
        <v>ООО "ТК "ЗК"</v>
      </c>
      <c r="K8198" s="24" t="s">
        <v>5800</v>
      </c>
      <c r="L8198" s="28" t="s">
        <v>51</v>
      </c>
      <c r="M8198" s="25">
        <v>729057.64</v>
      </c>
      <c r="N8198" s="27">
        <v>0.14500014624149848</v>
      </c>
    </row>
    <row r="8199" spans="1:14" x14ac:dyDescent="0.15">
      <c r="A8199" s="23" t="str">
        <f>HYPERLINK("https://www.spark-marketing.ru/Card/Person/736634", "МБОУ СОШ №3 С.ТОЛБАЗЫ")</f>
        <v>МБОУ СОШ №3 С.ТОЛБАЗЫ</v>
      </c>
      <c r="B8199" s="24" t="s">
        <v>12050</v>
      </c>
      <c r="C8199" s="25">
        <v>978252.26</v>
      </c>
      <c r="D8199" s="22" t="s">
        <v>12051</v>
      </c>
      <c r="E8199" s="22" t="s">
        <v>48</v>
      </c>
      <c r="F8199" s="23" t="str">
        <f>HYPERLINK("https://www.spark-marketing.ru/Card/Lot/72686342", "Оказание услуги по организации горячего питания в школе")</f>
        <v>Оказание услуги по организации горячего питания в школе</v>
      </c>
      <c r="G8199" s="22" t="s">
        <v>145</v>
      </c>
      <c r="H8199" s="22" t="s">
        <v>12032</v>
      </c>
      <c r="I8199" s="26">
        <v>43685.706030092602</v>
      </c>
      <c r="J8199" s="28" t="s">
        <v>51</v>
      </c>
      <c r="K8199" s="28" t="s">
        <v>51</v>
      </c>
      <c r="L8199" s="28" t="s">
        <v>51</v>
      </c>
      <c r="M8199" s="28" t="s">
        <v>51</v>
      </c>
      <c r="N8199" s="28" t="s">
        <v>51</v>
      </c>
    </row>
    <row r="8200" spans="1:14" ht="12.75" hidden="1" outlineLevel="1" x14ac:dyDescent="0.2">
      <c r="A8200" s="23" t="str">
        <f>HYPERLINK("https://www.spark-marketing.ru/Card/Person/736634", "МБОУ СОШ №3 С.ТОЛБАЗЫ")</f>
        <v>МБОУ СОШ №3 С.ТОЛБАЗЫ</v>
      </c>
      <c r="B8200" s="24" t="s">
        <v>12050</v>
      </c>
      <c r="C8200" s="25">
        <v>978252.26</v>
      </c>
      <c r="D8200" s="22" t="s">
        <v>12051</v>
      </c>
      <c r="E8200" s="22" t="s">
        <v>48</v>
      </c>
      <c r="F8200" s="23" t="str">
        <f>HYPERLINK("https://www.spark-marketing.ru/Card/Lot/72686342", "Оказание услуги по организации горячего питания в школе")</f>
        <v>Оказание услуги по организации горячего питания в школе</v>
      </c>
      <c r="G8200" s="22" t="s">
        <v>145</v>
      </c>
      <c r="H8200" s="22" t="s">
        <v>12032</v>
      </c>
      <c r="I8200" s="26">
        <v>43685.706030092602</v>
      </c>
      <c r="J8200" s="23" t="str">
        <f>HYPERLINK("https://www.spark-marketing.ru/Card/Person/173124", "ПО ""ПИЩЕВИК""")</f>
        <v>ПО "ПИЩЕВИК"</v>
      </c>
      <c r="K8200" s="24" t="s">
        <v>12033</v>
      </c>
      <c r="L8200" s="22" t="s">
        <v>10</v>
      </c>
      <c r="M8200" s="25">
        <v>760432.01</v>
      </c>
      <c r="N8200" s="27">
        <v>0.2226626596293271</v>
      </c>
    </row>
    <row r="8201" spans="1:14" hidden="1" outlineLevel="1" x14ac:dyDescent="0.2">
      <c r="A8201" s="23" t="str">
        <f>HYPERLINK("https://www.spark-marketing.ru/Card/Person/736634", "МБОУ СОШ №3 С.ТОЛБАЗЫ")</f>
        <v>МБОУ СОШ №3 С.ТОЛБАЗЫ</v>
      </c>
      <c r="B8201" s="24" t="s">
        <v>12050</v>
      </c>
      <c r="C8201" s="25">
        <v>978252.26</v>
      </c>
      <c r="D8201" s="22" t="s">
        <v>12051</v>
      </c>
      <c r="E8201" s="22" t="s">
        <v>48</v>
      </c>
      <c r="F8201" s="23" t="str">
        <f>HYPERLINK("https://www.spark-marketing.ru/Card/Lot/72686342", "Оказание услуги по организации горячего питания в школе")</f>
        <v>Оказание услуги по организации горячего питания в школе</v>
      </c>
      <c r="G8201" s="22" t="s">
        <v>145</v>
      </c>
      <c r="H8201" s="22" t="s">
        <v>12032</v>
      </c>
      <c r="I8201" s="26">
        <v>43685.706030092602</v>
      </c>
      <c r="J8201" s="23" t="str">
        <f>HYPERLINK("https://www.spark-marketing.ru/Card/Person/145110", "ООО ""ТК ""ЗК""")</f>
        <v>ООО "ТК "ЗК"</v>
      </c>
      <c r="K8201" s="24" t="s">
        <v>5800</v>
      </c>
      <c r="L8201" s="28" t="s">
        <v>51</v>
      </c>
      <c r="M8201" s="25">
        <v>765323.27</v>
      </c>
      <c r="N8201" s="27">
        <v>0.2176626609582277</v>
      </c>
    </row>
    <row r="8202" spans="1:14" x14ac:dyDescent="0.15">
      <c r="A8202" s="23" t="str">
        <f>HYPERLINK("https://www.spark-marketing.ru/Card/Person/737673", "МБОУ СОШ ИМ. В.В.НИКОЛАЕВА С. ЧУВАШ-КАРАМАЛЫ")</f>
        <v>МБОУ СОШ ИМ. В.В.НИКОЛАЕВА С. ЧУВАШ-КАРАМАЛЫ</v>
      </c>
      <c r="B8202" s="24" t="s">
        <v>12052</v>
      </c>
      <c r="C8202" s="25">
        <v>460353.54</v>
      </c>
      <c r="D8202" s="22" t="s">
        <v>12053</v>
      </c>
      <c r="E8202" s="22" t="s">
        <v>48</v>
      </c>
      <c r="F8202" s="23" t="str">
        <f>HYPERLINK("https://www.spark-marketing.ru/Card/Lot/72686341", "Оказание услуги по организации горячего питания в школе")</f>
        <v>Оказание услуги по организации горячего питания в школе</v>
      </c>
      <c r="G8202" s="22" t="s">
        <v>145</v>
      </c>
      <c r="H8202" s="22" t="s">
        <v>12032</v>
      </c>
      <c r="I8202" s="26">
        <v>43685.705439814803</v>
      </c>
      <c r="J8202" s="28" t="s">
        <v>51</v>
      </c>
      <c r="K8202" s="28" t="s">
        <v>51</v>
      </c>
      <c r="L8202" s="28" t="s">
        <v>51</v>
      </c>
      <c r="M8202" s="28" t="s">
        <v>51</v>
      </c>
      <c r="N8202" s="28" t="s">
        <v>51</v>
      </c>
    </row>
    <row r="8203" spans="1:14" ht="12.75" hidden="1" outlineLevel="1" x14ac:dyDescent="0.2">
      <c r="A8203" s="23" t="str">
        <f>HYPERLINK("https://www.spark-marketing.ru/Card/Person/737673", "МБОУ СОШ ИМ. В.В.НИКОЛАЕВА С. ЧУВАШ-КАРАМАЛЫ")</f>
        <v>МБОУ СОШ ИМ. В.В.НИКОЛАЕВА С. ЧУВАШ-КАРАМАЛЫ</v>
      </c>
      <c r="B8203" s="24" t="s">
        <v>12052</v>
      </c>
      <c r="C8203" s="25">
        <v>460353.54</v>
      </c>
      <c r="D8203" s="22" t="s">
        <v>12053</v>
      </c>
      <c r="E8203" s="22" t="s">
        <v>48</v>
      </c>
      <c r="F8203" s="23" t="str">
        <f>HYPERLINK("https://www.spark-marketing.ru/Card/Lot/72686341", "Оказание услуги по организации горячего питания в школе")</f>
        <v>Оказание услуги по организации горячего питания в школе</v>
      </c>
      <c r="G8203" s="22" t="s">
        <v>145</v>
      </c>
      <c r="H8203" s="22" t="s">
        <v>12032</v>
      </c>
      <c r="I8203" s="26">
        <v>43685.705439814803</v>
      </c>
      <c r="J8203" s="23" t="str">
        <f>HYPERLINK("https://www.spark-marketing.ru/Card/Person/173124", "ПО ""ПИЩЕВИК""")</f>
        <v>ПО "ПИЩЕВИК"</v>
      </c>
      <c r="K8203" s="24" t="s">
        <v>12033</v>
      </c>
      <c r="L8203" s="22" t="s">
        <v>10</v>
      </c>
      <c r="M8203" s="25">
        <v>377489.82</v>
      </c>
      <c r="N8203" s="27">
        <v>0.1800001798617645</v>
      </c>
    </row>
    <row r="8204" spans="1:14" hidden="1" outlineLevel="1" x14ac:dyDescent="0.2">
      <c r="A8204" s="23" t="str">
        <f>HYPERLINK("https://www.spark-marketing.ru/Card/Person/737673", "МБОУ СОШ ИМ. В.В.НИКОЛАЕВА С. ЧУВАШ-КАРАМАЛЫ")</f>
        <v>МБОУ СОШ ИМ. В.В.НИКОЛАЕВА С. ЧУВАШ-КАРАМАЛЫ</v>
      </c>
      <c r="B8204" s="24" t="s">
        <v>12052</v>
      </c>
      <c r="C8204" s="25">
        <v>460353.54</v>
      </c>
      <c r="D8204" s="22" t="s">
        <v>12053</v>
      </c>
      <c r="E8204" s="22" t="s">
        <v>48</v>
      </c>
      <c r="F8204" s="23" t="str">
        <f>HYPERLINK("https://www.spark-marketing.ru/Card/Lot/72686341", "Оказание услуги по организации горячего питания в школе")</f>
        <v>Оказание услуги по организации горячего питания в школе</v>
      </c>
      <c r="G8204" s="22" t="s">
        <v>145</v>
      </c>
      <c r="H8204" s="22" t="s">
        <v>12032</v>
      </c>
      <c r="I8204" s="26">
        <v>43685.705439814803</v>
      </c>
      <c r="J8204" s="23" t="str">
        <f>HYPERLINK("https://www.spark-marketing.ru/Card/Person/145110", "ООО ""ТК ""ЗК""")</f>
        <v>ООО "ТК "ЗК"</v>
      </c>
      <c r="K8204" s="24" t="s">
        <v>5800</v>
      </c>
      <c r="L8204" s="28" t="s">
        <v>51</v>
      </c>
      <c r="M8204" s="25">
        <v>379791.59</v>
      </c>
      <c r="N8204" s="27">
        <v>0.17500017486560437</v>
      </c>
    </row>
    <row r="8205" spans="1:14" x14ac:dyDescent="0.15">
      <c r="A8205" s="23" t="str">
        <f>HYPERLINK("https://www.spark-marketing.ru/Card/Person/256984", "ГАПОУ ""КАТТ ИМ. А.П.ОБЫДЕННОВА""")</f>
        <v>ГАПОУ "КАТТ ИМ. А.П.ОБЫДЕННОВА"</v>
      </c>
      <c r="B8205" s="24" t="s">
        <v>12054</v>
      </c>
      <c r="C8205" s="25">
        <v>1203140</v>
      </c>
      <c r="D8205" s="22" t="s">
        <v>12055</v>
      </c>
      <c r="E8205" s="22" t="s">
        <v>48</v>
      </c>
      <c r="F8205" s="23" t="str">
        <f>HYPERLINK("https://www.spark-marketing.ru/Card/Lot/72686809", "Организация привозного горячего питания обучающихся по программам подготовки квалифицированных рабочих, служащих очной формы обучения на базе основного общего образования")</f>
        <v>Организация привозного горячего питания обучающихся по программам подготовки квалифицированных рабочих, служащих очной формы обучения на базе основного общего образования</v>
      </c>
      <c r="G8205" s="22" t="s">
        <v>217</v>
      </c>
      <c r="H8205" s="22" t="s">
        <v>937</v>
      </c>
      <c r="I8205" s="26">
        <v>43685.673842592601</v>
      </c>
      <c r="J8205" s="23" t="str">
        <f>HYPERLINK("https://www.spark-marketing.ru/Card/Person/6309408", "ООО ""МОБИЛЬНЫЕ ПРОДУКТЫ""")</f>
        <v>ООО "МОБИЛЬНЫЕ ПРОДУКТЫ"</v>
      </c>
      <c r="K8205" s="24" t="s">
        <v>12056</v>
      </c>
      <c r="L8205" s="22" t="s">
        <v>10</v>
      </c>
      <c r="M8205" s="28" t="s">
        <v>51</v>
      </c>
      <c r="N8205" s="28" t="s">
        <v>51</v>
      </c>
    </row>
    <row r="8206" spans="1:14" x14ac:dyDescent="0.15">
      <c r="A8206" s="23" t="str">
        <f>HYPERLINK("https://www.spark-marketing.ru/Card/Person/3734", "ГБУЗ ""ОС-ИЦМР""")</f>
        <v>ГБУЗ "ОС-ИЦМР"</v>
      </c>
      <c r="B8206" s="24" t="s">
        <v>12057</v>
      </c>
      <c r="C8206" s="25">
        <v>91965.01</v>
      </c>
      <c r="D8206" s="22" t="s">
        <v>12058</v>
      </c>
      <c r="E8206" s="22" t="s">
        <v>809</v>
      </c>
      <c r="F8206" s="23" t="str">
        <f>HYPERLINK("https://www.spark-marketing.ru/Card/Lot/72684135", "на поставку запасных частей для компьютерной техники")</f>
        <v>на поставку запасных частей для компьютерной техники</v>
      </c>
      <c r="G8206" s="22" t="s">
        <v>132</v>
      </c>
      <c r="H8206" s="22" t="s">
        <v>1101</v>
      </c>
      <c r="I8206" s="26">
        <v>43685.696550925903</v>
      </c>
      <c r="J8206" s="28" t="s">
        <v>51</v>
      </c>
      <c r="K8206" s="28" t="s">
        <v>51</v>
      </c>
      <c r="L8206" s="28" t="s">
        <v>51</v>
      </c>
      <c r="M8206" s="28" t="s">
        <v>51</v>
      </c>
      <c r="N8206" s="28" t="s">
        <v>51</v>
      </c>
    </row>
    <row r="8207" spans="1:14" hidden="1" outlineLevel="1" x14ac:dyDescent="0.2">
      <c r="A8207" s="23" t="str">
        <f>HYPERLINK("https://www.spark-marketing.ru/Card/Person/3734", "ГБУЗ ""ОС-ИЦМР""")</f>
        <v>ГБУЗ "ОС-ИЦМР"</v>
      </c>
      <c r="B8207" s="24" t="s">
        <v>12057</v>
      </c>
      <c r="C8207" s="25">
        <v>91965.01</v>
      </c>
      <c r="D8207" s="22" t="s">
        <v>12058</v>
      </c>
      <c r="E8207" s="22" t="s">
        <v>809</v>
      </c>
      <c r="F8207" s="23" t="str">
        <f>HYPERLINK("https://www.spark-marketing.ru/Card/Lot/72684135", "на поставку запасных частей для компьютерной техники")</f>
        <v>на поставку запасных частей для компьютерной техники</v>
      </c>
      <c r="G8207" s="22" t="s">
        <v>132</v>
      </c>
      <c r="H8207" s="22" t="s">
        <v>1101</v>
      </c>
      <c r="I8207" s="26">
        <v>43685.696550925903</v>
      </c>
      <c r="J8207" s="23" t="str">
        <f>HYPERLINK("https://www.spark-marketing.ru/Card/Person/388807", "ООО ""АЛЕКС-СОФТ""")</f>
        <v>ООО "АЛЕКС-СОФТ"</v>
      </c>
      <c r="K8207" s="24" t="s">
        <v>12059</v>
      </c>
      <c r="L8207" s="28" t="s">
        <v>51</v>
      </c>
      <c r="M8207" s="25">
        <v>87825.17</v>
      </c>
      <c r="N8207" s="27">
        <v>4.5015381393423433E-2</v>
      </c>
    </row>
    <row r="8208" spans="1:14" hidden="1" outlineLevel="1" x14ac:dyDescent="0.2">
      <c r="A8208" s="23" t="str">
        <f>HYPERLINK("https://www.spark-marketing.ru/Card/Person/3734", "ГБУЗ ""ОС-ИЦМР""")</f>
        <v>ГБУЗ "ОС-ИЦМР"</v>
      </c>
      <c r="B8208" s="24" t="s">
        <v>12057</v>
      </c>
      <c r="C8208" s="25">
        <v>91965.01</v>
      </c>
      <c r="D8208" s="22" t="s">
        <v>12058</v>
      </c>
      <c r="E8208" s="22" t="s">
        <v>809</v>
      </c>
      <c r="F8208" s="23" t="str">
        <f>HYPERLINK("https://www.spark-marketing.ru/Card/Lot/72684135", "на поставку запасных частей для компьютерной техники")</f>
        <v>на поставку запасных частей для компьютерной техники</v>
      </c>
      <c r="G8208" s="22" t="s">
        <v>132</v>
      </c>
      <c r="H8208" s="22" t="s">
        <v>1101</v>
      </c>
      <c r="I8208" s="26">
        <v>43685.696550925903</v>
      </c>
      <c r="J8208" s="23" t="str">
        <f>HYPERLINK("https://www.spark-marketing.ru/Card/Person/274165", "ООО ""ЭКСТРА ГРУПП""")</f>
        <v>ООО "ЭКСТРА ГРУПП"</v>
      </c>
      <c r="K8208" s="24" t="s">
        <v>7387</v>
      </c>
      <c r="L8208" s="28" t="s">
        <v>51</v>
      </c>
      <c r="M8208" s="25">
        <v>80925</v>
      </c>
      <c r="N8208" s="27">
        <v>0.12004576523179848</v>
      </c>
    </row>
    <row r="8209" spans="1:14" ht="12.75" hidden="1" outlineLevel="1" x14ac:dyDescent="0.2">
      <c r="A8209" s="23" t="str">
        <f>HYPERLINK("https://www.spark-marketing.ru/Card/Person/3734", "ГБУЗ ""ОС-ИЦМР""")</f>
        <v>ГБУЗ "ОС-ИЦМР"</v>
      </c>
      <c r="B8209" s="24" t="s">
        <v>12057</v>
      </c>
      <c r="C8209" s="25">
        <v>91965.01</v>
      </c>
      <c r="D8209" s="22" t="s">
        <v>12058</v>
      </c>
      <c r="E8209" s="22" t="s">
        <v>809</v>
      </c>
      <c r="F8209" s="23" t="str">
        <f>HYPERLINK("https://www.spark-marketing.ru/Card/Lot/72684135", "на поставку запасных частей для компьютерной техники")</f>
        <v>на поставку запасных частей для компьютерной техники</v>
      </c>
      <c r="G8209" s="22" t="s">
        <v>132</v>
      </c>
      <c r="H8209" s="22" t="s">
        <v>1101</v>
      </c>
      <c r="I8209" s="26">
        <v>43685.696550925903</v>
      </c>
      <c r="J8209" s="23" t="str">
        <f>HYPERLINK("https://www.spark-marketing.ru/Card/Person/390597", "ООО ""КОМПЛЕКС-СНАСТ""")</f>
        <v>ООО "КОМПЛЕКС-СНАСТ"</v>
      </c>
      <c r="K8209" s="24" t="s">
        <v>10667</v>
      </c>
      <c r="L8209" s="22" t="s">
        <v>10</v>
      </c>
      <c r="M8209" s="25">
        <v>80465</v>
      </c>
      <c r="N8209" s="27">
        <v>0.12504766758574809</v>
      </c>
    </row>
    <row r="8210" spans="1:14" x14ac:dyDescent="0.15">
      <c r="A8210" s="23" t="str">
        <f>HYPERLINK("https://www.spark-marketing.ru/Card/Person/4679", "ОМВД РОССИИ ПО НАДЫМСКОМУ РАЙОНУ")</f>
        <v>ОМВД РОССИИ ПО НАДЫМСКОМУ РАЙОНУ</v>
      </c>
      <c r="B8210" s="24" t="s">
        <v>4091</v>
      </c>
      <c r="C8210" s="25">
        <v>500000</v>
      </c>
      <c r="D8210" s="22" t="s">
        <v>12060</v>
      </c>
      <c r="E8210" s="22" t="s">
        <v>48</v>
      </c>
      <c r="F8210" s="23" t="str">
        <f>HYPERLINK("https://www.spark-marketing.ru/Card/Lot/72682526", "Оказание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району")</f>
        <v>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</v>
      </c>
      <c r="G8210" s="22" t="s">
        <v>1056</v>
      </c>
      <c r="H8210" s="22" t="s">
        <v>2702</v>
      </c>
      <c r="I8210" s="26">
        <v>43685.697986111103</v>
      </c>
      <c r="J8210" s="28" t="s">
        <v>51</v>
      </c>
      <c r="K8210" s="28" t="s">
        <v>51</v>
      </c>
      <c r="L8210" s="28" t="s">
        <v>51</v>
      </c>
      <c r="M8210" s="28" t="s">
        <v>51</v>
      </c>
      <c r="N8210" s="28" t="s">
        <v>51</v>
      </c>
    </row>
    <row r="8211" spans="1:14" hidden="1" outlineLevel="1" x14ac:dyDescent="0.2">
      <c r="A8211" s="23" t="str">
        <f>HYPERLINK("https://www.spark-marketing.ru/Card/Person/4679", "ОМВД РОССИИ ПО НАДЫМСКОМУ РАЙОНУ")</f>
        <v>ОМВД РОССИИ ПО НАДЫМСКОМУ РАЙОНУ</v>
      </c>
      <c r="B8211" s="24" t="s">
        <v>4091</v>
      </c>
      <c r="C8211" s="25">
        <v>500000</v>
      </c>
      <c r="D8211" s="22" t="s">
        <v>12060</v>
      </c>
      <c r="E8211" s="22" t="s">
        <v>48</v>
      </c>
      <c r="F8211" s="23" t="str">
        <f>HYPERLINK("https://www.spark-marketing.ru/Card/Lot/72682526", "Оказание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району")</f>
        <v>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</v>
      </c>
      <c r="G8211" s="22" t="s">
        <v>1056</v>
      </c>
      <c r="H8211" s="22" t="s">
        <v>2702</v>
      </c>
      <c r="I8211" s="26">
        <v>43685.697986111103</v>
      </c>
      <c r="J8211" s="23" t="str">
        <f>HYPERLINK("https://www.spark-marketing.ru/Card/Person/3954292", "Пуканюк Галина Михайловна")</f>
        <v>Пуканюк Галина Михайловна</v>
      </c>
      <c r="K8211" s="24" t="s">
        <v>6150</v>
      </c>
      <c r="L8211" s="28" t="s">
        <v>51</v>
      </c>
      <c r="M8211" s="25">
        <v>402.21</v>
      </c>
      <c r="N8211" s="27">
        <v>0.99919557999999997</v>
      </c>
    </row>
    <row r="8212" spans="1:14" ht="12.75" hidden="1" outlineLevel="1" x14ac:dyDescent="0.2">
      <c r="A8212" s="23" t="str">
        <f>HYPERLINK("https://www.spark-marketing.ru/Card/Person/4679", "ОМВД РОССИИ ПО НАДЫМСКОМУ РАЙОНУ")</f>
        <v>ОМВД РОССИИ ПО НАДЫМСКОМУ РАЙОНУ</v>
      </c>
      <c r="B8212" s="24" t="s">
        <v>4091</v>
      </c>
      <c r="C8212" s="25">
        <v>500000</v>
      </c>
      <c r="D8212" s="22" t="s">
        <v>12060</v>
      </c>
      <c r="E8212" s="22" t="s">
        <v>48</v>
      </c>
      <c r="F8212" s="23" t="str">
        <f>HYPERLINK("https://www.spark-marketing.ru/Card/Lot/72682526", "Оказание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району")</f>
        <v>Оказание услуг по обеспечению питанием лиц, задержанных за административное правонарушение, содержащихся в специальных помещениях для содержания задержанных лиц Отдела Министерства внутренних дел Российской Федерации по Надымскому району</v>
      </c>
      <c r="G8212" s="22" t="s">
        <v>1056</v>
      </c>
      <c r="H8212" s="22" t="s">
        <v>2702</v>
      </c>
      <c r="I8212" s="26">
        <v>43685.697986111103</v>
      </c>
      <c r="J8212" s="23" t="str">
        <f>HYPERLINK("https://www.spark-marketing.ru/Card/Person/76164", "Гусак Жанна Алексеевна")</f>
        <v>Гусак Жанна Алексеевна</v>
      </c>
      <c r="K8212" s="24" t="s">
        <v>6149</v>
      </c>
      <c r="L8212" s="22" t="s">
        <v>10</v>
      </c>
      <c r="M8212" s="25">
        <v>394.94</v>
      </c>
      <c r="N8212" s="27">
        <v>0.99921011999999998</v>
      </c>
    </row>
    <row r="8213" spans="1:14" x14ac:dyDescent="0.15">
      <c r="A8213" s="23" t="str">
        <f>HYPERLINK("https://www.spark-marketing.ru/Card/Person/44540", "БУЗОО ""КПТД""")</f>
        <v>БУЗОО "КПТД"</v>
      </c>
      <c r="B8213" s="24" t="s">
        <v>12061</v>
      </c>
      <c r="C8213" s="25">
        <v>477630</v>
      </c>
      <c r="D8213" s="22" t="s">
        <v>12062</v>
      </c>
      <c r="E8213" s="22" t="s">
        <v>48</v>
      </c>
      <c r="F8213" s="23" t="str">
        <f>HYPERLINK("https://www.spark-marketing.ru/Card/Lot/72684115", "Оказание услуг по организации горячего питания отделения для больных туберкулезом органов дыхания № 6 г.Калачинска")</f>
        <v>Оказание услуг по организации горячего питания отделения для больных туберкулезом органов дыхания № 6 г.Калачинска</v>
      </c>
      <c r="G8213" s="22" t="s">
        <v>487</v>
      </c>
      <c r="H8213" s="22" t="s">
        <v>8549</v>
      </c>
      <c r="I8213" s="26">
        <v>43685.6691782407</v>
      </c>
      <c r="J8213" s="23" t="str">
        <f>HYPERLINK("https://www.spark-marketing.ru/Card/Person/92763", "Адушкина Наталья Викторовна")</f>
        <v>Адушкина Наталья Викторовна</v>
      </c>
      <c r="K8213" s="24" t="s">
        <v>12063</v>
      </c>
      <c r="L8213" s="22" t="s">
        <v>10</v>
      </c>
      <c r="M8213" s="28" t="s">
        <v>51</v>
      </c>
      <c r="N8213" s="28" t="s">
        <v>51</v>
      </c>
    </row>
    <row r="8214" spans="1:14" x14ac:dyDescent="0.15">
      <c r="A8214" s="23" t="str">
        <f>HYPERLINK("https://www.spark-marketing.ru/Card/Person/740402", "МБОУ СОШ №2 С. ТОЛБАЗЫ")</f>
        <v>МБОУ СОШ №2 С. ТОЛБАЗЫ</v>
      </c>
      <c r="B8214" s="24" t="s">
        <v>12064</v>
      </c>
      <c r="C8214" s="25">
        <v>1630251.9</v>
      </c>
      <c r="D8214" s="22" t="s">
        <v>12065</v>
      </c>
      <c r="E8214" s="22" t="s">
        <v>48</v>
      </c>
      <c r="F8214" s="23" t="str">
        <f>HYPERLINK("https://www.spark-marketing.ru/Card/Lot/72684870", "Оказание услуги по организации горячего питания в школе")</f>
        <v>Оказание услуги по организации горячего питания в школе</v>
      </c>
      <c r="G8214" s="22" t="s">
        <v>145</v>
      </c>
      <c r="H8214" s="22" t="s">
        <v>12032</v>
      </c>
      <c r="I8214" s="26">
        <v>43685.687245370398</v>
      </c>
      <c r="J8214" s="28" t="s">
        <v>51</v>
      </c>
      <c r="K8214" s="28" t="s">
        <v>51</v>
      </c>
      <c r="L8214" s="28" t="s">
        <v>51</v>
      </c>
      <c r="M8214" s="28" t="s">
        <v>51</v>
      </c>
      <c r="N8214" s="28" t="s">
        <v>51</v>
      </c>
    </row>
    <row r="8215" spans="1:14" ht="12.75" hidden="1" outlineLevel="1" x14ac:dyDescent="0.2">
      <c r="A8215" s="23" t="str">
        <f>HYPERLINK("https://www.spark-marketing.ru/Card/Person/740402", "МБОУ СОШ №2 С. ТОЛБАЗЫ")</f>
        <v>МБОУ СОШ №2 С. ТОЛБАЗЫ</v>
      </c>
      <c r="B8215" s="24" t="s">
        <v>12064</v>
      </c>
      <c r="C8215" s="25">
        <v>1630251.9</v>
      </c>
      <c r="D8215" s="22" t="s">
        <v>12065</v>
      </c>
      <c r="E8215" s="22" t="s">
        <v>48</v>
      </c>
      <c r="F8215" s="23" t="str">
        <f>HYPERLINK("https://www.spark-marketing.ru/Card/Lot/72684870", "Оказание услуги по организации горячего питания в школе")</f>
        <v>Оказание услуги по организации горячего питания в школе</v>
      </c>
      <c r="G8215" s="22" t="s">
        <v>145</v>
      </c>
      <c r="H8215" s="22" t="s">
        <v>12032</v>
      </c>
      <c r="I8215" s="26">
        <v>43685.687245370398</v>
      </c>
      <c r="J8215" s="23" t="str">
        <f>HYPERLINK("https://www.spark-marketing.ru/Card/Person/173124", "ПО ""ПИЩЕВИК""")</f>
        <v>ПО "ПИЩЕВИК"</v>
      </c>
      <c r="K8215" s="24" t="s">
        <v>12033</v>
      </c>
      <c r="L8215" s="22" t="s">
        <v>10</v>
      </c>
      <c r="M8215" s="25">
        <v>1450924.18</v>
      </c>
      <c r="N8215" s="27">
        <v>0.11000000674742351</v>
      </c>
    </row>
    <row r="8216" spans="1:14" hidden="1" outlineLevel="1" x14ac:dyDescent="0.2">
      <c r="A8216" s="23" t="str">
        <f>HYPERLINK("https://www.spark-marketing.ru/Card/Person/740402", "МБОУ СОШ №2 С. ТОЛБАЗЫ")</f>
        <v>МБОУ СОШ №2 С. ТОЛБАЗЫ</v>
      </c>
      <c r="B8216" s="24" t="s">
        <v>12064</v>
      </c>
      <c r="C8216" s="25">
        <v>1630251.9</v>
      </c>
      <c r="D8216" s="22" t="s">
        <v>12065</v>
      </c>
      <c r="E8216" s="22" t="s">
        <v>48</v>
      </c>
      <c r="F8216" s="23" t="str">
        <f>HYPERLINK("https://www.spark-marketing.ru/Card/Lot/72684870", "Оказание услуги по организации горячего питания в школе")</f>
        <v>Оказание услуги по организации горячего питания в школе</v>
      </c>
      <c r="G8216" s="22" t="s">
        <v>145</v>
      </c>
      <c r="H8216" s="22" t="s">
        <v>12032</v>
      </c>
      <c r="I8216" s="26">
        <v>43685.687245370398</v>
      </c>
      <c r="J8216" s="23" t="str">
        <f>HYPERLINK("https://www.spark-marketing.ru/Card/Person/145110", "ООО ""ТК ""ЗК""")</f>
        <v>ООО "ТК "ЗК"</v>
      </c>
      <c r="K8216" s="24" t="s">
        <v>5800</v>
      </c>
      <c r="L8216" s="28" t="s">
        <v>51</v>
      </c>
      <c r="M8216" s="25">
        <v>1459075.44</v>
      </c>
      <c r="N8216" s="27">
        <v>0.10500000644072244</v>
      </c>
    </row>
    <row r="8217" spans="1:14" x14ac:dyDescent="0.15">
      <c r="A8217" s="23" t="str">
        <f>HYPERLINK("https://www.spark-marketing.ru/Card/Person/736544", "МБОУ ЛИЦЕЙ С. ТОЛБАЗЫ")</f>
        <v>МБОУ ЛИЦЕЙ С. ТОЛБАЗЫ</v>
      </c>
      <c r="B8217" s="24" t="s">
        <v>12066</v>
      </c>
      <c r="C8217" s="25">
        <v>3738877.24</v>
      </c>
      <c r="D8217" s="22" t="s">
        <v>12067</v>
      </c>
      <c r="E8217" s="22" t="s">
        <v>48</v>
      </c>
      <c r="F8217" s="23" t="str">
        <f>HYPERLINK("https://www.spark-marketing.ru/Card/Lot/72686231", "Оказание услуги по организации горячего питания в школе")</f>
        <v>Оказание услуги по организации горячего питания в школе</v>
      </c>
      <c r="G8217" s="22" t="s">
        <v>145</v>
      </c>
      <c r="H8217" s="22" t="s">
        <v>12032</v>
      </c>
      <c r="I8217" s="26">
        <v>43685.688854166699</v>
      </c>
      <c r="J8217" s="28" t="s">
        <v>51</v>
      </c>
      <c r="K8217" s="28" t="s">
        <v>51</v>
      </c>
      <c r="L8217" s="28" t="s">
        <v>51</v>
      </c>
      <c r="M8217" s="28" t="s">
        <v>51</v>
      </c>
      <c r="N8217" s="28" t="s">
        <v>51</v>
      </c>
    </row>
    <row r="8218" spans="1:14" ht="12.75" hidden="1" outlineLevel="1" x14ac:dyDescent="0.2">
      <c r="A8218" s="23" t="str">
        <f>HYPERLINK("https://www.spark-marketing.ru/Card/Person/736544", "МБОУ ЛИЦЕЙ С. ТОЛБАЗЫ")</f>
        <v>МБОУ ЛИЦЕЙ С. ТОЛБАЗЫ</v>
      </c>
      <c r="B8218" s="24" t="s">
        <v>12066</v>
      </c>
      <c r="C8218" s="25">
        <v>3738877.24</v>
      </c>
      <c r="D8218" s="22" t="s">
        <v>12067</v>
      </c>
      <c r="E8218" s="22" t="s">
        <v>48</v>
      </c>
      <c r="F8218" s="23" t="str">
        <f>HYPERLINK("https://www.spark-marketing.ru/Card/Lot/72686231", "Оказание услуги по организации горячего питания в школе")</f>
        <v>Оказание услуги по организации горячего питания в школе</v>
      </c>
      <c r="G8218" s="22" t="s">
        <v>145</v>
      </c>
      <c r="H8218" s="22" t="s">
        <v>12032</v>
      </c>
      <c r="I8218" s="26">
        <v>43685.688854166699</v>
      </c>
      <c r="J8218" s="23" t="str">
        <f>HYPERLINK("https://www.spark-marketing.ru/Card/Person/173124", "ПО ""ПИЩЕВИК""")</f>
        <v>ПО "ПИЩЕВИК"</v>
      </c>
      <c r="K8218" s="24" t="s">
        <v>12033</v>
      </c>
      <c r="L8218" s="22" t="s">
        <v>10</v>
      </c>
      <c r="M8218" s="25">
        <v>2748074.76</v>
      </c>
      <c r="N8218" s="27">
        <v>0.2650000030490437</v>
      </c>
    </row>
    <row r="8219" spans="1:14" hidden="1" outlineLevel="1" x14ac:dyDescent="0.2">
      <c r="A8219" s="23" t="str">
        <f>HYPERLINK("https://www.spark-marketing.ru/Card/Person/736544", "МБОУ ЛИЦЕЙ С. ТОЛБАЗЫ")</f>
        <v>МБОУ ЛИЦЕЙ С. ТОЛБАЗЫ</v>
      </c>
      <c r="B8219" s="24" t="s">
        <v>12066</v>
      </c>
      <c r="C8219" s="25">
        <v>3738877.24</v>
      </c>
      <c r="D8219" s="22" t="s">
        <v>12067</v>
      </c>
      <c r="E8219" s="22" t="s">
        <v>48</v>
      </c>
      <c r="F8219" s="23" t="str">
        <f>HYPERLINK("https://www.spark-marketing.ru/Card/Lot/72686231", "Оказание услуги по организации горячего питания в школе")</f>
        <v>Оказание услуги по организации горячего питания в школе</v>
      </c>
      <c r="G8219" s="22" t="s">
        <v>145</v>
      </c>
      <c r="H8219" s="22" t="s">
        <v>12032</v>
      </c>
      <c r="I8219" s="26">
        <v>43685.688854166699</v>
      </c>
      <c r="J8219" s="23" t="str">
        <f>HYPERLINK("https://www.spark-marketing.ru/Card/Person/145110", "ООО ""ТК ""ЗК""")</f>
        <v>ООО "ТК "ЗК"</v>
      </c>
      <c r="K8219" s="24" t="s">
        <v>5800</v>
      </c>
      <c r="L8219" s="28" t="s">
        <v>51</v>
      </c>
      <c r="M8219" s="25">
        <v>2766769.15</v>
      </c>
      <c r="N8219" s="27">
        <v>0.2600000020326958</v>
      </c>
    </row>
    <row r="8220" spans="1:14" x14ac:dyDescent="0.15">
      <c r="A8220" s="23" t="str">
        <f>HYPERLINK("https://www.spark-marketing.ru/Card/Person/734414", "МБОУ СОШ С.ИСМАГИЛОВО")</f>
        <v>МБОУ СОШ С.ИСМАГИЛОВО</v>
      </c>
      <c r="B8220" s="24" t="s">
        <v>12068</v>
      </c>
      <c r="C8220" s="25">
        <v>362158.12</v>
      </c>
      <c r="D8220" s="22" t="s">
        <v>12069</v>
      </c>
      <c r="E8220" s="22" t="s">
        <v>48</v>
      </c>
      <c r="F8220" s="23" t="str">
        <f>HYPERLINK("https://www.spark-marketing.ru/Card/Lot/72686340", "Оказание услуги по организации горячего питания в школе")</f>
        <v>Оказание услуги по организации горячего питания в школе</v>
      </c>
      <c r="G8220" s="22" t="s">
        <v>145</v>
      </c>
      <c r="H8220" s="22" t="s">
        <v>12032</v>
      </c>
      <c r="I8220" s="26">
        <v>43685.704861111102</v>
      </c>
      <c r="J8220" s="28" t="s">
        <v>51</v>
      </c>
      <c r="K8220" s="28" t="s">
        <v>51</v>
      </c>
      <c r="L8220" s="28" t="s">
        <v>51</v>
      </c>
      <c r="M8220" s="28" t="s">
        <v>51</v>
      </c>
      <c r="N8220" s="28" t="s">
        <v>51</v>
      </c>
    </row>
    <row r="8221" spans="1:14" ht="12.75" hidden="1" outlineLevel="1" x14ac:dyDescent="0.2">
      <c r="A8221" s="23" t="str">
        <f>HYPERLINK("https://www.spark-marketing.ru/Card/Person/734414", "МБОУ СОШ С.ИСМАГИЛОВО")</f>
        <v>МБОУ СОШ С.ИСМАГИЛОВО</v>
      </c>
      <c r="B8221" s="24" t="s">
        <v>12068</v>
      </c>
      <c r="C8221" s="25">
        <v>362158.12</v>
      </c>
      <c r="D8221" s="22" t="s">
        <v>12069</v>
      </c>
      <c r="E8221" s="22" t="s">
        <v>48</v>
      </c>
      <c r="F8221" s="23" t="str">
        <f>HYPERLINK("https://www.spark-marketing.ru/Card/Lot/72686340", "Оказание услуги по организации горячего питания в школе")</f>
        <v>Оказание услуги по организации горячего питания в школе</v>
      </c>
      <c r="G8221" s="22" t="s">
        <v>145</v>
      </c>
      <c r="H8221" s="22" t="s">
        <v>12032</v>
      </c>
      <c r="I8221" s="26">
        <v>43685.704861111102</v>
      </c>
      <c r="J8221" s="23" t="str">
        <f>HYPERLINK("https://www.spark-marketing.ru/Card/Person/173124", "ПО ""ПИЩЕВИК""")</f>
        <v>ПО "ПИЩЕВИК"</v>
      </c>
      <c r="K8221" s="24" t="s">
        <v>12033</v>
      </c>
      <c r="L8221" s="22" t="s">
        <v>10</v>
      </c>
      <c r="M8221" s="25">
        <v>286104.94</v>
      </c>
      <c r="N8221" s="27">
        <v>0.20999993041713383</v>
      </c>
    </row>
    <row r="8222" spans="1:14" hidden="1" outlineLevel="1" x14ac:dyDescent="0.2">
      <c r="A8222" s="23" t="str">
        <f>HYPERLINK("https://www.spark-marketing.ru/Card/Person/734414", "МБОУ СОШ С.ИСМАГИЛОВО")</f>
        <v>МБОУ СОШ С.ИСМАГИЛОВО</v>
      </c>
      <c r="B8222" s="24" t="s">
        <v>12068</v>
      </c>
      <c r="C8222" s="25">
        <v>362158.12</v>
      </c>
      <c r="D8222" s="22" t="s">
        <v>12069</v>
      </c>
      <c r="E8222" s="22" t="s">
        <v>48</v>
      </c>
      <c r="F8222" s="23" t="str">
        <f>HYPERLINK("https://www.spark-marketing.ru/Card/Lot/72686340", "Оказание услуги по организации горячего питания в школе")</f>
        <v>Оказание услуги по организации горячего питания в школе</v>
      </c>
      <c r="G8222" s="22" t="s">
        <v>145</v>
      </c>
      <c r="H8222" s="22" t="s">
        <v>12032</v>
      </c>
      <c r="I8222" s="26">
        <v>43685.704861111102</v>
      </c>
      <c r="J8222" s="23" t="str">
        <f>HYPERLINK("https://www.spark-marketing.ru/Card/Person/145110", "ООО ""ТК ""ЗК""")</f>
        <v>ООО "ТК "ЗК"</v>
      </c>
      <c r="K8222" s="24" t="s">
        <v>5800</v>
      </c>
      <c r="L8222" s="28" t="s">
        <v>51</v>
      </c>
      <c r="M8222" s="25">
        <v>287915.73</v>
      </c>
      <c r="N8222" s="27">
        <v>0.20499993207386874</v>
      </c>
    </row>
    <row r="8223" spans="1:14" x14ac:dyDescent="0.15">
      <c r="A8223" s="23" t="str">
        <f>HYPERLINK("https://www.spark-marketing.ru/Card/Person/6440", "ДИТОО")</f>
        <v>ДИТОО</v>
      </c>
      <c r="B8223" s="24" t="s">
        <v>12070</v>
      </c>
      <c r="C8223" s="25">
        <v>513013.36</v>
      </c>
      <c r="D8223" s="22" t="s">
        <v>12071</v>
      </c>
      <c r="E8223" s="22" t="s">
        <v>12072</v>
      </c>
      <c r="F8223" s="23" t="str">
        <f>HYPERLINK("https://www.spark-marketing.ru/Card/Lot/72682562", "Поставка компьютерной техники")</f>
        <v>Поставка компьютерной техники</v>
      </c>
      <c r="G8223" s="22" t="s">
        <v>132</v>
      </c>
      <c r="H8223" s="22" t="s">
        <v>587</v>
      </c>
      <c r="I8223" s="26">
        <v>43685.681793981501</v>
      </c>
      <c r="J8223" s="23" t="str">
        <f>HYPERLINK("https://www.spark-marketing.ru/Card/Person/373121", "Новичков Дмитрий Анатольевич")</f>
        <v>Новичков Дмитрий Анатольевич</v>
      </c>
      <c r="K8223" s="24" t="s">
        <v>9416</v>
      </c>
      <c r="L8223" s="28" t="s">
        <v>51</v>
      </c>
      <c r="M8223" s="28" t="s">
        <v>51</v>
      </c>
      <c r="N8223" s="28" t="s">
        <v>51</v>
      </c>
    </row>
    <row r="8224" spans="1:14" hidden="1" outlineLevel="1" x14ac:dyDescent="0.15">
      <c r="A8224" s="23" t="str">
        <f>HYPERLINK("https://www.spark-marketing.ru/Card/Person/6440", "ДИТОО")</f>
        <v>ДИТОО</v>
      </c>
      <c r="B8224" s="24" t="s">
        <v>12070</v>
      </c>
      <c r="C8224" s="25">
        <v>513013.36</v>
      </c>
      <c r="D8224" s="22" t="s">
        <v>12071</v>
      </c>
      <c r="E8224" s="22" t="s">
        <v>12072</v>
      </c>
      <c r="F8224" s="23" t="str">
        <f>HYPERLINK("https://www.spark-marketing.ru/Card/Lot/72682562", "Поставка компьютерной техники")</f>
        <v>Поставка компьютерной техники</v>
      </c>
      <c r="G8224" s="22" t="s">
        <v>132</v>
      </c>
      <c r="H8224" s="22" t="s">
        <v>587</v>
      </c>
      <c r="I8224" s="26">
        <v>43685.681793981501</v>
      </c>
      <c r="J8224" s="23" t="str">
        <f>HYPERLINK("https://www.spark-marketing.ru/Card/Person/373121", "Новичков Дмитрий Анатольевич")</f>
        <v>Новичков Дмитрий Анатольевич</v>
      </c>
      <c r="K8224" s="24" t="s">
        <v>9416</v>
      </c>
      <c r="L8224" s="22" t="s">
        <v>10</v>
      </c>
      <c r="M8224" s="28" t="s">
        <v>51</v>
      </c>
      <c r="N8224" s="28" t="s">
        <v>51</v>
      </c>
    </row>
    <row r="8225" spans="1:14" x14ac:dyDescent="0.15">
      <c r="A8225" s="23" t="str">
        <f>HYPERLINK("https://www.spark-marketing.ru/Card/Person/736415", "МБОУ СОШ С. БИШКАИН")</f>
        <v>МБОУ СОШ С. БИШКАИН</v>
      </c>
      <c r="B8225" s="24" t="s">
        <v>12073</v>
      </c>
      <c r="C8225" s="25">
        <v>692076.34</v>
      </c>
      <c r="D8225" s="22" t="s">
        <v>12074</v>
      </c>
      <c r="E8225" s="22" t="s">
        <v>48</v>
      </c>
      <c r="F8225" s="23" t="str">
        <f>HYPERLINK("https://www.spark-marketing.ru/Card/Lot/72686180", "Оказание услуги по организации горячего питания в школе")</f>
        <v>Оказание услуги по организации горячего питания в школе</v>
      </c>
      <c r="G8225" s="22" t="s">
        <v>145</v>
      </c>
      <c r="H8225" s="22" t="s">
        <v>12032</v>
      </c>
      <c r="I8225" s="26">
        <v>43685.686759259297</v>
      </c>
      <c r="J8225" s="28" t="s">
        <v>51</v>
      </c>
      <c r="K8225" s="28" t="s">
        <v>51</v>
      </c>
      <c r="L8225" s="28" t="s">
        <v>51</v>
      </c>
      <c r="M8225" s="28" t="s">
        <v>51</v>
      </c>
      <c r="N8225" s="28" t="s">
        <v>51</v>
      </c>
    </row>
    <row r="8226" spans="1:14" ht="12.75" hidden="1" outlineLevel="1" x14ac:dyDescent="0.2">
      <c r="A8226" s="23" t="str">
        <f>HYPERLINK("https://www.spark-marketing.ru/Card/Person/736415", "МБОУ СОШ С. БИШКАИН")</f>
        <v>МБОУ СОШ С. БИШКАИН</v>
      </c>
      <c r="B8226" s="24" t="s">
        <v>12073</v>
      </c>
      <c r="C8226" s="25">
        <v>692076.34</v>
      </c>
      <c r="D8226" s="22" t="s">
        <v>12074</v>
      </c>
      <c r="E8226" s="22" t="s">
        <v>48</v>
      </c>
      <c r="F8226" s="23" t="str">
        <f>HYPERLINK("https://www.spark-marketing.ru/Card/Lot/72686180", "Оказание услуги по организации горячего питания в школе")</f>
        <v>Оказание услуги по организации горячего питания в школе</v>
      </c>
      <c r="G8226" s="22" t="s">
        <v>145</v>
      </c>
      <c r="H8226" s="22" t="s">
        <v>12032</v>
      </c>
      <c r="I8226" s="26">
        <v>43685.686759259297</v>
      </c>
      <c r="J8226" s="23" t="str">
        <f>HYPERLINK("https://www.spark-marketing.ru/Card/Person/173124", "ПО ""ПИЩЕВИК""")</f>
        <v>ПО "ПИЩЕВИК"</v>
      </c>
      <c r="K8226" s="24" t="s">
        <v>12033</v>
      </c>
      <c r="L8226" s="22" t="s">
        <v>10</v>
      </c>
      <c r="M8226" s="25">
        <v>588264.93999999994</v>
      </c>
      <c r="N8226" s="27">
        <v>0.14999992630870751</v>
      </c>
    </row>
    <row r="8227" spans="1:14" hidden="1" outlineLevel="1" x14ac:dyDescent="0.2">
      <c r="A8227" s="23" t="str">
        <f>HYPERLINK("https://www.spark-marketing.ru/Card/Person/736415", "МБОУ СОШ С. БИШКАИН")</f>
        <v>МБОУ СОШ С. БИШКАИН</v>
      </c>
      <c r="B8227" s="24" t="s">
        <v>12073</v>
      </c>
      <c r="C8227" s="25">
        <v>692076.34</v>
      </c>
      <c r="D8227" s="22" t="s">
        <v>12074</v>
      </c>
      <c r="E8227" s="22" t="s">
        <v>48</v>
      </c>
      <c r="F8227" s="23" t="str">
        <f>HYPERLINK("https://www.spark-marketing.ru/Card/Lot/72686180", "Оказание услуги по организации горячего питания в школе")</f>
        <v>Оказание услуги по организации горячего питания в школе</v>
      </c>
      <c r="G8227" s="22" t="s">
        <v>145</v>
      </c>
      <c r="H8227" s="22" t="s">
        <v>12032</v>
      </c>
      <c r="I8227" s="26">
        <v>43685.686759259297</v>
      </c>
      <c r="J8227" s="23" t="str">
        <f>HYPERLINK("https://www.spark-marketing.ru/Card/Person/145110", "ООО ""ТК ""ЗК""")</f>
        <v>ООО "ТК "ЗК"</v>
      </c>
      <c r="K8227" s="24" t="s">
        <v>5800</v>
      </c>
      <c r="L8227" s="28" t="s">
        <v>51</v>
      </c>
      <c r="M8227" s="25">
        <v>591725.31999999995</v>
      </c>
      <c r="N8227" s="27">
        <v>0.14499992876508391</v>
      </c>
    </row>
    <row r="8228" spans="1:14" x14ac:dyDescent="0.15">
      <c r="A8228" s="23" t="str">
        <f>HYPERLINK("https://www.spark-marketing.ru/Card/Person/150942", "МО МВД РОССИИ ""ОМУТНИНСКИЙ""")</f>
        <v>МО МВД РОССИИ "ОМУТНИНСКИЙ"</v>
      </c>
      <c r="B8228" s="24" t="s">
        <v>12075</v>
      </c>
      <c r="C8228" s="25">
        <v>634365</v>
      </c>
      <c r="D8228" s="22" t="s">
        <v>12076</v>
      </c>
      <c r="E8228" s="22" t="s">
        <v>48</v>
      </c>
      <c r="F8228" s="23" t="str">
        <f>HYPERLINK("https://www.spark-marketing.ru/Card/Lot/72686781", "Услуги по обеспечению питания лиц, содержащихся в изоляторе временного содержания")</f>
        <v>Услуги по обеспечению питания лиц, содержащихся в изоляторе временного содержания</v>
      </c>
      <c r="G8228" s="22" t="s">
        <v>224</v>
      </c>
      <c r="H8228" s="22" t="s">
        <v>224</v>
      </c>
      <c r="I8228" s="26">
        <v>43685.672511574099</v>
      </c>
      <c r="J8228" s="23" t="str">
        <f>HYPERLINK("https://www.spark-marketing.ru/Card/Person/35426", "ООО ""ТЕХНОЛОГИЯ ДИЕТИЧЕСКОГО ПИТАНИЯ""")</f>
        <v>ООО "ТЕХНОЛОГИЯ ДИЕТИЧЕСКОГО ПИТАНИЯ"</v>
      </c>
      <c r="K8228" s="24" t="s">
        <v>12077</v>
      </c>
      <c r="L8228" s="22" t="s">
        <v>10</v>
      </c>
      <c r="M8228" s="28" t="s">
        <v>51</v>
      </c>
      <c r="N8228" s="28" t="s">
        <v>51</v>
      </c>
    </row>
    <row r="8229" spans="1:14" x14ac:dyDescent="0.15">
      <c r="A8229" s="23" t="str">
        <f>HYPERLINK("https://www.spark-marketing.ru/Card/Person/162010", "ОТДЕЛ МВД РОССИИ ПО ЛЕВОКУМСКОМУ РАЙОНУ")</f>
        <v>ОТДЕЛ МВД РОССИИ ПО ЛЕВОКУМСКОМУ РАЙОНУ</v>
      </c>
      <c r="B8229" s="24" t="s">
        <v>4582</v>
      </c>
      <c r="C8229" s="25">
        <v>698248</v>
      </c>
      <c r="D8229" s="22" t="s">
        <v>12078</v>
      </c>
      <c r="E8229" s="22" t="s">
        <v>48</v>
      </c>
      <c r="F8229" s="23" t="str">
        <f>HYPERLINK("https://www.spark-marketing.ru/Card/Lot/72685981", "ПИТАНИЕ ИВС")</f>
        <v>ПИТАНИЕ ИВС</v>
      </c>
      <c r="G8229" s="22" t="s">
        <v>87</v>
      </c>
      <c r="H8229" s="22" t="s">
        <v>4584</v>
      </c>
      <c r="I8229" s="26">
        <v>43685.638182870403</v>
      </c>
      <c r="J8229" s="28" t="s">
        <v>51</v>
      </c>
      <c r="K8229" s="28" t="s">
        <v>51</v>
      </c>
      <c r="L8229" s="28" t="s">
        <v>51</v>
      </c>
      <c r="M8229" s="28" t="s">
        <v>51</v>
      </c>
      <c r="N8229" s="28" t="s">
        <v>51</v>
      </c>
    </row>
    <row r="8230" spans="1:14" x14ac:dyDescent="0.15">
      <c r="A8230" s="23" t="str">
        <f>HYPERLINK("https://www.spark-marketing.ru/Card/Person/71275", "МОМВД РОССИИ ""МИЧУРИНСКИЙ""")</f>
        <v>МОМВД РОССИИ "МИЧУРИНСКИЙ"</v>
      </c>
      <c r="B8230" s="24" t="s">
        <v>11238</v>
      </c>
      <c r="C8230" s="25">
        <v>491260</v>
      </c>
      <c r="D8230" s="22" t="s">
        <v>12079</v>
      </c>
      <c r="E8230" s="22" t="s">
        <v>48</v>
      </c>
      <c r="F8230" s="23" t="str">
        <f>HYPERLINK("https://www.spark-marketing.ru/Card/Lot/72686844", "Услуги по приготовлению горячего питания для спец.приемника и КСЗ (16.03.2020 - 31.05.2020)")</f>
        <v>Услуги по приготовлению горячего питания для спец.приемника и КСЗ (16.03.2020 - 31.05.2020)</v>
      </c>
      <c r="G8230" s="22" t="s">
        <v>1370</v>
      </c>
      <c r="H8230" s="22" t="s">
        <v>11538</v>
      </c>
      <c r="I8230" s="26">
        <v>43685.644224536998</v>
      </c>
      <c r="J8230" s="28" t="s">
        <v>51</v>
      </c>
      <c r="K8230" s="28" t="s">
        <v>51</v>
      </c>
      <c r="L8230" s="28" t="s">
        <v>51</v>
      </c>
      <c r="M8230" s="28" t="s">
        <v>51</v>
      </c>
      <c r="N8230" s="28" t="s">
        <v>51</v>
      </c>
    </row>
    <row r="8231" spans="1:14" ht="12.75" hidden="1" outlineLevel="1" x14ac:dyDescent="0.2">
      <c r="A8231" s="23" t="str">
        <f>HYPERLINK("https://www.spark-marketing.ru/Card/Person/71275", "МОМВД РОССИИ ""МИЧУРИНСКИЙ""")</f>
        <v>МОМВД РОССИИ "МИЧУРИНСКИЙ"</v>
      </c>
      <c r="B8231" s="24" t="s">
        <v>11238</v>
      </c>
      <c r="C8231" s="25">
        <v>491260</v>
      </c>
      <c r="D8231" s="22" t="s">
        <v>12079</v>
      </c>
      <c r="E8231" s="22" t="s">
        <v>48</v>
      </c>
      <c r="F8231" s="23" t="str">
        <f>HYPERLINK("https://www.spark-marketing.ru/Card/Lot/72686844", "Услуги по приготовлению горячего питания для спец.приемника и КСЗ (16.03.2020 - 31.05.2020)")</f>
        <v>Услуги по приготовлению горячего питания для спец.приемника и КСЗ (16.03.2020 - 31.05.2020)</v>
      </c>
      <c r="G8231" s="22" t="s">
        <v>1370</v>
      </c>
      <c r="H8231" s="22" t="s">
        <v>11538</v>
      </c>
      <c r="I8231" s="26">
        <v>43685.644224536998</v>
      </c>
      <c r="J8231" s="23" t="str">
        <f>HYPERLINK("https://www.spark-marketing.ru/Card/Person/839734", "ООО ""МИЧВЕЛЛ""")</f>
        <v>ООО "МИЧВЕЛЛ"</v>
      </c>
      <c r="K8231" s="24" t="s">
        <v>11241</v>
      </c>
      <c r="L8231" s="22" t="s">
        <v>10</v>
      </c>
      <c r="M8231" s="25">
        <v>491260</v>
      </c>
      <c r="N8231" s="27">
        <v>0</v>
      </c>
    </row>
    <row r="8232" spans="1:14" hidden="1" outlineLevel="1" x14ac:dyDescent="0.2">
      <c r="A8232" s="23" t="str">
        <f>HYPERLINK("https://www.spark-marketing.ru/Card/Person/71275", "МОМВД РОССИИ ""МИЧУРИНСКИЙ""")</f>
        <v>МОМВД РОССИИ "МИЧУРИНСКИЙ"</v>
      </c>
      <c r="B8232" s="24" t="s">
        <v>11238</v>
      </c>
      <c r="C8232" s="25">
        <v>491260</v>
      </c>
      <c r="D8232" s="22" t="s">
        <v>12079</v>
      </c>
      <c r="E8232" s="22" t="s">
        <v>48</v>
      </c>
      <c r="F8232" s="23" t="str">
        <f>HYPERLINK("https://www.spark-marketing.ru/Card/Lot/72686844", "Услуги по приготовлению горячего питания для спец.приемника и КСЗ (16.03.2020 - 31.05.2020)")</f>
        <v>Услуги по приготовлению горячего питания для спец.приемника и КСЗ (16.03.2020 - 31.05.2020)</v>
      </c>
      <c r="G8232" s="22" t="s">
        <v>1370</v>
      </c>
      <c r="H8232" s="22" t="s">
        <v>11538</v>
      </c>
      <c r="I8232" s="26">
        <v>43685.644224536998</v>
      </c>
      <c r="J8232" s="23" t="str">
        <f>HYPERLINK("https://www.spark-marketing.ru/Card/Person/837064", "Одоян Омар Мамоевич")</f>
        <v>Одоян Омар Мамоевич</v>
      </c>
      <c r="K8232" s="24" t="s">
        <v>11242</v>
      </c>
      <c r="L8232" s="28" t="s">
        <v>51</v>
      </c>
      <c r="M8232" s="25">
        <v>491260</v>
      </c>
      <c r="N8232" s="27">
        <v>0</v>
      </c>
    </row>
    <row r="8233" spans="1:14" x14ac:dyDescent="0.15">
      <c r="A8233" s="23" t="str">
        <f>HYPERLINK("https://www.spark-marketing.ru/Card/Person/124293", "ГОБОУ ЦИО")</f>
        <v>ГОБОУ ЦИО</v>
      </c>
      <c r="B8233" s="24" t="s">
        <v>11925</v>
      </c>
      <c r="C8233" s="25">
        <v>222095</v>
      </c>
      <c r="D8233" s="22" t="s">
        <v>12080</v>
      </c>
      <c r="E8233" s="22" t="s">
        <v>48</v>
      </c>
      <c r="F8233" s="23" t="str">
        <f>HYPERLINK("https://www.spark-marketing.ru/Card/Lot/72684831", "Оказания услуг по организации питания воспитанников с ограниченными возможностями здоровья и инвалидов")</f>
        <v>Оказания услуг по организации питания воспитанников с ограниченными возможностями здоровья и инвалидов</v>
      </c>
      <c r="G8233" s="22" t="s">
        <v>849</v>
      </c>
      <c r="H8233" s="22" t="s">
        <v>7002</v>
      </c>
      <c r="I8233" s="26">
        <v>43685.653414351902</v>
      </c>
      <c r="J8233" s="23" t="str">
        <f>HYPERLINK("https://www.spark-marketing.ru/Card/Person/17228", "ООО ""МЕД-ФУД""")</f>
        <v>ООО "МЕД-ФУД"</v>
      </c>
      <c r="K8233" s="24" t="s">
        <v>9686</v>
      </c>
      <c r="L8233" s="22" t="s">
        <v>10</v>
      </c>
      <c r="M8233" s="28" t="s">
        <v>51</v>
      </c>
      <c r="N8233" s="28" t="s">
        <v>51</v>
      </c>
    </row>
    <row r="8234" spans="1:14" x14ac:dyDescent="0.15">
      <c r="A8234" s="23" t="str">
        <f>HYPERLINK("https://www.spark-marketing.ru/Card/Person/71275", "МОМВД РОССИИ ""МИЧУРИНСКИЙ""")</f>
        <v>МОМВД РОССИИ "МИЧУРИНСКИЙ"</v>
      </c>
      <c r="B8234" s="24" t="s">
        <v>11238</v>
      </c>
      <c r="C8234" s="25">
        <v>491260</v>
      </c>
      <c r="D8234" s="22" t="s">
        <v>12081</v>
      </c>
      <c r="E8234" s="22" t="s">
        <v>48</v>
      </c>
      <c r="F8234" s="23" t="str">
        <f>HYPERLINK("https://www.spark-marketing.ru/Card/Lot/72686893", "Услуги по приготовлению горячего питания для спец.приемника и КСЗ (1.06.2020 - 15.08.2020)")</f>
        <v>Услуги по приготовлению горячего питания для спец.приемника и КСЗ (1.06.2020 - 15.08.2020)</v>
      </c>
      <c r="G8234" s="22" t="s">
        <v>1370</v>
      </c>
      <c r="H8234" s="22" t="s">
        <v>11240</v>
      </c>
      <c r="I8234" s="26">
        <v>43685.649907407402</v>
      </c>
      <c r="J8234" s="28" t="s">
        <v>51</v>
      </c>
      <c r="K8234" s="28" t="s">
        <v>51</v>
      </c>
      <c r="L8234" s="28" t="s">
        <v>51</v>
      </c>
      <c r="M8234" s="28" t="s">
        <v>51</v>
      </c>
      <c r="N8234" s="28" t="s">
        <v>51</v>
      </c>
    </row>
    <row r="8235" spans="1:14" ht="12.75" hidden="1" outlineLevel="1" x14ac:dyDescent="0.2">
      <c r="A8235" s="23" t="str">
        <f>HYPERLINK("https://www.spark-marketing.ru/Card/Person/71275", "МОМВД РОССИИ ""МИЧУРИНСКИЙ""")</f>
        <v>МОМВД РОССИИ "МИЧУРИНСКИЙ"</v>
      </c>
      <c r="B8235" s="24" t="s">
        <v>11238</v>
      </c>
      <c r="C8235" s="25">
        <v>491260</v>
      </c>
      <c r="D8235" s="22" t="s">
        <v>12081</v>
      </c>
      <c r="E8235" s="22" t="s">
        <v>48</v>
      </c>
      <c r="F8235" s="23" t="str">
        <f>HYPERLINK("https://www.spark-marketing.ru/Card/Lot/72686893", "Услуги по приготовлению горячего питания для спец.приемника и КСЗ (1.06.2020 - 15.08.2020)")</f>
        <v>Услуги по приготовлению горячего питания для спец.приемника и КСЗ (1.06.2020 - 15.08.2020)</v>
      </c>
      <c r="G8235" s="22" t="s">
        <v>1370</v>
      </c>
      <c r="H8235" s="22" t="s">
        <v>11240</v>
      </c>
      <c r="I8235" s="26">
        <v>43685.649907407402</v>
      </c>
      <c r="J8235" s="23" t="str">
        <f>HYPERLINK("https://www.spark-marketing.ru/Card/Person/839734", "ООО ""МИЧВЕЛЛ""")</f>
        <v>ООО "МИЧВЕЛЛ"</v>
      </c>
      <c r="K8235" s="24" t="s">
        <v>11241</v>
      </c>
      <c r="L8235" s="22" t="s">
        <v>10</v>
      </c>
      <c r="M8235" s="25">
        <v>491260</v>
      </c>
      <c r="N8235" s="27">
        <v>0</v>
      </c>
    </row>
    <row r="8236" spans="1:14" hidden="1" outlineLevel="1" x14ac:dyDescent="0.2">
      <c r="A8236" s="23" t="str">
        <f>HYPERLINK("https://www.spark-marketing.ru/Card/Person/71275", "МОМВД РОССИИ ""МИЧУРИНСКИЙ""")</f>
        <v>МОМВД РОССИИ "МИЧУРИНСКИЙ"</v>
      </c>
      <c r="B8236" s="24" t="s">
        <v>11238</v>
      </c>
      <c r="C8236" s="25">
        <v>491260</v>
      </c>
      <c r="D8236" s="22" t="s">
        <v>12081</v>
      </c>
      <c r="E8236" s="22" t="s">
        <v>48</v>
      </c>
      <c r="F8236" s="23" t="str">
        <f>HYPERLINK("https://www.spark-marketing.ru/Card/Lot/72686893", "Услуги по приготовлению горячего питания для спец.приемника и КСЗ (1.06.2020 - 15.08.2020)")</f>
        <v>Услуги по приготовлению горячего питания для спец.приемника и КСЗ (1.06.2020 - 15.08.2020)</v>
      </c>
      <c r="G8236" s="22" t="s">
        <v>1370</v>
      </c>
      <c r="H8236" s="22" t="s">
        <v>11240</v>
      </c>
      <c r="I8236" s="26">
        <v>43685.649907407402</v>
      </c>
      <c r="J8236" s="23" t="str">
        <f>HYPERLINK("https://www.spark-marketing.ru/Card/Person/837064", "Одоян Омар Мамоевич")</f>
        <v>Одоян Омар Мамоевич</v>
      </c>
      <c r="K8236" s="24" t="s">
        <v>11242</v>
      </c>
      <c r="L8236" s="28" t="s">
        <v>51</v>
      </c>
      <c r="M8236" s="25">
        <v>491260</v>
      </c>
      <c r="N8236" s="27">
        <v>0</v>
      </c>
    </row>
    <row r="8237" spans="1:14" x14ac:dyDescent="0.15">
      <c r="A8237" s="23" t="str">
        <f>HYPERLINK("https://www.spark-marketing.ru/Card/Person/51156", "МО МВД РОССИИ ""КАЗАЧИНСКИЙ""")</f>
        <v>МО МВД РОССИИ "КАЗАЧИНСКИЙ"</v>
      </c>
      <c r="B8237" s="24" t="s">
        <v>12082</v>
      </c>
      <c r="C8237" s="25">
        <v>285000</v>
      </c>
      <c r="D8237" s="22" t="s">
        <v>12083</v>
      </c>
      <c r="E8237" s="22" t="s">
        <v>48</v>
      </c>
      <c r="F8237" s="23" t="str">
        <f>HYPERLINK("https://www.spark-marketing.ru/Card/Lot/72671937", "Оказание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...")</f>
        <v>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</v>
      </c>
      <c r="G8237" s="22" t="s">
        <v>281</v>
      </c>
      <c r="H8237" s="22" t="s">
        <v>12084</v>
      </c>
      <c r="I8237" s="26">
        <v>43685.636793981503</v>
      </c>
      <c r="J8237" s="23" t="str">
        <f>HYPERLINK("https://www.spark-marketing.ru/Card/Person/220812", "Паршина Лилия Леонидовна")</f>
        <v>Паршина Лилия Леонидовна</v>
      </c>
      <c r="K8237" s="24" t="s">
        <v>12085</v>
      </c>
      <c r="L8237" s="22" t="s">
        <v>10</v>
      </c>
      <c r="M8237" s="28" t="s">
        <v>51</v>
      </c>
      <c r="N8237" s="28" t="s">
        <v>51</v>
      </c>
    </row>
    <row r="8238" spans="1:14" x14ac:dyDescent="0.15">
      <c r="A8238" s="23" t="str">
        <f t="shared" ref="A8238:A8243" si="182">HYPERLINK("https://www.spark-marketing.ru/Card/Person/71275", "МОМВД РОССИИ ""МИЧУРИНСКИЙ""")</f>
        <v>МОМВД РОССИИ "МИЧУРИНСКИЙ"</v>
      </c>
      <c r="B8238" s="24" t="s">
        <v>11238</v>
      </c>
      <c r="C8238" s="25">
        <v>491260</v>
      </c>
      <c r="D8238" s="22" t="s">
        <v>12086</v>
      </c>
      <c r="E8238" s="22" t="s">
        <v>48</v>
      </c>
      <c r="F8238" s="23" t="str">
        <f>HYPERLINK("https://www.spark-marketing.ru/Card/Lot/72686929", "Услуги по приготовлению горячего питания для спец.приемника и КСЗ ( 16.08.2020 - 31.10.2020 г.)")</f>
        <v>Услуги по приготовлению горячего питания для спец.приемника и КСЗ ( 16.08.2020 - 31.10.2020 г.)</v>
      </c>
      <c r="G8238" s="22" t="s">
        <v>1370</v>
      </c>
      <c r="H8238" s="22" t="s">
        <v>11538</v>
      </c>
      <c r="I8238" s="26">
        <v>43685.656307870398</v>
      </c>
      <c r="J8238" s="28" t="s">
        <v>51</v>
      </c>
      <c r="K8238" s="28" t="s">
        <v>51</v>
      </c>
      <c r="L8238" s="28" t="s">
        <v>51</v>
      </c>
      <c r="M8238" s="28" t="s">
        <v>51</v>
      </c>
      <c r="N8238" s="28" t="s">
        <v>51</v>
      </c>
    </row>
    <row r="8239" spans="1:14" ht="12.75" hidden="1" outlineLevel="1" x14ac:dyDescent="0.2">
      <c r="A8239" s="23" t="str">
        <f t="shared" si="182"/>
        <v>МОМВД РОССИИ "МИЧУРИНСКИЙ"</v>
      </c>
      <c r="B8239" s="24" t="s">
        <v>11238</v>
      </c>
      <c r="C8239" s="25">
        <v>491260</v>
      </c>
      <c r="D8239" s="22" t="s">
        <v>12086</v>
      </c>
      <c r="E8239" s="22" t="s">
        <v>48</v>
      </c>
      <c r="F8239" s="23" t="str">
        <f>HYPERLINK("https://www.spark-marketing.ru/Card/Lot/72686929", "Услуги по приготовлению горячего питания для спец.приемника и КСЗ ( 16.08.2020 - 31.10.2020 г.)")</f>
        <v>Услуги по приготовлению горячего питания для спец.приемника и КСЗ ( 16.08.2020 - 31.10.2020 г.)</v>
      </c>
      <c r="G8239" s="22" t="s">
        <v>1370</v>
      </c>
      <c r="H8239" s="22" t="s">
        <v>11538</v>
      </c>
      <c r="I8239" s="26">
        <v>43685.656307870398</v>
      </c>
      <c r="J8239" s="23" t="str">
        <f>HYPERLINK("https://www.spark-marketing.ru/Card/Person/839734", "ООО ""МИЧВЕЛЛ""")</f>
        <v>ООО "МИЧВЕЛЛ"</v>
      </c>
      <c r="K8239" s="24" t="s">
        <v>11241</v>
      </c>
      <c r="L8239" s="22" t="s">
        <v>10</v>
      </c>
      <c r="M8239" s="25">
        <v>491260</v>
      </c>
      <c r="N8239" s="27">
        <v>0</v>
      </c>
    </row>
    <row r="8240" spans="1:14" hidden="1" outlineLevel="1" x14ac:dyDescent="0.2">
      <c r="A8240" s="23" t="str">
        <f t="shared" si="182"/>
        <v>МОМВД РОССИИ "МИЧУРИНСКИЙ"</v>
      </c>
      <c r="B8240" s="24" t="s">
        <v>11238</v>
      </c>
      <c r="C8240" s="25">
        <v>491260</v>
      </c>
      <c r="D8240" s="22" t="s">
        <v>12086</v>
      </c>
      <c r="E8240" s="22" t="s">
        <v>48</v>
      </c>
      <c r="F8240" s="23" t="str">
        <f>HYPERLINK("https://www.spark-marketing.ru/Card/Lot/72686929", "Услуги по приготовлению горячего питания для спец.приемника и КСЗ ( 16.08.2020 - 31.10.2020 г.)")</f>
        <v>Услуги по приготовлению горячего питания для спец.приемника и КСЗ ( 16.08.2020 - 31.10.2020 г.)</v>
      </c>
      <c r="G8240" s="22" t="s">
        <v>1370</v>
      </c>
      <c r="H8240" s="22" t="s">
        <v>11538</v>
      </c>
      <c r="I8240" s="26">
        <v>43685.656307870398</v>
      </c>
      <c r="J8240" s="23" t="str">
        <f>HYPERLINK("https://www.spark-marketing.ru/Card/Person/837064", "Одоян Омар Мамоевич")</f>
        <v>Одоян Омар Мамоевич</v>
      </c>
      <c r="K8240" s="24" t="s">
        <v>11242</v>
      </c>
      <c r="L8240" s="28" t="s">
        <v>51</v>
      </c>
      <c r="M8240" s="25">
        <v>491260</v>
      </c>
      <c r="N8240" s="27">
        <v>0</v>
      </c>
    </row>
    <row r="8241" spans="1:14" x14ac:dyDescent="0.15">
      <c r="A8241" s="23" t="str">
        <f t="shared" si="182"/>
        <v>МОМВД РОССИИ "МИЧУРИНСКИЙ"</v>
      </c>
      <c r="B8241" s="24" t="s">
        <v>11238</v>
      </c>
      <c r="C8241" s="25">
        <v>491260</v>
      </c>
      <c r="D8241" s="22" t="s">
        <v>12087</v>
      </c>
      <c r="E8241" s="22" t="s">
        <v>48</v>
      </c>
      <c r="F8241" s="23" t="str">
        <f>HYPERLINK("https://www.spark-marketing.ru/Card/Lot/72686520", "Услуги по приготовлению горячего питания для спец.приемника и КСЗ (01.11.2020 - 31.12.2020 )")</f>
        <v>Услуги по приготовлению горячего питания для спец.приемника и КСЗ (01.11.2020 - 31.12.2020 )</v>
      </c>
      <c r="G8241" s="22" t="s">
        <v>1370</v>
      </c>
      <c r="H8241" s="22" t="s">
        <v>11240</v>
      </c>
      <c r="I8241" s="26">
        <v>43685.661331018498</v>
      </c>
      <c r="J8241" s="28" t="s">
        <v>51</v>
      </c>
      <c r="K8241" s="28" t="s">
        <v>51</v>
      </c>
      <c r="L8241" s="28" t="s">
        <v>51</v>
      </c>
      <c r="M8241" s="28" t="s">
        <v>51</v>
      </c>
      <c r="N8241" s="28" t="s">
        <v>51</v>
      </c>
    </row>
    <row r="8242" spans="1:14" ht="12.75" hidden="1" outlineLevel="1" x14ac:dyDescent="0.2">
      <c r="A8242" s="23" t="str">
        <f t="shared" si="182"/>
        <v>МОМВД РОССИИ "МИЧУРИНСКИЙ"</v>
      </c>
      <c r="B8242" s="24" t="s">
        <v>11238</v>
      </c>
      <c r="C8242" s="25">
        <v>491260</v>
      </c>
      <c r="D8242" s="22" t="s">
        <v>12087</v>
      </c>
      <c r="E8242" s="22" t="s">
        <v>48</v>
      </c>
      <c r="F8242" s="23" t="str">
        <f>HYPERLINK("https://www.spark-marketing.ru/Card/Lot/72686520", "Услуги по приготовлению горячего питания для спец.приемника и КСЗ (01.11.2020 - 31.12.2020 )")</f>
        <v>Услуги по приготовлению горячего питания для спец.приемника и КСЗ (01.11.2020 - 31.12.2020 )</v>
      </c>
      <c r="G8242" s="22" t="s">
        <v>1370</v>
      </c>
      <c r="H8242" s="22" t="s">
        <v>11240</v>
      </c>
      <c r="I8242" s="26">
        <v>43685.661331018498</v>
      </c>
      <c r="J8242" s="23" t="str">
        <f>HYPERLINK("https://www.spark-marketing.ru/Card/Person/839734", "ООО ""МИЧВЕЛЛ""")</f>
        <v>ООО "МИЧВЕЛЛ"</v>
      </c>
      <c r="K8242" s="24" t="s">
        <v>11241</v>
      </c>
      <c r="L8242" s="22" t="s">
        <v>10</v>
      </c>
      <c r="M8242" s="25">
        <v>491260</v>
      </c>
      <c r="N8242" s="27">
        <v>0</v>
      </c>
    </row>
    <row r="8243" spans="1:14" hidden="1" outlineLevel="1" x14ac:dyDescent="0.2">
      <c r="A8243" s="23" t="str">
        <f t="shared" si="182"/>
        <v>МОМВД РОССИИ "МИЧУРИНСКИЙ"</v>
      </c>
      <c r="B8243" s="24" t="s">
        <v>11238</v>
      </c>
      <c r="C8243" s="25">
        <v>491260</v>
      </c>
      <c r="D8243" s="22" t="s">
        <v>12087</v>
      </c>
      <c r="E8243" s="22" t="s">
        <v>48</v>
      </c>
      <c r="F8243" s="23" t="str">
        <f>HYPERLINK("https://www.spark-marketing.ru/Card/Lot/72686520", "Услуги по приготовлению горячего питания для спец.приемника и КСЗ (01.11.2020 - 31.12.2020 )")</f>
        <v>Услуги по приготовлению горячего питания для спец.приемника и КСЗ (01.11.2020 - 31.12.2020 )</v>
      </c>
      <c r="G8243" s="22" t="s">
        <v>1370</v>
      </c>
      <c r="H8243" s="22" t="s">
        <v>11240</v>
      </c>
      <c r="I8243" s="26">
        <v>43685.661331018498</v>
      </c>
      <c r="J8243" s="23" t="str">
        <f>HYPERLINK("https://www.spark-marketing.ru/Card/Person/837064", "Одоян Омар Мамоевич")</f>
        <v>Одоян Омар Мамоевич</v>
      </c>
      <c r="K8243" s="24" t="s">
        <v>11242</v>
      </c>
      <c r="L8243" s="28" t="s">
        <v>51</v>
      </c>
      <c r="M8243" s="25">
        <v>491260</v>
      </c>
      <c r="N8243" s="27">
        <v>0</v>
      </c>
    </row>
    <row r="8244" spans="1:14" x14ac:dyDescent="0.15">
      <c r="A8244" s="23" t="str">
        <f>HYPERLINK("https://www.spark-marketing.ru/Card/Person/106131", "ОМВД РОССИИ ПО КОНДИНСКОМУ РАЙОНУ")</f>
        <v>ОМВД РОССИИ ПО КОНДИНСКОМУ РАЙОНУ</v>
      </c>
      <c r="B8244" s="24" t="s">
        <v>7595</v>
      </c>
      <c r="C8244" s="25">
        <v>300000</v>
      </c>
      <c r="D8244" s="22" t="s">
        <v>12088</v>
      </c>
      <c r="E8244" s="22" t="s">
        <v>96</v>
      </c>
      <c r="F8244" s="23" t="str">
        <f>HYPERLINK("https://www.spark-marketing.ru/Card/Lot/72682274", "Оказание услуг по организации питания (приготовлению и доставке), 651 шт")</f>
        <v>Оказание услуг по организации питания (приготовлению и доставке), 651 шт</v>
      </c>
      <c r="G8244" s="22" t="s">
        <v>97</v>
      </c>
      <c r="H8244" s="22" t="s">
        <v>7597</v>
      </c>
      <c r="I8244" s="26">
        <v>43685.655995370398</v>
      </c>
      <c r="J8244" s="28" t="s">
        <v>51</v>
      </c>
      <c r="K8244" s="28" t="s">
        <v>51</v>
      </c>
      <c r="L8244" s="28" t="s">
        <v>51</v>
      </c>
      <c r="M8244" s="28" t="s">
        <v>51</v>
      </c>
      <c r="N8244" s="28" t="s">
        <v>51</v>
      </c>
    </row>
    <row r="8245" spans="1:14" x14ac:dyDescent="0.15">
      <c r="A8245" s="23" t="str">
        <f>HYPERLINK("https://www.spark-marketing.ru/Card/Person/148215", "МБОУ ХМР НОШ П. ГОРНОПРАВДИНСК")</f>
        <v>МБОУ ХМР НОШ П. ГОРНОПРАВДИНСК</v>
      </c>
      <c r="B8245" s="24" t="s">
        <v>11180</v>
      </c>
      <c r="C8245" s="25">
        <v>2973316.8</v>
      </c>
      <c r="D8245" s="22" t="s">
        <v>12089</v>
      </c>
      <c r="E8245" s="22" t="s">
        <v>48</v>
      </c>
      <c r="F8245" s="23" t="str">
        <f>HYPERLINK("https://www.spark-marketing.ru/Card/Lot/72678563", "Оказание услуг по организации горячего питания учащихся")</f>
        <v>Оказание услуг по организации горячего питания учащихся</v>
      </c>
      <c r="G8245" s="22" t="s">
        <v>97</v>
      </c>
      <c r="H8245" s="22" t="s">
        <v>7105</v>
      </c>
      <c r="I8245" s="26">
        <v>43685.643750000003</v>
      </c>
      <c r="J8245" s="28" t="s">
        <v>51</v>
      </c>
      <c r="K8245" s="28" t="s">
        <v>51</v>
      </c>
      <c r="L8245" s="28" t="s">
        <v>51</v>
      </c>
      <c r="M8245" s="28" t="s">
        <v>51</v>
      </c>
      <c r="N8245" s="28" t="s">
        <v>51</v>
      </c>
    </row>
    <row r="8246" spans="1:14" x14ac:dyDescent="0.15">
      <c r="A8246" s="23" t="str">
        <f>HYPERLINK("https://www.spark-marketing.ru/Card/Person/537654", "МО МВД РОССИИ ""НИЖНЕСЕРГИНСКИЙ""")</f>
        <v>МО МВД РОССИИ "НИЖНЕСЕРГИНСКИЙ"</v>
      </c>
      <c r="B8246" s="24" t="s">
        <v>12090</v>
      </c>
      <c r="C8246" s="25">
        <v>400000</v>
      </c>
      <c r="D8246" s="22" t="s">
        <v>12091</v>
      </c>
      <c r="E8246" s="22" t="s">
        <v>48</v>
      </c>
      <c r="F8246" s="23" t="str">
        <f>HYPERLINK("https://www.spark-marketing.ru/Card/Lot/72682082", "услуги по обеспечению питанием")</f>
        <v>услуги по обеспечению питанием</v>
      </c>
      <c r="G8246" s="22" t="s">
        <v>174</v>
      </c>
      <c r="H8246" s="22" t="s">
        <v>12092</v>
      </c>
      <c r="I8246" s="26">
        <v>43685.645300925898</v>
      </c>
      <c r="J8246" s="23" t="str">
        <f>HYPERLINK("https://www.spark-marketing.ru/Card/Person/572976", "Стратулат Ольга Николаевна")</f>
        <v>Стратулат Ольга Николаевна</v>
      </c>
      <c r="K8246" s="24" t="s">
        <v>10839</v>
      </c>
      <c r="L8246" s="22" t="s">
        <v>10</v>
      </c>
      <c r="M8246" s="28" t="s">
        <v>51</v>
      </c>
      <c r="N8246" s="28" t="s">
        <v>51</v>
      </c>
    </row>
    <row r="8247" spans="1:14" x14ac:dyDescent="0.15">
      <c r="A8247" s="23" t="str">
        <f>HYPERLINK("https://www.spark-marketing.ru/Card/Person/162010", "ОТДЕЛ МВД РОССИИ ПО ЛЕВОКУМСКОМУ РАЙОНУ")</f>
        <v>ОТДЕЛ МВД РОССИИ ПО ЛЕВОКУМСКОМУ РАЙОНУ</v>
      </c>
      <c r="B8247" s="24" t="s">
        <v>4582</v>
      </c>
      <c r="C8247" s="25">
        <v>568473</v>
      </c>
      <c r="D8247" s="22" t="s">
        <v>12093</v>
      </c>
      <c r="E8247" s="22" t="s">
        <v>48</v>
      </c>
      <c r="F8247" s="23" t="str">
        <f>HYPERLINK("https://www.spark-marketing.ru/Card/Lot/72687733", "ПИТАНИЕ ИВС")</f>
        <v>ПИТАНИЕ ИВС</v>
      </c>
      <c r="G8247" s="22" t="s">
        <v>87</v>
      </c>
      <c r="H8247" s="22" t="s">
        <v>4584</v>
      </c>
      <c r="I8247" s="26">
        <v>43685.660474536999</v>
      </c>
      <c r="J8247" s="28" t="s">
        <v>51</v>
      </c>
      <c r="K8247" s="28" t="s">
        <v>51</v>
      </c>
      <c r="L8247" s="28" t="s">
        <v>51</v>
      </c>
      <c r="M8247" s="28" t="s">
        <v>51</v>
      </c>
      <c r="N8247" s="28" t="s">
        <v>51</v>
      </c>
    </row>
    <row r="8248" spans="1:14" x14ac:dyDescent="0.15">
      <c r="A8248" s="23" t="str">
        <f>HYPERLINK("https://www.spark-marketing.ru/Card/Person/150942", "МО МВД РОССИИ ""ОМУТНИНСКИЙ""")</f>
        <v>МО МВД РОССИИ "ОМУТНИНСКИЙ"</v>
      </c>
      <c r="B8248" s="24" t="s">
        <v>12075</v>
      </c>
      <c r="C8248" s="25">
        <v>600075</v>
      </c>
      <c r="D8248" s="22" t="s">
        <v>12094</v>
      </c>
      <c r="E8248" s="22" t="s">
        <v>48</v>
      </c>
      <c r="F8248" s="23" t="str">
        <f>HYPERLINK("https://www.spark-marketing.ru/Card/Lot/72686098", "Услуги по обеспечению питания лиц, содержащихся в изоляторе временного содержания")</f>
        <v>Услуги по обеспечению питания лиц, содержащихся в изоляторе временного содержания</v>
      </c>
      <c r="G8248" s="22" t="s">
        <v>224</v>
      </c>
      <c r="H8248" s="22" t="s">
        <v>224</v>
      </c>
      <c r="I8248" s="26">
        <v>43685.658379629604</v>
      </c>
      <c r="J8248" s="23" t="str">
        <f>HYPERLINK("https://www.spark-marketing.ru/Card/Person/35426", "ООО ""ТЕХНОЛОГИЯ ДИЕТИЧЕСКОГО ПИТАНИЯ""")</f>
        <v>ООО "ТЕХНОЛОГИЯ ДИЕТИЧЕСКОГО ПИТАНИЯ"</v>
      </c>
      <c r="K8248" s="24" t="s">
        <v>12077</v>
      </c>
      <c r="L8248" s="22" t="s">
        <v>10</v>
      </c>
      <c r="M8248" s="28" t="s">
        <v>51</v>
      </c>
      <c r="N8248" s="28" t="s">
        <v>51</v>
      </c>
    </row>
    <row r="8249" spans="1:14" x14ac:dyDescent="0.15">
      <c r="A8249" s="23" t="str">
        <f>HYPERLINK("https://www.spark-marketing.ru/Card/Person/51156", "МО МВД РОССИИ ""КАЗАЧИНСКИЙ""")</f>
        <v>МО МВД РОССИИ "КАЗАЧИНСКИЙ"</v>
      </c>
      <c r="B8249" s="24" t="s">
        <v>12082</v>
      </c>
      <c r="C8249" s="25">
        <v>285000</v>
      </c>
      <c r="D8249" s="22" t="s">
        <v>12095</v>
      </c>
      <c r="E8249" s="22" t="s">
        <v>48</v>
      </c>
      <c r="F8249" s="23" t="str">
        <f>HYPERLINK("https://www.spark-marketing.ru/Card/Lot/72671664", "Оказание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...")</f>
        <v>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</v>
      </c>
      <c r="G8249" s="22" t="s">
        <v>281</v>
      </c>
      <c r="H8249" s="22" t="s">
        <v>12084</v>
      </c>
      <c r="I8249" s="26">
        <v>43685.646377314799</v>
      </c>
      <c r="J8249" s="23" t="str">
        <f>HYPERLINK("https://www.spark-marketing.ru/Card/Person/220812", "Паршина Лилия Леонидовна")</f>
        <v>Паршина Лилия Леонидовна</v>
      </c>
      <c r="K8249" s="24" t="s">
        <v>12085</v>
      </c>
      <c r="L8249" s="22" t="s">
        <v>10</v>
      </c>
      <c r="M8249" s="28" t="s">
        <v>51</v>
      </c>
      <c r="N8249" s="28" t="s">
        <v>51</v>
      </c>
    </row>
    <row r="8250" spans="1:14" x14ac:dyDescent="0.15">
      <c r="A8250" s="23" t="str">
        <f t="shared" ref="A8250:A8255" si="183">HYPERLINK("https://www.spark-marketing.ru/Card/Person/22075", "КОМИТЕТ ПО ПРОМЫШЛЕННОЙ ПОЛИТИКЕ, ИННОВАЦИЯМ И ТОРГОВЛЕ САНКТ-ПЕТЕРБУРГА")</f>
        <v>КОМИТЕТ ПО ПРОМЫШЛЕННОЙ ПОЛИТИКЕ, ИННОВАЦИЯМ И ТОРГОВЛЕ САНКТ-ПЕТЕРБУРГА</v>
      </c>
      <c r="B8250" s="24" t="s">
        <v>12096</v>
      </c>
      <c r="C8250" s="25">
        <v>8091213.3300000001</v>
      </c>
      <c r="D8250" s="22" t="s">
        <v>12097</v>
      </c>
      <c r="E8250" s="22" t="s">
        <v>55</v>
      </c>
      <c r="F8250" s="23" t="str">
        <f t="shared" ref="F8250:F8255" si="184">HYPERLINK("https://www.spark-marketing.ru/Card/Lot/72684323", "Оказание услуг по организации экспозиции и деловой программы Санкт-Петербурга в рамках в рамках Международной выставки пищевой продукции, индустрии гостеприимства, общественного питания и розничной торговли FHC CHINA 2019")</f>
        <v>Оказание услуг по организации экспозиции и деловой программы Санкт-Петербурга в рамках в рамках Международной выставки пищевой продукции, индустрии гостеприимства, общественного питания и розничной торговли FHC CHINA 2019</v>
      </c>
      <c r="G8250" s="22" t="s">
        <v>117</v>
      </c>
      <c r="H8250" s="22" t="s">
        <v>117</v>
      </c>
      <c r="I8250" s="26">
        <v>43685.632638888899</v>
      </c>
      <c r="J8250" s="28" t="s">
        <v>51</v>
      </c>
      <c r="K8250" s="28" t="s">
        <v>51</v>
      </c>
      <c r="L8250" s="28" t="s">
        <v>51</v>
      </c>
      <c r="M8250" s="28" t="s">
        <v>51</v>
      </c>
      <c r="N8250" s="28" t="s">
        <v>51</v>
      </c>
    </row>
    <row r="8251" spans="1:14" ht="12.75" hidden="1" outlineLevel="1" x14ac:dyDescent="0.2">
      <c r="A8251" s="23" t="str">
        <f t="shared" si="183"/>
        <v>КОМИТЕТ ПО ПРОМЫШЛЕННОЙ ПОЛИТИКЕ, ИННОВАЦИЯМ И ТОРГОВЛЕ САНКТ-ПЕТЕРБУРГА</v>
      </c>
      <c r="B8251" s="24" t="s">
        <v>12096</v>
      </c>
      <c r="C8251" s="25">
        <v>8091213.3300000001</v>
      </c>
      <c r="D8251" s="22" t="s">
        <v>12097</v>
      </c>
      <c r="E8251" s="22" t="s">
        <v>55</v>
      </c>
      <c r="F8251" s="23" t="str">
        <f t="shared" si="184"/>
        <v>Оказание услуг по организации экспозиции и деловой программы Санкт-Петербурга в рамках в рамках Международной выставки пищевой продукции, индустрии гостеприимства, общественного питания и розничной торговли FHC CHINA 2019</v>
      </c>
      <c r="G8251" s="22" t="s">
        <v>117</v>
      </c>
      <c r="H8251" s="22" t="s">
        <v>117</v>
      </c>
      <c r="I8251" s="26">
        <v>43685.632638888899</v>
      </c>
      <c r="J8251" s="23" t="str">
        <f>HYPERLINK("https://www.spark-marketing.ru/Card/Person/25190", "ООО ""ЛИНИСТ""")</f>
        <v>ООО "ЛИНИСТ"</v>
      </c>
      <c r="K8251" s="24" t="s">
        <v>12098</v>
      </c>
      <c r="L8251" s="22" t="s">
        <v>10</v>
      </c>
      <c r="M8251" s="25">
        <v>7700000</v>
      </c>
      <c r="N8251" s="27">
        <v>4.8350391226182142E-2</v>
      </c>
    </row>
    <row r="8252" spans="1:14" hidden="1" outlineLevel="1" x14ac:dyDescent="0.2">
      <c r="A8252" s="23" t="str">
        <f t="shared" si="183"/>
        <v>КОМИТЕТ ПО ПРОМЫШЛЕННОЙ ПОЛИТИКЕ, ИННОВАЦИЯМ И ТОРГОВЛЕ САНКТ-ПЕТЕРБУРГА</v>
      </c>
      <c r="B8252" s="24" t="s">
        <v>12096</v>
      </c>
      <c r="C8252" s="25">
        <v>8091213.3300000001</v>
      </c>
      <c r="D8252" s="22" t="s">
        <v>12097</v>
      </c>
      <c r="E8252" s="22" t="s">
        <v>55</v>
      </c>
      <c r="F8252" s="23" t="str">
        <f t="shared" si="184"/>
        <v>Оказание услуг по организации экспозиции и деловой программы Санкт-Петербурга в рамках в рамках Международной выставки пищевой продукции, индустрии гостеприимства, общественного питания и розничной торговли FHC CHINA 2019</v>
      </c>
      <c r="G8252" s="22" t="s">
        <v>117</v>
      </c>
      <c r="H8252" s="22" t="s">
        <v>117</v>
      </c>
      <c r="I8252" s="26">
        <v>43685.632638888899</v>
      </c>
      <c r="J8252" s="23" t="str">
        <f>HYPERLINK("https://www.spark-marketing.ru/Card/Person/601835", "ООО ""АДК 4Д""")</f>
        <v>ООО "АДК 4Д"</v>
      </c>
      <c r="K8252" s="24" t="s">
        <v>12099</v>
      </c>
      <c r="L8252" s="28" t="s">
        <v>51</v>
      </c>
      <c r="M8252" s="25">
        <v>7699990</v>
      </c>
      <c r="N8252" s="27">
        <v>4.8351627134764964E-2</v>
      </c>
    </row>
    <row r="8253" spans="1:14" hidden="1" outlineLevel="1" x14ac:dyDescent="0.2">
      <c r="A8253" s="23" t="str">
        <f t="shared" si="183"/>
        <v>КОМИТЕТ ПО ПРОМЫШЛЕННОЙ ПОЛИТИКЕ, ИННОВАЦИЯМ И ТОРГОВЛЕ САНКТ-ПЕТЕРБУРГА</v>
      </c>
      <c r="B8253" s="24" t="s">
        <v>12096</v>
      </c>
      <c r="C8253" s="25">
        <v>8091213.3300000001</v>
      </c>
      <c r="D8253" s="22" t="s">
        <v>12097</v>
      </c>
      <c r="E8253" s="22" t="s">
        <v>55</v>
      </c>
      <c r="F8253" s="23" t="str">
        <f t="shared" si="184"/>
        <v>Оказание услуг по организации экспозиции и деловой программы Санкт-Петербурга в рамках в рамках Международной выставки пищевой продукции, индустрии гостеприимства, общественного питания и розничной торговли FHC CHINA 2019</v>
      </c>
      <c r="G8253" s="22" t="s">
        <v>117</v>
      </c>
      <c r="H8253" s="22" t="s">
        <v>117</v>
      </c>
      <c r="I8253" s="26">
        <v>43685.632638888899</v>
      </c>
      <c r="J8253" s="23" t="str">
        <f>HYPERLINK("https://www.spark-marketing.ru/Card/Person/980114", "ООО ""СИ ЭЙЧ КОММЬЮНИКЕЙШЕНС""")</f>
        <v>ООО "СИ ЭЙЧ КОММЬЮНИКЕЙШЕНС"</v>
      </c>
      <c r="K8253" s="24" t="s">
        <v>12100</v>
      </c>
      <c r="L8253" s="28" t="s">
        <v>51</v>
      </c>
      <c r="M8253" s="25">
        <v>8090000</v>
      </c>
      <c r="N8253" s="27">
        <v>1.4995649607968005E-4</v>
      </c>
    </row>
    <row r="8254" spans="1:14" hidden="1" outlineLevel="1" x14ac:dyDescent="0.2">
      <c r="A8254" s="23" t="str">
        <f t="shared" si="183"/>
        <v>КОМИТЕТ ПО ПРОМЫШЛЕННОЙ ПОЛИТИКЕ, ИННОВАЦИЯМ И ТОРГОВЛЕ САНКТ-ПЕТЕРБУРГА</v>
      </c>
      <c r="B8254" s="24" t="s">
        <v>12096</v>
      </c>
      <c r="C8254" s="25">
        <v>8091213.3300000001</v>
      </c>
      <c r="D8254" s="22" t="s">
        <v>12097</v>
      </c>
      <c r="E8254" s="22" t="s">
        <v>55</v>
      </c>
      <c r="F8254" s="23" t="str">
        <f t="shared" si="184"/>
        <v>Оказание услуг по организации экспозиции и деловой программы Санкт-Петербурга в рамках в рамках Международной выставки пищевой продукции, индустрии гостеприимства, общественного питания и розничной торговли FHC CHINA 2019</v>
      </c>
      <c r="G8254" s="22" t="s">
        <v>117</v>
      </c>
      <c r="H8254" s="22" t="s">
        <v>117</v>
      </c>
      <c r="I8254" s="26">
        <v>43685.632638888899</v>
      </c>
      <c r="J8254" s="23" t="str">
        <f>HYPERLINK("https://www.spark-marketing.ru/Card/Person/29175", "ООО ""АЙМАРС МЕДИА""")</f>
        <v>ООО "АЙМАРС МЕДИА"</v>
      </c>
      <c r="K8254" s="24" t="s">
        <v>12101</v>
      </c>
      <c r="L8254" s="28" t="s">
        <v>51</v>
      </c>
      <c r="M8254" s="25">
        <v>7716276</v>
      </c>
      <c r="N8254" s="27">
        <v>4.6338826416779201E-2</v>
      </c>
    </row>
    <row r="8255" spans="1:14" hidden="1" outlineLevel="1" x14ac:dyDescent="0.2">
      <c r="A8255" s="23" t="str">
        <f t="shared" si="183"/>
        <v>КОМИТЕТ ПО ПРОМЫШЛЕННОЙ ПОЛИТИКЕ, ИННОВАЦИЯМ И ТОРГОВЛЕ САНКТ-ПЕТЕРБУРГА</v>
      </c>
      <c r="B8255" s="24" t="s">
        <v>12096</v>
      </c>
      <c r="C8255" s="25">
        <v>8091213.3300000001</v>
      </c>
      <c r="D8255" s="22" t="s">
        <v>12097</v>
      </c>
      <c r="E8255" s="22" t="s">
        <v>55</v>
      </c>
      <c r="F8255" s="23" t="str">
        <f t="shared" si="184"/>
        <v>Оказание услуг по организации экспозиции и деловой программы Санкт-Петербурга в рамках в рамках Международной выставки пищевой продукции, индустрии гостеприимства, общественного питания и розничной торговли FHC CHINA 2019</v>
      </c>
      <c r="G8255" s="22" t="s">
        <v>117</v>
      </c>
      <c r="H8255" s="22" t="s">
        <v>117</v>
      </c>
      <c r="I8255" s="26">
        <v>43685.632638888899</v>
      </c>
      <c r="J8255" s="23" t="str">
        <f>HYPERLINK("https://www.spark-marketing.ru/Card/Person/6709643", "ООО ""ЭКСПИРОС""")</f>
        <v>ООО "ЭКСПИРОС"</v>
      </c>
      <c r="K8255" s="24" t="s">
        <v>12102</v>
      </c>
      <c r="L8255" s="28" t="s">
        <v>51</v>
      </c>
      <c r="M8255" s="25">
        <v>7686652.6600000001</v>
      </c>
      <c r="N8255" s="27">
        <v>5.0000000432568005E-2</v>
      </c>
    </row>
    <row r="8256" spans="1:14" x14ac:dyDescent="0.15">
      <c r="A8256" s="23" t="str">
        <f>HYPERLINK("https://www.spark-marketing.ru/Card/Person/114617", "КГБОУ ""МИНУСИНСКИЙ КАДЕТСКИЙ КОРПУС""")</f>
        <v>КГБОУ "МИНУСИНСКИЙ КАДЕТСКИЙ КОРПУС"</v>
      </c>
      <c r="B8256" s="24" t="s">
        <v>12103</v>
      </c>
      <c r="C8256" s="25">
        <v>10080268.24</v>
      </c>
      <c r="D8256" s="22" t="s">
        <v>12104</v>
      </c>
      <c r="E8256" s="22" t="s">
        <v>48</v>
      </c>
      <c r="F8256" s="23" t="str">
        <f>HYPERLINK("https://www.spark-marketing.ru/Card/Lot/72676893", "ЭА № 44554/19 - Оказание услуг по организации готового горячего питания для обучающихся краевого государственного бюджетного общеобразовательного учреждения ""Минусинский кадетский корпус""")</f>
        <v>ЭА № 44554/19 - Оказание услуг по организации готового горячего питания для обучающихся краевого государственного бюджетного общеобразовательного учреждения "Минусинский кадетский корпус"</v>
      </c>
      <c r="G8256" s="22" t="s">
        <v>281</v>
      </c>
      <c r="H8256" s="22" t="s">
        <v>3098</v>
      </c>
      <c r="I8256" s="26">
        <v>43685.665821759299</v>
      </c>
      <c r="J8256" s="28" t="s">
        <v>51</v>
      </c>
      <c r="K8256" s="28" t="s">
        <v>51</v>
      </c>
      <c r="L8256" s="28" t="s">
        <v>51</v>
      </c>
      <c r="M8256" s="28" t="s">
        <v>51</v>
      </c>
      <c r="N8256" s="28" t="s">
        <v>51</v>
      </c>
    </row>
    <row r="8257" spans="1:14" ht="12.75" hidden="1" outlineLevel="1" x14ac:dyDescent="0.2">
      <c r="A8257" s="23" t="str">
        <f>HYPERLINK("https://www.spark-marketing.ru/Card/Person/114617", "КГБОУ ""МИНУСИНСКИЙ КАДЕТСКИЙ КОРПУС""")</f>
        <v>КГБОУ "МИНУСИНСКИЙ КАДЕТСКИЙ КОРПУС"</v>
      </c>
      <c r="B8257" s="24" t="s">
        <v>12103</v>
      </c>
      <c r="C8257" s="25">
        <v>10080268.24</v>
      </c>
      <c r="D8257" s="22" t="s">
        <v>12104</v>
      </c>
      <c r="E8257" s="22" t="s">
        <v>48</v>
      </c>
      <c r="F8257" s="23" t="str">
        <f>HYPERLINK("https://www.spark-marketing.ru/Card/Lot/72676893", "ЭА № 44554/19 - Оказание услуг по организации готового горячего питания для обучающихся краевого государственного бюджетного общеобразовательного учреждения ""Минусинский кадетский корпус""")</f>
        <v>ЭА № 44554/19 - Оказание услуг по организации готового горячего питания для обучающихся краевого государственного бюджетного общеобразовательного учреждения "Минусинский кадетский корпус"</v>
      </c>
      <c r="G8257" s="22" t="s">
        <v>281</v>
      </c>
      <c r="H8257" s="22" t="s">
        <v>3098</v>
      </c>
      <c r="I8257" s="26">
        <v>43685.665821759299</v>
      </c>
      <c r="J8257" s="23" t="str">
        <f>HYPERLINK("https://www.spark-marketing.ru/Card/Person/5910323", "Федорова Елена Владимировна")</f>
        <v>Федорова Елена Владимировна</v>
      </c>
      <c r="K8257" s="24" t="s">
        <v>2487</v>
      </c>
      <c r="L8257" s="22" t="s">
        <v>10</v>
      </c>
      <c r="M8257" s="25">
        <v>6955384.54</v>
      </c>
      <c r="N8257" s="27">
        <v>0.31000005412554377</v>
      </c>
    </row>
    <row r="8258" spans="1:14" hidden="1" outlineLevel="1" x14ac:dyDescent="0.2">
      <c r="A8258" s="23" t="str">
        <f>HYPERLINK("https://www.spark-marketing.ru/Card/Person/114617", "КГБОУ ""МИНУСИНСКИЙ КАДЕТСКИЙ КОРПУС""")</f>
        <v>КГБОУ "МИНУСИНСКИЙ КАДЕТСКИЙ КОРПУС"</v>
      </c>
      <c r="B8258" s="24" t="s">
        <v>12103</v>
      </c>
      <c r="C8258" s="25">
        <v>10080268.24</v>
      </c>
      <c r="D8258" s="22" t="s">
        <v>12104</v>
      </c>
      <c r="E8258" s="22" t="s">
        <v>48</v>
      </c>
      <c r="F8258" s="23" t="str">
        <f>HYPERLINK("https://www.spark-marketing.ru/Card/Lot/72676893", "ЭА № 44554/19 - Оказание услуг по организации готового горячего питания для обучающихся краевого государственного бюджетного общеобразовательного учреждения ""Минусинский кадетский корпус""")</f>
        <v>ЭА № 44554/19 - Оказание услуг по организации готового горячего питания для обучающихся краевого государственного бюджетного общеобразовательного учреждения "Минусинский кадетский корпус"</v>
      </c>
      <c r="G8258" s="22" t="s">
        <v>281</v>
      </c>
      <c r="H8258" s="22" t="s">
        <v>3098</v>
      </c>
      <c r="I8258" s="26">
        <v>43685.665821759299</v>
      </c>
      <c r="J8258" s="23" t="str">
        <f>HYPERLINK("https://www.spark-marketing.ru/Card/Person/4859312", "ООО ""ЖИВА""")</f>
        <v>ООО "ЖИВА"</v>
      </c>
      <c r="K8258" s="24" t="s">
        <v>12105</v>
      </c>
      <c r="L8258" s="28" t="s">
        <v>51</v>
      </c>
      <c r="M8258" s="25">
        <v>7005785.8899999997</v>
      </c>
      <c r="N8258" s="27">
        <v>0.30500005325255114</v>
      </c>
    </row>
    <row r="8259" spans="1:14" x14ac:dyDescent="0.15">
      <c r="A8259" s="23" t="str">
        <f>HYPERLINK("https://www.spark-marketing.ru/Card/Person/102646", "ОТДЕЛ МВД РОССИИ ПО БЕЛОРЕЦКОМУ РАЙОНУ")</f>
        <v>ОТДЕЛ МВД РОССИИ ПО БЕЛОРЕЦКОМУ РАЙОНУ</v>
      </c>
      <c r="B8259" s="24" t="s">
        <v>12106</v>
      </c>
      <c r="C8259" s="25">
        <v>130000</v>
      </c>
      <c r="D8259" s="22" t="s">
        <v>12107</v>
      </c>
      <c r="E8259" s="22" t="s">
        <v>48</v>
      </c>
      <c r="F8259" s="23" t="str">
        <f>HYPERLINK("https://www.spark-marketing.ru/Card/Lot/72683171", "Оказание услуг по организации ежедневного трехразового горячего питания лиц, содержащихся в изоляторе временного содержания подозреваемых и обвиняемых, лиц, содержащихся в специальном приемнике, для содержания лиц, подвергнутых административному арес...")</f>
        <v>Оказание услуг по организации ежедневного трехразового горячего питания лиц, содержащихся в изоляторе временного содержания подозреваемых и обвиняемых, лиц, содержащихся в специальном приемнике, для содержания лиц, подвергнутых административному арес...</v>
      </c>
      <c r="G8259" s="22" t="s">
        <v>145</v>
      </c>
      <c r="H8259" s="22" t="s">
        <v>6040</v>
      </c>
      <c r="I8259" s="26">
        <v>43685.613969907397</v>
      </c>
      <c r="J8259" s="23" t="str">
        <f>HYPERLINK("https://www.spark-marketing.ru/Card/Person/91854", "ООО ""УП ""МЕТАЛЛУРГ""")</f>
        <v>ООО "УП "МЕТАЛЛУРГ"</v>
      </c>
      <c r="K8259" s="24" t="s">
        <v>6183</v>
      </c>
      <c r="L8259" s="22" t="s">
        <v>10</v>
      </c>
      <c r="M8259" s="28" t="s">
        <v>51</v>
      </c>
      <c r="N8259" s="28" t="s">
        <v>51</v>
      </c>
    </row>
    <row r="8260" spans="1:14" x14ac:dyDescent="0.15">
      <c r="A8260" s="23" t="str">
        <f>HYPERLINK("https://www.spark-marketing.ru/Card/Person/1022404", "МДОУ ЦЕНТР РАЗВИТИЯ РЕБЕНКА-ДЕТСКИЙ САД № 61 ""РОДНИЧОК""")</f>
        <v>МДОУ ЦЕНТР РАЗВИТИЯ РЕБЕНКА-ДЕТСКИЙ САД № 61 "РОДНИЧОК"</v>
      </c>
      <c r="B8260" s="24" t="s">
        <v>12108</v>
      </c>
      <c r="C8260" s="25">
        <v>225277</v>
      </c>
      <c r="D8260" s="22" t="s">
        <v>12109</v>
      </c>
      <c r="E8260" s="22" t="s">
        <v>48</v>
      </c>
      <c r="F8260" s="23" t="str">
        <f>HYPERLINK("https://www.spark-marketing.ru/Card/Lot/72678213",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8260" s="22" t="s">
        <v>49</v>
      </c>
      <c r="H8260" s="22" t="s">
        <v>50</v>
      </c>
      <c r="I8260" s="26">
        <v>43685.596782407403</v>
      </c>
      <c r="J8260" s="28" t="s">
        <v>51</v>
      </c>
      <c r="K8260" s="28" t="s">
        <v>51</v>
      </c>
      <c r="L8260" s="28" t="s">
        <v>51</v>
      </c>
      <c r="M8260" s="28" t="s">
        <v>51</v>
      </c>
      <c r="N8260" s="28" t="s">
        <v>51</v>
      </c>
    </row>
    <row r="8261" spans="1:14" x14ac:dyDescent="0.15">
      <c r="A8261" s="23" t="str">
        <f>HYPERLINK("https://www.spark-marketing.ru/Card/Person/6086", "ГКУ ""ДИРЕКЦИЯ ОДОТСЗН Г. МОСКВЫ""")</f>
        <v>ГКУ "ДИРЕКЦИЯ ОДОТСЗН Г. МОСКВЫ"</v>
      </c>
      <c r="B8261" s="24" t="s">
        <v>164</v>
      </c>
      <c r="C8261" s="25">
        <v>2534742.4500000002</v>
      </c>
      <c r="D8261" s="22" t="s">
        <v>12110</v>
      </c>
      <c r="E8261" s="22" t="s">
        <v>96</v>
      </c>
      <c r="F8261" s="23" t="str">
        <f>HYPERLINK("https://www.spark-marketing.ru/Card/Lot/72684427", "Организация горячего питания в ГБУ ПНИ № 4 в 2019 году (226-19-4-3)")</f>
        <v>Организация горячего питания в ГБУ ПНИ № 4 в 2019 году (226-19-4-3)</v>
      </c>
      <c r="G8261" s="22" t="s">
        <v>56</v>
      </c>
      <c r="H8261" s="22" t="s">
        <v>56</v>
      </c>
      <c r="I8261" s="26">
        <v>43685.617928240703</v>
      </c>
      <c r="J8261" s="28" t="s">
        <v>51</v>
      </c>
      <c r="K8261" s="28" t="s">
        <v>51</v>
      </c>
      <c r="L8261" s="28" t="s">
        <v>51</v>
      </c>
      <c r="M8261" s="28" t="s">
        <v>51</v>
      </c>
      <c r="N8261" s="28" t="s">
        <v>51</v>
      </c>
    </row>
    <row r="8262" spans="1:14" ht="12.75" hidden="1" outlineLevel="1" x14ac:dyDescent="0.2">
      <c r="A8262" s="23" t="str">
        <f>HYPERLINK("https://www.spark-marketing.ru/Card/Person/6086", "ГКУ ""ДИРЕКЦИЯ ОДОТСЗН Г. МОСКВЫ""")</f>
        <v>ГКУ "ДИРЕКЦИЯ ОДОТСЗН Г. МОСКВЫ"</v>
      </c>
      <c r="B8262" s="24" t="s">
        <v>164</v>
      </c>
      <c r="C8262" s="25">
        <v>2534742.4500000002</v>
      </c>
      <c r="D8262" s="22" t="s">
        <v>12110</v>
      </c>
      <c r="E8262" s="22" t="s">
        <v>96</v>
      </c>
      <c r="F8262" s="23" t="str">
        <f>HYPERLINK("https://www.spark-marketing.ru/Card/Lot/72684427", "Организация горячего питания в ГБУ ПНИ № 4 в 2019 году (226-19-4-3)")</f>
        <v>Организация горячего питания в ГБУ ПНИ № 4 в 2019 году (226-19-4-3)</v>
      </c>
      <c r="G8262" s="22" t="s">
        <v>56</v>
      </c>
      <c r="H8262" s="22" t="s">
        <v>56</v>
      </c>
      <c r="I8262" s="26">
        <v>43685.617928240703</v>
      </c>
      <c r="J8262" s="23" t="str">
        <f>HYPERLINK("https://www.spark-marketing.ru/Card/Person/6626150", "ООО ""РУС-ТРЕЙД""")</f>
        <v>ООО "РУС-ТРЕЙД"</v>
      </c>
      <c r="K8262" s="24" t="s">
        <v>6176</v>
      </c>
      <c r="L8262" s="22" t="s">
        <v>10</v>
      </c>
      <c r="M8262" s="25">
        <v>2040467.76</v>
      </c>
      <c r="N8262" s="27">
        <v>0.19499996538109818</v>
      </c>
    </row>
    <row r="8263" spans="1:14" hidden="1" outlineLevel="1" x14ac:dyDescent="0.2">
      <c r="A8263" s="23" t="str">
        <f>HYPERLINK("https://www.spark-marketing.ru/Card/Person/6086", "ГКУ ""ДИРЕКЦИЯ ОДОТСЗН Г. МОСКВЫ""")</f>
        <v>ГКУ "ДИРЕКЦИЯ ОДОТСЗН Г. МОСКВЫ"</v>
      </c>
      <c r="B8263" s="24" t="s">
        <v>164</v>
      </c>
      <c r="C8263" s="25">
        <v>2534742.4500000002</v>
      </c>
      <c r="D8263" s="22" t="s">
        <v>12110</v>
      </c>
      <c r="E8263" s="22" t="s">
        <v>96</v>
      </c>
      <c r="F8263" s="23" t="str">
        <f>HYPERLINK("https://www.spark-marketing.ru/Card/Lot/72684427", "Организация горячего питания в ГБУ ПНИ № 4 в 2019 году (226-19-4-3)")</f>
        <v>Организация горячего питания в ГБУ ПНИ № 4 в 2019 году (226-19-4-3)</v>
      </c>
      <c r="G8263" s="22" t="s">
        <v>56</v>
      </c>
      <c r="H8263" s="22" t="s">
        <v>56</v>
      </c>
      <c r="I8263" s="26">
        <v>43685.617928240703</v>
      </c>
      <c r="J8263" s="23" t="str">
        <f>HYPERLINK("https://www.spark-marketing.ru/Card/Person/6578901", "ООО ""ДОРОГА""")</f>
        <v>ООО "ДОРОГА"</v>
      </c>
      <c r="K8263" s="24" t="s">
        <v>3102</v>
      </c>
      <c r="L8263" s="28" t="s">
        <v>51</v>
      </c>
      <c r="M8263" s="25">
        <v>2027794.05</v>
      </c>
      <c r="N8263" s="27">
        <v>0.19999996449343405</v>
      </c>
    </row>
    <row r="8264" spans="1:14" x14ac:dyDescent="0.15">
      <c r="A8264" s="23" t="str">
        <f>HYPERLINK("https://www.spark-marketing.ru/Card/Person/89798", "УМВД РОССИИ ПО ГОРОДУ КИРОВУ")</f>
        <v>УМВД РОССИИ ПО ГОРОДУ КИРОВУ</v>
      </c>
      <c r="B8264" s="24" t="s">
        <v>8365</v>
      </c>
      <c r="C8264" s="25">
        <v>900000</v>
      </c>
      <c r="D8264" s="22" t="s">
        <v>12111</v>
      </c>
      <c r="E8264" s="22" t="s">
        <v>48</v>
      </c>
      <c r="F8264" s="23" t="str">
        <f>HYPERLINK("https://www.spark-marketing.ru/Card/Lot/72682455",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264" s="22" t="s">
        <v>224</v>
      </c>
      <c r="H8264" s="22" t="s">
        <v>225</v>
      </c>
      <c r="I8264" s="26">
        <v>43685.592662037001</v>
      </c>
      <c r="J8264" s="28" t="s">
        <v>51</v>
      </c>
      <c r="K8264" s="28" t="s">
        <v>51</v>
      </c>
      <c r="L8264" s="28" t="s">
        <v>51</v>
      </c>
      <c r="M8264" s="28" t="s">
        <v>51</v>
      </c>
      <c r="N8264" s="28" t="s">
        <v>51</v>
      </c>
    </row>
    <row r="8265" spans="1:14" ht="12.75" hidden="1" outlineLevel="1" x14ac:dyDescent="0.2">
      <c r="A8265" s="23" t="str">
        <f>HYPERLINK("https://www.spark-marketing.ru/Card/Person/89798", "УМВД РОССИИ ПО ГОРОДУ КИРОВУ")</f>
        <v>УМВД РОССИИ ПО ГОРОДУ КИРОВУ</v>
      </c>
      <c r="B8265" s="24" t="s">
        <v>8365</v>
      </c>
      <c r="C8265" s="25">
        <v>900000</v>
      </c>
      <c r="D8265" s="22" t="s">
        <v>12111</v>
      </c>
      <c r="E8265" s="22" t="s">
        <v>48</v>
      </c>
      <c r="F8265" s="23" t="str">
        <f>HYPERLINK("https://www.spark-marketing.ru/Card/Lot/72682455",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265" s="22" t="s">
        <v>224</v>
      </c>
      <c r="H8265" s="22" t="s">
        <v>225</v>
      </c>
      <c r="I8265" s="26">
        <v>43685.592662037001</v>
      </c>
      <c r="J8265" s="23" t="str">
        <f>HYPERLINK("https://www.spark-marketing.ru/Card/Person/89851", "ООО ""ФУД-СЕРВИС""")</f>
        <v>ООО "ФУД-СЕРВИС"</v>
      </c>
      <c r="K8265" s="24" t="s">
        <v>8368</v>
      </c>
      <c r="L8265" s="22" t="s">
        <v>10</v>
      </c>
      <c r="M8265" s="25">
        <v>6951.78</v>
      </c>
      <c r="N8265" s="27">
        <v>0.99227580000000004</v>
      </c>
    </row>
    <row r="8266" spans="1:14" hidden="1" outlineLevel="1" x14ac:dyDescent="0.2">
      <c r="A8266" s="23" t="str">
        <f>HYPERLINK("https://www.spark-marketing.ru/Card/Person/89798", "УМВД РОССИИ ПО ГОРОДУ КИРОВУ")</f>
        <v>УМВД РОССИИ ПО ГОРОДУ КИРОВУ</v>
      </c>
      <c r="B8266" s="24" t="s">
        <v>8365</v>
      </c>
      <c r="C8266" s="25">
        <v>900000</v>
      </c>
      <c r="D8266" s="22" t="s">
        <v>12111</v>
      </c>
      <c r="E8266" s="22" t="s">
        <v>48</v>
      </c>
      <c r="F8266" s="23" t="str">
        <f>HYPERLINK("https://www.spark-marketing.ru/Card/Lot/72682455",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266" s="22" t="s">
        <v>224</v>
      </c>
      <c r="H8266" s="22" t="s">
        <v>225</v>
      </c>
      <c r="I8266" s="26">
        <v>43685.592662037001</v>
      </c>
      <c r="J8266" s="23" t="str">
        <f>HYPERLINK("https://www.spark-marketing.ru/Card/Person/6454752", "ООО ""ЕВРО КЕЙТЕРИНГ 43""")</f>
        <v>ООО "ЕВРО КЕЙТЕРИНГ 43"</v>
      </c>
      <c r="K8266" s="24" t="s">
        <v>8367</v>
      </c>
      <c r="L8266" s="28" t="s">
        <v>51</v>
      </c>
      <c r="M8266" s="25">
        <v>6986.89</v>
      </c>
      <c r="N8266" s="27">
        <v>0.99223678888888889</v>
      </c>
    </row>
    <row r="8267" spans="1:14" x14ac:dyDescent="0.15">
      <c r="A8267" s="23" t="str">
        <f>HYPERLINK("https://www.spark-marketing.ru/Card/Person/9368", "ГБУЗ ""ООКОД""")</f>
        <v>ГБУЗ "ООКОД"</v>
      </c>
      <c r="B8267" s="24" t="s">
        <v>810</v>
      </c>
      <c r="C8267" s="25">
        <v>1055000</v>
      </c>
      <c r="D8267" s="22" t="s">
        <v>12112</v>
      </c>
      <c r="E8267" s="22" t="s">
        <v>536</v>
      </c>
      <c r="F8267" s="23" t="str">
        <f>HYPERLINK("https://www.spark-marketing.ru/Card/Lot/72682069", "на поставку комплекта для телемедицинской консультации в рамках регионального проекта ""Создание единого цифрового контура в здравоохранении на основе единой государственной информационной системы здравоохранения (ЕГИСЗ) """)</f>
        <v>на поставку комплекта для телемедицинской консультации в рамках регионального проекта "Создание единого цифрового контура в здравоохранении на основе единой государственной информационной системы здравоохранения (ЕГИСЗ) "</v>
      </c>
      <c r="G8267" s="22" t="s">
        <v>132</v>
      </c>
      <c r="H8267" s="22" t="s">
        <v>587</v>
      </c>
      <c r="I8267" s="26">
        <v>43685.614548611098</v>
      </c>
      <c r="J8267" s="23" t="str">
        <f>HYPERLINK("https://www.spark-marketing.ru/Card/Person/6499259", "ООО ""АЙТИМ""")</f>
        <v>ООО "АЙТИМ"</v>
      </c>
      <c r="K8267" s="24" t="s">
        <v>12113</v>
      </c>
      <c r="L8267" s="22" t="s">
        <v>10</v>
      </c>
      <c r="M8267" s="28" t="s">
        <v>51</v>
      </c>
      <c r="N8267" s="28" t="s">
        <v>51</v>
      </c>
    </row>
    <row r="8268" spans="1:14" x14ac:dyDescent="0.15">
      <c r="A8268" s="23" t="str">
        <f>HYPERLINK("https://www.spark-marketing.ru/Card/Person/253377", "АО ""РН-НЯГАНЬНЕФТЕГАЗ""")</f>
        <v>АО "РН-НЯГАНЬНЕФТЕГАЗ"</v>
      </c>
      <c r="B8268" s="24" t="s">
        <v>12114</v>
      </c>
      <c r="C8268" s="28" t="s">
        <v>51</v>
      </c>
      <c r="D8268" s="22" t="s">
        <v>12115</v>
      </c>
      <c r="E8268" s="22" t="s">
        <v>580</v>
      </c>
      <c r="F8268" s="23" t="str">
        <f>HYPERLINK("https://www.spark-marketing.ru/Card/Lot/73999489", "Оказание услуг по организации горячего питания делегаций")</f>
        <v>Оказание услуг по организации горячего питания делегаций</v>
      </c>
      <c r="G8268" s="22" t="s">
        <v>97</v>
      </c>
      <c r="H8268" s="22" t="s">
        <v>5093</v>
      </c>
      <c r="I8268" s="26">
        <v>43685.611111111102</v>
      </c>
      <c r="J8268" s="28" t="s">
        <v>51</v>
      </c>
      <c r="K8268" s="28" t="s">
        <v>51</v>
      </c>
      <c r="L8268" s="28" t="s">
        <v>51</v>
      </c>
      <c r="M8268" s="28" t="s">
        <v>51</v>
      </c>
      <c r="N8268" s="28" t="s">
        <v>51</v>
      </c>
    </row>
    <row r="8269" spans="1:14" x14ac:dyDescent="0.15">
      <c r="A8269" s="23" t="str">
        <f>HYPERLINK("https://www.spark-marketing.ru/Card/Person/89798", "УМВД РОССИИ ПО ГОРОДУ КИРОВУ")</f>
        <v>УМВД РОССИИ ПО ГОРОДУ КИРОВУ</v>
      </c>
      <c r="B8269" s="24" t="s">
        <v>8365</v>
      </c>
      <c r="C8269" s="25">
        <v>900000</v>
      </c>
      <c r="D8269" s="22" t="s">
        <v>12116</v>
      </c>
      <c r="E8269" s="22" t="s">
        <v>48</v>
      </c>
      <c r="F8269" s="23" t="str">
        <f>HYPERLINK("https://www.spark-marketing.ru/Card/Lot/72682440",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269" s="22" t="s">
        <v>224</v>
      </c>
      <c r="H8269" s="22" t="s">
        <v>225</v>
      </c>
      <c r="I8269" s="26">
        <v>43685.588171296302</v>
      </c>
      <c r="J8269" s="28" t="s">
        <v>51</v>
      </c>
      <c r="K8269" s="28" t="s">
        <v>51</v>
      </c>
      <c r="L8269" s="28" t="s">
        <v>51</v>
      </c>
      <c r="M8269" s="28" t="s">
        <v>51</v>
      </c>
      <c r="N8269" s="28" t="s">
        <v>51</v>
      </c>
    </row>
    <row r="8270" spans="1:14" ht="12.75" hidden="1" outlineLevel="1" x14ac:dyDescent="0.2">
      <c r="A8270" s="23" t="str">
        <f>HYPERLINK("https://www.spark-marketing.ru/Card/Person/89798", "УМВД РОССИИ ПО ГОРОДУ КИРОВУ")</f>
        <v>УМВД РОССИИ ПО ГОРОДУ КИРОВУ</v>
      </c>
      <c r="B8270" s="24" t="s">
        <v>8365</v>
      </c>
      <c r="C8270" s="25">
        <v>900000</v>
      </c>
      <c r="D8270" s="22" t="s">
        <v>12116</v>
      </c>
      <c r="E8270" s="22" t="s">
        <v>48</v>
      </c>
      <c r="F8270" s="23" t="str">
        <f>HYPERLINK("https://www.spark-marketing.ru/Card/Lot/72682440",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270" s="22" t="s">
        <v>224</v>
      </c>
      <c r="H8270" s="22" t="s">
        <v>225</v>
      </c>
      <c r="I8270" s="26">
        <v>43685.588171296302</v>
      </c>
      <c r="J8270" s="23" t="str">
        <f>HYPERLINK("https://www.spark-marketing.ru/Card/Person/89851", "ООО ""ФУД-СЕРВИС""")</f>
        <v>ООО "ФУД-СЕРВИС"</v>
      </c>
      <c r="K8270" s="24" t="s">
        <v>8368</v>
      </c>
      <c r="L8270" s="22" t="s">
        <v>10</v>
      </c>
      <c r="M8270" s="25">
        <v>6951.78</v>
      </c>
      <c r="N8270" s="27">
        <v>0.99227580000000004</v>
      </c>
    </row>
    <row r="8271" spans="1:14" hidden="1" outlineLevel="1" x14ac:dyDescent="0.2">
      <c r="A8271" s="23" t="str">
        <f>HYPERLINK("https://www.spark-marketing.ru/Card/Person/89798", "УМВД РОССИИ ПО ГОРОДУ КИРОВУ")</f>
        <v>УМВД РОССИИ ПО ГОРОДУ КИРОВУ</v>
      </c>
      <c r="B8271" s="24" t="s">
        <v>8365</v>
      </c>
      <c r="C8271" s="25">
        <v>900000</v>
      </c>
      <c r="D8271" s="22" t="s">
        <v>12116</v>
      </c>
      <c r="E8271" s="22" t="s">
        <v>48</v>
      </c>
      <c r="F8271" s="23" t="str">
        <f>HYPERLINK("https://www.spark-marketing.ru/Card/Lot/72682440",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271" s="22" t="s">
        <v>224</v>
      </c>
      <c r="H8271" s="22" t="s">
        <v>225</v>
      </c>
      <c r="I8271" s="26">
        <v>43685.588171296302</v>
      </c>
      <c r="J8271" s="23" t="str">
        <f>HYPERLINK("https://www.spark-marketing.ru/Card/Person/6454752", "ООО ""ЕВРО КЕЙТЕРИНГ 43""")</f>
        <v>ООО "ЕВРО КЕЙТЕРИНГ 43"</v>
      </c>
      <c r="K8271" s="24" t="s">
        <v>8367</v>
      </c>
      <c r="L8271" s="28" t="s">
        <v>51</v>
      </c>
      <c r="M8271" s="25">
        <v>6986.89</v>
      </c>
      <c r="N8271" s="27">
        <v>0.99223678888888889</v>
      </c>
    </row>
    <row r="8272" spans="1:14" x14ac:dyDescent="0.15">
      <c r="A8272" s="23" t="str">
        <f>HYPERLINK("https://www.spark-marketing.ru/Card/Person/4365627", "ООО ""РН-БУРЕНИЕ""")</f>
        <v>ООО "РН-БУРЕНИЕ"</v>
      </c>
      <c r="B8272" s="24" t="s">
        <v>7087</v>
      </c>
      <c r="C8272" s="28" t="s">
        <v>51</v>
      </c>
      <c r="D8272" s="22" t="s">
        <v>12117</v>
      </c>
      <c r="E8272" s="22" t="s">
        <v>362</v>
      </c>
      <c r="F8272" s="23" t="str">
        <f>HYPERLINK("https://www.spark-marketing.ru/Card/Lot/72678181", "Оказание услуг по организации питания на объектах ОАО «Томскнефть» ВНК для Нижневартовского филиала ООО «РН-Бурение» на 2021-2022 г.")</f>
        <v>Оказание услуг по организации питания на объектах ОАО «Томскнефть» ВНК для Нижневартовского филиала ООО «РН-Бурение» на 2021-2022 г.</v>
      </c>
      <c r="G8272" s="22" t="s">
        <v>56</v>
      </c>
      <c r="H8272" s="22" t="s">
        <v>56</v>
      </c>
      <c r="I8272" s="26">
        <v>43685.565972222197</v>
      </c>
      <c r="J8272" s="28" t="s">
        <v>51</v>
      </c>
      <c r="K8272" s="28" t="s">
        <v>51</v>
      </c>
      <c r="L8272" s="28" t="s">
        <v>51</v>
      </c>
      <c r="M8272" s="28" t="s">
        <v>51</v>
      </c>
      <c r="N8272" s="28" t="s">
        <v>51</v>
      </c>
    </row>
    <row r="8273" spans="1:14" x14ac:dyDescent="0.15">
      <c r="A8273" s="23" t="str">
        <f>HYPERLINK("https://www.spark-marketing.ru/Card/Person/10547", "МКОУ ""СОШ Г.НАРИМАНОВ""")</f>
        <v>МКОУ "СОШ Г.НАРИМАНОВ"</v>
      </c>
      <c r="B8273" s="24" t="s">
        <v>3058</v>
      </c>
      <c r="C8273" s="25">
        <v>1118000</v>
      </c>
      <c r="D8273" s="22" t="s">
        <v>12118</v>
      </c>
      <c r="E8273" s="22" t="s">
        <v>48</v>
      </c>
      <c r="F8273" s="23" t="str">
        <f>HYPERLINK("https://www.spark-marketing.ru/Card/Lot/72678616", "Оказание услуги по организации горячего питания обучающихся на базе школьных столовых МКОУ «СОШ г.Нариманов»")</f>
        <v>Оказание услуги по организации горячего питания обучающихся на базе школьных столовых МКОУ «СОШ г.Нариманов»</v>
      </c>
      <c r="G8273" s="22" t="s">
        <v>141</v>
      </c>
      <c r="H8273" s="22" t="s">
        <v>141</v>
      </c>
      <c r="I8273" s="26">
        <v>43685.556388888901</v>
      </c>
      <c r="J8273" s="23" t="str">
        <f>HYPERLINK("https://www.spark-marketing.ru/Card/Person/1104816", "Симбирцева Татьяна Игоревна")</f>
        <v>Симбирцева Татьяна Игоревна</v>
      </c>
      <c r="K8273" s="24" t="s">
        <v>12119</v>
      </c>
      <c r="L8273" s="22" t="s">
        <v>10</v>
      </c>
      <c r="M8273" s="28" t="s">
        <v>51</v>
      </c>
      <c r="N8273" s="28" t="s">
        <v>51</v>
      </c>
    </row>
    <row r="8274" spans="1:14" x14ac:dyDescent="0.15">
      <c r="A8274" s="23" t="str">
        <f>HYPERLINK("https://www.spark-marketing.ru/Card/Person/145806", "ОТДЕЛ МВД РОССИИ ПО НИЖНЕИНГАШСКОМУ РАЙОНУ")</f>
        <v>ОТДЕЛ МВД РОССИИ ПО НИЖНЕИНГАШСКОМУ РАЙОНУ</v>
      </c>
      <c r="B8274" s="24" t="s">
        <v>12120</v>
      </c>
      <c r="C8274" s="25">
        <v>63009</v>
      </c>
      <c r="D8274" s="22" t="s">
        <v>12121</v>
      </c>
      <c r="E8274" s="22" t="s">
        <v>96</v>
      </c>
      <c r="F8274" s="23" t="str">
        <f>HYPERLINK("https://www.spark-marketing.ru/Card/Lot/72675644", "Оказание услуг по организации питания (приготовлению и доставке), 210 шт")</f>
        <v>Оказание услуг по организации питания (приготовлению и доставке), 210 шт</v>
      </c>
      <c r="G8274" s="22" t="s">
        <v>281</v>
      </c>
      <c r="H8274" s="22" t="s">
        <v>12122</v>
      </c>
      <c r="I8274" s="26">
        <v>43685.577118055597</v>
      </c>
      <c r="J8274" s="28" t="s">
        <v>51</v>
      </c>
      <c r="K8274" s="28" t="s">
        <v>51</v>
      </c>
      <c r="L8274" s="28" t="s">
        <v>51</v>
      </c>
      <c r="M8274" s="28" t="s">
        <v>51</v>
      </c>
      <c r="N8274" s="28" t="s">
        <v>51</v>
      </c>
    </row>
    <row r="8275" spans="1:14" x14ac:dyDescent="0.15">
      <c r="A8275" s="23" t="str">
        <f>HYPERLINK("https://www.spark-marketing.ru/Card/Person/4365627", "ООО ""РН-БУРЕНИЕ""")</f>
        <v>ООО "РН-БУРЕНИЕ"</v>
      </c>
      <c r="B8275" s="24" t="s">
        <v>7087</v>
      </c>
      <c r="C8275" s="25">
        <v>3847911.62</v>
      </c>
      <c r="D8275" s="22" t="s">
        <v>12123</v>
      </c>
      <c r="E8275" s="22" t="s">
        <v>362</v>
      </c>
      <c r="F8275" s="23" t="str">
        <f>HYPERLINK("https://www.spark-marketing.ru/Card/Lot/72678191", "Оказание услуг по организации питания на эксплуатационных объектах ЮТМ для Иркутского филиала ООО ""РН-Бурение""")</f>
        <v>Оказание услуг по организации питания на эксплуатационных объектах ЮТМ для Иркутского филиала ООО "РН-Бурение"</v>
      </c>
      <c r="G8275" s="22" t="s">
        <v>56</v>
      </c>
      <c r="H8275" s="22" t="s">
        <v>56</v>
      </c>
      <c r="I8275" s="26">
        <v>43685.570833333302</v>
      </c>
      <c r="J8275" s="28" t="s">
        <v>51</v>
      </c>
      <c r="K8275" s="28" t="s">
        <v>51</v>
      </c>
      <c r="L8275" s="28" t="s">
        <v>51</v>
      </c>
      <c r="M8275" s="28" t="s">
        <v>51</v>
      </c>
      <c r="N8275" s="28" t="s">
        <v>51</v>
      </c>
    </row>
    <row r="8276" spans="1:14" x14ac:dyDescent="0.15">
      <c r="A8276" s="23" t="str">
        <f>HYPERLINK("https://www.spark-marketing.ru/Card/Person/74446", "ГБУЗ КО ""КО ЦМП""")</f>
        <v>ГБУЗ КО "КО ЦМП"</v>
      </c>
      <c r="B8276" s="24" t="s">
        <v>386</v>
      </c>
      <c r="C8276" s="25">
        <v>534600</v>
      </c>
      <c r="D8276" s="22" t="s">
        <v>12124</v>
      </c>
      <c r="E8276" s="22" t="s">
        <v>388</v>
      </c>
      <c r="F8276" s="23" t="str">
        <f>HYPERLINK("https://www.spark-marketing.ru/Card/Lot/72682382", "Оказание услуг по размещению видео материалов по здоровому образу жизни, включая здоровое питание и отказ от вредных привычек на светодиодных экранах города Калуги")</f>
        <v>Оказание услуг по размещению видео материалов по здоровому образу жизни, включая здоровое питание и отказ от вредных привычек на светодиодных экранах города Калуги</v>
      </c>
      <c r="G8276" s="22" t="s">
        <v>112</v>
      </c>
      <c r="H8276" s="22" t="s">
        <v>389</v>
      </c>
      <c r="I8276" s="26">
        <v>43685.526076388902</v>
      </c>
      <c r="J8276" s="23" t="str">
        <f>HYPERLINK("https://www.spark-marketing.ru/Card/Person/1890691", "ООО ""ИНТЕРВИДЕО""")</f>
        <v>ООО "ИНТЕРВИДЕО"</v>
      </c>
      <c r="K8276" s="24" t="s">
        <v>12125</v>
      </c>
      <c r="L8276" s="28" t="s">
        <v>51</v>
      </c>
      <c r="M8276" s="28" t="s">
        <v>51</v>
      </c>
      <c r="N8276" s="28" t="s">
        <v>51</v>
      </c>
    </row>
    <row r="8277" spans="1:14" hidden="1" outlineLevel="1" x14ac:dyDescent="0.15">
      <c r="A8277" s="23" t="str">
        <f>HYPERLINK("https://www.spark-marketing.ru/Card/Person/74446", "ГБУЗ КО ""КО ЦМП""")</f>
        <v>ГБУЗ КО "КО ЦМП"</v>
      </c>
      <c r="B8277" s="24" t="s">
        <v>386</v>
      </c>
      <c r="C8277" s="25">
        <v>534600</v>
      </c>
      <c r="D8277" s="22" t="s">
        <v>12124</v>
      </c>
      <c r="E8277" s="22" t="s">
        <v>388</v>
      </c>
      <c r="F8277" s="23" t="str">
        <f>HYPERLINK("https://www.spark-marketing.ru/Card/Lot/72682382", "Оказание услуг по размещению видео материалов по здоровому образу жизни, включая здоровое питание и отказ от вредных привычек на светодиодных экранах города Калуги")</f>
        <v>Оказание услуг по размещению видео материалов по здоровому образу жизни, включая здоровое питание и отказ от вредных привычек на светодиодных экранах города Калуги</v>
      </c>
      <c r="G8277" s="22" t="s">
        <v>112</v>
      </c>
      <c r="H8277" s="22" t="s">
        <v>389</v>
      </c>
      <c r="I8277" s="26">
        <v>43685.526076388902</v>
      </c>
      <c r="J8277" s="23" t="str">
        <f>HYPERLINK("https://www.spark-marketing.ru/Card/Person/1890691", "ООО ""ИНТЕРВИДЕО""")</f>
        <v>ООО "ИНТЕРВИДЕО"</v>
      </c>
      <c r="K8277" s="24" t="s">
        <v>12125</v>
      </c>
      <c r="L8277" s="22" t="s">
        <v>10</v>
      </c>
      <c r="M8277" s="28" t="s">
        <v>51</v>
      </c>
      <c r="N8277" s="28" t="s">
        <v>51</v>
      </c>
    </row>
    <row r="8278" spans="1:14" x14ac:dyDescent="0.15">
      <c r="A8278" s="23" t="str">
        <f>HYPERLINK("https://www.spark-marketing.ru/Card/Person/1025789", "МБОУ ""ВОЙСКОВИЦКАЯ СРЕДНЯЯ ОБЩЕОБРАЗОВАТЕЛЬНАЯ ШКОЛА №2""")</f>
        <v>МБОУ "ВОЙСКОВИЦКАЯ СРЕДНЯЯ ОБЩЕОБРАЗОВАТЕЛЬНАЯ ШКОЛА №2"</v>
      </c>
      <c r="B8278" s="24" t="s">
        <v>12126</v>
      </c>
      <c r="C8278" s="25">
        <v>1159704</v>
      </c>
      <c r="D8278" s="22" t="s">
        <v>12127</v>
      </c>
      <c r="E8278" s="22" t="s">
        <v>48</v>
      </c>
      <c r="F8278" s="23" t="str">
        <f>HYPERLINK("https://www.spark-marketing.ru/Card/Lot/72676789",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</v>
      </c>
      <c r="G8278" s="22" t="s">
        <v>162</v>
      </c>
      <c r="H8278" s="22" t="s">
        <v>9367</v>
      </c>
      <c r="I8278" s="26">
        <v>43685.519872685203</v>
      </c>
      <c r="J8278" s="23" t="str">
        <f>HYPERLINK("https://www.spark-marketing.ru/Card/Person/671969", "Норова Галина Анваровна")</f>
        <v>Норова Галина Анваровна</v>
      </c>
      <c r="K8278" s="24" t="s">
        <v>12128</v>
      </c>
      <c r="L8278" s="22" t="s">
        <v>10</v>
      </c>
      <c r="M8278" s="28" t="s">
        <v>51</v>
      </c>
      <c r="N8278" s="28" t="s">
        <v>51</v>
      </c>
    </row>
    <row r="8279" spans="1:14" x14ac:dyDescent="0.15">
      <c r="A8279" s="23" t="str">
        <f>HYPERLINK("https://www.spark-marketing.ru/Card/Person/75105", "МБОУ ""ГАТЧИНСКАЯ СОШ №11""")</f>
        <v>МБОУ "ГАТЧИНСКАЯ СОШ №11"</v>
      </c>
      <c r="B8279" s="24" t="s">
        <v>12129</v>
      </c>
      <c r="C8279" s="25">
        <v>4884895</v>
      </c>
      <c r="D8279" s="22" t="s">
        <v>12130</v>
      </c>
      <c r="E8279" s="22" t="s">
        <v>48</v>
      </c>
      <c r="F8279" s="23" t="str">
        <f>HYPERLINK("https://www.spark-marketing.ru/Card/Lot/72676800",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</v>
      </c>
      <c r="G8279" s="22" t="s">
        <v>162</v>
      </c>
      <c r="H8279" s="22" t="s">
        <v>2343</v>
      </c>
      <c r="I8279" s="26">
        <v>43685.525949074101</v>
      </c>
      <c r="J8279" s="23" t="str">
        <f>HYPERLINK("https://www.spark-marketing.ru/Card/Person/411268", "ООО ""ПЕГАС""")</f>
        <v>ООО "ПЕГАС"</v>
      </c>
      <c r="K8279" s="24" t="s">
        <v>12131</v>
      </c>
      <c r="L8279" s="22" t="s">
        <v>10</v>
      </c>
      <c r="M8279" s="28" t="s">
        <v>51</v>
      </c>
      <c r="N8279" s="28" t="s">
        <v>51</v>
      </c>
    </row>
    <row r="8280" spans="1:14" x14ac:dyDescent="0.15">
      <c r="A8280" s="23" t="str">
        <f>HYPERLINK("https://www.spark-marketing.ru/Card/Person/33868", "МБОУ ""ГАТЧИНСКАЯ СОШ № 8 ""ЦЕНТР ОБРАЗОВАНИЯ""")</f>
        <v>МБОУ "ГАТЧИНСКАЯ СОШ № 8 "ЦЕНТР ОБРАЗОВАНИЯ"</v>
      </c>
      <c r="B8280" s="24" t="s">
        <v>12132</v>
      </c>
      <c r="C8280" s="25">
        <v>1220544</v>
      </c>
      <c r="D8280" s="22" t="s">
        <v>12133</v>
      </c>
      <c r="E8280" s="22" t="s">
        <v>48</v>
      </c>
      <c r="F8280" s="23" t="str">
        <f>HYPERLINK("https://www.spark-marketing.ru/Card/Lot/72676788",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</v>
      </c>
      <c r="G8280" s="22" t="s">
        <v>162</v>
      </c>
      <c r="H8280" s="22" t="s">
        <v>2343</v>
      </c>
      <c r="I8280" s="26">
        <v>43685.518726851798</v>
      </c>
      <c r="J8280" s="23" t="str">
        <f>HYPERLINK("https://www.spark-marketing.ru/Card/Person/127078", "Васильева Ирина Эдуардовна")</f>
        <v>Васильева Ирина Эдуардовна</v>
      </c>
      <c r="K8280" s="24" t="s">
        <v>2344</v>
      </c>
      <c r="L8280" s="22" t="s">
        <v>10</v>
      </c>
      <c r="M8280" s="28" t="s">
        <v>51</v>
      </c>
      <c r="N8280" s="28" t="s">
        <v>51</v>
      </c>
    </row>
    <row r="8281" spans="1:14" x14ac:dyDescent="0.15">
      <c r="A8281" s="23" t="str">
        <f>HYPERLINK("https://www.spark-marketing.ru/Card/Person/1045830", "МБОУ ""ГАТЧИНСКАЯ СОШ №2""")</f>
        <v>МБОУ "ГАТЧИНСКАЯ СОШ №2"</v>
      </c>
      <c r="B8281" s="24" t="s">
        <v>12134</v>
      </c>
      <c r="C8281" s="25">
        <v>2009072</v>
      </c>
      <c r="D8281" s="22" t="s">
        <v>12135</v>
      </c>
      <c r="E8281" s="22" t="s">
        <v>48</v>
      </c>
      <c r="F8281" s="23" t="str">
        <f>HYPERLINK("https://www.spark-marketing.ru/Card/Lot/72676827",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 году</v>
      </c>
      <c r="G8281" s="22" t="s">
        <v>162</v>
      </c>
      <c r="H8281" s="22" t="s">
        <v>2343</v>
      </c>
      <c r="I8281" s="26">
        <v>43685.517071759299</v>
      </c>
      <c r="J8281" s="23" t="str">
        <f>HYPERLINK("https://www.spark-marketing.ru/Card/Person/671815", "Аттамуратова Галина Петровна")</f>
        <v>Аттамуратова Галина Петровна</v>
      </c>
      <c r="K8281" s="24" t="s">
        <v>12136</v>
      </c>
      <c r="L8281" s="22" t="s">
        <v>10</v>
      </c>
      <c r="M8281" s="28" t="s">
        <v>51</v>
      </c>
      <c r="N8281" s="28" t="s">
        <v>51</v>
      </c>
    </row>
    <row r="8282" spans="1:14" x14ac:dyDescent="0.15">
      <c r="A8282" s="23" t="str">
        <f>HYPERLINK("https://www.spark-marketing.ru/Card/Person/122797", "МБОУ ""ВОЙСКОВИЦКАЯ СОШ №1""")</f>
        <v>МБОУ "ВОЙСКОВИЦКАЯ СОШ №1"</v>
      </c>
      <c r="B8282" s="24" t="s">
        <v>12137</v>
      </c>
      <c r="C8282" s="25">
        <v>2980536</v>
      </c>
      <c r="D8282" s="22" t="s">
        <v>12138</v>
      </c>
      <c r="E8282" s="22" t="s">
        <v>48</v>
      </c>
      <c r="F8282" s="23" t="str">
        <f>HYPERLINK("https://www.spark-marketing.ru/Card/Lot/72684338", "Оказание услуг по организации горячего питания для учащихся МБОУ ""Войсковицкая СОШ № 1"" в 2019/2020 учебном году.")</f>
        <v>Оказание услуг по организации горячего питания для учащихся МБОУ "Войсковицкая СОШ № 1" в 2019/2020 учебном году.</v>
      </c>
      <c r="G8282" s="22" t="s">
        <v>162</v>
      </c>
      <c r="H8282" s="22" t="s">
        <v>9367</v>
      </c>
      <c r="I8282" s="26">
        <v>43685.538634259297</v>
      </c>
      <c r="J8282" s="23" t="str">
        <f>HYPERLINK("https://www.spark-marketing.ru/Card/Person/671842", "Денисова Ирина Анатольевна")</f>
        <v>Денисова Ирина Анатольевна</v>
      </c>
      <c r="K8282" s="24" t="s">
        <v>12139</v>
      </c>
      <c r="L8282" s="22" t="s">
        <v>10</v>
      </c>
      <c r="M8282" s="28" t="s">
        <v>51</v>
      </c>
      <c r="N8282" s="28" t="s">
        <v>51</v>
      </c>
    </row>
    <row r="8283" spans="1:14" x14ac:dyDescent="0.15">
      <c r="A8283" s="23" t="str">
        <f>HYPERLINK("https://www.spark-marketing.ru/Card/Person/161709", "ООО ""ШЕРЕМЕТЬЕВО ВИП""")</f>
        <v>ООО "ШЕРЕМЕТЬЕВО ВИП"</v>
      </c>
      <c r="B8283" s="24" t="s">
        <v>1588</v>
      </c>
      <c r="C8283" s="25">
        <v>8000000</v>
      </c>
      <c r="D8283" s="22" t="s">
        <v>12140</v>
      </c>
      <c r="E8283" s="22" t="s">
        <v>12141</v>
      </c>
      <c r="F8283" s="23" t="str">
        <f>HYPERLINK("https://www.spark-marketing.ru/Card/Lot/72671984", "Поставка алкогольной продукции (Водка «Кремлин Эворд») для организации услуг общественного питания в платном меню в ВИП и Бизнес залах ООО «Шереметьево ВИП».")</f>
        <v>Поставка алкогольной продукции (Водка «Кремлин Эворд») для организации услуг общественного питания в платном меню в ВИП и Бизнес залах ООО «Шереметьево ВИП».</v>
      </c>
      <c r="G8283" s="22" t="s">
        <v>49</v>
      </c>
      <c r="H8283" s="22" t="s">
        <v>631</v>
      </c>
      <c r="I8283" s="26">
        <v>43685.5131944444</v>
      </c>
      <c r="J8283" s="28" t="s">
        <v>51</v>
      </c>
      <c r="K8283" s="28" t="s">
        <v>51</v>
      </c>
      <c r="L8283" s="28" t="s">
        <v>51</v>
      </c>
      <c r="M8283" s="28" t="s">
        <v>51</v>
      </c>
      <c r="N8283" s="28" t="s">
        <v>51</v>
      </c>
    </row>
    <row r="8284" spans="1:14" x14ac:dyDescent="0.15">
      <c r="A8284" s="23" t="str">
        <f>HYPERLINK("https://www.spark-marketing.ru/Card/Person/1023636", "МБОУ ""ЕЛИЗАВЕТИНСКАЯ СОШ""")</f>
        <v>МБОУ "ЕЛИЗАВЕТИНСКАЯ СОШ"</v>
      </c>
      <c r="B8284" s="24" t="s">
        <v>12142</v>
      </c>
      <c r="C8284" s="25">
        <v>2131792</v>
      </c>
      <c r="D8284" s="22" t="s">
        <v>12143</v>
      </c>
      <c r="E8284" s="22" t="s">
        <v>48</v>
      </c>
      <c r="F8284" s="23" t="str">
        <f>HYPERLINK("https://www.spark-marketing.ru/Card/Lot/72676792",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</v>
      </c>
      <c r="G8284" s="22" t="s">
        <v>162</v>
      </c>
      <c r="H8284" s="22" t="s">
        <v>9367</v>
      </c>
      <c r="I8284" s="26">
        <v>43685.520787037</v>
      </c>
      <c r="J8284" s="23" t="str">
        <f>HYPERLINK("https://www.spark-marketing.ru/Card/Person/671808", "Кравец Людмила Николаевна")</f>
        <v>Кравец Людмила Николаевна</v>
      </c>
      <c r="K8284" s="24" t="s">
        <v>12144</v>
      </c>
      <c r="L8284" s="22" t="s">
        <v>10</v>
      </c>
      <c r="M8284" s="28" t="s">
        <v>51</v>
      </c>
      <c r="N8284" s="28" t="s">
        <v>51</v>
      </c>
    </row>
    <row r="8285" spans="1:14" x14ac:dyDescent="0.15">
      <c r="A8285" s="23" t="str">
        <f>HYPERLINK("https://www.spark-marketing.ru/Card/Person/4365627", "ООО ""РН-БУРЕНИЕ""")</f>
        <v>ООО "РН-БУРЕНИЕ"</v>
      </c>
      <c r="B8285" s="24" t="s">
        <v>7087</v>
      </c>
      <c r="C8285" s="28" t="s">
        <v>51</v>
      </c>
      <c r="D8285" s="22" t="s">
        <v>12145</v>
      </c>
      <c r="E8285" s="22" t="s">
        <v>362</v>
      </c>
      <c r="F8285" s="23" t="str">
        <f>HYPERLINK("https://www.spark-marketing.ru/Card/Lot/72676396", "Оказание услуг по организации и обеспечению питанием, питьевой водой работников буровых бригад и производственных баз Уфимского филиала ООО ""РН-Бурение""")</f>
        <v>Оказание услуг по организации и обеспечению питанием, питьевой водой работников буровых бригад и производственных баз Уфимского филиала ООО "РН-Бурение"</v>
      </c>
      <c r="G8285" s="22" t="s">
        <v>56</v>
      </c>
      <c r="H8285" s="22" t="s">
        <v>56</v>
      </c>
      <c r="I8285" s="26">
        <v>43685.53125</v>
      </c>
      <c r="J8285" s="28" t="s">
        <v>51</v>
      </c>
      <c r="K8285" s="28" t="s">
        <v>51</v>
      </c>
      <c r="L8285" s="28" t="s">
        <v>51</v>
      </c>
      <c r="M8285" s="28" t="s">
        <v>51</v>
      </c>
      <c r="N8285" s="28" t="s">
        <v>51</v>
      </c>
    </row>
    <row r="8286" spans="1:14" x14ac:dyDescent="0.15">
      <c r="A8286" s="23" t="str">
        <f>HYPERLINK("https://www.spark-marketing.ru/Card/Person/21346", "ГКУ НСО ""ЦЕНТР ГО, ЧС И ПБ НОВОСИБИРСКОЙ ОБЛАСТИ""")</f>
        <v>ГКУ НСО "ЦЕНТР ГО, ЧС И ПБ НОВОСИБИРСКОЙ ОБЛАСТИ"</v>
      </c>
      <c r="B8286" s="24" t="s">
        <v>2785</v>
      </c>
      <c r="C8286" s="25">
        <v>192760</v>
      </c>
      <c r="D8286" s="22" t="s">
        <v>12146</v>
      </c>
      <c r="E8286" s="22" t="s">
        <v>96</v>
      </c>
      <c r="F8286" s="23" t="str">
        <f>HYPERLINK("https://www.spark-marketing.ru/Card/Lot/72665726", "Оказание услуг по организации питания спасателей Искитимского ПСО")</f>
        <v>Оказание услуг по организации питания спасателей Искитимского ПСО</v>
      </c>
      <c r="G8286" s="22" t="s">
        <v>195</v>
      </c>
      <c r="H8286" s="22" t="s">
        <v>196</v>
      </c>
      <c r="I8286" s="26">
        <v>43685.527986111098</v>
      </c>
      <c r="J8286" s="23" t="str">
        <f>HYPERLINK("https://www.spark-marketing.ru/Card/Person/6685110", "Катаева Татьяна Анатольевна")</f>
        <v>Катаева Татьяна Анатольевна</v>
      </c>
      <c r="K8286" s="24" t="s">
        <v>12147</v>
      </c>
      <c r="L8286" s="22" t="s">
        <v>10</v>
      </c>
      <c r="M8286" s="28" t="s">
        <v>51</v>
      </c>
      <c r="N8286" s="28" t="s">
        <v>51</v>
      </c>
    </row>
    <row r="8287" spans="1:14" x14ac:dyDescent="0.15">
      <c r="A8287" s="23" t="str">
        <f>HYPERLINK("https://www.spark-marketing.ru/Card/Person/996342", "МБОУ ""ТЕРВОЛОВСКАЯ ООШ""")</f>
        <v>МБОУ "ТЕРВОЛОВСКАЯ ООШ"</v>
      </c>
      <c r="B8287" s="24" t="s">
        <v>12148</v>
      </c>
      <c r="C8287" s="25">
        <v>631800</v>
      </c>
      <c r="D8287" s="22" t="s">
        <v>12149</v>
      </c>
      <c r="E8287" s="22" t="s">
        <v>48</v>
      </c>
      <c r="F8287" s="23" t="str">
        <f>HYPERLINK("https://www.spark-marketing.ru/Card/Lot/72676380", "Оказание услуг по организации горячего питании для учащихся общеобразовательных учреждений Гатчинского муниципального района Ленинградской области 2019г - 2020г")</f>
        <v>Оказание услуг по организации горячего питании для учащихся общеобразовательных учреждений Гатчинского муниципального района Ленинградской области 2019г - 2020г</v>
      </c>
      <c r="G8287" s="22" t="s">
        <v>162</v>
      </c>
      <c r="H8287" s="22" t="s">
        <v>9367</v>
      </c>
      <c r="I8287" s="26">
        <v>43685.521886574097</v>
      </c>
      <c r="J8287" s="23" t="str">
        <f>HYPERLINK("https://www.spark-marketing.ru/Card/Person/411268", "ООО ""ПЕГАС""")</f>
        <v>ООО "ПЕГАС"</v>
      </c>
      <c r="K8287" s="24" t="s">
        <v>12131</v>
      </c>
      <c r="L8287" s="22" t="s">
        <v>10</v>
      </c>
      <c r="M8287" s="28" t="s">
        <v>51</v>
      </c>
      <c r="N8287" s="28" t="s">
        <v>51</v>
      </c>
    </row>
    <row r="8288" spans="1:14" x14ac:dyDescent="0.15">
      <c r="A8288" s="23" t="str">
        <f>HYPERLINK("https://www.spark-marketing.ru/Card/Person/33769", "МКОУ ГСОШ")</f>
        <v>МКОУ ГСОШ</v>
      </c>
      <c r="B8288" s="24" t="s">
        <v>12150</v>
      </c>
      <c r="C8288" s="25">
        <v>2104320</v>
      </c>
      <c r="D8288" s="22" t="s">
        <v>12151</v>
      </c>
      <c r="E8288" s="22" t="s">
        <v>96</v>
      </c>
      <c r="F8288" s="23" t="str">
        <f>HYPERLINK("https://www.spark-marketing.ru/Card/Lot/72676781", "оказание услуг по организации горячего питания воспитанников пришкольного интерната")</f>
        <v>оказание услуг по организации горячего питания воспитанников пришкольного интерната</v>
      </c>
      <c r="G8288" s="22" t="s">
        <v>1056</v>
      </c>
      <c r="H8288" s="22" t="s">
        <v>1056</v>
      </c>
      <c r="I8288" s="26">
        <v>43685.507662037002</v>
      </c>
      <c r="J8288" s="23" t="str">
        <f>HYPERLINK("https://www.spark-marketing.ru/Card/Person/55986", "ТАЗОВСКОЕ ПОТРЕБОБЩЕСТВО")</f>
        <v>ТАЗОВСКОЕ ПОТРЕБОБЩЕСТВО</v>
      </c>
      <c r="K8288" s="24" t="s">
        <v>12152</v>
      </c>
      <c r="L8288" s="22" t="s">
        <v>10</v>
      </c>
      <c r="M8288" s="28" t="s">
        <v>51</v>
      </c>
      <c r="N8288" s="28" t="s">
        <v>51</v>
      </c>
    </row>
    <row r="8289" spans="1:14" x14ac:dyDescent="0.15">
      <c r="A8289" s="23" t="str">
        <f>HYPERLINK("https://www.spark-marketing.ru/Card/Person/1036509", "ОМВД РОССИИ ПО БОРОВСКОМУ РАЙОНУ")</f>
        <v>ОМВД РОССИИ ПО БОРОВСКОМУ РАЙОНУ</v>
      </c>
      <c r="B8289" s="24" t="s">
        <v>12153</v>
      </c>
      <c r="C8289" s="25">
        <v>544000</v>
      </c>
      <c r="D8289" s="22" t="s">
        <v>12154</v>
      </c>
      <c r="E8289" s="22" t="s">
        <v>48</v>
      </c>
      <c r="F8289" s="23" t="str">
        <f>HYPERLINK("https://www.spark-marketing.ru/Card/Lot/72681877", "Услуги по обеспечению питанием")</f>
        <v>Услуги по обеспечению питанием</v>
      </c>
      <c r="G8289" s="22" t="s">
        <v>112</v>
      </c>
      <c r="H8289" s="22" t="s">
        <v>112</v>
      </c>
      <c r="I8289" s="26">
        <v>43685.535011574102</v>
      </c>
      <c r="J8289" s="23" t="str">
        <f>HYPERLINK("https://www.spark-marketing.ru/Card/Person/1236642", "Ковальчук Татьяна Евгеньевна")</f>
        <v>Ковальчук Татьяна Евгеньевна</v>
      </c>
      <c r="K8289" s="24" t="s">
        <v>12155</v>
      </c>
      <c r="L8289" s="22" t="s">
        <v>10</v>
      </c>
      <c r="M8289" s="28" t="s">
        <v>51</v>
      </c>
      <c r="N8289" s="28" t="s">
        <v>51</v>
      </c>
    </row>
    <row r="8290" spans="1:14" x14ac:dyDescent="0.15">
      <c r="A8290" s="23" t="str">
        <f>HYPERLINK("https://www.spark-marketing.ru/Card/Person/4377027", "МБОУ ""ЯСШ № 7""")</f>
        <v>МБОУ "ЯСШ № 7"</v>
      </c>
      <c r="B8290" s="24" t="s">
        <v>10056</v>
      </c>
      <c r="C8290" s="25">
        <v>1391960</v>
      </c>
      <c r="D8290" s="22" t="s">
        <v>12156</v>
      </c>
      <c r="E8290" s="22" t="s">
        <v>48</v>
      </c>
      <c r="F8290" s="23" t="str">
        <f>HYPERLINK("https://www.spark-marketing.ru/Card/Lot/72703377", "Оказание услуг по организации горячего питания (завтраки, обеды) обучающихся")</f>
        <v>Оказание услуг по организации горячего питания (завтраки, обеды) обучающихся</v>
      </c>
      <c r="G8290" s="22" t="s">
        <v>108</v>
      </c>
      <c r="H8290" s="22" t="s">
        <v>108</v>
      </c>
      <c r="I8290" s="26">
        <v>43685.530833333301</v>
      </c>
      <c r="J8290" s="23" t="str">
        <f>HYPERLINK("https://www.spark-marketing.ru/Card/Person/1730092", "ООО ""МИМОЗА""")</f>
        <v>ООО "МИМОЗА"</v>
      </c>
      <c r="K8290" s="24" t="s">
        <v>4673</v>
      </c>
      <c r="L8290" s="22" t="s">
        <v>10</v>
      </c>
      <c r="M8290" s="28" t="s">
        <v>51</v>
      </c>
      <c r="N8290" s="28" t="s">
        <v>51</v>
      </c>
    </row>
    <row r="8291" spans="1:14" x14ac:dyDescent="0.15">
      <c r="A8291" s="23" t="str">
        <f>HYPERLINK("https://www.spark-marketing.ru/Card/Person/35042", "МКОУ АШИ")</f>
        <v>МКОУ АШИ</v>
      </c>
      <c r="B8291" s="24" t="s">
        <v>9347</v>
      </c>
      <c r="C8291" s="25">
        <v>5765504</v>
      </c>
      <c r="D8291" s="22" t="s">
        <v>12157</v>
      </c>
      <c r="E8291" s="22" t="s">
        <v>96</v>
      </c>
      <c r="F8291" s="23" t="str">
        <f>HYPERLINK("https://www.spark-marketing.ru/Card/Lot/72676782", "Оказание услуг по организации горячего питания учащихся 1-11 классов на 2 полугодие 2019 года")</f>
        <v>Оказание услуг по организации горячего питания учащихся 1-11 классов на 2 полугодие 2019 года</v>
      </c>
      <c r="G8291" s="22" t="s">
        <v>1056</v>
      </c>
      <c r="H8291" s="22" t="s">
        <v>1056</v>
      </c>
      <c r="I8291" s="26">
        <v>43685.508692129602</v>
      </c>
      <c r="J8291" s="28" t="s">
        <v>51</v>
      </c>
      <c r="K8291" s="28" t="s">
        <v>51</v>
      </c>
      <c r="L8291" s="28" t="s">
        <v>51</v>
      </c>
      <c r="M8291" s="28" t="s">
        <v>51</v>
      </c>
      <c r="N8291" s="28" t="s">
        <v>51</v>
      </c>
    </row>
    <row r="8292" spans="1:14" x14ac:dyDescent="0.15">
      <c r="A8292" s="23" t="str">
        <f>HYPERLINK("https://www.spark-marketing.ru/Card/Person/152451", "МБОУ ЛИЦЕЙ Г. ЯНАУЛ")</f>
        <v>МБОУ ЛИЦЕЙ Г. ЯНАУЛ</v>
      </c>
      <c r="B8292" s="24" t="s">
        <v>1314</v>
      </c>
      <c r="C8292" s="25">
        <v>1603224</v>
      </c>
      <c r="D8292" s="22" t="s">
        <v>12158</v>
      </c>
      <c r="E8292" s="22" t="s">
        <v>48</v>
      </c>
      <c r="F8292" s="23" t="str">
        <f>HYPERLINK("https://www.spark-marketing.ru/Card/Lot/72685946", "Оказание услуг для организации горячего и буфетного питания обучающихся")</f>
        <v>Оказание услуг для организации горячего и буфетного питания обучающихся</v>
      </c>
      <c r="G8292" s="22" t="s">
        <v>145</v>
      </c>
      <c r="H8292" s="22" t="s">
        <v>1316</v>
      </c>
      <c r="I8292" s="26">
        <v>43685.480300925898</v>
      </c>
      <c r="J8292" s="23" t="str">
        <f>HYPERLINK("https://www.spark-marketing.ru/Card/Person/6275152", "ООО ""ЯНАУЛЬСКИЙ КДП""")</f>
        <v>ООО "ЯНАУЛЬСКИЙ КДП"</v>
      </c>
      <c r="K8292" s="24" t="s">
        <v>10674</v>
      </c>
      <c r="L8292" s="22" t="s">
        <v>10</v>
      </c>
      <c r="M8292" s="28" t="s">
        <v>51</v>
      </c>
      <c r="N8292" s="28" t="s">
        <v>51</v>
      </c>
    </row>
    <row r="8293" spans="1:14" x14ac:dyDescent="0.15">
      <c r="A8293" s="23" t="str">
        <f>HYPERLINK("https://www.spark-marketing.ru/Card/Person/536031", "МОМВД РОССИИ ""МОРШАНСКИЙ""")</f>
        <v>МОМВД РОССИИ "МОРШАНСКИЙ"</v>
      </c>
      <c r="B8293" s="24" t="s">
        <v>12159</v>
      </c>
      <c r="C8293" s="25">
        <v>234740</v>
      </c>
      <c r="D8293" s="22" t="s">
        <v>12160</v>
      </c>
      <c r="E8293" s="22" t="s">
        <v>48</v>
      </c>
      <c r="F8293" s="23" t="str">
        <f>HYPERLINK("https://www.spark-marketing.ru/Card/Lot/72685948", "Оказание услуг по приготовлению и поставке питания для лиц, содержащихся в изоляторе временного содержания подозреваемых и обвиняемых, а также специальных помещениях для задержанных лиц дежурной части МОМВД России «Моршанский»")</f>
        <v>Оказание услуг по приготовлению и поставке питания для лиц, содержащихся в изоляторе временного содержания подозреваемых и обвиняемых, а также специальных помещениях для задержанных лиц дежурной части МОМВД России «Моршанский»</v>
      </c>
      <c r="G8293" s="22" t="s">
        <v>1370</v>
      </c>
      <c r="H8293" s="22" t="s">
        <v>12161</v>
      </c>
      <c r="I8293" s="26">
        <v>43685.485833333303</v>
      </c>
      <c r="J8293" s="23" t="str">
        <f>HYPERLINK("https://www.spark-marketing.ru/Card/Person/850722", "ООО ""ВЕГА""")</f>
        <v>ООО "ВЕГА"</v>
      </c>
      <c r="K8293" s="24" t="s">
        <v>12162</v>
      </c>
      <c r="L8293" s="22" t="s">
        <v>10</v>
      </c>
      <c r="M8293" s="28" t="s">
        <v>51</v>
      </c>
      <c r="N8293" s="28" t="s">
        <v>51</v>
      </c>
    </row>
    <row r="8294" spans="1:14" x14ac:dyDescent="0.15">
      <c r="A8294" s="23" t="str">
        <f>HYPERLINK("https://www.spark-marketing.ru/Card/Person/6220851", "ОМВД РОССИИ ПО ЗАВОЛЖСКОМУ РАЙОНУ Г.УЛЬЯНОВСКА")</f>
        <v>ОМВД РОССИИ ПО ЗАВОЛЖСКОМУ РАЙОНУ Г.УЛЬЯНОВСКА</v>
      </c>
      <c r="B8294" s="24" t="s">
        <v>9780</v>
      </c>
      <c r="C8294" s="25">
        <v>99820</v>
      </c>
      <c r="D8294" s="22" t="s">
        <v>12163</v>
      </c>
      <c r="E8294" s="22" t="s">
        <v>96</v>
      </c>
      <c r="F8294" s="23" t="str">
        <f>HYPERLINK("https://www.spark-marketing.ru/Card/Lot/72667391", "Оказание услуг по организации питания (приготовлению и доставке), 1066 шт")</f>
        <v>Оказание услуг по организации питания (приготовлению и доставке), 1066 шт</v>
      </c>
      <c r="G8294" s="22" t="s">
        <v>1918</v>
      </c>
      <c r="H8294" s="22" t="s">
        <v>1918</v>
      </c>
      <c r="I8294" s="26">
        <v>43685.458333333299</v>
      </c>
      <c r="J8294" s="28" t="s">
        <v>51</v>
      </c>
      <c r="K8294" s="28" t="s">
        <v>51</v>
      </c>
      <c r="L8294" s="28" t="s">
        <v>51</v>
      </c>
      <c r="M8294" s="28" t="s">
        <v>51</v>
      </c>
      <c r="N8294" s="28" t="s">
        <v>51</v>
      </c>
    </row>
    <row r="8295" spans="1:14" x14ac:dyDescent="0.15">
      <c r="A8295" s="23" t="str">
        <f>HYPERLINK("https://www.spark-marketing.ru/Card/Person/35481", "МКОУ ТШИ")</f>
        <v>МКОУ ТШИ</v>
      </c>
      <c r="B8295" s="24" t="s">
        <v>12164</v>
      </c>
      <c r="C8295" s="25">
        <v>2049722</v>
      </c>
      <c r="D8295" s="22" t="s">
        <v>12165</v>
      </c>
      <c r="E8295" s="22" t="s">
        <v>96</v>
      </c>
      <c r="F8295" s="23" t="str">
        <f>HYPERLINK("https://www.spark-marketing.ru/Card/Lot/72676761", "Оказание услуг по организации питания")</f>
        <v>Оказание услуг по организации питания</v>
      </c>
      <c r="G8295" s="22" t="s">
        <v>1056</v>
      </c>
      <c r="H8295" s="22" t="s">
        <v>1056</v>
      </c>
      <c r="I8295" s="26">
        <v>43685.487581018497</v>
      </c>
      <c r="J8295" s="23" t="str">
        <f>HYPERLINK("https://www.spark-marketing.ru/Card/Person/55986", "ТАЗОВСКОЕ ПОТРЕБОБЩЕСТВО")</f>
        <v>ТАЗОВСКОЕ ПОТРЕБОБЩЕСТВО</v>
      </c>
      <c r="K8295" s="24" t="s">
        <v>12152</v>
      </c>
      <c r="L8295" s="22" t="s">
        <v>10</v>
      </c>
      <c r="M8295" s="28" t="s">
        <v>51</v>
      </c>
      <c r="N8295" s="28" t="s">
        <v>51</v>
      </c>
    </row>
    <row r="8296" spans="1:14" x14ac:dyDescent="0.15">
      <c r="A8296" s="23" t="str">
        <f>HYPERLINK("https://www.spark-marketing.ru/Card/Person/29684", "РШ СРС МВД РОССИИ, РОСТОВСКАЯ ШКОЛА СЛУЖЕБНО-РОЗЫСКНОГО СОБАКОВОДСТВА МВД РОССИИ, ФГКУ ДПО ""РШ СРС МВД РОССИИ""")</f>
        <v>РШ СРС МВД РОССИИ, РОСТОВСКАЯ ШКОЛА СЛУЖЕБНО-РОЗЫСКНОГО СОБАКОВОДСТВА МВД РОССИИ, ФГКУ ДПО "РШ СРС МВД РОССИИ"</v>
      </c>
      <c r="B8296" s="24" t="s">
        <v>12166</v>
      </c>
      <c r="C8296" s="25">
        <v>89610</v>
      </c>
      <c r="D8296" s="22" t="s">
        <v>12167</v>
      </c>
      <c r="E8296" s="22" t="s">
        <v>96</v>
      </c>
      <c r="F8296" s="23" t="str">
        <f>HYPERLINK("https://www.spark-marketing.ru/Card/Lot/72669326", "Оказание услуг по организации питания (приготовлению и доставке), 309 шт")</f>
        <v>Оказание услуг по организации питания (приготовлению и доставке), 309 шт</v>
      </c>
      <c r="G8296" s="22" t="s">
        <v>267</v>
      </c>
      <c r="H8296" s="22" t="s">
        <v>590</v>
      </c>
      <c r="I8296" s="26">
        <v>43685.4908796296</v>
      </c>
      <c r="J8296" s="28" t="s">
        <v>51</v>
      </c>
      <c r="K8296" s="28" t="s">
        <v>51</v>
      </c>
      <c r="L8296" s="28" t="s">
        <v>51</v>
      </c>
      <c r="M8296" s="28" t="s">
        <v>51</v>
      </c>
      <c r="N8296" s="28" t="s">
        <v>51</v>
      </c>
    </row>
    <row r="8297" spans="1:14" x14ac:dyDescent="0.15">
      <c r="A8297" s="23" t="str">
        <f>HYPERLINK("https://www.spark-marketing.ru/Card/Person/876847", "КГБОУ ""БИЙСКИЙ ЛИЦЕЙ-ИНТЕРНАТ АЛТАЙСКОГО КРАЯ""")</f>
        <v>КГБОУ "БИЙСКИЙ ЛИЦЕЙ-ИНТЕРНАТ АЛТАЙСКОГО КРАЯ"</v>
      </c>
      <c r="B8297" s="24" t="s">
        <v>12168</v>
      </c>
      <c r="C8297" s="25">
        <v>820</v>
      </c>
      <c r="D8297" s="22" t="s">
        <v>12169</v>
      </c>
      <c r="E8297" s="22" t="s">
        <v>1807</v>
      </c>
      <c r="F8297" s="23" t="str">
        <f>HYPERLINK("https://www.spark-marketing.ru/Card/Lot/72668281", "Товары, работы или услуги на сумму, не превышающие 100 тыс. руб. (п.4 ч.1 ст.93 44-ФЗ)")</f>
        <v>Товары, работы или услуги на сумму, не превышающие 100 тыс. руб. (п.4 ч.1 ст.93 44-ФЗ)</v>
      </c>
      <c r="G8297" s="22" t="s">
        <v>63</v>
      </c>
      <c r="H8297" s="22" t="s">
        <v>1294</v>
      </c>
      <c r="I8297" s="26">
        <v>43685.467361111099</v>
      </c>
      <c r="J8297" s="28" t="s">
        <v>51</v>
      </c>
      <c r="K8297" s="28" t="s">
        <v>51</v>
      </c>
      <c r="L8297" s="28" t="s">
        <v>51</v>
      </c>
      <c r="M8297" s="28" t="s">
        <v>51</v>
      </c>
      <c r="N8297" s="28" t="s">
        <v>51</v>
      </c>
    </row>
    <row r="8298" spans="1:14" x14ac:dyDescent="0.15">
      <c r="A8298" s="23" t="str">
        <f>HYPERLINK("https://www.spark-marketing.ru/Card/Person/733945", "МБОУ СОШ С. ПРОГРЕСС")</f>
        <v>МБОУ СОШ С. ПРОГРЕСС</v>
      </c>
      <c r="B8298" s="24" t="s">
        <v>12170</v>
      </c>
      <c r="C8298" s="25">
        <v>762952.4</v>
      </c>
      <c r="D8298" s="22" t="s">
        <v>12171</v>
      </c>
      <c r="E8298" s="22" t="s">
        <v>48</v>
      </c>
      <c r="F8298" s="23" t="str">
        <f>HYPERLINK("https://www.spark-marketing.ru/Card/Lot/72685944", "Оказание услуг по организации горячего питания обучающихся и воспитанников дошкольной группы")</f>
        <v>Оказание услуг по организации горячего питания обучающихся и воспитанников дошкольной группы</v>
      </c>
      <c r="G8298" s="22" t="s">
        <v>145</v>
      </c>
      <c r="H8298" s="22" t="s">
        <v>10690</v>
      </c>
      <c r="I8298" s="26">
        <v>43685.475324074097</v>
      </c>
      <c r="J8298" s="23" t="str">
        <f>HYPERLINK("https://www.spark-marketing.ru/Card/Person/6275152", "ООО ""ЯНАУЛЬСКИЙ КДП""")</f>
        <v>ООО "ЯНАУЛЬСКИЙ КДП"</v>
      </c>
      <c r="K8298" s="24" t="s">
        <v>10674</v>
      </c>
      <c r="L8298" s="22" t="s">
        <v>10</v>
      </c>
      <c r="M8298" s="28" t="s">
        <v>51</v>
      </c>
      <c r="N8298" s="28" t="s">
        <v>51</v>
      </c>
    </row>
    <row r="8299" spans="1:14" x14ac:dyDescent="0.15">
      <c r="A8299" s="23" t="str">
        <f>HYPERLINK("https://www.spark-marketing.ru/Card/Person/1076290", "МКОУ ""ЛОДЕЙНОПОЛЬСКАЯ СОШ № 3""")</f>
        <v>МКОУ "ЛОДЕЙНОПОЛЬСКАЯ СОШ № 3"</v>
      </c>
      <c r="B8299" s="24" t="s">
        <v>12172</v>
      </c>
      <c r="C8299" s="25">
        <v>4085540.43</v>
      </c>
      <c r="D8299" s="22" t="s">
        <v>12173</v>
      </c>
      <c r="E8299" s="22" t="s">
        <v>48</v>
      </c>
      <c r="F8299" s="23" t="str">
        <f>HYPERLINK("https://www.spark-marketing.ru/Card/Lot/72681717", "Оказания услуг по организации горячего питания в МКОУ ""Лодейнопольская СОШ №3""")</f>
        <v>Оказания услуг по организации горячего питания в МКОУ "Лодейнопольская СОШ №3"</v>
      </c>
      <c r="G8299" s="22" t="s">
        <v>162</v>
      </c>
      <c r="H8299" s="22" t="s">
        <v>8636</v>
      </c>
      <c r="I8299" s="26">
        <v>43685.4777777778</v>
      </c>
      <c r="J8299" s="28" t="s">
        <v>51</v>
      </c>
      <c r="K8299" s="28" t="s">
        <v>51</v>
      </c>
      <c r="L8299" s="28" t="s">
        <v>51</v>
      </c>
      <c r="M8299" s="28" t="s">
        <v>51</v>
      </c>
      <c r="N8299" s="28" t="s">
        <v>51</v>
      </c>
    </row>
    <row r="8300" spans="1:14" ht="12.75" hidden="1" outlineLevel="1" x14ac:dyDescent="0.2">
      <c r="A8300" s="23" t="str">
        <f>HYPERLINK("https://www.spark-marketing.ru/Card/Person/1076290", "МКОУ ""ЛОДЕЙНОПОЛЬСКАЯ СОШ № 3""")</f>
        <v>МКОУ "ЛОДЕЙНОПОЛЬСКАЯ СОШ № 3"</v>
      </c>
      <c r="B8300" s="24" t="s">
        <v>12172</v>
      </c>
      <c r="C8300" s="25">
        <v>4085540.43</v>
      </c>
      <c r="D8300" s="22" t="s">
        <v>12173</v>
      </c>
      <c r="E8300" s="22" t="s">
        <v>48</v>
      </c>
      <c r="F8300" s="23" t="str">
        <f>HYPERLINK("https://www.spark-marketing.ru/Card/Lot/72681717", "Оказания услуг по организации горячего питания в МКОУ ""Лодейнопольская СОШ №3""")</f>
        <v>Оказания услуг по организации горячего питания в МКОУ "Лодейнопольская СОШ №3"</v>
      </c>
      <c r="G8300" s="22" t="s">
        <v>162</v>
      </c>
      <c r="H8300" s="22" t="s">
        <v>8636</v>
      </c>
      <c r="I8300" s="26">
        <v>43685.4777777778</v>
      </c>
      <c r="J8300" s="23" t="str">
        <f>HYPERLINK("https://www.spark-marketing.ru/Card/Person/66983", "ООО ""ТД МАРС""")</f>
        <v>ООО "ТД МАРС"</v>
      </c>
      <c r="K8300" s="24" t="s">
        <v>8637</v>
      </c>
      <c r="L8300" s="22" t="s">
        <v>10</v>
      </c>
      <c r="M8300" s="25">
        <v>3207148.4</v>
      </c>
      <c r="N8300" s="27">
        <v>0.21500020500347858</v>
      </c>
    </row>
    <row r="8301" spans="1:14" hidden="1" outlineLevel="1" x14ac:dyDescent="0.2">
      <c r="A8301" s="23" t="str">
        <f>HYPERLINK("https://www.spark-marketing.ru/Card/Person/1076290", "МКОУ ""ЛОДЕЙНОПОЛЬСКАЯ СОШ № 3""")</f>
        <v>МКОУ "ЛОДЕЙНОПОЛЬСКАЯ СОШ № 3"</v>
      </c>
      <c r="B8301" s="24" t="s">
        <v>12172</v>
      </c>
      <c r="C8301" s="25">
        <v>4085540.43</v>
      </c>
      <c r="D8301" s="22" t="s">
        <v>12173</v>
      </c>
      <c r="E8301" s="22" t="s">
        <v>48</v>
      </c>
      <c r="F8301" s="23" t="str">
        <f>HYPERLINK("https://www.spark-marketing.ru/Card/Lot/72681717", "Оказания услуг по организации горячего питания в МКОУ ""Лодейнопольская СОШ №3""")</f>
        <v>Оказания услуг по организации горячего питания в МКОУ "Лодейнопольская СОШ №3"</v>
      </c>
      <c r="G8301" s="22" t="s">
        <v>162</v>
      </c>
      <c r="H8301" s="22" t="s">
        <v>8636</v>
      </c>
      <c r="I8301" s="26">
        <v>43685.4777777778</v>
      </c>
      <c r="J8301" s="23" t="str">
        <f>HYPERLINK("https://www.spark-marketing.ru/Card/Person/6685908", "Буданов Евгений Александрович")</f>
        <v>Буданов Евгений Александрович</v>
      </c>
      <c r="K8301" s="24" t="s">
        <v>12174</v>
      </c>
      <c r="L8301" s="28" t="s">
        <v>51</v>
      </c>
      <c r="M8301" s="25">
        <v>3227576.09</v>
      </c>
      <c r="N8301" s="27">
        <v>0.21000020797738134</v>
      </c>
    </row>
    <row r="8302" spans="1:14" x14ac:dyDescent="0.15">
      <c r="A8302" s="23" t="str">
        <f t="shared" ref="A8302:A8312" si="185">HYPERLINK("https://www.spark-marketing.ru/Card/Person/10595", "ФГБУЗ ЮОМЦ ФМБА РОССИИ")</f>
        <v>ФГБУЗ ЮОМЦ ФМБА РОССИИ</v>
      </c>
      <c r="B8302" s="24" t="s">
        <v>12175</v>
      </c>
      <c r="C8302" s="25">
        <v>167799.98</v>
      </c>
      <c r="D8302" s="22" t="s">
        <v>12176</v>
      </c>
      <c r="E8302" s="22" t="s">
        <v>437</v>
      </c>
      <c r="F8302" s="23" t="str">
        <f t="shared" ref="F8302:F8312" si="186">HYPERLINK("https://www.spark-marketing.ru/Card/Lot/72687086", "Закупка услуг по разработке паспортов опасных отходов I-IV классов")</f>
        <v>Закупка услуг по разработке паспортов опасных отходов I-IV классов</v>
      </c>
      <c r="G8302" s="22" t="s">
        <v>267</v>
      </c>
      <c r="H8302" s="22" t="s">
        <v>267</v>
      </c>
      <c r="I8302" s="26">
        <v>43685.469976851899</v>
      </c>
      <c r="J8302" s="28" t="s">
        <v>51</v>
      </c>
      <c r="K8302" s="28" t="s">
        <v>51</v>
      </c>
      <c r="L8302" s="28" t="s">
        <v>51</v>
      </c>
      <c r="M8302" s="28" t="s">
        <v>51</v>
      </c>
      <c r="N8302" s="28" t="s">
        <v>51</v>
      </c>
    </row>
    <row r="8303" spans="1:14" ht="12.75" hidden="1" outlineLevel="1" x14ac:dyDescent="0.2">
      <c r="A8303" s="23" t="str">
        <f t="shared" si="185"/>
        <v>ФГБУЗ ЮОМЦ ФМБА РОССИИ</v>
      </c>
      <c r="B8303" s="24" t="s">
        <v>12175</v>
      </c>
      <c r="C8303" s="25">
        <v>167799.98</v>
      </c>
      <c r="D8303" s="22" t="s">
        <v>12176</v>
      </c>
      <c r="E8303" s="22" t="s">
        <v>437</v>
      </c>
      <c r="F8303" s="23" t="str">
        <f t="shared" si="186"/>
        <v>Закупка услуг по разработке паспортов опасных отходов I-IV классов</v>
      </c>
      <c r="G8303" s="22" t="s">
        <v>267</v>
      </c>
      <c r="H8303" s="22" t="s">
        <v>267</v>
      </c>
      <c r="I8303" s="26">
        <v>43685.469976851899</v>
      </c>
      <c r="J8303" s="23" t="str">
        <f>HYPERLINK("https://www.spark-marketing.ru/Card/Person/6516362", "Нужная Олеся Андреевна")</f>
        <v>Нужная Олеся Андреевна</v>
      </c>
      <c r="K8303" s="24" t="s">
        <v>12177</v>
      </c>
      <c r="L8303" s="22" t="s">
        <v>10</v>
      </c>
      <c r="M8303" s="25">
        <v>27876.7</v>
      </c>
      <c r="N8303" s="27">
        <v>0.83386946768408432</v>
      </c>
    </row>
    <row r="8304" spans="1:14" hidden="1" outlineLevel="1" x14ac:dyDescent="0.2">
      <c r="A8304" s="23" t="str">
        <f t="shared" si="185"/>
        <v>ФГБУЗ ЮОМЦ ФМБА РОССИИ</v>
      </c>
      <c r="B8304" s="24" t="s">
        <v>12175</v>
      </c>
      <c r="C8304" s="25">
        <v>167799.98</v>
      </c>
      <c r="D8304" s="22" t="s">
        <v>12176</v>
      </c>
      <c r="E8304" s="22" t="s">
        <v>437</v>
      </c>
      <c r="F8304" s="23" t="str">
        <f t="shared" si="186"/>
        <v>Закупка услуг по разработке паспортов опасных отходов I-IV классов</v>
      </c>
      <c r="G8304" s="22" t="s">
        <v>267</v>
      </c>
      <c r="H8304" s="22" t="s">
        <v>267</v>
      </c>
      <c r="I8304" s="26">
        <v>43685.469976851899</v>
      </c>
      <c r="J8304" s="23" t="str">
        <f>HYPERLINK("https://www.spark-marketing.ru/Card/Person/4853353", "Ганай Мария Ивановна")</f>
        <v>Ганай Мария Ивановна</v>
      </c>
      <c r="K8304" s="24" t="s">
        <v>6601</v>
      </c>
      <c r="L8304" s="28" t="s">
        <v>51</v>
      </c>
      <c r="M8304" s="25">
        <v>28715.7</v>
      </c>
      <c r="N8304" s="27">
        <v>0.82886946708813669</v>
      </c>
    </row>
    <row r="8305" spans="1:14" hidden="1" outlineLevel="1" x14ac:dyDescent="0.2">
      <c r="A8305" s="23" t="str">
        <f t="shared" si="185"/>
        <v>ФГБУЗ ЮОМЦ ФМБА РОССИИ</v>
      </c>
      <c r="B8305" s="24" t="s">
        <v>12175</v>
      </c>
      <c r="C8305" s="25">
        <v>167799.98</v>
      </c>
      <c r="D8305" s="22" t="s">
        <v>12176</v>
      </c>
      <c r="E8305" s="22" t="s">
        <v>437</v>
      </c>
      <c r="F8305" s="23" t="str">
        <f t="shared" si="186"/>
        <v>Закупка услуг по разработке паспортов опасных отходов I-IV классов</v>
      </c>
      <c r="G8305" s="22" t="s">
        <v>267</v>
      </c>
      <c r="H8305" s="22" t="s">
        <v>267</v>
      </c>
      <c r="I8305" s="26">
        <v>43685.469976851899</v>
      </c>
      <c r="J8305" s="23" t="str">
        <f>HYPERLINK("https://www.spark-marketing.ru/Card/Person/6508392", "ООО ИЛ ""ЭКО-23""")</f>
        <v>ООО ИЛ "ЭКО-23"</v>
      </c>
      <c r="K8305" s="24" t="s">
        <v>3806</v>
      </c>
      <c r="L8305" s="28" t="s">
        <v>51</v>
      </c>
      <c r="M8305" s="25">
        <v>40000</v>
      </c>
      <c r="N8305" s="27">
        <v>0.76162094894171029</v>
      </c>
    </row>
    <row r="8306" spans="1:14" hidden="1" outlineLevel="1" x14ac:dyDescent="0.2">
      <c r="A8306" s="23" t="str">
        <f t="shared" si="185"/>
        <v>ФГБУЗ ЮОМЦ ФМБА РОССИИ</v>
      </c>
      <c r="B8306" s="24" t="s">
        <v>12175</v>
      </c>
      <c r="C8306" s="25">
        <v>167799.98</v>
      </c>
      <c r="D8306" s="22" t="s">
        <v>12176</v>
      </c>
      <c r="E8306" s="22" t="s">
        <v>437</v>
      </c>
      <c r="F8306" s="23" t="str">
        <f t="shared" si="186"/>
        <v>Закупка услуг по разработке паспортов опасных отходов I-IV классов</v>
      </c>
      <c r="G8306" s="22" t="s">
        <v>267</v>
      </c>
      <c r="H8306" s="22" t="s">
        <v>267</v>
      </c>
      <c r="I8306" s="26">
        <v>43685.469976851899</v>
      </c>
      <c r="J8306" s="23" t="str">
        <f>HYPERLINK("https://www.spark-marketing.ru/Card/Person/6512131", "Чибизова Юлия Викторовна")</f>
        <v>Чибизова Юлия Викторовна</v>
      </c>
      <c r="K8306" s="24" t="s">
        <v>12178</v>
      </c>
      <c r="L8306" s="28" t="s">
        <v>51</v>
      </c>
      <c r="M8306" s="25">
        <v>44233.75</v>
      </c>
      <c r="N8306" s="27">
        <v>0.73639001625625944</v>
      </c>
    </row>
    <row r="8307" spans="1:14" hidden="1" outlineLevel="1" x14ac:dyDescent="0.2">
      <c r="A8307" s="23" t="str">
        <f t="shared" si="185"/>
        <v>ФГБУЗ ЮОМЦ ФМБА РОССИИ</v>
      </c>
      <c r="B8307" s="24" t="s">
        <v>12175</v>
      </c>
      <c r="C8307" s="25">
        <v>167799.98</v>
      </c>
      <c r="D8307" s="22" t="s">
        <v>12176</v>
      </c>
      <c r="E8307" s="22" t="s">
        <v>437</v>
      </c>
      <c r="F8307" s="23" t="str">
        <f t="shared" si="186"/>
        <v>Закупка услуг по разработке паспортов опасных отходов I-IV классов</v>
      </c>
      <c r="G8307" s="22" t="s">
        <v>267</v>
      </c>
      <c r="H8307" s="22" t="s">
        <v>267</v>
      </c>
      <c r="I8307" s="26">
        <v>43685.469976851899</v>
      </c>
      <c r="J8307" s="23" t="str">
        <f>HYPERLINK("https://www.spark-marketing.ru/Card/Person/6183497", "ООО ""МОСЭКОСТАНДАРТ""")</f>
        <v>ООО "МОСЭКОСТАНДАРТ"</v>
      </c>
      <c r="K8307" s="24" t="s">
        <v>12179</v>
      </c>
      <c r="L8307" s="28" t="s">
        <v>51</v>
      </c>
      <c r="M8307" s="25">
        <v>70000</v>
      </c>
      <c r="N8307" s="27">
        <v>0.58283666064799289</v>
      </c>
    </row>
    <row r="8308" spans="1:14" hidden="1" outlineLevel="1" x14ac:dyDescent="0.2">
      <c r="A8308" s="23" t="str">
        <f t="shared" si="185"/>
        <v>ФГБУЗ ЮОМЦ ФМБА РОССИИ</v>
      </c>
      <c r="B8308" s="24" t="s">
        <v>12175</v>
      </c>
      <c r="C8308" s="25">
        <v>167799.98</v>
      </c>
      <c r="D8308" s="22" t="s">
        <v>12176</v>
      </c>
      <c r="E8308" s="22" t="s">
        <v>437</v>
      </c>
      <c r="F8308" s="23" t="str">
        <f t="shared" si="186"/>
        <v>Закупка услуг по разработке паспортов опасных отходов I-IV классов</v>
      </c>
      <c r="G8308" s="22" t="s">
        <v>267</v>
      </c>
      <c r="H8308" s="22" t="s">
        <v>267</v>
      </c>
      <c r="I8308" s="26">
        <v>43685.469976851899</v>
      </c>
      <c r="J8308" s="23" t="str">
        <f>HYPERLINK("https://www.spark-marketing.ru/Card/Person/6219087", "ООО ""ЭКОАЛЬЯНС-ЮГ""")</f>
        <v>ООО "ЭКОАЛЬЯНС-ЮГ"</v>
      </c>
      <c r="K8308" s="24" t="s">
        <v>12180</v>
      </c>
      <c r="L8308" s="28" t="s">
        <v>51</v>
      </c>
      <c r="M8308" s="25">
        <v>43394.75</v>
      </c>
      <c r="N8308" s="27">
        <v>0.74139001685220707</v>
      </c>
    </row>
    <row r="8309" spans="1:14" hidden="1" outlineLevel="1" x14ac:dyDescent="0.2">
      <c r="A8309" s="23" t="str">
        <f t="shared" si="185"/>
        <v>ФГБУЗ ЮОМЦ ФМБА РОССИИ</v>
      </c>
      <c r="B8309" s="24" t="s">
        <v>12175</v>
      </c>
      <c r="C8309" s="25">
        <v>167799.98</v>
      </c>
      <c r="D8309" s="22" t="s">
        <v>12176</v>
      </c>
      <c r="E8309" s="22" t="s">
        <v>437</v>
      </c>
      <c r="F8309" s="23" t="str">
        <f t="shared" si="186"/>
        <v>Закупка услуг по разработке паспортов опасных отходов I-IV классов</v>
      </c>
      <c r="G8309" s="22" t="s">
        <v>267</v>
      </c>
      <c r="H8309" s="22" t="s">
        <v>267</v>
      </c>
      <c r="I8309" s="26">
        <v>43685.469976851899</v>
      </c>
      <c r="J8309" s="23" t="str">
        <f>HYPERLINK("https://www.spark-marketing.ru/Card/Person/4935838", "Сетракова Полина Андреевна")</f>
        <v>Сетракова Полина Андреевна</v>
      </c>
      <c r="K8309" s="24" t="s">
        <v>12181</v>
      </c>
      <c r="L8309" s="28" t="s">
        <v>51</v>
      </c>
      <c r="M8309" s="25">
        <v>30706.46</v>
      </c>
      <c r="N8309" s="27">
        <v>0.81700558009601665</v>
      </c>
    </row>
    <row r="8310" spans="1:14" hidden="1" outlineLevel="1" x14ac:dyDescent="0.2">
      <c r="A8310" s="23" t="str">
        <f t="shared" si="185"/>
        <v>ФГБУЗ ЮОМЦ ФМБА РОССИИ</v>
      </c>
      <c r="B8310" s="24" t="s">
        <v>12175</v>
      </c>
      <c r="C8310" s="25">
        <v>167799.98</v>
      </c>
      <c r="D8310" s="22" t="s">
        <v>12176</v>
      </c>
      <c r="E8310" s="22" t="s">
        <v>437</v>
      </c>
      <c r="F8310" s="23" t="str">
        <f t="shared" si="186"/>
        <v>Закупка услуг по разработке паспортов опасных отходов I-IV классов</v>
      </c>
      <c r="G8310" s="22" t="s">
        <v>267</v>
      </c>
      <c r="H8310" s="22" t="s">
        <v>267</v>
      </c>
      <c r="I8310" s="26">
        <v>43685.469976851899</v>
      </c>
      <c r="J8310" s="23" t="str">
        <f>HYPERLINK("https://www.spark-marketing.ru/Card/Person/6264282", "ООО ""ДЭП""")</f>
        <v>ООО "ДЭП"</v>
      </c>
      <c r="K8310" s="24" t="s">
        <v>12182</v>
      </c>
      <c r="L8310" s="28" t="s">
        <v>51</v>
      </c>
      <c r="M8310" s="25">
        <v>52509.57</v>
      </c>
      <c r="N8310" s="27">
        <v>0.68707046329802901</v>
      </c>
    </row>
    <row r="8311" spans="1:14" hidden="1" outlineLevel="1" x14ac:dyDescent="0.2">
      <c r="A8311" s="23" t="str">
        <f t="shared" si="185"/>
        <v>ФГБУЗ ЮОМЦ ФМБА РОССИИ</v>
      </c>
      <c r="B8311" s="24" t="s">
        <v>12175</v>
      </c>
      <c r="C8311" s="25">
        <v>167799.98</v>
      </c>
      <c r="D8311" s="22" t="s">
        <v>12176</v>
      </c>
      <c r="E8311" s="22" t="s">
        <v>437</v>
      </c>
      <c r="F8311" s="23" t="str">
        <f t="shared" si="186"/>
        <v>Закупка услуг по разработке паспортов опасных отходов I-IV классов</v>
      </c>
      <c r="G8311" s="22" t="s">
        <v>267</v>
      </c>
      <c r="H8311" s="22" t="s">
        <v>267</v>
      </c>
      <c r="I8311" s="26">
        <v>43685.469976851899</v>
      </c>
      <c r="J8311" s="23" t="str">
        <f>HYPERLINK("https://www.spark-marketing.ru/Card/Person/6626407", "ООО ""ЭКОПРОМ""")</f>
        <v>ООО "ЭКОПРОМ"</v>
      </c>
      <c r="K8311" s="24" t="s">
        <v>12183</v>
      </c>
      <c r="L8311" s="28" t="s">
        <v>51</v>
      </c>
      <c r="M8311" s="25">
        <v>50072</v>
      </c>
      <c r="N8311" s="27">
        <v>0.70159710388523289</v>
      </c>
    </row>
    <row r="8312" spans="1:14" hidden="1" outlineLevel="1" x14ac:dyDescent="0.2">
      <c r="A8312" s="23" t="str">
        <f t="shared" si="185"/>
        <v>ФГБУЗ ЮОМЦ ФМБА РОССИИ</v>
      </c>
      <c r="B8312" s="24" t="s">
        <v>12175</v>
      </c>
      <c r="C8312" s="25">
        <v>167799.98</v>
      </c>
      <c r="D8312" s="22" t="s">
        <v>12176</v>
      </c>
      <c r="E8312" s="22" t="s">
        <v>437</v>
      </c>
      <c r="F8312" s="23" t="str">
        <f t="shared" si="186"/>
        <v>Закупка услуг по разработке паспортов опасных отходов I-IV классов</v>
      </c>
      <c r="G8312" s="22" t="s">
        <v>267</v>
      </c>
      <c r="H8312" s="22" t="s">
        <v>267</v>
      </c>
      <c r="I8312" s="26">
        <v>43685.469976851899</v>
      </c>
      <c r="J8312" s="23" t="str">
        <f>HYPERLINK("https://www.spark-marketing.ru/Card/Person/149851", "ФГБУ ""ЧЕРАЗТЕХМОРДИРЕКЦИЯ""")</f>
        <v>ФГБУ "ЧЕРАЗТЕХМОРДИРЕКЦИЯ"</v>
      </c>
      <c r="K8312" s="24" t="s">
        <v>12184</v>
      </c>
      <c r="L8312" s="28" t="s">
        <v>51</v>
      </c>
      <c r="M8312" s="25">
        <v>70000</v>
      </c>
      <c r="N8312" s="27">
        <v>0.58283666064799289</v>
      </c>
    </row>
    <row r="8313" spans="1:14" x14ac:dyDescent="0.15">
      <c r="A8313" s="23" t="str">
        <f>HYPERLINK("https://www.spark-marketing.ru/Card/Person/1064682", "МБОУ СТАРОДУБСКАЯ СОШ № 2")</f>
        <v>МБОУ СТАРОДУБСКАЯ СОШ № 2</v>
      </c>
      <c r="B8313" s="24" t="s">
        <v>12185</v>
      </c>
      <c r="C8313" s="25">
        <v>1936653.2</v>
      </c>
      <c r="D8313" s="22" t="s">
        <v>12186</v>
      </c>
      <c r="E8313" s="22" t="s">
        <v>48</v>
      </c>
      <c r="F8313" s="23" t="str">
        <f>HYPERLINK("https://www.spark-marketing.ru/Card/Lot/72683080", "Оказание услуги по организации горячего питания учащихся Муниципального бюджетного общеобразовательного учреждения Стародубская средняя общеобразовательная школа № 2 в сентябре-ноябре 2019 года.")</f>
        <v>Оказание услуги по организации горячего питания учащихся Муниципального бюджетного общеобразовательного учреждения Стародубская средняя общеобразовательная школа № 2 в сентябре-ноябре 2019 года.</v>
      </c>
      <c r="G8313" s="22" t="s">
        <v>475</v>
      </c>
      <c r="H8313" s="22" t="s">
        <v>12187</v>
      </c>
      <c r="I8313" s="26">
        <v>43685.464525463001</v>
      </c>
      <c r="J8313" s="23" t="str">
        <f>HYPERLINK("https://www.spark-marketing.ru/Card/Person/345427", "ПК ""ЦЕНТР ПИТАНИЯ""")</f>
        <v>ПК "ЦЕНТР ПИТАНИЯ"</v>
      </c>
      <c r="K8313" s="24" t="s">
        <v>12188</v>
      </c>
      <c r="L8313" s="22" t="s">
        <v>10</v>
      </c>
      <c r="M8313" s="28" t="s">
        <v>51</v>
      </c>
      <c r="N8313" s="28" t="s">
        <v>51</v>
      </c>
    </row>
    <row r="8314" spans="1:14" x14ac:dyDescent="0.15">
      <c r="A8314" s="23" t="str">
        <f>HYPERLINK("https://www.spark-marketing.ru/Card/Person/1762714", "МБОУ СОШ С. НОВЫЙ АРТАУЛ")</f>
        <v>МБОУ СОШ С. НОВЫЙ АРТАУЛ</v>
      </c>
      <c r="B8314" s="24" t="s">
        <v>12189</v>
      </c>
      <c r="C8314" s="25">
        <v>668286</v>
      </c>
      <c r="D8314" s="22" t="s">
        <v>12190</v>
      </c>
      <c r="E8314" s="22" t="s">
        <v>48</v>
      </c>
      <c r="F8314" s="23" t="str">
        <f>HYPERLINK("https://www.spark-marketing.ru/Card/Lot/72685947", "Оказание услуг по организации горячего питания обучающихся")</f>
        <v>Оказание услуг по организации горячего питания обучающихся</v>
      </c>
      <c r="G8314" s="22" t="s">
        <v>145</v>
      </c>
      <c r="H8314" s="22" t="s">
        <v>10690</v>
      </c>
      <c r="I8314" s="26">
        <v>43685.482662037</v>
      </c>
      <c r="J8314" s="23" t="str">
        <f>HYPERLINK("https://www.spark-marketing.ru/Card/Person/6275152", "ООО ""ЯНАУЛЬСКИЙ КДП""")</f>
        <v>ООО "ЯНАУЛЬСКИЙ КДП"</v>
      </c>
      <c r="K8314" s="24" t="s">
        <v>10674</v>
      </c>
      <c r="L8314" s="22" t="s">
        <v>10</v>
      </c>
      <c r="M8314" s="28" t="s">
        <v>51</v>
      </c>
      <c r="N8314" s="28" t="s">
        <v>51</v>
      </c>
    </row>
    <row r="8315" spans="1:14" x14ac:dyDescent="0.15">
      <c r="A8315" s="23" t="str">
        <f>HYPERLINK("https://www.spark-marketing.ru/Card/Person/1064912", "МАОУ ССОШ № 3")</f>
        <v>МАОУ ССОШ № 3</v>
      </c>
      <c r="B8315" s="24" t="s">
        <v>12191</v>
      </c>
      <c r="C8315" s="25">
        <v>1473392</v>
      </c>
      <c r="D8315" s="22" t="s">
        <v>12192</v>
      </c>
      <c r="E8315" s="22" t="s">
        <v>48</v>
      </c>
      <c r="F8315" s="23" t="str">
        <f>HYPERLINK("https://www.spark-marketing.ru/Card/Lot/72670649", "Оказание услуги по организации горячего питания учащихся Муниципального автономного общеобразовательного учреждения Стародубская средняя общеобразовательная школа № 3 в сентябре-декабре 2019 года.")</f>
        <v>Оказание услуги по организации горячего питания учащихся Муниципального автономного общеобразовательного учреждения Стародубская средняя общеобразовательная школа № 3 в сентябре-декабре 2019 года.</v>
      </c>
      <c r="G8315" s="22" t="s">
        <v>475</v>
      </c>
      <c r="H8315" s="22" t="s">
        <v>12187</v>
      </c>
      <c r="I8315" s="26">
        <v>43685.432847222197</v>
      </c>
      <c r="J8315" s="23" t="str">
        <f>HYPERLINK("https://www.spark-marketing.ru/Card/Person/345427", "ПК ""ЦЕНТР ПИТАНИЯ""")</f>
        <v>ПК "ЦЕНТР ПИТАНИЯ"</v>
      </c>
      <c r="K8315" s="24" t="s">
        <v>12188</v>
      </c>
      <c r="L8315" s="22" t="s">
        <v>10</v>
      </c>
      <c r="M8315" s="28" t="s">
        <v>51</v>
      </c>
      <c r="N8315" s="28" t="s">
        <v>51</v>
      </c>
    </row>
    <row r="8316" spans="1:14" x14ac:dyDescent="0.15">
      <c r="A8316" s="23" t="str">
        <f>HYPERLINK("https://www.spark-marketing.ru/Card/Person/267667", "ОМВД РОССИИ ПО ПИНЕЖСКОМУ РАЙОНУ")</f>
        <v>ОМВД РОССИИ ПО ПИНЕЖСКОМУ РАЙОНУ</v>
      </c>
      <c r="B8316" s="24" t="s">
        <v>12193</v>
      </c>
      <c r="C8316" s="25">
        <v>1639923.1</v>
      </c>
      <c r="D8316" s="22" t="s">
        <v>12194</v>
      </c>
      <c r="E8316" s="22" t="s">
        <v>48</v>
      </c>
      <c r="F8316" s="23" t="str">
        <f>HYPERLINK("https://www.spark-marketing.ru/Card/Lot/72682337", "Услуги по обеспечению питанием, осуществляемые по договору")</f>
        <v>Услуги по обеспечению питанием, осуществляемые по договору</v>
      </c>
      <c r="G8316" s="22" t="s">
        <v>214</v>
      </c>
      <c r="H8316" s="22" t="s">
        <v>214</v>
      </c>
      <c r="I8316" s="26">
        <v>43685.425011574102</v>
      </c>
      <c r="J8316" s="23" t="str">
        <f>HYPERLINK("https://www.spark-marketing.ru/Card/Person/5994607", "Буярский Алексей Викторович")</f>
        <v>Буярский Алексей Викторович</v>
      </c>
      <c r="K8316" s="24" t="s">
        <v>12195</v>
      </c>
      <c r="L8316" s="22" t="s">
        <v>10</v>
      </c>
      <c r="M8316" s="28" t="s">
        <v>51</v>
      </c>
      <c r="N8316" s="28" t="s">
        <v>51</v>
      </c>
    </row>
    <row r="8317" spans="1:14" x14ac:dyDescent="0.15">
      <c r="A8317" s="23" t="str">
        <f>HYPERLINK("https://www.spark-marketing.ru/Card/Person/129406", "МОМВД РОССИИ ""КИРСАНОВСКИЙ""")</f>
        <v>МОМВД РОССИИ "КИРСАНОВСКИЙ"</v>
      </c>
      <c r="B8317" s="24" t="s">
        <v>6612</v>
      </c>
      <c r="C8317" s="25">
        <v>1163300</v>
      </c>
      <c r="D8317" s="22" t="s">
        <v>12196</v>
      </c>
      <c r="E8317" s="22" t="s">
        <v>96</v>
      </c>
      <c r="F8317" s="23" t="str">
        <f>HYPERLINK("https://www.spark-marketing.ru/Card/Lot/72685867", "оказание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специал...")</f>
        <v>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</v>
      </c>
      <c r="G8317" s="22" t="s">
        <v>1370</v>
      </c>
      <c r="H8317" s="22" t="s">
        <v>6614</v>
      </c>
      <c r="I8317" s="26">
        <v>43685.420937499999</v>
      </c>
      <c r="J8317" s="28" t="s">
        <v>51</v>
      </c>
      <c r="K8317" s="28" t="s">
        <v>51</v>
      </c>
      <c r="L8317" s="28" t="s">
        <v>51</v>
      </c>
      <c r="M8317" s="28" t="s">
        <v>51</v>
      </c>
      <c r="N8317" s="28" t="s">
        <v>51</v>
      </c>
    </row>
    <row r="8318" spans="1:14" x14ac:dyDescent="0.15">
      <c r="A8318" s="23" t="str">
        <f>HYPERLINK("https://www.spark-marketing.ru/Card/Person/4679", "ОМВД РОССИИ ПО НАДЫМСКОМУ РАЙОНУ")</f>
        <v>ОМВД РОССИИ ПО НАДЫМСКОМУ РАЙОНУ</v>
      </c>
      <c r="B8318" s="24" t="s">
        <v>4091</v>
      </c>
      <c r="C8318" s="25">
        <v>1800000</v>
      </c>
      <c r="D8318" s="22" t="s">
        <v>12197</v>
      </c>
      <c r="E8318" s="22" t="s">
        <v>48</v>
      </c>
      <c r="F8318" s="23" t="str">
        <f>HYPERLINK("https://www.spark-marketing.ru/Card/Lot/72666659", "Оказание услуг по обеспечению питанием арестованных, помещенных в изолятор временного содержания Отдела Министерства внутренних дел Российской Федерации по Надымскому району")</f>
        <v>Оказание услуг по обеспечению питанием арестованных, помещенных в изолятор временного содержания Отдела Министерства внутренних дел Российской Федерации по Надымскому району</v>
      </c>
      <c r="G8318" s="22" t="s">
        <v>1056</v>
      </c>
      <c r="H8318" s="22" t="s">
        <v>2702</v>
      </c>
      <c r="I8318" s="26">
        <v>43685.417268518497</v>
      </c>
      <c r="J8318" s="28" t="s">
        <v>51</v>
      </c>
      <c r="K8318" s="28" t="s">
        <v>51</v>
      </c>
      <c r="L8318" s="28" t="s">
        <v>51</v>
      </c>
      <c r="M8318" s="28" t="s">
        <v>51</v>
      </c>
      <c r="N8318" s="28" t="s">
        <v>51</v>
      </c>
    </row>
    <row r="8319" spans="1:14" hidden="1" outlineLevel="1" x14ac:dyDescent="0.2">
      <c r="A8319" s="23" t="str">
        <f>HYPERLINK("https://www.spark-marketing.ru/Card/Person/4679", "ОМВД РОССИИ ПО НАДЫМСКОМУ РАЙОНУ")</f>
        <v>ОМВД РОССИИ ПО НАДЫМСКОМУ РАЙОНУ</v>
      </c>
      <c r="B8319" s="24" t="s">
        <v>4091</v>
      </c>
      <c r="C8319" s="25">
        <v>1800000</v>
      </c>
      <c r="D8319" s="22" t="s">
        <v>12197</v>
      </c>
      <c r="E8319" s="22" t="s">
        <v>48</v>
      </c>
      <c r="F8319" s="23" t="str">
        <f>HYPERLINK("https://www.spark-marketing.ru/Card/Lot/72666659", "Оказание услуг по обеспечению питанием арестованных, помещенных в изолятор временного содержания Отдела Министерства внутренних дел Российской Федерации по Надымскому району")</f>
        <v>Оказание услуг по обеспечению питанием арестованных, помещенных в изолятор временного содержания Отдела Министерства внутренних дел Российской Федерации по Надымскому району</v>
      </c>
      <c r="G8319" s="22" t="s">
        <v>1056</v>
      </c>
      <c r="H8319" s="22" t="s">
        <v>2702</v>
      </c>
      <c r="I8319" s="26">
        <v>43685.417268518497</v>
      </c>
      <c r="J8319" s="23" t="str">
        <f>HYPERLINK("https://www.spark-marketing.ru/Card/Person/3954292", "Пуканюк Галина Михайловна")</f>
        <v>Пуканюк Галина Михайловна</v>
      </c>
      <c r="K8319" s="24" t="s">
        <v>6150</v>
      </c>
      <c r="L8319" s="28" t="s">
        <v>51</v>
      </c>
      <c r="M8319" s="25">
        <v>1171.6500000000001</v>
      </c>
      <c r="N8319" s="27">
        <v>0.99934908333333339</v>
      </c>
    </row>
    <row r="8320" spans="1:14" ht="12.75" hidden="1" outlineLevel="1" x14ac:dyDescent="0.2">
      <c r="A8320" s="23" t="str">
        <f>HYPERLINK("https://www.spark-marketing.ru/Card/Person/4679", "ОМВД РОССИИ ПО НАДЫМСКОМУ РАЙОНУ")</f>
        <v>ОМВД РОССИИ ПО НАДЫМСКОМУ РАЙОНУ</v>
      </c>
      <c r="B8320" s="24" t="s">
        <v>4091</v>
      </c>
      <c r="C8320" s="25">
        <v>1800000</v>
      </c>
      <c r="D8320" s="22" t="s">
        <v>12197</v>
      </c>
      <c r="E8320" s="22" t="s">
        <v>48</v>
      </c>
      <c r="F8320" s="23" t="str">
        <f>HYPERLINK("https://www.spark-marketing.ru/Card/Lot/72666659", "Оказание услуг по обеспечению питанием арестованных, помещенных в изолятор временного содержания Отдела Министерства внутренних дел Российской Федерации по Надымскому району")</f>
        <v>Оказание услуг по обеспечению питанием арестованных, помещенных в изолятор временного содержания Отдела Министерства внутренних дел Российской Федерации по Надымскому району</v>
      </c>
      <c r="G8320" s="22" t="s">
        <v>1056</v>
      </c>
      <c r="H8320" s="22" t="s">
        <v>2702</v>
      </c>
      <c r="I8320" s="26">
        <v>43685.417268518497</v>
      </c>
      <c r="J8320" s="23" t="str">
        <f>HYPERLINK("https://www.spark-marketing.ru/Card/Person/76164", "Гусак Жанна Алексеевна")</f>
        <v>Гусак Жанна Алексеевна</v>
      </c>
      <c r="K8320" s="24" t="s">
        <v>6149</v>
      </c>
      <c r="L8320" s="22" t="s">
        <v>10</v>
      </c>
      <c r="M8320" s="25">
        <v>1149.54</v>
      </c>
      <c r="N8320" s="27">
        <v>0.99936136666666664</v>
      </c>
    </row>
    <row r="8321" spans="1:14" x14ac:dyDescent="0.15">
      <c r="A8321" s="23" t="str">
        <f>HYPERLINK("https://www.spark-marketing.ru/Card/Person/1064508", "МБОУ ССОШ № 1")</f>
        <v>МБОУ ССОШ № 1</v>
      </c>
      <c r="B8321" s="24" t="s">
        <v>12198</v>
      </c>
      <c r="C8321" s="25">
        <v>1737678.2</v>
      </c>
      <c r="D8321" s="22" t="s">
        <v>12199</v>
      </c>
      <c r="E8321" s="22" t="s">
        <v>48</v>
      </c>
      <c r="F8321" s="23" t="str">
        <f>HYPERLINK("https://www.spark-marketing.ru/Card/Lot/72670821", "Оказание услуги по организации горячего питания учащихся Муниципального бюджетного общеобразовательного учреждения ""Стародубская средняя общеобразовательная школа № 1"" в сентябре-декабре 2019 года.")</f>
        <v>Оказание услуги по организации горячего питания учащихся Муниципального бюджетного общеобразовательного учреждения "Стародубская средняя общеобразовательная школа № 1" в сентябре-декабре 2019 года.</v>
      </c>
      <c r="G8321" s="22" t="s">
        <v>475</v>
      </c>
      <c r="H8321" s="22" t="s">
        <v>12187</v>
      </c>
      <c r="I8321" s="26">
        <v>43685.420219907399</v>
      </c>
      <c r="J8321" s="23" t="str">
        <f>HYPERLINK("https://www.spark-marketing.ru/Card/Person/345427", "ПК ""ЦЕНТР ПИТАНИЯ""")</f>
        <v>ПК "ЦЕНТР ПИТАНИЯ"</v>
      </c>
      <c r="K8321" s="24" t="s">
        <v>12188</v>
      </c>
      <c r="L8321" s="22" t="s">
        <v>10</v>
      </c>
      <c r="M8321" s="28" t="s">
        <v>51</v>
      </c>
      <c r="N8321" s="28" t="s">
        <v>51</v>
      </c>
    </row>
    <row r="8322" spans="1:14" x14ac:dyDescent="0.15">
      <c r="A8322" s="23" t="str">
        <f>HYPERLINK("https://www.spark-marketing.ru/Card/Person/143510", "МЕЖМУНИЦИПАЛЬНЫЙ ОТДЕЛ МВД РОССИИ ""ЛЕНИНСК-КУЗНЕЦКИЙ""")</f>
        <v>МЕЖМУНИЦИПАЛЬНЫЙ ОТДЕЛ МВД РОССИИ "ЛЕНИНСК-КУЗНЕЦКИЙ"</v>
      </c>
      <c r="B8322" s="24" t="s">
        <v>2751</v>
      </c>
      <c r="C8322" s="25">
        <v>1380000</v>
      </c>
      <c r="D8322" s="22" t="s">
        <v>12200</v>
      </c>
      <c r="E8322" s="22" t="s">
        <v>48</v>
      </c>
      <c r="F8322" s="23" t="str">
        <f>HYPERLINK("https://www.spark-marketing.ru/Card/Lot/72671453", "Оказание услуг по организации ежедневного горячего питания для подозреваемых и обвиняемых в совершении преступлений лиц, арестованных в административном порядке, содержащихся в изоляторе временного содержания и в специальном помещение для содержания ...")</f>
        <v>Оказание услуг по организации ежедневного горячего питания для подозреваемых и обвиняемых в совершении преступлений лиц, арестованных в административном порядке, содержащихся в изоляторе временного содержания и в специальном помещение для содержания ...</v>
      </c>
      <c r="G8322" s="22" t="s">
        <v>304</v>
      </c>
      <c r="H8322" s="22" t="s">
        <v>9375</v>
      </c>
      <c r="I8322" s="26">
        <v>43685.450925925899</v>
      </c>
      <c r="J8322" s="28" t="s">
        <v>51</v>
      </c>
      <c r="K8322" s="28" t="s">
        <v>51</v>
      </c>
      <c r="L8322" s="28" t="s">
        <v>51</v>
      </c>
      <c r="M8322" s="28" t="s">
        <v>51</v>
      </c>
      <c r="N8322" s="28" t="s">
        <v>51</v>
      </c>
    </row>
    <row r="8323" spans="1:14" x14ac:dyDescent="0.15">
      <c r="A8323" s="23" t="str">
        <f>HYPERLINK("https://www.spark-marketing.ru/Card/Person/125413", "ОТДЕЛ МВД РОССИИ ПО Г. НОВОШАХТИНСКУ")</f>
        <v>ОТДЕЛ МВД РОССИИ ПО Г. НОВОШАХТИНСКУ</v>
      </c>
      <c r="B8323" s="24" t="s">
        <v>5055</v>
      </c>
      <c r="C8323" s="25">
        <v>498999.75</v>
      </c>
      <c r="D8323" s="22" t="s">
        <v>12201</v>
      </c>
      <c r="E8323" s="22" t="s">
        <v>48</v>
      </c>
      <c r="F8323" s="23" t="str">
        <f>HYPERLINK("https://www.spark-marketing.ru/Card/Lot/72669072", "прочая закупка услуг (горячее питание лиц,содержащихся в ИВС)")</f>
        <v>прочая закупка услуг (горячее питание лиц,содержащихся в ИВС)</v>
      </c>
      <c r="G8323" s="22" t="s">
        <v>267</v>
      </c>
      <c r="H8323" s="22" t="s">
        <v>5057</v>
      </c>
      <c r="I8323" s="26">
        <v>43685.390856481499</v>
      </c>
      <c r="J8323" s="28" t="s">
        <v>51</v>
      </c>
      <c r="K8323" s="28" t="s">
        <v>51</v>
      </c>
      <c r="L8323" s="28" t="s">
        <v>51</v>
      </c>
      <c r="M8323" s="28" t="s">
        <v>51</v>
      </c>
      <c r="N8323" s="28" t="s">
        <v>51</v>
      </c>
    </row>
    <row r="8324" spans="1:14" hidden="1" outlineLevel="1" x14ac:dyDescent="0.15">
      <c r="A8324" s="23" t="str">
        <f>HYPERLINK("https://www.spark-marketing.ru/Card/Person/125413", "ОТДЕЛ МВД РОССИИ ПО Г. НОВОШАХТИНСКУ")</f>
        <v>ОТДЕЛ МВД РОССИИ ПО Г. НОВОШАХТИНСКУ</v>
      </c>
      <c r="B8324" s="24" t="s">
        <v>5055</v>
      </c>
      <c r="C8324" s="25">
        <v>498999.75</v>
      </c>
      <c r="D8324" s="22" t="s">
        <v>12201</v>
      </c>
      <c r="E8324" s="22" t="s">
        <v>48</v>
      </c>
      <c r="F8324" s="23" t="str">
        <f>HYPERLINK("https://www.spark-marketing.ru/Card/Lot/72669072", "прочая закупка услуг (горячее питание лиц,содержащихся в ИВС)")</f>
        <v>прочая закупка услуг (горячее питание лиц,содержащихся в ИВС)</v>
      </c>
      <c r="G8324" s="22" t="s">
        <v>267</v>
      </c>
      <c r="H8324" s="22" t="s">
        <v>5057</v>
      </c>
      <c r="I8324" s="26">
        <v>43685.390856481499</v>
      </c>
      <c r="J8324" s="23" t="str">
        <f>HYPERLINK("https://www.spark-marketing.ru/Card/Person/4944431", "Мащенко Сергей Дмитриевич")</f>
        <v>Мащенко Сергей Дмитриевич</v>
      </c>
      <c r="K8324" s="24" t="s">
        <v>5058</v>
      </c>
      <c r="L8324" s="28" t="s">
        <v>51</v>
      </c>
      <c r="M8324" s="28" t="s">
        <v>51</v>
      </c>
      <c r="N8324" s="28" t="s">
        <v>51</v>
      </c>
    </row>
    <row r="8325" spans="1:14" ht="12.75" hidden="1" outlineLevel="1" x14ac:dyDescent="0.2">
      <c r="A8325" s="23" t="str">
        <f>HYPERLINK("https://www.spark-marketing.ru/Card/Person/125413", "ОТДЕЛ МВД РОССИИ ПО Г. НОВОШАХТИНСКУ")</f>
        <v>ОТДЕЛ МВД РОССИИ ПО Г. НОВОШАХТИНСКУ</v>
      </c>
      <c r="B8325" s="24" t="s">
        <v>5055</v>
      </c>
      <c r="C8325" s="25">
        <v>498999.75</v>
      </c>
      <c r="D8325" s="22" t="s">
        <v>12201</v>
      </c>
      <c r="E8325" s="22" t="s">
        <v>48</v>
      </c>
      <c r="F8325" s="23" t="str">
        <f>HYPERLINK("https://www.spark-marketing.ru/Card/Lot/72669072", "прочая закупка услуг (горячее питание лиц,содержащихся в ИВС)")</f>
        <v>прочая закупка услуг (горячее питание лиц,содержащихся в ИВС)</v>
      </c>
      <c r="G8325" s="22" t="s">
        <v>267</v>
      </c>
      <c r="H8325" s="22" t="s">
        <v>5057</v>
      </c>
      <c r="I8325" s="26">
        <v>43685.390856481499</v>
      </c>
      <c r="J8325" s="23" t="str">
        <f>HYPERLINK("https://www.spark-marketing.ru/Card/Person/4944431", "Мащенко Сергей Дмитриевич")</f>
        <v>Мащенко Сергей Дмитриевич</v>
      </c>
      <c r="K8325" s="24" t="s">
        <v>5058</v>
      </c>
      <c r="L8325" s="22" t="s">
        <v>10</v>
      </c>
      <c r="M8325" s="25">
        <v>455505.27</v>
      </c>
      <c r="N8325" s="27">
        <v>8.7163330242149423E-2</v>
      </c>
    </row>
    <row r="8326" spans="1:14" hidden="1" outlineLevel="1" x14ac:dyDescent="0.2">
      <c r="A8326" s="23" t="str">
        <f>HYPERLINK("https://www.spark-marketing.ru/Card/Person/125413", "ОТДЕЛ МВД РОССИИ ПО Г. НОВОШАХТИНСКУ")</f>
        <v>ОТДЕЛ МВД РОССИИ ПО Г. НОВОШАХТИНСКУ</v>
      </c>
      <c r="B8326" s="24" t="s">
        <v>5055</v>
      </c>
      <c r="C8326" s="25">
        <v>498999.75</v>
      </c>
      <c r="D8326" s="22" t="s">
        <v>12201</v>
      </c>
      <c r="E8326" s="22" t="s">
        <v>48</v>
      </c>
      <c r="F8326" s="23" t="str">
        <f>HYPERLINK("https://www.spark-marketing.ru/Card/Lot/72669072", "прочая закупка услуг (горячее питание лиц,содержащихся в ИВС)")</f>
        <v>прочая закупка услуг (горячее питание лиц,содержащихся в ИВС)</v>
      </c>
      <c r="G8326" s="22" t="s">
        <v>267</v>
      </c>
      <c r="H8326" s="22" t="s">
        <v>5057</v>
      </c>
      <c r="I8326" s="26">
        <v>43685.390856481499</v>
      </c>
      <c r="J8326" s="23" t="str">
        <f>HYPERLINK("https://www.spark-marketing.ru/Card/Person/4852527", "ООО ""ВИКТОРИЯ""")</f>
        <v>ООО "ВИКТОРИЯ"</v>
      </c>
      <c r="K8326" s="24" t="s">
        <v>2162</v>
      </c>
      <c r="L8326" s="28" t="s">
        <v>51</v>
      </c>
      <c r="M8326" s="25">
        <v>465456</v>
      </c>
      <c r="N8326" s="27">
        <v>6.7221977566121027E-2</v>
      </c>
    </row>
    <row r="8327" spans="1:14" x14ac:dyDescent="0.15">
      <c r="A8327" s="23" t="str">
        <f>HYPERLINK("https://www.spark-marketing.ru/Card/Person/37658", "ФГКОУ ВО РЮИ МВД РОССИИ; РОСТОВСКИЙ ЮРИДИЧЕСКИЙ ИНСТИТУТ МВД РОССИИ; РОСТОВСКИЙ ЮИ МВД РОССИИ")</f>
        <v>ФГКОУ ВО РЮИ МВД РОССИИ; РОСТОВСКИЙ ЮРИДИЧЕСКИЙ ИНСТИТУТ МВД РОССИИ; РОСТОВСКИЙ ЮИ МВД РОССИИ</v>
      </c>
      <c r="B8327" s="24" t="s">
        <v>12202</v>
      </c>
      <c r="C8327" s="25">
        <v>670000</v>
      </c>
      <c r="D8327" s="22" t="s">
        <v>12203</v>
      </c>
      <c r="E8327" s="22" t="s">
        <v>12204</v>
      </c>
      <c r="F8327" s="23" t="str">
        <f>HYPERLINK("https://www.spark-marketing.ru/Card/Lot/72667547", "Закупка услуг в сфере ИКТ (Поставка комплектующих для компьютерной техники)")</f>
        <v>Закупка услуг в сфере ИКТ (Поставка комплектующих для компьютерной техники)</v>
      </c>
      <c r="G8327" s="22" t="s">
        <v>267</v>
      </c>
      <c r="H8327" s="22" t="s">
        <v>590</v>
      </c>
      <c r="I8327" s="26">
        <v>43685.387060185203</v>
      </c>
      <c r="J8327" s="23" t="str">
        <f>HYPERLINK("https://www.spark-marketing.ru/Card/Person/46126", "ООО ""ОФИСНЫЙ МИР КМ""")</f>
        <v>ООО "ОФИСНЫЙ МИР КМ"</v>
      </c>
      <c r="K8327" s="24" t="s">
        <v>12205</v>
      </c>
      <c r="L8327" s="22" t="s">
        <v>10</v>
      </c>
      <c r="M8327" s="28" t="s">
        <v>51</v>
      </c>
      <c r="N8327" s="28" t="s">
        <v>51</v>
      </c>
    </row>
    <row r="8328" spans="1:14" x14ac:dyDescent="0.15">
      <c r="A8328" s="23" t="str">
        <f>HYPERLINK("https://www.spark-marketing.ru/Card/Person/8106", "КГБУЗ КРАЕВАЯ КЛИНИЧЕСКАЯ БОЛЬНИЦА")</f>
        <v>КГБУЗ КРАЕВАЯ КЛИНИЧЕСКАЯ БОЛЬНИЦА</v>
      </c>
      <c r="B8328" s="24" t="s">
        <v>12206</v>
      </c>
      <c r="C8328" s="25">
        <v>240460</v>
      </c>
      <c r="D8328" s="22" t="s">
        <v>12207</v>
      </c>
      <c r="E8328" s="22" t="s">
        <v>809</v>
      </c>
      <c r="F8328" s="23" t="str">
        <f>HYPERLINK("https://www.spark-marketing.ru/Card/Lot/72663837",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8328" s="22" t="s">
        <v>63</v>
      </c>
      <c r="H8328" s="22" t="s">
        <v>177</v>
      </c>
      <c r="I8328" s="26">
        <v>43685.386805555601</v>
      </c>
      <c r="J8328" s="28" t="s">
        <v>51</v>
      </c>
      <c r="K8328" s="28" t="s">
        <v>51</v>
      </c>
      <c r="L8328" s="28" t="s">
        <v>51</v>
      </c>
      <c r="M8328" s="28" t="s">
        <v>51</v>
      </c>
      <c r="N8328" s="28" t="s">
        <v>51</v>
      </c>
    </row>
    <row r="8329" spans="1:14" x14ac:dyDescent="0.15">
      <c r="A8329" s="23" t="str">
        <f>HYPERLINK("https://www.spark-marketing.ru/Card/Person/37978", "МО МВД РОССИИ ""ИРБЕЙСКИЙ""")</f>
        <v>МО МВД РОССИИ "ИРБЕЙСКИЙ"</v>
      </c>
      <c r="B8329" s="24" t="s">
        <v>12208</v>
      </c>
      <c r="C8329" s="25">
        <v>450000</v>
      </c>
      <c r="D8329" s="22" t="s">
        <v>12209</v>
      </c>
      <c r="E8329" s="22" t="s">
        <v>48</v>
      </c>
      <c r="F8329" s="23" t="str">
        <f>HYPERLINK("https://www.spark-marketing.ru/Card/Lot/72669851", "Оказание услуг по организации трехразового питания  лиц, содержащихся в изоляторе временного содержания Межмуниципального отдела Министерства внутренних дел Российской Федерации ""Ирбейский""")</f>
        <v>Оказание услуг по организации трехразового питания  лиц, содержащихся в изоляторе временного содержания Межмуниципального отдела Министерства внутренних дел Российской Федерации "Ирбейский"</v>
      </c>
      <c r="G8329" s="22" t="s">
        <v>281</v>
      </c>
      <c r="H8329" s="22" t="s">
        <v>12210</v>
      </c>
      <c r="I8329" s="26">
        <v>43685.401307870401</v>
      </c>
      <c r="J8329" s="23" t="str">
        <f>HYPERLINK("https://www.spark-marketing.ru/Card/Person/6682857", "Ильяшенко Юрий Валерьевич")</f>
        <v>Ильяшенко Юрий Валерьевич</v>
      </c>
      <c r="K8329" s="24" t="s">
        <v>12211</v>
      </c>
      <c r="L8329" s="22" t="s">
        <v>10</v>
      </c>
      <c r="M8329" s="28" t="s">
        <v>51</v>
      </c>
      <c r="N8329" s="28" t="s">
        <v>51</v>
      </c>
    </row>
    <row r="8330" spans="1:14" x14ac:dyDescent="0.15">
      <c r="A8330" s="23" t="str">
        <f>HYPERLINK("https://www.spark-marketing.ru/Card/Person/270454", "МО МВД РОССИИ ""УРЕНСКИЙ""")</f>
        <v>МО МВД РОССИИ "УРЕНСКИЙ"</v>
      </c>
      <c r="B8330" s="24" t="s">
        <v>12212</v>
      </c>
      <c r="C8330" s="25">
        <v>375000</v>
      </c>
      <c r="D8330" s="22" t="s">
        <v>12213</v>
      </c>
      <c r="E8330" s="22" t="s">
        <v>48</v>
      </c>
      <c r="F8330" s="23" t="str">
        <f>HYPERLINK("https://www.spark-marketing.ru/Card/Lot/72667551", "Услуги по обеспечению питанием лиц, содержащихся в изоляторе временного содержания Отделения полиции (дислокация п.г.т. Шаранга) МО МВД России «Уренский» и лиц, задержанных на срок свыше 3 часов, содержащихся в СПЗ дежурной части Отделения полиции (д...")</f>
        <v>Услуги по обеспечению питанием лиц, содержащихся в изоляторе временного содержания Отделения полиции (дислокация п.г.т. Шаранга) МО МВД России «Уренский» и лиц, задержанных на срок свыше 3 часов, содержащихся в СПЗ дежурной части Отделения полиции (д...</v>
      </c>
      <c r="G8330" s="22" t="s">
        <v>76</v>
      </c>
      <c r="H8330" s="22" t="s">
        <v>76</v>
      </c>
      <c r="I8330" s="26">
        <v>43685.388715277797</v>
      </c>
      <c r="J8330" s="23" t="str">
        <f>HYPERLINK("https://www.spark-marketing.ru/Card/Person/4395861", "ООО ""ОБЩЕПИТ""")</f>
        <v>ООО "ОБЩЕПИТ"</v>
      </c>
      <c r="K8330" s="24" t="s">
        <v>12214</v>
      </c>
      <c r="L8330" s="22" t="s">
        <v>10</v>
      </c>
      <c r="M8330" s="28" t="s">
        <v>51</v>
      </c>
      <c r="N8330" s="28" t="s">
        <v>51</v>
      </c>
    </row>
    <row r="8331" spans="1:14" x14ac:dyDescent="0.15">
      <c r="A8331" s="23" t="str">
        <f>HYPERLINK("https://www.spark-marketing.ru/Card/Person/17267", "ГБУ РО ""ШАЦКАЯ МРБ""")</f>
        <v>ГБУ РО "ШАЦКАЯ МРБ"</v>
      </c>
      <c r="B8331" s="24" t="s">
        <v>12215</v>
      </c>
      <c r="C8331" s="25">
        <v>196371.23</v>
      </c>
      <c r="D8331" s="22" t="s">
        <v>12216</v>
      </c>
      <c r="E8331" s="22" t="s">
        <v>603</v>
      </c>
      <c r="F8331" s="23" t="str">
        <f>HYPERLINK("https://www.spark-marketing.ru/Card/Lot/72670175", "Оказание услуг по проведению метрологической поверки, калибровки, измерения параметров медицинского оборудования.")</f>
        <v>Оказание услуг по проведению метрологической поверки, калибровки, измерения параметров медицинского оборудования.</v>
      </c>
      <c r="G8331" s="22" t="s">
        <v>1522</v>
      </c>
      <c r="H8331" s="22" t="s">
        <v>12217</v>
      </c>
      <c r="I8331" s="26">
        <v>43685.380601851903</v>
      </c>
      <c r="J8331" s="23" t="str">
        <f>HYPERLINK("https://www.spark-marketing.ru/Card/Person/562042", "ФБУ ""РЯЗАНСКИЙ ЦСМ""")</f>
        <v>ФБУ "РЯЗАНСКИЙ ЦСМ"</v>
      </c>
      <c r="K8331" s="24" t="s">
        <v>12218</v>
      </c>
      <c r="L8331" s="22" t="s">
        <v>10</v>
      </c>
      <c r="M8331" s="28" t="s">
        <v>51</v>
      </c>
      <c r="N8331" s="28" t="s">
        <v>51</v>
      </c>
    </row>
    <row r="8332" spans="1:14" x14ac:dyDescent="0.15">
      <c r="A8332" s="23" t="str">
        <f>HYPERLINK("https://www.spark-marketing.ru/Card/Person/6193783", "ГКУ РД ""РМЦ""")</f>
        <v>ГКУ РД "РМЦ"</v>
      </c>
      <c r="B8332" s="24" t="s">
        <v>12219</v>
      </c>
      <c r="C8332" s="25">
        <v>6000000</v>
      </c>
      <c r="D8332" s="22" t="s">
        <v>12220</v>
      </c>
      <c r="E8332" s="22" t="s">
        <v>12221</v>
      </c>
      <c r="F8332" s="23" t="str">
        <f>HYPERLINK("https://www.spark-marketing.ru/Card/Lot/72687656", "услуги по обеспечению проживания, питания и оборудованных событийных площадок для участников, гостей и организаторов Международного молодежного форума «Каспий - 2019»")</f>
        <v>услуги по обеспечению проживания, питания и оборудованных событийных площадок для участников, гостей и организаторов Международного молодежного форума «Каспий - 2019»</v>
      </c>
      <c r="G8332" s="22" t="s">
        <v>1607</v>
      </c>
      <c r="H8332" s="22" t="s">
        <v>1607</v>
      </c>
      <c r="I8332" s="26">
        <v>43685.375057870398</v>
      </c>
      <c r="J8332" s="23" t="str">
        <f>HYPERLINK("https://www.spark-marketing.ru/Card/Person/4416460", "ООО ""КАСПИЙ""")</f>
        <v>ООО "КАСПИЙ"</v>
      </c>
      <c r="K8332" s="24" t="s">
        <v>6117</v>
      </c>
      <c r="L8332" s="22" t="s">
        <v>10</v>
      </c>
      <c r="M8332" s="28" t="s">
        <v>51</v>
      </c>
      <c r="N8332" s="28" t="s">
        <v>51</v>
      </c>
    </row>
    <row r="8333" spans="1:14" x14ac:dyDescent="0.15">
      <c r="A8333" s="23" t="str">
        <f t="shared" ref="A8333:A8341" si="187">HYPERLINK("https://www.spark-marketing.ru/Card/Person/4679", "ОМВД РОССИИ ПО НАДЫМСКОМУ РАЙОНУ")</f>
        <v>ОМВД РОССИИ ПО НАДЫМСКОМУ РАЙОНУ</v>
      </c>
      <c r="B8333" s="24" t="s">
        <v>4091</v>
      </c>
      <c r="C8333" s="25">
        <v>2715000</v>
      </c>
      <c r="D8333" s="22" t="s">
        <v>12222</v>
      </c>
      <c r="E8333" s="22" t="s">
        <v>48</v>
      </c>
      <c r="F8333" s="23" t="str">
        <f>HYPERLINK("https://www.spark-marketing.ru/Card/Lot/72662746", "Оказание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району")</f>
        <v>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</v>
      </c>
      <c r="G8333" s="22" t="s">
        <v>1056</v>
      </c>
      <c r="H8333" s="22" t="s">
        <v>2702</v>
      </c>
      <c r="I8333" s="26">
        <v>43685.392581018503</v>
      </c>
      <c r="J8333" s="28" t="s">
        <v>51</v>
      </c>
      <c r="K8333" s="28" t="s">
        <v>51</v>
      </c>
      <c r="L8333" s="28" t="s">
        <v>51</v>
      </c>
      <c r="M8333" s="28" t="s">
        <v>51</v>
      </c>
      <c r="N8333" s="28" t="s">
        <v>51</v>
      </c>
    </row>
    <row r="8334" spans="1:14" hidden="1" outlineLevel="1" x14ac:dyDescent="0.2">
      <c r="A8334" s="23" t="str">
        <f t="shared" si="187"/>
        <v>ОМВД РОССИИ ПО НАДЫМСКОМУ РАЙОНУ</v>
      </c>
      <c r="B8334" s="24" t="s">
        <v>4091</v>
      </c>
      <c r="C8334" s="25">
        <v>2715000</v>
      </c>
      <c r="D8334" s="22" t="s">
        <v>12222</v>
      </c>
      <c r="E8334" s="22" t="s">
        <v>48</v>
      </c>
      <c r="F8334" s="23" t="str">
        <f>HYPERLINK("https://www.spark-marketing.ru/Card/Lot/72662746", "Оказание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району")</f>
        <v>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</v>
      </c>
      <c r="G8334" s="22" t="s">
        <v>1056</v>
      </c>
      <c r="H8334" s="22" t="s">
        <v>2702</v>
      </c>
      <c r="I8334" s="26">
        <v>43685.392581018503</v>
      </c>
      <c r="J8334" s="23" t="str">
        <f>HYPERLINK("https://www.spark-marketing.ru/Card/Person/3954292", "Пуканюк Галина Михайловна")</f>
        <v>Пуканюк Галина Михайловна</v>
      </c>
      <c r="K8334" s="24" t="s">
        <v>6150</v>
      </c>
      <c r="L8334" s="28" t="s">
        <v>51</v>
      </c>
      <c r="M8334" s="25">
        <v>683.28</v>
      </c>
      <c r="N8334" s="27">
        <v>0.99974833149171272</v>
      </c>
    </row>
    <row r="8335" spans="1:14" ht="12.75" hidden="1" outlineLevel="1" x14ac:dyDescent="0.2">
      <c r="A8335" s="23" t="str">
        <f t="shared" si="187"/>
        <v>ОМВД РОССИИ ПО НАДЫМСКОМУ РАЙОНУ</v>
      </c>
      <c r="B8335" s="24" t="s">
        <v>4091</v>
      </c>
      <c r="C8335" s="25">
        <v>2715000</v>
      </c>
      <c r="D8335" s="22" t="s">
        <v>12222</v>
      </c>
      <c r="E8335" s="22" t="s">
        <v>48</v>
      </c>
      <c r="F8335" s="23" t="str">
        <f>HYPERLINK("https://www.spark-marketing.ru/Card/Lot/72662746", "Оказание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району")</f>
        <v>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</v>
      </c>
      <c r="G8335" s="22" t="s">
        <v>1056</v>
      </c>
      <c r="H8335" s="22" t="s">
        <v>2702</v>
      </c>
      <c r="I8335" s="26">
        <v>43685.392581018503</v>
      </c>
      <c r="J8335" s="23" t="str">
        <f>HYPERLINK("https://www.spark-marketing.ru/Card/Person/76164", "Гусак Жанна Алексеевна")</f>
        <v>Гусак Жанна Алексеевна</v>
      </c>
      <c r="K8335" s="24" t="s">
        <v>6149</v>
      </c>
      <c r="L8335" s="22" t="s">
        <v>10</v>
      </c>
      <c r="M8335" s="25">
        <v>668.21</v>
      </c>
      <c r="N8335" s="27">
        <v>0.99975388213627991</v>
      </c>
    </row>
    <row r="8336" spans="1:14" x14ac:dyDescent="0.15">
      <c r="A8336" s="23" t="str">
        <f t="shared" si="187"/>
        <v>ОМВД РОССИИ ПО НАДЫМСКОМУ РАЙОНУ</v>
      </c>
      <c r="B8336" s="24" t="s">
        <v>4091</v>
      </c>
      <c r="C8336" s="25">
        <v>1800000</v>
      </c>
      <c r="D8336" s="22" t="s">
        <v>12223</v>
      </c>
      <c r="E8336" s="22" t="s">
        <v>48</v>
      </c>
      <c r="F8336" s="23" t="str">
        <f>HYPERLINK("https://www.spark-marketing.ru/Card/Lot/72663512", "Оказание услуг по обеспечению питанием арестованных, помещенных в изолятор временного содержания Отдела Министерства внутренних дел Российской Федерации по Надымскому району")</f>
        <v>Оказание услуг по обеспечению питанием арестованных, помещенных в изолятор временного содержания Отдела Министерства внутренних дел Российской Федерации по Надымскому району</v>
      </c>
      <c r="G8336" s="22" t="s">
        <v>1056</v>
      </c>
      <c r="H8336" s="22" t="s">
        <v>2702</v>
      </c>
      <c r="I8336" s="26">
        <v>43685.415150462999</v>
      </c>
      <c r="J8336" s="28" t="s">
        <v>51</v>
      </c>
      <c r="K8336" s="28" t="s">
        <v>51</v>
      </c>
      <c r="L8336" s="28" t="s">
        <v>51</v>
      </c>
      <c r="M8336" s="28" t="s">
        <v>51</v>
      </c>
      <c r="N8336" s="28" t="s">
        <v>51</v>
      </c>
    </row>
    <row r="8337" spans="1:14" ht="12.75" hidden="1" outlineLevel="1" x14ac:dyDescent="0.2">
      <c r="A8337" s="23" t="str">
        <f t="shared" si="187"/>
        <v>ОМВД РОССИИ ПО НАДЫМСКОМУ РАЙОНУ</v>
      </c>
      <c r="B8337" s="24" t="s">
        <v>4091</v>
      </c>
      <c r="C8337" s="25">
        <v>1800000</v>
      </c>
      <c r="D8337" s="22" t="s">
        <v>12223</v>
      </c>
      <c r="E8337" s="22" t="s">
        <v>48</v>
      </c>
      <c r="F8337" s="23" t="str">
        <f>HYPERLINK("https://www.spark-marketing.ru/Card/Lot/72663512", "Оказание услуг по обеспечению питанием арестованных, помещенных в изолятор временного содержания Отдела Министерства внутренних дел Российской Федерации по Надымскому району")</f>
        <v>Оказание услуг по обеспечению питанием арестованных, помещенных в изолятор временного содержания Отдела Министерства внутренних дел Российской Федерации по Надымскому району</v>
      </c>
      <c r="G8337" s="22" t="s">
        <v>1056</v>
      </c>
      <c r="H8337" s="22" t="s">
        <v>2702</v>
      </c>
      <c r="I8337" s="26">
        <v>43685.415150462999</v>
      </c>
      <c r="J8337" s="23" t="str">
        <f>HYPERLINK("https://www.spark-marketing.ru/Card/Person/76164", "Гусак Жанна Алексеевна")</f>
        <v>Гусак Жанна Алексеевна</v>
      </c>
      <c r="K8337" s="24" t="s">
        <v>6149</v>
      </c>
      <c r="L8337" s="22" t="s">
        <v>10</v>
      </c>
      <c r="M8337" s="25">
        <v>1061.57</v>
      </c>
      <c r="N8337" s="27">
        <v>0.99941023888888891</v>
      </c>
    </row>
    <row r="8338" spans="1:14" hidden="1" outlineLevel="1" x14ac:dyDescent="0.2">
      <c r="A8338" s="23" t="str">
        <f t="shared" si="187"/>
        <v>ОМВД РОССИИ ПО НАДЫМСКОМУ РАЙОНУ</v>
      </c>
      <c r="B8338" s="24" t="s">
        <v>4091</v>
      </c>
      <c r="C8338" s="25">
        <v>1800000</v>
      </c>
      <c r="D8338" s="22" t="s">
        <v>12223</v>
      </c>
      <c r="E8338" s="22" t="s">
        <v>48</v>
      </c>
      <c r="F8338" s="23" t="str">
        <f>HYPERLINK("https://www.spark-marketing.ru/Card/Lot/72663512", "Оказание услуг по обеспечению питанием арестованных, помещенных в изолятор временного содержания Отдела Министерства внутренних дел Российской Федерации по Надымскому району")</f>
        <v>Оказание услуг по обеспечению питанием арестованных, помещенных в изолятор временного содержания Отдела Министерства внутренних дел Российской Федерации по Надымскому району</v>
      </c>
      <c r="G8338" s="22" t="s">
        <v>1056</v>
      </c>
      <c r="H8338" s="22" t="s">
        <v>2702</v>
      </c>
      <c r="I8338" s="26">
        <v>43685.415150462999</v>
      </c>
      <c r="J8338" s="23" t="str">
        <f>HYPERLINK("https://www.spark-marketing.ru/Card/Person/3954292", "Пуканюк Галина Михайловна")</f>
        <v>Пуканюк Галина Михайловна</v>
      </c>
      <c r="K8338" s="24" t="s">
        <v>6150</v>
      </c>
      <c r="L8338" s="28" t="s">
        <v>51</v>
      </c>
      <c r="M8338" s="25">
        <v>1081.6199999999999</v>
      </c>
      <c r="N8338" s="27">
        <v>0.99939909999999998</v>
      </c>
    </row>
    <row r="8339" spans="1:14" x14ac:dyDescent="0.15">
      <c r="A8339" s="23" t="str">
        <f t="shared" si="187"/>
        <v>ОМВД РОССИИ ПО НАДЫМСКОМУ РАЙОНУ</v>
      </c>
      <c r="B8339" s="24" t="s">
        <v>4091</v>
      </c>
      <c r="C8339" s="25">
        <v>2715000</v>
      </c>
      <c r="D8339" s="22" t="s">
        <v>12224</v>
      </c>
      <c r="E8339" s="22" t="s">
        <v>48</v>
      </c>
      <c r="F8339" s="23" t="str">
        <f>HYPERLINK("https://www.spark-marketing.ru/Card/Lot/72663509", "Оказание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 на 2020 год.")</f>
        <v>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 на 2020 год.</v>
      </c>
      <c r="G8339" s="22" t="s">
        <v>1056</v>
      </c>
      <c r="H8339" s="22" t="s">
        <v>2702</v>
      </c>
      <c r="I8339" s="26">
        <v>43685.4049421296</v>
      </c>
      <c r="J8339" s="28" t="s">
        <v>51</v>
      </c>
      <c r="K8339" s="28" t="s">
        <v>51</v>
      </c>
      <c r="L8339" s="28" t="s">
        <v>51</v>
      </c>
      <c r="M8339" s="28" t="s">
        <v>51</v>
      </c>
      <c r="N8339" s="28" t="s">
        <v>51</v>
      </c>
    </row>
    <row r="8340" spans="1:14" hidden="1" outlineLevel="1" x14ac:dyDescent="0.2">
      <c r="A8340" s="23" t="str">
        <f t="shared" si="187"/>
        <v>ОМВД РОССИИ ПО НАДЫМСКОМУ РАЙОНУ</v>
      </c>
      <c r="B8340" s="24" t="s">
        <v>4091</v>
      </c>
      <c r="C8340" s="25">
        <v>2715000</v>
      </c>
      <c r="D8340" s="22" t="s">
        <v>12224</v>
      </c>
      <c r="E8340" s="22" t="s">
        <v>48</v>
      </c>
      <c r="F8340" s="23" t="str">
        <f>HYPERLINK("https://www.spark-marketing.ru/Card/Lot/72663509", "Оказание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 на 2020 год.")</f>
        <v>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 на 2020 год.</v>
      </c>
      <c r="G8340" s="22" t="s">
        <v>1056</v>
      </c>
      <c r="H8340" s="22" t="s">
        <v>2702</v>
      </c>
      <c r="I8340" s="26">
        <v>43685.4049421296</v>
      </c>
      <c r="J8340" s="23" t="str">
        <f>HYPERLINK("https://www.spark-marketing.ru/Card/Person/3954292", "Пуканюк Галина Михайловна")</f>
        <v>Пуканюк Галина Михайловна</v>
      </c>
      <c r="K8340" s="24" t="s">
        <v>6150</v>
      </c>
      <c r="L8340" s="28" t="s">
        <v>51</v>
      </c>
      <c r="M8340" s="25">
        <v>733.87</v>
      </c>
      <c r="N8340" s="27">
        <v>0.99972969797421729</v>
      </c>
    </row>
    <row r="8341" spans="1:14" ht="12.75" hidden="1" outlineLevel="1" x14ac:dyDescent="0.2">
      <c r="A8341" s="23" t="str">
        <f t="shared" si="187"/>
        <v>ОМВД РОССИИ ПО НАДЫМСКОМУ РАЙОНУ</v>
      </c>
      <c r="B8341" s="24" t="s">
        <v>4091</v>
      </c>
      <c r="C8341" s="25">
        <v>2715000</v>
      </c>
      <c r="D8341" s="22" t="s">
        <v>12224</v>
      </c>
      <c r="E8341" s="22" t="s">
        <v>48</v>
      </c>
      <c r="F8341" s="23" t="str">
        <f>HYPERLINK("https://www.spark-marketing.ru/Card/Lot/72663509", "Оказание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 на 2020 год.")</f>
        <v>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 на 2020 год.</v>
      </c>
      <c r="G8341" s="22" t="s">
        <v>1056</v>
      </c>
      <c r="H8341" s="22" t="s">
        <v>2702</v>
      </c>
      <c r="I8341" s="26">
        <v>43685.4049421296</v>
      </c>
      <c r="J8341" s="23" t="str">
        <f>HYPERLINK("https://www.spark-marketing.ru/Card/Person/76164", "Гусак Жанна Алексеевна")</f>
        <v>Гусак Жанна Алексеевна</v>
      </c>
      <c r="K8341" s="24" t="s">
        <v>6149</v>
      </c>
      <c r="L8341" s="22" t="s">
        <v>10</v>
      </c>
      <c r="M8341" s="25">
        <v>719.42</v>
      </c>
      <c r="N8341" s="27">
        <v>0.9997350202578269</v>
      </c>
    </row>
    <row r="8342" spans="1:14" x14ac:dyDescent="0.15">
      <c r="A8342" s="23" t="str">
        <f>HYPERLINK("https://www.spark-marketing.ru/Card/Person/270454", "МО МВД РОССИИ ""УРЕНСКИЙ""")</f>
        <v>МО МВД РОССИИ "УРЕНСКИЙ"</v>
      </c>
      <c r="B8342" s="24" t="s">
        <v>12212</v>
      </c>
      <c r="C8342" s="25">
        <v>411430</v>
      </c>
      <c r="D8342" s="22" t="s">
        <v>12225</v>
      </c>
      <c r="E8342" s="22" t="s">
        <v>48</v>
      </c>
      <c r="F8342" s="23" t="str">
        <f>HYPERLINK("https://www.spark-marketing.ru/Card/Lot/72667713", "Услуги по обеспечению питанием лиц, содержащихся в изоляторе временного содержания Отделения полиции (дислокация п.г.т. Шаранга) МО МВД России «Уренский» и лиц, задержанных на срок свыше 3 часов, содержащихся в СПЗ дежурной части Отделения полиции (д...")</f>
        <v>Услуги по обеспечению питанием лиц, содержащихся в изоляторе временного содержания Отделения полиции (дислокация п.г.т. Шаранга) МО МВД России «Уренский» и лиц, задержанных на срок свыше 3 часов, содержащихся в СПЗ дежурной части Отделения полиции (д...</v>
      </c>
      <c r="G8342" s="22" t="s">
        <v>76</v>
      </c>
      <c r="H8342" s="22" t="s">
        <v>76</v>
      </c>
      <c r="I8342" s="26">
        <v>43685.395011574103</v>
      </c>
      <c r="J8342" s="23" t="str">
        <f>HYPERLINK("https://www.spark-marketing.ru/Card/Person/4395861", "ООО ""ОБЩЕПИТ""")</f>
        <v>ООО "ОБЩЕПИТ"</v>
      </c>
      <c r="K8342" s="24" t="s">
        <v>12214</v>
      </c>
      <c r="L8342" s="22" t="s">
        <v>10</v>
      </c>
      <c r="M8342" s="28" t="s">
        <v>51</v>
      </c>
      <c r="N8342" s="28" t="s">
        <v>51</v>
      </c>
    </row>
    <row r="8343" spans="1:14" x14ac:dyDescent="0.2">
      <c r="A8343" s="23" t="str">
        <f>HYPERLINK("https://www.spark-marketing.ru/Card/Person/6441001", "ГБУЗ ПК ""КБ ИМ. ВАГНЕРА Е.А."" Г. БЕРЕЗНИКИ")</f>
        <v>ГБУЗ ПК "КБ ИМ. ВАГНЕРА Е.А." Г. БЕРЕЗНИКИ</v>
      </c>
      <c r="B8343" s="24" t="s">
        <v>2602</v>
      </c>
      <c r="C8343" s="25">
        <v>2998918.54</v>
      </c>
      <c r="D8343" s="22" t="s">
        <v>12226</v>
      </c>
      <c r="E8343" s="22" t="s">
        <v>96</v>
      </c>
      <c r="F8343" s="23" t="str">
        <f>HYPERLINK("https://www.spark-marketing.ru/Card/Lot/72662654", "На оказание услуг по приготовлению и доставке ежедневного горячего питания для пациентов ГБУЗ ПК ""КБ им. Вагнера Е.А."" г.Березники""")</f>
        <v>На оказание услуг по приготовлению и доставке ежедневного горячего питания для пациентов ГБУЗ ПК "КБ им. Вагнера Е.А." г.Березники"</v>
      </c>
      <c r="G8343" s="22" t="s">
        <v>153</v>
      </c>
      <c r="H8343" s="22" t="s">
        <v>153</v>
      </c>
      <c r="I8343" s="26">
        <v>43685.346527777801</v>
      </c>
      <c r="J8343" s="23" t="str">
        <f>HYPERLINK("https://www.spark-marketing.ru/Card/Person/52326", "Токарева Оксана Вячеславовна")</f>
        <v>Токарева Оксана Вячеславовна</v>
      </c>
      <c r="K8343" s="24" t="s">
        <v>1845</v>
      </c>
      <c r="L8343" s="28" t="s">
        <v>51</v>
      </c>
      <c r="M8343" s="25">
        <v>2998918.54</v>
      </c>
      <c r="N8343" s="27">
        <v>0</v>
      </c>
    </row>
    <row r="8344" spans="1:14" x14ac:dyDescent="0.15">
      <c r="A8344" s="23" t="str">
        <f>HYPERLINK("https://www.spark-marketing.ru/Card/Person/6220851", "ОМВД РОССИИ ПО ЗАВОЛЖСКОМУ РАЙОНУ Г.УЛЬЯНОВСКА")</f>
        <v>ОМВД РОССИИ ПО ЗАВОЛЖСКОМУ РАЙОНУ Г.УЛЬЯНОВСКА</v>
      </c>
      <c r="B8344" s="24" t="s">
        <v>9780</v>
      </c>
      <c r="C8344" s="25">
        <v>54240</v>
      </c>
      <c r="D8344" s="22" t="s">
        <v>12227</v>
      </c>
      <c r="E8344" s="22" t="s">
        <v>96</v>
      </c>
      <c r="F8344" s="23" t="str">
        <f>HYPERLINK("https://www.spark-marketing.ru/Card/Lot/72662889", "Оказание услуг по организации питания (приготовлению и доставке), 473 шт")</f>
        <v>Оказание услуг по организации питания (приготовлению и доставке), 473 шт</v>
      </c>
      <c r="G8344" s="22" t="s">
        <v>1918</v>
      </c>
      <c r="H8344" s="22" t="s">
        <v>1918</v>
      </c>
      <c r="I8344" s="26">
        <v>43685.3522800926</v>
      </c>
      <c r="J8344" s="28" t="s">
        <v>51</v>
      </c>
      <c r="K8344" s="28" t="s">
        <v>51</v>
      </c>
      <c r="L8344" s="28" t="s">
        <v>51</v>
      </c>
      <c r="M8344" s="28" t="s">
        <v>51</v>
      </c>
      <c r="N8344" s="28" t="s">
        <v>51</v>
      </c>
    </row>
    <row r="8345" spans="1:14" x14ac:dyDescent="0.15">
      <c r="A8345" s="23" t="str">
        <f>HYPERLINK("https://www.spark-marketing.ru/Card/Person/536200", "МО МВД РОССИИ ""КАМЫШЛОВСКИЙ""")</f>
        <v>МО МВД РОССИИ "КАМЫШЛОВСКИЙ"</v>
      </c>
      <c r="B8345" s="24" t="s">
        <v>12228</v>
      </c>
      <c r="C8345" s="25">
        <v>93600</v>
      </c>
      <c r="D8345" s="22" t="s">
        <v>12229</v>
      </c>
      <c r="E8345" s="22" t="s">
        <v>96</v>
      </c>
      <c r="F8345" s="23" t="str">
        <f>HYPERLINK("https://www.spark-marketing.ru/Card/Lot/72662106", "Оказание услуг по организации питания (приготовлению и доставке), 360 шт")</f>
        <v>Оказание услуг по организации питания (приготовлению и доставке), 360 шт</v>
      </c>
      <c r="G8345" s="22" t="s">
        <v>174</v>
      </c>
      <c r="H8345" s="22" t="s">
        <v>12230</v>
      </c>
      <c r="I8345" s="26">
        <v>43685.318796296298</v>
      </c>
      <c r="J8345" s="28" t="s">
        <v>51</v>
      </c>
      <c r="K8345" s="28" t="s">
        <v>51</v>
      </c>
      <c r="L8345" s="28" t="s">
        <v>51</v>
      </c>
      <c r="M8345" s="28" t="s">
        <v>51</v>
      </c>
      <c r="N8345" s="28" t="s">
        <v>51</v>
      </c>
    </row>
    <row r="8346" spans="1:14" x14ac:dyDescent="0.2">
      <c r="A8346" s="23" t="str">
        <f>HYPERLINK("https://www.spark-marketing.ru/Card/Person/1063708", "ТОГКУ ""ЦМС""")</f>
        <v>ТОГКУ "ЦМС"</v>
      </c>
      <c r="B8346" s="24" t="s">
        <v>12231</v>
      </c>
      <c r="C8346" s="25">
        <v>500000</v>
      </c>
      <c r="D8346" s="22" t="s">
        <v>12232</v>
      </c>
      <c r="E8346" s="22" t="s">
        <v>96</v>
      </c>
      <c r="F8346" s="23" t="str">
        <f>HYPERLINK("https://www.spark-marketing.ru/Card/Lot/72663042", "Оказание услуг по организации общественного питания для обеспечения протокольных мероприятий федерального и регионального значений, проводимых главой администрации Тамбовской области")</f>
        <v>Оказание услуг по организации общественного питания для обеспечения протокольных мероприятий федерального и регионального значений, проводимых главой администрации Тамбовской области</v>
      </c>
      <c r="G8346" s="22" t="s">
        <v>1370</v>
      </c>
      <c r="H8346" s="22" t="s">
        <v>2025</v>
      </c>
      <c r="I8346" s="26">
        <v>43685.320138888899</v>
      </c>
      <c r="J8346" s="23" t="str">
        <f>HYPERLINK("https://www.spark-marketing.ru/Card/Person/537182", "АО ""СТОЛОВАЯ № 1""")</f>
        <v>АО "СТОЛОВАЯ № 1"</v>
      </c>
      <c r="K8346" s="24" t="s">
        <v>12233</v>
      </c>
      <c r="L8346" s="28" t="s">
        <v>51</v>
      </c>
      <c r="M8346" s="25">
        <v>500000</v>
      </c>
      <c r="N8346" s="27">
        <v>0</v>
      </c>
    </row>
    <row r="8347" spans="1:14" x14ac:dyDescent="0.15">
      <c r="A8347" s="23" t="str">
        <f>HYPERLINK("https://www.spark-marketing.ru/Card/Person/736652", "ОТДЕЛ МВД РФ ПО КЯХТИНСКОМУ РАЙОНУ")</f>
        <v>ОТДЕЛ МВД РФ ПО КЯХТИНСКОМУ РАЙОНУ</v>
      </c>
      <c r="B8347" s="24" t="s">
        <v>11335</v>
      </c>
      <c r="C8347" s="25">
        <v>2000</v>
      </c>
      <c r="D8347" s="22" t="s">
        <v>12234</v>
      </c>
      <c r="E8347" s="22" t="s">
        <v>96</v>
      </c>
      <c r="F8347" s="23" t="str">
        <f>HYPERLINK("https://www.spark-marketing.ru/Card/Lot/72661769",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8347" s="22" t="s">
        <v>433</v>
      </c>
      <c r="H8347" s="22" t="s">
        <v>3120</v>
      </c>
      <c r="I8347" s="26">
        <v>43685.287662037001</v>
      </c>
      <c r="J8347" s="28" t="s">
        <v>51</v>
      </c>
      <c r="K8347" s="28" t="s">
        <v>51</v>
      </c>
      <c r="L8347" s="28" t="s">
        <v>51</v>
      </c>
      <c r="M8347" s="28" t="s">
        <v>51</v>
      </c>
      <c r="N8347" s="28" t="s">
        <v>51</v>
      </c>
    </row>
    <row r="8348" spans="1:14" x14ac:dyDescent="0.15">
      <c r="A8348" s="23" t="str">
        <f>HYPERLINK("https://www.spark-marketing.ru/Card/Person/291431", "КАЛИНИНГРАДСКИЙ ОБЛАСТНОЙ ИНСТИТУТ РАЗВИТИЯ ОБРАЗОВАНИЯ")</f>
        <v>КАЛИНИНГРАДСКИЙ ОБЛАСТНОЙ ИНСТИТУТ РАЗВИТИЯ ОБРАЗОВАНИЯ</v>
      </c>
      <c r="B8348" s="24" t="s">
        <v>1911</v>
      </c>
      <c r="C8348" s="25">
        <v>8800</v>
      </c>
      <c r="D8348" s="22" t="s">
        <v>12235</v>
      </c>
      <c r="E8348" s="22" t="s">
        <v>48</v>
      </c>
      <c r="F8348" s="23" t="str">
        <f>HYPERLINK("https://www.spark-marketing.ru/Card/Lot/72661145", "Оказание услуг по организации питания")</f>
        <v>Оказание услуг по организации питания</v>
      </c>
      <c r="G8348" s="22" t="s">
        <v>400</v>
      </c>
      <c r="H8348" s="22" t="s">
        <v>12236</v>
      </c>
      <c r="I8348" s="26">
        <v>43685.204166666699</v>
      </c>
      <c r="J8348" s="28" t="s">
        <v>51</v>
      </c>
      <c r="K8348" s="28" t="s">
        <v>51</v>
      </c>
      <c r="L8348" s="28" t="s">
        <v>51</v>
      </c>
      <c r="M8348" s="28" t="s">
        <v>51</v>
      </c>
      <c r="N8348" s="28" t="s">
        <v>51</v>
      </c>
    </row>
    <row r="8349" spans="1:14" x14ac:dyDescent="0.2">
      <c r="A8349" s="23" t="str">
        <f>HYPERLINK("https://www.spark-marketing.ru/Card/Person/532432", "ФГУП ""ГВСУ №14""")</f>
        <v>ФГУП "ГВСУ №14"</v>
      </c>
      <c r="B8349" s="24" t="s">
        <v>12237</v>
      </c>
      <c r="C8349" s="25">
        <v>4999999</v>
      </c>
      <c r="D8349" s="22" t="s">
        <v>12238</v>
      </c>
      <c r="E8349" s="22" t="s">
        <v>362</v>
      </c>
      <c r="F8349" s="23" t="str">
        <f>HYPERLINK("https://www.spark-marketing.ru/Card/Lot/72679910", "Оказание услуг по организации питания сотрудников")</f>
        <v>Оказание услуг по организации питания сотрудников</v>
      </c>
      <c r="G8349" s="22" t="s">
        <v>56</v>
      </c>
      <c r="H8349" s="22" t="s">
        <v>56</v>
      </c>
      <c r="I8349" s="26">
        <v>43685</v>
      </c>
      <c r="J8349" s="28" t="s">
        <v>51</v>
      </c>
      <c r="K8349" s="28" t="s">
        <v>51</v>
      </c>
      <c r="L8349" s="28" t="s">
        <v>51</v>
      </c>
      <c r="M8349" s="25">
        <v>4999999</v>
      </c>
      <c r="N8349" s="27">
        <v>0</v>
      </c>
    </row>
    <row r="8350" spans="1:14" x14ac:dyDescent="0.2">
      <c r="A8350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8350" s="24" t="s">
        <v>6649</v>
      </c>
      <c r="C8350" s="25">
        <v>2993800</v>
      </c>
      <c r="D8350" s="22" t="s">
        <v>12239</v>
      </c>
      <c r="E8350" s="22" t="s">
        <v>952</v>
      </c>
      <c r="F8350" s="23" t="str">
        <f>HYPERLINK("https://www.spark-marketing.ru/Card/Lot/72676222", "Оказание услуг по организации общественного питания в ФГАУ ""Санаторий ФССП России ""Зелёная долина""")</f>
        <v>Оказание услуг по организации общественного питания в ФГАУ "Санаторий ФССП России "Зелёная долина"</v>
      </c>
      <c r="G8350" s="22" t="s">
        <v>104</v>
      </c>
      <c r="H8350" s="22" t="s">
        <v>104</v>
      </c>
      <c r="I8350" s="26">
        <v>43685</v>
      </c>
      <c r="J8350" s="28" t="s">
        <v>51</v>
      </c>
      <c r="K8350" s="28" t="s">
        <v>51</v>
      </c>
      <c r="L8350" s="22" t="s">
        <v>10</v>
      </c>
      <c r="M8350" s="25">
        <v>2993800</v>
      </c>
      <c r="N8350" s="27">
        <v>0</v>
      </c>
    </row>
    <row r="8351" spans="1:14" x14ac:dyDescent="0.15">
      <c r="A8351" s="23" t="str">
        <f>HYPERLINK("https://www.spark-marketing.ru/Card/Person/70371", "ФГАОУ ВО ""КАЗАНСКИЙ (ПРИВОЛЖСКИЙ) ФЕДЕРАЛЬНЫЙ УНИВЕРСИТЕТ"", ФГАОУ ВО КФУ, КФУ, КАЗАНСКИЙ ФЕДЕРАЛЬНЫЙ УНИВЕРСИТЕТ, КАЗАНСКИЙ УНИВЕРСИТЕТ, КАЗАНСКИЙ (ПРИВОЛЖСКИЙ) ФЕДЕРАЛЬНЫЙ УНИВЕРСИТЕТ")</f>
        <v>ФГАОУ ВО "КАЗАНСКИЙ (ПРИВОЛЖСКИЙ) ФЕДЕРАЛЬНЫЙ УНИВЕРСИТЕТ", ФГАОУ ВО КФУ, КФУ, КАЗАНСКИЙ ФЕДЕРАЛЬНЫЙ УНИВЕРСИТЕТ, КАЗАНСКИЙ УНИВЕРСИТЕТ, КАЗАНСКИЙ (ПРИВОЛЖСКИЙ) ФЕДЕРАЛЬНЫЙ УНИВЕРСИТЕТ</v>
      </c>
      <c r="B8351" s="24" t="s">
        <v>12240</v>
      </c>
      <c r="C8351" s="25">
        <v>738012</v>
      </c>
      <c r="D8351" s="22" t="s">
        <v>12241</v>
      </c>
      <c r="E8351" s="22" t="s">
        <v>12242</v>
      </c>
      <c r="F8351" s="23" t="str">
        <f>HYPERLINK("https://www.spark-marketing.ru/Card/Lot/72681780", "Оказание услуг по проживанию и питанию")</f>
        <v>Оказание услуг по проживанию и питанию</v>
      </c>
      <c r="G8351" s="22" t="s">
        <v>217</v>
      </c>
      <c r="H8351" s="22" t="s">
        <v>217</v>
      </c>
      <c r="I8351" s="26">
        <v>43685</v>
      </c>
      <c r="J8351" s="28" t="s">
        <v>51</v>
      </c>
      <c r="K8351" s="28" t="s">
        <v>51</v>
      </c>
      <c r="L8351" s="28" t="s">
        <v>51</v>
      </c>
      <c r="M8351" s="28" t="s">
        <v>51</v>
      </c>
      <c r="N8351" s="28" t="s">
        <v>51</v>
      </c>
    </row>
    <row r="8352" spans="1:14" x14ac:dyDescent="0.15">
      <c r="A8352" s="23" t="str">
        <f>HYPERLINK("https://www.spark-marketing.ru/Card/Person/5310037", "ОАО НПП АЛМАЗ")</f>
        <v>ОАО НПП АЛМАЗ</v>
      </c>
      <c r="B8352" s="28" t="s">
        <v>51</v>
      </c>
      <c r="C8352" s="28" t="s">
        <v>51</v>
      </c>
      <c r="D8352" s="28" t="s">
        <v>51</v>
      </c>
      <c r="E8352" s="22" t="s">
        <v>52</v>
      </c>
      <c r="F8352" s="23" t="str">
        <f>HYPERLINK("https://www.spark-marketing.ru/Card/Lot/72724699", "Запрос котировок в электронной форме на предоставление услуги по обеспечению лечебно-профилактическим питанием работников")</f>
        <v>Запрос котировок в электронной форме на предоставление услуги по обеспечению лечебно-профилактическим питанием работников</v>
      </c>
      <c r="G8352" s="22" t="s">
        <v>51</v>
      </c>
      <c r="H8352" s="22" t="s">
        <v>51</v>
      </c>
      <c r="I8352" s="26">
        <v>43685</v>
      </c>
      <c r="J8352" s="28" t="s">
        <v>51</v>
      </c>
      <c r="K8352" s="28" t="s">
        <v>51</v>
      </c>
      <c r="L8352" s="28" t="s">
        <v>51</v>
      </c>
      <c r="M8352" s="28" t="s">
        <v>51</v>
      </c>
      <c r="N8352" s="28" t="s">
        <v>51</v>
      </c>
    </row>
    <row r="8353" spans="1:14" x14ac:dyDescent="0.2">
      <c r="A8353" s="23" t="str">
        <f>HYPERLINK("https://www.spark-marketing.ru/Card/Person/4346656", "ФГБУ ""ТЦСКР ""КРЫМСКИЙ""")</f>
        <v>ФГБУ "ТЦСКР "КРЫМСКИЙ"</v>
      </c>
      <c r="B8353" s="24" t="s">
        <v>2225</v>
      </c>
      <c r="C8353" s="25">
        <v>495000</v>
      </c>
      <c r="D8353" s="22" t="s">
        <v>12243</v>
      </c>
      <c r="E8353" s="22" t="s">
        <v>580</v>
      </c>
      <c r="F8353" s="23" t="str">
        <f>HYPERLINK("https://www.spark-marketing.ru/Card/Lot/72668267", "Оказание услуг питания")</f>
        <v>Оказание услуг питания</v>
      </c>
      <c r="G8353" s="22" t="s">
        <v>108</v>
      </c>
      <c r="H8353" s="22" t="s">
        <v>375</v>
      </c>
      <c r="I8353" s="26">
        <v>43685</v>
      </c>
      <c r="J8353" s="28" t="s">
        <v>51</v>
      </c>
      <c r="K8353" s="28" t="s">
        <v>51</v>
      </c>
      <c r="L8353" s="28" t="s">
        <v>51</v>
      </c>
      <c r="M8353" s="25">
        <v>495000</v>
      </c>
      <c r="N8353" s="27">
        <v>0</v>
      </c>
    </row>
    <row r="8354" spans="1:14" x14ac:dyDescent="0.15">
      <c r="A8354" s="23" t="str">
        <f>HYPERLINK("https://www.spark-marketing.ru/Card/Person/35401", "ПАО МГТС")</f>
        <v>ПАО МГТС</v>
      </c>
      <c r="B8354" s="24" t="s">
        <v>12244</v>
      </c>
      <c r="C8354" s="25">
        <v>2155463.64</v>
      </c>
      <c r="D8354" s="22" t="s">
        <v>12245</v>
      </c>
      <c r="E8354" s="22" t="s">
        <v>12246</v>
      </c>
      <c r="F8354" s="23" t="str">
        <f>HYPERLINK("https://www.spark-marketing.ru/Card/Lot/72681471", "1074-2019-Оказание услуги по организации обслуживания питания отдыхающих в пансионате «ИСКРА» (филиал ПАО МГТС) в период с 01.09.2019г. по 28.02.2021 года (усиление) (ЛОТ 2)")</f>
        <v>1074-2019-Оказание услуги по организации обслуживания питания отдыхающих в пансионате «ИСКРА» (филиал ПАО МГТС) в период с 01.09.2019г. по 28.02.2021 года (усиление) (ЛОТ 2)</v>
      </c>
      <c r="G8354" s="22" t="s">
        <v>56</v>
      </c>
      <c r="H8354" s="22" t="s">
        <v>56</v>
      </c>
      <c r="I8354" s="26">
        <v>43685</v>
      </c>
      <c r="J8354" s="28" t="s">
        <v>51</v>
      </c>
      <c r="K8354" s="28" t="s">
        <v>51</v>
      </c>
      <c r="L8354" s="28" t="s">
        <v>51</v>
      </c>
      <c r="M8354" s="28" t="s">
        <v>51</v>
      </c>
      <c r="N8354" s="28" t="s">
        <v>51</v>
      </c>
    </row>
    <row r="8355" spans="1:14" x14ac:dyDescent="0.2">
      <c r="A8355" s="23" t="str">
        <f>HYPERLINK("https://www.spark-marketing.ru/Card/Person/1359519", "МОУ ""СОШ № 23""")</f>
        <v>МОУ "СОШ № 23"</v>
      </c>
      <c r="B8355" s="24" t="s">
        <v>12247</v>
      </c>
      <c r="C8355" s="25">
        <v>771120</v>
      </c>
      <c r="D8355" s="22" t="s">
        <v>12248</v>
      </c>
      <c r="E8355" s="22" t="s">
        <v>362</v>
      </c>
      <c r="F8355" s="23" t="str">
        <f>HYPERLINK("https://www.spark-marketing.ru/Card/Lot/72668701", "Оказание услуг по организации питания детей из малообеспеченных семей и детей с нарушениями здоровья, обучающихся в МОУ ""СОШ № 23""")</f>
        <v>Оказание услуг по организации питания детей из малообеспеченных семей и детей с нарушениями здоровья, обучающихся в МОУ "СОШ № 23"</v>
      </c>
      <c r="G8355" s="22" t="s">
        <v>469</v>
      </c>
      <c r="H8355" s="22" t="s">
        <v>469</v>
      </c>
      <c r="I8355" s="26">
        <v>43685</v>
      </c>
      <c r="J8355" s="28" t="s">
        <v>51</v>
      </c>
      <c r="K8355" s="28" t="s">
        <v>51</v>
      </c>
      <c r="L8355" s="22" t="s">
        <v>10</v>
      </c>
      <c r="M8355" s="25">
        <v>725760</v>
      </c>
      <c r="N8355" s="27">
        <v>5.8823529411764705E-2</v>
      </c>
    </row>
    <row r="8356" spans="1:14" x14ac:dyDescent="0.15">
      <c r="A8356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8356" s="24" t="s">
        <v>1909</v>
      </c>
      <c r="C8356" s="25">
        <v>148200</v>
      </c>
      <c r="D8356" s="22" t="s">
        <v>12249</v>
      </c>
      <c r="E8356" s="22" t="s">
        <v>769</v>
      </c>
      <c r="F8356" s="23" t="str">
        <f>HYPERLINK("https://www.spark-marketing.ru/Card/Lot/72671121", "Услуги по размещению в гостиничных номерах и питанию в кафе гостиницы")</f>
        <v>Услуги по размещению в гостиничных номерах и питанию в кафе гостиницы</v>
      </c>
      <c r="G8356" s="22" t="s">
        <v>766</v>
      </c>
      <c r="H8356" s="22" t="s">
        <v>766</v>
      </c>
      <c r="I8356" s="26">
        <v>43685</v>
      </c>
      <c r="J8356" s="28" t="s">
        <v>51</v>
      </c>
      <c r="K8356" s="28" t="s">
        <v>51</v>
      </c>
      <c r="L8356" s="28" t="s">
        <v>51</v>
      </c>
      <c r="M8356" s="28" t="s">
        <v>51</v>
      </c>
      <c r="N8356" s="28" t="s">
        <v>51</v>
      </c>
    </row>
    <row r="8357" spans="1:14" x14ac:dyDescent="0.2">
      <c r="A8357" s="23" t="str">
        <f>HYPERLINK("https://www.spark-marketing.ru/Card/Person/4351389", "МАОУ ""ГИМНАЗИЯ № 25""")</f>
        <v>МАОУ "ГИМНАЗИЯ № 25"</v>
      </c>
      <c r="B8357" s="24" t="s">
        <v>12250</v>
      </c>
      <c r="C8357" s="25">
        <v>302940</v>
      </c>
      <c r="D8357" s="22" t="s">
        <v>12251</v>
      </c>
      <c r="E8357" s="22" t="s">
        <v>362</v>
      </c>
      <c r="F8357" s="23" t="str">
        <f>HYPERLINK("https://www.spark-marketing.ru/Card/Lot/72680113", "Оказание услуг по организации питания детей и подростков в период летней оздоровительной кампании в августе 2019г.")</f>
        <v>Оказание услуг по организации питания детей и подростков в период летней оздоровительной кампании в августе 2019г.</v>
      </c>
      <c r="G8357" s="22" t="s">
        <v>174</v>
      </c>
      <c r="H8357" s="22" t="s">
        <v>174</v>
      </c>
      <c r="I8357" s="26">
        <v>43685</v>
      </c>
      <c r="J8357" s="28" t="s">
        <v>51</v>
      </c>
      <c r="K8357" s="28" t="s">
        <v>51</v>
      </c>
      <c r="L8357" s="28" t="s">
        <v>51</v>
      </c>
      <c r="M8357" s="25">
        <v>302940</v>
      </c>
      <c r="N8357" s="27">
        <v>0</v>
      </c>
    </row>
    <row r="8358" spans="1:14" x14ac:dyDescent="0.2">
      <c r="A8358" s="23" t="str">
        <f>HYPERLINK("https://www.spark-marketing.ru/Card/Person/226344", "ФГУП ""ГИДРОГРАФИЧЕСКОЕ ПРЕДПРИЯТИЕ""")</f>
        <v>ФГУП "ГИДРОГРАФИЧЕСКОЕ ПРЕДПРИЯТИЕ"</v>
      </c>
      <c r="B8358" s="24" t="s">
        <v>12252</v>
      </c>
      <c r="C8358" s="25">
        <v>1596600</v>
      </c>
      <c r="D8358" s="22" t="s">
        <v>12253</v>
      </c>
      <c r="E8358" s="22" t="s">
        <v>2227</v>
      </c>
      <c r="F8358" s="23" t="str">
        <f>HYPERLINK("https://www.spark-marketing.ru/Card/Lot/72681936", "Оказание услуг по аренде жилых помещений и организации питания сотрудников предприятия")</f>
        <v>Оказание услуг по аренде жилых помещений и организации питания сотрудников предприятия</v>
      </c>
      <c r="G8358" s="22" t="s">
        <v>1056</v>
      </c>
      <c r="H8358" s="22" t="s">
        <v>1056</v>
      </c>
      <c r="I8358" s="26">
        <v>43685</v>
      </c>
      <c r="J8358" s="28" t="s">
        <v>51</v>
      </c>
      <c r="K8358" s="28" t="s">
        <v>51</v>
      </c>
      <c r="L8358" s="22" t="s">
        <v>10</v>
      </c>
      <c r="M8358" s="25">
        <v>1596600</v>
      </c>
      <c r="N8358" s="27">
        <v>0</v>
      </c>
    </row>
    <row r="8359" spans="1:14" x14ac:dyDescent="0.2">
      <c r="A8359" s="23" t="str">
        <f>HYPERLINK("https://www.spark-marketing.ru/Card/Person/50743", "МП ""ДЕТСКОЕ ПИТАНИЕ""")</f>
        <v>МП "ДЕТСКОЕ ПИТАНИЕ"</v>
      </c>
      <c r="B8359" s="24" t="s">
        <v>1562</v>
      </c>
      <c r="C8359" s="25">
        <v>733590</v>
      </c>
      <c r="D8359" s="22" t="s">
        <v>12254</v>
      </c>
      <c r="E8359" s="22" t="s">
        <v>10965</v>
      </c>
      <c r="F8359" s="23" t="str">
        <f>HYPERLINK("https://www.spark-marketing.ru/Card/Lot/72676276", "Поставка филе рыбы мороженное (для оказания услуг по предоставлению питания школьникам).")</f>
        <v>Поставка филе рыбы мороженное (для оказания услуг по предоставлению питания школьникам).</v>
      </c>
      <c r="G8359" s="22" t="s">
        <v>1522</v>
      </c>
      <c r="H8359" s="22" t="s">
        <v>1522</v>
      </c>
      <c r="I8359" s="26">
        <v>43685</v>
      </c>
      <c r="J8359" s="28" t="s">
        <v>51</v>
      </c>
      <c r="K8359" s="28" t="s">
        <v>51</v>
      </c>
      <c r="L8359" s="22" t="s">
        <v>10</v>
      </c>
      <c r="M8359" s="25">
        <v>726000</v>
      </c>
      <c r="N8359" s="27">
        <v>1.03463787674314E-2</v>
      </c>
    </row>
    <row r="8360" spans="1:14" x14ac:dyDescent="0.2">
      <c r="A8360" s="23" t="str">
        <f>HYPERLINK("https://www.spark-marketing.ru/Card/Person/4434459", "МАОУ ТОБОЛОВСКАЯ СОШ")</f>
        <v>МАОУ ТОБОЛОВСКАЯ СОШ</v>
      </c>
      <c r="B8360" s="24" t="s">
        <v>12255</v>
      </c>
      <c r="C8360" s="25">
        <v>4351158</v>
      </c>
      <c r="D8360" s="22" t="s">
        <v>12256</v>
      </c>
      <c r="E8360" s="22" t="s">
        <v>8157</v>
      </c>
      <c r="F8360" s="23" t="str">
        <f>HYPERLINK("https://www.spark-marketing.ru/Card/Lot/72682753", "организация горячего питания в МАОУ Тоболовская СОШ и сети его филиалов")</f>
        <v>организация горячего питания в МАОУ Тоболовская СОШ и сети его филиалов</v>
      </c>
      <c r="G8360" s="22" t="s">
        <v>766</v>
      </c>
      <c r="H8360" s="22" t="s">
        <v>766</v>
      </c>
      <c r="I8360" s="26">
        <v>43685</v>
      </c>
      <c r="J8360" s="28" t="s">
        <v>51</v>
      </c>
      <c r="K8360" s="28" t="s">
        <v>51</v>
      </c>
      <c r="L8360" s="22" t="s">
        <v>10</v>
      </c>
      <c r="M8360" s="25">
        <v>4351158</v>
      </c>
      <c r="N8360" s="27">
        <v>0</v>
      </c>
    </row>
    <row r="8361" spans="1:14" x14ac:dyDescent="0.15">
      <c r="A8361" s="23" t="str">
        <f>HYPERLINK("https://www.spark-marketing.ru/Card/Person/1760026", "ЗАО ""ПФК ""КРЫЛЬЯ СОВЕТОВ""")</f>
        <v>ЗАО "ПФК "КРЫЛЬЯ СОВЕТОВ"</v>
      </c>
      <c r="B8361" s="24" t="s">
        <v>2056</v>
      </c>
      <c r="C8361" s="25">
        <v>172800</v>
      </c>
      <c r="D8361" s="22" t="s">
        <v>12257</v>
      </c>
      <c r="E8361" s="22" t="s">
        <v>2058</v>
      </c>
      <c r="F8361" s="23" t="str">
        <f>HYPERLINK("https://www.spark-marketing.ru/Card/Lot/72685047", "Комплекс услуг по организации питания и проживания ЦПФ, 2010г.р. в рамках соревнований")</f>
        <v>Комплекс услуг по организации питания и проживания ЦПФ, 2010г.р. в рамках соревнований</v>
      </c>
      <c r="G8361" s="22" t="s">
        <v>217</v>
      </c>
      <c r="H8361" s="22" t="s">
        <v>217</v>
      </c>
      <c r="I8361" s="26">
        <v>43685</v>
      </c>
      <c r="J8361" s="28" t="s">
        <v>51</v>
      </c>
      <c r="K8361" s="28" t="s">
        <v>51</v>
      </c>
      <c r="L8361" s="28" t="s">
        <v>51</v>
      </c>
      <c r="M8361" s="28" t="s">
        <v>51</v>
      </c>
      <c r="N8361" s="28" t="s">
        <v>51</v>
      </c>
    </row>
    <row r="8362" spans="1:14" x14ac:dyDescent="0.2">
      <c r="A8362" s="23" t="str">
        <f>HYPERLINK("https://www.spark-marketing.ru/Card/Person/18683", "ФГБОУ ВО ""НГПУ ИМ. К. МИНИНА"" , НГПУ ИМ. К. МИНИНА , МИНИНСКИЙ УНИВЕРСИТЕТ")</f>
        <v>ФГБОУ ВО "НГПУ ИМ. К. МИНИНА" , НГПУ ИМ. К. МИНИНА , МИНИНСКИЙ УНИВЕРСИТЕТ</v>
      </c>
      <c r="B8362" s="24" t="s">
        <v>4647</v>
      </c>
      <c r="C8362" s="25">
        <v>134000</v>
      </c>
      <c r="D8362" s="22" t="s">
        <v>12258</v>
      </c>
      <c r="E8362" s="22" t="s">
        <v>362</v>
      </c>
      <c r="F8362" s="23" t="str">
        <f>HYPERLINK("https://www.spark-marketing.ru/Card/Lot/72688558", "Оказание услуг общественного питания участников Летней школы ""Литературы Русского Зарубежья: лица, судьбы, книги""")</f>
        <v>Оказание услуг общественного питания участников Летней школы "Литературы Русского Зарубежья: лица, судьбы, книги"</v>
      </c>
      <c r="G8362" s="22" t="s">
        <v>76</v>
      </c>
      <c r="H8362" s="22" t="s">
        <v>76</v>
      </c>
      <c r="I8362" s="26">
        <v>43685</v>
      </c>
      <c r="J8362" s="28" t="s">
        <v>51</v>
      </c>
      <c r="K8362" s="28" t="s">
        <v>51</v>
      </c>
      <c r="L8362" s="22" t="s">
        <v>10</v>
      </c>
      <c r="M8362" s="25">
        <v>134000</v>
      </c>
      <c r="N8362" s="27">
        <v>0</v>
      </c>
    </row>
    <row r="8363" spans="1:14" x14ac:dyDescent="0.2">
      <c r="A8363" s="23" t="str">
        <f>HYPERLINK("https://www.spark-marketing.ru/Card/Person/171890", "АО ""ГОСТИНИЧНЫЙ КОМПЛЕКС ""СЛАВЯНКА""")</f>
        <v>АО "ГОСТИНИЧНЫЙ КОМПЛЕКС "СЛАВЯНКА"</v>
      </c>
      <c r="B8363" s="24" t="s">
        <v>2064</v>
      </c>
      <c r="C8363" s="25">
        <v>22966500</v>
      </c>
      <c r="D8363" s="22" t="s">
        <v>12259</v>
      </c>
      <c r="E8363" s="22" t="s">
        <v>573</v>
      </c>
      <c r="F8363" s="23" t="str">
        <f>HYPERLINK("https://www.spark-marketing.ru/Card/Lot/72688594", "оказание комплекса услуг по организации питания для нужд «Гостиница «Cлавянка» - филиал открытого акционерного общества «Гостиничный комплекс «Славянка»")</f>
        <v>оказание комплекса услуг по организации питания для нужд «Гостиница «Cлавянка» - филиал открытого акционерного общества «Гостиничный комплекс «Славянка»</v>
      </c>
      <c r="G8363" s="22" t="s">
        <v>56</v>
      </c>
      <c r="H8363" s="22" t="s">
        <v>56</v>
      </c>
      <c r="I8363" s="26">
        <v>43685</v>
      </c>
      <c r="J8363" s="28" t="s">
        <v>51</v>
      </c>
      <c r="K8363" s="28" t="s">
        <v>51</v>
      </c>
      <c r="L8363" s="22" t="s">
        <v>10</v>
      </c>
      <c r="M8363" s="25">
        <v>22966500</v>
      </c>
      <c r="N8363" s="27">
        <v>0</v>
      </c>
    </row>
    <row r="8364" spans="1:14" x14ac:dyDescent="0.2">
      <c r="A8364" s="23" t="str">
        <f>HYPERLINK("https://www.spark-marketing.ru/Card/Person/4372034", "МАОУ СОШ № 1")</f>
        <v>МАОУ СОШ № 1</v>
      </c>
      <c r="B8364" s="24" t="s">
        <v>12260</v>
      </c>
      <c r="C8364" s="25">
        <v>2710125</v>
      </c>
      <c r="D8364" s="22" t="s">
        <v>12261</v>
      </c>
      <c r="E8364" s="22" t="s">
        <v>2217</v>
      </c>
      <c r="F8364" s="23" t="str">
        <f>HYPERLINK("https://www.spark-marketing.ru/Card/Lot/72681944", "Оказание услуг по организации питания учащихся")</f>
        <v>Оказание услуг по организации питания учащихся</v>
      </c>
      <c r="G8364" s="22" t="s">
        <v>174</v>
      </c>
      <c r="H8364" s="22" t="s">
        <v>174</v>
      </c>
      <c r="I8364" s="26">
        <v>43685</v>
      </c>
      <c r="J8364" s="28" t="s">
        <v>51</v>
      </c>
      <c r="K8364" s="28" t="s">
        <v>51</v>
      </c>
      <c r="L8364" s="22" t="s">
        <v>10</v>
      </c>
      <c r="M8364" s="25">
        <v>2710125</v>
      </c>
      <c r="N8364" s="27">
        <v>0</v>
      </c>
    </row>
    <row r="8365" spans="1:14" x14ac:dyDescent="0.2">
      <c r="A8365" s="23" t="str">
        <f>HYPERLINK("https://www.spark-marketing.ru/Card/Person/1337503", "ГАУ МО ""ЦСП №1""")</f>
        <v>ГАУ МО "ЦСП №1"</v>
      </c>
      <c r="B8365" s="24" t="s">
        <v>8679</v>
      </c>
      <c r="C8365" s="25">
        <v>214400</v>
      </c>
      <c r="D8365" s="22" t="s">
        <v>12262</v>
      </c>
      <c r="E8365" s="22" t="s">
        <v>769</v>
      </c>
      <c r="F8365" s="23" t="str">
        <f>HYPERLINK("https://www.spark-marketing.ru/Card/Lot/72676002", "Оказание услуг, связанных с организацией участия в спортивных мероприятиях (питание и проживание в рамках проведения Чемпионата России по водному поло во втором полугодии 2019 года)")</f>
        <v>Оказание услуг, связанных с организацией участия в спортивных мероприятиях (питание и проживание в рамках проведения Чемпионата России по водному поло во втором полугодии 2019 года)</v>
      </c>
      <c r="G8365" s="22" t="s">
        <v>49</v>
      </c>
      <c r="H8365" s="22" t="s">
        <v>2874</v>
      </c>
      <c r="I8365" s="26">
        <v>43685</v>
      </c>
      <c r="J8365" s="28" t="s">
        <v>51</v>
      </c>
      <c r="K8365" s="28" t="s">
        <v>51</v>
      </c>
      <c r="L8365" s="28" t="s">
        <v>51</v>
      </c>
      <c r="M8365" s="25">
        <v>214399.9</v>
      </c>
      <c r="N8365" s="27">
        <v>4.6641791044776121E-7</v>
      </c>
    </row>
    <row r="8366" spans="1:14" x14ac:dyDescent="0.2">
      <c r="A8366" s="23" t="str">
        <f>HYPERLINK("https://www.spark-marketing.ru/Card/Person/794870", "МАОУ ""ГУМАНИТАРНЫЙ ЛИЦЕЙ""")</f>
        <v>МАОУ "ГУМАНИТАРНЫЙ ЛИЦЕЙ"</v>
      </c>
      <c r="B8366" s="24" t="s">
        <v>12263</v>
      </c>
      <c r="C8366" s="25">
        <v>5092261</v>
      </c>
      <c r="D8366" s="22" t="s">
        <v>12264</v>
      </c>
      <c r="E8366" s="22" t="s">
        <v>362</v>
      </c>
      <c r="F8366" s="23" t="str">
        <f>HYPERLINK("https://www.spark-marketing.ru/Card/Lot/72670486", "услуги общественного питания")</f>
        <v>услуги общественного питания</v>
      </c>
      <c r="G8366" s="22" t="s">
        <v>415</v>
      </c>
      <c r="H8366" s="22" t="s">
        <v>415</v>
      </c>
      <c r="I8366" s="26">
        <v>43685</v>
      </c>
      <c r="J8366" s="28" t="s">
        <v>51</v>
      </c>
      <c r="K8366" s="28" t="s">
        <v>51</v>
      </c>
      <c r="L8366" s="22" t="s">
        <v>10</v>
      </c>
      <c r="M8366" s="25">
        <v>4583035</v>
      </c>
      <c r="N8366" s="27">
        <v>9.9999980362357702E-2</v>
      </c>
    </row>
    <row r="8367" spans="1:14" x14ac:dyDescent="0.2">
      <c r="A8367" s="23" t="str">
        <f>HYPERLINK("https://www.spark-marketing.ru/Card/Person/4414989", "МАОУ СОШ № 1 Г. ИВДЕЛЯ")</f>
        <v>МАОУ СОШ № 1 Г. ИВДЕЛЯ</v>
      </c>
      <c r="B8367" s="24" t="s">
        <v>12265</v>
      </c>
      <c r="C8367" s="25">
        <v>1760222.4</v>
      </c>
      <c r="D8367" s="22" t="s">
        <v>12266</v>
      </c>
      <c r="E8367" s="22" t="s">
        <v>362</v>
      </c>
      <c r="F8367" s="23" t="str">
        <f>HYPERLINK("https://www.spark-marketing.ru/Card/Lot/72676296", "Оказание услуги по обеспечению горячим питанием учащихся")</f>
        <v>Оказание услуги по обеспечению горячим питанием учащихся</v>
      </c>
      <c r="G8367" s="22" t="s">
        <v>174</v>
      </c>
      <c r="H8367" s="22" t="s">
        <v>9181</v>
      </c>
      <c r="I8367" s="26">
        <v>43685</v>
      </c>
      <c r="J8367" s="28" t="s">
        <v>51</v>
      </c>
      <c r="K8367" s="28" t="s">
        <v>51</v>
      </c>
      <c r="L8367" s="22" t="s">
        <v>10</v>
      </c>
      <c r="M8367" s="25">
        <v>1760222.4</v>
      </c>
      <c r="N8367" s="27">
        <v>0</v>
      </c>
    </row>
    <row r="8368" spans="1:14" x14ac:dyDescent="0.15">
      <c r="A8368" s="23" t="str">
        <f>HYPERLINK("https://www.spark-marketing.ru/Card/Person/50743", "МП ""ДЕТСКОЕ ПИТАНИЕ""")</f>
        <v>МП "ДЕТСКОЕ ПИТАНИЕ"</v>
      </c>
      <c r="B8368" s="24" t="s">
        <v>1562</v>
      </c>
      <c r="C8368" s="25">
        <v>1085000</v>
      </c>
      <c r="D8368" s="22" t="s">
        <v>12254</v>
      </c>
      <c r="E8368" s="22" t="s">
        <v>12267</v>
      </c>
      <c r="F8368" s="23" t="str">
        <f>HYPERLINK("https://www.spark-marketing.ru/Card/Lot/72676277", "Поставка горбуши (для оказания услуг по предоставлению питания школьникам).")</f>
        <v>Поставка горбуши (для оказания услуг по предоставлению питания школьникам).</v>
      </c>
      <c r="G8368" s="22" t="s">
        <v>1522</v>
      </c>
      <c r="H8368" s="22" t="s">
        <v>1522</v>
      </c>
      <c r="I8368" s="26">
        <v>43685</v>
      </c>
      <c r="J8368" s="28" t="s">
        <v>51</v>
      </c>
      <c r="K8368" s="28" t="s">
        <v>51</v>
      </c>
      <c r="L8368" s="28" t="s">
        <v>51</v>
      </c>
      <c r="M8368" s="28" t="s">
        <v>51</v>
      </c>
      <c r="N8368" s="28" t="s">
        <v>51</v>
      </c>
    </row>
    <row r="8369" spans="1:14" x14ac:dyDescent="0.2">
      <c r="A8369" s="23" t="str">
        <f>HYPERLINK("https://www.spark-marketing.ru/Card/Person/1323082", "МАОУ СОШ № 24")</f>
        <v>МАОУ СОШ № 24</v>
      </c>
      <c r="B8369" s="24" t="s">
        <v>12268</v>
      </c>
      <c r="C8369" s="25">
        <v>2779280</v>
      </c>
      <c r="D8369" s="22" t="s">
        <v>12269</v>
      </c>
      <c r="E8369" s="22" t="s">
        <v>1764</v>
      </c>
      <c r="F8369" s="23" t="str">
        <f>HYPERLINK("https://www.spark-marketing.ru/Card/Lot/72687681", "Оказание услуг по организации питания обучающихся")</f>
        <v>Оказание услуг по организации питания обучающихся</v>
      </c>
      <c r="G8369" s="22" t="s">
        <v>1370</v>
      </c>
      <c r="H8369" s="22" t="s">
        <v>1370</v>
      </c>
      <c r="I8369" s="26">
        <v>43685</v>
      </c>
      <c r="J8369" s="28" t="s">
        <v>51</v>
      </c>
      <c r="K8369" s="28" t="s">
        <v>51</v>
      </c>
      <c r="L8369" s="22" t="s">
        <v>10</v>
      </c>
      <c r="M8369" s="25">
        <v>2779280</v>
      </c>
      <c r="N8369" s="27">
        <v>0</v>
      </c>
    </row>
    <row r="8370" spans="1:14" x14ac:dyDescent="0.2">
      <c r="A8370" s="23" t="str">
        <f>HYPERLINK("https://www.spark-marketing.ru/Card/Person/4874743", "ГАУ ВО ""СК ""РОТОР""")</f>
        <v>ГАУ ВО "СК "РОТОР"</v>
      </c>
      <c r="B8370" s="24" t="s">
        <v>1208</v>
      </c>
      <c r="C8370" s="25">
        <v>358200</v>
      </c>
      <c r="D8370" s="22" t="s">
        <v>12270</v>
      </c>
      <c r="E8370" s="22" t="s">
        <v>769</v>
      </c>
      <c r="F8370" s="23" t="str">
        <f>HYPERLINK("https://www.spark-marketing.ru/Card/Lot/72685490", "Услуги по организации проживания и питания в отеле «Courtyard by Marriott» для футбольной команды «Ротор», в период с 13 августа 2019 года по 15 августа 2019 года в городе Казань")</f>
        <v>Услуги по организации проживания и питания в отеле «Courtyard by Marriott» для футбольной команды «Ротор», в период с 13 августа 2019 года по 15 августа 2019 года в городе Казань</v>
      </c>
      <c r="G8370" s="22" t="s">
        <v>217</v>
      </c>
      <c r="H8370" s="22" t="s">
        <v>217</v>
      </c>
      <c r="I8370" s="26">
        <v>43685</v>
      </c>
      <c r="J8370" s="28" t="s">
        <v>51</v>
      </c>
      <c r="K8370" s="28" t="s">
        <v>51</v>
      </c>
      <c r="L8370" s="28" t="s">
        <v>51</v>
      </c>
      <c r="M8370" s="25">
        <v>358200</v>
      </c>
      <c r="N8370" s="27">
        <v>0</v>
      </c>
    </row>
    <row r="8371" spans="1:14" x14ac:dyDescent="0.2">
      <c r="A8371" s="23" t="str">
        <f>HYPERLINK("https://www.spark-marketing.ru/Card/Person/761", "ФГУП ""ВИАМ""")</f>
        <v>ФГУП "ВИАМ"</v>
      </c>
      <c r="B8371" s="24" t="s">
        <v>12271</v>
      </c>
      <c r="C8371" s="25">
        <v>112378</v>
      </c>
      <c r="D8371" s="22" t="s">
        <v>12272</v>
      </c>
      <c r="E8371" s="22" t="s">
        <v>12273</v>
      </c>
      <c r="F8371" s="23" t="str">
        <f>HYPERLINK("https://www.spark-marketing.ru/Card/Lot/72687603", "Оказание услуг по ремонту масс-спектрометра с индуктивно связанной плазмой iCAPQ (инв.№ 43018228) в части замены блока питания ВЧ-генератора и комплекта фильтров помех с крепежом.")</f>
        <v>Оказание услуг по ремонту масс-спектрометра с индуктивно связанной плазмой iCAPQ (инв.№ 43018228) в части замены блока питания ВЧ-генератора и комплекта фильтров помех с крепежом.</v>
      </c>
      <c r="G8371" s="22" t="s">
        <v>56</v>
      </c>
      <c r="H8371" s="22" t="s">
        <v>56</v>
      </c>
      <c r="I8371" s="26">
        <v>43685</v>
      </c>
      <c r="J8371" s="28" t="s">
        <v>51</v>
      </c>
      <c r="K8371" s="28" t="s">
        <v>51</v>
      </c>
      <c r="L8371" s="22" t="s">
        <v>10</v>
      </c>
      <c r="M8371" s="25">
        <v>112378</v>
      </c>
      <c r="N8371" s="27">
        <v>0</v>
      </c>
    </row>
    <row r="8372" spans="1:14" x14ac:dyDescent="0.15">
      <c r="A8372" s="23" t="str">
        <f>HYPERLINK("https://www.spark-marketing.ru/Card/Person/72890", "ГУП РК ""КАРЕЛФАРМ""")</f>
        <v>ГУП РК "КАРЕЛФАРМ"</v>
      </c>
      <c r="B8372" s="24" t="s">
        <v>1668</v>
      </c>
      <c r="C8372" s="25">
        <v>258168.95999999999</v>
      </c>
      <c r="D8372" s="22" t="s">
        <v>12274</v>
      </c>
      <c r="E8372" s="22" t="s">
        <v>3561</v>
      </c>
      <c r="F8372" s="23" t="str">
        <f>HYPERLINK("https://www.spark-marketing.ru/Card/Lot/72666784", "оказание услуг по приемке, хранению, комплектованию, доставке, отпуску и учёту лекарственных препаратов, изделий медицинского назначения и специализированных продуктов лечебного питания, приобретаемых за счет средств бюджета Республики Карелия для об...")</f>
        <v>оказание услуг по приемке, хранению, комплектованию, доставке, отпуску и учёту лекарственных препаратов, изделий медицинского назначения и специализированных продуктов лечебного питания, приобретаемых за счет средств бюджета Республики Карелия для об...</v>
      </c>
      <c r="G8372" s="22" t="s">
        <v>59</v>
      </c>
      <c r="H8372" s="22" t="s">
        <v>59</v>
      </c>
      <c r="I8372" s="26">
        <v>43685</v>
      </c>
      <c r="J8372" s="28" t="s">
        <v>51</v>
      </c>
      <c r="K8372" s="28" t="s">
        <v>51</v>
      </c>
      <c r="L8372" s="28" t="s">
        <v>51</v>
      </c>
      <c r="M8372" s="28" t="s">
        <v>51</v>
      </c>
      <c r="N8372" s="28" t="s">
        <v>51</v>
      </c>
    </row>
    <row r="8373" spans="1:14" x14ac:dyDescent="0.15">
      <c r="A8373" s="23" t="str">
        <f>HYPERLINK("https://www.spark-marketing.ru/Card/Person/1323082", "МАОУ СОШ № 24")</f>
        <v>МАОУ СОШ № 24</v>
      </c>
      <c r="B8373" s="24" t="s">
        <v>12268</v>
      </c>
      <c r="C8373" s="25">
        <v>2779280</v>
      </c>
      <c r="D8373" s="22" t="s">
        <v>12275</v>
      </c>
      <c r="E8373" s="22" t="s">
        <v>1764</v>
      </c>
      <c r="F8373" s="23" t="str">
        <f>HYPERLINK("https://www.spark-marketing.ru/Card/Lot/72676221", "Оказание услуг питания")</f>
        <v>Оказание услуг питания</v>
      </c>
      <c r="G8373" s="22" t="s">
        <v>1370</v>
      </c>
      <c r="H8373" s="22" t="s">
        <v>1370</v>
      </c>
      <c r="I8373" s="26">
        <v>43685</v>
      </c>
      <c r="J8373" s="28" t="s">
        <v>51</v>
      </c>
      <c r="K8373" s="28" t="s">
        <v>51</v>
      </c>
      <c r="L8373" s="28" t="s">
        <v>51</v>
      </c>
      <c r="M8373" s="28" t="s">
        <v>51</v>
      </c>
      <c r="N8373" s="28" t="s">
        <v>51</v>
      </c>
    </row>
    <row r="8374" spans="1:14" x14ac:dyDescent="0.2">
      <c r="A8374" s="23" t="str">
        <f>HYPERLINK("https://www.spark-marketing.ru/Card/Person/58881", "ФГБОУ ВО ""ТАМБОВСКИЙ ГОСУДАРСТВЕННЫЙ УНИВЕРСИТЕТ ИМЕНИ Г.Р. ДЕРЖАВИНА"", ТГУ ИМ. Г.Р. ДЕРЖАВИНА")</f>
        <v>ФГБОУ ВО "ТАМБОВСКИЙ ГОСУДАРСТВЕННЫЙ УНИВЕРСИТЕТ ИМЕНИ Г.Р. ДЕРЖАВИНА", ТГУ ИМ. Г.Р. ДЕРЖАВИНА</v>
      </c>
      <c r="B8374" s="24" t="s">
        <v>1476</v>
      </c>
      <c r="C8374" s="25">
        <v>1900000</v>
      </c>
      <c r="D8374" s="22" t="s">
        <v>12276</v>
      </c>
      <c r="E8374" s="22" t="s">
        <v>580</v>
      </c>
      <c r="F8374" s="23" t="str">
        <f>HYPERLINK("https://www.spark-marketing.ru/Card/Lot/72677202", "Оказание услуг по организации питания в рамках текущей деятельности")</f>
        <v>Оказание услуг по организации питания в рамках текущей деятельности</v>
      </c>
      <c r="G8374" s="22" t="s">
        <v>1370</v>
      </c>
      <c r="H8374" s="22" t="s">
        <v>1370</v>
      </c>
      <c r="I8374" s="26">
        <v>43685</v>
      </c>
      <c r="J8374" s="28" t="s">
        <v>51</v>
      </c>
      <c r="K8374" s="28" t="s">
        <v>51</v>
      </c>
      <c r="L8374" s="22" t="s">
        <v>10</v>
      </c>
      <c r="M8374" s="25">
        <v>1900000</v>
      </c>
      <c r="N8374" s="27">
        <v>0</v>
      </c>
    </row>
    <row r="8375" spans="1:14" x14ac:dyDescent="0.2">
      <c r="A8375" s="23" t="str">
        <f>HYPERLINK("https://www.spark-marketing.ru/Card/Person/35401", "ПАО МГТС")</f>
        <v>ПАО МГТС</v>
      </c>
      <c r="B8375" s="24" t="s">
        <v>12244</v>
      </c>
      <c r="C8375" s="25">
        <v>3951219.69</v>
      </c>
      <c r="D8375" s="22" t="s">
        <v>12245</v>
      </c>
      <c r="E8375" s="22" t="s">
        <v>12277</v>
      </c>
      <c r="F8375" s="23" t="str">
        <f>HYPERLINK("https://www.spark-marketing.ru/Card/Lot/72681470", "1073-2019-Оказание услуг по подготовке и организации обслуживания питания отдыхающих в пансионате «ИСКРА» (филиал ПАО МГТС) и ДОЛ «Искра» (детский оздоровительный лагерь ПАО МГТС) в период с 01.09.2019г. по 28.02.2021 года (стандарт) (ЛОТ 1)")</f>
        <v>1073-2019-Оказание услуг по подготовке и организации обслуживания питания отдыхающих в пансионате «ИСКРА» (филиал ПАО МГТС) и ДОЛ «Искра» (детский оздоровительный лагерь ПАО МГТС) в период с 01.09.2019г. по 28.02.2021 года (стандарт) (ЛОТ 1)</v>
      </c>
      <c r="G8375" s="22" t="s">
        <v>56</v>
      </c>
      <c r="H8375" s="22" t="s">
        <v>56</v>
      </c>
      <c r="I8375" s="26">
        <v>43685</v>
      </c>
      <c r="J8375" s="28" t="s">
        <v>51</v>
      </c>
      <c r="K8375" s="28" t="s">
        <v>51</v>
      </c>
      <c r="L8375" s="22" t="s">
        <v>10</v>
      </c>
      <c r="M8375" s="25">
        <v>3951219.69</v>
      </c>
      <c r="N8375" s="27">
        <v>0</v>
      </c>
    </row>
    <row r="8376" spans="1:14" x14ac:dyDescent="0.15">
      <c r="A8376" s="23" t="str">
        <f>HYPERLINK("https://www.spark-marketing.ru/Card/Person/765809", "МАУЗ ""САНАТОРИЙ ""ЗАРЕЧЬЕ""")</f>
        <v>МАУЗ "САНАТОРИЙ "ЗАРЕЧЬЕ"</v>
      </c>
      <c r="B8376" s="24" t="s">
        <v>12278</v>
      </c>
      <c r="C8376" s="25">
        <v>706138.56</v>
      </c>
      <c r="D8376" s="22" t="s">
        <v>12279</v>
      </c>
      <c r="E8376" s="22" t="s">
        <v>362</v>
      </c>
      <c r="F8376" s="23" t="str">
        <f>HYPERLINK("https://www.spark-marketing.ru/Card/Lot/72668187", "оказание услуг по организации питания")</f>
        <v>оказание услуг по организации питания</v>
      </c>
      <c r="G8376" s="22" t="s">
        <v>72</v>
      </c>
      <c r="H8376" s="22" t="s">
        <v>72</v>
      </c>
      <c r="I8376" s="26">
        <v>43685</v>
      </c>
      <c r="J8376" s="28" t="s">
        <v>51</v>
      </c>
      <c r="K8376" s="28" t="s">
        <v>51</v>
      </c>
      <c r="L8376" s="28" t="s">
        <v>51</v>
      </c>
      <c r="M8376" s="28" t="s">
        <v>51</v>
      </c>
      <c r="N8376" s="28" t="s">
        <v>51</v>
      </c>
    </row>
    <row r="8377" spans="1:14" x14ac:dyDescent="0.15">
      <c r="A8377" s="23" t="str">
        <f>HYPERLINK("https://www.spark-marketing.ru/Card/Person/143985", "ГАОУ ДПО МЦРКПО")</f>
        <v>ГАОУ ДПО МЦРКПО</v>
      </c>
      <c r="B8377" s="24" t="s">
        <v>12280</v>
      </c>
      <c r="C8377" s="25">
        <v>838000</v>
      </c>
      <c r="D8377" s="22" t="s">
        <v>12281</v>
      </c>
      <c r="E8377" s="22" t="s">
        <v>362</v>
      </c>
      <c r="F8377" s="23" t="str">
        <f>HYPERLINK("https://www.spark-marketing.ru/Card/Lot/72682622", "Оказание услуг по организации питания для городских и региональных мероприятий ГАОУ ДПО МЦРКПО")</f>
        <v>Оказание услуг по организации питания для городских и региональных мероприятий ГАОУ ДПО МЦРКПО</v>
      </c>
      <c r="G8377" s="22" t="s">
        <v>56</v>
      </c>
      <c r="H8377" s="22" t="s">
        <v>56</v>
      </c>
      <c r="I8377" s="26">
        <v>43685</v>
      </c>
      <c r="J8377" s="28" t="s">
        <v>51</v>
      </c>
      <c r="K8377" s="28" t="s">
        <v>51</v>
      </c>
      <c r="L8377" s="28" t="s">
        <v>51</v>
      </c>
      <c r="M8377" s="28" t="s">
        <v>51</v>
      </c>
      <c r="N8377" s="28" t="s">
        <v>51</v>
      </c>
    </row>
    <row r="8378" spans="1:14" x14ac:dyDescent="0.15">
      <c r="A8378" s="23" t="str">
        <f>HYPERLINK("https://www.spark-marketing.ru/Card/Person/5861824", "УПРАВЛЕНИЕ РОСГВАРДИИ ПО ЗАБАЙКАЛЬСКОМУ КРАЮ")</f>
        <v>УПРАВЛЕНИЕ РОСГВАРДИИ ПО ЗАБАЙКАЛЬСКОМУ КРАЮ</v>
      </c>
      <c r="B8378" s="24" t="s">
        <v>12282</v>
      </c>
      <c r="C8378" s="25">
        <v>148000</v>
      </c>
      <c r="D8378" s="22" t="s">
        <v>12283</v>
      </c>
      <c r="E8378" s="22" t="s">
        <v>48</v>
      </c>
      <c r="F8378" s="23" t="str">
        <f>HYPERLINK("https://www.spark-marketing.ru/Card/Lot/72661551", "Услуги горячего питания по норме № 1")</f>
        <v>Услуги горячего питания по норме № 1</v>
      </c>
      <c r="G8378" s="22" t="s">
        <v>228</v>
      </c>
      <c r="H8378" s="22" t="s">
        <v>228</v>
      </c>
      <c r="I8378" s="26">
        <v>43684.957407407397</v>
      </c>
      <c r="J8378" s="23" t="str">
        <f>HYPERLINK("https://www.spark-marketing.ru/Card/Person/1673855", "ООО ""ЧИТАСТРОЙ""")</f>
        <v>ООО "ЧИТАСТРОЙ"</v>
      </c>
      <c r="K8378" s="24" t="s">
        <v>10509</v>
      </c>
      <c r="L8378" s="22" t="s">
        <v>10</v>
      </c>
      <c r="M8378" s="28" t="s">
        <v>51</v>
      </c>
      <c r="N8378" s="28" t="s">
        <v>51</v>
      </c>
    </row>
    <row r="8379" spans="1:14" x14ac:dyDescent="0.15">
      <c r="A8379" s="23" t="str">
        <f>HYPERLINK("https://www.spark-marketing.ru/Card/Person/82468", "ФГБОУ ВО МГППУ, ФГБОУ ВО ""МОСКОВСКИЙ ГОСУДАРСТВЕННЫЙ ПСИХОЛОГО-ПЕДАГОГИЧЕСКИЙ УНИВЕРСИТЕТ""")</f>
        <v>ФГБОУ ВО МГППУ, ФГБОУ ВО "МОСКОВСКИЙ ГОСУДАРСТВЕННЫЙ ПСИХОЛОГО-ПЕДАГОГИЧЕСКИЙ УНИВЕРСИТЕТ"</v>
      </c>
      <c r="B8379" s="24" t="s">
        <v>12284</v>
      </c>
      <c r="C8379" s="25">
        <v>5709360.04</v>
      </c>
      <c r="D8379" s="22" t="s">
        <v>12285</v>
      </c>
      <c r="E8379" s="22" t="s">
        <v>48</v>
      </c>
      <c r="F8379" s="23" t="str">
        <f>HYPERLINK("https://www.spark-marketing.ru/Card/Lot/72668010", "Оказание услуг по организации питания и обеспечения питьевого режима обучающихся ФГБОУ ВО МГППУ")</f>
        <v>Оказание услуг по организации питания и обеспечения питьевого режима обучающихся ФГБОУ ВО МГППУ</v>
      </c>
      <c r="G8379" s="22" t="s">
        <v>56</v>
      </c>
      <c r="H8379" s="22" t="s">
        <v>56</v>
      </c>
      <c r="I8379" s="26">
        <v>43684.863287036998</v>
      </c>
      <c r="J8379" s="28" t="s">
        <v>51</v>
      </c>
      <c r="K8379" s="28" t="s">
        <v>51</v>
      </c>
      <c r="L8379" s="28" t="s">
        <v>51</v>
      </c>
      <c r="M8379" s="28" t="s">
        <v>51</v>
      </c>
      <c r="N8379" s="28" t="s">
        <v>51</v>
      </c>
    </row>
    <row r="8380" spans="1:14" ht="12.75" hidden="1" outlineLevel="1" x14ac:dyDescent="0.2">
      <c r="A8380" s="23" t="str">
        <f>HYPERLINK("https://www.spark-marketing.ru/Card/Person/82468", "ФГБОУ ВО МГППУ, ФГБОУ ВО ""МОСКОВСКИЙ ГОСУДАРСТВЕННЫЙ ПСИХОЛОГО-ПЕДАГОГИЧЕСКИЙ УНИВЕРСИТЕТ""")</f>
        <v>ФГБОУ ВО МГППУ, ФГБОУ ВО "МОСКОВСКИЙ ГОСУДАРСТВЕННЫЙ ПСИХОЛОГО-ПЕДАГОГИЧЕСКИЙ УНИВЕРСИТЕТ"</v>
      </c>
      <c r="B8380" s="24" t="s">
        <v>12284</v>
      </c>
      <c r="C8380" s="25">
        <v>5709360.04</v>
      </c>
      <c r="D8380" s="22" t="s">
        <v>12285</v>
      </c>
      <c r="E8380" s="22" t="s">
        <v>48</v>
      </c>
      <c r="F8380" s="23" t="str">
        <f>HYPERLINK("https://www.spark-marketing.ru/Card/Lot/72668010", "Оказание услуг по организации питания и обеспечения питьевого режима обучающихся ФГБОУ ВО МГППУ")</f>
        <v>Оказание услуг по организации питания и обеспечения питьевого режима обучающихся ФГБОУ ВО МГППУ</v>
      </c>
      <c r="G8380" s="22" t="s">
        <v>56</v>
      </c>
      <c r="H8380" s="22" t="s">
        <v>56</v>
      </c>
      <c r="I8380" s="26">
        <v>43684.863287036998</v>
      </c>
      <c r="J8380" s="23" t="str">
        <f>HYPERLINK("https://www.spark-marketing.ru/Card/Person/4350438", "ООО ""ВЕРОНА""")</f>
        <v>ООО "ВЕРОНА"</v>
      </c>
      <c r="K8380" s="24" t="s">
        <v>12286</v>
      </c>
      <c r="L8380" s="22" t="s">
        <v>10</v>
      </c>
      <c r="M8380" s="25">
        <v>918.38</v>
      </c>
      <c r="N8380" s="27">
        <v>0.99983914484398151</v>
      </c>
    </row>
    <row r="8381" spans="1:14" hidden="1" outlineLevel="1" x14ac:dyDescent="0.2">
      <c r="A8381" s="23" t="str">
        <f>HYPERLINK("https://www.spark-marketing.ru/Card/Person/82468", "ФГБОУ ВО МГППУ, ФГБОУ ВО ""МОСКОВСКИЙ ГОСУДАРСТВЕННЫЙ ПСИХОЛОГО-ПЕДАГОГИЧЕСКИЙ УНИВЕРСИТЕТ""")</f>
        <v>ФГБОУ ВО МГППУ, ФГБОУ ВО "МОСКОВСКИЙ ГОСУДАРСТВЕННЫЙ ПСИХОЛОГО-ПЕДАГОГИЧЕСКИЙ УНИВЕРСИТЕТ"</v>
      </c>
      <c r="B8381" s="24" t="s">
        <v>12284</v>
      </c>
      <c r="C8381" s="25">
        <v>5709360.04</v>
      </c>
      <c r="D8381" s="22" t="s">
        <v>12285</v>
      </c>
      <c r="E8381" s="22" t="s">
        <v>48</v>
      </c>
      <c r="F8381" s="23" t="str">
        <f>HYPERLINK("https://www.spark-marketing.ru/Card/Lot/72668010", "Оказание услуг по организации питания и обеспечения питьевого режима обучающихся ФГБОУ ВО МГППУ")</f>
        <v>Оказание услуг по организации питания и обеспечения питьевого режима обучающихся ФГБОУ ВО МГППУ</v>
      </c>
      <c r="G8381" s="22" t="s">
        <v>56</v>
      </c>
      <c r="H8381" s="22" t="s">
        <v>56</v>
      </c>
      <c r="I8381" s="26">
        <v>43684.863287036998</v>
      </c>
      <c r="J8381" s="23" t="str">
        <f>HYPERLINK("https://www.spark-marketing.ru/Card/Person/2042423", "ООО ""ТФ ПРОДЖЕКТ""")</f>
        <v>ООО "ТФ ПРОДЖЕКТ"</v>
      </c>
      <c r="K8381" s="24" t="s">
        <v>9610</v>
      </c>
      <c r="L8381" s="28" t="s">
        <v>51</v>
      </c>
      <c r="M8381" s="25">
        <v>923.46</v>
      </c>
      <c r="N8381" s="27">
        <v>0.99983825507700863</v>
      </c>
    </row>
    <row r="8382" spans="1:14" hidden="1" outlineLevel="1" x14ac:dyDescent="0.2">
      <c r="A8382" s="23" t="str">
        <f>HYPERLINK("https://www.spark-marketing.ru/Card/Person/82468", "ФГБОУ ВО МГППУ, ФГБОУ ВО ""МОСКОВСКИЙ ГОСУДАРСТВЕННЫЙ ПСИХОЛОГО-ПЕДАГОГИЧЕСКИЙ УНИВЕРСИТЕТ""")</f>
        <v>ФГБОУ ВО МГППУ, ФГБОУ ВО "МОСКОВСКИЙ ГОСУДАРСТВЕННЫЙ ПСИХОЛОГО-ПЕДАГОГИЧЕСКИЙ УНИВЕРСИТЕТ"</v>
      </c>
      <c r="B8382" s="24" t="s">
        <v>12284</v>
      </c>
      <c r="C8382" s="25">
        <v>5709360.04</v>
      </c>
      <c r="D8382" s="22" t="s">
        <v>12285</v>
      </c>
      <c r="E8382" s="22" t="s">
        <v>48</v>
      </c>
      <c r="F8382" s="23" t="str">
        <f>HYPERLINK("https://www.spark-marketing.ru/Card/Lot/72668010", "Оказание услуг по организации питания и обеспечения питьевого режима обучающихся ФГБОУ ВО МГППУ")</f>
        <v>Оказание услуг по организации питания и обеспечения питьевого режима обучающихся ФГБОУ ВО МГППУ</v>
      </c>
      <c r="G8382" s="22" t="s">
        <v>56</v>
      </c>
      <c r="H8382" s="22" t="s">
        <v>56</v>
      </c>
      <c r="I8382" s="26">
        <v>43684.863287036998</v>
      </c>
      <c r="J8382" s="23" t="str">
        <f>HYPERLINK("https://www.spark-marketing.ru/Card/Person/4684100", "ООО ""ТЕХНОЛОГИИ ВКУСА""")</f>
        <v>ООО "ТЕХНОЛОГИИ ВКУСА"</v>
      </c>
      <c r="K8382" s="24" t="s">
        <v>9609</v>
      </c>
      <c r="L8382" s="28" t="s">
        <v>51</v>
      </c>
      <c r="M8382" s="25">
        <v>994.5</v>
      </c>
      <c r="N8382" s="27">
        <v>0.99982581235146628</v>
      </c>
    </row>
    <row r="8383" spans="1:14" x14ac:dyDescent="0.15">
      <c r="A8383" s="23" t="str">
        <f>HYPERLINK("https://www.spark-marketing.ru/Card/Person/4343599", "МИНЗДРАВ РО")</f>
        <v>МИНЗДРАВ РО</v>
      </c>
      <c r="B8383" s="24" t="s">
        <v>12287</v>
      </c>
      <c r="C8383" s="25">
        <v>89902097</v>
      </c>
      <c r="D8383" s="22" t="s">
        <v>12288</v>
      </c>
      <c r="E8383" s="22" t="s">
        <v>86</v>
      </c>
      <c r="F8383" s="23" t="str">
        <f>HYPERLINK("https://www.spark-marketing.ru/Card/Lot/72668009", "Оказание услуг по обеспечению  граждан, проживающих на территории Ростовской области и имеющих право на получение государственной социальной помощи в соответствии со ст.6.2. Федерального закона от 17.07.1999 № 178-ФЗ «О государственной социальной пом...")</f>
        <v>Оказание услуг по обеспечению  граждан, проживающих на территории Ростовской области и имеющих право на получение государственной социальной помощи в соответствии со ст.6.2. Федерального закона от 17.07.1999 № 178-ФЗ «О государственной социальной пом...</v>
      </c>
      <c r="G8383" s="22" t="s">
        <v>267</v>
      </c>
      <c r="H8383" s="22" t="s">
        <v>267</v>
      </c>
      <c r="I8383" s="26">
        <v>43684.831006944398</v>
      </c>
      <c r="J8383" s="23" t="str">
        <f>HYPERLINK("https://www.spark-marketing.ru/Card/Person/51768", "ОАО ""ФАРМАЦИЯ""")</f>
        <v>ОАО "ФАРМАЦИЯ"</v>
      </c>
      <c r="K8383" s="24" t="s">
        <v>12289</v>
      </c>
      <c r="L8383" s="22" t="s">
        <v>10</v>
      </c>
      <c r="M8383" s="28" t="s">
        <v>51</v>
      </c>
      <c r="N8383" s="28" t="s">
        <v>51</v>
      </c>
    </row>
    <row r="8384" spans="1:14" x14ac:dyDescent="0.15">
      <c r="A8384" s="23" t="str">
        <f>HYPERLINK("https://www.spark-marketing.ru/Card/Person/1042165", "ГБОУ СО «ШКОЛА АОП № 6 Г.САРАТОВА»")</f>
        <v>ГБОУ СО «ШКОЛА АОП № 6 Г.САРАТОВА»</v>
      </c>
      <c r="B8384" s="24" t="s">
        <v>12290</v>
      </c>
      <c r="C8384" s="25">
        <v>960798</v>
      </c>
      <c r="D8384" s="22" t="s">
        <v>12291</v>
      </c>
      <c r="E8384" s="22" t="s">
        <v>48</v>
      </c>
      <c r="F8384" s="23" t="str">
        <f>HYPERLINK("https://www.spark-marketing.ru/Card/Lot/72659672", "Оказание услуг по организации горячего питания")</f>
        <v>Оказание услуг по организации горячего питания</v>
      </c>
      <c r="G8384" s="22" t="s">
        <v>351</v>
      </c>
      <c r="H8384" s="22" t="s">
        <v>2983</v>
      </c>
      <c r="I8384" s="26">
        <v>43684.763414351903</v>
      </c>
      <c r="J8384" s="28" t="s">
        <v>51</v>
      </c>
      <c r="K8384" s="28" t="s">
        <v>51</v>
      </c>
      <c r="L8384" s="28" t="s">
        <v>51</v>
      </c>
      <c r="M8384" s="28" t="s">
        <v>51</v>
      </c>
      <c r="N8384" s="28" t="s">
        <v>51</v>
      </c>
    </row>
    <row r="8385" spans="1:14" hidden="1" outlineLevel="1" x14ac:dyDescent="0.2">
      <c r="A8385" s="23" t="str">
        <f>HYPERLINK("https://www.spark-marketing.ru/Card/Person/1042165", "ГБОУ СО «ШКОЛА АОП № 6 Г.САРАТОВА»")</f>
        <v>ГБОУ СО «ШКОЛА АОП № 6 Г.САРАТОВА»</v>
      </c>
      <c r="B8385" s="24" t="s">
        <v>12290</v>
      </c>
      <c r="C8385" s="25">
        <v>960798</v>
      </c>
      <c r="D8385" s="22" t="s">
        <v>12291</v>
      </c>
      <c r="E8385" s="22" t="s">
        <v>48</v>
      </c>
      <c r="F8385" s="23" t="str">
        <f>HYPERLINK("https://www.spark-marketing.ru/Card/Lot/72659672", "Оказание услуг по организации горячего питания")</f>
        <v>Оказание услуг по организации горячего питания</v>
      </c>
      <c r="G8385" s="22" t="s">
        <v>351</v>
      </c>
      <c r="H8385" s="22" t="s">
        <v>2983</v>
      </c>
      <c r="I8385" s="26">
        <v>43684.763414351903</v>
      </c>
      <c r="J8385" s="23" t="str">
        <f>HYPERLINK("https://www.spark-marketing.ru/Card/Person/1471312", "Анфиногенова Светлана Владимировна")</f>
        <v>Анфиногенова Светлана Владимировна</v>
      </c>
      <c r="K8385" s="24" t="s">
        <v>12292</v>
      </c>
      <c r="L8385" s="28" t="s">
        <v>51</v>
      </c>
      <c r="M8385" s="25">
        <v>735402.48</v>
      </c>
      <c r="N8385" s="27">
        <v>0.23459199540382059</v>
      </c>
    </row>
    <row r="8386" spans="1:14" ht="12.75" hidden="1" outlineLevel="1" x14ac:dyDescent="0.2">
      <c r="A8386" s="23" t="str">
        <f>HYPERLINK("https://www.spark-marketing.ru/Card/Person/1042165", "ГБОУ СО «ШКОЛА АОП № 6 Г.САРАТОВА»")</f>
        <v>ГБОУ СО «ШКОЛА АОП № 6 Г.САРАТОВА»</v>
      </c>
      <c r="B8386" s="24" t="s">
        <v>12290</v>
      </c>
      <c r="C8386" s="25">
        <v>960798</v>
      </c>
      <c r="D8386" s="22" t="s">
        <v>12291</v>
      </c>
      <c r="E8386" s="22" t="s">
        <v>48</v>
      </c>
      <c r="F8386" s="23" t="str">
        <f>HYPERLINK("https://www.spark-marketing.ru/Card/Lot/72659672", "Оказание услуг по организации горячего питания")</f>
        <v>Оказание услуг по организации горячего питания</v>
      </c>
      <c r="G8386" s="22" t="s">
        <v>351</v>
      </c>
      <c r="H8386" s="22" t="s">
        <v>2983</v>
      </c>
      <c r="I8386" s="26">
        <v>43684.763414351903</v>
      </c>
      <c r="J8386" s="23" t="str">
        <f>HYPERLINK("https://www.spark-marketing.ru/Card/Person/4920198", "Киселев Андрей Игоревич")</f>
        <v>Киселев Андрей Игоревич</v>
      </c>
      <c r="K8386" s="24" t="s">
        <v>9154</v>
      </c>
      <c r="L8386" s="22" t="s">
        <v>10</v>
      </c>
      <c r="M8386" s="25">
        <v>730598.49</v>
      </c>
      <c r="N8386" s="27">
        <v>0.23959199540382056</v>
      </c>
    </row>
    <row r="8387" spans="1:14" x14ac:dyDescent="0.15">
      <c r="A8387" s="23" t="s">
        <v>114</v>
      </c>
      <c r="B8387" s="28" t="s">
        <v>51</v>
      </c>
      <c r="C8387" s="25">
        <v>7096032</v>
      </c>
      <c r="D8387" s="22" t="s">
        <v>12293</v>
      </c>
      <c r="E8387" s="22" t="s">
        <v>48</v>
      </c>
      <c r="F8387" s="23" t="str">
        <f>HYPERLINK("https://www.spark-marketing.ru/Card/Lot/72659667", "ОКАЗАНИЕ УСЛУГ ПО ОРГАНИЗАЦИИ ГОРЯЧЕГО ПИТАНИЯ ОБУЧАЮЩИХСЯ ОБЩЕОБРАЗОВАТЕЛЬНЫХ ШКОЛ  И ГРУПП ВОСПИТАННИКОВ ДОШКОЛЬНОГО ВОЗРАСТА ЗАДОНСКОГО МУНИЦИПАЛЬНОГО РАЙОНА ВО 2-М ПОЛУГОДИИ 2019 ГОДА")</f>
        <v>ОКАЗАНИЕ УСЛУГ ПО ОРГАНИЗАЦИИ ГОРЯЧЕГО ПИТАНИЯ ОБУЧАЮЩИХСЯ ОБЩЕОБРАЗОВАТЕЛЬНЫХ ШКОЛ  И ГРУПП ВОСПИТАННИКОВ ДОШКОЛЬНОГО ВОЗРАСТА ЗАДОНСКОГО МУНИЦИПАЛЬНОГО РАЙОНА ВО 2-М ПОЛУГОДИИ 2019 ГОДА</v>
      </c>
      <c r="G8387" s="22" t="s">
        <v>51</v>
      </c>
      <c r="H8387" s="22" t="s">
        <v>51</v>
      </c>
      <c r="I8387" s="26">
        <v>43684.758819444403</v>
      </c>
      <c r="J8387" s="23" t="str">
        <f>HYPERLINK("https://www.spark-marketing.ru/Card/Person/16210", "ООО ""ГК ФЬЮЖЕН МЕНЕДЖМЕНТ""")</f>
        <v>ООО "ГК ФЬЮЖЕН МЕНЕДЖМЕНТ"</v>
      </c>
      <c r="K8387" s="24" t="s">
        <v>1675</v>
      </c>
      <c r="L8387" s="22" t="s">
        <v>10</v>
      </c>
      <c r="M8387" s="28" t="s">
        <v>51</v>
      </c>
      <c r="N8387" s="28" t="s">
        <v>51</v>
      </c>
    </row>
    <row r="8388" spans="1:14" hidden="1" outlineLevel="1" x14ac:dyDescent="0.15">
      <c r="A8388" s="23" t="str">
        <f>HYPERLINK("https://www.spark-marketing.ru/Card/Person/70772", "МБОУ СОШ №2 Г.ЗАДОНСКА")</f>
        <v>МБОУ СОШ №2 Г.ЗАДОНСКА</v>
      </c>
      <c r="B8388" s="24" t="s">
        <v>12294</v>
      </c>
      <c r="C8388" s="25">
        <v>3288960</v>
      </c>
      <c r="D8388" s="22" t="s">
        <v>12293</v>
      </c>
      <c r="E8388" s="22" t="s">
        <v>48</v>
      </c>
      <c r="F8388" s="23" t="str">
        <f>HYPERLINK("https://www.spark-marketing.ru/Card/Lot/72659667", "ОКАЗАНИЕ УСЛУГ ПО ОРГАНИЗАЦИИ ГОРЯЧЕГО ПИТАНИЯ ОБУЧАЮЩИХСЯ ОБЩЕОБРАЗОВАТЕЛЬНЫХ ШКОЛ  И ГРУПП ВОСПИТАННИКОВ ДОШКОЛЬНОГО ВОЗРАСТА ЗАДОНСКОГО МУНИЦИПАЛЬНОГО РАЙОНА ВО 2-М ПОЛУГОДИИ 2019 ГОДА")</f>
        <v>ОКАЗАНИЕ УСЛУГ ПО ОРГАНИЗАЦИИ ГОРЯЧЕГО ПИТАНИЯ ОБУЧАЮЩИХСЯ ОБЩЕОБРАЗОВАТЕЛЬНЫХ ШКОЛ  И ГРУПП ВОСПИТАННИКОВ ДОШКОЛЬНОГО ВОЗРАСТА ЗАДОНСКОГО МУНИЦИПАЛЬНОГО РАЙОНА ВО 2-М ПОЛУГОДИИ 2019 ГОДА</v>
      </c>
      <c r="G8388" s="22" t="s">
        <v>101</v>
      </c>
      <c r="H8388" s="22" t="s">
        <v>101</v>
      </c>
      <c r="I8388" s="26">
        <v>43684.758819444403</v>
      </c>
      <c r="J8388" s="23" t="str">
        <f>HYPERLINK("https://www.spark-marketing.ru/Card/Person/16210", "ООО ""ГК ФЬЮЖЕН МЕНЕДЖМЕНТ""")</f>
        <v>ООО "ГК ФЬЮЖЕН МЕНЕДЖМЕНТ"</v>
      </c>
      <c r="K8388" s="24" t="s">
        <v>1675</v>
      </c>
      <c r="L8388" s="22" t="s">
        <v>10</v>
      </c>
      <c r="M8388" s="28" t="s">
        <v>51</v>
      </c>
      <c r="N8388" s="28" t="s">
        <v>51</v>
      </c>
    </row>
    <row r="8389" spans="1:14" hidden="1" outlineLevel="1" x14ac:dyDescent="0.15">
      <c r="A8389" s="23" t="str">
        <f>HYPERLINK("https://www.spark-marketing.ru/Card/Person/110400", "МБОУ СОШ №1 Г. ЗАДОНСКА")</f>
        <v>МБОУ СОШ №1 Г. ЗАДОНСКА</v>
      </c>
      <c r="B8389" s="24" t="s">
        <v>12295</v>
      </c>
      <c r="C8389" s="25">
        <v>3807072</v>
      </c>
      <c r="D8389" s="22" t="s">
        <v>12293</v>
      </c>
      <c r="E8389" s="22" t="s">
        <v>48</v>
      </c>
      <c r="F8389" s="23" t="str">
        <f>HYPERLINK("https://www.spark-marketing.ru/Card/Lot/72659667", "ОКАЗАНИЕ УСЛУГ ПО ОРГАНИЗАЦИИ ГОРЯЧЕГО ПИТАНИЯ ОБУЧАЮЩИХСЯ ОБЩЕОБРАЗОВАТЕЛЬНЫХ ШКОЛ  И ГРУПП ВОСПИТАННИКОВ ДОШКОЛЬНОГО ВОЗРАСТА ЗАДОНСКОГО МУНИЦИПАЛЬНОГО РАЙОНА ВО 2-М ПОЛУГОДИИ 2019 ГОДА")</f>
        <v>ОКАЗАНИЕ УСЛУГ ПО ОРГАНИЗАЦИИ ГОРЯЧЕГО ПИТАНИЯ ОБУЧАЮЩИХСЯ ОБЩЕОБРАЗОВАТЕЛЬНЫХ ШКОЛ  И ГРУПП ВОСПИТАННИКОВ ДОШКОЛЬНОГО ВОЗРАСТА ЗАДОНСКОГО МУНИЦИПАЛЬНОГО РАЙОНА ВО 2-М ПОЛУГОДИИ 2019 ГОДА</v>
      </c>
      <c r="G8389" s="22" t="s">
        <v>101</v>
      </c>
      <c r="H8389" s="22" t="s">
        <v>101</v>
      </c>
      <c r="I8389" s="26">
        <v>43684.758819444403</v>
      </c>
      <c r="J8389" s="23" t="str">
        <f>HYPERLINK("https://www.spark-marketing.ru/Card/Person/16210", "ООО ""ГК ФЬЮЖЕН МЕНЕДЖМЕНТ""")</f>
        <v>ООО "ГК ФЬЮЖЕН МЕНЕДЖМЕНТ"</v>
      </c>
      <c r="K8389" s="24" t="s">
        <v>1675</v>
      </c>
      <c r="L8389" s="22" t="s">
        <v>10</v>
      </c>
      <c r="M8389" s="28" t="s">
        <v>51</v>
      </c>
      <c r="N8389" s="28" t="s">
        <v>51</v>
      </c>
    </row>
    <row r="8390" spans="1:14" x14ac:dyDescent="0.15">
      <c r="A8390" s="23" t="str">
        <f>HYPERLINK("https://www.spark-marketing.ru/Card/Person/1025742", "МБОУ ""СИВЕРСКАЯ ООШ""")</f>
        <v>МБОУ "СИВЕРСКАЯ ООШ"</v>
      </c>
      <c r="B8390" s="24" t="s">
        <v>12296</v>
      </c>
      <c r="C8390" s="25">
        <v>942552</v>
      </c>
      <c r="D8390" s="22" t="s">
        <v>12297</v>
      </c>
      <c r="E8390" s="22" t="s">
        <v>48</v>
      </c>
      <c r="F8390" s="23" t="str">
        <f>HYPERLINK("https://www.spark-marketing.ru/Card/Lot/72659590",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2019 - 2020 г.")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2019 - 2020 г.</v>
      </c>
      <c r="G8390" s="22" t="s">
        <v>162</v>
      </c>
      <c r="H8390" s="22" t="s">
        <v>9367</v>
      </c>
      <c r="I8390" s="26">
        <v>43684.719664351898</v>
      </c>
      <c r="J8390" s="28" t="s">
        <v>51</v>
      </c>
      <c r="K8390" s="28" t="s">
        <v>51</v>
      </c>
      <c r="L8390" s="28" t="s">
        <v>51</v>
      </c>
      <c r="M8390" s="28" t="s">
        <v>51</v>
      </c>
      <c r="N8390" s="28" t="s">
        <v>51</v>
      </c>
    </row>
    <row r="8391" spans="1:14" hidden="1" outlineLevel="1" x14ac:dyDescent="0.2">
      <c r="A8391" s="23" t="str">
        <f>HYPERLINK("https://www.spark-marketing.ru/Card/Person/1025742", "МБОУ ""СИВЕРСКАЯ ООШ""")</f>
        <v>МБОУ "СИВЕРСКАЯ ООШ"</v>
      </c>
      <c r="B8391" s="24" t="s">
        <v>12296</v>
      </c>
      <c r="C8391" s="25">
        <v>942552</v>
      </c>
      <c r="D8391" s="22" t="s">
        <v>12297</v>
      </c>
      <c r="E8391" s="22" t="s">
        <v>48</v>
      </c>
      <c r="F8391" s="23" t="str">
        <f>HYPERLINK("https://www.spark-marketing.ru/Card/Lot/72659590",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2019 - 2020 г.")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2019 - 2020 г.</v>
      </c>
      <c r="G8391" s="22" t="s">
        <v>162</v>
      </c>
      <c r="H8391" s="22" t="s">
        <v>9367</v>
      </c>
      <c r="I8391" s="26">
        <v>43684.719664351898</v>
      </c>
      <c r="J8391" s="23" t="str">
        <f>HYPERLINK("https://www.spark-marketing.ru/Card/Person/127256", "Жосан Ирина Петровна")</f>
        <v>Жосан Ирина Петровна</v>
      </c>
      <c r="K8391" s="24" t="s">
        <v>11809</v>
      </c>
      <c r="L8391" s="28" t="s">
        <v>51</v>
      </c>
      <c r="M8391" s="25">
        <v>893424</v>
      </c>
      <c r="N8391" s="27">
        <v>5.2122323224607234E-2</v>
      </c>
    </row>
    <row r="8392" spans="1:14" ht="12.75" hidden="1" outlineLevel="1" x14ac:dyDescent="0.2">
      <c r="A8392" s="23" t="str">
        <f>HYPERLINK("https://www.spark-marketing.ru/Card/Person/1025742", "МБОУ ""СИВЕРСКАЯ ООШ""")</f>
        <v>МБОУ "СИВЕРСКАЯ ООШ"</v>
      </c>
      <c r="B8392" s="24" t="s">
        <v>12296</v>
      </c>
      <c r="C8392" s="25">
        <v>942552</v>
      </c>
      <c r="D8392" s="22" t="s">
        <v>12297</v>
      </c>
      <c r="E8392" s="22" t="s">
        <v>48</v>
      </c>
      <c r="F8392" s="23" t="str">
        <f>HYPERLINK("https://www.spark-marketing.ru/Card/Lot/72659590",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2019 - 2020 г.")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2019 - 2020 г.</v>
      </c>
      <c r="G8392" s="22" t="s">
        <v>162</v>
      </c>
      <c r="H8392" s="22" t="s">
        <v>9367</v>
      </c>
      <c r="I8392" s="26">
        <v>43684.719664351898</v>
      </c>
      <c r="J8392" s="23" t="str">
        <f>HYPERLINK("https://www.spark-marketing.ru/Card/Person/90096", "Смирнов Иван Андреевич")</f>
        <v>Смирнов Иван Андреевич</v>
      </c>
      <c r="K8392" s="24" t="s">
        <v>3608</v>
      </c>
      <c r="L8392" s="22" t="s">
        <v>10</v>
      </c>
      <c r="M8392" s="25">
        <v>888711.24</v>
      </c>
      <c r="N8392" s="27">
        <v>5.7122323224607238E-2</v>
      </c>
    </row>
    <row r="8393" spans="1:14" x14ac:dyDescent="0.15">
      <c r="A8393" s="23" t="str">
        <f>HYPERLINK("https://www.spark-marketing.ru/Card/Person/127408", "МБОУ ""ТАИЦКАЯ СОШ""")</f>
        <v>МБОУ "ТАИЦКАЯ СОШ"</v>
      </c>
      <c r="B8393" s="24" t="s">
        <v>12298</v>
      </c>
      <c r="C8393" s="25">
        <v>3730688</v>
      </c>
      <c r="D8393" s="22" t="s">
        <v>12299</v>
      </c>
      <c r="E8393" s="22" t="s">
        <v>48</v>
      </c>
      <c r="F8393" s="23" t="str">
        <f>HYPERLINK("https://www.spark-marketing.ru/Card/Lot/72659642",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</v>
      </c>
      <c r="G8393" s="22" t="s">
        <v>162</v>
      </c>
      <c r="H8393" s="22" t="s">
        <v>9367</v>
      </c>
      <c r="I8393" s="26">
        <v>43684.739108796297</v>
      </c>
      <c r="J8393" s="23" t="str">
        <f>HYPERLINK("https://www.spark-marketing.ru/Card/Person/127078", "Васильева Ирина Эдуардовна")</f>
        <v>Васильева Ирина Эдуардовна</v>
      </c>
      <c r="K8393" s="24" t="s">
        <v>2344</v>
      </c>
      <c r="L8393" s="22" t="s">
        <v>10</v>
      </c>
      <c r="M8393" s="28" t="s">
        <v>51</v>
      </c>
      <c r="N8393" s="28" t="s">
        <v>51</v>
      </c>
    </row>
    <row r="8394" spans="1:14" x14ac:dyDescent="0.15">
      <c r="A8394" s="23" t="str">
        <f>HYPERLINK("https://www.spark-marketing.ru/Card/Person/246263", "ОТДЕЛ МВД РОССИИ ПО БОГОРОДСКОМУ РАЙОНУ")</f>
        <v>ОТДЕЛ МВД РОССИИ ПО БОГОРОДСКОМУ РАЙОНУ</v>
      </c>
      <c r="B8394" s="24" t="s">
        <v>6629</v>
      </c>
      <c r="C8394" s="25">
        <v>938776.02</v>
      </c>
      <c r="D8394" s="22" t="s">
        <v>12300</v>
      </c>
      <c r="E8394" s="22" t="s">
        <v>48</v>
      </c>
      <c r="F8394" s="23" t="str">
        <f>HYPERLINK("https://www.spark-marketing.ru/Card/Lot/72682195", "Услуги по ежедневному трехразовому горячему питанию лиц, подозреваемых либо обвиняемых в совершении преступлений, находящихся в изоляторе временного содержания и лиц, находящихся в специальном помещении , для задержанных лиц, задержанных в администра...")</f>
        <v>Услуги по ежедневному трехразовому горячему питанию лиц, подозреваемых либо обвиняемых в совершении преступлений, находящихся в изоляторе временного содержания и лиц, находящихся в специальном помещении , для задержанных лиц, задержанных в администра...</v>
      </c>
      <c r="G8394" s="22" t="s">
        <v>76</v>
      </c>
      <c r="H8394" s="22" t="s">
        <v>6631</v>
      </c>
      <c r="I8394" s="26">
        <v>43684.722129629597</v>
      </c>
      <c r="J8394" s="28" t="s">
        <v>51</v>
      </c>
      <c r="K8394" s="28" t="s">
        <v>51</v>
      </c>
      <c r="L8394" s="28" t="s">
        <v>51</v>
      </c>
      <c r="M8394" s="28" t="s">
        <v>51</v>
      </c>
      <c r="N8394" s="28" t="s">
        <v>51</v>
      </c>
    </row>
    <row r="8395" spans="1:14" x14ac:dyDescent="0.15">
      <c r="A8395" s="23" t="str">
        <f>HYPERLINK("https://www.spark-marketing.ru/Card/Person/399803", "МБОУ ""ПЛАМЕНСКАЯ СОШ""")</f>
        <v>МБОУ "ПЛАМЕНСКАЯ СОШ"</v>
      </c>
      <c r="B8395" s="24" t="s">
        <v>12301</v>
      </c>
      <c r="C8395" s="25">
        <v>1523704</v>
      </c>
      <c r="D8395" s="22" t="s">
        <v>12302</v>
      </c>
      <c r="E8395" s="22" t="s">
        <v>48</v>
      </c>
      <c r="F8395" s="23" t="str">
        <f>HYPERLINK("https://www.spark-marketing.ru/Card/Lot/72659583",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</v>
      </c>
      <c r="G8395" s="22" t="s">
        <v>162</v>
      </c>
      <c r="H8395" s="22" t="s">
        <v>9367</v>
      </c>
      <c r="I8395" s="26">
        <v>43684.717951388899</v>
      </c>
      <c r="J8395" s="23" t="str">
        <f>HYPERLINK("https://www.spark-marketing.ru/Card/Person/127256", "Жосан Ирина Петровна")</f>
        <v>Жосан Ирина Петровна</v>
      </c>
      <c r="K8395" s="24" t="s">
        <v>11809</v>
      </c>
      <c r="L8395" s="22" t="s">
        <v>10</v>
      </c>
      <c r="M8395" s="28" t="s">
        <v>51</v>
      </c>
      <c r="N8395" s="28" t="s">
        <v>51</v>
      </c>
    </row>
    <row r="8396" spans="1:14" x14ac:dyDescent="0.15">
      <c r="A8396" s="23" t="str">
        <f>HYPERLINK("https://www.spark-marketing.ru/Card/Person/139739", "МБОУ ""ГАТЧИНСКАЯ ГИМНАЗИЯ""")</f>
        <v>МБОУ "ГАТЧИНСКАЯ ГИМНАЗИЯ"</v>
      </c>
      <c r="B8396" s="24" t="s">
        <v>12303</v>
      </c>
      <c r="C8396" s="25">
        <v>2227368</v>
      </c>
      <c r="D8396" s="22" t="s">
        <v>12304</v>
      </c>
      <c r="E8396" s="22" t="s">
        <v>48</v>
      </c>
      <c r="F8396" s="23" t="str">
        <f>HYPERLINK("https://www.spark-marketing.ru/Card/Lot/72659572",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году.</v>
      </c>
      <c r="G8396" s="22" t="s">
        <v>162</v>
      </c>
      <c r="H8396" s="22" t="s">
        <v>2343</v>
      </c>
      <c r="I8396" s="26">
        <v>43684.708379629599</v>
      </c>
      <c r="J8396" s="28" t="s">
        <v>51</v>
      </c>
      <c r="K8396" s="28" t="s">
        <v>51</v>
      </c>
      <c r="L8396" s="28" t="s">
        <v>51</v>
      </c>
      <c r="M8396" s="28" t="s">
        <v>51</v>
      </c>
      <c r="N8396" s="28" t="s">
        <v>51</v>
      </c>
    </row>
    <row r="8397" spans="1:14" ht="12.75" hidden="1" outlineLevel="1" x14ac:dyDescent="0.2">
      <c r="A8397" s="23" t="str">
        <f>HYPERLINK("https://www.spark-marketing.ru/Card/Person/139739", "МБОУ ""ГАТЧИНСКАЯ ГИМНАЗИЯ""")</f>
        <v>МБОУ "ГАТЧИНСКАЯ ГИМНАЗИЯ"</v>
      </c>
      <c r="B8397" s="24" t="s">
        <v>12303</v>
      </c>
      <c r="C8397" s="25">
        <v>2227368</v>
      </c>
      <c r="D8397" s="22" t="s">
        <v>12304</v>
      </c>
      <c r="E8397" s="22" t="s">
        <v>48</v>
      </c>
      <c r="F8397" s="23" t="str">
        <f>HYPERLINK("https://www.spark-marketing.ru/Card/Lot/72659572",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году.</v>
      </c>
      <c r="G8397" s="22" t="s">
        <v>162</v>
      </c>
      <c r="H8397" s="22" t="s">
        <v>2343</v>
      </c>
      <c r="I8397" s="26">
        <v>43684.708379629599</v>
      </c>
      <c r="J8397" s="23" t="str">
        <f>HYPERLINK("https://www.spark-marketing.ru/Card/Person/127078", "Васильева Ирина Эдуардовна")</f>
        <v>Васильева Ирина Эдуардовна</v>
      </c>
      <c r="K8397" s="24" t="s">
        <v>2344</v>
      </c>
      <c r="L8397" s="22" t="s">
        <v>10</v>
      </c>
      <c r="M8397" s="25">
        <v>452568.12</v>
      </c>
      <c r="N8397" s="27">
        <v>0.79681484155290005</v>
      </c>
    </row>
    <row r="8398" spans="1:14" hidden="1" outlineLevel="1" x14ac:dyDescent="0.2">
      <c r="A8398" s="23" t="str">
        <f>HYPERLINK("https://www.spark-marketing.ru/Card/Person/139739", "МБОУ ""ГАТЧИНСКАЯ ГИМНАЗИЯ""")</f>
        <v>МБОУ "ГАТЧИНСКАЯ ГИМНАЗИЯ"</v>
      </c>
      <c r="B8398" s="24" t="s">
        <v>12303</v>
      </c>
      <c r="C8398" s="25">
        <v>2227368</v>
      </c>
      <c r="D8398" s="22" t="s">
        <v>12304</v>
      </c>
      <c r="E8398" s="22" t="s">
        <v>48</v>
      </c>
      <c r="F8398" s="23" t="str">
        <f>HYPERLINK("https://www.spark-marketing.ru/Card/Lot/72659572",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году.</v>
      </c>
      <c r="G8398" s="22" t="s">
        <v>162</v>
      </c>
      <c r="H8398" s="22" t="s">
        <v>2343</v>
      </c>
      <c r="I8398" s="26">
        <v>43684.708379629599</v>
      </c>
      <c r="J8398" s="23" t="str">
        <f>HYPERLINK("https://www.spark-marketing.ru/Card/Person/6198115", "ООО ""СЕВЕРНАЯ ПАЛЬМИРА""")</f>
        <v>ООО "СЕВЕРНАЯ ПАЛЬМИРА"</v>
      </c>
      <c r="K8398" s="24" t="s">
        <v>12305</v>
      </c>
      <c r="L8398" s="28" t="s">
        <v>51</v>
      </c>
      <c r="M8398" s="25">
        <v>452568.12</v>
      </c>
      <c r="N8398" s="27">
        <v>0.79681484155290005</v>
      </c>
    </row>
    <row r="8399" spans="1:14" x14ac:dyDescent="0.15">
      <c r="A8399" s="23" t="str">
        <f>HYPERLINK("https://www.spark-marketing.ru/Card/Person/1025988", "МБОУ ""КОММУНАРСКАЯ СОШ №1""")</f>
        <v>МБОУ "КОММУНАРСКАЯ СОШ №1"</v>
      </c>
      <c r="B8399" s="24" t="s">
        <v>12306</v>
      </c>
      <c r="C8399" s="25">
        <v>999544</v>
      </c>
      <c r="D8399" s="22" t="s">
        <v>12307</v>
      </c>
      <c r="E8399" s="22" t="s">
        <v>48</v>
      </c>
      <c r="F8399" s="23" t="str">
        <f>HYPERLINK("https://www.spark-marketing.ru/Card/Lot/72657333",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</v>
      </c>
      <c r="G8399" s="22" t="s">
        <v>162</v>
      </c>
      <c r="H8399" s="22" t="s">
        <v>9367</v>
      </c>
      <c r="I8399" s="26">
        <v>43684.712928240697</v>
      </c>
      <c r="J8399" s="28" t="s">
        <v>51</v>
      </c>
      <c r="K8399" s="28" t="s">
        <v>51</v>
      </c>
      <c r="L8399" s="28" t="s">
        <v>51</v>
      </c>
      <c r="M8399" s="28" t="s">
        <v>51</v>
      </c>
      <c r="N8399" s="28" t="s">
        <v>51</v>
      </c>
    </row>
    <row r="8400" spans="1:14" ht="12.75" hidden="1" outlineLevel="1" x14ac:dyDescent="0.2">
      <c r="A8400" s="23" t="str">
        <f>HYPERLINK("https://www.spark-marketing.ru/Card/Person/1025988", "МБОУ ""КОММУНАРСКАЯ СОШ №1""")</f>
        <v>МБОУ "КОММУНАРСКАЯ СОШ №1"</v>
      </c>
      <c r="B8400" s="24" t="s">
        <v>12306</v>
      </c>
      <c r="C8400" s="25">
        <v>999544</v>
      </c>
      <c r="D8400" s="22" t="s">
        <v>12307</v>
      </c>
      <c r="E8400" s="22" t="s">
        <v>48</v>
      </c>
      <c r="F8400" s="23" t="str">
        <f>HYPERLINK("https://www.spark-marketing.ru/Card/Lot/72657333",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</v>
      </c>
      <c r="G8400" s="22" t="s">
        <v>162</v>
      </c>
      <c r="H8400" s="22" t="s">
        <v>9367</v>
      </c>
      <c r="I8400" s="26">
        <v>43684.712928240697</v>
      </c>
      <c r="J8400" s="23" t="str">
        <f>HYPERLINK("https://www.spark-marketing.ru/Card/Person/6483719", "Змушко Алла Васильевна")</f>
        <v>Змушко Алла Васильевна</v>
      </c>
      <c r="K8400" s="24" t="s">
        <v>12308</v>
      </c>
      <c r="L8400" s="22" t="s">
        <v>10</v>
      </c>
      <c r="M8400" s="25">
        <v>849598.72</v>
      </c>
      <c r="N8400" s="27">
        <v>0.15001368624092587</v>
      </c>
    </row>
    <row r="8401" spans="1:14" hidden="1" outlineLevel="1" x14ac:dyDescent="0.2">
      <c r="A8401" s="23" t="str">
        <f>HYPERLINK("https://www.spark-marketing.ru/Card/Person/1025988", "МБОУ ""КОММУНАРСКАЯ СОШ №1""")</f>
        <v>МБОУ "КОММУНАРСКАЯ СОШ №1"</v>
      </c>
      <c r="B8401" s="24" t="s">
        <v>12306</v>
      </c>
      <c r="C8401" s="25">
        <v>999544</v>
      </c>
      <c r="D8401" s="22" t="s">
        <v>12307</v>
      </c>
      <c r="E8401" s="22" t="s">
        <v>48</v>
      </c>
      <c r="F8401" s="23" t="str">
        <f>HYPERLINK("https://www.spark-marketing.ru/Card/Lot/72657333",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</v>
      </c>
      <c r="G8401" s="22" t="s">
        <v>162</v>
      </c>
      <c r="H8401" s="22" t="s">
        <v>9367</v>
      </c>
      <c r="I8401" s="26">
        <v>43684.712928240697</v>
      </c>
      <c r="J8401" s="23" t="str">
        <f>HYPERLINK("https://www.spark-marketing.ru/Card/Person/127256", "Жосан Ирина Петровна")</f>
        <v>Жосан Ирина Петровна</v>
      </c>
      <c r="K8401" s="24" t="s">
        <v>11809</v>
      </c>
      <c r="L8401" s="28" t="s">
        <v>51</v>
      </c>
      <c r="M8401" s="25">
        <v>849610</v>
      </c>
      <c r="N8401" s="27">
        <v>0.15000240109489926</v>
      </c>
    </row>
    <row r="8402" spans="1:14" x14ac:dyDescent="0.15">
      <c r="A8402" s="23" t="str">
        <f>HYPERLINK("https://www.spark-marketing.ru/Card/Person/236796", "МБОУ СОШ № 1")</f>
        <v>МБОУ СОШ № 1</v>
      </c>
      <c r="B8402" s="24" t="s">
        <v>12309</v>
      </c>
      <c r="C8402" s="25">
        <v>452480</v>
      </c>
      <c r="D8402" s="22" t="s">
        <v>12310</v>
      </c>
      <c r="E8402" s="22" t="s">
        <v>48</v>
      </c>
      <c r="F8402" s="23" t="str">
        <f>HYPERLINK("https://www.spark-marketing.ru/Card/Lot/72663014",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8402" s="22" t="s">
        <v>87</v>
      </c>
      <c r="H8402" s="22" t="s">
        <v>7826</v>
      </c>
      <c r="I8402" s="26">
        <v>43684.713402777801</v>
      </c>
      <c r="J8402" s="23" t="str">
        <f>HYPERLINK("https://www.spark-marketing.ru/Card/Person/213142", "Звягина Надежда Ильинична")</f>
        <v>Звягина Надежда Ильинична</v>
      </c>
      <c r="K8402" s="24" t="s">
        <v>12311</v>
      </c>
      <c r="L8402" s="22" t="s">
        <v>10</v>
      </c>
      <c r="M8402" s="28" t="s">
        <v>51</v>
      </c>
      <c r="N8402" s="28" t="s">
        <v>51</v>
      </c>
    </row>
    <row r="8403" spans="1:14" x14ac:dyDescent="0.15">
      <c r="A8403" s="23" t="str">
        <f>HYPERLINK("https://www.spark-marketing.ru/Card/Person/127216", "МБОУ ""ЛУКАШЕВСКАЯ СОШ""")</f>
        <v>МБОУ "ЛУКАШЕВСКАЯ СОШ"</v>
      </c>
      <c r="B8403" s="24" t="s">
        <v>12312</v>
      </c>
      <c r="C8403" s="25">
        <v>1448096</v>
      </c>
      <c r="D8403" s="22" t="s">
        <v>12313</v>
      </c>
      <c r="E8403" s="22" t="s">
        <v>48</v>
      </c>
      <c r="F8403" s="23" t="str">
        <f>HYPERLINK("https://www.spark-marketing.ru/Card/Lot/72659616",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</v>
      </c>
      <c r="G8403" s="22" t="s">
        <v>162</v>
      </c>
      <c r="H8403" s="22" t="s">
        <v>9367</v>
      </c>
      <c r="I8403" s="26">
        <v>43684.715729166703</v>
      </c>
      <c r="J8403" s="23" t="str">
        <f>HYPERLINK("https://www.spark-marketing.ru/Card/Person/671969", "Норова Галина Анваровна")</f>
        <v>Норова Галина Анваровна</v>
      </c>
      <c r="K8403" s="24" t="s">
        <v>12128</v>
      </c>
      <c r="L8403" s="22" t="s">
        <v>10</v>
      </c>
      <c r="M8403" s="28" t="s">
        <v>51</v>
      </c>
      <c r="N8403" s="28" t="s">
        <v>51</v>
      </c>
    </row>
    <row r="8404" spans="1:14" x14ac:dyDescent="0.15">
      <c r="A8404" s="23" t="str">
        <f>HYPERLINK("https://www.spark-marketing.ru/Card/Person/428183", "МБОУ ""КОММУНАРСКАЯ СОШ № 3""")</f>
        <v>МБОУ "КОММУНАРСКАЯ СОШ № 3"</v>
      </c>
      <c r="B8404" s="24" t="s">
        <v>12314</v>
      </c>
      <c r="C8404" s="25">
        <v>1422720</v>
      </c>
      <c r="D8404" s="22" t="s">
        <v>12315</v>
      </c>
      <c r="E8404" s="22" t="s">
        <v>48</v>
      </c>
      <c r="F8404" s="23" t="str">
        <f>HYPERLINK("https://www.spark-marketing.ru/Card/Lot/72659610",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учебном году</v>
      </c>
      <c r="G8404" s="22" t="s">
        <v>162</v>
      </c>
      <c r="H8404" s="22" t="s">
        <v>9367</v>
      </c>
      <c r="I8404" s="26">
        <v>43684.714421296303</v>
      </c>
      <c r="J8404" s="28" t="s">
        <v>51</v>
      </c>
      <c r="K8404" s="28" t="s">
        <v>51</v>
      </c>
      <c r="L8404" s="28" t="s">
        <v>51</v>
      </c>
      <c r="M8404" s="28" t="s">
        <v>51</v>
      </c>
      <c r="N8404" s="28" t="s">
        <v>51</v>
      </c>
    </row>
    <row r="8405" spans="1:14" ht="12.75" hidden="1" outlineLevel="1" x14ac:dyDescent="0.2">
      <c r="A8405" s="23" t="str">
        <f>HYPERLINK("https://www.spark-marketing.ru/Card/Person/428183", "МБОУ ""КОММУНАРСКАЯ СОШ № 3""")</f>
        <v>МБОУ "КОММУНАРСКАЯ СОШ № 3"</v>
      </c>
      <c r="B8405" s="24" t="s">
        <v>12314</v>
      </c>
      <c r="C8405" s="25">
        <v>1422720</v>
      </c>
      <c r="D8405" s="22" t="s">
        <v>12315</v>
      </c>
      <c r="E8405" s="22" t="s">
        <v>48</v>
      </c>
      <c r="F8405" s="23" t="str">
        <f>HYPERLINK("https://www.spark-marketing.ru/Card/Lot/72659610",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учебном году</v>
      </c>
      <c r="G8405" s="22" t="s">
        <v>162</v>
      </c>
      <c r="H8405" s="22" t="s">
        <v>9367</v>
      </c>
      <c r="I8405" s="26">
        <v>43684.714421296303</v>
      </c>
      <c r="J8405" s="23" t="str">
        <f>HYPERLINK("https://www.spark-marketing.ru/Card/Person/6483719", "Змушко Алла Васильевна")</f>
        <v>Змушко Алла Васильевна</v>
      </c>
      <c r="K8405" s="24" t="s">
        <v>12308</v>
      </c>
      <c r="L8405" s="22" t="s">
        <v>10</v>
      </c>
      <c r="M8405" s="25">
        <v>1109744</v>
      </c>
      <c r="N8405" s="27">
        <v>0.2199842555105713</v>
      </c>
    </row>
    <row r="8406" spans="1:14" hidden="1" outlineLevel="1" x14ac:dyDescent="0.2">
      <c r="A8406" s="23" t="str">
        <f>HYPERLINK("https://www.spark-marketing.ru/Card/Person/428183", "МБОУ ""КОММУНАРСКАЯ СОШ № 3""")</f>
        <v>МБОУ "КОММУНАРСКАЯ СОШ № 3"</v>
      </c>
      <c r="B8406" s="24" t="s">
        <v>12314</v>
      </c>
      <c r="C8406" s="25">
        <v>1422720</v>
      </c>
      <c r="D8406" s="22" t="s">
        <v>12315</v>
      </c>
      <c r="E8406" s="22" t="s">
        <v>48</v>
      </c>
      <c r="F8406" s="23" t="str">
        <f>HYPERLINK("https://www.spark-marketing.ru/Card/Lot/72659610",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учебном году</v>
      </c>
      <c r="G8406" s="22" t="s">
        <v>162</v>
      </c>
      <c r="H8406" s="22" t="s">
        <v>9367</v>
      </c>
      <c r="I8406" s="26">
        <v>43684.714421296303</v>
      </c>
      <c r="J8406" s="23" t="str">
        <f>HYPERLINK("https://www.spark-marketing.ru/Card/Person/127256", "Жосан Ирина Петровна")</f>
        <v>Жосан Ирина Петровна</v>
      </c>
      <c r="K8406" s="24" t="s">
        <v>11809</v>
      </c>
      <c r="L8406" s="28" t="s">
        <v>51</v>
      </c>
      <c r="M8406" s="25">
        <v>1110000</v>
      </c>
      <c r="N8406" s="27">
        <v>0.21980431848852902</v>
      </c>
    </row>
    <row r="8407" spans="1:14" x14ac:dyDescent="0.2">
      <c r="A8407" s="23" t="str">
        <f>HYPERLINK("https://www.spark-marketing.ru/Card/Person/67832", "МБОУ ""СОШ № 14""")</f>
        <v>МБОУ "СОШ № 14"</v>
      </c>
      <c r="B8407" s="24" t="s">
        <v>12316</v>
      </c>
      <c r="C8407" s="25">
        <v>1532708</v>
      </c>
      <c r="D8407" s="22" t="s">
        <v>12317</v>
      </c>
      <c r="E8407" s="22" t="s">
        <v>48</v>
      </c>
      <c r="F8407" s="23" t="str">
        <f>HYPERLINK("https://www.spark-marketing.ru/Card/Lot/72659488", "Оказание услуг по организации питания для льготных категорий обучающихся и обеспечение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обеспечение молоком (кисломолочными продуктами) обучающихся 1-4 классов</v>
      </c>
      <c r="G8407" s="22" t="s">
        <v>162</v>
      </c>
      <c r="H8407" s="22" t="s">
        <v>10137</v>
      </c>
      <c r="I8407" s="26">
        <v>43684.738194444399</v>
      </c>
      <c r="J8407" s="23" t="str">
        <f>HYPERLINK("https://www.spark-marketing.ru/Card/Person/42095", "ООО ""КОМБИНАТ СОЦИАЛЬНОГО ПИТАНИЯ""")</f>
        <v>ООО "КОМБИНАТ СОЦИАЛЬНОГО ПИТАНИЯ"</v>
      </c>
      <c r="K8407" s="24" t="s">
        <v>12318</v>
      </c>
      <c r="L8407" s="28" t="s">
        <v>51</v>
      </c>
      <c r="M8407" s="25">
        <v>1532708</v>
      </c>
      <c r="N8407" s="27">
        <v>0</v>
      </c>
    </row>
    <row r="8408" spans="1:14" x14ac:dyDescent="0.15">
      <c r="A8408" s="23" t="str">
        <f>HYPERLINK("https://www.spark-marketing.ru/Card/Person/127238", "МБОУ ""ВЕРЕВСКАЯ СОШ""")</f>
        <v>МБОУ "ВЕРЕВСКАЯ СОШ"</v>
      </c>
      <c r="B8408" s="24" t="s">
        <v>12319</v>
      </c>
      <c r="C8408" s="25">
        <v>1079208</v>
      </c>
      <c r="D8408" s="22" t="s">
        <v>12320</v>
      </c>
      <c r="E8408" s="22" t="s">
        <v>48</v>
      </c>
      <c r="F8408" s="23" t="str">
        <f>HYPERLINK("https://www.spark-marketing.ru/Card/Lot/72657326",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году.</v>
      </c>
      <c r="G8408" s="22" t="s">
        <v>162</v>
      </c>
      <c r="H8408" s="22" t="s">
        <v>9367</v>
      </c>
      <c r="I8408" s="26">
        <v>43684.7094560185</v>
      </c>
      <c r="J8408" s="23" t="str">
        <f>HYPERLINK("https://www.spark-marketing.ru/Card/Person/127078", "Васильева Ирина Эдуардовна")</f>
        <v>Васильева Ирина Эдуардовна</v>
      </c>
      <c r="K8408" s="24" t="s">
        <v>2344</v>
      </c>
      <c r="L8408" s="22" t="s">
        <v>10</v>
      </c>
      <c r="M8408" s="28" t="s">
        <v>51</v>
      </c>
      <c r="N8408" s="28" t="s">
        <v>51</v>
      </c>
    </row>
    <row r="8409" spans="1:14" x14ac:dyDescent="0.15">
      <c r="A8409" s="23" t="str">
        <f>HYPERLINK("https://www.spark-marketing.ru/Card/Person/1026374", "МБОУ ""ДРУЖНОГОРСКАЯ СОШ""")</f>
        <v>МБОУ "ДРУЖНОГОРСКАЯ СОШ"</v>
      </c>
      <c r="B8409" s="24" t="s">
        <v>12321</v>
      </c>
      <c r="C8409" s="25">
        <v>1837056</v>
      </c>
      <c r="D8409" s="22" t="s">
        <v>12322</v>
      </c>
      <c r="E8409" s="22" t="s">
        <v>48</v>
      </c>
      <c r="F8409" s="23" t="str">
        <f>HYPERLINK("https://www.spark-marketing.ru/Card/Lot/72659579", "Услуги по организации питания для учащихся образовательных учреждений в 2019/2020 году")</f>
        <v>Услуги по организации питания для учащихся образовательных учреждений в 2019/2020 году</v>
      </c>
      <c r="G8409" s="22" t="s">
        <v>162</v>
      </c>
      <c r="H8409" s="22" t="s">
        <v>9367</v>
      </c>
      <c r="I8409" s="26">
        <v>43684.711284722202</v>
      </c>
      <c r="J8409" s="28" t="s">
        <v>51</v>
      </c>
      <c r="K8409" s="28" t="s">
        <v>51</v>
      </c>
      <c r="L8409" s="28" t="s">
        <v>51</v>
      </c>
      <c r="M8409" s="28" t="s">
        <v>51</v>
      </c>
      <c r="N8409" s="28" t="s">
        <v>51</v>
      </c>
    </row>
    <row r="8410" spans="1:14" ht="12.75" hidden="1" outlineLevel="1" x14ac:dyDescent="0.2">
      <c r="A8410" s="23" t="str">
        <f>HYPERLINK("https://www.spark-marketing.ru/Card/Person/1026374", "МБОУ ""ДРУЖНОГОРСКАЯ СОШ""")</f>
        <v>МБОУ "ДРУЖНОГОРСКАЯ СОШ"</v>
      </c>
      <c r="B8410" s="24" t="s">
        <v>12321</v>
      </c>
      <c r="C8410" s="25">
        <v>1837056</v>
      </c>
      <c r="D8410" s="22" t="s">
        <v>12322</v>
      </c>
      <c r="E8410" s="22" t="s">
        <v>48</v>
      </c>
      <c r="F8410" s="23" t="str">
        <f>HYPERLINK("https://www.spark-marketing.ru/Card/Lot/72659579", "Услуги по организации питания для учащихся образовательных учреждений в 2019/2020 году")</f>
        <v>Услуги по организации питания для учащихся образовательных учреждений в 2019/2020 году</v>
      </c>
      <c r="G8410" s="22" t="s">
        <v>162</v>
      </c>
      <c r="H8410" s="22" t="s">
        <v>9367</v>
      </c>
      <c r="I8410" s="26">
        <v>43684.711284722202</v>
      </c>
      <c r="J8410" s="23" t="str">
        <f>HYPERLINK("https://www.spark-marketing.ru/Card/Person/671813", "Барсукова Тамара Ивановна")</f>
        <v>Барсукова Тамара Ивановна</v>
      </c>
      <c r="K8410" s="24" t="s">
        <v>11803</v>
      </c>
      <c r="L8410" s="22" t="s">
        <v>10</v>
      </c>
      <c r="M8410" s="25">
        <v>1419642.08</v>
      </c>
      <c r="N8410" s="27">
        <v>0.22721894161092532</v>
      </c>
    </row>
    <row r="8411" spans="1:14" hidden="1" outlineLevel="1" x14ac:dyDescent="0.2">
      <c r="A8411" s="23" t="str">
        <f>HYPERLINK("https://www.spark-marketing.ru/Card/Person/1026374", "МБОУ ""ДРУЖНОГОРСКАЯ СОШ""")</f>
        <v>МБОУ "ДРУЖНОГОРСКАЯ СОШ"</v>
      </c>
      <c r="B8411" s="24" t="s">
        <v>12321</v>
      </c>
      <c r="C8411" s="25">
        <v>1837056</v>
      </c>
      <c r="D8411" s="22" t="s">
        <v>12322</v>
      </c>
      <c r="E8411" s="22" t="s">
        <v>48</v>
      </c>
      <c r="F8411" s="23" t="str">
        <f>HYPERLINK("https://www.spark-marketing.ru/Card/Lot/72659579", "Услуги по организации питания для учащихся образовательных учреждений в 2019/2020 году")</f>
        <v>Услуги по организации питания для учащихся образовательных учреждений в 2019/2020 году</v>
      </c>
      <c r="G8411" s="22" t="s">
        <v>162</v>
      </c>
      <c r="H8411" s="22" t="s">
        <v>9367</v>
      </c>
      <c r="I8411" s="26">
        <v>43684.711284722202</v>
      </c>
      <c r="J8411" s="23" t="str">
        <f>HYPERLINK("https://www.spark-marketing.ru/Card/Person/90096", "Смирнов Иван Андреевич")</f>
        <v>Смирнов Иван Андреевич</v>
      </c>
      <c r="K8411" s="24" t="s">
        <v>3608</v>
      </c>
      <c r="L8411" s="28" t="s">
        <v>51</v>
      </c>
      <c r="M8411" s="25">
        <v>1419642.08</v>
      </c>
      <c r="N8411" s="27">
        <v>0.22721894161092532</v>
      </c>
    </row>
    <row r="8412" spans="1:14" x14ac:dyDescent="0.15">
      <c r="A8412" s="23" t="str">
        <f>HYPERLINK("https://www.spark-marketing.ru/Card/Person/1079791", "МБОУ ""СШ № 28""")</f>
        <v>МБОУ "СШ № 28"</v>
      </c>
      <c r="B8412" s="24" t="s">
        <v>12323</v>
      </c>
      <c r="C8412" s="25">
        <v>421637</v>
      </c>
      <c r="D8412" s="22" t="s">
        <v>12324</v>
      </c>
      <c r="E8412" s="22" t="s">
        <v>48</v>
      </c>
      <c r="F8412" s="23" t="str">
        <f>HYPERLINK("https://www.spark-marketing.ru/Card/Lot/72659353", "Оказание услуги по организации горячего питания и обеспечению горячим питанием учащихся МБОУ ""СШ № 28""")</f>
        <v>Оказание услуги по организации горячего питания и обеспечению горячим питанием учащихся МБОУ "СШ № 28"</v>
      </c>
      <c r="G8412" s="22" t="s">
        <v>460</v>
      </c>
      <c r="H8412" s="22" t="s">
        <v>461</v>
      </c>
      <c r="I8412" s="26">
        <v>43684.715381944399</v>
      </c>
      <c r="J8412" s="23" t="str">
        <f>HYPERLINK("https://www.spark-marketing.ru/Card/Person/836702", "МУП ""КСП""")</f>
        <v>МУП "КСП"</v>
      </c>
      <c r="K8412" s="24" t="s">
        <v>6532</v>
      </c>
      <c r="L8412" s="22" t="s">
        <v>10</v>
      </c>
      <c r="M8412" s="28" t="s">
        <v>51</v>
      </c>
      <c r="N8412" s="28" t="s">
        <v>51</v>
      </c>
    </row>
    <row r="8413" spans="1:14" x14ac:dyDescent="0.15">
      <c r="A8413" s="23" t="str">
        <f>HYPERLINK("https://www.spark-marketing.ru/Card/Person/82524", "МБОУ ""НИКОЛЬСКАЯ ООШ""")</f>
        <v>МБОУ "НИКОЛЬСКАЯ ООШ"</v>
      </c>
      <c r="B8413" s="24" t="s">
        <v>12325</v>
      </c>
      <c r="C8413" s="25">
        <v>888992</v>
      </c>
      <c r="D8413" s="22" t="s">
        <v>12326</v>
      </c>
      <c r="E8413" s="22" t="s">
        <v>48</v>
      </c>
      <c r="F8413" s="23" t="str">
        <f>HYPERLINK("https://www.spark-marketing.ru/Card/Lot/72659303",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</v>
      </c>
      <c r="G8413" s="22" t="s">
        <v>162</v>
      </c>
      <c r="H8413" s="22" t="s">
        <v>9367</v>
      </c>
      <c r="I8413" s="26">
        <v>43684.716944444401</v>
      </c>
      <c r="J8413" s="23" t="str">
        <f>HYPERLINK("https://www.spark-marketing.ru/Card/Person/127078", "Васильева Ирина Эдуардовна")</f>
        <v>Васильева Ирина Эдуардовна</v>
      </c>
      <c r="K8413" s="24" t="s">
        <v>2344</v>
      </c>
      <c r="L8413" s="22" t="s">
        <v>10</v>
      </c>
      <c r="M8413" s="28" t="s">
        <v>51</v>
      </c>
      <c r="N8413" s="28" t="s">
        <v>51</v>
      </c>
    </row>
    <row r="8414" spans="1:14" x14ac:dyDescent="0.15">
      <c r="A8414" s="23" t="str">
        <f>HYPERLINK("https://www.spark-marketing.ru/Card/Person/1026515", "МБОУ ""КОММУНАРСКАЯ СОШ № 2""")</f>
        <v>МБОУ "КОММУНАРСКАЯ СОШ № 2"</v>
      </c>
      <c r="B8414" s="24" t="s">
        <v>12327</v>
      </c>
      <c r="C8414" s="25">
        <v>1862536</v>
      </c>
      <c r="D8414" s="22" t="s">
        <v>12328</v>
      </c>
      <c r="E8414" s="22" t="s">
        <v>48</v>
      </c>
      <c r="F8414" s="23" t="str">
        <f>HYPERLINK("https://www.spark-marketing.ru/Card/Lot/72659608",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учебном году</v>
      </c>
      <c r="G8414" s="22" t="s">
        <v>162</v>
      </c>
      <c r="H8414" s="22" t="s">
        <v>9367</v>
      </c>
      <c r="I8414" s="26">
        <v>43684.713622685202</v>
      </c>
      <c r="J8414" s="23" t="str">
        <f>HYPERLINK("https://www.spark-marketing.ru/Card/Person/6483719", "Змушко Алла Васильевна")</f>
        <v>Змушко Алла Васильевна</v>
      </c>
      <c r="K8414" s="24" t="s">
        <v>12308</v>
      </c>
      <c r="L8414" s="22" t="s">
        <v>10</v>
      </c>
      <c r="M8414" s="28" t="s">
        <v>51</v>
      </c>
      <c r="N8414" s="28" t="s">
        <v>51</v>
      </c>
    </row>
    <row r="8415" spans="1:14" x14ac:dyDescent="0.2">
      <c r="A8415" s="23" t="s">
        <v>114</v>
      </c>
      <c r="B8415" s="28" t="s">
        <v>51</v>
      </c>
      <c r="C8415" s="25">
        <v>4003343</v>
      </c>
      <c r="D8415" s="22" t="s">
        <v>12329</v>
      </c>
      <c r="E8415" s="22" t="s">
        <v>48</v>
      </c>
      <c r="F8415" s="23" t="str">
        <f>HYPERLINK("https://www.spark-marketing.ru/Card/Lot/72659457", "Оказание услуг по организации питания для льготных категорий обучающихся и обеспечение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обеспечение молоком (кисломолочными продуктами) обучающихся 1-4 классов</v>
      </c>
      <c r="G8415" s="22" t="s">
        <v>51</v>
      </c>
      <c r="H8415" s="22" t="s">
        <v>51</v>
      </c>
      <c r="I8415" s="26">
        <v>43684.738194444399</v>
      </c>
      <c r="J8415" s="23" t="str">
        <f>HYPERLINK("https://www.spark-marketing.ru/Card/Person/42095", "ООО ""КОМБИНАТ СОЦИАЛЬНОГО ПИТАНИЯ""")</f>
        <v>ООО "КОМБИНАТ СОЦИАЛЬНОГО ПИТАНИЯ"</v>
      </c>
      <c r="K8415" s="24" t="s">
        <v>12318</v>
      </c>
      <c r="L8415" s="28" t="s">
        <v>51</v>
      </c>
      <c r="M8415" s="25">
        <v>4003343</v>
      </c>
      <c r="N8415" s="27">
        <v>0</v>
      </c>
    </row>
    <row r="8416" spans="1:14" hidden="1" outlineLevel="1" x14ac:dyDescent="0.2">
      <c r="A8416" s="23" t="str">
        <f>HYPERLINK("https://www.spark-marketing.ru/Card/Person/31266", "МБОУ ""СОШ № 10""")</f>
        <v>МБОУ "СОШ № 10"</v>
      </c>
      <c r="B8416" s="24" t="s">
        <v>12330</v>
      </c>
      <c r="C8416" s="25">
        <v>2984480</v>
      </c>
      <c r="D8416" s="22" t="s">
        <v>12329</v>
      </c>
      <c r="E8416" s="22" t="s">
        <v>48</v>
      </c>
      <c r="F8416" s="23" t="str">
        <f>HYPERLINK("https://www.spark-marketing.ru/Card/Lot/72659457", "Оказание услуг по организации питания для льготных категорий обучающихся и обеспечение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обеспечение молоком (кисломолочными продуктами) обучающихся 1-4 классов</v>
      </c>
      <c r="G8416" s="22" t="s">
        <v>162</v>
      </c>
      <c r="H8416" s="22" t="s">
        <v>10137</v>
      </c>
      <c r="I8416" s="26">
        <v>43684.738194444399</v>
      </c>
      <c r="J8416" s="23" t="str">
        <f>HYPERLINK("https://www.spark-marketing.ru/Card/Person/42095", "ООО ""КОМБИНАТ СОЦИАЛЬНОГО ПИТАНИЯ""")</f>
        <v>ООО "КОМБИНАТ СОЦИАЛЬНОГО ПИТАНИЯ"</v>
      </c>
      <c r="K8416" s="24" t="s">
        <v>12318</v>
      </c>
      <c r="L8416" s="28" t="s">
        <v>51</v>
      </c>
      <c r="M8416" s="28" t="s">
        <v>51</v>
      </c>
      <c r="N8416" s="27">
        <v>0</v>
      </c>
    </row>
    <row r="8417" spans="1:14" hidden="1" outlineLevel="1" x14ac:dyDescent="0.2">
      <c r="A8417" s="23" t="str">
        <f>HYPERLINK("https://www.spark-marketing.ru/Card/Person/46504", "МБОУ ""СОШ № 12""")</f>
        <v>МБОУ "СОШ № 12"</v>
      </c>
      <c r="B8417" s="24" t="s">
        <v>12331</v>
      </c>
      <c r="C8417" s="25">
        <v>1018863</v>
      </c>
      <c r="D8417" s="22" t="s">
        <v>12329</v>
      </c>
      <c r="E8417" s="22" t="s">
        <v>48</v>
      </c>
      <c r="F8417" s="23" t="str">
        <f>HYPERLINK("https://www.spark-marketing.ru/Card/Lot/72659457", "Оказание услуг по организации питания для льготных категорий обучающихся и обеспечение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обеспечение молоком (кисломолочными продуктами) обучающихся 1-4 классов</v>
      </c>
      <c r="G8417" s="22" t="s">
        <v>162</v>
      </c>
      <c r="H8417" s="22" t="s">
        <v>10137</v>
      </c>
      <c r="I8417" s="26">
        <v>43684.738194444399</v>
      </c>
      <c r="J8417" s="23" t="str">
        <f>HYPERLINK("https://www.spark-marketing.ru/Card/Person/42095", "ООО ""КОМБИНАТ СОЦИАЛЬНОГО ПИТАНИЯ""")</f>
        <v>ООО "КОМБИНАТ СОЦИАЛЬНОГО ПИТАНИЯ"</v>
      </c>
      <c r="K8417" s="24" t="s">
        <v>12318</v>
      </c>
      <c r="L8417" s="28" t="s">
        <v>51</v>
      </c>
      <c r="M8417" s="28" t="s">
        <v>51</v>
      </c>
      <c r="N8417" s="27">
        <v>0</v>
      </c>
    </row>
    <row r="8418" spans="1:14" x14ac:dyDescent="0.15">
      <c r="A8418" s="23" t="str">
        <f>HYPERLINK("https://www.spark-marketing.ru/Card/Person/127386", "МБОУ ""СИВЕРСКАЯ ГИМНАЗИЯ""")</f>
        <v>МБОУ "СИВЕРСКАЯ ГИМНАЗИЯ"</v>
      </c>
      <c r="B8418" s="24" t="s">
        <v>12332</v>
      </c>
      <c r="C8418" s="25">
        <v>2648984</v>
      </c>
      <c r="D8418" s="22" t="s">
        <v>12333</v>
      </c>
      <c r="E8418" s="22" t="s">
        <v>48</v>
      </c>
      <c r="F8418" s="23" t="str">
        <f>HYPERLINK("https://www.spark-marketing.ru/Card/Lot/72659686",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2019-2010гг.")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2019-2010гг.</v>
      </c>
      <c r="G8418" s="22" t="s">
        <v>162</v>
      </c>
      <c r="H8418" s="22" t="s">
        <v>9367</v>
      </c>
      <c r="I8418" s="26">
        <v>43684.727662037003</v>
      </c>
      <c r="J8418" s="23" t="str">
        <f>HYPERLINK("https://www.spark-marketing.ru/Card/Person/127256", "Жосан Ирина Петровна")</f>
        <v>Жосан Ирина Петровна</v>
      </c>
      <c r="K8418" s="24" t="s">
        <v>11809</v>
      </c>
      <c r="L8418" s="28" t="s">
        <v>51</v>
      </c>
      <c r="M8418" s="28" t="s">
        <v>51</v>
      </c>
      <c r="N8418" s="28" t="s">
        <v>51</v>
      </c>
    </row>
    <row r="8419" spans="1:14" ht="12.75" hidden="1" outlineLevel="1" x14ac:dyDescent="0.2">
      <c r="A8419" s="23" t="str">
        <f>HYPERLINK("https://www.spark-marketing.ru/Card/Person/127386", "МБОУ ""СИВЕРСКАЯ ГИМНАЗИЯ""")</f>
        <v>МБОУ "СИВЕРСКАЯ ГИМНАЗИЯ"</v>
      </c>
      <c r="B8419" s="24" t="s">
        <v>12332</v>
      </c>
      <c r="C8419" s="25">
        <v>2648984</v>
      </c>
      <c r="D8419" s="22" t="s">
        <v>12333</v>
      </c>
      <c r="E8419" s="22" t="s">
        <v>48</v>
      </c>
      <c r="F8419" s="23" t="str">
        <f>HYPERLINK("https://www.spark-marketing.ru/Card/Lot/72659686",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2019-2010гг.")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2019-2010гг.</v>
      </c>
      <c r="G8419" s="22" t="s">
        <v>162</v>
      </c>
      <c r="H8419" s="22" t="s">
        <v>9367</v>
      </c>
      <c r="I8419" s="26">
        <v>43684.727662037003</v>
      </c>
      <c r="J8419" s="23" t="str">
        <f>HYPERLINK("https://www.spark-marketing.ru/Card/Person/127256", "Жосан Ирина Петровна")</f>
        <v>Жосан Ирина Петровна</v>
      </c>
      <c r="K8419" s="24" t="s">
        <v>11809</v>
      </c>
      <c r="L8419" s="22" t="s">
        <v>10</v>
      </c>
      <c r="M8419" s="25">
        <v>2520000</v>
      </c>
      <c r="N8419" s="27">
        <v>4.8691875828619578E-2</v>
      </c>
    </row>
    <row r="8420" spans="1:14" x14ac:dyDescent="0.15">
      <c r="A8420" s="23" t="str">
        <f>HYPERLINK("https://www.spark-marketing.ru/Card/Person/1029616", "МБОУ ""КОБРИНСКАЯ ООШ""")</f>
        <v>МБОУ "КОБРИНСКАЯ ООШ"</v>
      </c>
      <c r="B8420" s="24" t="s">
        <v>12334</v>
      </c>
      <c r="C8420" s="25">
        <v>1030120</v>
      </c>
      <c r="D8420" s="22" t="s">
        <v>12335</v>
      </c>
      <c r="E8420" s="22" t="s">
        <v>48</v>
      </c>
      <c r="F8420" s="23" t="str">
        <f>HYPERLINK("https://www.spark-marketing.ru/Card/Lot/72659612",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2019/2020 учебном году</v>
      </c>
      <c r="G8420" s="22" t="s">
        <v>162</v>
      </c>
      <c r="H8420" s="22" t="s">
        <v>9367</v>
      </c>
      <c r="I8420" s="26">
        <v>43684.715254629598</v>
      </c>
      <c r="J8420" s="23" t="str">
        <f>HYPERLINK("https://www.spark-marketing.ru/Card/Person/671815", "Аттамуратова Галина Петровна")</f>
        <v>Аттамуратова Галина Петровна</v>
      </c>
      <c r="K8420" s="24" t="s">
        <v>12136</v>
      </c>
      <c r="L8420" s="22" t="s">
        <v>10</v>
      </c>
      <c r="M8420" s="28" t="s">
        <v>51</v>
      </c>
      <c r="N8420" s="28" t="s">
        <v>51</v>
      </c>
    </row>
    <row r="8421" spans="1:14" x14ac:dyDescent="0.15">
      <c r="A8421" s="23" t="str">
        <f>HYPERLINK("https://www.spark-marketing.ru/Card/Person/1059381", "МБОУ ""СШ № 24""")</f>
        <v>МБОУ "СШ № 24"</v>
      </c>
      <c r="B8421" s="24" t="s">
        <v>12336</v>
      </c>
      <c r="C8421" s="25">
        <v>588012</v>
      </c>
      <c r="D8421" s="22" t="s">
        <v>12337</v>
      </c>
      <c r="E8421" s="22" t="s">
        <v>48</v>
      </c>
      <c r="F8421" s="23" t="str">
        <f>HYPERLINK("https://www.spark-marketing.ru/Card/Lot/72659348", "Оказание услуг по организации горячего питания и обеспечению горячим питанием учащихся МБОУ ""СШ № 24""")</f>
        <v>Оказание услуг по организации горячего питания и обеспечению горячим питанием учащихся МБОУ "СШ № 24"</v>
      </c>
      <c r="G8421" s="22" t="s">
        <v>460</v>
      </c>
      <c r="H8421" s="22" t="s">
        <v>461</v>
      </c>
      <c r="I8421" s="26">
        <v>43684.713171296302</v>
      </c>
      <c r="J8421" s="28" t="s">
        <v>51</v>
      </c>
      <c r="K8421" s="28" t="s">
        <v>51</v>
      </c>
      <c r="L8421" s="28" t="s">
        <v>51</v>
      </c>
      <c r="M8421" s="28" t="s">
        <v>51</v>
      </c>
      <c r="N8421" s="28" t="s">
        <v>51</v>
      </c>
    </row>
    <row r="8422" spans="1:14" x14ac:dyDescent="0.15">
      <c r="A8422" s="23" t="str">
        <f>HYPERLINK("https://www.spark-marketing.ru/Card/Person/151015", "СРЦДН Г. ГЛАЗОВА «СЕМЬЯ»")</f>
        <v>СРЦДН Г. ГЛАЗОВА «СЕМЬЯ»</v>
      </c>
      <c r="B8422" s="24" t="s">
        <v>990</v>
      </c>
      <c r="C8422" s="25">
        <v>328400</v>
      </c>
      <c r="D8422" s="22" t="s">
        <v>12338</v>
      </c>
      <c r="E8422" s="22" t="s">
        <v>48</v>
      </c>
      <c r="F8422" s="23" t="str">
        <f>HYPERLINK("https://www.spark-marketing.ru/Card/Lot/72662547", "№ зз-26495-19 Оказание услуг по организации питания несовершеннолетних")</f>
        <v>№ зз-26495-19 Оказание услуг по организации питания несовершеннолетних</v>
      </c>
      <c r="G8422" s="22" t="s">
        <v>852</v>
      </c>
      <c r="H8422" s="22" t="s">
        <v>992</v>
      </c>
      <c r="I8422" s="26">
        <v>43684.7418287037</v>
      </c>
      <c r="J8422" s="28" t="s">
        <v>51</v>
      </c>
      <c r="K8422" s="28" t="s">
        <v>51</v>
      </c>
      <c r="L8422" s="28" t="s">
        <v>51</v>
      </c>
      <c r="M8422" s="28" t="s">
        <v>51</v>
      </c>
      <c r="N8422" s="28" t="s">
        <v>51</v>
      </c>
    </row>
    <row r="8423" spans="1:14" hidden="1" outlineLevel="1" x14ac:dyDescent="0.2">
      <c r="A8423" s="23" t="str">
        <f>HYPERLINK("https://www.spark-marketing.ru/Card/Person/151015", "СРЦДН Г. ГЛАЗОВА «СЕМЬЯ»")</f>
        <v>СРЦДН Г. ГЛАЗОВА «СЕМЬЯ»</v>
      </c>
      <c r="B8423" s="24" t="s">
        <v>990</v>
      </c>
      <c r="C8423" s="25">
        <v>328400</v>
      </c>
      <c r="D8423" s="22" t="s">
        <v>12338</v>
      </c>
      <c r="E8423" s="22" t="s">
        <v>48</v>
      </c>
      <c r="F8423" s="23" t="str">
        <f>HYPERLINK("https://www.spark-marketing.ru/Card/Lot/72662547", "№ зз-26495-19 Оказание услуг по организации питания несовершеннолетних")</f>
        <v>№ зз-26495-19 Оказание услуг по организации питания несовершеннолетних</v>
      </c>
      <c r="G8423" s="22" t="s">
        <v>852</v>
      </c>
      <c r="H8423" s="22" t="s">
        <v>992</v>
      </c>
      <c r="I8423" s="26">
        <v>43684.7418287037</v>
      </c>
      <c r="J8423" s="23" t="str">
        <f>HYPERLINK("https://www.spark-marketing.ru/Card/Person/44655", "МАУ ""ЗДОРОВОЕ ПИТАНИЕ""")</f>
        <v>МАУ "ЗДОРОВОЕ ПИТАНИЕ"</v>
      </c>
      <c r="K8423" s="24" t="s">
        <v>11857</v>
      </c>
      <c r="L8423" s="28" t="s">
        <v>51</v>
      </c>
      <c r="M8423" s="25">
        <v>311914</v>
      </c>
      <c r="N8423" s="27">
        <v>5.0200974421437269E-2</v>
      </c>
    </row>
    <row r="8424" spans="1:14" ht="12.75" hidden="1" outlineLevel="1" x14ac:dyDescent="0.2">
      <c r="A8424" s="23" t="str">
        <f>HYPERLINK("https://www.spark-marketing.ru/Card/Person/151015", "СРЦДН Г. ГЛАЗОВА «СЕМЬЯ»")</f>
        <v>СРЦДН Г. ГЛАЗОВА «СЕМЬЯ»</v>
      </c>
      <c r="B8424" s="24" t="s">
        <v>990</v>
      </c>
      <c r="C8424" s="25">
        <v>328400</v>
      </c>
      <c r="D8424" s="22" t="s">
        <v>12338</v>
      </c>
      <c r="E8424" s="22" t="s">
        <v>48</v>
      </c>
      <c r="F8424" s="23" t="str">
        <f>HYPERLINK("https://www.spark-marketing.ru/Card/Lot/72662547", "№ зз-26495-19 Оказание услуг по организации питания несовершеннолетних")</f>
        <v>№ зз-26495-19 Оказание услуг по организации питания несовершеннолетних</v>
      </c>
      <c r="G8424" s="22" t="s">
        <v>852</v>
      </c>
      <c r="H8424" s="22" t="s">
        <v>992</v>
      </c>
      <c r="I8424" s="26">
        <v>43684.7418287037</v>
      </c>
      <c r="J8424" s="23" t="str">
        <f>HYPERLINK("https://www.spark-marketing.ru/Card/Person/6468263", "ООО ""ОБЩЕПИТ СЕРВИС""")</f>
        <v>ООО "ОБЩЕПИТ СЕРВИС"</v>
      </c>
      <c r="K8424" s="24" t="s">
        <v>11858</v>
      </c>
      <c r="L8424" s="22" t="s">
        <v>10</v>
      </c>
      <c r="M8424" s="25">
        <v>307100</v>
      </c>
      <c r="N8424" s="27">
        <v>6.4859926918392208E-2</v>
      </c>
    </row>
    <row r="8425" spans="1:14" x14ac:dyDescent="0.15">
      <c r="A8425" s="23" t="str">
        <f>HYPERLINK("https://www.spark-marketing.ru/Card/Person/92900", "МБОУ ""СИВЕРСКАЯ СОШ № 3""")</f>
        <v>МБОУ "СИВЕРСКАЯ СОШ № 3"</v>
      </c>
      <c r="B8425" s="24" t="s">
        <v>12339</v>
      </c>
      <c r="C8425" s="25">
        <v>1855256</v>
      </c>
      <c r="D8425" s="22" t="s">
        <v>12340</v>
      </c>
      <c r="E8425" s="22" t="s">
        <v>48</v>
      </c>
      <c r="F8425" s="23" t="str">
        <f>HYPERLINK("https://www.spark-marketing.ru/Card/Lot/72659683", "Оказание услуг по организации питания для учащихся общеобразовательных учреждений в 2019/2020 учебном году")</f>
        <v>Оказание услуг по организации питания для учащихся общеобразовательных учреждений в 2019/2020 учебном году</v>
      </c>
      <c r="G8425" s="22" t="s">
        <v>162</v>
      </c>
      <c r="H8425" s="22" t="s">
        <v>162</v>
      </c>
      <c r="I8425" s="26">
        <v>43684.726527777799</v>
      </c>
      <c r="J8425" s="23" t="str">
        <f>HYPERLINK("https://www.spark-marketing.ru/Card/Person/127256", "Жосан Ирина Петровна")</f>
        <v>Жосан Ирина Петровна</v>
      </c>
      <c r="K8425" s="24" t="s">
        <v>11809</v>
      </c>
      <c r="L8425" s="28" t="s">
        <v>51</v>
      </c>
      <c r="M8425" s="28" t="s">
        <v>51</v>
      </c>
      <c r="N8425" s="28" t="s">
        <v>51</v>
      </c>
    </row>
    <row r="8426" spans="1:14" ht="12.75" hidden="1" outlineLevel="1" x14ac:dyDescent="0.2">
      <c r="A8426" s="23" t="str">
        <f>HYPERLINK("https://www.spark-marketing.ru/Card/Person/92900", "МБОУ ""СИВЕРСКАЯ СОШ № 3""")</f>
        <v>МБОУ "СИВЕРСКАЯ СОШ № 3"</v>
      </c>
      <c r="B8426" s="24" t="s">
        <v>12339</v>
      </c>
      <c r="C8426" s="25">
        <v>1855256</v>
      </c>
      <c r="D8426" s="22" t="s">
        <v>12340</v>
      </c>
      <c r="E8426" s="22" t="s">
        <v>48</v>
      </c>
      <c r="F8426" s="23" t="str">
        <f>HYPERLINK("https://www.spark-marketing.ru/Card/Lot/72659683", "Оказание услуг по организации питания для учащихся общеобразовательных учреждений в 2019/2020 учебном году")</f>
        <v>Оказание услуг по организации питания для учащихся общеобразовательных учреждений в 2019/2020 учебном году</v>
      </c>
      <c r="G8426" s="22" t="s">
        <v>162</v>
      </c>
      <c r="H8426" s="22" t="s">
        <v>162</v>
      </c>
      <c r="I8426" s="26">
        <v>43684.726527777799</v>
      </c>
      <c r="J8426" s="23" t="str">
        <f>HYPERLINK("https://www.spark-marketing.ru/Card/Person/127256", "Жосан Ирина Петровна")</f>
        <v>Жосан Ирина Петровна</v>
      </c>
      <c r="K8426" s="24" t="s">
        <v>11809</v>
      </c>
      <c r="L8426" s="22" t="s">
        <v>10</v>
      </c>
      <c r="M8426" s="25">
        <v>1785000</v>
      </c>
      <c r="N8426" s="27">
        <v>3.7868628372580385E-2</v>
      </c>
    </row>
    <row r="8427" spans="1:14" x14ac:dyDescent="0.15">
      <c r="A8427" s="23" t="str">
        <f>HYPERLINK("https://www.spark-marketing.ru/Card/Person/106058", "МБОУ ""БОЛЬШЕКОЛПАНСКАЯ СОШ""")</f>
        <v>МБОУ "БОЛЬШЕКОЛПАНСКАЯ СОШ"</v>
      </c>
      <c r="B8427" s="24" t="s">
        <v>12341</v>
      </c>
      <c r="C8427" s="25">
        <v>1365208</v>
      </c>
      <c r="D8427" s="22" t="s">
        <v>12342</v>
      </c>
      <c r="E8427" s="22" t="s">
        <v>48</v>
      </c>
      <c r="F8427" s="23" t="str">
        <f>HYPERLINK("https://www.spark-marketing.ru/Card/Lot/72659574",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годах")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годах</v>
      </c>
      <c r="G8427" s="22" t="s">
        <v>162</v>
      </c>
      <c r="H8427" s="22" t="s">
        <v>9367</v>
      </c>
      <c r="I8427" s="26">
        <v>43684.708946759303</v>
      </c>
      <c r="J8427" s="23" t="str">
        <f>HYPERLINK("https://www.spark-marketing.ru/Card/Person/671968", "Сюртукова Людмила Ивановна")</f>
        <v>Сюртукова Людмила Ивановна</v>
      </c>
      <c r="K8427" s="24" t="s">
        <v>12343</v>
      </c>
      <c r="L8427" s="22" t="s">
        <v>10</v>
      </c>
      <c r="M8427" s="28" t="s">
        <v>51</v>
      </c>
      <c r="N8427" s="28" t="s">
        <v>51</v>
      </c>
    </row>
    <row r="8428" spans="1:14" x14ac:dyDescent="0.15">
      <c r="A8428" s="23" t="str">
        <f>HYPERLINK("https://www.spark-marketing.ru/Card/Person/70609", "МБОУ ""ВЫРИЦКАЯ СОШ № 1""")</f>
        <v>МБОУ "ВЫРИЦКАЯ СОШ № 1"</v>
      </c>
      <c r="B8428" s="24" t="s">
        <v>12344</v>
      </c>
      <c r="C8428" s="25">
        <v>2715336</v>
      </c>
      <c r="D8428" s="22" t="s">
        <v>12345</v>
      </c>
      <c r="E8428" s="22" t="s">
        <v>48</v>
      </c>
      <c r="F8428" s="23" t="str">
        <f>HYPERLINK("https://www.spark-marketing.ru/Card/Lot/72659576", "Оказание услуг по организации горячего питания для учащихся образовательных учреждений Гатчинского муниципального района Ленинградской области в 2019/2020 гг")</f>
        <v>Оказание услуг по организации горячего питания для учащихся образовательных учреждений Гатчинского муниципального района Ленинградской области в 2019/2020 гг</v>
      </c>
      <c r="G8428" s="22" t="s">
        <v>162</v>
      </c>
      <c r="H8428" s="22" t="s">
        <v>9367</v>
      </c>
      <c r="I8428" s="26">
        <v>43684.710451388899</v>
      </c>
      <c r="J8428" s="23" t="str">
        <f>HYPERLINK("https://www.spark-marketing.ru/Card/Person/127256", "Жосан Ирина Петровна")</f>
        <v>Жосан Ирина Петровна</v>
      </c>
      <c r="K8428" s="24" t="s">
        <v>11809</v>
      </c>
      <c r="L8428" s="22" t="s">
        <v>10</v>
      </c>
      <c r="M8428" s="28" t="s">
        <v>51</v>
      </c>
      <c r="N8428" s="28" t="s">
        <v>51</v>
      </c>
    </row>
    <row r="8429" spans="1:14" x14ac:dyDescent="0.15">
      <c r="A8429" s="23" t="str">
        <f>HYPERLINK("https://www.spark-marketing.ru/Card/Person/429282", "МБОУ ""ПУДОСТЬСКАЯ СОШ""")</f>
        <v>МБОУ "ПУДОСТЬСКАЯ СОШ"</v>
      </c>
      <c r="B8429" s="24" t="s">
        <v>12346</v>
      </c>
      <c r="C8429" s="25">
        <v>2641808</v>
      </c>
      <c r="D8429" s="22" t="s">
        <v>12347</v>
      </c>
      <c r="E8429" s="22" t="s">
        <v>48</v>
      </c>
      <c r="F8429" s="23" t="str">
        <f>HYPERLINK("https://www.spark-marketing.ru/Card/Lot/72659618",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2019 --2020 г.")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2019 --2020 г.</v>
      </c>
      <c r="G8429" s="22" t="s">
        <v>162</v>
      </c>
      <c r="H8429" s="22" t="s">
        <v>9367</v>
      </c>
      <c r="I8429" s="26">
        <v>43684.717430555596</v>
      </c>
      <c r="J8429" s="23" t="str">
        <f>HYPERLINK("https://www.spark-marketing.ru/Card/Person/671854", "Яковлева Ирина Викторовна")</f>
        <v>Яковлева Ирина Викторовна</v>
      </c>
      <c r="K8429" s="24" t="s">
        <v>12348</v>
      </c>
      <c r="L8429" s="22" t="s">
        <v>10</v>
      </c>
      <c r="M8429" s="28" t="s">
        <v>51</v>
      </c>
      <c r="N8429" s="28" t="s">
        <v>51</v>
      </c>
    </row>
    <row r="8430" spans="1:14" x14ac:dyDescent="0.15">
      <c r="A8430" s="23" t="str">
        <f>HYPERLINK("https://www.spark-marketing.ru/Card/Person/147615", "МБОУ ""РОЖДЕСТВЕНСКАЯ СОШ""")</f>
        <v>МБОУ "РОЖДЕСТВЕНСКАЯ СОШ"</v>
      </c>
      <c r="B8430" s="24" t="s">
        <v>12349</v>
      </c>
      <c r="C8430" s="25">
        <v>2009072</v>
      </c>
      <c r="D8430" s="22" t="s">
        <v>12350</v>
      </c>
      <c r="E8430" s="22" t="s">
        <v>48</v>
      </c>
      <c r="F8430" s="23" t="str">
        <f>HYPERLINK("https://www.spark-marketing.ru/Card/Lot/72659588",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годах")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годах</v>
      </c>
      <c r="G8430" s="22" t="s">
        <v>162</v>
      </c>
      <c r="H8430" s="22" t="s">
        <v>9367</v>
      </c>
      <c r="I8430" s="26">
        <v>43684.719097222202</v>
      </c>
      <c r="J8430" s="28" t="s">
        <v>51</v>
      </c>
      <c r="K8430" s="28" t="s">
        <v>51</v>
      </c>
      <c r="L8430" s="28" t="s">
        <v>51</v>
      </c>
      <c r="M8430" s="28" t="s">
        <v>51</v>
      </c>
      <c r="N8430" s="28" t="s">
        <v>51</v>
      </c>
    </row>
    <row r="8431" spans="1:14" hidden="1" outlineLevel="1" x14ac:dyDescent="0.2">
      <c r="A8431" s="23" t="str">
        <f>HYPERLINK("https://www.spark-marketing.ru/Card/Person/147615", "МБОУ ""РОЖДЕСТВЕНСКАЯ СОШ""")</f>
        <v>МБОУ "РОЖДЕСТВЕНСКАЯ СОШ"</v>
      </c>
      <c r="B8431" s="24" t="s">
        <v>12349</v>
      </c>
      <c r="C8431" s="25">
        <v>2009072</v>
      </c>
      <c r="D8431" s="22" t="s">
        <v>12350</v>
      </c>
      <c r="E8431" s="22" t="s">
        <v>48</v>
      </c>
      <c r="F8431" s="23" t="str">
        <f>HYPERLINK("https://www.spark-marketing.ru/Card/Lot/72659588",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годах")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годах</v>
      </c>
      <c r="G8431" s="22" t="s">
        <v>162</v>
      </c>
      <c r="H8431" s="22" t="s">
        <v>9367</v>
      </c>
      <c r="I8431" s="26">
        <v>43684.719097222202</v>
      </c>
      <c r="J8431" s="23" t="str">
        <f>HYPERLINK("https://www.spark-marketing.ru/Card/Person/90096", "Смирнов Иван Андреевич")</f>
        <v>Смирнов Иван Андреевич</v>
      </c>
      <c r="K8431" s="24" t="s">
        <v>3608</v>
      </c>
      <c r="L8431" s="28" t="s">
        <v>51</v>
      </c>
      <c r="M8431" s="25">
        <v>1546900</v>
      </c>
      <c r="N8431" s="27">
        <v>0.23004252709708761</v>
      </c>
    </row>
    <row r="8432" spans="1:14" ht="12.75" hidden="1" outlineLevel="1" x14ac:dyDescent="0.2">
      <c r="A8432" s="23" t="str">
        <f>HYPERLINK("https://www.spark-marketing.ru/Card/Person/147615", "МБОУ ""РОЖДЕСТВЕНСКАЯ СОШ""")</f>
        <v>МБОУ "РОЖДЕСТВЕНСКАЯ СОШ"</v>
      </c>
      <c r="B8432" s="24" t="s">
        <v>12349</v>
      </c>
      <c r="C8432" s="25">
        <v>2009072</v>
      </c>
      <c r="D8432" s="22" t="s">
        <v>12350</v>
      </c>
      <c r="E8432" s="22" t="s">
        <v>48</v>
      </c>
      <c r="F8432" s="23" t="str">
        <f>HYPERLINK("https://www.spark-marketing.ru/Card/Lot/72659588",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годах")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годах</v>
      </c>
      <c r="G8432" s="22" t="s">
        <v>162</v>
      </c>
      <c r="H8432" s="22" t="s">
        <v>9367</v>
      </c>
      <c r="I8432" s="26">
        <v>43684.719097222202</v>
      </c>
      <c r="J8432" s="23" t="str">
        <f>HYPERLINK("https://www.spark-marketing.ru/Card/Person/671813", "Барсукова Тамара Ивановна")</f>
        <v>Барсукова Тамара Ивановна</v>
      </c>
      <c r="K8432" s="24" t="s">
        <v>11803</v>
      </c>
      <c r="L8432" s="22" t="s">
        <v>10</v>
      </c>
      <c r="M8432" s="25">
        <v>1528346.24</v>
      </c>
      <c r="N8432" s="27">
        <v>0.23927751718206217</v>
      </c>
    </row>
    <row r="8433" spans="1:14" x14ac:dyDescent="0.15">
      <c r="A8433" s="23" t="str">
        <f>HYPERLINK("https://www.spark-marketing.ru/Card/Person/1047875", "МБОУ ""ВЫСОКОКЛЮЧЕВАЯ СОШ""")</f>
        <v>МБОУ "ВЫСОКОКЛЮЧЕВАЯ СОШ"</v>
      </c>
      <c r="B8433" s="24" t="s">
        <v>12351</v>
      </c>
      <c r="C8433" s="25">
        <v>1111136</v>
      </c>
      <c r="D8433" s="22" t="s">
        <v>12352</v>
      </c>
      <c r="E8433" s="22" t="s">
        <v>48</v>
      </c>
      <c r="F8433" s="23" t="str">
        <f>HYPERLINK("https://www.spark-marketing.ru/Card/Lot/72657328", "Оказание услуг по организации горячего питания для учащихся МБОУ «Высокоключевая СОШ» в 2019-2020 учебном году")</f>
        <v>Оказание услуг по организации горячего питания для учащихся МБОУ «Высокоключевая СОШ» в 2019-2020 учебном году</v>
      </c>
      <c r="G8433" s="22" t="s">
        <v>162</v>
      </c>
      <c r="H8433" s="22" t="s">
        <v>9367</v>
      </c>
      <c r="I8433" s="26">
        <v>43684.710011574098</v>
      </c>
      <c r="J8433" s="23" t="str">
        <f>HYPERLINK("https://www.spark-marketing.ru/Card/Person/671813", "Барсукова Тамара Ивановна")</f>
        <v>Барсукова Тамара Ивановна</v>
      </c>
      <c r="K8433" s="24" t="s">
        <v>11803</v>
      </c>
      <c r="L8433" s="22" t="s">
        <v>10</v>
      </c>
      <c r="M8433" s="28" t="s">
        <v>51</v>
      </c>
      <c r="N8433" s="28" t="s">
        <v>51</v>
      </c>
    </row>
    <row r="8434" spans="1:14" x14ac:dyDescent="0.15">
      <c r="A8434" s="23" t="str">
        <f>HYPERLINK("https://www.spark-marketing.ru/Card/Person/24428", "МБОУ ""КОБРАЛОВСКАЯ ООШ""")</f>
        <v>МБОУ "КОБРАЛОВСКАЯ ООШ"</v>
      </c>
      <c r="B8434" s="24" t="s">
        <v>12353</v>
      </c>
      <c r="C8434" s="25">
        <v>722280</v>
      </c>
      <c r="D8434" s="22" t="s">
        <v>12354</v>
      </c>
      <c r="E8434" s="22" t="s">
        <v>48</v>
      </c>
      <c r="F8434" s="23" t="str">
        <f>HYPERLINK("https://www.spark-marketing.ru/Card/Lot/72659346",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</v>
      </c>
      <c r="G8434" s="22" t="s">
        <v>162</v>
      </c>
      <c r="H8434" s="22" t="s">
        <v>9367</v>
      </c>
      <c r="I8434" s="26">
        <v>43684.7124189815</v>
      </c>
      <c r="J8434" s="23" t="str">
        <f>HYPERLINK("https://www.spark-marketing.ru/Card/Person/127256", "Жосан Ирина Петровна")</f>
        <v>Жосан Ирина Петровна</v>
      </c>
      <c r="K8434" s="24" t="s">
        <v>11809</v>
      </c>
      <c r="L8434" s="22" t="s">
        <v>10</v>
      </c>
      <c r="M8434" s="28" t="s">
        <v>51</v>
      </c>
      <c r="N8434" s="28" t="s">
        <v>51</v>
      </c>
    </row>
    <row r="8435" spans="1:14" x14ac:dyDescent="0.15">
      <c r="A8435" s="23" t="str">
        <f>HYPERLINK("https://www.spark-marketing.ru/Card/Person/148087", "МБОУ ""ПРИГОРОДНАЯ СОШ""")</f>
        <v>МБОУ "ПРИГОРОДНАЯ СОШ"</v>
      </c>
      <c r="B8435" s="24" t="s">
        <v>12355</v>
      </c>
      <c r="C8435" s="25">
        <v>1871688</v>
      </c>
      <c r="D8435" s="22" t="s">
        <v>12356</v>
      </c>
      <c r="E8435" s="22" t="s">
        <v>48</v>
      </c>
      <c r="F8435" s="23" t="str">
        <f>HYPERLINK("https://www.spark-marketing.ru/Card/Lot/72659587",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учебном году")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учебном году</v>
      </c>
      <c r="G8435" s="22" t="s">
        <v>162</v>
      </c>
      <c r="H8435" s="22" t="s">
        <v>9367</v>
      </c>
      <c r="I8435" s="26">
        <v>43684.718587962998</v>
      </c>
      <c r="J8435" s="23" t="str">
        <f>HYPERLINK("https://www.spark-marketing.ru/Card/Person/419829", "Кулиева Елена Арифовна")</f>
        <v>Кулиева Елена Арифовна</v>
      </c>
      <c r="K8435" s="24" t="s">
        <v>12357</v>
      </c>
      <c r="L8435" s="22" t="s">
        <v>10</v>
      </c>
      <c r="M8435" s="28" t="s">
        <v>51</v>
      </c>
      <c r="N8435" s="28" t="s">
        <v>51</v>
      </c>
    </row>
    <row r="8436" spans="1:14" collapsed="1" x14ac:dyDescent="0.15">
      <c r="A8436" s="23" t="str">
        <f>HYPERLINK("https://www.spark-marketing.ru/Card/Person/732392", "МБОУ ШКОЛА-ИНТЕРНАТ Г. БЕЛЕБЕЯ")</f>
        <v>МБОУ ШКОЛА-ИНТЕРНАТ Г. БЕЛЕБЕЯ</v>
      </c>
      <c r="B8436" s="24" t="s">
        <v>12358</v>
      </c>
      <c r="C8436" s="25">
        <v>2821960</v>
      </c>
      <c r="D8436" s="22" t="s">
        <v>12359</v>
      </c>
      <c r="E8436" s="22" t="s">
        <v>48</v>
      </c>
      <c r="F8436" s="23" t="str">
        <f>HYPERLINK("https://www.spark-marketing.ru/Card/Lot/72656043", "Оказание услуг по организации горячего питания для обучающихся МБОУ школы - интернат г. Белебея муниципального района Белебеевский район Республики Башкортостан с сентября по декабрь 2019 года")</f>
        <v>Оказание услуг по организации горячего питания для обучающихся МБОУ школы - интернат г. Белебея муниципального района Белебеевский район Республики Башкортостан с сентября по декабрь 2019 года</v>
      </c>
      <c r="G8436" s="22" t="s">
        <v>145</v>
      </c>
      <c r="H8436" s="22" t="s">
        <v>12360</v>
      </c>
      <c r="I8436" s="26">
        <v>43684.683449074102</v>
      </c>
      <c r="J8436" s="23" t="str">
        <f>HYPERLINK("https://www.spark-marketing.ru/Card/Person/6427617", "ООО ""КОМБИНАТ ПИТАНИЯ""")</f>
        <v>ООО "КОМБИНАТ ПИТАНИЯ"</v>
      </c>
      <c r="K8436" s="24" t="s">
        <v>12361</v>
      </c>
      <c r="L8436" s="28" t="s">
        <v>51</v>
      </c>
      <c r="M8436" s="28" t="s">
        <v>51</v>
      </c>
      <c r="N8436" s="28" t="s">
        <v>51</v>
      </c>
    </row>
    <row r="8437" spans="1:14" ht="12.75" hidden="1" outlineLevel="1" x14ac:dyDescent="0.2">
      <c r="A8437" s="23" t="str">
        <f>HYPERLINK("https://www.spark-marketing.ru/Card/Person/732392", "МБОУ ШКОЛА-ИНТЕРНАТ Г. БЕЛЕБЕЯ")</f>
        <v>МБОУ ШКОЛА-ИНТЕРНАТ Г. БЕЛЕБЕЯ</v>
      </c>
      <c r="B8437" s="24" t="s">
        <v>12358</v>
      </c>
      <c r="C8437" s="25">
        <v>2821960</v>
      </c>
      <c r="D8437" s="22" t="s">
        <v>12359</v>
      </c>
      <c r="E8437" s="22" t="s">
        <v>48</v>
      </c>
      <c r="F8437" s="23" t="str">
        <f>HYPERLINK("https://www.spark-marketing.ru/Card/Lot/72656043", "Оказание услуг по организации горячего питания для обучающихся МБОУ школы - интернат г. Белебея муниципального района Белебеевский район Республики Башкортостан с сентября по декабрь 2019 года")</f>
        <v>Оказание услуг по организации горячего питания для обучающихся МБОУ школы - интернат г. Белебея муниципального района Белебеевский район Республики Башкортостан с сентября по декабрь 2019 года</v>
      </c>
      <c r="G8437" s="22" t="s">
        <v>145</v>
      </c>
      <c r="H8437" s="22" t="s">
        <v>12360</v>
      </c>
      <c r="I8437" s="26">
        <v>43684.683449074102</v>
      </c>
      <c r="J8437" s="23" t="str">
        <f>HYPERLINK("https://www.spark-marketing.ru/Card/Person/6427617", "ООО ""КОМБИНАТ ПИТАНИЯ""")</f>
        <v>ООО "КОМБИНАТ ПИТАНИЯ"</v>
      </c>
      <c r="K8437" s="24" t="s">
        <v>12361</v>
      </c>
      <c r="L8437" s="22" t="s">
        <v>10</v>
      </c>
      <c r="M8437" s="25">
        <v>2807850.2</v>
      </c>
      <c r="N8437" s="27">
        <v>5.0000000000000001E-3</v>
      </c>
    </row>
    <row r="8438" spans="1:14" x14ac:dyDescent="0.15">
      <c r="A8438" s="23" t="str">
        <f>HYPERLINK("https://www.spark-marketing.ru/Card/Person/14564", "УМВД РОССИИ ПО ЗАБАЙКАЛЬСКОМУ КРАЮ")</f>
        <v>УМВД РОССИИ ПО ЗАБАЙКАЛЬСКОМУ КРАЮ</v>
      </c>
      <c r="B8438" s="24" t="s">
        <v>12362</v>
      </c>
      <c r="C8438" s="25">
        <v>4197190.01</v>
      </c>
      <c r="D8438" s="22" t="s">
        <v>12363</v>
      </c>
      <c r="E8438" s="22" t="s">
        <v>96</v>
      </c>
      <c r="F8438" s="23" t="str">
        <f>HYPERLINK("https://www.spark-marketing.ru/Card/Lot/72644226", "Оказание услуг по  приготовлению и поставке горячего трехразового питания для иностранных граждан, содержащихся в Центре временного содержания иностранных граждан УМВД России по Забайкальскому краю")</f>
        <v>Оказание услуг по  приготовлению и поставке горячего трехразового питания для иностранных граждан, содержащихся в Центре временного содержания иностранных граждан УМВД России по Забайкальскому краю</v>
      </c>
      <c r="G8438" s="22" t="s">
        <v>228</v>
      </c>
      <c r="H8438" s="22" t="s">
        <v>394</v>
      </c>
      <c r="I8438" s="26">
        <v>43684.677719907399</v>
      </c>
      <c r="J8438" s="23" t="str">
        <f>HYPERLINK("https://www.spark-marketing.ru/Card/Person/1673855", "ООО ""ЧИТАСТРОЙ""")</f>
        <v>ООО "ЧИТАСТРОЙ"</v>
      </c>
      <c r="K8438" s="24" t="s">
        <v>10509</v>
      </c>
      <c r="L8438" s="22" t="s">
        <v>10</v>
      </c>
      <c r="M8438" s="28" t="s">
        <v>51</v>
      </c>
      <c r="N8438" s="28" t="s">
        <v>51</v>
      </c>
    </row>
    <row r="8439" spans="1:14" x14ac:dyDescent="0.15">
      <c r="A8439" s="23" t="str">
        <f>HYPERLINK("https://www.spark-marketing.ru/Card/Person/948100", "КГБОУ ""НОРИЛЬСКАЯ ШКОЛА-ИНТЕРНАТ""")</f>
        <v>КГБОУ "НОРИЛЬСКАЯ ШКОЛА-ИНТЕРНАТ"</v>
      </c>
      <c r="B8439" s="24" t="s">
        <v>12364</v>
      </c>
      <c r="C8439" s="25">
        <v>3694299</v>
      </c>
      <c r="D8439" s="22" t="s">
        <v>12365</v>
      </c>
      <c r="E8439" s="22" t="s">
        <v>48</v>
      </c>
      <c r="F8439" s="23" t="str">
        <f>HYPERLINK("https://www.spark-marketing.ru/Card/Lot/72652815", "ЭА № 45726/19 - Оказание услуг по организации готового горячего питания для обучающихся краевого государственного бюджетного общеобразовательного учреждения «Норильская школа-интернат»")</f>
        <v>ЭА № 45726/19 - Оказание услуг по организации готового горячего питания для обучающихся краевого государственного бюджетного общеобразовательного учреждения «Норильская школа-интернат»</v>
      </c>
      <c r="G8439" s="22" t="s">
        <v>281</v>
      </c>
      <c r="H8439" s="22" t="s">
        <v>3025</v>
      </c>
      <c r="I8439" s="26">
        <v>43684.698703703703</v>
      </c>
      <c r="J8439" s="23" t="str">
        <f>HYPERLINK("https://www.spark-marketing.ru/Card/Person/450898", "ООО ""СЕВЕРНЫЙ ПРОЕКТ""")</f>
        <v>ООО "СЕВЕРНЫЙ ПРОЕКТ"</v>
      </c>
      <c r="K8439" s="24" t="s">
        <v>11603</v>
      </c>
      <c r="L8439" s="22" t="s">
        <v>10</v>
      </c>
      <c r="M8439" s="28" t="s">
        <v>51</v>
      </c>
      <c r="N8439" s="28" t="s">
        <v>51</v>
      </c>
    </row>
    <row r="8440" spans="1:14" ht="12.75" x14ac:dyDescent="0.2">
      <c r="A8440" s="23" t="str">
        <f>HYPERLINK("https://www.spark-marketing.ru/Card/Person/214696", "ОТДЕЛ МВД РОССИИ ПО КИРОВСКОМУ ГОРОДСКОМУ ОКРУГУ")</f>
        <v>ОТДЕЛ МВД РОССИИ ПО КИРОВСКОМУ ГОРОДСКОМУ ОКРУГУ</v>
      </c>
      <c r="B8440" s="24" t="s">
        <v>12366</v>
      </c>
      <c r="C8440" s="25">
        <v>480000</v>
      </c>
      <c r="D8440" s="22" t="s">
        <v>12367</v>
      </c>
      <c r="E8440" s="22" t="s">
        <v>96</v>
      </c>
      <c r="F8440" s="23" t="str">
        <f>HYPERLINK("https://www.spark-marketing.ru/Card/Lot/72657112", "оказание услуг по организации питания (приготовление, доставка) для подозреваемых и обвиняемых в совершении преступлений, содержащихся в изоляторе временного содержания подозреваемых и обвиняемых Отдела МВД России по Кировскому городскому округу, лиц...")</f>
        <v>оказание услуг по организации питания (приготовление, доставка) для подозреваемых и обвиняемых в совершении преступлений, содержащихся в изоляторе временного содержания подозреваемых и обвиняемых Отдела МВД России по Кировскому городскому округу, лиц...</v>
      </c>
      <c r="G8440" s="22" t="s">
        <v>87</v>
      </c>
      <c r="H8440" s="22" t="s">
        <v>87</v>
      </c>
      <c r="I8440" s="26">
        <v>43684.664074074099</v>
      </c>
      <c r="J8440" s="23" t="str">
        <f>HYPERLINK("https://www.spark-marketing.ru/Card/Person/953517", "Белай Инна Васильевна")</f>
        <v>Белай Инна Васильевна</v>
      </c>
      <c r="K8440" s="24" t="s">
        <v>12368</v>
      </c>
      <c r="L8440" s="22" t="s">
        <v>10</v>
      </c>
      <c r="M8440" s="25">
        <v>480000</v>
      </c>
      <c r="N8440" s="27">
        <v>0</v>
      </c>
    </row>
    <row r="8441" spans="1:14" collapsed="1" x14ac:dyDescent="0.15">
      <c r="A8441" s="23" t="str">
        <f>HYPERLINK("https://www.spark-marketing.ru/Card/Person/17817", "ГБУЗ СО ""ТГБ № 4""")</f>
        <v>ГБУЗ СО "ТГБ № 4"</v>
      </c>
      <c r="B8441" s="24" t="s">
        <v>12369</v>
      </c>
      <c r="C8441" s="25">
        <v>3928792</v>
      </c>
      <c r="D8441" s="22" t="s">
        <v>12370</v>
      </c>
      <c r="E8441" s="22" t="s">
        <v>48</v>
      </c>
      <c r="F8441" s="23" t="str">
        <f>HYPERLINK("https://www.spark-marketing.ru/Card/Lot/72656042", "Услуги по приготовлению диетического лечебного питания для нужд Государственного бюджетного учреждения здравоохранения Самарской области ""Тольяттинская городская больница №4""")</f>
        <v>Услуги по приготовлению диетического лечебного питания для нужд Государственного бюджетного учреждения здравоохранения Самарской области "Тольяттинская городская больница №4"</v>
      </c>
      <c r="G8441" s="22" t="s">
        <v>128</v>
      </c>
      <c r="H8441" s="22" t="s">
        <v>2819</v>
      </c>
      <c r="I8441" s="26">
        <v>43684.682534722197</v>
      </c>
      <c r="J8441" s="23" t="str">
        <f>HYPERLINK("https://www.spark-marketing.ru/Card/Person/78206", "ООО ""КАМБУЗ""")</f>
        <v>ООО "КАМБУЗ"</v>
      </c>
      <c r="K8441" s="24" t="s">
        <v>12371</v>
      </c>
      <c r="L8441" s="28" t="s">
        <v>51</v>
      </c>
      <c r="M8441" s="28" t="s">
        <v>51</v>
      </c>
      <c r="N8441" s="28" t="s">
        <v>51</v>
      </c>
    </row>
    <row r="8442" spans="1:14" ht="12.75" hidden="1" outlineLevel="1" x14ac:dyDescent="0.2">
      <c r="A8442" s="23" t="str">
        <f>HYPERLINK("https://www.spark-marketing.ru/Card/Person/17817", "ГБУЗ СО ""ТГБ № 4""")</f>
        <v>ГБУЗ СО "ТГБ № 4"</v>
      </c>
      <c r="B8442" s="24" t="s">
        <v>12369</v>
      </c>
      <c r="C8442" s="25">
        <v>3928792</v>
      </c>
      <c r="D8442" s="22" t="s">
        <v>12370</v>
      </c>
      <c r="E8442" s="22" t="s">
        <v>48</v>
      </c>
      <c r="F8442" s="23" t="str">
        <f>HYPERLINK("https://www.spark-marketing.ru/Card/Lot/72656042", "Услуги по приготовлению диетического лечебного питания для нужд Государственного бюджетного учреждения здравоохранения Самарской области ""Тольяттинская городская больница №4""")</f>
        <v>Услуги по приготовлению диетического лечебного питания для нужд Государственного бюджетного учреждения здравоохранения Самарской области "Тольяттинская городская больница №4"</v>
      </c>
      <c r="G8442" s="22" t="s">
        <v>128</v>
      </c>
      <c r="H8442" s="22" t="s">
        <v>2819</v>
      </c>
      <c r="I8442" s="26">
        <v>43684.682534722197</v>
      </c>
      <c r="J8442" s="23" t="str">
        <f>HYPERLINK("https://www.spark-marketing.ru/Card/Person/78206", "ООО ""КАМБУЗ""")</f>
        <v>ООО "КАМБУЗ"</v>
      </c>
      <c r="K8442" s="24" t="s">
        <v>12371</v>
      </c>
      <c r="L8442" s="22" t="s">
        <v>10</v>
      </c>
      <c r="M8442" s="25">
        <v>3909148.04</v>
      </c>
      <c r="N8442" s="27">
        <v>5.0000000000000001E-3</v>
      </c>
    </row>
    <row r="8443" spans="1:14" collapsed="1" x14ac:dyDescent="0.15">
      <c r="A8443" s="23" t="str">
        <f>HYPERLINK("https://www.spark-marketing.ru/Card/Person/127054", "МБОУ ""ГАТЧИНСКАЯ СОШ № 4 С УГЛУБЛЕННЫМ ИЗУЧЕНИЕМ ОТДЕЛЬНЫХ ПРЕДМЕТОВ""")</f>
        <v>МБОУ "ГАТЧИНСКАЯ СОШ № 4 С УГЛУБЛЕННЫМ ИЗУЧЕНИЕМ ОТДЕЛЬНЫХ ПРЕДМЕТОВ"</v>
      </c>
      <c r="B8443" s="24" t="s">
        <v>2341</v>
      </c>
      <c r="C8443" s="25">
        <v>1938872</v>
      </c>
      <c r="D8443" s="22" t="s">
        <v>12372</v>
      </c>
      <c r="E8443" s="22" t="s">
        <v>48</v>
      </c>
      <c r="F8443" s="23" t="str">
        <f>HYPERLINK("https://www.spark-marketing.ru/Card/Lot/72659625",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годов")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годов</v>
      </c>
      <c r="G8443" s="22" t="s">
        <v>162</v>
      </c>
      <c r="H8443" s="22" t="s">
        <v>2343</v>
      </c>
      <c r="I8443" s="26">
        <v>43684.705960648098</v>
      </c>
      <c r="J8443" s="28" t="s">
        <v>51</v>
      </c>
      <c r="K8443" s="28" t="s">
        <v>51</v>
      </c>
      <c r="L8443" s="28" t="s">
        <v>51</v>
      </c>
      <c r="M8443" s="28" t="s">
        <v>51</v>
      </c>
      <c r="N8443" s="28" t="s">
        <v>51</v>
      </c>
    </row>
    <row r="8444" spans="1:14" hidden="1" outlineLevel="1" x14ac:dyDescent="0.2">
      <c r="A8444" s="23" t="str">
        <f>HYPERLINK("https://www.spark-marketing.ru/Card/Person/127054", "МБОУ ""ГАТЧИНСКАЯ СОШ № 4 С УГЛУБЛЕННЫМ ИЗУЧЕНИЕМ ОТДЕЛЬНЫХ ПРЕДМЕТОВ""")</f>
        <v>МБОУ "ГАТЧИНСКАЯ СОШ № 4 С УГЛУБЛЕННЫМ ИЗУЧЕНИЕМ ОТДЕЛЬНЫХ ПРЕДМЕТОВ"</v>
      </c>
      <c r="B8444" s="24" t="s">
        <v>2341</v>
      </c>
      <c r="C8444" s="25">
        <v>1938872</v>
      </c>
      <c r="D8444" s="22" t="s">
        <v>12372</v>
      </c>
      <c r="E8444" s="22" t="s">
        <v>48</v>
      </c>
      <c r="F8444" s="23" t="str">
        <f>HYPERLINK("https://www.spark-marketing.ru/Card/Lot/72659625",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годов")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годов</v>
      </c>
      <c r="G8444" s="22" t="s">
        <v>162</v>
      </c>
      <c r="H8444" s="22" t="s">
        <v>2343</v>
      </c>
      <c r="I8444" s="26">
        <v>43684.705960648098</v>
      </c>
      <c r="J8444" s="23" t="str">
        <f>HYPERLINK("https://www.spark-marketing.ru/Card/Person/127078", "Васильева Ирина Эдуардовна")</f>
        <v>Васильева Ирина Эдуардовна</v>
      </c>
      <c r="K8444" s="24" t="s">
        <v>2344</v>
      </c>
      <c r="L8444" s="28" t="s">
        <v>51</v>
      </c>
      <c r="M8444" s="25">
        <v>978958.12</v>
      </c>
      <c r="N8444" s="27">
        <v>0.49508883515776181</v>
      </c>
    </row>
    <row r="8445" spans="1:14" ht="12.75" hidden="1" outlineLevel="1" x14ac:dyDescent="0.2">
      <c r="A8445" s="23" t="str">
        <f>HYPERLINK("https://www.spark-marketing.ru/Card/Person/127054", "МБОУ ""ГАТЧИНСКАЯ СОШ № 4 С УГЛУБЛЕННЫМ ИЗУЧЕНИЕМ ОТДЕЛЬНЫХ ПРЕДМЕТОВ""")</f>
        <v>МБОУ "ГАТЧИНСКАЯ СОШ № 4 С УГЛУБЛЕННЫМ ИЗУЧЕНИЕМ ОТДЕЛЬНЫХ ПРЕДМЕТОВ"</v>
      </c>
      <c r="B8445" s="24" t="s">
        <v>2341</v>
      </c>
      <c r="C8445" s="25">
        <v>1938872</v>
      </c>
      <c r="D8445" s="22" t="s">
        <v>12372</v>
      </c>
      <c r="E8445" s="22" t="s">
        <v>48</v>
      </c>
      <c r="F8445" s="23" t="str">
        <f>HYPERLINK("https://www.spark-marketing.ru/Card/Lot/72659625",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годов")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в 2019-2020 годов</v>
      </c>
      <c r="G8445" s="22" t="s">
        <v>162</v>
      </c>
      <c r="H8445" s="22" t="s">
        <v>2343</v>
      </c>
      <c r="I8445" s="26">
        <v>43684.705960648098</v>
      </c>
      <c r="J8445" s="23" t="str">
        <f>HYPERLINK("https://www.spark-marketing.ru/Card/Person/6198115", "ООО ""СЕВЕРНАЯ ПАЛЬМИРА""")</f>
        <v>ООО "СЕВЕРНАЯ ПАЛЬМИРА"</v>
      </c>
      <c r="K8445" s="24" t="s">
        <v>12305</v>
      </c>
      <c r="L8445" s="22" t="s">
        <v>10</v>
      </c>
      <c r="M8445" s="25">
        <v>978958.12</v>
      </c>
      <c r="N8445" s="27">
        <v>0.49508883515776181</v>
      </c>
    </row>
    <row r="8446" spans="1:14" x14ac:dyDescent="0.15">
      <c r="A8446" s="23" t="str">
        <f>HYPERLINK("https://www.spark-marketing.ru/Card/Person/6572801", "МБДОУ - ДЕТСКИЙ САД ""ТУРГАЙ"" ТУКАЕВСКОГО МУНИЦИПАЛЬНОГО РАЙОНА РТ")</f>
        <v>МБДОУ - ДЕТСКИЙ САД "ТУРГАЙ" ТУКАЕВСКОГО МУНИЦИПАЛЬНОГО РАЙОНА РТ</v>
      </c>
      <c r="B8446" s="24" t="s">
        <v>12373</v>
      </c>
      <c r="C8446" s="25">
        <v>508964.16</v>
      </c>
      <c r="D8446" s="22" t="s">
        <v>12374</v>
      </c>
      <c r="E8446" s="22" t="s">
        <v>48</v>
      </c>
      <c r="F8446" s="23" t="str">
        <f>HYPERLINK("https://www.spark-marketing.ru/Card/Lot/72657258", "Право заключения гражданско-правового договора на оказание услуг по организации питания воспитанников МБДОУ - детский сад «Тургай» Тукаевского муниципального района Республики Татарстан")</f>
        <v>Право заключения гражданско-правового договора на оказание услуг по организации питания воспитанников МБДОУ - детский сад «Тургай» Тукаевского муниципального района Республики Татарстан</v>
      </c>
      <c r="G8446" s="22" t="s">
        <v>217</v>
      </c>
      <c r="H8446" s="22" t="s">
        <v>12375</v>
      </c>
      <c r="I8446" s="26">
        <v>43684.703715277799</v>
      </c>
      <c r="J8446" s="23" t="str">
        <f>HYPERLINK("https://www.spark-marketing.ru/Card/Person/211587", "ООО ""ГРАФ ПЛЮС""")</f>
        <v>ООО "ГРАФ ПЛЮС"</v>
      </c>
      <c r="K8446" s="24" t="s">
        <v>4738</v>
      </c>
      <c r="L8446" s="22" t="s">
        <v>10</v>
      </c>
      <c r="M8446" s="28" t="s">
        <v>51</v>
      </c>
      <c r="N8446" s="28" t="s">
        <v>51</v>
      </c>
    </row>
    <row r="8447" spans="1:14" collapsed="1" x14ac:dyDescent="0.15">
      <c r="A8447" s="23" t="str">
        <f>HYPERLINK("https://www.spark-marketing.ru/Card/Person/34010", "МБОУ ""ГАТЧИНСКАЯ СОШ № 9 С УГЛУБЛЕННЫМ ИЗУЧЕНИЕМ ОТДЕЛЬНЫХ ПРЕДМЕТОВ""")</f>
        <v>МБОУ "ГАТЧИНСКАЯ СОШ № 9 С УГЛУБЛЕННЫМ ИЗУЧЕНИЕМ ОТДЕЛЬНЫХ ПРЕДМЕТОВ"</v>
      </c>
      <c r="B8447" s="24" t="s">
        <v>12376</v>
      </c>
      <c r="C8447" s="25">
        <v>2675504</v>
      </c>
      <c r="D8447" s="22" t="s">
        <v>12377</v>
      </c>
      <c r="E8447" s="22" t="s">
        <v>48</v>
      </c>
      <c r="F8447" s="23" t="str">
        <f>HYPERLINK("https://www.spark-marketing.ru/Card/Lot/72659629",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на 2019 - 2020 г.")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на 2019 - 2020 г.</v>
      </c>
      <c r="G8447" s="22" t="s">
        <v>162</v>
      </c>
      <c r="H8447" s="22" t="s">
        <v>2343</v>
      </c>
      <c r="I8447" s="26">
        <v>43684.707858796297</v>
      </c>
      <c r="J8447" s="28" t="s">
        <v>51</v>
      </c>
      <c r="K8447" s="28" t="s">
        <v>51</v>
      </c>
      <c r="L8447" s="28" t="s">
        <v>51</v>
      </c>
      <c r="M8447" s="28" t="s">
        <v>51</v>
      </c>
      <c r="N8447" s="28" t="s">
        <v>51</v>
      </c>
    </row>
    <row r="8448" spans="1:14" hidden="1" outlineLevel="1" x14ac:dyDescent="0.2">
      <c r="A8448" s="23" t="str">
        <f>HYPERLINK("https://www.spark-marketing.ru/Card/Person/34010", "МБОУ ""ГАТЧИНСКАЯ СОШ № 9 С УГЛУБЛЕННЫМ ИЗУЧЕНИЕМ ОТДЕЛЬНЫХ ПРЕДМЕТОВ""")</f>
        <v>МБОУ "ГАТЧИНСКАЯ СОШ № 9 С УГЛУБЛЕННЫМ ИЗУЧЕНИЕМ ОТДЕЛЬНЫХ ПРЕДМЕТОВ"</v>
      </c>
      <c r="B8448" s="24" t="s">
        <v>12376</v>
      </c>
      <c r="C8448" s="25">
        <v>2675504</v>
      </c>
      <c r="D8448" s="22" t="s">
        <v>12377</v>
      </c>
      <c r="E8448" s="22" t="s">
        <v>48</v>
      </c>
      <c r="F8448" s="23" t="str">
        <f>HYPERLINK("https://www.spark-marketing.ru/Card/Lot/72659629",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на 2019 - 2020 г.")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на 2019 - 2020 г.</v>
      </c>
      <c r="G8448" s="22" t="s">
        <v>162</v>
      </c>
      <c r="H8448" s="22" t="s">
        <v>2343</v>
      </c>
      <c r="I8448" s="26">
        <v>43684.707858796297</v>
      </c>
      <c r="J8448" s="23" t="str">
        <f>HYPERLINK("https://www.spark-marketing.ru/Card/Person/671808", "Кравец Людмила Николаевна")</f>
        <v>Кравец Людмила Николаевна</v>
      </c>
      <c r="K8448" s="24" t="s">
        <v>12144</v>
      </c>
      <c r="L8448" s="28" t="s">
        <v>51</v>
      </c>
      <c r="M8448" s="25">
        <v>1337751</v>
      </c>
      <c r="N8448" s="27">
        <v>0.50000037376135487</v>
      </c>
    </row>
    <row r="8449" spans="1:14" ht="12.75" hidden="1" outlineLevel="1" x14ac:dyDescent="0.2">
      <c r="A8449" s="23" t="str">
        <f>HYPERLINK("https://www.spark-marketing.ru/Card/Person/34010", "МБОУ ""ГАТЧИНСКАЯ СОШ № 9 С УГЛУБЛЕННЫМ ИЗУЧЕНИЕМ ОТДЕЛЬНЫХ ПРЕДМЕТОВ""")</f>
        <v>МБОУ "ГАТЧИНСКАЯ СОШ № 9 С УГЛУБЛЕННЫМ ИЗУЧЕНИЕМ ОТДЕЛЬНЫХ ПРЕДМЕТОВ"</v>
      </c>
      <c r="B8449" s="24" t="s">
        <v>12376</v>
      </c>
      <c r="C8449" s="25">
        <v>2675504</v>
      </c>
      <c r="D8449" s="22" t="s">
        <v>12377</v>
      </c>
      <c r="E8449" s="22" t="s">
        <v>48</v>
      </c>
      <c r="F8449" s="23" t="str">
        <f>HYPERLINK("https://www.spark-marketing.ru/Card/Lot/72659629", "Оказание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на 2019 - 2020 г.")</f>
        <v>Оказание услуг по организации горячего питания для учащихся общеобразовательных учреждений Гатчинского муниципального района Ленинградской области на 2019 - 2020 г.</v>
      </c>
      <c r="G8449" s="22" t="s">
        <v>162</v>
      </c>
      <c r="H8449" s="22" t="s">
        <v>2343</v>
      </c>
      <c r="I8449" s="26">
        <v>43684.707858796297</v>
      </c>
      <c r="J8449" s="23" t="str">
        <f>HYPERLINK("https://www.spark-marketing.ru/Card/Person/6198115", "ООО ""СЕВЕРНАЯ ПАЛЬМИРА""")</f>
        <v>ООО "СЕВЕРНАЯ ПАЛЬМИРА"</v>
      </c>
      <c r="K8449" s="24" t="s">
        <v>12305</v>
      </c>
      <c r="L8449" s="22" t="s">
        <v>10</v>
      </c>
      <c r="M8449" s="25">
        <v>1327025.68</v>
      </c>
      <c r="N8449" s="27">
        <v>0.50400908389596877</v>
      </c>
    </row>
    <row r="8450" spans="1:14" collapsed="1" x14ac:dyDescent="0.15">
      <c r="A8450" s="23" t="str">
        <f>HYPERLINK("https://www.spark-marketing.ru/Card/Person/6579876", "МБОУ СОШ ""МОЗАИКА""")</f>
        <v>МБОУ СОШ "МОЗАИКА"</v>
      </c>
      <c r="B8450" s="24" t="s">
        <v>11595</v>
      </c>
      <c r="C8450" s="25">
        <v>2260880</v>
      </c>
      <c r="D8450" s="22" t="s">
        <v>12378</v>
      </c>
      <c r="E8450" s="22" t="s">
        <v>48</v>
      </c>
      <c r="F8450" s="23" t="str">
        <f>HYPERLINK("https://www.spark-marketing.ru/Card/Lot/72656646",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8450" s="22" t="s">
        <v>49</v>
      </c>
      <c r="H8450" s="22" t="s">
        <v>10272</v>
      </c>
      <c r="I8450" s="26">
        <v>43684.701388888898</v>
      </c>
      <c r="J8450" s="28" t="s">
        <v>51</v>
      </c>
      <c r="K8450" s="28" t="s">
        <v>51</v>
      </c>
      <c r="L8450" s="28" t="s">
        <v>51</v>
      </c>
      <c r="M8450" s="28" t="s">
        <v>51</v>
      </c>
      <c r="N8450" s="28" t="s">
        <v>51</v>
      </c>
    </row>
    <row r="8451" spans="1:14" ht="12.75" hidden="1" outlineLevel="1" x14ac:dyDescent="0.2">
      <c r="A8451" s="23" t="str">
        <f>HYPERLINK("https://www.spark-marketing.ru/Card/Person/6579876", "МБОУ СОШ ""МОЗАИКА""")</f>
        <v>МБОУ СОШ "МОЗАИКА"</v>
      </c>
      <c r="B8451" s="24" t="s">
        <v>11595</v>
      </c>
      <c r="C8451" s="25">
        <v>2260880</v>
      </c>
      <c r="D8451" s="22" t="s">
        <v>12378</v>
      </c>
      <c r="E8451" s="22" t="s">
        <v>48</v>
      </c>
      <c r="F8451" s="23" t="str">
        <f>HYPERLINK("https://www.spark-marketing.ru/Card/Lot/72656646",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8451" s="22" t="s">
        <v>49</v>
      </c>
      <c r="H8451" s="22" t="s">
        <v>10272</v>
      </c>
      <c r="I8451" s="26">
        <v>43684.701388888898</v>
      </c>
      <c r="J8451" s="23" t="str">
        <f>HYPERLINK("https://www.spark-marketing.ru/Card/Person/119882", "МУП ""ПТО ОБЩЕСТВЕННОГО ПИТАНИЯ""")</f>
        <v>МУП "ПТО ОБЩЕСТВЕННОГО ПИТАНИЯ"</v>
      </c>
      <c r="K8451" s="24" t="s">
        <v>12379</v>
      </c>
      <c r="L8451" s="22" t="s">
        <v>10</v>
      </c>
      <c r="M8451" s="25">
        <v>2260880</v>
      </c>
      <c r="N8451" s="27">
        <v>0</v>
      </c>
    </row>
    <row r="8452" spans="1:14" hidden="1" outlineLevel="1" x14ac:dyDescent="0.2">
      <c r="A8452" s="23" t="str">
        <f>HYPERLINK("https://www.spark-marketing.ru/Card/Person/6579876", "МБОУ СОШ ""МОЗАИКА""")</f>
        <v>МБОУ СОШ "МОЗАИКА"</v>
      </c>
      <c r="B8452" s="24" t="s">
        <v>11595</v>
      </c>
      <c r="C8452" s="25">
        <v>2260880</v>
      </c>
      <c r="D8452" s="22" t="s">
        <v>12378</v>
      </c>
      <c r="E8452" s="22" t="s">
        <v>48</v>
      </c>
      <c r="F8452" s="23" t="str">
        <f>HYPERLINK("https://www.spark-marketing.ru/Card/Lot/72656646",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8452" s="22" t="s">
        <v>49</v>
      </c>
      <c r="H8452" s="22" t="s">
        <v>10272</v>
      </c>
      <c r="I8452" s="26">
        <v>43684.701388888898</v>
      </c>
      <c r="J8452" s="23" t="str">
        <f>HYPERLINK("https://www.spark-marketing.ru/Card/Person/2030641", "ООО ""АЛЬЯНС""")</f>
        <v>ООО "АЛЬЯНС"</v>
      </c>
      <c r="K8452" s="24" t="s">
        <v>12380</v>
      </c>
      <c r="L8452" s="28" t="s">
        <v>51</v>
      </c>
      <c r="M8452" s="25">
        <v>2047300</v>
      </c>
      <c r="N8452" s="27">
        <v>9.446764091858037E-2</v>
      </c>
    </row>
    <row r="8453" spans="1:14" hidden="1" outlineLevel="1" x14ac:dyDescent="0.2">
      <c r="A8453" s="23" t="str">
        <f>HYPERLINK("https://www.spark-marketing.ru/Card/Person/6579876", "МБОУ СОШ ""МОЗАИКА""")</f>
        <v>МБОУ СОШ "МОЗАИКА"</v>
      </c>
      <c r="B8453" s="24" t="s">
        <v>11595</v>
      </c>
      <c r="C8453" s="25">
        <v>2260880</v>
      </c>
      <c r="D8453" s="22" t="s">
        <v>12378</v>
      </c>
      <c r="E8453" s="22" t="s">
        <v>48</v>
      </c>
      <c r="F8453" s="23" t="str">
        <f>HYPERLINK("https://www.spark-marketing.ru/Card/Lot/72656646",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8453" s="22" t="s">
        <v>49</v>
      </c>
      <c r="H8453" s="22" t="s">
        <v>10272</v>
      </c>
      <c r="I8453" s="26">
        <v>43684.701388888898</v>
      </c>
      <c r="J8453" s="23" t="str">
        <f>HYPERLINK("https://www.spark-marketing.ru/Card/Person/2042423", "ООО ""ТФ ПРОДЖЕКТ""")</f>
        <v>ООО "ТФ ПРОДЖЕКТ"</v>
      </c>
      <c r="K8453" s="24" t="s">
        <v>9610</v>
      </c>
      <c r="L8453" s="28" t="s">
        <v>51</v>
      </c>
      <c r="M8453" s="25">
        <v>2147836</v>
      </c>
      <c r="N8453" s="27">
        <v>0.05</v>
      </c>
    </row>
    <row r="8454" spans="1:14" x14ac:dyDescent="0.15">
      <c r="A8454" s="23" t="str">
        <f>HYPERLINK("https://www.spark-marketing.ru/Card/Person/90241", "МКУ ""МФЦ""")</f>
        <v>МКУ "МФЦ"</v>
      </c>
      <c r="B8454" s="24" t="s">
        <v>12381</v>
      </c>
      <c r="C8454" s="25">
        <v>5106036</v>
      </c>
      <c r="D8454" s="22" t="s">
        <v>12382</v>
      </c>
      <c r="E8454" s="22" t="s">
        <v>809</v>
      </c>
      <c r="F8454" s="23" t="str">
        <f>HYPERLINK("https://www.spark-marketing.ru/Card/Lot/72659514", "Поставка оргтехники для нужд муниципального казенного учреждения ""Многофункциональный центр предоставления государственных и муниципальных услуг города Нижнего Новгорода""")</f>
        <v>Поставка оргтехники для нужд муниципального казенного учреждения "Многофункциональный центр предоставления государственных и муниципальных услуг города Нижнего Новгорода"</v>
      </c>
      <c r="G8454" s="22" t="s">
        <v>76</v>
      </c>
      <c r="H8454" s="22" t="s">
        <v>76</v>
      </c>
      <c r="I8454" s="26">
        <v>43684.685300925899</v>
      </c>
      <c r="J8454" s="23" t="str">
        <f>HYPERLINK("https://www.spark-marketing.ru/Card/Person/293888", "ЗАО ""ЦКТ ""МАЙ""")</f>
        <v>ЗАО "ЦКТ "МАЙ"</v>
      </c>
      <c r="K8454" s="24" t="s">
        <v>12383</v>
      </c>
      <c r="L8454" s="28" t="s">
        <v>51</v>
      </c>
      <c r="M8454" s="28" t="s">
        <v>51</v>
      </c>
      <c r="N8454" s="28" t="s">
        <v>51</v>
      </c>
    </row>
    <row r="8455" spans="1:14" collapsed="1" x14ac:dyDescent="0.15">
      <c r="A8455" s="23" t="str">
        <f>HYPERLINK("https://www.spark-marketing.ru/Card/Person/113031", "УМВД РОССИИ ПО ГОРОДСКОМУ ОКРУГУ ВОСКРЕСЕНСК")</f>
        <v>УМВД РОССИИ ПО ГОРОДСКОМУ ОКРУГУ ВОСКРЕСЕНСК</v>
      </c>
      <c r="B8455" s="24" t="s">
        <v>12384</v>
      </c>
      <c r="C8455" s="25">
        <v>2439720</v>
      </c>
      <c r="D8455" s="22" t="s">
        <v>12385</v>
      </c>
      <c r="E8455" s="22" t="s">
        <v>48</v>
      </c>
      <c r="F8455" s="23" t="str">
        <f>HYPERLINK("https://www.spark-marketing.ru/Card/Lot/72659521", "Оказание услуг по питанию граждан, содержащихся в ИВС")</f>
        <v>Оказание услуг по питанию граждан, содержащихся в ИВС</v>
      </c>
      <c r="G8455" s="22" t="s">
        <v>49</v>
      </c>
      <c r="H8455" s="22" t="s">
        <v>8839</v>
      </c>
      <c r="I8455" s="26">
        <v>43684.690601851798</v>
      </c>
      <c r="J8455" s="28" t="s">
        <v>51</v>
      </c>
      <c r="K8455" s="28" t="s">
        <v>51</v>
      </c>
      <c r="L8455" s="28" t="s">
        <v>51</v>
      </c>
      <c r="M8455" s="28" t="s">
        <v>51</v>
      </c>
      <c r="N8455" s="28" t="s">
        <v>51</v>
      </c>
    </row>
    <row r="8456" spans="1:14" hidden="1" outlineLevel="1" x14ac:dyDescent="0.2">
      <c r="A8456" s="23" t="str">
        <f>HYPERLINK("https://www.spark-marketing.ru/Card/Person/113031", "УМВД РОССИИ ПО ГОРОДСКОМУ ОКРУГУ ВОСКРЕСЕНСК")</f>
        <v>УМВД РОССИИ ПО ГОРОДСКОМУ ОКРУГУ ВОСКРЕСЕНСК</v>
      </c>
      <c r="B8456" s="24" t="s">
        <v>12384</v>
      </c>
      <c r="C8456" s="25">
        <v>2439720</v>
      </c>
      <c r="D8456" s="22" t="s">
        <v>12385</v>
      </c>
      <c r="E8456" s="22" t="s">
        <v>48</v>
      </c>
      <c r="F8456" s="23" t="str">
        <f>HYPERLINK("https://www.spark-marketing.ru/Card/Lot/72659521", "Оказание услуг по питанию граждан, содержащихся в ИВС")</f>
        <v>Оказание услуг по питанию граждан, содержащихся в ИВС</v>
      </c>
      <c r="G8456" s="22" t="s">
        <v>49</v>
      </c>
      <c r="H8456" s="22" t="s">
        <v>8839</v>
      </c>
      <c r="I8456" s="26">
        <v>43684.690601851798</v>
      </c>
      <c r="J8456" s="23" t="str">
        <f>HYPERLINK("https://www.spark-marketing.ru/Card/Person/425639", "ПО ""ВОСКРЕСЕНСКОЕ РАЙПО""")</f>
        <v>ПО "ВОСКРЕСЕНСКОЕ РАЙПО"</v>
      </c>
      <c r="K8456" s="24" t="s">
        <v>12386</v>
      </c>
      <c r="L8456" s="28" t="s">
        <v>51</v>
      </c>
      <c r="M8456" s="25">
        <v>268.29000000000002</v>
      </c>
      <c r="N8456" s="27">
        <v>0.99989003246274166</v>
      </c>
    </row>
    <row r="8457" spans="1:14" ht="12.75" hidden="1" outlineLevel="1" x14ac:dyDescent="0.2">
      <c r="A8457" s="23" t="str">
        <f>HYPERLINK("https://www.spark-marketing.ru/Card/Person/113031", "УМВД РОССИИ ПО ГОРОДСКОМУ ОКРУГУ ВОСКРЕСЕНСК")</f>
        <v>УМВД РОССИИ ПО ГОРОДСКОМУ ОКРУГУ ВОСКРЕСЕНСК</v>
      </c>
      <c r="B8457" s="24" t="s">
        <v>12384</v>
      </c>
      <c r="C8457" s="25">
        <v>2439720</v>
      </c>
      <c r="D8457" s="22" t="s">
        <v>12385</v>
      </c>
      <c r="E8457" s="22" t="s">
        <v>48</v>
      </c>
      <c r="F8457" s="23" t="str">
        <f>HYPERLINK("https://www.spark-marketing.ru/Card/Lot/72659521", "Оказание услуг по питанию граждан, содержащихся в ИВС")</f>
        <v>Оказание услуг по питанию граждан, содержащихся в ИВС</v>
      </c>
      <c r="G8457" s="22" t="s">
        <v>49</v>
      </c>
      <c r="H8457" s="22" t="s">
        <v>8839</v>
      </c>
      <c r="I8457" s="26">
        <v>43684.690601851798</v>
      </c>
      <c r="J8457" s="23" t="str">
        <f>HYPERLINK("https://www.spark-marketing.ru/Card/Person/1858945", "ПО ""КООПЕРАТОР""")</f>
        <v>ПО "КООПЕРАТОР"</v>
      </c>
      <c r="K8457" s="24" t="s">
        <v>12387</v>
      </c>
      <c r="L8457" s="22" t="s">
        <v>10</v>
      </c>
      <c r="M8457" s="25">
        <v>266.94</v>
      </c>
      <c r="N8457" s="27">
        <v>0.9998905858049284</v>
      </c>
    </row>
    <row r="8458" spans="1:14" collapsed="1" x14ac:dyDescent="0.15">
      <c r="A8458" s="23" t="str">
        <f>HYPERLINK("https://www.spark-marketing.ru/Card/Person/125421", "МБОУ ""ГАТЧИНСКАЯ НОШ № 5""")</f>
        <v>МБОУ "ГАТЧИНСКАЯ НОШ № 5"</v>
      </c>
      <c r="B8458" s="24" t="s">
        <v>12388</v>
      </c>
      <c r="C8458" s="25">
        <v>2911064</v>
      </c>
      <c r="D8458" s="22" t="s">
        <v>12389</v>
      </c>
      <c r="E8458" s="22" t="s">
        <v>48</v>
      </c>
      <c r="F8458" s="23" t="str">
        <f>HYPERLINK("https://www.spark-marketing.ru/Card/Lot/72659627", "Оказание услуг по организации питания для учащихся общеобразовательных учреждений в 2019/2020 учебном году")</f>
        <v>Оказание услуг по организации питания для учащихся общеобразовательных учреждений в 2019/2020 учебном году</v>
      </c>
      <c r="G8458" s="22" t="s">
        <v>162</v>
      </c>
      <c r="H8458" s="22" t="s">
        <v>2343</v>
      </c>
      <c r="I8458" s="26">
        <v>43684.706562500003</v>
      </c>
      <c r="J8458" s="28" t="s">
        <v>51</v>
      </c>
      <c r="K8458" s="28" t="s">
        <v>51</v>
      </c>
      <c r="L8458" s="28" t="s">
        <v>51</v>
      </c>
      <c r="M8458" s="28" t="s">
        <v>51</v>
      </c>
      <c r="N8458" s="28" t="s">
        <v>51</v>
      </c>
    </row>
    <row r="8459" spans="1:14" ht="12.75" hidden="1" outlineLevel="1" x14ac:dyDescent="0.2">
      <c r="A8459" s="23" t="str">
        <f>HYPERLINK("https://www.spark-marketing.ru/Card/Person/125421", "МБОУ ""ГАТЧИНСКАЯ НОШ № 5""")</f>
        <v>МБОУ "ГАТЧИНСКАЯ НОШ № 5"</v>
      </c>
      <c r="B8459" s="24" t="s">
        <v>12388</v>
      </c>
      <c r="C8459" s="25">
        <v>2911064</v>
      </c>
      <c r="D8459" s="22" t="s">
        <v>12389</v>
      </c>
      <c r="E8459" s="22" t="s">
        <v>48</v>
      </c>
      <c r="F8459" s="23" t="str">
        <f>HYPERLINK("https://www.spark-marketing.ru/Card/Lot/72659627", "Оказание услуг по организации питания для учащихся общеобразовательных учреждений в 2019/2020 учебном году")</f>
        <v>Оказание услуг по организации питания для учащихся общеобразовательных учреждений в 2019/2020 учебном году</v>
      </c>
      <c r="G8459" s="22" t="s">
        <v>162</v>
      </c>
      <c r="H8459" s="22" t="s">
        <v>2343</v>
      </c>
      <c r="I8459" s="26">
        <v>43684.706562500003</v>
      </c>
      <c r="J8459" s="23" t="str">
        <f>HYPERLINK("https://www.spark-marketing.ru/Card/Person/6198115", "ООО ""СЕВЕРНАЯ ПАЛЬМИРА""")</f>
        <v>ООО "СЕВЕРНАЯ ПАЛЬМИРА"</v>
      </c>
      <c r="K8459" s="24" t="s">
        <v>12305</v>
      </c>
      <c r="L8459" s="22" t="s">
        <v>10</v>
      </c>
      <c r="M8459" s="25">
        <v>1785444.68</v>
      </c>
      <c r="N8459" s="27">
        <v>0.38666938274115581</v>
      </c>
    </row>
    <row r="8460" spans="1:14" hidden="1" outlineLevel="1" x14ac:dyDescent="0.2">
      <c r="A8460" s="23" t="str">
        <f>HYPERLINK("https://www.spark-marketing.ru/Card/Person/125421", "МБОУ ""ГАТЧИНСКАЯ НОШ № 5""")</f>
        <v>МБОУ "ГАТЧИНСКАЯ НОШ № 5"</v>
      </c>
      <c r="B8460" s="24" t="s">
        <v>12388</v>
      </c>
      <c r="C8460" s="25">
        <v>2911064</v>
      </c>
      <c r="D8460" s="22" t="s">
        <v>12389</v>
      </c>
      <c r="E8460" s="22" t="s">
        <v>48</v>
      </c>
      <c r="F8460" s="23" t="str">
        <f>HYPERLINK("https://www.spark-marketing.ru/Card/Lot/72659627", "Оказание услуг по организации питания для учащихся общеобразовательных учреждений в 2019/2020 учебном году")</f>
        <v>Оказание услуг по организации питания для учащихся общеобразовательных учреждений в 2019/2020 учебном году</v>
      </c>
      <c r="G8460" s="22" t="s">
        <v>162</v>
      </c>
      <c r="H8460" s="22" t="s">
        <v>2343</v>
      </c>
      <c r="I8460" s="26">
        <v>43684.706562500003</v>
      </c>
      <c r="J8460" s="23" t="str">
        <f>HYPERLINK("https://www.spark-marketing.ru/Card/Person/671975", "Мехнина Надежда Владимировна")</f>
        <v>Мехнина Надежда Владимировна</v>
      </c>
      <c r="K8460" s="24" t="s">
        <v>12390</v>
      </c>
      <c r="L8460" s="28" t="s">
        <v>51</v>
      </c>
      <c r="M8460" s="25">
        <v>1795000</v>
      </c>
      <c r="N8460" s="27">
        <v>0.38338696778909703</v>
      </c>
    </row>
    <row r="8461" spans="1:14" x14ac:dyDescent="0.15">
      <c r="A8461" s="23" t="str">
        <f>HYPERLINK("https://www.spark-marketing.ru/Card/Person/1017966", "МБОУ ""ООШ № 7""")</f>
        <v>МБОУ "ООШ № 7"</v>
      </c>
      <c r="B8461" s="24" t="s">
        <v>12391</v>
      </c>
      <c r="C8461" s="25">
        <v>1774988.8</v>
      </c>
      <c r="D8461" s="22" t="s">
        <v>12392</v>
      </c>
      <c r="E8461" s="22" t="s">
        <v>96</v>
      </c>
      <c r="F8461" s="23" t="str">
        <f>HYPERLINK("https://www.spark-marketing.ru/Card/Lot/72662311", "Услуги по организации горячего питания обучающихся из малоимущих и многодетных малоимущих семей")</f>
        <v>Услуги по организации горячего питания обучающихся из малоимущих и многодетных малоимущих семей</v>
      </c>
      <c r="G8461" s="22" t="s">
        <v>153</v>
      </c>
      <c r="H8461" s="22" t="s">
        <v>153</v>
      </c>
      <c r="I8461" s="26">
        <v>43684.694351851896</v>
      </c>
      <c r="J8461" s="23" t="str">
        <f>HYPERLINK("https://www.spark-marketing.ru/Card/Person/1426830", "Корепанова Людмила Петровна")</f>
        <v>Корепанова Людмила Петровна</v>
      </c>
      <c r="K8461" s="24" t="s">
        <v>12393</v>
      </c>
      <c r="L8461" s="22" t="s">
        <v>10</v>
      </c>
      <c r="M8461" s="28" t="s">
        <v>51</v>
      </c>
      <c r="N8461" s="28" t="s">
        <v>51</v>
      </c>
    </row>
    <row r="8462" spans="1:14" x14ac:dyDescent="0.15">
      <c r="A8462" s="23" t="str">
        <f>HYPERLINK("https://www.spark-marketing.ru/Card/Person/121864", "ГЛАВНОЕ УПРАВЛЕНИЕ МЧС РОССИИ ПО ЛИПЕЦКОЙ ОБЛАСТИ")</f>
        <v>ГЛАВНОЕ УПРАВЛЕНИЕ МЧС РОССИИ ПО ЛИПЕЦКОЙ ОБЛАСТИ</v>
      </c>
      <c r="B8462" s="24" t="s">
        <v>12394</v>
      </c>
      <c r="C8462" s="25">
        <v>542792.64</v>
      </c>
      <c r="D8462" s="22" t="s">
        <v>12395</v>
      </c>
      <c r="E8462" s="22" t="s">
        <v>48</v>
      </c>
      <c r="F8462" s="23" t="str">
        <f>HYPERLINK("https://www.spark-marketing.ru/Card/Lot/72663384", "услуги по обеспечению питанием дежурных смен ЦУКС")</f>
        <v>услуги по обеспечению питанием дежурных смен ЦУКС</v>
      </c>
      <c r="G8462" s="22" t="s">
        <v>101</v>
      </c>
      <c r="H8462" s="22" t="s">
        <v>728</v>
      </c>
      <c r="I8462" s="26">
        <v>43684.697789351798</v>
      </c>
      <c r="J8462" s="23" t="str">
        <f>HYPERLINK("https://www.spark-marketing.ru/Card/Person/5966697", "Алиасхабов Рустам Рамазанович")</f>
        <v>Алиасхабов Рустам Рамазанович</v>
      </c>
      <c r="K8462" s="24" t="s">
        <v>12396</v>
      </c>
      <c r="L8462" s="22" t="s">
        <v>10</v>
      </c>
      <c r="M8462" s="28" t="s">
        <v>51</v>
      </c>
      <c r="N8462" s="28" t="s">
        <v>51</v>
      </c>
    </row>
    <row r="8463" spans="1:14" x14ac:dyDescent="0.15">
      <c r="A8463" s="23" t="str">
        <f>HYPERLINK("https://www.spark-marketing.ru/Card/Person/258722", "МБОУ СОШ №73")</f>
        <v>МБОУ СОШ №73</v>
      </c>
      <c r="B8463" s="24" t="s">
        <v>12397</v>
      </c>
      <c r="C8463" s="25">
        <v>285480</v>
      </c>
      <c r="D8463" s="22" t="s">
        <v>12398</v>
      </c>
      <c r="E8463" s="22" t="s">
        <v>48</v>
      </c>
      <c r="F8463" s="23" t="str">
        <f>HYPERLINK("https://www.spark-marketing.ru/Card/Lot/72656815", "№ зз-22268-19 Оказание услуг по организации горячего питания на основании разработанных и согласованных рационов питания для обучающихся из многодетных малообеспеченных семей МБОУ СОШ № 73, с 02.09.2019 по 31.10.2019 года.")</f>
        <v>№ зз-22268-19 Оказание услуг по организации горячего питания на основании разработанных и согласованных рационов питания для обучающихся из многодетных малообеспеченных семей МБОУ СОШ № 73, с 02.09.2019 по 31.10.2019 года.</v>
      </c>
      <c r="G8463" s="22" t="s">
        <v>852</v>
      </c>
      <c r="H8463" s="22" t="s">
        <v>2477</v>
      </c>
      <c r="I8463" s="26">
        <v>43684.691157407397</v>
      </c>
      <c r="J8463" s="23" t="str">
        <f>HYPERLINK("https://www.spark-marketing.ru/Card/Person/380676", "ООО ""ВЕНТА""")</f>
        <v>ООО "ВЕНТА"</v>
      </c>
      <c r="K8463" s="24" t="s">
        <v>12043</v>
      </c>
      <c r="L8463" s="22" t="s">
        <v>10</v>
      </c>
      <c r="M8463" s="28" t="s">
        <v>51</v>
      </c>
      <c r="N8463" s="28" t="s">
        <v>51</v>
      </c>
    </row>
    <row r="8464" spans="1:14" x14ac:dyDescent="0.15">
      <c r="A8464" s="23" t="str">
        <f>HYPERLINK("https://www.spark-marketing.ru/Card/Person/1075959", "МБОУ ""ГИМНАЗИЯ № 4""")</f>
        <v>МБОУ "ГИМНАЗИЯ № 4"</v>
      </c>
      <c r="B8464" s="24" t="s">
        <v>12399</v>
      </c>
      <c r="C8464" s="25">
        <v>1294217</v>
      </c>
      <c r="D8464" s="22" t="s">
        <v>12400</v>
      </c>
      <c r="E8464" s="22" t="s">
        <v>48</v>
      </c>
      <c r="F8464" s="23" t="str">
        <f>HYPERLINK("https://www.spark-marketing.ru/Card/Lot/72656437", "Оказание услуги по организации горячего питания и обеспечению горячим питанием учащихся МБОУ ""Гимназия № 4""")</f>
        <v>Оказание услуги по организации горячего питания и обеспечению горячим питанием учащихся МБОУ "Гимназия № 4"</v>
      </c>
      <c r="G8464" s="22" t="s">
        <v>460</v>
      </c>
      <c r="H8464" s="22" t="s">
        <v>461</v>
      </c>
      <c r="I8464" s="26">
        <v>43684.669016203698</v>
      </c>
      <c r="J8464" s="28" t="s">
        <v>51</v>
      </c>
      <c r="K8464" s="28" t="s">
        <v>51</v>
      </c>
      <c r="L8464" s="28" t="s">
        <v>51</v>
      </c>
      <c r="M8464" s="28" t="s">
        <v>51</v>
      </c>
      <c r="N8464" s="28" t="s">
        <v>51</v>
      </c>
    </row>
    <row r="8465" spans="1:14" collapsed="1" x14ac:dyDescent="0.15">
      <c r="A8465" s="23" t="str">
        <f>HYPERLINK("https://www.spark-marketing.ru/Card/Person/1002833", "МБОУ ""ГАТЧИНСКАЯ СОШ №1""")</f>
        <v>МБОУ "ГАТЧИНСКАЯ СОШ №1"</v>
      </c>
      <c r="B8465" s="24" t="s">
        <v>3606</v>
      </c>
      <c r="C8465" s="25">
        <v>3652792</v>
      </c>
      <c r="D8465" s="22" t="s">
        <v>12401</v>
      </c>
      <c r="E8465" s="22" t="s">
        <v>48</v>
      </c>
      <c r="F8465" s="23" t="str">
        <f>HYPERLINK("https://www.spark-marketing.ru/Card/Lot/72659563", "Оказание услуг по организации горячего питания для учащихся МБОУ «Гатчинская СОШ №1» в 2019-2020 учебном году")</f>
        <v>Оказание услуг по организации горячего питания для учащихся МБОУ «Гатчинская СОШ №1» в 2019-2020 учебном году</v>
      </c>
      <c r="G8465" s="22" t="s">
        <v>162</v>
      </c>
      <c r="H8465" s="22" t="s">
        <v>2343</v>
      </c>
      <c r="I8465" s="26">
        <v>43684.699699074103</v>
      </c>
      <c r="J8465" s="28" t="s">
        <v>51</v>
      </c>
      <c r="K8465" s="28" t="s">
        <v>51</v>
      </c>
      <c r="L8465" s="28" t="s">
        <v>51</v>
      </c>
      <c r="M8465" s="28" t="s">
        <v>51</v>
      </c>
      <c r="N8465" s="28" t="s">
        <v>51</v>
      </c>
    </row>
    <row r="8466" spans="1:14" hidden="1" outlineLevel="1" x14ac:dyDescent="0.2">
      <c r="A8466" s="23" t="str">
        <f>HYPERLINK("https://www.spark-marketing.ru/Card/Person/1002833", "МБОУ ""ГАТЧИНСКАЯ СОШ №1""")</f>
        <v>МБОУ "ГАТЧИНСКАЯ СОШ №1"</v>
      </c>
      <c r="B8466" s="24" t="s">
        <v>3606</v>
      </c>
      <c r="C8466" s="25">
        <v>3652792</v>
      </c>
      <c r="D8466" s="22" t="s">
        <v>12401</v>
      </c>
      <c r="E8466" s="22" t="s">
        <v>48</v>
      </c>
      <c r="F8466" s="23" t="str">
        <f>HYPERLINK("https://www.spark-marketing.ru/Card/Lot/72659563", "Оказание услуг по организации горячего питания для учащихся МБОУ «Гатчинская СОШ №1» в 2019-2020 учебном году")</f>
        <v>Оказание услуг по организации горячего питания для учащихся МБОУ «Гатчинская СОШ №1» в 2019-2020 учебном году</v>
      </c>
      <c r="G8466" s="22" t="s">
        <v>162</v>
      </c>
      <c r="H8466" s="22" t="s">
        <v>2343</v>
      </c>
      <c r="I8466" s="26">
        <v>43684.699699074103</v>
      </c>
      <c r="J8466" s="23" t="str">
        <f>HYPERLINK("https://www.spark-marketing.ru/Card/Person/671691", "Богоявленская Людмила Александровна")</f>
        <v>Богоявленская Людмила Александровна</v>
      </c>
      <c r="K8466" s="24" t="s">
        <v>3609</v>
      </c>
      <c r="L8466" s="28" t="s">
        <v>51</v>
      </c>
      <c r="M8466" s="25">
        <v>1836121.92</v>
      </c>
      <c r="N8466" s="27">
        <v>0.49733740108935848</v>
      </c>
    </row>
    <row r="8467" spans="1:14" ht="12.75" hidden="1" outlineLevel="1" x14ac:dyDescent="0.2">
      <c r="A8467" s="23" t="str">
        <f>HYPERLINK("https://www.spark-marketing.ru/Card/Person/1002833", "МБОУ ""ГАТЧИНСКАЯ СОШ №1""")</f>
        <v>МБОУ "ГАТЧИНСКАЯ СОШ №1"</v>
      </c>
      <c r="B8467" s="24" t="s">
        <v>3606</v>
      </c>
      <c r="C8467" s="25">
        <v>3652792</v>
      </c>
      <c r="D8467" s="22" t="s">
        <v>12401</v>
      </c>
      <c r="E8467" s="22" t="s">
        <v>48</v>
      </c>
      <c r="F8467" s="23" t="str">
        <f>HYPERLINK("https://www.spark-marketing.ru/Card/Lot/72659563", "Оказание услуг по организации горячего питания для учащихся МБОУ «Гатчинская СОШ №1» в 2019-2020 учебном году")</f>
        <v>Оказание услуг по организации горячего питания для учащихся МБОУ «Гатчинская СОШ №1» в 2019-2020 учебном году</v>
      </c>
      <c r="G8467" s="22" t="s">
        <v>162</v>
      </c>
      <c r="H8467" s="22" t="s">
        <v>2343</v>
      </c>
      <c r="I8467" s="26">
        <v>43684.699699074103</v>
      </c>
      <c r="J8467" s="23" t="str">
        <f>HYPERLINK("https://www.spark-marketing.ru/Card/Person/6198115", "ООО ""СЕВЕРНАЯ ПАЛЬМИРА""")</f>
        <v>ООО "СЕВЕРНАЯ ПАЛЬМИРА"</v>
      </c>
      <c r="K8467" s="24" t="s">
        <v>12305</v>
      </c>
      <c r="L8467" s="22" t="s">
        <v>10</v>
      </c>
      <c r="M8467" s="25">
        <v>1836121.92</v>
      </c>
      <c r="N8467" s="27">
        <v>0.49733740108935848</v>
      </c>
    </row>
    <row r="8468" spans="1:14" x14ac:dyDescent="0.15">
      <c r="A8468" s="23" t="str">
        <f>HYPERLINK("https://www.spark-marketing.ru/Card/Person/75866", "ОМВД РОССИИ ПО Г. УСИНСКУ")</f>
        <v>ОМВД РОССИИ ПО Г. УСИНСКУ</v>
      </c>
      <c r="B8468" s="24" t="s">
        <v>7465</v>
      </c>
      <c r="C8468" s="25">
        <v>1250000</v>
      </c>
      <c r="D8468" s="22" t="s">
        <v>12402</v>
      </c>
      <c r="E8468" s="22" t="s">
        <v>48</v>
      </c>
      <c r="F8468" s="23" t="str">
        <f>HYPERLINK("https://www.spark-marketing.ru/Card/Lot/72656443", "Организация трехразового питания для лиц, содержащихся в ИВС")</f>
        <v>Организация трехразового питания для лиц, содержащихся в ИВС</v>
      </c>
      <c r="G8468" s="22" t="s">
        <v>271</v>
      </c>
      <c r="H8468" s="22" t="s">
        <v>271</v>
      </c>
      <c r="I8468" s="26">
        <v>43684.674641203703</v>
      </c>
      <c r="J8468" s="28" t="s">
        <v>51</v>
      </c>
      <c r="K8468" s="28" t="s">
        <v>51</v>
      </c>
      <c r="L8468" s="28" t="s">
        <v>51</v>
      </c>
      <c r="M8468" s="28" t="s">
        <v>51</v>
      </c>
      <c r="N8468" s="28" t="s">
        <v>51</v>
      </c>
    </row>
    <row r="8469" spans="1:14" collapsed="1" x14ac:dyDescent="0.15">
      <c r="A8469" s="23" t="str">
        <f>HYPERLINK("https://www.spark-marketing.ru/Card/Person/71275", "МОМВД РОССИИ ""МИЧУРИНСКИЙ""")</f>
        <v>МОМВД РОССИИ "МИЧУРИНСКИЙ"</v>
      </c>
      <c r="B8469" s="24" t="s">
        <v>11238</v>
      </c>
      <c r="C8469" s="25">
        <v>491260</v>
      </c>
      <c r="D8469" s="22" t="s">
        <v>12403</v>
      </c>
      <c r="E8469" s="22" t="s">
        <v>48</v>
      </c>
      <c r="F8469" s="23" t="str">
        <f>HYPERLINK("https://www.spark-marketing.ru/Card/Lot/72657088", "Услуги по приготовлению горячего питания для спец.приемника и КСЗ ( 01.01.2021 - 15.03.2021)")</f>
        <v>Услуги по приготовлению горячего питания для спец.приемника и КСЗ ( 01.01.2021 - 15.03.2021)</v>
      </c>
      <c r="G8469" s="22" t="s">
        <v>1370</v>
      </c>
      <c r="H8469" s="22" t="s">
        <v>11538</v>
      </c>
      <c r="I8469" s="26">
        <v>43684.675509259301</v>
      </c>
      <c r="J8469" s="28" t="s">
        <v>51</v>
      </c>
      <c r="K8469" s="28" t="s">
        <v>51</v>
      </c>
      <c r="L8469" s="28" t="s">
        <v>51</v>
      </c>
      <c r="M8469" s="28" t="s">
        <v>51</v>
      </c>
      <c r="N8469" s="28" t="s">
        <v>51</v>
      </c>
    </row>
    <row r="8470" spans="1:14" hidden="1" outlineLevel="1" x14ac:dyDescent="0.2">
      <c r="A8470" s="23" t="str">
        <f>HYPERLINK("https://www.spark-marketing.ru/Card/Person/71275", "МОМВД РОССИИ ""МИЧУРИНСКИЙ""")</f>
        <v>МОМВД РОССИИ "МИЧУРИНСКИЙ"</v>
      </c>
      <c r="B8470" s="24" t="s">
        <v>11238</v>
      </c>
      <c r="C8470" s="25">
        <v>491260</v>
      </c>
      <c r="D8470" s="22" t="s">
        <v>12403</v>
      </c>
      <c r="E8470" s="22" t="s">
        <v>48</v>
      </c>
      <c r="F8470" s="23" t="str">
        <f>HYPERLINK("https://www.spark-marketing.ru/Card/Lot/72657088", "Услуги по приготовлению горячего питания для спец.приемника и КСЗ ( 01.01.2021 - 15.03.2021)")</f>
        <v>Услуги по приготовлению горячего питания для спец.приемника и КСЗ ( 01.01.2021 - 15.03.2021)</v>
      </c>
      <c r="G8470" s="22" t="s">
        <v>1370</v>
      </c>
      <c r="H8470" s="22" t="s">
        <v>11538</v>
      </c>
      <c r="I8470" s="26">
        <v>43684.675509259301</v>
      </c>
      <c r="J8470" s="23" t="str">
        <f>HYPERLINK("https://www.spark-marketing.ru/Card/Person/837064", "Одоян Омар Мамоевич")</f>
        <v>Одоян Омар Мамоевич</v>
      </c>
      <c r="K8470" s="24" t="s">
        <v>11242</v>
      </c>
      <c r="L8470" s="28" t="s">
        <v>51</v>
      </c>
      <c r="M8470" s="25">
        <v>491260</v>
      </c>
      <c r="N8470" s="27">
        <v>0</v>
      </c>
    </row>
    <row r="8471" spans="1:14" ht="12.75" hidden="1" outlineLevel="1" x14ac:dyDescent="0.2">
      <c r="A8471" s="23" t="str">
        <f>HYPERLINK("https://www.spark-marketing.ru/Card/Person/71275", "МОМВД РОССИИ ""МИЧУРИНСКИЙ""")</f>
        <v>МОМВД РОССИИ "МИЧУРИНСКИЙ"</v>
      </c>
      <c r="B8471" s="24" t="s">
        <v>11238</v>
      </c>
      <c r="C8471" s="25">
        <v>491260</v>
      </c>
      <c r="D8471" s="22" t="s">
        <v>12403</v>
      </c>
      <c r="E8471" s="22" t="s">
        <v>48</v>
      </c>
      <c r="F8471" s="23" t="str">
        <f>HYPERLINK("https://www.spark-marketing.ru/Card/Lot/72657088", "Услуги по приготовлению горячего питания для спец.приемника и КСЗ ( 01.01.2021 - 15.03.2021)")</f>
        <v>Услуги по приготовлению горячего питания для спец.приемника и КСЗ ( 01.01.2021 - 15.03.2021)</v>
      </c>
      <c r="G8471" s="22" t="s">
        <v>1370</v>
      </c>
      <c r="H8471" s="22" t="s">
        <v>11538</v>
      </c>
      <c r="I8471" s="26">
        <v>43684.675509259301</v>
      </c>
      <c r="J8471" s="23" t="str">
        <f>HYPERLINK("https://www.spark-marketing.ru/Card/Person/839734", "ООО ""МИЧВЕЛЛ""")</f>
        <v>ООО "МИЧВЕЛЛ"</v>
      </c>
      <c r="K8471" s="24" t="s">
        <v>11241</v>
      </c>
      <c r="L8471" s="22" t="s">
        <v>10</v>
      </c>
      <c r="M8471" s="25">
        <v>491260</v>
      </c>
      <c r="N8471" s="27">
        <v>0</v>
      </c>
    </row>
    <row r="8472" spans="1:14" x14ac:dyDescent="0.15">
      <c r="A8472" s="23" t="str">
        <f>HYPERLINK("https://www.spark-marketing.ru/Card/Person/1753464", "ОАО "" ГРОЗНЕФТЕГАЗ""")</f>
        <v>ОАО " ГРОЗНЕФТЕГАЗ"</v>
      </c>
      <c r="B8472" s="24" t="s">
        <v>12404</v>
      </c>
      <c r="C8472" s="25">
        <v>1147200</v>
      </c>
      <c r="D8472" s="22" t="s">
        <v>12405</v>
      </c>
      <c r="E8472" s="22" t="s">
        <v>362</v>
      </c>
      <c r="F8472" s="23" t="str">
        <f>HYPERLINK("https://www.spark-marketing.ru/Card/Lot/74018935", "Оказание комплексных услуг по организации общественного питания работников Общества на объектах ОАО «Грознефтегаз»")</f>
        <v>Оказание комплексных услуг по организации общественного питания работников Общества на объектах ОАО «Грознефтегаз»</v>
      </c>
      <c r="G8472" s="22" t="s">
        <v>1983</v>
      </c>
      <c r="H8472" s="22" t="s">
        <v>5190</v>
      </c>
      <c r="I8472" s="26">
        <v>43684.679861111101</v>
      </c>
      <c r="J8472" s="28" t="s">
        <v>51</v>
      </c>
      <c r="K8472" s="28" t="s">
        <v>51</v>
      </c>
      <c r="L8472" s="28" t="s">
        <v>51</v>
      </c>
      <c r="M8472" s="28" t="s">
        <v>51</v>
      </c>
      <c r="N8472" s="28" t="s">
        <v>51</v>
      </c>
    </row>
    <row r="8473" spans="1:14" x14ac:dyDescent="0.15">
      <c r="A8473" s="23" t="str">
        <f>HYPERLINK("https://www.spark-marketing.ru/Card/Person/46152", "АДМИНИСТРАЦИЯ ЦИМЛЯНСКОГО РАЙОНА")</f>
        <v>АДМИНИСТРАЦИЯ ЦИМЛЯНСКОГО РАЙОНА</v>
      </c>
      <c r="B8473" s="24" t="s">
        <v>12406</v>
      </c>
      <c r="C8473" s="25">
        <v>10330</v>
      </c>
      <c r="D8473" s="22" t="s">
        <v>12407</v>
      </c>
      <c r="E8473" s="22" t="s">
        <v>603</v>
      </c>
      <c r="F8473" s="23" t="str">
        <f>HYPERLINK("https://www.spark-marketing.ru/Card/Lot/72654215", "Услуги по поверке тепловычислителя ВКТ-7, замене элемента питания")</f>
        <v>Услуги по поверке тепловычислителя ВКТ-7, замене элемента питания</v>
      </c>
      <c r="G8473" s="22" t="s">
        <v>267</v>
      </c>
      <c r="H8473" s="22" t="s">
        <v>10165</v>
      </c>
      <c r="I8473" s="26">
        <v>43684.681944444397</v>
      </c>
      <c r="J8473" s="28" t="s">
        <v>51</v>
      </c>
      <c r="K8473" s="28" t="s">
        <v>51</v>
      </c>
      <c r="L8473" s="28" t="s">
        <v>51</v>
      </c>
      <c r="M8473" s="28" t="s">
        <v>51</v>
      </c>
      <c r="N8473" s="28" t="s">
        <v>51</v>
      </c>
    </row>
    <row r="8474" spans="1:14" x14ac:dyDescent="0.15">
      <c r="A8474" s="23" t="str">
        <f>HYPERLINK("https://www.spark-marketing.ru/Card/Person/1762757", "МОБУ СОШ №1 С. МАЛОЯЗ")</f>
        <v>МОБУ СОШ №1 С. МАЛОЯЗ</v>
      </c>
      <c r="B8474" s="24" t="s">
        <v>12408</v>
      </c>
      <c r="C8474" s="25">
        <v>3175729</v>
      </c>
      <c r="D8474" s="22" t="s">
        <v>12409</v>
      </c>
      <c r="E8474" s="22" t="s">
        <v>48</v>
      </c>
      <c r="F8474" s="23" t="str">
        <f>HYPERLINK("https://www.spark-marketing.ru/Card/Lot/72653677", "Услуги по организации горячего питания учащихся")</f>
        <v>Услуги по организации горячего питания учащихся</v>
      </c>
      <c r="G8474" s="22" t="s">
        <v>145</v>
      </c>
      <c r="H8474" s="22" t="s">
        <v>12410</v>
      </c>
      <c r="I8474" s="26">
        <v>43684.691342592603</v>
      </c>
      <c r="J8474" s="28" t="s">
        <v>51</v>
      </c>
      <c r="K8474" s="28" t="s">
        <v>51</v>
      </c>
      <c r="L8474" s="28" t="s">
        <v>51</v>
      </c>
      <c r="M8474" s="28" t="s">
        <v>51</v>
      </c>
      <c r="N8474" s="28" t="s">
        <v>51</v>
      </c>
    </row>
    <row r="8475" spans="1:14" x14ac:dyDescent="0.15">
      <c r="A8475" s="23" t="str">
        <f>HYPERLINK("https://www.spark-marketing.ru/Card/Person/1753464", "ОАО "" ГРОЗНЕФТЕГАЗ""")</f>
        <v>ОАО " ГРОЗНЕФТЕГАЗ"</v>
      </c>
      <c r="B8475" s="24" t="s">
        <v>12404</v>
      </c>
      <c r="C8475" s="25">
        <v>1147200</v>
      </c>
      <c r="D8475" s="22" t="s">
        <v>12405</v>
      </c>
      <c r="E8475" s="22" t="s">
        <v>362</v>
      </c>
      <c r="F8475" s="23" t="str">
        <f>HYPERLINK("https://www.spark-marketing.ru/Card/Lot/72660752", "Оказание комплексных услуг по организации общественного питания работников Общества на объектах ОАО «Грознефтегаз»")</f>
        <v>Оказание комплексных услуг по организации общественного питания работников Общества на объектах ОАО «Грознефтегаз»</v>
      </c>
      <c r="G8475" s="22" t="s">
        <v>1983</v>
      </c>
      <c r="H8475" s="22" t="s">
        <v>5190</v>
      </c>
      <c r="I8475" s="26">
        <v>43684.676099536999</v>
      </c>
      <c r="J8475" s="28" t="s">
        <v>51</v>
      </c>
      <c r="K8475" s="28" t="s">
        <v>51</v>
      </c>
      <c r="L8475" s="22" t="s">
        <v>10</v>
      </c>
      <c r="M8475" s="28" t="s">
        <v>51</v>
      </c>
      <c r="N8475" s="28" t="s">
        <v>51</v>
      </c>
    </row>
    <row r="8476" spans="1:14" collapsed="1" x14ac:dyDescent="0.15">
      <c r="A8476" s="23" t="str">
        <f>HYPERLINK("https://www.spark-marketing.ru/Card/Person/1030370", "МБОУ ""ЗЮКАЙСКАЯ СОШ""")</f>
        <v>МБОУ "ЗЮКАЙСКАЯ СОШ"</v>
      </c>
      <c r="B8476" s="24" t="s">
        <v>12411</v>
      </c>
      <c r="C8476" s="25">
        <v>2233288.83</v>
      </c>
      <c r="D8476" s="22" t="s">
        <v>12412</v>
      </c>
      <c r="E8476" s="22" t="s">
        <v>96</v>
      </c>
      <c r="F8476" s="23" t="str">
        <f>HYPERLINK("https://www.spark-marketing.ru/Card/Lot/72574530", "Оказание услуг по обеспечению горячим питанием обучающихся и сотрудников МБОУ ""Зюкайская СОШ""")</f>
        <v>Оказание услуг по обеспечению горячим питанием обучающихся и сотрудников МБОУ "Зюкайская СОШ"</v>
      </c>
      <c r="G8476" s="22" t="s">
        <v>153</v>
      </c>
      <c r="H8476" s="22" t="s">
        <v>153</v>
      </c>
      <c r="I8476" s="26">
        <v>43679.663888888899</v>
      </c>
      <c r="J8476" s="28" t="s">
        <v>51</v>
      </c>
      <c r="K8476" s="28" t="s">
        <v>51</v>
      </c>
      <c r="L8476" s="28" t="s">
        <v>51</v>
      </c>
      <c r="M8476" s="28" t="s">
        <v>51</v>
      </c>
      <c r="N8476" s="28" t="s">
        <v>51</v>
      </c>
    </row>
    <row r="8477" spans="1:14" hidden="1" outlineLevel="1" x14ac:dyDescent="0.2">
      <c r="A8477" s="23" t="str">
        <f>HYPERLINK("https://www.spark-marketing.ru/Card/Person/1030370", "МБОУ ""ЗЮКАЙСКАЯ СОШ""")</f>
        <v>МБОУ "ЗЮКАЙСКАЯ СОШ"</v>
      </c>
      <c r="B8477" s="24" t="s">
        <v>12411</v>
      </c>
      <c r="C8477" s="25">
        <v>2233288.83</v>
      </c>
      <c r="D8477" s="22" t="s">
        <v>12412</v>
      </c>
      <c r="E8477" s="22" t="s">
        <v>96</v>
      </c>
      <c r="F8477" s="23" t="str">
        <f>HYPERLINK("https://www.spark-marketing.ru/Card/Lot/72574530", "Оказание услуг по обеспечению горячим питанием обучающихся и сотрудников МБОУ ""Зюкайская СОШ""")</f>
        <v>Оказание услуг по обеспечению горячим питанием обучающихся и сотрудников МБОУ "Зюкайская СОШ"</v>
      </c>
      <c r="G8477" s="22" t="s">
        <v>153</v>
      </c>
      <c r="H8477" s="22" t="s">
        <v>153</v>
      </c>
      <c r="I8477" s="26">
        <v>43679.663888888899</v>
      </c>
      <c r="J8477" s="23" t="str">
        <f>HYPERLINK("https://www.spark-marketing.ru/Card/Person/38488", "Бурдина Елена Дмитриевна")</f>
        <v>Бурдина Елена Дмитриевна</v>
      </c>
      <c r="K8477" s="24" t="s">
        <v>11680</v>
      </c>
      <c r="L8477" s="28" t="s">
        <v>51</v>
      </c>
      <c r="M8477" s="25">
        <v>2200000</v>
      </c>
      <c r="N8477" s="27">
        <v>1.4905743293401059E-2</v>
      </c>
    </row>
    <row r="8478" spans="1:14" ht="12.75" hidden="1" outlineLevel="1" x14ac:dyDescent="0.2">
      <c r="A8478" s="23" t="str">
        <f>HYPERLINK("https://www.spark-marketing.ru/Card/Person/1030370", "МБОУ ""ЗЮКАЙСКАЯ СОШ""")</f>
        <v>МБОУ "ЗЮКАЙСКАЯ СОШ"</v>
      </c>
      <c r="B8478" s="24" t="s">
        <v>12411</v>
      </c>
      <c r="C8478" s="25">
        <v>2233288.83</v>
      </c>
      <c r="D8478" s="22" t="s">
        <v>12412</v>
      </c>
      <c r="E8478" s="22" t="s">
        <v>96</v>
      </c>
      <c r="F8478" s="23" t="str">
        <f>HYPERLINK("https://www.spark-marketing.ru/Card/Lot/72574530", "Оказание услуг по обеспечению горячим питанием обучающихся и сотрудников МБОУ ""Зюкайская СОШ""")</f>
        <v>Оказание услуг по обеспечению горячим питанием обучающихся и сотрудников МБОУ "Зюкайская СОШ"</v>
      </c>
      <c r="G8478" s="22" t="s">
        <v>153</v>
      </c>
      <c r="H8478" s="22" t="s">
        <v>153</v>
      </c>
      <c r="I8478" s="26">
        <v>43679.663888888899</v>
      </c>
      <c r="J8478" s="23" t="str">
        <f>HYPERLINK("https://www.spark-marketing.ru/Card/Person/780721", "МУП ""ВКДП""")</f>
        <v>МУП "ВКДП"</v>
      </c>
      <c r="K8478" s="24" t="s">
        <v>7912</v>
      </c>
      <c r="L8478" s="22" t="s">
        <v>10</v>
      </c>
      <c r="M8478" s="25">
        <v>2175000</v>
      </c>
      <c r="N8478" s="27">
        <v>2.6099996210521503E-2</v>
      </c>
    </row>
    <row r="8479" spans="1:14" x14ac:dyDescent="0.15">
      <c r="A8479" s="23" t="str">
        <f>HYPERLINK("https://www.spark-marketing.ru/Card/Person/1075131", "МБОУ ""СШ № 22""")</f>
        <v>МБОУ "СШ № 22"</v>
      </c>
      <c r="B8479" s="24" t="s">
        <v>12413</v>
      </c>
      <c r="C8479" s="25">
        <v>309270</v>
      </c>
      <c r="D8479" s="22" t="s">
        <v>12414</v>
      </c>
      <c r="E8479" s="22" t="s">
        <v>48</v>
      </c>
      <c r="F8479" s="23" t="str">
        <f>HYPERLINK("https://www.spark-marketing.ru/Card/Lot/72656741", "Оказание услуг по организации горячего питания и обеспечению горячим питанием учащихся МБОУ «СШ № 22»")</f>
        <v>Оказание услуг по организации горячего питания и обеспечению горячим питанием учащихся МБОУ «СШ № 22»</v>
      </c>
      <c r="G8479" s="22" t="s">
        <v>460</v>
      </c>
      <c r="H8479" s="22" t="s">
        <v>461</v>
      </c>
      <c r="I8479" s="26">
        <v>43684.663541666698</v>
      </c>
      <c r="J8479" s="28" t="s">
        <v>51</v>
      </c>
      <c r="K8479" s="28" t="s">
        <v>51</v>
      </c>
      <c r="L8479" s="28" t="s">
        <v>51</v>
      </c>
      <c r="M8479" s="28" t="s">
        <v>51</v>
      </c>
      <c r="N8479" s="28" t="s">
        <v>51</v>
      </c>
    </row>
    <row r="8480" spans="1:14" collapsed="1" x14ac:dyDescent="0.15">
      <c r="A8480" s="23" t="str">
        <f>HYPERLINK("https://www.spark-marketing.ru/Card/Person/955274", "МБДОУ Д/С КВ ""КОЛОКОЛЬЧИК""")</f>
        <v>МБДОУ Д/С КВ "КОЛОКОЛЬЧИК"</v>
      </c>
      <c r="B8480" s="24" t="s">
        <v>12415</v>
      </c>
      <c r="C8480" s="25">
        <v>763000.07</v>
      </c>
      <c r="D8480" s="22" t="s">
        <v>12416</v>
      </c>
      <c r="E8480" s="22" t="s">
        <v>48</v>
      </c>
      <c r="F8480" s="23" t="str">
        <f>HYPERLINK("https://www.spark-marketing.ru/Card/Lot/72661444", "Поставка продуктов для детей дошкольного возраста на 2-ое полугодие 2019 года")</f>
        <v>Поставка продуктов для детей дошкольного возраста на 2-ое полугодие 2019 года</v>
      </c>
      <c r="G8480" s="22" t="s">
        <v>281</v>
      </c>
      <c r="H8480" s="22" t="s">
        <v>12417</v>
      </c>
      <c r="I8480" s="26">
        <v>43684.664004629602</v>
      </c>
      <c r="J8480" s="28" t="s">
        <v>51</v>
      </c>
      <c r="K8480" s="28" t="s">
        <v>51</v>
      </c>
      <c r="L8480" s="28" t="s">
        <v>51</v>
      </c>
      <c r="M8480" s="28" t="s">
        <v>51</v>
      </c>
      <c r="N8480" s="28" t="s">
        <v>51</v>
      </c>
    </row>
    <row r="8481" spans="1:14" ht="12.75" hidden="1" outlineLevel="1" x14ac:dyDescent="0.2">
      <c r="A8481" s="23" t="str">
        <f>HYPERLINK("https://www.spark-marketing.ru/Card/Person/955274", "МБДОУ Д/С КВ ""КОЛОКОЛЬЧИК""")</f>
        <v>МБДОУ Д/С КВ "КОЛОКОЛЬЧИК"</v>
      </c>
      <c r="B8481" s="24" t="s">
        <v>12415</v>
      </c>
      <c r="C8481" s="25">
        <v>763000.07</v>
      </c>
      <c r="D8481" s="22" t="s">
        <v>12416</v>
      </c>
      <c r="E8481" s="22" t="s">
        <v>48</v>
      </c>
      <c r="F8481" s="23" t="str">
        <f>HYPERLINK("https://www.spark-marketing.ru/Card/Lot/72661444", "Поставка продуктов для детей дошкольного возраста на 2-ое полугодие 2019 года")</f>
        <v>Поставка продуктов для детей дошкольного возраста на 2-ое полугодие 2019 года</v>
      </c>
      <c r="G8481" s="22" t="s">
        <v>281</v>
      </c>
      <c r="H8481" s="22" t="s">
        <v>12417</v>
      </c>
      <c r="I8481" s="26">
        <v>43684.664004629602</v>
      </c>
      <c r="J8481" s="23" t="str">
        <f>HYPERLINK("https://www.spark-marketing.ru/Card/Person/108670", "Майборода Татьяна Викторовна")</f>
        <v>Майборода Татьяна Викторовна</v>
      </c>
      <c r="K8481" s="24" t="s">
        <v>12418</v>
      </c>
      <c r="L8481" s="22" t="s">
        <v>10</v>
      </c>
      <c r="M8481" s="25">
        <v>595140.06999999995</v>
      </c>
      <c r="N8481" s="27">
        <v>0.21999997981651562</v>
      </c>
    </row>
    <row r="8482" spans="1:14" hidden="1" outlineLevel="1" x14ac:dyDescent="0.2">
      <c r="A8482" s="23" t="str">
        <f>HYPERLINK("https://www.spark-marketing.ru/Card/Person/955274", "МБДОУ Д/С КВ ""КОЛОКОЛЬЧИК""")</f>
        <v>МБДОУ Д/С КВ "КОЛОКОЛЬЧИК"</v>
      </c>
      <c r="B8482" s="24" t="s">
        <v>12415</v>
      </c>
      <c r="C8482" s="25">
        <v>763000.07</v>
      </c>
      <c r="D8482" s="22" t="s">
        <v>12416</v>
      </c>
      <c r="E8482" s="22" t="s">
        <v>48</v>
      </c>
      <c r="F8482" s="23" t="str">
        <f>HYPERLINK("https://www.spark-marketing.ru/Card/Lot/72661444", "Поставка продуктов для детей дошкольного возраста на 2-ое полугодие 2019 года")</f>
        <v>Поставка продуктов для детей дошкольного возраста на 2-ое полугодие 2019 года</v>
      </c>
      <c r="G8482" s="22" t="s">
        <v>281</v>
      </c>
      <c r="H8482" s="22" t="s">
        <v>12417</v>
      </c>
      <c r="I8482" s="26">
        <v>43684.664004629602</v>
      </c>
      <c r="J8482" s="23" t="str">
        <f>HYPERLINK("https://www.spark-marketing.ru/Card/Person/469828", "ООО ""РАССВЕТ""")</f>
        <v>ООО "РАССВЕТ"</v>
      </c>
      <c r="K8482" s="24" t="s">
        <v>12419</v>
      </c>
      <c r="L8482" s="28" t="s">
        <v>51</v>
      </c>
      <c r="M8482" s="25">
        <v>598955.06999999995</v>
      </c>
      <c r="N8482" s="27">
        <v>0.21499998027523118</v>
      </c>
    </row>
    <row r="8483" spans="1:14" collapsed="1" x14ac:dyDescent="0.15">
      <c r="A8483" s="23" t="str">
        <f>HYPERLINK("https://www.spark-marketing.ru/Card/Person/140612", "МОУ ГИМНАЗИЯ ""ШКОЛА ИСКУССТВ"" ИМ. А.А. ЦВЕТКОВА Г. ТАЛДОМА")</f>
        <v>МОУ ГИМНАЗИЯ "ШКОЛА ИСКУССТВ" ИМ. А.А. ЦВЕТКОВА Г. ТАЛДОМА</v>
      </c>
      <c r="B8483" s="24" t="s">
        <v>12420</v>
      </c>
      <c r="C8483" s="25">
        <v>1367670.79</v>
      </c>
      <c r="D8483" s="22" t="s">
        <v>12421</v>
      </c>
      <c r="E8483" s="22" t="s">
        <v>48</v>
      </c>
      <c r="F8483" s="23" t="str">
        <f>HYPERLINK("https://www.spark-marketing.ru/Card/Lot/72654683", "Оказание услуг по приготовлению и организации горячего питания обучающихся МОУ гимназия ""Школа искусств"" им. А.А.Цветкова г. Талдома")</f>
        <v>Оказание услуг по приготовлению и организации горячего питания обучающихся МОУ гимназия "Школа искусств" им. А.А.Цветкова г. Талдома</v>
      </c>
      <c r="G8483" s="22" t="s">
        <v>49</v>
      </c>
      <c r="H8483" s="22" t="s">
        <v>49</v>
      </c>
      <c r="I8483" s="26">
        <v>43684.652777777803</v>
      </c>
      <c r="J8483" s="28" t="s">
        <v>51</v>
      </c>
      <c r="K8483" s="28" t="s">
        <v>51</v>
      </c>
      <c r="L8483" s="28" t="s">
        <v>51</v>
      </c>
      <c r="M8483" s="28" t="s">
        <v>51</v>
      </c>
      <c r="N8483" s="28" t="s">
        <v>51</v>
      </c>
    </row>
    <row r="8484" spans="1:14" ht="12.75" hidden="1" outlineLevel="1" x14ac:dyDescent="0.2">
      <c r="A8484" s="23" t="str">
        <f>HYPERLINK("https://www.spark-marketing.ru/Card/Person/140612", "МОУ ГИМНАЗИЯ ""ШКОЛА ИСКУССТВ"" ИМ. А.А. ЦВЕТКОВА Г. ТАЛДОМА")</f>
        <v>МОУ ГИМНАЗИЯ "ШКОЛА ИСКУССТВ" ИМ. А.А. ЦВЕТКОВА Г. ТАЛДОМА</v>
      </c>
      <c r="B8484" s="24" t="s">
        <v>12420</v>
      </c>
      <c r="C8484" s="25">
        <v>1367670.79</v>
      </c>
      <c r="D8484" s="22" t="s">
        <v>12421</v>
      </c>
      <c r="E8484" s="22" t="s">
        <v>48</v>
      </c>
      <c r="F8484" s="23" t="str">
        <f>HYPERLINK("https://www.spark-marketing.ru/Card/Lot/72654683", "Оказание услуг по приготовлению и организации горячего питания обучающихся МОУ гимназия ""Школа искусств"" им. А.А.Цветкова г. Талдома")</f>
        <v>Оказание услуг по приготовлению и организации горячего питания обучающихся МОУ гимназия "Школа искусств" им. А.А.Цветкова г. Талдома</v>
      </c>
      <c r="G8484" s="22" t="s">
        <v>49</v>
      </c>
      <c r="H8484" s="22" t="s">
        <v>49</v>
      </c>
      <c r="I8484" s="26">
        <v>43684.652777777803</v>
      </c>
      <c r="J8484" s="23" t="str">
        <f>HYPERLINK("https://www.spark-marketing.ru/Card/Person/75516", "ООО ""КОНЦЕПТ""")</f>
        <v>ООО "КОНЦЕПТ"</v>
      </c>
      <c r="K8484" s="24" t="s">
        <v>1717</v>
      </c>
      <c r="L8484" s="22" t="s">
        <v>10</v>
      </c>
      <c r="M8484" s="25">
        <v>1271327.2</v>
      </c>
      <c r="N8484" s="27">
        <v>7.0443553159455871E-2</v>
      </c>
    </row>
    <row r="8485" spans="1:14" hidden="1" outlineLevel="1" x14ac:dyDescent="0.2">
      <c r="A8485" s="23" t="str">
        <f>HYPERLINK("https://www.spark-marketing.ru/Card/Person/140612", "МОУ ГИМНАЗИЯ ""ШКОЛА ИСКУССТВ"" ИМ. А.А. ЦВЕТКОВА Г. ТАЛДОМА")</f>
        <v>МОУ ГИМНАЗИЯ "ШКОЛА ИСКУССТВ" ИМ. А.А. ЦВЕТКОВА Г. ТАЛДОМА</v>
      </c>
      <c r="B8485" s="24" t="s">
        <v>12420</v>
      </c>
      <c r="C8485" s="25">
        <v>1367670.79</v>
      </c>
      <c r="D8485" s="22" t="s">
        <v>12421</v>
      </c>
      <c r="E8485" s="22" t="s">
        <v>48</v>
      </c>
      <c r="F8485" s="23" t="str">
        <f>HYPERLINK("https://www.spark-marketing.ru/Card/Lot/72654683", "Оказание услуг по приготовлению и организации горячего питания обучающихся МОУ гимназия ""Школа искусств"" им. А.А.Цветкова г. Талдома")</f>
        <v>Оказание услуг по приготовлению и организации горячего питания обучающихся МОУ гимназия "Школа искусств" им. А.А.Цветкова г. Талдома</v>
      </c>
      <c r="G8485" s="22" t="s">
        <v>49</v>
      </c>
      <c r="H8485" s="22" t="s">
        <v>49</v>
      </c>
      <c r="I8485" s="26">
        <v>43684.652777777803</v>
      </c>
      <c r="J8485" s="23" t="str">
        <f>HYPERLINK("https://www.spark-marketing.ru/Card/Person/31262", "ООО ""АЛЬЯНС""")</f>
        <v>ООО "АЛЬЯНС"</v>
      </c>
      <c r="K8485" s="24" t="s">
        <v>1718</v>
      </c>
      <c r="L8485" s="28" t="s">
        <v>51</v>
      </c>
      <c r="M8485" s="25">
        <v>1107800</v>
      </c>
      <c r="N8485" s="27">
        <v>0.19000975373613119</v>
      </c>
    </row>
    <row r="8486" spans="1:14" x14ac:dyDescent="0.15">
      <c r="A8486" s="23" t="str">
        <f>HYPERLINK("https://www.spark-marketing.ru/Card/Person/639159", "ОТДЕЛ МВД РОССИИ ПО МЕЛЕУЗОВСКОМУ РАЙОНУ")</f>
        <v>ОТДЕЛ МВД РОССИИ ПО МЕЛЕУЗОВСКОМУ РАЙОНУ</v>
      </c>
      <c r="B8486" s="24" t="s">
        <v>9041</v>
      </c>
      <c r="C8486" s="25">
        <v>25000</v>
      </c>
      <c r="D8486" s="22" t="s">
        <v>12422</v>
      </c>
      <c r="E8486" s="22" t="s">
        <v>48</v>
      </c>
      <c r="F8486" s="23" t="str">
        <f>HYPERLINK("https://www.spark-marketing.ru/Card/Lot/72651515",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8486" s="22" t="s">
        <v>145</v>
      </c>
      <c r="H8486" s="22" t="s">
        <v>12423</v>
      </c>
      <c r="I8486" s="26">
        <v>43684.636562500003</v>
      </c>
      <c r="J8486" s="28" t="s">
        <v>51</v>
      </c>
      <c r="K8486" s="28" t="s">
        <v>51</v>
      </c>
      <c r="L8486" s="28" t="s">
        <v>51</v>
      </c>
      <c r="M8486" s="28" t="s">
        <v>51</v>
      </c>
      <c r="N8486" s="28" t="s">
        <v>51</v>
      </c>
    </row>
    <row r="8487" spans="1:14" x14ac:dyDescent="0.15">
      <c r="A8487" s="23" t="str">
        <f>HYPERLINK("https://www.spark-marketing.ru/Card/Person/544527", "ОМВД РОССИИ ПО УГЛЕГОРСКОМУ ГОРОДСКОМУ ОКРУГУ")</f>
        <v>ОМВД РОССИИ ПО УГЛЕГОРСКОМУ ГОРОДСКОМУ ОКРУГУ</v>
      </c>
      <c r="B8487" s="24" t="s">
        <v>12424</v>
      </c>
      <c r="C8487" s="25">
        <v>1337000</v>
      </c>
      <c r="D8487" s="22" t="s">
        <v>12425</v>
      </c>
      <c r="E8487" s="22" t="s">
        <v>96</v>
      </c>
      <c r="F8487" s="23" t="str">
        <f>HYPERLINK("https://www.spark-marketing.ru/Card/Lot/72639468", "Питание ИВС")</f>
        <v>Питание ИВС</v>
      </c>
      <c r="G8487" s="22" t="s">
        <v>260</v>
      </c>
      <c r="H8487" s="22" t="s">
        <v>12426</v>
      </c>
      <c r="I8487" s="26">
        <v>43684.631122685198</v>
      </c>
      <c r="J8487" s="23" t="str">
        <f>HYPERLINK("https://www.spark-marketing.ru/Card/Person/5867896", "Ким Хи Дя")</f>
        <v>Ким Хи Дя</v>
      </c>
      <c r="K8487" s="24" t="s">
        <v>12427</v>
      </c>
      <c r="L8487" s="22" t="s">
        <v>10</v>
      </c>
      <c r="M8487" s="28" t="s">
        <v>51</v>
      </c>
      <c r="N8487" s="28" t="s">
        <v>51</v>
      </c>
    </row>
    <row r="8488" spans="1:14" x14ac:dyDescent="0.15">
      <c r="A8488" s="23" t="str">
        <f>HYPERLINK("https://www.spark-marketing.ru/Card/Person/101107", "УМВД РОССИИ ПО Г.ЧЕРЕПОВЦУ")</f>
        <v>УМВД РОССИИ ПО Г.ЧЕРЕПОВЦУ</v>
      </c>
      <c r="B8488" s="24" t="s">
        <v>6522</v>
      </c>
      <c r="C8488" s="25">
        <v>3650000</v>
      </c>
      <c r="D8488" s="22" t="s">
        <v>12428</v>
      </c>
      <c r="E8488" s="22" t="s">
        <v>48</v>
      </c>
      <c r="F8488" s="23" t="str">
        <f>HYPERLINK("https://www.spark-marketing.ru/Card/Lot/72656058", "услуг по обеспечению трёхразовым горячим питанием")</f>
        <v>услуг по обеспечению трёхразовым горячим питанием</v>
      </c>
      <c r="G8488" s="22" t="s">
        <v>503</v>
      </c>
      <c r="H8488" s="22" t="s">
        <v>1157</v>
      </c>
      <c r="I8488" s="26">
        <v>43684.648020833301</v>
      </c>
      <c r="J8488" s="28" t="s">
        <v>51</v>
      </c>
      <c r="K8488" s="28" t="s">
        <v>51</v>
      </c>
      <c r="L8488" s="28" t="s">
        <v>51</v>
      </c>
      <c r="M8488" s="28" t="s">
        <v>51</v>
      </c>
      <c r="N8488" s="28" t="s">
        <v>51</v>
      </c>
    </row>
    <row r="8489" spans="1:14" collapsed="1" x14ac:dyDescent="0.15">
      <c r="A8489" s="23" t="str">
        <f>HYPERLINK("https://www.spark-marketing.ru/Card/Person/137784", "УПРАВЛЕНИЕ ПО ОБЕСПЕЧЕНИЮ ДЕЯТЕЛЬНОСТИ МИРОВЫХ СУДЕЙ В РЕСПУБЛИКЕ БУРЯТИЯ")</f>
        <v>УПРАВЛЕНИЕ ПО ОБЕСПЕЧЕНИЮ ДЕЯТЕЛЬНОСТИ МИРОВЫХ СУДЕЙ В РЕСПУБЛИКЕ БУРЯТИЯ</v>
      </c>
      <c r="B8489" s="24" t="s">
        <v>12429</v>
      </c>
      <c r="C8489" s="25">
        <v>400000</v>
      </c>
      <c r="D8489" s="22" t="s">
        <v>12430</v>
      </c>
      <c r="E8489" s="22" t="s">
        <v>3524</v>
      </c>
      <c r="F8489" s="23" t="str">
        <f>HYPERLINK("https://www.spark-marketing.ru/Card/Lot/72648079", "Оказание услуг по заправке и техническому обслуживанию картриджей, ремонту принтеров и копировально-множительных аппаратов для нужд Управления по обеспечению деятельности мировых судей в Республике Бурятия и судебных участков мировых судей в Республи...")</f>
        <v>Оказание услуг по заправке и техническому обслуживанию картриджей, ремонту принтеров и копировально-множительных аппаратов для нужд Управления по обеспечению деятельности мировых судей в Республике Бурятия и судебных участков мировых судей в Республи...</v>
      </c>
      <c r="G8489" s="22" t="s">
        <v>433</v>
      </c>
      <c r="H8489" s="22" t="s">
        <v>974</v>
      </c>
      <c r="I8489" s="26">
        <v>43684.626018518502</v>
      </c>
      <c r="J8489" s="28" t="s">
        <v>51</v>
      </c>
      <c r="K8489" s="28" t="s">
        <v>51</v>
      </c>
      <c r="L8489" s="28" t="s">
        <v>51</v>
      </c>
      <c r="M8489" s="28" t="s">
        <v>51</v>
      </c>
      <c r="N8489" s="28" t="s">
        <v>51</v>
      </c>
    </row>
    <row r="8490" spans="1:14" ht="12.75" hidden="1" outlineLevel="1" x14ac:dyDescent="0.2">
      <c r="A8490" s="23" t="str">
        <f>HYPERLINK("https://www.spark-marketing.ru/Card/Person/137784", "УПРАВЛЕНИЕ ПО ОБЕСПЕЧЕНИЮ ДЕЯТЕЛЬНОСТИ МИРОВЫХ СУДЕЙ В РЕСПУБЛИКЕ БУРЯТИЯ")</f>
        <v>УПРАВЛЕНИЕ ПО ОБЕСПЕЧЕНИЮ ДЕЯТЕЛЬНОСТИ МИРОВЫХ СУДЕЙ В РЕСПУБЛИКЕ БУРЯТИЯ</v>
      </c>
      <c r="B8490" s="24" t="s">
        <v>12429</v>
      </c>
      <c r="C8490" s="25">
        <v>400000</v>
      </c>
      <c r="D8490" s="22" t="s">
        <v>12430</v>
      </c>
      <c r="E8490" s="22" t="s">
        <v>3524</v>
      </c>
      <c r="F8490" s="23" t="str">
        <f>HYPERLINK("https://www.spark-marketing.ru/Card/Lot/72648079", "Оказание услуг по заправке и техническому обслуживанию картриджей, ремонту принтеров и копировально-множительных аппаратов для нужд Управления по обеспечению деятельности мировых судей в Республике Бурятия и судебных участков мировых судей в Республи...")</f>
        <v>Оказание услуг по заправке и техническому обслуживанию картриджей, ремонту принтеров и копировально-множительных аппаратов для нужд Управления по обеспечению деятельности мировых судей в Республике Бурятия и судебных участков мировых судей в Республи...</v>
      </c>
      <c r="G8490" s="22" t="s">
        <v>433</v>
      </c>
      <c r="H8490" s="22" t="s">
        <v>974</v>
      </c>
      <c r="I8490" s="26">
        <v>43684.626018518502</v>
      </c>
      <c r="J8490" s="23" t="str">
        <f>HYPERLINK("https://www.spark-marketing.ru/Card/Person/149818", "ООО ""СИСТЕМА ПЛЮС""")</f>
        <v>ООО "СИСТЕМА ПЛЮС"</v>
      </c>
      <c r="K8490" s="24" t="s">
        <v>12431</v>
      </c>
      <c r="L8490" s="22" t="s">
        <v>10</v>
      </c>
      <c r="M8490" s="25">
        <v>44492.28</v>
      </c>
      <c r="N8490" s="27">
        <v>0.88876929999999998</v>
      </c>
    </row>
    <row r="8491" spans="1:14" hidden="1" outlineLevel="1" x14ac:dyDescent="0.2">
      <c r="A8491" s="23" t="str">
        <f>HYPERLINK("https://www.spark-marketing.ru/Card/Person/137784", "УПРАВЛЕНИЕ ПО ОБЕСПЕЧЕНИЮ ДЕЯТЕЛЬНОСТИ МИРОВЫХ СУДЕЙ В РЕСПУБЛИКЕ БУРЯТИЯ")</f>
        <v>УПРАВЛЕНИЕ ПО ОБЕСПЕЧЕНИЮ ДЕЯТЕЛЬНОСТИ МИРОВЫХ СУДЕЙ В РЕСПУБЛИКЕ БУРЯТИЯ</v>
      </c>
      <c r="B8491" s="24" t="s">
        <v>12429</v>
      </c>
      <c r="C8491" s="25">
        <v>400000</v>
      </c>
      <c r="D8491" s="22" t="s">
        <v>12430</v>
      </c>
      <c r="E8491" s="22" t="s">
        <v>3524</v>
      </c>
      <c r="F8491" s="23" t="str">
        <f>HYPERLINK("https://www.spark-marketing.ru/Card/Lot/72648079", "Оказание услуг по заправке и техническому обслуживанию картриджей, ремонту принтеров и копировально-множительных аппаратов для нужд Управления по обеспечению деятельности мировых судей в Республике Бурятия и судебных участков мировых судей в Республи...")</f>
        <v>Оказание услуг по заправке и техническому обслуживанию картриджей, ремонту принтеров и копировально-множительных аппаратов для нужд Управления по обеспечению деятельности мировых судей в Республике Бурятия и судебных участков мировых судей в Республи...</v>
      </c>
      <c r="G8491" s="22" t="s">
        <v>433</v>
      </c>
      <c r="H8491" s="22" t="s">
        <v>974</v>
      </c>
      <c r="I8491" s="26">
        <v>43684.626018518502</v>
      </c>
      <c r="J8491" s="23" t="str">
        <f>HYPERLINK("https://www.spark-marketing.ru/Card/Person/24762", "ООО ""ДЖЭЙАЙТИ""")</f>
        <v>ООО "ДЖЭЙАЙТИ"</v>
      </c>
      <c r="K8491" s="24" t="s">
        <v>12432</v>
      </c>
      <c r="L8491" s="28" t="s">
        <v>51</v>
      </c>
      <c r="M8491" s="25">
        <v>84000</v>
      </c>
      <c r="N8491" s="27">
        <v>0.79</v>
      </c>
    </row>
    <row r="8492" spans="1:14" hidden="1" outlineLevel="1" x14ac:dyDescent="0.2">
      <c r="A8492" s="23" t="str">
        <f>HYPERLINK("https://www.spark-marketing.ru/Card/Person/137784", "УПРАВЛЕНИЕ ПО ОБЕСПЕЧЕНИЮ ДЕЯТЕЛЬНОСТИ МИРОВЫХ СУДЕЙ В РЕСПУБЛИКЕ БУРЯТИЯ")</f>
        <v>УПРАВЛЕНИЕ ПО ОБЕСПЕЧЕНИЮ ДЕЯТЕЛЬНОСТИ МИРОВЫХ СУДЕЙ В РЕСПУБЛИКЕ БУРЯТИЯ</v>
      </c>
      <c r="B8492" s="24" t="s">
        <v>12429</v>
      </c>
      <c r="C8492" s="25">
        <v>400000</v>
      </c>
      <c r="D8492" s="22" t="s">
        <v>12430</v>
      </c>
      <c r="E8492" s="22" t="s">
        <v>3524</v>
      </c>
      <c r="F8492" s="23" t="str">
        <f>HYPERLINK("https://www.spark-marketing.ru/Card/Lot/72648079", "Оказание услуг по заправке и техническому обслуживанию картриджей, ремонту принтеров и копировально-множительных аппаратов для нужд Управления по обеспечению деятельности мировых судей в Республике Бурятия и судебных участков мировых судей в Республи...")</f>
        <v>Оказание услуг по заправке и техническому обслуживанию картриджей, ремонту принтеров и копировально-множительных аппаратов для нужд Управления по обеспечению деятельности мировых судей в Республике Бурятия и судебных участков мировых судей в Республи...</v>
      </c>
      <c r="G8492" s="22" t="s">
        <v>433</v>
      </c>
      <c r="H8492" s="22" t="s">
        <v>974</v>
      </c>
      <c r="I8492" s="26">
        <v>43684.626018518502</v>
      </c>
      <c r="J8492" s="23" t="str">
        <f>HYPERLINK("https://www.spark-marketing.ru/Card/Person/4535402", "ООО ""ТОНЕКС""")</f>
        <v>ООО "ТОНЕКС"</v>
      </c>
      <c r="K8492" s="24" t="s">
        <v>12433</v>
      </c>
      <c r="L8492" s="28" t="s">
        <v>51</v>
      </c>
      <c r="M8492" s="25">
        <v>44970.87</v>
      </c>
      <c r="N8492" s="27">
        <v>0.88757282500000001</v>
      </c>
    </row>
    <row r="8493" spans="1:14" hidden="1" outlineLevel="1" x14ac:dyDescent="0.2">
      <c r="A8493" s="23" t="str">
        <f>HYPERLINK("https://www.spark-marketing.ru/Card/Person/137784", "УПРАВЛЕНИЕ ПО ОБЕСПЕЧЕНИЮ ДЕЯТЕЛЬНОСТИ МИРОВЫХ СУДЕЙ В РЕСПУБЛИКЕ БУРЯТИЯ")</f>
        <v>УПРАВЛЕНИЕ ПО ОБЕСПЕЧЕНИЮ ДЕЯТЕЛЬНОСТИ МИРОВЫХ СУДЕЙ В РЕСПУБЛИКЕ БУРЯТИЯ</v>
      </c>
      <c r="B8493" s="24" t="s">
        <v>12429</v>
      </c>
      <c r="C8493" s="25">
        <v>400000</v>
      </c>
      <c r="D8493" s="22" t="s">
        <v>12430</v>
      </c>
      <c r="E8493" s="22" t="s">
        <v>3524</v>
      </c>
      <c r="F8493" s="23" t="str">
        <f>HYPERLINK("https://www.spark-marketing.ru/Card/Lot/72648079", "Оказание услуг по заправке и техническому обслуживанию картриджей, ремонту принтеров и копировально-множительных аппаратов для нужд Управления по обеспечению деятельности мировых судей в Республике Бурятия и судебных участков мировых судей в Республи...")</f>
        <v>Оказание услуг по заправке и техническому обслуживанию картриджей, ремонту принтеров и копировально-множительных аппаратов для нужд Управления по обеспечению деятельности мировых судей в Республике Бурятия и судебных участков мировых судей в Республи...</v>
      </c>
      <c r="G8493" s="22" t="s">
        <v>433</v>
      </c>
      <c r="H8493" s="22" t="s">
        <v>974</v>
      </c>
      <c r="I8493" s="26">
        <v>43684.626018518502</v>
      </c>
      <c r="J8493" s="23" t="str">
        <f>HYPERLINK("https://www.spark-marketing.ru/Card/Person/6579026", "ООО ""НОК НЭВИС""")</f>
        <v>ООО "НОК НЭВИС"</v>
      </c>
      <c r="K8493" s="24" t="s">
        <v>12434</v>
      </c>
      <c r="L8493" s="28" t="s">
        <v>51</v>
      </c>
      <c r="M8493" s="25">
        <v>95238.49</v>
      </c>
      <c r="N8493" s="27">
        <v>0.76190377499999995</v>
      </c>
    </row>
    <row r="8494" spans="1:14" x14ac:dyDescent="0.15">
      <c r="A8494" s="23" t="str">
        <f>HYPERLINK("https://www.spark-marketing.ru/Card/Person/369341", "ОТДЕЛ МВД РОССИИ ПО ВЕСЕЛОВСКОМУ РАЙОНУ")</f>
        <v>ОТДЕЛ МВД РОССИИ ПО ВЕСЕЛОВСКОМУ РАЙОНУ</v>
      </c>
      <c r="B8494" s="24" t="s">
        <v>12435</v>
      </c>
      <c r="C8494" s="25">
        <v>18000</v>
      </c>
      <c r="D8494" s="22" t="s">
        <v>12436</v>
      </c>
      <c r="E8494" s="22" t="s">
        <v>48</v>
      </c>
      <c r="F8494" s="23" t="str">
        <f>HYPERLINK("https://www.spark-marketing.ru/Card/Lot/72652913",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8494" s="22" t="s">
        <v>267</v>
      </c>
      <c r="H8494" s="22" t="s">
        <v>12437</v>
      </c>
      <c r="I8494" s="26">
        <v>43684.6569675926</v>
      </c>
      <c r="J8494" s="28" t="s">
        <v>51</v>
      </c>
      <c r="K8494" s="28" t="s">
        <v>51</v>
      </c>
      <c r="L8494" s="28" t="s">
        <v>51</v>
      </c>
      <c r="M8494" s="28" t="s">
        <v>51</v>
      </c>
      <c r="N8494" s="28" t="s">
        <v>51</v>
      </c>
    </row>
    <row r="8495" spans="1:14" x14ac:dyDescent="0.15">
      <c r="A8495" s="23" t="str">
        <f>HYPERLINK("https://www.spark-marketing.ru/Card/Person/639159", "ОТДЕЛ МВД РОССИИ ПО МЕЛЕУЗОВСКОМУ РАЙОНУ")</f>
        <v>ОТДЕЛ МВД РОССИИ ПО МЕЛЕУЗОВСКОМУ РАЙОНУ</v>
      </c>
      <c r="B8495" s="24" t="s">
        <v>9041</v>
      </c>
      <c r="C8495" s="25">
        <v>15000</v>
      </c>
      <c r="D8495" s="22" t="s">
        <v>12438</v>
      </c>
      <c r="E8495" s="22" t="s">
        <v>48</v>
      </c>
      <c r="F8495" s="23" t="str">
        <f>HYPERLINK("https://www.spark-marketing.ru/Card/Lot/72651537",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8495" s="22" t="s">
        <v>145</v>
      </c>
      <c r="H8495" s="22" t="s">
        <v>12423</v>
      </c>
      <c r="I8495" s="26">
        <v>43684.6409375</v>
      </c>
      <c r="J8495" s="28" t="s">
        <v>51</v>
      </c>
      <c r="K8495" s="28" t="s">
        <v>51</v>
      </c>
      <c r="L8495" s="28" t="s">
        <v>51</v>
      </c>
      <c r="M8495" s="28" t="s">
        <v>51</v>
      </c>
      <c r="N8495" s="28" t="s">
        <v>51</v>
      </c>
    </row>
    <row r="8496" spans="1:14" x14ac:dyDescent="0.15">
      <c r="A8496" s="23" t="str">
        <f>HYPERLINK("https://www.spark-marketing.ru/Card/Person/544527", "ОМВД РОССИИ ПО УГЛЕГОРСКОМУ ГОРОДСКОМУ ОКРУГУ")</f>
        <v>ОМВД РОССИИ ПО УГЛЕГОРСКОМУ ГОРОДСКОМУ ОКРУГУ</v>
      </c>
      <c r="B8496" s="24" t="s">
        <v>12424</v>
      </c>
      <c r="C8496" s="25">
        <v>1337000</v>
      </c>
      <c r="D8496" s="22" t="s">
        <v>12439</v>
      </c>
      <c r="E8496" s="22" t="s">
        <v>96</v>
      </c>
      <c r="F8496" s="23" t="str">
        <f>HYPERLINK("https://www.spark-marketing.ru/Card/Lot/72639465", "Питание ИВС")</f>
        <v>Питание ИВС</v>
      </c>
      <c r="G8496" s="22" t="s">
        <v>260</v>
      </c>
      <c r="H8496" s="22" t="s">
        <v>12426</v>
      </c>
      <c r="I8496" s="26">
        <v>43684.6250462963</v>
      </c>
      <c r="J8496" s="23" t="str">
        <f>HYPERLINK("https://www.spark-marketing.ru/Card/Person/5867896", "Ким Хи Дя")</f>
        <v>Ким Хи Дя</v>
      </c>
      <c r="K8496" s="24" t="s">
        <v>12427</v>
      </c>
      <c r="L8496" s="22" t="s">
        <v>10</v>
      </c>
      <c r="M8496" s="28" t="s">
        <v>51</v>
      </c>
      <c r="N8496" s="28" t="s">
        <v>51</v>
      </c>
    </row>
    <row r="8497" spans="1:14" x14ac:dyDescent="0.15">
      <c r="A8497" s="23" t="str">
        <f>HYPERLINK("https://www.spark-marketing.ru/Card/Person/1033396", "МБОУ ""СШ № 39""")</f>
        <v>МБОУ "СШ № 39"</v>
      </c>
      <c r="B8497" s="24" t="s">
        <v>12440</v>
      </c>
      <c r="C8497" s="25">
        <v>1364682</v>
      </c>
      <c r="D8497" s="22" t="s">
        <v>12441</v>
      </c>
      <c r="E8497" s="22" t="s">
        <v>48</v>
      </c>
      <c r="F8497" s="23" t="str">
        <f>HYPERLINK("https://www.spark-marketing.ru/Card/Lot/72654753", "оказание услуги по организации горячего питания и обеспечению горячим питанием учащихся для нужд МБОУ «СШ № 39»")</f>
        <v>оказание услуги по организации горячего питания и обеспечению горячим питанием учащихся для нужд МБОУ «СШ № 39»</v>
      </c>
      <c r="G8497" s="22" t="s">
        <v>460</v>
      </c>
      <c r="H8497" s="22" t="s">
        <v>461</v>
      </c>
      <c r="I8497" s="26">
        <v>43684.656134259298</v>
      </c>
      <c r="J8497" s="28" t="s">
        <v>51</v>
      </c>
      <c r="K8497" s="28" t="s">
        <v>51</v>
      </c>
      <c r="L8497" s="28" t="s">
        <v>51</v>
      </c>
      <c r="M8497" s="28" t="s">
        <v>51</v>
      </c>
      <c r="N8497" s="28" t="s">
        <v>51</v>
      </c>
    </row>
    <row r="8498" spans="1:14" x14ac:dyDescent="0.15">
      <c r="A8498" s="23" t="str">
        <f>HYPERLINK("https://www.spark-marketing.ru/Card/Person/129406", "МОМВД РОССИИ ""КИРСАНОВСКИЙ""")</f>
        <v>МОМВД РОССИИ "КИРСАНОВСКИЙ"</v>
      </c>
      <c r="B8498" s="24" t="s">
        <v>6612</v>
      </c>
      <c r="C8498" s="25">
        <v>1163300</v>
      </c>
      <c r="D8498" s="22" t="s">
        <v>12442</v>
      </c>
      <c r="E8498" s="22" t="s">
        <v>96</v>
      </c>
      <c r="F8498" s="23" t="str">
        <f>HYPERLINK("https://www.spark-marketing.ru/Card/Lot/72657070", "оказание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специал...")</f>
        <v>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</v>
      </c>
      <c r="G8498" s="22" t="s">
        <v>1370</v>
      </c>
      <c r="H8498" s="22" t="s">
        <v>6614</v>
      </c>
      <c r="I8498" s="26">
        <v>43684.6655902778</v>
      </c>
      <c r="J8498" s="28" t="s">
        <v>51</v>
      </c>
      <c r="K8498" s="28" t="s">
        <v>51</v>
      </c>
      <c r="L8498" s="28" t="s">
        <v>51</v>
      </c>
      <c r="M8498" s="28" t="s">
        <v>51</v>
      </c>
      <c r="N8498" s="28" t="s">
        <v>51</v>
      </c>
    </row>
    <row r="8499" spans="1:14" x14ac:dyDescent="0.15">
      <c r="A8499" s="23" t="str">
        <f>HYPERLINK("https://www.spark-marketing.ru/Card/Person/101107", "УМВД РОССИИ ПО Г.ЧЕРЕПОВЦУ")</f>
        <v>УМВД РОССИИ ПО Г.ЧЕРЕПОВЦУ</v>
      </c>
      <c r="B8499" s="24" t="s">
        <v>6522</v>
      </c>
      <c r="C8499" s="25">
        <v>842000</v>
      </c>
      <c r="D8499" s="22" t="s">
        <v>12443</v>
      </c>
      <c r="E8499" s="22" t="s">
        <v>48</v>
      </c>
      <c r="F8499" s="23" t="str">
        <f>HYPERLINK("https://www.spark-marketing.ru/Card/Lot/72655376", "услуг по обеспечению трёхразовым горячим питанием")</f>
        <v>услуг по обеспечению трёхразовым горячим питанием</v>
      </c>
      <c r="G8499" s="22" t="s">
        <v>503</v>
      </c>
      <c r="H8499" s="22" t="s">
        <v>1157</v>
      </c>
      <c r="I8499" s="26">
        <v>43684.637696759302</v>
      </c>
      <c r="J8499" s="28" t="s">
        <v>51</v>
      </c>
      <c r="K8499" s="28" t="s">
        <v>51</v>
      </c>
      <c r="L8499" s="28" t="s">
        <v>51</v>
      </c>
      <c r="M8499" s="28" t="s">
        <v>51</v>
      </c>
      <c r="N8499" s="28" t="s">
        <v>51</v>
      </c>
    </row>
    <row r="8500" spans="1:14" x14ac:dyDescent="0.15">
      <c r="A8500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8500" s="24" t="s">
        <v>4297</v>
      </c>
      <c r="C8500" s="25">
        <v>19400</v>
      </c>
      <c r="D8500" s="22" t="s">
        <v>12444</v>
      </c>
      <c r="E8500" s="22" t="s">
        <v>48</v>
      </c>
      <c r="F8500" s="23" t="str">
        <f>HYPERLINK("https://www.spark-marketing.ru/Card/Lot/72643068",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8500" s="22" t="s">
        <v>1096</v>
      </c>
      <c r="H8500" s="22" t="s">
        <v>4299</v>
      </c>
      <c r="I8500" s="26">
        <v>43684.6555787037</v>
      </c>
      <c r="J8500" s="23" t="str">
        <f>HYPERLINK("https://www.spark-marketing.ru/Card/Person/1014741", "МОУ СОШ С УГЛУБЛЕННЫМ ИЗУЧЕНИЕМ ПРЕДМЕТОВ ХУДОЖЕСТВЕННО-ЭСТЕТИЧЕСКОГО ЦИКЛА № 23")</f>
        <v>МОУ СОШ С УГЛУБЛЕННЫМ ИЗУЧЕНИЕМ ПРЕДМЕТОВ ХУДОЖЕСТВЕННО-ЭСТЕТИЧЕСКОГО ЦИКЛА № 23</v>
      </c>
      <c r="K8500" s="24" t="s">
        <v>12445</v>
      </c>
      <c r="L8500" s="22" t="s">
        <v>10</v>
      </c>
      <c r="M8500" s="28" t="s">
        <v>51</v>
      </c>
      <c r="N8500" s="28" t="s">
        <v>51</v>
      </c>
    </row>
    <row r="8501" spans="1:14" x14ac:dyDescent="0.15">
      <c r="A8501" s="23" t="str">
        <f>HYPERLINK("https://www.spark-marketing.ru/Card/Person/75866", "ОМВД РОССИИ ПО Г. УСИНСКУ")</f>
        <v>ОМВД РОССИИ ПО Г. УСИНСКУ</v>
      </c>
      <c r="B8501" s="24" t="s">
        <v>7465</v>
      </c>
      <c r="C8501" s="25">
        <v>1265000</v>
      </c>
      <c r="D8501" s="22" t="s">
        <v>12446</v>
      </c>
      <c r="E8501" s="22" t="s">
        <v>48</v>
      </c>
      <c r="F8501" s="23" t="str">
        <f>HYPERLINK("https://www.spark-marketing.ru/Card/Lot/72654408", "Организация трехразового питания для лиц, содержащихся в ИВС")</f>
        <v>Организация трехразового питания для лиц, содержащихся в ИВС</v>
      </c>
      <c r="G8501" s="22" t="s">
        <v>271</v>
      </c>
      <c r="H8501" s="22" t="s">
        <v>271</v>
      </c>
      <c r="I8501" s="26">
        <v>43684.6414814815</v>
      </c>
      <c r="J8501" s="23" t="str">
        <f>HYPERLINK("https://www.spark-marketing.ru/Card/Person/290010", "ООО ""КСТ""")</f>
        <v>ООО "КСТ"</v>
      </c>
      <c r="K8501" s="24" t="s">
        <v>7467</v>
      </c>
      <c r="L8501" s="22" t="s">
        <v>10</v>
      </c>
      <c r="M8501" s="28" t="s">
        <v>51</v>
      </c>
      <c r="N8501" s="28" t="s">
        <v>51</v>
      </c>
    </row>
    <row r="8502" spans="1:14" x14ac:dyDescent="0.15">
      <c r="A8502" s="23" t="str">
        <f>HYPERLINK("https://www.spark-marketing.ru/Card/Person/6220059", "ГКУ НСО ""ЦЕНТР ПАТРИОТИЧЕСКОГО ВОСПИТАНИЯ""")</f>
        <v>ГКУ НСО "ЦЕНТР ПАТРИОТИЧЕСКОГО ВОСПИТАНИЯ"</v>
      </c>
      <c r="B8502" s="24" t="s">
        <v>1887</v>
      </c>
      <c r="C8502" s="25">
        <v>795267.26</v>
      </c>
      <c r="D8502" s="22" t="s">
        <v>12447</v>
      </c>
      <c r="E8502" s="22" t="s">
        <v>8606</v>
      </c>
      <c r="F8502" s="23" t="str">
        <f>HYPERLINK("https://www.spark-marketing.ru/Card/Lot/72647555", "Оказание услуги по организации трансфера, проживания и питания участников областного финала регионального проекта ""Новосибирская область - Полигон твоих возможностей""")</f>
        <v>Оказание услуги по организации трансфера, проживания и питания участников областного финала регионального проекта "Новосибирская область - Полигон твоих возможностей"</v>
      </c>
      <c r="G8502" s="22" t="s">
        <v>195</v>
      </c>
      <c r="H8502" s="22" t="s">
        <v>196</v>
      </c>
      <c r="I8502" s="26">
        <v>43684.650300925903</v>
      </c>
      <c r="J8502" s="23" t="str">
        <f>HYPERLINK("https://www.spark-marketing.ru/Card/Person/4414177", "ГАУ ДО НСО ""ОЦРТДИЮ""")</f>
        <v>ГАУ ДО НСО "ОЦРТДИЮ"</v>
      </c>
      <c r="K8502" s="24" t="s">
        <v>8607</v>
      </c>
      <c r="L8502" s="28" t="s">
        <v>51</v>
      </c>
      <c r="M8502" s="28" t="s">
        <v>51</v>
      </c>
      <c r="N8502" s="28" t="s">
        <v>51</v>
      </c>
    </row>
    <row r="8503" spans="1:14" x14ac:dyDescent="0.15">
      <c r="A8503" s="23" t="str">
        <f>HYPERLINK("https://www.spark-marketing.ru/Card/Person/76652", "УПРАВА РАЙОНА ТЕКСТИЛЬЩИКИ ГОРОДА МОСКВЫ")</f>
        <v>УПРАВА РАЙОНА ТЕКСТИЛЬЩИКИ ГОРОДА МОСКВЫ</v>
      </c>
      <c r="B8503" s="24" t="s">
        <v>12448</v>
      </c>
      <c r="C8503" s="25">
        <v>342240</v>
      </c>
      <c r="D8503" s="22" t="s">
        <v>12449</v>
      </c>
      <c r="E8503" s="22" t="s">
        <v>96</v>
      </c>
      <c r="F8503" s="23" t="str">
        <f>HYPERLINK("https://www.spark-marketing.ru/Card/Lot/72653279", "Оказание услуг по организации питания (среди СМП)")</f>
        <v>Оказание услуг по организации питания (среди СМП)</v>
      </c>
      <c r="G8503" s="22" t="s">
        <v>56</v>
      </c>
      <c r="H8503" s="22" t="s">
        <v>56</v>
      </c>
      <c r="I8503" s="26">
        <v>43684.6008912037</v>
      </c>
      <c r="J8503" s="28" t="s">
        <v>51</v>
      </c>
      <c r="K8503" s="28" t="s">
        <v>51</v>
      </c>
      <c r="L8503" s="28" t="s">
        <v>51</v>
      </c>
      <c r="M8503" s="28" t="s">
        <v>51</v>
      </c>
      <c r="N8503" s="28" t="s">
        <v>51</v>
      </c>
    </row>
    <row r="8504" spans="1:14" ht="12.75" hidden="1" outlineLevel="1" x14ac:dyDescent="0.2">
      <c r="A8504" s="23" t="str">
        <f>HYPERLINK("https://www.spark-marketing.ru/Card/Person/76652", "УПРАВА РАЙОНА ТЕКСТИЛЬЩИКИ ГОРОДА МОСКВЫ")</f>
        <v>УПРАВА РАЙОНА ТЕКСТИЛЬЩИКИ ГОРОДА МОСКВЫ</v>
      </c>
      <c r="B8504" s="24" t="s">
        <v>12448</v>
      </c>
      <c r="C8504" s="25">
        <v>342240</v>
      </c>
      <c r="D8504" s="22" t="s">
        <v>12449</v>
      </c>
      <c r="E8504" s="22" t="s">
        <v>96</v>
      </c>
      <c r="F8504" s="23" t="str">
        <f>HYPERLINK("https://www.spark-marketing.ru/Card/Lot/72653279", "Оказание услуг по организации питания (среди СМП)")</f>
        <v>Оказание услуг по организации питания (среди СМП)</v>
      </c>
      <c r="G8504" s="22" t="s">
        <v>56</v>
      </c>
      <c r="H8504" s="22" t="s">
        <v>56</v>
      </c>
      <c r="I8504" s="26">
        <v>43684.6008912037</v>
      </c>
      <c r="J8504" s="23" t="str">
        <f>HYPERLINK("https://www.spark-marketing.ru/Card/Person/6304459", "Орлова Анастасия Валерьевна")</f>
        <v>Орлова Анастасия Валерьевна</v>
      </c>
      <c r="K8504" s="24" t="s">
        <v>12450</v>
      </c>
      <c r="L8504" s="22" t="s">
        <v>10</v>
      </c>
      <c r="M8504" s="25">
        <v>240000</v>
      </c>
      <c r="N8504" s="27">
        <v>0.29873772791023845</v>
      </c>
    </row>
    <row r="8505" spans="1:14" hidden="1" outlineLevel="1" x14ac:dyDescent="0.2">
      <c r="A8505" s="23" t="str">
        <f>HYPERLINK("https://www.spark-marketing.ru/Card/Person/76652", "УПРАВА РАЙОНА ТЕКСТИЛЬЩИКИ ГОРОДА МОСКВЫ")</f>
        <v>УПРАВА РАЙОНА ТЕКСТИЛЬЩИКИ ГОРОДА МОСКВЫ</v>
      </c>
      <c r="B8505" s="24" t="s">
        <v>12448</v>
      </c>
      <c r="C8505" s="25">
        <v>342240</v>
      </c>
      <c r="D8505" s="22" t="s">
        <v>12449</v>
      </c>
      <c r="E8505" s="22" t="s">
        <v>96</v>
      </c>
      <c r="F8505" s="23" t="str">
        <f>HYPERLINK("https://www.spark-marketing.ru/Card/Lot/72653279", "Оказание услуг по организации питания (среди СМП)")</f>
        <v>Оказание услуг по организации питания (среди СМП)</v>
      </c>
      <c r="G8505" s="22" t="s">
        <v>56</v>
      </c>
      <c r="H8505" s="22" t="s">
        <v>56</v>
      </c>
      <c r="I8505" s="26">
        <v>43684.6008912037</v>
      </c>
      <c r="J8505" s="23" t="str">
        <f>HYPERLINK("https://www.spark-marketing.ru/Card/Person/4012920", "ООО ""КОНДИСТОРЕ""")</f>
        <v>ООО "КОНДИСТОРЕ"</v>
      </c>
      <c r="K8505" s="24" t="s">
        <v>12451</v>
      </c>
      <c r="L8505" s="28" t="s">
        <v>51</v>
      </c>
      <c r="M8505" s="25">
        <v>290000</v>
      </c>
      <c r="N8505" s="27">
        <v>0.15264142122487143</v>
      </c>
    </row>
    <row r="8506" spans="1:14" hidden="1" outlineLevel="1" x14ac:dyDescent="0.2">
      <c r="A8506" s="23" t="str">
        <f>HYPERLINK("https://www.spark-marketing.ru/Card/Person/76652", "УПРАВА РАЙОНА ТЕКСТИЛЬЩИКИ ГОРОДА МОСКВЫ")</f>
        <v>УПРАВА РАЙОНА ТЕКСТИЛЬЩИКИ ГОРОДА МОСКВЫ</v>
      </c>
      <c r="B8506" s="24" t="s">
        <v>12448</v>
      </c>
      <c r="C8506" s="25">
        <v>342240</v>
      </c>
      <c r="D8506" s="22" t="s">
        <v>12449</v>
      </c>
      <c r="E8506" s="22" t="s">
        <v>96</v>
      </c>
      <c r="F8506" s="23" t="str">
        <f>HYPERLINK("https://www.spark-marketing.ru/Card/Lot/72653279", "Оказание услуг по организации питания (среди СМП)")</f>
        <v>Оказание услуг по организации питания (среди СМП)</v>
      </c>
      <c r="G8506" s="22" t="s">
        <v>56</v>
      </c>
      <c r="H8506" s="22" t="s">
        <v>56</v>
      </c>
      <c r="I8506" s="26">
        <v>43684.6008912037</v>
      </c>
      <c r="J8506" s="23" t="str">
        <f>HYPERLINK("https://www.spark-marketing.ru/Card/Person/6635200", "Сушкова Елена Владимировна")</f>
        <v>Сушкова Елена Владимировна</v>
      </c>
      <c r="K8506" s="24" t="s">
        <v>12452</v>
      </c>
      <c r="L8506" s="28" t="s">
        <v>51</v>
      </c>
      <c r="M8506" s="25">
        <v>243288.8</v>
      </c>
      <c r="N8506" s="27">
        <v>0.28912809724170174</v>
      </c>
    </row>
    <row r="8507" spans="1:14" x14ac:dyDescent="0.2">
      <c r="A8507" s="23" t="str">
        <f>HYPERLINK("https://www.spark-marketing.ru/Card/Person/130311", "МДОБУ ""СЕРТОЛОВСКИЙ ДСКВ № 2""")</f>
        <v>МДОБУ "СЕРТОЛОВСКИЙ ДСКВ № 2"</v>
      </c>
      <c r="B8507" s="24" t="s">
        <v>12453</v>
      </c>
      <c r="C8507" s="25">
        <v>3286920</v>
      </c>
      <c r="D8507" s="22" t="s">
        <v>12454</v>
      </c>
      <c r="E8507" s="22" t="s">
        <v>48</v>
      </c>
      <c r="F8507" s="23" t="str">
        <f>HYPERLINK("https://www.spark-marketing.ru/Card/Lot/72653808", "Оказание услуг по организации питания обучающихся в подразделении МДОБУ ""Сертоловский ДСКВ № 2"" на ул. Дмитрия Кожемякина, д.9")</f>
        <v>Оказание услуг по организации питания обучающихся в подразделении МДОБУ "Сертоловский ДСКВ № 2" на ул. Дмитрия Кожемякина, д.9</v>
      </c>
      <c r="G8507" s="22" t="s">
        <v>162</v>
      </c>
      <c r="H8507" s="22" t="s">
        <v>12455</v>
      </c>
      <c r="I8507" s="26">
        <v>43684.612500000003</v>
      </c>
      <c r="J8507" s="23" t="str">
        <f>HYPERLINK("https://www.spark-marketing.ru/Card/Person/60670", "ОАО ""БЗУ""")</f>
        <v>ОАО "БЗУ"</v>
      </c>
      <c r="K8507" s="24" t="s">
        <v>6733</v>
      </c>
      <c r="L8507" s="28" t="s">
        <v>51</v>
      </c>
      <c r="M8507" s="25">
        <v>3286920</v>
      </c>
      <c r="N8507" s="27">
        <v>0</v>
      </c>
    </row>
    <row r="8508" spans="1:14" x14ac:dyDescent="0.15">
      <c r="A8508" s="23" t="str">
        <f>HYPERLINK("https://www.spark-marketing.ru/Card/Person/88455", "ГКУ ""УПРАВЛЕНИЕ ЗДАНИЯМИ ПСК""")</f>
        <v>ГКУ "УПРАВЛЕНИЕ ЗДАНИЯМИ ПСК"</v>
      </c>
      <c r="B8508" s="24" t="s">
        <v>684</v>
      </c>
      <c r="C8508" s="25">
        <v>990000</v>
      </c>
      <c r="D8508" s="22" t="s">
        <v>12456</v>
      </c>
      <c r="E8508" s="22" t="s">
        <v>96</v>
      </c>
      <c r="F8508" s="23" t="str">
        <f>HYPERLINK("https://www.spark-marketing.ru/Card/Lot/72656158", "Оказание услуг по организации питания и обслуживания участников мероприятий, проводимых по инициативе Губернатора Ставропольского края или Правительства Ставропольского края для обеспечения государственных нужд Ставропольского края.")</f>
        <v>Оказание услуг по организации питания и обслуживания участников мероприятий, проводимых по инициативе Губернатора Ставропольского края или Правительства Ставропольского края для обеспечения государственных нужд Ставропольского края.</v>
      </c>
      <c r="G8508" s="22" t="s">
        <v>87</v>
      </c>
      <c r="H8508" s="22" t="s">
        <v>686</v>
      </c>
      <c r="I8508" s="26">
        <v>43684.620092592602</v>
      </c>
      <c r="J8508" s="23" t="str">
        <f>HYPERLINK("https://www.spark-marketing.ru/Card/Person/4394028", "ООО ""САСК""")</f>
        <v>ООО "САСК"</v>
      </c>
      <c r="K8508" s="24" t="s">
        <v>12457</v>
      </c>
      <c r="L8508" s="22" t="s">
        <v>10</v>
      </c>
      <c r="M8508" s="28" t="s">
        <v>51</v>
      </c>
      <c r="N8508" s="28" t="s">
        <v>51</v>
      </c>
    </row>
    <row r="8509" spans="1:14" x14ac:dyDescent="0.15">
      <c r="A8509" s="23" t="str">
        <f>HYPERLINK("https://www.spark-marketing.ru/Card/Person/25413", "ФГКУ ""СЗРПСО МЧС РОССИИ""")</f>
        <v>ФГКУ "СЗРПСО МЧС РОССИИ"</v>
      </c>
      <c r="B8509" s="24" t="s">
        <v>10257</v>
      </c>
      <c r="C8509" s="25">
        <v>555660</v>
      </c>
      <c r="D8509" s="22" t="s">
        <v>12458</v>
      </c>
      <c r="E8509" s="22" t="s">
        <v>48</v>
      </c>
      <c r="F8509" s="23" t="str">
        <f>HYPERLINK("https://www.spark-marketing.ru/Card/Lot/72654440", "Оказание услуг по организации горячего питания работников, несущих дежурство в Воркутинском АКАСЦ МЧС России - филиала ФГКУ ""СЗРПСО МЧС России""")</f>
        <v>Оказание услуг по организации горячего питания работников, несущих дежурство в Воркутинском АКАСЦ МЧС России - филиала ФГКУ "СЗРПСО МЧС России"</v>
      </c>
      <c r="G8509" s="22" t="s">
        <v>271</v>
      </c>
      <c r="H8509" s="22" t="s">
        <v>271</v>
      </c>
      <c r="I8509" s="26">
        <v>43684.621423611097</v>
      </c>
      <c r="J8509" s="23" t="str">
        <f>HYPERLINK("https://www.spark-marketing.ru/Card/Person/135743", "ООО ""ВИС""")</f>
        <v>ООО "ВИС"</v>
      </c>
      <c r="K8509" s="24" t="s">
        <v>8538</v>
      </c>
      <c r="L8509" s="22" t="s">
        <v>10</v>
      </c>
      <c r="M8509" s="28" t="s">
        <v>51</v>
      </c>
      <c r="N8509" s="28" t="s">
        <v>51</v>
      </c>
    </row>
    <row r="8510" spans="1:14" x14ac:dyDescent="0.15">
      <c r="A8510" s="23" t="str">
        <f>HYPERLINK("https://www.spark-marketing.ru/Card/Person/1033959", "МДОУ ДЕТСКИЙ САД №42 ""ЧЕБУРАШКА""")</f>
        <v>МДОУ ДЕТСКИЙ САД №42 "ЧЕБУРАШКА"</v>
      </c>
      <c r="B8510" s="24" t="s">
        <v>12459</v>
      </c>
      <c r="C8510" s="25">
        <v>162240</v>
      </c>
      <c r="D8510" s="22" t="s">
        <v>12460</v>
      </c>
      <c r="E8510" s="22" t="s">
        <v>48</v>
      </c>
      <c r="F8510" s="23" t="str">
        <f>HYPERLINK("https://www.spark-marketing.ru/Card/Lot/72651467",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8510" s="22" t="s">
        <v>49</v>
      </c>
      <c r="H8510" s="22" t="s">
        <v>50</v>
      </c>
      <c r="I8510" s="26">
        <v>43684.607916666697</v>
      </c>
      <c r="J8510" s="28" t="s">
        <v>51</v>
      </c>
      <c r="K8510" s="28" t="s">
        <v>51</v>
      </c>
      <c r="L8510" s="28" t="s">
        <v>51</v>
      </c>
      <c r="M8510" s="28" t="s">
        <v>51</v>
      </c>
      <c r="N8510" s="28" t="s">
        <v>51</v>
      </c>
    </row>
    <row r="8511" spans="1:14" x14ac:dyDescent="0.15">
      <c r="A8511" s="23" t="str">
        <f>HYPERLINK("https://www.spark-marketing.ru/Card/Person/71275", "МОМВД РОССИИ ""МИЧУРИНСКИЙ""")</f>
        <v>МОМВД РОССИИ "МИЧУРИНСКИЙ"</v>
      </c>
      <c r="B8511" s="24" t="s">
        <v>11238</v>
      </c>
      <c r="C8511" s="25">
        <v>491260</v>
      </c>
      <c r="D8511" s="22" t="s">
        <v>12461</v>
      </c>
      <c r="E8511" s="22" t="s">
        <v>48</v>
      </c>
      <c r="F8511" s="23" t="str">
        <f>HYPERLINK("https://www.spark-marketing.ru/Card/Lot/72657032", "Услуги по приготовлению горячего питания для спец.приемника и КСЗ ( 01.01.2020 - 15.03.2020)")</f>
        <v>Услуги по приготовлению горячего питания для спец.приемника и КСЗ ( 01.01.2020 - 15.03.2020)</v>
      </c>
      <c r="G8511" s="22" t="s">
        <v>1370</v>
      </c>
      <c r="H8511" s="22" t="s">
        <v>11240</v>
      </c>
      <c r="I8511" s="26">
        <v>43684.593599537002</v>
      </c>
      <c r="J8511" s="28" t="s">
        <v>51</v>
      </c>
      <c r="K8511" s="28" t="s">
        <v>51</v>
      </c>
      <c r="L8511" s="28" t="s">
        <v>51</v>
      </c>
      <c r="M8511" s="28" t="s">
        <v>51</v>
      </c>
      <c r="N8511" s="28" t="s">
        <v>51</v>
      </c>
    </row>
    <row r="8512" spans="1:14" ht="12.75" hidden="1" outlineLevel="1" x14ac:dyDescent="0.2">
      <c r="A8512" s="23" t="str">
        <f>HYPERLINK("https://www.spark-marketing.ru/Card/Person/71275", "МОМВД РОССИИ ""МИЧУРИНСКИЙ""")</f>
        <v>МОМВД РОССИИ "МИЧУРИНСКИЙ"</v>
      </c>
      <c r="B8512" s="24" t="s">
        <v>11238</v>
      </c>
      <c r="C8512" s="25">
        <v>491260</v>
      </c>
      <c r="D8512" s="22" t="s">
        <v>12461</v>
      </c>
      <c r="E8512" s="22" t="s">
        <v>48</v>
      </c>
      <c r="F8512" s="23" t="str">
        <f>HYPERLINK("https://www.spark-marketing.ru/Card/Lot/72657032", "Услуги по приготовлению горячего питания для спец.приемника и КСЗ ( 01.01.2020 - 15.03.2020)")</f>
        <v>Услуги по приготовлению горячего питания для спец.приемника и КСЗ ( 01.01.2020 - 15.03.2020)</v>
      </c>
      <c r="G8512" s="22" t="s">
        <v>1370</v>
      </c>
      <c r="H8512" s="22" t="s">
        <v>11240</v>
      </c>
      <c r="I8512" s="26">
        <v>43684.593599537002</v>
      </c>
      <c r="J8512" s="23" t="str">
        <f>HYPERLINK("https://www.spark-marketing.ru/Card/Person/839734", "ООО ""МИЧВЕЛЛ""")</f>
        <v>ООО "МИЧВЕЛЛ"</v>
      </c>
      <c r="K8512" s="24" t="s">
        <v>11241</v>
      </c>
      <c r="L8512" s="22" t="s">
        <v>10</v>
      </c>
      <c r="M8512" s="25">
        <v>491260</v>
      </c>
      <c r="N8512" s="27">
        <v>0</v>
      </c>
    </row>
    <row r="8513" spans="1:14" hidden="1" outlineLevel="1" x14ac:dyDescent="0.2">
      <c r="A8513" s="23" t="str">
        <f>HYPERLINK("https://www.spark-marketing.ru/Card/Person/71275", "МОМВД РОССИИ ""МИЧУРИНСКИЙ""")</f>
        <v>МОМВД РОССИИ "МИЧУРИНСКИЙ"</v>
      </c>
      <c r="B8513" s="24" t="s">
        <v>11238</v>
      </c>
      <c r="C8513" s="25">
        <v>491260</v>
      </c>
      <c r="D8513" s="22" t="s">
        <v>12461</v>
      </c>
      <c r="E8513" s="22" t="s">
        <v>48</v>
      </c>
      <c r="F8513" s="23" t="str">
        <f>HYPERLINK("https://www.spark-marketing.ru/Card/Lot/72657032", "Услуги по приготовлению горячего питания для спец.приемника и КСЗ ( 01.01.2020 - 15.03.2020)")</f>
        <v>Услуги по приготовлению горячего питания для спец.приемника и КСЗ ( 01.01.2020 - 15.03.2020)</v>
      </c>
      <c r="G8513" s="22" t="s">
        <v>1370</v>
      </c>
      <c r="H8513" s="22" t="s">
        <v>11240</v>
      </c>
      <c r="I8513" s="26">
        <v>43684.593599537002</v>
      </c>
      <c r="J8513" s="23" t="str">
        <f>HYPERLINK("https://www.spark-marketing.ru/Card/Person/837064", "Одоян Омар Мамоевич")</f>
        <v>Одоян Омар Мамоевич</v>
      </c>
      <c r="K8513" s="24" t="s">
        <v>11242</v>
      </c>
      <c r="L8513" s="28" t="s">
        <v>51</v>
      </c>
      <c r="M8513" s="25">
        <v>491260</v>
      </c>
      <c r="N8513" s="27">
        <v>0</v>
      </c>
    </row>
    <row r="8514" spans="1:14" x14ac:dyDescent="0.15">
      <c r="A8514" s="23" t="str">
        <f>HYPERLINK("https://www.spark-marketing.ru/Card/Person/21000", "КОГБУЗ ""КОКОД"", КОГБУЗ ""КИРОВСКИЙ ОБЛАСТНОЙ КЛИНИЧЕСКИЙ ОНКОЛОГИЧЕСКИЙ ДИСПАНСЕР""")</f>
        <v>КОГБУЗ "КОКОД", КОГБУЗ "КИРОВСКИЙ ОБЛАСТНОЙ КЛИНИЧЕСКИЙ ОНКОЛОГИЧЕСКИЙ ДИСПАНСЕР"</v>
      </c>
      <c r="B8514" s="24" t="s">
        <v>12462</v>
      </c>
      <c r="C8514" s="25">
        <v>650000</v>
      </c>
      <c r="D8514" s="22" t="s">
        <v>12463</v>
      </c>
      <c r="E8514" s="22" t="s">
        <v>91</v>
      </c>
      <c r="F8514" s="23" t="str">
        <f>HYPERLINK("https://www.spark-marketing.ru/Card/Lot/72653290", "Оказание услуг по ремонту компьютеров, принтеров и заправке картриджей")</f>
        <v>Оказание услуг по ремонту компьютеров, принтеров и заправке картриджей</v>
      </c>
      <c r="G8514" s="22" t="s">
        <v>224</v>
      </c>
      <c r="H8514" s="22" t="s">
        <v>225</v>
      </c>
      <c r="I8514" s="26">
        <v>43684.6169212963</v>
      </c>
      <c r="J8514" s="28" t="s">
        <v>51</v>
      </c>
      <c r="K8514" s="28" t="s">
        <v>51</v>
      </c>
      <c r="L8514" s="28" t="s">
        <v>51</v>
      </c>
      <c r="M8514" s="28" t="s">
        <v>51</v>
      </c>
      <c r="N8514" s="28" t="s">
        <v>51</v>
      </c>
    </row>
    <row r="8515" spans="1:14" hidden="1" outlineLevel="1" x14ac:dyDescent="0.2">
      <c r="A8515" s="23" t="str">
        <f>HYPERLINK("https://www.spark-marketing.ru/Card/Person/21000", "КОГБУЗ ""КОКОД"", КОГБУЗ ""КИРОВСКИЙ ОБЛАСТНОЙ КЛИНИЧЕСКИЙ ОНКОЛОГИЧЕСКИЙ ДИСПАНСЕР""")</f>
        <v>КОГБУЗ "КОКОД", КОГБУЗ "КИРОВСКИЙ ОБЛАСТНОЙ КЛИНИЧЕСКИЙ ОНКОЛОГИЧЕСКИЙ ДИСПАНСЕР"</v>
      </c>
      <c r="B8515" s="24" t="s">
        <v>12462</v>
      </c>
      <c r="C8515" s="25">
        <v>650000</v>
      </c>
      <c r="D8515" s="22" t="s">
        <v>12463</v>
      </c>
      <c r="E8515" s="22" t="s">
        <v>91</v>
      </c>
      <c r="F8515" s="23" t="str">
        <f>HYPERLINK("https://www.spark-marketing.ru/Card/Lot/72653290", "Оказание услуг по ремонту компьютеров, принтеров и заправке картриджей")</f>
        <v>Оказание услуг по ремонту компьютеров, принтеров и заправке картриджей</v>
      </c>
      <c r="G8515" s="22" t="s">
        <v>224</v>
      </c>
      <c r="H8515" s="22" t="s">
        <v>225</v>
      </c>
      <c r="I8515" s="26">
        <v>43684.6169212963</v>
      </c>
      <c r="J8515" s="23" t="str">
        <f>HYPERLINK("https://www.spark-marketing.ru/Card/Person/625736", "ООО ""РОСТ-ВЯТКА""")</f>
        <v>ООО "РОСТ-ВЯТКА"</v>
      </c>
      <c r="K8515" s="24" t="s">
        <v>7771</v>
      </c>
      <c r="L8515" s="28" t="s">
        <v>51</v>
      </c>
      <c r="M8515" s="25">
        <v>125366.39999999999</v>
      </c>
      <c r="N8515" s="27">
        <v>0.80712861538461533</v>
      </c>
    </row>
    <row r="8516" spans="1:14" hidden="1" outlineLevel="1" x14ac:dyDescent="0.2">
      <c r="A8516" s="23" t="str">
        <f>HYPERLINK("https://www.spark-marketing.ru/Card/Person/21000", "КОГБУЗ ""КОКОД"", КОГБУЗ ""КИРОВСКИЙ ОБЛАСТНОЙ КЛИНИЧЕСКИЙ ОНКОЛОГИЧЕСКИЙ ДИСПАНСЕР""")</f>
        <v>КОГБУЗ "КОКОД", КОГБУЗ "КИРОВСКИЙ ОБЛАСТНОЙ КЛИНИЧЕСКИЙ ОНКОЛОГИЧЕСКИЙ ДИСПАНСЕР"</v>
      </c>
      <c r="B8516" s="24" t="s">
        <v>12462</v>
      </c>
      <c r="C8516" s="25">
        <v>650000</v>
      </c>
      <c r="D8516" s="22" t="s">
        <v>12463</v>
      </c>
      <c r="E8516" s="22" t="s">
        <v>91</v>
      </c>
      <c r="F8516" s="23" t="str">
        <f>HYPERLINK("https://www.spark-marketing.ru/Card/Lot/72653290", "Оказание услуг по ремонту компьютеров, принтеров и заправке картриджей")</f>
        <v>Оказание услуг по ремонту компьютеров, принтеров и заправке картриджей</v>
      </c>
      <c r="G8516" s="22" t="s">
        <v>224</v>
      </c>
      <c r="H8516" s="22" t="s">
        <v>225</v>
      </c>
      <c r="I8516" s="26">
        <v>43684.6169212963</v>
      </c>
      <c r="J8516" s="23" t="str">
        <f>HYPERLINK("https://www.spark-marketing.ru/Card/Person/625114", "ООО ""РИО""")</f>
        <v>ООО "РИО"</v>
      </c>
      <c r="K8516" s="24" t="s">
        <v>12464</v>
      </c>
      <c r="L8516" s="28" t="s">
        <v>51</v>
      </c>
      <c r="M8516" s="25">
        <v>219391.2</v>
      </c>
      <c r="N8516" s="27">
        <v>0.66247507692307694</v>
      </c>
    </row>
    <row r="8517" spans="1:14" ht="12.75" hidden="1" outlineLevel="1" x14ac:dyDescent="0.2">
      <c r="A8517" s="23" t="str">
        <f>HYPERLINK("https://www.spark-marketing.ru/Card/Person/21000", "КОГБУЗ ""КОКОД"", КОГБУЗ ""КИРОВСКИЙ ОБЛАСТНОЙ КЛИНИЧЕСКИЙ ОНКОЛОГИЧЕСКИЙ ДИСПАНСЕР""")</f>
        <v>КОГБУЗ "КОКОД", КОГБУЗ "КИРОВСКИЙ ОБЛАСТНОЙ КЛИНИЧЕСКИЙ ОНКОЛОГИЧЕСКИЙ ДИСПАНСЕР"</v>
      </c>
      <c r="B8517" s="24" t="s">
        <v>12462</v>
      </c>
      <c r="C8517" s="25">
        <v>650000</v>
      </c>
      <c r="D8517" s="22" t="s">
        <v>12463</v>
      </c>
      <c r="E8517" s="22" t="s">
        <v>91</v>
      </c>
      <c r="F8517" s="23" t="str">
        <f>HYPERLINK("https://www.spark-marketing.ru/Card/Lot/72653290", "Оказание услуг по ремонту компьютеров, принтеров и заправке картриджей")</f>
        <v>Оказание услуг по ремонту компьютеров, принтеров и заправке картриджей</v>
      </c>
      <c r="G8517" s="22" t="s">
        <v>224</v>
      </c>
      <c r="H8517" s="22" t="s">
        <v>225</v>
      </c>
      <c r="I8517" s="26">
        <v>43684.6169212963</v>
      </c>
      <c r="J8517" s="23" t="str">
        <f>HYPERLINK("https://www.spark-marketing.ru/Card/Person/262762", "ООО ""ЭВЕЙЛ""")</f>
        <v>ООО "ЭВЕЙЛ"</v>
      </c>
      <c r="K8517" s="24" t="s">
        <v>12465</v>
      </c>
      <c r="L8517" s="22" t="s">
        <v>10</v>
      </c>
      <c r="M8517" s="25">
        <v>124205.6</v>
      </c>
      <c r="N8517" s="27">
        <v>0.80891446153846158</v>
      </c>
    </row>
    <row r="8518" spans="1:14" x14ac:dyDescent="0.15">
      <c r="A8518" s="23" t="str">
        <f>HYPERLINK("https://www.spark-marketing.ru/Card/Person/60975", "ЗАКОНОДАТЕЛЬНОЕ СОБРАНИЕ ЯНАО")</f>
        <v>ЗАКОНОДАТЕЛЬНОЕ СОБРАНИЕ ЯНАО</v>
      </c>
      <c r="B8518" s="24" t="s">
        <v>1054</v>
      </c>
      <c r="C8518" s="25">
        <v>681445</v>
      </c>
      <c r="D8518" s="22" t="s">
        <v>12466</v>
      </c>
      <c r="E8518" s="22" t="s">
        <v>48</v>
      </c>
      <c r="F8518" s="23" t="str">
        <f>HYPERLINK("https://www.spark-marketing.ru/Card/Lot/72655391", "Оказание услуг по организации питания участников мероприятий, проводимых Законодательным Собранием Ямало-Ненецкого автономного округа")</f>
        <v>Оказание услуг по организации питания участников мероприятий, проводимых Законодательным Собранием Ямало-Ненецкого автономного округа</v>
      </c>
      <c r="G8518" s="22" t="s">
        <v>1056</v>
      </c>
      <c r="H8518" s="22" t="s">
        <v>1057</v>
      </c>
      <c r="I8518" s="26">
        <v>43684.598530092597</v>
      </c>
      <c r="J8518" s="23" t="str">
        <f>HYPERLINK("https://www.spark-marketing.ru/Card/Person/6047302", "Третюк Вадим Георгиевич")</f>
        <v>Третюк Вадим Георгиевич</v>
      </c>
      <c r="K8518" s="24" t="s">
        <v>12467</v>
      </c>
      <c r="L8518" s="22" t="s">
        <v>10</v>
      </c>
      <c r="M8518" s="28" t="s">
        <v>51</v>
      </c>
      <c r="N8518" s="28" t="s">
        <v>51</v>
      </c>
    </row>
    <row r="8519" spans="1:14" x14ac:dyDescent="0.15">
      <c r="A8519" s="23" t="str">
        <f>HYPERLINK("https://www.spark-marketing.ru/Card/Person/25413", "ФГКУ ""СЗРПСО МЧС РОССИИ""")</f>
        <v>ФГКУ "СЗРПСО МЧС РОССИИ"</v>
      </c>
      <c r="B8519" s="24" t="s">
        <v>10257</v>
      </c>
      <c r="C8519" s="25">
        <v>362997</v>
      </c>
      <c r="D8519" s="22" t="s">
        <v>12468</v>
      </c>
      <c r="E8519" s="22" t="s">
        <v>48</v>
      </c>
      <c r="F8519" s="23" t="str">
        <f>HYPERLINK("https://www.spark-marketing.ru/Card/Lot/72653245", "Оказание услуг по организации горячего питания работников , несущих дежурство в Новгородском ПСО - филиала ФГКУ ""СЗРПСО МЧС России""")</f>
        <v>Оказание услуг по организации горячего питания работников , несущих дежурство в Новгородском ПСО - филиала ФГКУ "СЗРПСО МЧС России"</v>
      </c>
      <c r="G8519" s="22" t="s">
        <v>849</v>
      </c>
      <c r="H8519" s="22" t="s">
        <v>849</v>
      </c>
      <c r="I8519" s="26">
        <v>43684.617835648103</v>
      </c>
      <c r="J8519" s="28" t="s">
        <v>51</v>
      </c>
      <c r="K8519" s="28" t="s">
        <v>51</v>
      </c>
      <c r="L8519" s="28" t="s">
        <v>51</v>
      </c>
      <c r="M8519" s="28" t="s">
        <v>51</v>
      </c>
      <c r="N8519" s="28" t="s">
        <v>51</v>
      </c>
    </row>
    <row r="8520" spans="1:14" hidden="1" outlineLevel="1" x14ac:dyDescent="0.2">
      <c r="A8520" s="23" t="str">
        <f>HYPERLINK("https://www.spark-marketing.ru/Card/Person/25413", "ФГКУ ""СЗРПСО МЧС РОССИИ""")</f>
        <v>ФГКУ "СЗРПСО МЧС РОССИИ"</v>
      </c>
      <c r="B8520" s="24" t="s">
        <v>10257</v>
      </c>
      <c r="C8520" s="25">
        <v>362997</v>
      </c>
      <c r="D8520" s="22" t="s">
        <v>12468</v>
      </c>
      <c r="E8520" s="22" t="s">
        <v>48</v>
      </c>
      <c r="F8520" s="23" t="str">
        <f>HYPERLINK("https://www.spark-marketing.ru/Card/Lot/72653245", "Оказание услуг по организации горячего питания работников , несущих дежурство в Новгородском ПСО - филиала ФГКУ ""СЗРПСО МЧС России""")</f>
        <v>Оказание услуг по организации горячего питания работников , несущих дежурство в Новгородском ПСО - филиала ФГКУ "СЗРПСО МЧС России"</v>
      </c>
      <c r="G8520" s="22" t="s">
        <v>849</v>
      </c>
      <c r="H8520" s="22" t="s">
        <v>849</v>
      </c>
      <c r="I8520" s="26">
        <v>43684.617835648103</v>
      </c>
      <c r="J8520" s="23" t="str">
        <f>HYPERLINK("https://www.spark-marketing.ru/Card/Person/6070116", "ООО ""КОМБИНАТ ОБЩЕСТВЕННОГО ПИТАНИЯ""")</f>
        <v>ООО "КОМБИНАТ ОБЩЕСТВЕННОГО ПИТАНИЯ"</v>
      </c>
      <c r="K8520" s="24" t="s">
        <v>12469</v>
      </c>
      <c r="L8520" s="28" t="s">
        <v>51</v>
      </c>
      <c r="M8520" s="25">
        <v>234215.39</v>
      </c>
      <c r="N8520" s="27">
        <v>0.35477320749207292</v>
      </c>
    </row>
    <row r="8521" spans="1:14" ht="12.75" hidden="1" outlineLevel="1" x14ac:dyDescent="0.2">
      <c r="A8521" s="23" t="str">
        <f>HYPERLINK("https://www.spark-marketing.ru/Card/Person/25413", "ФГКУ ""СЗРПСО МЧС РОССИИ""")</f>
        <v>ФГКУ "СЗРПСО МЧС РОССИИ"</v>
      </c>
      <c r="B8521" s="24" t="s">
        <v>10257</v>
      </c>
      <c r="C8521" s="25">
        <v>362997</v>
      </c>
      <c r="D8521" s="22" t="s">
        <v>12468</v>
      </c>
      <c r="E8521" s="22" t="s">
        <v>48</v>
      </c>
      <c r="F8521" s="23" t="str">
        <f>HYPERLINK("https://www.spark-marketing.ru/Card/Lot/72653245", "Оказание услуг по организации горячего питания работников , несущих дежурство в Новгородском ПСО - филиала ФГКУ ""СЗРПСО МЧС России""")</f>
        <v>Оказание услуг по организации горячего питания работников , несущих дежурство в Новгородском ПСО - филиала ФГКУ "СЗРПСО МЧС России"</v>
      </c>
      <c r="G8521" s="22" t="s">
        <v>849</v>
      </c>
      <c r="H8521" s="22" t="s">
        <v>849</v>
      </c>
      <c r="I8521" s="26">
        <v>43684.617835648103</v>
      </c>
      <c r="J8521" s="23" t="str">
        <f>HYPERLINK("https://www.spark-marketing.ru/Card/Person/6468236", "Никифорова Татьяна Игоревна")</f>
        <v>Никифорова Татьяна Игоревна</v>
      </c>
      <c r="K8521" s="24" t="s">
        <v>8243</v>
      </c>
      <c r="L8521" s="22" t="s">
        <v>10</v>
      </c>
      <c r="M8521" s="25">
        <v>232400.4</v>
      </c>
      <c r="N8521" s="27">
        <v>0.35977322126629147</v>
      </c>
    </row>
    <row r="8522" spans="1:14" x14ac:dyDescent="0.15">
      <c r="A8522" s="23" t="str">
        <f>HYPERLINK("https://www.spark-marketing.ru/Card/Person/1054488", "ОТДЕЛ МВД РОССИИ ПО БУТУРЛИНОВСКОМУ РАЙОНУ")</f>
        <v>ОТДЕЛ МВД РОССИИ ПО БУТУРЛИНОВСКОМУ РАЙОНУ</v>
      </c>
      <c r="B8522" s="24" t="s">
        <v>3786</v>
      </c>
      <c r="C8522" s="25">
        <v>211900</v>
      </c>
      <c r="D8522" s="22" t="s">
        <v>12470</v>
      </c>
      <c r="E8522" s="22" t="s">
        <v>96</v>
      </c>
      <c r="F8522" s="23" t="str">
        <f>HYPERLINK("https://www.spark-marketing.ru/Card/Lot/72650501", "Оказание услуг по организации питания (приготовлению и доставке), 815 шт")</f>
        <v>Оказание услуг по организации питания (приготовлению и доставке), 815 шт</v>
      </c>
      <c r="G8522" s="22" t="s">
        <v>82</v>
      </c>
      <c r="H8522" s="22" t="s">
        <v>3788</v>
      </c>
      <c r="I8522" s="26">
        <v>43684.620798611097</v>
      </c>
      <c r="J8522" s="28" t="s">
        <v>51</v>
      </c>
      <c r="K8522" s="28" t="s">
        <v>51</v>
      </c>
      <c r="L8522" s="28" t="s">
        <v>51</v>
      </c>
      <c r="M8522" s="28" t="s">
        <v>51</v>
      </c>
      <c r="N8522" s="28" t="s">
        <v>51</v>
      </c>
    </row>
    <row r="8523" spans="1:14" x14ac:dyDescent="0.15">
      <c r="A8523" s="23" t="str">
        <f>HYPERLINK("https://www.spark-marketing.ru/Card/Person/160877", "ОТДЕЛ МВД РОССИИ ПО АЛЕКСАНДРОВСКОМУ РАЙОНУ")</f>
        <v>ОТДЕЛ МВД РОССИИ ПО АЛЕКСАНДРОВСКОМУ РАЙОНУ</v>
      </c>
      <c r="B8523" s="24" t="s">
        <v>12471</v>
      </c>
      <c r="C8523" s="25">
        <v>669223.41</v>
      </c>
      <c r="D8523" s="22" t="s">
        <v>12472</v>
      </c>
      <c r="E8523" s="22" t="s">
        <v>48</v>
      </c>
      <c r="F8523" s="23" t="str">
        <f>HYPERLINK("https://www.spark-marketing.ru/Card/Lot/72651714", "Услуги по приготовлению питания в 2021г (для субъектов малого предпринимательства, социально ориентированных некоммерческий организаций)")</f>
        <v>Услуги по приготовлению питания в 2021г (для субъектов малого предпринимательства, социально ориентированных некоммерческий организаций)</v>
      </c>
      <c r="G8523" s="22" t="s">
        <v>87</v>
      </c>
      <c r="H8523" s="22" t="s">
        <v>1367</v>
      </c>
      <c r="I8523" s="26">
        <v>43684.549756944398</v>
      </c>
      <c r="J8523" s="23" t="str">
        <f>HYPERLINK("https://www.spark-marketing.ru/Card/Person/202813", "ООО ""АЛЕКСАНДРОВСКОЕ ПРТ""")</f>
        <v>ООО "АЛЕКСАНДРОВСКОЕ ПРТ"</v>
      </c>
      <c r="K8523" s="24" t="s">
        <v>12473</v>
      </c>
      <c r="L8523" s="22" t="s">
        <v>10</v>
      </c>
      <c r="M8523" s="28" t="s">
        <v>51</v>
      </c>
      <c r="N8523" s="28" t="s">
        <v>51</v>
      </c>
    </row>
    <row r="8524" spans="1:14" x14ac:dyDescent="0.15">
      <c r="A8524" s="23" t="str">
        <f>HYPERLINK("https://www.spark-marketing.ru/Card/Person/1002269", "МБОУ ""ГИМНАЗИЯ №1 ИМ. Н.М. ПРЖЕВАЛЬСКОГО""")</f>
        <v>МБОУ "ГИМНАЗИЯ №1 ИМ. Н.М. ПРЖЕВАЛЬСКОГО"</v>
      </c>
      <c r="B8524" s="24" t="s">
        <v>12474</v>
      </c>
      <c r="C8524" s="25">
        <v>963528</v>
      </c>
      <c r="D8524" s="22" t="s">
        <v>12475</v>
      </c>
      <c r="E8524" s="22" t="s">
        <v>48</v>
      </c>
      <c r="F8524" s="23" t="str">
        <f>HYPERLINK("https://www.spark-marketing.ru/Card/Lot/72651733", "Оказание услуг по организации горячего питания и обеспечению горячим питанием учащихся МБОУ ""Гимназия №1 им. Н.М. Пржевальского""")</f>
        <v>Оказание услуг по организации горячего питания и обеспечению горячим питанием учащихся МБОУ "Гимназия №1 им. Н.М. Пржевальского"</v>
      </c>
      <c r="G8524" s="22" t="s">
        <v>460</v>
      </c>
      <c r="H8524" s="22" t="s">
        <v>461</v>
      </c>
      <c r="I8524" s="26">
        <v>43684.573275463001</v>
      </c>
      <c r="J8524" s="28" t="s">
        <v>51</v>
      </c>
      <c r="K8524" s="28" t="s">
        <v>51</v>
      </c>
      <c r="L8524" s="28" t="s">
        <v>51</v>
      </c>
      <c r="M8524" s="28" t="s">
        <v>51</v>
      </c>
      <c r="N8524" s="28" t="s">
        <v>51</v>
      </c>
    </row>
    <row r="8525" spans="1:14" x14ac:dyDescent="0.15">
      <c r="A8525" s="23" t="str">
        <f>HYPERLINK("https://www.spark-marketing.ru/Card/Person/134160", "МБОУ БАГАЕВСКАЯ СОШ № 3")</f>
        <v>МБОУ БАГАЕВСКАЯ СОШ № 3</v>
      </c>
      <c r="B8525" s="24" t="s">
        <v>12476</v>
      </c>
      <c r="C8525" s="25">
        <v>432000</v>
      </c>
      <c r="D8525" s="22" t="s">
        <v>12477</v>
      </c>
      <c r="E8525" s="22" t="s">
        <v>48</v>
      </c>
      <c r="F8525" s="23" t="str">
        <f>HYPERLINK("https://www.spark-marketing.ru/Card/Lot/72655382", "Услуга питания")</f>
        <v>Услуга питания</v>
      </c>
      <c r="G8525" s="22" t="s">
        <v>267</v>
      </c>
      <c r="H8525" s="22" t="s">
        <v>11331</v>
      </c>
      <c r="I8525" s="26">
        <v>43684.548692129603</v>
      </c>
      <c r="J8525" s="28" t="s">
        <v>51</v>
      </c>
      <c r="K8525" s="28" t="s">
        <v>51</v>
      </c>
      <c r="L8525" s="28" t="s">
        <v>51</v>
      </c>
      <c r="M8525" s="28" t="s">
        <v>51</v>
      </c>
      <c r="N8525" s="28" t="s">
        <v>51</v>
      </c>
    </row>
    <row r="8526" spans="1:14" hidden="1" outlineLevel="1" x14ac:dyDescent="0.2">
      <c r="A8526" s="23" t="str">
        <f>HYPERLINK("https://www.spark-marketing.ru/Card/Person/134160", "МБОУ БАГАЕВСКАЯ СОШ № 3")</f>
        <v>МБОУ БАГАЕВСКАЯ СОШ № 3</v>
      </c>
      <c r="B8526" s="24" t="s">
        <v>12476</v>
      </c>
      <c r="C8526" s="25">
        <v>432000</v>
      </c>
      <c r="D8526" s="22" t="s">
        <v>12477</v>
      </c>
      <c r="E8526" s="22" t="s">
        <v>48</v>
      </c>
      <c r="F8526" s="23" t="str">
        <f>HYPERLINK("https://www.spark-marketing.ru/Card/Lot/72655382", "Услуга питания")</f>
        <v>Услуга питания</v>
      </c>
      <c r="G8526" s="22" t="s">
        <v>267</v>
      </c>
      <c r="H8526" s="22" t="s">
        <v>11331</v>
      </c>
      <c r="I8526" s="26">
        <v>43684.548692129603</v>
      </c>
      <c r="J8526" s="23" t="str">
        <f>HYPERLINK("https://www.spark-marketing.ru/Card/Person/54380", "ООО ""ДОНТОРГ""")</f>
        <v>ООО "ДОНТОРГ"</v>
      </c>
      <c r="K8526" s="24" t="s">
        <v>12478</v>
      </c>
      <c r="L8526" s="28" t="s">
        <v>51</v>
      </c>
      <c r="M8526" s="25">
        <v>267609.94</v>
      </c>
      <c r="N8526" s="27">
        <v>0.38053254629629629</v>
      </c>
    </row>
    <row r="8527" spans="1:14" ht="12.75" hidden="1" outlineLevel="1" x14ac:dyDescent="0.2">
      <c r="A8527" s="23" t="str">
        <f>HYPERLINK("https://www.spark-marketing.ru/Card/Person/134160", "МБОУ БАГАЕВСКАЯ СОШ № 3")</f>
        <v>МБОУ БАГАЕВСКАЯ СОШ № 3</v>
      </c>
      <c r="B8527" s="24" t="s">
        <v>12476</v>
      </c>
      <c r="C8527" s="25">
        <v>432000</v>
      </c>
      <c r="D8527" s="22" t="s">
        <v>12477</v>
      </c>
      <c r="E8527" s="22" t="s">
        <v>48</v>
      </c>
      <c r="F8527" s="23" t="str">
        <f>HYPERLINK("https://www.spark-marketing.ru/Card/Lot/72655382", "Услуга питания")</f>
        <v>Услуга питания</v>
      </c>
      <c r="G8527" s="22" t="s">
        <v>267</v>
      </c>
      <c r="H8527" s="22" t="s">
        <v>11331</v>
      </c>
      <c r="I8527" s="26">
        <v>43684.548692129603</v>
      </c>
      <c r="J8527" s="23" t="str">
        <f>HYPERLINK("https://www.spark-marketing.ru/Card/Person/6686301", "Ересько Наталия Васильевна")</f>
        <v>Ересько Наталия Васильевна</v>
      </c>
      <c r="K8527" s="24" t="s">
        <v>12479</v>
      </c>
      <c r="L8527" s="22" t="s">
        <v>10</v>
      </c>
      <c r="M8527" s="25">
        <v>265449.94</v>
      </c>
      <c r="N8527" s="27">
        <v>0.3855325462962963</v>
      </c>
    </row>
    <row r="8528" spans="1:14" x14ac:dyDescent="0.15">
      <c r="A8528" s="23" t="str">
        <f>HYPERLINK("https://www.spark-marketing.ru/Card/Person/1030180", "МБОУ ""СШ №38""")</f>
        <v>МБОУ "СШ №38"</v>
      </c>
      <c r="B8528" s="24" t="s">
        <v>12480</v>
      </c>
      <c r="C8528" s="25">
        <v>475704</v>
      </c>
      <c r="D8528" s="22" t="s">
        <v>12481</v>
      </c>
      <c r="E8528" s="22" t="s">
        <v>48</v>
      </c>
      <c r="F8528" s="23" t="str">
        <f>HYPERLINK("https://www.spark-marketing.ru/Card/Lot/72651730", "Оказание услуг по организации горячего питания и обеспечению горячим питанием учащихся МБОУ ""СШ №38""")</f>
        <v>Оказание услуг по организации горячего питания и обеспечению горячим питанием учащихся МБОУ "СШ №38"</v>
      </c>
      <c r="G8528" s="22" t="s">
        <v>460</v>
      </c>
      <c r="H8528" s="22" t="s">
        <v>461</v>
      </c>
      <c r="I8528" s="26">
        <v>43684.570497685199</v>
      </c>
      <c r="J8528" s="28" t="s">
        <v>51</v>
      </c>
      <c r="K8528" s="28" t="s">
        <v>51</v>
      </c>
      <c r="L8528" s="28" t="s">
        <v>51</v>
      </c>
      <c r="M8528" s="28" t="s">
        <v>51</v>
      </c>
      <c r="N8528" s="28" t="s">
        <v>51</v>
      </c>
    </row>
    <row r="8529" spans="1:14" ht="12.75" x14ac:dyDescent="0.2">
      <c r="A8529" s="23" t="str">
        <f>HYPERLINK("https://www.spark-marketing.ru/Card/Person/214696", "ОТДЕЛ МВД РОССИИ ПО КИРОВСКОМУ ГОРОДСКОМУ ОКРУГУ")</f>
        <v>ОТДЕЛ МВД РОССИИ ПО КИРОВСКОМУ ГОРОДСКОМУ ОКРУГУ</v>
      </c>
      <c r="B8529" s="24" t="s">
        <v>12366</v>
      </c>
      <c r="C8529" s="25">
        <v>480000</v>
      </c>
      <c r="D8529" s="22" t="s">
        <v>12482</v>
      </c>
      <c r="E8529" s="22" t="s">
        <v>96</v>
      </c>
      <c r="F8529" s="23" t="str">
        <f>HYPERLINK("https://www.spark-marketing.ru/Card/Lot/72651654", "оказание услуг по организации питания (приготовление, доставка) для подозреваемых и обвиняемых в совершении преступлений, содержащихся в изоляторе временного содержания для подозреваемых и обвиняемых Отдела МВД России по Кировскому городскому округу,...")</f>
        <v>оказание услуг по организации питания (приготовление, доставка) для подозреваемых и обвиняемых в совершении преступлений, содержащихся в изоляторе временного содержания для подозреваемых и обвиняемых Отдела МВД России по Кировскому городскому округу,...</v>
      </c>
      <c r="G8529" s="22" t="s">
        <v>87</v>
      </c>
      <c r="H8529" s="22" t="s">
        <v>87</v>
      </c>
      <c r="I8529" s="26">
        <v>43683.735625000001</v>
      </c>
      <c r="J8529" s="23" t="str">
        <f>HYPERLINK("https://www.spark-marketing.ru/Card/Person/953517", "Белай Инна Васильевна")</f>
        <v>Белай Инна Васильевна</v>
      </c>
      <c r="K8529" s="24" t="s">
        <v>12368</v>
      </c>
      <c r="L8529" s="22" t="s">
        <v>10</v>
      </c>
      <c r="M8529" s="25">
        <v>480000</v>
      </c>
      <c r="N8529" s="27">
        <v>0</v>
      </c>
    </row>
    <row r="8530" spans="1:14" x14ac:dyDescent="0.15">
      <c r="A8530" s="23" t="str">
        <f t="shared" ref="A8530:A8546" si="188">HYPERLINK("https://www.spark-marketing.ru/Card/Person/16390", "ГБУЗ ""ПКБ № 13 ДЗМ""")</f>
        <v>ГБУЗ "ПКБ № 13 ДЗМ"</v>
      </c>
      <c r="B8530" s="24" t="s">
        <v>12483</v>
      </c>
      <c r="C8530" s="25">
        <v>847893.03</v>
      </c>
      <c r="D8530" s="22" t="s">
        <v>12484</v>
      </c>
      <c r="E8530" s="22" t="s">
        <v>756</v>
      </c>
      <c r="F8530" s="23" t="str">
        <f t="shared" ref="F8530:F8546" si="189">HYPERLINK("https://www.spark-marketing.ru/Card/Lot/72649287", "Оказание услуг по техническому обслуживанию охранно-пожарной сигнализации и автономной сигнализации в ГБУЗ ""ПКБ № 13 ДЗМ"" и филиалах на 2020 год")</f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30" s="22" t="s">
        <v>56</v>
      </c>
      <c r="H8530" s="22" t="s">
        <v>56</v>
      </c>
      <c r="I8530" s="26">
        <v>43684.517708333296</v>
      </c>
      <c r="J8530" s="28" t="s">
        <v>51</v>
      </c>
      <c r="K8530" s="28" t="s">
        <v>51</v>
      </c>
      <c r="L8530" s="28" t="s">
        <v>51</v>
      </c>
      <c r="M8530" s="28" t="s">
        <v>51</v>
      </c>
      <c r="N8530" s="28" t="s">
        <v>51</v>
      </c>
    </row>
    <row r="8531" spans="1:14" ht="12.75" hidden="1" outlineLevel="1" x14ac:dyDescent="0.2">
      <c r="A8531" s="23" t="str">
        <f t="shared" si="188"/>
        <v>ГБУЗ "ПКБ № 13 ДЗМ"</v>
      </c>
      <c r="B8531" s="24" t="s">
        <v>12483</v>
      </c>
      <c r="C8531" s="25">
        <v>847893.03</v>
      </c>
      <c r="D8531" s="22" t="s">
        <v>12484</v>
      </c>
      <c r="E8531" s="22" t="s">
        <v>756</v>
      </c>
      <c r="F8531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31" s="22" t="s">
        <v>56</v>
      </c>
      <c r="H8531" s="22" t="s">
        <v>56</v>
      </c>
      <c r="I8531" s="26">
        <v>43684.517708333296</v>
      </c>
      <c r="J8531" s="23" t="str">
        <f>HYPERLINK("https://www.spark-marketing.ru/Card/Person/373513", "ООО ""СПЕЦМОНТАЖ-ЮВ""")</f>
        <v>ООО "СПЕЦМОНТАЖ-ЮВ"</v>
      </c>
      <c r="K8531" s="24" t="s">
        <v>12485</v>
      </c>
      <c r="L8531" s="22" t="s">
        <v>10</v>
      </c>
      <c r="M8531" s="25">
        <v>66281.59</v>
      </c>
      <c r="N8531" s="27">
        <v>0.92182788670877502</v>
      </c>
    </row>
    <row r="8532" spans="1:14" hidden="1" outlineLevel="1" x14ac:dyDescent="0.2">
      <c r="A8532" s="23" t="str">
        <f t="shared" si="188"/>
        <v>ГБУЗ "ПКБ № 13 ДЗМ"</v>
      </c>
      <c r="B8532" s="24" t="s">
        <v>12483</v>
      </c>
      <c r="C8532" s="25">
        <v>847893.03</v>
      </c>
      <c r="D8532" s="22" t="s">
        <v>12484</v>
      </c>
      <c r="E8532" s="22" t="s">
        <v>756</v>
      </c>
      <c r="F8532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32" s="22" t="s">
        <v>56</v>
      </c>
      <c r="H8532" s="22" t="s">
        <v>56</v>
      </c>
      <c r="I8532" s="26">
        <v>43684.517708333296</v>
      </c>
      <c r="J8532" s="23" t="str">
        <f>HYPERLINK("https://www.spark-marketing.ru/Card/Person/2014985", "ООО ""ПОЖТЕХАВТОМАТИКА""")</f>
        <v>ООО "ПОЖТЕХАВТОМАТИКА"</v>
      </c>
      <c r="K8532" s="24" t="s">
        <v>12486</v>
      </c>
      <c r="L8532" s="28" t="s">
        <v>51</v>
      </c>
      <c r="M8532" s="25">
        <v>450414.09</v>
      </c>
      <c r="N8532" s="27">
        <v>0.46878429935908306</v>
      </c>
    </row>
    <row r="8533" spans="1:14" hidden="1" outlineLevel="1" x14ac:dyDescent="0.2">
      <c r="A8533" s="23" t="str">
        <f t="shared" si="188"/>
        <v>ГБУЗ "ПКБ № 13 ДЗМ"</v>
      </c>
      <c r="B8533" s="24" t="s">
        <v>12483</v>
      </c>
      <c r="C8533" s="25">
        <v>847893.03</v>
      </c>
      <c r="D8533" s="22" t="s">
        <v>12484</v>
      </c>
      <c r="E8533" s="22" t="s">
        <v>756</v>
      </c>
      <c r="F8533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33" s="22" t="s">
        <v>56</v>
      </c>
      <c r="H8533" s="22" t="s">
        <v>56</v>
      </c>
      <c r="I8533" s="26">
        <v>43684.517708333296</v>
      </c>
      <c r="J8533" s="23" t="str">
        <f>HYPERLINK("https://www.spark-marketing.ru/Card/Person/4473347", "ООО ""АКС""")</f>
        <v>ООО "АКС"</v>
      </c>
      <c r="K8533" s="24" t="s">
        <v>12487</v>
      </c>
      <c r="L8533" s="28" t="s">
        <v>51</v>
      </c>
      <c r="M8533" s="25">
        <v>657117.07999999996</v>
      </c>
      <c r="N8533" s="27">
        <v>0.22500002152394152</v>
      </c>
    </row>
    <row r="8534" spans="1:14" hidden="1" outlineLevel="1" x14ac:dyDescent="0.2">
      <c r="A8534" s="23" t="str">
        <f t="shared" si="188"/>
        <v>ГБУЗ "ПКБ № 13 ДЗМ"</v>
      </c>
      <c r="B8534" s="24" t="s">
        <v>12483</v>
      </c>
      <c r="C8534" s="25">
        <v>847893.03</v>
      </c>
      <c r="D8534" s="22" t="s">
        <v>12484</v>
      </c>
      <c r="E8534" s="22" t="s">
        <v>756</v>
      </c>
      <c r="F8534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34" s="22" t="s">
        <v>56</v>
      </c>
      <c r="H8534" s="22" t="s">
        <v>56</v>
      </c>
      <c r="I8534" s="26">
        <v>43684.517708333296</v>
      </c>
      <c r="J8534" s="23" t="str">
        <f>HYPERLINK("https://www.spark-marketing.ru/Card/Person/6462474", "ООО ""ФАВОР""")</f>
        <v>ООО "ФАВОР"</v>
      </c>
      <c r="K8534" s="24" t="s">
        <v>12488</v>
      </c>
      <c r="L8534" s="28" t="s">
        <v>51</v>
      </c>
      <c r="M8534" s="25">
        <v>839414.09</v>
      </c>
      <c r="N8534" s="27">
        <v>1.0000011440122346E-2</v>
      </c>
    </row>
    <row r="8535" spans="1:14" hidden="1" outlineLevel="1" x14ac:dyDescent="0.2">
      <c r="A8535" s="23" t="str">
        <f t="shared" si="188"/>
        <v>ГБУЗ "ПКБ № 13 ДЗМ"</v>
      </c>
      <c r="B8535" s="24" t="s">
        <v>12483</v>
      </c>
      <c r="C8535" s="25">
        <v>847893.03</v>
      </c>
      <c r="D8535" s="22" t="s">
        <v>12484</v>
      </c>
      <c r="E8535" s="22" t="s">
        <v>756</v>
      </c>
      <c r="F8535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35" s="22" t="s">
        <v>56</v>
      </c>
      <c r="H8535" s="22" t="s">
        <v>56</v>
      </c>
      <c r="I8535" s="26">
        <v>43684.517708333296</v>
      </c>
      <c r="J8535" s="23" t="str">
        <f>HYPERLINK("https://www.spark-marketing.ru/Card/Person/4875503", "ООО ""СЕРВИС ЭМ""")</f>
        <v>ООО "СЕРВИС ЭМ"</v>
      </c>
      <c r="K8535" s="24" t="s">
        <v>12489</v>
      </c>
      <c r="L8535" s="28" t="s">
        <v>51</v>
      </c>
      <c r="M8535" s="25">
        <v>450000</v>
      </c>
      <c r="N8535" s="27">
        <v>0.46927267464387579</v>
      </c>
    </row>
    <row r="8536" spans="1:14" hidden="1" outlineLevel="1" x14ac:dyDescent="0.2">
      <c r="A8536" s="23" t="str">
        <f t="shared" si="188"/>
        <v>ГБУЗ "ПКБ № 13 ДЗМ"</v>
      </c>
      <c r="B8536" s="24" t="s">
        <v>12483</v>
      </c>
      <c r="C8536" s="25">
        <v>847893.03</v>
      </c>
      <c r="D8536" s="22" t="s">
        <v>12484</v>
      </c>
      <c r="E8536" s="22" t="s">
        <v>756</v>
      </c>
      <c r="F8536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36" s="22" t="s">
        <v>56</v>
      </c>
      <c r="H8536" s="22" t="s">
        <v>56</v>
      </c>
      <c r="I8536" s="26">
        <v>43684.517708333296</v>
      </c>
      <c r="J8536" s="23" t="str">
        <f>HYPERLINK("https://www.spark-marketing.ru/Card/Person/6262263", "ООО ""АЛЫЙ ПАРУС ТЕХНО ПРО""")</f>
        <v>ООО "АЛЫЙ ПАРУС ТЕХНО ПРО"</v>
      </c>
      <c r="K8536" s="24" t="s">
        <v>12490</v>
      </c>
      <c r="L8536" s="28" t="s">
        <v>51</v>
      </c>
      <c r="M8536" s="25">
        <v>169323.71</v>
      </c>
      <c r="N8536" s="27">
        <v>0.80030062282738657</v>
      </c>
    </row>
    <row r="8537" spans="1:14" hidden="1" outlineLevel="1" x14ac:dyDescent="0.2">
      <c r="A8537" s="23" t="str">
        <f t="shared" si="188"/>
        <v>ГБУЗ "ПКБ № 13 ДЗМ"</v>
      </c>
      <c r="B8537" s="24" t="s">
        <v>12483</v>
      </c>
      <c r="C8537" s="25">
        <v>847893.03</v>
      </c>
      <c r="D8537" s="22" t="s">
        <v>12484</v>
      </c>
      <c r="E8537" s="22" t="s">
        <v>756</v>
      </c>
      <c r="F8537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37" s="22" t="s">
        <v>56</v>
      </c>
      <c r="H8537" s="22" t="s">
        <v>56</v>
      </c>
      <c r="I8537" s="26">
        <v>43684.517708333296</v>
      </c>
      <c r="J8537" s="23" t="str">
        <f>HYPERLINK("https://www.spark-marketing.ru/Card/Person/6615547", "ООО ""МСКА ИНЖИНИРИНГ""")</f>
        <v>ООО "МСКА ИНЖИНИРИНГ"</v>
      </c>
      <c r="K8537" s="24" t="s">
        <v>12491</v>
      </c>
      <c r="L8537" s="28" t="s">
        <v>51</v>
      </c>
      <c r="M8537" s="25">
        <v>70521.06</v>
      </c>
      <c r="N8537" s="27">
        <v>0.91682788098871382</v>
      </c>
    </row>
    <row r="8538" spans="1:14" hidden="1" outlineLevel="1" x14ac:dyDescent="0.2">
      <c r="A8538" s="23" t="str">
        <f t="shared" si="188"/>
        <v>ГБУЗ "ПКБ № 13 ДЗМ"</v>
      </c>
      <c r="B8538" s="24" t="s">
        <v>12483</v>
      </c>
      <c r="C8538" s="25">
        <v>847893.03</v>
      </c>
      <c r="D8538" s="22" t="s">
        <v>12484</v>
      </c>
      <c r="E8538" s="22" t="s">
        <v>756</v>
      </c>
      <c r="F8538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38" s="22" t="s">
        <v>56</v>
      </c>
      <c r="H8538" s="22" t="s">
        <v>56</v>
      </c>
      <c r="I8538" s="26">
        <v>43684.517708333296</v>
      </c>
      <c r="J8538" s="23" t="str">
        <f>HYPERLINK("https://www.spark-marketing.ru/Card/Person/1661952", "ООО ЧОО ""МИР БЕЗОПАСНОСТИ""")</f>
        <v>ООО ЧОО "МИР БЕЗОПАСНОСТИ"</v>
      </c>
      <c r="K8538" s="24" t="s">
        <v>12492</v>
      </c>
      <c r="L8538" s="28" t="s">
        <v>51</v>
      </c>
      <c r="M8538" s="25">
        <v>835174.62</v>
      </c>
      <c r="N8538" s="27">
        <v>1.500001716018352E-2</v>
      </c>
    </row>
    <row r="8539" spans="1:14" hidden="1" outlineLevel="1" x14ac:dyDescent="0.2">
      <c r="A8539" s="23" t="str">
        <f t="shared" si="188"/>
        <v>ГБУЗ "ПКБ № 13 ДЗМ"</v>
      </c>
      <c r="B8539" s="24" t="s">
        <v>12483</v>
      </c>
      <c r="C8539" s="25">
        <v>847893.03</v>
      </c>
      <c r="D8539" s="22" t="s">
        <v>12484</v>
      </c>
      <c r="E8539" s="22" t="s">
        <v>756</v>
      </c>
      <c r="F8539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39" s="22" t="s">
        <v>56</v>
      </c>
      <c r="H8539" s="22" t="s">
        <v>56</v>
      </c>
      <c r="I8539" s="26">
        <v>43684.517708333296</v>
      </c>
      <c r="J8539" s="23" t="str">
        <f>HYPERLINK("https://www.spark-marketing.ru/Card/Person/6503414", "ООО ""МОСПОЖСЕРВИС""")</f>
        <v>ООО "МОСПОЖСЕРВИС"</v>
      </c>
      <c r="K8539" s="24" t="s">
        <v>12493</v>
      </c>
      <c r="L8539" s="28" t="s">
        <v>51</v>
      </c>
      <c r="M8539" s="25">
        <v>252846.72</v>
      </c>
      <c r="N8539" s="27">
        <v>0.70179408126518039</v>
      </c>
    </row>
    <row r="8540" spans="1:14" hidden="1" outlineLevel="1" x14ac:dyDescent="0.2">
      <c r="A8540" s="23" t="str">
        <f t="shared" si="188"/>
        <v>ГБУЗ "ПКБ № 13 ДЗМ"</v>
      </c>
      <c r="B8540" s="24" t="s">
        <v>12483</v>
      </c>
      <c r="C8540" s="25">
        <v>847893.03</v>
      </c>
      <c r="D8540" s="22" t="s">
        <v>12484</v>
      </c>
      <c r="E8540" s="22" t="s">
        <v>756</v>
      </c>
      <c r="F8540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40" s="22" t="s">
        <v>56</v>
      </c>
      <c r="H8540" s="22" t="s">
        <v>56</v>
      </c>
      <c r="I8540" s="26">
        <v>43684.517708333296</v>
      </c>
      <c r="J8540" s="23" t="str">
        <f>HYPERLINK("https://www.spark-marketing.ru/Card/Person/5779584", "Лебедев Александр Юрьевич")</f>
        <v>Лебедев Александр Юрьевич</v>
      </c>
      <c r="K8540" s="24" t="s">
        <v>12494</v>
      </c>
      <c r="L8540" s="28" t="s">
        <v>51</v>
      </c>
      <c r="M8540" s="25">
        <v>133042.12</v>
      </c>
      <c r="N8540" s="27">
        <v>0.84309091442820328</v>
      </c>
    </row>
    <row r="8541" spans="1:14" hidden="1" outlineLevel="1" x14ac:dyDescent="0.2">
      <c r="A8541" s="23" t="str">
        <f t="shared" si="188"/>
        <v>ГБУЗ "ПКБ № 13 ДЗМ"</v>
      </c>
      <c r="B8541" s="24" t="s">
        <v>12483</v>
      </c>
      <c r="C8541" s="25">
        <v>847893.03</v>
      </c>
      <c r="D8541" s="22" t="s">
        <v>12484</v>
      </c>
      <c r="E8541" s="22" t="s">
        <v>756</v>
      </c>
      <c r="F8541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41" s="22" t="s">
        <v>56</v>
      </c>
      <c r="H8541" s="22" t="s">
        <v>56</v>
      </c>
      <c r="I8541" s="26">
        <v>43684.517708333296</v>
      </c>
      <c r="J8541" s="23" t="str">
        <f>HYPERLINK("https://www.spark-marketing.ru/Card/Person/2576628", "ООО ""АЛЬТЕРА""")</f>
        <v>ООО "АЛЬТЕРА"</v>
      </c>
      <c r="K8541" s="24" t="s">
        <v>12495</v>
      </c>
      <c r="L8541" s="28" t="s">
        <v>51</v>
      </c>
      <c r="M8541" s="25">
        <v>847893.03</v>
      </c>
      <c r="N8541" s="27">
        <v>0</v>
      </c>
    </row>
    <row r="8542" spans="1:14" hidden="1" outlineLevel="1" x14ac:dyDescent="0.2">
      <c r="A8542" s="23" t="str">
        <f t="shared" si="188"/>
        <v>ГБУЗ "ПКБ № 13 ДЗМ"</v>
      </c>
      <c r="B8542" s="24" t="s">
        <v>12483</v>
      </c>
      <c r="C8542" s="25">
        <v>847893.03</v>
      </c>
      <c r="D8542" s="22" t="s">
        <v>12484</v>
      </c>
      <c r="E8542" s="22" t="s">
        <v>756</v>
      </c>
      <c r="F8542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42" s="22" t="s">
        <v>56</v>
      </c>
      <c r="H8542" s="22" t="s">
        <v>56</v>
      </c>
      <c r="I8542" s="26">
        <v>43684.517708333296</v>
      </c>
      <c r="J8542" s="23" t="str">
        <f>HYPERLINK("https://www.spark-marketing.ru/Card/Person/711271", "ООО ""СИБ""")</f>
        <v>ООО "СИБ"</v>
      </c>
      <c r="K8542" s="24" t="s">
        <v>12496</v>
      </c>
      <c r="L8542" s="28" t="s">
        <v>51</v>
      </c>
      <c r="M8542" s="25">
        <v>119000</v>
      </c>
      <c r="N8542" s="27">
        <v>0.85965210729471386</v>
      </c>
    </row>
    <row r="8543" spans="1:14" hidden="1" outlineLevel="1" x14ac:dyDescent="0.2">
      <c r="A8543" s="23" t="str">
        <f t="shared" si="188"/>
        <v>ГБУЗ "ПКБ № 13 ДЗМ"</v>
      </c>
      <c r="B8543" s="24" t="s">
        <v>12483</v>
      </c>
      <c r="C8543" s="25">
        <v>847893.03</v>
      </c>
      <c r="D8543" s="22" t="s">
        <v>12484</v>
      </c>
      <c r="E8543" s="22" t="s">
        <v>756</v>
      </c>
      <c r="F8543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43" s="22" t="s">
        <v>56</v>
      </c>
      <c r="H8543" s="22" t="s">
        <v>56</v>
      </c>
      <c r="I8543" s="26">
        <v>43684.517708333296</v>
      </c>
      <c r="J8543" s="23" t="str">
        <f>HYPERLINK("https://www.spark-marketing.ru/Card/Person/6513863", "ООО ""ПРИОРИТЕТ БЕЗОПАСНОСТИ""")</f>
        <v>ООО "ПРИОРИТЕТ БЕЗОПАСНОСТИ"</v>
      </c>
      <c r="K8543" s="24" t="s">
        <v>12497</v>
      </c>
      <c r="L8543" s="28" t="s">
        <v>51</v>
      </c>
      <c r="M8543" s="25">
        <v>120000</v>
      </c>
      <c r="N8543" s="27">
        <v>0.85847271323836682</v>
      </c>
    </row>
    <row r="8544" spans="1:14" hidden="1" outlineLevel="1" x14ac:dyDescent="0.2">
      <c r="A8544" s="23" t="str">
        <f t="shared" si="188"/>
        <v>ГБУЗ "ПКБ № 13 ДЗМ"</v>
      </c>
      <c r="B8544" s="24" t="s">
        <v>12483</v>
      </c>
      <c r="C8544" s="25">
        <v>847893.03</v>
      </c>
      <c r="D8544" s="22" t="s">
        <v>12484</v>
      </c>
      <c r="E8544" s="22" t="s">
        <v>756</v>
      </c>
      <c r="F8544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44" s="22" t="s">
        <v>56</v>
      </c>
      <c r="H8544" s="22" t="s">
        <v>56</v>
      </c>
      <c r="I8544" s="26">
        <v>43684.517708333296</v>
      </c>
      <c r="J8544" s="23" t="str">
        <f>HYPERLINK("https://www.spark-marketing.ru/Card/Person/5921742", "ООО ""КСБ""")</f>
        <v>ООО "КСБ"</v>
      </c>
      <c r="K8544" s="24" t="s">
        <v>7553</v>
      </c>
      <c r="L8544" s="28" t="s">
        <v>51</v>
      </c>
      <c r="M8544" s="25">
        <v>271325.65999999997</v>
      </c>
      <c r="N8544" s="27">
        <v>0.68000012926158859</v>
      </c>
    </row>
    <row r="8545" spans="1:14" hidden="1" outlineLevel="1" x14ac:dyDescent="0.2">
      <c r="A8545" s="23" t="str">
        <f t="shared" si="188"/>
        <v>ГБУЗ "ПКБ № 13 ДЗМ"</v>
      </c>
      <c r="B8545" s="24" t="s">
        <v>12483</v>
      </c>
      <c r="C8545" s="25">
        <v>847893.03</v>
      </c>
      <c r="D8545" s="22" t="s">
        <v>12484</v>
      </c>
      <c r="E8545" s="22" t="s">
        <v>756</v>
      </c>
      <c r="F8545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45" s="22" t="s">
        <v>56</v>
      </c>
      <c r="H8545" s="22" t="s">
        <v>56</v>
      </c>
      <c r="I8545" s="26">
        <v>43684.517708333296</v>
      </c>
      <c r="J8545" s="23" t="str">
        <f>HYPERLINK("https://www.spark-marketing.ru/Card/Person/1602555", "ООО ""ПОЖМОНТАЖГРУПП""")</f>
        <v>ООО "ПОЖМОНТАЖГРУПП"</v>
      </c>
      <c r="K8545" s="24" t="s">
        <v>7555</v>
      </c>
      <c r="L8545" s="28" t="s">
        <v>51</v>
      </c>
      <c r="M8545" s="25">
        <v>198000</v>
      </c>
      <c r="N8545" s="27">
        <v>0.76647997684330538</v>
      </c>
    </row>
    <row r="8546" spans="1:14" hidden="1" outlineLevel="1" x14ac:dyDescent="0.2">
      <c r="A8546" s="23" t="str">
        <f t="shared" si="188"/>
        <v>ГБУЗ "ПКБ № 13 ДЗМ"</v>
      </c>
      <c r="B8546" s="24" t="s">
        <v>12483</v>
      </c>
      <c r="C8546" s="25">
        <v>847893.03</v>
      </c>
      <c r="D8546" s="22" t="s">
        <v>12484</v>
      </c>
      <c r="E8546" s="22" t="s">
        <v>756</v>
      </c>
      <c r="F8546" s="23" t="str">
        <f t="shared" si="189"/>
        <v>Оказание услуг по техническому обслуживанию охранно-пожарной сигнализации и автономной сигнализации в ГБУЗ "ПКБ № 13 ДЗМ" и филиалах на 2020 год</v>
      </c>
      <c r="G8546" s="22" t="s">
        <v>56</v>
      </c>
      <c r="H8546" s="22" t="s">
        <v>56</v>
      </c>
      <c r="I8546" s="26">
        <v>43684.517708333296</v>
      </c>
      <c r="J8546" s="23" t="str">
        <f>HYPERLINK("https://www.spark-marketing.ru/Card/Person/4351921", "ООО ""ПЦН СЕРВИС - 01""")</f>
        <v>ООО "ПЦН СЕРВИС - 01"</v>
      </c>
      <c r="K8546" s="24" t="s">
        <v>12498</v>
      </c>
      <c r="L8546" s="28" t="s">
        <v>51</v>
      </c>
      <c r="M8546" s="25">
        <v>419707.01</v>
      </c>
      <c r="N8546" s="27">
        <v>0.50500004699885315</v>
      </c>
    </row>
    <row r="8547" spans="1:14" x14ac:dyDescent="0.15">
      <c r="A8547" s="23" t="str">
        <f>HYPERLINK("https://www.spark-marketing.ru/Card/Person/89798", "УМВД РОССИИ ПО ГОРОДУ КИРОВУ")</f>
        <v>УМВД РОССИИ ПО ГОРОДУ КИРОВУ</v>
      </c>
      <c r="B8547" s="24" t="s">
        <v>8365</v>
      </c>
      <c r="C8547" s="25">
        <v>900000</v>
      </c>
      <c r="D8547" s="22" t="s">
        <v>12499</v>
      </c>
      <c r="E8547" s="22" t="s">
        <v>48</v>
      </c>
      <c r="F8547" s="23" t="str">
        <f>HYPERLINK("https://www.spark-marketing.ru/Card/Lot/72649223",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547" s="22" t="s">
        <v>224</v>
      </c>
      <c r="H8547" s="22" t="s">
        <v>225</v>
      </c>
      <c r="I8547" s="26">
        <v>43684.506215277797</v>
      </c>
      <c r="J8547" s="28" t="s">
        <v>51</v>
      </c>
      <c r="K8547" s="28" t="s">
        <v>51</v>
      </c>
      <c r="L8547" s="28" t="s">
        <v>51</v>
      </c>
      <c r="M8547" s="28" t="s">
        <v>51</v>
      </c>
      <c r="N8547" s="28" t="s">
        <v>51</v>
      </c>
    </row>
    <row r="8548" spans="1:14" ht="12.75" hidden="1" outlineLevel="1" x14ac:dyDescent="0.2">
      <c r="A8548" s="23" t="str">
        <f>HYPERLINK("https://www.spark-marketing.ru/Card/Person/89798", "УМВД РОССИИ ПО ГОРОДУ КИРОВУ")</f>
        <v>УМВД РОССИИ ПО ГОРОДУ КИРОВУ</v>
      </c>
      <c r="B8548" s="24" t="s">
        <v>8365</v>
      </c>
      <c r="C8548" s="25">
        <v>900000</v>
      </c>
      <c r="D8548" s="22" t="s">
        <v>12499</v>
      </c>
      <c r="E8548" s="22" t="s">
        <v>48</v>
      </c>
      <c r="F8548" s="23" t="str">
        <f>HYPERLINK("https://www.spark-marketing.ru/Card/Lot/72649223",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548" s="22" t="s">
        <v>224</v>
      </c>
      <c r="H8548" s="22" t="s">
        <v>225</v>
      </c>
      <c r="I8548" s="26">
        <v>43684.506215277797</v>
      </c>
      <c r="J8548" s="23" t="str">
        <f>HYPERLINK("https://www.spark-marketing.ru/Card/Person/89851", "ООО ""ФУД-СЕРВИС""")</f>
        <v>ООО "ФУД-СЕРВИС"</v>
      </c>
      <c r="K8548" s="24" t="s">
        <v>8368</v>
      </c>
      <c r="L8548" s="22" t="s">
        <v>10</v>
      </c>
      <c r="M8548" s="25">
        <v>6951.78</v>
      </c>
      <c r="N8548" s="27">
        <v>0.99227580000000004</v>
      </c>
    </row>
    <row r="8549" spans="1:14" hidden="1" outlineLevel="1" x14ac:dyDescent="0.2">
      <c r="A8549" s="23" t="str">
        <f>HYPERLINK("https://www.spark-marketing.ru/Card/Person/89798", "УМВД РОССИИ ПО ГОРОДУ КИРОВУ")</f>
        <v>УМВД РОССИИ ПО ГОРОДУ КИРОВУ</v>
      </c>
      <c r="B8549" s="24" t="s">
        <v>8365</v>
      </c>
      <c r="C8549" s="25">
        <v>900000</v>
      </c>
      <c r="D8549" s="22" t="s">
        <v>12499</v>
      </c>
      <c r="E8549" s="22" t="s">
        <v>48</v>
      </c>
      <c r="F8549" s="23" t="str">
        <f>HYPERLINK("https://www.spark-marketing.ru/Card/Lot/72649223",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549" s="22" t="s">
        <v>224</v>
      </c>
      <c r="H8549" s="22" t="s">
        <v>225</v>
      </c>
      <c r="I8549" s="26">
        <v>43684.506215277797</v>
      </c>
      <c r="J8549" s="23" t="str">
        <f>HYPERLINK("https://www.spark-marketing.ru/Card/Person/6454752", "ООО ""ЕВРО КЕЙТЕРИНГ 43""")</f>
        <v>ООО "ЕВРО КЕЙТЕРИНГ 43"</v>
      </c>
      <c r="K8549" s="24" t="s">
        <v>8367</v>
      </c>
      <c r="L8549" s="28" t="s">
        <v>51</v>
      </c>
      <c r="M8549" s="25">
        <v>6986.89</v>
      </c>
      <c r="N8549" s="27">
        <v>0.99223678888888889</v>
      </c>
    </row>
    <row r="8550" spans="1:14" x14ac:dyDescent="0.15">
      <c r="A8550" s="23" t="str">
        <f>HYPERLINK("https://www.spark-marketing.ru/Card/Person/160877", "ОТДЕЛ МВД РОССИИ ПО АЛЕКСАНДРОВСКОМУ РАЙОНУ")</f>
        <v>ОТДЕЛ МВД РОССИИ ПО АЛЕКСАНДРОВСКОМУ РАЙОНУ</v>
      </c>
      <c r="B8550" s="24" t="s">
        <v>12471</v>
      </c>
      <c r="C8550" s="25">
        <v>169774.85</v>
      </c>
      <c r="D8550" s="22" t="s">
        <v>12500</v>
      </c>
      <c r="E8550" s="22" t="s">
        <v>48</v>
      </c>
      <c r="F8550" s="23" t="str">
        <f>HYPERLINK("https://www.spark-marketing.ru/Card/Lot/72651292", "Услуги по приготовлению питания (закупка у субъекта малого предпринимательства и социально ориентированных некоммерческих организаций ) в 2019г")</f>
        <v>Услуги по приготовлению питания (закупка у субъекта малого предпринимательства и социально ориентированных некоммерческих организаций ) в 2019г</v>
      </c>
      <c r="G8550" s="22" t="s">
        <v>87</v>
      </c>
      <c r="H8550" s="22" t="s">
        <v>1367</v>
      </c>
      <c r="I8550" s="26">
        <v>43684.525405092601</v>
      </c>
      <c r="J8550" s="23" t="str">
        <f>HYPERLINK("https://www.spark-marketing.ru/Card/Person/202813", "ООО ""АЛЕКСАНДРОВСКОЕ ПРТ""")</f>
        <v>ООО "АЛЕКСАНДРОВСКОЕ ПРТ"</v>
      </c>
      <c r="K8550" s="24" t="s">
        <v>12473</v>
      </c>
      <c r="L8550" s="22" t="s">
        <v>10</v>
      </c>
      <c r="M8550" s="28" t="s">
        <v>51</v>
      </c>
      <c r="N8550" s="28" t="s">
        <v>51</v>
      </c>
    </row>
    <row r="8551" spans="1:14" x14ac:dyDescent="0.15">
      <c r="A8551" s="23" t="str">
        <f>HYPERLINK("https://www.spark-marketing.ru/Card/Person/115517", "НОРИЛЬСКИЙ ТЕХНИКУМ ПРОМЫШЛЕННЫХ ТЕХНОЛОГИЙ И СЕРВИСА")</f>
        <v>НОРИЛЬСКИЙ ТЕХНИКУМ ПРОМЫШЛЕННЫХ ТЕХНОЛОГИЙ И СЕРВИСА</v>
      </c>
      <c r="B8551" s="24" t="s">
        <v>12501</v>
      </c>
      <c r="C8551" s="25">
        <v>3400286.4</v>
      </c>
      <c r="D8551" s="22" t="s">
        <v>12502</v>
      </c>
      <c r="E8551" s="22" t="s">
        <v>48</v>
      </c>
      <c r="F8551" s="23" t="str">
        <f>HYPERLINK("https://www.spark-marketing.ru/Card/Lot/72649295", "№ ЭА 45157/19 ""Оказание услуг по организации готового горячего питания для обучающихся на 2019""")</f>
        <v>№ ЭА 45157/19 "Оказание услуг по организации готового горячего питания для обучающихся на 2019"</v>
      </c>
      <c r="G8551" s="22" t="s">
        <v>281</v>
      </c>
      <c r="H8551" s="22" t="s">
        <v>3025</v>
      </c>
      <c r="I8551" s="26">
        <v>43684.522407407399</v>
      </c>
      <c r="J8551" s="28" t="s">
        <v>51</v>
      </c>
      <c r="K8551" s="28" t="s">
        <v>51</v>
      </c>
      <c r="L8551" s="28" t="s">
        <v>51</v>
      </c>
      <c r="M8551" s="28" t="s">
        <v>51</v>
      </c>
      <c r="N8551" s="28" t="s">
        <v>51</v>
      </c>
    </row>
    <row r="8552" spans="1:14" x14ac:dyDescent="0.15">
      <c r="A8552" s="23" t="str">
        <f>HYPERLINK("https://www.spark-marketing.ru/Card/Person/817833", "ОТДЕЛ МВД РОССИИ ПО МЕНЗЕЛИНСКОМУ РАЙОНУ")</f>
        <v>ОТДЕЛ МВД РОССИИ ПО МЕНЗЕЛИНСКОМУ РАЙОНУ</v>
      </c>
      <c r="B8552" s="24" t="s">
        <v>10502</v>
      </c>
      <c r="C8552" s="25">
        <v>183000</v>
      </c>
      <c r="D8552" s="22" t="s">
        <v>12503</v>
      </c>
      <c r="E8552" s="22" t="s">
        <v>48</v>
      </c>
      <c r="F8552" s="23" t="str">
        <f>HYPERLINK("https://www.spark-marketing.ru/Card/Lot/72653531", "Оказание услуг по организации питания лиц содержащихся в ИВС, спецприемнике и СПСЗЛ отдела МВД России по Мензелинскому району")</f>
        <v>Оказание услуг по организации питания лиц содержащихся в ИВС, спецприемнике и СПСЗЛ отдела МВД России по Мензелинскому району</v>
      </c>
      <c r="G8552" s="22" t="s">
        <v>217</v>
      </c>
      <c r="H8552" s="22" t="s">
        <v>10504</v>
      </c>
      <c r="I8552" s="26">
        <v>43684.501238425903</v>
      </c>
      <c r="J8552" s="23" t="str">
        <f>HYPERLINK("https://www.spark-marketing.ru/Card/Person/6511597", "ООО ""ГОЛД""")</f>
        <v>ООО "ГОЛД"</v>
      </c>
      <c r="K8552" s="24" t="s">
        <v>10505</v>
      </c>
      <c r="L8552" s="22" t="s">
        <v>10</v>
      </c>
      <c r="M8552" s="28" t="s">
        <v>51</v>
      </c>
      <c r="N8552" s="28" t="s">
        <v>51</v>
      </c>
    </row>
    <row r="8553" spans="1:14" x14ac:dyDescent="0.15">
      <c r="A8553" s="23" t="str">
        <f>HYPERLINK("https://www.spark-marketing.ru/Card/Person/1018522", "МОУ ЛЮБИМСКАЯ СОШ")</f>
        <v>МОУ ЛЮБИМСКАЯ СОШ</v>
      </c>
      <c r="B8553" s="24" t="s">
        <v>12504</v>
      </c>
      <c r="C8553" s="25">
        <v>869000</v>
      </c>
      <c r="D8553" s="22" t="s">
        <v>12505</v>
      </c>
      <c r="E8553" s="22" t="s">
        <v>48</v>
      </c>
      <c r="F8553" s="23" t="str">
        <f>HYPERLINK("https://www.spark-marketing.ru/Card/Lot/72651757", "Оказание услуг по организации питания обучающихся МОУ Любимской СОШ.")</f>
        <v>Оказание услуг по организации питания обучающихся МОУ Любимской СОШ.</v>
      </c>
      <c r="G8553" s="22" t="s">
        <v>185</v>
      </c>
      <c r="H8553" s="22" t="s">
        <v>12506</v>
      </c>
      <c r="I8553" s="26">
        <v>43684.511874999997</v>
      </c>
      <c r="J8553" s="23" t="str">
        <f>HYPERLINK("https://www.spark-marketing.ru/Card/Person/1079856", "ГПОАУ ЯО ЛЮБИМСКИЙ АГРАРНО-ПОЛИТЕХНИЧЕСКИЙ КОЛЛЕДЖ")</f>
        <v>ГПОАУ ЯО ЛЮБИМСКИЙ АГРАРНО-ПОЛИТЕХНИЧЕСКИЙ КОЛЛЕДЖ</v>
      </c>
      <c r="K8553" s="24" t="s">
        <v>12507</v>
      </c>
      <c r="L8553" s="22" t="s">
        <v>10</v>
      </c>
      <c r="M8553" s="28" t="s">
        <v>51</v>
      </c>
      <c r="N8553" s="28" t="s">
        <v>51</v>
      </c>
    </row>
    <row r="8554" spans="1:14" x14ac:dyDescent="0.15">
      <c r="A8554" s="23" t="str">
        <f>HYPERLINK("https://www.spark-marketing.ru/Card/Person/146224", "ГБУ ""РЦ ""ЧЕРНОМОРЕЦ""")</f>
        <v>ГБУ "РЦ "ЧЕРНОМОРЕЦ"</v>
      </c>
      <c r="B8554" s="24" t="s">
        <v>12508</v>
      </c>
      <c r="C8554" s="25">
        <v>1442350</v>
      </c>
      <c r="D8554" s="22" t="s">
        <v>12509</v>
      </c>
      <c r="E8554" s="22" t="s">
        <v>48</v>
      </c>
      <c r="F8554" s="23" t="str">
        <f>HYPERLINK("https://www.spark-marketing.ru/Card/Lot/72648670",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8554" s="22" t="s">
        <v>104</v>
      </c>
      <c r="H8554" s="22" t="s">
        <v>12510</v>
      </c>
      <c r="I8554" s="26">
        <v>43684.494513888902</v>
      </c>
      <c r="J8554" s="23" t="str">
        <f>HYPERLINK("https://www.spark-marketing.ru/Card/Person/6577329", "Козулина Вера Алексеевна")</f>
        <v>Козулина Вера Алексеевна</v>
      </c>
      <c r="K8554" s="24" t="s">
        <v>12511</v>
      </c>
      <c r="L8554" s="22" t="s">
        <v>10</v>
      </c>
      <c r="M8554" s="28" t="s">
        <v>51</v>
      </c>
      <c r="N8554" s="28" t="s">
        <v>51</v>
      </c>
    </row>
    <row r="8555" spans="1:14" x14ac:dyDescent="0.15">
      <c r="A8555" s="23" t="str">
        <f>HYPERLINK("https://www.spark-marketing.ru/Card/Person/125736", "МО МВД РОССИИ ""ПОЧЕПСКИЙ""")</f>
        <v>МО МВД РОССИИ "ПОЧЕПСКИЙ"</v>
      </c>
      <c r="B8555" s="24" t="s">
        <v>8829</v>
      </c>
      <c r="C8555" s="25">
        <v>887750</v>
      </c>
      <c r="D8555" s="22" t="s">
        <v>12512</v>
      </c>
      <c r="E8555" s="22" t="s">
        <v>48</v>
      </c>
      <c r="F8555" s="23" t="str">
        <f>HYPERLINK("https://www.spark-marketing.ru/Card/Lot/72647392", "Услуги по приготовлению комплексного горячего питания")</f>
        <v>Услуги по приготовлению комплексного горячего питания</v>
      </c>
      <c r="G8555" s="22" t="s">
        <v>475</v>
      </c>
      <c r="H8555" s="22" t="s">
        <v>8831</v>
      </c>
      <c r="I8555" s="26">
        <v>43684.458796296298</v>
      </c>
      <c r="J8555" s="28" t="s">
        <v>51</v>
      </c>
      <c r="K8555" s="28" t="s">
        <v>51</v>
      </c>
      <c r="L8555" s="28" t="s">
        <v>51</v>
      </c>
      <c r="M8555" s="28" t="s">
        <v>51</v>
      </c>
      <c r="N8555" s="28" t="s">
        <v>51</v>
      </c>
    </row>
    <row r="8556" spans="1:14" x14ac:dyDescent="0.15">
      <c r="A8556" s="23" t="str">
        <f>HYPERLINK("https://www.spark-marketing.ru/Card/Person/17930", "МЕЖМУНИЦИПАЛЬНЫЙ ОТДЕЛ МВД РОССИИ ""КАМЫШИНСКИЙ""")</f>
        <v>МЕЖМУНИЦИПАЛЬНЫЙ ОТДЕЛ МВД РОССИИ "КАМЫШИНСКИЙ"</v>
      </c>
      <c r="B8556" s="24" t="s">
        <v>12513</v>
      </c>
      <c r="C8556" s="25">
        <v>1329940.3</v>
      </c>
      <c r="D8556" s="22" t="s">
        <v>12514</v>
      </c>
      <c r="E8556" s="22" t="s">
        <v>48</v>
      </c>
      <c r="F8556" s="23" t="str">
        <f>HYPERLINK("https://www.spark-marketing.ru/Card/Lot/72644136", "Оказание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заключенных, и лиц, содержащихся в специальном приемнике, камерах административных з...")</f>
        <v>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заключенных, и лиц, содержащихся в специальном приемнике, камерах административных з...</v>
      </c>
      <c r="G8556" s="22" t="s">
        <v>158</v>
      </c>
      <c r="H8556" s="22" t="s">
        <v>158</v>
      </c>
      <c r="I8556" s="26">
        <v>43684.465150463002</v>
      </c>
      <c r="J8556" s="23" t="str">
        <f>HYPERLINK("https://www.spark-marketing.ru/Card/Person/520670", "ООО ""СОЮЗ К""")</f>
        <v>ООО "СОЮЗ К"</v>
      </c>
      <c r="K8556" s="24" t="s">
        <v>10035</v>
      </c>
      <c r="L8556" s="28" t="s">
        <v>51</v>
      </c>
      <c r="M8556" s="28" t="s">
        <v>51</v>
      </c>
      <c r="N8556" s="28" t="s">
        <v>51</v>
      </c>
    </row>
    <row r="8557" spans="1:14" ht="12.75" hidden="1" outlineLevel="1" x14ac:dyDescent="0.2">
      <c r="A8557" s="23" t="str">
        <f>HYPERLINK("https://www.spark-marketing.ru/Card/Person/17930", "МЕЖМУНИЦИПАЛЬНЫЙ ОТДЕЛ МВД РОССИИ ""КАМЫШИНСКИЙ""")</f>
        <v>МЕЖМУНИЦИПАЛЬНЫЙ ОТДЕЛ МВД РОССИИ "КАМЫШИНСКИЙ"</v>
      </c>
      <c r="B8557" s="24" t="s">
        <v>12513</v>
      </c>
      <c r="C8557" s="25">
        <v>1329940.3</v>
      </c>
      <c r="D8557" s="22" t="s">
        <v>12514</v>
      </c>
      <c r="E8557" s="22" t="s">
        <v>48</v>
      </c>
      <c r="F8557" s="23" t="str">
        <f>HYPERLINK("https://www.spark-marketing.ru/Card/Lot/72644136", "Оказание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заключенных, и лиц, содержащихся в специальном приемнике, камерах административных з...")</f>
        <v>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заключенных, и лиц, содержащихся в специальном приемнике, камерах административных з...</v>
      </c>
      <c r="G8557" s="22" t="s">
        <v>158</v>
      </c>
      <c r="H8557" s="22" t="s">
        <v>158</v>
      </c>
      <c r="I8557" s="26">
        <v>43684.465150463002</v>
      </c>
      <c r="J8557" s="23" t="str">
        <f>HYPERLINK("https://www.spark-marketing.ru/Card/Person/520670", "ООО ""СОЮЗ К""")</f>
        <v>ООО "СОЮЗ К"</v>
      </c>
      <c r="K8557" s="24" t="s">
        <v>10035</v>
      </c>
      <c r="L8557" s="22" t="s">
        <v>10</v>
      </c>
      <c r="M8557" s="25">
        <v>1323290.6000000001</v>
      </c>
      <c r="N8557" s="27">
        <v>4.9999988721298244E-3</v>
      </c>
    </row>
    <row r="8558" spans="1:14" x14ac:dyDescent="0.15">
      <c r="A8558" s="23" t="str">
        <f>HYPERLINK("https://www.spark-marketing.ru/Card/Person/89798", "УМВД РОССИИ ПО ГОРОДУ КИРОВУ")</f>
        <v>УМВД РОССИИ ПО ГОРОДУ КИРОВУ</v>
      </c>
      <c r="B8558" s="24" t="s">
        <v>8365</v>
      </c>
      <c r="C8558" s="25">
        <v>900000</v>
      </c>
      <c r="D8558" s="22" t="s">
        <v>12515</v>
      </c>
      <c r="E8558" s="22" t="s">
        <v>48</v>
      </c>
      <c r="F8558" s="23" t="str">
        <f>HYPERLINK("https://www.spark-marketing.ru/Card/Lot/72649212",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558" s="22" t="s">
        <v>224</v>
      </c>
      <c r="H8558" s="22" t="s">
        <v>225</v>
      </c>
      <c r="I8558" s="26">
        <v>43684.497858796298</v>
      </c>
      <c r="J8558" s="28" t="s">
        <v>51</v>
      </c>
      <c r="K8558" s="28" t="s">
        <v>51</v>
      </c>
      <c r="L8558" s="28" t="s">
        <v>51</v>
      </c>
      <c r="M8558" s="28" t="s">
        <v>51</v>
      </c>
      <c r="N8558" s="28" t="s">
        <v>51</v>
      </c>
    </row>
    <row r="8559" spans="1:14" ht="12.75" hidden="1" outlineLevel="1" x14ac:dyDescent="0.2">
      <c r="A8559" s="23" t="str">
        <f>HYPERLINK("https://www.spark-marketing.ru/Card/Person/89798", "УМВД РОССИИ ПО ГОРОДУ КИРОВУ")</f>
        <v>УМВД РОССИИ ПО ГОРОДУ КИРОВУ</v>
      </c>
      <c r="B8559" s="24" t="s">
        <v>8365</v>
      </c>
      <c r="C8559" s="25">
        <v>900000</v>
      </c>
      <c r="D8559" s="22" t="s">
        <v>12515</v>
      </c>
      <c r="E8559" s="22" t="s">
        <v>48</v>
      </c>
      <c r="F8559" s="23" t="str">
        <f>HYPERLINK("https://www.spark-marketing.ru/Card/Lot/72649212",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559" s="22" t="s">
        <v>224</v>
      </c>
      <c r="H8559" s="22" t="s">
        <v>225</v>
      </c>
      <c r="I8559" s="26">
        <v>43684.497858796298</v>
      </c>
      <c r="J8559" s="23" t="str">
        <f>HYPERLINK("https://www.spark-marketing.ru/Card/Person/89851", "ООО ""ФУД-СЕРВИС""")</f>
        <v>ООО "ФУД-СЕРВИС"</v>
      </c>
      <c r="K8559" s="24" t="s">
        <v>8368</v>
      </c>
      <c r="L8559" s="22" t="s">
        <v>10</v>
      </c>
      <c r="M8559" s="25">
        <v>6951.78</v>
      </c>
      <c r="N8559" s="27">
        <v>0.99227580000000004</v>
      </c>
    </row>
    <row r="8560" spans="1:14" hidden="1" outlineLevel="1" x14ac:dyDescent="0.2">
      <c r="A8560" s="23" t="str">
        <f>HYPERLINK("https://www.spark-marketing.ru/Card/Person/89798", "УМВД РОССИИ ПО ГОРОДУ КИРОВУ")</f>
        <v>УМВД РОССИИ ПО ГОРОДУ КИРОВУ</v>
      </c>
      <c r="B8560" s="24" t="s">
        <v>8365</v>
      </c>
      <c r="C8560" s="25">
        <v>900000</v>
      </c>
      <c r="D8560" s="22" t="s">
        <v>12515</v>
      </c>
      <c r="E8560" s="22" t="s">
        <v>48</v>
      </c>
      <c r="F8560" s="23" t="str">
        <f>HYPERLINK("https://www.spark-marketing.ru/Card/Lot/72649212",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560" s="22" t="s">
        <v>224</v>
      </c>
      <c r="H8560" s="22" t="s">
        <v>225</v>
      </c>
      <c r="I8560" s="26">
        <v>43684.497858796298</v>
      </c>
      <c r="J8560" s="23" t="str">
        <f>HYPERLINK("https://www.spark-marketing.ru/Card/Person/6454752", "ООО ""ЕВРО КЕЙТЕРИНГ 43""")</f>
        <v>ООО "ЕВРО КЕЙТЕРИНГ 43"</v>
      </c>
      <c r="K8560" s="24" t="s">
        <v>8367</v>
      </c>
      <c r="L8560" s="28" t="s">
        <v>51</v>
      </c>
      <c r="M8560" s="25">
        <v>6986.89</v>
      </c>
      <c r="N8560" s="27">
        <v>0.99223678888888889</v>
      </c>
    </row>
    <row r="8561" spans="1:14" x14ac:dyDescent="0.15">
      <c r="A8561" s="23" t="str">
        <f>HYPERLINK("https://www.spark-marketing.ru/Card/Person/1039631", "МБДОУ ""ДЕТСКИЙ САД ""БАТЫР"" С. ШАРАН""")</f>
        <v>МБДОУ "ДЕТСКИЙ САД "БАТЫР" С. ШАРАН"</v>
      </c>
      <c r="B8561" s="24" t="s">
        <v>12516</v>
      </c>
      <c r="C8561" s="25">
        <v>1645290</v>
      </c>
      <c r="D8561" s="22" t="s">
        <v>12517</v>
      </c>
      <c r="E8561" s="22" t="s">
        <v>48</v>
      </c>
      <c r="F8561" s="23" t="str">
        <f>HYPERLINK("https://www.spark-marketing.ru/Card/Lot/72644121", "Услуги по организации горячего питания в муниципальном бюджетном дошкольном образовательном учреждении «Детский сад «Батыр»с.Шаран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«Батыр»с.Шаран муниципального района Шаранский район РБ»</v>
      </c>
      <c r="G8561" s="22" t="s">
        <v>145</v>
      </c>
      <c r="H8561" s="22" t="s">
        <v>12518</v>
      </c>
      <c r="I8561" s="26">
        <v>43684.477858796301</v>
      </c>
      <c r="J8561" s="28" t="s">
        <v>51</v>
      </c>
      <c r="K8561" s="28" t="s">
        <v>51</v>
      </c>
      <c r="L8561" s="28" t="s">
        <v>51</v>
      </c>
      <c r="M8561" s="28" t="s">
        <v>51</v>
      </c>
      <c r="N8561" s="28" t="s">
        <v>51</v>
      </c>
    </row>
    <row r="8562" spans="1:14" hidden="1" outlineLevel="1" x14ac:dyDescent="0.2">
      <c r="A8562" s="23" t="str">
        <f>HYPERLINK("https://www.spark-marketing.ru/Card/Person/1039631", "МБДОУ ""ДЕТСКИЙ САД ""БАТЫР"" С. ШАРАН""")</f>
        <v>МБДОУ "ДЕТСКИЙ САД "БАТЫР" С. ШАРАН"</v>
      </c>
      <c r="B8562" s="24" t="s">
        <v>12516</v>
      </c>
      <c r="C8562" s="25">
        <v>1645290</v>
      </c>
      <c r="D8562" s="22" t="s">
        <v>12517</v>
      </c>
      <c r="E8562" s="22" t="s">
        <v>48</v>
      </c>
      <c r="F8562" s="23" t="str">
        <f>HYPERLINK("https://www.spark-marketing.ru/Card/Lot/72644121", "Услуги по организации горячего питания в муниципальном бюджетном дошкольном образовательном учреждении «Детский сад «Батыр»с.Шаран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«Батыр»с.Шаран муниципального района Шаранский район РБ»</v>
      </c>
      <c r="G8562" s="22" t="s">
        <v>145</v>
      </c>
      <c r="H8562" s="22" t="s">
        <v>12518</v>
      </c>
      <c r="I8562" s="26">
        <v>43684.477858796301</v>
      </c>
      <c r="J8562" s="23" t="str">
        <f>HYPERLINK("https://www.spark-marketing.ru/Card/Person/145110", "ООО ""ТК ""ЗК""")</f>
        <v>ООО "ТК "ЗК"</v>
      </c>
      <c r="K8562" s="24" t="s">
        <v>5800</v>
      </c>
      <c r="L8562" s="28" t="s">
        <v>51</v>
      </c>
      <c r="M8562" s="25">
        <v>1628837.1</v>
      </c>
      <c r="N8562" s="27">
        <v>0.01</v>
      </c>
    </row>
    <row r="8563" spans="1:14" ht="12.75" hidden="1" outlineLevel="1" x14ac:dyDescent="0.2">
      <c r="A8563" s="23" t="str">
        <f>HYPERLINK("https://www.spark-marketing.ru/Card/Person/1039631", "МБДОУ ""ДЕТСКИЙ САД ""БАТЫР"" С. ШАРАН""")</f>
        <v>МБДОУ "ДЕТСКИЙ САД "БАТЫР" С. ШАРАН"</v>
      </c>
      <c r="B8563" s="24" t="s">
        <v>12516</v>
      </c>
      <c r="C8563" s="25">
        <v>1645290</v>
      </c>
      <c r="D8563" s="22" t="s">
        <v>12517</v>
      </c>
      <c r="E8563" s="22" t="s">
        <v>48</v>
      </c>
      <c r="F8563" s="23" t="str">
        <f>HYPERLINK("https://www.spark-marketing.ru/Card/Lot/72644121", "Услуги по организации горячего питания в муниципальном бюджетном дошкольном образовательном учреждении «Детский сад «Батыр»с.Шаран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«Батыр»с.Шаран муниципального района Шаранский район РБ»</v>
      </c>
      <c r="G8563" s="22" t="s">
        <v>145</v>
      </c>
      <c r="H8563" s="22" t="s">
        <v>12518</v>
      </c>
      <c r="I8563" s="26">
        <v>43684.477858796301</v>
      </c>
      <c r="J8563" s="23" t="str">
        <f>HYPERLINK("https://www.spark-marketing.ru/Card/Person/1089466", "Давлетова Надежда Мурзагареевна")</f>
        <v>Давлетова Надежда Мурзагареевна</v>
      </c>
      <c r="K8563" s="24" t="s">
        <v>12519</v>
      </c>
      <c r="L8563" s="22" t="s">
        <v>10</v>
      </c>
      <c r="M8563" s="25">
        <v>1620610.65</v>
      </c>
      <c r="N8563" s="27">
        <v>1.4999999999999999E-2</v>
      </c>
    </row>
    <row r="8564" spans="1:14" x14ac:dyDescent="0.15">
      <c r="A8564" s="23" t="str">
        <f>HYPERLINK("https://www.spark-marketing.ru/Card/Person/1762794", "МБОУ ""СОШ Д.АКБАРИСОВО""")</f>
        <v>МБОУ "СОШ Д.АКБАРИСОВО"</v>
      </c>
      <c r="B8564" s="24" t="s">
        <v>12520</v>
      </c>
      <c r="C8564" s="25">
        <v>530000.74</v>
      </c>
      <c r="D8564" s="22" t="s">
        <v>12521</v>
      </c>
      <c r="E8564" s="22" t="s">
        <v>48</v>
      </c>
      <c r="F8564" s="23" t="str">
        <f>HYPERLINK("https://www.spark-marketing.ru/Card/Lot/72643444", "Услуги по организации горячего питания в муниципальном бюджетном общеобразовательном учреждении «Средняя общеобразовательная школа д.Акбарисово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д.Акбарисово муниципального района Шаранский район РБ»</v>
      </c>
      <c r="G8564" s="22" t="s">
        <v>145</v>
      </c>
      <c r="H8564" s="22" t="s">
        <v>12518</v>
      </c>
      <c r="I8564" s="26">
        <v>43684.476331018501</v>
      </c>
      <c r="J8564" s="23" t="str">
        <f>HYPERLINK("https://www.spark-marketing.ru/Card/Person/1089466", "Давлетова Надежда Мурзагареевна")</f>
        <v>Давлетова Надежда Мурзагареевна</v>
      </c>
      <c r="K8564" s="24" t="s">
        <v>12519</v>
      </c>
      <c r="L8564" s="28" t="s">
        <v>51</v>
      </c>
      <c r="M8564" s="28" t="s">
        <v>51</v>
      </c>
      <c r="N8564" s="28" t="s">
        <v>51</v>
      </c>
    </row>
    <row r="8565" spans="1:14" ht="12.75" hidden="1" outlineLevel="1" x14ac:dyDescent="0.2">
      <c r="A8565" s="23" t="str">
        <f>HYPERLINK("https://www.spark-marketing.ru/Card/Person/1762794", "МБОУ ""СОШ Д.АКБАРИСОВО""")</f>
        <v>МБОУ "СОШ Д.АКБАРИСОВО"</v>
      </c>
      <c r="B8565" s="24" t="s">
        <v>12520</v>
      </c>
      <c r="C8565" s="25">
        <v>530000.74</v>
      </c>
      <c r="D8565" s="22" t="s">
        <v>12521</v>
      </c>
      <c r="E8565" s="22" t="s">
        <v>48</v>
      </c>
      <c r="F8565" s="23" t="str">
        <f>HYPERLINK("https://www.spark-marketing.ru/Card/Lot/72643444", "Услуги по организации горячего питания в муниципальном бюджетном общеобразовательном учреждении «Средняя общеобразовательная школа д.Акбарисово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д.Акбарисово муниципального района Шаранский район РБ»</v>
      </c>
      <c r="G8565" s="22" t="s">
        <v>145</v>
      </c>
      <c r="H8565" s="22" t="s">
        <v>12518</v>
      </c>
      <c r="I8565" s="26">
        <v>43684.476331018501</v>
      </c>
      <c r="J8565" s="23" t="str">
        <f>HYPERLINK("https://www.spark-marketing.ru/Card/Person/1089466", "Давлетова Надежда Мурзагареевна")</f>
        <v>Давлетова Надежда Мурзагареевна</v>
      </c>
      <c r="K8565" s="24" t="s">
        <v>12519</v>
      </c>
      <c r="L8565" s="22" t="s">
        <v>10</v>
      </c>
      <c r="M8565" s="25">
        <v>527350.73</v>
      </c>
      <c r="N8565" s="27">
        <v>5.0000118867758563E-3</v>
      </c>
    </row>
    <row r="8566" spans="1:14" x14ac:dyDescent="0.15">
      <c r="A8566" s="23" t="str">
        <f>HYPERLINK("https://www.spark-marketing.ru/Card/Person/1001935", "МБОУ ""ФИЛИППОВСКАЯ ООШ""")</f>
        <v>МБОУ "ФИЛИППОВСКАЯ ООШ"</v>
      </c>
      <c r="B8566" s="24" t="s">
        <v>12522</v>
      </c>
      <c r="C8566" s="25">
        <v>1275861.6000000001</v>
      </c>
      <c r="D8566" s="22" t="s">
        <v>12523</v>
      </c>
      <c r="E8566" s="22" t="s">
        <v>96</v>
      </c>
      <c r="F8566" s="23" t="str">
        <f>HYPERLINK("https://www.spark-marketing.ru/Card/Lot/72652533", "услуги по организации горячего питания воспитанников структурного подразделения для детей дошкольного возраста")</f>
        <v>услуги по организации горячего питания воспитанников структурного подразделения для детей дошкольного возраста</v>
      </c>
      <c r="G8566" s="22" t="s">
        <v>153</v>
      </c>
      <c r="H8566" s="22" t="s">
        <v>153</v>
      </c>
      <c r="I8566" s="26">
        <v>43684.484976851898</v>
      </c>
      <c r="J8566" s="28" t="s">
        <v>51</v>
      </c>
      <c r="K8566" s="28" t="s">
        <v>51</v>
      </c>
      <c r="L8566" s="28" t="s">
        <v>51</v>
      </c>
      <c r="M8566" s="28" t="s">
        <v>51</v>
      </c>
      <c r="N8566" s="28" t="s">
        <v>51</v>
      </c>
    </row>
    <row r="8567" spans="1:14" hidden="1" outlineLevel="1" x14ac:dyDescent="0.2">
      <c r="A8567" s="23" t="str">
        <f>HYPERLINK("https://www.spark-marketing.ru/Card/Person/1001935", "МБОУ ""ФИЛИППОВСКАЯ ООШ""")</f>
        <v>МБОУ "ФИЛИППОВСКАЯ ООШ"</v>
      </c>
      <c r="B8567" s="24" t="s">
        <v>12522</v>
      </c>
      <c r="C8567" s="25">
        <v>1275861.6000000001</v>
      </c>
      <c r="D8567" s="22" t="s">
        <v>12523</v>
      </c>
      <c r="E8567" s="22" t="s">
        <v>96</v>
      </c>
      <c r="F8567" s="23" t="str">
        <f>HYPERLINK("https://www.spark-marketing.ru/Card/Lot/72652533", "услуги по организации горячего питания воспитанников структурного подразделения для детей дошкольного возраста")</f>
        <v>услуги по организации горячего питания воспитанников структурного подразделения для детей дошкольного возраста</v>
      </c>
      <c r="G8567" s="22" t="s">
        <v>153</v>
      </c>
      <c r="H8567" s="22" t="s">
        <v>153</v>
      </c>
      <c r="I8567" s="26">
        <v>43684.484976851898</v>
      </c>
      <c r="J8567" s="23" t="str">
        <f>HYPERLINK("https://www.spark-marketing.ru/Card/Person/4720367", "Подшивалова Людмила Павловна")</f>
        <v>Подшивалова Людмила Павловна</v>
      </c>
      <c r="K8567" s="24" t="s">
        <v>12524</v>
      </c>
      <c r="L8567" s="28" t="s">
        <v>51</v>
      </c>
      <c r="M8567" s="25">
        <v>995171.96</v>
      </c>
      <c r="N8567" s="27">
        <v>0.22000006897299831</v>
      </c>
    </row>
    <row r="8568" spans="1:14" ht="12.75" hidden="1" outlineLevel="1" x14ac:dyDescent="0.2">
      <c r="A8568" s="23" t="str">
        <f>HYPERLINK("https://www.spark-marketing.ru/Card/Person/1001935", "МБОУ ""ФИЛИППОВСКАЯ ООШ""")</f>
        <v>МБОУ "ФИЛИППОВСКАЯ ООШ"</v>
      </c>
      <c r="B8568" s="24" t="s">
        <v>12522</v>
      </c>
      <c r="C8568" s="25">
        <v>1275861.6000000001</v>
      </c>
      <c r="D8568" s="22" t="s">
        <v>12523</v>
      </c>
      <c r="E8568" s="22" t="s">
        <v>96</v>
      </c>
      <c r="F8568" s="23" t="str">
        <f>HYPERLINK("https://www.spark-marketing.ru/Card/Lot/72652533", "услуги по организации горячего питания воспитанников структурного подразделения для детей дошкольного возраста")</f>
        <v>услуги по организации горячего питания воспитанников структурного подразделения для детей дошкольного возраста</v>
      </c>
      <c r="G8568" s="22" t="s">
        <v>153</v>
      </c>
      <c r="H8568" s="22" t="s">
        <v>153</v>
      </c>
      <c r="I8568" s="26">
        <v>43684.484976851898</v>
      </c>
      <c r="J8568" s="23" t="str">
        <f>HYPERLINK("https://www.spark-marketing.ru/Card/Person/99923", "Антонов Леонид Валентинович")</f>
        <v>Антонов Леонид Валентинович</v>
      </c>
      <c r="K8568" s="24" t="s">
        <v>5257</v>
      </c>
      <c r="L8568" s="22" t="s">
        <v>10</v>
      </c>
      <c r="M8568" s="25">
        <v>988792.65</v>
      </c>
      <c r="N8568" s="27">
        <v>0.22500007054056648</v>
      </c>
    </row>
    <row r="8569" spans="1:14" hidden="1" outlineLevel="1" x14ac:dyDescent="0.2">
      <c r="A8569" s="23" t="str">
        <f>HYPERLINK("https://www.spark-marketing.ru/Card/Person/1001935", "МБОУ ""ФИЛИППОВСКАЯ ООШ""")</f>
        <v>МБОУ "ФИЛИППОВСКАЯ ООШ"</v>
      </c>
      <c r="B8569" s="24" t="s">
        <v>12522</v>
      </c>
      <c r="C8569" s="25">
        <v>1275861.6000000001</v>
      </c>
      <c r="D8569" s="22" t="s">
        <v>12523</v>
      </c>
      <c r="E8569" s="22" t="s">
        <v>96</v>
      </c>
      <c r="F8569" s="23" t="str">
        <f>HYPERLINK("https://www.spark-marketing.ru/Card/Lot/72652533", "услуги по организации горячего питания воспитанников структурного подразделения для детей дошкольного возраста")</f>
        <v>услуги по организации горячего питания воспитанников структурного подразделения для детей дошкольного возраста</v>
      </c>
      <c r="G8569" s="22" t="s">
        <v>153</v>
      </c>
      <c r="H8569" s="22" t="s">
        <v>153</v>
      </c>
      <c r="I8569" s="26">
        <v>43684.484976851898</v>
      </c>
      <c r="J8569" s="23" t="str">
        <f>HYPERLINK("https://www.spark-marketing.ru/Card/Person/152577", "Калыпин Владимир Владимирович")</f>
        <v>Калыпин Владимир Владимирович</v>
      </c>
      <c r="K8569" s="24" t="s">
        <v>5258</v>
      </c>
      <c r="L8569" s="28" t="s">
        <v>51</v>
      </c>
      <c r="M8569" s="25">
        <v>1205689.19</v>
      </c>
      <c r="N8569" s="27">
        <v>5.5000017243249578E-2</v>
      </c>
    </row>
    <row r="8570" spans="1:14" x14ac:dyDescent="0.15">
      <c r="A8570" s="23" t="str">
        <f>HYPERLINK("https://www.spark-marketing.ru/Card/Person/102358", "ОТДЕЛ МВД РОССИИ ПО АШИНСКОМУ РАЙОНУ ЧЕЛЯБИНСКОЙ ОБЛАСТИ")</f>
        <v>ОТДЕЛ МВД РОССИИ ПО АШИНСКОМУ РАЙОНУ ЧЕЛЯБИНСКОЙ ОБЛАСТИ</v>
      </c>
      <c r="B8570" s="24" t="s">
        <v>5803</v>
      </c>
      <c r="C8570" s="25">
        <v>200000</v>
      </c>
      <c r="D8570" s="22" t="s">
        <v>12525</v>
      </c>
      <c r="E8570" s="22" t="s">
        <v>48</v>
      </c>
      <c r="F8570" s="23" t="str">
        <f>HYPERLINK("https://www.spark-marketing.ru/Card/Lot/72643442", "Услуги   по обеспечению питанием административно-арестованных лиц содержащихся в ИВС")</f>
        <v>Услуги   по обеспечению питанием административно-арестованных лиц содержащихся в ИВС</v>
      </c>
      <c r="G8570" s="22" t="s">
        <v>469</v>
      </c>
      <c r="H8570" s="22" t="s">
        <v>469</v>
      </c>
      <c r="I8570" s="26">
        <v>43684.475196759297</v>
      </c>
      <c r="J8570" s="28" t="s">
        <v>51</v>
      </c>
      <c r="K8570" s="28" t="s">
        <v>51</v>
      </c>
      <c r="L8570" s="28" t="s">
        <v>51</v>
      </c>
      <c r="M8570" s="28" t="s">
        <v>51</v>
      </c>
      <c r="N8570" s="28" t="s">
        <v>51</v>
      </c>
    </row>
    <row r="8571" spans="1:14" x14ac:dyDescent="0.15">
      <c r="A8571" s="23" t="str">
        <f>HYPERLINK("https://www.spark-marketing.ru/Card/Person/113327", "МБОУ ""СОШ № 225""")</f>
        <v>МБОУ "СОШ № 225"</v>
      </c>
      <c r="B8571" s="24" t="s">
        <v>12526</v>
      </c>
      <c r="C8571" s="25">
        <v>2385273</v>
      </c>
      <c r="D8571" s="22" t="s">
        <v>12527</v>
      </c>
      <c r="E8571" s="22" t="s">
        <v>48</v>
      </c>
      <c r="F8571" s="23" t="str">
        <f>HYPERLINK("https://www.spark-marketing.ru/Card/Lot/72647207", "Оказание услуги по организации питания учащихся")</f>
        <v>Оказание услуги по организации питания учащихся</v>
      </c>
      <c r="G8571" s="22" t="s">
        <v>72</v>
      </c>
      <c r="H8571" s="22" t="s">
        <v>8413</v>
      </c>
      <c r="I8571" s="26">
        <v>43684.464884259301</v>
      </c>
      <c r="J8571" s="23" t="str">
        <f>HYPERLINK("https://www.spark-marketing.ru/Card/Person/110701", "МП ""КШП""")</f>
        <v>МП "КШП"</v>
      </c>
      <c r="K8571" s="24" t="s">
        <v>12528</v>
      </c>
      <c r="L8571" s="22" t="s">
        <v>10</v>
      </c>
      <c r="M8571" s="28" t="s">
        <v>51</v>
      </c>
      <c r="N8571" s="28" t="s">
        <v>51</v>
      </c>
    </row>
    <row r="8572" spans="1:14" x14ac:dyDescent="0.2">
      <c r="A8572" s="23" t="s">
        <v>114</v>
      </c>
      <c r="B8572" s="28" t="s">
        <v>51</v>
      </c>
      <c r="C8572" s="25">
        <v>4430720</v>
      </c>
      <c r="D8572" s="22" t="s">
        <v>12529</v>
      </c>
      <c r="E8572" s="22" t="s">
        <v>51</v>
      </c>
      <c r="F8572" s="23" t="str">
        <f t="shared" ref="F8572:F8577" si="190">HYPERLINK("https://www.spark-marketing.ru/Card/Lot/72643984", "19-74912 Оказание услуг по организации питания детей")</f>
        <v>19-74912 Оказание услуг по организации питания детей</v>
      </c>
      <c r="G8572" s="22" t="s">
        <v>51</v>
      </c>
      <c r="H8572" s="22" t="s">
        <v>51</v>
      </c>
      <c r="I8572" s="26">
        <v>43684.490277777797</v>
      </c>
      <c r="J8572" s="23" t="str">
        <f t="shared" ref="J8572:J8577" si="191">HYPERLINK("https://www.spark-marketing.ru/Card/Person/59409", "АО ""УРАЛЬСКИЙ КОМБИНАТ ПИТАНИЯ""")</f>
        <v>АО "УРАЛЬСКИЙ КОМБИНАТ ПИТАНИЯ"</v>
      </c>
      <c r="K8572" s="24" t="s">
        <v>12530</v>
      </c>
      <c r="L8572" s="28" t="s">
        <v>51</v>
      </c>
      <c r="M8572" s="25">
        <v>4430720</v>
      </c>
      <c r="N8572" s="27">
        <v>0</v>
      </c>
    </row>
    <row r="8573" spans="1:14" hidden="1" outlineLevel="1" x14ac:dyDescent="0.2">
      <c r="A8573" s="23" t="str">
        <f>HYPERLINK("https://www.spark-marketing.ru/Card/Person/62110", "МБУ ЦЕНТР ""АИСТЁНОК""")</f>
        <v>МБУ ЦЕНТР "АИСТЁНОК"</v>
      </c>
      <c r="B8573" s="24" t="s">
        <v>12531</v>
      </c>
      <c r="C8573" s="25">
        <v>1058000</v>
      </c>
      <c r="D8573" s="22" t="s">
        <v>12529</v>
      </c>
      <c r="E8573" s="22" t="s">
        <v>51</v>
      </c>
      <c r="F8573" s="23" t="str">
        <f t="shared" si="190"/>
        <v>19-74912 Оказание услуг по организации питания детей</v>
      </c>
      <c r="G8573" s="22" t="s">
        <v>51</v>
      </c>
      <c r="H8573" s="22" t="s">
        <v>51</v>
      </c>
      <c r="I8573" s="26">
        <v>43684.490277777797</v>
      </c>
      <c r="J8573" s="23" t="str">
        <f t="shared" si="191"/>
        <v>АО "УРАЛЬСКИЙ КОМБИНАТ ПИТАНИЯ"</v>
      </c>
      <c r="K8573" s="24" t="s">
        <v>12530</v>
      </c>
      <c r="L8573" s="28" t="s">
        <v>51</v>
      </c>
      <c r="M8573" s="28" t="s">
        <v>51</v>
      </c>
      <c r="N8573" s="27">
        <v>0</v>
      </c>
    </row>
    <row r="8574" spans="1:14" hidden="1" outlineLevel="1" x14ac:dyDescent="0.2">
      <c r="A8574" s="23" t="str">
        <f>HYPERLINK("https://www.spark-marketing.ru/Card/Person/61959", "МБУ ЦЕНТР ""АКВАРЕЛЬ""")</f>
        <v>МБУ ЦЕНТР "АКВАРЕЛЬ"</v>
      </c>
      <c r="B8574" s="24" t="s">
        <v>12532</v>
      </c>
      <c r="C8574" s="25">
        <v>680340</v>
      </c>
      <c r="D8574" s="22" t="s">
        <v>12529</v>
      </c>
      <c r="E8574" s="22" t="s">
        <v>51</v>
      </c>
      <c r="F8574" s="23" t="str">
        <f t="shared" si="190"/>
        <v>19-74912 Оказание услуг по организации питания детей</v>
      </c>
      <c r="G8574" s="22" t="s">
        <v>469</v>
      </c>
      <c r="H8574" s="22" t="s">
        <v>491</v>
      </c>
      <c r="I8574" s="26">
        <v>43684.490277777797</v>
      </c>
      <c r="J8574" s="23" t="str">
        <f t="shared" si="191"/>
        <v>АО "УРАЛЬСКИЙ КОМБИНАТ ПИТАНИЯ"</v>
      </c>
      <c r="K8574" s="24" t="s">
        <v>12530</v>
      </c>
      <c r="L8574" s="28" t="s">
        <v>51</v>
      </c>
      <c r="M8574" s="28" t="s">
        <v>51</v>
      </c>
      <c r="N8574" s="27">
        <v>0</v>
      </c>
    </row>
    <row r="8575" spans="1:14" hidden="1" outlineLevel="1" x14ac:dyDescent="0.2">
      <c r="A8575" s="23" t="str">
        <f>HYPERLINK("https://www.spark-marketing.ru/Card/Person/62148", "МБУ ЦЕНТР ""ГНЁЗДЫШКО""")</f>
        <v>МБУ ЦЕНТР "ГНЁЗДЫШКО"</v>
      </c>
      <c r="B8575" s="24" t="s">
        <v>12533</v>
      </c>
      <c r="C8575" s="25">
        <v>856520</v>
      </c>
      <c r="D8575" s="22" t="s">
        <v>12529</v>
      </c>
      <c r="E8575" s="22" t="s">
        <v>51</v>
      </c>
      <c r="F8575" s="23" t="str">
        <f t="shared" si="190"/>
        <v>19-74912 Оказание услуг по организации питания детей</v>
      </c>
      <c r="G8575" s="22" t="s">
        <v>469</v>
      </c>
      <c r="H8575" s="22" t="s">
        <v>491</v>
      </c>
      <c r="I8575" s="26">
        <v>43684.490277777797</v>
      </c>
      <c r="J8575" s="23" t="str">
        <f t="shared" si="191"/>
        <v>АО "УРАЛЬСКИЙ КОМБИНАТ ПИТАНИЯ"</v>
      </c>
      <c r="K8575" s="24" t="s">
        <v>12530</v>
      </c>
      <c r="L8575" s="28" t="s">
        <v>51</v>
      </c>
      <c r="M8575" s="28" t="s">
        <v>51</v>
      </c>
      <c r="N8575" s="27">
        <v>0</v>
      </c>
    </row>
    <row r="8576" spans="1:14" hidden="1" outlineLevel="1" x14ac:dyDescent="0.2">
      <c r="A8576" s="23" t="str">
        <f>HYPERLINK("https://www.spark-marketing.ru/Card/Person/62149", "МБУ ЦЕНТР ""НАДЕЖДА""")</f>
        <v>МБУ ЦЕНТР "НАДЕЖДА"</v>
      </c>
      <c r="B8576" s="24" t="s">
        <v>12534</v>
      </c>
      <c r="C8576" s="25">
        <v>701960</v>
      </c>
      <c r="D8576" s="22" t="s">
        <v>12529</v>
      </c>
      <c r="E8576" s="22" t="s">
        <v>51</v>
      </c>
      <c r="F8576" s="23" t="str">
        <f t="shared" si="190"/>
        <v>19-74912 Оказание услуг по организации питания детей</v>
      </c>
      <c r="G8576" s="22" t="s">
        <v>469</v>
      </c>
      <c r="H8576" s="22" t="s">
        <v>491</v>
      </c>
      <c r="I8576" s="26">
        <v>43684.490277777797</v>
      </c>
      <c r="J8576" s="23" t="str">
        <f t="shared" si="191"/>
        <v>АО "УРАЛЬСКИЙ КОМБИНАТ ПИТАНИЯ"</v>
      </c>
      <c r="K8576" s="24" t="s">
        <v>12530</v>
      </c>
      <c r="L8576" s="28" t="s">
        <v>51</v>
      </c>
      <c r="M8576" s="28" t="s">
        <v>51</v>
      </c>
      <c r="N8576" s="27">
        <v>0</v>
      </c>
    </row>
    <row r="8577" spans="1:14" hidden="1" outlineLevel="1" x14ac:dyDescent="0.2">
      <c r="A8577" s="23" t="str">
        <f>HYPERLINK("https://www.spark-marketing.ru/Card/Person/62190", "МБУ ЦЕНТР ""СОЛНЕЧНЫЙ""")</f>
        <v>МБУ ЦЕНТР "СОЛНЕЧНЫЙ"</v>
      </c>
      <c r="B8577" s="24" t="s">
        <v>12535</v>
      </c>
      <c r="C8577" s="25">
        <v>1133900</v>
      </c>
      <c r="D8577" s="22" t="s">
        <v>12529</v>
      </c>
      <c r="E8577" s="22" t="s">
        <v>51</v>
      </c>
      <c r="F8577" s="23" t="str">
        <f t="shared" si="190"/>
        <v>19-74912 Оказание услуг по организации питания детей</v>
      </c>
      <c r="G8577" s="22" t="s">
        <v>469</v>
      </c>
      <c r="H8577" s="22" t="s">
        <v>491</v>
      </c>
      <c r="I8577" s="26">
        <v>43684.490277777797</v>
      </c>
      <c r="J8577" s="23" t="str">
        <f t="shared" si="191"/>
        <v>АО "УРАЛЬСКИЙ КОМБИНАТ ПИТАНИЯ"</v>
      </c>
      <c r="K8577" s="24" t="s">
        <v>12530</v>
      </c>
      <c r="L8577" s="28" t="s">
        <v>51</v>
      </c>
      <c r="M8577" s="28" t="s">
        <v>51</v>
      </c>
      <c r="N8577" s="27">
        <v>0</v>
      </c>
    </row>
    <row r="8578" spans="1:14" x14ac:dyDescent="0.15">
      <c r="A8578" s="23" t="str">
        <f>HYPERLINK("https://www.spark-marketing.ru/Card/Person/1027645", "МБОУ ""О(С)Ш № 1""")</f>
        <v>МБОУ "О(С)Ш № 1"</v>
      </c>
      <c r="B8578" s="24" t="s">
        <v>12536</v>
      </c>
      <c r="C8578" s="25">
        <v>37544</v>
      </c>
      <c r="D8578" s="22" t="s">
        <v>12537</v>
      </c>
      <c r="E8578" s="22" t="s">
        <v>48</v>
      </c>
      <c r="F8578" s="23" t="str">
        <f>HYPERLINK("https://www.spark-marketing.ru/Card/Lot/72646536", "Оказание услуг по организации горячего питания и обеспечение горячим питанием учащихся МБОУ ""О(С)Ш № 1""")</f>
        <v>Оказание услуг по организации горячего питания и обеспечение горячим питанием учащихся МБОУ "О(С)Ш № 1"</v>
      </c>
      <c r="G8578" s="22" t="s">
        <v>460</v>
      </c>
      <c r="H8578" s="22" t="s">
        <v>461</v>
      </c>
      <c r="I8578" s="26">
        <v>43684.447222222203</v>
      </c>
      <c r="J8578" s="28" t="s">
        <v>51</v>
      </c>
      <c r="K8578" s="28" t="s">
        <v>51</v>
      </c>
      <c r="L8578" s="28" t="s">
        <v>51</v>
      </c>
      <c r="M8578" s="28" t="s">
        <v>51</v>
      </c>
      <c r="N8578" s="28" t="s">
        <v>51</v>
      </c>
    </row>
    <row r="8579" spans="1:14" x14ac:dyDescent="0.15">
      <c r="A8579" s="23" t="str">
        <f>HYPERLINK("https://www.spark-marketing.ru/Card/Person/130832", "ОМВД РОССИИ ПО МОРКИНСКОМУ РАЙОНУ")</f>
        <v>ОМВД РОССИИ ПО МОРКИНСКОМУ РАЙОНУ</v>
      </c>
      <c r="B8579" s="24" t="s">
        <v>3252</v>
      </c>
      <c r="C8579" s="25">
        <v>147600</v>
      </c>
      <c r="D8579" s="22" t="s">
        <v>12538</v>
      </c>
      <c r="E8579" s="22" t="s">
        <v>96</v>
      </c>
      <c r="F8579" s="23" t="str">
        <f>HYPERLINK("https://www.spark-marketing.ru/Card/Lot/72643303", "Оказание услуг по организации питания (приготовлению и доставке), 492 шт")</f>
        <v>Оказание услуг по организации питания (приготовлению и доставке), 492 шт</v>
      </c>
      <c r="G8579" s="22" t="s">
        <v>3249</v>
      </c>
      <c r="H8579" s="22" t="s">
        <v>3254</v>
      </c>
      <c r="I8579" s="26">
        <v>43684.456712963001</v>
      </c>
      <c r="J8579" s="28" t="s">
        <v>51</v>
      </c>
      <c r="K8579" s="28" t="s">
        <v>51</v>
      </c>
      <c r="L8579" s="28" t="s">
        <v>51</v>
      </c>
      <c r="M8579" s="28" t="s">
        <v>51</v>
      </c>
      <c r="N8579" s="28" t="s">
        <v>51</v>
      </c>
    </row>
    <row r="8580" spans="1:14" x14ac:dyDescent="0.15">
      <c r="A8580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8580" s="24" t="s">
        <v>11946</v>
      </c>
      <c r="C8580" s="25">
        <v>1485</v>
      </c>
      <c r="D8580" s="22" t="s">
        <v>12539</v>
      </c>
      <c r="E8580" s="22" t="s">
        <v>48</v>
      </c>
      <c r="F8580" s="23" t="str">
        <f>HYPERLINK("https://www.spark-marketing.ru/Card/Lot/72643296", "Оказание услуг по обеспечению горячим питанием"", 1 усл. ед")</f>
        <v>Оказание услуг по обеспечению горячим питанием", 1 усл. ед</v>
      </c>
      <c r="G8580" s="22" t="s">
        <v>49</v>
      </c>
      <c r="H8580" s="22" t="s">
        <v>1613</v>
      </c>
      <c r="I8580" s="26">
        <v>43684.454409722202</v>
      </c>
      <c r="J8580" s="28" t="s">
        <v>51</v>
      </c>
      <c r="K8580" s="28" t="s">
        <v>51</v>
      </c>
      <c r="L8580" s="28" t="s">
        <v>51</v>
      </c>
      <c r="M8580" s="28" t="s">
        <v>51</v>
      </c>
      <c r="N8580" s="28" t="s">
        <v>51</v>
      </c>
    </row>
    <row r="8581" spans="1:14" x14ac:dyDescent="0.15">
      <c r="A8581" s="23" t="str">
        <f>HYPERLINK("https://www.spark-marketing.ru/Card/Person/737290", "ГКУ «ЦБЗ ПРИ МИНЗДРАВЕ КАРЕЛИИ»")</f>
        <v>ГКУ «ЦБЗ ПРИ МИНЗДРАВЕ КАРЕЛИИ»</v>
      </c>
      <c r="B8581" s="24" t="s">
        <v>312</v>
      </c>
      <c r="C8581" s="25">
        <v>57475.839999999997</v>
      </c>
      <c r="D8581" s="22" t="s">
        <v>12540</v>
      </c>
      <c r="E8581" s="22" t="s">
        <v>336</v>
      </c>
      <c r="F8581" s="23" t="str">
        <f>HYPERLINK("https://www.spark-marketing.ru/Card/Lot/72650442", "Поставка Специализированного продукта детского диетического (лечебного) питания Ликвиджен, для обеспечения отдельных категорий граждан, имеющих право на государственную социальную помощь в виде набора социальных услуг в 2019 году.")</f>
        <v>Поставка Специализированного продукта детского диетического (лечебного) питания Ликвиджен, для обеспечения отдельных категорий граждан, имеющих право на государственную социальную помощь в виде набора социальных услуг в 2019 году.</v>
      </c>
      <c r="G8581" s="22" t="s">
        <v>59</v>
      </c>
      <c r="H8581" s="22" t="s">
        <v>314</v>
      </c>
      <c r="I8581" s="26">
        <v>43684.432847222197</v>
      </c>
      <c r="J8581" s="23" t="str">
        <f>HYPERLINK("https://www.spark-marketing.ru/Card/Person/6492462", "ООО ""ОН.К""")</f>
        <v>ООО "ОН.К"</v>
      </c>
      <c r="K8581" s="24" t="s">
        <v>2173</v>
      </c>
      <c r="L8581" s="22" t="s">
        <v>10</v>
      </c>
      <c r="M8581" s="28" t="s">
        <v>51</v>
      </c>
      <c r="N8581" s="28" t="s">
        <v>51</v>
      </c>
    </row>
    <row r="8582" spans="1:14" x14ac:dyDescent="0.15">
      <c r="A8582" s="23" t="str">
        <f>HYPERLINK("https://www.spark-marketing.ru/Card/Person/1045192", "МБОУ ""МИСЦЕВСКАЯ ООШ № 2""")</f>
        <v>МБОУ "МИСЦЕВСКАЯ ООШ № 2"</v>
      </c>
      <c r="B8582" s="24" t="s">
        <v>1873</v>
      </c>
      <c r="C8582" s="25">
        <v>238920</v>
      </c>
      <c r="D8582" s="22" t="s">
        <v>12541</v>
      </c>
      <c r="E8582" s="22" t="s">
        <v>48</v>
      </c>
      <c r="F8582" s="23" t="str">
        <f>HYPERLINK("https://www.spark-marketing.ru/Card/Lot/72643726",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8582" s="22" t="s">
        <v>49</v>
      </c>
      <c r="H8582" s="22" t="s">
        <v>49</v>
      </c>
      <c r="I8582" s="26">
        <v>43684.451793981498</v>
      </c>
      <c r="J8582" s="28" t="s">
        <v>51</v>
      </c>
      <c r="K8582" s="28" t="s">
        <v>51</v>
      </c>
      <c r="L8582" s="28" t="s">
        <v>51</v>
      </c>
      <c r="M8582" s="28" t="s">
        <v>51</v>
      </c>
      <c r="N8582" s="28" t="s">
        <v>51</v>
      </c>
    </row>
    <row r="8583" spans="1:14" x14ac:dyDescent="0.15">
      <c r="A8583" s="23" t="str">
        <f>HYPERLINK("https://www.spark-marketing.ru/Card/Person/130832", "ОМВД РОССИИ ПО МОРКИНСКОМУ РАЙОНУ")</f>
        <v>ОМВД РОССИИ ПО МОРКИНСКОМУ РАЙОНУ</v>
      </c>
      <c r="B8583" s="24" t="s">
        <v>3252</v>
      </c>
      <c r="C8583" s="25">
        <v>147600</v>
      </c>
      <c r="D8583" s="22" t="s">
        <v>12542</v>
      </c>
      <c r="E8583" s="22" t="s">
        <v>96</v>
      </c>
      <c r="F8583" s="23" t="str">
        <f>HYPERLINK("https://www.spark-marketing.ru/Card/Lot/72643298", "Оказание услуг по организации питания (приготовлению и доставке), 492 шт")</f>
        <v>Оказание услуг по организации питания (приготовлению и доставке), 492 шт</v>
      </c>
      <c r="G8583" s="22" t="s">
        <v>3249</v>
      </c>
      <c r="H8583" s="22" t="s">
        <v>3254</v>
      </c>
      <c r="I8583" s="26">
        <v>43684.454618055599</v>
      </c>
      <c r="J8583" s="28" t="s">
        <v>51</v>
      </c>
      <c r="K8583" s="28" t="s">
        <v>51</v>
      </c>
      <c r="L8583" s="28" t="s">
        <v>51</v>
      </c>
      <c r="M8583" s="28" t="s">
        <v>51</v>
      </c>
      <c r="N8583" s="28" t="s">
        <v>51</v>
      </c>
    </row>
    <row r="8584" spans="1:14" x14ac:dyDescent="0.15">
      <c r="A8584" s="23" t="str">
        <f>HYPERLINK("https://www.spark-marketing.ru/Card/Person/1054488", "ОТДЕЛ МВД РОССИИ ПО БУТУРЛИНОВСКОМУ РАЙОНУ")</f>
        <v>ОТДЕЛ МВД РОССИИ ПО БУТУРЛИНОВСКОМУ РАЙОНУ</v>
      </c>
      <c r="B8584" s="24" t="s">
        <v>3786</v>
      </c>
      <c r="C8584" s="25">
        <v>211900</v>
      </c>
      <c r="D8584" s="22" t="s">
        <v>12543</v>
      </c>
      <c r="E8584" s="22" t="s">
        <v>96</v>
      </c>
      <c r="F8584" s="23" t="str">
        <f>HYPERLINK("https://www.spark-marketing.ru/Card/Lot/72641410", "Оказание услуг по организации питания (приготовлению и доставке), 815 шт")</f>
        <v>Оказание услуг по организации питания (приготовлению и доставке), 815 шт</v>
      </c>
      <c r="G8584" s="22" t="s">
        <v>82</v>
      </c>
      <c r="H8584" s="22" t="s">
        <v>3788</v>
      </c>
      <c r="I8584" s="26">
        <v>43684.421886574099</v>
      </c>
      <c r="J8584" s="28" t="s">
        <v>51</v>
      </c>
      <c r="K8584" s="28" t="s">
        <v>51</v>
      </c>
      <c r="L8584" s="28" t="s">
        <v>51</v>
      </c>
      <c r="M8584" s="28" t="s">
        <v>51</v>
      </c>
      <c r="N8584" s="28" t="s">
        <v>51</v>
      </c>
    </row>
    <row r="8585" spans="1:14" x14ac:dyDescent="0.15">
      <c r="A8585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8585" s="24" t="s">
        <v>11946</v>
      </c>
      <c r="C8585" s="25">
        <v>1485</v>
      </c>
      <c r="D8585" s="22" t="s">
        <v>12544</v>
      </c>
      <c r="E8585" s="22" t="s">
        <v>48</v>
      </c>
      <c r="F8585" s="23" t="str">
        <f>HYPERLINK("https://www.spark-marketing.ru/Card/Lot/72643121", "Оказание услуг по обеспечению горячим питанием, 1 усл. ед")</f>
        <v>Оказание услуг по обеспечению горячим питанием, 1 усл. ед</v>
      </c>
      <c r="G8585" s="22" t="s">
        <v>49</v>
      </c>
      <c r="H8585" s="22" t="s">
        <v>1613</v>
      </c>
      <c r="I8585" s="26">
        <v>43684.449930555602</v>
      </c>
      <c r="J8585" s="28" t="s">
        <v>51</v>
      </c>
      <c r="K8585" s="28" t="s">
        <v>51</v>
      </c>
      <c r="L8585" s="28" t="s">
        <v>51</v>
      </c>
      <c r="M8585" s="28" t="s">
        <v>51</v>
      </c>
      <c r="N8585" s="28" t="s">
        <v>51</v>
      </c>
    </row>
    <row r="8586" spans="1:14" x14ac:dyDescent="0.15">
      <c r="A8586" s="23" t="str">
        <f>HYPERLINK("https://www.spark-marketing.ru/Card/Person/125736", "МО МВД РОССИИ ""ПОЧЕПСКИЙ""")</f>
        <v>МО МВД РОССИИ "ПОЧЕПСКИЙ"</v>
      </c>
      <c r="B8586" s="24" t="s">
        <v>8829</v>
      </c>
      <c r="C8586" s="25">
        <v>2667000</v>
      </c>
      <c r="D8586" s="22" t="s">
        <v>12545</v>
      </c>
      <c r="E8586" s="22" t="s">
        <v>48</v>
      </c>
      <c r="F8586" s="23" t="str">
        <f>HYPERLINK("https://www.spark-marketing.ru/Card/Lot/72646115", "Услуги по приготовлению комплексного горячего питания")</f>
        <v>Услуги по приготовлению комплексного горячего питания</v>
      </c>
      <c r="G8586" s="22" t="s">
        <v>475</v>
      </c>
      <c r="H8586" s="22" t="s">
        <v>8831</v>
      </c>
      <c r="I8586" s="26">
        <v>43684.450532407398</v>
      </c>
      <c r="J8586" s="23" t="str">
        <f>HYPERLINK("https://www.spark-marketing.ru/Card/Person/5877695", "Цесарь Евгений Иванович")</f>
        <v>Цесарь Евгений Иванович</v>
      </c>
      <c r="K8586" s="24" t="s">
        <v>12546</v>
      </c>
      <c r="L8586" s="22" t="s">
        <v>10</v>
      </c>
      <c r="M8586" s="28" t="s">
        <v>51</v>
      </c>
      <c r="N8586" s="28" t="s">
        <v>51</v>
      </c>
    </row>
    <row r="8587" spans="1:14" x14ac:dyDescent="0.15">
      <c r="A8587" s="23" t="str">
        <f>HYPERLINK("https://www.spark-marketing.ru/Card/Person/148834", "ОГБУЗ ""СЫЧЕВСКАЯ ЦРБ""")</f>
        <v>ОГБУЗ "СЫЧЕВСКАЯ ЦРБ"</v>
      </c>
      <c r="B8587" s="24" t="s">
        <v>12547</v>
      </c>
      <c r="C8587" s="25">
        <v>188918</v>
      </c>
      <c r="D8587" s="22" t="s">
        <v>12548</v>
      </c>
      <c r="E8587" s="22" t="s">
        <v>62</v>
      </c>
      <c r="F8587" s="23" t="str">
        <f>HYPERLINK("https://www.spark-marketing.ru/Card/Lot/72643428", "3665-аэф_т Поставка бланочной продукции для нужд ОГБУЗ «Сычевская ЦРБ».")</f>
        <v>3665-аэф_т Поставка бланочной продукции для нужд ОГБУЗ «Сычевская ЦРБ».</v>
      </c>
      <c r="G8587" s="22" t="s">
        <v>460</v>
      </c>
      <c r="H8587" s="22" t="s">
        <v>12549</v>
      </c>
      <c r="I8587" s="26">
        <v>43684.390787037002</v>
      </c>
      <c r="J8587" s="28" t="s">
        <v>51</v>
      </c>
      <c r="K8587" s="28" t="s">
        <v>51</v>
      </c>
      <c r="L8587" s="28" t="s">
        <v>51</v>
      </c>
      <c r="M8587" s="28" t="s">
        <v>51</v>
      </c>
      <c r="N8587" s="28" t="s">
        <v>51</v>
      </c>
    </row>
    <row r="8588" spans="1:14" hidden="1" outlineLevel="1" x14ac:dyDescent="0.2">
      <c r="A8588" s="23" t="str">
        <f>HYPERLINK("https://www.spark-marketing.ru/Card/Person/148834", "ОГБУЗ ""СЫЧЕВСКАЯ ЦРБ""")</f>
        <v>ОГБУЗ "СЫЧЕВСКАЯ ЦРБ"</v>
      </c>
      <c r="B8588" s="24" t="s">
        <v>12547</v>
      </c>
      <c r="C8588" s="25">
        <v>188918</v>
      </c>
      <c r="D8588" s="22" t="s">
        <v>12548</v>
      </c>
      <c r="E8588" s="22" t="s">
        <v>62</v>
      </c>
      <c r="F8588" s="23" t="str">
        <f>HYPERLINK("https://www.spark-marketing.ru/Card/Lot/72643428", "3665-аэф_т Поставка бланочной продукции для нужд ОГБУЗ «Сычевская ЦРБ».")</f>
        <v>3665-аэф_т Поставка бланочной продукции для нужд ОГБУЗ «Сычевская ЦРБ».</v>
      </c>
      <c r="G8588" s="22" t="s">
        <v>460</v>
      </c>
      <c r="H8588" s="22" t="s">
        <v>12549</v>
      </c>
      <c r="I8588" s="26">
        <v>43684.390787037002</v>
      </c>
      <c r="J8588" s="23" t="str">
        <f>HYPERLINK("https://www.spark-marketing.ru/Card/Person/64428", "ООО ""ГИЛЬДИЯ МАСТЕРОВ""")</f>
        <v>ООО "ГИЛЬДИЯ МАСТЕРОВ"</v>
      </c>
      <c r="K8588" s="24" t="s">
        <v>9527</v>
      </c>
      <c r="L8588" s="28" t="s">
        <v>51</v>
      </c>
      <c r="M8588" s="25">
        <v>109055</v>
      </c>
      <c r="N8588" s="27">
        <v>0.42273896611228151</v>
      </c>
    </row>
    <row r="8589" spans="1:14" ht="12.75" hidden="1" outlineLevel="1" x14ac:dyDescent="0.2">
      <c r="A8589" s="23" t="str">
        <f>HYPERLINK("https://www.spark-marketing.ru/Card/Person/148834", "ОГБУЗ ""СЫЧЕВСКАЯ ЦРБ""")</f>
        <v>ОГБУЗ "СЫЧЕВСКАЯ ЦРБ"</v>
      </c>
      <c r="B8589" s="24" t="s">
        <v>12547</v>
      </c>
      <c r="C8589" s="25">
        <v>188918</v>
      </c>
      <c r="D8589" s="22" t="s">
        <v>12548</v>
      </c>
      <c r="E8589" s="22" t="s">
        <v>62</v>
      </c>
      <c r="F8589" s="23" t="str">
        <f>HYPERLINK("https://www.spark-marketing.ru/Card/Lot/72643428", "3665-аэф_т Поставка бланочной продукции для нужд ОГБУЗ «Сычевская ЦРБ».")</f>
        <v>3665-аэф_т Поставка бланочной продукции для нужд ОГБУЗ «Сычевская ЦРБ».</v>
      </c>
      <c r="G8589" s="22" t="s">
        <v>460</v>
      </c>
      <c r="H8589" s="22" t="s">
        <v>12549</v>
      </c>
      <c r="I8589" s="26">
        <v>43684.390787037002</v>
      </c>
      <c r="J8589" s="23" t="str">
        <f>HYPERLINK("https://www.spark-marketing.ru/Card/Person/503631", "Булохова Елена Николаевна")</f>
        <v>Булохова Елена Николаевна</v>
      </c>
      <c r="K8589" s="24" t="s">
        <v>12550</v>
      </c>
      <c r="L8589" s="22" t="s">
        <v>10</v>
      </c>
      <c r="M8589" s="25">
        <v>105000</v>
      </c>
      <c r="N8589" s="27">
        <v>0.44420330513767881</v>
      </c>
    </row>
    <row r="8590" spans="1:14" hidden="1" outlineLevel="1" x14ac:dyDescent="0.2">
      <c r="A8590" s="23" t="str">
        <f>HYPERLINK("https://www.spark-marketing.ru/Card/Person/148834", "ОГБУЗ ""СЫЧЕВСКАЯ ЦРБ""")</f>
        <v>ОГБУЗ "СЫЧЕВСКАЯ ЦРБ"</v>
      </c>
      <c r="B8590" s="24" t="s">
        <v>12547</v>
      </c>
      <c r="C8590" s="25">
        <v>188918</v>
      </c>
      <c r="D8590" s="22" t="s">
        <v>12548</v>
      </c>
      <c r="E8590" s="22" t="s">
        <v>62</v>
      </c>
      <c r="F8590" s="23" t="str">
        <f>HYPERLINK("https://www.spark-marketing.ru/Card/Lot/72643428", "3665-аэф_т Поставка бланочной продукции для нужд ОГБУЗ «Сычевская ЦРБ».")</f>
        <v>3665-аэф_т Поставка бланочной продукции для нужд ОГБУЗ «Сычевская ЦРБ».</v>
      </c>
      <c r="G8590" s="22" t="s">
        <v>460</v>
      </c>
      <c r="H8590" s="22" t="s">
        <v>12549</v>
      </c>
      <c r="I8590" s="26">
        <v>43684.390787037002</v>
      </c>
      <c r="J8590" s="23" t="str">
        <f>HYPERLINK("https://www.spark-marketing.ru/Card/Person/6631976", "ООО ""ТИПОГРАФИЯ ФОРМАТ""")</f>
        <v>ООО "ТИПОГРАФИЯ ФОРМАТ"</v>
      </c>
      <c r="K8590" s="24" t="s">
        <v>6193</v>
      </c>
      <c r="L8590" s="28" t="s">
        <v>51</v>
      </c>
      <c r="M8590" s="25">
        <v>129055.41</v>
      </c>
      <c r="N8590" s="27">
        <v>0.31687075874188803</v>
      </c>
    </row>
    <row r="8591" spans="1:14" x14ac:dyDescent="0.15">
      <c r="A8591" s="23" t="str">
        <f>HYPERLINK("https://www.spark-marketing.ru/Card/Person/5802", "ГУ-ПЕРМСКОЕ РО ФОНДА СОЦИАЛЬНОГО СТРАХОВАНИЯ РОССИЙСКОЙ ФЕДЕРАЦИИ")</f>
        <v>ГУ-ПЕРМСКОЕ РО ФОНДА СОЦИАЛЬНОГО СТРАХОВАНИЯ РОССИЙСКОЙ ФЕДЕРАЦИИ</v>
      </c>
      <c r="B8591" s="24" t="s">
        <v>12551</v>
      </c>
      <c r="C8591" s="25">
        <v>1510000.1</v>
      </c>
      <c r="D8591" s="22" t="s">
        <v>12552</v>
      </c>
      <c r="E8591" s="22" t="s">
        <v>91</v>
      </c>
      <c r="F8591" s="23" t="str">
        <f>HYPERLINK("https://www.spark-marketing.ru/Card/Lot/72639952", "Предоставление в 2019 году услуг по ремонту вычислительной техники с заменой запасных частей для нужд ГУ - Пермского регионального отделения Фонда социального страхования Российской Федерации")</f>
        <v>Предоставление в 2019 году услуг по ремонту вычислительной техники с заменой запасных частей для нужд ГУ - Пермского регионального отделения Фонда социального страхования Российской Федерации</v>
      </c>
      <c r="G8591" s="22" t="s">
        <v>153</v>
      </c>
      <c r="H8591" s="22" t="s">
        <v>3981</v>
      </c>
      <c r="I8591" s="26">
        <v>43684.412777777798</v>
      </c>
      <c r="J8591" s="23" t="str">
        <f>HYPERLINK("https://www.spark-marketing.ru/Card/Person/6431462", "ООО ""СПП""")</f>
        <v>ООО "СПП"</v>
      </c>
      <c r="K8591" s="24" t="s">
        <v>5306</v>
      </c>
      <c r="L8591" s="28" t="s">
        <v>51</v>
      </c>
      <c r="M8591" s="28" t="s">
        <v>51</v>
      </c>
      <c r="N8591" s="28" t="s">
        <v>51</v>
      </c>
    </row>
    <row r="8592" spans="1:14" ht="12.75" hidden="1" outlineLevel="1" x14ac:dyDescent="0.2">
      <c r="A8592" s="23" t="str">
        <f>HYPERLINK("https://www.spark-marketing.ru/Card/Person/5802", "ГУ-ПЕРМСКОЕ РО ФОНДА СОЦИАЛЬНОГО СТРАХОВАНИЯ РОССИЙСКОЙ ФЕДЕРАЦИИ")</f>
        <v>ГУ-ПЕРМСКОЕ РО ФОНДА СОЦИАЛЬНОГО СТРАХОВАНИЯ РОССИЙСКОЙ ФЕДЕРАЦИИ</v>
      </c>
      <c r="B8592" s="24" t="s">
        <v>12551</v>
      </c>
      <c r="C8592" s="25">
        <v>1510000.1</v>
      </c>
      <c r="D8592" s="22" t="s">
        <v>12552</v>
      </c>
      <c r="E8592" s="22" t="s">
        <v>91</v>
      </c>
      <c r="F8592" s="23" t="str">
        <f>HYPERLINK("https://www.spark-marketing.ru/Card/Lot/72639952", "Предоставление в 2019 году услуг по ремонту вычислительной техники с заменой запасных частей для нужд ГУ - Пермского регионального отделения Фонда социального страхования Российской Федерации")</f>
        <v>Предоставление в 2019 году услуг по ремонту вычислительной техники с заменой запасных частей для нужд ГУ - Пермского регионального отделения Фонда социального страхования Российской Федерации</v>
      </c>
      <c r="G8592" s="22" t="s">
        <v>153</v>
      </c>
      <c r="H8592" s="22" t="s">
        <v>3981</v>
      </c>
      <c r="I8592" s="26">
        <v>43684.412777777798</v>
      </c>
      <c r="J8592" s="23" t="str">
        <f>HYPERLINK("https://www.spark-marketing.ru/Card/Person/6431462", "ООО ""СПП""")</f>
        <v>ООО "СПП"</v>
      </c>
      <c r="K8592" s="24" t="s">
        <v>5306</v>
      </c>
      <c r="L8592" s="22" t="s">
        <v>10</v>
      </c>
      <c r="M8592" s="25">
        <v>1502450.09</v>
      </c>
      <c r="N8592" s="27">
        <v>5.0000062913903116E-3</v>
      </c>
    </row>
    <row r="8593" spans="1:14" x14ac:dyDescent="0.15">
      <c r="A8593" s="23" t="str">
        <f>HYPERLINK("https://www.spark-marketing.ru/Card/Person/78997", "МБОУ СОШ № 4")</f>
        <v>МБОУ СОШ № 4</v>
      </c>
      <c r="B8593" s="24" t="s">
        <v>12553</v>
      </c>
      <c r="C8593" s="25">
        <v>1638776</v>
      </c>
      <c r="D8593" s="22" t="s">
        <v>12554</v>
      </c>
      <c r="E8593" s="22" t="s">
        <v>48</v>
      </c>
      <c r="F8593" s="23" t="str">
        <f>HYPERLINK("https://www.spark-marketing.ru/Card/Lot/72638465", "Оказание услуг для нужд Заказчика по организации питания учащихся")</f>
        <v>Оказание услуг для нужд Заказчика по организации питания учащихся</v>
      </c>
      <c r="G8593" s="22" t="s">
        <v>543</v>
      </c>
      <c r="H8593" s="22" t="s">
        <v>1052</v>
      </c>
      <c r="I8593" s="26">
        <v>43684.410474536999</v>
      </c>
      <c r="J8593" s="28" t="s">
        <v>51</v>
      </c>
      <c r="K8593" s="28" t="s">
        <v>51</v>
      </c>
      <c r="L8593" s="28" t="s">
        <v>51</v>
      </c>
      <c r="M8593" s="28" t="s">
        <v>51</v>
      </c>
      <c r="N8593" s="28" t="s">
        <v>51</v>
      </c>
    </row>
    <row r="8594" spans="1:14" ht="12.75" x14ac:dyDescent="0.2">
      <c r="A8594" s="23" t="str">
        <f>HYPERLINK("https://www.spark-marketing.ru/Card/Person/119925", "ГУЗ ""ЧИТИНСКАЯ ЦРБ""")</f>
        <v>ГУЗ "ЧИТИНСКАЯ ЦРБ"</v>
      </c>
      <c r="B8594" s="24" t="s">
        <v>392</v>
      </c>
      <c r="C8594" s="25">
        <v>480000</v>
      </c>
      <c r="D8594" s="22" t="s">
        <v>12555</v>
      </c>
      <c r="E8594" s="22" t="s">
        <v>48</v>
      </c>
      <c r="F8594" s="23" t="str">
        <f>HYPERLINK("https://www.spark-marketing.ru/Card/Lot/72643489", "Оказание услуг по организации лечебно-профилактического питания для пациентов в стационаре Верх Читинской участковой больницы (9126-ЗКвЭФ)")</f>
        <v>Оказание услуг по организации лечебно-профилактического питания для пациентов в стационаре Верх Читинской участковой больницы (9126-ЗКвЭФ)</v>
      </c>
      <c r="G8594" s="22" t="s">
        <v>228</v>
      </c>
      <c r="H8594" s="22" t="s">
        <v>394</v>
      </c>
      <c r="I8594" s="26">
        <v>43684.581608796303</v>
      </c>
      <c r="J8594" s="23" t="str">
        <f>HYPERLINK("https://www.spark-marketing.ru/Card/Person/6317760", "Базарова Вера Бальжинимаевна")</f>
        <v>Базарова Вера Бальжинимаевна</v>
      </c>
      <c r="K8594" s="24" t="s">
        <v>12556</v>
      </c>
      <c r="L8594" s="22" t="s">
        <v>10</v>
      </c>
      <c r="M8594" s="25">
        <v>480000</v>
      </c>
      <c r="N8594" s="27">
        <v>0</v>
      </c>
    </row>
    <row r="8595" spans="1:14" x14ac:dyDescent="0.15">
      <c r="A8595" s="23" t="str">
        <f>HYPERLINK("https://www.spark-marketing.ru/Card/Person/6158145", "МИНТРУДА И СОЦРАЗВИТИЯ НСО")</f>
        <v>МИНТРУДА И СОЦРАЗВИТИЯ НСО</v>
      </c>
      <c r="B8595" s="24" t="s">
        <v>977</v>
      </c>
      <c r="C8595" s="25">
        <v>1519000</v>
      </c>
      <c r="D8595" s="22" t="s">
        <v>12557</v>
      </c>
      <c r="E8595" s="22" t="s">
        <v>51</v>
      </c>
      <c r="F8595" s="23" t="str">
        <f>HYPERLINK("https://www.spark-marketing.ru/Card/Lot/72638438", "Оказание услуг по санаторно-курортному лечению ветеранов труда, количество путевок - 70 шт., с заболеваниями сердечно-сосудистой системы, расстройством питания и нарушением обмена веществ")</f>
        <v>Оказание услуг по санаторно-курортному лечению ветеранов труда, количество путевок - 70 шт., с заболеваниями сердечно-сосудистой системы, расстройством питания и нарушением обмена веществ</v>
      </c>
      <c r="G8595" s="22" t="s">
        <v>195</v>
      </c>
      <c r="H8595" s="22" t="s">
        <v>196</v>
      </c>
      <c r="I8595" s="26">
        <v>43684.342615740701</v>
      </c>
      <c r="J8595" s="23" t="str">
        <f>HYPERLINK("https://www.spark-marketing.ru/Card/Person/6225005", "ООО ""ПАРУС-РЕЗОРТ""")</f>
        <v>ООО "ПАРУС-РЕЗОРТ"</v>
      </c>
      <c r="K8595" s="24" t="s">
        <v>12558</v>
      </c>
      <c r="L8595" s="22" t="s">
        <v>10</v>
      </c>
      <c r="M8595" s="28" t="s">
        <v>51</v>
      </c>
      <c r="N8595" s="28" t="s">
        <v>51</v>
      </c>
    </row>
    <row r="8596" spans="1:14" x14ac:dyDescent="0.15">
      <c r="A8596" s="23" t="str">
        <f>HYPERLINK("https://www.spark-marketing.ru/Card/Person/34726", "УПРАВЛЕНИЕ МВД РОССИИ ПО Г. РОСТОВУ-НА-ДОНУ")</f>
        <v>УПРАВЛЕНИЕ МВД РОССИИ ПО Г. РОСТОВУ-НА-ДОНУ</v>
      </c>
      <c r="B8596" s="24" t="s">
        <v>7139</v>
      </c>
      <c r="C8596" s="25">
        <v>800002.14</v>
      </c>
      <c r="D8596" s="22" t="s">
        <v>12559</v>
      </c>
      <c r="E8596" s="22" t="s">
        <v>48</v>
      </c>
      <c r="F8596" s="23" t="str">
        <f>HYPERLINK("https://www.spark-marketing.ru/Card/Lot/72645095", "Оказание услуг по обеспечению бесперебойным ежедневным трехразовым горячим питанием (порционно в одноразовой посуде с пластиковыми приборами для принятия пищи) лиц, задержанных за административные правонарушения на срок более трех часов и содержащихс...")</f>
        <v>Оказание услуг по обеспечению бесперебойным ежедневным трехразовым горячим питанием (порционно в одноразовой посуде с пластиковыми приборами для принятия пищи) лиц, задержанных за административные правонарушения на срок более трех часов и содержащихс...</v>
      </c>
      <c r="G8596" s="22" t="s">
        <v>267</v>
      </c>
      <c r="H8596" s="22" t="s">
        <v>590</v>
      </c>
      <c r="I8596" s="26">
        <v>43684.374884259298</v>
      </c>
      <c r="J8596" s="28" t="s">
        <v>51</v>
      </c>
      <c r="K8596" s="28" t="s">
        <v>51</v>
      </c>
      <c r="L8596" s="28" t="s">
        <v>51</v>
      </c>
      <c r="M8596" s="28" t="s">
        <v>51</v>
      </c>
      <c r="N8596" s="28" t="s">
        <v>51</v>
      </c>
    </row>
    <row r="8597" spans="1:14" x14ac:dyDescent="0.15">
      <c r="A8597" s="23" t="str">
        <f>HYPERLINK("https://www.spark-marketing.ru/Card/Person/6158145", "МИНТРУДА И СОЦРАЗВИТИЯ НСО")</f>
        <v>МИНТРУДА И СОЦРАЗВИТИЯ НСО</v>
      </c>
      <c r="B8597" s="24" t="s">
        <v>977</v>
      </c>
      <c r="C8597" s="25">
        <v>1085000</v>
      </c>
      <c r="D8597" s="22" t="s">
        <v>12560</v>
      </c>
      <c r="E8597" s="22" t="s">
        <v>51</v>
      </c>
      <c r="F8597" s="23" t="str">
        <f>HYPERLINK("https://www.spark-marketing.ru/Card/Lot/72638437", "Оказание услуг по санаторно-курортному лечению ветеранов труда, количество путевок - 50 шт., с заболеваниями сердечно-сосудистой системы, расстройством питания и нарушением обмена веществ")</f>
        <v>Оказание услуг по санаторно-курортному лечению ветеранов труда, количество путевок - 50 шт., с заболеваниями сердечно-сосудистой системы, расстройством питания и нарушением обмена веществ</v>
      </c>
      <c r="G8597" s="22" t="s">
        <v>195</v>
      </c>
      <c r="H8597" s="22" t="s">
        <v>196</v>
      </c>
      <c r="I8597" s="26">
        <v>43684.340729166703</v>
      </c>
      <c r="J8597" s="23" t="str">
        <f>HYPERLINK("https://www.spark-marketing.ru/Card/Person/104049", "ЗАО ""ЛАЗУРНЫЙ""; ЗАО ""САНАТОРИЙ ""ЛАЗУРНЫЙ""")</f>
        <v>ЗАО "ЛАЗУРНЫЙ"; ЗАО "САНАТОРИЙ "ЛАЗУРНЫЙ"</v>
      </c>
      <c r="K8597" s="24" t="s">
        <v>5616</v>
      </c>
      <c r="L8597" s="22" t="s">
        <v>10</v>
      </c>
      <c r="M8597" s="28" t="s">
        <v>51</v>
      </c>
      <c r="N8597" s="28" t="s">
        <v>51</v>
      </c>
    </row>
    <row r="8598" spans="1:14" x14ac:dyDescent="0.15">
      <c r="A8598" s="23" t="str">
        <f>HYPERLINK("https://www.spark-marketing.ru/Card/Person/310312", "ОМВД РОССИИ ПО ВЕРХНЕКАМСКОМУ РАЙОНУ")</f>
        <v>ОМВД РОССИИ ПО ВЕРХНЕКАМСКОМУ РАЙОНУ</v>
      </c>
      <c r="B8598" s="24" t="s">
        <v>12561</v>
      </c>
      <c r="C8598" s="25">
        <v>66368</v>
      </c>
      <c r="D8598" s="22" t="s">
        <v>12562</v>
      </c>
      <c r="E8598" s="22" t="s">
        <v>48</v>
      </c>
      <c r="F8598" s="23" t="str">
        <f>HYPERLINK("https://www.spark-marketing.ru/Card/Lot/72642017", "Поставка сухого пайка (в рамках государственного оборонного заказа)")</f>
        <v>Поставка сухого пайка (в рамках государственного оборонного заказа)</v>
      </c>
      <c r="G8598" s="22" t="s">
        <v>224</v>
      </c>
      <c r="H8598" s="22" t="s">
        <v>4051</v>
      </c>
      <c r="I8598" s="26">
        <v>43684.345648148097</v>
      </c>
      <c r="J8598" s="23" t="str">
        <f>HYPERLINK("https://www.spark-marketing.ru/Card/Person/68738", "ООО ТД ""КРАСНОГОРСКИЙ""")</f>
        <v>ООО ТД "КРАСНОГОРСКИЙ"</v>
      </c>
      <c r="K8598" s="24" t="s">
        <v>12563</v>
      </c>
      <c r="L8598" s="22" t="s">
        <v>10</v>
      </c>
      <c r="M8598" s="28" t="s">
        <v>51</v>
      </c>
      <c r="N8598" s="28" t="s">
        <v>51</v>
      </c>
    </row>
    <row r="8599" spans="1:14" x14ac:dyDescent="0.15">
      <c r="A8599" s="23" t="str">
        <f>HYPERLINK("https://www.spark-marketing.ru/Card/Person/123716", "МОУ ТЕМПОВСКАЯ ООШ")</f>
        <v>МОУ ТЕМПОВСКАЯ ООШ</v>
      </c>
      <c r="B8599" s="24" t="s">
        <v>1040</v>
      </c>
      <c r="C8599" s="25">
        <v>420772.48</v>
      </c>
      <c r="D8599" s="22" t="s">
        <v>12564</v>
      </c>
      <c r="E8599" s="22" t="s">
        <v>48</v>
      </c>
      <c r="F8599" s="23" t="str">
        <f>HYPERLINK("https://www.spark-marketing.ru/Card/Lot/72643356", "Оказание услуг по организации горячего питания учащимся МОУ Темповская ООШ с 01.09.2019 по 30.11.2019 гг")</f>
        <v>Оказание услуг по организации горячего питания учащимся МОУ Темповская ООШ с 01.09.2019 по 30.11.2019 гг</v>
      </c>
      <c r="G8599" s="22" t="s">
        <v>49</v>
      </c>
      <c r="H8599" s="22" t="s">
        <v>49</v>
      </c>
      <c r="I8599" s="26">
        <v>43684.361365740697</v>
      </c>
      <c r="J8599" s="28" t="s">
        <v>51</v>
      </c>
      <c r="K8599" s="28" t="s">
        <v>51</v>
      </c>
      <c r="L8599" s="28" t="s">
        <v>51</v>
      </c>
      <c r="M8599" s="28" t="s">
        <v>51</v>
      </c>
      <c r="N8599" s="28" t="s">
        <v>51</v>
      </c>
    </row>
    <row r="8600" spans="1:14" ht="12.75" hidden="1" outlineLevel="1" x14ac:dyDescent="0.2">
      <c r="A8600" s="23" t="str">
        <f>HYPERLINK("https://www.spark-marketing.ru/Card/Person/123716", "МОУ ТЕМПОВСКАЯ ООШ")</f>
        <v>МОУ ТЕМПОВСКАЯ ООШ</v>
      </c>
      <c r="B8600" s="24" t="s">
        <v>1040</v>
      </c>
      <c r="C8600" s="25">
        <v>420772.48</v>
      </c>
      <c r="D8600" s="22" t="s">
        <v>12564</v>
      </c>
      <c r="E8600" s="22" t="s">
        <v>48</v>
      </c>
      <c r="F8600" s="23" t="str">
        <f>HYPERLINK("https://www.spark-marketing.ru/Card/Lot/72643356", "Оказание услуг по организации горячего питания учащимся МОУ Темповская ООШ с 01.09.2019 по 30.11.2019 гг")</f>
        <v>Оказание услуг по организации горячего питания учащимся МОУ Темповская ООШ с 01.09.2019 по 30.11.2019 гг</v>
      </c>
      <c r="G8600" s="22" t="s">
        <v>49</v>
      </c>
      <c r="H8600" s="22" t="s">
        <v>49</v>
      </c>
      <c r="I8600" s="26">
        <v>43684.361365740697</v>
      </c>
      <c r="J8600" s="23" t="str">
        <f>HYPERLINK("https://www.spark-marketing.ru/Card/Person/75516", "ООО ""КОНЦЕПТ""")</f>
        <v>ООО "КОНЦЕПТ"</v>
      </c>
      <c r="K8600" s="24" t="s">
        <v>1717</v>
      </c>
      <c r="L8600" s="22" t="s">
        <v>10</v>
      </c>
      <c r="M8600" s="25">
        <v>382852.62</v>
      </c>
      <c r="N8600" s="27">
        <v>9.0119629496681911E-2</v>
      </c>
    </row>
    <row r="8601" spans="1:14" hidden="1" outlineLevel="1" x14ac:dyDescent="0.2">
      <c r="A8601" s="23" t="str">
        <f>HYPERLINK("https://www.spark-marketing.ru/Card/Person/123716", "МОУ ТЕМПОВСКАЯ ООШ")</f>
        <v>МОУ ТЕМПОВСКАЯ ООШ</v>
      </c>
      <c r="B8601" s="24" t="s">
        <v>1040</v>
      </c>
      <c r="C8601" s="25">
        <v>420772.48</v>
      </c>
      <c r="D8601" s="22" t="s">
        <v>12564</v>
      </c>
      <c r="E8601" s="22" t="s">
        <v>48</v>
      </c>
      <c r="F8601" s="23" t="str">
        <f>HYPERLINK("https://www.spark-marketing.ru/Card/Lot/72643356", "Оказание услуг по организации горячего питания учащимся МОУ Темповская ООШ с 01.09.2019 по 30.11.2019 гг")</f>
        <v>Оказание услуг по организации горячего питания учащимся МОУ Темповская ООШ с 01.09.2019 по 30.11.2019 гг</v>
      </c>
      <c r="G8601" s="22" t="s">
        <v>49</v>
      </c>
      <c r="H8601" s="22" t="s">
        <v>49</v>
      </c>
      <c r="I8601" s="26">
        <v>43684.361365740697</v>
      </c>
      <c r="J8601" s="23" t="str">
        <f>HYPERLINK("https://www.spark-marketing.ru/Card/Person/31262", "ООО ""АЛЬЯНС""")</f>
        <v>ООО "АЛЬЯНС"</v>
      </c>
      <c r="K8601" s="24" t="s">
        <v>1718</v>
      </c>
      <c r="L8601" s="28" t="s">
        <v>51</v>
      </c>
      <c r="M8601" s="25">
        <v>389214.43</v>
      </c>
      <c r="N8601" s="27">
        <v>7.5000270930266164E-2</v>
      </c>
    </row>
    <row r="8602" spans="1:14" x14ac:dyDescent="0.15">
      <c r="A8602" s="23" t="str">
        <f>HYPERLINK("https://www.spark-marketing.ru/Card/Person/8106", "КГБУЗ КРАЕВАЯ КЛИНИЧЕСКАЯ БОЛЬНИЦА")</f>
        <v>КГБУЗ КРАЕВАЯ КЛИНИЧЕСКАЯ БОЛЬНИЦА</v>
      </c>
      <c r="B8602" s="24" t="s">
        <v>12206</v>
      </c>
      <c r="C8602" s="25">
        <v>1100</v>
      </c>
      <c r="D8602" s="22" t="s">
        <v>12565</v>
      </c>
      <c r="E8602" s="22" t="s">
        <v>7386</v>
      </c>
      <c r="F8602" s="23" t="str">
        <f>HYPERLINK("https://www.spark-marketing.ru/Card/Lot/72639408",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8602" s="22" t="s">
        <v>63</v>
      </c>
      <c r="H8602" s="22" t="s">
        <v>177</v>
      </c>
      <c r="I8602" s="26">
        <v>43684.320138888899</v>
      </c>
      <c r="J8602" s="28" t="s">
        <v>51</v>
      </c>
      <c r="K8602" s="28" t="s">
        <v>51</v>
      </c>
      <c r="L8602" s="28" t="s">
        <v>51</v>
      </c>
      <c r="M8602" s="28" t="s">
        <v>51</v>
      </c>
      <c r="N8602" s="28" t="s">
        <v>51</v>
      </c>
    </row>
    <row r="8603" spans="1:14" x14ac:dyDescent="0.15">
      <c r="A8603" s="23" t="str">
        <f>HYPERLINK("https://www.spark-marketing.ru/Card/Person/8106", "КГБУЗ КРАЕВАЯ КЛИНИЧЕСКАЯ БОЛЬНИЦА")</f>
        <v>КГБУЗ КРАЕВАЯ КЛИНИЧЕСКАЯ БОЛЬНИЦА</v>
      </c>
      <c r="B8603" s="24" t="s">
        <v>12206</v>
      </c>
      <c r="C8603" s="25">
        <v>265950</v>
      </c>
      <c r="D8603" s="22" t="s">
        <v>12566</v>
      </c>
      <c r="E8603" s="22" t="s">
        <v>809</v>
      </c>
      <c r="F8603" s="23" t="str">
        <f>HYPERLINK("https://www.spark-marketing.ru/Card/Lot/72638964",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8603" s="22" t="s">
        <v>63</v>
      </c>
      <c r="H8603" s="22" t="s">
        <v>177</v>
      </c>
      <c r="I8603" s="26">
        <v>43684.297916666699</v>
      </c>
      <c r="J8603" s="28" t="s">
        <v>51</v>
      </c>
      <c r="K8603" s="28" t="s">
        <v>51</v>
      </c>
      <c r="L8603" s="28" t="s">
        <v>51</v>
      </c>
      <c r="M8603" s="28" t="s">
        <v>51</v>
      </c>
      <c r="N8603" s="28" t="s">
        <v>51</v>
      </c>
    </row>
    <row r="8604" spans="1:14" x14ac:dyDescent="0.2">
      <c r="A8604" s="23" t="str">
        <f>HYPERLINK("https://www.spark-marketing.ru/Card/Person/1753475", "МАОУ ""ТОХТУЕВСКАЯ СОШ""")</f>
        <v>МАОУ "ТОХТУЕВСКАЯ СОШ"</v>
      </c>
      <c r="B8604" s="24" t="s">
        <v>12567</v>
      </c>
      <c r="C8604" s="25">
        <v>2619749.6</v>
      </c>
      <c r="D8604" s="22" t="s">
        <v>12568</v>
      </c>
      <c r="E8604" s="22" t="s">
        <v>362</v>
      </c>
      <c r="F8604" s="23" t="str">
        <f>HYPERLINK("https://www.spark-marketing.ru/Card/Lot/72652473", "Оказание услуг по организации горячего питания")</f>
        <v>Оказание услуг по организации горячего питания</v>
      </c>
      <c r="G8604" s="22" t="s">
        <v>153</v>
      </c>
      <c r="H8604" s="22" t="s">
        <v>153</v>
      </c>
      <c r="I8604" s="26">
        <v>43684</v>
      </c>
      <c r="J8604" s="28" t="s">
        <v>51</v>
      </c>
      <c r="K8604" s="28" t="s">
        <v>51</v>
      </c>
      <c r="L8604" s="22" t="s">
        <v>10</v>
      </c>
      <c r="M8604" s="25">
        <v>2619749.6</v>
      </c>
      <c r="N8604" s="27">
        <v>0</v>
      </c>
    </row>
    <row r="8605" spans="1:14" x14ac:dyDescent="0.2">
      <c r="A8605" s="23" t="str">
        <f>HYPERLINK("https://www.spark-marketing.ru/Card/Person/67196", "МАОУ ГИМНАЗИЯ № 3 Г. ЮЖНО-САХАЛИНСКА")</f>
        <v>МАОУ ГИМНАЗИЯ № 3 Г. ЮЖНО-САХАЛИНСКА</v>
      </c>
      <c r="B8605" s="24" t="s">
        <v>12569</v>
      </c>
      <c r="C8605" s="25">
        <v>5627024</v>
      </c>
      <c r="D8605" s="22" t="s">
        <v>12570</v>
      </c>
      <c r="E8605" s="22" t="s">
        <v>580</v>
      </c>
      <c r="F8605" s="23" t="str">
        <f>HYPERLINK("https://www.spark-marketing.ru/Card/Lot/72645666", "оказание услуг МАОУ Гимназия № 3 г. Южно-Сахалинска по организации питания обучающихся, реализующих образовательные программы начального общего образования, и обучающихся с ограниченными возможностями здоровья находящихся под присмотром в группах про...")</f>
        <v>оказание услуг МАОУ Гимназия № 3 г. Южно-Сахалинска по организации питания обучающихся, реализующих образовательные программы начального общего образования, и обучающихся с ограниченными возможностями здоровья находящихся под присмотром в группах про...</v>
      </c>
      <c r="G8605" s="22" t="s">
        <v>260</v>
      </c>
      <c r="H8605" s="22" t="s">
        <v>260</v>
      </c>
      <c r="I8605" s="26">
        <v>43684</v>
      </c>
      <c r="J8605" s="28" t="s">
        <v>51</v>
      </c>
      <c r="K8605" s="28" t="s">
        <v>51</v>
      </c>
      <c r="L8605" s="22" t="s">
        <v>10</v>
      </c>
      <c r="M8605" s="25">
        <v>5627024</v>
      </c>
      <c r="N8605" s="27">
        <v>0</v>
      </c>
    </row>
    <row r="8606" spans="1:14" x14ac:dyDescent="0.2">
      <c r="A8606" s="23" t="str">
        <f>HYPERLINK("https://www.spark-marketing.ru/Card/Person/4352750", "ФИЦ ""НЕМЧИНОВКА""")</f>
        <v>ФИЦ "НЕМЧИНОВКА"</v>
      </c>
      <c r="B8606" s="24" t="s">
        <v>12571</v>
      </c>
      <c r="C8606" s="25">
        <v>200000</v>
      </c>
      <c r="D8606" s="22" t="s">
        <v>12572</v>
      </c>
      <c r="E8606" s="22" t="s">
        <v>362</v>
      </c>
      <c r="F8606" s="23" t="str">
        <f>HYPERLINK("https://www.spark-marketing.ru/Card/Lot/72659731", "Оказание услуг по организации питания работников в периоды уборочной для нужд Федерального государственного бюджетного научного учреждения «Федеральный исследовательский центр «Немчиновка»")</f>
        <v>Оказание услуг по организации питания работников в периоды уборочной для нужд Федерального государственного бюджетного научного учреждения «Федеральный исследовательский центр «Немчиновка»</v>
      </c>
      <c r="G8606" s="22" t="s">
        <v>49</v>
      </c>
      <c r="H8606" s="22" t="s">
        <v>577</v>
      </c>
      <c r="I8606" s="26">
        <v>43684</v>
      </c>
      <c r="J8606" s="28" t="s">
        <v>51</v>
      </c>
      <c r="K8606" s="28" t="s">
        <v>51</v>
      </c>
      <c r="L8606" s="22" t="s">
        <v>10</v>
      </c>
      <c r="M8606" s="25">
        <v>184000</v>
      </c>
      <c r="N8606" s="27">
        <v>0.08</v>
      </c>
    </row>
    <row r="8607" spans="1:14" x14ac:dyDescent="0.2">
      <c r="A8607" s="23" t="str">
        <f>HYPERLINK("https://www.spark-marketing.ru/Card/Person/1755523", "МАОУ СОШ № 10")</f>
        <v>МАОУ СОШ № 10</v>
      </c>
      <c r="B8607" s="24" t="s">
        <v>10981</v>
      </c>
      <c r="C8607" s="25">
        <v>1328188.1599999999</v>
      </c>
      <c r="D8607" s="22" t="s">
        <v>12573</v>
      </c>
      <c r="E8607" s="22" t="s">
        <v>362</v>
      </c>
      <c r="F8607" s="23" t="str">
        <f>HYPERLINK("https://www.spark-marketing.ru/Card/Lot/72657991", "Оказание услуги по организации горячего питания обучающихся из малоимущих семей и многодетных малоимущих семей, детей с ограниченными возможностями здоровья (ОВЗ), осваивающих образовательную программу начального, основного и среднего общего образова...")</f>
        <v>Оказание услуги по организации горячего питания обучающихся из малоимущих семей и многодетных малоимущих семей, детей с ограниченными возможностями здоровья (ОВЗ), осваивающих образовательную программу начального, основного и среднего общего образова...</v>
      </c>
      <c r="G8607" s="22" t="s">
        <v>153</v>
      </c>
      <c r="H8607" s="22" t="s">
        <v>153</v>
      </c>
      <c r="I8607" s="26">
        <v>43684</v>
      </c>
      <c r="J8607" s="28" t="s">
        <v>51</v>
      </c>
      <c r="K8607" s="28" t="s">
        <v>51</v>
      </c>
      <c r="L8607" s="22" t="s">
        <v>10</v>
      </c>
      <c r="M8607" s="25">
        <v>1257280</v>
      </c>
      <c r="N8607" s="27">
        <v>5.3387134545755929E-2</v>
      </c>
    </row>
    <row r="8608" spans="1:14" x14ac:dyDescent="0.2">
      <c r="A8608" s="23" t="str">
        <f>HYPERLINK("https://www.spark-marketing.ru/Card/Person/1758128", "МАДОУ ""ТОХТУЕВСКИЙ ДЕТСКИЙ САД""")</f>
        <v>МАДОУ "ТОХТУЕВСКИЙ ДЕТСКИЙ САД"</v>
      </c>
      <c r="B8608" s="24" t="s">
        <v>12574</v>
      </c>
      <c r="C8608" s="25">
        <v>4933500</v>
      </c>
      <c r="D8608" s="22" t="s">
        <v>12575</v>
      </c>
      <c r="E8608" s="22" t="s">
        <v>362</v>
      </c>
      <c r="F8608" s="23" t="str">
        <f>HYPERLINK("https://www.spark-marketing.ru/Card/Lot/72650786", "Оказание услуг по организации горячего питания")</f>
        <v>Оказание услуг по организации горячего питания</v>
      </c>
      <c r="G8608" s="22" t="s">
        <v>153</v>
      </c>
      <c r="H8608" s="22" t="s">
        <v>153</v>
      </c>
      <c r="I8608" s="26">
        <v>43684</v>
      </c>
      <c r="J8608" s="28" t="s">
        <v>51</v>
      </c>
      <c r="K8608" s="28" t="s">
        <v>51</v>
      </c>
      <c r="L8608" s="22" t="s">
        <v>10</v>
      </c>
      <c r="M8608" s="25">
        <v>4933500</v>
      </c>
      <c r="N8608" s="27">
        <v>0</v>
      </c>
    </row>
    <row r="8609" spans="1:14" x14ac:dyDescent="0.2">
      <c r="A8609" s="23" t="str">
        <f>HYPERLINK("https://www.spark-marketing.ru/Card/Person/2245342", "МАОУ БАННИКОВСКАЯ СОШ")</f>
        <v>МАОУ БАННИКОВСКАЯ СОШ</v>
      </c>
      <c r="B8609" s="24" t="s">
        <v>12576</v>
      </c>
      <c r="C8609" s="25">
        <v>2577374.7000000002</v>
      </c>
      <c r="D8609" s="22" t="s">
        <v>12577</v>
      </c>
      <c r="E8609" s="22" t="s">
        <v>362</v>
      </c>
      <c r="F8609" s="23" t="str">
        <f>HYPERLINK("https://www.spark-marketing.ru/Card/Lot/72647876", "Оказание услуг по организации горячего питания обучающихся")</f>
        <v>Оказание услуг по организации горячего питания обучающихся</v>
      </c>
      <c r="G8609" s="22" t="s">
        <v>766</v>
      </c>
      <c r="H8609" s="22" t="s">
        <v>766</v>
      </c>
      <c r="I8609" s="26">
        <v>43684</v>
      </c>
      <c r="J8609" s="28" t="s">
        <v>51</v>
      </c>
      <c r="K8609" s="28" t="s">
        <v>51</v>
      </c>
      <c r="L8609" s="22" t="s">
        <v>10</v>
      </c>
      <c r="M8609" s="25">
        <v>2577000</v>
      </c>
      <c r="N8609" s="27">
        <v>1.4538049124172749E-4</v>
      </c>
    </row>
    <row r="8610" spans="1:14" x14ac:dyDescent="0.15">
      <c r="A8610" s="23" t="str">
        <f>HYPERLINK("https://www.spark-marketing.ru/Card/Person/4349470", "МАОУ ""СОШ № 1"" Г. ЧЕБОКСАРЫ")</f>
        <v>МАОУ "СОШ № 1" Г. ЧЕБОКСАРЫ</v>
      </c>
      <c r="B8610" s="24" t="s">
        <v>12578</v>
      </c>
      <c r="C8610" s="25">
        <v>499870</v>
      </c>
      <c r="D8610" s="22" t="s">
        <v>12579</v>
      </c>
      <c r="E8610" s="22" t="s">
        <v>362</v>
      </c>
      <c r="F8610" s="23" t="str">
        <f>HYPERLINK("https://www.spark-marketing.ru/Card/Lot/72655077", "Оказание услуги по организации льготного горячего питания")</f>
        <v>Оказание услуги по организации льготного горячего питания</v>
      </c>
      <c r="G8610" s="22" t="s">
        <v>618</v>
      </c>
      <c r="H8610" s="22" t="s">
        <v>618</v>
      </c>
      <c r="I8610" s="26">
        <v>43684</v>
      </c>
      <c r="J8610" s="28" t="s">
        <v>51</v>
      </c>
      <c r="K8610" s="28" t="s">
        <v>51</v>
      </c>
      <c r="L8610" s="28" t="s">
        <v>51</v>
      </c>
      <c r="M8610" s="28" t="s">
        <v>51</v>
      </c>
      <c r="N8610" s="28" t="s">
        <v>51</v>
      </c>
    </row>
    <row r="8611" spans="1:14" x14ac:dyDescent="0.2">
      <c r="A8611" s="23" t="str">
        <f>HYPERLINK("https://www.spark-marketing.ru/Card/Person/2245342", "МАОУ БАННИКОВСКАЯ СОШ")</f>
        <v>МАОУ БАННИКОВСКАЯ СОШ</v>
      </c>
      <c r="B8611" s="24" t="s">
        <v>12576</v>
      </c>
      <c r="C8611" s="25">
        <v>2194229</v>
      </c>
      <c r="D8611" s="22" t="s">
        <v>12580</v>
      </c>
      <c r="E8611" s="22" t="s">
        <v>362</v>
      </c>
      <c r="F8611" s="23" t="str">
        <f>HYPERLINK("https://www.spark-marketing.ru/Card/Lot/72647871", "Оказание услуг по организации питания воспитанников дошкольных образовательных учреждений")</f>
        <v>Оказание услуг по организации питания воспитанников дошкольных образовательных учреждений</v>
      </c>
      <c r="G8611" s="22" t="s">
        <v>766</v>
      </c>
      <c r="H8611" s="22" t="s">
        <v>766</v>
      </c>
      <c r="I8611" s="26">
        <v>43684</v>
      </c>
      <c r="J8611" s="28" t="s">
        <v>51</v>
      </c>
      <c r="K8611" s="28" t="s">
        <v>51</v>
      </c>
      <c r="L8611" s="22" t="s">
        <v>10</v>
      </c>
      <c r="M8611" s="25">
        <v>2194000</v>
      </c>
      <c r="N8611" s="27">
        <v>1.043646766130609E-4</v>
      </c>
    </row>
    <row r="8612" spans="1:14" x14ac:dyDescent="0.15">
      <c r="A8612" s="23" t="str">
        <f>HYPERLINK("https://www.spark-marketing.ru/Card/Person/6441551", "МАОУ СОШ № 34")</f>
        <v>МАОУ СОШ № 34</v>
      </c>
      <c r="B8612" s="24" t="s">
        <v>2035</v>
      </c>
      <c r="C8612" s="25">
        <v>4064820</v>
      </c>
      <c r="D8612" s="22" t="s">
        <v>12581</v>
      </c>
      <c r="E8612" s="22" t="s">
        <v>362</v>
      </c>
      <c r="F8612" s="23" t="str">
        <f>HYPERLINK("https://www.spark-marketing.ru/Card/Lot/72655160", "Услуги по организации горячего питания учащихся")</f>
        <v>Услуги по организации горячего питания учащихся</v>
      </c>
      <c r="G8612" s="22" t="s">
        <v>104</v>
      </c>
      <c r="H8612" s="22" t="s">
        <v>1689</v>
      </c>
      <c r="I8612" s="26">
        <v>43684</v>
      </c>
      <c r="J8612" s="28" t="s">
        <v>51</v>
      </c>
      <c r="K8612" s="28" t="s">
        <v>51</v>
      </c>
      <c r="L8612" s="28" t="s">
        <v>51</v>
      </c>
      <c r="M8612" s="28" t="s">
        <v>51</v>
      </c>
      <c r="N8612" s="28" t="s">
        <v>51</v>
      </c>
    </row>
    <row r="8613" spans="1:14" x14ac:dyDescent="0.15">
      <c r="A8613" s="23" t="str">
        <f>HYPERLINK("https://www.spark-marketing.ru/Card/Person/20825", "СПБГИКИТ")</f>
        <v>СПБГИКИТ</v>
      </c>
      <c r="B8613" s="24" t="s">
        <v>12582</v>
      </c>
      <c r="C8613" s="25">
        <v>360308</v>
      </c>
      <c r="D8613" s="22" t="s">
        <v>12583</v>
      </c>
      <c r="E8613" s="22" t="s">
        <v>12584</v>
      </c>
      <c r="F8613" s="23" t="str">
        <f>HYPERLINK("https://www.spark-marketing.ru/Card/Lot/72657132", "Оказание услуг по организации выездного оздоровительного мероприятия для студентов 1 курса «Адаптация первокурсников» (временное размещение участников, организация питания)")</f>
        <v>Оказание услуг по организации выездного оздоровительного мероприятия для студентов 1 курса «Адаптация первокурсников» (временное размещение участников, организация питания)</v>
      </c>
      <c r="G8613" s="22" t="s">
        <v>117</v>
      </c>
      <c r="H8613" s="22" t="s">
        <v>117</v>
      </c>
      <c r="I8613" s="26">
        <v>43684</v>
      </c>
      <c r="J8613" s="28" t="s">
        <v>51</v>
      </c>
      <c r="K8613" s="28" t="s">
        <v>51</v>
      </c>
      <c r="L8613" s="28" t="s">
        <v>51</v>
      </c>
      <c r="M8613" s="28" t="s">
        <v>51</v>
      </c>
      <c r="N8613" s="28" t="s">
        <v>51</v>
      </c>
    </row>
    <row r="8614" spans="1:14" x14ac:dyDescent="0.15">
      <c r="A8614" s="23" t="str">
        <f>HYPERLINK("https://www.spark-marketing.ru/Card/Person/1569270", "СОШ № 10")</f>
        <v>СОШ № 10</v>
      </c>
      <c r="B8614" s="24" t="s">
        <v>12585</v>
      </c>
      <c r="C8614" s="25">
        <v>890200</v>
      </c>
      <c r="D8614" s="22" t="s">
        <v>12586</v>
      </c>
      <c r="E8614" s="22" t="s">
        <v>362</v>
      </c>
      <c r="F8614" s="23" t="str">
        <f>HYPERLINK("https://www.spark-marketing.ru/Card/Lot/72641782", "Оказание услуг по организации горячего питания учащихся")</f>
        <v>Оказание услуг по организации горячего питания учащихся</v>
      </c>
      <c r="G8614" s="22" t="s">
        <v>185</v>
      </c>
      <c r="H8614" s="22" t="s">
        <v>185</v>
      </c>
      <c r="I8614" s="26">
        <v>43684</v>
      </c>
      <c r="J8614" s="28" t="s">
        <v>51</v>
      </c>
      <c r="K8614" s="28" t="s">
        <v>51</v>
      </c>
      <c r="L8614" s="28" t="s">
        <v>51</v>
      </c>
      <c r="M8614" s="28" t="s">
        <v>51</v>
      </c>
      <c r="N8614" s="28" t="s">
        <v>51</v>
      </c>
    </row>
    <row r="8615" spans="1:14" x14ac:dyDescent="0.15">
      <c r="A8615" s="23" t="str">
        <f>HYPERLINK("https://www.spark-marketing.ru/Card/Person/2049498", "РОССИЙСКАЯ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""РОССИЙСКАЯ АКАДЕМИЯ НАРОДНОГО ХОЗЯЙСТВА И ГОСУДАРСТВЕННОЙ ...")</f>
        <v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...</v>
      </c>
      <c r="B8615" s="24" t="s">
        <v>2235</v>
      </c>
      <c r="C8615" s="25">
        <v>116591</v>
      </c>
      <c r="D8615" s="22" t="s">
        <v>12587</v>
      </c>
      <c r="E8615" s="22" t="s">
        <v>580</v>
      </c>
      <c r="F8615" s="23" t="str">
        <f>HYPERLINK("https://www.spark-marketing.ru/Card/Lot/72656574", "Оказание услуг по организации питания участников мероприятия Заказчика и транспортных услуг")</f>
        <v>Оказание услуг по организации питания участников мероприятия Заказчика и транспортных услуг</v>
      </c>
      <c r="G8615" s="22" t="s">
        <v>400</v>
      </c>
      <c r="H8615" s="22" t="s">
        <v>400</v>
      </c>
      <c r="I8615" s="26">
        <v>43684</v>
      </c>
      <c r="J8615" s="28" t="s">
        <v>51</v>
      </c>
      <c r="K8615" s="28" t="s">
        <v>51</v>
      </c>
      <c r="L8615" s="28" t="s">
        <v>51</v>
      </c>
      <c r="M8615" s="28" t="s">
        <v>51</v>
      </c>
      <c r="N8615" s="28" t="s">
        <v>51</v>
      </c>
    </row>
    <row r="8616" spans="1:14" x14ac:dyDescent="0.2">
      <c r="A8616" s="23" t="str">
        <f>HYPERLINK("https://www.spark-marketing.ru/Card/Person/1012554", "ГАУ ""РЦ ""ЛЮВЕНА"" КИРОВСКОГО РАЙОНА Г. ЕКАТЕРИНБУРГА""")</f>
        <v>ГАУ "РЦ "ЛЮВЕНА" КИРОВСКОГО РАЙОНА Г. ЕКАТЕРИНБУРГА"</v>
      </c>
      <c r="B8616" s="24" t="s">
        <v>12588</v>
      </c>
      <c r="C8616" s="25">
        <v>264528</v>
      </c>
      <c r="D8616" s="22" t="s">
        <v>12589</v>
      </c>
      <c r="E8616" s="22" t="s">
        <v>362</v>
      </c>
      <c r="F8616" s="23" t="str">
        <f>HYPERLINK("https://www.spark-marketing.ru/Card/Lot/72650027", "Услуги по организации питания детей")</f>
        <v>Услуги по организации питания детей</v>
      </c>
      <c r="G8616" s="22" t="s">
        <v>174</v>
      </c>
      <c r="H8616" s="22" t="s">
        <v>174</v>
      </c>
      <c r="I8616" s="26">
        <v>43684</v>
      </c>
      <c r="J8616" s="28" t="s">
        <v>51</v>
      </c>
      <c r="K8616" s="28" t="s">
        <v>51</v>
      </c>
      <c r="L8616" s="28" t="s">
        <v>51</v>
      </c>
      <c r="M8616" s="25">
        <v>264528</v>
      </c>
      <c r="N8616" s="27">
        <v>0</v>
      </c>
    </row>
    <row r="8617" spans="1:14" x14ac:dyDescent="0.2">
      <c r="A8617" s="23" t="str">
        <f>HYPERLINK("https://www.spark-marketing.ru/Card/Person/1761382", "МОУ ""СОШ № 4""")</f>
        <v>МОУ "СОШ № 4"</v>
      </c>
      <c r="B8617" s="24" t="s">
        <v>8468</v>
      </c>
      <c r="C8617" s="25">
        <v>227188</v>
      </c>
      <c r="D8617" s="22" t="s">
        <v>12590</v>
      </c>
      <c r="E8617" s="22" t="s">
        <v>362</v>
      </c>
      <c r="F8617" s="23" t="str">
        <f>HYPERLINK("https://www.spark-marketing.ru/Card/Lot/72657998", "Оказание услуг по обеспечению льготным питанием детей из малообеспеченных семей и детей с нарушением здоровья обучающихся в МОУ «СОШ № 4»")</f>
        <v>Оказание услуг по обеспечению льготным питанием детей из малообеспеченных семей и детей с нарушением здоровья обучающихся в МОУ «СОШ № 4»</v>
      </c>
      <c r="G8617" s="22" t="s">
        <v>469</v>
      </c>
      <c r="H8617" s="22" t="s">
        <v>469</v>
      </c>
      <c r="I8617" s="26">
        <v>43684</v>
      </c>
      <c r="J8617" s="28" t="s">
        <v>51</v>
      </c>
      <c r="K8617" s="28" t="s">
        <v>51</v>
      </c>
      <c r="L8617" s="22" t="s">
        <v>10</v>
      </c>
      <c r="M8617" s="25">
        <v>227188</v>
      </c>
      <c r="N8617" s="27">
        <v>0</v>
      </c>
    </row>
    <row r="8618" spans="1:14" x14ac:dyDescent="0.15">
      <c r="A8618" s="23" t="str">
        <f>HYPERLINK("https://www.spark-marketing.ru/Card/Person/236030", "ОГАУСО ""КЦСОН""")</f>
        <v>ОГАУСО "КЦСОН"</v>
      </c>
      <c r="B8618" s="24" t="s">
        <v>549</v>
      </c>
      <c r="C8618" s="25">
        <v>1000000</v>
      </c>
      <c r="D8618" s="22" t="s">
        <v>12591</v>
      </c>
      <c r="E8618" s="22" t="s">
        <v>2265</v>
      </c>
      <c r="F8618" s="23" t="str">
        <f>HYPERLINK("https://www.spark-marketing.ru/Card/Lot/72638609", "Оказание услуг на поставку продуктов питания (рыбная, овощная, консервированная, кондитерская и др.)")</f>
        <v>Оказание услуг на поставку продуктов питания (рыбная, овощная, консервированная, кондитерская и др.)</v>
      </c>
      <c r="G8618" s="22" t="s">
        <v>263</v>
      </c>
      <c r="H8618" s="22" t="s">
        <v>263</v>
      </c>
      <c r="I8618" s="26">
        <v>43684</v>
      </c>
      <c r="J8618" s="28" t="s">
        <v>51</v>
      </c>
      <c r="K8618" s="28" t="s">
        <v>51</v>
      </c>
      <c r="L8618" s="28" t="s">
        <v>51</v>
      </c>
      <c r="M8618" s="28" t="s">
        <v>51</v>
      </c>
      <c r="N8618" s="28" t="s">
        <v>51</v>
      </c>
    </row>
    <row r="8619" spans="1:14" x14ac:dyDescent="0.15">
      <c r="A8619" s="23" t="str">
        <f>HYPERLINK("https://www.spark-marketing.ru/Card/Person/1360297", "ГАУЗ ТО ""ДПН ЛРЦ ""НАДЕЖДА""")</f>
        <v>ГАУЗ ТО "ДПН ЛРЦ "НАДЕЖДА"</v>
      </c>
      <c r="B8619" s="24" t="s">
        <v>5532</v>
      </c>
      <c r="C8619" s="25">
        <v>499790</v>
      </c>
      <c r="D8619" s="22" t="s">
        <v>12592</v>
      </c>
      <c r="E8619" s="22" t="s">
        <v>362</v>
      </c>
      <c r="F8619" s="23" t="str">
        <f>HYPERLINK("https://www.spark-marketing.ru/Card/Lot/72647075", "Оказание услуг по обеспечению горячим питанием пациентов Тобольского филиала ГАУЗ ТО «ДПН ЛРЦ «Надежда»")</f>
        <v>Оказание услуг по обеспечению горячим питанием пациентов Тобольского филиала ГАУЗ ТО «ДПН ЛРЦ «Надежда»</v>
      </c>
      <c r="G8619" s="22" t="s">
        <v>766</v>
      </c>
      <c r="H8619" s="22" t="s">
        <v>766</v>
      </c>
      <c r="I8619" s="26">
        <v>43684</v>
      </c>
      <c r="J8619" s="28" t="s">
        <v>51</v>
      </c>
      <c r="K8619" s="28" t="s">
        <v>51</v>
      </c>
      <c r="L8619" s="28" t="s">
        <v>51</v>
      </c>
      <c r="M8619" s="28" t="s">
        <v>51</v>
      </c>
      <c r="N8619" s="28" t="s">
        <v>51</v>
      </c>
    </row>
    <row r="8620" spans="1:14" x14ac:dyDescent="0.15">
      <c r="A8620" s="23" t="str">
        <f>HYPERLINK("https://www.spark-marketing.ru/Card/Person/1426569", "МАДОУ Д/С № 1")</f>
        <v>МАДОУ Д/С № 1</v>
      </c>
      <c r="B8620" s="24" t="s">
        <v>12593</v>
      </c>
      <c r="C8620" s="25">
        <v>1481888.63</v>
      </c>
      <c r="D8620" s="22" t="s">
        <v>12594</v>
      </c>
      <c r="E8620" s="22" t="s">
        <v>2217</v>
      </c>
      <c r="F8620" s="23" t="str">
        <f>HYPERLINK("https://www.spark-marketing.ru/Card/Lot/72652499", "оказание услуг по организации питания детей")</f>
        <v>оказание услуг по организации питания детей</v>
      </c>
      <c r="G8620" s="22" t="s">
        <v>158</v>
      </c>
      <c r="H8620" s="22" t="s">
        <v>158</v>
      </c>
      <c r="I8620" s="26">
        <v>43684</v>
      </c>
      <c r="J8620" s="28" t="s">
        <v>51</v>
      </c>
      <c r="K8620" s="28" t="s">
        <v>51</v>
      </c>
      <c r="L8620" s="28" t="s">
        <v>51</v>
      </c>
      <c r="M8620" s="28" t="s">
        <v>51</v>
      </c>
      <c r="N8620" s="28" t="s">
        <v>51</v>
      </c>
    </row>
    <row r="8621" spans="1:14" x14ac:dyDescent="0.2">
      <c r="A8621" s="23" t="str">
        <f>HYPERLINK("https://www.spark-marketing.ru/Card/Person/1763695", "МАОУ ОСОШ №1")</f>
        <v>МАОУ ОСОШ №1</v>
      </c>
      <c r="B8621" s="24" t="s">
        <v>9574</v>
      </c>
      <c r="C8621" s="25">
        <v>496883.1</v>
      </c>
      <c r="D8621" s="22" t="s">
        <v>12595</v>
      </c>
      <c r="E8621" s="22" t="s">
        <v>362</v>
      </c>
      <c r="F8621" s="23" t="str">
        <f>HYPERLINK("https://www.spark-marketing.ru/Card/Lot/72654173", "Услуги по организации питания обучающихся")</f>
        <v>Услуги по организации питания обучающихся</v>
      </c>
      <c r="G8621" s="22" t="s">
        <v>766</v>
      </c>
      <c r="H8621" s="22" t="s">
        <v>766</v>
      </c>
      <c r="I8621" s="26">
        <v>43684</v>
      </c>
      <c r="J8621" s="28" t="s">
        <v>51</v>
      </c>
      <c r="K8621" s="28" t="s">
        <v>51</v>
      </c>
      <c r="L8621" s="22" t="s">
        <v>10</v>
      </c>
      <c r="M8621" s="25">
        <v>496883.1</v>
      </c>
      <c r="N8621" s="27">
        <v>0</v>
      </c>
    </row>
    <row r="8622" spans="1:14" x14ac:dyDescent="0.2">
      <c r="A8622" s="23" t="str">
        <f>HYPERLINK("https://www.spark-marketing.ru/Card/Person/137370", """ГБУСО МО ЦСО""СЕРПУХОВСКИЙ ГОРОДСКОЙ ДОМ ВЕТЕРАНОВ""")</f>
        <v>"ГБУСО МО ЦСО"СЕРПУХОВСКИЙ ГОРОДСКОЙ ДОМ ВЕТЕРАНОВ"</v>
      </c>
      <c r="B8622" s="24" t="s">
        <v>12596</v>
      </c>
      <c r="C8622" s="25">
        <v>133950</v>
      </c>
      <c r="D8622" s="22" t="s">
        <v>12597</v>
      </c>
      <c r="E8622" s="22" t="s">
        <v>362</v>
      </c>
      <c r="F8622" s="23" t="str">
        <f>HYPERLINK("https://www.spark-marketing.ru/Card/Lot/72647026", "Оказание услуг по обеспечению ежедневным готовым горячим питанием граждан пожилого возраста и инвалидов, находящихся в отделении дневного пребывания ГБУСО МО ЦСО «Серпуховский городской дом ветеранов»")</f>
        <v>Оказание услуг по обеспечению ежедневным готовым горячим питанием граждан пожилого возраста и инвалидов, находящихся в отделении дневного пребывания ГБУСО МО ЦСО «Серпуховский городской дом ветеранов»</v>
      </c>
      <c r="G8622" s="22" t="s">
        <v>49</v>
      </c>
      <c r="H8622" s="22" t="s">
        <v>49</v>
      </c>
      <c r="I8622" s="26">
        <v>43684</v>
      </c>
      <c r="J8622" s="28" t="s">
        <v>51</v>
      </c>
      <c r="K8622" s="28" t="s">
        <v>51</v>
      </c>
      <c r="L8622" s="22" t="s">
        <v>10</v>
      </c>
      <c r="M8622" s="25">
        <v>122670</v>
      </c>
      <c r="N8622" s="27">
        <v>8.4210526315789472E-2</v>
      </c>
    </row>
    <row r="8623" spans="1:14" x14ac:dyDescent="0.2">
      <c r="A8623" s="23" t="str">
        <f>HYPERLINK("https://www.spark-marketing.ru/Card/Person/1763847", "МАОУ ""БИЗИНСКАЯ СОШ""")</f>
        <v>МАОУ "БИЗИНСКАЯ СОШ"</v>
      </c>
      <c r="B8623" s="24" t="s">
        <v>12598</v>
      </c>
      <c r="C8623" s="25">
        <v>729915.3</v>
      </c>
      <c r="D8623" s="22" t="s">
        <v>12599</v>
      </c>
      <c r="E8623" s="22" t="s">
        <v>362</v>
      </c>
      <c r="F8623" s="23" t="str">
        <f>HYPERLINK("https://www.spark-marketing.ru/Card/Lot/72652770", "Оказание услуг по организации питания обучающихся МАОУ «Бизинская СОШ»")</f>
        <v>Оказание услуг по организации питания обучающихся МАОУ «Бизинская СОШ»</v>
      </c>
      <c r="G8623" s="22" t="s">
        <v>766</v>
      </c>
      <c r="H8623" s="22" t="s">
        <v>766</v>
      </c>
      <c r="I8623" s="26">
        <v>43684</v>
      </c>
      <c r="J8623" s="28" t="s">
        <v>51</v>
      </c>
      <c r="K8623" s="28" t="s">
        <v>51</v>
      </c>
      <c r="L8623" s="28" t="s">
        <v>51</v>
      </c>
      <c r="M8623" s="25">
        <v>729915.3</v>
      </c>
      <c r="N8623" s="27">
        <v>0</v>
      </c>
    </row>
    <row r="8624" spans="1:14" x14ac:dyDescent="0.15">
      <c r="A8624" s="23" t="str">
        <f>HYPERLINK("https://www.spark-marketing.ru/Card/Person/1659622", "ГАОУ ДПО МЦКО")</f>
        <v>ГАОУ ДПО МЦКО</v>
      </c>
      <c r="B8624" s="24" t="s">
        <v>2947</v>
      </c>
      <c r="C8624" s="25">
        <v>72000</v>
      </c>
      <c r="D8624" s="22" t="s">
        <v>12600</v>
      </c>
      <c r="E8624" s="22" t="s">
        <v>12601</v>
      </c>
      <c r="F8624" s="23" t="str">
        <f>HYPERLINK("https://www.spark-marketing.ru/Card/Lot/72659427", "Оказание услуг обеспечения пребывания и питания Участников в рамках проведения чемпионата «Молодые профессионалы (WorldSkills Russia) в г. Казани")</f>
        <v>Оказание услуг обеспечения пребывания и питания Участников в рамках проведения чемпионата «Молодые профессионалы (WorldSkills Russia) в г. Казани</v>
      </c>
      <c r="G8624" s="22" t="s">
        <v>56</v>
      </c>
      <c r="H8624" s="22" t="s">
        <v>56</v>
      </c>
      <c r="I8624" s="26">
        <v>43684</v>
      </c>
      <c r="J8624" s="28" t="s">
        <v>51</v>
      </c>
      <c r="K8624" s="28" t="s">
        <v>51</v>
      </c>
      <c r="L8624" s="28" t="s">
        <v>51</v>
      </c>
      <c r="M8624" s="28" t="s">
        <v>51</v>
      </c>
      <c r="N8624" s="28" t="s">
        <v>51</v>
      </c>
    </row>
    <row r="8625" spans="1:14" x14ac:dyDescent="0.2">
      <c r="A8625" s="23" t="str">
        <f>HYPERLINK("https://www.spark-marketing.ru/Card/Person/67196", "МАОУ ГИМНАЗИЯ № 3 Г. ЮЖНО-САХАЛИНСКА")</f>
        <v>МАОУ ГИМНАЗИЯ № 3 Г. ЮЖНО-САХАЛИНСКА</v>
      </c>
      <c r="B8625" s="24" t="s">
        <v>12569</v>
      </c>
      <c r="C8625" s="25">
        <v>3593045</v>
      </c>
      <c r="D8625" s="22" t="s">
        <v>12602</v>
      </c>
      <c r="E8625" s="22" t="s">
        <v>580</v>
      </c>
      <c r="F8625" s="23" t="str">
        <f>HYPERLINK("https://www.spark-marketing.ru/Card/Lot/72644990", "оказание услуг МАОУ Гимназия № 3 г. Южно-Сахалинска по организации питания обучающихся, осваивающих образовательную программу начального общего образования, обучающихся с ограниченными возможностями здоровья, обучающихся из малоимущих семей, находящи...")</f>
        <v>оказание услуг МАОУ Гимназия № 3 г. Южно-Сахалинска по организации питания обучающихся, осваивающих образовательную программу начального общего образования, обучающихся с ограниченными возможностями здоровья, обучающихся из малоимущих семей, находящи...</v>
      </c>
      <c r="G8625" s="22" t="s">
        <v>260</v>
      </c>
      <c r="H8625" s="22" t="s">
        <v>260</v>
      </c>
      <c r="I8625" s="26">
        <v>43684</v>
      </c>
      <c r="J8625" s="28" t="s">
        <v>51</v>
      </c>
      <c r="K8625" s="28" t="s">
        <v>51</v>
      </c>
      <c r="L8625" s="22" t="s">
        <v>10</v>
      </c>
      <c r="M8625" s="25">
        <v>3593045</v>
      </c>
      <c r="N8625" s="27">
        <v>0</v>
      </c>
    </row>
    <row r="8626" spans="1:14" x14ac:dyDescent="0.2">
      <c r="A8626" s="23" t="str">
        <f>HYPERLINK("https://www.spark-marketing.ru/Card/Person/1763695", "МАОУ ОСОШ №1")</f>
        <v>МАОУ ОСОШ №1</v>
      </c>
      <c r="B8626" s="24" t="s">
        <v>9574</v>
      </c>
      <c r="C8626" s="25">
        <v>528639.30000000005</v>
      </c>
      <c r="D8626" s="22" t="s">
        <v>12603</v>
      </c>
      <c r="E8626" s="22" t="s">
        <v>362</v>
      </c>
      <c r="F8626" s="23" t="str">
        <f>HYPERLINK("https://www.spark-marketing.ru/Card/Lot/72652707", "Услуги по организации питания обучающихся")</f>
        <v>Услуги по организации питания обучающихся</v>
      </c>
      <c r="G8626" s="22" t="s">
        <v>766</v>
      </c>
      <c r="H8626" s="22" t="s">
        <v>766</v>
      </c>
      <c r="I8626" s="26">
        <v>43684</v>
      </c>
      <c r="J8626" s="28" t="s">
        <v>51</v>
      </c>
      <c r="K8626" s="28" t="s">
        <v>51</v>
      </c>
      <c r="L8626" s="22" t="s">
        <v>10</v>
      </c>
      <c r="M8626" s="25">
        <v>528639.30000000005</v>
      </c>
      <c r="N8626" s="27">
        <v>0</v>
      </c>
    </row>
    <row r="8627" spans="1:14" x14ac:dyDescent="0.15">
      <c r="A8627" s="23" t="str">
        <f>HYPERLINK("https://www.spark-marketing.ru/Card/Person/1577227", "СОШ № 43")</f>
        <v>СОШ № 43</v>
      </c>
      <c r="B8627" s="24" t="s">
        <v>12604</v>
      </c>
      <c r="C8627" s="25">
        <v>707050</v>
      </c>
      <c r="D8627" s="22" t="s">
        <v>12605</v>
      </c>
      <c r="E8627" s="22" t="s">
        <v>362</v>
      </c>
      <c r="F8627" s="23" t="str">
        <f>HYPERLINK("https://www.spark-marketing.ru/Card/Lot/72641638", "Оказание услуг по организации горячего питания учащихся")</f>
        <v>Оказание услуг по организации горячего питания учащихся</v>
      </c>
      <c r="G8627" s="22" t="s">
        <v>185</v>
      </c>
      <c r="H8627" s="22" t="s">
        <v>185</v>
      </c>
      <c r="I8627" s="26">
        <v>43684</v>
      </c>
      <c r="J8627" s="28" t="s">
        <v>51</v>
      </c>
      <c r="K8627" s="28" t="s">
        <v>51</v>
      </c>
      <c r="L8627" s="28" t="s">
        <v>51</v>
      </c>
      <c r="M8627" s="28" t="s">
        <v>51</v>
      </c>
      <c r="N8627" s="28" t="s">
        <v>51</v>
      </c>
    </row>
    <row r="8628" spans="1:14" x14ac:dyDescent="0.2">
      <c r="A8628" s="23" t="str">
        <f>HYPERLINK("https://www.spark-marketing.ru/Card/Person/1761577", "МАОУ ОСОШ № 2")</f>
        <v>МАОУ ОСОШ № 2</v>
      </c>
      <c r="B8628" s="24" t="s">
        <v>12606</v>
      </c>
      <c r="C8628" s="25">
        <v>3774288</v>
      </c>
      <c r="D8628" s="22" t="s">
        <v>12607</v>
      </c>
      <c r="E8628" s="22" t="s">
        <v>362</v>
      </c>
      <c r="F8628" s="23" t="str">
        <f>HYPERLINK("https://www.spark-marketing.ru/Card/Lot/72641592", "Оказание услуг по организации питания обучающихся")</f>
        <v>Оказание услуг по организации питания обучающихся</v>
      </c>
      <c r="G8628" s="22" t="s">
        <v>766</v>
      </c>
      <c r="H8628" s="22" t="s">
        <v>766</v>
      </c>
      <c r="I8628" s="26">
        <v>43684</v>
      </c>
      <c r="J8628" s="28" t="s">
        <v>51</v>
      </c>
      <c r="K8628" s="28" t="s">
        <v>51</v>
      </c>
      <c r="L8628" s="22" t="s">
        <v>10</v>
      </c>
      <c r="M8628" s="25">
        <v>3774288</v>
      </c>
      <c r="N8628" s="27">
        <v>0</v>
      </c>
    </row>
    <row r="8629" spans="1:14" x14ac:dyDescent="0.15">
      <c r="A8629" s="23" t="str">
        <f>HYPERLINK("https://www.spark-marketing.ru/Card/Person/209890", "ГАУ ДО РС (Я) ""ЦОИОД ""СОСНОВЫЙ БОР""")</f>
        <v>ГАУ ДО РС (Я) "ЦОИОД "СОСНОВЫЙ БОР"</v>
      </c>
      <c r="B8629" s="24" t="s">
        <v>5718</v>
      </c>
      <c r="C8629" s="25">
        <v>759360</v>
      </c>
      <c r="D8629" s="22" t="s">
        <v>12608</v>
      </c>
      <c r="E8629" s="22" t="s">
        <v>362</v>
      </c>
      <c r="F8629" s="23" t="str">
        <f>HYPERLINK("https://www.spark-marketing.ru/Card/Lot/72642631", "Оказание услуг по организации горячего питания в Государственного автономного учреждения дополнительного образования Республики Саха (Якутия) «Центр отдыха и оздоровления детей «Сосновый бор» - ДОЛ ""Энергетик"" (аутсорсинг)")</f>
        <v>Оказание услуг по организации горячего питания в Государственного автономного учреждения дополнительного образования Республики Саха (Якутия) «Центр отдыха и оздоровления детей «Сосновый бор» - ДОЛ "Энергетик" (аутсорсинг)</v>
      </c>
      <c r="G8629" s="22" t="s">
        <v>241</v>
      </c>
      <c r="H8629" s="22" t="s">
        <v>241</v>
      </c>
      <c r="I8629" s="26">
        <v>43684</v>
      </c>
      <c r="J8629" s="28" t="s">
        <v>51</v>
      </c>
      <c r="K8629" s="28" t="s">
        <v>51</v>
      </c>
      <c r="L8629" s="28" t="s">
        <v>51</v>
      </c>
      <c r="M8629" s="28" t="s">
        <v>51</v>
      </c>
      <c r="N8629" s="28" t="s">
        <v>51</v>
      </c>
    </row>
    <row r="8630" spans="1:14" x14ac:dyDescent="0.15">
      <c r="A8630" s="23" t="str">
        <f>HYPERLINK("https://www.spark-marketing.ru/Card/Person/235077", "КГАУ РЦСП ""АКАДЕМИЯ БИАТЛОНА""")</f>
        <v>КГАУ РЦСП "АКАДЕМИЯ БИАТЛОНА"</v>
      </c>
      <c r="B8630" s="24" t="s">
        <v>5709</v>
      </c>
      <c r="C8630" s="25">
        <v>933300</v>
      </c>
      <c r="D8630" s="22" t="s">
        <v>12609</v>
      </c>
      <c r="E8630" s="22" t="s">
        <v>580</v>
      </c>
      <c r="F8630" s="23" t="str">
        <f>HYPERLINK("https://www.spark-marketing.ru/Card/Lot/72649998", "оказание услуг питания на период тренировочных мероприятий по биатлону")</f>
        <v>оказание услуг питания на период тренировочных мероприятий по биатлону</v>
      </c>
      <c r="G8630" s="22" t="s">
        <v>281</v>
      </c>
      <c r="H8630" s="22" t="s">
        <v>281</v>
      </c>
      <c r="I8630" s="26">
        <v>43684</v>
      </c>
      <c r="J8630" s="28" t="s">
        <v>51</v>
      </c>
      <c r="K8630" s="28" t="s">
        <v>51</v>
      </c>
      <c r="L8630" s="28" t="s">
        <v>51</v>
      </c>
      <c r="M8630" s="28" t="s">
        <v>51</v>
      </c>
      <c r="N8630" s="28" t="s">
        <v>51</v>
      </c>
    </row>
    <row r="8631" spans="1:14" x14ac:dyDescent="0.15">
      <c r="A8631" s="23" t="str">
        <f>HYPERLINK("https://www.spark-marketing.ru/Card/Person/813629", "ОТДЕЛ МВД РОССИИ ПО МАМАДЫШСКОМУ РАЙОНУ")</f>
        <v>ОТДЕЛ МВД РОССИИ ПО МАМАДЫШСКОМУ РАЙОНУ</v>
      </c>
      <c r="B8631" s="24" t="s">
        <v>9752</v>
      </c>
      <c r="C8631" s="25">
        <v>395000</v>
      </c>
      <c r="D8631" s="22" t="s">
        <v>12610</v>
      </c>
      <c r="E8631" s="22" t="s">
        <v>96</v>
      </c>
      <c r="F8631" s="23" t="str">
        <f>HYPERLINK("https://www.spark-marketing.ru/Card/Lot/72643346", "Питание ИВС")</f>
        <v>Питание ИВС</v>
      </c>
      <c r="G8631" s="22" t="s">
        <v>217</v>
      </c>
      <c r="H8631" s="22" t="s">
        <v>9754</v>
      </c>
      <c r="I8631" s="26">
        <v>43683.802152777796</v>
      </c>
      <c r="J8631" s="28" t="s">
        <v>51</v>
      </c>
      <c r="K8631" s="28" t="s">
        <v>51</v>
      </c>
      <c r="L8631" s="28" t="s">
        <v>51</v>
      </c>
      <c r="M8631" s="28" t="s">
        <v>51</v>
      </c>
      <c r="N8631" s="28" t="s">
        <v>51</v>
      </c>
    </row>
    <row r="8632" spans="1:14" x14ac:dyDescent="0.15">
      <c r="A8632" s="23" t="str">
        <f>HYPERLINK("https://www.spark-marketing.ru/Card/Person/30112", "ОТДЕЛ МВД РОССИИ ПО КОЧУБЕЕВСКОМУ РАЙОНУ")</f>
        <v>ОТДЕЛ МВД РОССИИ ПО КОЧУБЕЕВСКОМУ РАЙОНУ</v>
      </c>
      <c r="B8632" s="24" t="s">
        <v>12611</v>
      </c>
      <c r="C8632" s="25">
        <v>1300000</v>
      </c>
      <c r="D8632" s="22" t="s">
        <v>12612</v>
      </c>
      <c r="E8632" s="22" t="s">
        <v>67</v>
      </c>
      <c r="F8632" s="23" t="str">
        <f>HYPERLINK("https://www.spark-marketing.ru/Card/Lot/72646383", "Оказание услуг по приготовлению ежедневного трехразового горячего питания (в виде завтрака, обеда, ужина) для подозреваемых и обвиняемых лиц, административно арестованных лиц, содержащихся в ИВС Отдела МВД России по Кочубеевскому району, лиц, задержа...")</f>
        <v>Оказание услуг по приготовлению ежедневного трехразового горячего питания (в виде завтрака, обеда, ужина) для подозреваемых и обвиняемых лиц, административно арестованных лиц, содержащихся в ИВС Отдела МВД России по Кочубеевскому району, лиц, задержа...</v>
      </c>
      <c r="G8632" s="22" t="s">
        <v>87</v>
      </c>
      <c r="H8632" s="22" t="s">
        <v>12613</v>
      </c>
      <c r="I8632" s="26">
        <v>43683.778043981503</v>
      </c>
      <c r="J8632" s="23" t="str">
        <f>HYPERLINK("https://www.spark-marketing.ru/Card/Person/196162", "Швайкин Владислав Владимирович")</f>
        <v>Швайкин Владислав Владимирович</v>
      </c>
      <c r="K8632" s="24" t="s">
        <v>12614</v>
      </c>
      <c r="L8632" s="22" t="s">
        <v>10</v>
      </c>
      <c r="M8632" s="28" t="s">
        <v>51</v>
      </c>
      <c r="N8632" s="28" t="s">
        <v>51</v>
      </c>
    </row>
    <row r="8633" spans="1:14" x14ac:dyDescent="0.15">
      <c r="A8633" s="23" t="str">
        <f>HYPERLINK("https://www.spark-marketing.ru/Card/Person/60530", "МО МВД РОССИИ ""УСОЛЬСКИЙ""")</f>
        <v>МО МВД РОССИИ "УСОЛЬСКИЙ"</v>
      </c>
      <c r="B8633" s="24" t="s">
        <v>11264</v>
      </c>
      <c r="C8633" s="25">
        <v>565256</v>
      </c>
      <c r="D8633" s="22" t="s">
        <v>12615</v>
      </c>
      <c r="E8633" s="22" t="s">
        <v>48</v>
      </c>
      <c r="F8633" s="23" t="str">
        <f>HYPERLINK("https://www.spark-marketing.ru/Card/Lot/72637016", "Прочая закупка товаров. работ. услуг (организация питания для лиц, содержащихся в ИВС и спец.приемнике)")</f>
        <v>Прочая закупка товаров. работ. услуг (организация питания для лиц, содержащихся в ИВС и спец.приемнике)</v>
      </c>
      <c r="G8633" s="22" t="s">
        <v>263</v>
      </c>
      <c r="H8633" s="22" t="s">
        <v>11266</v>
      </c>
      <c r="I8633" s="26">
        <v>43683.7515277778</v>
      </c>
      <c r="J8633" s="23" t="str">
        <f>HYPERLINK("https://www.spark-marketing.ru/Card/Person/6083922", "Ларионов Андрей Иванович")</f>
        <v>Ларионов Андрей Иванович</v>
      </c>
      <c r="K8633" s="24" t="s">
        <v>12616</v>
      </c>
      <c r="L8633" s="22" t="s">
        <v>10</v>
      </c>
      <c r="M8633" s="28" t="s">
        <v>51</v>
      </c>
      <c r="N8633" s="28" t="s">
        <v>51</v>
      </c>
    </row>
    <row r="8634" spans="1:14" x14ac:dyDescent="0.2">
      <c r="A8634" s="23" t="str">
        <f>HYPERLINK("https://www.spark-marketing.ru/Card/Person/4351397", "МИНСЕЛЬХОЗ САРАТОВСКОЙ ОБЛАСТИ")</f>
        <v>МИНСЕЛЬХОЗ САРАТОВСКОЙ ОБЛАСТИ</v>
      </c>
      <c r="B8634" s="24" t="s">
        <v>12617</v>
      </c>
      <c r="C8634" s="25">
        <v>300000</v>
      </c>
      <c r="D8634" s="22" t="s">
        <v>12618</v>
      </c>
      <c r="E8634" s="22" t="s">
        <v>2405</v>
      </c>
      <c r="F8634" s="23" t="str">
        <f>HYPERLINK("https://www.spark-marketing.ru/Card/Lot/72634160", "Оказание услуг по проведению научных исследований по эффективности применения прогрессивных технологий заготовки кормов и биологически полноценного белкового питания молочного скота в хозяйствах Саратовской области")</f>
        <v>Оказание услуг по проведению научных исследований по эффективности применения прогрессивных технологий заготовки кормов и биологически полноценного белкового питания молочного скота в хозяйствах Саратовской области</v>
      </c>
      <c r="G8634" s="22" t="s">
        <v>351</v>
      </c>
      <c r="H8634" s="22" t="s">
        <v>2983</v>
      </c>
      <c r="I8634" s="26">
        <v>43683.78125</v>
      </c>
      <c r="J8634" s="23" t="str">
        <f>HYPERLINK("https://www.spark-marketing.ru/Card/Person/545528", "АССОЦИАЦИЯ АОН")</f>
        <v>АССОЦИАЦИЯ АОН</v>
      </c>
      <c r="K8634" s="24" t="s">
        <v>12619</v>
      </c>
      <c r="L8634" s="28" t="s">
        <v>51</v>
      </c>
      <c r="M8634" s="25">
        <v>300000</v>
      </c>
      <c r="N8634" s="27">
        <v>0</v>
      </c>
    </row>
    <row r="8635" spans="1:14" x14ac:dyDescent="0.15">
      <c r="A8635" s="23" t="str">
        <f>HYPERLINK("https://www.spark-marketing.ru/Card/Person/259820", "МО МВД РОССИИ ""КРАСНОХОЛМСКИЙ""")</f>
        <v>МО МВД РОССИИ "КРАСНОХОЛМСКИЙ"</v>
      </c>
      <c r="B8635" s="24" t="s">
        <v>2722</v>
      </c>
      <c r="C8635" s="25">
        <v>432000</v>
      </c>
      <c r="D8635" s="22" t="s">
        <v>12620</v>
      </c>
      <c r="E8635" s="22" t="s">
        <v>96</v>
      </c>
      <c r="F8635" s="23" t="str">
        <f>HYPERLINK("https://www.spark-marketing.ru/Card/Lot/72643260", "Услуги по питанию в ИВС")</f>
        <v>Услуги по питанию в ИВС</v>
      </c>
      <c r="G8635" s="22" t="s">
        <v>137</v>
      </c>
      <c r="H8635" s="22" t="s">
        <v>137</v>
      </c>
      <c r="I8635" s="26">
        <v>43683.745289351798</v>
      </c>
      <c r="J8635" s="23" t="str">
        <f>HYPERLINK("https://www.spark-marketing.ru/Card/Person/4945962", "Алтунашвили Александр Александрович")</f>
        <v>Алтунашвили Александр Александрович</v>
      </c>
      <c r="K8635" s="24" t="s">
        <v>12621</v>
      </c>
      <c r="L8635" s="22" t="s">
        <v>10</v>
      </c>
      <c r="M8635" s="28" t="s">
        <v>51</v>
      </c>
      <c r="N8635" s="28" t="s">
        <v>51</v>
      </c>
    </row>
    <row r="8636" spans="1:14" x14ac:dyDescent="0.15">
      <c r="A8636" s="23" t="str">
        <f>HYPERLINK("https://www.spark-marketing.ru/Card/Person/159375", "ГЛАВНОЕ УПРАВЛЕНИЕ МЧС РОССИИ ПО РЕСПУБЛИКЕ МОРДОВИЯ")</f>
        <v>ГЛАВНОЕ УПРАВЛЕНИЕ МЧС РОССИИ ПО РЕСПУБЛИКЕ МОРДОВИЯ</v>
      </c>
      <c r="B8636" s="24" t="s">
        <v>12622</v>
      </c>
      <c r="C8636" s="25">
        <v>352798.6</v>
      </c>
      <c r="D8636" s="22" t="s">
        <v>12623</v>
      </c>
      <c r="E8636" s="22" t="s">
        <v>48</v>
      </c>
      <c r="F8636" s="23" t="str">
        <f>HYPERLINK("https://www.spark-marketing.ru/Card/Lot/72633546", "Оказание услуг по организации питания сотрудников и работников оперативных дежурных смен Центра управления в кризисных ситуациях Главного управления МЧС России по Республике Мордовия")</f>
        <v>Оказание услуг по организации питания сотрудников и работников оперативных дежурных смен Центра управления в кризисных ситуациях Главного управления МЧС России по Республике Мордовия</v>
      </c>
      <c r="G8636" s="22" t="s">
        <v>277</v>
      </c>
      <c r="H8636" s="22" t="s">
        <v>278</v>
      </c>
      <c r="I8636" s="26">
        <v>43683.724687499998</v>
      </c>
      <c r="J8636" s="23" t="str">
        <f>HYPERLINK("https://www.spark-marketing.ru/Card/Person/316025", "ООО ""ПИТ-ОН""")</f>
        <v>ООО "ПИТ-ОН"</v>
      </c>
      <c r="K8636" s="24" t="s">
        <v>12624</v>
      </c>
      <c r="L8636" s="28" t="s">
        <v>51</v>
      </c>
      <c r="M8636" s="28" t="s">
        <v>51</v>
      </c>
      <c r="N8636" s="28" t="s">
        <v>51</v>
      </c>
    </row>
    <row r="8637" spans="1:14" ht="12.75" hidden="1" outlineLevel="1" x14ac:dyDescent="0.2">
      <c r="A8637" s="23" t="str">
        <f>HYPERLINK("https://www.spark-marketing.ru/Card/Person/159375", "ГЛАВНОЕ УПРАВЛЕНИЕ МЧС РОССИИ ПО РЕСПУБЛИКЕ МОРДОВИЯ")</f>
        <v>ГЛАВНОЕ УПРАВЛЕНИЕ МЧС РОССИИ ПО РЕСПУБЛИКЕ МОРДОВИЯ</v>
      </c>
      <c r="B8637" s="24" t="s">
        <v>12622</v>
      </c>
      <c r="C8637" s="25">
        <v>352798.6</v>
      </c>
      <c r="D8637" s="22" t="s">
        <v>12623</v>
      </c>
      <c r="E8637" s="22" t="s">
        <v>48</v>
      </c>
      <c r="F8637" s="23" t="str">
        <f>HYPERLINK("https://www.spark-marketing.ru/Card/Lot/72633546", "Оказание услуг по организации питания сотрудников и работников оперативных дежурных смен Центра управления в кризисных ситуациях Главного управления МЧС России по Республике Мордовия")</f>
        <v>Оказание услуг по организации питания сотрудников и работников оперативных дежурных смен Центра управления в кризисных ситуациях Главного управления МЧС России по Республике Мордовия</v>
      </c>
      <c r="G8637" s="22" t="s">
        <v>277</v>
      </c>
      <c r="H8637" s="22" t="s">
        <v>278</v>
      </c>
      <c r="I8637" s="26">
        <v>43683.724687499998</v>
      </c>
      <c r="J8637" s="23" t="str">
        <f>HYPERLINK("https://www.spark-marketing.ru/Card/Person/316025", "ООО ""ПИТ-ОН""")</f>
        <v>ООО "ПИТ-ОН"</v>
      </c>
      <c r="K8637" s="24" t="s">
        <v>12624</v>
      </c>
      <c r="L8637" s="22" t="s">
        <v>10</v>
      </c>
      <c r="M8637" s="25">
        <v>351034.61</v>
      </c>
      <c r="N8637" s="27">
        <v>4.9999914965648956E-3</v>
      </c>
    </row>
    <row r="8638" spans="1:14" x14ac:dyDescent="0.15">
      <c r="A8638" s="23" t="str">
        <f>HYPERLINK("https://www.spark-marketing.ru/Card/Person/6086", "ГКУ ""ДИРЕКЦИЯ ОДОТСЗН Г. МОСКВЫ""")</f>
        <v>ГКУ "ДИРЕКЦИЯ ОДОТСЗН Г. МОСКВЫ"</v>
      </c>
      <c r="B8638" s="24" t="s">
        <v>164</v>
      </c>
      <c r="C8638" s="25">
        <v>2534742.4500000002</v>
      </c>
      <c r="D8638" s="22" t="s">
        <v>12625</v>
      </c>
      <c r="E8638" s="22" t="s">
        <v>96</v>
      </c>
      <c r="F8638" s="23" t="str">
        <f>HYPERLINK("https://www.spark-marketing.ru/Card/Lot/72632510", "Организация горячего питания в ГБУ ПНИ № 4 в 2019 году (226-19-4-2)")</f>
        <v>Организация горячего питания в ГБУ ПНИ № 4 в 2019 году (226-19-4-2)</v>
      </c>
      <c r="G8638" s="22" t="s">
        <v>56</v>
      </c>
      <c r="H8638" s="22" t="s">
        <v>56</v>
      </c>
      <c r="I8638" s="26">
        <v>43683.722280092603</v>
      </c>
      <c r="J8638" s="28" t="s">
        <v>51</v>
      </c>
      <c r="K8638" s="28" t="s">
        <v>51</v>
      </c>
      <c r="L8638" s="28" t="s">
        <v>51</v>
      </c>
      <c r="M8638" s="28" t="s">
        <v>51</v>
      </c>
      <c r="N8638" s="28" t="s">
        <v>51</v>
      </c>
    </row>
    <row r="8639" spans="1:14" hidden="1" outlineLevel="1" x14ac:dyDescent="0.2">
      <c r="A8639" s="23" t="str">
        <f>HYPERLINK("https://www.spark-marketing.ru/Card/Person/6086", "ГКУ ""ДИРЕКЦИЯ ОДОТСЗН Г. МОСКВЫ""")</f>
        <v>ГКУ "ДИРЕКЦИЯ ОДОТСЗН Г. МОСКВЫ"</v>
      </c>
      <c r="B8639" s="24" t="s">
        <v>164</v>
      </c>
      <c r="C8639" s="25">
        <v>2534742.4500000002</v>
      </c>
      <c r="D8639" s="22" t="s">
        <v>12625</v>
      </c>
      <c r="E8639" s="22" t="s">
        <v>96</v>
      </c>
      <c r="F8639" s="23" t="str">
        <f>HYPERLINK("https://www.spark-marketing.ru/Card/Lot/72632510", "Организация горячего питания в ГБУ ПНИ № 4 в 2019 году (226-19-4-2)")</f>
        <v>Организация горячего питания в ГБУ ПНИ № 4 в 2019 году (226-19-4-2)</v>
      </c>
      <c r="G8639" s="22" t="s">
        <v>56</v>
      </c>
      <c r="H8639" s="22" t="s">
        <v>56</v>
      </c>
      <c r="I8639" s="26">
        <v>43683.722280092603</v>
      </c>
      <c r="J8639" s="23" t="str">
        <f>HYPERLINK("https://www.spark-marketing.ru/Card/Person/5953802", "ООО ""РБЕ""")</f>
        <v>ООО "РБЕ"</v>
      </c>
      <c r="K8639" s="24" t="s">
        <v>7363</v>
      </c>
      <c r="L8639" s="28" t="s">
        <v>51</v>
      </c>
      <c r="M8639" s="25">
        <v>2129183.73</v>
      </c>
      <c r="N8639" s="27">
        <v>0.15999997159474724</v>
      </c>
    </row>
    <row r="8640" spans="1:14" ht="12.75" hidden="1" outlineLevel="1" x14ac:dyDescent="0.2">
      <c r="A8640" s="23" t="str">
        <f>HYPERLINK("https://www.spark-marketing.ru/Card/Person/6086", "ГКУ ""ДИРЕКЦИЯ ОДОТСЗН Г. МОСКВЫ""")</f>
        <v>ГКУ "ДИРЕКЦИЯ ОДОТСЗН Г. МОСКВЫ"</v>
      </c>
      <c r="B8640" s="24" t="s">
        <v>164</v>
      </c>
      <c r="C8640" s="25">
        <v>2534742.4500000002</v>
      </c>
      <c r="D8640" s="22" t="s">
        <v>12625</v>
      </c>
      <c r="E8640" s="22" t="s">
        <v>96</v>
      </c>
      <c r="F8640" s="23" t="str">
        <f>HYPERLINK("https://www.spark-marketing.ru/Card/Lot/72632510", "Организация горячего питания в ГБУ ПНИ № 4 в 2019 году (226-19-4-2)")</f>
        <v>Организация горячего питания в ГБУ ПНИ № 4 в 2019 году (226-19-4-2)</v>
      </c>
      <c r="G8640" s="22" t="s">
        <v>56</v>
      </c>
      <c r="H8640" s="22" t="s">
        <v>56</v>
      </c>
      <c r="I8640" s="26">
        <v>43683.722280092603</v>
      </c>
      <c r="J8640" s="23" t="str">
        <f>HYPERLINK("https://www.spark-marketing.ru/Card/Person/6626150", "ООО ""РУС-ТРЕЙД""")</f>
        <v>ООО "РУС-ТРЕЙД"</v>
      </c>
      <c r="K8640" s="24" t="s">
        <v>6176</v>
      </c>
      <c r="L8640" s="22" t="s">
        <v>10</v>
      </c>
      <c r="M8640" s="25">
        <v>2116510.02</v>
      </c>
      <c r="N8640" s="27">
        <v>0.16499997070708308</v>
      </c>
    </row>
    <row r="8641" spans="1:14" ht="12.75" x14ac:dyDescent="0.2">
      <c r="A8641" s="23" t="str">
        <f>HYPERLINK("https://www.spark-marketing.ru/Card/Person/1014493", "МБОУ ""КОНДРАТЬЕВСКАЯ СОШ""")</f>
        <v>МБОУ "КОНДРАТЬЕВСКАЯ СОШ"</v>
      </c>
      <c r="B8641" s="24" t="s">
        <v>12626</v>
      </c>
      <c r="C8641" s="25">
        <v>475552</v>
      </c>
      <c r="D8641" s="22" t="s">
        <v>12627</v>
      </c>
      <c r="E8641" s="22" t="s">
        <v>48</v>
      </c>
      <c r="F8641" s="23" t="str">
        <f>HYPERLINK("https://www.spark-marketing.ru/Card/Lot/72633808", "Оказание услуг по организации питания для льготных категорий обучающихся и обеспечению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обеспечению молоком (кисломолочными продуктами) обучающихся 1-4 классов</v>
      </c>
      <c r="G8641" s="22" t="s">
        <v>162</v>
      </c>
      <c r="H8641" s="22" t="s">
        <v>5558</v>
      </c>
      <c r="I8641" s="26">
        <v>43683.696701388901</v>
      </c>
      <c r="J8641" s="23" t="str">
        <f>HYPERLINK("https://www.spark-marketing.ru/Card/Person/1281490", "Разина Елена Викторовна")</f>
        <v>Разина Елена Викторовна</v>
      </c>
      <c r="K8641" s="24" t="s">
        <v>5559</v>
      </c>
      <c r="L8641" s="22" t="s">
        <v>10</v>
      </c>
      <c r="M8641" s="25">
        <v>475000</v>
      </c>
      <c r="N8641" s="27">
        <v>1.1607563421034924E-3</v>
      </c>
    </row>
    <row r="8642" spans="1:14" x14ac:dyDescent="0.15">
      <c r="A8642" s="23" t="str">
        <f>HYPERLINK("https://www.spark-marketing.ru/Card/Person/1018947", "МБДОУ ВМР ""ДУБРОВСКИЙ ДЕТСКИЙ САД""")</f>
        <v>МБДОУ ВМР "ДУБРОВСКИЙ ДЕТСКИЙ САД"</v>
      </c>
      <c r="B8642" s="24" t="s">
        <v>12628</v>
      </c>
      <c r="C8642" s="25">
        <v>1196690</v>
      </c>
      <c r="D8642" s="22" t="s">
        <v>12629</v>
      </c>
      <c r="E8642" s="22" t="s">
        <v>48</v>
      </c>
      <c r="F8642" s="23" t="str">
        <f>HYPERLINK("https://www.spark-marketing.ru/Card/Lot/72632395", "Оказание услуг по организации питания воспитанников МБДОУ ВМР""ДУБРОВСКИЙ ДЕТСКИЙ САД""")</f>
        <v>Оказание услуг по организации питания воспитанников МБДОУ ВМР"ДУБРОВСКИЙ ДЕТСКИЙ САД"</v>
      </c>
      <c r="G8642" s="22" t="s">
        <v>503</v>
      </c>
      <c r="H8642" s="22" t="s">
        <v>12630</v>
      </c>
      <c r="I8642" s="26">
        <v>43683.673923611103</v>
      </c>
      <c r="J8642" s="28" t="s">
        <v>51</v>
      </c>
      <c r="K8642" s="28" t="s">
        <v>51</v>
      </c>
      <c r="L8642" s="28" t="s">
        <v>51</v>
      </c>
      <c r="M8642" s="28" t="s">
        <v>51</v>
      </c>
      <c r="N8642" s="28" t="s">
        <v>51</v>
      </c>
    </row>
    <row r="8643" spans="1:14" ht="12.75" hidden="1" outlineLevel="1" x14ac:dyDescent="0.2">
      <c r="A8643" s="23" t="str">
        <f>HYPERLINK("https://www.spark-marketing.ru/Card/Person/1018947", "МБДОУ ВМР ""ДУБРОВСКИЙ ДЕТСКИЙ САД""")</f>
        <v>МБДОУ ВМР "ДУБРОВСКИЙ ДЕТСКИЙ САД"</v>
      </c>
      <c r="B8643" s="24" t="s">
        <v>12628</v>
      </c>
      <c r="C8643" s="25">
        <v>1196690</v>
      </c>
      <c r="D8643" s="22" t="s">
        <v>12629</v>
      </c>
      <c r="E8643" s="22" t="s">
        <v>48</v>
      </c>
      <c r="F8643" s="23" t="str">
        <f>HYPERLINK("https://www.spark-marketing.ru/Card/Lot/72632395", "Оказание услуг по организации питания воспитанников МБДОУ ВМР""ДУБРОВСКИЙ ДЕТСКИЙ САД""")</f>
        <v>Оказание услуг по организации питания воспитанников МБДОУ ВМР"ДУБРОВСКИЙ ДЕТСКИЙ САД"</v>
      </c>
      <c r="G8643" s="22" t="s">
        <v>503</v>
      </c>
      <c r="H8643" s="22" t="s">
        <v>12630</v>
      </c>
      <c r="I8643" s="26">
        <v>43683.673923611103</v>
      </c>
      <c r="J8643" s="23" t="str">
        <f>HYPERLINK("https://www.spark-marketing.ru/Card/Person/514682", "Попова Галина Анатольевна")</f>
        <v>Попова Галина Анатольевна</v>
      </c>
      <c r="K8643" s="24" t="s">
        <v>12631</v>
      </c>
      <c r="L8643" s="22" t="s">
        <v>10</v>
      </c>
      <c r="M8643" s="25">
        <v>895605.63</v>
      </c>
      <c r="N8643" s="27">
        <v>0.25159763180105121</v>
      </c>
    </row>
    <row r="8644" spans="1:14" hidden="1" outlineLevel="1" x14ac:dyDescent="0.2">
      <c r="A8644" s="23" t="str">
        <f>HYPERLINK("https://www.spark-marketing.ru/Card/Person/1018947", "МБДОУ ВМР ""ДУБРОВСКИЙ ДЕТСКИЙ САД""")</f>
        <v>МБДОУ ВМР "ДУБРОВСКИЙ ДЕТСКИЙ САД"</v>
      </c>
      <c r="B8644" s="24" t="s">
        <v>12628</v>
      </c>
      <c r="C8644" s="25">
        <v>1196690</v>
      </c>
      <c r="D8644" s="22" t="s">
        <v>12629</v>
      </c>
      <c r="E8644" s="22" t="s">
        <v>48</v>
      </c>
      <c r="F8644" s="23" t="str">
        <f>HYPERLINK("https://www.spark-marketing.ru/Card/Lot/72632395", "Оказание услуг по организации питания воспитанников МБДОУ ВМР""ДУБРОВСКИЙ ДЕТСКИЙ САД""")</f>
        <v>Оказание услуг по организации питания воспитанников МБДОУ ВМР"ДУБРОВСКИЙ ДЕТСКИЙ САД"</v>
      </c>
      <c r="G8644" s="22" t="s">
        <v>503</v>
      </c>
      <c r="H8644" s="22" t="s">
        <v>12630</v>
      </c>
      <c r="I8644" s="26">
        <v>43683.673923611103</v>
      </c>
      <c r="J8644" s="23" t="str">
        <f>HYPERLINK("https://www.spark-marketing.ru/Card/Person/60999", "Эльперин Антон Яковлевич")</f>
        <v>Эльперин Антон Яковлевич</v>
      </c>
      <c r="K8644" s="24" t="s">
        <v>12632</v>
      </c>
      <c r="L8644" s="28" t="s">
        <v>51</v>
      </c>
      <c r="M8644" s="25">
        <v>901589.08</v>
      </c>
      <c r="N8644" s="27">
        <v>0.24659763180105124</v>
      </c>
    </row>
    <row r="8645" spans="1:14" x14ac:dyDescent="0.15">
      <c r="A8645" s="23" t="str">
        <f>HYPERLINK("https://www.spark-marketing.ru/Card/Person/162677", "ОМВД РОССИИ ПО ВЯЗЕМСКОМУ РАЙОНУ")</f>
        <v>ОМВД РОССИИ ПО ВЯЗЕМСКОМУ РАЙОНУ</v>
      </c>
      <c r="B8645" s="24" t="s">
        <v>12633</v>
      </c>
      <c r="C8645" s="25">
        <v>610120</v>
      </c>
      <c r="D8645" s="22" t="s">
        <v>12634</v>
      </c>
      <c r="E8645" s="22" t="s">
        <v>48</v>
      </c>
      <c r="F8645" s="23" t="str">
        <f>HYPERLINK("https://www.spark-marketing.ru/Card/Lot/72617011", "Оказание услуг по организации питания граждан, содержащихся в ИВС")</f>
        <v>Оказание услуг по организации питания граждан, содержащихся в ИВС</v>
      </c>
      <c r="G8645" s="22" t="s">
        <v>1096</v>
      </c>
      <c r="H8645" s="22" t="s">
        <v>1096</v>
      </c>
      <c r="I8645" s="26">
        <v>43683.672384259298</v>
      </c>
      <c r="J8645" s="23" t="str">
        <f>HYPERLINK("https://www.spark-marketing.ru/Card/Person/5898706", "Медведева Галина Иосифовна")</f>
        <v>Медведева Галина Иосифовна</v>
      </c>
      <c r="K8645" s="24" t="s">
        <v>12635</v>
      </c>
      <c r="L8645" s="22" t="s">
        <v>10</v>
      </c>
      <c r="M8645" s="28" t="s">
        <v>51</v>
      </c>
      <c r="N8645" s="28" t="s">
        <v>51</v>
      </c>
    </row>
    <row r="8646" spans="1:14" x14ac:dyDescent="0.15">
      <c r="A8646" s="23" t="str">
        <f>HYPERLINK("https://www.spark-marketing.ru/Card/Person/239548", "МУНИЦИПАЛЬНОЕ БЮДЖЕТНОЕ ОБЩЕОБРАЗОВАТЕЛЬНОЕ УЧРЕЖДЕНИЕ СРЕДНЯЯ ОБЩЕОБРАЗОВАТЕЛЬНАЯ ШКОЛА №1 С УГЛУБЛЕННЫМ ИЗУЧЕНИЕМ ОТДЕЛЬНЫХ ПРЕДМЕТОВ МБОУ СОШ №1 С УГЛУБЛЕННЫМ ИЗУЧЕНИЕМ ОТДЕЛЬНЫХ ПРЕ...")</f>
        <v>МУНИЦИПАЛЬНОЕ БЮДЖЕТНОЕ ОБЩЕОБРАЗОВАТЕЛЬНОЕ УЧРЕЖДЕНИЕ СРЕДНЯЯ ОБЩЕОБРАЗОВАТЕЛЬНАЯ ШКОЛА №1 С УГЛУБЛЕННЫМ ИЗУЧЕНИЕМ ОТДЕЛЬНЫХ ПРЕДМЕТОВ МБОУ СОШ №1 С УГЛУБЛЕННЫМ ИЗУЧЕНИЕМ ОТДЕЛЬНЫХ ПРЕ...</v>
      </c>
      <c r="B8646" s="24" t="s">
        <v>12636</v>
      </c>
      <c r="C8646" s="25">
        <v>5647056.7999999998</v>
      </c>
      <c r="D8646" s="22" t="s">
        <v>12637</v>
      </c>
      <c r="E8646" s="22" t="s">
        <v>48</v>
      </c>
      <c r="F8646" s="23" t="str">
        <f>HYPERLINK("https://www.spark-marketing.ru/Card/Lot/72630736", "Организация питания школьников")</f>
        <v>Организация питания школьников</v>
      </c>
      <c r="G8646" s="22" t="s">
        <v>97</v>
      </c>
      <c r="H8646" s="22" t="s">
        <v>12638</v>
      </c>
      <c r="I8646" s="26">
        <v>43683.677337963003</v>
      </c>
      <c r="J8646" s="23" t="str">
        <f>HYPERLINK("https://www.spark-marketing.ru/Card/Person/238973", "МУП ""ПЫТЬ-ЯХТОРГСЕРВИС"" МО Г.ПЫТЬ-ЯХ")</f>
        <v>МУП "ПЫТЬ-ЯХТОРГСЕРВИС" МО Г.ПЫТЬ-ЯХ</v>
      </c>
      <c r="K8646" s="24" t="s">
        <v>12639</v>
      </c>
      <c r="L8646" s="22" t="s">
        <v>10</v>
      </c>
      <c r="M8646" s="28" t="s">
        <v>51</v>
      </c>
      <c r="N8646" s="28" t="s">
        <v>51</v>
      </c>
    </row>
    <row r="8647" spans="1:14" x14ac:dyDescent="0.15">
      <c r="A8647" s="23" t="str">
        <f>HYPERLINK("https://www.spark-marketing.ru/Card/Person/31952", "ГБУЗ СО ""ДГБ Г.ПЕРВОУРАЛЬСК""")</f>
        <v>ГБУЗ СО "ДГБ Г.ПЕРВОУРАЛЬСК"</v>
      </c>
      <c r="B8647" s="24" t="s">
        <v>12640</v>
      </c>
      <c r="C8647" s="25">
        <v>1723500</v>
      </c>
      <c r="D8647" s="22" t="s">
        <v>12641</v>
      </c>
      <c r="E8647" s="22" t="s">
        <v>48</v>
      </c>
      <c r="F8647" s="23" t="str">
        <f>HYPERLINK("https://www.spark-marketing.ru/Card/Lot/72626398", "Оказание услуг по организации питания")</f>
        <v>Оказание услуг по организации питания</v>
      </c>
      <c r="G8647" s="22" t="s">
        <v>174</v>
      </c>
      <c r="H8647" s="22" t="s">
        <v>3406</v>
      </c>
      <c r="I8647" s="26">
        <v>43683.6901967593</v>
      </c>
      <c r="J8647" s="23" t="str">
        <f>HYPERLINK("https://www.spark-marketing.ru/Card/Person/4422544", "ООО СТОЛОВАЯ ""УРАЛ""")</f>
        <v>ООО СТОЛОВАЯ "УРАЛ"</v>
      </c>
      <c r="K8647" s="24" t="s">
        <v>12642</v>
      </c>
      <c r="L8647" s="22" t="s">
        <v>10</v>
      </c>
      <c r="M8647" s="28" t="s">
        <v>51</v>
      </c>
      <c r="N8647" s="28" t="s">
        <v>51</v>
      </c>
    </row>
    <row r="8648" spans="1:14" x14ac:dyDescent="0.15">
      <c r="A8648" s="23" t="str">
        <f>HYPERLINK("https://www.spark-marketing.ru/Card/Person/254372", "МАУДО ""ДДТ №15""")</f>
        <v>МАУДО "ДДТ №15"</v>
      </c>
      <c r="B8648" s="24" t="s">
        <v>12643</v>
      </c>
      <c r="C8648" s="25">
        <v>80000</v>
      </c>
      <c r="D8648" s="22" t="s">
        <v>12644</v>
      </c>
      <c r="E8648" s="22" t="s">
        <v>12645</v>
      </c>
      <c r="F8648" s="23" t="str">
        <f>HYPERLINK("https://www.spark-marketing.ru/Card/Lot/72632617", "оказание услуг по организации транспортного обслуживания, экскурсионного обслуживания и питания группы школьников в г.Казань для нужд МАУДО «Дом детского творчества №15»")</f>
        <v>оказание услуг по организации транспортного обслуживания, экскурсионного обслуживания и питания группы школьников в г.Казань для нужд МАУДО «Дом детского творчества №15»</v>
      </c>
      <c r="G8648" s="22" t="s">
        <v>217</v>
      </c>
      <c r="H8648" s="22" t="s">
        <v>1998</v>
      </c>
      <c r="I8648" s="26">
        <v>43683.679664351897</v>
      </c>
      <c r="J8648" s="23" t="str">
        <f>HYPERLINK("https://www.spark-marketing.ru/Card/Person/4609957", "ООО ""АЛИАН ПЛЮС""")</f>
        <v>ООО "АЛИАН ПЛЮС"</v>
      </c>
      <c r="K8648" s="24" t="s">
        <v>12646</v>
      </c>
      <c r="L8648" s="28" t="s">
        <v>51</v>
      </c>
      <c r="M8648" s="28" t="s">
        <v>51</v>
      </c>
      <c r="N8648" s="28" t="s">
        <v>51</v>
      </c>
    </row>
    <row r="8649" spans="1:14" x14ac:dyDescent="0.15">
      <c r="A8649" s="23" t="str">
        <f>HYPERLINK("https://www.spark-marketing.ru/Card/Person/137772", "ОТДЕЛ МВД РОССИИ ПО ЕЛАБУЖСКОМУ РАЙОНУ")</f>
        <v>ОТДЕЛ МВД РОССИИ ПО ЕЛАБУЖСКОМУ РАЙОНУ</v>
      </c>
      <c r="B8649" s="24" t="s">
        <v>12647</v>
      </c>
      <c r="C8649" s="25">
        <v>950000</v>
      </c>
      <c r="D8649" s="22" t="s">
        <v>12648</v>
      </c>
      <c r="E8649" s="22" t="s">
        <v>48</v>
      </c>
      <c r="F8649" s="23" t="str">
        <f>HYPERLINK("https://www.spark-marketing.ru/Card/Lot/72632752", "Прочая закупка товаров, работ и услуг (Услуги по обеспечению питание ИВС, СП, КЗСЛ)")</f>
        <v>Прочая закупка товаров, работ и услуг (Услуги по обеспечению питание ИВС, СП, КЗСЛ)</v>
      </c>
      <c r="G8649" s="22" t="s">
        <v>217</v>
      </c>
      <c r="H8649" s="22" t="s">
        <v>12649</v>
      </c>
      <c r="I8649" s="26">
        <v>43683.691620370402</v>
      </c>
      <c r="J8649" s="23" t="str">
        <f>HYPERLINK("https://www.spark-marketing.ru/Card/Person/6221962", "ООО ""РИЕЛЬ""")</f>
        <v>ООО "РИЕЛЬ"</v>
      </c>
      <c r="K8649" s="24" t="s">
        <v>12650</v>
      </c>
      <c r="L8649" s="22" t="s">
        <v>10</v>
      </c>
      <c r="M8649" s="28" t="s">
        <v>51</v>
      </c>
      <c r="N8649" s="28" t="s">
        <v>51</v>
      </c>
    </row>
    <row r="8650" spans="1:14" x14ac:dyDescent="0.15">
      <c r="A8650" s="23" t="str">
        <f>HYPERLINK("https://www.spark-marketing.ru/Card/Person/4929566", "ОМВД РОССИИ ПО ОКТЯБРЬСКОМУ РАЙОНУ Г РЯЗАНИ")</f>
        <v>ОМВД РОССИИ ПО ОКТЯБРЬСКОМУ РАЙОНУ Г РЯЗАНИ</v>
      </c>
      <c r="B8650" s="24" t="s">
        <v>12651</v>
      </c>
      <c r="C8650" s="25">
        <v>15000</v>
      </c>
      <c r="D8650" s="22" t="s">
        <v>12652</v>
      </c>
      <c r="E8650" s="22" t="s">
        <v>96</v>
      </c>
      <c r="F8650" s="23" t="str">
        <f>HYPERLINK("https://www.spark-marketing.ru/Card/Lot/72628177",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8650" s="22" t="s">
        <v>1522</v>
      </c>
      <c r="H8650" s="22" t="s">
        <v>1523</v>
      </c>
      <c r="I8650" s="26">
        <v>43683.668518518498</v>
      </c>
      <c r="J8650" s="28" t="s">
        <v>51</v>
      </c>
      <c r="K8650" s="28" t="s">
        <v>51</v>
      </c>
      <c r="L8650" s="28" t="s">
        <v>51</v>
      </c>
      <c r="M8650" s="28" t="s">
        <v>51</v>
      </c>
      <c r="N8650" s="28" t="s">
        <v>51</v>
      </c>
    </row>
    <row r="8651" spans="1:14" x14ac:dyDescent="0.15">
      <c r="A865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8651" s="24" t="s">
        <v>3255</v>
      </c>
      <c r="C8651" s="25">
        <v>1505985.8</v>
      </c>
      <c r="D8651" s="22" t="s">
        <v>12653</v>
      </c>
      <c r="E8651" s="22" t="s">
        <v>86</v>
      </c>
      <c r="F8651" s="23" t="str">
        <f>HYPERLINK("https://www.spark-marketing.ru/Card/Lot/72619730", "Оказание услуг по приемке, хранению, доставке и отпуску лекарственных препаратов, изделий медицинского назначения, специализированных продуктов лечебного питания для обеспечения отдельных категорий граждан в рамках государственной программы «Развитие...")</f>
        <v>Оказание услуг по приемке, хранению, доставке и отпуску лекарственных препаратов, изделий медицинского назначения, специализированных продуктов лечебного питания для обеспечения отдельных категорий граждан в рамках государственной программы «Развитие...</v>
      </c>
      <c r="G8651" s="22" t="s">
        <v>210</v>
      </c>
      <c r="H8651" s="22" t="s">
        <v>3257</v>
      </c>
      <c r="I8651" s="26">
        <v>43683.701423611099</v>
      </c>
      <c r="J8651" s="23" t="str">
        <f>HYPERLINK("https://www.spark-marketing.ru/Card/Person/264137", "ОАО ""АМУРФАРМАЦИЯ""")</f>
        <v>ОАО "АМУРФАРМАЦИЯ"</v>
      </c>
      <c r="K8651" s="24" t="s">
        <v>3936</v>
      </c>
      <c r="L8651" s="22" t="s">
        <v>10</v>
      </c>
      <c r="M8651" s="28" t="s">
        <v>51</v>
      </c>
      <c r="N8651" s="28" t="s">
        <v>51</v>
      </c>
    </row>
    <row r="8652" spans="1:14" x14ac:dyDescent="0.15">
      <c r="A8652" s="23" t="str">
        <f>HYPERLINK("https://www.spark-marketing.ru/Card/Person/150728", "МДОУ ЦЕНТР РАЗВИТИЯ РЕБЕНКА - ДЕТСКИЙ САД № 2 ""РУЧЕЕК""")</f>
        <v>МДОУ ЦЕНТР РАЗВИТИЯ РЕБЕНКА - ДЕТСКИЙ САД № 2 "РУЧЕЕК"</v>
      </c>
      <c r="B8652" s="24" t="s">
        <v>12654</v>
      </c>
      <c r="C8652" s="25">
        <v>398772</v>
      </c>
      <c r="D8652" s="22" t="s">
        <v>12655</v>
      </c>
      <c r="E8652" s="22" t="s">
        <v>48</v>
      </c>
      <c r="F8652" s="23" t="str">
        <f>HYPERLINK("https://www.spark-marketing.ru/Card/Lot/72630912",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8652" s="22" t="s">
        <v>49</v>
      </c>
      <c r="H8652" s="22" t="s">
        <v>50</v>
      </c>
      <c r="I8652" s="26">
        <v>43683.690335648098</v>
      </c>
      <c r="J8652" s="28" t="s">
        <v>51</v>
      </c>
      <c r="K8652" s="28" t="s">
        <v>51</v>
      </c>
      <c r="L8652" s="28" t="s">
        <v>51</v>
      </c>
      <c r="M8652" s="28" t="s">
        <v>51</v>
      </c>
      <c r="N8652" s="28" t="s">
        <v>51</v>
      </c>
    </row>
    <row r="8653" spans="1:14" x14ac:dyDescent="0.15">
      <c r="A8653" s="23" t="str">
        <f>HYPERLINK("https://www.spark-marketing.ru/Card/Person/1004294", "МБОУ ""СШ № 7""")</f>
        <v>МБОУ "СШ № 7"</v>
      </c>
      <c r="B8653" s="24" t="s">
        <v>12656</v>
      </c>
      <c r="C8653" s="25">
        <v>820648</v>
      </c>
      <c r="D8653" s="22" t="s">
        <v>12657</v>
      </c>
      <c r="E8653" s="22" t="s">
        <v>48</v>
      </c>
      <c r="F8653" s="23" t="str">
        <f>HYPERLINK("https://www.spark-marketing.ru/Card/Lot/72630514", "Оказание услуг по организации горячего питания и обеспечению горячим питанием учащихся МБОУ ""СШ № 7""")</f>
        <v>Оказание услуг по организации горячего питания и обеспечению горячим питанием учащихся МБОУ "СШ № 7"</v>
      </c>
      <c r="G8653" s="22" t="s">
        <v>460</v>
      </c>
      <c r="H8653" s="22" t="s">
        <v>461</v>
      </c>
      <c r="I8653" s="26">
        <v>43683.670289351903</v>
      </c>
      <c r="J8653" s="28" t="s">
        <v>51</v>
      </c>
      <c r="K8653" s="28" t="s">
        <v>51</v>
      </c>
      <c r="L8653" s="28" t="s">
        <v>51</v>
      </c>
      <c r="M8653" s="28" t="s">
        <v>51</v>
      </c>
      <c r="N8653" s="28" t="s">
        <v>51</v>
      </c>
    </row>
    <row r="8654" spans="1:14" x14ac:dyDescent="0.15">
      <c r="A8654" s="23" t="str">
        <f>HYPERLINK("https://www.spark-marketing.ru/Card/Person/148241", "ОТДЕЛ МВД РОССИИ ПО НЕФТЕКУМСКОМУ ГОРОДСКОМУ ОКРУГУ")</f>
        <v>ОТДЕЛ МВД РОССИИ ПО НЕФТЕКУМСКОМУ ГОРОДСКОМУ ОКРУГУ</v>
      </c>
      <c r="B8654" s="24" t="s">
        <v>4280</v>
      </c>
      <c r="C8654" s="25">
        <v>348900</v>
      </c>
      <c r="D8654" s="22" t="s">
        <v>12658</v>
      </c>
      <c r="E8654" s="22" t="s">
        <v>48</v>
      </c>
      <c r="F8654" s="23" t="str">
        <f>HYPERLINK("https://www.spark-marketing.ru/Card/Lot/72639888", "оказание услуг по приготовлению ежедневного 3-х разового питания (готовых комплексных завтраков, обедов и ужинов) для лиц, арестованных  за совершение  административного правонарушения, лиц  задержанных за совершение административного правонарушения,...")</f>
        <v>оказание услуг по приготовлению ежедневного 3-х разового питания (готовых комплексных завтраков, обедов и ужинов) для лиц, арестованных  за совершение  административного правонарушения, лиц  задержанных за совершение административного правонарушения,...</v>
      </c>
      <c r="G8654" s="22" t="s">
        <v>87</v>
      </c>
      <c r="H8654" s="22" t="s">
        <v>87</v>
      </c>
      <c r="I8654" s="26">
        <v>43683.697465277801</v>
      </c>
      <c r="J8654" s="23" t="str">
        <f>HYPERLINK("https://www.spark-marketing.ru/Card/Person/213719", "Захарьящева Наталья Ивановна")</f>
        <v>Захарьящева Наталья Ивановна</v>
      </c>
      <c r="K8654" s="24" t="s">
        <v>4282</v>
      </c>
      <c r="L8654" s="22" t="s">
        <v>10</v>
      </c>
      <c r="M8654" s="28" t="s">
        <v>51</v>
      </c>
      <c r="N8654" s="28" t="s">
        <v>51</v>
      </c>
    </row>
    <row r="8655" spans="1:14" x14ac:dyDescent="0.15">
      <c r="A8655" s="23" t="str">
        <f>HYPERLINK("https://www.spark-marketing.ru/Card/Person/272640", "МО МВД РОССИИ ""ПАВЛОВСКИЙ""")</f>
        <v>МО МВД РОССИИ "ПАВЛОВСКИЙ"</v>
      </c>
      <c r="B8655" s="24" t="s">
        <v>7516</v>
      </c>
      <c r="C8655" s="25">
        <v>541269</v>
      </c>
      <c r="D8655" s="22" t="s">
        <v>12659</v>
      </c>
      <c r="E8655" s="22" t="s">
        <v>48</v>
      </c>
      <c r="F8655" s="23" t="str">
        <f>HYPERLINK("https://www.spark-marketing.ru/Card/Lot/72641943", "Оказание услуг по организации питания лиц, арестованных в административном порядке и следственно-арестованных лиц, содержащихся в изоляторах временного содержания, камере задержанных лиц  МО МВД России ""Павловский"", по адресу:Нижегородская область,...")</f>
        <v>Оказание услуг по организации питания лиц, арестованных в административном порядке и следственно-арестованных лиц, содержащихся в изоляторах временного содержания, камере задержанных лиц  МО МВД России "Павловский", по адресу:Нижегородская область,...</v>
      </c>
      <c r="G8655" s="22" t="s">
        <v>76</v>
      </c>
      <c r="H8655" s="22" t="s">
        <v>7518</v>
      </c>
      <c r="I8655" s="26">
        <v>43683.698402777802</v>
      </c>
      <c r="J8655" s="28" t="s">
        <v>51</v>
      </c>
      <c r="K8655" s="28" t="s">
        <v>51</v>
      </c>
      <c r="L8655" s="28" t="s">
        <v>51</v>
      </c>
      <c r="M8655" s="28" t="s">
        <v>51</v>
      </c>
      <c r="N8655" s="28" t="s">
        <v>51</v>
      </c>
    </row>
    <row r="8656" spans="1:14" x14ac:dyDescent="0.15">
      <c r="A8656" s="23" t="str">
        <f>HYPERLINK("https://www.spark-marketing.ru/Card/Person/1027210", "МБДОУ ВМР ""СЕМЕНКОВСКИЙ ДЕТСКИЙ САД ОБЩЕРАЗВИВАЮЩЕГО ВИДА""")</f>
        <v>МБДОУ ВМР "СЕМЕНКОВСКИЙ ДЕТСКИЙ САД ОБЩЕРАЗВИВАЮЩЕГО ВИДА"</v>
      </c>
      <c r="B8656" s="24" t="s">
        <v>12660</v>
      </c>
      <c r="C8656" s="25">
        <v>1196690</v>
      </c>
      <c r="D8656" s="22" t="s">
        <v>12661</v>
      </c>
      <c r="E8656" s="22" t="s">
        <v>48</v>
      </c>
      <c r="F8656" s="23" t="str">
        <f>HYPERLINK("https://www.spark-marketing.ru/Card/Lot/72632118", "Оказание услуги по организации питания воспитанников МБДОУ ВМР ""Семенковский детский сад общеразвивающего вида""")</f>
        <v>Оказание услуги по организации питания воспитанников МБДОУ ВМР "Семенковский детский сад общеразвивающего вида"</v>
      </c>
      <c r="G8656" s="22" t="s">
        <v>503</v>
      </c>
      <c r="H8656" s="22" t="s">
        <v>12630</v>
      </c>
      <c r="I8656" s="26">
        <v>43683.700995370396</v>
      </c>
      <c r="J8656" s="28" t="s">
        <v>51</v>
      </c>
      <c r="K8656" s="28" t="s">
        <v>51</v>
      </c>
      <c r="L8656" s="28" t="s">
        <v>51</v>
      </c>
      <c r="M8656" s="28" t="s">
        <v>51</v>
      </c>
      <c r="N8656" s="28" t="s">
        <v>51</v>
      </c>
    </row>
    <row r="8657" spans="1:14" hidden="1" outlineLevel="1" x14ac:dyDescent="0.2">
      <c r="A8657" s="23" t="str">
        <f>HYPERLINK("https://www.spark-marketing.ru/Card/Person/1027210", "МБДОУ ВМР ""СЕМЕНКОВСКИЙ ДЕТСКИЙ САД ОБЩЕРАЗВИВАЮЩЕГО ВИДА""")</f>
        <v>МБДОУ ВМР "СЕМЕНКОВСКИЙ ДЕТСКИЙ САД ОБЩЕРАЗВИВАЮЩЕГО ВИДА"</v>
      </c>
      <c r="B8657" s="24" t="s">
        <v>12660</v>
      </c>
      <c r="C8657" s="25">
        <v>1196690</v>
      </c>
      <c r="D8657" s="22" t="s">
        <v>12661</v>
      </c>
      <c r="E8657" s="22" t="s">
        <v>48</v>
      </c>
      <c r="F8657" s="23" t="str">
        <f>HYPERLINK("https://www.spark-marketing.ru/Card/Lot/72632118", "Оказание услуги по организации питания воспитанников МБДОУ ВМР ""Семенковский детский сад общеразвивающего вида""")</f>
        <v>Оказание услуги по организации питания воспитанников МБДОУ ВМР "Семенковский детский сад общеразвивающего вида"</v>
      </c>
      <c r="G8657" s="22" t="s">
        <v>503</v>
      </c>
      <c r="H8657" s="22" t="s">
        <v>12630</v>
      </c>
      <c r="I8657" s="26">
        <v>43683.700995370396</v>
      </c>
      <c r="J8657" s="23" t="str">
        <f>HYPERLINK("https://www.spark-marketing.ru/Card/Person/4887827", "Буренин Михаил Викторович")</f>
        <v>Буренин Михаил Викторович</v>
      </c>
      <c r="K8657" s="24" t="s">
        <v>12662</v>
      </c>
      <c r="L8657" s="28" t="s">
        <v>51</v>
      </c>
      <c r="M8657" s="25">
        <v>782628.7</v>
      </c>
      <c r="N8657" s="27">
        <v>0.3460054817872632</v>
      </c>
    </row>
    <row r="8658" spans="1:14" hidden="1" outlineLevel="1" x14ac:dyDescent="0.2">
      <c r="A8658" s="23" t="str">
        <f>HYPERLINK("https://www.spark-marketing.ru/Card/Person/1027210", "МБДОУ ВМР ""СЕМЕНКОВСКИЙ ДЕТСКИЙ САД ОБЩЕРАЗВИВАЮЩЕГО ВИДА""")</f>
        <v>МБДОУ ВМР "СЕМЕНКОВСКИЙ ДЕТСКИЙ САД ОБЩЕРАЗВИВАЮЩЕГО ВИДА"</v>
      </c>
      <c r="B8658" s="24" t="s">
        <v>12660</v>
      </c>
      <c r="C8658" s="25">
        <v>1196690</v>
      </c>
      <c r="D8658" s="22" t="s">
        <v>12661</v>
      </c>
      <c r="E8658" s="22" t="s">
        <v>48</v>
      </c>
      <c r="F8658" s="23" t="str">
        <f>HYPERLINK("https://www.spark-marketing.ru/Card/Lot/72632118", "Оказание услуги по организации питания воспитанников МБДОУ ВМР ""Семенковский детский сад общеразвивающего вида""")</f>
        <v>Оказание услуги по организации питания воспитанников МБДОУ ВМР "Семенковский детский сад общеразвивающего вида"</v>
      </c>
      <c r="G8658" s="22" t="s">
        <v>503</v>
      </c>
      <c r="H8658" s="22" t="s">
        <v>12630</v>
      </c>
      <c r="I8658" s="26">
        <v>43683.700995370396</v>
      </c>
      <c r="J8658" s="23" t="str">
        <f>HYPERLINK("https://www.spark-marketing.ru/Card/Person/4358294", "Гагарина Надежда Александровна")</f>
        <v>Гагарина Надежда Александровна</v>
      </c>
      <c r="K8658" s="24" t="s">
        <v>12663</v>
      </c>
      <c r="L8658" s="28" t="s">
        <v>51</v>
      </c>
      <c r="M8658" s="25">
        <v>1071037.55</v>
      </c>
      <c r="N8658" s="27">
        <v>0.105</v>
      </c>
    </row>
    <row r="8659" spans="1:14" ht="12.75" hidden="1" outlineLevel="1" x14ac:dyDescent="0.2">
      <c r="A8659" s="23" t="str">
        <f>HYPERLINK("https://www.spark-marketing.ru/Card/Person/1027210", "МБДОУ ВМР ""СЕМЕНКОВСКИЙ ДЕТСКИЙ САД ОБЩЕРАЗВИВАЮЩЕГО ВИДА""")</f>
        <v>МБДОУ ВМР "СЕМЕНКОВСКИЙ ДЕТСКИЙ САД ОБЩЕРАЗВИВАЮЩЕГО ВИДА"</v>
      </c>
      <c r="B8659" s="24" t="s">
        <v>12660</v>
      </c>
      <c r="C8659" s="25">
        <v>1196690</v>
      </c>
      <c r="D8659" s="22" t="s">
        <v>12661</v>
      </c>
      <c r="E8659" s="22" t="s">
        <v>48</v>
      </c>
      <c r="F8659" s="23" t="str">
        <f>HYPERLINK("https://www.spark-marketing.ru/Card/Lot/72632118", "Оказание услуги по организации питания воспитанников МБДОУ ВМР ""Семенковский детский сад общеразвивающего вида""")</f>
        <v>Оказание услуги по организации питания воспитанников МБДОУ ВМР "Семенковский детский сад общеразвивающего вида"</v>
      </c>
      <c r="G8659" s="22" t="s">
        <v>503</v>
      </c>
      <c r="H8659" s="22" t="s">
        <v>12630</v>
      </c>
      <c r="I8659" s="26">
        <v>43683.700995370396</v>
      </c>
      <c r="J8659" s="23" t="str">
        <f>HYPERLINK("https://www.spark-marketing.ru/Card/Person/514682", "Попова Галина Анатольевна")</f>
        <v>Попова Галина Анатольевна</v>
      </c>
      <c r="K8659" s="24" t="s">
        <v>12631</v>
      </c>
      <c r="L8659" s="22" t="s">
        <v>10</v>
      </c>
      <c r="M8659" s="25">
        <v>776645.25</v>
      </c>
      <c r="N8659" s="27">
        <v>0.35100548178726321</v>
      </c>
    </row>
    <row r="8660" spans="1:14" x14ac:dyDescent="0.15">
      <c r="A8660" s="23" t="str">
        <f>HYPERLINK("https://www.spark-marketing.ru/Card/Person/6494282", "УПРАВЛЕНИЕ РОСГВАРДИИ ПО КАМЧАТСКОМУ КРАЮ")</f>
        <v>УПРАВЛЕНИЕ РОСГВАРДИИ ПО КАМЧАТСКОМУ КРАЮ</v>
      </c>
      <c r="B8660" s="24" t="s">
        <v>12664</v>
      </c>
      <c r="C8660" s="25">
        <v>310200</v>
      </c>
      <c r="D8660" s="22" t="s">
        <v>12665</v>
      </c>
      <c r="E8660" s="22" t="s">
        <v>96</v>
      </c>
      <c r="F8660" s="23" t="str">
        <f>HYPERLINK("https://www.spark-marketing.ru/Card/Lot/72614104", "Оказание услуг по организации ежедневного горячего питания летного состава")</f>
        <v>Оказание услуг по организации ежедневного горячего питания летного состава</v>
      </c>
      <c r="G8660" s="22" t="s">
        <v>246</v>
      </c>
      <c r="H8660" s="22" t="s">
        <v>247</v>
      </c>
      <c r="I8660" s="26">
        <v>43683.687604166698</v>
      </c>
      <c r="J8660" s="23" t="str">
        <f>HYPERLINK("https://www.spark-marketing.ru/Card/Person/147450", "Гагиев Сослан Маратович")</f>
        <v>Гагиев Сослан Маратович</v>
      </c>
      <c r="K8660" s="24" t="s">
        <v>10018</v>
      </c>
      <c r="L8660" s="22" t="s">
        <v>10</v>
      </c>
      <c r="M8660" s="28" t="s">
        <v>51</v>
      </c>
      <c r="N8660" s="28" t="s">
        <v>51</v>
      </c>
    </row>
    <row r="8661" spans="1:14" x14ac:dyDescent="0.15">
      <c r="A8661" s="23" t="str">
        <f>HYPERLINK("https://www.spark-marketing.ru/Card/Person/151015", "СРЦДН Г. ГЛАЗОВА «СЕМЬЯ»")</f>
        <v>СРЦДН Г. ГЛАЗОВА «СЕМЬЯ»</v>
      </c>
      <c r="B8661" s="24" t="s">
        <v>990</v>
      </c>
      <c r="C8661" s="25">
        <v>58720</v>
      </c>
      <c r="D8661" s="22" t="s">
        <v>12666</v>
      </c>
      <c r="E8661" s="22" t="s">
        <v>336</v>
      </c>
      <c r="F8661" s="23" t="str">
        <f>HYPERLINK("https://www.spark-marketing.ru/Card/Lot/72629612", "№ зз-26523-19 Оказание услуг по поставке детского питания")</f>
        <v>№ зз-26523-19 Оказание услуг по поставке детского питания</v>
      </c>
      <c r="G8661" s="22" t="s">
        <v>852</v>
      </c>
      <c r="H8661" s="22" t="s">
        <v>992</v>
      </c>
      <c r="I8661" s="26">
        <v>43683.672662037003</v>
      </c>
      <c r="J8661" s="28" t="s">
        <v>51</v>
      </c>
      <c r="K8661" s="28" t="s">
        <v>51</v>
      </c>
      <c r="L8661" s="28" t="s">
        <v>51</v>
      </c>
      <c r="M8661" s="28" t="s">
        <v>51</v>
      </c>
      <c r="N8661" s="28" t="s">
        <v>51</v>
      </c>
    </row>
    <row r="8662" spans="1:14" ht="12.75" hidden="1" outlineLevel="1" x14ac:dyDescent="0.2">
      <c r="A8662" s="23" t="str">
        <f>HYPERLINK("https://www.spark-marketing.ru/Card/Person/151015", "СРЦДН Г. ГЛАЗОВА «СЕМЬЯ»")</f>
        <v>СРЦДН Г. ГЛАЗОВА «СЕМЬЯ»</v>
      </c>
      <c r="B8662" s="24" t="s">
        <v>990</v>
      </c>
      <c r="C8662" s="25">
        <v>58720</v>
      </c>
      <c r="D8662" s="22" t="s">
        <v>12666</v>
      </c>
      <c r="E8662" s="22" t="s">
        <v>336</v>
      </c>
      <c r="F8662" s="23" t="str">
        <f>HYPERLINK("https://www.spark-marketing.ru/Card/Lot/72629612", "№ зз-26523-19 Оказание услуг по поставке детского питания")</f>
        <v>№ зз-26523-19 Оказание услуг по поставке детского питания</v>
      </c>
      <c r="G8662" s="22" t="s">
        <v>852</v>
      </c>
      <c r="H8662" s="22" t="s">
        <v>992</v>
      </c>
      <c r="I8662" s="26">
        <v>43683.672662037003</v>
      </c>
      <c r="J8662" s="23" t="str">
        <f>HYPERLINK("https://www.spark-marketing.ru/Card/Person/372541", "Соловьева Татьяна Евгеньевна")</f>
        <v>Соловьева Татьяна Евгеньевна</v>
      </c>
      <c r="K8662" s="24" t="s">
        <v>12667</v>
      </c>
      <c r="L8662" s="22" t="s">
        <v>10</v>
      </c>
      <c r="M8662" s="25">
        <v>47309.760000000002</v>
      </c>
      <c r="N8662" s="27">
        <v>0.19431607629427794</v>
      </c>
    </row>
    <row r="8663" spans="1:14" hidden="1" outlineLevel="1" x14ac:dyDescent="0.2">
      <c r="A8663" s="23" t="str">
        <f>HYPERLINK("https://www.spark-marketing.ru/Card/Person/151015", "СРЦДН Г. ГЛАЗОВА «СЕМЬЯ»")</f>
        <v>СРЦДН Г. ГЛАЗОВА «СЕМЬЯ»</v>
      </c>
      <c r="B8663" s="24" t="s">
        <v>990</v>
      </c>
      <c r="C8663" s="25">
        <v>58720</v>
      </c>
      <c r="D8663" s="22" t="s">
        <v>12666</v>
      </c>
      <c r="E8663" s="22" t="s">
        <v>336</v>
      </c>
      <c r="F8663" s="23" t="str">
        <f>HYPERLINK("https://www.spark-marketing.ru/Card/Lot/72629612", "№ зз-26523-19 Оказание услуг по поставке детского питания")</f>
        <v>№ зз-26523-19 Оказание услуг по поставке детского питания</v>
      </c>
      <c r="G8663" s="22" t="s">
        <v>852</v>
      </c>
      <c r="H8663" s="22" t="s">
        <v>992</v>
      </c>
      <c r="I8663" s="26">
        <v>43683.672662037003</v>
      </c>
      <c r="J8663" s="23" t="str">
        <f>HYPERLINK("https://www.spark-marketing.ru/Card/Person/5909620", "ООО ""ЗДОРОВЬЕ""")</f>
        <v>ООО "ЗДОРОВЬЕ"</v>
      </c>
      <c r="K8663" s="24" t="s">
        <v>12668</v>
      </c>
      <c r="L8663" s="28" t="s">
        <v>51</v>
      </c>
      <c r="M8663" s="25">
        <v>57000</v>
      </c>
      <c r="N8663" s="27">
        <v>2.9291553133514985E-2</v>
      </c>
    </row>
    <row r="8664" spans="1:14" x14ac:dyDescent="0.15">
      <c r="A8664" s="23" t="str">
        <f>HYPERLINK("https://www.spark-marketing.ru/Card/Person/1030035", "МБОУ ""СШ № 11""")</f>
        <v>МБОУ "СШ № 11"</v>
      </c>
      <c r="B8664" s="24" t="s">
        <v>12669</v>
      </c>
      <c r="C8664" s="25">
        <v>902286</v>
      </c>
      <c r="D8664" s="22" t="s">
        <v>12670</v>
      </c>
      <c r="E8664" s="22" t="s">
        <v>48</v>
      </c>
      <c r="F8664" s="23" t="str">
        <f>HYPERLINK("https://www.spark-marketing.ru/Card/Lot/72631425", "Оказание услуг по организации горячего питания и обеспечению горячим питанием учащихся МБОУ ""СШ № 11""")</f>
        <v>Оказание услуг по организации горячего питания и обеспечению горячим питанием учащихся МБОУ "СШ № 11"</v>
      </c>
      <c r="G8664" s="22" t="s">
        <v>460</v>
      </c>
      <c r="H8664" s="22" t="s">
        <v>461</v>
      </c>
      <c r="I8664" s="26">
        <v>43683.658472222203</v>
      </c>
      <c r="J8664" s="28" t="s">
        <v>51</v>
      </c>
      <c r="K8664" s="28" t="s">
        <v>51</v>
      </c>
      <c r="L8664" s="28" t="s">
        <v>51</v>
      </c>
      <c r="M8664" s="28" t="s">
        <v>51</v>
      </c>
      <c r="N8664" s="28" t="s">
        <v>51</v>
      </c>
    </row>
    <row r="8665" spans="1:14" x14ac:dyDescent="0.15">
      <c r="A8665" s="23" t="str">
        <f>HYPERLINK("https://www.spark-marketing.ru/Card/Person/4351390", "ОТДЕЛ МВД РОССИИ ПО ПЛАСТОВСКОМУ РАЙОНУ ЧЕЛЯБИНСКОЙ ОБЛАСТИ")</f>
        <v>ОТДЕЛ МВД РОССИИ ПО ПЛАСТОВСКОМУ РАЙОНУ ЧЕЛЯБИНСКОЙ ОБЛАСТИ</v>
      </c>
      <c r="B8665" s="24" t="s">
        <v>12671</v>
      </c>
      <c r="C8665" s="25">
        <v>450000</v>
      </c>
      <c r="D8665" s="22" t="s">
        <v>12672</v>
      </c>
      <c r="E8665" s="22" t="s">
        <v>48</v>
      </c>
      <c r="F8665" s="23" t="str">
        <f>HYPERLINK("https://www.spark-marketing.ru/Card/Lot/72626381", "Услуги по обеспечению ежедневным трехразовым питанием лиц, содержащихся в изоляторе временного содержания и лиц, содержащихся в комнатах для задержанных дежурных частей более 3-х часов Отдела МВД России по Пластовскому району Челябинской области")</f>
        <v>Услуги по обеспечению ежедневным трехразовым питанием лиц, содержащихся в изоляторе временного содержания и лиц, содержащихся в комнатах для задержанных дежурных частей более 3-х часов Отдела МВД России по Пластовскому району Челябинской области</v>
      </c>
      <c r="G8665" s="22" t="s">
        <v>469</v>
      </c>
      <c r="H8665" s="22" t="s">
        <v>469</v>
      </c>
      <c r="I8665" s="26">
        <v>43683.641990740703</v>
      </c>
      <c r="J8665" s="23" t="str">
        <f>HYPERLINK("https://www.spark-marketing.ru/Card/Person/1512897", "Каргина Ольга Михайловна")</f>
        <v>Каргина Ольга Михайловна</v>
      </c>
      <c r="K8665" s="24" t="s">
        <v>12673</v>
      </c>
      <c r="L8665" s="22" t="s">
        <v>10</v>
      </c>
      <c r="M8665" s="28" t="s">
        <v>51</v>
      </c>
      <c r="N8665" s="28" t="s">
        <v>51</v>
      </c>
    </row>
    <row r="8666" spans="1:14" x14ac:dyDescent="0.15">
      <c r="A8666" s="23" t="str">
        <f>HYPERLINK("https://www.spark-marketing.ru/Card/Person/21942", "ЛИХОВСКОЙ ЛО МВД РОССИИ НА ТРАНСПОРТЕ")</f>
        <v>ЛИХОВСКОЙ ЛО МВД РОССИИ НА ТРАНСПОРТЕ</v>
      </c>
      <c r="B8666" s="24" t="s">
        <v>12674</v>
      </c>
      <c r="C8666" s="25">
        <v>70000</v>
      </c>
      <c r="D8666" s="22" t="s">
        <v>12675</v>
      </c>
      <c r="E8666" s="22" t="s">
        <v>96</v>
      </c>
      <c r="F8666" s="23" t="str">
        <f>HYPERLINK("https://www.spark-marketing.ru/Card/Lot/72626501", "Оказание услуг по организации питания (приготовлению и доставке), 190 шт")</f>
        <v>Оказание услуг по организации питания (приготовлению и доставке), 190 шт</v>
      </c>
      <c r="G8666" s="22" t="s">
        <v>267</v>
      </c>
      <c r="H8666" s="22" t="s">
        <v>9645</v>
      </c>
      <c r="I8666" s="26">
        <v>43683.640844907401</v>
      </c>
      <c r="J8666" s="28" t="s">
        <v>51</v>
      </c>
      <c r="K8666" s="28" t="s">
        <v>51</v>
      </c>
      <c r="L8666" s="28" t="s">
        <v>51</v>
      </c>
      <c r="M8666" s="28" t="s">
        <v>51</v>
      </c>
      <c r="N8666" s="28" t="s">
        <v>51</v>
      </c>
    </row>
    <row r="8667" spans="1:14" x14ac:dyDescent="0.15">
      <c r="A8667" s="23" t="str">
        <f>HYPERLINK("https://www.spark-marketing.ru/Card/Person/6227795", "ОМВД РОССИИ ПО ЗАСВИЯЖСКОМУ РАЙОНУ Г.УЛЬЯНОВСКА")</f>
        <v>ОМВД РОССИИ ПО ЗАСВИЯЖСКОМУ РАЙОНУ Г.УЛЬЯНОВСКА</v>
      </c>
      <c r="B8667" s="24" t="s">
        <v>12676</v>
      </c>
      <c r="C8667" s="25">
        <v>75250</v>
      </c>
      <c r="D8667" s="22" t="s">
        <v>12677</v>
      </c>
      <c r="E8667" s="22" t="s">
        <v>96</v>
      </c>
      <c r="F8667" s="23" t="str">
        <f>HYPERLINK("https://www.spark-marketing.ru/Card/Lot/72628119",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8667" s="22" t="s">
        <v>1918</v>
      </c>
      <c r="H8667" s="22" t="s">
        <v>2140</v>
      </c>
      <c r="I8667" s="26">
        <v>43683.660960648202</v>
      </c>
      <c r="J8667" s="28" t="s">
        <v>51</v>
      </c>
      <c r="K8667" s="28" t="s">
        <v>51</v>
      </c>
      <c r="L8667" s="28" t="s">
        <v>51</v>
      </c>
      <c r="M8667" s="28" t="s">
        <v>51</v>
      </c>
      <c r="N8667" s="28" t="s">
        <v>51</v>
      </c>
    </row>
    <row r="8668" spans="1:14" x14ac:dyDescent="0.15">
      <c r="A8668" s="23" t="str">
        <f>HYPERLINK("https://www.spark-marketing.ru/Card/Person/6227795", "ОМВД РОССИИ ПО ЗАСВИЯЖСКОМУ РАЙОНУ Г.УЛЬЯНОВСКА")</f>
        <v>ОМВД РОССИИ ПО ЗАСВИЯЖСКОМУ РАЙОНУ Г.УЛЬЯНОВСКА</v>
      </c>
      <c r="B8668" s="24" t="s">
        <v>12676</v>
      </c>
      <c r="C8668" s="25">
        <v>75250</v>
      </c>
      <c r="D8668" s="22" t="s">
        <v>12678</v>
      </c>
      <c r="E8668" s="22" t="s">
        <v>96</v>
      </c>
      <c r="F8668" s="23" t="str">
        <f>HYPERLINK("https://www.spark-marketing.ru/Card/Lot/72628053",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8668" s="22" t="s">
        <v>1918</v>
      </c>
      <c r="H8668" s="22" t="s">
        <v>2140</v>
      </c>
      <c r="I8668" s="26">
        <v>43683.663634259297</v>
      </c>
      <c r="J8668" s="28" t="s">
        <v>51</v>
      </c>
      <c r="K8668" s="28" t="s">
        <v>51</v>
      </c>
      <c r="L8668" s="28" t="s">
        <v>51</v>
      </c>
      <c r="M8668" s="28" t="s">
        <v>51</v>
      </c>
      <c r="N8668" s="28" t="s">
        <v>51</v>
      </c>
    </row>
    <row r="8669" spans="1:14" x14ac:dyDescent="0.15">
      <c r="A8669" s="23" t="str">
        <f>HYPERLINK("https://www.spark-marketing.ru/Card/Person/21942", "ЛИХОВСКОЙ ЛО МВД РОССИИ НА ТРАНСПОРТЕ")</f>
        <v>ЛИХОВСКОЙ ЛО МВД РОССИИ НА ТРАНСПОРТЕ</v>
      </c>
      <c r="B8669" s="24" t="s">
        <v>12674</v>
      </c>
      <c r="C8669" s="25">
        <v>70000</v>
      </c>
      <c r="D8669" s="22" t="s">
        <v>12679</v>
      </c>
      <c r="E8669" s="22" t="s">
        <v>96</v>
      </c>
      <c r="F8669" s="23" t="str">
        <f>HYPERLINK("https://www.spark-marketing.ru/Card/Lot/72626525", "Оказание услуг по организации питания (приготовлению и доставке), 190 шт")</f>
        <v>Оказание услуг по организации питания (приготовлению и доставке), 190 шт</v>
      </c>
      <c r="G8669" s="22" t="s">
        <v>267</v>
      </c>
      <c r="H8669" s="22" t="s">
        <v>9645</v>
      </c>
      <c r="I8669" s="26">
        <v>43683.6335763889</v>
      </c>
      <c r="J8669" s="28" t="s">
        <v>51</v>
      </c>
      <c r="K8669" s="28" t="s">
        <v>51</v>
      </c>
      <c r="L8669" s="28" t="s">
        <v>51</v>
      </c>
      <c r="M8669" s="28" t="s">
        <v>51</v>
      </c>
      <c r="N8669" s="28" t="s">
        <v>51</v>
      </c>
    </row>
    <row r="8670" spans="1:14" x14ac:dyDescent="0.15">
      <c r="A8670" s="23" t="str">
        <f>HYPERLINK("https://www.spark-marketing.ru/Card/Person/998128", "МБОУ ""СШ № 19 ИМ. ГЕРОЯ РОССИИ ПАНОВА""")</f>
        <v>МБОУ "СШ № 19 ИМ. ГЕРОЯ РОССИИ ПАНОВА"</v>
      </c>
      <c r="B8670" s="24" t="s">
        <v>12680</v>
      </c>
      <c r="C8670" s="25">
        <v>568490</v>
      </c>
      <c r="D8670" s="22" t="s">
        <v>12681</v>
      </c>
      <c r="E8670" s="22" t="s">
        <v>48</v>
      </c>
      <c r="F8670" s="23" t="str">
        <f>HYPERLINK("https://www.spark-marketing.ru/Card/Lot/72630688", "Оказание услуги по организации горячего питания и обеспечению горячим питанием учащихся МБОУ ""СШ № 19 им. Героя России Панова""")</f>
        <v>Оказание услуги по организации горячего питания и обеспечению горячим питанием учащихся МБОУ "СШ № 19 им. Героя России Панова"</v>
      </c>
      <c r="G8670" s="22" t="s">
        <v>460</v>
      </c>
      <c r="H8670" s="22" t="s">
        <v>461</v>
      </c>
      <c r="I8670" s="26">
        <v>43683.663645833301</v>
      </c>
      <c r="J8670" s="28" t="s">
        <v>51</v>
      </c>
      <c r="K8670" s="28" t="s">
        <v>51</v>
      </c>
      <c r="L8670" s="28" t="s">
        <v>51</v>
      </c>
      <c r="M8670" s="28" t="s">
        <v>51</v>
      </c>
      <c r="N8670" s="28" t="s">
        <v>51</v>
      </c>
    </row>
    <row r="8671" spans="1:14" x14ac:dyDescent="0.15">
      <c r="A8671" s="23" t="str">
        <f>HYPERLINK("https://www.spark-marketing.ru/Card/Person/4929566", "ОМВД РОССИИ ПО ОКТЯБРЬСКОМУ РАЙОНУ Г РЯЗАНИ")</f>
        <v>ОМВД РОССИИ ПО ОКТЯБРЬСКОМУ РАЙОНУ Г РЯЗАНИ</v>
      </c>
      <c r="B8671" s="24" t="s">
        <v>12651</v>
      </c>
      <c r="C8671" s="25">
        <v>15000</v>
      </c>
      <c r="D8671" s="22" t="s">
        <v>12682</v>
      </c>
      <c r="E8671" s="22" t="s">
        <v>96</v>
      </c>
      <c r="F8671" s="23" t="str">
        <f>HYPERLINK("https://www.spark-marketing.ru/Card/Lot/72628070",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8671" s="22" t="s">
        <v>1522</v>
      </c>
      <c r="H8671" s="22" t="s">
        <v>1523</v>
      </c>
      <c r="I8671" s="26">
        <v>43683.665509259299</v>
      </c>
      <c r="J8671" s="28" t="s">
        <v>51</v>
      </c>
      <c r="K8671" s="28" t="s">
        <v>51</v>
      </c>
      <c r="L8671" s="28" t="s">
        <v>51</v>
      </c>
      <c r="M8671" s="28" t="s">
        <v>51</v>
      </c>
      <c r="N8671" s="28" t="s">
        <v>51</v>
      </c>
    </row>
    <row r="8672" spans="1:14" x14ac:dyDescent="0.15">
      <c r="A8672" s="23" t="str">
        <f>HYPERLINK("https://www.spark-marketing.ru/Card/Person/140828", "ОТДЕЛ МВД РОССИИ ПО ЧАЙКОВСКОМУ ГОРОДСКОМУ ОКРУГУ")</f>
        <v>ОТДЕЛ МВД РОССИИ ПО ЧАЙКОВСКОМУ ГОРОДСКОМУ ОКРУГУ</v>
      </c>
      <c r="B8672" s="24" t="s">
        <v>11687</v>
      </c>
      <c r="C8672" s="25">
        <v>1930800</v>
      </c>
      <c r="D8672" s="22" t="s">
        <v>12683</v>
      </c>
      <c r="E8672" s="22" t="s">
        <v>48</v>
      </c>
      <c r="F8672" s="23" t="str">
        <f>HYPERLINK("https://www.spark-marketing.ru/Card/Lot/72646997", "Услуги по обеспечению горячим питанием лиц, содержащихся в ИВС, СПАА, а также лиц, задержанных за административные правонарушения на срок более трех часов.")</f>
        <v>Услуги по обеспечению горячим питанием лиц, содержащихся в ИВС, СПАА, а также лиц, задержанных за административные правонарушения на срок более трех часов.</v>
      </c>
      <c r="G8672" s="22" t="s">
        <v>153</v>
      </c>
      <c r="H8672" s="22" t="s">
        <v>6056</v>
      </c>
      <c r="I8672" s="26">
        <v>43683.646180555603</v>
      </c>
      <c r="J8672" s="23" t="str">
        <f>HYPERLINK("https://www.spark-marketing.ru/Card/Person/750261", "Филатова Оксана Рафиковна")</f>
        <v>Филатова Оксана Рафиковна</v>
      </c>
      <c r="K8672" s="24" t="s">
        <v>11689</v>
      </c>
      <c r="L8672" s="22" t="s">
        <v>10</v>
      </c>
      <c r="M8672" s="28" t="s">
        <v>51</v>
      </c>
      <c r="N8672" s="28" t="s">
        <v>51</v>
      </c>
    </row>
    <row r="8673" spans="1:14" x14ac:dyDescent="0.15">
      <c r="A8673" s="23" t="str">
        <f>HYPERLINK("https://www.spark-marketing.ru/Card/Person/4351390", "ОТДЕЛ МВД РОССИИ ПО ПЛАСТОВСКОМУ РАЙОНУ ЧЕЛЯБИНСКОЙ ОБЛАСТИ")</f>
        <v>ОТДЕЛ МВД РОССИИ ПО ПЛАСТОВСКОМУ РАЙОНУ ЧЕЛЯБИНСКОЙ ОБЛАСТИ</v>
      </c>
      <c r="B8673" s="24" t="s">
        <v>12671</v>
      </c>
      <c r="C8673" s="25">
        <v>500000</v>
      </c>
      <c r="D8673" s="22" t="s">
        <v>12684</v>
      </c>
      <c r="E8673" s="22" t="s">
        <v>48</v>
      </c>
      <c r="F8673" s="23" t="str">
        <f>HYPERLINK("https://www.spark-marketing.ru/Card/Lot/72626035", "Услуги по обеспечению ежедневным трехразовым питанием лиц, содержащихся в изоляторе временного содержания и лиц, содержащихся в комнатах для задержанных дежурных частей более 3-х часов Отдела МВД России по Пластовскому району Челябинской области")</f>
        <v>Услуги по обеспечению ежедневным трехразовым питанием лиц, содержащихся в изоляторе временного содержания и лиц, содержащихся в комнатах для задержанных дежурных частей более 3-х часов Отдела МВД России по Пластовскому району Челябинской области</v>
      </c>
      <c r="G8673" s="22" t="s">
        <v>469</v>
      </c>
      <c r="H8673" s="22" t="s">
        <v>469</v>
      </c>
      <c r="I8673" s="26">
        <v>43683.644652777803</v>
      </c>
      <c r="J8673" s="23" t="str">
        <f>HYPERLINK("https://www.spark-marketing.ru/Card/Person/1512897", "Каргина Ольга Михайловна")</f>
        <v>Каргина Ольга Михайловна</v>
      </c>
      <c r="K8673" s="24" t="s">
        <v>12673</v>
      </c>
      <c r="L8673" s="22" t="s">
        <v>10</v>
      </c>
      <c r="M8673" s="28" t="s">
        <v>51</v>
      </c>
      <c r="N8673" s="28" t="s">
        <v>51</v>
      </c>
    </row>
    <row r="8674" spans="1:14" x14ac:dyDescent="0.15">
      <c r="A8674" s="23" t="str">
        <f>HYPERLINK("https://www.spark-marketing.ru/Card/Person/1001599", "ГБУ ДО ТОЦЮТ")</f>
        <v>ГБУ ДО ТОЦЮТ</v>
      </c>
      <c r="B8674" s="24" t="s">
        <v>1490</v>
      </c>
      <c r="C8674" s="25">
        <v>761090</v>
      </c>
      <c r="D8674" s="22" t="s">
        <v>12685</v>
      </c>
      <c r="E8674" s="22" t="s">
        <v>48</v>
      </c>
      <c r="F8674" s="23" t="str">
        <f>HYPERLINK("https://www.spark-marketing.ru/Card/Lot/72629389", "Оказание услуг по обеспечению питанием учащихся 8-ых классов муниципальных общеобразовательных организаций, в рамках реализации проекта «Нас пригласили во Дворец!»")</f>
        <v>Оказание услуг по обеспечению питанием учащихся 8-ых классов муниципальных общеобразовательных организаций, в рамках реализации проекта «Нас пригласили во Дворец!»</v>
      </c>
      <c r="G8674" s="22" t="s">
        <v>137</v>
      </c>
      <c r="H8674" s="22" t="s">
        <v>138</v>
      </c>
      <c r="I8674" s="26">
        <v>43683.605624999997</v>
      </c>
      <c r="J8674" s="23" t="str">
        <f>HYPERLINK("https://www.spark-marketing.ru/Card/Person/611154", "ООО ""ВАВИЛОН""")</f>
        <v>ООО "ВАВИЛОН"</v>
      </c>
      <c r="K8674" s="24" t="s">
        <v>12686</v>
      </c>
      <c r="L8674" s="28" t="s">
        <v>51</v>
      </c>
      <c r="M8674" s="28" t="s">
        <v>51</v>
      </c>
      <c r="N8674" s="28" t="s">
        <v>51</v>
      </c>
    </row>
    <row r="8675" spans="1:14" ht="12.75" hidden="1" outlineLevel="1" x14ac:dyDescent="0.2">
      <c r="A8675" s="23" t="str">
        <f>HYPERLINK("https://www.spark-marketing.ru/Card/Person/1001599", "ГБУ ДО ТОЦЮТ")</f>
        <v>ГБУ ДО ТОЦЮТ</v>
      </c>
      <c r="B8675" s="24" t="s">
        <v>1490</v>
      </c>
      <c r="C8675" s="25">
        <v>761090</v>
      </c>
      <c r="D8675" s="22" t="s">
        <v>12685</v>
      </c>
      <c r="E8675" s="22" t="s">
        <v>48</v>
      </c>
      <c r="F8675" s="23" t="str">
        <f>HYPERLINK("https://www.spark-marketing.ru/Card/Lot/72629389", "Оказание услуг по обеспечению питанием учащихся 8-ых классов муниципальных общеобразовательных организаций, в рамках реализации проекта «Нас пригласили во Дворец!»")</f>
        <v>Оказание услуг по обеспечению питанием учащихся 8-ых классов муниципальных общеобразовательных организаций, в рамках реализации проекта «Нас пригласили во Дворец!»</v>
      </c>
      <c r="G8675" s="22" t="s">
        <v>137</v>
      </c>
      <c r="H8675" s="22" t="s">
        <v>138</v>
      </c>
      <c r="I8675" s="26">
        <v>43683.605624999997</v>
      </c>
      <c r="J8675" s="23" t="str">
        <f>HYPERLINK("https://www.spark-marketing.ru/Card/Person/611154", "ООО ""ВАВИЛОН""")</f>
        <v>ООО "ВАВИЛОН"</v>
      </c>
      <c r="K8675" s="24" t="s">
        <v>12686</v>
      </c>
      <c r="L8675" s="22" t="s">
        <v>10</v>
      </c>
      <c r="M8675" s="25">
        <v>757284.55</v>
      </c>
      <c r="N8675" s="27">
        <v>5.0000000000000001E-3</v>
      </c>
    </row>
    <row r="8676" spans="1:14" x14ac:dyDescent="0.15">
      <c r="A8676" s="23" t="str">
        <f>HYPERLINK("https://www.spark-marketing.ru/Card/Person/4353691", "ФГБОУ ВО ""КГМТУ""")</f>
        <v>ФГБОУ ВО "КГМТУ"</v>
      </c>
      <c r="B8676" s="24" t="s">
        <v>12687</v>
      </c>
      <c r="C8676" s="25">
        <v>2585700</v>
      </c>
      <c r="D8676" s="22" t="s">
        <v>12688</v>
      </c>
      <c r="E8676" s="22" t="s">
        <v>48</v>
      </c>
      <c r="F8676" s="23" t="str">
        <f>HYPERLINK("https://www.spark-marketing.ru/Card/Lot/72632955", "Оказание услуг по организации питания для нужд ФГБОУ ВО ""КГМТУ""")</f>
        <v>Оказание услуг по организации питания для нужд ФГБОУ ВО "КГМТУ"</v>
      </c>
      <c r="G8676" s="22" t="s">
        <v>108</v>
      </c>
      <c r="H8676" s="22" t="s">
        <v>344</v>
      </c>
      <c r="I8676" s="26">
        <v>43683.6176388889</v>
      </c>
      <c r="J8676" s="23" t="str">
        <f>HYPERLINK("https://www.spark-marketing.ru/Card/Person/940275", "Платова Рина Анатольевна")</f>
        <v>Платова Рина Анатольевна</v>
      </c>
      <c r="K8676" s="24" t="s">
        <v>8489</v>
      </c>
      <c r="L8676" s="22" t="s">
        <v>10</v>
      </c>
      <c r="M8676" s="28" t="s">
        <v>51</v>
      </c>
      <c r="N8676" s="28" t="s">
        <v>51</v>
      </c>
    </row>
    <row r="8677" spans="1:14" x14ac:dyDescent="0.15">
      <c r="A8677" s="23" t="str">
        <f>HYPERLINK("https://www.spark-marketing.ru/Card/Person/641920", "ОТДЕЛ МВД РОССИИ ПО ЯНАУЛЬСКОМУ РАЙОНУ")</f>
        <v>ОТДЕЛ МВД РОССИИ ПО ЯНАУЛЬСКОМУ РАЙОНУ</v>
      </c>
      <c r="B8677" s="24" t="s">
        <v>12689</v>
      </c>
      <c r="C8677" s="25">
        <v>10000</v>
      </c>
      <c r="D8677" s="22" t="s">
        <v>12690</v>
      </c>
      <c r="E8677" s="22" t="s">
        <v>48</v>
      </c>
      <c r="F8677" s="23" t="str">
        <f>HYPERLINK("https://www.spark-marketing.ru/Card/Lot/72660112",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8677" s="22" t="s">
        <v>145</v>
      </c>
      <c r="H8677" s="22" t="s">
        <v>1316</v>
      </c>
      <c r="I8677" s="26">
        <v>43683.609386574099</v>
      </c>
      <c r="J8677" s="28" t="s">
        <v>51</v>
      </c>
      <c r="K8677" s="28" t="s">
        <v>51</v>
      </c>
      <c r="L8677" s="28" t="s">
        <v>51</v>
      </c>
      <c r="M8677" s="28" t="s">
        <v>51</v>
      </c>
      <c r="N8677" s="28" t="s">
        <v>51</v>
      </c>
    </row>
    <row r="8678" spans="1:14" x14ac:dyDescent="0.15">
      <c r="A8678" s="23" t="str">
        <f>HYPERLINK("https://www.spark-marketing.ru/Card/Person/1051384", "МБОУ ""СШ № 23""")</f>
        <v>МБОУ "СШ № 23"</v>
      </c>
      <c r="B8678" s="24" t="s">
        <v>12691</v>
      </c>
      <c r="C8678" s="25">
        <v>455544</v>
      </c>
      <c r="D8678" s="22" t="s">
        <v>12692</v>
      </c>
      <c r="E8678" s="22" t="s">
        <v>48</v>
      </c>
      <c r="F8678" s="23" t="str">
        <f>HYPERLINK("https://www.spark-marketing.ru/Card/Lot/72629279", "Оказание услуг по организации горячего питания и обеспечению горячим питанием учащихся МБОУ ""СШ № 23""")</f>
        <v>Оказание услуг по организации горячего питания и обеспечению горячим питанием учащихся МБОУ "СШ № 23"</v>
      </c>
      <c r="G8678" s="22" t="s">
        <v>460</v>
      </c>
      <c r="H8678" s="22" t="s">
        <v>461</v>
      </c>
      <c r="I8678" s="26">
        <v>43683.597638888903</v>
      </c>
      <c r="J8678" s="28" t="s">
        <v>51</v>
      </c>
      <c r="K8678" s="28" t="s">
        <v>51</v>
      </c>
      <c r="L8678" s="28" t="s">
        <v>51</v>
      </c>
      <c r="M8678" s="28" t="s">
        <v>51</v>
      </c>
      <c r="N8678" s="28" t="s">
        <v>51</v>
      </c>
    </row>
    <row r="8679" spans="1:14" x14ac:dyDescent="0.15">
      <c r="A8679" s="23" t="str">
        <f>HYPERLINK("https://www.spark-marketing.ru/Card/Person/49837", "АО ""ГНЦ РФ - ФЭИ""")</f>
        <v>АО "ГНЦ РФ - ФЭИ"</v>
      </c>
      <c r="B8679" s="24" t="s">
        <v>12693</v>
      </c>
      <c r="C8679" s="25">
        <v>59810735.399999999</v>
      </c>
      <c r="D8679" s="22" t="s">
        <v>12694</v>
      </c>
      <c r="E8679" s="22" t="s">
        <v>52</v>
      </c>
      <c r="F8679" s="23" t="str">
        <f>HYPERLINK("https://www.spark-marketing.ru/Card/Lot/72634062", "ЕИС №31908172624 Право заключения договора на оказание услуг по организации и обеспечению сотрудников АО ""ГНЦ РФ-ФЭИ"" лечебно-профилактическим питанием (рацион Р-1, специализированный вахтовый рацион), молоком и другими равноценными продуктами соот...")</f>
        <v>ЕИС №31908172624 Право заключения договора на оказание услуг по организации и обеспечению сотрудников АО "ГНЦ РФ-ФЭИ" лечебно-профилактическим питанием (рацион Р-1, специализированный вахтовый рацион), молоком и другими равноценными продуктами соот...</v>
      </c>
      <c r="G8679" s="22" t="s">
        <v>112</v>
      </c>
      <c r="H8679" s="22" t="s">
        <v>1663</v>
      </c>
      <c r="I8679" s="26">
        <v>43683.591412037</v>
      </c>
      <c r="J8679" s="28" t="s">
        <v>51</v>
      </c>
      <c r="K8679" s="28" t="s">
        <v>51</v>
      </c>
      <c r="L8679" s="28" t="s">
        <v>51</v>
      </c>
      <c r="M8679" s="28" t="s">
        <v>51</v>
      </c>
      <c r="N8679" s="28" t="s">
        <v>51</v>
      </c>
    </row>
    <row r="8680" spans="1:14" x14ac:dyDescent="0.15">
      <c r="A8680" s="23" t="str">
        <f>HYPERLINK("https://www.spark-marketing.ru/Card/Person/641920", "ОТДЕЛ МВД РОССИИ ПО ЯНАУЛЬСКОМУ РАЙОНУ")</f>
        <v>ОТДЕЛ МВД РОССИИ ПО ЯНАУЛЬСКОМУ РАЙОНУ</v>
      </c>
      <c r="B8680" s="24" t="s">
        <v>12689</v>
      </c>
      <c r="C8680" s="25">
        <v>150000</v>
      </c>
      <c r="D8680" s="22" t="s">
        <v>12695</v>
      </c>
      <c r="E8680" s="22" t="s">
        <v>48</v>
      </c>
      <c r="F8680" s="23" t="str">
        <f>HYPERLINK("https://www.spark-marketing.ru/Card/Lot/72624048",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8680" s="22" t="s">
        <v>145</v>
      </c>
      <c r="H8680" s="22" t="s">
        <v>1316</v>
      </c>
      <c r="I8680" s="26">
        <v>43683.591435185197</v>
      </c>
      <c r="J8680" s="28" t="s">
        <v>51</v>
      </c>
      <c r="K8680" s="28" t="s">
        <v>51</v>
      </c>
      <c r="L8680" s="28" t="s">
        <v>51</v>
      </c>
      <c r="M8680" s="28" t="s">
        <v>51</v>
      </c>
      <c r="N8680" s="28" t="s">
        <v>51</v>
      </c>
    </row>
    <row r="8681" spans="1:14" x14ac:dyDescent="0.15">
      <c r="A8681" s="23" t="str">
        <f>HYPERLINK("https://www.spark-marketing.ru/Card/Person/94759", "МБОУ ""СШ №35""")</f>
        <v>МБОУ "СШ №35"</v>
      </c>
      <c r="B8681" s="24" t="s">
        <v>12696</v>
      </c>
      <c r="C8681" s="25">
        <v>1542222</v>
      </c>
      <c r="D8681" s="22" t="s">
        <v>12697</v>
      </c>
      <c r="E8681" s="22" t="s">
        <v>48</v>
      </c>
      <c r="F8681" s="23" t="str">
        <f>HYPERLINK("https://www.spark-marketing.ru/Card/Lot/72627366", "Оказание услуг по организации горячего питания и обеспечению горячим питанием учащихся МБОУ ""СШ № 35""")</f>
        <v>Оказание услуг по организации горячего питания и обеспечению горячим питанием учащихся МБОУ "СШ № 35"</v>
      </c>
      <c r="G8681" s="22" t="s">
        <v>460</v>
      </c>
      <c r="H8681" s="22" t="s">
        <v>461</v>
      </c>
      <c r="I8681" s="26">
        <v>43683.594745370399</v>
      </c>
      <c r="J8681" s="28" t="s">
        <v>51</v>
      </c>
      <c r="K8681" s="28" t="s">
        <v>51</v>
      </c>
      <c r="L8681" s="28" t="s">
        <v>51</v>
      </c>
      <c r="M8681" s="28" t="s">
        <v>51</v>
      </c>
      <c r="N8681" s="28" t="s">
        <v>51</v>
      </c>
    </row>
    <row r="8682" spans="1:14" x14ac:dyDescent="0.15">
      <c r="A8682" s="23" t="str">
        <f>HYPERLINK("https://www.spark-marketing.ru/Card/Person/733861", "МБОУ СОШ С. БАЙГУЗИНО")</f>
        <v>МБОУ СОШ С. БАЙГУЗИНО</v>
      </c>
      <c r="B8682" s="24" t="s">
        <v>10743</v>
      </c>
      <c r="C8682" s="25">
        <v>848489.2</v>
      </c>
      <c r="D8682" s="22" t="s">
        <v>12698</v>
      </c>
      <c r="E8682" s="22" t="s">
        <v>48</v>
      </c>
      <c r="F8682" s="23" t="str">
        <f>HYPERLINK("https://www.spark-marketing.ru/Card/Lot/72625920", "Оказание услуг по организации горячего питания обучающихся и воспитанников дошкольной группы")</f>
        <v>Оказание услуг по организации горячего питания обучающихся и воспитанников дошкольной группы</v>
      </c>
      <c r="G8682" s="22" t="s">
        <v>145</v>
      </c>
      <c r="H8682" s="22" t="s">
        <v>10690</v>
      </c>
      <c r="I8682" s="26">
        <v>43683.600729166697</v>
      </c>
      <c r="J8682" s="28" t="s">
        <v>51</v>
      </c>
      <c r="K8682" s="28" t="s">
        <v>51</v>
      </c>
      <c r="L8682" s="28" t="s">
        <v>51</v>
      </c>
      <c r="M8682" s="28" t="s">
        <v>51</v>
      </c>
      <c r="N8682" s="28" t="s">
        <v>51</v>
      </c>
    </row>
    <row r="8683" spans="1:14" x14ac:dyDescent="0.15">
      <c r="A8683" s="23" t="str">
        <f>HYPERLINK("https://www.spark-marketing.ru/Card/Person/641920", "ОТДЕЛ МВД РОССИИ ПО ЯНАУЛЬСКОМУ РАЙОНУ")</f>
        <v>ОТДЕЛ МВД РОССИИ ПО ЯНАУЛЬСКОМУ РАЙОНУ</v>
      </c>
      <c r="B8683" s="24" t="s">
        <v>12689</v>
      </c>
      <c r="C8683" s="25">
        <v>7000</v>
      </c>
      <c r="D8683" s="22" t="s">
        <v>12699</v>
      </c>
      <c r="E8683" s="22" t="s">
        <v>48</v>
      </c>
      <c r="F8683" s="23" t="str">
        <f>HYPERLINK("https://www.spark-marketing.ru/Card/Lot/72624544",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8683" s="22" t="s">
        <v>145</v>
      </c>
      <c r="H8683" s="22" t="s">
        <v>1316</v>
      </c>
      <c r="I8683" s="26">
        <v>43683.6006597222</v>
      </c>
      <c r="J8683" s="28" t="s">
        <v>51</v>
      </c>
      <c r="K8683" s="28" t="s">
        <v>51</v>
      </c>
      <c r="L8683" s="28" t="s">
        <v>51</v>
      </c>
      <c r="M8683" s="28" t="s">
        <v>51</v>
      </c>
      <c r="N8683" s="28" t="s">
        <v>51</v>
      </c>
    </row>
    <row r="8684" spans="1:14" x14ac:dyDescent="0.15">
      <c r="A8684" s="23" t="str">
        <f>HYPERLINK("https://www.spark-marketing.ru/Card/Person/104439", "МБОУ ОРЛОВСКАЯ ООШ")</f>
        <v>МБОУ ОРЛОВСКАЯ ООШ</v>
      </c>
      <c r="B8684" s="24" t="s">
        <v>12700</v>
      </c>
      <c r="C8684" s="25">
        <v>266805</v>
      </c>
      <c r="D8684" s="22" t="s">
        <v>12701</v>
      </c>
      <c r="E8684" s="22" t="s">
        <v>48</v>
      </c>
      <c r="F8684" s="23" t="str">
        <f>HYPERLINK("https://www.spark-marketing.ru/Card/Lot/72626619", "Оказание услуг по организации питания отдельным категориям обучающихся")</f>
        <v>Оказание услуг по организации питания отдельным категориям обучающихся</v>
      </c>
      <c r="G8684" s="22" t="s">
        <v>49</v>
      </c>
      <c r="H8684" s="22" t="s">
        <v>875</v>
      </c>
      <c r="I8684" s="26">
        <v>43683.607650462996</v>
      </c>
      <c r="J8684" s="28" t="s">
        <v>51</v>
      </c>
      <c r="K8684" s="28" t="s">
        <v>51</v>
      </c>
      <c r="L8684" s="28" t="s">
        <v>51</v>
      </c>
      <c r="M8684" s="28" t="s">
        <v>51</v>
      </c>
      <c r="N8684" s="28" t="s">
        <v>51</v>
      </c>
    </row>
    <row r="8685" spans="1:14" x14ac:dyDescent="0.15">
      <c r="A8685" s="23" t="str">
        <f>HYPERLINK("https://www.spark-marketing.ru/Card/Person/141764", "ГБУК Г. МОСКВЫ ""ТЕАТР ОЛЕГА ТАБАКОВА""")</f>
        <v>ГБУК Г. МОСКВЫ "ТЕАТР ОЛЕГА ТАБАКОВА"</v>
      </c>
      <c r="B8685" s="24" t="s">
        <v>12702</v>
      </c>
      <c r="C8685" s="25">
        <v>38162.629999999997</v>
      </c>
      <c r="D8685" s="22" t="s">
        <v>12703</v>
      </c>
      <c r="E8685" s="22" t="s">
        <v>355</v>
      </c>
      <c r="F8685" s="23" t="str">
        <f>HYPERLINK("https://www.spark-marketing.ru/Card/Lot/72625361", "Оказание услуг по техническому обслуживанию центрального источника бесперебойного питания театра")</f>
        <v>Оказание услуг по техническому обслуживанию центрального источника бесперебойного питания театра</v>
      </c>
      <c r="G8685" s="22" t="s">
        <v>56</v>
      </c>
      <c r="H8685" s="22" t="s">
        <v>56</v>
      </c>
      <c r="I8685" s="26">
        <v>43683.565578703703</v>
      </c>
      <c r="J8685" s="23" t="str">
        <f>HYPERLINK("https://www.spark-marketing.ru/Card/Person/6489162", "ООО ""АЛАС ЭНЕРГИЯ""")</f>
        <v>ООО "АЛАС ЭНЕРГИЯ"</v>
      </c>
      <c r="K8685" s="24" t="s">
        <v>6025</v>
      </c>
      <c r="L8685" s="22" t="s">
        <v>10</v>
      </c>
      <c r="M8685" s="28" t="s">
        <v>51</v>
      </c>
      <c r="N8685" s="28" t="s">
        <v>51</v>
      </c>
    </row>
    <row r="8686" spans="1:14" x14ac:dyDescent="0.2">
      <c r="A8686" s="23" t="s">
        <v>114</v>
      </c>
      <c r="B8686" s="28" t="s">
        <v>51</v>
      </c>
      <c r="C8686" s="25">
        <v>3289000</v>
      </c>
      <c r="D8686" s="22" t="s">
        <v>12704</v>
      </c>
      <c r="E8686" s="22" t="s">
        <v>51</v>
      </c>
      <c r="F8686" s="23" t="str">
        <f>HYPERLINK("https://www.spark-marketing.ru/Card/Lot/72621402", "19-74932 Оказание услуг по организации питания детей")</f>
        <v>19-74932 Оказание услуг по организации питания детей</v>
      </c>
      <c r="G8686" s="22" t="s">
        <v>51</v>
      </c>
      <c r="H8686" s="22" t="s">
        <v>51</v>
      </c>
      <c r="I8686" s="26">
        <v>43683.545138888898</v>
      </c>
      <c r="J8686" s="23" t="str">
        <f>HYPERLINK("https://www.spark-marketing.ru/Card/Person/59409", "АО ""УРАЛЬСКИЙ КОМБИНАТ ПИТАНИЯ""")</f>
        <v>АО "УРАЛЬСКИЙ КОМБИНАТ ПИТАНИЯ"</v>
      </c>
      <c r="K8686" s="24" t="s">
        <v>12530</v>
      </c>
      <c r="L8686" s="28" t="s">
        <v>51</v>
      </c>
      <c r="M8686" s="25">
        <v>3289000</v>
      </c>
      <c r="N8686" s="27">
        <v>0</v>
      </c>
    </row>
    <row r="8687" spans="1:14" hidden="1" outlineLevel="1" x14ac:dyDescent="0.2">
      <c r="A8687" s="23" t="str">
        <f>HYPERLINK("https://www.spark-marketing.ru/Card/Person/62504", "МБОУ ШКОЛА-ИНТЕРНАТ №9 ГОРОДА ЧЕЛЯБИНСКА")</f>
        <v>МБОУ ШКОЛА-ИНТЕРНАТ №9 ГОРОДА ЧЕЛЯБИНСКА</v>
      </c>
      <c r="B8687" s="24" t="s">
        <v>12705</v>
      </c>
      <c r="C8687" s="25">
        <v>1391500</v>
      </c>
      <c r="D8687" s="22" t="s">
        <v>12704</v>
      </c>
      <c r="E8687" s="22" t="s">
        <v>51</v>
      </c>
      <c r="F8687" s="23" t="str">
        <f>HYPERLINK("https://www.spark-marketing.ru/Card/Lot/72621402", "19-74932 Оказание услуг по организации питания детей")</f>
        <v>19-74932 Оказание услуг по организации питания детей</v>
      </c>
      <c r="G8687" s="22" t="s">
        <v>51</v>
      </c>
      <c r="H8687" s="22" t="s">
        <v>51</v>
      </c>
      <c r="I8687" s="26">
        <v>43683.545138888898</v>
      </c>
      <c r="J8687" s="23" t="str">
        <f>HYPERLINK("https://www.spark-marketing.ru/Card/Person/59409", "АО ""УРАЛЬСКИЙ КОМБИНАТ ПИТАНИЯ""")</f>
        <v>АО "УРАЛЬСКИЙ КОМБИНАТ ПИТАНИЯ"</v>
      </c>
      <c r="K8687" s="24" t="s">
        <v>12530</v>
      </c>
      <c r="L8687" s="28" t="s">
        <v>51</v>
      </c>
      <c r="M8687" s="28" t="s">
        <v>51</v>
      </c>
      <c r="N8687" s="27">
        <v>0</v>
      </c>
    </row>
    <row r="8688" spans="1:14" hidden="1" outlineLevel="1" x14ac:dyDescent="0.2">
      <c r="A8688" s="23" t="str">
        <f>HYPERLINK("https://www.spark-marketing.ru/Card/Person/62523", "МБОУ ШКОЛА-ИНТЕРНАТ № 13 ГОРОДА ЧЕЛЯБИНСКА")</f>
        <v>МБОУ ШКОЛА-ИНТЕРНАТ № 13 ГОРОДА ЧЕЛЯБИНСКА</v>
      </c>
      <c r="B8688" s="24" t="s">
        <v>12706</v>
      </c>
      <c r="C8688" s="25">
        <v>1897500</v>
      </c>
      <c r="D8688" s="22" t="s">
        <v>12704</v>
      </c>
      <c r="E8688" s="22" t="s">
        <v>51</v>
      </c>
      <c r="F8688" s="23" t="str">
        <f>HYPERLINK("https://www.spark-marketing.ru/Card/Lot/72621402", "19-74932 Оказание услуг по организации питания детей")</f>
        <v>19-74932 Оказание услуг по организации питания детей</v>
      </c>
      <c r="G8688" s="22" t="s">
        <v>469</v>
      </c>
      <c r="H8688" s="22" t="s">
        <v>491</v>
      </c>
      <c r="I8688" s="26">
        <v>43683.545138888898</v>
      </c>
      <c r="J8688" s="23" t="str">
        <f>HYPERLINK("https://www.spark-marketing.ru/Card/Person/59409", "АО ""УРАЛЬСКИЙ КОМБИНАТ ПИТАНИЯ""")</f>
        <v>АО "УРАЛЬСКИЙ КОМБИНАТ ПИТАНИЯ"</v>
      </c>
      <c r="K8688" s="24" t="s">
        <v>12530</v>
      </c>
      <c r="L8688" s="28" t="s">
        <v>51</v>
      </c>
      <c r="M8688" s="28" t="s">
        <v>51</v>
      </c>
      <c r="N8688" s="27">
        <v>0</v>
      </c>
    </row>
    <row r="8689" spans="1:14" x14ac:dyDescent="0.15">
      <c r="A8689" s="23" t="str">
        <f>HYPERLINK("https://www.spark-marketing.ru/Card/Person/19855", "ОГБУ ""СЛУЖБА ХОЗЯЙСТВЕННОГО ОБЕСПЕЧЕНИЯ""")</f>
        <v>ОГБУ "СЛУЖБА ХОЗЯЙСТВЕННОГО ОБЕСПЕЧЕНИЯ"</v>
      </c>
      <c r="B8689" s="24" t="s">
        <v>12707</v>
      </c>
      <c r="C8689" s="25">
        <v>400000</v>
      </c>
      <c r="D8689" s="22" t="s">
        <v>12708</v>
      </c>
      <c r="E8689" s="22" t="s">
        <v>48</v>
      </c>
      <c r="F8689" s="23" t="str">
        <f>HYPERLINK("https://www.spark-marketing.ru/Card/Lot/72622849", "Оказание услуг по питанию")</f>
        <v>Оказание услуг по питанию</v>
      </c>
      <c r="G8689" s="22" t="s">
        <v>149</v>
      </c>
      <c r="H8689" s="22" t="s">
        <v>496</v>
      </c>
      <c r="I8689" s="26">
        <v>43683.542361111096</v>
      </c>
      <c r="J8689" s="28" t="s">
        <v>51</v>
      </c>
      <c r="K8689" s="28" t="s">
        <v>51</v>
      </c>
      <c r="L8689" s="28" t="s">
        <v>51</v>
      </c>
      <c r="M8689" s="28" t="s">
        <v>51</v>
      </c>
      <c r="N8689" s="28" t="s">
        <v>51</v>
      </c>
    </row>
    <row r="8690" spans="1:14" x14ac:dyDescent="0.15">
      <c r="A8690" s="23" t="str">
        <f>HYPERLINK("https://www.spark-marketing.ru/Card/Person/128049", "МО МВД РОССИИ ""ОРИЧЕВСКИЙ""")</f>
        <v>МО МВД РОССИИ "ОРИЧЕВСКИЙ"</v>
      </c>
      <c r="B8690" s="24" t="s">
        <v>12709</v>
      </c>
      <c r="C8690" s="25">
        <v>529758.31999999995</v>
      </c>
      <c r="D8690" s="22" t="s">
        <v>12710</v>
      </c>
      <c r="E8690" s="22" t="s">
        <v>48</v>
      </c>
      <c r="F8690" s="23" t="str">
        <f>HYPERLINK("https://www.spark-marketing.ru/Card/Lot/72624167", "услуги по организации трехразового горячего питания для нужд ИВС МО МВД России Оричевский")</f>
        <v>услуги по организации трехразового горячего питания для нужд ИВС МО МВД России Оричевский</v>
      </c>
      <c r="G8690" s="22" t="s">
        <v>224</v>
      </c>
      <c r="H8690" s="22" t="s">
        <v>12711</v>
      </c>
      <c r="I8690" s="26">
        <v>43683.519641203697</v>
      </c>
      <c r="J8690" s="23" t="str">
        <f>HYPERLINK("https://www.spark-marketing.ru/Card/Person/633361", "ООО ""БЬЕФ""")</f>
        <v>ООО "БЬЕФ"</v>
      </c>
      <c r="K8690" s="24" t="s">
        <v>12712</v>
      </c>
      <c r="L8690" s="22" t="s">
        <v>10</v>
      </c>
      <c r="M8690" s="28" t="s">
        <v>51</v>
      </c>
      <c r="N8690" s="28" t="s">
        <v>51</v>
      </c>
    </row>
    <row r="8691" spans="1:14" x14ac:dyDescent="0.15">
      <c r="A8691" s="23" t="str">
        <f>HYPERLINK("https://www.spark-marketing.ru/Card/Person/88541", "ГБУЗ ""ДГБ Г. НОВОРОССИЙСКА"" МЗ КК")</f>
        <v>ГБУЗ "ДГБ Г. НОВОРОССИЙСКА" МЗ КК</v>
      </c>
      <c r="B8691" s="24" t="s">
        <v>1687</v>
      </c>
      <c r="C8691" s="25">
        <v>499800</v>
      </c>
      <c r="D8691" s="22" t="s">
        <v>12713</v>
      </c>
      <c r="E8691" s="22" t="s">
        <v>96</v>
      </c>
      <c r="F8691" s="23" t="str">
        <f>HYPERLINK("https://www.spark-marketing.ru/Card/Lot/72643829", "Оказание услуг по обеспечению лечебным горячим питанием пациентов, находящихся на стационарном лечении")</f>
        <v>Оказание услуг по обеспечению лечебным горячим питанием пациентов, находящихся на стационарном лечении</v>
      </c>
      <c r="G8691" s="22" t="s">
        <v>104</v>
      </c>
      <c r="H8691" s="22" t="s">
        <v>1689</v>
      </c>
      <c r="I8691" s="26">
        <v>43683.503981481503</v>
      </c>
      <c r="J8691" s="28" t="s">
        <v>51</v>
      </c>
      <c r="K8691" s="28" t="s">
        <v>51</v>
      </c>
      <c r="L8691" s="28" t="s">
        <v>51</v>
      </c>
      <c r="M8691" s="28" t="s">
        <v>51</v>
      </c>
      <c r="N8691" s="28" t="s">
        <v>51</v>
      </c>
    </row>
    <row r="8692" spans="1:14" ht="12.75" hidden="1" outlineLevel="1" x14ac:dyDescent="0.2">
      <c r="A8692" s="23" t="str">
        <f>HYPERLINK("https://www.spark-marketing.ru/Card/Person/88541", "ГБУЗ ""ДГБ Г. НОВОРОССИЙСКА"" МЗ КК")</f>
        <v>ГБУЗ "ДГБ Г. НОВОРОССИЙСКА" МЗ КК</v>
      </c>
      <c r="B8692" s="24" t="s">
        <v>1687</v>
      </c>
      <c r="C8692" s="25">
        <v>499800</v>
      </c>
      <c r="D8692" s="22" t="s">
        <v>12713</v>
      </c>
      <c r="E8692" s="22" t="s">
        <v>96</v>
      </c>
      <c r="F8692" s="23" t="str">
        <f>HYPERLINK("https://www.spark-marketing.ru/Card/Lot/72643829", "Оказание услуг по обеспечению лечебным горячим питанием пациентов, находящихся на стационарном лечении")</f>
        <v>Оказание услуг по обеспечению лечебным горячим питанием пациентов, находящихся на стационарном лечении</v>
      </c>
      <c r="G8692" s="22" t="s">
        <v>104</v>
      </c>
      <c r="H8692" s="22" t="s">
        <v>1689</v>
      </c>
      <c r="I8692" s="26">
        <v>43683.503981481503</v>
      </c>
      <c r="J8692" s="23" t="str">
        <f>HYPERLINK("https://www.spark-marketing.ru/Card/Person/2461569", "ООО ""КОНСТАНТИНОВ""")</f>
        <v>ООО "КОНСТАНТИНОВ"</v>
      </c>
      <c r="K8692" s="24" t="s">
        <v>1691</v>
      </c>
      <c r="L8692" s="22" t="s">
        <v>10</v>
      </c>
      <c r="M8692" s="25">
        <v>232407</v>
      </c>
      <c r="N8692" s="27">
        <v>0.53500000000000003</v>
      </c>
    </row>
    <row r="8693" spans="1:14" hidden="1" outlineLevel="1" x14ac:dyDescent="0.2">
      <c r="A8693" s="23" t="str">
        <f>HYPERLINK("https://www.spark-marketing.ru/Card/Person/88541", "ГБУЗ ""ДГБ Г. НОВОРОССИЙСКА"" МЗ КК")</f>
        <v>ГБУЗ "ДГБ Г. НОВОРОССИЙСКА" МЗ КК</v>
      </c>
      <c r="B8693" s="24" t="s">
        <v>1687</v>
      </c>
      <c r="C8693" s="25">
        <v>499800</v>
      </c>
      <c r="D8693" s="22" t="s">
        <v>12713</v>
      </c>
      <c r="E8693" s="22" t="s">
        <v>96</v>
      </c>
      <c r="F8693" s="23" t="str">
        <f>HYPERLINK("https://www.spark-marketing.ru/Card/Lot/72643829", "Оказание услуг по обеспечению лечебным горячим питанием пациентов, находящихся на стационарном лечении")</f>
        <v>Оказание услуг по обеспечению лечебным горячим питанием пациентов, находящихся на стационарном лечении</v>
      </c>
      <c r="G8693" s="22" t="s">
        <v>104</v>
      </c>
      <c r="H8693" s="22" t="s">
        <v>1689</v>
      </c>
      <c r="I8693" s="26">
        <v>43683.503981481503</v>
      </c>
      <c r="J8693" s="23" t="str">
        <f>HYPERLINK("https://www.spark-marketing.ru/Card/Person/54395", "Третьяков Вячеслав Викторович")</f>
        <v>Третьяков Вячеслав Викторович</v>
      </c>
      <c r="K8693" s="24" t="s">
        <v>1690</v>
      </c>
      <c r="L8693" s="28" t="s">
        <v>51</v>
      </c>
      <c r="M8693" s="25">
        <v>234906</v>
      </c>
      <c r="N8693" s="27">
        <v>0.53</v>
      </c>
    </row>
    <row r="8694" spans="1:14" x14ac:dyDescent="0.15">
      <c r="A8694" s="23" t="str">
        <f>HYPERLINK("https://www.spark-marketing.ru/Card/Person/1050125", "МБОУ ""СШ № 31""")</f>
        <v>МБОУ "СШ № 31"</v>
      </c>
      <c r="B8694" s="24" t="s">
        <v>12714</v>
      </c>
      <c r="C8694" s="25">
        <v>608400</v>
      </c>
      <c r="D8694" s="22" t="s">
        <v>12715</v>
      </c>
      <c r="E8694" s="22" t="s">
        <v>48</v>
      </c>
      <c r="F8694" s="23" t="str">
        <f>HYPERLINK("https://www.spark-marketing.ru/Card/Lot/72628174", "Оказание услуг по организации горячего питания и обеспечению горячим питанием учащихся МБОУ ""СШ № 31""")</f>
        <v>Оказание услуг по организации горячего питания и обеспечению горячим питанием учащихся МБОУ "СШ № 31"</v>
      </c>
      <c r="G8694" s="22" t="s">
        <v>460</v>
      </c>
      <c r="H8694" s="22" t="s">
        <v>461</v>
      </c>
      <c r="I8694" s="26">
        <v>43683.537928240701</v>
      </c>
      <c r="J8694" s="28" t="s">
        <v>51</v>
      </c>
      <c r="K8694" s="28" t="s">
        <v>51</v>
      </c>
      <c r="L8694" s="28" t="s">
        <v>51</v>
      </c>
      <c r="M8694" s="28" t="s">
        <v>51</v>
      </c>
      <c r="N8694" s="28" t="s">
        <v>51</v>
      </c>
    </row>
    <row r="8695" spans="1:14" x14ac:dyDescent="0.15">
      <c r="A8695" s="23" t="str">
        <f>HYPERLINK("https://www.spark-marketing.ru/Card/Person/113437", "ГКУЗ ""ДОМ РЕБЕНКА СПЕЦИАЛИЗИРОВАННЫЙ № 3""")</f>
        <v>ГКУЗ "ДОМ РЕБЕНКА СПЕЦИАЛИЗИРОВАННЫЙ № 3"</v>
      </c>
      <c r="B8695" s="24" t="s">
        <v>1422</v>
      </c>
      <c r="C8695" s="25">
        <v>383341.69</v>
      </c>
      <c r="D8695" s="22" t="s">
        <v>12716</v>
      </c>
      <c r="E8695" s="22" t="s">
        <v>96</v>
      </c>
      <c r="F8695" s="23" t="str">
        <f>HYPERLINK("https://www.spark-marketing.ru/Card/Lot/72629658", "услуга по приготовлению питания")</f>
        <v>услуга по приготовлению питания</v>
      </c>
      <c r="G8695" s="22" t="s">
        <v>104</v>
      </c>
      <c r="H8695" s="22" t="s">
        <v>1424</v>
      </c>
      <c r="I8695" s="26">
        <v>43683.505706018499</v>
      </c>
      <c r="J8695" s="23" t="str">
        <f>HYPERLINK("https://www.spark-marketing.ru/Card/Person/878131", "ООО "" АГРОПРОМСЕРВИС """)</f>
        <v>ООО " АГРОПРОМСЕРВИС "</v>
      </c>
      <c r="K8695" s="24" t="s">
        <v>1425</v>
      </c>
      <c r="L8695" s="22" t="s">
        <v>10</v>
      </c>
      <c r="M8695" s="28" t="s">
        <v>51</v>
      </c>
      <c r="N8695" s="28" t="s">
        <v>51</v>
      </c>
    </row>
    <row r="8696" spans="1:14" x14ac:dyDescent="0.15">
      <c r="A8696" s="23" t="str">
        <f>HYPERLINK("https://www.spark-marketing.ru/Card/Person/999425", "МБОУ ""СШ № 16""")</f>
        <v>МБОУ "СШ № 16"</v>
      </c>
      <c r="B8696" s="24" t="s">
        <v>12717</v>
      </c>
      <c r="C8696" s="25">
        <v>1018020</v>
      </c>
      <c r="D8696" s="22" t="s">
        <v>12718</v>
      </c>
      <c r="E8696" s="22" t="s">
        <v>48</v>
      </c>
      <c r="F8696" s="23" t="str">
        <f>HYPERLINK("https://www.spark-marketing.ru/Card/Lot/72627392", "Оказание услуг по организации горячего питания и обеспечению горячим питанием учащихся МБОУ ""СШ № 16""")</f>
        <v>Оказание услуг по организации горячего питания и обеспечению горячим питанием учащихся МБОУ "СШ № 16"</v>
      </c>
      <c r="G8696" s="22" t="s">
        <v>460</v>
      </c>
      <c r="H8696" s="22" t="s">
        <v>461</v>
      </c>
      <c r="I8696" s="26">
        <v>43683.534293981502</v>
      </c>
      <c r="J8696" s="28" t="s">
        <v>51</v>
      </c>
      <c r="K8696" s="28" t="s">
        <v>51</v>
      </c>
      <c r="L8696" s="28" t="s">
        <v>51</v>
      </c>
      <c r="M8696" s="28" t="s">
        <v>51</v>
      </c>
      <c r="N8696" s="28" t="s">
        <v>51</v>
      </c>
    </row>
    <row r="8697" spans="1:14" x14ac:dyDescent="0.15">
      <c r="A8697" s="23" t="str">
        <f>HYPERLINK("https://www.spark-marketing.ru/Card/Person/25738", "УМВД РОССИИ ПО Г. СТАРОМУ ОСКОЛУ")</f>
        <v>УМВД РОССИИ ПО Г. СТАРОМУ ОСКОЛУ</v>
      </c>
      <c r="B8697" s="24" t="s">
        <v>4695</v>
      </c>
      <c r="C8697" s="25">
        <v>1180814</v>
      </c>
      <c r="D8697" s="22" t="s">
        <v>12719</v>
      </c>
      <c r="E8697" s="22" t="s">
        <v>51</v>
      </c>
      <c r="F8697" s="23" t="str">
        <f>HYPERLINK("https://www.spark-marketing.ru/Card/Lot/72620355", "Услуги по организации ежедневного 3-х разового питания для лиц, содержащихся в изоляторе временного содержания подозреваемых и обвиняемых УМВД России по г. Старому Осколу в 2021 году")</f>
        <v>Услуги по организации ежедневного 3-х разового питания для лиц, содержащихся в изоляторе временного содержания подозреваемых и обвиняемых УМВД России по г. Старому Осколу в 2021 году</v>
      </c>
      <c r="G8697" s="22" t="s">
        <v>696</v>
      </c>
      <c r="H8697" s="22" t="s">
        <v>4697</v>
      </c>
      <c r="I8697" s="26">
        <v>43683.46</v>
      </c>
      <c r="J8697" s="23" t="str">
        <f>HYPERLINK("https://www.spark-marketing.ru/Card/Person/4934845", "ООО ""ЛЭК ""ФРЕЯ""")</f>
        <v>ООО "ЛЭК "ФРЕЯ"</v>
      </c>
      <c r="K8697" s="24" t="s">
        <v>4698</v>
      </c>
      <c r="L8697" s="22" t="s">
        <v>10</v>
      </c>
      <c r="M8697" s="28" t="s">
        <v>51</v>
      </c>
      <c r="N8697" s="28" t="s">
        <v>51</v>
      </c>
    </row>
    <row r="8698" spans="1:14" x14ac:dyDescent="0.15">
      <c r="A8698" s="23" t="str">
        <f>HYPERLINK("https://www.spark-marketing.ru/Card/Person/813767", "МБОУ ""ШЫГЫРДАНСКАЯ СОШ №1"" БАТЫРЕВСКОГО РАЙОНА ЧУВАШСКОЙ РЕСПУБЛИКИ")</f>
        <v>МБОУ "ШЫГЫРДАНСКАЯ СОШ №1" БАТЫРЕВСКОГО РАЙОНА ЧУВАШСКОЙ РЕСПУБЛИКИ</v>
      </c>
      <c r="B8698" s="24" t="s">
        <v>10487</v>
      </c>
      <c r="C8698" s="25">
        <v>148290</v>
      </c>
      <c r="D8698" s="22" t="s">
        <v>12720</v>
      </c>
      <c r="E8698" s="22" t="s">
        <v>48</v>
      </c>
      <c r="F8698" s="23" t="str">
        <f>HYPERLINK("https://www.spark-marketing.ru/Card/Lot/72625833", "Оказание услуг по организации питания в МБОУ ""Шыгырданская СОШ №1"" Батыревского района Чувашской Республики")</f>
        <v>Оказание услуг по организации питания в МБОУ "Шыгырданская СОШ №1" Батыревского района Чувашской Республики</v>
      </c>
      <c r="G8698" s="22" t="s">
        <v>618</v>
      </c>
      <c r="H8698" s="22" t="s">
        <v>10481</v>
      </c>
      <c r="I8698" s="26">
        <v>43683.488182870402</v>
      </c>
      <c r="J8698" s="28" t="s">
        <v>51</v>
      </c>
      <c r="K8698" s="28" t="s">
        <v>51</v>
      </c>
      <c r="L8698" s="28" t="s">
        <v>51</v>
      </c>
      <c r="M8698" s="28" t="s">
        <v>51</v>
      </c>
      <c r="N8698" s="28" t="s">
        <v>51</v>
      </c>
    </row>
    <row r="8699" spans="1:14" x14ac:dyDescent="0.15">
      <c r="A8699" s="23" t="str">
        <f>HYPERLINK("https://www.spark-marketing.ru/Card/Person/131771", "ОТДЕЛ МВД РОССИИ ПО БАВЛИНСКОМУ РАЙОНУ")</f>
        <v>ОТДЕЛ МВД РОССИИ ПО БАВЛИНСКОМУ РАЙОНУ</v>
      </c>
      <c r="B8699" s="24" t="s">
        <v>5018</v>
      </c>
      <c r="C8699" s="25">
        <v>842000</v>
      </c>
      <c r="D8699" s="22" t="s">
        <v>12721</v>
      </c>
      <c r="E8699" s="22" t="s">
        <v>48</v>
      </c>
      <c r="F8699" s="23" t="str">
        <f>HYPERLINK("https://www.spark-marketing.ru/Card/Lot/72625815", "Услуги питания")</f>
        <v>Услуги питания</v>
      </c>
      <c r="G8699" s="22" t="s">
        <v>217</v>
      </c>
      <c r="H8699" s="22" t="s">
        <v>9710</v>
      </c>
      <c r="I8699" s="26">
        <v>43683.4758912037</v>
      </c>
      <c r="J8699" s="28" t="s">
        <v>51</v>
      </c>
      <c r="K8699" s="28" t="s">
        <v>51</v>
      </c>
      <c r="L8699" s="28" t="s">
        <v>51</v>
      </c>
      <c r="M8699" s="28" t="s">
        <v>51</v>
      </c>
      <c r="N8699" s="28" t="s">
        <v>51</v>
      </c>
    </row>
    <row r="8700" spans="1:14" ht="12.75" hidden="1" outlineLevel="1" x14ac:dyDescent="0.2">
      <c r="A8700" s="23" t="str">
        <f>HYPERLINK("https://www.spark-marketing.ru/Card/Person/131771", "ОТДЕЛ МВД РОССИИ ПО БАВЛИНСКОМУ РАЙОНУ")</f>
        <v>ОТДЕЛ МВД РОССИИ ПО БАВЛИНСКОМУ РАЙОНУ</v>
      </c>
      <c r="B8700" s="24" t="s">
        <v>5018</v>
      </c>
      <c r="C8700" s="25">
        <v>842000</v>
      </c>
      <c r="D8700" s="22" t="s">
        <v>12721</v>
      </c>
      <c r="E8700" s="22" t="s">
        <v>48</v>
      </c>
      <c r="F8700" s="23" t="str">
        <f>HYPERLINK("https://www.spark-marketing.ru/Card/Lot/72625815", "Услуги питания")</f>
        <v>Услуги питания</v>
      </c>
      <c r="G8700" s="22" t="s">
        <v>217</v>
      </c>
      <c r="H8700" s="22" t="s">
        <v>9710</v>
      </c>
      <c r="I8700" s="26">
        <v>43683.4758912037</v>
      </c>
      <c r="J8700" s="23" t="str">
        <f>HYPERLINK("https://www.spark-marketing.ru/Card/Person/362315", "ООО ""ТАТНЕФТЬ-УРС""")</f>
        <v>ООО "ТАТНЕФТЬ-УРС"</v>
      </c>
      <c r="K8700" s="24" t="s">
        <v>12722</v>
      </c>
      <c r="L8700" s="22" t="s">
        <v>10</v>
      </c>
      <c r="M8700" s="25">
        <v>842000</v>
      </c>
      <c r="N8700" s="27">
        <v>0</v>
      </c>
    </row>
    <row r="8701" spans="1:14" hidden="1" outlineLevel="1" x14ac:dyDescent="0.2">
      <c r="A8701" s="23" t="str">
        <f>HYPERLINK("https://www.spark-marketing.ru/Card/Person/131771", "ОТДЕЛ МВД РОССИИ ПО БАВЛИНСКОМУ РАЙОНУ")</f>
        <v>ОТДЕЛ МВД РОССИИ ПО БАВЛИНСКОМУ РАЙОНУ</v>
      </c>
      <c r="B8701" s="24" t="s">
        <v>5018</v>
      </c>
      <c r="C8701" s="25">
        <v>842000</v>
      </c>
      <c r="D8701" s="22" t="s">
        <v>12721</v>
      </c>
      <c r="E8701" s="22" t="s">
        <v>48</v>
      </c>
      <c r="F8701" s="23" t="str">
        <f>HYPERLINK("https://www.spark-marketing.ru/Card/Lot/72625815", "Услуги питания")</f>
        <v>Услуги питания</v>
      </c>
      <c r="G8701" s="22" t="s">
        <v>217</v>
      </c>
      <c r="H8701" s="22" t="s">
        <v>9710</v>
      </c>
      <c r="I8701" s="26">
        <v>43683.4758912037</v>
      </c>
      <c r="J8701" s="23" t="str">
        <f>HYPERLINK("https://www.spark-marketing.ru/Card/Person/6075772", "ООО ""ЭТАЛОН+""")</f>
        <v>ООО "ЭТАЛОН+"</v>
      </c>
      <c r="K8701" s="24" t="s">
        <v>5846</v>
      </c>
      <c r="L8701" s="28" t="s">
        <v>51</v>
      </c>
      <c r="M8701" s="25">
        <v>842000</v>
      </c>
      <c r="N8701" s="27">
        <v>0</v>
      </c>
    </row>
    <row r="8702" spans="1:14" x14ac:dyDescent="0.15">
      <c r="A8702" s="23" t="str">
        <f>HYPERLINK("https://www.spark-marketing.ru/Card/Person/813343", "МАОУ ""ШЫГЫРДАНСКАЯ СОШ ИМЕНИ ПРОФЕССОРА Э.З.ФЕИЗОВА"" БАТЫРЕВСКОГО РАЙОНА ЧУВАШСКОЙ РЕСПУБЛИКИ")</f>
        <v>МАОУ "ШЫГЫРДАНСКАЯ СОШ ИМЕНИ ПРОФЕССОРА Э.З.ФЕИЗОВА" БАТЫРЕВСКОГО РАЙОНА ЧУВАШСКОЙ РЕСПУБЛИКИ</v>
      </c>
      <c r="B8702" s="24" t="s">
        <v>10479</v>
      </c>
      <c r="C8702" s="25">
        <v>148290</v>
      </c>
      <c r="D8702" s="22" t="s">
        <v>12723</v>
      </c>
      <c r="E8702" s="22" t="s">
        <v>48</v>
      </c>
      <c r="F8702" s="23" t="str">
        <f>HYPERLINK("https://www.spark-marketing.ru/Card/Lot/72625837", "Оказание услуг по организации питания в МБОУ ""Шыгырданская СОШ имени профессора Э.З.Феизова"" Батыревского района Чувашской Республики")</f>
        <v>Оказание услуг по организации питания в МБОУ "Шыгырданская СОШ имени профессора Э.З.Феизова" Батыревского района Чувашской Республики</v>
      </c>
      <c r="G8702" s="22" t="s">
        <v>618</v>
      </c>
      <c r="H8702" s="22" t="s">
        <v>10481</v>
      </c>
      <c r="I8702" s="26">
        <v>43683.496030092603</v>
      </c>
      <c r="J8702" s="28" t="s">
        <v>51</v>
      </c>
      <c r="K8702" s="28" t="s">
        <v>51</v>
      </c>
      <c r="L8702" s="28" t="s">
        <v>51</v>
      </c>
      <c r="M8702" s="28" t="s">
        <v>51</v>
      </c>
      <c r="N8702" s="28" t="s">
        <v>51</v>
      </c>
    </row>
    <row r="8703" spans="1:14" x14ac:dyDescent="0.15">
      <c r="A8703" s="23" t="str">
        <f>HYPERLINK("https://www.spark-marketing.ru/Card/Person/185252", "МО МВД РОССИИ ""КЫТМАНОВСКИЙ""")</f>
        <v>МО МВД РОССИИ "КЫТМАНОВСКИЙ"</v>
      </c>
      <c r="B8703" s="24" t="s">
        <v>9770</v>
      </c>
      <c r="C8703" s="25">
        <v>150000</v>
      </c>
      <c r="D8703" s="22" t="s">
        <v>12724</v>
      </c>
      <c r="E8703" s="22" t="s">
        <v>48</v>
      </c>
      <c r="F8703" s="23" t="str">
        <f>HYPERLINK("https://www.spark-marketing.ru/Card/Lot/72622359", "Оказание услуг по приготовлению пищи для лиц, содержащихся в изоляторе временного содержания подозреваемых и обвиняемых для МО МВД России «Кытмановский», расположенном по адресу: Алтайский край, с. Кытманово, ул. Пролетарская, 30")</f>
        <v>Оказание услуг по приготовлению пищи для лиц, содержащихся в изоляторе временного содержания подозреваемых и обвиняемых для МО МВД России «Кытмановский», расположенном по адресу: Алтайский край, с. Кытманово, ул. Пролетарская, 30</v>
      </c>
      <c r="G8703" s="22" t="s">
        <v>63</v>
      </c>
      <c r="H8703" s="22" t="s">
        <v>9772</v>
      </c>
      <c r="I8703" s="26">
        <v>43683.481898148202</v>
      </c>
      <c r="J8703" s="28" t="s">
        <v>51</v>
      </c>
      <c r="K8703" s="28" t="s">
        <v>51</v>
      </c>
      <c r="L8703" s="28" t="s">
        <v>51</v>
      </c>
      <c r="M8703" s="28" t="s">
        <v>51</v>
      </c>
      <c r="N8703" s="28" t="s">
        <v>51</v>
      </c>
    </row>
    <row r="8704" spans="1:14" x14ac:dyDescent="0.15">
      <c r="A8704" s="23" t="str">
        <f>HYPERLINK("https://www.spark-marketing.ru/Card/Person/397612", "МКОУ ""ЛОДЕЙНОПОЛЬСКАЯ СОШ № 2""")</f>
        <v>МКОУ "ЛОДЕЙНОПОЛЬСКАЯ СОШ № 2"</v>
      </c>
      <c r="B8704" s="24" t="s">
        <v>12725</v>
      </c>
      <c r="C8704" s="25">
        <v>1679839.6</v>
      </c>
      <c r="D8704" s="22" t="s">
        <v>12726</v>
      </c>
      <c r="E8704" s="22" t="s">
        <v>48</v>
      </c>
      <c r="F8704" s="23" t="str">
        <f>HYPERLINK("https://www.spark-marketing.ru/Card/Lot/72625329", "услуги по организации горячего питания обучающихся МКОУ ""Лодейнопольская СОШ №2""")</f>
        <v>услуги по организации горячего питания обучающихся МКОУ "Лодейнопольская СОШ №2"</v>
      </c>
      <c r="G8704" s="22" t="s">
        <v>162</v>
      </c>
      <c r="H8704" s="22" t="s">
        <v>12727</v>
      </c>
      <c r="I8704" s="26">
        <v>43683.464641203696</v>
      </c>
      <c r="J8704" s="28" t="s">
        <v>51</v>
      </c>
      <c r="K8704" s="28" t="s">
        <v>51</v>
      </c>
      <c r="L8704" s="28" t="s">
        <v>51</v>
      </c>
      <c r="M8704" s="28" t="s">
        <v>51</v>
      </c>
      <c r="N8704" s="28" t="s">
        <v>51</v>
      </c>
    </row>
    <row r="8705" spans="1:14" hidden="1" outlineLevel="1" x14ac:dyDescent="0.2">
      <c r="A8705" s="23" t="str">
        <f>HYPERLINK("https://www.spark-marketing.ru/Card/Person/397612", "МКОУ ""ЛОДЕЙНОПОЛЬСКАЯ СОШ № 2""")</f>
        <v>МКОУ "ЛОДЕЙНОПОЛЬСКАЯ СОШ № 2"</v>
      </c>
      <c r="B8705" s="24" t="s">
        <v>12725</v>
      </c>
      <c r="C8705" s="25">
        <v>1679839.6</v>
      </c>
      <c r="D8705" s="22" t="s">
        <v>12726</v>
      </c>
      <c r="E8705" s="22" t="s">
        <v>48</v>
      </c>
      <c r="F8705" s="23" t="str">
        <f>HYPERLINK("https://www.spark-marketing.ru/Card/Lot/72625329", "услуги по организации горячего питания обучающихся МКОУ ""Лодейнопольская СОШ №2""")</f>
        <v>услуги по организации горячего питания обучающихся МКОУ "Лодейнопольская СОШ №2"</v>
      </c>
      <c r="G8705" s="22" t="s">
        <v>162</v>
      </c>
      <c r="H8705" s="22" t="s">
        <v>12727</v>
      </c>
      <c r="I8705" s="26">
        <v>43683.464641203696</v>
      </c>
      <c r="J8705" s="23" t="str">
        <f>HYPERLINK("https://www.spark-marketing.ru/Card/Person/60670", "ОАО ""БЗУ""")</f>
        <v>ОАО "БЗУ"</v>
      </c>
      <c r="K8705" s="24" t="s">
        <v>6733</v>
      </c>
      <c r="L8705" s="28" t="s">
        <v>51</v>
      </c>
      <c r="M8705" s="25">
        <v>1511855.6</v>
      </c>
      <c r="N8705" s="27">
        <v>0.10000002381179728</v>
      </c>
    </row>
    <row r="8706" spans="1:14" ht="12.75" hidden="1" outlineLevel="1" x14ac:dyDescent="0.2">
      <c r="A8706" s="23" t="str">
        <f>HYPERLINK("https://www.spark-marketing.ru/Card/Person/397612", "МКОУ ""ЛОДЕЙНОПОЛЬСКАЯ СОШ № 2""")</f>
        <v>МКОУ "ЛОДЕЙНОПОЛЬСКАЯ СОШ № 2"</v>
      </c>
      <c r="B8706" s="24" t="s">
        <v>12725</v>
      </c>
      <c r="C8706" s="25">
        <v>1679839.6</v>
      </c>
      <c r="D8706" s="22" t="s">
        <v>12726</v>
      </c>
      <c r="E8706" s="22" t="s">
        <v>48</v>
      </c>
      <c r="F8706" s="23" t="str">
        <f>HYPERLINK("https://www.spark-marketing.ru/Card/Lot/72625329", "услуги по организации горячего питания обучающихся МКОУ ""Лодейнопольская СОШ №2""")</f>
        <v>услуги по организации горячего питания обучающихся МКОУ "Лодейнопольская СОШ №2"</v>
      </c>
      <c r="G8706" s="22" t="s">
        <v>162</v>
      </c>
      <c r="H8706" s="22" t="s">
        <v>12727</v>
      </c>
      <c r="I8706" s="26">
        <v>43683.464641203696</v>
      </c>
      <c r="J8706" s="23" t="str">
        <f>HYPERLINK("https://www.spark-marketing.ru/Card/Person/66983", "ООО ""ТД МАРС""")</f>
        <v>ООО "ТД МАРС"</v>
      </c>
      <c r="K8706" s="24" t="s">
        <v>8637</v>
      </c>
      <c r="L8706" s="22" t="s">
        <v>10</v>
      </c>
      <c r="M8706" s="25">
        <v>1503456.4</v>
      </c>
      <c r="N8706" s="27">
        <v>0.10500002500238713</v>
      </c>
    </row>
    <row r="8707" spans="1:14" x14ac:dyDescent="0.15">
      <c r="A8707" s="23" t="str">
        <f>HYPERLINK("https://www.spark-marketing.ru/Card/Person/140049", "ОТДЕЛ МВД РОССИИ ПО ОКТЯБРЬСКОМУ РАЙОНУ ЧЕЛЯБИНСКОЙ ОБЛАСТИ")</f>
        <v>ОТДЕЛ МВД РОССИИ ПО ОКТЯБРЬСКОМУ РАЙОНУ ЧЕЛЯБИНСКОЙ ОБЛАСТИ</v>
      </c>
      <c r="B8707" s="24" t="s">
        <v>929</v>
      </c>
      <c r="C8707" s="25">
        <v>449000</v>
      </c>
      <c r="D8707" s="22" t="s">
        <v>12728</v>
      </c>
      <c r="E8707" s="22" t="s">
        <v>48</v>
      </c>
      <c r="F8707" s="23" t="str">
        <f>HYPERLINK("https://www.spark-marketing.ru/Card/Lot/72617205", "услуги по обеспечению ежедневным трехразовым горячим питанием подозреваемых, обвиняемых и административно - задержанных лиц, содержащихся в ИВС")</f>
        <v>услуги по обеспечению ежедневным трехразовым горячим питанием подозреваемых, обвиняемых и административно - задержанных лиц, содержащихся в ИВС</v>
      </c>
      <c r="G8707" s="22" t="s">
        <v>469</v>
      </c>
      <c r="H8707" s="22" t="s">
        <v>465</v>
      </c>
      <c r="I8707" s="26">
        <v>43683.487245370401</v>
      </c>
      <c r="J8707" s="23" t="str">
        <f>HYPERLINK("https://www.spark-marketing.ru/Card/Person/5542649", "Голубкова Нина Викторовна")</f>
        <v>Голубкова Нина Викторовна</v>
      </c>
      <c r="K8707" s="24" t="s">
        <v>12729</v>
      </c>
      <c r="L8707" s="22" t="s">
        <v>10</v>
      </c>
      <c r="M8707" s="28" t="s">
        <v>51</v>
      </c>
      <c r="N8707" s="28" t="s">
        <v>51</v>
      </c>
    </row>
    <row r="8708" spans="1:14" x14ac:dyDescent="0.15">
      <c r="A8708" s="23" t="str">
        <f>HYPERLINK("https://www.spark-marketing.ru/Card/Person/367146", "ОМВД РОССИИ ПО РАЙОНУ Г. НЕРЕХТА И НЕРЕХТСКИЙ РАЙОН")</f>
        <v>ОМВД РОССИИ ПО РАЙОНУ Г. НЕРЕХТА И НЕРЕХТСКИЙ РАЙОН</v>
      </c>
      <c r="B8708" s="24" t="s">
        <v>12730</v>
      </c>
      <c r="C8708" s="25">
        <v>943753.36</v>
      </c>
      <c r="D8708" s="22" t="s">
        <v>12731</v>
      </c>
      <c r="E8708" s="22" t="s">
        <v>48</v>
      </c>
      <c r="F8708" s="23" t="str">
        <f>HYPERLINK("https://www.spark-marketing.ru/Card/Lot/72620450", "услуги по организации горячего питания для лиц, содержащихся в изоляторе временного содержания  и СПЗЛ")</f>
        <v>услуги по организации горячего питания для лиц, содержащихся в изоляторе временного содержания  и СПЗЛ</v>
      </c>
      <c r="G8708" s="22" t="s">
        <v>292</v>
      </c>
      <c r="H8708" s="22" t="s">
        <v>292</v>
      </c>
      <c r="I8708" s="26">
        <v>43683.479502314804</v>
      </c>
      <c r="J8708" s="23" t="str">
        <f>HYPERLINK("https://www.spark-marketing.ru/Card/Person/234123", "ООО ""ЛИКА""")</f>
        <v>ООО "ЛИКА"</v>
      </c>
      <c r="K8708" s="24" t="s">
        <v>3509</v>
      </c>
      <c r="L8708" s="22" t="s">
        <v>10</v>
      </c>
      <c r="M8708" s="28" t="s">
        <v>51</v>
      </c>
      <c r="N8708" s="28" t="s">
        <v>51</v>
      </c>
    </row>
    <row r="8709" spans="1:14" x14ac:dyDescent="0.15">
      <c r="A8709" s="23" t="str">
        <f>HYPERLINK("https://www.spark-marketing.ru/Card/Person/137005", "МБОУ СОШ № 6")</f>
        <v>МБОУ СОШ № 6</v>
      </c>
      <c r="B8709" s="24" t="s">
        <v>12732</v>
      </c>
      <c r="C8709" s="25">
        <v>2362544</v>
      </c>
      <c r="D8709" s="22" t="s">
        <v>12733</v>
      </c>
      <c r="E8709" s="22" t="s">
        <v>48</v>
      </c>
      <c r="F8709" s="23" t="str">
        <f>HYPERLINK("https://www.spark-marketing.ru/Card/Lot/72614068", "оказание услуг для нужд Заказчика по организации питания учащихся")</f>
        <v>оказание услуг для нужд Заказчика по организации питания учащихся</v>
      </c>
      <c r="G8709" s="22" t="s">
        <v>543</v>
      </c>
      <c r="H8709" s="22" t="s">
        <v>1052</v>
      </c>
      <c r="I8709" s="26">
        <v>43683.463240740697</v>
      </c>
      <c r="J8709" s="23" t="str">
        <f>HYPERLINK("https://www.spark-marketing.ru/Card/Person/6175657", "Прокопчук Александра Сергеевна")</f>
        <v>Прокопчук Александра Сергеевна</v>
      </c>
      <c r="K8709" s="24" t="s">
        <v>12734</v>
      </c>
      <c r="L8709" s="28" t="s">
        <v>51</v>
      </c>
      <c r="M8709" s="28" t="s">
        <v>51</v>
      </c>
      <c r="N8709" s="28" t="s">
        <v>51</v>
      </c>
    </row>
    <row r="8710" spans="1:14" ht="12.75" hidden="1" outlineLevel="1" x14ac:dyDescent="0.2">
      <c r="A8710" s="23" t="str">
        <f>HYPERLINK("https://www.spark-marketing.ru/Card/Person/137005", "МБОУ СОШ № 6")</f>
        <v>МБОУ СОШ № 6</v>
      </c>
      <c r="B8710" s="24" t="s">
        <v>12732</v>
      </c>
      <c r="C8710" s="25">
        <v>2362544</v>
      </c>
      <c r="D8710" s="22" t="s">
        <v>12733</v>
      </c>
      <c r="E8710" s="22" t="s">
        <v>48</v>
      </c>
      <c r="F8710" s="23" t="str">
        <f>HYPERLINK("https://www.spark-marketing.ru/Card/Lot/72614068", "оказание услуг для нужд Заказчика по организации питания учащихся")</f>
        <v>оказание услуг для нужд Заказчика по организации питания учащихся</v>
      </c>
      <c r="G8710" s="22" t="s">
        <v>543</v>
      </c>
      <c r="H8710" s="22" t="s">
        <v>1052</v>
      </c>
      <c r="I8710" s="26">
        <v>43683.463240740697</v>
      </c>
      <c r="J8710" s="23" t="str">
        <f>HYPERLINK("https://www.spark-marketing.ru/Card/Person/6175657", "Прокопчук Александра Сергеевна")</f>
        <v>Прокопчук Александра Сергеевна</v>
      </c>
      <c r="K8710" s="24" t="s">
        <v>12734</v>
      </c>
      <c r="L8710" s="22" t="s">
        <v>10</v>
      </c>
      <c r="M8710" s="25">
        <v>2350731.2799999998</v>
      </c>
      <c r="N8710" s="27">
        <v>5.0000000000000001E-3</v>
      </c>
    </row>
    <row r="8711" spans="1:14" x14ac:dyDescent="0.15">
      <c r="A8711" s="23" t="str">
        <f>HYPERLINK("https://www.spark-marketing.ru/Card/Person/6086", "ГКУ ""ДИРЕКЦИЯ ОДОТСЗН Г. МОСКВЫ""")</f>
        <v>ГКУ "ДИРЕКЦИЯ ОДОТСЗН Г. МОСКВЫ"</v>
      </c>
      <c r="B8711" s="24" t="s">
        <v>164</v>
      </c>
      <c r="C8711" s="25">
        <v>2620170</v>
      </c>
      <c r="D8711" s="22" t="s">
        <v>12735</v>
      </c>
      <c r="E8711" s="22" t="s">
        <v>86</v>
      </c>
      <c r="F8711" s="23" t="str">
        <f>HYPERLINK("https://www.spark-marketing.ru/Card/Lot/72621923", "Оказание услуг по предоставлению санаторно-курортного лечения (по путевкам) в 2020 году в санатории для лечения болезней нервной системы, органов кровообращения, болезней эндокринной системы, расстройства питания и нарушения обмена веществ, а также с...")</f>
        <v>Оказание услуг по предоставлению санаторно-курортного лечения (по путевкам) в 2020 году в санатории для лечения болезней нервной системы, органов кровообращения, болезней эндокринной системы, расстройства питания и нарушения обмена веществ, а также с...</v>
      </c>
      <c r="G8711" s="22" t="s">
        <v>56</v>
      </c>
      <c r="H8711" s="22" t="s">
        <v>56</v>
      </c>
      <c r="I8711" s="26">
        <v>43683.492361111101</v>
      </c>
      <c r="J8711" s="28" t="s">
        <v>51</v>
      </c>
      <c r="K8711" s="28" t="s">
        <v>51</v>
      </c>
      <c r="L8711" s="28" t="s">
        <v>51</v>
      </c>
      <c r="M8711" s="28" t="s">
        <v>51</v>
      </c>
      <c r="N8711" s="28" t="s">
        <v>51</v>
      </c>
    </row>
    <row r="8712" spans="1:14" hidden="1" outlineLevel="1" x14ac:dyDescent="0.2">
      <c r="A8712" s="23" t="str">
        <f>HYPERLINK("https://www.spark-marketing.ru/Card/Person/6086", "ГКУ ""ДИРЕКЦИЯ ОДОТСЗН Г. МОСКВЫ""")</f>
        <v>ГКУ "ДИРЕКЦИЯ ОДОТСЗН Г. МОСКВЫ"</v>
      </c>
      <c r="B8712" s="24" t="s">
        <v>164</v>
      </c>
      <c r="C8712" s="25">
        <v>2620170</v>
      </c>
      <c r="D8712" s="22" t="s">
        <v>12735</v>
      </c>
      <c r="E8712" s="22" t="s">
        <v>86</v>
      </c>
      <c r="F8712" s="23" t="str">
        <f>HYPERLINK("https://www.spark-marketing.ru/Card/Lot/72621923", "Оказание услуг по предоставлению санаторно-курортного лечения (по путевкам) в 2020 году в санатории для лечения болезней нервной системы, органов кровообращения, болезней эндокринной системы, расстройства питания и нарушения обмена веществ, а также с...")</f>
        <v>Оказание услуг по предоставлению санаторно-курортного лечения (по путевкам) в 2020 году в санатории для лечения болезней нервной системы, органов кровообращения, болезней эндокринной системы, расстройства питания и нарушения обмена веществ, а также с...</v>
      </c>
      <c r="G8712" s="22" t="s">
        <v>56</v>
      </c>
      <c r="H8712" s="22" t="s">
        <v>56</v>
      </c>
      <c r="I8712" s="26">
        <v>43683.492361111101</v>
      </c>
      <c r="J8712" s="23" t="str">
        <f>HYPERLINK("https://www.spark-marketing.ru/Card/Person/132681", "АО ""БРЯНСКАГРОЗДРАВНИЦА""")</f>
        <v>АО "БРЯНСКАГРОЗДРАВНИЦА"</v>
      </c>
      <c r="K8712" s="24" t="s">
        <v>2456</v>
      </c>
      <c r="L8712" s="28" t="s">
        <v>51</v>
      </c>
      <c r="M8712" s="25">
        <v>2580867</v>
      </c>
      <c r="N8712" s="27">
        <v>1.5000171744581459E-2</v>
      </c>
    </row>
    <row r="8713" spans="1:14" ht="12.75" hidden="1" outlineLevel="1" x14ac:dyDescent="0.2">
      <c r="A8713" s="23" t="str">
        <f>HYPERLINK("https://www.spark-marketing.ru/Card/Person/6086", "ГКУ ""ДИРЕКЦИЯ ОДОТСЗН Г. МОСКВЫ""")</f>
        <v>ГКУ "ДИРЕКЦИЯ ОДОТСЗН Г. МОСКВЫ"</v>
      </c>
      <c r="B8713" s="24" t="s">
        <v>164</v>
      </c>
      <c r="C8713" s="25">
        <v>2620170</v>
      </c>
      <c r="D8713" s="22" t="s">
        <v>12735</v>
      </c>
      <c r="E8713" s="22" t="s">
        <v>86</v>
      </c>
      <c r="F8713" s="23" t="str">
        <f>HYPERLINK("https://www.spark-marketing.ru/Card/Lot/72621923", "Оказание услуг по предоставлению санаторно-курортного лечения (по путевкам) в 2020 году в санатории для лечения болезней нервной системы, органов кровообращения, болезней эндокринной системы, расстройства питания и нарушения обмена веществ, а также с...")</f>
        <v>Оказание услуг по предоставлению санаторно-курортного лечения (по путевкам) в 2020 году в санатории для лечения болезней нервной системы, органов кровообращения, болезней эндокринной системы, расстройства питания и нарушения обмена веществ, а также с...</v>
      </c>
      <c r="G8713" s="22" t="s">
        <v>56</v>
      </c>
      <c r="H8713" s="22" t="s">
        <v>56</v>
      </c>
      <c r="I8713" s="26">
        <v>43683.492361111101</v>
      </c>
      <c r="J8713" s="23" t="str">
        <f>HYPERLINK("https://www.spark-marketing.ru/Card/Person/52764", "ООО САНАТОРИЙ (КУРОРТ) ""ЕГНЫШЕВКА""")</f>
        <v>ООО САНАТОРИЙ (КУРОРТ) "ЕГНЫШЕВКА"</v>
      </c>
      <c r="K8713" s="24" t="s">
        <v>12736</v>
      </c>
      <c r="L8713" s="22" t="s">
        <v>10</v>
      </c>
      <c r="M8713" s="25">
        <v>2404500</v>
      </c>
      <c r="N8713" s="27">
        <v>8.2311453073655533E-2</v>
      </c>
    </row>
    <row r="8714" spans="1:14" hidden="1" outlineLevel="1" x14ac:dyDescent="0.15">
      <c r="A8714" s="23" t="str">
        <f>HYPERLINK("https://www.spark-marketing.ru/Card/Person/6086", "ГКУ ""ДИРЕКЦИЯ ОДОТСЗН Г. МОСКВЫ""")</f>
        <v>ГКУ "ДИРЕКЦИЯ ОДОТСЗН Г. МОСКВЫ"</v>
      </c>
      <c r="B8714" s="24" t="s">
        <v>164</v>
      </c>
      <c r="C8714" s="25">
        <v>2620170</v>
      </c>
      <c r="D8714" s="22" t="s">
        <v>12735</v>
      </c>
      <c r="E8714" s="22" t="s">
        <v>86</v>
      </c>
      <c r="F8714" s="23" t="str">
        <f>HYPERLINK("https://www.spark-marketing.ru/Card/Lot/72621923", "Оказание услуг по предоставлению санаторно-курортного лечения (по путевкам) в 2020 году в санатории для лечения болезней нервной системы, органов кровообращения, болезней эндокринной системы, расстройства питания и нарушения обмена веществ, а также с...")</f>
        <v>Оказание услуг по предоставлению санаторно-курортного лечения (по путевкам) в 2020 году в санатории для лечения болезней нервной системы, органов кровообращения, болезней эндокринной системы, расстройства питания и нарушения обмена веществ, а также с...</v>
      </c>
      <c r="G8714" s="22" t="s">
        <v>56</v>
      </c>
      <c r="H8714" s="22" t="s">
        <v>56</v>
      </c>
      <c r="I8714" s="26">
        <v>43683.492361111101</v>
      </c>
      <c r="J8714" s="23" t="str">
        <f>HYPERLINK("https://www.spark-marketing.ru/Card/Person/64155", "ООО ""САНАТОРИЙ ТЕСНА""")</f>
        <v>ООО "САНАТОРИЙ ТЕСНА"</v>
      </c>
      <c r="K8714" s="24" t="s">
        <v>12737</v>
      </c>
      <c r="L8714" s="28" t="s">
        <v>51</v>
      </c>
      <c r="M8714" s="28" t="s">
        <v>51</v>
      </c>
      <c r="N8714" s="28" t="s">
        <v>51</v>
      </c>
    </row>
    <row r="8715" spans="1:14" hidden="1" outlineLevel="1" x14ac:dyDescent="0.2">
      <c r="A8715" s="23" t="str">
        <f>HYPERLINK("https://www.spark-marketing.ru/Card/Person/6086", "ГКУ ""ДИРЕКЦИЯ ОДОТСЗН Г. МОСКВЫ""")</f>
        <v>ГКУ "ДИРЕКЦИЯ ОДОТСЗН Г. МОСКВЫ"</v>
      </c>
      <c r="B8715" s="24" t="s">
        <v>164</v>
      </c>
      <c r="C8715" s="25">
        <v>2620170</v>
      </c>
      <c r="D8715" s="22" t="s">
        <v>12735</v>
      </c>
      <c r="E8715" s="22" t="s">
        <v>86</v>
      </c>
      <c r="F8715" s="23" t="str">
        <f>HYPERLINK("https://www.spark-marketing.ru/Card/Lot/72621923", "Оказание услуг по предоставлению санаторно-курортного лечения (по путевкам) в 2020 году в санатории для лечения болезней нервной системы, органов кровообращения, болезней эндокринной системы, расстройства питания и нарушения обмена веществ, а также с...")</f>
        <v>Оказание услуг по предоставлению санаторно-курортного лечения (по путевкам) в 2020 году в санатории для лечения болезней нервной системы, органов кровообращения, болезней эндокринной системы, расстройства питания и нарушения обмена веществ, а также с...</v>
      </c>
      <c r="G8715" s="22" t="s">
        <v>56</v>
      </c>
      <c r="H8715" s="22" t="s">
        <v>56</v>
      </c>
      <c r="I8715" s="26">
        <v>43683.492361111101</v>
      </c>
      <c r="J8715" s="23" t="str">
        <f>HYPERLINK("https://www.spark-marketing.ru/Card/Person/363222", "ООО САНАТОРИЙ ""СОЛОТЧА""")</f>
        <v>ООО САНАТОРИЙ "СОЛОТЧА"</v>
      </c>
      <c r="K8715" s="24" t="s">
        <v>12738</v>
      </c>
      <c r="L8715" s="28" t="s">
        <v>51</v>
      </c>
      <c r="M8715" s="25">
        <v>2282700</v>
      </c>
      <c r="N8715" s="27">
        <v>0.12879698645507734</v>
      </c>
    </row>
    <row r="8716" spans="1:14" x14ac:dyDescent="0.15">
      <c r="A8716" s="23" t="str">
        <f>HYPERLINK("https://www.spark-marketing.ru/Card/Person/14564", "УМВД РОССИИ ПО ЗАБАЙКАЛЬСКОМУ КРАЮ")</f>
        <v>УМВД РОССИИ ПО ЗАБАЙКАЛЬСКОМУ КРАЮ</v>
      </c>
      <c r="B8716" s="24" t="s">
        <v>12362</v>
      </c>
      <c r="C8716" s="25">
        <v>3993701.54</v>
      </c>
      <c r="D8716" s="22" t="s">
        <v>12739</v>
      </c>
      <c r="E8716" s="22" t="s">
        <v>96</v>
      </c>
      <c r="F8716" s="23" t="str">
        <f>HYPERLINK("https://www.spark-marketing.ru/Card/Lot/72619639", "Оказание услуг по  приготовлению и поставке пятиразового питания для несовершеннолетних содержащихся в ЦВСНП УМВД России по Забайкальскому краю")</f>
        <v>Оказание услуг по  приготовлению и поставке пятиразового питания для несовершеннолетних содержащихся в ЦВСНП УМВД России по Забайкальскому краю</v>
      </c>
      <c r="G8716" s="22" t="s">
        <v>228</v>
      </c>
      <c r="H8716" s="22" t="s">
        <v>394</v>
      </c>
      <c r="I8716" s="26">
        <v>43683.491400462997</v>
      </c>
      <c r="J8716" s="23" t="str">
        <f>HYPERLINK("https://www.spark-marketing.ru/Card/Person/1673855", "ООО ""ЧИТАСТРОЙ""")</f>
        <v>ООО "ЧИТАСТРОЙ"</v>
      </c>
      <c r="K8716" s="24" t="s">
        <v>10509</v>
      </c>
      <c r="L8716" s="22" t="s">
        <v>10</v>
      </c>
      <c r="M8716" s="28" t="s">
        <v>51</v>
      </c>
      <c r="N8716" s="28" t="s">
        <v>51</v>
      </c>
    </row>
    <row r="8717" spans="1:14" x14ac:dyDescent="0.15">
      <c r="A8717" s="23" t="str">
        <f>HYPERLINK("https://www.spark-marketing.ru/Card/Person/1050461", "МКУ ""УПРАВЛЕНИЕ ПО ДЕЛАМ ГО И ЧС ГУБКИНСКОГО ГОРОДСКОГО ОКРУГА""")</f>
        <v>МКУ "УПРАВЛЕНИЕ ПО ДЕЛАМ ГО И ЧС ГУБКИНСКОГО ГОРОДСКОГО ОКРУГА"</v>
      </c>
      <c r="B8717" s="24" t="s">
        <v>12740</v>
      </c>
      <c r="C8717" s="28" t="s">
        <v>51</v>
      </c>
      <c r="D8717" s="22" t="s">
        <v>12741</v>
      </c>
      <c r="E8717" s="22" t="s">
        <v>12742</v>
      </c>
      <c r="F8717" s="23" t="str">
        <f>HYPERLINK("https://www.spark-marketing.ru/Card/Lot/72622383", "«Продукты питания согласно перечня, товаров, работ, услуг, необходимых для оказания гуманитарной помощи либо ликвидации последствий чрезвычайных ситуаций природного или техногенного характера, утвержденный Распоряжением Правительства РФ от 30.09.2013...")</f>
        <v>«Продукты питания согласно перечня, товаров, работ, услуг, необходимых для оказания гуманитарной помощи либо ликвидации последствий чрезвычайных ситуаций природного или техногенного характера, утвержденный Распоряжением Правительства РФ от 30.09.2013...</v>
      </c>
      <c r="G8717" s="22" t="s">
        <v>696</v>
      </c>
      <c r="H8717" s="22" t="s">
        <v>10796</v>
      </c>
      <c r="I8717" s="26">
        <v>43683.493541666699</v>
      </c>
      <c r="J8717" s="28" t="s">
        <v>51</v>
      </c>
      <c r="K8717" s="28" t="s">
        <v>51</v>
      </c>
      <c r="L8717" s="28" t="s">
        <v>51</v>
      </c>
      <c r="M8717" s="28" t="s">
        <v>51</v>
      </c>
      <c r="N8717" s="28" t="s">
        <v>51</v>
      </c>
    </row>
    <row r="8718" spans="1:14" hidden="1" outlineLevel="1" x14ac:dyDescent="0.15">
      <c r="A8718" s="23" t="str">
        <f>HYPERLINK("https://www.spark-marketing.ru/Card/Person/1050461", "МКУ ""УПРАВЛЕНИЕ ПО ДЕЛАМ ГО И ЧС ГУБКИНСКОГО ГОРОДСКОГО ОКРУГА""")</f>
        <v>МКУ "УПРАВЛЕНИЕ ПО ДЕЛАМ ГО И ЧС ГУБКИНСКОГО ГОРОДСКОГО ОКРУГА"</v>
      </c>
      <c r="B8718" s="24" t="s">
        <v>12740</v>
      </c>
      <c r="C8718" s="28" t="s">
        <v>51</v>
      </c>
      <c r="D8718" s="22" t="s">
        <v>12741</v>
      </c>
      <c r="E8718" s="22" t="s">
        <v>12742</v>
      </c>
      <c r="F8718" s="23" t="str">
        <f>HYPERLINK("https://www.spark-marketing.ru/Card/Lot/72622383", "«Продукты питания согласно перечня, товаров, работ, услуг, необходимых для оказания гуманитарной помощи либо ликвидации последствий чрезвычайных ситуаций природного или техногенного характера, утвержденный Распоряжением Правительства РФ от 30.09.2013...")</f>
        <v>«Продукты питания согласно перечня, товаров, работ, услуг, необходимых для оказания гуманитарной помощи либо ликвидации последствий чрезвычайных ситуаций природного или техногенного характера, утвержденный Распоряжением Правительства РФ от 30.09.2013...</v>
      </c>
      <c r="G8718" s="22" t="s">
        <v>696</v>
      </c>
      <c r="H8718" s="22" t="s">
        <v>10796</v>
      </c>
      <c r="I8718" s="26">
        <v>43683.493541666699</v>
      </c>
      <c r="J8718" s="23" t="str">
        <f>HYPERLINK("https://www.spark-marketing.ru/Card/Person/342527", "ООО ""АРГОС 2003""")</f>
        <v>ООО "АРГОС 2003"</v>
      </c>
      <c r="K8718" s="24" t="s">
        <v>12743</v>
      </c>
      <c r="L8718" s="28" t="s">
        <v>51</v>
      </c>
      <c r="M8718" s="28" t="s">
        <v>51</v>
      </c>
      <c r="N8718" s="28" t="s">
        <v>51</v>
      </c>
    </row>
    <row r="8719" spans="1:14" hidden="1" outlineLevel="1" x14ac:dyDescent="0.15">
      <c r="A8719" s="23" t="str">
        <f>HYPERLINK("https://www.spark-marketing.ru/Card/Person/1050461", "МКУ ""УПРАВЛЕНИЕ ПО ДЕЛАМ ГО И ЧС ГУБКИНСКОГО ГОРОДСКОГО ОКРУГА""")</f>
        <v>МКУ "УПРАВЛЕНИЕ ПО ДЕЛАМ ГО И ЧС ГУБКИНСКОГО ГОРОДСКОГО ОКРУГА"</v>
      </c>
      <c r="B8719" s="24" t="s">
        <v>12740</v>
      </c>
      <c r="C8719" s="28" t="s">
        <v>51</v>
      </c>
      <c r="D8719" s="22" t="s">
        <v>12741</v>
      </c>
      <c r="E8719" s="22" t="s">
        <v>12742</v>
      </c>
      <c r="F8719" s="23" t="str">
        <f>HYPERLINK("https://www.spark-marketing.ru/Card/Lot/72622383", "«Продукты питания согласно перечня, товаров, работ, услуг, необходимых для оказания гуманитарной помощи либо ликвидации последствий чрезвычайных ситуаций природного или техногенного характера, утвержденный Распоряжением Правительства РФ от 30.09.2013...")</f>
        <v>«Продукты питания согласно перечня, товаров, работ, услуг, необходимых для оказания гуманитарной помощи либо ликвидации последствий чрезвычайных ситуаций природного или техногенного характера, утвержденный Распоряжением Правительства РФ от 30.09.2013...</v>
      </c>
      <c r="G8719" s="22" t="s">
        <v>696</v>
      </c>
      <c r="H8719" s="22" t="s">
        <v>10796</v>
      </c>
      <c r="I8719" s="26">
        <v>43683.493541666699</v>
      </c>
      <c r="J8719" s="23" t="str">
        <f>HYPERLINK("https://www.spark-marketing.ru/Card/Person/261880", "ООО ""ХЛЕБНЫЙ ДОМЪ""")</f>
        <v>ООО "ХЛЕБНЫЙ ДОМЪ"</v>
      </c>
      <c r="K8719" s="24" t="s">
        <v>12744</v>
      </c>
      <c r="L8719" s="28" t="s">
        <v>51</v>
      </c>
      <c r="M8719" s="28" t="s">
        <v>51</v>
      </c>
      <c r="N8719" s="28" t="s">
        <v>51</v>
      </c>
    </row>
    <row r="8720" spans="1:14" hidden="1" outlineLevel="1" x14ac:dyDescent="0.15">
      <c r="A8720" s="23" t="str">
        <f>HYPERLINK("https://www.spark-marketing.ru/Card/Person/1050461", "МКУ ""УПРАВЛЕНИЕ ПО ДЕЛАМ ГО И ЧС ГУБКИНСКОГО ГОРОДСКОГО ОКРУГА""")</f>
        <v>МКУ "УПРАВЛЕНИЕ ПО ДЕЛАМ ГО И ЧС ГУБКИНСКОГО ГОРОДСКОГО ОКРУГА"</v>
      </c>
      <c r="B8720" s="24" t="s">
        <v>12740</v>
      </c>
      <c r="C8720" s="28" t="s">
        <v>51</v>
      </c>
      <c r="D8720" s="22" t="s">
        <v>12741</v>
      </c>
      <c r="E8720" s="22" t="s">
        <v>12742</v>
      </c>
      <c r="F8720" s="23" t="str">
        <f>HYPERLINK("https://www.spark-marketing.ru/Card/Lot/72622383", "«Продукты питания согласно перечня, товаров, работ, услуг, необходимых для оказания гуманитарной помощи либо ликвидации последствий чрезвычайных ситуаций природного или техногенного характера, утвержденный Распоряжением Правительства РФ от 30.09.2013...")</f>
        <v>«Продукты питания согласно перечня, товаров, работ, услуг, необходимых для оказания гуманитарной помощи либо ликвидации последствий чрезвычайных ситуаций природного или техногенного характера, утвержденный Распоряжением Правительства РФ от 30.09.2013...</v>
      </c>
      <c r="G8720" s="22" t="s">
        <v>696</v>
      </c>
      <c r="H8720" s="22" t="s">
        <v>10796</v>
      </c>
      <c r="I8720" s="26">
        <v>43683.493541666699</v>
      </c>
      <c r="J8720" s="23" t="str">
        <f>HYPERLINK("https://www.spark-marketing.ru/Card/Person/1274771", "ООО ""ЕВРОПА""")</f>
        <v>ООО "ЕВРОПА"</v>
      </c>
      <c r="K8720" s="24" t="s">
        <v>12745</v>
      </c>
      <c r="L8720" s="28" t="s">
        <v>51</v>
      </c>
      <c r="M8720" s="28" t="s">
        <v>51</v>
      </c>
      <c r="N8720" s="28" t="s">
        <v>51</v>
      </c>
    </row>
    <row r="8721" spans="1:14" x14ac:dyDescent="0.15">
      <c r="A8721" s="23" t="str">
        <f>HYPERLINK("https://www.spark-marketing.ru/Card/Person/140049", "ОТДЕЛ МВД РОССИИ ПО ОКТЯБРЬСКОМУ РАЙОНУ ЧЕЛЯБИНСКОЙ ОБЛАСТИ")</f>
        <v>ОТДЕЛ МВД РОССИИ ПО ОКТЯБРЬСКОМУ РАЙОНУ ЧЕЛЯБИНСКОЙ ОБЛАСТИ</v>
      </c>
      <c r="B8721" s="24" t="s">
        <v>929</v>
      </c>
      <c r="C8721" s="25">
        <v>449000</v>
      </c>
      <c r="D8721" s="22" t="s">
        <v>12746</v>
      </c>
      <c r="E8721" s="22" t="s">
        <v>48</v>
      </c>
      <c r="F8721" s="23" t="str">
        <f>HYPERLINK("https://www.spark-marketing.ru/Card/Lot/72617203", "услуги по обеспечению ежедневным трехразовым горячим питанием подозреваемых, обвиняемых и административно - задержанных лиц, содержащихся в ИВС (2020)")</f>
        <v>услуги по обеспечению ежедневным трехразовым горячим питанием подозреваемых, обвиняемых и административно - задержанных лиц, содержащихся в ИВС (2020)</v>
      </c>
      <c r="G8721" s="22" t="s">
        <v>469</v>
      </c>
      <c r="H8721" s="22" t="s">
        <v>465</v>
      </c>
      <c r="I8721" s="26">
        <v>43683.485416666699</v>
      </c>
      <c r="J8721" s="23" t="str">
        <f>HYPERLINK("https://www.spark-marketing.ru/Card/Person/5542649", "Голубкова Нина Викторовна")</f>
        <v>Голубкова Нина Викторовна</v>
      </c>
      <c r="K8721" s="24" t="s">
        <v>12729</v>
      </c>
      <c r="L8721" s="22" t="s">
        <v>10</v>
      </c>
      <c r="M8721" s="28" t="s">
        <v>51</v>
      </c>
      <c r="N8721" s="28" t="s">
        <v>51</v>
      </c>
    </row>
    <row r="8722" spans="1:14" x14ac:dyDescent="0.15">
      <c r="A8722" s="23" t="str">
        <f>HYPERLINK("https://www.spark-marketing.ru/Card/Person/33012", "ОМВД РОССИИ ПО Г. ПЕРВОУРАЛЬСКУ")</f>
        <v>ОМВД РОССИИ ПО Г. ПЕРВОУРАЛЬСКУ</v>
      </c>
      <c r="B8722" s="24" t="s">
        <v>8627</v>
      </c>
      <c r="C8722" s="25">
        <v>1600000</v>
      </c>
      <c r="D8722" s="22" t="s">
        <v>12747</v>
      </c>
      <c r="E8722" s="22" t="s">
        <v>48</v>
      </c>
      <c r="F8722" s="23" t="str">
        <f>HYPERLINK("https://www.spark-marketing.ru/Card/Lot/72617701", "Услуги по организации питания ИВС")</f>
        <v>Услуги по организации питания ИВС</v>
      </c>
      <c r="G8722" s="22" t="s">
        <v>174</v>
      </c>
      <c r="H8722" s="22" t="s">
        <v>174</v>
      </c>
      <c r="I8722" s="26">
        <v>43683.420787037001</v>
      </c>
      <c r="J8722" s="28" t="s">
        <v>51</v>
      </c>
      <c r="K8722" s="28" t="s">
        <v>51</v>
      </c>
      <c r="L8722" s="28" t="s">
        <v>51</v>
      </c>
      <c r="M8722" s="28" t="s">
        <v>51</v>
      </c>
      <c r="N8722" s="28" t="s">
        <v>51</v>
      </c>
    </row>
    <row r="8723" spans="1:14" x14ac:dyDescent="0.15">
      <c r="A8723" s="23" t="str">
        <f>HYPERLINK("https://www.spark-marketing.ru/Card/Person/1709782", "АО ""РУСАТОМ СЕРВИС""")</f>
        <v>АО "РУСАТОМ СЕРВИС"</v>
      </c>
      <c r="B8723" s="24" t="s">
        <v>8724</v>
      </c>
      <c r="C8723" s="25">
        <v>0</v>
      </c>
      <c r="D8723" s="22" t="s">
        <v>12748</v>
      </c>
      <c r="E8723" s="22" t="s">
        <v>52</v>
      </c>
      <c r="F8723" s="23" t="str">
        <f>HYPERLINK("https://www.spark-marketing.ru/Card/Lot/72634194", "мониторинг цен в электронной форме на Услуги по организации питания")</f>
        <v>мониторинг цен в электронной форме на Услуги по организации питания</v>
      </c>
      <c r="G8723" s="22" t="s">
        <v>56</v>
      </c>
      <c r="H8723" s="22" t="s">
        <v>56</v>
      </c>
      <c r="I8723" s="26">
        <v>43683.425358796303</v>
      </c>
      <c r="J8723" s="28" t="s">
        <v>51</v>
      </c>
      <c r="K8723" s="28" t="s">
        <v>51</v>
      </c>
      <c r="L8723" s="28" t="s">
        <v>51</v>
      </c>
      <c r="M8723" s="28" t="s">
        <v>51</v>
      </c>
      <c r="N8723" s="28" t="s">
        <v>51</v>
      </c>
    </row>
    <row r="8724" spans="1:14" x14ac:dyDescent="0.15">
      <c r="A8724" s="23" t="str">
        <f>HYPERLINK("https://www.spark-marketing.ru/Card/Person/109531", "МО МВД РОССИИ ""ДИМИТРОВГРАДСКИЙ""")</f>
        <v>МО МВД РОССИИ "ДИМИТРОВГРАДСКИЙ"</v>
      </c>
      <c r="B8724" s="24" t="s">
        <v>2774</v>
      </c>
      <c r="C8724" s="25">
        <v>2883990.21</v>
      </c>
      <c r="D8724" s="22" t="s">
        <v>12749</v>
      </c>
      <c r="E8724" s="22" t="s">
        <v>48</v>
      </c>
      <c r="F8724" s="23" t="str">
        <f>HYPERLINK("https://www.spark-marketing.ru/Card/Lot/72617699", "Оказание услуг по организации, доставке ежедневного трехразового горячего питания для лиц, содержащихся в центре временного содержания иностранных граждан МО МВД России «Димитровградский»")</f>
        <v>Оказание услуг по организации, доставке ежедневного трехразового горячего питания для лиц, содержащихся в центре временного содержания иностранных граждан МО МВД России «Димитровградский»</v>
      </c>
      <c r="G8724" s="22" t="s">
        <v>1918</v>
      </c>
      <c r="H8724" s="22" t="s">
        <v>2776</v>
      </c>
      <c r="I8724" s="26">
        <v>43683.418726851902</v>
      </c>
      <c r="J8724" s="28" t="s">
        <v>51</v>
      </c>
      <c r="K8724" s="28" t="s">
        <v>51</v>
      </c>
      <c r="L8724" s="28" t="s">
        <v>51</v>
      </c>
      <c r="M8724" s="28" t="s">
        <v>51</v>
      </c>
      <c r="N8724" s="28" t="s">
        <v>51</v>
      </c>
    </row>
    <row r="8725" spans="1:14" hidden="1" outlineLevel="1" x14ac:dyDescent="0.2">
      <c r="A8725" s="23" t="str">
        <f>HYPERLINK("https://www.spark-marketing.ru/Card/Person/109531", "МО МВД РОССИИ ""ДИМИТРОВГРАДСКИЙ""")</f>
        <v>МО МВД РОССИИ "ДИМИТРОВГРАДСКИЙ"</v>
      </c>
      <c r="B8725" s="24" t="s">
        <v>2774</v>
      </c>
      <c r="C8725" s="25">
        <v>2883990.21</v>
      </c>
      <c r="D8725" s="22" t="s">
        <v>12749</v>
      </c>
      <c r="E8725" s="22" t="s">
        <v>48</v>
      </c>
      <c r="F8725" s="23" t="str">
        <f>HYPERLINK("https://www.spark-marketing.ru/Card/Lot/72617699", "Оказание услуг по организации, доставке ежедневного трехразового горячего питания для лиц, содержащихся в центре временного содержания иностранных граждан МО МВД России «Димитровградский»")</f>
        <v>Оказание услуг по организации, доставке ежедневного трехразового горячего питания для лиц, содержащихся в центре временного содержания иностранных граждан МО МВД России «Димитровградский»</v>
      </c>
      <c r="G8725" s="22" t="s">
        <v>1918</v>
      </c>
      <c r="H8725" s="22" t="s">
        <v>2776</v>
      </c>
      <c r="I8725" s="26">
        <v>43683.418726851902</v>
      </c>
      <c r="J8725" s="23" t="str">
        <f>HYPERLINK("https://www.spark-marketing.ru/Card/Person/1503242", "ООО ""КИ""")</f>
        <v>ООО "КИ"</v>
      </c>
      <c r="K8725" s="24" t="s">
        <v>12750</v>
      </c>
      <c r="L8725" s="28" t="s">
        <v>51</v>
      </c>
      <c r="M8725" s="25">
        <v>2869570.26</v>
      </c>
      <c r="N8725" s="27">
        <v>4.9999996359210942E-3</v>
      </c>
    </row>
    <row r="8726" spans="1:14" ht="12.75" hidden="1" outlineLevel="1" x14ac:dyDescent="0.2">
      <c r="A8726" s="23" t="str">
        <f>HYPERLINK("https://www.spark-marketing.ru/Card/Person/109531", "МО МВД РОССИИ ""ДИМИТРОВГРАДСКИЙ""")</f>
        <v>МО МВД РОССИИ "ДИМИТРОВГРАДСКИЙ"</v>
      </c>
      <c r="B8726" s="24" t="s">
        <v>2774</v>
      </c>
      <c r="C8726" s="25">
        <v>2883990.21</v>
      </c>
      <c r="D8726" s="22" t="s">
        <v>12749</v>
      </c>
      <c r="E8726" s="22" t="s">
        <v>48</v>
      </c>
      <c r="F8726" s="23" t="str">
        <f>HYPERLINK("https://www.spark-marketing.ru/Card/Lot/72617699", "Оказание услуг по организации, доставке ежедневного трехразового горячего питания для лиц, содержащихся в центре временного содержания иностранных граждан МО МВД России «Димитровградский»")</f>
        <v>Оказание услуг по организации, доставке ежедневного трехразового горячего питания для лиц, содержащихся в центре временного содержания иностранных граждан МО МВД России «Димитровградский»</v>
      </c>
      <c r="G8726" s="22" t="s">
        <v>1918</v>
      </c>
      <c r="H8726" s="22" t="s">
        <v>2776</v>
      </c>
      <c r="I8726" s="26">
        <v>43683.418726851902</v>
      </c>
      <c r="J8726" s="23" t="str">
        <f>HYPERLINK("https://www.spark-marketing.ru/Card/Person/5873566", "Игнашкина Ирина Николаевна")</f>
        <v>Игнашкина Ирина Николаевна</v>
      </c>
      <c r="K8726" s="24" t="s">
        <v>2777</v>
      </c>
      <c r="L8726" s="22" t="s">
        <v>10</v>
      </c>
      <c r="M8726" s="25">
        <v>2855150.31</v>
      </c>
      <c r="N8726" s="27">
        <v>9.9999992718421884E-3</v>
      </c>
    </row>
    <row r="8727" spans="1:14" x14ac:dyDescent="0.15">
      <c r="A8727" s="23" t="str">
        <f>HYPERLINK("https://www.spark-marketing.ru/Card/Person/31172", "ГБУЗ МО ""ПГКБ""")</f>
        <v>ГБУЗ МО "ПГКБ"</v>
      </c>
      <c r="B8727" s="24" t="s">
        <v>4883</v>
      </c>
      <c r="C8727" s="25">
        <v>9690638.4499999993</v>
      </c>
      <c r="D8727" s="22" t="s">
        <v>12751</v>
      </c>
      <c r="E8727" s="22" t="s">
        <v>48</v>
      </c>
      <c r="F8727" s="23" t="str">
        <f>HYPERLINK("https://www.spark-marketing.ru/Card/Lot/72641027",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8727" s="22" t="s">
        <v>49</v>
      </c>
      <c r="H8727" s="22" t="s">
        <v>50</v>
      </c>
      <c r="I8727" s="26">
        <v>43683.417152777802</v>
      </c>
      <c r="J8727" s="28" t="s">
        <v>51</v>
      </c>
      <c r="K8727" s="28" t="s">
        <v>51</v>
      </c>
      <c r="L8727" s="28" t="s">
        <v>51</v>
      </c>
      <c r="M8727" s="28" t="s">
        <v>51</v>
      </c>
      <c r="N8727" s="28" t="s">
        <v>51</v>
      </c>
    </row>
    <row r="8728" spans="1:14" ht="12.75" hidden="1" outlineLevel="1" x14ac:dyDescent="0.2">
      <c r="A8728" s="23" t="str">
        <f>HYPERLINK("https://www.spark-marketing.ru/Card/Person/31172", "ГБУЗ МО ""ПГКБ""")</f>
        <v>ГБУЗ МО "ПГКБ"</v>
      </c>
      <c r="B8728" s="24" t="s">
        <v>4883</v>
      </c>
      <c r="C8728" s="25">
        <v>9690638.4499999993</v>
      </c>
      <c r="D8728" s="22" t="s">
        <v>12751</v>
      </c>
      <c r="E8728" s="22" t="s">
        <v>48</v>
      </c>
      <c r="F8728" s="23" t="str">
        <f>HYPERLINK("https://www.spark-marketing.ru/Card/Lot/72641027",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8728" s="22" t="s">
        <v>49</v>
      </c>
      <c r="H8728" s="22" t="s">
        <v>50</v>
      </c>
      <c r="I8728" s="26">
        <v>43683.417152777802</v>
      </c>
      <c r="J8728" s="23" t="str">
        <f>HYPERLINK("https://www.spark-marketing.ru/Card/Person/47262", "МУП ""ПКП И ОРТ""")</f>
        <v>МУП "ПКП И ОРТ"</v>
      </c>
      <c r="K8728" s="24" t="s">
        <v>4140</v>
      </c>
      <c r="L8728" s="22" t="s">
        <v>10</v>
      </c>
      <c r="M8728" s="25">
        <v>9206106.4499999993</v>
      </c>
      <c r="N8728" s="27">
        <v>5.0000007997409085E-2</v>
      </c>
    </row>
    <row r="8729" spans="1:14" hidden="1" outlineLevel="1" x14ac:dyDescent="0.2">
      <c r="A8729" s="23" t="str">
        <f>HYPERLINK("https://www.spark-marketing.ru/Card/Person/31172", "ГБУЗ МО ""ПГКБ""")</f>
        <v>ГБУЗ МО "ПГКБ"</v>
      </c>
      <c r="B8729" s="24" t="s">
        <v>4883</v>
      </c>
      <c r="C8729" s="25">
        <v>9690638.4499999993</v>
      </c>
      <c r="D8729" s="22" t="s">
        <v>12751</v>
      </c>
      <c r="E8729" s="22" t="s">
        <v>48</v>
      </c>
      <c r="F8729" s="23" t="str">
        <f>HYPERLINK("https://www.spark-marketing.ru/Card/Lot/72641027",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8729" s="22" t="s">
        <v>49</v>
      </c>
      <c r="H8729" s="22" t="s">
        <v>50</v>
      </c>
      <c r="I8729" s="26">
        <v>43683.417152777802</v>
      </c>
      <c r="J8729" s="23" t="str">
        <f>HYPERLINK("https://www.spark-marketing.ru/Card/Person/4684100", "ООО ""ТЕХНОЛОГИИ ВКУСА""")</f>
        <v>ООО "ТЕХНОЛОГИИ ВКУСА"</v>
      </c>
      <c r="K8729" s="24" t="s">
        <v>9609</v>
      </c>
      <c r="L8729" s="28" t="s">
        <v>51</v>
      </c>
      <c r="M8729" s="25">
        <v>9254559.6500000004</v>
      </c>
      <c r="N8729" s="27">
        <v>4.5000007197668175E-2</v>
      </c>
    </row>
    <row r="8730" spans="1:14" x14ac:dyDescent="0.15">
      <c r="A8730" s="23" t="str">
        <f>HYPERLINK("https://www.spark-marketing.ru/Card/Person/25738", "УМВД РОССИИ ПО Г. СТАРОМУ ОСКОЛУ")</f>
        <v>УМВД РОССИИ ПО Г. СТАРОМУ ОСКОЛУ</v>
      </c>
      <c r="B8730" s="24" t="s">
        <v>4695</v>
      </c>
      <c r="C8730" s="25">
        <v>1180814</v>
      </c>
      <c r="D8730" s="22" t="s">
        <v>12752</v>
      </c>
      <c r="E8730" s="22" t="s">
        <v>51</v>
      </c>
      <c r="F8730" s="23" t="str">
        <f>HYPERLINK("https://www.spark-marketing.ru/Card/Lot/72620191", "Услуги по организации ежедневного 3-х разового питания для лиц, содержащихся в изоляторе временного содержания подозреваемых и обвиняемых УМВД России по г. Старому Осколу в 2020 году")</f>
        <v>Услуги по организации ежедневного 3-х разового питания для лиц, содержащихся в изоляторе временного содержания подозреваемых и обвиняемых УМВД России по г. Старому Осколу в 2020 году</v>
      </c>
      <c r="G8730" s="22" t="s">
        <v>696</v>
      </c>
      <c r="H8730" s="22" t="s">
        <v>4697</v>
      </c>
      <c r="I8730" s="26">
        <v>43683.440069444398</v>
      </c>
      <c r="J8730" s="23" t="str">
        <f>HYPERLINK("https://www.spark-marketing.ru/Card/Person/4934845", "ООО ""ЛЭК ""ФРЕЯ""")</f>
        <v>ООО "ЛЭК "ФРЕЯ"</v>
      </c>
      <c r="K8730" s="24" t="s">
        <v>4698</v>
      </c>
      <c r="L8730" s="22" t="s">
        <v>10</v>
      </c>
      <c r="M8730" s="28" t="s">
        <v>51</v>
      </c>
      <c r="N8730" s="28" t="s">
        <v>51</v>
      </c>
    </row>
    <row r="8731" spans="1:14" x14ac:dyDescent="0.15">
      <c r="A8731" s="23" t="str">
        <f>HYPERLINK("https://www.spark-marketing.ru/Card/Person/17930", "МЕЖМУНИЦИПАЛЬНЫЙ ОТДЕЛ МВД РОССИИ ""КАМЫШИНСКИЙ""")</f>
        <v>МЕЖМУНИЦИПАЛЬНЫЙ ОТДЕЛ МВД РОССИИ "КАМЫШИНСКИЙ"</v>
      </c>
      <c r="B8731" s="24" t="s">
        <v>12513</v>
      </c>
      <c r="C8731" s="25">
        <v>1959996.67</v>
      </c>
      <c r="D8731" s="22" t="s">
        <v>12753</v>
      </c>
      <c r="E8731" s="22" t="s">
        <v>48</v>
      </c>
      <c r="F8731" s="23" t="str">
        <f>HYPERLINK("https://www.spark-marketing.ru/Card/Lot/72618179", "Оказание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заключенных, и лиц, содержащихся в специальном приемнике, камерах административных з...")</f>
        <v>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заключенных, и лиц, содержащихся в специальном приемнике, камерах административных з...</v>
      </c>
      <c r="G8731" s="22" t="s">
        <v>158</v>
      </c>
      <c r="H8731" s="22" t="s">
        <v>158</v>
      </c>
      <c r="I8731" s="26">
        <v>43683.443668981497</v>
      </c>
      <c r="J8731" s="23" t="str">
        <f>HYPERLINK("https://www.spark-marketing.ru/Card/Person/520670", "ООО ""СОЮЗ К""")</f>
        <v>ООО "СОЮЗ К"</v>
      </c>
      <c r="K8731" s="24" t="s">
        <v>10035</v>
      </c>
      <c r="L8731" s="28" t="s">
        <v>51</v>
      </c>
      <c r="M8731" s="28" t="s">
        <v>51</v>
      </c>
      <c r="N8731" s="28" t="s">
        <v>51</v>
      </c>
    </row>
    <row r="8732" spans="1:14" ht="12.75" hidden="1" outlineLevel="1" x14ac:dyDescent="0.2">
      <c r="A8732" s="23" t="str">
        <f>HYPERLINK("https://www.spark-marketing.ru/Card/Person/17930", "МЕЖМУНИЦИПАЛЬНЫЙ ОТДЕЛ МВД РОССИИ ""КАМЫШИНСКИЙ""")</f>
        <v>МЕЖМУНИЦИПАЛЬНЫЙ ОТДЕЛ МВД РОССИИ "КАМЫШИНСКИЙ"</v>
      </c>
      <c r="B8732" s="24" t="s">
        <v>12513</v>
      </c>
      <c r="C8732" s="25">
        <v>1959996.67</v>
      </c>
      <c r="D8732" s="22" t="s">
        <v>12753</v>
      </c>
      <c r="E8732" s="22" t="s">
        <v>48</v>
      </c>
      <c r="F8732" s="23" t="str">
        <f>HYPERLINK("https://www.spark-marketing.ru/Card/Lot/72618179", "Оказание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заключенных, и лиц, содержащихся в специальном приемнике, камерах административных з...")</f>
        <v>Оказание услуг по обеспечению трехразовым горячим питанием лиц, подвергнутых административному аресту, содержащихся в специальном приемнике, камерах административных заключенных, и лиц, содержащихся в специальном приемнике, камерах административных з...</v>
      </c>
      <c r="G8732" s="22" t="s">
        <v>158</v>
      </c>
      <c r="H8732" s="22" t="s">
        <v>158</v>
      </c>
      <c r="I8732" s="26">
        <v>43683.443668981497</v>
      </c>
      <c r="J8732" s="23" t="str">
        <f>HYPERLINK("https://www.spark-marketing.ru/Card/Person/520670", "ООО ""СОЮЗ К""")</f>
        <v>ООО "СОЮЗ К"</v>
      </c>
      <c r="K8732" s="24" t="s">
        <v>10035</v>
      </c>
      <c r="L8732" s="22" t="s">
        <v>10</v>
      </c>
      <c r="M8732" s="25">
        <v>1950196.69</v>
      </c>
      <c r="N8732" s="27">
        <v>4.9999982908134222E-3</v>
      </c>
    </row>
    <row r="8733" spans="1:14" x14ac:dyDescent="0.15">
      <c r="A8733" s="23" t="str">
        <f>HYPERLINK("https://www.spark-marketing.ru/Card/Person/89798", "УМВД РОССИИ ПО ГОРОДУ КИРОВУ")</f>
        <v>УМВД РОССИИ ПО ГОРОДУ КИРОВУ</v>
      </c>
      <c r="B8733" s="24" t="s">
        <v>8365</v>
      </c>
      <c r="C8733" s="25">
        <v>900000</v>
      </c>
      <c r="D8733" s="22" t="s">
        <v>12754</v>
      </c>
      <c r="E8733" s="22" t="s">
        <v>48</v>
      </c>
      <c r="F8733" s="23" t="str">
        <f>HYPERLINK("https://www.spark-marketing.ru/Card/Lot/72620176",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733" s="22" t="s">
        <v>224</v>
      </c>
      <c r="H8733" s="22" t="s">
        <v>225</v>
      </c>
      <c r="I8733" s="26">
        <v>43683.4309490741</v>
      </c>
      <c r="J8733" s="28" t="s">
        <v>51</v>
      </c>
      <c r="K8733" s="28" t="s">
        <v>51</v>
      </c>
      <c r="L8733" s="28" t="s">
        <v>51</v>
      </c>
      <c r="M8733" s="28" t="s">
        <v>51</v>
      </c>
      <c r="N8733" s="28" t="s">
        <v>51</v>
      </c>
    </row>
    <row r="8734" spans="1:14" hidden="1" outlineLevel="1" x14ac:dyDescent="0.2">
      <c r="A8734" s="23" t="str">
        <f>HYPERLINK("https://www.spark-marketing.ru/Card/Person/89798", "УМВД РОССИИ ПО ГОРОДУ КИРОВУ")</f>
        <v>УМВД РОССИИ ПО ГОРОДУ КИРОВУ</v>
      </c>
      <c r="B8734" s="24" t="s">
        <v>8365</v>
      </c>
      <c r="C8734" s="25">
        <v>900000</v>
      </c>
      <c r="D8734" s="22" t="s">
        <v>12754</v>
      </c>
      <c r="E8734" s="22" t="s">
        <v>48</v>
      </c>
      <c r="F8734" s="23" t="str">
        <f>HYPERLINK("https://www.spark-marketing.ru/Card/Lot/72620176",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734" s="22" t="s">
        <v>224</v>
      </c>
      <c r="H8734" s="22" t="s">
        <v>225</v>
      </c>
      <c r="I8734" s="26">
        <v>43683.4309490741</v>
      </c>
      <c r="J8734" s="23" t="str">
        <f>HYPERLINK("https://www.spark-marketing.ru/Card/Person/6454752", "ООО ""ЕВРО КЕЙТЕРИНГ 43""")</f>
        <v>ООО "ЕВРО КЕЙТЕРИНГ 43"</v>
      </c>
      <c r="K8734" s="24" t="s">
        <v>8367</v>
      </c>
      <c r="L8734" s="28" t="s">
        <v>51</v>
      </c>
      <c r="M8734" s="25">
        <v>6986.89</v>
      </c>
      <c r="N8734" s="27">
        <v>0.99223678888888889</v>
      </c>
    </row>
    <row r="8735" spans="1:14" ht="12.75" hidden="1" outlineLevel="1" x14ac:dyDescent="0.2">
      <c r="A8735" s="23" t="str">
        <f>HYPERLINK("https://www.spark-marketing.ru/Card/Person/89798", "УМВД РОССИИ ПО ГОРОДУ КИРОВУ")</f>
        <v>УМВД РОССИИ ПО ГОРОДУ КИРОВУ</v>
      </c>
      <c r="B8735" s="24" t="s">
        <v>8365</v>
      </c>
      <c r="C8735" s="25">
        <v>900000</v>
      </c>
      <c r="D8735" s="22" t="s">
        <v>12754</v>
      </c>
      <c r="E8735" s="22" t="s">
        <v>48</v>
      </c>
      <c r="F8735" s="23" t="str">
        <f>HYPERLINK("https://www.spark-marketing.ru/Card/Lot/72620176",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8735" s="22" t="s">
        <v>224</v>
      </c>
      <c r="H8735" s="22" t="s">
        <v>225</v>
      </c>
      <c r="I8735" s="26">
        <v>43683.4309490741</v>
      </c>
      <c r="J8735" s="23" t="str">
        <f>HYPERLINK("https://www.spark-marketing.ru/Card/Person/89851", "ООО ""ФУД-СЕРВИС""")</f>
        <v>ООО "ФУД-СЕРВИС"</v>
      </c>
      <c r="K8735" s="24" t="s">
        <v>8368</v>
      </c>
      <c r="L8735" s="22" t="s">
        <v>10</v>
      </c>
      <c r="M8735" s="25">
        <v>6951.78</v>
      </c>
      <c r="N8735" s="27">
        <v>0.99227580000000004</v>
      </c>
    </row>
    <row r="8736" spans="1:14" x14ac:dyDescent="0.15">
      <c r="A8736" s="23" t="str">
        <f>HYPERLINK("https://www.spark-marketing.ru/Card/Person/404680", "ОМВД РОССИИ ПО УСМАНСКОМУ РАЙОНУ")</f>
        <v>ОМВД РОССИИ ПО УСМАНСКОМУ РАЙОНУ</v>
      </c>
      <c r="B8736" s="24" t="s">
        <v>12755</v>
      </c>
      <c r="C8736" s="25">
        <v>600000</v>
      </c>
      <c r="D8736" s="22" t="s">
        <v>12756</v>
      </c>
      <c r="E8736" s="22" t="s">
        <v>48</v>
      </c>
      <c r="F8736" s="23" t="str">
        <f>HYPERLINK("https://www.spark-marketing.ru/Card/Lot/72624058", "Услуги по обеспечению ежедневным трехразовым горячим питанием подозреваемых и обвиняемых в совершении преступлений, содержащихся в изоляторе временного содержания ОМВД России по Усманскому району, лиц, задержанных за административные правонарушения, ...")</f>
        <v>Услуги по обеспечению ежедневным трехразовым горячим питанием подозреваемых и обвиняемых в совершении преступлений, содержащихся в изоляторе временного содержания ОМВД России по Усманскому району, лиц, задержанных за административные правонарушения, ...</v>
      </c>
      <c r="G8736" s="22" t="s">
        <v>101</v>
      </c>
      <c r="H8736" s="22" t="s">
        <v>6775</v>
      </c>
      <c r="I8736" s="26">
        <v>43683.433252314797</v>
      </c>
      <c r="J8736" s="23" t="str">
        <f>HYPERLINK("https://www.spark-marketing.ru/Card/Person/401469", "ООО ""ЗАКУСОЧНАЯ""")</f>
        <v>ООО "ЗАКУСОЧНАЯ"</v>
      </c>
      <c r="K8736" s="24" t="s">
        <v>12757</v>
      </c>
      <c r="L8736" s="22" t="s">
        <v>10</v>
      </c>
      <c r="M8736" s="28" t="s">
        <v>51</v>
      </c>
      <c r="N8736" s="28" t="s">
        <v>51</v>
      </c>
    </row>
    <row r="8737" spans="1:14" x14ac:dyDescent="0.15">
      <c r="A8737" s="23" t="s">
        <v>114</v>
      </c>
      <c r="B8737" s="28" t="s">
        <v>51</v>
      </c>
      <c r="C8737" s="25">
        <v>743064.46</v>
      </c>
      <c r="D8737" s="22" t="s">
        <v>12758</v>
      </c>
      <c r="E8737" s="22" t="s">
        <v>62</v>
      </c>
      <c r="F8737" s="23" t="str">
        <f t="shared" ref="F8737:F8744" si="192">HYPERLINK("https://www.spark-marketing.ru/Card/Lot/72620130", "закупка бланочной продукции")</f>
        <v>закупка бланочной продукции</v>
      </c>
      <c r="G8737" s="22" t="s">
        <v>51</v>
      </c>
      <c r="H8737" s="22" t="s">
        <v>51</v>
      </c>
      <c r="I8737" s="26">
        <v>43683.415474537003</v>
      </c>
      <c r="J8737" s="28" t="s">
        <v>51</v>
      </c>
      <c r="K8737" s="28" t="s">
        <v>51</v>
      </c>
      <c r="L8737" s="28" t="s">
        <v>51</v>
      </c>
      <c r="M8737" s="28" t="s">
        <v>51</v>
      </c>
      <c r="N8737" s="28" t="s">
        <v>51</v>
      </c>
    </row>
    <row r="8738" spans="1:14" hidden="1" outlineLevel="1" x14ac:dyDescent="0.15">
      <c r="A8738" s="23" t="str">
        <f>HYPERLINK("https://www.spark-marketing.ru/Card/Person/114154", "ГБУЗ РЕСПУБЛИКИ МОРДОВИЯ ""АТЯШЕВСКАЯ РБ""")</f>
        <v>ГБУЗ РЕСПУБЛИКИ МОРДОВИЯ "АТЯШЕВСКАЯ РБ"</v>
      </c>
      <c r="B8738" s="24" t="s">
        <v>12759</v>
      </c>
      <c r="C8738" s="25">
        <v>375728.56</v>
      </c>
      <c r="D8738" s="22" t="s">
        <v>12758</v>
      </c>
      <c r="E8738" s="22" t="s">
        <v>62</v>
      </c>
      <c r="F8738" s="23" t="str">
        <f t="shared" si="192"/>
        <v>закупка бланочной продукции</v>
      </c>
      <c r="G8738" s="22" t="s">
        <v>277</v>
      </c>
      <c r="H8738" s="22" t="s">
        <v>12760</v>
      </c>
      <c r="I8738" s="26">
        <v>43683.415474537003</v>
      </c>
      <c r="J8738" s="28" t="s">
        <v>51</v>
      </c>
      <c r="K8738" s="28" t="s">
        <v>51</v>
      </c>
      <c r="L8738" s="28" t="s">
        <v>51</v>
      </c>
      <c r="M8738" s="28" t="s">
        <v>51</v>
      </c>
      <c r="N8738" s="28" t="s">
        <v>51</v>
      </c>
    </row>
    <row r="8739" spans="1:14" hidden="1" outlineLevel="1" x14ac:dyDescent="0.15">
      <c r="A8739" s="23" t="str">
        <f>HYPERLINK("https://www.spark-marketing.ru/Card/Person/314621", "ГБУЗ РЕСПУБЛИКИ МОРДОВИЯ ""АРДАТОВСКАЯ РБ""")</f>
        <v>ГБУЗ РЕСПУБЛИКИ МОРДОВИЯ "АРДАТОВСКАЯ РБ"</v>
      </c>
      <c r="B8739" s="24" t="s">
        <v>12761</v>
      </c>
      <c r="C8739" s="25">
        <v>367335.9</v>
      </c>
      <c r="D8739" s="22" t="s">
        <v>12758</v>
      </c>
      <c r="E8739" s="22" t="s">
        <v>62</v>
      </c>
      <c r="F8739" s="23" t="str">
        <f t="shared" si="192"/>
        <v>закупка бланочной продукции</v>
      </c>
      <c r="G8739" s="22" t="s">
        <v>277</v>
      </c>
      <c r="H8739" s="22" t="s">
        <v>9501</v>
      </c>
      <c r="I8739" s="26">
        <v>43683.415474537003</v>
      </c>
      <c r="J8739" s="28" t="s">
        <v>51</v>
      </c>
      <c r="K8739" s="28" t="s">
        <v>51</v>
      </c>
      <c r="L8739" s="28" t="s">
        <v>51</v>
      </c>
      <c r="M8739" s="28" t="s">
        <v>51</v>
      </c>
      <c r="N8739" s="28" t="s">
        <v>51</v>
      </c>
    </row>
    <row r="8740" spans="1:14" hidden="1" outlineLevel="1" x14ac:dyDescent="0.2">
      <c r="A8740" s="28" t="s">
        <v>51</v>
      </c>
      <c r="B8740" s="28" t="s">
        <v>51</v>
      </c>
      <c r="C8740" s="28" t="s">
        <v>51</v>
      </c>
      <c r="D8740" s="22" t="s">
        <v>12758</v>
      </c>
      <c r="E8740" s="22" t="s">
        <v>62</v>
      </c>
      <c r="F8740" s="23" t="str">
        <f t="shared" si="192"/>
        <v>закупка бланочной продукции</v>
      </c>
      <c r="G8740" s="22" t="s">
        <v>51</v>
      </c>
      <c r="H8740" s="22" t="s">
        <v>51</v>
      </c>
      <c r="I8740" s="26">
        <v>43683.415474537003</v>
      </c>
      <c r="J8740" s="23" t="str">
        <f>HYPERLINK("https://www.spark-marketing.ru/Card/Person/70363", "ООО ""ВИННЕР - ПРИНТ""")</f>
        <v>ООО "ВИННЕР - ПРИНТ"</v>
      </c>
      <c r="K8740" s="24" t="s">
        <v>3048</v>
      </c>
      <c r="L8740" s="28" t="s">
        <v>51</v>
      </c>
      <c r="M8740" s="25">
        <v>336000</v>
      </c>
      <c r="N8740" s="27">
        <v>0.54781850285236355</v>
      </c>
    </row>
    <row r="8741" spans="1:14" hidden="1" outlineLevel="1" x14ac:dyDescent="0.2">
      <c r="A8741" s="28" t="s">
        <v>51</v>
      </c>
      <c r="B8741" s="28" t="s">
        <v>51</v>
      </c>
      <c r="C8741" s="28" t="s">
        <v>51</v>
      </c>
      <c r="D8741" s="22" t="s">
        <v>12758</v>
      </c>
      <c r="E8741" s="22" t="s">
        <v>62</v>
      </c>
      <c r="F8741" s="23" t="str">
        <f t="shared" si="192"/>
        <v>закупка бланочной продукции</v>
      </c>
      <c r="G8741" s="22" t="s">
        <v>51</v>
      </c>
      <c r="H8741" s="22" t="s">
        <v>51</v>
      </c>
      <c r="I8741" s="26">
        <v>43683.415474537003</v>
      </c>
      <c r="J8741" s="23" t="str">
        <f>HYPERLINK("https://www.spark-marketing.ru/Card/Person/75978", "НАЦИОНАЛЬНЫЙ ИССЛЕДОВАТЕЛЬСКИЙ МОРДОВСКИЙ ГОСУДАРСТВЕННЫЙ УНИВЕРСИТЕТ, МГУ ИМ. Н.П. ОГАРЁВА; ФГБОУ ВО ""МГУ ИМ. Н.П. ОГАРЁВА""")</f>
        <v>НАЦИОНАЛЬНЫЙ ИССЛЕДОВАТЕЛЬСКИЙ МОРДОВСКИЙ ГОСУДАРСТВЕННЫЙ УНИВЕРСИТЕТ, МГУ ИМ. Н.П. ОГАРЁВА; ФГБОУ ВО "МГУ ИМ. Н.П. ОГАРЁВА"</v>
      </c>
      <c r="K8741" s="24" t="s">
        <v>12762</v>
      </c>
      <c r="L8741" s="28" t="s">
        <v>51</v>
      </c>
      <c r="M8741" s="25">
        <v>290284.68</v>
      </c>
      <c r="N8741" s="27">
        <v>0.60934118690052808</v>
      </c>
    </row>
    <row r="8742" spans="1:14" hidden="1" outlineLevel="1" x14ac:dyDescent="0.2">
      <c r="A8742" s="28" t="s">
        <v>51</v>
      </c>
      <c r="B8742" s="28" t="s">
        <v>51</v>
      </c>
      <c r="C8742" s="28" t="s">
        <v>51</v>
      </c>
      <c r="D8742" s="22" t="s">
        <v>12758</v>
      </c>
      <c r="E8742" s="22" t="s">
        <v>62</v>
      </c>
      <c r="F8742" s="23" t="str">
        <f t="shared" si="192"/>
        <v>закупка бланочной продукции</v>
      </c>
      <c r="G8742" s="22" t="s">
        <v>51</v>
      </c>
      <c r="H8742" s="22" t="s">
        <v>51</v>
      </c>
      <c r="I8742" s="26">
        <v>43683.415474537003</v>
      </c>
      <c r="J8742" s="23" t="str">
        <f>HYPERLINK("https://www.spark-marketing.ru/Card/Person/6444850", "ДМИТРИЕВ АЛЕКСАНДР ВАСИЛЬЕВИЧ")</f>
        <v>ДМИТРИЕВ АЛЕКСАНДР ВАСИЛЬЕВИЧ</v>
      </c>
      <c r="K8742" s="24" t="s">
        <v>12763</v>
      </c>
      <c r="L8742" s="28" t="s">
        <v>51</v>
      </c>
      <c r="M8742" s="25">
        <v>348262.92</v>
      </c>
      <c r="N8742" s="27">
        <v>0.5313153316470014</v>
      </c>
    </row>
    <row r="8743" spans="1:14" hidden="1" outlineLevel="1" x14ac:dyDescent="0.2">
      <c r="A8743" s="28" t="s">
        <v>51</v>
      </c>
      <c r="B8743" s="28" t="s">
        <v>51</v>
      </c>
      <c r="C8743" s="28" t="s">
        <v>51</v>
      </c>
      <c r="D8743" s="22" t="s">
        <v>12758</v>
      </c>
      <c r="E8743" s="22" t="s">
        <v>62</v>
      </c>
      <c r="F8743" s="23" t="str">
        <f t="shared" si="192"/>
        <v>закупка бланочной продукции</v>
      </c>
      <c r="G8743" s="22" t="s">
        <v>51</v>
      </c>
      <c r="H8743" s="22" t="s">
        <v>51</v>
      </c>
      <c r="I8743" s="26">
        <v>43683.415474537003</v>
      </c>
      <c r="J8743" s="23" t="str">
        <f>HYPERLINK("https://www.spark-marketing.ru/Card/Person/179375", "ООО ""ПРИНТ-ИЗДАТ""")</f>
        <v>ООО "ПРИНТ-ИЗДАТ"</v>
      </c>
      <c r="K8743" s="24" t="s">
        <v>12764</v>
      </c>
      <c r="L8743" s="28" t="s">
        <v>51</v>
      </c>
      <c r="M8743" s="25">
        <v>301569.36</v>
      </c>
      <c r="N8743" s="27">
        <v>0.59415450982543294</v>
      </c>
    </row>
    <row r="8744" spans="1:14" hidden="1" outlineLevel="1" x14ac:dyDescent="0.2">
      <c r="A8744" s="28" t="s">
        <v>51</v>
      </c>
      <c r="B8744" s="28" t="s">
        <v>51</v>
      </c>
      <c r="C8744" s="28" t="s">
        <v>51</v>
      </c>
      <c r="D8744" s="22" t="s">
        <v>12758</v>
      </c>
      <c r="E8744" s="22" t="s">
        <v>62</v>
      </c>
      <c r="F8744" s="23" t="str">
        <f t="shared" si="192"/>
        <v>закупка бланочной продукции</v>
      </c>
      <c r="G8744" s="22" t="s">
        <v>51</v>
      </c>
      <c r="H8744" s="22" t="s">
        <v>51</v>
      </c>
      <c r="I8744" s="26">
        <v>43683.415474537003</v>
      </c>
      <c r="J8744" s="23" t="str">
        <f>HYPERLINK("https://www.spark-marketing.ru/Card/Person/164733", "ООО ""ТИПОГРАФИЯ ""РУЗАЕВСКИЙ ПЕЧАТНИК""")</f>
        <v>ООО "ТИПОГРАФИЯ "РУЗАЕВСКИЙ ПЕЧАТНИК"</v>
      </c>
      <c r="K8744" s="24" t="s">
        <v>12765</v>
      </c>
      <c r="L8744" s="22" t="s">
        <v>10</v>
      </c>
      <c r="M8744" s="25">
        <v>286500</v>
      </c>
      <c r="N8744" s="27">
        <v>0.61443452698572076</v>
      </c>
    </row>
    <row r="8745" spans="1:14" x14ac:dyDescent="0.2">
      <c r="A8745" s="23" t="str">
        <f>HYPERLINK("https://www.spark-marketing.ru/Card/Person/734597", "БЕЛОРЕЦКАЯ КОРРЕКЦИОННАЯ ШКОЛА, ГБОУ БКШ")</f>
        <v>БЕЛОРЕЦКАЯ КОРРЕКЦИОННАЯ ШКОЛА, ГБОУ БКШ</v>
      </c>
      <c r="B8745" s="24" t="s">
        <v>12766</v>
      </c>
      <c r="C8745" s="25">
        <v>832587.2</v>
      </c>
      <c r="D8745" s="22" t="s">
        <v>12767</v>
      </c>
      <c r="E8745" s="22" t="s">
        <v>48</v>
      </c>
      <c r="F8745" s="23" t="str">
        <f>HYPERLINK("https://www.spark-marketing.ru/Card/Lot/72616865", "Оказание услуг по организации питания (горячих обедов)")</f>
        <v>Оказание услуг по организации питания (горячих обедов)</v>
      </c>
      <c r="G8745" s="22" t="s">
        <v>145</v>
      </c>
      <c r="H8745" s="22" t="s">
        <v>145</v>
      </c>
      <c r="I8745" s="26">
        <v>43683.479166666701</v>
      </c>
      <c r="J8745" s="23" t="str">
        <f>HYPERLINK("https://www.spark-marketing.ru/Card/Person/1990735", "Кваснина Татьяна Геннадьевна")</f>
        <v>Кваснина Татьяна Геннадьевна</v>
      </c>
      <c r="K8745" s="24" t="s">
        <v>1399</v>
      </c>
      <c r="L8745" s="28" t="s">
        <v>51</v>
      </c>
      <c r="M8745" s="25">
        <v>832587.2</v>
      </c>
      <c r="N8745" s="27">
        <v>0</v>
      </c>
    </row>
    <row r="8746" spans="1:14" ht="12.75" x14ac:dyDescent="0.2">
      <c r="A8746" s="23" t="str">
        <f>HYPERLINK("https://www.spark-marketing.ru/Card/Person/110449", "ОМВД РОССИИ ПО ГОРОДСКОМУ ОКРУГУ ЗАРАЙСК")</f>
        <v>ОМВД РОССИИ ПО ГОРОДСКОМУ ОКРУГУ ЗАРАЙСК</v>
      </c>
      <c r="B8746" s="24" t="s">
        <v>12768</v>
      </c>
      <c r="C8746" s="25">
        <v>331658</v>
      </c>
      <c r="D8746" s="22" t="s">
        <v>12769</v>
      </c>
      <c r="E8746" s="22" t="s">
        <v>48</v>
      </c>
      <c r="F8746" s="23" t="str">
        <f>HYPERLINK("https://www.spark-marketing.ru/Card/Lot/72617164", "оказание услуг по питанию граждан, содержащихся в ИВС подозреваемых и обвиняемых")</f>
        <v>оказание услуг по питанию граждан, содержащихся в ИВС подозреваемых и обвиняемых</v>
      </c>
      <c r="G8746" s="22" t="s">
        <v>49</v>
      </c>
      <c r="H8746" s="22" t="s">
        <v>49</v>
      </c>
      <c r="I8746" s="26">
        <v>43683.404039351903</v>
      </c>
      <c r="J8746" s="23" t="str">
        <f>HYPERLINK("https://www.spark-marketing.ru/Card/Person/407938", "Мошкина Лариса Петровна")</f>
        <v>Мошкина Лариса Петровна</v>
      </c>
      <c r="K8746" s="24" t="s">
        <v>12770</v>
      </c>
      <c r="L8746" s="22" t="s">
        <v>10</v>
      </c>
      <c r="M8746" s="25">
        <v>320250</v>
      </c>
      <c r="N8746" s="27">
        <v>3.4396878712408568E-2</v>
      </c>
    </row>
    <row r="8747" spans="1:14" x14ac:dyDescent="0.15">
      <c r="A8747" s="23" t="str">
        <f>HYPERLINK("https://www.spark-marketing.ru/Card/Person/162677", "ОМВД РОССИИ ПО ВЯЗЕМСКОМУ РАЙОНУ")</f>
        <v>ОМВД РОССИИ ПО ВЯЗЕМСКОМУ РАЙОНУ</v>
      </c>
      <c r="B8747" s="24" t="s">
        <v>12633</v>
      </c>
      <c r="C8747" s="25">
        <v>200740</v>
      </c>
      <c r="D8747" s="22" t="s">
        <v>12771</v>
      </c>
      <c r="E8747" s="22" t="s">
        <v>48</v>
      </c>
      <c r="F8747" s="23" t="str">
        <f>HYPERLINK("https://www.spark-marketing.ru/Card/Lot/72610413", "Оказание услуг по организации питания граждан, содержащихся в ИВС")</f>
        <v>Оказание услуг по организации питания граждан, содержащихся в ИВС</v>
      </c>
      <c r="G8747" s="22" t="s">
        <v>1096</v>
      </c>
      <c r="H8747" s="22" t="s">
        <v>1096</v>
      </c>
      <c r="I8747" s="26">
        <v>43683.401770833298</v>
      </c>
      <c r="J8747" s="23" t="str">
        <f>HYPERLINK("https://www.spark-marketing.ru/Card/Person/5898706", "Медведева Галина Иосифовна")</f>
        <v>Медведева Галина Иосифовна</v>
      </c>
      <c r="K8747" s="24" t="s">
        <v>12635</v>
      </c>
      <c r="L8747" s="22" t="s">
        <v>10</v>
      </c>
      <c r="M8747" s="28" t="s">
        <v>51</v>
      </c>
      <c r="N8747" s="28" t="s">
        <v>51</v>
      </c>
    </row>
    <row r="8748" spans="1:14" x14ac:dyDescent="0.15">
      <c r="A8748" s="23" t="str">
        <f>HYPERLINK("https://www.spark-marketing.ru/Card/Person/1028135", "МБОУ ""КАЛИНИНСКАЯ СОШ""")</f>
        <v>МБОУ "КАЛИНИНСКАЯ СОШ"</v>
      </c>
      <c r="B8748" s="24" t="s">
        <v>12772</v>
      </c>
      <c r="C8748" s="25">
        <v>1340678.56</v>
      </c>
      <c r="D8748" s="22" t="s">
        <v>12773</v>
      </c>
      <c r="E8748" s="22" t="s">
        <v>96</v>
      </c>
      <c r="F8748" s="23" t="str">
        <f>HYPERLINK("https://www.spark-marketing.ru/Card/Lot/72614034", "Услуги по организации горячего питания школьников")</f>
        <v>Услуги по организации горячего питания школьников</v>
      </c>
      <c r="G8748" s="22" t="s">
        <v>153</v>
      </c>
      <c r="H8748" s="22" t="s">
        <v>153</v>
      </c>
      <c r="I8748" s="26">
        <v>43683.393148148098</v>
      </c>
      <c r="J8748" s="28" t="s">
        <v>51</v>
      </c>
      <c r="K8748" s="28" t="s">
        <v>51</v>
      </c>
      <c r="L8748" s="28" t="s">
        <v>51</v>
      </c>
      <c r="M8748" s="28" t="s">
        <v>51</v>
      </c>
      <c r="N8748" s="28" t="s">
        <v>51</v>
      </c>
    </row>
    <row r="8749" spans="1:14" ht="12.75" hidden="1" outlineLevel="1" x14ac:dyDescent="0.2">
      <c r="A8749" s="23" t="str">
        <f>HYPERLINK("https://www.spark-marketing.ru/Card/Person/1028135", "МБОУ ""КАЛИНИНСКАЯ СОШ""")</f>
        <v>МБОУ "КАЛИНИНСКАЯ СОШ"</v>
      </c>
      <c r="B8749" s="24" t="s">
        <v>12772</v>
      </c>
      <c r="C8749" s="25">
        <v>1340678.56</v>
      </c>
      <c r="D8749" s="22" t="s">
        <v>12773</v>
      </c>
      <c r="E8749" s="22" t="s">
        <v>96</v>
      </c>
      <c r="F8749" s="23" t="str">
        <f>HYPERLINK("https://www.spark-marketing.ru/Card/Lot/72614034", "Услуги по организации горячего питания школьников")</f>
        <v>Услуги по организации горячего питания школьников</v>
      </c>
      <c r="G8749" s="22" t="s">
        <v>153</v>
      </c>
      <c r="H8749" s="22" t="s">
        <v>153</v>
      </c>
      <c r="I8749" s="26">
        <v>43683.393148148098</v>
      </c>
      <c r="J8749" s="23" t="str">
        <f>HYPERLINK("https://www.spark-marketing.ru/Card/Person/151717", "Вальнева Ольга Валентиновна")</f>
        <v>Вальнева Ольга Валентиновна</v>
      </c>
      <c r="K8749" s="24" t="s">
        <v>5260</v>
      </c>
      <c r="L8749" s="22" t="s">
        <v>10</v>
      </c>
      <c r="M8749" s="25">
        <v>804407.36</v>
      </c>
      <c r="N8749" s="27">
        <v>0.39999983292042801</v>
      </c>
    </row>
    <row r="8750" spans="1:14" hidden="1" outlineLevel="1" x14ac:dyDescent="0.2">
      <c r="A8750" s="23" t="str">
        <f>HYPERLINK("https://www.spark-marketing.ru/Card/Person/1028135", "МБОУ ""КАЛИНИНСКАЯ СОШ""")</f>
        <v>МБОУ "КАЛИНИНСКАЯ СОШ"</v>
      </c>
      <c r="B8750" s="24" t="s">
        <v>12772</v>
      </c>
      <c r="C8750" s="25">
        <v>1340678.56</v>
      </c>
      <c r="D8750" s="22" t="s">
        <v>12773</v>
      </c>
      <c r="E8750" s="22" t="s">
        <v>96</v>
      </c>
      <c r="F8750" s="23" t="str">
        <f>HYPERLINK("https://www.spark-marketing.ru/Card/Lot/72614034", "Услуги по организации горячего питания школьников")</f>
        <v>Услуги по организации горячего питания школьников</v>
      </c>
      <c r="G8750" s="22" t="s">
        <v>153</v>
      </c>
      <c r="H8750" s="22" t="s">
        <v>153</v>
      </c>
      <c r="I8750" s="26">
        <v>43683.393148148098</v>
      </c>
      <c r="J8750" s="23" t="str">
        <f>HYPERLINK("https://www.spark-marketing.ru/Card/Person/99923", "Антонов Леонид Валентинович")</f>
        <v>Антонов Леонид Валентинович</v>
      </c>
      <c r="K8750" s="24" t="s">
        <v>5257</v>
      </c>
      <c r="L8750" s="28" t="s">
        <v>51</v>
      </c>
      <c r="M8750" s="25">
        <v>851331.09</v>
      </c>
      <c r="N8750" s="27">
        <v>0.36499984753989057</v>
      </c>
    </row>
    <row r="8751" spans="1:14" hidden="1" outlineLevel="1" x14ac:dyDescent="0.2">
      <c r="A8751" s="23" t="str">
        <f>HYPERLINK("https://www.spark-marketing.ru/Card/Person/1028135", "МБОУ ""КАЛИНИНСКАЯ СОШ""")</f>
        <v>МБОУ "КАЛИНИНСКАЯ СОШ"</v>
      </c>
      <c r="B8751" s="24" t="s">
        <v>12772</v>
      </c>
      <c r="C8751" s="25">
        <v>1340678.56</v>
      </c>
      <c r="D8751" s="22" t="s">
        <v>12773</v>
      </c>
      <c r="E8751" s="22" t="s">
        <v>96</v>
      </c>
      <c r="F8751" s="23" t="str">
        <f>HYPERLINK("https://www.spark-marketing.ru/Card/Lot/72614034", "Услуги по организации горячего питания школьников")</f>
        <v>Услуги по организации горячего питания школьников</v>
      </c>
      <c r="G8751" s="22" t="s">
        <v>153</v>
      </c>
      <c r="H8751" s="22" t="s">
        <v>153</v>
      </c>
      <c r="I8751" s="26">
        <v>43683.393148148098</v>
      </c>
      <c r="J8751" s="23" t="str">
        <f>HYPERLINK("https://www.spark-marketing.ru/Card/Person/152577", "Калыпин Владимир Владимирович")</f>
        <v>Калыпин Владимир Владимирович</v>
      </c>
      <c r="K8751" s="24" t="s">
        <v>5258</v>
      </c>
      <c r="L8751" s="28" t="s">
        <v>51</v>
      </c>
      <c r="M8751" s="25">
        <v>797703.97</v>
      </c>
      <c r="N8751" s="27">
        <v>0.40499983083193336</v>
      </c>
    </row>
    <row r="8752" spans="1:14" x14ac:dyDescent="0.15">
      <c r="A8752" s="23" t="str">
        <f>HYPERLINK("https://www.spark-marketing.ru/Card/Person/398059", "ОМВД РОССИИ ПО ОКТЯБРЬСКОМУ РАЙОНУ")</f>
        <v>ОМВД РОССИИ ПО ОКТЯБРЬСКОМУ РАЙОНУ</v>
      </c>
      <c r="B8752" s="24" t="s">
        <v>7522</v>
      </c>
      <c r="C8752" s="25">
        <v>3835000</v>
      </c>
      <c r="D8752" s="22" t="s">
        <v>12774</v>
      </c>
      <c r="E8752" s="22" t="s">
        <v>96</v>
      </c>
      <c r="F8752" s="23" t="str">
        <f>HYPERLINK("https://www.spark-marketing.ru/Card/Lot/72627322", "Питание ЦВСИГ")</f>
        <v>Питание ЦВСИГ</v>
      </c>
      <c r="G8752" s="22" t="s">
        <v>1111</v>
      </c>
      <c r="H8752" s="22" t="s">
        <v>465</v>
      </c>
      <c r="I8752" s="26">
        <v>43683.412743055596</v>
      </c>
      <c r="J8752" s="28" t="s">
        <v>51</v>
      </c>
      <c r="K8752" s="28" t="s">
        <v>51</v>
      </c>
      <c r="L8752" s="28" t="s">
        <v>51</v>
      </c>
      <c r="M8752" s="28" t="s">
        <v>51</v>
      </c>
      <c r="N8752" s="28" t="s">
        <v>51</v>
      </c>
    </row>
    <row r="8753" spans="1:14" x14ac:dyDescent="0.15">
      <c r="A8753" s="23" t="str">
        <f>HYPERLINK("https://www.spark-marketing.ru/Card/Person/162677", "ОМВД РОССИИ ПО ВЯЗЕМСКОМУ РАЙОНУ")</f>
        <v>ОМВД РОССИИ ПО ВЯЗЕМСКОМУ РАЙОНУ</v>
      </c>
      <c r="B8753" s="24" t="s">
        <v>12633</v>
      </c>
      <c r="C8753" s="25">
        <v>610120</v>
      </c>
      <c r="D8753" s="22" t="s">
        <v>12775</v>
      </c>
      <c r="E8753" s="22" t="s">
        <v>48</v>
      </c>
      <c r="F8753" s="23" t="str">
        <f>HYPERLINK("https://www.spark-marketing.ru/Card/Lot/72610414", "Оказание услуг по организации питания граждан, содержащихся в ИВС")</f>
        <v>Оказание услуг по организации питания граждан, содержащихся в ИВС</v>
      </c>
      <c r="G8753" s="22" t="s">
        <v>1096</v>
      </c>
      <c r="H8753" s="22" t="s">
        <v>1096</v>
      </c>
      <c r="I8753" s="26">
        <v>43683.405162037001</v>
      </c>
      <c r="J8753" s="23" t="str">
        <f>HYPERLINK("https://www.spark-marketing.ru/Card/Person/5898706", "Медведева Галина Иосифовна")</f>
        <v>Медведева Галина Иосифовна</v>
      </c>
      <c r="K8753" s="24" t="s">
        <v>12635</v>
      </c>
      <c r="L8753" s="22" t="s">
        <v>10</v>
      </c>
      <c r="M8753" s="28" t="s">
        <v>51</v>
      </c>
      <c r="N8753" s="28" t="s">
        <v>51</v>
      </c>
    </row>
    <row r="8754" spans="1:14" x14ac:dyDescent="0.15">
      <c r="A8754" s="23" t="str">
        <f>HYPERLINK("https://www.spark-marketing.ru/Card/Person/131541", "ОТДЕЛ МВД РОССИИ ПО Г. ПРОКОПЬЕВСКУ")</f>
        <v>ОТДЕЛ МВД РОССИИ ПО Г. ПРОКОПЬЕВСКУ</v>
      </c>
      <c r="B8754" s="24" t="s">
        <v>12776</v>
      </c>
      <c r="C8754" s="25">
        <v>1000000</v>
      </c>
      <c r="D8754" s="22" t="s">
        <v>12777</v>
      </c>
      <c r="E8754" s="22" t="s">
        <v>48</v>
      </c>
      <c r="F8754" s="23" t="str">
        <f>HYPERLINK("https://www.spark-marketing.ru/Card/Lot/72621945", "Оказание услуг по организации трехразового горячего питания для подозреваемых и обвиняемых в совершении преступлений, содержащихся в ИВС и лиц, задержанных в административном порядке")</f>
        <v>Оказание услуг по организации трехразового горячего питания для подозреваемых и обвиняемых в совершении преступлений, содержащихся в ИВС и лиц, задержанных в административном порядке</v>
      </c>
      <c r="G8754" s="22" t="s">
        <v>304</v>
      </c>
      <c r="H8754" s="22" t="s">
        <v>12778</v>
      </c>
      <c r="I8754" s="26">
        <v>43683.393240740697</v>
      </c>
      <c r="J8754" s="28" t="s">
        <v>51</v>
      </c>
      <c r="K8754" s="28" t="s">
        <v>51</v>
      </c>
      <c r="L8754" s="28" t="s">
        <v>51</v>
      </c>
      <c r="M8754" s="28" t="s">
        <v>51</v>
      </c>
      <c r="N8754" s="28" t="s">
        <v>51</v>
      </c>
    </row>
    <row r="8755" spans="1:14" hidden="1" outlineLevel="1" x14ac:dyDescent="0.2">
      <c r="A8755" s="23" t="str">
        <f>HYPERLINK("https://www.spark-marketing.ru/Card/Person/131541", "ОТДЕЛ МВД РОССИИ ПО Г. ПРОКОПЬЕВСКУ")</f>
        <v>ОТДЕЛ МВД РОССИИ ПО Г. ПРОКОПЬЕВСКУ</v>
      </c>
      <c r="B8755" s="24" t="s">
        <v>12776</v>
      </c>
      <c r="C8755" s="25">
        <v>1000000</v>
      </c>
      <c r="D8755" s="22" t="s">
        <v>12777</v>
      </c>
      <c r="E8755" s="22" t="s">
        <v>48</v>
      </c>
      <c r="F8755" s="23" t="str">
        <f>HYPERLINK("https://www.spark-marketing.ru/Card/Lot/72621945", "Оказание услуг по организации трехразового горячего питания для подозреваемых и обвиняемых в совершении преступлений, содержащихся в ИВС и лиц, задержанных в административном порядке")</f>
        <v>Оказание услуг по организации трехразового горячего питания для подозреваемых и обвиняемых в совершении преступлений, содержащихся в ИВС и лиц, задержанных в административном порядке</v>
      </c>
      <c r="G8755" s="22" t="s">
        <v>304</v>
      </c>
      <c r="H8755" s="22" t="s">
        <v>12778</v>
      </c>
      <c r="I8755" s="26">
        <v>43683.393240740697</v>
      </c>
      <c r="J8755" s="23" t="str">
        <f>HYPERLINK("https://www.spark-marketing.ru/Card/Person/5771005", "Горлова Алиса Анатольевна")</f>
        <v>Горлова Алиса Анатольевна</v>
      </c>
      <c r="K8755" s="24" t="s">
        <v>3881</v>
      </c>
      <c r="L8755" s="28" t="s">
        <v>51</v>
      </c>
      <c r="M8755" s="25">
        <v>925</v>
      </c>
      <c r="N8755" s="27">
        <v>0.99907500000000005</v>
      </c>
    </row>
    <row r="8756" spans="1:14" ht="12.75" hidden="1" outlineLevel="1" x14ac:dyDescent="0.2">
      <c r="A8756" s="23" t="str">
        <f>HYPERLINK("https://www.spark-marketing.ru/Card/Person/131541", "ОТДЕЛ МВД РОССИИ ПО Г. ПРОКОПЬЕВСКУ")</f>
        <v>ОТДЕЛ МВД РОССИИ ПО Г. ПРОКОПЬЕВСКУ</v>
      </c>
      <c r="B8756" s="24" t="s">
        <v>12776</v>
      </c>
      <c r="C8756" s="25">
        <v>1000000</v>
      </c>
      <c r="D8756" s="22" t="s">
        <v>12777</v>
      </c>
      <c r="E8756" s="22" t="s">
        <v>48</v>
      </c>
      <c r="F8756" s="23" t="str">
        <f>HYPERLINK("https://www.spark-marketing.ru/Card/Lot/72621945", "Оказание услуг по организации трехразового горячего питания для подозреваемых и обвиняемых в совершении преступлений, содержащихся в ИВС и лиц, задержанных в административном порядке")</f>
        <v>Оказание услуг по организации трехразового горячего питания для подозреваемых и обвиняемых в совершении преступлений, содержащихся в ИВС и лиц, задержанных в административном порядке</v>
      </c>
      <c r="G8756" s="22" t="s">
        <v>304</v>
      </c>
      <c r="H8756" s="22" t="s">
        <v>12778</v>
      </c>
      <c r="I8756" s="26">
        <v>43683.393240740697</v>
      </c>
      <c r="J8756" s="23" t="str">
        <f>HYPERLINK("https://www.spark-marketing.ru/Card/Person/153415", "Пригаров Денис Владимирович")</f>
        <v>Пригаров Денис Владимирович</v>
      </c>
      <c r="K8756" s="24" t="s">
        <v>2754</v>
      </c>
      <c r="L8756" s="22" t="s">
        <v>10</v>
      </c>
      <c r="M8756" s="25">
        <v>915.75</v>
      </c>
      <c r="N8756" s="27">
        <v>0.99908425000000001</v>
      </c>
    </row>
    <row r="8757" spans="1:14" x14ac:dyDescent="0.15">
      <c r="A8757" s="23" t="str">
        <f>HYPERLINK("https://www.spark-marketing.ru/Card/Person/115277", "УПРАВЛЕНИЕ КУЛЬТУРЫ")</f>
        <v>УПРАВЛЕНИЕ КУЛЬТУРЫ</v>
      </c>
      <c r="B8757" s="24" t="s">
        <v>12779</v>
      </c>
      <c r="C8757" s="25">
        <v>75000</v>
      </c>
      <c r="D8757" s="22" t="s">
        <v>12780</v>
      </c>
      <c r="E8757" s="22" t="s">
        <v>48</v>
      </c>
      <c r="F8757" s="23" t="str">
        <f>HYPERLINK("https://www.spark-marketing.ru/Card/Lot/72625291", "Услуги по организации питания и обслуживания мероприятия ""Играй, гармонь Елецкая!""")</f>
        <v>Услуги по организации питания и обслуживания мероприятия "Играй, гармонь Елецкая!"</v>
      </c>
      <c r="G8757" s="22" t="s">
        <v>101</v>
      </c>
      <c r="H8757" s="22" t="s">
        <v>2900</v>
      </c>
      <c r="I8757" s="26">
        <v>43683.3829513889</v>
      </c>
      <c r="J8757" s="28" t="s">
        <v>51</v>
      </c>
      <c r="K8757" s="28" t="s">
        <v>51</v>
      </c>
      <c r="L8757" s="28" t="s">
        <v>51</v>
      </c>
      <c r="M8757" s="28" t="s">
        <v>51</v>
      </c>
      <c r="N8757" s="28" t="s">
        <v>51</v>
      </c>
    </row>
    <row r="8758" spans="1:14" ht="12.75" hidden="1" outlineLevel="1" x14ac:dyDescent="0.2">
      <c r="A8758" s="23" t="str">
        <f>HYPERLINK("https://www.spark-marketing.ru/Card/Person/115277", "УПРАВЛЕНИЕ КУЛЬТУРЫ")</f>
        <v>УПРАВЛЕНИЕ КУЛЬТУРЫ</v>
      </c>
      <c r="B8758" s="24" t="s">
        <v>12779</v>
      </c>
      <c r="C8758" s="25">
        <v>75000</v>
      </c>
      <c r="D8758" s="22" t="s">
        <v>12780</v>
      </c>
      <c r="E8758" s="22" t="s">
        <v>48</v>
      </c>
      <c r="F8758" s="23" t="str">
        <f>HYPERLINK("https://www.spark-marketing.ru/Card/Lot/72625291", "Услуги по организации питания и обслуживания мероприятия ""Играй, гармонь Елецкая!""")</f>
        <v>Услуги по организации питания и обслуживания мероприятия "Играй, гармонь Елецкая!"</v>
      </c>
      <c r="G8758" s="22" t="s">
        <v>101</v>
      </c>
      <c r="H8758" s="22" t="s">
        <v>2900</v>
      </c>
      <c r="I8758" s="26">
        <v>43683.3829513889</v>
      </c>
      <c r="J8758" s="23" t="str">
        <f>HYPERLINK("https://www.spark-marketing.ru/Card/Person/443312", "ООО ""НАДЕЖДА""")</f>
        <v>ООО "НАДЕЖДА"</v>
      </c>
      <c r="K8758" s="24" t="s">
        <v>12781</v>
      </c>
      <c r="L8758" s="22" t="s">
        <v>10</v>
      </c>
      <c r="M8758" s="25">
        <v>74900</v>
      </c>
      <c r="N8758" s="27">
        <v>1.3333333333333333E-3</v>
      </c>
    </row>
    <row r="8759" spans="1:14" hidden="1" outlineLevel="1" x14ac:dyDescent="0.2">
      <c r="A8759" s="23" t="str">
        <f>HYPERLINK("https://www.spark-marketing.ru/Card/Person/115277", "УПРАВЛЕНИЕ КУЛЬТУРЫ")</f>
        <v>УПРАВЛЕНИЕ КУЛЬТУРЫ</v>
      </c>
      <c r="B8759" s="24" t="s">
        <v>12779</v>
      </c>
      <c r="C8759" s="25">
        <v>75000</v>
      </c>
      <c r="D8759" s="22" t="s">
        <v>12780</v>
      </c>
      <c r="E8759" s="22" t="s">
        <v>48</v>
      </c>
      <c r="F8759" s="23" t="str">
        <f>HYPERLINK("https://www.spark-marketing.ru/Card/Lot/72625291", "Услуги по организации питания и обслуживания мероприятия ""Играй, гармонь Елецкая!""")</f>
        <v>Услуги по организации питания и обслуживания мероприятия "Играй, гармонь Елецкая!"</v>
      </c>
      <c r="G8759" s="22" t="s">
        <v>101</v>
      </c>
      <c r="H8759" s="22" t="s">
        <v>2900</v>
      </c>
      <c r="I8759" s="26">
        <v>43683.3829513889</v>
      </c>
      <c r="J8759" s="23" t="str">
        <f>HYPERLINK("https://www.spark-marketing.ru/Card/Person/6527140", "Давыдова Эмилия Александровна")</f>
        <v>Давыдова Эмилия Александровна</v>
      </c>
      <c r="K8759" s="24" t="s">
        <v>12782</v>
      </c>
      <c r="L8759" s="28" t="s">
        <v>51</v>
      </c>
      <c r="M8759" s="25">
        <v>75000</v>
      </c>
      <c r="N8759" s="27">
        <v>0</v>
      </c>
    </row>
    <row r="8760" spans="1:14" x14ac:dyDescent="0.15">
      <c r="A8760" s="23" t="str">
        <f>HYPERLINK("https://www.spark-marketing.ru/Card/Person/4347592", "Филиал ВИПК МВД России (г.Набережные Челны)")</f>
        <v>Филиал ВИПК МВД России (г.Набережные Челны)</v>
      </c>
      <c r="B8760" s="24" t="s">
        <v>4736</v>
      </c>
      <c r="C8760" s="25">
        <v>5559000</v>
      </c>
      <c r="D8760" s="22" t="s">
        <v>12783</v>
      </c>
      <c r="E8760" s="22" t="s">
        <v>48</v>
      </c>
      <c r="F8760" s="23" t="str">
        <f>HYPERLINK("https://www.spark-marketing.ru/Card/Lot/72617890", "Оказание услуг по организации ежедневного питания обучающихся (слушателей) в здании столовой БФ ВИПК МВД России")</f>
        <v>Оказание услуг по организации ежедневного питания обучающихся (слушателей) в здании столовой БФ ВИПК МВД России</v>
      </c>
      <c r="G8760" s="22" t="s">
        <v>475</v>
      </c>
      <c r="H8760" s="22" t="s">
        <v>475</v>
      </c>
      <c r="I8760" s="26">
        <v>43683.383090277799</v>
      </c>
      <c r="J8760" s="23" t="str">
        <f>HYPERLINK("https://www.spark-marketing.ru/Card/Person/4923070", "ООО ""КФ КАПИТАН""")</f>
        <v>ООО "КФ КАПИТАН"</v>
      </c>
      <c r="K8760" s="24" t="s">
        <v>12784</v>
      </c>
      <c r="L8760" s="28" t="s">
        <v>51</v>
      </c>
      <c r="M8760" s="28" t="s">
        <v>51</v>
      </c>
      <c r="N8760" s="28" t="s">
        <v>51</v>
      </c>
    </row>
    <row r="8761" spans="1:14" ht="12.75" hidden="1" outlineLevel="1" x14ac:dyDescent="0.2">
      <c r="A8761" s="23" t="str">
        <f>HYPERLINK("https://www.spark-marketing.ru/Card/Person/4347592", "Филиал ВИПК МВД России (г.Набережные Челны)")</f>
        <v>Филиал ВИПК МВД России (г.Набережные Челны)</v>
      </c>
      <c r="B8761" s="24" t="s">
        <v>4736</v>
      </c>
      <c r="C8761" s="25">
        <v>5559000</v>
      </c>
      <c r="D8761" s="22" t="s">
        <v>12783</v>
      </c>
      <c r="E8761" s="22" t="s">
        <v>48</v>
      </c>
      <c r="F8761" s="23" t="str">
        <f>HYPERLINK("https://www.spark-marketing.ru/Card/Lot/72617890", "Оказание услуг по организации ежедневного питания обучающихся (слушателей) в здании столовой БФ ВИПК МВД России")</f>
        <v>Оказание услуг по организации ежедневного питания обучающихся (слушателей) в здании столовой БФ ВИПК МВД России</v>
      </c>
      <c r="G8761" s="22" t="s">
        <v>475</v>
      </c>
      <c r="H8761" s="22" t="s">
        <v>475</v>
      </c>
      <c r="I8761" s="26">
        <v>43683.383090277799</v>
      </c>
      <c r="J8761" s="23" t="str">
        <f>HYPERLINK("https://www.spark-marketing.ru/Card/Person/4923070", "ООО ""КФ КАПИТАН""")</f>
        <v>ООО "КФ КАПИТАН"</v>
      </c>
      <c r="K8761" s="24" t="s">
        <v>12784</v>
      </c>
      <c r="L8761" s="22" t="s">
        <v>10</v>
      </c>
      <c r="M8761" s="25">
        <v>5531205</v>
      </c>
      <c r="N8761" s="27">
        <v>5.0000000000000001E-3</v>
      </c>
    </row>
    <row r="8762" spans="1:14" x14ac:dyDescent="0.15">
      <c r="A8762" s="23" t="str">
        <f>HYPERLINK("https://www.spark-marketing.ru/Card/Person/25854", "УМВД РОССИИ ПО ПРИМОРСКОМУ КРАЮ")</f>
        <v>УМВД РОССИИ ПО ПРИМОРСКОМУ КРАЮ</v>
      </c>
      <c r="B8762" s="24" t="s">
        <v>12785</v>
      </c>
      <c r="C8762" s="25">
        <v>1930000</v>
      </c>
      <c r="D8762" s="22" t="s">
        <v>12786</v>
      </c>
      <c r="E8762" s="22" t="s">
        <v>96</v>
      </c>
      <c r="F8762" s="23" t="str">
        <f>HYPERLINK("https://www.spark-marketing.ru/Card/Lot/72610730", "оказание услуг по доставке горячего питания")</f>
        <v>оказание услуг по доставке горячего питания</v>
      </c>
      <c r="G8762" s="22" t="s">
        <v>543</v>
      </c>
      <c r="H8762" s="22" t="s">
        <v>1440</v>
      </c>
      <c r="I8762" s="26">
        <v>43683.3972222222</v>
      </c>
      <c r="J8762" s="28" t="s">
        <v>51</v>
      </c>
      <c r="K8762" s="28" t="s">
        <v>51</v>
      </c>
      <c r="L8762" s="28" t="s">
        <v>51</v>
      </c>
      <c r="M8762" s="28" t="s">
        <v>51</v>
      </c>
      <c r="N8762" s="28" t="s">
        <v>51</v>
      </c>
    </row>
    <row r="8763" spans="1:14" hidden="1" outlineLevel="1" x14ac:dyDescent="0.2">
      <c r="A8763" s="23" t="str">
        <f>HYPERLINK("https://www.spark-marketing.ru/Card/Person/25854", "УМВД РОССИИ ПО ПРИМОРСКОМУ КРАЮ")</f>
        <v>УМВД РОССИИ ПО ПРИМОРСКОМУ КРАЮ</v>
      </c>
      <c r="B8763" s="24" t="s">
        <v>12785</v>
      </c>
      <c r="C8763" s="25">
        <v>1930000</v>
      </c>
      <c r="D8763" s="22" t="s">
        <v>12786</v>
      </c>
      <c r="E8763" s="22" t="s">
        <v>96</v>
      </c>
      <c r="F8763" s="23" t="str">
        <f>HYPERLINK("https://www.spark-marketing.ru/Card/Lot/72610730", "оказание услуг по доставке горячего питания")</f>
        <v>оказание услуг по доставке горячего питания</v>
      </c>
      <c r="G8763" s="22" t="s">
        <v>543</v>
      </c>
      <c r="H8763" s="22" t="s">
        <v>1440</v>
      </c>
      <c r="I8763" s="26">
        <v>43683.3972222222</v>
      </c>
      <c r="J8763" s="23" t="str">
        <f>HYPERLINK("https://www.spark-marketing.ru/Card/Person/144848", "ООО ""КАПИТАЛЪ""")</f>
        <v>ООО "КАПИТАЛЪ"</v>
      </c>
      <c r="K8763" s="24" t="s">
        <v>12787</v>
      </c>
      <c r="L8763" s="28" t="s">
        <v>51</v>
      </c>
      <c r="M8763" s="25">
        <v>616.82000000000005</v>
      </c>
      <c r="N8763" s="27">
        <v>0.99968040414507775</v>
      </c>
    </row>
    <row r="8764" spans="1:14" ht="12.75" hidden="1" outlineLevel="1" x14ac:dyDescent="0.2">
      <c r="A8764" s="23" t="str">
        <f>HYPERLINK("https://www.spark-marketing.ru/Card/Person/25854", "УМВД РОССИИ ПО ПРИМОРСКОМУ КРАЮ")</f>
        <v>УМВД РОССИИ ПО ПРИМОРСКОМУ КРАЮ</v>
      </c>
      <c r="B8764" s="24" t="s">
        <v>12785</v>
      </c>
      <c r="C8764" s="25">
        <v>1930000</v>
      </c>
      <c r="D8764" s="22" t="s">
        <v>12786</v>
      </c>
      <c r="E8764" s="22" t="s">
        <v>96</v>
      </c>
      <c r="F8764" s="23" t="str">
        <f>HYPERLINK("https://www.spark-marketing.ru/Card/Lot/72610730", "оказание услуг по доставке горячего питания")</f>
        <v>оказание услуг по доставке горячего питания</v>
      </c>
      <c r="G8764" s="22" t="s">
        <v>543</v>
      </c>
      <c r="H8764" s="22" t="s">
        <v>1440</v>
      </c>
      <c r="I8764" s="26">
        <v>43683.3972222222</v>
      </c>
      <c r="J8764" s="23" t="str">
        <f>HYPERLINK("https://www.spark-marketing.ru/Card/Person/6431449", "ООО ""ФУДСЕРВИС""")</f>
        <v>ООО "ФУДСЕРВИС"</v>
      </c>
      <c r="K8764" s="24" t="s">
        <v>7488</v>
      </c>
      <c r="L8764" s="22" t="s">
        <v>10</v>
      </c>
      <c r="M8764" s="25">
        <v>600</v>
      </c>
      <c r="N8764" s="27">
        <v>0.99968911917098446</v>
      </c>
    </row>
    <row r="8765" spans="1:14" x14ac:dyDescent="0.15">
      <c r="A8765" s="23" t="str">
        <f>HYPERLINK("https://www.spark-marketing.ru/Card/Person/66392", "ГБУЗ СПБ № 3")</f>
        <v>ГБУЗ СПБ № 3</v>
      </c>
      <c r="B8765" s="24" t="s">
        <v>12788</v>
      </c>
      <c r="C8765" s="25">
        <v>28655.33</v>
      </c>
      <c r="D8765" s="22" t="s">
        <v>12789</v>
      </c>
      <c r="E8765" s="22" t="s">
        <v>1862</v>
      </c>
      <c r="F8765" s="23" t="str">
        <f>HYPERLINK("https://www.spark-marketing.ru/Card/Lot/72621489", "Услуга по утилизации прочих опасных отходов (компактные люминесцентные лампы ЛБ, люминесцентные лампы КЛЛ, ртутные термометры, картриджи для печатающих устройств, источники бесперебойного питания, кондиционеры бытовые, предоставление транспорта для т...")</f>
        <v>Услуга по утилизации прочих опасных отходов (компактные люминесцентные лампы ЛБ, люминесцентные лампы КЛЛ, ртутные термометры, картриджи для печатающих устройств, источники бесперебойного питания, кондиционеры бытовые, предоставление транспорта для т...</v>
      </c>
      <c r="G8765" s="22" t="s">
        <v>104</v>
      </c>
      <c r="H8765" s="22" t="s">
        <v>12790</v>
      </c>
      <c r="I8765" s="26">
        <v>43683.390150462998</v>
      </c>
      <c r="J8765" s="28" t="s">
        <v>51</v>
      </c>
      <c r="K8765" s="28" t="s">
        <v>51</v>
      </c>
      <c r="L8765" s="28" t="s">
        <v>51</v>
      </c>
      <c r="M8765" s="28" t="s">
        <v>51</v>
      </c>
      <c r="N8765" s="28" t="s">
        <v>51</v>
      </c>
    </row>
    <row r="8766" spans="1:14" hidden="1" outlineLevel="1" x14ac:dyDescent="0.2">
      <c r="A8766" s="23" t="str">
        <f>HYPERLINK("https://www.spark-marketing.ru/Card/Person/66392", "ГБУЗ СПБ № 3")</f>
        <v>ГБУЗ СПБ № 3</v>
      </c>
      <c r="B8766" s="24" t="s">
        <v>12788</v>
      </c>
      <c r="C8766" s="25">
        <v>28655.33</v>
      </c>
      <c r="D8766" s="22" t="s">
        <v>12789</v>
      </c>
      <c r="E8766" s="22" t="s">
        <v>1862</v>
      </c>
      <c r="F8766" s="23" t="str">
        <f>HYPERLINK("https://www.spark-marketing.ru/Card/Lot/72621489", "Услуга по утилизации прочих опасных отходов (компактные люминесцентные лампы ЛБ, люминесцентные лампы КЛЛ, ртутные термометры, картриджи для печатающих устройств, источники бесперебойного питания, кондиционеры бытовые, предоставление транспорта для т...")</f>
        <v>Услуга по утилизации прочих опасных отходов (компактные люминесцентные лампы ЛБ, люминесцентные лампы КЛЛ, ртутные термометры, картриджи для печатающих устройств, источники бесперебойного питания, кондиционеры бытовые, предоставление транспорта для т...</v>
      </c>
      <c r="G8766" s="22" t="s">
        <v>104</v>
      </c>
      <c r="H8766" s="22" t="s">
        <v>12790</v>
      </c>
      <c r="I8766" s="26">
        <v>43683.390150462998</v>
      </c>
      <c r="J8766" s="23" t="str">
        <f>HYPERLINK("https://www.spark-marketing.ru/Card/Person/86428", "ООО ""АГЕНТСТВО ""РТУТНАЯ БЕЗОПАСНОСТЬ""")</f>
        <v>ООО "АГЕНТСТВО "РТУТНАЯ БЕЗОПАСНОСТЬ"</v>
      </c>
      <c r="K8766" s="24" t="s">
        <v>12791</v>
      </c>
      <c r="L8766" s="28" t="s">
        <v>51</v>
      </c>
      <c r="M8766" s="25">
        <v>28456</v>
      </c>
      <c r="N8766" s="27">
        <v>6.9561229970131208E-3</v>
      </c>
    </row>
    <row r="8767" spans="1:14" ht="12.75" hidden="1" outlineLevel="1" x14ac:dyDescent="0.2">
      <c r="A8767" s="23" t="str">
        <f>HYPERLINK("https://www.spark-marketing.ru/Card/Person/66392", "ГБУЗ СПБ № 3")</f>
        <v>ГБУЗ СПБ № 3</v>
      </c>
      <c r="B8767" s="24" t="s">
        <v>12788</v>
      </c>
      <c r="C8767" s="25">
        <v>28655.33</v>
      </c>
      <c r="D8767" s="22" t="s">
        <v>12789</v>
      </c>
      <c r="E8767" s="22" t="s">
        <v>1862</v>
      </c>
      <c r="F8767" s="23" t="str">
        <f>HYPERLINK("https://www.spark-marketing.ru/Card/Lot/72621489", "Услуга по утилизации прочих опасных отходов (компактные люминесцентные лампы ЛБ, люминесцентные лампы КЛЛ, ртутные термометры, картриджи для печатающих устройств, источники бесперебойного питания, кондиционеры бытовые, предоставление транспорта для т...")</f>
        <v>Услуга по утилизации прочих опасных отходов (компактные люминесцентные лампы ЛБ, люминесцентные лампы КЛЛ, ртутные термометры, картриджи для печатающих устройств, источники бесперебойного питания, кондиционеры бытовые, предоставление транспорта для т...</v>
      </c>
      <c r="G8767" s="22" t="s">
        <v>104</v>
      </c>
      <c r="H8767" s="22" t="s">
        <v>12790</v>
      </c>
      <c r="I8767" s="26">
        <v>43683.390150462998</v>
      </c>
      <c r="J8767" s="23" t="str">
        <f>HYPERLINK("https://www.spark-marketing.ru/Card/Person/278046", "ООО ""ЭКОПРОФ""")</f>
        <v>ООО "ЭКОПРОФ"</v>
      </c>
      <c r="K8767" s="24" t="s">
        <v>12792</v>
      </c>
      <c r="L8767" s="22" t="s">
        <v>10</v>
      </c>
      <c r="M8767" s="25">
        <v>28368.77</v>
      </c>
      <c r="N8767" s="27">
        <v>1.0000233813395274E-2</v>
      </c>
    </row>
    <row r="8768" spans="1:14" x14ac:dyDescent="0.2">
      <c r="A8768" s="23" t="str">
        <f>HYPERLINK("https://www.spark-marketing.ru/Card/Person/47078", "ГБОУ НКК")</f>
        <v>ГБОУ НКК</v>
      </c>
      <c r="B8768" s="24" t="s">
        <v>12793</v>
      </c>
      <c r="C8768" s="25">
        <v>8721000</v>
      </c>
      <c r="D8768" s="22" t="s">
        <v>12794</v>
      </c>
      <c r="E8768" s="22" t="s">
        <v>51</v>
      </c>
      <c r="F8768" s="23" t="str">
        <f>HYPERLINK("https://www.spark-marketing.ru/Card/Lot/72615108", "Услуги по обеспечению питанием")</f>
        <v>Услуги по обеспечению питанием</v>
      </c>
      <c r="G8768" s="22" t="s">
        <v>76</v>
      </c>
      <c r="H8768" s="22" t="s">
        <v>76</v>
      </c>
      <c r="I8768" s="26">
        <v>43683.357638888898</v>
      </c>
      <c r="J8768" s="23" t="str">
        <f>HYPERLINK("https://www.spark-marketing.ru/Card/Person/520306", "Штейман Григорий Зольевич")</f>
        <v>Штейман Григорий Зольевич</v>
      </c>
      <c r="K8768" s="24" t="s">
        <v>8910</v>
      </c>
      <c r="L8768" s="28" t="s">
        <v>51</v>
      </c>
      <c r="M8768" s="25">
        <v>8721000</v>
      </c>
      <c r="N8768" s="27">
        <v>0</v>
      </c>
    </row>
    <row r="8769" spans="1:14" x14ac:dyDescent="0.15">
      <c r="A8769" s="23" t="str">
        <f>HYPERLINK("https://www.spark-marketing.ru/Card/Person/638887", "ОТДЕЛ МВД РОССИИ ПО КУЮРГАЗИНСКОМУ РАЙОНУ")</f>
        <v>ОТДЕЛ МВД РОССИИ ПО КУЮРГАЗИНСКОМУ РАЙОНУ</v>
      </c>
      <c r="B8769" s="24" t="s">
        <v>10747</v>
      </c>
      <c r="C8769" s="25">
        <v>84500</v>
      </c>
      <c r="D8769" s="22" t="s">
        <v>12795</v>
      </c>
      <c r="E8769" s="22" t="s">
        <v>96</v>
      </c>
      <c r="F8769" s="23" t="str">
        <f>HYPERLINK("https://www.spark-marketing.ru/Card/Lot/72613326", "Оказание услуг по организации питания (приготовлению и доставке), 325 шт")</f>
        <v>Оказание услуг по организации питания (приготовлению и доставке), 325 шт</v>
      </c>
      <c r="G8769" s="22" t="s">
        <v>145</v>
      </c>
      <c r="H8769" s="22" t="s">
        <v>1600</v>
      </c>
      <c r="I8769" s="26">
        <v>43683.327384259297</v>
      </c>
      <c r="J8769" s="28" t="s">
        <v>51</v>
      </c>
      <c r="K8769" s="28" t="s">
        <v>51</v>
      </c>
      <c r="L8769" s="28" t="s">
        <v>51</v>
      </c>
      <c r="M8769" s="28" t="s">
        <v>51</v>
      </c>
      <c r="N8769" s="28" t="s">
        <v>51</v>
      </c>
    </row>
    <row r="8770" spans="1:14" x14ac:dyDescent="0.15">
      <c r="A8770" s="23" t="str">
        <f>HYPERLINK("https://www.spark-marketing.ru/Card/Person/638887", "ОТДЕЛ МВД РОССИИ ПО КУЮРГАЗИНСКОМУ РАЙОНУ")</f>
        <v>ОТДЕЛ МВД РОССИИ ПО КУЮРГАЗИНСКОМУ РАЙОНУ</v>
      </c>
      <c r="B8770" s="24" t="s">
        <v>10747</v>
      </c>
      <c r="C8770" s="25">
        <v>84500</v>
      </c>
      <c r="D8770" s="22" t="s">
        <v>12796</v>
      </c>
      <c r="E8770" s="22" t="s">
        <v>96</v>
      </c>
      <c r="F8770" s="23" t="str">
        <f>HYPERLINK("https://www.spark-marketing.ru/Card/Lot/72613309", "Оказание услуг по организации питания (приготовлению и доставке), 325 шт")</f>
        <v>Оказание услуг по организации питания (приготовлению и доставке), 325 шт</v>
      </c>
      <c r="G8770" s="22" t="s">
        <v>145</v>
      </c>
      <c r="H8770" s="22" t="s">
        <v>1600</v>
      </c>
      <c r="I8770" s="26">
        <v>43683.321516203701</v>
      </c>
      <c r="J8770" s="28" t="s">
        <v>51</v>
      </c>
      <c r="K8770" s="28" t="s">
        <v>51</v>
      </c>
      <c r="L8770" s="28" t="s">
        <v>51</v>
      </c>
      <c r="M8770" s="28" t="s">
        <v>51</v>
      </c>
      <c r="N8770" s="28" t="s">
        <v>51</v>
      </c>
    </row>
    <row r="8771" spans="1:14" ht="12.75" x14ac:dyDescent="0.2">
      <c r="A8771" s="23" t="str">
        <f>HYPERLINK("https://www.spark-marketing.ru/Card/Person/78626", "ГБУЗ ""ЮЖНО-САХАЛИНСКАЯ ДГП""")</f>
        <v>ГБУЗ "ЮЖНО-САХАЛИНСКАЯ ДГП"</v>
      </c>
      <c r="B8771" s="24" t="s">
        <v>12797</v>
      </c>
      <c r="C8771" s="25">
        <v>281876.31</v>
      </c>
      <c r="D8771" s="22" t="s">
        <v>12798</v>
      </c>
      <c r="E8771" s="22" t="s">
        <v>603</v>
      </c>
      <c r="F8771" s="23" t="str">
        <f>HYPERLINK("https://www.spark-marketing.ru/Card/Lot/72614123", "Оказание услуг по поверке средств измерения медицинского назначения")</f>
        <v>Оказание услуг по поверке средств измерения медицинского назначения</v>
      </c>
      <c r="G8771" s="22" t="s">
        <v>260</v>
      </c>
      <c r="H8771" s="22" t="s">
        <v>804</v>
      </c>
      <c r="I8771" s="26">
        <v>43683.492291666698</v>
      </c>
      <c r="J8771" s="23" t="str">
        <f>HYPERLINK("https://www.spark-marketing.ru/Card/Person/212744", "ФБУ ""САХАЛИНСКИЙ ЦСМ""")</f>
        <v>ФБУ "САХАЛИНСКИЙ ЦСМ"</v>
      </c>
      <c r="K8771" s="24" t="s">
        <v>12799</v>
      </c>
      <c r="L8771" s="22" t="s">
        <v>10</v>
      </c>
      <c r="M8771" s="25">
        <v>281876.31</v>
      </c>
      <c r="N8771" s="27">
        <v>0</v>
      </c>
    </row>
    <row r="8772" spans="1:14" x14ac:dyDescent="0.2">
      <c r="A8772" s="23" t="str">
        <f>HYPERLINK("https://www.spark-marketing.ru/Card/Person/119244", "МАОУ СШ № 23")</f>
        <v>МАОУ СШ № 23</v>
      </c>
      <c r="B8772" s="24" t="s">
        <v>12800</v>
      </c>
      <c r="C8772" s="25">
        <v>432939.44</v>
      </c>
      <c r="D8772" s="22" t="s">
        <v>12801</v>
      </c>
      <c r="E8772" s="22" t="s">
        <v>362</v>
      </c>
      <c r="F8772" s="23" t="str">
        <f>HYPERLINK("https://www.spark-marketing.ru/Card/Lot/72613372", "Оказание услуг по организации горячего питания в МАОУ СШ № 23 Свердловского района г. Красноярска в 2019 году")</f>
        <v>Оказание услуг по организации горячего питания в МАОУ СШ № 23 Свердловского района г. Красноярска в 2019 году</v>
      </c>
      <c r="G8772" s="22" t="s">
        <v>281</v>
      </c>
      <c r="H8772" s="22" t="s">
        <v>281</v>
      </c>
      <c r="I8772" s="26">
        <v>43683</v>
      </c>
      <c r="J8772" s="28" t="s">
        <v>51</v>
      </c>
      <c r="K8772" s="28" t="s">
        <v>51</v>
      </c>
      <c r="L8772" s="22" t="s">
        <v>10</v>
      </c>
      <c r="M8772" s="25">
        <v>432939.44</v>
      </c>
      <c r="N8772" s="27">
        <v>0</v>
      </c>
    </row>
    <row r="8773" spans="1:14" x14ac:dyDescent="0.15">
      <c r="A8773" s="23" t="str">
        <f>HYPERLINK("https://www.spark-marketing.ru/Card/Person/49837", "АО ""ГНЦ РФ - ФЭИ""")</f>
        <v>АО "ГНЦ РФ - ФЭИ"</v>
      </c>
      <c r="B8773" s="24" t="s">
        <v>12693</v>
      </c>
      <c r="C8773" s="25">
        <v>59810735.399999999</v>
      </c>
      <c r="D8773" s="22" t="s">
        <v>12802</v>
      </c>
      <c r="E8773" s="22" t="s">
        <v>952</v>
      </c>
      <c r="F8773" s="23" t="str">
        <f>HYPERLINK("https://www.spark-marketing.ru/Card/Lot/72625170", "Право заключения договора на оказание услуг по организации и обеспечению сотрудников АО ""ГНЦ РФ-ФЭИ"" лечебно-профилактическим питанием (рацион Р-1, специализированный вахтовый рацион), молоком и другими равноценными продуктами соответственно за раб...")</f>
        <v>Право заключения договора на оказание услуг по организации и обеспечению сотрудников АО "ГНЦ РФ-ФЭИ" лечебно-профилактическим питанием (рацион Р-1, специализированный вахтовый рацион), молоком и другими равноценными продуктами соответственно за раб...</v>
      </c>
      <c r="G8773" s="22" t="s">
        <v>112</v>
      </c>
      <c r="H8773" s="22" t="s">
        <v>1663</v>
      </c>
      <c r="I8773" s="26">
        <v>43683</v>
      </c>
      <c r="J8773" s="28" t="s">
        <v>51</v>
      </c>
      <c r="K8773" s="28" t="s">
        <v>51</v>
      </c>
      <c r="L8773" s="28" t="s">
        <v>51</v>
      </c>
      <c r="M8773" s="28" t="s">
        <v>51</v>
      </c>
      <c r="N8773" s="28" t="s">
        <v>51</v>
      </c>
    </row>
    <row r="8774" spans="1:14" x14ac:dyDescent="0.2">
      <c r="A8774" s="23" t="str">
        <f>HYPERLINK("https://www.spark-marketing.ru/Card/Person/4347967", "АО ""ОДК""")</f>
        <v>АО "ОДК"</v>
      </c>
      <c r="B8774" s="24" t="s">
        <v>12803</v>
      </c>
      <c r="C8774" s="25">
        <v>2190000</v>
      </c>
      <c r="D8774" s="22" t="s">
        <v>12804</v>
      </c>
      <c r="E8774" s="22" t="s">
        <v>576</v>
      </c>
      <c r="F8774" s="23" t="str">
        <f>HYPERLINK("https://www.spark-marketing.ru/Card/Lot/72619347", "1700-2019-01726 Оказание услуг по предоставлению 3-х разового питания")</f>
        <v>1700-2019-01726 Оказание услуг по предоставлению 3-х разового питания</v>
      </c>
      <c r="G8774" s="22" t="s">
        <v>56</v>
      </c>
      <c r="H8774" s="22" t="s">
        <v>56</v>
      </c>
      <c r="I8774" s="26">
        <v>43683</v>
      </c>
      <c r="J8774" s="28" t="s">
        <v>51</v>
      </c>
      <c r="K8774" s="28" t="s">
        <v>51</v>
      </c>
      <c r="L8774" s="22" t="s">
        <v>10</v>
      </c>
      <c r="M8774" s="25">
        <v>545</v>
      </c>
      <c r="N8774" s="27">
        <v>0.99975114155251144</v>
      </c>
    </row>
    <row r="8775" spans="1:14" x14ac:dyDescent="0.15">
      <c r="A8775" s="23" t="str">
        <f>HYPERLINK("https://www.spark-marketing.ru/Card/Person/4349872", "АО ""АВИАКОМПАНИЯ ""РОССИЯ""")</f>
        <v>АО "АВИАКОМПАНИЯ "РОССИЯ"</v>
      </c>
      <c r="B8775" s="24" t="s">
        <v>785</v>
      </c>
      <c r="C8775" s="25">
        <v>28269301.969999999</v>
      </c>
      <c r="D8775" s="22" t="s">
        <v>12805</v>
      </c>
      <c r="E8775" s="22" t="s">
        <v>769</v>
      </c>
      <c r="F8775" s="23" t="str">
        <f>HYPERLINK("https://www.spark-marketing.ru/Card/Lot/72626686", "Оказание гостиничных услуг (проживание, питание, трансфер) для командированных работников и экипажей воздушных судов, находящихся на эстафете (Оренбург)")</f>
        <v>Оказание гостиничных услуг (проживание, питание, трансфер) для командированных работников и экипажей воздушных судов, находящихся на эстафете (Оренбург)</v>
      </c>
      <c r="G8775" s="22" t="s">
        <v>132</v>
      </c>
      <c r="H8775" s="22" t="s">
        <v>587</v>
      </c>
      <c r="I8775" s="26">
        <v>43683</v>
      </c>
      <c r="J8775" s="28" t="s">
        <v>51</v>
      </c>
      <c r="K8775" s="28" t="s">
        <v>51</v>
      </c>
      <c r="L8775" s="28" t="s">
        <v>51</v>
      </c>
      <c r="M8775" s="28" t="s">
        <v>51</v>
      </c>
      <c r="N8775" s="28" t="s">
        <v>51</v>
      </c>
    </row>
    <row r="8776" spans="1:14" x14ac:dyDescent="0.15">
      <c r="A8776" s="23" t="str">
        <f>HYPERLINK("https://www.spark-marketing.ru/Card/Person/1177381", "МАОУ СШ № 2")</f>
        <v>МАОУ СШ № 2</v>
      </c>
      <c r="B8776" s="24" t="s">
        <v>7731</v>
      </c>
      <c r="C8776" s="25">
        <v>131250</v>
      </c>
      <c r="D8776" s="22" t="s">
        <v>12806</v>
      </c>
      <c r="E8776" s="22" t="s">
        <v>362</v>
      </c>
      <c r="F8776" s="23" t="str">
        <f>HYPERLINK("https://www.spark-marketing.ru/Card/Lot/72629515", "Оказание услуг по организации питания детей в оздоровительно-образовательном лагере с дневным пребыванием")</f>
        <v>Оказание услуг по организации питания детей в оздоровительно-образовательном лагере с дневным пребыванием</v>
      </c>
      <c r="G8776" s="22" t="s">
        <v>76</v>
      </c>
      <c r="H8776" s="22" t="s">
        <v>76</v>
      </c>
      <c r="I8776" s="26">
        <v>43683</v>
      </c>
      <c r="J8776" s="28" t="s">
        <v>51</v>
      </c>
      <c r="K8776" s="28" t="s">
        <v>51</v>
      </c>
      <c r="L8776" s="28" t="s">
        <v>51</v>
      </c>
      <c r="M8776" s="28" t="s">
        <v>51</v>
      </c>
      <c r="N8776" s="28" t="s">
        <v>51</v>
      </c>
    </row>
    <row r="8777" spans="1:14" x14ac:dyDescent="0.15">
      <c r="A8777" s="23" t="str">
        <f>HYPERLINK("https://www.spark-marketing.ru/Card/Person/2571928", "ООО ""КРОКУС НАНОЭЛЕКТРОНИКА""")</f>
        <v>ООО "КРОКУС НАНОЭЛЕКТРОНИКА"</v>
      </c>
      <c r="B8777" s="24" t="s">
        <v>1555</v>
      </c>
      <c r="C8777" s="25">
        <v>548208.32999999996</v>
      </c>
      <c r="D8777" s="22" t="s">
        <v>12807</v>
      </c>
      <c r="E8777" s="22" t="s">
        <v>362</v>
      </c>
      <c r="F8777" s="23" t="str">
        <f>HYPERLINK("https://www.spark-marketing.ru/Card/Lot/72618338", "Оказание услуг по организации питания за июль 2019 г.")</f>
        <v>Оказание услуг по организации питания за июль 2019 г.</v>
      </c>
      <c r="G8777" s="22" t="s">
        <v>56</v>
      </c>
      <c r="H8777" s="22" t="s">
        <v>56</v>
      </c>
      <c r="I8777" s="26">
        <v>43683</v>
      </c>
      <c r="J8777" s="28" t="s">
        <v>51</v>
      </c>
      <c r="K8777" s="28" t="s">
        <v>51</v>
      </c>
      <c r="L8777" s="28" t="s">
        <v>51</v>
      </c>
      <c r="M8777" s="28" t="s">
        <v>51</v>
      </c>
      <c r="N8777" s="28" t="s">
        <v>51</v>
      </c>
    </row>
    <row r="8778" spans="1:14" x14ac:dyDescent="0.2">
      <c r="A8778" s="23" t="str">
        <f>HYPERLINK("https://www.spark-marketing.ru/Card/Person/1337503", "ГАУ МО ""ЦСП №1""")</f>
        <v>ГАУ МО "ЦСП №1"</v>
      </c>
      <c r="B8778" s="24" t="s">
        <v>8679</v>
      </c>
      <c r="C8778" s="25">
        <v>193500</v>
      </c>
      <c r="D8778" s="22" t="s">
        <v>12808</v>
      </c>
      <c r="E8778" s="22" t="s">
        <v>7046</v>
      </c>
      <c r="F8778" s="23" t="str">
        <f>HYPERLINK("https://www.spark-marketing.ru/Card/Lot/72618351", "Оказание услуг, связанных с организацией участия в спортивных мероприятиях (организация питания во время проведения тренировочного сбора МВК ""Штурм-2002"" перед Чемпионатом России)")</f>
        <v>Оказание услуг, связанных с организацией участия в спортивных мероприятиях (организация питания во время проведения тренировочного сбора МВК "Штурм-2002" перед Чемпионатом России)</v>
      </c>
      <c r="G8778" s="22" t="s">
        <v>49</v>
      </c>
      <c r="H8778" s="22" t="s">
        <v>11400</v>
      </c>
      <c r="I8778" s="26">
        <v>43683</v>
      </c>
      <c r="J8778" s="28" t="s">
        <v>51</v>
      </c>
      <c r="K8778" s="28" t="s">
        <v>51</v>
      </c>
      <c r="L8778" s="28" t="s">
        <v>51</v>
      </c>
      <c r="M8778" s="25">
        <v>193500</v>
      </c>
      <c r="N8778" s="27">
        <v>0</v>
      </c>
    </row>
    <row r="8779" spans="1:14" x14ac:dyDescent="0.2">
      <c r="A8779" s="23" t="str">
        <f>HYPERLINK("https://www.spark-marketing.ru/Card/Person/102476", "МБУДО ""СОБ""МЕРИДИАН""")</f>
        <v>МБУДО "СОБ"МЕРИДИАН"</v>
      </c>
      <c r="B8779" s="24" t="s">
        <v>10593</v>
      </c>
      <c r="C8779" s="25">
        <v>1746240</v>
      </c>
      <c r="D8779" s="22" t="s">
        <v>12809</v>
      </c>
      <c r="E8779" s="22" t="s">
        <v>362</v>
      </c>
      <c r="F8779" s="23" t="str">
        <f>HYPERLINK("https://www.spark-marketing.ru/Card/Lot/72612692", "Оказание услуг по организации питания в ЗДОЛ ""Меридиан"".")</f>
        <v>Оказание услуг по организации питания в ЗДОЛ "Меридиан".</v>
      </c>
      <c r="G8779" s="22" t="s">
        <v>281</v>
      </c>
      <c r="H8779" s="22" t="s">
        <v>281</v>
      </c>
      <c r="I8779" s="26">
        <v>43683</v>
      </c>
      <c r="J8779" s="28" t="s">
        <v>51</v>
      </c>
      <c r="K8779" s="28" t="s">
        <v>51</v>
      </c>
      <c r="L8779" s="22" t="s">
        <v>10</v>
      </c>
      <c r="M8779" s="25">
        <v>1746240</v>
      </c>
      <c r="N8779" s="27">
        <v>0</v>
      </c>
    </row>
    <row r="8780" spans="1:14" x14ac:dyDescent="0.15">
      <c r="A8780" s="23" t="str">
        <f>HYPERLINK("https://www.spark-marketing.ru/Card/Person/418059", "ГКАУ ""ЦСП ПЕРМСКОГО КРАЯ""")</f>
        <v>ГКАУ "ЦСП ПЕРМСКОГО КРАЯ"</v>
      </c>
      <c r="B8780" s="24" t="s">
        <v>10611</v>
      </c>
      <c r="C8780" s="25">
        <v>201600</v>
      </c>
      <c r="D8780" s="22" t="s">
        <v>12810</v>
      </c>
      <c r="E8780" s="22" t="s">
        <v>580</v>
      </c>
      <c r="F8780" s="23" t="str">
        <f>HYPERLINK("https://www.spark-marketing.ru/Card/Lot/72623562", "Услуги по организации ежедневного горячего питания представителей Заказчика в период проведения тренировочного мероприятия в составе сборной команды Пермского края по гандболу для подготовки к Первенству России по гандболу среди мужских команд молоде...")</f>
        <v>Услуги по организации ежедневного горячего питания представителей Заказчика в период проведения тренировочного мероприятия в составе сборной команды Пермского края по гандболу для подготовки к Первенству России по гандболу среди мужских команд молоде...</v>
      </c>
      <c r="G8780" s="22" t="s">
        <v>153</v>
      </c>
      <c r="H8780" s="22" t="s">
        <v>153</v>
      </c>
      <c r="I8780" s="26">
        <v>43683</v>
      </c>
      <c r="J8780" s="28" t="s">
        <v>51</v>
      </c>
      <c r="K8780" s="28" t="s">
        <v>51</v>
      </c>
      <c r="L8780" s="28" t="s">
        <v>51</v>
      </c>
      <c r="M8780" s="28" t="s">
        <v>51</v>
      </c>
      <c r="N8780" s="28" t="s">
        <v>51</v>
      </c>
    </row>
    <row r="8781" spans="1:14" x14ac:dyDescent="0.15">
      <c r="A8781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8781" s="24" t="s">
        <v>1909</v>
      </c>
      <c r="C8781" s="25">
        <v>130000</v>
      </c>
      <c r="D8781" s="22" t="s">
        <v>12811</v>
      </c>
      <c r="E8781" s="22" t="s">
        <v>769</v>
      </c>
      <c r="F8781" s="23" t="str">
        <f>HYPERLINK("https://www.spark-marketing.ru/Card/Lot/72635892", "Услуги по размещению в гостиничных номерах и питанию в кафе гостиницы")</f>
        <v>Услуги по размещению в гостиничных номерах и питанию в кафе гостиницы</v>
      </c>
      <c r="G8781" s="22" t="s">
        <v>766</v>
      </c>
      <c r="H8781" s="22" t="s">
        <v>766</v>
      </c>
      <c r="I8781" s="26">
        <v>43683</v>
      </c>
      <c r="J8781" s="28" t="s">
        <v>51</v>
      </c>
      <c r="K8781" s="28" t="s">
        <v>51</v>
      </c>
      <c r="L8781" s="28" t="s">
        <v>51</v>
      </c>
      <c r="M8781" s="28" t="s">
        <v>51</v>
      </c>
      <c r="N8781" s="28" t="s">
        <v>51</v>
      </c>
    </row>
    <row r="8782" spans="1:14" x14ac:dyDescent="0.15">
      <c r="A8782" s="23" t="str">
        <f>HYPERLINK("https://www.spark-marketing.ru/Card/Person/418059", "ГКАУ ""ЦСП ПЕРМСКОГО КРАЯ""")</f>
        <v>ГКАУ "ЦСП ПЕРМСКОГО КРАЯ"</v>
      </c>
      <c r="B8782" s="24" t="s">
        <v>10611</v>
      </c>
      <c r="C8782" s="25">
        <v>218400</v>
      </c>
      <c r="D8782" s="22" t="s">
        <v>12812</v>
      </c>
      <c r="E8782" s="22" t="s">
        <v>580</v>
      </c>
      <c r="F8782" s="23" t="str">
        <f>HYPERLINK("https://www.spark-marketing.ru/Card/Lot/72619259", "Услуги по организации ежедневного горячего питания представителей Заказчика в период проведения тренировочного мероприятия в составе сборной команды Пермского края по гандболу по общефизической и специальной подготовке")</f>
        <v>Услуги по организации ежедневного горячего питания представителей Заказчика в период проведения тренировочного мероприятия в составе сборной команды Пермского края по гандболу по общефизической и специальной подготовке</v>
      </c>
      <c r="G8782" s="22" t="s">
        <v>153</v>
      </c>
      <c r="H8782" s="22" t="s">
        <v>153</v>
      </c>
      <c r="I8782" s="26">
        <v>43683</v>
      </c>
      <c r="J8782" s="28" t="s">
        <v>51</v>
      </c>
      <c r="K8782" s="28" t="s">
        <v>51</v>
      </c>
      <c r="L8782" s="28" t="s">
        <v>51</v>
      </c>
      <c r="M8782" s="28" t="s">
        <v>51</v>
      </c>
      <c r="N8782" s="28" t="s">
        <v>51</v>
      </c>
    </row>
    <row r="8783" spans="1:14" x14ac:dyDescent="0.15">
      <c r="A8783" s="23" t="str">
        <f>HYPERLINK("https://www.spark-marketing.ru/Card/Person/1778475", "МАОУ ""НИЖНЕАРЕМЗЯНСКАЯ СОШ""")</f>
        <v>МАОУ "НИЖНЕАРЕМЗЯНСКАЯ СОШ"</v>
      </c>
      <c r="B8783" s="24" t="s">
        <v>8987</v>
      </c>
      <c r="C8783" s="25">
        <v>246045.6</v>
      </c>
      <c r="D8783" s="22" t="s">
        <v>12813</v>
      </c>
      <c r="E8783" s="22" t="s">
        <v>362</v>
      </c>
      <c r="F8783" s="23" t="str">
        <f>HYPERLINK("https://www.spark-marketing.ru/Card/Lot/72632332", "Оказание услуг по организация школьного питания обучающихся в МАОУ «Нижнеаремзянская СОШ» по адресу: Тюменская область, Тобольский район, п.Надцы, ул. Школьная, д.3")</f>
        <v>Оказание услуг по организация школьного питания обучающихся в МАОУ «Нижнеаремзянская СОШ» по адресу: Тюменская область, Тобольский район, п.Надцы, ул. Школьная, д.3</v>
      </c>
      <c r="G8783" s="22" t="s">
        <v>766</v>
      </c>
      <c r="H8783" s="22" t="s">
        <v>12814</v>
      </c>
      <c r="I8783" s="26">
        <v>43683</v>
      </c>
      <c r="J8783" s="28" t="s">
        <v>51</v>
      </c>
      <c r="K8783" s="28" t="s">
        <v>51</v>
      </c>
      <c r="L8783" s="28" t="s">
        <v>51</v>
      </c>
      <c r="M8783" s="28" t="s">
        <v>51</v>
      </c>
      <c r="N8783" s="28" t="s">
        <v>51</v>
      </c>
    </row>
    <row r="8784" spans="1:14" x14ac:dyDescent="0.15">
      <c r="A8784" s="23" t="str">
        <f>HYPERLINK("https://www.spark-marketing.ru/Card/Person/1312968", "МАОУ СОШ № 1")</f>
        <v>МАОУ СОШ № 1</v>
      </c>
      <c r="B8784" s="24" t="s">
        <v>5162</v>
      </c>
      <c r="C8784" s="25">
        <v>177075</v>
      </c>
      <c r="D8784" s="22" t="s">
        <v>12815</v>
      </c>
      <c r="E8784" s="22" t="s">
        <v>362</v>
      </c>
      <c r="F8784" s="23" t="str">
        <f>HYPERLINK("https://www.spark-marketing.ru/Card/Lot/72625459", "Оказание услуг по организации двухразового горячего питания детей ЛДП")</f>
        <v>Оказание услуг по организации двухразового горячего питания детей ЛДП</v>
      </c>
      <c r="G8784" s="22" t="s">
        <v>153</v>
      </c>
      <c r="H8784" s="22" t="s">
        <v>153</v>
      </c>
      <c r="I8784" s="26">
        <v>43683</v>
      </c>
      <c r="J8784" s="28" t="s">
        <v>51</v>
      </c>
      <c r="K8784" s="28" t="s">
        <v>51</v>
      </c>
      <c r="L8784" s="28" t="s">
        <v>51</v>
      </c>
      <c r="M8784" s="28" t="s">
        <v>51</v>
      </c>
      <c r="N8784" s="28" t="s">
        <v>51</v>
      </c>
    </row>
    <row r="8785" spans="1:14" x14ac:dyDescent="0.2">
      <c r="A8785" s="23" t="str">
        <f>HYPERLINK("https://www.spark-marketing.ru/Card/Person/1759871", "МАОУДО ""ДЮСШ ""ВИХРЬ""")</f>
        <v>МАОУДО "ДЮСШ "ВИХРЬ"</v>
      </c>
      <c r="B8785" s="24" t="s">
        <v>12816</v>
      </c>
      <c r="C8785" s="25">
        <v>280000</v>
      </c>
      <c r="D8785" s="22" t="s">
        <v>12817</v>
      </c>
      <c r="E8785" s="22" t="s">
        <v>7046</v>
      </c>
      <c r="F8785" s="23" t="str">
        <f>HYPERLINK("https://www.spark-marketing.ru/Card/Lot/72624606", "Услуги по проживанию, питанию детей на тренировочном сборе по лыжероллерной подготовке")</f>
        <v>Услуги по проживанию, питанию детей на тренировочном сборе по лыжероллерной подготовке</v>
      </c>
      <c r="G8785" s="22" t="s">
        <v>153</v>
      </c>
      <c r="H8785" s="22" t="s">
        <v>153</v>
      </c>
      <c r="I8785" s="26">
        <v>43683</v>
      </c>
      <c r="J8785" s="28" t="s">
        <v>51</v>
      </c>
      <c r="K8785" s="28" t="s">
        <v>51</v>
      </c>
      <c r="L8785" s="28" t="s">
        <v>51</v>
      </c>
      <c r="M8785" s="25">
        <v>270600</v>
      </c>
      <c r="N8785" s="27">
        <v>3.3571428571428572E-2</v>
      </c>
    </row>
    <row r="8786" spans="1:14" x14ac:dyDescent="0.2">
      <c r="A8786" s="23" t="str">
        <f>HYPERLINK("https://www.spark-marketing.ru/Card/Person/102476", "МБУДО ""СОБ""МЕРИДИАН""")</f>
        <v>МБУДО "СОБ"МЕРИДИАН"</v>
      </c>
      <c r="B8786" s="24" t="s">
        <v>10593</v>
      </c>
      <c r="C8786" s="25">
        <v>794880</v>
      </c>
      <c r="D8786" s="22" t="s">
        <v>12818</v>
      </c>
      <c r="E8786" s="22" t="s">
        <v>362</v>
      </c>
      <c r="F8786" s="23" t="str">
        <f>HYPERLINK("https://www.spark-marketing.ru/Card/Lot/72612680", "Оказание услуг по организации питания в ЗДОЛ ""Звездный"".")</f>
        <v>Оказание услуг по организации питания в ЗДОЛ "Звездный".</v>
      </c>
      <c r="G8786" s="22" t="s">
        <v>92</v>
      </c>
      <c r="H8786" s="22" t="s">
        <v>92</v>
      </c>
      <c r="I8786" s="26">
        <v>43683</v>
      </c>
      <c r="J8786" s="28" t="s">
        <v>51</v>
      </c>
      <c r="K8786" s="28" t="s">
        <v>51</v>
      </c>
      <c r="L8786" s="22" t="s">
        <v>10</v>
      </c>
      <c r="M8786" s="25">
        <v>794880</v>
      </c>
      <c r="N8786" s="27">
        <v>0</v>
      </c>
    </row>
    <row r="8787" spans="1:14" x14ac:dyDescent="0.15">
      <c r="A8787" s="23" t="str">
        <f>HYPERLINK("https://www.spark-marketing.ru/Card/Person/1778475", "МАОУ ""НИЖНЕАРЕМЗЯНСКАЯ СОШ""")</f>
        <v>МАОУ "НИЖНЕАРЕМЗЯНСКАЯ СОШ"</v>
      </c>
      <c r="B8787" s="24" t="s">
        <v>8987</v>
      </c>
      <c r="C8787" s="25">
        <v>595282.80000000005</v>
      </c>
      <c r="D8787" s="22" t="s">
        <v>12819</v>
      </c>
      <c r="E8787" s="22" t="s">
        <v>362</v>
      </c>
      <c r="F8787" s="23" t="str">
        <f>HYPERLINK("https://www.spark-marketing.ru/Card/Lot/72629972", "Оказание услуг по организация школьного питания обучающихся в МАОУ «Нижнеаремзянская СОШ»")</f>
        <v>Оказание услуг по организация школьного питания обучающихся в МАОУ «Нижнеаремзянская СОШ»</v>
      </c>
      <c r="G8787" s="22" t="s">
        <v>766</v>
      </c>
      <c r="H8787" s="22" t="s">
        <v>12814</v>
      </c>
      <c r="I8787" s="26">
        <v>43683</v>
      </c>
      <c r="J8787" s="28" t="s">
        <v>51</v>
      </c>
      <c r="K8787" s="28" t="s">
        <v>51</v>
      </c>
      <c r="L8787" s="28" t="s">
        <v>51</v>
      </c>
      <c r="M8787" s="28" t="s">
        <v>51</v>
      </c>
      <c r="N8787" s="28" t="s">
        <v>51</v>
      </c>
    </row>
    <row r="8788" spans="1:14" x14ac:dyDescent="0.15">
      <c r="A8788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8788" s="24" t="s">
        <v>1406</v>
      </c>
      <c r="C8788" s="25">
        <v>152250</v>
      </c>
      <c r="D8788" s="22" t="s">
        <v>12820</v>
      </c>
      <c r="E8788" s="22" t="s">
        <v>362</v>
      </c>
      <c r="F8788" s="23" t="str">
        <f>HYPERLINK("https://www.spark-marketing.ru/Card/Lot/72629506", "Оказание услуг по проведению и организации учебной археографической практики в рамках учебного плана ГИ: организация питания студентов в ходе выездной практики в г. Бийск, Тобольск, Енисейск")</f>
        <v>Оказание услуг по проведению и организации учебной археографической практики в рамках учебного плана ГИ: организация питания студентов в ходе выездной практики в г. Бийск, Тобольск, Енисейск</v>
      </c>
      <c r="G8788" s="22" t="s">
        <v>195</v>
      </c>
      <c r="H8788" s="22" t="s">
        <v>195</v>
      </c>
      <c r="I8788" s="26">
        <v>43683</v>
      </c>
      <c r="J8788" s="28" t="s">
        <v>51</v>
      </c>
      <c r="K8788" s="28" t="s">
        <v>51</v>
      </c>
      <c r="L8788" s="28" t="s">
        <v>51</v>
      </c>
      <c r="M8788" s="28" t="s">
        <v>51</v>
      </c>
      <c r="N8788" s="28" t="s">
        <v>51</v>
      </c>
    </row>
    <row r="8789" spans="1:14" x14ac:dyDescent="0.15">
      <c r="A8789" s="23" t="str">
        <f>HYPERLINK("https://www.spark-marketing.ru/Card/Person/1020898", "МБУ ДО""УСТЬЯНСКАЯ ДЮСШ""")</f>
        <v>МБУ ДО"УСТЬЯНСКАЯ ДЮСШ"</v>
      </c>
      <c r="B8789" s="24" t="s">
        <v>12821</v>
      </c>
      <c r="C8789" s="25">
        <v>539000</v>
      </c>
      <c r="D8789" s="22" t="s">
        <v>12822</v>
      </c>
      <c r="E8789" s="22" t="s">
        <v>362</v>
      </c>
      <c r="F8789" s="23" t="str">
        <f>HYPERLINK("https://www.spark-marketing.ru/Card/Lot/72619427", "Услуги питания в спортивно-оздоровительном лагере")</f>
        <v>Услуги питания в спортивно-оздоровительном лагере</v>
      </c>
      <c r="G8789" s="22" t="s">
        <v>214</v>
      </c>
      <c r="H8789" s="22" t="s">
        <v>214</v>
      </c>
      <c r="I8789" s="26">
        <v>43683</v>
      </c>
      <c r="J8789" s="28" t="s">
        <v>51</v>
      </c>
      <c r="K8789" s="28" t="s">
        <v>51</v>
      </c>
      <c r="L8789" s="28" t="s">
        <v>51</v>
      </c>
      <c r="M8789" s="28" t="s">
        <v>51</v>
      </c>
      <c r="N8789" s="28" t="s">
        <v>51</v>
      </c>
    </row>
    <row r="8790" spans="1:14" x14ac:dyDescent="0.15">
      <c r="A8790" s="23" t="str">
        <f>HYPERLINK("https://www.spark-marketing.ru/Card/Person/6450322", "ЗАКАЗЧИК РП БЕЛАРУСЬ")</f>
        <v>ЗАКАЗЧИК РП БЕЛАРУСЬ</v>
      </c>
      <c r="B8790" s="28" t="s">
        <v>51</v>
      </c>
      <c r="C8790" s="25">
        <v>28473030</v>
      </c>
      <c r="D8790" s="22" t="s">
        <v>12823</v>
      </c>
      <c r="E8790" s="22" t="s">
        <v>52</v>
      </c>
      <c r="F8790" s="23" t="str">
        <f>HYPERLINK("https://www.spark-marketing.ru/Card/Lot/72626174", "Услуги проживания и питания за пределами Республики Беларусь")</f>
        <v>Услуги проживания и питания за пределами Республики Беларусь</v>
      </c>
      <c r="G8790" s="22" t="s">
        <v>51</v>
      </c>
      <c r="H8790" s="22" t="s">
        <v>51</v>
      </c>
      <c r="I8790" s="26">
        <v>43683</v>
      </c>
      <c r="J8790" s="28" t="s">
        <v>51</v>
      </c>
      <c r="K8790" s="28" t="s">
        <v>51</v>
      </c>
      <c r="L8790" s="28" t="s">
        <v>51</v>
      </c>
      <c r="M8790" s="28" t="s">
        <v>51</v>
      </c>
      <c r="N8790" s="28" t="s">
        <v>51</v>
      </c>
    </row>
    <row r="8791" spans="1:14" x14ac:dyDescent="0.2">
      <c r="A8791" s="23" t="str">
        <f>HYPERLINK("https://www.spark-marketing.ru/Card/Person/9359", "САНКТ-ПЕТЕРБУРГСКИЙ ГОСУДАРСТВЕННЫЙ УНИВЕРСИТЕТ, САНКТ-ПЕТЕРБУРГСКИЙ УНИВЕРСИТЕТ ИЛИ СПБГУ")</f>
        <v>САНКТ-ПЕТЕРБУРГСКИЙ ГОСУДАРСТВЕННЫЙ УНИВЕРСИТЕТ, САНКТ-ПЕТЕРБУРГСКИЙ УНИВЕРСИТЕТ ИЛИ СПБГУ</v>
      </c>
      <c r="B8791" s="24" t="s">
        <v>1357</v>
      </c>
      <c r="C8791" s="25">
        <v>3475305</v>
      </c>
      <c r="D8791" s="22" t="s">
        <v>12824</v>
      </c>
      <c r="E8791" s="22" t="s">
        <v>562</v>
      </c>
      <c r="F8791" s="23" t="str">
        <f>HYPERLINK("https://www.spark-marketing.ru/Card/Lot/72628806", "Оказание услуг по организации питания")</f>
        <v>Оказание услуг по организации питания</v>
      </c>
      <c r="G8791" s="22" t="s">
        <v>117</v>
      </c>
      <c r="H8791" s="22" t="s">
        <v>117</v>
      </c>
      <c r="I8791" s="26">
        <v>43683</v>
      </c>
      <c r="J8791" s="28" t="s">
        <v>51</v>
      </c>
      <c r="K8791" s="28" t="s">
        <v>51</v>
      </c>
      <c r="L8791" s="22" t="s">
        <v>10</v>
      </c>
      <c r="M8791" s="25">
        <v>3104247.6</v>
      </c>
      <c r="N8791" s="27">
        <v>0.10676973675691774</v>
      </c>
    </row>
    <row r="8792" spans="1:14" x14ac:dyDescent="0.15">
      <c r="A8792" s="23" t="str">
        <f>HYPERLINK("https://www.spark-marketing.ru/Card/Person/1758657", "КГАУ ""СШ ОЛИМПИЙСКОГО РЕЗЕРВА ПО БАСКЕТБОЛУ ""ЕНИСЕЙ""")</f>
        <v>КГАУ "СШ ОЛИМПИЙСКОГО РЕЗЕРВА ПО БАСКЕТБОЛУ "ЕНИСЕЙ"</v>
      </c>
      <c r="B8792" s="24" t="s">
        <v>2683</v>
      </c>
      <c r="C8792" s="25">
        <v>432285</v>
      </c>
      <c r="D8792" s="22" t="s">
        <v>12825</v>
      </c>
      <c r="E8792" s="22" t="s">
        <v>6495</v>
      </c>
      <c r="F8792" s="23" t="str">
        <f>HYPERLINK("https://www.spark-marketing.ru/Card/Lot/72618294", "Заключение договора на оказание услуг по организации учебно-тренировочного сбора на территории Красноярского края")</f>
        <v>Заключение договора на оказание услуг по организации учебно-тренировочного сбора на территории Красноярского края</v>
      </c>
      <c r="G8792" s="22" t="s">
        <v>281</v>
      </c>
      <c r="H8792" s="22" t="s">
        <v>281</v>
      </c>
      <c r="I8792" s="26">
        <v>43683</v>
      </c>
      <c r="J8792" s="28" t="s">
        <v>51</v>
      </c>
      <c r="K8792" s="28" t="s">
        <v>51</v>
      </c>
      <c r="L8792" s="28" t="s">
        <v>51</v>
      </c>
      <c r="M8792" s="28" t="s">
        <v>51</v>
      </c>
      <c r="N8792" s="28" t="s">
        <v>51</v>
      </c>
    </row>
    <row r="8793" spans="1:14" x14ac:dyDescent="0.2">
      <c r="A8793" s="23" t="str">
        <f>HYPERLINK("https://www.spark-marketing.ru/Card/Person/2477557", "МАУ ФК ""РУБИН""")</f>
        <v>МАУ ФК "РУБИН"</v>
      </c>
      <c r="B8793" s="24" t="s">
        <v>4821</v>
      </c>
      <c r="C8793" s="25">
        <v>218400</v>
      </c>
      <c r="D8793" s="22" t="s">
        <v>12826</v>
      </c>
      <c r="E8793" s="22" t="s">
        <v>4823</v>
      </c>
      <c r="F8793" s="23" t="str">
        <f>HYPERLINK("https://www.spark-marketing.ru/Card/Lot/72625471", "Услуги по организации проживания и питания команды Академии ФК «Рубин» 2008 г.р. для участия в турнире ""Lukoil Cup"" (г.Москва)")</f>
        <v>Услуги по организации проживания и питания команды Академии ФК «Рубин» 2008 г.р. для участия в турнире "Lukoil Cup" (г.Москва)</v>
      </c>
      <c r="G8793" s="22" t="s">
        <v>217</v>
      </c>
      <c r="H8793" s="22" t="s">
        <v>217</v>
      </c>
      <c r="I8793" s="26">
        <v>43683</v>
      </c>
      <c r="J8793" s="28" t="s">
        <v>51</v>
      </c>
      <c r="K8793" s="28" t="s">
        <v>51</v>
      </c>
      <c r="L8793" s="22" t="s">
        <v>10</v>
      </c>
      <c r="M8793" s="25">
        <v>218400</v>
      </c>
      <c r="N8793" s="27">
        <v>0</v>
      </c>
    </row>
    <row r="8794" spans="1:14" x14ac:dyDescent="0.15">
      <c r="A8794" s="23" t="str">
        <f>HYPERLINK("https://www.spark-marketing.ru/Card/Person/4385170", "ГАУ ДО ТО ""РЦДППВ ""АВАНПОСТ""")</f>
        <v>ГАУ ДО ТО "РЦДППВ "АВАНПОСТ"</v>
      </c>
      <c r="B8794" s="24" t="s">
        <v>12827</v>
      </c>
      <c r="C8794" s="25">
        <v>206400</v>
      </c>
      <c r="D8794" s="22" t="s">
        <v>12828</v>
      </c>
      <c r="E8794" s="22" t="s">
        <v>362</v>
      </c>
      <c r="F8794" s="23" t="str">
        <f>HYPERLINK("https://www.spark-marketing.ru/Card/Lot/72616367", "Оказание услуг по организации питания в период проведения профильной смены «Спортивная доблесть» ОСПЛ.")</f>
        <v>Оказание услуг по организации питания в период проведения профильной смены «Спортивная доблесть» ОСПЛ.</v>
      </c>
      <c r="G8794" s="22" t="s">
        <v>766</v>
      </c>
      <c r="H8794" s="22" t="s">
        <v>766</v>
      </c>
      <c r="I8794" s="26">
        <v>43683</v>
      </c>
      <c r="J8794" s="28" t="s">
        <v>51</v>
      </c>
      <c r="K8794" s="28" t="s">
        <v>51</v>
      </c>
      <c r="L8794" s="28" t="s">
        <v>51</v>
      </c>
      <c r="M8794" s="28" t="s">
        <v>51</v>
      </c>
      <c r="N8794" s="28" t="s">
        <v>51</v>
      </c>
    </row>
    <row r="8795" spans="1:14" x14ac:dyDescent="0.15">
      <c r="A8795" s="23" t="str">
        <f>HYPERLINK("https://www.spark-marketing.ru/Card/Person/1319895", "МАОУ СОШ №5 ИМЕНИ Ю.А.ГАГАРИНА")</f>
        <v>МАОУ СОШ №5 ИМЕНИ Ю.А.ГАГАРИНА</v>
      </c>
      <c r="B8795" s="24" t="s">
        <v>12829</v>
      </c>
      <c r="C8795" s="25">
        <v>1397990</v>
      </c>
      <c r="D8795" s="22" t="s">
        <v>12830</v>
      </c>
      <c r="E8795" s="22" t="s">
        <v>362</v>
      </c>
      <c r="F8795" s="23" t="str">
        <f>HYPERLINK("https://www.spark-marketing.ru/Card/Lot/72619485", "Оказание услуг по организации питания обучающихся в муниципальном автономном общеобразовательном учреждении ""Средняя общеобразовательная школа №5 имени Ю.А. Гагарина """)</f>
        <v>Оказание услуг по организации питания обучающихся в муниципальном автономном общеобразовательном учреждении "Средняя общеобразовательная школа №5 имени Ю.А. Гагарина "</v>
      </c>
      <c r="G8795" s="22" t="s">
        <v>1370</v>
      </c>
      <c r="H8795" s="22" t="s">
        <v>1370</v>
      </c>
      <c r="I8795" s="26">
        <v>43683</v>
      </c>
      <c r="J8795" s="28" t="s">
        <v>51</v>
      </c>
      <c r="K8795" s="28" t="s">
        <v>51</v>
      </c>
      <c r="L8795" s="28" t="s">
        <v>51</v>
      </c>
      <c r="M8795" s="28" t="s">
        <v>51</v>
      </c>
      <c r="N8795" s="28" t="s">
        <v>51</v>
      </c>
    </row>
    <row r="8796" spans="1:14" x14ac:dyDescent="0.2">
      <c r="A8796" s="23" t="str">
        <f>HYPERLINK("https://www.spark-marketing.ru/Card/Person/4346656", "ФГБУ ""ТЦСКР ""КРЫМСКИЙ""")</f>
        <v>ФГБУ "ТЦСКР "КРЫМСКИЙ"</v>
      </c>
      <c r="B8796" s="24" t="s">
        <v>2225</v>
      </c>
      <c r="C8796" s="25">
        <v>495000</v>
      </c>
      <c r="D8796" s="22" t="s">
        <v>12831</v>
      </c>
      <c r="E8796" s="22" t="s">
        <v>580</v>
      </c>
      <c r="F8796" s="23" t="str">
        <f>HYPERLINK("https://www.spark-marketing.ru/Card/Lot/72619704", "Оказание услуг питания")</f>
        <v>Оказание услуг питания</v>
      </c>
      <c r="G8796" s="22" t="s">
        <v>108</v>
      </c>
      <c r="H8796" s="22" t="s">
        <v>108</v>
      </c>
      <c r="I8796" s="26">
        <v>43683</v>
      </c>
      <c r="J8796" s="28" t="s">
        <v>51</v>
      </c>
      <c r="K8796" s="28" t="s">
        <v>51</v>
      </c>
      <c r="L8796" s="28" t="s">
        <v>51</v>
      </c>
      <c r="M8796" s="25">
        <v>495000</v>
      </c>
      <c r="N8796" s="27">
        <v>0</v>
      </c>
    </row>
    <row r="8797" spans="1:14" x14ac:dyDescent="0.2">
      <c r="A8797" s="23" t="str">
        <f>HYPERLINK("https://www.spark-marketing.ru/Card/Person/378107", "АПОУ УР ГАПТ")</f>
        <v>АПОУ УР ГАПТ</v>
      </c>
      <c r="B8797" s="24" t="s">
        <v>12832</v>
      </c>
      <c r="C8797" s="25">
        <v>6520862.8200000003</v>
      </c>
      <c r="D8797" s="22" t="s">
        <v>12833</v>
      </c>
      <c r="E8797" s="22" t="s">
        <v>362</v>
      </c>
      <c r="F8797" s="23" t="str">
        <f>HYPERLINK("https://www.spark-marketing.ru/Card/Lot/72618646", "Оказание услуг по обеспечению горячим питанием обучающихся автономного профессионального образовательного учреждения Удмуртский Республики «Глазовский аграрно-промышленный техникум»")</f>
        <v>Оказание услуг по обеспечению горячим питанием обучающихся автономного профессионального образовательного учреждения Удмуртский Республики «Глазовский аграрно-промышленный техникум»</v>
      </c>
      <c r="G8797" s="22" t="s">
        <v>852</v>
      </c>
      <c r="H8797" s="22" t="s">
        <v>852</v>
      </c>
      <c r="I8797" s="26">
        <v>43683</v>
      </c>
      <c r="J8797" s="28" t="s">
        <v>51</v>
      </c>
      <c r="K8797" s="28" t="s">
        <v>51</v>
      </c>
      <c r="L8797" s="22" t="s">
        <v>10</v>
      </c>
      <c r="M8797" s="25">
        <v>5812585.3799999999</v>
      </c>
      <c r="N8797" s="27">
        <v>0.10861713542380577</v>
      </c>
    </row>
    <row r="8798" spans="1:14" x14ac:dyDescent="0.15">
      <c r="A8798" s="23" t="str">
        <f>HYPERLINK("https://www.spark-marketing.ru/Card/Person/4385170", "ГАУ ДО ТО ""РЦДППВ ""АВАНПОСТ""")</f>
        <v>ГАУ ДО ТО "РЦДППВ "АВАНПОСТ"</v>
      </c>
      <c r="B8798" s="24" t="s">
        <v>12827</v>
      </c>
      <c r="C8798" s="25">
        <v>240800</v>
      </c>
      <c r="D8798" s="22" t="s">
        <v>12834</v>
      </c>
      <c r="E8798" s="22" t="s">
        <v>362</v>
      </c>
      <c r="F8798" s="23" t="str">
        <f>HYPERLINK("https://www.spark-marketing.ru/Card/Lot/72616375", "Оказание услуг по организации питания в период проведения военно-полевых сборов для детей и молодежи Ямальского района в осенний период 2019 года.")</f>
        <v>Оказание услуг по организации питания в период проведения военно-полевых сборов для детей и молодежи Ямальского района в осенний период 2019 года.</v>
      </c>
      <c r="G8798" s="22" t="s">
        <v>766</v>
      </c>
      <c r="H8798" s="22" t="s">
        <v>766</v>
      </c>
      <c r="I8798" s="26">
        <v>43683</v>
      </c>
      <c r="J8798" s="28" t="s">
        <v>51</v>
      </c>
      <c r="K8798" s="28" t="s">
        <v>51</v>
      </c>
      <c r="L8798" s="28" t="s">
        <v>51</v>
      </c>
      <c r="M8798" s="28" t="s">
        <v>51</v>
      </c>
      <c r="N8798" s="28" t="s">
        <v>51</v>
      </c>
    </row>
    <row r="8799" spans="1:14" x14ac:dyDescent="0.15">
      <c r="A8799" s="23" t="str">
        <f>HYPERLINK("https://www.spark-marketing.ru/Card/Person/4378410", "МАОУ НГО «СОШ № 4»")</f>
        <v>МАОУ НГО «СОШ № 4»</v>
      </c>
      <c r="B8799" s="24" t="s">
        <v>12835</v>
      </c>
      <c r="C8799" s="25">
        <v>2164104</v>
      </c>
      <c r="D8799" s="22" t="s">
        <v>12836</v>
      </c>
      <c r="E8799" s="22" t="s">
        <v>362</v>
      </c>
      <c r="F8799" s="23" t="str">
        <f>HYPERLINK("https://www.spark-marketing.ru/Card/Lot/72616573", "Оказание услуги по организации горячего питания обучающихся в МАОУ НГО ""СОШ №4"" в сентябре-декабре 2019 года")</f>
        <v>Оказание услуги по организации горячего питания обучающихся в МАОУ НГО "СОШ №4" в сентябре-декабре 2019 года</v>
      </c>
      <c r="G8799" s="22" t="s">
        <v>174</v>
      </c>
      <c r="H8799" s="22" t="s">
        <v>8963</v>
      </c>
      <c r="I8799" s="26">
        <v>43683</v>
      </c>
      <c r="J8799" s="28" t="s">
        <v>51</v>
      </c>
      <c r="K8799" s="28" t="s">
        <v>51</v>
      </c>
      <c r="L8799" s="28" t="s">
        <v>51</v>
      </c>
      <c r="M8799" s="28" t="s">
        <v>51</v>
      </c>
      <c r="N8799" s="28" t="s">
        <v>51</v>
      </c>
    </row>
    <row r="8800" spans="1:14" x14ac:dyDescent="0.15">
      <c r="A8800" s="23" t="str">
        <f>HYPERLINK("https://www.spark-marketing.ru/Card/Person/4365627", "ООО ""РН-БУРЕНИЕ""")</f>
        <v>ООО "РН-БУРЕНИЕ"</v>
      </c>
      <c r="B8800" s="24" t="s">
        <v>7087</v>
      </c>
      <c r="C8800" s="28" t="s">
        <v>51</v>
      </c>
      <c r="D8800" s="22" t="s">
        <v>12837</v>
      </c>
      <c r="E8800" s="22" t="s">
        <v>362</v>
      </c>
      <c r="F8800" s="23" t="str">
        <f>HYPERLINK("https://www.spark-marketing.ru/Card/Lot/72609324", "Оказание услуг по организации питания для нужд Ханты-Мансийского филиала ООО «РН-Бурение»")</f>
        <v>Оказание услуг по организации питания для нужд Ханты-Мансийского филиала ООО «РН-Бурение»</v>
      </c>
      <c r="G8800" s="22" t="s">
        <v>56</v>
      </c>
      <c r="H8800" s="22" t="s">
        <v>56</v>
      </c>
      <c r="I8800" s="26">
        <v>43682.828472222202</v>
      </c>
      <c r="J8800" s="28" t="s">
        <v>51</v>
      </c>
      <c r="K8800" s="28" t="s">
        <v>51</v>
      </c>
      <c r="L8800" s="28" t="s">
        <v>51</v>
      </c>
      <c r="M8800" s="28" t="s">
        <v>51</v>
      </c>
      <c r="N8800" s="28" t="s">
        <v>51</v>
      </c>
    </row>
    <row r="8801" spans="1:14" x14ac:dyDescent="0.15">
      <c r="A8801" s="23" t="str">
        <f>HYPERLINK("https://www.spark-marketing.ru/Card/Person/1744014", "ГУ МВД РОССИИ ПО ПЕРМСКОМУ КРАЮ")</f>
        <v>ГУ МВД РОССИИ ПО ПЕРМСКОМУ КРАЮ</v>
      </c>
      <c r="B8801" s="24" t="s">
        <v>7878</v>
      </c>
      <c r="C8801" s="25">
        <v>10420000</v>
      </c>
      <c r="D8801" s="22" t="s">
        <v>12838</v>
      </c>
      <c r="E8801" s="22" t="s">
        <v>48</v>
      </c>
      <c r="F8801" s="23" t="str">
        <f>HYPERLINK("https://www.spark-marketing.ru/Card/Lot/72627334", "Оказание услуг по организации горячего питания для слушателей, находящихся на профессиональном обучении по образовательным программам профессиональной подготовки по должности служащего «Полицейский» по очной форме в Центре профессиональной подготовки...")</f>
        <v>Оказание услуг по организации горячего питания для слушателей, находящихся на профессиональном обучении по образовательным программам профессиональной подготовки по должности служащего «Полицейский» по очной форме в Центре профессиональной подготовки...</v>
      </c>
      <c r="G8801" s="22" t="s">
        <v>153</v>
      </c>
      <c r="H8801" s="22" t="s">
        <v>153</v>
      </c>
      <c r="I8801" s="26">
        <v>43682.768750000003</v>
      </c>
      <c r="J8801" s="28" t="s">
        <v>51</v>
      </c>
      <c r="K8801" s="28" t="s">
        <v>51</v>
      </c>
      <c r="L8801" s="28" t="s">
        <v>51</v>
      </c>
      <c r="M8801" s="28" t="s">
        <v>51</v>
      </c>
      <c r="N8801" s="28" t="s">
        <v>51</v>
      </c>
    </row>
    <row r="8802" spans="1:14" ht="12.75" hidden="1" outlineLevel="1" x14ac:dyDescent="0.2">
      <c r="A8802" s="23" t="str">
        <f>HYPERLINK("https://www.spark-marketing.ru/Card/Person/1744014", "ГУ МВД РОССИИ ПО ПЕРМСКОМУ КРАЮ")</f>
        <v>ГУ МВД РОССИИ ПО ПЕРМСКОМУ КРАЮ</v>
      </c>
      <c r="B8802" s="24" t="s">
        <v>7878</v>
      </c>
      <c r="C8802" s="25">
        <v>10420000</v>
      </c>
      <c r="D8802" s="22" t="s">
        <v>12838</v>
      </c>
      <c r="E8802" s="22" t="s">
        <v>48</v>
      </c>
      <c r="F8802" s="23" t="str">
        <f>HYPERLINK("https://www.spark-marketing.ru/Card/Lot/72627334", "Оказание услуг по организации горячего питания для слушателей, находящихся на профессиональном обучении по образовательным программам профессиональной подготовки по должности служащего «Полицейский» по очной форме в Центре профессиональной подготовки...")</f>
        <v>Оказание услуг по организации горячего питания для слушателей, находящихся на профессиональном обучении по образовательным программам профессиональной подготовки по должности служащего «Полицейский» по очной форме в Центре профессиональной подготовки...</v>
      </c>
      <c r="G8802" s="22" t="s">
        <v>153</v>
      </c>
      <c r="H8802" s="22" t="s">
        <v>153</v>
      </c>
      <c r="I8802" s="26">
        <v>43682.768750000003</v>
      </c>
      <c r="J8802" s="23" t="str">
        <f>HYPERLINK("https://www.spark-marketing.ru/Card/Person/45475", "ООО ""ТРАПЕЗА""")</f>
        <v>ООО "ТРАПЕЗА"</v>
      </c>
      <c r="K8802" s="24" t="s">
        <v>7880</v>
      </c>
      <c r="L8802" s="22" t="s">
        <v>10</v>
      </c>
      <c r="M8802" s="25">
        <v>195.26</v>
      </c>
      <c r="N8802" s="27">
        <v>0.99998126103646834</v>
      </c>
    </row>
    <row r="8803" spans="1:14" hidden="1" outlineLevel="1" x14ac:dyDescent="0.2">
      <c r="A8803" s="23" t="str">
        <f>HYPERLINK("https://www.spark-marketing.ru/Card/Person/1744014", "ГУ МВД РОССИИ ПО ПЕРМСКОМУ КРАЮ")</f>
        <v>ГУ МВД РОССИИ ПО ПЕРМСКОМУ КРАЮ</v>
      </c>
      <c r="B8803" s="24" t="s">
        <v>7878</v>
      </c>
      <c r="C8803" s="25">
        <v>10420000</v>
      </c>
      <c r="D8803" s="22" t="s">
        <v>12838</v>
      </c>
      <c r="E8803" s="22" t="s">
        <v>48</v>
      </c>
      <c r="F8803" s="23" t="str">
        <f>HYPERLINK("https://www.spark-marketing.ru/Card/Lot/72627334", "Оказание услуг по организации горячего питания для слушателей, находящихся на профессиональном обучении по образовательным программам профессиональной подготовки по должности служащего «Полицейский» по очной форме в Центре профессиональной подготовки...")</f>
        <v>Оказание услуг по организации горячего питания для слушателей, находящихся на профессиональном обучении по образовательным программам профессиональной подготовки по должности служащего «Полицейский» по очной форме в Центре профессиональной подготовки...</v>
      </c>
      <c r="G8803" s="22" t="s">
        <v>153</v>
      </c>
      <c r="H8803" s="22" t="s">
        <v>153</v>
      </c>
      <c r="I8803" s="26">
        <v>43682.768750000003</v>
      </c>
      <c r="J8803" s="23" t="str">
        <f>HYPERLINK("https://www.spark-marketing.ru/Card/Person/1403619", "ООО ""ГП АРТЭКС""")</f>
        <v>ООО "ГП АРТЭКС"</v>
      </c>
      <c r="K8803" s="24" t="s">
        <v>7360</v>
      </c>
      <c r="L8803" s="28" t="s">
        <v>51</v>
      </c>
      <c r="M8803" s="25">
        <v>200.48</v>
      </c>
      <c r="N8803" s="27">
        <v>0.99998076007677539</v>
      </c>
    </row>
    <row r="8804" spans="1:14" x14ac:dyDescent="0.15">
      <c r="A8804" s="23" t="str">
        <f>HYPERLINK("https://www.spark-marketing.ru/Card/Person/1000042", "МБОУ НАРО-ФОМИНСКАЯ ШКОЛА ДЛЯ ОБУЧАЮЩИХСЯ С ОВЗ")</f>
        <v>МБОУ НАРО-ФОМИНСКАЯ ШКОЛА ДЛЯ ОБУЧАЮЩИХСЯ С ОВЗ</v>
      </c>
      <c r="B8804" s="24" t="s">
        <v>3316</v>
      </c>
      <c r="C8804" s="25">
        <v>336000</v>
      </c>
      <c r="D8804" s="22" t="s">
        <v>12839</v>
      </c>
      <c r="E8804" s="22" t="s">
        <v>48</v>
      </c>
      <c r="F8804" s="23" t="str">
        <f>HYPERLINK("https://www.spark-marketing.ru/Card/Lot/72608473",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8804" s="22" t="s">
        <v>49</v>
      </c>
      <c r="H8804" s="22" t="s">
        <v>3318</v>
      </c>
      <c r="I8804" s="26">
        <v>43682.784155092602</v>
      </c>
      <c r="J8804" s="28" t="s">
        <v>51</v>
      </c>
      <c r="K8804" s="28" t="s">
        <v>51</v>
      </c>
      <c r="L8804" s="28" t="s">
        <v>51</v>
      </c>
      <c r="M8804" s="28" t="s">
        <v>51</v>
      </c>
      <c r="N8804" s="28" t="s">
        <v>51</v>
      </c>
    </row>
    <row r="8805" spans="1:14" x14ac:dyDescent="0.15">
      <c r="A8805" s="23" t="str">
        <f>HYPERLINK("https://www.spark-marketing.ru/Card/Person/131439", "УМВД РОССИИ ПО Г.ВОЛОГДЕ")</f>
        <v>УМВД РОССИИ ПО Г.ВОЛОГДЕ</v>
      </c>
      <c r="B8805" s="24" t="s">
        <v>3194</v>
      </c>
      <c r="C8805" s="25">
        <v>604980</v>
      </c>
      <c r="D8805" s="22" t="s">
        <v>12840</v>
      </c>
      <c r="E8805" s="22" t="s">
        <v>96</v>
      </c>
      <c r="F8805" s="23" t="str">
        <f>HYPERLINK("https://www.spark-marketing.ru/Card/Lot/72619517", "Оказание услуг по обеспечению ежедневным питанием задержанных лиц")</f>
        <v>Оказание услуг по обеспечению ежедневным питанием задержанных лиц</v>
      </c>
      <c r="G8805" s="22" t="s">
        <v>503</v>
      </c>
      <c r="H8805" s="22" t="s">
        <v>962</v>
      </c>
      <c r="I8805" s="26">
        <v>43682.778831018499</v>
      </c>
      <c r="J8805" s="23" t="str">
        <f>HYPERLINK("https://www.spark-marketing.ru/Card/Person/105572", "ООО ""ЦЕНТРОПИТ""")</f>
        <v>ООО "ЦЕНТРОПИТ"</v>
      </c>
      <c r="K8805" s="24" t="s">
        <v>3196</v>
      </c>
      <c r="L8805" s="22" t="s">
        <v>10</v>
      </c>
      <c r="M8805" s="28" t="s">
        <v>51</v>
      </c>
      <c r="N8805" s="28" t="s">
        <v>51</v>
      </c>
    </row>
    <row r="8806" spans="1:14" x14ac:dyDescent="0.15">
      <c r="A8806" s="23" t="str">
        <f>HYPERLINK("https://www.spark-marketing.ru/Card/Person/1040168", "ГКОУ ""КУРГАНСКАЯ ШКОЛА № 8""")</f>
        <v>ГКОУ "КУРГАНСКАЯ ШКОЛА № 8"</v>
      </c>
      <c r="B8806" s="24" t="s">
        <v>12841</v>
      </c>
      <c r="C8806" s="25">
        <v>1075120</v>
      </c>
      <c r="D8806" s="22" t="s">
        <v>12842</v>
      </c>
      <c r="E8806" s="22" t="s">
        <v>48</v>
      </c>
      <c r="F8806" s="23" t="str">
        <f>HYPERLINK("https://www.spark-marketing.ru/Card/Lot/72620104", "оказание услуг по организации ежедневного двухразового горячего питания учащихся Государственного казенного общеобразовательного учреждения ""Курганская специальная (коррекционная) школа № 8""")</f>
        <v>оказание услуг по организации ежедневного двухразового горячего питания учащихся Государственного казенного общеобразовательного учреждения "Курганская специальная (коррекционная) школа № 8"</v>
      </c>
      <c r="G8806" s="22" t="s">
        <v>1972</v>
      </c>
      <c r="H8806" s="22" t="s">
        <v>1973</v>
      </c>
      <c r="I8806" s="26">
        <v>43682.755590277797</v>
      </c>
      <c r="J8806" s="23" t="str">
        <f>HYPERLINK("https://www.spark-marketing.ru/Card/Person/677447", "МУП ""КОМБИНАТ ПИТАНИЯ""")</f>
        <v>МУП "КОМБИНАТ ПИТАНИЯ"</v>
      </c>
      <c r="K8806" s="24" t="s">
        <v>3746</v>
      </c>
      <c r="L8806" s="22" t="s">
        <v>10</v>
      </c>
      <c r="M8806" s="28" t="s">
        <v>51</v>
      </c>
      <c r="N8806" s="28" t="s">
        <v>51</v>
      </c>
    </row>
    <row r="8807" spans="1:14" x14ac:dyDescent="0.15">
      <c r="A8807" s="23" t="str">
        <f>HYPERLINK("https://www.spark-marketing.ru/Card/Person/4344533", "КУРГАНСКАЯ ОБЛАСТНАЯ ДУМА")</f>
        <v>КУРГАНСКАЯ ОБЛАСТНАЯ ДУМА</v>
      </c>
      <c r="B8807" s="24" t="s">
        <v>10648</v>
      </c>
      <c r="C8807" s="25">
        <v>54933.33</v>
      </c>
      <c r="D8807" s="22" t="s">
        <v>12843</v>
      </c>
      <c r="E8807" s="22" t="s">
        <v>96</v>
      </c>
      <c r="F8807" s="23" t="str">
        <f>HYPERLINK("https://www.spark-marketing.ru/Card/Lot/72619362", "Оказание услуг по организации питания участников мероприятия «День депутата Курганской областной Думы» в Куртамышском районе")</f>
        <v>Оказание услуг по организации питания участников мероприятия «День депутата Курганской областной Думы» в Куртамышском районе</v>
      </c>
      <c r="G8807" s="22" t="s">
        <v>1972</v>
      </c>
      <c r="H8807" s="22" t="s">
        <v>10650</v>
      </c>
      <c r="I8807" s="26">
        <v>43682.725115740701</v>
      </c>
      <c r="J8807" s="28" t="s">
        <v>51</v>
      </c>
      <c r="K8807" s="28" t="s">
        <v>51</v>
      </c>
      <c r="L8807" s="28" t="s">
        <v>51</v>
      </c>
      <c r="M8807" s="28" t="s">
        <v>51</v>
      </c>
      <c r="N8807" s="28" t="s">
        <v>51</v>
      </c>
    </row>
    <row r="8808" spans="1:14" x14ac:dyDescent="0.2">
      <c r="A8808" s="23" t="s">
        <v>114</v>
      </c>
      <c r="B8808" s="28" t="s">
        <v>51</v>
      </c>
      <c r="C8808" s="25">
        <v>6030140</v>
      </c>
      <c r="D8808" s="22" t="s">
        <v>12844</v>
      </c>
      <c r="E8808" s="22" t="s">
        <v>51</v>
      </c>
      <c r="F8808" s="23" t="str">
        <f t="shared" ref="F8808:F8813" si="193">HYPERLINK("https://www.spark-marketing.ru/Card/Lot/72604130", "19-74922 Оказание услуг по организации питания детей")</f>
        <v>19-74922 Оказание услуг по организации питания детей</v>
      </c>
      <c r="G8808" s="22" t="s">
        <v>51</v>
      </c>
      <c r="H8808" s="22" t="s">
        <v>51</v>
      </c>
      <c r="I8808" s="26">
        <v>43682.734722222202</v>
      </c>
      <c r="J8808" s="23" t="str">
        <f t="shared" ref="J8808:J8813" si="194">HYPERLINK("https://www.spark-marketing.ru/Card/Person/59409", "АО ""УРАЛЬСКИЙ КОМБИНАТ ПИТАНИЯ""")</f>
        <v>АО "УРАЛЬСКИЙ КОМБИНАТ ПИТАНИЯ"</v>
      </c>
      <c r="K8808" s="24" t="s">
        <v>12530</v>
      </c>
      <c r="L8808" s="28" t="s">
        <v>51</v>
      </c>
      <c r="M8808" s="25">
        <v>6030140</v>
      </c>
      <c r="N8808" s="27">
        <v>0</v>
      </c>
    </row>
    <row r="8809" spans="1:14" hidden="1" outlineLevel="1" x14ac:dyDescent="0.2">
      <c r="A8809" s="23" t="str">
        <f>HYPERLINK("https://www.spark-marketing.ru/Card/Person/61968", "МКУ СО ""СРЦ ДЛЯ НЕСОВЕРШЕННОЛЕТНИХ"" ЛЕНИНСКОГО РАЙОНА.")</f>
        <v>МКУ СО "СРЦ ДЛЯ НЕСОВЕРШЕННОЛЕТНИХ" ЛЕНИНСКОГО РАЙОНА.</v>
      </c>
      <c r="B8809" s="24" t="s">
        <v>12845</v>
      </c>
      <c r="C8809" s="25">
        <v>774180</v>
      </c>
      <c r="D8809" s="22" t="s">
        <v>12844</v>
      </c>
      <c r="E8809" s="22" t="s">
        <v>51</v>
      </c>
      <c r="F8809" s="23" t="str">
        <f t="shared" si="193"/>
        <v>19-74922 Оказание услуг по организации питания детей</v>
      </c>
      <c r="G8809" s="22" t="s">
        <v>469</v>
      </c>
      <c r="H8809" s="22" t="s">
        <v>491</v>
      </c>
      <c r="I8809" s="26">
        <v>43682.734722222202</v>
      </c>
      <c r="J8809" s="23" t="str">
        <f t="shared" si="194"/>
        <v>АО "УРАЛЬСКИЙ КОМБИНАТ ПИТАНИЯ"</v>
      </c>
      <c r="K8809" s="24" t="s">
        <v>12530</v>
      </c>
      <c r="L8809" s="28" t="s">
        <v>51</v>
      </c>
      <c r="M8809" s="28" t="s">
        <v>51</v>
      </c>
      <c r="N8809" s="27">
        <v>0</v>
      </c>
    </row>
    <row r="8810" spans="1:14" hidden="1" outlineLevel="1" x14ac:dyDescent="0.2">
      <c r="A8810" s="23" t="str">
        <f>HYPERLINK("https://www.spark-marketing.ru/Card/Person/62123", "МКУ СО ""СРЦ ДЛЯ НЕСОВЕРШЕННОЛЕТНИХ"" ТРАКТОРОЗАВОДСКОГО РАЙОНА")</f>
        <v>МКУ СО "СРЦ ДЛЯ НЕСОВЕРШЕННОЛЕТНИХ" ТРАКТОРОЗАВОДСКОГО РАЙОНА</v>
      </c>
      <c r="B8810" s="24" t="s">
        <v>12846</v>
      </c>
      <c r="C8810" s="25">
        <v>1603560</v>
      </c>
      <c r="D8810" s="22" t="s">
        <v>12844</v>
      </c>
      <c r="E8810" s="22" t="s">
        <v>51</v>
      </c>
      <c r="F8810" s="23" t="str">
        <f t="shared" si="193"/>
        <v>19-74922 Оказание услуг по организации питания детей</v>
      </c>
      <c r="G8810" s="22" t="s">
        <v>51</v>
      </c>
      <c r="H8810" s="22" t="s">
        <v>51</v>
      </c>
      <c r="I8810" s="26">
        <v>43682.734722222202</v>
      </c>
      <c r="J8810" s="23" t="str">
        <f t="shared" si="194"/>
        <v>АО "УРАЛЬСКИЙ КОМБИНАТ ПИТАНИЯ"</v>
      </c>
      <c r="K8810" s="24" t="s">
        <v>12530</v>
      </c>
      <c r="L8810" s="28" t="s">
        <v>51</v>
      </c>
      <c r="M8810" s="28" t="s">
        <v>51</v>
      </c>
      <c r="N8810" s="27">
        <v>0</v>
      </c>
    </row>
    <row r="8811" spans="1:14" hidden="1" outlineLevel="1" x14ac:dyDescent="0.2">
      <c r="A8811" s="23" t="str">
        <f>HYPERLINK("https://www.spark-marketing.ru/Card/Person/62145", "МКУ СО ПРИЮТ ""ВОЗРОЖДЕНИЕ""")</f>
        <v>МКУ СО ПРИЮТ "ВОЗРОЖДЕНИЕ"</v>
      </c>
      <c r="B8811" s="24" t="s">
        <v>12847</v>
      </c>
      <c r="C8811" s="25">
        <v>1023500</v>
      </c>
      <c r="D8811" s="22" t="s">
        <v>12844</v>
      </c>
      <c r="E8811" s="22" t="s">
        <v>51</v>
      </c>
      <c r="F8811" s="23" t="str">
        <f t="shared" si="193"/>
        <v>19-74922 Оказание услуг по организации питания детей</v>
      </c>
      <c r="G8811" s="22" t="s">
        <v>469</v>
      </c>
      <c r="H8811" s="22" t="s">
        <v>491</v>
      </c>
      <c r="I8811" s="26">
        <v>43682.734722222202</v>
      </c>
      <c r="J8811" s="23" t="str">
        <f t="shared" si="194"/>
        <v>АО "УРАЛЬСКИЙ КОМБИНАТ ПИТАНИЯ"</v>
      </c>
      <c r="K8811" s="24" t="s">
        <v>12530</v>
      </c>
      <c r="L8811" s="28" t="s">
        <v>51</v>
      </c>
      <c r="M8811" s="28" t="s">
        <v>51</v>
      </c>
      <c r="N8811" s="27">
        <v>0</v>
      </c>
    </row>
    <row r="8812" spans="1:14" hidden="1" outlineLevel="1" x14ac:dyDescent="0.2">
      <c r="A8812" s="23" t="str">
        <f>HYPERLINK("https://www.spark-marketing.ru/Card/Person/62676", "МКУ СО ""СРЦ ДЛЯ НЕСОВЕРШЕННОЛЕТНИХ"" КУРЧАТОВСКОГО РАЙОНА.")</f>
        <v>МКУ СО "СРЦ ДЛЯ НЕСОВЕРШЕННОЛЕТНИХ" КУРЧАТОВСКОГО РАЙОНА.</v>
      </c>
      <c r="B8812" s="24" t="s">
        <v>12848</v>
      </c>
      <c r="C8812" s="25">
        <v>1630700</v>
      </c>
      <c r="D8812" s="22" t="s">
        <v>12844</v>
      </c>
      <c r="E8812" s="22" t="s">
        <v>51</v>
      </c>
      <c r="F8812" s="23" t="str">
        <f t="shared" si="193"/>
        <v>19-74922 Оказание услуг по организации питания детей</v>
      </c>
      <c r="G8812" s="22" t="s">
        <v>469</v>
      </c>
      <c r="H8812" s="22" t="s">
        <v>491</v>
      </c>
      <c r="I8812" s="26">
        <v>43682.734722222202</v>
      </c>
      <c r="J8812" s="23" t="str">
        <f t="shared" si="194"/>
        <v>АО "УРАЛЬСКИЙ КОМБИНАТ ПИТАНИЯ"</v>
      </c>
      <c r="K8812" s="24" t="s">
        <v>12530</v>
      </c>
      <c r="L8812" s="28" t="s">
        <v>51</v>
      </c>
      <c r="M8812" s="28" t="s">
        <v>51</v>
      </c>
      <c r="N8812" s="27">
        <v>0</v>
      </c>
    </row>
    <row r="8813" spans="1:14" hidden="1" outlineLevel="1" x14ac:dyDescent="0.2">
      <c r="A8813" s="23" t="str">
        <f>HYPERLINK("https://www.spark-marketing.ru/Card/Person/4347147", "МКУ СО ""СРЦ ДЛЯ НЕСОВЕРШЕННОЛЕТНИХ"" МЕТАЛЛУРГИЧЕСКОГО РАЙОНА")</f>
        <v>МКУ СО "СРЦ ДЛЯ НЕСОВЕРШЕННОЛЕТНИХ" МЕТАЛЛУРГИЧЕСКОГО РАЙОНА</v>
      </c>
      <c r="B8813" s="24" t="s">
        <v>12849</v>
      </c>
      <c r="C8813" s="25">
        <v>998200</v>
      </c>
      <c r="D8813" s="22" t="s">
        <v>12844</v>
      </c>
      <c r="E8813" s="22" t="s">
        <v>51</v>
      </c>
      <c r="F8813" s="23" t="str">
        <f t="shared" si="193"/>
        <v>19-74922 Оказание услуг по организации питания детей</v>
      </c>
      <c r="G8813" s="22" t="s">
        <v>469</v>
      </c>
      <c r="H8813" s="22" t="s">
        <v>491</v>
      </c>
      <c r="I8813" s="26">
        <v>43682.734722222202</v>
      </c>
      <c r="J8813" s="23" t="str">
        <f t="shared" si="194"/>
        <v>АО "УРАЛЬСКИЙ КОМБИНАТ ПИТАНИЯ"</v>
      </c>
      <c r="K8813" s="24" t="s">
        <v>12530</v>
      </c>
      <c r="L8813" s="28" t="s">
        <v>51</v>
      </c>
      <c r="M8813" s="28" t="s">
        <v>51</v>
      </c>
      <c r="N8813" s="27">
        <v>0</v>
      </c>
    </row>
    <row r="8814" spans="1:14" x14ac:dyDescent="0.15">
      <c r="A8814" s="23" t="s">
        <v>114</v>
      </c>
      <c r="B8814" s="28" t="s">
        <v>51</v>
      </c>
      <c r="C8814" s="25">
        <v>11194180</v>
      </c>
      <c r="D8814" s="22" t="s">
        <v>12850</v>
      </c>
      <c r="E8814" s="22" t="s">
        <v>48</v>
      </c>
      <c r="F8814" s="23" t="str">
        <f t="shared" ref="F8814:F8824" si="195">HYPERLINK("https://www.spark-marketing.ru/Card/Lot/72617600",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8814" s="22" t="s">
        <v>51</v>
      </c>
      <c r="H8814" s="22" t="s">
        <v>51</v>
      </c>
      <c r="I8814" s="26">
        <v>43682.749884259298</v>
      </c>
      <c r="J8814" s="28" t="s">
        <v>51</v>
      </c>
      <c r="K8814" s="28" t="s">
        <v>51</v>
      </c>
      <c r="L8814" s="28" t="s">
        <v>51</v>
      </c>
      <c r="M8814" s="28" t="s">
        <v>51</v>
      </c>
      <c r="N8814" s="28" t="s">
        <v>51</v>
      </c>
    </row>
    <row r="8815" spans="1:14" hidden="1" outlineLevel="1" x14ac:dyDescent="0.15">
      <c r="A8815" s="23" t="str">
        <f>HYPERLINK("https://www.spark-marketing.ru/Card/Person/1006504", "МБОУ ""СОШ № 12""")</f>
        <v>МБОУ "СОШ № 12"</v>
      </c>
      <c r="B8815" s="24" t="s">
        <v>12851</v>
      </c>
      <c r="C8815" s="25">
        <v>1901470</v>
      </c>
      <c r="D8815" s="22" t="s">
        <v>12850</v>
      </c>
      <c r="E8815" s="22" t="s">
        <v>48</v>
      </c>
      <c r="F8815" s="23" t="str">
        <f t="shared" si="195"/>
        <v>Услуги по обеспечению питанием, осуществляемые по договору, прочие</v>
      </c>
      <c r="G8815" s="22" t="s">
        <v>137</v>
      </c>
      <c r="H8815" s="22" t="s">
        <v>12852</v>
      </c>
      <c r="I8815" s="26">
        <v>43682.749884259298</v>
      </c>
      <c r="J8815" s="28" t="s">
        <v>51</v>
      </c>
      <c r="K8815" s="28" t="s">
        <v>51</v>
      </c>
      <c r="L8815" s="28" t="s">
        <v>51</v>
      </c>
      <c r="M8815" s="28" t="s">
        <v>51</v>
      </c>
      <c r="N8815" s="28" t="s">
        <v>51</v>
      </c>
    </row>
    <row r="8816" spans="1:14" hidden="1" outlineLevel="1" x14ac:dyDescent="0.15">
      <c r="A8816" s="23" t="str">
        <f>HYPERLINK("https://www.spark-marketing.ru/Card/Person/1022100", "МБОУ ""ООШ № 55""")</f>
        <v>МБОУ "ООШ № 55"</v>
      </c>
      <c r="B8816" s="24" t="s">
        <v>12853</v>
      </c>
      <c r="C8816" s="25">
        <v>383520</v>
      </c>
      <c r="D8816" s="22" t="s">
        <v>12850</v>
      </c>
      <c r="E8816" s="22" t="s">
        <v>48</v>
      </c>
      <c r="F8816" s="23" t="str">
        <f t="shared" si="195"/>
        <v>Услуги по обеспечению питанием, осуществляемые по договору, прочие</v>
      </c>
      <c r="G8816" s="22" t="s">
        <v>137</v>
      </c>
      <c r="H8816" s="22" t="s">
        <v>12852</v>
      </c>
      <c r="I8816" s="26">
        <v>43682.749884259298</v>
      </c>
      <c r="J8816" s="28" t="s">
        <v>51</v>
      </c>
      <c r="K8816" s="28" t="s">
        <v>51</v>
      </c>
      <c r="L8816" s="28" t="s">
        <v>51</v>
      </c>
      <c r="M8816" s="28" t="s">
        <v>51</v>
      </c>
      <c r="N8816" s="28" t="s">
        <v>51</v>
      </c>
    </row>
    <row r="8817" spans="1:14" hidden="1" outlineLevel="1" x14ac:dyDescent="0.15">
      <c r="A8817" s="23" t="str">
        <f>HYPERLINK("https://www.spark-marketing.ru/Card/Person/1031774", "МБОУ ""СОШ №1""")</f>
        <v>МБОУ "СОШ №1"</v>
      </c>
      <c r="B8817" s="24" t="s">
        <v>12854</v>
      </c>
      <c r="C8817" s="25">
        <v>2049800</v>
      </c>
      <c r="D8817" s="22" t="s">
        <v>12850</v>
      </c>
      <c r="E8817" s="22" t="s">
        <v>48</v>
      </c>
      <c r="F8817" s="23" t="str">
        <f t="shared" si="195"/>
        <v>Услуги по обеспечению питанием, осуществляемые по договору, прочие</v>
      </c>
      <c r="G8817" s="22" t="s">
        <v>137</v>
      </c>
      <c r="H8817" s="22" t="s">
        <v>12852</v>
      </c>
      <c r="I8817" s="26">
        <v>43682.749884259298</v>
      </c>
      <c r="J8817" s="28" t="s">
        <v>51</v>
      </c>
      <c r="K8817" s="28" t="s">
        <v>51</v>
      </c>
      <c r="L8817" s="28" t="s">
        <v>51</v>
      </c>
      <c r="M8817" s="28" t="s">
        <v>51</v>
      </c>
      <c r="N8817" s="28" t="s">
        <v>51</v>
      </c>
    </row>
    <row r="8818" spans="1:14" hidden="1" outlineLevel="1" x14ac:dyDescent="0.15">
      <c r="A8818" s="23" t="str">
        <f>HYPERLINK("https://www.spark-marketing.ru/Card/Person/1049713", "МБОУ ""СОШ № 11""")</f>
        <v>МБОУ "СОШ № 11"</v>
      </c>
      <c r="B8818" s="24" t="s">
        <v>12855</v>
      </c>
      <c r="C8818" s="25">
        <v>2702720</v>
      </c>
      <c r="D8818" s="22" t="s">
        <v>12850</v>
      </c>
      <c r="E8818" s="22" t="s">
        <v>48</v>
      </c>
      <c r="F8818" s="23" t="str">
        <f t="shared" si="195"/>
        <v>Услуги по обеспечению питанием, осуществляемые по договору, прочие</v>
      </c>
      <c r="G8818" s="22" t="s">
        <v>137</v>
      </c>
      <c r="H8818" s="22" t="s">
        <v>12852</v>
      </c>
      <c r="I8818" s="26">
        <v>43682.749884259298</v>
      </c>
      <c r="J8818" s="28" t="s">
        <v>51</v>
      </c>
      <c r="K8818" s="28" t="s">
        <v>51</v>
      </c>
      <c r="L8818" s="28" t="s">
        <v>51</v>
      </c>
      <c r="M8818" s="28" t="s">
        <v>51</v>
      </c>
      <c r="N8818" s="28" t="s">
        <v>51</v>
      </c>
    </row>
    <row r="8819" spans="1:14" hidden="1" outlineLevel="1" x14ac:dyDescent="0.15">
      <c r="A8819" s="23" t="str">
        <f>HYPERLINK("https://www.spark-marketing.ru/Card/Person/1052865", "МБОУ ""ООШ № 57""")</f>
        <v>МБОУ "ООШ № 57"</v>
      </c>
      <c r="B8819" s="24" t="s">
        <v>12856</v>
      </c>
      <c r="C8819" s="25">
        <v>396290</v>
      </c>
      <c r="D8819" s="22" t="s">
        <v>12850</v>
      </c>
      <c r="E8819" s="22" t="s">
        <v>48</v>
      </c>
      <c r="F8819" s="23" t="str">
        <f t="shared" si="195"/>
        <v>Услуги по обеспечению питанием, осуществляемые по договору, прочие</v>
      </c>
      <c r="G8819" s="22" t="s">
        <v>137</v>
      </c>
      <c r="H8819" s="22" t="s">
        <v>12852</v>
      </c>
      <c r="I8819" s="26">
        <v>43682.749884259298</v>
      </c>
      <c r="J8819" s="28" t="s">
        <v>51</v>
      </c>
      <c r="K8819" s="28" t="s">
        <v>51</v>
      </c>
      <c r="L8819" s="28" t="s">
        <v>51</v>
      </c>
      <c r="M8819" s="28" t="s">
        <v>51</v>
      </c>
      <c r="N8819" s="28" t="s">
        <v>51</v>
      </c>
    </row>
    <row r="8820" spans="1:14" hidden="1" outlineLevel="1" x14ac:dyDescent="0.15">
      <c r="A8820" s="23" t="str">
        <f>HYPERLINK("https://www.spark-marketing.ru/Card/Person/1064539", "МБОУ ""СОШ № 10""")</f>
        <v>МБОУ "СОШ № 10"</v>
      </c>
      <c r="B8820" s="24" t="s">
        <v>12857</v>
      </c>
      <c r="C8820" s="25">
        <v>2059070</v>
      </c>
      <c r="D8820" s="22" t="s">
        <v>12850</v>
      </c>
      <c r="E8820" s="22" t="s">
        <v>48</v>
      </c>
      <c r="F8820" s="23" t="str">
        <f t="shared" si="195"/>
        <v>Услуги по обеспечению питанием, осуществляемые по договору, прочие</v>
      </c>
      <c r="G8820" s="22" t="s">
        <v>137</v>
      </c>
      <c r="H8820" s="22" t="s">
        <v>12852</v>
      </c>
      <c r="I8820" s="26">
        <v>43682.749884259298</v>
      </c>
      <c r="J8820" s="28" t="s">
        <v>51</v>
      </c>
      <c r="K8820" s="28" t="s">
        <v>51</v>
      </c>
      <c r="L8820" s="28" t="s">
        <v>51</v>
      </c>
      <c r="M8820" s="28" t="s">
        <v>51</v>
      </c>
      <c r="N8820" s="28" t="s">
        <v>51</v>
      </c>
    </row>
    <row r="8821" spans="1:14" hidden="1" outlineLevel="1" x14ac:dyDescent="0.15">
      <c r="A8821" s="23" t="str">
        <f>HYPERLINK("https://www.spark-marketing.ru/Card/Person/1068746", "МБОУ ""СОШ №15 П. БЕРЕЗАЙКА""")</f>
        <v>МБОУ "СОШ №15 П. БЕРЕЗАЙКА"</v>
      </c>
      <c r="B8821" s="24" t="s">
        <v>12858</v>
      </c>
      <c r="C8821" s="25">
        <v>1280500</v>
      </c>
      <c r="D8821" s="22" t="s">
        <v>12850</v>
      </c>
      <c r="E8821" s="22" t="s">
        <v>48</v>
      </c>
      <c r="F8821" s="23" t="str">
        <f t="shared" si="195"/>
        <v>Услуги по обеспечению питанием, осуществляемые по договору, прочие</v>
      </c>
      <c r="G8821" s="22" t="s">
        <v>137</v>
      </c>
      <c r="H8821" s="22" t="s">
        <v>12852</v>
      </c>
      <c r="I8821" s="26">
        <v>43682.749884259298</v>
      </c>
      <c r="J8821" s="28" t="s">
        <v>51</v>
      </c>
      <c r="K8821" s="28" t="s">
        <v>51</v>
      </c>
      <c r="L8821" s="28" t="s">
        <v>51</v>
      </c>
      <c r="M8821" s="28" t="s">
        <v>51</v>
      </c>
      <c r="N8821" s="28" t="s">
        <v>51</v>
      </c>
    </row>
    <row r="8822" spans="1:14" hidden="1" outlineLevel="1" x14ac:dyDescent="0.15">
      <c r="A8822" s="23" t="str">
        <f>HYPERLINK("https://www.spark-marketing.ru/Card/Person/1078041", "МБОУ ""ХОТИЛОВСКАЯ СОШ""")</f>
        <v>МБОУ "ХОТИЛОВСКАЯ СОШ"</v>
      </c>
      <c r="B8822" s="24" t="s">
        <v>12859</v>
      </c>
      <c r="C8822" s="25">
        <v>420810</v>
      </c>
      <c r="D8822" s="22" t="s">
        <v>12850</v>
      </c>
      <c r="E8822" s="22" t="s">
        <v>48</v>
      </c>
      <c r="F8822" s="23" t="str">
        <f t="shared" si="195"/>
        <v>Услуги по обеспечению питанием, осуществляемые по договору, прочие</v>
      </c>
      <c r="G8822" s="22" t="s">
        <v>137</v>
      </c>
      <c r="H8822" s="22" t="s">
        <v>12852</v>
      </c>
      <c r="I8822" s="26">
        <v>43682.749884259298</v>
      </c>
      <c r="J8822" s="28" t="s">
        <v>51</v>
      </c>
      <c r="K8822" s="28" t="s">
        <v>51</v>
      </c>
      <c r="L8822" s="28" t="s">
        <v>51</v>
      </c>
      <c r="M8822" s="28" t="s">
        <v>51</v>
      </c>
      <c r="N8822" s="28" t="s">
        <v>51</v>
      </c>
    </row>
    <row r="8823" spans="1:14" hidden="1" outlineLevel="1" x14ac:dyDescent="0.2">
      <c r="A8823" s="28" t="s">
        <v>51</v>
      </c>
      <c r="B8823" s="28" t="s">
        <v>51</v>
      </c>
      <c r="C8823" s="28" t="s">
        <v>51</v>
      </c>
      <c r="D8823" s="22" t="s">
        <v>12850</v>
      </c>
      <c r="E8823" s="22" t="s">
        <v>48</v>
      </c>
      <c r="F8823" s="23" t="str">
        <f t="shared" si="195"/>
        <v>Услуги по обеспечению питанием, осуществляемые по договору, прочие</v>
      </c>
      <c r="G8823" s="22" t="s">
        <v>51</v>
      </c>
      <c r="H8823" s="22" t="s">
        <v>51</v>
      </c>
      <c r="I8823" s="26">
        <v>43682.749884259298</v>
      </c>
      <c r="J8823" s="23" t="str">
        <f>HYPERLINK("https://www.spark-marketing.ru/Card/Person/616605", "Яковлева Наталья Анатольевна")</f>
        <v>Яковлева Наталья Анатольевна</v>
      </c>
      <c r="K8823" s="24" t="s">
        <v>12860</v>
      </c>
      <c r="L8823" s="28" t="s">
        <v>51</v>
      </c>
      <c r="M8823" s="25">
        <v>10404626</v>
      </c>
      <c r="N8823" s="27">
        <v>7.0532544590135235E-2</v>
      </c>
    </row>
    <row r="8824" spans="1:14" hidden="1" outlineLevel="1" x14ac:dyDescent="0.2">
      <c r="A8824" s="28" t="s">
        <v>51</v>
      </c>
      <c r="B8824" s="28" t="s">
        <v>51</v>
      </c>
      <c r="C8824" s="28" t="s">
        <v>51</v>
      </c>
      <c r="D8824" s="22" t="s">
        <v>12850</v>
      </c>
      <c r="E8824" s="22" t="s">
        <v>48</v>
      </c>
      <c r="F8824" s="23" t="str">
        <f t="shared" si="195"/>
        <v>Услуги по обеспечению питанием, осуществляемые по договору, прочие</v>
      </c>
      <c r="G8824" s="22" t="s">
        <v>51</v>
      </c>
      <c r="H8824" s="22" t="s">
        <v>51</v>
      </c>
      <c r="I8824" s="26">
        <v>43682.749884259298</v>
      </c>
      <c r="J8824" s="23" t="str">
        <f>HYPERLINK("https://www.spark-marketing.ru/Card/Person/6589757", "ООО ""МЕДИКСЕРВИС""")</f>
        <v>ООО "МЕДИКСЕРВИС"</v>
      </c>
      <c r="K8824" s="24" t="s">
        <v>12861</v>
      </c>
      <c r="L8824" s="22" t="s">
        <v>10</v>
      </c>
      <c r="M8824" s="25">
        <v>10348655.1</v>
      </c>
      <c r="N8824" s="27">
        <v>7.5532544590135225E-2</v>
      </c>
    </row>
    <row r="8825" spans="1:14" x14ac:dyDescent="0.15">
      <c r="A8825" s="23" t="str">
        <f>HYPERLINK("https://www.spark-marketing.ru/Card/Person/1040025", "ГБОУ СО ""ШКОЛА АОП № 14 Г.ВОЛЬСКА""")</f>
        <v>ГБОУ СО "ШКОЛА АОП № 14 Г.ВОЛЬСКА"</v>
      </c>
      <c r="B8825" s="24" t="s">
        <v>12862</v>
      </c>
      <c r="C8825" s="25">
        <v>539460</v>
      </c>
      <c r="D8825" s="22" t="s">
        <v>12863</v>
      </c>
      <c r="E8825" s="22" t="s">
        <v>48</v>
      </c>
      <c r="F8825" s="23" t="str">
        <f>HYPERLINK("https://www.spark-marketing.ru/Card/Lot/72607194", "Оказание услуг по организации горячего питания для учащихся школы.")</f>
        <v>Оказание услуг по организации горячего питания для учащихся школы.</v>
      </c>
      <c r="G8825" s="22" t="s">
        <v>351</v>
      </c>
      <c r="H8825" s="22" t="s">
        <v>1878</v>
      </c>
      <c r="I8825" s="26">
        <v>43682.715671296297</v>
      </c>
      <c r="J8825" s="23" t="str">
        <f>HYPERLINK("https://www.spark-marketing.ru/Card/Person/799226", "Тугушев Феяс Мусяинович")</f>
        <v>Тугушев Феяс Мусяинович</v>
      </c>
      <c r="K8825" s="24" t="s">
        <v>12864</v>
      </c>
      <c r="L8825" s="22" t="s">
        <v>10</v>
      </c>
      <c r="M8825" s="28" t="s">
        <v>51</v>
      </c>
      <c r="N8825" s="28" t="s">
        <v>51</v>
      </c>
    </row>
    <row r="8826" spans="1:14" x14ac:dyDescent="0.15">
      <c r="A8826" s="23" t="str">
        <f>HYPERLINK("https://www.spark-marketing.ru/Card/Person/30385", "ГБУЗ ЛОКБ")</f>
        <v>ГБУЗ ЛОКБ</v>
      </c>
      <c r="B8826" s="24" t="s">
        <v>4927</v>
      </c>
      <c r="C8826" s="25">
        <v>95000</v>
      </c>
      <c r="D8826" s="22" t="s">
        <v>12865</v>
      </c>
      <c r="E8826" s="22" t="s">
        <v>437</v>
      </c>
      <c r="F8826" s="23" t="str">
        <f>HYPERLINK("https://www.spark-marketing.ru/Card/Lot/72607960", "Оказание услуг по разработке системы контроля качества ХАССП применительно к организации лечебного питания ГБУЗ ЛОКБ")</f>
        <v>Оказание услуг по разработке системы контроля качества ХАССП применительно к организации лечебного питания ГБУЗ ЛОКБ</v>
      </c>
      <c r="G8826" s="22" t="s">
        <v>117</v>
      </c>
      <c r="H8826" s="22" t="s">
        <v>117</v>
      </c>
      <c r="I8826" s="26">
        <v>43682.669467592597</v>
      </c>
      <c r="J8826" s="28" t="s">
        <v>51</v>
      </c>
      <c r="K8826" s="28" t="s">
        <v>51</v>
      </c>
      <c r="L8826" s="28" t="s">
        <v>51</v>
      </c>
      <c r="M8826" s="28" t="s">
        <v>51</v>
      </c>
      <c r="N8826" s="28" t="s">
        <v>51</v>
      </c>
    </row>
    <row r="8827" spans="1:14" ht="12.75" hidden="1" outlineLevel="1" x14ac:dyDescent="0.2">
      <c r="A8827" s="23" t="str">
        <f>HYPERLINK("https://www.spark-marketing.ru/Card/Person/30385", "ГБУЗ ЛОКБ")</f>
        <v>ГБУЗ ЛОКБ</v>
      </c>
      <c r="B8827" s="24" t="s">
        <v>4927</v>
      </c>
      <c r="C8827" s="25">
        <v>95000</v>
      </c>
      <c r="D8827" s="22" t="s">
        <v>12865</v>
      </c>
      <c r="E8827" s="22" t="s">
        <v>437</v>
      </c>
      <c r="F8827" s="23" t="str">
        <f>HYPERLINK("https://www.spark-marketing.ru/Card/Lot/72607960", "Оказание услуг по разработке системы контроля качества ХАССП применительно к организации лечебного питания ГБУЗ ЛОКБ")</f>
        <v>Оказание услуг по разработке системы контроля качества ХАССП применительно к организации лечебного питания ГБУЗ ЛОКБ</v>
      </c>
      <c r="G8827" s="22" t="s">
        <v>117</v>
      </c>
      <c r="H8827" s="22" t="s">
        <v>117</v>
      </c>
      <c r="I8827" s="26">
        <v>43682.669467592597</v>
      </c>
      <c r="J8827" s="23" t="str">
        <f>HYPERLINK("https://www.spark-marketing.ru/Card/Person/4370091", "ООО ""КСО МЕНЕДЖМЕНТ""")</f>
        <v>ООО "КСО МЕНЕДЖМЕНТ"</v>
      </c>
      <c r="K8827" s="24" t="s">
        <v>12866</v>
      </c>
      <c r="L8827" s="22" t="s">
        <v>10</v>
      </c>
      <c r="M8827" s="25">
        <v>49525</v>
      </c>
      <c r="N8827" s="27">
        <v>0.47868421052631577</v>
      </c>
    </row>
    <row r="8828" spans="1:14" hidden="1" outlineLevel="1" x14ac:dyDescent="0.2">
      <c r="A8828" s="23" t="str">
        <f>HYPERLINK("https://www.spark-marketing.ru/Card/Person/30385", "ГБУЗ ЛОКБ")</f>
        <v>ГБУЗ ЛОКБ</v>
      </c>
      <c r="B8828" s="24" t="s">
        <v>4927</v>
      </c>
      <c r="C8828" s="25">
        <v>95000</v>
      </c>
      <c r="D8828" s="22" t="s">
        <v>12865</v>
      </c>
      <c r="E8828" s="22" t="s">
        <v>437</v>
      </c>
      <c r="F8828" s="23" t="str">
        <f>HYPERLINK("https://www.spark-marketing.ru/Card/Lot/72607960", "Оказание услуг по разработке системы контроля качества ХАССП применительно к организации лечебного питания ГБУЗ ЛОКБ")</f>
        <v>Оказание услуг по разработке системы контроля качества ХАССП применительно к организации лечебного питания ГБУЗ ЛОКБ</v>
      </c>
      <c r="G8828" s="22" t="s">
        <v>117</v>
      </c>
      <c r="H8828" s="22" t="s">
        <v>117</v>
      </c>
      <c r="I8828" s="26">
        <v>43682.669467592597</v>
      </c>
      <c r="J8828" s="23" t="str">
        <f>HYPERLINK("https://www.spark-marketing.ru/Card/Person/433145", "ООО ""ЦЕНТР ""СЭЗ""")</f>
        <v>ООО "ЦЕНТР "СЭЗ"</v>
      </c>
      <c r="K8828" s="24" t="s">
        <v>12867</v>
      </c>
      <c r="L8828" s="28" t="s">
        <v>51</v>
      </c>
      <c r="M8828" s="25">
        <v>50000</v>
      </c>
      <c r="N8828" s="27">
        <v>0.47368421052631576</v>
      </c>
    </row>
    <row r="8829" spans="1:14" hidden="1" outlineLevel="1" x14ac:dyDescent="0.2">
      <c r="A8829" s="23" t="str">
        <f>HYPERLINK("https://www.spark-marketing.ru/Card/Person/30385", "ГБУЗ ЛОКБ")</f>
        <v>ГБУЗ ЛОКБ</v>
      </c>
      <c r="B8829" s="24" t="s">
        <v>4927</v>
      </c>
      <c r="C8829" s="25">
        <v>95000</v>
      </c>
      <c r="D8829" s="22" t="s">
        <v>12865</v>
      </c>
      <c r="E8829" s="22" t="s">
        <v>437</v>
      </c>
      <c r="F8829" s="23" t="str">
        <f>HYPERLINK("https://www.spark-marketing.ru/Card/Lot/72607960", "Оказание услуг по разработке системы контроля качества ХАССП применительно к организации лечебного питания ГБУЗ ЛОКБ")</f>
        <v>Оказание услуг по разработке системы контроля качества ХАССП применительно к организации лечебного питания ГБУЗ ЛОКБ</v>
      </c>
      <c r="G8829" s="22" t="s">
        <v>117</v>
      </c>
      <c r="H8829" s="22" t="s">
        <v>117</v>
      </c>
      <c r="I8829" s="26">
        <v>43682.669467592597</v>
      </c>
      <c r="J8829" s="23" t="str">
        <f>HYPERLINK("https://www.spark-marketing.ru/Card/Person/540543", "ООО ""ЦДУ""")</f>
        <v>ООО "ЦДУ"</v>
      </c>
      <c r="K8829" s="24" t="s">
        <v>12868</v>
      </c>
      <c r="L8829" s="28" t="s">
        <v>51</v>
      </c>
      <c r="M8829" s="25">
        <v>75000</v>
      </c>
      <c r="N8829" s="27">
        <v>0.21052631578947367</v>
      </c>
    </row>
    <row r="8830" spans="1:14" x14ac:dyDescent="0.15">
      <c r="A8830" s="23" t="str">
        <f>HYPERLINK("https://www.spark-marketing.ru/Card/Person/1013194", "ОМВД РОССИИ ПО НЕВЕЛЬСКОМУ ГОРОДСКОМУ ОКРУГУ")</f>
        <v>ОМВД РОССИИ ПО НЕВЕЛЬСКОМУ ГОРОДСКОМУ ОКРУГУ</v>
      </c>
      <c r="B8830" s="24" t="s">
        <v>2008</v>
      </c>
      <c r="C8830" s="25">
        <v>538218</v>
      </c>
      <c r="D8830" s="22" t="s">
        <v>12869</v>
      </c>
      <c r="E8830" s="22" t="s">
        <v>48</v>
      </c>
      <c r="F8830" s="23" t="str">
        <f>HYPERLINK("https://www.spark-marketing.ru/Card/Lot/72610245", "Оказание услуг по организации питания спецконтингента")</f>
        <v>Оказание услуг по организации питания спецконтингента</v>
      </c>
      <c r="G8830" s="22" t="s">
        <v>260</v>
      </c>
      <c r="H8830" s="22" t="s">
        <v>260</v>
      </c>
      <c r="I8830" s="26">
        <v>43682.693356481497</v>
      </c>
      <c r="J8830" s="23" t="str">
        <f>HYPERLINK("https://www.spark-marketing.ru/Card/Person/5867822", "Шумакова Марина Дмитриевна")</f>
        <v>Шумакова Марина Дмитриевна</v>
      </c>
      <c r="K8830" s="24" t="s">
        <v>12870</v>
      </c>
      <c r="L8830" s="22" t="s">
        <v>10</v>
      </c>
      <c r="M8830" s="28" t="s">
        <v>51</v>
      </c>
      <c r="N8830" s="28" t="s">
        <v>51</v>
      </c>
    </row>
    <row r="8831" spans="1:14" x14ac:dyDescent="0.15">
      <c r="A8831" s="23" t="str">
        <f>HYPERLINK("https://www.spark-marketing.ru/Card/Person/55474", "ГБУЗ ""ТЮЛЬГАНСКАЯ РБ""")</f>
        <v>ГБУЗ "ТЮЛЬГАНСКАЯ РБ"</v>
      </c>
      <c r="B8831" s="24" t="s">
        <v>12871</v>
      </c>
      <c r="C8831" s="25">
        <v>35743.22</v>
      </c>
      <c r="D8831" s="22" t="s">
        <v>12872</v>
      </c>
      <c r="E8831" s="22" t="s">
        <v>336</v>
      </c>
      <c r="F8831" s="23" t="str">
        <f>HYPERLINK("https://www.spark-marketing.ru/Card/Lot/72603341", "На поставку смесей для детского питания")</f>
        <v>На поставку смесей для детского питания</v>
      </c>
      <c r="G8831" s="22" t="s">
        <v>132</v>
      </c>
      <c r="H8831" s="22" t="s">
        <v>12873</v>
      </c>
      <c r="I8831" s="26">
        <v>43682.686770833301</v>
      </c>
      <c r="J8831" s="23" t="str">
        <f>HYPERLINK("https://www.spark-marketing.ru/Card/Person/748665", "ООО ""АЛЬЯНС-Н""")</f>
        <v>ООО "АЛЬЯНС-Н"</v>
      </c>
      <c r="K8831" s="24" t="s">
        <v>12874</v>
      </c>
      <c r="L8831" s="22" t="s">
        <v>10</v>
      </c>
      <c r="M8831" s="28" t="s">
        <v>51</v>
      </c>
      <c r="N8831" s="28" t="s">
        <v>51</v>
      </c>
    </row>
    <row r="8832" spans="1:14" collapsed="1" x14ac:dyDescent="0.15">
      <c r="A8832" s="23" t="s">
        <v>114</v>
      </c>
      <c r="B8832" s="28" t="s">
        <v>51</v>
      </c>
      <c r="C8832" s="25">
        <v>5792755.4199999999</v>
      </c>
      <c r="D8832" s="22" t="s">
        <v>12875</v>
      </c>
      <c r="E8832" s="22" t="s">
        <v>48</v>
      </c>
      <c r="F8832" s="23" t="str">
        <f t="shared" ref="F8832:F8838" si="196">HYPERLINK("https://www.spark-marketing.ru/Card/Lot/72606716", "Оказание услуг по организации питания для МБОУ «СОШ №1», МБОУ «СОШ №2», МБОУ «СОШ №3», МБОУ «Гимназия», МБОУ «НОШ Центр психолого-педагогической помощи» Мензелинского муниципального района Республики Татарстан.")</f>
        <v>Оказание услуг по организации питания для МБОУ «СОШ №1», МБОУ «СОШ №2», МБОУ «СОШ №3», МБОУ «Гимназия», МБОУ «НОШ Центр психолого-педагогической помощи» Мензелинского муниципального района Республики Татарстан.</v>
      </c>
      <c r="G8832" s="22" t="s">
        <v>51</v>
      </c>
      <c r="H8832" s="22" t="s">
        <v>51</v>
      </c>
      <c r="I8832" s="26">
        <v>43682.692303240699</v>
      </c>
      <c r="J8832" s="23" t="str">
        <f t="shared" ref="J8832:J8838" si="197">HYPERLINK("https://www.spark-marketing.ru/Card/Person/829408", "Ефремова Ирина Ивановна")</f>
        <v>Ефремова Ирина Ивановна</v>
      </c>
      <c r="K8832" s="24" t="s">
        <v>12876</v>
      </c>
      <c r="L8832" s="28" t="s">
        <v>51</v>
      </c>
      <c r="M8832" s="28" t="s">
        <v>51</v>
      </c>
      <c r="N8832" s="28" t="s">
        <v>51</v>
      </c>
    </row>
    <row r="8833" spans="1:14" hidden="1" outlineLevel="1" x14ac:dyDescent="0.15">
      <c r="A8833" s="23" t="str">
        <f>HYPERLINK("https://www.spark-marketing.ru/Card/Person/253976", "МБОУ ""СОШ №2"" Г. МЕНЗЕЛИНСКА")</f>
        <v>МБОУ "СОШ №2" Г. МЕНЗЕЛИНСКА</v>
      </c>
      <c r="B8833" s="24" t="s">
        <v>12877</v>
      </c>
      <c r="C8833" s="25">
        <v>1568967.93</v>
      </c>
      <c r="D8833" s="22" t="s">
        <v>12875</v>
      </c>
      <c r="E8833" s="22" t="s">
        <v>48</v>
      </c>
      <c r="F8833" s="23" t="str">
        <f t="shared" si="196"/>
        <v>Оказание услуг по организации питания для МБОУ «СОШ №1», МБОУ «СОШ №2», МБОУ «СОШ №3», МБОУ «Гимназия», МБОУ «НОШ Центр психолого-педагогической помощи» Мензелинского муниципального района Республики Татарстан.</v>
      </c>
      <c r="G8833" s="22" t="s">
        <v>217</v>
      </c>
      <c r="H8833" s="22" t="s">
        <v>10504</v>
      </c>
      <c r="I8833" s="26">
        <v>43682.692303240699</v>
      </c>
      <c r="J8833" s="23" t="str">
        <f t="shared" si="197"/>
        <v>Ефремова Ирина Ивановна</v>
      </c>
      <c r="K8833" s="24" t="s">
        <v>12876</v>
      </c>
      <c r="L8833" s="28" t="s">
        <v>51</v>
      </c>
      <c r="M8833" s="28" t="s">
        <v>51</v>
      </c>
      <c r="N8833" s="28" t="s">
        <v>51</v>
      </c>
    </row>
    <row r="8834" spans="1:14" hidden="1" outlineLevel="1" x14ac:dyDescent="0.15">
      <c r="A8834" s="23" t="str">
        <f>HYPERLINK("https://www.spark-marketing.ru/Card/Person/254766", "МБОУ ""ГИМНАЗИЯ"" Г. МЕНЗЕЛИНСКА РТ")</f>
        <v>МБОУ "ГИМНАЗИЯ" Г. МЕНЗЕЛИНСКА РТ</v>
      </c>
      <c r="B8834" s="24" t="s">
        <v>12878</v>
      </c>
      <c r="C8834" s="25">
        <v>1123126.95</v>
      </c>
      <c r="D8834" s="22" t="s">
        <v>12875</v>
      </c>
      <c r="E8834" s="22" t="s">
        <v>48</v>
      </c>
      <c r="F8834" s="23" t="str">
        <f t="shared" si="196"/>
        <v>Оказание услуг по организации питания для МБОУ «СОШ №1», МБОУ «СОШ №2», МБОУ «СОШ №3», МБОУ «Гимназия», МБОУ «НОШ Центр психолого-педагогической помощи» Мензелинского муниципального района Республики Татарстан.</v>
      </c>
      <c r="G8834" s="22" t="s">
        <v>217</v>
      </c>
      <c r="H8834" s="22" t="s">
        <v>10504</v>
      </c>
      <c r="I8834" s="26">
        <v>43682.692303240699</v>
      </c>
      <c r="J8834" s="23" t="str">
        <f t="shared" si="197"/>
        <v>Ефремова Ирина Ивановна</v>
      </c>
      <c r="K8834" s="24" t="s">
        <v>12876</v>
      </c>
      <c r="L8834" s="28" t="s">
        <v>51</v>
      </c>
      <c r="M8834" s="28" t="s">
        <v>51</v>
      </c>
      <c r="N8834" s="28" t="s">
        <v>51</v>
      </c>
    </row>
    <row r="8835" spans="1:14" hidden="1" outlineLevel="1" x14ac:dyDescent="0.15">
      <c r="A8835" s="23" t="str">
        <f>HYPERLINK("https://www.spark-marketing.ru/Card/Person/255865", "МБОУ ""СОШ №3"" Г.МЕНЗЕЛИНСКА РТ")</f>
        <v>МБОУ "СОШ №3" Г.МЕНЗЕЛИНСКА РТ</v>
      </c>
      <c r="B8835" s="24" t="s">
        <v>12879</v>
      </c>
      <c r="C8835" s="25">
        <v>1266909.6200000001</v>
      </c>
      <c r="D8835" s="22" t="s">
        <v>12875</v>
      </c>
      <c r="E8835" s="22" t="s">
        <v>48</v>
      </c>
      <c r="F8835" s="23" t="str">
        <f t="shared" si="196"/>
        <v>Оказание услуг по организации питания для МБОУ «СОШ №1», МБОУ «СОШ №2», МБОУ «СОШ №3», МБОУ «Гимназия», МБОУ «НОШ Центр психолого-педагогической помощи» Мензелинского муниципального района Республики Татарстан.</v>
      </c>
      <c r="G8835" s="22" t="s">
        <v>217</v>
      </c>
      <c r="H8835" s="22" t="s">
        <v>10504</v>
      </c>
      <c r="I8835" s="26">
        <v>43682.692303240699</v>
      </c>
      <c r="J8835" s="23" t="str">
        <f t="shared" si="197"/>
        <v>Ефремова Ирина Ивановна</v>
      </c>
      <c r="K8835" s="24" t="s">
        <v>12876</v>
      </c>
      <c r="L8835" s="28" t="s">
        <v>51</v>
      </c>
      <c r="M8835" s="28" t="s">
        <v>51</v>
      </c>
      <c r="N8835" s="28" t="s">
        <v>51</v>
      </c>
    </row>
    <row r="8836" spans="1:14" hidden="1" outlineLevel="1" x14ac:dyDescent="0.15">
      <c r="A8836" s="23" t="str">
        <f>HYPERLINK("https://www.spark-marketing.ru/Card/Person/256056", "МБОУ ""СОШ №1"" Г. МЕНЗЕЛИНСКА")</f>
        <v>МБОУ "СОШ №1" Г. МЕНЗЕЛИНСКА</v>
      </c>
      <c r="B8836" s="24" t="s">
        <v>12880</v>
      </c>
      <c r="C8836" s="25">
        <v>1343386.76</v>
      </c>
      <c r="D8836" s="22" t="s">
        <v>12875</v>
      </c>
      <c r="E8836" s="22" t="s">
        <v>48</v>
      </c>
      <c r="F8836" s="23" t="str">
        <f t="shared" si="196"/>
        <v>Оказание услуг по организации питания для МБОУ «СОШ №1», МБОУ «СОШ №2», МБОУ «СОШ №3», МБОУ «Гимназия», МБОУ «НОШ Центр психолого-педагогической помощи» Мензелинского муниципального района Республики Татарстан.</v>
      </c>
      <c r="G8836" s="22" t="s">
        <v>217</v>
      </c>
      <c r="H8836" s="22" t="s">
        <v>10504</v>
      </c>
      <c r="I8836" s="26">
        <v>43682.692303240699</v>
      </c>
      <c r="J8836" s="23" t="str">
        <f t="shared" si="197"/>
        <v>Ефремова Ирина Ивановна</v>
      </c>
      <c r="K8836" s="24" t="s">
        <v>12876</v>
      </c>
      <c r="L8836" s="28" t="s">
        <v>51</v>
      </c>
      <c r="M8836" s="28" t="s">
        <v>51</v>
      </c>
      <c r="N8836" s="28" t="s">
        <v>51</v>
      </c>
    </row>
    <row r="8837" spans="1:14" hidden="1" outlineLevel="1" x14ac:dyDescent="0.15">
      <c r="A8837" s="23" t="str">
        <f>HYPERLINK("https://www.spark-marketing.ru/Card/Person/257213", "МБОУ ""НОШ-ЦЕНТР""")</f>
        <v>МБОУ "НОШ-ЦЕНТР"</v>
      </c>
      <c r="B8837" s="24" t="s">
        <v>12881</v>
      </c>
      <c r="C8837" s="25">
        <v>490364.15999999997</v>
      </c>
      <c r="D8837" s="22" t="s">
        <v>12875</v>
      </c>
      <c r="E8837" s="22" t="s">
        <v>48</v>
      </c>
      <c r="F8837" s="23" t="str">
        <f t="shared" si="196"/>
        <v>Оказание услуг по организации питания для МБОУ «СОШ №1», МБОУ «СОШ №2», МБОУ «СОШ №3», МБОУ «Гимназия», МБОУ «НОШ Центр психолого-педагогической помощи» Мензелинского муниципального района Республики Татарстан.</v>
      </c>
      <c r="G8837" s="22" t="s">
        <v>217</v>
      </c>
      <c r="H8837" s="22" t="s">
        <v>10504</v>
      </c>
      <c r="I8837" s="26">
        <v>43682.692303240699</v>
      </c>
      <c r="J8837" s="23" t="str">
        <f t="shared" si="197"/>
        <v>Ефремова Ирина Ивановна</v>
      </c>
      <c r="K8837" s="24" t="s">
        <v>12876</v>
      </c>
      <c r="L8837" s="28" t="s">
        <v>51</v>
      </c>
      <c r="M8837" s="28" t="s">
        <v>51</v>
      </c>
      <c r="N8837" s="28" t="s">
        <v>51</v>
      </c>
    </row>
    <row r="8838" spans="1:14" hidden="1" outlineLevel="1" x14ac:dyDescent="0.2">
      <c r="A8838" s="28" t="s">
        <v>51</v>
      </c>
      <c r="B8838" s="28" t="s">
        <v>51</v>
      </c>
      <c r="C8838" s="28" t="s">
        <v>51</v>
      </c>
      <c r="D8838" s="22" t="s">
        <v>12875</v>
      </c>
      <c r="E8838" s="22" t="s">
        <v>48</v>
      </c>
      <c r="F8838" s="23" t="str">
        <f t="shared" si="196"/>
        <v>Оказание услуг по организации питания для МБОУ «СОШ №1», МБОУ «СОШ №2», МБОУ «СОШ №3», МБОУ «Гимназия», МБОУ «НОШ Центр психолого-педагогической помощи» Мензелинского муниципального района Республики Татарстан.</v>
      </c>
      <c r="G8838" s="22" t="s">
        <v>51</v>
      </c>
      <c r="H8838" s="22" t="s">
        <v>51</v>
      </c>
      <c r="I8838" s="26">
        <v>43682.692303240699</v>
      </c>
      <c r="J8838" s="23" t="str">
        <f t="shared" si="197"/>
        <v>Ефремова Ирина Ивановна</v>
      </c>
      <c r="K8838" s="24" t="s">
        <v>12876</v>
      </c>
      <c r="L8838" s="22" t="s">
        <v>10</v>
      </c>
      <c r="M8838" s="25">
        <v>5763791.6399999997</v>
      </c>
      <c r="N8838" s="27">
        <v>5.0000005006253139E-3</v>
      </c>
    </row>
    <row r="8839" spans="1:14" x14ac:dyDescent="0.15">
      <c r="A8839" s="23" t="str">
        <f>HYPERLINK("https://www.spark-marketing.ru/Card/Person/17540", "УМВД РОССИИ ПО ПЕТРОГРАДСКОМУ РАЙОНУ Г. СПБ")</f>
        <v>УМВД РОССИИ ПО ПЕТРОГРАДСКОМУ РАЙОНУ Г. СПБ</v>
      </c>
      <c r="B8839" s="24" t="s">
        <v>7904</v>
      </c>
      <c r="C8839" s="25">
        <v>130000</v>
      </c>
      <c r="D8839" s="22" t="s">
        <v>12882</v>
      </c>
      <c r="E8839" s="22" t="s">
        <v>48</v>
      </c>
      <c r="F8839" s="23" t="str">
        <f>HYPERLINK("https://www.spark-marketing.ru/Card/Lot/72602790",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8839" s="22" t="s">
        <v>117</v>
      </c>
      <c r="H8839" s="22" t="s">
        <v>117</v>
      </c>
      <c r="I8839" s="26">
        <v>43682.669027777803</v>
      </c>
      <c r="J8839" s="28" t="s">
        <v>51</v>
      </c>
      <c r="K8839" s="28" t="s">
        <v>51</v>
      </c>
      <c r="L8839" s="28" t="s">
        <v>51</v>
      </c>
      <c r="M8839" s="28" t="s">
        <v>51</v>
      </c>
      <c r="N8839" s="28" t="s">
        <v>51</v>
      </c>
    </row>
    <row r="8840" spans="1:14" x14ac:dyDescent="0.15">
      <c r="A8840" s="23" t="str">
        <f>HYPERLINK("https://www.spark-marketing.ru/Card/Person/1983832", "МБОУ ""СШ №2""")</f>
        <v>МБОУ "СШ №2"</v>
      </c>
      <c r="B8840" s="24" t="s">
        <v>12883</v>
      </c>
      <c r="C8840" s="25">
        <v>850449.6</v>
      </c>
      <c r="D8840" s="22" t="s">
        <v>12884</v>
      </c>
      <c r="E8840" s="22" t="s">
        <v>48</v>
      </c>
      <c r="F8840" s="23" t="str">
        <f>HYPERLINK("https://www.spark-marketing.ru/Card/Lot/72606655",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8840" s="22" t="s">
        <v>1522</v>
      </c>
      <c r="H8840" s="22" t="s">
        <v>6059</v>
      </c>
      <c r="I8840" s="26">
        <v>43682.640370370398</v>
      </c>
      <c r="J8840" s="23" t="str">
        <f>HYPERLINK("https://www.spark-marketing.ru/Card/Person/6685119", "Козачук Лидия Ильинична")</f>
        <v>Козачук Лидия Ильинична</v>
      </c>
      <c r="K8840" s="24" t="s">
        <v>12885</v>
      </c>
      <c r="L8840" s="22" t="s">
        <v>10</v>
      </c>
      <c r="M8840" s="28" t="s">
        <v>51</v>
      </c>
      <c r="N8840" s="28" t="s">
        <v>51</v>
      </c>
    </row>
    <row r="8841" spans="1:14" x14ac:dyDescent="0.15">
      <c r="A8841" s="23" t="str">
        <f>HYPERLINK("https://www.spark-marketing.ru/Card/Person/6220851", "ОМВД РОССИИ ПО ЗАВОЛЖСКОМУ РАЙОНУ Г.УЛЬЯНОВСКА")</f>
        <v>ОМВД РОССИИ ПО ЗАВОЛЖСКОМУ РАЙОНУ Г.УЛЬЯНОВСКА</v>
      </c>
      <c r="B8841" s="24" t="s">
        <v>9780</v>
      </c>
      <c r="C8841" s="25">
        <v>54240</v>
      </c>
      <c r="D8841" s="22" t="s">
        <v>12886</v>
      </c>
      <c r="E8841" s="22" t="s">
        <v>96</v>
      </c>
      <c r="F8841" s="23" t="str">
        <f>HYPERLINK("https://www.spark-marketing.ru/Card/Lot/72600401",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8841" s="22" t="s">
        <v>1918</v>
      </c>
      <c r="H8841" s="22" t="s">
        <v>1918</v>
      </c>
      <c r="I8841" s="26">
        <v>43682.633067129602</v>
      </c>
      <c r="J8841" s="28" t="s">
        <v>51</v>
      </c>
      <c r="K8841" s="28" t="s">
        <v>51</v>
      </c>
      <c r="L8841" s="28" t="s">
        <v>51</v>
      </c>
      <c r="M8841" s="28" t="s">
        <v>51</v>
      </c>
      <c r="N8841" s="28" t="s">
        <v>51</v>
      </c>
    </row>
    <row r="8842" spans="1:14" collapsed="1" x14ac:dyDescent="0.15">
      <c r="A8842" s="23" t="str">
        <f>HYPERLINK("https://www.spark-marketing.ru/Card/Person/107894", "МБОУ СОШ № 30")</f>
        <v>МБОУ СОШ № 30</v>
      </c>
      <c r="B8842" s="24" t="s">
        <v>12887</v>
      </c>
      <c r="C8842" s="25">
        <v>2213706.4</v>
      </c>
      <c r="D8842" s="22" t="s">
        <v>12888</v>
      </c>
      <c r="E8842" s="22" t="s">
        <v>48</v>
      </c>
      <c r="F8842" s="23" t="str">
        <f>HYPERLINK("https://www.spark-marketing.ru/Card/Lot/72590144", "Оказание услуг для нужд Заказчика по организации питания учащихся")</f>
        <v>Оказание услуг для нужд Заказчика по организации питания учащихся</v>
      </c>
      <c r="G8842" s="22" t="s">
        <v>543</v>
      </c>
      <c r="H8842" s="22" t="s">
        <v>1052</v>
      </c>
      <c r="I8842" s="26">
        <v>43682.648680555598</v>
      </c>
      <c r="J8842" s="28" t="s">
        <v>51</v>
      </c>
      <c r="K8842" s="28" t="s">
        <v>51</v>
      </c>
      <c r="L8842" s="28" t="s">
        <v>51</v>
      </c>
      <c r="M8842" s="28" t="s">
        <v>51</v>
      </c>
      <c r="N8842" s="28" t="s">
        <v>51</v>
      </c>
    </row>
    <row r="8843" spans="1:14" hidden="1" outlineLevel="1" x14ac:dyDescent="0.2">
      <c r="A8843" s="23" t="str">
        <f>HYPERLINK("https://www.spark-marketing.ru/Card/Person/107894", "МБОУ СОШ № 30")</f>
        <v>МБОУ СОШ № 30</v>
      </c>
      <c r="B8843" s="24" t="s">
        <v>12887</v>
      </c>
      <c r="C8843" s="25">
        <v>2213706.4</v>
      </c>
      <c r="D8843" s="22" t="s">
        <v>12888</v>
      </c>
      <c r="E8843" s="22" t="s">
        <v>48</v>
      </c>
      <c r="F8843" s="23" t="str">
        <f>HYPERLINK("https://www.spark-marketing.ru/Card/Lot/72590144", "Оказание услуг для нужд Заказчика по организации питания учащихся")</f>
        <v>Оказание услуг для нужд Заказчика по организации питания учащихся</v>
      </c>
      <c r="G8843" s="22" t="s">
        <v>543</v>
      </c>
      <c r="H8843" s="22" t="s">
        <v>1052</v>
      </c>
      <c r="I8843" s="26">
        <v>43682.648680555598</v>
      </c>
      <c r="J8843" s="23" t="str">
        <f>HYPERLINK("https://www.spark-marketing.ru/Card/Person/948718", "ООО ""МАРИЯ""")</f>
        <v>ООО "МАРИЯ"</v>
      </c>
      <c r="K8843" s="24" t="s">
        <v>12889</v>
      </c>
      <c r="L8843" s="28" t="s">
        <v>51</v>
      </c>
      <c r="M8843" s="25">
        <v>1981267.27</v>
      </c>
      <c r="N8843" s="27">
        <v>0.10499998102729431</v>
      </c>
    </row>
    <row r="8844" spans="1:14" ht="12.75" hidden="1" outlineLevel="1" x14ac:dyDescent="0.2">
      <c r="A8844" s="23" t="str">
        <f>HYPERLINK("https://www.spark-marketing.ru/Card/Person/107894", "МБОУ СОШ № 30")</f>
        <v>МБОУ СОШ № 30</v>
      </c>
      <c r="B8844" s="24" t="s">
        <v>12887</v>
      </c>
      <c r="C8844" s="25">
        <v>2213706.4</v>
      </c>
      <c r="D8844" s="22" t="s">
        <v>12888</v>
      </c>
      <c r="E8844" s="22" t="s">
        <v>48</v>
      </c>
      <c r="F8844" s="23" t="str">
        <f>HYPERLINK("https://www.spark-marketing.ru/Card/Lot/72590144", "Оказание услуг для нужд Заказчика по организации питания учащихся")</f>
        <v>Оказание услуг для нужд Заказчика по организации питания учащихся</v>
      </c>
      <c r="G8844" s="22" t="s">
        <v>543</v>
      </c>
      <c r="H8844" s="22" t="s">
        <v>1052</v>
      </c>
      <c r="I8844" s="26">
        <v>43682.648680555598</v>
      </c>
      <c r="J8844" s="23" t="str">
        <f>HYPERLINK("https://www.spark-marketing.ru/Card/Person/4016608", "ООО ""ИЛОНА-ТРЕЙД""")</f>
        <v>ООО "ИЛОНА-ТРЕЙД"</v>
      </c>
      <c r="K8844" s="24" t="s">
        <v>12890</v>
      </c>
      <c r="L8844" s="22" t="s">
        <v>10</v>
      </c>
      <c r="M8844" s="25">
        <v>1970198.74</v>
      </c>
      <c r="N8844" s="27">
        <v>0.10999998012383214</v>
      </c>
    </row>
    <row r="8845" spans="1:14" x14ac:dyDescent="0.15">
      <c r="A8845" s="23" t="str">
        <f>HYPERLINK("https://www.spark-marketing.ru/Card/Person/127230", "ГБУ РО НД")</f>
        <v>ГБУ РО НД</v>
      </c>
      <c r="B8845" s="24" t="s">
        <v>12891</v>
      </c>
      <c r="C8845" s="25">
        <v>699377.44</v>
      </c>
      <c r="D8845" s="22" t="s">
        <v>12892</v>
      </c>
      <c r="E8845" s="22" t="s">
        <v>48</v>
      </c>
      <c r="F8845" s="23" t="str">
        <f>HYPERLINK("https://www.spark-marketing.ru/Card/Lot/72605519", "Оказание услуг по предоставлению горячего питания для нужд Гуковского филиала ГБУ РО НД")</f>
        <v>Оказание услуг по предоставлению горячего питания для нужд Гуковского филиала ГБУ РО НД</v>
      </c>
      <c r="G8845" s="22" t="s">
        <v>267</v>
      </c>
      <c r="H8845" s="22" t="s">
        <v>4054</v>
      </c>
      <c r="I8845" s="26">
        <v>43682.662361111099</v>
      </c>
      <c r="J8845" s="23" t="str">
        <f>HYPERLINK("https://www.spark-marketing.ru/Card/Person/4852527", "ООО ""ВИКТОРИЯ""")</f>
        <v>ООО "ВИКТОРИЯ"</v>
      </c>
      <c r="K8845" s="24" t="s">
        <v>2162</v>
      </c>
      <c r="L8845" s="22" t="s">
        <v>10</v>
      </c>
      <c r="M8845" s="28" t="s">
        <v>51</v>
      </c>
      <c r="N8845" s="28" t="s">
        <v>51</v>
      </c>
    </row>
    <row r="8846" spans="1:14" collapsed="1" x14ac:dyDescent="0.15">
      <c r="A8846" s="23" t="str">
        <f>HYPERLINK("https://www.spark-marketing.ru/Card/Person/53933", "СПБ ГБПОУ ""УОР № 2 (ТЕХНИКУМ)""")</f>
        <v>СПБ ГБПОУ "УОР № 2 (ТЕХНИКУМ)"</v>
      </c>
      <c r="B8846" s="24" t="s">
        <v>2322</v>
      </c>
      <c r="C8846" s="25">
        <v>631620</v>
      </c>
      <c r="D8846" s="22" t="s">
        <v>12893</v>
      </c>
      <c r="E8846" s="22" t="s">
        <v>51</v>
      </c>
      <c r="F8846" s="23" t="str">
        <f>HYPERLINK("https://www.spark-marketing.ru/Card/Lot/72603259", "Оказание услуг по предоставлению проживания, питания,спортивных сооружений, оформлению и выписке проездных билетов при проведении тренировочного мероприятия по специальной физической подготовке для занимающихся СПб ГБПОУ ""УОР № 2 (техникум) отделени...")</f>
        <v>Оказание услуг по предоставлению проживания, питания,спортивных сооружений, оформлению и выписке проездных билетов при проведении тренировочного мероприятия по специальной физической подготовке для занимающихся СПб ГБПОУ "УОР № 2 (техникум) отделени...</v>
      </c>
      <c r="G8846" s="22" t="s">
        <v>117</v>
      </c>
      <c r="H8846" s="22" t="s">
        <v>117</v>
      </c>
      <c r="I8846" s="26">
        <v>43682.6261226852</v>
      </c>
      <c r="J8846" s="28" t="s">
        <v>51</v>
      </c>
      <c r="K8846" s="28" t="s">
        <v>51</v>
      </c>
      <c r="L8846" s="28" t="s">
        <v>51</v>
      </c>
      <c r="M8846" s="28" t="s">
        <v>51</v>
      </c>
      <c r="N8846" s="28" t="s">
        <v>51</v>
      </c>
    </row>
    <row r="8847" spans="1:14" hidden="1" outlineLevel="1" x14ac:dyDescent="0.2">
      <c r="A8847" s="23" t="str">
        <f>HYPERLINK("https://www.spark-marketing.ru/Card/Person/53933", "СПБ ГБПОУ ""УОР № 2 (ТЕХНИКУМ)""")</f>
        <v>СПБ ГБПОУ "УОР № 2 (ТЕХНИКУМ)"</v>
      </c>
      <c r="B8847" s="24" t="s">
        <v>2322</v>
      </c>
      <c r="C8847" s="25">
        <v>631620</v>
      </c>
      <c r="D8847" s="22" t="s">
        <v>12893</v>
      </c>
      <c r="E8847" s="22" t="s">
        <v>51</v>
      </c>
      <c r="F8847" s="23" t="str">
        <f>HYPERLINK("https://www.spark-marketing.ru/Card/Lot/72603259", "Оказание услуг по предоставлению проживания, питания,спортивных сооружений, оформлению и выписке проездных билетов при проведении тренировочного мероприятия по специальной физической подготовке для занимающихся СПб ГБПОУ ""УОР № 2 (техникум) отделени...")</f>
        <v>Оказание услуг по предоставлению проживания, питания,спортивных сооружений, оформлению и выписке проездных билетов при проведении тренировочного мероприятия по специальной физической подготовке для занимающихся СПб ГБПОУ "УОР № 2 (техникум) отделени...</v>
      </c>
      <c r="G8847" s="22" t="s">
        <v>117</v>
      </c>
      <c r="H8847" s="22" t="s">
        <v>117</v>
      </c>
      <c r="I8847" s="26">
        <v>43682.6261226852</v>
      </c>
      <c r="J8847" s="23" t="str">
        <f>HYPERLINK("https://www.spark-marketing.ru/Card/Person/4953167", "ООО ""ЮПИТЕР""")</f>
        <v>ООО "ЮПИТЕР"</v>
      </c>
      <c r="K8847" s="24" t="s">
        <v>2324</v>
      </c>
      <c r="L8847" s="28" t="s">
        <v>51</v>
      </c>
      <c r="M8847" s="25">
        <v>552667.5</v>
      </c>
      <c r="N8847" s="27">
        <v>0.125</v>
      </c>
    </row>
    <row r="8848" spans="1:14" hidden="1" outlineLevel="1" x14ac:dyDescent="0.2">
      <c r="A8848" s="23" t="str">
        <f>HYPERLINK("https://www.spark-marketing.ru/Card/Person/53933", "СПБ ГБПОУ ""УОР № 2 (ТЕХНИКУМ)""")</f>
        <v>СПБ ГБПОУ "УОР № 2 (ТЕХНИКУМ)"</v>
      </c>
      <c r="B8848" s="24" t="s">
        <v>2322</v>
      </c>
      <c r="C8848" s="25">
        <v>631620</v>
      </c>
      <c r="D8848" s="22" t="s">
        <v>12893</v>
      </c>
      <c r="E8848" s="22" t="s">
        <v>51</v>
      </c>
      <c r="F8848" s="23" t="str">
        <f>HYPERLINK("https://www.spark-marketing.ru/Card/Lot/72603259", "Оказание услуг по предоставлению проживания, питания,спортивных сооружений, оформлению и выписке проездных билетов при проведении тренировочного мероприятия по специальной физической подготовке для занимающихся СПб ГБПОУ ""УОР № 2 (техникум) отделени...")</f>
        <v>Оказание услуг по предоставлению проживания, питания,спортивных сооружений, оформлению и выписке проездных билетов при проведении тренировочного мероприятия по специальной физической подготовке для занимающихся СПб ГБПОУ "УОР № 2 (техникум) отделени...</v>
      </c>
      <c r="G8848" s="22" t="s">
        <v>117</v>
      </c>
      <c r="H8848" s="22" t="s">
        <v>117</v>
      </c>
      <c r="I8848" s="26">
        <v>43682.6261226852</v>
      </c>
      <c r="J8848" s="23" t="str">
        <f>HYPERLINK("https://www.spark-marketing.ru/Card/Person/139386", "ООО ""АВИАМИР""")</f>
        <v>ООО "АВИАМИР"</v>
      </c>
      <c r="K8848" s="24" t="s">
        <v>2326</v>
      </c>
      <c r="L8848" s="28" t="s">
        <v>51</v>
      </c>
      <c r="M8848" s="25">
        <v>590564.69999999995</v>
      </c>
      <c r="N8848" s="27">
        <v>6.5000000000000002E-2</v>
      </c>
    </row>
    <row r="8849" spans="1:14" ht="12.75" hidden="1" outlineLevel="1" x14ac:dyDescent="0.2">
      <c r="A8849" s="23" t="str">
        <f>HYPERLINK("https://www.spark-marketing.ru/Card/Person/53933", "СПБ ГБПОУ ""УОР № 2 (ТЕХНИКУМ)""")</f>
        <v>СПБ ГБПОУ "УОР № 2 (ТЕХНИКУМ)"</v>
      </c>
      <c r="B8849" s="24" t="s">
        <v>2322</v>
      </c>
      <c r="C8849" s="25">
        <v>631620</v>
      </c>
      <c r="D8849" s="22" t="s">
        <v>12893</v>
      </c>
      <c r="E8849" s="22" t="s">
        <v>51</v>
      </c>
      <c r="F8849" s="23" t="str">
        <f>HYPERLINK("https://www.spark-marketing.ru/Card/Lot/72603259", "Оказание услуг по предоставлению проживания, питания,спортивных сооружений, оформлению и выписке проездных билетов при проведении тренировочного мероприятия по специальной физической подготовке для занимающихся СПб ГБПОУ ""УОР № 2 (техникум) отделени...")</f>
        <v>Оказание услуг по предоставлению проживания, питания,спортивных сооружений, оформлению и выписке проездных билетов при проведении тренировочного мероприятия по специальной физической подготовке для занимающихся СПб ГБПОУ "УОР № 2 (техникум) отделени...</v>
      </c>
      <c r="G8849" s="22" t="s">
        <v>117</v>
      </c>
      <c r="H8849" s="22" t="s">
        <v>117</v>
      </c>
      <c r="I8849" s="26">
        <v>43682.6261226852</v>
      </c>
      <c r="J8849" s="23" t="str">
        <f>HYPERLINK("https://www.spark-marketing.ru/Card/Person/6514967", "ООО ""АЛЬЯНС""")</f>
        <v>ООО "АЛЬЯНС"</v>
      </c>
      <c r="K8849" s="24" t="s">
        <v>1634</v>
      </c>
      <c r="L8849" s="22" t="s">
        <v>10</v>
      </c>
      <c r="M8849" s="25">
        <v>549509.4</v>
      </c>
      <c r="N8849" s="27">
        <v>0.13</v>
      </c>
    </row>
    <row r="8850" spans="1:14" collapsed="1" x14ac:dyDescent="0.15">
      <c r="A8850" s="23" t="s">
        <v>114</v>
      </c>
      <c r="B8850" s="28" t="s">
        <v>51</v>
      </c>
      <c r="C8850" s="25">
        <v>10680858</v>
      </c>
      <c r="D8850" s="22" t="s">
        <v>12894</v>
      </c>
      <c r="E8850" s="22" t="s">
        <v>48</v>
      </c>
      <c r="F8850" s="23" t="str">
        <f t="shared" ref="F8850:F8865" si="198">HYPERLINK("https://www.spark-marketing.ru/Card/Lot/72604140", "Оказание услуг по организации питания учащихся")</f>
        <v>Оказание услуг по организации питания учащихся</v>
      </c>
      <c r="G8850" s="22" t="s">
        <v>51</v>
      </c>
      <c r="H8850" s="22" t="s">
        <v>51</v>
      </c>
      <c r="I8850" s="26">
        <v>43682.637453703697</v>
      </c>
      <c r="J8850" s="23" t="str">
        <f t="shared" ref="J8850:J8865" si="199">HYPERLINK("https://www.spark-marketing.ru/Card/Person/261367", "ООО ""ЛИМАН""")</f>
        <v>ООО "ЛИМАН"</v>
      </c>
      <c r="K8850" s="24" t="s">
        <v>12895</v>
      </c>
      <c r="L8850" s="22" t="s">
        <v>10</v>
      </c>
      <c r="M8850" s="28" t="s">
        <v>51</v>
      </c>
      <c r="N8850" s="28" t="s">
        <v>51</v>
      </c>
    </row>
    <row r="8851" spans="1:14" hidden="1" outlineLevel="1" x14ac:dyDescent="0.15">
      <c r="A8851" s="23" t="str">
        <f>HYPERLINK("https://www.spark-marketing.ru/Card/Person/82169", "МБОУ ""СОШ № 54"" Г.БРЯНСКА")</f>
        <v>МБОУ "СОШ № 54" Г.БРЯНСКА</v>
      </c>
      <c r="B8851" s="24" t="s">
        <v>12896</v>
      </c>
      <c r="C8851" s="25">
        <v>879996</v>
      </c>
      <c r="D8851" s="22" t="s">
        <v>12894</v>
      </c>
      <c r="E8851" s="22" t="s">
        <v>48</v>
      </c>
      <c r="F8851" s="23" t="str">
        <f t="shared" si="198"/>
        <v>Оказание услуг по организации питания учащихся</v>
      </c>
      <c r="G8851" s="22" t="s">
        <v>475</v>
      </c>
      <c r="H8851" s="22" t="s">
        <v>475</v>
      </c>
      <c r="I8851" s="26">
        <v>43682.637453703697</v>
      </c>
      <c r="J8851" s="23" t="str">
        <f t="shared" si="199"/>
        <v>ООО "ЛИМАН"</v>
      </c>
      <c r="K8851" s="24" t="s">
        <v>12895</v>
      </c>
      <c r="L8851" s="22" t="s">
        <v>10</v>
      </c>
      <c r="M8851" s="28" t="s">
        <v>51</v>
      </c>
      <c r="N8851" s="28" t="s">
        <v>51</v>
      </c>
    </row>
    <row r="8852" spans="1:14" hidden="1" outlineLevel="1" x14ac:dyDescent="0.15">
      <c r="A8852" s="23" t="str">
        <f>HYPERLINK("https://www.spark-marketing.ru/Card/Person/1018307", "МБОУ ""ГИМНАЗИЯ №7"" Г.БРЯНСКА")</f>
        <v>МБОУ "ГИМНАЗИЯ №7" Г.БРЯНСКА</v>
      </c>
      <c r="B8852" s="24" t="s">
        <v>12897</v>
      </c>
      <c r="C8852" s="25">
        <v>1004705</v>
      </c>
      <c r="D8852" s="22" t="s">
        <v>12894</v>
      </c>
      <c r="E8852" s="22" t="s">
        <v>48</v>
      </c>
      <c r="F8852" s="23" t="str">
        <f t="shared" si="198"/>
        <v>Оказание услуг по организации питания учащихся</v>
      </c>
      <c r="G8852" s="22" t="s">
        <v>475</v>
      </c>
      <c r="H8852" s="22" t="s">
        <v>475</v>
      </c>
      <c r="I8852" s="26">
        <v>43682.637453703697</v>
      </c>
      <c r="J8852" s="23" t="str">
        <f t="shared" si="199"/>
        <v>ООО "ЛИМАН"</v>
      </c>
      <c r="K8852" s="24" t="s">
        <v>12895</v>
      </c>
      <c r="L8852" s="22" t="s">
        <v>10</v>
      </c>
      <c r="M8852" s="28" t="s">
        <v>51</v>
      </c>
      <c r="N8852" s="28" t="s">
        <v>51</v>
      </c>
    </row>
    <row r="8853" spans="1:14" hidden="1" outlineLevel="1" x14ac:dyDescent="0.15">
      <c r="A8853" s="23" t="str">
        <f>HYPERLINK("https://www.spark-marketing.ru/Card/Person/1018413", "МБОУ СОШ №56 Г. БРЯНСКА")</f>
        <v>МБОУ СОШ №56 Г. БРЯНСКА</v>
      </c>
      <c r="B8853" s="24" t="s">
        <v>12898</v>
      </c>
      <c r="C8853" s="25">
        <v>311688</v>
      </c>
      <c r="D8853" s="22" t="s">
        <v>12894</v>
      </c>
      <c r="E8853" s="22" t="s">
        <v>48</v>
      </c>
      <c r="F8853" s="23" t="str">
        <f t="shared" si="198"/>
        <v>Оказание услуг по организации питания учащихся</v>
      </c>
      <c r="G8853" s="22" t="s">
        <v>475</v>
      </c>
      <c r="H8853" s="22" t="s">
        <v>475</v>
      </c>
      <c r="I8853" s="26">
        <v>43682.637453703697</v>
      </c>
      <c r="J8853" s="23" t="str">
        <f t="shared" si="199"/>
        <v>ООО "ЛИМАН"</v>
      </c>
      <c r="K8853" s="24" t="s">
        <v>12895</v>
      </c>
      <c r="L8853" s="22" t="s">
        <v>10</v>
      </c>
      <c r="M8853" s="28" t="s">
        <v>51</v>
      </c>
      <c r="N8853" s="28" t="s">
        <v>51</v>
      </c>
    </row>
    <row r="8854" spans="1:14" hidden="1" outlineLevel="1" x14ac:dyDescent="0.15">
      <c r="A8854" s="23" t="str">
        <f>HYPERLINK("https://www.spark-marketing.ru/Card/Person/1018430", "МБОУ ""ШКОЛА КОРРЕКЦИИ И РАЗВИТИЯ VIII ВИДА № 31"" Г. БРЯНСКА")</f>
        <v>МБОУ "ШКОЛА КОРРЕКЦИИ И РАЗВИТИЯ VIII ВИДА № 31" Г. БРЯНСКА</v>
      </c>
      <c r="B8854" s="24" t="s">
        <v>12899</v>
      </c>
      <c r="C8854" s="25">
        <v>520000</v>
      </c>
      <c r="D8854" s="22" t="s">
        <v>12894</v>
      </c>
      <c r="E8854" s="22" t="s">
        <v>48</v>
      </c>
      <c r="F8854" s="23" t="str">
        <f t="shared" si="198"/>
        <v>Оказание услуг по организации питания учащихся</v>
      </c>
      <c r="G8854" s="22" t="s">
        <v>475</v>
      </c>
      <c r="H8854" s="22" t="s">
        <v>475</v>
      </c>
      <c r="I8854" s="26">
        <v>43682.637453703697</v>
      </c>
      <c r="J8854" s="23" t="str">
        <f t="shared" si="199"/>
        <v>ООО "ЛИМАН"</v>
      </c>
      <c r="K8854" s="24" t="s">
        <v>12895</v>
      </c>
      <c r="L8854" s="22" t="s">
        <v>10</v>
      </c>
      <c r="M8854" s="28" t="s">
        <v>51</v>
      </c>
      <c r="N8854" s="28" t="s">
        <v>51</v>
      </c>
    </row>
    <row r="8855" spans="1:14" hidden="1" outlineLevel="1" x14ac:dyDescent="0.15">
      <c r="A8855" s="23" t="str">
        <f>HYPERLINK("https://www.spark-marketing.ru/Card/Person/1018556", "МБОУ ""СОШ № 3"" Г. БРЯНСКА")</f>
        <v>МБОУ "СОШ № 3" Г. БРЯНСКА</v>
      </c>
      <c r="B8855" s="24" t="s">
        <v>12900</v>
      </c>
      <c r="C8855" s="25">
        <v>469892</v>
      </c>
      <c r="D8855" s="22" t="s">
        <v>12894</v>
      </c>
      <c r="E8855" s="22" t="s">
        <v>48</v>
      </c>
      <c r="F8855" s="23" t="str">
        <f t="shared" si="198"/>
        <v>Оказание услуг по организации питания учащихся</v>
      </c>
      <c r="G8855" s="22" t="s">
        <v>475</v>
      </c>
      <c r="H8855" s="22" t="s">
        <v>475</v>
      </c>
      <c r="I8855" s="26">
        <v>43682.637453703697</v>
      </c>
      <c r="J8855" s="23" t="str">
        <f t="shared" si="199"/>
        <v>ООО "ЛИМАН"</v>
      </c>
      <c r="K8855" s="24" t="s">
        <v>12895</v>
      </c>
      <c r="L8855" s="22" t="s">
        <v>10</v>
      </c>
      <c r="M8855" s="28" t="s">
        <v>51</v>
      </c>
      <c r="N8855" s="28" t="s">
        <v>51</v>
      </c>
    </row>
    <row r="8856" spans="1:14" hidden="1" outlineLevel="1" x14ac:dyDescent="0.15">
      <c r="A8856" s="23" t="str">
        <f>HYPERLINK("https://www.spark-marketing.ru/Card/Person/1018557", "МБОУ СОШ № 6 Г.БРЯНСКА")</f>
        <v>МБОУ СОШ № 6 Г.БРЯНСКА</v>
      </c>
      <c r="B8856" s="24" t="s">
        <v>12901</v>
      </c>
      <c r="C8856" s="25">
        <v>331968</v>
      </c>
      <c r="D8856" s="22" t="s">
        <v>12894</v>
      </c>
      <c r="E8856" s="22" t="s">
        <v>48</v>
      </c>
      <c r="F8856" s="23" t="str">
        <f t="shared" si="198"/>
        <v>Оказание услуг по организации питания учащихся</v>
      </c>
      <c r="G8856" s="22" t="s">
        <v>475</v>
      </c>
      <c r="H8856" s="22" t="s">
        <v>475</v>
      </c>
      <c r="I8856" s="26">
        <v>43682.637453703697</v>
      </c>
      <c r="J8856" s="23" t="str">
        <f t="shared" si="199"/>
        <v>ООО "ЛИМАН"</v>
      </c>
      <c r="K8856" s="24" t="s">
        <v>12895</v>
      </c>
      <c r="L8856" s="22" t="s">
        <v>10</v>
      </c>
      <c r="M8856" s="28" t="s">
        <v>51</v>
      </c>
      <c r="N8856" s="28" t="s">
        <v>51</v>
      </c>
    </row>
    <row r="8857" spans="1:14" hidden="1" outlineLevel="1" x14ac:dyDescent="0.15">
      <c r="A8857" s="23" t="str">
        <f>HYPERLINK("https://www.spark-marketing.ru/Card/Person/1018579", "МБОУ СОШ № 45 Г.БРЯНСКА")</f>
        <v>МБОУ СОШ № 45 Г.БРЯНСКА</v>
      </c>
      <c r="B8857" s="24" t="s">
        <v>12902</v>
      </c>
      <c r="C8857" s="25">
        <v>358265</v>
      </c>
      <c r="D8857" s="22" t="s">
        <v>12894</v>
      </c>
      <c r="E8857" s="22" t="s">
        <v>48</v>
      </c>
      <c r="F8857" s="23" t="str">
        <f t="shared" si="198"/>
        <v>Оказание услуг по организации питания учащихся</v>
      </c>
      <c r="G8857" s="22" t="s">
        <v>475</v>
      </c>
      <c r="H8857" s="22" t="s">
        <v>475</v>
      </c>
      <c r="I8857" s="26">
        <v>43682.637453703697</v>
      </c>
      <c r="J8857" s="23" t="str">
        <f t="shared" si="199"/>
        <v>ООО "ЛИМАН"</v>
      </c>
      <c r="K8857" s="24" t="s">
        <v>12895</v>
      </c>
      <c r="L8857" s="22" t="s">
        <v>10</v>
      </c>
      <c r="M8857" s="28" t="s">
        <v>51</v>
      </c>
      <c r="N8857" s="28" t="s">
        <v>51</v>
      </c>
    </row>
    <row r="8858" spans="1:14" hidden="1" outlineLevel="1" x14ac:dyDescent="0.15">
      <c r="A8858" s="23" t="str">
        <f>HYPERLINK("https://www.spark-marketing.ru/Card/Person/1018599", "МБОУ СОШ №8 ИМ. ГЕРОЯ СОВЕТСКОГО СОЮЗА, ЛЕТЧИКА-КОСМОНАВТА СССР В.М.АФАНАСЬЕВА Г. БРЯНСКА")</f>
        <v>МБОУ СОШ №8 ИМ. ГЕРОЯ СОВЕТСКОГО СОЮЗА, ЛЕТЧИКА-КОСМОНАВТА СССР В.М.АФАНАСЬЕВА Г. БРЯНСКА</v>
      </c>
      <c r="B8858" s="24" t="s">
        <v>12903</v>
      </c>
      <c r="C8858" s="25">
        <v>950586</v>
      </c>
      <c r="D8858" s="22" t="s">
        <v>12894</v>
      </c>
      <c r="E8858" s="22" t="s">
        <v>48</v>
      </c>
      <c r="F8858" s="23" t="str">
        <f t="shared" si="198"/>
        <v>Оказание услуг по организации питания учащихся</v>
      </c>
      <c r="G8858" s="22" t="s">
        <v>475</v>
      </c>
      <c r="H8858" s="22" t="s">
        <v>475</v>
      </c>
      <c r="I8858" s="26">
        <v>43682.637453703697</v>
      </c>
      <c r="J8858" s="23" t="str">
        <f t="shared" si="199"/>
        <v>ООО "ЛИМАН"</v>
      </c>
      <c r="K8858" s="24" t="s">
        <v>12895</v>
      </c>
      <c r="L8858" s="22" t="s">
        <v>10</v>
      </c>
      <c r="M8858" s="28" t="s">
        <v>51</v>
      </c>
      <c r="N8858" s="28" t="s">
        <v>51</v>
      </c>
    </row>
    <row r="8859" spans="1:14" hidden="1" outlineLevel="1" x14ac:dyDescent="0.15">
      <c r="A8859" s="23" t="str">
        <f>HYPERLINK("https://www.spark-marketing.ru/Card/Person/1018631", "МБОУ СОШ № 60 Г.БРЯНСКА")</f>
        <v>МБОУ СОШ № 60 Г.БРЯНСКА</v>
      </c>
      <c r="B8859" s="24" t="s">
        <v>12904</v>
      </c>
      <c r="C8859" s="25">
        <v>1137300</v>
      </c>
      <c r="D8859" s="22" t="s">
        <v>12894</v>
      </c>
      <c r="E8859" s="22" t="s">
        <v>48</v>
      </c>
      <c r="F8859" s="23" t="str">
        <f t="shared" si="198"/>
        <v>Оказание услуг по организации питания учащихся</v>
      </c>
      <c r="G8859" s="22" t="s">
        <v>475</v>
      </c>
      <c r="H8859" s="22" t="s">
        <v>475</v>
      </c>
      <c r="I8859" s="26">
        <v>43682.637453703697</v>
      </c>
      <c r="J8859" s="23" t="str">
        <f t="shared" si="199"/>
        <v>ООО "ЛИМАН"</v>
      </c>
      <c r="K8859" s="24" t="s">
        <v>12895</v>
      </c>
      <c r="L8859" s="22" t="s">
        <v>10</v>
      </c>
      <c r="M8859" s="28" t="s">
        <v>51</v>
      </c>
      <c r="N8859" s="28" t="s">
        <v>51</v>
      </c>
    </row>
    <row r="8860" spans="1:14" hidden="1" outlineLevel="1" x14ac:dyDescent="0.15">
      <c r="A8860" s="23" t="str">
        <f>HYPERLINK("https://www.spark-marketing.ru/Card/Person/1019790", "МБОУ СОШ № 59 Г. БРЯНСКА")</f>
        <v>МБОУ СОШ № 59 Г. БРЯНСКА</v>
      </c>
      <c r="B8860" s="24" t="s">
        <v>12905</v>
      </c>
      <c r="C8860" s="25">
        <v>1156818</v>
      </c>
      <c r="D8860" s="22" t="s">
        <v>12894</v>
      </c>
      <c r="E8860" s="22" t="s">
        <v>48</v>
      </c>
      <c r="F8860" s="23" t="str">
        <f t="shared" si="198"/>
        <v>Оказание услуг по организации питания учащихся</v>
      </c>
      <c r="G8860" s="22" t="s">
        <v>475</v>
      </c>
      <c r="H8860" s="22" t="s">
        <v>475</v>
      </c>
      <c r="I8860" s="26">
        <v>43682.637453703697</v>
      </c>
      <c r="J8860" s="23" t="str">
        <f t="shared" si="199"/>
        <v>ООО "ЛИМАН"</v>
      </c>
      <c r="K8860" s="24" t="s">
        <v>12895</v>
      </c>
      <c r="L8860" s="22" t="s">
        <v>10</v>
      </c>
      <c r="M8860" s="28" t="s">
        <v>51</v>
      </c>
      <c r="N8860" s="28" t="s">
        <v>51</v>
      </c>
    </row>
    <row r="8861" spans="1:14" hidden="1" outlineLevel="1" x14ac:dyDescent="0.15">
      <c r="A8861" s="23" t="str">
        <f>HYPERLINK("https://www.spark-marketing.ru/Card/Person/1020028", "МБОУ СОШ № 1 Г. БРЯНСКА")</f>
        <v>МБОУ СОШ № 1 Г. БРЯНСКА</v>
      </c>
      <c r="B8861" s="24" t="s">
        <v>12906</v>
      </c>
      <c r="C8861" s="25">
        <v>719690</v>
      </c>
      <c r="D8861" s="22" t="s">
        <v>12894</v>
      </c>
      <c r="E8861" s="22" t="s">
        <v>48</v>
      </c>
      <c r="F8861" s="23" t="str">
        <f t="shared" si="198"/>
        <v>Оказание услуг по организации питания учащихся</v>
      </c>
      <c r="G8861" s="22" t="s">
        <v>475</v>
      </c>
      <c r="H8861" s="22" t="s">
        <v>475</v>
      </c>
      <c r="I8861" s="26">
        <v>43682.637453703697</v>
      </c>
      <c r="J8861" s="23" t="str">
        <f t="shared" si="199"/>
        <v>ООО "ЛИМАН"</v>
      </c>
      <c r="K8861" s="24" t="s">
        <v>12895</v>
      </c>
      <c r="L8861" s="22" t="s">
        <v>10</v>
      </c>
      <c r="M8861" s="28" t="s">
        <v>51</v>
      </c>
      <c r="N8861" s="28" t="s">
        <v>51</v>
      </c>
    </row>
    <row r="8862" spans="1:14" hidden="1" outlineLevel="1" x14ac:dyDescent="0.15">
      <c r="A8862" s="23" t="str">
        <f>HYPERLINK("https://www.spark-marketing.ru/Card/Person/1020117", "МБОУ СОШ № 4 Г.БРЯНСКА")</f>
        <v>МБОУ СОШ № 4 Г.БРЯНСКА</v>
      </c>
      <c r="B8862" s="24" t="s">
        <v>12907</v>
      </c>
      <c r="C8862" s="25">
        <v>685300</v>
      </c>
      <c r="D8862" s="22" t="s">
        <v>12894</v>
      </c>
      <c r="E8862" s="22" t="s">
        <v>48</v>
      </c>
      <c r="F8862" s="23" t="str">
        <f t="shared" si="198"/>
        <v>Оказание услуг по организации питания учащихся</v>
      </c>
      <c r="G8862" s="22" t="s">
        <v>475</v>
      </c>
      <c r="H8862" s="22" t="s">
        <v>475</v>
      </c>
      <c r="I8862" s="26">
        <v>43682.637453703697</v>
      </c>
      <c r="J8862" s="23" t="str">
        <f t="shared" si="199"/>
        <v>ООО "ЛИМАН"</v>
      </c>
      <c r="K8862" s="24" t="s">
        <v>12895</v>
      </c>
      <c r="L8862" s="22" t="s">
        <v>10</v>
      </c>
      <c r="M8862" s="28" t="s">
        <v>51</v>
      </c>
      <c r="N8862" s="28" t="s">
        <v>51</v>
      </c>
    </row>
    <row r="8863" spans="1:14" hidden="1" outlineLevel="1" x14ac:dyDescent="0.15">
      <c r="A8863" s="23" t="str">
        <f>HYPERLINK("https://www.spark-marketing.ru/Card/Person/1020139", "МБОУ ""ГИМНАЗИЯ №6"" Г. БРЯНСКА")</f>
        <v>МБОУ "ГИМНАЗИЯ №6" Г. БРЯНСКА</v>
      </c>
      <c r="B8863" s="24" t="s">
        <v>12908</v>
      </c>
      <c r="C8863" s="25">
        <v>1414160</v>
      </c>
      <c r="D8863" s="22" t="s">
        <v>12894</v>
      </c>
      <c r="E8863" s="22" t="s">
        <v>48</v>
      </c>
      <c r="F8863" s="23" t="str">
        <f t="shared" si="198"/>
        <v>Оказание услуг по организации питания учащихся</v>
      </c>
      <c r="G8863" s="22" t="s">
        <v>475</v>
      </c>
      <c r="H8863" s="22" t="s">
        <v>475</v>
      </c>
      <c r="I8863" s="26">
        <v>43682.637453703697</v>
      </c>
      <c r="J8863" s="23" t="str">
        <f t="shared" si="199"/>
        <v>ООО "ЛИМАН"</v>
      </c>
      <c r="K8863" s="24" t="s">
        <v>12895</v>
      </c>
      <c r="L8863" s="22" t="s">
        <v>10</v>
      </c>
      <c r="M8863" s="28" t="s">
        <v>51</v>
      </c>
      <c r="N8863" s="28" t="s">
        <v>51</v>
      </c>
    </row>
    <row r="8864" spans="1:14" hidden="1" outlineLevel="1" x14ac:dyDescent="0.15">
      <c r="A8864" s="23" t="str">
        <f>HYPERLINK("https://www.spark-marketing.ru/Card/Person/1020141", "МБОУ СОШ № 5 Г. БРЯНСКА")</f>
        <v>МБОУ СОШ № 5 Г. БРЯНСКА</v>
      </c>
      <c r="B8864" s="24" t="s">
        <v>12909</v>
      </c>
      <c r="C8864" s="25">
        <v>365770</v>
      </c>
      <c r="D8864" s="22" t="s">
        <v>12894</v>
      </c>
      <c r="E8864" s="22" t="s">
        <v>48</v>
      </c>
      <c r="F8864" s="23" t="str">
        <f t="shared" si="198"/>
        <v>Оказание услуг по организации питания учащихся</v>
      </c>
      <c r="G8864" s="22" t="s">
        <v>475</v>
      </c>
      <c r="H8864" s="22" t="s">
        <v>475</v>
      </c>
      <c r="I8864" s="26">
        <v>43682.637453703697</v>
      </c>
      <c r="J8864" s="23" t="str">
        <f t="shared" si="199"/>
        <v>ООО "ЛИМАН"</v>
      </c>
      <c r="K8864" s="24" t="s">
        <v>12895</v>
      </c>
      <c r="L8864" s="22" t="s">
        <v>10</v>
      </c>
      <c r="M8864" s="28" t="s">
        <v>51</v>
      </c>
      <c r="N8864" s="28" t="s">
        <v>51</v>
      </c>
    </row>
    <row r="8865" spans="1:14" hidden="1" outlineLevel="1" x14ac:dyDescent="0.15">
      <c r="A8865" s="23" t="str">
        <f>HYPERLINK("https://www.spark-marketing.ru/Card/Person/1031517", "МБОУ СОШ № 2 Г.БРЯНСКА")</f>
        <v>МБОУ СОШ № 2 Г.БРЯНСКА</v>
      </c>
      <c r="B8865" s="24" t="s">
        <v>12910</v>
      </c>
      <c r="C8865" s="25">
        <v>374720</v>
      </c>
      <c r="D8865" s="22" t="s">
        <v>12894</v>
      </c>
      <c r="E8865" s="22" t="s">
        <v>48</v>
      </c>
      <c r="F8865" s="23" t="str">
        <f t="shared" si="198"/>
        <v>Оказание услуг по организации питания учащихся</v>
      </c>
      <c r="G8865" s="22" t="s">
        <v>475</v>
      </c>
      <c r="H8865" s="22" t="s">
        <v>475</v>
      </c>
      <c r="I8865" s="26">
        <v>43682.637453703697</v>
      </c>
      <c r="J8865" s="23" t="str">
        <f t="shared" si="199"/>
        <v>ООО "ЛИМАН"</v>
      </c>
      <c r="K8865" s="24" t="s">
        <v>12895</v>
      </c>
      <c r="L8865" s="22" t="s">
        <v>10</v>
      </c>
      <c r="M8865" s="28" t="s">
        <v>51</v>
      </c>
      <c r="N8865" s="28" t="s">
        <v>51</v>
      </c>
    </row>
    <row r="8866" spans="1:14" x14ac:dyDescent="0.15">
      <c r="A8866" s="23" t="str">
        <f>HYPERLINK("https://www.spark-marketing.ru/Card/Person/51435", "ДЕПАРТАМЕНТ ЗДРАВООХРАНЕНИЯ ИВАНОВСКОЙ ОБЛАСТИ")</f>
        <v>ДЕПАРТАМЕНТ ЗДРАВООХРАНЕНИЯ ИВАНОВСКОЙ ОБЛАСТИ</v>
      </c>
      <c r="B8866" s="24" t="s">
        <v>3899</v>
      </c>
      <c r="C8866" s="25">
        <v>167701.98000000001</v>
      </c>
      <c r="D8866" s="22" t="s">
        <v>12911</v>
      </c>
      <c r="E8866" s="22" t="s">
        <v>86</v>
      </c>
      <c r="F8866" s="23" t="str">
        <f>HYPERLINK("https://www.spark-marketing.ru/Card/Lot/72606497", "Оказание логистических услуг по приемке, хранению и транспортировке до аптек/аптечных пунктов и отпуска аптеками/аптечными пунктами лекарственных препаратов, специализированных продуктов лечебного питания и медицинских изделий для обеспечения отдельн...")</f>
        <v>Оказание логистических услуг по приемке, хранению и транспортировке до аптек/аптечных пунктов и отпуска аптеками/аптечными пунктами лекарственных препаратов, специализированных продуктов лечебного питания и медицинских изделий для обеспечения отдельн...</v>
      </c>
      <c r="G8866" s="22" t="s">
        <v>1047</v>
      </c>
      <c r="H8866" s="22" t="s">
        <v>1953</v>
      </c>
      <c r="I8866" s="26">
        <v>43682.643310185202</v>
      </c>
      <c r="J8866" s="28" t="s">
        <v>51</v>
      </c>
      <c r="K8866" s="28" t="s">
        <v>51</v>
      </c>
      <c r="L8866" s="28" t="s">
        <v>51</v>
      </c>
      <c r="M8866" s="28" t="s">
        <v>51</v>
      </c>
      <c r="N8866" s="28" t="s">
        <v>51</v>
      </c>
    </row>
    <row r="8867" spans="1:14" x14ac:dyDescent="0.15">
      <c r="A8867" s="23" t="str">
        <f>HYPERLINK("https://www.spark-marketing.ru/Card/Person/1021787", "ОМВД РОССИИ ПО КОЛЬСКОМУ РАЙОНУ")</f>
        <v>ОМВД РОССИИ ПО КОЛЬСКОМУ РАЙОНУ</v>
      </c>
      <c r="B8867" s="24" t="s">
        <v>12912</v>
      </c>
      <c r="C8867" s="25">
        <v>406000</v>
      </c>
      <c r="D8867" s="22" t="s">
        <v>12913</v>
      </c>
      <c r="E8867" s="22" t="s">
        <v>48</v>
      </c>
      <c r="F8867" s="23" t="str">
        <f>HYPERLINK("https://www.spark-marketing.ru/Card/Lot/72605105", "оказание услуг по организации и доставке ежедневного 3-х разового питания для лиц, содержащихся в изоляторе  временного содержания")</f>
        <v>оказание услуг по организации и доставке ежедневного 3-х разового питания для лиц, содержащихся в изоляторе  временного содержания</v>
      </c>
      <c r="G8867" s="22" t="s">
        <v>340</v>
      </c>
      <c r="H8867" s="22" t="s">
        <v>12914</v>
      </c>
      <c r="I8867" s="26">
        <v>43682.647685185198</v>
      </c>
      <c r="J8867" s="23" t="str">
        <f>HYPERLINK("https://www.spark-marketing.ru/Card/Person/718805", "ООО ""СМАК""")</f>
        <v>ООО "СМАК"</v>
      </c>
      <c r="K8867" s="24" t="s">
        <v>2393</v>
      </c>
      <c r="L8867" s="22" t="s">
        <v>10</v>
      </c>
      <c r="M8867" s="28" t="s">
        <v>51</v>
      </c>
      <c r="N8867" s="28" t="s">
        <v>51</v>
      </c>
    </row>
    <row r="8868" spans="1:14" x14ac:dyDescent="0.15">
      <c r="A8868" s="23" t="str">
        <f>HYPERLINK("https://www.spark-marketing.ru/Card/Person/1021787", "ОМВД РОССИИ ПО КОЛЬСКОМУ РАЙОНУ")</f>
        <v>ОМВД РОССИИ ПО КОЛЬСКОМУ РАЙОНУ</v>
      </c>
      <c r="B8868" s="24" t="s">
        <v>12912</v>
      </c>
      <c r="C8868" s="25">
        <v>406000</v>
      </c>
      <c r="D8868" s="22" t="s">
        <v>12915</v>
      </c>
      <c r="E8868" s="22" t="s">
        <v>48</v>
      </c>
      <c r="F8868" s="23" t="str">
        <f>HYPERLINK("https://www.spark-marketing.ru/Card/Lot/72605168", "оказание услуг по организации и доставке ежедневного 3-х разового питания для лиц, содержащихся в изоляторе  временного содержания")</f>
        <v>оказание услуг по организации и доставке ежедневного 3-х разового питания для лиц, содержащихся в изоляторе  временного содержания</v>
      </c>
      <c r="G8868" s="22" t="s">
        <v>340</v>
      </c>
      <c r="H8868" s="22" t="s">
        <v>12914</v>
      </c>
      <c r="I8868" s="26">
        <v>43682.657476851899</v>
      </c>
      <c r="J8868" s="23" t="str">
        <f>HYPERLINK("https://www.spark-marketing.ru/Card/Person/718805", "ООО ""СМАК""")</f>
        <v>ООО "СМАК"</v>
      </c>
      <c r="K8868" s="24" t="s">
        <v>2393</v>
      </c>
      <c r="L8868" s="22" t="s">
        <v>10</v>
      </c>
      <c r="M8868" s="28" t="s">
        <v>51</v>
      </c>
      <c r="N8868" s="28" t="s">
        <v>51</v>
      </c>
    </row>
    <row r="8869" spans="1:14" x14ac:dyDescent="0.15">
      <c r="A8869" s="23" t="str">
        <f>HYPERLINK("https://www.spark-marketing.ru/Card/Person/51435", "ДЕПАРТАМЕНТ ЗДРАВООХРАНЕНИЯ ИВАНОВСКОЙ ОБЛАСТИ")</f>
        <v>ДЕПАРТАМЕНТ ЗДРАВООХРАНЕНИЯ ИВАНОВСКОЙ ОБЛАСТИ</v>
      </c>
      <c r="B8869" s="24" t="s">
        <v>3899</v>
      </c>
      <c r="C8869" s="25">
        <v>125797.06</v>
      </c>
      <c r="D8869" s="22" t="s">
        <v>12916</v>
      </c>
      <c r="E8869" s="22" t="s">
        <v>86</v>
      </c>
      <c r="F8869" s="23" t="str">
        <f>HYPERLINK("https://www.spark-marketing.ru/Card/Lot/72605437", "Оказание логистических услуг по приемке, хранению и транспортировке до аптек/аптечных пунктов и отпуска аптеками/аптечными пунктами лекарственных препаратов, специализированных продуктов лечебного питания и медицинских изделий для обеспечения отдельн...")</f>
        <v>Оказание логистических услуг по приемке, хранению и транспортировке до аптек/аптечных пунктов и отпуска аптеками/аптечными пунктами лекарственных препаратов, специализированных продуктов лечебного питания и медицинских изделий для обеспечения отдельн...</v>
      </c>
      <c r="G8869" s="22" t="s">
        <v>1047</v>
      </c>
      <c r="H8869" s="22" t="s">
        <v>1953</v>
      </c>
      <c r="I8869" s="26">
        <v>43682.644872685203</v>
      </c>
      <c r="J8869" s="28" t="s">
        <v>51</v>
      </c>
      <c r="K8869" s="28" t="s">
        <v>51</v>
      </c>
      <c r="L8869" s="28" t="s">
        <v>51</v>
      </c>
      <c r="M8869" s="28" t="s">
        <v>51</v>
      </c>
      <c r="N8869" s="28" t="s">
        <v>51</v>
      </c>
    </row>
    <row r="8870" spans="1:14" x14ac:dyDescent="0.15">
      <c r="A8870" s="23" t="str">
        <f>HYPERLINK("https://www.spark-marketing.ru/Card/Person/51435", "ДЕПАРТАМЕНТ ЗДРАВООХРАНЕНИЯ ИВАНОВСКОЙ ОБЛАСТИ")</f>
        <v>ДЕПАРТАМЕНТ ЗДРАВООХРАНЕНИЯ ИВАНОВСКОЙ ОБЛАСТИ</v>
      </c>
      <c r="B8870" s="24" t="s">
        <v>3899</v>
      </c>
      <c r="C8870" s="25">
        <v>518729.55</v>
      </c>
      <c r="D8870" s="22" t="s">
        <v>12917</v>
      </c>
      <c r="E8870" s="22" t="s">
        <v>86</v>
      </c>
      <c r="F8870" s="23" t="str">
        <f>HYPERLINK("https://www.spark-marketing.ru/Card/Lot/72605103", "Оказание логистических услуг по приемке, хранению и транспортировке до аптек/аптечных пунктов и отпуска аптеками/аптечными пунктами лекарственных препаратов, специализированных продуктов лечебного питания и медицинских изделий для обеспечения отдельн...")</f>
        <v>Оказание логистических услуг по приемке, хранению и транспортировке до аптек/аптечных пунктов и отпуска аптеками/аптечными пунктами лекарственных препаратов, специализированных продуктов лечебного питания и медицинских изделий для обеспечения отдельн...</v>
      </c>
      <c r="G8870" s="22" t="s">
        <v>1047</v>
      </c>
      <c r="H8870" s="22" t="s">
        <v>1953</v>
      </c>
      <c r="I8870" s="26">
        <v>43682.645995370403</v>
      </c>
      <c r="J8870" s="23" t="str">
        <f>HYPERLINK("https://www.spark-marketing.ru/Card/Person/324957", "ОГУП ""ФАРМАЦИЯ""")</f>
        <v>ОГУП "ФАРМАЦИЯ"</v>
      </c>
      <c r="K8870" s="24" t="s">
        <v>3901</v>
      </c>
      <c r="L8870" s="22" t="s">
        <v>10</v>
      </c>
      <c r="M8870" s="28" t="s">
        <v>51</v>
      </c>
      <c r="N8870" s="28" t="s">
        <v>51</v>
      </c>
    </row>
    <row r="8871" spans="1:14" x14ac:dyDescent="0.15">
      <c r="A8871" s="23" t="str">
        <f>HYPERLINK("https://www.spark-marketing.ru/Card/Person/114917", "МКОУ СОШ ЗАТО ПЕРВОМАЙСКИЙ КИРОВСКОЙ ОБЛАСТИ")</f>
        <v>МКОУ СОШ ЗАТО ПЕРВОМАЙСКИЙ КИРОВСКОЙ ОБЛАСТИ</v>
      </c>
      <c r="B8871" s="24" t="s">
        <v>12918</v>
      </c>
      <c r="C8871" s="25">
        <v>1553200</v>
      </c>
      <c r="D8871" s="22" t="s">
        <v>12919</v>
      </c>
      <c r="E8871" s="22" t="s">
        <v>48</v>
      </c>
      <c r="F8871" s="23" t="str">
        <f>HYPERLINK("https://www.spark-marketing.ru/Card/Lot/72605525", "Питание школьников")</f>
        <v>Питание школьников</v>
      </c>
      <c r="G8871" s="22" t="s">
        <v>224</v>
      </c>
      <c r="H8871" s="22" t="s">
        <v>12920</v>
      </c>
      <c r="I8871" s="26">
        <v>43682.664085648103</v>
      </c>
      <c r="J8871" s="23" t="str">
        <f>HYPERLINK("https://www.spark-marketing.ru/Card/Person/147782", "ООО ""ИНДУСТРИЯ ЗДОРОВОГО ПИТАНИЯ""")</f>
        <v>ООО "ИНДУСТРИЯ ЗДОРОВОГО ПИТАНИЯ"</v>
      </c>
      <c r="K8871" s="24" t="s">
        <v>12921</v>
      </c>
      <c r="L8871" s="22" t="s">
        <v>10</v>
      </c>
      <c r="M8871" s="28" t="s">
        <v>51</v>
      </c>
      <c r="N8871" s="28" t="s">
        <v>51</v>
      </c>
    </row>
    <row r="8872" spans="1:14" x14ac:dyDescent="0.15">
      <c r="A8872" s="23" t="str">
        <f>HYPERLINK("https://www.spark-marketing.ru/Card/Person/397646", "ООО ""РН - СТАВРОПОЛЬНЕФТЕГАЗ""")</f>
        <v>ООО "РН - СТАВРОПОЛЬНЕФТЕГАЗ"</v>
      </c>
      <c r="B8872" s="24" t="s">
        <v>858</v>
      </c>
      <c r="C8872" s="28" t="s">
        <v>51</v>
      </c>
      <c r="D8872" s="22" t="s">
        <v>12922</v>
      </c>
      <c r="E8872" s="22" t="s">
        <v>362</v>
      </c>
      <c r="F8872" s="23" t="str">
        <f>HYPERLINK("https://www.spark-marketing.ru/Card/Lot/74002802", "услуги по организации питания участников спортивно-оздоровительного мероприятия Спартакиады Общества, посвященной профессиональному празднику (буфетное обслуживание)")</f>
        <v>услуги по организации питания участников спортивно-оздоровительного мероприятия Спартакиады Общества, посвященной профессиональному празднику (буфетное обслуживание)</v>
      </c>
      <c r="G8872" s="22" t="s">
        <v>87</v>
      </c>
      <c r="H8872" s="22" t="s">
        <v>861</v>
      </c>
      <c r="I8872" s="26">
        <v>43682.603472222203</v>
      </c>
      <c r="J8872" s="28" t="s">
        <v>51</v>
      </c>
      <c r="K8872" s="28" t="s">
        <v>51</v>
      </c>
      <c r="L8872" s="28" t="s">
        <v>51</v>
      </c>
      <c r="M8872" s="28" t="s">
        <v>51</v>
      </c>
      <c r="N8872" s="28" t="s">
        <v>51</v>
      </c>
    </row>
    <row r="8873" spans="1:14" x14ac:dyDescent="0.15">
      <c r="A8873" s="23" t="str">
        <f>HYPERLINK("https://www.spark-marketing.ru/Card/Person/1983855", "МБОУ ""СШ № 1""")</f>
        <v>МБОУ "СШ № 1"</v>
      </c>
      <c r="B8873" s="24" t="s">
        <v>12923</v>
      </c>
      <c r="C8873" s="25">
        <v>1708200</v>
      </c>
      <c r="D8873" s="22" t="s">
        <v>12924</v>
      </c>
      <c r="E8873" s="22" t="s">
        <v>48</v>
      </c>
      <c r="F8873" s="23" t="str">
        <f>HYPERLINK("https://www.spark-marketing.ru/Card/Lot/72604355",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8873" s="22" t="s">
        <v>1522</v>
      </c>
      <c r="H8873" s="22" t="s">
        <v>6059</v>
      </c>
      <c r="I8873" s="26">
        <v>43682.612916666701</v>
      </c>
      <c r="J8873" s="23" t="str">
        <f>HYPERLINK("https://www.spark-marketing.ru/Card/Person/6685119", "Козачук Лидия Ильинична")</f>
        <v>Козачук Лидия Ильинична</v>
      </c>
      <c r="K8873" s="24" t="s">
        <v>12885</v>
      </c>
      <c r="L8873" s="22" t="s">
        <v>10</v>
      </c>
      <c r="M8873" s="28" t="s">
        <v>51</v>
      </c>
      <c r="N8873" s="28" t="s">
        <v>51</v>
      </c>
    </row>
    <row r="8874" spans="1:14" x14ac:dyDescent="0.15">
      <c r="A8874" s="23" t="str">
        <f>HYPERLINK("https://www.spark-marketing.ru/Card/Person/1008117", "ГБУ ВО ""ВОЛГОГРАДПАТРИОТЦЕНТР""")</f>
        <v>ГБУ ВО "ВОЛГОГРАДПАТРИОТЦЕНТР"</v>
      </c>
      <c r="B8874" s="24" t="s">
        <v>12925</v>
      </c>
      <c r="C8874" s="25">
        <v>200000</v>
      </c>
      <c r="D8874" s="22" t="s">
        <v>12926</v>
      </c>
      <c r="E8874" s="22" t="s">
        <v>1632</v>
      </c>
      <c r="F8874" s="23" t="str">
        <f>HYPERLINK("https://www.spark-marketing.ru/Card/Lot/72599886", "Оказание услуг по организации питания и проживания участников слета молодежных поисковых отрядов ""Поисковик""")</f>
        <v>Оказание услуг по организации питания и проживания участников слета молодежных поисковых отрядов "Поисковик"</v>
      </c>
      <c r="G8874" s="22" t="s">
        <v>158</v>
      </c>
      <c r="H8874" s="22" t="s">
        <v>171</v>
      </c>
      <c r="I8874" s="26">
        <v>43682.591087963003</v>
      </c>
      <c r="J8874" s="23" t="str">
        <f>HYPERLINK("https://www.spark-marketing.ru/Card/Person/508517", "ООО ""ЦДЗО ""ОРЛЕНОК НА АХТУБЕ""")</f>
        <v>ООО "ЦДЗО "ОРЛЕНОК НА АХТУБЕ"</v>
      </c>
      <c r="K8874" s="24" t="s">
        <v>12927</v>
      </c>
      <c r="L8874" s="22" t="s">
        <v>10</v>
      </c>
      <c r="M8874" s="28" t="s">
        <v>51</v>
      </c>
      <c r="N8874" s="28" t="s">
        <v>51</v>
      </c>
    </row>
    <row r="8875" spans="1:14" x14ac:dyDescent="0.15">
      <c r="A8875" s="23" t="str">
        <f>HYPERLINK("https://www.spark-marketing.ru/Card/Person/71779", "ОТДЕЛ МВД РОССИИ ПО СЕВЕРСКОМУ РАЙОНУ")</f>
        <v>ОТДЕЛ МВД РОССИИ ПО СЕВЕРСКОМУ РАЙОНУ</v>
      </c>
      <c r="B8875" s="24" t="s">
        <v>12928</v>
      </c>
      <c r="C8875" s="25">
        <v>2409000</v>
      </c>
      <c r="D8875" s="22" t="s">
        <v>12929</v>
      </c>
      <c r="E8875" s="22" t="s">
        <v>48</v>
      </c>
      <c r="F8875" s="23" t="str">
        <f>HYPERLINK("https://www.spark-marketing.ru/Card/Lot/72602321", "Услуги, по обеспечению ежедневным трехразовым , горячим питанием лиц содержащихся в ИВС Отдела МВД России по Северскому району в 2020 году")</f>
        <v>Услуги, по обеспечению ежедневным трехразовым , горячим питанием лиц содержащихся в ИВС Отдела МВД России по Северскому району в 2020 году</v>
      </c>
      <c r="G8875" s="22" t="s">
        <v>104</v>
      </c>
      <c r="H8875" s="22" t="s">
        <v>12930</v>
      </c>
      <c r="I8875" s="26">
        <v>43682.610011574099</v>
      </c>
      <c r="J8875" s="23" t="str">
        <f>HYPERLINK("https://www.spark-marketing.ru/Card/Person/149429", "Баширов Кирилл Викторович")</f>
        <v>Баширов Кирилл Викторович</v>
      </c>
      <c r="K8875" s="24" t="s">
        <v>12931</v>
      </c>
      <c r="L8875" s="22" t="s">
        <v>10</v>
      </c>
      <c r="M8875" s="28" t="s">
        <v>51</v>
      </c>
      <c r="N8875" s="28" t="s">
        <v>51</v>
      </c>
    </row>
    <row r="8876" spans="1:14" collapsed="1" x14ac:dyDescent="0.15">
      <c r="A8876" s="23" t="str">
        <f t="shared" ref="A8876:A8882" si="200">HYPERLINK("https://www.spark-marketing.ru/Card/Person/73807", "МКОУ ""ГОРШЕЧЕНСКАЯ СОШ ИМЕНИ Н.И. ЖИРОНКИНА""")</f>
        <v>МКОУ "ГОРШЕЧЕНСКАЯ СОШ ИМЕНИ Н.И. ЖИРОНКИНА"</v>
      </c>
      <c r="B8876" s="24" t="s">
        <v>12932</v>
      </c>
      <c r="C8876" s="25">
        <v>374445</v>
      </c>
      <c r="D8876" s="22" t="s">
        <v>12933</v>
      </c>
      <c r="E8876" s="22" t="s">
        <v>3809</v>
      </c>
      <c r="F8876" s="23" t="str">
        <f t="shared" ref="F8876:F8882" si="201">HYPERLINK("https://www.spark-marketing.ru/Card/Lot/72607066", "Закупка продуктов питания для нужд школы")</f>
        <v>Закупка продуктов питания для нужд школы</v>
      </c>
      <c r="G8876" s="22" t="s">
        <v>1111</v>
      </c>
      <c r="H8876" s="22" t="s">
        <v>12934</v>
      </c>
      <c r="I8876" s="26">
        <v>43682.618391203701</v>
      </c>
      <c r="J8876" s="28" t="s">
        <v>51</v>
      </c>
      <c r="K8876" s="28" t="s">
        <v>51</v>
      </c>
      <c r="L8876" s="28" t="s">
        <v>51</v>
      </c>
      <c r="M8876" s="28" t="s">
        <v>51</v>
      </c>
      <c r="N8876" s="28" t="s">
        <v>51</v>
      </c>
    </row>
    <row r="8877" spans="1:14" ht="12.75" hidden="1" outlineLevel="1" x14ac:dyDescent="0.2">
      <c r="A8877" s="23" t="str">
        <f t="shared" si="200"/>
        <v>МКОУ "ГОРШЕЧЕНСКАЯ СОШ ИМЕНИ Н.И. ЖИРОНКИНА"</v>
      </c>
      <c r="B8877" s="24" t="s">
        <v>12932</v>
      </c>
      <c r="C8877" s="25">
        <v>374445</v>
      </c>
      <c r="D8877" s="22" t="s">
        <v>12933</v>
      </c>
      <c r="E8877" s="22" t="s">
        <v>3809</v>
      </c>
      <c r="F8877" s="23" t="str">
        <f t="shared" si="201"/>
        <v>Закупка продуктов питания для нужд школы</v>
      </c>
      <c r="G8877" s="22" t="s">
        <v>1111</v>
      </c>
      <c r="H8877" s="22" t="s">
        <v>12934</v>
      </c>
      <c r="I8877" s="26">
        <v>43682.618391203701</v>
      </c>
      <c r="J8877" s="23" t="str">
        <f>HYPERLINK("https://www.spark-marketing.ru/Card/Person/670784", "Малосаева Татьяна Александровна")</f>
        <v>Малосаева Татьяна Александровна</v>
      </c>
      <c r="K8877" s="24" t="s">
        <v>12935</v>
      </c>
      <c r="L8877" s="22" t="s">
        <v>10</v>
      </c>
      <c r="M8877" s="25">
        <v>278314.49</v>
      </c>
      <c r="N8877" s="27">
        <v>0.25672798408310965</v>
      </c>
    </row>
    <row r="8878" spans="1:14" hidden="1" outlineLevel="1" x14ac:dyDescent="0.2">
      <c r="A8878" s="23" t="str">
        <f t="shared" si="200"/>
        <v>МКОУ "ГОРШЕЧЕНСКАЯ СОШ ИМЕНИ Н.И. ЖИРОНКИНА"</v>
      </c>
      <c r="B8878" s="24" t="s">
        <v>12932</v>
      </c>
      <c r="C8878" s="25">
        <v>374445</v>
      </c>
      <c r="D8878" s="22" t="s">
        <v>12933</v>
      </c>
      <c r="E8878" s="22" t="s">
        <v>3809</v>
      </c>
      <c r="F8878" s="23" t="str">
        <f t="shared" si="201"/>
        <v>Закупка продуктов питания для нужд школы</v>
      </c>
      <c r="G8878" s="22" t="s">
        <v>1111</v>
      </c>
      <c r="H8878" s="22" t="s">
        <v>12934</v>
      </c>
      <c r="I8878" s="26">
        <v>43682.618391203701</v>
      </c>
      <c r="J8878" s="23" t="str">
        <f>HYPERLINK("https://www.spark-marketing.ru/Card/Person/261801", "Ильякова Наталья Ивановна")</f>
        <v>Ильякова Наталья Ивановна</v>
      </c>
      <c r="K8878" s="24" t="s">
        <v>12936</v>
      </c>
      <c r="L8878" s="28" t="s">
        <v>51</v>
      </c>
      <c r="M8878" s="25">
        <v>298939.11</v>
      </c>
      <c r="N8878" s="27">
        <v>0.20164747826783641</v>
      </c>
    </row>
    <row r="8879" spans="1:14" hidden="1" outlineLevel="1" x14ac:dyDescent="0.2">
      <c r="A8879" s="23" t="str">
        <f t="shared" si="200"/>
        <v>МКОУ "ГОРШЕЧЕНСКАЯ СОШ ИМЕНИ Н.И. ЖИРОНКИНА"</v>
      </c>
      <c r="B8879" s="24" t="s">
        <v>12932</v>
      </c>
      <c r="C8879" s="25">
        <v>374445</v>
      </c>
      <c r="D8879" s="22" t="s">
        <v>12933</v>
      </c>
      <c r="E8879" s="22" t="s">
        <v>3809</v>
      </c>
      <c r="F8879" s="23" t="str">
        <f t="shared" si="201"/>
        <v>Закупка продуктов питания для нужд школы</v>
      </c>
      <c r="G8879" s="22" t="s">
        <v>1111</v>
      </c>
      <c r="H8879" s="22" t="s">
        <v>12934</v>
      </c>
      <c r="I8879" s="26">
        <v>43682.618391203701</v>
      </c>
      <c r="J8879" s="23" t="str">
        <f>HYPERLINK("https://www.spark-marketing.ru/Card/Person/669089", "Цинкалов Дмитрий Владимирович")</f>
        <v>Цинкалов Дмитрий Владимирович</v>
      </c>
      <c r="K8879" s="24" t="s">
        <v>12937</v>
      </c>
      <c r="L8879" s="28" t="s">
        <v>51</v>
      </c>
      <c r="M8879" s="25">
        <v>305487.59999999998</v>
      </c>
      <c r="N8879" s="27">
        <v>0.1841589552537756</v>
      </c>
    </row>
    <row r="8880" spans="1:14" hidden="1" outlineLevel="1" x14ac:dyDescent="0.2">
      <c r="A8880" s="23" t="str">
        <f t="shared" si="200"/>
        <v>МКОУ "ГОРШЕЧЕНСКАЯ СОШ ИМЕНИ Н.И. ЖИРОНКИНА"</v>
      </c>
      <c r="B8880" s="24" t="s">
        <v>12932</v>
      </c>
      <c r="C8880" s="25">
        <v>374445</v>
      </c>
      <c r="D8880" s="22" t="s">
        <v>12933</v>
      </c>
      <c r="E8880" s="22" t="s">
        <v>3809</v>
      </c>
      <c r="F8880" s="23" t="str">
        <f t="shared" si="201"/>
        <v>Закупка продуктов питания для нужд школы</v>
      </c>
      <c r="G8880" s="22" t="s">
        <v>1111</v>
      </c>
      <c r="H8880" s="22" t="s">
        <v>12934</v>
      </c>
      <c r="I8880" s="26">
        <v>43682.618391203701</v>
      </c>
      <c r="J8880" s="23" t="str">
        <f>HYPERLINK("https://www.spark-marketing.ru/Card/Person/681059", "ООО ""ПРОДИНВЕСТ""")</f>
        <v>ООО "ПРОДИНВЕСТ"</v>
      </c>
      <c r="K8880" s="24" t="s">
        <v>12938</v>
      </c>
      <c r="L8880" s="28" t="s">
        <v>51</v>
      </c>
      <c r="M8880" s="25">
        <v>317251</v>
      </c>
      <c r="N8880" s="27">
        <v>0.15274339355579591</v>
      </c>
    </row>
    <row r="8881" spans="1:14" hidden="1" outlineLevel="1" x14ac:dyDescent="0.2">
      <c r="A8881" s="23" t="str">
        <f t="shared" si="200"/>
        <v>МКОУ "ГОРШЕЧЕНСКАЯ СОШ ИМЕНИ Н.И. ЖИРОНКИНА"</v>
      </c>
      <c r="B8881" s="24" t="s">
        <v>12932</v>
      </c>
      <c r="C8881" s="25">
        <v>374445</v>
      </c>
      <c r="D8881" s="22" t="s">
        <v>12933</v>
      </c>
      <c r="E8881" s="22" t="s">
        <v>3809</v>
      </c>
      <c r="F8881" s="23" t="str">
        <f t="shared" si="201"/>
        <v>Закупка продуктов питания для нужд школы</v>
      </c>
      <c r="G8881" s="22" t="s">
        <v>1111</v>
      </c>
      <c r="H8881" s="22" t="s">
        <v>12934</v>
      </c>
      <c r="I8881" s="26">
        <v>43682.618391203701</v>
      </c>
      <c r="J8881" s="23" t="str">
        <f>HYPERLINK("https://www.spark-marketing.ru/Card/Person/437321", "ООО ""РЕГИОНТОРГСЕРВИС""")</f>
        <v>ООО "РЕГИОНТОРГСЕРВИС"</v>
      </c>
      <c r="K8881" s="24" t="s">
        <v>12939</v>
      </c>
      <c r="L8881" s="28" t="s">
        <v>51</v>
      </c>
      <c r="M8881" s="25">
        <v>332961.59999999998</v>
      </c>
      <c r="N8881" s="27">
        <v>0.11078636381845131</v>
      </c>
    </row>
    <row r="8882" spans="1:14" hidden="1" outlineLevel="1" x14ac:dyDescent="0.2">
      <c r="A8882" s="23" t="str">
        <f t="shared" si="200"/>
        <v>МКОУ "ГОРШЕЧЕНСКАЯ СОШ ИМЕНИ Н.И. ЖИРОНКИНА"</v>
      </c>
      <c r="B8882" s="24" t="s">
        <v>12932</v>
      </c>
      <c r="C8882" s="25">
        <v>374445</v>
      </c>
      <c r="D8882" s="22" t="s">
        <v>12933</v>
      </c>
      <c r="E8882" s="22" t="s">
        <v>3809</v>
      </c>
      <c r="F8882" s="23" t="str">
        <f t="shared" si="201"/>
        <v>Закупка продуктов питания для нужд школы</v>
      </c>
      <c r="G8882" s="22" t="s">
        <v>1111</v>
      </c>
      <c r="H8882" s="22" t="s">
        <v>12934</v>
      </c>
      <c r="I8882" s="26">
        <v>43682.618391203701</v>
      </c>
      <c r="J8882" s="23" t="str">
        <f>HYPERLINK("https://www.spark-marketing.ru/Card/Person/63951", "ООО ""КАЗАЦКАЯ СЛОБОДА""")</f>
        <v>ООО "КАЗАЦКАЯ СЛОБОДА"</v>
      </c>
      <c r="K8882" s="24" t="s">
        <v>12940</v>
      </c>
      <c r="L8882" s="28" t="s">
        <v>51</v>
      </c>
      <c r="M8882" s="25">
        <v>374445</v>
      </c>
      <c r="N8882" s="27">
        <v>0</v>
      </c>
    </row>
    <row r="8883" spans="1:14" x14ac:dyDescent="0.15">
      <c r="A8883" s="23" t="str">
        <f>HYPERLINK("https://www.spark-marketing.ru/Card/Person/71779", "ОТДЕЛ МВД РОССИИ ПО СЕВЕРСКОМУ РАЙОНУ")</f>
        <v>ОТДЕЛ МВД РОССИИ ПО СЕВЕРСКОМУ РАЙОНУ</v>
      </c>
      <c r="B8883" s="24" t="s">
        <v>12928</v>
      </c>
      <c r="C8883" s="25">
        <v>2529450</v>
      </c>
      <c r="D8883" s="22" t="s">
        <v>12941</v>
      </c>
      <c r="E8883" s="22" t="s">
        <v>48</v>
      </c>
      <c r="F8883" s="23" t="str">
        <f>HYPERLINK("https://www.spark-marketing.ru/Card/Lot/72602311", "Услуги, по обеспечению ежедневным трехразовым , горячим питанием лиц содержащихся в ИВС Отдела МВД России по Северскому району в 2021 г.")</f>
        <v>Услуги, по обеспечению ежедневным трехразовым , горячим питанием лиц содержащихся в ИВС Отдела МВД России по Северскому району в 2021 г.</v>
      </c>
      <c r="G8883" s="22" t="s">
        <v>104</v>
      </c>
      <c r="H8883" s="22" t="s">
        <v>12930</v>
      </c>
      <c r="I8883" s="26">
        <v>43682.606574074103</v>
      </c>
      <c r="J8883" s="23" t="str">
        <f>HYPERLINK("https://www.spark-marketing.ru/Card/Person/149429", "Баширов Кирилл Викторович")</f>
        <v>Баширов Кирилл Викторович</v>
      </c>
      <c r="K8883" s="24" t="s">
        <v>12931</v>
      </c>
      <c r="L8883" s="22" t="s">
        <v>10</v>
      </c>
      <c r="M8883" s="28" t="s">
        <v>51</v>
      </c>
      <c r="N8883" s="28" t="s">
        <v>51</v>
      </c>
    </row>
    <row r="8884" spans="1:14" collapsed="1" x14ac:dyDescent="0.15">
      <c r="A8884" s="23" t="str">
        <f t="shared" ref="A8884:A8889" si="202">HYPERLINK("https://www.spark-marketing.ru/Card/Person/73807", "МКОУ ""ГОРШЕЧЕНСКАЯ СОШ ИМЕНИ Н.И. ЖИРОНКИНА""")</f>
        <v>МКОУ "ГОРШЕЧЕНСКАЯ СОШ ИМЕНИ Н.И. ЖИРОНКИНА"</v>
      </c>
      <c r="B8884" s="24" t="s">
        <v>12932</v>
      </c>
      <c r="C8884" s="25">
        <v>370915</v>
      </c>
      <c r="D8884" s="22" t="s">
        <v>12942</v>
      </c>
      <c r="E8884" s="22" t="s">
        <v>3809</v>
      </c>
      <c r="F8884" s="23" t="str">
        <f t="shared" ref="F8884:F8889" si="203">HYPERLINK("https://www.spark-marketing.ru/Card/Lot/72607064", "Закупка продуктов питание для нужд школы")</f>
        <v>Закупка продуктов питание для нужд школы</v>
      </c>
      <c r="G8884" s="22" t="s">
        <v>1111</v>
      </c>
      <c r="H8884" s="22" t="s">
        <v>12934</v>
      </c>
      <c r="I8884" s="26">
        <v>43682.6160185185</v>
      </c>
      <c r="J8884" s="28" t="s">
        <v>51</v>
      </c>
      <c r="K8884" s="28" t="s">
        <v>51</v>
      </c>
      <c r="L8884" s="28" t="s">
        <v>51</v>
      </c>
      <c r="M8884" s="28" t="s">
        <v>51</v>
      </c>
      <c r="N8884" s="28" t="s">
        <v>51</v>
      </c>
    </row>
    <row r="8885" spans="1:14" ht="12.75" hidden="1" outlineLevel="1" x14ac:dyDescent="0.2">
      <c r="A8885" s="23" t="str">
        <f t="shared" si="202"/>
        <v>МКОУ "ГОРШЕЧЕНСКАЯ СОШ ИМЕНИ Н.И. ЖИРОНКИНА"</v>
      </c>
      <c r="B8885" s="24" t="s">
        <v>12932</v>
      </c>
      <c r="C8885" s="25">
        <v>370915</v>
      </c>
      <c r="D8885" s="22" t="s">
        <v>12942</v>
      </c>
      <c r="E8885" s="22" t="s">
        <v>3809</v>
      </c>
      <c r="F8885" s="23" t="str">
        <f t="shared" si="203"/>
        <v>Закупка продуктов питание для нужд школы</v>
      </c>
      <c r="G8885" s="22" t="s">
        <v>1111</v>
      </c>
      <c r="H8885" s="22" t="s">
        <v>12934</v>
      </c>
      <c r="I8885" s="26">
        <v>43682.6160185185</v>
      </c>
      <c r="J8885" s="23" t="str">
        <f>HYPERLINK("https://www.spark-marketing.ru/Card/Person/670784", "Малосаева Татьяна Александровна")</f>
        <v>Малосаева Татьяна Александровна</v>
      </c>
      <c r="K8885" s="24" t="s">
        <v>12935</v>
      </c>
      <c r="L8885" s="22" t="s">
        <v>10</v>
      </c>
      <c r="M8885" s="25">
        <v>249164.4</v>
      </c>
      <c r="N8885" s="27">
        <v>0.32824393729021473</v>
      </c>
    </row>
    <row r="8886" spans="1:14" hidden="1" outlineLevel="1" x14ac:dyDescent="0.2">
      <c r="A8886" s="23" t="str">
        <f t="shared" si="202"/>
        <v>МКОУ "ГОРШЕЧЕНСКАЯ СОШ ИМЕНИ Н.И. ЖИРОНКИНА"</v>
      </c>
      <c r="B8886" s="24" t="s">
        <v>12932</v>
      </c>
      <c r="C8886" s="25">
        <v>370915</v>
      </c>
      <c r="D8886" s="22" t="s">
        <v>12942</v>
      </c>
      <c r="E8886" s="22" t="s">
        <v>3809</v>
      </c>
      <c r="F8886" s="23" t="str">
        <f t="shared" si="203"/>
        <v>Закупка продуктов питание для нужд школы</v>
      </c>
      <c r="G8886" s="22" t="s">
        <v>1111</v>
      </c>
      <c r="H8886" s="22" t="s">
        <v>12934</v>
      </c>
      <c r="I8886" s="26">
        <v>43682.6160185185</v>
      </c>
      <c r="J8886" s="23" t="str">
        <f>HYPERLINK("https://www.spark-marketing.ru/Card/Person/669089", "Цинкалов Дмитрий Владимирович")</f>
        <v>Цинкалов Дмитрий Владимирович</v>
      </c>
      <c r="K8886" s="24" t="s">
        <v>12937</v>
      </c>
      <c r="L8886" s="28" t="s">
        <v>51</v>
      </c>
      <c r="M8886" s="25">
        <v>276719</v>
      </c>
      <c r="N8886" s="27">
        <v>0.25395575805777604</v>
      </c>
    </row>
    <row r="8887" spans="1:14" hidden="1" outlineLevel="1" x14ac:dyDescent="0.2">
      <c r="A8887" s="23" t="str">
        <f t="shared" si="202"/>
        <v>МКОУ "ГОРШЕЧЕНСКАЯ СОШ ИМЕНИ Н.И. ЖИРОНКИНА"</v>
      </c>
      <c r="B8887" s="24" t="s">
        <v>12932</v>
      </c>
      <c r="C8887" s="25">
        <v>370915</v>
      </c>
      <c r="D8887" s="22" t="s">
        <v>12942</v>
      </c>
      <c r="E8887" s="22" t="s">
        <v>3809</v>
      </c>
      <c r="F8887" s="23" t="str">
        <f t="shared" si="203"/>
        <v>Закупка продуктов питание для нужд школы</v>
      </c>
      <c r="G8887" s="22" t="s">
        <v>1111</v>
      </c>
      <c r="H8887" s="22" t="s">
        <v>12934</v>
      </c>
      <c r="I8887" s="26">
        <v>43682.6160185185</v>
      </c>
      <c r="J8887" s="23" t="str">
        <f>HYPERLINK("https://www.spark-marketing.ru/Card/Person/437321", "ООО ""РЕГИОНТОРГСЕРВИС""")</f>
        <v>ООО "РЕГИОНТОРГСЕРВИС"</v>
      </c>
      <c r="K8887" s="24" t="s">
        <v>12939</v>
      </c>
      <c r="L8887" s="28" t="s">
        <v>51</v>
      </c>
      <c r="M8887" s="25">
        <v>276980</v>
      </c>
      <c r="N8887" s="27">
        <v>0.25325209279754124</v>
      </c>
    </row>
    <row r="8888" spans="1:14" hidden="1" outlineLevel="1" x14ac:dyDescent="0.2">
      <c r="A8888" s="23" t="str">
        <f t="shared" si="202"/>
        <v>МКОУ "ГОРШЕЧЕНСКАЯ СОШ ИМЕНИ Н.И. ЖИРОНКИНА"</v>
      </c>
      <c r="B8888" s="24" t="s">
        <v>12932</v>
      </c>
      <c r="C8888" s="25">
        <v>370915</v>
      </c>
      <c r="D8888" s="22" t="s">
        <v>12942</v>
      </c>
      <c r="E8888" s="22" t="s">
        <v>3809</v>
      </c>
      <c r="F8888" s="23" t="str">
        <f t="shared" si="203"/>
        <v>Закупка продуктов питание для нужд школы</v>
      </c>
      <c r="G8888" s="22" t="s">
        <v>1111</v>
      </c>
      <c r="H8888" s="22" t="s">
        <v>12934</v>
      </c>
      <c r="I8888" s="26">
        <v>43682.6160185185</v>
      </c>
      <c r="J8888" s="23" t="str">
        <f>HYPERLINK("https://www.spark-marketing.ru/Card/Person/681059", "ООО ""ПРОДИНВЕСТ""")</f>
        <v>ООО "ПРОДИНВЕСТ"</v>
      </c>
      <c r="K8888" s="24" t="s">
        <v>12938</v>
      </c>
      <c r="L8888" s="28" t="s">
        <v>51</v>
      </c>
      <c r="M8888" s="25">
        <v>296900</v>
      </c>
      <c r="N8888" s="27">
        <v>0.19954706603938907</v>
      </c>
    </row>
    <row r="8889" spans="1:14" hidden="1" outlineLevel="1" x14ac:dyDescent="0.2">
      <c r="A8889" s="23" t="str">
        <f t="shared" si="202"/>
        <v>МКОУ "ГОРШЕЧЕНСКАЯ СОШ ИМЕНИ Н.И. ЖИРОНКИНА"</v>
      </c>
      <c r="B8889" s="24" t="s">
        <v>12932</v>
      </c>
      <c r="C8889" s="25">
        <v>370915</v>
      </c>
      <c r="D8889" s="22" t="s">
        <v>12942</v>
      </c>
      <c r="E8889" s="22" t="s">
        <v>3809</v>
      </c>
      <c r="F8889" s="23" t="str">
        <f t="shared" si="203"/>
        <v>Закупка продуктов питание для нужд школы</v>
      </c>
      <c r="G8889" s="22" t="s">
        <v>1111</v>
      </c>
      <c r="H8889" s="22" t="s">
        <v>12934</v>
      </c>
      <c r="I8889" s="26">
        <v>43682.6160185185</v>
      </c>
      <c r="J8889" s="23" t="str">
        <f>HYPERLINK("https://www.spark-marketing.ru/Card/Person/63951", "ООО ""КАЗАЦКАЯ СЛОБОДА""")</f>
        <v>ООО "КАЗАЦКАЯ СЛОБОДА"</v>
      </c>
      <c r="K8889" s="24" t="s">
        <v>12940</v>
      </c>
      <c r="L8889" s="28" t="s">
        <v>51</v>
      </c>
      <c r="M8889" s="25">
        <v>370915</v>
      </c>
      <c r="N8889" s="27">
        <v>0</v>
      </c>
    </row>
    <row r="8890" spans="1:14" x14ac:dyDescent="0.15">
      <c r="A8890" s="23" t="str">
        <f>HYPERLINK("https://www.spark-marketing.ru/Card/Person/950100", "МБОУ СОШ С. НОВОНИКОЛЬСКА")</f>
        <v>МБОУ СОШ С. НОВОНИКОЛЬСКА</v>
      </c>
      <c r="B8890" s="24" t="s">
        <v>12943</v>
      </c>
      <c r="C8890" s="25">
        <v>1273069.2</v>
      </c>
      <c r="D8890" s="22" t="s">
        <v>12944</v>
      </c>
      <c r="E8890" s="22" t="s">
        <v>48</v>
      </c>
      <c r="F8890" s="23" t="str">
        <f>HYPERLINK("https://www.spark-marketing.ru/Card/Lot/72588900", "оказание услуг для нужд Заказчика по организации питания учащихся")</f>
        <v>оказание услуг для нужд Заказчика по организации питания учащихся</v>
      </c>
      <c r="G8890" s="22" t="s">
        <v>543</v>
      </c>
      <c r="H8890" s="22" t="s">
        <v>543</v>
      </c>
      <c r="I8890" s="26">
        <v>43682.593518518501</v>
      </c>
      <c r="J8890" s="23" t="str">
        <f>HYPERLINK("https://www.spark-marketing.ru/Card/Person/948718", "ООО ""МАРИЯ""")</f>
        <v>ООО "МАРИЯ"</v>
      </c>
      <c r="K8890" s="24" t="s">
        <v>12889</v>
      </c>
      <c r="L8890" s="22" t="s">
        <v>10</v>
      </c>
      <c r="M8890" s="28" t="s">
        <v>51</v>
      </c>
      <c r="N8890" s="28" t="s">
        <v>51</v>
      </c>
    </row>
    <row r="8891" spans="1:14" x14ac:dyDescent="0.15">
      <c r="A8891" s="23" t="str">
        <f>HYPERLINK("https://www.spark-marketing.ru/Card/Person/1021787", "ОМВД РОССИИ ПО КОЛЬСКОМУ РАЙОНУ")</f>
        <v>ОМВД РОССИИ ПО КОЛЬСКОМУ РАЙОНУ</v>
      </c>
      <c r="B8891" s="24" t="s">
        <v>12912</v>
      </c>
      <c r="C8891" s="25">
        <v>845000</v>
      </c>
      <c r="D8891" s="22" t="s">
        <v>12945</v>
      </c>
      <c r="E8891" s="22" t="s">
        <v>48</v>
      </c>
      <c r="F8891" s="23" t="str">
        <f>HYPERLINK("https://www.spark-marketing.ru/Card/Lot/72603231", "оказание услуг по организации ежедневного горячего трехразового питания лицам, содержащимся в Центре временного содержания иностранных граждан")</f>
        <v>оказание услуг по организации ежедневного горячего трехразового питания лицам, содержащимся в Центре временного содержания иностранных граждан</v>
      </c>
      <c r="G8891" s="22" t="s">
        <v>340</v>
      </c>
      <c r="H8891" s="22" t="s">
        <v>12914</v>
      </c>
      <c r="I8891" s="26">
        <v>43682.570057870398</v>
      </c>
      <c r="J8891" s="23" t="str">
        <f>HYPERLINK("https://www.spark-marketing.ru/Card/Person/718805", "ООО ""СМАК""")</f>
        <v>ООО "СМАК"</v>
      </c>
      <c r="K8891" s="24" t="s">
        <v>2393</v>
      </c>
      <c r="L8891" s="22" t="s">
        <v>10</v>
      </c>
      <c r="M8891" s="28" t="s">
        <v>51</v>
      </c>
      <c r="N8891" s="28" t="s">
        <v>51</v>
      </c>
    </row>
    <row r="8892" spans="1:14" x14ac:dyDescent="0.15">
      <c r="A8892" s="23" t="str">
        <f>HYPERLINK("https://www.spark-marketing.ru/Card/Person/74030", "ГБУСОН РО ""СРЦ Г. РОСТОВА-НА-ДОНУ""")</f>
        <v>ГБУСОН РО "СРЦ Г. РОСТОВА-НА-ДОНУ"</v>
      </c>
      <c r="B8892" s="24" t="s">
        <v>2555</v>
      </c>
      <c r="C8892" s="25">
        <v>230944.4</v>
      </c>
      <c r="D8892" s="22" t="s">
        <v>12946</v>
      </c>
      <c r="E8892" s="22" t="s">
        <v>48</v>
      </c>
      <c r="F8892" s="23" t="str">
        <f>HYPERLINK("https://www.spark-marketing.ru/Card/Lot/72602118", "Оказание услуг по организации питании")</f>
        <v>Оказание услуг по организации питании</v>
      </c>
      <c r="G8892" s="22" t="s">
        <v>267</v>
      </c>
      <c r="H8892" s="22" t="s">
        <v>590</v>
      </c>
      <c r="I8892" s="26">
        <v>43682.562534722201</v>
      </c>
      <c r="J8892" s="28" t="s">
        <v>51</v>
      </c>
      <c r="K8892" s="28" t="s">
        <v>51</v>
      </c>
      <c r="L8892" s="28" t="s">
        <v>51</v>
      </c>
      <c r="M8892" s="28" t="s">
        <v>51</v>
      </c>
      <c r="N8892" s="28" t="s">
        <v>51</v>
      </c>
    </row>
    <row r="8893" spans="1:14" x14ac:dyDescent="0.15">
      <c r="A8893" s="23" t="str">
        <f>HYPERLINK("https://www.spark-marketing.ru/Card/Person/655127", "УПРАВЛЕНИЕ ПО ДЕЛАМ ГО, ЧС И ПБ АДМИНИСТРАЦИИ Г. АБАКАНА")</f>
        <v>УПРАВЛЕНИЕ ПО ДЕЛАМ ГО, ЧС И ПБ АДМИНИСТРАЦИИ Г. АБАКАНА</v>
      </c>
      <c r="B8893" s="24" t="s">
        <v>12947</v>
      </c>
      <c r="C8893" s="28" t="s">
        <v>51</v>
      </c>
      <c r="D8893" s="22" t="s">
        <v>12948</v>
      </c>
      <c r="E8893" s="22" t="s">
        <v>12949</v>
      </c>
      <c r="F8893" s="23" t="str">
        <f>HYPERLINK("https://www.spark-marketing.ru/Card/Lot/72591767", "Проведение предварительного отбора участников закупки в целях ликвидации последствий чрезвычайных ситуаций природного и техногенного характера на территории г. Абакана в 2019 году")</f>
        <v>Проведение предварительного отбора участников закупки в целях ликвидации последствий чрезвычайных ситуаций природного и техногенного характера на территории г. Абакана в 2019 году</v>
      </c>
      <c r="G8893" s="22" t="s">
        <v>92</v>
      </c>
      <c r="H8893" s="22" t="s">
        <v>93</v>
      </c>
      <c r="I8893" s="26">
        <v>43682.583206018498</v>
      </c>
      <c r="J8893" s="23" t="str">
        <f>HYPERLINK("https://www.spark-marketing.ru/Card/Person/468637", "МУП ""АПТЕКА № 58""")</f>
        <v>МУП "АПТЕКА № 58"</v>
      </c>
      <c r="K8893" s="24" t="s">
        <v>12950</v>
      </c>
      <c r="L8893" s="28" t="s">
        <v>51</v>
      </c>
      <c r="M8893" s="28" t="s">
        <v>51</v>
      </c>
      <c r="N8893" s="28" t="s">
        <v>51</v>
      </c>
    </row>
    <row r="8894" spans="1:14" x14ac:dyDescent="0.15">
      <c r="A8894" s="23" t="str">
        <f>HYPERLINK("https://www.spark-marketing.ru/Card/Person/1021787", "ОМВД РОССИИ ПО КОЛЬСКОМУ РАЙОНУ")</f>
        <v>ОМВД РОССИИ ПО КОЛЬСКОМУ РАЙОНУ</v>
      </c>
      <c r="B8894" s="24" t="s">
        <v>12912</v>
      </c>
      <c r="C8894" s="25">
        <v>845000</v>
      </c>
      <c r="D8894" s="22" t="s">
        <v>12951</v>
      </c>
      <c r="E8894" s="22" t="s">
        <v>48</v>
      </c>
      <c r="F8894" s="23" t="str">
        <f>HYPERLINK("https://www.spark-marketing.ru/Card/Lot/72603220", "оказание услуг по организации ежедневного горячего трехразового питания лицам, содержащимся в Центре временного содержания иностранных граждан")</f>
        <v>оказание услуг по организации ежедневного горячего трехразового питания лицам, содержащимся в Центре временного содержания иностранных граждан</v>
      </c>
      <c r="G8894" s="22" t="s">
        <v>340</v>
      </c>
      <c r="H8894" s="22" t="s">
        <v>12914</v>
      </c>
      <c r="I8894" s="26">
        <v>43682.556655092601</v>
      </c>
      <c r="J8894" s="23" t="str">
        <f>HYPERLINK("https://www.spark-marketing.ru/Card/Person/718805", "ООО ""СМАК""")</f>
        <v>ООО "СМАК"</v>
      </c>
      <c r="K8894" s="24" t="s">
        <v>2393</v>
      </c>
      <c r="L8894" s="22" t="s">
        <v>10</v>
      </c>
      <c r="M8894" s="28" t="s">
        <v>51</v>
      </c>
      <c r="N8894" s="28" t="s">
        <v>51</v>
      </c>
    </row>
    <row r="8895" spans="1:14" x14ac:dyDescent="0.15">
      <c r="A8895" s="23" t="str">
        <f>HYPERLINK("https://www.spark-marketing.ru/Card/Person/813835", "МБОУ ""БАТЫРЕВСКАЯ СОШ №1"" БАТЫРЕВСКОГО РАЙОНА ЧУВАШСКОЙ РЕСПУБЛИКИ")</f>
        <v>МБОУ "БАТЫРЕВСКАЯ СОШ №1" БАТЫРЕВСКОГО РАЙОНА ЧУВАШСКОЙ РЕСПУБЛИКИ</v>
      </c>
      <c r="B8895" s="24" t="s">
        <v>10495</v>
      </c>
      <c r="C8895" s="25">
        <v>497855</v>
      </c>
      <c r="D8895" s="22" t="s">
        <v>12952</v>
      </c>
      <c r="E8895" s="22" t="s">
        <v>48</v>
      </c>
      <c r="F8895" s="23" t="str">
        <f>HYPERLINK("https://www.spark-marketing.ru/Card/Lot/72605126", "Оказание услуг по организации питания в МБОУ ""Батыревская СОШ №1"" Батыревского района Чувашской Республики")</f>
        <v>Оказание услуг по организации питания в МБОУ "Батыревская СОШ №1" Батыревского района Чувашской Республики</v>
      </c>
      <c r="G8895" s="22" t="s">
        <v>618</v>
      </c>
      <c r="H8895" s="22" t="s">
        <v>10481</v>
      </c>
      <c r="I8895" s="26">
        <v>43682.559398148202</v>
      </c>
      <c r="J8895" s="28" t="s">
        <v>51</v>
      </c>
      <c r="K8895" s="28" t="s">
        <v>51</v>
      </c>
      <c r="L8895" s="28" t="s">
        <v>51</v>
      </c>
      <c r="M8895" s="28" t="s">
        <v>51</v>
      </c>
      <c r="N8895" s="28" t="s">
        <v>51</v>
      </c>
    </row>
    <row r="8896" spans="1:14" x14ac:dyDescent="0.15">
      <c r="A8896" s="23" t="str">
        <f>HYPERLINK("https://www.spark-marketing.ru/Card/Person/10990", "ФКУ ""ЦХИСО ГУ МВД РОССИИ ПО КЕМЕРОВСКОЙ ОБЛАСТИ""")</f>
        <v>ФКУ "ЦХИСО ГУ МВД РОССИИ ПО КЕМЕРОВСКОЙ ОБЛАСТИ"</v>
      </c>
      <c r="B8896" s="24" t="s">
        <v>12953</v>
      </c>
      <c r="C8896" s="25">
        <v>163597.06</v>
      </c>
      <c r="D8896" s="22" t="s">
        <v>12954</v>
      </c>
      <c r="E8896" s="22" t="s">
        <v>12955</v>
      </c>
      <c r="F8896" s="23" t="str">
        <f>HYPERLINK("https://www.spark-marketing.ru/Card/Lot/72598710", "Инженерное оборудование, Услуги, Строительство и ремонт, Бытовая техника и электроника")</f>
        <v>Инженерное оборудование, Услуги, Строительство и ремонт, Бытовая техника и электроника</v>
      </c>
      <c r="G8896" s="22" t="s">
        <v>304</v>
      </c>
      <c r="H8896" s="22" t="s">
        <v>1154</v>
      </c>
      <c r="I8896" s="26">
        <v>43682.579664351899</v>
      </c>
      <c r="J8896" s="28" t="s">
        <v>51</v>
      </c>
      <c r="K8896" s="28" t="s">
        <v>51</v>
      </c>
      <c r="L8896" s="28" t="s">
        <v>51</v>
      </c>
      <c r="M8896" s="28" t="s">
        <v>51</v>
      </c>
      <c r="N8896" s="28" t="s">
        <v>51</v>
      </c>
    </row>
    <row r="8897" spans="1:14" x14ac:dyDescent="0.15">
      <c r="A8897" s="23" t="str">
        <f>HYPERLINK("https://www.spark-marketing.ru/Card/Person/17319", "ГБУЗ СК ""ГКБ № 2"" Г. СТАВРОПОЛЯ")</f>
        <v>ГБУЗ СК "ГКБ № 2" Г. СТАВРОПОЛЯ</v>
      </c>
      <c r="B8897" s="24" t="s">
        <v>12956</v>
      </c>
      <c r="C8897" s="25">
        <v>1500000</v>
      </c>
      <c r="D8897" s="22" t="s">
        <v>12957</v>
      </c>
      <c r="E8897" s="22" t="s">
        <v>12958</v>
      </c>
      <c r="F8897" s="23" t="str">
        <f>HYPERLINK("https://www.spark-marketing.ru/Card/Lot/72598916", "Оказание услуг по техническому обслуживанию и ремонту оргтехники с заменой запасных частей для обеспечения нужд Ставропольского края")</f>
        <v>Оказание услуг по техническому обслуживанию и ремонту оргтехники с заменой запасных частей для обеспечения нужд Ставропольского края</v>
      </c>
      <c r="G8897" s="22" t="s">
        <v>87</v>
      </c>
      <c r="H8897" s="22" t="s">
        <v>686</v>
      </c>
      <c r="I8897" s="26">
        <v>43682.498240740701</v>
      </c>
      <c r="J8897" s="28" t="s">
        <v>51</v>
      </c>
      <c r="K8897" s="28" t="s">
        <v>51</v>
      </c>
      <c r="L8897" s="28" t="s">
        <v>51</v>
      </c>
      <c r="M8897" s="28" t="s">
        <v>51</v>
      </c>
      <c r="N8897" s="28" t="s">
        <v>51</v>
      </c>
    </row>
    <row r="8898" spans="1:14" collapsed="1" x14ac:dyDescent="0.15">
      <c r="A8898" s="23" t="str">
        <f>HYPERLINK("https://www.spark-marketing.ru/Card/Person/86458", "ГБУЗ ""ПАЛЛАСОВСКАЯ ЦРБ""")</f>
        <v>ГБУЗ "ПАЛЛАСОВСКАЯ ЦРБ"</v>
      </c>
      <c r="B8898" s="24" t="s">
        <v>12959</v>
      </c>
      <c r="C8898" s="25">
        <v>3162429</v>
      </c>
      <c r="D8898" s="22" t="s">
        <v>12960</v>
      </c>
      <c r="E8898" s="22" t="s">
        <v>48</v>
      </c>
      <c r="F8898" s="23" t="str">
        <f>HYPERLINK("https://www.spark-marketing.ru/Card/Lot/72596278", "Оказание услуг по организации лечебного питания")</f>
        <v>Оказание услуг по организации лечебного питания</v>
      </c>
      <c r="G8898" s="22" t="s">
        <v>158</v>
      </c>
      <c r="H8898" s="22" t="s">
        <v>692</v>
      </c>
      <c r="I8898" s="26">
        <v>43682.504409722198</v>
      </c>
      <c r="J8898" s="28" t="s">
        <v>51</v>
      </c>
      <c r="K8898" s="28" t="s">
        <v>51</v>
      </c>
      <c r="L8898" s="28" t="s">
        <v>51</v>
      </c>
      <c r="M8898" s="28" t="s">
        <v>51</v>
      </c>
      <c r="N8898" s="28" t="s">
        <v>51</v>
      </c>
    </row>
    <row r="8899" spans="1:14" hidden="1" outlineLevel="1" x14ac:dyDescent="0.2">
      <c r="A8899" s="23" t="str">
        <f>HYPERLINK("https://www.spark-marketing.ru/Card/Person/86458", "ГБУЗ ""ПАЛЛАСОВСКАЯ ЦРБ""")</f>
        <v>ГБУЗ "ПАЛЛАСОВСКАЯ ЦРБ"</v>
      </c>
      <c r="B8899" s="24" t="s">
        <v>12959</v>
      </c>
      <c r="C8899" s="25">
        <v>3162429</v>
      </c>
      <c r="D8899" s="22" t="s">
        <v>12960</v>
      </c>
      <c r="E8899" s="22" t="s">
        <v>48</v>
      </c>
      <c r="F8899" s="23" t="str">
        <f>HYPERLINK("https://www.spark-marketing.ru/Card/Lot/72596278", "Оказание услуг по организации лечебного питания")</f>
        <v>Оказание услуг по организации лечебного питания</v>
      </c>
      <c r="G8899" s="22" t="s">
        <v>158</v>
      </c>
      <c r="H8899" s="22" t="s">
        <v>692</v>
      </c>
      <c r="I8899" s="26">
        <v>43682.504409722198</v>
      </c>
      <c r="J8899" s="23" t="str">
        <f>HYPERLINK("https://www.spark-marketing.ru/Card/Person/503964", "ООО ""КРАСНЫЙ ОКТЯБРЬ""")</f>
        <v>ООО "КРАСНЫЙ ОКТЯБРЬ"</v>
      </c>
      <c r="K8899" s="24" t="s">
        <v>12961</v>
      </c>
      <c r="L8899" s="28" t="s">
        <v>51</v>
      </c>
      <c r="M8899" s="25">
        <v>1565401.83</v>
      </c>
      <c r="N8899" s="27">
        <v>0.50500016601163222</v>
      </c>
    </row>
    <row r="8900" spans="1:14" ht="12.75" hidden="1" outlineLevel="1" x14ac:dyDescent="0.2">
      <c r="A8900" s="23" t="str">
        <f>HYPERLINK("https://www.spark-marketing.ru/Card/Person/86458", "ГБУЗ ""ПАЛЛАСОВСКАЯ ЦРБ""")</f>
        <v>ГБУЗ "ПАЛЛАСОВСКАЯ ЦРБ"</v>
      </c>
      <c r="B8900" s="24" t="s">
        <v>12959</v>
      </c>
      <c r="C8900" s="25">
        <v>3162429</v>
      </c>
      <c r="D8900" s="22" t="s">
        <v>12960</v>
      </c>
      <c r="E8900" s="22" t="s">
        <v>48</v>
      </c>
      <c r="F8900" s="23" t="str">
        <f>HYPERLINK("https://www.spark-marketing.ru/Card/Lot/72596278", "Оказание услуг по организации лечебного питания")</f>
        <v>Оказание услуг по организации лечебного питания</v>
      </c>
      <c r="G8900" s="22" t="s">
        <v>158</v>
      </c>
      <c r="H8900" s="22" t="s">
        <v>692</v>
      </c>
      <c r="I8900" s="26">
        <v>43682.504409722198</v>
      </c>
      <c r="J8900" s="23" t="str">
        <f>HYPERLINK("https://www.spark-marketing.ru/Card/Person/6486770", "Бекесова Алия Жумажановна")</f>
        <v>Бекесова Алия Жумажановна</v>
      </c>
      <c r="K8900" s="24" t="s">
        <v>12962</v>
      </c>
      <c r="L8900" s="22" t="s">
        <v>10</v>
      </c>
      <c r="M8900" s="25">
        <v>1549589.7</v>
      </c>
      <c r="N8900" s="27">
        <v>0.51000016126844272</v>
      </c>
    </row>
    <row r="8901" spans="1:14" x14ac:dyDescent="0.15">
      <c r="A8901" s="23" t="str">
        <f>HYPERLINK("https://www.spark-marketing.ru/Card/Person/4348700", "МБОУ ""ИСОШ""")</f>
        <v>МБОУ "ИСОШ"</v>
      </c>
      <c r="B8901" s="24" t="s">
        <v>12963</v>
      </c>
      <c r="C8901" s="25">
        <v>1795975</v>
      </c>
      <c r="D8901" s="22" t="s">
        <v>12964</v>
      </c>
      <c r="E8901" s="22" t="s">
        <v>48</v>
      </c>
      <c r="F8901" s="23" t="str">
        <f>HYPERLINK("https://www.spark-marketing.ru/Card/Lot/72602059", "Оказание услуг по организации горячего питания на базе МБОУ ""ИСОШ""")</f>
        <v>Оказание услуг по организации горячего питания на базе МБОУ "ИСОШ"</v>
      </c>
      <c r="G8901" s="22" t="s">
        <v>174</v>
      </c>
      <c r="H8901" s="22" t="s">
        <v>174</v>
      </c>
      <c r="I8901" s="26">
        <v>43682.523495370398</v>
      </c>
      <c r="J8901" s="23" t="str">
        <f>HYPERLINK("https://www.spark-marketing.ru/Card/Person/240264", "Копытов Александр Петрович")</f>
        <v>Копытов Александр Петрович</v>
      </c>
      <c r="K8901" s="24" t="s">
        <v>12965</v>
      </c>
      <c r="L8901" s="22" t="s">
        <v>10</v>
      </c>
      <c r="M8901" s="28" t="s">
        <v>51</v>
      </c>
      <c r="N8901" s="28" t="s">
        <v>51</v>
      </c>
    </row>
    <row r="8902" spans="1:14" x14ac:dyDescent="0.15">
      <c r="A8902" s="23" t="str">
        <f>HYPERLINK("https://www.spark-marketing.ru/Card/Person/1039256", "МБОУ ""СШ № 4""")</f>
        <v>МБОУ "СШ № 4"</v>
      </c>
      <c r="B8902" s="24" t="s">
        <v>12966</v>
      </c>
      <c r="C8902" s="25">
        <v>1453200</v>
      </c>
      <c r="D8902" s="22" t="s">
        <v>12967</v>
      </c>
      <c r="E8902" s="22" t="s">
        <v>48</v>
      </c>
      <c r="F8902" s="23" t="str">
        <f>HYPERLINK("https://www.spark-marketing.ru/Card/Lot/72602824", "Организация горячего питания учащихся с 01 сентября 2019 года по 31 мая 2020 года")</f>
        <v>Организация горячего питания учащихся с 01 сентября 2019 года по 31 мая 2020 года</v>
      </c>
      <c r="G8902" s="22" t="s">
        <v>415</v>
      </c>
      <c r="H8902" s="22" t="s">
        <v>3733</v>
      </c>
      <c r="I8902" s="26">
        <v>43682.504305555602</v>
      </c>
      <c r="J8902" s="23" t="str">
        <f>HYPERLINK("https://www.spark-marketing.ru/Card/Person/1442199", "Сильванович Геннадий Петрович")</f>
        <v>Сильванович Геннадий Петрович</v>
      </c>
      <c r="K8902" s="24" t="s">
        <v>12968</v>
      </c>
      <c r="L8902" s="22" t="s">
        <v>10</v>
      </c>
      <c r="M8902" s="28" t="s">
        <v>51</v>
      </c>
      <c r="N8902" s="28" t="s">
        <v>51</v>
      </c>
    </row>
    <row r="8903" spans="1:14" x14ac:dyDescent="0.15">
      <c r="A8903" s="23" t="str">
        <f>HYPERLINK("https://www.spark-marketing.ru/Card/Person/6514735", "ГБУ КО ПОО ""КОЛЛЕДЖ АГРОТЕХНОЛОГИЙ И ПРИРОДООБУСТРОЙСТВА""")</f>
        <v>ГБУ КО ПОО "КОЛЛЕДЖ АГРОТЕХНОЛОГИЙ И ПРИРОДООБУСТРОЙСТВА"</v>
      </c>
      <c r="B8903" s="24" t="s">
        <v>9960</v>
      </c>
      <c r="C8903" s="25">
        <v>389313.4</v>
      </c>
      <c r="D8903" s="22" t="s">
        <v>12969</v>
      </c>
      <c r="E8903" s="22" t="s">
        <v>48</v>
      </c>
      <c r="F8903" s="23" t="str">
        <f>HYPERLINK("https://www.spark-marketing.ru/Card/Lot/72595137", "Оказание услуг по организации питания учащихся из малообеспеченных семей")</f>
        <v>Оказание услуг по организации питания учащихся из малообеспеченных семей</v>
      </c>
      <c r="G8903" s="22" t="s">
        <v>400</v>
      </c>
      <c r="H8903" s="22" t="s">
        <v>9962</v>
      </c>
      <c r="I8903" s="26">
        <v>43682.511805555601</v>
      </c>
      <c r="J8903" s="28" t="s">
        <v>51</v>
      </c>
      <c r="K8903" s="28" t="s">
        <v>51</v>
      </c>
      <c r="L8903" s="28" t="s">
        <v>51</v>
      </c>
      <c r="M8903" s="28" t="s">
        <v>51</v>
      </c>
      <c r="N8903" s="28" t="s">
        <v>51</v>
      </c>
    </row>
    <row r="8904" spans="1:14" x14ac:dyDescent="0.15">
      <c r="A8904" s="23" t="str">
        <f>HYPERLINK("https://www.spark-marketing.ru/Card/Person/1070457", "МКОУ ""СШ № 3""")</f>
        <v>МКОУ "СШ № 3"</v>
      </c>
      <c r="B8904" s="24" t="s">
        <v>12970</v>
      </c>
      <c r="C8904" s="25">
        <v>509028.8</v>
      </c>
      <c r="D8904" s="22" t="s">
        <v>12971</v>
      </c>
      <c r="E8904" s="22" t="s">
        <v>48</v>
      </c>
      <c r="F8904" s="23" t="str">
        <f>HYPERLINK("https://www.spark-marketing.ru/Card/Lot/72599187", "Оказание услуг по организации питания учащихся")</f>
        <v>Оказание услуг по организации питания учащихся</v>
      </c>
      <c r="G8904" s="22" t="s">
        <v>68</v>
      </c>
      <c r="H8904" s="22" t="s">
        <v>12972</v>
      </c>
      <c r="I8904" s="26">
        <v>43682.535821759302</v>
      </c>
      <c r="J8904" s="23" t="str">
        <f>HYPERLINK("https://www.spark-marketing.ru/Card/Person/4551360", "Еремина Светлана Васильевна")</f>
        <v>Еремина Светлана Васильевна</v>
      </c>
      <c r="K8904" s="24" t="s">
        <v>12973</v>
      </c>
      <c r="L8904" s="22" t="s">
        <v>10</v>
      </c>
      <c r="M8904" s="28" t="s">
        <v>51</v>
      </c>
      <c r="N8904" s="28" t="s">
        <v>51</v>
      </c>
    </row>
    <row r="8905" spans="1:14" x14ac:dyDescent="0.15">
      <c r="A8905" s="23" t="str">
        <f>HYPERLINK("https://www.spark-marketing.ru/Card/Person/6514735", "ГБУ КО ПОО ""КОЛЛЕДЖ АГРОТЕХНОЛОГИЙ И ПРИРОДООБУСТРОЙСТВА""")</f>
        <v>ГБУ КО ПОО "КОЛЛЕДЖ АГРОТЕХНОЛОГИЙ И ПРИРОДООБУСТРОЙСТВА"</v>
      </c>
      <c r="B8905" s="24" t="s">
        <v>9960</v>
      </c>
      <c r="C8905" s="25">
        <v>432515.5</v>
      </c>
      <c r="D8905" s="22" t="s">
        <v>12974</v>
      </c>
      <c r="E8905" s="22" t="s">
        <v>48</v>
      </c>
      <c r="F8905" s="23" t="str">
        <f>HYPERLINK("https://www.spark-marketing.ru/Card/Lot/72595101", "Оказание услуг по организации питания детей сирот и детей оставшихся без попечения родителей")</f>
        <v>Оказание услуг по организации питания детей сирот и детей оставшихся без попечения родителей</v>
      </c>
      <c r="G8905" s="22" t="s">
        <v>400</v>
      </c>
      <c r="H8905" s="22" t="s">
        <v>9962</v>
      </c>
      <c r="I8905" s="26">
        <v>43682.5090277778</v>
      </c>
      <c r="J8905" s="28" t="s">
        <v>51</v>
      </c>
      <c r="K8905" s="28" t="s">
        <v>51</v>
      </c>
      <c r="L8905" s="28" t="s">
        <v>51</v>
      </c>
      <c r="M8905" s="28" t="s">
        <v>51</v>
      </c>
      <c r="N8905" s="28" t="s">
        <v>51</v>
      </c>
    </row>
    <row r="8906" spans="1:14" x14ac:dyDescent="0.15">
      <c r="A8906" s="23" t="str">
        <f>HYPERLINK("https://www.spark-marketing.ru/Card/Person/1083038", "МБОУ ""СШ №7 ИМ. В.Н. ПУШКАРЁВА""")</f>
        <v>МБОУ "СШ №7 ИМ. В.Н. ПУШКАРЁВА"</v>
      </c>
      <c r="B8906" s="24" t="s">
        <v>12975</v>
      </c>
      <c r="C8906" s="25">
        <v>1998150</v>
      </c>
      <c r="D8906" s="22" t="s">
        <v>12976</v>
      </c>
      <c r="E8906" s="22" t="s">
        <v>48</v>
      </c>
      <c r="F8906" s="23" t="str">
        <f>HYPERLINK("https://www.spark-marketing.ru/Card/Lot/72603145", "Организация горячего питания учащихся с 01 сентября 2019 года по 31 мая 2020 года")</f>
        <v>Организация горячего питания учащихся с 01 сентября 2019 года по 31 мая 2020 года</v>
      </c>
      <c r="G8906" s="22" t="s">
        <v>415</v>
      </c>
      <c r="H8906" s="22" t="s">
        <v>3733</v>
      </c>
      <c r="I8906" s="26">
        <v>43682.512407407397</v>
      </c>
      <c r="J8906" s="23" t="str">
        <f>HYPERLINK("https://www.spark-marketing.ru/Card/Person/1427631", "Иванов Виктор Алексеевич")</f>
        <v>Иванов Виктор Алексеевич</v>
      </c>
      <c r="K8906" s="24" t="s">
        <v>12977</v>
      </c>
      <c r="L8906" s="22" t="s">
        <v>10</v>
      </c>
      <c r="M8906" s="28" t="s">
        <v>51</v>
      </c>
      <c r="N8906" s="28" t="s">
        <v>51</v>
      </c>
    </row>
    <row r="8907" spans="1:14" x14ac:dyDescent="0.15">
      <c r="A8907" s="23" t="str">
        <f>HYPERLINK("https://www.spark-marketing.ru/Card/Person/734850", "ФКУ БМТИВС УФСИН РОССИИ ПО РЕСПУБЛИКЕ БУРЯТИЯ")</f>
        <v>ФКУ БМТИВС УФСИН РОССИИ ПО РЕСПУБЛИКЕ БУРЯТИЯ</v>
      </c>
      <c r="B8907" s="24" t="s">
        <v>12978</v>
      </c>
      <c r="C8907" s="25">
        <v>1525</v>
      </c>
      <c r="D8907" s="22" t="s">
        <v>12979</v>
      </c>
      <c r="E8907" s="22" t="s">
        <v>12980</v>
      </c>
      <c r="F8907" s="23" t="str">
        <f>HYPERLINK("https://www.spark-marketing.ru/Card/Lot/72595302", "Оказание услуг по экспертизе продуктов питания")</f>
        <v>Оказание услуг по экспертизе продуктов питания</v>
      </c>
      <c r="G8907" s="22" t="s">
        <v>433</v>
      </c>
      <c r="H8907" s="22" t="s">
        <v>974</v>
      </c>
      <c r="I8907" s="26">
        <v>43682.511585648099</v>
      </c>
      <c r="J8907" s="28" t="s">
        <v>51</v>
      </c>
      <c r="K8907" s="28" t="s">
        <v>51</v>
      </c>
      <c r="L8907" s="28" t="s">
        <v>51</v>
      </c>
      <c r="M8907" s="28" t="s">
        <v>51</v>
      </c>
      <c r="N8907" s="28" t="s">
        <v>51</v>
      </c>
    </row>
    <row r="8908" spans="1:14" x14ac:dyDescent="0.15">
      <c r="A8908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8908" s="24" t="s">
        <v>2576</v>
      </c>
      <c r="C8908" s="25">
        <v>683500</v>
      </c>
      <c r="D8908" s="22" t="s">
        <v>12981</v>
      </c>
      <c r="E8908" s="22" t="s">
        <v>91</v>
      </c>
      <c r="F8908" s="23" t="str">
        <f>HYPERLINK("https://www.spark-marketing.ru/Card/Lot/72596525", "Оказание услуг по регламентно-профилактическому ремонту систем бесперебойного питания для обеспечения нужд Управления Федерального казначейства по Калужской, Курской области.")</f>
        <v>Оказание услуг по регламентно-профилактическому ремонту систем бесперебойного питания для обеспечения нужд Управления Федерального казначейства по Калужской, Курской области.</v>
      </c>
      <c r="G8908" s="22" t="s">
        <v>1111</v>
      </c>
      <c r="H8908" s="22" t="s">
        <v>1111</v>
      </c>
      <c r="I8908" s="26">
        <v>43682.488333333298</v>
      </c>
      <c r="J8908" s="23" t="str">
        <f>HYPERLINK("https://www.spark-marketing.ru/Card/Person/6204178", "Васильев Алексей Витальевич")</f>
        <v>Васильев Алексей Витальевич</v>
      </c>
      <c r="K8908" s="24" t="s">
        <v>5637</v>
      </c>
      <c r="L8908" s="22" t="s">
        <v>10</v>
      </c>
      <c r="M8908" s="28" t="s">
        <v>51</v>
      </c>
      <c r="N8908" s="28" t="s">
        <v>51</v>
      </c>
    </row>
    <row r="8909" spans="1:14" x14ac:dyDescent="0.15">
      <c r="A8909" s="23" t="str">
        <f>HYPERLINK("https://www.spark-marketing.ru/Card/Person/812534", "ОТДЕЛ МВД РОССИИ ПО БАЛТАСИНСКОМУ РАЙОНУ")</f>
        <v>ОТДЕЛ МВД РОССИИ ПО БАЛТАСИНСКОМУ РАЙОНУ</v>
      </c>
      <c r="B8909" s="24" t="s">
        <v>10808</v>
      </c>
      <c r="C8909" s="25">
        <v>132000</v>
      </c>
      <c r="D8909" s="22" t="s">
        <v>12982</v>
      </c>
      <c r="E8909" s="22" t="s">
        <v>48</v>
      </c>
      <c r="F8909" s="23" t="str">
        <f>HYPERLINK("https://www.spark-marketing.ru/Card/Lot/72593925",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8909" s="22" t="s">
        <v>217</v>
      </c>
      <c r="H8909" s="22" t="s">
        <v>10810</v>
      </c>
      <c r="I8909" s="26">
        <v>43682.482314814799</v>
      </c>
      <c r="J8909" s="28" t="s">
        <v>51</v>
      </c>
      <c r="K8909" s="28" t="s">
        <v>51</v>
      </c>
      <c r="L8909" s="28" t="s">
        <v>51</v>
      </c>
      <c r="M8909" s="28" t="s">
        <v>51</v>
      </c>
      <c r="N8909" s="28" t="s">
        <v>51</v>
      </c>
    </row>
    <row r="8910" spans="1:14" x14ac:dyDescent="0.15">
      <c r="A8910" s="23" t="str">
        <f>HYPERLINK("https://www.spark-marketing.ru/Card/Person/812534", "ОТДЕЛ МВД РОССИИ ПО БАЛТАСИНСКОМУ РАЙОНУ")</f>
        <v>ОТДЕЛ МВД РОССИИ ПО БАЛТАСИНСКОМУ РАЙОНУ</v>
      </c>
      <c r="B8910" s="24" t="s">
        <v>10808</v>
      </c>
      <c r="C8910" s="25">
        <v>132000</v>
      </c>
      <c r="D8910" s="22" t="s">
        <v>12983</v>
      </c>
      <c r="E8910" s="22" t="s">
        <v>48</v>
      </c>
      <c r="F8910" s="23" t="str">
        <f>HYPERLINK("https://www.spark-marketing.ru/Card/Lot/72593350",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8910" s="22" t="s">
        <v>217</v>
      </c>
      <c r="H8910" s="22" t="s">
        <v>10810</v>
      </c>
      <c r="I8910" s="26">
        <v>43682.478472222203</v>
      </c>
      <c r="J8910" s="28" t="s">
        <v>51</v>
      </c>
      <c r="K8910" s="28" t="s">
        <v>51</v>
      </c>
      <c r="L8910" s="28" t="s">
        <v>51</v>
      </c>
      <c r="M8910" s="28" t="s">
        <v>51</v>
      </c>
      <c r="N8910" s="28" t="s">
        <v>51</v>
      </c>
    </row>
    <row r="8911" spans="1:14" collapsed="1" x14ac:dyDescent="0.15">
      <c r="A8911" s="23" t="s">
        <v>114</v>
      </c>
      <c r="B8911" s="28" t="s">
        <v>51</v>
      </c>
      <c r="C8911" s="25">
        <v>1928250</v>
      </c>
      <c r="D8911" s="22" t="s">
        <v>12984</v>
      </c>
      <c r="E8911" s="22" t="s">
        <v>48</v>
      </c>
      <c r="F8911" s="23" t="str">
        <f t="shared" ref="F8911:F8916" si="204">HYPERLINK("https://www.spark-marketing.ru/Card/Lot/72607056", "Организация горячего питания учащихся")</f>
        <v>Организация горячего питания учащихся</v>
      </c>
      <c r="G8911" s="22" t="s">
        <v>51</v>
      </c>
      <c r="H8911" s="22" t="s">
        <v>51</v>
      </c>
      <c r="I8911" s="26">
        <v>43682.487002314803</v>
      </c>
      <c r="J8911" s="23" t="str">
        <f t="shared" ref="J8911:J8916" si="205">HYPERLINK("https://www.spark-marketing.ru/Card/Person/152514", "ООО ""АУТСОРСИНГ""")</f>
        <v>ООО "АУТСОРСИНГ"</v>
      </c>
      <c r="K8911" s="24" t="s">
        <v>12985</v>
      </c>
      <c r="L8911" s="22" t="s">
        <v>10</v>
      </c>
      <c r="M8911" s="28" t="s">
        <v>51</v>
      </c>
      <c r="N8911" s="28" t="s">
        <v>51</v>
      </c>
    </row>
    <row r="8912" spans="1:14" hidden="1" outlineLevel="1" x14ac:dyDescent="0.15">
      <c r="A8912" s="23" t="str">
        <f>HYPERLINK("https://www.spark-marketing.ru/Card/Person/1005154", "МОУ ""ГИМНАЗИЯ № 1 ИМ. В.Я.ШИШКОВА""")</f>
        <v>МОУ "ГИМНАЗИЯ № 1 ИМ. В.Я.ШИШКОВА"</v>
      </c>
      <c r="B8912" s="24" t="s">
        <v>12986</v>
      </c>
      <c r="C8912" s="25">
        <v>441000</v>
      </c>
      <c r="D8912" s="22" t="s">
        <v>12984</v>
      </c>
      <c r="E8912" s="22" t="s">
        <v>48</v>
      </c>
      <c r="F8912" s="23" t="str">
        <f t="shared" si="204"/>
        <v>Организация горячего питания учащихся</v>
      </c>
      <c r="G8912" s="22" t="s">
        <v>137</v>
      </c>
      <c r="H8912" s="22" t="s">
        <v>7156</v>
      </c>
      <c r="I8912" s="26">
        <v>43682.487002314803</v>
      </c>
      <c r="J8912" s="23" t="str">
        <f t="shared" si="205"/>
        <v>ООО "АУТСОРСИНГ"</v>
      </c>
      <c r="K8912" s="24" t="s">
        <v>12985</v>
      </c>
      <c r="L8912" s="22" t="s">
        <v>10</v>
      </c>
      <c r="M8912" s="28" t="s">
        <v>51</v>
      </c>
      <c r="N8912" s="28" t="s">
        <v>51</v>
      </c>
    </row>
    <row r="8913" spans="1:14" hidden="1" outlineLevel="1" x14ac:dyDescent="0.15">
      <c r="A8913" s="23" t="str">
        <f>HYPERLINK("https://www.spark-marketing.ru/Card/Person/1012654", "МОУ СОШ №4")</f>
        <v>МОУ СОШ №4</v>
      </c>
      <c r="B8913" s="24" t="s">
        <v>12987</v>
      </c>
      <c r="C8913" s="25">
        <v>787500</v>
      </c>
      <c r="D8913" s="22" t="s">
        <v>12984</v>
      </c>
      <c r="E8913" s="22" t="s">
        <v>48</v>
      </c>
      <c r="F8913" s="23" t="str">
        <f t="shared" si="204"/>
        <v>Организация горячего питания учащихся</v>
      </c>
      <c r="G8913" s="22" t="s">
        <v>137</v>
      </c>
      <c r="H8913" s="22" t="s">
        <v>7156</v>
      </c>
      <c r="I8913" s="26">
        <v>43682.487002314803</v>
      </c>
      <c r="J8913" s="23" t="str">
        <f t="shared" si="205"/>
        <v>ООО "АУТСОРСИНГ"</v>
      </c>
      <c r="K8913" s="24" t="s">
        <v>12985</v>
      </c>
      <c r="L8913" s="22" t="s">
        <v>10</v>
      </c>
      <c r="M8913" s="28" t="s">
        <v>51</v>
      </c>
      <c r="N8913" s="28" t="s">
        <v>51</v>
      </c>
    </row>
    <row r="8914" spans="1:14" hidden="1" outlineLevel="1" x14ac:dyDescent="0.15">
      <c r="A8914" s="23" t="str">
        <f>HYPERLINK("https://www.spark-marketing.ru/Card/Person/1023139", "МОУ ""СОШ № 6""")</f>
        <v>МОУ "СОШ № 6"</v>
      </c>
      <c r="B8914" s="24" t="s">
        <v>12988</v>
      </c>
      <c r="C8914" s="25">
        <v>270000</v>
      </c>
      <c r="D8914" s="22" t="s">
        <v>12984</v>
      </c>
      <c r="E8914" s="22" t="s">
        <v>48</v>
      </c>
      <c r="F8914" s="23" t="str">
        <f t="shared" si="204"/>
        <v>Организация горячего питания учащихся</v>
      </c>
      <c r="G8914" s="22" t="s">
        <v>137</v>
      </c>
      <c r="H8914" s="22" t="s">
        <v>7156</v>
      </c>
      <c r="I8914" s="26">
        <v>43682.487002314803</v>
      </c>
      <c r="J8914" s="23" t="str">
        <f t="shared" si="205"/>
        <v>ООО "АУТСОРСИНГ"</v>
      </c>
      <c r="K8914" s="24" t="s">
        <v>12985</v>
      </c>
      <c r="L8914" s="22" t="s">
        <v>10</v>
      </c>
      <c r="M8914" s="28" t="s">
        <v>51</v>
      </c>
      <c r="N8914" s="28" t="s">
        <v>51</v>
      </c>
    </row>
    <row r="8915" spans="1:14" hidden="1" outlineLevel="1" x14ac:dyDescent="0.15">
      <c r="A8915" s="23" t="str">
        <f>HYPERLINK("https://www.spark-marketing.ru/Card/Person/1032090", "МОУ ""СОШ № 3""")</f>
        <v>МОУ "СОШ № 3"</v>
      </c>
      <c r="B8915" s="24" t="s">
        <v>12989</v>
      </c>
      <c r="C8915" s="25">
        <v>202500</v>
      </c>
      <c r="D8915" s="22" t="s">
        <v>12984</v>
      </c>
      <c r="E8915" s="22" t="s">
        <v>48</v>
      </c>
      <c r="F8915" s="23" t="str">
        <f t="shared" si="204"/>
        <v>Организация горячего питания учащихся</v>
      </c>
      <c r="G8915" s="22" t="s">
        <v>137</v>
      </c>
      <c r="H8915" s="22" t="s">
        <v>7156</v>
      </c>
      <c r="I8915" s="26">
        <v>43682.487002314803</v>
      </c>
      <c r="J8915" s="23" t="str">
        <f t="shared" si="205"/>
        <v>ООО "АУТСОРСИНГ"</v>
      </c>
      <c r="K8915" s="24" t="s">
        <v>12985</v>
      </c>
      <c r="L8915" s="22" t="s">
        <v>10</v>
      </c>
      <c r="M8915" s="28" t="s">
        <v>51</v>
      </c>
      <c r="N8915" s="28" t="s">
        <v>51</v>
      </c>
    </row>
    <row r="8916" spans="1:14" hidden="1" outlineLevel="1" x14ac:dyDescent="0.15">
      <c r="A8916" s="23" t="str">
        <f>HYPERLINK("https://www.spark-marketing.ru/Card/Person/1049089", "МОУ СОШ № 2 ИМ. В.С.ПОПОВА ГОРОДА БЕЖЕЦКА ТВЕРСКОЙ ОБЛАСТИ")</f>
        <v>МОУ СОШ № 2 ИМ. В.С.ПОПОВА ГОРОДА БЕЖЕЦКА ТВЕРСКОЙ ОБЛАСТИ</v>
      </c>
      <c r="B8916" s="24" t="s">
        <v>12990</v>
      </c>
      <c r="C8916" s="25">
        <v>227250</v>
      </c>
      <c r="D8916" s="22" t="s">
        <v>12984</v>
      </c>
      <c r="E8916" s="22" t="s">
        <v>48</v>
      </c>
      <c r="F8916" s="23" t="str">
        <f t="shared" si="204"/>
        <v>Организация горячего питания учащихся</v>
      </c>
      <c r="G8916" s="22" t="s">
        <v>137</v>
      </c>
      <c r="H8916" s="22" t="s">
        <v>7156</v>
      </c>
      <c r="I8916" s="26">
        <v>43682.487002314803</v>
      </c>
      <c r="J8916" s="23" t="str">
        <f t="shared" si="205"/>
        <v>ООО "АУТСОРСИНГ"</v>
      </c>
      <c r="K8916" s="24" t="s">
        <v>12985</v>
      </c>
      <c r="L8916" s="22" t="s">
        <v>10</v>
      </c>
      <c r="M8916" s="28" t="s">
        <v>51</v>
      </c>
      <c r="N8916" s="28" t="s">
        <v>51</v>
      </c>
    </row>
    <row r="8917" spans="1:14" x14ac:dyDescent="0.15">
      <c r="A8917" s="23" t="str">
        <f>HYPERLINK("https://www.spark-marketing.ru/Card/Person/1037541", "МБОУ ""СШ № 1""")</f>
        <v>МБОУ "СШ № 1"</v>
      </c>
      <c r="B8917" s="24" t="s">
        <v>10523</v>
      </c>
      <c r="C8917" s="25">
        <v>2494660</v>
      </c>
      <c r="D8917" s="22" t="s">
        <v>12991</v>
      </c>
      <c r="E8917" s="22" t="s">
        <v>48</v>
      </c>
      <c r="F8917" s="23" t="str">
        <f>HYPERLINK("https://www.spark-marketing.ru/Card/Lot/72604183", "Организация горячего питания учащихся с 01 сентября 2019 года по 31 мая 2020 года")</f>
        <v>Организация горячего питания учащихся с 01 сентября 2019 года по 31 мая 2020 года</v>
      </c>
      <c r="G8917" s="22" t="s">
        <v>415</v>
      </c>
      <c r="H8917" s="22" t="s">
        <v>3733</v>
      </c>
      <c r="I8917" s="26">
        <v>43682.480104166701</v>
      </c>
      <c r="J8917" s="28" t="s">
        <v>51</v>
      </c>
      <c r="K8917" s="28" t="s">
        <v>51</v>
      </c>
      <c r="L8917" s="28" t="s">
        <v>51</v>
      </c>
      <c r="M8917" s="28" t="s">
        <v>51</v>
      </c>
      <c r="N8917" s="28" t="s">
        <v>51</v>
      </c>
    </row>
    <row r="8918" spans="1:14" x14ac:dyDescent="0.15">
      <c r="A8918" s="23" t="str">
        <f>HYPERLINK("https://www.spark-marketing.ru/Card/Person/4375102", "МБОУ ""СШ № 3""")</f>
        <v>МБОУ "СШ № 3"</v>
      </c>
      <c r="B8918" s="24" t="s">
        <v>12992</v>
      </c>
      <c r="C8918" s="25">
        <v>2204020</v>
      </c>
      <c r="D8918" s="22" t="s">
        <v>12993</v>
      </c>
      <c r="E8918" s="22" t="s">
        <v>48</v>
      </c>
      <c r="F8918" s="23" t="str">
        <f>HYPERLINK("https://www.spark-marketing.ru/Card/Lot/72604277", "Организация питания учащихся с 01 сентября 2019 года по 31 мая 2020 года")</f>
        <v>Организация питания учащихся с 01 сентября 2019 года по 31 мая 2020 года</v>
      </c>
      <c r="G8918" s="22" t="s">
        <v>415</v>
      </c>
      <c r="H8918" s="22" t="s">
        <v>3733</v>
      </c>
      <c r="I8918" s="26">
        <v>43682.491192129601</v>
      </c>
      <c r="J8918" s="23" t="str">
        <f>HYPERLINK("https://www.spark-marketing.ru/Card/Person/1442199", "Сильванович Геннадий Петрович")</f>
        <v>Сильванович Геннадий Петрович</v>
      </c>
      <c r="K8918" s="24" t="s">
        <v>12968</v>
      </c>
      <c r="L8918" s="22" t="s">
        <v>10</v>
      </c>
      <c r="M8918" s="28" t="s">
        <v>51</v>
      </c>
      <c r="N8918" s="28" t="s">
        <v>51</v>
      </c>
    </row>
    <row r="8919" spans="1:14" collapsed="1" x14ac:dyDescent="0.15">
      <c r="A8919" s="23" t="str">
        <f>HYPERLINK("https://www.spark-marketing.ru/Card/Person/401676", "МКОУ ""ЛОДЕЙНОПОЛЬСКАЯ ООШ № 1""")</f>
        <v>МКОУ "ЛОДЕЙНОПОЛЬСКАЯ ООШ № 1"</v>
      </c>
      <c r="B8919" s="24" t="s">
        <v>12994</v>
      </c>
      <c r="C8919" s="25">
        <v>4704044.63</v>
      </c>
      <c r="D8919" s="22" t="s">
        <v>12995</v>
      </c>
      <c r="E8919" s="22" t="s">
        <v>48</v>
      </c>
      <c r="F8919" s="23" t="str">
        <f>HYPERLINK("https://www.spark-marketing.ru/Card/Lot/72624274", "Оказание услуг по организации горячего питания обучающихся в МКОУ ""Лодейнопольская основная общеобразовательная школа №1""")</f>
        <v>Оказание услуг по организации горячего питания обучающихся в МКОУ "Лодейнопольская основная общеобразовательная школа №1"</v>
      </c>
      <c r="G8919" s="22" t="s">
        <v>162</v>
      </c>
      <c r="H8919" s="22" t="s">
        <v>12727</v>
      </c>
      <c r="I8919" s="26">
        <v>43682.465671296297</v>
      </c>
      <c r="J8919" s="28" t="s">
        <v>51</v>
      </c>
      <c r="K8919" s="28" t="s">
        <v>51</v>
      </c>
      <c r="L8919" s="28" t="s">
        <v>51</v>
      </c>
      <c r="M8919" s="28" t="s">
        <v>51</v>
      </c>
      <c r="N8919" s="28" t="s">
        <v>51</v>
      </c>
    </row>
    <row r="8920" spans="1:14" ht="12.75" hidden="1" outlineLevel="1" x14ac:dyDescent="0.2">
      <c r="A8920" s="23" t="str">
        <f>HYPERLINK("https://www.spark-marketing.ru/Card/Person/401676", "МКОУ ""ЛОДЕЙНОПОЛЬСКАЯ ООШ № 1""")</f>
        <v>МКОУ "ЛОДЕЙНОПОЛЬСКАЯ ООШ № 1"</v>
      </c>
      <c r="B8920" s="24" t="s">
        <v>12994</v>
      </c>
      <c r="C8920" s="25">
        <v>4704044.63</v>
      </c>
      <c r="D8920" s="22" t="s">
        <v>12995</v>
      </c>
      <c r="E8920" s="22" t="s">
        <v>48</v>
      </c>
      <c r="F8920" s="23" t="str">
        <f>HYPERLINK("https://www.spark-marketing.ru/Card/Lot/72624274", "Оказание услуг по организации горячего питания обучающихся в МКОУ ""Лодейнопольская основная общеобразовательная школа №1""")</f>
        <v>Оказание услуг по организации горячего питания обучающихся в МКОУ "Лодейнопольская основная общеобразовательная школа №1"</v>
      </c>
      <c r="G8920" s="22" t="s">
        <v>162</v>
      </c>
      <c r="H8920" s="22" t="s">
        <v>12727</v>
      </c>
      <c r="I8920" s="26">
        <v>43682.465671296297</v>
      </c>
      <c r="J8920" s="23" t="str">
        <f>HYPERLINK("https://www.spark-marketing.ru/Card/Person/66983", "ООО ""ТД МАРС""")</f>
        <v>ООО "ТД МАРС"</v>
      </c>
      <c r="K8920" s="24" t="s">
        <v>8637</v>
      </c>
      <c r="L8920" s="22" t="s">
        <v>10</v>
      </c>
      <c r="M8920" s="25">
        <v>4116039.13</v>
      </c>
      <c r="N8920" s="27">
        <v>0.1249999832590874</v>
      </c>
    </row>
    <row r="8921" spans="1:14" hidden="1" outlineLevel="1" x14ac:dyDescent="0.2">
      <c r="A8921" s="23" t="str">
        <f>HYPERLINK("https://www.spark-marketing.ru/Card/Person/401676", "МКОУ ""ЛОДЕЙНОПОЛЬСКАЯ ООШ № 1""")</f>
        <v>МКОУ "ЛОДЕЙНОПОЛЬСКАЯ ООШ № 1"</v>
      </c>
      <c r="B8921" s="24" t="s">
        <v>12994</v>
      </c>
      <c r="C8921" s="25">
        <v>4704044.63</v>
      </c>
      <c r="D8921" s="22" t="s">
        <v>12995</v>
      </c>
      <c r="E8921" s="22" t="s">
        <v>48</v>
      </c>
      <c r="F8921" s="23" t="str">
        <f>HYPERLINK("https://www.spark-marketing.ru/Card/Lot/72624274", "Оказание услуг по организации горячего питания обучающихся в МКОУ ""Лодейнопольская основная общеобразовательная школа №1""")</f>
        <v>Оказание услуг по организации горячего питания обучающихся в МКОУ "Лодейнопольская основная общеобразовательная школа №1"</v>
      </c>
      <c r="G8921" s="22" t="s">
        <v>162</v>
      </c>
      <c r="H8921" s="22" t="s">
        <v>12727</v>
      </c>
      <c r="I8921" s="26">
        <v>43682.465671296297</v>
      </c>
      <c r="J8921" s="23" t="str">
        <f>HYPERLINK("https://www.spark-marketing.ru/Card/Person/60670", "ОАО ""БЗУ""")</f>
        <v>ОАО "БЗУ"</v>
      </c>
      <c r="K8921" s="24" t="s">
        <v>6733</v>
      </c>
      <c r="L8921" s="28" t="s">
        <v>51</v>
      </c>
      <c r="M8921" s="25">
        <v>4139559.35</v>
      </c>
      <c r="N8921" s="27">
        <v>0.11999998392872391</v>
      </c>
    </row>
    <row r="8922" spans="1:14" collapsed="1" x14ac:dyDescent="0.15">
      <c r="A8922" s="23" t="s">
        <v>114</v>
      </c>
      <c r="B8922" s="28" t="s">
        <v>51</v>
      </c>
      <c r="C8922" s="25">
        <v>21130351.850000001</v>
      </c>
      <c r="D8922" s="22" t="s">
        <v>12996</v>
      </c>
      <c r="E8922" s="22" t="s">
        <v>48</v>
      </c>
      <c r="F8922" s="23" t="str">
        <f t="shared" ref="F8922:F8945" si="206">HYPERLINK("https://www.spark-marketing.ru/Card/Lot/72604076", "Оказание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Татарстан")</f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22" s="22" t="s">
        <v>51</v>
      </c>
      <c r="H8922" s="22" t="s">
        <v>51</v>
      </c>
      <c r="I8922" s="26">
        <v>43682.461574074099</v>
      </c>
      <c r="J8922" s="28" t="s">
        <v>51</v>
      </c>
      <c r="K8922" s="28" t="s">
        <v>51</v>
      </c>
      <c r="L8922" s="28" t="s">
        <v>51</v>
      </c>
      <c r="M8922" s="28" t="s">
        <v>51</v>
      </c>
      <c r="N8922" s="28" t="s">
        <v>51</v>
      </c>
    </row>
    <row r="8923" spans="1:14" hidden="1" outlineLevel="1" x14ac:dyDescent="0.15">
      <c r="A8923" s="23" t="str">
        <f>HYPERLINK("https://www.spark-marketing.ru/Card/Person/91869", "МБОУ ""ШЕМОРДАНСКИЙ ЛИЦЕЙ""")</f>
        <v>МБОУ "ШЕМОРДАНСКИЙ ЛИЦЕЙ"</v>
      </c>
      <c r="B8923" s="24" t="s">
        <v>12997</v>
      </c>
      <c r="C8923" s="25">
        <v>3824592.76</v>
      </c>
      <c r="D8923" s="22" t="s">
        <v>12996</v>
      </c>
      <c r="E8923" s="22" t="s">
        <v>48</v>
      </c>
      <c r="F8923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23" s="22" t="s">
        <v>217</v>
      </c>
      <c r="H8923" s="22" t="s">
        <v>12998</v>
      </c>
      <c r="I8923" s="26">
        <v>43682.461574074099</v>
      </c>
      <c r="J8923" s="28" t="s">
        <v>51</v>
      </c>
      <c r="K8923" s="28" t="s">
        <v>51</v>
      </c>
      <c r="L8923" s="28" t="s">
        <v>51</v>
      </c>
      <c r="M8923" s="28" t="s">
        <v>51</v>
      </c>
      <c r="N8923" s="28" t="s">
        <v>51</v>
      </c>
    </row>
    <row r="8924" spans="1:14" hidden="1" outlineLevel="1" x14ac:dyDescent="0.15">
      <c r="A8924" s="23" t="str">
        <f>HYPERLINK("https://www.spark-marketing.ru/Card/Person/108783", "МБОУ ""ЛЕСХОЗСКАЯ СОШ""")</f>
        <v>МБОУ "ЛЕСХОЗСКАЯ СОШ"</v>
      </c>
      <c r="B8924" s="24" t="s">
        <v>12999</v>
      </c>
      <c r="C8924" s="25">
        <v>632468</v>
      </c>
      <c r="D8924" s="22" t="s">
        <v>12996</v>
      </c>
      <c r="E8924" s="22" t="s">
        <v>48</v>
      </c>
      <c r="F8924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24" s="22" t="s">
        <v>217</v>
      </c>
      <c r="H8924" s="22" t="s">
        <v>12998</v>
      </c>
      <c r="I8924" s="26">
        <v>43682.461574074099</v>
      </c>
      <c r="J8924" s="28" t="s">
        <v>51</v>
      </c>
      <c r="K8924" s="28" t="s">
        <v>51</v>
      </c>
      <c r="L8924" s="28" t="s">
        <v>51</v>
      </c>
      <c r="M8924" s="28" t="s">
        <v>51</v>
      </c>
      <c r="N8924" s="28" t="s">
        <v>51</v>
      </c>
    </row>
    <row r="8925" spans="1:14" hidden="1" outlineLevel="1" x14ac:dyDescent="0.15">
      <c r="A8925" s="23" t="str">
        <f>HYPERLINK("https://www.spark-marketing.ru/Card/Person/133529", "МБОУ ""БОЛЬШЕКИБЯЧИНСКАЯ СОШ""")</f>
        <v>МБОУ "БОЛЬШЕКИБЯЧИНСКАЯ СОШ"</v>
      </c>
      <c r="B8925" s="24" t="s">
        <v>13000</v>
      </c>
      <c r="C8925" s="25">
        <v>655944.24</v>
      </c>
      <c r="D8925" s="22" t="s">
        <v>12996</v>
      </c>
      <c r="E8925" s="22" t="s">
        <v>48</v>
      </c>
      <c r="F8925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25" s="22" t="s">
        <v>217</v>
      </c>
      <c r="H8925" s="22" t="s">
        <v>12998</v>
      </c>
      <c r="I8925" s="26">
        <v>43682.461574074099</v>
      </c>
      <c r="J8925" s="28" t="s">
        <v>51</v>
      </c>
      <c r="K8925" s="28" t="s">
        <v>51</v>
      </c>
      <c r="L8925" s="28" t="s">
        <v>51</v>
      </c>
      <c r="M8925" s="28" t="s">
        <v>51</v>
      </c>
      <c r="N8925" s="28" t="s">
        <v>51</v>
      </c>
    </row>
    <row r="8926" spans="1:14" hidden="1" outlineLevel="1" x14ac:dyDescent="0.15">
      <c r="A8926" s="23" t="str">
        <f>HYPERLINK("https://www.spark-marketing.ru/Card/Person/146634", "МБОУ ""СОШ-ИНТЕРНАТ ДЛЯ ОДАРЕННЫХ ДЕТЕЙ""")</f>
        <v>МБОУ "СОШ-ИНТЕРНАТ ДЛЯ ОДАРЕННЫХ ДЕТЕЙ"</v>
      </c>
      <c r="B8926" s="24" t="s">
        <v>13001</v>
      </c>
      <c r="C8926" s="25">
        <v>2109155.88</v>
      </c>
      <c r="D8926" s="22" t="s">
        <v>12996</v>
      </c>
      <c r="E8926" s="22" t="s">
        <v>48</v>
      </c>
      <c r="F8926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26" s="22" t="s">
        <v>217</v>
      </c>
      <c r="H8926" s="22" t="s">
        <v>12998</v>
      </c>
      <c r="I8926" s="26">
        <v>43682.461574074099</v>
      </c>
      <c r="J8926" s="28" t="s">
        <v>51</v>
      </c>
      <c r="K8926" s="28" t="s">
        <v>51</v>
      </c>
      <c r="L8926" s="28" t="s">
        <v>51</v>
      </c>
      <c r="M8926" s="28" t="s">
        <v>51</v>
      </c>
      <c r="N8926" s="28" t="s">
        <v>51</v>
      </c>
    </row>
    <row r="8927" spans="1:14" hidden="1" outlineLevel="1" x14ac:dyDescent="0.15">
      <c r="A8927" s="23" t="str">
        <f>HYPERLINK("https://www.spark-marketing.ru/Card/Person/219502", "МБОУ ""ГИМНАЗИЯ"" П.Г.Т. БОГАТЫЕ САБЫ")</f>
        <v>МБОУ "ГИМНАЗИЯ" П.Г.Т. БОГАТЫЕ САБЫ</v>
      </c>
      <c r="B8927" s="24" t="s">
        <v>13002</v>
      </c>
      <c r="C8927" s="25">
        <v>5130156.8</v>
      </c>
      <c r="D8927" s="22" t="s">
        <v>12996</v>
      </c>
      <c r="E8927" s="22" t="s">
        <v>48</v>
      </c>
      <c r="F8927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27" s="22" t="s">
        <v>217</v>
      </c>
      <c r="H8927" s="22" t="s">
        <v>12998</v>
      </c>
      <c r="I8927" s="26">
        <v>43682.461574074099</v>
      </c>
      <c r="J8927" s="28" t="s">
        <v>51</v>
      </c>
      <c r="K8927" s="28" t="s">
        <v>51</v>
      </c>
      <c r="L8927" s="28" t="s">
        <v>51</v>
      </c>
      <c r="M8927" s="28" t="s">
        <v>51</v>
      </c>
      <c r="N8927" s="28" t="s">
        <v>51</v>
      </c>
    </row>
    <row r="8928" spans="1:14" hidden="1" outlineLevel="1" x14ac:dyDescent="0.15">
      <c r="A8928" s="23" t="str">
        <f>HYPERLINK("https://www.spark-marketing.ru/Card/Person/220722", "МБОУ ""САБАБАШСКАЯ ООШ""")</f>
        <v>МБОУ "САБАБАШСКАЯ ООШ"</v>
      </c>
      <c r="B8928" s="24" t="s">
        <v>13003</v>
      </c>
      <c r="C8928" s="25">
        <v>384407.4</v>
      </c>
      <c r="D8928" s="22" t="s">
        <v>12996</v>
      </c>
      <c r="E8928" s="22" t="s">
        <v>48</v>
      </c>
      <c r="F8928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28" s="22" t="s">
        <v>217</v>
      </c>
      <c r="H8928" s="22" t="s">
        <v>12998</v>
      </c>
      <c r="I8928" s="26">
        <v>43682.461574074099</v>
      </c>
      <c r="J8928" s="28" t="s">
        <v>51</v>
      </c>
      <c r="K8928" s="28" t="s">
        <v>51</v>
      </c>
      <c r="L8928" s="28" t="s">
        <v>51</v>
      </c>
      <c r="M8928" s="28" t="s">
        <v>51</v>
      </c>
      <c r="N8928" s="28" t="s">
        <v>51</v>
      </c>
    </row>
    <row r="8929" spans="1:14" hidden="1" outlineLevel="1" x14ac:dyDescent="0.15">
      <c r="A8929" s="23" t="str">
        <f>HYPERLINK("https://www.spark-marketing.ru/Card/Person/245080", "МБОУ ""САТЫШЕВСКАЯ СОШ ИМ. Ш.З. ЗИННУРОВА""")</f>
        <v>МБОУ "САТЫШЕВСКАЯ СОШ ИМ. Ш.З. ЗИННУРОВА"</v>
      </c>
      <c r="B8929" s="24" t="s">
        <v>13004</v>
      </c>
      <c r="C8929" s="25">
        <v>779683.83999999997</v>
      </c>
      <c r="D8929" s="22" t="s">
        <v>12996</v>
      </c>
      <c r="E8929" s="22" t="s">
        <v>48</v>
      </c>
      <c r="F8929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29" s="22" t="s">
        <v>217</v>
      </c>
      <c r="H8929" s="22" t="s">
        <v>12998</v>
      </c>
      <c r="I8929" s="26">
        <v>43682.461574074099</v>
      </c>
      <c r="J8929" s="28" t="s">
        <v>51</v>
      </c>
      <c r="K8929" s="28" t="s">
        <v>51</v>
      </c>
      <c r="L8929" s="28" t="s">
        <v>51</v>
      </c>
      <c r="M8929" s="28" t="s">
        <v>51</v>
      </c>
      <c r="N8929" s="28" t="s">
        <v>51</v>
      </c>
    </row>
    <row r="8930" spans="1:14" hidden="1" outlineLevel="1" x14ac:dyDescent="0.15">
      <c r="A8930" s="23" t="str">
        <f>HYPERLINK("https://www.spark-marketing.ru/Card/Person/254126", "МБОУ ""ЮЛБАТСКАЯ ООШ""")</f>
        <v>МБОУ "ЮЛБАТСКАЯ ООШ"</v>
      </c>
      <c r="B8930" s="24" t="s">
        <v>13005</v>
      </c>
      <c r="C8930" s="25">
        <v>455068.26</v>
      </c>
      <c r="D8930" s="22" t="s">
        <v>12996</v>
      </c>
      <c r="E8930" s="22" t="s">
        <v>48</v>
      </c>
      <c r="F8930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30" s="22" t="s">
        <v>217</v>
      </c>
      <c r="H8930" s="22" t="s">
        <v>12998</v>
      </c>
      <c r="I8930" s="26">
        <v>43682.461574074099</v>
      </c>
      <c r="J8930" s="28" t="s">
        <v>51</v>
      </c>
      <c r="K8930" s="28" t="s">
        <v>51</v>
      </c>
      <c r="L8930" s="28" t="s">
        <v>51</v>
      </c>
      <c r="M8930" s="28" t="s">
        <v>51</v>
      </c>
      <c r="N8930" s="28" t="s">
        <v>51</v>
      </c>
    </row>
    <row r="8931" spans="1:14" hidden="1" outlineLevel="1" x14ac:dyDescent="0.15">
      <c r="A8931" s="23" t="str">
        <f>HYPERLINK("https://www.spark-marketing.ru/Card/Person/254171", "МБОУ ""ВЕРХНЕСИМЕТСКАЯ СОШ""")</f>
        <v>МБОУ "ВЕРХНЕСИМЕТСКАЯ СОШ"</v>
      </c>
      <c r="B8931" s="24" t="s">
        <v>13006</v>
      </c>
      <c r="C8931" s="25">
        <v>470736.46</v>
      </c>
      <c r="D8931" s="22" t="s">
        <v>12996</v>
      </c>
      <c r="E8931" s="22" t="s">
        <v>48</v>
      </c>
      <c r="F8931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31" s="22" t="s">
        <v>217</v>
      </c>
      <c r="H8931" s="22" t="s">
        <v>12998</v>
      </c>
      <c r="I8931" s="26">
        <v>43682.461574074099</v>
      </c>
      <c r="J8931" s="28" t="s">
        <v>51</v>
      </c>
      <c r="K8931" s="28" t="s">
        <v>51</v>
      </c>
      <c r="L8931" s="28" t="s">
        <v>51</v>
      </c>
      <c r="M8931" s="28" t="s">
        <v>51</v>
      </c>
      <c r="N8931" s="28" t="s">
        <v>51</v>
      </c>
    </row>
    <row r="8932" spans="1:14" hidden="1" outlineLevel="1" x14ac:dyDescent="0.15">
      <c r="A8932" s="23" t="str">
        <f>HYPERLINK("https://www.spark-marketing.ru/Card/Person/254398", "МБОУ ""БОЛЬШЕШИНАРСКАЯ СОШ""")</f>
        <v>МБОУ "БОЛЬШЕШИНАРСКАЯ СОШ"</v>
      </c>
      <c r="B8932" s="24" t="s">
        <v>13007</v>
      </c>
      <c r="C8932" s="25">
        <v>596140.80000000005</v>
      </c>
      <c r="D8932" s="22" t="s">
        <v>12996</v>
      </c>
      <c r="E8932" s="22" t="s">
        <v>48</v>
      </c>
      <c r="F8932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32" s="22" t="s">
        <v>217</v>
      </c>
      <c r="H8932" s="22" t="s">
        <v>12998</v>
      </c>
      <c r="I8932" s="26">
        <v>43682.461574074099</v>
      </c>
      <c r="J8932" s="28" t="s">
        <v>51</v>
      </c>
      <c r="K8932" s="28" t="s">
        <v>51</v>
      </c>
      <c r="L8932" s="28" t="s">
        <v>51</v>
      </c>
      <c r="M8932" s="28" t="s">
        <v>51</v>
      </c>
      <c r="N8932" s="28" t="s">
        <v>51</v>
      </c>
    </row>
    <row r="8933" spans="1:14" hidden="1" outlineLevel="1" x14ac:dyDescent="0.15">
      <c r="A8933" s="23" t="str">
        <f>HYPERLINK("https://www.spark-marketing.ru/Card/Person/254441", "МБОУ ""ИЗМИНСКАЯ СОШ""")</f>
        <v>МБОУ "ИЗМИНСКАЯ СОШ"</v>
      </c>
      <c r="B8933" s="24" t="s">
        <v>13008</v>
      </c>
      <c r="C8933" s="25">
        <v>1013023.74</v>
      </c>
      <c r="D8933" s="22" t="s">
        <v>12996</v>
      </c>
      <c r="E8933" s="22" t="s">
        <v>48</v>
      </c>
      <c r="F8933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33" s="22" t="s">
        <v>217</v>
      </c>
      <c r="H8933" s="22" t="s">
        <v>12998</v>
      </c>
      <c r="I8933" s="26">
        <v>43682.461574074099</v>
      </c>
      <c r="J8933" s="28" t="s">
        <v>51</v>
      </c>
      <c r="K8933" s="28" t="s">
        <v>51</v>
      </c>
      <c r="L8933" s="28" t="s">
        <v>51</v>
      </c>
      <c r="M8933" s="28" t="s">
        <v>51</v>
      </c>
      <c r="N8933" s="28" t="s">
        <v>51</v>
      </c>
    </row>
    <row r="8934" spans="1:14" hidden="1" outlineLevel="1" x14ac:dyDescent="0.15">
      <c r="A8934" s="23" t="str">
        <f>HYPERLINK("https://www.spark-marketing.ru/Card/Person/254521", "МБОУ ""ЕВЛАШТАУСКАЯ СОШ""")</f>
        <v>МБОУ "ЕВЛАШТАУСКАЯ СОШ"</v>
      </c>
      <c r="B8934" s="24" t="s">
        <v>13009</v>
      </c>
      <c r="C8934" s="25">
        <v>596129.1</v>
      </c>
      <c r="D8934" s="22" t="s">
        <v>12996</v>
      </c>
      <c r="E8934" s="22" t="s">
        <v>48</v>
      </c>
      <c r="F8934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34" s="22" t="s">
        <v>217</v>
      </c>
      <c r="H8934" s="22" t="s">
        <v>12998</v>
      </c>
      <c r="I8934" s="26">
        <v>43682.461574074099</v>
      </c>
      <c r="J8934" s="28" t="s">
        <v>51</v>
      </c>
      <c r="K8934" s="28" t="s">
        <v>51</v>
      </c>
      <c r="L8934" s="28" t="s">
        <v>51</v>
      </c>
      <c r="M8934" s="28" t="s">
        <v>51</v>
      </c>
      <c r="N8934" s="28" t="s">
        <v>51</v>
      </c>
    </row>
    <row r="8935" spans="1:14" hidden="1" outlineLevel="1" x14ac:dyDescent="0.15">
      <c r="A8935" s="23" t="str">
        <f>HYPERLINK("https://www.spark-marketing.ru/Card/Person/254546", "МБОУ ""КИЛЬДЕБЯКСКАЯ СОШ""")</f>
        <v>МБОУ "КИЛЬДЕБЯКСКАЯ СОШ"</v>
      </c>
      <c r="B8935" s="24" t="s">
        <v>13010</v>
      </c>
      <c r="C8935" s="25">
        <v>805020.04</v>
      </c>
      <c r="D8935" s="22" t="s">
        <v>12996</v>
      </c>
      <c r="E8935" s="22" t="s">
        <v>48</v>
      </c>
      <c r="F8935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35" s="22" t="s">
        <v>217</v>
      </c>
      <c r="H8935" s="22" t="s">
        <v>12998</v>
      </c>
      <c r="I8935" s="26">
        <v>43682.461574074099</v>
      </c>
      <c r="J8935" s="28" t="s">
        <v>51</v>
      </c>
      <c r="K8935" s="28" t="s">
        <v>51</v>
      </c>
      <c r="L8935" s="28" t="s">
        <v>51</v>
      </c>
      <c r="M8935" s="28" t="s">
        <v>51</v>
      </c>
      <c r="N8935" s="28" t="s">
        <v>51</v>
      </c>
    </row>
    <row r="8936" spans="1:14" hidden="1" outlineLevel="1" x14ac:dyDescent="0.15">
      <c r="A8936" s="23" t="str">
        <f>HYPERLINK("https://www.spark-marketing.ru/Card/Person/254583", "МБОУ ""НИЖНЕШИТЦИНСКАЯ ООШ""")</f>
        <v>МБОУ "НИЖНЕШИТЦИНСКАЯ ООШ"</v>
      </c>
      <c r="B8936" s="24" t="s">
        <v>13011</v>
      </c>
      <c r="C8936" s="25">
        <v>344898.18</v>
      </c>
      <c r="D8936" s="22" t="s">
        <v>12996</v>
      </c>
      <c r="E8936" s="22" t="s">
        <v>48</v>
      </c>
      <c r="F8936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36" s="22" t="s">
        <v>217</v>
      </c>
      <c r="H8936" s="22" t="s">
        <v>12998</v>
      </c>
      <c r="I8936" s="26">
        <v>43682.461574074099</v>
      </c>
      <c r="J8936" s="28" t="s">
        <v>51</v>
      </c>
      <c r="K8936" s="28" t="s">
        <v>51</v>
      </c>
      <c r="L8936" s="28" t="s">
        <v>51</v>
      </c>
      <c r="M8936" s="28" t="s">
        <v>51</v>
      </c>
      <c r="N8936" s="28" t="s">
        <v>51</v>
      </c>
    </row>
    <row r="8937" spans="1:14" hidden="1" outlineLevel="1" x14ac:dyDescent="0.15">
      <c r="A8937" s="23" t="str">
        <f>HYPERLINK("https://www.spark-marketing.ru/Card/Person/254657", "МБОУ ""ИШТУГАНСКАЯ СОШ""")</f>
        <v>МБОУ "ИШТУГАНСКАЯ СОШ"</v>
      </c>
      <c r="B8937" s="24" t="s">
        <v>13012</v>
      </c>
      <c r="C8937" s="25">
        <v>440342.76</v>
      </c>
      <c r="D8937" s="22" t="s">
        <v>12996</v>
      </c>
      <c r="E8937" s="22" t="s">
        <v>48</v>
      </c>
      <c r="F8937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37" s="22" t="s">
        <v>217</v>
      </c>
      <c r="H8937" s="22" t="s">
        <v>12998</v>
      </c>
      <c r="I8937" s="26">
        <v>43682.461574074099</v>
      </c>
      <c r="J8937" s="28" t="s">
        <v>51</v>
      </c>
      <c r="K8937" s="28" t="s">
        <v>51</v>
      </c>
      <c r="L8937" s="28" t="s">
        <v>51</v>
      </c>
      <c r="M8937" s="28" t="s">
        <v>51</v>
      </c>
      <c r="N8937" s="28" t="s">
        <v>51</v>
      </c>
    </row>
    <row r="8938" spans="1:14" hidden="1" outlineLevel="1" x14ac:dyDescent="0.15">
      <c r="A8938" s="23" t="str">
        <f>HYPERLINK("https://www.spark-marketing.ru/Card/Person/254658", "МБОУ ""ШИКШИНСКАЯ ООШ""")</f>
        <v>МБОУ "ШИКШИНСКАЯ ООШ"</v>
      </c>
      <c r="B8938" s="24" t="s">
        <v>13013</v>
      </c>
      <c r="C8938" s="25">
        <v>429267.51</v>
      </c>
      <c r="D8938" s="22" t="s">
        <v>12996</v>
      </c>
      <c r="E8938" s="22" t="s">
        <v>48</v>
      </c>
      <c r="F8938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38" s="22" t="s">
        <v>217</v>
      </c>
      <c r="H8938" s="22" t="s">
        <v>12998</v>
      </c>
      <c r="I8938" s="26">
        <v>43682.461574074099</v>
      </c>
      <c r="J8938" s="28" t="s">
        <v>51</v>
      </c>
      <c r="K8938" s="28" t="s">
        <v>51</v>
      </c>
      <c r="L8938" s="28" t="s">
        <v>51</v>
      </c>
      <c r="M8938" s="28" t="s">
        <v>51</v>
      </c>
      <c r="N8938" s="28" t="s">
        <v>51</v>
      </c>
    </row>
    <row r="8939" spans="1:14" hidden="1" outlineLevel="1" x14ac:dyDescent="0.15">
      <c r="A8939" s="23" t="str">
        <f>HYPERLINK("https://www.spark-marketing.ru/Card/Person/254722", "МБОУ ""КОРСАБАШСКАЯ ШКОЛА-ИНТЕРНАТ ДЛЯ ДЕТЕЙ С ОВЗ""")</f>
        <v>МБОУ "КОРСАБАШСКАЯ ШКОЛА-ИНТЕРНАТ ДЛЯ ДЕТЕЙ С ОВЗ"</v>
      </c>
      <c r="B8939" s="24" t="s">
        <v>13014</v>
      </c>
      <c r="C8939" s="25">
        <v>331840</v>
      </c>
      <c r="D8939" s="22" t="s">
        <v>12996</v>
      </c>
      <c r="E8939" s="22" t="s">
        <v>48</v>
      </c>
      <c r="F8939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39" s="22" t="s">
        <v>217</v>
      </c>
      <c r="H8939" s="22" t="s">
        <v>12998</v>
      </c>
      <c r="I8939" s="26">
        <v>43682.461574074099</v>
      </c>
      <c r="J8939" s="28" t="s">
        <v>51</v>
      </c>
      <c r="K8939" s="28" t="s">
        <v>51</v>
      </c>
      <c r="L8939" s="28" t="s">
        <v>51</v>
      </c>
      <c r="M8939" s="28" t="s">
        <v>51</v>
      </c>
      <c r="N8939" s="28" t="s">
        <v>51</v>
      </c>
    </row>
    <row r="8940" spans="1:14" hidden="1" outlineLevel="1" x14ac:dyDescent="0.15">
      <c r="A8940" s="23" t="str">
        <f>HYPERLINK("https://www.spark-marketing.ru/Card/Person/256456", "МБОУ ""ЗАВОД-НЫРТИНСКАЯ СОШ ИМ. И.С.БАШКИРОВА""")</f>
        <v>МБОУ "ЗАВОД-НЫРТИНСКАЯ СОШ ИМ. И.С.БАШКИРОВА"</v>
      </c>
      <c r="B8940" s="24" t="s">
        <v>13015</v>
      </c>
      <c r="C8940" s="25">
        <v>450354.9</v>
      </c>
      <c r="D8940" s="22" t="s">
        <v>12996</v>
      </c>
      <c r="E8940" s="22" t="s">
        <v>48</v>
      </c>
      <c r="F8940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40" s="22" t="s">
        <v>217</v>
      </c>
      <c r="H8940" s="22" t="s">
        <v>12998</v>
      </c>
      <c r="I8940" s="26">
        <v>43682.461574074099</v>
      </c>
      <c r="J8940" s="28" t="s">
        <v>51</v>
      </c>
      <c r="K8940" s="28" t="s">
        <v>51</v>
      </c>
      <c r="L8940" s="28" t="s">
        <v>51</v>
      </c>
      <c r="M8940" s="28" t="s">
        <v>51</v>
      </c>
      <c r="N8940" s="28" t="s">
        <v>51</v>
      </c>
    </row>
    <row r="8941" spans="1:14" hidden="1" outlineLevel="1" x14ac:dyDescent="0.15">
      <c r="A8941" s="23" t="str">
        <f>HYPERLINK("https://www.spark-marketing.ru/Card/Person/256457", "МБОУ ""ТИМЕРШИКСКАЯ СОШ""")</f>
        <v>МБОУ "ТИМЕРШИКСКАЯ СОШ"</v>
      </c>
      <c r="B8941" s="24" t="s">
        <v>13016</v>
      </c>
      <c r="C8941" s="25">
        <v>943315.36</v>
      </c>
      <c r="D8941" s="22" t="s">
        <v>12996</v>
      </c>
      <c r="E8941" s="22" t="s">
        <v>48</v>
      </c>
      <c r="F8941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41" s="22" t="s">
        <v>217</v>
      </c>
      <c r="H8941" s="22" t="s">
        <v>12998</v>
      </c>
      <c r="I8941" s="26">
        <v>43682.461574074099</v>
      </c>
      <c r="J8941" s="28" t="s">
        <v>51</v>
      </c>
      <c r="K8941" s="28" t="s">
        <v>51</v>
      </c>
      <c r="L8941" s="28" t="s">
        <v>51</v>
      </c>
      <c r="M8941" s="28" t="s">
        <v>51</v>
      </c>
      <c r="N8941" s="28" t="s">
        <v>51</v>
      </c>
    </row>
    <row r="8942" spans="1:14" hidden="1" outlineLevel="1" x14ac:dyDescent="0.15">
      <c r="A8942" s="23" t="str">
        <f>HYPERLINK("https://www.spark-marketing.ru/Card/Person/256458", "МБОУ ""МИЧАНСКАЯ ООШ""")</f>
        <v>МБОУ "МИЧАНСКАЯ ООШ"</v>
      </c>
      <c r="B8942" s="24" t="s">
        <v>13017</v>
      </c>
      <c r="C8942" s="25">
        <v>420012.54</v>
      </c>
      <c r="D8942" s="22" t="s">
        <v>12996</v>
      </c>
      <c r="E8942" s="22" t="s">
        <v>48</v>
      </c>
      <c r="F8942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42" s="22" t="s">
        <v>217</v>
      </c>
      <c r="H8942" s="22" t="s">
        <v>12998</v>
      </c>
      <c r="I8942" s="26">
        <v>43682.461574074099</v>
      </c>
      <c r="J8942" s="28" t="s">
        <v>51</v>
      </c>
      <c r="K8942" s="28" t="s">
        <v>51</v>
      </c>
      <c r="L8942" s="28" t="s">
        <v>51</v>
      </c>
      <c r="M8942" s="28" t="s">
        <v>51</v>
      </c>
      <c r="N8942" s="28" t="s">
        <v>51</v>
      </c>
    </row>
    <row r="8943" spans="1:14" hidden="1" outlineLevel="1" x14ac:dyDescent="0.15">
      <c r="A8943" s="23" t="str">
        <f>HYPERLINK("https://www.spark-marketing.ru/Card/Person/4380009", "МБОУ ""БОЛЬШЕАРТАШСКАЯ ООШ""")</f>
        <v>МБОУ "БОЛЬШЕАРТАШСКАЯ ООШ"</v>
      </c>
      <c r="B8943" s="24" t="s">
        <v>13018</v>
      </c>
      <c r="C8943" s="25">
        <v>317793.28000000003</v>
      </c>
      <c r="D8943" s="22" t="s">
        <v>12996</v>
      </c>
      <c r="E8943" s="22" t="s">
        <v>48</v>
      </c>
      <c r="F8943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43" s="22" t="s">
        <v>217</v>
      </c>
      <c r="H8943" s="22" t="s">
        <v>12998</v>
      </c>
      <c r="I8943" s="26">
        <v>43682.461574074099</v>
      </c>
      <c r="J8943" s="28" t="s">
        <v>51</v>
      </c>
      <c r="K8943" s="28" t="s">
        <v>51</v>
      </c>
      <c r="L8943" s="28" t="s">
        <v>51</v>
      </c>
      <c r="M8943" s="28" t="s">
        <v>51</v>
      </c>
      <c r="N8943" s="28" t="s">
        <v>51</v>
      </c>
    </row>
    <row r="8944" spans="1:14" hidden="1" outlineLevel="1" x14ac:dyDescent="0.2">
      <c r="A8944" s="28" t="s">
        <v>51</v>
      </c>
      <c r="B8944" s="28" t="s">
        <v>51</v>
      </c>
      <c r="C8944" s="28" t="s">
        <v>51</v>
      </c>
      <c r="D8944" s="22" t="s">
        <v>12996</v>
      </c>
      <c r="E8944" s="22" t="s">
        <v>48</v>
      </c>
      <c r="F8944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44" s="22" t="s">
        <v>51</v>
      </c>
      <c r="H8944" s="22" t="s">
        <v>51</v>
      </c>
      <c r="I8944" s="26">
        <v>43682.461574074099</v>
      </c>
      <c r="J8944" s="23" t="str">
        <f>HYPERLINK("https://www.spark-marketing.ru/Card/Person/363587", "ООО ""АЛЬЯНС""")</f>
        <v>ООО "АЛЬЯНС"</v>
      </c>
      <c r="K8944" s="24" t="s">
        <v>13019</v>
      </c>
      <c r="L8944" s="28" t="s">
        <v>51</v>
      </c>
      <c r="M8944" s="25">
        <v>21024700.09</v>
      </c>
      <c r="N8944" s="27">
        <v>5.0000000354939664E-3</v>
      </c>
    </row>
    <row r="8945" spans="1:14" hidden="1" outlineLevel="1" x14ac:dyDescent="0.2">
      <c r="A8945" s="28" t="s">
        <v>51</v>
      </c>
      <c r="B8945" s="28" t="s">
        <v>51</v>
      </c>
      <c r="C8945" s="28" t="s">
        <v>51</v>
      </c>
      <c r="D8945" s="22" t="s">
        <v>12996</v>
      </c>
      <c r="E8945" s="22" t="s">
        <v>48</v>
      </c>
      <c r="F8945" s="23" t="str">
        <f t="shared" si="206"/>
        <v>Оказание услуг по организации питания учащихся на 2 полугодие 2019 года для нужд Муниципальных бюджетных общеобразовательных школьных учреждений Сабинского муниципального района Республики Татарстан</v>
      </c>
      <c r="G8945" s="22" t="s">
        <v>51</v>
      </c>
      <c r="H8945" s="22" t="s">
        <v>51</v>
      </c>
      <c r="I8945" s="26">
        <v>43682.461574074099</v>
      </c>
      <c r="J8945" s="23" t="str">
        <f>HYPERLINK("https://www.spark-marketing.ru/Card/Person/6619538", "ООО ""САБИНСКИЙ ОБЩЕПИТ""")</f>
        <v>ООО "САБИНСКИЙ ОБЩЕПИТ"</v>
      </c>
      <c r="K8945" s="24" t="s">
        <v>13020</v>
      </c>
      <c r="L8945" s="22" t="s">
        <v>10</v>
      </c>
      <c r="M8945" s="25">
        <v>21024700.09</v>
      </c>
      <c r="N8945" s="27">
        <v>5.0000000354939664E-3</v>
      </c>
    </row>
    <row r="8946" spans="1:14" collapsed="1" x14ac:dyDescent="0.15">
      <c r="A8946" s="23" t="str">
        <f>HYPERLINK("https://www.spark-marketing.ru/Card/Person/35065", "БУ ""ЛАНГЕПАССКИЙ ПОЛИТЕХНИЧЕСКИЙ КОЛЛЕДЖ""")</f>
        <v>БУ "ЛАНГЕПАССКИЙ ПОЛИТЕХНИЧЕСКИЙ КОЛЛЕДЖ"</v>
      </c>
      <c r="B8946" s="24" t="s">
        <v>13021</v>
      </c>
      <c r="C8946" s="25">
        <v>1825158.4</v>
      </c>
      <c r="D8946" s="22" t="s">
        <v>13022</v>
      </c>
      <c r="E8946" s="22" t="s">
        <v>48</v>
      </c>
      <c r="F8946" s="23" t="str">
        <f>HYPERLINK("https://www.spark-marketing.ru/Card/Lot/72592189", "Оказание услуги по организации питания студентов филиала БУ ""Лангепасский политехнический колледж"" в г. Покачи")</f>
        <v>Оказание услуги по организации питания студентов филиала БУ "Лангепасский политехнический колледж" в г. Покачи</v>
      </c>
      <c r="G8946" s="22" t="s">
        <v>97</v>
      </c>
      <c r="H8946" s="22" t="s">
        <v>10725</v>
      </c>
      <c r="I8946" s="26">
        <v>43682.484085648102</v>
      </c>
      <c r="J8946" s="23" t="str">
        <f>HYPERLINK("https://www.spark-marketing.ru/Card/Person/5962213", "ООО ""КОМБИНАТ ПИТАНИЯ""")</f>
        <v>ООО "КОМБИНАТ ПИТАНИЯ"</v>
      </c>
      <c r="K8946" s="24" t="s">
        <v>13023</v>
      </c>
      <c r="L8946" s="28" t="s">
        <v>51</v>
      </c>
      <c r="M8946" s="28" t="s">
        <v>51</v>
      </c>
      <c r="N8946" s="28" t="s">
        <v>51</v>
      </c>
    </row>
    <row r="8947" spans="1:14" ht="12.75" hidden="1" outlineLevel="1" x14ac:dyDescent="0.2">
      <c r="A8947" s="23" t="str">
        <f>HYPERLINK("https://www.spark-marketing.ru/Card/Person/35065", "БУ ""ЛАНГЕПАССКИЙ ПОЛИТЕХНИЧЕСКИЙ КОЛЛЕДЖ""")</f>
        <v>БУ "ЛАНГЕПАССКИЙ ПОЛИТЕХНИЧЕСКИЙ КОЛЛЕДЖ"</v>
      </c>
      <c r="B8947" s="24" t="s">
        <v>13021</v>
      </c>
      <c r="C8947" s="25">
        <v>1825158.4</v>
      </c>
      <c r="D8947" s="22" t="s">
        <v>13022</v>
      </c>
      <c r="E8947" s="22" t="s">
        <v>48</v>
      </c>
      <c r="F8947" s="23" t="str">
        <f>HYPERLINK("https://www.spark-marketing.ru/Card/Lot/72592189", "Оказание услуги по организации питания студентов филиала БУ ""Лангепасский политехнический колледж"" в г. Покачи")</f>
        <v>Оказание услуги по организации питания студентов филиала БУ "Лангепасский политехнический колледж" в г. Покачи</v>
      </c>
      <c r="G8947" s="22" t="s">
        <v>97</v>
      </c>
      <c r="H8947" s="22" t="s">
        <v>10725</v>
      </c>
      <c r="I8947" s="26">
        <v>43682.484085648102</v>
      </c>
      <c r="J8947" s="23" t="str">
        <f>HYPERLINK("https://www.spark-marketing.ru/Card/Person/5962213", "ООО ""КОМБИНАТ ПИТАНИЯ""")</f>
        <v>ООО "КОМБИНАТ ПИТАНИЯ"</v>
      </c>
      <c r="K8947" s="24" t="s">
        <v>13023</v>
      </c>
      <c r="L8947" s="22" t="s">
        <v>10</v>
      </c>
      <c r="M8947" s="25">
        <v>1816032.61</v>
      </c>
      <c r="N8947" s="27">
        <v>4.9999989042046984E-3</v>
      </c>
    </row>
    <row r="8948" spans="1:14" collapsed="1" x14ac:dyDescent="0.15">
      <c r="A8948" s="23" t="str">
        <f>HYPERLINK("https://www.spark-marketing.ru/Card/Person/35065", "БУ ""ЛАНГЕПАССКИЙ ПОЛИТЕХНИЧЕСКИЙ КОЛЛЕДЖ""")</f>
        <v>БУ "ЛАНГЕПАССКИЙ ПОЛИТЕХНИЧЕСКИЙ КОЛЛЕДЖ"</v>
      </c>
      <c r="B8948" s="24" t="s">
        <v>13021</v>
      </c>
      <c r="C8948" s="25">
        <v>4844694.4000000004</v>
      </c>
      <c r="D8948" s="22" t="s">
        <v>13024</v>
      </c>
      <c r="E8948" s="22" t="s">
        <v>48</v>
      </c>
      <c r="F8948" s="23" t="str">
        <f>HYPERLINK("https://www.spark-marketing.ru/Card/Lot/72592188", "Оказание услуги по организации горячего питания студентов БУ ""Лангепасский политехнический колледж""")</f>
        <v>Оказание услуги по организации горячего питания студентов БУ "Лангепасский политехнический колледж"</v>
      </c>
      <c r="G8948" s="22" t="s">
        <v>97</v>
      </c>
      <c r="H8948" s="22" t="s">
        <v>10725</v>
      </c>
      <c r="I8948" s="26">
        <v>43682.483541666697</v>
      </c>
      <c r="J8948" s="28" t="s">
        <v>51</v>
      </c>
      <c r="K8948" s="28" t="s">
        <v>51</v>
      </c>
      <c r="L8948" s="28" t="s">
        <v>51</v>
      </c>
      <c r="M8948" s="28" t="s">
        <v>51</v>
      </c>
      <c r="N8948" s="28" t="s">
        <v>51</v>
      </c>
    </row>
    <row r="8949" spans="1:14" ht="12.75" hidden="1" outlineLevel="1" x14ac:dyDescent="0.2">
      <c r="A8949" s="23" t="str">
        <f>HYPERLINK("https://www.spark-marketing.ru/Card/Person/35065", "БУ ""ЛАНГЕПАССКИЙ ПОЛИТЕХНИЧЕСКИЙ КОЛЛЕДЖ""")</f>
        <v>БУ "ЛАНГЕПАССКИЙ ПОЛИТЕХНИЧЕСКИЙ КОЛЛЕДЖ"</v>
      </c>
      <c r="B8949" s="24" t="s">
        <v>13021</v>
      </c>
      <c r="C8949" s="25">
        <v>4844694.4000000004</v>
      </c>
      <c r="D8949" s="22" t="s">
        <v>13024</v>
      </c>
      <c r="E8949" s="22" t="s">
        <v>48</v>
      </c>
      <c r="F8949" s="23" t="str">
        <f>HYPERLINK("https://www.spark-marketing.ru/Card/Lot/72592188", "Оказание услуги по организации горячего питания студентов БУ ""Лангепасский политехнический колледж""")</f>
        <v>Оказание услуги по организации горячего питания студентов БУ "Лангепасский политехнический колледж"</v>
      </c>
      <c r="G8949" s="22" t="s">
        <v>97</v>
      </c>
      <c r="H8949" s="22" t="s">
        <v>10725</v>
      </c>
      <c r="I8949" s="26">
        <v>43682.483541666697</v>
      </c>
      <c r="J8949" s="23" t="str">
        <f>HYPERLINK("https://www.spark-marketing.ru/Card/Person/6483642", "МУП ""КОМБИНАТ ПИТАНИЯ""")</f>
        <v>МУП "КОМБИНАТ ПИТАНИЯ"</v>
      </c>
      <c r="K8949" s="24" t="s">
        <v>13025</v>
      </c>
      <c r="L8949" s="22" t="s">
        <v>10</v>
      </c>
      <c r="M8949" s="25">
        <v>4699353.58</v>
      </c>
      <c r="N8949" s="27">
        <v>2.9999997523063579E-2</v>
      </c>
    </row>
    <row r="8950" spans="1:14" hidden="1" outlineLevel="1" x14ac:dyDescent="0.2">
      <c r="A8950" s="23" t="str">
        <f>HYPERLINK("https://www.spark-marketing.ru/Card/Person/35065", "БУ ""ЛАНГЕПАССКИЙ ПОЛИТЕХНИЧЕСКИЙ КОЛЛЕДЖ""")</f>
        <v>БУ "ЛАНГЕПАССКИЙ ПОЛИТЕХНИЧЕСКИЙ КОЛЛЕДЖ"</v>
      </c>
      <c r="B8950" s="24" t="s">
        <v>13021</v>
      </c>
      <c r="C8950" s="25">
        <v>4844694.4000000004</v>
      </c>
      <c r="D8950" s="22" t="s">
        <v>13024</v>
      </c>
      <c r="E8950" s="22" t="s">
        <v>48</v>
      </c>
      <c r="F8950" s="23" t="str">
        <f>HYPERLINK("https://www.spark-marketing.ru/Card/Lot/72592188", "Оказание услуги по организации горячего питания студентов БУ ""Лангепасский политехнический колледж""")</f>
        <v>Оказание услуги по организации горячего питания студентов БУ "Лангепасский политехнический колледж"</v>
      </c>
      <c r="G8950" s="22" t="s">
        <v>97</v>
      </c>
      <c r="H8950" s="22" t="s">
        <v>10725</v>
      </c>
      <c r="I8950" s="26">
        <v>43682.483541666697</v>
      </c>
      <c r="J8950" s="23" t="str">
        <f>HYPERLINK("https://www.spark-marketing.ru/Card/Person/58836", "ООО ""ПРС""")</f>
        <v>ООО "ПРС"</v>
      </c>
      <c r="K8950" s="24" t="s">
        <v>13026</v>
      </c>
      <c r="L8950" s="28" t="s">
        <v>51</v>
      </c>
      <c r="M8950" s="25">
        <v>4700000</v>
      </c>
      <c r="N8950" s="27">
        <v>2.986656908638035E-2</v>
      </c>
    </row>
    <row r="8951" spans="1:14" collapsed="1" x14ac:dyDescent="0.15">
      <c r="A8951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8951" s="24" t="s">
        <v>11946</v>
      </c>
      <c r="C8951" s="25">
        <v>4700000</v>
      </c>
      <c r="D8951" s="22" t="s">
        <v>13027</v>
      </c>
      <c r="E8951" s="22" t="s">
        <v>48</v>
      </c>
      <c r="F8951" s="23" t="str">
        <f>HYPERLINK("https://www.spark-marketing.ru/Card/Lot/72596441", "Оказание  услуг по обеспечению трехразовым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Егорьевск")</f>
        <v>Оказание  услуг по обеспечению трехразовым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</v>
      </c>
      <c r="G8951" s="22" t="s">
        <v>49</v>
      </c>
      <c r="H8951" s="22" t="s">
        <v>49</v>
      </c>
      <c r="I8951" s="26">
        <v>43682.4752546296</v>
      </c>
      <c r="J8951" s="28" t="s">
        <v>51</v>
      </c>
      <c r="K8951" s="28" t="s">
        <v>51</v>
      </c>
      <c r="L8951" s="28" t="s">
        <v>51</v>
      </c>
      <c r="M8951" s="28" t="s">
        <v>51</v>
      </c>
      <c r="N8951" s="28" t="s">
        <v>51</v>
      </c>
    </row>
    <row r="8952" spans="1:14" ht="12.75" hidden="1" outlineLevel="1" x14ac:dyDescent="0.2">
      <c r="A8952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8952" s="24" t="s">
        <v>11946</v>
      </c>
      <c r="C8952" s="25">
        <v>4700000</v>
      </c>
      <c r="D8952" s="22" t="s">
        <v>13027</v>
      </c>
      <c r="E8952" s="22" t="s">
        <v>48</v>
      </c>
      <c r="F8952" s="23" t="str">
        <f>HYPERLINK("https://www.spark-marketing.ru/Card/Lot/72596441", "Оказание  услуг по обеспечению трехразовым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Егорьевск")</f>
        <v>Оказание  услуг по обеспечению трехразовым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</v>
      </c>
      <c r="G8952" s="22" t="s">
        <v>49</v>
      </c>
      <c r="H8952" s="22" t="s">
        <v>49</v>
      </c>
      <c r="I8952" s="26">
        <v>43682.4752546296</v>
      </c>
      <c r="J8952" s="23" t="str">
        <f>HYPERLINK("https://www.spark-marketing.ru/Card/Person/6427430", "Хлопотова Ирина Анатольевна")</f>
        <v>Хлопотова Ирина Анатольевна</v>
      </c>
      <c r="K8952" s="24" t="s">
        <v>11948</v>
      </c>
      <c r="L8952" s="22" t="s">
        <v>10</v>
      </c>
      <c r="M8952" s="25">
        <v>1230.05</v>
      </c>
      <c r="N8952" s="27">
        <v>0.99973828723404257</v>
      </c>
    </row>
    <row r="8953" spans="1:14" hidden="1" outlineLevel="1" x14ac:dyDescent="0.2">
      <c r="A8953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8953" s="24" t="s">
        <v>11946</v>
      </c>
      <c r="C8953" s="25">
        <v>4700000</v>
      </c>
      <c r="D8953" s="22" t="s">
        <v>13027</v>
      </c>
      <c r="E8953" s="22" t="s">
        <v>48</v>
      </c>
      <c r="F8953" s="23" t="str">
        <f>HYPERLINK("https://www.spark-marketing.ru/Card/Lot/72596441", "Оказание  услуг по обеспечению трехразовым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Егорьевск")</f>
        <v>Оказание  услуг по обеспечению трехразовым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</v>
      </c>
      <c r="G8953" s="22" t="s">
        <v>49</v>
      </c>
      <c r="H8953" s="22" t="s">
        <v>49</v>
      </c>
      <c r="I8953" s="26">
        <v>43682.4752546296</v>
      </c>
      <c r="J8953" s="23" t="str">
        <f>HYPERLINK("https://www.spark-marketing.ru/Card/Person/4684100", "ООО ""ТЕХНОЛОГИИ ВКУСА""")</f>
        <v>ООО "ТЕХНОЛОГИИ ВКУСА"</v>
      </c>
      <c r="K8953" s="24" t="s">
        <v>9609</v>
      </c>
      <c r="L8953" s="28" t="s">
        <v>51</v>
      </c>
      <c r="M8953" s="25">
        <v>1433.16</v>
      </c>
      <c r="N8953" s="27">
        <v>0.99969507234042554</v>
      </c>
    </row>
    <row r="8954" spans="1:14" hidden="1" outlineLevel="1" x14ac:dyDescent="0.2">
      <c r="A8954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8954" s="24" t="s">
        <v>11946</v>
      </c>
      <c r="C8954" s="25">
        <v>4700000</v>
      </c>
      <c r="D8954" s="22" t="s">
        <v>13027</v>
      </c>
      <c r="E8954" s="22" t="s">
        <v>48</v>
      </c>
      <c r="F8954" s="23" t="str">
        <f>HYPERLINK("https://www.spark-marketing.ru/Card/Lot/72596441", "Оказание  услуг по обеспечению трехразовым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Егорьевск")</f>
        <v>Оказание  услуг по обеспечению трехразовым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</v>
      </c>
      <c r="G8954" s="22" t="s">
        <v>49</v>
      </c>
      <c r="H8954" s="22" t="s">
        <v>49</v>
      </c>
      <c r="I8954" s="26">
        <v>43682.4752546296</v>
      </c>
      <c r="J8954" s="23" t="str">
        <f>HYPERLINK("https://www.spark-marketing.ru/Card/Person/6578901", "ООО ""ДОРОГА""")</f>
        <v>ООО "ДОРОГА"</v>
      </c>
      <c r="K8954" s="24" t="s">
        <v>3102</v>
      </c>
      <c r="L8954" s="28" t="s">
        <v>51</v>
      </c>
      <c r="M8954" s="25">
        <v>1230.05</v>
      </c>
      <c r="N8954" s="27">
        <v>0.99973828723404257</v>
      </c>
    </row>
    <row r="8955" spans="1:14" hidden="1" outlineLevel="1" x14ac:dyDescent="0.2">
      <c r="A8955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8955" s="24" t="s">
        <v>11946</v>
      </c>
      <c r="C8955" s="25">
        <v>4700000</v>
      </c>
      <c r="D8955" s="22" t="s">
        <v>13027</v>
      </c>
      <c r="E8955" s="22" t="s">
        <v>48</v>
      </c>
      <c r="F8955" s="23" t="str">
        <f>HYPERLINK("https://www.spark-marketing.ru/Card/Lot/72596441", "Оказание  услуг по обеспечению трехразовым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Егорьевск")</f>
        <v>Оказание  услуг по обеспечению трехразовым горячим питанием иностранных граждан и лиц без гражданства, содержащихся в центре временного содержания иностранных граждан ОМВД России по городскому округу Егорьевск</v>
      </c>
      <c r="G8955" s="22" t="s">
        <v>49</v>
      </c>
      <c r="H8955" s="22" t="s">
        <v>49</v>
      </c>
      <c r="I8955" s="26">
        <v>43682.4752546296</v>
      </c>
      <c r="J8955" s="23" t="str">
        <f>HYPERLINK("https://www.spark-marketing.ru/Card/Person/6617658", "ООО ""АЛЬБА""")</f>
        <v>ООО "АЛЬБА"</v>
      </c>
      <c r="K8955" s="24" t="s">
        <v>13028</v>
      </c>
      <c r="L8955" s="28" t="s">
        <v>51</v>
      </c>
      <c r="M8955" s="25">
        <v>2117.36</v>
      </c>
      <c r="N8955" s="27">
        <v>0.99954949787234038</v>
      </c>
    </row>
    <row r="8956" spans="1:14" x14ac:dyDescent="0.15">
      <c r="A8956" s="23" t="str">
        <f>HYPERLINK("https://www.spark-marketing.ru/Card/Person/125112", "МБОУ СОШ № 3")</f>
        <v>МБОУ СОШ № 3</v>
      </c>
      <c r="B8956" s="24" t="s">
        <v>13029</v>
      </c>
      <c r="C8956" s="25">
        <v>1481000.8</v>
      </c>
      <c r="D8956" s="22" t="s">
        <v>13030</v>
      </c>
      <c r="E8956" s="22" t="s">
        <v>48</v>
      </c>
      <c r="F8956" s="23" t="str">
        <f>HYPERLINK("https://www.spark-marketing.ru/Card/Lot/72588833", "организация питания учащихся")</f>
        <v>организация питания учащихся</v>
      </c>
      <c r="G8956" s="22" t="s">
        <v>543</v>
      </c>
      <c r="H8956" s="22" t="s">
        <v>1052</v>
      </c>
      <c r="I8956" s="26">
        <v>43682.494456018503</v>
      </c>
      <c r="J8956" s="23" t="str">
        <f>HYPERLINK("https://www.spark-marketing.ru/Card/Person/4016608", "ООО ""ИЛОНА-ТРЕЙД""")</f>
        <v>ООО "ИЛОНА-ТРЕЙД"</v>
      </c>
      <c r="K8956" s="24" t="s">
        <v>12890</v>
      </c>
      <c r="L8956" s="22" t="s">
        <v>10</v>
      </c>
      <c r="M8956" s="28" t="s">
        <v>51</v>
      </c>
      <c r="N8956" s="28" t="s">
        <v>51</v>
      </c>
    </row>
    <row r="8957" spans="1:14" x14ac:dyDescent="0.15">
      <c r="A8957" s="23" t="str">
        <f>HYPERLINK("https://www.spark-marketing.ru/Card/Person/1008683", "МБОУ ""СШ Г.НОВОСОКОЛЬНИКИ""")</f>
        <v>МБОУ "СШ Г.НОВОСОКОЛЬНИКИ"</v>
      </c>
      <c r="B8957" s="24" t="s">
        <v>13031</v>
      </c>
      <c r="C8957" s="25">
        <v>3049005</v>
      </c>
      <c r="D8957" s="22" t="s">
        <v>13032</v>
      </c>
      <c r="E8957" s="22" t="s">
        <v>48</v>
      </c>
      <c r="F8957" s="23" t="str">
        <f>HYPERLINK("https://www.spark-marketing.ru/Card/Lot/72598946", "Услуга по организации горячего питания(завтрак) учащихся")</f>
        <v>Услуга по организации горячего питания(завтрак) учащихся</v>
      </c>
      <c r="G8957" s="22" t="s">
        <v>415</v>
      </c>
      <c r="H8957" s="22" t="s">
        <v>415</v>
      </c>
      <c r="I8957" s="26">
        <v>43682.472233796303</v>
      </c>
      <c r="J8957" s="23" t="str">
        <f>HYPERLINK("https://www.spark-marketing.ru/Card/Person/786799", "НОВОСОКОЛЬНИЧЕСКОЕ РАЙПО")</f>
        <v>НОВОСОКОЛЬНИЧЕСКОЕ РАЙПО</v>
      </c>
      <c r="K8957" s="24" t="s">
        <v>13033</v>
      </c>
      <c r="L8957" s="22" t="s">
        <v>10</v>
      </c>
      <c r="M8957" s="28" t="s">
        <v>51</v>
      </c>
      <c r="N8957" s="28" t="s">
        <v>51</v>
      </c>
    </row>
    <row r="8958" spans="1:14" x14ac:dyDescent="0.15">
      <c r="A8958" s="23" t="str">
        <f>HYPERLINK("https://www.spark-marketing.ru/Card/Person/1021348", "МБОУ ""ГИМНАЗИЯ"" МО""ОСТРОВСКИЙ РАЙОН""")</f>
        <v>МБОУ "ГИМНАЗИЯ" МО"ОСТРОВСКИЙ РАЙОН"</v>
      </c>
      <c r="B8958" s="24" t="s">
        <v>13034</v>
      </c>
      <c r="C8958" s="25">
        <v>2167690</v>
      </c>
      <c r="D8958" s="22" t="s">
        <v>13035</v>
      </c>
      <c r="E8958" s="22" t="s">
        <v>48</v>
      </c>
      <c r="F8958" s="23" t="str">
        <f>HYPERLINK("https://www.spark-marketing.ru/Card/Lot/72604513", "Организация горячего питания учащихся с 01 сентября 2019 года по 31 мая 2020 года")</f>
        <v>Организация горячего питания учащихся с 01 сентября 2019 года по 31 мая 2020 года</v>
      </c>
      <c r="G8958" s="22" t="s">
        <v>415</v>
      </c>
      <c r="H8958" s="22" t="s">
        <v>3733</v>
      </c>
      <c r="I8958" s="26">
        <v>43682.472326388903</v>
      </c>
      <c r="J8958" s="23" t="str">
        <f>HYPERLINK("https://www.spark-marketing.ru/Card/Person/1442199", "Сильванович Геннадий Петрович")</f>
        <v>Сильванович Геннадий Петрович</v>
      </c>
      <c r="K8958" s="24" t="s">
        <v>12968</v>
      </c>
      <c r="L8958" s="22" t="s">
        <v>10</v>
      </c>
      <c r="M8958" s="28" t="s">
        <v>51</v>
      </c>
      <c r="N8958" s="28" t="s">
        <v>51</v>
      </c>
    </row>
    <row r="8959" spans="1:14" x14ac:dyDescent="0.15">
      <c r="A8959" s="23" t="str">
        <f>HYPERLINK("https://www.spark-marketing.ru/Card/Person/1011886", "МБОУ СОШ № 137")</f>
        <v>МБОУ СОШ № 137</v>
      </c>
      <c r="B8959" s="24" t="s">
        <v>9826</v>
      </c>
      <c r="C8959" s="25">
        <v>420000</v>
      </c>
      <c r="D8959" s="22" t="s">
        <v>13036</v>
      </c>
      <c r="E8959" s="22" t="s">
        <v>48</v>
      </c>
      <c r="F8959" s="23" t="str">
        <f>HYPERLINK("https://www.spark-marketing.ru/Card/Lot/72594055", "Услуги по организации горячего питания обучающихся в МБОУ СОШ № 137")</f>
        <v>Услуги по организации горячего питания обучающихся в МБОУ СОШ № 137</v>
      </c>
      <c r="G8959" s="22" t="s">
        <v>195</v>
      </c>
      <c r="H8959" s="22" t="s">
        <v>196</v>
      </c>
      <c r="I8959" s="26">
        <v>43682.488194444399</v>
      </c>
      <c r="J8959" s="28" t="s">
        <v>51</v>
      </c>
      <c r="K8959" s="28" t="s">
        <v>51</v>
      </c>
      <c r="L8959" s="28" t="s">
        <v>51</v>
      </c>
      <c r="M8959" s="28" t="s">
        <v>51</v>
      </c>
      <c r="N8959" s="28" t="s">
        <v>51</v>
      </c>
    </row>
    <row r="8960" spans="1:14" x14ac:dyDescent="0.15">
      <c r="A8960" s="23" t="str">
        <f>HYPERLINK("https://www.spark-marketing.ru/Card/Person/102646", "ОТДЕЛ МВД РОССИИ ПО БЕЛОРЕЦКОМУ РАЙОНУ")</f>
        <v>ОТДЕЛ МВД РОССИИ ПО БЕЛОРЕЦКОМУ РАЙОНУ</v>
      </c>
      <c r="B8960" s="24" t="s">
        <v>12106</v>
      </c>
      <c r="C8960" s="25">
        <v>630000</v>
      </c>
      <c r="D8960" s="22" t="s">
        <v>13037</v>
      </c>
      <c r="E8960" s="22" t="s">
        <v>48</v>
      </c>
      <c r="F8960" s="23" t="str">
        <f>HYPERLINK("https://www.spark-marketing.ru/Card/Lot/72602140", "Оказание услуг по организации ежедневного трехразового горячего питания лиц, содержащихся в изоляторе временного содержания подозреваемых и обвиняемых, лиц,  содержащихся в специальном приемнике, для содержания лиц, подвергнутых административному аре...")</f>
        <v>Оказание услуг по организации ежедневного трехразового горячего питания лиц, содержащихся в изоляторе временного содержания подозреваемых и обвиняемых, лиц,  содержащихся в специальном приемнике, для содержания лиц, подвергнутых административному аре...</v>
      </c>
      <c r="G8960" s="22" t="s">
        <v>145</v>
      </c>
      <c r="H8960" s="22" t="s">
        <v>6040</v>
      </c>
      <c r="I8960" s="26">
        <v>43682.451585648101</v>
      </c>
      <c r="J8960" s="23" t="str">
        <f>HYPERLINK("https://www.spark-marketing.ru/Card/Person/91854", "ООО ""УП ""МЕТАЛЛУРГ""")</f>
        <v>ООО "УП "МЕТАЛЛУРГ"</v>
      </c>
      <c r="K8960" s="24" t="s">
        <v>6183</v>
      </c>
      <c r="L8960" s="22" t="s">
        <v>10</v>
      </c>
      <c r="M8960" s="28" t="s">
        <v>51</v>
      </c>
      <c r="N8960" s="28" t="s">
        <v>51</v>
      </c>
    </row>
    <row r="8961" spans="1:14" x14ac:dyDescent="0.15">
      <c r="A8961" s="23" t="str">
        <f>HYPERLINK("https://www.spark-marketing.ru/Card/Person/88152", "МБОУ СОШ № 11")</f>
        <v>МБОУ СОШ № 11</v>
      </c>
      <c r="B8961" s="24" t="s">
        <v>13038</v>
      </c>
      <c r="C8961" s="25">
        <v>2012181.6</v>
      </c>
      <c r="D8961" s="22" t="s">
        <v>13039</v>
      </c>
      <c r="E8961" s="22" t="s">
        <v>48</v>
      </c>
      <c r="F8961" s="23" t="str">
        <f>HYPERLINK("https://www.spark-marketing.ru/Card/Lot/72587353", "Организация питания")</f>
        <v>Организация питания</v>
      </c>
      <c r="G8961" s="22" t="s">
        <v>543</v>
      </c>
      <c r="H8961" s="22" t="s">
        <v>1052</v>
      </c>
      <c r="I8961" s="26">
        <v>43682.426458333299</v>
      </c>
      <c r="J8961" s="23" t="str">
        <f>HYPERLINK("https://www.spark-marketing.ru/Card/Person/951582", "КГА ПОУ ""УКТУ""")</f>
        <v>КГА ПОУ "УКТУ"</v>
      </c>
      <c r="K8961" s="24" t="s">
        <v>2649</v>
      </c>
      <c r="L8961" s="22" t="s">
        <v>10</v>
      </c>
      <c r="M8961" s="28" t="s">
        <v>51</v>
      </c>
      <c r="N8961" s="28" t="s">
        <v>51</v>
      </c>
    </row>
    <row r="8962" spans="1:14" x14ac:dyDescent="0.15">
      <c r="A8962" s="23" t="str">
        <f>HYPERLINK("https://www.spark-marketing.ru/Card/Person/4377105", "МБОУ ""СРЕДНЯЯ ОБЩЕОБРАЗОВАТЕЛЬНАЯ ШКОЛА № 2"" ГОРОДСКОГО ОКРУГА СУДАК")</f>
        <v>МБОУ "СРЕДНЯЯ ОБЩЕОБРАЗОВАТЕЛЬНАЯ ШКОЛА № 2" ГОРОДСКОГО ОКРУГА СУДАК</v>
      </c>
      <c r="B8962" s="24" t="s">
        <v>13040</v>
      </c>
      <c r="C8962" s="25">
        <v>10819408</v>
      </c>
      <c r="D8962" s="22" t="s">
        <v>13041</v>
      </c>
      <c r="E8962" s="22" t="s">
        <v>48</v>
      </c>
      <c r="F8962" s="23" t="str">
        <f>HYPERLINK("https://www.spark-marketing.ru/Card/Lot/72595617", "Услуга по организации питания для учащихся")</f>
        <v>Услуга по организации питания для учащихся</v>
      </c>
      <c r="G8962" s="22" t="s">
        <v>108</v>
      </c>
      <c r="H8962" s="22" t="s">
        <v>4593</v>
      </c>
      <c r="I8962" s="26">
        <v>43682.435416666704</v>
      </c>
      <c r="J8962" s="28" t="s">
        <v>51</v>
      </c>
      <c r="K8962" s="28" t="s">
        <v>51</v>
      </c>
      <c r="L8962" s="28" t="s">
        <v>51</v>
      </c>
      <c r="M8962" s="28" t="s">
        <v>51</v>
      </c>
      <c r="N8962" s="28" t="s">
        <v>51</v>
      </c>
    </row>
    <row r="8963" spans="1:14" ht="12.75" hidden="1" outlineLevel="1" x14ac:dyDescent="0.2">
      <c r="A8963" s="23" t="str">
        <f>HYPERLINK("https://www.spark-marketing.ru/Card/Person/4377105", "МБОУ ""СРЕДНЯЯ ОБЩЕОБРАЗОВАТЕЛЬНАЯ ШКОЛА № 2"" ГОРОДСКОГО ОКРУГА СУДАК")</f>
        <v>МБОУ "СРЕДНЯЯ ОБЩЕОБРАЗОВАТЕЛЬНАЯ ШКОЛА № 2" ГОРОДСКОГО ОКРУГА СУДАК</v>
      </c>
      <c r="B8963" s="24" t="s">
        <v>13040</v>
      </c>
      <c r="C8963" s="25">
        <v>10819408</v>
      </c>
      <c r="D8963" s="22" t="s">
        <v>13041</v>
      </c>
      <c r="E8963" s="22" t="s">
        <v>48</v>
      </c>
      <c r="F8963" s="23" t="str">
        <f>HYPERLINK("https://www.spark-marketing.ru/Card/Lot/72595617", "Услуга по организации питания для учащихся")</f>
        <v>Услуга по организации питания для учащихся</v>
      </c>
      <c r="G8963" s="22" t="s">
        <v>108</v>
      </c>
      <c r="H8963" s="22" t="s">
        <v>4593</v>
      </c>
      <c r="I8963" s="26">
        <v>43682.435416666704</v>
      </c>
      <c r="J8963" s="23" t="str">
        <f>HYPERLINK("https://www.spark-marketing.ru/Card/Person/4856360", "ООО ""МЕЛИССА""")</f>
        <v>ООО "МЕЛИССА"</v>
      </c>
      <c r="K8963" s="24" t="s">
        <v>4595</v>
      </c>
      <c r="L8963" s="22" t="s">
        <v>10</v>
      </c>
      <c r="M8963" s="25">
        <v>9629273.1199999992</v>
      </c>
      <c r="N8963" s="27">
        <v>0.11</v>
      </c>
    </row>
    <row r="8964" spans="1:14" hidden="1" outlineLevel="1" x14ac:dyDescent="0.2">
      <c r="A8964" s="23" t="str">
        <f>HYPERLINK("https://www.spark-marketing.ru/Card/Person/4377105", "МБОУ ""СРЕДНЯЯ ОБЩЕОБРАЗОВАТЕЛЬНАЯ ШКОЛА № 2"" ГОРОДСКОГО ОКРУГА СУДАК")</f>
        <v>МБОУ "СРЕДНЯЯ ОБЩЕОБРАЗОВАТЕЛЬНАЯ ШКОЛА № 2" ГОРОДСКОГО ОКРУГА СУДАК</v>
      </c>
      <c r="B8964" s="24" t="s">
        <v>13040</v>
      </c>
      <c r="C8964" s="25">
        <v>10819408</v>
      </c>
      <c r="D8964" s="22" t="s">
        <v>13041</v>
      </c>
      <c r="E8964" s="22" t="s">
        <v>48</v>
      </c>
      <c r="F8964" s="23" t="str">
        <f>HYPERLINK("https://www.spark-marketing.ru/Card/Lot/72595617", "Услуга по организации питания для учащихся")</f>
        <v>Услуга по организации питания для учащихся</v>
      </c>
      <c r="G8964" s="22" t="s">
        <v>108</v>
      </c>
      <c r="H8964" s="22" t="s">
        <v>4593</v>
      </c>
      <c r="I8964" s="26">
        <v>43682.435416666704</v>
      </c>
      <c r="J8964" s="23" t="str">
        <f>HYPERLINK("https://www.spark-marketing.ru/Card/Person/5789450", "Шмакова Наталия Владимировна")</f>
        <v>Шмакова Наталия Владимировна</v>
      </c>
      <c r="K8964" s="24" t="s">
        <v>4594</v>
      </c>
      <c r="L8964" s="28" t="s">
        <v>51</v>
      </c>
      <c r="M8964" s="25">
        <v>10819408</v>
      </c>
      <c r="N8964" s="27">
        <v>0</v>
      </c>
    </row>
    <row r="8965" spans="1:14" x14ac:dyDescent="0.15">
      <c r="A8965" s="23" t="str">
        <f>HYPERLINK("https://www.spark-marketing.ru/Card/Person/400337", "МКОУ ""ЛЦО ""РАЗВИТИЕ""")</f>
        <v>МКОУ "ЛЦО "РАЗВИТИЕ"</v>
      </c>
      <c r="B8965" s="24" t="s">
        <v>13042</v>
      </c>
      <c r="C8965" s="25">
        <v>2096541.36</v>
      </c>
      <c r="D8965" s="22" t="s">
        <v>13043</v>
      </c>
      <c r="E8965" s="22" t="s">
        <v>48</v>
      </c>
      <c r="F8965" s="23" t="str">
        <f>HYPERLINK("https://www.spark-marketing.ru/Card/Lot/72598942", "оказание услуг по организации горячего питания обучающихся в МКОУ ""Лодейнопольский центр образования ""Развитие""")</f>
        <v>оказание услуг по организации горячего питания обучающихся в МКОУ "Лодейнопольский центр образования "Развитие"</v>
      </c>
      <c r="G8965" s="22" t="s">
        <v>162</v>
      </c>
      <c r="H8965" s="22" t="s">
        <v>12727</v>
      </c>
      <c r="I8965" s="26">
        <v>43682.447314814803</v>
      </c>
      <c r="J8965" s="23" t="str">
        <f>HYPERLINK("https://www.spark-marketing.ru/Card/Person/66983", "ООО ""ТД МАРС""")</f>
        <v>ООО "ТД МАРС"</v>
      </c>
      <c r="K8965" s="24" t="s">
        <v>8637</v>
      </c>
      <c r="L8965" s="22" t="s">
        <v>10</v>
      </c>
      <c r="M8965" s="28" t="s">
        <v>51</v>
      </c>
      <c r="N8965" s="28" t="s">
        <v>51</v>
      </c>
    </row>
    <row r="8966" spans="1:14" x14ac:dyDescent="0.15">
      <c r="A8966" s="23" t="str">
        <f>HYPERLINK("https://www.spark-marketing.ru/Card/Person/6544", "УПРАВА РАЙОНА СЕВЕРНОЕ ТУШИНО ГОРОДА МОСКВЫ")</f>
        <v>УПРАВА РАЙОНА СЕВЕРНОЕ ТУШИНО ГОРОДА МОСКВЫ</v>
      </c>
      <c r="B8966" s="24" t="s">
        <v>13044</v>
      </c>
      <c r="C8966" s="25">
        <v>299520</v>
      </c>
      <c r="D8966" s="22" t="s">
        <v>13045</v>
      </c>
      <c r="E8966" s="22" t="s">
        <v>96</v>
      </c>
      <c r="F8966" s="23" t="str">
        <f>HYPERLINK("https://www.spark-marketing.ru/Card/Lot/72594378", "Оказание услуг по организации питания членов избирательных комиссий в рамках материально-технического обеспечения выборов в 2019 году")</f>
        <v>Оказание услуг по организации питания членов избирательных комиссий в рамках материально-технического обеспечения выборов в 2019 году</v>
      </c>
      <c r="G8966" s="22" t="s">
        <v>56</v>
      </c>
      <c r="H8966" s="22" t="s">
        <v>56</v>
      </c>
      <c r="I8966" s="26">
        <v>43682.441944444399</v>
      </c>
      <c r="J8966" s="23" t="str">
        <f>HYPERLINK("https://www.spark-marketing.ru/Card/Person/6189034", "ООО ""ТПК ""ИМПЕР""")</f>
        <v>ООО "ТПК "ИМПЕР"</v>
      </c>
      <c r="K8966" s="24" t="s">
        <v>13046</v>
      </c>
      <c r="L8966" s="22" t="s">
        <v>10</v>
      </c>
      <c r="M8966" s="28" t="s">
        <v>51</v>
      </c>
      <c r="N8966" s="28" t="s">
        <v>51</v>
      </c>
    </row>
    <row r="8967" spans="1:14" x14ac:dyDescent="0.15">
      <c r="A8967" s="23" t="str">
        <f>HYPERLINK("https://www.spark-marketing.ru/Card/Person/737453", "МЕЖМУНИЦИПАЛЬНЫЙ ОТДЕЛ МВД РОССИИ ""ХОРИНСКИЙ""")</f>
        <v>МЕЖМУНИЦИПАЛЬНЫЙ ОТДЕЛ МВД РОССИИ "ХОРИНСКИЙ"</v>
      </c>
      <c r="B8967" s="24" t="s">
        <v>13047</v>
      </c>
      <c r="C8967" s="25">
        <v>610000</v>
      </c>
      <c r="D8967" s="22" t="s">
        <v>13048</v>
      </c>
      <c r="E8967" s="22" t="s">
        <v>48</v>
      </c>
      <c r="F8967" s="23" t="str">
        <f>HYPERLINK("https://www.spark-marketing.ru/Card/Lot/72587638", "Оказание услуги по организации питанием лиц подозреваемых и обвиняемых, административно-арестованных лиц, содержащихся в ИВС")</f>
        <v>Оказание услуги по организации питанием лиц подозреваемых и обвиняемых, административно-арестованных лиц, содержащихся в ИВС</v>
      </c>
      <c r="G8967" s="22" t="s">
        <v>433</v>
      </c>
      <c r="H8967" s="22" t="s">
        <v>13049</v>
      </c>
      <c r="I8967" s="26">
        <v>43682.434606481504</v>
      </c>
      <c r="J8967" s="23" t="str">
        <f>HYPERLINK("https://www.spark-marketing.ru/Card/Person/6508586", "Сандакдоржиева Сэржэн Содномовна")</f>
        <v>Сандакдоржиева Сэржэн Содномовна</v>
      </c>
      <c r="K8967" s="24" t="s">
        <v>13050</v>
      </c>
      <c r="L8967" s="22" t="s">
        <v>10</v>
      </c>
      <c r="M8967" s="28" t="s">
        <v>51</v>
      </c>
      <c r="N8967" s="28" t="s">
        <v>51</v>
      </c>
    </row>
    <row r="8968" spans="1:14" x14ac:dyDescent="0.15">
      <c r="A8968" s="23" t="str">
        <f>HYPERLINK("https://www.spark-marketing.ru/Card/Person/737453", "МЕЖМУНИЦИПАЛЬНЫЙ ОТДЕЛ МВД РОССИИ ""ХОРИНСКИЙ""")</f>
        <v>МЕЖМУНИЦИПАЛЬНЫЙ ОТДЕЛ МВД РОССИИ "ХОРИНСКИЙ"</v>
      </c>
      <c r="B8968" s="24" t="s">
        <v>13047</v>
      </c>
      <c r="C8968" s="25">
        <v>610000</v>
      </c>
      <c r="D8968" s="22" t="s">
        <v>13051</v>
      </c>
      <c r="E8968" s="22" t="s">
        <v>48</v>
      </c>
      <c r="F8968" s="23" t="str">
        <f>HYPERLINK("https://www.spark-marketing.ru/Card/Lot/72587707", "Оказание услуги по организации питанием лиц подозреваемых и обвиняемых, административно-арестованных лиц, содержащихся в ИВС")</f>
        <v>Оказание услуги по организации питанием лиц подозреваемых и обвиняемых, административно-арестованных лиц, содержащихся в ИВС</v>
      </c>
      <c r="G8968" s="22" t="s">
        <v>433</v>
      </c>
      <c r="H8968" s="22" t="s">
        <v>13049</v>
      </c>
      <c r="I8968" s="26">
        <v>43682.446539351899</v>
      </c>
      <c r="J8968" s="23" t="str">
        <f>HYPERLINK("https://www.spark-marketing.ru/Card/Person/6508586", "Сандакдоржиева Сэржэн Содномовна")</f>
        <v>Сандакдоржиева Сэржэн Содномовна</v>
      </c>
      <c r="K8968" s="24" t="s">
        <v>13050</v>
      </c>
      <c r="L8968" s="22" t="s">
        <v>10</v>
      </c>
      <c r="M8968" s="28" t="s">
        <v>51</v>
      </c>
      <c r="N8968" s="28" t="s">
        <v>51</v>
      </c>
    </row>
    <row r="8969" spans="1:14" x14ac:dyDescent="0.15">
      <c r="A8969" s="23" t="str">
        <f>HYPERLINK("https://www.spark-marketing.ru/Card/Person/112888", "АДМИНИСТРАЦИЯ МР ""СУНТАРСКИЙ УЛУС (РАЙОН)""")</f>
        <v>АДМИНИСТРАЦИЯ МР "СУНТАРСКИЙ УЛУС (РАЙОН)"</v>
      </c>
      <c r="B8969" s="24" t="s">
        <v>13052</v>
      </c>
      <c r="C8969" s="25">
        <v>195000</v>
      </c>
      <c r="D8969" s="22" t="s">
        <v>13053</v>
      </c>
      <c r="E8969" s="22" t="s">
        <v>67</v>
      </c>
      <c r="F8969" s="23" t="str">
        <f>HYPERLINK("https://www.spark-marketing.ru/Card/Lot/72587071", "Оказание услуг по обеспечению общественного питания в рамках представительских расходов для нужд администрации МР «Сунтарский улус (район) (в связи с проведением региональной спартакиады ветеранов тыла и труда Вилюйской группы улусов в Сунтарском улу...")</f>
        <v>Оказание услуг по обеспечению общественного питания в рамках представительских расходов для нужд администрации МР «Сунтарский улус (район) (в связи с проведением региональной спартакиады ветеранов тыла и труда Вилюйской группы улусов в Сунтарском улу...</v>
      </c>
      <c r="G8969" s="22" t="s">
        <v>241</v>
      </c>
      <c r="H8969" s="22" t="s">
        <v>13054</v>
      </c>
      <c r="I8969" s="26">
        <v>43682.426122685203</v>
      </c>
      <c r="J8969" s="23" t="str">
        <f>HYPERLINK("https://www.spark-marketing.ru/Card/Person/4399237", "Ващенко Виктор Николаевич")</f>
        <v>Ващенко Виктор Николаевич</v>
      </c>
      <c r="K8969" s="24" t="s">
        <v>13055</v>
      </c>
      <c r="L8969" s="22" t="s">
        <v>10</v>
      </c>
      <c r="M8969" s="28" t="s">
        <v>51</v>
      </c>
      <c r="N8969" s="28" t="s">
        <v>51</v>
      </c>
    </row>
    <row r="8970" spans="1:14" x14ac:dyDescent="0.15">
      <c r="A8970" s="23" t="str">
        <f>HYPERLINK("https://www.spark-marketing.ru/Card/Person/291413", "ОТДЕЛ МВД РОССИИ ПО ГРИБАНОВСКОМУ РАЙОНУ")</f>
        <v>ОТДЕЛ МВД РОССИИ ПО ГРИБАНОВСКОМУ РАЙОНУ</v>
      </c>
      <c r="B8970" s="24" t="s">
        <v>5359</v>
      </c>
      <c r="C8970" s="25">
        <v>11727.79</v>
      </c>
      <c r="D8970" s="22" t="s">
        <v>13056</v>
      </c>
      <c r="E8970" s="22" t="s">
        <v>48</v>
      </c>
      <c r="F8970" s="23" t="str">
        <f>HYPERLINK("https://www.spark-marketing.ru/Card/Lot/72590038",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8970" s="22" t="s">
        <v>82</v>
      </c>
      <c r="H8970" s="22" t="s">
        <v>5361</v>
      </c>
      <c r="I8970" s="26">
        <v>43682.390636574099</v>
      </c>
      <c r="J8970" s="28" t="s">
        <v>51</v>
      </c>
      <c r="K8970" s="28" t="s">
        <v>51</v>
      </c>
      <c r="L8970" s="28" t="s">
        <v>51</v>
      </c>
      <c r="M8970" s="28" t="s">
        <v>51</v>
      </c>
      <c r="N8970" s="28" t="s">
        <v>51</v>
      </c>
    </row>
    <row r="8971" spans="1:14" x14ac:dyDescent="0.15">
      <c r="A8971" s="23" t="str">
        <f>HYPERLINK("https://www.spark-marketing.ru/Card/Person/6158145", "МИНТРУДА И СОЦРАЗВИТИЯ НСО")</f>
        <v>МИНТРУДА И СОЦРАЗВИТИЯ НСО</v>
      </c>
      <c r="B8971" s="24" t="s">
        <v>977</v>
      </c>
      <c r="C8971" s="25">
        <v>651000</v>
      </c>
      <c r="D8971" s="22" t="s">
        <v>13057</v>
      </c>
      <c r="E8971" s="22" t="s">
        <v>51</v>
      </c>
      <c r="F8971" s="23" t="str">
        <f>HYPERLINK("https://www.spark-marketing.ru/Card/Lot/72587411", "Оказание услуг по санаторно-курортному лечению ветеранов труда, количество путевок - 30 шт., с заболеваниями опорно-двигательного аппарата, расстройством питания и нарушением обмена веществ, гинекологическими заболеваниями")</f>
        <v>Оказание услуг по санаторно-курортному лечению ветеранов труда, количество путевок - 30 шт., с заболеваниями опорно-двигательного аппарата, расстройством питания и нарушением обмена веществ, гинекологическими заболеваниями</v>
      </c>
      <c r="G8971" s="22" t="s">
        <v>195</v>
      </c>
      <c r="H8971" s="22" t="s">
        <v>196</v>
      </c>
      <c r="I8971" s="26">
        <v>43682.399224537003</v>
      </c>
      <c r="J8971" s="23" t="str">
        <f>HYPERLINK("https://www.spark-marketing.ru/Card/Person/4945941", "ООО ""ЗОЛОТОЙ БЕРЕГ""")</f>
        <v>ООО "ЗОЛОТОЙ БЕРЕГ"</v>
      </c>
      <c r="K8971" s="24" t="s">
        <v>13058</v>
      </c>
      <c r="L8971" s="22" t="s">
        <v>10</v>
      </c>
      <c r="M8971" s="28" t="s">
        <v>51</v>
      </c>
      <c r="N8971" s="28" t="s">
        <v>51</v>
      </c>
    </row>
    <row r="8972" spans="1:14" x14ac:dyDescent="0.15">
      <c r="A8972" s="23" t="str">
        <f>HYPERLINK("https://www.spark-marketing.ru/Card/Person/398059", "ОМВД РОССИИ ПО ОКТЯБРЬСКОМУ РАЙОНУ")</f>
        <v>ОМВД РОССИИ ПО ОКТЯБРЬСКОМУ РАЙОНУ</v>
      </c>
      <c r="B8972" s="24" t="s">
        <v>7522</v>
      </c>
      <c r="C8972" s="25">
        <v>3835000</v>
      </c>
      <c r="D8972" s="22" t="s">
        <v>13059</v>
      </c>
      <c r="E8972" s="22" t="s">
        <v>96</v>
      </c>
      <c r="F8972" s="23" t="str">
        <f>HYPERLINK("https://www.spark-marketing.ru/Card/Lot/72595606", "Оказание услуг по организации ежедневного трехразового горячего питания")</f>
        <v>Оказание услуг по организации ежедневного трехразового горячего питания</v>
      </c>
      <c r="G8972" s="22" t="s">
        <v>1111</v>
      </c>
      <c r="H8972" s="22" t="s">
        <v>465</v>
      </c>
      <c r="I8972" s="26">
        <v>43682.406122685199</v>
      </c>
      <c r="J8972" s="28" t="s">
        <v>51</v>
      </c>
      <c r="K8972" s="28" t="s">
        <v>51</v>
      </c>
      <c r="L8972" s="28" t="s">
        <v>51</v>
      </c>
      <c r="M8972" s="28" t="s">
        <v>51</v>
      </c>
      <c r="N8972" s="28" t="s">
        <v>51</v>
      </c>
    </row>
    <row r="8973" spans="1:14" x14ac:dyDescent="0.15">
      <c r="A8973" s="23" t="str">
        <f>HYPERLINK("https://www.spark-marketing.ru/Card/Person/1062754", "МУ ""КОМПЛЕКСНЫЙ ЦЕНТР""")</f>
        <v>МУ "КОМПЛЕКСНЫЙ ЦЕНТР"</v>
      </c>
      <c r="B8973" s="24" t="s">
        <v>1501</v>
      </c>
      <c r="C8973" s="25">
        <v>195750</v>
      </c>
      <c r="D8973" s="22" t="s">
        <v>13060</v>
      </c>
      <c r="E8973" s="22" t="s">
        <v>48</v>
      </c>
      <c r="F8973" s="23" t="str">
        <f>HYPERLINK("https://www.spark-marketing.ru/Card/Lot/72590671", "Услуги по организации четырёхразового горячего питания для отделения временного проживания")</f>
        <v>Услуги по организации четырёхразового горячего питания для отделения временного проживания</v>
      </c>
      <c r="G8973" s="22" t="s">
        <v>469</v>
      </c>
      <c r="H8973" s="22" t="s">
        <v>1503</v>
      </c>
      <c r="I8973" s="26">
        <v>43682.386342592603</v>
      </c>
      <c r="J8973" s="23" t="str">
        <f>HYPERLINK("https://www.spark-marketing.ru/Card/Person/897145", "ООО ""МЕРКУРИЙ 13""")</f>
        <v>ООО "МЕРКУРИЙ 13"</v>
      </c>
      <c r="K8973" s="24" t="s">
        <v>1504</v>
      </c>
      <c r="L8973" s="22" t="s">
        <v>10</v>
      </c>
      <c r="M8973" s="28" t="s">
        <v>51</v>
      </c>
      <c r="N8973" s="28" t="s">
        <v>51</v>
      </c>
    </row>
    <row r="8974" spans="1:14" x14ac:dyDescent="0.15">
      <c r="A8974" s="23" t="str">
        <f>HYPERLINK("https://www.spark-marketing.ru/Card/Person/85258", "МБОУ СОШ №1 ИМ. КОСИНОВА И.Ф.")</f>
        <v>МБОУ СОШ №1 ИМ. КОСИНОВА И.Ф.</v>
      </c>
      <c r="B8974" s="24" t="s">
        <v>13061</v>
      </c>
      <c r="C8974" s="25">
        <v>6518508</v>
      </c>
      <c r="D8974" s="22" t="s">
        <v>13062</v>
      </c>
      <c r="E8974" s="22" t="s">
        <v>48</v>
      </c>
      <c r="F8974" s="23" t="str">
        <f>HYPERLINK("https://www.spark-marketing.ru/Card/Lot/72595619", "Оказание услуг по организации учащихся")</f>
        <v>Оказание услуг по организации учащихся</v>
      </c>
      <c r="G8974" s="22" t="s">
        <v>104</v>
      </c>
      <c r="H8974" s="22" t="s">
        <v>104</v>
      </c>
      <c r="I8974" s="26">
        <v>43682.350092592598</v>
      </c>
      <c r="J8974" s="28" t="s">
        <v>51</v>
      </c>
      <c r="K8974" s="28" t="s">
        <v>51</v>
      </c>
      <c r="L8974" s="28" t="s">
        <v>51</v>
      </c>
      <c r="M8974" s="28" t="s">
        <v>51</v>
      </c>
      <c r="N8974" s="28" t="s">
        <v>51</v>
      </c>
    </row>
    <row r="8975" spans="1:14" hidden="1" outlineLevel="1" x14ac:dyDescent="0.2">
      <c r="A8975" s="23" t="str">
        <f>HYPERLINK("https://www.spark-marketing.ru/Card/Person/85258", "МБОУ СОШ №1 ИМ. КОСИНОВА И.Ф.")</f>
        <v>МБОУ СОШ №1 ИМ. КОСИНОВА И.Ф.</v>
      </c>
      <c r="B8975" s="24" t="s">
        <v>13061</v>
      </c>
      <c r="C8975" s="25">
        <v>6518508</v>
      </c>
      <c r="D8975" s="22" t="s">
        <v>13062</v>
      </c>
      <c r="E8975" s="22" t="s">
        <v>48</v>
      </c>
      <c r="F8975" s="23" t="str">
        <f>HYPERLINK("https://www.spark-marketing.ru/Card/Lot/72595619", "Оказание услуг по организации учащихся")</f>
        <v>Оказание услуг по организации учащихся</v>
      </c>
      <c r="G8975" s="22" t="s">
        <v>104</v>
      </c>
      <c r="H8975" s="22" t="s">
        <v>104</v>
      </c>
      <c r="I8975" s="26">
        <v>43682.350092592598</v>
      </c>
      <c r="J8975" s="23" t="str">
        <f>HYPERLINK("https://www.spark-marketing.ru/Card/Person/85328", "Бессонов Михаил Сергеевич")</f>
        <v>Бессонов Михаил Сергеевич</v>
      </c>
      <c r="K8975" s="24" t="s">
        <v>7804</v>
      </c>
      <c r="L8975" s="28" t="s">
        <v>51</v>
      </c>
      <c r="M8975" s="25">
        <v>4269622.74</v>
      </c>
      <c r="N8975" s="27">
        <v>0.34499999999999997</v>
      </c>
    </row>
    <row r="8976" spans="1:14" ht="12.75" hidden="1" outlineLevel="1" x14ac:dyDescent="0.2">
      <c r="A8976" s="23" t="str">
        <f>HYPERLINK("https://www.spark-marketing.ru/Card/Person/85258", "МБОУ СОШ №1 ИМ. КОСИНОВА И.Ф.")</f>
        <v>МБОУ СОШ №1 ИМ. КОСИНОВА И.Ф.</v>
      </c>
      <c r="B8976" s="24" t="s">
        <v>13061</v>
      </c>
      <c r="C8976" s="25">
        <v>6518508</v>
      </c>
      <c r="D8976" s="22" t="s">
        <v>13062</v>
      </c>
      <c r="E8976" s="22" t="s">
        <v>48</v>
      </c>
      <c r="F8976" s="23" t="str">
        <f>HYPERLINK("https://www.spark-marketing.ru/Card/Lot/72595619", "Оказание услуг по организации учащихся")</f>
        <v>Оказание услуг по организации учащихся</v>
      </c>
      <c r="G8976" s="22" t="s">
        <v>104</v>
      </c>
      <c r="H8976" s="22" t="s">
        <v>104</v>
      </c>
      <c r="I8976" s="26">
        <v>43682.350092592598</v>
      </c>
      <c r="J8976" s="23" t="str">
        <f>HYPERLINK("https://www.spark-marketing.ru/Card/Person/18541", "Криштопа Ольга Вячеславовна")</f>
        <v>Криштопа Ольга Вячеславовна</v>
      </c>
      <c r="K8976" s="24" t="s">
        <v>13063</v>
      </c>
      <c r="L8976" s="22" t="s">
        <v>10</v>
      </c>
      <c r="M8976" s="25">
        <v>4237030.2</v>
      </c>
      <c r="N8976" s="27">
        <v>0.35</v>
      </c>
    </row>
    <row r="8977" spans="1:14" x14ac:dyDescent="0.15">
      <c r="A8977" s="23" t="str">
        <f>HYPERLINK("https://www.spark-marketing.ru/Card/Person/1062754", "МУ ""КОМПЛЕКСНЫЙ ЦЕНТР""")</f>
        <v>МУ "КОМПЛЕКСНЫЙ ЦЕНТР"</v>
      </c>
      <c r="B8977" s="24" t="s">
        <v>1501</v>
      </c>
      <c r="C8977" s="25">
        <v>90818.1</v>
      </c>
      <c r="D8977" s="22" t="s">
        <v>13064</v>
      </c>
      <c r="E8977" s="22" t="s">
        <v>48</v>
      </c>
      <c r="F8977" s="23" t="str">
        <f>HYPERLINK("https://www.spark-marketing.ru/Card/Lot/72590587", "Услуги по организации двухразового горячего питания для отделения дневного пребывания")</f>
        <v>Услуги по организации двухразового горячего питания для отделения дневного пребывания</v>
      </c>
      <c r="G8977" s="22" t="s">
        <v>469</v>
      </c>
      <c r="H8977" s="22" t="s">
        <v>1503</v>
      </c>
      <c r="I8977" s="26">
        <v>43682.366574074098</v>
      </c>
      <c r="J8977" s="23" t="str">
        <f>HYPERLINK("https://www.spark-marketing.ru/Card/Person/897145", "ООО ""МЕРКУРИЙ 13""")</f>
        <v>ООО "МЕРКУРИЙ 13"</v>
      </c>
      <c r="K8977" s="24" t="s">
        <v>1504</v>
      </c>
      <c r="L8977" s="22" t="s">
        <v>10</v>
      </c>
      <c r="M8977" s="28" t="s">
        <v>51</v>
      </c>
      <c r="N8977" s="28" t="s">
        <v>51</v>
      </c>
    </row>
    <row r="8978" spans="1:14" x14ac:dyDescent="0.15">
      <c r="A8978" s="23" t="str">
        <f>HYPERLINK("https://www.spark-marketing.ru/Card/Person/93589", "РОСТОВСТАТ")</f>
        <v>РОСТОВСТАТ</v>
      </c>
      <c r="B8978" s="24" t="s">
        <v>13065</v>
      </c>
      <c r="C8978" s="25">
        <v>88603.27</v>
      </c>
      <c r="D8978" s="22" t="s">
        <v>13066</v>
      </c>
      <c r="E8978" s="22" t="s">
        <v>91</v>
      </c>
      <c r="F8978" s="23" t="str">
        <f>HYPERLINK("https://www.spark-marketing.ru/Card/Lot/72593770", "Оказание услуг по ремонту и обслуживанию серверного оборудования, систем хранения данных")</f>
        <v>Оказание услуг по ремонту и обслуживанию серверного оборудования, систем хранения данных</v>
      </c>
      <c r="G8978" s="22" t="s">
        <v>267</v>
      </c>
      <c r="H8978" s="22" t="s">
        <v>590</v>
      </c>
      <c r="I8978" s="26">
        <v>43682.371874999997</v>
      </c>
      <c r="J8978" s="23" t="str">
        <f>HYPERLINK("https://www.spark-marketing.ru/Card/Person/556835", "ООО ""НЕТКОМ""")</f>
        <v>ООО "НЕТКОМ"</v>
      </c>
      <c r="K8978" s="24" t="s">
        <v>13067</v>
      </c>
      <c r="L8978" s="22" t="s">
        <v>10</v>
      </c>
      <c r="M8978" s="28" t="s">
        <v>51</v>
      </c>
      <c r="N8978" s="28" t="s">
        <v>51</v>
      </c>
    </row>
    <row r="8979" spans="1:14" x14ac:dyDescent="0.15">
      <c r="A8979" s="23" t="str">
        <f>HYPERLINK("https://www.spark-marketing.ru/Card/Person/1072114", "МКОУ СОШ № 148 КУПИНСКОГО РАЙОНА")</f>
        <v>МКОУ СОШ № 148 КУПИНСКОГО РАЙОНА</v>
      </c>
      <c r="B8979" s="24" t="s">
        <v>13068</v>
      </c>
      <c r="C8979" s="25">
        <v>268740</v>
      </c>
      <c r="D8979" s="22" t="s">
        <v>13069</v>
      </c>
      <c r="E8979" s="22" t="s">
        <v>48</v>
      </c>
      <c r="F8979" s="23" t="str">
        <f>HYPERLINK("https://www.spark-marketing.ru/Card/Lot/72588325", "Оказание услуг по организации питания учащихся школы")</f>
        <v>Оказание услуг по организации питания учащихся школы</v>
      </c>
      <c r="G8979" s="22" t="s">
        <v>195</v>
      </c>
      <c r="H8979" s="22" t="s">
        <v>13070</v>
      </c>
      <c r="I8979" s="26">
        <v>43682.323611111096</v>
      </c>
      <c r="J8979" s="28" t="s">
        <v>51</v>
      </c>
      <c r="K8979" s="28" t="s">
        <v>51</v>
      </c>
      <c r="L8979" s="28" t="s">
        <v>51</v>
      </c>
      <c r="M8979" s="28" t="s">
        <v>51</v>
      </c>
      <c r="N8979" s="28" t="s">
        <v>51</v>
      </c>
    </row>
    <row r="8980" spans="1:14" ht="12.75" x14ac:dyDescent="0.2">
      <c r="A8980" s="23" t="str">
        <f>HYPERLINK("https://www.spark-marketing.ru/Card/Person/28654", "ОГБУЗ ""ИГБ № 7""")</f>
        <v>ОГБУЗ "ИГБ № 7"</v>
      </c>
      <c r="B8980" s="24" t="s">
        <v>11342</v>
      </c>
      <c r="C8980" s="25">
        <v>179852.55</v>
      </c>
      <c r="D8980" s="22" t="s">
        <v>13071</v>
      </c>
      <c r="E8980" s="22" t="s">
        <v>48</v>
      </c>
      <c r="F8980" s="23" t="str">
        <f>HYPERLINK("https://www.spark-marketing.ru/Card/Lot/72588780", "Оказание услуг по организации общественного питания")</f>
        <v>Оказание услуг по организации общественного питания</v>
      </c>
      <c r="G8980" s="22" t="s">
        <v>263</v>
      </c>
      <c r="H8980" s="22" t="s">
        <v>2768</v>
      </c>
      <c r="I8980" s="26">
        <v>43682.455023148097</v>
      </c>
      <c r="J8980" s="23" t="str">
        <f>HYPERLINK("https://www.spark-marketing.ru/Card/Person/233976", "ООО ""КАРИ""")</f>
        <v>ООО "КАРИ"</v>
      </c>
      <c r="K8980" s="24" t="s">
        <v>11344</v>
      </c>
      <c r="L8980" s="22" t="s">
        <v>10</v>
      </c>
      <c r="M8980" s="25">
        <v>169265</v>
      </c>
      <c r="N8980" s="27">
        <v>5.8867944880403422E-2</v>
      </c>
    </row>
    <row r="8981" spans="1:14" x14ac:dyDescent="0.15">
      <c r="A8981" s="23" t="str">
        <f>HYPERLINK("https://www.spark-marketing.ru/Card/Person/4348563", "АО ""ОТЭК""")</f>
        <v>АО "ОТЭК"</v>
      </c>
      <c r="B8981" s="24" t="s">
        <v>13072</v>
      </c>
      <c r="C8981" s="28" t="s">
        <v>51</v>
      </c>
      <c r="D8981" s="22" t="s">
        <v>13073</v>
      </c>
      <c r="E8981" s="22" t="s">
        <v>603</v>
      </c>
      <c r="F8981" s="23" t="str">
        <f>HYPERLINK("https://www.spark-marketing.ru/Card/Lot/72588240", "Оказание услуг по испытанию и поверке приборов для нужд филиала АО «ОТЭК» в г. Северске")</f>
        <v>Оказание услуг по испытанию и поверке приборов для нужд филиала АО «ОТЭК» в г. Северске</v>
      </c>
      <c r="G8981" s="22" t="s">
        <v>56</v>
      </c>
      <c r="H8981" s="22" t="s">
        <v>56</v>
      </c>
      <c r="I8981" s="26">
        <v>43682.280717592599</v>
      </c>
      <c r="J8981" s="28" t="s">
        <v>51</v>
      </c>
      <c r="K8981" s="28" t="s">
        <v>51</v>
      </c>
      <c r="L8981" s="28" t="s">
        <v>51</v>
      </c>
      <c r="M8981" s="28" t="s">
        <v>51</v>
      </c>
      <c r="N8981" s="28" t="s">
        <v>51</v>
      </c>
    </row>
    <row r="8982" spans="1:14" x14ac:dyDescent="0.15">
      <c r="A8982" s="23" t="str">
        <f>HYPERLINK("https://www.spark-marketing.ru/Card/Person/244638", "МАОУ СШ № 151")</f>
        <v>МАОУ СШ № 151</v>
      </c>
      <c r="B8982" s="24" t="s">
        <v>13074</v>
      </c>
      <c r="C8982" s="25">
        <v>375051.44</v>
      </c>
      <c r="D8982" s="22" t="s">
        <v>13075</v>
      </c>
      <c r="E8982" s="22" t="s">
        <v>362</v>
      </c>
      <c r="F8982" s="23" t="str">
        <f>HYPERLINK("https://www.spark-marketing.ru/Card/Lot/72588989", "на оказание услуг по организации горячего питания учащихся в МАОУ СШ № 151")</f>
        <v>на оказание услуг по организации горячего питания учащихся в МАОУ СШ № 151</v>
      </c>
      <c r="G8982" s="22" t="s">
        <v>281</v>
      </c>
      <c r="H8982" s="22" t="s">
        <v>281</v>
      </c>
      <c r="I8982" s="26">
        <v>43682</v>
      </c>
      <c r="J8982" s="28" t="s">
        <v>51</v>
      </c>
      <c r="K8982" s="28" t="s">
        <v>51</v>
      </c>
      <c r="L8982" s="28" t="s">
        <v>51</v>
      </c>
      <c r="M8982" s="28" t="s">
        <v>51</v>
      </c>
      <c r="N8982" s="28" t="s">
        <v>51</v>
      </c>
    </row>
    <row r="8983" spans="1:14" x14ac:dyDescent="0.2">
      <c r="A8983" s="23" t="str">
        <f>HYPERLINK("https://www.spark-marketing.ru/Card/Person/6529864", "ГАУ РО ""ДОНВОЛОНТЕР""")</f>
        <v>ГАУ РО "ДОНВОЛОНТЕР"</v>
      </c>
      <c r="B8983" s="24" t="s">
        <v>2242</v>
      </c>
      <c r="C8983" s="25">
        <v>1589441.33</v>
      </c>
      <c r="D8983" s="22" t="s">
        <v>13076</v>
      </c>
      <c r="E8983" s="22" t="s">
        <v>562</v>
      </c>
      <c r="F8983" s="23" t="str">
        <f>HYPERLINK("https://www.spark-marketing.ru/Card/Lot/72604282", "на оказание услуги по обеспечению питанием участников, волонтеров, экспертов и организационной группы Окружного форума добровольцев «Добро на Юге» Южного и Приволжского федеральных округов")</f>
        <v>на оказание услуги по обеспечению питанием участников, волонтеров, экспертов и организационной группы Окружного форума добровольцев «Добро на Юге» Южного и Приволжского федеральных округов</v>
      </c>
      <c r="G8983" s="22" t="s">
        <v>267</v>
      </c>
      <c r="H8983" s="22" t="s">
        <v>267</v>
      </c>
      <c r="I8983" s="26">
        <v>43682</v>
      </c>
      <c r="J8983" s="28" t="s">
        <v>51</v>
      </c>
      <c r="K8983" s="28" t="s">
        <v>51</v>
      </c>
      <c r="L8983" s="22" t="s">
        <v>10</v>
      </c>
      <c r="M8983" s="25">
        <v>1589441.33</v>
      </c>
      <c r="N8983" s="27">
        <v>0</v>
      </c>
    </row>
    <row r="8984" spans="1:14" x14ac:dyDescent="0.2">
      <c r="A8984" s="23" t="str">
        <f>HYPERLINK("https://www.spark-marketing.ru/Card/Person/1309934", "МАОУ ""СОШ № 12""")</f>
        <v>МАОУ "СОШ № 12"</v>
      </c>
      <c r="B8984" s="24" t="s">
        <v>13077</v>
      </c>
      <c r="C8984" s="25">
        <v>4444560</v>
      </c>
      <c r="D8984" s="22" t="s">
        <v>13078</v>
      </c>
      <c r="E8984" s="22" t="s">
        <v>362</v>
      </c>
      <c r="F8984" s="23" t="str">
        <f>HYPERLINK("https://www.spark-marketing.ru/Card/Lot/72593640", "оказание услуг по организации питания учащихся")</f>
        <v>оказание услуг по организации питания учащихся</v>
      </c>
      <c r="G8984" s="22" t="s">
        <v>415</v>
      </c>
      <c r="H8984" s="22" t="s">
        <v>415</v>
      </c>
      <c r="I8984" s="26">
        <v>43682</v>
      </c>
      <c r="J8984" s="28" t="s">
        <v>51</v>
      </c>
      <c r="K8984" s="28" t="s">
        <v>51</v>
      </c>
      <c r="L8984" s="22" t="s">
        <v>10</v>
      </c>
      <c r="M8984" s="25">
        <v>4444560</v>
      </c>
      <c r="N8984" s="27">
        <v>0</v>
      </c>
    </row>
    <row r="8985" spans="1:14" x14ac:dyDescent="0.15">
      <c r="A8985" s="23" t="str">
        <f>HYPERLINK("https://www.spark-marketing.ru/Card/Person/190734", "КГАУ ДОМ МОЛОДЕЖИ")</f>
        <v>КГАУ ДОМ МОЛОДЕЖИ</v>
      </c>
      <c r="B8985" s="24" t="s">
        <v>13079</v>
      </c>
      <c r="C8985" s="25">
        <v>120000</v>
      </c>
      <c r="D8985" s="22" t="s">
        <v>13080</v>
      </c>
      <c r="E8985" s="22" t="s">
        <v>362</v>
      </c>
      <c r="F8985" s="23" t="str">
        <f>HYPERLINK("https://www.spark-marketing.ru/Card/Lot/72592666", "Оказание услуг по питанию молодежной делегации из провинции Кенсаннам-до (Республика Корея)")</f>
        <v>Оказание услуг по питанию молодежной делегации из провинции Кенсаннам-до (Республика Корея)</v>
      </c>
      <c r="G8985" s="22" t="s">
        <v>1096</v>
      </c>
      <c r="H8985" s="22" t="s">
        <v>1096</v>
      </c>
      <c r="I8985" s="26">
        <v>43682</v>
      </c>
      <c r="J8985" s="28" t="s">
        <v>51</v>
      </c>
      <c r="K8985" s="28" t="s">
        <v>51</v>
      </c>
      <c r="L8985" s="28" t="s">
        <v>51</v>
      </c>
      <c r="M8985" s="28" t="s">
        <v>51</v>
      </c>
      <c r="N8985" s="28" t="s">
        <v>51</v>
      </c>
    </row>
    <row r="8986" spans="1:14" x14ac:dyDescent="0.2">
      <c r="A8986" s="23" t="str">
        <f>HYPERLINK("https://www.spark-marketing.ru/Card/Person/1252511", "МАОУ ""ЛИЦЕЙ №10"" Г.СОВЕТСКА")</f>
        <v>МАОУ "ЛИЦЕЙ №10" Г.СОВЕТСКА</v>
      </c>
      <c r="B8986" s="24" t="s">
        <v>13081</v>
      </c>
      <c r="C8986" s="25">
        <v>1867364.87</v>
      </c>
      <c r="D8986" s="22" t="s">
        <v>13082</v>
      </c>
      <c r="E8986" s="22" t="s">
        <v>362</v>
      </c>
      <c r="F8986" s="23" t="str">
        <f>HYPERLINK("https://www.spark-marketing.ru/Card/Lot/72606839", "Услуги по организации горячего питания учащихся МАОУ «Лицей №10» г. Советска")</f>
        <v>Услуги по организации горячего питания учащихся МАОУ «Лицей №10» г. Советска</v>
      </c>
      <c r="G8986" s="22" t="s">
        <v>400</v>
      </c>
      <c r="H8986" s="22" t="s">
        <v>400</v>
      </c>
      <c r="I8986" s="26">
        <v>43682</v>
      </c>
      <c r="J8986" s="28" t="s">
        <v>51</v>
      </c>
      <c r="K8986" s="28" t="s">
        <v>51</v>
      </c>
      <c r="L8986" s="22" t="s">
        <v>10</v>
      </c>
      <c r="M8986" s="25">
        <v>1867364.87</v>
      </c>
      <c r="N8986" s="27">
        <v>0</v>
      </c>
    </row>
    <row r="8987" spans="1:14" x14ac:dyDescent="0.15">
      <c r="A8987" s="23" t="str">
        <f>HYPERLINK("https://www.spark-marketing.ru/Card/Person/1575537", "СОШ № 5")</f>
        <v>СОШ № 5</v>
      </c>
      <c r="B8987" s="24" t="s">
        <v>13083</v>
      </c>
      <c r="C8987" s="25">
        <v>1449907.2</v>
      </c>
      <c r="D8987" s="22" t="s">
        <v>13084</v>
      </c>
      <c r="E8987" s="22" t="s">
        <v>362</v>
      </c>
      <c r="F8987" s="23" t="str">
        <f>HYPERLINK("https://www.spark-marketing.ru/Card/Lot/72606371", "оказание услуг по организации горячего питания воспитанников")</f>
        <v>оказание услуг по организации горячего питания воспитанников</v>
      </c>
      <c r="G8987" s="22" t="s">
        <v>185</v>
      </c>
      <c r="H8987" s="22" t="s">
        <v>185</v>
      </c>
      <c r="I8987" s="26">
        <v>43682</v>
      </c>
      <c r="J8987" s="28" t="s">
        <v>51</v>
      </c>
      <c r="K8987" s="28" t="s">
        <v>51</v>
      </c>
      <c r="L8987" s="28" t="s">
        <v>51</v>
      </c>
      <c r="M8987" s="28" t="s">
        <v>51</v>
      </c>
      <c r="N8987" s="28" t="s">
        <v>51</v>
      </c>
    </row>
    <row r="8988" spans="1:14" x14ac:dyDescent="0.15">
      <c r="A8988" s="23" t="str">
        <f>HYPERLINK("https://www.spark-marketing.ru/Card/Person/692212", "ООО ""ССРТ""")</f>
        <v>ООО "ССРТ"</v>
      </c>
      <c r="B8988" s="24" t="s">
        <v>13085</v>
      </c>
      <c r="C8988" s="25">
        <v>591072</v>
      </c>
      <c r="D8988" s="22" t="s">
        <v>13086</v>
      </c>
      <c r="E8988" s="22" t="s">
        <v>362</v>
      </c>
      <c r="F8988" s="23" t="str">
        <f>HYPERLINK("https://www.spark-marketing.ru/Card/Lot/72600684", "Право заключения договора на оказание услуг по организации лечебно-профилактического питания")</f>
        <v>Право заключения договора на оказание услуг по организации лечебно-профилактического питания</v>
      </c>
      <c r="G8988" s="22" t="s">
        <v>228</v>
      </c>
      <c r="H8988" s="22" t="s">
        <v>13087</v>
      </c>
      <c r="I8988" s="26">
        <v>43682</v>
      </c>
      <c r="J8988" s="28" t="s">
        <v>51</v>
      </c>
      <c r="K8988" s="28" t="s">
        <v>51</v>
      </c>
      <c r="L8988" s="28" t="s">
        <v>51</v>
      </c>
      <c r="M8988" s="28" t="s">
        <v>51</v>
      </c>
      <c r="N8988" s="28" t="s">
        <v>51</v>
      </c>
    </row>
    <row r="8989" spans="1:14" x14ac:dyDescent="0.2">
      <c r="A8989" s="23" t="str">
        <f>HYPERLINK("https://www.spark-marketing.ru/Card/Person/1604379", "КОГАУ ЦСП ""ВЯТКА-СТАРТ""")</f>
        <v>КОГАУ ЦСП "ВЯТКА-СТАРТ"</v>
      </c>
      <c r="B8989" s="24" t="s">
        <v>13088</v>
      </c>
      <c r="C8989" s="25">
        <v>150000</v>
      </c>
      <c r="D8989" s="22" t="s">
        <v>13089</v>
      </c>
      <c r="E8989" s="22" t="s">
        <v>580</v>
      </c>
      <c r="F8989" s="23" t="str">
        <f>HYPERLINK("https://www.spark-marketing.ru/Card/Lot/72606993", "Оказание услуг по организации питания участников «XXXV областной спартакиады допризывной молодежи памяти Героя Советского Союза майора А.Я. Опарина»")</f>
        <v>Оказание услуг по организации питания участников «XXXV областной спартакиады допризывной молодежи памяти Героя Советского Союза майора А.Я. Опарина»</v>
      </c>
      <c r="G8989" s="22" t="s">
        <v>224</v>
      </c>
      <c r="H8989" s="22" t="s">
        <v>225</v>
      </c>
      <c r="I8989" s="26">
        <v>43682</v>
      </c>
      <c r="J8989" s="28" t="s">
        <v>51</v>
      </c>
      <c r="K8989" s="28" t="s">
        <v>51</v>
      </c>
      <c r="L8989" s="22" t="s">
        <v>10</v>
      </c>
      <c r="M8989" s="25">
        <v>150000</v>
      </c>
      <c r="N8989" s="27">
        <v>0</v>
      </c>
    </row>
    <row r="8990" spans="1:14" x14ac:dyDescent="0.15">
      <c r="A8990" s="23" t="str">
        <f>HYPERLINK("https://www.spark-marketing.ru/Card/Person/87688", "КРАЕВОЙ ИНСТИТУТ РАЗВИТИЯ СИСТЕМЫ ПРОФЕССИОНАЛЬНОГО ОБРАЗОВАНИЯ, КГАОУ ДПО ХКИРСПО")</f>
        <v>КРАЕВОЙ ИНСТИТУТ РАЗВИТИЯ СИСТЕМЫ ПРОФЕССИОНАЛЬНОГО ОБРАЗОВАНИЯ, КГАОУ ДПО ХКИРСПО</v>
      </c>
      <c r="B8990" s="24" t="s">
        <v>5149</v>
      </c>
      <c r="C8990" s="25">
        <v>1234250</v>
      </c>
      <c r="D8990" s="22" t="s">
        <v>13090</v>
      </c>
      <c r="E8990" s="22" t="s">
        <v>769</v>
      </c>
      <c r="F8990" s="23" t="str">
        <f>HYPERLINK("https://www.spark-marketing.ru/Card/Lot/72586484", "Оказание услуг по организации питания и проживания участников Чемпионата Хабаровского края ""Абилимпикс"" 2019г.")</f>
        <v>Оказание услуг по организации питания и проживания участников Чемпионата Хабаровского края "Абилимпикс" 2019г.</v>
      </c>
      <c r="G8990" s="22" t="s">
        <v>1096</v>
      </c>
      <c r="H8990" s="22" t="s">
        <v>1096</v>
      </c>
      <c r="I8990" s="26">
        <v>43682</v>
      </c>
      <c r="J8990" s="28" t="s">
        <v>51</v>
      </c>
      <c r="K8990" s="28" t="s">
        <v>51</v>
      </c>
      <c r="L8990" s="28" t="s">
        <v>51</v>
      </c>
      <c r="M8990" s="28" t="s">
        <v>51</v>
      </c>
      <c r="N8990" s="28" t="s">
        <v>51</v>
      </c>
    </row>
    <row r="8991" spans="1:14" x14ac:dyDescent="0.15">
      <c r="A8991" s="23" t="str">
        <f>HYPERLINK("https://www.spark-marketing.ru/Card/Person/1575537", "СОШ № 5")</f>
        <v>СОШ № 5</v>
      </c>
      <c r="B8991" s="24" t="s">
        <v>13083</v>
      </c>
      <c r="C8991" s="25">
        <v>1326000</v>
      </c>
      <c r="D8991" s="22" t="s">
        <v>13091</v>
      </c>
      <c r="E8991" s="22" t="s">
        <v>362</v>
      </c>
      <c r="F8991" s="23" t="str">
        <f>HYPERLINK("https://www.spark-marketing.ru/Card/Lot/72606369", "Оказание услуг по организации горячего питания обучающихся")</f>
        <v>Оказание услуг по организации горячего питания обучающихся</v>
      </c>
      <c r="G8991" s="22" t="s">
        <v>185</v>
      </c>
      <c r="H8991" s="22" t="s">
        <v>185</v>
      </c>
      <c r="I8991" s="26">
        <v>43682</v>
      </c>
      <c r="J8991" s="28" t="s">
        <v>51</v>
      </c>
      <c r="K8991" s="28" t="s">
        <v>51</v>
      </c>
      <c r="L8991" s="28" t="s">
        <v>51</v>
      </c>
      <c r="M8991" s="28" t="s">
        <v>51</v>
      </c>
      <c r="N8991" s="28" t="s">
        <v>51</v>
      </c>
    </row>
    <row r="8992" spans="1:14" x14ac:dyDescent="0.2">
      <c r="A8992" s="23" t="str">
        <f>HYPERLINK("https://www.spark-marketing.ru/Card/Person/142553", "МАОУ СОШ № 26 Г.ЮЖНО-САХАЛИНСКА")</f>
        <v>МАОУ СОШ № 26 Г.ЮЖНО-САХАЛИНСКА</v>
      </c>
      <c r="B8992" s="24" t="s">
        <v>13092</v>
      </c>
      <c r="C8992" s="25">
        <v>5128414.55</v>
      </c>
      <c r="D8992" s="22" t="s">
        <v>13093</v>
      </c>
      <c r="E8992" s="22" t="s">
        <v>362</v>
      </c>
      <c r="F8992" s="23" t="str">
        <f>HYPERLINK("https://www.spark-marketing.ru/Card/Lot/72586316", "Оказание услуг МАОУ СОШ № 26 г. Южно-Сахалинска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коренных...")</f>
        <v>Оказание услуг МАОУ СОШ № 26 г. Южно-Сахалинска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коренных...</v>
      </c>
      <c r="G8992" s="22" t="s">
        <v>260</v>
      </c>
      <c r="H8992" s="22" t="s">
        <v>260</v>
      </c>
      <c r="I8992" s="26">
        <v>43682</v>
      </c>
      <c r="J8992" s="28" t="s">
        <v>51</v>
      </c>
      <c r="K8992" s="28" t="s">
        <v>51</v>
      </c>
      <c r="L8992" s="22" t="s">
        <v>10</v>
      </c>
      <c r="M8992" s="25">
        <v>0</v>
      </c>
      <c r="N8992" s="27">
        <v>1</v>
      </c>
    </row>
    <row r="8993" spans="1:14" x14ac:dyDescent="0.2">
      <c r="A8993" s="23" t="str">
        <f>HYPERLINK("https://www.spark-marketing.ru/Card/Person/6430263", "ФГАУ ""ВИТ ""ЭРА""")</f>
        <v>ФГАУ "ВИТ "ЭРА"</v>
      </c>
      <c r="B8993" s="24" t="s">
        <v>13094</v>
      </c>
      <c r="C8993" s="25">
        <v>331286.40000000002</v>
      </c>
      <c r="D8993" s="22" t="s">
        <v>13095</v>
      </c>
      <c r="E8993" s="22" t="s">
        <v>13096</v>
      </c>
      <c r="F8993" s="23" t="str">
        <f>HYPERLINK("https://www.spark-marketing.ru/Card/Lot/72607704", "Оказание услуг по техническому обслуживанию зданий, ФГАУ ""ВИТ ""ЭРА"" корпус № 1 (административный с блоком общественного питания)")</f>
        <v>Оказание услуг по техническому обслуживанию зданий, ФГАУ "ВИТ "ЭРА" корпус № 1 (административный с блоком общественного питания)</v>
      </c>
      <c r="G8993" s="22" t="s">
        <v>104</v>
      </c>
      <c r="H8993" s="22" t="s">
        <v>104</v>
      </c>
      <c r="I8993" s="26">
        <v>43682</v>
      </c>
      <c r="J8993" s="28" t="s">
        <v>51</v>
      </c>
      <c r="K8993" s="28" t="s">
        <v>51</v>
      </c>
      <c r="L8993" s="22" t="s">
        <v>10</v>
      </c>
      <c r="M8993" s="25">
        <v>331286.40000000002</v>
      </c>
      <c r="N8993" s="27">
        <v>0</v>
      </c>
    </row>
    <row r="8994" spans="1:14" x14ac:dyDescent="0.2">
      <c r="A8994" s="23" t="str">
        <f>HYPERLINK("https://www.spark-marketing.ru/Card/Person/1310521", "МАОУ ""ЛИЦЕЙ ЭКОНОМИКИ И ОСНОВ ПРЕДПРИНИМАТЕЛЬСТВА № 10""")</f>
        <v>МАОУ "ЛИЦЕЙ ЭКОНОМИКИ И ОСНОВ ПРЕДПРИНИМАТЕЛЬСТВА № 10"</v>
      </c>
      <c r="B8994" s="24" t="s">
        <v>13097</v>
      </c>
      <c r="C8994" s="25">
        <v>4402117</v>
      </c>
      <c r="D8994" s="22" t="s">
        <v>13098</v>
      </c>
      <c r="E8994" s="22" t="s">
        <v>362</v>
      </c>
      <c r="F8994" s="23" t="str">
        <f>HYPERLINK("https://www.spark-marketing.ru/Card/Lot/72608556", "Предоставлению услуги общественного питания для нужд МАОУ «Лицей экономики и основ предпринимательства № 10» во 2 полугодии 2019 года.")</f>
        <v>Предоставлению услуги общественного питания для нужд МАОУ «Лицей экономики и основ предпринимательства № 10» во 2 полугодии 2019 года.</v>
      </c>
      <c r="G8994" s="22" t="s">
        <v>415</v>
      </c>
      <c r="H8994" s="22" t="s">
        <v>415</v>
      </c>
      <c r="I8994" s="26">
        <v>43682</v>
      </c>
      <c r="J8994" s="28" t="s">
        <v>51</v>
      </c>
      <c r="K8994" s="28" t="s">
        <v>51</v>
      </c>
      <c r="L8994" s="22" t="s">
        <v>10</v>
      </c>
      <c r="M8994" s="25">
        <v>4182012</v>
      </c>
      <c r="N8994" s="27">
        <v>4.9999806911083917E-2</v>
      </c>
    </row>
    <row r="8995" spans="1:14" x14ac:dyDescent="0.15">
      <c r="A8995" s="23" t="str">
        <f>HYPERLINK("https://www.spark-marketing.ru/Card/Person/16527", "ФКУ ""ЦХИСО УМВД РОССИИ ПО СМОЛЕНСКОЙ ОБЛАСТИ""")</f>
        <v>ФКУ "ЦХИСО УМВД РОССИИ ПО СМОЛЕНСКОЙ ОБЛАСТИ"</v>
      </c>
      <c r="B8995" s="24" t="s">
        <v>10828</v>
      </c>
      <c r="C8995" s="25">
        <v>2000000</v>
      </c>
      <c r="D8995" s="22" t="s">
        <v>13099</v>
      </c>
      <c r="E8995" s="22" t="s">
        <v>48</v>
      </c>
      <c r="F8995" s="23" t="str">
        <f>HYPERLINK("https://www.spark-marketing.ru/Card/Lot/72589266", "Оказание услуг по обеспечению готовым питанием лиц, проходящих первоначальное обучение в Центре профессиональной подготовки Управления Министерства внутренних дел Российской Федерации по Смоленской области")</f>
        <v>Оказание услуг по обеспечению готовым питанием лиц, проходящих первоначальное обучение в Центре профессиональной подготовки Управления Министерства внутренних дел Российской Федерации по Смоленской области</v>
      </c>
      <c r="G8995" s="22" t="s">
        <v>460</v>
      </c>
      <c r="H8995" s="22" t="s">
        <v>460</v>
      </c>
      <c r="I8995" s="26">
        <v>43681.953958333303</v>
      </c>
      <c r="J8995" s="23" t="str">
        <f>HYPERLINK("https://www.spark-marketing.ru/Card/Person/66197", "ООО ""ЕЛИЗАВЕТА""")</f>
        <v>ООО "ЕЛИЗАВЕТА"</v>
      </c>
      <c r="K8995" s="24" t="s">
        <v>13100</v>
      </c>
      <c r="L8995" s="22" t="s">
        <v>10</v>
      </c>
      <c r="M8995" s="28" t="s">
        <v>51</v>
      </c>
      <c r="N8995" s="28" t="s">
        <v>51</v>
      </c>
    </row>
    <row r="8996" spans="1:14" x14ac:dyDescent="0.15">
      <c r="A8996" s="23" t="str">
        <f>HYPERLINK("https://www.spark-marketing.ru/Card/Person/142553", "МАОУ СОШ № 26 Г.ЮЖНО-САХАЛИНСКА")</f>
        <v>МАОУ СОШ № 26 Г.ЮЖНО-САХАЛИНСКА</v>
      </c>
      <c r="B8996" s="24" t="s">
        <v>13092</v>
      </c>
      <c r="C8996" s="25">
        <v>5128414.55</v>
      </c>
      <c r="D8996" s="22" t="s">
        <v>13101</v>
      </c>
      <c r="E8996" s="22" t="s">
        <v>52</v>
      </c>
      <c r="F8996" s="23" t="str">
        <f>HYPERLINK("https://www.spark-marketing.ru/Card/Lot/72586392", "Оказание услуг МАОУ СОШ № 26 г. Южно-Сахалинска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коренных...")</f>
        <v>Оказание услуг МАОУ СОШ № 26 г. Южно-Сахалинска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коренных...</v>
      </c>
      <c r="G8996" s="22" t="s">
        <v>260</v>
      </c>
      <c r="H8996" s="22" t="s">
        <v>804</v>
      </c>
      <c r="I8996" s="26">
        <v>43681.749942129602</v>
      </c>
      <c r="J8996" s="28" t="s">
        <v>51</v>
      </c>
      <c r="K8996" s="28" t="s">
        <v>51</v>
      </c>
      <c r="L8996" s="28" t="s">
        <v>51</v>
      </c>
      <c r="M8996" s="28" t="s">
        <v>51</v>
      </c>
      <c r="N8996" s="28" t="s">
        <v>51</v>
      </c>
    </row>
    <row r="8997" spans="1:14" x14ac:dyDescent="0.15">
      <c r="A8997" s="23" t="str">
        <f>HYPERLINK("https://www.spark-marketing.ru/Card/Person/874659", "МБОУ ООШ № 14")</f>
        <v>МБОУ ООШ № 14</v>
      </c>
      <c r="B8997" s="24" t="s">
        <v>13102</v>
      </c>
      <c r="C8997" s="25">
        <v>713765</v>
      </c>
      <c r="D8997" s="22" t="s">
        <v>13103</v>
      </c>
      <c r="E8997" s="22" t="s">
        <v>48</v>
      </c>
      <c r="F8997" s="23" t="str">
        <f>HYPERLINK("https://www.spark-marketing.ru/Card/Lot/72596188", "Оказание услуг по организации питания учащихся")</f>
        <v>Оказание услуг по организации питания учащихся</v>
      </c>
      <c r="G8997" s="22" t="s">
        <v>104</v>
      </c>
      <c r="H8997" s="22" t="s">
        <v>104</v>
      </c>
      <c r="I8997" s="26">
        <v>43681.593171296299</v>
      </c>
      <c r="J8997" s="23" t="str">
        <f>HYPERLINK("https://www.spark-marketing.ru/Card/Person/18541", "Криштопа Ольга Вячеславовна")</f>
        <v>Криштопа Ольга Вячеславовна</v>
      </c>
      <c r="K8997" s="24" t="s">
        <v>13063</v>
      </c>
      <c r="L8997" s="22" t="s">
        <v>10</v>
      </c>
      <c r="M8997" s="28" t="s">
        <v>51</v>
      </c>
      <c r="N8997" s="28" t="s">
        <v>51</v>
      </c>
    </row>
    <row r="8998" spans="1:14" x14ac:dyDescent="0.15">
      <c r="A8998" s="23" t="str">
        <f>HYPERLINK("https://www.spark-marketing.ru/Card/Person/874875", "МБОУ СОШ № 3 МУНИЦИПАЛЬНОГО ОБРАЗОВАНИЯ ГОРОД ГОРЯЧИЙ КЛЮЧ")</f>
        <v>МБОУ СОШ № 3 МУНИЦИПАЛЬНОГО ОБРАЗОВАНИЯ ГОРОД ГОРЯЧИЙ КЛЮЧ</v>
      </c>
      <c r="B8998" s="24" t="s">
        <v>13104</v>
      </c>
      <c r="C8998" s="25">
        <v>4032063</v>
      </c>
      <c r="D8998" s="22" t="s">
        <v>13105</v>
      </c>
      <c r="E8998" s="22" t="s">
        <v>48</v>
      </c>
      <c r="F8998" s="23" t="str">
        <f>HYPERLINK("https://www.spark-marketing.ru/Card/Lot/72595582", "Оказание услуг по организации школьного питания")</f>
        <v>Оказание услуг по организации школьного питания</v>
      </c>
      <c r="G8998" s="22" t="s">
        <v>104</v>
      </c>
      <c r="H8998" s="22" t="s">
        <v>104</v>
      </c>
      <c r="I8998" s="26">
        <v>43681.5857986111</v>
      </c>
      <c r="J8998" s="28" t="s">
        <v>51</v>
      </c>
      <c r="K8998" s="28" t="s">
        <v>51</v>
      </c>
      <c r="L8998" s="28" t="s">
        <v>51</v>
      </c>
      <c r="M8998" s="28" t="s">
        <v>51</v>
      </c>
      <c r="N8998" s="28" t="s">
        <v>51</v>
      </c>
    </row>
    <row r="8999" spans="1:14" hidden="1" outlineLevel="1" x14ac:dyDescent="0.2">
      <c r="A8999" s="23" t="str">
        <f>HYPERLINK("https://www.spark-marketing.ru/Card/Person/874875", "МБОУ СОШ № 3 МУНИЦИПАЛЬНОГО ОБРАЗОВАНИЯ ГОРОД ГОРЯЧИЙ КЛЮЧ")</f>
        <v>МБОУ СОШ № 3 МУНИЦИПАЛЬНОГО ОБРАЗОВАНИЯ ГОРОД ГОРЯЧИЙ КЛЮЧ</v>
      </c>
      <c r="B8999" s="24" t="s">
        <v>13104</v>
      </c>
      <c r="C8999" s="25">
        <v>4032063</v>
      </c>
      <c r="D8999" s="22" t="s">
        <v>13105</v>
      </c>
      <c r="E8999" s="22" t="s">
        <v>48</v>
      </c>
      <c r="F8999" s="23" t="str">
        <f>HYPERLINK("https://www.spark-marketing.ru/Card/Lot/72595582", "Оказание услуг по организации школьного питания")</f>
        <v>Оказание услуг по организации школьного питания</v>
      </c>
      <c r="G8999" s="22" t="s">
        <v>104</v>
      </c>
      <c r="H8999" s="22" t="s">
        <v>104</v>
      </c>
      <c r="I8999" s="26">
        <v>43681.5857986111</v>
      </c>
      <c r="J8999" s="23" t="str">
        <f>HYPERLINK("https://www.spark-marketing.ru/Card/Person/85328", "Бессонов Михаил Сергеевич")</f>
        <v>Бессонов Михаил Сергеевич</v>
      </c>
      <c r="K8999" s="24" t="s">
        <v>7804</v>
      </c>
      <c r="L8999" s="28" t="s">
        <v>51</v>
      </c>
      <c r="M8999" s="25">
        <v>3003886.83</v>
      </c>
      <c r="N8999" s="27">
        <v>0.25500002604125976</v>
      </c>
    </row>
    <row r="9000" spans="1:14" ht="12.75" hidden="1" outlineLevel="1" x14ac:dyDescent="0.2">
      <c r="A9000" s="23" t="str">
        <f>HYPERLINK("https://www.spark-marketing.ru/Card/Person/874875", "МБОУ СОШ № 3 МУНИЦИПАЛЬНОГО ОБРАЗОВАНИЯ ГОРОД ГОРЯЧИЙ КЛЮЧ")</f>
        <v>МБОУ СОШ № 3 МУНИЦИПАЛЬНОГО ОБРАЗОВАНИЯ ГОРОД ГОРЯЧИЙ КЛЮЧ</v>
      </c>
      <c r="B9000" s="24" t="s">
        <v>13104</v>
      </c>
      <c r="C9000" s="25">
        <v>4032063</v>
      </c>
      <c r="D9000" s="22" t="s">
        <v>13105</v>
      </c>
      <c r="E9000" s="22" t="s">
        <v>48</v>
      </c>
      <c r="F9000" s="23" t="str">
        <f>HYPERLINK("https://www.spark-marketing.ru/Card/Lot/72595582", "Оказание услуг по организации школьного питания")</f>
        <v>Оказание услуг по организации школьного питания</v>
      </c>
      <c r="G9000" s="22" t="s">
        <v>104</v>
      </c>
      <c r="H9000" s="22" t="s">
        <v>104</v>
      </c>
      <c r="I9000" s="26">
        <v>43681.5857986111</v>
      </c>
      <c r="J9000" s="23" t="str">
        <f>HYPERLINK("https://www.spark-marketing.ru/Card/Person/18541", "Криштопа Ольга Вячеславовна")</f>
        <v>Криштопа Ольга Вячеславовна</v>
      </c>
      <c r="K9000" s="24" t="s">
        <v>13063</v>
      </c>
      <c r="L9000" s="22" t="s">
        <v>10</v>
      </c>
      <c r="M9000" s="25">
        <v>2983726.51</v>
      </c>
      <c r="N9000" s="27">
        <v>0.26000002728131977</v>
      </c>
    </row>
    <row r="9001" spans="1:14" x14ac:dyDescent="0.15">
      <c r="A9001" s="23" t="str">
        <f>HYPERLINK("https://www.spark-marketing.ru/Card/Person/1012158", "МАОУ ДО ДТДМ")</f>
        <v>МАОУ ДО ДТДМ</v>
      </c>
      <c r="B9001" s="24" t="s">
        <v>4649</v>
      </c>
      <c r="C9001" s="25">
        <v>444570</v>
      </c>
      <c r="D9001" s="22" t="s">
        <v>13106</v>
      </c>
      <c r="E9001" s="22" t="s">
        <v>362</v>
      </c>
      <c r="F9001" s="23" t="str">
        <f>HYPERLINK("https://www.spark-marketing.ru/Card/Lot/72586267", "Заключение договора на оказание услуг по организации горячего питания")</f>
        <v>Заключение договора на оказание услуг по организации горячего питания</v>
      </c>
      <c r="G9001" s="22" t="s">
        <v>72</v>
      </c>
      <c r="H9001" s="22" t="s">
        <v>72</v>
      </c>
      <c r="I9001" s="26">
        <v>43681</v>
      </c>
      <c r="J9001" s="28" t="s">
        <v>51</v>
      </c>
      <c r="K9001" s="28" t="s">
        <v>51</v>
      </c>
      <c r="L9001" s="28" t="s">
        <v>51</v>
      </c>
      <c r="M9001" s="28" t="s">
        <v>51</v>
      </c>
      <c r="N9001" s="28" t="s">
        <v>51</v>
      </c>
    </row>
    <row r="9002" spans="1:14" x14ac:dyDescent="0.15">
      <c r="A9002" s="23" t="str">
        <f>HYPERLINK("https://www.spark-marketing.ru/Card/Person/1012158", "МАОУ ДО ДТДМ")</f>
        <v>МАОУ ДО ДТДМ</v>
      </c>
      <c r="B9002" s="24" t="s">
        <v>4649</v>
      </c>
      <c r="C9002" s="25">
        <v>413910</v>
      </c>
      <c r="D9002" s="22" t="s">
        <v>13107</v>
      </c>
      <c r="E9002" s="22" t="s">
        <v>362</v>
      </c>
      <c r="F9002" s="23" t="str">
        <f>HYPERLINK("https://www.spark-marketing.ru/Card/Lot/72586266", "Заключение договора на оказание услуг по организации горячего питания")</f>
        <v>Заключение договора на оказание услуг по организации горячего питания</v>
      </c>
      <c r="G9002" s="22" t="s">
        <v>72</v>
      </c>
      <c r="H9002" s="22" t="s">
        <v>72</v>
      </c>
      <c r="I9002" s="26">
        <v>43681</v>
      </c>
      <c r="J9002" s="28" t="s">
        <v>51</v>
      </c>
      <c r="K9002" s="28" t="s">
        <v>51</v>
      </c>
      <c r="L9002" s="28" t="s">
        <v>51</v>
      </c>
      <c r="M9002" s="28" t="s">
        <v>51</v>
      </c>
      <c r="N9002" s="28" t="s">
        <v>51</v>
      </c>
    </row>
    <row r="9003" spans="1:14" x14ac:dyDescent="0.15">
      <c r="A9003" s="23" t="str">
        <f>HYPERLINK("https://www.spark-marketing.ru/Card/Person/147506", "МАОУ СОШ № 4")</f>
        <v>МАОУ СОШ № 4</v>
      </c>
      <c r="B9003" s="24" t="s">
        <v>13108</v>
      </c>
      <c r="C9003" s="25">
        <v>2880190</v>
      </c>
      <c r="D9003" s="22" t="s">
        <v>13109</v>
      </c>
      <c r="E9003" s="22" t="s">
        <v>362</v>
      </c>
      <c r="F9003" s="23" t="str">
        <f>HYPERLINK("https://www.spark-marketing.ru/Card/Lot/72572573", "Оказание услуг по организации питания учащихся Муниципального автономного общеобразовательного учреждения "" Средняя Общеобразовательная Школа № 4"" в период с 09.09.2019г.")</f>
        <v>Оказание услуг по организации питания учащихся Муниципального автономного общеобразовательного учреждения " Средняя Общеобразовательная Школа № 4" в период с 09.09.2019г.</v>
      </c>
      <c r="G9003" s="22" t="s">
        <v>174</v>
      </c>
      <c r="H9003" s="22" t="s">
        <v>174</v>
      </c>
      <c r="I9003" s="26">
        <v>43679</v>
      </c>
      <c r="J9003" s="28" t="s">
        <v>51</v>
      </c>
      <c r="K9003" s="28" t="s">
        <v>51</v>
      </c>
      <c r="L9003" s="28" t="s">
        <v>51</v>
      </c>
      <c r="M9003" s="28" t="s">
        <v>51</v>
      </c>
      <c r="N9003" s="28" t="s">
        <v>51</v>
      </c>
    </row>
    <row r="9004" spans="1:14" x14ac:dyDescent="0.15">
      <c r="A9004" s="23" t="str">
        <f>HYPERLINK("https://www.spark-marketing.ru/Card/Person/10568", "СПБ ГБУЗ ""ДГКБ № 5 ИМ. Н.Ф.ФИЛАТОВА""")</f>
        <v>СПБ ГБУЗ "ДГКБ № 5 ИМ. Н.Ф.ФИЛАТОВА"</v>
      </c>
      <c r="B9004" s="24" t="s">
        <v>7925</v>
      </c>
      <c r="C9004" s="25">
        <v>3510000</v>
      </c>
      <c r="D9004" s="22" t="s">
        <v>13110</v>
      </c>
      <c r="E9004" s="22" t="s">
        <v>48</v>
      </c>
      <c r="F9004" s="23" t="str">
        <f>HYPERLINK("https://www.spark-marketing.ru/Card/Lot/72584784", "Оказание услуг по организации лечебного питания")</f>
        <v>Оказание услуг по организации лечебного питания</v>
      </c>
      <c r="G9004" s="22" t="s">
        <v>117</v>
      </c>
      <c r="H9004" s="22" t="s">
        <v>117</v>
      </c>
      <c r="I9004" s="26">
        <v>43679.8144791667</v>
      </c>
      <c r="J9004" s="23" t="str">
        <f>HYPERLINK("https://www.spark-marketing.ru/Card/Person/2105783", "ООО ""КЛЁН""")</f>
        <v>ООО "КЛЁН"</v>
      </c>
      <c r="K9004" s="24" t="s">
        <v>7927</v>
      </c>
      <c r="L9004" s="28" t="s">
        <v>51</v>
      </c>
      <c r="M9004" s="28" t="s">
        <v>51</v>
      </c>
      <c r="N9004" s="28" t="s">
        <v>51</v>
      </c>
    </row>
    <row r="9005" spans="1:14" ht="12.75" hidden="1" outlineLevel="1" x14ac:dyDescent="0.2">
      <c r="A9005" s="23" t="str">
        <f>HYPERLINK("https://www.spark-marketing.ru/Card/Person/10568", "СПБ ГБУЗ ""ДГКБ № 5 ИМ. Н.Ф.ФИЛАТОВА""")</f>
        <v>СПБ ГБУЗ "ДГКБ № 5 ИМ. Н.Ф.ФИЛАТОВА"</v>
      </c>
      <c r="B9005" s="24" t="s">
        <v>7925</v>
      </c>
      <c r="C9005" s="25">
        <v>3510000</v>
      </c>
      <c r="D9005" s="22" t="s">
        <v>13110</v>
      </c>
      <c r="E9005" s="22" t="s">
        <v>48</v>
      </c>
      <c r="F9005" s="23" t="str">
        <f>HYPERLINK("https://www.spark-marketing.ru/Card/Lot/72584784", "Оказание услуг по организации лечебного питания")</f>
        <v>Оказание услуг по организации лечебного питания</v>
      </c>
      <c r="G9005" s="22" t="s">
        <v>117</v>
      </c>
      <c r="H9005" s="22" t="s">
        <v>117</v>
      </c>
      <c r="I9005" s="26">
        <v>43679.8144791667</v>
      </c>
      <c r="J9005" s="23" t="str">
        <f>HYPERLINK("https://www.spark-marketing.ru/Card/Person/2105783", "ООО ""КЛЁН""")</f>
        <v>ООО "КЛЁН"</v>
      </c>
      <c r="K9005" s="24" t="s">
        <v>7927</v>
      </c>
      <c r="L9005" s="22" t="s">
        <v>10</v>
      </c>
      <c r="M9005" s="25">
        <v>3334500</v>
      </c>
      <c r="N9005" s="27">
        <v>0.05</v>
      </c>
    </row>
    <row r="9006" spans="1:14" x14ac:dyDescent="0.15">
      <c r="A9006" s="23" t="str">
        <f t="shared" ref="A9006:A9011" si="207">HYPERLINK("https://www.spark-marketing.ru/Card/Person/108009", "ГОСУДАРСТВЕННАЯ ЖИЛИЩНАЯ ИНСПЕКЦИЯ ПО ОРЕНБУРГСКОЙ ОБЛАСТИ")</f>
        <v>ГОСУДАРСТВЕННАЯ ЖИЛИЩНАЯ ИНСПЕКЦИЯ ПО ОРЕНБУРГСКОЙ ОБЛАСТИ</v>
      </c>
      <c r="B9006" s="24" t="s">
        <v>13111</v>
      </c>
      <c r="C9006" s="25">
        <v>15840.43</v>
      </c>
      <c r="D9006" s="22" t="s">
        <v>13112</v>
      </c>
      <c r="E9006" s="22" t="s">
        <v>13113</v>
      </c>
      <c r="F9006" s="23" t="str">
        <f t="shared" ref="F9006:F9011" si="208">HYPERLINK("https://www.spark-marketing.ru/Card/Lot/72588427", "на поставку хозяйственных товаров")</f>
        <v>на поставку хозяйственных товаров</v>
      </c>
      <c r="G9006" s="22" t="s">
        <v>132</v>
      </c>
      <c r="H9006" s="22" t="s">
        <v>587</v>
      </c>
      <c r="I9006" s="26">
        <v>43679.759525463</v>
      </c>
      <c r="J9006" s="28" t="s">
        <v>51</v>
      </c>
      <c r="K9006" s="28" t="s">
        <v>51</v>
      </c>
      <c r="L9006" s="28" t="s">
        <v>51</v>
      </c>
      <c r="M9006" s="28" t="s">
        <v>51</v>
      </c>
      <c r="N9006" s="28" t="s">
        <v>51</v>
      </c>
    </row>
    <row r="9007" spans="1:14" hidden="1" outlineLevel="1" x14ac:dyDescent="0.2">
      <c r="A9007" s="23" t="str">
        <f t="shared" si="207"/>
        <v>ГОСУДАРСТВЕННАЯ ЖИЛИЩНАЯ ИНСПЕКЦИЯ ПО ОРЕНБУРГСКОЙ ОБЛАСТИ</v>
      </c>
      <c r="B9007" s="24" t="s">
        <v>13111</v>
      </c>
      <c r="C9007" s="25">
        <v>15840.43</v>
      </c>
      <c r="D9007" s="22" t="s">
        <v>13112</v>
      </c>
      <c r="E9007" s="22" t="s">
        <v>13113</v>
      </c>
      <c r="F9007" s="23" t="str">
        <f t="shared" si="208"/>
        <v>на поставку хозяйственных товаров</v>
      </c>
      <c r="G9007" s="22" t="s">
        <v>132</v>
      </c>
      <c r="H9007" s="22" t="s">
        <v>587</v>
      </c>
      <c r="I9007" s="26">
        <v>43679.759525463</v>
      </c>
      <c r="J9007" s="23" t="str">
        <f>HYPERLINK("https://www.spark-marketing.ru/Card/Person/5953877", "ООО ""М-СЕРВИС""")</f>
        <v>ООО "М-СЕРВИС"</v>
      </c>
      <c r="K9007" s="24" t="s">
        <v>13114</v>
      </c>
      <c r="L9007" s="28" t="s">
        <v>51</v>
      </c>
      <c r="M9007" s="25">
        <v>11000</v>
      </c>
      <c r="N9007" s="27">
        <v>0.30557440675537217</v>
      </c>
    </row>
    <row r="9008" spans="1:14" hidden="1" outlineLevel="1" x14ac:dyDescent="0.2">
      <c r="A9008" s="23" t="str">
        <f t="shared" si="207"/>
        <v>ГОСУДАРСТВЕННАЯ ЖИЛИЩНАЯ ИНСПЕКЦИЯ ПО ОРЕНБУРГСКОЙ ОБЛАСТИ</v>
      </c>
      <c r="B9008" s="24" t="s">
        <v>13111</v>
      </c>
      <c r="C9008" s="25">
        <v>15840.43</v>
      </c>
      <c r="D9008" s="22" t="s">
        <v>13112</v>
      </c>
      <c r="E9008" s="22" t="s">
        <v>13113</v>
      </c>
      <c r="F9008" s="23" t="str">
        <f t="shared" si="208"/>
        <v>на поставку хозяйственных товаров</v>
      </c>
      <c r="G9008" s="22" t="s">
        <v>132</v>
      </c>
      <c r="H9008" s="22" t="s">
        <v>587</v>
      </c>
      <c r="I9008" s="26">
        <v>43679.759525463</v>
      </c>
      <c r="J9008" s="23" t="str">
        <f>HYPERLINK("https://www.spark-marketing.ru/Card/Person/6050887", "ООО ""ТД ""ЧИСТЫЙ ДОМ""")</f>
        <v>ООО "ТД "ЧИСТЫЙ ДОМ"</v>
      </c>
      <c r="K9008" s="24" t="s">
        <v>13115</v>
      </c>
      <c r="L9008" s="28" t="s">
        <v>51</v>
      </c>
      <c r="M9008" s="25">
        <v>8332.7999999999993</v>
      </c>
      <c r="N9008" s="27">
        <v>0.47395367423737866</v>
      </c>
    </row>
    <row r="9009" spans="1:14" hidden="1" outlineLevel="1" x14ac:dyDescent="0.2">
      <c r="A9009" s="23" t="str">
        <f t="shared" si="207"/>
        <v>ГОСУДАРСТВЕННАЯ ЖИЛИЩНАЯ ИНСПЕКЦИЯ ПО ОРЕНБУРГСКОЙ ОБЛАСТИ</v>
      </c>
      <c r="B9009" s="24" t="s">
        <v>13111</v>
      </c>
      <c r="C9009" s="25">
        <v>15840.43</v>
      </c>
      <c r="D9009" s="22" t="s">
        <v>13112</v>
      </c>
      <c r="E9009" s="22" t="s">
        <v>13113</v>
      </c>
      <c r="F9009" s="23" t="str">
        <f t="shared" si="208"/>
        <v>на поставку хозяйственных товаров</v>
      </c>
      <c r="G9009" s="22" t="s">
        <v>132</v>
      </c>
      <c r="H9009" s="22" t="s">
        <v>587</v>
      </c>
      <c r="I9009" s="26">
        <v>43679.759525463</v>
      </c>
      <c r="J9009" s="23" t="str">
        <f>HYPERLINK("https://www.spark-marketing.ru/Card/Person/748681", "Казаков Дмитрий Владимирович")</f>
        <v>Казаков Дмитрий Владимирович</v>
      </c>
      <c r="K9009" s="24" t="s">
        <v>13116</v>
      </c>
      <c r="L9009" s="28" t="s">
        <v>51</v>
      </c>
      <c r="M9009" s="25">
        <v>10681.6</v>
      </c>
      <c r="N9009" s="27">
        <v>0.32567487119983485</v>
      </c>
    </row>
    <row r="9010" spans="1:14" ht="12.75" hidden="1" outlineLevel="1" x14ac:dyDescent="0.2">
      <c r="A9010" s="23" t="str">
        <f t="shared" si="207"/>
        <v>ГОСУДАРСТВЕННАЯ ЖИЛИЩНАЯ ИНСПЕКЦИЯ ПО ОРЕНБУРГСКОЙ ОБЛАСТИ</v>
      </c>
      <c r="B9010" s="24" t="s">
        <v>13111</v>
      </c>
      <c r="C9010" s="25">
        <v>15840.43</v>
      </c>
      <c r="D9010" s="22" t="s">
        <v>13112</v>
      </c>
      <c r="E9010" s="22" t="s">
        <v>13113</v>
      </c>
      <c r="F9010" s="23" t="str">
        <f t="shared" si="208"/>
        <v>на поставку хозяйственных товаров</v>
      </c>
      <c r="G9010" s="22" t="s">
        <v>132</v>
      </c>
      <c r="H9010" s="22" t="s">
        <v>587</v>
      </c>
      <c r="I9010" s="26">
        <v>43679.759525463</v>
      </c>
      <c r="J9010" s="23" t="str">
        <f>HYPERLINK("https://www.spark-marketing.ru/Card/Person/4732612", "Катипунго Оксана Александровна")</f>
        <v>Катипунго Оксана Александровна</v>
      </c>
      <c r="K9010" s="24" t="s">
        <v>13117</v>
      </c>
      <c r="L9010" s="22" t="s">
        <v>10</v>
      </c>
      <c r="M9010" s="25">
        <v>8253.6</v>
      </c>
      <c r="N9010" s="27">
        <v>0.47895353850873995</v>
      </c>
    </row>
    <row r="9011" spans="1:14" hidden="1" outlineLevel="1" x14ac:dyDescent="0.2">
      <c r="A9011" s="23" t="str">
        <f t="shared" si="207"/>
        <v>ГОСУДАРСТВЕННАЯ ЖИЛИЩНАЯ ИНСПЕКЦИЯ ПО ОРЕНБУРГСКОЙ ОБЛАСТИ</v>
      </c>
      <c r="B9011" s="24" t="s">
        <v>13111</v>
      </c>
      <c r="C9011" s="25">
        <v>15840.43</v>
      </c>
      <c r="D9011" s="22" t="s">
        <v>13112</v>
      </c>
      <c r="E9011" s="22" t="s">
        <v>13113</v>
      </c>
      <c r="F9011" s="23" t="str">
        <f t="shared" si="208"/>
        <v>на поставку хозяйственных товаров</v>
      </c>
      <c r="G9011" s="22" t="s">
        <v>132</v>
      </c>
      <c r="H9011" s="22" t="s">
        <v>587</v>
      </c>
      <c r="I9011" s="26">
        <v>43679.759525463</v>
      </c>
      <c r="J9011" s="23" t="str">
        <f>HYPERLINK("https://www.spark-marketing.ru/Card/Person/750165", "ООО ""РЕГИОНОПТ""")</f>
        <v>ООО "РЕГИОНОПТ"</v>
      </c>
      <c r="K9011" s="24" t="s">
        <v>13118</v>
      </c>
      <c r="L9011" s="28" t="s">
        <v>51</v>
      </c>
      <c r="M9011" s="25">
        <v>9600</v>
      </c>
      <c r="N9011" s="27">
        <v>0.39395584589559751</v>
      </c>
    </row>
    <row r="9012" spans="1:14" x14ac:dyDescent="0.15">
      <c r="A9012" s="23" t="str">
        <f>HYPERLINK("https://www.spark-marketing.ru/Card/Person/5970506", "УПРАВЛЕНИЕ РОСГВАРДИИ ПО РЕСПУБЛИКЕ ТАТАРСТАН")</f>
        <v>УПРАВЛЕНИЕ РОСГВАРДИИ ПО РЕСПУБЛИКЕ ТАТАРСТАН</v>
      </c>
      <c r="B9012" s="24" t="s">
        <v>2875</v>
      </c>
      <c r="C9012" s="25">
        <v>223000</v>
      </c>
      <c r="D9012" s="22" t="s">
        <v>13119</v>
      </c>
      <c r="E9012" s="22" t="s">
        <v>96</v>
      </c>
      <c r="F9012" s="23" t="str">
        <f>HYPERLINK("https://www.spark-marketing.ru/Card/Lot/72580734",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9012" s="22" t="s">
        <v>217</v>
      </c>
      <c r="H9012" s="22" t="s">
        <v>937</v>
      </c>
      <c r="I9012" s="26">
        <v>43679.728067129603</v>
      </c>
      <c r="J9012" s="28" t="s">
        <v>51</v>
      </c>
      <c r="K9012" s="28" t="s">
        <v>51</v>
      </c>
      <c r="L9012" s="28" t="s">
        <v>51</v>
      </c>
      <c r="M9012" s="28" t="s">
        <v>51</v>
      </c>
      <c r="N9012" s="28" t="s">
        <v>51</v>
      </c>
    </row>
    <row r="9013" spans="1:14" x14ac:dyDescent="0.15">
      <c r="A9013" s="23" t="str">
        <f>HYPERLINK("https://www.spark-marketing.ru/Card/Person/5970506", "УПРАВЛЕНИЕ РОСГВАРДИИ ПО РЕСПУБЛИКЕ ТАТАРСТАН")</f>
        <v>УПРАВЛЕНИЕ РОСГВАРДИИ ПО РЕСПУБЛИКЕ ТАТАРСТАН</v>
      </c>
      <c r="B9013" s="24" t="s">
        <v>2875</v>
      </c>
      <c r="C9013" s="25">
        <v>298000</v>
      </c>
      <c r="D9013" s="22" t="s">
        <v>13120</v>
      </c>
      <c r="E9013" s="22" t="s">
        <v>96</v>
      </c>
      <c r="F9013" s="23" t="str">
        <f>HYPERLINK("https://www.spark-marketing.ru/Card/Lot/72580736",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9013" s="22" t="s">
        <v>217</v>
      </c>
      <c r="H9013" s="22" t="s">
        <v>937</v>
      </c>
      <c r="I9013" s="26">
        <v>43679.730578703697</v>
      </c>
      <c r="J9013" s="28" t="s">
        <v>51</v>
      </c>
      <c r="K9013" s="28" t="s">
        <v>51</v>
      </c>
      <c r="L9013" s="28" t="s">
        <v>51</v>
      </c>
      <c r="M9013" s="28" t="s">
        <v>51</v>
      </c>
      <c r="N9013" s="28" t="s">
        <v>51</v>
      </c>
    </row>
    <row r="9014" spans="1:14" x14ac:dyDescent="0.15">
      <c r="A9014" s="23" t="str">
        <f>HYPERLINK("https://www.spark-marketing.ru/Card/Person/543189", "ОМВД РОССИИ ПО ЖЕРДЕВСКОМУ РАЙОНУ")</f>
        <v>ОМВД РОССИИ ПО ЖЕРДЕВСКОМУ РАЙОНУ</v>
      </c>
      <c r="B9014" s="24" t="s">
        <v>10294</v>
      </c>
      <c r="C9014" s="25">
        <v>378329.7</v>
      </c>
      <c r="D9014" s="22" t="s">
        <v>13121</v>
      </c>
      <c r="E9014" s="22" t="s">
        <v>48</v>
      </c>
      <c r="F9014" s="23" t="str">
        <f>HYPERLINK("https://www.spark-marketing.ru/Card/Lot/72594207", "Оказание услуг по приготовлению горячего питания лицам, содержащимся в ИВС и СПЗ ОМВД России по Жердевскому району")</f>
        <v>Оказание услуг по приготовлению горячего питания лицам, содержащимся в ИВС и СПЗ ОМВД России по Жердевскому району</v>
      </c>
      <c r="G9014" s="22" t="s">
        <v>1370</v>
      </c>
      <c r="H9014" s="22" t="s">
        <v>1370</v>
      </c>
      <c r="I9014" s="26">
        <v>43679.7364467593</v>
      </c>
      <c r="J9014" s="28" t="s">
        <v>51</v>
      </c>
      <c r="K9014" s="28" t="s">
        <v>51</v>
      </c>
      <c r="L9014" s="28" t="s">
        <v>51</v>
      </c>
      <c r="M9014" s="28" t="s">
        <v>51</v>
      </c>
      <c r="N9014" s="28" t="s">
        <v>51</v>
      </c>
    </row>
    <row r="9015" spans="1:14" x14ac:dyDescent="0.15">
      <c r="A9015" s="23" t="str">
        <f>HYPERLINK("https://www.spark-marketing.ru/Card/Person/142098", "МБОУ МО ГК ""СОШ № 8""")</f>
        <v>МБОУ МО ГК "СОШ № 8"</v>
      </c>
      <c r="B9015" s="24" t="s">
        <v>13122</v>
      </c>
      <c r="C9015" s="25">
        <v>1334564</v>
      </c>
      <c r="D9015" s="22" t="s">
        <v>13123</v>
      </c>
      <c r="E9015" s="22" t="s">
        <v>48</v>
      </c>
      <c r="F9015" s="23" t="str">
        <f>HYPERLINK("https://www.spark-marketing.ru/Card/Lot/72592037", "Услуги школьных столовых и кухонь")</f>
        <v>Услуги школьных столовых и кухонь</v>
      </c>
      <c r="G9015" s="22" t="s">
        <v>104</v>
      </c>
      <c r="H9015" s="22" t="s">
        <v>104</v>
      </c>
      <c r="I9015" s="26">
        <v>43679.744085648097</v>
      </c>
      <c r="J9015" s="23" t="str">
        <f>HYPERLINK("https://www.spark-marketing.ru/Card/Person/18541", "Криштопа Ольга Вячеславовна")</f>
        <v>Криштопа Ольга Вячеславовна</v>
      </c>
      <c r="K9015" s="24" t="s">
        <v>13063</v>
      </c>
      <c r="L9015" s="22" t="s">
        <v>10</v>
      </c>
      <c r="M9015" s="28" t="s">
        <v>51</v>
      </c>
      <c r="N9015" s="28" t="s">
        <v>51</v>
      </c>
    </row>
    <row r="9016" spans="1:14" x14ac:dyDescent="0.15">
      <c r="A9016" s="23" t="str">
        <f>HYPERLINK("https://www.spark-marketing.ru/Card/Person/5970506", "УПРАВЛЕНИЕ РОСГВАРДИИ ПО РЕСПУБЛИКЕ ТАТАРСТАН")</f>
        <v>УПРАВЛЕНИЕ РОСГВАРДИИ ПО РЕСПУБЛИКЕ ТАТАРСТАН</v>
      </c>
      <c r="B9016" s="24" t="s">
        <v>2875</v>
      </c>
      <c r="C9016" s="25">
        <v>297000</v>
      </c>
      <c r="D9016" s="22" t="s">
        <v>13124</v>
      </c>
      <c r="E9016" s="22" t="s">
        <v>96</v>
      </c>
      <c r="F9016" s="23" t="str">
        <f>HYPERLINK("https://www.spark-marketing.ru/Card/Lot/72580716",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9016" s="22" t="s">
        <v>217</v>
      </c>
      <c r="H9016" s="22" t="s">
        <v>937</v>
      </c>
      <c r="I9016" s="26">
        <v>43679.723923611098</v>
      </c>
      <c r="J9016" s="28" t="s">
        <v>51</v>
      </c>
      <c r="K9016" s="28" t="s">
        <v>51</v>
      </c>
      <c r="L9016" s="28" t="s">
        <v>51</v>
      </c>
      <c r="M9016" s="28" t="s">
        <v>51</v>
      </c>
      <c r="N9016" s="28" t="s">
        <v>51</v>
      </c>
    </row>
    <row r="9017" spans="1:14" x14ac:dyDescent="0.15">
      <c r="A9017" s="23" t="str">
        <f>HYPERLINK("https://www.spark-marketing.ru/Card/Person/543189", "ОМВД РОССИИ ПО ЖЕРДЕВСКОМУ РАЙОНУ")</f>
        <v>ОМВД РОССИИ ПО ЖЕРДЕВСКОМУ РАЙОНУ</v>
      </c>
      <c r="B9017" s="24" t="s">
        <v>10294</v>
      </c>
      <c r="C9017" s="25">
        <v>433300</v>
      </c>
      <c r="D9017" s="22" t="s">
        <v>13125</v>
      </c>
      <c r="E9017" s="22" t="s">
        <v>48</v>
      </c>
      <c r="F9017" s="23" t="str">
        <f>HYPERLINK("https://www.spark-marketing.ru/Card/Lot/72594206", "Оказание услуг по приготовлению горячего питания лицам, содержащимся в ИВС и СПЗ ОМВД России по Жердевскому району")</f>
        <v>Оказание услуг по приготовлению горячего питания лицам, содержащимся в ИВС и СПЗ ОМВД России по Жердевскому району</v>
      </c>
      <c r="G9017" s="22" t="s">
        <v>1370</v>
      </c>
      <c r="H9017" s="22" t="s">
        <v>1370</v>
      </c>
      <c r="I9017" s="26">
        <v>43679.728020833303</v>
      </c>
      <c r="J9017" s="28" t="s">
        <v>51</v>
      </c>
      <c r="K9017" s="28" t="s">
        <v>51</v>
      </c>
      <c r="L9017" s="28" t="s">
        <v>51</v>
      </c>
      <c r="M9017" s="28" t="s">
        <v>51</v>
      </c>
      <c r="N9017" s="28" t="s">
        <v>51</v>
      </c>
    </row>
    <row r="9018" spans="1:14" x14ac:dyDescent="0.15">
      <c r="A9018" s="23" t="str">
        <f>HYPERLINK("https://www.spark-marketing.ru/Card/Person/1078653", "МБОУ ""НАЧАЛЬНАЯ ШКОЛА № 5 Г. ГОРНО-АЛТАЙСКА""")</f>
        <v>МБОУ "НАЧАЛЬНАЯ ШКОЛА № 5 Г. ГОРНО-АЛТАЙСКА"</v>
      </c>
      <c r="B9018" s="24" t="s">
        <v>10565</v>
      </c>
      <c r="C9018" s="25">
        <v>554100</v>
      </c>
      <c r="D9018" s="22" t="s">
        <v>13126</v>
      </c>
      <c r="E9018" s="22" t="s">
        <v>48</v>
      </c>
      <c r="F9018" s="23" t="str">
        <f>HYPERLINK("https://www.spark-marketing.ru/Card/Lot/72586807", "Оказание услуг горячего питания для нужд Муниципального бюджетного общеобразовательного учреждения ""НАЧАЛЬНАЯ ОБЩЕОБРАЗОВАТЕЛЬНАЯ ШКОЛА № 5 ГОРОДА ГОРНО-АЛТАЙСКА""")</f>
        <v>Оказание услуг горячего питания для нужд Муниципального бюджетного общеобразовательного учреждения "НАЧАЛЬНАЯ ОБЩЕОБРАЗОВАТЕЛЬНАЯ ШКОЛА № 5 ГОРОДА ГОРНО-АЛТАЙСКА"</v>
      </c>
      <c r="G9018" s="22" t="s">
        <v>1141</v>
      </c>
      <c r="H9018" s="22" t="s">
        <v>1142</v>
      </c>
      <c r="I9018" s="26">
        <v>43679.731979166703</v>
      </c>
      <c r="J9018" s="28" t="s">
        <v>51</v>
      </c>
      <c r="K9018" s="28" t="s">
        <v>51</v>
      </c>
      <c r="L9018" s="28" t="s">
        <v>51</v>
      </c>
      <c r="M9018" s="28" t="s">
        <v>51</v>
      </c>
      <c r="N9018" s="28" t="s">
        <v>51</v>
      </c>
    </row>
    <row r="9019" spans="1:14" x14ac:dyDescent="0.15">
      <c r="A9019" s="23" t="str">
        <f>HYPERLINK("https://www.spark-marketing.ru/Card/Person/121548", "МБОУ ""ШКОЛА-ИНТЕРНАТ № 3""")</f>
        <v>МБОУ "ШКОЛА-ИНТЕРНАТ № 3"</v>
      </c>
      <c r="B9019" s="24" t="s">
        <v>13127</v>
      </c>
      <c r="C9019" s="25">
        <v>8926800</v>
      </c>
      <c r="D9019" s="22" t="s">
        <v>13128</v>
      </c>
      <c r="E9019" s="22" t="s">
        <v>48</v>
      </c>
      <c r="F9019" s="23" t="str">
        <f>HYPERLINK("https://www.spark-marketing.ru/Card/Lot/72579356", "Оказание услуги по организации питания для нужд Муниципального бюджетного общеобразовательного учреждения ""Школа-интернат № 3"" городского округа город Уфа Республики Башкортостан")</f>
        <v>Оказание услуги по организации питания для нужд Муниципального бюджетного общеобразовательного учреждения "Школа-интернат № 3" городского округа город Уфа Республики Башкортостан</v>
      </c>
      <c r="G9019" s="22" t="s">
        <v>145</v>
      </c>
      <c r="H9019" s="22" t="s">
        <v>436</v>
      </c>
      <c r="I9019" s="26">
        <v>43679.740509259304</v>
      </c>
      <c r="J9019" s="28" t="s">
        <v>51</v>
      </c>
      <c r="K9019" s="28" t="s">
        <v>51</v>
      </c>
      <c r="L9019" s="28" t="s">
        <v>51</v>
      </c>
      <c r="M9019" s="28" t="s">
        <v>51</v>
      </c>
      <c r="N9019" s="28" t="s">
        <v>51</v>
      </c>
    </row>
    <row r="9020" spans="1:14" x14ac:dyDescent="0.15">
      <c r="A9020" s="23" t="str">
        <f>HYPERLINK("https://www.spark-marketing.ru/Card/Person/889819", "МБОУ МО ГК ООШ № 12")</f>
        <v>МБОУ МО ГК ООШ № 12</v>
      </c>
      <c r="B9020" s="24" t="s">
        <v>13129</v>
      </c>
      <c r="C9020" s="25">
        <v>1360728</v>
      </c>
      <c r="D9020" s="22" t="s">
        <v>13130</v>
      </c>
      <c r="E9020" s="22" t="s">
        <v>48</v>
      </c>
      <c r="F9020" s="23" t="str">
        <f>HYPERLINK("https://www.spark-marketing.ru/Card/Lot/72592030", "Оказание услуг по организации питания")</f>
        <v>Оказание услуг по организации питания</v>
      </c>
      <c r="G9020" s="22" t="s">
        <v>104</v>
      </c>
      <c r="H9020" s="22" t="s">
        <v>104</v>
      </c>
      <c r="I9020" s="26">
        <v>43679.691701388903</v>
      </c>
      <c r="J9020" s="23" t="str">
        <f>HYPERLINK("https://www.spark-marketing.ru/Card/Person/18541", "Криштопа Ольга Вячеславовна")</f>
        <v>Криштопа Ольга Вячеславовна</v>
      </c>
      <c r="K9020" s="24" t="s">
        <v>13063</v>
      </c>
      <c r="L9020" s="22" t="s">
        <v>10</v>
      </c>
      <c r="M9020" s="28" t="s">
        <v>51</v>
      </c>
      <c r="N9020" s="28" t="s">
        <v>51</v>
      </c>
    </row>
    <row r="9021" spans="1:14" x14ac:dyDescent="0.15">
      <c r="A9021" s="23" t="s">
        <v>114</v>
      </c>
      <c r="B9021" s="28" t="s">
        <v>51</v>
      </c>
      <c r="C9021" s="25">
        <v>7648000</v>
      </c>
      <c r="D9021" s="22" t="s">
        <v>13131</v>
      </c>
      <c r="E9021" s="22" t="s">
        <v>48</v>
      </c>
      <c r="F9021" s="23" t="str">
        <f t="shared" ref="F9021:F9028" si="209">HYPERLINK("https://www.spark-marketing.ru/Card/Lot/72579342", "оказание услуги по обеспечению питанием")</f>
        <v>оказание услуги по обеспечению питанием</v>
      </c>
      <c r="G9021" s="22" t="s">
        <v>51</v>
      </c>
      <c r="H9021" s="22" t="s">
        <v>51</v>
      </c>
      <c r="I9021" s="26">
        <v>43679.675277777802</v>
      </c>
      <c r="J9021" s="28" t="s">
        <v>51</v>
      </c>
      <c r="K9021" s="28" t="s">
        <v>51</v>
      </c>
      <c r="L9021" s="28" t="s">
        <v>51</v>
      </c>
      <c r="M9021" s="28" t="s">
        <v>51</v>
      </c>
      <c r="N9021" s="28" t="s">
        <v>51</v>
      </c>
    </row>
    <row r="9022" spans="1:14" hidden="1" outlineLevel="1" x14ac:dyDescent="0.15">
      <c r="A9022" s="23" t="str">
        <f>HYPERLINK("https://www.spark-marketing.ru/Card/Person/56303", "МОУ СОШ №2 Г.РОСТОВА")</f>
        <v>МОУ СОШ №2 Г.РОСТОВА</v>
      </c>
      <c r="B9022" s="24" t="s">
        <v>13132</v>
      </c>
      <c r="C9022" s="25">
        <v>1092000</v>
      </c>
      <c r="D9022" s="22" t="s">
        <v>13131</v>
      </c>
      <c r="E9022" s="22" t="s">
        <v>48</v>
      </c>
      <c r="F9022" s="23" t="str">
        <f t="shared" si="209"/>
        <v>оказание услуги по обеспечению питанием</v>
      </c>
      <c r="G9022" s="22" t="s">
        <v>185</v>
      </c>
      <c r="H9022" s="22" t="s">
        <v>13133</v>
      </c>
      <c r="I9022" s="26">
        <v>43679.675277777802</v>
      </c>
      <c r="J9022" s="28" t="s">
        <v>51</v>
      </c>
      <c r="K9022" s="28" t="s">
        <v>51</v>
      </c>
      <c r="L9022" s="28" t="s">
        <v>51</v>
      </c>
      <c r="M9022" s="28" t="s">
        <v>51</v>
      </c>
      <c r="N9022" s="28" t="s">
        <v>51</v>
      </c>
    </row>
    <row r="9023" spans="1:14" hidden="1" outlineLevel="1" x14ac:dyDescent="0.15">
      <c r="A9023" s="23" t="str">
        <f>HYPERLINK("https://www.spark-marketing.ru/Card/Person/56426", "МОУ ГИМНАЗИЯ ИМЕНИ А.Л. КЕКИНА Г. РОСТОВА")</f>
        <v>МОУ ГИМНАЗИЯ ИМЕНИ А.Л. КЕКИНА Г. РОСТОВА</v>
      </c>
      <c r="B9023" s="24" t="s">
        <v>13134</v>
      </c>
      <c r="C9023" s="25">
        <v>1796000</v>
      </c>
      <c r="D9023" s="22" t="s">
        <v>13131</v>
      </c>
      <c r="E9023" s="22" t="s">
        <v>48</v>
      </c>
      <c r="F9023" s="23" t="str">
        <f t="shared" si="209"/>
        <v>оказание услуги по обеспечению питанием</v>
      </c>
      <c r="G9023" s="22" t="s">
        <v>185</v>
      </c>
      <c r="H9023" s="22" t="s">
        <v>13133</v>
      </c>
      <c r="I9023" s="26">
        <v>43679.675277777802</v>
      </c>
      <c r="J9023" s="28" t="s">
        <v>51</v>
      </c>
      <c r="K9023" s="28" t="s">
        <v>51</v>
      </c>
      <c r="L9023" s="28" t="s">
        <v>51</v>
      </c>
      <c r="M9023" s="28" t="s">
        <v>51</v>
      </c>
      <c r="N9023" s="28" t="s">
        <v>51</v>
      </c>
    </row>
    <row r="9024" spans="1:14" hidden="1" outlineLevel="1" x14ac:dyDescent="0.15">
      <c r="A9024" s="23" t="str">
        <f>HYPERLINK("https://www.spark-marketing.ru/Card/Person/56428", "МОУ СОШ № 3 Г. РОСТОВА")</f>
        <v>МОУ СОШ № 3 Г. РОСТОВА</v>
      </c>
      <c r="B9024" s="24" t="s">
        <v>13135</v>
      </c>
      <c r="C9024" s="25">
        <v>1720000</v>
      </c>
      <c r="D9024" s="22" t="s">
        <v>13131</v>
      </c>
      <c r="E9024" s="22" t="s">
        <v>48</v>
      </c>
      <c r="F9024" s="23" t="str">
        <f t="shared" si="209"/>
        <v>оказание услуги по обеспечению питанием</v>
      </c>
      <c r="G9024" s="22" t="s">
        <v>185</v>
      </c>
      <c r="H9024" s="22" t="s">
        <v>13133</v>
      </c>
      <c r="I9024" s="26">
        <v>43679.675277777802</v>
      </c>
      <c r="J9024" s="28" t="s">
        <v>51</v>
      </c>
      <c r="K9024" s="28" t="s">
        <v>51</v>
      </c>
      <c r="L9024" s="28" t="s">
        <v>51</v>
      </c>
      <c r="M9024" s="28" t="s">
        <v>51</v>
      </c>
      <c r="N9024" s="28" t="s">
        <v>51</v>
      </c>
    </row>
    <row r="9025" spans="1:14" hidden="1" outlineLevel="1" x14ac:dyDescent="0.15">
      <c r="A9025" s="23" t="str">
        <f>HYPERLINK("https://www.spark-marketing.ru/Card/Person/76683", "МОУ СОШ №4 Г.РОСТОВА")</f>
        <v>МОУ СОШ №4 Г.РОСТОВА</v>
      </c>
      <c r="B9025" s="24" t="s">
        <v>13136</v>
      </c>
      <c r="C9025" s="25">
        <v>3040000</v>
      </c>
      <c r="D9025" s="22" t="s">
        <v>13131</v>
      </c>
      <c r="E9025" s="22" t="s">
        <v>48</v>
      </c>
      <c r="F9025" s="23" t="str">
        <f t="shared" si="209"/>
        <v>оказание услуги по обеспечению питанием</v>
      </c>
      <c r="G9025" s="22" t="s">
        <v>185</v>
      </c>
      <c r="H9025" s="22" t="s">
        <v>13133</v>
      </c>
      <c r="I9025" s="26">
        <v>43679.675277777802</v>
      </c>
      <c r="J9025" s="28" t="s">
        <v>51</v>
      </c>
      <c r="K9025" s="28" t="s">
        <v>51</v>
      </c>
      <c r="L9025" s="28" t="s">
        <v>51</v>
      </c>
      <c r="M9025" s="28" t="s">
        <v>51</v>
      </c>
      <c r="N9025" s="28" t="s">
        <v>51</v>
      </c>
    </row>
    <row r="9026" spans="1:14" hidden="1" outlineLevel="1" x14ac:dyDescent="0.2">
      <c r="A9026" s="28" t="s">
        <v>51</v>
      </c>
      <c r="B9026" s="28" t="s">
        <v>51</v>
      </c>
      <c r="C9026" s="28" t="s">
        <v>51</v>
      </c>
      <c r="D9026" s="22" t="s">
        <v>13131</v>
      </c>
      <c r="E9026" s="22" t="s">
        <v>48</v>
      </c>
      <c r="F9026" s="23" t="str">
        <f t="shared" si="209"/>
        <v>оказание услуги по обеспечению питанием</v>
      </c>
      <c r="G9026" s="22" t="s">
        <v>51</v>
      </c>
      <c r="H9026" s="22" t="s">
        <v>51</v>
      </c>
      <c r="I9026" s="26">
        <v>43679.675277777802</v>
      </c>
      <c r="J9026" s="23" t="str">
        <f>HYPERLINK("https://www.spark-marketing.ru/Card/Person/4863559", "ООО ""СЕРВИС""")</f>
        <v>ООО "СЕРВИС"</v>
      </c>
      <c r="K9026" s="24" t="s">
        <v>13137</v>
      </c>
      <c r="L9026" s="22" t="s">
        <v>10</v>
      </c>
      <c r="M9026" s="25">
        <v>6806720</v>
      </c>
      <c r="N9026" s="27">
        <v>0.11</v>
      </c>
    </row>
    <row r="9027" spans="1:14" hidden="1" outlineLevel="1" x14ac:dyDescent="0.2">
      <c r="A9027" s="28" t="s">
        <v>51</v>
      </c>
      <c r="B9027" s="28" t="s">
        <v>51</v>
      </c>
      <c r="C9027" s="28" t="s">
        <v>51</v>
      </c>
      <c r="D9027" s="22" t="s">
        <v>13131</v>
      </c>
      <c r="E9027" s="22" t="s">
        <v>48</v>
      </c>
      <c r="F9027" s="23" t="str">
        <f t="shared" si="209"/>
        <v>оказание услуги по обеспечению питанием</v>
      </c>
      <c r="G9027" s="22" t="s">
        <v>51</v>
      </c>
      <c r="H9027" s="22" t="s">
        <v>51</v>
      </c>
      <c r="I9027" s="26">
        <v>43679.675277777802</v>
      </c>
      <c r="J9027" s="23" t="str">
        <f>HYPERLINK("https://www.spark-marketing.ru/Card/Person/6462231", "ООО ""ПРОФИЛЬ""")</f>
        <v>ООО "ПРОФИЛЬ"</v>
      </c>
      <c r="K9027" s="24" t="s">
        <v>13138</v>
      </c>
      <c r="L9027" s="28" t="s">
        <v>51</v>
      </c>
      <c r="M9027" s="25">
        <v>6806721</v>
      </c>
      <c r="N9027" s="27">
        <v>0.10999986924686192</v>
      </c>
    </row>
    <row r="9028" spans="1:14" hidden="1" outlineLevel="1" x14ac:dyDescent="0.2">
      <c r="A9028" s="28" t="s">
        <v>51</v>
      </c>
      <c r="B9028" s="28" t="s">
        <v>51</v>
      </c>
      <c r="C9028" s="28" t="s">
        <v>51</v>
      </c>
      <c r="D9028" s="22" t="s">
        <v>13131</v>
      </c>
      <c r="E9028" s="22" t="s">
        <v>48</v>
      </c>
      <c r="F9028" s="23" t="str">
        <f t="shared" si="209"/>
        <v>оказание услуги по обеспечению питанием</v>
      </c>
      <c r="G9028" s="22" t="s">
        <v>51</v>
      </c>
      <c r="H9028" s="22" t="s">
        <v>51</v>
      </c>
      <c r="I9028" s="26">
        <v>43679.675277777802</v>
      </c>
      <c r="J9028" s="23" t="str">
        <f>HYPERLINK("https://www.spark-marketing.ru/Card/Person/6290196", "ООО ""РАМКЕЙТ""")</f>
        <v>ООО "РАМКЕЙТ"</v>
      </c>
      <c r="K9028" s="24" t="s">
        <v>5037</v>
      </c>
      <c r="L9028" s="28" t="s">
        <v>51</v>
      </c>
      <c r="M9028" s="25">
        <v>6844960</v>
      </c>
      <c r="N9028" s="27">
        <v>0.105</v>
      </c>
    </row>
    <row r="9029" spans="1:14" x14ac:dyDescent="0.15">
      <c r="A9029" s="23" t="str">
        <f>HYPERLINK("https://www.spark-marketing.ru/Card/Person/874027", "ГБУ КК ""ЦОП ПО САМБО И ДЗЮДО""")</f>
        <v>ГБУ КК "ЦОП ПО САМБО И ДЗЮДО"</v>
      </c>
      <c r="B9029" s="24" t="s">
        <v>10764</v>
      </c>
      <c r="C9029" s="25">
        <v>391000</v>
      </c>
      <c r="D9029" s="22" t="s">
        <v>13139</v>
      </c>
      <c r="E9029" s="22" t="s">
        <v>13140</v>
      </c>
      <c r="F9029" s="23" t="str">
        <f>HYPERLINK("https://www.spark-marketing.ru/Card/Lot/72595838", "Оказание услуг по организации и проведению спортивных мероприятий")</f>
        <v>Оказание услуг по организации и проведению спортивных мероприятий</v>
      </c>
      <c r="G9029" s="22" t="s">
        <v>104</v>
      </c>
      <c r="H9029" s="22" t="s">
        <v>3800</v>
      </c>
      <c r="I9029" s="26">
        <v>43679.676076388903</v>
      </c>
      <c r="J9029" s="28" t="s">
        <v>51</v>
      </c>
      <c r="K9029" s="28" t="s">
        <v>51</v>
      </c>
      <c r="L9029" s="28" t="s">
        <v>51</v>
      </c>
      <c r="M9029" s="28" t="s">
        <v>51</v>
      </c>
      <c r="N9029" s="28" t="s">
        <v>51</v>
      </c>
    </row>
    <row r="9030" spans="1:14" hidden="1" outlineLevel="1" x14ac:dyDescent="0.2">
      <c r="A9030" s="23" t="str">
        <f>HYPERLINK("https://www.spark-marketing.ru/Card/Person/874027", "ГБУ КК ""ЦОП ПО САМБО И ДЗЮДО""")</f>
        <v>ГБУ КК "ЦОП ПО САМБО И ДЗЮДО"</v>
      </c>
      <c r="B9030" s="24" t="s">
        <v>10764</v>
      </c>
      <c r="C9030" s="25">
        <v>391000</v>
      </c>
      <c r="D9030" s="22" t="s">
        <v>13139</v>
      </c>
      <c r="E9030" s="22" t="s">
        <v>13140</v>
      </c>
      <c r="F9030" s="23" t="str">
        <f>HYPERLINK("https://www.spark-marketing.ru/Card/Lot/72595838", "Оказание услуг по организации и проведению спортивных мероприятий")</f>
        <v>Оказание услуг по организации и проведению спортивных мероприятий</v>
      </c>
      <c r="G9030" s="22" t="s">
        <v>104</v>
      </c>
      <c r="H9030" s="22" t="s">
        <v>3800</v>
      </c>
      <c r="I9030" s="26">
        <v>43679.676076388903</v>
      </c>
      <c r="J9030" s="23" t="str">
        <f>HYPERLINK("https://www.spark-marketing.ru/Card/Person/6501154", "ООО ""ГИГАНТ""")</f>
        <v>ООО "ГИГАНТ"</v>
      </c>
      <c r="K9030" s="24" t="s">
        <v>9887</v>
      </c>
      <c r="L9030" s="28" t="s">
        <v>51</v>
      </c>
      <c r="M9030" s="25">
        <v>336260</v>
      </c>
      <c r="N9030" s="27">
        <v>0.14000000000000001</v>
      </c>
    </row>
    <row r="9031" spans="1:14" hidden="1" outlineLevel="1" x14ac:dyDescent="0.2">
      <c r="A9031" s="23" t="str">
        <f>HYPERLINK("https://www.spark-marketing.ru/Card/Person/874027", "ГБУ КК ""ЦОП ПО САМБО И ДЗЮДО""")</f>
        <v>ГБУ КК "ЦОП ПО САМБО И ДЗЮДО"</v>
      </c>
      <c r="B9031" s="24" t="s">
        <v>10764</v>
      </c>
      <c r="C9031" s="25">
        <v>391000</v>
      </c>
      <c r="D9031" s="22" t="s">
        <v>13139</v>
      </c>
      <c r="E9031" s="22" t="s">
        <v>13140</v>
      </c>
      <c r="F9031" s="23" t="str">
        <f>HYPERLINK("https://www.spark-marketing.ru/Card/Lot/72595838", "Оказание услуг по организации и проведению спортивных мероприятий")</f>
        <v>Оказание услуг по организации и проведению спортивных мероприятий</v>
      </c>
      <c r="G9031" s="22" t="s">
        <v>104</v>
      </c>
      <c r="H9031" s="22" t="s">
        <v>3800</v>
      </c>
      <c r="I9031" s="26">
        <v>43679.676076388903</v>
      </c>
      <c r="J9031" s="23" t="str">
        <f>HYPERLINK("https://www.spark-marketing.ru/Card/Person/6633519", "ООО ""КОММЕРЦПРО""")</f>
        <v>ООО "КОММЕРЦПРО"</v>
      </c>
      <c r="K9031" s="24" t="s">
        <v>7403</v>
      </c>
      <c r="L9031" s="28" t="s">
        <v>51</v>
      </c>
      <c r="M9031" s="25">
        <v>332350</v>
      </c>
      <c r="N9031" s="27">
        <v>0.15</v>
      </c>
    </row>
    <row r="9032" spans="1:14" ht="12.75" hidden="1" outlineLevel="1" x14ac:dyDescent="0.2">
      <c r="A9032" s="23" t="str">
        <f>HYPERLINK("https://www.spark-marketing.ru/Card/Person/874027", "ГБУ КК ""ЦОП ПО САМБО И ДЗЮДО""")</f>
        <v>ГБУ КК "ЦОП ПО САМБО И ДЗЮДО"</v>
      </c>
      <c r="B9032" s="24" t="s">
        <v>10764</v>
      </c>
      <c r="C9032" s="25">
        <v>391000</v>
      </c>
      <c r="D9032" s="22" t="s">
        <v>13139</v>
      </c>
      <c r="E9032" s="22" t="s">
        <v>13140</v>
      </c>
      <c r="F9032" s="23" t="str">
        <f>HYPERLINK("https://www.spark-marketing.ru/Card/Lot/72595838", "Оказание услуг по организации и проведению спортивных мероприятий")</f>
        <v>Оказание услуг по организации и проведению спортивных мероприятий</v>
      </c>
      <c r="G9032" s="22" t="s">
        <v>104</v>
      </c>
      <c r="H9032" s="22" t="s">
        <v>3800</v>
      </c>
      <c r="I9032" s="26">
        <v>43679.676076388903</v>
      </c>
      <c r="J9032" s="23" t="str">
        <f>HYPERLINK("https://www.spark-marketing.ru/Card/Person/6514967", "ООО ""АЛЬЯНС""")</f>
        <v>ООО "АЛЬЯНС"</v>
      </c>
      <c r="K9032" s="24" t="s">
        <v>1634</v>
      </c>
      <c r="L9032" s="22" t="s">
        <v>10</v>
      </c>
      <c r="M9032" s="25">
        <v>332350</v>
      </c>
      <c r="N9032" s="27">
        <v>0.15</v>
      </c>
    </row>
    <row r="9033" spans="1:14" x14ac:dyDescent="0.15">
      <c r="A9033" s="23" t="str">
        <f>HYPERLINK("https://www.spark-marketing.ru/Card/Person/1026331", "МБОУ ""СОШ № 6""")</f>
        <v>МБОУ "СОШ № 6"</v>
      </c>
      <c r="B9033" s="24" t="s">
        <v>13141</v>
      </c>
      <c r="C9033" s="25">
        <v>4005718.86</v>
      </c>
      <c r="D9033" s="22" t="s">
        <v>13142</v>
      </c>
      <c r="E9033" s="22" t="s">
        <v>96</v>
      </c>
      <c r="F9033" s="23" t="str">
        <f>HYPERLINK("https://www.spark-marketing.ru/Card/Lot/72587927", "Оказание услуг по организации и обеспечению горячего питания для учащихся из многодетных малоимущих и малоимущих семей и для учащихся с ограниченными возможностями здоровья")</f>
        <v>Оказание услуг по организации и обеспечению горячего питания для учащихся из многодетных малоимущих и малоимущих семей и для учащихся с ограниченными возможностями здоровья</v>
      </c>
      <c r="G9033" s="22" t="s">
        <v>153</v>
      </c>
      <c r="H9033" s="22" t="s">
        <v>153</v>
      </c>
      <c r="I9033" s="26">
        <v>43679.695659722202</v>
      </c>
      <c r="J9033" s="23" t="str">
        <f>HYPERLINK("https://www.spark-marketing.ru/Card/Person/6367877", "Дудина Наталья Алексеевна")</f>
        <v>Дудина Наталья Алексеевна</v>
      </c>
      <c r="K9033" s="24" t="s">
        <v>13143</v>
      </c>
      <c r="L9033" s="28" t="s">
        <v>51</v>
      </c>
      <c r="M9033" s="28" t="s">
        <v>51</v>
      </c>
      <c r="N9033" s="28" t="s">
        <v>51</v>
      </c>
    </row>
    <row r="9034" spans="1:14" ht="12.75" hidden="1" outlineLevel="1" x14ac:dyDescent="0.2">
      <c r="A9034" s="23" t="str">
        <f>HYPERLINK("https://www.spark-marketing.ru/Card/Person/1026331", "МБОУ ""СОШ № 6""")</f>
        <v>МБОУ "СОШ № 6"</v>
      </c>
      <c r="B9034" s="24" t="s">
        <v>13141</v>
      </c>
      <c r="C9034" s="25">
        <v>4005718.86</v>
      </c>
      <c r="D9034" s="22" t="s">
        <v>13142</v>
      </c>
      <c r="E9034" s="22" t="s">
        <v>96</v>
      </c>
      <c r="F9034" s="23" t="str">
        <f>HYPERLINK("https://www.spark-marketing.ru/Card/Lot/72587927", "Оказание услуг по организации и обеспечению горячего питания для учащихся из многодетных малоимущих и малоимущих семей и для учащихся с ограниченными возможностями здоровья")</f>
        <v>Оказание услуг по организации и обеспечению горячего питания для учащихся из многодетных малоимущих и малоимущих семей и для учащихся с ограниченными возможностями здоровья</v>
      </c>
      <c r="G9034" s="22" t="s">
        <v>153</v>
      </c>
      <c r="H9034" s="22" t="s">
        <v>153</v>
      </c>
      <c r="I9034" s="26">
        <v>43679.695659722202</v>
      </c>
      <c r="J9034" s="23" t="str">
        <f>HYPERLINK("https://www.spark-marketing.ru/Card/Person/6367877", "Дудина Наталья Алексеевна")</f>
        <v>Дудина Наталья Алексеевна</v>
      </c>
      <c r="K9034" s="24" t="s">
        <v>13143</v>
      </c>
      <c r="L9034" s="22" t="s">
        <v>10</v>
      </c>
      <c r="M9034" s="25">
        <v>3985690.27</v>
      </c>
      <c r="N9034" s="27">
        <v>4.9999989265347494E-3</v>
      </c>
    </row>
    <row r="9035" spans="1:14" x14ac:dyDescent="0.15">
      <c r="A9035" s="23" t="str">
        <f>HYPERLINK("https://www.spark-marketing.ru/Card/Person/33012", "ОМВД РОССИИ ПО Г. ПЕРВОУРАЛЬСКУ")</f>
        <v>ОМВД РОССИИ ПО Г. ПЕРВОУРАЛЬСКУ</v>
      </c>
      <c r="B9035" s="24" t="s">
        <v>8627</v>
      </c>
      <c r="C9035" s="25">
        <v>777000</v>
      </c>
      <c r="D9035" s="22" t="s">
        <v>13144</v>
      </c>
      <c r="E9035" s="22" t="s">
        <v>48</v>
      </c>
      <c r="F9035" s="23" t="str">
        <f>HYPERLINK("https://www.spark-marketing.ru/Card/Lot/72588656", "Оказание услуг по обеспечению бесперебойным ежедневным трехразовым горячим питанием лиц, содержащихся в специальном приемнике ОМВД России по г. Первоуральску")</f>
        <v>Оказание услуг по обеспечению бесперебойным ежедневным трехразовым горячим питанием лиц, содержащихся в специальном приемнике ОМВД России по г. Первоуральску</v>
      </c>
      <c r="G9035" s="22" t="s">
        <v>174</v>
      </c>
      <c r="H9035" s="22" t="s">
        <v>3406</v>
      </c>
      <c r="I9035" s="26">
        <v>43679.672118055598</v>
      </c>
      <c r="J9035" s="23" t="str">
        <f>HYPERLINK("https://www.spark-marketing.ru/Card/Person/6462162", "ООО ""РАНДЕВУ""")</f>
        <v>ООО "РАНДЕВУ"</v>
      </c>
      <c r="K9035" s="24" t="s">
        <v>8629</v>
      </c>
      <c r="L9035" s="22" t="s">
        <v>10</v>
      </c>
      <c r="M9035" s="28" t="s">
        <v>51</v>
      </c>
      <c r="N9035" s="28" t="s">
        <v>51</v>
      </c>
    </row>
    <row r="9036" spans="1:14" x14ac:dyDescent="0.15">
      <c r="A9036" s="23" t="str">
        <f>HYPERLINK("https://www.spark-marketing.ru/Card/Person/874027", "ГБУ КК ""ЦОП ПО САМБО И ДЗЮДО""")</f>
        <v>ГБУ КК "ЦОП ПО САМБО И ДЗЮДО"</v>
      </c>
      <c r="B9036" s="24" t="s">
        <v>10764</v>
      </c>
      <c r="C9036" s="25">
        <v>337450</v>
      </c>
      <c r="D9036" s="22" t="s">
        <v>13145</v>
      </c>
      <c r="E9036" s="22" t="s">
        <v>10766</v>
      </c>
      <c r="F9036" s="23" t="str">
        <f>HYPERLINK("https://www.spark-marketing.ru/Card/Lot/72595839", "Оказание услуг по организации и проведению спортивных мероприятий")</f>
        <v>Оказание услуг по организации и проведению спортивных мероприятий</v>
      </c>
      <c r="G9036" s="22" t="s">
        <v>104</v>
      </c>
      <c r="H9036" s="22" t="s">
        <v>3800</v>
      </c>
      <c r="I9036" s="26">
        <v>43679.693414351903</v>
      </c>
      <c r="J9036" s="28" t="s">
        <v>51</v>
      </c>
      <c r="K9036" s="28" t="s">
        <v>51</v>
      </c>
      <c r="L9036" s="28" t="s">
        <v>51</v>
      </c>
      <c r="M9036" s="28" t="s">
        <v>51</v>
      </c>
      <c r="N9036" s="28" t="s">
        <v>51</v>
      </c>
    </row>
    <row r="9037" spans="1:14" hidden="1" outlineLevel="1" x14ac:dyDescent="0.2">
      <c r="A9037" s="23" t="str">
        <f>HYPERLINK("https://www.spark-marketing.ru/Card/Person/874027", "ГБУ КК ""ЦОП ПО САМБО И ДЗЮДО""")</f>
        <v>ГБУ КК "ЦОП ПО САМБО И ДЗЮДО"</v>
      </c>
      <c r="B9037" s="24" t="s">
        <v>10764</v>
      </c>
      <c r="C9037" s="25">
        <v>337450</v>
      </c>
      <c r="D9037" s="22" t="s">
        <v>13145</v>
      </c>
      <c r="E9037" s="22" t="s">
        <v>10766</v>
      </c>
      <c r="F9037" s="23" t="str">
        <f>HYPERLINK("https://www.spark-marketing.ru/Card/Lot/72595839", "Оказание услуг по организации и проведению спортивных мероприятий")</f>
        <v>Оказание услуг по организации и проведению спортивных мероприятий</v>
      </c>
      <c r="G9037" s="22" t="s">
        <v>104</v>
      </c>
      <c r="H9037" s="22" t="s">
        <v>3800</v>
      </c>
      <c r="I9037" s="26">
        <v>43679.693414351903</v>
      </c>
      <c r="J9037" s="23" t="str">
        <f>HYPERLINK("https://www.spark-marketing.ru/Card/Person/6501154", "ООО ""ГИГАНТ""")</f>
        <v>ООО "ГИГАНТ"</v>
      </c>
      <c r="K9037" s="24" t="s">
        <v>9887</v>
      </c>
      <c r="L9037" s="28" t="s">
        <v>51</v>
      </c>
      <c r="M9037" s="25">
        <v>292083.94</v>
      </c>
      <c r="N9037" s="27">
        <v>0.13443787227737442</v>
      </c>
    </row>
    <row r="9038" spans="1:14" hidden="1" outlineLevel="1" x14ac:dyDescent="0.2">
      <c r="A9038" s="23" t="str">
        <f>HYPERLINK("https://www.spark-marketing.ru/Card/Person/874027", "ГБУ КК ""ЦОП ПО САМБО И ДЗЮДО""")</f>
        <v>ГБУ КК "ЦОП ПО САМБО И ДЗЮДО"</v>
      </c>
      <c r="B9038" s="24" t="s">
        <v>10764</v>
      </c>
      <c r="C9038" s="25">
        <v>337450</v>
      </c>
      <c r="D9038" s="22" t="s">
        <v>13145</v>
      </c>
      <c r="E9038" s="22" t="s">
        <v>10766</v>
      </c>
      <c r="F9038" s="23" t="str">
        <f>HYPERLINK("https://www.spark-marketing.ru/Card/Lot/72595839", "Оказание услуг по организации и проведению спортивных мероприятий")</f>
        <v>Оказание услуг по организации и проведению спортивных мероприятий</v>
      </c>
      <c r="G9038" s="22" t="s">
        <v>104</v>
      </c>
      <c r="H9038" s="22" t="s">
        <v>3800</v>
      </c>
      <c r="I9038" s="26">
        <v>43679.693414351903</v>
      </c>
      <c r="J9038" s="23" t="str">
        <f>HYPERLINK("https://www.spark-marketing.ru/Card/Person/6514967", "ООО ""АЛЬЯНС""")</f>
        <v>ООО "АЛЬЯНС"</v>
      </c>
      <c r="K9038" s="24" t="s">
        <v>1634</v>
      </c>
      <c r="L9038" s="28" t="s">
        <v>51</v>
      </c>
      <c r="M9038" s="25">
        <v>287022.19</v>
      </c>
      <c r="N9038" s="27">
        <v>0.14943787227737443</v>
      </c>
    </row>
    <row r="9039" spans="1:14" ht="12.75" hidden="1" outlineLevel="1" x14ac:dyDescent="0.2">
      <c r="A9039" s="23" t="str">
        <f>HYPERLINK("https://www.spark-marketing.ru/Card/Person/874027", "ГБУ КК ""ЦОП ПО САМБО И ДЗЮДО""")</f>
        <v>ГБУ КК "ЦОП ПО САМБО И ДЗЮДО"</v>
      </c>
      <c r="B9039" s="24" t="s">
        <v>10764</v>
      </c>
      <c r="C9039" s="25">
        <v>337450</v>
      </c>
      <c r="D9039" s="22" t="s">
        <v>13145</v>
      </c>
      <c r="E9039" s="22" t="s">
        <v>10766</v>
      </c>
      <c r="F9039" s="23" t="str">
        <f>HYPERLINK("https://www.spark-marketing.ru/Card/Lot/72595839", "Оказание услуг по организации и проведению спортивных мероприятий")</f>
        <v>Оказание услуг по организации и проведению спортивных мероприятий</v>
      </c>
      <c r="G9039" s="22" t="s">
        <v>104</v>
      </c>
      <c r="H9039" s="22" t="s">
        <v>3800</v>
      </c>
      <c r="I9039" s="26">
        <v>43679.693414351903</v>
      </c>
      <c r="J9039" s="23" t="str">
        <f>HYPERLINK("https://www.spark-marketing.ru/Card/Person/6633519", "ООО ""КОММЕРЦПРО""")</f>
        <v>ООО "КОММЕРЦПРО"</v>
      </c>
      <c r="K9039" s="24" t="s">
        <v>7403</v>
      </c>
      <c r="L9039" s="22" t="s">
        <v>10</v>
      </c>
      <c r="M9039" s="25">
        <v>285334.94</v>
      </c>
      <c r="N9039" s="27">
        <v>0.15443787227737443</v>
      </c>
    </row>
    <row r="9040" spans="1:14" x14ac:dyDescent="0.15">
      <c r="A9040" s="23" t="str">
        <f>HYPERLINK("https://www.spark-marketing.ru/Card/Person/874027", "ГБУ КК ""ЦОП ПО САМБО И ДЗЮДО""")</f>
        <v>ГБУ КК "ЦОП ПО САМБО И ДЗЮДО"</v>
      </c>
      <c r="B9040" s="24" t="s">
        <v>10764</v>
      </c>
      <c r="C9040" s="25">
        <v>140000</v>
      </c>
      <c r="D9040" s="22" t="s">
        <v>13146</v>
      </c>
      <c r="E9040" s="22" t="s">
        <v>10766</v>
      </c>
      <c r="F9040" s="23" t="str">
        <f>HYPERLINK("https://www.spark-marketing.ru/Card/Lot/72597912", "Оказание услуг по организации и проведению спортивных мероприятий")</f>
        <v>Оказание услуг по организации и проведению спортивных мероприятий</v>
      </c>
      <c r="G9040" s="22" t="s">
        <v>104</v>
      </c>
      <c r="H9040" s="22" t="s">
        <v>3800</v>
      </c>
      <c r="I9040" s="26">
        <v>43679.649016203701</v>
      </c>
      <c r="J9040" s="28" t="s">
        <v>51</v>
      </c>
      <c r="K9040" s="28" t="s">
        <v>51</v>
      </c>
      <c r="L9040" s="28" t="s">
        <v>51</v>
      </c>
      <c r="M9040" s="28" t="s">
        <v>51</v>
      </c>
      <c r="N9040" s="28" t="s">
        <v>51</v>
      </c>
    </row>
    <row r="9041" spans="1:14" x14ac:dyDescent="0.15">
      <c r="A9041" s="23" t="str">
        <f t="shared" ref="A9041:A9046" si="210">HYPERLINK("https://www.spark-marketing.ru/Card/Person/6274", "УПРАВА РАЙОНА ВЫХИНО-ЖУЛЕБИНО ГОРОДА МОСКВЫ")</f>
        <v>УПРАВА РАЙОНА ВЫХИНО-ЖУЛЕБИНО ГОРОДА МОСКВЫ</v>
      </c>
      <c r="B9041" s="24" t="s">
        <v>13147</v>
      </c>
      <c r="C9041" s="25">
        <v>630408.95999999996</v>
      </c>
      <c r="D9041" s="22" t="s">
        <v>13148</v>
      </c>
      <c r="E9041" s="22" t="s">
        <v>96</v>
      </c>
      <c r="F9041" s="23" t="str">
        <f t="shared" ref="F9041:F9046" si="211">HYPERLINK("https://www.spark-marketing.ru/Card/Lot/72578366", "Оказание услуг по организации и предоставлению питания членам участковых избирательных комиссий района Выхино-Жулебино города Москвы при проведении выборов в Московскую городскую Думу седьмого созыва 8 сентября 2019 года (среди СМП)")</f>
        <v>Оказание услуг по организации и предоставлению питания членам участковых избирательных комиссий района Выхино-Жулебино города Москвы при проведении выборов в Московскую городскую Думу седьмого созыва 8 сентября 2019 года (среди СМП)</v>
      </c>
      <c r="G9041" s="22" t="s">
        <v>56</v>
      </c>
      <c r="H9041" s="22" t="s">
        <v>56</v>
      </c>
      <c r="I9041" s="26">
        <v>43679.633043981499</v>
      </c>
      <c r="J9041" s="28" t="s">
        <v>51</v>
      </c>
      <c r="K9041" s="28" t="s">
        <v>51</v>
      </c>
      <c r="L9041" s="28" t="s">
        <v>51</v>
      </c>
      <c r="M9041" s="28" t="s">
        <v>51</v>
      </c>
      <c r="N9041" s="28" t="s">
        <v>51</v>
      </c>
    </row>
    <row r="9042" spans="1:14" ht="12.75" hidden="1" outlineLevel="1" x14ac:dyDescent="0.2">
      <c r="A9042" s="23" t="str">
        <f t="shared" si="210"/>
        <v>УПРАВА РАЙОНА ВЫХИНО-ЖУЛЕБИНО ГОРОДА МОСКВЫ</v>
      </c>
      <c r="B9042" s="24" t="s">
        <v>13147</v>
      </c>
      <c r="C9042" s="25">
        <v>630408.95999999996</v>
      </c>
      <c r="D9042" s="22" t="s">
        <v>13148</v>
      </c>
      <c r="E9042" s="22" t="s">
        <v>96</v>
      </c>
      <c r="F9042" s="23" t="str">
        <f t="shared" si="211"/>
        <v>Оказание услуг по организации и предоставлению питания членам участковых избирательных комиссий района Выхино-Жулебино города Москвы при проведении выборов в Московскую городскую Думу седьмого созыва 8 сентября 2019 года (среди СМП)</v>
      </c>
      <c r="G9042" s="22" t="s">
        <v>56</v>
      </c>
      <c r="H9042" s="22" t="s">
        <v>56</v>
      </c>
      <c r="I9042" s="26">
        <v>43679.633043981499</v>
      </c>
      <c r="J9042" s="23" t="str">
        <f>HYPERLINK("https://www.spark-marketing.ru/Card/Person/6635200", "Сушкова Елена Владимировна")</f>
        <v>Сушкова Елена Владимировна</v>
      </c>
      <c r="K9042" s="24" t="s">
        <v>12452</v>
      </c>
      <c r="L9042" s="22" t="s">
        <v>10</v>
      </c>
      <c r="M9042" s="25">
        <v>334117</v>
      </c>
      <c r="N9042" s="27">
        <v>0.46999960152850617</v>
      </c>
    </row>
    <row r="9043" spans="1:14" hidden="1" outlineLevel="1" x14ac:dyDescent="0.2">
      <c r="A9043" s="23" t="str">
        <f t="shared" si="210"/>
        <v>УПРАВА РАЙОНА ВЫХИНО-ЖУЛЕБИНО ГОРОДА МОСКВЫ</v>
      </c>
      <c r="B9043" s="24" t="s">
        <v>13147</v>
      </c>
      <c r="C9043" s="25">
        <v>630408.95999999996</v>
      </c>
      <c r="D9043" s="22" t="s">
        <v>13148</v>
      </c>
      <c r="E9043" s="22" t="s">
        <v>96</v>
      </c>
      <c r="F9043" s="23" t="str">
        <f t="shared" si="211"/>
        <v>Оказание услуг по организации и предоставлению питания членам участковых избирательных комиссий района Выхино-Жулебино города Москвы при проведении выборов в Московскую городскую Думу седьмого созыва 8 сентября 2019 года (среди СМП)</v>
      </c>
      <c r="G9043" s="22" t="s">
        <v>56</v>
      </c>
      <c r="H9043" s="22" t="s">
        <v>56</v>
      </c>
      <c r="I9043" s="26">
        <v>43679.633043981499</v>
      </c>
      <c r="J9043" s="23" t="str">
        <f>HYPERLINK("https://www.spark-marketing.ru/Card/Person/6650209", "Кишенина Ксения Владимировна")</f>
        <v>Кишенина Ксения Владимировна</v>
      </c>
      <c r="K9043" s="24" t="s">
        <v>11401</v>
      </c>
      <c r="L9043" s="28" t="s">
        <v>51</v>
      </c>
      <c r="M9043" s="25">
        <v>457046.61</v>
      </c>
      <c r="N9043" s="27">
        <v>0.27499981916500676</v>
      </c>
    </row>
    <row r="9044" spans="1:14" hidden="1" outlineLevel="1" x14ac:dyDescent="0.2">
      <c r="A9044" s="23" t="str">
        <f t="shared" si="210"/>
        <v>УПРАВА РАЙОНА ВЫХИНО-ЖУЛЕБИНО ГОРОДА МОСКВЫ</v>
      </c>
      <c r="B9044" s="24" t="s">
        <v>13147</v>
      </c>
      <c r="C9044" s="25">
        <v>630408.95999999996</v>
      </c>
      <c r="D9044" s="22" t="s">
        <v>13148</v>
      </c>
      <c r="E9044" s="22" t="s">
        <v>96</v>
      </c>
      <c r="F9044" s="23" t="str">
        <f t="shared" si="211"/>
        <v>Оказание услуг по организации и предоставлению питания членам участковых избирательных комиссий района Выхино-Жулебино города Москвы при проведении выборов в Московскую городскую Думу седьмого созыва 8 сентября 2019 года (среди СМП)</v>
      </c>
      <c r="G9044" s="22" t="s">
        <v>56</v>
      </c>
      <c r="H9044" s="22" t="s">
        <v>56</v>
      </c>
      <c r="I9044" s="26">
        <v>43679.633043981499</v>
      </c>
      <c r="J9044" s="23" t="str">
        <f>HYPERLINK("https://www.spark-marketing.ru/Card/Person/593174", "ООО ""А.М.К.+""")</f>
        <v>ООО "А.М.К.+"</v>
      </c>
      <c r="K9044" s="24" t="s">
        <v>7364</v>
      </c>
      <c r="L9044" s="28" t="s">
        <v>51</v>
      </c>
      <c r="M9044" s="25">
        <v>337269.04</v>
      </c>
      <c r="N9044" s="27">
        <v>0.46499960914261118</v>
      </c>
    </row>
    <row r="9045" spans="1:14" hidden="1" outlineLevel="1" x14ac:dyDescent="0.2">
      <c r="A9045" s="23" t="str">
        <f t="shared" si="210"/>
        <v>УПРАВА РАЙОНА ВЫХИНО-ЖУЛЕБИНО ГОРОДА МОСКВЫ</v>
      </c>
      <c r="B9045" s="24" t="s">
        <v>13147</v>
      </c>
      <c r="C9045" s="25">
        <v>630408.95999999996</v>
      </c>
      <c r="D9045" s="22" t="s">
        <v>13148</v>
      </c>
      <c r="E9045" s="22" t="s">
        <v>96</v>
      </c>
      <c r="F9045" s="23" t="str">
        <f t="shared" si="211"/>
        <v>Оказание услуг по организации и предоставлению питания членам участковых избирательных комиссий района Выхино-Жулебино города Москвы при проведении выборов в Московскую городскую Думу седьмого созыва 8 сентября 2019 года (среди СМП)</v>
      </c>
      <c r="G9045" s="22" t="s">
        <v>56</v>
      </c>
      <c r="H9045" s="22" t="s">
        <v>56</v>
      </c>
      <c r="I9045" s="26">
        <v>43679.633043981499</v>
      </c>
      <c r="J9045" s="23" t="str">
        <f>HYPERLINK("https://www.spark-marketing.ru/Card/Person/2523959", "ООО ""КРУИЗ-ТУР""")</f>
        <v>ООО "КРУИЗ-ТУР"</v>
      </c>
      <c r="K9045" s="24" t="s">
        <v>13149</v>
      </c>
      <c r="L9045" s="28" t="s">
        <v>51</v>
      </c>
      <c r="M9045" s="25">
        <v>416070.04</v>
      </c>
      <c r="N9045" s="27">
        <v>0.33999979949523562</v>
      </c>
    </row>
    <row r="9046" spans="1:14" hidden="1" outlineLevel="1" x14ac:dyDescent="0.2">
      <c r="A9046" s="23" t="str">
        <f t="shared" si="210"/>
        <v>УПРАВА РАЙОНА ВЫХИНО-ЖУЛЕБИНО ГОРОДА МОСКВЫ</v>
      </c>
      <c r="B9046" s="24" t="s">
        <v>13147</v>
      </c>
      <c r="C9046" s="25">
        <v>630408.95999999996</v>
      </c>
      <c r="D9046" s="22" t="s">
        <v>13148</v>
      </c>
      <c r="E9046" s="22" t="s">
        <v>96</v>
      </c>
      <c r="F9046" s="23" t="str">
        <f t="shared" si="211"/>
        <v>Оказание услуг по организации и предоставлению питания членам участковых избирательных комиссий района Выхино-Жулебино города Москвы при проведении выборов в Московскую городскую Думу седьмого созыва 8 сентября 2019 года (среди СМП)</v>
      </c>
      <c r="G9046" s="22" t="s">
        <v>56</v>
      </c>
      <c r="H9046" s="22" t="s">
        <v>56</v>
      </c>
      <c r="I9046" s="26">
        <v>43679.633043981499</v>
      </c>
      <c r="J9046" s="23" t="str">
        <f>HYPERLINK("https://www.spark-marketing.ru/Card/Person/6604981", "ООО ""ПЕРСПЕКТИВА""")</f>
        <v>ООО "ПЕРСПЕКТИВА"</v>
      </c>
      <c r="K9046" s="24" t="s">
        <v>13150</v>
      </c>
      <c r="L9046" s="28" t="s">
        <v>51</v>
      </c>
      <c r="M9046" s="25">
        <v>542151.74</v>
      </c>
      <c r="N9046" s="27">
        <v>0.13999994543224767</v>
      </c>
    </row>
    <row r="9047" spans="1:14" x14ac:dyDescent="0.15">
      <c r="A9047" s="23" t="str">
        <f>HYPERLINK("https://www.spark-marketing.ru/Card/Person/4800", "ГУ-РО ФОНДА СОЦИАЛЬНОГО СТРАХОВАНИЯ РОССИЙСКОЙ ФЕДЕРАЦИИ ПО РЕСПУБЛИКЕ САХА (ЯКУТИЯ)")</f>
        <v>ГУ-РО ФОНДА СОЦИАЛЬНОГО СТРАХОВАНИЯ РОССИЙСКОЙ ФЕДЕРАЦИИ ПО РЕСПУБЛИКЕ САХА (ЯКУТИЯ)</v>
      </c>
      <c r="B9047" s="24" t="s">
        <v>9362</v>
      </c>
      <c r="C9047" s="25">
        <v>628745.04</v>
      </c>
      <c r="D9047" s="22" t="s">
        <v>13151</v>
      </c>
      <c r="E9047" s="22" t="s">
        <v>86</v>
      </c>
      <c r="F9047" s="23" t="str">
        <f>HYPERLINK("https://www.spark-marketing.ru/Card/Lot/72569477", "Оказание услуг по санаторно-курортному лечению граждан получателей набора социальных услуг в 2019 году с заболеваниями по Классу IV МКБ-10 «Болезни эндокринной системы, расстройства питания и нарушения обмена веществ» (дети)")</f>
        <v>Оказание услуг по санаторно-курортному лечению граждан получателей набора социальных услуг в 2019 году с заболеваниями по Классу IV МКБ-10 «Болезни эндокринной системы, расстройства питания и нарушения обмена веществ» (дети)</v>
      </c>
      <c r="G9047" s="22" t="s">
        <v>241</v>
      </c>
      <c r="H9047" s="22" t="s">
        <v>242</v>
      </c>
      <c r="I9047" s="26">
        <v>43679.639074074097</v>
      </c>
      <c r="J9047" s="28" t="s">
        <v>51</v>
      </c>
      <c r="K9047" s="28" t="s">
        <v>51</v>
      </c>
      <c r="L9047" s="28" t="s">
        <v>51</v>
      </c>
      <c r="M9047" s="28" t="s">
        <v>51</v>
      </c>
      <c r="N9047" s="28" t="s">
        <v>51</v>
      </c>
    </row>
    <row r="9048" spans="1:14" ht="12.75" x14ac:dyDescent="0.2">
      <c r="A9048" s="23" t="str">
        <f>HYPERLINK("https://www.spark-marketing.ru/Card/Person/535886", "МОМВД РОССИИ ""РАССКАЗОВСКИЙ""")</f>
        <v>МОМВД РОССИИ "РАССКАЗОВСКИЙ"</v>
      </c>
      <c r="B9048" s="24" t="s">
        <v>13152</v>
      </c>
      <c r="C9048" s="25">
        <v>370440</v>
      </c>
      <c r="D9048" s="22" t="s">
        <v>13153</v>
      </c>
      <c r="E9048" s="22" t="s">
        <v>48</v>
      </c>
      <c r="F9048" s="23" t="str">
        <f>HYPERLINK("https://www.spark-marketing.ru/Card/Lot/72578737", "Оказание услуги по приготовлению и поставке трехразового горячего питания (завтраков, обедов и ужинов) для лиц административно задержанных, содержащихся в помещениях для задержанных в дежурной части МОМВД России «Рассказовский» и лиц административно ...")</f>
        <v>Оказание услуги по приготовлению и поставке трехразового горячего питания (завтраков, обедов и ужинов) для лиц административно задержанных, содержащихся в помещениях для задержанных в дежурной части МОМВД России «Рассказовский» и лиц административно ...</v>
      </c>
      <c r="G9048" s="22" t="s">
        <v>1370</v>
      </c>
      <c r="H9048" s="22" t="s">
        <v>13154</v>
      </c>
      <c r="I9048" s="26">
        <v>43679.651458333297</v>
      </c>
      <c r="J9048" s="23" t="str">
        <f>HYPERLINK("https://www.spark-marketing.ru/Card/Person/848463", "Вартанова Нонна Георгиевна")</f>
        <v>Вартанова Нонна Георгиевна</v>
      </c>
      <c r="K9048" s="24" t="s">
        <v>13155</v>
      </c>
      <c r="L9048" s="22" t="s">
        <v>10</v>
      </c>
      <c r="M9048" s="25">
        <v>362208</v>
      </c>
      <c r="N9048" s="27">
        <v>2.2222222222222223E-2</v>
      </c>
    </row>
    <row r="9049" spans="1:14" x14ac:dyDescent="0.15">
      <c r="A9049" s="23" t="str">
        <f>HYPERLINK("https://www.spark-marketing.ru/Card/Person/1045069", "МБОУ ""СШ № 13 ИМ. Э.Д. БАЛТИНА""")</f>
        <v>МБОУ "СШ № 13 ИМ. Э.Д. БАЛТИНА"</v>
      </c>
      <c r="B9049" s="24" t="s">
        <v>13156</v>
      </c>
      <c r="C9049" s="25">
        <v>495364</v>
      </c>
      <c r="D9049" s="22" t="s">
        <v>13157</v>
      </c>
      <c r="E9049" s="22" t="s">
        <v>48</v>
      </c>
      <c r="F9049" s="23" t="str">
        <f>HYPERLINK("https://www.spark-marketing.ru/Card/Lot/72579241", "Оказание услуг по организации горячего питания и обеспечение горячим питанием учащихся МБОУ ""СШ № 13 им. Э.Д. Балтина""")</f>
        <v>Оказание услуг по организации горячего питания и обеспечение горячим питанием учащихся МБОУ "СШ № 13 им. Э.Д. Балтина"</v>
      </c>
      <c r="G9049" s="22" t="s">
        <v>460</v>
      </c>
      <c r="H9049" s="22" t="s">
        <v>461</v>
      </c>
      <c r="I9049" s="26">
        <v>43679.6483449074</v>
      </c>
      <c r="J9049" s="28" t="s">
        <v>51</v>
      </c>
      <c r="K9049" s="28" t="s">
        <v>51</v>
      </c>
      <c r="L9049" s="28" t="s">
        <v>51</v>
      </c>
      <c r="M9049" s="28" t="s">
        <v>51</v>
      </c>
      <c r="N9049" s="28" t="s">
        <v>51</v>
      </c>
    </row>
    <row r="9050" spans="1:14" x14ac:dyDescent="0.15">
      <c r="A9050" s="23" t="str">
        <f>HYPERLINK("https://www.spark-marketing.ru/Card/Person/1021420", "МБОУ ""ОНГУДАЙСКАЯ СОШ ИМ. С.Т. ПЕКПЕЕВА""")</f>
        <v>МБОУ "ОНГУДАЙСКАЯ СОШ ИМ. С.Т. ПЕКПЕЕВА"</v>
      </c>
      <c r="B9050" s="24" t="s">
        <v>13158</v>
      </c>
      <c r="C9050" s="25">
        <v>2449601</v>
      </c>
      <c r="D9050" s="22" t="s">
        <v>13159</v>
      </c>
      <c r="E9050" s="22" t="s">
        <v>48</v>
      </c>
      <c r="F9050" s="23" t="str">
        <f>HYPERLINK("https://www.spark-marketing.ru/Card/Lot/72586824", "Оказание услуг по организации питания (в том числе горячего) обучающихся МБОУ ""Онгудайская СОШ им. С.Т.Пекпеева""")</f>
        <v>Оказание услуг по организации питания (в том числе горячего) обучающихся МБОУ "Онгудайская СОШ им. С.Т.Пекпеева"</v>
      </c>
      <c r="G9050" s="22" t="s">
        <v>1141</v>
      </c>
      <c r="H9050" s="22" t="s">
        <v>5816</v>
      </c>
      <c r="I9050" s="26">
        <v>43679.647997685199</v>
      </c>
      <c r="J9050" s="23" t="str">
        <f>HYPERLINK("https://www.spark-marketing.ru/Card/Person/6683754", "Сарбашева Ирина Маймановна")</f>
        <v>Сарбашева Ирина Маймановна</v>
      </c>
      <c r="K9050" s="24" t="s">
        <v>5817</v>
      </c>
      <c r="L9050" s="22" t="s">
        <v>10</v>
      </c>
      <c r="M9050" s="28" t="s">
        <v>51</v>
      </c>
      <c r="N9050" s="28" t="s">
        <v>51</v>
      </c>
    </row>
    <row r="9051" spans="1:14" x14ac:dyDescent="0.15">
      <c r="A9051" s="23" t="str">
        <f>HYPERLINK("https://www.spark-marketing.ru/Card/Person/999434", "МБОУ ""СШ №37""")</f>
        <v>МБОУ "СШ №37"</v>
      </c>
      <c r="B9051" s="24" t="s">
        <v>13160</v>
      </c>
      <c r="C9051" s="25">
        <v>1656800</v>
      </c>
      <c r="D9051" s="22" t="s">
        <v>13161</v>
      </c>
      <c r="E9051" s="22" t="s">
        <v>48</v>
      </c>
      <c r="F9051" s="23" t="str">
        <f>HYPERLINK("https://www.spark-marketing.ru/Card/Lot/72579046", "Оказание услуг по организации горячего питания и обеспечению горячим питанием учащихся МБОУ ""СШ №37""")</f>
        <v>Оказание услуг по организации горячего питания и обеспечению горячим питанием учащихся МБОУ "СШ №37"</v>
      </c>
      <c r="G9051" s="22" t="s">
        <v>460</v>
      </c>
      <c r="H9051" s="22" t="s">
        <v>461</v>
      </c>
      <c r="I9051" s="26">
        <v>43679.6463657407</v>
      </c>
      <c r="J9051" s="23" t="str">
        <f>HYPERLINK("https://www.spark-marketing.ru/Card/Person/836702", "МУП ""КСП""")</f>
        <v>МУП "КСП"</v>
      </c>
      <c r="K9051" s="24" t="s">
        <v>6532</v>
      </c>
      <c r="L9051" s="22" t="s">
        <v>10</v>
      </c>
      <c r="M9051" s="28" t="s">
        <v>51</v>
      </c>
      <c r="N9051" s="28" t="s">
        <v>51</v>
      </c>
    </row>
    <row r="9052" spans="1:14" x14ac:dyDescent="0.15">
      <c r="A9052" s="23" t="str">
        <f>HYPERLINK("https://www.spark-marketing.ru/Card/Person/1057882", "МО МВД РОССИИ ""РАЙЧИХИНСКОЕ""")</f>
        <v>МО МВД РОССИИ "РАЙЧИХИНСКОЕ"</v>
      </c>
      <c r="B9052" s="24" t="s">
        <v>13162</v>
      </c>
      <c r="C9052" s="25">
        <v>1450000</v>
      </c>
      <c r="D9052" s="22" t="s">
        <v>13163</v>
      </c>
      <c r="E9052" s="22" t="s">
        <v>96</v>
      </c>
      <c r="F9052" s="23" t="str">
        <f>HYPERLINK("https://www.spark-marketing.ru/Card/Lot/72569523", "услуги по организации трехразового горячего питания для лиц, следственно - арестованных, содержащихся в ИВС МО МВД России ""Райчихинское"" на 2021 год")</f>
        <v>услуги по организации трехразового горячего питания для лиц, следственно - арестованных, содержащихся в ИВС МО МВД России "Райчихинское" на 2021 год</v>
      </c>
      <c r="G9052" s="22" t="s">
        <v>210</v>
      </c>
      <c r="H9052" s="22" t="s">
        <v>13164</v>
      </c>
      <c r="I9052" s="26">
        <v>43679.656574074099</v>
      </c>
      <c r="J9052" s="23" t="str">
        <f>HYPERLINK("https://www.spark-marketing.ru/Card/Person/486980", "Рыбников Виктор Александрович")</f>
        <v>Рыбников Виктор Александрович</v>
      </c>
      <c r="K9052" s="24" t="s">
        <v>13165</v>
      </c>
      <c r="L9052" s="22" t="s">
        <v>10</v>
      </c>
      <c r="M9052" s="28" t="s">
        <v>51</v>
      </c>
      <c r="N9052" s="28" t="s">
        <v>51</v>
      </c>
    </row>
    <row r="9053" spans="1:14" x14ac:dyDescent="0.15">
      <c r="A9053" s="23" t="str">
        <f>HYPERLINK("https://www.spark-marketing.ru/Card/Person/1003847", "МБОУ ""СШ № 5""")</f>
        <v>МБОУ "СШ № 5"</v>
      </c>
      <c r="B9053" s="24" t="s">
        <v>13166</v>
      </c>
      <c r="C9053" s="25">
        <v>637260</v>
      </c>
      <c r="D9053" s="22" t="s">
        <v>13167</v>
      </c>
      <c r="E9053" s="22" t="s">
        <v>48</v>
      </c>
      <c r="F9053" s="23" t="str">
        <f>HYPERLINK("https://www.spark-marketing.ru/Card/Lot/72580754", "Оказание услуг по организации горячего питания и обеспечению горячим питанием учащихся МБОУ ""СШ № 5""")</f>
        <v>Оказание услуг по организации горячего питания и обеспечению горячим питанием учащихся МБОУ "СШ № 5"</v>
      </c>
      <c r="G9053" s="22" t="s">
        <v>460</v>
      </c>
      <c r="H9053" s="22" t="s">
        <v>461</v>
      </c>
      <c r="I9053" s="26">
        <v>43679.657280092601</v>
      </c>
      <c r="J9053" s="28" t="s">
        <v>51</v>
      </c>
      <c r="K9053" s="28" t="s">
        <v>51</v>
      </c>
      <c r="L9053" s="28" t="s">
        <v>51</v>
      </c>
      <c r="M9053" s="28" t="s">
        <v>51</v>
      </c>
      <c r="N9053" s="28" t="s">
        <v>51</v>
      </c>
    </row>
    <row r="9054" spans="1:14" ht="12.75" x14ac:dyDescent="0.2">
      <c r="A9054" s="23" t="str">
        <f>HYPERLINK("https://www.spark-marketing.ru/Card/Person/535886", "МОМВД РОССИИ ""РАССКАЗОВСКИЙ""")</f>
        <v>МОМВД РОССИИ "РАССКАЗОВСКИЙ"</v>
      </c>
      <c r="B9054" s="24" t="s">
        <v>13152</v>
      </c>
      <c r="C9054" s="25">
        <v>370370</v>
      </c>
      <c r="D9054" s="22" t="s">
        <v>13168</v>
      </c>
      <c r="E9054" s="22" t="s">
        <v>48</v>
      </c>
      <c r="F9054" s="23" t="str">
        <f>HYPERLINK("https://www.spark-marketing.ru/Card/Lot/72578757", "Оказание услуги по приготовлению и поставке трехразового горячего питания (завтраков, обедов и ужинов) для лиц административно задержанных, содержащихся в помещениях для задержанных в дежурной части МОМВД России «Рассказовский» и лиц административно ...")</f>
        <v>Оказание услуги по приготовлению и поставке трехразового горячего питания (завтраков, обедов и ужинов) для лиц административно задержанных, содержащихся в помещениях для задержанных в дежурной части МОМВД России «Рассказовский» и лиц административно ...</v>
      </c>
      <c r="G9054" s="22" t="s">
        <v>1370</v>
      </c>
      <c r="H9054" s="22" t="s">
        <v>13154</v>
      </c>
      <c r="I9054" s="26">
        <v>43679.6473148148</v>
      </c>
      <c r="J9054" s="23" t="str">
        <f>HYPERLINK("https://www.spark-marketing.ru/Card/Person/848463", "Вартанова Нонна Георгиевна")</f>
        <v>Вартанова Нонна Георгиевна</v>
      </c>
      <c r="K9054" s="24" t="s">
        <v>13155</v>
      </c>
      <c r="L9054" s="22" t="s">
        <v>10</v>
      </c>
      <c r="M9054" s="25">
        <v>360360</v>
      </c>
      <c r="N9054" s="27">
        <v>2.7027027027027029E-2</v>
      </c>
    </row>
    <row r="9055" spans="1:14" x14ac:dyDescent="0.15">
      <c r="A9055" s="23" t="str">
        <f>HYPERLINK("https://www.spark-marketing.ru/Card/Person/78981", "ККУ ""УГОЧС И ПБ В АЛТАЙСКОМ КРАЕ""")</f>
        <v>ККУ "УГОЧС И ПБ В АЛТАЙСКОМ КРАЕ"</v>
      </c>
      <c r="B9055" s="24" t="s">
        <v>13169</v>
      </c>
      <c r="C9055" s="25">
        <v>2351960.2400000002</v>
      </c>
      <c r="D9055" s="22" t="s">
        <v>13170</v>
      </c>
      <c r="E9055" s="22" t="s">
        <v>13171</v>
      </c>
      <c r="F9055" s="23" t="str">
        <f>HYPERLINK("https://www.spark-marketing.ru/Card/Lot/72569389", "Оказание услуг по использованию воздушного транспорта для доставки специалистов, спасателей и оперативных групп для проведения мероприятий по предупреждению и ликвидации чрезвычайных ситуаций природного и техногенного характера; доставка продуктов пи...")</f>
        <v>Оказание услуг по использованию воздушного транспорта для доставки специалистов, спасателей и оперативных групп для проведения мероприятий по предупреждению и ликвидации чрезвычайных ситуаций природного и техногенного характера; доставка продуктов пи...</v>
      </c>
      <c r="G9055" s="22" t="s">
        <v>63</v>
      </c>
      <c r="H9055" s="22" t="s">
        <v>177</v>
      </c>
      <c r="I9055" s="26">
        <v>43679.591550925899</v>
      </c>
      <c r="J9055" s="23" t="str">
        <f>HYPERLINK("https://www.spark-marketing.ru/Card/Person/173785", "ООО ""АЛТАЙСКИЕ АВИАЛИНИИ""")</f>
        <v>ООО "АЛТАЙСКИЕ АВИАЛИНИИ"</v>
      </c>
      <c r="K9055" s="24" t="s">
        <v>13172</v>
      </c>
      <c r="L9055" s="22" t="s">
        <v>10</v>
      </c>
      <c r="M9055" s="28" t="s">
        <v>51</v>
      </c>
      <c r="N9055" s="28" t="s">
        <v>51</v>
      </c>
    </row>
    <row r="9056" spans="1:14" x14ac:dyDescent="0.15">
      <c r="A9056" s="23" t="str">
        <f>HYPERLINK("https://www.spark-marketing.ru/Card/Person/88607", "ГАУЗ ""РККВД""")</f>
        <v>ГАУЗ "РККВД"</v>
      </c>
      <c r="B9056" s="24" t="s">
        <v>2144</v>
      </c>
      <c r="C9056" s="25">
        <v>2274452.6</v>
      </c>
      <c r="D9056" s="22" t="s">
        <v>13173</v>
      </c>
      <c r="E9056" s="22" t="s">
        <v>48</v>
      </c>
      <c r="F9056" s="23" t="str">
        <f>HYPERLINK("https://www.spark-marketing.ru/Card/Lot/72578632", "Услуги готового лечебного питания на 4 квартал 2019 года")</f>
        <v>Услуги готового лечебного питания на 4 квартал 2019 года</v>
      </c>
      <c r="G9056" s="22" t="s">
        <v>217</v>
      </c>
      <c r="H9056" s="22" t="s">
        <v>937</v>
      </c>
      <c r="I9056" s="26">
        <v>43679.617442129602</v>
      </c>
      <c r="J9056" s="28" t="s">
        <v>51</v>
      </c>
      <c r="K9056" s="28" t="s">
        <v>51</v>
      </c>
      <c r="L9056" s="28" t="s">
        <v>51</v>
      </c>
      <c r="M9056" s="28" t="s">
        <v>51</v>
      </c>
      <c r="N9056" s="28" t="s">
        <v>51</v>
      </c>
    </row>
    <row r="9057" spans="1:14" ht="12.75" hidden="1" outlineLevel="1" x14ac:dyDescent="0.2">
      <c r="A9057" s="23" t="str">
        <f>HYPERLINK("https://www.spark-marketing.ru/Card/Person/88607", "ГАУЗ ""РККВД""")</f>
        <v>ГАУЗ "РККВД"</v>
      </c>
      <c r="B9057" s="24" t="s">
        <v>2144</v>
      </c>
      <c r="C9057" s="25">
        <v>2274452.6</v>
      </c>
      <c r="D9057" s="22" t="s">
        <v>13173</v>
      </c>
      <c r="E9057" s="22" t="s">
        <v>48</v>
      </c>
      <c r="F9057" s="23" t="str">
        <f>HYPERLINK("https://www.spark-marketing.ru/Card/Lot/72578632", "Услуги готового лечебного питания на 4 квартал 2019 года")</f>
        <v>Услуги готового лечебного питания на 4 квартал 2019 года</v>
      </c>
      <c r="G9057" s="22" t="s">
        <v>217</v>
      </c>
      <c r="H9057" s="22" t="s">
        <v>937</v>
      </c>
      <c r="I9057" s="26">
        <v>43679.617442129602</v>
      </c>
      <c r="J9057" s="23" t="str">
        <f>HYPERLINK("https://www.spark-marketing.ru/Card/Person/49008", "АО ""ДЕПАРТАМЕНТ ПРОДОВОЛЬСТВИЯ""")</f>
        <v>АО "ДЕПАРТАМЕНТ ПРОДОВОЛЬСТВИЯ"</v>
      </c>
      <c r="K9057" s="24" t="s">
        <v>2101</v>
      </c>
      <c r="L9057" s="22" t="s">
        <v>10</v>
      </c>
      <c r="M9057" s="25">
        <v>2274452.6</v>
      </c>
      <c r="N9057" s="27">
        <v>0</v>
      </c>
    </row>
    <row r="9058" spans="1:14" hidden="1" outlineLevel="1" x14ac:dyDescent="0.2">
      <c r="A9058" s="23" t="str">
        <f>HYPERLINK("https://www.spark-marketing.ru/Card/Person/88607", "ГАУЗ ""РККВД""")</f>
        <v>ГАУЗ "РККВД"</v>
      </c>
      <c r="B9058" s="24" t="s">
        <v>2144</v>
      </c>
      <c r="C9058" s="25">
        <v>2274452.6</v>
      </c>
      <c r="D9058" s="22" t="s">
        <v>13173</v>
      </c>
      <c r="E9058" s="22" t="s">
        <v>48</v>
      </c>
      <c r="F9058" s="23" t="str">
        <f>HYPERLINK("https://www.spark-marketing.ru/Card/Lot/72578632", "Услуги готового лечебного питания на 4 квартал 2019 года")</f>
        <v>Услуги готового лечебного питания на 4 квартал 2019 года</v>
      </c>
      <c r="G9058" s="22" t="s">
        <v>217</v>
      </c>
      <c r="H9058" s="22" t="s">
        <v>937</v>
      </c>
      <c r="I9058" s="26">
        <v>43679.617442129602</v>
      </c>
      <c r="J9058" s="23" t="str">
        <f>HYPERLINK("https://www.spark-marketing.ru/Card/Person/6084653", "ООО ""ВИТАРА""")</f>
        <v>ООО "ВИТАРА"</v>
      </c>
      <c r="K9058" s="24" t="s">
        <v>2437</v>
      </c>
      <c r="L9058" s="28" t="s">
        <v>51</v>
      </c>
      <c r="M9058" s="25">
        <v>2274452.6</v>
      </c>
      <c r="N9058" s="27">
        <v>0</v>
      </c>
    </row>
    <row r="9059" spans="1:14" x14ac:dyDescent="0.15">
      <c r="A9059" s="23" t="str">
        <f>HYPERLINK("https://www.spark-marketing.ru/Card/Person/818742", "ОТДЕЛ МВД РОССИИ ПО АПАСТОВСКОМУ РАЙОНУ")</f>
        <v>ОТДЕЛ МВД РОССИИ ПО АПАСТОВСКОМУ РАЙОНУ</v>
      </c>
      <c r="B9059" s="24" t="s">
        <v>11449</v>
      </c>
      <c r="C9059" s="25">
        <v>400000</v>
      </c>
      <c r="D9059" s="22" t="s">
        <v>13174</v>
      </c>
      <c r="E9059" s="22" t="s">
        <v>48</v>
      </c>
      <c r="F9059" s="23" t="str">
        <f>HYPERLINK("https://www.spark-marketing.ru/Card/Lot/72579161", "услуги по организации питания подозреваемых и обвиняемых в совершении преступлений, находящихся в изоляторе временного содержания подозреваемых и обвиняемых, лиц содержащихся в комнате содержания задержанных лиц Отдела МВД России по Апастовскому райо...")</f>
        <v>услуги по организации питания подозреваемых и обвиняемых в совершении преступлений, находящихся в изоляторе временного содержания подозреваемых и обвиняемых, лиц содержащихся в комнате содержания задержанных лиц Отдела МВД России по Апастовскому райо...</v>
      </c>
      <c r="G9059" s="22" t="s">
        <v>217</v>
      </c>
      <c r="H9059" s="22" t="s">
        <v>11451</v>
      </c>
      <c r="I9059" s="26">
        <v>43679.606307870403</v>
      </c>
      <c r="J9059" s="28" t="s">
        <v>51</v>
      </c>
      <c r="K9059" s="28" t="s">
        <v>51</v>
      </c>
      <c r="L9059" s="28" t="s">
        <v>51</v>
      </c>
      <c r="M9059" s="28" t="s">
        <v>51</v>
      </c>
      <c r="N9059" s="28" t="s">
        <v>51</v>
      </c>
    </row>
    <row r="9060" spans="1:14" x14ac:dyDescent="0.15">
      <c r="A9060" s="23" t="str">
        <f>HYPERLINK("https://www.spark-marketing.ru/Card/Person/818742", "ОТДЕЛ МВД РОССИИ ПО АПАСТОВСКОМУ РАЙОНУ")</f>
        <v>ОТДЕЛ МВД РОССИИ ПО АПАСТОВСКОМУ РАЙОНУ</v>
      </c>
      <c r="B9060" s="24" t="s">
        <v>11449</v>
      </c>
      <c r="C9060" s="25">
        <v>400000</v>
      </c>
      <c r="D9060" s="22" t="s">
        <v>13175</v>
      </c>
      <c r="E9060" s="22" t="s">
        <v>48</v>
      </c>
      <c r="F9060" s="23" t="str">
        <f>HYPERLINK("https://www.spark-marketing.ru/Card/Lot/72579164", "услуги по организации питания подозреваемых и обвиняемых в совершении преступлений, находящихся в изоляторе временного содержания подозреваемых и обвиняемых, лиц содержащихся в комнате содержания задержанных лиц Отдела МВД России по Апастовскому райо...")</f>
        <v>услуги по организации питания подозреваемых и обвиняемых в совершении преступлений, находящихся в изоляторе временного содержания подозреваемых и обвиняемых, лиц содержащихся в комнате содержания задержанных лиц Отдела МВД России по Апастовскому райо...</v>
      </c>
      <c r="G9060" s="22" t="s">
        <v>217</v>
      </c>
      <c r="H9060" s="22" t="s">
        <v>11451</v>
      </c>
      <c r="I9060" s="26">
        <v>43679.619560185201</v>
      </c>
      <c r="J9060" s="28" t="s">
        <v>51</v>
      </c>
      <c r="K9060" s="28" t="s">
        <v>51</v>
      </c>
      <c r="L9060" s="28" t="s">
        <v>51</v>
      </c>
      <c r="M9060" s="28" t="s">
        <v>51</v>
      </c>
      <c r="N9060" s="28" t="s">
        <v>51</v>
      </c>
    </row>
    <row r="9061" spans="1:14" ht="12.75" x14ac:dyDescent="0.2">
      <c r="A9061" s="23" t="str">
        <f>HYPERLINK("https://www.spark-marketing.ru/Card/Person/91622", "МБОУ ""КАМЕННОГОРСКИЙ ЦО""")</f>
        <v>МБОУ "КАМЕННОГОРСКИЙ ЦО"</v>
      </c>
      <c r="B9061" s="24" t="s">
        <v>13176</v>
      </c>
      <c r="C9061" s="25">
        <v>499222.5</v>
      </c>
      <c r="D9061" s="22" t="s">
        <v>13177</v>
      </c>
      <c r="E9061" s="22" t="s">
        <v>48</v>
      </c>
      <c r="F9061" s="23" t="str">
        <f>HYPERLINK("https://www.spark-marketing.ru/Card/Lot/72574904", "Услуги по организации питания для льготных категорий обучающихся и обеспечение молоком (кисломолочными продуктами) обучающихся 1-4 классов")</f>
        <v>Услуги по организации питания для льготных категорий обучающихся и обеспечение молоком (кисломолочными продуктами) обучающихся 1-4 классов</v>
      </c>
      <c r="G9061" s="22" t="s">
        <v>162</v>
      </c>
      <c r="H9061" s="22" t="s">
        <v>5558</v>
      </c>
      <c r="I9061" s="26">
        <v>43679.4212037037</v>
      </c>
      <c r="J9061" s="23" t="str">
        <f>HYPERLINK("https://www.spark-marketing.ru/Card/Person/42095", "ООО ""КОМБИНАТ СОЦИАЛЬНОГО ПИТАНИЯ""")</f>
        <v>ООО "КОМБИНАТ СОЦИАЛЬНОГО ПИТАНИЯ"</v>
      </c>
      <c r="K9061" s="24" t="s">
        <v>12318</v>
      </c>
      <c r="L9061" s="22" t="s">
        <v>10</v>
      </c>
      <c r="M9061" s="25">
        <v>499222.5</v>
      </c>
      <c r="N9061" s="27">
        <v>0</v>
      </c>
    </row>
    <row r="9062" spans="1:14" x14ac:dyDescent="0.2">
      <c r="A9062" s="23" t="str">
        <f>HYPERLINK("https://www.spark-marketing.ru/Card/Person/91622", "МБОУ ""КАМЕННОГОРСКИЙ ЦО""")</f>
        <v>МБОУ "КАМЕННОГОРСКИЙ ЦО"</v>
      </c>
      <c r="B9062" s="24" t="s">
        <v>13176</v>
      </c>
      <c r="C9062" s="25">
        <v>1836135</v>
      </c>
      <c r="D9062" s="22" t="s">
        <v>13178</v>
      </c>
      <c r="E9062" s="22" t="s">
        <v>48</v>
      </c>
      <c r="F9062" s="23" t="str">
        <f>HYPERLINK("https://www.spark-marketing.ru/Card/Lot/72576368", "Услуги по организации питания для льготных категорий обучающихся и обеспечение молоком (кисломолочными продуктами) обучающихся 1-4 классов")</f>
        <v>Услуги по организации питания для льготных категорий обучающихся и обеспечение молоком (кисломолочными продуктами) обучающихся 1-4 классов</v>
      </c>
      <c r="G9062" s="22" t="s">
        <v>162</v>
      </c>
      <c r="H9062" s="22" t="s">
        <v>5558</v>
      </c>
      <c r="I9062" s="26">
        <v>43679.5847222222</v>
      </c>
      <c r="J9062" s="23" t="str">
        <f>HYPERLINK("https://www.spark-marketing.ru/Card/Person/42095", "ООО ""КОМБИНАТ СОЦИАЛЬНОГО ПИТАНИЯ""")</f>
        <v>ООО "КОМБИНАТ СОЦИАЛЬНОГО ПИТАНИЯ"</v>
      </c>
      <c r="K9062" s="24" t="s">
        <v>12318</v>
      </c>
      <c r="L9062" s="28" t="s">
        <v>51</v>
      </c>
      <c r="M9062" s="25">
        <v>1836135</v>
      </c>
      <c r="N9062" s="27">
        <v>0</v>
      </c>
    </row>
    <row r="9063" spans="1:14" x14ac:dyDescent="0.15">
      <c r="A9063" s="23" t="str">
        <f>HYPERLINK("https://www.spark-marketing.ru/Card/Person/1013025", "ФКУ ""ЦУКС ГУ МЧС РОССИИ ПО РЯЗАНСКОЙ ОБЛАСТИ""")</f>
        <v>ФКУ "ЦУКС ГУ МЧС РОССИИ ПО РЯЗАНСКОЙ ОБЛАСТИ"</v>
      </c>
      <c r="B9063" s="24" t="s">
        <v>4839</v>
      </c>
      <c r="C9063" s="25">
        <v>58000</v>
      </c>
      <c r="D9063" s="22" t="s">
        <v>13179</v>
      </c>
      <c r="E9063" s="22" t="s">
        <v>48</v>
      </c>
      <c r="F9063" s="23" t="str">
        <f>HYPERLINK("https://www.spark-marketing.ru/Card/Lot/72574503", "Услуги по обеспечению питанием, осуществляемые по договору, 145 усл. ед")</f>
        <v>Услуги по обеспечению питанием, осуществляемые по договору, 145 усл. ед</v>
      </c>
      <c r="G9063" s="22" t="s">
        <v>1522</v>
      </c>
      <c r="H9063" s="22" t="s">
        <v>1523</v>
      </c>
      <c r="I9063" s="26">
        <v>43679.617337962998</v>
      </c>
      <c r="J9063" s="28" t="s">
        <v>51</v>
      </c>
      <c r="K9063" s="28" t="s">
        <v>51</v>
      </c>
      <c r="L9063" s="28" t="s">
        <v>51</v>
      </c>
      <c r="M9063" s="28" t="s">
        <v>51</v>
      </c>
      <c r="N9063" s="28" t="s">
        <v>51</v>
      </c>
    </row>
    <row r="9064" spans="1:14" x14ac:dyDescent="0.15">
      <c r="A9064" s="23" t="str">
        <f>HYPERLINK("https://www.spark-marketing.ru/Card/Person/818742", "ОТДЕЛ МВД РОССИИ ПО АПАСТОВСКОМУ РАЙОНУ")</f>
        <v>ОТДЕЛ МВД РОССИИ ПО АПАСТОВСКОМУ РАЙОНУ</v>
      </c>
      <c r="B9064" s="24" t="s">
        <v>11449</v>
      </c>
      <c r="C9064" s="25">
        <v>111300</v>
      </c>
      <c r="D9064" s="22" t="s">
        <v>13180</v>
      </c>
      <c r="E9064" s="22" t="s">
        <v>48</v>
      </c>
      <c r="F9064" s="23" t="str">
        <f>HYPERLINK("https://www.spark-marketing.ru/Card/Lot/72578165", "услуги по организации питания подозреваемых и обвиняемых в совершении преступлений, находящихся в изоляторе временного содержания подозреваемых и обвиняемых, лиц содержащихся в комнате содержания задержанных лиц Отдела МВД России по Апастовскому райо...")</f>
        <v>услуги по организации питания подозреваемых и обвиняемых в совершении преступлений, находящихся в изоляторе временного содержания подозреваемых и обвиняемых, лиц содержащихся в комнате содержания задержанных лиц Отдела МВД России по Апастовскому райо...</v>
      </c>
      <c r="G9064" s="22" t="s">
        <v>217</v>
      </c>
      <c r="H9064" s="22" t="s">
        <v>11451</v>
      </c>
      <c r="I9064" s="26">
        <v>43679.592071759304</v>
      </c>
      <c r="J9064" s="28" t="s">
        <v>51</v>
      </c>
      <c r="K9064" s="28" t="s">
        <v>51</v>
      </c>
      <c r="L9064" s="28" t="s">
        <v>51</v>
      </c>
      <c r="M9064" s="28" t="s">
        <v>51</v>
      </c>
      <c r="N9064" s="28" t="s">
        <v>51</v>
      </c>
    </row>
    <row r="9065" spans="1:14" x14ac:dyDescent="0.15">
      <c r="A9065" s="23" t="str">
        <f>HYPERLINK("https://www.spark-marketing.ru/Card/Person/6402134", "ОТДЕЛ МВД РОССИИ ПО УНЦУКУЛЬСКОМУ РАЙОНУ")</f>
        <v>ОТДЕЛ МВД РОССИИ ПО УНЦУКУЛЬСКОМУ РАЙОНУ</v>
      </c>
      <c r="B9065" s="24" t="s">
        <v>13181</v>
      </c>
      <c r="C9065" s="25">
        <v>158301.89000000001</v>
      </c>
      <c r="D9065" s="22" t="s">
        <v>13182</v>
      </c>
      <c r="E9065" s="22" t="s">
        <v>48</v>
      </c>
      <c r="F9065" s="23" t="str">
        <f>HYPERLINK("https://www.spark-marketing.ru/Card/Lot/72583596", "Питание ИВС")</f>
        <v>Питание ИВС</v>
      </c>
      <c r="G9065" s="22" t="s">
        <v>1607</v>
      </c>
      <c r="H9065" s="22" t="s">
        <v>13183</v>
      </c>
      <c r="I9065" s="26">
        <v>43679.617407407401</v>
      </c>
      <c r="J9065" s="23" t="str">
        <f>HYPERLINK("https://www.spark-marketing.ru/Card/Person/6487211", "Гамидов Арсен Гамидович")</f>
        <v>Гамидов Арсен Гамидович</v>
      </c>
      <c r="K9065" s="24" t="s">
        <v>13184</v>
      </c>
      <c r="L9065" s="22" t="s">
        <v>10</v>
      </c>
      <c r="M9065" s="28" t="s">
        <v>51</v>
      </c>
      <c r="N9065" s="28" t="s">
        <v>51</v>
      </c>
    </row>
    <row r="9066" spans="1:14" x14ac:dyDescent="0.15">
      <c r="A9066" s="23" t="str">
        <f>HYPERLINK("https://www.spark-marketing.ru/Card/Person/575469", "ФКУ ИК-6 УФСИН РОССИИ ПО Г. САНКТ-ПЕТЕРБУРГУ И ЛЕНИНГРАДСКОЙ ОБЛАСТИ")</f>
        <v>ФКУ ИК-6 УФСИН РОССИИ ПО Г. САНКТ-ПЕТЕРБУРГУ И ЛЕНИНГРАДСКОЙ ОБЛАСТИ</v>
      </c>
      <c r="B9066" s="24" t="s">
        <v>13185</v>
      </c>
      <c r="C9066" s="25">
        <v>54000</v>
      </c>
      <c r="D9066" s="22" t="s">
        <v>13186</v>
      </c>
      <c r="E9066" s="22" t="s">
        <v>437</v>
      </c>
      <c r="F9066" s="23" t="str">
        <f>HYPERLINK("https://www.spark-marketing.ru/Card/Lot/72573025", "Услуги в области гигиены питания, включая ветеринарный контроль, 1 усл. ед")</f>
        <v>Услуги в области гигиены питания, включая ветеринарный контроль, 1 усл. ед</v>
      </c>
      <c r="G9066" s="22" t="s">
        <v>117</v>
      </c>
      <c r="H9066" s="22" t="s">
        <v>117</v>
      </c>
      <c r="I9066" s="26">
        <v>43679.582928240699</v>
      </c>
      <c r="J9066" s="28" t="s">
        <v>51</v>
      </c>
      <c r="K9066" s="28" t="s">
        <v>51</v>
      </c>
      <c r="L9066" s="28" t="s">
        <v>51</v>
      </c>
      <c r="M9066" s="28" t="s">
        <v>51</v>
      </c>
      <c r="N9066" s="28" t="s">
        <v>51</v>
      </c>
    </row>
    <row r="9067" spans="1:14" x14ac:dyDescent="0.15">
      <c r="A9067" s="23" t="str">
        <f>HYPERLINK("https://www.spark-marketing.ru/Card/Person/254788", "ГУ РК ""ДЕТСКИЙ ДОМ № 3"" Г. СЫКТЫВКАРА")</f>
        <v>ГУ РК "ДЕТСКИЙ ДОМ № 3" Г. СЫКТЫВКАРА</v>
      </c>
      <c r="B9067" s="24" t="s">
        <v>13187</v>
      </c>
      <c r="C9067" s="25">
        <v>2130986</v>
      </c>
      <c r="D9067" s="22" t="s">
        <v>13188</v>
      </c>
      <c r="E9067" s="22" t="s">
        <v>48</v>
      </c>
      <c r="F9067" s="23" t="str">
        <f>HYPERLINK("https://www.spark-marketing.ru/Card/Lot/72574710", "Оказание услуг по организации питания воспитанников  ГУ РК  «Детский дом № 3» г. Сыктывкара в течение IV квартала 2019 года")</f>
        <v>Оказание услуг по организации питания воспитанников  ГУ РК  «Детский дом № 3» г. Сыктывкара в течение IV квартала 2019 года</v>
      </c>
      <c r="G9067" s="22" t="s">
        <v>271</v>
      </c>
      <c r="H9067" s="22" t="s">
        <v>271</v>
      </c>
      <c r="I9067" s="26">
        <v>43679.557465277801</v>
      </c>
      <c r="J9067" s="23" t="str">
        <f>HYPERLINK("https://www.spark-marketing.ru/Card/Person/277429", "ООО "" ОБЩЕПИТ - К """)</f>
        <v>ООО " ОБЩЕПИТ - К "</v>
      </c>
      <c r="K9067" s="24" t="s">
        <v>13189</v>
      </c>
      <c r="L9067" s="22" t="s">
        <v>10</v>
      </c>
      <c r="M9067" s="28" t="s">
        <v>51</v>
      </c>
      <c r="N9067" s="28" t="s">
        <v>51</v>
      </c>
    </row>
    <row r="9068" spans="1:14" x14ac:dyDescent="0.15">
      <c r="A9068" s="23" t="str">
        <f>HYPERLINK("https://www.spark-marketing.ru/Card/Person/1017310", "ГКОУ РО АЗОВСКАЯ ШКОЛА № 7")</f>
        <v>ГКОУ РО АЗОВСКАЯ ШКОЛА № 7</v>
      </c>
      <c r="B9068" s="24" t="s">
        <v>13190</v>
      </c>
      <c r="C9068" s="25">
        <v>2047645.08</v>
      </c>
      <c r="D9068" s="22" t="s">
        <v>13191</v>
      </c>
      <c r="E9068" s="22" t="s">
        <v>48</v>
      </c>
      <c r="F9068" s="23" t="str">
        <f>HYPERLINK("https://www.spark-marketing.ru/Card/Lot/72574060", "Оказание услуг по организации горячего питания учащихся")</f>
        <v>Оказание услуг по организации горячего питания учащихся</v>
      </c>
      <c r="G9068" s="22" t="s">
        <v>267</v>
      </c>
      <c r="H9068" s="22" t="s">
        <v>611</v>
      </c>
      <c r="I9068" s="26">
        <v>43679.515868055598</v>
      </c>
      <c r="J9068" s="23" t="str">
        <f>HYPERLINK("https://www.spark-marketing.ru/Card/Person/387317", "Белоусько Елена Петровна")</f>
        <v>Белоусько Елена Петровна</v>
      </c>
      <c r="K9068" s="24" t="s">
        <v>13192</v>
      </c>
      <c r="L9068" s="22" t="s">
        <v>10</v>
      </c>
      <c r="M9068" s="28" t="s">
        <v>51</v>
      </c>
      <c r="N9068" s="28" t="s">
        <v>51</v>
      </c>
    </row>
    <row r="9069" spans="1:14" x14ac:dyDescent="0.15">
      <c r="A9069" s="23" t="str">
        <f t="shared" ref="A9069:A9074" si="212">HYPERLINK("https://www.spark-marketing.ru/Card/Person/8689", "ГАУЗ ""КДМЦ""")</f>
        <v>ГАУЗ "КДМЦ"</v>
      </c>
      <c r="B9069" s="24" t="s">
        <v>13193</v>
      </c>
      <c r="C9069" s="25">
        <v>334123.8</v>
      </c>
      <c r="D9069" s="22" t="s">
        <v>13194</v>
      </c>
      <c r="E9069" s="22" t="s">
        <v>48</v>
      </c>
      <c r="F9069" s="23" t="str">
        <f>HYPERLINK("https://www.spark-marketing.ru/Card/Lot/72574025", "Оказание услуг по организации готового лечебного питания для Отделения детской медицинской реабилитации (дневной стационар) для ГАУЗ ""Камский детский медицинский центр""")</f>
        <v>Оказание услуг по организации готового лечебного питания для Отделения детской медицинской реабилитации (дневной стационар) для ГАУЗ "Камский детский медицинский центр"</v>
      </c>
      <c r="G9069" s="22" t="s">
        <v>217</v>
      </c>
      <c r="H9069" s="22" t="s">
        <v>1998</v>
      </c>
      <c r="I9069" s="26">
        <v>43679.500416666699</v>
      </c>
      <c r="J9069" s="28" t="s">
        <v>51</v>
      </c>
      <c r="K9069" s="28" t="s">
        <v>51</v>
      </c>
      <c r="L9069" s="28" t="s">
        <v>51</v>
      </c>
      <c r="M9069" s="28" t="s">
        <v>51</v>
      </c>
      <c r="N9069" s="28" t="s">
        <v>51</v>
      </c>
    </row>
    <row r="9070" spans="1:14" hidden="1" outlineLevel="1" x14ac:dyDescent="0.2">
      <c r="A9070" s="23" t="str">
        <f t="shared" si="212"/>
        <v>ГАУЗ "КДМЦ"</v>
      </c>
      <c r="B9070" s="24" t="s">
        <v>13193</v>
      </c>
      <c r="C9070" s="25">
        <v>334123.8</v>
      </c>
      <c r="D9070" s="22" t="s">
        <v>13194</v>
      </c>
      <c r="E9070" s="22" t="s">
        <v>48</v>
      </c>
      <c r="F9070" s="23" t="str">
        <f>HYPERLINK("https://www.spark-marketing.ru/Card/Lot/72574025", "Оказание услуг по организации готового лечебного питания для Отделения детской медицинской реабилитации (дневной стационар) для ГАУЗ ""Камский детский медицинский центр""")</f>
        <v>Оказание услуг по организации готового лечебного питания для Отделения детской медицинской реабилитации (дневной стационар) для ГАУЗ "Камский детский медицинский центр"</v>
      </c>
      <c r="G9070" s="22" t="s">
        <v>217</v>
      </c>
      <c r="H9070" s="22" t="s">
        <v>1998</v>
      </c>
      <c r="I9070" s="26">
        <v>43679.500416666699</v>
      </c>
      <c r="J9070" s="23" t="str">
        <f>HYPERLINK("https://www.spark-marketing.ru/Card/Person/4708150", "ООО ""ОРЕОЛ""")</f>
        <v>ООО "ОРЕОЛ"</v>
      </c>
      <c r="K9070" s="24" t="s">
        <v>13195</v>
      </c>
      <c r="L9070" s="28" t="s">
        <v>51</v>
      </c>
      <c r="M9070" s="25">
        <v>332453.18</v>
      </c>
      <c r="N9070" s="27">
        <v>5.0000029929026307E-3</v>
      </c>
    </row>
    <row r="9071" spans="1:14" ht="12.75" hidden="1" outlineLevel="1" x14ac:dyDescent="0.2">
      <c r="A9071" s="23" t="str">
        <f t="shared" si="212"/>
        <v>ГАУЗ "КДМЦ"</v>
      </c>
      <c r="B9071" s="24" t="s">
        <v>13193</v>
      </c>
      <c r="C9071" s="25">
        <v>334123.8</v>
      </c>
      <c r="D9071" s="22" t="s">
        <v>13194</v>
      </c>
      <c r="E9071" s="22" t="s">
        <v>48</v>
      </c>
      <c r="F9071" s="23" t="str">
        <f>HYPERLINK("https://www.spark-marketing.ru/Card/Lot/72574025", "Оказание услуг по организации готового лечебного питания для Отделения детской медицинской реабилитации (дневной стационар) для ГАУЗ ""Камский детский медицинский центр""")</f>
        <v>Оказание услуг по организации готового лечебного питания для Отделения детской медицинской реабилитации (дневной стационар) для ГАУЗ "Камский детский медицинский центр"</v>
      </c>
      <c r="G9071" s="22" t="s">
        <v>217</v>
      </c>
      <c r="H9071" s="22" t="s">
        <v>1998</v>
      </c>
      <c r="I9071" s="26">
        <v>43679.500416666699</v>
      </c>
      <c r="J9071" s="23" t="str">
        <f>HYPERLINK("https://www.spark-marketing.ru/Card/Person/364224", "Гильманов Марат Ульфатович")</f>
        <v>Гильманов Марат Ульфатович</v>
      </c>
      <c r="K9071" s="24" t="s">
        <v>2146</v>
      </c>
      <c r="L9071" s="22" t="s">
        <v>10</v>
      </c>
      <c r="M9071" s="25">
        <v>330772.95</v>
      </c>
      <c r="N9071" s="27">
        <v>1.0028767780086304E-2</v>
      </c>
    </row>
    <row r="9072" spans="1:14" x14ac:dyDescent="0.15">
      <c r="A9072" s="23" t="str">
        <f t="shared" si="212"/>
        <v>ГАУЗ "КДМЦ"</v>
      </c>
      <c r="B9072" s="24" t="s">
        <v>13193</v>
      </c>
      <c r="C9072" s="25">
        <v>5786161.2000000002</v>
      </c>
      <c r="D9072" s="22" t="s">
        <v>13196</v>
      </c>
      <c r="E9072" s="22" t="s">
        <v>48</v>
      </c>
      <c r="F9072" s="23" t="str">
        <f>HYPERLINK("https://www.spark-marketing.ru/Card/Lot/72572696", "Оказание услуг по организации готового лечебного питания (детский стационар) для ГАУЗ ""Камский детский медицинский центр""")</f>
        <v>Оказание услуг по организации готового лечебного питания (детский стационар) для ГАУЗ "Камский детский медицинский центр"</v>
      </c>
      <c r="G9072" s="22" t="s">
        <v>217</v>
      </c>
      <c r="H9072" s="22" t="s">
        <v>1998</v>
      </c>
      <c r="I9072" s="26">
        <v>43679.503634259301</v>
      </c>
      <c r="J9072" s="28" t="s">
        <v>51</v>
      </c>
      <c r="K9072" s="28" t="s">
        <v>51</v>
      </c>
      <c r="L9072" s="28" t="s">
        <v>51</v>
      </c>
      <c r="M9072" s="28" t="s">
        <v>51</v>
      </c>
      <c r="N9072" s="28" t="s">
        <v>51</v>
      </c>
    </row>
    <row r="9073" spans="1:14" ht="12.75" hidden="1" outlineLevel="1" x14ac:dyDescent="0.2">
      <c r="A9073" s="23" t="str">
        <f t="shared" si="212"/>
        <v>ГАУЗ "КДМЦ"</v>
      </c>
      <c r="B9073" s="24" t="s">
        <v>13193</v>
      </c>
      <c r="C9073" s="25">
        <v>5786161.2000000002</v>
      </c>
      <c r="D9073" s="22" t="s">
        <v>13196</v>
      </c>
      <c r="E9073" s="22" t="s">
        <v>48</v>
      </c>
      <c r="F9073" s="23" t="str">
        <f>HYPERLINK("https://www.spark-marketing.ru/Card/Lot/72572696", "Оказание услуг по организации готового лечебного питания (детский стационар) для ГАУЗ ""Камский детский медицинский центр""")</f>
        <v>Оказание услуг по организации готового лечебного питания (детский стационар) для ГАУЗ "Камский детский медицинский центр"</v>
      </c>
      <c r="G9073" s="22" t="s">
        <v>217</v>
      </c>
      <c r="H9073" s="22" t="s">
        <v>1998</v>
      </c>
      <c r="I9073" s="26">
        <v>43679.503634259301</v>
      </c>
      <c r="J9073" s="23" t="str">
        <f>HYPERLINK("https://www.spark-marketing.ru/Card/Person/4708150", "ООО ""ОРЕОЛ""")</f>
        <v>ООО "ОРЕОЛ"</v>
      </c>
      <c r="K9073" s="24" t="s">
        <v>13195</v>
      </c>
      <c r="L9073" s="22" t="s">
        <v>10</v>
      </c>
      <c r="M9073" s="25">
        <v>5727645</v>
      </c>
      <c r="N9073" s="27">
        <v>1.0113129928008228E-2</v>
      </c>
    </row>
    <row r="9074" spans="1:14" hidden="1" outlineLevel="1" x14ac:dyDescent="0.2">
      <c r="A9074" s="23" t="str">
        <f t="shared" si="212"/>
        <v>ГАУЗ "КДМЦ"</v>
      </c>
      <c r="B9074" s="24" t="s">
        <v>13193</v>
      </c>
      <c r="C9074" s="25">
        <v>5786161.2000000002</v>
      </c>
      <c r="D9074" s="22" t="s">
        <v>13196</v>
      </c>
      <c r="E9074" s="22" t="s">
        <v>48</v>
      </c>
      <c r="F9074" s="23" t="str">
        <f>HYPERLINK("https://www.spark-marketing.ru/Card/Lot/72572696", "Оказание услуг по организации готового лечебного питания (детский стационар) для ГАУЗ ""Камский детский медицинский центр""")</f>
        <v>Оказание услуг по организации готового лечебного питания (детский стационар) для ГАУЗ "Камский детский медицинский центр"</v>
      </c>
      <c r="G9074" s="22" t="s">
        <v>217</v>
      </c>
      <c r="H9074" s="22" t="s">
        <v>1998</v>
      </c>
      <c r="I9074" s="26">
        <v>43679.503634259301</v>
      </c>
      <c r="J9074" s="23" t="str">
        <f>HYPERLINK("https://www.spark-marketing.ru/Card/Person/364224", "Гильманов Марат Ульфатович")</f>
        <v>Гильманов Марат Ульфатович</v>
      </c>
      <c r="K9074" s="24" t="s">
        <v>2146</v>
      </c>
      <c r="L9074" s="28" t="s">
        <v>51</v>
      </c>
      <c r="M9074" s="25">
        <v>5757230.3899999997</v>
      </c>
      <c r="N9074" s="27">
        <v>5.0000006913046256E-3</v>
      </c>
    </row>
    <row r="9075" spans="1:14" x14ac:dyDescent="0.15">
      <c r="A9075" s="23" t="str">
        <f>HYPERLINK("https://www.spark-marketing.ru/Card/Person/540586", "МОМВД РОССИИ ""САСОВСКИЙ""")</f>
        <v>МОМВД РОССИИ "САСОВСКИЙ"</v>
      </c>
      <c r="B9075" s="24" t="s">
        <v>10714</v>
      </c>
      <c r="C9075" s="25">
        <v>1100000</v>
      </c>
      <c r="D9075" s="22" t="s">
        <v>13197</v>
      </c>
      <c r="E9075" s="22" t="s">
        <v>48</v>
      </c>
      <c r="F9075" s="23" t="str">
        <f>HYPERLINK("https://www.spark-marketing.ru/Card/Lot/72574052", "Оказание услуг по организации трехразового ежедневного горячего питания лиц, содержащихся в изоляторе временного содержания МОМВД России ""Сасовский""")</f>
        <v>Оказание услуг по организации трехразового ежедневного горячего питания лиц, содержащихся в изоляторе временного содержания МОМВД России "Сасовский"</v>
      </c>
      <c r="G9075" s="22" t="s">
        <v>1522</v>
      </c>
      <c r="H9075" s="22" t="s">
        <v>10716</v>
      </c>
      <c r="I9075" s="26">
        <v>43679.511018518497</v>
      </c>
      <c r="J9075" s="28" t="s">
        <v>51</v>
      </c>
      <c r="K9075" s="28" t="s">
        <v>51</v>
      </c>
      <c r="L9075" s="28" t="s">
        <v>51</v>
      </c>
      <c r="M9075" s="28" t="s">
        <v>51</v>
      </c>
      <c r="N9075" s="28" t="s">
        <v>51</v>
      </c>
    </row>
    <row r="9076" spans="1:14" x14ac:dyDescent="0.15">
      <c r="A9076" s="23" t="str">
        <f>HYPERLINK("https://www.spark-marketing.ru/Card/Person/8437", "ОГБУЗ ""ИОПНД""")</f>
        <v>ОГБУЗ "ИОПНД"</v>
      </c>
      <c r="B9076" s="24" t="s">
        <v>4312</v>
      </c>
      <c r="C9076" s="25">
        <v>2190750</v>
      </c>
      <c r="D9076" s="22" t="s">
        <v>13198</v>
      </c>
      <c r="E9076" s="22" t="s">
        <v>48</v>
      </c>
      <c r="F9076" s="23" t="str">
        <f>HYPERLINK("https://www.spark-marketing.ru/Card/Lot/72566353", "Оказание услуг по обеспечению диетическим питанием пациентов")</f>
        <v>Оказание услуг по обеспечению диетическим питанием пациентов</v>
      </c>
      <c r="G9076" s="22" t="s">
        <v>263</v>
      </c>
      <c r="H9076" s="22" t="s">
        <v>2768</v>
      </c>
      <c r="I9076" s="26">
        <v>43679.531956018502</v>
      </c>
      <c r="J9076" s="28" t="s">
        <v>51</v>
      </c>
      <c r="K9076" s="28" t="s">
        <v>51</v>
      </c>
      <c r="L9076" s="28" t="s">
        <v>51</v>
      </c>
      <c r="M9076" s="28" t="s">
        <v>51</v>
      </c>
      <c r="N9076" s="28" t="s">
        <v>51</v>
      </c>
    </row>
    <row r="9077" spans="1:14" x14ac:dyDescent="0.15">
      <c r="A9077" s="23" t="str">
        <f t="shared" ref="A9077:A9082" si="213">HYPERLINK("https://www.spark-marketing.ru/Card/Person/8689", "ГАУЗ ""КДМЦ""")</f>
        <v>ГАУЗ "КДМЦ"</v>
      </c>
      <c r="B9077" s="24" t="s">
        <v>13193</v>
      </c>
      <c r="C9077" s="25">
        <v>3062850</v>
      </c>
      <c r="D9077" s="22" t="s">
        <v>13199</v>
      </c>
      <c r="E9077" s="22" t="s">
        <v>48</v>
      </c>
      <c r="F9077" s="23" t="str">
        <f>HYPERLINK("https://www.spark-marketing.ru/Card/Lot/72572692", "Оказание услуг по организации готового лечебного питания для беременных и рожениц Перинатального стационара ГАУЗ ""Камский детский медицинский центр""")</f>
        <v>Оказание услуг по организации готового лечебного питания для беременных и рожениц Перинатального стационара ГАУЗ "Камский детский медицинский центр"</v>
      </c>
      <c r="G9077" s="22" t="s">
        <v>217</v>
      </c>
      <c r="H9077" s="22" t="s">
        <v>1998</v>
      </c>
      <c r="I9077" s="26">
        <v>43679.5022916667</v>
      </c>
      <c r="J9077" s="28" t="s">
        <v>51</v>
      </c>
      <c r="K9077" s="28" t="s">
        <v>51</v>
      </c>
      <c r="L9077" s="28" t="s">
        <v>51</v>
      </c>
      <c r="M9077" s="28" t="s">
        <v>51</v>
      </c>
      <c r="N9077" s="28" t="s">
        <v>51</v>
      </c>
    </row>
    <row r="9078" spans="1:14" ht="12.75" hidden="1" outlineLevel="1" x14ac:dyDescent="0.2">
      <c r="A9078" s="23" t="str">
        <f t="shared" si="213"/>
        <v>ГАУЗ "КДМЦ"</v>
      </c>
      <c r="B9078" s="24" t="s">
        <v>13193</v>
      </c>
      <c r="C9078" s="25">
        <v>3062850</v>
      </c>
      <c r="D9078" s="22" t="s">
        <v>13199</v>
      </c>
      <c r="E9078" s="22" t="s">
        <v>48</v>
      </c>
      <c r="F9078" s="23" t="str">
        <f>HYPERLINK("https://www.spark-marketing.ru/Card/Lot/72572692", "Оказание услуг по организации готового лечебного питания для беременных и рожениц Перинатального стационара ГАУЗ ""Камский детский медицинский центр""")</f>
        <v>Оказание услуг по организации готового лечебного питания для беременных и рожениц Перинатального стационара ГАУЗ "Камский детский медицинский центр"</v>
      </c>
      <c r="G9078" s="22" t="s">
        <v>217</v>
      </c>
      <c r="H9078" s="22" t="s">
        <v>1998</v>
      </c>
      <c r="I9078" s="26">
        <v>43679.5022916667</v>
      </c>
      <c r="J9078" s="23" t="str">
        <f>HYPERLINK("https://www.spark-marketing.ru/Card/Person/364224", "Гильманов Марат Ульфатович")</f>
        <v>Гильманов Марат Ульфатович</v>
      </c>
      <c r="K9078" s="24" t="s">
        <v>2146</v>
      </c>
      <c r="L9078" s="22" t="s">
        <v>10</v>
      </c>
      <c r="M9078" s="25">
        <v>3032221.5</v>
      </c>
      <c r="N9078" s="27">
        <v>0.01</v>
      </c>
    </row>
    <row r="9079" spans="1:14" hidden="1" outlineLevel="1" x14ac:dyDescent="0.2">
      <c r="A9079" s="23" t="str">
        <f t="shared" si="213"/>
        <v>ГАУЗ "КДМЦ"</v>
      </c>
      <c r="B9079" s="24" t="s">
        <v>13193</v>
      </c>
      <c r="C9079" s="25">
        <v>3062850</v>
      </c>
      <c r="D9079" s="22" t="s">
        <v>13199</v>
      </c>
      <c r="E9079" s="22" t="s">
        <v>48</v>
      </c>
      <c r="F9079" s="23" t="str">
        <f>HYPERLINK("https://www.spark-marketing.ru/Card/Lot/72572692", "Оказание услуг по организации готового лечебного питания для беременных и рожениц Перинатального стационара ГАУЗ ""Камский детский медицинский центр""")</f>
        <v>Оказание услуг по организации готового лечебного питания для беременных и рожениц Перинатального стационара ГАУЗ "Камский детский медицинский центр"</v>
      </c>
      <c r="G9079" s="22" t="s">
        <v>217</v>
      </c>
      <c r="H9079" s="22" t="s">
        <v>1998</v>
      </c>
      <c r="I9079" s="26">
        <v>43679.5022916667</v>
      </c>
      <c r="J9079" s="23" t="str">
        <f>HYPERLINK("https://www.spark-marketing.ru/Card/Person/4708150", "ООО ""ОРЕОЛ""")</f>
        <v>ООО "ОРЕОЛ"</v>
      </c>
      <c r="K9079" s="24" t="s">
        <v>13195</v>
      </c>
      <c r="L9079" s="28" t="s">
        <v>51</v>
      </c>
      <c r="M9079" s="25">
        <v>3047535.75</v>
      </c>
      <c r="N9079" s="27">
        <v>5.0000000000000001E-3</v>
      </c>
    </row>
    <row r="9080" spans="1:14" x14ac:dyDescent="0.15">
      <c r="A9080" s="23" t="str">
        <f t="shared" si="213"/>
        <v>ГАУЗ "КДМЦ"</v>
      </c>
      <c r="B9080" s="24" t="s">
        <v>13193</v>
      </c>
      <c r="C9080" s="25">
        <v>1013634</v>
      </c>
      <c r="D9080" s="22" t="s">
        <v>13200</v>
      </c>
      <c r="E9080" s="22" t="s">
        <v>48</v>
      </c>
      <c r="F9080" s="23" t="str">
        <f>HYPERLINK("https://www.spark-marketing.ru/Card/Lot/72574029", "Оказание услуг по организации готового лечебного питания для Отделения детской медицинской реабилитации (круглосуточный стационар) для ГАУЗ ""Камский детский медицинский центр""")</f>
        <v>Оказание услуг по организации готового лечебного питания для Отделения детской медицинской реабилитации (круглосуточный стационар) для ГАУЗ "Камский детский медицинский центр"</v>
      </c>
      <c r="G9080" s="22" t="s">
        <v>217</v>
      </c>
      <c r="H9080" s="22" t="s">
        <v>1998</v>
      </c>
      <c r="I9080" s="26">
        <v>43679.501597222203</v>
      </c>
      <c r="J9080" s="28" t="s">
        <v>51</v>
      </c>
      <c r="K9080" s="28" t="s">
        <v>51</v>
      </c>
      <c r="L9080" s="28" t="s">
        <v>51</v>
      </c>
      <c r="M9080" s="28" t="s">
        <v>51</v>
      </c>
      <c r="N9080" s="28" t="s">
        <v>51</v>
      </c>
    </row>
    <row r="9081" spans="1:14" ht="12.75" hidden="1" outlineLevel="1" x14ac:dyDescent="0.2">
      <c r="A9081" s="23" t="str">
        <f t="shared" si="213"/>
        <v>ГАУЗ "КДМЦ"</v>
      </c>
      <c r="B9081" s="24" t="s">
        <v>13193</v>
      </c>
      <c r="C9081" s="25">
        <v>1013634</v>
      </c>
      <c r="D9081" s="22" t="s">
        <v>13200</v>
      </c>
      <c r="E9081" s="22" t="s">
        <v>48</v>
      </c>
      <c r="F9081" s="23" t="str">
        <f>HYPERLINK("https://www.spark-marketing.ru/Card/Lot/72574029", "Оказание услуг по организации готового лечебного питания для Отделения детской медицинской реабилитации (круглосуточный стационар) для ГАУЗ ""Камский детский медицинский центр""")</f>
        <v>Оказание услуг по организации готового лечебного питания для Отделения детской медицинской реабилитации (круглосуточный стационар) для ГАУЗ "Камский детский медицинский центр"</v>
      </c>
      <c r="G9081" s="22" t="s">
        <v>217</v>
      </c>
      <c r="H9081" s="22" t="s">
        <v>1998</v>
      </c>
      <c r="I9081" s="26">
        <v>43679.501597222203</v>
      </c>
      <c r="J9081" s="23" t="str">
        <f>HYPERLINK("https://www.spark-marketing.ru/Card/Person/364224", "Гильманов Марат Ульфатович")</f>
        <v>Гильманов Марат Ульфатович</v>
      </c>
      <c r="K9081" s="24" t="s">
        <v>2146</v>
      </c>
      <c r="L9081" s="22" t="s">
        <v>10</v>
      </c>
      <c r="M9081" s="25">
        <v>1003468.5</v>
      </c>
      <c r="N9081" s="27">
        <v>1.0028767780086304E-2</v>
      </c>
    </row>
    <row r="9082" spans="1:14" hidden="1" outlineLevel="1" x14ac:dyDescent="0.2">
      <c r="A9082" s="23" t="str">
        <f t="shared" si="213"/>
        <v>ГАУЗ "КДМЦ"</v>
      </c>
      <c r="B9082" s="24" t="s">
        <v>13193</v>
      </c>
      <c r="C9082" s="25">
        <v>1013634</v>
      </c>
      <c r="D9082" s="22" t="s">
        <v>13200</v>
      </c>
      <c r="E9082" s="22" t="s">
        <v>48</v>
      </c>
      <c r="F9082" s="23" t="str">
        <f>HYPERLINK("https://www.spark-marketing.ru/Card/Lot/72574029", "Оказание услуг по организации готового лечебного питания для Отделения детской медицинской реабилитации (круглосуточный стационар) для ГАУЗ ""Камский детский медицинский центр""")</f>
        <v>Оказание услуг по организации готового лечебного питания для Отделения детской медицинской реабилитации (круглосуточный стационар) для ГАУЗ "Камский детский медицинский центр"</v>
      </c>
      <c r="G9082" s="22" t="s">
        <v>217</v>
      </c>
      <c r="H9082" s="22" t="s">
        <v>1998</v>
      </c>
      <c r="I9082" s="26">
        <v>43679.501597222203</v>
      </c>
      <c r="J9082" s="23" t="str">
        <f>HYPERLINK("https://www.spark-marketing.ru/Card/Person/4708150", "ООО ""ОРЕОЛ""")</f>
        <v>ООО "ОРЕОЛ"</v>
      </c>
      <c r="K9082" s="24" t="s">
        <v>13195</v>
      </c>
      <c r="L9082" s="28" t="s">
        <v>51</v>
      </c>
      <c r="M9082" s="25">
        <v>1008565.83</v>
      </c>
      <c r="N9082" s="27">
        <v>5.0000000000000001E-3</v>
      </c>
    </row>
    <row r="9083" spans="1:14" x14ac:dyDescent="0.15">
      <c r="A9083" s="23" t="str">
        <f>HYPERLINK("https://www.spark-marketing.ru/Card/Person/813663", "МАОУ ""СУГУТСКАЯ СОШ"" БАТЫРЕВСКОГО РАЙОНА ЧУВАШСКОЙ РЕСПУБЛИКИ")</f>
        <v>МАОУ "СУГУТСКАЯ СОШ" БАТЫРЕВСКОГО РАЙОНА ЧУВАШСКОЙ РЕСПУБЛИКИ</v>
      </c>
      <c r="B9083" s="24" t="s">
        <v>10887</v>
      </c>
      <c r="C9083" s="25">
        <v>130814</v>
      </c>
      <c r="D9083" s="22" t="s">
        <v>13201</v>
      </c>
      <c r="E9083" s="22" t="s">
        <v>48</v>
      </c>
      <c r="F9083" s="23" t="str">
        <f>HYPERLINK("https://www.spark-marketing.ru/Card/Lot/72573962", "Оказание услуг по организации питания в МБОУ ""Сугутская СОШ"" Батыревского района Чувашской Республики")</f>
        <v>Оказание услуг по организации питания в МБОУ "Сугутская СОШ" Батыревского района Чувашской Республики</v>
      </c>
      <c r="G9083" s="22" t="s">
        <v>618</v>
      </c>
      <c r="H9083" s="22" t="s">
        <v>10481</v>
      </c>
      <c r="I9083" s="26">
        <v>43679.458668981497</v>
      </c>
      <c r="J9083" s="28" t="s">
        <v>51</v>
      </c>
      <c r="K9083" s="28" t="s">
        <v>51</v>
      </c>
      <c r="L9083" s="28" t="s">
        <v>51</v>
      </c>
      <c r="M9083" s="28" t="s">
        <v>51</v>
      </c>
      <c r="N9083" s="28" t="s">
        <v>51</v>
      </c>
    </row>
    <row r="9084" spans="1:14" x14ac:dyDescent="0.15">
      <c r="A9084" s="23" t="str">
        <f>HYPERLINK("https://www.spark-marketing.ru/Card/Person/89798", "УМВД РОССИИ ПО ГОРОДУ КИРОВУ")</f>
        <v>УМВД РОССИИ ПО ГОРОДУ КИРОВУ</v>
      </c>
      <c r="B9084" s="24" t="s">
        <v>8365</v>
      </c>
      <c r="C9084" s="25">
        <v>900000</v>
      </c>
      <c r="D9084" s="22" t="s">
        <v>13202</v>
      </c>
      <c r="E9084" s="22" t="s">
        <v>48</v>
      </c>
      <c r="F9084" s="23" t="str">
        <f>HYPERLINK("https://www.spark-marketing.ru/Card/Lot/72571385",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9084" s="22" t="s">
        <v>224</v>
      </c>
      <c r="H9084" s="22" t="s">
        <v>225</v>
      </c>
      <c r="I9084" s="26">
        <v>43679.4921875</v>
      </c>
      <c r="J9084" s="28" t="s">
        <v>51</v>
      </c>
      <c r="K9084" s="28" t="s">
        <v>51</v>
      </c>
      <c r="L9084" s="28" t="s">
        <v>51</v>
      </c>
      <c r="M9084" s="28" t="s">
        <v>51</v>
      </c>
      <c r="N9084" s="28" t="s">
        <v>51</v>
      </c>
    </row>
    <row r="9085" spans="1:14" ht="12.75" hidden="1" outlineLevel="1" x14ac:dyDescent="0.2">
      <c r="A9085" s="23" t="str">
        <f>HYPERLINK("https://www.spark-marketing.ru/Card/Person/89798", "УМВД РОССИИ ПО ГОРОДУ КИРОВУ")</f>
        <v>УМВД РОССИИ ПО ГОРОДУ КИРОВУ</v>
      </c>
      <c r="B9085" s="24" t="s">
        <v>8365</v>
      </c>
      <c r="C9085" s="25">
        <v>900000</v>
      </c>
      <c r="D9085" s="22" t="s">
        <v>13202</v>
      </c>
      <c r="E9085" s="22" t="s">
        <v>48</v>
      </c>
      <c r="F9085" s="23" t="str">
        <f>HYPERLINK("https://www.spark-marketing.ru/Card/Lot/72571385",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9085" s="22" t="s">
        <v>224</v>
      </c>
      <c r="H9085" s="22" t="s">
        <v>225</v>
      </c>
      <c r="I9085" s="26">
        <v>43679.4921875</v>
      </c>
      <c r="J9085" s="23" t="str">
        <f>HYPERLINK("https://www.spark-marketing.ru/Card/Person/89851", "ООО ""ФУД-СЕРВИС""")</f>
        <v>ООО "ФУД-СЕРВИС"</v>
      </c>
      <c r="K9085" s="24" t="s">
        <v>8368</v>
      </c>
      <c r="L9085" s="22" t="s">
        <v>10</v>
      </c>
      <c r="M9085" s="25">
        <v>6951.78</v>
      </c>
      <c r="N9085" s="27">
        <v>0.99227580000000004</v>
      </c>
    </row>
    <row r="9086" spans="1:14" hidden="1" outlineLevel="1" x14ac:dyDescent="0.2">
      <c r="A9086" s="23" t="str">
        <f>HYPERLINK("https://www.spark-marketing.ru/Card/Person/89798", "УМВД РОССИИ ПО ГОРОДУ КИРОВУ")</f>
        <v>УМВД РОССИИ ПО ГОРОДУ КИРОВУ</v>
      </c>
      <c r="B9086" s="24" t="s">
        <v>8365</v>
      </c>
      <c r="C9086" s="25">
        <v>900000</v>
      </c>
      <c r="D9086" s="22" t="s">
        <v>13202</v>
      </c>
      <c r="E9086" s="22" t="s">
        <v>48</v>
      </c>
      <c r="F9086" s="23" t="str">
        <f>HYPERLINK("https://www.spark-marketing.ru/Card/Lot/72571385", "оказание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мужчин,женщин...")</f>
        <v>оказание услуг по организации ежедневного трехразового горячего питания лиц, подвергнутых административному аресту  и содержащихся в изоляторе временного содержания, спецприемнике и специальных помещениях для содержания задержанных лиц: мужчин,женщин...</v>
      </c>
      <c r="G9086" s="22" t="s">
        <v>224</v>
      </c>
      <c r="H9086" s="22" t="s">
        <v>225</v>
      </c>
      <c r="I9086" s="26">
        <v>43679.4921875</v>
      </c>
      <c r="J9086" s="23" t="str">
        <f>HYPERLINK("https://www.spark-marketing.ru/Card/Person/6454752", "ООО ""ЕВРО КЕЙТЕРИНГ 43""")</f>
        <v>ООО "ЕВРО КЕЙТЕРИНГ 43"</v>
      </c>
      <c r="K9086" s="24" t="s">
        <v>8367</v>
      </c>
      <c r="L9086" s="28" t="s">
        <v>51</v>
      </c>
      <c r="M9086" s="25">
        <v>6986.89</v>
      </c>
      <c r="N9086" s="27">
        <v>0.99223678888888889</v>
      </c>
    </row>
    <row r="9087" spans="1:14" x14ac:dyDescent="0.15">
      <c r="A9087" s="23" t="str">
        <f>HYPERLINK("https://www.spark-marketing.ru/Card/Person/1022671", "Хабаровский фл ФГБНУ ""ДВ НЦ физиологии и патологии дыхания""")</f>
        <v>Хабаровский фл ФГБНУ "ДВ НЦ физиологии и патологии дыхания"</v>
      </c>
      <c r="B9087" s="24" t="s">
        <v>13203</v>
      </c>
      <c r="C9087" s="25">
        <v>485500</v>
      </c>
      <c r="D9087" s="22" t="s">
        <v>13204</v>
      </c>
      <c r="E9087" s="22" t="s">
        <v>96</v>
      </c>
      <c r="F9087" s="23" t="str">
        <f>HYPERLINK("https://www.spark-marketing.ru/Card/Lot/72563430", "Лечебное питание")</f>
        <v>Лечебное питание</v>
      </c>
      <c r="G9087" s="22" t="s">
        <v>1096</v>
      </c>
      <c r="H9087" s="22" t="s">
        <v>1097</v>
      </c>
      <c r="I9087" s="26">
        <v>43679.494756944398</v>
      </c>
      <c r="J9087" s="23" t="str">
        <f>HYPERLINK("https://www.spark-marketing.ru/Card/Person/190110", "ЧУЗ ""КБ ""РЖД-МЕДИЦИНА"" Г. ХАБАРОВСК""")</f>
        <v>ЧУЗ "КБ "РЖД-МЕДИЦИНА" Г. ХАБАРОВСК"</v>
      </c>
      <c r="K9087" s="24" t="s">
        <v>13205</v>
      </c>
      <c r="L9087" s="22" t="s">
        <v>10</v>
      </c>
      <c r="M9087" s="28" t="s">
        <v>51</v>
      </c>
      <c r="N9087" s="28" t="s">
        <v>51</v>
      </c>
    </row>
    <row r="9088" spans="1:14" x14ac:dyDescent="0.15">
      <c r="A9088" s="23" t="str">
        <f>HYPERLINK("https://www.spark-marketing.ru/Card/Person/56959", "ОТДЕЛ МВД РОССИИ ПО Г. ГОРНО-АЛТАЙСКУ")</f>
        <v>ОТДЕЛ МВД РОССИИ ПО Г. ГОРНО-АЛТАЙСКУ</v>
      </c>
      <c r="B9088" s="24" t="s">
        <v>2027</v>
      </c>
      <c r="C9088" s="25">
        <v>3300000</v>
      </c>
      <c r="D9088" s="22" t="s">
        <v>13206</v>
      </c>
      <c r="E9088" s="22" t="s">
        <v>96</v>
      </c>
      <c r="F9088" s="23" t="str">
        <f>HYPERLINK("https://www.spark-marketing.ru/Card/Lot/72569368", "Оказание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 в 2021 году")</f>
        <v>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 в 2021 году</v>
      </c>
      <c r="G9088" s="22" t="s">
        <v>1141</v>
      </c>
      <c r="H9088" s="22" t="s">
        <v>1142</v>
      </c>
      <c r="I9088" s="26">
        <v>43679.492361111101</v>
      </c>
      <c r="J9088" s="28" t="s">
        <v>51</v>
      </c>
      <c r="K9088" s="28" t="s">
        <v>51</v>
      </c>
      <c r="L9088" s="28" t="s">
        <v>51</v>
      </c>
      <c r="M9088" s="28" t="s">
        <v>51</v>
      </c>
      <c r="N9088" s="28" t="s">
        <v>51</v>
      </c>
    </row>
    <row r="9089" spans="1:14" hidden="1" outlineLevel="1" x14ac:dyDescent="0.2">
      <c r="A9089" s="23" t="str">
        <f>HYPERLINK("https://www.spark-marketing.ru/Card/Person/56959", "ОТДЕЛ МВД РОССИИ ПО Г. ГОРНО-АЛТАЙСКУ")</f>
        <v>ОТДЕЛ МВД РОССИИ ПО Г. ГОРНО-АЛТАЙСКУ</v>
      </c>
      <c r="B9089" s="24" t="s">
        <v>2027</v>
      </c>
      <c r="C9089" s="25">
        <v>3300000</v>
      </c>
      <c r="D9089" s="22" t="s">
        <v>13206</v>
      </c>
      <c r="E9089" s="22" t="s">
        <v>96</v>
      </c>
      <c r="F9089" s="23" t="str">
        <f>HYPERLINK("https://www.spark-marketing.ru/Card/Lot/72569368", "Оказание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 в 2021 году")</f>
        <v>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 в 2021 году</v>
      </c>
      <c r="G9089" s="22" t="s">
        <v>1141</v>
      </c>
      <c r="H9089" s="22" t="s">
        <v>1142</v>
      </c>
      <c r="I9089" s="26">
        <v>43679.492361111101</v>
      </c>
      <c r="J9089" s="23" t="str">
        <f>HYPERLINK("https://www.spark-marketing.ru/Card/Person/2230555", "ООО ""ФЕНИКС""")</f>
        <v>ООО "ФЕНИКС"</v>
      </c>
      <c r="K9089" s="24" t="s">
        <v>13207</v>
      </c>
      <c r="L9089" s="28" t="s">
        <v>51</v>
      </c>
      <c r="M9089" s="25">
        <v>2359500</v>
      </c>
      <c r="N9089" s="27">
        <v>0.28499999999999998</v>
      </c>
    </row>
    <row r="9090" spans="1:14" ht="12.75" hidden="1" outlineLevel="1" x14ac:dyDescent="0.2">
      <c r="A9090" s="23" t="str">
        <f>HYPERLINK("https://www.spark-marketing.ru/Card/Person/56959", "ОТДЕЛ МВД РОССИИ ПО Г. ГОРНО-АЛТАЙСКУ")</f>
        <v>ОТДЕЛ МВД РОССИИ ПО Г. ГОРНО-АЛТАЙСКУ</v>
      </c>
      <c r="B9090" s="24" t="s">
        <v>2027</v>
      </c>
      <c r="C9090" s="25">
        <v>3300000</v>
      </c>
      <c r="D9090" s="22" t="s">
        <v>13206</v>
      </c>
      <c r="E9090" s="22" t="s">
        <v>96</v>
      </c>
      <c r="F9090" s="23" t="str">
        <f>HYPERLINK("https://www.spark-marketing.ru/Card/Lot/72569368", "Оказание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 в 2021 году")</f>
        <v>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 в 2021 году</v>
      </c>
      <c r="G9090" s="22" t="s">
        <v>1141</v>
      </c>
      <c r="H9090" s="22" t="s">
        <v>1142</v>
      </c>
      <c r="I9090" s="26">
        <v>43679.492361111101</v>
      </c>
      <c r="J9090" s="23" t="str">
        <f>HYPERLINK("https://www.spark-marketing.ru/Card/Person/1646238", "ООО ""ЧЕЙНЕ""")</f>
        <v>ООО "ЧЕЙНЕ"</v>
      </c>
      <c r="K9090" s="24" t="s">
        <v>2030</v>
      </c>
      <c r="L9090" s="22" t="s">
        <v>10</v>
      </c>
      <c r="M9090" s="25">
        <v>2343000</v>
      </c>
      <c r="N9090" s="27">
        <v>0.28999999999999998</v>
      </c>
    </row>
    <row r="9091" spans="1:14" x14ac:dyDescent="0.15">
      <c r="A9091" s="23" t="str">
        <f>HYPERLINK("https://www.spark-marketing.ru/Card/Person/540177", "ОМВД РОССИИ ПО ГОРОДСКОМУ ОКРУГУ ""СМИРНЫХОВСКИЙ""")</f>
        <v>ОМВД РОССИИ ПО ГОРОДСКОМУ ОКРУГУ "СМИРНЫХОВСКИЙ"</v>
      </c>
      <c r="B9091" s="24" t="s">
        <v>13208</v>
      </c>
      <c r="C9091" s="25">
        <v>825000</v>
      </c>
      <c r="D9091" s="22" t="s">
        <v>13209</v>
      </c>
      <c r="E9091" s="22" t="s">
        <v>48</v>
      </c>
      <c r="F9091" s="23" t="str">
        <f>HYPERLINK("https://www.spark-marketing.ru/Card/Lot/72562744", "Услуги по организации трехразового горячего питания лиц, содержащихся в изоляторе временного содержания обвиняемых и подозреваемых, в специальном приемнике (для лиц, арестованных в административном порядке), комнате содержания задержанных лиц ОМВД Ро...")</f>
        <v>Услуги по организации трехразового горячего питания лиц, содержащихся в изоляторе временного содержания обвиняемых и подозреваемых, в специальном приемнике (для лиц, арестованных в административном порядке), комнате содержания задержанных лиц ОМВД Ро...</v>
      </c>
      <c r="G9091" s="22" t="s">
        <v>260</v>
      </c>
      <c r="H9091" s="22" t="s">
        <v>13210</v>
      </c>
      <c r="I9091" s="26">
        <v>43679.470347222203</v>
      </c>
      <c r="J9091" s="23" t="str">
        <f>HYPERLINK("https://www.spark-marketing.ru/Card/Person/549155", "ООО""ВЛАДИМИР И К""")</f>
        <v>ООО"ВЛАДИМИР И К"</v>
      </c>
      <c r="K9091" s="24" t="s">
        <v>13211</v>
      </c>
      <c r="L9091" s="22" t="s">
        <v>10</v>
      </c>
      <c r="M9091" s="28" t="s">
        <v>51</v>
      </c>
      <c r="N9091" s="28" t="s">
        <v>51</v>
      </c>
    </row>
    <row r="9092" spans="1:14" x14ac:dyDescent="0.15">
      <c r="A9092" s="23" t="str">
        <f>HYPERLINK("https://www.spark-marketing.ru/Card/Person/56959", "ОТДЕЛ МВД РОССИИ ПО Г. ГОРНО-АЛТАЙСКУ")</f>
        <v>ОТДЕЛ МВД РОССИИ ПО Г. ГОРНО-АЛТАЙСКУ</v>
      </c>
      <c r="B9092" s="24" t="s">
        <v>2027</v>
      </c>
      <c r="C9092" s="25">
        <v>3300000</v>
      </c>
      <c r="D9092" s="22" t="s">
        <v>13212</v>
      </c>
      <c r="E9092" s="22" t="s">
        <v>96</v>
      </c>
      <c r="F9092" s="23" t="str">
        <f>HYPERLINK("https://www.spark-marketing.ru/Card/Lot/72569370", "Оказание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 в 2020 году")</f>
        <v>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 в 2020 году</v>
      </c>
      <c r="G9092" s="22" t="s">
        <v>1141</v>
      </c>
      <c r="H9092" s="22" t="s">
        <v>1142</v>
      </c>
      <c r="I9092" s="26">
        <v>43679.4938078704</v>
      </c>
      <c r="J9092" s="28" t="s">
        <v>51</v>
      </c>
      <c r="K9092" s="28" t="s">
        <v>51</v>
      </c>
      <c r="L9092" s="28" t="s">
        <v>51</v>
      </c>
      <c r="M9092" s="28" t="s">
        <v>51</v>
      </c>
      <c r="N9092" s="28" t="s">
        <v>51</v>
      </c>
    </row>
    <row r="9093" spans="1:14" ht="12.75" hidden="1" outlineLevel="1" x14ac:dyDescent="0.2">
      <c r="A9093" s="23" t="str">
        <f>HYPERLINK("https://www.spark-marketing.ru/Card/Person/56959", "ОТДЕЛ МВД РОССИИ ПО Г. ГОРНО-АЛТАЙСКУ")</f>
        <v>ОТДЕЛ МВД РОССИИ ПО Г. ГОРНО-АЛТАЙСКУ</v>
      </c>
      <c r="B9093" s="24" t="s">
        <v>2027</v>
      </c>
      <c r="C9093" s="25">
        <v>3300000</v>
      </c>
      <c r="D9093" s="22" t="s">
        <v>13212</v>
      </c>
      <c r="E9093" s="22" t="s">
        <v>96</v>
      </c>
      <c r="F9093" s="23" t="str">
        <f>HYPERLINK("https://www.spark-marketing.ru/Card/Lot/72569370", "Оказание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 в 2020 году")</f>
        <v>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 в 2020 году</v>
      </c>
      <c r="G9093" s="22" t="s">
        <v>1141</v>
      </c>
      <c r="H9093" s="22" t="s">
        <v>1142</v>
      </c>
      <c r="I9093" s="26">
        <v>43679.4938078704</v>
      </c>
      <c r="J9093" s="23" t="str">
        <f>HYPERLINK("https://www.spark-marketing.ru/Card/Person/1646238", "ООО ""ЧЕЙНЕ""")</f>
        <v>ООО "ЧЕЙНЕ"</v>
      </c>
      <c r="K9093" s="24" t="s">
        <v>2030</v>
      </c>
      <c r="L9093" s="22" t="s">
        <v>10</v>
      </c>
      <c r="M9093" s="25">
        <v>2326500</v>
      </c>
      <c r="N9093" s="27">
        <v>0.29499999999999998</v>
      </c>
    </row>
    <row r="9094" spans="1:14" hidden="1" outlineLevel="1" x14ac:dyDescent="0.2">
      <c r="A9094" s="23" t="str">
        <f>HYPERLINK("https://www.spark-marketing.ru/Card/Person/56959", "ОТДЕЛ МВД РОССИИ ПО Г. ГОРНО-АЛТАЙСКУ")</f>
        <v>ОТДЕЛ МВД РОССИИ ПО Г. ГОРНО-АЛТАЙСКУ</v>
      </c>
      <c r="B9094" s="24" t="s">
        <v>2027</v>
      </c>
      <c r="C9094" s="25">
        <v>3300000</v>
      </c>
      <c r="D9094" s="22" t="s">
        <v>13212</v>
      </c>
      <c r="E9094" s="22" t="s">
        <v>96</v>
      </c>
      <c r="F9094" s="23" t="str">
        <f>HYPERLINK("https://www.spark-marketing.ru/Card/Lot/72569370", "Оказание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 в 2020 году")</f>
        <v>Оказание услуг по обеспечению комплексным горячим питанием лиц, содержащихся в ИВС и лиц задержанных за административные правонарушения, содержащихся в Отделе МВД России по г. Горно-Алтайску в 2020 году</v>
      </c>
      <c r="G9094" s="22" t="s">
        <v>1141</v>
      </c>
      <c r="H9094" s="22" t="s">
        <v>1142</v>
      </c>
      <c r="I9094" s="26">
        <v>43679.4938078704</v>
      </c>
      <c r="J9094" s="23" t="str">
        <f>HYPERLINK("https://www.spark-marketing.ru/Card/Person/2230555", "ООО ""ФЕНИКС""")</f>
        <v>ООО "ФЕНИКС"</v>
      </c>
      <c r="K9094" s="24" t="s">
        <v>13207</v>
      </c>
      <c r="L9094" s="28" t="s">
        <v>51</v>
      </c>
      <c r="M9094" s="25">
        <v>2343000</v>
      </c>
      <c r="N9094" s="27">
        <v>0.28999999999999998</v>
      </c>
    </row>
    <row r="9095" spans="1:14" x14ac:dyDescent="0.15">
      <c r="A9095" s="23" t="str">
        <f>HYPERLINK("https://www.spark-marketing.ru/Card/Person/1045457", "ОМВД РОССИИ ПО ГОРОДСКОМУ ОКРУГУ ""АЛЕКСАНДРОВСК-САХАЛИНСКИЙ РАЙОН""")</f>
        <v>ОМВД РОССИИ ПО ГОРОДСКОМУ ОКРУГУ "АЛЕКСАНДРОВСК-САХАЛИНСКИЙ РАЙОН"</v>
      </c>
      <c r="B9095" s="24" t="s">
        <v>5435</v>
      </c>
      <c r="C9095" s="25">
        <v>758000</v>
      </c>
      <c r="D9095" s="22" t="s">
        <v>13213</v>
      </c>
      <c r="E9095" s="22" t="s">
        <v>48</v>
      </c>
      <c r="F9095" s="23" t="str">
        <f>HYPERLINK("https://www.spark-marketing.ru/Card/Lot/72563234", "услуги по питанию ИВС")</f>
        <v>услуги по питанию ИВС</v>
      </c>
      <c r="G9095" s="22" t="s">
        <v>260</v>
      </c>
      <c r="H9095" s="22" t="s">
        <v>5437</v>
      </c>
      <c r="I9095" s="26">
        <v>43679.479756944398</v>
      </c>
      <c r="J9095" s="28" t="s">
        <v>51</v>
      </c>
      <c r="K9095" s="28" t="s">
        <v>51</v>
      </c>
      <c r="L9095" s="28" t="s">
        <v>51</v>
      </c>
      <c r="M9095" s="28" t="s">
        <v>51</v>
      </c>
      <c r="N9095" s="28" t="s">
        <v>51</v>
      </c>
    </row>
    <row r="9096" spans="1:14" x14ac:dyDescent="0.15">
      <c r="A9096" s="23" t="str">
        <f>HYPERLINK("https://www.spark-marketing.ru/Card/Person/37978", "МО МВД РОССИИ ""ИРБЕЙСКИЙ""")</f>
        <v>МО МВД РОССИИ "ИРБЕЙСКИЙ"</v>
      </c>
      <c r="B9096" s="24" t="s">
        <v>12208</v>
      </c>
      <c r="C9096" s="25">
        <v>450000</v>
      </c>
      <c r="D9096" s="22" t="s">
        <v>13214</v>
      </c>
      <c r="E9096" s="22" t="s">
        <v>48</v>
      </c>
      <c r="F9096" s="23" t="str">
        <f>HYPERLINK("https://www.spark-marketing.ru/Card/Lot/72563415", "Оказание услуг по организации трехразового питания  лиц, содержащихся в изоляторе временного содержания Межмуниципального отдела Министерства внутренних дел Российской Федерации ""Ирбейский""")</f>
        <v>Оказание услуг по организации трехразового питания  лиц, содержащихся в изоляторе временного содержания Межмуниципального отдела Министерства внутренних дел Российской Федерации "Ирбейский"</v>
      </c>
      <c r="G9096" s="22" t="s">
        <v>281</v>
      </c>
      <c r="H9096" s="22" t="s">
        <v>12210</v>
      </c>
      <c r="I9096" s="26">
        <v>43679.4639930556</v>
      </c>
      <c r="J9096" s="23" t="str">
        <f>HYPERLINK("https://www.spark-marketing.ru/Card/Person/6682857", "Ильяшенко Юрий Валерьевич")</f>
        <v>Ильяшенко Юрий Валерьевич</v>
      </c>
      <c r="K9096" s="24" t="s">
        <v>12211</v>
      </c>
      <c r="L9096" s="22" t="s">
        <v>10</v>
      </c>
      <c r="M9096" s="28" t="s">
        <v>51</v>
      </c>
      <c r="N9096" s="28" t="s">
        <v>51</v>
      </c>
    </row>
    <row r="9097" spans="1:14" x14ac:dyDescent="0.15">
      <c r="A9097" s="23" t="str">
        <f>HYPERLINK("https://www.spark-marketing.ru/Card/Person/813559", "ФКУ ЦИТОВ УФСИН РОССИИ ПО ЧУВАШСКОЙ РЕСПУБЛИКЕ - ЧУВАШИИ")</f>
        <v>ФКУ ЦИТОВ УФСИН РОССИИ ПО ЧУВАШСКОЙ РЕСПУБЛИКЕ - ЧУВАШИИ</v>
      </c>
      <c r="B9097" s="24" t="s">
        <v>13215</v>
      </c>
      <c r="C9097" s="25">
        <v>55000</v>
      </c>
      <c r="D9097" s="22" t="s">
        <v>13216</v>
      </c>
      <c r="E9097" s="22" t="s">
        <v>13217</v>
      </c>
      <c r="F9097" s="23" t="str">
        <f>HYPERLINK("https://www.spark-marketing.ru/Card/Lot/72569104", "Услуги")</f>
        <v>Услуги</v>
      </c>
      <c r="G9097" s="22" t="s">
        <v>618</v>
      </c>
      <c r="H9097" s="22" t="s">
        <v>2842</v>
      </c>
      <c r="I9097" s="26">
        <v>43679.496932870403</v>
      </c>
      <c r="J9097" s="28" t="s">
        <v>51</v>
      </c>
      <c r="K9097" s="28" t="s">
        <v>51</v>
      </c>
      <c r="L9097" s="28" t="s">
        <v>51</v>
      </c>
      <c r="M9097" s="28" t="s">
        <v>51</v>
      </c>
      <c r="N9097" s="28" t="s">
        <v>51</v>
      </c>
    </row>
    <row r="9098" spans="1:14" x14ac:dyDescent="0.15">
      <c r="A9098" s="23" t="str">
        <f>HYPERLINK("https://www.spark-marketing.ru/Card/Person/362516", "ОТДЕЛ МВД РОССИИ ПО КОЧЕНЕВСКОМУ РАЙОНУ")</f>
        <v>ОТДЕЛ МВД РОССИИ ПО КОЧЕНЕВСКОМУ РАЙОНУ</v>
      </c>
      <c r="B9098" s="24" t="s">
        <v>9818</v>
      </c>
      <c r="C9098" s="25">
        <v>1180000</v>
      </c>
      <c r="D9098" s="22" t="s">
        <v>13218</v>
      </c>
      <c r="E9098" s="22" t="s">
        <v>48</v>
      </c>
      <c r="F9098" s="23" t="str">
        <f>HYPERLINK("https://www.spark-marketing.ru/Card/Lot/72587065", "Услуги по приготовлению горячего питания")</f>
        <v>Услуги по приготовлению горячего питания</v>
      </c>
      <c r="G9098" s="22" t="s">
        <v>195</v>
      </c>
      <c r="H9098" s="22" t="s">
        <v>9820</v>
      </c>
      <c r="I9098" s="26">
        <v>43679.417546296303</v>
      </c>
      <c r="J9098" s="28" t="s">
        <v>51</v>
      </c>
      <c r="K9098" s="28" t="s">
        <v>51</v>
      </c>
      <c r="L9098" s="28" t="s">
        <v>51</v>
      </c>
      <c r="M9098" s="28" t="s">
        <v>51</v>
      </c>
      <c r="N9098" s="28" t="s">
        <v>51</v>
      </c>
    </row>
    <row r="9099" spans="1:14" x14ac:dyDescent="0.15">
      <c r="A9099" s="23" t="str">
        <f>HYPERLINK("https://www.spark-marketing.ru/Card/Person/145292", "МО МВД РОССИИ ""УДОМЕЛЬСКИЙ""")</f>
        <v>МО МВД РОССИИ "УДОМЕЛЬСКИЙ"</v>
      </c>
      <c r="B9099" s="24" t="s">
        <v>8390</v>
      </c>
      <c r="C9099" s="25">
        <v>439965.54</v>
      </c>
      <c r="D9099" s="22" t="s">
        <v>13219</v>
      </c>
      <c r="E9099" s="22" t="s">
        <v>48</v>
      </c>
      <c r="F9099" s="23" t="str">
        <f>HYPERLINK("https://www.spark-marketing.ru/Card/Lot/72579145", "Оказание услуг по организации горячего трехразового питания лиц, содержащихся в ИВС и КАЗ МО МВД России ""Удомельский")</f>
        <v>Оказание услуг по организации горячего трехразового питания лиц, содержащихся в ИВС и КАЗ МО МВД России "Удомельский</v>
      </c>
      <c r="G9099" s="22" t="s">
        <v>137</v>
      </c>
      <c r="H9099" s="22" t="s">
        <v>8392</v>
      </c>
      <c r="I9099" s="26">
        <v>43679.441828703697</v>
      </c>
      <c r="J9099" s="23" t="str">
        <f>HYPERLINK("https://www.spark-marketing.ru/Card/Person/273811", "АО ООП")</f>
        <v>АО ООП</v>
      </c>
      <c r="K9099" s="24" t="s">
        <v>13220</v>
      </c>
      <c r="L9099" s="22" t="s">
        <v>10</v>
      </c>
      <c r="M9099" s="28" t="s">
        <v>51</v>
      </c>
      <c r="N9099" s="28" t="s">
        <v>51</v>
      </c>
    </row>
    <row r="9100" spans="1:14" x14ac:dyDescent="0.15">
      <c r="A9100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9100" s="24" t="s">
        <v>3255</v>
      </c>
      <c r="C9100" s="25">
        <v>34492</v>
      </c>
      <c r="D9100" s="22" t="s">
        <v>13221</v>
      </c>
      <c r="E9100" s="22" t="s">
        <v>9540</v>
      </c>
      <c r="F9100" s="23" t="str">
        <f>HYPERLINK("https://www.spark-marketing.ru/Card/Lot/72566503", "Поставка лекарственного препарата для медицинского применения «Трамадол»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проду...")</f>
        <v>Поставка лекарственного препарата для медицинского применения «Трамадол»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проду...</v>
      </c>
      <c r="G9100" s="22" t="s">
        <v>210</v>
      </c>
      <c r="H9100" s="22" t="s">
        <v>3257</v>
      </c>
      <c r="I9100" s="26">
        <v>43679.426388888904</v>
      </c>
      <c r="J9100" s="28" t="s">
        <v>51</v>
      </c>
      <c r="K9100" s="28" t="s">
        <v>51</v>
      </c>
      <c r="L9100" s="28" t="s">
        <v>51</v>
      </c>
      <c r="M9100" s="28" t="s">
        <v>51</v>
      </c>
      <c r="N9100" s="28" t="s">
        <v>51</v>
      </c>
    </row>
    <row r="9101" spans="1:14" x14ac:dyDescent="0.15">
      <c r="A9101" s="23" t="str">
        <f>HYPERLINK("https://www.spark-marketing.ru/Card/Person/1762704", "МБДОУ ""ДЕТСКИЙ САД ""РОМАШКА"" С.ЧАЛМАЛЫ""")</f>
        <v>МБДОУ "ДЕТСКИЙ САД "РОМАШКА" С.ЧАЛМАЛЫ"</v>
      </c>
      <c r="B9101" s="24" t="s">
        <v>13222</v>
      </c>
      <c r="C9101" s="25">
        <v>989749.33</v>
      </c>
      <c r="D9101" s="22" t="s">
        <v>13223</v>
      </c>
      <c r="E9101" s="22" t="s">
        <v>48</v>
      </c>
      <c r="F9101" s="23" t="str">
        <f>HYPERLINK("https://www.spark-marketing.ru/Card/Lot/72568579", "Услуги по организации горячего питания в муниципальном бюджетном дошкольном образовательном учреждении «Детский сад «Ромашка» с. Чалмалы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«Ромашка» с. Чалмалы муниципального района Шаранский район РБ»</v>
      </c>
      <c r="G9101" s="22" t="s">
        <v>145</v>
      </c>
      <c r="H9101" s="22" t="s">
        <v>12518</v>
      </c>
      <c r="I9101" s="26">
        <v>43679.454976851899</v>
      </c>
      <c r="J9101" s="28" t="s">
        <v>51</v>
      </c>
      <c r="K9101" s="28" t="s">
        <v>51</v>
      </c>
      <c r="L9101" s="28" t="s">
        <v>51</v>
      </c>
      <c r="M9101" s="28" t="s">
        <v>51</v>
      </c>
      <c r="N9101" s="28" t="s">
        <v>51</v>
      </c>
    </row>
    <row r="9102" spans="1:14" ht="12.75" hidden="1" outlineLevel="1" x14ac:dyDescent="0.2">
      <c r="A9102" s="23" t="str">
        <f>HYPERLINK("https://www.spark-marketing.ru/Card/Person/1762704", "МБДОУ ""ДЕТСКИЙ САД ""РОМАШКА"" С.ЧАЛМАЛЫ""")</f>
        <v>МБДОУ "ДЕТСКИЙ САД "РОМАШКА" С.ЧАЛМАЛЫ"</v>
      </c>
      <c r="B9102" s="24" t="s">
        <v>13222</v>
      </c>
      <c r="C9102" s="25">
        <v>989749.33</v>
      </c>
      <c r="D9102" s="22" t="s">
        <v>13223</v>
      </c>
      <c r="E9102" s="22" t="s">
        <v>48</v>
      </c>
      <c r="F9102" s="23" t="str">
        <f>HYPERLINK("https://www.spark-marketing.ru/Card/Lot/72568579", "Услуги по организации горячего питания в муниципальном бюджетном дошкольном образовательном учреждении «Детский сад «Ромашка» с. Чалмалы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«Ромашка» с. Чалмалы муниципального района Шаранский район РБ»</v>
      </c>
      <c r="G9102" s="22" t="s">
        <v>145</v>
      </c>
      <c r="H9102" s="22" t="s">
        <v>12518</v>
      </c>
      <c r="I9102" s="26">
        <v>43679.454976851899</v>
      </c>
      <c r="J9102" s="23" t="str">
        <f>HYPERLINK("https://www.spark-marketing.ru/Card/Person/1089466", "Давлетова Надежда Мурзагареевна")</f>
        <v>Давлетова Надежда Мурзагареевна</v>
      </c>
      <c r="K9102" s="24" t="s">
        <v>12519</v>
      </c>
      <c r="L9102" s="22" t="s">
        <v>10</v>
      </c>
      <c r="M9102" s="25">
        <v>989749.33</v>
      </c>
      <c r="N9102" s="27">
        <v>0</v>
      </c>
    </row>
    <row r="9103" spans="1:14" hidden="1" outlineLevel="1" x14ac:dyDescent="0.2">
      <c r="A9103" s="23" t="str">
        <f>HYPERLINK("https://www.spark-marketing.ru/Card/Person/1762704", "МБДОУ ""ДЕТСКИЙ САД ""РОМАШКА"" С.ЧАЛМАЛЫ""")</f>
        <v>МБДОУ "ДЕТСКИЙ САД "РОМАШКА" С.ЧАЛМАЛЫ"</v>
      </c>
      <c r="B9103" s="24" t="s">
        <v>13222</v>
      </c>
      <c r="C9103" s="25">
        <v>989749.33</v>
      </c>
      <c r="D9103" s="22" t="s">
        <v>13223</v>
      </c>
      <c r="E9103" s="22" t="s">
        <v>48</v>
      </c>
      <c r="F9103" s="23" t="str">
        <f>HYPERLINK("https://www.spark-marketing.ru/Card/Lot/72568579", "Услуги по организации горячего питания в муниципальном бюджетном дошкольном образовательном учреждении «Детский сад «Ромашка» с. Чалмалы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«Ромашка» с. Чалмалы муниципального района Шаранский район РБ»</v>
      </c>
      <c r="G9103" s="22" t="s">
        <v>145</v>
      </c>
      <c r="H9103" s="22" t="s">
        <v>12518</v>
      </c>
      <c r="I9103" s="26">
        <v>43679.454976851899</v>
      </c>
      <c r="J9103" s="23" t="str">
        <f>HYPERLINK("https://www.spark-marketing.ru/Card/Person/145110", "ООО ""ТК ""ЗК""")</f>
        <v>ООО "ТК "ЗК"</v>
      </c>
      <c r="K9103" s="24" t="s">
        <v>5800</v>
      </c>
      <c r="L9103" s="28" t="s">
        <v>51</v>
      </c>
      <c r="M9103" s="25">
        <v>989749.33</v>
      </c>
      <c r="N9103" s="27">
        <v>0</v>
      </c>
    </row>
    <row r="9104" spans="1:14" x14ac:dyDescent="0.15">
      <c r="A9104" s="23" t="str">
        <f>HYPERLINK("https://www.spark-marketing.ru/Card/Person/1040833", "МБДОУ ""ДЕТСКИЙ САД ""БЕРЕЗКА"" С.ЗИРИКЛЫ""")</f>
        <v>МБДОУ "ДЕТСКИЙ САД "БЕРЕЗКА" С.ЗИРИКЛЫ"</v>
      </c>
      <c r="B9104" s="24" t="s">
        <v>13224</v>
      </c>
      <c r="C9104" s="25">
        <v>1205790.18</v>
      </c>
      <c r="D9104" s="22" t="s">
        <v>13225</v>
      </c>
      <c r="E9104" s="22" t="s">
        <v>48</v>
      </c>
      <c r="F9104" s="23" t="str">
        <f>HYPERLINK("https://www.spark-marketing.ru/Card/Lot/72568577", "Услуги по организации горячего питания в муниципальном бюджетном дошкольном образовательном учреждении «Детский сад «Березка» с. Зириклы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«Березка» с. Зириклы муниципального района Шаранский район РБ»</v>
      </c>
      <c r="G9104" s="22" t="s">
        <v>145</v>
      </c>
      <c r="H9104" s="22" t="s">
        <v>12518</v>
      </c>
      <c r="I9104" s="26">
        <v>43679.453854166699</v>
      </c>
      <c r="J9104" s="28" t="s">
        <v>51</v>
      </c>
      <c r="K9104" s="28" t="s">
        <v>51</v>
      </c>
      <c r="L9104" s="28" t="s">
        <v>51</v>
      </c>
      <c r="M9104" s="28" t="s">
        <v>51</v>
      </c>
      <c r="N9104" s="28" t="s">
        <v>51</v>
      </c>
    </row>
    <row r="9105" spans="1:14" ht="12.75" hidden="1" outlineLevel="1" x14ac:dyDescent="0.2">
      <c r="A9105" s="23" t="str">
        <f>HYPERLINK("https://www.spark-marketing.ru/Card/Person/1040833", "МБДОУ ""ДЕТСКИЙ САД ""БЕРЕЗКА"" С.ЗИРИКЛЫ""")</f>
        <v>МБДОУ "ДЕТСКИЙ САД "БЕРЕЗКА" С.ЗИРИКЛЫ"</v>
      </c>
      <c r="B9105" s="24" t="s">
        <v>13224</v>
      </c>
      <c r="C9105" s="25">
        <v>1205790.18</v>
      </c>
      <c r="D9105" s="22" t="s">
        <v>13225</v>
      </c>
      <c r="E9105" s="22" t="s">
        <v>48</v>
      </c>
      <c r="F9105" s="23" t="str">
        <f>HYPERLINK("https://www.spark-marketing.ru/Card/Lot/72568577", "Услуги по организации горячего питания в муниципальном бюджетном дошкольном образовательном учреждении «Детский сад «Березка» с. Зириклы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«Березка» с. Зириклы муниципального района Шаранский район РБ»</v>
      </c>
      <c r="G9105" s="22" t="s">
        <v>145</v>
      </c>
      <c r="H9105" s="22" t="s">
        <v>12518</v>
      </c>
      <c r="I9105" s="26">
        <v>43679.453854166699</v>
      </c>
      <c r="J9105" s="23" t="str">
        <f>HYPERLINK("https://www.spark-marketing.ru/Card/Person/1089466", "Давлетова Надежда Мурзагареевна")</f>
        <v>Давлетова Надежда Мурзагареевна</v>
      </c>
      <c r="K9105" s="24" t="s">
        <v>12519</v>
      </c>
      <c r="L9105" s="22" t="s">
        <v>10</v>
      </c>
      <c r="M9105" s="25">
        <v>1205790.18</v>
      </c>
      <c r="N9105" s="27">
        <v>0</v>
      </c>
    </row>
    <row r="9106" spans="1:14" hidden="1" outlineLevel="1" x14ac:dyDescent="0.2">
      <c r="A9106" s="23" t="str">
        <f>HYPERLINK("https://www.spark-marketing.ru/Card/Person/1040833", "МБДОУ ""ДЕТСКИЙ САД ""БЕРЕЗКА"" С.ЗИРИКЛЫ""")</f>
        <v>МБДОУ "ДЕТСКИЙ САД "БЕРЕЗКА" С.ЗИРИКЛЫ"</v>
      </c>
      <c r="B9106" s="24" t="s">
        <v>13224</v>
      </c>
      <c r="C9106" s="25">
        <v>1205790.18</v>
      </c>
      <c r="D9106" s="22" t="s">
        <v>13225</v>
      </c>
      <c r="E9106" s="22" t="s">
        <v>48</v>
      </c>
      <c r="F9106" s="23" t="str">
        <f>HYPERLINK("https://www.spark-marketing.ru/Card/Lot/72568577", "Услуги по организации горячего питания в муниципальном бюджетном дошкольном образовательном учреждении «Детский сад «Березка» с. Зириклы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«Березка» с. Зириклы муниципального района Шаранский район РБ»</v>
      </c>
      <c r="G9106" s="22" t="s">
        <v>145</v>
      </c>
      <c r="H9106" s="22" t="s">
        <v>12518</v>
      </c>
      <c r="I9106" s="26">
        <v>43679.453854166699</v>
      </c>
      <c r="J9106" s="23" t="str">
        <f>HYPERLINK("https://www.spark-marketing.ru/Card/Person/145110", "ООО ""ТК ""ЗК""")</f>
        <v>ООО "ТК "ЗК"</v>
      </c>
      <c r="K9106" s="24" t="s">
        <v>5800</v>
      </c>
      <c r="L9106" s="28" t="s">
        <v>51</v>
      </c>
      <c r="M9106" s="25">
        <v>1205790.18</v>
      </c>
      <c r="N9106" s="27">
        <v>0</v>
      </c>
    </row>
    <row r="9107" spans="1:14" x14ac:dyDescent="0.15">
      <c r="A9107" s="23" t="str">
        <f>HYPERLINK("https://www.spark-marketing.ru/Card/Person/145292", "МО МВД РОССИИ ""УДОМЕЛЬСКИЙ""")</f>
        <v>МО МВД РОССИИ "УДОМЕЛЬСКИЙ"</v>
      </c>
      <c r="B9107" s="24" t="s">
        <v>8390</v>
      </c>
      <c r="C9107" s="25">
        <v>439965.54</v>
      </c>
      <c r="D9107" s="22" t="s">
        <v>13226</v>
      </c>
      <c r="E9107" s="22" t="s">
        <v>48</v>
      </c>
      <c r="F9107" s="23" t="str">
        <f>HYPERLINK("https://www.spark-marketing.ru/Card/Lot/72579208", "Оказание услуг по организации горячего трехразового питания лиц, содержащихся в ИВС и КАЗ МО МВД России ""Удомельский")</f>
        <v>Оказание услуг по организации горячего трехразового питания лиц, содержащихся в ИВС и КАЗ МО МВД России "Удомельский</v>
      </c>
      <c r="G9107" s="22" t="s">
        <v>137</v>
      </c>
      <c r="H9107" s="22" t="s">
        <v>8392</v>
      </c>
      <c r="I9107" s="26">
        <v>43679.440127314803</v>
      </c>
      <c r="J9107" s="23" t="str">
        <f>HYPERLINK("https://www.spark-marketing.ru/Card/Person/273811", "АО ООП")</f>
        <v>АО ООП</v>
      </c>
      <c r="K9107" s="24" t="s">
        <v>13220</v>
      </c>
      <c r="L9107" s="22" t="s">
        <v>10</v>
      </c>
      <c r="M9107" s="28" t="s">
        <v>51</v>
      </c>
      <c r="N9107" s="28" t="s">
        <v>51</v>
      </c>
    </row>
    <row r="9108" spans="1:14" x14ac:dyDescent="0.15">
      <c r="A9108" s="23" t="str">
        <f>HYPERLINK("https://www.spark-marketing.ru/Card/Person/1067873", "МБОУ ""СШ № 25""")</f>
        <v>МБОУ "СШ № 25"</v>
      </c>
      <c r="B9108" s="24" t="s">
        <v>13227</v>
      </c>
      <c r="C9108" s="25">
        <v>1351052</v>
      </c>
      <c r="D9108" s="22" t="s">
        <v>13228</v>
      </c>
      <c r="E9108" s="22" t="s">
        <v>48</v>
      </c>
      <c r="F9108" s="23" t="str">
        <f>HYPERLINK("https://www.spark-marketing.ru/Card/Lot/72568333", "Оказание услуг по организации горячего питания и обеспечение горячим питанием учащихся МБОУ ""СШ № 25""")</f>
        <v>Оказание услуг по организации горячего питания и обеспечение горячим питанием учащихся МБОУ "СШ № 25"</v>
      </c>
      <c r="G9108" s="22" t="s">
        <v>460</v>
      </c>
      <c r="H9108" s="22" t="s">
        <v>461</v>
      </c>
      <c r="I9108" s="26">
        <v>43679.422766203701</v>
      </c>
      <c r="J9108" s="23" t="str">
        <f>HYPERLINK("https://www.spark-marketing.ru/Card/Person/836702", "МУП ""КСП""")</f>
        <v>МУП "КСП"</v>
      </c>
      <c r="K9108" s="24" t="s">
        <v>6532</v>
      </c>
      <c r="L9108" s="22" t="s">
        <v>10</v>
      </c>
      <c r="M9108" s="28" t="s">
        <v>51</v>
      </c>
      <c r="N9108" s="28" t="s">
        <v>51</v>
      </c>
    </row>
    <row r="9109" spans="1:14" ht="12.75" x14ac:dyDescent="0.2">
      <c r="A9109" s="23" t="str">
        <f>HYPERLINK("https://www.spark-marketing.ru/Card/Person/46689", "ОТДЕЛ МВД РОССИИ ПО Г. ОСИННИКИ")</f>
        <v>ОТДЕЛ МВД РОССИИ ПО Г. ОСИННИКИ</v>
      </c>
      <c r="B9109" s="24" t="s">
        <v>11113</v>
      </c>
      <c r="C9109" s="25">
        <v>420000</v>
      </c>
      <c r="D9109" s="22" t="s">
        <v>13229</v>
      </c>
      <c r="E9109" s="22" t="s">
        <v>48</v>
      </c>
      <c r="F9109" s="23" t="str">
        <f>HYPERLINK("https://www.spark-marketing.ru/Card/Lot/72568869", "питание арестованных ИВС")</f>
        <v>питание арестованных ИВС</v>
      </c>
      <c r="G9109" s="22" t="s">
        <v>304</v>
      </c>
      <c r="H9109" s="22" t="s">
        <v>11115</v>
      </c>
      <c r="I9109" s="26">
        <v>43679.520752314798</v>
      </c>
      <c r="J9109" s="23" t="str">
        <f>HYPERLINK("https://www.spark-marketing.ru/Card/Person/294981", "Гуляр Оксана Николаевна")</f>
        <v>Гуляр Оксана Николаевна</v>
      </c>
      <c r="K9109" s="24" t="s">
        <v>3896</v>
      </c>
      <c r="L9109" s="22" t="s">
        <v>10</v>
      </c>
      <c r="M9109" s="25">
        <v>420000</v>
      </c>
      <c r="N9109" s="27">
        <v>0</v>
      </c>
    </row>
    <row r="9110" spans="1:14" x14ac:dyDescent="0.15">
      <c r="A9110" s="23" t="str">
        <f>HYPERLINK("https://www.spark-marketing.ru/Card/Person/813485", "МАОУ ""ТАТАРСКО-СУГУТСКАЯ СОШ"" БАТЫРЕВСКОГО РАЙОНА ЧУВАШСКОЙ РЕСПУБЛИКИ")</f>
        <v>МАОУ "ТАТАРСКО-СУГУТСКАЯ СОШ" БАТЫРЕВСКОГО РАЙОНА ЧУВАШСКОЙ РЕСПУБЛИКИ</v>
      </c>
      <c r="B9110" s="24" t="s">
        <v>10876</v>
      </c>
      <c r="C9110" s="25">
        <v>555684</v>
      </c>
      <c r="D9110" s="22" t="s">
        <v>13230</v>
      </c>
      <c r="E9110" s="22" t="s">
        <v>48</v>
      </c>
      <c r="F9110" s="23" t="str">
        <f>HYPERLINK("https://www.spark-marketing.ru/Card/Lot/72574266", "Оказание услуг по организации питания в МБОУ ""Татарско-Сугутская СОШ"" Батыревского района Чувашской Республики")</f>
        <v>Оказание услуг по организации питания в МБОУ "Татарско-Сугутская СОШ" Батыревского района Чувашской Республики</v>
      </c>
      <c r="G9110" s="22" t="s">
        <v>618</v>
      </c>
      <c r="H9110" s="22" t="s">
        <v>10481</v>
      </c>
      <c r="I9110" s="26">
        <v>43679.4313078704</v>
      </c>
      <c r="J9110" s="28" t="s">
        <v>51</v>
      </c>
      <c r="K9110" s="28" t="s">
        <v>51</v>
      </c>
      <c r="L9110" s="28" t="s">
        <v>51</v>
      </c>
      <c r="M9110" s="28" t="s">
        <v>51</v>
      </c>
      <c r="N9110" s="28" t="s">
        <v>51</v>
      </c>
    </row>
    <row r="9111" spans="1:14" x14ac:dyDescent="0.15">
      <c r="A9111" s="23" t="str">
        <f>HYPERLINK("https://www.spark-marketing.ru/Card/Person/735412", "МБОУ ""СОШ С.БАЗГИЕВО""")</f>
        <v>МБОУ "СОШ С.БАЗГИЕВО"</v>
      </c>
      <c r="B9111" s="24" t="s">
        <v>13231</v>
      </c>
      <c r="C9111" s="25">
        <v>233261</v>
      </c>
      <c r="D9111" s="22" t="s">
        <v>13232</v>
      </c>
      <c r="E9111" s="22" t="s">
        <v>48</v>
      </c>
      <c r="F9111" s="23" t="str">
        <f>HYPERLINK("https://www.spark-marketing.ru/Card/Lot/72564804", "Услуги по организации горячего питания в муниципальном бюджетном общеобразовательном учреждении «Средняя общеобразовательная школа д. Базгиево муниципального района Шаранский район РБ")</f>
        <v>Услуги по организации горячего питания в муниципальном бюджетном общеобразовательном учреждении «Средняя общеобразовательная школа д. Базгиево муниципального района Шаранский район РБ</v>
      </c>
      <c r="G9111" s="22" t="s">
        <v>145</v>
      </c>
      <c r="H9111" s="22" t="s">
        <v>12518</v>
      </c>
      <c r="I9111" s="26">
        <v>43679.417789351799</v>
      </c>
      <c r="J9111" s="28" t="s">
        <v>51</v>
      </c>
      <c r="K9111" s="28" t="s">
        <v>51</v>
      </c>
      <c r="L9111" s="28" t="s">
        <v>51</v>
      </c>
      <c r="M9111" s="28" t="s">
        <v>51</v>
      </c>
      <c r="N9111" s="28" t="s">
        <v>51</v>
      </c>
    </row>
    <row r="9112" spans="1:14" ht="12.75" hidden="1" outlineLevel="1" x14ac:dyDescent="0.2">
      <c r="A9112" s="23" t="str">
        <f>HYPERLINK("https://www.spark-marketing.ru/Card/Person/735412", "МБОУ ""СОШ С.БАЗГИЕВО""")</f>
        <v>МБОУ "СОШ С.БАЗГИЕВО"</v>
      </c>
      <c r="B9112" s="24" t="s">
        <v>13231</v>
      </c>
      <c r="C9112" s="25">
        <v>233261</v>
      </c>
      <c r="D9112" s="22" t="s">
        <v>13232</v>
      </c>
      <c r="E9112" s="22" t="s">
        <v>48</v>
      </c>
      <c r="F9112" s="23" t="str">
        <f>HYPERLINK("https://www.spark-marketing.ru/Card/Lot/72564804", "Услуги по организации горячего питания в муниципальном бюджетном общеобразовательном учреждении «Средняя общеобразовательная школа д. Базгиево муниципального района Шаранский район РБ")</f>
        <v>Услуги по организации горячего питания в муниципальном бюджетном общеобразовательном учреждении «Средняя общеобразовательная школа д. Базгиево муниципального района Шаранский район РБ</v>
      </c>
      <c r="G9112" s="22" t="s">
        <v>145</v>
      </c>
      <c r="H9112" s="22" t="s">
        <v>12518</v>
      </c>
      <c r="I9112" s="26">
        <v>43679.417789351799</v>
      </c>
      <c r="J9112" s="23" t="str">
        <f>HYPERLINK("https://www.spark-marketing.ru/Card/Person/1089466", "Давлетова Надежда Мурзагареевна")</f>
        <v>Давлетова Надежда Мурзагареевна</v>
      </c>
      <c r="K9112" s="24" t="s">
        <v>12519</v>
      </c>
      <c r="L9112" s="22" t="s">
        <v>10</v>
      </c>
      <c r="M9112" s="25">
        <v>233261</v>
      </c>
      <c r="N9112" s="27">
        <v>0</v>
      </c>
    </row>
    <row r="9113" spans="1:14" hidden="1" outlineLevel="1" x14ac:dyDescent="0.2">
      <c r="A9113" s="23" t="str">
        <f>HYPERLINK("https://www.spark-marketing.ru/Card/Person/735412", "МБОУ ""СОШ С.БАЗГИЕВО""")</f>
        <v>МБОУ "СОШ С.БАЗГИЕВО"</v>
      </c>
      <c r="B9113" s="24" t="s">
        <v>13231</v>
      </c>
      <c r="C9113" s="25">
        <v>233261</v>
      </c>
      <c r="D9113" s="22" t="s">
        <v>13232</v>
      </c>
      <c r="E9113" s="22" t="s">
        <v>48</v>
      </c>
      <c r="F9113" s="23" t="str">
        <f>HYPERLINK("https://www.spark-marketing.ru/Card/Lot/72564804", "Услуги по организации горячего питания в муниципальном бюджетном общеобразовательном учреждении «Средняя общеобразовательная школа д. Базгиево муниципального района Шаранский район РБ")</f>
        <v>Услуги по организации горячего питания в муниципальном бюджетном общеобразовательном учреждении «Средняя общеобразовательная школа д. Базгиево муниципального района Шаранский район РБ</v>
      </c>
      <c r="G9113" s="22" t="s">
        <v>145</v>
      </c>
      <c r="H9113" s="22" t="s">
        <v>12518</v>
      </c>
      <c r="I9113" s="26">
        <v>43679.417789351799</v>
      </c>
      <c r="J9113" s="23" t="str">
        <f>HYPERLINK("https://www.spark-marketing.ru/Card/Person/145110", "ООО ""ТК ""ЗК""")</f>
        <v>ООО "ТК "ЗК"</v>
      </c>
      <c r="K9113" s="24" t="s">
        <v>5800</v>
      </c>
      <c r="L9113" s="28" t="s">
        <v>51</v>
      </c>
      <c r="M9113" s="25">
        <v>233261</v>
      </c>
      <c r="N9113" s="27">
        <v>0</v>
      </c>
    </row>
    <row r="9114" spans="1:14" x14ac:dyDescent="0.15">
      <c r="A9114" s="23" t="str">
        <f>HYPERLINK("https://www.spark-marketing.ru/Card/Person/1042763", "МБДОУ ""ДЕТСКИЙ САД ""КОЛОСОК"" С. ШАРАН""")</f>
        <v>МБДОУ "ДЕТСКИЙ САД "КОЛОСОК" С. ШАРАН"</v>
      </c>
      <c r="B9114" s="24" t="s">
        <v>13233</v>
      </c>
      <c r="C9114" s="25">
        <v>1190101.79</v>
      </c>
      <c r="D9114" s="22" t="s">
        <v>13234</v>
      </c>
      <c r="E9114" s="22" t="s">
        <v>48</v>
      </c>
      <c r="F9114" s="23" t="str">
        <f>HYPERLINK("https://www.spark-marketing.ru/Card/Lot/72568578", "Услуги по организации горячего питания в муниципальном бюджетном дошкольном образовательном учреждении «Детский сад «Колосок» с.Шаран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«Колосок» с.Шаран муниципального района Шаранский район РБ»</v>
      </c>
      <c r="G9114" s="22" t="s">
        <v>145</v>
      </c>
      <c r="H9114" s="22" t="s">
        <v>12518</v>
      </c>
      <c r="I9114" s="26">
        <v>43679.454375000001</v>
      </c>
      <c r="J9114" s="28" t="s">
        <v>51</v>
      </c>
      <c r="K9114" s="28" t="s">
        <v>51</v>
      </c>
      <c r="L9114" s="28" t="s">
        <v>51</v>
      </c>
      <c r="M9114" s="28" t="s">
        <v>51</v>
      </c>
      <c r="N9114" s="28" t="s">
        <v>51</v>
      </c>
    </row>
    <row r="9115" spans="1:14" ht="12.75" hidden="1" outlineLevel="1" x14ac:dyDescent="0.2">
      <c r="A9115" s="23" t="str">
        <f>HYPERLINK("https://www.spark-marketing.ru/Card/Person/1042763", "МБДОУ ""ДЕТСКИЙ САД ""КОЛОСОК"" С. ШАРАН""")</f>
        <v>МБДОУ "ДЕТСКИЙ САД "КОЛОСОК" С. ШАРАН"</v>
      </c>
      <c r="B9115" s="24" t="s">
        <v>13233</v>
      </c>
      <c r="C9115" s="25">
        <v>1190101.79</v>
      </c>
      <c r="D9115" s="22" t="s">
        <v>13234</v>
      </c>
      <c r="E9115" s="22" t="s">
        <v>48</v>
      </c>
      <c r="F9115" s="23" t="str">
        <f>HYPERLINK("https://www.spark-marketing.ru/Card/Lot/72568578", "Услуги по организации горячего питания в муниципальном бюджетном дошкольном образовательном учреждении «Детский сад «Колосок» с.Шаран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«Колосок» с.Шаран муниципального района Шаранский район РБ»</v>
      </c>
      <c r="G9115" s="22" t="s">
        <v>145</v>
      </c>
      <c r="H9115" s="22" t="s">
        <v>12518</v>
      </c>
      <c r="I9115" s="26">
        <v>43679.454375000001</v>
      </c>
      <c r="J9115" s="23" t="str">
        <f>HYPERLINK("https://www.spark-marketing.ru/Card/Person/1089466", "Давлетова Надежда Мурзагареевна")</f>
        <v>Давлетова Надежда Мурзагареевна</v>
      </c>
      <c r="K9115" s="24" t="s">
        <v>12519</v>
      </c>
      <c r="L9115" s="22" t="s">
        <v>10</v>
      </c>
      <c r="M9115" s="25">
        <v>1190101.79</v>
      </c>
      <c r="N9115" s="27">
        <v>0</v>
      </c>
    </row>
    <row r="9116" spans="1:14" hidden="1" outlineLevel="1" x14ac:dyDescent="0.2">
      <c r="A9116" s="23" t="str">
        <f>HYPERLINK("https://www.spark-marketing.ru/Card/Person/1042763", "МБДОУ ""ДЕТСКИЙ САД ""КОЛОСОК"" С. ШАРАН""")</f>
        <v>МБДОУ "ДЕТСКИЙ САД "КОЛОСОК" С. ШАРАН"</v>
      </c>
      <c r="B9116" s="24" t="s">
        <v>13233</v>
      </c>
      <c r="C9116" s="25">
        <v>1190101.79</v>
      </c>
      <c r="D9116" s="22" t="s">
        <v>13234</v>
      </c>
      <c r="E9116" s="22" t="s">
        <v>48</v>
      </c>
      <c r="F9116" s="23" t="str">
        <f>HYPERLINK("https://www.spark-marketing.ru/Card/Lot/72568578", "Услуги по организации горячего питания в муниципальном бюджетном дошкольном образовательном учреждении «Детский сад «Колосок» с.Шаран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«Колосок» с.Шаран муниципального района Шаранский район РБ»</v>
      </c>
      <c r="G9116" s="22" t="s">
        <v>145</v>
      </c>
      <c r="H9116" s="22" t="s">
        <v>12518</v>
      </c>
      <c r="I9116" s="26">
        <v>43679.454375000001</v>
      </c>
      <c r="J9116" s="23" t="str">
        <f>HYPERLINK("https://www.spark-marketing.ru/Card/Person/145110", "ООО ""ТК ""ЗК""")</f>
        <v>ООО "ТК "ЗК"</v>
      </c>
      <c r="K9116" s="24" t="s">
        <v>5800</v>
      </c>
      <c r="L9116" s="28" t="s">
        <v>51</v>
      </c>
      <c r="M9116" s="25">
        <v>1190101.79</v>
      </c>
      <c r="N9116" s="27">
        <v>0</v>
      </c>
    </row>
    <row r="9117" spans="1:14" x14ac:dyDescent="0.15">
      <c r="A9117" s="23" t="str">
        <f>HYPERLINK("https://www.spark-marketing.ru/Card/Person/1050416", "МБОУ ""ШКОЛА-ИНТЕРНАТ""")</f>
        <v>МБОУ "ШКОЛА-ИНТЕРНАТ"</v>
      </c>
      <c r="B9117" s="24" t="s">
        <v>13235</v>
      </c>
      <c r="C9117" s="25">
        <v>2009096</v>
      </c>
      <c r="D9117" s="22" t="s">
        <v>13236</v>
      </c>
      <c r="E9117" s="22" t="s">
        <v>96</v>
      </c>
      <c r="F9117" s="23" t="str">
        <f>HYPERLINK("https://www.spark-marketing.ru/Card/Lot/72565361", "услуги по организации питания обучающихся с дневным и круглосуточным пребыванием МБОУ «Специальная (коррекционная) общеобразовательная школа-интернат»")</f>
        <v>услуги по организации питания обучающихся с дневным и круглосуточным пребыванием МБОУ «Специальная (коррекционная) общеобразовательная школа-интернат»</v>
      </c>
      <c r="G9117" s="22" t="s">
        <v>153</v>
      </c>
      <c r="H9117" s="22" t="s">
        <v>153</v>
      </c>
      <c r="I9117" s="26">
        <v>43679.415856481501</v>
      </c>
      <c r="J9117" s="23" t="str">
        <f>HYPERLINK("https://www.spark-marketing.ru/Card/Person/2456385", "ООО ""МЕРКУРИЙ""")</f>
        <v>ООО "МЕРКУРИЙ"</v>
      </c>
      <c r="K9117" s="24" t="s">
        <v>4587</v>
      </c>
      <c r="L9117" s="28" t="s">
        <v>51</v>
      </c>
      <c r="M9117" s="28" t="s">
        <v>51</v>
      </c>
      <c r="N9117" s="28" t="s">
        <v>51</v>
      </c>
    </row>
    <row r="9118" spans="1:14" ht="12.75" hidden="1" outlineLevel="1" x14ac:dyDescent="0.2">
      <c r="A9118" s="23" t="str">
        <f>HYPERLINK("https://www.spark-marketing.ru/Card/Person/1050416", "МБОУ ""ШКОЛА-ИНТЕРНАТ""")</f>
        <v>МБОУ "ШКОЛА-ИНТЕРНАТ"</v>
      </c>
      <c r="B9118" s="24" t="s">
        <v>13235</v>
      </c>
      <c r="C9118" s="25">
        <v>2009096</v>
      </c>
      <c r="D9118" s="22" t="s">
        <v>13236</v>
      </c>
      <c r="E9118" s="22" t="s">
        <v>96</v>
      </c>
      <c r="F9118" s="23" t="str">
        <f>HYPERLINK("https://www.spark-marketing.ru/Card/Lot/72565361", "услуги по организации питания обучающихся с дневным и круглосуточным пребыванием МБОУ «Специальная (коррекционная) общеобразовательная школа-интернат»")</f>
        <v>услуги по организации питания обучающихся с дневным и круглосуточным пребыванием МБОУ «Специальная (коррекционная) общеобразовательная школа-интернат»</v>
      </c>
      <c r="G9118" s="22" t="s">
        <v>153</v>
      </c>
      <c r="H9118" s="22" t="s">
        <v>153</v>
      </c>
      <c r="I9118" s="26">
        <v>43679.415856481501</v>
      </c>
      <c r="J9118" s="23" t="str">
        <f>HYPERLINK("https://www.spark-marketing.ru/Card/Person/2456385", "ООО ""МЕРКУРИЙ""")</f>
        <v>ООО "МЕРКУРИЙ"</v>
      </c>
      <c r="K9118" s="24" t="s">
        <v>4587</v>
      </c>
      <c r="L9118" s="22" t="s">
        <v>10</v>
      </c>
      <c r="M9118" s="25">
        <v>1999050.52</v>
      </c>
      <c r="N9118" s="27">
        <v>5.0000000000000001E-3</v>
      </c>
    </row>
    <row r="9119" spans="1:14" x14ac:dyDescent="0.15">
      <c r="A9119" s="23" t="str">
        <f>HYPERLINK("https://www.spark-marketing.ru/Card/Person/253306", "ОТДЕЛЕНИЕ МВД РОССИИ ПО ЗИЛАИРСКОМУ РАЙОНУ")</f>
        <v>ОТДЕЛЕНИЕ МВД РОССИИ ПО ЗИЛАИРСКОМУ РАЙОНУ</v>
      </c>
      <c r="B9119" s="24" t="s">
        <v>13237</v>
      </c>
      <c r="C9119" s="25">
        <v>20010</v>
      </c>
      <c r="D9119" s="22" t="s">
        <v>13238</v>
      </c>
      <c r="E9119" s="22" t="s">
        <v>48</v>
      </c>
      <c r="F9119" s="23" t="str">
        <f>HYPERLINK("https://www.spark-marketing.ru/Card/Lot/72565024", "Услуги по обеспечению питанием, осуществляемые по договору, 200 усл. ед")</f>
        <v>Услуги по обеспечению питанием, осуществляемые по договору, 200 усл. ед</v>
      </c>
      <c r="G9119" s="22" t="s">
        <v>145</v>
      </c>
      <c r="H9119" s="22" t="s">
        <v>13239</v>
      </c>
      <c r="I9119" s="26">
        <v>43679.409606481502</v>
      </c>
      <c r="J9119" s="28" t="s">
        <v>51</v>
      </c>
      <c r="K9119" s="28" t="s">
        <v>51</v>
      </c>
      <c r="L9119" s="28" t="s">
        <v>51</v>
      </c>
      <c r="M9119" s="28" t="s">
        <v>51</v>
      </c>
      <c r="N9119" s="28" t="s">
        <v>51</v>
      </c>
    </row>
    <row r="9120" spans="1:14" x14ac:dyDescent="0.15">
      <c r="A9120" s="23" t="str">
        <f>HYPERLINK("https://www.spark-marketing.ru/Card/Person/531416", "ОМВД РОССИИ ПО Г. ДОНСКОМУ")</f>
        <v>ОМВД РОССИИ ПО Г. ДОНСКОМУ</v>
      </c>
      <c r="B9120" s="24" t="s">
        <v>3331</v>
      </c>
      <c r="C9120" s="25">
        <v>208000</v>
      </c>
      <c r="D9120" s="22" t="s">
        <v>13240</v>
      </c>
      <c r="E9120" s="22" t="s">
        <v>96</v>
      </c>
      <c r="F9120" s="23" t="str">
        <f>HYPERLINK("https://www.spark-marketing.ru/Card/Lot/72564882", "Оказание услуг по организации питания (приготовлению и доставке), 800 шт")</f>
        <v>Оказание услуг по организации питания (приготовлению и доставке), 800 шт</v>
      </c>
      <c r="G9120" s="22" t="s">
        <v>68</v>
      </c>
      <c r="H9120" s="22" t="s">
        <v>682</v>
      </c>
      <c r="I9120" s="26">
        <v>43679.403020833299</v>
      </c>
      <c r="J9120" s="28" t="s">
        <v>51</v>
      </c>
      <c r="K9120" s="28" t="s">
        <v>51</v>
      </c>
      <c r="L9120" s="28" t="s">
        <v>51</v>
      </c>
      <c r="M9120" s="28" t="s">
        <v>51</v>
      </c>
      <c r="N9120" s="28" t="s">
        <v>51</v>
      </c>
    </row>
    <row r="9121" spans="1:14" x14ac:dyDescent="0.15">
      <c r="A9121" s="23" t="str">
        <f>HYPERLINK("https://www.spark-marketing.ru/Card/Person/25796", "ОМВД РОССИИ ПО АБАНСКОМУ РАЙОНУ")</f>
        <v>ОМВД РОССИИ ПО АБАНСКОМУ РАЙОНУ</v>
      </c>
      <c r="B9121" s="24" t="s">
        <v>13241</v>
      </c>
      <c r="C9121" s="25">
        <v>385870.33</v>
      </c>
      <c r="D9121" s="22" t="s">
        <v>13242</v>
      </c>
      <c r="E9121" s="22" t="s">
        <v>11392</v>
      </c>
      <c r="F9121" s="23" t="str">
        <f>HYPERLINK("https://www.spark-marketing.ru/Card/Lot/72563181", "Оказание услуг по организации горячего трехразового питания лиц, содержащихся в ИВС и СПЗЛ ОМВД России по Абанскому району")</f>
        <v>Оказание услуг по организации горячего трехразового питания лиц, содержащихся в ИВС и СПЗЛ ОМВД России по Абанскому району</v>
      </c>
      <c r="G9121" s="22" t="s">
        <v>281</v>
      </c>
      <c r="H9121" s="22" t="s">
        <v>13243</v>
      </c>
      <c r="I9121" s="26">
        <v>43679.371469907397</v>
      </c>
      <c r="J9121" s="28" t="s">
        <v>51</v>
      </c>
      <c r="K9121" s="28" t="s">
        <v>51</v>
      </c>
      <c r="L9121" s="28" t="s">
        <v>51</v>
      </c>
      <c r="M9121" s="28" t="s">
        <v>51</v>
      </c>
      <c r="N9121" s="28" t="s">
        <v>51</v>
      </c>
    </row>
    <row r="9122" spans="1:14" x14ac:dyDescent="0.15">
      <c r="A9122" s="23" t="str">
        <f>HYPERLINK("https://www.spark-marketing.ru/Card/Person/25796", "ОМВД РОССИИ ПО АБАНСКОМУ РАЙОНУ")</f>
        <v>ОМВД РОССИИ ПО АБАНСКОМУ РАЙОНУ</v>
      </c>
      <c r="B9122" s="24" t="s">
        <v>13241</v>
      </c>
      <c r="C9122" s="25">
        <v>368900</v>
      </c>
      <c r="D9122" s="22" t="s">
        <v>13244</v>
      </c>
      <c r="E9122" s="22" t="s">
        <v>11392</v>
      </c>
      <c r="F9122" s="23" t="str">
        <f>HYPERLINK("https://www.spark-marketing.ru/Card/Lot/72563185", "Оказание услуг по организации горячего трехразового питания лиц, содержащихся в ИВС и СПЗЛ ОМВД России по Абанскому району")</f>
        <v>Оказание услуг по организации горячего трехразового питания лиц, содержащихся в ИВС и СПЗЛ ОМВД России по Абанскому району</v>
      </c>
      <c r="G9122" s="22" t="s">
        <v>281</v>
      </c>
      <c r="H9122" s="22" t="s">
        <v>13243</v>
      </c>
      <c r="I9122" s="26">
        <v>43679.3747337963</v>
      </c>
      <c r="J9122" s="28" t="s">
        <v>51</v>
      </c>
      <c r="K9122" s="28" t="s">
        <v>51</v>
      </c>
      <c r="L9122" s="28" t="s">
        <v>51</v>
      </c>
      <c r="M9122" s="28" t="s">
        <v>51</v>
      </c>
      <c r="N9122" s="28" t="s">
        <v>51</v>
      </c>
    </row>
    <row r="9123" spans="1:14" x14ac:dyDescent="0.15">
      <c r="A9123" s="23" t="str">
        <f>HYPERLINK("https://www.spark-marketing.ru/Card/Person/101668", "КГБУ СП ""СШОР ПО ХОККЕЮ ""АЛТАЙ""")</f>
        <v>КГБУ СП "СШОР ПО ХОККЕЮ "АЛТАЙ"</v>
      </c>
      <c r="B9123" s="24" t="s">
        <v>13245</v>
      </c>
      <c r="C9123" s="25">
        <v>372600</v>
      </c>
      <c r="D9123" s="22" t="s">
        <v>13246</v>
      </c>
      <c r="E9123" s="22" t="s">
        <v>96</v>
      </c>
      <c r="F9123" s="23" t="str">
        <f>HYPERLINK("https://www.spark-marketing.ru/Card/Lot/72562846", "Оказание услуг по организации общественного питания")</f>
        <v>Оказание услуг по организации общественного питания</v>
      </c>
      <c r="G9123" s="22" t="s">
        <v>63</v>
      </c>
      <c r="H9123" s="22" t="s">
        <v>177</v>
      </c>
      <c r="I9123" s="26">
        <v>43679.2944444444</v>
      </c>
      <c r="J9123" s="28" t="s">
        <v>51</v>
      </c>
      <c r="K9123" s="28" t="s">
        <v>51</v>
      </c>
      <c r="L9123" s="28" t="s">
        <v>51</v>
      </c>
      <c r="M9123" s="28" t="s">
        <v>51</v>
      </c>
      <c r="N9123" s="28" t="s">
        <v>51</v>
      </c>
    </row>
    <row r="9124" spans="1:14" x14ac:dyDescent="0.15">
      <c r="A9124" s="23" t="str">
        <f>HYPERLINK("https://www.spark-marketing.ru/Card/Person/5898180", "ООО РН СЕРВИС")</f>
        <v>ООО РН СЕРВИС</v>
      </c>
      <c r="B9124" s="28" t="s">
        <v>51</v>
      </c>
      <c r="C9124" s="28" t="s">
        <v>51</v>
      </c>
      <c r="D9124" s="22" t="s">
        <v>13247</v>
      </c>
      <c r="E9124" s="22" t="s">
        <v>769</v>
      </c>
      <c r="F9124" s="23" t="str">
        <f>HYPERLINK("https://www.spark-marketing.ru/Card/Lot/72563508", "«Услуги по организации питания и проживания в общежитиях, расположенных на нефтяных месторождениях им. Р.Требса и А.Титова Ненецкого автономного округа Архангельской области, инженерно-технических работников филиала ООО """"РН-Сервис"""" в г. Уфа»")</f>
        <v>«Услуги по организации питания и проживания в общежитиях, расположенных на нефтяных месторождениях им. Р.Требса и А.Титова Ненецкого автономного округа Архангельской области, инженерно-технических работников филиала ООО ""РН-Сервис"" в г. Уфа»</v>
      </c>
      <c r="G9124" s="22" t="s">
        <v>51</v>
      </c>
      <c r="H9124" s="22" t="s">
        <v>51</v>
      </c>
      <c r="I9124" s="26">
        <v>43679.302777777797</v>
      </c>
      <c r="J9124" s="28" t="s">
        <v>51</v>
      </c>
      <c r="K9124" s="28" t="s">
        <v>51</v>
      </c>
      <c r="L9124" s="28" t="s">
        <v>51</v>
      </c>
      <c r="M9124" s="28" t="s">
        <v>51</v>
      </c>
      <c r="N9124" s="28" t="s">
        <v>51</v>
      </c>
    </row>
    <row r="9125" spans="1:14" ht="12.75" x14ac:dyDescent="0.2">
      <c r="A9125" s="23" t="str">
        <f>HYPERLINK("https://www.spark-marketing.ru/Card/Person/4761681", "ПРАВИТЕЛЬСТВО САХАЛИНСКОЙ ОБЛАСТИ")</f>
        <v>ПРАВИТЕЛЬСТВО САХАЛИНСКОЙ ОБЛАСТИ</v>
      </c>
      <c r="B9125" s="24" t="s">
        <v>1903</v>
      </c>
      <c r="C9125" s="25">
        <v>500000</v>
      </c>
      <c r="D9125" s="22" t="s">
        <v>13248</v>
      </c>
      <c r="E9125" s="22" t="s">
        <v>96</v>
      </c>
      <c r="F9125" s="23" t="str">
        <f>HYPERLINK("https://www.spark-marketing.ru/Card/Lot/72563790", "Оказание услуг по организации питания участников областных и межрегиональных мероприятий: семинары, совещания, форумы, конференции, «круглые столы», мероприятия в рамках праздничных и памятных дат, юбилейных дат населенных пунктов, муниципальных обра...")</f>
        <v>Оказание услуг по организации питания участников областных и межрегиональных мероприятий: семинары, совещания, форумы, конференции, «круглые столы», мероприятия в рамках праздничных и памятных дат, юбилейных дат населенных пунктов, муниципальных обра...</v>
      </c>
      <c r="G9125" s="22" t="s">
        <v>260</v>
      </c>
      <c r="H9125" s="22" t="s">
        <v>804</v>
      </c>
      <c r="I9125" s="26">
        <v>43679.622916666704</v>
      </c>
      <c r="J9125" s="23" t="str">
        <f>HYPERLINK("https://www.spark-marketing.ru/Card/Person/797550", "Герасимов Виктор Юрьевич")</f>
        <v>Герасимов Виктор Юрьевич</v>
      </c>
      <c r="K9125" s="24" t="s">
        <v>3539</v>
      </c>
      <c r="L9125" s="22" t="s">
        <v>10</v>
      </c>
      <c r="M9125" s="25">
        <v>1890</v>
      </c>
      <c r="N9125" s="27">
        <v>0.99621999999999999</v>
      </c>
    </row>
    <row r="9126" spans="1:14" x14ac:dyDescent="0.2">
      <c r="A9126" s="23" t="str">
        <f>HYPERLINK("https://www.spark-marketing.ru/Card/Person/1024649", "МАОУ - СОШ № 2")</f>
        <v>МАОУ - СОШ № 2</v>
      </c>
      <c r="B9126" s="24" t="s">
        <v>13249</v>
      </c>
      <c r="C9126" s="25">
        <v>2324800</v>
      </c>
      <c r="D9126" s="22" t="s">
        <v>13250</v>
      </c>
      <c r="E9126" s="22" t="s">
        <v>362</v>
      </c>
      <c r="F9126" s="23" t="str">
        <f>HYPERLINK("https://www.spark-marketing.ru/Card/Lot/72575843", "Оказание услуг по организации школьного питания")</f>
        <v>Оказание услуг по организации школьного питания</v>
      </c>
      <c r="G9126" s="22" t="s">
        <v>174</v>
      </c>
      <c r="H9126" s="22" t="s">
        <v>174</v>
      </c>
      <c r="I9126" s="26">
        <v>43679</v>
      </c>
      <c r="J9126" s="28" t="s">
        <v>51</v>
      </c>
      <c r="K9126" s="28" t="s">
        <v>51</v>
      </c>
      <c r="L9126" s="22" t="s">
        <v>10</v>
      </c>
      <c r="M9126" s="25">
        <v>2324800</v>
      </c>
      <c r="N9126" s="27">
        <v>0</v>
      </c>
    </row>
    <row r="9127" spans="1:14" x14ac:dyDescent="0.15">
      <c r="A9127" s="23" t="str">
        <f>HYPERLINK("https://www.spark-marketing.ru/Card/Person/1384079", "ГАУК Г.МОСКВЫ ""ИЗМАЙЛОВСКИЙ ПКИО""")</f>
        <v>ГАУК Г.МОСКВЫ "ИЗМАЙЛОВСКИЙ ПКИО"</v>
      </c>
      <c r="B9127" s="24" t="s">
        <v>13251</v>
      </c>
      <c r="C9127" s="25">
        <v>48195</v>
      </c>
      <c r="D9127" s="22" t="s">
        <v>13252</v>
      </c>
      <c r="E9127" s="22" t="s">
        <v>52</v>
      </c>
      <c r="F9127" s="23" t="str">
        <f>HYPERLINK("https://www.spark-marketing.ru/Card/Lot/72583131", "Право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162),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162), специализация «Общественное питание»</v>
      </c>
      <c r="G9127" s="22" t="s">
        <v>56</v>
      </c>
      <c r="H9127" s="22" t="s">
        <v>56</v>
      </c>
      <c r="I9127" s="26">
        <v>43679</v>
      </c>
      <c r="J9127" s="28" t="s">
        <v>51</v>
      </c>
      <c r="K9127" s="28" t="s">
        <v>51</v>
      </c>
      <c r="L9127" s="28" t="s">
        <v>51</v>
      </c>
      <c r="M9127" s="28" t="s">
        <v>51</v>
      </c>
      <c r="N9127" s="28" t="s">
        <v>51</v>
      </c>
    </row>
    <row r="9128" spans="1:14" x14ac:dyDescent="0.15">
      <c r="A9128" s="23" t="str">
        <f>HYPERLINK("https://www.spark-marketing.ru/Card/Person/1270186", "МАУК ""ДКЗПИП""")</f>
        <v>МАУК "ДКЗПИП"</v>
      </c>
      <c r="B9128" s="24" t="s">
        <v>13253</v>
      </c>
      <c r="C9128" s="25">
        <v>360000</v>
      </c>
      <c r="D9128" s="22" t="s">
        <v>13254</v>
      </c>
      <c r="E9128" s="22" t="s">
        <v>362</v>
      </c>
      <c r="F9128" s="23" t="str">
        <f>HYPERLINK("https://www.spark-marketing.ru/Card/Lot/72572945", "Оказание услуг по организации горячего питания представителей Заказчика - участников «VI Межрегионального фольклорного фестиваля «Деревня-душа России»»")</f>
        <v>Оказание услуг по организации горячего питания представителей Заказчика - участников «VI Межрегионального фольклорного фестиваля «Деревня-душа России»»</v>
      </c>
      <c r="G9128" s="22" t="s">
        <v>503</v>
      </c>
      <c r="H9128" s="22" t="s">
        <v>503</v>
      </c>
      <c r="I9128" s="26">
        <v>43679</v>
      </c>
      <c r="J9128" s="28" t="s">
        <v>51</v>
      </c>
      <c r="K9128" s="28" t="s">
        <v>51</v>
      </c>
      <c r="L9128" s="28" t="s">
        <v>51</v>
      </c>
      <c r="M9128" s="28" t="s">
        <v>51</v>
      </c>
      <c r="N9128" s="28" t="s">
        <v>51</v>
      </c>
    </row>
    <row r="9129" spans="1:14" x14ac:dyDescent="0.15">
      <c r="A9129" s="23" t="str">
        <f>HYPERLINK("https://www.spark-marketing.ru/Card/Person/1384079", "ГАУК Г.МОСКВЫ ""ИЗМАЙЛОВСКИЙ ПКИО""")</f>
        <v>ГАУК Г.МОСКВЫ "ИЗМАЙЛОВСКИЙ ПКИО"</v>
      </c>
      <c r="B9129" s="24" t="s">
        <v>13251</v>
      </c>
      <c r="C9129" s="25">
        <v>48195</v>
      </c>
      <c r="D9129" s="22" t="s">
        <v>13255</v>
      </c>
      <c r="E9129" s="22" t="s">
        <v>52</v>
      </c>
      <c r="F9129" s="23" t="str">
        <f>HYPERLINK("https://www.spark-marketing.ru/Card/Lot/72583133", "Право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169),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169), специализация «Общественное питание»</v>
      </c>
      <c r="G9129" s="22" t="s">
        <v>56</v>
      </c>
      <c r="H9129" s="22" t="s">
        <v>56</v>
      </c>
      <c r="I9129" s="26">
        <v>43679</v>
      </c>
      <c r="J9129" s="28" t="s">
        <v>51</v>
      </c>
      <c r="K9129" s="28" t="s">
        <v>51</v>
      </c>
      <c r="L9129" s="28" t="s">
        <v>51</v>
      </c>
      <c r="M9129" s="28" t="s">
        <v>51</v>
      </c>
      <c r="N9129" s="28" t="s">
        <v>51</v>
      </c>
    </row>
    <row r="9130" spans="1:14" x14ac:dyDescent="0.2">
      <c r="A9130" s="23" t="str">
        <f>HYPERLINK("https://www.spark-marketing.ru/Card/Person/4348382", "ООО ""ГАЗПРОМ ПИТАНИЕ""")</f>
        <v>ООО "ГАЗПРОМ ПИТАНИЕ"</v>
      </c>
      <c r="B9130" s="24" t="s">
        <v>2869</v>
      </c>
      <c r="C9130" s="25">
        <v>1070030</v>
      </c>
      <c r="D9130" s="22" t="s">
        <v>13256</v>
      </c>
      <c r="E9130" s="22" t="s">
        <v>13257</v>
      </c>
      <c r="F9130" s="23" t="str">
        <f>HYPERLINK("https://www.spark-marketing.ru/Card/Lot/72577650", "Оказание услуг по проведению обязательных предварительных и периодических медицинских осмотров, гигиенического обучения и аттестации для нужд Филиала СПб УООП ООО ""Газпром питание"" в г. Санкт-Петербурге и Ленинградской области")</f>
        <v>Оказание услуг по проведению обязательных предварительных и периодических медицинских осмотров, гигиенического обучения и аттестации для нужд Филиала СПб УООП ООО "Газпром питание" в г. Санкт-Петербурге и Ленинградской области</v>
      </c>
      <c r="G9130" s="22" t="s">
        <v>56</v>
      </c>
      <c r="H9130" s="22" t="s">
        <v>56</v>
      </c>
      <c r="I9130" s="26">
        <v>43679</v>
      </c>
      <c r="J9130" s="28" t="s">
        <v>51</v>
      </c>
      <c r="K9130" s="28" t="s">
        <v>51</v>
      </c>
      <c r="L9130" s="22" t="s">
        <v>10</v>
      </c>
      <c r="M9130" s="25">
        <v>988950</v>
      </c>
      <c r="N9130" s="27">
        <v>7.5773576441782009E-2</v>
      </c>
    </row>
    <row r="9131" spans="1:14" x14ac:dyDescent="0.15">
      <c r="A9131" s="23" t="str">
        <f>HYPERLINK("https://www.spark-marketing.ru/Card/Person/1323086", "МАОУ СОШ № 11")</f>
        <v>МАОУ СОШ № 11</v>
      </c>
      <c r="B9131" s="24" t="s">
        <v>13258</v>
      </c>
      <c r="C9131" s="25">
        <v>1662500</v>
      </c>
      <c r="D9131" s="22" t="s">
        <v>13259</v>
      </c>
      <c r="E9131" s="22" t="s">
        <v>362</v>
      </c>
      <c r="F9131" s="23" t="str">
        <f>HYPERLINK("https://www.spark-marketing.ru/Card/Lot/72568422", "оказание услуг по организации питания обучающихся в МАОУ СОШ №11")</f>
        <v>оказание услуг по организации питания обучающихся в МАОУ СОШ №11</v>
      </c>
      <c r="G9131" s="22" t="s">
        <v>1370</v>
      </c>
      <c r="H9131" s="22" t="s">
        <v>1370</v>
      </c>
      <c r="I9131" s="26">
        <v>43679</v>
      </c>
      <c r="J9131" s="28" t="s">
        <v>51</v>
      </c>
      <c r="K9131" s="28" t="s">
        <v>51</v>
      </c>
      <c r="L9131" s="28" t="s">
        <v>51</v>
      </c>
      <c r="M9131" s="28" t="s">
        <v>51</v>
      </c>
      <c r="N9131" s="28" t="s">
        <v>51</v>
      </c>
    </row>
    <row r="9132" spans="1:14" x14ac:dyDescent="0.2">
      <c r="A9132" s="23" t="str">
        <f>HYPERLINK("https://www.spark-marketing.ru/Card/Person/4371339", "МАОУ ""СОШ №3""")</f>
        <v>МАОУ "СОШ №3"</v>
      </c>
      <c r="B9132" s="24" t="s">
        <v>13260</v>
      </c>
      <c r="C9132" s="25">
        <v>4858380</v>
      </c>
      <c r="D9132" s="22" t="s">
        <v>13261</v>
      </c>
      <c r="E9132" s="22" t="s">
        <v>362</v>
      </c>
      <c r="F9132" s="23" t="str">
        <f>HYPERLINK("https://www.spark-marketing.ru/Card/Lot/72569991", "Оказание услуги по организации питания обучающихся в 2019-2020уч.г. (сентябрь-декабрь 2019 г.)")</f>
        <v>Оказание услуги по организации питания обучающихся в 2019-2020уч.г. (сентябрь-декабрь 2019 г.)</v>
      </c>
      <c r="G9132" s="22" t="s">
        <v>174</v>
      </c>
      <c r="H9132" s="22" t="s">
        <v>174</v>
      </c>
      <c r="I9132" s="26">
        <v>43679</v>
      </c>
      <c r="J9132" s="28" t="s">
        <v>51</v>
      </c>
      <c r="K9132" s="28" t="s">
        <v>51</v>
      </c>
      <c r="L9132" s="22" t="s">
        <v>10</v>
      </c>
      <c r="M9132" s="25">
        <v>4858380</v>
      </c>
      <c r="N9132" s="27">
        <v>0</v>
      </c>
    </row>
    <row r="9133" spans="1:14" x14ac:dyDescent="0.2">
      <c r="A9133" s="23" t="str">
        <f>HYPERLINK("https://www.spark-marketing.ru/Card/Person/68213", "МАОУ СОШ № 8 ИМ. ГЕНЕРАЛ-ЛЕЙТЕНАНТА В.Г. АСАПОВА ГОРОДА ЮЖНО-САХАЛИНСКА")</f>
        <v>МАОУ СОШ № 8 ИМ. ГЕНЕРАЛ-ЛЕЙТЕНАНТА В.Г. АСАПОВА ГОРОДА ЮЖНО-САХАЛИНСКА</v>
      </c>
      <c r="B9133" s="24" t="s">
        <v>13262</v>
      </c>
      <c r="C9133" s="25">
        <v>4374431.7699999996</v>
      </c>
      <c r="D9133" s="22" t="s">
        <v>13263</v>
      </c>
      <c r="E9133" s="22" t="s">
        <v>580</v>
      </c>
      <c r="F9133" s="23" t="str">
        <f>HYPERLINK("https://www.spark-marketing.ru/Card/Lot/72562353", "Оказание услуг МАОУ СОШ № 8 им. генерал-лейтенанта В.Г. Асапова города Южно-Сахалинска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из...")</f>
        <v>Оказание услуг МАОУ СОШ № 8 им. генерал-лейтенанта В.Г. Асапова города Южно-Сахалинска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из...</v>
      </c>
      <c r="G9133" s="22" t="s">
        <v>260</v>
      </c>
      <c r="H9133" s="22" t="s">
        <v>260</v>
      </c>
      <c r="I9133" s="26">
        <v>43679</v>
      </c>
      <c r="J9133" s="28" t="s">
        <v>51</v>
      </c>
      <c r="K9133" s="28" t="s">
        <v>51</v>
      </c>
      <c r="L9133" s="22" t="s">
        <v>10</v>
      </c>
      <c r="M9133" s="25">
        <v>4374431.7699999996</v>
      </c>
      <c r="N9133" s="27">
        <v>0</v>
      </c>
    </row>
    <row r="9134" spans="1:14" x14ac:dyDescent="0.15">
      <c r="A9134" s="23" t="str">
        <f>HYPERLINK("https://www.spark-marketing.ru/Card/Person/430969", "АО ""ТРАНСНЕФТЬ - УРАЛ""")</f>
        <v>АО "ТРАНСНЕФТЬ - УРАЛ"</v>
      </c>
      <c r="B9134" s="24" t="s">
        <v>10591</v>
      </c>
      <c r="C9134" s="25">
        <v>4794160</v>
      </c>
      <c r="D9134" s="22" t="s">
        <v>13264</v>
      </c>
      <c r="E9134" s="22" t="s">
        <v>362</v>
      </c>
      <c r="F9134" s="23" t="str">
        <f>HYPERLINK("https://www.spark-marketing.ru/Card/Lot/72566174", "2600-M05-К-Y12-02688-2019 «Оказание услуг по организации горячего питания работников аппарата управления Курганского НУ "" (филиал АО «Транснефть-Урал»)»")</f>
        <v>2600-M05-К-Y12-02688-2019 «Оказание услуг по организации горячего питания работников аппарата управления Курганского НУ " (филиал АО «Транснефть-Урал»)»</v>
      </c>
      <c r="G9134" s="22" t="s">
        <v>145</v>
      </c>
      <c r="H9134" s="22" t="s">
        <v>436</v>
      </c>
      <c r="I9134" s="26">
        <v>43679</v>
      </c>
      <c r="J9134" s="28" t="s">
        <v>51</v>
      </c>
      <c r="K9134" s="28" t="s">
        <v>51</v>
      </c>
      <c r="L9134" s="28" t="s">
        <v>51</v>
      </c>
      <c r="M9134" s="28" t="s">
        <v>51</v>
      </c>
      <c r="N9134" s="28" t="s">
        <v>51</v>
      </c>
    </row>
    <row r="9135" spans="1:14" x14ac:dyDescent="0.15">
      <c r="A9135" s="23" t="str">
        <f>HYPERLINK("https://www.spark-marketing.ru/Card/Person/1662274", "ГАУК Г. МОСКВЫ ПКИО ""ЛИАНОЗОВСКИЙ""")</f>
        <v>ГАУК Г. МОСКВЫ ПКИО "ЛИАНОЗОВСКИЙ"</v>
      </c>
      <c r="B9135" s="24" t="s">
        <v>5715</v>
      </c>
      <c r="C9135" s="25">
        <v>136080</v>
      </c>
      <c r="D9135" s="22" t="s">
        <v>13265</v>
      </c>
      <c r="E9135" s="22" t="s">
        <v>52</v>
      </c>
      <c r="F9135" s="23" t="str">
        <f>HYPERLINK("https://www.spark-marketing.ru/Card/Lot/72583138",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Софьи Ковалевской, 14 (парк по Ангарской улице), вблизи ул. Софьи Ковалевской (НТО 7), специализа...")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Софьи Ковалевской, 14 (парк по Ангарской улице), вблизи ул. Софьи Ковалевской (НТО 7), специализа...</v>
      </c>
      <c r="G9135" s="22" t="s">
        <v>56</v>
      </c>
      <c r="H9135" s="22" t="s">
        <v>56</v>
      </c>
      <c r="I9135" s="26">
        <v>43679</v>
      </c>
      <c r="J9135" s="28" t="s">
        <v>51</v>
      </c>
      <c r="K9135" s="28" t="s">
        <v>51</v>
      </c>
      <c r="L9135" s="28" t="s">
        <v>51</v>
      </c>
      <c r="M9135" s="28" t="s">
        <v>51</v>
      </c>
      <c r="N9135" s="28" t="s">
        <v>51</v>
      </c>
    </row>
    <row r="9136" spans="1:14" x14ac:dyDescent="0.15">
      <c r="A9136" s="23" t="str">
        <f>HYPERLINK("https://www.spark-marketing.ru/Card/Person/244100", "ГУП ОРЕНБУРГСКОЙ ОБЛАСТИ ""АЭРОПОРТ ОРЕНБУРГ""")</f>
        <v>ГУП ОРЕНБУРГСКОЙ ОБЛАСТИ "АЭРОПОРТ ОРЕНБУРГ"</v>
      </c>
      <c r="B9136" s="24" t="s">
        <v>7726</v>
      </c>
      <c r="C9136" s="25">
        <v>490000</v>
      </c>
      <c r="D9136" s="22" t="s">
        <v>13266</v>
      </c>
      <c r="E9136" s="22" t="s">
        <v>362</v>
      </c>
      <c r="F9136" s="23" t="str">
        <f>HYPERLINK("https://www.spark-marketing.ru/Card/Lot/72565692", "Оказание услуг по обеспечению наземным питанием авиапассажиров и экипажей задержанных рейсов")</f>
        <v>Оказание услуг по обеспечению наземным питанием авиапассажиров и экипажей задержанных рейсов</v>
      </c>
      <c r="G9136" s="22" t="s">
        <v>132</v>
      </c>
      <c r="H9136" s="22" t="s">
        <v>132</v>
      </c>
      <c r="I9136" s="26">
        <v>43679</v>
      </c>
      <c r="J9136" s="28" t="s">
        <v>51</v>
      </c>
      <c r="K9136" s="28" t="s">
        <v>51</v>
      </c>
      <c r="L9136" s="28" t="s">
        <v>51</v>
      </c>
      <c r="M9136" s="28" t="s">
        <v>51</v>
      </c>
      <c r="N9136" s="28" t="s">
        <v>51</v>
      </c>
    </row>
    <row r="9137" spans="1:14" x14ac:dyDescent="0.2">
      <c r="A9137" s="23" t="str">
        <f>HYPERLINK("https://www.spark-marketing.ru/Card/Person/1754519", "МАОУ ""ЛИЦЕЙ № 5""")</f>
        <v>МАОУ "ЛИЦЕЙ № 5"</v>
      </c>
      <c r="B9137" s="24" t="s">
        <v>13267</v>
      </c>
      <c r="C9137" s="25">
        <v>1293201.56</v>
      </c>
      <c r="D9137" s="22" t="s">
        <v>13268</v>
      </c>
      <c r="E9137" s="22" t="s">
        <v>362</v>
      </c>
      <c r="F9137" s="23" t="str">
        <f>HYPERLINK("https://www.spark-marketing.ru/Card/Lot/72572433", "Оказаниие услуг по организации горячего питания обучающихся Муниципального автономного общеобразовательного учреждения «Лицей № 5»")</f>
        <v>Оказаниие услуг по организации горячего питания обучающихся Муниципального автономного общеобразовательного учреждения «Лицей № 5»</v>
      </c>
      <c r="G9137" s="22" t="s">
        <v>400</v>
      </c>
      <c r="H9137" s="22" t="s">
        <v>400</v>
      </c>
      <c r="I9137" s="26">
        <v>43679</v>
      </c>
      <c r="J9137" s="28" t="s">
        <v>51</v>
      </c>
      <c r="K9137" s="28" t="s">
        <v>51</v>
      </c>
      <c r="L9137" s="22" t="s">
        <v>10</v>
      </c>
      <c r="M9137" s="25">
        <v>1293201.56</v>
      </c>
      <c r="N9137" s="27">
        <v>0</v>
      </c>
    </row>
    <row r="9138" spans="1:14" x14ac:dyDescent="0.15">
      <c r="A9138" s="23" t="str">
        <f>HYPERLINK("https://www.spark-marketing.ru/Card/Person/1384079", "ГАУК Г.МОСКВЫ ""ИЗМАЙЛОВСКИЙ ПКИО""")</f>
        <v>ГАУК Г.МОСКВЫ "ИЗМАЙЛОВСКИЙ ПКИО"</v>
      </c>
      <c r="B9138" s="24" t="s">
        <v>13251</v>
      </c>
      <c r="C9138" s="25">
        <v>48195</v>
      </c>
      <c r="D9138" s="22" t="s">
        <v>13269</v>
      </c>
      <c r="E9138" s="22" t="s">
        <v>52</v>
      </c>
      <c r="F9138" s="23" t="str">
        <f>HYPERLINK("https://www.spark-marketing.ru/Card/Lot/72583128", "Право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155),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155), специализация «Общественное питание»</v>
      </c>
      <c r="G9138" s="22" t="s">
        <v>56</v>
      </c>
      <c r="H9138" s="22" t="s">
        <v>56</v>
      </c>
      <c r="I9138" s="26">
        <v>43679</v>
      </c>
      <c r="J9138" s="28" t="s">
        <v>51</v>
      </c>
      <c r="K9138" s="28" t="s">
        <v>51</v>
      </c>
      <c r="L9138" s="28" t="s">
        <v>51</v>
      </c>
      <c r="M9138" s="28" t="s">
        <v>51</v>
      </c>
      <c r="N9138" s="28" t="s">
        <v>51</v>
      </c>
    </row>
    <row r="9139" spans="1:14" x14ac:dyDescent="0.15">
      <c r="A9139" s="23" t="str">
        <f>HYPERLINK("https://www.spark-marketing.ru/Card/Person/4348382", "ООО ""ГАЗПРОМ ПИТАНИЕ""")</f>
        <v>ООО "ГАЗПРОМ ПИТАНИЕ"</v>
      </c>
      <c r="B9139" s="24" t="s">
        <v>2869</v>
      </c>
      <c r="C9139" s="25">
        <v>479980.76</v>
      </c>
      <c r="D9139" s="22" t="s">
        <v>13270</v>
      </c>
      <c r="E9139" s="22" t="s">
        <v>3561</v>
      </c>
      <c r="F9139" s="23" t="str">
        <f>HYPERLINK("https://www.spark-marketing.ru/Card/Lot/72578189", "Оказание услуг по проведению обязательных периодических медицинских осмотров(в г. Ухта) для нужд филиала ""Ухтинское Управление по организации общественного питания"" ООО ""Газпром питание""")</f>
        <v>Оказание услуг по проведению обязательных периодических медицинских осмотров(в г. Ухта) для нужд филиала "Ухтинское Управление по организации общественного питания" ООО "Газпром питание"</v>
      </c>
      <c r="G9139" s="22" t="s">
        <v>56</v>
      </c>
      <c r="H9139" s="22" t="s">
        <v>56</v>
      </c>
      <c r="I9139" s="26">
        <v>43679</v>
      </c>
      <c r="J9139" s="28" t="s">
        <v>51</v>
      </c>
      <c r="K9139" s="28" t="s">
        <v>51</v>
      </c>
      <c r="L9139" s="28" t="s">
        <v>51</v>
      </c>
      <c r="M9139" s="28" t="s">
        <v>51</v>
      </c>
      <c r="N9139" s="28" t="s">
        <v>51</v>
      </c>
    </row>
    <row r="9140" spans="1:14" x14ac:dyDescent="0.15">
      <c r="A9140" s="23" t="str">
        <f>HYPERLINK("https://www.spark-marketing.ru/Card/Person/418059", "ГКАУ ""ЦСП ПЕРМСКОГО КРАЯ""")</f>
        <v>ГКАУ "ЦСП ПЕРМСКОГО КРАЯ"</v>
      </c>
      <c r="B9140" s="24" t="s">
        <v>10611</v>
      </c>
      <c r="C9140" s="25">
        <v>102850</v>
      </c>
      <c r="D9140" s="22" t="s">
        <v>13271</v>
      </c>
      <c r="E9140" s="22" t="s">
        <v>580</v>
      </c>
      <c r="F9140" s="23" t="str">
        <f>HYPERLINK("https://www.spark-marketing.ru/Card/Lot/72563838", "Услуги по организации ежедневного горячего питания представителей Заказчика в период проведения Тренировочного мероприятия в составе сборной команды Пермского края по биатлону")</f>
        <v>Услуги по организации ежедневного горячего питания представителей Заказчика в период проведения Тренировочного мероприятия в составе сборной команды Пермского края по биатлону</v>
      </c>
      <c r="G9140" s="22" t="s">
        <v>153</v>
      </c>
      <c r="H9140" s="22" t="s">
        <v>153</v>
      </c>
      <c r="I9140" s="26">
        <v>43679</v>
      </c>
      <c r="J9140" s="28" t="s">
        <v>51</v>
      </c>
      <c r="K9140" s="28" t="s">
        <v>51</v>
      </c>
      <c r="L9140" s="28" t="s">
        <v>51</v>
      </c>
      <c r="M9140" s="28" t="s">
        <v>51</v>
      </c>
      <c r="N9140" s="28" t="s">
        <v>51</v>
      </c>
    </row>
    <row r="9141" spans="1:14" x14ac:dyDescent="0.15">
      <c r="A9141" s="23" t="str">
        <f>HYPERLINK("https://www.spark-marketing.ru/Card/Person/1384079", "ГАУК Г.МОСКВЫ ""ИЗМАЙЛОВСКИЙ ПКИО""")</f>
        <v>ГАУК Г.МОСКВЫ "ИЗМАЙЛОВСКИЙ ПКИО"</v>
      </c>
      <c r="B9141" s="24" t="s">
        <v>13251</v>
      </c>
      <c r="C9141" s="25">
        <v>34012.22</v>
      </c>
      <c r="D9141" s="22" t="s">
        <v>13272</v>
      </c>
      <c r="E9141" s="22" t="s">
        <v>52</v>
      </c>
      <c r="F9141" s="23" t="str">
        <f>HYPERLINK("https://www.spark-marketing.ru/Card/Lot/72583145", "Право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(Майская аллея, пав. Зеркальный) (НТО 59),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(Майская аллея, пав. Зеркальный) (НТО 59), специализация «Общественное питание»</v>
      </c>
      <c r="G9141" s="22" t="s">
        <v>56</v>
      </c>
      <c r="H9141" s="22" t="s">
        <v>56</v>
      </c>
      <c r="I9141" s="26">
        <v>43679</v>
      </c>
      <c r="J9141" s="28" t="s">
        <v>51</v>
      </c>
      <c r="K9141" s="28" t="s">
        <v>51</v>
      </c>
      <c r="L9141" s="28" t="s">
        <v>51</v>
      </c>
      <c r="M9141" s="28" t="s">
        <v>51</v>
      </c>
      <c r="N9141" s="28" t="s">
        <v>51</v>
      </c>
    </row>
    <row r="9142" spans="1:14" x14ac:dyDescent="0.15">
      <c r="A9142" s="23" t="str">
        <f>HYPERLINK("https://www.spark-marketing.ru/Card/Person/235130", "МАОУ ВОСТОЧНАЯ ГИМНАЗИЯ Г. ЮЖНО-САХАЛИНСКА")</f>
        <v>МАОУ ВОСТОЧНАЯ ГИМНАЗИЯ Г. ЮЖНО-САХАЛИНСКА</v>
      </c>
      <c r="B9142" s="24" t="s">
        <v>10618</v>
      </c>
      <c r="C9142" s="25">
        <v>3060839.3</v>
      </c>
      <c r="D9142" s="22" t="s">
        <v>13273</v>
      </c>
      <c r="E9142" s="22" t="s">
        <v>2217</v>
      </c>
      <c r="F9142" s="23" t="str">
        <f>HYPERLINK("https://www.spark-marketing.ru/Card/Lot/72563962", "Оказание услуг МАОУ Восточная гимназия г. Южно-Сахалинска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семе...")</f>
        <v>Оказание услуг МАОУ Восточная гимназия г. Южно-Сахалинска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семе...</v>
      </c>
      <c r="G9142" s="22" t="s">
        <v>260</v>
      </c>
      <c r="H9142" s="22" t="s">
        <v>804</v>
      </c>
      <c r="I9142" s="26">
        <v>43679</v>
      </c>
      <c r="J9142" s="28" t="s">
        <v>51</v>
      </c>
      <c r="K9142" s="28" t="s">
        <v>51</v>
      </c>
      <c r="L9142" s="22" t="s">
        <v>10</v>
      </c>
      <c r="M9142" s="28" t="s">
        <v>51</v>
      </c>
      <c r="N9142" s="28" t="s">
        <v>51</v>
      </c>
    </row>
    <row r="9143" spans="1:14" x14ac:dyDescent="0.15">
      <c r="A9143" s="23" t="str">
        <f>HYPERLINK("https://www.spark-marketing.ru/Card/Person/50743", "МП ""ДЕТСКОЕ ПИТАНИЕ""")</f>
        <v>МП "ДЕТСКОЕ ПИТАНИЕ"</v>
      </c>
      <c r="B9143" s="24" t="s">
        <v>1562</v>
      </c>
      <c r="C9143" s="25">
        <v>4678737</v>
      </c>
      <c r="D9143" s="22" t="s">
        <v>13274</v>
      </c>
      <c r="E9143" s="22" t="s">
        <v>13275</v>
      </c>
      <c r="F9143" s="23" t="str">
        <f>HYPERLINK("https://www.spark-marketing.ru/Card/Lot/72579834", "Лот №1 Поставка круп (для оказания услуг по предоставлению питания школьникам).")</f>
        <v>Лот №1 Поставка круп (для оказания услуг по предоставлению питания школьникам).</v>
      </c>
      <c r="G9143" s="22" t="s">
        <v>1522</v>
      </c>
      <c r="H9143" s="22" t="s">
        <v>1523</v>
      </c>
      <c r="I9143" s="26">
        <v>43679</v>
      </c>
      <c r="J9143" s="28" t="s">
        <v>51</v>
      </c>
      <c r="K9143" s="28" t="s">
        <v>51</v>
      </c>
      <c r="L9143" s="28" t="s">
        <v>51</v>
      </c>
      <c r="M9143" s="28" t="s">
        <v>51</v>
      </c>
      <c r="N9143" s="28" t="s">
        <v>51</v>
      </c>
    </row>
    <row r="9144" spans="1:14" x14ac:dyDescent="0.2">
      <c r="A9144" s="23" t="str">
        <f>HYPERLINK("https://www.spark-marketing.ru/Card/Person/913615", "ГАУГН")</f>
        <v>ГАУГН</v>
      </c>
      <c r="B9144" s="24" t="s">
        <v>8726</v>
      </c>
      <c r="C9144" s="25">
        <v>336600</v>
      </c>
      <c r="D9144" s="22" t="s">
        <v>13276</v>
      </c>
      <c r="E9144" s="22" t="s">
        <v>13277</v>
      </c>
      <c r="F9144" s="23" t="str">
        <f>HYPERLINK("https://www.spark-marketing.ru/Card/Lot/72581428", "Оказание услуг по размещению, проживанию и питанию участников конференции «Школа молодых ученых «Сопротивление революциям Нового времени»")</f>
        <v>Оказание услуг по размещению, проживанию и питанию участников конференции «Школа молодых ученых «Сопротивление революциям Нового времени»</v>
      </c>
      <c r="G9144" s="22" t="s">
        <v>56</v>
      </c>
      <c r="H9144" s="22" t="s">
        <v>56</v>
      </c>
      <c r="I9144" s="26">
        <v>43679</v>
      </c>
      <c r="J9144" s="28" t="s">
        <v>51</v>
      </c>
      <c r="K9144" s="28" t="s">
        <v>51</v>
      </c>
      <c r="L9144" s="22" t="s">
        <v>10</v>
      </c>
      <c r="M9144" s="25">
        <v>336600</v>
      </c>
      <c r="N9144" s="27">
        <v>0</v>
      </c>
    </row>
    <row r="9145" spans="1:14" x14ac:dyDescent="0.15">
      <c r="A9145" s="23" t="str">
        <f>HYPERLINK("https://www.spark-marketing.ru/Card/Person/4348382", "ООО ""ГАЗПРОМ ПИТАНИЕ""")</f>
        <v>ООО "ГАЗПРОМ ПИТАНИЕ"</v>
      </c>
      <c r="B9145" s="24" t="s">
        <v>2869</v>
      </c>
      <c r="C9145" s="25">
        <v>1005750</v>
      </c>
      <c r="D9145" s="22" t="s">
        <v>13278</v>
      </c>
      <c r="E9145" s="22" t="s">
        <v>3561</v>
      </c>
      <c r="F9145" s="23" t="str">
        <f>HYPERLINK("https://www.spark-marketing.ru/Card/Lot/72578174", "Оказание медицинских услуг по проведению предварительных и периодических медицинских осмотров, медицинских предрейсовых и послерейсовых осмотров, психиатрических осведетельствований для нужд филиала «Томское УООП» ООО ""Газпром питание""")</f>
        <v>Оказание медицинских услуг по проведению предварительных и периодических медицинских осмотров, медицинских предрейсовых и послерейсовых осмотров, психиатрических осведетельствований для нужд филиала «Томское УООП» ООО "Газпром питание"</v>
      </c>
      <c r="G9145" s="22" t="s">
        <v>56</v>
      </c>
      <c r="H9145" s="22" t="s">
        <v>56</v>
      </c>
      <c r="I9145" s="26">
        <v>43679</v>
      </c>
      <c r="J9145" s="28" t="s">
        <v>51</v>
      </c>
      <c r="K9145" s="28" t="s">
        <v>51</v>
      </c>
      <c r="L9145" s="28" t="s">
        <v>51</v>
      </c>
      <c r="M9145" s="28" t="s">
        <v>51</v>
      </c>
      <c r="N9145" s="28" t="s">
        <v>51</v>
      </c>
    </row>
    <row r="9146" spans="1:14" x14ac:dyDescent="0.15">
      <c r="A9146" s="23" t="str">
        <f>HYPERLINK("https://www.spark-marketing.ru/Card/Person/50743", "МП ""ДЕТСКОЕ ПИТАНИЕ""")</f>
        <v>МП "ДЕТСКОЕ ПИТАНИЕ"</v>
      </c>
      <c r="B9146" s="24" t="s">
        <v>1562</v>
      </c>
      <c r="C9146" s="25">
        <v>111516</v>
      </c>
      <c r="D9146" s="22" t="s">
        <v>13274</v>
      </c>
      <c r="E9146" s="22" t="s">
        <v>3056</v>
      </c>
      <c r="F9146" s="23" t="str">
        <f>HYPERLINK("https://www.spark-marketing.ru/Card/Lot/72579836", "Лот №3 Поставка соли (для оказания услуг по предоставлению питания школьникам).")</f>
        <v>Лот №3 Поставка соли (для оказания услуг по предоставлению питания школьникам).</v>
      </c>
      <c r="G9146" s="22" t="s">
        <v>1522</v>
      </c>
      <c r="H9146" s="22" t="s">
        <v>1523</v>
      </c>
      <c r="I9146" s="26">
        <v>43679</v>
      </c>
      <c r="J9146" s="28" t="s">
        <v>51</v>
      </c>
      <c r="K9146" s="28" t="s">
        <v>51</v>
      </c>
      <c r="L9146" s="28" t="s">
        <v>51</v>
      </c>
      <c r="M9146" s="28" t="s">
        <v>51</v>
      </c>
      <c r="N9146" s="28" t="s">
        <v>51</v>
      </c>
    </row>
    <row r="9147" spans="1:14" x14ac:dyDescent="0.2">
      <c r="A9147" s="23" t="str">
        <f>HYPERLINK("https://www.spark-marketing.ru/Card/Person/1488052", "ГАУ ""КЦСОН Г. КАРПИНСКА""")</f>
        <v>ГАУ "КЦСОН Г. КАРПИНСКА"</v>
      </c>
      <c r="B9147" s="24" t="s">
        <v>13279</v>
      </c>
      <c r="C9147" s="25">
        <v>705100</v>
      </c>
      <c r="D9147" s="22" t="s">
        <v>13280</v>
      </c>
      <c r="E9147" s="22" t="s">
        <v>580</v>
      </c>
      <c r="F9147" s="23" t="str">
        <f>HYPERLINK("https://www.spark-marketing.ru/Card/Lot/72566017", "услуги по организации горячего питания граждан пожилого возраста и инвалидов, находящихся на обслуживании в ОВП г. Карпинска с 01.09.2019 г. по 31.12.2019 г.")</f>
        <v>услуги по организации горячего питания граждан пожилого возраста и инвалидов, находящихся на обслуживании в ОВП г. Карпинска с 01.09.2019 г. по 31.12.2019 г.</v>
      </c>
      <c r="G9147" s="22" t="s">
        <v>174</v>
      </c>
      <c r="H9147" s="22" t="s">
        <v>13281</v>
      </c>
      <c r="I9147" s="26">
        <v>43679</v>
      </c>
      <c r="J9147" s="28" t="s">
        <v>51</v>
      </c>
      <c r="K9147" s="28" t="s">
        <v>51</v>
      </c>
      <c r="L9147" s="22" t="s">
        <v>10</v>
      </c>
      <c r="M9147" s="25">
        <v>705100</v>
      </c>
      <c r="N9147" s="27">
        <v>0</v>
      </c>
    </row>
    <row r="9148" spans="1:14" x14ac:dyDescent="0.15">
      <c r="A9148" s="23" t="str">
        <f>HYPERLINK("https://www.spark-marketing.ru/Card/Person/51682", "ГАУЗ ""ГКБ № 2"" Г.ОРЕНБУРГА")</f>
        <v>ГАУЗ "ГКБ № 2" Г.ОРЕНБУРГА</v>
      </c>
      <c r="B9148" s="24" t="s">
        <v>8707</v>
      </c>
      <c r="C9148" s="25">
        <v>4951266</v>
      </c>
      <c r="D9148" s="22" t="s">
        <v>13282</v>
      </c>
      <c r="E9148" s="22" t="s">
        <v>362</v>
      </c>
      <c r="F9148" s="23" t="str">
        <f>HYPERLINK("https://www.spark-marketing.ru/Card/Lot/72569993", "на оказание услуги по организации горячего питания")</f>
        <v>на оказание услуги по организации горячего питания</v>
      </c>
      <c r="G9148" s="22" t="s">
        <v>132</v>
      </c>
      <c r="H9148" s="22" t="s">
        <v>587</v>
      </c>
      <c r="I9148" s="26">
        <v>43679</v>
      </c>
      <c r="J9148" s="28" t="s">
        <v>51</v>
      </c>
      <c r="K9148" s="28" t="s">
        <v>51</v>
      </c>
      <c r="L9148" s="28" t="s">
        <v>51</v>
      </c>
      <c r="M9148" s="28" t="s">
        <v>51</v>
      </c>
      <c r="N9148" s="28" t="s">
        <v>51</v>
      </c>
    </row>
    <row r="9149" spans="1:14" x14ac:dyDescent="0.15">
      <c r="A9149" s="23" t="str">
        <f>HYPERLINK("https://www.spark-marketing.ru/Card/Person/1384079", "ГАУК Г.МОСКВЫ ""ИЗМАЙЛОВСКИЙ ПКИО""")</f>
        <v>ГАУК Г.МОСКВЫ "ИЗМАЙЛОВСКИЙ ПКИО"</v>
      </c>
      <c r="B9149" s="24" t="s">
        <v>13251</v>
      </c>
      <c r="C9149" s="25">
        <v>48195</v>
      </c>
      <c r="D9149" s="22" t="s">
        <v>13283</v>
      </c>
      <c r="E9149" s="22" t="s">
        <v>52</v>
      </c>
      <c r="F9149" s="23" t="str">
        <f>HYPERLINK("https://www.spark-marketing.ru/Card/Lot/72583132", "Право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163),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163), специализация «Общественное питание»</v>
      </c>
      <c r="G9149" s="22" t="s">
        <v>56</v>
      </c>
      <c r="H9149" s="22" t="s">
        <v>56</v>
      </c>
      <c r="I9149" s="26">
        <v>43679</v>
      </c>
      <c r="J9149" s="28" t="s">
        <v>51</v>
      </c>
      <c r="K9149" s="28" t="s">
        <v>51</v>
      </c>
      <c r="L9149" s="28" t="s">
        <v>51</v>
      </c>
      <c r="M9149" s="28" t="s">
        <v>51</v>
      </c>
      <c r="N9149" s="28" t="s">
        <v>51</v>
      </c>
    </row>
    <row r="9150" spans="1:14" x14ac:dyDescent="0.2">
      <c r="A9150" s="23" t="str">
        <f>HYPERLINK("https://www.spark-marketing.ru/Card/Person/4348382", "ООО ""ГАЗПРОМ ПИТАНИЕ""")</f>
        <v>ООО "ГАЗПРОМ ПИТАНИЕ"</v>
      </c>
      <c r="B9150" s="24" t="s">
        <v>2869</v>
      </c>
      <c r="C9150" s="25">
        <v>1885842.71</v>
      </c>
      <c r="D9150" s="22" t="s">
        <v>13284</v>
      </c>
      <c r="E9150" s="22" t="s">
        <v>13285</v>
      </c>
      <c r="F9150" s="23" t="str">
        <f>HYPERLINK("https://www.spark-marketing.ru/Card/Lot/72578142", "Оказание услуг по профилактической дератизации в предприятиях общественного питания и продовольственных складах, профилактической дезинфекции автотранспортных средств для нужд филиала «Ухтинское управление по организации общественного питания» ООО «Г...")</f>
        <v>Оказание услуг по профилактической дератизации в предприятиях общественного питания и продовольственных складах, профилактической дезинфекции автотранспортных средств для нужд филиала «Ухтинское управление по организации общественного питания» ООО «Г...</v>
      </c>
      <c r="G9150" s="22" t="s">
        <v>56</v>
      </c>
      <c r="H9150" s="22" t="s">
        <v>56</v>
      </c>
      <c r="I9150" s="26">
        <v>43679</v>
      </c>
      <c r="J9150" s="28" t="s">
        <v>51</v>
      </c>
      <c r="K9150" s="28" t="s">
        <v>51</v>
      </c>
      <c r="L9150" s="22" t="s">
        <v>10</v>
      </c>
      <c r="M9150" s="25">
        <v>1743325.5</v>
      </c>
      <c r="N9150" s="27">
        <v>7.5572161582871347E-2</v>
      </c>
    </row>
    <row r="9151" spans="1:14" x14ac:dyDescent="0.2">
      <c r="A9151" s="23" t="str">
        <f>HYPERLINK("https://www.spark-marketing.ru/Card/Person/4348382", "ООО ""ГАЗПРОМ ПИТАНИЕ""")</f>
        <v>ООО "ГАЗПРОМ ПИТАНИЕ"</v>
      </c>
      <c r="B9151" s="24" t="s">
        <v>2869</v>
      </c>
      <c r="C9151" s="25">
        <v>501603.5</v>
      </c>
      <c r="D9151" s="22" t="s">
        <v>13286</v>
      </c>
      <c r="E9151" s="22" t="s">
        <v>13287</v>
      </c>
      <c r="F9151" s="23" t="str">
        <f>HYPERLINK("https://www.spark-marketing.ru/Card/Lot/72578220", "Оказание медицинских услуг по проведению обязательных периодических медицинских осмотров для нужд ООО ""Газпром питание"" (филиал Новоуренгойское УООП) в ЯНАО в 2019г.")</f>
        <v>Оказание медицинских услуг по проведению обязательных периодических медицинских осмотров для нужд ООО "Газпром питание" (филиал Новоуренгойское УООП) в ЯНАО в 2019г.</v>
      </c>
      <c r="G9151" s="22" t="s">
        <v>56</v>
      </c>
      <c r="H9151" s="22" t="s">
        <v>56</v>
      </c>
      <c r="I9151" s="26">
        <v>43679</v>
      </c>
      <c r="J9151" s="28" t="s">
        <v>51</v>
      </c>
      <c r="K9151" s="28" t="s">
        <v>51</v>
      </c>
      <c r="L9151" s="22" t="s">
        <v>10</v>
      </c>
      <c r="M9151" s="25">
        <v>501440</v>
      </c>
      <c r="N9151" s="27">
        <v>3.2595466339449384E-4</v>
      </c>
    </row>
    <row r="9152" spans="1:14" x14ac:dyDescent="0.15">
      <c r="A9152" s="23" t="str">
        <f>HYPERLINK("https://www.spark-marketing.ru/Card/Person/6145583", "ЛГ МАУ ""СПОРТШКОЛА""")</f>
        <v>ЛГ МАУ "СПОРТШКОЛА"</v>
      </c>
      <c r="B9152" s="24" t="s">
        <v>13288</v>
      </c>
      <c r="C9152" s="25">
        <v>433635.3</v>
      </c>
      <c r="D9152" s="22" t="s">
        <v>13289</v>
      </c>
      <c r="E9152" s="22" t="s">
        <v>362</v>
      </c>
      <c r="F9152" s="23" t="str">
        <f>HYPERLINK("https://www.spark-marketing.ru/Card/Lot/72577546", "На оказание услуги питания детей и подростков в лагере с дневным пребыванием «Олимпиец» на базе ЛГ МАОУ «СОШ №1»")</f>
        <v>На оказание услуги питания детей и подростков в лагере с дневным пребыванием «Олимпиец» на базе ЛГ МАОУ «СОШ №1»</v>
      </c>
      <c r="G9152" s="22" t="s">
        <v>97</v>
      </c>
      <c r="H9152" s="22" t="s">
        <v>97</v>
      </c>
      <c r="I9152" s="26">
        <v>43679</v>
      </c>
      <c r="J9152" s="28" t="s">
        <v>51</v>
      </c>
      <c r="K9152" s="28" t="s">
        <v>51</v>
      </c>
      <c r="L9152" s="28" t="s">
        <v>51</v>
      </c>
      <c r="M9152" s="28" t="s">
        <v>51</v>
      </c>
      <c r="N9152" s="28" t="s">
        <v>51</v>
      </c>
    </row>
    <row r="9153" spans="1:14" x14ac:dyDescent="0.15">
      <c r="A9153" s="23" t="str">
        <f>HYPERLINK("https://www.spark-marketing.ru/Card/Person/1758508", "МАУ ""СШОР ""КРАСНЫЙ ЯР""")</f>
        <v>МАУ "СШОР "КРАСНЫЙ ЯР"</v>
      </c>
      <c r="B9153" s="24" t="s">
        <v>2680</v>
      </c>
      <c r="C9153" s="25">
        <v>136400</v>
      </c>
      <c r="D9153" s="22" t="s">
        <v>13290</v>
      </c>
      <c r="E9153" s="22" t="s">
        <v>362</v>
      </c>
      <c r="F9153" s="23" t="str">
        <f>HYPERLINK("https://www.spark-marketing.ru/Card/Lot/72580651", "оказание услуг по организации питания спортсменов МАУ СШОР «Красный Яр»")</f>
        <v>оказание услуг по организации питания спортсменов МАУ СШОР «Красный Яр»</v>
      </c>
      <c r="G9153" s="22" t="s">
        <v>104</v>
      </c>
      <c r="H9153" s="22" t="s">
        <v>104</v>
      </c>
      <c r="I9153" s="26">
        <v>43679</v>
      </c>
      <c r="J9153" s="28" t="s">
        <v>51</v>
      </c>
      <c r="K9153" s="28" t="s">
        <v>51</v>
      </c>
      <c r="L9153" s="28" t="s">
        <v>51</v>
      </c>
      <c r="M9153" s="28" t="s">
        <v>51</v>
      </c>
      <c r="N9153" s="28" t="s">
        <v>51</v>
      </c>
    </row>
    <row r="9154" spans="1:14" x14ac:dyDescent="0.2">
      <c r="A9154" s="23" t="str">
        <f>HYPERLINK("https://www.spark-marketing.ru/Card/Person/4434585", "МАОУ АБАТСКАЯ СОШ № 2")</f>
        <v>МАОУ АБАТСКАЯ СОШ № 2</v>
      </c>
      <c r="B9154" s="24" t="s">
        <v>13291</v>
      </c>
      <c r="C9154" s="25">
        <v>2647138</v>
      </c>
      <c r="D9154" s="22" t="s">
        <v>13292</v>
      </c>
      <c r="E9154" s="22" t="s">
        <v>362</v>
      </c>
      <c r="F9154" s="23" t="str">
        <f>HYPERLINK("https://www.spark-marketing.ru/Card/Lot/72566152", "Оказание услуг по организации горячего питания обучающихся")</f>
        <v>Оказание услуг по организации горячего питания обучающихся</v>
      </c>
      <c r="G9154" s="22" t="s">
        <v>766</v>
      </c>
      <c r="H9154" s="22" t="s">
        <v>13293</v>
      </c>
      <c r="I9154" s="26">
        <v>43679</v>
      </c>
      <c r="J9154" s="28" t="s">
        <v>51</v>
      </c>
      <c r="K9154" s="28" t="s">
        <v>51</v>
      </c>
      <c r="L9154" s="22" t="s">
        <v>10</v>
      </c>
      <c r="M9154" s="25">
        <v>2647138</v>
      </c>
      <c r="N9154" s="27">
        <v>0</v>
      </c>
    </row>
    <row r="9155" spans="1:14" x14ac:dyDescent="0.15">
      <c r="A9155" s="23" t="str">
        <f>HYPERLINK("https://www.spark-marketing.ru/Card/Person/1384079", "ГАУК Г.МОСКВЫ ""ИЗМАЙЛОВСКИЙ ПКИО""")</f>
        <v>ГАУК Г.МОСКВЫ "ИЗМАЙЛОВСКИЙ ПКИО"</v>
      </c>
      <c r="B9155" s="24" t="s">
        <v>13251</v>
      </c>
      <c r="C9155" s="25">
        <v>48195</v>
      </c>
      <c r="D9155" s="22" t="s">
        <v>13294</v>
      </c>
      <c r="E9155" s="22" t="s">
        <v>52</v>
      </c>
      <c r="F9155" s="23" t="str">
        <f>HYPERLINK("https://www.spark-marketing.ru/Card/Lot/72583129", "Право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156),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156), специализация «Общественное питание»</v>
      </c>
      <c r="G9155" s="22" t="s">
        <v>56</v>
      </c>
      <c r="H9155" s="22" t="s">
        <v>56</v>
      </c>
      <c r="I9155" s="26">
        <v>43679</v>
      </c>
      <c r="J9155" s="28" t="s">
        <v>51</v>
      </c>
      <c r="K9155" s="28" t="s">
        <v>51</v>
      </c>
      <c r="L9155" s="28" t="s">
        <v>51</v>
      </c>
      <c r="M9155" s="28" t="s">
        <v>51</v>
      </c>
      <c r="N9155" s="28" t="s">
        <v>51</v>
      </c>
    </row>
    <row r="9156" spans="1:14" x14ac:dyDescent="0.2">
      <c r="A9156" s="23" t="str">
        <f>HYPERLINK("https://www.spark-marketing.ru/Card/Person/1759758", "МАОУ ГОРЬКОВСКАЯ СОШ")</f>
        <v>МАОУ ГОРЬКОВСКАЯ СОШ</v>
      </c>
      <c r="B9156" s="24" t="s">
        <v>13295</v>
      </c>
      <c r="C9156" s="25">
        <v>1731341.2</v>
      </c>
      <c r="D9156" s="22" t="s">
        <v>13296</v>
      </c>
      <c r="E9156" s="22" t="s">
        <v>362</v>
      </c>
      <c r="F9156" s="23" t="str">
        <f>HYPERLINK("https://www.spark-marketing.ru/Card/Lot/72565839", "Оказание услуг по организации питания обучающихся")</f>
        <v>Оказание услуг по организации питания обучающихся</v>
      </c>
      <c r="G9156" s="22" t="s">
        <v>766</v>
      </c>
      <c r="H9156" s="22" t="s">
        <v>766</v>
      </c>
      <c r="I9156" s="26">
        <v>43679</v>
      </c>
      <c r="J9156" s="28" t="s">
        <v>51</v>
      </c>
      <c r="K9156" s="28" t="s">
        <v>51</v>
      </c>
      <c r="L9156" s="22" t="s">
        <v>10</v>
      </c>
      <c r="M9156" s="25">
        <v>1731341.2</v>
      </c>
      <c r="N9156" s="27">
        <v>0</v>
      </c>
    </row>
    <row r="9157" spans="1:14" x14ac:dyDescent="0.15">
      <c r="A9157" s="23" t="str">
        <f>HYPERLINK("https://www.spark-marketing.ru/Card/Person/1384079", "ГАУК Г.МОСКВЫ ""ИЗМАЙЛОВСКИЙ ПКИО""")</f>
        <v>ГАУК Г.МОСКВЫ "ИЗМАЙЛОВСКИЙ ПКИО"</v>
      </c>
      <c r="B9157" s="24" t="s">
        <v>13251</v>
      </c>
      <c r="C9157" s="25">
        <v>53865</v>
      </c>
      <c r="D9157" s="22" t="s">
        <v>13297</v>
      </c>
      <c r="E9157" s="22" t="s">
        <v>52</v>
      </c>
      <c r="F9157" s="23" t="str">
        <f>HYPERLINK("https://www.spark-marketing.ru/Card/Lot/72583124", "Право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90),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90), специализация «Общественное питание»</v>
      </c>
      <c r="G9157" s="22" t="s">
        <v>56</v>
      </c>
      <c r="H9157" s="22" t="s">
        <v>56</v>
      </c>
      <c r="I9157" s="26">
        <v>43679</v>
      </c>
      <c r="J9157" s="28" t="s">
        <v>51</v>
      </c>
      <c r="K9157" s="28" t="s">
        <v>51</v>
      </c>
      <c r="L9157" s="28" t="s">
        <v>51</v>
      </c>
      <c r="M9157" s="28" t="s">
        <v>51</v>
      </c>
      <c r="N9157" s="28" t="s">
        <v>51</v>
      </c>
    </row>
    <row r="9158" spans="1:14" x14ac:dyDescent="0.15">
      <c r="A9158" s="23" t="str">
        <f>HYPERLINK("https://www.spark-marketing.ru/Card/Person/1384079", "ГАУК Г.МОСКВЫ ""ИЗМАЙЛОВСКИЙ ПКИО""")</f>
        <v>ГАУК Г.МОСКВЫ "ИЗМАЙЛОВСКИЙ ПКИО"</v>
      </c>
      <c r="B9158" s="24" t="s">
        <v>13251</v>
      </c>
      <c r="C9158" s="25">
        <v>53865</v>
      </c>
      <c r="D9158" s="22" t="s">
        <v>13298</v>
      </c>
      <c r="E9158" s="22" t="s">
        <v>52</v>
      </c>
      <c r="F9158" s="23" t="str">
        <f>HYPERLINK("https://www.spark-marketing.ru/Card/Lot/72583127", "Право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143),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143), специализация «Общественное питание»</v>
      </c>
      <c r="G9158" s="22" t="s">
        <v>56</v>
      </c>
      <c r="H9158" s="22" t="s">
        <v>56</v>
      </c>
      <c r="I9158" s="26">
        <v>43679</v>
      </c>
      <c r="J9158" s="28" t="s">
        <v>51</v>
      </c>
      <c r="K9158" s="28" t="s">
        <v>51</v>
      </c>
      <c r="L9158" s="28" t="s">
        <v>51</v>
      </c>
      <c r="M9158" s="28" t="s">
        <v>51</v>
      </c>
      <c r="N9158" s="28" t="s">
        <v>51</v>
      </c>
    </row>
    <row r="9159" spans="1:14" x14ac:dyDescent="0.15">
      <c r="A9159" s="23" t="str">
        <f>HYPERLINK("https://www.spark-marketing.ru/Card/Person/50743", "МП ""ДЕТСКОЕ ПИТАНИЕ""")</f>
        <v>МП "ДЕТСКОЕ ПИТАНИЕ"</v>
      </c>
      <c r="B9159" s="24" t="s">
        <v>1562</v>
      </c>
      <c r="C9159" s="25">
        <v>1038224</v>
      </c>
      <c r="D9159" s="22" t="s">
        <v>13274</v>
      </c>
      <c r="E9159" s="22" t="s">
        <v>13299</v>
      </c>
      <c r="F9159" s="23" t="str">
        <f>HYPERLINK("https://www.spark-marketing.ru/Card/Lot/72579835", "Лот №2 Поставка макаронных изделий (для оказания услуг по предоставлению питания школьникам).")</f>
        <v>Лот №2 Поставка макаронных изделий (для оказания услуг по предоставлению питания школьникам).</v>
      </c>
      <c r="G9159" s="22" t="s">
        <v>1522</v>
      </c>
      <c r="H9159" s="22" t="s">
        <v>1523</v>
      </c>
      <c r="I9159" s="26">
        <v>43679</v>
      </c>
      <c r="J9159" s="28" t="s">
        <v>51</v>
      </c>
      <c r="K9159" s="28" t="s">
        <v>51</v>
      </c>
      <c r="L9159" s="28" t="s">
        <v>51</v>
      </c>
      <c r="M9159" s="28" t="s">
        <v>51</v>
      </c>
      <c r="N9159" s="28" t="s">
        <v>51</v>
      </c>
    </row>
    <row r="9160" spans="1:14" x14ac:dyDescent="0.15">
      <c r="A9160" s="23" t="str">
        <f>HYPERLINK("https://www.spark-marketing.ru/Card/Person/1384079", "ГАУК Г.МОСКВЫ ""ИЗМАЙЛОВСКИЙ ПКИО""")</f>
        <v>ГАУК Г.МОСКВЫ "ИЗМАЙЛОВСКИЙ ПКИО"</v>
      </c>
      <c r="B9160" s="24" t="s">
        <v>13251</v>
      </c>
      <c r="C9160" s="25">
        <v>48195</v>
      </c>
      <c r="D9160" s="22" t="s">
        <v>13300</v>
      </c>
      <c r="E9160" s="22" t="s">
        <v>52</v>
      </c>
      <c r="F9160" s="23" t="str">
        <f>HYPERLINK("https://www.spark-marketing.ru/Card/Lot/72583130", "Право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157),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157), специализация «Общественное питание»</v>
      </c>
      <c r="G9160" s="22" t="s">
        <v>56</v>
      </c>
      <c r="H9160" s="22" t="s">
        <v>56</v>
      </c>
      <c r="I9160" s="26">
        <v>43679</v>
      </c>
      <c r="J9160" s="28" t="s">
        <v>51</v>
      </c>
      <c r="K9160" s="28" t="s">
        <v>51</v>
      </c>
      <c r="L9160" s="28" t="s">
        <v>51</v>
      </c>
      <c r="M9160" s="28" t="s">
        <v>51</v>
      </c>
      <c r="N9160" s="28" t="s">
        <v>51</v>
      </c>
    </row>
    <row r="9161" spans="1:14" x14ac:dyDescent="0.15">
      <c r="A9161" s="23" t="str">
        <f>HYPERLINK("https://www.spark-marketing.ru/Card/Person/1384079", "ГАУК Г.МОСКВЫ ""ИЗМАЙЛОВСКИЙ ПКИО""")</f>
        <v>ГАУК Г.МОСКВЫ "ИЗМАЙЛОВСКИЙ ПКИО"</v>
      </c>
      <c r="B9161" s="24" t="s">
        <v>13251</v>
      </c>
      <c r="C9161" s="25">
        <v>52500</v>
      </c>
      <c r="D9161" s="22" t="s">
        <v>13301</v>
      </c>
      <c r="E9161" s="22" t="s">
        <v>52</v>
      </c>
      <c r="F9161" s="23" t="str">
        <f>HYPERLINK("https://www.spark-marketing.ru/Card/Lot/72583144", "Право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(пл. МКО) (НТО 22),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(пл. МКО) (НТО 22), специализация «Общественное питание»</v>
      </c>
      <c r="G9161" s="22" t="s">
        <v>56</v>
      </c>
      <c r="H9161" s="22" t="s">
        <v>56</v>
      </c>
      <c r="I9161" s="26">
        <v>43679</v>
      </c>
      <c r="J9161" s="28" t="s">
        <v>51</v>
      </c>
      <c r="K9161" s="28" t="s">
        <v>51</v>
      </c>
      <c r="L9161" s="28" t="s">
        <v>51</v>
      </c>
      <c r="M9161" s="28" t="s">
        <v>51</v>
      </c>
      <c r="N9161" s="28" t="s">
        <v>51</v>
      </c>
    </row>
    <row r="9162" spans="1:14" x14ac:dyDescent="0.15">
      <c r="A9162" s="23" t="str">
        <f>HYPERLINK("https://www.spark-marketing.ru/Card/Person/1384079", "ГАУК Г.МОСКВЫ ""ИЗМАЙЛОВСКИЙ ПКИО""")</f>
        <v>ГАУК Г.МОСКВЫ "ИЗМАЙЛОВСКИЙ ПКИО"</v>
      </c>
      <c r="B9162" s="24" t="s">
        <v>13251</v>
      </c>
      <c r="C9162" s="25">
        <v>49955.45</v>
      </c>
      <c r="D9162" s="22" t="s">
        <v>13302</v>
      </c>
      <c r="E9162" s="22" t="s">
        <v>52</v>
      </c>
      <c r="F9162" s="23" t="str">
        <f>HYPERLINK("https://www.spark-marketing.ru/Card/Lot/72583125", "Право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(Партизанский вход, сквер) (НТО 96),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(Партизанский вход, сквер) (НТО 96), специализация «Общественное питание»</v>
      </c>
      <c r="G9162" s="22" t="s">
        <v>56</v>
      </c>
      <c r="H9162" s="22" t="s">
        <v>56</v>
      </c>
      <c r="I9162" s="26">
        <v>43679</v>
      </c>
      <c r="J9162" s="28" t="s">
        <v>51</v>
      </c>
      <c r="K9162" s="28" t="s">
        <v>51</v>
      </c>
      <c r="L9162" s="28" t="s">
        <v>51</v>
      </c>
      <c r="M9162" s="28" t="s">
        <v>51</v>
      </c>
      <c r="N9162" s="28" t="s">
        <v>51</v>
      </c>
    </row>
    <row r="9163" spans="1:14" x14ac:dyDescent="0.15">
      <c r="A9163" s="23" t="str">
        <f>HYPERLINK("https://www.spark-marketing.ru/Card/Person/17729", "МАРИИНСКИЙ ТЕАТР")</f>
        <v>МАРИИНСКИЙ ТЕАТР</v>
      </c>
      <c r="B9163" s="24" t="s">
        <v>13303</v>
      </c>
      <c r="C9163" s="25">
        <v>200000</v>
      </c>
      <c r="D9163" s="22" t="s">
        <v>13304</v>
      </c>
      <c r="E9163" s="22" t="s">
        <v>562</v>
      </c>
      <c r="F9163" s="23" t="str">
        <f>HYPERLINK("https://www.spark-marketing.ru/Card/Lot/72560892", "Оказание услуг по организации питания артистов и сотрудников Китайского филармонического оркестра в рамках IV Международного Дальневосточного фестиваля «Мариинский» Владивосток в период с 03.08.19. по 07.08.19г. включительно")</f>
        <v>Оказание услуг по организации питания артистов и сотрудников Китайского филармонического оркестра в рамках IV Международного Дальневосточного фестиваля «Мариинский» Владивосток в период с 03.08.19. по 07.08.19г. включительно</v>
      </c>
      <c r="G9163" s="22" t="s">
        <v>543</v>
      </c>
      <c r="H9163" s="22" t="s">
        <v>543</v>
      </c>
      <c r="I9163" s="26">
        <v>43679</v>
      </c>
      <c r="J9163" s="28" t="s">
        <v>51</v>
      </c>
      <c r="K9163" s="28" t="s">
        <v>51</v>
      </c>
      <c r="L9163" s="28" t="s">
        <v>51</v>
      </c>
      <c r="M9163" s="28" t="s">
        <v>51</v>
      </c>
      <c r="N9163" s="28" t="s">
        <v>51</v>
      </c>
    </row>
    <row r="9164" spans="1:14" x14ac:dyDescent="0.15">
      <c r="A9164" s="23" t="str">
        <f>HYPERLINK("https://www.spark-marketing.ru/Card/Person/971733", "КГАУК ""ЦКС""")</f>
        <v>КГАУК "ЦКС"</v>
      </c>
      <c r="B9164" s="24" t="s">
        <v>9832</v>
      </c>
      <c r="C9164" s="25">
        <v>176750</v>
      </c>
      <c r="D9164" s="22" t="s">
        <v>13305</v>
      </c>
      <c r="E9164" s="22" t="s">
        <v>4655</v>
      </c>
      <c r="F9164" s="23" t="str">
        <f>HYPERLINK("https://www.spark-marketing.ru/Card/Lot/72570089", "Услуги по организации питания (завтрак, обед и ужин) в рамках организации и проведения празднования 400-летия города Енисейска")</f>
        <v>Услуги по организации питания (завтрак, обед и ужин) в рамках организации и проведения празднования 400-летия города Енисейска</v>
      </c>
      <c r="G9164" s="22" t="s">
        <v>281</v>
      </c>
      <c r="H9164" s="22" t="s">
        <v>281</v>
      </c>
      <c r="I9164" s="26">
        <v>43679</v>
      </c>
      <c r="J9164" s="28" t="s">
        <v>51</v>
      </c>
      <c r="K9164" s="28" t="s">
        <v>51</v>
      </c>
      <c r="L9164" s="28" t="s">
        <v>51</v>
      </c>
      <c r="M9164" s="28" t="s">
        <v>51</v>
      </c>
      <c r="N9164" s="28" t="s">
        <v>51</v>
      </c>
    </row>
    <row r="9165" spans="1:14" x14ac:dyDescent="0.2">
      <c r="A9165" s="23" t="str">
        <f>HYPERLINK("https://www.spark-marketing.ru/Card/Person/1752222", "СПБ ГАУ ""ЦЕНТР ПОДГОТОВКИ""")</f>
        <v>СПБ ГАУ "ЦЕНТР ПОДГОТОВКИ"</v>
      </c>
      <c r="B9165" s="24" t="s">
        <v>9583</v>
      </c>
      <c r="C9165" s="25">
        <v>1055700</v>
      </c>
      <c r="D9165" s="22" t="s">
        <v>13306</v>
      </c>
      <c r="E9165" s="22" t="s">
        <v>9585</v>
      </c>
      <c r="F9165" s="23" t="str">
        <f>HYPERLINK("https://www.spark-marketing.ru/Card/Lot/72578175", "Оказание услуг по организации проживания и питания для членов спортивной сборной команды Санкт-Петербурга по велосипедному спорту (маунтинбайк) на тренировочном мероприятии, чемпионате, первенстве и Кубке России, всероссийских соревнованиях")</f>
        <v>Оказание услуг по организации проживания и питания для членов спортивной сборной команды Санкт-Петербурга по велосипедному спорту (маунтинбайк) на тренировочном мероприятии, чемпионате, первенстве и Кубке России, всероссийских соревнованиях</v>
      </c>
      <c r="G9165" s="22" t="s">
        <v>104</v>
      </c>
      <c r="H9165" s="22" t="s">
        <v>104</v>
      </c>
      <c r="I9165" s="26">
        <v>43679</v>
      </c>
      <c r="J9165" s="28" t="s">
        <v>51</v>
      </c>
      <c r="K9165" s="28" t="s">
        <v>51</v>
      </c>
      <c r="L9165" s="22" t="s">
        <v>10</v>
      </c>
      <c r="M9165" s="25">
        <v>1055700</v>
      </c>
      <c r="N9165" s="27">
        <v>0</v>
      </c>
    </row>
    <row r="9166" spans="1:14" x14ac:dyDescent="0.15">
      <c r="A9166" s="23" t="str">
        <f>HYPERLINK("https://www.spark-marketing.ru/Card/Person/22935", "КБГУ, КАБАРДИНО-БАЛКАРСКИЙ ГОСУДАРСТВЕННЫЙ УНИВЕРСИТЕТ ИМ. Х. М. БЕРБЕКОВА")</f>
        <v>КБГУ, КАБАРДИНО-БАЛКАРСКИЙ ГОСУДАРСТВЕННЫЙ УНИВЕРСИТЕТ ИМ. Х. М. БЕРБЕКОВА</v>
      </c>
      <c r="B9166" s="24" t="s">
        <v>1200</v>
      </c>
      <c r="C9166" s="25">
        <v>710600</v>
      </c>
      <c r="D9166" s="22" t="s">
        <v>13307</v>
      </c>
      <c r="E9166" s="22" t="s">
        <v>362</v>
      </c>
      <c r="F9166" s="23" t="str">
        <f>HYPERLINK("https://www.spark-marketing.ru/Card/Lot/72572410", "Услуги по организации питания")</f>
        <v>Услуги по организации питания</v>
      </c>
      <c r="G9166" s="22" t="s">
        <v>986</v>
      </c>
      <c r="H9166" s="22" t="s">
        <v>986</v>
      </c>
      <c r="I9166" s="26">
        <v>43679</v>
      </c>
      <c r="J9166" s="28" t="s">
        <v>51</v>
      </c>
      <c r="K9166" s="28" t="s">
        <v>51</v>
      </c>
      <c r="L9166" s="28" t="s">
        <v>51</v>
      </c>
      <c r="M9166" s="28" t="s">
        <v>51</v>
      </c>
      <c r="N9166" s="28" t="s">
        <v>51</v>
      </c>
    </row>
    <row r="9167" spans="1:14" x14ac:dyDescent="0.15">
      <c r="A9167" s="23" t="str">
        <f>HYPERLINK("https://www.spark-marketing.ru/Card/Person/1758508", "МАУ ""СШОР ""КРАСНЫЙ ЯР""")</f>
        <v>МАУ "СШОР "КРАСНЫЙ ЯР"</v>
      </c>
      <c r="B9167" s="24" t="s">
        <v>2680</v>
      </c>
      <c r="C9167" s="25">
        <v>156600</v>
      </c>
      <c r="D9167" s="22" t="s">
        <v>13308</v>
      </c>
      <c r="E9167" s="22" t="s">
        <v>2682</v>
      </c>
      <c r="F9167" s="23" t="str">
        <f>HYPERLINK("https://www.spark-marketing.ru/Card/Lot/72580653", "Оказание услуг по организации проживания и питания спортсменов и тренерского состава МАУ ""СШОР ""Красный Яр""")</f>
        <v>Оказание услуг по организации проживания и питания спортсменов и тренерского состава МАУ "СШОР "Красный Яр"</v>
      </c>
      <c r="G9167" s="22" t="s">
        <v>162</v>
      </c>
      <c r="H9167" s="22" t="s">
        <v>162</v>
      </c>
      <c r="I9167" s="26">
        <v>43679</v>
      </c>
      <c r="J9167" s="28" t="s">
        <v>51</v>
      </c>
      <c r="K9167" s="28" t="s">
        <v>51</v>
      </c>
      <c r="L9167" s="28" t="s">
        <v>51</v>
      </c>
      <c r="M9167" s="28" t="s">
        <v>51</v>
      </c>
      <c r="N9167" s="28" t="s">
        <v>51</v>
      </c>
    </row>
    <row r="9168" spans="1:14" x14ac:dyDescent="0.2">
      <c r="A9168" s="23" t="str">
        <f>HYPERLINK("https://www.spark-marketing.ru/Card/Person/84348", "АО ""КУМАПП""")</f>
        <v>АО "КУМАПП"</v>
      </c>
      <c r="B9168" s="24" t="s">
        <v>13309</v>
      </c>
      <c r="C9168" s="25">
        <v>80110121.319999993</v>
      </c>
      <c r="D9168" s="22" t="s">
        <v>13310</v>
      </c>
      <c r="E9168" s="22" t="s">
        <v>362</v>
      </c>
      <c r="F9168" s="23" t="str">
        <f>HYPERLINK("https://www.spark-marketing.ru/Card/Lot/72577612", "1617-2019-97023. Оказание услуг по обеспечению работников Заказчика, занятых во вредном производстве лечебно-профилактическим питанием (ЛПП), по выдаче молочной продукции, минеральной воды и соков, приему и обслуживанию делегаций, организации фуршетн...")</f>
        <v>1617-2019-97023. Оказание услуг по обеспечению работников Заказчика, занятых во вредном производстве лечебно-профилактическим питанием (ЛПП), по выдаче молочной продукции, минеральной воды и соков, приему и обслуживанию делегаций, организации фуршетн...</v>
      </c>
      <c r="G9168" s="22" t="s">
        <v>145</v>
      </c>
      <c r="H9168" s="22" t="s">
        <v>13311</v>
      </c>
      <c r="I9168" s="26">
        <v>43679</v>
      </c>
      <c r="J9168" s="28" t="s">
        <v>51</v>
      </c>
      <c r="K9168" s="28" t="s">
        <v>51</v>
      </c>
      <c r="L9168" s="28" t="s">
        <v>51</v>
      </c>
      <c r="M9168" s="25">
        <v>10674.42</v>
      </c>
      <c r="N9168" s="27">
        <v>0.99986675316646489</v>
      </c>
    </row>
    <row r="9169" spans="1:14" x14ac:dyDescent="0.2">
      <c r="A9169" s="23" t="str">
        <f>HYPERLINK("https://www.spark-marketing.ru/Card/Person/4860083", "ГАПОУ ПО ПКСТПБ")</f>
        <v>ГАПОУ ПО ПКСТПБ</v>
      </c>
      <c r="B9169" s="24" t="s">
        <v>427</v>
      </c>
      <c r="C9169" s="25">
        <v>1100202</v>
      </c>
      <c r="D9169" s="22" t="s">
        <v>13312</v>
      </c>
      <c r="E9169" s="22" t="s">
        <v>362</v>
      </c>
      <c r="F9169" s="23" t="str">
        <f>HYPERLINK("https://www.spark-marketing.ru/Card/Lot/72570540", "оказание услуг по организации горячего питания для обучающихся в ГАПОУ ПО ПКСТПБ в сентябре - октябре 2019 года")</f>
        <v>оказание услуг по организации горячего питания для обучающихся в ГАПОУ ПО ПКСТПБ в сентябре - октябре 2019 года</v>
      </c>
      <c r="G9169" s="22" t="s">
        <v>72</v>
      </c>
      <c r="H9169" s="22" t="s">
        <v>72</v>
      </c>
      <c r="I9169" s="26">
        <v>43679</v>
      </c>
      <c r="J9169" s="28" t="s">
        <v>51</v>
      </c>
      <c r="K9169" s="28" t="s">
        <v>51</v>
      </c>
      <c r="L9169" s="22" t="s">
        <v>10</v>
      </c>
      <c r="M9169" s="25">
        <v>1100202</v>
      </c>
      <c r="N9169" s="27">
        <v>0</v>
      </c>
    </row>
    <row r="9170" spans="1:14" x14ac:dyDescent="0.15">
      <c r="A9170" s="23" t="str">
        <f>HYPERLINK("https://www.spark-marketing.ru/Card/Person/1759650", "МАУ ""ЦПСМ Г.ТОБОЛЬСКА""")</f>
        <v>МАУ "ЦПСМ Г.ТОБОЛЬСКА"</v>
      </c>
      <c r="B9170" s="24" t="s">
        <v>13313</v>
      </c>
      <c r="C9170" s="25">
        <v>302400</v>
      </c>
      <c r="D9170" s="22" t="s">
        <v>13314</v>
      </c>
      <c r="E9170" s="22" t="s">
        <v>362</v>
      </c>
      <c r="F9170" s="23" t="str">
        <f>HYPERLINK("https://www.spark-marketing.ru/Card/Lot/72570485", "на оказание услуг по обеспечению питания сборной команды города Тобольска по футболу во время проведения тренировочных мероприятий.")</f>
        <v>на оказание услуг по обеспечению питания сборной команды города Тобольска по футболу во время проведения тренировочных мероприятий.</v>
      </c>
      <c r="G9170" s="22" t="s">
        <v>766</v>
      </c>
      <c r="H9170" s="22" t="s">
        <v>766</v>
      </c>
      <c r="I9170" s="26">
        <v>43679</v>
      </c>
      <c r="J9170" s="28" t="s">
        <v>51</v>
      </c>
      <c r="K9170" s="28" t="s">
        <v>51</v>
      </c>
      <c r="L9170" s="28" t="s">
        <v>51</v>
      </c>
      <c r="M9170" s="28" t="s">
        <v>51</v>
      </c>
      <c r="N9170" s="28" t="s">
        <v>51</v>
      </c>
    </row>
    <row r="9171" spans="1:14" x14ac:dyDescent="0.15">
      <c r="A9171" s="23" t="str">
        <f>HYPERLINK("https://www.spark-marketing.ru/Card/Person/4348382", "ООО ""ГАЗПРОМ ПИТАНИЕ""")</f>
        <v>ООО "ГАЗПРОМ ПИТАНИЕ"</v>
      </c>
      <c r="B9171" s="24" t="s">
        <v>2869</v>
      </c>
      <c r="C9171" s="25">
        <v>595149.93000000005</v>
      </c>
      <c r="D9171" s="22" t="s">
        <v>13315</v>
      </c>
      <c r="E9171" s="22" t="s">
        <v>3561</v>
      </c>
      <c r="F9171" s="23" t="str">
        <f>HYPERLINK("https://www.spark-marketing.ru/Card/Lot/72578235", "Оказание медицинских услуг по проведению обязательных периодических медицинских осмотров работающих сотрудников для нужд филиала «Надымское УООП» ООО «Газпром питание»")</f>
        <v>Оказание медицинских услуг по проведению обязательных периодических медицинских осмотров работающих сотрудников для нужд филиала «Надымское УООП» ООО «Газпром питание»</v>
      </c>
      <c r="G9171" s="22" t="s">
        <v>56</v>
      </c>
      <c r="H9171" s="22" t="s">
        <v>56</v>
      </c>
      <c r="I9171" s="26">
        <v>43679</v>
      </c>
      <c r="J9171" s="28" t="s">
        <v>51</v>
      </c>
      <c r="K9171" s="28" t="s">
        <v>51</v>
      </c>
      <c r="L9171" s="28" t="s">
        <v>51</v>
      </c>
      <c r="M9171" s="28" t="s">
        <v>51</v>
      </c>
      <c r="N9171" s="28" t="s">
        <v>51</v>
      </c>
    </row>
    <row r="9172" spans="1:14" x14ac:dyDescent="0.15">
      <c r="A9172" s="23" t="str">
        <f>HYPERLINK("https://www.spark-marketing.ru/Card/Person/1758755", "ООО ""ААУК""")</f>
        <v>ООО "ААУК"</v>
      </c>
      <c r="B9172" s="24" t="s">
        <v>7222</v>
      </c>
      <c r="C9172" s="25">
        <v>306900</v>
      </c>
      <c r="D9172" s="22" t="s">
        <v>13316</v>
      </c>
      <c r="E9172" s="22" t="s">
        <v>5515</v>
      </c>
      <c r="F9172" s="23" t="str">
        <f>HYPERLINK("https://www.spark-marketing.ru/Card/Lot/72581271", "Закупка услуг по организации и проведению информационно - консультационных семинаров на темы: «ЗОЖ: мифы и реальность», «Зарядка для спины» и «Правильное питание: индивидуальный подход»")</f>
        <v>Закупка услуг по организации и проведению информационно - консультационных семинаров на темы: «ЗОЖ: мифы и реальность», «Зарядка для спины» и «Правильное питание: индивидуальный подход»</v>
      </c>
      <c r="G9172" s="22" t="s">
        <v>56</v>
      </c>
      <c r="H9172" s="22" t="s">
        <v>56</v>
      </c>
      <c r="I9172" s="26">
        <v>43679</v>
      </c>
      <c r="J9172" s="28" t="s">
        <v>51</v>
      </c>
      <c r="K9172" s="28" t="s">
        <v>51</v>
      </c>
      <c r="L9172" s="28" t="s">
        <v>51</v>
      </c>
      <c r="M9172" s="28" t="s">
        <v>51</v>
      </c>
      <c r="N9172" s="28" t="s">
        <v>51</v>
      </c>
    </row>
    <row r="9173" spans="1:14" x14ac:dyDescent="0.15">
      <c r="A9173" s="23" t="str">
        <f>HYPERLINK("https://www.spark-marketing.ru/Card/Person/50743", "МП ""ДЕТСКОЕ ПИТАНИЕ""")</f>
        <v>МП "ДЕТСКОЕ ПИТАНИЕ"</v>
      </c>
      <c r="B9173" s="24" t="s">
        <v>1562</v>
      </c>
      <c r="C9173" s="25">
        <v>2895152</v>
      </c>
      <c r="D9173" s="22" t="s">
        <v>13274</v>
      </c>
      <c r="E9173" s="22" t="s">
        <v>13317</v>
      </c>
      <c r="F9173" s="23" t="str">
        <f>HYPERLINK("https://www.spark-marketing.ru/Card/Lot/72579837", "Лот №4 Поставка сахара (для оказания услуг по предоставлению питания школьникам).")</f>
        <v>Лот №4 Поставка сахара (для оказания услуг по предоставлению питания школьникам).</v>
      </c>
      <c r="G9173" s="22" t="s">
        <v>1522</v>
      </c>
      <c r="H9173" s="22" t="s">
        <v>1523</v>
      </c>
      <c r="I9173" s="26">
        <v>43679</v>
      </c>
      <c r="J9173" s="28" t="s">
        <v>51</v>
      </c>
      <c r="K9173" s="28" t="s">
        <v>51</v>
      </c>
      <c r="L9173" s="28" t="s">
        <v>51</v>
      </c>
      <c r="M9173" s="28" t="s">
        <v>51</v>
      </c>
      <c r="N9173" s="28" t="s">
        <v>51</v>
      </c>
    </row>
    <row r="9174" spans="1:14" x14ac:dyDescent="0.15">
      <c r="A9174" s="23" t="str">
        <f>HYPERLINK("https://www.spark-marketing.ru/Card/Person/1660862", "ГАУК Г. МОСКВЫ ""САД КИО ИМ. Н. Э. БАУМАНА""")</f>
        <v>ГАУК Г. МОСКВЫ "САД КИО ИМ. Н. Э. БАУМАНА"</v>
      </c>
      <c r="B9174" s="24" t="s">
        <v>2693</v>
      </c>
      <c r="C9174" s="25">
        <v>37422</v>
      </c>
      <c r="D9174" s="22" t="s">
        <v>13318</v>
      </c>
      <c r="E9174" s="22" t="s">
        <v>52</v>
      </c>
      <c r="F9174" s="23" t="str">
        <f>HYPERLINK("https://www.spark-marketing.ru/Card/Lot/72583141", "Право заключения договора на осуществление торговой деятельности (оказание услуг) в нестационарном торговом объекте «Киоск» по адресу: г. Москва, ул. Старая Басманная, ул. Новая Басманная, вл. 15, «Сад им. Баумана», слева от входа в парк со стороны у...")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ул. Старая Басманная, ул. Новая Басманная, вл. 15, «Сад им. Баумана», слева от входа в парк со стороны у...</v>
      </c>
      <c r="G9174" s="22" t="s">
        <v>56</v>
      </c>
      <c r="H9174" s="22" t="s">
        <v>56</v>
      </c>
      <c r="I9174" s="26">
        <v>43679</v>
      </c>
      <c r="J9174" s="28" t="s">
        <v>51</v>
      </c>
      <c r="K9174" s="28" t="s">
        <v>51</v>
      </c>
      <c r="L9174" s="28" t="s">
        <v>51</v>
      </c>
      <c r="M9174" s="28" t="s">
        <v>51</v>
      </c>
      <c r="N9174" s="28" t="s">
        <v>51</v>
      </c>
    </row>
    <row r="9175" spans="1:14" x14ac:dyDescent="0.15">
      <c r="A9175" s="23" t="str">
        <f>HYPERLINK("https://www.spark-marketing.ru/Card/Person/50743", "МП ""ДЕТСКОЕ ПИТАНИЕ""")</f>
        <v>МП "ДЕТСКОЕ ПИТАНИЕ"</v>
      </c>
      <c r="B9175" s="24" t="s">
        <v>1562</v>
      </c>
      <c r="C9175" s="25">
        <v>5382300</v>
      </c>
      <c r="D9175" s="22" t="s">
        <v>13319</v>
      </c>
      <c r="E9175" s="22" t="s">
        <v>1564</v>
      </c>
      <c r="F9175" s="23" t="str">
        <f>HYPERLINK("https://www.spark-marketing.ru/Card/Lot/72568513", "Поставка сыра (для оказания услуг по предоставлению питания школьникам).")</f>
        <v>Поставка сыра (для оказания услуг по предоставлению питания школьникам).</v>
      </c>
      <c r="G9175" s="22" t="s">
        <v>1522</v>
      </c>
      <c r="H9175" s="22" t="s">
        <v>1523</v>
      </c>
      <c r="I9175" s="26">
        <v>43679</v>
      </c>
      <c r="J9175" s="28" t="s">
        <v>51</v>
      </c>
      <c r="K9175" s="28" t="s">
        <v>51</v>
      </c>
      <c r="L9175" s="28" t="s">
        <v>51</v>
      </c>
      <c r="M9175" s="28" t="s">
        <v>51</v>
      </c>
      <c r="N9175" s="28" t="s">
        <v>51</v>
      </c>
    </row>
    <row r="9176" spans="1:14" x14ac:dyDescent="0.2">
      <c r="A9176" s="23" t="str">
        <f>HYPERLINK("https://www.spark-marketing.ru/Card/Person/4348382", "ООО ""ГАЗПРОМ ПИТАНИЕ""")</f>
        <v>ООО "ГАЗПРОМ ПИТАНИЕ"</v>
      </c>
      <c r="B9176" s="24" t="s">
        <v>2869</v>
      </c>
      <c r="C9176" s="25">
        <v>521925</v>
      </c>
      <c r="D9176" s="22" t="s">
        <v>13320</v>
      </c>
      <c r="E9176" s="22" t="s">
        <v>3561</v>
      </c>
      <c r="F9176" s="23" t="str">
        <f>HYPERLINK("https://www.spark-marketing.ru/Card/Lot/72578223", "Оказание услуг по проведению периодического медицинского осмотра работников филиала ""Уфимское управление по организации общественного питания"" ООО ""Газпром питание""")</f>
        <v>Оказание услуг по проведению периодического медицинского осмотра работников филиала "Уфимское управление по организации общественного питания" ООО "Газпром питание"</v>
      </c>
      <c r="G9176" s="22" t="s">
        <v>56</v>
      </c>
      <c r="H9176" s="22" t="s">
        <v>56</v>
      </c>
      <c r="I9176" s="26">
        <v>43679</v>
      </c>
      <c r="J9176" s="28" t="s">
        <v>51</v>
      </c>
      <c r="K9176" s="28" t="s">
        <v>51</v>
      </c>
      <c r="L9176" s="22" t="s">
        <v>10</v>
      </c>
      <c r="M9176" s="25">
        <v>472900</v>
      </c>
      <c r="N9176" s="27">
        <v>9.3931120371700913E-2</v>
      </c>
    </row>
    <row r="9177" spans="1:14" x14ac:dyDescent="0.2">
      <c r="A9177" s="23" t="str">
        <f>HYPERLINK("https://www.spark-marketing.ru/Card/Person/152411", "МБДОУ ""ДЕТСКИЙ САД ПРИСМОТРА И ОЗДОРОВЛЕНИЯ ДЛЯ ДЕТЕЙ С АЛЛЕРГИЧЕСКИМИ ЗАБОЛЕВАНИЯМИ №69"" НМР РТ")</f>
        <v>МБДОУ "ДЕТСКИЙ САД ПРИСМОТРА И ОЗДОРОВЛЕНИЯ ДЛЯ ДЕТЕЙ С АЛЛЕРГИЧЕСКИМИ ЗАБОЛЕВАНИЯМИ №69" НМР РТ</v>
      </c>
      <c r="B9177" s="24" t="s">
        <v>8102</v>
      </c>
      <c r="C9177" s="25">
        <v>242643.52</v>
      </c>
      <c r="D9177" s="22" t="s">
        <v>13321</v>
      </c>
      <c r="E9177" s="22" t="s">
        <v>52</v>
      </c>
      <c r="F9177" s="23" t="str">
        <f>HYPERLINK("https://www.spark-marketing.ru/Card/Lot/73776948", "Услуги по организации питания")</f>
        <v>Услуги по организации питания</v>
      </c>
      <c r="G9177" s="22" t="s">
        <v>217</v>
      </c>
      <c r="H9177" s="22" t="s">
        <v>218</v>
      </c>
      <c r="I9177" s="26">
        <v>43679.456944444399</v>
      </c>
      <c r="J9177" s="28" t="s">
        <v>51</v>
      </c>
      <c r="K9177" s="28" t="s">
        <v>51</v>
      </c>
      <c r="L9177" s="28" t="s">
        <v>51</v>
      </c>
      <c r="M9177" s="25">
        <v>242643.52</v>
      </c>
      <c r="N9177" s="27">
        <v>0</v>
      </c>
    </row>
    <row r="9178" spans="1:14" x14ac:dyDescent="0.15">
      <c r="A9178" s="23" t="str">
        <f>HYPERLINK("https://www.spark-marketing.ru/Card/Person/1384079", "ГАУК Г.МОСКВЫ ""ИЗМАЙЛОВСКИЙ ПКИО""")</f>
        <v>ГАУК Г.МОСКВЫ "ИЗМАЙЛОВСКИЙ ПКИО"</v>
      </c>
      <c r="B9178" s="24" t="s">
        <v>13251</v>
      </c>
      <c r="C9178" s="25">
        <v>48195</v>
      </c>
      <c r="D9178" s="22" t="s">
        <v>13322</v>
      </c>
      <c r="E9178" s="22" t="s">
        <v>52</v>
      </c>
      <c r="F9178" s="23" t="str">
        <f>HYPERLINK("https://www.spark-marketing.ru/Card/Lot/72583126", "Право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141),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тер. Измайловский Парк, (Московский пр-т б/н, стр. 6) (НТО 141), специализация «Общественное питание»</v>
      </c>
      <c r="G9178" s="22" t="s">
        <v>56</v>
      </c>
      <c r="H9178" s="22" t="s">
        <v>56</v>
      </c>
      <c r="I9178" s="26">
        <v>43679</v>
      </c>
      <c r="J9178" s="28" t="s">
        <v>51</v>
      </c>
      <c r="K9178" s="28" t="s">
        <v>51</v>
      </c>
      <c r="L9178" s="28" t="s">
        <v>51</v>
      </c>
      <c r="M9178" s="28" t="s">
        <v>51</v>
      </c>
      <c r="N9178" s="28" t="s">
        <v>51</v>
      </c>
    </row>
    <row r="9179" spans="1:14" x14ac:dyDescent="0.15">
      <c r="A9179" s="23" t="str">
        <f>HYPERLINK("https://www.spark-marketing.ru/Card/Person/4348382", "ООО ""ГАЗПРОМ ПИТАНИЕ""")</f>
        <v>ООО "ГАЗПРОМ ПИТАНИЕ"</v>
      </c>
      <c r="B9179" s="24" t="s">
        <v>2869</v>
      </c>
      <c r="C9179" s="25">
        <v>484000.4</v>
      </c>
      <c r="D9179" s="22" t="s">
        <v>13323</v>
      </c>
      <c r="E9179" s="22" t="s">
        <v>3561</v>
      </c>
      <c r="F9179" s="23" t="str">
        <f>HYPERLINK("https://www.spark-marketing.ru/Card/Lot/72577632", "Оказание услуг по проведению обязательных периодических медицинских осмотров работников для нужд Филиала «Краснодарское управление по организации общественного питания» ООО «Газпром питание»")</f>
        <v>Оказание услуг по проведению обязательных периодических медицинских осмотров работников для нужд Филиала «Краснодарское управление по организации общественного питания» ООО «Газпром питание»</v>
      </c>
      <c r="G9179" s="22" t="s">
        <v>56</v>
      </c>
      <c r="H9179" s="22" t="s">
        <v>56</v>
      </c>
      <c r="I9179" s="26">
        <v>43679</v>
      </c>
      <c r="J9179" s="28" t="s">
        <v>51</v>
      </c>
      <c r="K9179" s="28" t="s">
        <v>51</v>
      </c>
      <c r="L9179" s="28" t="s">
        <v>51</v>
      </c>
      <c r="M9179" s="28" t="s">
        <v>51</v>
      </c>
      <c r="N9179" s="28" t="s">
        <v>51</v>
      </c>
    </row>
    <row r="9180" spans="1:14" x14ac:dyDescent="0.2">
      <c r="A9180" s="23" t="str">
        <f>HYPERLINK("https://www.spark-marketing.ru/Card/Person/268823", "ГАУ АО ""РЦСП ""ВОЛГАРЬ""")</f>
        <v>ГАУ АО "РЦСП "ВОЛГАРЬ"</v>
      </c>
      <c r="B9180" s="24" t="s">
        <v>767</v>
      </c>
      <c r="C9180" s="25">
        <v>530400</v>
      </c>
      <c r="D9180" s="22" t="s">
        <v>13324</v>
      </c>
      <c r="E9180" s="22" t="s">
        <v>362</v>
      </c>
      <c r="F9180" s="23" t="str">
        <f>HYPERLINK("https://www.spark-marketing.ru/Card/Lot/72578225", "оказание услуг по организации трёхразового питания спортивной команды по футболу ГАУ АО«РЦСП «Волгарь»")</f>
        <v>оказание услуг по организации трёхразового питания спортивной команды по футболу ГАУ АО«РЦСП «Волгарь»</v>
      </c>
      <c r="G9180" s="22" t="s">
        <v>141</v>
      </c>
      <c r="H9180" s="22" t="s">
        <v>141</v>
      </c>
      <c r="I9180" s="26">
        <v>43679</v>
      </c>
      <c r="J9180" s="28" t="s">
        <v>51</v>
      </c>
      <c r="K9180" s="28" t="s">
        <v>51</v>
      </c>
      <c r="L9180" s="28" t="s">
        <v>51</v>
      </c>
      <c r="M9180" s="25">
        <v>530400</v>
      </c>
      <c r="N9180" s="27">
        <v>0</v>
      </c>
    </row>
    <row r="9181" spans="1:14" x14ac:dyDescent="0.15">
      <c r="A9181" s="23" t="str">
        <f>HYPERLINK("https://www.spark-marketing.ru/Card/Person/1660862", "ГАУК Г. МОСКВЫ ""САД КИО ИМ. Н. Э. БАУМАНА""")</f>
        <v>ГАУК Г. МОСКВЫ "САД КИО ИМ. Н. Э. БАУМАНА"</v>
      </c>
      <c r="B9181" s="24" t="s">
        <v>2693</v>
      </c>
      <c r="C9181" s="25">
        <v>51975</v>
      </c>
      <c r="D9181" s="22" t="s">
        <v>13325</v>
      </c>
      <c r="E9181" s="22" t="s">
        <v>52</v>
      </c>
      <c r="F9181" s="23" t="str">
        <f>HYPERLINK("https://www.spark-marketing.ru/Card/Lot/72583142", "Право заключения договора на осуществление торговой деятельности (оказание услуг) в нестационарном торговом объекте «Павильон» по адресу: г. Москва, «Сад культуры и отдыха им. Н.Э. Баумана», слева от входа в парк со стороны ул. Старая Басманная (НТО 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«Сад культуры и отдыха им. Н.Э. Баумана», слева от входа в парк со стороны ул. Старая Басманная (НТО ...</v>
      </c>
      <c r="G9181" s="22" t="s">
        <v>56</v>
      </c>
      <c r="H9181" s="22" t="s">
        <v>56</v>
      </c>
      <c r="I9181" s="26">
        <v>43679</v>
      </c>
      <c r="J9181" s="28" t="s">
        <v>51</v>
      </c>
      <c r="K9181" s="28" t="s">
        <v>51</v>
      </c>
      <c r="L9181" s="28" t="s">
        <v>51</v>
      </c>
      <c r="M9181" s="28" t="s">
        <v>51</v>
      </c>
      <c r="N9181" s="28" t="s">
        <v>51</v>
      </c>
    </row>
    <row r="9182" spans="1:14" x14ac:dyDescent="0.15">
      <c r="A9182" s="23" t="str">
        <f>HYPERLINK("https://www.spark-marketing.ru/Card/Person/1384079", "ГАУК Г.МОСКВЫ ""ИЗМАЙЛОВСКИЙ ПКИО""")</f>
        <v>ГАУК Г.МОСКВЫ "ИЗМАЙЛОВСКИЙ ПКИО"</v>
      </c>
      <c r="B9182" s="24" t="s">
        <v>13251</v>
      </c>
      <c r="C9182" s="25">
        <v>247800</v>
      </c>
      <c r="D9182" s="22" t="s">
        <v>13326</v>
      </c>
      <c r="E9182" s="22" t="s">
        <v>52</v>
      </c>
      <c r="F9182" s="23" t="str">
        <f>HYPERLINK("https://www.spark-marketing.ru/Card/Lot/72582987",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тер. Измайловский Парк, («пл. Север») (НТО 18),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тер. Измайловский Парк, («пл. Север») (НТО 18), специализация «Общественное питание»</v>
      </c>
      <c r="G9182" s="22" t="s">
        <v>56</v>
      </c>
      <c r="H9182" s="22" t="s">
        <v>56</v>
      </c>
      <c r="I9182" s="26">
        <v>43679</v>
      </c>
      <c r="J9182" s="28" t="s">
        <v>51</v>
      </c>
      <c r="K9182" s="28" t="s">
        <v>51</v>
      </c>
      <c r="L9182" s="28" t="s">
        <v>51</v>
      </c>
      <c r="M9182" s="28" t="s">
        <v>51</v>
      </c>
      <c r="N9182" s="28" t="s">
        <v>51</v>
      </c>
    </row>
    <row r="9183" spans="1:14" x14ac:dyDescent="0.15">
      <c r="A9183" s="23" t="str">
        <f>HYPERLINK("https://www.spark-marketing.ru/Card/Person/1007298", "ОТДЕЛЕНИЕ МВД РОССИИ ПО УСТЬ-КАНСКОМУ РАЙОНУ")</f>
        <v>ОТДЕЛЕНИЕ МВД РОССИИ ПО УСТЬ-КАНСКОМУ РАЙОНУ</v>
      </c>
      <c r="B9183" s="24" t="s">
        <v>13327</v>
      </c>
      <c r="C9183" s="25">
        <v>1058000</v>
      </c>
      <c r="D9183" s="22" t="s">
        <v>13328</v>
      </c>
      <c r="E9183" s="22" t="s">
        <v>48</v>
      </c>
      <c r="F9183" s="23" t="str">
        <f>HYPERLINK("https://www.spark-marketing.ru/Card/Lot/72562645", "Оказание услуг по обеспечению горячим питанием лиц, содержащихся в ИВС")</f>
        <v>Оказание услуг по обеспечению горячим питанием лиц, содержащихся в ИВС</v>
      </c>
      <c r="G9183" s="22" t="s">
        <v>1141</v>
      </c>
      <c r="H9183" s="22" t="s">
        <v>13329</v>
      </c>
      <c r="I9183" s="26">
        <v>43678.9237615741</v>
      </c>
      <c r="J9183" s="23" t="str">
        <f>HYPERLINK("https://www.spark-marketing.ru/Card/Person/1648863", "Мюсова Наталья Ивановна")</f>
        <v>Мюсова Наталья Ивановна</v>
      </c>
      <c r="K9183" s="24" t="s">
        <v>13330</v>
      </c>
      <c r="L9183" s="22" t="s">
        <v>10</v>
      </c>
      <c r="M9183" s="28" t="s">
        <v>51</v>
      </c>
      <c r="N9183" s="28" t="s">
        <v>51</v>
      </c>
    </row>
    <row r="9184" spans="1:14" x14ac:dyDescent="0.15">
      <c r="A9184" s="23" t="str">
        <f>HYPERLINK("https://www.spark-marketing.ru/Card/Person/1007298", "ОТДЕЛЕНИЕ МВД РОССИИ ПО УСТЬ-КАНСКОМУ РАЙОНУ")</f>
        <v>ОТДЕЛЕНИЕ МВД РОССИИ ПО УСТЬ-КАНСКОМУ РАЙОНУ</v>
      </c>
      <c r="B9184" s="24" t="s">
        <v>13327</v>
      </c>
      <c r="C9184" s="25">
        <v>1058000</v>
      </c>
      <c r="D9184" s="22" t="s">
        <v>13331</v>
      </c>
      <c r="E9184" s="22" t="s">
        <v>48</v>
      </c>
      <c r="F9184" s="23" t="str">
        <f>HYPERLINK("https://www.spark-marketing.ru/Card/Lot/72562644", "Оказание услуг по обеспечению горячим питанием лиц, содержащихся в ИВС")</f>
        <v>Оказание услуг по обеспечению горячим питанием лиц, содержащихся в ИВС</v>
      </c>
      <c r="G9184" s="22" t="s">
        <v>1141</v>
      </c>
      <c r="H9184" s="22" t="s">
        <v>13329</v>
      </c>
      <c r="I9184" s="26">
        <v>43678.916793981502</v>
      </c>
      <c r="J9184" s="23" t="str">
        <f>HYPERLINK("https://www.spark-marketing.ru/Card/Person/1648863", "Мюсова Наталья Ивановна")</f>
        <v>Мюсова Наталья Ивановна</v>
      </c>
      <c r="K9184" s="24" t="s">
        <v>13330</v>
      </c>
      <c r="L9184" s="22" t="s">
        <v>10</v>
      </c>
      <c r="M9184" s="28" t="s">
        <v>51</v>
      </c>
      <c r="N9184" s="28" t="s">
        <v>51</v>
      </c>
    </row>
    <row r="9185" spans="1:14" x14ac:dyDescent="0.15">
      <c r="A9185" s="23" t="str">
        <f t="shared" ref="A9185:A9190" si="214">HYPERLINK("https://www.spark-marketing.ru/Card/Person/816251", "ОТДЕЛ МВД РОССИИ ПО ЗАИНСКОМУ РАЙОНУ")</f>
        <v>ОТДЕЛ МВД РОССИИ ПО ЗАИНСКОМУ РАЙОНУ</v>
      </c>
      <c r="B9185" s="24" t="s">
        <v>13332</v>
      </c>
      <c r="C9185" s="25">
        <v>908000</v>
      </c>
      <c r="D9185" s="22" t="s">
        <v>13333</v>
      </c>
      <c r="E9185" s="22" t="s">
        <v>48</v>
      </c>
      <c r="F9185" s="23" t="str">
        <f>HYPERLINK("https://www.spark-marketing.ru/Card/Lot/72568257", "оказание услуг по организации трёхразового горячего питания лиц, содержащихся в изоляторе временного содержания обвиняемых, подозреваемых, в специальном приемнике (для лиц арестованных в административном порядке), а так же питания лиц, задержанных на...")</f>
        <v>оказание услуг по организации трёхразового горячего питания лиц, содержащихся в изоляторе временного содержания обвиняемых, подозреваемых, в специальном приемнике (для лиц арестованных в административном порядке), а так же питания лиц, задержанных на...</v>
      </c>
      <c r="G9185" s="22" t="s">
        <v>217</v>
      </c>
      <c r="H9185" s="22" t="s">
        <v>13334</v>
      </c>
      <c r="I9185" s="26">
        <v>43678.8805208333</v>
      </c>
      <c r="J9185" s="28" t="s">
        <v>51</v>
      </c>
      <c r="K9185" s="28" t="s">
        <v>51</v>
      </c>
      <c r="L9185" s="28" t="s">
        <v>51</v>
      </c>
      <c r="M9185" s="28" t="s">
        <v>51</v>
      </c>
      <c r="N9185" s="28" t="s">
        <v>51</v>
      </c>
    </row>
    <row r="9186" spans="1:14" ht="12.75" hidden="1" outlineLevel="1" x14ac:dyDescent="0.2">
      <c r="A9186" s="23" t="str">
        <f t="shared" si="214"/>
        <v>ОТДЕЛ МВД РОССИИ ПО ЗАИНСКОМУ РАЙОНУ</v>
      </c>
      <c r="B9186" s="24" t="s">
        <v>13332</v>
      </c>
      <c r="C9186" s="25">
        <v>908000</v>
      </c>
      <c r="D9186" s="22" t="s">
        <v>13333</v>
      </c>
      <c r="E9186" s="22" t="s">
        <v>48</v>
      </c>
      <c r="F9186" s="23" t="str">
        <f>HYPERLINK("https://www.spark-marketing.ru/Card/Lot/72568257", "оказание услуг по организации трёхразового горячего питания лиц, содержащихся в изоляторе временного содержания обвиняемых, подозреваемых, в специальном приемнике (для лиц арестованных в административном порядке), а так же питания лиц, задержанных на...")</f>
        <v>оказание услуг по организации трёхразового горячего питания лиц, содержащихся в изоляторе временного содержания обвиняемых, подозреваемых, в специальном приемнике (для лиц арестованных в административном порядке), а так же питания лиц, задержанных на...</v>
      </c>
      <c r="G9186" s="22" t="s">
        <v>217</v>
      </c>
      <c r="H9186" s="22" t="s">
        <v>13334</v>
      </c>
      <c r="I9186" s="26">
        <v>43678.8805208333</v>
      </c>
      <c r="J9186" s="23" t="str">
        <f>HYPERLINK("https://www.spark-marketing.ru/Card/Person/203505", "ООО ""ВАЛЕНТИНА""")</f>
        <v>ООО "ВАЛЕНТИНА"</v>
      </c>
      <c r="K9186" s="24" t="s">
        <v>13335</v>
      </c>
      <c r="L9186" s="22" t="s">
        <v>10</v>
      </c>
      <c r="M9186" s="25">
        <v>897500</v>
      </c>
      <c r="N9186" s="27">
        <v>1.1563876651982379E-2</v>
      </c>
    </row>
    <row r="9187" spans="1:14" hidden="1" outlineLevel="1" x14ac:dyDescent="0.2">
      <c r="A9187" s="23" t="str">
        <f t="shared" si="214"/>
        <v>ОТДЕЛ МВД РОССИИ ПО ЗАИНСКОМУ РАЙОНУ</v>
      </c>
      <c r="B9187" s="24" t="s">
        <v>13332</v>
      </c>
      <c r="C9187" s="25">
        <v>908000</v>
      </c>
      <c r="D9187" s="22" t="s">
        <v>13333</v>
      </c>
      <c r="E9187" s="22" t="s">
        <v>48</v>
      </c>
      <c r="F9187" s="23" t="str">
        <f>HYPERLINK("https://www.spark-marketing.ru/Card/Lot/72568257", "оказание услуг по организации трёхразового горячего питания лиц, содержащихся в изоляторе временного содержания обвиняемых, подозреваемых, в специальном приемнике (для лиц арестованных в административном порядке), а так же питания лиц, задержанных на...")</f>
        <v>оказание услуг по организации трёхразового горячего питания лиц, содержащихся в изоляторе временного содержания обвиняемых, подозреваемых, в специальном приемнике (для лиц арестованных в административном порядке), а так же питания лиц, задержанных на...</v>
      </c>
      <c r="G9187" s="22" t="s">
        <v>217</v>
      </c>
      <c r="H9187" s="22" t="s">
        <v>13334</v>
      </c>
      <c r="I9187" s="26">
        <v>43678.8805208333</v>
      </c>
      <c r="J9187" s="23" t="str">
        <f>HYPERLINK("https://www.spark-marketing.ru/Card/Person/379770", "Фролов Юрий Ильич")</f>
        <v>Фролов Юрий Ильич</v>
      </c>
      <c r="K9187" s="24" t="s">
        <v>13336</v>
      </c>
      <c r="L9187" s="28" t="s">
        <v>51</v>
      </c>
      <c r="M9187" s="25">
        <v>903460</v>
      </c>
      <c r="N9187" s="27">
        <v>5.0000000000000001E-3</v>
      </c>
    </row>
    <row r="9188" spans="1:14" x14ac:dyDescent="0.15">
      <c r="A9188" s="23" t="str">
        <f t="shared" si="214"/>
        <v>ОТДЕЛ МВД РОССИИ ПО ЗАИНСКОМУ РАЙОНУ</v>
      </c>
      <c r="B9188" s="24" t="s">
        <v>13332</v>
      </c>
      <c r="C9188" s="25">
        <v>908000</v>
      </c>
      <c r="D9188" s="22" t="s">
        <v>13337</v>
      </c>
      <c r="E9188" s="22" t="s">
        <v>48</v>
      </c>
      <c r="F9188" s="23" t="str">
        <f>HYPERLINK("https://www.spark-marketing.ru/Card/Lot/72568254", "оказание услуг по организации трёхразового горячего питания лиц, содержащихся в изоляторе временного содержания обвиняемых, подозреваемых, в специальном приемнике (для лиц арестованных в административном порядке), а так же питания лиц, задержанных на...")</f>
        <v>оказание услуг по организации трёхразового горячего питания лиц, содержащихся в изоляторе временного содержания обвиняемых, подозреваемых, в специальном приемнике (для лиц арестованных в административном порядке), а так же питания лиц, задержанных на...</v>
      </c>
      <c r="G9188" s="22" t="s">
        <v>217</v>
      </c>
      <c r="H9188" s="22" t="s">
        <v>13334</v>
      </c>
      <c r="I9188" s="26">
        <v>43678.870277777802</v>
      </c>
      <c r="J9188" s="28" t="s">
        <v>51</v>
      </c>
      <c r="K9188" s="28" t="s">
        <v>51</v>
      </c>
      <c r="L9188" s="28" t="s">
        <v>51</v>
      </c>
      <c r="M9188" s="28" t="s">
        <v>51</v>
      </c>
      <c r="N9188" s="28" t="s">
        <v>51</v>
      </c>
    </row>
    <row r="9189" spans="1:14" ht="12.75" hidden="1" outlineLevel="1" x14ac:dyDescent="0.2">
      <c r="A9189" s="23" t="str">
        <f t="shared" si="214"/>
        <v>ОТДЕЛ МВД РОССИИ ПО ЗАИНСКОМУ РАЙОНУ</v>
      </c>
      <c r="B9189" s="24" t="s">
        <v>13332</v>
      </c>
      <c r="C9189" s="25">
        <v>908000</v>
      </c>
      <c r="D9189" s="22" t="s">
        <v>13337</v>
      </c>
      <c r="E9189" s="22" t="s">
        <v>48</v>
      </c>
      <c r="F9189" s="23" t="str">
        <f>HYPERLINK("https://www.spark-marketing.ru/Card/Lot/72568254", "оказание услуг по организации трёхразового горячего питания лиц, содержащихся в изоляторе временного содержания обвиняемых, подозреваемых, в специальном приемнике (для лиц арестованных в административном порядке), а так же питания лиц, задержанных на...")</f>
        <v>оказание услуг по организации трёхразового горячего питания лиц, содержащихся в изоляторе временного содержания обвиняемых, подозреваемых, в специальном приемнике (для лиц арестованных в административном порядке), а так же питания лиц, задержанных на...</v>
      </c>
      <c r="G9189" s="22" t="s">
        <v>217</v>
      </c>
      <c r="H9189" s="22" t="s">
        <v>13334</v>
      </c>
      <c r="I9189" s="26">
        <v>43678.870277777802</v>
      </c>
      <c r="J9189" s="23" t="str">
        <f>HYPERLINK("https://www.spark-marketing.ru/Card/Person/203505", "ООО ""ВАЛЕНТИНА""")</f>
        <v>ООО "ВАЛЕНТИНА"</v>
      </c>
      <c r="K9189" s="24" t="s">
        <v>13335</v>
      </c>
      <c r="L9189" s="22" t="s">
        <v>10</v>
      </c>
      <c r="M9189" s="25">
        <v>898000</v>
      </c>
      <c r="N9189" s="27">
        <v>1.1013215859030838E-2</v>
      </c>
    </row>
    <row r="9190" spans="1:14" hidden="1" outlineLevel="1" x14ac:dyDescent="0.2">
      <c r="A9190" s="23" t="str">
        <f t="shared" si="214"/>
        <v>ОТДЕЛ МВД РОССИИ ПО ЗАИНСКОМУ РАЙОНУ</v>
      </c>
      <c r="B9190" s="24" t="s">
        <v>13332</v>
      </c>
      <c r="C9190" s="25">
        <v>908000</v>
      </c>
      <c r="D9190" s="22" t="s">
        <v>13337</v>
      </c>
      <c r="E9190" s="22" t="s">
        <v>48</v>
      </c>
      <c r="F9190" s="23" t="str">
        <f>HYPERLINK("https://www.spark-marketing.ru/Card/Lot/72568254", "оказание услуг по организации трёхразового горячего питания лиц, содержащихся в изоляторе временного содержания обвиняемых, подозреваемых, в специальном приемнике (для лиц арестованных в административном порядке), а так же питания лиц, задержанных на...")</f>
        <v>оказание услуг по организации трёхразового горячего питания лиц, содержащихся в изоляторе временного содержания обвиняемых, подозреваемых, в специальном приемнике (для лиц арестованных в административном порядке), а так же питания лиц, задержанных на...</v>
      </c>
      <c r="G9190" s="22" t="s">
        <v>217</v>
      </c>
      <c r="H9190" s="22" t="s">
        <v>13334</v>
      </c>
      <c r="I9190" s="26">
        <v>43678.870277777802</v>
      </c>
      <c r="J9190" s="23" t="str">
        <f>HYPERLINK("https://www.spark-marketing.ru/Card/Person/379770", "Фролов Юрий Ильич")</f>
        <v>Фролов Юрий Ильич</v>
      </c>
      <c r="K9190" s="24" t="s">
        <v>13336</v>
      </c>
      <c r="L9190" s="28" t="s">
        <v>51</v>
      </c>
      <c r="M9190" s="25">
        <v>903460</v>
      </c>
      <c r="N9190" s="27">
        <v>5.0000000000000001E-3</v>
      </c>
    </row>
    <row r="9191" spans="1:14" x14ac:dyDescent="0.15">
      <c r="A9191" s="23" t="str">
        <f>HYPERLINK("https://www.spark-marketing.ru/Card/Person/90206", "ГУЗ ""БПТД""")</f>
        <v>ГУЗ "БПТД"</v>
      </c>
      <c r="B9191" s="24" t="s">
        <v>6864</v>
      </c>
      <c r="C9191" s="25">
        <v>746993.75</v>
      </c>
      <c r="D9191" s="22" t="s">
        <v>13338</v>
      </c>
      <c r="E9191" s="22" t="s">
        <v>48</v>
      </c>
      <c r="F9191" s="23" t="str">
        <f>HYPERLINK("https://www.spark-marketing.ru/Card/Lot/72566662", "Оказание услуг по организации питания в 2019 году для нужд ГУЗ «БПТД»")</f>
        <v>Оказание услуг по организации питания в 2019 году для нужд ГУЗ «БПТД»</v>
      </c>
      <c r="G9191" s="22" t="s">
        <v>351</v>
      </c>
      <c r="H9191" s="22" t="s">
        <v>4221</v>
      </c>
      <c r="I9191" s="26">
        <v>43678.792731481502</v>
      </c>
      <c r="J9191" s="23" t="str">
        <f>HYPERLINK("https://www.spark-marketing.ru/Card/Person/6448438", "Болякин Юрий Александрович")</f>
        <v>Болякин Юрий Александрович</v>
      </c>
      <c r="K9191" s="24" t="s">
        <v>6866</v>
      </c>
      <c r="L9191" s="22" t="s">
        <v>10</v>
      </c>
      <c r="M9191" s="28" t="s">
        <v>51</v>
      </c>
      <c r="N9191" s="28" t="s">
        <v>51</v>
      </c>
    </row>
    <row r="9192" spans="1:14" x14ac:dyDescent="0.15">
      <c r="A9192" s="23" t="str">
        <f t="shared" ref="A9192:A9199" si="215">HYPERLINK("https://www.spark-marketing.ru/Card/Person/52594", "ОТДЕЛ МВД РОССИИ ПО ГОРОДУ АРМАВИРУ")</f>
        <v>ОТДЕЛ МВД РОССИИ ПО ГОРОДУ АРМАВИРУ</v>
      </c>
      <c r="B9192" s="24" t="s">
        <v>6796</v>
      </c>
      <c r="C9192" s="25">
        <v>1850000</v>
      </c>
      <c r="D9192" s="22" t="s">
        <v>13339</v>
      </c>
      <c r="E9192" s="22" t="s">
        <v>48</v>
      </c>
      <c r="F9192" s="23" t="str">
        <f>HYPERLINK("https://www.spark-marketing.ru/Card/Lot/72565557", "питание ивс и сп")</f>
        <v>питание ивс и сп</v>
      </c>
      <c r="G9192" s="22" t="s">
        <v>104</v>
      </c>
      <c r="H9192" s="22" t="s">
        <v>3800</v>
      </c>
      <c r="I9192" s="26">
        <v>43678.772245370397</v>
      </c>
      <c r="J9192" s="28" t="s">
        <v>51</v>
      </c>
      <c r="K9192" s="28" t="s">
        <v>51</v>
      </c>
      <c r="L9192" s="28" t="s">
        <v>51</v>
      </c>
      <c r="M9192" s="28" t="s">
        <v>51</v>
      </c>
      <c r="N9192" s="28" t="s">
        <v>51</v>
      </c>
    </row>
    <row r="9193" spans="1:14" ht="12.75" hidden="1" outlineLevel="1" x14ac:dyDescent="0.2">
      <c r="A9193" s="23" t="str">
        <f t="shared" si="215"/>
        <v>ОТДЕЛ МВД РОССИИ ПО ГОРОДУ АРМАВИРУ</v>
      </c>
      <c r="B9193" s="24" t="s">
        <v>6796</v>
      </c>
      <c r="C9193" s="25">
        <v>1850000</v>
      </c>
      <c r="D9193" s="22" t="s">
        <v>13339</v>
      </c>
      <c r="E9193" s="22" t="s">
        <v>48</v>
      </c>
      <c r="F9193" s="23" t="str">
        <f>HYPERLINK("https://www.spark-marketing.ru/Card/Lot/72565557", "питание ивс и сп")</f>
        <v>питание ивс и сп</v>
      </c>
      <c r="G9193" s="22" t="s">
        <v>104</v>
      </c>
      <c r="H9193" s="22" t="s">
        <v>3800</v>
      </c>
      <c r="I9193" s="26">
        <v>43678.772245370397</v>
      </c>
      <c r="J9193" s="23" t="str">
        <f>HYPERLINK("https://www.spark-marketing.ru/Card/Person/6684459", "Лазаренко Светлана Анатольевна")</f>
        <v>Лазаренко Светлана Анатольевна</v>
      </c>
      <c r="K9193" s="24" t="s">
        <v>6799</v>
      </c>
      <c r="L9193" s="22" t="s">
        <v>10</v>
      </c>
      <c r="M9193" s="25">
        <v>1156250</v>
      </c>
      <c r="N9193" s="27">
        <v>0.375</v>
      </c>
    </row>
    <row r="9194" spans="1:14" hidden="1" outlineLevel="1" x14ac:dyDescent="0.2">
      <c r="A9194" s="23" t="str">
        <f t="shared" si="215"/>
        <v>ОТДЕЛ МВД РОССИИ ПО ГОРОДУ АРМАВИРУ</v>
      </c>
      <c r="B9194" s="24" t="s">
        <v>6796</v>
      </c>
      <c r="C9194" s="25">
        <v>1850000</v>
      </c>
      <c r="D9194" s="22" t="s">
        <v>13339</v>
      </c>
      <c r="E9194" s="22" t="s">
        <v>48</v>
      </c>
      <c r="F9194" s="23" t="str">
        <f>HYPERLINK("https://www.spark-marketing.ru/Card/Lot/72565557", "питание ивс и сп")</f>
        <v>питание ивс и сп</v>
      </c>
      <c r="G9194" s="22" t="s">
        <v>104</v>
      </c>
      <c r="H9194" s="22" t="s">
        <v>3800</v>
      </c>
      <c r="I9194" s="26">
        <v>43678.772245370397</v>
      </c>
      <c r="J9194" s="23" t="str">
        <f>HYPERLINK("https://www.spark-marketing.ru/Card/Person/1944082", "ООО ""ВИЗАВИА""")</f>
        <v>ООО "ВИЗАВИА"</v>
      </c>
      <c r="K9194" s="24" t="s">
        <v>6798</v>
      </c>
      <c r="L9194" s="28" t="s">
        <v>51</v>
      </c>
      <c r="M9194" s="25">
        <v>1165500</v>
      </c>
      <c r="N9194" s="27">
        <v>0.37</v>
      </c>
    </row>
    <row r="9195" spans="1:14" hidden="1" outlineLevel="1" x14ac:dyDescent="0.2">
      <c r="A9195" s="23" t="str">
        <f t="shared" si="215"/>
        <v>ОТДЕЛ МВД РОССИИ ПО ГОРОДУ АРМАВИРУ</v>
      </c>
      <c r="B9195" s="24" t="s">
        <v>6796</v>
      </c>
      <c r="C9195" s="25">
        <v>1850000</v>
      </c>
      <c r="D9195" s="22" t="s">
        <v>13339</v>
      </c>
      <c r="E9195" s="22" t="s">
        <v>48</v>
      </c>
      <c r="F9195" s="23" t="str">
        <f>HYPERLINK("https://www.spark-marketing.ru/Card/Lot/72565557", "питание ивс и сп")</f>
        <v>питание ивс и сп</v>
      </c>
      <c r="G9195" s="22" t="s">
        <v>104</v>
      </c>
      <c r="H9195" s="22" t="s">
        <v>3800</v>
      </c>
      <c r="I9195" s="26">
        <v>43678.772245370397</v>
      </c>
      <c r="J9195" s="23" t="str">
        <f>HYPERLINK("https://www.spark-marketing.ru/Card/Person/4310488", "ООО ""КОСМОС""")</f>
        <v>ООО "КОСМОС"</v>
      </c>
      <c r="K9195" s="24" t="s">
        <v>6800</v>
      </c>
      <c r="L9195" s="28" t="s">
        <v>51</v>
      </c>
      <c r="M9195" s="25">
        <v>1174750</v>
      </c>
      <c r="N9195" s="27">
        <v>0.36499999999999999</v>
      </c>
    </row>
    <row r="9196" spans="1:14" x14ac:dyDescent="0.15">
      <c r="A9196" s="23" t="str">
        <f t="shared" si="215"/>
        <v>ОТДЕЛ МВД РОССИИ ПО ГОРОДУ АРМАВИРУ</v>
      </c>
      <c r="B9196" s="24" t="s">
        <v>6796</v>
      </c>
      <c r="C9196" s="25">
        <v>1850000</v>
      </c>
      <c r="D9196" s="22" t="s">
        <v>13340</v>
      </c>
      <c r="E9196" s="22" t="s">
        <v>48</v>
      </c>
      <c r="F9196" s="23" t="str">
        <f>HYPERLINK("https://www.spark-marketing.ru/Card/Lot/72565260", "питание ивс и сп")</f>
        <v>питание ивс и сп</v>
      </c>
      <c r="G9196" s="22" t="s">
        <v>104</v>
      </c>
      <c r="H9196" s="22" t="s">
        <v>3800</v>
      </c>
      <c r="I9196" s="26">
        <v>43678.760567129597</v>
      </c>
      <c r="J9196" s="28" t="s">
        <v>51</v>
      </c>
      <c r="K9196" s="28" t="s">
        <v>51</v>
      </c>
      <c r="L9196" s="28" t="s">
        <v>51</v>
      </c>
      <c r="M9196" s="28" t="s">
        <v>51</v>
      </c>
      <c r="N9196" s="28" t="s">
        <v>51</v>
      </c>
    </row>
    <row r="9197" spans="1:14" hidden="1" outlineLevel="1" x14ac:dyDescent="0.2">
      <c r="A9197" s="23" t="str">
        <f t="shared" si="215"/>
        <v>ОТДЕЛ МВД РОССИИ ПО ГОРОДУ АРМАВИРУ</v>
      </c>
      <c r="B9197" s="24" t="s">
        <v>6796</v>
      </c>
      <c r="C9197" s="25">
        <v>1850000</v>
      </c>
      <c r="D9197" s="22" t="s">
        <v>13340</v>
      </c>
      <c r="E9197" s="22" t="s">
        <v>48</v>
      </c>
      <c r="F9197" s="23" t="str">
        <f>HYPERLINK("https://www.spark-marketing.ru/Card/Lot/72565260", "питание ивс и сп")</f>
        <v>питание ивс и сп</v>
      </c>
      <c r="G9197" s="22" t="s">
        <v>104</v>
      </c>
      <c r="H9197" s="22" t="s">
        <v>3800</v>
      </c>
      <c r="I9197" s="26">
        <v>43678.760567129597</v>
      </c>
      <c r="J9197" s="23" t="str">
        <f>HYPERLINK("https://www.spark-marketing.ru/Card/Person/4310488", "ООО ""КОСМОС""")</f>
        <v>ООО "КОСМОС"</v>
      </c>
      <c r="K9197" s="24" t="s">
        <v>6800</v>
      </c>
      <c r="L9197" s="28" t="s">
        <v>51</v>
      </c>
      <c r="M9197" s="25">
        <v>1128500</v>
      </c>
      <c r="N9197" s="27">
        <v>0.39</v>
      </c>
    </row>
    <row r="9198" spans="1:14" ht="12.75" hidden="1" outlineLevel="1" x14ac:dyDescent="0.2">
      <c r="A9198" s="23" t="str">
        <f t="shared" si="215"/>
        <v>ОТДЕЛ МВД РОССИИ ПО ГОРОДУ АРМАВИРУ</v>
      </c>
      <c r="B9198" s="24" t="s">
        <v>6796</v>
      </c>
      <c r="C9198" s="25">
        <v>1850000</v>
      </c>
      <c r="D9198" s="22" t="s">
        <v>13340</v>
      </c>
      <c r="E9198" s="22" t="s">
        <v>48</v>
      </c>
      <c r="F9198" s="23" t="str">
        <f>HYPERLINK("https://www.spark-marketing.ru/Card/Lot/72565260", "питание ивс и сп")</f>
        <v>питание ивс и сп</v>
      </c>
      <c r="G9198" s="22" t="s">
        <v>104</v>
      </c>
      <c r="H9198" s="22" t="s">
        <v>3800</v>
      </c>
      <c r="I9198" s="26">
        <v>43678.760567129597</v>
      </c>
      <c r="J9198" s="23" t="str">
        <f>HYPERLINK("https://www.spark-marketing.ru/Card/Person/6684459", "Лазаренко Светлана Анатольевна")</f>
        <v>Лазаренко Светлана Анатольевна</v>
      </c>
      <c r="K9198" s="24" t="s">
        <v>6799</v>
      </c>
      <c r="L9198" s="22" t="s">
        <v>10</v>
      </c>
      <c r="M9198" s="25">
        <v>1110000</v>
      </c>
      <c r="N9198" s="27">
        <v>0.4</v>
      </c>
    </row>
    <row r="9199" spans="1:14" hidden="1" outlineLevel="1" x14ac:dyDescent="0.2">
      <c r="A9199" s="23" t="str">
        <f t="shared" si="215"/>
        <v>ОТДЕЛ МВД РОССИИ ПО ГОРОДУ АРМАВИРУ</v>
      </c>
      <c r="B9199" s="24" t="s">
        <v>6796</v>
      </c>
      <c r="C9199" s="25">
        <v>1850000</v>
      </c>
      <c r="D9199" s="22" t="s">
        <v>13340</v>
      </c>
      <c r="E9199" s="22" t="s">
        <v>48</v>
      </c>
      <c r="F9199" s="23" t="str">
        <f>HYPERLINK("https://www.spark-marketing.ru/Card/Lot/72565260", "питание ивс и сп")</f>
        <v>питание ивс и сп</v>
      </c>
      <c r="G9199" s="22" t="s">
        <v>104</v>
      </c>
      <c r="H9199" s="22" t="s">
        <v>3800</v>
      </c>
      <c r="I9199" s="26">
        <v>43678.760567129597</v>
      </c>
      <c r="J9199" s="23" t="str">
        <f>HYPERLINK("https://www.spark-marketing.ru/Card/Person/1944082", "ООО ""ВИЗАВИА""")</f>
        <v>ООО "ВИЗАВИА"</v>
      </c>
      <c r="K9199" s="24" t="s">
        <v>6798</v>
      </c>
      <c r="L9199" s="28" t="s">
        <v>51</v>
      </c>
      <c r="M9199" s="25">
        <v>1119250</v>
      </c>
      <c r="N9199" s="27">
        <v>0.39500000000000002</v>
      </c>
    </row>
    <row r="9200" spans="1:14" x14ac:dyDescent="0.15">
      <c r="A9200" s="23" t="str">
        <f>HYPERLINK("https://www.spark-marketing.ru/Card/Person/4348382", "ООО ""ГАЗПРОМ ПИТАНИЕ""")</f>
        <v>ООО "ГАЗПРОМ ПИТАНИЕ"</v>
      </c>
      <c r="B9200" s="24" t="s">
        <v>2869</v>
      </c>
      <c r="C9200" s="25">
        <v>24999.96</v>
      </c>
      <c r="D9200" s="22" t="s">
        <v>13341</v>
      </c>
      <c r="E9200" s="22" t="s">
        <v>52</v>
      </c>
      <c r="F9200" s="23" t="str">
        <f>HYPERLINK("https://www.spark-marketing.ru/Card/Lot/72558031", "Оказание услуг по заправке ремонту и восстановлению картриджей для нужд филиала «махачкалинское управление по организации общественного питания» ооо «газпром питание»")</f>
        <v>Оказание услуг по заправке ремонту и восстановлению картриджей для нужд филиала «махачкалинское управление по организации общественного питания» ооо «газпром питание»</v>
      </c>
      <c r="G9200" s="22" t="s">
        <v>56</v>
      </c>
      <c r="H9200" s="22" t="s">
        <v>56</v>
      </c>
      <c r="I9200" s="26">
        <v>43678.709027777797</v>
      </c>
      <c r="J9200" s="28" t="s">
        <v>51</v>
      </c>
      <c r="K9200" s="28" t="s">
        <v>51</v>
      </c>
      <c r="L9200" s="28" t="s">
        <v>51</v>
      </c>
      <c r="M9200" s="28" t="s">
        <v>51</v>
      </c>
      <c r="N9200" s="28" t="s">
        <v>51</v>
      </c>
    </row>
    <row r="9201" spans="1:14" x14ac:dyDescent="0.15">
      <c r="A9201" s="23" t="str">
        <f>HYPERLINK("https://www.spark-marketing.ru/Card/Person/1034108", "МБОУ ""СТРУГО-КРАСНЕНСКАЯ СРЕДНЯЯ ОБЩЕОБРАЗОВАТЕЛЬНАЯ ШКОЛА""")</f>
        <v>МБОУ "СТРУГО-КРАСНЕНСКАЯ СРЕДНЯЯ ОБЩЕОБРАЗОВАТЕЛЬНАЯ ШКОЛА"</v>
      </c>
      <c r="B9201" s="24" t="s">
        <v>13342</v>
      </c>
      <c r="C9201" s="25">
        <v>2930514</v>
      </c>
      <c r="D9201" s="22" t="s">
        <v>13343</v>
      </c>
      <c r="E9201" s="22" t="s">
        <v>48</v>
      </c>
      <c r="F9201" s="23" t="str">
        <f>HYPERLINK("https://www.spark-marketing.ru/Card/Lot/72558344", "Услуги по организации питания детей")</f>
        <v>Услуги по организации питания детей</v>
      </c>
      <c r="G9201" s="22" t="s">
        <v>415</v>
      </c>
      <c r="H9201" s="22" t="s">
        <v>1122</v>
      </c>
      <c r="I9201" s="26">
        <v>43678.708784722199</v>
      </c>
      <c r="J9201" s="23" t="str">
        <f>HYPERLINK("https://www.spark-marketing.ru/Card/Person/2108960", "СТРУГОКРАСНЕНСКОЕ РАЙПО")</f>
        <v>СТРУГОКРАСНЕНСКОЕ РАЙПО</v>
      </c>
      <c r="K9201" s="24" t="s">
        <v>10200</v>
      </c>
      <c r="L9201" s="22" t="s">
        <v>10</v>
      </c>
      <c r="M9201" s="28" t="s">
        <v>51</v>
      </c>
      <c r="N9201" s="28" t="s">
        <v>51</v>
      </c>
    </row>
    <row r="9202" spans="1:14" x14ac:dyDescent="0.15">
      <c r="A9202" s="23" t="str">
        <f>HYPERLINK("https://www.spark-marketing.ru/Card/Person/9675", "ФКУ ""ЦХ И СО МВД ПО РСО-АЛАНИЯ""")</f>
        <v>ФКУ "ЦХ И СО МВД ПО РСО-АЛАНИЯ"</v>
      </c>
      <c r="B9202" s="24" t="s">
        <v>8847</v>
      </c>
      <c r="C9202" s="25">
        <v>450000</v>
      </c>
      <c r="D9202" s="22" t="s">
        <v>13344</v>
      </c>
      <c r="E9202" s="22" t="s">
        <v>96</v>
      </c>
      <c r="F9202" s="23" t="str">
        <f>HYPERLINK("https://www.spark-marketing.ru/Card/Lot/72558491", "Оказание услуг по организации питания для лиц, содержащихся в ЦВСИГ")</f>
        <v>Оказание услуг по организации питания для лиц, содержащихся в ЦВСИГ</v>
      </c>
      <c r="G9202" s="22" t="s">
        <v>783</v>
      </c>
      <c r="H9202" s="22" t="s">
        <v>783</v>
      </c>
      <c r="I9202" s="26">
        <v>43678.724374999998</v>
      </c>
      <c r="J9202" s="23" t="str">
        <f>HYPERLINK("https://www.spark-marketing.ru/Card/Person/5770330", "Панасьян Георгий Степанович")</f>
        <v>Панасьян Георгий Степанович</v>
      </c>
      <c r="K9202" s="24" t="s">
        <v>13345</v>
      </c>
      <c r="L9202" s="22" t="s">
        <v>10</v>
      </c>
      <c r="M9202" s="28" t="s">
        <v>51</v>
      </c>
      <c r="N9202" s="28" t="s">
        <v>51</v>
      </c>
    </row>
    <row r="9203" spans="1:14" x14ac:dyDescent="0.15">
      <c r="A9203" s="23" t="str">
        <f>HYPERLINK("https://www.spark-marketing.ru/Card/Person/1072714", "ОМВД РОССИИ ПО БАШМАКОВСКОМУ РАЙОНУ")</f>
        <v>ОМВД РОССИИ ПО БАШМАКОВСКОМУ РАЙОНУ</v>
      </c>
      <c r="B9203" s="24" t="s">
        <v>13346</v>
      </c>
      <c r="C9203" s="25">
        <v>218700</v>
      </c>
      <c r="D9203" s="22" t="s">
        <v>13347</v>
      </c>
      <c r="E9203" s="22" t="s">
        <v>96</v>
      </c>
      <c r="F9203" s="23" t="str">
        <f>HYPERLINK("https://www.spark-marketing.ru/Card/Lot/72555439", "Оказание услуг по организации питания (приготовлению и доставке), 729 шт")</f>
        <v>Оказание услуг по организации питания (приготовлению и доставке), 729 шт</v>
      </c>
      <c r="G9203" s="22" t="s">
        <v>72</v>
      </c>
      <c r="H9203" s="22" t="s">
        <v>13348</v>
      </c>
      <c r="I9203" s="26">
        <v>43678.7202777778</v>
      </c>
      <c r="J9203" s="28" t="s">
        <v>51</v>
      </c>
      <c r="K9203" s="28" t="s">
        <v>51</v>
      </c>
      <c r="L9203" s="28" t="s">
        <v>51</v>
      </c>
      <c r="M9203" s="28" t="s">
        <v>51</v>
      </c>
      <c r="N9203" s="28" t="s">
        <v>51</v>
      </c>
    </row>
    <row r="9204" spans="1:14" x14ac:dyDescent="0.15">
      <c r="A9204" s="23" t="str">
        <f>HYPERLINK("https://www.spark-marketing.ru/Card/Person/1059520", "ГКУ ""ЦЕНТР СОЦИАЛЬНЫХ ВЫПЛАТ И КОМПЕНСАЦИЙ ПЕРМСКОГО КРАЯ""")</f>
        <v>ГКУ "ЦЕНТР СОЦИАЛЬНЫХ ВЫПЛАТ И КОМПЕНСАЦИЙ ПЕРМСКОГО КРАЯ"</v>
      </c>
      <c r="B9204" s="24" t="s">
        <v>13349</v>
      </c>
      <c r="C9204" s="25">
        <v>1000005</v>
      </c>
      <c r="D9204" s="22" t="s">
        <v>13350</v>
      </c>
      <c r="E9204" s="22" t="s">
        <v>5304</v>
      </c>
      <c r="F9204" s="23" t="str">
        <f>HYPERLINK("https://www.spark-marketing.ru/Card/Lot/72563112", "УСЛУГИ ПО ТЕХНИЧЕСКОМУ ОБСЛУЖИВАНИЮ И РЕМОНТУ ПЕЧАТАЮЩЕЙ ТЕХНИКИ")</f>
        <v>УСЛУГИ ПО ТЕХНИЧЕСКОМУ ОБСЛУЖИВАНИЮ И РЕМОНТУ ПЕЧАТАЮЩЕЙ ТЕХНИКИ</v>
      </c>
      <c r="G9204" s="22" t="s">
        <v>153</v>
      </c>
      <c r="H9204" s="22" t="s">
        <v>153</v>
      </c>
      <c r="I9204" s="26">
        <v>43678.7488310185</v>
      </c>
      <c r="J9204" s="28" t="s">
        <v>51</v>
      </c>
      <c r="K9204" s="28" t="s">
        <v>51</v>
      </c>
      <c r="L9204" s="28" t="s">
        <v>51</v>
      </c>
      <c r="M9204" s="28" t="s">
        <v>51</v>
      </c>
      <c r="N9204" s="28" t="s">
        <v>51</v>
      </c>
    </row>
    <row r="9205" spans="1:14" ht="12.75" hidden="1" outlineLevel="1" x14ac:dyDescent="0.2">
      <c r="A9205" s="23" t="str">
        <f>HYPERLINK("https://www.spark-marketing.ru/Card/Person/1059520", "ГКУ ""ЦЕНТР СОЦИАЛЬНЫХ ВЫПЛАТ И КОМПЕНСАЦИЙ ПЕРМСКОГО КРАЯ""")</f>
        <v>ГКУ "ЦЕНТР СОЦИАЛЬНЫХ ВЫПЛАТ И КОМПЕНСАЦИЙ ПЕРМСКОГО КРАЯ"</v>
      </c>
      <c r="B9205" s="24" t="s">
        <v>13349</v>
      </c>
      <c r="C9205" s="25">
        <v>1000005</v>
      </c>
      <c r="D9205" s="22" t="s">
        <v>13350</v>
      </c>
      <c r="E9205" s="22" t="s">
        <v>5304</v>
      </c>
      <c r="F9205" s="23" t="str">
        <f>HYPERLINK("https://www.spark-marketing.ru/Card/Lot/72563112", "УСЛУГИ ПО ТЕХНИЧЕСКОМУ ОБСЛУЖИВАНИЮ И РЕМОНТУ ПЕЧАТАЮЩЕЙ ТЕХНИКИ")</f>
        <v>УСЛУГИ ПО ТЕХНИЧЕСКОМУ ОБСЛУЖИВАНИЮ И РЕМОНТУ ПЕЧАТАЮЩЕЙ ТЕХНИКИ</v>
      </c>
      <c r="G9205" s="22" t="s">
        <v>153</v>
      </c>
      <c r="H9205" s="22" t="s">
        <v>153</v>
      </c>
      <c r="I9205" s="26">
        <v>43678.7488310185</v>
      </c>
      <c r="J9205" s="23" t="str">
        <f>HYPERLINK("https://www.spark-marketing.ru/Card/Person/357867", "ООО ""ИНФОРМАЦИОННЫЕ ТЕХНОЛОГИИ""")</f>
        <v>ООО "ИНФОРМАЦИОННЫЕ ТЕХНОЛОГИИ"</v>
      </c>
      <c r="K9205" s="24" t="s">
        <v>13351</v>
      </c>
      <c r="L9205" s="22" t="s">
        <v>10</v>
      </c>
      <c r="M9205" s="25">
        <v>381983.58</v>
      </c>
      <c r="N9205" s="27">
        <v>0.61801832990835048</v>
      </c>
    </row>
    <row r="9206" spans="1:14" hidden="1" outlineLevel="1" x14ac:dyDescent="0.2">
      <c r="A9206" s="23" t="str">
        <f>HYPERLINK("https://www.spark-marketing.ru/Card/Person/1059520", "ГКУ ""ЦЕНТР СОЦИАЛЬНЫХ ВЫПЛАТ И КОМПЕНСАЦИЙ ПЕРМСКОГО КРАЯ""")</f>
        <v>ГКУ "ЦЕНТР СОЦИАЛЬНЫХ ВЫПЛАТ И КОМПЕНСАЦИЙ ПЕРМСКОГО КРАЯ"</v>
      </c>
      <c r="B9206" s="24" t="s">
        <v>13349</v>
      </c>
      <c r="C9206" s="25">
        <v>1000005</v>
      </c>
      <c r="D9206" s="22" t="s">
        <v>13350</v>
      </c>
      <c r="E9206" s="22" t="s">
        <v>5304</v>
      </c>
      <c r="F9206" s="23" t="str">
        <f>HYPERLINK("https://www.spark-marketing.ru/Card/Lot/72563112", "УСЛУГИ ПО ТЕХНИЧЕСКОМУ ОБСЛУЖИВАНИЮ И РЕМОНТУ ПЕЧАТАЮЩЕЙ ТЕХНИКИ")</f>
        <v>УСЛУГИ ПО ТЕХНИЧЕСКОМУ ОБСЛУЖИВАНИЮ И РЕМОНТУ ПЕЧАТАЮЩЕЙ ТЕХНИКИ</v>
      </c>
      <c r="G9206" s="22" t="s">
        <v>153</v>
      </c>
      <c r="H9206" s="22" t="s">
        <v>153</v>
      </c>
      <c r="I9206" s="26">
        <v>43678.7488310185</v>
      </c>
      <c r="J9206" s="23" t="str">
        <f>HYPERLINK("https://www.spark-marketing.ru/Card/Person/27299", "ООО ""СЕРВИСНЫЙ ЦЕНТР ПРП""")</f>
        <v>ООО "СЕРВИСНЫЙ ЦЕНТР ПРП"</v>
      </c>
      <c r="K9206" s="24" t="s">
        <v>5307</v>
      </c>
      <c r="L9206" s="28" t="s">
        <v>51</v>
      </c>
      <c r="M9206" s="25">
        <v>386983.61</v>
      </c>
      <c r="N9206" s="27">
        <v>0.61301832490837549</v>
      </c>
    </row>
    <row r="9207" spans="1:14" x14ac:dyDescent="0.15">
      <c r="A9207" s="23" t="str">
        <f>HYPERLINK("https://www.spark-marketing.ru/Card/Person/9675", "ФКУ ""ЦХ И СО МВД ПО РСО-АЛАНИЯ""")</f>
        <v>ФКУ "ЦХ И СО МВД ПО РСО-АЛАНИЯ"</v>
      </c>
      <c r="B9207" s="24" t="s">
        <v>8847</v>
      </c>
      <c r="C9207" s="25">
        <v>400000</v>
      </c>
      <c r="D9207" s="22" t="s">
        <v>13352</v>
      </c>
      <c r="E9207" s="22" t="s">
        <v>96</v>
      </c>
      <c r="F9207" s="23" t="str">
        <f>HYPERLINK("https://www.spark-marketing.ru/Card/Lot/72557648", "Оказание услуг по организации питания для лиц, содержащихся в СП УМВД по г. Владикавказ")</f>
        <v>Оказание услуг по организации питания для лиц, содержащихся в СП УМВД по г. Владикавказ</v>
      </c>
      <c r="G9207" s="22" t="s">
        <v>783</v>
      </c>
      <c r="H9207" s="22" t="s">
        <v>783</v>
      </c>
      <c r="I9207" s="26">
        <v>43678.716724537</v>
      </c>
      <c r="J9207" s="23" t="str">
        <f>HYPERLINK("https://www.spark-marketing.ru/Card/Person/5770330", "Панасьян Георгий Степанович")</f>
        <v>Панасьян Георгий Степанович</v>
      </c>
      <c r="K9207" s="24" t="s">
        <v>13345</v>
      </c>
      <c r="L9207" s="22" t="s">
        <v>10</v>
      </c>
      <c r="M9207" s="28" t="s">
        <v>51</v>
      </c>
      <c r="N9207" s="28" t="s">
        <v>51</v>
      </c>
    </row>
    <row r="9208" spans="1:14" x14ac:dyDescent="0.15">
      <c r="A9208" s="23" t="str">
        <f>HYPERLINK("https://www.spark-marketing.ru/Card/Person/169844", "ОТДЕЛ МВД РОССИИ ПО СОВЕТСКОМУ ГОРОДСКОМУ ОКРУГУ")</f>
        <v>ОТДЕЛ МВД РОССИИ ПО СОВЕТСКОМУ ГОРОДСКОМУ ОКРУГУ</v>
      </c>
      <c r="B9208" s="24" t="s">
        <v>13353</v>
      </c>
      <c r="C9208" s="25">
        <v>1268750</v>
      </c>
      <c r="D9208" s="22" t="s">
        <v>13354</v>
      </c>
      <c r="E9208" s="22" t="s">
        <v>48</v>
      </c>
      <c r="F9208" s="23" t="str">
        <f>HYPERLINK("https://www.spark-marketing.ru/Card/Lot/72566433", "Питание ИВС")</f>
        <v>Питание ИВС</v>
      </c>
      <c r="G9208" s="22" t="s">
        <v>87</v>
      </c>
      <c r="H9208" s="22" t="s">
        <v>869</v>
      </c>
      <c r="I9208" s="26">
        <v>43678.718263888899</v>
      </c>
      <c r="J9208" s="23" t="str">
        <f>HYPERLINK("https://www.spark-marketing.ru/Card/Person/1093704", "РАЙПО")</f>
        <v>РАЙПО</v>
      </c>
      <c r="K9208" s="24" t="s">
        <v>13355</v>
      </c>
      <c r="L9208" s="22" t="s">
        <v>10</v>
      </c>
      <c r="M9208" s="28" t="s">
        <v>51</v>
      </c>
      <c r="N9208" s="28" t="s">
        <v>51</v>
      </c>
    </row>
    <row r="9209" spans="1:14" x14ac:dyDescent="0.15">
      <c r="A9209" s="23" t="str">
        <f>HYPERLINK("https://www.spark-marketing.ru/Card/Person/9675", "ФКУ ""ЦХ И СО МВД ПО РСО-АЛАНИЯ""")</f>
        <v>ФКУ "ЦХ И СО МВД ПО РСО-АЛАНИЯ"</v>
      </c>
      <c r="B9209" s="24" t="s">
        <v>8847</v>
      </c>
      <c r="C9209" s="25">
        <v>520000</v>
      </c>
      <c r="D9209" s="22" t="s">
        <v>13356</v>
      </c>
      <c r="E9209" s="22" t="s">
        <v>96</v>
      </c>
      <c r="F9209" s="23" t="str">
        <f>HYPERLINK("https://www.spark-marketing.ru/Card/Lot/72558553", "Оказание услуг по организации питания в СП УМВД России по г. Владикавказ")</f>
        <v>Оказание услуг по организации питания в СП УМВД России по г. Владикавказ</v>
      </c>
      <c r="G9209" s="22" t="s">
        <v>783</v>
      </c>
      <c r="H9209" s="22" t="s">
        <v>783</v>
      </c>
      <c r="I9209" s="26">
        <v>43678.749120370398</v>
      </c>
      <c r="J9209" s="23" t="str">
        <f>HYPERLINK("https://www.spark-marketing.ru/Card/Person/5770330", "Панасьян Георгий Степанович")</f>
        <v>Панасьян Георгий Степанович</v>
      </c>
      <c r="K9209" s="24" t="s">
        <v>13345</v>
      </c>
      <c r="L9209" s="22" t="s">
        <v>10</v>
      </c>
      <c r="M9209" s="28" t="s">
        <v>51</v>
      </c>
      <c r="N9209" s="28" t="s">
        <v>51</v>
      </c>
    </row>
    <row r="9210" spans="1:14" x14ac:dyDescent="0.15">
      <c r="A9210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9210" s="24" t="s">
        <v>4297</v>
      </c>
      <c r="C9210" s="25">
        <v>19400</v>
      </c>
      <c r="D9210" s="22" t="s">
        <v>13357</v>
      </c>
      <c r="E9210" s="22" t="s">
        <v>48</v>
      </c>
      <c r="F9210" s="23" t="str">
        <f>HYPERLINK("https://www.spark-marketing.ru/Card/Lot/72560820",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</v>
      </c>
      <c r="G9210" s="22" t="s">
        <v>1096</v>
      </c>
      <c r="H9210" s="22" t="s">
        <v>4299</v>
      </c>
      <c r="I9210" s="26">
        <v>43678.724363425899</v>
      </c>
      <c r="J9210" s="23" t="str">
        <f>HYPERLINK("https://www.spark-marketing.ru/Card/Person/1036148", "МОУ СОШ № 37")</f>
        <v>МОУ СОШ № 37</v>
      </c>
      <c r="K9210" s="24" t="s">
        <v>4300</v>
      </c>
      <c r="L9210" s="22" t="s">
        <v>10</v>
      </c>
      <c r="M9210" s="28" t="s">
        <v>51</v>
      </c>
      <c r="N9210" s="28" t="s">
        <v>51</v>
      </c>
    </row>
    <row r="9211" spans="1:14" x14ac:dyDescent="0.15">
      <c r="A9211" s="23" t="str">
        <f>HYPERLINK("https://www.spark-marketing.ru/Card/Person/1072714", "ОМВД РОССИИ ПО БАШМАКОВСКОМУ РАЙОНУ")</f>
        <v>ОМВД РОССИИ ПО БАШМАКОВСКОМУ РАЙОНУ</v>
      </c>
      <c r="B9211" s="24" t="s">
        <v>13346</v>
      </c>
      <c r="C9211" s="25">
        <v>218700</v>
      </c>
      <c r="D9211" s="22" t="s">
        <v>13358</v>
      </c>
      <c r="E9211" s="22" t="s">
        <v>96</v>
      </c>
      <c r="F9211" s="23" t="str">
        <f>HYPERLINK("https://www.spark-marketing.ru/Card/Lot/72554900", "Оказание услуг по организации питания (приготовлению и доставке), 729 шт")</f>
        <v>Оказание услуг по организации питания (приготовлению и доставке), 729 шт</v>
      </c>
      <c r="G9211" s="22" t="s">
        <v>72</v>
      </c>
      <c r="H9211" s="22" t="s">
        <v>13348</v>
      </c>
      <c r="I9211" s="26">
        <v>43678.717118055603</v>
      </c>
      <c r="J9211" s="28" t="s">
        <v>51</v>
      </c>
      <c r="K9211" s="28" t="s">
        <v>51</v>
      </c>
      <c r="L9211" s="28" t="s">
        <v>51</v>
      </c>
      <c r="M9211" s="28" t="s">
        <v>51</v>
      </c>
      <c r="N9211" s="28" t="s">
        <v>51</v>
      </c>
    </row>
    <row r="9212" spans="1:14" x14ac:dyDescent="0.15">
      <c r="A9212" s="23" t="str">
        <f>HYPERLINK("https://www.spark-marketing.ru/Card/Person/820473", "ОТДЕЛ МВД РОССИИ ПО АКСУБАЕВСКОМУ РАЙОНУ")</f>
        <v>ОТДЕЛ МВД РОССИИ ПО АКСУБАЕВСКОМУ РАЙОНУ</v>
      </c>
      <c r="B9212" s="24" t="s">
        <v>10659</v>
      </c>
      <c r="C9212" s="25">
        <v>324066</v>
      </c>
      <c r="D9212" s="22" t="s">
        <v>13359</v>
      </c>
      <c r="E9212" s="22" t="s">
        <v>48</v>
      </c>
      <c r="F9212" s="23" t="str">
        <f>HYPERLINK("https://www.spark-marketing.ru/Card/Lot/72558523", "право заключения государственного контракта на оказание услуг по организации готового горячего питания лиц, содержащихся в ИВС, СП, КЗСЛ отдела МВД России по Аксубаевскому району")</f>
        <v>право заключения государственного контракта на оказание услуг по организации готового горячего питания лиц, содержащихся в ИВС, СП, КЗСЛ отдела МВД России по Аксубаевскому району</v>
      </c>
      <c r="G9212" s="22" t="s">
        <v>217</v>
      </c>
      <c r="H9212" s="22" t="s">
        <v>10661</v>
      </c>
      <c r="I9212" s="26">
        <v>43678.721261574101</v>
      </c>
      <c r="J9212" s="28" t="s">
        <v>51</v>
      </c>
      <c r="K9212" s="28" t="s">
        <v>51</v>
      </c>
      <c r="L9212" s="28" t="s">
        <v>51</v>
      </c>
      <c r="M9212" s="28" t="s">
        <v>51</v>
      </c>
      <c r="N9212" s="28" t="s">
        <v>51</v>
      </c>
    </row>
    <row r="9213" spans="1:14" x14ac:dyDescent="0.15">
      <c r="A9213" s="23" t="str">
        <f>HYPERLINK("https://www.spark-marketing.ru/Card/Person/9675", "ФКУ ""ЦХ И СО МВД ПО РСО-АЛАНИЯ""")</f>
        <v>ФКУ "ЦХ И СО МВД ПО РСО-АЛАНИЯ"</v>
      </c>
      <c r="B9213" s="24" t="s">
        <v>8847</v>
      </c>
      <c r="C9213" s="25">
        <v>800000</v>
      </c>
      <c r="D9213" s="22" t="s">
        <v>13360</v>
      </c>
      <c r="E9213" s="22" t="s">
        <v>96</v>
      </c>
      <c r="F9213" s="23" t="str">
        <f>HYPERLINK("https://www.spark-marketing.ru/Card/Lot/72558470", "Оказание услуг по организации 3 - х разового горячего питания для лиц, находящихся в ЦВСИГ МВД по РСО-Алания на 2020 год.")</f>
        <v>Оказание услуг по организации 3 - х разового горячего питания для лиц, находящихся в ЦВСИГ МВД по РСО-Алания на 2020 год.</v>
      </c>
      <c r="G9213" s="22" t="s">
        <v>783</v>
      </c>
      <c r="H9213" s="22" t="s">
        <v>783</v>
      </c>
      <c r="I9213" s="26">
        <v>43678.7412847222</v>
      </c>
      <c r="J9213" s="23" t="str">
        <f>HYPERLINK("https://www.spark-marketing.ru/Card/Person/5770330", "Панасьян Георгий Степанович")</f>
        <v>Панасьян Георгий Степанович</v>
      </c>
      <c r="K9213" s="24" t="s">
        <v>13345</v>
      </c>
      <c r="L9213" s="22" t="s">
        <v>10</v>
      </c>
      <c r="M9213" s="28" t="s">
        <v>51</v>
      </c>
      <c r="N9213" s="28" t="s">
        <v>51</v>
      </c>
    </row>
    <row r="9214" spans="1:14" x14ac:dyDescent="0.15">
      <c r="A9214" s="23" t="str">
        <f>HYPERLINK("https://www.spark-marketing.ru/Card/Person/55235", "УПРАВЛЕНИЕ МВД РОССИИ ПО ГОРОДУ НАБЕРЕЖНЫЕ ЧЕЛНЫ")</f>
        <v>УПРАВЛЕНИЕ МВД РОССИИ ПО ГОРОДУ НАБЕРЕЖНЫЕ ЧЕЛНЫ</v>
      </c>
      <c r="B9214" s="24" t="s">
        <v>13361</v>
      </c>
      <c r="C9214" s="25">
        <v>10350000</v>
      </c>
      <c r="D9214" s="22" t="s">
        <v>13362</v>
      </c>
      <c r="E9214" s="22" t="s">
        <v>48</v>
      </c>
      <c r="F9214" s="23" t="str">
        <f>HYPERLINK("https://www.spark-marketing.ru/Card/Lot/72558422", "Оказание услуг по организации готового питания для  лиц, содержащихся в Центре временного содержания иностранных граждан Управления МВД России по г. Набережные Челны")</f>
        <v>Оказание услуг по организации готового питания для  лиц, содержащихся в Центре временного содержания иностранных граждан Управления МВД России по г. Набережные Челны</v>
      </c>
      <c r="G9214" s="22" t="s">
        <v>217</v>
      </c>
      <c r="H9214" s="22" t="s">
        <v>1998</v>
      </c>
      <c r="I9214" s="26">
        <v>43678.708796296298</v>
      </c>
      <c r="J9214" s="28" t="s">
        <v>51</v>
      </c>
      <c r="K9214" s="28" t="s">
        <v>51</v>
      </c>
      <c r="L9214" s="28" t="s">
        <v>51</v>
      </c>
      <c r="M9214" s="28" t="s">
        <v>51</v>
      </c>
      <c r="N9214" s="28" t="s">
        <v>51</v>
      </c>
    </row>
    <row r="9215" spans="1:14" hidden="1" outlineLevel="1" x14ac:dyDescent="0.2">
      <c r="A9215" s="23" t="str">
        <f>HYPERLINK("https://www.spark-marketing.ru/Card/Person/55235", "УПРАВЛЕНИЕ МВД РОССИИ ПО ГОРОДУ НАБЕРЕЖНЫЕ ЧЕЛНЫ")</f>
        <v>УПРАВЛЕНИЕ МВД РОССИИ ПО ГОРОДУ НАБЕРЕЖНЫЕ ЧЕЛНЫ</v>
      </c>
      <c r="B9215" s="24" t="s">
        <v>13361</v>
      </c>
      <c r="C9215" s="25">
        <v>10350000</v>
      </c>
      <c r="D9215" s="22" t="s">
        <v>13362</v>
      </c>
      <c r="E9215" s="22" t="s">
        <v>48</v>
      </c>
      <c r="F9215" s="23" t="str">
        <f>HYPERLINK("https://www.spark-marketing.ru/Card/Lot/72558422", "Оказание услуг по организации готового питания для  лиц, содержащихся в Центре временного содержания иностранных граждан Управления МВД России по г. Набережные Челны")</f>
        <v>Оказание услуг по организации готового питания для  лиц, содержащихся в Центре временного содержания иностранных граждан Управления МВД России по г. Набережные Челны</v>
      </c>
      <c r="G9215" s="22" t="s">
        <v>217</v>
      </c>
      <c r="H9215" s="22" t="s">
        <v>1998</v>
      </c>
      <c r="I9215" s="26">
        <v>43678.708796296298</v>
      </c>
      <c r="J9215" s="23" t="str">
        <f>HYPERLINK("https://www.spark-marketing.ru/Card/Person/234213", "ООО ""НИГМА""")</f>
        <v>ООО "НИГМА"</v>
      </c>
      <c r="K9215" s="24" t="s">
        <v>1999</v>
      </c>
      <c r="L9215" s="28" t="s">
        <v>51</v>
      </c>
      <c r="M9215" s="25">
        <v>358.51</v>
      </c>
      <c r="N9215" s="27">
        <v>0.99996536135265701</v>
      </c>
    </row>
    <row r="9216" spans="1:14" ht="12.75" hidden="1" outlineLevel="1" x14ac:dyDescent="0.2">
      <c r="A9216" s="23" t="str">
        <f>HYPERLINK("https://www.spark-marketing.ru/Card/Person/55235", "УПРАВЛЕНИЕ МВД РОССИИ ПО ГОРОДУ НАБЕРЕЖНЫЕ ЧЕЛНЫ")</f>
        <v>УПРАВЛЕНИЕ МВД РОССИИ ПО ГОРОДУ НАБЕРЕЖНЫЕ ЧЕЛНЫ</v>
      </c>
      <c r="B9216" s="24" t="s">
        <v>13361</v>
      </c>
      <c r="C9216" s="25">
        <v>10350000</v>
      </c>
      <c r="D9216" s="22" t="s">
        <v>13362</v>
      </c>
      <c r="E9216" s="22" t="s">
        <v>48</v>
      </c>
      <c r="F9216" s="23" t="str">
        <f>HYPERLINK("https://www.spark-marketing.ru/Card/Lot/72558422", "Оказание услуг по организации готового питания для  лиц, содержащихся в Центре временного содержания иностранных граждан Управления МВД России по г. Набережные Челны")</f>
        <v>Оказание услуг по организации готового питания для  лиц, содержащихся в Центре временного содержания иностранных граждан Управления МВД России по г. Набережные Челны</v>
      </c>
      <c r="G9216" s="22" t="s">
        <v>217</v>
      </c>
      <c r="H9216" s="22" t="s">
        <v>1998</v>
      </c>
      <c r="I9216" s="26">
        <v>43678.708796296298</v>
      </c>
      <c r="J9216" s="23" t="str">
        <f>HYPERLINK("https://www.spark-marketing.ru/Card/Person/6084653", "ООО ""ВИТАРА""")</f>
        <v>ООО "ВИТАРА"</v>
      </c>
      <c r="K9216" s="24" t="s">
        <v>2437</v>
      </c>
      <c r="L9216" s="22" t="s">
        <v>10</v>
      </c>
      <c r="M9216" s="25">
        <v>355.68</v>
      </c>
      <c r="N9216" s="27">
        <v>0.99996563478260869</v>
      </c>
    </row>
    <row r="9217" spans="1:14" x14ac:dyDescent="0.15">
      <c r="A9217" s="23" t="str">
        <f>HYPERLINK("https://www.spark-marketing.ru/Card/Person/9675", "ФКУ ""ЦХ И СО МВД ПО РСО-АЛАНИЯ""")</f>
        <v>ФКУ "ЦХ И СО МВД ПО РСО-АЛАНИЯ"</v>
      </c>
      <c r="B9217" s="24" t="s">
        <v>8847</v>
      </c>
      <c r="C9217" s="25">
        <v>616000</v>
      </c>
      <c r="D9217" s="22" t="s">
        <v>13363</v>
      </c>
      <c r="E9217" s="22" t="s">
        <v>96</v>
      </c>
      <c r="F9217" s="23" t="str">
        <f>HYPERLINK("https://www.spark-marketing.ru/Card/Lot/72558513", "Оказание услуг по организации 3 х разового горячего питания для лиц, находящихся в ИВС МВД по РСО-Алания и 5 - ти разового горячего питания для несовершеннолетних правонарушителей, содержащихся в ЦВСНП на 2020 год")</f>
        <v>Оказание услуг по организации 3 х разового горячего питания для лиц, находящихся в ИВС МВД по РСО-Алания и 5 - ти разового горячего питания для несовершеннолетних правонарушителей, содержащихся в ЦВСНП на 2020 год</v>
      </c>
      <c r="G9217" s="22" t="s">
        <v>783</v>
      </c>
      <c r="H9217" s="22" t="s">
        <v>783</v>
      </c>
      <c r="I9217" s="26">
        <v>43678.734155092599</v>
      </c>
      <c r="J9217" s="23" t="str">
        <f>HYPERLINK("https://www.spark-marketing.ru/Card/Person/5770330", "Панасьян Георгий Степанович")</f>
        <v>Панасьян Георгий Степанович</v>
      </c>
      <c r="K9217" s="24" t="s">
        <v>13345</v>
      </c>
      <c r="L9217" s="22" t="s">
        <v>10</v>
      </c>
      <c r="M9217" s="28" t="s">
        <v>51</v>
      </c>
      <c r="N9217" s="28" t="s">
        <v>51</v>
      </c>
    </row>
    <row r="9218" spans="1:14" x14ac:dyDescent="0.15">
      <c r="A9218" s="23" t="str">
        <f>HYPERLINK("https://www.spark-marketing.ru/Card/Person/104397", "МО МВД РОССИИ НА ОВ И РО Г. СПБ И ЛО")</f>
        <v>МО МВД РОССИИ НА ОВ И РО Г. СПБ И ЛО</v>
      </c>
      <c r="B9218" s="24" t="s">
        <v>13364</v>
      </c>
      <c r="C9218" s="25">
        <v>520</v>
      </c>
      <c r="D9218" s="22" t="s">
        <v>13365</v>
      </c>
      <c r="E9218" s="22" t="s">
        <v>96</v>
      </c>
      <c r="F9218" s="23" t="str">
        <f>HYPERLINK("https://www.spark-marketing.ru/Card/Lot/72554686", "Оказание услуг по организации питания (приготовлению и доставке), 2 шт")</f>
        <v>Оказание услуг по организации питания (приготовлению и доставке), 2 шт</v>
      </c>
      <c r="G9218" s="22" t="s">
        <v>117</v>
      </c>
      <c r="H9218" s="22" t="s">
        <v>117</v>
      </c>
      <c r="I9218" s="26">
        <v>43678.711712962999</v>
      </c>
      <c r="J9218" s="28" t="s">
        <v>51</v>
      </c>
      <c r="K9218" s="28" t="s">
        <v>51</v>
      </c>
      <c r="L9218" s="28" t="s">
        <v>51</v>
      </c>
      <c r="M9218" s="28" t="s">
        <v>51</v>
      </c>
      <c r="N9218" s="28" t="s">
        <v>51</v>
      </c>
    </row>
    <row r="9219" spans="1:14" x14ac:dyDescent="0.15">
      <c r="A9219" s="23" t="str">
        <f>HYPERLINK("https://www.spark-marketing.ru/Card/Person/169844", "ОТДЕЛ МВД РОССИИ ПО СОВЕТСКОМУ ГОРОДСКОМУ ОКРУГУ")</f>
        <v>ОТДЕЛ МВД РОССИИ ПО СОВЕТСКОМУ ГОРОДСКОМУ ОКРУГУ</v>
      </c>
      <c r="B9219" s="24" t="s">
        <v>13353</v>
      </c>
      <c r="C9219" s="25">
        <v>1268750</v>
      </c>
      <c r="D9219" s="22" t="s">
        <v>13366</v>
      </c>
      <c r="E9219" s="22" t="s">
        <v>48</v>
      </c>
      <c r="F9219" s="23" t="str">
        <f>HYPERLINK("https://www.spark-marketing.ru/Card/Lot/72566430", "Питание ИВС")</f>
        <v>Питание ИВС</v>
      </c>
      <c r="G9219" s="22" t="s">
        <v>87</v>
      </c>
      <c r="H9219" s="22" t="s">
        <v>869</v>
      </c>
      <c r="I9219" s="26">
        <v>43678.712997685201</v>
      </c>
      <c r="J9219" s="23" t="str">
        <f>HYPERLINK("https://www.spark-marketing.ru/Card/Person/1093704", "РАЙПО")</f>
        <v>РАЙПО</v>
      </c>
      <c r="K9219" s="24" t="s">
        <v>13355</v>
      </c>
      <c r="L9219" s="22" t="s">
        <v>10</v>
      </c>
      <c r="M9219" s="28" t="s">
        <v>51</v>
      </c>
      <c r="N9219" s="28" t="s">
        <v>51</v>
      </c>
    </row>
    <row r="9220" spans="1:14" x14ac:dyDescent="0.15">
      <c r="A9220" s="23" t="str">
        <f>HYPERLINK("https://www.spark-marketing.ru/Card/Person/15359", "ГБУЗ ПК ""ОХАНСКАЯ ЦРБ""")</f>
        <v>ГБУЗ ПК "ОХАНСКАЯ ЦРБ"</v>
      </c>
      <c r="B9220" s="24" t="s">
        <v>2581</v>
      </c>
      <c r="C9220" s="25">
        <v>360000</v>
      </c>
      <c r="D9220" s="22" t="s">
        <v>13367</v>
      </c>
      <c r="E9220" s="22" t="s">
        <v>96</v>
      </c>
      <c r="F9220" s="23" t="str">
        <f>HYPERLINK("https://www.spark-marketing.ru/Card/Lot/72563050", "Услуги по предоставлению горячего питания для пациентов круглосуточных стационаров")</f>
        <v>Услуги по предоставлению горячего питания для пациентов круглосуточных стационаров</v>
      </c>
      <c r="G9220" s="22" t="s">
        <v>153</v>
      </c>
      <c r="H9220" s="22" t="s">
        <v>153</v>
      </c>
      <c r="I9220" s="26">
        <v>43678.718518518501</v>
      </c>
      <c r="J9220" s="23" t="str">
        <f>HYPERLINK("https://www.spark-marketing.ru/Card/Person/1427242", "ОХАНСКОЕ ГОРПО")</f>
        <v>ОХАНСКОЕ ГОРПО</v>
      </c>
      <c r="K9220" s="24" t="s">
        <v>2583</v>
      </c>
      <c r="L9220" s="22" t="s">
        <v>10</v>
      </c>
      <c r="M9220" s="28" t="s">
        <v>51</v>
      </c>
      <c r="N9220" s="28" t="s">
        <v>51</v>
      </c>
    </row>
    <row r="9221" spans="1:14" x14ac:dyDescent="0.15">
      <c r="A9221" s="23" t="str">
        <f>HYPERLINK("https://www.spark-marketing.ru/Card/Person/1051441", "МБОУ ""СШ № 30 ИМ. С.А. ЖЕЛЕЗНОВА""")</f>
        <v>МБОУ "СШ № 30 ИМ. С.А. ЖЕЛЕЗНОВА"</v>
      </c>
      <c r="B9221" s="24" t="s">
        <v>13368</v>
      </c>
      <c r="C9221" s="25">
        <v>1044316</v>
      </c>
      <c r="D9221" s="22" t="s">
        <v>13369</v>
      </c>
      <c r="E9221" s="22" t="s">
        <v>48</v>
      </c>
      <c r="F9221" s="23" t="str">
        <f>HYPERLINK("https://www.spark-marketing.ru/Card/Lot/72558479", "Оказание услуг по организации горячего питания и обеспечению горячим питанием учащихся МБОУ ""СШ № 30 им. С.А. Железнова""")</f>
        <v>Оказание услуг по организации горячего питания и обеспечению горячим питанием учащихся МБОУ "СШ № 30 им. С.А. Железнова"</v>
      </c>
      <c r="G9221" s="22" t="s">
        <v>460</v>
      </c>
      <c r="H9221" s="22" t="s">
        <v>461</v>
      </c>
      <c r="I9221" s="26">
        <v>43678.712002314802</v>
      </c>
      <c r="J9221" s="28" t="s">
        <v>51</v>
      </c>
      <c r="K9221" s="28" t="s">
        <v>51</v>
      </c>
      <c r="L9221" s="28" t="s">
        <v>51</v>
      </c>
      <c r="M9221" s="28" t="s">
        <v>51</v>
      </c>
      <c r="N9221" s="28" t="s">
        <v>51</v>
      </c>
    </row>
    <row r="9222" spans="1:14" x14ac:dyDescent="0.15">
      <c r="A9222" s="23" t="str">
        <f>HYPERLINK("https://www.spark-marketing.ru/Card/Person/104397", "МО МВД РОССИИ НА ОВ И РО Г. СПБ И ЛО")</f>
        <v>МО МВД РОССИИ НА ОВ И РО Г. СПБ И ЛО</v>
      </c>
      <c r="B9222" s="24" t="s">
        <v>13364</v>
      </c>
      <c r="C9222" s="25">
        <v>520</v>
      </c>
      <c r="D9222" s="22" t="s">
        <v>13370</v>
      </c>
      <c r="E9222" s="22" t="s">
        <v>96</v>
      </c>
      <c r="F9222" s="23" t="str">
        <f>HYPERLINK("https://www.spark-marketing.ru/Card/Lot/72555436", "Оказание услуг по организации питания (приготовлению и доставке), 2 шт")</f>
        <v>Оказание услуг по организации питания (приготовлению и доставке), 2 шт</v>
      </c>
      <c r="G9222" s="22" t="s">
        <v>117</v>
      </c>
      <c r="H9222" s="22" t="s">
        <v>117</v>
      </c>
      <c r="I9222" s="26">
        <v>43678.719375000001</v>
      </c>
      <c r="J9222" s="28" t="s">
        <v>51</v>
      </c>
      <c r="K9222" s="28" t="s">
        <v>51</v>
      </c>
      <c r="L9222" s="28" t="s">
        <v>51</v>
      </c>
      <c r="M9222" s="28" t="s">
        <v>51</v>
      </c>
      <c r="N9222" s="28" t="s">
        <v>51</v>
      </c>
    </row>
    <row r="9223" spans="1:14" x14ac:dyDescent="0.15">
      <c r="A9223" s="23" t="str">
        <f>HYPERLINK("https://www.spark-marketing.ru/Card/Person/953766", "МБОУ СОШ № 5")</f>
        <v>МБОУ СОШ № 5</v>
      </c>
      <c r="B9223" s="24" t="s">
        <v>13371</v>
      </c>
      <c r="C9223" s="25">
        <v>424333.52</v>
      </c>
      <c r="D9223" s="22" t="s">
        <v>13372</v>
      </c>
      <c r="E9223" s="22" t="s">
        <v>48</v>
      </c>
      <c r="F9223" s="23" t="str">
        <f>HYPERLINK("https://www.spark-marketing.ru/Card/Lot/72548556", "Оказание услуг по организации горячего питания для обучающихся муниципального бюджетного общеобразовательного учреждения средней общеобразовательной школы № 5 в соответствии со Спецификацией утвержденной Заказчиком, у субъектов малого предприниматель...")</f>
        <v>Оказание услуг по организации горячего питания для обучающихся муниципального бюджетного общеобразовательного учреждения средней общеобразовательной школы № 5 в соответствии со Спецификацией утвержденной Заказчиком, у субъектов малого предприниматель...</v>
      </c>
      <c r="G9223" s="22" t="s">
        <v>281</v>
      </c>
      <c r="H9223" s="22" t="s">
        <v>1436</v>
      </c>
      <c r="I9223" s="26">
        <v>43678.684340277803</v>
      </c>
      <c r="J9223" s="23" t="str">
        <f>HYPERLINK("https://www.spark-marketing.ru/Card/Person/171101", "Майоров Виталий Александрович")</f>
        <v>Майоров Виталий Александрович</v>
      </c>
      <c r="K9223" s="24" t="s">
        <v>3590</v>
      </c>
      <c r="L9223" s="22" t="s">
        <v>10</v>
      </c>
      <c r="M9223" s="28" t="s">
        <v>51</v>
      </c>
      <c r="N9223" s="28" t="s">
        <v>51</v>
      </c>
    </row>
    <row r="9224" spans="1:14" x14ac:dyDescent="0.15">
      <c r="A9224" s="23" t="str">
        <f>HYPERLINK("https://www.spark-marketing.ru/Card/Person/382414", "МЕЖМУНИЦИПАЛЬНЫЙ ОТДЕЛ МВД РОССИИ ""АЗОВСКИЙ""")</f>
        <v>МЕЖМУНИЦИПАЛЬНЫЙ ОТДЕЛ МВД РОССИИ "АЗОВСКИЙ"</v>
      </c>
      <c r="B9224" s="24" t="s">
        <v>9342</v>
      </c>
      <c r="C9224" s="25">
        <v>1244800</v>
      </c>
      <c r="D9224" s="22" t="s">
        <v>13373</v>
      </c>
      <c r="E9224" s="22" t="s">
        <v>48</v>
      </c>
      <c r="F9224" s="23" t="str">
        <f>HYPERLINK("https://www.spark-marketing.ru/Card/Lot/72566391", "Услуги организации горячего 3-х разового питания (завтрак, обед, ужин) спецконтенгента, содержащегося в ИВС")</f>
        <v>Услуги организации горячего 3-х разового питания (завтрак, обед, ужин) спецконтенгента, содержащегося в ИВС</v>
      </c>
      <c r="G9224" s="22" t="s">
        <v>267</v>
      </c>
      <c r="H9224" s="22" t="s">
        <v>611</v>
      </c>
      <c r="I9224" s="26">
        <v>43678.694027777798</v>
      </c>
      <c r="J9224" s="28" t="s">
        <v>51</v>
      </c>
      <c r="K9224" s="28" t="s">
        <v>51</v>
      </c>
      <c r="L9224" s="28" t="s">
        <v>51</v>
      </c>
      <c r="M9224" s="28" t="s">
        <v>51</v>
      </c>
      <c r="N9224" s="28" t="s">
        <v>51</v>
      </c>
    </row>
    <row r="9225" spans="1:14" ht="12.75" hidden="1" outlineLevel="1" x14ac:dyDescent="0.2">
      <c r="A9225" s="23" t="str">
        <f>HYPERLINK("https://www.spark-marketing.ru/Card/Person/382414", "МЕЖМУНИЦИПАЛЬНЫЙ ОТДЕЛ МВД РОССИИ ""АЗОВСКИЙ""")</f>
        <v>МЕЖМУНИЦИПАЛЬНЫЙ ОТДЕЛ МВД РОССИИ "АЗОВСКИЙ"</v>
      </c>
      <c r="B9225" s="24" t="s">
        <v>9342</v>
      </c>
      <c r="C9225" s="25">
        <v>1244800</v>
      </c>
      <c r="D9225" s="22" t="s">
        <v>13373</v>
      </c>
      <c r="E9225" s="22" t="s">
        <v>48</v>
      </c>
      <c r="F9225" s="23" t="str">
        <f>HYPERLINK("https://www.spark-marketing.ru/Card/Lot/72566391", "Услуги организации горячего 3-х разового питания (завтрак, обед, ужин) спецконтенгента, содержащегося в ИВС")</f>
        <v>Услуги организации горячего 3-х разового питания (завтрак, обед, ужин) спецконтенгента, содержащегося в ИВС</v>
      </c>
      <c r="G9225" s="22" t="s">
        <v>267</v>
      </c>
      <c r="H9225" s="22" t="s">
        <v>611</v>
      </c>
      <c r="I9225" s="26">
        <v>43678.694027777798</v>
      </c>
      <c r="J9225" s="23" t="str">
        <f>HYPERLINK("https://www.spark-marketing.ru/Card/Person/779712", "Пулатова Ирина Леонидовна")</f>
        <v>Пулатова Ирина Леонидовна</v>
      </c>
      <c r="K9225" s="24" t="s">
        <v>9910</v>
      </c>
      <c r="L9225" s="22" t="s">
        <v>10</v>
      </c>
      <c r="M9225" s="25">
        <v>1232352</v>
      </c>
      <c r="N9225" s="27">
        <v>0.01</v>
      </c>
    </row>
    <row r="9226" spans="1:14" hidden="1" outlineLevel="1" x14ac:dyDescent="0.2">
      <c r="A9226" s="23" t="str">
        <f>HYPERLINK("https://www.spark-marketing.ru/Card/Person/382414", "МЕЖМУНИЦИПАЛЬНЫЙ ОТДЕЛ МВД РОССИИ ""АЗОВСКИЙ""")</f>
        <v>МЕЖМУНИЦИПАЛЬНЫЙ ОТДЕЛ МВД РОССИИ "АЗОВСКИЙ"</v>
      </c>
      <c r="B9226" s="24" t="s">
        <v>9342</v>
      </c>
      <c r="C9226" s="25">
        <v>1244800</v>
      </c>
      <c r="D9226" s="22" t="s">
        <v>13373</v>
      </c>
      <c r="E9226" s="22" t="s">
        <v>48</v>
      </c>
      <c r="F9226" s="23" t="str">
        <f>HYPERLINK("https://www.spark-marketing.ru/Card/Lot/72566391", "Услуги организации горячего 3-х разового питания (завтрак, обед, ужин) спецконтенгента, содержащегося в ИВС")</f>
        <v>Услуги организации горячего 3-х разового питания (завтрак, обед, ужин) спецконтенгента, содержащегося в ИВС</v>
      </c>
      <c r="G9226" s="22" t="s">
        <v>267</v>
      </c>
      <c r="H9226" s="22" t="s">
        <v>611</v>
      </c>
      <c r="I9226" s="26">
        <v>43678.694027777798</v>
      </c>
      <c r="J9226" s="23" t="str">
        <f>HYPERLINK("https://www.spark-marketing.ru/Card/Person/387317", "Белоусько Елена Петровна")</f>
        <v>Белоусько Елена Петровна</v>
      </c>
      <c r="K9226" s="24" t="s">
        <v>13192</v>
      </c>
      <c r="L9226" s="28" t="s">
        <v>51</v>
      </c>
      <c r="M9226" s="25">
        <v>1238576</v>
      </c>
      <c r="N9226" s="27">
        <v>5.0000000000000001E-3</v>
      </c>
    </row>
    <row r="9227" spans="1:14" x14ac:dyDescent="0.15">
      <c r="A9227" s="23" t="str">
        <f>HYPERLINK("https://www.spark-marketing.ru/Card/Person/64295", "ПИОНЕРСКАЯ ГБ")</f>
        <v>ПИОНЕРСКАЯ ГБ</v>
      </c>
      <c r="B9227" s="24" t="s">
        <v>3173</v>
      </c>
      <c r="C9227" s="25">
        <v>3516630</v>
      </c>
      <c r="D9227" s="22" t="s">
        <v>13374</v>
      </c>
      <c r="E9227" s="22" t="s">
        <v>48</v>
      </c>
      <c r="F9227" s="23" t="str">
        <f>HYPERLINK("https://www.spark-marketing.ru/Card/Lot/72558911", "оказание услуг по организации горячего питания находящихся на стационарном лечении пациентов")</f>
        <v>оказание услуг по организации горячего питания находящихся на стационарном лечении пациентов</v>
      </c>
      <c r="G9227" s="22" t="s">
        <v>400</v>
      </c>
      <c r="H9227" s="22" t="s">
        <v>3175</v>
      </c>
      <c r="I9227" s="26">
        <v>43678.670601851903</v>
      </c>
      <c r="J9227" s="28" t="s">
        <v>51</v>
      </c>
      <c r="K9227" s="28" t="s">
        <v>51</v>
      </c>
      <c r="L9227" s="28" t="s">
        <v>51</v>
      </c>
      <c r="M9227" s="28" t="s">
        <v>51</v>
      </c>
      <c r="N9227" s="28" t="s">
        <v>51</v>
      </c>
    </row>
    <row r="9228" spans="1:14" x14ac:dyDescent="0.15">
      <c r="A9228" s="23" t="str">
        <f>HYPERLINK("https://www.spark-marketing.ru/Card/Person/729", "ДЗ ВО")</f>
        <v>ДЗ ВО</v>
      </c>
      <c r="B9228" s="24" t="s">
        <v>13375</v>
      </c>
      <c r="C9228" s="25">
        <v>50000</v>
      </c>
      <c r="D9228" s="22" t="s">
        <v>13376</v>
      </c>
      <c r="E9228" s="22" t="s">
        <v>13377</v>
      </c>
      <c r="F9228" s="23" t="str">
        <f>HYPERLINK("https://www.spark-marketing.ru/Card/Lot/72557740", "Оказание услуг по изготовлению и трансляции многокомпонентной программы о правильном питании (№ 142)")</f>
        <v>Оказание услуг по изготовлению и трансляции многокомпонентной программы о правильном питании (№ 142)</v>
      </c>
      <c r="G9228" s="22" t="s">
        <v>82</v>
      </c>
      <c r="H9228" s="22" t="s">
        <v>83</v>
      </c>
      <c r="I9228" s="26">
        <v>43678.694444444402</v>
      </c>
      <c r="J9228" s="28" t="s">
        <v>51</v>
      </c>
      <c r="K9228" s="28" t="s">
        <v>51</v>
      </c>
      <c r="L9228" s="28" t="s">
        <v>51</v>
      </c>
      <c r="M9228" s="28" t="s">
        <v>51</v>
      </c>
      <c r="N9228" s="28" t="s">
        <v>51</v>
      </c>
    </row>
    <row r="9229" spans="1:14" ht="12.75" hidden="1" outlineLevel="1" x14ac:dyDescent="0.2">
      <c r="A9229" s="23" t="str">
        <f>HYPERLINK("https://www.spark-marketing.ru/Card/Person/729", "ДЗ ВО")</f>
        <v>ДЗ ВО</v>
      </c>
      <c r="B9229" s="24" t="s">
        <v>13375</v>
      </c>
      <c r="C9229" s="25">
        <v>50000</v>
      </c>
      <c r="D9229" s="22" t="s">
        <v>13376</v>
      </c>
      <c r="E9229" s="22" t="s">
        <v>13377</v>
      </c>
      <c r="F9229" s="23" t="str">
        <f>HYPERLINK("https://www.spark-marketing.ru/Card/Lot/72557740", "Оказание услуг по изготовлению и трансляции многокомпонентной программы о правильном питании (№ 142)")</f>
        <v>Оказание услуг по изготовлению и трансляции многокомпонентной программы о правильном питании (№ 142)</v>
      </c>
      <c r="G9229" s="22" t="s">
        <v>82</v>
      </c>
      <c r="H9229" s="22" t="s">
        <v>83</v>
      </c>
      <c r="I9229" s="26">
        <v>43678.694444444402</v>
      </c>
      <c r="J9229" s="23" t="str">
        <f>HYPERLINK("https://www.spark-marketing.ru/Card/Person/263923", "АО ""СТУДИЯ ""ГУБЕРНИЯ""")</f>
        <v>АО "СТУДИЯ "ГУБЕРНИЯ"</v>
      </c>
      <c r="K9229" s="24" t="s">
        <v>13378</v>
      </c>
      <c r="L9229" s="22" t="s">
        <v>10</v>
      </c>
      <c r="M9229" s="25">
        <v>49900</v>
      </c>
      <c r="N9229" s="27">
        <v>2E-3</v>
      </c>
    </row>
    <row r="9230" spans="1:14" hidden="1" outlineLevel="1" x14ac:dyDescent="0.2">
      <c r="A9230" s="23" t="str">
        <f>HYPERLINK("https://www.spark-marketing.ru/Card/Person/729", "ДЗ ВО")</f>
        <v>ДЗ ВО</v>
      </c>
      <c r="B9230" s="24" t="s">
        <v>13375</v>
      </c>
      <c r="C9230" s="25">
        <v>50000</v>
      </c>
      <c r="D9230" s="22" t="s">
        <v>13376</v>
      </c>
      <c r="E9230" s="22" t="s">
        <v>13377</v>
      </c>
      <c r="F9230" s="23" t="str">
        <f>HYPERLINK("https://www.spark-marketing.ru/Card/Lot/72557740", "Оказание услуг по изготовлению и трансляции многокомпонентной программы о правильном питании (№ 142)")</f>
        <v>Оказание услуг по изготовлению и трансляции многокомпонентной программы о правильном питании (№ 142)</v>
      </c>
      <c r="G9230" s="22" t="s">
        <v>82</v>
      </c>
      <c r="H9230" s="22" t="s">
        <v>83</v>
      </c>
      <c r="I9230" s="26">
        <v>43678.694444444402</v>
      </c>
      <c r="J9230" s="23" t="str">
        <f>HYPERLINK("https://www.spark-marketing.ru/Card/Person/291931", "ООО ""ТЕТРАГОН""")</f>
        <v>ООО "ТЕТРАГОН"</v>
      </c>
      <c r="K9230" s="24" t="s">
        <v>13379</v>
      </c>
      <c r="L9230" s="28" t="s">
        <v>51</v>
      </c>
      <c r="M9230" s="25">
        <v>50000</v>
      </c>
      <c r="N9230" s="27">
        <v>0</v>
      </c>
    </row>
    <row r="9231" spans="1:14" x14ac:dyDescent="0.15">
      <c r="A9231" s="23" t="str">
        <f>HYPERLINK("https://www.spark-marketing.ru/Card/Person/55235", "УПРАВЛЕНИЕ МВД РОССИИ ПО ГОРОДУ НАБЕРЕЖНЫЕ ЧЕЛНЫ")</f>
        <v>УПРАВЛЕНИЕ МВД РОССИИ ПО ГОРОДУ НАБЕРЕЖНЫЕ ЧЕЛНЫ</v>
      </c>
      <c r="B9231" s="24" t="s">
        <v>13361</v>
      </c>
      <c r="C9231" s="25">
        <v>2950000</v>
      </c>
      <c r="D9231" s="22" t="s">
        <v>13380</v>
      </c>
      <c r="E9231" s="22" t="s">
        <v>48</v>
      </c>
      <c r="F9231" s="23" t="str">
        <f>HYPERLINK("https://www.spark-marketing.ru/Card/Lot/72558247", "Оказание услуг по организации готового питания для лиц, содержащихся в Центре временного содержания иностранных граждан Управления МВД России по г. Набережные Челны")</f>
        <v>Оказание услуг по организации готового питания для лиц, содержащихся в Центре временного содержания иностранных граждан Управления МВД России по г. Набережные Челны</v>
      </c>
      <c r="G9231" s="22" t="s">
        <v>217</v>
      </c>
      <c r="H9231" s="22" t="s">
        <v>1998</v>
      </c>
      <c r="I9231" s="26">
        <v>43678.699085648099</v>
      </c>
      <c r="J9231" s="28" t="s">
        <v>51</v>
      </c>
      <c r="K9231" s="28" t="s">
        <v>51</v>
      </c>
      <c r="L9231" s="28" t="s">
        <v>51</v>
      </c>
      <c r="M9231" s="28" t="s">
        <v>51</v>
      </c>
      <c r="N9231" s="28" t="s">
        <v>51</v>
      </c>
    </row>
    <row r="9232" spans="1:14" ht="12.75" hidden="1" outlineLevel="1" x14ac:dyDescent="0.2">
      <c r="A9232" s="23" t="str">
        <f>HYPERLINK("https://www.spark-marketing.ru/Card/Person/55235", "УПРАВЛЕНИЕ МВД РОССИИ ПО ГОРОДУ НАБЕРЕЖНЫЕ ЧЕЛНЫ")</f>
        <v>УПРАВЛЕНИЕ МВД РОССИИ ПО ГОРОДУ НАБЕРЕЖНЫЕ ЧЕЛНЫ</v>
      </c>
      <c r="B9232" s="24" t="s">
        <v>13361</v>
      </c>
      <c r="C9232" s="25">
        <v>2950000</v>
      </c>
      <c r="D9232" s="22" t="s">
        <v>13380</v>
      </c>
      <c r="E9232" s="22" t="s">
        <v>48</v>
      </c>
      <c r="F9232" s="23" t="str">
        <f>HYPERLINK("https://www.spark-marketing.ru/Card/Lot/72558247", "Оказание услуг по организации готового питания для лиц, содержащихся в Центре временного содержания иностранных граждан Управления МВД России по г. Набережные Челны")</f>
        <v>Оказание услуг по организации готового питания для лиц, содержащихся в Центре временного содержания иностранных граждан Управления МВД России по г. Набережные Челны</v>
      </c>
      <c r="G9232" s="22" t="s">
        <v>217</v>
      </c>
      <c r="H9232" s="22" t="s">
        <v>1998</v>
      </c>
      <c r="I9232" s="26">
        <v>43678.699085648099</v>
      </c>
      <c r="J9232" s="23" t="str">
        <f>HYPERLINK("https://www.spark-marketing.ru/Card/Person/6084653", "ООО ""ВИТАРА""")</f>
        <v>ООО "ВИТАРА"</v>
      </c>
      <c r="K9232" s="24" t="s">
        <v>2437</v>
      </c>
      <c r="L9232" s="22" t="s">
        <v>10</v>
      </c>
      <c r="M9232" s="25">
        <v>355.15</v>
      </c>
      <c r="N9232" s="27">
        <v>0.99987961016949156</v>
      </c>
    </row>
    <row r="9233" spans="1:14" hidden="1" outlineLevel="1" x14ac:dyDescent="0.2">
      <c r="A9233" s="23" t="str">
        <f>HYPERLINK("https://www.spark-marketing.ru/Card/Person/55235", "УПРАВЛЕНИЕ МВД РОССИИ ПО ГОРОДУ НАБЕРЕЖНЫЕ ЧЕЛНЫ")</f>
        <v>УПРАВЛЕНИЕ МВД РОССИИ ПО ГОРОДУ НАБЕРЕЖНЫЕ ЧЕЛНЫ</v>
      </c>
      <c r="B9233" s="24" t="s">
        <v>13361</v>
      </c>
      <c r="C9233" s="25">
        <v>2950000</v>
      </c>
      <c r="D9233" s="22" t="s">
        <v>13380</v>
      </c>
      <c r="E9233" s="22" t="s">
        <v>48</v>
      </c>
      <c r="F9233" s="23" t="str">
        <f>HYPERLINK("https://www.spark-marketing.ru/Card/Lot/72558247", "Оказание услуг по организации готового питания для лиц, содержащихся в Центре временного содержания иностранных граждан Управления МВД России по г. Набережные Челны")</f>
        <v>Оказание услуг по организации готового питания для лиц, содержащихся в Центре временного содержания иностранных граждан Управления МВД России по г. Набережные Челны</v>
      </c>
      <c r="G9233" s="22" t="s">
        <v>217</v>
      </c>
      <c r="H9233" s="22" t="s">
        <v>1998</v>
      </c>
      <c r="I9233" s="26">
        <v>43678.699085648099</v>
      </c>
      <c r="J9233" s="23" t="str">
        <f>HYPERLINK("https://www.spark-marketing.ru/Card/Person/234213", "ООО ""НИГМА""")</f>
        <v>ООО "НИГМА"</v>
      </c>
      <c r="K9233" s="24" t="s">
        <v>1999</v>
      </c>
      <c r="L9233" s="28" t="s">
        <v>51</v>
      </c>
      <c r="M9233" s="25">
        <v>357.76</v>
      </c>
      <c r="N9233" s="27">
        <v>0.9998787254237288</v>
      </c>
    </row>
    <row r="9234" spans="1:14" x14ac:dyDescent="0.15">
      <c r="A9234" s="23" t="str">
        <f>HYPERLINK("https://www.spark-marketing.ru/Card/Person/1003070", "МБОУ ""ЛИЦЕЙ № 1 ИМ. АКАДЕМИКА Б.Н. ПЕТРОВА""")</f>
        <v>МБОУ "ЛИЦЕЙ № 1 ИМ. АКАДЕМИКА Б.Н. ПЕТРОВА"</v>
      </c>
      <c r="B9234" s="24" t="s">
        <v>13381</v>
      </c>
      <c r="C9234" s="25">
        <v>1169940</v>
      </c>
      <c r="D9234" s="22" t="s">
        <v>13382</v>
      </c>
      <c r="E9234" s="22" t="s">
        <v>48</v>
      </c>
      <c r="F9234" s="23" t="str">
        <f>HYPERLINK("https://www.spark-marketing.ru/Card/Lot/72554908", "Оказание услуг по организации горячего питания и обеспечению горячим питанием учащихся МБОУ ""Лицей № 1 им. академика Б.Н. Петрова""")</f>
        <v>Оказание услуг по организации горячего питания и обеспечению горячим питанием учащихся МБОУ "Лицей № 1 им. академика Б.Н. Петрова"</v>
      </c>
      <c r="G9234" s="22" t="s">
        <v>460</v>
      </c>
      <c r="H9234" s="22" t="s">
        <v>461</v>
      </c>
      <c r="I9234" s="26">
        <v>43678.666377314803</v>
      </c>
      <c r="J9234" s="28" t="s">
        <v>51</v>
      </c>
      <c r="K9234" s="28" t="s">
        <v>51</v>
      </c>
      <c r="L9234" s="28" t="s">
        <v>51</v>
      </c>
      <c r="M9234" s="28" t="s">
        <v>51</v>
      </c>
      <c r="N9234" s="28" t="s">
        <v>51</v>
      </c>
    </row>
    <row r="9235" spans="1:14" x14ac:dyDescent="0.15">
      <c r="A9235" s="23" t="str">
        <f>HYPERLINK("https://www.spark-marketing.ru/Card/Person/71328", "МО МВД РОССИИ ""СЛАВГОРОДСКИЙ""")</f>
        <v>МО МВД РОССИИ "СЛАВГОРОДСКИЙ"</v>
      </c>
      <c r="B9235" s="24" t="s">
        <v>8030</v>
      </c>
      <c r="C9235" s="25">
        <v>264000</v>
      </c>
      <c r="D9235" s="22" t="s">
        <v>13383</v>
      </c>
      <c r="E9235" s="22" t="s">
        <v>48</v>
      </c>
      <c r="F9235" s="23" t="str">
        <f>HYPERLINK("https://www.spark-marketing.ru/Card/Lot/72545743", "услуги по обеспечению питанием лиц, содержащихся в изоляторе временного содержания и камере административно задержанных")</f>
        <v>услуги по обеспечению питанием лиц, содержащихся в изоляторе временного содержания и камере административно задержанных</v>
      </c>
      <c r="G9235" s="22" t="s">
        <v>63</v>
      </c>
      <c r="H9235" s="22" t="s">
        <v>6594</v>
      </c>
      <c r="I9235" s="26">
        <v>43678.6547685185</v>
      </c>
      <c r="J9235" s="28" t="s">
        <v>51</v>
      </c>
      <c r="K9235" s="28" t="s">
        <v>51</v>
      </c>
      <c r="L9235" s="28" t="s">
        <v>51</v>
      </c>
      <c r="M9235" s="28" t="s">
        <v>51</v>
      </c>
      <c r="N9235" s="28" t="s">
        <v>51</v>
      </c>
    </row>
    <row r="9236" spans="1:14" x14ac:dyDescent="0.15">
      <c r="A9236" s="23" t="str">
        <f>HYPERLINK("https://www.spark-marketing.ru/Card/Person/1086682", "МБОУ ""СШ № 14""")</f>
        <v>МБОУ "СШ № 14"</v>
      </c>
      <c r="B9236" s="24" t="s">
        <v>13384</v>
      </c>
      <c r="C9236" s="25">
        <v>681700</v>
      </c>
      <c r="D9236" s="22" t="s">
        <v>13385</v>
      </c>
      <c r="E9236" s="22" t="s">
        <v>48</v>
      </c>
      <c r="F9236" s="23" t="str">
        <f>HYPERLINK("https://www.spark-marketing.ru/Card/Lot/72555175", "Оказание услуг по организации горячего питания и обеспечению горячим питанием учащихся МБОУ ""СШ № 14""")</f>
        <v>Оказание услуг по организации горячего питания и обеспечению горячим питанием учащихся МБОУ "СШ № 14"</v>
      </c>
      <c r="G9236" s="22" t="s">
        <v>460</v>
      </c>
      <c r="H9236" s="22" t="s">
        <v>461</v>
      </c>
      <c r="I9236" s="26">
        <v>43678.657199074099</v>
      </c>
      <c r="J9236" s="28" t="s">
        <v>51</v>
      </c>
      <c r="K9236" s="28" t="s">
        <v>51</v>
      </c>
      <c r="L9236" s="28" t="s">
        <v>51</v>
      </c>
      <c r="M9236" s="28" t="s">
        <v>51</v>
      </c>
      <c r="N9236" s="28" t="s">
        <v>51</v>
      </c>
    </row>
    <row r="9237" spans="1:14" x14ac:dyDescent="0.15">
      <c r="A9237" s="23" t="str">
        <f>HYPERLINK("https://www.spark-marketing.ru/Card/Person/6495199", "МБДОУ ""ДЕТСКИЙ САД ""ТЕРЕМОК"" С.ШАРАН""")</f>
        <v>МБДОУ "ДЕТСКИЙ САД "ТЕРЕМОК" С.ШАРАН"</v>
      </c>
      <c r="B9237" s="24" t="s">
        <v>13386</v>
      </c>
      <c r="C9237" s="25">
        <v>1042468.09</v>
      </c>
      <c r="D9237" s="22" t="s">
        <v>13387</v>
      </c>
      <c r="E9237" s="22" t="s">
        <v>48</v>
      </c>
      <c r="F9237" s="23" t="str">
        <f>HYPERLINK("https://www.spark-marketing.ru/Card/Lot/72549247", "Услуги по организации горячего питания в муниципальном бюджетном дошкольном образовательном учреждении «Детский сад «Теремок» с.Шаран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«Теремок» с.Шаран муниципального района Шаранский район РБ»</v>
      </c>
      <c r="G9237" s="22" t="s">
        <v>145</v>
      </c>
      <c r="H9237" s="22" t="s">
        <v>12518</v>
      </c>
      <c r="I9237" s="26">
        <v>43678.638726851903</v>
      </c>
      <c r="J9237" s="28" t="s">
        <v>51</v>
      </c>
      <c r="K9237" s="28" t="s">
        <v>51</v>
      </c>
      <c r="L9237" s="28" t="s">
        <v>51</v>
      </c>
      <c r="M9237" s="28" t="s">
        <v>51</v>
      </c>
      <c r="N9237" s="28" t="s">
        <v>51</v>
      </c>
    </row>
    <row r="9238" spans="1:14" ht="12.75" hidden="1" outlineLevel="1" x14ac:dyDescent="0.2">
      <c r="A9238" s="23" t="str">
        <f>HYPERLINK("https://www.spark-marketing.ru/Card/Person/6495199", "МБДОУ ""ДЕТСКИЙ САД ""ТЕРЕМОК"" С.ШАРАН""")</f>
        <v>МБДОУ "ДЕТСКИЙ САД "ТЕРЕМОК" С.ШАРАН"</v>
      </c>
      <c r="B9238" s="24" t="s">
        <v>13386</v>
      </c>
      <c r="C9238" s="25">
        <v>1042468.09</v>
      </c>
      <c r="D9238" s="22" t="s">
        <v>13387</v>
      </c>
      <c r="E9238" s="22" t="s">
        <v>48</v>
      </c>
      <c r="F9238" s="23" t="str">
        <f>HYPERLINK("https://www.spark-marketing.ru/Card/Lot/72549247", "Услуги по организации горячего питания в муниципальном бюджетном дошкольном образовательном учреждении «Детский сад «Теремок» с.Шаран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«Теремок» с.Шаран муниципального района Шаранский район РБ»</v>
      </c>
      <c r="G9238" s="22" t="s">
        <v>145</v>
      </c>
      <c r="H9238" s="22" t="s">
        <v>12518</v>
      </c>
      <c r="I9238" s="26">
        <v>43678.638726851903</v>
      </c>
      <c r="J9238" s="23" t="str">
        <f>HYPERLINK("https://www.spark-marketing.ru/Card/Person/1089466", "Давлетова Надежда Мурзагареевна")</f>
        <v>Давлетова Надежда Мурзагареевна</v>
      </c>
      <c r="K9238" s="24" t="s">
        <v>12519</v>
      </c>
      <c r="L9238" s="22" t="s">
        <v>10</v>
      </c>
      <c r="M9238" s="25">
        <v>1042468.09</v>
      </c>
      <c r="N9238" s="27">
        <v>0</v>
      </c>
    </row>
    <row r="9239" spans="1:14" hidden="1" outlineLevel="1" x14ac:dyDescent="0.2">
      <c r="A9239" s="23" t="str">
        <f>HYPERLINK("https://www.spark-marketing.ru/Card/Person/6495199", "МБДОУ ""ДЕТСКИЙ САД ""ТЕРЕМОК"" С.ШАРАН""")</f>
        <v>МБДОУ "ДЕТСКИЙ САД "ТЕРЕМОК" С.ШАРАН"</v>
      </c>
      <c r="B9239" s="24" t="s">
        <v>13386</v>
      </c>
      <c r="C9239" s="25">
        <v>1042468.09</v>
      </c>
      <c r="D9239" s="22" t="s">
        <v>13387</v>
      </c>
      <c r="E9239" s="22" t="s">
        <v>48</v>
      </c>
      <c r="F9239" s="23" t="str">
        <f>HYPERLINK("https://www.spark-marketing.ru/Card/Lot/72549247", "Услуги по организации горячего питания в муниципальном бюджетном дошкольном образовательном учреждении «Детский сад «Теремок» с.Шаран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«Теремок» с.Шаран муниципального района Шаранский район РБ»</v>
      </c>
      <c r="G9239" s="22" t="s">
        <v>145</v>
      </c>
      <c r="H9239" s="22" t="s">
        <v>12518</v>
      </c>
      <c r="I9239" s="26">
        <v>43678.638726851903</v>
      </c>
      <c r="J9239" s="23" t="str">
        <f>HYPERLINK("https://www.spark-marketing.ru/Card/Person/145110", "ООО ""ТК ""ЗК""")</f>
        <v>ООО "ТК "ЗК"</v>
      </c>
      <c r="K9239" s="24" t="s">
        <v>5800</v>
      </c>
      <c r="L9239" s="28" t="s">
        <v>51</v>
      </c>
      <c r="M9239" s="25">
        <v>1042468.09</v>
      </c>
      <c r="N9239" s="27">
        <v>0</v>
      </c>
    </row>
    <row r="9240" spans="1:14" x14ac:dyDescent="0.15">
      <c r="A9240" s="23" t="str">
        <f>HYPERLINK("https://www.spark-marketing.ru/Card/Person/114260", "ГБУЗ АРХАНГЕЛЬСКОЙ ОБЛАСТИ ""ШЕНКУРСКАЯ ЦРБ ИМ. Н.Н. ПРИОРОВА""")</f>
        <v>ГБУЗ АРХАНГЕЛЬСКОЙ ОБЛАСТИ "ШЕНКУРСКАЯ ЦРБ ИМ. Н.Н. ПРИОРОВА"</v>
      </c>
      <c r="B9240" s="24" t="s">
        <v>13388</v>
      </c>
      <c r="C9240" s="25">
        <v>3997600</v>
      </c>
      <c r="D9240" s="22" t="s">
        <v>13389</v>
      </c>
      <c r="E9240" s="22" t="s">
        <v>48</v>
      </c>
      <c r="F9240" s="23" t="str">
        <f>HYPERLINK("https://www.spark-marketing.ru/Card/Lot/72555202", "Оказание услуг по организации лечебного питания пациентов в круглосуточном стационаре ГБУЗ Архангельской области ""Шенкурская центральная районная больница имени Н.Н. Приорова """)</f>
        <v>Оказание услуг по организации лечебного питания пациентов в круглосуточном стационаре ГБУЗ Архангельской области "Шенкурская центральная районная больница имени Н.Н. Приорова "</v>
      </c>
      <c r="G9240" s="22" t="s">
        <v>214</v>
      </c>
      <c r="H9240" s="22" t="s">
        <v>13390</v>
      </c>
      <c r="I9240" s="26">
        <v>43678.650578703702</v>
      </c>
      <c r="J9240" s="23" t="str">
        <f>HYPERLINK("https://www.spark-marketing.ru/Card/Person/1108688", "ПО ""ШЕНКУРСКОЕ""")</f>
        <v>ПО "ШЕНКУРСКОЕ"</v>
      </c>
      <c r="K9240" s="24" t="s">
        <v>13391</v>
      </c>
      <c r="L9240" s="22" t="s">
        <v>10</v>
      </c>
      <c r="M9240" s="28" t="s">
        <v>51</v>
      </c>
      <c r="N9240" s="28" t="s">
        <v>51</v>
      </c>
    </row>
    <row r="9241" spans="1:14" x14ac:dyDescent="0.15">
      <c r="A9241" s="23" t="str">
        <f>HYPERLINK("https://www.spark-marketing.ru/Card/Person/735970", "МБОУ ""СОШ Д.ТРИ КЛЮЧА""")</f>
        <v>МБОУ "СОШ Д.ТРИ КЛЮЧА"</v>
      </c>
      <c r="B9241" s="24" t="s">
        <v>13392</v>
      </c>
      <c r="C9241" s="25">
        <v>399632.07</v>
      </c>
      <c r="D9241" s="22" t="s">
        <v>13393</v>
      </c>
      <c r="E9241" s="22" t="s">
        <v>48</v>
      </c>
      <c r="F9241" s="23" t="str">
        <f>HYPERLINK("https://www.spark-marketing.ru/Card/Lot/72547736", "Услуги по организации горячего питания в муниципальном бюджетном общеобразовательном учреждении «Средняя общеобразовательная школа д. Три Ключа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д. Три Ключа муниципального района Шаранский район РБ»</v>
      </c>
      <c r="G9241" s="22" t="s">
        <v>145</v>
      </c>
      <c r="H9241" s="22" t="s">
        <v>12518</v>
      </c>
      <c r="I9241" s="26">
        <v>43678.635891203703</v>
      </c>
      <c r="J9241" s="28" t="s">
        <v>51</v>
      </c>
      <c r="K9241" s="28" t="s">
        <v>51</v>
      </c>
      <c r="L9241" s="28" t="s">
        <v>51</v>
      </c>
      <c r="M9241" s="28" t="s">
        <v>51</v>
      </c>
      <c r="N9241" s="28" t="s">
        <v>51</v>
      </c>
    </row>
    <row r="9242" spans="1:14" ht="12.75" hidden="1" outlineLevel="1" x14ac:dyDescent="0.2">
      <c r="A9242" s="23" t="str">
        <f>HYPERLINK("https://www.spark-marketing.ru/Card/Person/735970", "МБОУ ""СОШ Д.ТРИ КЛЮЧА""")</f>
        <v>МБОУ "СОШ Д.ТРИ КЛЮЧА"</v>
      </c>
      <c r="B9242" s="24" t="s">
        <v>13392</v>
      </c>
      <c r="C9242" s="25">
        <v>399632.07</v>
      </c>
      <c r="D9242" s="22" t="s">
        <v>13393</v>
      </c>
      <c r="E9242" s="22" t="s">
        <v>48</v>
      </c>
      <c r="F9242" s="23" t="str">
        <f>HYPERLINK("https://www.spark-marketing.ru/Card/Lot/72547736", "Услуги по организации горячего питания в муниципальном бюджетном общеобразовательном учреждении «Средняя общеобразовательная школа д. Три Ключа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д. Три Ключа муниципального района Шаранский район РБ»</v>
      </c>
      <c r="G9242" s="22" t="s">
        <v>145</v>
      </c>
      <c r="H9242" s="22" t="s">
        <v>12518</v>
      </c>
      <c r="I9242" s="26">
        <v>43678.635891203703</v>
      </c>
      <c r="J9242" s="23" t="str">
        <f>HYPERLINK("https://www.spark-marketing.ru/Card/Person/1089466", "Давлетова Надежда Мурзагареевна")</f>
        <v>Давлетова Надежда Мурзагареевна</v>
      </c>
      <c r="K9242" s="24" t="s">
        <v>12519</v>
      </c>
      <c r="L9242" s="22" t="s">
        <v>10</v>
      </c>
      <c r="M9242" s="25">
        <v>399632.07</v>
      </c>
      <c r="N9242" s="27">
        <v>0</v>
      </c>
    </row>
    <row r="9243" spans="1:14" hidden="1" outlineLevel="1" x14ac:dyDescent="0.2">
      <c r="A9243" s="23" t="str">
        <f>HYPERLINK("https://www.spark-marketing.ru/Card/Person/735970", "МБОУ ""СОШ Д.ТРИ КЛЮЧА""")</f>
        <v>МБОУ "СОШ Д.ТРИ КЛЮЧА"</v>
      </c>
      <c r="B9243" s="24" t="s">
        <v>13392</v>
      </c>
      <c r="C9243" s="25">
        <v>399632.07</v>
      </c>
      <c r="D9243" s="22" t="s">
        <v>13393</v>
      </c>
      <c r="E9243" s="22" t="s">
        <v>48</v>
      </c>
      <c r="F9243" s="23" t="str">
        <f>HYPERLINK("https://www.spark-marketing.ru/Card/Lot/72547736", "Услуги по организации горячего питания в муниципальном бюджетном общеобразовательном учреждении «Средняя общеобразовательная школа д. Три Ключа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д. Три Ключа муниципального района Шаранский район РБ»</v>
      </c>
      <c r="G9243" s="22" t="s">
        <v>145</v>
      </c>
      <c r="H9243" s="22" t="s">
        <v>12518</v>
      </c>
      <c r="I9243" s="26">
        <v>43678.635891203703</v>
      </c>
      <c r="J9243" s="23" t="str">
        <f>HYPERLINK("https://www.spark-marketing.ru/Card/Person/145110", "ООО ""ТК ""ЗК""")</f>
        <v>ООО "ТК "ЗК"</v>
      </c>
      <c r="K9243" s="24" t="s">
        <v>5800</v>
      </c>
      <c r="L9243" s="28" t="s">
        <v>51</v>
      </c>
      <c r="M9243" s="25">
        <v>399632.07</v>
      </c>
      <c r="N9243" s="27">
        <v>0</v>
      </c>
    </row>
    <row r="9244" spans="1:14" x14ac:dyDescent="0.15">
      <c r="A9244" s="23" t="str">
        <f>HYPERLINK("https://www.spark-marketing.ru/Card/Person/4761681", "ПРАВИТЕЛЬСТВО САХАЛИНСКОЙ ОБЛАСТИ")</f>
        <v>ПРАВИТЕЛЬСТВО САХАЛИНСКОЙ ОБЛАСТИ</v>
      </c>
      <c r="B9244" s="24" t="s">
        <v>1903</v>
      </c>
      <c r="C9244" s="25">
        <v>1000000</v>
      </c>
      <c r="D9244" s="22" t="s">
        <v>13394</v>
      </c>
      <c r="E9244" s="22" t="s">
        <v>96</v>
      </c>
      <c r="F9244" s="23" t="str">
        <f>HYPERLINK("https://www.spark-marketing.ru/Card/Lot/72538600", "Оказание услуг по организации питания участников областных и межрегиональных мероприятий: семинары, совещания, форумы, конференции, «круглые столы», мероприятия в рамках праздничных и памятных дат, юбилейных дат населенных пунктов, муниципальных обра...")</f>
        <v>Оказание услуг по организации питания участников областных и межрегиональных мероприятий: семинары, совещания, форумы, конференции, «круглые столы», мероприятия в рамках праздничных и памятных дат, юбилейных дат населенных пунктов, муниципальных обра...</v>
      </c>
      <c r="G9244" s="22" t="s">
        <v>260</v>
      </c>
      <c r="H9244" s="22" t="s">
        <v>804</v>
      </c>
      <c r="I9244" s="26">
        <v>43678.658449074101</v>
      </c>
      <c r="J9244" s="28" t="s">
        <v>51</v>
      </c>
      <c r="K9244" s="28" t="s">
        <v>51</v>
      </c>
      <c r="L9244" s="28" t="s">
        <v>51</v>
      </c>
      <c r="M9244" s="28" t="s">
        <v>51</v>
      </c>
      <c r="N9244" s="28" t="s">
        <v>51</v>
      </c>
    </row>
    <row r="9245" spans="1:14" ht="12.75" hidden="1" outlineLevel="1" x14ac:dyDescent="0.2">
      <c r="A9245" s="23" t="str">
        <f>HYPERLINK("https://www.spark-marketing.ru/Card/Person/4761681", "ПРАВИТЕЛЬСТВО САХАЛИНСКОЙ ОБЛАСТИ")</f>
        <v>ПРАВИТЕЛЬСТВО САХАЛИНСКОЙ ОБЛАСТИ</v>
      </c>
      <c r="B9245" s="24" t="s">
        <v>1903</v>
      </c>
      <c r="C9245" s="25">
        <v>1000000</v>
      </c>
      <c r="D9245" s="22" t="s">
        <v>13394</v>
      </c>
      <c r="E9245" s="22" t="s">
        <v>96</v>
      </c>
      <c r="F9245" s="23" t="str">
        <f>HYPERLINK("https://www.spark-marketing.ru/Card/Lot/72538600", "Оказание услуг по организации питания участников областных и межрегиональных мероприятий: семинары, совещания, форумы, конференции, «круглые столы», мероприятия в рамках праздничных и памятных дат, юбилейных дат населенных пунктов, муниципальных обра...")</f>
        <v>Оказание услуг по организации питания участников областных и межрегиональных мероприятий: семинары, совещания, форумы, конференции, «круглые столы», мероприятия в рамках праздничных и памятных дат, юбилейных дат населенных пунктов, муниципальных обра...</v>
      </c>
      <c r="G9245" s="22" t="s">
        <v>260</v>
      </c>
      <c r="H9245" s="22" t="s">
        <v>804</v>
      </c>
      <c r="I9245" s="26">
        <v>43678.658449074101</v>
      </c>
      <c r="J9245" s="23" t="str">
        <f>HYPERLINK("https://www.spark-marketing.ru/Card/Person/797550", "Герасимов Виктор Юрьевич")</f>
        <v>Герасимов Виктор Юрьевич</v>
      </c>
      <c r="K9245" s="24" t="s">
        <v>3539</v>
      </c>
      <c r="L9245" s="22" t="s">
        <v>10</v>
      </c>
      <c r="M9245" s="25">
        <v>975000</v>
      </c>
      <c r="N9245" s="27">
        <v>2.5000000000000001E-2</v>
      </c>
    </row>
    <row r="9246" spans="1:14" hidden="1" outlineLevel="1" x14ac:dyDescent="0.2">
      <c r="A9246" s="23" t="str">
        <f>HYPERLINK("https://www.spark-marketing.ru/Card/Person/4761681", "ПРАВИТЕЛЬСТВО САХАЛИНСКОЙ ОБЛАСТИ")</f>
        <v>ПРАВИТЕЛЬСТВО САХАЛИНСКОЙ ОБЛАСТИ</v>
      </c>
      <c r="B9246" s="24" t="s">
        <v>1903</v>
      </c>
      <c r="C9246" s="25">
        <v>1000000</v>
      </c>
      <c r="D9246" s="22" t="s">
        <v>13394</v>
      </c>
      <c r="E9246" s="22" t="s">
        <v>96</v>
      </c>
      <c r="F9246" s="23" t="str">
        <f>HYPERLINK("https://www.spark-marketing.ru/Card/Lot/72538600", "Оказание услуг по организации питания участников областных и межрегиональных мероприятий: семинары, совещания, форумы, конференции, «круглые столы», мероприятия в рамках праздничных и памятных дат, юбилейных дат населенных пунктов, муниципальных обра...")</f>
        <v>Оказание услуг по организации питания участников областных и межрегиональных мероприятий: семинары, совещания, форумы, конференции, «круглые столы», мероприятия в рамках праздничных и памятных дат, юбилейных дат населенных пунктов, муниципальных обра...</v>
      </c>
      <c r="G9246" s="22" t="s">
        <v>260</v>
      </c>
      <c r="H9246" s="22" t="s">
        <v>804</v>
      </c>
      <c r="I9246" s="26">
        <v>43678.658449074101</v>
      </c>
      <c r="J9246" s="23" t="str">
        <f>HYPERLINK("https://www.spark-marketing.ru/Card/Person/4704546", "ООО ""ГРИН СОЛЮШИОН""")</f>
        <v>ООО "ГРИН СОЛЮШИОН"</v>
      </c>
      <c r="K9246" s="24" t="s">
        <v>7908</v>
      </c>
      <c r="L9246" s="28" t="s">
        <v>51</v>
      </c>
      <c r="M9246" s="25">
        <v>980000</v>
      </c>
      <c r="N9246" s="27">
        <v>0.02</v>
      </c>
    </row>
    <row r="9247" spans="1:14" x14ac:dyDescent="0.15">
      <c r="A9247" s="23" t="str">
        <f>HYPERLINK("https://www.spark-marketing.ru/Card/Person/90893", "УМВД РОССИИ ПО ГОРОДСКОМУ ОКРУГУ ПОДОЛЬСК")</f>
        <v>УМВД РОССИИ ПО ГОРОДСКОМУ ОКРУГУ ПОДОЛЬСК</v>
      </c>
      <c r="B9247" s="24" t="s">
        <v>13395</v>
      </c>
      <c r="C9247" s="25">
        <v>3225240</v>
      </c>
      <c r="D9247" s="22" t="s">
        <v>13396</v>
      </c>
      <c r="E9247" s="22" t="s">
        <v>96</v>
      </c>
      <c r="F9247" s="23" t="str">
        <f>HYPERLINK("https://www.spark-marketing.ru/Card/Lot/72555185", "Услуги по обеспечению питанием граждан, содержащихся в ИВС УМВД России по городскому округу Подольск")</f>
        <v>Услуги по обеспечению питанием граждан, содержащихся в ИВС УМВД России по городскому округу Подольск</v>
      </c>
      <c r="G9247" s="22" t="s">
        <v>49</v>
      </c>
      <c r="H9247" s="22" t="s">
        <v>50</v>
      </c>
      <c r="I9247" s="26">
        <v>43678.637152777803</v>
      </c>
      <c r="J9247" s="28" t="s">
        <v>51</v>
      </c>
      <c r="K9247" s="28" t="s">
        <v>51</v>
      </c>
      <c r="L9247" s="28" t="s">
        <v>51</v>
      </c>
      <c r="M9247" s="28" t="s">
        <v>51</v>
      </c>
      <c r="N9247" s="28" t="s">
        <v>51</v>
      </c>
    </row>
    <row r="9248" spans="1:14" ht="12.75" hidden="1" outlineLevel="1" x14ac:dyDescent="0.2">
      <c r="A9248" s="23" t="str">
        <f>HYPERLINK("https://www.spark-marketing.ru/Card/Person/90893", "УМВД РОССИИ ПО ГОРОДСКОМУ ОКРУГУ ПОДОЛЬСК")</f>
        <v>УМВД РОССИИ ПО ГОРОДСКОМУ ОКРУГУ ПОДОЛЬСК</v>
      </c>
      <c r="B9248" s="24" t="s">
        <v>13395</v>
      </c>
      <c r="C9248" s="25">
        <v>3225240</v>
      </c>
      <c r="D9248" s="22" t="s">
        <v>13396</v>
      </c>
      <c r="E9248" s="22" t="s">
        <v>96</v>
      </c>
      <c r="F9248" s="23" t="str">
        <f>HYPERLINK("https://www.spark-marketing.ru/Card/Lot/72555185", "Услуги по обеспечению питанием граждан, содержащихся в ИВС УМВД России по городскому округу Подольск")</f>
        <v>Услуги по обеспечению питанием граждан, содержащихся в ИВС УМВД России по городскому округу Подольск</v>
      </c>
      <c r="G9248" s="22" t="s">
        <v>49</v>
      </c>
      <c r="H9248" s="22" t="s">
        <v>50</v>
      </c>
      <c r="I9248" s="26">
        <v>43678.637152777803</v>
      </c>
      <c r="J9248" s="23" t="str">
        <f>HYPERLINK("https://www.spark-marketing.ru/Card/Person/6578901", "ООО ""ДОРОГА""")</f>
        <v>ООО "ДОРОГА"</v>
      </c>
      <c r="K9248" s="24" t="s">
        <v>3102</v>
      </c>
      <c r="L9248" s="22" t="s">
        <v>10</v>
      </c>
      <c r="M9248" s="25">
        <v>207.16</v>
      </c>
      <c r="N9248" s="27">
        <v>0.99993576912105764</v>
      </c>
    </row>
    <row r="9249" spans="1:14" hidden="1" outlineLevel="1" x14ac:dyDescent="0.2">
      <c r="A9249" s="23" t="str">
        <f>HYPERLINK("https://www.spark-marketing.ru/Card/Person/90893", "УМВД РОССИИ ПО ГОРОДСКОМУ ОКРУГУ ПОДОЛЬСК")</f>
        <v>УМВД РОССИИ ПО ГОРОДСКОМУ ОКРУГУ ПОДОЛЬСК</v>
      </c>
      <c r="B9249" s="24" t="s">
        <v>13395</v>
      </c>
      <c r="C9249" s="25">
        <v>3225240</v>
      </c>
      <c r="D9249" s="22" t="s">
        <v>13396</v>
      </c>
      <c r="E9249" s="22" t="s">
        <v>96</v>
      </c>
      <c r="F9249" s="23" t="str">
        <f>HYPERLINK("https://www.spark-marketing.ru/Card/Lot/72555185", "Услуги по обеспечению питанием граждан, содержащихся в ИВС УМВД России по городскому округу Подольск")</f>
        <v>Услуги по обеспечению питанием граждан, содержащихся в ИВС УМВД России по городскому округу Подольск</v>
      </c>
      <c r="G9249" s="22" t="s">
        <v>49</v>
      </c>
      <c r="H9249" s="22" t="s">
        <v>50</v>
      </c>
      <c r="I9249" s="26">
        <v>43678.637152777803</v>
      </c>
      <c r="J9249" s="23" t="str">
        <f>HYPERLINK("https://www.spark-marketing.ru/Card/Person/2527706", "ООО ""ФЛОКС""")</f>
        <v>ООО "ФЛОКС"</v>
      </c>
      <c r="K9249" s="24" t="s">
        <v>11397</v>
      </c>
      <c r="L9249" s="28" t="s">
        <v>51</v>
      </c>
      <c r="M9249" s="25">
        <v>207.16</v>
      </c>
      <c r="N9249" s="27">
        <v>0.99993576912105764</v>
      </c>
    </row>
    <row r="9250" spans="1:14" x14ac:dyDescent="0.15">
      <c r="A9250" s="23" t="str">
        <f>HYPERLINK("https://www.spark-marketing.ru/Card/Person/71328", "МО МВД РОССИИ ""СЛАВГОРОДСКИЙ""")</f>
        <v>МО МВД РОССИИ "СЛАВГОРОДСКИЙ"</v>
      </c>
      <c r="B9250" s="24" t="s">
        <v>8030</v>
      </c>
      <c r="C9250" s="25">
        <v>264000</v>
      </c>
      <c r="D9250" s="22" t="s">
        <v>13397</v>
      </c>
      <c r="E9250" s="22" t="s">
        <v>48</v>
      </c>
      <c r="F9250" s="23" t="str">
        <f>HYPERLINK("https://www.spark-marketing.ru/Card/Lot/72545684", "услуги по обеспечению питанием лиц, содержащихся в изоляторе временного содержания и камере административно задержанных")</f>
        <v>услуги по обеспечению питанием лиц, содержащихся в изоляторе временного содержания и камере административно задержанных</v>
      </c>
      <c r="G9250" s="22" t="s">
        <v>63</v>
      </c>
      <c r="H9250" s="22" t="s">
        <v>6594</v>
      </c>
      <c r="I9250" s="26">
        <v>43678.658587963</v>
      </c>
      <c r="J9250" s="28" t="s">
        <v>51</v>
      </c>
      <c r="K9250" s="28" t="s">
        <v>51</v>
      </c>
      <c r="L9250" s="28" t="s">
        <v>51</v>
      </c>
      <c r="M9250" s="28" t="s">
        <v>51</v>
      </c>
      <c r="N9250" s="28" t="s">
        <v>51</v>
      </c>
    </row>
    <row r="9251" spans="1:14" x14ac:dyDescent="0.15">
      <c r="A9251" s="23" t="str">
        <f>HYPERLINK("https://www.spark-marketing.ru/Card/Person/1040306", "МБДОУ""ДЕТСКИЙ САД ""РАДУГА"" С. ШАРАН""")</f>
        <v>МБДОУ"ДЕТСКИЙ САД "РАДУГА" С. ШАРАН"</v>
      </c>
      <c r="B9251" s="24" t="s">
        <v>13398</v>
      </c>
      <c r="C9251" s="25">
        <v>1598630.18</v>
      </c>
      <c r="D9251" s="22" t="s">
        <v>13399</v>
      </c>
      <c r="E9251" s="22" t="s">
        <v>48</v>
      </c>
      <c r="F9251" s="23" t="str">
        <f>HYPERLINK("https://www.spark-marketing.ru/Card/Lot/72549246", "Услуги по организации горячего питания в муниципальном бюджетном дошкольном образовательном учреждении «Детский сад «Радуга»с.Шаран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«Радуга»с.Шаран муниципального района Шаранский район РБ»</v>
      </c>
      <c r="G9251" s="22" t="s">
        <v>145</v>
      </c>
      <c r="H9251" s="22" t="s">
        <v>12518</v>
      </c>
      <c r="I9251" s="26">
        <v>43678.638159722199</v>
      </c>
      <c r="J9251" s="28" t="s">
        <v>51</v>
      </c>
      <c r="K9251" s="28" t="s">
        <v>51</v>
      </c>
      <c r="L9251" s="28" t="s">
        <v>51</v>
      </c>
      <c r="M9251" s="28" t="s">
        <v>51</v>
      </c>
      <c r="N9251" s="28" t="s">
        <v>51</v>
      </c>
    </row>
    <row r="9252" spans="1:14" ht="12.75" hidden="1" outlineLevel="1" x14ac:dyDescent="0.2">
      <c r="A9252" s="23" t="str">
        <f>HYPERLINK("https://www.spark-marketing.ru/Card/Person/1040306", "МБДОУ""ДЕТСКИЙ САД ""РАДУГА"" С. ШАРАН""")</f>
        <v>МБДОУ"ДЕТСКИЙ САД "РАДУГА" С. ШАРАН"</v>
      </c>
      <c r="B9252" s="24" t="s">
        <v>13398</v>
      </c>
      <c r="C9252" s="25">
        <v>1598630.18</v>
      </c>
      <c r="D9252" s="22" t="s">
        <v>13399</v>
      </c>
      <c r="E9252" s="22" t="s">
        <v>48</v>
      </c>
      <c r="F9252" s="23" t="str">
        <f>HYPERLINK("https://www.spark-marketing.ru/Card/Lot/72549246", "Услуги по организации горячего питания в муниципальном бюджетном дошкольном образовательном учреждении «Детский сад «Радуга»с.Шаран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«Радуга»с.Шаран муниципального района Шаранский район РБ»</v>
      </c>
      <c r="G9252" s="22" t="s">
        <v>145</v>
      </c>
      <c r="H9252" s="22" t="s">
        <v>12518</v>
      </c>
      <c r="I9252" s="26">
        <v>43678.638159722199</v>
      </c>
      <c r="J9252" s="23" t="str">
        <f>HYPERLINK("https://www.spark-marketing.ru/Card/Person/1089466", "Давлетова Надежда Мурзагареевна")</f>
        <v>Давлетова Надежда Мурзагареевна</v>
      </c>
      <c r="K9252" s="24" t="s">
        <v>12519</v>
      </c>
      <c r="L9252" s="22" t="s">
        <v>10</v>
      </c>
      <c r="M9252" s="25">
        <v>1598630.18</v>
      </c>
      <c r="N9252" s="27">
        <v>0</v>
      </c>
    </row>
    <row r="9253" spans="1:14" hidden="1" outlineLevel="1" x14ac:dyDescent="0.2">
      <c r="A9253" s="23" t="str">
        <f>HYPERLINK("https://www.spark-marketing.ru/Card/Person/1040306", "МБДОУ""ДЕТСКИЙ САД ""РАДУГА"" С. ШАРАН""")</f>
        <v>МБДОУ"ДЕТСКИЙ САД "РАДУГА" С. ШАРАН"</v>
      </c>
      <c r="B9253" s="24" t="s">
        <v>13398</v>
      </c>
      <c r="C9253" s="25">
        <v>1598630.18</v>
      </c>
      <c r="D9253" s="22" t="s">
        <v>13399</v>
      </c>
      <c r="E9253" s="22" t="s">
        <v>48</v>
      </c>
      <c r="F9253" s="23" t="str">
        <f>HYPERLINK("https://www.spark-marketing.ru/Card/Lot/72549246", "Услуги по организации горячего питания в муниципальном бюджетном дошкольном образовательном учреждении «Детский сад «Радуга»с.Шаран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«Радуга»с.Шаран муниципального района Шаранский район РБ»</v>
      </c>
      <c r="G9253" s="22" t="s">
        <v>145</v>
      </c>
      <c r="H9253" s="22" t="s">
        <v>12518</v>
      </c>
      <c r="I9253" s="26">
        <v>43678.638159722199</v>
      </c>
      <c r="J9253" s="23" t="str">
        <f>HYPERLINK("https://www.spark-marketing.ru/Card/Person/145110", "ООО ""ТК ""ЗК""")</f>
        <v>ООО "ТК "ЗК"</v>
      </c>
      <c r="K9253" s="24" t="s">
        <v>5800</v>
      </c>
      <c r="L9253" s="28" t="s">
        <v>51</v>
      </c>
      <c r="M9253" s="25">
        <v>1598630.18</v>
      </c>
      <c r="N9253" s="27">
        <v>0</v>
      </c>
    </row>
    <row r="9254" spans="1:14" x14ac:dyDescent="0.15">
      <c r="A9254" s="23" t="str">
        <f>HYPERLINK("https://www.spark-marketing.ru/Card/Person/1057017", "МЕЖМУНИЦИПАЛЬНЫЙ ОТДЕЛ МВД РОССИИ ""ШОЛОХОВСКИЙ""")</f>
        <v>МЕЖМУНИЦИПАЛЬНЫЙ ОТДЕЛ МВД РОССИИ "ШОЛОХОВСКИЙ"</v>
      </c>
      <c r="B9254" s="24" t="s">
        <v>13400</v>
      </c>
      <c r="C9254" s="25">
        <v>28200</v>
      </c>
      <c r="D9254" s="22" t="s">
        <v>13401</v>
      </c>
      <c r="E9254" s="22" t="s">
        <v>48</v>
      </c>
      <c r="F9254" s="23" t="str">
        <f>HYPERLINK("https://www.spark-marketing.ru/Card/Lot/72548055",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9254" s="22" t="s">
        <v>267</v>
      </c>
      <c r="H9254" s="22" t="s">
        <v>13402</v>
      </c>
      <c r="I9254" s="26">
        <v>43678.599328703698</v>
      </c>
      <c r="J9254" s="28" t="s">
        <v>51</v>
      </c>
      <c r="K9254" s="28" t="s">
        <v>51</v>
      </c>
      <c r="L9254" s="28" t="s">
        <v>51</v>
      </c>
      <c r="M9254" s="28" t="s">
        <v>51</v>
      </c>
      <c r="N9254" s="28" t="s">
        <v>51</v>
      </c>
    </row>
    <row r="9255" spans="1:14" x14ac:dyDescent="0.15">
      <c r="A9255" s="23" t="str">
        <f>HYPERLINK("https://www.spark-marketing.ru/Card/Person/62667", "ОГБУЗ ""ВАЛДГЕЙМСКАЯ ЦРБ""")</f>
        <v>ОГБУЗ "ВАЛДГЕЙМСКАЯ ЦРБ"</v>
      </c>
      <c r="B9255" s="24" t="s">
        <v>13403</v>
      </c>
      <c r="C9255" s="25">
        <v>438160.9</v>
      </c>
      <c r="D9255" s="22" t="s">
        <v>13404</v>
      </c>
      <c r="E9255" s="22" t="s">
        <v>603</v>
      </c>
      <c r="F9255" s="23" t="str">
        <f>HYPERLINK("https://www.spark-marketing.ru/Card/Lot/72538577", "Метрологические услуги")</f>
        <v>Метрологические услуги</v>
      </c>
      <c r="G9255" s="22" t="s">
        <v>4451</v>
      </c>
      <c r="H9255" s="22" t="s">
        <v>13405</v>
      </c>
      <c r="I9255" s="26">
        <v>43678.594097222202</v>
      </c>
      <c r="J9255" s="23" t="str">
        <f>HYPERLINK("https://www.spark-marketing.ru/Card/Person/170738", "ФБУ ""ХАБАРОВСКИЙ ЦСМ""")</f>
        <v>ФБУ "ХАБАРОВСКИЙ ЦСМ"</v>
      </c>
      <c r="K9255" s="24" t="s">
        <v>13406</v>
      </c>
      <c r="L9255" s="22" t="s">
        <v>10</v>
      </c>
      <c r="M9255" s="28" t="s">
        <v>51</v>
      </c>
      <c r="N9255" s="28" t="s">
        <v>51</v>
      </c>
    </row>
    <row r="9256" spans="1:14" x14ac:dyDescent="0.15">
      <c r="A9256" s="23" t="str">
        <f>HYPERLINK("https://www.spark-marketing.ru/Card/Person/1057017", "МЕЖМУНИЦИПАЛЬНЫЙ ОТДЕЛ МВД РОССИИ ""ШОЛОХОВСКИЙ""")</f>
        <v>МЕЖМУНИЦИПАЛЬНЫЙ ОТДЕЛ МВД РОССИИ "ШОЛОХОВСКИЙ"</v>
      </c>
      <c r="B9256" s="24" t="s">
        <v>13400</v>
      </c>
      <c r="C9256" s="25">
        <v>28200</v>
      </c>
      <c r="D9256" s="22" t="s">
        <v>13407</v>
      </c>
      <c r="E9256" s="22" t="s">
        <v>48</v>
      </c>
      <c r="F9256" s="23" t="str">
        <f>HYPERLINK("https://www.spark-marketing.ru/Card/Lot/72548045",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9256" s="22" t="s">
        <v>267</v>
      </c>
      <c r="H9256" s="22" t="s">
        <v>13402</v>
      </c>
      <c r="I9256" s="26">
        <v>43678.596782407403</v>
      </c>
      <c r="J9256" s="28" t="s">
        <v>51</v>
      </c>
      <c r="K9256" s="28" t="s">
        <v>51</v>
      </c>
      <c r="L9256" s="28" t="s">
        <v>51</v>
      </c>
      <c r="M9256" s="28" t="s">
        <v>51</v>
      </c>
      <c r="N9256" s="28" t="s">
        <v>51</v>
      </c>
    </row>
    <row r="9257" spans="1:14" x14ac:dyDescent="0.2">
      <c r="A9257" s="23" t="s">
        <v>114</v>
      </c>
      <c r="B9257" s="28" t="s">
        <v>51</v>
      </c>
      <c r="C9257" s="25">
        <v>34161435</v>
      </c>
      <c r="D9257" s="22" t="s">
        <v>13408</v>
      </c>
      <c r="E9257" s="22" t="s">
        <v>96</v>
      </c>
      <c r="F9257" s="23" t="str">
        <f t="shared" ref="F9257:F9292" si="216">HYPERLINK("https://www.spark-marketing.ru/Card/Lot/72552769", "право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района")</f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57" s="22" t="s">
        <v>51</v>
      </c>
      <c r="H9257" s="22" t="s">
        <v>51</v>
      </c>
      <c r="I9257" s="26">
        <v>43678.591666666704</v>
      </c>
      <c r="J9257" s="23" t="str">
        <f t="shared" ref="J9257:J9292" si="217">HYPERLINK("https://www.spark-marketing.ru/Card/Person/5852030", "ООО ""АБК-ПЭЙМЕНТ""")</f>
        <v>ООО "АБК-ПЭЙМЕНТ"</v>
      </c>
      <c r="K9257" s="24" t="s">
        <v>5605</v>
      </c>
      <c r="L9257" s="28" t="s">
        <v>51</v>
      </c>
      <c r="M9257" s="25">
        <v>34161435</v>
      </c>
      <c r="N9257" s="27">
        <v>0</v>
      </c>
    </row>
    <row r="9258" spans="1:14" hidden="1" outlineLevel="1" x14ac:dyDescent="0.2">
      <c r="A9258" s="23" t="str">
        <f>HYPERLINK("https://www.spark-marketing.ru/Card/Person/106440", "МАЛОБУГУЛЬМИНСКАЯ СРЕДНЯЯ ШКОЛА")</f>
        <v>МАЛОБУГУЛЬМИНСКАЯ СРЕДНЯЯ ШКОЛА</v>
      </c>
      <c r="B9258" s="24" t="s">
        <v>13409</v>
      </c>
      <c r="C9258" s="25">
        <v>634678</v>
      </c>
      <c r="D9258" s="22" t="s">
        <v>13408</v>
      </c>
      <c r="E9258" s="22" t="s">
        <v>96</v>
      </c>
      <c r="F9258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58" s="22" t="s">
        <v>217</v>
      </c>
      <c r="H9258" s="22" t="s">
        <v>13410</v>
      </c>
      <c r="I9258" s="26">
        <v>43678.591666666704</v>
      </c>
      <c r="J9258" s="23" t="str">
        <f t="shared" si="217"/>
        <v>ООО "АБК-ПЭЙМЕНТ"</v>
      </c>
      <c r="K9258" s="24" t="s">
        <v>5605</v>
      </c>
      <c r="L9258" s="28" t="s">
        <v>51</v>
      </c>
      <c r="M9258" s="28" t="s">
        <v>51</v>
      </c>
      <c r="N9258" s="27">
        <v>0</v>
      </c>
    </row>
    <row r="9259" spans="1:14" hidden="1" outlineLevel="1" x14ac:dyDescent="0.2">
      <c r="A9259" s="23" t="str">
        <f>HYPERLINK("https://www.spark-marketing.ru/Card/Person/106498", "КАРАБАШСКАЯ СРЕДНЯЯ ШКОЛА № 2")</f>
        <v>КАРАБАШСКАЯ СРЕДНЯЯ ШКОЛА № 2</v>
      </c>
      <c r="B9259" s="24" t="s">
        <v>13411</v>
      </c>
      <c r="C9259" s="25">
        <v>1066580</v>
      </c>
      <c r="D9259" s="22" t="s">
        <v>13408</v>
      </c>
      <c r="E9259" s="22" t="s">
        <v>96</v>
      </c>
      <c r="F9259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59" s="22" t="s">
        <v>217</v>
      </c>
      <c r="H9259" s="22" t="s">
        <v>13410</v>
      </c>
      <c r="I9259" s="26">
        <v>43678.591666666704</v>
      </c>
      <c r="J9259" s="23" t="str">
        <f t="shared" si="217"/>
        <v>ООО "АБК-ПЭЙМЕНТ"</v>
      </c>
      <c r="K9259" s="24" t="s">
        <v>5605</v>
      </c>
      <c r="L9259" s="28" t="s">
        <v>51</v>
      </c>
      <c r="M9259" s="28" t="s">
        <v>51</v>
      </c>
      <c r="N9259" s="27">
        <v>0</v>
      </c>
    </row>
    <row r="9260" spans="1:14" hidden="1" outlineLevel="1" x14ac:dyDescent="0.2">
      <c r="A9260" s="23" t="str">
        <f>HYPERLINK("https://www.spark-marketing.ru/Card/Person/106727", "СУМАРОКОВСКАЯ НАЧАЛЬНАЯ ШКОЛА - ДЕТСКИЙ САД")</f>
        <v>СУМАРОКОВСКАЯ НАЧАЛЬНАЯ ШКОЛА - ДЕТСКИЙ САД</v>
      </c>
      <c r="B9260" s="24" t="s">
        <v>13412</v>
      </c>
      <c r="C9260" s="25">
        <v>74364.800000000003</v>
      </c>
      <c r="D9260" s="22" t="s">
        <v>13408</v>
      </c>
      <c r="E9260" s="22" t="s">
        <v>96</v>
      </c>
      <c r="F9260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60" s="22" t="s">
        <v>217</v>
      </c>
      <c r="H9260" s="22" t="s">
        <v>13410</v>
      </c>
      <c r="I9260" s="26">
        <v>43678.591666666704</v>
      </c>
      <c r="J9260" s="23" t="str">
        <f t="shared" si="217"/>
        <v>ООО "АБК-ПЭЙМЕНТ"</v>
      </c>
      <c r="K9260" s="24" t="s">
        <v>5605</v>
      </c>
      <c r="L9260" s="28" t="s">
        <v>51</v>
      </c>
      <c r="M9260" s="28" t="s">
        <v>51</v>
      </c>
      <c r="N9260" s="27">
        <v>0</v>
      </c>
    </row>
    <row r="9261" spans="1:14" hidden="1" outlineLevel="1" x14ac:dyDescent="0.2">
      <c r="A9261" s="23" t="str">
        <f>HYPERLINK("https://www.spark-marketing.ru/Card/Person/106728", "ПОДГОРНЕНСКАЯ ОСНОВНАЯ ШКОЛА")</f>
        <v>ПОДГОРНЕНСКАЯ ОСНОВНАЯ ШКОЛА</v>
      </c>
      <c r="B9261" s="24" t="s">
        <v>13413</v>
      </c>
      <c r="C9261" s="25">
        <v>257210</v>
      </c>
      <c r="D9261" s="22" t="s">
        <v>13408</v>
      </c>
      <c r="E9261" s="22" t="s">
        <v>96</v>
      </c>
      <c r="F9261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61" s="22" t="s">
        <v>217</v>
      </c>
      <c r="H9261" s="22" t="s">
        <v>13410</v>
      </c>
      <c r="I9261" s="26">
        <v>43678.591666666704</v>
      </c>
      <c r="J9261" s="23" t="str">
        <f t="shared" si="217"/>
        <v>ООО "АБК-ПЭЙМЕНТ"</v>
      </c>
      <c r="K9261" s="24" t="s">
        <v>5605</v>
      </c>
      <c r="L9261" s="28" t="s">
        <v>51</v>
      </c>
      <c r="M9261" s="28" t="s">
        <v>51</v>
      </c>
      <c r="N9261" s="27">
        <v>0</v>
      </c>
    </row>
    <row r="9262" spans="1:14" hidden="1" outlineLevel="1" x14ac:dyDescent="0.2">
      <c r="A9262" s="23" t="str">
        <f>HYPERLINK("https://www.spark-marketing.ru/Card/Person/106742", "СОКОЛЬСКАЯ ОСНОВНАЯ ШКОЛА")</f>
        <v>СОКОЛЬСКАЯ ОСНОВНАЯ ШКОЛА</v>
      </c>
      <c r="B9262" s="24" t="s">
        <v>13414</v>
      </c>
      <c r="C9262" s="25">
        <v>332708.7</v>
      </c>
      <c r="D9262" s="22" t="s">
        <v>13408</v>
      </c>
      <c r="E9262" s="22" t="s">
        <v>96</v>
      </c>
      <c r="F9262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62" s="22" t="s">
        <v>217</v>
      </c>
      <c r="H9262" s="22" t="s">
        <v>13410</v>
      </c>
      <c r="I9262" s="26">
        <v>43678.591666666704</v>
      </c>
      <c r="J9262" s="23" t="str">
        <f t="shared" si="217"/>
        <v>ООО "АБК-ПЭЙМЕНТ"</v>
      </c>
      <c r="K9262" s="24" t="s">
        <v>5605</v>
      </c>
      <c r="L9262" s="28" t="s">
        <v>51</v>
      </c>
      <c r="M9262" s="28" t="s">
        <v>51</v>
      </c>
      <c r="N9262" s="27">
        <v>0</v>
      </c>
    </row>
    <row r="9263" spans="1:14" hidden="1" outlineLevel="1" x14ac:dyDescent="0.2">
      <c r="A9263" s="23" t="str">
        <f>HYPERLINK("https://www.spark-marketing.ru/Card/Person/106781", "ОСНОВНАЯ ШКОЛА № 8")</f>
        <v>ОСНОВНАЯ ШКОЛА № 8</v>
      </c>
      <c r="B9263" s="24" t="s">
        <v>13415</v>
      </c>
      <c r="C9263" s="25">
        <v>564230</v>
      </c>
      <c r="D9263" s="22" t="s">
        <v>13408</v>
      </c>
      <c r="E9263" s="22" t="s">
        <v>96</v>
      </c>
      <c r="F9263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63" s="22" t="s">
        <v>217</v>
      </c>
      <c r="H9263" s="22" t="s">
        <v>11029</v>
      </c>
      <c r="I9263" s="26">
        <v>43678.591666666704</v>
      </c>
      <c r="J9263" s="23" t="str">
        <f t="shared" si="217"/>
        <v>ООО "АБК-ПЭЙМЕНТ"</v>
      </c>
      <c r="K9263" s="24" t="s">
        <v>5605</v>
      </c>
      <c r="L9263" s="28" t="s">
        <v>51</v>
      </c>
      <c r="M9263" s="28" t="s">
        <v>51</v>
      </c>
      <c r="N9263" s="27">
        <v>0</v>
      </c>
    </row>
    <row r="9264" spans="1:14" hidden="1" outlineLevel="1" x14ac:dyDescent="0.2">
      <c r="A9264" s="23" t="str">
        <f>HYPERLINK("https://www.spark-marketing.ru/Card/Person/106857", "ЗЕЛЕНО-РОЩИНСКАЯ ОСНОВНАЯ ШКОЛА")</f>
        <v>ЗЕЛЕНО-РОЩИНСКАЯ ОСНОВНАЯ ШКОЛА</v>
      </c>
      <c r="B9264" s="24" t="s">
        <v>13416</v>
      </c>
      <c r="C9264" s="25">
        <v>164152</v>
      </c>
      <c r="D9264" s="22" t="s">
        <v>13408</v>
      </c>
      <c r="E9264" s="22" t="s">
        <v>96</v>
      </c>
      <c r="F9264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64" s="22" t="s">
        <v>217</v>
      </c>
      <c r="H9264" s="22" t="s">
        <v>13410</v>
      </c>
      <c r="I9264" s="26">
        <v>43678.591666666704</v>
      </c>
      <c r="J9264" s="23" t="str">
        <f t="shared" si="217"/>
        <v>ООО "АБК-ПЭЙМЕНТ"</v>
      </c>
      <c r="K9264" s="24" t="s">
        <v>5605</v>
      </c>
      <c r="L9264" s="28" t="s">
        <v>51</v>
      </c>
      <c r="M9264" s="28" t="s">
        <v>51</v>
      </c>
      <c r="N9264" s="27">
        <v>0</v>
      </c>
    </row>
    <row r="9265" spans="1:14" hidden="1" outlineLevel="1" x14ac:dyDescent="0.2">
      <c r="A9265" s="23" t="str">
        <f>HYPERLINK("https://www.spark-marketing.ru/Card/Person/106858", "ВОСТОЧНАЯ ОСНОВНАЯ ШКОЛА")</f>
        <v>ВОСТОЧНАЯ ОСНОВНАЯ ШКОЛА</v>
      </c>
      <c r="B9265" s="24" t="s">
        <v>13417</v>
      </c>
      <c r="C9265" s="25">
        <v>96560</v>
      </c>
      <c r="D9265" s="22" t="s">
        <v>13408</v>
      </c>
      <c r="E9265" s="22" t="s">
        <v>96</v>
      </c>
      <c r="F9265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65" s="22" t="s">
        <v>217</v>
      </c>
      <c r="H9265" s="22" t="s">
        <v>13410</v>
      </c>
      <c r="I9265" s="26">
        <v>43678.591666666704</v>
      </c>
      <c r="J9265" s="23" t="str">
        <f t="shared" si="217"/>
        <v>ООО "АБК-ПЭЙМЕНТ"</v>
      </c>
      <c r="K9265" s="24" t="s">
        <v>5605</v>
      </c>
      <c r="L9265" s="28" t="s">
        <v>51</v>
      </c>
      <c r="M9265" s="28" t="s">
        <v>51</v>
      </c>
      <c r="N9265" s="27">
        <v>0</v>
      </c>
    </row>
    <row r="9266" spans="1:14" hidden="1" outlineLevel="1" x14ac:dyDescent="0.2">
      <c r="A9266" s="23" t="str">
        <f>HYPERLINK("https://www.spark-marketing.ru/Card/Person/106859", "СРЕДНЯЯ ШКОЛА № 3")</f>
        <v>СРЕДНЯЯ ШКОЛА № 3</v>
      </c>
      <c r="B9266" s="24" t="s">
        <v>13418</v>
      </c>
      <c r="C9266" s="25">
        <v>2316828</v>
      </c>
      <c r="D9266" s="22" t="s">
        <v>13408</v>
      </c>
      <c r="E9266" s="22" t="s">
        <v>96</v>
      </c>
      <c r="F9266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66" s="22" t="s">
        <v>217</v>
      </c>
      <c r="H9266" s="22" t="s">
        <v>11029</v>
      </c>
      <c r="I9266" s="26">
        <v>43678.591666666704</v>
      </c>
      <c r="J9266" s="23" t="str">
        <f t="shared" si="217"/>
        <v>ООО "АБК-ПЭЙМЕНТ"</v>
      </c>
      <c r="K9266" s="24" t="s">
        <v>5605</v>
      </c>
      <c r="L9266" s="28" t="s">
        <v>51</v>
      </c>
      <c r="M9266" s="28" t="s">
        <v>51</v>
      </c>
      <c r="N9266" s="27">
        <v>0</v>
      </c>
    </row>
    <row r="9267" spans="1:14" hidden="1" outlineLevel="1" x14ac:dyDescent="0.2">
      <c r="A9267" s="23" t="str">
        <f>HYPERLINK("https://www.spark-marketing.ru/Card/Person/106967", "АКБАШСКАЯ ОСНОВНАЯ ШКОЛА")</f>
        <v>АКБАШСКАЯ ОСНОВНАЯ ШКОЛА</v>
      </c>
      <c r="B9267" s="24" t="s">
        <v>13419</v>
      </c>
      <c r="C9267" s="25">
        <v>191148</v>
      </c>
      <c r="D9267" s="22" t="s">
        <v>13408</v>
      </c>
      <c r="E9267" s="22" t="s">
        <v>96</v>
      </c>
      <c r="F9267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67" s="22" t="s">
        <v>217</v>
      </c>
      <c r="H9267" s="22" t="s">
        <v>13410</v>
      </c>
      <c r="I9267" s="26">
        <v>43678.591666666704</v>
      </c>
      <c r="J9267" s="23" t="str">
        <f t="shared" si="217"/>
        <v>ООО "АБК-ПЭЙМЕНТ"</v>
      </c>
      <c r="K9267" s="24" t="s">
        <v>5605</v>
      </c>
      <c r="L9267" s="28" t="s">
        <v>51</v>
      </c>
      <c r="M9267" s="28" t="s">
        <v>51</v>
      </c>
      <c r="N9267" s="27">
        <v>0</v>
      </c>
    </row>
    <row r="9268" spans="1:14" hidden="1" outlineLevel="1" x14ac:dyDescent="0.2">
      <c r="A9268" s="23" t="str">
        <f>HYPERLINK("https://www.spark-marketing.ru/Card/Person/106968", "ОСНОВНАЯ ШКОЛА № 18")</f>
        <v>ОСНОВНАЯ ШКОЛА № 18</v>
      </c>
      <c r="B9268" s="24" t="s">
        <v>13420</v>
      </c>
      <c r="C9268" s="25">
        <v>693073</v>
      </c>
      <c r="D9268" s="22" t="s">
        <v>13408</v>
      </c>
      <c r="E9268" s="22" t="s">
        <v>96</v>
      </c>
      <c r="F9268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68" s="22" t="s">
        <v>217</v>
      </c>
      <c r="H9268" s="22" t="s">
        <v>11029</v>
      </c>
      <c r="I9268" s="26">
        <v>43678.591666666704</v>
      </c>
      <c r="J9268" s="23" t="str">
        <f t="shared" si="217"/>
        <v>ООО "АБК-ПЭЙМЕНТ"</v>
      </c>
      <c r="K9268" s="24" t="s">
        <v>5605</v>
      </c>
      <c r="L9268" s="28" t="s">
        <v>51</v>
      </c>
      <c r="M9268" s="28" t="s">
        <v>51</v>
      </c>
      <c r="N9268" s="27">
        <v>0</v>
      </c>
    </row>
    <row r="9269" spans="1:14" hidden="1" outlineLevel="1" x14ac:dyDescent="0.2">
      <c r="A9269" s="23" t="str">
        <f>HYPERLINK("https://www.spark-marketing.ru/Card/Person/107010", "КАРАБАШСКАЯ ОСНОВНАЯ ШКОЛА № 1")</f>
        <v>КАРАБАШСКАЯ ОСНОВНАЯ ШКОЛА № 1</v>
      </c>
      <c r="B9269" s="24" t="s">
        <v>13421</v>
      </c>
      <c r="C9269" s="25">
        <v>157539</v>
      </c>
      <c r="D9269" s="22" t="s">
        <v>13408</v>
      </c>
      <c r="E9269" s="22" t="s">
        <v>96</v>
      </c>
      <c r="F9269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69" s="22" t="s">
        <v>217</v>
      </c>
      <c r="H9269" s="22" t="s">
        <v>13410</v>
      </c>
      <c r="I9269" s="26">
        <v>43678.591666666704</v>
      </c>
      <c r="J9269" s="23" t="str">
        <f t="shared" si="217"/>
        <v>ООО "АБК-ПЭЙМЕНТ"</v>
      </c>
      <c r="K9269" s="24" t="s">
        <v>5605</v>
      </c>
      <c r="L9269" s="28" t="s">
        <v>51</v>
      </c>
      <c r="M9269" s="28" t="s">
        <v>51</v>
      </c>
      <c r="N9269" s="27">
        <v>0</v>
      </c>
    </row>
    <row r="9270" spans="1:14" hidden="1" outlineLevel="1" x14ac:dyDescent="0.2">
      <c r="A9270" s="23" t="str">
        <f>HYPERLINK("https://www.spark-marketing.ru/Card/Person/152961", "ЛИЦЕЙ-ИНТЕРНАТ ИМЕНИ МУСТАФЫ ОНДЖЕЛЯ")</f>
        <v>ЛИЦЕЙ-ИНТЕРНАТ ИМЕНИ МУСТАФЫ ОНДЖЕЛЯ</v>
      </c>
      <c r="B9270" s="24" t="s">
        <v>13422</v>
      </c>
      <c r="C9270" s="25">
        <v>8027250</v>
      </c>
      <c r="D9270" s="22" t="s">
        <v>13408</v>
      </c>
      <c r="E9270" s="22" t="s">
        <v>96</v>
      </c>
      <c r="F9270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70" s="22" t="s">
        <v>217</v>
      </c>
      <c r="H9270" s="22" t="s">
        <v>13410</v>
      </c>
      <c r="I9270" s="26">
        <v>43678.591666666704</v>
      </c>
      <c r="J9270" s="23" t="str">
        <f t="shared" si="217"/>
        <v>ООО "АБК-ПЭЙМЕНТ"</v>
      </c>
      <c r="K9270" s="24" t="s">
        <v>5605</v>
      </c>
      <c r="L9270" s="28" t="s">
        <v>51</v>
      </c>
      <c r="M9270" s="28" t="s">
        <v>51</v>
      </c>
      <c r="N9270" s="27">
        <v>0</v>
      </c>
    </row>
    <row r="9271" spans="1:14" hidden="1" outlineLevel="1" x14ac:dyDescent="0.2">
      <c r="A9271" s="23" t="str">
        <f>HYPERLINK("https://www.spark-marketing.ru/Card/Person/242407", "ТАТАРСКАЯ ГИМНАЗИЯ № 14 ИМЕНИ ХАДИ АТЛАСИ")</f>
        <v>ТАТАРСКАЯ ГИМНАЗИЯ № 14 ИМЕНИ ХАДИ АТЛАСИ</v>
      </c>
      <c r="B9271" s="24" t="s">
        <v>13423</v>
      </c>
      <c r="C9271" s="25">
        <v>893010</v>
      </c>
      <c r="D9271" s="22" t="s">
        <v>13408</v>
      </c>
      <c r="E9271" s="22" t="s">
        <v>96</v>
      </c>
      <c r="F9271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71" s="22" t="s">
        <v>217</v>
      </c>
      <c r="H9271" s="22" t="s">
        <v>11029</v>
      </c>
      <c r="I9271" s="26">
        <v>43678.591666666704</v>
      </c>
      <c r="J9271" s="23" t="str">
        <f t="shared" si="217"/>
        <v>ООО "АБК-ПЭЙМЕНТ"</v>
      </c>
      <c r="K9271" s="24" t="s">
        <v>5605</v>
      </c>
      <c r="L9271" s="28" t="s">
        <v>51</v>
      </c>
      <c r="M9271" s="28" t="s">
        <v>51</v>
      </c>
      <c r="N9271" s="27">
        <v>0</v>
      </c>
    </row>
    <row r="9272" spans="1:14" hidden="1" outlineLevel="1" x14ac:dyDescent="0.2">
      <c r="A9272" s="23" t="str">
        <f>HYPERLINK("https://www.spark-marketing.ru/Card/Person/242497", "ПЕТРОВСКАЯ НАЧАЛЬНАЯ ШКОЛА - ДЕТСКИЙ САД")</f>
        <v>ПЕТРОВСКАЯ НАЧАЛЬНАЯ ШКОЛА - ДЕТСКИЙ САД</v>
      </c>
      <c r="B9272" s="24" t="s">
        <v>13424</v>
      </c>
      <c r="C9272" s="25">
        <v>121203.2</v>
      </c>
      <c r="D9272" s="22" t="s">
        <v>13408</v>
      </c>
      <c r="E9272" s="22" t="s">
        <v>96</v>
      </c>
      <c r="F9272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72" s="22" t="s">
        <v>217</v>
      </c>
      <c r="H9272" s="22" t="s">
        <v>13410</v>
      </c>
      <c r="I9272" s="26">
        <v>43678.591666666704</v>
      </c>
      <c r="J9272" s="23" t="str">
        <f t="shared" si="217"/>
        <v>ООО "АБК-ПЭЙМЕНТ"</v>
      </c>
      <c r="K9272" s="24" t="s">
        <v>5605</v>
      </c>
      <c r="L9272" s="28" t="s">
        <v>51</v>
      </c>
      <c r="M9272" s="28" t="s">
        <v>51</v>
      </c>
      <c r="N9272" s="27">
        <v>0</v>
      </c>
    </row>
    <row r="9273" spans="1:14" hidden="1" outlineLevel="1" x14ac:dyDescent="0.2">
      <c r="A9273" s="23" t="str">
        <f>HYPERLINK("https://www.spark-marketing.ru/Card/Person/242498", "НАРАТЛИНСКАЯ ОСНОВНАЯ ШКОЛА")</f>
        <v>НАРАТЛИНСКАЯ ОСНОВНАЯ ШКОЛА</v>
      </c>
      <c r="B9273" s="24" t="s">
        <v>13425</v>
      </c>
      <c r="C9273" s="25">
        <v>126157</v>
      </c>
      <c r="D9273" s="22" t="s">
        <v>13408</v>
      </c>
      <c r="E9273" s="22" t="s">
        <v>96</v>
      </c>
      <c r="F9273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73" s="22" t="s">
        <v>217</v>
      </c>
      <c r="H9273" s="22" t="s">
        <v>13410</v>
      </c>
      <c r="I9273" s="26">
        <v>43678.591666666704</v>
      </c>
      <c r="J9273" s="23" t="str">
        <f t="shared" si="217"/>
        <v>ООО "АБК-ПЭЙМЕНТ"</v>
      </c>
      <c r="K9273" s="24" t="s">
        <v>5605</v>
      </c>
      <c r="L9273" s="28" t="s">
        <v>51</v>
      </c>
      <c r="M9273" s="28" t="s">
        <v>51</v>
      </c>
      <c r="N9273" s="27">
        <v>0</v>
      </c>
    </row>
    <row r="9274" spans="1:14" hidden="1" outlineLevel="1" x14ac:dyDescent="0.2">
      <c r="A9274" s="23" t="str">
        <f>HYPERLINK("https://www.spark-marketing.ru/Card/Person/242527", "СРЕДНЯЯ ШКОЛА № 13")</f>
        <v>СРЕДНЯЯ ШКОЛА № 13</v>
      </c>
      <c r="B9274" s="24" t="s">
        <v>13426</v>
      </c>
      <c r="C9274" s="25">
        <v>1281120</v>
      </c>
      <c r="D9274" s="22" t="s">
        <v>13408</v>
      </c>
      <c r="E9274" s="22" t="s">
        <v>96</v>
      </c>
      <c r="F9274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74" s="22" t="s">
        <v>217</v>
      </c>
      <c r="H9274" s="22" t="s">
        <v>11029</v>
      </c>
      <c r="I9274" s="26">
        <v>43678.591666666704</v>
      </c>
      <c r="J9274" s="23" t="str">
        <f t="shared" si="217"/>
        <v>ООО "АБК-ПЭЙМЕНТ"</v>
      </c>
      <c r="K9274" s="24" t="s">
        <v>5605</v>
      </c>
      <c r="L9274" s="28" t="s">
        <v>51</v>
      </c>
      <c r="M9274" s="28" t="s">
        <v>51</v>
      </c>
      <c r="N9274" s="27">
        <v>0</v>
      </c>
    </row>
    <row r="9275" spans="1:14" hidden="1" outlineLevel="1" x14ac:dyDescent="0.2">
      <c r="A9275" s="23" t="str">
        <f>HYPERLINK("https://www.spark-marketing.ru/Card/Person/242537", "СРЕДНЯЯ ШКОЛА № 9")</f>
        <v>СРЕДНЯЯ ШКОЛА № 9</v>
      </c>
      <c r="B9275" s="24" t="s">
        <v>13427</v>
      </c>
      <c r="C9275" s="25">
        <v>1299225</v>
      </c>
      <c r="D9275" s="22" t="s">
        <v>13408</v>
      </c>
      <c r="E9275" s="22" t="s">
        <v>96</v>
      </c>
      <c r="F9275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75" s="22" t="s">
        <v>217</v>
      </c>
      <c r="H9275" s="22" t="s">
        <v>11029</v>
      </c>
      <c r="I9275" s="26">
        <v>43678.591666666704</v>
      </c>
      <c r="J9275" s="23" t="str">
        <f t="shared" si="217"/>
        <v>ООО "АБК-ПЭЙМЕНТ"</v>
      </c>
      <c r="K9275" s="24" t="s">
        <v>5605</v>
      </c>
      <c r="L9275" s="28" t="s">
        <v>51</v>
      </c>
      <c r="M9275" s="28" t="s">
        <v>51</v>
      </c>
      <c r="N9275" s="27">
        <v>0</v>
      </c>
    </row>
    <row r="9276" spans="1:14" hidden="1" outlineLevel="1" x14ac:dyDescent="0.2">
      <c r="A9276" s="23" t="str">
        <f>HYPERLINK("https://www.spark-marketing.ru/Card/Person/242547", "КУДАШЕВСКАЯ ОСНОВНАЯ ШКОЛА")</f>
        <v>КУДАШЕВСКАЯ ОСНОВНАЯ ШКОЛА</v>
      </c>
      <c r="B9276" s="24" t="s">
        <v>13428</v>
      </c>
      <c r="C9276" s="25">
        <v>125528</v>
      </c>
      <c r="D9276" s="22" t="s">
        <v>13408</v>
      </c>
      <c r="E9276" s="22" t="s">
        <v>96</v>
      </c>
      <c r="F9276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76" s="22" t="s">
        <v>217</v>
      </c>
      <c r="H9276" s="22" t="s">
        <v>13410</v>
      </c>
      <c r="I9276" s="26">
        <v>43678.591666666704</v>
      </c>
      <c r="J9276" s="23" t="str">
        <f t="shared" si="217"/>
        <v>ООО "АБК-ПЭЙМЕНТ"</v>
      </c>
      <c r="K9276" s="24" t="s">
        <v>5605</v>
      </c>
      <c r="L9276" s="28" t="s">
        <v>51</v>
      </c>
      <c r="M9276" s="28" t="s">
        <v>51</v>
      </c>
      <c r="N9276" s="27">
        <v>0</v>
      </c>
    </row>
    <row r="9277" spans="1:14" hidden="1" outlineLevel="1" x14ac:dyDescent="0.2">
      <c r="A9277" s="23" t="str">
        <f>HYPERLINK("https://www.spark-marketing.ru/Card/Person/242549", "ЛИЦЕЙ № 2")</f>
        <v>ЛИЦЕЙ № 2</v>
      </c>
      <c r="B9277" s="24" t="s">
        <v>13429</v>
      </c>
      <c r="C9277" s="25">
        <v>2212754</v>
      </c>
      <c r="D9277" s="22" t="s">
        <v>13408</v>
      </c>
      <c r="E9277" s="22" t="s">
        <v>96</v>
      </c>
      <c r="F9277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77" s="22" t="s">
        <v>217</v>
      </c>
      <c r="H9277" s="22" t="s">
        <v>11029</v>
      </c>
      <c r="I9277" s="26">
        <v>43678.591666666704</v>
      </c>
      <c r="J9277" s="23" t="str">
        <f t="shared" si="217"/>
        <v>ООО "АБК-ПЭЙМЕНТ"</v>
      </c>
      <c r="K9277" s="24" t="s">
        <v>5605</v>
      </c>
      <c r="L9277" s="28" t="s">
        <v>51</v>
      </c>
      <c r="M9277" s="28" t="s">
        <v>51</v>
      </c>
      <c r="N9277" s="27">
        <v>0</v>
      </c>
    </row>
    <row r="9278" spans="1:14" hidden="1" outlineLevel="1" x14ac:dyDescent="0.2">
      <c r="A9278" s="23" t="str">
        <f>HYPERLINK("https://www.spark-marketing.ru/Card/Person/242551", "СРЕДНЯЯ ШКОЛА № 4")</f>
        <v>СРЕДНЯЯ ШКОЛА № 4</v>
      </c>
      <c r="B9278" s="24" t="s">
        <v>13430</v>
      </c>
      <c r="C9278" s="25">
        <v>1165520</v>
      </c>
      <c r="D9278" s="22" t="s">
        <v>13408</v>
      </c>
      <c r="E9278" s="22" t="s">
        <v>96</v>
      </c>
      <c r="F9278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78" s="22" t="s">
        <v>217</v>
      </c>
      <c r="H9278" s="22" t="s">
        <v>11029</v>
      </c>
      <c r="I9278" s="26">
        <v>43678.591666666704</v>
      </c>
      <c r="J9278" s="23" t="str">
        <f t="shared" si="217"/>
        <v>ООО "АБК-ПЭЙМЕНТ"</v>
      </c>
      <c r="K9278" s="24" t="s">
        <v>5605</v>
      </c>
      <c r="L9278" s="28" t="s">
        <v>51</v>
      </c>
      <c r="M9278" s="28" t="s">
        <v>51</v>
      </c>
      <c r="N9278" s="27">
        <v>0</v>
      </c>
    </row>
    <row r="9279" spans="1:14" hidden="1" outlineLevel="1" x14ac:dyDescent="0.2">
      <c r="A9279" s="23" t="str">
        <f>HYPERLINK("https://www.spark-marketing.ru/Card/Person/242567", "СРЕДНЯЯ ШКОЛА № 1")</f>
        <v>СРЕДНЯЯ ШКОЛА № 1</v>
      </c>
      <c r="B9279" s="24" t="s">
        <v>13431</v>
      </c>
      <c r="C9279" s="25">
        <v>1368160</v>
      </c>
      <c r="D9279" s="22" t="s">
        <v>13408</v>
      </c>
      <c r="E9279" s="22" t="s">
        <v>96</v>
      </c>
      <c r="F9279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79" s="22" t="s">
        <v>217</v>
      </c>
      <c r="H9279" s="22" t="s">
        <v>11029</v>
      </c>
      <c r="I9279" s="26">
        <v>43678.591666666704</v>
      </c>
      <c r="J9279" s="23" t="str">
        <f t="shared" si="217"/>
        <v>ООО "АБК-ПЭЙМЕНТ"</v>
      </c>
      <c r="K9279" s="24" t="s">
        <v>5605</v>
      </c>
      <c r="L9279" s="28" t="s">
        <v>51</v>
      </c>
      <c r="M9279" s="28" t="s">
        <v>51</v>
      </c>
      <c r="N9279" s="27">
        <v>0</v>
      </c>
    </row>
    <row r="9280" spans="1:14" hidden="1" outlineLevel="1" x14ac:dyDescent="0.2">
      <c r="A9280" s="23" t="str">
        <f>HYPERLINK("https://www.spark-marketing.ru/Card/Person/242568", "СПАССКАЯ НАЧАЛЬНАЯ ШКОЛА-ДЕТСКИЙ САД")</f>
        <v>СПАССКАЯ НАЧАЛЬНАЯ ШКОЛА-ДЕТСКИЙ САД</v>
      </c>
      <c r="B9280" s="24" t="s">
        <v>13432</v>
      </c>
      <c r="C9280" s="25">
        <v>120074.4</v>
      </c>
      <c r="D9280" s="22" t="s">
        <v>13408</v>
      </c>
      <c r="E9280" s="22" t="s">
        <v>96</v>
      </c>
      <c r="F9280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80" s="22" t="s">
        <v>217</v>
      </c>
      <c r="H9280" s="22" t="s">
        <v>13410</v>
      </c>
      <c r="I9280" s="26">
        <v>43678.591666666704</v>
      </c>
      <c r="J9280" s="23" t="str">
        <f t="shared" si="217"/>
        <v>ООО "АБК-ПЭЙМЕНТ"</v>
      </c>
      <c r="K9280" s="24" t="s">
        <v>5605</v>
      </c>
      <c r="L9280" s="28" t="s">
        <v>51</v>
      </c>
      <c r="M9280" s="28" t="s">
        <v>51</v>
      </c>
      <c r="N9280" s="27">
        <v>0</v>
      </c>
    </row>
    <row r="9281" spans="1:14" hidden="1" outlineLevel="1" x14ac:dyDescent="0.2">
      <c r="A9281" s="23" t="str">
        <f>HYPERLINK("https://www.spark-marketing.ru/Card/Person/242648", "СРЕДНЯЯ ШКОЛА № 11")</f>
        <v>СРЕДНЯЯ ШКОЛА № 11</v>
      </c>
      <c r="B9281" s="24" t="s">
        <v>13433</v>
      </c>
      <c r="C9281" s="25">
        <v>675325</v>
      </c>
      <c r="D9281" s="22" t="s">
        <v>13408</v>
      </c>
      <c r="E9281" s="22" t="s">
        <v>96</v>
      </c>
      <c r="F9281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81" s="22" t="s">
        <v>217</v>
      </c>
      <c r="H9281" s="22" t="s">
        <v>11029</v>
      </c>
      <c r="I9281" s="26">
        <v>43678.591666666704</v>
      </c>
      <c r="J9281" s="23" t="str">
        <f t="shared" si="217"/>
        <v>ООО "АБК-ПЭЙМЕНТ"</v>
      </c>
      <c r="K9281" s="24" t="s">
        <v>5605</v>
      </c>
      <c r="L9281" s="28" t="s">
        <v>51</v>
      </c>
      <c r="M9281" s="28" t="s">
        <v>51</v>
      </c>
      <c r="N9281" s="27">
        <v>0</v>
      </c>
    </row>
    <row r="9282" spans="1:14" hidden="1" outlineLevel="1" x14ac:dyDescent="0.2">
      <c r="A9282" s="23" t="str">
        <f>HYPERLINK("https://www.spark-marketing.ru/Card/Person/242663", "ГИМНАЗИЯ № 7")</f>
        <v>ГИМНАЗИЯ № 7</v>
      </c>
      <c r="B9282" s="24" t="s">
        <v>13434</v>
      </c>
      <c r="C9282" s="25">
        <v>1570800</v>
      </c>
      <c r="D9282" s="22" t="s">
        <v>13408</v>
      </c>
      <c r="E9282" s="22" t="s">
        <v>96</v>
      </c>
      <c r="F9282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82" s="22" t="s">
        <v>217</v>
      </c>
      <c r="H9282" s="22" t="s">
        <v>11029</v>
      </c>
      <c r="I9282" s="26">
        <v>43678.591666666704</v>
      </c>
      <c r="J9282" s="23" t="str">
        <f t="shared" si="217"/>
        <v>ООО "АБК-ПЭЙМЕНТ"</v>
      </c>
      <c r="K9282" s="24" t="s">
        <v>5605</v>
      </c>
      <c r="L9282" s="28" t="s">
        <v>51</v>
      </c>
      <c r="M9282" s="28" t="s">
        <v>51</v>
      </c>
      <c r="N9282" s="27">
        <v>0</v>
      </c>
    </row>
    <row r="9283" spans="1:14" hidden="1" outlineLevel="1" x14ac:dyDescent="0.2">
      <c r="A9283" s="23" t="str">
        <f>HYPERLINK("https://www.spark-marketing.ru/Card/Person/242702", "СРЕДНЯЯ ШКОЛА № 16")</f>
        <v>СРЕДНЯЯ ШКОЛА № 16</v>
      </c>
      <c r="B9283" s="24" t="s">
        <v>13435</v>
      </c>
      <c r="C9283" s="25">
        <v>2063018</v>
      </c>
      <c r="D9283" s="22" t="s">
        <v>13408</v>
      </c>
      <c r="E9283" s="22" t="s">
        <v>96</v>
      </c>
      <c r="F9283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83" s="22" t="s">
        <v>217</v>
      </c>
      <c r="H9283" s="22" t="s">
        <v>11029</v>
      </c>
      <c r="I9283" s="26">
        <v>43678.591666666704</v>
      </c>
      <c r="J9283" s="23" t="str">
        <f t="shared" si="217"/>
        <v>ООО "АБК-ПЭЙМЕНТ"</v>
      </c>
      <c r="K9283" s="24" t="s">
        <v>5605</v>
      </c>
      <c r="L9283" s="28" t="s">
        <v>51</v>
      </c>
      <c r="M9283" s="28" t="s">
        <v>51</v>
      </c>
      <c r="N9283" s="27">
        <v>0</v>
      </c>
    </row>
    <row r="9284" spans="1:14" hidden="1" outlineLevel="1" x14ac:dyDescent="0.2">
      <c r="A9284" s="23" t="str">
        <f>HYPERLINK("https://www.spark-marketing.ru/Card/Person/242777", "ВЯЗОВСКАЯ НАЧАЛЬНАЯ ШКОЛА-ДЕТСКИЙ САД")</f>
        <v>ВЯЗОВСКАЯ НАЧАЛЬНАЯ ШКОЛА-ДЕТСКИЙ САД</v>
      </c>
      <c r="B9284" s="24" t="s">
        <v>13436</v>
      </c>
      <c r="C9284" s="25">
        <v>227222</v>
      </c>
      <c r="D9284" s="22" t="s">
        <v>13408</v>
      </c>
      <c r="E9284" s="22" t="s">
        <v>96</v>
      </c>
      <c r="F9284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84" s="22" t="s">
        <v>217</v>
      </c>
      <c r="H9284" s="22" t="s">
        <v>13410</v>
      </c>
      <c r="I9284" s="26">
        <v>43678.591666666704</v>
      </c>
      <c r="J9284" s="23" t="str">
        <f t="shared" si="217"/>
        <v>ООО "АБК-ПЭЙМЕНТ"</v>
      </c>
      <c r="K9284" s="24" t="s">
        <v>5605</v>
      </c>
      <c r="L9284" s="28" t="s">
        <v>51</v>
      </c>
      <c r="M9284" s="28" t="s">
        <v>51</v>
      </c>
      <c r="N9284" s="27">
        <v>0</v>
      </c>
    </row>
    <row r="9285" spans="1:14" hidden="1" outlineLevel="1" x14ac:dyDescent="0.2">
      <c r="A9285" s="23" t="str">
        <f>HYPERLINK("https://www.spark-marketing.ru/Card/Person/243295", "БЕРЕЗОВСКАЯ НАЧАЛЬНАЯ ШКОЛА - ДЕТСКИЙ САД")</f>
        <v>БЕРЕЗОВСКАЯ НАЧАЛЬНАЯ ШКОЛА - ДЕТСКИЙ САД</v>
      </c>
      <c r="B9285" s="24" t="s">
        <v>13437</v>
      </c>
      <c r="C9285" s="25">
        <v>403063.2</v>
      </c>
      <c r="D9285" s="22" t="s">
        <v>13408</v>
      </c>
      <c r="E9285" s="22" t="s">
        <v>96</v>
      </c>
      <c r="F9285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85" s="22" t="s">
        <v>217</v>
      </c>
      <c r="H9285" s="22" t="s">
        <v>13410</v>
      </c>
      <c r="I9285" s="26">
        <v>43678.591666666704</v>
      </c>
      <c r="J9285" s="23" t="str">
        <f t="shared" si="217"/>
        <v>ООО "АБК-ПЭЙМЕНТ"</v>
      </c>
      <c r="K9285" s="24" t="s">
        <v>5605</v>
      </c>
      <c r="L9285" s="28" t="s">
        <v>51</v>
      </c>
      <c r="M9285" s="28" t="s">
        <v>51</v>
      </c>
      <c r="N9285" s="27">
        <v>0</v>
      </c>
    </row>
    <row r="9286" spans="1:14" hidden="1" outlineLevel="1" x14ac:dyDescent="0.2">
      <c r="A9286" s="23" t="str">
        <f>HYPERLINK("https://www.spark-marketing.ru/Card/Person/243347", "СРЕДНЯЯ ШКОЛА № 6")</f>
        <v>СРЕДНЯЯ ШКОЛА № 6</v>
      </c>
      <c r="B9286" s="24" t="s">
        <v>13438</v>
      </c>
      <c r="C9286" s="25">
        <v>2809029</v>
      </c>
      <c r="D9286" s="22" t="s">
        <v>13408</v>
      </c>
      <c r="E9286" s="22" t="s">
        <v>96</v>
      </c>
      <c r="F9286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86" s="22" t="s">
        <v>217</v>
      </c>
      <c r="H9286" s="22" t="s">
        <v>11029</v>
      </c>
      <c r="I9286" s="26">
        <v>43678.591666666704</v>
      </c>
      <c r="J9286" s="23" t="str">
        <f t="shared" si="217"/>
        <v>ООО "АБК-ПЭЙМЕНТ"</v>
      </c>
      <c r="K9286" s="24" t="s">
        <v>5605</v>
      </c>
      <c r="L9286" s="28" t="s">
        <v>51</v>
      </c>
      <c r="M9286" s="28" t="s">
        <v>51</v>
      </c>
      <c r="N9286" s="27">
        <v>0</v>
      </c>
    </row>
    <row r="9287" spans="1:14" hidden="1" outlineLevel="1" x14ac:dyDescent="0.2">
      <c r="A9287" s="23" t="str">
        <f>HYPERLINK("https://www.spark-marketing.ru/Card/Person/243445", "СРЕДНЯЯ ШКОЛА № 5")</f>
        <v>СРЕДНЯЯ ШКОЛА № 5</v>
      </c>
      <c r="B9287" s="24" t="s">
        <v>13439</v>
      </c>
      <c r="C9287" s="25">
        <v>1939360</v>
      </c>
      <c r="D9287" s="22" t="s">
        <v>13408</v>
      </c>
      <c r="E9287" s="22" t="s">
        <v>96</v>
      </c>
      <c r="F9287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87" s="22" t="s">
        <v>217</v>
      </c>
      <c r="H9287" s="22" t="s">
        <v>11029</v>
      </c>
      <c r="I9287" s="26">
        <v>43678.591666666704</v>
      </c>
      <c r="J9287" s="23" t="str">
        <f t="shared" si="217"/>
        <v>ООО "АБК-ПЭЙМЕНТ"</v>
      </c>
      <c r="K9287" s="24" t="s">
        <v>5605</v>
      </c>
      <c r="L9287" s="28" t="s">
        <v>51</v>
      </c>
      <c r="M9287" s="28" t="s">
        <v>51</v>
      </c>
      <c r="N9287" s="27">
        <v>0</v>
      </c>
    </row>
    <row r="9288" spans="1:14" hidden="1" outlineLevel="1" x14ac:dyDescent="0.2">
      <c r="A9288" s="23" t="str">
        <f>HYPERLINK("https://www.spark-marketing.ru/Card/Person/254449", "ТАТАРСКАЯ ДЫМСКАЯ ОСНОВНАЯ ШКОЛА")</f>
        <v>ТАТАРСКАЯ ДЫМСКАЯ ОСНОВНАЯ ШКОЛА</v>
      </c>
      <c r="B9288" s="24" t="s">
        <v>13440</v>
      </c>
      <c r="C9288" s="25">
        <v>248676</v>
      </c>
      <c r="D9288" s="22" t="s">
        <v>13408</v>
      </c>
      <c r="E9288" s="22" t="s">
        <v>96</v>
      </c>
      <c r="F9288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88" s="22" t="s">
        <v>217</v>
      </c>
      <c r="H9288" s="22" t="s">
        <v>13410</v>
      </c>
      <c r="I9288" s="26">
        <v>43678.591666666704</v>
      </c>
      <c r="J9288" s="23" t="str">
        <f t="shared" si="217"/>
        <v>ООО "АБК-ПЭЙМЕНТ"</v>
      </c>
      <c r="K9288" s="24" t="s">
        <v>5605</v>
      </c>
      <c r="L9288" s="28" t="s">
        <v>51</v>
      </c>
      <c r="M9288" s="28" t="s">
        <v>51</v>
      </c>
      <c r="N9288" s="27">
        <v>0</v>
      </c>
    </row>
    <row r="9289" spans="1:14" hidden="1" outlineLevel="1" x14ac:dyDescent="0.2">
      <c r="A9289" s="23" t="str">
        <f>HYPERLINK("https://www.spark-marketing.ru/Card/Person/4350131", "ОСНОВНАЯ ШКОЛА № 12")</f>
        <v>ОСНОВНАЯ ШКОЛА № 12</v>
      </c>
      <c r="B9289" s="24" t="s">
        <v>13441</v>
      </c>
      <c r="C9289" s="25">
        <v>354450</v>
      </c>
      <c r="D9289" s="22" t="s">
        <v>13408</v>
      </c>
      <c r="E9289" s="22" t="s">
        <v>96</v>
      </c>
      <c r="F9289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89" s="22" t="s">
        <v>217</v>
      </c>
      <c r="H9289" s="22" t="s">
        <v>11029</v>
      </c>
      <c r="I9289" s="26">
        <v>43678.591666666704</v>
      </c>
      <c r="J9289" s="23" t="str">
        <f t="shared" si="217"/>
        <v>ООО "АБК-ПЭЙМЕНТ"</v>
      </c>
      <c r="K9289" s="24" t="s">
        <v>5605</v>
      </c>
      <c r="L9289" s="28" t="s">
        <v>51</v>
      </c>
      <c r="M9289" s="28" t="s">
        <v>51</v>
      </c>
      <c r="N9289" s="27">
        <v>0</v>
      </c>
    </row>
    <row r="9290" spans="1:14" hidden="1" outlineLevel="1" x14ac:dyDescent="0.2">
      <c r="A9290" s="23" t="str">
        <f>HYPERLINK("https://www.spark-marketing.ru/Card/Person/6446137", "НОВОАЛЕКСАНДРОВСКАЯ НАЧАЛЬНАЯ ШКОЛА-ДЕТСКИЙ САД ИМЕНИ ГЕРОЯ СОВЕТСКОГО СОЮЗА ВЯЧЕСЛАВА АЛЕКСАНДРОВИЧА МЕДНОНОГОВА БУГУЛЬМИНСКОГО МУНИЦИПАЛЬНОГО РАЙОНА РЕСПУБЛИКИ ТАТАРСТАН")</f>
        <v>НОВОАЛЕКСАНДРОВСКАЯ НАЧАЛЬНАЯ ШКОЛА-ДЕТСКИЙ САД ИМЕНИ ГЕРОЯ СОВЕТСКОГО СОЮЗА ВЯЧЕСЛАВА АЛЕКСАНДРОВИЧА МЕДНОНОГОВА БУГУЛЬМИНСКОГО МУНИЦИПАЛЬНОГО РАЙОНА РЕСПУБЛИКИ ТАТАРСТАН</v>
      </c>
      <c r="B9290" s="24" t="s">
        <v>13442</v>
      </c>
      <c r="C9290" s="25">
        <v>245949.2</v>
      </c>
      <c r="D9290" s="22" t="s">
        <v>13408</v>
      </c>
      <c r="E9290" s="22" t="s">
        <v>96</v>
      </c>
      <c r="F9290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90" s="22" t="s">
        <v>217</v>
      </c>
      <c r="H9290" s="22" t="s">
        <v>13410</v>
      </c>
      <c r="I9290" s="26">
        <v>43678.591666666704</v>
      </c>
      <c r="J9290" s="23" t="str">
        <f t="shared" si="217"/>
        <v>ООО "АБК-ПЭЙМЕНТ"</v>
      </c>
      <c r="K9290" s="24" t="s">
        <v>5605</v>
      </c>
      <c r="L9290" s="28" t="s">
        <v>51</v>
      </c>
      <c r="M9290" s="28" t="s">
        <v>51</v>
      </c>
      <c r="N9290" s="27">
        <v>0</v>
      </c>
    </row>
    <row r="9291" spans="1:14" hidden="1" outlineLevel="1" x14ac:dyDescent="0.2">
      <c r="A9291" s="23" t="str">
        <f>HYPERLINK("https://www.spark-marketing.ru/Card/Person/6448252", "КЛЮЧЕВСКАЯ НАЧАЛЬНАЯ ШКОЛА-ДЕТСКИЙ САД")</f>
        <v>КЛЮЧЕВСКАЯ НАЧАЛЬНАЯ ШКОЛА-ДЕТСКИЙ САД</v>
      </c>
      <c r="B9291" s="24" t="s">
        <v>13443</v>
      </c>
      <c r="C9291" s="25">
        <v>219094.3</v>
      </c>
      <c r="D9291" s="22" t="s">
        <v>13408</v>
      </c>
      <c r="E9291" s="22" t="s">
        <v>96</v>
      </c>
      <c r="F9291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91" s="22" t="s">
        <v>217</v>
      </c>
      <c r="H9291" s="22" t="s">
        <v>13410</v>
      </c>
      <c r="I9291" s="26">
        <v>43678.591666666704</v>
      </c>
      <c r="J9291" s="23" t="str">
        <f t="shared" si="217"/>
        <v>ООО "АБК-ПЭЙМЕНТ"</v>
      </c>
      <c r="K9291" s="24" t="s">
        <v>5605</v>
      </c>
      <c r="L9291" s="28" t="s">
        <v>51</v>
      </c>
      <c r="M9291" s="28" t="s">
        <v>51</v>
      </c>
      <c r="N9291" s="27">
        <v>0</v>
      </c>
    </row>
    <row r="9292" spans="1:14" hidden="1" outlineLevel="1" x14ac:dyDescent="0.2">
      <c r="A9292" s="23" t="str">
        <f>HYPERLINK("https://www.spark-marketing.ru/Card/Person/6484396", "СТАРОИСАКОВСКАЯ НАЧАЛЬНАЯ ШКОЛА-ДЕТСКИЙ САД")</f>
        <v>СТАРОИСАКОВСКАЯ НАЧАЛЬНАЯ ШКОЛА-ДЕТСКИЙ САД</v>
      </c>
      <c r="B9292" s="24" t="s">
        <v>13444</v>
      </c>
      <c r="C9292" s="25">
        <v>116375.2</v>
      </c>
      <c r="D9292" s="22" t="s">
        <v>13408</v>
      </c>
      <c r="E9292" s="22" t="s">
        <v>96</v>
      </c>
      <c r="F9292" s="23" t="str">
        <f t="shared" si="216"/>
        <v>право заключения муниципального контракта на оказание услуг по организации питания для обучающихся в образовательных учреждениях г. Бугульмы и Бугульминского муниципального района</v>
      </c>
      <c r="G9292" s="22" t="s">
        <v>217</v>
      </c>
      <c r="H9292" s="22" t="s">
        <v>13410</v>
      </c>
      <c r="I9292" s="26">
        <v>43678.591666666704</v>
      </c>
      <c r="J9292" s="23" t="str">
        <f t="shared" si="217"/>
        <v>ООО "АБК-ПЭЙМЕНТ"</v>
      </c>
      <c r="K9292" s="24" t="s">
        <v>5605</v>
      </c>
      <c r="L9292" s="28" t="s">
        <v>51</v>
      </c>
      <c r="M9292" s="28" t="s">
        <v>51</v>
      </c>
      <c r="N9292" s="27">
        <v>0</v>
      </c>
    </row>
    <row r="9293" spans="1:14" x14ac:dyDescent="0.15">
      <c r="A9293" s="23" t="str">
        <f>HYPERLINK("https://www.spark-marketing.ru/Card/Person/4036", "КУ ""ЦЕНТРОСПАС-ЮГОРИЯ""")</f>
        <v>КУ "ЦЕНТРОСПАС-ЮГОРИЯ"</v>
      </c>
      <c r="B9293" s="24" t="s">
        <v>9904</v>
      </c>
      <c r="C9293" s="25">
        <v>240000</v>
      </c>
      <c r="D9293" s="22" t="s">
        <v>13445</v>
      </c>
      <c r="E9293" s="22" t="s">
        <v>48</v>
      </c>
      <c r="F9293" s="23" t="str">
        <f>HYPERLINK("https://www.spark-marketing.ru/Card/Lot/72548501", "На оказание услуг по организации питания судейской коллегии при проведении финала ежегодного окружного соревнования «Школа безопасности»")</f>
        <v>На оказание услуг по организации питания судейской коллегии при проведении финала ежегодного окружного соревнования «Школа безопасности»</v>
      </c>
      <c r="G9293" s="22" t="s">
        <v>97</v>
      </c>
      <c r="H9293" s="22" t="s">
        <v>98</v>
      </c>
      <c r="I9293" s="26">
        <v>43678.610706018502</v>
      </c>
      <c r="J9293" s="28" t="s">
        <v>51</v>
      </c>
      <c r="K9293" s="28" t="s">
        <v>51</v>
      </c>
      <c r="L9293" s="28" t="s">
        <v>51</v>
      </c>
      <c r="M9293" s="28" t="s">
        <v>51</v>
      </c>
      <c r="N9293" s="28" t="s">
        <v>51</v>
      </c>
    </row>
    <row r="9294" spans="1:14" x14ac:dyDescent="0.15">
      <c r="A9294" s="23" t="str">
        <f>HYPERLINK("https://www.spark-marketing.ru/Card/Person/253777", "МБОУ СОШ № 50")</f>
        <v>МБОУ СОШ № 50</v>
      </c>
      <c r="B9294" s="24" t="s">
        <v>13446</v>
      </c>
      <c r="C9294" s="25">
        <v>996241.4</v>
      </c>
      <c r="D9294" s="22" t="s">
        <v>13447</v>
      </c>
      <c r="E9294" s="22" t="s">
        <v>48</v>
      </c>
      <c r="F9294" s="23" t="str">
        <f>HYPERLINK("https://www.spark-marketing.ru/Card/Lot/72552820", "№ зз-25829-19 Оказание услуг по организации питания обучающихся МБОУ СОШ №50")</f>
        <v>№ зз-25829-19 Оказание услуг по организации питания обучающихся МБОУ СОШ №50</v>
      </c>
      <c r="G9294" s="22" t="s">
        <v>852</v>
      </c>
      <c r="H9294" s="22" t="s">
        <v>2477</v>
      </c>
      <c r="I9294" s="26">
        <v>43678.547812500001</v>
      </c>
      <c r="J9294" s="23" t="str">
        <f>HYPERLINK("https://www.spark-marketing.ru/Card/Person/160878", "ООО ""ШКОЛЬНИК""")</f>
        <v>ООО "ШКОЛЬНИК"</v>
      </c>
      <c r="K9294" s="24" t="s">
        <v>13448</v>
      </c>
      <c r="L9294" s="22" t="s">
        <v>10</v>
      </c>
      <c r="M9294" s="28" t="s">
        <v>51</v>
      </c>
      <c r="N9294" s="28" t="s">
        <v>51</v>
      </c>
    </row>
    <row r="9295" spans="1:14" x14ac:dyDescent="0.15">
      <c r="A9295" s="23" t="str">
        <f>HYPERLINK("https://www.spark-marketing.ru/Card/Person/137723", "МБОУ СОШ № 1")</f>
        <v>МБОУ СОШ № 1</v>
      </c>
      <c r="B9295" s="24" t="s">
        <v>13449</v>
      </c>
      <c r="C9295" s="25">
        <v>208464.2</v>
      </c>
      <c r="D9295" s="22" t="s">
        <v>13450</v>
      </c>
      <c r="E9295" s="22" t="s">
        <v>464</v>
      </c>
      <c r="F9295" s="23" t="str">
        <f>HYPERLINK("https://www.spark-marketing.ru/Card/Lot/72547263", "услуга по поставке молока (далее по тексту - Товар) для питания детей дошкольного и школьного возраста")</f>
        <v>услуга по поставке молока (далее по тексту - Товар) для питания детей дошкольного и школьного возраста</v>
      </c>
      <c r="G9295" s="22" t="s">
        <v>267</v>
      </c>
      <c r="H9295" s="22" t="s">
        <v>10641</v>
      </c>
      <c r="I9295" s="26">
        <v>43678.570138888899</v>
      </c>
      <c r="J9295" s="28" t="s">
        <v>51</v>
      </c>
      <c r="K9295" s="28" t="s">
        <v>51</v>
      </c>
      <c r="L9295" s="28" t="s">
        <v>51</v>
      </c>
      <c r="M9295" s="28" t="s">
        <v>51</v>
      </c>
      <c r="N9295" s="28" t="s">
        <v>51</v>
      </c>
    </row>
    <row r="9296" spans="1:14" x14ac:dyDescent="0.15">
      <c r="A9296" s="23" t="str">
        <f>HYPERLINK("https://www.spark-marketing.ru/Card/Person/55899", "ГБУЗ ""УСТЬ-ЛАБИНСКАЯ ЦРБ"" МЗ КК")</f>
        <v>ГБУЗ "УСТЬ-ЛАБИНСКАЯ ЦРБ" МЗ КК</v>
      </c>
      <c r="B9296" s="24" t="s">
        <v>1602</v>
      </c>
      <c r="C9296" s="25">
        <v>497300</v>
      </c>
      <c r="D9296" s="22" t="s">
        <v>13451</v>
      </c>
      <c r="E9296" s="22" t="s">
        <v>48</v>
      </c>
      <c r="F9296" s="23" t="str">
        <f>HYPERLINK("https://www.spark-marketing.ru/Card/Lot/72577117", "Оказание услуг по обеспечению лечебным питанием пациентов ГБУЗ ""Усть-Лабинская ЦРБ"" МЗ КК")</f>
        <v>Оказание услуг по обеспечению лечебным питанием пациентов ГБУЗ "Усть-Лабинская ЦРБ" МЗ КК</v>
      </c>
      <c r="G9296" s="22" t="s">
        <v>104</v>
      </c>
      <c r="H9296" s="22" t="s">
        <v>1424</v>
      </c>
      <c r="I9296" s="26">
        <v>43678.512523148202</v>
      </c>
      <c r="J9296" s="23" t="str">
        <f>HYPERLINK("https://www.spark-marketing.ru/Card/Person/878131", "ООО "" АГРОПРОМСЕРВИС """)</f>
        <v>ООО " АГРОПРОМСЕРВИС "</v>
      </c>
      <c r="K9296" s="24" t="s">
        <v>1425</v>
      </c>
      <c r="L9296" s="22" t="s">
        <v>10</v>
      </c>
      <c r="M9296" s="28" t="s">
        <v>51</v>
      </c>
      <c r="N9296" s="28" t="s">
        <v>51</v>
      </c>
    </row>
    <row r="9297" spans="1:14" x14ac:dyDescent="0.15">
      <c r="A9297" s="23" t="str">
        <f>HYPERLINK("https://www.spark-marketing.ru/Card/Person/773532", "МБДОУ ""ДЕТСКИЙ САД ""ЭНЖЕ"" С. НУРЕЕВО""")</f>
        <v>МБДОУ "ДЕТСКИЙ САД "ЭНЖЕ" С. НУРЕЕВО"</v>
      </c>
      <c r="B9297" s="24" t="s">
        <v>13452</v>
      </c>
      <c r="C9297" s="25">
        <v>416495.24</v>
      </c>
      <c r="D9297" s="22" t="s">
        <v>13453</v>
      </c>
      <c r="E9297" s="22" t="s">
        <v>48</v>
      </c>
      <c r="F9297" s="23" t="str">
        <f>HYPERLINK("https://www.spark-marketing.ru/Card/Lot/72543796", "Услуги по организации горячего питания в муниципальном бюджетном дошкольном образовательном учреждении «Детский сад «Энже» с.Нуреево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«Энже» с.Нуреево муниципального района Шаранский район РБ»</v>
      </c>
      <c r="G9297" s="22" t="s">
        <v>145</v>
      </c>
      <c r="H9297" s="22" t="s">
        <v>12518</v>
      </c>
      <c r="I9297" s="26">
        <v>43678.532129629602</v>
      </c>
      <c r="J9297" s="28" t="s">
        <v>51</v>
      </c>
      <c r="K9297" s="28" t="s">
        <v>51</v>
      </c>
      <c r="L9297" s="28" t="s">
        <v>51</v>
      </c>
      <c r="M9297" s="28" t="s">
        <v>51</v>
      </c>
      <c r="N9297" s="28" t="s">
        <v>51</v>
      </c>
    </row>
    <row r="9298" spans="1:14" ht="12.75" hidden="1" outlineLevel="1" x14ac:dyDescent="0.2">
      <c r="A9298" s="23" t="str">
        <f>HYPERLINK("https://www.spark-marketing.ru/Card/Person/773532", "МБДОУ ""ДЕТСКИЙ САД ""ЭНЖЕ"" С. НУРЕЕВО""")</f>
        <v>МБДОУ "ДЕТСКИЙ САД "ЭНЖЕ" С. НУРЕЕВО"</v>
      </c>
      <c r="B9298" s="24" t="s">
        <v>13452</v>
      </c>
      <c r="C9298" s="25">
        <v>416495.24</v>
      </c>
      <c r="D9298" s="22" t="s">
        <v>13453</v>
      </c>
      <c r="E9298" s="22" t="s">
        <v>48</v>
      </c>
      <c r="F9298" s="23" t="str">
        <f>HYPERLINK("https://www.spark-marketing.ru/Card/Lot/72543796", "Услуги по организации горячего питания в муниципальном бюджетном дошкольном образовательном учреждении «Детский сад «Энже» с.Нуреево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«Энже» с.Нуреево муниципального района Шаранский район РБ»</v>
      </c>
      <c r="G9298" s="22" t="s">
        <v>145</v>
      </c>
      <c r="H9298" s="22" t="s">
        <v>12518</v>
      </c>
      <c r="I9298" s="26">
        <v>43678.532129629602</v>
      </c>
      <c r="J9298" s="23" t="str">
        <f>HYPERLINK("https://www.spark-marketing.ru/Card/Person/1089466", "Давлетова Надежда Мурзагареевна")</f>
        <v>Давлетова Надежда Мурзагареевна</v>
      </c>
      <c r="K9298" s="24" t="s">
        <v>12519</v>
      </c>
      <c r="L9298" s="22" t="s">
        <v>10</v>
      </c>
      <c r="M9298" s="25">
        <v>416495.24</v>
      </c>
      <c r="N9298" s="27">
        <v>0</v>
      </c>
    </row>
    <row r="9299" spans="1:14" hidden="1" outlineLevel="1" x14ac:dyDescent="0.2">
      <c r="A9299" s="23" t="str">
        <f>HYPERLINK("https://www.spark-marketing.ru/Card/Person/773532", "МБДОУ ""ДЕТСКИЙ САД ""ЭНЖЕ"" С. НУРЕЕВО""")</f>
        <v>МБДОУ "ДЕТСКИЙ САД "ЭНЖЕ" С. НУРЕЕВО"</v>
      </c>
      <c r="B9299" s="24" t="s">
        <v>13452</v>
      </c>
      <c r="C9299" s="25">
        <v>416495.24</v>
      </c>
      <c r="D9299" s="22" t="s">
        <v>13453</v>
      </c>
      <c r="E9299" s="22" t="s">
        <v>48</v>
      </c>
      <c r="F9299" s="23" t="str">
        <f>HYPERLINK("https://www.spark-marketing.ru/Card/Lot/72543796", "Услуги по организации горячего питания в муниципальном бюджетном дошкольном образовательном учреждении «Детский сад «Энже» с.Нуреево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«Энже» с.Нуреево муниципального района Шаранский район РБ»</v>
      </c>
      <c r="G9299" s="22" t="s">
        <v>145</v>
      </c>
      <c r="H9299" s="22" t="s">
        <v>12518</v>
      </c>
      <c r="I9299" s="26">
        <v>43678.532129629602</v>
      </c>
      <c r="J9299" s="23" t="str">
        <f>HYPERLINK("https://www.spark-marketing.ru/Card/Person/145110", "ООО ""ТК ""ЗК""")</f>
        <v>ООО "ТК "ЗК"</v>
      </c>
      <c r="K9299" s="24" t="s">
        <v>5800</v>
      </c>
      <c r="L9299" s="28" t="s">
        <v>51</v>
      </c>
      <c r="M9299" s="25">
        <v>416495.24</v>
      </c>
      <c r="N9299" s="27">
        <v>0</v>
      </c>
    </row>
    <row r="9300" spans="1:14" x14ac:dyDescent="0.15">
      <c r="A9300" s="23" t="str">
        <f>HYPERLINK("https://www.spark-marketing.ru/Card/Person/5131", "УПРАВЛЕНИЕ ПО РАБОТЕ С НАСЕЛЕНИЕМ НА ТЕРРИТОРИЯХ")</f>
        <v>УПРАВЛЕНИЕ ПО РАБОТЕ С НАСЕЛЕНИЕМ НА ТЕРРИТОРИЯХ</v>
      </c>
      <c r="B9300" s="24" t="s">
        <v>13454</v>
      </c>
      <c r="C9300" s="25">
        <v>164000</v>
      </c>
      <c r="D9300" s="22" t="s">
        <v>13455</v>
      </c>
      <c r="E9300" s="22" t="s">
        <v>12645</v>
      </c>
      <c r="F9300" s="23" t="str">
        <f>HYPERLINK("https://www.spark-marketing.ru/Card/Lot/72552294", "Оказание экскурсионных услуг")</f>
        <v>Оказание экскурсионных услуг</v>
      </c>
      <c r="G9300" s="22" t="s">
        <v>112</v>
      </c>
      <c r="H9300" s="22" t="s">
        <v>389</v>
      </c>
      <c r="I9300" s="26">
        <v>43678.537812499999</v>
      </c>
      <c r="J9300" s="28" t="s">
        <v>51</v>
      </c>
      <c r="K9300" s="28" t="s">
        <v>51</v>
      </c>
      <c r="L9300" s="28" t="s">
        <v>51</v>
      </c>
      <c r="M9300" s="28" t="s">
        <v>51</v>
      </c>
      <c r="N9300" s="28" t="s">
        <v>51</v>
      </c>
    </row>
    <row r="9301" spans="1:14" hidden="1" outlineLevel="1" x14ac:dyDescent="0.2">
      <c r="A9301" s="23" t="str">
        <f>HYPERLINK("https://www.spark-marketing.ru/Card/Person/5131", "УПРАВЛЕНИЕ ПО РАБОТЕ С НАСЕЛЕНИЕМ НА ТЕРРИТОРИЯХ")</f>
        <v>УПРАВЛЕНИЕ ПО РАБОТЕ С НАСЕЛЕНИЕМ НА ТЕРРИТОРИЯХ</v>
      </c>
      <c r="B9301" s="24" t="s">
        <v>13454</v>
      </c>
      <c r="C9301" s="25">
        <v>164000</v>
      </c>
      <c r="D9301" s="22" t="s">
        <v>13455</v>
      </c>
      <c r="E9301" s="22" t="s">
        <v>12645</v>
      </c>
      <c r="F9301" s="23" t="str">
        <f>HYPERLINK("https://www.spark-marketing.ru/Card/Lot/72552294", "Оказание экскурсионных услуг")</f>
        <v>Оказание экскурсионных услуг</v>
      </c>
      <c r="G9301" s="22" t="s">
        <v>112</v>
      </c>
      <c r="H9301" s="22" t="s">
        <v>389</v>
      </c>
      <c r="I9301" s="26">
        <v>43678.537812499999</v>
      </c>
      <c r="J9301" s="23" t="str">
        <f>HYPERLINK("https://www.spark-marketing.ru/Card/Person/5862353", "ООО ""ЛИГА ТКС""")</f>
        <v>ООО "ЛИГА ТКС"</v>
      </c>
      <c r="K9301" s="24" t="s">
        <v>13456</v>
      </c>
      <c r="L9301" s="28" t="s">
        <v>51</v>
      </c>
      <c r="M9301" s="25">
        <v>163180</v>
      </c>
      <c r="N9301" s="27">
        <v>5.0000000000000001E-3</v>
      </c>
    </row>
    <row r="9302" spans="1:14" ht="12.75" hidden="1" outlineLevel="1" x14ac:dyDescent="0.2">
      <c r="A9302" s="23" t="str">
        <f>HYPERLINK("https://www.spark-marketing.ru/Card/Person/5131", "УПРАВЛЕНИЕ ПО РАБОТЕ С НАСЕЛЕНИЕМ НА ТЕРРИТОРИЯХ")</f>
        <v>УПРАВЛЕНИЕ ПО РАБОТЕ С НАСЕЛЕНИЕМ НА ТЕРРИТОРИЯХ</v>
      </c>
      <c r="B9302" s="24" t="s">
        <v>13454</v>
      </c>
      <c r="C9302" s="25">
        <v>164000</v>
      </c>
      <c r="D9302" s="22" t="s">
        <v>13455</v>
      </c>
      <c r="E9302" s="22" t="s">
        <v>12645</v>
      </c>
      <c r="F9302" s="23" t="str">
        <f>HYPERLINK("https://www.spark-marketing.ru/Card/Lot/72552294", "Оказание экскурсионных услуг")</f>
        <v>Оказание экскурсионных услуг</v>
      </c>
      <c r="G9302" s="22" t="s">
        <v>112</v>
      </c>
      <c r="H9302" s="22" t="s">
        <v>389</v>
      </c>
      <c r="I9302" s="26">
        <v>43678.537812499999</v>
      </c>
      <c r="J9302" s="23" t="str">
        <f>HYPERLINK("https://www.spark-marketing.ru/Card/Person/417535", "ООО ""ПИОНЕР-ТУР""")</f>
        <v>ООО "ПИОНЕР-ТУР"</v>
      </c>
      <c r="K9302" s="24" t="s">
        <v>13457</v>
      </c>
      <c r="L9302" s="22" t="s">
        <v>10</v>
      </c>
      <c r="M9302" s="25">
        <v>163180</v>
      </c>
      <c r="N9302" s="27">
        <v>5.0000000000000001E-3</v>
      </c>
    </row>
    <row r="9303" spans="1:14" x14ac:dyDescent="0.15">
      <c r="A9303" s="23" t="str">
        <f>HYPERLINK("https://www.spark-marketing.ru/Card/Person/736694", "МБДОУ ""ДЕТСКИЙ САД ""МАЛЫШОК"" С.ДЮРТЮЛИ""")</f>
        <v>МБДОУ "ДЕТСКИЙ САД "МАЛЫШОК" С.ДЮРТЮЛИ"</v>
      </c>
      <c r="B9303" s="24" t="s">
        <v>13458</v>
      </c>
      <c r="C9303" s="25">
        <v>325789.81</v>
      </c>
      <c r="D9303" s="22" t="s">
        <v>13459</v>
      </c>
      <c r="E9303" s="22" t="s">
        <v>48</v>
      </c>
      <c r="F9303" s="23" t="str">
        <f>HYPERLINK("https://www.spark-marketing.ru/Card/Lot/72543766", "Услуги по организации горячего питания в муниципальном бюджетном дошкольном образовательном учреждении «Детский сад «Малышок» с.Дюртюли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«Малышок» с.Дюртюли муниципального района Шаранский район РБ»</v>
      </c>
      <c r="G9303" s="22" t="s">
        <v>145</v>
      </c>
      <c r="H9303" s="22" t="s">
        <v>12518</v>
      </c>
      <c r="I9303" s="26">
        <v>43678.512488425898</v>
      </c>
      <c r="J9303" s="28" t="s">
        <v>51</v>
      </c>
      <c r="K9303" s="28" t="s">
        <v>51</v>
      </c>
      <c r="L9303" s="28" t="s">
        <v>51</v>
      </c>
      <c r="M9303" s="28" t="s">
        <v>51</v>
      </c>
      <c r="N9303" s="28" t="s">
        <v>51</v>
      </c>
    </row>
    <row r="9304" spans="1:14" ht="12.75" hidden="1" outlineLevel="1" x14ac:dyDescent="0.2">
      <c r="A9304" s="23" t="str">
        <f>HYPERLINK("https://www.spark-marketing.ru/Card/Person/736694", "МБДОУ ""ДЕТСКИЙ САД ""МАЛЫШОК"" С.ДЮРТЮЛИ""")</f>
        <v>МБДОУ "ДЕТСКИЙ САД "МАЛЫШОК" С.ДЮРТЮЛИ"</v>
      </c>
      <c r="B9304" s="24" t="s">
        <v>13458</v>
      </c>
      <c r="C9304" s="25">
        <v>325789.81</v>
      </c>
      <c r="D9304" s="22" t="s">
        <v>13459</v>
      </c>
      <c r="E9304" s="22" t="s">
        <v>48</v>
      </c>
      <c r="F9304" s="23" t="str">
        <f>HYPERLINK("https://www.spark-marketing.ru/Card/Lot/72543766", "Услуги по организации горячего питания в муниципальном бюджетном дошкольном образовательном учреждении «Детский сад «Малышок» с.Дюртюли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«Малышок» с.Дюртюли муниципального района Шаранский район РБ»</v>
      </c>
      <c r="G9304" s="22" t="s">
        <v>145</v>
      </c>
      <c r="H9304" s="22" t="s">
        <v>12518</v>
      </c>
      <c r="I9304" s="26">
        <v>43678.512488425898</v>
      </c>
      <c r="J9304" s="23" t="str">
        <f>HYPERLINK("https://www.spark-marketing.ru/Card/Person/1089466", "Давлетова Надежда Мурзагареевна")</f>
        <v>Давлетова Надежда Мурзагареевна</v>
      </c>
      <c r="K9304" s="24" t="s">
        <v>12519</v>
      </c>
      <c r="L9304" s="22" t="s">
        <v>10</v>
      </c>
      <c r="M9304" s="25">
        <v>325789.81</v>
      </c>
      <c r="N9304" s="27">
        <v>0</v>
      </c>
    </row>
    <row r="9305" spans="1:14" hidden="1" outlineLevel="1" x14ac:dyDescent="0.2">
      <c r="A9305" s="23" t="str">
        <f>HYPERLINK("https://www.spark-marketing.ru/Card/Person/736694", "МБДОУ ""ДЕТСКИЙ САД ""МАЛЫШОК"" С.ДЮРТЮЛИ""")</f>
        <v>МБДОУ "ДЕТСКИЙ САД "МАЛЫШОК" С.ДЮРТЮЛИ"</v>
      </c>
      <c r="B9305" s="24" t="s">
        <v>13458</v>
      </c>
      <c r="C9305" s="25">
        <v>325789.81</v>
      </c>
      <c r="D9305" s="22" t="s">
        <v>13459</v>
      </c>
      <c r="E9305" s="22" t="s">
        <v>48</v>
      </c>
      <c r="F9305" s="23" t="str">
        <f>HYPERLINK("https://www.spark-marketing.ru/Card/Lot/72543766", "Услуги по организации горячего питания в муниципальном бюджетном дошкольном образовательном учреждении «Детский сад «Малышок» с.Дюртюли муниципального района Шаранский район РБ»")</f>
        <v>Услуги по организации горячего питания в муниципальном бюджетном дошкольном образовательном учреждении «Детский сад «Малышок» с.Дюртюли муниципального района Шаранский район РБ»</v>
      </c>
      <c r="G9305" s="22" t="s">
        <v>145</v>
      </c>
      <c r="H9305" s="22" t="s">
        <v>12518</v>
      </c>
      <c r="I9305" s="26">
        <v>43678.512488425898</v>
      </c>
      <c r="J9305" s="23" t="str">
        <f>HYPERLINK("https://www.spark-marketing.ru/Card/Person/145110", "ООО ""ТК ""ЗК""")</f>
        <v>ООО "ТК "ЗК"</v>
      </c>
      <c r="K9305" s="24" t="s">
        <v>5800</v>
      </c>
      <c r="L9305" s="28" t="s">
        <v>51</v>
      </c>
      <c r="M9305" s="25">
        <v>325789.81</v>
      </c>
      <c r="N9305" s="27">
        <v>0</v>
      </c>
    </row>
    <row r="9306" spans="1:14" x14ac:dyDescent="0.15">
      <c r="A9306" s="23" t="s">
        <v>114</v>
      </c>
      <c r="B9306" s="28" t="s">
        <v>51</v>
      </c>
      <c r="C9306" s="25">
        <v>17403970</v>
      </c>
      <c r="D9306" s="22" t="s">
        <v>13460</v>
      </c>
      <c r="E9306" s="22" t="s">
        <v>48</v>
      </c>
      <c r="F9306" s="23" t="str">
        <f t="shared" ref="F9306:F9330" si="218">HYPERLINK("https://www.spark-marketing.ru/Card/Lot/72552872", "Оказание услуг по организации питания учащихся")</f>
        <v>Оказание услуг по организации питания учащихся</v>
      </c>
      <c r="G9306" s="22" t="s">
        <v>51</v>
      </c>
      <c r="H9306" s="22" t="s">
        <v>51</v>
      </c>
      <c r="I9306" s="26">
        <v>43678.529710648101</v>
      </c>
      <c r="J9306" s="23" t="str">
        <f t="shared" ref="J9306:J9330" si="219">HYPERLINK("https://www.spark-marketing.ru/Card/Person/4395395", "АО ""ФАРМАЦИЯ""")</f>
        <v>АО "ФАРМАЦИЯ"</v>
      </c>
      <c r="K9306" s="24" t="s">
        <v>13461</v>
      </c>
      <c r="L9306" s="22" t="s">
        <v>10</v>
      </c>
      <c r="M9306" s="28" t="s">
        <v>51</v>
      </c>
      <c r="N9306" s="28" t="s">
        <v>51</v>
      </c>
    </row>
    <row r="9307" spans="1:14" hidden="1" outlineLevel="1" x14ac:dyDescent="0.15">
      <c r="A9307" s="23" t="str">
        <f>HYPERLINK("https://www.spark-marketing.ru/Card/Person/1008457", "МБОУ СОШ № 42 Г. БРЯНСКА")</f>
        <v>МБОУ СОШ № 42 Г. БРЯНСКА</v>
      </c>
      <c r="B9307" s="24" t="s">
        <v>13462</v>
      </c>
      <c r="C9307" s="25">
        <v>452986</v>
      </c>
      <c r="D9307" s="22" t="s">
        <v>13460</v>
      </c>
      <c r="E9307" s="22" t="s">
        <v>48</v>
      </c>
      <c r="F9307" s="23" t="str">
        <f t="shared" si="218"/>
        <v>Оказание услуг по организации питания учащихся</v>
      </c>
      <c r="G9307" s="22" t="s">
        <v>475</v>
      </c>
      <c r="H9307" s="22" t="s">
        <v>475</v>
      </c>
      <c r="I9307" s="26">
        <v>43678.529710648101</v>
      </c>
      <c r="J9307" s="23" t="str">
        <f t="shared" si="219"/>
        <v>АО "ФАРМАЦИЯ"</v>
      </c>
      <c r="K9307" s="24" t="s">
        <v>13461</v>
      </c>
      <c r="L9307" s="22" t="s">
        <v>10</v>
      </c>
      <c r="M9307" s="28" t="s">
        <v>51</v>
      </c>
      <c r="N9307" s="28" t="s">
        <v>51</v>
      </c>
    </row>
    <row r="9308" spans="1:14" hidden="1" outlineLevel="1" x14ac:dyDescent="0.15">
      <c r="A9308" s="23" t="str">
        <f>HYPERLINK("https://www.spark-marketing.ru/Card/Person/1008561", "МБОУ СОШ № 39 Г.БРЯНСКА")</f>
        <v>МБОУ СОШ № 39 Г.БРЯНСКА</v>
      </c>
      <c r="B9308" s="24" t="s">
        <v>13463</v>
      </c>
      <c r="C9308" s="25">
        <v>844589</v>
      </c>
      <c r="D9308" s="22" t="s">
        <v>13460</v>
      </c>
      <c r="E9308" s="22" t="s">
        <v>48</v>
      </c>
      <c r="F9308" s="23" t="str">
        <f t="shared" si="218"/>
        <v>Оказание услуг по организации питания учащихся</v>
      </c>
      <c r="G9308" s="22" t="s">
        <v>475</v>
      </c>
      <c r="H9308" s="22" t="s">
        <v>475</v>
      </c>
      <c r="I9308" s="26">
        <v>43678.529710648101</v>
      </c>
      <c r="J9308" s="23" t="str">
        <f t="shared" si="219"/>
        <v>АО "ФАРМАЦИЯ"</v>
      </c>
      <c r="K9308" s="24" t="s">
        <v>13461</v>
      </c>
      <c r="L9308" s="22" t="s">
        <v>10</v>
      </c>
      <c r="M9308" s="28" t="s">
        <v>51</v>
      </c>
      <c r="N9308" s="28" t="s">
        <v>51</v>
      </c>
    </row>
    <row r="9309" spans="1:14" hidden="1" outlineLevel="1" x14ac:dyDescent="0.15">
      <c r="A9309" s="23" t="str">
        <f>HYPERLINK("https://www.spark-marketing.ru/Card/Person/1008975", "МБОУ ""ГИМНАЗИЯ №5"" Г.БРЯНСКА")</f>
        <v>МБОУ "ГИМНАЗИЯ №5" Г.БРЯНСКА</v>
      </c>
      <c r="B9309" s="24" t="s">
        <v>13464</v>
      </c>
      <c r="C9309" s="25">
        <v>1373652</v>
      </c>
      <c r="D9309" s="22" t="s">
        <v>13460</v>
      </c>
      <c r="E9309" s="22" t="s">
        <v>48</v>
      </c>
      <c r="F9309" s="23" t="str">
        <f t="shared" si="218"/>
        <v>Оказание услуг по организации питания учащихся</v>
      </c>
      <c r="G9309" s="22" t="s">
        <v>475</v>
      </c>
      <c r="H9309" s="22" t="s">
        <v>475</v>
      </c>
      <c r="I9309" s="26">
        <v>43678.529710648101</v>
      </c>
      <c r="J9309" s="23" t="str">
        <f t="shared" si="219"/>
        <v>АО "ФАРМАЦИЯ"</v>
      </c>
      <c r="K9309" s="24" t="s">
        <v>13461</v>
      </c>
      <c r="L9309" s="22" t="s">
        <v>10</v>
      </c>
      <c r="M9309" s="28" t="s">
        <v>51</v>
      </c>
      <c r="N9309" s="28" t="s">
        <v>51</v>
      </c>
    </row>
    <row r="9310" spans="1:14" hidden="1" outlineLevel="1" x14ac:dyDescent="0.15">
      <c r="A9310" s="23" t="str">
        <f>HYPERLINK("https://www.spark-marketing.ru/Card/Person/1037626", "МБОУ СОШ №53 Г.БРЯНСКА")</f>
        <v>МБОУ СОШ №53 Г.БРЯНСКА</v>
      </c>
      <c r="B9310" s="24" t="s">
        <v>13465</v>
      </c>
      <c r="C9310" s="25">
        <v>1172439</v>
      </c>
      <c r="D9310" s="22" t="s">
        <v>13460</v>
      </c>
      <c r="E9310" s="22" t="s">
        <v>48</v>
      </c>
      <c r="F9310" s="23" t="str">
        <f t="shared" si="218"/>
        <v>Оказание услуг по организации питания учащихся</v>
      </c>
      <c r="G9310" s="22" t="s">
        <v>475</v>
      </c>
      <c r="H9310" s="22" t="s">
        <v>475</v>
      </c>
      <c r="I9310" s="26">
        <v>43678.529710648101</v>
      </c>
      <c r="J9310" s="23" t="str">
        <f t="shared" si="219"/>
        <v>АО "ФАРМАЦИЯ"</v>
      </c>
      <c r="K9310" s="24" t="s">
        <v>13461</v>
      </c>
      <c r="L9310" s="22" t="s">
        <v>10</v>
      </c>
      <c r="M9310" s="28" t="s">
        <v>51</v>
      </c>
      <c r="N9310" s="28" t="s">
        <v>51</v>
      </c>
    </row>
    <row r="9311" spans="1:14" hidden="1" outlineLevel="1" x14ac:dyDescent="0.15">
      <c r="A9311" s="23" t="str">
        <f>HYPERLINK("https://www.spark-marketing.ru/Card/Person/1037854", "МБОУ ""БРЯНСКИЙ ГОРОДСКОЙ ЛИЦЕЙ №2 ИМ. М.В. ЛОМОНОСОВА""")</f>
        <v>МБОУ "БРЯНСКИЙ ГОРОДСКОЙ ЛИЦЕЙ №2 ИМ. М.В. ЛОМОНОСОВА"</v>
      </c>
      <c r="B9311" s="24" t="s">
        <v>13466</v>
      </c>
      <c r="C9311" s="25">
        <v>856135</v>
      </c>
      <c r="D9311" s="22" t="s">
        <v>13460</v>
      </c>
      <c r="E9311" s="22" t="s">
        <v>48</v>
      </c>
      <c r="F9311" s="23" t="str">
        <f t="shared" si="218"/>
        <v>Оказание услуг по организации питания учащихся</v>
      </c>
      <c r="G9311" s="22" t="s">
        <v>475</v>
      </c>
      <c r="H9311" s="22" t="s">
        <v>475</v>
      </c>
      <c r="I9311" s="26">
        <v>43678.529710648101</v>
      </c>
      <c r="J9311" s="23" t="str">
        <f t="shared" si="219"/>
        <v>АО "ФАРМАЦИЯ"</v>
      </c>
      <c r="K9311" s="24" t="s">
        <v>13461</v>
      </c>
      <c r="L9311" s="22" t="s">
        <v>10</v>
      </c>
      <c r="M9311" s="28" t="s">
        <v>51</v>
      </c>
      <c r="N9311" s="28" t="s">
        <v>51</v>
      </c>
    </row>
    <row r="9312" spans="1:14" hidden="1" outlineLevel="1" x14ac:dyDescent="0.15">
      <c r="A9312" s="23" t="str">
        <f>HYPERLINK("https://www.spark-marketing.ru/Card/Person/1038157", "МБОУ ""СОШ № 19"" Г.БРЯНСКА")</f>
        <v>МБОУ "СОШ № 19" Г.БРЯНСКА</v>
      </c>
      <c r="B9312" s="24" t="s">
        <v>13467</v>
      </c>
      <c r="C9312" s="25">
        <v>586417</v>
      </c>
      <c r="D9312" s="22" t="s">
        <v>13460</v>
      </c>
      <c r="E9312" s="22" t="s">
        <v>48</v>
      </c>
      <c r="F9312" s="23" t="str">
        <f t="shared" si="218"/>
        <v>Оказание услуг по организации питания учащихся</v>
      </c>
      <c r="G9312" s="22" t="s">
        <v>475</v>
      </c>
      <c r="H9312" s="22" t="s">
        <v>475</v>
      </c>
      <c r="I9312" s="26">
        <v>43678.529710648101</v>
      </c>
      <c r="J9312" s="23" t="str">
        <f t="shared" si="219"/>
        <v>АО "ФАРМАЦИЯ"</v>
      </c>
      <c r="K9312" s="24" t="s">
        <v>13461</v>
      </c>
      <c r="L9312" s="22" t="s">
        <v>10</v>
      </c>
      <c r="M9312" s="28" t="s">
        <v>51</v>
      </c>
      <c r="N9312" s="28" t="s">
        <v>51</v>
      </c>
    </row>
    <row r="9313" spans="1:14" hidden="1" outlineLevel="1" x14ac:dyDescent="0.15">
      <c r="A9313" s="23" t="str">
        <f>HYPERLINK("https://www.spark-marketing.ru/Card/Person/1038159", "МБОУ СОШ № 14 Г. БРЯНСКА")</f>
        <v>МБОУ СОШ № 14 Г. БРЯНСКА</v>
      </c>
      <c r="B9313" s="24" t="s">
        <v>13468</v>
      </c>
      <c r="C9313" s="25">
        <v>561848</v>
      </c>
      <c r="D9313" s="22" t="s">
        <v>13460</v>
      </c>
      <c r="E9313" s="22" t="s">
        <v>48</v>
      </c>
      <c r="F9313" s="23" t="str">
        <f t="shared" si="218"/>
        <v>Оказание услуг по организации питания учащихся</v>
      </c>
      <c r="G9313" s="22" t="s">
        <v>475</v>
      </c>
      <c r="H9313" s="22" t="s">
        <v>475</v>
      </c>
      <c r="I9313" s="26">
        <v>43678.529710648101</v>
      </c>
      <c r="J9313" s="23" t="str">
        <f t="shared" si="219"/>
        <v>АО "ФАРМАЦИЯ"</v>
      </c>
      <c r="K9313" s="24" t="s">
        <v>13461</v>
      </c>
      <c r="L9313" s="22" t="s">
        <v>10</v>
      </c>
      <c r="M9313" s="28" t="s">
        <v>51</v>
      </c>
      <c r="N9313" s="28" t="s">
        <v>51</v>
      </c>
    </row>
    <row r="9314" spans="1:14" hidden="1" outlineLevel="1" x14ac:dyDescent="0.15">
      <c r="A9314" s="23" t="str">
        <f>HYPERLINK("https://www.spark-marketing.ru/Card/Person/1038218", "МБОУ СОШ № 43 Г.БРЯНСКА")</f>
        <v>МБОУ СОШ № 43 Г.БРЯНСКА</v>
      </c>
      <c r="B9314" s="24" t="s">
        <v>13469</v>
      </c>
      <c r="C9314" s="25">
        <v>500386</v>
      </c>
      <c r="D9314" s="22" t="s">
        <v>13460</v>
      </c>
      <c r="E9314" s="22" t="s">
        <v>48</v>
      </c>
      <c r="F9314" s="23" t="str">
        <f t="shared" si="218"/>
        <v>Оказание услуг по организации питания учащихся</v>
      </c>
      <c r="G9314" s="22" t="s">
        <v>475</v>
      </c>
      <c r="H9314" s="22" t="s">
        <v>475</v>
      </c>
      <c r="I9314" s="26">
        <v>43678.529710648101</v>
      </c>
      <c r="J9314" s="23" t="str">
        <f t="shared" si="219"/>
        <v>АО "ФАРМАЦИЯ"</v>
      </c>
      <c r="K9314" s="24" t="s">
        <v>13461</v>
      </c>
      <c r="L9314" s="22" t="s">
        <v>10</v>
      </c>
      <c r="M9314" s="28" t="s">
        <v>51</v>
      </c>
      <c r="N9314" s="28" t="s">
        <v>51</v>
      </c>
    </row>
    <row r="9315" spans="1:14" hidden="1" outlineLevel="1" x14ac:dyDescent="0.15">
      <c r="A9315" s="23" t="str">
        <f>HYPERLINK("https://www.spark-marketing.ru/Card/Person/1038270", "МБОУ ""ШКОЛА КОРРЕКЦИИ И РАЗВИТИЯ VIII ВИДА №44"" Г. БРЯНСКА")</f>
        <v>МБОУ "ШКОЛА КОРРЕКЦИИ И РАЗВИТИЯ VIII ВИДА №44" Г. БРЯНСКА</v>
      </c>
      <c r="B9315" s="24" t="s">
        <v>13470</v>
      </c>
      <c r="C9315" s="25">
        <v>677820</v>
      </c>
      <c r="D9315" s="22" t="s">
        <v>13460</v>
      </c>
      <c r="E9315" s="22" t="s">
        <v>48</v>
      </c>
      <c r="F9315" s="23" t="str">
        <f t="shared" si="218"/>
        <v>Оказание услуг по организации питания учащихся</v>
      </c>
      <c r="G9315" s="22" t="s">
        <v>475</v>
      </c>
      <c r="H9315" s="22" t="s">
        <v>475</v>
      </c>
      <c r="I9315" s="26">
        <v>43678.529710648101</v>
      </c>
      <c r="J9315" s="23" t="str">
        <f t="shared" si="219"/>
        <v>АО "ФАРМАЦИЯ"</v>
      </c>
      <c r="K9315" s="24" t="s">
        <v>13461</v>
      </c>
      <c r="L9315" s="22" t="s">
        <v>10</v>
      </c>
      <c r="M9315" s="28" t="s">
        <v>51</v>
      </c>
      <c r="N9315" s="28" t="s">
        <v>51</v>
      </c>
    </row>
    <row r="9316" spans="1:14" hidden="1" outlineLevel="1" x14ac:dyDescent="0.15">
      <c r="A9316" s="23" t="str">
        <f>HYPERLINK("https://www.spark-marketing.ru/Card/Person/1038271", "МБОУ ""СОШ № 12"" Г. БРЯНСКА")</f>
        <v>МБОУ "СОШ № 12" Г. БРЯНСКА</v>
      </c>
      <c r="B9316" s="24" t="s">
        <v>13471</v>
      </c>
      <c r="C9316" s="25">
        <v>774279</v>
      </c>
      <c r="D9316" s="22" t="s">
        <v>13460</v>
      </c>
      <c r="E9316" s="22" t="s">
        <v>48</v>
      </c>
      <c r="F9316" s="23" t="str">
        <f t="shared" si="218"/>
        <v>Оказание услуг по организации питания учащихся</v>
      </c>
      <c r="G9316" s="22" t="s">
        <v>475</v>
      </c>
      <c r="H9316" s="22" t="s">
        <v>475</v>
      </c>
      <c r="I9316" s="26">
        <v>43678.529710648101</v>
      </c>
      <c r="J9316" s="23" t="str">
        <f t="shared" si="219"/>
        <v>АО "ФАРМАЦИЯ"</v>
      </c>
      <c r="K9316" s="24" t="s">
        <v>13461</v>
      </c>
      <c r="L9316" s="22" t="s">
        <v>10</v>
      </c>
      <c r="M9316" s="28" t="s">
        <v>51</v>
      </c>
      <c r="N9316" s="28" t="s">
        <v>51</v>
      </c>
    </row>
    <row r="9317" spans="1:14" hidden="1" outlineLevel="1" x14ac:dyDescent="0.15">
      <c r="A9317" s="23" t="str">
        <f>HYPERLINK("https://www.spark-marketing.ru/Card/Person/1038448", "МБОУ СОШ №32 Г.БРЯНСКА")</f>
        <v>МБОУ СОШ №32 Г.БРЯНСКА</v>
      </c>
      <c r="B9317" s="24" t="s">
        <v>13472</v>
      </c>
      <c r="C9317" s="25">
        <v>431735</v>
      </c>
      <c r="D9317" s="22" t="s">
        <v>13460</v>
      </c>
      <c r="E9317" s="22" t="s">
        <v>48</v>
      </c>
      <c r="F9317" s="23" t="str">
        <f t="shared" si="218"/>
        <v>Оказание услуг по организации питания учащихся</v>
      </c>
      <c r="G9317" s="22" t="s">
        <v>475</v>
      </c>
      <c r="H9317" s="22" t="s">
        <v>475</v>
      </c>
      <c r="I9317" s="26">
        <v>43678.529710648101</v>
      </c>
      <c r="J9317" s="23" t="str">
        <f t="shared" si="219"/>
        <v>АО "ФАРМАЦИЯ"</v>
      </c>
      <c r="K9317" s="24" t="s">
        <v>13461</v>
      </c>
      <c r="L9317" s="22" t="s">
        <v>10</v>
      </c>
      <c r="M9317" s="28" t="s">
        <v>51</v>
      </c>
      <c r="N9317" s="28" t="s">
        <v>51</v>
      </c>
    </row>
    <row r="9318" spans="1:14" hidden="1" outlineLevel="1" x14ac:dyDescent="0.15">
      <c r="A9318" s="23" t="str">
        <f>HYPERLINK("https://www.spark-marketing.ru/Card/Person/1038451", "МБОУ ""СОШ № 18"" Г. БРЯНСКА")</f>
        <v>МБОУ "СОШ № 18" Г. БРЯНСКА</v>
      </c>
      <c r="B9318" s="24" t="s">
        <v>13473</v>
      </c>
      <c r="C9318" s="25">
        <v>819072</v>
      </c>
      <c r="D9318" s="22" t="s">
        <v>13460</v>
      </c>
      <c r="E9318" s="22" t="s">
        <v>48</v>
      </c>
      <c r="F9318" s="23" t="str">
        <f t="shared" si="218"/>
        <v>Оказание услуг по организации питания учащихся</v>
      </c>
      <c r="G9318" s="22" t="s">
        <v>475</v>
      </c>
      <c r="H9318" s="22" t="s">
        <v>475</v>
      </c>
      <c r="I9318" s="26">
        <v>43678.529710648101</v>
      </c>
      <c r="J9318" s="23" t="str">
        <f t="shared" si="219"/>
        <v>АО "ФАРМАЦИЯ"</v>
      </c>
      <c r="K9318" s="24" t="s">
        <v>13461</v>
      </c>
      <c r="L9318" s="22" t="s">
        <v>10</v>
      </c>
      <c r="M9318" s="28" t="s">
        <v>51</v>
      </c>
      <c r="N9318" s="28" t="s">
        <v>51</v>
      </c>
    </row>
    <row r="9319" spans="1:14" hidden="1" outlineLevel="1" x14ac:dyDescent="0.15">
      <c r="A9319" s="23" t="str">
        <f>HYPERLINK("https://www.spark-marketing.ru/Card/Person/1038454", "МБОУ СОШ №13 ИМЕНИ ГЕРОЯ СОВЕТСКОГО СОЮЗА И.Б.КАТУНИНА Г. БРЯНСКА")</f>
        <v>МБОУ СОШ №13 ИМЕНИ ГЕРОЯ СОВЕТСКОГО СОЮЗА И.Б.КАТУНИНА Г. БРЯНСКА</v>
      </c>
      <c r="B9319" s="24" t="s">
        <v>13474</v>
      </c>
      <c r="C9319" s="25">
        <v>539254</v>
      </c>
      <c r="D9319" s="22" t="s">
        <v>13460</v>
      </c>
      <c r="E9319" s="22" t="s">
        <v>48</v>
      </c>
      <c r="F9319" s="23" t="str">
        <f t="shared" si="218"/>
        <v>Оказание услуг по организации питания учащихся</v>
      </c>
      <c r="G9319" s="22" t="s">
        <v>475</v>
      </c>
      <c r="H9319" s="22" t="s">
        <v>475</v>
      </c>
      <c r="I9319" s="26">
        <v>43678.529710648101</v>
      </c>
      <c r="J9319" s="23" t="str">
        <f t="shared" si="219"/>
        <v>АО "ФАРМАЦИЯ"</v>
      </c>
      <c r="K9319" s="24" t="s">
        <v>13461</v>
      </c>
      <c r="L9319" s="22" t="s">
        <v>10</v>
      </c>
      <c r="M9319" s="28" t="s">
        <v>51</v>
      </c>
      <c r="N9319" s="28" t="s">
        <v>51</v>
      </c>
    </row>
    <row r="9320" spans="1:14" hidden="1" outlineLevel="1" x14ac:dyDescent="0.15">
      <c r="A9320" s="23" t="str">
        <f>HYPERLINK("https://www.spark-marketing.ru/Card/Person/1038533", "МБОУ СОШ №11 Г.БРЯНСКА")</f>
        <v>МБОУ СОШ №11 Г.БРЯНСКА</v>
      </c>
      <c r="B9320" s="24" t="s">
        <v>13475</v>
      </c>
      <c r="C9320" s="25">
        <v>947684</v>
      </c>
      <c r="D9320" s="22" t="s">
        <v>13460</v>
      </c>
      <c r="E9320" s="22" t="s">
        <v>48</v>
      </c>
      <c r="F9320" s="23" t="str">
        <f t="shared" si="218"/>
        <v>Оказание услуг по организации питания учащихся</v>
      </c>
      <c r="G9320" s="22" t="s">
        <v>475</v>
      </c>
      <c r="H9320" s="22" t="s">
        <v>475</v>
      </c>
      <c r="I9320" s="26">
        <v>43678.529710648101</v>
      </c>
      <c r="J9320" s="23" t="str">
        <f t="shared" si="219"/>
        <v>АО "ФАРМАЦИЯ"</v>
      </c>
      <c r="K9320" s="24" t="s">
        <v>13461</v>
      </c>
      <c r="L9320" s="22" t="s">
        <v>10</v>
      </c>
      <c r="M9320" s="28" t="s">
        <v>51</v>
      </c>
      <c r="N9320" s="28" t="s">
        <v>51</v>
      </c>
    </row>
    <row r="9321" spans="1:14" hidden="1" outlineLevel="1" x14ac:dyDescent="0.15">
      <c r="A9321" s="23" t="str">
        <f>HYPERLINK("https://www.spark-marketing.ru/Card/Person/1038801", "МБОУ СОШ № 63 Г.БРЯНСКА")</f>
        <v>МБОУ СОШ № 63 Г.БРЯНСКА</v>
      </c>
      <c r="B9321" s="24" t="s">
        <v>13476</v>
      </c>
      <c r="C9321" s="25">
        <v>402505</v>
      </c>
      <c r="D9321" s="22" t="s">
        <v>13460</v>
      </c>
      <c r="E9321" s="22" t="s">
        <v>48</v>
      </c>
      <c r="F9321" s="23" t="str">
        <f t="shared" si="218"/>
        <v>Оказание услуг по организации питания учащихся</v>
      </c>
      <c r="G9321" s="22" t="s">
        <v>475</v>
      </c>
      <c r="H9321" s="22" t="s">
        <v>475</v>
      </c>
      <c r="I9321" s="26">
        <v>43678.529710648101</v>
      </c>
      <c r="J9321" s="23" t="str">
        <f t="shared" si="219"/>
        <v>АО "ФАРМАЦИЯ"</v>
      </c>
      <c r="K9321" s="24" t="s">
        <v>13461</v>
      </c>
      <c r="L9321" s="22" t="s">
        <v>10</v>
      </c>
      <c r="M9321" s="28" t="s">
        <v>51</v>
      </c>
      <c r="N9321" s="28" t="s">
        <v>51</v>
      </c>
    </row>
    <row r="9322" spans="1:14" hidden="1" outlineLevel="1" x14ac:dyDescent="0.15">
      <c r="A9322" s="23" t="str">
        <f>HYPERLINK("https://www.spark-marketing.ru/Card/Person/1038805", "МБОУ СОШ № 22 Г. БРЯНСКА")</f>
        <v>МБОУ СОШ № 22 Г. БРЯНСКА</v>
      </c>
      <c r="B9322" s="24" t="s">
        <v>13477</v>
      </c>
      <c r="C9322" s="25">
        <v>374223</v>
      </c>
      <c r="D9322" s="22" t="s">
        <v>13460</v>
      </c>
      <c r="E9322" s="22" t="s">
        <v>48</v>
      </c>
      <c r="F9322" s="23" t="str">
        <f t="shared" si="218"/>
        <v>Оказание услуг по организации питания учащихся</v>
      </c>
      <c r="G9322" s="22" t="s">
        <v>475</v>
      </c>
      <c r="H9322" s="22" t="s">
        <v>475</v>
      </c>
      <c r="I9322" s="26">
        <v>43678.529710648101</v>
      </c>
      <c r="J9322" s="23" t="str">
        <f t="shared" si="219"/>
        <v>АО "ФАРМАЦИЯ"</v>
      </c>
      <c r="K9322" s="24" t="s">
        <v>13461</v>
      </c>
      <c r="L9322" s="22" t="s">
        <v>10</v>
      </c>
      <c r="M9322" s="28" t="s">
        <v>51</v>
      </c>
      <c r="N9322" s="28" t="s">
        <v>51</v>
      </c>
    </row>
    <row r="9323" spans="1:14" hidden="1" outlineLevel="1" x14ac:dyDescent="0.15">
      <c r="A9323" s="23" t="str">
        <f>HYPERLINK("https://www.spark-marketing.ru/Card/Person/1038806", "МБОУ СОШ №17 Г.БРЯНСКА")</f>
        <v>МБОУ СОШ №17 Г.БРЯНСКА</v>
      </c>
      <c r="B9323" s="24" t="s">
        <v>13478</v>
      </c>
      <c r="C9323" s="25">
        <v>865445</v>
      </c>
      <c r="D9323" s="22" t="s">
        <v>13460</v>
      </c>
      <c r="E9323" s="22" t="s">
        <v>48</v>
      </c>
      <c r="F9323" s="23" t="str">
        <f t="shared" si="218"/>
        <v>Оказание услуг по организации питания учащихся</v>
      </c>
      <c r="G9323" s="22" t="s">
        <v>475</v>
      </c>
      <c r="H9323" s="22" t="s">
        <v>475</v>
      </c>
      <c r="I9323" s="26">
        <v>43678.529710648101</v>
      </c>
      <c r="J9323" s="23" t="str">
        <f t="shared" si="219"/>
        <v>АО "ФАРМАЦИЯ"</v>
      </c>
      <c r="K9323" s="24" t="s">
        <v>13461</v>
      </c>
      <c r="L9323" s="22" t="s">
        <v>10</v>
      </c>
      <c r="M9323" s="28" t="s">
        <v>51</v>
      </c>
      <c r="N9323" s="28" t="s">
        <v>51</v>
      </c>
    </row>
    <row r="9324" spans="1:14" hidden="1" outlineLevel="1" x14ac:dyDescent="0.15">
      <c r="A9324" s="23" t="str">
        <f>HYPERLINK("https://www.spark-marketing.ru/Card/Person/1039276", "МБОУ СОШ №52 Г.БРЯНСКА")</f>
        <v>МБОУ СОШ №52 Г.БРЯНСКА</v>
      </c>
      <c r="B9324" s="24" t="s">
        <v>13479</v>
      </c>
      <c r="C9324" s="25">
        <v>750026</v>
      </c>
      <c r="D9324" s="22" t="s">
        <v>13460</v>
      </c>
      <c r="E9324" s="22" t="s">
        <v>48</v>
      </c>
      <c r="F9324" s="23" t="str">
        <f t="shared" si="218"/>
        <v>Оказание услуг по организации питания учащихся</v>
      </c>
      <c r="G9324" s="22" t="s">
        <v>475</v>
      </c>
      <c r="H9324" s="22" t="s">
        <v>475</v>
      </c>
      <c r="I9324" s="26">
        <v>43678.529710648101</v>
      </c>
      <c r="J9324" s="23" t="str">
        <f t="shared" si="219"/>
        <v>АО "ФАРМАЦИЯ"</v>
      </c>
      <c r="K9324" s="24" t="s">
        <v>13461</v>
      </c>
      <c r="L9324" s="22" t="s">
        <v>10</v>
      </c>
      <c r="M9324" s="28" t="s">
        <v>51</v>
      </c>
      <c r="N9324" s="28" t="s">
        <v>51</v>
      </c>
    </row>
    <row r="9325" spans="1:14" hidden="1" outlineLevel="1" x14ac:dyDescent="0.15">
      <c r="A9325" s="23" t="str">
        <f>HYPERLINK("https://www.spark-marketing.ru/Card/Person/1039278", "МБОУ СОШ № 61 Г. БРЯНСКА")</f>
        <v>МБОУ СОШ № 61 Г. БРЯНСКА</v>
      </c>
      <c r="B9325" s="24" t="s">
        <v>13480</v>
      </c>
      <c r="C9325" s="25">
        <v>1230504</v>
      </c>
      <c r="D9325" s="22" t="s">
        <v>13460</v>
      </c>
      <c r="E9325" s="22" t="s">
        <v>48</v>
      </c>
      <c r="F9325" s="23" t="str">
        <f t="shared" si="218"/>
        <v>Оказание услуг по организации питания учащихся</v>
      </c>
      <c r="G9325" s="22" t="s">
        <v>475</v>
      </c>
      <c r="H9325" s="22" t="s">
        <v>475</v>
      </c>
      <c r="I9325" s="26">
        <v>43678.529710648101</v>
      </c>
      <c r="J9325" s="23" t="str">
        <f t="shared" si="219"/>
        <v>АО "ФАРМАЦИЯ"</v>
      </c>
      <c r="K9325" s="24" t="s">
        <v>13461</v>
      </c>
      <c r="L9325" s="22" t="s">
        <v>10</v>
      </c>
      <c r="M9325" s="28" t="s">
        <v>51</v>
      </c>
      <c r="N9325" s="28" t="s">
        <v>51</v>
      </c>
    </row>
    <row r="9326" spans="1:14" hidden="1" outlineLevel="1" x14ac:dyDescent="0.15">
      <c r="A9326" s="23" t="str">
        <f>HYPERLINK("https://www.spark-marketing.ru/Card/Person/1039551", "МБОУ ""ГИМНАЗИЯ № 2"" Г. БРЯНСКА")</f>
        <v>МБОУ "ГИМНАЗИЯ № 2" Г. БРЯНСКА</v>
      </c>
      <c r="B9326" s="24" t="s">
        <v>13481</v>
      </c>
      <c r="C9326" s="25">
        <v>825729</v>
      </c>
      <c r="D9326" s="22" t="s">
        <v>13460</v>
      </c>
      <c r="E9326" s="22" t="s">
        <v>48</v>
      </c>
      <c r="F9326" s="23" t="str">
        <f t="shared" si="218"/>
        <v>Оказание услуг по организации питания учащихся</v>
      </c>
      <c r="G9326" s="22" t="s">
        <v>475</v>
      </c>
      <c r="H9326" s="22" t="s">
        <v>475</v>
      </c>
      <c r="I9326" s="26">
        <v>43678.529710648101</v>
      </c>
      <c r="J9326" s="23" t="str">
        <f t="shared" si="219"/>
        <v>АО "ФАРМАЦИЯ"</v>
      </c>
      <c r="K9326" s="24" t="s">
        <v>13461</v>
      </c>
      <c r="L9326" s="22" t="s">
        <v>10</v>
      </c>
      <c r="M9326" s="28" t="s">
        <v>51</v>
      </c>
      <c r="N9326" s="28" t="s">
        <v>51</v>
      </c>
    </row>
    <row r="9327" spans="1:14" hidden="1" outlineLevel="1" x14ac:dyDescent="0.15">
      <c r="A9327" s="23" t="str">
        <f>HYPERLINK("https://www.spark-marketing.ru/Card/Person/1039798", "МБОУ СОШ № 67 Г. БРЯНСКА")</f>
        <v>МБОУ СОШ № 67 Г. БРЯНСКА</v>
      </c>
      <c r="B9327" s="24" t="s">
        <v>13482</v>
      </c>
      <c r="C9327" s="25">
        <v>1099680</v>
      </c>
      <c r="D9327" s="22" t="s">
        <v>13460</v>
      </c>
      <c r="E9327" s="22" t="s">
        <v>48</v>
      </c>
      <c r="F9327" s="23" t="str">
        <f t="shared" si="218"/>
        <v>Оказание услуг по организации питания учащихся</v>
      </c>
      <c r="G9327" s="22" t="s">
        <v>475</v>
      </c>
      <c r="H9327" s="22" t="s">
        <v>475</v>
      </c>
      <c r="I9327" s="26">
        <v>43678.529710648101</v>
      </c>
      <c r="J9327" s="23" t="str">
        <f t="shared" si="219"/>
        <v>АО "ФАРМАЦИЯ"</v>
      </c>
      <c r="K9327" s="24" t="s">
        <v>13461</v>
      </c>
      <c r="L9327" s="22" t="s">
        <v>10</v>
      </c>
      <c r="M9327" s="28" t="s">
        <v>51</v>
      </c>
      <c r="N9327" s="28" t="s">
        <v>51</v>
      </c>
    </row>
    <row r="9328" spans="1:14" hidden="1" outlineLevel="1" x14ac:dyDescent="0.15">
      <c r="A9328" s="23" t="str">
        <f>HYPERLINK("https://www.spark-marketing.ru/Card/Person/1039799", "МБОУ СОШ № 21 Г. БРЯНСКА")</f>
        <v>МБОУ СОШ № 21 Г. БРЯНСКА</v>
      </c>
      <c r="B9328" s="24" t="s">
        <v>13483</v>
      </c>
      <c r="C9328" s="25">
        <v>432367</v>
      </c>
      <c r="D9328" s="22" t="s">
        <v>13460</v>
      </c>
      <c r="E9328" s="22" t="s">
        <v>48</v>
      </c>
      <c r="F9328" s="23" t="str">
        <f t="shared" si="218"/>
        <v>Оказание услуг по организации питания учащихся</v>
      </c>
      <c r="G9328" s="22" t="s">
        <v>475</v>
      </c>
      <c r="H9328" s="22" t="s">
        <v>475</v>
      </c>
      <c r="I9328" s="26">
        <v>43678.529710648101</v>
      </c>
      <c r="J9328" s="23" t="str">
        <f t="shared" si="219"/>
        <v>АО "ФАРМАЦИЯ"</v>
      </c>
      <c r="K9328" s="24" t="s">
        <v>13461</v>
      </c>
      <c r="L9328" s="22" t="s">
        <v>10</v>
      </c>
      <c r="M9328" s="28" t="s">
        <v>51</v>
      </c>
      <c r="N9328" s="28" t="s">
        <v>51</v>
      </c>
    </row>
    <row r="9329" spans="1:14" hidden="1" outlineLevel="1" x14ac:dyDescent="0.15">
      <c r="A9329" s="23" t="str">
        <f>HYPERLINK("https://www.spark-marketing.ru/Card/Person/1039801", "МБОУ ""СОШ № 15 ИМ.ГЕРОЯ СОВЕТСКОГО СОЮЗА В.Т.ЧВАНОВА"" Г.БРЯНСКА")</f>
        <v>МБОУ "СОШ № 15 ИМ.ГЕРОЯ СОВЕТСКОГО СОЮЗА В.Т.ЧВАНОВА" Г.БРЯНСКА</v>
      </c>
      <c r="B9329" s="24" t="s">
        <v>13484</v>
      </c>
      <c r="C9329" s="25">
        <v>204847</v>
      </c>
      <c r="D9329" s="22" t="s">
        <v>13460</v>
      </c>
      <c r="E9329" s="22" t="s">
        <v>48</v>
      </c>
      <c r="F9329" s="23" t="str">
        <f t="shared" si="218"/>
        <v>Оказание услуг по организации питания учащихся</v>
      </c>
      <c r="G9329" s="22" t="s">
        <v>475</v>
      </c>
      <c r="H9329" s="22" t="s">
        <v>475</v>
      </c>
      <c r="I9329" s="26">
        <v>43678.529710648101</v>
      </c>
      <c r="J9329" s="23" t="str">
        <f t="shared" si="219"/>
        <v>АО "ФАРМАЦИЯ"</v>
      </c>
      <c r="K9329" s="24" t="s">
        <v>13461</v>
      </c>
      <c r="L9329" s="22" t="s">
        <v>10</v>
      </c>
      <c r="M9329" s="28" t="s">
        <v>51</v>
      </c>
      <c r="N9329" s="28" t="s">
        <v>51</v>
      </c>
    </row>
    <row r="9330" spans="1:14" hidden="1" outlineLevel="1" x14ac:dyDescent="0.15">
      <c r="A9330" s="23" t="str">
        <f>HYPERLINK("https://www.spark-marketing.ru/Card/Person/1045745", "МБОУ СОШ №66 Г.БРЯНСКА")</f>
        <v>МБОУ СОШ №66 Г.БРЯНСКА</v>
      </c>
      <c r="B9330" s="24" t="s">
        <v>13485</v>
      </c>
      <c r="C9330" s="25">
        <v>680348</v>
      </c>
      <c r="D9330" s="22" t="s">
        <v>13460</v>
      </c>
      <c r="E9330" s="22" t="s">
        <v>48</v>
      </c>
      <c r="F9330" s="23" t="str">
        <f t="shared" si="218"/>
        <v>Оказание услуг по организации питания учащихся</v>
      </c>
      <c r="G9330" s="22" t="s">
        <v>475</v>
      </c>
      <c r="H9330" s="22" t="s">
        <v>475</v>
      </c>
      <c r="I9330" s="26">
        <v>43678.529710648101</v>
      </c>
      <c r="J9330" s="23" t="str">
        <f t="shared" si="219"/>
        <v>АО "ФАРМАЦИЯ"</v>
      </c>
      <c r="K9330" s="24" t="s">
        <v>13461</v>
      </c>
      <c r="L9330" s="22" t="s">
        <v>10</v>
      </c>
      <c r="M9330" s="28" t="s">
        <v>51</v>
      </c>
      <c r="N9330" s="28" t="s">
        <v>51</v>
      </c>
    </row>
    <row r="9331" spans="1:14" x14ac:dyDescent="0.15">
      <c r="A9331" s="23" t="str">
        <f>HYPERLINK("https://www.spark-marketing.ru/Card/Person/641742", "ОТДЕЛ МВД РОССИИ ПО ГОРОДСКОМУ ОКРУГУ ЗАТО ГОРОД МЕЖГОРЬЕ")</f>
        <v>ОТДЕЛ МВД РОССИИ ПО ГОРОДСКОМУ ОКРУГУ ЗАТО ГОРОД МЕЖГОРЬЕ</v>
      </c>
      <c r="B9331" s="24" t="s">
        <v>13486</v>
      </c>
      <c r="C9331" s="25">
        <v>30000</v>
      </c>
      <c r="D9331" s="22" t="s">
        <v>13487</v>
      </c>
      <c r="E9331" s="22" t="s">
        <v>48</v>
      </c>
      <c r="F9331" s="23" t="str">
        <f>HYPERLINK("https://www.spark-marketing.ru/Card/Lot/72545066", "Услуги по обеспечению питания лиц содержащихся в спец. помещениях задержанных лиц, 2 усл. ед")</f>
        <v>Услуги по обеспечению питания лиц содержащихся в спец. помещениях задержанных лиц, 2 усл. ед</v>
      </c>
      <c r="G9331" s="22" t="s">
        <v>145</v>
      </c>
      <c r="H9331" s="22" t="s">
        <v>13488</v>
      </c>
      <c r="I9331" s="26">
        <v>43678.527557870402</v>
      </c>
      <c r="J9331" s="28" t="s">
        <v>51</v>
      </c>
      <c r="K9331" s="28" t="s">
        <v>51</v>
      </c>
      <c r="L9331" s="28" t="s">
        <v>51</v>
      </c>
      <c r="M9331" s="28" t="s">
        <v>51</v>
      </c>
      <c r="N9331" s="28" t="s">
        <v>51</v>
      </c>
    </row>
    <row r="9332" spans="1:14" x14ac:dyDescent="0.15">
      <c r="A9332" s="23" t="str">
        <f>HYPERLINK("https://www.spark-marketing.ru/Card/Person/1762770", "МБОУ ""СОШ ИМ. М.ФАРХУТДИНОВА С.МИЧУРИНСК""")</f>
        <v>МБОУ "СОШ ИМ. М.ФАРХУТДИНОВА С.МИЧУРИНСК"</v>
      </c>
      <c r="B9332" s="24" t="s">
        <v>13489</v>
      </c>
      <c r="C9332" s="25">
        <v>781243.05</v>
      </c>
      <c r="D9332" s="22" t="s">
        <v>13490</v>
      </c>
      <c r="E9332" s="22" t="s">
        <v>48</v>
      </c>
      <c r="F9332" s="23" t="str">
        <f>HYPERLINK("https://www.spark-marketing.ru/Card/Lot/72543791", "Услуги по организации горячего питания в муниципальном бюджетном общеобразовательном учреждении «Средняя общеобразовательная школа им. М. Фархутдинова с.Мичуринск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им. М. Фархутдинова с.Мичуринск муниципального района Шаранский район РБ»</v>
      </c>
      <c r="G9332" s="22" t="s">
        <v>145</v>
      </c>
      <c r="H9332" s="22" t="s">
        <v>12518</v>
      </c>
      <c r="I9332" s="26">
        <v>43678.511678240699</v>
      </c>
      <c r="J9332" s="28" t="s">
        <v>51</v>
      </c>
      <c r="K9332" s="28" t="s">
        <v>51</v>
      </c>
      <c r="L9332" s="28" t="s">
        <v>51</v>
      </c>
      <c r="M9332" s="28" t="s">
        <v>51</v>
      </c>
      <c r="N9332" s="28" t="s">
        <v>51</v>
      </c>
    </row>
    <row r="9333" spans="1:14" ht="12.75" hidden="1" outlineLevel="1" x14ac:dyDescent="0.2">
      <c r="A9333" s="23" t="str">
        <f>HYPERLINK("https://www.spark-marketing.ru/Card/Person/1762770", "МБОУ ""СОШ ИМ. М.ФАРХУТДИНОВА С.МИЧУРИНСК""")</f>
        <v>МБОУ "СОШ ИМ. М.ФАРХУТДИНОВА С.МИЧУРИНСК"</v>
      </c>
      <c r="B9333" s="24" t="s">
        <v>13489</v>
      </c>
      <c r="C9333" s="25">
        <v>781243.05</v>
      </c>
      <c r="D9333" s="22" t="s">
        <v>13490</v>
      </c>
      <c r="E9333" s="22" t="s">
        <v>48</v>
      </c>
      <c r="F9333" s="23" t="str">
        <f>HYPERLINK("https://www.spark-marketing.ru/Card/Lot/72543791", "Услуги по организации горячего питания в муниципальном бюджетном общеобразовательном учреждении «Средняя общеобразовательная школа им. М. Фархутдинова с.Мичуринск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им. М. Фархутдинова с.Мичуринск муниципального района Шаранский район РБ»</v>
      </c>
      <c r="G9333" s="22" t="s">
        <v>145</v>
      </c>
      <c r="H9333" s="22" t="s">
        <v>12518</v>
      </c>
      <c r="I9333" s="26">
        <v>43678.511678240699</v>
      </c>
      <c r="J9333" s="23" t="str">
        <f>HYPERLINK("https://www.spark-marketing.ru/Card/Person/1089466", "Давлетова Надежда Мурзагареевна")</f>
        <v>Давлетова Надежда Мурзагареевна</v>
      </c>
      <c r="K9333" s="24" t="s">
        <v>12519</v>
      </c>
      <c r="L9333" s="22" t="s">
        <v>10</v>
      </c>
      <c r="M9333" s="25">
        <v>781243.05</v>
      </c>
      <c r="N9333" s="27">
        <v>0</v>
      </c>
    </row>
    <row r="9334" spans="1:14" hidden="1" outlineLevel="1" x14ac:dyDescent="0.2">
      <c r="A9334" s="23" t="str">
        <f>HYPERLINK("https://www.spark-marketing.ru/Card/Person/1762770", "МБОУ ""СОШ ИМ. М.ФАРХУТДИНОВА С.МИЧУРИНСК""")</f>
        <v>МБОУ "СОШ ИМ. М.ФАРХУТДИНОВА С.МИЧУРИНСК"</v>
      </c>
      <c r="B9334" s="24" t="s">
        <v>13489</v>
      </c>
      <c r="C9334" s="25">
        <v>781243.05</v>
      </c>
      <c r="D9334" s="22" t="s">
        <v>13490</v>
      </c>
      <c r="E9334" s="22" t="s">
        <v>48</v>
      </c>
      <c r="F9334" s="23" t="str">
        <f>HYPERLINK("https://www.spark-marketing.ru/Card/Lot/72543791", "Услуги по организации горячего питания в муниципальном бюджетном общеобразовательном учреждении «Средняя общеобразовательная школа им. М. Фархутдинова с.Мичуринск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им. М. Фархутдинова с.Мичуринск муниципального района Шаранский район РБ»</v>
      </c>
      <c r="G9334" s="22" t="s">
        <v>145</v>
      </c>
      <c r="H9334" s="22" t="s">
        <v>12518</v>
      </c>
      <c r="I9334" s="26">
        <v>43678.511678240699</v>
      </c>
      <c r="J9334" s="23" t="str">
        <f>HYPERLINK("https://www.spark-marketing.ru/Card/Person/145110", "ООО ""ТК ""ЗК""")</f>
        <v>ООО "ТК "ЗК"</v>
      </c>
      <c r="K9334" s="24" t="s">
        <v>5800</v>
      </c>
      <c r="L9334" s="28" t="s">
        <v>51</v>
      </c>
      <c r="M9334" s="25">
        <v>781243.05</v>
      </c>
      <c r="N9334" s="27">
        <v>0</v>
      </c>
    </row>
    <row r="9335" spans="1:14" x14ac:dyDescent="0.15">
      <c r="A9335" s="23" t="str">
        <f>HYPERLINK("https://www.spark-marketing.ru/Card/Person/734933", "МБОУ ""СОШ С.ЧАЛМАЛЫ""")</f>
        <v>МБОУ "СОШ С.ЧАЛМАЛЫ"</v>
      </c>
      <c r="B9335" s="24" t="s">
        <v>13491</v>
      </c>
      <c r="C9335" s="25">
        <v>360408.06</v>
      </c>
      <c r="D9335" s="22" t="s">
        <v>13492</v>
      </c>
      <c r="E9335" s="22" t="s">
        <v>48</v>
      </c>
      <c r="F9335" s="23" t="str">
        <f>HYPERLINK("https://www.spark-marketing.ru/Card/Lot/72543765", "Услуги по организации горячего питания в муниципальном бюджетном общеобразовательном учреждении «Средняя общеобразовательная школа с.Чалмалы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с.Чалмалы муниципального района Шаранский район РБ»</v>
      </c>
      <c r="G9335" s="22" t="s">
        <v>145</v>
      </c>
      <c r="H9335" s="22" t="s">
        <v>12518</v>
      </c>
      <c r="I9335" s="26">
        <v>43678.512488425898</v>
      </c>
      <c r="J9335" s="28" t="s">
        <v>51</v>
      </c>
      <c r="K9335" s="28" t="s">
        <v>51</v>
      </c>
      <c r="L9335" s="28" t="s">
        <v>51</v>
      </c>
      <c r="M9335" s="28" t="s">
        <v>51</v>
      </c>
      <c r="N9335" s="28" t="s">
        <v>51</v>
      </c>
    </row>
    <row r="9336" spans="1:14" ht="12.75" hidden="1" outlineLevel="1" x14ac:dyDescent="0.2">
      <c r="A9336" s="23" t="str">
        <f>HYPERLINK("https://www.spark-marketing.ru/Card/Person/734933", "МБОУ ""СОШ С.ЧАЛМАЛЫ""")</f>
        <v>МБОУ "СОШ С.ЧАЛМАЛЫ"</v>
      </c>
      <c r="B9336" s="24" t="s">
        <v>13491</v>
      </c>
      <c r="C9336" s="25">
        <v>360408.06</v>
      </c>
      <c r="D9336" s="22" t="s">
        <v>13492</v>
      </c>
      <c r="E9336" s="22" t="s">
        <v>48</v>
      </c>
      <c r="F9336" s="23" t="str">
        <f>HYPERLINK("https://www.spark-marketing.ru/Card/Lot/72543765", "Услуги по организации горячего питания в муниципальном бюджетном общеобразовательном учреждении «Средняя общеобразовательная школа с.Чалмалы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с.Чалмалы муниципального района Шаранский район РБ»</v>
      </c>
      <c r="G9336" s="22" t="s">
        <v>145</v>
      </c>
      <c r="H9336" s="22" t="s">
        <v>12518</v>
      </c>
      <c r="I9336" s="26">
        <v>43678.512488425898</v>
      </c>
      <c r="J9336" s="23" t="str">
        <f>HYPERLINK("https://www.spark-marketing.ru/Card/Person/1089466", "Давлетова Надежда Мурзагареевна")</f>
        <v>Давлетова Надежда Мурзагареевна</v>
      </c>
      <c r="K9336" s="24" t="s">
        <v>12519</v>
      </c>
      <c r="L9336" s="22" t="s">
        <v>10</v>
      </c>
      <c r="M9336" s="25">
        <v>360408.06</v>
      </c>
      <c r="N9336" s="27">
        <v>0</v>
      </c>
    </row>
    <row r="9337" spans="1:14" hidden="1" outlineLevel="1" x14ac:dyDescent="0.2">
      <c r="A9337" s="23" t="str">
        <f>HYPERLINK("https://www.spark-marketing.ru/Card/Person/734933", "МБОУ ""СОШ С.ЧАЛМАЛЫ""")</f>
        <v>МБОУ "СОШ С.ЧАЛМАЛЫ"</v>
      </c>
      <c r="B9337" s="24" t="s">
        <v>13491</v>
      </c>
      <c r="C9337" s="25">
        <v>360408.06</v>
      </c>
      <c r="D9337" s="22" t="s">
        <v>13492</v>
      </c>
      <c r="E9337" s="22" t="s">
        <v>48</v>
      </c>
      <c r="F9337" s="23" t="str">
        <f>HYPERLINK("https://www.spark-marketing.ru/Card/Lot/72543765", "Услуги по организации горячего питания в муниципальном бюджетном общеобразовательном учреждении «Средняя общеобразовательная школа с.Чалмалы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с.Чалмалы муниципального района Шаранский район РБ»</v>
      </c>
      <c r="G9337" s="22" t="s">
        <v>145</v>
      </c>
      <c r="H9337" s="22" t="s">
        <v>12518</v>
      </c>
      <c r="I9337" s="26">
        <v>43678.512488425898</v>
      </c>
      <c r="J9337" s="23" t="str">
        <f>HYPERLINK("https://www.spark-marketing.ru/Card/Person/145110", "ООО ""ТК ""ЗК""")</f>
        <v>ООО "ТК "ЗК"</v>
      </c>
      <c r="K9337" s="24" t="s">
        <v>5800</v>
      </c>
      <c r="L9337" s="28" t="s">
        <v>51</v>
      </c>
      <c r="M9337" s="25">
        <v>360408.06</v>
      </c>
      <c r="N9337" s="27">
        <v>0</v>
      </c>
    </row>
    <row r="9338" spans="1:14" x14ac:dyDescent="0.15">
      <c r="A9338" s="23" t="str">
        <f>HYPERLINK("https://www.spark-marketing.ru/Card/Person/6073672", "ООО ""РН-БГПП""")</f>
        <v>ООО "РН-БГПП"</v>
      </c>
      <c r="B9338" s="24" t="s">
        <v>4192</v>
      </c>
      <c r="C9338" s="25">
        <v>11669550.289999999</v>
      </c>
      <c r="D9338" s="22" t="s">
        <v>13493</v>
      </c>
      <c r="E9338" s="22" t="s">
        <v>774</v>
      </c>
      <c r="F9338" s="23" t="str">
        <f>HYPERLINK("https://www.spark-marketing.ru/Card/Lot/72548157", "Оказание услуг по текущему обслуживанию и текущему ремонту устройств частотно регулируемого привода, источников бесперебойного питания и устройств плавного пуска.")</f>
        <v>Оказание услуг по текущему обслуживанию и текущему ремонту устройств частотно регулируемого привода, источников бесперебойного питания и устройств плавного пуска.</v>
      </c>
      <c r="G9338" s="22" t="s">
        <v>132</v>
      </c>
      <c r="H9338" s="22" t="s">
        <v>133</v>
      </c>
      <c r="I9338" s="26">
        <v>43678.5402777778</v>
      </c>
      <c r="J9338" s="28" t="s">
        <v>51</v>
      </c>
      <c r="K9338" s="28" t="s">
        <v>51</v>
      </c>
      <c r="L9338" s="28" t="s">
        <v>51</v>
      </c>
      <c r="M9338" s="28" t="s">
        <v>51</v>
      </c>
      <c r="N9338" s="28" t="s">
        <v>51</v>
      </c>
    </row>
    <row r="9339" spans="1:14" x14ac:dyDescent="0.15">
      <c r="A9339" s="23" t="str">
        <f t="shared" ref="A9339:A9344" si="220">HYPERLINK("https://www.spark-marketing.ru/Card/Person/1037343", "МКУ ""АГЕНТСТВО РАЗВИТИЯ СОЦИАЛЬНОЙ ПОЛИТИКИ""")</f>
        <v>МКУ "АГЕНТСТВО РАЗВИТИЯ СОЦИАЛЬНОЙ ПОЛИТИКИ"</v>
      </c>
      <c r="B9339" s="24" t="s">
        <v>13494</v>
      </c>
      <c r="C9339" s="25">
        <v>600000</v>
      </c>
      <c r="D9339" s="22" t="s">
        <v>13495</v>
      </c>
      <c r="E9339" s="22" t="s">
        <v>13171</v>
      </c>
      <c r="F9339" s="23" t="str">
        <f t="shared" ref="F9339:F9344" si="221">HYPERLINK("https://www.spark-marketing.ru/Card/Lot/72539323", "Оказание услуг по приобретению авиабилетов для участников форума «Новосибирск-город безграничных возможностей», организации их проживания и питания")</f>
        <v>Оказание услуг по приобретению авиабилетов для участников форума «Новосибирск-город безграничных возможностей», организации их проживания и питания</v>
      </c>
      <c r="G9339" s="22" t="s">
        <v>195</v>
      </c>
      <c r="H9339" s="22" t="s">
        <v>196</v>
      </c>
      <c r="I9339" s="26">
        <v>43678.514560185198</v>
      </c>
      <c r="J9339" s="28" t="s">
        <v>51</v>
      </c>
      <c r="K9339" s="28" t="s">
        <v>51</v>
      </c>
      <c r="L9339" s="28" t="s">
        <v>51</v>
      </c>
      <c r="M9339" s="28" t="s">
        <v>51</v>
      </c>
      <c r="N9339" s="28" t="s">
        <v>51</v>
      </c>
    </row>
    <row r="9340" spans="1:14" ht="12.75" hidden="1" outlineLevel="1" x14ac:dyDescent="0.2">
      <c r="A9340" s="23" t="str">
        <f t="shared" si="220"/>
        <v>МКУ "АГЕНТСТВО РАЗВИТИЯ СОЦИАЛЬНОЙ ПОЛИТИКИ"</v>
      </c>
      <c r="B9340" s="24" t="s">
        <v>13494</v>
      </c>
      <c r="C9340" s="25">
        <v>600000</v>
      </c>
      <c r="D9340" s="22" t="s">
        <v>13495</v>
      </c>
      <c r="E9340" s="22" t="s">
        <v>13171</v>
      </c>
      <c r="F9340" s="23" t="str">
        <f t="shared" si="221"/>
        <v>Оказание услуг по приобретению авиабилетов для участников форума «Новосибирск-город безграничных возможностей», организации их проживания и питания</v>
      </c>
      <c r="G9340" s="22" t="s">
        <v>195</v>
      </c>
      <c r="H9340" s="22" t="s">
        <v>196</v>
      </c>
      <c r="I9340" s="26">
        <v>43678.514560185198</v>
      </c>
      <c r="J9340" s="23" t="str">
        <f>HYPERLINK("https://www.spark-marketing.ru/Card/Person/361953", "ООО ""ОЛИМПИЯ-ТРЭВЕЛ""")</f>
        <v>ООО "ОЛИМПИЯ-ТРЭВЕЛ"</v>
      </c>
      <c r="K9340" s="24" t="s">
        <v>13496</v>
      </c>
      <c r="L9340" s="22" t="s">
        <v>10</v>
      </c>
      <c r="M9340" s="25">
        <v>395000</v>
      </c>
      <c r="N9340" s="27">
        <v>0.34166666666666667</v>
      </c>
    </row>
    <row r="9341" spans="1:14" hidden="1" outlineLevel="1" x14ac:dyDescent="0.2">
      <c r="A9341" s="23" t="str">
        <f t="shared" si="220"/>
        <v>МКУ "АГЕНТСТВО РАЗВИТИЯ СОЦИАЛЬНОЙ ПОЛИТИКИ"</v>
      </c>
      <c r="B9341" s="24" t="s">
        <v>13494</v>
      </c>
      <c r="C9341" s="25">
        <v>600000</v>
      </c>
      <c r="D9341" s="22" t="s">
        <v>13495</v>
      </c>
      <c r="E9341" s="22" t="s">
        <v>13171</v>
      </c>
      <c r="F9341" s="23" t="str">
        <f t="shared" si="221"/>
        <v>Оказание услуг по приобретению авиабилетов для участников форума «Новосибирск-город безграничных возможностей», организации их проживания и питания</v>
      </c>
      <c r="G9341" s="22" t="s">
        <v>195</v>
      </c>
      <c r="H9341" s="22" t="s">
        <v>196</v>
      </c>
      <c r="I9341" s="26">
        <v>43678.514560185198</v>
      </c>
      <c r="J9341" s="23" t="str">
        <f>HYPERLINK("https://www.spark-marketing.ru/Card/Person/2004538", "ООО ""БТА КЛУБ""")</f>
        <v>ООО "БТА КЛУБ"</v>
      </c>
      <c r="K9341" s="24" t="s">
        <v>8825</v>
      </c>
      <c r="L9341" s="28" t="s">
        <v>51</v>
      </c>
      <c r="M9341" s="25">
        <v>566999</v>
      </c>
      <c r="N9341" s="27">
        <v>5.5001666666666664E-2</v>
      </c>
    </row>
    <row r="9342" spans="1:14" hidden="1" outlineLevel="1" x14ac:dyDescent="0.2">
      <c r="A9342" s="23" t="str">
        <f t="shared" si="220"/>
        <v>МКУ "АГЕНТСТВО РАЗВИТИЯ СОЦИАЛЬНОЙ ПОЛИТИКИ"</v>
      </c>
      <c r="B9342" s="24" t="s">
        <v>13494</v>
      </c>
      <c r="C9342" s="25">
        <v>600000</v>
      </c>
      <c r="D9342" s="22" t="s">
        <v>13495</v>
      </c>
      <c r="E9342" s="22" t="s">
        <v>13171</v>
      </c>
      <c r="F9342" s="23" t="str">
        <f t="shared" si="221"/>
        <v>Оказание услуг по приобретению авиабилетов для участников форума «Новосибирск-город безграничных возможностей», организации их проживания и питания</v>
      </c>
      <c r="G9342" s="22" t="s">
        <v>195</v>
      </c>
      <c r="H9342" s="22" t="s">
        <v>196</v>
      </c>
      <c r="I9342" s="26">
        <v>43678.514560185198</v>
      </c>
      <c r="J9342" s="23" t="str">
        <f>HYPERLINK("https://www.spark-marketing.ru/Card/Person/63830", "ООО ""САВС НОВОСИБИРСК""")</f>
        <v>ООО "САВС НОВОСИБИРСК"</v>
      </c>
      <c r="K9342" s="24" t="s">
        <v>13497</v>
      </c>
      <c r="L9342" s="28" t="s">
        <v>51</v>
      </c>
      <c r="M9342" s="25">
        <v>398000</v>
      </c>
      <c r="N9342" s="27">
        <v>0.33666666666666667</v>
      </c>
    </row>
    <row r="9343" spans="1:14" hidden="1" outlineLevel="1" x14ac:dyDescent="0.2">
      <c r="A9343" s="23" t="str">
        <f t="shared" si="220"/>
        <v>МКУ "АГЕНТСТВО РАЗВИТИЯ СОЦИАЛЬНОЙ ПОЛИТИКИ"</v>
      </c>
      <c r="B9343" s="24" t="s">
        <v>13494</v>
      </c>
      <c r="C9343" s="25">
        <v>600000</v>
      </c>
      <c r="D9343" s="22" t="s">
        <v>13495</v>
      </c>
      <c r="E9343" s="22" t="s">
        <v>13171</v>
      </c>
      <c r="F9343" s="23" t="str">
        <f t="shared" si="221"/>
        <v>Оказание услуг по приобретению авиабилетов для участников форума «Новосибирск-город безграничных возможностей», организации их проживания и питания</v>
      </c>
      <c r="G9343" s="22" t="s">
        <v>195</v>
      </c>
      <c r="H9343" s="22" t="s">
        <v>196</v>
      </c>
      <c r="I9343" s="26">
        <v>43678.514560185198</v>
      </c>
      <c r="J9343" s="23" t="str">
        <f>HYPERLINK("https://www.spark-marketing.ru/Card/Person/2555461", "ООО ""СПА-КУРОРТ""")</f>
        <v>ООО "СПА-КУРОРТ"</v>
      </c>
      <c r="K9343" s="24" t="s">
        <v>13498</v>
      </c>
      <c r="L9343" s="28" t="s">
        <v>51</v>
      </c>
      <c r="M9343" s="25">
        <v>590000</v>
      </c>
      <c r="N9343" s="27">
        <v>1.6666666666666666E-2</v>
      </c>
    </row>
    <row r="9344" spans="1:14" hidden="1" outlineLevel="1" x14ac:dyDescent="0.2">
      <c r="A9344" s="23" t="str">
        <f t="shared" si="220"/>
        <v>МКУ "АГЕНТСТВО РАЗВИТИЯ СОЦИАЛЬНОЙ ПОЛИТИКИ"</v>
      </c>
      <c r="B9344" s="24" t="s">
        <v>13494</v>
      </c>
      <c r="C9344" s="25">
        <v>600000</v>
      </c>
      <c r="D9344" s="22" t="s">
        <v>13495</v>
      </c>
      <c r="E9344" s="22" t="s">
        <v>13171</v>
      </c>
      <c r="F9344" s="23" t="str">
        <f t="shared" si="221"/>
        <v>Оказание услуг по приобретению авиабилетов для участников форума «Новосибирск-город безграничных возможностей», организации их проживания и питания</v>
      </c>
      <c r="G9344" s="22" t="s">
        <v>195</v>
      </c>
      <c r="H9344" s="22" t="s">
        <v>196</v>
      </c>
      <c r="I9344" s="26">
        <v>43678.514560185198</v>
      </c>
      <c r="J9344" s="23" t="str">
        <f>HYPERLINK("https://www.spark-marketing.ru/Card/Person/375686", "ООО ""АЭРО-ЛАЙН""")</f>
        <v>ООО "АЭРО-ЛАЙН"</v>
      </c>
      <c r="K9344" s="24" t="s">
        <v>13499</v>
      </c>
      <c r="L9344" s="28" t="s">
        <v>51</v>
      </c>
      <c r="M9344" s="25">
        <v>422000</v>
      </c>
      <c r="N9344" s="27">
        <v>0.29666666666666669</v>
      </c>
    </row>
    <row r="9345" spans="1:14" x14ac:dyDescent="0.15">
      <c r="A9345" s="23" t="str">
        <f>HYPERLINK("https://www.spark-marketing.ru/Card/Person/6220851", "ОМВД РОССИИ ПО ЗАВОЛЖСКОМУ РАЙОНУ Г.УЛЬЯНОВСКА")</f>
        <v>ОМВД РОССИИ ПО ЗАВОЛЖСКОМУ РАЙОНУ Г.УЛЬЯНОВСКА</v>
      </c>
      <c r="B9345" s="24" t="s">
        <v>9780</v>
      </c>
      <c r="C9345" s="25">
        <v>99820</v>
      </c>
      <c r="D9345" s="22" t="s">
        <v>13500</v>
      </c>
      <c r="E9345" s="22" t="s">
        <v>96</v>
      </c>
      <c r="F9345" s="23" t="str">
        <f>HYPERLINK("https://www.spark-marketing.ru/Card/Lot/72544238", "Оказание услуг по организации питания (приготовлению и доставке), 285 шт")</f>
        <v>Оказание услуг по организации питания (приготовлению и доставке), 285 шт</v>
      </c>
      <c r="G9345" s="22" t="s">
        <v>1918</v>
      </c>
      <c r="H9345" s="22" t="s">
        <v>1918</v>
      </c>
      <c r="I9345" s="26">
        <v>43678.517407407402</v>
      </c>
      <c r="J9345" s="28" t="s">
        <v>51</v>
      </c>
      <c r="K9345" s="28" t="s">
        <v>51</v>
      </c>
      <c r="L9345" s="28" t="s">
        <v>51</v>
      </c>
      <c r="M9345" s="28" t="s">
        <v>51</v>
      </c>
      <c r="N9345" s="28" t="s">
        <v>51</v>
      </c>
    </row>
    <row r="9346" spans="1:14" x14ac:dyDescent="0.15">
      <c r="A9346" s="23" t="str">
        <f>HYPERLINK("https://www.spark-marketing.ru/Card/Person/25266", "ГБУЗ ПК ""ОЧЕРСКАЯ ЦРБ""")</f>
        <v>ГБУЗ ПК "ОЧЕРСКАЯ ЦРБ"</v>
      </c>
      <c r="B9346" s="24" t="s">
        <v>678</v>
      </c>
      <c r="C9346" s="25">
        <v>499928</v>
      </c>
      <c r="D9346" s="22" t="s">
        <v>13501</v>
      </c>
      <c r="E9346" s="22" t="s">
        <v>96</v>
      </c>
      <c r="F9346" s="23" t="str">
        <f>HYPERLINK("https://www.spark-marketing.ru/Card/Lot/72545442", "услуги по организации питания")</f>
        <v>услуги по организации питания</v>
      </c>
      <c r="G9346" s="22" t="s">
        <v>153</v>
      </c>
      <c r="H9346" s="22" t="s">
        <v>153</v>
      </c>
      <c r="I9346" s="26">
        <v>43678.486331018503</v>
      </c>
      <c r="J9346" s="23" t="str">
        <f>HYPERLINK("https://www.spark-marketing.ru/Card/Person/38488", "Бурдина Елена Дмитриевна")</f>
        <v>Бурдина Елена Дмитриевна</v>
      </c>
      <c r="K9346" s="24" t="s">
        <v>11680</v>
      </c>
      <c r="L9346" s="22" t="s">
        <v>10</v>
      </c>
      <c r="M9346" s="28" t="s">
        <v>51</v>
      </c>
      <c r="N9346" s="28" t="s">
        <v>51</v>
      </c>
    </row>
    <row r="9347" spans="1:14" x14ac:dyDescent="0.2">
      <c r="A9347" s="23" t="str">
        <f>HYPERLINK("https://www.spark-marketing.ru/Card/Person/1077498", "МБОУ ""СОШ №3 Г.ОСЫ""")</f>
        <v>МБОУ "СОШ №3 Г.ОСЫ"</v>
      </c>
      <c r="B9347" s="24" t="s">
        <v>4585</v>
      </c>
      <c r="C9347" s="25">
        <v>1970469.14</v>
      </c>
      <c r="D9347" s="22" t="s">
        <v>13502</v>
      </c>
      <c r="E9347" s="22" t="s">
        <v>96</v>
      </c>
      <c r="F9347" s="23" t="str">
        <f>HYPERLINK("https://www.spark-marketing.ru/Card/Lot/72540464", "Оказание услуг по организации питания")</f>
        <v>Оказание услуг по организации питания</v>
      </c>
      <c r="G9347" s="22" t="s">
        <v>153</v>
      </c>
      <c r="H9347" s="22" t="s">
        <v>153</v>
      </c>
      <c r="I9347" s="26">
        <v>43678.478472222203</v>
      </c>
      <c r="J9347" s="23" t="str">
        <f>HYPERLINK("https://www.spark-marketing.ru/Card/Person/2456385", "ООО ""МЕРКУРИЙ""")</f>
        <v>ООО "МЕРКУРИЙ"</v>
      </c>
      <c r="K9347" s="24" t="s">
        <v>4587</v>
      </c>
      <c r="L9347" s="28" t="s">
        <v>51</v>
      </c>
      <c r="M9347" s="25">
        <v>1950000</v>
      </c>
      <c r="N9347" s="27">
        <v>1.038795258676317E-2</v>
      </c>
    </row>
    <row r="9348" spans="1:14" x14ac:dyDescent="0.15">
      <c r="A9348" s="23" t="str">
        <f>HYPERLINK("https://www.spark-marketing.ru/Card/Person/71328", "МО МВД РОССИИ ""СЛАВГОРОДСКИЙ""")</f>
        <v>МО МВД РОССИИ "СЛАВГОРОДСКИЙ"</v>
      </c>
      <c r="B9348" s="24" t="s">
        <v>8030</v>
      </c>
      <c r="C9348" s="25">
        <v>2732000</v>
      </c>
      <c r="D9348" s="22" t="s">
        <v>13503</v>
      </c>
      <c r="E9348" s="22" t="s">
        <v>48</v>
      </c>
      <c r="F9348" s="23" t="str">
        <f>HYPERLINK("https://www.spark-marketing.ru/Card/Lot/72538537", "услуги по обеспечению питанием лиц, содержащихся в изоляторе временного содержания и камере административно задержанных")</f>
        <v>услуги по обеспечению питанием лиц, содержащихся в изоляторе временного содержания и камере административно задержанных</v>
      </c>
      <c r="G9348" s="22" t="s">
        <v>63</v>
      </c>
      <c r="H9348" s="22" t="s">
        <v>6594</v>
      </c>
      <c r="I9348" s="26">
        <v>43678.479907407404</v>
      </c>
      <c r="J9348" s="23" t="str">
        <f>HYPERLINK("https://www.spark-marketing.ru/Card/Person/6498509", "Фалалеева Ирина Викторовна")</f>
        <v>Фалалеева Ирина Викторовна</v>
      </c>
      <c r="K9348" s="24" t="s">
        <v>13504</v>
      </c>
      <c r="L9348" s="22" t="s">
        <v>10</v>
      </c>
      <c r="M9348" s="28" t="s">
        <v>51</v>
      </c>
      <c r="N9348" s="28" t="s">
        <v>51</v>
      </c>
    </row>
    <row r="9349" spans="1:14" x14ac:dyDescent="0.15">
      <c r="A9349" s="23" t="str">
        <f>HYPERLINK("https://www.spark-marketing.ru/Card/Person/735498", "МБОУ ""СОШ ИМ.АЛЕКСЕЯ КОНДРАТЬЕВА С.ДЮРТЮЛИ""")</f>
        <v>МБОУ "СОШ ИМ.АЛЕКСЕЯ КОНДРАТЬЕВА С.ДЮРТЮЛИ"</v>
      </c>
      <c r="B9349" s="24" t="s">
        <v>13505</v>
      </c>
      <c r="C9349" s="25">
        <v>382843.93</v>
      </c>
      <c r="D9349" s="22" t="s">
        <v>13506</v>
      </c>
      <c r="E9349" s="22" t="s">
        <v>48</v>
      </c>
      <c r="F9349" s="23" t="str">
        <f>HYPERLINK("https://www.spark-marketing.ru/Card/Lot/72542736", "Услуги по организации горячего питания в муниципальном бюджетном общеобразовательном учреждении «Средняя общеобразовательная школа с. Дюртюли им. А. Кондратьева муниципального района Шаранский район РБ")</f>
        <v>Услуги по организации горячего питания в муниципальном бюджетном общеобразовательном учреждении «Средняя общеобразовательная школа с. Дюртюли им. А. Кондратьева муниципального района Шаранский район РБ</v>
      </c>
      <c r="G9349" s="22" t="s">
        <v>145</v>
      </c>
      <c r="H9349" s="22" t="s">
        <v>12518</v>
      </c>
      <c r="I9349" s="26">
        <v>43678.465833333299</v>
      </c>
      <c r="J9349" s="28" t="s">
        <v>51</v>
      </c>
      <c r="K9349" s="28" t="s">
        <v>51</v>
      </c>
      <c r="L9349" s="28" t="s">
        <v>51</v>
      </c>
      <c r="M9349" s="28" t="s">
        <v>51</v>
      </c>
      <c r="N9349" s="28" t="s">
        <v>51</v>
      </c>
    </row>
    <row r="9350" spans="1:14" ht="12.75" hidden="1" outlineLevel="1" x14ac:dyDescent="0.2">
      <c r="A9350" s="23" t="str">
        <f>HYPERLINK("https://www.spark-marketing.ru/Card/Person/735498", "МБОУ ""СОШ ИМ.АЛЕКСЕЯ КОНДРАТЬЕВА С.ДЮРТЮЛИ""")</f>
        <v>МБОУ "СОШ ИМ.АЛЕКСЕЯ КОНДРАТЬЕВА С.ДЮРТЮЛИ"</v>
      </c>
      <c r="B9350" s="24" t="s">
        <v>13505</v>
      </c>
      <c r="C9350" s="25">
        <v>382843.93</v>
      </c>
      <c r="D9350" s="22" t="s">
        <v>13506</v>
      </c>
      <c r="E9350" s="22" t="s">
        <v>48</v>
      </c>
      <c r="F9350" s="23" t="str">
        <f>HYPERLINK("https://www.spark-marketing.ru/Card/Lot/72542736", "Услуги по организации горячего питания в муниципальном бюджетном общеобразовательном учреждении «Средняя общеобразовательная школа с. Дюртюли им. А. Кондратьева муниципального района Шаранский район РБ")</f>
        <v>Услуги по организации горячего питания в муниципальном бюджетном общеобразовательном учреждении «Средняя общеобразовательная школа с. Дюртюли им. А. Кондратьева муниципального района Шаранский район РБ</v>
      </c>
      <c r="G9350" s="22" t="s">
        <v>145</v>
      </c>
      <c r="H9350" s="22" t="s">
        <v>12518</v>
      </c>
      <c r="I9350" s="26">
        <v>43678.465833333299</v>
      </c>
      <c r="J9350" s="23" t="str">
        <f>HYPERLINK("https://www.spark-marketing.ru/Card/Person/1089466", "Давлетова Надежда Мурзагареевна")</f>
        <v>Давлетова Надежда Мурзагареевна</v>
      </c>
      <c r="K9350" s="24" t="s">
        <v>12519</v>
      </c>
      <c r="L9350" s="22" t="s">
        <v>10</v>
      </c>
      <c r="M9350" s="25">
        <v>382843.93</v>
      </c>
      <c r="N9350" s="27">
        <v>0</v>
      </c>
    </row>
    <row r="9351" spans="1:14" hidden="1" outlineLevel="1" x14ac:dyDescent="0.2">
      <c r="A9351" s="23" t="str">
        <f>HYPERLINK("https://www.spark-marketing.ru/Card/Person/735498", "МБОУ ""СОШ ИМ.АЛЕКСЕЯ КОНДРАТЬЕВА С.ДЮРТЮЛИ""")</f>
        <v>МБОУ "СОШ ИМ.АЛЕКСЕЯ КОНДРАТЬЕВА С.ДЮРТЮЛИ"</v>
      </c>
      <c r="B9351" s="24" t="s">
        <v>13505</v>
      </c>
      <c r="C9351" s="25">
        <v>382843.93</v>
      </c>
      <c r="D9351" s="22" t="s">
        <v>13506</v>
      </c>
      <c r="E9351" s="22" t="s">
        <v>48</v>
      </c>
      <c r="F9351" s="23" t="str">
        <f>HYPERLINK("https://www.spark-marketing.ru/Card/Lot/72542736", "Услуги по организации горячего питания в муниципальном бюджетном общеобразовательном учреждении «Средняя общеобразовательная школа с. Дюртюли им. А. Кондратьева муниципального района Шаранский район РБ")</f>
        <v>Услуги по организации горячего питания в муниципальном бюджетном общеобразовательном учреждении «Средняя общеобразовательная школа с. Дюртюли им. А. Кондратьева муниципального района Шаранский район РБ</v>
      </c>
      <c r="G9351" s="22" t="s">
        <v>145</v>
      </c>
      <c r="H9351" s="22" t="s">
        <v>12518</v>
      </c>
      <c r="I9351" s="26">
        <v>43678.465833333299</v>
      </c>
      <c r="J9351" s="23" t="str">
        <f>HYPERLINK("https://www.spark-marketing.ru/Card/Person/145110", "ООО ""ТК ""ЗК""")</f>
        <v>ООО "ТК "ЗК"</v>
      </c>
      <c r="K9351" s="24" t="s">
        <v>5800</v>
      </c>
      <c r="L9351" s="28" t="s">
        <v>51</v>
      </c>
      <c r="M9351" s="25">
        <v>382843.93</v>
      </c>
      <c r="N9351" s="27">
        <v>0</v>
      </c>
    </row>
    <row r="9352" spans="1:14" x14ac:dyDescent="0.15">
      <c r="A9352" s="23" t="str">
        <f>HYPERLINK("https://www.spark-marketing.ru/Card/Person/358702", "МЕЖМУНИЦИПАЛЬНЫЙ ОТДЕЛ МВД РОССИИ ""КАШАРСКИЙ""")</f>
        <v>МЕЖМУНИЦИПАЛЬНЫЙ ОТДЕЛ МВД РОССИИ "КАШАРСКИЙ"</v>
      </c>
      <c r="B9352" s="24" t="s">
        <v>13507</v>
      </c>
      <c r="C9352" s="25">
        <v>30000</v>
      </c>
      <c r="D9352" s="22" t="s">
        <v>13508</v>
      </c>
      <c r="E9352" s="22" t="s">
        <v>48</v>
      </c>
      <c r="F9352" s="23" t="str">
        <f>HYPERLINK("https://www.spark-marketing.ru/Card/Lot/72541241", "Услуги по обеспечению питания лиц содержащихся в спец. помещениях задержанных лиц, 2 усл. ед")</f>
        <v>Услуги по обеспечению питания лиц содержащихся в спец. помещениях задержанных лиц, 2 усл. ед</v>
      </c>
      <c r="G9352" s="22" t="s">
        <v>267</v>
      </c>
      <c r="H9352" s="22" t="s">
        <v>13509</v>
      </c>
      <c r="I9352" s="26">
        <v>43678.474479166704</v>
      </c>
      <c r="J9352" s="28" t="s">
        <v>51</v>
      </c>
      <c r="K9352" s="28" t="s">
        <v>51</v>
      </c>
      <c r="L9352" s="28" t="s">
        <v>51</v>
      </c>
      <c r="M9352" s="28" t="s">
        <v>51</v>
      </c>
      <c r="N9352" s="28" t="s">
        <v>51</v>
      </c>
    </row>
    <row r="9353" spans="1:14" x14ac:dyDescent="0.15">
      <c r="A9353" s="23" t="str">
        <f>HYPERLINK("https://www.spark-marketing.ru/Card/Person/358702", "МЕЖМУНИЦИПАЛЬНЫЙ ОТДЕЛ МВД РОССИИ ""КАШАРСКИЙ""")</f>
        <v>МЕЖМУНИЦИПАЛЬНЫЙ ОТДЕЛ МВД РОССИИ "КАШАРСКИЙ"</v>
      </c>
      <c r="B9353" s="24" t="s">
        <v>13507</v>
      </c>
      <c r="C9353" s="25">
        <v>30000</v>
      </c>
      <c r="D9353" s="22" t="s">
        <v>13510</v>
      </c>
      <c r="E9353" s="22" t="s">
        <v>48</v>
      </c>
      <c r="F9353" s="23" t="str">
        <f>HYPERLINK("https://www.spark-marketing.ru/Card/Lot/72542200", "Услуги по обеспечению питания лиц содержащихся в спец. помещениях задержанных лиц, 2 усл. ед")</f>
        <v>Услуги по обеспечению питания лиц содержащихся в спец. помещениях задержанных лиц, 2 усл. ед</v>
      </c>
      <c r="G9353" s="22" t="s">
        <v>267</v>
      </c>
      <c r="H9353" s="22" t="s">
        <v>13509</v>
      </c>
      <c r="I9353" s="26">
        <v>43678.4789930556</v>
      </c>
      <c r="J9353" s="28" t="s">
        <v>51</v>
      </c>
      <c r="K9353" s="28" t="s">
        <v>51</v>
      </c>
      <c r="L9353" s="28" t="s">
        <v>51</v>
      </c>
      <c r="M9353" s="28" t="s">
        <v>51</v>
      </c>
      <c r="N9353" s="28" t="s">
        <v>51</v>
      </c>
    </row>
    <row r="9354" spans="1:14" x14ac:dyDescent="0.15">
      <c r="A9354" s="23" t="str">
        <f>HYPERLINK("https://www.spark-marketing.ru/Card/Person/16507", "ОГБПОУ УФСТОР")</f>
        <v>ОГБПОУ УФСТОР</v>
      </c>
      <c r="B9354" s="24" t="s">
        <v>13511</v>
      </c>
      <c r="C9354" s="25">
        <v>2805202.4</v>
      </c>
      <c r="D9354" s="22" t="s">
        <v>13512</v>
      </c>
      <c r="E9354" s="22" t="s">
        <v>48</v>
      </c>
      <c r="F9354" s="23" t="str">
        <f>HYPERLINK("https://www.spark-marketing.ru/Card/Lot/72544958", "Услуги по обеспечению питанием, осуществляемые по договору (возмещение энергозатрат студентов-спортсменов)")</f>
        <v>Услуги по обеспечению питанием, осуществляемые по договору (возмещение энергозатрат студентов-спортсменов)</v>
      </c>
      <c r="G9354" s="22" t="s">
        <v>1918</v>
      </c>
      <c r="H9354" s="22" t="s">
        <v>2140</v>
      </c>
      <c r="I9354" s="26">
        <v>43678.4984722222</v>
      </c>
      <c r="J9354" s="28" t="s">
        <v>51</v>
      </c>
      <c r="K9354" s="28" t="s">
        <v>51</v>
      </c>
      <c r="L9354" s="28" t="s">
        <v>51</v>
      </c>
      <c r="M9354" s="28" t="s">
        <v>51</v>
      </c>
      <c r="N9354" s="28" t="s">
        <v>51</v>
      </c>
    </row>
    <row r="9355" spans="1:14" hidden="1" outlineLevel="1" x14ac:dyDescent="0.2">
      <c r="A9355" s="23" t="str">
        <f>HYPERLINK("https://www.spark-marketing.ru/Card/Person/16507", "ОГБПОУ УФСТОР")</f>
        <v>ОГБПОУ УФСТОР</v>
      </c>
      <c r="B9355" s="24" t="s">
        <v>13511</v>
      </c>
      <c r="C9355" s="25">
        <v>2805202.4</v>
      </c>
      <c r="D9355" s="22" t="s">
        <v>13512</v>
      </c>
      <c r="E9355" s="22" t="s">
        <v>48</v>
      </c>
      <c r="F9355" s="23" t="str">
        <f>HYPERLINK("https://www.spark-marketing.ru/Card/Lot/72544958", "Услуги по обеспечению питанием, осуществляемые по договору (возмещение энергозатрат студентов-спортсменов)")</f>
        <v>Услуги по обеспечению питанием, осуществляемые по договору (возмещение энергозатрат студентов-спортсменов)</v>
      </c>
      <c r="G9355" s="22" t="s">
        <v>1918</v>
      </c>
      <c r="H9355" s="22" t="s">
        <v>2140</v>
      </c>
      <c r="I9355" s="26">
        <v>43678.4984722222</v>
      </c>
      <c r="J9355" s="23" t="str">
        <f>HYPERLINK("https://www.spark-marketing.ru/Card/Person/864174", "ООО ""ПИРАТ""")</f>
        <v>ООО "ПИРАТ"</v>
      </c>
      <c r="K9355" s="24" t="s">
        <v>13513</v>
      </c>
      <c r="L9355" s="28" t="s">
        <v>51</v>
      </c>
      <c r="M9355" s="25">
        <v>2805202.39</v>
      </c>
      <c r="N9355" s="27">
        <v>3.5648051634349094E-9</v>
      </c>
    </row>
    <row r="9356" spans="1:14" ht="12.75" hidden="1" outlineLevel="1" x14ac:dyDescent="0.2">
      <c r="A9356" s="23" t="str">
        <f>HYPERLINK("https://www.spark-marketing.ru/Card/Person/16507", "ОГБПОУ УФСТОР")</f>
        <v>ОГБПОУ УФСТОР</v>
      </c>
      <c r="B9356" s="24" t="s">
        <v>13511</v>
      </c>
      <c r="C9356" s="25">
        <v>2805202.4</v>
      </c>
      <c r="D9356" s="22" t="s">
        <v>13512</v>
      </c>
      <c r="E9356" s="22" t="s">
        <v>48</v>
      </c>
      <c r="F9356" s="23" t="str">
        <f>HYPERLINK("https://www.spark-marketing.ru/Card/Lot/72544958", "Услуги по обеспечению питанием, осуществляемые по договору (возмещение энергозатрат студентов-спортсменов)")</f>
        <v>Услуги по обеспечению питанием, осуществляемые по договору (возмещение энергозатрат студентов-спортсменов)</v>
      </c>
      <c r="G9356" s="22" t="s">
        <v>1918</v>
      </c>
      <c r="H9356" s="22" t="s">
        <v>2140</v>
      </c>
      <c r="I9356" s="26">
        <v>43678.4984722222</v>
      </c>
      <c r="J9356" s="23" t="str">
        <f>HYPERLINK("https://www.spark-marketing.ru/Card/Person/4764340", "ООО ""РОШКОШ""")</f>
        <v>ООО "РОШКОШ"</v>
      </c>
      <c r="K9356" s="24" t="s">
        <v>11323</v>
      </c>
      <c r="L9356" s="22" t="s">
        <v>10</v>
      </c>
      <c r="M9356" s="25">
        <v>2791176.39</v>
      </c>
      <c r="N9356" s="27">
        <v>4.999999287038967E-3</v>
      </c>
    </row>
    <row r="9357" spans="1:14" ht="12.75" x14ac:dyDescent="0.2">
      <c r="A9357" s="23" t="str">
        <f>HYPERLINK("https://www.spark-marketing.ru/Card/Person/102701", "УМВД РОССИИ ПО ГОРОДСКОМУ ОКРУГУ КРАСНОГОРСК")</f>
        <v>УМВД РОССИИ ПО ГОРОДСКОМУ ОКРУГУ КРАСНОГОРСК</v>
      </c>
      <c r="B9357" s="24" t="s">
        <v>5989</v>
      </c>
      <c r="C9357" s="25">
        <v>335901</v>
      </c>
      <c r="D9357" s="22" t="s">
        <v>13514</v>
      </c>
      <c r="E9357" s="22" t="s">
        <v>48</v>
      </c>
      <c r="F9357" s="23" t="str">
        <f>HYPERLINK("https://www.spark-marketing.ru/Card/Lot/72555059", "Оказание услуг по питанию граждан, содержащихся в ИВС УМВД России по городскому округу Красногорск")</f>
        <v>Оказание услуг по питанию граждан, содержащихся в ИВС УМВД России по городскому округу Красногорск</v>
      </c>
      <c r="G9357" s="22" t="s">
        <v>49</v>
      </c>
      <c r="H9357" s="22" t="s">
        <v>10272</v>
      </c>
      <c r="I9357" s="26">
        <v>43678.483217592599</v>
      </c>
      <c r="J9357" s="23" t="str">
        <f>HYPERLINK("https://www.spark-marketing.ru/Card/Person/115242", "Башмаков Николай Николаевич")</f>
        <v>Башмаков Николай Николаевич</v>
      </c>
      <c r="K9357" s="24" t="s">
        <v>5812</v>
      </c>
      <c r="L9357" s="22" t="s">
        <v>10</v>
      </c>
      <c r="M9357" s="25">
        <v>335900</v>
      </c>
      <c r="N9357" s="27">
        <v>2.9770676479081632E-6</v>
      </c>
    </row>
    <row r="9358" spans="1:14" x14ac:dyDescent="0.15">
      <c r="A9358" s="23" t="str">
        <f>HYPERLINK("https://www.spark-marketing.ru/Card/Person/358702", "МЕЖМУНИЦИПАЛЬНЫЙ ОТДЕЛ МВД РОССИИ ""КАШАРСКИЙ""")</f>
        <v>МЕЖМУНИЦИПАЛЬНЫЙ ОТДЕЛ МВД РОССИИ "КАШАРСКИЙ"</v>
      </c>
      <c r="B9358" s="24" t="s">
        <v>13507</v>
      </c>
      <c r="C9358" s="25">
        <v>10000</v>
      </c>
      <c r="D9358" s="22" t="s">
        <v>13515</v>
      </c>
      <c r="E9358" s="22" t="s">
        <v>48</v>
      </c>
      <c r="F9358" s="23" t="str">
        <f>HYPERLINK("https://www.spark-marketing.ru/Card/Lot/72542182", "Услуги общественного питания, 40 усл. ед")</f>
        <v>Услуги общественного питания, 40 усл. ед</v>
      </c>
      <c r="G9358" s="22" t="s">
        <v>267</v>
      </c>
      <c r="H9358" s="22" t="s">
        <v>13516</v>
      </c>
      <c r="I9358" s="26">
        <v>43678.482777777797</v>
      </c>
      <c r="J9358" s="28" t="s">
        <v>51</v>
      </c>
      <c r="K9358" s="28" t="s">
        <v>51</v>
      </c>
      <c r="L9358" s="28" t="s">
        <v>51</v>
      </c>
      <c r="M9358" s="28" t="s">
        <v>51</v>
      </c>
      <c r="N9358" s="28" t="s">
        <v>51</v>
      </c>
    </row>
    <row r="9359" spans="1:14" x14ac:dyDescent="0.15">
      <c r="A9359" s="23" t="str">
        <f>HYPERLINK("https://www.spark-marketing.ru/Card/Person/358702", "МЕЖМУНИЦИПАЛЬНЫЙ ОТДЕЛ МВД РОССИИ ""КАШАРСКИЙ""")</f>
        <v>МЕЖМУНИЦИПАЛЬНЫЙ ОТДЕЛ МВД РОССИИ "КАШАРСКИЙ"</v>
      </c>
      <c r="B9359" s="24" t="s">
        <v>13507</v>
      </c>
      <c r="C9359" s="25">
        <v>10000</v>
      </c>
      <c r="D9359" s="22" t="s">
        <v>13517</v>
      </c>
      <c r="E9359" s="22" t="s">
        <v>48</v>
      </c>
      <c r="F9359" s="23" t="str">
        <f>HYPERLINK("https://www.spark-marketing.ru/Card/Lot/72542267", "Услуги общественного питания, 40 усл. ед")</f>
        <v>Услуги общественного питания, 40 усл. ед</v>
      </c>
      <c r="G9359" s="22" t="s">
        <v>267</v>
      </c>
      <c r="H9359" s="22" t="s">
        <v>13516</v>
      </c>
      <c r="I9359" s="26">
        <v>43678.484398148103</v>
      </c>
      <c r="J9359" s="28" t="s">
        <v>51</v>
      </c>
      <c r="K9359" s="28" t="s">
        <v>51</v>
      </c>
      <c r="L9359" s="28" t="s">
        <v>51</v>
      </c>
      <c r="M9359" s="28" t="s">
        <v>51</v>
      </c>
      <c r="N9359" s="28" t="s">
        <v>51</v>
      </c>
    </row>
    <row r="9360" spans="1:14" x14ac:dyDescent="0.15">
      <c r="A9360" s="23" t="str">
        <f>HYPERLINK("https://www.spark-marketing.ru/Card/Person/55899", "ГБУЗ ""УСТЬ-ЛАБИНСКАЯ ЦРБ"" МЗ КК")</f>
        <v>ГБУЗ "УСТЬ-ЛАБИНСКАЯ ЦРБ" МЗ КК</v>
      </c>
      <c r="B9360" s="24" t="s">
        <v>1602</v>
      </c>
      <c r="C9360" s="25">
        <v>497300</v>
      </c>
      <c r="D9360" s="22" t="s">
        <v>13518</v>
      </c>
      <c r="E9360" s="22" t="s">
        <v>48</v>
      </c>
      <c r="F9360" s="23" t="str">
        <f>HYPERLINK("https://www.spark-marketing.ru/Card/Lot/72558375", "Оказание услуг по обеспечению лечебным питанием пациентов ГБУЗ ""Усть-Лабинская ЦРБ"" МЗ КК")</f>
        <v>Оказание услуг по обеспечению лечебным питанием пациентов ГБУЗ "Усть-Лабинская ЦРБ" МЗ КК</v>
      </c>
      <c r="G9360" s="22" t="s">
        <v>104</v>
      </c>
      <c r="H9360" s="22" t="s">
        <v>1424</v>
      </c>
      <c r="I9360" s="26">
        <v>43678.494131944397</v>
      </c>
      <c r="J9360" s="23" t="str">
        <f>HYPERLINK("https://www.spark-marketing.ru/Card/Person/878131", "ООО "" АГРОПРОМСЕРВИС """)</f>
        <v>ООО " АГРОПРОМСЕРВИС "</v>
      </c>
      <c r="K9360" s="24" t="s">
        <v>1425</v>
      </c>
      <c r="L9360" s="22" t="s">
        <v>10</v>
      </c>
      <c r="M9360" s="28" t="s">
        <v>51</v>
      </c>
      <c r="N9360" s="28" t="s">
        <v>51</v>
      </c>
    </row>
    <row r="9361" spans="1:14" x14ac:dyDescent="0.15">
      <c r="A9361" s="23" t="str">
        <f>HYPERLINK("https://www.spark-marketing.ru/Card/Person/73770", "БПОУ ВО ""ЧЕРЕПОВЕЦКИЙ ХИМИКО-ТЕХНОЛОГИЧЕСКИЙ КОЛЛЕДЖ""")</f>
        <v>БПОУ ВО "ЧЕРЕПОВЕЦКИЙ ХИМИКО-ТЕХНОЛОГИЧЕСКИЙ КОЛЛЕДЖ"</v>
      </c>
      <c r="B9361" s="24" t="s">
        <v>13519</v>
      </c>
      <c r="C9361" s="25">
        <v>1240000</v>
      </c>
      <c r="D9361" s="22" t="s">
        <v>13520</v>
      </c>
      <c r="E9361" s="22" t="s">
        <v>51</v>
      </c>
      <c r="F9361" s="23" t="str">
        <f>HYPERLINK("https://www.spark-marketing.ru/Card/Lot/72556627", "Оказание услуг по организации питания обучающихся БПОУ ВО ""Череповецкий химико-технологический колледж""")</f>
        <v>Оказание услуг по организации питания обучающихся БПОУ ВО "Череповецкий химико-технологический колледж"</v>
      </c>
      <c r="G9361" s="22" t="s">
        <v>503</v>
      </c>
      <c r="H9361" s="22" t="s">
        <v>1157</v>
      </c>
      <c r="I9361" s="26">
        <v>43678.450462963003</v>
      </c>
      <c r="J9361" s="28" t="s">
        <v>51</v>
      </c>
      <c r="K9361" s="28" t="s">
        <v>51</v>
      </c>
      <c r="L9361" s="28" t="s">
        <v>51</v>
      </c>
      <c r="M9361" s="28" t="s">
        <v>51</v>
      </c>
      <c r="N9361" s="28" t="s">
        <v>51</v>
      </c>
    </row>
    <row r="9362" spans="1:14" x14ac:dyDescent="0.15">
      <c r="A9362" s="23" t="str">
        <f>HYPERLINK("https://www.spark-marketing.ru/Card/Person/1762663", "МБОУ ""СОШ №1 С.ШАРАН""")</f>
        <v>МБОУ "СОШ №1 С.ШАРАН"</v>
      </c>
      <c r="B9362" s="24" t="s">
        <v>13521</v>
      </c>
      <c r="C9362" s="25">
        <v>1691290.79</v>
      </c>
      <c r="D9362" s="22" t="s">
        <v>13522</v>
      </c>
      <c r="E9362" s="22" t="s">
        <v>48</v>
      </c>
      <c r="F9362" s="23" t="str">
        <f>HYPERLINK("https://www.spark-marketing.ru/Card/Lot/72539614", "Услуги по организации горячего питания в муниципальном бюджетном общеобразовательном учреждении «Средняя общеобразовательная школа с.Шаран №1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с.Шаран №1 муниципального района Шаранский район РБ»</v>
      </c>
      <c r="G9362" s="22" t="s">
        <v>145</v>
      </c>
      <c r="H9362" s="22" t="s">
        <v>12518</v>
      </c>
      <c r="I9362" s="26">
        <v>43678.433900463002</v>
      </c>
      <c r="J9362" s="28" t="s">
        <v>51</v>
      </c>
      <c r="K9362" s="28" t="s">
        <v>51</v>
      </c>
      <c r="L9362" s="28" t="s">
        <v>51</v>
      </c>
      <c r="M9362" s="28" t="s">
        <v>51</v>
      </c>
      <c r="N9362" s="28" t="s">
        <v>51</v>
      </c>
    </row>
    <row r="9363" spans="1:14" ht="12.75" hidden="1" outlineLevel="1" x14ac:dyDescent="0.2">
      <c r="A9363" s="23" t="str">
        <f>HYPERLINK("https://www.spark-marketing.ru/Card/Person/1762663", "МБОУ ""СОШ №1 С.ШАРАН""")</f>
        <v>МБОУ "СОШ №1 С.ШАРАН"</v>
      </c>
      <c r="B9363" s="24" t="s">
        <v>13521</v>
      </c>
      <c r="C9363" s="25">
        <v>1691290.79</v>
      </c>
      <c r="D9363" s="22" t="s">
        <v>13522</v>
      </c>
      <c r="E9363" s="22" t="s">
        <v>48</v>
      </c>
      <c r="F9363" s="23" t="str">
        <f>HYPERLINK("https://www.spark-marketing.ru/Card/Lot/72539614", "Услуги по организации горячего питания в муниципальном бюджетном общеобразовательном учреждении «Средняя общеобразовательная школа с.Шаран №1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с.Шаран №1 муниципального района Шаранский район РБ»</v>
      </c>
      <c r="G9363" s="22" t="s">
        <v>145</v>
      </c>
      <c r="H9363" s="22" t="s">
        <v>12518</v>
      </c>
      <c r="I9363" s="26">
        <v>43678.433900463002</v>
      </c>
      <c r="J9363" s="23" t="str">
        <f>HYPERLINK("https://www.spark-marketing.ru/Card/Person/1089466", "Давлетова Надежда Мурзагареевна")</f>
        <v>Давлетова Надежда Мурзагареевна</v>
      </c>
      <c r="K9363" s="24" t="s">
        <v>12519</v>
      </c>
      <c r="L9363" s="22" t="s">
        <v>10</v>
      </c>
      <c r="M9363" s="25">
        <v>1691290.79</v>
      </c>
      <c r="N9363" s="27">
        <v>0</v>
      </c>
    </row>
    <row r="9364" spans="1:14" hidden="1" outlineLevel="1" x14ac:dyDescent="0.2">
      <c r="A9364" s="23" t="str">
        <f>HYPERLINK("https://www.spark-marketing.ru/Card/Person/1762663", "МБОУ ""СОШ №1 С.ШАРАН""")</f>
        <v>МБОУ "СОШ №1 С.ШАРАН"</v>
      </c>
      <c r="B9364" s="24" t="s">
        <v>13521</v>
      </c>
      <c r="C9364" s="25">
        <v>1691290.79</v>
      </c>
      <c r="D9364" s="22" t="s">
        <v>13522</v>
      </c>
      <c r="E9364" s="22" t="s">
        <v>48</v>
      </c>
      <c r="F9364" s="23" t="str">
        <f>HYPERLINK("https://www.spark-marketing.ru/Card/Lot/72539614", "Услуги по организации горячего питания в муниципальном бюджетном общеобразовательном учреждении «Средняя общеобразовательная школа с.Шаран №1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с.Шаран №1 муниципального района Шаранский район РБ»</v>
      </c>
      <c r="G9364" s="22" t="s">
        <v>145</v>
      </c>
      <c r="H9364" s="22" t="s">
        <v>12518</v>
      </c>
      <c r="I9364" s="26">
        <v>43678.433900463002</v>
      </c>
      <c r="J9364" s="23" t="str">
        <f>HYPERLINK("https://www.spark-marketing.ru/Card/Person/145110", "ООО ""ТК ""ЗК""")</f>
        <v>ООО "ТК "ЗК"</v>
      </c>
      <c r="K9364" s="24" t="s">
        <v>5800</v>
      </c>
      <c r="L9364" s="28" t="s">
        <v>51</v>
      </c>
      <c r="M9364" s="25">
        <v>1691290.79</v>
      </c>
      <c r="N9364" s="27">
        <v>0</v>
      </c>
    </row>
    <row r="9365" spans="1:14" x14ac:dyDescent="0.15">
      <c r="A9365" s="23" t="str">
        <f>HYPERLINK("https://www.spark-marketing.ru/Card/Person/145087", "МБОУ ""БАТЫРЕВСКАЯ СОШ №2"" БАТЫРЕВСКОГО РАЙОНА ЧУВАШСКОЙ РЕСПУБЛИКИ")</f>
        <v>МБОУ "БАТЫРЕВСКАЯ СОШ №2" БАТЫРЕВСКОГО РАЙОНА ЧУВАШСКОЙ РЕСПУБЛИКИ</v>
      </c>
      <c r="B9365" s="24" t="s">
        <v>11442</v>
      </c>
      <c r="C9365" s="25">
        <v>329916</v>
      </c>
      <c r="D9365" s="22" t="s">
        <v>13523</v>
      </c>
      <c r="E9365" s="22" t="s">
        <v>48</v>
      </c>
      <c r="F9365" s="23" t="str">
        <f>HYPERLINK("https://www.spark-marketing.ru/Card/Lot/72545660", "Оказание услуг по организации питания в МБОУ ""Батыревская СОШ №2"" Батыревского района Чувашской Республики")</f>
        <v>Оказание услуг по организации питания в МБОУ "Батыревская СОШ №2" Батыревского района Чувашской Республики</v>
      </c>
      <c r="G9365" s="22" t="s">
        <v>618</v>
      </c>
      <c r="H9365" s="22" t="s">
        <v>10481</v>
      </c>
      <c r="I9365" s="26">
        <v>43678.435983796298</v>
      </c>
      <c r="J9365" s="28" t="s">
        <v>51</v>
      </c>
      <c r="K9365" s="28" t="s">
        <v>51</v>
      </c>
      <c r="L9365" s="28" t="s">
        <v>51</v>
      </c>
      <c r="M9365" s="28" t="s">
        <v>51</v>
      </c>
      <c r="N9365" s="28" t="s">
        <v>51</v>
      </c>
    </row>
    <row r="9366" spans="1:14" x14ac:dyDescent="0.15">
      <c r="A9366" s="23" t="str">
        <f>HYPERLINK("https://www.spark-marketing.ru/Card/Person/31383", "МВД ПО КАБАРДИНО-БАЛКАРСКОЙ РЕСПУБЛИКЕ")</f>
        <v>МВД ПО КАБАРДИНО-БАЛКАРСКОЙ РЕСПУБЛИКЕ</v>
      </c>
      <c r="B9366" s="24" t="s">
        <v>13524</v>
      </c>
      <c r="C9366" s="25">
        <v>3090000</v>
      </c>
      <c r="D9366" s="22" t="s">
        <v>13525</v>
      </c>
      <c r="E9366" s="22" t="s">
        <v>48</v>
      </c>
      <c r="F9366" s="23" t="str">
        <f>HYPERLINK("https://www.spark-marketing.ru/Card/Lot/72545000", "Оказание услуг по организации трехразового горячего питания лиц, содержащихся в центре временного содержания иностранных граждан на 2021 год")</f>
        <v>Оказание услуг по организации трехразового горячего питания лиц, содержащихся в центре временного содержания иностранных граждан на 2021 год</v>
      </c>
      <c r="G9366" s="22" t="s">
        <v>986</v>
      </c>
      <c r="H9366" s="22" t="s">
        <v>986</v>
      </c>
      <c r="I9366" s="26">
        <v>43678.419537037</v>
      </c>
      <c r="J9366" s="28" t="s">
        <v>51</v>
      </c>
      <c r="K9366" s="28" t="s">
        <v>51</v>
      </c>
      <c r="L9366" s="28" t="s">
        <v>51</v>
      </c>
      <c r="M9366" s="28" t="s">
        <v>51</v>
      </c>
      <c r="N9366" s="28" t="s">
        <v>51</v>
      </c>
    </row>
    <row r="9367" spans="1:14" ht="12.75" hidden="1" outlineLevel="1" x14ac:dyDescent="0.2">
      <c r="A9367" s="23" t="str">
        <f>HYPERLINK("https://www.spark-marketing.ru/Card/Person/31383", "МВД ПО КАБАРДИНО-БАЛКАРСКОЙ РЕСПУБЛИКЕ")</f>
        <v>МВД ПО КАБАРДИНО-БАЛКАРСКОЙ РЕСПУБЛИКЕ</v>
      </c>
      <c r="B9367" s="24" t="s">
        <v>13524</v>
      </c>
      <c r="C9367" s="25">
        <v>3090000</v>
      </c>
      <c r="D9367" s="22" t="s">
        <v>13525</v>
      </c>
      <c r="E9367" s="22" t="s">
        <v>48</v>
      </c>
      <c r="F9367" s="23" t="str">
        <f>HYPERLINK("https://www.spark-marketing.ru/Card/Lot/72545000", "Оказание услуг по организации трехразового горячего питания лиц, содержащихся в центре временного содержания иностранных граждан на 2021 год")</f>
        <v>Оказание услуг по организации трехразового горячего питания лиц, содержащихся в центре временного содержания иностранных граждан на 2021 год</v>
      </c>
      <c r="G9367" s="22" t="s">
        <v>986</v>
      </c>
      <c r="H9367" s="22" t="s">
        <v>986</v>
      </c>
      <c r="I9367" s="26">
        <v>43678.419537037</v>
      </c>
      <c r="J9367" s="23" t="str">
        <f>HYPERLINK("https://www.spark-marketing.ru/Card/Person/72363", "ООО ""МАРАЛ""")</f>
        <v>ООО "МАРАЛ"</v>
      </c>
      <c r="K9367" s="24" t="s">
        <v>13526</v>
      </c>
      <c r="L9367" s="22" t="s">
        <v>10</v>
      </c>
      <c r="M9367" s="25">
        <v>2292.59</v>
      </c>
      <c r="N9367" s="27">
        <v>0.99925806148867313</v>
      </c>
    </row>
    <row r="9368" spans="1:14" hidden="1" outlineLevel="1" x14ac:dyDescent="0.2">
      <c r="A9368" s="23" t="str">
        <f>HYPERLINK("https://www.spark-marketing.ru/Card/Person/31383", "МВД ПО КАБАРДИНО-БАЛКАРСКОЙ РЕСПУБЛИКЕ")</f>
        <v>МВД ПО КАБАРДИНО-БАЛКАРСКОЙ РЕСПУБЛИКЕ</v>
      </c>
      <c r="B9368" s="24" t="s">
        <v>13524</v>
      </c>
      <c r="C9368" s="25">
        <v>3090000</v>
      </c>
      <c r="D9368" s="22" t="s">
        <v>13525</v>
      </c>
      <c r="E9368" s="22" t="s">
        <v>48</v>
      </c>
      <c r="F9368" s="23" t="str">
        <f>HYPERLINK("https://www.spark-marketing.ru/Card/Lot/72545000", "Оказание услуг по организации трехразового горячего питания лиц, содержащихся в центре временного содержания иностранных граждан на 2021 год")</f>
        <v>Оказание услуг по организации трехразового горячего питания лиц, содержащихся в центре временного содержания иностранных граждан на 2021 год</v>
      </c>
      <c r="G9368" s="22" t="s">
        <v>986</v>
      </c>
      <c r="H9368" s="22" t="s">
        <v>986</v>
      </c>
      <c r="I9368" s="26">
        <v>43678.419537037</v>
      </c>
      <c r="J9368" s="23" t="str">
        <f>HYPERLINK("https://www.spark-marketing.ru/Card/Person/63214", "Семенов Анзор Валериевич")</f>
        <v>Семенов Анзор Валериевич</v>
      </c>
      <c r="K9368" s="24" t="s">
        <v>13527</v>
      </c>
      <c r="L9368" s="28" t="s">
        <v>51</v>
      </c>
      <c r="M9368" s="25">
        <v>2316.7199999999998</v>
      </c>
      <c r="N9368" s="27">
        <v>0.99925025242718446</v>
      </c>
    </row>
    <row r="9369" spans="1:14" x14ac:dyDescent="0.15">
      <c r="A9369" s="23" t="str">
        <f>HYPERLINK("https://www.spark-marketing.ru/Card/Person/812166", "МБОУ ""НОРВАШ ШИГАЛИНСКАЯ СОШ"" БАТЫРЕВСКОГО РАЙОНА ЧУВАШСКОЙ РЕСПУБЛИКИ")</f>
        <v>МБОУ "НОРВАШ ШИГАЛИНСКАЯ СОШ" БАТЫРЕВСКОГО РАЙОНА ЧУВАШСКОЙ РЕСПУБЛИКИ</v>
      </c>
      <c r="B9369" s="24" t="s">
        <v>11311</v>
      </c>
      <c r="C9369" s="25">
        <v>507555</v>
      </c>
      <c r="D9369" s="22" t="s">
        <v>13528</v>
      </c>
      <c r="E9369" s="22" t="s">
        <v>48</v>
      </c>
      <c r="F9369" s="23" t="str">
        <f>HYPERLINK("https://www.spark-marketing.ru/Card/Lot/72545379", "Оказание услуг по организации питания в МБОУ ""Норваш Шигалинская СОШ"" Батыревского района Чувашской Республики")</f>
        <v>Оказание услуг по организации питания в МБОУ "Норваш Шигалинская СОШ" Батыревского района Чувашской Республики</v>
      </c>
      <c r="G9369" s="22" t="s">
        <v>618</v>
      </c>
      <c r="H9369" s="22" t="s">
        <v>10481</v>
      </c>
      <c r="I9369" s="26">
        <v>43678.449641203697</v>
      </c>
      <c r="J9369" s="28" t="s">
        <v>51</v>
      </c>
      <c r="K9369" s="28" t="s">
        <v>51</v>
      </c>
      <c r="L9369" s="28" t="s">
        <v>51</v>
      </c>
      <c r="M9369" s="28" t="s">
        <v>51</v>
      </c>
      <c r="N9369" s="28" t="s">
        <v>51</v>
      </c>
    </row>
    <row r="9370" spans="1:14" x14ac:dyDescent="0.15">
      <c r="A9370" s="23" t="str">
        <f t="shared" ref="A9370:A9375" si="222">HYPERLINK("https://www.spark-marketing.ru/Card/Person/13589", "САНКТ-ПЕТЕРБУРГСКИЙ ГОСУДАРСТВЕННЫЙ ИНСТИТУТ КУЛЬТУРЫ")</f>
        <v>САНКТ-ПЕТЕРБУРГСКИЙ ГОСУДАРСТВЕННЫЙ ИНСТИТУТ КУЛЬТУРЫ</v>
      </c>
      <c r="B9370" s="24" t="s">
        <v>13529</v>
      </c>
      <c r="C9370" s="25">
        <v>1508336.67</v>
      </c>
      <c r="D9370" s="22" t="s">
        <v>13530</v>
      </c>
      <c r="E9370" s="22" t="s">
        <v>1632</v>
      </c>
      <c r="F9370" s="23" t="str">
        <f t="shared" ref="F9370:F9375" si="223">HYPERLINK("https://www.spark-marketing.ru/Card/Lot/72555047", "Оказание услуг по проживанию и питанию участников мероприятий в рамках социально-культурного проекта СПбГИК ""Петербургские дни в Суздале""")</f>
        <v>Оказание услуг по проживанию и питанию участников мероприятий в рамках социально-культурного проекта СПбГИК "Петербургские дни в Суздале"</v>
      </c>
      <c r="G9370" s="22" t="s">
        <v>663</v>
      </c>
      <c r="H9370" s="22" t="s">
        <v>663</v>
      </c>
      <c r="I9370" s="26">
        <v>43678.435266203698</v>
      </c>
      <c r="J9370" s="28" t="s">
        <v>51</v>
      </c>
      <c r="K9370" s="28" t="s">
        <v>51</v>
      </c>
      <c r="L9370" s="28" t="s">
        <v>51</v>
      </c>
      <c r="M9370" s="28" t="s">
        <v>51</v>
      </c>
      <c r="N9370" s="28" t="s">
        <v>51</v>
      </c>
    </row>
    <row r="9371" spans="1:14" hidden="1" outlineLevel="1" x14ac:dyDescent="0.2">
      <c r="A9371" s="23" t="str">
        <f t="shared" si="222"/>
        <v>САНКТ-ПЕТЕРБУРГСКИЙ ГОСУДАРСТВЕННЫЙ ИНСТИТУТ КУЛЬТУРЫ</v>
      </c>
      <c r="B9371" s="24" t="s">
        <v>13529</v>
      </c>
      <c r="C9371" s="25">
        <v>1508336.67</v>
      </c>
      <c r="D9371" s="22" t="s">
        <v>13530</v>
      </c>
      <c r="E9371" s="22" t="s">
        <v>1632</v>
      </c>
      <c r="F9371" s="23" t="str">
        <f t="shared" si="223"/>
        <v>Оказание услуг по проживанию и питанию участников мероприятий в рамках социально-культурного проекта СПбГИК "Петербургские дни в Суздале"</v>
      </c>
      <c r="G9371" s="22" t="s">
        <v>663</v>
      </c>
      <c r="H9371" s="22" t="s">
        <v>663</v>
      </c>
      <c r="I9371" s="26">
        <v>43678.435266203698</v>
      </c>
      <c r="J9371" s="23" t="str">
        <f>HYPERLINK("https://www.spark-marketing.ru/Card/Person/6427451", "ООО ""АТИС ГРУПП""")</f>
        <v>ООО "АТИС ГРУПП"</v>
      </c>
      <c r="K9371" s="24" t="s">
        <v>10338</v>
      </c>
      <c r="L9371" s="28" t="s">
        <v>51</v>
      </c>
      <c r="M9371" s="25">
        <v>842839.1</v>
      </c>
      <c r="N9371" s="27">
        <v>0.44121288253238583</v>
      </c>
    </row>
    <row r="9372" spans="1:14" ht="12.75" hidden="1" outlineLevel="1" x14ac:dyDescent="0.2">
      <c r="A9372" s="23" t="str">
        <f t="shared" si="222"/>
        <v>САНКТ-ПЕТЕРБУРГСКИЙ ГОСУДАРСТВЕННЫЙ ИНСТИТУТ КУЛЬТУРЫ</v>
      </c>
      <c r="B9372" s="24" t="s">
        <v>13529</v>
      </c>
      <c r="C9372" s="25">
        <v>1508336.67</v>
      </c>
      <c r="D9372" s="22" t="s">
        <v>13530</v>
      </c>
      <c r="E9372" s="22" t="s">
        <v>1632</v>
      </c>
      <c r="F9372" s="23" t="str">
        <f t="shared" si="223"/>
        <v>Оказание услуг по проживанию и питанию участников мероприятий в рамках социально-культурного проекта СПбГИК "Петербургские дни в Суздале"</v>
      </c>
      <c r="G9372" s="22" t="s">
        <v>663</v>
      </c>
      <c r="H9372" s="22" t="s">
        <v>663</v>
      </c>
      <c r="I9372" s="26">
        <v>43678.435266203698</v>
      </c>
      <c r="J9372" s="23" t="str">
        <f>HYPERLINK("https://www.spark-marketing.ru/Card/Person/5901603", "ООО ""ОТЕЛЬ ГОГОЛЬ ХАУЗ""")</f>
        <v>ООО "ОТЕЛЬ ГОГОЛЬ ХАУЗ"</v>
      </c>
      <c r="K9372" s="24" t="s">
        <v>13531</v>
      </c>
      <c r="L9372" s="22" t="s">
        <v>10</v>
      </c>
      <c r="M9372" s="25">
        <v>835297.42</v>
      </c>
      <c r="N9372" s="27">
        <v>0.44621288031139628</v>
      </c>
    </row>
    <row r="9373" spans="1:14" hidden="1" outlineLevel="1" x14ac:dyDescent="0.2">
      <c r="A9373" s="23" t="str">
        <f t="shared" si="222"/>
        <v>САНКТ-ПЕТЕРБУРГСКИЙ ГОСУДАРСТВЕННЫЙ ИНСТИТУТ КУЛЬТУРЫ</v>
      </c>
      <c r="B9373" s="24" t="s">
        <v>13529</v>
      </c>
      <c r="C9373" s="25">
        <v>1508336.67</v>
      </c>
      <c r="D9373" s="22" t="s">
        <v>13530</v>
      </c>
      <c r="E9373" s="22" t="s">
        <v>1632</v>
      </c>
      <c r="F9373" s="23" t="str">
        <f t="shared" si="223"/>
        <v>Оказание услуг по проживанию и питанию участников мероприятий в рамках социально-культурного проекта СПбГИК "Петербургские дни в Суздале"</v>
      </c>
      <c r="G9373" s="22" t="s">
        <v>663</v>
      </c>
      <c r="H9373" s="22" t="s">
        <v>663</v>
      </c>
      <c r="I9373" s="26">
        <v>43678.435266203698</v>
      </c>
      <c r="J9373" s="23" t="str">
        <f>HYPERLINK("https://www.spark-marketing.ru/Card/Person/6504959", "ООО «РБТ»")</f>
        <v>ООО «РБТ»</v>
      </c>
      <c r="K9373" s="24" t="s">
        <v>13532</v>
      </c>
      <c r="L9373" s="28" t="s">
        <v>51</v>
      </c>
      <c r="M9373" s="25">
        <v>895630.86</v>
      </c>
      <c r="N9373" s="27">
        <v>0.40621289807931277</v>
      </c>
    </row>
    <row r="9374" spans="1:14" hidden="1" outlineLevel="1" x14ac:dyDescent="0.2">
      <c r="A9374" s="23" t="str">
        <f t="shared" si="222"/>
        <v>САНКТ-ПЕТЕРБУРГСКИЙ ГОСУДАРСТВЕННЫЙ ИНСТИТУТ КУЛЬТУРЫ</v>
      </c>
      <c r="B9374" s="24" t="s">
        <v>13529</v>
      </c>
      <c r="C9374" s="25">
        <v>1508336.67</v>
      </c>
      <c r="D9374" s="22" t="s">
        <v>13530</v>
      </c>
      <c r="E9374" s="22" t="s">
        <v>1632</v>
      </c>
      <c r="F9374" s="23" t="str">
        <f t="shared" si="223"/>
        <v>Оказание услуг по проживанию и питанию участников мероприятий в рамках социально-культурного проекта СПбГИК "Петербургские дни в Суздале"</v>
      </c>
      <c r="G9374" s="22" t="s">
        <v>663</v>
      </c>
      <c r="H9374" s="22" t="s">
        <v>663</v>
      </c>
      <c r="I9374" s="26">
        <v>43678.435266203698</v>
      </c>
      <c r="J9374" s="23" t="str">
        <f>HYPERLINK("https://www.spark-marketing.ru/Card/Person/1102098", "ООО ""ТУРЦЕНТР""")</f>
        <v>ООО "ТУРЦЕНТР"</v>
      </c>
      <c r="K9374" s="24" t="s">
        <v>13533</v>
      </c>
      <c r="L9374" s="28" t="s">
        <v>51</v>
      </c>
      <c r="M9374" s="25">
        <v>1374460.67</v>
      </c>
      <c r="N9374" s="27">
        <v>8.8757372715734612E-2</v>
      </c>
    </row>
    <row r="9375" spans="1:14" hidden="1" outlineLevel="1" x14ac:dyDescent="0.2">
      <c r="A9375" s="23" t="str">
        <f t="shared" si="222"/>
        <v>САНКТ-ПЕТЕРБУРГСКИЙ ГОСУДАРСТВЕННЫЙ ИНСТИТУТ КУЛЬТУРЫ</v>
      </c>
      <c r="B9375" s="24" t="s">
        <v>13529</v>
      </c>
      <c r="C9375" s="25">
        <v>1508336.67</v>
      </c>
      <c r="D9375" s="22" t="s">
        <v>13530</v>
      </c>
      <c r="E9375" s="22" t="s">
        <v>1632</v>
      </c>
      <c r="F9375" s="23" t="str">
        <f t="shared" si="223"/>
        <v>Оказание услуг по проживанию и питанию участников мероприятий в рамках социально-культурного проекта СПбГИК "Петербургские дни в Суздале"</v>
      </c>
      <c r="G9375" s="22" t="s">
        <v>663</v>
      </c>
      <c r="H9375" s="22" t="s">
        <v>663</v>
      </c>
      <c r="I9375" s="26">
        <v>43678.435266203698</v>
      </c>
      <c r="J9375" s="23" t="str">
        <f>HYPERLINK("https://www.spark-marketing.ru/Card/Person/4349782", "ООО ""АРТОКС""")</f>
        <v>ООО "АРТОКС"</v>
      </c>
      <c r="K9375" s="24" t="s">
        <v>9025</v>
      </c>
      <c r="L9375" s="28" t="s">
        <v>51</v>
      </c>
      <c r="M9375" s="25">
        <v>1432919.87</v>
      </c>
      <c r="N9375" s="27">
        <v>4.9999977790104379E-2</v>
      </c>
    </row>
    <row r="9376" spans="1:14" x14ac:dyDescent="0.15">
      <c r="A9376" s="23" t="str">
        <f>HYPERLINK("https://www.spark-marketing.ru/Card/Person/813110", "МБОУ ""ПЕРВОМАЙСКАЯ СОШ"" БАТЫРЕВСКОГО РАЙОНА ЧУВАШСКОЙ РЕСПУБЛИКИ")</f>
        <v>МБОУ "ПЕРВОМАЙСКАЯ СОШ" БАТЫРЕВСКОГО РАЙОНА ЧУВАШСКОЙ РЕСПУБЛИКИ</v>
      </c>
      <c r="B9376" s="24" t="s">
        <v>11432</v>
      </c>
      <c r="C9376" s="25">
        <v>141060</v>
      </c>
      <c r="D9376" s="22" t="s">
        <v>13534</v>
      </c>
      <c r="E9376" s="22" t="s">
        <v>48</v>
      </c>
      <c r="F9376" s="23" t="str">
        <f>HYPERLINK("https://www.spark-marketing.ru/Card/Lot/72549097", "Оказание услуг по организации питания в МБОУ ""Первомайская СОШ имени Васлея Митты"" Батыревского района Чувашской Республики")</f>
        <v>Оказание услуг по организации питания в МБОУ "Первомайская СОШ имени Васлея Митты" Батыревского района Чувашской Республики</v>
      </c>
      <c r="G9376" s="22" t="s">
        <v>618</v>
      </c>
      <c r="H9376" s="22" t="s">
        <v>10481</v>
      </c>
      <c r="I9376" s="26">
        <v>43678.456157407403</v>
      </c>
      <c r="J9376" s="28" t="s">
        <v>51</v>
      </c>
      <c r="K9376" s="28" t="s">
        <v>51</v>
      </c>
      <c r="L9376" s="28" t="s">
        <v>51</v>
      </c>
      <c r="M9376" s="28" t="s">
        <v>51</v>
      </c>
      <c r="N9376" s="28" t="s">
        <v>51</v>
      </c>
    </row>
    <row r="9377" spans="1:14" x14ac:dyDescent="0.15">
      <c r="A9377" s="23" t="str">
        <f>HYPERLINK("https://www.spark-marketing.ru/Card/Person/778", "БУЗ ВО ""НИКОЛЬСКАЯ ЦРБ""")</f>
        <v>БУЗ ВО "НИКОЛЬСКАЯ ЦРБ"</v>
      </c>
      <c r="B9377" s="24" t="s">
        <v>13535</v>
      </c>
      <c r="C9377" s="25">
        <v>1080000</v>
      </c>
      <c r="D9377" s="22" t="s">
        <v>13536</v>
      </c>
      <c r="E9377" s="22" t="s">
        <v>48</v>
      </c>
      <c r="F9377" s="23" t="str">
        <f>HYPERLINK("https://www.spark-marketing.ru/Card/Lot/72543713", "Оказание услуг по организации лечебного питания пациентов для нужд БУЗ ВО «Никольская ЦРБ»")</f>
        <v>Оказание услуг по организации лечебного питания пациентов для нужд БУЗ ВО «Никольская ЦРБ»</v>
      </c>
      <c r="G9377" s="22" t="s">
        <v>503</v>
      </c>
      <c r="H9377" s="22" t="s">
        <v>188</v>
      </c>
      <c r="I9377" s="26">
        <v>43678.428356481498</v>
      </c>
      <c r="J9377" s="23" t="str">
        <f>HYPERLINK("https://www.spark-marketing.ru/Card/Person/4887827", "Буренин Михаил Викторович")</f>
        <v>Буренин Михаил Викторович</v>
      </c>
      <c r="K9377" s="24" t="s">
        <v>12662</v>
      </c>
      <c r="L9377" s="22" t="s">
        <v>10</v>
      </c>
      <c r="M9377" s="28" t="s">
        <v>51</v>
      </c>
      <c r="N9377" s="28" t="s">
        <v>51</v>
      </c>
    </row>
    <row r="9378" spans="1:14" x14ac:dyDescent="0.15">
      <c r="A9378" s="23" t="str">
        <f>HYPERLINK("https://www.spark-marketing.ru/Card/Person/1359836", "ОГАУЗ ""ТОМСКИЙ ОБЛАСТНОЙ ОНКОЛОГИЧЕСКИЙ ДИСПАНСЕР"" И ОГАУЗ ""ТООД""")</f>
        <v>ОГАУЗ "ТОМСКИЙ ОБЛАСТНОЙ ОНКОЛОГИЧЕСКИЙ ДИСПАНСЕР" И ОГАУЗ "ТООД"</v>
      </c>
      <c r="B9378" s="24" t="s">
        <v>13537</v>
      </c>
      <c r="C9378" s="25">
        <v>398250</v>
      </c>
      <c r="D9378" s="22" t="s">
        <v>13538</v>
      </c>
      <c r="E9378" s="22" t="s">
        <v>48</v>
      </c>
      <c r="F9378" s="23" t="str">
        <f>HYPERLINK("https://www.spark-marketing.ru/Card/Lot/72541720", "Оказание услуг по лечебному (диетическому) питанию пациентов, находящихся на стационарном лечении")</f>
        <v>Оказание услуг по лечебному (диетическому) питанию пациентов, находящихся на стационарном лечении</v>
      </c>
      <c r="G9378" s="22" t="s">
        <v>149</v>
      </c>
      <c r="H9378" s="22" t="s">
        <v>496</v>
      </c>
      <c r="I9378" s="26">
        <v>43678.443055555603</v>
      </c>
      <c r="J9378" s="28" t="s">
        <v>51</v>
      </c>
      <c r="K9378" s="28" t="s">
        <v>51</v>
      </c>
      <c r="L9378" s="28" t="s">
        <v>51</v>
      </c>
      <c r="M9378" s="28" t="s">
        <v>51</v>
      </c>
      <c r="N9378" s="28" t="s">
        <v>51</v>
      </c>
    </row>
    <row r="9379" spans="1:14" x14ac:dyDescent="0.15">
      <c r="A9379" s="23" t="str">
        <f>HYPERLINK("https://www.spark-marketing.ru/Card/Person/373458", "ФКУ ИК-4 УФСИН РОССИИ ПО КОСТРОМСКОЙ ОБЛАСТИ")</f>
        <v>ФКУ ИК-4 УФСИН РОССИИ ПО КОСТРОМСКОЙ ОБЛАСТИ</v>
      </c>
      <c r="B9379" s="24" t="s">
        <v>13539</v>
      </c>
      <c r="C9379" s="25">
        <v>108000</v>
      </c>
      <c r="D9379" s="22" t="s">
        <v>13540</v>
      </c>
      <c r="E9379" s="22" t="s">
        <v>468</v>
      </c>
      <c r="F9379" s="23" t="str">
        <f>HYPERLINK("https://www.spark-marketing.ru/Card/Lot/72553922", "Предоставление транспортных услуг по перевозке продуктов питания")</f>
        <v>Предоставление транспортных услуг по перевозке продуктов питания</v>
      </c>
      <c r="G9379" s="22" t="s">
        <v>292</v>
      </c>
      <c r="H9379" s="22" t="s">
        <v>3733</v>
      </c>
      <c r="I9379" s="26">
        <v>43678.412002314799</v>
      </c>
      <c r="J9379" s="28" t="s">
        <v>51</v>
      </c>
      <c r="K9379" s="28" t="s">
        <v>51</v>
      </c>
      <c r="L9379" s="28" t="s">
        <v>51</v>
      </c>
      <c r="M9379" s="28" t="s">
        <v>51</v>
      </c>
      <c r="N9379" s="28" t="s">
        <v>51</v>
      </c>
    </row>
    <row r="9380" spans="1:14" hidden="1" outlineLevel="1" x14ac:dyDescent="0.2">
      <c r="A9380" s="23" t="str">
        <f>HYPERLINK("https://www.spark-marketing.ru/Card/Person/373458", "ФКУ ИК-4 УФСИН РОССИИ ПО КОСТРОМСКОЙ ОБЛАСТИ")</f>
        <v>ФКУ ИК-4 УФСИН РОССИИ ПО КОСТРОМСКОЙ ОБЛАСТИ</v>
      </c>
      <c r="B9380" s="24" t="s">
        <v>13539</v>
      </c>
      <c r="C9380" s="25">
        <v>108000</v>
      </c>
      <c r="D9380" s="22" t="s">
        <v>13540</v>
      </c>
      <c r="E9380" s="22" t="s">
        <v>468</v>
      </c>
      <c r="F9380" s="23" t="str">
        <f>HYPERLINK("https://www.spark-marketing.ru/Card/Lot/72553922", "Предоставление транспортных услуг по перевозке продуктов питания")</f>
        <v>Предоставление транспортных услуг по перевозке продуктов питания</v>
      </c>
      <c r="G9380" s="22" t="s">
        <v>292</v>
      </c>
      <c r="H9380" s="22" t="s">
        <v>3733</v>
      </c>
      <c r="I9380" s="26">
        <v>43678.412002314799</v>
      </c>
      <c r="J9380" s="23" t="str">
        <f>HYPERLINK("https://www.spark-marketing.ru/Card/Person/4469499", "Дерябин Александр Анатольевич")</f>
        <v>Дерябин Александр Анатольевич</v>
      </c>
      <c r="K9380" s="24" t="s">
        <v>2157</v>
      </c>
      <c r="L9380" s="28" t="s">
        <v>51</v>
      </c>
      <c r="M9380" s="25">
        <v>103140</v>
      </c>
      <c r="N9380" s="27">
        <v>4.4999999999999998E-2</v>
      </c>
    </row>
    <row r="9381" spans="1:14" hidden="1" outlineLevel="1" x14ac:dyDescent="0.2">
      <c r="A9381" s="23" t="str">
        <f>HYPERLINK("https://www.spark-marketing.ru/Card/Person/373458", "ФКУ ИК-4 УФСИН РОССИИ ПО КОСТРОМСКОЙ ОБЛАСТИ")</f>
        <v>ФКУ ИК-4 УФСИН РОССИИ ПО КОСТРОМСКОЙ ОБЛАСТИ</v>
      </c>
      <c r="B9381" s="24" t="s">
        <v>13539</v>
      </c>
      <c r="C9381" s="25">
        <v>108000</v>
      </c>
      <c r="D9381" s="22" t="s">
        <v>13540</v>
      </c>
      <c r="E9381" s="22" t="s">
        <v>468</v>
      </c>
      <c r="F9381" s="23" t="str">
        <f>HYPERLINK("https://www.spark-marketing.ru/Card/Lot/72553922", "Предоставление транспортных услуг по перевозке продуктов питания")</f>
        <v>Предоставление транспортных услуг по перевозке продуктов питания</v>
      </c>
      <c r="G9381" s="22" t="s">
        <v>292</v>
      </c>
      <c r="H9381" s="22" t="s">
        <v>3733</v>
      </c>
      <c r="I9381" s="26">
        <v>43678.412002314799</v>
      </c>
      <c r="J9381" s="23" t="str">
        <f>HYPERLINK("https://www.spark-marketing.ru/Card/Person/6304599", "ООО ""ДВИЖЕНИЕ""")</f>
        <v>ООО "ДВИЖЕНИЕ"</v>
      </c>
      <c r="K9381" s="24" t="s">
        <v>13541</v>
      </c>
      <c r="L9381" s="28" t="s">
        <v>51</v>
      </c>
      <c r="M9381" s="25">
        <v>103630</v>
      </c>
      <c r="N9381" s="27">
        <v>4.0462962962962964E-2</v>
      </c>
    </row>
    <row r="9382" spans="1:14" ht="12.75" hidden="1" outlineLevel="1" x14ac:dyDescent="0.2">
      <c r="A9382" s="23" t="str">
        <f>HYPERLINK("https://www.spark-marketing.ru/Card/Person/373458", "ФКУ ИК-4 УФСИН РОССИИ ПО КОСТРОМСКОЙ ОБЛАСТИ")</f>
        <v>ФКУ ИК-4 УФСИН РОССИИ ПО КОСТРОМСКОЙ ОБЛАСТИ</v>
      </c>
      <c r="B9382" s="24" t="s">
        <v>13539</v>
      </c>
      <c r="C9382" s="25">
        <v>108000</v>
      </c>
      <c r="D9382" s="22" t="s">
        <v>13540</v>
      </c>
      <c r="E9382" s="22" t="s">
        <v>468</v>
      </c>
      <c r="F9382" s="23" t="str">
        <f>HYPERLINK("https://www.spark-marketing.ru/Card/Lot/72553922", "Предоставление транспортных услуг по перевозке продуктов питания")</f>
        <v>Предоставление транспортных услуг по перевозке продуктов питания</v>
      </c>
      <c r="G9382" s="22" t="s">
        <v>292</v>
      </c>
      <c r="H9382" s="22" t="s">
        <v>3733</v>
      </c>
      <c r="I9382" s="26">
        <v>43678.412002314799</v>
      </c>
      <c r="J9382" s="23" t="str">
        <f>HYPERLINK("https://www.spark-marketing.ru/Card/Person/4889926", "ООО ""АТО""")</f>
        <v>ООО "АТО"</v>
      </c>
      <c r="K9382" s="24" t="s">
        <v>1895</v>
      </c>
      <c r="L9382" s="22" t="s">
        <v>10</v>
      </c>
      <c r="M9382" s="25">
        <v>102600</v>
      </c>
      <c r="N9382" s="27">
        <v>0.05</v>
      </c>
    </row>
    <row r="9383" spans="1:14" x14ac:dyDescent="0.15">
      <c r="A9383" s="23" t="str">
        <f>HYPERLINK("https://www.spark-marketing.ru/Card/Person/1048886", "МБОУ ""СШ № 27 ИМ. Э.А. ХИЛЯ""")</f>
        <v>МБОУ "СШ № 27 ИМ. Э.А. ХИЛЯ"</v>
      </c>
      <c r="B9383" s="24" t="s">
        <v>13542</v>
      </c>
      <c r="C9383" s="25">
        <v>1201484</v>
      </c>
      <c r="D9383" s="22" t="s">
        <v>13543</v>
      </c>
      <c r="E9383" s="22" t="s">
        <v>48</v>
      </c>
      <c r="F9383" s="23" t="str">
        <f>HYPERLINK("https://www.spark-marketing.ru/Card/Lot/72539598", "Оказание услуг по организации горячего питания и обеспечению горячим питанием учащихся МБОУ ""СШ №27 им. Э.А. Хиля""")</f>
        <v>Оказание услуг по организации горячего питания и обеспечению горячим питанием учащихся МБОУ "СШ №27 им. Э.А. Хиля"</v>
      </c>
      <c r="G9383" s="22" t="s">
        <v>460</v>
      </c>
      <c r="H9383" s="22" t="s">
        <v>461</v>
      </c>
      <c r="I9383" s="26">
        <v>43678.3805671296</v>
      </c>
      <c r="J9383" s="23" t="str">
        <f>HYPERLINK("https://www.spark-marketing.ru/Card/Person/836702", "МУП ""КСП""")</f>
        <v>МУП "КСП"</v>
      </c>
      <c r="K9383" s="24" t="s">
        <v>6532</v>
      </c>
      <c r="L9383" s="22" t="s">
        <v>10</v>
      </c>
      <c r="M9383" s="28" t="s">
        <v>51</v>
      </c>
      <c r="N9383" s="28" t="s">
        <v>51</v>
      </c>
    </row>
    <row r="9384" spans="1:14" x14ac:dyDescent="0.15">
      <c r="A9384" s="23" t="str">
        <f>HYPERLINK("https://www.spark-marketing.ru/Card/Person/67916", "БУ ""НИЖНЕВАРТОВСКИЙ СПЕЦИАЛЬНЫЙ ДОМ-ИНТЕРНАТ""")</f>
        <v>БУ "НИЖНЕВАРТОВСКИЙ СПЕЦИАЛЬНЫЙ ДОМ-ИНТЕРНАТ"</v>
      </c>
      <c r="B9384" s="24" t="s">
        <v>13544</v>
      </c>
      <c r="C9384" s="28" t="s">
        <v>51</v>
      </c>
      <c r="D9384" s="22" t="s">
        <v>13545</v>
      </c>
      <c r="E9384" s="22" t="s">
        <v>51</v>
      </c>
      <c r="F9384" s="23" t="str">
        <f>HYPERLINK("https://www.spark-marketing.ru/Card/Lot/72538327", "Товары, работы или услуги на сумму, не превышающую трехсот тысяч рублей (п. 4 ч. 1 ст. 93 Федерального закона от 05.04.2013 № 44-ФЗ). Поставка компьютерного оборудования (МФУ, ИПБ, монитор, клавиатура, мышь проводная)")</f>
        <v>Товары, работы или услуги на сумму, не превышающую трехсот тысяч рублей (п. 4 ч. 1 ст. 93 Федерального закона от 05.04.2013 № 44-ФЗ). Поставка компьютерного оборудования (МФУ, ИПБ, монитор, клавиатура, мышь проводная)</v>
      </c>
      <c r="G9384" s="22" t="s">
        <v>97</v>
      </c>
      <c r="H9384" s="22" t="s">
        <v>366</v>
      </c>
      <c r="I9384" s="26">
        <v>43678.389583333301</v>
      </c>
      <c r="J9384" s="28" t="s">
        <v>51</v>
      </c>
      <c r="K9384" s="28" t="s">
        <v>51</v>
      </c>
      <c r="L9384" s="28" t="s">
        <v>51</v>
      </c>
      <c r="M9384" s="28" t="s">
        <v>51</v>
      </c>
      <c r="N9384" s="28" t="s">
        <v>51</v>
      </c>
    </row>
    <row r="9385" spans="1:14" x14ac:dyDescent="0.15">
      <c r="A9385" s="23" t="str">
        <f>HYPERLINK("https://www.spark-marketing.ru/Card/Person/118635", "ГБОУ ""ВАСИЛЬЕВСКАЯ КШИ ИМ. ГЕРОЯ СОВЕТСКОГО СОЮЗА Н. ВОЛОСТНОВА""")</f>
        <v>ГБОУ "ВАСИЛЬЕВСКАЯ КШИ ИМ. ГЕРОЯ СОВЕТСКОГО СОЮЗА Н. ВОЛОСТНОВА"</v>
      </c>
      <c r="B9385" s="24" t="s">
        <v>13546</v>
      </c>
      <c r="C9385" s="25">
        <v>3590580</v>
      </c>
      <c r="D9385" s="22" t="s">
        <v>13547</v>
      </c>
      <c r="E9385" s="22" t="s">
        <v>48</v>
      </c>
      <c r="F9385" s="23" t="str">
        <f>HYPERLINK("https://www.spark-marketing.ru/Card/Lot/72543352", "Услуги по организации горячего питания учащихся ГБОУ «Васильевская кадетская школа-интернат имени Героя Советского Союза Николая Волостнова""")</f>
        <v>Услуги по организации горячего питания учащихся ГБОУ «Васильевская кадетская школа-интернат имени Героя Советского Союза Николая Волостнова"</v>
      </c>
      <c r="G9385" s="22" t="s">
        <v>217</v>
      </c>
      <c r="H9385" s="22" t="s">
        <v>8330</v>
      </c>
      <c r="I9385" s="26">
        <v>43678.416076388901</v>
      </c>
      <c r="J9385" s="23" t="str">
        <f>HYPERLINK("https://www.spark-marketing.ru/Card/Person/6084653", "ООО ""ВИТАРА""")</f>
        <v>ООО "ВИТАРА"</v>
      </c>
      <c r="K9385" s="24" t="s">
        <v>2437</v>
      </c>
      <c r="L9385" s="22" t="s">
        <v>10</v>
      </c>
      <c r="M9385" s="28" t="s">
        <v>51</v>
      </c>
      <c r="N9385" s="28" t="s">
        <v>51</v>
      </c>
    </row>
    <row r="9386" spans="1:14" x14ac:dyDescent="0.15">
      <c r="A9386" s="23" t="str">
        <f>HYPERLINK("https://www.spark-marketing.ru/Card/Person/44992", "ГБУЗ НСО ""ГКБ №34""")</f>
        <v>ГБУЗ НСО "ГКБ №34"</v>
      </c>
      <c r="B9386" s="24" t="s">
        <v>751</v>
      </c>
      <c r="C9386" s="25">
        <v>74858322</v>
      </c>
      <c r="D9386" s="22" t="s">
        <v>13548</v>
      </c>
      <c r="E9386" s="22" t="s">
        <v>96</v>
      </c>
      <c r="F9386" s="23" t="str">
        <f>HYPERLINK("https://www.spark-marketing.ru/Card/Lot/72535615", "Оказание услуг по организации лечебного питания (№139)")</f>
        <v>Оказание услуг по организации лечебного питания (№139)</v>
      </c>
      <c r="G9386" s="22" t="s">
        <v>195</v>
      </c>
      <c r="H9386" s="22" t="s">
        <v>196</v>
      </c>
      <c r="I9386" s="26">
        <v>43678.395208333299</v>
      </c>
      <c r="J9386" s="28" t="s">
        <v>51</v>
      </c>
      <c r="K9386" s="28" t="s">
        <v>51</v>
      </c>
      <c r="L9386" s="28" t="s">
        <v>51</v>
      </c>
      <c r="M9386" s="28" t="s">
        <v>51</v>
      </c>
      <c r="N9386" s="28" t="s">
        <v>51</v>
      </c>
    </row>
    <row r="9387" spans="1:14" hidden="1" outlineLevel="1" x14ac:dyDescent="0.2">
      <c r="A9387" s="23" t="str">
        <f>HYPERLINK("https://www.spark-marketing.ru/Card/Person/44992", "ГБУЗ НСО ""ГКБ №34""")</f>
        <v>ГБУЗ НСО "ГКБ №34"</v>
      </c>
      <c r="B9387" s="24" t="s">
        <v>751</v>
      </c>
      <c r="C9387" s="25">
        <v>74858322</v>
      </c>
      <c r="D9387" s="22" t="s">
        <v>13548</v>
      </c>
      <c r="E9387" s="22" t="s">
        <v>96</v>
      </c>
      <c r="F9387" s="23" t="str">
        <f>HYPERLINK("https://www.spark-marketing.ru/Card/Lot/72535615", "Оказание услуг по организации лечебного питания (№139)")</f>
        <v>Оказание услуг по организации лечебного питания (№139)</v>
      </c>
      <c r="G9387" s="22" t="s">
        <v>195</v>
      </c>
      <c r="H9387" s="22" t="s">
        <v>196</v>
      </c>
      <c r="I9387" s="26">
        <v>43678.395208333299</v>
      </c>
      <c r="J9387" s="23" t="str">
        <f>HYPERLINK("https://www.spark-marketing.ru/Card/Person/53779", "ООО ""АЛЛЕГРО БП""")</f>
        <v>ООО "АЛЛЕГРО БП"</v>
      </c>
      <c r="K9387" s="24" t="s">
        <v>2937</v>
      </c>
      <c r="L9387" s="28" t="s">
        <v>51</v>
      </c>
      <c r="M9387" s="25">
        <v>570</v>
      </c>
      <c r="N9387" s="27">
        <v>0.99999238561612425</v>
      </c>
    </row>
    <row r="9388" spans="1:14" hidden="1" outlineLevel="1" x14ac:dyDescent="0.2">
      <c r="A9388" s="23" t="str">
        <f>HYPERLINK("https://www.spark-marketing.ru/Card/Person/44992", "ГБУЗ НСО ""ГКБ №34""")</f>
        <v>ГБУЗ НСО "ГКБ №34"</v>
      </c>
      <c r="B9388" s="24" t="s">
        <v>751</v>
      </c>
      <c r="C9388" s="25">
        <v>74858322</v>
      </c>
      <c r="D9388" s="22" t="s">
        <v>13548</v>
      </c>
      <c r="E9388" s="22" t="s">
        <v>96</v>
      </c>
      <c r="F9388" s="23" t="str">
        <f>HYPERLINK("https://www.spark-marketing.ru/Card/Lot/72535615", "Оказание услуг по организации лечебного питания (№139)")</f>
        <v>Оказание услуг по организации лечебного питания (№139)</v>
      </c>
      <c r="G9388" s="22" t="s">
        <v>195</v>
      </c>
      <c r="H9388" s="22" t="s">
        <v>196</v>
      </c>
      <c r="I9388" s="26">
        <v>43678.395208333299</v>
      </c>
      <c r="J9388" s="23" t="str">
        <f>HYPERLINK("https://www.spark-marketing.ru/Card/Person/1391870", "ООО ""НСК-ПРОДУКТ""")</f>
        <v>ООО "НСК-ПРОДУКТ"</v>
      </c>
      <c r="K9388" s="24" t="s">
        <v>13549</v>
      </c>
      <c r="L9388" s="28" t="s">
        <v>51</v>
      </c>
      <c r="M9388" s="25">
        <v>539.59</v>
      </c>
      <c r="N9388" s="27">
        <v>0.9999927918501833</v>
      </c>
    </row>
    <row r="9389" spans="1:14" hidden="1" outlineLevel="1" x14ac:dyDescent="0.2">
      <c r="A9389" s="23" t="str">
        <f>HYPERLINK("https://www.spark-marketing.ru/Card/Person/44992", "ГБУЗ НСО ""ГКБ №34""")</f>
        <v>ГБУЗ НСО "ГКБ №34"</v>
      </c>
      <c r="B9389" s="24" t="s">
        <v>751</v>
      </c>
      <c r="C9389" s="25">
        <v>74858322</v>
      </c>
      <c r="D9389" s="22" t="s">
        <v>13548</v>
      </c>
      <c r="E9389" s="22" t="s">
        <v>96</v>
      </c>
      <c r="F9389" s="23" t="str">
        <f>HYPERLINK("https://www.spark-marketing.ru/Card/Lot/72535615", "Оказание услуг по организации лечебного питания (№139)")</f>
        <v>Оказание услуг по организации лечебного питания (№139)</v>
      </c>
      <c r="G9389" s="22" t="s">
        <v>195</v>
      </c>
      <c r="H9389" s="22" t="s">
        <v>196</v>
      </c>
      <c r="I9389" s="26">
        <v>43678.395208333299</v>
      </c>
      <c r="J9389" s="23" t="str">
        <f>HYPERLINK("https://www.spark-marketing.ru/Card/Person/6633295", "ООО ""КРИСТЕЛЬ""")</f>
        <v>ООО "КРИСТЕЛЬ"</v>
      </c>
      <c r="K9389" s="24" t="s">
        <v>2792</v>
      </c>
      <c r="L9389" s="28" t="s">
        <v>51</v>
      </c>
      <c r="M9389" s="25">
        <v>530.44000000000005</v>
      </c>
      <c r="N9389" s="27">
        <v>0.99999291408108237</v>
      </c>
    </row>
    <row r="9390" spans="1:14" ht="12.75" hidden="1" outlineLevel="1" x14ac:dyDescent="0.2">
      <c r="A9390" s="23" t="str">
        <f>HYPERLINK("https://www.spark-marketing.ru/Card/Person/44992", "ГБУЗ НСО ""ГКБ №34""")</f>
        <v>ГБУЗ НСО "ГКБ №34"</v>
      </c>
      <c r="B9390" s="24" t="s">
        <v>751</v>
      </c>
      <c r="C9390" s="25">
        <v>74858322</v>
      </c>
      <c r="D9390" s="22" t="s">
        <v>13548</v>
      </c>
      <c r="E9390" s="22" t="s">
        <v>96</v>
      </c>
      <c r="F9390" s="23" t="str">
        <f>HYPERLINK("https://www.spark-marketing.ru/Card/Lot/72535615", "Оказание услуг по организации лечебного питания (№139)")</f>
        <v>Оказание услуг по организации лечебного питания (№139)</v>
      </c>
      <c r="G9390" s="22" t="s">
        <v>195</v>
      </c>
      <c r="H9390" s="22" t="s">
        <v>196</v>
      </c>
      <c r="I9390" s="26">
        <v>43678.395208333299</v>
      </c>
      <c r="J9390" s="23" t="str">
        <f>HYPERLINK("https://www.spark-marketing.ru/Card/Person/1173622", "ООО ""ФОРМУЛА ВКУСА ПЛЮС""")</f>
        <v>ООО "ФОРМУЛА ВКУСА ПЛЮС"</v>
      </c>
      <c r="K9390" s="24" t="s">
        <v>13550</v>
      </c>
      <c r="L9390" s="22" t="s">
        <v>10</v>
      </c>
      <c r="M9390" s="25">
        <v>527.39</v>
      </c>
      <c r="N9390" s="27">
        <v>0.9999929548247154</v>
      </c>
    </row>
    <row r="9391" spans="1:14" x14ac:dyDescent="0.2">
      <c r="A9391" s="23" t="s">
        <v>114</v>
      </c>
      <c r="B9391" s="28" t="s">
        <v>51</v>
      </c>
      <c r="C9391" s="25">
        <v>2563966.23</v>
      </c>
      <c r="D9391" s="22" t="s">
        <v>13551</v>
      </c>
      <c r="E9391" s="22" t="s">
        <v>48</v>
      </c>
      <c r="F9391" s="23" t="str">
        <f>HYPERLINK("https://www.spark-marketing.ru/Card/Lot/72543360", "Оказание услуг по организации горячего питания учащихся")</f>
        <v>Оказание услуг по организации горячего питания учащихся</v>
      </c>
      <c r="G9391" s="22" t="s">
        <v>51</v>
      </c>
      <c r="H9391" s="22" t="s">
        <v>51</v>
      </c>
      <c r="I9391" s="26">
        <v>43678.367361111101</v>
      </c>
      <c r="J9391" s="23" t="str">
        <f>HYPERLINK("https://www.spark-marketing.ru/Card/Person/131072", "ООО ""БАЛТСЕРВИС""")</f>
        <v>ООО "БАЛТСЕРВИС"</v>
      </c>
      <c r="K9391" s="24" t="s">
        <v>13552</v>
      </c>
      <c r="L9391" s="28" t="s">
        <v>51</v>
      </c>
      <c r="M9391" s="25">
        <v>2563966.23</v>
      </c>
      <c r="N9391" s="27">
        <v>0</v>
      </c>
    </row>
    <row r="9392" spans="1:14" hidden="1" outlineLevel="1" x14ac:dyDescent="0.2">
      <c r="A9392" s="23" t="str">
        <f>HYPERLINK("https://www.spark-marketing.ru/Card/Person/115391", "МБОУ ""СОШ № 4 С УИОП СГО""")</f>
        <v>МБОУ "СОШ № 4 С УИОП СГО"</v>
      </c>
      <c r="B9392" s="24" t="s">
        <v>13553</v>
      </c>
      <c r="C9392" s="25">
        <v>1058818.04</v>
      </c>
      <c r="D9392" s="22" t="s">
        <v>13551</v>
      </c>
      <c r="E9392" s="22" t="s">
        <v>48</v>
      </c>
      <c r="F9392" s="23" t="str">
        <f>HYPERLINK("https://www.spark-marketing.ru/Card/Lot/72543360", "Оказание услуг по организации горячего питания учащихся")</f>
        <v>Оказание услуг по организации горячего питания учащихся</v>
      </c>
      <c r="G9392" s="22" t="s">
        <v>400</v>
      </c>
      <c r="H9392" s="22" t="s">
        <v>400</v>
      </c>
      <c r="I9392" s="26">
        <v>43678.367361111101</v>
      </c>
      <c r="J9392" s="23" t="str">
        <f>HYPERLINK("https://www.spark-marketing.ru/Card/Person/131072", "ООО ""БАЛТСЕРВИС""")</f>
        <v>ООО "БАЛТСЕРВИС"</v>
      </c>
      <c r="K9392" s="24" t="s">
        <v>13552</v>
      </c>
      <c r="L9392" s="28" t="s">
        <v>51</v>
      </c>
      <c r="M9392" s="28" t="s">
        <v>51</v>
      </c>
      <c r="N9392" s="27">
        <v>0</v>
      </c>
    </row>
    <row r="9393" spans="1:14" hidden="1" outlineLevel="1" x14ac:dyDescent="0.2">
      <c r="A9393" s="23" t="str">
        <f>HYPERLINK("https://www.spark-marketing.ru/Card/Person/141284", "МБОУ ООШ № 3")</f>
        <v>МБОУ ООШ № 3</v>
      </c>
      <c r="B9393" s="24" t="s">
        <v>13554</v>
      </c>
      <c r="C9393" s="25">
        <v>569455.6</v>
      </c>
      <c r="D9393" s="22" t="s">
        <v>13551</v>
      </c>
      <c r="E9393" s="22" t="s">
        <v>48</v>
      </c>
      <c r="F9393" s="23" t="str">
        <f>HYPERLINK("https://www.spark-marketing.ru/Card/Lot/72543360", "Оказание услуг по организации горячего питания учащихся")</f>
        <v>Оказание услуг по организации горячего питания учащихся</v>
      </c>
      <c r="G9393" s="22" t="s">
        <v>400</v>
      </c>
      <c r="H9393" s="22" t="s">
        <v>400</v>
      </c>
      <c r="I9393" s="26">
        <v>43678.367361111101</v>
      </c>
      <c r="J9393" s="23" t="str">
        <f>HYPERLINK("https://www.spark-marketing.ru/Card/Person/131072", "ООО ""БАЛТСЕРВИС""")</f>
        <v>ООО "БАЛТСЕРВИС"</v>
      </c>
      <c r="K9393" s="24" t="s">
        <v>13552</v>
      </c>
      <c r="L9393" s="28" t="s">
        <v>51</v>
      </c>
      <c r="M9393" s="28" t="s">
        <v>51</v>
      </c>
      <c r="N9393" s="27">
        <v>0</v>
      </c>
    </row>
    <row r="9394" spans="1:14" hidden="1" outlineLevel="1" x14ac:dyDescent="0.2">
      <c r="A9394" s="23" t="str">
        <f>HYPERLINK("https://www.spark-marketing.ru/Card/Person/1027061", "МБОУ ""ООШ № 8""")</f>
        <v>МБОУ "ООШ № 8"</v>
      </c>
      <c r="B9394" s="24" t="s">
        <v>13555</v>
      </c>
      <c r="C9394" s="25">
        <v>935692.59</v>
      </c>
      <c r="D9394" s="22" t="s">
        <v>13551</v>
      </c>
      <c r="E9394" s="22" t="s">
        <v>48</v>
      </c>
      <c r="F9394" s="23" t="str">
        <f>HYPERLINK("https://www.spark-marketing.ru/Card/Lot/72543360", "Оказание услуг по организации горячего питания учащихся")</f>
        <v>Оказание услуг по организации горячего питания учащихся</v>
      </c>
      <c r="G9394" s="22" t="s">
        <v>400</v>
      </c>
      <c r="H9394" s="22" t="s">
        <v>400</v>
      </c>
      <c r="I9394" s="26">
        <v>43678.367361111101</v>
      </c>
      <c r="J9394" s="23" t="str">
        <f>HYPERLINK("https://www.spark-marketing.ru/Card/Person/131072", "ООО ""БАЛТСЕРВИС""")</f>
        <v>ООО "БАЛТСЕРВИС"</v>
      </c>
      <c r="K9394" s="24" t="s">
        <v>13552</v>
      </c>
      <c r="L9394" s="28" t="s">
        <v>51</v>
      </c>
      <c r="M9394" s="28" t="s">
        <v>51</v>
      </c>
      <c r="N9394" s="27">
        <v>0</v>
      </c>
    </row>
    <row r="9395" spans="1:14" x14ac:dyDescent="0.15">
      <c r="A9395" s="23" t="str">
        <f>HYPERLINK("https://www.spark-marketing.ru/Card/Person/60414", "ГБУЗ ПК ""АЛЕКСАНДРОВСКАЯ ЦГБ""")</f>
        <v>ГБУЗ ПК "АЛЕКСАНДРОВСКАЯ ЦГБ"</v>
      </c>
      <c r="B9395" s="24" t="s">
        <v>4133</v>
      </c>
      <c r="C9395" s="25">
        <v>999700</v>
      </c>
      <c r="D9395" s="22" t="s">
        <v>13556</v>
      </c>
      <c r="E9395" s="22" t="s">
        <v>96</v>
      </c>
      <c r="F9395" s="23" t="str">
        <f>HYPERLINK("https://www.spark-marketing.ru/Card/Lot/72538719", "Услуги по организации питания")</f>
        <v>Услуги по организации питания</v>
      </c>
      <c r="G9395" s="22" t="s">
        <v>153</v>
      </c>
      <c r="H9395" s="22" t="s">
        <v>153</v>
      </c>
      <c r="I9395" s="26">
        <v>43678.362685185202</v>
      </c>
      <c r="J9395" s="23" t="str">
        <f>HYPERLINK("https://www.spark-marketing.ru/Card/Person/394951", "ООО ""СЕРВИС""")</f>
        <v>ООО "СЕРВИС"</v>
      </c>
      <c r="K9395" s="24" t="s">
        <v>4135</v>
      </c>
      <c r="L9395" s="22" t="s">
        <v>10</v>
      </c>
      <c r="M9395" s="28" t="s">
        <v>51</v>
      </c>
      <c r="N9395" s="28" t="s">
        <v>51</v>
      </c>
    </row>
    <row r="9396" spans="1:14" x14ac:dyDescent="0.15">
      <c r="A9396" s="23" t="str">
        <f>HYPERLINK("https://www.spark-marketing.ru/Card/Person/13183", "УФССП РОССИИ ПО УДМУРТСКОЙ РЕСПУБЛИКЕ")</f>
        <v>УФССП РОССИИ ПО УДМУРТСКОЙ РЕСПУБЛИКЕ</v>
      </c>
      <c r="B9396" s="24" t="s">
        <v>13557</v>
      </c>
      <c r="C9396" s="25">
        <v>214890</v>
      </c>
      <c r="D9396" s="22" t="s">
        <v>13558</v>
      </c>
      <c r="E9396" s="22" t="s">
        <v>91</v>
      </c>
      <c r="F9396" s="23" t="str">
        <f>HYPERLINK("https://www.spark-marketing.ru/Card/Lot/72536910", "выполнение работ по техническому обслуживанию  и   ремонту многофункциональных устройств и принтеров, системных блоков для нужд Управления Федеральной службы судебных приставов по Удмуртской Республике в 2019 году")</f>
        <v>выполнение работ по техническому обслуживанию  и   ремонту многофункциональных устройств и принтеров, системных блоков для нужд Управления Федеральной службы судебных приставов по Удмуртской Республике в 2019 году</v>
      </c>
      <c r="G9396" s="22" t="s">
        <v>852</v>
      </c>
      <c r="H9396" s="22" t="s">
        <v>852</v>
      </c>
      <c r="I9396" s="26">
        <v>43678.330798611103</v>
      </c>
      <c r="J9396" s="28" t="s">
        <v>51</v>
      </c>
      <c r="K9396" s="28" t="s">
        <v>51</v>
      </c>
      <c r="L9396" s="28" t="s">
        <v>51</v>
      </c>
      <c r="M9396" s="28" t="s">
        <v>51</v>
      </c>
      <c r="N9396" s="28" t="s">
        <v>51</v>
      </c>
    </row>
    <row r="9397" spans="1:14" hidden="1" outlineLevel="1" x14ac:dyDescent="0.2">
      <c r="A9397" s="23" t="str">
        <f>HYPERLINK("https://www.spark-marketing.ru/Card/Person/13183", "УФССП РОССИИ ПО УДМУРТСКОЙ РЕСПУБЛИКЕ")</f>
        <v>УФССП РОССИИ ПО УДМУРТСКОЙ РЕСПУБЛИКЕ</v>
      </c>
      <c r="B9397" s="24" t="s">
        <v>13557</v>
      </c>
      <c r="C9397" s="25">
        <v>214890</v>
      </c>
      <c r="D9397" s="22" t="s">
        <v>13558</v>
      </c>
      <c r="E9397" s="22" t="s">
        <v>91</v>
      </c>
      <c r="F9397" s="23" t="str">
        <f>HYPERLINK("https://www.spark-marketing.ru/Card/Lot/72536910", "выполнение работ по техническому обслуживанию  и   ремонту многофункциональных устройств и принтеров, системных блоков для нужд Управления Федеральной службы судебных приставов по Удмуртской Республике в 2019 году")</f>
        <v>выполнение работ по техническому обслуживанию  и   ремонту многофункциональных устройств и принтеров, системных блоков для нужд Управления Федеральной службы судебных приставов по Удмуртской Республике в 2019 году</v>
      </c>
      <c r="G9397" s="22" t="s">
        <v>852</v>
      </c>
      <c r="H9397" s="22" t="s">
        <v>852</v>
      </c>
      <c r="I9397" s="26">
        <v>43678.330798611103</v>
      </c>
      <c r="J9397" s="23" t="str">
        <f>HYPERLINK("https://www.spark-marketing.ru/Card/Person/120477", "ООО ""ПОЛИФОРТ""")</f>
        <v>ООО "ПОЛИФОРТ"</v>
      </c>
      <c r="K9397" s="24" t="s">
        <v>13559</v>
      </c>
      <c r="L9397" s="28" t="s">
        <v>51</v>
      </c>
      <c r="M9397" s="25">
        <v>558529.48</v>
      </c>
      <c r="N9397" s="27">
        <v>-1.5991413281213644</v>
      </c>
    </row>
    <row r="9398" spans="1:14" ht="12.75" hidden="1" outlineLevel="1" x14ac:dyDescent="0.2">
      <c r="A9398" s="23" t="str">
        <f>HYPERLINK("https://www.spark-marketing.ru/Card/Person/13183", "УФССП РОССИИ ПО УДМУРТСКОЙ РЕСПУБЛИКЕ")</f>
        <v>УФССП РОССИИ ПО УДМУРТСКОЙ РЕСПУБЛИКЕ</v>
      </c>
      <c r="B9398" s="24" t="s">
        <v>13557</v>
      </c>
      <c r="C9398" s="25">
        <v>214890</v>
      </c>
      <c r="D9398" s="22" t="s">
        <v>13558</v>
      </c>
      <c r="E9398" s="22" t="s">
        <v>91</v>
      </c>
      <c r="F9398" s="23" t="str">
        <f>HYPERLINK("https://www.spark-marketing.ru/Card/Lot/72536910", "выполнение работ по техническому обслуживанию  и   ремонту многофункциональных устройств и принтеров, системных блоков для нужд Управления Федеральной службы судебных приставов по Удмуртской Республике в 2019 году")</f>
        <v>выполнение работ по техническому обслуживанию  и   ремонту многофункциональных устройств и принтеров, системных блоков для нужд Управления Федеральной службы судебных приставов по Удмуртской Республике в 2019 году</v>
      </c>
      <c r="G9398" s="22" t="s">
        <v>852</v>
      </c>
      <c r="H9398" s="22" t="s">
        <v>852</v>
      </c>
      <c r="I9398" s="26">
        <v>43678.330798611103</v>
      </c>
      <c r="J9398" s="23" t="str">
        <f>HYPERLINK("https://www.spark-marketing.ru/Card/Person/81451", "ООО ""ИТ-ПРИВОЛЖЬЕ""")</f>
        <v>ООО "ИТ-ПРИВОЛЖЬЕ"</v>
      </c>
      <c r="K9398" s="24" t="s">
        <v>11488</v>
      </c>
      <c r="L9398" s="22" t="s">
        <v>10</v>
      </c>
      <c r="M9398" s="25">
        <v>555722.80000000005</v>
      </c>
      <c r="N9398" s="27">
        <v>-1.5860803201638047</v>
      </c>
    </row>
    <row r="9399" spans="1:14" x14ac:dyDescent="0.15">
      <c r="A9399" s="23" t="str">
        <f>HYPERLINK("https://www.spark-marketing.ru/Card/Person/4348382", "ООО ""ГАЗПРОМ ПИТАНИЕ""")</f>
        <v>ООО "ГАЗПРОМ ПИТАНИЕ"</v>
      </c>
      <c r="B9399" s="24" t="s">
        <v>2869</v>
      </c>
      <c r="C9399" s="25">
        <v>32607</v>
      </c>
      <c r="D9399" s="22" t="s">
        <v>13560</v>
      </c>
      <c r="E9399" s="22" t="s">
        <v>52</v>
      </c>
      <c r="F9399" s="23" t="str">
        <f>HYPERLINK("https://www.spark-marketing.ru/Card/Lot/72534976", "Оказание услуг на проведение медицинского осмотра для нужд филиала ""томское уооп"" ооо ""газпром питание"" г.новосибирск")</f>
        <v>Оказание услуг на проведение медицинского осмотра для нужд филиала "томское уооп" ооо "газпром питание" г.новосибирск</v>
      </c>
      <c r="G9399" s="22" t="s">
        <v>56</v>
      </c>
      <c r="H9399" s="22" t="s">
        <v>56</v>
      </c>
      <c r="I9399" s="26">
        <v>43678.249305555597</v>
      </c>
      <c r="J9399" s="28" t="s">
        <v>51</v>
      </c>
      <c r="K9399" s="28" t="s">
        <v>51</v>
      </c>
      <c r="L9399" s="28" t="s">
        <v>51</v>
      </c>
      <c r="M9399" s="28" t="s">
        <v>51</v>
      </c>
      <c r="N9399" s="28" t="s">
        <v>51</v>
      </c>
    </row>
    <row r="9400" spans="1:14" x14ac:dyDescent="0.15">
      <c r="A9400" s="23" t="str">
        <f>HYPERLINK("https://www.spark-marketing.ru/Card/Person/540172", "ОГАУ ""ФК ""САХАЛИН""")</f>
        <v>ОГАУ "ФК "САХАЛИН"</v>
      </c>
      <c r="B9400" s="24" t="s">
        <v>1416</v>
      </c>
      <c r="C9400" s="25">
        <v>228000</v>
      </c>
      <c r="D9400" s="22" t="s">
        <v>13561</v>
      </c>
      <c r="E9400" s="22" t="s">
        <v>362</v>
      </c>
      <c r="F9400" s="23" t="str">
        <f>HYPERLINK("https://www.spark-marketing.ru/Card/Lot/72538061", "Оказание услуг по организации питания")</f>
        <v>Оказание услуг по организации питания</v>
      </c>
      <c r="G9400" s="22" t="s">
        <v>260</v>
      </c>
      <c r="H9400" s="22" t="s">
        <v>260</v>
      </c>
      <c r="I9400" s="26">
        <v>43678</v>
      </c>
      <c r="J9400" s="28" t="s">
        <v>51</v>
      </c>
      <c r="K9400" s="28" t="s">
        <v>51</v>
      </c>
      <c r="L9400" s="28" t="s">
        <v>51</v>
      </c>
      <c r="M9400" s="28" t="s">
        <v>51</v>
      </c>
      <c r="N9400" s="28" t="s">
        <v>51</v>
      </c>
    </row>
    <row r="9401" spans="1:14" x14ac:dyDescent="0.15">
      <c r="A9401" s="23" t="str">
        <f>HYPERLINK("https://www.spark-marketing.ru/Card/Person/540172", "ОГАУ ""ФК ""САХАЛИН""")</f>
        <v>ОГАУ "ФК "САХАЛИН"</v>
      </c>
      <c r="B9401" s="24" t="s">
        <v>1416</v>
      </c>
      <c r="C9401" s="25">
        <v>420775</v>
      </c>
      <c r="D9401" s="22" t="s">
        <v>13562</v>
      </c>
      <c r="E9401" s="22" t="s">
        <v>1210</v>
      </c>
      <c r="F9401" s="23" t="str">
        <f>HYPERLINK("https://www.spark-marketing.ru/Card/Lot/72538093", "Оказание услуг по организации проживания и питания")</f>
        <v>Оказание услуг по организации проживания и питания</v>
      </c>
      <c r="G9401" s="22" t="s">
        <v>260</v>
      </c>
      <c r="H9401" s="22" t="s">
        <v>260</v>
      </c>
      <c r="I9401" s="26">
        <v>43678</v>
      </c>
      <c r="J9401" s="28" t="s">
        <v>51</v>
      </c>
      <c r="K9401" s="28" t="s">
        <v>51</v>
      </c>
      <c r="L9401" s="28" t="s">
        <v>51</v>
      </c>
      <c r="M9401" s="28" t="s">
        <v>51</v>
      </c>
      <c r="N9401" s="28" t="s">
        <v>51</v>
      </c>
    </row>
    <row r="9402" spans="1:14" x14ac:dyDescent="0.2">
      <c r="A9402" s="23" t="str">
        <f>HYPERLINK("https://www.spark-marketing.ru/Card/Person/1064033", "МДОУ Д/С № 104")</f>
        <v>МДОУ Д/С № 104</v>
      </c>
      <c r="B9402" s="24" t="s">
        <v>2630</v>
      </c>
      <c r="C9402" s="25">
        <v>423618.57</v>
      </c>
      <c r="D9402" s="22" t="s">
        <v>13563</v>
      </c>
      <c r="E9402" s="22" t="s">
        <v>362</v>
      </c>
      <c r="F9402" s="23" t="str">
        <f>HYPERLINK("https://www.spark-marketing.ru/Card/Lot/72554006", "оказание услуг по организации питания детей")</f>
        <v>оказание услуг по организации питания детей</v>
      </c>
      <c r="G9402" s="22" t="s">
        <v>158</v>
      </c>
      <c r="H9402" s="22" t="s">
        <v>158</v>
      </c>
      <c r="I9402" s="26">
        <v>43678</v>
      </c>
      <c r="J9402" s="28" t="s">
        <v>51</v>
      </c>
      <c r="K9402" s="28" t="s">
        <v>51</v>
      </c>
      <c r="L9402" s="22" t="s">
        <v>10</v>
      </c>
      <c r="M9402" s="25">
        <v>423618.57</v>
      </c>
      <c r="N9402" s="27">
        <v>0</v>
      </c>
    </row>
    <row r="9403" spans="1:14" x14ac:dyDescent="0.15">
      <c r="A9403" s="23" t="str">
        <f>HYPERLINK("https://www.spark-marketing.ru/Card/Person/1385117", "ГОАУЗ ""МОЦСВМП""")</f>
        <v>ГОАУЗ "МОЦСВМП"</v>
      </c>
      <c r="B9403" s="24" t="s">
        <v>13564</v>
      </c>
      <c r="C9403" s="25">
        <v>885750</v>
      </c>
      <c r="D9403" s="22" t="s">
        <v>13565</v>
      </c>
      <c r="E9403" s="22" t="s">
        <v>362</v>
      </c>
      <c r="F9403" s="23" t="str">
        <f>HYPERLINK("https://www.spark-marketing.ru/Card/Lot/72547087", "Оказание услуг лечебного питания пациентов круглосуточного стационара")</f>
        <v>Оказание услуг лечебного питания пациентов круглосуточного стационара</v>
      </c>
      <c r="G9403" s="22" t="s">
        <v>340</v>
      </c>
      <c r="H9403" s="22" t="s">
        <v>341</v>
      </c>
      <c r="I9403" s="26">
        <v>43678</v>
      </c>
      <c r="J9403" s="28" t="s">
        <v>51</v>
      </c>
      <c r="K9403" s="28" t="s">
        <v>51</v>
      </c>
      <c r="L9403" s="28" t="s">
        <v>51</v>
      </c>
      <c r="M9403" s="28" t="s">
        <v>51</v>
      </c>
      <c r="N9403" s="28" t="s">
        <v>51</v>
      </c>
    </row>
    <row r="9404" spans="1:14" x14ac:dyDescent="0.2">
      <c r="A9404" s="23" t="str">
        <f>HYPERLINK("https://www.spark-marketing.ru/Card/Person/131145", "ФГУП ""ГРЧЦ""")</f>
        <v>ФГУП "ГРЧЦ"</v>
      </c>
      <c r="B9404" s="24" t="s">
        <v>13566</v>
      </c>
      <c r="C9404" s="25">
        <v>107000</v>
      </c>
      <c r="D9404" s="22" t="s">
        <v>13567</v>
      </c>
      <c r="E9404" s="22" t="s">
        <v>362</v>
      </c>
      <c r="F9404" s="23" t="str">
        <f>HYPERLINK("https://www.spark-marketing.ru/Card/Lot/72542585", "Услуги по организации и предоставлению питания и питьевой водой для работников Заказчика, имеющих аккредитацию в зону предоставления Питания (Столовую) на стадионе «Казань-Арена»")</f>
        <v>Услуги по организации и предоставлению питания и питьевой водой для работников Заказчика, имеющих аккредитацию в зону предоставления Питания (Столовую) на стадионе «Казань-Арена»</v>
      </c>
      <c r="G9404" s="22" t="s">
        <v>217</v>
      </c>
      <c r="H9404" s="22" t="s">
        <v>217</v>
      </c>
      <c r="I9404" s="26">
        <v>43678</v>
      </c>
      <c r="J9404" s="28" t="s">
        <v>51</v>
      </c>
      <c r="K9404" s="28" t="s">
        <v>51</v>
      </c>
      <c r="L9404" s="22" t="s">
        <v>10</v>
      </c>
      <c r="M9404" s="25">
        <v>107000</v>
      </c>
      <c r="N9404" s="27">
        <v>0</v>
      </c>
    </row>
    <row r="9405" spans="1:14" x14ac:dyDescent="0.15">
      <c r="A9405" s="23" t="str">
        <f>HYPERLINK("https://www.spark-marketing.ru/Card/Person/6450322", "ЗАКАЗЧИК РП БЕЛАРУСЬ")</f>
        <v>ЗАКАЗЧИК РП БЕЛАРУСЬ</v>
      </c>
      <c r="B9405" s="28" t="s">
        <v>51</v>
      </c>
      <c r="C9405" s="28" t="s">
        <v>51</v>
      </c>
      <c r="D9405" s="22" t="s">
        <v>13568</v>
      </c>
      <c r="E9405" s="22" t="s">
        <v>52</v>
      </c>
      <c r="F9405" s="23" t="str">
        <f>HYPERLINK("https://www.spark-marketing.ru/Card/Lot/72636720", "Услуги по техническому обслуживанию оборудования объектов общественного питания государственного предприятия «Аква-Минск», согласно техническому заданию")</f>
        <v>Услуги по техническому обслуживанию оборудования объектов общественного питания государственного предприятия «Аква-Минск», согласно техническому заданию</v>
      </c>
      <c r="G9405" s="22" t="s">
        <v>51</v>
      </c>
      <c r="H9405" s="22" t="s">
        <v>51</v>
      </c>
      <c r="I9405" s="26">
        <v>43678</v>
      </c>
      <c r="J9405" s="28" t="s">
        <v>51</v>
      </c>
      <c r="K9405" s="28" t="s">
        <v>51</v>
      </c>
      <c r="L9405" s="28" t="s">
        <v>51</v>
      </c>
      <c r="M9405" s="28" t="s">
        <v>51</v>
      </c>
      <c r="N9405" s="28" t="s">
        <v>51</v>
      </c>
    </row>
    <row r="9406" spans="1:14" x14ac:dyDescent="0.15">
      <c r="A9406" s="23" t="str">
        <f>HYPERLINK("https://www.spark-marketing.ru/Card/Person/4392799", "МАОУ АБАТСКАЯ СОШ № 1")</f>
        <v>МАОУ АБАТСКАЯ СОШ № 1</v>
      </c>
      <c r="B9406" s="24" t="s">
        <v>8434</v>
      </c>
      <c r="C9406" s="25">
        <v>827900</v>
      </c>
      <c r="D9406" s="22" t="s">
        <v>13569</v>
      </c>
      <c r="E9406" s="22" t="s">
        <v>362</v>
      </c>
      <c r="F9406" s="23" t="str">
        <f>HYPERLINK("https://www.spark-marketing.ru/Card/Lot/72547082", "Оказание услуг по организации питания воспитанников дошкольных образовательных учреждений")</f>
        <v>Оказание услуг по организации питания воспитанников дошкольных образовательных учреждений</v>
      </c>
      <c r="G9406" s="22" t="s">
        <v>766</v>
      </c>
      <c r="H9406" s="22" t="s">
        <v>766</v>
      </c>
      <c r="I9406" s="26">
        <v>43678</v>
      </c>
      <c r="J9406" s="28" t="s">
        <v>51</v>
      </c>
      <c r="K9406" s="28" t="s">
        <v>51</v>
      </c>
      <c r="L9406" s="28" t="s">
        <v>51</v>
      </c>
      <c r="M9406" s="28" t="s">
        <v>51</v>
      </c>
      <c r="N9406" s="28" t="s">
        <v>51</v>
      </c>
    </row>
    <row r="9407" spans="1:14" x14ac:dyDescent="0.2">
      <c r="A9407" s="23" t="str">
        <f>HYPERLINK("https://www.spark-marketing.ru/Card/Person/234778", "МДОУ Д/С № 90")</f>
        <v>МДОУ Д/С № 90</v>
      </c>
      <c r="B9407" s="24" t="s">
        <v>2220</v>
      </c>
      <c r="C9407" s="25">
        <v>357140.47999999998</v>
      </c>
      <c r="D9407" s="22" t="s">
        <v>13570</v>
      </c>
      <c r="E9407" s="22" t="s">
        <v>362</v>
      </c>
      <c r="F9407" s="23" t="str">
        <f>HYPERLINK("https://www.spark-marketing.ru/Card/Lot/72538083", "Оказание услуг по организации питания детей")</f>
        <v>Оказание услуг по организации питания детей</v>
      </c>
      <c r="G9407" s="22" t="s">
        <v>158</v>
      </c>
      <c r="H9407" s="22" t="s">
        <v>158</v>
      </c>
      <c r="I9407" s="26">
        <v>43678</v>
      </c>
      <c r="J9407" s="28" t="s">
        <v>51</v>
      </c>
      <c r="K9407" s="28" t="s">
        <v>51</v>
      </c>
      <c r="L9407" s="28" t="s">
        <v>51</v>
      </c>
      <c r="M9407" s="25">
        <v>357140.47999999998</v>
      </c>
      <c r="N9407" s="27">
        <v>0</v>
      </c>
    </row>
    <row r="9408" spans="1:14" x14ac:dyDescent="0.15">
      <c r="A9408" s="23" t="str">
        <f>HYPERLINK("https://www.spark-marketing.ru/Card/Person/17729", "МАРИИНСКИЙ ТЕАТР")</f>
        <v>МАРИИНСКИЙ ТЕАТР</v>
      </c>
      <c r="B9408" s="24" t="s">
        <v>13303</v>
      </c>
      <c r="C9408" s="25">
        <v>400000</v>
      </c>
      <c r="D9408" s="22" t="s">
        <v>13571</v>
      </c>
      <c r="E9408" s="22" t="s">
        <v>562</v>
      </c>
      <c r="F9408" s="23" t="str">
        <f>HYPERLINK("https://www.spark-marketing.ru/Card/Lot/72538089", "Оказание услуг по организации питания артистов и сотрудников Китайского филармонического оркестра в рамках IV Международного Дальневосточного фестиваля «Мариинский» Владивосток в период с 03.08.19. по 08.08.19г. включительно")</f>
        <v>Оказание услуг по организации питания артистов и сотрудников Китайского филармонического оркестра в рамках IV Международного Дальневосточного фестиваля «Мариинский» Владивосток в период с 03.08.19. по 08.08.19г. включительно</v>
      </c>
      <c r="G9408" s="22" t="s">
        <v>543</v>
      </c>
      <c r="H9408" s="22" t="s">
        <v>543</v>
      </c>
      <c r="I9408" s="26">
        <v>43678</v>
      </c>
      <c r="J9408" s="28" t="s">
        <v>51</v>
      </c>
      <c r="K9408" s="28" t="s">
        <v>51</v>
      </c>
      <c r="L9408" s="28" t="s">
        <v>51</v>
      </c>
      <c r="M9408" s="28" t="s">
        <v>51</v>
      </c>
      <c r="N9408" s="28" t="s">
        <v>51</v>
      </c>
    </row>
    <row r="9409" spans="1:14" x14ac:dyDescent="0.2">
      <c r="A9409" s="23" t="str">
        <f>HYPERLINK("https://www.spark-marketing.ru/Card/Person/1379165", "МАОУ НАРО-ФОМИНСКАЯ СОШ №1")</f>
        <v>МАОУ НАРО-ФОМИНСКАЯ СОШ №1</v>
      </c>
      <c r="B9409" s="24" t="s">
        <v>13572</v>
      </c>
      <c r="C9409" s="25">
        <v>1870720</v>
      </c>
      <c r="D9409" s="22" t="s">
        <v>13573</v>
      </c>
      <c r="E9409" s="22" t="s">
        <v>580</v>
      </c>
      <c r="F9409" s="23" t="str">
        <f>HYPERLINK("https://www.spark-marketing.ru/Card/Lot/72547700", "Оказание услуг по организации рационального горячего питания обучающихся муниципального автономного общеобразовательного учреждения Наро-Фоминская средняя общеобразовательная школа №1 на второе полугодие")</f>
        <v>Оказание услуг по организации рационального горячего питания обучающихся муниципального автономного общеобразовательного учреждения Наро-Фоминская средняя общеобразовательная школа №1 на второе полугодие</v>
      </c>
      <c r="G9409" s="22" t="s">
        <v>49</v>
      </c>
      <c r="H9409" s="22" t="s">
        <v>49</v>
      </c>
      <c r="I9409" s="26">
        <v>43678</v>
      </c>
      <c r="J9409" s="28" t="s">
        <v>51</v>
      </c>
      <c r="K9409" s="28" t="s">
        <v>51</v>
      </c>
      <c r="L9409" s="22" t="s">
        <v>10</v>
      </c>
      <c r="M9409" s="25">
        <v>1868350</v>
      </c>
      <c r="N9409" s="27">
        <v>1.266891891891892E-3</v>
      </c>
    </row>
    <row r="9410" spans="1:14" x14ac:dyDescent="0.2">
      <c r="A9410" s="23" t="str">
        <f>HYPERLINK("https://www.spark-marketing.ru/Card/Person/763", "ФГБОУ ВО РНИМУ ИМ. Н.И. ПИРОГОВА МИНЗДРАВА РОССИИ")</f>
        <v>ФГБОУ ВО РНИМУ ИМ. Н.И. ПИРОГОВА МИНЗДРАВА РОССИИ</v>
      </c>
      <c r="B9410" s="24" t="s">
        <v>1375</v>
      </c>
      <c r="C9410" s="25">
        <v>145000</v>
      </c>
      <c r="D9410" s="22" t="s">
        <v>13574</v>
      </c>
      <c r="E9410" s="22" t="s">
        <v>362</v>
      </c>
      <c r="F9410" s="23" t="str">
        <f>HYPERLINK("https://www.spark-marketing.ru/Card/Lot/72552526", "Оказание услуг по организации общественного питания на базе производственно-пищевого комплекса - студенческой столовой")</f>
        <v>Оказание услуг по организации общественного питания на базе производственно-пищевого комплекса - студенческой столовой</v>
      </c>
      <c r="G9410" s="22" t="s">
        <v>56</v>
      </c>
      <c r="H9410" s="22" t="s">
        <v>56</v>
      </c>
      <c r="I9410" s="26">
        <v>43678</v>
      </c>
      <c r="J9410" s="28" t="s">
        <v>51</v>
      </c>
      <c r="K9410" s="28" t="s">
        <v>51</v>
      </c>
      <c r="L9410" s="28" t="s">
        <v>51</v>
      </c>
      <c r="M9410" s="25">
        <v>145000</v>
      </c>
      <c r="N9410" s="27">
        <v>0</v>
      </c>
    </row>
    <row r="9411" spans="1:14" x14ac:dyDescent="0.15">
      <c r="A9411" s="23" t="str">
        <f>HYPERLINK("https://www.spark-marketing.ru/Card/Person/4413841", "ООО ""ГАЗПРОМ ТРАНСГАЗ САМАРА""")</f>
        <v>ООО "ГАЗПРОМ ТРАНСГАЗ САМАРА"</v>
      </c>
      <c r="B9411" s="24" t="s">
        <v>13575</v>
      </c>
      <c r="C9411" s="25">
        <v>92150</v>
      </c>
      <c r="D9411" s="22" t="s">
        <v>13576</v>
      </c>
      <c r="E9411" s="22" t="s">
        <v>362</v>
      </c>
      <c r="F9411" s="23" t="str">
        <f>HYPERLINK("https://www.spark-marketing.ru/Card/Lot/72539075", "Оказание услуг по организации питания при проведении совещания руководителей подразделений корпоративной защиты дочерних обществ и организаций ПАО «Газпром по теме: «Об особенностях деятельности подразделений корпоративной защиты по обеспечению эконо...")</f>
        <v>Оказание услуг по организации питания при проведении совещания руководителей подразделений корпоративной защиты дочерних обществ и организаций ПАО «Газпром по теме: «Об особенностях деятельности подразделений корпоративной защиты по обеспечению эконо...</v>
      </c>
      <c r="G9411" s="22" t="s">
        <v>128</v>
      </c>
      <c r="H9411" s="22" t="s">
        <v>129</v>
      </c>
      <c r="I9411" s="26">
        <v>43678</v>
      </c>
      <c r="J9411" s="28" t="s">
        <v>51</v>
      </c>
      <c r="K9411" s="28" t="s">
        <v>51</v>
      </c>
      <c r="L9411" s="28" t="s">
        <v>51</v>
      </c>
      <c r="M9411" s="28" t="s">
        <v>51</v>
      </c>
      <c r="N9411" s="28" t="s">
        <v>51</v>
      </c>
    </row>
    <row r="9412" spans="1:14" x14ac:dyDescent="0.2">
      <c r="A9412" s="23" t="str">
        <f>HYPERLINK("https://www.spark-marketing.ru/Card/Person/4874743", "ГАУ ВО ""СК ""РОТОР""")</f>
        <v>ГАУ ВО "СК "РОТОР"</v>
      </c>
      <c r="B9412" s="24" t="s">
        <v>1208</v>
      </c>
      <c r="C9412" s="25">
        <v>162800</v>
      </c>
      <c r="D9412" s="22" t="s">
        <v>13577</v>
      </c>
      <c r="E9412" s="22" t="s">
        <v>362</v>
      </c>
      <c r="F9412" s="23" t="str">
        <f>HYPERLINK("https://www.spark-marketing.ru/Card/Lot/72557041", "Услуги по организации питания спортсменов Спортивной школы «Ротор»")</f>
        <v>Услуги по организации питания спортсменов Спортивной школы «Ротор»</v>
      </c>
      <c r="G9412" s="22" t="s">
        <v>158</v>
      </c>
      <c r="H9412" s="22" t="s">
        <v>158</v>
      </c>
      <c r="I9412" s="26">
        <v>43678</v>
      </c>
      <c r="J9412" s="28" t="s">
        <v>51</v>
      </c>
      <c r="K9412" s="28" t="s">
        <v>51</v>
      </c>
      <c r="L9412" s="28" t="s">
        <v>51</v>
      </c>
      <c r="M9412" s="25">
        <v>162800</v>
      </c>
      <c r="N9412" s="27">
        <v>0</v>
      </c>
    </row>
    <row r="9413" spans="1:14" x14ac:dyDescent="0.15">
      <c r="A9413" s="23" t="str">
        <f>HYPERLINK("https://www.spark-marketing.ru/Card/Person/33250", "ФГБОУ ВО ""ВГУ""")</f>
        <v>ФГБОУ ВО "ВГУ"</v>
      </c>
      <c r="B9413" s="24" t="s">
        <v>3566</v>
      </c>
      <c r="C9413" s="25">
        <v>500000</v>
      </c>
      <c r="D9413" s="22" t="s">
        <v>13578</v>
      </c>
      <c r="E9413" s="22" t="s">
        <v>362</v>
      </c>
      <c r="F9413" s="23" t="str">
        <f>HYPERLINK("https://www.spark-marketing.ru/Card/Lot/72555487", "Оказание услуг по организации питания")</f>
        <v>Оказание услуг по организации питания</v>
      </c>
      <c r="G9413" s="22" t="s">
        <v>82</v>
      </c>
      <c r="H9413" s="22" t="s">
        <v>83</v>
      </c>
      <c r="I9413" s="26">
        <v>43678</v>
      </c>
      <c r="J9413" s="28" t="s">
        <v>51</v>
      </c>
      <c r="K9413" s="28" t="s">
        <v>51</v>
      </c>
      <c r="L9413" s="28" t="s">
        <v>51</v>
      </c>
      <c r="M9413" s="28" t="s">
        <v>51</v>
      </c>
      <c r="N9413" s="28" t="s">
        <v>51</v>
      </c>
    </row>
    <row r="9414" spans="1:14" x14ac:dyDescent="0.2">
      <c r="A9414" s="23" t="str">
        <f>HYPERLINK("https://www.spark-marketing.ru/Card/Person/1300016", "ГОАУСОН ""МУРМАНСКИЙ КЦСОН""")</f>
        <v>ГОАУСОН "МУРМАНСКИЙ КЦСОН"</v>
      </c>
      <c r="B9414" s="24" t="s">
        <v>13579</v>
      </c>
      <c r="C9414" s="25">
        <v>403750</v>
      </c>
      <c r="D9414" s="22" t="s">
        <v>13580</v>
      </c>
      <c r="E9414" s="22" t="s">
        <v>580</v>
      </c>
      <c r="F9414" s="23" t="str">
        <f>HYPERLINK("https://www.spark-marketing.ru/Card/Lot/72554002", "Оказание услуг по организации питания получателей услуг социально-реабилитационного отделения граждан пожилого возраста и инвалидов")</f>
        <v>Оказание услуг по организации питания получателей услуг социально-реабилитационного отделения граждан пожилого возраста и инвалидов</v>
      </c>
      <c r="G9414" s="22" t="s">
        <v>340</v>
      </c>
      <c r="H9414" s="22" t="s">
        <v>340</v>
      </c>
      <c r="I9414" s="26">
        <v>43678</v>
      </c>
      <c r="J9414" s="28" t="s">
        <v>51</v>
      </c>
      <c r="K9414" s="28" t="s">
        <v>51</v>
      </c>
      <c r="L9414" s="22" t="s">
        <v>10</v>
      </c>
      <c r="M9414" s="25">
        <v>403750</v>
      </c>
      <c r="N9414" s="27">
        <v>0</v>
      </c>
    </row>
    <row r="9415" spans="1:14" x14ac:dyDescent="0.2">
      <c r="A9415" s="23" t="str">
        <f>HYPERLINK("https://www.spark-marketing.ru/Card/Person/4874743", "ГАУ ВО ""СК ""РОТОР""")</f>
        <v>ГАУ ВО "СК "РОТОР"</v>
      </c>
      <c r="B9415" s="24" t="s">
        <v>1208</v>
      </c>
      <c r="C9415" s="25">
        <v>405000</v>
      </c>
      <c r="D9415" s="22" t="s">
        <v>13581</v>
      </c>
      <c r="E9415" s="22" t="s">
        <v>769</v>
      </c>
      <c r="F9415" s="23" t="str">
        <f>HYPERLINK("https://www.spark-marketing.ru/Card/Lot/72554820", "Услуги по организации проживания и питания в отеле «Xander Hotel» для футбольной команды «Ротор», в период с 09 августа 2019 года по 11 августа 2019 года в городе Томск")</f>
        <v>Услуги по организации проживания и питания в отеле «Xander Hotel» для футбольной команды «Ротор», в период с 09 августа 2019 года по 11 августа 2019 года в городе Томск</v>
      </c>
      <c r="G9415" s="22" t="s">
        <v>149</v>
      </c>
      <c r="H9415" s="22" t="s">
        <v>149</v>
      </c>
      <c r="I9415" s="26">
        <v>43678</v>
      </c>
      <c r="J9415" s="28" t="s">
        <v>51</v>
      </c>
      <c r="K9415" s="28" t="s">
        <v>51</v>
      </c>
      <c r="L9415" s="28" t="s">
        <v>51</v>
      </c>
      <c r="M9415" s="25">
        <v>405000</v>
      </c>
      <c r="N9415" s="27">
        <v>0</v>
      </c>
    </row>
    <row r="9416" spans="1:14" x14ac:dyDescent="0.15">
      <c r="A9416" s="23" t="str">
        <f>HYPERLINK("https://www.spark-marketing.ru/Card/Person/4349420", "МАОУ СОШ № 2""")</f>
        <v>МАОУ СОШ № 2"</v>
      </c>
      <c r="B9416" s="24" t="s">
        <v>13582</v>
      </c>
      <c r="C9416" s="25">
        <v>2693915</v>
      </c>
      <c r="D9416" s="22" t="s">
        <v>13583</v>
      </c>
      <c r="E9416" s="22" t="s">
        <v>362</v>
      </c>
      <c r="F9416" s="23" t="str">
        <f>HYPERLINK("https://www.spark-marketing.ru/Card/Lot/72546589", "Договор оказания услуг по организации питания")</f>
        <v>Договор оказания услуг по организации питания</v>
      </c>
      <c r="G9416" s="22" t="s">
        <v>174</v>
      </c>
      <c r="H9416" s="22" t="s">
        <v>174</v>
      </c>
      <c r="I9416" s="26">
        <v>43678</v>
      </c>
      <c r="J9416" s="28" t="s">
        <v>51</v>
      </c>
      <c r="K9416" s="28" t="s">
        <v>51</v>
      </c>
      <c r="L9416" s="28" t="s">
        <v>51</v>
      </c>
      <c r="M9416" s="28" t="s">
        <v>51</v>
      </c>
      <c r="N9416" s="28" t="s">
        <v>51</v>
      </c>
    </row>
    <row r="9417" spans="1:14" x14ac:dyDescent="0.2">
      <c r="A9417" s="23" t="str">
        <f>HYPERLINK("https://www.spark-marketing.ru/Card/Person/90114", "МАОУ СОШ № 6 Г. ЮЖНО-САХАЛИНСКА")</f>
        <v>МАОУ СОШ № 6 Г. ЮЖНО-САХАЛИНСКА</v>
      </c>
      <c r="B9417" s="24" t="s">
        <v>13584</v>
      </c>
      <c r="C9417" s="25">
        <v>6022090.9100000001</v>
      </c>
      <c r="D9417" s="22" t="s">
        <v>13585</v>
      </c>
      <c r="E9417" s="22" t="s">
        <v>2217</v>
      </c>
      <c r="F9417" s="23" t="str">
        <f>HYPERLINK("https://www.spark-marketing.ru/Card/Lot/72546669", "Оказание услуг МАОУ СОШ № 6 г. Южно-Сахалинска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...")</f>
        <v>Оказание услуг МАОУ СОШ № 6 г. Южно-Сахалинска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...</v>
      </c>
      <c r="G9417" s="22" t="s">
        <v>260</v>
      </c>
      <c r="H9417" s="22" t="s">
        <v>260</v>
      </c>
      <c r="I9417" s="26">
        <v>43678</v>
      </c>
      <c r="J9417" s="28" t="s">
        <v>51</v>
      </c>
      <c r="K9417" s="28" t="s">
        <v>51</v>
      </c>
      <c r="L9417" s="22" t="s">
        <v>10</v>
      </c>
      <c r="M9417" s="25">
        <v>6022090.9100000001</v>
      </c>
      <c r="N9417" s="27">
        <v>0</v>
      </c>
    </row>
    <row r="9418" spans="1:14" x14ac:dyDescent="0.15">
      <c r="A9418" s="23" t="str">
        <f>HYPERLINK("https://www.spark-marketing.ru/Card/Person/4751199", "МАОУ СВЕРДЛОВСКАЯ СОШ № 2")</f>
        <v>МАОУ СВЕРДЛОВСКАЯ СОШ № 2</v>
      </c>
      <c r="B9418" s="24" t="s">
        <v>13586</v>
      </c>
      <c r="C9418" s="25">
        <v>3707024</v>
      </c>
      <c r="D9418" s="22" t="s">
        <v>13587</v>
      </c>
      <c r="E9418" s="22" t="s">
        <v>362</v>
      </c>
      <c r="F9418" s="23" t="str">
        <f>HYPERLINK("https://www.spark-marketing.ru/Card/Lot/72542418", "Оказание услуг по организации горячего питания на базе пищеблока Заказчика")</f>
        <v>Оказание услуг по организации горячего питания на базе пищеблока Заказчика</v>
      </c>
      <c r="G9418" s="22" t="s">
        <v>49</v>
      </c>
      <c r="H9418" s="22" t="s">
        <v>49</v>
      </c>
      <c r="I9418" s="26">
        <v>43678</v>
      </c>
      <c r="J9418" s="28" t="s">
        <v>51</v>
      </c>
      <c r="K9418" s="28" t="s">
        <v>51</v>
      </c>
      <c r="L9418" s="28" t="s">
        <v>51</v>
      </c>
      <c r="M9418" s="28" t="s">
        <v>51</v>
      </c>
      <c r="N9418" s="28" t="s">
        <v>51</v>
      </c>
    </row>
    <row r="9419" spans="1:14" x14ac:dyDescent="0.2">
      <c r="A9419" s="23" t="str">
        <f>HYPERLINK("https://www.spark-marketing.ru/Card/Person/213156", "МУП ""УССУРИЙСК-ЭЛЕКТРОСЕТЬ"" УГО")</f>
        <v>МУП "УССУРИЙСК-ЭЛЕКТРОСЕТЬ" УГО</v>
      </c>
      <c r="B9419" s="24" t="s">
        <v>13588</v>
      </c>
      <c r="C9419" s="25">
        <v>379000</v>
      </c>
      <c r="D9419" s="22" t="s">
        <v>13589</v>
      </c>
      <c r="E9419" s="22" t="s">
        <v>958</v>
      </c>
      <c r="F9419" s="23" t="str">
        <f>HYPERLINK("https://www.spark-marketing.ru/Card/Lot/72533916", "Оказание услуг по проведению сертификации электрической энергии в МУП «Уссурийск-Электросеть» УГО в распределительных электрических сетях 6-10 кВ запитанных от 23 центров питания.")</f>
        <v>Оказание услуг по проведению сертификации электрической энергии в МУП «Уссурийск-Электросеть» УГО в распределительных электрических сетях 6-10 кВ запитанных от 23 центров питания.</v>
      </c>
      <c r="G9419" s="22" t="s">
        <v>543</v>
      </c>
      <c r="H9419" s="22" t="s">
        <v>543</v>
      </c>
      <c r="I9419" s="26">
        <v>43678</v>
      </c>
      <c r="J9419" s="28" t="s">
        <v>51</v>
      </c>
      <c r="K9419" s="28" t="s">
        <v>51</v>
      </c>
      <c r="L9419" s="28" t="s">
        <v>51</v>
      </c>
      <c r="M9419" s="25">
        <v>379000</v>
      </c>
      <c r="N9419" s="27">
        <v>0</v>
      </c>
    </row>
    <row r="9420" spans="1:14" x14ac:dyDescent="0.15">
      <c r="A9420" s="23" t="str">
        <f>HYPERLINK("https://www.spark-marketing.ru/Card/Person/131510", "МБО ДОВО ""ДРУГ ПРИРОДЫ""")</f>
        <v>МБО ДОВО "ДРУГ ПРИРОДЫ"</v>
      </c>
      <c r="B9420" s="24" t="s">
        <v>13590</v>
      </c>
      <c r="C9420" s="25">
        <v>459226.81</v>
      </c>
      <c r="D9420" s="22" t="s">
        <v>13591</v>
      </c>
      <c r="E9420" s="22" t="s">
        <v>362</v>
      </c>
      <c r="F9420" s="23" t="str">
        <f>HYPERLINK("https://www.spark-marketing.ru/Card/Lot/72542812", "Услуга по организации горячего питания")</f>
        <v>Услуга по организации горячего питания</v>
      </c>
      <c r="G9420" s="22" t="s">
        <v>145</v>
      </c>
      <c r="H9420" s="22" t="s">
        <v>145</v>
      </c>
      <c r="I9420" s="26">
        <v>43678</v>
      </c>
      <c r="J9420" s="28" t="s">
        <v>51</v>
      </c>
      <c r="K9420" s="28" t="s">
        <v>51</v>
      </c>
      <c r="L9420" s="28" t="s">
        <v>51</v>
      </c>
      <c r="M9420" s="28" t="s">
        <v>51</v>
      </c>
      <c r="N9420" s="28" t="s">
        <v>51</v>
      </c>
    </row>
    <row r="9421" spans="1:14" x14ac:dyDescent="0.15">
      <c r="A9421" s="23" t="str">
        <f>HYPERLINK("https://www.spark-marketing.ru/Card/Person/19170", "МАОУ СОШ № 6 Г. ХОЛМСКА")</f>
        <v>МАОУ СОШ № 6 Г. ХОЛМСКА</v>
      </c>
      <c r="B9421" s="24" t="s">
        <v>13592</v>
      </c>
      <c r="C9421" s="25">
        <v>1825720</v>
      </c>
      <c r="D9421" s="22" t="s">
        <v>13593</v>
      </c>
      <c r="E9421" s="22" t="s">
        <v>362</v>
      </c>
      <c r="F9421" s="23" t="str">
        <f>HYPERLINK("https://www.spark-marketing.ru/Card/Lot/72534112", "Организация комплекса услуг по организации горячего питания")</f>
        <v>Организация комплекса услуг по организации горячего питания</v>
      </c>
      <c r="G9421" s="22" t="s">
        <v>260</v>
      </c>
      <c r="H9421" s="22" t="s">
        <v>260</v>
      </c>
      <c r="I9421" s="26">
        <v>43678</v>
      </c>
      <c r="J9421" s="28" t="s">
        <v>51</v>
      </c>
      <c r="K9421" s="28" t="s">
        <v>51</v>
      </c>
      <c r="L9421" s="28" t="s">
        <v>51</v>
      </c>
      <c r="M9421" s="28" t="s">
        <v>51</v>
      </c>
      <c r="N9421" s="28" t="s">
        <v>51</v>
      </c>
    </row>
    <row r="9422" spans="1:14" x14ac:dyDescent="0.2">
      <c r="A9422" s="23" t="str">
        <f>HYPERLINK("https://www.spark-marketing.ru/Card/Person/1516700", "МАОУ АПРЕЛЕВСКАЯ СОШ №4")</f>
        <v>МАОУ АПРЕЛЕВСКАЯ СОШ №4</v>
      </c>
      <c r="B9422" s="24" t="s">
        <v>13594</v>
      </c>
      <c r="C9422" s="25">
        <v>1402645</v>
      </c>
      <c r="D9422" s="22" t="s">
        <v>13595</v>
      </c>
      <c r="E9422" s="22" t="s">
        <v>2217</v>
      </c>
      <c r="F9422" s="23" t="str">
        <f>HYPERLINK("https://www.spark-marketing.ru/Card/Lot/72547471", "Оказание услуг по организации рационального горячего питания обучающихся муниципального автономного общеобразовательного учреждения Апрелевская средняя общеобразовательная школа №4 на второе полугодие")</f>
        <v>Оказание услуг по организации рационального горячего питания обучающихся муниципального автономного общеобразовательного учреждения Апрелевская средняя общеобразовательная школа №4 на второе полугодие</v>
      </c>
      <c r="G9422" s="22" t="s">
        <v>49</v>
      </c>
      <c r="H9422" s="22" t="s">
        <v>49</v>
      </c>
      <c r="I9422" s="26">
        <v>43678</v>
      </c>
      <c r="J9422" s="28" t="s">
        <v>51</v>
      </c>
      <c r="K9422" s="28" t="s">
        <v>51</v>
      </c>
      <c r="L9422" s="22" t="s">
        <v>10</v>
      </c>
      <c r="M9422" s="25">
        <v>1401017.6</v>
      </c>
      <c r="N9422" s="27">
        <v>1.1602365530836384E-3</v>
      </c>
    </row>
    <row r="9423" spans="1:14" x14ac:dyDescent="0.15">
      <c r="A9423" s="23" t="str">
        <f>HYPERLINK("https://www.spark-marketing.ru/Card/Person/4392799", "МАОУ АБАТСКАЯ СОШ № 1")</f>
        <v>МАОУ АБАТСКАЯ СОШ № 1</v>
      </c>
      <c r="B9423" s="24" t="s">
        <v>8434</v>
      </c>
      <c r="C9423" s="25">
        <v>2885356.2</v>
      </c>
      <c r="D9423" s="22" t="s">
        <v>13596</v>
      </c>
      <c r="E9423" s="22" t="s">
        <v>362</v>
      </c>
      <c r="F9423" s="23" t="str">
        <f>HYPERLINK("https://www.spark-marketing.ru/Card/Lot/72547130", "Оказание услуг по организации горячего питания обучающихся")</f>
        <v>Оказание услуг по организации горячего питания обучающихся</v>
      </c>
      <c r="G9423" s="22" t="s">
        <v>766</v>
      </c>
      <c r="H9423" s="22" t="s">
        <v>766</v>
      </c>
      <c r="I9423" s="26">
        <v>43678</v>
      </c>
      <c r="J9423" s="28" t="s">
        <v>51</v>
      </c>
      <c r="K9423" s="28" t="s">
        <v>51</v>
      </c>
      <c r="L9423" s="28" t="s">
        <v>51</v>
      </c>
      <c r="M9423" s="28" t="s">
        <v>51</v>
      </c>
      <c r="N9423" s="28" t="s">
        <v>51</v>
      </c>
    </row>
    <row r="9424" spans="1:14" x14ac:dyDescent="0.15">
      <c r="A9424" s="23" t="str">
        <f>HYPERLINK("https://www.spark-marketing.ru/Card/Person/57625", "ГАУ РС (Я) ""МЦ Г. ЯКУТСКА""")</f>
        <v>ГАУ РС (Я) "МЦ Г. ЯКУТСКА"</v>
      </c>
      <c r="B9424" s="24" t="s">
        <v>13597</v>
      </c>
      <c r="C9424" s="25">
        <v>750000</v>
      </c>
      <c r="D9424" s="22" t="s">
        <v>13598</v>
      </c>
      <c r="E9424" s="22" t="s">
        <v>580</v>
      </c>
      <c r="F9424" s="23" t="str">
        <f>HYPERLINK("https://www.spark-marketing.ru/Card/Lot/72533919", "Оказание услуги по обеспечению 3-х разовым диетическим питанием больных, находящихся на стационарном лечении")</f>
        <v>Оказание услуги по обеспечению 3-х разовым диетическим питанием больных, находящихся на стационарном лечении</v>
      </c>
      <c r="G9424" s="22" t="s">
        <v>241</v>
      </c>
      <c r="H9424" s="22" t="s">
        <v>241</v>
      </c>
      <c r="I9424" s="26">
        <v>43678</v>
      </c>
      <c r="J9424" s="28" t="s">
        <v>51</v>
      </c>
      <c r="K9424" s="28" t="s">
        <v>51</v>
      </c>
      <c r="L9424" s="28" t="s">
        <v>51</v>
      </c>
      <c r="M9424" s="28" t="s">
        <v>51</v>
      </c>
      <c r="N9424" s="28" t="s">
        <v>51</v>
      </c>
    </row>
    <row r="9425" spans="1:14" x14ac:dyDescent="0.15">
      <c r="A9425" s="23" t="str">
        <f>HYPERLINK("https://www.spark-marketing.ru/Card/Person/4372058", "МАДОУ - ДЕТСКИЙ САД №3 ""ТРЕТЬЕ КОРОЛЕВСТВО""")</f>
        <v>МАДОУ - ДЕТСКИЙ САД №3 "ТРЕТЬЕ КОРОЛЕВСТВО"</v>
      </c>
      <c r="B9425" s="24" t="s">
        <v>2247</v>
      </c>
      <c r="C9425" s="25">
        <v>450000</v>
      </c>
      <c r="D9425" s="22" t="s">
        <v>13599</v>
      </c>
      <c r="E9425" s="22" t="s">
        <v>362</v>
      </c>
      <c r="F9425" s="23" t="str">
        <f>HYPERLINK("https://www.spark-marketing.ru/Card/Lot/72541337", "Услуги по организации детского питания")</f>
        <v>Услуги по организации детского питания</v>
      </c>
      <c r="G9425" s="22" t="s">
        <v>174</v>
      </c>
      <c r="H9425" s="22" t="s">
        <v>174</v>
      </c>
      <c r="I9425" s="26">
        <v>43678</v>
      </c>
      <c r="J9425" s="28" t="s">
        <v>51</v>
      </c>
      <c r="K9425" s="28" t="s">
        <v>51</v>
      </c>
      <c r="L9425" s="28" t="s">
        <v>51</v>
      </c>
      <c r="M9425" s="28" t="s">
        <v>51</v>
      </c>
      <c r="N9425" s="28" t="s">
        <v>51</v>
      </c>
    </row>
    <row r="9426" spans="1:14" x14ac:dyDescent="0.15">
      <c r="A9426" s="23" t="str">
        <f>HYPERLINK("https://www.spark-marketing.ru/Card/Person/34578", "ФГБОУ ВО ""КГЭУ"",КГЭУ,КАЗАНСКИЙ ГОСУДАРСТВЕННЫЙ ЭНЕРГЕТИЧЕСКИЙ УНИВЕРСИТЕТ""")</f>
        <v>ФГБОУ ВО "КГЭУ",КГЭУ,КАЗАНСКИЙ ГОСУДАРСТВЕННЫЙ ЭНЕРГЕТИЧЕСКИЙ УНИВЕРСИТЕТ"</v>
      </c>
      <c r="B9426" s="24" t="s">
        <v>935</v>
      </c>
      <c r="C9426" s="25">
        <v>4999935.0999999996</v>
      </c>
      <c r="D9426" s="22" t="s">
        <v>13600</v>
      </c>
      <c r="E9426" s="22" t="s">
        <v>362</v>
      </c>
      <c r="F9426" s="23" t="str">
        <f>HYPERLINK("https://www.spark-marketing.ru/Card/Lot/72559085", "Услуги по организации питания и обслуживания на мероприятиях")</f>
        <v>Услуги по организации питания и обслуживания на мероприятиях</v>
      </c>
      <c r="G9426" s="22" t="s">
        <v>217</v>
      </c>
      <c r="H9426" s="22" t="s">
        <v>937</v>
      </c>
      <c r="I9426" s="26">
        <v>43678</v>
      </c>
      <c r="J9426" s="28" t="s">
        <v>51</v>
      </c>
      <c r="K9426" s="28" t="s">
        <v>51</v>
      </c>
      <c r="L9426" s="28" t="s">
        <v>51</v>
      </c>
      <c r="M9426" s="28" t="s">
        <v>51</v>
      </c>
      <c r="N9426" s="28" t="s">
        <v>51</v>
      </c>
    </row>
    <row r="9427" spans="1:14" x14ac:dyDescent="0.15">
      <c r="A9427" s="23" t="str">
        <f>HYPERLINK("https://www.spark-marketing.ru/Card/Person/19170", "МАОУ СОШ № 6 Г. ХОЛМСКА")</f>
        <v>МАОУ СОШ № 6 Г. ХОЛМСКА</v>
      </c>
      <c r="B9427" s="24" t="s">
        <v>13592</v>
      </c>
      <c r="C9427" s="25">
        <v>252330</v>
      </c>
      <c r="D9427" s="22" t="s">
        <v>13601</v>
      </c>
      <c r="E9427" s="22" t="s">
        <v>362</v>
      </c>
      <c r="F9427" s="23" t="str">
        <f>HYPERLINK("https://www.spark-marketing.ru/Card/Lot/72534138", "Организация комплекса услуг по организации горячего питания")</f>
        <v>Организация комплекса услуг по организации горячего питания</v>
      </c>
      <c r="G9427" s="22" t="s">
        <v>260</v>
      </c>
      <c r="H9427" s="22" t="s">
        <v>260</v>
      </c>
      <c r="I9427" s="26">
        <v>43678</v>
      </c>
      <c r="J9427" s="28" t="s">
        <v>51</v>
      </c>
      <c r="K9427" s="28" t="s">
        <v>51</v>
      </c>
      <c r="L9427" s="28" t="s">
        <v>51</v>
      </c>
      <c r="M9427" s="28" t="s">
        <v>51</v>
      </c>
      <c r="N9427" s="28" t="s">
        <v>51</v>
      </c>
    </row>
    <row r="9428" spans="1:14" x14ac:dyDescent="0.2">
      <c r="A9428" s="23" t="str">
        <f>HYPERLINK("https://www.spark-marketing.ru/Card/Person/4434585", "МАОУ АБАТСКАЯ СОШ № 2")</f>
        <v>МАОУ АБАТСКАЯ СОШ № 2</v>
      </c>
      <c r="B9428" s="24" t="s">
        <v>13291</v>
      </c>
      <c r="C9428" s="25">
        <v>660338</v>
      </c>
      <c r="D9428" s="22" t="s">
        <v>13602</v>
      </c>
      <c r="E9428" s="22" t="s">
        <v>362</v>
      </c>
      <c r="F9428" s="23" t="str">
        <f>HYPERLINK("https://www.spark-marketing.ru/Card/Lot/72539044", "Оказание услуг по организации питания воспитанников дошкольных образовательных учреждений")</f>
        <v>Оказание услуг по организации питания воспитанников дошкольных образовательных учреждений</v>
      </c>
      <c r="G9428" s="22" t="s">
        <v>766</v>
      </c>
      <c r="H9428" s="22" t="s">
        <v>13293</v>
      </c>
      <c r="I9428" s="26">
        <v>43678</v>
      </c>
      <c r="J9428" s="28" t="s">
        <v>51</v>
      </c>
      <c r="K9428" s="28" t="s">
        <v>51</v>
      </c>
      <c r="L9428" s="22" t="s">
        <v>10</v>
      </c>
      <c r="M9428" s="25">
        <v>660338</v>
      </c>
      <c r="N9428" s="27">
        <v>0</v>
      </c>
    </row>
    <row r="9429" spans="1:14" x14ac:dyDescent="0.2">
      <c r="A9429" s="23" t="str">
        <f>HYPERLINK("https://www.spark-marketing.ru/Card/Person/1761682", "МАДОУ №12 ""БЕРЁЗКА""")</f>
        <v>МАДОУ №12 "БЕРЁЗКА"</v>
      </c>
      <c r="B9429" s="24" t="s">
        <v>13603</v>
      </c>
      <c r="C9429" s="25">
        <v>2908100</v>
      </c>
      <c r="D9429" s="22" t="s">
        <v>13604</v>
      </c>
      <c r="E9429" s="22" t="s">
        <v>362</v>
      </c>
      <c r="F9429" s="23" t="str">
        <f>HYPERLINK("https://www.spark-marketing.ru/Card/Lot/72541473", "оказание услуг по организации горячего рационального питания воспитанников МАДОУ №12 """"Берёзка""""")</f>
        <v>оказание услуг по организации горячего рационального питания воспитанников МАДОУ №12 ""Берёзка""</v>
      </c>
      <c r="G9429" s="22" t="s">
        <v>49</v>
      </c>
      <c r="H9429" s="22" t="s">
        <v>49</v>
      </c>
      <c r="I9429" s="26">
        <v>43678</v>
      </c>
      <c r="J9429" s="28" t="s">
        <v>51</v>
      </c>
      <c r="K9429" s="28" t="s">
        <v>51</v>
      </c>
      <c r="L9429" s="28" t="s">
        <v>51</v>
      </c>
      <c r="M9429" s="25">
        <v>2908100</v>
      </c>
      <c r="N9429" s="27">
        <v>0</v>
      </c>
    </row>
    <row r="9430" spans="1:14" x14ac:dyDescent="0.15">
      <c r="A9430" s="23" t="str">
        <f>HYPERLINK("https://www.spark-marketing.ru/Card/Person/656617", "ОГБУ ДО ""МОСТ""")</f>
        <v>ОГБУ ДО "МОСТ"</v>
      </c>
      <c r="B9430" s="24" t="s">
        <v>13605</v>
      </c>
      <c r="C9430" s="25">
        <v>170100</v>
      </c>
      <c r="D9430" s="22" t="s">
        <v>13606</v>
      </c>
      <c r="E9430" s="22" t="s">
        <v>580</v>
      </c>
      <c r="F9430" s="23" t="str">
        <f>HYPERLINK("https://www.spark-marketing.ru/Card/Lot/72538050", "Оказание услуг по организации питания лагеря с дневным пребыванием детей «Добрые соседи» 3 смена")</f>
        <v>Оказание услуг по организации питания лагеря с дневным пребыванием детей «Добрые соседи» 3 смена</v>
      </c>
      <c r="G9430" s="22" t="s">
        <v>4451</v>
      </c>
      <c r="H9430" s="22" t="s">
        <v>4451</v>
      </c>
      <c r="I9430" s="26">
        <v>43678</v>
      </c>
      <c r="J9430" s="28" t="s">
        <v>51</v>
      </c>
      <c r="K9430" s="28" t="s">
        <v>51</v>
      </c>
      <c r="L9430" s="28" t="s">
        <v>51</v>
      </c>
      <c r="M9430" s="28" t="s">
        <v>51</v>
      </c>
      <c r="N9430" s="28" t="s">
        <v>51</v>
      </c>
    </row>
    <row r="9431" spans="1:14" x14ac:dyDescent="0.15">
      <c r="A9431" s="23" t="str">
        <f>HYPERLINK("https://www.spark-marketing.ru/Card/Person/65776", "ГБУСО ""САНАТОРИЙ ""ПОВОЛЖЬЕ""")</f>
        <v>ГБУСО "САНАТОРИЙ "ПОВОЛЖЬЕ"</v>
      </c>
      <c r="B9431" s="24" t="s">
        <v>13607</v>
      </c>
      <c r="C9431" s="25">
        <v>5040000</v>
      </c>
      <c r="D9431" s="22" t="s">
        <v>13608</v>
      </c>
      <c r="E9431" s="22" t="s">
        <v>2273</v>
      </c>
      <c r="F9431" s="23" t="str">
        <f>HYPERLINK("https://www.spark-marketing.ru/Card/Lot/72544831", "Оказание услуг по приготовлению диетического лечебного питания для нужд ГБУ СО ''Санаторий ''Поволжье''")</f>
        <v>Оказание услуг по приготовлению диетического лечебного питания для нужд ГБУ СО ''Санаторий ''Поволжье''</v>
      </c>
      <c r="G9431" s="22" t="s">
        <v>128</v>
      </c>
      <c r="H9431" s="22" t="s">
        <v>129</v>
      </c>
      <c r="I9431" s="26">
        <v>43678</v>
      </c>
      <c r="J9431" s="28" t="s">
        <v>51</v>
      </c>
      <c r="K9431" s="28" t="s">
        <v>51</v>
      </c>
      <c r="L9431" s="28" t="s">
        <v>51</v>
      </c>
      <c r="M9431" s="28" t="s">
        <v>51</v>
      </c>
      <c r="N9431" s="28" t="s">
        <v>51</v>
      </c>
    </row>
    <row r="9432" spans="1:14" x14ac:dyDescent="0.2">
      <c r="A9432" s="23" t="str">
        <f>HYPERLINK("https://www.spark-marketing.ru/Card/Person/131145", "ФГУП ""ГРЧЦ""")</f>
        <v>ФГУП "ГРЧЦ"</v>
      </c>
      <c r="B9432" s="24" t="s">
        <v>13566</v>
      </c>
      <c r="C9432" s="25">
        <v>141100</v>
      </c>
      <c r="D9432" s="22" t="s">
        <v>13609</v>
      </c>
      <c r="E9432" s="22" t="s">
        <v>362</v>
      </c>
      <c r="F9432" s="23" t="str">
        <f>HYPERLINK("https://www.spark-marketing.ru/Card/Lot/72542600", "Услуги по организации и предоставлению питания и питьевой водой для работников Заказчика, имеющих аккредитацию в зону предоставления Питания (Столовую) МВЦ «Казань-Экспо».")</f>
        <v>Услуги по организации и предоставлению питания и питьевой водой для работников Заказчика, имеющих аккредитацию в зону предоставления Питания (Столовую) МВЦ «Казань-Экспо».</v>
      </c>
      <c r="G9432" s="22" t="s">
        <v>217</v>
      </c>
      <c r="H9432" s="22" t="s">
        <v>217</v>
      </c>
      <c r="I9432" s="26">
        <v>43678</v>
      </c>
      <c r="J9432" s="28" t="s">
        <v>51</v>
      </c>
      <c r="K9432" s="28" t="s">
        <v>51</v>
      </c>
      <c r="L9432" s="22" t="s">
        <v>10</v>
      </c>
      <c r="M9432" s="25">
        <v>141100</v>
      </c>
      <c r="N9432" s="27">
        <v>0</v>
      </c>
    </row>
    <row r="9433" spans="1:14" x14ac:dyDescent="0.15">
      <c r="A9433" s="23" t="str">
        <f>HYPERLINK("https://www.spark-marketing.ru/Card/Person/1176184", "МАОУ СОШ № 2")</f>
        <v>МАОУ СОШ № 2</v>
      </c>
      <c r="B9433" s="24" t="s">
        <v>13610</v>
      </c>
      <c r="C9433" s="25">
        <v>414560.02</v>
      </c>
      <c r="D9433" s="22" t="s">
        <v>13611</v>
      </c>
      <c r="E9433" s="22" t="s">
        <v>362</v>
      </c>
      <c r="F9433" s="23" t="str">
        <f>HYPERLINK("https://www.spark-marketing.ru/Card/Lot/72554004", "Оказание услуг по организации горячего питания школьников")</f>
        <v>Оказание услуг по организации горячего питания школьников</v>
      </c>
      <c r="G9433" s="22" t="s">
        <v>400</v>
      </c>
      <c r="H9433" s="22" t="s">
        <v>400</v>
      </c>
      <c r="I9433" s="26">
        <v>43678</v>
      </c>
      <c r="J9433" s="28" t="s">
        <v>51</v>
      </c>
      <c r="K9433" s="28" t="s">
        <v>51</v>
      </c>
      <c r="L9433" s="28" t="s">
        <v>51</v>
      </c>
      <c r="M9433" s="28" t="s">
        <v>51</v>
      </c>
      <c r="N9433" s="28" t="s">
        <v>51</v>
      </c>
    </row>
    <row r="9434" spans="1:14" x14ac:dyDescent="0.2">
      <c r="A9434" s="23" t="str">
        <f>HYPERLINK("https://www.spark-marketing.ru/Card/Person/130443", "МАУ ""МОТОДОМ""")</f>
        <v>МАУ "МОТОДОМ"</v>
      </c>
      <c r="B9434" s="24" t="s">
        <v>13612</v>
      </c>
      <c r="C9434" s="25">
        <v>258435</v>
      </c>
      <c r="D9434" s="22" t="s">
        <v>13613</v>
      </c>
      <c r="E9434" s="22" t="s">
        <v>580</v>
      </c>
      <c r="F9434" s="23" t="str">
        <f>HYPERLINK("https://www.spark-marketing.ru/Card/Lot/72558923", "услуги общественного питания")</f>
        <v>услуги общественного питания</v>
      </c>
      <c r="G9434" s="22" t="s">
        <v>174</v>
      </c>
      <c r="H9434" s="22" t="s">
        <v>174</v>
      </c>
      <c r="I9434" s="26">
        <v>43678</v>
      </c>
      <c r="J9434" s="28" t="s">
        <v>51</v>
      </c>
      <c r="K9434" s="28" t="s">
        <v>51</v>
      </c>
      <c r="L9434" s="22" t="s">
        <v>10</v>
      </c>
      <c r="M9434" s="25">
        <v>258435</v>
      </c>
      <c r="N9434" s="27">
        <v>0</v>
      </c>
    </row>
    <row r="9435" spans="1:14" x14ac:dyDescent="0.2">
      <c r="A9435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9435" s="24" t="s">
        <v>6649</v>
      </c>
      <c r="C9435" s="25">
        <v>2993800</v>
      </c>
      <c r="D9435" s="22" t="s">
        <v>13614</v>
      </c>
      <c r="E9435" s="22" t="s">
        <v>952</v>
      </c>
      <c r="F9435" s="23" t="str">
        <f>HYPERLINK("https://www.spark-marketing.ru/Card/Lot/72552508", "Оказание услуг по организации общественного питания в ФГАУ ""Санаторий ФССП России ""Зелёная долина""")</f>
        <v>Оказание услуг по организации общественного питания в ФГАУ "Санаторий ФССП России "Зелёная долина"</v>
      </c>
      <c r="G9435" s="22" t="s">
        <v>104</v>
      </c>
      <c r="H9435" s="22" t="s">
        <v>104</v>
      </c>
      <c r="I9435" s="26">
        <v>43678</v>
      </c>
      <c r="J9435" s="28" t="s">
        <v>51</v>
      </c>
      <c r="K9435" s="28" t="s">
        <v>51</v>
      </c>
      <c r="L9435" s="22" t="s">
        <v>10</v>
      </c>
      <c r="M9435" s="25">
        <v>2993800</v>
      </c>
      <c r="N9435" s="27">
        <v>0</v>
      </c>
    </row>
    <row r="9436" spans="1:14" x14ac:dyDescent="0.15">
      <c r="A9436" s="23" t="str">
        <f>HYPERLINK("https://www.spark-marketing.ru/Card/Person/28654", "ОГБУЗ ""ИГБ № 7""")</f>
        <v>ОГБУЗ "ИГБ № 7"</v>
      </c>
      <c r="B9436" s="24" t="s">
        <v>11342</v>
      </c>
      <c r="C9436" s="25">
        <v>179852.55</v>
      </c>
      <c r="D9436" s="22" t="s">
        <v>13615</v>
      </c>
      <c r="E9436" s="22" t="s">
        <v>48</v>
      </c>
      <c r="F9436" s="23" t="str">
        <f>HYPERLINK("https://www.spark-marketing.ru/Card/Lot/72536886", "Оказание услуг по организации общественного питания")</f>
        <v>Оказание услуг по организации общественного питания</v>
      </c>
      <c r="G9436" s="22" t="s">
        <v>263</v>
      </c>
      <c r="H9436" s="22" t="s">
        <v>2768</v>
      </c>
      <c r="I9436" s="26">
        <v>43677.862523148098</v>
      </c>
      <c r="J9436" s="28" t="s">
        <v>51</v>
      </c>
      <c r="K9436" s="28" t="s">
        <v>51</v>
      </c>
      <c r="L9436" s="28" t="s">
        <v>51</v>
      </c>
      <c r="M9436" s="28" t="s">
        <v>51</v>
      </c>
      <c r="N9436" s="28" t="s">
        <v>51</v>
      </c>
    </row>
    <row r="9437" spans="1:14" x14ac:dyDescent="0.15">
      <c r="A9437" s="23" t="str">
        <f>HYPERLINK("https://www.spark-marketing.ru/Card/Person/59046", "ДЕТСКИЙ САД №9")</f>
        <v>ДЕТСКИЙ САД №9</v>
      </c>
      <c r="B9437" s="24" t="s">
        <v>13616</v>
      </c>
      <c r="C9437" s="25">
        <v>1882614</v>
      </c>
      <c r="D9437" s="22" t="s">
        <v>13617</v>
      </c>
      <c r="E9437" s="22" t="s">
        <v>48</v>
      </c>
      <c r="F9437" s="23" t="str">
        <f>HYPERLINK("https://www.spark-marketing.ru/Card/Lot/72530005",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437" s="22" t="s">
        <v>49</v>
      </c>
      <c r="H9437" s="22" t="s">
        <v>6942</v>
      </c>
      <c r="I9437" s="26">
        <v>43677.848055555602</v>
      </c>
      <c r="J9437" s="28" t="s">
        <v>51</v>
      </c>
      <c r="K9437" s="28" t="s">
        <v>51</v>
      </c>
      <c r="L9437" s="28" t="s">
        <v>51</v>
      </c>
      <c r="M9437" s="28" t="s">
        <v>51</v>
      </c>
      <c r="N9437" s="28" t="s">
        <v>51</v>
      </c>
    </row>
    <row r="9438" spans="1:14" ht="12.75" hidden="1" outlineLevel="1" x14ac:dyDescent="0.2">
      <c r="A9438" s="23" t="str">
        <f>HYPERLINK("https://www.spark-marketing.ru/Card/Person/59046", "ДЕТСКИЙ САД №9")</f>
        <v>ДЕТСКИЙ САД №9</v>
      </c>
      <c r="B9438" s="24" t="s">
        <v>13616</v>
      </c>
      <c r="C9438" s="25">
        <v>1882614</v>
      </c>
      <c r="D9438" s="22" t="s">
        <v>13617</v>
      </c>
      <c r="E9438" s="22" t="s">
        <v>48</v>
      </c>
      <c r="F9438" s="23" t="str">
        <f>HYPERLINK("https://www.spark-marketing.ru/Card/Lot/72530005",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438" s="22" t="s">
        <v>49</v>
      </c>
      <c r="H9438" s="22" t="s">
        <v>6942</v>
      </c>
      <c r="I9438" s="26">
        <v>43677.848055555602</v>
      </c>
      <c r="J9438" s="23" t="str">
        <f>HYPERLINK("https://www.spark-marketing.ru/Card/Person/6268418", "ООО ""МАСЛЕНИЦА""")</f>
        <v>ООО "МАСЛЕНИЦА"</v>
      </c>
      <c r="K9438" s="24" t="s">
        <v>13618</v>
      </c>
      <c r="L9438" s="22" t="s">
        <v>10</v>
      </c>
      <c r="M9438" s="25">
        <v>1308416.73</v>
      </c>
      <c r="N9438" s="27">
        <v>0.30499999999999999</v>
      </c>
    </row>
    <row r="9439" spans="1:14" hidden="1" outlineLevel="1" x14ac:dyDescent="0.2">
      <c r="A9439" s="23" t="str">
        <f>HYPERLINK("https://www.spark-marketing.ru/Card/Person/59046", "ДЕТСКИЙ САД №9")</f>
        <v>ДЕТСКИЙ САД №9</v>
      </c>
      <c r="B9439" s="24" t="s">
        <v>13616</v>
      </c>
      <c r="C9439" s="25">
        <v>1882614</v>
      </c>
      <c r="D9439" s="22" t="s">
        <v>13617</v>
      </c>
      <c r="E9439" s="22" t="s">
        <v>48</v>
      </c>
      <c r="F9439" s="23" t="str">
        <f>HYPERLINK("https://www.spark-marketing.ru/Card/Lot/72530005",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439" s="22" t="s">
        <v>49</v>
      </c>
      <c r="H9439" s="22" t="s">
        <v>6942</v>
      </c>
      <c r="I9439" s="26">
        <v>43677.848055555602</v>
      </c>
      <c r="J9439" s="23" t="str">
        <f>HYPERLINK("https://www.spark-marketing.ru/Card/Person/6080164", "ООО ""МОЛОЧНЫЙ МИР""")</f>
        <v>ООО "МОЛОЧНЫЙ МИР"</v>
      </c>
      <c r="K9439" s="24" t="s">
        <v>5185</v>
      </c>
      <c r="L9439" s="28" t="s">
        <v>51</v>
      </c>
      <c r="M9439" s="25">
        <v>1317829.8</v>
      </c>
      <c r="N9439" s="27">
        <v>0.3</v>
      </c>
    </row>
    <row r="9440" spans="1:14" x14ac:dyDescent="0.15">
      <c r="A9440" s="23" t="str">
        <f>HYPERLINK("https://www.spark-marketing.ru/Card/Person/58000", "ДЕТСКИЙ САД № 10")</f>
        <v>ДЕТСКИЙ САД № 10</v>
      </c>
      <c r="B9440" s="24" t="s">
        <v>13619</v>
      </c>
      <c r="C9440" s="25">
        <v>168638</v>
      </c>
      <c r="D9440" s="22" t="s">
        <v>13620</v>
      </c>
      <c r="E9440" s="22" t="s">
        <v>48</v>
      </c>
      <c r="F9440" s="23" t="str">
        <f>HYPERLINK("https://www.spark-marketing.ru/Card/Lot/72530003", "Поставка продуктов питания")</f>
        <v>Поставка продуктов питания</v>
      </c>
      <c r="G9440" s="22" t="s">
        <v>49</v>
      </c>
      <c r="H9440" s="22" t="s">
        <v>6942</v>
      </c>
      <c r="I9440" s="26">
        <v>43677.846747685202</v>
      </c>
      <c r="J9440" s="28" t="s">
        <v>51</v>
      </c>
      <c r="K9440" s="28" t="s">
        <v>51</v>
      </c>
      <c r="L9440" s="28" t="s">
        <v>51</v>
      </c>
      <c r="M9440" s="28" t="s">
        <v>51</v>
      </c>
      <c r="N9440" s="28" t="s">
        <v>51</v>
      </c>
    </row>
    <row r="9441" spans="1:14" hidden="1" outlineLevel="1" x14ac:dyDescent="0.2">
      <c r="A9441" s="23" t="str">
        <f>HYPERLINK("https://www.spark-marketing.ru/Card/Person/58000", "ДЕТСКИЙ САД № 10")</f>
        <v>ДЕТСКИЙ САД № 10</v>
      </c>
      <c r="B9441" s="24" t="s">
        <v>13619</v>
      </c>
      <c r="C9441" s="25">
        <v>168638</v>
      </c>
      <c r="D9441" s="22" t="s">
        <v>13620</v>
      </c>
      <c r="E9441" s="22" t="s">
        <v>48</v>
      </c>
      <c r="F9441" s="23" t="str">
        <f>HYPERLINK("https://www.spark-marketing.ru/Card/Lot/72530003", "Поставка продуктов питания")</f>
        <v>Поставка продуктов питания</v>
      </c>
      <c r="G9441" s="22" t="s">
        <v>49</v>
      </c>
      <c r="H9441" s="22" t="s">
        <v>6942</v>
      </c>
      <c r="I9441" s="26">
        <v>43677.846747685202</v>
      </c>
      <c r="J9441" s="23" t="str">
        <f>HYPERLINK("https://www.spark-marketing.ru/Card/Person/6367832", "ООО ""ИМПУЛЬС""")</f>
        <v>ООО "ИМПУЛЬС"</v>
      </c>
      <c r="K9441" s="24" t="s">
        <v>13621</v>
      </c>
      <c r="L9441" s="28" t="s">
        <v>51</v>
      </c>
      <c r="M9441" s="25">
        <v>167794.81</v>
      </c>
      <c r="N9441" s="27">
        <v>5.0000000000000001E-3</v>
      </c>
    </row>
    <row r="9442" spans="1:14" ht="12.75" hidden="1" outlineLevel="1" x14ac:dyDescent="0.2">
      <c r="A9442" s="23" t="str">
        <f>HYPERLINK("https://www.spark-marketing.ru/Card/Person/58000", "ДЕТСКИЙ САД № 10")</f>
        <v>ДЕТСКИЙ САД № 10</v>
      </c>
      <c r="B9442" s="24" t="s">
        <v>13619</v>
      </c>
      <c r="C9442" s="25">
        <v>168638</v>
      </c>
      <c r="D9442" s="22" t="s">
        <v>13620</v>
      </c>
      <c r="E9442" s="22" t="s">
        <v>48</v>
      </c>
      <c r="F9442" s="23" t="str">
        <f>HYPERLINK("https://www.spark-marketing.ru/Card/Lot/72530003", "Поставка продуктов питания")</f>
        <v>Поставка продуктов питания</v>
      </c>
      <c r="G9442" s="22" t="s">
        <v>49</v>
      </c>
      <c r="H9442" s="22" t="s">
        <v>6942</v>
      </c>
      <c r="I9442" s="26">
        <v>43677.846747685202</v>
      </c>
      <c r="J9442" s="23" t="str">
        <f>HYPERLINK("https://www.spark-marketing.ru/Card/Person/702417", "Подлеснов Николай Меркурьевич")</f>
        <v>Подлеснов Николай Меркурьевич</v>
      </c>
      <c r="K9442" s="24" t="s">
        <v>13622</v>
      </c>
      <c r="L9442" s="22" t="s">
        <v>10</v>
      </c>
      <c r="M9442" s="25">
        <v>166951</v>
      </c>
      <c r="N9442" s="27">
        <v>1.0003676514190159E-2</v>
      </c>
    </row>
    <row r="9443" spans="1:14" x14ac:dyDescent="0.15">
      <c r="A9443" s="23" t="str">
        <f>HYPERLINK("https://www.spark-marketing.ru/Card/Person/1033033", "МДОУ№7")</f>
        <v>МДОУ№7</v>
      </c>
      <c r="B9443" s="24" t="s">
        <v>13623</v>
      </c>
      <c r="C9443" s="25">
        <v>19886</v>
      </c>
      <c r="D9443" s="22" t="s">
        <v>13624</v>
      </c>
      <c r="E9443" s="22" t="s">
        <v>48</v>
      </c>
      <c r="F9443" s="23" t="str">
        <f>HYPERLINK("https://www.spark-marketing.ru/Card/Lot/72530007",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443" s="22" t="s">
        <v>49</v>
      </c>
      <c r="H9443" s="22" t="s">
        <v>6942</v>
      </c>
      <c r="I9443" s="26">
        <v>43677.851284722201</v>
      </c>
      <c r="J9443" s="28" t="s">
        <v>51</v>
      </c>
      <c r="K9443" s="28" t="s">
        <v>51</v>
      </c>
      <c r="L9443" s="28" t="s">
        <v>51</v>
      </c>
      <c r="M9443" s="28" t="s">
        <v>51</v>
      </c>
      <c r="N9443" s="28" t="s">
        <v>51</v>
      </c>
    </row>
    <row r="9444" spans="1:14" x14ac:dyDescent="0.15">
      <c r="A9444" s="23" t="str">
        <f>HYPERLINK("https://www.spark-marketing.ru/Card/Person/67508", "АДМИНИСТРАЦИЯ ПРИАМУРСКОГО ГОРОДСКОГО ПОСЕЛЕНИЯ")</f>
        <v>АДМИНИСТРАЦИЯ ПРИАМУРСКОГО ГОРОДСКОГО ПОСЕЛЕНИЯ</v>
      </c>
      <c r="B9444" s="24" t="s">
        <v>13625</v>
      </c>
      <c r="C9444" s="28" t="s">
        <v>51</v>
      </c>
      <c r="D9444" s="22" t="s">
        <v>13626</v>
      </c>
      <c r="E9444" s="22" t="s">
        <v>13627</v>
      </c>
      <c r="F9444" s="23" t="str">
        <f>HYPERLINK("https://www.spark-marketing.ru/Card/Lot/72511662", "проведение предварительного  отбора участников закупки в целях оказания гуманитарной помощи либо ликвидации последствий черезвычайных ситуаций природного или техногенного характера на территории Приамурского городского поселения в целях последующего ...")</f>
        <v>проведение предварительного  отбора участников закупки в целях оказания гуманитарной помощи либо ликвидации последствий черезвычайных ситуаций природного или техногенного характера на территории Приамурского городского поселения в целях последующего ...</v>
      </c>
      <c r="G9444" s="22" t="s">
        <v>4451</v>
      </c>
      <c r="H9444" s="22" t="s">
        <v>13628</v>
      </c>
      <c r="I9444" s="26">
        <v>43677.821608796301</v>
      </c>
      <c r="J9444" s="28" t="s">
        <v>51</v>
      </c>
      <c r="K9444" s="28" t="s">
        <v>51</v>
      </c>
      <c r="L9444" s="28" t="s">
        <v>51</v>
      </c>
      <c r="M9444" s="28" t="s">
        <v>51</v>
      </c>
      <c r="N9444" s="28" t="s">
        <v>51</v>
      </c>
    </row>
    <row r="9445" spans="1:14" x14ac:dyDescent="0.15">
      <c r="A9445" s="23" t="str">
        <f>HYPERLINK("https://www.spark-marketing.ru/Card/Person/26501", "ГБУЗ РКЦ")</f>
        <v>ГБУЗ РКЦ</v>
      </c>
      <c r="B9445" s="24" t="s">
        <v>10125</v>
      </c>
      <c r="C9445" s="25">
        <v>122458</v>
      </c>
      <c r="D9445" s="22" t="s">
        <v>13629</v>
      </c>
      <c r="E9445" s="22" t="s">
        <v>152</v>
      </c>
      <c r="F9445" s="23" t="str">
        <f>HYPERLINK("https://www.spark-marketing.ru/Card/Lot/72523627", "Оказание услуги по ремонту и техническому обслуживанию бесперебойного питания")</f>
        <v>Оказание услуги по ремонту и техническому обслуживанию бесперебойного питания</v>
      </c>
      <c r="G9445" s="22" t="s">
        <v>145</v>
      </c>
      <c r="H9445" s="22" t="s">
        <v>436</v>
      </c>
      <c r="I9445" s="26">
        <v>43677.800902777803</v>
      </c>
      <c r="J9445" s="28" t="s">
        <v>51</v>
      </c>
      <c r="K9445" s="28" t="s">
        <v>51</v>
      </c>
      <c r="L9445" s="28" t="s">
        <v>51</v>
      </c>
      <c r="M9445" s="28" t="s">
        <v>51</v>
      </c>
      <c r="N9445" s="28" t="s">
        <v>51</v>
      </c>
    </row>
    <row r="9446" spans="1:14" ht="12.75" hidden="1" outlineLevel="1" x14ac:dyDescent="0.2">
      <c r="A9446" s="23" t="str">
        <f>HYPERLINK("https://www.spark-marketing.ru/Card/Person/26501", "ГБУЗ РКЦ")</f>
        <v>ГБУЗ РКЦ</v>
      </c>
      <c r="B9446" s="24" t="s">
        <v>10125</v>
      </c>
      <c r="C9446" s="25">
        <v>122458</v>
      </c>
      <c r="D9446" s="22" t="s">
        <v>13629</v>
      </c>
      <c r="E9446" s="22" t="s">
        <v>152</v>
      </c>
      <c r="F9446" s="23" t="str">
        <f>HYPERLINK("https://www.spark-marketing.ru/Card/Lot/72523627", "Оказание услуги по ремонту и техническому обслуживанию бесперебойного питания")</f>
        <v>Оказание услуги по ремонту и техническому обслуживанию бесперебойного питания</v>
      </c>
      <c r="G9446" s="22" t="s">
        <v>145</v>
      </c>
      <c r="H9446" s="22" t="s">
        <v>436</v>
      </c>
      <c r="I9446" s="26">
        <v>43677.800902777803</v>
      </c>
      <c r="J9446" s="23" t="str">
        <f>HYPERLINK("https://www.spark-marketing.ru/Card/Person/137706", "ООО ""КОМПАМЕД""")</f>
        <v>ООО "КОМПАМЕД"</v>
      </c>
      <c r="K9446" s="24" t="s">
        <v>13630</v>
      </c>
      <c r="L9446" s="22" t="s">
        <v>10</v>
      </c>
      <c r="M9446" s="25">
        <v>107763.04</v>
      </c>
      <c r="N9446" s="27">
        <v>0.12</v>
      </c>
    </row>
    <row r="9447" spans="1:14" hidden="1" outlineLevel="1" x14ac:dyDescent="0.2">
      <c r="A9447" s="23" t="str">
        <f>HYPERLINK("https://www.spark-marketing.ru/Card/Person/26501", "ГБУЗ РКЦ")</f>
        <v>ГБУЗ РКЦ</v>
      </c>
      <c r="B9447" s="24" t="s">
        <v>10125</v>
      </c>
      <c r="C9447" s="25">
        <v>122458</v>
      </c>
      <c r="D9447" s="22" t="s">
        <v>13629</v>
      </c>
      <c r="E9447" s="22" t="s">
        <v>152</v>
      </c>
      <c r="F9447" s="23" t="str">
        <f>HYPERLINK("https://www.spark-marketing.ru/Card/Lot/72523627", "Оказание услуги по ремонту и техническому обслуживанию бесперебойного питания")</f>
        <v>Оказание услуги по ремонту и техническому обслуживанию бесперебойного питания</v>
      </c>
      <c r="G9447" s="22" t="s">
        <v>145</v>
      </c>
      <c r="H9447" s="22" t="s">
        <v>436</v>
      </c>
      <c r="I9447" s="26">
        <v>43677.800902777803</v>
      </c>
      <c r="J9447" s="23" t="str">
        <f>HYPERLINK("https://www.spark-marketing.ru/Card/Person/74613", "ООО ""ПРОФКОМПЛЕКТАЦИЯ""")</f>
        <v>ООО "ПРОФКОМПЛЕКТАЦИЯ"</v>
      </c>
      <c r="K9447" s="24" t="s">
        <v>13631</v>
      </c>
      <c r="L9447" s="28" t="s">
        <v>51</v>
      </c>
      <c r="M9447" s="25">
        <v>108375.33</v>
      </c>
      <c r="N9447" s="27">
        <v>0.115</v>
      </c>
    </row>
    <row r="9448" spans="1:14" x14ac:dyDescent="0.15">
      <c r="A9448" s="23" t="str">
        <f>HYPERLINK("https://www.spark-marketing.ru/Card/Person/59046", "ДЕТСКИЙ САД №9")</f>
        <v>ДЕТСКИЙ САД №9</v>
      </c>
      <c r="B9448" s="24" t="s">
        <v>13616</v>
      </c>
      <c r="C9448" s="25">
        <v>744150</v>
      </c>
      <c r="D9448" s="22" t="s">
        <v>13632</v>
      </c>
      <c r="E9448" s="22" t="s">
        <v>48</v>
      </c>
      <c r="F9448" s="23" t="str">
        <f>HYPERLINK("https://www.spark-marketing.ru/Card/Lot/72529993",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448" s="22" t="s">
        <v>49</v>
      </c>
      <c r="H9448" s="22" t="s">
        <v>6942</v>
      </c>
      <c r="I9448" s="26">
        <v>43677.832083333298</v>
      </c>
      <c r="J9448" s="28" t="s">
        <v>51</v>
      </c>
      <c r="K9448" s="28" t="s">
        <v>51</v>
      </c>
      <c r="L9448" s="28" t="s">
        <v>51</v>
      </c>
      <c r="M9448" s="28" t="s">
        <v>51</v>
      </c>
      <c r="N9448" s="28" t="s">
        <v>51</v>
      </c>
    </row>
    <row r="9449" spans="1:14" ht="12.75" hidden="1" outlineLevel="1" x14ac:dyDescent="0.2">
      <c r="A9449" s="23" t="str">
        <f>HYPERLINK("https://www.spark-marketing.ru/Card/Person/59046", "ДЕТСКИЙ САД №9")</f>
        <v>ДЕТСКИЙ САД №9</v>
      </c>
      <c r="B9449" s="24" t="s">
        <v>13616</v>
      </c>
      <c r="C9449" s="25">
        <v>744150</v>
      </c>
      <c r="D9449" s="22" t="s">
        <v>13632</v>
      </c>
      <c r="E9449" s="22" t="s">
        <v>48</v>
      </c>
      <c r="F9449" s="23" t="str">
        <f>HYPERLINK("https://www.spark-marketing.ru/Card/Lot/72529993",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449" s="22" t="s">
        <v>49</v>
      </c>
      <c r="H9449" s="22" t="s">
        <v>6942</v>
      </c>
      <c r="I9449" s="26">
        <v>43677.832083333298</v>
      </c>
      <c r="J9449" s="23" t="str">
        <f>HYPERLINK("https://www.spark-marketing.ru/Card/Person/1328900", "МУП ""ОБЩЕПИТ """)</f>
        <v>МУП "ОБЩЕПИТ "</v>
      </c>
      <c r="K9449" s="24" t="s">
        <v>13633</v>
      </c>
      <c r="L9449" s="22" t="s">
        <v>10</v>
      </c>
      <c r="M9449" s="25">
        <v>608776.5</v>
      </c>
      <c r="N9449" s="27">
        <v>0.1819169522273735</v>
      </c>
    </row>
    <row r="9450" spans="1:14" hidden="1" outlineLevel="1" x14ac:dyDescent="0.2">
      <c r="A9450" s="23" t="str">
        <f>HYPERLINK("https://www.spark-marketing.ru/Card/Person/59046", "ДЕТСКИЙ САД №9")</f>
        <v>ДЕТСКИЙ САД №9</v>
      </c>
      <c r="B9450" s="24" t="s">
        <v>13616</v>
      </c>
      <c r="C9450" s="25">
        <v>744150</v>
      </c>
      <c r="D9450" s="22" t="s">
        <v>13632</v>
      </c>
      <c r="E9450" s="22" t="s">
        <v>48</v>
      </c>
      <c r="F9450" s="23" t="str">
        <f>HYPERLINK("https://www.spark-marketing.ru/Card/Lot/72529993",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450" s="22" t="s">
        <v>49</v>
      </c>
      <c r="H9450" s="22" t="s">
        <v>6942</v>
      </c>
      <c r="I9450" s="26">
        <v>43677.832083333298</v>
      </c>
      <c r="J9450" s="23" t="str">
        <f>HYPERLINK("https://www.spark-marketing.ru/Card/Person/6268418", "ООО ""МАСЛЕНИЦА""")</f>
        <v>ООО "МАСЛЕНИЦА"</v>
      </c>
      <c r="K9450" s="24" t="s">
        <v>13618</v>
      </c>
      <c r="L9450" s="28" t="s">
        <v>51</v>
      </c>
      <c r="M9450" s="25">
        <v>612497.25</v>
      </c>
      <c r="N9450" s="27">
        <v>0.17691695222737353</v>
      </c>
    </row>
    <row r="9451" spans="1:14" x14ac:dyDescent="0.15">
      <c r="A9451" s="23" t="str">
        <f>HYPERLINK("https://www.spark-marketing.ru/Card/Person/1033033", "МДОУ№7")</f>
        <v>МДОУ№7</v>
      </c>
      <c r="B9451" s="24" t="s">
        <v>13623</v>
      </c>
      <c r="C9451" s="25">
        <v>213350</v>
      </c>
      <c r="D9451" s="22" t="s">
        <v>13634</v>
      </c>
      <c r="E9451" s="22" t="s">
        <v>48</v>
      </c>
      <c r="F9451" s="23" t="str">
        <f>HYPERLINK("https://www.spark-marketing.ru/Card/Lot/72529986",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451" s="22" t="s">
        <v>49</v>
      </c>
      <c r="H9451" s="22" t="s">
        <v>6942</v>
      </c>
      <c r="I9451" s="26">
        <v>43677.823344907403</v>
      </c>
      <c r="J9451" s="28" t="s">
        <v>51</v>
      </c>
      <c r="K9451" s="28" t="s">
        <v>51</v>
      </c>
      <c r="L9451" s="28" t="s">
        <v>51</v>
      </c>
      <c r="M9451" s="28" t="s">
        <v>51</v>
      </c>
      <c r="N9451" s="28" t="s">
        <v>51</v>
      </c>
    </row>
    <row r="9452" spans="1:14" hidden="1" outlineLevel="1" x14ac:dyDescent="0.2">
      <c r="A9452" s="23" t="str">
        <f>HYPERLINK("https://www.spark-marketing.ru/Card/Person/1033033", "МДОУ№7")</f>
        <v>МДОУ№7</v>
      </c>
      <c r="B9452" s="24" t="s">
        <v>13623</v>
      </c>
      <c r="C9452" s="25">
        <v>213350</v>
      </c>
      <c r="D9452" s="22" t="s">
        <v>13634</v>
      </c>
      <c r="E9452" s="22" t="s">
        <v>48</v>
      </c>
      <c r="F9452" s="23" t="str">
        <f>HYPERLINK("https://www.spark-marketing.ru/Card/Lot/72529986",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452" s="22" t="s">
        <v>49</v>
      </c>
      <c r="H9452" s="22" t="s">
        <v>6942</v>
      </c>
      <c r="I9452" s="26">
        <v>43677.823344907403</v>
      </c>
      <c r="J9452" s="23" t="str">
        <f>HYPERLINK("https://www.spark-marketing.ru/Card/Person/1328900", "МУП ""ОБЩЕПИТ """)</f>
        <v>МУП "ОБЩЕПИТ "</v>
      </c>
      <c r="K9452" s="24" t="s">
        <v>13633</v>
      </c>
      <c r="L9452" s="28" t="s">
        <v>51</v>
      </c>
      <c r="M9452" s="25">
        <v>183477.5</v>
      </c>
      <c r="N9452" s="27">
        <v>0.14001640496836185</v>
      </c>
    </row>
    <row r="9453" spans="1:14" ht="12.75" hidden="1" outlineLevel="1" x14ac:dyDescent="0.2">
      <c r="A9453" s="23" t="str">
        <f>HYPERLINK("https://www.spark-marketing.ru/Card/Person/1033033", "МДОУ№7")</f>
        <v>МДОУ№7</v>
      </c>
      <c r="B9453" s="24" t="s">
        <v>13623</v>
      </c>
      <c r="C9453" s="25">
        <v>213350</v>
      </c>
      <c r="D9453" s="22" t="s">
        <v>13634</v>
      </c>
      <c r="E9453" s="22" t="s">
        <v>48</v>
      </c>
      <c r="F9453" s="23" t="str">
        <f>HYPERLINK("https://www.spark-marketing.ru/Card/Lot/72529986",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453" s="22" t="s">
        <v>49</v>
      </c>
      <c r="H9453" s="22" t="s">
        <v>6942</v>
      </c>
      <c r="I9453" s="26">
        <v>43677.823344907403</v>
      </c>
      <c r="J9453" s="23" t="str">
        <f>HYPERLINK("https://www.spark-marketing.ru/Card/Person/6268418", "ООО ""МАСЛЕНИЦА""")</f>
        <v>ООО "МАСЛЕНИЦА"</v>
      </c>
      <c r="K9453" s="24" t="s">
        <v>13618</v>
      </c>
      <c r="L9453" s="22" t="s">
        <v>10</v>
      </c>
      <c r="M9453" s="25">
        <v>182410.5</v>
      </c>
      <c r="N9453" s="27">
        <v>0.14501757675181626</v>
      </c>
    </row>
    <row r="9454" spans="1:14" ht="12.75" x14ac:dyDescent="0.2">
      <c r="A9454" s="23" t="str">
        <f>HYPERLINK("https://www.spark-marketing.ru/Card/Person/16195", "УМВД РОССИИ ПО ПРИМОРСКОМУ РАЙОНУ Г. СПБ")</f>
        <v>УМВД РОССИИ ПО ПРИМОРСКОМУ РАЙОНУ Г. СПБ</v>
      </c>
      <c r="B9454" s="24" t="s">
        <v>13635</v>
      </c>
      <c r="C9454" s="25">
        <v>60000</v>
      </c>
      <c r="D9454" s="22" t="s">
        <v>13636</v>
      </c>
      <c r="E9454" s="22" t="s">
        <v>96</v>
      </c>
      <c r="F9454" s="23" t="str">
        <f>HYPERLINK("https://www.spark-marketing.ru/Card/Lot/72539529", "Услуги по обеспечению трёхразовым горячим питанием лиц, задержанных за административные нарушения на срок более трёх часов, содержащихся в камерах административно задержанных и лиц, содержащихся в изоляторе временного содержания")</f>
        <v>Услуги по обеспечению трёхразовым горячим питанием лиц, задержанных за административные нарушения на срок более трёх часов, содержащихся в камерах административно задержанных и лиц, содержащихся в изоляторе временного содержания</v>
      </c>
      <c r="G9454" s="22" t="s">
        <v>117</v>
      </c>
      <c r="H9454" s="22" t="s">
        <v>117</v>
      </c>
      <c r="I9454" s="26">
        <v>43677.806493055599</v>
      </c>
      <c r="J9454" s="23" t="str">
        <f>HYPERLINK("https://www.spark-marketing.ru/Card/Person/57356", "ООО ""КОМПАНИЯ ВИКТОРИКЕЙТЕРИНГ""")</f>
        <v>ООО "КОМПАНИЯ ВИКТОРИКЕЙТЕРИНГ"</v>
      </c>
      <c r="K9454" s="24" t="s">
        <v>13637</v>
      </c>
      <c r="L9454" s="22" t="s">
        <v>10</v>
      </c>
      <c r="M9454" s="25">
        <v>59999</v>
      </c>
      <c r="N9454" s="27">
        <v>1.6666666666666667E-5</v>
      </c>
    </row>
    <row r="9455" spans="1:14" x14ac:dyDescent="0.15">
      <c r="A9455" s="23" t="str">
        <f>HYPERLINK("https://www.spark-marketing.ru/Card/Person/4349249", "МБОУ СОШ №4")</f>
        <v>МБОУ СОШ №4</v>
      </c>
      <c r="B9455" s="24" t="s">
        <v>376</v>
      </c>
      <c r="C9455" s="25">
        <v>40320</v>
      </c>
      <c r="D9455" s="22" t="s">
        <v>13638</v>
      </c>
      <c r="E9455" s="22" t="s">
        <v>48</v>
      </c>
      <c r="F9455" s="23" t="str">
        <f>HYPERLINK("https://www.spark-marketing.ru/Card/Lot/72525832", "Услуги по обеспечению питанием")</f>
        <v>Услуги по обеспечению питанием</v>
      </c>
      <c r="G9455" s="22" t="s">
        <v>49</v>
      </c>
      <c r="H9455" s="22" t="s">
        <v>378</v>
      </c>
      <c r="I9455" s="26">
        <v>43677.8257407407</v>
      </c>
      <c r="J9455" s="28" t="s">
        <v>51</v>
      </c>
      <c r="K9455" s="28" t="s">
        <v>51</v>
      </c>
      <c r="L9455" s="28" t="s">
        <v>51</v>
      </c>
      <c r="M9455" s="28" t="s">
        <v>51</v>
      </c>
      <c r="N9455" s="28" t="s">
        <v>51</v>
      </c>
    </row>
    <row r="9456" spans="1:14" x14ac:dyDescent="0.15">
      <c r="A9456" s="23" t="str">
        <f t="shared" ref="A9456:A9462" si="224">HYPERLINK("https://www.spark-marketing.ru/Card/Person/50743", "МП ""ДЕТСКОЕ ПИТАНИЕ""")</f>
        <v>МП "ДЕТСКОЕ ПИТАНИЕ"</v>
      </c>
      <c r="B9456" s="24" t="s">
        <v>1562</v>
      </c>
      <c r="C9456" s="25">
        <v>93000</v>
      </c>
      <c r="D9456" s="22" t="s">
        <v>13639</v>
      </c>
      <c r="E9456" s="22" t="s">
        <v>13640</v>
      </c>
      <c r="F9456" s="23" t="str">
        <f t="shared" ref="F9456:F9462" si="225">HYPERLINK("https://www.spark-marketing.ru/Card/Lot/72526689", "Оказание услуг по проведению обязательной ежегодной аудиторской проверки бухгалтерской (финансовой) отчетности муниципального предприятия «Детское питание» города Рязани за 2018 год")</f>
        <v>Оказание услуг по проведению обязательной ежегодной аудиторской проверки бухгалтерской (финансовой) отчетности муниципального предприятия «Детское питание» города Рязани за 2018 год</v>
      </c>
      <c r="G9456" s="22" t="s">
        <v>1522</v>
      </c>
      <c r="H9456" s="22" t="s">
        <v>1523</v>
      </c>
      <c r="I9456" s="26">
        <v>43677.808333333298</v>
      </c>
      <c r="J9456" s="28" t="s">
        <v>51</v>
      </c>
      <c r="K9456" s="28" t="s">
        <v>51</v>
      </c>
      <c r="L9456" s="28" t="s">
        <v>51</v>
      </c>
      <c r="M9456" s="28" t="s">
        <v>51</v>
      </c>
      <c r="N9456" s="28" t="s">
        <v>51</v>
      </c>
    </row>
    <row r="9457" spans="1:14" hidden="1" outlineLevel="1" x14ac:dyDescent="0.2">
      <c r="A9457" s="23" t="str">
        <f t="shared" si="224"/>
        <v>МП "ДЕТСКОЕ ПИТАНИЕ"</v>
      </c>
      <c r="B9457" s="24" t="s">
        <v>1562</v>
      </c>
      <c r="C9457" s="25">
        <v>93000</v>
      </c>
      <c r="D9457" s="22" t="s">
        <v>13639</v>
      </c>
      <c r="E9457" s="22" t="s">
        <v>13640</v>
      </c>
      <c r="F9457" s="23" t="str">
        <f t="shared" si="225"/>
        <v>Оказание услуг по проведению обязательной ежегодной аудиторской проверки бухгалтерской (финансовой) отчетности муниципального предприятия «Детское питание» города Рязани за 2018 год</v>
      </c>
      <c r="G9457" s="22" t="s">
        <v>1522</v>
      </c>
      <c r="H9457" s="22" t="s">
        <v>1523</v>
      </c>
      <c r="I9457" s="26">
        <v>43677.808333333298</v>
      </c>
      <c r="J9457" s="23" t="str">
        <f>HYPERLINK("https://www.spark-marketing.ru/Card/Person/171918", "ООО ""АУДИТ - ДАНКО""")</f>
        <v>ООО "АУДИТ - ДАНКО"</v>
      </c>
      <c r="K9457" s="24" t="s">
        <v>13641</v>
      </c>
      <c r="L9457" s="28" t="s">
        <v>51</v>
      </c>
      <c r="M9457" s="25">
        <v>85000</v>
      </c>
      <c r="N9457" s="27">
        <v>8.6021505376344093E-2</v>
      </c>
    </row>
    <row r="9458" spans="1:14" hidden="1" outlineLevel="1" x14ac:dyDescent="0.2">
      <c r="A9458" s="23" t="str">
        <f t="shared" si="224"/>
        <v>МП "ДЕТСКОЕ ПИТАНИЕ"</v>
      </c>
      <c r="B9458" s="24" t="s">
        <v>1562</v>
      </c>
      <c r="C9458" s="25">
        <v>93000</v>
      </c>
      <c r="D9458" s="22" t="s">
        <v>13639</v>
      </c>
      <c r="E9458" s="22" t="s">
        <v>13640</v>
      </c>
      <c r="F9458" s="23" t="str">
        <f t="shared" si="225"/>
        <v>Оказание услуг по проведению обязательной ежегодной аудиторской проверки бухгалтерской (финансовой) отчетности муниципального предприятия «Детское питание» города Рязани за 2018 год</v>
      </c>
      <c r="G9458" s="22" t="s">
        <v>1522</v>
      </c>
      <c r="H9458" s="22" t="s">
        <v>1523</v>
      </c>
      <c r="I9458" s="26">
        <v>43677.808333333298</v>
      </c>
      <c r="J9458" s="23" t="str">
        <f>HYPERLINK("https://www.spark-marketing.ru/Card/Person/1677293", "ООО ""АПРИОРИ-АУДИТ""")</f>
        <v>ООО "АПРИОРИ-АУДИТ"</v>
      </c>
      <c r="K9458" s="24" t="s">
        <v>13642</v>
      </c>
      <c r="L9458" s="28" t="s">
        <v>51</v>
      </c>
      <c r="M9458" s="25">
        <v>29900</v>
      </c>
      <c r="N9458" s="27">
        <v>0.67849462365591395</v>
      </c>
    </row>
    <row r="9459" spans="1:14" hidden="1" outlineLevel="1" x14ac:dyDescent="0.2">
      <c r="A9459" s="23" t="str">
        <f t="shared" si="224"/>
        <v>МП "ДЕТСКОЕ ПИТАНИЕ"</v>
      </c>
      <c r="B9459" s="24" t="s">
        <v>1562</v>
      </c>
      <c r="C9459" s="25">
        <v>93000</v>
      </c>
      <c r="D9459" s="22" t="s">
        <v>13639</v>
      </c>
      <c r="E9459" s="22" t="s">
        <v>13640</v>
      </c>
      <c r="F9459" s="23" t="str">
        <f t="shared" si="225"/>
        <v>Оказание услуг по проведению обязательной ежегодной аудиторской проверки бухгалтерской (финансовой) отчетности муниципального предприятия «Детское питание» города Рязани за 2018 год</v>
      </c>
      <c r="G9459" s="22" t="s">
        <v>1522</v>
      </c>
      <c r="H9459" s="22" t="s">
        <v>1523</v>
      </c>
      <c r="I9459" s="26">
        <v>43677.808333333298</v>
      </c>
      <c r="J9459" s="23" t="str">
        <f>HYPERLINK("https://www.spark-marketing.ru/Card/Person/4763706", "ООО ""КОНСАЛТ-АУДИТ""")</f>
        <v>ООО "КОНСАЛТ-АУДИТ"</v>
      </c>
      <c r="K9459" s="24" t="s">
        <v>13643</v>
      </c>
      <c r="L9459" s="28" t="s">
        <v>51</v>
      </c>
      <c r="M9459" s="25">
        <v>37000</v>
      </c>
      <c r="N9459" s="27">
        <v>0.60215053763440862</v>
      </c>
    </row>
    <row r="9460" spans="1:14" ht="12.75" hidden="1" outlineLevel="1" x14ac:dyDescent="0.2">
      <c r="A9460" s="23" t="str">
        <f t="shared" si="224"/>
        <v>МП "ДЕТСКОЕ ПИТАНИЕ"</v>
      </c>
      <c r="B9460" s="24" t="s">
        <v>1562</v>
      </c>
      <c r="C9460" s="25">
        <v>93000</v>
      </c>
      <c r="D9460" s="22" t="s">
        <v>13639</v>
      </c>
      <c r="E9460" s="22" t="s">
        <v>13640</v>
      </c>
      <c r="F9460" s="23" t="str">
        <f t="shared" si="225"/>
        <v>Оказание услуг по проведению обязательной ежегодной аудиторской проверки бухгалтерской (финансовой) отчетности муниципального предприятия «Детское питание» города Рязани за 2018 год</v>
      </c>
      <c r="G9460" s="22" t="s">
        <v>1522</v>
      </c>
      <c r="H9460" s="22" t="s">
        <v>1523</v>
      </c>
      <c r="I9460" s="26">
        <v>43677.808333333298</v>
      </c>
      <c r="J9460" s="23" t="str">
        <f>HYPERLINK("https://www.spark-marketing.ru/Card/Person/4412232", "ООО АИКЦ ЭКСПЕРТ-АУДИТОР")</f>
        <v>ООО АИКЦ ЭКСПЕРТ-АУДИТОР</v>
      </c>
      <c r="K9460" s="24" t="s">
        <v>13644</v>
      </c>
      <c r="L9460" s="22" t="s">
        <v>10</v>
      </c>
      <c r="M9460" s="25">
        <v>36000</v>
      </c>
      <c r="N9460" s="27">
        <v>0.61290322580645162</v>
      </c>
    </row>
    <row r="9461" spans="1:14" hidden="1" outlineLevel="1" x14ac:dyDescent="0.2">
      <c r="A9461" s="23" t="str">
        <f t="shared" si="224"/>
        <v>МП "ДЕТСКОЕ ПИТАНИЕ"</v>
      </c>
      <c r="B9461" s="24" t="s">
        <v>1562</v>
      </c>
      <c r="C9461" s="25">
        <v>93000</v>
      </c>
      <c r="D9461" s="22" t="s">
        <v>13639</v>
      </c>
      <c r="E9461" s="22" t="s">
        <v>13640</v>
      </c>
      <c r="F9461" s="23" t="str">
        <f t="shared" si="225"/>
        <v>Оказание услуг по проведению обязательной ежегодной аудиторской проверки бухгалтерской (финансовой) отчетности муниципального предприятия «Детское питание» города Рязани за 2018 год</v>
      </c>
      <c r="G9461" s="22" t="s">
        <v>1522</v>
      </c>
      <c r="H9461" s="22" t="s">
        <v>1523</v>
      </c>
      <c r="I9461" s="26">
        <v>43677.808333333298</v>
      </c>
      <c r="J9461" s="23" t="str">
        <f>HYPERLINK("https://www.spark-marketing.ru/Card/Person/5967247", "ООО ""ЮГ-АУДИТ-ЛЮКС""")</f>
        <v>ООО "ЮГ-АУДИТ-ЛЮКС"</v>
      </c>
      <c r="K9461" s="24" t="s">
        <v>13645</v>
      </c>
      <c r="L9461" s="28" t="s">
        <v>51</v>
      </c>
      <c r="M9461" s="25">
        <v>90000</v>
      </c>
      <c r="N9461" s="27">
        <v>3.2258064516129031E-2</v>
      </c>
    </row>
    <row r="9462" spans="1:14" hidden="1" outlineLevel="1" x14ac:dyDescent="0.2">
      <c r="A9462" s="23" t="str">
        <f t="shared" si="224"/>
        <v>МП "ДЕТСКОЕ ПИТАНИЕ"</v>
      </c>
      <c r="B9462" s="24" t="s">
        <v>1562</v>
      </c>
      <c r="C9462" s="25">
        <v>93000</v>
      </c>
      <c r="D9462" s="22" t="s">
        <v>13639</v>
      </c>
      <c r="E9462" s="22" t="s">
        <v>13640</v>
      </c>
      <c r="F9462" s="23" t="str">
        <f t="shared" si="225"/>
        <v>Оказание услуг по проведению обязательной ежегодной аудиторской проверки бухгалтерской (финансовой) отчетности муниципального предприятия «Детское питание» города Рязани за 2018 год</v>
      </c>
      <c r="G9462" s="22" t="s">
        <v>1522</v>
      </c>
      <c r="H9462" s="22" t="s">
        <v>1523</v>
      </c>
      <c r="I9462" s="26">
        <v>43677.808333333298</v>
      </c>
      <c r="J9462" s="23" t="str">
        <f>HYPERLINK("https://www.spark-marketing.ru/Card/Person/6515226", "ООО ""ЦЕНТР АУДИТОРСКОЙ ПОДДЕРЖКИ""")</f>
        <v>ООО "ЦЕНТР АУДИТОРСКОЙ ПОДДЕРЖКИ"</v>
      </c>
      <c r="K9462" s="24" t="s">
        <v>13646</v>
      </c>
      <c r="L9462" s="28" t="s">
        <v>51</v>
      </c>
      <c r="M9462" s="25">
        <v>24500</v>
      </c>
      <c r="N9462" s="27">
        <v>0.73655913978494625</v>
      </c>
    </row>
    <row r="9463" spans="1:14" x14ac:dyDescent="0.15">
      <c r="A9463" s="23" t="str">
        <f>HYPERLINK("https://www.spark-marketing.ru/Card/Person/1033033", "МДОУ№7")</f>
        <v>МДОУ№7</v>
      </c>
      <c r="B9463" s="24" t="s">
        <v>13623</v>
      </c>
      <c r="C9463" s="25">
        <v>468558</v>
      </c>
      <c r="D9463" s="22" t="s">
        <v>13647</v>
      </c>
      <c r="E9463" s="22" t="s">
        <v>48</v>
      </c>
      <c r="F9463" s="23" t="str">
        <f>HYPERLINK("https://www.spark-marketing.ru/Card/Lot/72529966",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463" s="22" t="s">
        <v>49</v>
      </c>
      <c r="H9463" s="22" t="s">
        <v>6942</v>
      </c>
      <c r="I9463" s="26">
        <v>43677.819687499999</v>
      </c>
      <c r="J9463" s="23" t="str">
        <f>HYPERLINK("https://www.spark-marketing.ru/Card/Person/6268418", "ООО ""МАСЛЕНИЦА""")</f>
        <v>ООО "МАСЛЕНИЦА"</v>
      </c>
      <c r="K9463" s="24" t="s">
        <v>13618</v>
      </c>
      <c r="L9463" s="22" t="s">
        <v>10</v>
      </c>
      <c r="M9463" s="28" t="s">
        <v>51</v>
      </c>
      <c r="N9463" s="28" t="s">
        <v>51</v>
      </c>
    </row>
    <row r="9464" spans="1:14" x14ac:dyDescent="0.15">
      <c r="A9464" s="23" t="str">
        <f>HYPERLINK("https://www.spark-marketing.ru/Card/Person/1084910", "МБДОУ №31 Г.ШАХТЫ")</f>
        <v>МБДОУ №31 Г.ШАХТЫ</v>
      </c>
      <c r="B9464" s="24" t="s">
        <v>13648</v>
      </c>
      <c r="C9464" s="25">
        <v>138173.14000000001</v>
      </c>
      <c r="D9464" s="22" t="s">
        <v>13649</v>
      </c>
      <c r="E9464" s="22" t="s">
        <v>48</v>
      </c>
      <c r="F9464" s="23" t="str">
        <f>HYPERLINK("https://www.spark-marketing.ru/Card/Lot/72523314", "Услуги организации питания")</f>
        <v>Услуги организации питания</v>
      </c>
      <c r="G9464" s="22" t="s">
        <v>267</v>
      </c>
      <c r="H9464" s="22" t="s">
        <v>4874</v>
      </c>
      <c r="I9464" s="26">
        <v>43677.766666666699</v>
      </c>
      <c r="J9464" s="28" t="s">
        <v>51</v>
      </c>
      <c r="K9464" s="28" t="s">
        <v>51</v>
      </c>
      <c r="L9464" s="28" t="s">
        <v>51</v>
      </c>
      <c r="M9464" s="28" t="s">
        <v>51</v>
      </c>
      <c r="N9464" s="28" t="s">
        <v>51</v>
      </c>
    </row>
    <row r="9465" spans="1:14" x14ac:dyDescent="0.15">
      <c r="A9465" s="23" t="str">
        <f>HYPERLINK("https://www.spark-marketing.ru/Card/Person/16911", "ГУ-ТУЛЬСКОЕ РО ФОНДА СОЦИАЛЬНОГО СТРАХОВАНИЯ РОССИЙСКОЙ ФЕДЕРАЦИИ")</f>
        <v>ГУ-ТУЛЬСКОЕ РО ФОНДА СОЦИАЛЬНОГО СТРАХОВАНИЯ РОССИЙСКОЙ ФЕДЕРАЦИИ</v>
      </c>
      <c r="B9465" s="24" t="s">
        <v>13650</v>
      </c>
      <c r="C9465" s="25">
        <v>1257681.6000000001</v>
      </c>
      <c r="D9465" s="22" t="s">
        <v>13651</v>
      </c>
      <c r="E9465" s="22" t="s">
        <v>86</v>
      </c>
      <c r="F9465" s="23" t="str">
        <f>HYPERLINK("https://www.spark-marketing.ru/Card/Lot/72527898", "Оказание санаторно-курортных услуг гражданам, имеющим право на получение государственной социальной помощи в виде набора социальных услуг по профилю: заболевания: нервной системы, опорно-двигательного аппарата, эндокринной системы")</f>
        <v>Оказание санаторно-курортных услуг гражданам, имеющим право на получение государственной социальной помощи в виде набора социальных услуг по профилю: заболевания: нервной системы, опорно-двигательного аппарата, эндокринной системы</v>
      </c>
      <c r="G9465" s="22" t="s">
        <v>104</v>
      </c>
      <c r="H9465" s="22" t="s">
        <v>451</v>
      </c>
      <c r="I9465" s="26">
        <v>43677.737361111103</v>
      </c>
      <c r="J9465" s="23" t="str">
        <f>HYPERLINK("https://www.spark-marketing.ru/Card/Person/52911", "ООО "" САНАТОРИЙ "" ПАРУС """)</f>
        <v>ООО " САНАТОРИЙ " ПАРУС "</v>
      </c>
      <c r="K9465" s="24" t="s">
        <v>3010</v>
      </c>
      <c r="L9465" s="22" t="s">
        <v>10</v>
      </c>
      <c r="M9465" s="28" t="s">
        <v>51</v>
      </c>
      <c r="N9465" s="28" t="s">
        <v>51</v>
      </c>
    </row>
    <row r="9466" spans="1:14" x14ac:dyDescent="0.15">
      <c r="A9466" s="23" t="str">
        <f>HYPERLINK("https://www.spark-marketing.ru/Card/Person/13859", "УМВД РОССИИ ПО Г. МУРМАНСКУ")</f>
        <v>УМВД РОССИИ ПО Г. МУРМАНСКУ</v>
      </c>
      <c r="B9466" s="24" t="s">
        <v>345</v>
      </c>
      <c r="C9466" s="25">
        <v>1145000</v>
      </c>
      <c r="D9466" s="22" t="s">
        <v>13652</v>
      </c>
      <c r="E9466" s="22" t="s">
        <v>48</v>
      </c>
      <c r="F9466" s="23" t="str">
        <f>HYPERLINK("https://www.spark-marketing.ru/Card/Lot/72527844", "Оказание услуг по питанию административно задержанных")</f>
        <v>Оказание услуг по питанию административно задержанных</v>
      </c>
      <c r="G9466" s="22" t="s">
        <v>340</v>
      </c>
      <c r="H9466" s="22" t="s">
        <v>341</v>
      </c>
      <c r="I9466" s="26">
        <v>43677.718865740702</v>
      </c>
      <c r="J9466" s="28" t="s">
        <v>51</v>
      </c>
      <c r="K9466" s="28" t="s">
        <v>51</v>
      </c>
      <c r="L9466" s="28" t="s">
        <v>51</v>
      </c>
      <c r="M9466" s="28" t="s">
        <v>51</v>
      </c>
      <c r="N9466" s="28" t="s">
        <v>51</v>
      </c>
    </row>
    <row r="9467" spans="1:14" x14ac:dyDescent="0.15">
      <c r="A9467" s="23" t="str">
        <f>HYPERLINK("https://www.spark-marketing.ru/Card/Person/555246", "АО ""УЭХК""")</f>
        <v>АО "УЭХК"</v>
      </c>
      <c r="B9467" s="24" t="s">
        <v>13653</v>
      </c>
      <c r="C9467" s="25">
        <v>4950000</v>
      </c>
      <c r="D9467" s="22" t="s">
        <v>13654</v>
      </c>
      <c r="E9467" s="22" t="s">
        <v>52</v>
      </c>
      <c r="F9467" s="23" t="str">
        <f>HYPERLINK("https://www.spark-marketing.ru/Card/Lot/72532628", "оказание услуг по обеспечению питанием участников проводимых АО «УЭХК» приемов делегаций, банкетов, круглых столов, конференций и других корпоративных мероприятий.")</f>
        <v>оказание услуг по обеспечению питанием участников проводимых АО «УЭХК» приемов делегаций, банкетов, круглых столов, конференций и других корпоративных мероприятий.</v>
      </c>
      <c r="G9467" s="22" t="s">
        <v>174</v>
      </c>
      <c r="H9467" s="22" t="s">
        <v>7998</v>
      </c>
      <c r="I9467" s="26">
        <v>43677.716168981497</v>
      </c>
      <c r="J9467" s="28" t="s">
        <v>51</v>
      </c>
      <c r="K9467" s="28" t="s">
        <v>51</v>
      </c>
      <c r="L9467" s="28" t="s">
        <v>51</v>
      </c>
      <c r="M9467" s="28" t="s">
        <v>51</v>
      </c>
      <c r="N9467" s="28" t="s">
        <v>51</v>
      </c>
    </row>
    <row r="9468" spans="1:14" x14ac:dyDescent="0.2">
      <c r="A9468" s="23" t="str">
        <f>HYPERLINK("https://www.spark-marketing.ru/Card/Person/4343598", "ЗАКОНОДАТЕЛЬНАЯ ДУМА ТОМСКОЙ ОБЛАСТИ")</f>
        <v>ЗАКОНОДАТЕЛЬНАЯ ДУМА ТОМСКОЙ ОБЛАСТИ</v>
      </c>
      <c r="B9468" s="24" t="s">
        <v>13655</v>
      </c>
      <c r="C9468" s="25">
        <v>600000</v>
      </c>
      <c r="D9468" s="22" t="s">
        <v>13656</v>
      </c>
      <c r="E9468" s="22" t="s">
        <v>67</v>
      </c>
      <c r="F9468" s="23" t="str">
        <f>HYPERLINK("https://www.spark-marketing.ru/Card/Lot/72525089", "Оказание услуг общественного питания для нужд Законодательной Думы Томской области")</f>
        <v>Оказание услуг общественного питания для нужд Законодательной Думы Томской области</v>
      </c>
      <c r="G9468" s="22" t="s">
        <v>149</v>
      </c>
      <c r="H9468" s="22" t="s">
        <v>496</v>
      </c>
      <c r="I9468" s="26">
        <v>43677.716666666704</v>
      </c>
      <c r="J9468" s="23" t="str">
        <f>HYPERLINK("https://www.spark-marketing.ru/Card/Person/531002", "ОБЛАСТНОЕ ГОСУДАРСТВЕННОЕ УЧРЕЖДЕНИЕ ""СТОЛОВАЯ АДМИНИСТРАЦИИ ТОМСКОЙ ОБЛАСТИ""")</f>
        <v>ОБЛАСТНОЕ ГОСУДАРСТВЕННОЕ УЧРЕЖДЕНИЕ "СТОЛОВАЯ АДМИНИСТРАЦИИ ТОМСКОЙ ОБЛАСТИ"</v>
      </c>
      <c r="K9468" s="24" t="s">
        <v>13657</v>
      </c>
      <c r="L9468" s="28" t="s">
        <v>51</v>
      </c>
      <c r="M9468" s="25">
        <v>16803.830000000002</v>
      </c>
      <c r="N9468" s="27">
        <v>0.97199361666666662</v>
      </c>
    </row>
    <row r="9469" spans="1:14" x14ac:dyDescent="0.15">
      <c r="A9469" s="23" t="str">
        <f>HYPERLINK("https://www.spark-marketing.ru/Card/Person/128576", "ГБУЗ ""ТАШЛИНСКАЯ РБ""")</f>
        <v>ГБУЗ "ТАШЛИНСКАЯ РБ"</v>
      </c>
      <c r="B9469" s="24" t="s">
        <v>13658</v>
      </c>
      <c r="C9469" s="25">
        <v>3092020.53</v>
      </c>
      <c r="D9469" s="22" t="s">
        <v>13659</v>
      </c>
      <c r="E9469" s="22" t="s">
        <v>809</v>
      </c>
      <c r="F9469" s="23" t="str">
        <f>HYPERLINK("https://www.spark-marketing.ru/Card/Lot/72530430", "На поставку автоматизированного рабочего места")</f>
        <v>На поставку автоматизированного рабочего места</v>
      </c>
      <c r="G9469" s="22" t="s">
        <v>132</v>
      </c>
      <c r="H9469" s="22" t="s">
        <v>13660</v>
      </c>
      <c r="I9469" s="26">
        <v>43677.715081018498</v>
      </c>
      <c r="J9469" s="28" t="s">
        <v>51</v>
      </c>
      <c r="K9469" s="28" t="s">
        <v>51</v>
      </c>
      <c r="L9469" s="28" t="s">
        <v>51</v>
      </c>
      <c r="M9469" s="28" t="s">
        <v>51</v>
      </c>
      <c r="N9469" s="28" t="s">
        <v>51</v>
      </c>
    </row>
    <row r="9470" spans="1:14" ht="12.75" hidden="1" outlineLevel="1" x14ac:dyDescent="0.2">
      <c r="A9470" s="23" t="str">
        <f>HYPERLINK("https://www.spark-marketing.ru/Card/Person/128576", "ГБУЗ ""ТАШЛИНСКАЯ РБ""")</f>
        <v>ГБУЗ "ТАШЛИНСКАЯ РБ"</v>
      </c>
      <c r="B9470" s="24" t="s">
        <v>13658</v>
      </c>
      <c r="C9470" s="25">
        <v>3092020.53</v>
      </c>
      <c r="D9470" s="22" t="s">
        <v>13659</v>
      </c>
      <c r="E9470" s="22" t="s">
        <v>809</v>
      </c>
      <c r="F9470" s="23" t="str">
        <f>HYPERLINK("https://www.spark-marketing.ru/Card/Lot/72530430", "На поставку автоматизированного рабочего места")</f>
        <v>На поставку автоматизированного рабочего места</v>
      </c>
      <c r="G9470" s="22" t="s">
        <v>132</v>
      </c>
      <c r="H9470" s="22" t="s">
        <v>13660</v>
      </c>
      <c r="I9470" s="26">
        <v>43677.715081018498</v>
      </c>
      <c r="J9470" s="23" t="str">
        <f>HYPERLINK("https://www.spark-marketing.ru/Card/Person/274749", "ООО ""М-ИНВЕСТ""")</f>
        <v>ООО "М-ИНВЕСТ"</v>
      </c>
      <c r="K9470" s="24" t="s">
        <v>13661</v>
      </c>
      <c r="L9470" s="22" t="s">
        <v>10</v>
      </c>
      <c r="M9470" s="25">
        <v>2118034.23</v>
      </c>
      <c r="N9470" s="27">
        <v>0.31499994600617998</v>
      </c>
    </row>
    <row r="9471" spans="1:14" hidden="1" outlineLevel="1" x14ac:dyDescent="0.2">
      <c r="A9471" s="23" t="str">
        <f>HYPERLINK("https://www.spark-marketing.ru/Card/Person/128576", "ГБУЗ ""ТАШЛИНСКАЯ РБ""")</f>
        <v>ГБУЗ "ТАШЛИНСКАЯ РБ"</v>
      </c>
      <c r="B9471" s="24" t="s">
        <v>13658</v>
      </c>
      <c r="C9471" s="25">
        <v>3092020.53</v>
      </c>
      <c r="D9471" s="22" t="s">
        <v>13659</v>
      </c>
      <c r="E9471" s="22" t="s">
        <v>809</v>
      </c>
      <c r="F9471" s="23" t="str">
        <f>HYPERLINK("https://www.spark-marketing.ru/Card/Lot/72530430", "На поставку автоматизированного рабочего места")</f>
        <v>На поставку автоматизированного рабочего места</v>
      </c>
      <c r="G9471" s="22" t="s">
        <v>132</v>
      </c>
      <c r="H9471" s="22" t="s">
        <v>13660</v>
      </c>
      <c r="I9471" s="26">
        <v>43677.715081018498</v>
      </c>
      <c r="J9471" s="23" t="str">
        <f>HYPERLINK("https://www.spark-marketing.ru/Card/Person/100876", "ООО ""АВАНТАЖ""")</f>
        <v>ООО "АВАНТАЖ"</v>
      </c>
      <c r="K9471" s="24" t="s">
        <v>13662</v>
      </c>
      <c r="L9471" s="28" t="s">
        <v>51</v>
      </c>
      <c r="M9471" s="25">
        <v>2133494.33</v>
      </c>
      <c r="N9471" s="27">
        <v>0.30999994686322474</v>
      </c>
    </row>
    <row r="9472" spans="1:14" hidden="1" outlineLevel="1" x14ac:dyDescent="0.2">
      <c r="A9472" s="23" t="str">
        <f>HYPERLINK("https://www.spark-marketing.ru/Card/Person/128576", "ГБУЗ ""ТАШЛИНСКАЯ РБ""")</f>
        <v>ГБУЗ "ТАШЛИНСКАЯ РБ"</v>
      </c>
      <c r="B9472" s="24" t="s">
        <v>13658</v>
      </c>
      <c r="C9472" s="25">
        <v>3092020.53</v>
      </c>
      <c r="D9472" s="22" t="s">
        <v>13659</v>
      </c>
      <c r="E9472" s="22" t="s">
        <v>809</v>
      </c>
      <c r="F9472" s="23" t="str">
        <f>HYPERLINK("https://www.spark-marketing.ru/Card/Lot/72530430", "На поставку автоматизированного рабочего места")</f>
        <v>На поставку автоматизированного рабочего места</v>
      </c>
      <c r="G9472" s="22" t="s">
        <v>132</v>
      </c>
      <c r="H9472" s="22" t="s">
        <v>13660</v>
      </c>
      <c r="I9472" s="26">
        <v>43677.715081018498</v>
      </c>
      <c r="J9472" s="23" t="str">
        <f>HYPERLINK("https://www.spark-marketing.ru/Card/Person/6499259", "ООО ""АЙТИМ""")</f>
        <v>ООО "АЙТИМ"</v>
      </c>
      <c r="K9472" s="24" t="s">
        <v>12113</v>
      </c>
      <c r="L9472" s="28" t="s">
        <v>51</v>
      </c>
      <c r="M9472" s="25">
        <v>2700000</v>
      </c>
      <c r="N9472" s="27">
        <v>0.12678458186045743</v>
      </c>
    </row>
    <row r="9473" spans="1:14" x14ac:dyDescent="0.15">
      <c r="A9473" s="23" t="str">
        <f>HYPERLINK("https://www.spark-marketing.ru/Card/Person/13859", "УМВД РОССИИ ПО Г. МУРМАНСКУ")</f>
        <v>УМВД РОССИИ ПО Г. МУРМАНСКУ</v>
      </c>
      <c r="B9473" s="24" t="s">
        <v>345</v>
      </c>
      <c r="C9473" s="25">
        <v>376000</v>
      </c>
      <c r="D9473" s="22" t="s">
        <v>13663</v>
      </c>
      <c r="E9473" s="22" t="s">
        <v>48</v>
      </c>
      <c r="F9473" s="23" t="str">
        <f>HYPERLINK("https://www.spark-marketing.ru/Card/Lot/72525535", "Услуги питания ИВС")</f>
        <v>Услуги питания ИВС</v>
      </c>
      <c r="G9473" s="22" t="s">
        <v>340</v>
      </c>
      <c r="H9473" s="22" t="s">
        <v>341</v>
      </c>
      <c r="I9473" s="26">
        <v>43677.7284490741</v>
      </c>
      <c r="J9473" s="28" t="s">
        <v>51</v>
      </c>
      <c r="K9473" s="28" t="s">
        <v>51</v>
      </c>
      <c r="L9473" s="28" t="s">
        <v>51</v>
      </c>
      <c r="M9473" s="28" t="s">
        <v>51</v>
      </c>
      <c r="N9473" s="28" t="s">
        <v>51</v>
      </c>
    </row>
    <row r="9474" spans="1:14" x14ac:dyDescent="0.15">
      <c r="A9474" s="23" t="str">
        <f>HYPERLINK("https://www.spark-marketing.ru/Card/Person/103664", "МО МВД РОССИИ ""КОЗЬМОДЕМЬЯНСКИЙ""")</f>
        <v>МО МВД РОССИИ "КОЗЬМОДЕМЬЯНСКИЙ"</v>
      </c>
      <c r="B9474" s="24" t="s">
        <v>11761</v>
      </c>
      <c r="C9474" s="25">
        <v>500000</v>
      </c>
      <c r="D9474" s="22" t="s">
        <v>13664</v>
      </c>
      <c r="E9474" s="22" t="s">
        <v>96</v>
      </c>
      <c r="F9474" s="23" t="str">
        <f>HYPERLINK("https://www.spark-marketing.ru/Card/Lot/72524843", "Услуги по обеспечению трехразовым питанием подозреваемых и обвиняемых в совершении преступлений, лиц подвергнутых административному аресту, находящихся в ИВС МО МВД России «Козьмодемьянский», и лиц, задержанных за административные правонарушения и со...")</f>
        <v>Услуги по обеспечению трехразовым питанием подозреваемых и обвиняемых в совершении преступлений, лиц подвергнутых административному аресту, находящихся в ИВС МО МВД России «Козьмодемьянский», и лиц, задержанных за административные правонарушения и со...</v>
      </c>
      <c r="G9474" s="22" t="s">
        <v>3249</v>
      </c>
      <c r="H9474" s="22" t="s">
        <v>11763</v>
      </c>
      <c r="I9474" s="26">
        <v>43677.716273148202</v>
      </c>
      <c r="J9474" s="23" t="str">
        <f>HYPERLINK("https://www.spark-marketing.ru/Card/Person/2307759", "ТРОИЦКО-ПОСАДСКОЕ ПО")</f>
        <v>ТРОИЦКО-ПОСАДСКОЕ ПО</v>
      </c>
      <c r="K9474" s="24" t="s">
        <v>11764</v>
      </c>
      <c r="L9474" s="22" t="s">
        <v>10</v>
      </c>
      <c r="M9474" s="28" t="s">
        <v>51</v>
      </c>
      <c r="N9474" s="28" t="s">
        <v>51</v>
      </c>
    </row>
    <row r="9475" spans="1:14" x14ac:dyDescent="0.15">
      <c r="A9475" s="23" t="str">
        <f>HYPERLINK("https://www.spark-marketing.ru/Card/Person/41097", "МУ МВД РОССИИ ""КРАСНОЯРСКОЕ""")</f>
        <v>МУ МВД РОССИИ "КРАСНОЯРСКОЕ"</v>
      </c>
      <c r="B9475" s="24" t="s">
        <v>647</v>
      </c>
      <c r="C9475" s="25">
        <v>12552060</v>
      </c>
      <c r="D9475" s="22" t="s">
        <v>13665</v>
      </c>
      <c r="E9475" s="22" t="s">
        <v>48</v>
      </c>
      <c r="F9475" s="23" t="str">
        <f>HYPERLINK("https://www.spark-marketing.ru/Card/Lot/72531897", "Оказание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«Красноярское».")</f>
        <v>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</v>
      </c>
      <c r="G9475" s="22" t="s">
        <v>281</v>
      </c>
      <c r="H9475" s="22" t="s">
        <v>281</v>
      </c>
      <c r="I9475" s="26">
        <v>43677.682349536997</v>
      </c>
      <c r="J9475" s="28" t="s">
        <v>51</v>
      </c>
      <c r="K9475" s="28" t="s">
        <v>51</v>
      </c>
      <c r="L9475" s="28" t="s">
        <v>51</v>
      </c>
      <c r="M9475" s="28" t="s">
        <v>51</v>
      </c>
      <c r="N9475" s="28" t="s">
        <v>51</v>
      </c>
    </row>
    <row r="9476" spans="1:14" hidden="1" outlineLevel="1" x14ac:dyDescent="0.2">
      <c r="A9476" s="23" t="str">
        <f>HYPERLINK("https://www.spark-marketing.ru/Card/Person/41097", "МУ МВД РОССИИ ""КРАСНОЯРСКОЕ""")</f>
        <v>МУ МВД РОССИИ "КРАСНОЯРСКОЕ"</v>
      </c>
      <c r="B9476" s="24" t="s">
        <v>647</v>
      </c>
      <c r="C9476" s="25">
        <v>12552060</v>
      </c>
      <c r="D9476" s="22" t="s">
        <v>13665</v>
      </c>
      <c r="E9476" s="22" t="s">
        <v>48</v>
      </c>
      <c r="F9476" s="23" t="str">
        <f>HYPERLINK("https://www.spark-marketing.ru/Card/Lot/72531897", "Оказание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«Красноярское».")</f>
        <v>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</v>
      </c>
      <c r="G9476" s="22" t="s">
        <v>281</v>
      </c>
      <c r="H9476" s="22" t="s">
        <v>281</v>
      </c>
      <c r="I9476" s="26">
        <v>43677.682349536997</v>
      </c>
      <c r="J9476" s="23" t="str">
        <f>HYPERLINK("https://www.spark-marketing.ru/Card/Person/4887880", "ООО ""СИБИРЬ""")</f>
        <v>ООО "СИБИРЬ"</v>
      </c>
      <c r="K9476" s="24" t="s">
        <v>13666</v>
      </c>
      <c r="L9476" s="28" t="s">
        <v>51</v>
      </c>
      <c r="M9476" s="25">
        <v>9068862.6999999993</v>
      </c>
      <c r="N9476" s="27">
        <v>0.27750005178432863</v>
      </c>
    </row>
    <row r="9477" spans="1:14" hidden="1" outlineLevel="1" x14ac:dyDescent="0.2">
      <c r="A9477" s="23" t="str">
        <f>HYPERLINK("https://www.spark-marketing.ru/Card/Person/41097", "МУ МВД РОССИИ ""КРАСНОЯРСКОЕ""")</f>
        <v>МУ МВД РОССИИ "КРАСНОЯРСКОЕ"</v>
      </c>
      <c r="B9477" s="24" t="s">
        <v>647</v>
      </c>
      <c r="C9477" s="25">
        <v>12552060</v>
      </c>
      <c r="D9477" s="22" t="s">
        <v>13665</v>
      </c>
      <c r="E9477" s="22" t="s">
        <v>48</v>
      </c>
      <c r="F9477" s="23" t="str">
        <f>HYPERLINK("https://www.spark-marketing.ru/Card/Lot/72531897", "Оказание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«Красноярское».")</f>
        <v>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</v>
      </c>
      <c r="G9477" s="22" t="s">
        <v>281</v>
      </c>
      <c r="H9477" s="22" t="s">
        <v>281</v>
      </c>
      <c r="I9477" s="26">
        <v>43677.682349536997</v>
      </c>
      <c r="J9477" s="23" t="str">
        <f>HYPERLINK("https://www.spark-marketing.ru/Card/Person/6352910", "ООО ""РЕСПЕКТ""")</f>
        <v>ООО "РЕСПЕКТ"</v>
      </c>
      <c r="K9477" s="24" t="s">
        <v>2511</v>
      </c>
      <c r="L9477" s="28" t="s">
        <v>51</v>
      </c>
      <c r="M9477" s="25">
        <v>10373879</v>
      </c>
      <c r="N9477" s="27">
        <v>0.17353175494699674</v>
      </c>
    </row>
    <row r="9478" spans="1:14" ht="12.75" hidden="1" outlineLevel="1" x14ac:dyDescent="0.2">
      <c r="A9478" s="23" t="str">
        <f>HYPERLINK("https://www.spark-marketing.ru/Card/Person/41097", "МУ МВД РОССИИ ""КРАСНОЯРСКОЕ""")</f>
        <v>МУ МВД РОССИИ "КРАСНОЯРСКОЕ"</v>
      </c>
      <c r="B9478" s="24" t="s">
        <v>647</v>
      </c>
      <c r="C9478" s="25">
        <v>12552060</v>
      </c>
      <c r="D9478" s="22" t="s">
        <v>13665</v>
      </c>
      <c r="E9478" s="22" t="s">
        <v>48</v>
      </c>
      <c r="F9478" s="23" t="str">
        <f>HYPERLINK("https://www.spark-marketing.ru/Card/Lot/72531897", "Оказание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«Красноярское».")</f>
        <v>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</v>
      </c>
      <c r="G9478" s="22" t="s">
        <v>281</v>
      </c>
      <c r="H9478" s="22" t="s">
        <v>281</v>
      </c>
      <c r="I9478" s="26">
        <v>43677.682349536997</v>
      </c>
      <c r="J9478" s="23" t="str">
        <f>HYPERLINK("https://www.spark-marketing.ru/Card/Person/6456373", "ООО ""ТЭКО""")</f>
        <v>ООО "ТЭКО"</v>
      </c>
      <c r="K9478" s="24" t="s">
        <v>2486</v>
      </c>
      <c r="L9478" s="22" t="s">
        <v>10</v>
      </c>
      <c r="M9478" s="25">
        <v>8127455</v>
      </c>
      <c r="N9478" s="27">
        <v>0.35250030672256188</v>
      </c>
    </row>
    <row r="9479" spans="1:14" hidden="1" outlineLevel="1" x14ac:dyDescent="0.2">
      <c r="A9479" s="23" t="str">
        <f>HYPERLINK("https://www.spark-marketing.ru/Card/Person/41097", "МУ МВД РОССИИ ""КРАСНОЯРСКОЕ""")</f>
        <v>МУ МВД РОССИИ "КРАСНОЯРСКОЕ"</v>
      </c>
      <c r="B9479" s="24" t="s">
        <v>647</v>
      </c>
      <c r="C9479" s="25">
        <v>12552060</v>
      </c>
      <c r="D9479" s="22" t="s">
        <v>13665</v>
      </c>
      <c r="E9479" s="22" t="s">
        <v>48</v>
      </c>
      <c r="F9479" s="23" t="str">
        <f>HYPERLINK("https://www.spark-marketing.ru/Card/Lot/72531897", "Оказание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«Красноярское».")</f>
        <v>Оказание услуг по организации готового горячего питания лиц, подвергнутых административному аресту, содержащихся в специальном приемнике МУ МВД России «Красноярское».</v>
      </c>
      <c r="G9479" s="22" t="s">
        <v>281</v>
      </c>
      <c r="H9479" s="22" t="s">
        <v>281</v>
      </c>
      <c r="I9479" s="26">
        <v>43677.682349536997</v>
      </c>
      <c r="J9479" s="23" t="str">
        <f>HYPERLINK("https://www.spark-marketing.ru/Card/Person/5910323", "Федорова Елена Владимировна")</f>
        <v>Федорова Елена Владимировна</v>
      </c>
      <c r="K9479" s="24" t="s">
        <v>2487</v>
      </c>
      <c r="L9479" s="28" t="s">
        <v>51</v>
      </c>
      <c r="M9479" s="25">
        <v>8190215.7000000002</v>
      </c>
      <c r="N9479" s="27">
        <v>0.34750027485528273</v>
      </c>
    </row>
    <row r="9480" spans="1:14" x14ac:dyDescent="0.15">
      <c r="A9480" s="23" t="str">
        <f>HYPERLINK("https://www.spark-marketing.ru/Card/Person/1034080", "МБУК МТК ""ОГНИВО""")</f>
        <v>МБУК МТК "ОГНИВО"</v>
      </c>
      <c r="B9480" s="24" t="s">
        <v>13667</v>
      </c>
      <c r="C9480" s="25">
        <v>334000</v>
      </c>
      <c r="D9480" s="22" t="s">
        <v>13668</v>
      </c>
      <c r="E9480" s="22" t="s">
        <v>48</v>
      </c>
      <c r="F9480" s="23" t="str">
        <f>HYPERLINK("https://www.spark-marketing.ru/Card/Lot/72518062", "Оказание услуг по организации питания участников международного фестиваля ""Чаепитие в Мытищах""")</f>
        <v>Оказание услуг по организации питания участников международного фестиваля "Чаепитие в Мытищах"</v>
      </c>
      <c r="G9480" s="22" t="s">
        <v>49</v>
      </c>
      <c r="H9480" s="22" t="s">
        <v>537</v>
      </c>
      <c r="I9480" s="26">
        <v>43677.669733796298</v>
      </c>
      <c r="J9480" s="28" t="s">
        <v>51</v>
      </c>
      <c r="K9480" s="28" t="s">
        <v>51</v>
      </c>
      <c r="L9480" s="28" t="s">
        <v>51</v>
      </c>
      <c r="M9480" s="28" t="s">
        <v>51</v>
      </c>
      <c r="N9480" s="28" t="s">
        <v>51</v>
      </c>
    </row>
    <row r="9481" spans="1:14" x14ac:dyDescent="0.15">
      <c r="A9481" s="23" t="str">
        <f>HYPERLINK("https://www.spark-marketing.ru/Card/Person/56230", "ГАУЗ ""РКОД МЗ РТ""")</f>
        <v>ГАУЗ "РКОД МЗ РТ"</v>
      </c>
      <c r="B9481" s="24" t="s">
        <v>5996</v>
      </c>
      <c r="C9481" s="25">
        <v>1468628.76</v>
      </c>
      <c r="D9481" s="22" t="s">
        <v>13669</v>
      </c>
      <c r="E9481" s="22" t="s">
        <v>48</v>
      </c>
      <c r="F9481" s="23" t="str">
        <f>HYPERLINK("https://www.spark-marketing.ru/Card/Lot/72528996", "Оказание услуг по проведению питания для нужд Альметьевского филиала ГАУЗ ""РКОД МЗ РТ"" на 2019 год")</f>
        <v>Оказание услуг по проведению питания для нужд Альметьевского филиала ГАУЗ "РКОД МЗ РТ" на 2019 год</v>
      </c>
      <c r="G9481" s="22" t="s">
        <v>217</v>
      </c>
      <c r="H9481" s="22" t="s">
        <v>9289</v>
      </c>
      <c r="I9481" s="26">
        <v>43677.680752314802</v>
      </c>
      <c r="J9481" s="28" t="s">
        <v>51</v>
      </c>
      <c r="K9481" s="28" t="s">
        <v>51</v>
      </c>
      <c r="L9481" s="28" t="s">
        <v>51</v>
      </c>
      <c r="M9481" s="28" t="s">
        <v>51</v>
      </c>
      <c r="N9481" s="28" t="s">
        <v>51</v>
      </c>
    </row>
    <row r="9482" spans="1:14" ht="12.75" hidden="1" outlineLevel="1" x14ac:dyDescent="0.2">
      <c r="A9482" s="23" t="str">
        <f>HYPERLINK("https://www.spark-marketing.ru/Card/Person/56230", "ГАУЗ ""РКОД МЗ РТ""")</f>
        <v>ГАУЗ "РКОД МЗ РТ"</v>
      </c>
      <c r="B9482" s="24" t="s">
        <v>5996</v>
      </c>
      <c r="C9482" s="25">
        <v>1468628.76</v>
      </c>
      <c r="D9482" s="22" t="s">
        <v>13669</v>
      </c>
      <c r="E9482" s="22" t="s">
        <v>48</v>
      </c>
      <c r="F9482" s="23" t="str">
        <f>HYPERLINK("https://www.spark-marketing.ru/Card/Lot/72528996", "Оказание услуг по проведению питания для нужд Альметьевского филиала ГАУЗ ""РКОД МЗ РТ"" на 2019 год")</f>
        <v>Оказание услуг по проведению питания для нужд Альметьевского филиала ГАУЗ "РКОД МЗ РТ" на 2019 год</v>
      </c>
      <c r="G9482" s="22" t="s">
        <v>217</v>
      </c>
      <c r="H9482" s="22" t="s">
        <v>9289</v>
      </c>
      <c r="I9482" s="26">
        <v>43677.680752314802</v>
      </c>
      <c r="J9482" s="23" t="str">
        <f>HYPERLINK("https://www.spark-marketing.ru/Card/Person/6084653", "ООО ""ВИТАРА""")</f>
        <v>ООО "ВИТАРА"</v>
      </c>
      <c r="K9482" s="24" t="s">
        <v>2437</v>
      </c>
      <c r="L9482" s="22" t="s">
        <v>10</v>
      </c>
      <c r="M9482" s="25">
        <v>1468628.76</v>
      </c>
      <c r="N9482" s="27">
        <v>0</v>
      </c>
    </row>
    <row r="9483" spans="1:14" hidden="1" outlineLevel="1" x14ac:dyDescent="0.2">
      <c r="A9483" s="23" t="str">
        <f>HYPERLINK("https://www.spark-marketing.ru/Card/Person/56230", "ГАУЗ ""РКОД МЗ РТ""")</f>
        <v>ГАУЗ "РКОД МЗ РТ"</v>
      </c>
      <c r="B9483" s="24" t="s">
        <v>5996</v>
      </c>
      <c r="C9483" s="25">
        <v>1468628.76</v>
      </c>
      <c r="D9483" s="22" t="s">
        <v>13669</v>
      </c>
      <c r="E9483" s="22" t="s">
        <v>48</v>
      </c>
      <c r="F9483" s="23" t="str">
        <f>HYPERLINK("https://www.spark-marketing.ru/Card/Lot/72528996", "Оказание услуг по проведению питания для нужд Альметьевского филиала ГАУЗ ""РКОД МЗ РТ"" на 2019 год")</f>
        <v>Оказание услуг по проведению питания для нужд Альметьевского филиала ГАУЗ "РКОД МЗ РТ" на 2019 год</v>
      </c>
      <c r="G9483" s="22" t="s">
        <v>217</v>
      </c>
      <c r="H9483" s="22" t="s">
        <v>9289</v>
      </c>
      <c r="I9483" s="26">
        <v>43677.680752314802</v>
      </c>
      <c r="J9483" s="23" t="str">
        <f>HYPERLINK("https://www.spark-marketing.ru/Card/Person/6075772", "ООО ""ЭТАЛОН+""")</f>
        <v>ООО "ЭТАЛОН+"</v>
      </c>
      <c r="K9483" s="24" t="s">
        <v>5846</v>
      </c>
      <c r="L9483" s="28" t="s">
        <v>51</v>
      </c>
      <c r="M9483" s="25">
        <v>1468628.76</v>
      </c>
      <c r="N9483" s="27">
        <v>0</v>
      </c>
    </row>
    <row r="9484" spans="1:14" x14ac:dyDescent="0.15">
      <c r="A9484" s="23" t="str">
        <f>HYPERLINK("https://www.spark-marketing.ru/Card/Person/102346", "МУ МВД РОССИИ ""БРАТСКОЕ""")</f>
        <v>МУ МВД РОССИИ "БРАТСКОЕ"</v>
      </c>
      <c r="B9484" s="24" t="s">
        <v>13670</v>
      </c>
      <c r="C9484" s="25">
        <v>1935000</v>
      </c>
      <c r="D9484" s="22" t="s">
        <v>13671</v>
      </c>
      <c r="E9484" s="22" t="s">
        <v>48</v>
      </c>
      <c r="F9484" s="23" t="str">
        <f>HYPERLINK("https://www.spark-marketing.ru/Card/Lot/72529494", "Прочая закупка товаров, работ и услуг (Оказание услуг по организации комплексного питания)")</f>
        <v>Прочая закупка товаров, работ и услуг (Оказание услуг по организации комплексного питания)</v>
      </c>
      <c r="G9484" s="22" t="s">
        <v>263</v>
      </c>
      <c r="H9484" s="22" t="s">
        <v>13672</v>
      </c>
      <c r="I9484" s="26">
        <v>43677.690844907404</v>
      </c>
      <c r="J9484" s="23" t="str">
        <f>HYPERLINK("https://www.spark-marketing.ru/Card/Person/112724", "Скороходова Ольга Валерьевна")</f>
        <v>Скороходова Ольга Валерьевна</v>
      </c>
      <c r="K9484" s="24" t="s">
        <v>4484</v>
      </c>
      <c r="L9484" s="22" t="s">
        <v>10</v>
      </c>
      <c r="M9484" s="28" t="s">
        <v>51</v>
      </c>
      <c r="N9484" s="28" t="s">
        <v>51</v>
      </c>
    </row>
    <row r="9485" spans="1:14" x14ac:dyDescent="0.15">
      <c r="A9485" s="23" t="str">
        <f>HYPERLINK("https://www.spark-marketing.ru/Card/Person/1014613", "ОКОУ ""ШКОЛА-ИНТЕРНАТ № 3"" Г. КУРСКА")</f>
        <v>ОКОУ "ШКОЛА-ИНТЕРНАТ № 3" Г. КУРСКА</v>
      </c>
      <c r="B9485" s="24" t="s">
        <v>13673</v>
      </c>
      <c r="C9485" s="25">
        <v>1050477.1200000001</v>
      </c>
      <c r="D9485" s="22" t="s">
        <v>13674</v>
      </c>
      <c r="E9485" s="22" t="s">
        <v>51</v>
      </c>
      <c r="F9485" s="23" t="str">
        <f>HYPERLINK("https://www.spark-marketing.ru/Card/Lot/72526940", "Оказание услуги по организации ежедневного пятиразового питания обучающихся")</f>
        <v>Оказание услуги по организации ежедневного пятиразового питания обучающихся</v>
      </c>
      <c r="G9485" s="22" t="s">
        <v>1111</v>
      </c>
      <c r="H9485" s="22" t="s">
        <v>1111</v>
      </c>
      <c r="I9485" s="26">
        <v>43677.707638888904</v>
      </c>
      <c r="J9485" s="28" t="s">
        <v>51</v>
      </c>
      <c r="K9485" s="28" t="s">
        <v>51</v>
      </c>
      <c r="L9485" s="28" t="s">
        <v>51</v>
      </c>
      <c r="M9485" s="28" t="s">
        <v>51</v>
      </c>
      <c r="N9485" s="28" t="s">
        <v>51</v>
      </c>
    </row>
    <row r="9486" spans="1:14" hidden="1" outlineLevel="1" x14ac:dyDescent="0.2">
      <c r="A9486" s="23" t="str">
        <f>HYPERLINK("https://www.spark-marketing.ru/Card/Person/1014613", "ОКОУ ""ШКОЛА-ИНТЕРНАТ № 3"" Г. КУРСКА")</f>
        <v>ОКОУ "ШКОЛА-ИНТЕРНАТ № 3" Г. КУРСКА</v>
      </c>
      <c r="B9486" s="24" t="s">
        <v>13673</v>
      </c>
      <c r="C9486" s="25">
        <v>1050477.1200000001</v>
      </c>
      <c r="D9486" s="22" t="s">
        <v>13674</v>
      </c>
      <c r="E9486" s="22" t="s">
        <v>51</v>
      </c>
      <c r="F9486" s="23" t="str">
        <f>HYPERLINK("https://www.spark-marketing.ru/Card/Lot/72526940", "Оказание услуги по организации ежедневного пятиразового питания обучающихся")</f>
        <v>Оказание услуги по организации ежедневного пятиразового питания обучающихся</v>
      </c>
      <c r="G9486" s="22" t="s">
        <v>1111</v>
      </c>
      <c r="H9486" s="22" t="s">
        <v>1111</v>
      </c>
      <c r="I9486" s="26">
        <v>43677.707638888904</v>
      </c>
      <c r="J9486" s="23" t="str">
        <f>HYPERLINK("https://www.spark-marketing.ru/Card/Person/440432", "ООО ""ПЕРЕМЕНА""")</f>
        <v>ООО "ПЕРЕМЕНА"</v>
      </c>
      <c r="K9486" s="24" t="s">
        <v>13675</v>
      </c>
      <c r="L9486" s="28" t="s">
        <v>51</v>
      </c>
      <c r="M9486" s="25">
        <v>1047000</v>
      </c>
      <c r="N9486" s="27">
        <v>3.3100387755232593E-3</v>
      </c>
    </row>
    <row r="9487" spans="1:14" ht="12.75" hidden="1" outlineLevel="1" x14ac:dyDescent="0.2">
      <c r="A9487" s="23" t="str">
        <f>HYPERLINK("https://www.spark-marketing.ru/Card/Person/1014613", "ОКОУ ""ШКОЛА-ИНТЕРНАТ № 3"" Г. КУРСКА")</f>
        <v>ОКОУ "ШКОЛА-ИНТЕРНАТ № 3" Г. КУРСКА</v>
      </c>
      <c r="B9487" s="24" t="s">
        <v>13673</v>
      </c>
      <c r="C9487" s="25">
        <v>1050477.1200000001</v>
      </c>
      <c r="D9487" s="22" t="s">
        <v>13674</v>
      </c>
      <c r="E9487" s="22" t="s">
        <v>51</v>
      </c>
      <c r="F9487" s="23" t="str">
        <f>HYPERLINK("https://www.spark-marketing.ru/Card/Lot/72526940", "Оказание услуги по организации ежедневного пятиразового питания обучающихся")</f>
        <v>Оказание услуги по организации ежедневного пятиразового питания обучающихся</v>
      </c>
      <c r="G9487" s="22" t="s">
        <v>1111</v>
      </c>
      <c r="H9487" s="22" t="s">
        <v>1111</v>
      </c>
      <c r="I9487" s="26">
        <v>43677.707638888904</v>
      </c>
      <c r="J9487" s="23" t="str">
        <f>HYPERLINK("https://www.spark-marketing.ru/Card/Person/671861", "ООО ""КОНГРЕСС""")</f>
        <v>ООО "КОНГРЕСС"</v>
      </c>
      <c r="K9487" s="24" t="s">
        <v>4512</v>
      </c>
      <c r="L9487" s="22" t="s">
        <v>10</v>
      </c>
      <c r="M9487" s="25">
        <v>1048280</v>
      </c>
      <c r="N9487" s="27">
        <v>2.0915448401198876E-3</v>
      </c>
    </row>
    <row r="9488" spans="1:14" x14ac:dyDescent="0.15">
      <c r="A9488" s="23" t="str">
        <f>HYPERLINK("https://www.spark-marketing.ru/Card/Person/102346", "МУ МВД РОССИИ ""БРАТСКОЕ""")</f>
        <v>МУ МВД РОССИИ "БРАТСКОЕ"</v>
      </c>
      <c r="B9488" s="24" t="s">
        <v>13670</v>
      </c>
      <c r="C9488" s="25">
        <v>1935000</v>
      </c>
      <c r="D9488" s="22" t="s">
        <v>13676</v>
      </c>
      <c r="E9488" s="22" t="s">
        <v>48</v>
      </c>
      <c r="F9488" s="23" t="str">
        <f>HYPERLINK("https://www.spark-marketing.ru/Card/Lot/72529497", "Прочая закупка товаров, работ и услуг (Оказание услуг по организации комплексного питания)")</f>
        <v>Прочая закупка товаров, работ и услуг (Оказание услуг по организации комплексного питания)</v>
      </c>
      <c r="G9488" s="22" t="s">
        <v>263</v>
      </c>
      <c r="H9488" s="22" t="s">
        <v>13672</v>
      </c>
      <c r="I9488" s="26">
        <v>43677.692638888897</v>
      </c>
      <c r="J9488" s="23" t="str">
        <f>HYPERLINK("https://www.spark-marketing.ru/Card/Person/112724", "Скороходова Ольга Валерьевна")</f>
        <v>Скороходова Ольга Валерьевна</v>
      </c>
      <c r="K9488" s="24" t="s">
        <v>4484</v>
      </c>
      <c r="L9488" s="22" t="s">
        <v>10</v>
      </c>
      <c r="M9488" s="28" t="s">
        <v>51</v>
      </c>
      <c r="N9488" s="28" t="s">
        <v>51</v>
      </c>
    </row>
    <row r="9489" spans="1:14" x14ac:dyDescent="0.15">
      <c r="A9489" s="23" t="str">
        <f>HYPERLINK("https://www.spark-marketing.ru/Card/Person/1080508", "АДМИНИСТРАЦИЯ Р.П. ВОЗНЕСЕНСКОЕ")</f>
        <v>АДМИНИСТРАЦИЯ Р.П. ВОЗНЕСЕНСКОЕ</v>
      </c>
      <c r="B9489" s="24" t="s">
        <v>636</v>
      </c>
      <c r="C9489" s="25">
        <v>120288</v>
      </c>
      <c r="D9489" s="22" t="s">
        <v>13677</v>
      </c>
      <c r="E9489" s="22" t="s">
        <v>96</v>
      </c>
      <c r="F9489" s="23" t="str">
        <f>HYPERLINK("https://www.spark-marketing.ru/Card/Lot/72520348", "Услуги по обеспечению питанием")</f>
        <v>Услуги по обеспечению питанием</v>
      </c>
      <c r="G9489" s="22" t="s">
        <v>76</v>
      </c>
      <c r="H9489" s="22" t="s">
        <v>638</v>
      </c>
      <c r="I9489" s="26">
        <v>43677.678749999999</v>
      </c>
      <c r="J9489" s="23" t="str">
        <f>HYPERLINK("https://www.spark-marketing.ru/Card/Person/289448", "МУП ""ВСТРЕЧА""")</f>
        <v>МУП "ВСТРЕЧА"</v>
      </c>
      <c r="K9489" s="24" t="s">
        <v>13678</v>
      </c>
      <c r="L9489" s="22" t="s">
        <v>10</v>
      </c>
      <c r="M9489" s="28" t="s">
        <v>51</v>
      </c>
      <c r="N9489" s="28" t="s">
        <v>51</v>
      </c>
    </row>
    <row r="9490" spans="1:14" x14ac:dyDescent="0.15">
      <c r="A9490" s="23" t="str">
        <f t="shared" ref="A9490:A9495" si="226">HYPERLINK("https://www.spark-marketing.ru/Card/Person/111208", "ГБУЗ ""СЕВЕРНАЯ РБ""")</f>
        <v>ГБУЗ "СЕВЕРНАЯ РБ"</v>
      </c>
      <c r="B9490" s="24" t="s">
        <v>13679</v>
      </c>
      <c r="C9490" s="25">
        <v>2312266.7999999998</v>
      </c>
      <c r="D9490" s="22" t="s">
        <v>13680</v>
      </c>
      <c r="E9490" s="22" t="s">
        <v>809</v>
      </c>
      <c r="F9490" s="23" t="str">
        <f t="shared" ref="F9490:F9495" si="227">HYPERLINK("https://www.spark-marketing.ru/Card/Lot/72529888", "На поставку Автоматизированных рабочих мест")</f>
        <v>На поставку Автоматизированных рабочих мест</v>
      </c>
      <c r="G9490" s="22" t="s">
        <v>132</v>
      </c>
      <c r="H9490" s="22" t="s">
        <v>13681</v>
      </c>
      <c r="I9490" s="26">
        <v>43677.616770833301</v>
      </c>
      <c r="J9490" s="28" t="s">
        <v>51</v>
      </c>
      <c r="K9490" s="28" t="s">
        <v>51</v>
      </c>
      <c r="L9490" s="28" t="s">
        <v>51</v>
      </c>
      <c r="M9490" s="28" t="s">
        <v>51</v>
      </c>
      <c r="N9490" s="28" t="s">
        <v>51</v>
      </c>
    </row>
    <row r="9491" spans="1:14" hidden="1" outlineLevel="1" x14ac:dyDescent="0.2">
      <c r="A9491" s="23" t="str">
        <f t="shared" si="226"/>
        <v>ГБУЗ "СЕВЕРНАЯ РБ"</v>
      </c>
      <c r="B9491" s="24" t="s">
        <v>13679</v>
      </c>
      <c r="C9491" s="25">
        <v>2312266.7999999998</v>
      </c>
      <c r="D9491" s="22" t="s">
        <v>13680</v>
      </c>
      <c r="E9491" s="22" t="s">
        <v>809</v>
      </c>
      <c r="F9491" s="23" t="str">
        <f t="shared" si="227"/>
        <v>На поставку Автоматизированных рабочих мест</v>
      </c>
      <c r="G9491" s="22" t="s">
        <v>132</v>
      </c>
      <c r="H9491" s="22" t="s">
        <v>13681</v>
      </c>
      <c r="I9491" s="26">
        <v>43677.616770833301</v>
      </c>
      <c r="J9491" s="23" t="str">
        <f>HYPERLINK("https://www.spark-marketing.ru/Card/Person/6499259", "ООО ""АЙТИМ""")</f>
        <v>ООО "АЙТИМ"</v>
      </c>
      <c r="K9491" s="24" t="s">
        <v>12113</v>
      </c>
      <c r="L9491" s="28" t="s">
        <v>51</v>
      </c>
      <c r="M9491" s="25">
        <v>1722630.67</v>
      </c>
      <c r="N9491" s="27">
        <v>0.25500350132605804</v>
      </c>
    </row>
    <row r="9492" spans="1:14" hidden="1" outlineLevel="1" x14ac:dyDescent="0.2">
      <c r="A9492" s="23" t="str">
        <f t="shared" si="226"/>
        <v>ГБУЗ "СЕВЕРНАЯ РБ"</v>
      </c>
      <c r="B9492" s="24" t="s">
        <v>13679</v>
      </c>
      <c r="C9492" s="25">
        <v>2312266.7999999998</v>
      </c>
      <c r="D9492" s="22" t="s">
        <v>13680</v>
      </c>
      <c r="E9492" s="22" t="s">
        <v>809</v>
      </c>
      <c r="F9492" s="23" t="str">
        <f t="shared" si="227"/>
        <v>На поставку Автоматизированных рабочих мест</v>
      </c>
      <c r="G9492" s="22" t="s">
        <v>132</v>
      </c>
      <c r="H9492" s="22" t="s">
        <v>13681</v>
      </c>
      <c r="I9492" s="26">
        <v>43677.616770833301</v>
      </c>
      <c r="J9492" s="23" t="str">
        <f>HYPERLINK("https://www.spark-marketing.ru/Card/Person/4879297", "ООО ""СТРУКТУРА МОМЕНТА""")</f>
        <v>ООО "СТРУКТУРА МОМЕНТА"</v>
      </c>
      <c r="K9492" s="24" t="s">
        <v>1783</v>
      </c>
      <c r="L9492" s="28" t="s">
        <v>51</v>
      </c>
      <c r="M9492" s="25">
        <v>1815122.67</v>
      </c>
      <c r="N9492" s="27">
        <v>0.21500292699787066</v>
      </c>
    </row>
    <row r="9493" spans="1:14" ht="12.75" hidden="1" outlineLevel="1" x14ac:dyDescent="0.2">
      <c r="A9493" s="23" t="str">
        <f t="shared" si="226"/>
        <v>ГБУЗ "СЕВЕРНАЯ РБ"</v>
      </c>
      <c r="B9493" s="24" t="s">
        <v>13679</v>
      </c>
      <c r="C9493" s="25">
        <v>2312266.7999999998</v>
      </c>
      <c r="D9493" s="22" t="s">
        <v>13680</v>
      </c>
      <c r="E9493" s="22" t="s">
        <v>809</v>
      </c>
      <c r="F9493" s="23" t="str">
        <f t="shared" si="227"/>
        <v>На поставку Автоматизированных рабочих мест</v>
      </c>
      <c r="G9493" s="22" t="s">
        <v>132</v>
      </c>
      <c r="H9493" s="22" t="s">
        <v>13681</v>
      </c>
      <c r="I9493" s="26">
        <v>43677.616770833301</v>
      </c>
      <c r="J9493" s="23" t="str">
        <f>HYPERLINK("https://www.spark-marketing.ru/Card/Person/390597", "ООО ""КОМПЛЕКС-СНАСТ""")</f>
        <v>ООО "КОМПЛЕКС-СНАСТ"</v>
      </c>
      <c r="K9493" s="24" t="s">
        <v>10667</v>
      </c>
      <c r="L9493" s="22" t="s">
        <v>10</v>
      </c>
      <c r="M9493" s="25">
        <v>1711069</v>
      </c>
      <c r="N9493" s="27">
        <v>0.26000364663800907</v>
      </c>
    </row>
    <row r="9494" spans="1:14" hidden="1" outlineLevel="1" x14ac:dyDescent="0.2">
      <c r="A9494" s="23" t="str">
        <f t="shared" si="226"/>
        <v>ГБУЗ "СЕВЕРНАЯ РБ"</v>
      </c>
      <c r="B9494" s="24" t="s">
        <v>13679</v>
      </c>
      <c r="C9494" s="25">
        <v>2312266.7999999998</v>
      </c>
      <c r="D9494" s="22" t="s">
        <v>13680</v>
      </c>
      <c r="E9494" s="22" t="s">
        <v>809</v>
      </c>
      <c r="F9494" s="23" t="str">
        <f t="shared" si="227"/>
        <v>На поставку Автоматизированных рабочих мест</v>
      </c>
      <c r="G9494" s="22" t="s">
        <v>132</v>
      </c>
      <c r="H9494" s="22" t="s">
        <v>13681</v>
      </c>
      <c r="I9494" s="26">
        <v>43677.616770833301</v>
      </c>
      <c r="J9494" s="23" t="str">
        <f>HYPERLINK("https://www.spark-marketing.ru/Card/Person/66881", "ООО ""ВЕСТ-ТАЙП""")</f>
        <v>ООО "ВЕСТ-ТАЙП"</v>
      </c>
      <c r="K9494" s="24" t="s">
        <v>13682</v>
      </c>
      <c r="L9494" s="28" t="s">
        <v>51</v>
      </c>
      <c r="M9494" s="25">
        <v>2057914</v>
      </c>
      <c r="N9494" s="27">
        <v>0.11000149290730638</v>
      </c>
    </row>
    <row r="9495" spans="1:14" hidden="1" outlineLevel="1" x14ac:dyDescent="0.2">
      <c r="A9495" s="23" t="str">
        <f t="shared" si="226"/>
        <v>ГБУЗ "СЕВЕРНАЯ РБ"</v>
      </c>
      <c r="B9495" s="24" t="s">
        <v>13679</v>
      </c>
      <c r="C9495" s="25">
        <v>2312266.7999999998</v>
      </c>
      <c r="D9495" s="22" t="s">
        <v>13680</v>
      </c>
      <c r="E9495" s="22" t="s">
        <v>809</v>
      </c>
      <c r="F9495" s="23" t="str">
        <f t="shared" si="227"/>
        <v>На поставку Автоматизированных рабочих мест</v>
      </c>
      <c r="G9495" s="22" t="s">
        <v>132</v>
      </c>
      <c r="H9495" s="22" t="s">
        <v>13681</v>
      </c>
      <c r="I9495" s="26">
        <v>43677.616770833301</v>
      </c>
      <c r="J9495" s="23" t="str">
        <f>HYPERLINK("https://www.spark-marketing.ru/Card/Person/6621185", "ООО ""ГУД АЙТИ""")</f>
        <v>ООО "ГУД АЙТИ"</v>
      </c>
      <c r="K9495" s="24" t="s">
        <v>13683</v>
      </c>
      <c r="L9495" s="28" t="s">
        <v>51</v>
      </c>
      <c r="M9495" s="25">
        <v>2266021</v>
      </c>
      <c r="N9495" s="27">
        <v>2.0000200668884749E-2</v>
      </c>
    </row>
    <row r="9496" spans="1:14" x14ac:dyDescent="0.15">
      <c r="A9496" s="23" t="str">
        <f t="shared" ref="A9496:A9502" si="228">HYPERLINK("https://www.spark-marketing.ru/Card/Person/5816959", "КРАСНОЯРСКСТАТ")</f>
        <v>КРАСНОЯРСКСТАТ</v>
      </c>
      <c r="B9496" s="24" t="s">
        <v>13684</v>
      </c>
      <c r="C9496" s="25">
        <v>71754.289999999994</v>
      </c>
      <c r="D9496" s="22" t="s">
        <v>13685</v>
      </c>
      <c r="E9496" s="22" t="s">
        <v>1166</v>
      </c>
      <c r="F9496" s="23" t="str">
        <f t="shared" ref="F9496:F9502" si="229">HYPERLINK("https://www.spark-marketing.ru/Card/Lot/72513105", "Оказание услуг по разборке и утилизации оборудования компьютерной техники")</f>
        <v>Оказание услуг по разборке и утилизации оборудования компьютерной техники</v>
      </c>
      <c r="G9496" s="22" t="s">
        <v>281</v>
      </c>
      <c r="H9496" s="22" t="s">
        <v>281</v>
      </c>
      <c r="I9496" s="26">
        <v>43677.696550925903</v>
      </c>
      <c r="J9496" s="28" t="s">
        <v>51</v>
      </c>
      <c r="K9496" s="28" t="s">
        <v>51</v>
      </c>
      <c r="L9496" s="28" t="s">
        <v>51</v>
      </c>
      <c r="M9496" s="28" t="s">
        <v>51</v>
      </c>
      <c r="N9496" s="28" t="s">
        <v>51</v>
      </c>
    </row>
    <row r="9497" spans="1:14" ht="12.75" hidden="1" outlineLevel="1" x14ac:dyDescent="0.2">
      <c r="A9497" s="23" t="str">
        <f t="shared" si="228"/>
        <v>КРАСНОЯРСКСТАТ</v>
      </c>
      <c r="B9497" s="24" t="s">
        <v>13684</v>
      </c>
      <c r="C9497" s="25">
        <v>71754.289999999994</v>
      </c>
      <c r="D9497" s="22" t="s">
        <v>13685</v>
      </c>
      <c r="E9497" s="22" t="s">
        <v>1166</v>
      </c>
      <c r="F9497" s="23" t="str">
        <f t="shared" si="229"/>
        <v>Оказание услуг по разборке и утилизации оборудования компьютерной техники</v>
      </c>
      <c r="G9497" s="22" t="s">
        <v>281</v>
      </c>
      <c r="H9497" s="22" t="s">
        <v>281</v>
      </c>
      <c r="I9497" s="26">
        <v>43677.696550925903</v>
      </c>
      <c r="J9497" s="23" t="str">
        <f>HYPERLINK("https://www.spark-marketing.ru/Card/Person/6059583", "ООО ""ЭКОСЕРВИС""")</f>
        <v>ООО "ЭКОСЕРВИС"</v>
      </c>
      <c r="K9497" s="24" t="s">
        <v>13686</v>
      </c>
      <c r="L9497" s="22" t="s">
        <v>10</v>
      </c>
      <c r="M9497" s="25">
        <v>14072.46</v>
      </c>
      <c r="N9497" s="27">
        <v>0.80387987951661144</v>
      </c>
    </row>
    <row r="9498" spans="1:14" hidden="1" outlineLevel="1" x14ac:dyDescent="0.2">
      <c r="A9498" s="23" t="str">
        <f t="shared" si="228"/>
        <v>КРАСНОЯРСКСТАТ</v>
      </c>
      <c r="B9498" s="24" t="s">
        <v>13684</v>
      </c>
      <c r="C9498" s="25">
        <v>71754.289999999994</v>
      </c>
      <c r="D9498" s="22" t="s">
        <v>13685</v>
      </c>
      <c r="E9498" s="22" t="s">
        <v>1166</v>
      </c>
      <c r="F9498" s="23" t="str">
        <f t="shared" si="229"/>
        <v>Оказание услуг по разборке и утилизации оборудования компьютерной техники</v>
      </c>
      <c r="G9498" s="22" t="s">
        <v>281</v>
      </c>
      <c r="H9498" s="22" t="s">
        <v>281</v>
      </c>
      <c r="I9498" s="26">
        <v>43677.696550925903</v>
      </c>
      <c r="J9498" s="23" t="str">
        <f>HYPERLINK("https://www.spark-marketing.ru/Card/Person/218462", "Кудаков Игорь Витальевич")</f>
        <v>Кудаков Игорь Витальевич</v>
      </c>
      <c r="K9498" s="24" t="s">
        <v>13687</v>
      </c>
      <c r="L9498" s="28" t="s">
        <v>51</v>
      </c>
      <c r="M9498" s="25">
        <v>19218.45</v>
      </c>
      <c r="N9498" s="27">
        <v>0.73216305255058622</v>
      </c>
    </row>
    <row r="9499" spans="1:14" hidden="1" outlineLevel="1" x14ac:dyDescent="0.2">
      <c r="A9499" s="23" t="str">
        <f t="shared" si="228"/>
        <v>КРАСНОЯРСКСТАТ</v>
      </c>
      <c r="B9499" s="24" t="s">
        <v>13684</v>
      </c>
      <c r="C9499" s="25">
        <v>71754.289999999994</v>
      </c>
      <c r="D9499" s="22" t="s">
        <v>13685</v>
      </c>
      <c r="E9499" s="22" t="s">
        <v>1166</v>
      </c>
      <c r="F9499" s="23" t="str">
        <f t="shared" si="229"/>
        <v>Оказание услуг по разборке и утилизации оборудования компьютерной техники</v>
      </c>
      <c r="G9499" s="22" t="s">
        <v>281</v>
      </c>
      <c r="H9499" s="22" t="s">
        <v>281</v>
      </c>
      <c r="I9499" s="26">
        <v>43677.696550925903</v>
      </c>
      <c r="J9499" s="23" t="str">
        <f>HYPERLINK("https://www.spark-marketing.ru/Card/Person/187161", "ООО ""ПРОЕКТСЕРВИС""")</f>
        <v>ООО "ПРОЕКТСЕРВИС"</v>
      </c>
      <c r="K9499" s="24" t="s">
        <v>13688</v>
      </c>
      <c r="L9499" s="28" t="s">
        <v>51</v>
      </c>
      <c r="M9499" s="25">
        <v>24600</v>
      </c>
      <c r="N9499" s="27">
        <v>0.65716335566835093</v>
      </c>
    </row>
    <row r="9500" spans="1:14" hidden="1" outlineLevel="1" x14ac:dyDescent="0.2">
      <c r="A9500" s="23" t="str">
        <f t="shared" si="228"/>
        <v>КРАСНОЯРСКСТАТ</v>
      </c>
      <c r="B9500" s="24" t="s">
        <v>13684</v>
      </c>
      <c r="C9500" s="25">
        <v>71754.289999999994</v>
      </c>
      <c r="D9500" s="22" t="s">
        <v>13685</v>
      </c>
      <c r="E9500" s="22" t="s">
        <v>1166</v>
      </c>
      <c r="F9500" s="23" t="str">
        <f t="shared" si="229"/>
        <v>Оказание услуг по разборке и утилизации оборудования компьютерной техники</v>
      </c>
      <c r="G9500" s="22" t="s">
        <v>281</v>
      </c>
      <c r="H9500" s="22" t="s">
        <v>281</v>
      </c>
      <c r="I9500" s="26">
        <v>43677.696550925903</v>
      </c>
      <c r="J9500" s="23" t="str">
        <f>HYPERLINK("https://www.spark-marketing.ru/Card/Person/166753", "ООО ""КВАРЦИТ""")</f>
        <v>ООО "КВАРЦИТ"</v>
      </c>
      <c r="K9500" s="24" t="s">
        <v>13689</v>
      </c>
      <c r="L9500" s="28" t="s">
        <v>51</v>
      </c>
      <c r="M9500" s="25">
        <v>41959.35</v>
      </c>
      <c r="N9500" s="27">
        <v>0.41523566047409849</v>
      </c>
    </row>
    <row r="9501" spans="1:14" hidden="1" outlineLevel="1" x14ac:dyDescent="0.2">
      <c r="A9501" s="23" t="str">
        <f t="shared" si="228"/>
        <v>КРАСНОЯРСКСТАТ</v>
      </c>
      <c r="B9501" s="24" t="s">
        <v>13684</v>
      </c>
      <c r="C9501" s="25">
        <v>71754.289999999994</v>
      </c>
      <c r="D9501" s="22" t="s">
        <v>13685</v>
      </c>
      <c r="E9501" s="22" t="s">
        <v>1166</v>
      </c>
      <c r="F9501" s="23" t="str">
        <f t="shared" si="229"/>
        <v>Оказание услуг по разборке и утилизации оборудования компьютерной техники</v>
      </c>
      <c r="G9501" s="22" t="s">
        <v>281</v>
      </c>
      <c r="H9501" s="22" t="s">
        <v>281</v>
      </c>
      <c r="I9501" s="26">
        <v>43677.696550925903</v>
      </c>
      <c r="J9501" s="23" t="str">
        <f>HYPERLINK("https://www.spark-marketing.ru/Card/Person/147184", "ООО ""ПРОСОФТ""")</f>
        <v>ООО "ПРОСОФТ"</v>
      </c>
      <c r="K9501" s="24" t="s">
        <v>13690</v>
      </c>
      <c r="L9501" s="28" t="s">
        <v>51</v>
      </c>
      <c r="M9501" s="25">
        <v>68525.36</v>
      </c>
      <c r="N9501" s="27">
        <v>4.4999818129341118E-2</v>
      </c>
    </row>
    <row r="9502" spans="1:14" hidden="1" outlineLevel="1" x14ac:dyDescent="0.2">
      <c r="A9502" s="23" t="str">
        <f t="shared" si="228"/>
        <v>КРАСНОЯРСКСТАТ</v>
      </c>
      <c r="B9502" s="24" t="s">
        <v>13684</v>
      </c>
      <c r="C9502" s="25">
        <v>71754.289999999994</v>
      </c>
      <c r="D9502" s="22" t="s">
        <v>13685</v>
      </c>
      <c r="E9502" s="22" t="s">
        <v>1166</v>
      </c>
      <c r="F9502" s="23" t="str">
        <f t="shared" si="229"/>
        <v>Оказание услуг по разборке и утилизации оборудования компьютерной техники</v>
      </c>
      <c r="G9502" s="22" t="s">
        <v>281</v>
      </c>
      <c r="H9502" s="22" t="s">
        <v>281</v>
      </c>
      <c r="I9502" s="26">
        <v>43677.696550925903</v>
      </c>
      <c r="J9502" s="23" t="str">
        <f>HYPERLINK("https://www.spark-marketing.ru/Card/Person/153456", "ООО ""ПЭБ""")</f>
        <v>ООО "ПЭБ"</v>
      </c>
      <c r="K9502" s="24" t="s">
        <v>2515</v>
      </c>
      <c r="L9502" s="28" t="s">
        <v>51</v>
      </c>
      <c r="M9502" s="25">
        <v>14072.46</v>
      </c>
      <c r="N9502" s="27">
        <v>0.80387987951661144</v>
      </c>
    </row>
    <row r="9503" spans="1:14" x14ac:dyDescent="0.15">
      <c r="A9503" s="23" t="str">
        <f>HYPERLINK("https://www.spark-marketing.ru/Card/Person/6086", "ГКУ ""ДИРЕКЦИЯ ОДОТСЗН Г. МОСКВЫ""")</f>
        <v>ГКУ "ДИРЕКЦИЯ ОДОТСЗН Г. МОСКВЫ"</v>
      </c>
      <c r="B9503" s="24" t="s">
        <v>164</v>
      </c>
      <c r="C9503" s="25">
        <v>2534742.4500000002</v>
      </c>
      <c r="D9503" s="22" t="s">
        <v>13691</v>
      </c>
      <c r="E9503" s="22" t="s">
        <v>96</v>
      </c>
      <c r="F9503" s="23" t="str">
        <f>HYPERLINK("https://www.spark-marketing.ru/Card/Lot/72530108", "Организация горячего питания в ГБУ ПНИ № 4 в 2019 году (226-19-4-1)")</f>
        <v>Организация горячего питания в ГБУ ПНИ № 4 в 2019 году (226-19-4-1)</v>
      </c>
      <c r="G9503" s="22" t="s">
        <v>56</v>
      </c>
      <c r="H9503" s="22" t="s">
        <v>56</v>
      </c>
      <c r="I9503" s="26">
        <v>43677.667361111096</v>
      </c>
      <c r="J9503" s="28" t="s">
        <v>51</v>
      </c>
      <c r="K9503" s="28" t="s">
        <v>51</v>
      </c>
      <c r="L9503" s="28" t="s">
        <v>51</v>
      </c>
      <c r="M9503" s="28" t="s">
        <v>51</v>
      </c>
      <c r="N9503" s="28" t="s">
        <v>51</v>
      </c>
    </row>
    <row r="9504" spans="1:14" ht="12.75" hidden="1" outlineLevel="1" x14ac:dyDescent="0.2">
      <c r="A9504" s="23" t="str">
        <f>HYPERLINK("https://www.spark-marketing.ru/Card/Person/6086", "ГКУ ""ДИРЕКЦИЯ ОДОТСЗН Г. МОСКВЫ""")</f>
        <v>ГКУ "ДИРЕКЦИЯ ОДОТСЗН Г. МОСКВЫ"</v>
      </c>
      <c r="B9504" s="24" t="s">
        <v>164</v>
      </c>
      <c r="C9504" s="25">
        <v>2534742.4500000002</v>
      </c>
      <c r="D9504" s="22" t="s">
        <v>13691</v>
      </c>
      <c r="E9504" s="22" t="s">
        <v>96</v>
      </c>
      <c r="F9504" s="23" t="str">
        <f>HYPERLINK("https://www.spark-marketing.ru/Card/Lot/72530108", "Организация горячего питания в ГБУ ПНИ № 4 в 2019 году (226-19-4-1)")</f>
        <v>Организация горячего питания в ГБУ ПНИ № 4 в 2019 году (226-19-4-1)</v>
      </c>
      <c r="G9504" s="22" t="s">
        <v>56</v>
      </c>
      <c r="H9504" s="22" t="s">
        <v>56</v>
      </c>
      <c r="I9504" s="26">
        <v>43677.667361111096</v>
      </c>
      <c r="J9504" s="23" t="str">
        <f>HYPERLINK("https://www.spark-marketing.ru/Card/Person/5953802", "ООО ""РБЕ""")</f>
        <v>ООО "РБЕ"</v>
      </c>
      <c r="K9504" s="24" t="s">
        <v>7363</v>
      </c>
      <c r="L9504" s="22" t="s">
        <v>10</v>
      </c>
      <c r="M9504" s="25">
        <v>24099.78</v>
      </c>
      <c r="N9504" s="27">
        <v>0.9904922174637506</v>
      </c>
    </row>
    <row r="9505" spans="1:14" hidden="1" outlineLevel="1" x14ac:dyDescent="0.2">
      <c r="A9505" s="23" t="str">
        <f>HYPERLINK("https://www.spark-marketing.ru/Card/Person/6086", "ГКУ ""ДИРЕКЦИЯ ОДОТСЗН Г. МОСКВЫ""")</f>
        <v>ГКУ "ДИРЕКЦИЯ ОДОТСЗН Г. МОСКВЫ"</v>
      </c>
      <c r="B9505" s="24" t="s">
        <v>164</v>
      </c>
      <c r="C9505" s="25">
        <v>2534742.4500000002</v>
      </c>
      <c r="D9505" s="22" t="s">
        <v>13691</v>
      </c>
      <c r="E9505" s="22" t="s">
        <v>96</v>
      </c>
      <c r="F9505" s="23" t="str">
        <f>HYPERLINK("https://www.spark-marketing.ru/Card/Lot/72530108", "Организация горячего питания в ГБУ ПНИ № 4 в 2019 году (226-19-4-1)")</f>
        <v>Организация горячего питания в ГБУ ПНИ № 4 в 2019 году (226-19-4-1)</v>
      </c>
      <c r="G9505" s="22" t="s">
        <v>56</v>
      </c>
      <c r="H9505" s="22" t="s">
        <v>56</v>
      </c>
      <c r="I9505" s="26">
        <v>43677.667361111096</v>
      </c>
      <c r="J9505" s="23" t="str">
        <f>HYPERLINK("https://www.spark-marketing.ru/Card/Person/6626150", "ООО ""РУС-ТРЕЙД""")</f>
        <v>ООО "РУС-ТРЕЙД"</v>
      </c>
      <c r="K9505" s="24" t="s">
        <v>6176</v>
      </c>
      <c r="L9505" s="28" t="s">
        <v>51</v>
      </c>
      <c r="M9505" s="25">
        <v>36773.49</v>
      </c>
      <c r="N9505" s="27">
        <v>0.98549221835141476</v>
      </c>
    </row>
    <row r="9506" spans="1:14" x14ac:dyDescent="0.15">
      <c r="A9506" s="23" t="str">
        <f>HYPERLINK("https://www.spark-marketing.ru/Card/Person/102346", "МУ МВД РОССИИ ""БРАТСКОЕ""")</f>
        <v>МУ МВД РОССИИ "БРАТСКОЕ"</v>
      </c>
      <c r="B9506" s="24" t="s">
        <v>13670</v>
      </c>
      <c r="C9506" s="25">
        <v>238000</v>
      </c>
      <c r="D9506" s="22" t="s">
        <v>13692</v>
      </c>
      <c r="E9506" s="22" t="s">
        <v>48</v>
      </c>
      <c r="F9506" s="23" t="str">
        <f>HYPERLINK("https://www.spark-marketing.ru/Card/Lot/72514506", "Прочая закупка товаров, работ и услуг (Оказание услуг по организации комплексного питания)")</f>
        <v>Прочая закупка товаров, работ и услуг (Оказание услуг по организации комплексного питания)</v>
      </c>
      <c r="G9506" s="22" t="s">
        <v>263</v>
      </c>
      <c r="H9506" s="22" t="s">
        <v>13672</v>
      </c>
      <c r="I9506" s="26">
        <v>43677.689814814803</v>
      </c>
      <c r="J9506" s="23" t="str">
        <f>HYPERLINK("https://www.spark-marketing.ru/Card/Person/112724", "Скороходова Ольга Валерьевна")</f>
        <v>Скороходова Ольга Валерьевна</v>
      </c>
      <c r="K9506" s="24" t="s">
        <v>4484</v>
      </c>
      <c r="L9506" s="22" t="s">
        <v>10</v>
      </c>
      <c r="M9506" s="28" t="s">
        <v>51</v>
      </c>
      <c r="N9506" s="28" t="s">
        <v>51</v>
      </c>
    </row>
    <row r="9507" spans="1:14" x14ac:dyDescent="0.15">
      <c r="A9507" s="23" t="str">
        <f>HYPERLINK("https://www.spark-marketing.ru/Card/Person/27805", "ГУ МВД РОССИИ ПО Г. САНКТ-ПЕТЕРБУРГУ И ЛЕНИНГРАДСКОЙ ОБЛАСТИ")</f>
        <v>ГУ МВД РОССИИ ПО Г. САНКТ-ПЕТЕРБУРГУ И ЛЕНИНГРАДСКОЙ ОБЛАСТИ</v>
      </c>
      <c r="B9507" s="24" t="s">
        <v>10404</v>
      </c>
      <c r="C9507" s="25">
        <v>32256406.23</v>
      </c>
      <c r="D9507" s="22" t="s">
        <v>13693</v>
      </c>
      <c r="E9507" s="22" t="s">
        <v>96</v>
      </c>
      <c r="F9507" s="23" t="str">
        <f>HYPERLINK("https://www.spark-marketing.ru/Card/Lot/72532341", "Оказание услуг по организации трехразового горячего питания в сутки лицам, содержащимся в Спецприемнике, Изоляторе временного содержания, Центре временного содержания иностранных граждан №1, Центре временного содержания иностранных граждан №2 и пятир...")</f>
        <v>Оказание услуг по организации трехразового горячего питания в сутки лицам, содержащимся в Спецприемнике, Изоляторе временного содержания, Центре временного содержания иностранных граждан №1, Центре временного содержания иностранных граждан №2 и пятир...</v>
      </c>
      <c r="G9507" s="22" t="s">
        <v>117</v>
      </c>
      <c r="H9507" s="22" t="s">
        <v>117</v>
      </c>
      <c r="I9507" s="26">
        <v>43677.666875000003</v>
      </c>
      <c r="J9507" s="28" t="s">
        <v>51</v>
      </c>
      <c r="K9507" s="28" t="s">
        <v>51</v>
      </c>
      <c r="L9507" s="28" t="s">
        <v>51</v>
      </c>
      <c r="M9507" s="28" t="s">
        <v>51</v>
      </c>
      <c r="N9507" s="28" t="s">
        <v>51</v>
      </c>
    </row>
    <row r="9508" spans="1:14" x14ac:dyDescent="0.15">
      <c r="A9508" s="23" t="str">
        <f>HYPERLINK("https://www.spark-marketing.ru/Card/Person/83319", "ФКУ ДПО МУЦ ГУФСИН РОССИИ ПО ИРКУТСКОЙ ОБЛАСТИ")</f>
        <v>ФКУ ДПО МУЦ ГУФСИН РОССИИ ПО ИРКУТСКОЙ ОБЛАСТИ</v>
      </c>
      <c r="B9508" s="24" t="s">
        <v>13694</v>
      </c>
      <c r="C9508" s="25">
        <v>2549209.67</v>
      </c>
      <c r="D9508" s="22" t="s">
        <v>13695</v>
      </c>
      <c r="E9508" s="22" t="s">
        <v>48</v>
      </c>
      <c r="F9508" s="23" t="str">
        <f>HYPERLINK("https://www.spark-marketing.ru/Card/Lot/72535557", "Услуги по обеспечению питанием")</f>
        <v>Услуги по обеспечению питанием</v>
      </c>
      <c r="G9508" s="22" t="s">
        <v>263</v>
      </c>
      <c r="H9508" s="22" t="s">
        <v>263</v>
      </c>
      <c r="I9508" s="26">
        <v>43677.670324074097</v>
      </c>
      <c r="J9508" s="23" t="str">
        <f>HYPERLINK("https://www.spark-marketing.ru/Card/Person/27584", "ФКУ ИК-19 ГУФСИН РОССИИ ПО ИРКУТСКОЙ ОБЛАСТИ")</f>
        <v>ФКУ ИК-19 ГУФСИН РОССИИ ПО ИРКУТСКОЙ ОБЛАСТИ</v>
      </c>
      <c r="K9508" s="24" t="s">
        <v>13696</v>
      </c>
      <c r="L9508" s="22" t="s">
        <v>10</v>
      </c>
      <c r="M9508" s="28" t="s">
        <v>51</v>
      </c>
      <c r="N9508" s="28" t="s">
        <v>51</v>
      </c>
    </row>
    <row r="9509" spans="1:14" x14ac:dyDescent="0.15">
      <c r="A9509" s="23" t="str">
        <f>HYPERLINK("https://www.spark-marketing.ru/Card/Person/5525", "ГУ-НИЖЕГОРОДСКОЕ РО ФОНДА СОЦИАЛЬНОГО СТРАХОВАНИЯ РОССИЙСКОЙ ФЕДЕРАЦИИ")</f>
        <v>ГУ-НИЖЕГОРОДСКОЕ РО ФОНДА СОЦИАЛЬНОГО СТРАХОВАНИЯ РОССИЙСКОЙ ФЕДЕРАЦИИ</v>
      </c>
      <c r="B9509" s="24" t="s">
        <v>13697</v>
      </c>
      <c r="C9509" s="25">
        <v>2096136</v>
      </c>
      <c r="D9509" s="22" t="s">
        <v>13698</v>
      </c>
      <c r="E9509" s="22" t="s">
        <v>86</v>
      </c>
      <c r="F9509" s="23" t="str">
        <f>HYPERLINK("https://www.spark-marketing.ru/Card/Lot/72529629", "Оказание услуг, предоставляемых отдельным категориям граждан государственной социальной помощи в виде набора социальных услуг в части санаторно-курортного лечения (код КТРУ 86.90.10.000-00000007)")</f>
        <v>Оказание услуг, предоставляемых отдельным категориям граждан государственной социальной помощи в виде набора социальных услуг в части санаторно-курортного лечения (код КТРУ 86.90.10.000-00000007)</v>
      </c>
      <c r="G9509" s="22" t="s">
        <v>76</v>
      </c>
      <c r="H9509" s="22" t="s">
        <v>940</v>
      </c>
      <c r="I9509" s="26">
        <v>43677.688796296301</v>
      </c>
      <c r="J9509" s="28" t="s">
        <v>51</v>
      </c>
      <c r="K9509" s="28" t="s">
        <v>51</v>
      </c>
      <c r="L9509" s="28" t="s">
        <v>51</v>
      </c>
      <c r="M9509" s="28" t="s">
        <v>51</v>
      </c>
      <c r="N9509" s="28" t="s">
        <v>51</v>
      </c>
    </row>
    <row r="9510" spans="1:14" hidden="1" outlineLevel="1" x14ac:dyDescent="0.2">
      <c r="A9510" s="23" t="str">
        <f>HYPERLINK("https://www.spark-marketing.ru/Card/Person/5525", "ГУ-НИЖЕГОРОДСКОЕ РО ФОНДА СОЦИАЛЬНОГО СТРАХОВАНИЯ РОССИЙСКОЙ ФЕДЕРАЦИИ")</f>
        <v>ГУ-НИЖЕГОРОДСКОЕ РО ФОНДА СОЦИАЛЬНОГО СТРАХОВАНИЯ РОССИЙСКОЙ ФЕДЕРАЦИИ</v>
      </c>
      <c r="B9510" s="24" t="s">
        <v>13697</v>
      </c>
      <c r="C9510" s="25">
        <v>2096136</v>
      </c>
      <c r="D9510" s="22" t="s">
        <v>13698</v>
      </c>
      <c r="E9510" s="22" t="s">
        <v>86</v>
      </c>
      <c r="F9510" s="23" t="str">
        <f>HYPERLINK("https://www.spark-marketing.ru/Card/Lot/72529629", "Оказание услуг, предоставляемых отдельным категориям граждан государственной социальной помощи в виде набора социальных услуг в части санаторно-курортного лечения (код КТРУ 86.90.10.000-00000007)")</f>
        <v>Оказание услуг, предоставляемых отдельным категориям граждан государственной социальной помощи в виде набора социальных услуг в части санаторно-курортного лечения (код КТРУ 86.90.10.000-00000007)</v>
      </c>
      <c r="G9510" s="22" t="s">
        <v>76</v>
      </c>
      <c r="H9510" s="22" t="s">
        <v>940</v>
      </c>
      <c r="I9510" s="26">
        <v>43677.688796296301</v>
      </c>
      <c r="J9510" s="23" t="str">
        <f>HYPERLINK("https://www.spark-marketing.ru/Card/Person/4345289", "ООО ""САНАТОРИЙ ""РУСЬ""")</f>
        <v>ООО "САНАТОРИЙ "РУСЬ"</v>
      </c>
      <c r="K9510" s="24" t="s">
        <v>11845</v>
      </c>
      <c r="L9510" s="28" t="s">
        <v>51</v>
      </c>
      <c r="M9510" s="25">
        <v>2096135.99</v>
      </c>
      <c r="N9510" s="27">
        <v>4.7706828182904167E-9</v>
      </c>
    </row>
    <row r="9511" spans="1:14" ht="12.75" hidden="1" outlineLevel="1" x14ac:dyDescent="0.2">
      <c r="A9511" s="23" t="str">
        <f>HYPERLINK("https://www.spark-marketing.ru/Card/Person/5525", "ГУ-НИЖЕГОРОДСКОЕ РО ФОНДА СОЦИАЛЬНОГО СТРАХОВАНИЯ РОССИЙСКОЙ ФЕДЕРАЦИИ")</f>
        <v>ГУ-НИЖЕГОРОДСКОЕ РО ФОНДА СОЦИАЛЬНОГО СТРАХОВАНИЯ РОССИЙСКОЙ ФЕДЕРАЦИИ</v>
      </c>
      <c r="B9511" s="24" t="s">
        <v>13697</v>
      </c>
      <c r="C9511" s="25">
        <v>2096136</v>
      </c>
      <c r="D9511" s="22" t="s">
        <v>13698</v>
      </c>
      <c r="E9511" s="22" t="s">
        <v>86</v>
      </c>
      <c r="F9511" s="23" t="str">
        <f>HYPERLINK("https://www.spark-marketing.ru/Card/Lot/72529629", "Оказание услуг, предоставляемых отдельным категориям граждан государственной социальной помощи в виде набора социальных услуг в части санаторно-курортного лечения (код КТРУ 86.90.10.000-00000007)")</f>
        <v>Оказание услуг, предоставляемых отдельным категориям граждан государственной социальной помощи в виде набора социальных услуг в части санаторно-курортного лечения (код КТРУ 86.90.10.000-00000007)</v>
      </c>
      <c r="G9511" s="22" t="s">
        <v>76</v>
      </c>
      <c r="H9511" s="22" t="s">
        <v>940</v>
      </c>
      <c r="I9511" s="26">
        <v>43677.688796296301</v>
      </c>
      <c r="J9511" s="23" t="str">
        <f>HYPERLINK("https://www.spark-marketing.ru/Card/Person/126284", "ЗАО ""САНАТОРИЙ""РУСЬ""")</f>
        <v>ЗАО "САНАТОРИЙ"РУСЬ"</v>
      </c>
      <c r="K9511" s="24" t="s">
        <v>13699</v>
      </c>
      <c r="L9511" s="22" t="s">
        <v>10</v>
      </c>
      <c r="M9511" s="25">
        <v>1760754.24</v>
      </c>
      <c r="N9511" s="27">
        <v>0.16</v>
      </c>
    </row>
    <row r="9512" spans="1:14" hidden="1" outlineLevel="1" x14ac:dyDescent="0.2">
      <c r="A9512" s="23" t="str">
        <f>HYPERLINK("https://www.spark-marketing.ru/Card/Person/5525", "ГУ-НИЖЕГОРОДСКОЕ РО ФОНДА СОЦИАЛЬНОГО СТРАХОВАНИЯ РОССИЙСКОЙ ФЕДЕРАЦИИ")</f>
        <v>ГУ-НИЖЕГОРОДСКОЕ РО ФОНДА СОЦИАЛЬНОГО СТРАХОВАНИЯ РОССИЙСКОЙ ФЕДЕРАЦИИ</v>
      </c>
      <c r="B9512" s="24" t="s">
        <v>13697</v>
      </c>
      <c r="C9512" s="25">
        <v>2096136</v>
      </c>
      <c r="D9512" s="22" t="s">
        <v>13698</v>
      </c>
      <c r="E9512" s="22" t="s">
        <v>86</v>
      </c>
      <c r="F9512" s="23" t="str">
        <f>HYPERLINK("https://www.spark-marketing.ru/Card/Lot/72529629", "Оказание услуг, предоставляемых отдельным категориям граждан государственной социальной помощи в виде набора социальных услуг в части санаторно-курортного лечения (код КТРУ 86.90.10.000-00000007)")</f>
        <v>Оказание услуг, предоставляемых отдельным категориям граждан государственной социальной помощи в виде набора социальных услуг в части санаторно-курортного лечения (код КТРУ 86.90.10.000-00000007)</v>
      </c>
      <c r="G9512" s="22" t="s">
        <v>76</v>
      </c>
      <c r="H9512" s="22" t="s">
        <v>940</v>
      </c>
      <c r="I9512" s="26">
        <v>43677.688796296301</v>
      </c>
      <c r="J9512" s="23" t="str">
        <f>HYPERLINK("https://www.spark-marketing.ru/Card/Person/52911", "ООО "" САНАТОРИЙ "" ПАРУС """)</f>
        <v>ООО " САНАТОРИЙ " ПАРУС "</v>
      </c>
      <c r="K9512" s="24" t="s">
        <v>3010</v>
      </c>
      <c r="L9512" s="28" t="s">
        <v>51</v>
      </c>
      <c r="M9512" s="25">
        <v>1771234.92</v>
      </c>
      <c r="N9512" s="27">
        <v>0.155</v>
      </c>
    </row>
    <row r="9513" spans="1:14" x14ac:dyDescent="0.15">
      <c r="A9513" s="23" t="str">
        <f>HYPERLINK("https://www.spark-marketing.ru/Card/Person/9655", "УМВД РОССИИ ПО Г.МАГНИТОГОРСКУ ЧЕЛЯБИНСКОЙ ОБЛАСТИ")</f>
        <v>УМВД РОССИИ ПО Г.МАГНИТОГОРСКУ ЧЕЛЯБИНСКОЙ ОБЛАСТИ</v>
      </c>
      <c r="B9513" s="24" t="s">
        <v>13700</v>
      </c>
      <c r="C9513" s="25">
        <v>500000</v>
      </c>
      <c r="D9513" s="22" t="s">
        <v>13701</v>
      </c>
      <c r="E9513" s="22" t="s">
        <v>48</v>
      </c>
      <c r="F9513" s="23" t="str">
        <f>HYPERLINK("https://www.spark-marketing.ru/Card/Lot/72524739", "оказание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ч...")</f>
        <v>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</v>
      </c>
      <c r="G9513" s="22" t="s">
        <v>469</v>
      </c>
      <c r="H9513" s="22" t="s">
        <v>470</v>
      </c>
      <c r="I9513" s="26">
        <v>43677.6872337963</v>
      </c>
      <c r="J9513" s="23" t="str">
        <f>HYPERLINK("https://www.spark-marketing.ru/Card/Person/4569980", "ООО ""ПАРИТЕТ ПЛЮС""")</f>
        <v>ООО "ПАРИТЕТ ПЛЮС"</v>
      </c>
      <c r="K9513" s="24" t="s">
        <v>13702</v>
      </c>
      <c r="L9513" s="22" t="s">
        <v>10</v>
      </c>
      <c r="M9513" s="28" t="s">
        <v>51</v>
      </c>
      <c r="N9513" s="28" t="s">
        <v>51</v>
      </c>
    </row>
    <row r="9514" spans="1:14" x14ac:dyDescent="0.15">
      <c r="A9514" s="23" t="str">
        <f>HYPERLINK("https://www.spark-marketing.ru/Card/Person/734203", "МБОУ ""СОШ С.НАРАТАСТЫ""")</f>
        <v>МБОУ "СОШ С.НАРАТАСТЫ"</v>
      </c>
      <c r="B9514" s="24" t="s">
        <v>13703</v>
      </c>
      <c r="C9514" s="25">
        <v>382128.63</v>
      </c>
      <c r="D9514" s="22" t="s">
        <v>13704</v>
      </c>
      <c r="E9514" s="22" t="s">
        <v>48</v>
      </c>
      <c r="F9514" s="23" t="str">
        <f>HYPERLINK("https://www.spark-marketing.ru/Card/Lot/72522367", "Услуги по организации горячего питания в муниципальном бюджетном общеобразовательном учреждении «Средняя общеобразовательная школа с. Наратасты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с. Наратасты муниципального района Шаранский район РБ»</v>
      </c>
      <c r="G9514" s="22" t="s">
        <v>145</v>
      </c>
      <c r="H9514" s="22" t="s">
        <v>12518</v>
      </c>
      <c r="I9514" s="26">
        <v>43677.6478935185</v>
      </c>
      <c r="J9514" s="28" t="s">
        <v>51</v>
      </c>
      <c r="K9514" s="28" t="s">
        <v>51</v>
      </c>
      <c r="L9514" s="28" t="s">
        <v>51</v>
      </c>
      <c r="M9514" s="28" t="s">
        <v>51</v>
      </c>
      <c r="N9514" s="28" t="s">
        <v>51</v>
      </c>
    </row>
    <row r="9515" spans="1:14" ht="12.75" hidden="1" outlineLevel="1" x14ac:dyDescent="0.2">
      <c r="A9515" s="23" t="str">
        <f>HYPERLINK("https://www.spark-marketing.ru/Card/Person/734203", "МБОУ ""СОШ С.НАРАТАСТЫ""")</f>
        <v>МБОУ "СОШ С.НАРАТАСТЫ"</v>
      </c>
      <c r="B9515" s="24" t="s">
        <v>13703</v>
      </c>
      <c r="C9515" s="25">
        <v>382128.63</v>
      </c>
      <c r="D9515" s="22" t="s">
        <v>13704</v>
      </c>
      <c r="E9515" s="22" t="s">
        <v>48</v>
      </c>
      <c r="F9515" s="23" t="str">
        <f>HYPERLINK("https://www.spark-marketing.ru/Card/Lot/72522367", "Услуги по организации горячего питания в муниципальном бюджетном общеобразовательном учреждении «Средняя общеобразовательная школа с. Наратасты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с. Наратасты муниципального района Шаранский район РБ»</v>
      </c>
      <c r="G9515" s="22" t="s">
        <v>145</v>
      </c>
      <c r="H9515" s="22" t="s">
        <v>12518</v>
      </c>
      <c r="I9515" s="26">
        <v>43677.6478935185</v>
      </c>
      <c r="J9515" s="23" t="str">
        <f>HYPERLINK("https://www.spark-marketing.ru/Card/Person/1089466", "Давлетова Надежда Мурзагареевна")</f>
        <v>Давлетова Надежда Мурзагареевна</v>
      </c>
      <c r="K9515" s="24" t="s">
        <v>12519</v>
      </c>
      <c r="L9515" s="22" t="s">
        <v>10</v>
      </c>
      <c r="M9515" s="25">
        <v>382128.63</v>
      </c>
      <c r="N9515" s="27">
        <v>0</v>
      </c>
    </row>
    <row r="9516" spans="1:14" hidden="1" outlineLevel="1" x14ac:dyDescent="0.2">
      <c r="A9516" s="23" t="str">
        <f>HYPERLINK("https://www.spark-marketing.ru/Card/Person/734203", "МБОУ ""СОШ С.НАРАТАСТЫ""")</f>
        <v>МБОУ "СОШ С.НАРАТАСТЫ"</v>
      </c>
      <c r="B9516" s="24" t="s">
        <v>13703</v>
      </c>
      <c r="C9516" s="25">
        <v>382128.63</v>
      </c>
      <c r="D9516" s="22" t="s">
        <v>13704</v>
      </c>
      <c r="E9516" s="22" t="s">
        <v>48</v>
      </c>
      <c r="F9516" s="23" t="str">
        <f>HYPERLINK("https://www.spark-marketing.ru/Card/Lot/72522367", "Услуги по организации горячего питания в муниципальном бюджетном общеобразовательном учреждении «Средняя общеобразовательная школа с. Наратасты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с. Наратасты муниципального района Шаранский район РБ»</v>
      </c>
      <c r="G9516" s="22" t="s">
        <v>145</v>
      </c>
      <c r="H9516" s="22" t="s">
        <v>12518</v>
      </c>
      <c r="I9516" s="26">
        <v>43677.6478935185</v>
      </c>
      <c r="J9516" s="23" t="str">
        <f>HYPERLINK("https://www.spark-marketing.ru/Card/Person/145110", "ООО ""ТК ""ЗК""")</f>
        <v>ООО "ТК "ЗК"</v>
      </c>
      <c r="K9516" s="24" t="s">
        <v>5800</v>
      </c>
      <c r="L9516" s="28" t="s">
        <v>51</v>
      </c>
      <c r="M9516" s="25">
        <v>382128.63</v>
      </c>
      <c r="N9516" s="27">
        <v>0</v>
      </c>
    </row>
    <row r="9517" spans="1:14" x14ac:dyDescent="0.15">
      <c r="A9517" s="23" t="str">
        <f>HYPERLINK("https://www.spark-marketing.ru/Card/Person/1079379", "БУ ""РАДУЖНИНСКИЙ РЕАБИЛИТАЦИОННЫЙ ЦЕНТР""")</f>
        <v>БУ "РАДУЖНИНСКИЙ РЕАБИЛИТАЦИОННЫЙ ЦЕНТР"</v>
      </c>
      <c r="B9517" s="24" t="s">
        <v>13705</v>
      </c>
      <c r="C9517" s="25">
        <v>342166</v>
      </c>
      <c r="D9517" s="22" t="s">
        <v>13706</v>
      </c>
      <c r="E9517" s="22" t="s">
        <v>51</v>
      </c>
      <c r="F9517" s="23" t="str">
        <f>HYPERLINK("https://www.spark-marketing.ru/Card/Lot/72522314", "Оказание услуг по обеспечению горячим питанием детей")</f>
        <v>Оказание услуг по обеспечению горячим питанием детей</v>
      </c>
      <c r="G9517" s="22" t="s">
        <v>97</v>
      </c>
      <c r="H9517" s="22" t="s">
        <v>1127</v>
      </c>
      <c r="I9517" s="26">
        <v>43677.635393518503</v>
      </c>
      <c r="J9517" s="23" t="str">
        <f>HYPERLINK("https://www.spark-marketing.ru/Card/Person/4866872", "ООО ""РУССКИЙ ДОМ""")</f>
        <v>ООО "РУССКИЙ ДОМ"</v>
      </c>
      <c r="K9517" s="24" t="s">
        <v>3904</v>
      </c>
      <c r="L9517" s="22" t="s">
        <v>10</v>
      </c>
      <c r="M9517" s="28" t="s">
        <v>51</v>
      </c>
      <c r="N9517" s="28" t="s">
        <v>51</v>
      </c>
    </row>
    <row r="9518" spans="1:14" x14ac:dyDescent="0.15">
      <c r="A9518" s="23" t="str">
        <f>HYPERLINK("https://www.spark-marketing.ru/Card/Person/4377863", "МО МВД РОССИИ ""АСИНОВСКИЙ"" УМВД РОССИИ ПО ТОМСКОЙ ОБЛАСТИ")</f>
        <v>МО МВД РОССИИ "АСИНОВСКИЙ" УМВД РОССИИ ПО ТОМСКОЙ ОБЛАСТИ</v>
      </c>
      <c r="B9518" s="24" t="s">
        <v>1497</v>
      </c>
      <c r="C9518" s="25">
        <v>999987</v>
      </c>
      <c r="D9518" s="22" t="s">
        <v>13707</v>
      </c>
      <c r="E9518" s="22" t="s">
        <v>96</v>
      </c>
      <c r="F9518" s="23" t="str">
        <f>HYPERLINK("https://www.spark-marketing.ru/Card/Lot/72527477", "Оказание услуг по приготовлению и поставке горячего питания в 2021 году для обеспечения лиц, содержащихся в изоляторе временного содержания и комнате содержания лиц, задержанных в административном порядке, МО МВД России «Асиновский» УМВД России по То...")</f>
        <v>Оказание услуг по приготовлению и поставке горячего питания в 2021 году для обеспечения лиц, содержащихся в изоляторе временного содержания и комнате содержания лиц, задержанных в административном порядке, МО МВД России «Асиновский» УМВД России по То...</v>
      </c>
      <c r="G9518" s="22" t="s">
        <v>149</v>
      </c>
      <c r="H9518" s="22" t="s">
        <v>1499</v>
      </c>
      <c r="I9518" s="26">
        <v>43677.665486111102</v>
      </c>
      <c r="J9518" s="23" t="str">
        <f>HYPERLINK("https://www.spark-marketing.ru/Card/Person/563394", "ООО ""РЕГИОН-СЕРВИС""")</f>
        <v>ООО "РЕГИОН-СЕРВИС"</v>
      </c>
      <c r="K9518" s="24" t="s">
        <v>1500</v>
      </c>
      <c r="L9518" s="22" t="s">
        <v>10</v>
      </c>
      <c r="M9518" s="28" t="s">
        <v>51</v>
      </c>
      <c r="N9518" s="28" t="s">
        <v>51</v>
      </c>
    </row>
    <row r="9519" spans="1:14" x14ac:dyDescent="0.15">
      <c r="A9519" s="23" t="str">
        <f>HYPERLINK("https://www.spark-marketing.ru/Card/Person/735707", "МБОУ ""СОШ №2 С.ШАРАН""")</f>
        <v>МБОУ "СОШ №2 С.ШАРАН"</v>
      </c>
      <c r="B9519" s="24" t="s">
        <v>13708</v>
      </c>
      <c r="C9519" s="25">
        <v>1417540.66</v>
      </c>
      <c r="D9519" s="22" t="s">
        <v>13709</v>
      </c>
      <c r="E9519" s="22" t="s">
        <v>48</v>
      </c>
      <c r="F9519" s="23" t="str">
        <f>HYPERLINK("https://www.spark-marketing.ru/Card/Lot/72528952", "Услуги по организации горячего питания в муниципальном бюджетном общеобразовательном учреждении «Средняя общеобразовательная школа с.Шаран № 2 муниципального района Шаранский район РБ")</f>
        <v>Услуги по организации горячего питания в муниципальном бюджетном общеобразовательном учреждении «Средняя общеобразовательная школа с.Шаран № 2 муниципального района Шаранский район РБ</v>
      </c>
      <c r="G9519" s="22" t="s">
        <v>145</v>
      </c>
      <c r="H9519" s="22" t="s">
        <v>12518</v>
      </c>
      <c r="I9519" s="26">
        <v>43677.649687500001</v>
      </c>
      <c r="J9519" s="23" t="str">
        <f>HYPERLINK("https://www.spark-marketing.ru/Card/Person/1089466", "Давлетова Надежда Мурзагареевна")</f>
        <v>Давлетова Надежда Мурзагареевна</v>
      </c>
      <c r="K9519" s="24" t="s">
        <v>12519</v>
      </c>
      <c r="L9519" s="22" t="s">
        <v>10</v>
      </c>
      <c r="M9519" s="28" t="s">
        <v>51</v>
      </c>
      <c r="N9519" s="28" t="s">
        <v>51</v>
      </c>
    </row>
    <row r="9520" spans="1:14" x14ac:dyDescent="0.15">
      <c r="A9520" s="23" t="str">
        <f t="shared" ref="A9520:A9525" si="230">HYPERLINK("https://www.spark-marketing.ru/Card/Person/9309", "ФГБУ ""ФЦВМТ"" МИНЗДРАВА РОССИИ (Г. КАЛИНИНГРАД)")</f>
        <v>ФГБУ "ФЦВМТ" МИНЗДРАВА РОССИИ (Г. КАЛИНИНГРАД)</v>
      </c>
      <c r="B9520" s="24" t="s">
        <v>13710</v>
      </c>
      <c r="C9520" s="25">
        <v>156000</v>
      </c>
      <c r="D9520" s="22" t="s">
        <v>13711</v>
      </c>
      <c r="E9520" s="22" t="s">
        <v>355</v>
      </c>
      <c r="F9520" s="23" t="str">
        <f>HYPERLINK("https://www.spark-marketing.ru/Card/Lot/72523608", "оказание услуг по техническому обслуживанию оборудования")</f>
        <v>оказание услуг по техническому обслуживанию оборудования</v>
      </c>
      <c r="G9520" s="22" t="s">
        <v>400</v>
      </c>
      <c r="H9520" s="22" t="s">
        <v>400</v>
      </c>
      <c r="I9520" s="26">
        <v>43677.658692129597</v>
      </c>
      <c r="J9520" s="28" t="s">
        <v>51</v>
      </c>
      <c r="K9520" s="28" t="s">
        <v>51</v>
      </c>
      <c r="L9520" s="28" t="s">
        <v>51</v>
      </c>
      <c r="M9520" s="28" t="s">
        <v>51</v>
      </c>
      <c r="N9520" s="28" t="s">
        <v>51</v>
      </c>
    </row>
    <row r="9521" spans="1:14" ht="12.75" hidden="1" outlineLevel="1" x14ac:dyDescent="0.2">
      <c r="A9521" s="23" t="str">
        <f t="shared" si="230"/>
        <v>ФГБУ "ФЦВМТ" МИНЗДРАВА РОССИИ (Г. КАЛИНИНГРАД)</v>
      </c>
      <c r="B9521" s="24" t="s">
        <v>13710</v>
      </c>
      <c r="C9521" s="25">
        <v>156000</v>
      </c>
      <c r="D9521" s="22" t="s">
        <v>13711</v>
      </c>
      <c r="E9521" s="22" t="s">
        <v>355</v>
      </c>
      <c r="F9521" s="23" t="str">
        <f>HYPERLINK("https://www.spark-marketing.ru/Card/Lot/72523608", "оказание услуг по техническому обслуживанию оборудования")</f>
        <v>оказание услуг по техническому обслуживанию оборудования</v>
      </c>
      <c r="G9521" s="22" t="s">
        <v>400</v>
      </c>
      <c r="H9521" s="22" t="s">
        <v>400</v>
      </c>
      <c r="I9521" s="26">
        <v>43677.658692129597</v>
      </c>
      <c r="J9521" s="23" t="str">
        <f>HYPERLINK("https://www.spark-marketing.ru/Card/Person/882990", "ООО ""ТЕМПЕСТО СЕРВИС""")</f>
        <v>ООО "ТЕМПЕСТО СЕРВИС"</v>
      </c>
      <c r="K9521" s="24" t="s">
        <v>13712</v>
      </c>
      <c r="L9521" s="22" t="s">
        <v>10</v>
      </c>
      <c r="M9521" s="25">
        <v>100620</v>
      </c>
      <c r="N9521" s="27">
        <v>0.35499999999999998</v>
      </c>
    </row>
    <row r="9522" spans="1:14" hidden="1" outlineLevel="1" x14ac:dyDescent="0.2">
      <c r="A9522" s="23" t="str">
        <f t="shared" si="230"/>
        <v>ФГБУ "ФЦВМТ" МИНЗДРАВА РОССИИ (Г. КАЛИНИНГРАД)</v>
      </c>
      <c r="B9522" s="24" t="s">
        <v>13710</v>
      </c>
      <c r="C9522" s="25">
        <v>156000</v>
      </c>
      <c r="D9522" s="22" t="s">
        <v>13711</v>
      </c>
      <c r="E9522" s="22" t="s">
        <v>355</v>
      </c>
      <c r="F9522" s="23" t="str">
        <f>HYPERLINK("https://www.spark-marketing.ru/Card/Lot/72523608", "оказание услуг по техническому обслуживанию оборудования")</f>
        <v>оказание услуг по техническому обслуживанию оборудования</v>
      </c>
      <c r="G9522" s="22" t="s">
        <v>400</v>
      </c>
      <c r="H9522" s="22" t="s">
        <v>400</v>
      </c>
      <c r="I9522" s="26">
        <v>43677.658692129597</v>
      </c>
      <c r="J9522" s="23" t="str">
        <f>HYPERLINK("https://www.spark-marketing.ru/Card/Person/41214", "ООО ""БАЛТИЙСКОЕ СИЯНИЕ""")</f>
        <v>ООО "БАЛТИЙСКОЕ СИЯНИЕ"</v>
      </c>
      <c r="K9522" s="24" t="s">
        <v>13713</v>
      </c>
      <c r="L9522" s="28" t="s">
        <v>51</v>
      </c>
      <c r="M9522" s="25">
        <v>100620</v>
      </c>
      <c r="N9522" s="27">
        <v>0.35499999999999998</v>
      </c>
    </row>
    <row r="9523" spans="1:14" x14ac:dyDescent="0.15">
      <c r="A9523" s="23" t="str">
        <f t="shared" si="230"/>
        <v>ФГБУ "ФЦВМТ" МИНЗДРАВА РОССИИ (Г. КАЛИНИНГРАД)</v>
      </c>
      <c r="B9523" s="24" t="s">
        <v>13710</v>
      </c>
      <c r="C9523" s="25">
        <v>161000</v>
      </c>
      <c r="D9523" s="22" t="s">
        <v>13714</v>
      </c>
      <c r="E9523" s="22" t="s">
        <v>355</v>
      </c>
      <c r="F9523" s="23" t="str">
        <f>HYPERLINK("https://www.spark-marketing.ru/Card/Lot/72523585", "оказание услуг по техническому обслуживанию оборудования")</f>
        <v>оказание услуг по техническому обслуживанию оборудования</v>
      </c>
      <c r="G9523" s="22" t="s">
        <v>400</v>
      </c>
      <c r="H9523" s="22" t="s">
        <v>400</v>
      </c>
      <c r="I9523" s="26">
        <v>43677.653020833299</v>
      </c>
      <c r="J9523" s="28" t="s">
        <v>51</v>
      </c>
      <c r="K9523" s="28" t="s">
        <v>51</v>
      </c>
      <c r="L9523" s="28" t="s">
        <v>51</v>
      </c>
      <c r="M9523" s="28" t="s">
        <v>51</v>
      </c>
      <c r="N9523" s="28" t="s">
        <v>51</v>
      </c>
    </row>
    <row r="9524" spans="1:14" hidden="1" outlineLevel="1" x14ac:dyDescent="0.2">
      <c r="A9524" s="23" t="str">
        <f t="shared" si="230"/>
        <v>ФГБУ "ФЦВМТ" МИНЗДРАВА РОССИИ (Г. КАЛИНИНГРАД)</v>
      </c>
      <c r="B9524" s="24" t="s">
        <v>13710</v>
      </c>
      <c r="C9524" s="25">
        <v>161000</v>
      </c>
      <c r="D9524" s="22" t="s">
        <v>13714</v>
      </c>
      <c r="E9524" s="22" t="s">
        <v>355</v>
      </c>
      <c r="F9524" s="23" t="str">
        <f>HYPERLINK("https://www.spark-marketing.ru/Card/Lot/72523585", "оказание услуг по техническому обслуживанию оборудования")</f>
        <v>оказание услуг по техническому обслуживанию оборудования</v>
      </c>
      <c r="G9524" s="22" t="s">
        <v>400</v>
      </c>
      <c r="H9524" s="22" t="s">
        <v>400</v>
      </c>
      <c r="I9524" s="26">
        <v>43677.653020833299</v>
      </c>
      <c r="J9524" s="23" t="str">
        <f>HYPERLINK("https://www.spark-marketing.ru/Card/Person/41214", "ООО ""БАЛТИЙСКОЕ СИЯНИЕ""")</f>
        <v>ООО "БАЛТИЙСКОЕ СИЯНИЕ"</v>
      </c>
      <c r="K9524" s="24" t="s">
        <v>13713</v>
      </c>
      <c r="L9524" s="28" t="s">
        <v>51</v>
      </c>
      <c r="M9524" s="25">
        <v>90000</v>
      </c>
      <c r="N9524" s="27">
        <v>0.44099378881987578</v>
      </c>
    </row>
    <row r="9525" spans="1:14" ht="12.75" hidden="1" outlineLevel="1" x14ac:dyDescent="0.2">
      <c r="A9525" s="23" t="str">
        <f t="shared" si="230"/>
        <v>ФГБУ "ФЦВМТ" МИНЗДРАВА РОССИИ (Г. КАЛИНИНГРАД)</v>
      </c>
      <c r="B9525" s="24" t="s">
        <v>13710</v>
      </c>
      <c r="C9525" s="25">
        <v>161000</v>
      </c>
      <c r="D9525" s="22" t="s">
        <v>13714</v>
      </c>
      <c r="E9525" s="22" t="s">
        <v>355</v>
      </c>
      <c r="F9525" s="23" t="str">
        <f>HYPERLINK("https://www.spark-marketing.ru/Card/Lot/72523585", "оказание услуг по техническому обслуживанию оборудования")</f>
        <v>оказание услуг по техническому обслуживанию оборудования</v>
      </c>
      <c r="G9525" s="22" t="s">
        <v>400</v>
      </c>
      <c r="H9525" s="22" t="s">
        <v>400</v>
      </c>
      <c r="I9525" s="26">
        <v>43677.653020833299</v>
      </c>
      <c r="J9525" s="23" t="str">
        <f>HYPERLINK("https://www.spark-marketing.ru/Card/Person/882990", "ООО ""ТЕМПЕСТО СЕРВИС""")</f>
        <v>ООО "ТЕМПЕСТО СЕРВИС"</v>
      </c>
      <c r="K9525" s="24" t="s">
        <v>13712</v>
      </c>
      <c r="L9525" s="22" t="s">
        <v>10</v>
      </c>
      <c r="M9525" s="25">
        <v>89355</v>
      </c>
      <c r="N9525" s="27">
        <v>0.44500000000000001</v>
      </c>
    </row>
    <row r="9526" spans="1:14" x14ac:dyDescent="0.15">
      <c r="A9526" s="23" t="str">
        <f>HYPERLINK("https://www.spark-marketing.ru/Card/Person/29915", "УПРАВА РАЙОНА КУЗЬМИНКИ ГОРОДА МОСКВЫ")</f>
        <v>УПРАВА РАЙОНА КУЗЬМИНКИ ГОРОДА МОСКВЫ</v>
      </c>
      <c r="B9526" s="24" t="s">
        <v>13715</v>
      </c>
      <c r="C9526" s="25">
        <v>466200</v>
      </c>
      <c r="D9526" s="22" t="s">
        <v>13716</v>
      </c>
      <c r="E9526" s="22" t="s">
        <v>48</v>
      </c>
      <c r="F9526" s="23" t="str">
        <f>HYPERLINK("https://www.spark-marketing.ru/Card/Lot/72524082", "Оказание услуг по организации и предоставлению питания членам избирательных комиссий района Кузьминки города Москвы при проведении выборов в Московскую городскую Думу седьмого созыва 8 сентября 2019 года (среди СМП)")</f>
        <v>Оказание услуг по организации и предоставлению питания членам избирательных комиссий района Кузьминки города Москвы при проведении выборов в Московскую городскую Думу седьмого созыва 8 сентября 2019 года (среди СМП)</v>
      </c>
      <c r="G9526" s="22" t="s">
        <v>56</v>
      </c>
      <c r="H9526" s="22" t="s">
        <v>56</v>
      </c>
      <c r="I9526" s="26">
        <v>43677.629594907397</v>
      </c>
      <c r="J9526" s="28" t="s">
        <v>51</v>
      </c>
      <c r="K9526" s="28" t="s">
        <v>51</v>
      </c>
      <c r="L9526" s="28" t="s">
        <v>51</v>
      </c>
      <c r="M9526" s="28" t="s">
        <v>51</v>
      </c>
      <c r="N9526" s="28" t="s">
        <v>51</v>
      </c>
    </row>
    <row r="9527" spans="1:14" hidden="1" outlineLevel="1" x14ac:dyDescent="0.2">
      <c r="A9527" s="23" t="str">
        <f>HYPERLINK("https://www.spark-marketing.ru/Card/Person/29915", "УПРАВА РАЙОНА КУЗЬМИНКИ ГОРОДА МОСКВЫ")</f>
        <v>УПРАВА РАЙОНА КУЗЬМИНКИ ГОРОДА МОСКВЫ</v>
      </c>
      <c r="B9527" s="24" t="s">
        <v>13715</v>
      </c>
      <c r="C9527" s="25">
        <v>466200</v>
      </c>
      <c r="D9527" s="22" t="s">
        <v>13716</v>
      </c>
      <c r="E9527" s="22" t="s">
        <v>48</v>
      </c>
      <c r="F9527" s="23" t="str">
        <f>HYPERLINK("https://www.spark-marketing.ru/Card/Lot/72524082", "Оказание услуг по организации и предоставлению питания членам избирательных комиссий района Кузьминки города Москвы при проведении выборов в Московскую городскую Думу седьмого созыва 8 сентября 2019 года (среди СМП)")</f>
        <v>Оказание услуг по организации и предоставлению питания членам избирательных комиссий района Кузьминки города Москвы при проведении выборов в Московскую городскую Думу седьмого созыва 8 сентября 2019 года (среди СМП)</v>
      </c>
      <c r="G9527" s="22" t="s">
        <v>56</v>
      </c>
      <c r="H9527" s="22" t="s">
        <v>56</v>
      </c>
      <c r="I9527" s="26">
        <v>43677.629594907397</v>
      </c>
      <c r="J9527" s="23" t="str">
        <f>HYPERLINK("https://www.spark-marketing.ru/Card/Person/2523959", "ООО ""КРУИЗ-ТУР""")</f>
        <v>ООО "КРУИЗ-ТУР"</v>
      </c>
      <c r="K9527" s="24" t="s">
        <v>13149</v>
      </c>
      <c r="L9527" s="28" t="s">
        <v>51</v>
      </c>
      <c r="M9527" s="25">
        <v>291375</v>
      </c>
      <c r="N9527" s="27">
        <v>0.375</v>
      </c>
    </row>
    <row r="9528" spans="1:14" ht="12.75" hidden="1" outlineLevel="1" x14ac:dyDescent="0.2">
      <c r="A9528" s="23" t="str">
        <f>HYPERLINK("https://www.spark-marketing.ru/Card/Person/29915", "УПРАВА РАЙОНА КУЗЬМИНКИ ГОРОДА МОСКВЫ")</f>
        <v>УПРАВА РАЙОНА КУЗЬМИНКИ ГОРОДА МОСКВЫ</v>
      </c>
      <c r="B9528" s="24" t="s">
        <v>13715</v>
      </c>
      <c r="C9528" s="25">
        <v>466200</v>
      </c>
      <c r="D9528" s="22" t="s">
        <v>13716</v>
      </c>
      <c r="E9528" s="22" t="s">
        <v>48</v>
      </c>
      <c r="F9528" s="23" t="str">
        <f>HYPERLINK("https://www.spark-marketing.ru/Card/Lot/72524082", "Оказание услуг по организации и предоставлению питания членам избирательных комиссий района Кузьминки города Москвы при проведении выборов в Московскую городскую Думу седьмого созыва 8 сентября 2019 года (среди СМП)")</f>
        <v>Оказание услуг по организации и предоставлению питания членам избирательных комиссий района Кузьминки города Москвы при проведении выборов в Московскую городскую Думу седьмого созыва 8 сентября 2019 года (среди СМП)</v>
      </c>
      <c r="G9528" s="22" t="s">
        <v>56</v>
      </c>
      <c r="H9528" s="22" t="s">
        <v>56</v>
      </c>
      <c r="I9528" s="26">
        <v>43677.629594907397</v>
      </c>
      <c r="J9528" s="23" t="str">
        <f>HYPERLINK("https://www.spark-marketing.ru/Card/Person/1629704", "ООО ""СКАЙ ФУД""")</f>
        <v>ООО "СКАЙ ФУД"</v>
      </c>
      <c r="K9528" s="24" t="s">
        <v>13717</v>
      </c>
      <c r="L9528" s="22" t="s">
        <v>10</v>
      </c>
      <c r="M9528" s="25">
        <v>289044</v>
      </c>
      <c r="N9528" s="27">
        <v>0.38</v>
      </c>
    </row>
    <row r="9529" spans="1:14" x14ac:dyDescent="0.15">
      <c r="A9529" s="23" t="str">
        <f>HYPERLINK("https://www.spark-marketing.ru/Card/Person/734626", "МБОУ ""СОШ Д.САКТЫ""")</f>
        <v>МБОУ "СОШ Д.САКТЫ"</v>
      </c>
      <c r="B9529" s="24" t="s">
        <v>13718</v>
      </c>
      <c r="C9529" s="25">
        <v>236451.04</v>
      </c>
      <c r="D9529" s="22" t="s">
        <v>13719</v>
      </c>
      <c r="E9529" s="22" t="s">
        <v>48</v>
      </c>
      <c r="F9529" s="23" t="str">
        <f>HYPERLINK("https://www.spark-marketing.ru/Card/Lot/72514480", "Услуги по организации горячего питания в муниципальном бюджетном общеобразовательном учреждении «Средняя общеобразовательная школа д.Сакты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д.Сакты муниципального района Шаранский район РБ»</v>
      </c>
      <c r="G9529" s="22" t="s">
        <v>145</v>
      </c>
      <c r="H9529" s="22" t="s">
        <v>12518</v>
      </c>
      <c r="I9529" s="26">
        <v>43677.648645833302</v>
      </c>
      <c r="J9529" s="28" t="s">
        <v>51</v>
      </c>
      <c r="K9529" s="28" t="s">
        <v>51</v>
      </c>
      <c r="L9529" s="28" t="s">
        <v>51</v>
      </c>
      <c r="M9529" s="28" t="s">
        <v>51</v>
      </c>
      <c r="N9529" s="28" t="s">
        <v>51</v>
      </c>
    </row>
    <row r="9530" spans="1:14" ht="12.75" hidden="1" outlineLevel="1" x14ac:dyDescent="0.2">
      <c r="A9530" s="23" t="str">
        <f>HYPERLINK("https://www.spark-marketing.ru/Card/Person/734626", "МБОУ ""СОШ Д.САКТЫ""")</f>
        <v>МБОУ "СОШ Д.САКТЫ"</v>
      </c>
      <c r="B9530" s="24" t="s">
        <v>13718</v>
      </c>
      <c r="C9530" s="25">
        <v>236451.04</v>
      </c>
      <c r="D9530" s="22" t="s">
        <v>13719</v>
      </c>
      <c r="E9530" s="22" t="s">
        <v>48</v>
      </c>
      <c r="F9530" s="23" t="str">
        <f>HYPERLINK("https://www.spark-marketing.ru/Card/Lot/72514480", "Услуги по организации горячего питания в муниципальном бюджетном общеобразовательном учреждении «Средняя общеобразовательная школа д.Сакты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д.Сакты муниципального района Шаранский район РБ»</v>
      </c>
      <c r="G9530" s="22" t="s">
        <v>145</v>
      </c>
      <c r="H9530" s="22" t="s">
        <v>12518</v>
      </c>
      <c r="I9530" s="26">
        <v>43677.648645833302</v>
      </c>
      <c r="J9530" s="23" t="str">
        <f>HYPERLINK("https://www.spark-marketing.ru/Card/Person/1089466", "Давлетова Надежда Мурзагареевна")</f>
        <v>Давлетова Надежда Мурзагареевна</v>
      </c>
      <c r="K9530" s="24" t="s">
        <v>12519</v>
      </c>
      <c r="L9530" s="22" t="s">
        <v>10</v>
      </c>
      <c r="M9530" s="25">
        <v>236451.04</v>
      </c>
      <c r="N9530" s="27">
        <v>0</v>
      </c>
    </row>
    <row r="9531" spans="1:14" hidden="1" outlineLevel="1" x14ac:dyDescent="0.2">
      <c r="A9531" s="23" t="str">
        <f>HYPERLINK("https://www.spark-marketing.ru/Card/Person/734626", "МБОУ ""СОШ Д.САКТЫ""")</f>
        <v>МБОУ "СОШ Д.САКТЫ"</v>
      </c>
      <c r="B9531" s="24" t="s">
        <v>13718</v>
      </c>
      <c r="C9531" s="25">
        <v>236451.04</v>
      </c>
      <c r="D9531" s="22" t="s">
        <v>13719</v>
      </c>
      <c r="E9531" s="22" t="s">
        <v>48</v>
      </c>
      <c r="F9531" s="23" t="str">
        <f>HYPERLINK("https://www.spark-marketing.ru/Card/Lot/72514480", "Услуги по организации горячего питания в муниципальном бюджетном общеобразовательном учреждении «Средняя общеобразовательная школа д.Сакты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д.Сакты муниципального района Шаранский район РБ»</v>
      </c>
      <c r="G9531" s="22" t="s">
        <v>145</v>
      </c>
      <c r="H9531" s="22" t="s">
        <v>12518</v>
      </c>
      <c r="I9531" s="26">
        <v>43677.648645833302</v>
      </c>
      <c r="J9531" s="23" t="str">
        <f>HYPERLINK("https://www.spark-marketing.ru/Card/Person/145110", "ООО ""ТК ""ЗК""")</f>
        <v>ООО "ТК "ЗК"</v>
      </c>
      <c r="K9531" s="24" t="s">
        <v>5800</v>
      </c>
      <c r="L9531" s="28" t="s">
        <v>51</v>
      </c>
      <c r="M9531" s="25">
        <v>236451.04</v>
      </c>
      <c r="N9531" s="27">
        <v>0</v>
      </c>
    </row>
    <row r="9532" spans="1:14" x14ac:dyDescent="0.15">
      <c r="A9532" s="23" t="str">
        <f>HYPERLINK("https://www.spark-marketing.ru/Card/Person/17591", "ОТДЕЛ МВД РОССИИ ПО ЗАТО Г. ЗЕЛЕНОГОРСК")</f>
        <v>ОТДЕЛ МВД РОССИИ ПО ЗАТО Г. ЗЕЛЕНОГОРСК</v>
      </c>
      <c r="B9532" s="24" t="s">
        <v>8347</v>
      </c>
      <c r="C9532" s="25">
        <v>1250000</v>
      </c>
      <c r="D9532" s="22" t="s">
        <v>13720</v>
      </c>
      <c r="E9532" s="22" t="s">
        <v>96</v>
      </c>
      <c r="F9532" s="23" t="str">
        <f>HYPERLINK("https://www.spark-marketing.ru/Card/Lot/72527999", "Услуги по обеспечению горячим питанием лиц, содержащихся в изоляторе временного содержания, комнате содержания задержанных лиц")</f>
        <v>Услуги по обеспечению горячим питанием лиц, содержащихся в изоляторе временного содержания, комнате содержания задержанных лиц</v>
      </c>
      <c r="G9532" s="22" t="s">
        <v>281</v>
      </c>
      <c r="H9532" s="22" t="s">
        <v>8349</v>
      </c>
      <c r="I9532" s="26">
        <v>43677.6507291667</v>
      </c>
      <c r="J9532" s="28" t="s">
        <v>51</v>
      </c>
      <c r="K9532" s="28" t="s">
        <v>51</v>
      </c>
      <c r="L9532" s="28" t="s">
        <v>51</v>
      </c>
      <c r="M9532" s="28" t="s">
        <v>51</v>
      </c>
      <c r="N9532" s="28" t="s">
        <v>51</v>
      </c>
    </row>
    <row r="9533" spans="1:14" x14ac:dyDescent="0.15">
      <c r="A9533" s="23" t="str">
        <f>HYPERLINK("https://www.spark-marketing.ru/Card/Person/56854", "ГБУЗ ""ЛЕНИНГРАДСКАЯ ЦРБ"" МЗ КК")</f>
        <v>ГБУЗ "ЛЕНИНГРАДСКАЯ ЦРБ" МЗ КК</v>
      </c>
      <c r="B9533" s="24" t="s">
        <v>13721</v>
      </c>
      <c r="C9533" s="25">
        <v>499722.57</v>
      </c>
      <c r="D9533" s="22" t="s">
        <v>13722</v>
      </c>
      <c r="E9533" s="22" t="s">
        <v>62</v>
      </c>
      <c r="F9533" s="23" t="str">
        <f>HYPERLINK("https://www.spark-marketing.ru/Card/Lot/72540194", "Поставка полиграфической продукции")</f>
        <v>Поставка полиграфической продукции</v>
      </c>
      <c r="G9533" s="22" t="s">
        <v>104</v>
      </c>
      <c r="H9533" s="22" t="s">
        <v>7318</v>
      </c>
      <c r="I9533" s="26">
        <v>43677.6567013889</v>
      </c>
      <c r="J9533" s="28" t="s">
        <v>51</v>
      </c>
      <c r="K9533" s="28" t="s">
        <v>51</v>
      </c>
      <c r="L9533" s="28" t="s">
        <v>51</v>
      </c>
      <c r="M9533" s="28" t="s">
        <v>51</v>
      </c>
      <c r="N9533" s="28" t="s">
        <v>51</v>
      </c>
    </row>
    <row r="9534" spans="1:14" hidden="1" outlineLevel="1" x14ac:dyDescent="0.2">
      <c r="A9534" s="23" t="str">
        <f>HYPERLINK("https://www.spark-marketing.ru/Card/Person/56854", "ГБУЗ ""ЛЕНИНГРАДСКАЯ ЦРБ"" МЗ КК")</f>
        <v>ГБУЗ "ЛЕНИНГРАДСКАЯ ЦРБ" МЗ КК</v>
      </c>
      <c r="B9534" s="24" t="s">
        <v>13721</v>
      </c>
      <c r="C9534" s="25">
        <v>499722.57</v>
      </c>
      <c r="D9534" s="22" t="s">
        <v>13722</v>
      </c>
      <c r="E9534" s="22" t="s">
        <v>62</v>
      </c>
      <c r="F9534" s="23" t="str">
        <f>HYPERLINK("https://www.spark-marketing.ru/Card/Lot/72540194", "Поставка полиграфической продукции")</f>
        <v>Поставка полиграфической продукции</v>
      </c>
      <c r="G9534" s="22" t="s">
        <v>104</v>
      </c>
      <c r="H9534" s="22" t="s">
        <v>7318</v>
      </c>
      <c r="I9534" s="26">
        <v>43677.6567013889</v>
      </c>
      <c r="J9534" s="23" t="str">
        <f>HYPERLINK("https://www.spark-marketing.ru/Card/Person/4947971", "ООО ""МИНЕРАЛОВОДСКАЯ ТИПОГРАФИЯ""")</f>
        <v>ООО "МИНЕРАЛОВОДСКАЯ ТИПОГРАФИЯ"</v>
      </c>
      <c r="K9534" s="24" t="s">
        <v>13723</v>
      </c>
      <c r="L9534" s="28" t="s">
        <v>51</v>
      </c>
      <c r="M9534" s="25">
        <v>329816.73</v>
      </c>
      <c r="N9534" s="27">
        <v>0.34000033258453788</v>
      </c>
    </row>
    <row r="9535" spans="1:14" ht="12.75" hidden="1" outlineLevel="1" x14ac:dyDescent="0.2">
      <c r="A9535" s="23" t="str">
        <f>HYPERLINK("https://www.spark-marketing.ru/Card/Person/56854", "ГБУЗ ""ЛЕНИНГРАДСКАЯ ЦРБ"" МЗ КК")</f>
        <v>ГБУЗ "ЛЕНИНГРАДСКАЯ ЦРБ" МЗ КК</v>
      </c>
      <c r="B9535" s="24" t="s">
        <v>13721</v>
      </c>
      <c r="C9535" s="25">
        <v>499722.57</v>
      </c>
      <c r="D9535" s="22" t="s">
        <v>13722</v>
      </c>
      <c r="E9535" s="22" t="s">
        <v>62</v>
      </c>
      <c r="F9535" s="23" t="str">
        <f>HYPERLINK("https://www.spark-marketing.ru/Card/Lot/72540194", "Поставка полиграфической продукции")</f>
        <v>Поставка полиграфической продукции</v>
      </c>
      <c r="G9535" s="22" t="s">
        <v>104</v>
      </c>
      <c r="H9535" s="22" t="s">
        <v>7318</v>
      </c>
      <c r="I9535" s="26">
        <v>43677.6567013889</v>
      </c>
      <c r="J9535" s="23" t="str">
        <f>HYPERLINK("https://www.spark-marketing.ru/Card/Person/451087", "Цатурян Альберт Микитович")</f>
        <v>Цатурян Альберт Микитович</v>
      </c>
      <c r="K9535" s="24" t="s">
        <v>13724</v>
      </c>
      <c r="L9535" s="22" t="s">
        <v>10</v>
      </c>
      <c r="M9535" s="25">
        <v>327318.11</v>
      </c>
      <c r="N9535" s="27">
        <v>0.34500034689247677</v>
      </c>
    </row>
    <row r="9536" spans="1:14" x14ac:dyDescent="0.15">
      <c r="A9536" s="23" t="str">
        <f>HYPERLINK("https://www.spark-marketing.ru/Card/Person/1762772", "МБОУ ""СОШ ИМ. И.АБДУЛЛИНА С.ЗИРИКЛЫ""")</f>
        <v>МБОУ "СОШ ИМ. И.АБДУЛЛИНА С.ЗИРИКЛЫ"</v>
      </c>
      <c r="B9536" s="24" t="s">
        <v>13725</v>
      </c>
      <c r="C9536" s="25">
        <v>877110.07</v>
      </c>
      <c r="D9536" s="22" t="s">
        <v>13726</v>
      </c>
      <c r="E9536" s="22" t="s">
        <v>48</v>
      </c>
      <c r="F9536" s="23" t="str">
        <f>HYPERLINK("https://www.spark-marketing.ru/Card/Lot/72526527", "Услуги по организации горячего питания в муниципальном бюджетном общеобразовательном учреждении «Средняя общеобразовательная школа им. И. Абдуллина с.Зириклы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им. И. Абдуллина с.Зириклы муниципального района Шаранский район РБ»</v>
      </c>
      <c r="G9536" s="22" t="s">
        <v>145</v>
      </c>
      <c r="H9536" s="22" t="s">
        <v>12518</v>
      </c>
      <c r="I9536" s="26">
        <v>43677.6491550926</v>
      </c>
      <c r="J9536" s="28" t="s">
        <v>51</v>
      </c>
      <c r="K9536" s="28" t="s">
        <v>51</v>
      </c>
      <c r="L9536" s="28" t="s">
        <v>51</v>
      </c>
      <c r="M9536" s="28" t="s">
        <v>51</v>
      </c>
      <c r="N9536" s="28" t="s">
        <v>51</v>
      </c>
    </row>
    <row r="9537" spans="1:14" hidden="1" outlineLevel="1" x14ac:dyDescent="0.2">
      <c r="A9537" s="23" t="str">
        <f>HYPERLINK("https://www.spark-marketing.ru/Card/Person/1762772", "МБОУ ""СОШ ИМ. И.АБДУЛЛИНА С.ЗИРИКЛЫ""")</f>
        <v>МБОУ "СОШ ИМ. И.АБДУЛЛИНА С.ЗИРИКЛЫ"</v>
      </c>
      <c r="B9537" s="24" t="s">
        <v>13725</v>
      </c>
      <c r="C9537" s="25">
        <v>877110.07</v>
      </c>
      <c r="D9537" s="22" t="s">
        <v>13726</v>
      </c>
      <c r="E9537" s="22" t="s">
        <v>48</v>
      </c>
      <c r="F9537" s="23" t="str">
        <f>HYPERLINK("https://www.spark-marketing.ru/Card/Lot/72526527", "Услуги по организации горячего питания в муниципальном бюджетном общеобразовательном учреждении «Средняя общеобразовательная школа им. И. Абдуллина с.Зириклы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им. И. Абдуллина с.Зириклы муниципального района Шаранский район РБ»</v>
      </c>
      <c r="G9537" s="22" t="s">
        <v>145</v>
      </c>
      <c r="H9537" s="22" t="s">
        <v>12518</v>
      </c>
      <c r="I9537" s="26">
        <v>43677.6491550926</v>
      </c>
      <c r="J9537" s="23" t="str">
        <f>HYPERLINK("https://www.spark-marketing.ru/Card/Person/145110", "ООО ""ТК ""ЗК""")</f>
        <v>ООО "ТК "ЗК"</v>
      </c>
      <c r="K9537" s="24" t="s">
        <v>5800</v>
      </c>
      <c r="L9537" s="28" t="s">
        <v>51</v>
      </c>
      <c r="M9537" s="25">
        <v>877110.07</v>
      </c>
      <c r="N9537" s="27">
        <v>0</v>
      </c>
    </row>
    <row r="9538" spans="1:14" ht="12.75" hidden="1" outlineLevel="1" x14ac:dyDescent="0.2">
      <c r="A9538" s="23" t="str">
        <f>HYPERLINK("https://www.spark-marketing.ru/Card/Person/1762772", "МБОУ ""СОШ ИМ. И.АБДУЛЛИНА С.ЗИРИКЛЫ""")</f>
        <v>МБОУ "СОШ ИМ. И.АБДУЛЛИНА С.ЗИРИКЛЫ"</v>
      </c>
      <c r="B9538" s="24" t="s">
        <v>13725</v>
      </c>
      <c r="C9538" s="25">
        <v>877110.07</v>
      </c>
      <c r="D9538" s="22" t="s">
        <v>13726</v>
      </c>
      <c r="E9538" s="22" t="s">
        <v>48</v>
      </c>
      <c r="F9538" s="23" t="str">
        <f>HYPERLINK("https://www.spark-marketing.ru/Card/Lot/72526527", "Услуги по организации горячего питания в муниципальном бюджетном общеобразовательном учреждении «Средняя общеобразовательная школа им. И. Абдуллина с.Зириклы муниципального района Шаранский район РБ»")</f>
        <v>Услуги по организации горячего питания в муниципальном бюджетном общеобразовательном учреждении «Средняя общеобразовательная школа им. И. Абдуллина с.Зириклы муниципального района Шаранский район РБ»</v>
      </c>
      <c r="G9538" s="22" t="s">
        <v>145</v>
      </c>
      <c r="H9538" s="22" t="s">
        <v>12518</v>
      </c>
      <c r="I9538" s="26">
        <v>43677.6491550926</v>
      </c>
      <c r="J9538" s="23" t="str">
        <f>HYPERLINK("https://www.spark-marketing.ru/Card/Person/1089466", "Давлетова Надежда Мурзагареевна")</f>
        <v>Давлетова Надежда Мурзагареевна</v>
      </c>
      <c r="K9538" s="24" t="s">
        <v>12519</v>
      </c>
      <c r="L9538" s="22" t="s">
        <v>10</v>
      </c>
      <c r="M9538" s="25">
        <v>877110.07</v>
      </c>
      <c r="N9538" s="27">
        <v>0</v>
      </c>
    </row>
    <row r="9539" spans="1:14" ht="12.75" x14ac:dyDescent="0.2">
      <c r="A9539" s="23" t="str">
        <f>HYPERLINK("https://www.spark-marketing.ru/Card/Person/561823", "МКОУ БАЗАРНОСЫЗГАНСКАЯ СРЕДНЯЯ ШКОЛА №2")</f>
        <v>МКОУ БАЗАРНОСЫЗГАНСКАЯ СРЕДНЯЯ ШКОЛА №2</v>
      </c>
      <c r="B9539" s="24" t="s">
        <v>13727</v>
      </c>
      <c r="C9539" s="25">
        <v>269780</v>
      </c>
      <c r="D9539" s="22" t="s">
        <v>13728</v>
      </c>
      <c r="E9539" s="22" t="s">
        <v>48</v>
      </c>
      <c r="F9539" s="23" t="str">
        <f>HYPERLINK("https://www.spark-marketing.ru/Card/Lot/72521252", "Организация горячего питания детей в школьных столовых")</f>
        <v>Организация горячего питания детей в школьных столовых</v>
      </c>
      <c r="G9539" s="22" t="s">
        <v>1918</v>
      </c>
      <c r="H9539" s="22" t="s">
        <v>1918</v>
      </c>
      <c r="I9539" s="26">
        <v>43677.660104166702</v>
      </c>
      <c r="J9539" s="23" t="str">
        <f>HYPERLINK("https://www.spark-marketing.ru/Card/Person/6376573", "ООО ""ПИТАППЕТИТ""")</f>
        <v>ООО "ПИТАППЕТИТ"</v>
      </c>
      <c r="K9539" s="24" t="s">
        <v>13729</v>
      </c>
      <c r="L9539" s="22" t="s">
        <v>10</v>
      </c>
      <c r="M9539" s="25">
        <v>263200</v>
      </c>
      <c r="N9539" s="27">
        <v>2.4390243902439025E-2</v>
      </c>
    </row>
    <row r="9540" spans="1:14" x14ac:dyDescent="0.15">
      <c r="A9540" s="23" t="str">
        <f t="shared" ref="A9540:A9545" si="231">HYPERLINK("https://www.spark-marketing.ru/Card/Person/1759012", "ГУ МВД РОССИИ ПО Г. МОСКВЕ")</f>
        <v>ГУ МВД РОССИИ ПО Г. МОСКВЕ</v>
      </c>
      <c r="B9540" s="24" t="s">
        <v>13730</v>
      </c>
      <c r="C9540" s="25">
        <v>2508000</v>
      </c>
      <c r="D9540" s="22" t="s">
        <v>13731</v>
      </c>
      <c r="E9540" s="22" t="s">
        <v>48</v>
      </c>
      <c r="F9540" s="23" t="str">
        <f t="shared" ref="F9540:F9545" si="232">HYPERLINK("https://www.spark-marketing.ru/Card/Lot/72530038", "Оказание услуг по обеспечению трехразовым питанием подозреваемых и обвиняемых в совершении преступлений лиц, содержащихся в Изоляторе временного содержания подозреваемых и обвиняемых № 1 ГУ МВД России по г. Москве")</f>
        <v>Оказание услуг по обеспечению трехразовым питанием подозреваемых и обвиняемых в совершении преступлений лиц, содержащихся в Изоляторе временного содержания подозреваемых и обвиняемых № 1 ГУ МВД России по г. Москве</v>
      </c>
      <c r="G9540" s="22" t="s">
        <v>56</v>
      </c>
      <c r="H9540" s="22" t="s">
        <v>56</v>
      </c>
      <c r="I9540" s="26">
        <v>43677.658819444398</v>
      </c>
      <c r="J9540" s="28" t="s">
        <v>51</v>
      </c>
      <c r="K9540" s="28" t="s">
        <v>51</v>
      </c>
      <c r="L9540" s="28" t="s">
        <v>51</v>
      </c>
      <c r="M9540" s="28" t="s">
        <v>51</v>
      </c>
      <c r="N9540" s="28" t="s">
        <v>51</v>
      </c>
    </row>
    <row r="9541" spans="1:14" hidden="1" outlineLevel="1" x14ac:dyDescent="0.2">
      <c r="A9541" s="23" t="str">
        <f t="shared" si="231"/>
        <v>ГУ МВД РОССИИ ПО Г. МОСКВЕ</v>
      </c>
      <c r="B9541" s="24" t="s">
        <v>13730</v>
      </c>
      <c r="C9541" s="25">
        <v>2508000</v>
      </c>
      <c r="D9541" s="22" t="s">
        <v>13731</v>
      </c>
      <c r="E9541" s="22" t="s">
        <v>48</v>
      </c>
      <c r="F9541" s="23" t="str">
        <f t="shared" si="232"/>
        <v>Оказание услуг по обеспечению трехразовым питанием подозреваемых и обвиняемых в совершении преступлений лиц, содержащихся в Изоляторе временного содержания подозреваемых и обвиняемых № 1 ГУ МВД России по г. Москве</v>
      </c>
      <c r="G9541" s="22" t="s">
        <v>56</v>
      </c>
      <c r="H9541" s="22" t="s">
        <v>56</v>
      </c>
      <c r="I9541" s="26">
        <v>43677.658819444398</v>
      </c>
      <c r="J9541" s="23" t="str">
        <f>HYPERLINK("https://www.spark-marketing.ru/Card/Person/4684100", "ООО ""ТЕХНОЛОГИИ ВКУСА""")</f>
        <v>ООО "ТЕХНОЛОГИИ ВКУСА"</v>
      </c>
      <c r="K9541" s="24" t="s">
        <v>9609</v>
      </c>
      <c r="L9541" s="28" t="s">
        <v>51</v>
      </c>
      <c r="M9541" s="25">
        <v>530</v>
      </c>
      <c r="N9541" s="27">
        <v>0.99978867623604462</v>
      </c>
    </row>
    <row r="9542" spans="1:14" ht="12.75" hidden="1" outlineLevel="1" x14ac:dyDescent="0.2">
      <c r="A9542" s="23" t="str">
        <f t="shared" si="231"/>
        <v>ГУ МВД РОССИИ ПО Г. МОСКВЕ</v>
      </c>
      <c r="B9542" s="24" t="s">
        <v>13730</v>
      </c>
      <c r="C9542" s="25">
        <v>2508000</v>
      </c>
      <c r="D9542" s="22" t="s">
        <v>13731</v>
      </c>
      <c r="E9542" s="22" t="s">
        <v>48</v>
      </c>
      <c r="F9542" s="23" t="str">
        <f t="shared" si="232"/>
        <v>Оказание услуг по обеспечению трехразовым питанием подозреваемых и обвиняемых в совершении преступлений лиц, содержащихся в Изоляторе временного содержания подозреваемых и обвиняемых № 1 ГУ МВД России по г. Москве</v>
      </c>
      <c r="G9542" s="22" t="s">
        <v>56</v>
      </c>
      <c r="H9542" s="22" t="s">
        <v>56</v>
      </c>
      <c r="I9542" s="26">
        <v>43677.658819444398</v>
      </c>
      <c r="J9542" s="23" t="str">
        <f>HYPERLINK("https://www.spark-marketing.ru/Card/Person/6578901", "ООО ""ДОРОГА""")</f>
        <v>ООО "ДОРОГА"</v>
      </c>
      <c r="K9542" s="24" t="s">
        <v>3102</v>
      </c>
      <c r="L9542" s="22" t="s">
        <v>10</v>
      </c>
      <c r="M9542" s="25">
        <v>359</v>
      </c>
      <c r="N9542" s="27">
        <v>0.99985685805422653</v>
      </c>
    </row>
    <row r="9543" spans="1:14" hidden="1" outlineLevel="1" x14ac:dyDescent="0.2">
      <c r="A9543" s="23" t="str">
        <f t="shared" si="231"/>
        <v>ГУ МВД РОССИИ ПО Г. МОСКВЕ</v>
      </c>
      <c r="B9543" s="24" t="s">
        <v>13730</v>
      </c>
      <c r="C9543" s="25">
        <v>2508000</v>
      </c>
      <c r="D9543" s="22" t="s">
        <v>13731</v>
      </c>
      <c r="E9543" s="22" t="s">
        <v>48</v>
      </c>
      <c r="F9543" s="23" t="str">
        <f t="shared" si="232"/>
        <v>Оказание услуг по обеспечению трехразовым питанием подозреваемых и обвиняемых в совершении преступлений лиц, содержащихся в Изоляторе временного содержания подозреваемых и обвиняемых № 1 ГУ МВД России по г. Москве</v>
      </c>
      <c r="G9543" s="22" t="s">
        <v>56</v>
      </c>
      <c r="H9543" s="22" t="s">
        <v>56</v>
      </c>
      <c r="I9543" s="26">
        <v>43677.658819444398</v>
      </c>
      <c r="J9543" s="23" t="str">
        <f>HYPERLINK("https://www.spark-marketing.ru/Card/Person/2523959", "ООО ""КРУИЗ-ТУР""")</f>
        <v>ООО "КРУИЗ-ТУР"</v>
      </c>
      <c r="K9543" s="24" t="s">
        <v>13149</v>
      </c>
      <c r="L9543" s="28" t="s">
        <v>51</v>
      </c>
      <c r="M9543" s="25">
        <v>362.8</v>
      </c>
      <c r="N9543" s="27">
        <v>0.99985534290271127</v>
      </c>
    </row>
    <row r="9544" spans="1:14" hidden="1" outlineLevel="1" x14ac:dyDescent="0.2">
      <c r="A9544" s="23" t="str">
        <f t="shared" si="231"/>
        <v>ГУ МВД РОССИИ ПО Г. МОСКВЕ</v>
      </c>
      <c r="B9544" s="24" t="s">
        <v>13730</v>
      </c>
      <c r="C9544" s="25">
        <v>2508000</v>
      </c>
      <c r="D9544" s="22" t="s">
        <v>13731</v>
      </c>
      <c r="E9544" s="22" t="s">
        <v>48</v>
      </c>
      <c r="F9544" s="23" t="str">
        <f t="shared" si="232"/>
        <v>Оказание услуг по обеспечению трехразовым питанием подозреваемых и обвиняемых в совершении преступлений лиц, содержащихся в Изоляторе временного содержания подозреваемых и обвиняемых № 1 ГУ МВД России по г. Москве</v>
      </c>
      <c r="G9544" s="22" t="s">
        <v>56</v>
      </c>
      <c r="H9544" s="22" t="s">
        <v>56</v>
      </c>
      <c r="I9544" s="26">
        <v>43677.658819444398</v>
      </c>
      <c r="J9544" s="23" t="str">
        <f>HYPERLINK("https://www.spark-marketing.ru/Card/Person/138389", "Субботина Юлия Валерьевна")</f>
        <v>Субботина Юлия Валерьевна</v>
      </c>
      <c r="K9544" s="24" t="s">
        <v>13732</v>
      </c>
      <c r="L9544" s="28" t="s">
        <v>51</v>
      </c>
      <c r="M9544" s="25">
        <v>508</v>
      </c>
      <c r="N9544" s="27">
        <v>0.99979744816586924</v>
      </c>
    </row>
    <row r="9545" spans="1:14" hidden="1" outlineLevel="1" x14ac:dyDescent="0.2">
      <c r="A9545" s="23" t="str">
        <f t="shared" si="231"/>
        <v>ГУ МВД РОССИИ ПО Г. МОСКВЕ</v>
      </c>
      <c r="B9545" s="24" t="s">
        <v>13730</v>
      </c>
      <c r="C9545" s="25">
        <v>2508000</v>
      </c>
      <c r="D9545" s="22" t="s">
        <v>13731</v>
      </c>
      <c r="E9545" s="22" t="s">
        <v>48</v>
      </c>
      <c r="F9545" s="23" t="str">
        <f t="shared" si="232"/>
        <v>Оказание услуг по обеспечению трехразовым питанием подозреваемых и обвиняемых в совершении преступлений лиц, содержащихся в Изоляторе временного содержания подозреваемых и обвиняемых № 1 ГУ МВД России по г. Москве</v>
      </c>
      <c r="G9545" s="22" t="s">
        <v>56</v>
      </c>
      <c r="H9545" s="22" t="s">
        <v>56</v>
      </c>
      <c r="I9545" s="26">
        <v>43677.658819444398</v>
      </c>
      <c r="J9545" s="23" t="str">
        <f>HYPERLINK("https://www.spark-marketing.ru/Card/Person/6604981", "ООО ""ПЕРСПЕКТИВА""")</f>
        <v>ООО "ПЕРСПЕКТИВА"</v>
      </c>
      <c r="K9545" s="24" t="s">
        <v>13150</v>
      </c>
      <c r="L9545" s="28" t="s">
        <v>51</v>
      </c>
      <c r="M9545" s="25">
        <v>507.2</v>
      </c>
      <c r="N9545" s="27">
        <v>0.99979776714513557</v>
      </c>
    </row>
    <row r="9546" spans="1:14" x14ac:dyDescent="0.15">
      <c r="A9546" s="23" t="str">
        <f>HYPERLINK("https://www.spark-marketing.ru/Card/Person/1037742", "ГКУ СО ""ЧЕРНЫШКОВСКИЙ ЦСОН""")</f>
        <v>ГКУ СО "ЧЕРНЫШКОВСКИЙ ЦСОН"</v>
      </c>
      <c r="B9546" s="24" t="s">
        <v>13733</v>
      </c>
      <c r="C9546" s="25">
        <v>401650.37</v>
      </c>
      <c r="D9546" s="22" t="s">
        <v>13734</v>
      </c>
      <c r="E9546" s="22" t="s">
        <v>48</v>
      </c>
      <c r="F9546" s="23" t="str">
        <f>HYPERLINK("https://www.spark-marketing.ru/Card/Lot/72522122", "оказание услуг по обеспечению двухразовым питанием получателей социальных услуг")</f>
        <v>оказание услуг по обеспечению двухразовым питанием получателей социальных услуг</v>
      </c>
      <c r="G9546" s="22" t="s">
        <v>158</v>
      </c>
      <c r="H9546" s="22" t="s">
        <v>13735</v>
      </c>
      <c r="I9546" s="26">
        <v>43677.649722222202</v>
      </c>
      <c r="J9546" s="28" t="s">
        <v>51</v>
      </c>
      <c r="K9546" s="28" t="s">
        <v>51</v>
      </c>
      <c r="L9546" s="28" t="s">
        <v>51</v>
      </c>
      <c r="M9546" s="28" t="s">
        <v>51</v>
      </c>
      <c r="N9546" s="28" t="s">
        <v>51</v>
      </c>
    </row>
    <row r="9547" spans="1:14" x14ac:dyDescent="0.15">
      <c r="A9547" s="23" t="str">
        <f>HYPERLINK("https://www.spark-marketing.ru/Card/Person/947892", "МБОУ ""СОШ №2""")</f>
        <v>МБОУ "СОШ №2"</v>
      </c>
      <c r="B9547" s="24" t="s">
        <v>13736</v>
      </c>
      <c r="C9547" s="25">
        <v>509454.5</v>
      </c>
      <c r="D9547" s="22" t="s">
        <v>13737</v>
      </c>
      <c r="E9547" s="22" t="s">
        <v>48</v>
      </c>
      <c r="F9547" s="23" t="str">
        <f>HYPERLINK("https://www.spark-marketing.ru/Card/Lot/72524248", "Оказание услуг по организации горячего питания")</f>
        <v>Оказание услуг по организации горячего питания</v>
      </c>
      <c r="G9547" s="22" t="s">
        <v>281</v>
      </c>
      <c r="H9547" s="22" t="s">
        <v>281</v>
      </c>
      <c r="I9547" s="26">
        <v>43677.626388888901</v>
      </c>
      <c r="J9547" s="28" t="s">
        <v>51</v>
      </c>
      <c r="K9547" s="28" t="s">
        <v>51</v>
      </c>
      <c r="L9547" s="28" t="s">
        <v>51</v>
      </c>
      <c r="M9547" s="28" t="s">
        <v>51</v>
      </c>
      <c r="N9547" s="28" t="s">
        <v>51</v>
      </c>
    </row>
    <row r="9548" spans="1:14" hidden="1" outlineLevel="1" x14ac:dyDescent="0.2">
      <c r="A9548" s="23" t="str">
        <f>HYPERLINK("https://www.spark-marketing.ru/Card/Person/947892", "МБОУ ""СОШ №2""")</f>
        <v>МБОУ "СОШ №2"</v>
      </c>
      <c r="B9548" s="24" t="s">
        <v>13736</v>
      </c>
      <c r="C9548" s="25">
        <v>509454.5</v>
      </c>
      <c r="D9548" s="22" t="s">
        <v>13737</v>
      </c>
      <c r="E9548" s="22" t="s">
        <v>48</v>
      </c>
      <c r="F9548" s="23" t="str">
        <f>HYPERLINK("https://www.spark-marketing.ru/Card/Lot/72524248", "Оказание услуг по организации горячего питания")</f>
        <v>Оказание услуг по организации горячего питания</v>
      </c>
      <c r="G9548" s="22" t="s">
        <v>281</v>
      </c>
      <c r="H9548" s="22" t="s">
        <v>281</v>
      </c>
      <c r="I9548" s="26">
        <v>43677.626388888901</v>
      </c>
      <c r="J9548" s="23" t="str">
        <f>HYPERLINK("https://www.spark-marketing.ru/Card/Person/969761", "Заплатина Людмила Альфредовна")</f>
        <v>Заплатина Людмила Альфредовна</v>
      </c>
      <c r="K9548" s="24" t="s">
        <v>7793</v>
      </c>
      <c r="L9548" s="28" t="s">
        <v>51</v>
      </c>
      <c r="M9548" s="25">
        <v>509454.5</v>
      </c>
      <c r="N9548" s="27">
        <v>0</v>
      </c>
    </row>
    <row r="9549" spans="1:14" ht="12.75" hidden="1" outlineLevel="1" x14ac:dyDescent="0.2">
      <c r="A9549" s="23" t="str">
        <f>HYPERLINK("https://www.spark-marketing.ru/Card/Person/947892", "МБОУ ""СОШ №2""")</f>
        <v>МБОУ "СОШ №2"</v>
      </c>
      <c r="B9549" s="24" t="s">
        <v>13736</v>
      </c>
      <c r="C9549" s="25">
        <v>509454.5</v>
      </c>
      <c r="D9549" s="22" t="s">
        <v>13737</v>
      </c>
      <c r="E9549" s="22" t="s">
        <v>48</v>
      </c>
      <c r="F9549" s="23" t="str">
        <f>HYPERLINK("https://www.spark-marketing.ru/Card/Lot/72524248", "Оказание услуг по организации горячего питания")</f>
        <v>Оказание услуг по организации горячего питания</v>
      </c>
      <c r="G9549" s="22" t="s">
        <v>281</v>
      </c>
      <c r="H9549" s="22" t="s">
        <v>281</v>
      </c>
      <c r="I9549" s="26">
        <v>43677.626388888901</v>
      </c>
      <c r="J9549" s="23" t="str">
        <f>HYPERLINK("https://www.spark-marketing.ru/Card/Person/218344", "ООО ""ПОЛЕКС""")</f>
        <v>ООО "ПОЛЕКС"</v>
      </c>
      <c r="K9549" s="24" t="s">
        <v>1449</v>
      </c>
      <c r="L9549" s="22" t="s">
        <v>10</v>
      </c>
      <c r="M9549" s="25">
        <v>390000</v>
      </c>
      <c r="N9549" s="27">
        <v>0.23447530643070186</v>
      </c>
    </row>
    <row r="9550" spans="1:14" x14ac:dyDescent="0.15">
      <c r="A9550" s="23" t="str">
        <f>HYPERLINK("https://www.spark-marketing.ru/Card/Person/4679", "ОМВД РОССИИ ПО НАДЫМСКОМУ РАЙОНУ")</f>
        <v>ОМВД РОССИИ ПО НАДЫМСКОМУ РАЙОНУ</v>
      </c>
      <c r="B9550" s="24" t="s">
        <v>4091</v>
      </c>
      <c r="C9550" s="25">
        <v>90000</v>
      </c>
      <c r="D9550" s="22" t="s">
        <v>13738</v>
      </c>
      <c r="E9550" s="22" t="s">
        <v>91</v>
      </c>
      <c r="F9550" s="23" t="str">
        <f>HYPERLINK("https://www.spark-marketing.ru/Card/Lot/72517817", "Оказание услуг по ремонту компьютеров и периферийного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вооружения")</f>
        <v>Оказание услуг по ремонту компьютеров и периферийного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</v>
      </c>
      <c r="G9550" s="22" t="s">
        <v>1056</v>
      </c>
      <c r="H9550" s="22" t="s">
        <v>2702</v>
      </c>
      <c r="I9550" s="26">
        <v>43677.649849537003</v>
      </c>
      <c r="J9550" s="23" t="str">
        <f>HYPERLINK("https://www.spark-marketing.ru/Card/Person/137733", "ООО СЦ ""РЕММАРК""")</f>
        <v>ООО СЦ "РЕММАРК"</v>
      </c>
      <c r="K9550" s="24" t="s">
        <v>4093</v>
      </c>
      <c r="L9550" s="22" t="s">
        <v>10</v>
      </c>
      <c r="M9550" s="28" t="s">
        <v>51</v>
      </c>
      <c r="N9550" s="28" t="s">
        <v>51</v>
      </c>
    </row>
    <row r="9551" spans="1:14" x14ac:dyDescent="0.15">
      <c r="A9551" s="23" t="str">
        <f>HYPERLINK("https://www.spark-marketing.ru/Card/Person/4377863", "МО МВД РОССИИ ""АСИНОВСКИЙ"" УМВД РОССИИ ПО ТОМСКОЙ ОБЛАСТИ")</f>
        <v>МО МВД РОССИИ "АСИНОВСКИЙ" УМВД РОССИИ ПО ТОМСКОЙ ОБЛАСТИ</v>
      </c>
      <c r="B9551" s="24" t="s">
        <v>1497</v>
      </c>
      <c r="C9551" s="25">
        <v>999944</v>
      </c>
      <c r="D9551" s="22" t="s">
        <v>13739</v>
      </c>
      <c r="E9551" s="22" t="s">
        <v>96</v>
      </c>
      <c r="F9551" s="23" t="str">
        <f>HYPERLINK("https://www.spark-marketing.ru/Card/Lot/72527468", "Оказание услуг по приготовлению и поставке горячего питания в 2020 году для обеспечения лиц, содержащихся в изоляторе временного содержания и комнате содержания лиц, задержанных в административном порядке, МО МВД России «Асиновский» УМВД России по То...")</f>
        <v>Оказание услуг по приготовлению и поставке горячего питания в 2020 году для обеспечения лиц, содержащихся в изоляторе временного содержания и комнате содержания лиц, задержанных в административном порядке, МО МВД России «Асиновский» УМВД России по То...</v>
      </c>
      <c r="G9551" s="22" t="s">
        <v>149</v>
      </c>
      <c r="H9551" s="22" t="s">
        <v>1499</v>
      </c>
      <c r="I9551" s="26">
        <v>43677.637743055602</v>
      </c>
      <c r="J9551" s="23" t="str">
        <f>HYPERLINK("https://www.spark-marketing.ru/Card/Person/563394", "ООО ""РЕГИОН-СЕРВИС""")</f>
        <v>ООО "РЕГИОН-СЕРВИС"</v>
      </c>
      <c r="K9551" s="24" t="s">
        <v>1500</v>
      </c>
      <c r="L9551" s="22" t="s">
        <v>10</v>
      </c>
      <c r="M9551" s="28" t="s">
        <v>51</v>
      </c>
      <c r="N9551" s="28" t="s">
        <v>51</v>
      </c>
    </row>
    <row r="9552" spans="1:14" x14ac:dyDescent="0.15">
      <c r="A9552" s="23" t="str">
        <f>HYPERLINK("https://www.spark-marketing.ru/Card/Person/59768", "УМВД РОССИИ ПО Г. ЧЕЛЯБИНСКУ")</f>
        <v>УМВД РОССИИ ПО Г. ЧЕЛЯБИНСКУ</v>
      </c>
      <c r="B9552" s="24" t="s">
        <v>2327</v>
      </c>
      <c r="C9552" s="25">
        <v>1393207.3</v>
      </c>
      <c r="D9552" s="22" t="s">
        <v>13740</v>
      </c>
      <c r="E9552" s="22" t="s">
        <v>48</v>
      </c>
      <c r="F9552" s="23" t="str">
        <f>HYPERLINK("https://www.spark-marketing.ru/Card/Lot/72538407", "Оказание услуг по обеспечению ежедневным трёхразовым горячим питанием лиц, содержащихся в ИВС и специальных приемниках УМВД России по г. Челябинску.")</f>
        <v>Оказание услуг по обеспечению ежедневным трёхразовым горячим питанием лиц, содержащихся в ИВС и специальных приемниках УМВД России по г. Челябинску.</v>
      </c>
      <c r="G9552" s="22" t="s">
        <v>469</v>
      </c>
      <c r="H9552" s="22" t="s">
        <v>491</v>
      </c>
      <c r="I9552" s="26">
        <v>43677.658078703702</v>
      </c>
      <c r="J9552" s="28" t="s">
        <v>51</v>
      </c>
      <c r="K9552" s="28" t="s">
        <v>51</v>
      </c>
      <c r="L9552" s="28" t="s">
        <v>51</v>
      </c>
      <c r="M9552" s="28" t="s">
        <v>51</v>
      </c>
      <c r="N9552" s="28" t="s">
        <v>51</v>
      </c>
    </row>
    <row r="9553" spans="1:14" x14ac:dyDescent="0.15">
      <c r="A9553" s="23" t="str">
        <f>HYPERLINK("https://www.spark-marketing.ru/Card/Person/730", "ГБПОУ Г. МОСКВЫ ""МОСКОВСКАЯ ТЕАТРАЛЬНАЯ ШКОЛА ОЛЕГА ТАБАКОВА""")</f>
        <v>ГБПОУ Г. МОСКВЫ "МОСКОВСКАЯ ТЕАТРАЛЬНАЯ ШКОЛА ОЛЕГА ТАБАКОВА"</v>
      </c>
      <c r="B9553" s="24" t="s">
        <v>13741</v>
      </c>
      <c r="C9553" s="25">
        <v>2336345</v>
      </c>
      <c r="D9553" s="22" t="s">
        <v>13742</v>
      </c>
      <c r="E9553" s="22" t="s">
        <v>48</v>
      </c>
      <c r="F9553" s="23" t="str">
        <f>HYPERLINK("https://www.spark-marketing.ru/Card/Lot/72529803", "Оказание услуг по организации питания обучающихся в ГБПОУ г. Москвы «Московская театральная школа Олега Табакова».")</f>
        <v>Оказание услуг по организации питания обучающихся в ГБПОУ г. Москвы «Московская театральная школа Олега Табакова».</v>
      </c>
      <c r="G9553" s="22" t="s">
        <v>56</v>
      </c>
      <c r="H9553" s="22" t="s">
        <v>56</v>
      </c>
      <c r="I9553" s="26">
        <v>43677.633333333302</v>
      </c>
      <c r="J9553" s="28" t="s">
        <v>51</v>
      </c>
      <c r="K9553" s="28" t="s">
        <v>51</v>
      </c>
      <c r="L9553" s="28" t="s">
        <v>51</v>
      </c>
      <c r="M9553" s="28" t="s">
        <v>51</v>
      </c>
      <c r="N9553" s="28" t="s">
        <v>51</v>
      </c>
    </row>
    <row r="9554" spans="1:14" ht="12.75" hidden="1" outlineLevel="1" x14ac:dyDescent="0.2">
      <c r="A9554" s="23" t="str">
        <f>HYPERLINK("https://www.spark-marketing.ru/Card/Person/730", "ГБПОУ Г. МОСКВЫ ""МОСКОВСКАЯ ТЕАТРАЛЬНАЯ ШКОЛА ОЛЕГА ТАБАКОВА""")</f>
        <v>ГБПОУ Г. МОСКВЫ "МОСКОВСКАЯ ТЕАТРАЛЬНАЯ ШКОЛА ОЛЕГА ТАБАКОВА"</v>
      </c>
      <c r="B9554" s="24" t="s">
        <v>13741</v>
      </c>
      <c r="C9554" s="25">
        <v>2336345</v>
      </c>
      <c r="D9554" s="22" t="s">
        <v>13742</v>
      </c>
      <c r="E9554" s="22" t="s">
        <v>48</v>
      </c>
      <c r="F9554" s="23" t="str">
        <f>HYPERLINK("https://www.spark-marketing.ru/Card/Lot/72529803", "Оказание услуг по организации питания обучающихся в ГБПОУ г. Москвы «Московская театральная школа Олега Табакова».")</f>
        <v>Оказание услуг по организации питания обучающихся в ГБПОУ г. Москвы «Московская театральная школа Олега Табакова».</v>
      </c>
      <c r="G9554" s="22" t="s">
        <v>56</v>
      </c>
      <c r="H9554" s="22" t="s">
        <v>56</v>
      </c>
      <c r="I9554" s="26">
        <v>43677.633333333302</v>
      </c>
      <c r="J9554" s="23" t="str">
        <f>HYPERLINK("https://www.spark-marketing.ru/Card/Person/90084", "ООО ""ВКУСНЫЙ ВЫБОР""")</f>
        <v>ООО "ВКУСНЫЙ ВЫБОР"</v>
      </c>
      <c r="K9554" s="24" t="s">
        <v>3103</v>
      </c>
      <c r="L9554" s="22" t="s">
        <v>10</v>
      </c>
      <c r="M9554" s="25">
        <v>385.09</v>
      </c>
      <c r="N9554" s="27">
        <v>0.99983517417162282</v>
      </c>
    </row>
    <row r="9555" spans="1:14" hidden="1" outlineLevel="1" x14ac:dyDescent="0.2">
      <c r="A9555" s="23" t="str">
        <f>HYPERLINK("https://www.spark-marketing.ru/Card/Person/730", "ГБПОУ Г. МОСКВЫ ""МОСКОВСКАЯ ТЕАТРАЛЬНАЯ ШКОЛА ОЛЕГА ТАБАКОВА""")</f>
        <v>ГБПОУ Г. МОСКВЫ "МОСКОВСКАЯ ТЕАТРАЛЬНАЯ ШКОЛА ОЛЕГА ТАБАКОВА"</v>
      </c>
      <c r="B9555" s="24" t="s">
        <v>13741</v>
      </c>
      <c r="C9555" s="25">
        <v>2336345</v>
      </c>
      <c r="D9555" s="22" t="s">
        <v>13742</v>
      </c>
      <c r="E9555" s="22" t="s">
        <v>48</v>
      </c>
      <c r="F9555" s="23" t="str">
        <f>HYPERLINK("https://www.spark-marketing.ru/Card/Lot/72529803", "Оказание услуг по организации питания обучающихся в ГБПОУ г. Москвы «Московская театральная школа Олега Табакова».")</f>
        <v>Оказание услуг по организации питания обучающихся в ГБПОУ г. Москвы «Московская театральная школа Олега Табакова».</v>
      </c>
      <c r="G9555" s="22" t="s">
        <v>56</v>
      </c>
      <c r="H9555" s="22" t="s">
        <v>56</v>
      </c>
      <c r="I9555" s="26">
        <v>43677.633333333302</v>
      </c>
      <c r="J9555" s="23" t="str">
        <f>HYPERLINK("https://www.spark-marketing.ru/Card/Person/4347972", "ООО ""ДОБРОДАР-Р""")</f>
        <v>ООО "ДОБРОДАР-Р"</v>
      </c>
      <c r="K9555" s="24" t="s">
        <v>13743</v>
      </c>
      <c r="L9555" s="28" t="s">
        <v>51</v>
      </c>
      <c r="M9555" s="25">
        <v>389.06</v>
      </c>
      <c r="N9555" s="27">
        <v>0.99983347493627872</v>
      </c>
    </row>
    <row r="9556" spans="1:14" ht="12.75" x14ac:dyDescent="0.2">
      <c r="A9556" s="23" t="str">
        <f>HYPERLINK("https://www.spark-marketing.ru/Card/Person/1057685", "МКОУ БАЗАРНОСЫЗГАНСКАЯ СРЕДНЯЯ ШКОЛА №1")</f>
        <v>МКОУ БАЗАРНОСЫЗГАНСКАЯ СРЕДНЯЯ ШКОЛА №1</v>
      </c>
      <c r="B9556" s="24" t="s">
        <v>13744</v>
      </c>
      <c r="C9556" s="25">
        <v>308320</v>
      </c>
      <c r="D9556" s="22" t="s">
        <v>13745</v>
      </c>
      <c r="E9556" s="22" t="s">
        <v>48</v>
      </c>
      <c r="F9556" s="23" t="str">
        <f>HYPERLINK("https://www.spark-marketing.ru/Card/Lot/72521138", "Организация горячего питания детей в школьных столовых")</f>
        <v>Организация горячего питания детей в школьных столовых</v>
      </c>
      <c r="G9556" s="22" t="s">
        <v>1918</v>
      </c>
      <c r="H9556" s="22" t="s">
        <v>1918</v>
      </c>
      <c r="I9556" s="26">
        <v>43677.638437499998</v>
      </c>
      <c r="J9556" s="23" t="str">
        <f>HYPERLINK("https://www.spark-marketing.ru/Card/Person/6376573", "ООО ""ПИТАППЕТИТ""")</f>
        <v>ООО "ПИТАППЕТИТ"</v>
      </c>
      <c r="K9556" s="24" t="s">
        <v>13729</v>
      </c>
      <c r="L9556" s="22" t="s">
        <v>10</v>
      </c>
      <c r="M9556" s="25">
        <v>300800</v>
      </c>
      <c r="N9556" s="27">
        <v>2.4390243902439025E-2</v>
      </c>
    </row>
    <row r="9557" spans="1:14" x14ac:dyDescent="0.15">
      <c r="A9557" s="23" t="str">
        <f>HYPERLINK("https://www.spark-marketing.ru/Card/Person/4679", "ОМВД РОССИИ ПО НАДЫМСКОМУ РАЙОНУ")</f>
        <v>ОМВД РОССИИ ПО НАДЫМСКОМУ РАЙОНУ</v>
      </c>
      <c r="B9557" s="24" t="s">
        <v>4091</v>
      </c>
      <c r="C9557" s="25">
        <v>90000</v>
      </c>
      <c r="D9557" s="22" t="s">
        <v>13746</v>
      </c>
      <c r="E9557" s="22" t="s">
        <v>91</v>
      </c>
      <c r="F9557" s="23" t="str">
        <f>HYPERLINK("https://www.spark-marketing.ru/Card/Lot/72513351", "Оказание услуг по ремонту компьютеров и периферийного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вооружения")</f>
        <v>Оказание услуг по ремонту компьютеров и периферийного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</v>
      </c>
      <c r="G9557" s="22" t="s">
        <v>1056</v>
      </c>
      <c r="H9557" s="22" t="s">
        <v>2702</v>
      </c>
      <c r="I9557" s="26">
        <v>43677.610740740703</v>
      </c>
      <c r="J9557" s="23" t="str">
        <f>HYPERLINK("https://www.spark-marketing.ru/Card/Person/137733", "ООО СЦ ""РЕММАРК""")</f>
        <v>ООО СЦ "РЕММАРК"</v>
      </c>
      <c r="K9557" s="24" t="s">
        <v>4093</v>
      </c>
      <c r="L9557" s="22" t="s">
        <v>10</v>
      </c>
      <c r="M9557" s="28" t="s">
        <v>51</v>
      </c>
      <c r="N9557" s="28" t="s">
        <v>51</v>
      </c>
    </row>
    <row r="9558" spans="1:14" x14ac:dyDescent="0.15">
      <c r="A9558" s="23" t="str">
        <f>HYPERLINK("https://www.spark-marketing.ru/Card/Person/137643", "АДМИНИСТРАЦИЯ БАГАНСКОГО РАЙОНА НОВОСИБИРСКОЙ ОБЛАСТИ")</f>
        <v>АДМИНИСТРАЦИЯ БАГАНСКОГО РАЙОНА НОВОСИБИРСКОЙ ОБЛАСТИ</v>
      </c>
      <c r="B9558" s="24" t="s">
        <v>2346</v>
      </c>
      <c r="C9558" s="25">
        <v>30279.83</v>
      </c>
      <c r="D9558" s="22" t="s">
        <v>13747</v>
      </c>
      <c r="E9558" s="22" t="s">
        <v>96</v>
      </c>
      <c r="F9558" s="23" t="str">
        <f>HYPERLINK("https://www.spark-marketing.ru/Card/Lot/72508346", "Оказание услуг по организации питания в рамках проведения приемов официальных лиц и делегаций, торжественных мероприятий, конференций, совещаний.")</f>
        <v>Оказание услуг по организации питания в рамках проведения приемов официальных лиц и делегаций, торжественных мероприятий, конференций, совещаний.</v>
      </c>
      <c r="G9558" s="22" t="s">
        <v>195</v>
      </c>
      <c r="H9558" s="22" t="s">
        <v>2348</v>
      </c>
      <c r="I9558" s="26">
        <v>43677.615856481498</v>
      </c>
      <c r="J9558" s="28" t="s">
        <v>51</v>
      </c>
      <c r="K9558" s="28" t="s">
        <v>51</v>
      </c>
      <c r="L9558" s="28" t="s">
        <v>51</v>
      </c>
      <c r="M9558" s="28" t="s">
        <v>51</v>
      </c>
      <c r="N9558" s="28" t="s">
        <v>51</v>
      </c>
    </row>
    <row r="9559" spans="1:14" x14ac:dyDescent="0.15">
      <c r="A9559" s="23" t="str">
        <f>HYPERLINK("https://www.spark-marketing.ru/Card/Person/31062", "БУ ""СУРГУТСКАЯ ГОРОДСКАЯ КЛИНИЧЕСКАЯ СТАНЦИЯ СКОРОЙ МЕДИЦИНСКОЙ ПОМОЩИ""")</f>
        <v>БУ "СУРГУТСКАЯ ГОРОДСКАЯ КЛИНИЧЕСКАЯ СТАНЦИЯ СКОРОЙ МЕДИЦИНСКОЙ ПОМОЩИ"</v>
      </c>
      <c r="B9559" s="24" t="s">
        <v>13748</v>
      </c>
      <c r="C9559" s="25">
        <v>347035.34</v>
      </c>
      <c r="D9559" s="22" t="s">
        <v>13749</v>
      </c>
      <c r="E9559" s="22" t="s">
        <v>603</v>
      </c>
      <c r="F9559" s="23" t="str">
        <f>HYPERLINK("https://www.spark-marketing.ru/Card/Lot/72521979", "Оказание услуг по государственной поверке, калибровке, аттестации и метрологическому контролю средств измерения")</f>
        <v>Оказание услуг по государственной поверке, калибровке, аттестации и метрологическому контролю средств измерения</v>
      </c>
      <c r="G9559" s="22" t="s">
        <v>97</v>
      </c>
      <c r="H9559" s="22" t="s">
        <v>3533</v>
      </c>
      <c r="I9559" s="26">
        <v>43677.593912037002</v>
      </c>
      <c r="J9559" s="28" t="s">
        <v>51</v>
      </c>
      <c r="K9559" s="28" t="s">
        <v>51</v>
      </c>
      <c r="L9559" s="28" t="s">
        <v>51</v>
      </c>
      <c r="M9559" s="28" t="s">
        <v>51</v>
      </c>
      <c r="N9559" s="28" t="s">
        <v>51</v>
      </c>
    </row>
    <row r="9560" spans="1:14" ht="12.75" hidden="1" outlineLevel="1" x14ac:dyDescent="0.2">
      <c r="A9560" s="23" t="str">
        <f>HYPERLINK("https://www.spark-marketing.ru/Card/Person/31062", "БУ ""СУРГУТСКАЯ ГОРОДСКАЯ КЛИНИЧЕСКАЯ СТАНЦИЯ СКОРОЙ МЕДИЦИНСКОЙ ПОМОЩИ""")</f>
        <v>БУ "СУРГУТСКАЯ ГОРОДСКАЯ КЛИНИЧЕСКАЯ СТАНЦИЯ СКОРОЙ МЕДИЦИНСКОЙ ПОМОЩИ"</v>
      </c>
      <c r="B9560" s="24" t="s">
        <v>13748</v>
      </c>
      <c r="C9560" s="25">
        <v>347035.34</v>
      </c>
      <c r="D9560" s="22" t="s">
        <v>13749</v>
      </c>
      <c r="E9560" s="22" t="s">
        <v>603</v>
      </c>
      <c r="F9560" s="23" t="str">
        <f>HYPERLINK("https://www.spark-marketing.ru/Card/Lot/72521979", "Оказание услуг по государственной поверке, калибровке, аттестации и метрологическому контролю средств измерения")</f>
        <v>Оказание услуг по государственной поверке, калибровке, аттестации и метрологическому контролю средств измерения</v>
      </c>
      <c r="G9560" s="22" t="s">
        <v>97</v>
      </c>
      <c r="H9560" s="22" t="s">
        <v>3533</v>
      </c>
      <c r="I9560" s="26">
        <v>43677.593912037002</v>
      </c>
      <c r="J9560" s="23" t="str">
        <f>HYPERLINK("https://www.spark-marketing.ru/Card/Person/671245", "ООО ""УК ""ДОМОВОЙ""")</f>
        <v>ООО "УК "ДОМОВОЙ"</v>
      </c>
      <c r="K9560" s="24" t="s">
        <v>13750</v>
      </c>
      <c r="L9560" s="22" t="s">
        <v>10</v>
      </c>
      <c r="M9560" s="25">
        <v>291509.58</v>
      </c>
      <c r="N9560" s="27">
        <v>0.16000030429177617</v>
      </c>
    </row>
    <row r="9561" spans="1:14" hidden="1" outlineLevel="1" x14ac:dyDescent="0.2">
      <c r="A9561" s="23" t="str">
        <f>HYPERLINK("https://www.spark-marketing.ru/Card/Person/31062", "БУ ""СУРГУТСКАЯ ГОРОДСКАЯ КЛИНИЧЕСКАЯ СТАНЦИЯ СКОРОЙ МЕДИЦИНСКОЙ ПОМОЩИ""")</f>
        <v>БУ "СУРГУТСКАЯ ГОРОДСКАЯ КЛИНИЧЕСКАЯ СТАНЦИЯ СКОРОЙ МЕДИЦИНСКОЙ ПОМОЩИ"</v>
      </c>
      <c r="B9561" s="24" t="s">
        <v>13748</v>
      </c>
      <c r="C9561" s="25">
        <v>347035.34</v>
      </c>
      <c r="D9561" s="22" t="s">
        <v>13749</v>
      </c>
      <c r="E9561" s="22" t="s">
        <v>603</v>
      </c>
      <c r="F9561" s="23" t="str">
        <f>HYPERLINK("https://www.spark-marketing.ru/Card/Lot/72521979", "Оказание услуг по государственной поверке, калибровке, аттестации и метрологическому контролю средств измерения")</f>
        <v>Оказание услуг по государственной поверке, калибровке, аттестации и метрологическому контролю средств измерения</v>
      </c>
      <c r="G9561" s="22" t="s">
        <v>97</v>
      </c>
      <c r="H9561" s="22" t="s">
        <v>3533</v>
      </c>
      <c r="I9561" s="26">
        <v>43677.593912037002</v>
      </c>
      <c r="J9561" s="23" t="str">
        <f>HYPERLINK("https://www.spark-marketing.ru/Card/Person/54562", "ООО ""МНПФ СПЕЦМЕДТЕХНИКА""")</f>
        <v>ООО "МНПФ СПЕЦМЕДТЕХНИКА"</v>
      </c>
      <c r="K9561" s="24" t="s">
        <v>13751</v>
      </c>
      <c r="L9561" s="28" t="s">
        <v>51</v>
      </c>
      <c r="M9561" s="25">
        <v>293244.76</v>
      </c>
      <c r="N9561" s="27">
        <v>0.15500029478265817</v>
      </c>
    </row>
    <row r="9562" spans="1:14" x14ac:dyDescent="0.15">
      <c r="A9562" s="23" t="str">
        <f>HYPERLINK("https://www.spark-marketing.ru/Card/Person/64382", "ГБУЗ ВО ""АРДБ""")</f>
        <v>ГБУЗ ВО "АРДБ"</v>
      </c>
      <c r="B9562" s="24" t="s">
        <v>13752</v>
      </c>
      <c r="C9562" s="25">
        <v>169850</v>
      </c>
      <c r="D9562" s="22" t="s">
        <v>13753</v>
      </c>
      <c r="E9562" s="22" t="s">
        <v>1153</v>
      </c>
      <c r="F9562" s="23" t="str">
        <f>HYPERLINK("https://www.spark-marketing.ru/Card/Lot/72519818", "Оказание услуг по обеспечению лекарственными препаратами, изделиями медицинского назначения и продуктами лечебного питания отдельных категорий граждан имеющих право на меры социальной поддержки")</f>
        <v>Оказание услуг по обеспечению лекарственными препаратами, изделиями медицинского назначения и продуктами лечебного питания отдельных категорий граждан имеющих право на меры социальной поддержки</v>
      </c>
      <c r="G9562" s="22" t="s">
        <v>663</v>
      </c>
      <c r="H9562" s="22" t="s">
        <v>663</v>
      </c>
      <c r="I9562" s="26">
        <v>43677.598101851901</v>
      </c>
      <c r="J9562" s="28" t="s">
        <v>51</v>
      </c>
      <c r="K9562" s="28" t="s">
        <v>51</v>
      </c>
      <c r="L9562" s="28" t="s">
        <v>51</v>
      </c>
      <c r="M9562" s="28" t="s">
        <v>51</v>
      </c>
      <c r="N9562" s="28" t="s">
        <v>51</v>
      </c>
    </row>
    <row r="9563" spans="1:14" ht="12.75" hidden="1" outlineLevel="1" x14ac:dyDescent="0.2">
      <c r="A9563" s="23" t="str">
        <f>HYPERLINK("https://www.spark-marketing.ru/Card/Person/64382", "ГБУЗ ВО ""АРДБ""")</f>
        <v>ГБУЗ ВО "АРДБ"</v>
      </c>
      <c r="B9563" s="24" t="s">
        <v>13752</v>
      </c>
      <c r="C9563" s="25">
        <v>169850</v>
      </c>
      <c r="D9563" s="22" t="s">
        <v>13753</v>
      </c>
      <c r="E9563" s="22" t="s">
        <v>1153</v>
      </c>
      <c r="F9563" s="23" t="str">
        <f>HYPERLINK("https://www.spark-marketing.ru/Card/Lot/72519818", "Оказание услуг по обеспечению лекарственными препаратами, изделиями медицинского назначения и продуктами лечебного питания отдельных категорий граждан имеющих право на меры социальной поддержки")</f>
        <v>Оказание услуг по обеспечению лекарственными препаратами, изделиями медицинского назначения и продуктами лечебного питания отдельных категорий граждан имеющих право на меры социальной поддержки</v>
      </c>
      <c r="G9563" s="22" t="s">
        <v>663</v>
      </c>
      <c r="H9563" s="22" t="s">
        <v>663</v>
      </c>
      <c r="I9563" s="26">
        <v>43677.598101851901</v>
      </c>
      <c r="J9563" s="23" t="str">
        <f>HYPERLINK("https://www.spark-marketing.ru/Card/Person/49894", "ООО ""МЕДИЛОН-ФАРМИМЭКС""")</f>
        <v>ООО "МЕДИЛОН-ФАРМИМЭКС"</v>
      </c>
      <c r="K9563" s="24" t="s">
        <v>13754</v>
      </c>
      <c r="L9563" s="22" t="s">
        <v>10</v>
      </c>
      <c r="M9563" s="25">
        <v>106650</v>
      </c>
      <c r="N9563" s="27">
        <v>0.37209302325581395</v>
      </c>
    </row>
    <row r="9564" spans="1:14" hidden="1" outlineLevel="1" x14ac:dyDescent="0.2">
      <c r="A9564" s="23" t="str">
        <f>HYPERLINK("https://www.spark-marketing.ru/Card/Person/64382", "ГБУЗ ВО ""АРДБ""")</f>
        <v>ГБУЗ ВО "АРДБ"</v>
      </c>
      <c r="B9564" s="24" t="s">
        <v>13752</v>
      </c>
      <c r="C9564" s="25">
        <v>169850</v>
      </c>
      <c r="D9564" s="22" t="s">
        <v>13753</v>
      </c>
      <c r="E9564" s="22" t="s">
        <v>1153</v>
      </c>
      <c r="F9564" s="23" t="str">
        <f>HYPERLINK("https://www.spark-marketing.ru/Card/Lot/72519818", "Оказание услуг по обеспечению лекарственными препаратами, изделиями медицинского назначения и продуктами лечебного питания отдельных категорий граждан имеющих право на меры социальной поддержки")</f>
        <v>Оказание услуг по обеспечению лекарственными препаратами, изделиями медицинского назначения и продуктами лечебного питания отдельных категорий граждан имеющих право на меры социальной поддержки</v>
      </c>
      <c r="G9564" s="22" t="s">
        <v>663</v>
      </c>
      <c r="H9564" s="22" t="s">
        <v>663</v>
      </c>
      <c r="I9564" s="26">
        <v>43677.598101851901</v>
      </c>
      <c r="J9564" s="23" t="str">
        <f>HYPERLINK("https://www.spark-marketing.ru/Card/Person/504043", "ООО ""ЦЕНТРАЛЬНАЯ АПТЕКА""")</f>
        <v>ООО "ЦЕНТРАЛЬНАЯ АПТЕКА"</v>
      </c>
      <c r="K9564" s="24" t="s">
        <v>13755</v>
      </c>
      <c r="L9564" s="28" t="s">
        <v>51</v>
      </c>
      <c r="M9564" s="25">
        <v>106650</v>
      </c>
      <c r="N9564" s="27">
        <v>0.37209302325581395</v>
      </c>
    </row>
    <row r="9565" spans="1:14" x14ac:dyDescent="0.15">
      <c r="A9565" s="23" t="str">
        <f>HYPERLINK("https://www.spark-marketing.ru/Card/Person/4341", "ГУ-КИРОВСКОЕ РО ФОНДА СОЦИАЛЬНОГО СТРАХОВАНИЯ РОССИЙСКОЙ ФЕДЕРАЦИИ")</f>
        <v>ГУ-КИРОВСКОЕ РО ФОНДА СОЦИАЛЬНОГО СТРАХОВАНИЯ РОССИЙСКОЙ ФЕДЕРАЦИИ</v>
      </c>
      <c r="B9565" s="24" t="s">
        <v>4330</v>
      </c>
      <c r="C9565" s="25">
        <v>2066198.4</v>
      </c>
      <c r="D9565" s="22" t="s">
        <v>13756</v>
      </c>
      <c r="E9565" s="22" t="s">
        <v>86</v>
      </c>
      <c r="F9565" s="23" t="str">
        <f>HYPERLINK("https://www.spark-marketing.ru/Card/Lot/72529396", "Оказание услуг по санаторно-курортному лечению граждан - получателей государственной социальной помощи в виде набора социальных услуг, и сопровождающих лиц, по профилям заболеваний: болезни эндокринной системы, расстройство питания и нарушения обмена...")</f>
        <v>Оказание услуг по санаторно-курортному лечению граждан - получателей государственной социальной помощи в виде набора социальных услуг, и сопровождающих лиц, по профилям заболеваний: болезни эндокринной системы, расстройство питания и нарушения обмена...</v>
      </c>
      <c r="G9565" s="22" t="s">
        <v>224</v>
      </c>
      <c r="H9565" s="22" t="s">
        <v>225</v>
      </c>
      <c r="I9565" s="26">
        <v>43677.609398148103</v>
      </c>
      <c r="J9565" s="23" t="str">
        <f>HYPERLINK("https://www.spark-marketing.ru/Card/Person/273531", "ООО САНАТОРИЙ ""АВИТЕК""")</f>
        <v>ООО САНАТОРИЙ "АВИТЕК"</v>
      </c>
      <c r="K9565" s="24" t="s">
        <v>4332</v>
      </c>
      <c r="L9565" s="22" t="s">
        <v>10</v>
      </c>
      <c r="M9565" s="28" t="s">
        <v>51</v>
      </c>
      <c r="N9565" s="28" t="s">
        <v>51</v>
      </c>
    </row>
    <row r="9566" spans="1:14" x14ac:dyDescent="0.15">
      <c r="A9566" s="23" t="str">
        <f>HYPERLINK("https://www.spark-marketing.ru/Card/Person/25082", "ГБУЗ РК ""УСТЬ-КУЛОМСКАЯ ЦРБ""")</f>
        <v>ГБУЗ РК "УСТЬ-КУЛОМСКАЯ ЦРБ"</v>
      </c>
      <c r="B9566" s="24" t="s">
        <v>6000</v>
      </c>
      <c r="C9566" s="25">
        <v>990605</v>
      </c>
      <c r="D9566" s="22" t="s">
        <v>13757</v>
      </c>
      <c r="E9566" s="22" t="s">
        <v>48</v>
      </c>
      <c r="F9566" s="23" t="str">
        <f>HYPERLINK("https://www.spark-marketing.ru/Card/Lot/72527355", "Оказание услуг по организации питания пациентов ГБУЗ РК «Усть-Куломская центральная районная больница»")</f>
        <v>Оказание услуг по организации питания пациентов ГБУЗ РК «Усть-Куломская центральная районная больница»</v>
      </c>
      <c r="G9566" s="22" t="s">
        <v>271</v>
      </c>
      <c r="H9566" s="22" t="s">
        <v>6002</v>
      </c>
      <c r="I9566" s="26">
        <v>43677.5953240741</v>
      </c>
      <c r="J9566" s="23" t="str">
        <f>HYPERLINK("https://www.spark-marketing.ru/Card/Person/776948", "Першин Василий Степанович")</f>
        <v>Першин Василий Степанович</v>
      </c>
      <c r="K9566" s="24" t="s">
        <v>6003</v>
      </c>
      <c r="L9566" s="22" t="s">
        <v>10</v>
      </c>
      <c r="M9566" s="28" t="s">
        <v>51</v>
      </c>
      <c r="N9566" s="28" t="s">
        <v>51</v>
      </c>
    </row>
    <row r="9567" spans="1:14" x14ac:dyDescent="0.15">
      <c r="A9567" s="23" t="str">
        <f>HYPERLINK("https://www.spark-marketing.ru/Card/Person/4353880", "ОМВД РОССИИ ПО Г. УХТЕ")</f>
        <v>ОМВД РОССИИ ПО Г. УХТЕ</v>
      </c>
      <c r="B9567" s="24" t="s">
        <v>3351</v>
      </c>
      <c r="C9567" s="25">
        <v>2448000</v>
      </c>
      <c r="D9567" s="22" t="s">
        <v>13758</v>
      </c>
      <c r="E9567" s="22" t="s">
        <v>48</v>
      </c>
      <c r="F9567" s="23" t="str">
        <f>HYPERLINK("https://www.spark-marketing.ru/Card/Lot/72529882", "Оказание услуг по организации трехразового питания (завтрак, обед, ужин) подозреваемых и обвиняемых в совершении преступлений, находящихся в ИВС, в СП, для лиц арестованных в административном порядке отдела Министерства внутренних дел Российской Феде...")</f>
        <v>Оказание услуг по организации трехразового питания (завтрак, обед, ужин) подозреваемых и обвиняемых в совершении преступлений, находящихся в ИВС, в СП, для лиц арестованных в административном порядке отдела Министерства внутренних дел Российской Феде...</v>
      </c>
      <c r="G9567" s="22" t="s">
        <v>271</v>
      </c>
      <c r="H9567" s="22" t="s">
        <v>271</v>
      </c>
      <c r="I9567" s="26">
        <v>43677.610381944403</v>
      </c>
      <c r="J9567" s="28" t="s">
        <v>51</v>
      </c>
      <c r="K9567" s="28" t="s">
        <v>51</v>
      </c>
      <c r="L9567" s="28" t="s">
        <v>51</v>
      </c>
      <c r="M9567" s="28" t="s">
        <v>51</v>
      </c>
      <c r="N9567" s="28" t="s">
        <v>51</v>
      </c>
    </row>
    <row r="9568" spans="1:14" ht="12.75" hidden="1" outlineLevel="1" x14ac:dyDescent="0.2">
      <c r="A9568" s="23" t="str">
        <f>HYPERLINK("https://www.spark-marketing.ru/Card/Person/4353880", "ОМВД РОССИИ ПО Г. УХТЕ")</f>
        <v>ОМВД РОССИИ ПО Г. УХТЕ</v>
      </c>
      <c r="B9568" s="24" t="s">
        <v>3351</v>
      </c>
      <c r="C9568" s="25">
        <v>2448000</v>
      </c>
      <c r="D9568" s="22" t="s">
        <v>13758</v>
      </c>
      <c r="E9568" s="22" t="s">
        <v>48</v>
      </c>
      <c r="F9568" s="23" t="str">
        <f>HYPERLINK("https://www.spark-marketing.ru/Card/Lot/72529882", "Оказание услуг по организации трехразового питания (завтрак, обед, ужин) подозреваемых и обвиняемых в совершении преступлений, находящихся в ИВС, в СП, для лиц арестованных в административном порядке отдела Министерства внутренних дел Российской Феде...")</f>
        <v>Оказание услуг по организации трехразового питания (завтрак, обед, ужин) подозреваемых и обвиняемых в совершении преступлений, находящихся в ИВС, в СП, для лиц арестованных в административном порядке отдела Министерства внутренних дел Российской Феде...</v>
      </c>
      <c r="G9568" s="22" t="s">
        <v>271</v>
      </c>
      <c r="H9568" s="22" t="s">
        <v>271</v>
      </c>
      <c r="I9568" s="26">
        <v>43677.610381944403</v>
      </c>
      <c r="J9568" s="23" t="str">
        <f>HYPERLINK("https://www.spark-marketing.ru/Card/Person/277262", "ООО ""РЕСТОРАТОР""")</f>
        <v>ООО "РЕСТОРАТОР"</v>
      </c>
      <c r="K9568" s="24" t="s">
        <v>3353</v>
      </c>
      <c r="L9568" s="22" t="s">
        <v>10</v>
      </c>
      <c r="M9568" s="25">
        <v>1048.01</v>
      </c>
      <c r="N9568" s="27">
        <v>0.99957189133986923</v>
      </c>
    </row>
    <row r="9569" spans="1:14" hidden="1" outlineLevel="1" x14ac:dyDescent="0.2">
      <c r="A9569" s="23" t="str">
        <f>HYPERLINK("https://www.spark-marketing.ru/Card/Person/4353880", "ОМВД РОССИИ ПО Г. УХТЕ")</f>
        <v>ОМВД РОССИИ ПО Г. УХТЕ</v>
      </c>
      <c r="B9569" s="24" t="s">
        <v>3351</v>
      </c>
      <c r="C9569" s="25">
        <v>2448000</v>
      </c>
      <c r="D9569" s="22" t="s">
        <v>13758</v>
      </c>
      <c r="E9569" s="22" t="s">
        <v>48</v>
      </c>
      <c r="F9569" s="23" t="str">
        <f>HYPERLINK("https://www.spark-marketing.ru/Card/Lot/72529882", "Оказание услуг по организации трехразового питания (завтрак, обед, ужин) подозреваемых и обвиняемых в совершении преступлений, находящихся в ИВС, в СП, для лиц арестованных в административном порядке отдела Министерства внутренних дел Российской Феде...")</f>
        <v>Оказание услуг по организации трехразового питания (завтрак, обед, ужин) подозреваемых и обвиняемых в совершении преступлений, находящихся в ИВС, в СП, для лиц арестованных в административном порядке отдела Министерства внутренних дел Российской Феде...</v>
      </c>
      <c r="G9569" s="22" t="s">
        <v>271</v>
      </c>
      <c r="H9569" s="22" t="s">
        <v>271</v>
      </c>
      <c r="I9569" s="26">
        <v>43677.610381944403</v>
      </c>
      <c r="J9569" s="23" t="str">
        <f>HYPERLINK("https://www.spark-marketing.ru/Card/Person/1960707", "Кустов Александр Владимирович")</f>
        <v>Кустов Александр Владимирович</v>
      </c>
      <c r="K9569" s="24" t="s">
        <v>9088</v>
      </c>
      <c r="L9569" s="28" t="s">
        <v>51</v>
      </c>
      <c r="M9569" s="25">
        <v>1055.23</v>
      </c>
      <c r="N9569" s="27">
        <v>0.99956894199346402</v>
      </c>
    </row>
    <row r="9570" spans="1:14" x14ac:dyDescent="0.15">
      <c r="A9570" s="23" t="str">
        <f>HYPERLINK("https://www.spark-marketing.ru/Card/Person/4358567", "АО ""ТОМСКНИПИНЕФТЬ""")</f>
        <v>АО "ТОМСКНИПИНЕФТЬ"</v>
      </c>
      <c r="B9570" s="24" t="s">
        <v>4357</v>
      </c>
      <c r="C9570" s="28" t="s">
        <v>51</v>
      </c>
      <c r="D9570" s="22" t="s">
        <v>13759</v>
      </c>
      <c r="E9570" s="22" t="s">
        <v>362</v>
      </c>
      <c r="F9570" s="23" t="str">
        <f>HYPERLINK("https://www.spark-marketing.ru/Card/Lot/74004150", "Оранизация питания в рамках проведения мероприятия ""Велопробег""")</f>
        <v>Оранизация питания в рамках проведения мероприятия "Велопробег"</v>
      </c>
      <c r="G9570" s="22" t="s">
        <v>149</v>
      </c>
      <c r="H9570" s="22" t="s">
        <v>496</v>
      </c>
      <c r="I9570" s="26">
        <v>43677.6118055556</v>
      </c>
      <c r="J9570" s="28" t="s">
        <v>51</v>
      </c>
      <c r="K9570" s="28" t="s">
        <v>51</v>
      </c>
      <c r="L9570" s="28" t="s">
        <v>51</v>
      </c>
      <c r="M9570" s="28" t="s">
        <v>51</v>
      </c>
      <c r="N9570" s="28" t="s">
        <v>51</v>
      </c>
    </row>
    <row r="9571" spans="1:14" x14ac:dyDescent="0.15">
      <c r="A9571" s="23" t="str">
        <f>HYPERLINK("https://www.spark-marketing.ru/Card/Person/1004352", "ГПОУ ""ЗТТ""")</f>
        <v>ГПОУ "ЗТТ"</v>
      </c>
      <c r="B9571" s="24" t="s">
        <v>13760</v>
      </c>
      <c r="C9571" s="25">
        <v>3008400</v>
      </c>
      <c r="D9571" s="22" t="s">
        <v>13761</v>
      </c>
      <c r="E9571" s="22" t="s">
        <v>48</v>
      </c>
      <c r="F9571" s="23" t="str">
        <f>HYPERLINK("https://www.spark-marketing.ru/Card/Lot/72530289", "Оказание услуг по организации питания (8894-ЭА)")</f>
        <v>Оказание услуг по организации питания (8894-ЭА)</v>
      </c>
      <c r="G9571" s="22" t="s">
        <v>228</v>
      </c>
      <c r="H9571" s="22" t="s">
        <v>394</v>
      </c>
      <c r="I9571" s="26">
        <v>43677.6069907407</v>
      </c>
      <c r="J9571" s="23" t="str">
        <f>HYPERLINK("https://www.spark-marketing.ru/Card/Person/6541580", "Кожевникова Ольга Борисовна")</f>
        <v>Кожевникова Ольга Борисовна</v>
      </c>
      <c r="K9571" s="24" t="s">
        <v>13762</v>
      </c>
      <c r="L9571" s="22" t="s">
        <v>10</v>
      </c>
      <c r="M9571" s="28" t="s">
        <v>51</v>
      </c>
      <c r="N9571" s="28" t="s">
        <v>51</v>
      </c>
    </row>
    <row r="9572" spans="1:14" x14ac:dyDescent="0.15">
      <c r="A9572" s="23" t="str">
        <f>HYPERLINK("https://www.spark-marketing.ru/Card/Person/1038138", "БОУ СМР ""СОШ №9""")</f>
        <v>БОУ СМР "СОШ №9"</v>
      </c>
      <c r="B9572" s="24" t="s">
        <v>13763</v>
      </c>
      <c r="C9572" s="25">
        <v>1741408</v>
      </c>
      <c r="D9572" s="22" t="s">
        <v>13764</v>
      </c>
      <c r="E9572" s="22" t="s">
        <v>48</v>
      </c>
      <c r="F9572" s="23" t="str">
        <f>HYPERLINK("https://www.spark-marketing.ru/Card/Lot/72529600", "Услуги школьных столовых и кухонь по организации питания обучающихся БОУ СМР ""СОШ №9"" на 2019-2020 учебный год.")</f>
        <v>Услуги школьных столовых и кухонь по организации питания обучающихся БОУ СМР "СОШ №9" на 2019-2020 учебный год.</v>
      </c>
      <c r="G9572" s="22" t="s">
        <v>503</v>
      </c>
      <c r="H9572" s="22" t="s">
        <v>503</v>
      </c>
      <c r="I9572" s="26">
        <v>43677.598032407397</v>
      </c>
      <c r="J9572" s="28" t="s">
        <v>51</v>
      </c>
      <c r="K9572" s="28" t="s">
        <v>51</v>
      </c>
      <c r="L9572" s="28" t="s">
        <v>51</v>
      </c>
      <c r="M9572" s="28" t="s">
        <v>51</v>
      </c>
      <c r="N9572" s="28" t="s">
        <v>51</v>
      </c>
    </row>
    <row r="9573" spans="1:14" hidden="1" outlineLevel="1" x14ac:dyDescent="0.2">
      <c r="A9573" s="23" t="str">
        <f>HYPERLINK("https://www.spark-marketing.ru/Card/Person/1038138", "БОУ СМР ""СОШ №9""")</f>
        <v>БОУ СМР "СОШ №9"</v>
      </c>
      <c r="B9573" s="24" t="s">
        <v>13763</v>
      </c>
      <c r="C9573" s="25">
        <v>1741408</v>
      </c>
      <c r="D9573" s="22" t="s">
        <v>13764</v>
      </c>
      <c r="E9573" s="22" t="s">
        <v>48</v>
      </c>
      <c r="F9573" s="23" t="str">
        <f>HYPERLINK("https://www.spark-marketing.ru/Card/Lot/72529600", "Услуги школьных столовых и кухонь по организации питания обучающихся БОУ СМР ""СОШ №9"" на 2019-2020 учебный год.")</f>
        <v>Услуги школьных столовых и кухонь по организации питания обучающихся БОУ СМР "СОШ №9" на 2019-2020 учебный год.</v>
      </c>
      <c r="G9573" s="22" t="s">
        <v>503</v>
      </c>
      <c r="H9573" s="22" t="s">
        <v>503</v>
      </c>
      <c r="I9573" s="26">
        <v>43677.598032407397</v>
      </c>
      <c r="J9573" s="23" t="str">
        <f>HYPERLINK("https://www.spark-marketing.ru/Card/Person/523636", "Трохова Надежда Вячеславовна")</f>
        <v>Трохова Надежда Вячеславовна</v>
      </c>
      <c r="K9573" s="24" t="s">
        <v>13765</v>
      </c>
      <c r="L9573" s="28" t="s">
        <v>51</v>
      </c>
      <c r="M9573" s="25">
        <v>1507757.76</v>
      </c>
      <c r="N9573" s="27">
        <v>0.13417317481026847</v>
      </c>
    </row>
    <row r="9574" spans="1:14" ht="12.75" hidden="1" outlineLevel="1" x14ac:dyDescent="0.2">
      <c r="A9574" s="23" t="str">
        <f>HYPERLINK("https://www.spark-marketing.ru/Card/Person/1038138", "БОУ СМР ""СОШ №9""")</f>
        <v>БОУ СМР "СОШ №9"</v>
      </c>
      <c r="B9574" s="24" t="s">
        <v>13763</v>
      </c>
      <c r="C9574" s="25">
        <v>1741408</v>
      </c>
      <c r="D9574" s="22" t="s">
        <v>13764</v>
      </c>
      <c r="E9574" s="22" t="s">
        <v>48</v>
      </c>
      <c r="F9574" s="23" t="str">
        <f>HYPERLINK("https://www.spark-marketing.ru/Card/Lot/72529600", "Услуги школьных столовых и кухонь по организации питания обучающихся БОУ СМР ""СОШ №9"" на 2019-2020 учебный год.")</f>
        <v>Услуги школьных столовых и кухонь по организации питания обучающихся БОУ СМР "СОШ №9" на 2019-2020 учебный год.</v>
      </c>
      <c r="G9574" s="22" t="s">
        <v>503</v>
      </c>
      <c r="H9574" s="22" t="s">
        <v>503</v>
      </c>
      <c r="I9574" s="26">
        <v>43677.598032407397</v>
      </c>
      <c r="J9574" s="23" t="str">
        <f>HYPERLINK("https://www.spark-marketing.ru/Card/Person/60999", "Эльперин Антон Яковлевич")</f>
        <v>Эльперин Антон Яковлевич</v>
      </c>
      <c r="K9574" s="24" t="s">
        <v>12632</v>
      </c>
      <c r="L9574" s="22" t="s">
        <v>10</v>
      </c>
      <c r="M9574" s="25">
        <v>1499050.72</v>
      </c>
      <c r="N9574" s="27">
        <v>0.13917317481026847</v>
      </c>
    </row>
    <row r="9575" spans="1:14" x14ac:dyDescent="0.15">
      <c r="A9575" s="23" t="s">
        <v>114</v>
      </c>
      <c r="B9575" s="28" t="s">
        <v>51</v>
      </c>
      <c r="C9575" s="25">
        <v>12573340</v>
      </c>
      <c r="D9575" s="22" t="s">
        <v>13766</v>
      </c>
      <c r="E9575" s="22" t="s">
        <v>48</v>
      </c>
      <c r="F9575" s="23" t="str">
        <f t="shared" ref="F9575:F9584" si="233">HYPERLINK("https://www.spark-marketing.ru/Card/Lot/72531771", "Оказание услуг по обеспечению питанием обучающихся")</f>
        <v>Оказание услуг по обеспечению питанием обучающихся</v>
      </c>
      <c r="G9575" s="22" t="s">
        <v>51</v>
      </c>
      <c r="H9575" s="22" t="s">
        <v>51</v>
      </c>
      <c r="I9575" s="26">
        <v>43677.581458333298</v>
      </c>
      <c r="J9575" s="23" t="str">
        <f t="shared" ref="J9575:J9584" si="234">HYPERLINK("https://www.spark-marketing.ru/Card/Person/6685932", "ООО ""СЕВЕР""")</f>
        <v>ООО "СЕВЕР"</v>
      </c>
      <c r="K9575" s="24" t="s">
        <v>13767</v>
      </c>
      <c r="L9575" s="22" t="s">
        <v>10</v>
      </c>
      <c r="M9575" s="28" t="s">
        <v>51</v>
      </c>
      <c r="N9575" s="28" t="s">
        <v>51</v>
      </c>
    </row>
    <row r="9576" spans="1:14" hidden="1" outlineLevel="1" x14ac:dyDescent="0.15">
      <c r="A9576" s="23" t="str">
        <f>HYPERLINK("https://www.spark-marketing.ru/Card/Person/999290", "МБОУ ""АЙДАРСКАЯ СРЕДНЯЯ ОБЩЕОБРАЗОВАТЕЛЬНАЯ ШКОЛА ИМ. Б.Г. КАНДЫБИНА""")</f>
        <v>МБОУ "АЙДАРСКАЯ СРЕДНЯЯ ОБЩЕОБРАЗОВАТЕЛЬНАЯ ШКОЛА ИМ. Б.Г. КАНДЫБИНА"</v>
      </c>
      <c r="B9576" s="24" t="s">
        <v>13768</v>
      </c>
      <c r="C9576" s="25">
        <v>1494675</v>
      </c>
      <c r="D9576" s="22" t="s">
        <v>13766</v>
      </c>
      <c r="E9576" s="22" t="s">
        <v>48</v>
      </c>
      <c r="F9576" s="23" t="str">
        <f t="shared" si="233"/>
        <v>Оказание услуг по обеспечению питанием обучающихся</v>
      </c>
      <c r="G9576" s="22" t="s">
        <v>696</v>
      </c>
      <c r="H9576" s="22" t="s">
        <v>13769</v>
      </c>
      <c r="I9576" s="26">
        <v>43677.581458333298</v>
      </c>
      <c r="J9576" s="23" t="str">
        <f t="shared" si="234"/>
        <v>ООО "СЕВЕР"</v>
      </c>
      <c r="K9576" s="24" t="s">
        <v>13767</v>
      </c>
      <c r="L9576" s="22" t="s">
        <v>10</v>
      </c>
      <c r="M9576" s="28" t="s">
        <v>51</v>
      </c>
      <c r="N9576" s="28" t="s">
        <v>51</v>
      </c>
    </row>
    <row r="9577" spans="1:14" hidden="1" outlineLevel="1" x14ac:dyDescent="0.15">
      <c r="A9577" s="23" t="str">
        <f>HYPERLINK("https://www.spark-marketing.ru/Card/Person/996629", "МБОУ ""РЖЕВСКАЯ ОСНОВНАЯ ОБЩЕОБРАЗОВАТЕЛЬНАЯ ШКОЛА""")</f>
        <v>МБОУ "РЖЕВСКАЯ ОСНОВНАЯ ОБЩЕОБРАЗОВАТЕЛЬНАЯ ШКОЛА"</v>
      </c>
      <c r="B9577" s="24" t="s">
        <v>13770</v>
      </c>
      <c r="C9577" s="25">
        <v>697760</v>
      </c>
      <c r="D9577" s="22" t="s">
        <v>13766</v>
      </c>
      <c r="E9577" s="22" t="s">
        <v>48</v>
      </c>
      <c r="F9577" s="23" t="str">
        <f t="shared" si="233"/>
        <v>Оказание услуг по обеспечению питанием обучающихся</v>
      </c>
      <c r="G9577" s="22" t="s">
        <v>696</v>
      </c>
      <c r="H9577" s="22" t="s">
        <v>13769</v>
      </c>
      <c r="I9577" s="26">
        <v>43677.581458333298</v>
      </c>
      <c r="J9577" s="23" t="str">
        <f t="shared" si="234"/>
        <v>ООО "СЕВЕР"</v>
      </c>
      <c r="K9577" s="24" t="s">
        <v>13767</v>
      </c>
      <c r="L9577" s="22" t="s">
        <v>10</v>
      </c>
      <c r="M9577" s="28" t="s">
        <v>51</v>
      </c>
      <c r="N9577" s="28" t="s">
        <v>51</v>
      </c>
    </row>
    <row r="9578" spans="1:14" hidden="1" outlineLevel="1" x14ac:dyDescent="0.15">
      <c r="A9578" s="23" t="str">
        <f>HYPERLINK("https://www.spark-marketing.ru/Card/Person/996672", "МБОУ ""ЛАДОМИРОВСКАЯ СРЕДНЯЯ ОБЩЕОБРАЗОВАТЕЛЬНАЯ ШКОЛА""")</f>
        <v>МБОУ "ЛАДОМИРОВСКАЯ СРЕДНЯЯ ОБЩЕОБРАЗОВАТЕЛЬНАЯ ШКОЛА"</v>
      </c>
      <c r="B9578" s="24" t="s">
        <v>13771</v>
      </c>
      <c r="C9578" s="25">
        <v>489620</v>
      </c>
      <c r="D9578" s="22" t="s">
        <v>13766</v>
      </c>
      <c r="E9578" s="22" t="s">
        <v>48</v>
      </c>
      <c r="F9578" s="23" t="str">
        <f t="shared" si="233"/>
        <v>Оказание услуг по обеспечению питанием обучающихся</v>
      </c>
      <c r="G9578" s="22" t="s">
        <v>696</v>
      </c>
      <c r="H9578" s="22" t="s">
        <v>13769</v>
      </c>
      <c r="I9578" s="26">
        <v>43677.581458333298</v>
      </c>
      <c r="J9578" s="23" t="str">
        <f t="shared" si="234"/>
        <v>ООО "СЕВЕР"</v>
      </c>
      <c r="K9578" s="24" t="s">
        <v>13767</v>
      </c>
      <c r="L9578" s="22" t="s">
        <v>10</v>
      </c>
      <c r="M9578" s="28" t="s">
        <v>51</v>
      </c>
      <c r="N9578" s="28" t="s">
        <v>51</v>
      </c>
    </row>
    <row r="9579" spans="1:14" hidden="1" outlineLevel="1" x14ac:dyDescent="0.15">
      <c r="A9579" s="23" t="str">
        <f>HYPERLINK("https://www.spark-marketing.ru/Card/Person/997012", "МБОУ ""РОВЕНЬСКАЯ СРЕДНЯЯ ОБЩЕОБРАЗОВАТЕЛЬНАЯ ШКОЛА С УГЛУБЛЕННЫМ ИЗУЧЕНИЕМ ОТДЕЛЬНЫХ ПРЕДМЕТОВ""")</f>
        <v>МБОУ "РОВЕНЬСКАЯ СРЕДНЯЯ ОБЩЕОБРАЗОВАТЕЛЬНАЯ ШКОЛА С УГЛУБЛЕННЫМ ИЗУЧЕНИЕМ ОТДЕЛЬНЫХ ПРЕДМЕТОВ"</v>
      </c>
      <c r="B9579" s="24" t="s">
        <v>13772</v>
      </c>
      <c r="C9579" s="25">
        <v>7145320</v>
      </c>
      <c r="D9579" s="22" t="s">
        <v>13766</v>
      </c>
      <c r="E9579" s="22" t="s">
        <v>48</v>
      </c>
      <c r="F9579" s="23" t="str">
        <f t="shared" si="233"/>
        <v>Оказание услуг по обеспечению питанием обучающихся</v>
      </c>
      <c r="G9579" s="22" t="s">
        <v>696</v>
      </c>
      <c r="H9579" s="22" t="s">
        <v>13769</v>
      </c>
      <c r="I9579" s="26">
        <v>43677.581458333298</v>
      </c>
      <c r="J9579" s="23" t="str">
        <f t="shared" si="234"/>
        <v>ООО "СЕВЕР"</v>
      </c>
      <c r="K9579" s="24" t="s">
        <v>13767</v>
      </c>
      <c r="L9579" s="22" t="s">
        <v>10</v>
      </c>
      <c r="M9579" s="28" t="s">
        <v>51</v>
      </c>
      <c r="N9579" s="28" t="s">
        <v>51</v>
      </c>
    </row>
    <row r="9580" spans="1:14" hidden="1" outlineLevel="1" x14ac:dyDescent="0.15">
      <c r="A9580" s="23" t="str">
        <f>HYPERLINK("https://www.spark-marketing.ru/Card/Person/1004366", "МБОУ ""ИВАНОВСКАЯ НАЧАЛЬНАЯ ОБЩЕОБРАЗОВАТЕЛЬНАЯ ШКОЛА""")</f>
        <v>МБОУ "ИВАНОВСКАЯ НАЧАЛЬНАЯ ОБЩЕОБРАЗОВАТЕЛЬНАЯ ШКОЛА"</v>
      </c>
      <c r="B9580" s="24" t="s">
        <v>13773</v>
      </c>
      <c r="C9580" s="25">
        <v>22815</v>
      </c>
      <c r="D9580" s="22" t="s">
        <v>13766</v>
      </c>
      <c r="E9580" s="22" t="s">
        <v>48</v>
      </c>
      <c r="F9580" s="23" t="str">
        <f t="shared" si="233"/>
        <v>Оказание услуг по обеспечению питанием обучающихся</v>
      </c>
      <c r="G9580" s="22" t="s">
        <v>696</v>
      </c>
      <c r="H9580" s="22" t="s">
        <v>13769</v>
      </c>
      <c r="I9580" s="26">
        <v>43677.581458333298</v>
      </c>
      <c r="J9580" s="23" t="str">
        <f t="shared" si="234"/>
        <v>ООО "СЕВЕР"</v>
      </c>
      <c r="K9580" s="24" t="s">
        <v>13767</v>
      </c>
      <c r="L9580" s="22" t="s">
        <v>10</v>
      </c>
      <c r="M9580" s="28" t="s">
        <v>51</v>
      </c>
      <c r="N9580" s="28" t="s">
        <v>51</v>
      </c>
    </row>
    <row r="9581" spans="1:14" hidden="1" outlineLevel="1" x14ac:dyDescent="0.15">
      <c r="A9581" s="23" t="str">
        <f>HYPERLINK("https://www.spark-marketing.ru/Card/Person/1004517", "МБОУ ""НАГОЛЕНСКАЯ СРЕДНЯЯ ОБЩЕОБРАЗОВАТЕЛЬНАЯ ШКОЛА""")</f>
        <v>МБОУ "НАГОЛЕНСКАЯ СРЕДНЯЯ ОБЩЕОБРАЗОВАТЕЛЬНАЯ ШКОЛА"</v>
      </c>
      <c r="B9581" s="24" t="s">
        <v>13774</v>
      </c>
      <c r="C9581" s="25">
        <v>1538805</v>
      </c>
      <c r="D9581" s="22" t="s">
        <v>13766</v>
      </c>
      <c r="E9581" s="22" t="s">
        <v>48</v>
      </c>
      <c r="F9581" s="23" t="str">
        <f t="shared" si="233"/>
        <v>Оказание услуг по обеспечению питанием обучающихся</v>
      </c>
      <c r="G9581" s="22" t="s">
        <v>696</v>
      </c>
      <c r="H9581" s="22" t="s">
        <v>13769</v>
      </c>
      <c r="I9581" s="26">
        <v>43677.581458333298</v>
      </c>
      <c r="J9581" s="23" t="str">
        <f t="shared" si="234"/>
        <v>ООО "СЕВЕР"</v>
      </c>
      <c r="K9581" s="24" t="s">
        <v>13767</v>
      </c>
      <c r="L9581" s="22" t="s">
        <v>10</v>
      </c>
      <c r="M9581" s="28" t="s">
        <v>51</v>
      </c>
      <c r="N9581" s="28" t="s">
        <v>51</v>
      </c>
    </row>
    <row r="9582" spans="1:14" hidden="1" outlineLevel="1" x14ac:dyDescent="0.15">
      <c r="A9582" s="23" t="str">
        <f>HYPERLINK("https://www.spark-marketing.ru/Card/Person/1004951", "МБОУ ""КАЛИНИЧЕНКОВСКАЯ НАЧАЛЬНАЯ ОБЩЕОБРАЗОВАТЕЛЬНАЯ ШКОЛА""")</f>
        <v>МБОУ "КАЛИНИЧЕНКОВСКАЯ НАЧАЛЬНАЯ ОБЩЕОБРАЗОВАТЕЛЬНАЯ ШКОЛА"</v>
      </c>
      <c r="B9582" s="24" t="s">
        <v>13775</v>
      </c>
      <c r="C9582" s="25">
        <v>235260</v>
      </c>
      <c r="D9582" s="22" t="s">
        <v>13766</v>
      </c>
      <c r="E9582" s="22" t="s">
        <v>48</v>
      </c>
      <c r="F9582" s="23" t="str">
        <f t="shared" si="233"/>
        <v>Оказание услуг по обеспечению питанием обучающихся</v>
      </c>
      <c r="G9582" s="22" t="s">
        <v>696</v>
      </c>
      <c r="H9582" s="22" t="s">
        <v>13769</v>
      </c>
      <c r="I9582" s="26">
        <v>43677.581458333298</v>
      </c>
      <c r="J9582" s="23" t="str">
        <f t="shared" si="234"/>
        <v>ООО "СЕВЕР"</v>
      </c>
      <c r="K9582" s="24" t="s">
        <v>13767</v>
      </c>
      <c r="L9582" s="22" t="s">
        <v>10</v>
      </c>
      <c r="M9582" s="28" t="s">
        <v>51</v>
      </c>
      <c r="N9582" s="28" t="s">
        <v>51</v>
      </c>
    </row>
    <row r="9583" spans="1:14" hidden="1" outlineLevel="1" x14ac:dyDescent="0.15">
      <c r="A9583" s="23" t="str">
        <f>HYPERLINK("https://www.spark-marketing.ru/Card/Person/4371629", "МБОУ ""ЕРЁМОВСКАЯ ОСНОВНАЯ ОБЩЕОБРАЗОВАТЕЛЬНАЯ ШКОЛА""")</f>
        <v>МБОУ "ЕРЁМОВСКАЯ ОСНОВНАЯ ОБЩЕОБРАЗОВАТЕЛЬНАЯ ШКОЛА"</v>
      </c>
      <c r="B9583" s="24" t="s">
        <v>13776</v>
      </c>
      <c r="C9583" s="25">
        <v>417430</v>
      </c>
      <c r="D9583" s="22" t="s">
        <v>13766</v>
      </c>
      <c r="E9583" s="22" t="s">
        <v>48</v>
      </c>
      <c r="F9583" s="23" t="str">
        <f t="shared" si="233"/>
        <v>Оказание услуг по обеспечению питанием обучающихся</v>
      </c>
      <c r="G9583" s="22" t="s">
        <v>696</v>
      </c>
      <c r="H9583" s="22" t="s">
        <v>13769</v>
      </c>
      <c r="I9583" s="26">
        <v>43677.581458333298</v>
      </c>
      <c r="J9583" s="23" t="str">
        <f t="shared" si="234"/>
        <v>ООО "СЕВЕР"</v>
      </c>
      <c r="K9583" s="24" t="s">
        <v>13767</v>
      </c>
      <c r="L9583" s="22" t="s">
        <v>10</v>
      </c>
      <c r="M9583" s="28" t="s">
        <v>51</v>
      </c>
      <c r="N9583" s="28" t="s">
        <v>51</v>
      </c>
    </row>
    <row r="9584" spans="1:14" hidden="1" outlineLevel="1" x14ac:dyDescent="0.15">
      <c r="A9584" s="23" t="str">
        <f>HYPERLINK("https://www.spark-marketing.ru/Card/Person/4371857", "МБОУ ""КЛИМЕНКОВСКАЯ ОСНОВНАЯ ОБЩЕОБРАЗОВАТЕЛЬНАЯ ШКОЛА""")</f>
        <v>МБОУ "КЛИМЕНКОВСКАЯ ОСНОВНАЯ ОБЩЕОБРАЗОВАТЕЛЬНАЯ ШКОЛА"</v>
      </c>
      <c r="B9584" s="24" t="s">
        <v>13777</v>
      </c>
      <c r="C9584" s="25">
        <v>531655</v>
      </c>
      <c r="D9584" s="22" t="s">
        <v>13766</v>
      </c>
      <c r="E9584" s="22" t="s">
        <v>48</v>
      </c>
      <c r="F9584" s="23" t="str">
        <f t="shared" si="233"/>
        <v>Оказание услуг по обеспечению питанием обучающихся</v>
      </c>
      <c r="G9584" s="22" t="s">
        <v>696</v>
      </c>
      <c r="H9584" s="22" t="s">
        <v>13769</v>
      </c>
      <c r="I9584" s="26">
        <v>43677.581458333298</v>
      </c>
      <c r="J9584" s="23" t="str">
        <f t="shared" si="234"/>
        <v>ООО "СЕВЕР"</v>
      </c>
      <c r="K9584" s="24" t="s">
        <v>13767</v>
      </c>
      <c r="L9584" s="22" t="s">
        <v>10</v>
      </c>
      <c r="M9584" s="28" t="s">
        <v>51</v>
      </c>
      <c r="N9584" s="28" t="s">
        <v>51</v>
      </c>
    </row>
    <row r="9585" spans="1:14" x14ac:dyDescent="0.15">
      <c r="A9585" s="23" t="str">
        <f>HYPERLINK("https://www.spark-marketing.ru/Card/Person/49981", "МОБУ ""ГИМНАЗИЯ № 3""")</f>
        <v>МОБУ "ГИМНАЗИЯ № 3"</v>
      </c>
      <c r="B9585" s="24" t="s">
        <v>1107</v>
      </c>
      <c r="C9585" s="25">
        <v>8256993.2400000002</v>
      </c>
      <c r="D9585" s="22" t="s">
        <v>13778</v>
      </c>
      <c r="E9585" s="22" t="s">
        <v>96</v>
      </c>
      <c r="F9585" s="23" t="str">
        <f>HYPERLINK("https://www.spark-marketing.ru/Card/Lot/72531287", "Услуги по организации горячего питания учащимся из малоимущих семей и многодетных малоимущих семей")</f>
        <v>Услуги по организации горячего питания учащимся из малоимущих семей и многодетных малоимущих семей</v>
      </c>
      <c r="G9585" s="22" t="s">
        <v>153</v>
      </c>
      <c r="H9585" s="22" t="s">
        <v>153</v>
      </c>
      <c r="I9585" s="26">
        <v>43677.569884259297</v>
      </c>
      <c r="J9585" s="28" t="s">
        <v>51</v>
      </c>
      <c r="K9585" s="28" t="s">
        <v>51</v>
      </c>
      <c r="L9585" s="28" t="s">
        <v>51</v>
      </c>
      <c r="M9585" s="28" t="s">
        <v>51</v>
      </c>
      <c r="N9585" s="28" t="s">
        <v>51</v>
      </c>
    </row>
    <row r="9586" spans="1:14" ht="12.75" hidden="1" outlineLevel="1" x14ac:dyDescent="0.2">
      <c r="A9586" s="23" t="str">
        <f>HYPERLINK("https://www.spark-marketing.ru/Card/Person/49981", "МОБУ ""ГИМНАЗИЯ № 3""")</f>
        <v>МОБУ "ГИМНАЗИЯ № 3"</v>
      </c>
      <c r="B9586" s="24" t="s">
        <v>1107</v>
      </c>
      <c r="C9586" s="25">
        <v>8256993.2400000002</v>
      </c>
      <c r="D9586" s="22" t="s">
        <v>13778</v>
      </c>
      <c r="E9586" s="22" t="s">
        <v>96</v>
      </c>
      <c r="F9586" s="23" t="str">
        <f>HYPERLINK("https://www.spark-marketing.ru/Card/Lot/72531287", "Услуги по организации горячего питания учащимся из малоимущих семей и многодетных малоимущих семей")</f>
        <v>Услуги по организации горячего питания учащимся из малоимущих семей и многодетных малоимущих семей</v>
      </c>
      <c r="G9586" s="22" t="s">
        <v>153</v>
      </c>
      <c r="H9586" s="22" t="s">
        <v>153</v>
      </c>
      <c r="I9586" s="26">
        <v>43677.569884259297</v>
      </c>
      <c r="J9586" s="23" t="str">
        <f>HYPERLINK("https://www.spark-marketing.ru/Card/Person/61115", "Петрова Ирина Алексеевна")</f>
        <v>Петрова Ирина Алексеевна</v>
      </c>
      <c r="K9586" s="24" t="s">
        <v>1963</v>
      </c>
      <c r="L9586" s="22" t="s">
        <v>10</v>
      </c>
      <c r="M9586" s="25">
        <v>3715646.82</v>
      </c>
      <c r="N9586" s="27">
        <v>0.55000001671310561</v>
      </c>
    </row>
    <row r="9587" spans="1:14" hidden="1" outlineLevel="1" x14ac:dyDescent="0.2">
      <c r="A9587" s="23" t="str">
        <f>HYPERLINK("https://www.spark-marketing.ru/Card/Person/49981", "МОБУ ""ГИМНАЗИЯ № 3""")</f>
        <v>МОБУ "ГИМНАЗИЯ № 3"</v>
      </c>
      <c r="B9587" s="24" t="s">
        <v>1107</v>
      </c>
      <c r="C9587" s="25">
        <v>8256993.2400000002</v>
      </c>
      <c r="D9587" s="22" t="s">
        <v>13778</v>
      </c>
      <c r="E9587" s="22" t="s">
        <v>96</v>
      </c>
      <c r="F9587" s="23" t="str">
        <f>HYPERLINK("https://www.spark-marketing.ru/Card/Lot/72531287", "Услуги по организации горячего питания учащимся из малоимущих семей и многодетных малоимущих семей")</f>
        <v>Услуги по организации горячего питания учащимся из малоимущих семей и многодетных малоимущих семей</v>
      </c>
      <c r="G9587" s="22" t="s">
        <v>153</v>
      </c>
      <c r="H9587" s="22" t="s">
        <v>153</v>
      </c>
      <c r="I9587" s="26">
        <v>43677.569884259297</v>
      </c>
      <c r="J9587" s="23" t="str">
        <f>HYPERLINK("https://www.spark-marketing.ru/Card/Person/2025480", "Четин Анатолий Николаевич")</f>
        <v>Четин Анатолий Николаевич</v>
      </c>
      <c r="K9587" s="24" t="s">
        <v>1964</v>
      </c>
      <c r="L9587" s="28" t="s">
        <v>51</v>
      </c>
      <c r="M9587" s="25">
        <v>3756931.79</v>
      </c>
      <c r="N9587" s="27">
        <v>0.54500001625288963</v>
      </c>
    </row>
    <row r="9588" spans="1:14" hidden="1" outlineLevel="1" x14ac:dyDescent="0.2">
      <c r="A9588" s="23" t="str">
        <f>HYPERLINK("https://www.spark-marketing.ru/Card/Person/49981", "МОБУ ""ГИМНАЗИЯ № 3""")</f>
        <v>МОБУ "ГИМНАЗИЯ № 3"</v>
      </c>
      <c r="B9588" s="24" t="s">
        <v>1107</v>
      </c>
      <c r="C9588" s="25">
        <v>8256993.2400000002</v>
      </c>
      <c r="D9588" s="22" t="s">
        <v>13778</v>
      </c>
      <c r="E9588" s="22" t="s">
        <v>96</v>
      </c>
      <c r="F9588" s="23" t="str">
        <f>HYPERLINK("https://www.spark-marketing.ru/Card/Lot/72531287", "Услуги по организации горячего питания учащимся из малоимущих семей и многодетных малоимущих семей")</f>
        <v>Услуги по организации горячего питания учащимся из малоимущих семей и многодетных малоимущих семей</v>
      </c>
      <c r="G9588" s="22" t="s">
        <v>153</v>
      </c>
      <c r="H9588" s="22" t="s">
        <v>153</v>
      </c>
      <c r="I9588" s="26">
        <v>43677.569884259297</v>
      </c>
      <c r="J9588" s="23" t="str">
        <f>HYPERLINK("https://www.spark-marketing.ru/Card/Person/6633295", "ООО ""КРИСТЕЛЬ""")</f>
        <v>ООО "КРИСТЕЛЬ"</v>
      </c>
      <c r="K9588" s="24" t="s">
        <v>2792</v>
      </c>
      <c r="L9588" s="28" t="s">
        <v>51</v>
      </c>
      <c r="M9588" s="25">
        <v>4334921.37</v>
      </c>
      <c r="N9588" s="27">
        <v>0.47500000980986634</v>
      </c>
    </row>
    <row r="9589" spans="1:14" x14ac:dyDescent="0.15">
      <c r="A9589" s="23" t="str">
        <f>HYPERLINK("https://www.spark-marketing.ru/Card/Person/1032336", "МБОУ ""ООШ № 12"" АГО")</f>
        <v>МБОУ "ООШ № 12" АГО</v>
      </c>
      <c r="B9589" s="24" t="s">
        <v>13779</v>
      </c>
      <c r="C9589" s="25">
        <v>1755200</v>
      </c>
      <c r="D9589" s="22" t="s">
        <v>13780</v>
      </c>
      <c r="E9589" s="22" t="s">
        <v>48</v>
      </c>
      <c r="F9589" s="23" t="str">
        <f>HYPERLINK("https://www.spark-marketing.ru/Card/Lot/72529577", "Организация питания обучающихся")</f>
        <v>Организация питания обучающихся</v>
      </c>
      <c r="G9589" s="22" t="s">
        <v>174</v>
      </c>
      <c r="H9589" s="22" t="s">
        <v>13781</v>
      </c>
      <c r="I9589" s="26">
        <v>43677.573611111096</v>
      </c>
      <c r="J9589" s="28" t="s">
        <v>51</v>
      </c>
      <c r="K9589" s="28" t="s">
        <v>51</v>
      </c>
      <c r="L9589" s="28" t="s">
        <v>51</v>
      </c>
      <c r="M9589" s="28" t="s">
        <v>51</v>
      </c>
      <c r="N9589" s="28" t="s">
        <v>51</v>
      </c>
    </row>
    <row r="9590" spans="1:14" hidden="1" outlineLevel="1" x14ac:dyDescent="0.2">
      <c r="A9590" s="23" t="str">
        <f>HYPERLINK("https://www.spark-marketing.ru/Card/Person/1032336", "МБОУ ""ООШ № 12"" АГО")</f>
        <v>МБОУ "ООШ № 12" АГО</v>
      </c>
      <c r="B9590" s="24" t="s">
        <v>13779</v>
      </c>
      <c r="C9590" s="25">
        <v>1755200</v>
      </c>
      <c r="D9590" s="22" t="s">
        <v>13780</v>
      </c>
      <c r="E9590" s="22" t="s">
        <v>48</v>
      </c>
      <c r="F9590" s="23" t="str">
        <f>HYPERLINK("https://www.spark-marketing.ru/Card/Lot/72529577", "Организация питания обучающихся")</f>
        <v>Организация питания обучающихся</v>
      </c>
      <c r="G9590" s="22" t="s">
        <v>174</v>
      </c>
      <c r="H9590" s="22" t="s">
        <v>13781</v>
      </c>
      <c r="I9590" s="26">
        <v>43677.573611111096</v>
      </c>
      <c r="J9590" s="23" t="str">
        <f>HYPERLINK("https://www.spark-marketing.ru/Card/Person/1480679", "ООО ""КШП""")</f>
        <v>ООО "КШП"</v>
      </c>
      <c r="K9590" s="24" t="s">
        <v>5252</v>
      </c>
      <c r="L9590" s="28" t="s">
        <v>51</v>
      </c>
      <c r="M9590" s="25">
        <v>1491920</v>
      </c>
      <c r="N9590" s="27">
        <v>0.15</v>
      </c>
    </row>
    <row r="9591" spans="1:14" ht="12.75" hidden="1" outlineLevel="1" x14ac:dyDescent="0.2">
      <c r="A9591" s="23" t="str">
        <f>HYPERLINK("https://www.spark-marketing.ru/Card/Person/1032336", "МБОУ ""ООШ № 12"" АГО")</f>
        <v>МБОУ "ООШ № 12" АГО</v>
      </c>
      <c r="B9591" s="24" t="s">
        <v>13779</v>
      </c>
      <c r="C9591" s="25">
        <v>1755200</v>
      </c>
      <c r="D9591" s="22" t="s">
        <v>13780</v>
      </c>
      <c r="E9591" s="22" t="s">
        <v>48</v>
      </c>
      <c r="F9591" s="23" t="str">
        <f>HYPERLINK("https://www.spark-marketing.ru/Card/Lot/72529577", "Организация питания обучающихся")</f>
        <v>Организация питания обучающихся</v>
      </c>
      <c r="G9591" s="22" t="s">
        <v>174</v>
      </c>
      <c r="H9591" s="22" t="s">
        <v>13781</v>
      </c>
      <c r="I9591" s="26">
        <v>43677.573611111096</v>
      </c>
      <c r="J9591" s="23" t="str">
        <f>HYPERLINK("https://www.spark-marketing.ru/Card/Person/1480165", "Гудкова Жанна Владимировна")</f>
        <v>Гудкова Жанна Владимировна</v>
      </c>
      <c r="K9591" s="24" t="s">
        <v>13782</v>
      </c>
      <c r="L9591" s="22" t="s">
        <v>10</v>
      </c>
      <c r="M9591" s="25">
        <v>1645760</v>
      </c>
      <c r="N9591" s="27">
        <v>6.2351868732907934E-2</v>
      </c>
    </row>
    <row r="9592" spans="1:14" hidden="1" outlineLevel="1" x14ac:dyDescent="0.2">
      <c r="A9592" s="23" t="str">
        <f>HYPERLINK("https://www.spark-marketing.ru/Card/Person/1032336", "МБОУ ""ООШ № 12"" АГО")</f>
        <v>МБОУ "ООШ № 12" АГО</v>
      </c>
      <c r="B9592" s="24" t="s">
        <v>13779</v>
      </c>
      <c r="C9592" s="25">
        <v>1755200</v>
      </c>
      <c r="D9592" s="22" t="s">
        <v>13780</v>
      </c>
      <c r="E9592" s="22" t="s">
        <v>48</v>
      </c>
      <c r="F9592" s="23" t="str">
        <f>HYPERLINK("https://www.spark-marketing.ru/Card/Lot/72529577", "Организация питания обучающихся")</f>
        <v>Организация питания обучающихся</v>
      </c>
      <c r="G9592" s="22" t="s">
        <v>174</v>
      </c>
      <c r="H9592" s="22" t="s">
        <v>13781</v>
      </c>
      <c r="I9592" s="26">
        <v>43677.573611111096</v>
      </c>
      <c r="J9592" s="23" t="str">
        <f>HYPERLINK("https://www.spark-marketing.ru/Card/Person/63499", "ООО ""СОЦИАЛЬНОЕ ПИТАНИЕ""")</f>
        <v>ООО "СОЦИАЛЬНОЕ ПИТАНИЕ"</v>
      </c>
      <c r="K9592" s="24" t="s">
        <v>13783</v>
      </c>
      <c r="L9592" s="28" t="s">
        <v>51</v>
      </c>
      <c r="M9592" s="25">
        <v>1441920</v>
      </c>
      <c r="N9592" s="27">
        <v>0.17848678213309024</v>
      </c>
    </row>
    <row r="9593" spans="1:14" x14ac:dyDescent="0.15">
      <c r="A9593" s="23" t="str">
        <f>HYPERLINK("https://www.spark-marketing.ru/Card/Person/948466", "МБУ СО ""ЦЕНТР ""РАДУГА""")</f>
        <v>МБУ СО "ЦЕНТР "РАДУГА"</v>
      </c>
      <c r="B9593" s="24" t="s">
        <v>13784</v>
      </c>
      <c r="C9593" s="25">
        <v>3602550</v>
      </c>
      <c r="D9593" s="22" t="s">
        <v>13785</v>
      </c>
      <c r="E9593" s="22" t="s">
        <v>48</v>
      </c>
      <c r="F9593" s="23" t="str">
        <f>HYPERLINK("https://www.spark-marketing.ru/Card/Lot/72531040", "Услуги прочих столовых")</f>
        <v>Услуги прочих столовых</v>
      </c>
      <c r="G9593" s="22" t="s">
        <v>281</v>
      </c>
      <c r="H9593" s="22" t="s">
        <v>281</v>
      </c>
      <c r="I9593" s="26">
        <v>43677.565277777801</v>
      </c>
      <c r="J9593" s="28" t="s">
        <v>51</v>
      </c>
      <c r="K9593" s="28" t="s">
        <v>51</v>
      </c>
      <c r="L9593" s="28" t="s">
        <v>51</v>
      </c>
      <c r="M9593" s="28" t="s">
        <v>51</v>
      </c>
      <c r="N9593" s="28" t="s">
        <v>51</v>
      </c>
    </row>
    <row r="9594" spans="1:14" hidden="1" outlineLevel="1" x14ac:dyDescent="0.15">
      <c r="A9594" s="23" t="str">
        <f>HYPERLINK("https://www.spark-marketing.ru/Card/Person/948466", "МБУ СО ""ЦЕНТР ""РАДУГА""")</f>
        <v>МБУ СО "ЦЕНТР "РАДУГА"</v>
      </c>
      <c r="B9594" s="24" t="s">
        <v>13784</v>
      </c>
      <c r="C9594" s="25">
        <v>3602550</v>
      </c>
      <c r="D9594" s="22" t="s">
        <v>13785</v>
      </c>
      <c r="E9594" s="22" t="s">
        <v>48</v>
      </c>
      <c r="F9594" s="23" t="str">
        <f>HYPERLINK("https://www.spark-marketing.ru/Card/Lot/72531040", "Услуги прочих столовых")</f>
        <v>Услуги прочих столовых</v>
      </c>
      <c r="G9594" s="22" t="s">
        <v>281</v>
      </c>
      <c r="H9594" s="22" t="s">
        <v>281</v>
      </c>
      <c r="I9594" s="26">
        <v>43677.565277777801</v>
      </c>
      <c r="J9594" s="23" t="str">
        <f>HYPERLINK("https://www.spark-marketing.ru/Card/Person/4680987", "Сацик Кирилл Александрович")</f>
        <v>Сацик Кирилл Александрович</v>
      </c>
      <c r="K9594" s="24" t="s">
        <v>13786</v>
      </c>
      <c r="L9594" s="28" t="s">
        <v>51</v>
      </c>
      <c r="M9594" s="28" t="s">
        <v>51</v>
      </c>
      <c r="N9594" s="28" t="s">
        <v>51</v>
      </c>
    </row>
    <row r="9595" spans="1:14" hidden="1" outlineLevel="1" x14ac:dyDescent="0.2">
      <c r="A9595" s="23" t="str">
        <f>HYPERLINK("https://www.spark-marketing.ru/Card/Person/948466", "МБУ СО ""ЦЕНТР ""РАДУГА""")</f>
        <v>МБУ СО "ЦЕНТР "РАДУГА"</v>
      </c>
      <c r="B9595" s="24" t="s">
        <v>13784</v>
      </c>
      <c r="C9595" s="25">
        <v>3602550</v>
      </c>
      <c r="D9595" s="22" t="s">
        <v>13785</v>
      </c>
      <c r="E9595" s="22" t="s">
        <v>48</v>
      </c>
      <c r="F9595" s="23" t="str">
        <f>HYPERLINK("https://www.spark-marketing.ru/Card/Lot/72531040", "Услуги прочих столовых")</f>
        <v>Услуги прочих столовых</v>
      </c>
      <c r="G9595" s="22" t="s">
        <v>281</v>
      </c>
      <c r="H9595" s="22" t="s">
        <v>281</v>
      </c>
      <c r="I9595" s="26">
        <v>43677.565277777801</v>
      </c>
      <c r="J9595" s="23" t="str">
        <f>HYPERLINK("https://www.spark-marketing.ru/Card/Person/1206441", "ООО ""ФЕНИКС-2016""")</f>
        <v>ООО "ФЕНИКС-2016"</v>
      </c>
      <c r="K9595" s="24" t="s">
        <v>10557</v>
      </c>
      <c r="L9595" s="28" t="s">
        <v>51</v>
      </c>
      <c r="M9595" s="25">
        <v>3559500</v>
      </c>
      <c r="N9595" s="27">
        <v>1.1949868842902944E-2</v>
      </c>
    </row>
    <row r="9596" spans="1:14" x14ac:dyDescent="0.15">
      <c r="A9596" s="23" t="str">
        <f>HYPERLINK("https://www.spark-marketing.ru/Card/Person/1006534", "МБДОУ №75 Г.ШАХТЫ")</f>
        <v>МБДОУ №75 Г.ШАХТЫ</v>
      </c>
      <c r="B9596" s="24" t="s">
        <v>13787</v>
      </c>
      <c r="C9596" s="25">
        <v>364242</v>
      </c>
      <c r="D9596" s="22" t="s">
        <v>13788</v>
      </c>
      <c r="E9596" s="22" t="s">
        <v>48</v>
      </c>
      <c r="F9596" s="23" t="str">
        <f>HYPERLINK("https://www.spark-marketing.ru/Card/Lot/72506569", "услуги по организации питания")</f>
        <v>услуги по организации питания</v>
      </c>
      <c r="G9596" s="22" t="s">
        <v>267</v>
      </c>
      <c r="H9596" s="22" t="s">
        <v>4874</v>
      </c>
      <c r="I9596" s="26">
        <v>43677.556250000001</v>
      </c>
      <c r="J9596" s="28" t="s">
        <v>51</v>
      </c>
      <c r="K9596" s="28" t="s">
        <v>51</v>
      </c>
      <c r="L9596" s="28" t="s">
        <v>51</v>
      </c>
      <c r="M9596" s="28" t="s">
        <v>51</v>
      </c>
      <c r="N9596" s="28" t="s">
        <v>51</v>
      </c>
    </row>
    <row r="9597" spans="1:14" x14ac:dyDescent="0.15">
      <c r="A9597" s="23" t="str">
        <f>HYPERLINK("https://www.spark-marketing.ru/Card/Person/4679", "ОМВД РОССИИ ПО НАДЫМСКОМУ РАЙОНУ")</f>
        <v>ОМВД РОССИИ ПО НАДЫМСКОМУ РАЙОНУ</v>
      </c>
      <c r="B9597" s="24" t="s">
        <v>4091</v>
      </c>
      <c r="C9597" s="25">
        <v>60000</v>
      </c>
      <c r="D9597" s="22" t="s">
        <v>13789</v>
      </c>
      <c r="E9597" s="22" t="s">
        <v>2086</v>
      </c>
      <c r="F9597" s="23" t="str">
        <f>HYPERLINK("https://www.spark-marketing.ru/Card/Lot/72513206", "Оказание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вооружения")</f>
        <v>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</v>
      </c>
      <c r="G9597" s="22" t="s">
        <v>1056</v>
      </c>
      <c r="H9597" s="22" t="s">
        <v>2702</v>
      </c>
      <c r="I9597" s="26">
        <v>43677.567604166703</v>
      </c>
      <c r="J9597" s="28" t="s">
        <v>51</v>
      </c>
      <c r="K9597" s="28" t="s">
        <v>51</v>
      </c>
      <c r="L9597" s="28" t="s">
        <v>51</v>
      </c>
      <c r="M9597" s="28" t="s">
        <v>51</v>
      </c>
      <c r="N9597" s="28" t="s">
        <v>51</v>
      </c>
    </row>
    <row r="9598" spans="1:14" hidden="1" outlineLevel="1" x14ac:dyDescent="0.2">
      <c r="A9598" s="23" t="str">
        <f>HYPERLINK("https://www.spark-marketing.ru/Card/Person/4679", "ОМВД РОССИИ ПО НАДЫМСКОМУ РАЙОНУ")</f>
        <v>ОМВД РОССИИ ПО НАДЫМСКОМУ РАЙОНУ</v>
      </c>
      <c r="B9598" s="24" t="s">
        <v>4091</v>
      </c>
      <c r="C9598" s="25">
        <v>60000</v>
      </c>
      <c r="D9598" s="22" t="s">
        <v>13789</v>
      </c>
      <c r="E9598" s="22" t="s">
        <v>2086</v>
      </c>
      <c r="F9598" s="23" t="str">
        <f>HYPERLINK("https://www.spark-marketing.ru/Card/Lot/72513206", "Оказание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вооружения")</f>
        <v>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</v>
      </c>
      <c r="G9598" s="22" t="s">
        <v>1056</v>
      </c>
      <c r="H9598" s="22" t="s">
        <v>2702</v>
      </c>
      <c r="I9598" s="26">
        <v>43677.567604166703</v>
      </c>
      <c r="J9598" s="23" t="str">
        <f>HYPERLINK("https://www.spark-marketing.ru/Card/Person/137733", "ООО СЦ ""РЕММАРК""")</f>
        <v>ООО СЦ "РЕММАРК"</v>
      </c>
      <c r="K9598" s="24" t="s">
        <v>4093</v>
      </c>
      <c r="L9598" s="28" t="s">
        <v>51</v>
      </c>
      <c r="M9598" s="25">
        <v>68184.58</v>
      </c>
      <c r="N9598" s="27">
        <v>-0.13640966666666668</v>
      </c>
    </row>
    <row r="9599" spans="1:14" ht="12.75" hidden="1" outlineLevel="1" x14ac:dyDescent="0.2">
      <c r="A9599" s="23" t="str">
        <f>HYPERLINK("https://www.spark-marketing.ru/Card/Person/4679", "ОМВД РОССИИ ПО НАДЫМСКОМУ РАЙОНУ")</f>
        <v>ОМВД РОССИИ ПО НАДЫМСКОМУ РАЙОНУ</v>
      </c>
      <c r="B9599" s="24" t="s">
        <v>4091</v>
      </c>
      <c r="C9599" s="25">
        <v>60000</v>
      </c>
      <c r="D9599" s="22" t="s">
        <v>13789</v>
      </c>
      <c r="E9599" s="22" t="s">
        <v>2086</v>
      </c>
      <c r="F9599" s="23" t="str">
        <f>HYPERLINK("https://www.spark-marketing.ru/Card/Lot/72513206", "Оказание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вооружения")</f>
        <v>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</v>
      </c>
      <c r="G9599" s="22" t="s">
        <v>1056</v>
      </c>
      <c r="H9599" s="22" t="s">
        <v>2702</v>
      </c>
      <c r="I9599" s="26">
        <v>43677.567604166703</v>
      </c>
      <c r="J9599" s="23" t="str">
        <f>HYPERLINK("https://www.spark-marketing.ru/Card/Person/4359595", "ООО ""ПРОКСИ-КОМ""")</f>
        <v>ООО "ПРОКСИ-КОМ"</v>
      </c>
      <c r="K9599" s="24" t="s">
        <v>4094</v>
      </c>
      <c r="L9599" s="22" t="s">
        <v>10</v>
      </c>
      <c r="M9599" s="25">
        <v>67148.56</v>
      </c>
      <c r="N9599" s="27">
        <v>-0.11914266666666666</v>
      </c>
    </row>
    <row r="9600" spans="1:14" x14ac:dyDescent="0.15">
      <c r="A9600" s="23" t="str">
        <f>HYPERLINK("https://www.spark-marketing.ru/Card/Person/61609", "ГБУ ДРКБ РМЭ")</f>
        <v>ГБУ ДРКБ РМЭ</v>
      </c>
      <c r="B9600" s="24" t="s">
        <v>13790</v>
      </c>
      <c r="C9600" s="25">
        <v>414200.04</v>
      </c>
      <c r="D9600" s="22" t="s">
        <v>13791</v>
      </c>
      <c r="E9600" s="22" t="s">
        <v>13792</v>
      </c>
      <c r="F9600" s="23" t="str">
        <f>HYPERLINK("https://www.spark-marketing.ru/Card/Lot/72522475", "Оказание услуг по аренде медицинского оборудования:  светильника хирургического передвижного (с блоком аварийного питания)")</f>
        <v>Оказание услуг по аренде медицинского оборудования:  светильника хирургического передвижного (с блоком аварийного питания)</v>
      </c>
      <c r="G9600" s="22" t="s">
        <v>3249</v>
      </c>
      <c r="H9600" s="22" t="s">
        <v>3250</v>
      </c>
      <c r="I9600" s="26">
        <v>43677.581423611096</v>
      </c>
      <c r="J9600" s="23" t="str">
        <f>HYPERLINK("https://www.spark-marketing.ru/Card/Person/1116494", "ООО ""ДИАМАНТ""")</f>
        <v>ООО "ДИАМАНТ"</v>
      </c>
      <c r="K9600" s="24" t="s">
        <v>13793</v>
      </c>
      <c r="L9600" s="22" t="s">
        <v>10</v>
      </c>
      <c r="M9600" s="28" t="s">
        <v>51</v>
      </c>
      <c r="N9600" s="28" t="s">
        <v>51</v>
      </c>
    </row>
    <row r="9601" spans="1:14" x14ac:dyDescent="0.15">
      <c r="A9601" s="23" t="str">
        <f>HYPERLINK("https://www.spark-marketing.ru/Card/Person/1752165", "АО ""ГРИНАТОМ""")</f>
        <v>АО "ГРИНАТОМ"</v>
      </c>
      <c r="B9601" s="24" t="s">
        <v>509</v>
      </c>
      <c r="C9601" s="28" t="s">
        <v>51</v>
      </c>
      <c r="D9601" s="22" t="s">
        <v>13794</v>
      </c>
      <c r="E9601" s="22" t="s">
        <v>55</v>
      </c>
      <c r="F9601" s="23" t="str">
        <f>HYPERLINK("https://www.spark-marketing.ru/Card/Lot/72515108", "Услуги по предоставлению площадки, питания и трансфера для выездной сессии руководителей АО «Гринатом»")</f>
        <v>Услуги по предоставлению площадки, питания и трансфера для выездной сессии руководителей АО «Гринатом»</v>
      </c>
      <c r="G9601" s="22" t="s">
        <v>56</v>
      </c>
      <c r="H9601" s="22" t="s">
        <v>56</v>
      </c>
      <c r="I9601" s="26">
        <v>43677.548796296302</v>
      </c>
      <c r="J9601" s="28" t="s">
        <v>51</v>
      </c>
      <c r="K9601" s="28" t="s">
        <v>51</v>
      </c>
      <c r="L9601" s="28" t="s">
        <v>51</v>
      </c>
      <c r="M9601" s="28" t="s">
        <v>51</v>
      </c>
      <c r="N9601" s="28" t="s">
        <v>51</v>
      </c>
    </row>
    <row r="9602" spans="1:14" x14ac:dyDescent="0.15">
      <c r="A9602" s="23" t="str">
        <f>HYPERLINK("https://www.spark-marketing.ru/Card/Person/374323", "ОМВД РОССИИ ПО ПОРХОВСКОМУ РАЙОНУ")</f>
        <v>ОМВД РОССИИ ПО ПОРХОВСКОМУ РАЙОНУ</v>
      </c>
      <c r="B9602" s="24" t="s">
        <v>3660</v>
      </c>
      <c r="C9602" s="25">
        <v>743000</v>
      </c>
      <c r="D9602" s="22" t="s">
        <v>13795</v>
      </c>
      <c r="E9602" s="22" t="s">
        <v>48</v>
      </c>
      <c r="F9602" s="23" t="str">
        <f>HYPERLINK("https://www.spark-marketing.ru/Card/Lot/72526268", "питание ИВС")</f>
        <v>питание ИВС</v>
      </c>
      <c r="G9602" s="22" t="s">
        <v>415</v>
      </c>
      <c r="H9602" s="22" t="s">
        <v>415</v>
      </c>
      <c r="I9602" s="26">
        <v>43677.576736111099</v>
      </c>
      <c r="J9602" s="28" t="s">
        <v>51</v>
      </c>
      <c r="K9602" s="28" t="s">
        <v>51</v>
      </c>
      <c r="L9602" s="28" t="s">
        <v>51</v>
      </c>
      <c r="M9602" s="28" t="s">
        <v>51</v>
      </c>
      <c r="N9602" s="28" t="s">
        <v>51</v>
      </c>
    </row>
    <row r="9603" spans="1:14" x14ac:dyDescent="0.15">
      <c r="A9603" s="23" t="str">
        <f>HYPERLINK("https://www.spark-marketing.ru/Card/Person/1028534", "МБОУ ""СОШ № 197""")</f>
        <v>МБОУ "СОШ № 197"</v>
      </c>
      <c r="B9603" s="24" t="s">
        <v>13796</v>
      </c>
      <c r="C9603" s="25">
        <v>1020275</v>
      </c>
      <c r="D9603" s="22" t="s">
        <v>13797</v>
      </c>
      <c r="E9603" s="22" t="s">
        <v>48</v>
      </c>
      <c r="F9603" s="23" t="str">
        <f>HYPERLINK("https://www.spark-marketing.ru/Card/Lot/72527140", "Оказание услуг по организации питания льготных категорий обучающихся и обучающихся с ограниченными возможностями здоровья МБОУ ""СОШ № 197 имени В. Маркелова""")</f>
        <v>Оказание услуг по организации питания льготных категорий обучающихся и обучающихся с ограниченными возможностями здоровья МБОУ "СОШ № 197 имени В. Маркелова"</v>
      </c>
      <c r="G9603" s="22" t="s">
        <v>149</v>
      </c>
      <c r="H9603" s="22" t="s">
        <v>149</v>
      </c>
      <c r="I9603" s="26">
        <v>43677.525266203702</v>
      </c>
      <c r="J9603" s="28" t="s">
        <v>51</v>
      </c>
      <c r="K9603" s="28" t="s">
        <v>51</v>
      </c>
      <c r="L9603" s="28" t="s">
        <v>51</v>
      </c>
      <c r="M9603" s="28" t="s">
        <v>51</v>
      </c>
      <c r="N9603" s="28" t="s">
        <v>51</v>
      </c>
    </row>
    <row r="9604" spans="1:14" x14ac:dyDescent="0.15">
      <c r="A9604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9604" s="24" t="s">
        <v>13798</v>
      </c>
      <c r="C9604" s="25">
        <v>7545</v>
      </c>
      <c r="D9604" s="22" t="s">
        <v>13799</v>
      </c>
      <c r="E9604" s="22" t="s">
        <v>48</v>
      </c>
      <c r="F9604" s="23" t="str">
        <f>HYPERLINK("https://www.spark-marketing.ru/Card/Lot/72505565",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9604" s="22" t="s">
        <v>63</v>
      </c>
      <c r="H9604" s="22" t="s">
        <v>177</v>
      </c>
      <c r="I9604" s="26">
        <v>43677.521527777797</v>
      </c>
      <c r="J9604" s="28" t="s">
        <v>51</v>
      </c>
      <c r="K9604" s="28" t="s">
        <v>51</v>
      </c>
      <c r="L9604" s="28" t="s">
        <v>51</v>
      </c>
      <c r="M9604" s="28" t="s">
        <v>51</v>
      </c>
      <c r="N9604" s="28" t="s">
        <v>51</v>
      </c>
    </row>
    <row r="9605" spans="1:14" x14ac:dyDescent="0.15">
      <c r="A9605" s="23" t="str">
        <f>HYPERLINK("https://www.spark-marketing.ru/Card/Person/4679", "ОМВД РОССИИ ПО НАДЫМСКОМУ РАЙОНУ")</f>
        <v>ОМВД РОССИИ ПО НАДЫМСКОМУ РАЙОНУ</v>
      </c>
      <c r="B9605" s="24" t="s">
        <v>4091</v>
      </c>
      <c r="C9605" s="25">
        <v>60000</v>
      </c>
      <c r="D9605" s="22" t="s">
        <v>13800</v>
      </c>
      <c r="E9605" s="22" t="s">
        <v>2086</v>
      </c>
      <c r="F9605" s="23" t="str">
        <f>HYPERLINK("https://www.spark-marketing.ru/Card/Lot/72512763", "Оказание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вооружения")</f>
        <v>Оказание услуг по ремонту коммуникационного оборудования для Отдела Министерства внутренних дел Российской Федерации по Надымскому району в рамках государственного оборонного заказа вне государственной программы вооружения</v>
      </c>
      <c r="G9605" s="22" t="s">
        <v>1056</v>
      </c>
      <c r="H9605" s="22" t="s">
        <v>2702</v>
      </c>
      <c r="I9605" s="26">
        <v>43677.516516203701</v>
      </c>
      <c r="J9605" s="23" t="str">
        <f>HYPERLINK("https://www.spark-marketing.ru/Card/Person/137733", "ООО СЦ ""РЕММАРК""")</f>
        <v>ООО СЦ "РЕММАРК"</v>
      </c>
      <c r="K9605" s="24" t="s">
        <v>4093</v>
      </c>
      <c r="L9605" s="22" t="s">
        <v>10</v>
      </c>
      <c r="M9605" s="28" t="s">
        <v>51</v>
      </c>
      <c r="N9605" s="28" t="s">
        <v>51</v>
      </c>
    </row>
    <row r="9606" spans="1:14" x14ac:dyDescent="0.15">
      <c r="A9606" s="23" t="str">
        <f>HYPERLINK("https://www.spark-marketing.ru/Card/Person/154761", "ОМВД РОССИИ ПО Г. ЧЕРНОГОРСКУ")</f>
        <v>ОМВД РОССИИ ПО Г. ЧЕРНОГОРСКУ</v>
      </c>
      <c r="B9606" s="24" t="s">
        <v>13801</v>
      </c>
      <c r="C9606" s="25">
        <v>1770700</v>
      </c>
      <c r="D9606" s="22" t="s">
        <v>13802</v>
      </c>
      <c r="E9606" s="22" t="s">
        <v>48</v>
      </c>
      <c r="F9606" s="23" t="str">
        <f>HYPERLINK("https://www.spark-marketing.ru/Card/Lot/72529593", "услуги по предоставлению горячего 3-х разового питания для лиц, содержащихся в ИВС")</f>
        <v>услуги по предоставлению горячего 3-х разового питания для лиц, содержащихся в ИВС</v>
      </c>
      <c r="G9606" s="22" t="s">
        <v>92</v>
      </c>
      <c r="H9606" s="22" t="s">
        <v>13803</v>
      </c>
      <c r="I9606" s="26">
        <v>43677.5007638889</v>
      </c>
      <c r="J9606" s="28" t="s">
        <v>51</v>
      </c>
      <c r="K9606" s="28" t="s">
        <v>51</v>
      </c>
      <c r="L9606" s="28" t="s">
        <v>51</v>
      </c>
      <c r="M9606" s="28" t="s">
        <v>51</v>
      </c>
      <c r="N9606" s="28" t="s">
        <v>51</v>
      </c>
    </row>
    <row r="9607" spans="1:14" ht="12.75" hidden="1" outlineLevel="1" x14ac:dyDescent="0.2">
      <c r="A9607" s="23" t="str">
        <f>HYPERLINK("https://www.spark-marketing.ru/Card/Person/154761", "ОМВД РОССИИ ПО Г. ЧЕРНОГОРСКУ")</f>
        <v>ОМВД РОССИИ ПО Г. ЧЕРНОГОРСКУ</v>
      </c>
      <c r="B9607" s="24" t="s">
        <v>13801</v>
      </c>
      <c r="C9607" s="25">
        <v>1770700</v>
      </c>
      <c r="D9607" s="22" t="s">
        <v>13802</v>
      </c>
      <c r="E9607" s="22" t="s">
        <v>48</v>
      </c>
      <c r="F9607" s="23" t="str">
        <f>HYPERLINK("https://www.spark-marketing.ru/Card/Lot/72529593", "услуги по предоставлению горячего 3-х разового питания для лиц, содержащихся в ИВС")</f>
        <v>услуги по предоставлению горячего 3-х разового питания для лиц, содержащихся в ИВС</v>
      </c>
      <c r="G9607" s="22" t="s">
        <v>92</v>
      </c>
      <c r="H9607" s="22" t="s">
        <v>13803</v>
      </c>
      <c r="I9607" s="26">
        <v>43677.5007638889</v>
      </c>
      <c r="J9607" s="23" t="str">
        <f>HYPERLINK("https://www.spark-marketing.ru/Card/Person/932796", "Шаповаленко Николай Антонович")</f>
        <v>Шаповаленко Николай Антонович</v>
      </c>
      <c r="K9607" s="24" t="s">
        <v>5982</v>
      </c>
      <c r="L9607" s="22" t="s">
        <v>10</v>
      </c>
      <c r="M9607" s="25">
        <v>1280.93</v>
      </c>
      <c r="N9607" s="27">
        <v>0.99927659682611392</v>
      </c>
    </row>
    <row r="9608" spans="1:14" hidden="1" outlineLevel="1" x14ac:dyDescent="0.2">
      <c r="A9608" s="23" t="str">
        <f>HYPERLINK("https://www.spark-marketing.ru/Card/Person/154761", "ОМВД РОССИИ ПО Г. ЧЕРНОГОРСКУ")</f>
        <v>ОМВД РОССИИ ПО Г. ЧЕРНОГОРСКУ</v>
      </c>
      <c r="B9608" s="24" t="s">
        <v>13801</v>
      </c>
      <c r="C9608" s="25">
        <v>1770700</v>
      </c>
      <c r="D9608" s="22" t="s">
        <v>13802</v>
      </c>
      <c r="E9608" s="22" t="s">
        <v>48</v>
      </c>
      <c r="F9608" s="23" t="str">
        <f>HYPERLINK("https://www.spark-marketing.ru/Card/Lot/72529593", "услуги по предоставлению горячего 3-х разового питания для лиц, содержащихся в ИВС")</f>
        <v>услуги по предоставлению горячего 3-х разового питания для лиц, содержащихся в ИВС</v>
      </c>
      <c r="G9608" s="22" t="s">
        <v>92</v>
      </c>
      <c r="H9608" s="22" t="s">
        <v>13803</v>
      </c>
      <c r="I9608" s="26">
        <v>43677.5007638889</v>
      </c>
      <c r="J9608" s="23" t="str">
        <f>HYPERLINK("https://www.spark-marketing.ru/Card/Person/656154", "ООО ""ЗЕВС""")</f>
        <v>ООО "ЗЕВС"</v>
      </c>
      <c r="K9608" s="24" t="s">
        <v>5981</v>
      </c>
      <c r="L9608" s="28" t="s">
        <v>51</v>
      </c>
      <c r="M9608" s="25">
        <v>1291.0999999999999</v>
      </c>
      <c r="N9608" s="27">
        <v>0.99927085333483934</v>
      </c>
    </row>
    <row r="9609" spans="1:14" x14ac:dyDescent="0.15">
      <c r="A9609" s="23" t="s">
        <v>114</v>
      </c>
      <c r="B9609" s="28" t="s">
        <v>51</v>
      </c>
      <c r="C9609" s="25">
        <v>20203782.52</v>
      </c>
      <c r="D9609" s="22" t="s">
        <v>13804</v>
      </c>
      <c r="E9609" s="22" t="s">
        <v>48</v>
      </c>
      <c r="F9609" s="23" t="str">
        <f t="shared" ref="F9609:F9628" si="235">HYPERLINK("https://www.spark-marketing.ru/Card/Lot/72531575", "Оказание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год")</f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09" s="22" t="s">
        <v>51</v>
      </c>
      <c r="H9609" s="22" t="s">
        <v>51</v>
      </c>
      <c r="I9609" s="26">
        <v>43677.515277777798</v>
      </c>
      <c r="J9609" s="28" t="s">
        <v>51</v>
      </c>
      <c r="K9609" s="28" t="s">
        <v>51</v>
      </c>
      <c r="L9609" s="28" t="s">
        <v>51</v>
      </c>
      <c r="M9609" s="28" t="s">
        <v>51</v>
      </c>
      <c r="N9609" s="28" t="s">
        <v>51</v>
      </c>
    </row>
    <row r="9610" spans="1:14" hidden="1" outlineLevel="1" x14ac:dyDescent="0.15">
      <c r="A9610" s="23" t="str">
        <f>HYPERLINK("https://www.spark-marketing.ru/Card/Person/112889", "МБОУ ""НОВОЖИЗНЕНСКАЯ СШ""")</f>
        <v>МБОУ "НОВОЖИЗНЕНСКАЯ СШ"</v>
      </c>
      <c r="B9610" s="24" t="s">
        <v>13805</v>
      </c>
      <c r="C9610" s="25">
        <v>559446.16</v>
      </c>
      <c r="D9610" s="22" t="s">
        <v>13804</v>
      </c>
      <c r="E9610" s="22" t="s">
        <v>48</v>
      </c>
      <c r="F9610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10" s="22" t="s">
        <v>158</v>
      </c>
      <c r="H9610" s="22" t="s">
        <v>158</v>
      </c>
      <c r="I9610" s="26">
        <v>43677.515277777798</v>
      </c>
      <c r="J9610" s="28" t="s">
        <v>51</v>
      </c>
      <c r="K9610" s="28" t="s">
        <v>51</v>
      </c>
      <c r="L9610" s="28" t="s">
        <v>51</v>
      </c>
      <c r="M9610" s="28" t="s">
        <v>51</v>
      </c>
      <c r="N9610" s="28" t="s">
        <v>51</v>
      </c>
    </row>
    <row r="9611" spans="1:14" hidden="1" outlineLevel="1" x14ac:dyDescent="0.15">
      <c r="A9611" s="23" t="str">
        <f>HYPERLINK("https://www.spark-marketing.ru/Card/Person/128110", "МБОУ ""КОТЛУБАНСКАЯ СШ""")</f>
        <v>МБОУ "КОТЛУБАНСКАЯ СШ"</v>
      </c>
      <c r="B9611" s="24" t="s">
        <v>13806</v>
      </c>
      <c r="C9611" s="25">
        <v>860686.4</v>
      </c>
      <c r="D9611" s="22" t="s">
        <v>13804</v>
      </c>
      <c r="E9611" s="22" t="s">
        <v>48</v>
      </c>
      <c r="F9611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11" s="22" t="s">
        <v>158</v>
      </c>
      <c r="H9611" s="22" t="s">
        <v>158</v>
      </c>
      <c r="I9611" s="26">
        <v>43677.515277777798</v>
      </c>
      <c r="J9611" s="28" t="s">
        <v>51</v>
      </c>
      <c r="K9611" s="28" t="s">
        <v>51</v>
      </c>
      <c r="L9611" s="28" t="s">
        <v>51</v>
      </c>
      <c r="M9611" s="28" t="s">
        <v>51</v>
      </c>
      <c r="N9611" s="28" t="s">
        <v>51</v>
      </c>
    </row>
    <row r="9612" spans="1:14" hidden="1" outlineLevel="1" x14ac:dyDescent="0.15">
      <c r="A9612" s="23" t="str">
        <f>HYPERLINK("https://www.spark-marketing.ru/Card/Person/995924", "МБОУ ""КУЗЬМИЧЁВСКАЯ СШ""")</f>
        <v>МБОУ "КУЗЬМИЧЁВСКАЯ СШ"</v>
      </c>
      <c r="B9612" s="24" t="s">
        <v>13807</v>
      </c>
      <c r="C9612" s="25">
        <v>909100.01</v>
      </c>
      <c r="D9612" s="22" t="s">
        <v>13804</v>
      </c>
      <c r="E9612" s="22" t="s">
        <v>48</v>
      </c>
      <c r="F9612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12" s="22" t="s">
        <v>158</v>
      </c>
      <c r="H9612" s="22" t="s">
        <v>158</v>
      </c>
      <c r="I9612" s="26">
        <v>43677.515277777798</v>
      </c>
      <c r="J9612" s="28" t="s">
        <v>51</v>
      </c>
      <c r="K9612" s="28" t="s">
        <v>51</v>
      </c>
      <c r="L9612" s="28" t="s">
        <v>51</v>
      </c>
      <c r="M9612" s="28" t="s">
        <v>51</v>
      </c>
      <c r="N9612" s="28" t="s">
        <v>51</v>
      </c>
    </row>
    <row r="9613" spans="1:14" hidden="1" outlineLevel="1" x14ac:dyDescent="0.15">
      <c r="A9613" s="23" t="str">
        <f>HYPERLINK("https://www.spark-marketing.ru/Card/Person/999099", "МБОУ ""ВЕРТЯЧИНСКАЯ СШ""")</f>
        <v>МБОУ "ВЕРТЯЧИНСКАЯ СШ"</v>
      </c>
      <c r="B9613" s="24" t="s">
        <v>13808</v>
      </c>
      <c r="C9613" s="25">
        <v>457239.65</v>
      </c>
      <c r="D9613" s="22" t="s">
        <v>13804</v>
      </c>
      <c r="E9613" s="22" t="s">
        <v>48</v>
      </c>
      <c r="F9613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13" s="22" t="s">
        <v>158</v>
      </c>
      <c r="H9613" s="22" t="s">
        <v>158</v>
      </c>
      <c r="I9613" s="26">
        <v>43677.515277777798</v>
      </c>
      <c r="J9613" s="28" t="s">
        <v>51</v>
      </c>
      <c r="K9613" s="28" t="s">
        <v>51</v>
      </c>
      <c r="L9613" s="28" t="s">
        <v>51</v>
      </c>
      <c r="M9613" s="28" t="s">
        <v>51</v>
      </c>
      <c r="N9613" s="28" t="s">
        <v>51</v>
      </c>
    </row>
    <row r="9614" spans="1:14" hidden="1" outlineLevel="1" x14ac:dyDescent="0.15">
      <c r="A9614" s="23" t="str">
        <f>HYPERLINK("https://www.spark-marketing.ru/Card/Person/1016410", "МБОУ ГСШ № 2")</f>
        <v>МБОУ ГСШ № 2</v>
      </c>
      <c r="B9614" s="24" t="s">
        <v>13809</v>
      </c>
      <c r="C9614" s="25">
        <v>1586890.55</v>
      </c>
      <c r="D9614" s="22" t="s">
        <v>13804</v>
      </c>
      <c r="E9614" s="22" t="s">
        <v>48</v>
      </c>
      <c r="F9614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14" s="22" t="s">
        <v>158</v>
      </c>
      <c r="H9614" s="22" t="s">
        <v>158</v>
      </c>
      <c r="I9614" s="26">
        <v>43677.515277777798</v>
      </c>
      <c r="J9614" s="28" t="s">
        <v>51</v>
      </c>
      <c r="K9614" s="28" t="s">
        <v>51</v>
      </c>
      <c r="L9614" s="28" t="s">
        <v>51</v>
      </c>
      <c r="M9614" s="28" t="s">
        <v>51</v>
      </c>
      <c r="N9614" s="28" t="s">
        <v>51</v>
      </c>
    </row>
    <row r="9615" spans="1:14" hidden="1" outlineLevel="1" x14ac:dyDescent="0.15">
      <c r="A9615" s="23" t="str">
        <f>HYPERLINK("https://www.spark-marketing.ru/Card/Person/1018380", "МБОУ ""КАРПОВСКАЯ СШ""")</f>
        <v>МБОУ "КАРПОВСКАЯ СШ"</v>
      </c>
      <c r="B9615" s="24" t="s">
        <v>13810</v>
      </c>
      <c r="C9615" s="25">
        <v>527170.42000000004</v>
      </c>
      <c r="D9615" s="22" t="s">
        <v>13804</v>
      </c>
      <c r="E9615" s="22" t="s">
        <v>48</v>
      </c>
      <c r="F9615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15" s="22" t="s">
        <v>158</v>
      </c>
      <c r="H9615" s="22" t="s">
        <v>158</v>
      </c>
      <c r="I9615" s="26">
        <v>43677.515277777798</v>
      </c>
      <c r="J9615" s="28" t="s">
        <v>51</v>
      </c>
      <c r="K9615" s="28" t="s">
        <v>51</v>
      </c>
      <c r="L9615" s="28" t="s">
        <v>51</v>
      </c>
      <c r="M9615" s="28" t="s">
        <v>51</v>
      </c>
      <c r="N9615" s="28" t="s">
        <v>51</v>
      </c>
    </row>
    <row r="9616" spans="1:14" hidden="1" outlineLevel="1" x14ac:dyDescent="0.15">
      <c r="A9616" s="23" t="str">
        <f>HYPERLINK("https://www.spark-marketing.ru/Card/Person/1020108", "МБОУ ""ГСШ №1""")</f>
        <v>МБОУ "ГСШ №1"</v>
      </c>
      <c r="B9616" s="24" t="s">
        <v>13811</v>
      </c>
      <c r="C9616" s="25">
        <v>5013498.28</v>
      </c>
      <c r="D9616" s="22" t="s">
        <v>13804</v>
      </c>
      <c r="E9616" s="22" t="s">
        <v>48</v>
      </c>
      <c r="F9616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16" s="22" t="s">
        <v>158</v>
      </c>
      <c r="H9616" s="22" t="s">
        <v>158</v>
      </c>
      <c r="I9616" s="26">
        <v>43677.515277777798</v>
      </c>
      <c r="J9616" s="28" t="s">
        <v>51</v>
      </c>
      <c r="K9616" s="28" t="s">
        <v>51</v>
      </c>
      <c r="L9616" s="28" t="s">
        <v>51</v>
      </c>
      <c r="M9616" s="28" t="s">
        <v>51</v>
      </c>
      <c r="N9616" s="28" t="s">
        <v>51</v>
      </c>
    </row>
    <row r="9617" spans="1:14" hidden="1" outlineLevel="1" x14ac:dyDescent="0.15">
      <c r="A9617" s="23" t="str">
        <f>HYPERLINK("https://www.spark-marketing.ru/Card/Person/1035948", "МБОУ ""ЕРЗОВСКАЯ СШ ИМЕНИ ГЕРОЯ СОВЕТСКОГО СОЮЗА ГОНЧАРОВА П.А.""")</f>
        <v>МБОУ "ЕРЗОВСКАЯ СШ ИМЕНИ ГЕРОЯ СОВЕТСКОГО СОЮЗА ГОНЧАРОВА П.А."</v>
      </c>
      <c r="B9617" s="24" t="s">
        <v>13812</v>
      </c>
      <c r="C9617" s="25">
        <v>1898889.37</v>
      </c>
      <c r="D9617" s="22" t="s">
        <v>13804</v>
      </c>
      <c r="E9617" s="22" t="s">
        <v>48</v>
      </c>
      <c r="F9617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17" s="22" t="s">
        <v>158</v>
      </c>
      <c r="H9617" s="22" t="s">
        <v>158</v>
      </c>
      <c r="I9617" s="26">
        <v>43677.515277777798</v>
      </c>
      <c r="J9617" s="28" t="s">
        <v>51</v>
      </c>
      <c r="K9617" s="28" t="s">
        <v>51</v>
      </c>
      <c r="L9617" s="28" t="s">
        <v>51</v>
      </c>
      <c r="M9617" s="28" t="s">
        <v>51</v>
      </c>
      <c r="N9617" s="28" t="s">
        <v>51</v>
      </c>
    </row>
    <row r="9618" spans="1:14" hidden="1" outlineLevel="1" x14ac:dyDescent="0.15">
      <c r="A9618" s="23" t="str">
        <f>HYPERLINK("https://www.spark-marketing.ru/Card/Person/1039546", "МБОУ ""КАМЕНСКАЯ СШ""")</f>
        <v>МБОУ "КАМЕНСКАЯ СШ"</v>
      </c>
      <c r="B9618" s="24" t="s">
        <v>13813</v>
      </c>
      <c r="C9618" s="25">
        <v>430343.2</v>
      </c>
      <c r="D9618" s="22" t="s">
        <v>13804</v>
      </c>
      <c r="E9618" s="22" t="s">
        <v>48</v>
      </c>
      <c r="F9618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18" s="22" t="s">
        <v>158</v>
      </c>
      <c r="H9618" s="22" t="s">
        <v>158</v>
      </c>
      <c r="I9618" s="26">
        <v>43677.515277777798</v>
      </c>
      <c r="J9618" s="28" t="s">
        <v>51</v>
      </c>
      <c r="K9618" s="28" t="s">
        <v>51</v>
      </c>
      <c r="L9618" s="28" t="s">
        <v>51</v>
      </c>
      <c r="M9618" s="28" t="s">
        <v>51</v>
      </c>
      <c r="N9618" s="28" t="s">
        <v>51</v>
      </c>
    </row>
    <row r="9619" spans="1:14" hidden="1" outlineLevel="1" x14ac:dyDescent="0.15">
      <c r="A9619" s="23" t="str">
        <f>HYPERLINK("https://www.spark-marketing.ru/Card/Person/1046362", "МБОУ ""ГРАЧЕВСКАЯ СШ""")</f>
        <v>МБОУ "ГРАЧЕВСКАЯ СШ"</v>
      </c>
      <c r="B9619" s="24" t="s">
        <v>13814</v>
      </c>
      <c r="C9619" s="25">
        <v>408826.04</v>
      </c>
      <c r="D9619" s="22" t="s">
        <v>13804</v>
      </c>
      <c r="E9619" s="22" t="s">
        <v>48</v>
      </c>
      <c r="F9619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19" s="22" t="s">
        <v>158</v>
      </c>
      <c r="H9619" s="22" t="s">
        <v>158</v>
      </c>
      <c r="I9619" s="26">
        <v>43677.515277777798</v>
      </c>
      <c r="J9619" s="28" t="s">
        <v>51</v>
      </c>
      <c r="K9619" s="28" t="s">
        <v>51</v>
      </c>
      <c r="L9619" s="28" t="s">
        <v>51</v>
      </c>
      <c r="M9619" s="28" t="s">
        <v>51</v>
      </c>
      <c r="N9619" s="28" t="s">
        <v>51</v>
      </c>
    </row>
    <row r="9620" spans="1:14" hidden="1" outlineLevel="1" x14ac:dyDescent="0.15">
      <c r="A9620" s="23" t="str">
        <f>HYPERLINK("https://www.spark-marketing.ru/Card/Person/1053219", "МБОУ ГСШ № 3")</f>
        <v>МБОУ ГСШ № 3</v>
      </c>
      <c r="B9620" s="24" t="s">
        <v>13815</v>
      </c>
      <c r="C9620" s="25">
        <v>1661369.89</v>
      </c>
      <c r="D9620" s="22" t="s">
        <v>13804</v>
      </c>
      <c r="E9620" s="22" t="s">
        <v>48</v>
      </c>
      <c r="F9620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20" s="22" t="s">
        <v>158</v>
      </c>
      <c r="H9620" s="22" t="s">
        <v>158</v>
      </c>
      <c r="I9620" s="26">
        <v>43677.515277777798</v>
      </c>
      <c r="J9620" s="28" t="s">
        <v>51</v>
      </c>
      <c r="K9620" s="28" t="s">
        <v>51</v>
      </c>
      <c r="L9620" s="28" t="s">
        <v>51</v>
      </c>
      <c r="M9620" s="28" t="s">
        <v>51</v>
      </c>
      <c r="N9620" s="28" t="s">
        <v>51</v>
      </c>
    </row>
    <row r="9621" spans="1:14" hidden="1" outlineLevel="1" x14ac:dyDescent="0.15">
      <c r="A9621" s="23" t="str">
        <f>HYPERLINK("https://www.spark-marketing.ru/Card/Person/1062342", "МБОУ ""ПАНЬШИНСКАЯ СШ""")</f>
        <v>МБОУ "ПАНЬШИНСКАЯ СШ"</v>
      </c>
      <c r="B9621" s="24" t="s">
        <v>13816</v>
      </c>
      <c r="C9621" s="25">
        <v>828410.66</v>
      </c>
      <c r="D9621" s="22" t="s">
        <v>13804</v>
      </c>
      <c r="E9621" s="22" t="s">
        <v>48</v>
      </c>
      <c r="F9621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21" s="22" t="s">
        <v>158</v>
      </c>
      <c r="H9621" s="22" t="s">
        <v>158</v>
      </c>
      <c r="I9621" s="26">
        <v>43677.515277777798</v>
      </c>
      <c r="J9621" s="28" t="s">
        <v>51</v>
      </c>
      <c r="K9621" s="28" t="s">
        <v>51</v>
      </c>
      <c r="L9621" s="28" t="s">
        <v>51</v>
      </c>
      <c r="M9621" s="28" t="s">
        <v>51</v>
      </c>
      <c r="N9621" s="28" t="s">
        <v>51</v>
      </c>
    </row>
    <row r="9622" spans="1:14" hidden="1" outlineLevel="1" x14ac:dyDescent="0.15">
      <c r="A9622" s="23" t="str">
        <f>HYPERLINK("https://www.spark-marketing.ru/Card/Person/1062721", "МБОУ ""НОВОНАДЕЖДИНСКАЯ СШ""")</f>
        <v>МБОУ "НОВОНАДЕЖДИНСКАЯ СШ"</v>
      </c>
      <c r="B9622" s="24" t="s">
        <v>13817</v>
      </c>
      <c r="C9622" s="25">
        <v>484136.1</v>
      </c>
      <c r="D9622" s="22" t="s">
        <v>13804</v>
      </c>
      <c r="E9622" s="22" t="s">
        <v>48</v>
      </c>
      <c r="F9622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22" s="22" t="s">
        <v>158</v>
      </c>
      <c r="H9622" s="22" t="s">
        <v>158</v>
      </c>
      <c r="I9622" s="26">
        <v>43677.515277777798</v>
      </c>
      <c r="J9622" s="28" t="s">
        <v>51</v>
      </c>
      <c r="K9622" s="28" t="s">
        <v>51</v>
      </c>
      <c r="L9622" s="28" t="s">
        <v>51</v>
      </c>
      <c r="M9622" s="28" t="s">
        <v>51</v>
      </c>
      <c r="N9622" s="28" t="s">
        <v>51</v>
      </c>
    </row>
    <row r="9623" spans="1:14" hidden="1" outlineLevel="1" x14ac:dyDescent="0.15">
      <c r="A9623" s="23" t="str">
        <f>HYPERLINK("https://www.spark-marketing.ru/Card/Person/1062893", "МБОУ ""РОССОШИНСКАЯ СШ""")</f>
        <v>МБОУ "РОССОШИНСКАЯ СШ"</v>
      </c>
      <c r="B9623" s="24" t="s">
        <v>13818</v>
      </c>
      <c r="C9623" s="25">
        <v>1032823.68</v>
      </c>
      <c r="D9623" s="22" t="s">
        <v>13804</v>
      </c>
      <c r="E9623" s="22" t="s">
        <v>48</v>
      </c>
      <c r="F9623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23" s="22" t="s">
        <v>158</v>
      </c>
      <c r="H9623" s="22" t="s">
        <v>158</v>
      </c>
      <c r="I9623" s="26">
        <v>43677.515277777798</v>
      </c>
      <c r="J9623" s="28" t="s">
        <v>51</v>
      </c>
      <c r="K9623" s="28" t="s">
        <v>51</v>
      </c>
      <c r="L9623" s="28" t="s">
        <v>51</v>
      </c>
      <c r="M9623" s="28" t="s">
        <v>51</v>
      </c>
      <c r="N9623" s="28" t="s">
        <v>51</v>
      </c>
    </row>
    <row r="9624" spans="1:14" hidden="1" outlineLevel="1" x14ac:dyDescent="0.15">
      <c r="A9624" s="23" t="str">
        <f>HYPERLINK("https://www.spark-marketing.ru/Card/Person/1064576", "МБОУ ""ОРЛОВСКАЯ СШ ИМ. Г.А. РУБАНОВА""")</f>
        <v>МБОУ "ОРЛОВСКАЯ СШ ИМ. Г.А. РУБАНОВА"</v>
      </c>
      <c r="B9624" s="24" t="s">
        <v>13819</v>
      </c>
      <c r="C9624" s="25">
        <v>753100.6</v>
      </c>
      <c r="D9624" s="22" t="s">
        <v>13804</v>
      </c>
      <c r="E9624" s="22" t="s">
        <v>48</v>
      </c>
      <c r="F9624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24" s="22" t="s">
        <v>158</v>
      </c>
      <c r="H9624" s="22" t="s">
        <v>158</v>
      </c>
      <c r="I9624" s="26">
        <v>43677.515277777798</v>
      </c>
      <c r="J9624" s="28" t="s">
        <v>51</v>
      </c>
      <c r="K9624" s="28" t="s">
        <v>51</v>
      </c>
      <c r="L9624" s="28" t="s">
        <v>51</v>
      </c>
      <c r="M9624" s="28" t="s">
        <v>51</v>
      </c>
      <c r="N9624" s="28" t="s">
        <v>51</v>
      </c>
    </row>
    <row r="9625" spans="1:14" hidden="1" outlineLevel="1" x14ac:dyDescent="0.15">
      <c r="A9625" s="23" t="str">
        <f>HYPERLINK("https://www.spark-marketing.ru/Card/Person/1069173", "МБОУ""САМОФАЛОВСКАЯ СШ""")</f>
        <v>МБОУ"САМОФАЛОВСКАЯ СШ"</v>
      </c>
      <c r="B9625" s="24" t="s">
        <v>13820</v>
      </c>
      <c r="C9625" s="25">
        <v>731583.44</v>
      </c>
      <c r="D9625" s="22" t="s">
        <v>13804</v>
      </c>
      <c r="E9625" s="22" t="s">
        <v>48</v>
      </c>
      <c r="F9625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25" s="22" t="s">
        <v>158</v>
      </c>
      <c r="H9625" s="22" t="s">
        <v>158</v>
      </c>
      <c r="I9625" s="26">
        <v>43677.515277777798</v>
      </c>
      <c r="J9625" s="28" t="s">
        <v>51</v>
      </c>
      <c r="K9625" s="28" t="s">
        <v>51</v>
      </c>
      <c r="L9625" s="28" t="s">
        <v>51</v>
      </c>
      <c r="M9625" s="28" t="s">
        <v>51</v>
      </c>
      <c r="N9625" s="28" t="s">
        <v>51</v>
      </c>
    </row>
    <row r="9626" spans="1:14" hidden="1" outlineLevel="1" x14ac:dyDescent="0.15">
      <c r="A9626" s="23" t="str">
        <f>HYPERLINK("https://www.spark-marketing.ru/Card/Person/110872", "МБОУ НОВОРОГАЧИНСКАЯ СШ")</f>
        <v>МБОУ НОВОРОГАЧИНСКАЯ СШ</v>
      </c>
      <c r="B9626" s="24" t="s">
        <v>13821</v>
      </c>
      <c r="C9626" s="25">
        <v>2060268.07</v>
      </c>
      <c r="D9626" s="22" t="s">
        <v>13804</v>
      </c>
      <c r="E9626" s="22" t="s">
        <v>48</v>
      </c>
      <c r="F9626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26" s="22" t="s">
        <v>158</v>
      </c>
      <c r="H9626" s="22" t="s">
        <v>158</v>
      </c>
      <c r="I9626" s="26">
        <v>43677.515277777798</v>
      </c>
      <c r="J9626" s="28" t="s">
        <v>51</v>
      </c>
      <c r="K9626" s="28" t="s">
        <v>51</v>
      </c>
      <c r="L9626" s="28" t="s">
        <v>51</v>
      </c>
      <c r="M9626" s="28" t="s">
        <v>51</v>
      </c>
      <c r="N9626" s="28" t="s">
        <v>51</v>
      </c>
    </row>
    <row r="9627" spans="1:14" hidden="1" outlineLevel="1" x14ac:dyDescent="0.2">
      <c r="A9627" s="28" t="s">
        <v>51</v>
      </c>
      <c r="B9627" s="28" t="s">
        <v>51</v>
      </c>
      <c r="C9627" s="28" t="s">
        <v>51</v>
      </c>
      <c r="D9627" s="22" t="s">
        <v>13804</v>
      </c>
      <c r="E9627" s="22" t="s">
        <v>48</v>
      </c>
      <c r="F9627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27" s="22" t="s">
        <v>51</v>
      </c>
      <c r="H9627" s="22" t="s">
        <v>51</v>
      </c>
      <c r="I9627" s="26">
        <v>43677.515277777798</v>
      </c>
      <c r="J9627" s="23" t="str">
        <f>HYPERLINK("https://www.spark-marketing.ru/Card/Person/89292", "ООО ""СЛАВИА""")</f>
        <v>ООО "СЛАВИА"</v>
      </c>
      <c r="K9627" s="24" t="s">
        <v>13822</v>
      </c>
      <c r="L9627" s="22" t="s">
        <v>10</v>
      </c>
      <c r="M9627" s="25">
        <v>20203782.52</v>
      </c>
      <c r="N9627" s="27">
        <v>0</v>
      </c>
    </row>
    <row r="9628" spans="1:14" hidden="1" outlineLevel="1" x14ac:dyDescent="0.2">
      <c r="A9628" s="28" t="s">
        <v>51</v>
      </c>
      <c r="B9628" s="28" t="s">
        <v>51</v>
      </c>
      <c r="C9628" s="28" t="s">
        <v>51</v>
      </c>
      <c r="D9628" s="22" t="s">
        <v>13804</v>
      </c>
      <c r="E9628" s="22" t="s">
        <v>48</v>
      </c>
      <c r="F9628" s="23" t="str">
        <f t="shared" si="235"/>
        <v>Оказание услуг общественного питания на базе муниципальных общеобразовательных учреждений Городищенского района Волгоградской области на учебный период 2019-2020 год</v>
      </c>
      <c r="G9628" s="22" t="s">
        <v>51</v>
      </c>
      <c r="H9628" s="22" t="s">
        <v>51</v>
      </c>
      <c r="I9628" s="26">
        <v>43677.515277777798</v>
      </c>
      <c r="J9628" s="23" t="str">
        <f>HYPERLINK("https://www.spark-marketing.ru/Card/Person/520670", "ООО ""СОЮЗ К""")</f>
        <v>ООО "СОЮЗ К"</v>
      </c>
      <c r="K9628" s="24" t="s">
        <v>10035</v>
      </c>
      <c r="L9628" s="28" t="s">
        <v>51</v>
      </c>
      <c r="M9628" s="25">
        <v>20203782.52</v>
      </c>
      <c r="N9628" s="27">
        <v>0</v>
      </c>
    </row>
    <row r="9629" spans="1:14" x14ac:dyDescent="0.15">
      <c r="A9629" s="23" t="str">
        <f>HYPERLINK("https://www.spark-marketing.ru/Card/Person/425599", "МО МВД РОССИИ ""ТЮКАЛИНСКИЙ""")</f>
        <v>МО МВД РОССИИ "ТЮКАЛИНСКИЙ"</v>
      </c>
      <c r="B9629" s="24" t="s">
        <v>11494</v>
      </c>
      <c r="C9629" s="25">
        <v>99770.4</v>
      </c>
      <c r="D9629" s="22" t="s">
        <v>13823</v>
      </c>
      <c r="E9629" s="22" t="s">
        <v>48</v>
      </c>
      <c r="F9629" s="23" t="str">
        <f>HYPERLINK("https://www.spark-marketing.ru/Card/Lot/72505614",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9629" s="22" t="s">
        <v>487</v>
      </c>
      <c r="H9629" s="22" t="s">
        <v>11496</v>
      </c>
      <c r="I9629" s="26">
        <v>43677.537662037001</v>
      </c>
      <c r="J9629" s="28" t="s">
        <v>51</v>
      </c>
      <c r="K9629" s="28" t="s">
        <v>51</v>
      </c>
      <c r="L9629" s="28" t="s">
        <v>51</v>
      </c>
      <c r="M9629" s="28" t="s">
        <v>51</v>
      </c>
      <c r="N9629" s="28" t="s">
        <v>51</v>
      </c>
    </row>
    <row r="9630" spans="1:14" x14ac:dyDescent="0.15">
      <c r="A9630" s="23" t="str">
        <f>HYPERLINK("https://www.spark-marketing.ru/Card/Person/253242", "ОМВД РОССИИ ПО БЕЛОМОРСКОМУ РАЙОНУ")</f>
        <v>ОМВД РОССИИ ПО БЕЛОМОРСКОМУ РАЙОНУ</v>
      </c>
      <c r="B9630" s="24" t="s">
        <v>3225</v>
      </c>
      <c r="C9630" s="25">
        <v>862000</v>
      </c>
      <c r="D9630" s="22" t="s">
        <v>13824</v>
      </c>
      <c r="E9630" s="22" t="s">
        <v>48</v>
      </c>
      <c r="F9630" s="23" t="str">
        <f>HYPERLINK("https://www.spark-marketing.ru/Card/Lot/72526590", "питание арестованных")</f>
        <v>питание арестованных</v>
      </c>
      <c r="G9630" s="22" t="s">
        <v>59</v>
      </c>
      <c r="H9630" s="22" t="s">
        <v>3227</v>
      </c>
      <c r="I9630" s="26">
        <v>43677.5172453704</v>
      </c>
      <c r="J9630" s="28" t="s">
        <v>51</v>
      </c>
      <c r="K9630" s="28" t="s">
        <v>51</v>
      </c>
      <c r="L9630" s="28" t="s">
        <v>51</v>
      </c>
      <c r="M9630" s="28" t="s">
        <v>51</v>
      </c>
      <c r="N9630" s="28" t="s">
        <v>51</v>
      </c>
    </row>
    <row r="9631" spans="1:14" x14ac:dyDescent="0.15">
      <c r="A9631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9631" s="24" t="s">
        <v>13798</v>
      </c>
      <c r="C9631" s="25">
        <v>15750</v>
      </c>
      <c r="D9631" s="22" t="s">
        <v>13825</v>
      </c>
      <c r="E9631" s="22" t="s">
        <v>48</v>
      </c>
      <c r="F9631" s="23" t="str">
        <f>HYPERLINK("https://www.spark-marketing.ru/Card/Lot/72504224",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9631" s="22" t="s">
        <v>63</v>
      </c>
      <c r="H9631" s="22" t="s">
        <v>177</v>
      </c>
      <c r="I9631" s="26">
        <v>43677.5131944444</v>
      </c>
      <c r="J9631" s="28" t="s">
        <v>51</v>
      </c>
      <c r="K9631" s="28" t="s">
        <v>51</v>
      </c>
      <c r="L9631" s="28" t="s">
        <v>51</v>
      </c>
      <c r="M9631" s="28" t="s">
        <v>51</v>
      </c>
      <c r="N9631" s="28" t="s">
        <v>51</v>
      </c>
    </row>
    <row r="9632" spans="1:14" x14ac:dyDescent="0.15">
      <c r="A9632" s="23" t="str">
        <f>HYPERLINK("https://www.spark-marketing.ru/Card/Person/967628", "МБОУ ""ЛЕОНТЬЕВСКАЯ СШ""")</f>
        <v>МБОУ "ЛЕОНТЬЕВСКАЯ СШ"</v>
      </c>
      <c r="B9632" s="24" t="s">
        <v>13826</v>
      </c>
      <c r="C9632" s="25">
        <v>96700</v>
      </c>
      <c r="D9632" s="22" t="s">
        <v>13827</v>
      </c>
      <c r="E9632" s="22" t="s">
        <v>51</v>
      </c>
      <c r="F9632" s="23" t="str">
        <f>HYPERLINK("https://www.spark-marketing.ru/Card/Lot/72507175", "Поставка продуктов питания для детей.")</f>
        <v>Поставка продуктов питания для детей.</v>
      </c>
      <c r="G9632" s="22" t="s">
        <v>281</v>
      </c>
      <c r="H9632" s="22" t="s">
        <v>12417</v>
      </c>
      <c r="I9632" s="26">
        <v>43677.478321759299</v>
      </c>
      <c r="J9632" s="28" t="s">
        <v>51</v>
      </c>
      <c r="K9632" s="28" t="s">
        <v>51</v>
      </c>
      <c r="L9632" s="28" t="s">
        <v>51</v>
      </c>
      <c r="M9632" s="28" t="s">
        <v>51</v>
      </c>
      <c r="N9632" s="28" t="s">
        <v>51</v>
      </c>
    </row>
    <row r="9633" spans="1:14" ht="12.75" hidden="1" outlineLevel="1" x14ac:dyDescent="0.2">
      <c r="A9633" s="23" t="str">
        <f>HYPERLINK("https://www.spark-marketing.ru/Card/Person/967628", "МБОУ ""ЛЕОНТЬЕВСКАЯ СШ""")</f>
        <v>МБОУ "ЛЕОНТЬЕВСКАЯ СШ"</v>
      </c>
      <c r="B9633" s="24" t="s">
        <v>13826</v>
      </c>
      <c r="C9633" s="25">
        <v>96700</v>
      </c>
      <c r="D9633" s="22" t="s">
        <v>13827</v>
      </c>
      <c r="E9633" s="22" t="s">
        <v>51</v>
      </c>
      <c r="F9633" s="23" t="str">
        <f>HYPERLINK("https://www.spark-marketing.ru/Card/Lot/72507175", "Поставка продуктов питания для детей.")</f>
        <v>Поставка продуктов питания для детей.</v>
      </c>
      <c r="G9633" s="22" t="s">
        <v>281</v>
      </c>
      <c r="H9633" s="22" t="s">
        <v>12417</v>
      </c>
      <c r="I9633" s="26">
        <v>43677.478321759299</v>
      </c>
      <c r="J9633" s="23" t="str">
        <f>HYPERLINK("https://www.spark-marketing.ru/Card/Person/469828", "ООО ""РАССВЕТ""")</f>
        <v>ООО "РАССВЕТ"</v>
      </c>
      <c r="K9633" s="24" t="s">
        <v>12419</v>
      </c>
      <c r="L9633" s="22" t="s">
        <v>10</v>
      </c>
      <c r="M9633" s="25">
        <v>76001.05</v>
      </c>
      <c r="N9633" s="27">
        <v>0.21405325749741469</v>
      </c>
    </row>
    <row r="9634" spans="1:14" hidden="1" outlineLevel="1" x14ac:dyDescent="0.2">
      <c r="A9634" s="23" t="str">
        <f>HYPERLINK("https://www.spark-marketing.ru/Card/Person/967628", "МБОУ ""ЛЕОНТЬЕВСКАЯ СШ""")</f>
        <v>МБОУ "ЛЕОНТЬЕВСКАЯ СШ"</v>
      </c>
      <c r="B9634" s="24" t="s">
        <v>13826</v>
      </c>
      <c r="C9634" s="25">
        <v>96700</v>
      </c>
      <c r="D9634" s="22" t="s">
        <v>13827</v>
      </c>
      <c r="E9634" s="22" t="s">
        <v>51</v>
      </c>
      <c r="F9634" s="23" t="str">
        <f>HYPERLINK("https://www.spark-marketing.ru/Card/Lot/72507175", "Поставка продуктов питания для детей.")</f>
        <v>Поставка продуктов питания для детей.</v>
      </c>
      <c r="G9634" s="22" t="s">
        <v>281</v>
      </c>
      <c r="H9634" s="22" t="s">
        <v>12417</v>
      </c>
      <c r="I9634" s="26">
        <v>43677.478321759299</v>
      </c>
      <c r="J9634" s="23" t="str">
        <f>HYPERLINK("https://www.spark-marketing.ru/Card/Person/108670", "Майборода Татьяна Викторовна")</f>
        <v>Майборода Татьяна Викторовна</v>
      </c>
      <c r="K9634" s="24" t="s">
        <v>12418</v>
      </c>
      <c r="L9634" s="28" t="s">
        <v>51</v>
      </c>
      <c r="M9634" s="25">
        <v>76001.05</v>
      </c>
      <c r="N9634" s="27">
        <v>0.21405325749741469</v>
      </c>
    </row>
    <row r="9635" spans="1:14" x14ac:dyDescent="0.15">
      <c r="A9635" s="23" t="str">
        <f>HYPERLINK("https://www.spark-marketing.ru/Card/Person/330025", "ФЛ БЕЛОЯРСКАЯ АЭС АО ""КОНЦЕРН РОСЭНЕРГОАТОМ""")</f>
        <v>ФЛ БЕЛОЯРСКАЯ АЭС АО "КОНЦЕРН РОСЭНЕРГОАТОМ"</v>
      </c>
      <c r="B9635" s="24" t="s">
        <v>908</v>
      </c>
      <c r="C9635" s="28" t="s">
        <v>51</v>
      </c>
      <c r="D9635" s="22" t="s">
        <v>13828</v>
      </c>
      <c r="E9635" s="22" t="s">
        <v>8606</v>
      </c>
      <c r="F9635" s="23" t="str">
        <f>HYPERLINK("https://www.spark-marketing.ru/Card/Lot/72515137", "Оказание услуг по организации и обслуживанию питания участников совещаний и праздников для нужд Белоярской атомной станции соответствии с техническим заданием")</f>
        <v>Оказание услуг по организации и обслуживанию питания участников совещаний и праздников для нужд Белоярской атомной станции соответствии с техническим заданием</v>
      </c>
      <c r="G9635" s="22" t="s">
        <v>56</v>
      </c>
      <c r="H9635" s="22" t="s">
        <v>56</v>
      </c>
      <c r="I9635" s="26">
        <v>43677.517407407402</v>
      </c>
      <c r="J9635" s="28" t="s">
        <v>51</v>
      </c>
      <c r="K9635" s="28" t="s">
        <v>51</v>
      </c>
      <c r="L9635" s="28" t="s">
        <v>51</v>
      </c>
      <c r="M9635" s="28" t="s">
        <v>51</v>
      </c>
      <c r="N9635" s="28" t="s">
        <v>51</v>
      </c>
    </row>
    <row r="9636" spans="1:14" x14ac:dyDescent="0.15">
      <c r="A9636" s="23" t="str">
        <f>HYPERLINK("https://www.spark-marketing.ru/Card/Person/75125", "МУ МВД РОССИИ ""РЫБИНСКОЕ""")</f>
        <v>МУ МВД РОССИИ "РЫБИНСКОЕ"</v>
      </c>
      <c r="B9636" s="24" t="s">
        <v>9140</v>
      </c>
      <c r="C9636" s="25">
        <v>1400000</v>
      </c>
      <c r="D9636" s="22" t="s">
        <v>13829</v>
      </c>
      <c r="E9636" s="22" t="s">
        <v>96</v>
      </c>
      <c r="F9636" s="23" t="str">
        <f>HYPERLINK("https://www.spark-marketing.ru/Card/Lot/72528815", "Оказание услуг по обеспечению трехразовым питанием лиц, содержащихся в специальном приемнике, в изоляторе временного содержания и СПЗЛ для МУ МВД России ""Рыбинское""")</f>
        <v>Оказание услуг по обеспечению трехразовым питанием лиц, содержащихся в специальном приемнике, в изоляторе временного содержания и СПЗЛ для МУ МВД России "Рыбинское"</v>
      </c>
      <c r="G9636" s="22" t="s">
        <v>185</v>
      </c>
      <c r="H9636" s="22" t="s">
        <v>185</v>
      </c>
      <c r="I9636" s="26">
        <v>43677.498900462997</v>
      </c>
      <c r="J9636" s="28" t="s">
        <v>51</v>
      </c>
      <c r="K9636" s="28" t="s">
        <v>51</v>
      </c>
      <c r="L9636" s="28" t="s">
        <v>51</v>
      </c>
      <c r="M9636" s="28" t="s">
        <v>51</v>
      </c>
      <c r="N9636" s="28" t="s">
        <v>51</v>
      </c>
    </row>
    <row r="9637" spans="1:14" x14ac:dyDescent="0.15">
      <c r="A9637" s="23" t="str">
        <f>HYPERLINK("https://www.spark-marketing.ru/Card/Person/7619", "БУЗ РА ""ЧЕМАЛЬСКАЯ РБ""")</f>
        <v>БУЗ РА "ЧЕМАЛЬСКАЯ РБ"</v>
      </c>
      <c r="B9637" s="24" t="s">
        <v>13830</v>
      </c>
      <c r="C9637" s="25">
        <v>1918598.5</v>
      </c>
      <c r="D9637" s="22" t="s">
        <v>13831</v>
      </c>
      <c r="E9637" s="22" t="s">
        <v>336</v>
      </c>
      <c r="F9637" s="23" t="str">
        <f>HYPERLINK("https://www.spark-marketing.ru/Card/Lot/72529219", "Оказание услуг по организации лечебного питания для больных, находящихся на стационарном лечении в БУЗ РА ""Чемальская РБ""")</f>
        <v>Оказание услуг по организации лечебного питания для больных, находящихся на стационарном лечении в БУЗ РА "Чемальская РБ"</v>
      </c>
      <c r="G9637" s="22" t="s">
        <v>1141</v>
      </c>
      <c r="H9637" s="22" t="s">
        <v>13832</v>
      </c>
      <c r="I9637" s="26">
        <v>43677.470451388901</v>
      </c>
      <c r="J9637" s="23" t="str">
        <f>HYPERLINK("https://www.spark-marketing.ru/Card/Person/945665", "ООО ""ИЫК-ТУУ""")</f>
        <v>ООО "ИЫК-ТУУ"</v>
      </c>
      <c r="K9637" s="24" t="s">
        <v>4564</v>
      </c>
      <c r="L9637" s="22" t="s">
        <v>10</v>
      </c>
      <c r="M9637" s="28" t="s">
        <v>51</v>
      </c>
      <c r="N9637" s="28" t="s">
        <v>51</v>
      </c>
    </row>
    <row r="9638" spans="1:14" x14ac:dyDescent="0.2">
      <c r="A9638" s="23" t="str">
        <f>HYPERLINK("https://www.spark-marketing.ru/Card/Person/59303", "МБОУ СОШ № 13")</f>
        <v>МБОУ СОШ № 13</v>
      </c>
      <c r="B9638" s="24" t="s">
        <v>13833</v>
      </c>
      <c r="C9638" s="25">
        <v>3828276</v>
      </c>
      <c r="D9638" s="22" t="s">
        <v>13834</v>
      </c>
      <c r="E9638" s="22" t="s">
        <v>48</v>
      </c>
      <c r="F9638" s="23" t="str">
        <f>HYPERLINK("https://www.spark-marketing.ru/Card/Lot/72530911", "Оказание услуг по организации питания учащихся")</f>
        <v>Оказание услуг по организации питания учащихся</v>
      </c>
      <c r="G9638" s="22" t="s">
        <v>415</v>
      </c>
      <c r="H9638" s="22" t="s">
        <v>3840</v>
      </c>
      <c r="I9638" s="26">
        <v>43677.464583333298</v>
      </c>
      <c r="J9638" s="23" t="str">
        <f>HYPERLINK("https://www.spark-marketing.ru/Card/Person/138980", "МУП ""ШКОЛЬНОЕ ПИТАНИЕ Г. ВЕЛИКИЕ ЛУКИ""")</f>
        <v>МУП "ШКОЛЬНОЕ ПИТАНИЕ Г. ВЕЛИКИЕ ЛУКИ"</v>
      </c>
      <c r="K9638" s="24" t="s">
        <v>13835</v>
      </c>
      <c r="L9638" s="28" t="s">
        <v>51</v>
      </c>
      <c r="M9638" s="25">
        <v>3828276</v>
      </c>
      <c r="N9638" s="27">
        <v>0</v>
      </c>
    </row>
    <row r="9639" spans="1:14" x14ac:dyDescent="0.2">
      <c r="A9639" s="23" t="str">
        <f>HYPERLINK("https://www.spark-marketing.ru/Card/Person/1016753", "МБОУ СОШ № 2")</f>
        <v>МБОУ СОШ № 2</v>
      </c>
      <c r="B9639" s="24" t="s">
        <v>13836</v>
      </c>
      <c r="C9639" s="25">
        <v>3450708</v>
      </c>
      <c r="D9639" s="22" t="s">
        <v>13837</v>
      </c>
      <c r="E9639" s="22" t="s">
        <v>48</v>
      </c>
      <c r="F9639" s="23" t="str">
        <f>HYPERLINK("https://www.spark-marketing.ru/Card/Lot/72530998", "Оказание услуг по организации питания учащихся")</f>
        <v>Оказание услуг по организации питания учащихся</v>
      </c>
      <c r="G9639" s="22" t="s">
        <v>415</v>
      </c>
      <c r="H9639" s="22" t="s">
        <v>3840</v>
      </c>
      <c r="I9639" s="26">
        <v>43677.460416666698</v>
      </c>
      <c r="J9639" s="23" t="str">
        <f>HYPERLINK("https://www.spark-marketing.ru/Card/Person/138980", "МУП ""ШКОЛЬНОЕ ПИТАНИЕ Г. ВЕЛИКИЕ ЛУКИ""")</f>
        <v>МУП "ШКОЛЬНОЕ ПИТАНИЕ Г. ВЕЛИКИЕ ЛУКИ"</v>
      </c>
      <c r="K9639" s="24" t="s">
        <v>13835</v>
      </c>
      <c r="L9639" s="28" t="s">
        <v>51</v>
      </c>
      <c r="M9639" s="25">
        <v>3450708</v>
      </c>
      <c r="N9639" s="27">
        <v>0</v>
      </c>
    </row>
    <row r="9640" spans="1:14" x14ac:dyDescent="0.15">
      <c r="A9640" s="23" t="str">
        <f>HYPERLINK("https://www.spark-marketing.ru/Card/Person/76456", "ОМВД РОССИИ ПО ЯМАЛЬСКОМУ РАЙОНУ")</f>
        <v>ОМВД РОССИИ ПО ЯМАЛЬСКОМУ РАЙОНУ</v>
      </c>
      <c r="B9640" s="24" t="s">
        <v>13838</v>
      </c>
      <c r="C9640" s="25">
        <v>600000</v>
      </c>
      <c r="D9640" s="22" t="s">
        <v>13839</v>
      </c>
      <c r="E9640" s="22" t="s">
        <v>96</v>
      </c>
      <c r="F9640" s="23" t="str">
        <f>HYPERLINK("https://www.spark-marketing.ru/Card/Lot/72525184", "Оказание услуг по обеспечению горячим трехразовым питанием лиц, содержащихся в ИВС и специальном помещении ДЧ ОМВД России по Ямальскому району на 2021 год.")</f>
        <v>Оказание услуг по обеспечению горячим трехразовым питанием лиц, содержащихся в ИВС и специальном помещении ДЧ ОМВД России по Ямальскому району на 2021 год.</v>
      </c>
      <c r="G9640" s="22" t="s">
        <v>1056</v>
      </c>
      <c r="H9640" s="22" t="s">
        <v>13840</v>
      </c>
      <c r="I9640" s="26">
        <v>43677.489317129599</v>
      </c>
      <c r="J9640" s="23" t="str">
        <f>HYPERLINK("https://www.spark-marketing.ru/Card/Person/974683", "Журин Александр Михайлович")</f>
        <v>Журин Александр Михайлович</v>
      </c>
      <c r="K9640" s="24" t="s">
        <v>13841</v>
      </c>
      <c r="L9640" s="22" t="s">
        <v>10</v>
      </c>
      <c r="M9640" s="28" t="s">
        <v>51</v>
      </c>
      <c r="N9640" s="28" t="s">
        <v>51</v>
      </c>
    </row>
    <row r="9641" spans="1:14" x14ac:dyDescent="0.15">
      <c r="A9641" s="23" t="s">
        <v>114</v>
      </c>
      <c r="B9641" s="28" t="s">
        <v>51</v>
      </c>
      <c r="C9641" s="25">
        <v>13302645</v>
      </c>
      <c r="D9641" s="22" t="s">
        <v>13842</v>
      </c>
      <c r="E9641" s="22" t="s">
        <v>48</v>
      </c>
      <c r="F9641" s="23" t="str">
        <f t="shared" ref="F9641:F9653" si="236">HYPERLINK("https://www.spark-marketing.ru/Card/Lot/72531690", "Оказание услуг по обеспечению питанием обучающихся")</f>
        <v>Оказание услуг по обеспечению питанием обучающихся</v>
      </c>
      <c r="G9641" s="22" t="s">
        <v>51</v>
      </c>
      <c r="H9641" s="22" t="s">
        <v>51</v>
      </c>
      <c r="I9641" s="26">
        <v>43677.495925925898</v>
      </c>
      <c r="J9641" s="23" t="str">
        <f t="shared" ref="J9641:J9653" si="237">HYPERLINK("https://www.spark-marketing.ru/Card/Person/6685932", "ООО ""СЕВЕР""")</f>
        <v>ООО "СЕВЕР"</v>
      </c>
      <c r="K9641" s="24" t="s">
        <v>13767</v>
      </c>
      <c r="L9641" s="22" t="s">
        <v>10</v>
      </c>
      <c r="M9641" s="28" t="s">
        <v>51</v>
      </c>
      <c r="N9641" s="28" t="s">
        <v>51</v>
      </c>
    </row>
    <row r="9642" spans="1:14" hidden="1" outlineLevel="1" x14ac:dyDescent="0.15">
      <c r="A9642" s="23" t="str">
        <f>HYPERLINK("https://www.spark-marketing.ru/Card/Person/999318", "МБОУ ""ЯСЕНОВСКАЯ СРЕДНЯЯ ОБЩЕОБРАЗОВАТЕЛЬНАЯ ШКОЛА""")</f>
        <v>МБОУ "ЯСЕНОВСКАЯ СРЕДНЯЯ ОБЩЕОБРАЗОВАТЕЛЬНАЯ ШКОЛА"</v>
      </c>
      <c r="B9642" s="24" t="s">
        <v>13843</v>
      </c>
      <c r="C9642" s="25">
        <v>1101035</v>
      </c>
      <c r="D9642" s="22" t="s">
        <v>13842</v>
      </c>
      <c r="E9642" s="22" t="s">
        <v>48</v>
      </c>
      <c r="F9642" s="23" t="str">
        <f t="shared" si="236"/>
        <v>Оказание услуг по обеспечению питанием обучающихся</v>
      </c>
      <c r="G9642" s="22" t="s">
        <v>696</v>
      </c>
      <c r="H9642" s="22" t="s">
        <v>13769</v>
      </c>
      <c r="I9642" s="26">
        <v>43677.495925925898</v>
      </c>
      <c r="J9642" s="23" t="str">
        <f t="shared" si="237"/>
        <v>ООО "СЕВЕР"</v>
      </c>
      <c r="K9642" s="24" t="s">
        <v>13767</v>
      </c>
      <c r="L9642" s="22" t="s">
        <v>10</v>
      </c>
      <c r="M9642" s="28" t="s">
        <v>51</v>
      </c>
      <c r="N9642" s="28" t="s">
        <v>51</v>
      </c>
    </row>
    <row r="9643" spans="1:14" hidden="1" outlineLevel="1" x14ac:dyDescent="0.15">
      <c r="A9643" s="23" t="str">
        <f>HYPERLINK("https://www.spark-marketing.ru/Card/Person/999311", "МБОУ ""НАГОРЬЕВСКАЯ СРЕДНЯЯ ОБЩЕОБРАЗОВАТЕЛЬНАЯ ШКОЛА""")</f>
        <v>МБОУ "НАГОРЬЕВСКАЯ СРЕДНЯЯ ОБЩЕОБРАЗОВАТЕЛЬНАЯ ШКОЛА"</v>
      </c>
      <c r="B9643" s="24" t="s">
        <v>13844</v>
      </c>
      <c r="C9643" s="25">
        <v>1319615</v>
      </c>
      <c r="D9643" s="22" t="s">
        <v>13842</v>
      </c>
      <c r="E9643" s="22" t="s">
        <v>48</v>
      </c>
      <c r="F9643" s="23" t="str">
        <f t="shared" si="236"/>
        <v>Оказание услуг по обеспечению питанием обучающихся</v>
      </c>
      <c r="G9643" s="22" t="s">
        <v>696</v>
      </c>
      <c r="H9643" s="22" t="s">
        <v>13769</v>
      </c>
      <c r="I9643" s="26">
        <v>43677.495925925898</v>
      </c>
      <c r="J9643" s="23" t="str">
        <f t="shared" si="237"/>
        <v>ООО "СЕВЕР"</v>
      </c>
      <c r="K9643" s="24" t="s">
        <v>13767</v>
      </c>
      <c r="L9643" s="22" t="s">
        <v>10</v>
      </c>
      <c r="M9643" s="28" t="s">
        <v>51</v>
      </c>
      <c r="N9643" s="28" t="s">
        <v>51</v>
      </c>
    </row>
    <row r="9644" spans="1:14" hidden="1" outlineLevel="1" x14ac:dyDescent="0.15">
      <c r="A9644" s="23" t="str">
        <f>HYPERLINK("https://www.spark-marketing.ru/Card/Person/996632", "МБОУ ""ХАРЬКОВСКАЯ СРЕДНЯЯ ОБЩЕОБРАЗОВАТЕЛЬНАЯ ШКОЛА""")</f>
        <v>МБОУ "ХАРЬКОВСКАЯ СРЕДНЯЯ ОБЩЕОБРАЗОВАТЕЛЬНАЯ ШКОЛА"</v>
      </c>
      <c r="B9644" s="24" t="s">
        <v>13845</v>
      </c>
      <c r="C9644" s="25">
        <v>938930</v>
      </c>
      <c r="D9644" s="22" t="s">
        <v>13842</v>
      </c>
      <c r="E9644" s="22" t="s">
        <v>48</v>
      </c>
      <c r="F9644" s="23" t="str">
        <f t="shared" si="236"/>
        <v>Оказание услуг по обеспечению питанием обучающихся</v>
      </c>
      <c r="G9644" s="22" t="s">
        <v>696</v>
      </c>
      <c r="H9644" s="22" t="s">
        <v>13769</v>
      </c>
      <c r="I9644" s="26">
        <v>43677.495925925898</v>
      </c>
      <c r="J9644" s="23" t="str">
        <f t="shared" si="237"/>
        <v>ООО "СЕВЕР"</v>
      </c>
      <c r="K9644" s="24" t="s">
        <v>13767</v>
      </c>
      <c r="L9644" s="22" t="s">
        <v>10</v>
      </c>
      <c r="M9644" s="28" t="s">
        <v>51</v>
      </c>
      <c r="N9644" s="28" t="s">
        <v>51</v>
      </c>
    </row>
    <row r="9645" spans="1:14" hidden="1" outlineLevel="1" x14ac:dyDescent="0.15">
      <c r="A9645" s="23" t="str">
        <f>HYPERLINK("https://www.spark-marketing.ru/Card/Person/998372", "МБОУ ""ЛОЗОВСКАЯ ОСНОВНАЯ ОБЩЕОБРАЗОВАТЕЛЬНАЯ ШКОЛА""")</f>
        <v>МБОУ "ЛОЗОВСКАЯ ОСНОВНАЯ ОБЩЕОБРАЗОВАТЕЛЬНАЯ ШКОЛА"</v>
      </c>
      <c r="B9645" s="24" t="s">
        <v>13846</v>
      </c>
      <c r="C9645" s="25">
        <v>430950</v>
      </c>
      <c r="D9645" s="22" t="s">
        <v>13842</v>
      </c>
      <c r="E9645" s="22" t="s">
        <v>48</v>
      </c>
      <c r="F9645" s="23" t="str">
        <f t="shared" si="236"/>
        <v>Оказание услуг по обеспечению питанием обучающихся</v>
      </c>
      <c r="G9645" s="22" t="s">
        <v>51</v>
      </c>
      <c r="H9645" s="22" t="s">
        <v>51</v>
      </c>
      <c r="I9645" s="26">
        <v>43677.495925925898</v>
      </c>
      <c r="J9645" s="23" t="str">
        <f t="shared" si="237"/>
        <v>ООО "СЕВЕР"</v>
      </c>
      <c r="K9645" s="24" t="s">
        <v>13767</v>
      </c>
      <c r="L9645" s="22" t="s">
        <v>10</v>
      </c>
      <c r="M9645" s="28" t="s">
        <v>51</v>
      </c>
      <c r="N9645" s="28" t="s">
        <v>51</v>
      </c>
    </row>
    <row r="9646" spans="1:14" hidden="1" outlineLevel="1" x14ac:dyDescent="0.15">
      <c r="A9646" s="23" t="str">
        <f>HYPERLINK("https://www.spark-marketing.ru/Card/Person/999875", "МБОУ ""ВЕРХНЕСЕРЕБРЯНСКАЯ СРЕДНЯЯ ОБЩЕОБРАЗОВАТЕЛЬНАЯ ШКОЛА""")</f>
        <v>МБОУ "ВЕРХНЕСЕРЕБРЯНСКАЯ СРЕДНЯЯ ОБЩЕОБРАЗОВАТЕЛЬНАЯ ШКОЛА"</v>
      </c>
      <c r="B9646" s="24" t="s">
        <v>13847</v>
      </c>
      <c r="C9646" s="25">
        <v>667550</v>
      </c>
      <c r="D9646" s="22" t="s">
        <v>13842</v>
      </c>
      <c r="E9646" s="22" t="s">
        <v>48</v>
      </c>
      <c r="F9646" s="23" t="str">
        <f t="shared" si="236"/>
        <v>Оказание услуг по обеспечению питанием обучающихся</v>
      </c>
      <c r="G9646" s="22" t="s">
        <v>696</v>
      </c>
      <c r="H9646" s="22" t="s">
        <v>13769</v>
      </c>
      <c r="I9646" s="26">
        <v>43677.495925925898</v>
      </c>
      <c r="J9646" s="23" t="str">
        <f t="shared" si="237"/>
        <v>ООО "СЕВЕР"</v>
      </c>
      <c r="K9646" s="24" t="s">
        <v>13767</v>
      </c>
      <c r="L9646" s="22" t="s">
        <v>10</v>
      </c>
      <c r="M9646" s="28" t="s">
        <v>51</v>
      </c>
      <c r="N9646" s="28" t="s">
        <v>51</v>
      </c>
    </row>
    <row r="9647" spans="1:14" hidden="1" outlineLevel="1" x14ac:dyDescent="0.15">
      <c r="A9647" s="23" t="str">
        <f>HYPERLINK("https://www.spark-marketing.ru/Card/Person/1001186", "МБОУ ""НОВОАЛЕКСАНДРОВСКАЯ СРЕДНЯЯ ОБЩЕОБРАЗОВАТЕЛЬНАЯ ШКОЛА""")</f>
        <v>МБОУ "НОВОАЛЕКСАНДРОВСКАЯ СРЕДНЯЯ ОБЩЕОБРАЗОВАТЕЛЬНАЯ ШКОЛА"</v>
      </c>
      <c r="B9647" s="24" t="s">
        <v>13848</v>
      </c>
      <c r="C9647" s="25">
        <v>1452555</v>
      </c>
      <c r="D9647" s="22" t="s">
        <v>13842</v>
      </c>
      <c r="E9647" s="22" t="s">
        <v>48</v>
      </c>
      <c r="F9647" s="23" t="str">
        <f t="shared" si="236"/>
        <v>Оказание услуг по обеспечению питанием обучающихся</v>
      </c>
      <c r="G9647" s="22" t="s">
        <v>696</v>
      </c>
      <c r="H9647" s="22" t="s">
        <v>13769</v>
      </c>
      <c r="I9647" s="26">
        <v>43677.495925925898</v>
      </c>
      <c r="J9647" s="23" t="str">
        <f t="shared" si="237"/>
        <v>ООО "СЕВЕР"</v>
      </c>
      <c r="K9647" s="24" t="s">
        <v>13767</v>
      </c>
      <c r="L9647" s="22" t="s">
        <v>10</v>
      </c>
      <c r="M9647" s="28" t="s">
        <v>51</v>
      </c>
      <c r="N9647" s="28" t="s">
        <v>51</v>
      </c>
    </row>
    <row r="9648" spans="1:14" hidden="1" outlineLevel="1" x14ac:dyDescent="0.15">
      <c r="A9648" s="23" t="str">
        <f>HYPERLINK("https://www.spark-marketing.ru/Card/Person/1005285", "МБОУ ""ЛОЗНЯНСКАЯ СРЕДНЯЯ ОБЩЕОБРАЗОВАТЕЛЬНАЯ ШКОЛА""")</f>
        <v>МБОУ "ЛОЗНЯНСКАЯ СРЕДНЯЯ ОБЩЕОБРАЗОВАТЕЛЬНАЯ ШКОЛА"</v>
      </c>
      <c r="B9648" s="24" t="s">
        <v>13849</v>
      </c>
      <c r="C9648" s="25">
        <v>1419690</v>
      </c>
      <c r="D9648" s="22" t="s">
        <v>13842</v>
      </c>
      <c r="E9648" s="22" t="s">
        <v>48</v>
      </c>
      <c r="F9648" s="23" t="str">
        <f t="shared" si="236"/>
        <v>Оказание услуг по обеспечению питанием обучающихся</v>
      </c>
      <c r="G9648" s="22" t="s">
        <v>696</v>
      </c>
      <c r="H9648" s="22" t="s">
        <v>13769</v>
      </c>
      <c r="I9648" s="26">
        <v>43677.495925925898</v>
      </c>
      <c r="J9648" s="23" t="str">
        <f t="shared" si="237"/>
        <v>ООО "СЕВЕР"</v>
      </c>
      <c r="K9648" s="24" t="s">
        <v>13767</v>
      </c>
      <c r="L9648" s="22" t="s">
        <v>10</v>
      </c>
      <c r="M9648" s="28" t="s">
        <v>51</v>
      </c>
      <c r="N9648" s="28" t="s">
        <v>51</v>
      </c>
    </row>
    <row r="9649" spans="1:14" hidden="1" outlineLevel="1" x14ac:dyDescent="0.15">
      <c r="A9649" s="23" t="str">
        <f>HYPERLINK("https://www.spark-marketing.ru/Card/Person/1028695", "МБОУ ""ЖАБСКАЯ ОСНОВНАЯ ОБЩЕОБРАЗОВАТЕЛЬНАЯ ШКОЛА""")</f>
        <v>МБОУ "ЖАБСКАЯ ОСНОВНАЯ ОБЩЕОБРАЗОВАТЕЛЬНАЯ ШКОЛА"</v>
      </c>
      <c r="B9649" s="24" t="s">
        <v>13850</v>
      </c>
      <c r="C9649" s="25">
        <v>513405</v>
      </c>
      <c r="D9649" s="22" t="s">
        <v>13842</v>
      </c>
      <c r="E9649" s="22" t="s">
        <v>48</v>
      </c>
      <c r="F9649" s="23" t="str">
        <f t="shared" si="236"/>
        <v>Оказание услуг по обеспечению питанием обучающихся</v>
      </c>
      <c r="G9649" s="22" t="s">
        <v>696</v>
      </c>
      <c r="H9649" s="22" t="s">
        <v>13769</v>
      </c>
      <c r="I9649" s="26">
        <v>43677.495925925898</v>
      </c>
      <c r="J9649" s="23" t="str">
        <f t="shared" si="237"/>
        <v>ООО "СЕВЕР"</v>
      </c>
      <c r="K9649" s="24" t="s">
        <v>13767</v>
      </c>
      <c r="L9649" s="22" t="s">
        <v>10</v>
      </c>
      <c r="M9649" s="28" t="s">
        <v>51</v>
      </c>
      <c r="N9649" s="28" t="s">
        <v>51</v>
      </c>
    </row>
    <row r="9650" spans="1:14" hidden="1" outlineLevel="1" x14ac:dyDescent="0.15">
      <c r="A9650" s="23" t="str">
        <f>HYPERLINK("https://www.spark-marketing.ru/Card/Person/4371513", "МБОУ ""ПРИСТЕНЬСКАЯ ОСНОВНАЯ ОБЩЕОБРАЗОВАТЕЛЬНАЯ ШКОЛА""")</f>
        <v>МБОУ "ПРИСТЕНЬСКАЯ ОСНОВНАЯ ОБЩЕОБРАЗОВАТЕЛЬНАЯ ШКОЛА"</v>
      </c>
      <c r="B9650" s="24" t="s">
        <v>13851</v>
      </c>
      <c r="C9650" s="25">
        <v>495170</v>
      </c>
      <c r="D9650" s="22" t="s">
        <v>13842</v>
      </c>
      <c r="E9650" s="22" t="s">
        <v>48</v>
      </c>
      <c r="F9650" s="23" t="str">
        <f t="shared" si="236"/>
        <v>Оказание услуг по обеспечению питанием обучающихся</v>
      </c>
      <c r="G9650" s="22" t="s">
        <v>696</v>
      </c>
      <c r="H9650" s="22" t="s">
        <v>13769</v>
      </c>
      <c r="I9650" s="26">
        <v>43677.495925925898</v>
      </c>
      <c r="J9650" s="23" t="str">
        <f t="shared" si="237"/>
        <v>ООО "СЕВЕР"</v>
      </c>
      <c r="K9650" s="24" t="s">
        <v>13767</v>
      </c>
      <c r="L9650" s="22" t="s">
        <v>10</v>
      </c>
      <c r="M9650" s="28" t="s">
        <v>51</v>
      </c>
      <c r="N9650" s="28" t="s">
        <v>51</v>
      </c>
    </row>
    <row r="9651" spans="1:14" hidden="1" outlineLevel="1" x14ac:dyDescent="0.15">
      <c r="A9651" s="23" t="str">
        <f>HYPERLINK("https://www.spark-marketing.ru/Card/Person/4371521", "МБОУ ""РОВЕНЬСКАЯ ОСНОВНАЯ ОБЩЕОБРАЗОВАТЕЛЬНАЯ ШКОЛА""")</f>
        <v>МБОУ "РОВЕНЬСКАЯ ОСНОВНАЯ ОБЩЕОБРАЗОВАТЕЛЬНАЯ ШКОЛА"</v>
      </c>
      <c r="B9651" s="24" t="s">
        <v>13852</v>
      </c>
      <c r="C9651" s="25">
        <v>943865</v>
      </c>
      <c r="D9651" s="22" t="s">
        <v>13842</v>
      </c>
      <c r="E9651" s="22" t="s">
        <v>48</v>
      </c>
      <c r="F9651" s="23" t="str">
        <f t="shared" si="236"/>
        <v>Оказание услуг по обеспечению питанием обучающихся</v>
      </c>
      <c r="G9651" s="22" t="s">
        <v>696</v>
      </c>
      <c r="H9651" s="22" t="s">
        <v>13769</v>
      </c>
      <c r="I9651" s="26">
        <v>43677.495925925898</v>
      </c>
      <c r="J9651" s="23" t="str">
        <f t="shared" si="237"/>
        <v>ООО "СЕВЕР"</v>
      </c>
      <c r="K9651" s="24" t="s">
        <v>13767</v>
      </c>
      <c r="L9651" s="22" t="s">
        <v>10</v>
      </c>
      <c r="M9651" s="28" t="s">
        <v>51</v>
      </c>
      <c r="N9651" s="28" t="s">
        <v>51</v>
      </c>
    </row>
    <row r="9652" spans="1:14" hidden="1" outlineLevel="1" x14ac:dyDescent="0.15">
      <c r="A9652" s="23" t="str">
        <f>HYPERLINK("https://www.spark-marketing.ru/Card/Person/4371604", "МБОУ ""РОВЕНЬСКАЯ СРЕДНЯЯ ОБЩЕОБРАЗОВАТЕЛЬНАЯ ШКОЛА № 2""")</f>
        <v>МБОУ "РОВЕНЬСКАЯ СРЕДНЯЯ ОБЩЕОБРАЗОВАТЕЛЬНАЯ ШКОЛА № 2"</v>
      </c>
      <c r="B9652" s="24" t="s">
        <v>13853</v>
      </c>
      <c r="C9652" s="25">
        <v>3611730</v>
      </c>
      <c r="D9652" s="22" t="s">
        <v>13842</v>
      </c>
      <c r="E9652" s="22" t="s">
        <v>48</v>
      </c>
      <c r="F9652" s="23" t="str">
        <f t="shared" si="236"/>
        <v>Оказание услуг по обеспечению питанием обучающихся</v>
      </c>
      <c r="G9652" s="22" t="s">
        <v>696</v>
      </c>
      <c r="H9652" s="22" t="s">
        <v>13769</v>
      </c>
      <c r="I9652" s="26">
        <v>43677.495925925898</v>
      </c>
      <c r="J9652" s="23" t="str">
        <f t="shared" si="237"/>
        <v>ООО "СЕВЕР"</v>
      </c>
      <c r="K9652" s="24" t="s">
        <v>13767</v>
      </c>
      <c r="L9652" s="22" t="s">
        <v>10</v>
      </c>
      <c r="M9652" s="28" t="s">
        <v>51</v>
      </c>
      <c r="N9652" s="28" t="s">
        <v>51</v>
      </c>
    </row>
    <row r="9653" spans="1:14" hidden="1" outlineLevel="1" x14ac:dyDescent="0.15">
      <c r="A9653" s="23" t="str">
        <f>HYPERLINK("https://www.spark-marketing.ru/Card/Person/4371997", "МБОУ ""НИЖНЕСЕРЕБРЯНСКАЯ ОСНОВНАЯ ОБЩЕОБРАЗОВАТЕЛЬНАЯ ШКОЛА""")</f>
        <v>МБОУ "НИЖНЕСЕРЕБРЯНСКАЯ ОСНОВНАЯ ОБЩЕОБРАЗОВАТЕЛЬНАЯ ШКОЛА"</v>
      </c>
      <c r="B9653" s="24" t="s">
        <v>13854</v>
      </c>
      <c r="C9653" s="25">
        <v>408150</v>
      </c>
      <c r="D9653" s="22" t="s">
        <v>13842</v>
      </c>
      <c r="E9653" s="22" t="s">
        <v>48</v>
      </c>
      <c r="F9653" s="23" t="str">
        <f t="shared" si="236"/>
        <v>Оказание услуг по обеспечению питанием обучающихся</v>
      </c>
      <c r="G9653" s="22" t="s">
        <v>696</v>
      </c>
      <c r="H9653" s="22" t="s">
        <v>13769</v>
      </c>
      <c r="I9653" s="26">
        <v>43677.495925925898</v>
      </c>
      <c r="J9653" s="23" t="str">
        <f t="shared" si="237"/>
        <v>ООО "СЕВЕР"</v>
      </c>
      <c r="K9653" s="24" t="s">
        <v>13767</v>
      </c>
      <c r="L9653" s="22" t="s">
        <v>10</v>
      </c>
      <c r="M9653" s="28" t="s">
        <v>51</v>
      </c>
      <c r="N9653" s="28" t="s">
        <v>51</v>
      </c>
    </row>
    <row r="9654" spans="1:14" x14ac:dyDescent="0.15">
      <c r="A9654" s="23" t="str">
        <f>HYPERLINK("https://www.spark-marketing.ru/Card/Person/3763", "УПРАВА РАЙОНА СТРОГИНО ГОРОДА МОСКВЫ")</f>
        <v>УПРАВА РАЙОНА СТРОГИНО ГОРОДА МОСКВЫ</v>
      </c>
      <c r="B9654" s="24" t="s">
        <v>13855</v>
      </c>
      <c r="C9654" s="25">
        <v>439500</v>
      </c>
      <c r="D9654" s="22" t="s">
        <v>13856</v>
      </c>
      <c r="E9654" s="22" t="s">
        <v>96</v>
      </c>
      <c r="F9654" s="23" t="str">
        <f>HYPERLINK("https://www.spark-marketing.ru/Card/Lot/72523948", "Оказание услуг по организации питания членов избирательных комиссий района Строгино в рамках материально-технического обеспечения выборов")</f>
        <v>Оказание услуг по организации питания членов избирательных комиссий района Строгино в рамках материально-технического обеспечения выборов</v>
      </c>
      <c r="G9654" s="22" t="s">
        <v>56</v>
      </c>
      <c r="H9654" s="22" t="s">
        <v>56</v>
      </c>
      <c r="I9654" s="26">
        <v>43677.462326388901</v>
      </c>
      <c r="J9654" s="23" t="str">
        <f>HYPERLINK("https://www.spark-marketing.ru/Card/Person/162438", "ООО ""ТЕХНО-КЛАССИК+""")</f>
        <v>ООО "ТЕХНО-КЛАССИК+"</v>
      </c>
      <c r="K9654" s="24" t="s">
        <v>13857</v>
      </c>
      <c r="L9654" s="28" t="s">
        <v>51</v>
      </c>
      <c r="M9654" s="28" t="s">
        <v>51</v>
      </c>
      <c r="N9654" s="28" t="s">
        <v>51</v>
      </c>
    </row>
    <row r="9655" spans="1:14" ht="12.75" hidden="1" outlineLevel="1" x14ac:dyDescent="0.2">
      <c r="A9655" s="23" t="str">
        <f>HYPERLINK("https://www.spark-marketing.ru/Card/Person/3763", "УПРАВА РАЙОНА СТРОГИНО ГОРОДА МОСКВЫ")</f>
        <v>УПРАВА РАЙОНА СТРОГИНО ГОРОДА МОСКВЫ</v>
      </c>
      <c r="B9655" s="24" t="s">
        <v>13855</v>
      </c>
      <c r="C9655" s="25">
        <v>439500</v>
      </c>
      <c r="D9655" s="22" t="s">
        <v>13856</v>
      </c>
      <c r="E9655" s="22" t="s">
        <v>96</v>
      </c>
      <c r="F9655" s="23" t="str">
        <f>HYPERLINK("https://www.spark-marketing.ru/Card/Lot/72523948", "Оказание услуг по организации питания членов избирательных комиссий района Строгино в рамках материально-технического обеспечения выборов")</f>
        <v>Оказание услуг по организации питания членов избирательных комиссий района Строгино в рамках материально-технического обеспечения выборов</v>
      </c>
      <c r="G9655" s="22" t="s">
        <v>56</v>
      </c>
      <c r="H9655" s="22" t="s">
        <v>56</v>
      </c>
      <c r="I9655" s="26">
        <v>43677.462326388901</v>
      </c>
      <c r="J9655" s="23" t="str">
        <f>HYPERLINK("https://www.spark-marketing.ru/Card/Person/162438", "ООО ""ТЕХНО-КЛАССИК+""")</f>
        <v>ООО "ТЕХНО-КЛАССИК+"</v>
      </c>
      <c r="K9655" s="24" t="s">
        <v>13857</v>
      </c>
      <c r="L9655" s="22" t="s">
        <v>10</v>
      </c>
      <c r="M9655" s="25">
        <v>437302.5</v>
      </c>
      <c r="N9655" s="27">
        <v>5.0000000000000001E-3</v>
      </c>
    </row>
    <row r="9656" spans="1:14" x14ac:dyDescent="0.2">
      <c r="A9656" s="23" t="str">
        <f>HYPERLINK("https://www.spark-marketing.ru/Card/Person/1041073", "МБОУ СОШ №17")</f>
        <v>МБОУ СОШ №17</v>
      </c>
      <c r="B9656" s="24" t="s">
        <v>13858</v>
      </c>
      <c r="C9656" s="25">
        <v>2263992</v>
      </c>
      <c r="D9656" s="22" t="s">
        <v>13859</v>
      </c>
      <c r="E9656" s="22" t="s">
        <v>48</v>
      </c>
      <c r="F9656" s="23" t="str">
        <f>HYPERLINK("https://www.spark-marketing.ru/Card/Lot/72529792", "Оказание услуг по организации питания учащихся")</f>
        <v>Оказание услуг по организации питания учащихся</v>
      </c>
      <c r="G9656" s="22" t="s">
        <v>415</v>
      </c>
      <c r="H9656" s="22" t="s">
        <v>3840</v>
      </c>
      <c r="I9656" s="26">
        <v>43677.456250000003</v>
      </c>
      <c r="J9656" s="23" t="str">
        <f>HYPERLINK("https://www.spark-marketing.ru/Card/Person/138980", "МУП ""ШКОЛЬНОЕ ПИТАНИЕ Г. ВЕЛИКИЕ ЛУКИ""")</f>
        <v>МУП "ШКОЛЬНОЕ ПИТАНИЕ Г. ВЕЛИКИЕ ЛУКИ"</v>
      </c>
      <c r="K9656" s="24" t="s">
        <v>13835</v>
      </c>
      <c r="L9656" s="28" t="s">
        <v>51</v>
      </c>
      <c r="M9656" s="25">
        <v>2263992</v>
      </c>
      <c r="N9656" s="27">
        <v>0</v>
      </c>
    </row>
    <row r="9657" spans="1:14" x14ac:dyDescent="0.15">
      <c r="A9657" s="23" t="str">
        <f>HYPERLINK("https://www.spark-marketing.ru/Card/Person/4343767", "БУЗ УР ""ЗАВЬЯЛОВСКАЯ РБ МЗ УР""")</f>
        <v>БУЗ УР "ЗАВЬЯЛОВСКАЯ РБ МЗ УР"</v>
      </c>
      <c r="B9657" s="24" t="s">
        <v>13860</v>
      </c>
      <c r="C9657" s="25">
        <v>3999000</v>
      </c>
      <c r="D9657" s="22" t="s">
        <v>13861</v>
      </c>
      <c r="E9657" s="22" t="s">
        <v>51</v>
      </c>
      <c r="F9657" s="23" t="str">
        <f>HYPERLINK("https://www.spark-marketing.ru/Card/Lot/72530777", "№ зз-25481-19 Услуги по организации лечебного питания пациентов")</f>
        <v>№ зз-25481-19 Услуги по организации лечебного питания пациентов</v>
      </c>
      <c r="G9657" s="22" t="s">
        <v>852</v>
      </c>
      <c r="H9657" s="22" t="s">
        <v>13862</v>
      </c>
      <c r="I9657" s="26">
        <v>43677.439780092602</v>
      </c>
      <c r="J9657" s="23" t="str">
        <f>HYPERLINK("https://www.spark-marketing.ru/Card/Person/87602", "Фефилов Андрей Геннадьевич")</f>
        <v>Фефилов Андрей Геннадьевич</v>
      </c>
      <c r="K9657" s="24" t="s">
        <v>7328</v>
      </c>
      <c r="L9657" s="22" t="s">
        <v>10</v>
      </c>
      <c r="M9657" s="28" t="s">
        <v>51</v>
      </c>
      <c r="N9657" s="28" t="s">
        <v>51</v>
      </c>
    </row>
    <row r="9658" spans="1:14" x14ac:dyDescent="0.15">
      <c r="A9658" s="23" t="str">
        <f>HYPERLINK("https://www.spark-marketing.ru/Card/Person/817722", "МБОУ ""СОШ № 9""")</f>
        <v>МБОУ "СОШ № 9"</v>
      </c>
      <c r="B9658" s="24" t="s">
        <v>13863</v>
      </c>
      <c r="C9658" s="25">
        <v>679895.68</v>
      </c>
      <c r="D9658" s="22" t="s">
        <v>13864</v>
      </c>
      <c r="E9658" s="22" t="s">
        <v>48</v>
      </c>
      <c r="F9658" s="23" t="str">
        <f>HYPERLINK("https://www.spark-marketing.ru/Card/Lot/72525906", "№ зз-25583-19 Услуги по обеспечению питанием учащихся")</f>
        <v>№ зз-25583-19 Услуги по обеспечению питанием учащихся</v>
      </c>
      <c r="G9658" s="22" t="s">
        <v>852</v>
      </c>
      <c r="H9658" s="22" t="s">
        <v>6348</v>
      </c>
      <c r="I9658" s="26">
        <v>43677.456932870402</v>
      </c>
      <c r="J9658" s="23" t="str">
        <f>HYPERLINK("https://www.spark-marketing.ru/Card/Person/4409135", "МУП ""ШКОЛЬНОЕ ПИТАНИЕ""")</f>
        <v>МУП "ШКОЛЬНОЕ ПИТАНИЕ"</v>
      </c>
      <c r="K9658" s="24" t="s">
        <v>6349</v>
      </c>
      <c r="L9658" s="22" t="s">
        <v>10</v>
      </c>
      <c r="M9658" s="28" t="s">
        <v>51</v>
      </c>
      <c r="N9658" s="28" t="s">
        <v>51</v>
      </c>
    </row>
    <row r="9659" spans="1:14" x14ac:dyDescent="0.15">
      <c r="A9659" s="23" t="str">
        <f>HYPERLINK("https://www.spark-marketing.ru/Card/Person/17540", "УМВД РОССИИ ПО ПЕТРОГРАДСКОМУ РАЙОНУ Г. СПБ")</f>
        <v>УМВД РОССИИ ПО ПЕТРОГРАДСКОМУ РАЙОНУ Г. СПБ</v>
      </c>
      <c r="B9659" s="24" t="s">
        <v>7904</v>
      </c>
      <c r="C9659" s="25">
        <v>130000</v>
      </c>
      <c r="D9659" s="22" t="s">
        <v>13865</v>
      </c>
      <c r="E9659" s="22" t="s">
        <v>48</v>
      </c>
      <c r="F9659" s="23" t="str">
        <f>HYPERLINK("https://www.spark-marketing.ru/Card/Lot/72501221",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9659" s="22" t="s">
        <v>117</v>
      </c>
      <c r="H9659" s="22" t="s">
        <v>117</v>
      </c>
      <c r="I9659" s="26">
        <v>43677.428865740701</v>
      </c>
      <c r="J9659" s="28" t="s">
        <v>51</v>
      </c>
      <c r="K9659" s="28" t="s">
        <v>51</v>
      </c>
      <c r="L9659" s="28" t="s">
        <v>51</v>
      </c>
      <c r="M9659" s="28" t="s">
        <v>51</v>
      </c>
      <c r="N9659" s="28" t="s">
        <v>51</v>
      </c>
    </row>
    <row r="9660" spans="1:14" x14ac:dyDescent="0.2">
      <c r="A9660" s="23" t="str">
        <f>HYPERLINK("https://www.spark-marketing.ru/Card/Person/73265", "МБОУ СОШ №6")</f>
        <v>МБОУ СОШ №6</v>
      </c>
      <c r="B9660" s="24" t="s">
        <v>13866</v>
      </c>
      <c r="C9660" s="25">
        <v>4274640</v>
      </c>
      <c r="D9660" s="22" t="s">
        <v>13867</v>
      </c>
      <c r="E9660" s="22" t="s">
        <v>48</v>
      </c>
      <c r="F9660" s="23" t="str">
        <f>HYPERLINK("https://www.spark-marketing.ru/Card/Lot/72530962", "Оказание услуг по организации питания учащихся")</f>
        <v>Оказание услуг по организации питания учащихся</v>
      </c>
      <c r="G9660" s="22" t="s">
        <v>415</v>
      </c>
      <c r="H9660" s="22" t="s">
        <v>3840</v>
      </c>
      <c r="I9660" s="26">
        <v>43677.417361111096</v>
      </c>
      <c r="J9660" s="23" t="str">
        <f>HYPERLINK("https://www.spark-marketing.ru/Card/Person/138980", "МУП ""ШКОЛЬНОЕ ПИТАНИЕ Г. ВЕЛИКИЕ ЛУКИ""")</f>
        <v>МУП "ШКОЛЬНОЕ ПИТАНИЕ Г. ВЕЛИКИЕ ЛУКИ"</v>
      </c>
      <c r="K9660" s="24" t="s">
        <v>13835</v>
      </c>
      <c r="L9660" s="28" t="s">
        <v>51</v>
      </c>
      <c r="M9660" s="25">
        <v>4274640</v>
      </c>
      <c r="N9660" s="27">
        <v>0</v>
      </c>
    </row>
    <row r="9661" spans="1:14" x14ac:dyDescent="0.15">
      <c r="A9661" s="23" t="str">
        <f>HYPERLINK("https://www.spark-marketing.ru/Card/Person/6225059", "УПРАВЛЕНИЕ СОЦИАЛЬНЫХ КОММУНИКАЦИЙ")</f>
        <v>УПРАВЛЕНИЕ СОЦИАЛЬНЫХ КОММУНИКАЦИЙ</v>
      </c>
      <c r="B9661" s="24" t="s">
        <v>13868</v>
      </c>
      <c r="C9661" s="25">
        <v>482040</v>
      </c>
      <c r="D9661" s="22" t="s">
        <v>13869</v>
      </c>
      <c r="E9661" s="22" t="s">
        <v>11142</v>
      </c>
      <c r="F9661" s="23" t="str">
        <f>HYPERLINK("https://www.spark-marketing.ru/Card/Lot/72524347", "Оказание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 году")</f>
        <v>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 году</v>
      </c>
      <c r="G9661" s="22" t="s">
        <v>49</v>
      </c>
      <c r="H9661" s="22" t="s">
        <v>631</v>
      </c>
      <c r="I9661" s="26">
        <v>43677.427418981497</v>
      </c>
      <c r="J9661" s="28" t="s">
        <v>51</v>
      </c>
      <c r="K9661" s="28" t="s">
        <v>51</v>
      </c>
      <c r="L9661" s="28" t="s">
        <v>51</v>
      </c>
      <c r="M9661" s="28" t="s">
        <v>51</v>
      </c>
      <c r="N9661" s="28" t="s">
        <v>51</v>
      </c>
    </row>
    <row r="9662" spans="1:14" x14ac:dyDescent="0.2">
      <c r="A9662" s="23" t="str">
        <f>HYPERLINK("https://www.spark-marketing.ru/Card/Person/139022", "МБОУ СОШ №5""")</f>
        <v>МБОУ СОШ №5"</v>
      </c>
      <c r="B9662" s="24" t="s">
        <v>13870</v>
      </c>
      <c r="C9662" s="25">
        <v>2798952</v>
      </c>
      <c r="D9662" s="22" t="s">
        <v>13871</v>
      </c>
      <c r="E9662" s="22" t="s">
        <v>48</v>
      </c>
      <c r="F9662" s="23" t="str">
        <f>HYPERLINK("https://www.spark-marketing.ru/Card/Lot/72530551", "Оказание услуг по организации питания учащихся")</f>
        <v>Оказание услуг по организации питания учащихся</v>
      </c>
      <c r="G9662" s="22" t="s">
        <v>415</v>
      </c>
      <c r="H9662" s="22" t="s">
        <v>3840</v>
      </c>
      <c r="I9662" s="26">
        <v>43677.452777777798</v>
      </c>
      <c r="J9662" s="23" t="str">
        <f>HYPERLINK("https://www.spark-marketing.ru/Card/Person/138980", "МУП ""ШКОЛЬНОЕ ПИТАНИЕ Г. ВЕЛИКИЕ ЛУКИ""")</f>
        <v>МУП "ШКОЛЬНОЕ ПИТАНИЕ Г. ВЕЛИКИЕ ЛУКИ"</v>
      </c>
      <c r="K9662" s="24" t="s">
        <v>13835</v>
      </c>
      <c r="L9662" s="28" t="s">
        <v>51</v>
      </c>
      <c r="M9662" s="25">
        <v>2798952</v>
      </c>
      <c r="N9662" s="27">
        <v>0</v>
      </c>
    </row>
    <row r="9663" spans="1:14" x14ac:dyDescent="0.15">
      <c r="A9663" s="23" t="str">
        <f>HYPERLINK("https://www.spark-marketing.ru/Card/Person/6225059", "УПРАВЛЕНИЕ СОЦИАЛЬНЫХ КОММУНИКАЦИЙ")</f>
        <v>УПРАВЛЕНИЕ СОЦИАЛЬНЫХ КОММУНИКАЦИЙ</v>
      </c>
      <c r="B9663" s="24" t="s">
        <v>13868</v>
      </c>
      <c r="C9663" s="25">
        <v>852840</v>
      </c>
      <c r="D9663" s="22" t="s">
        <v>13872</v>
      </c>
      <c r="E9663" s="22" t="s">
        <v>11142</v>
      </c>
      <c r="F9663" s="23" t="str">
        <f>HYPERLINK("https://www.spark-marketing.ru/Card/Lot/72526445", "Оказание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2019")</f>
        <v>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</v>
      </c>
      <c r="G9663" s="22" t="s">
        <v>49</v>
      </c>
      <c r="H9663" s="22" t="s">
        <v>631</v>
      </c>
      <c r="I9663" s="26">
        <v>43677.455381944397</v>
      </c>
      <c r="J9663" s="28" t="s">
        <v>51</v>
      </c>
      <c r="K9663" s="28" t="s">
        <v>51</v>
      </c>
      <c r="L9663" s="28" t="s">
        <v>51</v>
      </c>
      <c r="M9663" s="28" t="s">
        <v>51</v>
      </c>
      <c r="N9663" s="28" t="s">
        <v>51</v>
      </c>
    </row>
    <row r="9664" spans="1:14" x14ac:dyDescent="0.2">
      <c r="A9664" s="23" t="str">
        <f>HYPERLINK("https://www.spark-marketing.ru/Card/Person/1041027", "МБОУ СОШ № 9")</f>
        <v>МБОУ СОШ № 9</v>
      </c>
      <c r="B9664" s="24" t="s">
        <v>13873</v>
      </c>
      <c r="C9664" s="25">
        <v>2278992</v>
      </c>
      <c r="D9664" s="22" t="s">
        <v>13874</v>
      </c>
      <c r="E9664" s="22" t="s">
        <v>48</v>
      </c>
      <c r="F9664" s="23" t="str">
        <f>HYPERLINK("https://www.spark-marketing.ru/Card/Lot/72529793", "Оказание услуг по организации питания учащихся")</f>
        <v>Оказание услуг по организации питания учащихся</v>
      </c>
      <c r="G9664" s="22" t="s">
        <v>415</v>
      </c>
      <c r="H9664" s="22" t="s">
        <v>3840</v>
      </c>
      <c r="I9664" s="26">
        <v>43677.454861111102</v>
      </c>
      <c r="J9664" s="23" t="str">
        <f>HYPERLINK("https://www.spark-marketing.ru/Card/Person/138980", "МУП ""ШКОЛЬНОЕ ПИТАНИЕ Г. ВЕЛИКИЕ ЛУКИ""")</f>
        <v>МУП "ШКОЛЬНОЕ ПИТАНИЕ Г. ВЕЛИКИЕ ЛУКИ"</v>
      </c>
      <c r="K9664" s="24" t="s">
        <v>13835</v>
      </c>
      <c r="L9664" s="28" t="s">
        <v>51</v>
      </c>
      <c r="M9664" s="25">
        <v>2278992</v>
      </c>
      <c r="N9664" s="27">
        <v>0</v>
      </c>
    </row>
    <row r="9665" spans="1:14" x14ac:dyDescent="0.15">
      <c r="A9665" s="23" t="str">
        <f>HYPERLINK("https://www.spark-marketing.ru/Card/Person/4343663", "МИНЗДРАВ АЛТАЙСКОГО КРАЯ")</f>
        <v>МИНЗДРАВ АЛТАЙСКОГО КРАЯ</v>
      </c>
      <c r="B9665" s="24" t="s">
        <v>9429</v>
      </c>
      <c r="C9665" s="25">
        <v>28800</v>
      </c>
      <c r="D9665" s="22" t="s">
        <v>13875</v>
      </c>
      <c r="E9665" s="22" t="s">
        <v>336</v>
      </c>
      <c r="F9665" s="23" t="str">
        <f>HYPERLINK("https://www.spark-marketing.ru/Card/Lot/72502322",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9665" s="22" t="s">
        <v>63</v>
      </c>
      <c r="H9665" s="22" t="s">
        <v>177</v>
      </c>
      <c r="I9665" s="26">
        <v>43677.447916666701</v>
      </c>
      <c r="J9665" s="28" t="s">
        <v>51</v>
      </c>
      <c r="K9665" s="28" t="s">
        <v>51</v>
      </c>
      <c r="L9665" s="28" t="s">
        <v>51</v>
      </c>
      <c r="M9665" s="28" t="s">
        <v>51</v>
      </c>
      <c r="N9665" s="28" t="s">
        <v>51</v>
      </c>
    </row>
    <row r="9666" spans="1:14" x14ac:dyDescent="0.15">
      <c r="A9666" s="23" t="str">
        <f>HYPERLINK("https://www.spark-marketing.ru/Card/Person/140520", "ОТДЕЛ МВД РОССИИ ПО ДОБРЯНСКОМУ РАЙОНУ")</f>
        <v>ОТДЕЛ МВД РОССИИ ПО ДОБРЯНСКОМУ РАЙОНУ</v>
      </c>
      <c r="B9666" s="24" t="s">
        <v>2124</v>
      </c>
      <c r="C9666" s="25">
        <v>1040000</v>
      </c>
      <c r="D9666" s="22" t="s">
        <v>13876</v>
      </c>
      <c r="E9666" s="22" t="s">
        <v>48</v>
      </c>
      <c r="F9666" s="23" t="str">
        <f>HYPERLINK("https://www.spark-marketing.ru/Card/Lot/72527050", "поставка горячего питания")</f>
        <v>поставка горячего питания</v>
      </c>
      <c r="G9666" s="22" t="s">
        <v>153</v>
      </c>
      <c r="H9666" s="22" t="s">
        <v>2126</v>
      </c>
      <c r="I9666" s="26">
        <v>43677.433009259301</v>
      </c>
      <c r="J9666" s="23" t="str">
        <f>HYPERLINK("https://www.spark-marketing.ru/Card/Person/5877378", "Цигвинцева Ольга Валентиновна")</f>
        <v>Цигвинцева Ольга Валентиновна</v>
      </c>
      <c r="K9666" s="24" t="s">
        <v>2127</v>
      </c>
      <c r="L9666" s="22" t="s">
        <v>10</v>
      </c>
      <c r="M9666" s="28" t="s">
        <v>51</v>
      </c>
      <c r="N9666" s="28" t="s">
        <v>51</v>
      </c>
    </row>
    <row r="9667" spans="1:14" x14ac:dyDescent="0.15">
      <c r="A9667" s="23" t="str">
        <f>HYPERLINK("https://www.spark-marketing.ru/Card/Person/88769", "ГБУ МГДУ")</f>
        <v>ГБУ МГДУ</v>
      </c>
      <c r="B9667" s="24" t="s">
        <v>4041</v>
      </c>
      <c r="C9667" s="25">
        <v>9874647.0299999993</v>
      </c>
      <c r="D9667" s="22" t="s">
        <v>13877</v>
      </c>
      <c r="E9667" s="22" t="s">
        <v>81</v>
      </c>
      <c r="F9667" s="23" t="str">
        <f>HYPERLINK("https://www.spark-marketing.ru/Card/Lot/72531706", "Оказание услуг гражданам пожилого возраста, бывшим работникам образовательных организаций, подведомственных Департаменту образования и науки города Москвы, в учреждениях с временным круглосуточным проживанием, обеспечением питания и организацией досу...")</f>
        <v>Оказание услуг гражданам пожилого возраста, бывшим работникам образовательных организаций, подведомственных Департаменту образования и науки города Москвы, в учреждениях с временным круглосуточным проживанием, обеспечением питания и организацией досу...</v>
      </c>
      <c r="G9667" s="22" t="s">
        <v>56</v>
      </c>
      <c r="H9667" s="22" t="s">
        <v>56</v>
      </c>
      <c r="I9667" s="26">
        <v>43677.418576388904</v>
      </c>
      <c r="J9667" s="23" t="str">
        <f>HYPERLINK("https://www.spark-marketing.ru/Card/Person/43095", "ГБПОУ КИГМ № 23")</f>
        <v>ГБПОУ КИГМ № 23</v>
      </c>
      <c r="K9667" s="24" t="s">
        <v>4043</v>
      </c>
      <c r="L9667" s="22" t="s">
        <v>10</v>
      </c>
      <c r="M9667" s="28" t="s">
        <v>51</v>
      </c>
      <c r="N9667" s="28" t="s">
        <v>51</v>
      </c>
    </row>
    <row r="9668" spans="1:14" collapsed="1" x14ac:dyDescent="0.15">
      <c r="A9668" s="23" t="str">
        <f t="shared" ref="A9668:A9683" si="238">HYPERLINK("https://www.spark-marketing.ru/Card/Person/9539", "ГБУЗ ""ГКБ № 4 ДЗМ""")</f>
        <v>ГБУЗ "ГКБ № 4 ДЗМ"</v>
      </c>
      <c r="B9668" s="24" t="s">
        <v>13878</v>
      </c>
      <c r="C9668" s="25">
        <v>3101962.49</v>
      </c>
      <c r="D9668" s="22" t="s">
        <v>13879</v>
      </c>
      <c r="E9668" s="22" t="s">
        <v>756</v>
      </c>
      <c r="F9668" s="23" t="str">
        <f t="shared" ref="F9668:F9683" si="239">HYPERLINK("https://www.spark-marketing.ru/Card/Lot/72530283", "Оказание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""ГКБ №4 ДЗМ"".")</f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68" s="22" t="s">
        <v>56</v>
      </c>
      <c r="H9668" s="22" t="s">
        <v>56</v>
      </c>
      <c r="I9668" s="26">
        <v>43677.4285648148</v>
      </c>
      <c r="J9668" s="28" t="s">
        <v>51</v>
      </c>
      <c r="K9668" s="28" t="s">
        <v>51</v>
      </c>
      <c r="L9668" s="28" t="s">
        <v>51</v>
      </c>
      <c r="M9668" s="28" t="s">
        <v>51</v>
      </c>
      <c r="N9668" s="28" t="s">
        <v>51</v>
      </c>
    </row>
    <row r="9669" spans="1:14" hidden="1" outlineLevel="1" x14ac:dyDescent="0.2">
      <c r="A9669" s="23" t="str">
        <f t="shared" si="238"/>
        <v>ГБУЗ "ГКБ № 4 ДЗМ"</v>
      </c>
      <c r="B9669" s="24" t="s">
        <v>13878</v>
      </c>
      <c r="C9669" s="25">
        <v>3101962.49</v>
      </c>
      <c r="D9669" s="22" t="s">
        <v>13879</v>
      </c>
      <c r="E9669" s="22" t="s">
        <v>756</v>
      </c>
      <c r="F9669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69" s="22" t="s">
        <v>56</v>
      </c>
      <c r="H9669" s="22" t="s">
        <v>56</v>
      </c>
      <c r="I9669" s="26">
        <v>43677.4285648148</v>
      </c>
      <c r="J9669" s="23" t="str">
        <f>HYPERLINK("https://www.spark-marketing.ru/Card/Person/1844754", "ООО ""ТСБ""")</f>
        <v>ООО "ТСБ"</v>
      </c>
      <c r="K9669" s="24" t="s">
        <v>7551</v>
      </c>
      <c r="L9669" s="28" t="s">
        <v>51</v>
      </c>
      <c r="M9669" s="25">
        <v>3024413.44</v>
      </c>
      <c r="N9669" s="27">
        <v>2.4999996050887128E-2</v>
      </c>
    </row>
    <row r="9670" spans="1:14" hidden="1" outlineLevel="1" x14ac:dyDescent="0.2">
      <c r="A9670" s="23" t="str">
        <f t="shared" si="238"/>
        <v>ГБУЗ "ГКБ № 4 ДЗМ"</v>
      </c>
      <c r="B9670" s="24" t="s">
        <v>13878</v>
      </c>
      <c r="C9670" s="25">
        <v>3101962.49</v>
      </c>
      <c r="D9670" s="22" t="s">
        <v>13879</v>
      </c>
      <c r="E9670" s="22" t="s">
        <v>756</v>
      </c>
      <c r="F9670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70" s="22" t="s">
        <v>56</v>
      </c>
      <c r="H9670" s="22" t="s">
        <v>56</v>
      </c>
      <c r="I9670" s="26">
        <v>43677.4285648148</v>
      </c>
      <c r="J9670" s="23" t="str">
        <f>HYPERLINK("https://www.spark-marketing.ru/Card/Person/36213", "ООО ""СП ""ПОЖАРОЗАЩИТА 3""")</f>
        <v>ООО "СП "ПОЖАРОЗАЩИТА 3"</v>
      </c>
      <c r="K9670" s="24" t="s">
        <v>13880</v>
      </c>
      <c r="L9670" s="28" t="s">
        <v>51</v>
      </c>
      <c r="M9670" s="25">
        <v>1391431.33</v>
      </c>
      <c r="N9670" s="27">
        <v>0.55143515291185874</v>
      </c>
    </row>
    <row r="9671" spans="1:14" hidden="1" outlineLevel="1" x14ac:dyDescent="0.2">
      <c r="A9671" s="23" t="str">
        <f t="shared" si="238"/>
        <v>ГБУЗ "ГКБ № 4 ДЗМ"</v>
      </c>
      <c r="B9671" s="24" t="s">
        <v>13878</v>
      </c>
      <c r="C9671" s="25">
        <v>3101962.49</v>
      </c>
      <c r="D9671" s="22" t="s">
        <v>13879</v>
      </c>
      <c r="E9671" s="22" t="s">
        <v>756</v>
      </c>
      <c r="F9671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71" s="22" t="s">
        <v>56</v>
      </c>
      <c r="H9671" s="22" t="s">
        <v>56</v>
      </c>
      <c r="I9671" s="26">
        <v>43677.4285648148</v>
      </c>
      <c r="J9671" s="23" t="str">
        <f>HYPERLINK("https://www.spark-marketing.ru/Card/Person/5779584", "Лебедев Александр Юрьевич")</f>
        <v>Лебедев Александр Юрьевич</v>
      </c>
      <c r="K9671" s="24" t="s">
        <v>12494</v>
      </c>
      <c r="L9671" s="28" t="s">
        <v>51</v>
      </c>
      <c r="M9671" s="25">
        <v>432973.77</v>
      </c>
      <c r="N9671" s="27">
        <v>0.86041940500705405</v>
      </c>
    </row>
    <row r="9672" spans="1:14" hidden="1" outlineLevel="1" x14ac:dyDescent="0.2">
      <c r="A9672" s="23" t="str">
        <f t="shared" si="238"/>
        <v>ГБУЗ "ГКБ № 4 ДЗМ"</v>
      </c>
      <c r="B9672" s="24" t="s">
        <v>13878</v>
      </c>
      <c r="C9672" s="25">
        <v>3101962.49</v>
      </c>
      <c r="D9672" s="22" t="s">
        <v>13879</v>
      </c>
      <c r="E9672" s="22" t="s">
        <v>756</v>
      </c>
      <c r="F9672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72" s="22" t="s">
        <v>56</v>
      </c>
      <c r="H9672" s="22" t="s">
        <v>56</v>
      </c>
      <c r="I9672" s="26">
        <v>43677.4285648148</v>
      </c>
      <c r="J9672" s="23" t="str">
        <f>HYPERLINK("https://www.spark-marketing.ru/Card/Person/5921742", "ООО ""КСБ""")</f>
        <v>ООО "КСБ"</v>
      </c>
      <c r="K9672" s="24" t="s">
        <v>7553</v>
      </c>
      <c r="L9672" s="28" t="s">
        <v>51</v>
      </c>
      <c r="M9672" s="25">
        <v>884490.18</v>
      </c>
      <c r="N9672" s="27">
        <v>0.71486109749831306</v>
      </c>
    </row>
    <row r="9673" spans="1:14" hidden="1" outlineLevel="1" x14ac:dyDescent="0.2">
      <c r="A9673" s="23" t="str">
        <f t="shared" si="238"/>
        <v>ГБУЗ "ГКБ № 4 ДЗМ"</v>
      </c>
      <c r="B9673" s="24" t="s">
        <v>13878</v>
      </c>
      <c r="C9673" s="25">
        <v>3101962.49</v>
      </c>
      <c r="D9673" s="22" t="s">
        <v>13879</v>
      </c>
      <c r="E9673" s="22" t="s">
        <v>756</v>
      </c>
      <c r="F9673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73" s="22" t="s">
        <v>56</v>
      </c>
      <c r="H9673" s="22" t="s">
        <v>56</v>
      </c>
      <c r="I9673" s="26">
        <v>43677.4285648148</v>
      </c>
      <c r="J9673" s="23" t="str">
        <f>HYPERLINK("https://www.spark-marketing.ru/Card/Person/6684454", "ООО ""ИНФОТЕХ""")</f>
        <v>ООО "ИНФОТЕХ"</v>
      </c>
      <c r="K9673" s="24" t="s">
        <v>13881</v>
      </c>
      <c r="L9673" s="28" t="s">
        <v>51</v>
      </c>
      <c r="M9673" s="25">
        <v>3086452.68</v>
      </c>
      <c r="N9673" s="27">
        <v>4.9999992101774256E-3</v>
      </c>
    </row>
    <row r="9674" spans="1:14" hidden="1" outlineLevel="1" x14ac:dyDescent="0.2">
      <c r="A9674" s="23" t="str">
        <f t="shared" si="238"/>
        <v>ГБУЗ "ГКБ № 4 ДЗМ"</v>
      </c>
      <c r="B9674" s="24" t="s">
        <v>13878</v>
      </c>
      <c r="C9674" s="25">
        <v>3101962.49</v>
      </c>
      <c r="D9674" s="22" t="s">
        <v>13879</v>
      </c>
      <c r="E9674" s="22" t="s">
        <v>756</v>
      </c>
      <c r="F9674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74" s="22" t="s">
        <v>56</v>
      </c>
      <c r="H9674" s="22" t="s">
        <v>56</v>
      </c>
      <c r="I9674" s="26">
        <v>43677.4285648148</v>
      </c>
      <c r="J9674" s="23" t="str">
        <f>HYPERLINK("https://www.spark-marketing.ru/Card/Person/6616157", "Володин Алексей Львович")</f>
        <v>Володин Алексей Львович</v>
      </c>
      <c r="K9674" s="24" t="s">
        <v>13882</v>
      </c>
      <c r="L9674" s="28" t="s">
        <v>51</v>
      </c>
      <c r="M9674" s="25">
        <v>1893216.36</v>
      </c>
      <c r="N9674" s="27">
        <v>0.38967142055931181</v>
      </c>
    </row>
    <row r="9675" spans="1:14" hidden="1" outlineLevel="1" x14ac:dyDescent="0.2">
      <c r="A9675" s="23" t="str">
        <f t="shared" si="238"/>
        <v>ГБУЗ "ГКБ № 4 ДЗМ"</v>
      </c>
      <c r="B9675" s="24" t="s">
        <v>13878</v>
      </c>
      <c r="C9675" s="25">
        <v>3101962.49</v>
      </c>
      <c r="D9675" s="22" t="s">
        <v>13879</v>
      </c>
      <c r="E9675" s="22" t="s">
        <v>756</v>
      </c>
      <c r="F9675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75" s="22" t="s">
        <v>56</v>
      </c>
      <c r="H9675" s="22" t="s">
        <v>56</v>
      </c>
      <c r="I9675" s="26">
        <v>43677.4285648148</v>
      </c>
      <c r="J9675" s="23" t="str">
        <f>HYPERLINK("https://www.spark-marketing.ru/Card/Person/6436168", "ООО ""СОЮЗ""")</f>
        <v>ООО "СОЮЗ"</v>
      </c>
      <c r="K9675" s="24" t="s">
        <v>13883</v>
      </c>
      <c r="L9675" s="28" t="s">
        <v>51</v>
      </c>
      <c r="M9675" s="25">
        <v>260367.45</v>
      </c>
      <c r="N9675" s="27">
        <v>0.91606363686235293</v>
      </c>
    </row>
    <row r="9676" spans="1:14" hidden="1" outlineLevel="1" x14ac:dyDescent="0.2">
      <c r="A9676" s="23" t="str">
        <f t="shared" si="238"/>
        <v>ГБУЗ "ГКБ № 4 ДЗМ"</v>
      </c>
      <c r="B9676" s="24" t="s">
        <v>13878</v>
      </c>
      <c r="C9676" s="25">
        <v>3101962.49</v>
      </c>
      <c r="D9676" s="22" t="s">
        <v>13879</v>
      </c>
      <c r="E9676" s="22" t="s">
        <v>756</v>
      </c>
      <c r="F9676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76" s="22" t="s">
        <v>56</v>
      </c>
      <c r="H9676" s="22" t="s">
        <v>56</v>
      </c>
      <c r="I9676" s="26">
        <v>43677.4285648148</v>
      </c>
      <c r="J9676" s="23" t="str">
        <f>HYPERLINK("https://www.spark-marketing.ru/Card/Person/6681021", "ООО ""АМП ИНЖИНИРИНГ""")</f>
        <v>ООО "АМП ИНЖИНИРИНГ"</v>
      </c>
      <c r="K9676" s="24" t="s">
        <v>13884</v>
      </c>
      <c r="L9676" s="28" t="s">
        <v>51</v>
      </c>
      <c r="M9676" s="25">
        <v>1406941.14</v>
      </c>
      <c r="N9676" s="27">
        <v>0.54643515370168128</v>
      </c>
    </row>
    <row r="9677" spans="1:14" hidden="1" outlineLevel="1" x14ac:dyDescent="0.2">
      <c r="A9677" s="23" t="str">
        <f t="shared" si="238"/>
        <v>ГБУЗ "ГКБ № 4 ДЗМ"</v>
      </c>
      <c r="B9677" s="24" t="s">
        <v>13878</v>
      </c>
      <c r="C9677" s="25">
        <v>3101962.49</v>
      </c>
      <c r="D9677" s="22" t="s">
        <v>13879</v>
      </c>
      <c r="E9677" s="22" t="s">
        <v>756</v>
      </c>
      <c r="F9677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77" s="22" t="s">
        <v>56</v>
      </c>
      <c r="H9677" s="22" t="s">
        <v>56</v>
      </c>
      <c r="I9677" s="26">
        <v>43677.4285648148</v>
      </c>
      <c r="J9677" s="23" t="str">
        <f>HYPERLINK("https://www.spark-marketing.ru/Card/Person/6442258", "ООО ""ВЕКТОР""")</f>
        <v>ООО "ВЕКТОР"</v>
      </c>
      <c r="K9677" s="24" t="s">
        <v>11478</v>
      </c>
      <c r="L9677" s="28" t="s">
        <v>51</v>
      </c>
      <c r="M9677" s="25">
        <v>1892000</v>
      </c>
      <c r="N9677" s="27">
        <v>0.39006354651309788</v>
      </c>
    </row>
    <row r="9678" spans="1:14" hidden="1" outlineLevel="1" x14ac:dyDescent="0.2">
      <c r="A9678" s="23" t="str">
        <f t="shared" si="238"/>
        <v>ГБУЗ "ГКБ № 4 ДЗМ"</v>
      </c>
      <c r="B9678" s="24" t="s">
        <v>13878</v>
      </c>
      <c r="C9678" s="25">
        <v>3101962.49</v>
      </c>
      <c r="D9678" s="22" t="s">
        <v>13879</v>
      </c>
      <c r="E9678" s="22" t="s">
        <v>756</v>
      </c>
      <c r="F9678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78" s="22" t="s">
        <v>56</v>
      </c>
      <c r="H9678" s="22" t="s">
        <v>56</v>
      </c>
      <c r="I9678" s="26">
        <v>43677.4285648148</v>
      </c>
      <c r="J9678" s="23" t="str">
        <f>HYPERLINK("https://www.spark-marketing.ru/Card/Person/6282940", "ООО ""ПЛАТИНУМ""")</f>
        <v>ООО "ПЛАТИНУМ"</v>
      </c>
      <c r="K9678" s="24" t="s">
        <v>13885</v>
      </c>
      <c r="L9678" s="28" t="s">
        <v>51</v>
      </c>
      <c r="M9678" s="25">
        <v>682862.65</v>
      </c>
      <c r="N9678" s="27">
        <v>0.77986108723061964</v>
      </c>
    </row>
    <row r="9679" spans="1:14" hidden="1" outlineLevel="1" x14ac:dyDescent="0.2">
      <c r="A9679" s="23" t="str">
        <f t="shared" si="238"/>
        <v>ГБУЗ "ГКБ № 4 ДЗМ"</v>
      </c>
      <c r="B9679" s="24" t="s">
        <v>13878</v>
      </c>
      <c r="C9679" s="25">
        <v>3101962.49</v>
      </c>
      <c r="D9679" s="22" t="s">
        <v>13879</v>
      </c>
      <c r="E9679" s="22" t="s">
        <v>756</v>
      </c>
      <c r="F9679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79" s="22" t="s">
        <v>56</v>
      </c>
      <c r="H9679" s="22" t="s">
        <v>56</v>
      </c>
      <c r="I9679" s="26">
        <v>43677.4285648148</v>
      </c>
      <c r="J9679" s="23" t="str">
        <f>HYPERLINK("https://www.spark-marketing.ru/Card/Person/2014985", "ООО ""ПОЖТЕХАВТОМАТИКА""")</f>
        <v>ООО "ПОЖТЕХАВТОМАТИКА"</v>
      </c>
      <c r="K9679" s="24" t="s">
        <v>12486</v>
      </c>
      <c r="L9679" s="28" t="s">
        <v>51</v>
      </c>
      <c r="M9679" s="25">
        <v>868980.37</v>
      </c>
      <c r="N9679" s="27">
        <v>0.71986109670849052</v>
      </c>
    </row>
    <row r="9680" spans="1:14" hidden="1" outlineLevel="1" x14ac:dyDescent="0.2">
      <c r="A9680" s="23" t="str">
        <f t="shared" si="238"/>
        <v>ГБУЗ "ГКБ № 4 ДЗМ"</v>
      </c>
      <c r="B9680" s="24" t="s">
        <v>13878</v>
      </c>
      <c r="C9680" s="25">
        <v>3101962.49</v>
      </c>
      <c r="D9680" s="22" t="s">
        <v>13879</v>
      </c>
      <c r="E9680" s="22" t="s">
        <v>756</v>
      </c>
      <c r="F9680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80" s="22" t="s">
        <v>56</v>
      </c>
      <c r="H9680" s="22" t="s">
        <v>56</v>
      </c>
      <c r="I9680" s="26">
        <v>43677.4285648148</v>
      </c>
      <c r="J9680" s="23" t="str">
        <f>HYPERLINK("https://www.spark-marketing.ru/Card/Person/5869453", "ООО ""СТРОЙСИТИСЕРВИС""")</f>
        <v>ООО "СТРОЙСИТИСЕРВИС"</v>
      </c>
      <c r="K9680" s="24" t="s">
        <v>10800</v>
      </c>
      <c r="L9680" s="28" t="s">
        <v>51</v>
      </c>
      <c r="M9680" s="25">
        <v>651843.03</v>
      </c>
      <c r="N9680" s="27">
        <v>0.78986108565097446</v>
      </c>
    </row>
    <row r="9681" spans="1:14" hidden="1" outlineLevel="1" x14ac:dyDescent="0.2">
      <c r="A9681" s="23" t="str">
        <f t="shared" si="238"/>
        <v>ГБУЗ "ГКБ № 4 ДЗМ"</v>
      </c>
      <c r="B9681" s="24" t="s">
        <v>13878</v>
      </c>
      <c r="C9681" s="25">
        <v>3101962.49</v>
      </c>
      <c r="D9681" s="22" t="s">
        <v>13879</v>
      </c>
      <c r="E9681" s="22" t="s">
        <v>756</v>
      </c>
      <c r="F9681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81" s="22" t="s">
        <v>56</v>
      </c>
      <c r="H9681" s="22" t="s">
        <v>56</v>
      </c>
      <c r="I9681" s="26">
        <v>43677.4285648148</v>
      </c>
      <c r="J9681" s="23" t="str">
        <f>HYPERLINK("https://www.spark-marketing.ru/Card/Person/6262263", "ООО ""АЛЫЙ ПАРУС ТЕХНО ПРО""")</f>
        <v>ООО "АЛЫЙ ПАРУС ТЕХНО ПРО"</v>
      </c>
      <c r="K9681" s="24" t="s">
        <v>12490</v>
      </c>
      <c r="L9681" s="28" t="s">
        <v>51</v>
      </c>
      <c r="M9681" s="25">
        <v>386444.34</v>
      </c>
      <c r="N9681" s="27">
        <v>0.87541940263758633</v>
      </c>
    </row>
    <row r="9682" spans="1:14" hidden="1" outlineLevel="1" x14ac:dyDescent="0.2">
      <c r="A9682" s="23" t="str">
        <f t="shared" si="238"/>
        <v>ГБУЗ "ГКБ № 4 ДЗМ"</v>
      </c>
      <c r="B9682" s="24" t="s">
        <v>13878</v>
      </c>
      <c r="C9682" s="25">
        <v>3101962.49</v>
      </c>
      <c r="D9682" s="22" t="s">
        <v>13879</v>
      </c>
      <c r="E9682" s="22" t="s">
        <v>756</v>
      </c>
      <c r="F9682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82" s="22" t="s">
        <v>56</v>
      </c>
      <c r="H9682" s="22" t="s">
        <v>56</v>
      </c>
      <c r="I9682" s="26">
        <v>43677.4285648148</v>
      </c>
      <c r="J9682" s="23" t="str">
        <f>HYPERLINK("https://www.spark-marketing.ru/Card/Person/5897938", "ООО ""ОСМ""")</f>
        <v>ООО "ОСМ"</v>
      </c>
      <c r="K9682" s="24" t="s">
        <v>11481</v>
      </c>
      <c r="L9682" s="28" t="s">
        <v>51</v>
      </c>
      <c r="M9682" s="25">
        <v>2156883.13</v>
      </c>
      <c r="N9682" s="27">
        <v>0.30467143398629554</v>
      </c>
    </row>
    <row r="9683" spans="1:14" ht="12.75" hidden="1" outlineLevel="1" x14ac:dyDescent="0.2">
      <c r="A9683" s="23" t="str">
        <f t="shared" si="238"/>
        <v>ГБУЗ "ГКБ № 4 ДЗМ"</v>
      </c>
      <c r="B9683" s="24" t="s">
        <v>13878</v>
      </c>
      <c r="C9683" s="25">
        <v>3101962.49</v>
      </c>
      <c r="D9683" s="22" t="s">
        <v>13879</v>
      </c>
      <c r="E9683" s="22" t="s">
        <v>756</v>
      </c>
      <c r="F9683" s="23" t="str">
        <f t="shared" si="239"/>
        <v>Оказание услуг по техническому обслуживанию системы автоматической пожарной сигнализации (АПС), системы оповещения и управления эвакуацией (СОУЭ) и пожаротушения в ГБУЗ "ГКБ №4 ДЗМ".</v>
      </c>
      <c r="G9683" s="22" t="s">
        <v>56</v>
      </c>
      <c r="H9683" s="22" t="s">
        <v>56</v>
      </c>
      <c r="I9683" s="26">
        <v>43677.4285648148</v>
      </c>
      <c r="J9683" s="23" t="str">
        <f>HYPERLINK("https://www.spark-marketing.ru/Card/Person/123766", "ООО ""СМАРТСИС""")</f>
        <v>ООО "СМАРТСИС"</v>
      </c>
      <c r="K9683" s="24" t="s">
        <v>13886</v>
      </c>
      <c r="L9683" s="22" t="s">
        <v>10</v>
      </c>
      <c r="M9683" s="25">
        <v>244857.64</v>
      </c>
      <c r="N9683" s="27">
        <v>0.92106363607253028</v>
      </c>
    </row>
    <row r="9684" spans="1:14" x14ac:dyDescent="0.15">
      <c r="A9684" s="23" t="str">
        <f>HYPERLINK("https://www.spark-marketing.ru/Card/Person/6225059", "УПРАВЛЕНИЕ СОЦИАЛЬНЫХ КОММУНИКАЦИЙ")</f>
        <v>УПРАВЛЕНИЕ СОЦИАЛЬНЫХ КОММУНИКАЦИЙ</v>
      </c>
      <c r="B9684" s="24" t="s">
        <v>13868</v>
      </c>
      <c r="C9684" s="25">
        <v>852840</v>
      </c>
      <c r="D9684" s="22" t="s">
        <v>13887</v>
      </c>
      <c r="E9684" s="22" t="s">
        <v>11142</v>
      </c>
      <c r="F9684" s="23" t="str">
        <f>HYPERLINK("https://www.spark-marketing.ru/Card/Lot/72526419", "Оказание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2019")</f>
        <v>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</v>
      </c>
      <c r="G9684" s="22" t="s">
        <v>49</v>
      </c>
      <c r="H9684" s="22" t="s">
        <v>631</v>
      </c>
      <c r="I9684" s="26">
        <v>43677.434039351901</v>
      </c>
      <c r="J9684" s="28" t="s">
        <v>51</v>
      </c>
      <c r="K9684" s="28" t="s">
        <v>51</v>
      </c>
      <c r="L9684" s="28" t="s">
        <v>51</v>
      </c>
      <c r="M9684" s="28" t="s">
        <v>51</v>
      </c>
      <c r="N9684" s="28" t="s">
        <v>51</v>
      </c>
    </row>
    <row r="9685" spans="1:14" x14ac:dyDescent="0.15">
      <c r="A9685" s="23" t="str">
        <f>HYPERLINK("https://www.spark-marketing.ru/Card/Person/1023706", "ОТД МВД РОССИИ ПО ВЕРХНЕКОЛЫМСКОМУ РАЙОНУ")</f>
        <v>ОТД МВД РОССИИ ПО ВЕРХНЕКОЛЫМСКОМУ РАЙОНУ</v>
      </c>
      <c r="B9685" s="24" t="s">
        <v>13888</v>
      </c>
      <c r="C9685" s="25">
        <v>25000</v>
      </c>
      <c r="D9685" s="22" t="s">
        <v>13889</v>
      </c>
      <c r="E9685" s="22" t="s">
        <v>48</v>
      </c>
      <c r="F9685" s="23" t="str">
        <f>HYPERLINK("https://www.spark-marketing.ru/Card/Lot/72501436",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9685" s="22" t="s">
        <v>241</v>
      </c>
      <c r="H9685" s="22" t="s">
        <v>13890</v>
      </c>
      <c r="I9685" s="26">
        <v>43677.446134259299</v>
      </c>
      <c r="J9685" s="28" t="s">
        <v>51</v>
      </c>
      <c r="K9685" s="28" t="s">
        <v>51</v>
      </c>
      <c r="L9685" s="28" t="s">
        <v>51</v>
      </c>
      <c r="M9685" s="28" t="s">
        <v>51</v>
      </c>
      <c r="N9685" s="28" t="s">
        <v>51</v>
      </c>
    </row>
    <row r="9686" spans="1:14" x14ac:dyDescent="0.15">
      <c r="A9686" s="23" t="str">
        <f>HYPERLINK("https://www.spark-marketing.ru/Card/Person/60285", "МОУ ""СРЕДНЯЯ ОБЩЕОБРАЗОВАТЕЛЬНАЯ ШКОЛА №2 Г.НАДЫМА""")</f>
        <v>МОУ "СРЕДНЯЯ ОБЩЕОБРАЗОВАТЕЛЬНАЯ ШКОЛА №2 Г.НАДЫМА"</v>
      </c>
      <c r="B9686" s="24" t="s">
        <v>6776</v>
      </c>
      <c r="C9686" s="25">
        <v>966606</v>
      </c>
      <c r="D9686" s="22" t="s">
        <v>13891</v>
      </c>
      <c r="E9686" s="22" t="s">
        <v>48</v>
      </c>
      <c r="F9686" s="23" t="str">
        <f>HYPERLINK("https://www.spark-marketing.ru/Card/Lot/72526958", "Оказание услуг по организации обеспечения горячим питанием учащихся")</f>
        <v>Оказание услуг по организации обеспечения горячим питанием учащихся</v>
      </c>
      <c r="G9686" s="22" t="s">
        <v>1056</v>
      </c>
      <c r="H9686" s="22" t="s">
        <v>2702</v>
      </c>
      <c r="I9686" s="26">
        <v>43677.457638888904</v>
      </c>
      <c r="J9686" s="28" t="s">
        <v>51</v>
      </c>
      <c r="K9686" s="28" t="s">
        <v>51</v>
      </c>
      <c r="L9686" s="28" t="s">
        <v>51</v>
      </c>
      <c r="M9686" s="28" t="s">
        <v>51</v>
      </c>
      <c r="N9686" s="28" t="s">
        <v>51</v>
      </c>
    </row>
    <row r="9687" spans="1:14" x14ac:dyDescent="0.15">
      <c r="A9687" s="23" t="str">
        <f>HYPERLINK("https://www.spark-marketing.ru/Card/Person/1051387", "МБОУ ""СШ № 33""")</f>
        <v>МБОУ "СШ № 33"</v>
      </c>
      <c r="B9687" s="24" t="s">
        <v>13892</v>
      </c>
      <c r="C9687" s="25">
        <v>1754670</v>
      </c>
      <c r="D9687" s="22" t="s">
        <v>13893</v>
      </c>
      <c r="E9687" s="22" t="s">
        <v>48</v>
      </c>
      <c r="F9687" s="23" t="str">
        <f>HYPERLINK("https://www.spark-marketing.ru/Card/Lot/72529263", "Оказание услуги по организации горячего питания и обеспечению горячим питанием учащихся МБОУ ""СШ № 33""")</f>
        <v>Оказание услуги по организации горячего питания и обеспечению горячим питанием учащихся МБОУ "СШ № 33"</v>
      </c>
      <c r="G9687" s="22" t="s">
        <v>460</v>
      </c>
      <c r="H9687" s="22" t="s">
        <v>461</v>
      </c>
      <c r="I9687" s="26">
        <v>43677.447037037004</v>
      </c>
      <c r="J9687" s="23" t="str">
        <f>HYPERLINK("https://www.spark-marketing.ru/Card/Person/836702", "МУП ""КСП""")</f>
        <v>МУП "КСП"</v>
      </c>
      <c r="K9687" s="24" t="s">
        <v>6532</v>
      </c>
      <c r="L9687" s="22" t="s">
        <v>10</v>
      </c>
      <c r="M9687" s="28" t="s">
        <v>51</v>
      </c>
      <c r="N9687" s="28" t="s">
        <v>51</v>
      </c>
    </row>
    <row r="9688" spans="1:14" x14ac:dyDescent="0.15">
      <c r="A9688" s="23" t="str">
        <f>HYPERLINK("https://www.spark-marketing.ru/Card/Person/127230", "ГБУ РО НД")</f>
        <v>ГБУ РО НД</v>
      </c>
      <c r="B9688" s="24" t="s">
        <v>12891</v>
      </c>
      <c r="C9688" s="25">
        <v>99887.039999999994</v>
      </c>
      <c r="D9688" s="22" t="s">
        <v>13894</v>
      </c>
      <c r="E9688" s="22" t="s">
        <v>48</v>
      </c>
      <c r="F9688" s="23" t="str">
        <f>HYPERLINK("https://www.spark-marketing.ru/Card/Lot/72501202", "Оказание услуги по предоставлению готового питания для пациентов круглосуточного стационара № 1 г. Гуково ГБУ РО НД")</f>
        <v>Оказание услуги по предоставлению готового питания для пациентов круглосуточного стационара № 1 г. Гуково ГБУ РО НД</v>
      </c>
      <c r="G9688" s="22" t="s">
        <v>267</v>
      </c>
      <c r="H9688" s="22" t="s">
        <v>590</v>
      </c>
      <c r="I9688" s="26">
        <v>43677.432638888902</v>
      </c>
      <c r="J9688" s="28" t="s">
        <v>51</v>
      </c>
      <c r="K9688" s="28" t="s">
        <v>51</v>
      </c>
      <c r="L9688" s="28" t="s">
        <v>51</v>
      </c>
      <c r="M9688" s="28" t="s">
        <v>51</v>
      </c>
      <c r="N9688" s="28" t="s">
        <v>51</v>
      </c>
    </row>
    <row r="9689" spans="1:14" x14ac:dyDescent="0.15">
      <c r="A9689" s="23" t="str">
        <f>HYPERLINK("https://www.spark-marketing.ru/Card/Person/1048915", "ГБУК НСО ""РЕДАКЦИЯ ЖУРНАЛА ""СИБИРСКИЕ ОГНИ""")</f>
        <v>ГБУК НСО "РЕДАКЦИЯ ЖУРНАЛА "СИБИРСКИЕ ОГНИ"</v>
      </c>
      <c r="B9689" s="24" t="s">
        <v>13895</v>
      </c>
      <c r="C9689" s="25">
        <v>65000</v>
      </c>
      <c r="D9689" s="22" t="s">
        <v>13896</v>
      </c>
      <c r="E9689" s="22" t="s">
        <v>48</v>
      </c>
      <c r="F9689" s="23" t="str">
        <f>HYPERLINK("https://www.spark-marketing.ru/Card/Lot/72502331", "Услуги по организации питания для участников Третьего регионального совещания сибирских авторов")</f>
        <v>Услуги по организации питания для участников Третьего регионального совещания сибирских авторов</v>
      </c>
      <c r="G9689" s="22" t="s">
        <v>195</v>
      </c>
      <c r="H9689" s="22" t="s">
        <v>196</v>
      </c>
      <c r="I9689" s="26">
        <v>43677.449305555601</v>
      </c>
      <c r="J9689" s="28" t="s">
        <v>51</v>
      </c>
      <c r="K9689" s="28" t="s">
        <v>51</v>
      </c>
      <c r="L9689" s="28" t="s">
        <v>51</v>
      </c>
      <c r="M9689" s="28" t="s">
        <v>51</v>
      </c>
      <c r="N9689" s="28" t="s">
        <v>51</v>
      </c>
    </row>
    <row r="9690" spans="1:14" x14ac:dyDescent="0.2">
      <c r="A9690" s="23" t="str">
        <f>HYPERLINK("https://www.spark-marketing.ru/Card/Person/101031", "МОУ ""ЗАПОЛЯРНАЯ СРЕДНЯЯ ОБЩЕОБРАЗОВАТЕЛЬНАЯ ШКОЛА""")</f>
        <v>МОУ "ЗАПОЛЯРНАЯ СРЕДНЯЯ ОБЩЕОБРАЗОВАТЕЛЬНАЯ ШКОЛА"</v>
      </c>
      <c r="B9690" s="24" t="s">
        <v>13897</v>
      </c>
      <c r="C9690" s="25">
        <v>1062984</v>
      </c>
      <c r="D9690" s="22" t="s">
        <v>13898</v>
      </c>
      <c r="E9690" s="22" t="s">
        <v>48</v>
      </c>
      <c r="F9690" s="23" t="str">
        <f>HYPERLINK("https://www.spark-marketing.ru/Card/Lot/72526942", "Оказание услуг по организации обеспечения горячим питанием учащихся")</f>
        <v>Оказание услуг по организации обеспечения горячим питанием учащихся</v>
      </c>
      <c r="G9690" s="22" t="s">
        <v>1056</v>
      </c>
      <c r="H9690" s="22" t="s">
        <v>8136</v>
      </c>
      <c r="I9690" s="26">
        <v>43677.436805555597</v>
      </c>
      <c r="J9690" s="23" t="str">
        <f>HYPERLINK("https://www.spark-marketing.ru/Card/Person/76164", "Гусак Жанна Алексеевна")</f>
        <v>Гусак Жанна Алексеевна</v>
      </c>
      <c r="K9690" s="24" t="s">
        <v>6149</v>
      </c>
      <c r="L9690" s="28" t="s">
        <v>51</v>
      </c>
      <c r="M9690" s="25">
        <v>1062984</v>
      </c>
      <c r="N9690" s="27">
        <v>0</v>
      </c>
    </row>
    <row r="9691" spans="1:14" x14ac:dyDescent="0.2">
      <c r="A9691" s="23" t="str">
        <f>HYPERLINK("https://www.spark-marketing.ru/Card/Person/1040600", "МБОУ СОШ № 1")</f>
        <v>МБОУ СОШ № 1</v>
      </c>
      <c r="B9691" s="24" t="s">
        <v>13899</v>
      </c>
      <c r="C9691" s="25">
        <v>2411916</v>
      </c>
      <c r="D9691" s="22" t="s">
        <v>13900</v>
      </c>
      <c r="E9691" s="22" t="s">
        <v>48</v>
      </c>
      <c r="F9691" s="23" t="str">
        <f>HYPERLINK("https://www.spark-marketing.ru/Card/Lot/72529798", "Оказание услуг по организации питания учащихся")</f>
        <v>Оказание услуг по организации питания учащихся</v>
      </c>
      <c r="G9691" s="22" t="s">
        <v>415</v>
      </c>
      <c r="H9691" s="22" t="s">
        <v>3840</v>
      </c>
      <c r="I9691" s="26">
        <v>43677.454861111102</v>
      </c>
      <c r="J9691" s="23" t="str">
        <f>HYPERLINK("https://www.spark-marketing.ru/Card/Person/138980", "МУП ""ШКОЛЬНОЕ ПИТАНИЕ Г. ВЕЛИКИЕ ЛУКИ""")</f>
        <v>МУП "ШКОЛЬНОЕ ПИТАНИЕ Г. ВЕЛИКИЕ ЛУКИ"</v>
      </c>
      <c r="K9691" s="24" t="s">
        <v>13835</v>
      </c>
      <c r="L9691" s="28" t="s">
        <v>51</v>
      </c>
      <c r="M9691" s="25">
        <v>2411916</v>
      </c>
      <c r="N9691" s="27">
        <v>0</v>
      </c>
    </row>
    <row r="9692" spans="1:14" collapsed="1" x14ac:dyDescent="0.15">
      <c r="A9692" s="23" t="str">
        <f>HYPERLINK("https://www.spark-marketing.ru/Card/Person/4346756", "МОСКОВСКИЙ ГОСУДАРСТВЕННЫЙ УНИВЕРСИТЕТ ИМЕНИ М.В.ЛОМОНОСОВА, МГУ ИМЕНИ М.В.ЛОМОНОСОВА, МОСКОВСКИЙ УНИВЕРСИТЕТ ИЛИ МГУ")</f>
        <v>МОСКОВСКИЙ ГОСУДАРСТВЕННЫЙ УНИВЕРСИТЕТ ИМЕНИ М.В.ЛОМОНОСОВА, МГУ ИМЕНИ М.В.ЛОМОНОСОВА, МОСКОВСКИЙ УНИВЕРСИТЕТ ИЛИ МГУ</v>
      </c>
      <c r="B9692" s="24" t="s">
        <v>13901</v>
      </c>
      <c r="C9692" s="25">
        <v>97400</v>
      </c>
      <c r="D9692" s="22" t="s">
        <v>13902</v>
      </c>
      <c r="E9692" s="22" t="s">
        <v>355</v>
      </c>
      <c r="F9692" s="23" t="str">
        <f>HYPERLINK("https://www.spark-marketing.ru/Card/Lot/72507161", "Оказание услуг по техническому обслуживанию системы бесперебойного и гарантированного питания  НАДЛ МГУ имени М.В. Ломоносова  (1 шт.)(ИД.23570)")</f>
        <v>Оказание услуг по техническому обслуживанию системы бесперебойного и гарантированного питания  НАДЛ МГУ имени М.В. Ломоносова  (1 шт.)(ИД.23570)</v>
      </c>
      <c r="G9692" s="22" t="s">
        <v>56</v>
      </c>
      <c r="H9692" s="22" t="s">
        <v>56</v>
      </c>
      <c r="I9692" s="26">
        <v>43677.425497685203</v>
      </c>
      <c r="J9692" s="28" t="s">
        <v>51</v>
      </c>
      <c r="K9692" s="28" t="s">
        <v>51</v>
      </c>
      <c r="L9692" s="28" t="s">
        <v>51</v>
      </c>
      <c r="M9692" s="28" t="s">
        <v>51</v>
      </c>
      <c r="N9692" s="28" t="s">
        <v>51</v>
      </c>
    </row>
    <row r="9693" spans="1:14" hidden="1" outlineLevel="1" x14ac:dyDescent="0.2">
      <c r="A9693" s="23" t="str">
        <f>HYPERLINK("https://www.spark-marketing.ru/Card/Person/4346756", "МОСКОВСКИЙ ГОСУДАРСТВЕННЫЙ УНИВЕРСИТЕТ ИМЕНИ М.В.ЛОМОНОСОВА, МГУ ИМЕНИ М.В.ЛОМОНОСОВА, МОСКОВСКИЙ УНИВЕРСИТЕТ ИЛИ МГУ")</f>
        <v>МОСКОВСКИЙ ГОСУДАРСТВЕННЫЙ УНИВЕРСИТЕТ ИМЕНИ М.В.ЛОМОНОСОВА, МГУ ИМЕНИ М.В.ЛОМОНОСОВА, МОСКОВСКИЙ УНИВЕРСИТЕТ ИЛИ МГУ</v>
      </c>
      <c r="B9693" s="24" t="s">
        <v>13901</v>
      </c>
      <c r="C9693" s="25">
        <v>97400</v>
      </c>
      <c r="D9693" s="22" t="s">
        <v>13902</v>
      </c>
      <c r="E9693" s="22" t="s">
        <v>355</v>
      </c>
      <c r="F9693" s="23" t="str">
        <f>HYPERLINK("https://www.spark-marketing.ru/Card/Lot/72507161", "Оказание услуг по техническому обслуживанию системы бесперебойного и гарантированного питания  НАДЛ МГУ имени М.В. Ломоносова  (1 шт.)(ИД.23570)")</f>
        <v>Оказание услуг по техническому обслуживанию системы бесперебойного и гарантированного питания  НАДЛ МГУ имени М.В. Ломоносова  (1 шт.)(ИД.23570)</v>
      </c>
      <c r="G9693" s="22" t="s">
        <v>56</v>
      </c>
      <c r="H9693" s="22" t="s">
        <v>56</v>
      </c>
      <c r="I9693" s="26">
        <v>43677.425497685203</v>
      </c>
      <c r="J9693" s="23" t="str">
        <f>HYPERLINK("https://www.spark-marketing.ru/Card/Person/6515212", "ООО ""МСК""")</f>
        <v>ООО "МСК"</v>
      </c>
      <c r="K9693" s="24" t="s">
        <v>9381</v>
      </c>
      <c r="L9693" s="28" t="s">
        <v>51</v>
      </c>
      <c r="M9693" s="25">
        <v>68538.990000000005</v>
      </c>
      <c r="N9693" s="27">
        <v>0.29631427104722791</v>
      </c>
    </row>
    <row r="9694" spans="1:14" ht="12.75" hidden="1" outlineLevel="1" x14ac:dyDescent="0.2">
      <c r="A9694" s="23" t="str">
        <f>HYPERLINK("https://www.spark-marketing.ru/Card/Person/4346756", "МОСКОВСКИЙ ГОСУДАРСТВЕННЫЙ УНИВЕРСИТЕТ ИМЕНИ М.В.ЛОМОНОСОВА, МГУ ИМЕНИ М.В.ЛОМОНОСОВА, МОСКОВСКИЙ УНИВЕРСИТЕТ ИЛИ МГУ")</f>
        <v>МОСКОВСКИЙ ГОСУДАРСТВЕННЫЙ УНИВЕРСИТЕТ ИМЕНИ М.В.ЛОМОНОСОВА, МГУ ИМЕНИ М.В.ЛОМОНОСОВА, МОСКОВСКИЙ УНИВЕРСИТЕТ ИЛИ МГУ</v>
      </c>
      <c r="B9694" s="24" t="s">
        <v>13901</v>
      </c>
      <c r="C9694" s="25">
        <v>97400</v>
      </c>
      <c r="D9694" s="22" t="s">
        <v>13902</v>
      </c>
      <c r="E9694" s="22" t="s">
        <v>355</v>
      </c>
      <c r="F9694" s="23" t="str">
        <f>HYPERLINK("https://www.spark-marketing.ru/Card/Lot/72507161", "Оказание услуг по техническому обслуживанию системы бесперебойного и гарантированного питания  НАДЛ МГУ имени М.В. Ломоносова  (1 шт.)(ИД.23570)")</f>
        <v>Оказание услуг по техническому обслуживанию системы бесперебойного и гарантированного питания  НАДЛ МГУ имени М.В. Ломоносова  (1 шт.)(ИД.23570)</v>
      </c>
      <c r="G9694" s="22" t="s">
        <v>56</v>
      </c>
      <c r="H9694" s="22" t="s">
        <v>56</v>
      </c>
      <c r="I9694" s="26">
        <v>43677.425497685203</v>
      </c>
      <c r="J9694" s="23" t="str">
        <f>HYPERLINK("https://www.spark-marketing.ru/Card/Person/6489162", "ООО ""АЛАС ЭНЕРГИЯ""")</f>
        <v>ООО "АЛАС ЭНЕРГИЯ"</v>
      </c>
      <c r="K9694" s="24" t="s">
        <v>6025</v>
      </c>
      <c r="L9694" s="22" t="s">
        <v>10</v>
      </c>
      <c r="M9694" s="25">
        <v>68051.990000000005</v>
      </c>
      <c r="N9694" s="27">
        <v>0.30131427104722791</v>
      </c>
    </row>
    <row r="9695" spans="1:14" x14ac:dyDescent="0.15">
      <c r="A9695" s="23" t="str">
        <f>HYPERLINK("https://www.spark-marketing.ru/Card/Person/60285", "МОУ ""СРЕДНЯЯ ОБЩЕОБРАЗОВАТЕЛЬНАЯ ШКОЛА №2 Г.НАДЫМА""")</f>
        <v>МОУ "СРЕДНЯЯ ОБЩЕОБРАЗОВАТЕЛЬНАЯ ШКОЛА №2 Г.НАДЫМА"</v>
      </c>
      <c r="B9695" s="24" t="s">
        <v>6776</v>
      </c>
      <c r="C9695" s="25">
        <v>554610</v>
      </c>
      <c r="D9695" s="22" t="s">
        <v>13903</v>
      </c>
      <c r="E9695" s="22" t="s">
        <v>48</v>
      </c>
      <c r="F9695" s="23" t="str">
        <f>HYPERLINK("https://www.spark-marketing.ru/Card/Lot/72525476", "Оказание услуг по организации обеспечения горячим питанием учащихся")</f>
        <v>Оказание услуг по организации обеспечения горячим питанием учащихся</v>
      </c>
      <c r="G9695" s="22" t="s">
        <v>1056</v>
      </c>
      <c r="H9695" s="22" t="s">
        <v>1056</v>
      </c>
      <c r="I9695" s="26">
        <v>43677.4</v>
      </c>
      <c r="J9695" s="28" t="s">
        <v>51</v>
      </c>
      <c r="K9695" s="28" t="s">
        <v>51</v>
      </c>
      <c r="L9695" s="28" t="s">
        <v>51</v>
      </c>
      <c r="M9695" s="28" t="s">
        <v>51</v>
      </c>
      <c r="N9695" s="28" t="s">
        <v>51</v>
      </c>
    </row>
    <row r="9696" spans="1:14" x14ac:dyDescent="0.15">
      <c r="A9696" s="23" t="str">
        <f>HYPERLINK("https://www.spark-marketing.ru/Card/Person/998778", "МБОУ ""СШ № 36 ИМ. А.М. ГОРОДНЯНСКОГО""")</f>
        <v>МБОУ "СШ № 36 ИМ. А.М. ГОРОДНЯНСКОГО"</v>
      </c>
      <c r="B9696" s="24" t="s">
        <v>13904</v>
      </c>
      <c r="C9696" s="25">
        <v>768816</v>
      </c>
      <c r="D9696" s="22" t="s">
        <v>13905</v>
      </c>
      <c r="E9696" s="22" t="s">
        <v>48</v>
      </c>
      <c r="F9696" s="23" t="str">
        <f>HYPERLINK("https://www.spark-marketing.ru/Card/Lot/72526260", "Оказание услуги по организации горячего питания и обеспечению горячим питанием обучающихся МБОУ ""СШ № 36 им. А.М. Городнянского""")</f>
        <v>Оказание услуги по организации горячего питания и обеспечению горячим питанием обучающихся МБОУ "СШ № 36 им. А.М. Городнянского"</v>
      </c>
      <c r="G9696" s="22" t="s">
        <v>460</v>
      </c>
      <c r="H9696" s="22" t="s">
        <v>461</v>
      </c>
      <c r="I9696" s="26">
        <v>43677.414953703701</v>
      </c>
      <c r="J9696" s="28" t="s">
        <v>51</v>
      </c>
      <c r="K9696" s="28" t="s">
        <v>51</v>
      </c>
      <c r="L9696" s="28" t="s">
        <v>51</v>
      </c>
      <c r="M9696" s="28" t="s">
        <v>51</v>
      </c>
      <c r="N9696" s="28" t="s">
        <v>51</v>
      </c>
    </row>
    <row r="9697" spans="1:14" x14ac:dyDescent="0.15">
      <c r="A9697" s="23" t="str">
        <f>HYPERLINK("https://www.spark-marketing.ru/Card/Person/6225059", "УПРАВЛЕНИЕ СОЦИАЛЬНЫХ КОММУНИКАЦИЙ")</f>
        <v>УПРАВЛЕНИЕ СОЦИАЛЬНЫХ КОММУНИКАЦИЙ</v>
      </c>
      <c r="B9697" s="24" t="s">
        <v>13868</v>
      </c>
      <c r="C9697" s="25">
        <v>482040</v>
      </c>
      <c r="D9697" s="22" t="s">
        <v>13906</v>
      </c>
      <c r="E9697" s="22" t="s">
        <v>11142</v>
      </c>
      <c r="F9697" s="23" t="str">
        <f>HYPERLINK("https://www.spark-marketing.ru/Card/Lot/72524328", "Оказание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 году")</f>
        <v>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 году</v>
      </c>
      <c r="G9697" s="22" t="s">
        <v>49</v>
      </c>
      <c r="H9697" s="22" t="s">
        <v>631</v>
      </c>
      <c r="I9697" s="26">
        <v>43677.4067939815</v>
      </c>
      <c r="J9697" s="28" t="s">
        <v>51</v>
      </c>
      <c r="K9697" s="28" t="s">
        <v>51</v>
      </c>
      <c r="L9697" s="28" t="s">
        <v>51</v>
      </c>
      <c r="M9697" s="28" t="s">
        <v>51</v>
      </c>
      <c r="N9697" s="28" t="s">
        <v>51</v>
      </c>
    </row>
    <row r="9698" spans="1:14" x14ac:dyDescent="0.15">
      <c r="A9698" s="23" t="str">
        <f>HYPERLINK("https://www.spark-marketing.ru/Card/Person/4345974", "МИНЗДРАВ ЗАБАЙКАЛЬСКОГО КРАЯ")</f>
        <v>МИНЗДРАВ ЗАБАЙКАЛЬСКОГО КРАЯ</v>
      </c>
      <c r="B9698" s="24" t="s">
        <v>671</v>
      </c>
      <c r="C9698" s="25">
        <v>281880</v>
      </c>
      <c r="D9698" s="22" t="s">
        <v>13907</v>
      </c>
      <c r="E9698" s="22" t="s">
        <v>336</v>
      </c>
      <c r="F9698" s="23" t="str">
        <f>HYPERLINK("https://www.spark-marketing.ru/Card/Lot/72499944", "Товары, работы или услуги на сумму, не превышающие 100 тыс. руб. (п.4 ч.1 ст.93 44-ФЗ)")</f>
        <v>Товары, работы или услуги на сумму, не превышающие 100 тыс. руб. (п.4 ч.1 ст.93 44-ФЗ)</v>
      </c>
      <c r="G9698" s="22" t="s">
        <v>228</v>
      </c>
      <c r="H9698" s="22" t="s">
        <v>394</v>
      </c>
      <c r="I9698" s="26">
        <v>43677.391666666699</v>
      </c>
      <c r="J9698" s="28" t="s">
        <v>51</v>
      </c>
      <c r="K9698" s="28" t="s">
        <v>51</v>
      </c>
      <c r="L9698" s="28" t="s">
        <v>51</v>
      </c>
      <c r="M9698" s="28" t="s">
        <v>51</v>
      </c>
      <c r="N9698" s="28" t="s">
        <v>51</v>
      </c>
    </row>
    <row r="9699" spans="1:14" x14ac:dyDescent="0.15">
      <c r="A9699" s="23" t="str">
        <f>HYPERLINK("https://www.spark-marketing.ru/Card/Person/76456", "ОМВД РОССИИ ПО ЯМАЛЬСКОМУ РАЙОНУ")</f>
        <v>ОМВД РОССИИ ПО ЯМАЛЬСКОМУ РАЙОНУ</v>
      </c>
      <c r="B9699" s="24" t="s">
        <v>13838</v>
      </c>
      <c r="C9699" s="25">
        <v>600000</v>
      </c>
      <c r="D9699" s="22" t="s">
        <v>13908</v>
      </c>
      <c r="E9699" s="22" t="s">
        <v>96</v>
      </c>
      <c r="F9699" s="23" t="str">
        <f>HYPERLINK("https://www.spark-marketing.ru/Card/Lot/72525129", "Оказание услуг по обеспечению горячим трехразовым питанием лиц, содержащихся в ИВС и специальном помещении ДЧ ОМВД России по Ямальскому району на 2020 год")</f>
        <v>Оказание услуг по обеспечению горячим трехразовым питанием лиц, содержащихся в ИВС и специальном помещении ДЧ ОМВД России по Ямальскому району на 2020 год</v>
      </c>
      <c r="G9699" s="22" t="s">
        <v>1056</v>
      </c>
      <c r="H9699" s="22" t="s">
        <v>13840</v>
      </c>
      <c r="I9699" s="26">
        <v>43677.405162037001</v>
      </c>
      <c r="J9699" s="23" t="str">
        <f>HYPERLINK("https://www.spark-marketing.ru/Card/Person/974683", "Журин Александр Михайлович")</f>
        <v>Журин Александр Михайлович</v>
      </c>
      <c r="K9699" s="24" t="s">
        <v>13841</v>
      </c>
      <c r="L9699" s="22" t="s">
        <v>10</v>
      </c>
      <c r="M9699" s="28" t="s">
        <v>51</v>
      </c>
      <c r="N9699" s="28" t="s">
        <v>51</v>
      </c>
    </row>
    <row r="9700" spans="1:14" x14ac:dyDescent="0.15">
      <c r="A9700" s="23" t="str">
        <f>HYPERLINK("https://www.spark-marketing.ru/Card/Person/374323", "ОМВД РОССИИ ПО ПОРХОВСКОМУ РАЙОНУ")</f>
        <v>ОМВД РОССИИ ПО ПОРХОВСКОМУ РАЙОНУ</v>
      </c>
      <c r="B9700" s="24" t="s">
        <v>3660</v>
      </c>
      <c r="C9700" s="25">
        <v>743000</v>
      </c>
      <c r="D9700" s="22" t="s">
        <v>13909</v>
      </c>
      <c r="E9700" s="22" t="s">
        <v>48</v>
      </c>
      <c r="F9700" s="23" t="str">
        <f>HYPERLINK("https://www.spark-marketing.ru/Card/Lot/72525853", "питание ИВС")</f>
        <v>питание ИВС</v>
      </c>
      <c r="G9700" s="22" t="s">
        <v>415</v>
      </c>
      <c r="H9700" s="22" t="s">
        <v>415</v>
      </c>
      <c r="I9700" s="26">
        <v>43677.378229166701</v>
      </c>
      <c r="J9700" s="28" t="s">
        <v>51</v>
      </c>
      <c r="K9700" s="28" t="s">
        <v>51</v>
      </c>
      <c r="L9700" s="28" t="s">
        <v>51</v>
      </c>
      <c r="M9700" s="28" t="s">
        <v>51</v>
      </c>
      <c r="N9700" s="28" t="s">
        <v>51</v>
      </c>
    </row>
    <row r="9701" spans="1:14" x14ac:dyDescent="0.2">
      <c r="A9701" s="23" t="str">
        <f>HYPERLINK("https://www.spark-marketing.ru/Card/Person/60285", "МОУ ""СРЕДНЯЯ ОБЩЕОБРАЗОВАТЕЛЬНАЯ ШКОЛА №2 Г.НАДЫМА""")</f>
        <v>МОУ "СРЕДНЯЯ ОБЩЕОБРАЗОВАТЕЛЬНАЯ ШКОЛА №2 Г.НАДЫМА"</v>
      </c>
      <c r="B9701" s="24" t="s">
        <v>6776</v>
      </c>
      <c r="C9701" s="25">
        <v>2737881</v>
      </c>
      <c r="D9701" s="22" t="s">
        <v>13910</v>
      </c>
      <c r="E9701" s="22" t="s">
        <v>48</v>
      </c>
      <c r="F9701" s="23" t="str">
        <f>HYPERLINK("https://www.spark-marketing.ru/Card/Lot/72530549", "Оказание услуг по организации обеспечения горячим питанием учащихся")</f>
        <v>Оказание услуг по организации обеспечения горячим питанием учащихся</v>
      </c>
      <c r="G9701" s="22" t="s">
        <v>1056</v>
      </c>
      <c r="H9701" s="22" t="s">
        <v>1056</v>
      </c>
      <c r="I9701" s="26">
        <v>43677.407638888901</v>
      </c>
      <c r="J9701" s="23" t="str">
        <f>HYPERLINK("https://www.spark-marketing.ru/Card/Person/76164", "Гусак Жанна Алексеевна")</f>
        <v>Гусак Жанна Алексеевна</v>
      </c>
      <c r="K9701" s="24" t="s">
        <v>6149</v>
      </c>
      <c r="L9701" s="28" t="s">
        <v>51</v>
      </c>
      <c r="M9701" s="25">
        <v>2737881</v>
      </c>
      <c r="N9701" s="27">
        <v>0</v>
      </c>
    </row>
    <row r="9702" spans="1:14" x14ac:dyDescent="0.15">
      <c r="A9702" s="23" t="str">
        <f>HYPERLINK("https://www.spark-marketing.ru/Card/Person/997736", "МБОУ ""СШ № 12""")</f>
        <v>МБОУ "СШ № 12"</v>
      </c>
      <c r="B9702" s="24" t="s">
        <v>13911</v>
      </c>
      <c r="C9702" s="25">
        <v>875520</v>
      </c>
      <c r="D9702" s="22" t="s">
        <v>13912</v>
      </c>
      <c r="E9702" s="22" t="s">
        <v>48</v>
      </c>
      <c r="F9702" s="23" t="str">
        <f>HYPERLINK("https://www.spark-marketing.ru/Card/Lot/72526734", "Оказание услуг по организации горячего питания и обеспечению горячим питанием учащихся МБОУ ""СШ № 12""")</f>
        <v>Оказание услуг по организации горячего питания и обеспечению горячим питанием учащихся МБОУ "СШ № 12"</v>
      </c>
      <c r="G9702" s="22" t="s">
        <v>460</v>
      </c>
      <c r="H9702" s="22" t="s">
        <v>461</v>
      </c>
      <c r="I9702" s="26">
        <v>43677.390787037002</v>
      </c>
      <c r="J9702" s="28" t="s">
        <v>51</v>
      </c>
      <c r="K9702" s="28" t="s">
        <v>51</v>
      </c>
      <c r="L9702" s="28" t="s">
        <v>51</v>
      </c>
      <c r="M9702" s="28" t="s">
        <v>51</v>
      </c>
      <c r="N9702" s="28" t="s">
        <v>51</v>
      </c>
    </row>
    <row r="9703" spans="1:14" x14ac:dyDescent="0.2">
      <c r="A9703" s="23" t="str">
        <f>HYPERLINK("https://www.spark-marketing.ru/Card/Person/138913", "МБОУ СОШ № 7")</f>
        <v>МБОУ СОШ № 7</v>
      </c>
      <c r="B9703" s="24" t="s">
        <v>13913</v>
      </c>
      <c r="C9703" s="25">
        <v>3387012</v>
      </c>
      <c r="D9703" s="22" t="s">
        <v>13914</v>
      </c>
      <c r="E9703" s="22" t="s">
        <v>48</v>
      </c>
      <c r="F9703" s="23" t="str">
        <f>HYPERLINK("https://www.spark-marketing.ru/Card/Lot/72530996", "Оказание услуг по организации питания учащихся")</f>
        <v>Оказание услуг по организации питания учащихся</v>
      </c>
      <c r="G9703" s="22" t="s">
        <v>415</v>
      </c>
      <c r="H9703" s="22" t="s">
        <v>3840</v>
      </c>
      <c r="I9703" s="26">
        <v>43677.4152777778</v>
      </c>
      <c r="J9703" s="23" t="str">
        <f>HYPERLINK("https://www.spark-marketing.ru/Card/Person/138980", "МУП ""ШКОЛЬНОЕ ПИТАНИЕ Г. ВЕЛИКИЕ ЛУКИ""")</f>
        <v>МУП "ШКОЛЬНОЕ ПИТАНИЕ Г. ВЕЛИКИЕ ЛУКИ"</v>
      </c>
      <c r="K9703" s="24" t="s">
        <v>13835</v>
      </c>
      <c r="L9703" s="28" t="s">
        <v>51</v>
      </c>
      <c r="M9703" s="25">
        <v>3387012</v>
      </c>
      <c r="N9703" s="27">
        <v>0</v>
      </c>
    </row>
    <row r="9704" spans="1:14" collapsed="1" x14ac:dyDescent="0.15">
      <c r="A9704" s="23" t="str">
        <f>HYPERLINK("https://www.spark-marketing.ru/Card/Person/1007977", "МБОУ СОШ № 3 Г.НЕВИННОМЫССКА")</f>
        <v>МБОУ СОШ № 3 Г.НЕВИННОМЫССКА</v>
      </c>
      <c r="B9704" s="24" t="s">
        <v>13915</v>
      </c>
      <c r="C9704" s="25">
        <v>1845289.9</v>
      </c>
      <c r="D9704" s="22" t="s">
        <v>13916</v>
      </c>
      <c r="E9704" s="22" t="s">
        <v>48</v>
      </c>
      <c r="F9704" s="23" t="str">
        <f>HYPERLINK("https://www.spark-marketing.ru/Card/Lot/72529240", "Услуги по обеспечению горячим питанием")</f>
        <v>Услуги по обеспечению горячим питанием</v>
      </c>
      <c r="G9704" s="22" t="s">
        <v>87</v>
      </c>
      <c r="H9704" s="22" t="s">
        <v>7084</v>
      </c>
      <c r="I9704" s="26">
        <v>43677.412002314799</v>
      </c>
      <c r="J9704" s="28" t="s">
        <v>51</v>
      </c>
      <c r="K9704" s="28" t="s">
        <v>51</v>
      </c>
      <c r="L9704" s="28" t="s">
        <v>51</v>
      </c>
      <c r="M9704" s="28" t="s">
        <v>51</v>
      </c>
      <c r="N9704" s="28" t="s">
        <v>51</v>
      </c>
    </row>
    <row r="9705" spans="1:14" hidden="1" outlineLevel="1" x14ac:dyDescent="0.2">
      <c r="A9705" s="23" t="str">
        <f>HYPERLINK("https://www.spark-marketing.ru/Card/Person/1007977", "МБОУ СОШ № 3 Г.НЕВИННОМЫССКА")</f>
        <v>МБОУ СОШ № 3 Г.НЕВИННОМЫССКА</v>
      </c>
      <c r="B9705" s="24" t="s">
        <v>13915</v>
      </c>
      <c r="C9705" s="25">
        <v>1845289.9</v>
      </c>
      <c r="D9705" s="22" t="s">
        <v>13916</v>
      </c>
      <c r="E9705" s="22" t="s">
        <v>48</v>
      </c>
      <c r="F9705" s="23" t="str">
        <f>HYPERLINK("https://www.spark-marketing.ru/Card/Lot/72529240", "Услуги по обеспечению горячим питанием")</f>
        <v>Услуги по обеспечению горячим питанием</v>
      </c>
      <c r="G9705" s="22" t="s">
        <v>87</v>
      </c>
      <c r="H9705" s="22" t="s">
        <v>7084</v>
      </c>
      <c r="I9705" s="26">
        <v>43677.412002314799</v>
      </c>
      <c r="J9705" s="23" t="str">
        <f>HYPERLINK("https://www.spark-marketing.ru/Card/Person/216098", "ООО ""АЗАЛИЯ""")</f>
        <v>ООО "АЗАЛИЯ"</v>
      </c>
      <c r="K9705" s="24" t="s">
        <v>13917</v>
      </c>
      <c r="L9705" s="28" t="s">
        <v>51</v>
      </c>
      <c r="M9705" s="25">
        <v>1494665</v>
      </c>
      <c r="N9705" s="27">
        <v>0.19001074031782214</v>
      </c>
    </row>
    <row r="9706" spans="1:14" ht="12.75" hidden="1" outlineLevel="1" x14ac:dyDescent="0.2">
      <c r="A9706" s="23" t="str">
        <f>HYPERLINK("https://www.spark-marketing.ru/Card/Person/1007977", "МБОУ СОШ № 3 Г.НЕВИННОМЫССКА")</f>
        <v>МБОУ СОШ № 3 Г.НЕВИННОМЫССКА</v>
      </c>
      <c r="B9706" s="24" t="s">
        <v>13915</v>
      </c>
      <c r="C9706" s="25">
        <v>1845289.9</v>
      </c>
      <c r="D9706" s="22" t="s">
        <v>13916</v>
      </c>
      <c r="E9706" s="22" t="s">
        <v>48</v>
      </c>
      <c r="F9706" s="23" t="str">
        <f>HYPERLINK("https://www.spark-marketing.ru/Card/Lot/72529240", "Услуги по обеспечению горячим питанием")</f>
        <v>Услуги по обеспечению горячим питанием</v>
      </c>
      <c r="G9706" s="22" t="s">
        <v>87</v>
      </c>
      <c r="H9706" s="22" t="s">
        <v>7084</v>
      </c>
      <c r="I9706" s="26">
        <v>43677.412002314799</v>
      </c>
      <c r="J9706" s="23" t="str">
        <f>HYPERLINK("https://www.spark-marketing.ru/Card/Person/55563", "ООО ""КВАНТ-КАФЕ""")</f>
        <v>ООО "КВАНТ-КАФЕ"</v>
      </c>
      <c r="K9706" s="24" t="s">
        <v>13918</v>
      </c>
      <c r="L9706" s="22" t="s">
        <v>10</v>
      </c>
      <c r="M9706" s="25">
        <v>1485438.55</v>
      </c>
      <c r="N9706" s="27">
        <v>0.19501074058878229</v>
      </c>
    </row>
    <row r="9707" spans="1:14" x14ac:dyDescent="0.15">
      <c r="A9707" s="23" t="str">
        <f>HYPERLINK("https://www.spark-marketing.ru/Card/Person/732160", "ОМВД РОССИИ ПО ОЛОНЕЦКОМУ РАЙОНУ")</f>
        <v>ОМВД РОССИИ ПО ОЛОНЕЦКОМУ РАЙОНУ</v>
      </c>
      <c r="B9707" s="24" t="s">
        <v>13919</v>
      </c>
      <c r="C9707" s="25">
        <v>660000</v>
      </c>
      <c r="D9707" s="22" t="s">
        <v>13920</v>
      </c>
      <c r="E9707" s="22" t="s">
        <v>48</v>
      </c>
      <c r="F9707" s="23" t="str">
        <f>HYPERLINK("https://www.spark-marketing.ru/Card/Lot/72525851", "оказание услуг по организации питания лиц, содержащихся в ИВС и СПЗЛ")</f>
        <v>оказание услуг по организации питания лиц, содержащихся в ИВС и СПЗЛ</v>
      </c>
      <c r="G9707" s="22" t="s">
        <v>59</v>
      </c>
      <c r="H9707" s="22" t="s">
        <v>59</v>
      </c>
      <c r="I9707" s="26">
        <v>43677.373171296298</v>
      </c>
      <c r="J9707" s="23" t="str">
        <f>HYPERLINK("https://www.spark-marketing.ru/Card/Person/1116068", "ООО ""ЛАДОГА-2""")</f>
        <v>ООО "ЛАДОГА-2"</v>
      </c>
      <c r="K9707" s="24" t="s">
        <v>13921</v>
      </c>
      <c r="L9707" s="22" t="s">
        <v>10</v>
      </c>
      <c r="M9707" s="28" t="s">
        <v>51</v>
      </c>
      <c r="N9707" s="28" t="s">
        <v>51</v>
      </c>
    </row>
    <row r="9708" spans="1:14" collapsed="1" x14ac:dyDescent="0.15">
      <c r="A9708" s="23" t="str">
        <f>HYPERLINK("https://www.spark-marketing.ru/Card/Person/1035634", "МБОУ ""ЛИЦЕЙ № 1"" П. ДОБРИНКА")</f>
        <v>МБОУ "ЛИЦЕЙ № 1" П. ДОБРИНКА</v>
      </c>
      <c r="B9708" s="24" t="s">
        <v>1301</v>
      </c>
      <c r="C9708" s="25">
        <v>1124120</v>
      </c>
      <c r="D9708" s="22" t="s">
        <v>13922</v>
      </c>
      <c r="E9708" s="22" t="s">
        <v>48</v>
      </c>
      <c r="F9708" s="23" t="str">
        <f>HYPERLINK("https://www.spark-marketing.ru/Card/Lot/72527649", "6-ПИТ  Обеспечение готовым питанием учащихся школы (горячие завтраки), детей из многодетных семей (обеды) готовым питанием из полуфабрикатов МБОУ «Лицей №1»    п. Добринка  во 2 полугодии   2019г.")</f>
        <v>6-ПИТ  Обеспечение готовым питанием учащихся школы (горячие завтраки), детей из многодетных семей (обеды) готовым питанием из полуфабрикатов МБОУ «Лицей №1»    п. Добринка  во 2 полугодии   2019г.</v>
      </c>
      <c r="G9708" s="22" t="s">
        <v>101</v>
      </c>
      <c r="H9708" s="22" t="s">
        <v>1303</v>
      </c>
      <c r="I9708" s="26">
        <v>43677.369004629603</v>
      </c>
      <c r="J9708" s="28" t="s">
        <v>51</v>
      </c>
      <c r="K9708" s="28" t="s">
        <v>51</v>
      </c>
      <c r="L9708" s="28" t="s">
        <v>51</v>
      </c>
      <c r="M9708" s="28" t="s">
        <v>51</v>
      </c>
      <c r="N9708" s="28" t="s">
        <v>51</v>
      </c>
    </row>
    <row r="9709" spans="1:14" ht="12.75" hidden="1" outlineLevel="1" x14ac:dyDescent="0.2">
      <c r="A9709" s="23" t="str">
        <f>HYPERLINK("https://www.spark-marketing.ru/Card/Person/1035634", "МБОУ ""ЛИЦЕЙ № 1"" П. ДОБРИНКА")</f>
        <v>МБОУ "ЛИЦЕЙ № 1" П. ДОБРИНКА</v>
      </c>
      <c r="B9709" s="24" t="s">
        <v>1301</v>
      </c>
      <c r="C9709" s="25">
        <v>1124120</v>
      </c>
      <c r="D9709" s="22" t="s">
        <v>13922</v>
      </c>
      <c r="E9709" s="22" t="s">
        <v>48</v>
      </c>
      <c r="F9709" s="23" t="str">
        <f>HYPERLINK("https://www.spark-marketing.ru/Card/Lot/72527649", "6-ПИТ  Обеспечение готовым питанием учащихся школы (горячие завтраки), детей из многодетных семей (обеды) готовым питанием из полуфабрикатов МБОУ «Лицей №1»    п. Добринка  во 2 полугодии   2019г.")</f>
        <v>6-ПИТ  Обеспечение готовым питанием учащихся школы (горячие завтраки), детей из многодетных семей (обеды) готовым питанием из полуфабрикатов МБОУ «Лицей №1»    п. Добринка  во 2 полугодии   2019г.</v>
      </c>
      <c r="G9709" s="22" t="s">
        <v>101</v>
      </c>
      <c r="H9709" s="22" t="s">
        <v>1303</v>
      </c>
      <c r="I9709" s="26">
        <v>43677.369004629603</v>
      </c>
      <c r="J9709" s="23" t="str">
        <f>HYPERLINK("https://www.spark-marketing.ru/Card/Person/403490", "ООО ""ДОБРИНСКИЙ ОБЩЕПИТ""")</f>
        <v>ООО "ДОБРИНСКИЙ ОБЩЕПИТ"</v>
      </c>
      <c r="K9709" s="24" t="s">
        <v>13923</v>
      </c>
      <c r="L9709" s="22" t="s">
        <v>10</v>
      </c>
      <c r="M9709" s="25">
        <v>1112878.8</v>
      </c>
      <c r="N9709" s="27">
        <v>0.01</v>
      </c>
    </row>
    <row r="9710" spans="1:14" hidden="1" outlineLevel="1" x14ac:dyDescent="0.2">
      <c r="A9710" s="23" t="str">
        <f>HYPERLINK("https://www.spark-marketing.ru/Card/Person/1035634", "МБОУ ""ЛИЦЕЙ № 1"" П. ДОБРИНКА")</f>
        <v>МБОУ "ЛИЦЕЙ № 1" П. ДОБРИНКА</v>
      </c>
      <c r="B9710" s="24" t="s">
        <v>1301</v>
      </c>
      <c r="C9710" s="25">
        <v>1124120</v>
      </c>
      <c r="D9710" s="22" t="s">
        <v>13922</v>
      </c>
      <c r="E9710" s="22" t="s">
        <v>48</v>
      </c>
      <c r="F9710" s="23" t="str">
        <f>HYPERLINK("https://www.spark-marketing.ru/Card/Lot/72527649", "6-ПИТ  Обеспечение готовым питанием учащихся школы (горячие завтраки), детей из многодетных семей (обеды) готовым питанием из полуфабрикатов МБОУ «Лицей №1»    п. Добринка  во 2 полугодии   2019г.")</f>
        <v>6-ПИТ  Обеспечение готовым питанием учащихся школы (горячие завтраки), детей из многодетных семей (обеды) готовым питанием из полуфабрикатов МБОУ «Лицей №1»    п. Добринка  во 2 полугодии   2019г.</v>
      </c>
      <c r="G9710" s="22" t="s">
        <v>101</v>
      </c>
      <c r="H9710" s="22" t="s">
        <v>1303</v>
      </c>
      <c r="I9710" s="26">
        <v>43677.369004629603</v>
      </c>
      <c r="J9710" s="23" t="str">
        <f>HYPERLINK("https://www.spark-marketing.ru/Card/Person/6443644", "ООО ""ДОБРИНСКАЯ ЗАГОТКОНТОРА""")</f>
        <v>ООО "ДОБРИНСКАЯ ЗАГОТКОНТОРА"</v>
      </c>
      <c r="K9710" s="24" t="s">
        <v>13924</v>
      </c>
      <c r="L9710" s="28" t="s">
        <v>51</v>
      </c>
      <c r="M9710" s="25">
        <v>1118499.3999999999</v>
      </c>
      <c r="N9710" s="27">
        <v>5.0000000000000001E-3</v>
      </c>
    </row>
    <row r="9711" spans="1:14" x14ac:dyDescent="0.15">
      <c r="A9711" s="23" t="str">
        <f>HYPERLINK("https://www.spark-marketing.ru/Card/Person/653", "ФКУ ""ВСОУМТС МВД РОССИИ""")</f>
        <v>ФКУ "ВСОУМТС МВД РОССИИ"</v>
      </c>
      <c r="B9711" s="24" t="s">
        <v>11497</v>
      </c>
      <c r="C9711" s="25">
        <v>67000</v>
      </c>
      <c r="D9711" s="22" t="s">
        <v>13925</v>
      </c>
      <c r="E9711" s="22" t="s">
        <v>13926</v>
      </c>
      <c r="F9711" s="23" t="str">
        <f>HYPERLINK("https://www.spark-marketing.ru/Card/Lot/72497427", "Работы, Услуги")</f>
        <v>Работы, Услуги</v>
      </c>
      <c r="G9711" s="22" t="s">
        <v>263</v>
      </c>
      <c r="H9711" s="22" t="s">
        <v>2768</v>
      </c>
      <c r="I9711" s="26">
        <v>43677.205289351798</v>
      </c>
      <c r="J9711" s="28" t="s">
        <v>51</v>
      </c>
      <c r="K9711" s="28" t="s">
        <v>51</v>
      </c>
      <c r="L9711" s="28" t="s">
        <v>51</v>
      </c>
      <c r="M9711" s="28" t="s">
        <v>51</v>
      </c>
      <c r="N9711" s="28" t="s">
        <v>51</v>
      </c>
    </row>
    <row r="9712" spans="1:14" x14ac:dyDescent="0.15">
      <c r="A9712" s="23" t="str">
        <f>HYPERLINK("https://www.spark-marketing.ru/Card/Person/1298096", "МАОУ ""ЛИКИНО-ДУЛЁВСКИЙ ЛИЦЕЙ""")</f>
        <v>МАОУ "ЛИКИНО-ДУЛЁВСКИЙ ЛИЦЕЙ"</v>
      </c>
      <c r="B9712" s="24" t="s">
        <v>1080</v>
      </c>
      <c r="C9712" s="25">
        <v>2094300</v>
      </c>
      <c r="D9712" s="22" t="s">
        <v>13927</v>
      </c>
      <c r="E9712" s="22" t="s">
        <v>362</v>
      </c>
      <c r="F9712" s="23" t="str">
        <f>HYPERLINK("https://www.spark-marketing.ru/Card/Lot/72516819", "Оказание услуг по организации горячего питания обучающихся на второе полугодие 2019 года")</f>
        <v>Оказание услуг по организации горячего питания обучающихся на второе полугодие 2019 года</v>
      </c>
      <c r="G9712" s="22" t="s">
        <v>49</v>
      </c>
      <c r="H9712" s="22" t="s">
        <v>49</v>
      </c>
      <c r="I9712" s="26">
        <v>43677</v>
      </c>
      <c r="J9712" s="28" t="s">
        <v>51</v>
      </c>
      <c r="K9712" s="28" t="s">
        <v>51</v>
      </c>
      <c r="L9712" s="28" t="s">
        <v>51</v>
      </c>
      <c r="M9712" s="28" t="s">
        <v>51</v>
      </c>
      <c r="N9712" s="28" t="s">
        <v>51</v>
      </c>
    </row>
    <row r="9713" spans="1:14" x14ac:dyDescent="0.2">
      <c r="A9713" s="23" t="str">
        <f>HYPERLINK("https://www.spark-marketing.ru/Card/Person/6430263", "ФГАУ ""ВИТ ""ЭРА""")</f>
        <v>ФГАУ "ВИТ "ЭРА"</v>
      </c>
      <c r="B9713" s="24" t="s">
        <v>13094</v>
      </c>
      <c r="C9713" s="25">
        <v>184673.44</v>
      </c>
      <c r="D9713" s="22" t="s">
        <v>13928</v>
      </c>
      <c r="E9713" s="22" t="s">
        <v>13096</v>
      </c>
      <c r="F9713" s="23" t="str">
        <f>HYPERLINK("https://www.spark-marketing.ru/Card/Lot/72510977", "Оказание услуг по санитарно-гигиеническому (клининговые услуги) обслуживанию зданий, благоустройству ФГАУ ""ВИТ "" ""ЭРА"" Корпус № 1 (административный корпус с блоком общественного питания)")</f>
        <v>Оказание услуг по санитарно-гигиеническому (клининговые услуги) обслуживанию зданий, благоустройству ФГАУ "ВИТ " "ЭРА" Корпус № 1 (административный корпус с блоком общественного питания)</v>
      </c>
      <c r="G9713" s="22" t="s">
        <v>104</v>
      </c>
      <c r="H9713" s="22" t="s">
        <v>104</v>
      </c>
      <c r="I9713" s="26">
        <v>43677</v>
      </c>
      <c r="J9713" s="28" t="s">
        <v>51</v>
      </c>
      <c r="K9713" s="28" t="s">
        <v>51</v>
      </c>
      <c r="L9713" s="22" t="s">
        <v>10</v>
      </c>
      <c r="M9713" s="25">
        <v>184673.44</v>
      </c>
      <c r="N9713" s="27">
        <v>0</v>
      </c>
    </row>
    <row r="9714" spans="1:14" x14ac:dyDescent="0.15">
      <c r="A9714" s="23" t="str">
        <f>HYPERLINK("https://www.spark-marketing.ru/Card/Person/1285633", "ГАПОУ ЛО ""ВПК ""АЛЕКСАНДРОВСКИЙ""")</f>
        <v>ГАПОУ ЛО "ВПК "АЛЕКСАНДРОВСКИЙ"</v>
      </c>
      <c r="B9714" s="24" t="s">
        <v>13929</v>
      </c>
      <c r="C9714" s="25">
        <v>956352</v>
      </c>
      <c r="D9714" s="22" t="s">
        <v>13930</v>
      </c>
      <c r="E9714" s="22" t="s">
        <v>362</v>
      </c>
      <c r="F9714" s="23" t="str">
        <f>HYPERLINK("https://www.spark-marketing.ru/Card/Lot/72521731", "Оказание услуг по организации горячего питания для льготных категорий обучающихся")</f>
        <v>Оказание услуг по организации горячего питания для льготных категорий обучающихся</v>
      </c>
      <c r="G9714" s="22" t="s">
        <v>162</v>
      </c>
      <c r="H9714" s="22" t="s">
        <v>5558</v>
      </c>
      <c r="I9714" s="26">
        <v>43677</v>
      </c>
      <c r="J9714" s="28" t="s">
        <v>51</v>
      </c>
      <c r="K9714" s="28" t="s">
        <v>51</v>
      </c>
      <c r="L9714" s="28" t="s">
        <v>51</v>
      </c>
      <c r="M9714" s="28" t="s">
        <v>51</v>
      </c>
      <c r="N9714" s="28" t="s">
        <v>51</v>
      </c>
    </row>
    <row r="9715" spans="1:14" x14ac:dyDescent="0.2">
      <c r="A9715" s="23" t="str">
        <f>HYPERLINK("https://www.spark-marketing.ru/Card/Person/4348376", "АО ""ЖТК""")</f>
        <v>АО "ЖТК"</v>
      </c>
      <c r="B9715" s="24" t="s">
        <v>2312</v>
      </c>
      <c r="C9715" s="25">
        <v>2151086.75</v>
      </c>
      <c r="D9715" s="22" t="s">
        <v>13931</v>
      </c>
      <c r="E9715" s="22" t="s">
        <v>6502</v>
      </c>
      <c r="F9715" s="23" t="str">
        <f>HYPERLINK("https://www.spark-marketing.ru/Card/Lot/72519181", "Поставка безалкогольных напитков для предприятий общественного питания Шилкинского ТПО, оказывающих услуги питания работникам ОАО ""РЖД""")</f>
        <v>Поставка безалкогольных напитков для предприятий общественного питания Шилкинского ТПО, оказывающих услуги питания работникам ОАО "РЖД"</v>
      </c>
      <c r="G9715" s="22" t="s">
        <v>228</v>
      </c>
      <c r="H9715" s="22" t="s">
        <v>228</v>
      </c>
      <c r="I9715" s="26">
        <v>43677</v>
      </c>
      <c r="J9715" s="28" t="s">
        <v>51</v>
      </c>
      <c r="K9715" s="28" t="s">
        <v>51</v>
      </c>
      <c r="L9715" s="22" t="s">
        <v>10</v>
      </c>
      <c r="M9715" s="25">
        <v>2150469.4700000002</v>
      </c>
      <c r="N9715" s="27">
        <v>2.8696192750013455E-4</v>
      </c>
    </row>
    <row r="9716" spans="1:14" x14ac:dyDescent="0.15">
      <c r="A9716" s="23" t="str">
        <f>HYPERLINK("https://www.spark-marketing.ru/Card/Person/1274676", "МАОУ СОШ №23 Г. ЛИПЕЦКА")</f>
        <v>МАОУ СОШ №23 Г. ЛИПЕЦКА</v>
      </c>
      <c r="B9716" s="24" t="s">
        <v>6855</v>
      </c>
      <c r="C9716" s="25">
        <v>1246124</v>
      </c>
      <c r="D9716" s="22" t="s">
        <v>13932</v>
      </c>
      <c r="E9716" s="22" t="s">
        <v>362</v>
      </c>
      <c r="F9716" s="23" t="str">
        <f>HYPERLINK("https://www.spark-marketing.ru/Card/Lot/72509581", "Услуга по организации питания учащихся муниципального автономного общеобразовательного учреждения средней общеобразовательной школы №23 имени С.В. Добрина города Липецка")</f>
        <v>Услуга по организации питания учащихся муниципального автономного общеобразовательного учреждения средней общеобразовательной школы №23 имени С.В. Добрина города Липецка</v>
      </c>
      <c r="G9716" s="22" t="s">
        <v>101</v>
      </c>
      <c r="H9716" s="22" t="s">
        <v>728</v>
      </c>
      <c r="I9716" s="26">
        <v>43677</v>
      </c>
      <c r="J9716" s="28" t="s">
        <v>51</v>
      </c>
      <c r="K9716" s="28" t="s">
        <v>51</v>
      </c>
      <c r="L9716" s="28" t="s">
        <v>51</v>
      </c>
      <c r="M9716" s="28" t="s">
        <v>51</v>
      </c>
      <c r="N9716" s="28" t="s">
        <v>51</v>
      </c>
    </row>
    <row r="9717" spans="1:14" x14ac:dyDescent="0.2">
      <c r="A9717" s="23" t="str">
        <f>HYPERLINK("https://www.spark-marketing.ru/Card/Person/1378334", "МАОУ СЕЛЯТИНСКАЯ СОШ №2")</f>
        <v>МАОУ СЕЛЯТИНСКАЯ СОШ №2</v>
      </c>
      <c r="B9717" s="24" t="s">
        <v>13933</v>
      </c>
      <c r="C9717" s="25">
        <v>2235375</v>
      </c>
      <c r="D9717" s="22" t="s">
        <v>13934</v>
      </c>
      <c r="E9717" s="22" t="s">
        <v>13935</v>
      </c>
      <c r="F9717" s="23" t="str">
        <f>HYPERLINK("https://www.spark-marketing.ru/Card/Lot/72513782", "Оказание услуг по организации рационального горячего питания")</f>
        <v>Оказание услуг по организации рационального горячего питания</v>
      </c>
      <c r="G9717" s="22" t="s">
        <v>49</v>
      </c>
      <c r="H9717" s="22" t="s">
        <v>49</v>
      </c>
      <c r="I9717" s="26">
        <v>43677</v>
      </c>
      <c r="J9717" s="28" t="s">
        <v>51</v>
      </c>
      <c r="K9717" s="28" t="s">
        <v>51</v>
      </c>
      <c r="L9717" s="22" t="s">
        <v>10</v>
      </c>
      <c r="M9717" s="25">
        <v>2232390</v>
      </c>
      <c r="N9717" s="27">
        <v>1.3353464183861769E-3</v>
      </c>
    </row>
    <row r="9718" spans="1:14" x14ac:dyDescent="0.15">
      <c r="A9718" s="23" t="str">
        <f>HYPERLINK("https://www.spark-marketing.ru/Card/Person/18481", "ФГУП ""РОСРАО""")</f>
        <v>ФГУП "РОСРАО"</v>
      </c>
      <c r="B9718" s="24" t="s">
        <v>2882</v>
      </c>
      <c r="C9718" s="25">
        <v>986622</v>
      </c>
      <c r="D9718" s="22" t="s">
        <v>13936</v>
      </c>
      <c r="E9718" s="22" t="s">
        <v>362</v>
      </c>
      <c r="F9718" s="23" t="str">
        <f>HYPERLINK("https://www.spark-marketing.ru/Card/Lot/72521798", "Оказание услуг по обеспечению лечебно-профилактическим питанием, молоком, витаминизированными продуктами работников, занятых на работах с вредными условиями труда, Ленинградского отделения филиала «Северо-западный территориальный округ» ФГУП «РосРАО»...")</f>
        <v>Оказание услуг по обеспечению лечебно-профилактическим питанием, молоком, витаминизированными продуктами работников, занятых на работах с вредными условиями труда, Ленинградского отделения филиала «Северо-западный территориальный округ» ФГУП «РосРАО»...</v>
      </c>
      <c r="G9718" s="22" t="s">
        <v>56</v>
      </c>
      <c r="H9718" s="22" t="s">
        <v>56</v>
      </c>
      <c r="I9718" s="26">
        <v>43677</v>
      </c>
      <c r="J9718" s="28" t="s">
        <v>51</v>
      </c>
      <c r="K9718" s="28" t="s">
        <v>51</v>
      </c>
      <c r="L9718" s="28" t="s">
        <v>51</v>
      </c>
      <c r="M9718" s="28" t="s">
        <v>51</v>
      </c>
      <c r="N9718" s="28" t="s">
        <v>51</v>
      </c>
    </row>
    <row r="9719" spans="1:14" x14ac:dyDescent="0.15">
      <c r="A9719" s="23" t="str">
        <f>HYPERLINK("https://www.spark-marketing.ru/Card/Person/4855449", "МОСКОВСКИЙ ПОЛИТЕХНИЧЕСКИЙ УНИВЕРСИТЕТ, МОСКОВСКИЙ ПОЛИТЕХ, ПОЛИТЕХ")</f>
        <v>МОСКОВСКИЙ ПОЛИТЕХНИЧЕСКИЙ УНИВЕРСИТЕТ, МОСКОВСКИЙ ПОЛИТЕХ, ПОЛИТЕХ</v>
      </c>
      <c r="B9719" s="24" t="s">
        <v>6484</v>
      </c>
      <c r="C9719" s="25">
        <v>361591.98</v>
      </c>
      <c r="D9719" s="22" t="s">
        <v>13937</v>
      </c>
      <c r="E9719" s="22" t="s">
        <v>13938</v>
      </c>
      <c r="F9719" s="23" t="str">
        <f>HYPERLINK("https://www.spark-marketing.ru/Card/Lot/72521641", "Оказание услуг по организации питания участников мероприятий Московского Политеха")</f>
        <v>Оказание услуг по организации питания участников мероприятий Московского Политеха</v>
      </c>
      <c r="G9719" s="22" t="s">
        <v>56</v>
      </c>
      <c r="H9719" s="22" t="s">
        <v>56</v>
      </c>
      <c r="I9719" s="26">
        <v>43677</v>
      </c>
      <c r="J9719" s="28" t="s">
        <v>51</v>
      </c>
      <c r="K9719" s="28" t="s">
        <v>51</v>
      </c>
      <c r="L9719" s="28" t="s">
        <v>51</v>
      </c>
      <c r="M9719" s="28" t="s">
        <v>51</v>
      </c>
      <c r="N9719" s="28" t="s">
        <v>51</v>
      </c>
    </row>
    <row r="9720" spans="1:14" x14ac:dyDescent="0.15">
      <c r="A9720" s="23" t="str">
        <f>HYPERLINK("https://www.spark-marketing.ru/Card/Person/4345826", "ПАО СБЕРБАНК")</f>
        <v>ПАО СБЕРБАНК</v>
      </c>
      <c r="B9720" s="24" t="s">
        <v>2945</v>
      </c>
      <c r="C9720" s="25">
        <v>2059440.48</v>
      </c>
      <c r="D9720" s="22" t="s">
        <v>13939</v>
      </c>
      <c r="E9720" s="22" t="s">
        <v>13940</v>
      </c>
      <c r="F9720" s="23" t="str">
        <f>HYPERLINK("https://www.spark-marketing.ru/Card/Lot/72509488", "Оказание услуг по техническому обслуживанию источников бесперебойного питания на объекте аппарата ТБ")</f>
        <v>Оказание услуг по техническому обслуживанию источников бесперебойного питания на объекте аппарата ТБ</v>
      </c>
      <c r="G9720" s="22" t="s">
        <v>263</v>
      </c>
      <c r="H9720" s="22" t="s">
        <v>2768</v>
      </c>
      <c r="I9720" s="26">
        <v>43677</v>
      </c>
      <c r="J9720" s="28" t="s">
        <v>51</v>
      </c>
      <c r="K9720" s="28" t="s">
        <v>51</v>
      </c>
      <c r="L9720" s="28" t="s">
        <v>51</v>
      </c>
      <c r="M9720" s="28" t="s">
        <v>51</v>
      </c>
      <c r="N9720" s="28" t="s">
        <v>51</v>
      </c>
    </row>
    <row r="9721" spans="1:14" x14ac:dyDescent="0.2">
      <c r="A9721" s="23" t="str">
        <f>HYPERLINK("https://www.spark-marketing.ru/Card/Person/1309588", "МАОУ ""ПЕДАГОГИЧЕСКИЙ ЛИЦЕЙ""")</f>
        <v>МАОУ "ПЕДАГОГИЧЕСКИЙ ЛИЦЕЙ"</v>
      </c>
      <c r="B9721" s="24" t="s">
        <v>13941</v>
      </c>
      <c r="C9721" s="25">
        <v>1903380</v>
      </c>
      <c r="D9721" s="22" t="s">
        <v>13942</v>
      </c>
      <c r="E9721" s="22" t="s">
        <v>362</v>
      </c>
      <c r="F9721" s="23" t="str">
        <f>HYPERLINK("https://www.spark-marketing.ru/Card/Lot/72509801", "Оказание услуг общественного питания учащихся с 03.09.2019г. по 27.12.2019г.в МАОУ ""Педагогический лицей""")</f>
        <v>Оказание услуг общественного питания учащихся с 03.09.2019г. по 27.12.2019г.в МАОУ "Педагогический лицей"</v>
      </c>
      <c r="G9721" s="22" t="s">
        <v>415</v>
      </c>
      <c r="H9721" s="22" t="s">
        <v>415</v>
      </c>
      <c r="I9721" s="26">
        <v>43677</v>
      </c>
      <c r="J9721" s="28" t="s">
        <v>51</v>
      </c>
      <c r="K9721" s="28" t="s">
        <v>51</v>
      </c>
      <c r="L9721" s="22" t="s">
        <v>10</v>
      </c>
      <c r="M9721" s="25">
        <v>1903380</v>
      </c>
      <c r="N9721" s="27">
        <v>0</v>
      </c>
    </row>
    <row r="9722" spans="1:14" x14ac:dyDescent="0.15">
      <c r="A9722" s="23" t="str">
        <f>HYPERLINK("https://www.spark-marketing.ru/Card/Person/63443", "АО ""РИК АВТОДОР""")</f>
        <v>АО "РИК АВТОДОР"</v>
      </c>
      <c r="B9722" s="24" t="s">
        <v>13943</v>
      </c>
      <c r="C9722" s="25">
        <v>2000000</v>
      </c>
      <c r="D9722" s="22" t="s">
        <v>13944</v>
      </c>
      <c r="E9722" s="22" t="s">
        <v>362</v>
      </c>
      <c r="F9722" s="23" t="str">
        <f>HYPERLINK("https://www.spark-marketing.ru/Card/Lot/72509835", "Закупка у единственного поставщика на оказание услуг по организации питания работников АО «РИК Автодор»")</f>
        <v>Закупка у единственного поставщика на оказание услуг по организации питания работников АО «РИК Автодор»</v>
      </c>
      <c r="G9722" s="22" t="s">
        <v>241</v>
      </c>
      <c r="H9722" s="22" t="s">
        <v>241</v>
      </c>
      <c r="I9722" s="26">
        <v>43677</v>
      </c>
      <c r="J9722" s="28" t="s">
        <v>51</v>
      </c>
      <c r="K9722" s="28" t="s">
        <v>51</v>
      </c>
      <c r="L9722" s="28" t="s">
        <v>51</v>
      </c>
      <c r="M9722" s="28" t="s">
        <v>51</v>
      </c>
      <c r="N9722" s="28" t="s">
        <v>51</v>
      </c>
    </row>
    <row r="9723" spans="1:14" x14ac:dyDescent="0.15">
      <c r="A9723" s="23" t="str">
        <f>HYPERLINK("https://www.spark-marketing.ru/Card/Person/1390375", "ФГАУ ""УПРАВЛЕНИЕ СПОРТМЕРОПРИЯТИЙ""")</f>
        <v>ФГАУ "УПРАВЛЕНИЕ СПОРТМЕРОПРИЯТИЙ"</v>
      </c>
      <c r="B9723" s="24" t="s">
        <v>2632</v>
      </c>
      <c r="C9723" s="25">
        <v>1702400</v>
      </c>
      <c r="D9723" s="22" t="s">
        <v>13945</v>
      </c>
      <c r="E9723" s="22" t="s">
        <v>580</v>
      </c>
      <c r="F9723" s="23" t="str">
        <f>HYPERLINK("https://www.spark-marketing.ru/Card/Lot/72513695", "Оказание услуг по организации питания участников Всероссийских соревнований по футболу ""Кожаный мяч"" - финальные соревнования среди мальчиков 2008-2009 гг.р.")</f>
        <v>Оказание услуг по организации питания участников Всероссийских соревнований по футболу "Кожаный мяч" - финальные соревнования среди мальчиков 2008-2009 гг.р.</v>
      </c>
      <c r="G9723" s="22" t="s">
        <v>1047</v>
      </c>
      <c r="H9723" s="22" t="s">
        <v>1047</v>
      </c>
      <c r="I9723" s="26">
        <v>43677</v>
      </c>
      <c r="J9723" s="28" t="s">
        <v>51</v>
      </c>
      <c r="K9723" s="28" t="s">
        <v>51</v>
      </c>
      <c r="L9723" s="28" t="s">
        <v>51</v>
      </c>
      <c r="M9723" s="28" t="s">
        <v>51</v>
      </c>
      <c r="N9723" s="28" t="s">
        <v>51</v>
      </c>
    </row>
    <row r="9724" spans="1:14" x14ac:dyDescent="0.15">
      <c r="A9724" s="23" t="str">
        <f>HYPERLINK("https://www.spark-marketing.ru/Card/Person/1759562", "МАДОУ ДЕТСКИЙ САД № 37")</f>
        <v>МАДОУ ДЕТСКИЙ САД № 37</v>
      </c>
      <c r="B9724" s="24" t="s">
        <v>2037</v>
      </c>
      <c r="C9724" s="25">
        <v>108066</v>
      </c>
      <c r="D9724" s="22" t="s">
        <v>13946</v>
      </c>
      <c r="E9724" s="22" t="s">
        <v>1412</v>
      </c>
      <c r="F9724" s="23" t="str">
        <f>HYPERLINK("https://www.spark-marketing.ru/Card/Lot/72507725", "Услуги организации питания")</f>
        <v>Услуги организации питания</v>
      </c>
      <c r="G9724" s="22" t="s">
        <v>145</v>
      </c>
      <c r="H9724" s="22" t="s">
        <v>145</v>
      </c>
      <c r="I9724" s="26">
        <v>43677</v>
      </c>
      <c r="J9724" s="28" t="s">
        <v>51</v>
      </c>
      <c r="K9724" s="28" t="s">
        <v>51</v>
      </c>
      <c r="L9724" s="28" t="s">
        <v>51</v>
      </c>
      <c r="M9724" s="28" t="s">
        <v>51</v>
      </c>
      <c r="N9724" s="28" t="s">
        <v>51</v>
      </c>
    </row>
    <row r="9725" spans="1:14" x14ac:dyDescent="0.15">
      <c r="A9725" s="23" t="str">
        <f>HYPERLINK("https://www.spark-marketing.ru/Card/Person/50743", "МП ""ДЕТСКОЕ ПИТАНИЕ""")</f>
        <v>МП "ДЕТСКОЕ ПИТАНИЕ"</v>
      </c>
      <c r="B9725" s="24" t="s">
        <v>1562</v>
      </c>
      <c r="C9725" s="25">
        <v>8744712</v>
      </c>
      <c r="D9725" s="22" t="s">
        <v>13947</v>
      </c>
      <c r="E9725" s="22" t="s">
        <v>1564</v>
      </c>
      <c r="F9725" s="23" t="str">
        <f>HYPERLINK("https://www.spark-marketing.ru/Card/Lot/72520823", "Поставка творога (для оказания услуг по предоставлению питания школьникам)")</f>
        <v>Поставка творога (для оказания услуг по предоставлению питания школьникам)</v>
      </c>
      <c r="G9725" s="22" t="s">
        <v>1522</v>
      </c>
      <c r="H9725" s="22" t="s">
        <v>1523</v>
      </c>
      <c r="I9725" s="26">
        <v>43677</v>
      </c>
      <c r="J9725" s="28" t="s">
        <v>51</v>
      </c>
      <c r="K9725" s="28" t="s">
        <v>51</v>
      </c>
      <c r="L9725" s="28" t="s">
        <v>51</v>
      </c>
      <c r="M9725" s="28" t="s">
        <v>51</v>
      </c>
      <c r="N9725" s="28" t="s">
        <v>51</v>
      </c>
    </row>
    <row r="9726" spans="1:14" x14ac:dyDescent="0.15">
      <c r="A9726" s="23" t="str">
        <f>HYPERLINK("https://www.spark-marketing.ru/Card/Person/1309591", "МАОУ СОШ № 16")</f>
        <v>МАОУ СОШ № 16</v>
      </c>
      <c r="B9726" s="24" t="s">
        <v>13948</v>
      </c>
      <c r="C9726" s="25">
        <v>1982112</v>
      </c>
      <c r="D9726" s="22" t="s">
        <v>13949</v>
      </c>
      <c r="E9726" s="22" t="s">
        <v>362</v>
      </c>
      <c r="F9726" s="23" t="str">
        <f>HYPERLINK("https://www.spark-marketing.ru/Card/Lot/72501045", "Оказание услуг по организации питания учащихся на период с 03.09.2019 года по 27.12.2019 года в МАОУ «СОШ № 16».")</f>
        <v>Оказание услуг по организации питания учащихся на период с 03.09.2019 года по 27.12.2019 года в МАОУ «СОШ № 16».</v>
      </c>
      <c r="G9726" s="22" t="s">
        <v>415</v>
      </c>
      <c r="H9726" s="22" t="s">
        <v>415</v>
      </c>
      <c r="I9726" s="26">
        <v>43677</v>
      </c>
      <c r="J9726" s="28" t="s">
        <v>51</v>
      </c>
      <c r="K9726" s="28" t="s">
        <v>51</v>
      </c>
      <c r="L9726" s="28" t="s">
        <v>51</v>
      </c>
      <c r="M9726" s="28" t="s">
        <v>51</v>
      </c>
      <c r="N9726" s="28" t="s">
        <v>51</v>
      </c>
    </row>
    <row r="9727" spans="1:14" x14ac:dyDescent="0.2">
      <c r="A9727" s="23" t="str">
        <f>HYPERLINK("https://www.spark-marketing.ru/Card/Person/1197817", "АО ""ИЗДАТЕЛЬСКИЙ ДОМ ""ГУДОК""")</f>
        <v>АО "ИЗДАТЕЛЬСКИЙ ДОМ "ГУДОК"</v>
      </c>
      <c r="B9727" s="24" t="s">
        <v>7747</v>
      </c>
      <c r="C9727" s="25">
        <v>12000000</v>
      </c>
      <c r="D9727" s="22" t="s">
        <v>13950</v>
      </c>
      <c r="E9727" s="22" t="s">
        <v>580</v>
      </c>
      <c r="F9727" s="23" t="str">
        <f>HYPERLINK("https://www.spark-marketing.ru/Card/Lot/72522484", "Оказание комплексных услуг по организации питания в рамках проведения Международного транспортно-логистического форума ""PRO//Движение.1520"" в г.Сочи")</f>
        <v>Оказание комплексных услуг по организации питания в рамках проведения Международного транспортно-логистического форума "PRO//Движение.1520" в г.Сочи</v>
      </c>
      <c r="G9727" s="22" t="s">
        <v>56</v>
      </c>
      <c r="H9727" s="22" t="s">
        <v>56</v>
      </c>
      <c r="I9727" s="26">
        <v>43677</v>
      </c>
      <c r="J9727" s="28" t="s">
        <v>51</v>
      </c>
      <c r="K9727" s="28" t="s">
        <v>51</v>
      </c>
      <c r="L9727" s="28" t="s">
        <v>51</v>
      </c>
      <c r="M9727" s="25">
        <v>10926942</v>
      </c>
      <c r="N9727" s="27">
        <v>8.9421500000000001E-2</v>
      </c>
    </row>
    <row r="9728" spans="1:14" x14ac:dyDescent="0.2">
      <c r="A9728" s="23" t="str">
        <f>HYPERLINK("https://www.spark-marketing.ru/Card/Person/864280", "АО ""АЭРОПОРТ РОЩИНО""")</f>
        <v>АО "АЭРОПОРТ РОЩИНО"</v>
      </c>
      <c r="B9728" s="24" t="s">
        <v>13951</v>
      </c>
      <c r="C9728" s="25">
        <v>361200</v>
      </c>
      <c r="D9728" s="22" t="s">
        <v>13952</v>
      </c>
      <c r="E9728" s="22" t="s">
        <v>774</v>
      </c>
      <c r="F9728" s="23" t="str">
        <f>HYPERLINK("https://www.spark-marketing.ru/Card/Lot/72502787", "Оказание услуг по сервисному техническому обслуживанию оборудования Цеха бортового питания")</f>
        <v>Оказание услуг по сервисному техническому обслуживанию оборудования Цеха бортового питания</v>
      </c>
      <c r="G9728" s="22" t="s">
        <v>766</v>
      </c>
      <c r="H9728" s="22" t="s">
        <v>766</v>
      </c>
      <c r="I9728" s="26">
        <v>43677</v>
      </c>
      <c r="J9728" s="28" t="s">
        <v>51</v>
      </c>
      <c r="K9728" s="28" t="s">
        <v>51</v>
      </c>
      <c r="L9728" s="22" t="s">
        <v>10</v>
      </c>
      <c r="M9728" s="25">
        <v>299000</v>
      </c>
      <c r="N9728" s="27">
        <v>0.17220376522702105</v>
      </c>
    </row>
    <row r="9729" spans="1:14" x14ac:dyDescent="0.15">
      <c r="A9729" s="23" t="str">
        <f>HYPERLINK("https://www.spark-marketing.ru/Card/Person/796945", "ГАУЗ ""ЭГКБ № 1""")</f>
        <v>ГАУЗ "ЭГКБ № 1"</v>
      </c>
      <c r="B9729" s="24" t="s">
        <v>2044</v>
      </c>
      <c r="C9729" s="25">
        <v>2427969.7799999998</v>
      </c>
      <c r="D9729" s="22" t="s">
        <v>13953</v>
      </c>
      <c r="E9729" s="22" t="s">
        <v>765</v>
      </c>
      <c r="F9729" s="23" t="str">
        <f>HYPERLINK("https://www.spark-marketing.ru/Card/Lot/72515606", "Оказание услуг по приготовлению и доставке питания для пациентов государственного автономного учреждения здравоохранения «Энгельсская городская клиническая больница № 1»")</f>
        <v>Оказание услуг по приготовлению и доставке питания для пациентов государственного автономного учреждения здравоохранения «Энгельсская городская клиническая больница № 1»</v>
      </c>
      <c r="G9729" s="22" t="s">
        <v>351</v>
      </c>
      <c r="H9729" s="22" t="s">
        <v>2046</v>
      </c>
      <c r="I9729" s="26">
        <v>43677</v>
      </c>
      <c r="J9729" s="28" t="s">
        <v>51</v>
      </c>
      <c r="K9729" s="28" t="s">
        <v>51</v>
      </c>
      <c r="L9729" s="28" t="s">
        <v>51</v>
      </c>
      <c r="M9729" s="28" t="s">
        <v>51</v>
      </c>
      <c r="N9729" s="28" t="s">
        <v>51</v>
      </c>
    </row>
    <row r="9730" spans="1:14" x14ac:dyDescent="0.15">
      <c r="A9730" s="23" t="str">
        <f>HYPERLINK("https://www.spark-marketing.ru/Card/Person/24963", "УРГЮУ, ФГБОУ ВО ""УРАЛЬСКИЙ ГОСУДАРСТВЕННЫЙ ЮРИДИЧЕСКИЙ УНИВЕРСИТЕТ"", УРАЛЬСКИЙ ГОСУДАРСТВЕННЫЙ ЮРИДИЧЕСКИЙ УНИВЕРСИТЕТ, ФГБОУ ВО ""УРГЮУ""")</f>
        <v>УРГЮУ, ФГБОУ ВО "УРАЛЬСКИЙ ГОСУДАРСТВЕННЫЙ ЮРИДИЧЕСКИЙ УНИВЕРСИТЕТ", УРАЛЬСКИЙ ГОСУДАРСТВЕННЫЙ ЮРИДИЧЕСКИЙ УНИВЕРСИТЕТ, ФГБОУ ВО "УРГЮУ"</v>
      </c>
      <c r="B9730" s="24" t="s">
        <v>13954</v>
      </c>
      <c r="C9730" s="25">
        <v>27966.67</v>
      </c>
      <c r="D9730" s="22" t="s">
        <v>13955</v>
      </c>
      <c r="E9730" s="22" t="s">
        <v>13956</v>
      </c>
      <c r="F9730" s="23" t="str">
        <f>HYPERLINK("https://www.spark-marketing.ru/Card/Lot/72507625", "Оказание услуг по техническому обслуживанию жироуловителя в комбинате питания на ул. Колмогорова, 54 в соответствии с прикрепленным извещением.")</f>
        <v>Оказание услуг по техническому обслуживанию жироуловителя в комбинате питания на ул. Колмогорова, 54 в соответствии с прикрепленным извещением.</v>
      </c>
      <c r="G9730" s="22" t="s">
        <v>174</v>
      </c>
      <c r="H9730" s="22" t="s">
        <v>530</v>
      </c>
      <c r="I9730" s="26">
        <v>43677</v>
      </c>
      <c r="J9730" s="28" t="s">
        <v>51</v>
      </c>
      <c r="K9730" s="28" t="s">
        <v>51</v>
      </c>
      <c r="L9730" s="28" t="s">
        <v>51</v>
      </c>
      <c r="M9730" s="28" t="s">
        <v>51</v>
      </c>
      <c r="N9730" s="28" t="s">
        <v>51</v>
      </c>
    </row>
    <row r="9731" spans="1:14" x14ac:dyDescent="0.15">
      <c r="A9731" s="23" t="str">
        <f>HYPERLINK("https://www.spark-marketing.ru/Card/Person/6450322", "ЗАКАЗЧИК РП БЕЛАРУСЬ")</f>
        <v>ЗАКАЗЧИК РП БЕЛАРУСЬ</v>
      </c>
      <c r="B9731" s="28" t="s">
        <v>51</v>
      </c>
      <c r="C9731" s="25">
        <v>1869498</v>
      </c>
      <c r="D9731" s="22" t="s">
        <v>13957</v>
      </c>
      <c r="E9731" s="22" t="s">
        <v>52</v>
      </c>
      <c r="F9731" s="23" t="str">
        <f>HYPERLINK("https://www.spark-marketing.ru/Card/Lot/72511264", "организация питания")</f>
        <v>организация питания</v>
      </c>
      <c r="G9731" s="22" t="s">
        <v>51</v>
      </c>
      <c r="H9731" s="22" t="s">
        <v>51</v>
      </c>
      <c r="I9731" s="26">
        <v>43677</v>
      </c>
      <c r="J9731" s="28" t="s">
        <v>51</v>
      </c>
      <c r="K9731" s="28" t="s">
        <v>51</v>
      </c>
      <c r="L9731" s="28" t="s">
        <v>51</v>
      </c>
      <c r="M9731" s="28" t="s">
        <v>51</v>
      </c>
      <c r="N9731" s="28" t="s">
        <v>51</v>
      </c>
    </row>
    <row r="9732" spans="1:14" x14ac:dyDescent="0.15">
      <c r="A9732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9732" s="24" t="s">
        <v>1909</v>
      </c>
      <c r="C9732" s="25">
        <v>111000</v>
      </c>
      <c r="D9732" s="22" t="s">
        <v>13958</v>
      </c>
      <c r="E9732" s="22" t="s">
        <v>769</v>
      </c>
      <c r="F9732" s="23" t="str">
        <f>HYPERLINK("https://www.spark-marketing.ru/Card/Lot/72499569", "Услуги по проживанию и питанию (гостиничные услуги) индивидуальных клиентов/групп клиентов (спортивных команд - участников спортивных мероприятий, проводимых в городе Уфа) в период проведения футбольных матчей Первенства России МОО «Урал и Западная С...")</f>
        <v>Услуги по проживанию и питанию (гостиничные услуги) индивидуальных клиентов/групп клиентов (спортивных команд - участников спортивных мероприятий, проводимых в городе Уфа) в период проведения футбольных матчей Первенства России МОО «Урал и Западная С...</v>
      </c>
      <c r="G9732" s="22" t="s">
        <v>145</v>
      </c>
      <c r="H9732" s="22" t="s">
        <v>145</v>
      </c>
      <c r="I9732" s="26">
        <v>43677</v>
      </c>
      <c r="J9732" s="28" t="s">
        <v>51</v>
      </c>
      <c r="K9732" s="28" t="s">
        <v>51</v>
      </c>
      <c r="L9732" s="28" t="s">
        <v>51</v>
      </c>
      <c r="M9732" s="28" t="s">
        <v>51</v>
      </c>
      <c r="N9732" s="28" t="s">
        <v>51</v>
      </c>
    </row>
    <row r="9733" spans="1:14" x14ac:dyDescent="0.2">
      <c r="A9733" s="23" t="str">
        <f>HYPERLINK("https://www.spark-marketing.ru/Card/Person/1759811", "МАОУ СОШ №7")</f>
        <v>МАОУ СОШ №7</v>
      </c>
      <c r="B9733" s="24" t="s">
        <v>13959</v>
      </c>
      <c r="C9733" s="25">
        <v>3302744.7</v>
      </c>
      <c r="D9733" s="22" t="s">
        <v>13960</v>
      </c>
      <c r="E9733" s="22" t="s">
        <v>362</v>
      </c>
      <c r="F9733" s="23" t="str">
        <f>HYPERLINK("https://www.spark-marketing.ru/Card/Lot/72510375", "Оказание услуг по организации питания обучающихся")</f>
        <v>Оказание услуг по организации питания обучающихся</v>
      </c>
      <c r="G9733" s="22" t="s">
        <v>766</v>
      </c>
      <c r="H9733" s="22" t="s">
        <v>766</v>
      </c>
      <c r="I9733" s="26">
        <v>43677</v>
      </c>
      <c r="J9733" s="28" t="s">
        <v>51</v>
      </c>
      <c r="K9733" s="28" t="s">
        <v>51</v>
      </c>
      <c r="L9733" s="22" t="s">
        <v>10</v>
      </c>
      <c r="M9733" s="25">
        <v>3302744.7</v>
      </c>
      <c r="N9733" s="27">
        <v>0</v>
      </c>
    </row>
    <row r="9734" spans="1:14" x14ac:dyDescent="0.15">
      <c r="A9734" s="23" t="str">
        <f>HYPERLINK("https://www.spark-marketing.ru/Card/Person/1274718", "МАОУ СОШ №17 Г.ЛИПЕЦКА")</f>
        <v>МАОУ СОШ №17 Г.ЛИПЕЦКА</v>
      </c>
      <c r="B9734" s="24" t="s">
        <v>13961</v>
      </c>
      <c r="C9734" s="25">
        <v>4262616</v>
      </c>
      <c r="D9734" s="22" t="s">
        <v>13962</v>
      </c>
      <c r="E9734" s="22" t="s">
        <v>362</v>
      </c>
      <c r="F9734" s="23" t="str">
        <f>HYPERLINK("https://www.spark-marketing.ru/Card/Lot/72524962", "Услуга по организации питания учащихся муниципального автономного общеобразовательного учреждения средней общеобразовательной школы №17 города Липецка")</f>
        <v>Услуга по организации питания учащихся муниципального автономного общеобразовательного учреждения средней общеобразовательной школы №17 города Липецка</v>
      </c>
      <c r="G9734" s="22" t="s">
        <v>101</v>
      </c>
      <c r="H9734" s="22" t="s">
        <v>728</v>
      </c>
      <c r="I9734" s="26">
        <v>43677</v>
      </c>
      <c r="J9734" s="28" t="s">
        <v>51</v>
      </c>
      <c r="K9734" s="28" t="s">
        <v>51</v>
      </c>
      <c r="L9734" s="22" t="s">
        <v>10</v>
      </c>
      <c r="M9734" s="28" t="s">
        <v>51</v>
      </c>
      <c r="N9734" s="28" t="s">
        <v>51</v>
      </c>
    </row>
    <row r="9735" spans="1:14" x14ac:dyDescent="0.15">
      <c r="A9735" s="23" t="str">
        <f>HYPERLINK("https://www.spark-marketing.ru/Card/Person/22935", "КБГУ, КАБАРДИНО-БАЛКАРСКИЙ ГОСУДАРСТВЕННЫЙ УНИВЕРСИТЕТ ИМ. Х. М. БЕРБЕКОВА")</f>
        <v>КБГУ, КАБАРДИНО-БАЛКАРСКИЙ ГОСУДАРСТВЕННЫЙ УНИВЕРСИТЕТ ИМ. Х. М. БЕРБЕКОВА</v>
      </c>
      <c r="B9735" s="24" t="s">
        <v>1200</v>
      </c>
      <c r="C9735" s="25">
        <v>210000</v>
      </c>
      <c r="D9735" s="22" t="s">
        <v>13963</v>
      </c>
      <c r="E9735" s="22" t="s">
        <v>580</v>
      </c>
      <c r="F9735" s="23" t="str">
        <f>HYPERLINK("https://www.spark-marketing.ru/Card/Lot/72520628", "Услуги по организации питания сотрудников Государственного Эрмитажа")</f>
        <v>Услуги по организации питания сотрудников Государственного Эрмитажа</v>
      </c>
      <c r="G9735" s="22" t="s">
        <v>986</v>
      </c>
      <c r="H9735" s="22" t="s">
        <v>986</v>
      </c>
      <c r="I9735" s="26">
        <v>43677</v>
      </c>
      <c r="J9735" s="28" t="s">
        <v>51</v>
      </c>
      <c r="K9735" s="28" t="s">
        <v>51</v>
      </c>
      <c r="L9735" s="28" t="s">
        <v>51</v>
      </c>
      <c r="M9735" s="28" t="s">
        <v>51</v>
      </c>
      <c r="N9735" s="28" t="s">
        <v>51</v>
      </c>
    </row>
    <row r="9736" spans="1:14" x14ac:dyDescent="0.2">
      <c r="A9736" s="23" t="str">
        <f>HYPERLINK("https://www.spark-marketing.ru/Card/Person/151026", "МУЗЕЙ-ЗАПОВЕДНИК П.И.ЧАЙКОВСКОГО")</f>
        <v>МУЗЕЙ-ЗАПОВЕДНИК П.И.ЧАЙКОВСКОГО</v>
      </c>
      <c r="B9736" s="24" t="s">
        <v>13964</v>
      </c>
      <c r="C9736" s="25">
        <v>53220</v>
      </c>
      <c r="D9736" s="22" t="s">
        <v>13965</v>
      </c>
      <c r="E9736" s="22" t="s">
        <v>562</v>
      </c>
      <c r="F9736" s="23" t="str">
        <f>HYPERLINK("https://www.spark-marketing.ru/Card/Lot/72511863", "Оказание услуг по обеспечению питанием участников делегаций Международного фестиваля искусств П.И. Чайковского")</f>
        <v>Оказание услуг по обеспечению питанием участников делегаций Международного фестиваля искусств П.И. Чайковского</v>
      </c>
      <c r="G9736" s="22" t="s">
        <v>49</v>
      </c>
      <c r="H9736" s="22" t="s">
        <v>13966</v>
      </c>
      <c r="I9736" s="26">
        <v>43677</v>
      </c>
      <c r="J9736" s="28" t="s">
        <v>51</v>
      </c>
      <c r="K9736" s="28" t="s">
        <v>51</v>
      </c>
      <c r="L9736" s="28" t="s">
        <v>51</v>
      </c>
      <c r="M9736" s="25">
        <v>53220</v>
      </c>
      <c r="N9736" s="27">
        <v>0</v>
      </c>
    </row>
    <row r="9737" spans="1:14" x14ac:dyDescent="0.15">
      <c r="A9737" s="23" t="str">
        <f>HYPERLINK("https://www.spark-marketing.ru/Card/Person/4413841", "ООО ""ГАЗПРОМ ТРАНСГАЗ САМАРА""")</f>
        <v>ООО "ГАЗПРОМ ТРАНСГАЗ САМАРА"</v>
      </c>
      <c r="B9737" s="24" t="s">
        <v>13575</v>
      </c>
      <c r="C9737" s="25">
        <v>270000</v>
      </c>
      <c r="D9737" s="22" t="s">
        <v>13967</v>
      </c>
      <c r="E9737" s="22" t="s">
        <v>362</v>
      </c>
      <c r="F9737" s="23" t="str">
        <f>HYPERLINK("https://www.spark-marketing.ru/Card/Lot/72502137", "Оказание услуг по организации питания для гостей совещания руководителей подразделений корпоративной защиты дочерних обществ и организаций ПАО «Газпром» в ресторане «Русская охота»")</f>
        <v>Оказание услуг по организации питания для гостей совещания руководителей подразделений корпоративной защиты дочерних обществ и организаций ПАО «Газпром» в ресторане «Русская охота»</v>
      </c>
      <c r="G9737" s="22" t="s">
        <v>128</v>
      </c>
      <c r="H9737" s="22" t="s">
        <v>129</v>
      </c>
      <c r="I9737" s="26">
        <v>43677</v>
      </c>
      <c r="J9737" s="28" t="s">
        <v>51</v>
      </c>
      <c r="K9737" s="28" t="s">
        <v>51</v>
      </c>
      <c r="L9737" s="28" t="s">
        <v>51</v>
      </c>
      <c r="M9737" s="28" t="s">
        <v>51</v>
      </c>
      <c r="N9737" s="28" t="s">
        <v>51</v>
      </c>
    </row>
    <row r="9738" spans="1:14" x14ac:dyDescent="0.15">
      <c r="A9738" s="23" t="str">
        <f>HYPERLINK("https://www.spark-marketing.ru/Card/Person/4353102", "ПАО ""ПЕРМЭНЕРГОСБЫТ""")</f>
        <v>ПАО "ПЕРМЭНЕРГОСБЫТ"</v>
      </c>
      <c r="B9738" s="24" t="s">
        <v>13968</v>
      </c>
      <c r="C9738" s="25">
        <v>1210000</v>
      </c>
      <c r="D9738" s="22" t="s">
        <v>13969</v>
      </c>
      <c r="E9738" s="22" t="s">
        <v>13970</v>
      </c>
      <c r="F9738" s="23" t="str">
        <f>HYPERLINK("https://www.spark-marketing.ru/Card/Lot/72501016", "Поставка, монтаж, настройка, пуско-наладка оборудования системы управления электронной очередью, оказание услуг по технической поддержке и передаче неисключительных прав на использование программного обеспечения")</f>
        <v>Поставка, монтаж, настройка, пуско-наладка оборудования системы управления электронной очередью, оказание услуг по технической поддержке и передаче неисключительных прав на использование программного обеспечения</v>
      </c>
      <c r="G9738" s="22" t="s">
        <v>153</v>
      </c>
      <c r="H9738" s="22" t="s">
        <v>3981</v>
      </c>
      <c r="I9738" s="26">
        <v>43677</v>
      </c>
      <c r="J9738" s="28" t="s">
        <v>51</v>
      </c>
      <c r="K9738" s="28" t="s">
        <v>51</v>
      </c>
      <c r="L9738" s="28" t="s">
        <v>51</v>
      </c>
      <c r="M9738" s="28" t="s">
        <v>51</v>
      </c>
      <c r="N9738" s="28" t="s">
        <v>51</v>
      </c>
    </row>
    <row r="9739" spans="1:14" x14ac:dyDescent="0.15">
      <c r="A9739" s="23" t="str">
        <f>HYPERLINK("https://www.spark-marketing.ru/Card/Person/68214", "МАОУ СОШ № 13 ИМ П. А. ЛЕОНОВА Г.ЮЖНО-САХАЛИНСКА")</f>
        <v>МАОУ СОШ № 13 ИМ П. А. ЛЕОНОВА Г.ЮЖНО-САХАЛИНСКА</v>
      </c>
      <c r="B9739" s="24" t="s">
        <v>13971</v>
      </c>
      <c r="C9739" s="25">
        <v>4377677.28</v>
      </c>
      <c r="D9739" s="22" t="s">
        <v>13972</v>
      </c>
      <c r="E9739" s="22" t="s">
        <v>580</v>
      </c>
      <c r="F9739" s="23" t="str">
        <f>HYPERLINK("https://www.spark-marketing.ru/Card/Lot/72516499", "«Оказание услуг МАОУ СОШ № 13 им. П.А. Леонова г. Южно-Сахалинска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се...")</f>
        <v>«Оказание услуг МАОУ СОШ № 13 им. П.А. Леонова г. Южно-Сахалинска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се...</v>
      </c>
      <c r="G9739" s="22" t="s">
        <v>260</v>
      </c>
      <c r="H9739" s="22" t="s">
        <v>260</v>
      </c>
      <c r="I9739" s="26">
        <v>43677</v>
      </c>
      <c r="J9739" s="28" t="s">
        <v>51</v>
      </c>
      <c r="K9739" s="28" t="s">
        <v>51</v>
      </c>
      <c r="L9739" s="28" t="s">
        <v>51</v>
      </c>
      <c r="M9739" s="28" t="s">
        <v>51</v>
      </c>
      <c r="N9739" s="28" t="s">
        <v>51</v>
      </c>
    </row>
    <row r="9740" spans="1:14" x14ac:dyDescent="0.2">
      <c r="A9740" s="23" t="str">
        <f>HYPERLINK("https://www.spark-marketing.ru/Card/Person/4348376", "АО ""ЖТК""")</f>
        <v>АО "ЖТК"</v>
      </c>
      <c r="B9740" s="24" t="s">
        <v>2312</v>
      </c>
      <c r="C9740" s="25">
        <v>2042000</v>
      </c>
      <c r="D9740" s="22" t="s">
        <v>13973</v>
      </c>
      <c r="E9740" s="22" t="s">
        <v>2319</v>
      </c>
      <c r="F9740" s="23" t="str">
        <f>HYPERLINK("https://www.spark-marketing.ru/Card/Lot/72517765", "Поставка овощей и фруктов свежих для предприятий общественного питания Шилкинского ТПО, оказывающих услуги питания работникам ОАО ""РЖД""")</f>
        <v>Поставка овощей и фруктов свежих для предприятий общественного питания Шилкинского ТПО, оказывающих услуги питания работникам ОАО "РЖД"</v>
      </c>
      <c r="G9740" s="22" t="s">
        <v>228</v>
      </c>
      <c r="H9740" s="22" t="s">
        <v>228</v>
      </c>
      <c r="I9740" s="26">
        <v>43677</v>
      </c>
      <c r="J9740" s="28" t="s">
        <v>51</v>
      </c>
      <c r="K9740" s="28" t="s">
        <v>51</v>
      </c>
      <c r="L9740" s="22" t="s">
        <v>10</v>
      </c>
      <c r="M9740" s="25">
        <v>2041706.5</v>
      </c>
      <c r="N9740" s="27">
        <v>1.4373163565132224E-4</v>
      </c>
    </row>
    <row r="9741" spans="1:14" x14ac:dyDescent="0.15">
      <c r="A9741" s="23" t="str">
        <f>HYPERLINK("https://www.spark-marketing.ru/Card/Person/22935", "КБГУ, КАБАРДИНО-БАЛКАРСКИЙ ГОСУДАРСТВЕННЫЙ УНИВЕРСИТЕТ ИМ. Х. М. БЕРБЕКОВА")</f>
        <v>КБГУ, КАБАРДИНО-БАЛКАРСКИЙ ГОСУДАРСТВЕННЫЙ УНИВЕРСИТЕТ ИМ. Х. М. БЕРБЕКОВА</v>
      </c>
      <c r="B9741" s="24" t="s">
        <v>1200</v>
      </c>
      <c r="C9741" s="25">
        <v>621270</v>
      </c>
      <c r="D9741" s="22" t="s">
        <v>13974</v>
      </c>
      <c r="E9741" s="22" t="s">
        <v>580</v>
      </c>
      <c r="F9741" s="23" t="str">
        <f>HYPERLINK("https://www.spark-marketing.ru/Card/Lot/72519599", "Услуги по организации питания")</f>
        <v>Услуги по организации питания</v>
      </c>
      <c r="G9741" s="22" t="s">
        <v>986</v>
      </c>
      <c r="H9741" s="22" t="s">
        <v>986</v>
      </c>
      <c r="I9741" s="26">
        <v>43677</v>
      </c>
      <c r="J9741" s="28" t="s">
        <v>51</v>
      </c>
      <c r="K9741" s="28" t="s">
        <v>51</v>
      </c>
      <c r="L9741" s="28" t="s">
        <v>51</v>
      </c>
      <c r="M9741" s="28" t="s">
        <v>51</v>
      </c>
      <c r="N9741" s="28" t="s">
        <v>51</v>
      </c>
    </row>
    <row r="9742" spans="1:14" x14ac:dyDescent="0.15">
      <c r="A9742" s="23" t="str">
        <f>HYPERLINK("https://www.spark-marketing.ru/Card/Person/4345826", "ПАО СБЕРБАНК")</f>
        <v>ПАО СБЕРБАНК</v>
      </c>
      <c r="B9742" s="24" t="s">
        <v>2945</v>
      </c>
      <c r="C9742" s="25">
        <v>539300</v>
      </c>
      <c r="D9742" s="22" t="s">
        <v>13939</v>
      </c>
      <c r="E9742" s="22" t="s">
        <v>13940</v>
      </c>
      <c r="F9742" s="23" t="str">
        <f>HYPERLINK("https://www.spark-marketing.ru/Card/Lot/72509489", "Оказание услуг по техническому обслуживанию источников бесперебойного питания на объекте Иркутского ГОСБ № 8586")</f>
        <v>Оказание услуг по техническому обслуживанию источников бесперебойного питания на объекте Иркутского ГОСБ № 8586</v>
      </c>
      <c r="G9742" s="22" t="s">
        <v>263</v>
      </c>
      <c r="H9742" s="22" t="s">
        <v>2768</v>
      </c>
      <c r="I9742" s="26">
        <v>43677</v>
      </c>
      <c r="J9742" s="28" t="s">
        <v>51</v>
      </c>
      <c r="K9742" s="28" t="s">
        <v>51</v>
      </c>
      <c r="L9742" s="28" t="s">
        <v>51</v>
      </c>
      <c r="M9742" s="28" t="s">
        <v>51</v>
      </c>
      <c r="N9742" s="28" t="s">
        <v>51</v>
      </c>
    </row>
    <row r="9743" spans="1:14" x14ac:dyDescent="0.15">
      <c r="A9743" s="23" t="str">
        <f>HYPERLINK("https://www.spark-marketing.ru/Card/Person/4348376", "АО ""ЖТК""")</f>
        <v>АО "ЖТК"</v>
      </c>
      <c r="B9743" s="24" t="s">
        <v>2312</v>
      </c>
      <c r="C9743" s="25">
        <v>918179.2</v>
      </c>
      <c r="D9743" s="22" t="s">
        <v>13975</v>
      </c>
      <c r="E9743" s="22" t="s">
        <v>2420</v>
      </c>
      <c r="F9743" s="23" t="str">
        <f>HYPERLINK("https://www.spark-marketing.ru/Card/Lot/72513249", "Поставка колбасных изделий для предприятий общественного питания Читинского ТПО, оказывающих услуги питания работникам ОАО ""РЖД""")</f>
        <v>Поставка колбасных изделий для предприятий общественного питания Читинского ТПО, оказывающих услуги питания работникам ОАО "РЖД"</v>
      </c>
      <c r="G9743" s="22" t="s">
        <v>228</v>
      </c>
      <c r="H9743" s="22" t="s">
        <v>228</v>
      </c>
      <c r="I9743" s="26">
        <v>43677</v>
      </c>
      <c r="J9743" s="28" t="s">
        <v>51</v>
      </c>
      <c r="K9743" s="28" t="s">
        <v>51</v>
      </c>
      <c r="L9743" s="28" t="s">
        <v>51</v>
      </c>
      <c r="M9743" s="28" t="s">
        <v>51</v>
      </c>
      <c r="N9743" s="28" t="s">
        <v>51</v>
      </c>
    </row>
    <row r="9744" spans="1:14" x14ac:dyDescent="0.15">
      <c r="A9744" s="23" t="str">
        <f>HYPERLINK("https://www.spark-marketing.ru/Card/Person/1072960", "МАОУ ГИМНАЗИЯ № 69 Г. ЛИПЕЦКА")</f>
        <v>МАОУ ГИМНАЗИЯ № 69 Г. ЛИПЕЦКА</v>
      </c>
      <c r="B9744" s="24" t="s">
        <v>13976</v>
      </c>
      <c r="C9744" s="25">
        <v>2250720</v>
      </c>
      <c r="D9744" s="22" t="s">
        <v>13977</v>
      </c>
      <c r="E9744" s="22" t="s">
        <v>362</v>
      </c>
      <c r="F9744" s="23" t="str">
        <f>HYPERLINK("https://www.spark-marketing.ru/Card/Lot/72509875", "Услуга по организации питания учащихся муниципального автономного общеобразовательного учреждения гимназии № 69 имени С. Есенина г. Липецка")</f>
        <v>Услуга по организации питания учащихся муниципального автономного общеобразовательного учреждения гимназии № 69 имени С. Есенина г. Липецка</v>
      </c>
      <c r="G9744" s="22" t="s">
        <v>101</v>
      </c>
      <c r="H9744" s="22" t="s">
        <v>728</v>
      </c>
      <c r="I9744" s="26">
        <v>43677</v>
      </c>
      <c r="J9744" s="28" t="s">
        <v>51</v>
      </c>
      <c r="K9744" s="28" t="s">
        <v>51</v>
      </c>
      <c r="L9744" s="22" t="s">
        <v>10</v>
      </c>
      <c r="M9744" s="28" t="s">
        <v>51</v>
      </c>
      <c r="N9744" s="28" t="s">
        <v>51</v>
      </c>
    </row>
    <row r="9745" spans="1:14" x14ac:dyDescent="0.2">
      <c r="A9745" s="23" t="str">
        <f>HYPERLINK("https://www.spark-marketing.ru/Card/Person/4346656", "ФГБУ ""ТЦСКР ""КРЫМСКИЙ""")</f>
        <v>ФГБУ "ТЦСКР "КРЫМСКИЙ"</v>
      </c>
      <c r="B9745" s="24" t="s">
        <v>2225</v>
      </c>
      <c r="C9745" s="25">
        <v>499525</v>
      </c>
      <c r="D9745" s="22" t="s">
        <v>13978</v>
      </c>
      <c r="E9745" s="22" t="s">
        <v>580</v>
      </c>
      <c r="F9745" s="23" t="str">
        <f>HYPERLINK("https://www.spark-marketing.ru/Card/Lot/72512273", "Оказание услуг питания")</f>
        <v>Оказание услуг питания</v>
      </c>
      <c r="G9745" s="22" t="s">
        <v>108</v>
      </c>
      <c r="H9745" s="22" t="s">
        <v>375</v>
      </c>
      <c r="I9745" s="26">
        <v>43677</v>
      </c>
      <c r="J9745" s="28" t="s">
        <v>51</v>
      </c>
      <c r="K9745" s="28" t="s">
        <v>51</v>
      </c>
      <c r="L9745" s="28" t="s">
        <v>51</v>
      </c>
      <c r="M9745" s="25">
        <v>499525</v>
      </c>
      <c r="N9745" s="27">
        <v>0</v>
      </c>
    </row>
    <row r="9746" spans="1:14" x14ac:dyDescent="0.15">
      <c r="A9746" s="23" t="str">
        <f>HYPERLINK("https://www.spark-marketing.ru/Card/Person/50743", "МП ""ДЕТСКОЕ ПИТАНИЕ""")</f>
        <v>МП "ДЕТСКОЕ ПИТАНИЕ"</v>
      </c>
      <c r="B9746" s="24" t="s">
        <v>1562</v>
      </c>
      <c r="C9746" s="25">
        <v>1088791.2</v>
      </c>
      <c r="D9746" s="22" t="s">
        <v>13979</v>
      </c>
      <c r="E9746" s="22" t="s">
        <v>13980</v>
      </c>
      <c r="F9746" s="23" t="str">
        <f>HYPERLINK("https://www.spark-marketing.ru/Card/Lot/72518591", "Поставка масла растительного (для оказания услуг по предоставлению питания школьникам).")</f>
        <v>Поставка масла растительного (для оказания услуг по предоставлению питания школьникам).</v>
      </c>
      <c r="G9746" s="22" t="s">
        <v>1522</v>
      </c>
      <c r="H9746" s="22" t="s">
        <v>1523</v>
      </c>
      <c r="I9746" s="26">
        <v>43677</v>
      </c>
      <c r="J9746" s="28" t="s">
        <v>51</v>
      </c>
      <c r="K9746" s="28" t="s">
        <v>51</v>
      </c>
      <c r="L9746" s="28" t="s">
        <v>51</v>
      </c>
      <c r="M9746" s="28" t="s">
        <v>51</v>
      </c>
      <c r="N9746" s="28" t="s">
        <v>51</v>
      </c>
    </row>
    <row r="9747" spans="1:14" x14ac:dyDescent="0.2">
      <c r="A9747" s="23" t="str">
        <f>HYPERLINK("https://www.spark-marketing.ru/Card/Person/1759576", "МАОУ ""ЦО № 1""")</f>
        <v>МАОУ "ЦО № 1"</v>
      </c>
      <c r="B9747" s="24" t="s">
        <v>1087</v>
      </c>
      <c r="C9747" s="25">
        <v>1651200</v>
      </c>
      <c r="D9747" s="22" t="s">
        <v>13981</v>
      </c>
      <c r="E9747" s="22" t="s">
        <v>362</v>
      </c>
      <c r="F9747" s="23" t="str">
        <f>HYPERLINK("https://www.spark-marketing.ru/Card/Lot/72518609", "Оказание услуг по организации питания обучающихся муниципального автономного общеобразовательного учреждения «Центр образования № 1» г. Белгорода по адресу г. Белгород, ул. Н.Чумичова, 53-а")</f>
        <v>Оказание услуг по организации питания обучающихся муниципального автономного общеобразовательного учреждения «Центр образования № 1» г. Белгорода по адресу г. Белгород, ул. Н.Чумичова, 53-а</v>
      </c>
      <c r="G9747" s="22" t="s">
        <v>696</v>
      </c>
      <c r="H9747" s="22" t="s">
        <v>696</v>
      </c>
      <c r="I9747" s="26">
        <v>43677</v>
      </c>
      <c r="J9747" s="28" t="s">
        <v>51</v>
      </c>
      <c r="K9747" s="28" t="s">
        <v>51</v>
      </c>
      <c r="L9747" s="22" t="s">
        <v>10</v>
      </c>
      <c r="M9747" s="25">
        <v>1651200</v>
      </c>
      <c r="N9747" s="27">
        <v>0</v>
      </c>
    </row>
    <row r="9748" spans="1:14" x14ac:dyDescent="0.15">
      <c r="A9748" s="23" t="str">
        <f>HYPERLINK("https://www.spark-marketing.ru/Card/Person/1390375", "ФГАУ ""УПРАВЛЕНИЕ СПОРТМЕРОПРИЯТИЙ""")</f>
        <v>ФГАУ "УПРАВЛЕНИЕ СПОРТМЕРОПРИЯТИЙ"</v>
      </c>
      <c r="B9748" s="24" t="s">
        <v>2632</v>
      </c>
      <c r="C9748" s="25">
        <v>1702400</v>
      </c>
      <c r="D9748" s="22" t="s">
        <v>13982</v>
      </c>
      <c r="E9748" s="22" t="s">
        <v>580</v>
      </c>
      <c r="F9748" s="23" t="str">
        <f>HYPERLINK("https://www.spark-marketing.ru/Card/Lot/72513696", "Оказание услуг по организации питания участников Всероссийских соревнований по футболу ""Кожаный мяч"" - финальные соревнования среди мальчиков 2008-2009 гг.р.")</f>
        <v>Оказание услуг по организации питания участников Всероссийских соревнований по футболу "Кожаный мяч" - финальные соревнования среди мальчиков 2008-2009 гг.р.</v>
      </c>
      <c r="G9748" s="22" t="s">
        <v>1047</v>
      </c>
      <c r="H9748" s="22" t="s">
        <v>1047</v>
      </c>
      <c r="I9748" s="26">
        <v>43677</v>
      </c>
      <c r="J9748" s="28" t="s">
        <v>51</v>
      </c>
      <c r="K9748" s="28" t="s">
        <v>51</v>
      </c>
      <c r="L9748" s="28" t="s">
        <v>51</v>
      </c>
      <c r="M9748" s="28" t="s">
        <v>51</v>
      </c>
      <c r="N9748" s="28" t="s">
        <v>51</v>
      </c>
    </row>
    <row r="9749" spans="1:14" x14ac:dyDescent="0.2">
      <c r="A9749" s="23" t="str">
        <f>HYPERLINK("https://www.spark-marketing.ru/Card/Person/151787", "МАОУ АПРЕЛЕВСКАЯ СОШ №3 С УГЛУБЛЕННЫМ ИЗУЧЕНИЕМ ОТДЕЛЬНЫХ ПРЕДМЕТОВ")</f>
        <v>МАОУ АПРЕЛЕВСКАЯ СОШ №3 С УГЛУБЛЕННЫМ ИЗУЧЕНИЕМ ОТДЕЛЬНЫХ ПРЕДМЕТОВ</v>
      </c>
      <c r="B9749" s="24" t="s">
        <v>13983</v>
      </c>
      <c r="C9749" s="25">
        <v>3235875</v>
      </c>
      <c r="D9749" s="22" t="s">
        <v>13984</v>
      </c>
      <c r="E9749" s="22" t="s">
        <v>362</v>
      </c>
      <c r="F9749" s="23" t="str">
        <f>HYPERLINK("https://www.spark-marketing.ru/Card/Lot/72510373", "Оказание услуг по организации рационального горячего питания")</f>
        <v>Оказание услуг по организации рационального горячего питания</v>
      </c>
      <c r="G9749" s="22" t="s">
        <v>49</v>
      </c>
      <c r="H9749" s="22" t="s">
        <v>49</v>
      </c>
      <c r="I9749" s="26">
        <v>43677</v>
      </c>
      <c r="J9749" s="28" t="s">
        <v>51</v>
      </c>
      <c r="K9749" s="28" t="s">
        <v>51</v>
      </c>
      <c r="L9749" s="22" t="s">
        <v>10</v>
      </c>
      <c r="M9749" s="25">
        <v>3232695</v>
      </c>
      <c r="N9749" s="27">
        <v>9.8273264572951678E-4</v>
      </c>
    </row>
    <row r="9750" spans="1:14" x14ac:dyDescent="0.15">
      <c r="A9750" s="23" t="str">
        <f>HYPERLINK("https://www.spark-marketing.ru/Card/Person/30607", "ГБУЗ ""ГБ"" Г. ГАЯ")</f>
        <v>ГБУЗ "ГБ" Г. ГАЯ</v>
      </c>
      <c r="B9750" s="24" t="s">
        <v>13985</v>
      </c>
      <c r="C9750" s="25">
        <v>3910.27</v>
      </c>
      <c r="D9750" s="22" t="s">
        <v>13986</v>
      </c>
      <c r="E9750" s="22" t="s">
        <v>336</v>
      </c>
      <c r="F9750" s="23" t="str">
        <f>HYPERLINK("https://www.spark-marketing.ru/Card/Lot/72503616", "На поставку адаптированной молочной смеси")</f>
        <v>На поставку адаптированной молочной смеси</v>
      </c>
      <c r="G9750" s="22" t="s">
        <v>132</v>
      </c>
      <c r="H9750" s="22" t="s">
        <v>2782</v>
      </c>
      <c r="I9750" s="26">
        <v>43676.838981481502</v>
      </c>
      <c r="J9750" s="28" t="s">
        <v>51</v>
      </c>
      <c r="K9750" s="28" t="s">
        <v>51</v>
      </c>
      <c r="L9750" s="28" t="s">
        <v>51</v>
      </c>
      <c r="M9750" s="28" t="s">
        <v>51</v>
      </c>
      <c r="N9750" s="28" t="s">
        <v>51</v>
      </c>
    </row>
    <row r="9751" spans="1:14" x14ac:dyDescent="0.15">
      <c r="A9751" s="23" t="str">
        <f>HYPERLINK("https://www.spark-marketing.ru/Card/Person/59218", "ФКУЗ ГКЦМСР ФСИН РОССИИ")</f>
        <v>ФКУЗ ГКЦМСР ФСИН РОССИИ</v>
      </c>
      <c r="B9751" s="24" t="s">
        <v>581</v>
      </c>
      <c r="C9751" s="25">
        <v>1030365</v>
      </c>
      <c r="D9751" s="22" t="s">
        <v>13987</v>
      </c>
      <c r="E9751" s="22" t="s">
        <v>583</v>
      </c>
      <c r="F9751" s="23" t="str">
        <f>HYPERLINK("https://www.spark-marketing.ru/Card/Lot/72526986", "Услуги по ремонту источника бесперебойного питания компьютерного томографа с заменой аккумуляторных батарей и дополнительного оборудования")</f>
        <v>Услуги по ремонту источника бесперебойного питания компьютерного томографа с заменой аккумуляторных батарей и дополнительного оборудования</v>
      </c>
      <c r="G9751" s="22" t="s">
        <v>56</v>
      </c>
      <c r="H9751" s="22" t="s">
        <v>56</v>
      </c>
      <c r="I9751" s="26">
        <v>43676.834884259297</v>
      </c>
      <c r="J9751" s="28" t="s">
        <v>51</v>
      </c>
      <c r="K9751" s="28" t="s">
        <v>51</v>
      </c>
      <c r="L9751" s="28" t="s">
        <v>51</v>
      </c>
      <c r="M9751" s="28" t="s">
        <v>51</v>
      </c>
      <c r="N9751" s="28" t="s">
        <v>51</v>
      </c>
    </row>
    <row r="9752" spans="1:14" x14ac:dyDescent="0.15">
      <c r="A9752" s="23" t="str">
        <f>HYPERLINK("https://www.spark-marketing.ru/Card/Person/58914", "МДОУ № 5")</f>
        <v>МДОУ № 5</v>
      </c>
      <c r="B9752" s="24" t="s">
        <v>13988</v>
      </c>
      <c r="C9752" s="25">
        <v>1309869</v>
      </c>
      <c r="D9752" s="22" t="s">
        <v>13989</v>
      </c>
      <c r="E9752" s="22" t="s">
        <v>48</v>
      </c>
      <c r="F9752" s="23" t="str">
        <f>HYPERLINK("https://www.spark-marketing.ru/Card/Lot/72492516",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752" s="22" t="s">
        <v>49</v>
      </c>
      <c r="H9752" s="22" t="s">
        <v>6942</v>
      </c>
      <c r="I9752" s="26">
        <v>43676.811527777798</v>
      </c>
      <c r="J9752" s="28" t="s">
        <v>51</v>
      </c>
      <c r="K9752" s="28" t="s">
        <v>51</v>
      </c>
      <c r="L9752" s="28" t="s">
        <v>51</v>
      </c>
      <c r="M9752" s="28" t="s">
        <v>51</v>
      </c>
      <c r="N9752" s="28" t="s">
        <v>51</v>
      </c>
    </row>
    <row r="9753" spans="1:14" x14ac:dyDescent="0.15">
      <c r="A9753" s="23" t="str">
        <f>HYPERLINK("https://www.spark-marketing.ru/Card/Person/16197", "АГЕНТСТВО ПО ДЕЛАМ ЮСТИЦИИ И МИРОВЫХ СУДЕЙ ПЕРМСКОГО КРАЯ")</f>
        <v>АГЕНТСТВО ПО ДЕЛАМ ЮСТИЦИИ И МИРОВЫХ СУДЕЙ ПЕРМСКОГО КРАЯ</v>
      </c>
      <c r="B9753" s="24" t="s">
        <v>13990</v>
      </c>
      <c r="C9753" s="25">
        <v>2249700</v>
      </c>
      <c r="D9753" s="22" t="s">
        <v>13991</v>
      </c>
      <c r="E9753" s="22" t="s">
        <v>91</v>
      </c>
      <c r="F9753" s="23" t="str">
        <f>HYPERLINK("https://www.spark-marketing.ru/Card/Lot/72529729", "Оказание услуг по обеспечению функционирования технических средств обработки информации судебных участков")</f>
        <v>Оказание услуг по обеспечению функционирования технических средств обработки информации судебных участков</v>
      </c>
      <c r="G9753" s="22" t="s">
        <v>153</v>
      </c>
      <c r="H9753" s="22" t="s">
        <v>153</v>
      </c>
      <c r="I9753" s="26">
        <v>43676.820497685199</v>
      </c>
      <c r="J9753" s="23" t="str">
        <f>HYPERLINK("https://www.spark-marketing.ru/Card/Person/6431462", "ООО ""СПП""")</f>
        <v>ООО "СПП"</v>
      </c>
      <c r="K9753" s="24" t="s">
        <v>5306</v>
      </c>
      <c r="L9753" s="28" t="s">
        <v>51</v>
      </c>
      <c r="M9753" s="28" t="s">
        <v>51</v>
      </c>
      <c r="N9753" s="28" t="s">
        <v>51</v>
      </c>
    </row>
    <row r="9754" spans="1:14" ht="12.75" hidden="1" outlineLevel="1" x14ac:dyDescent="0.2">
      <c r="A9754" s="23" t="str">
        <f>HYPERLINK("https://www.spark-marketing.ru/Card/Person/16197", "АГЕНТСТВО ПО ДЕЛАМ ЮСТИЦИИ И МИРОВЫХ СУДЕЙ ПЕРМСКОГО КРАЯ")</f>
        <v>АГЕНТСТВО ПО ДЕЛАМ ЮСТИЦИИ И МИРОВЫХ СУДЕЙ ПЕРМСКОГО КРАЯ</v>
      </c>
      <c r="B9754" s="24" t="s">
        <v>13990</v>
      </c>
      <c r="C9754" s="25">
        <v>2249700</v>
      </c>
      <c r="D9754" s="22" t="s">
        <v>13991</v>
      </c>
      <c r="E9754" s="22" t="s">
        <v>91</v>
      </c>
      <c r="F9754" s="23" t="str">
        <f>HYPERLINK("https://www.spark-marketing.ru/Card/Lot/72529729", "Оказание услуг по обеспечению функционирования технических средств обработки информации судебных участков")</f>
        <v>Оказание услуг по обеспечению функционирования технических средств обработки информации судебных участков</v>
      </c>
      <c r="G9754" s="22" t="s">
        <v>153</v>
      </c>
      <c r="H9754" s="22" t="s">
        <v>153</v>
      </c>
      <c r="I9754" s="26">
        <v>43676.820497685199</v>
      </c>
      <c r="J9754" s="23" t="str">
        <f>HYPERLINK("https://www.spark-marketing.ru/Card/Person/6431462", "ООО ""СПП""")</f>
        <v>ООО "СПП"</v>
      </c>
      <c r="K9754" s="24" t="s">
        <v>5306</v>
      </c>
      <c r="L9754" s="22" t="s">
        <v>10</v>
      </c>
      <c r="M9754" s="25">
        <v>2238451.5</v>
      </c>
      <c r="N9754" s="27">
        <v>5.0000000000000001E-3</v>
      </c>
    </row>
    <row r="9755" spans="1:14" x14ac:dyDescent="0.15">
      <c r="A9755" s="23" t="str">
        <f>HYPERLINK("https://www.spark-marketing.ru/Card/Person/6441528", "ФГБУ ""ФЦЦПИ"" МИНЗДРАВА РОССИИ")</f>
        <v>ФГБУ "ФЦЦПИ" МИНЗДРАВА РОССИИ</v>
      </c>
      <c r="B9755" s="24" t="s">
        <v>13992</v>
      </c>
      <c r="C9755" s="25">
        <v>134000</v>
      </c>
      <c r="D9755" s="22" t="s">
        <v>13993</v>
      </c>
      <c r="E9755" s="22" t="s">
        <v>355</v>
      </c>
      <c r="F9755" s="23" t="str">
        <f>HYPERLINK("https://www.spark-marketing.ru/Card/Lot/72518808", "Оказание услуг по техническому обслуживанию  источников бесперебойного питания")</f>
        <v>Оказание услуг по техническому обслуживанию  источников бесперебойного питания</v>
      </c>
      <c r="G9755" s="22" t="s">
        <v>56</v>
      </c>
      <c r="H9755" s="22" t="s">
        <v>56</v>
      </c>
      <c r="I9755" s="26">
        <v>43676.776712963001</v>
      </c>
      <c r="J9755" s="28" t="s">
        <v>51</v>
      </c>
      <c r="K9755" s="28" t="s">
        <v>51</v>
      </c>
      <c r="L9755" s="28" t="s">
        <v>51</v>
      </c>
      <c r="M9755" s="28" t="s">
        <v>51</v>
      </c>
      <c r="N9755" s="28" t="s">
        <v>51</v>
      </c>
    </row>
    <row r="9756" spans="1:14" ht="12.75" hidden="1" outlineLevel="1" x14ac:dyDescent="0.2">
      <c r="A9756" s="23" t="str">
        <f>HYPERLINK("https://www.spark-marketing.ru/Card/Person/6441528", "ФГБУ ""ФЦЦПИ"" МИНЗДРАВА РОССИИ")</f>
        <v>ФГБУ "ФЦЦПИ" МИНЗДРАВА РОССИИ</v>
      </c>
      <c r="B9756" s="24" t="s">
        <v>13992</v>
      </c>
      <c r="C9756" s="25">
        <v>134000</v>
      </c>
      <c r="D9756" s="22" t="s">
        <v>13993</v>
      </c>
      <c r="E9756" s="22" t="s">
        <v>355</v>
      </c>
      <c r="F9756" s="23" t="str">
        <f>HYPERLINK("https://www.spark-marketing.ru/Card/Lot/72518808", "Оказание услуг по техническому обслуживанию  источников бесперебойного питания")</f>
        <v>Оказание услуг по техническому обслуживанию  источников бесперебойного питания</v>
      </c>
      <c r="G9756" s="22" t="s">
        <v>56</v>
      </c>
      <c r="H9756" s="22" t="s">
        <v>56</v>
      </c>
      <c r="I9756" s="26">
        <v>43676.776712963001</v>
      </c>
      <c r="J9756" s="23" t="str">
        <f>HYPERLINK("https://www.spark-marketing.ru/Card/Person/1854961", "ООО ""ЭЛИТКОМФОРТ""")</f>
        <v>ООО "ЭЛИТКОМФОРТ"</v>
      </c>
      <c r="K9756" s="24" t="s">
        <v>13994</v>
      </c>
      <c r="L9756" s="22" t="s">
        <v>10</v>
      </c>
      <c r="M9756" s="25">
        <v>132660</v>
      </c>
      <c r="N9756" s="27">
        <v>0.01</v>
      </c>
    </row>
    <row r="9757" spans="1:14" hidden="1" outlineLevel="1" x14ac:dyDescent="0.2">
      <c r="A9757" s="23" t="str">
        <f>HYPERLINK("https://www.spark-marketing.ru/Card/Person/6441528", "ФГБУ ""ФЦЦПИ"" МИНЗДРАВА РОССИИ")</f>
        <v>ФГБУ "ФЦЦПИ" МИНЗДРАВА РОССИИ</v>
      </c>
      <c r="B9757" s="24" t="s">
        <v>13992</v>
      </c>
      <c r="C9757" s="25">
        <v>134000</v>
      </c>
      <c r="D9757" s="22" t="s">
        <v>13993</v>
      </c>
      <c r="E9757" s="22" t="s">
        <v>355</v>
      </c>
      <c r="F9757" s="23" t="str">
        <f>HYPERLINK("https://www.spark-marketing.ru/Card/Lot/72518808", "Оказание услуг по техническому обслуживанию  источников бесперебойного питания")</f>
        <v>Оказание услуг по техническому обслуживанию  источников бесперебойного питания</v>
      </c>
      <c r="G9757" s="22" t="s">
        <v>56</v>
      </c>
      <c r="H9757" s="22" t="s">
        <v>56</v>
      </c>
      <c r="I9757" s="26">
        <v>43676.776712963001</v>
      </c>
      <c r="J9757" s="23" t="str">
        <f>HYPERLINK("https://www.spark-marketing.ru/Card/Person/4346604", "ООО ""ГАЗХОЛОДМАШ""")</f>
        <v>ООО "ГАЗХОЛОДМАШ"</v>
      </c>
      <c r="K9757" s="24" t="s">
        <v>13995</v>
      </c>
      <c r="L9757" s="28" t="s">
        <v>51</v>
      </c>
      <c r="M9757" s="25">
        <v>133330</v>
      </c>
      <c r="N9757" s="27">
        <v>5.0000000000000001E-3</v>
      </c>
    </row>
    <row r="9758" spans="1:14" x14ac:dyDescent="0.15">
      <c r="A9758" s="23" t="str">
        <f>HYPERLINK("https://www.spark-marketing.ru/Card/Person/20903", "ГБУЗ ""ООКБ""")</f>
        <v>ГБУЗ "ООКБ"</v>
      </c>
      <c r="B9758" s="24" t="s">
        <v>7365</v>
      </c>
      <c r="C9758" s="25">
        <v>1097270</v>
      </c>
      <c r="D9758" s="22" t="s">
        <v>13996</v>
      </c>
      <c r="E9758" s="22" t="s">
        <v>809</v>
      </c>
      <c r="F9758" s="23" t="str">
        <f>HYPERLINK("https://www.spark-marketing.ru/Card/Lot/72527600", "на поставку компьютерной техники и комплектующих")</f>
        <v>на поставку компьютерной техники и комплектующих</v>
      </c>
      <c r="G9758" s="22" t="s">
        <v>132</v>
      </c>
      <c r="H9758" s="22" t="s">
        <v>587</v>
      </c>
      <c r="I9758" s="26">
        <v>43676.755659722199</v>
      </c>
      <c r="J9758" s="28" t="s">
        <v>51</v>
      </c>
      <c r="K9758" s="28" t="s">
        <v>51</v>
      </c>
      <c r="L9758" s="28" t="s">
        <v>51</v>
      </c>
      <c r="M9758" s="28" t="s">
        <v>51</v>
      </c>
      <c r="N9758" s="28" t="s">
        <v>51</v>
      </c>
    </row>
    <row r="9759" spans="1:14" hidden="1" outlineLevel="1" x14ac:dyDescent="0.2">
      <c r="A9759" s="23" t="str">
        <f>HYPERLINK("https://www.spark-marketing.ru/Card/Person/20903", "ГБУЗ ""ООКБ""")</f>
        <v>ГБУЗ "ООКБ"</v>
      </c>
      <c r="B9759" s="24" t="s">
        <v>7365</v>
      </c>
      <c r="C9759" s="25">
        <v>1097270</v>
      </c>
      <c r="D9759" s="22" t="s">
        <v>13996</v>
      </c>
      <c r="E9759" s="22" t="s">
        <v>809</v>
      </c>
      <c r="F9759" s="23" t="str">
        <f>HYPERLINK("https://www.spark-marketing.ru/Card/Lot/72527600", "на поставку компьютерной техники и комплектующих")</f>
        <v>на поставку компьютерной техники и комплектующих</v>
      </c>
      <c r="G9759" s="22" t="s">
        <v>132</v>
      </c>
      <c r="H9759" s="22" t="s">
        <v>587</v>
      </c>
      <c r="I9759" s="26">
        <v>43676.755659722199</v>
      </c>
      <c r="J9759" s="23" t="str">
        <f>HYPERLINK("https://www.spark-marketing.ru/Card/Person/5771750", "ООО ""ПАРАД-КТ""")</f>
        <v>ООО "ПАРАД-КТ"</v>
      </c>
      <c r="K9759" s="24" t="s">
        <v>13997</v>
      </c>
      <c r="L9759" s="28" t="s">
        <v>51</v>
      </c>
      <c r="M9759" s="25">
        <v>965597.6</v>
      </c>
      <c r="N9759" s="27">
        <v>0.12</v>
      </c>
    </row>
    <row r="9760" spans="1:14" ht="12.75" hidden="1" outlineLevel="1" x14ac:dyDescent="0.2">
      <c r="A9760" s="23" t="str">
        <f>HYPERLINK("https://www.spark-marketing.ru/Card/Person/20903", "ГБУЗ ""ООКБ""")</f>
        <v>ГБУЗ "ООКБ"</v>
      </c>
      <c r="B9760" s="24" t="s">
        <v>7365</v>
      </c>
      <c r="C9760" s="25">
        <v>1097270</v>
      </c>
      <c r="D9760" s="22" t="s">
        <v>13996</v>
      </c>
      <c r="E9760" s="22" t="s">
        <v>809</v>
      </c>
      <c r="F9760" s="23" t="str">
        <f>HYPERLINK("https://www.spark-marketing.ru/Card/Lot/72527600", "на поставку компьютерной техники и комплектующих")</f>
        <v>на поставку компьютерной техники и комплектующих</v>
      </c>
      <c r="G9760" s="22" t="s">
        <v>132</v>
      </c>
      <c r="H9760" s="22" t="s">
        <v>587</v>
      </c>
      <c r="I9760" s="26">
        <v>43676.755659722199</v>
      </c>
      <c r="J9760" s="23" t="str">
        <f>HYPERLINK("https://www.spark-marketing.ru/Card/Person/117844", "ООО ""БСГ""")</f>
        <v>ООО "БСГ"</v>
      </c>
      <c r="K9760" s="24" t="s">
        <v>4855</v>
      </c>
      <c r="L9760" s="22" t="s">
        <v>10</v>
      </c>
      <c r="M9760" s="25">
        <v>861356</v>
      </c>
      <c r="N9760" s="27">
        <v>0.21500086578508479</v>
      </c>
    </row>
    <row r="9761" spans="1:14" hidden="1" outlineLevel="1" x14ac:dyDescent="0.2">
      <c r="A9761" s="23" t="str">
        <f>HYPERLINK("https://www.spark-marketing.ru/Card/Person/20903", "ГБУЗ ""ООКБ""")</f>
        <v>ГБУЗ "ООКБ"</v>
      </c>
      <c r="B9761" s="24" t="s">
        <v>7365</v>
      </c>
      <c r="C9761" s="25">
        <v>1097270</v>
      </c>
      <c r="D9761" s="22" t="s">
        <v>13996</v>
      </c>
      <c r="E9761" s="22" t="s">
        <v>809</v>
      </c>
      <c r="F9761" s="23" t="str">
        <f>HYPERLINK("https://www.spark-marketing.ru/Card/Lot/72527600", "на поставку компьютерной техники и комплектующих")</f>
        <v>на поставку компьютерной техники и комплектующих</v>
      </c>
      <c r="G9761" s="22" t="s">
        <v>132</v>
      </c>
      <c r="H9761" s="22" t="s">
        <v>587</v>
      </c>
      <c r="I9761" s="26">
        <v>43676.755659722199</v>
      </c>
      <c r="J9761" s="23" t="str">
        <f>HYPERLINK("https://www.spark-marketing.ru/Card/Person/390597", "ООО ""КОМПЛЕКС-СНАСТ""")</f>
        <v>ООО "КОМПЛЕКС-СНАСТ"</v>
      </c>
      <c r="K9761" s="24" t="s">
        <v>10667</v>
      </c>
      <c r="L9761" s="28" t="s">
        <v>51</v>
      </c>
      <c r="M9761" s="25">
        <v>1091783.6499999999</v>
      </c>
      <c r="N9761" s="27">
        <v>5.0000000000000001E-3</v>
      </c>
    </row>
    <row r="9762" spans="1:14" hidden="1" outlineLevel="1" x14ac:dyDescent="0.2">
      <c r="A9762" s="23" t="str">
        <f>HYPERLINK("https://www.spark-marketing.ru/Card/Person/20903", "ГБУЗ ""ООКБ""")</f>
        <v>ГБУЗ "ООКБ"</v>
      </c>
      <c r="B9762" s="24" t="s">
        <v>7365</v>
      </c>
      <c r="C9762" s="25">
        <v>1097270</v>
      </c>
      <c r="D9762" s="22" t="s">
        <v>13996</v>
      </c>
      <c r="E9762" s="22" t="s">
        <v>809</v>
      </c>
      <c r="F9762" s="23" t="str">
        <f>HYPERLINK("https://www.spark-marketing.ru/Card/Lot/72527600", "на поставку компьютерной техники и комплектующих")</f>
        <v>на поставку компьютерной техники и комплектующих</v>
      </c>
      <c r="G9762" s="22" t="s">
        <v>132</v>
      </c>
      <c r="H9762" s="22" t="s">
        <v>587</v>
      </c>
      <c r="I9762" s="26">
        <v>43676.755659722199</v>
      </c>
      <c r="J9762" s="23" t="str">
        <f>HYPERLINK("https://www.spark-marketing.ru/Card/Person/6518468", "ООО ""КМ СЕВЕРО-ЗАПАД""")</f>
        <v>ООО "КМ СЕВЕРО-ЗАПАД"</v>
      </c>
      <c r="K9762" s="24" t="s">
        <v>13998</v>
      </c>
      <c r="L9762" s="28" t="s">
        <v>51</v>
      </c>
      <c r="M9762" s="25">
        <v>861356</v>
      </c>
      <c r="N9762" s="27">
        <v>0.21500086578508479</v>
      </c>
    </row>
    <row r="9763" spans="1:14" x14ac:dyDescent="0.15">
      <c r="A9763" s="23" t="str">
        <f>HYPERLINK("https://www.spark-marketing.ru/Card/Person/144152", "ОМВД РОССИИ ПО ГОРОДУ СЕВЕРОДВИНСКУ")</f>
        <v>ОМВД РОССИИ ПО ГОРОДУ СЕВЕРОДВИНСКУ</v>
      </c>
      <c r="B9763" s="24" t="s">
        <v>10179</v>
      </c>
      <c r="C9763" s="25">
        <v>5416000</v>
      </c>
      <c r="D9763" s="22" t="s">
        <v>13999</v>
      </c>
      <c r="E9763" s="22" t="s">
        <v>48</v>
      </c>
      <c r="F9763" s="23" t="str">
        <f>HYPERLINK("https://www.spark-marketing.ru/Card/Lot/72531077", "Услуги по обеспечению питанием")</f>
        <v>Услуги по обеспечению питанием</v>
      </c>
      <c r="G9763" s="22" t="s">
        <v>214</v>
      </c>
      <c r="H9763" s="22" t="s">
        <v>1178</v>
      </c>
      <c r="I9763" s="26">
        <v>43676.768981481502</v>
      </c>
      <c r="J9763" s="28" t="s">
        <v>51</v>
      </c>
      <c r="K9763" s="28" t="s">
        <v>51</v>
      </c>
      <c r="L9763" s="28" t="s">
        <v>51</v>
      </c>
      <c r="M9763" s="28" t="s">
        <v>51</v>
      </c>
      <c r="N9763" s="28" t="s">
        <v>51</v>
      </c>
    </row>
    <row r="9764" spans="1:14" x14ac:dyDescent="0.15">
      <c r="A9764" s="23" t="str">
        <f>HYPERLINK("https://www.spark-marketing.ru/Card/Person/144152", "ОМВД РОССИИ ПО ГОРОДУ СЕВЕРОДВИНСКУ")</f>
        <v>ОМВД РОССИИ ПО ГОРОДУ СЕВЕРОДВИНСКУ</v>
      </c>
      <c r="B9764" s="24" t="s">
        <v>10179</v>
      </c>
      <c r="C9764" s="25">
        <v>3995000</v>
      </c>
      <c r="D9764" s="22" t="s">
        <v>14000</v>
      </c>
      <c r="E9764" s="22" t="s">
        <v>48</v>
      </c>
      <c r="F9764" s="23" t="str">
        <f>HYPERLINK("https://www.spark-marketing.ru/Card/Lot/72530774", "Услуги по обеспечению питанием")</f>
        <v>Услуги по обеспечению питанием</v>
      </c>
      <c r="G9764" s="22" t="s">
        <v>214</v>
      </c>
      <c r="H9764" s="22" t="s">
        <v>1178</v>
      </c>
      <c r="I9764" s="26">
        <v>43676.777442129598</v>
      </c>
      <c r="J9764" s="23" t="str">
        <f>HYPERLINK("https://www.spark-marketing.ru/Card/Person/339668", "ООО ""ДИЕТА""")</f>
        <v>ООО "ДИЕТА"</v>
      </c>
      <c r="K9764" s="24" t="s">
        <v>10181</v>
      </c>
      <c r="L9764" s="22" t="s">
        <v>10</v>
      </c>
      <c r="M9764" s="28" t="s">
        <v>51</v>
      </c>
      <c r="N9764" s="28" t="s">
        <v>51</v>
      </c>
    </row>
    <row r="9765" spans="1:14" x14ac:dyDescent="0.15">
      <c r="A9765" s="23" t="str">
        <f>HYPERLINK("https://www.spark-marketing.ru/Card/Person/65418", "УМВД РОССИИ ПО Г.КОСТРОМЕ")</f>
        <v>УМВД РОССИИ ПО Г.КОСТРОМЕ</v>
      </c>
      <c r="B9765" s="24" t="s">
        <v>3507</v>
      </c>
      <c r="C9765" s="25">
        <v>2002291.2</v>
      </c>
      <c r="D9765" s="22" t="s">
        <v>14001</v>
      </c>
      <c r="E9765" s="22" t="s">
        <v>48</v>
      </c>
      <c r="F9765" s="23" t="str">
        <f>HYPERLINK("https://www.spark-marketing.ru/Card/Lot/72529092", "Оказание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...")</f>
        <v>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</v>
      </c>
      <c r="G9765" s="22" t="s">
        <v>292</v>
      </c>
      <c r="H9765" s="22" t="s">
        <v>292</v>
      </c>
      <c r="I9765" s="26">
        <v>43676.765034722201</v>
      </c>
      <c r="J9765" s="28" t="s">
        <v>51</v>
      </c>
      <c r="K9765" s="28" t="s">
        <v>51</v>
      </c>
      <c r="L9765" s="28" t="s">
        <v>51</v>
      </c>
      <c r="M9765" s="28" t="s">
        <v>51</v>
      </c>
      <c r="N9765" s="28" t="s">
        <v>51</v>
      </c>
    </row>
    <row r="9766" spans="1:14" ht="12.75" hidden="1" outlineLevel="1" x14ac:dyDescent="0.2">
      <c r="A9766" s="23" t="str">
        <f>HYPERLINK("https://www.spark-marketing.ru/Card/Person/65418", "УМВД РОССИИ ПО Г.КОСТРОМЕ")</f>
        <v>УМВД РОССИИ ПО Г.КОСТРОМЕ</v>
      </c>
      <c r="B9766" s="24" t="s">
        <v>3507</v>
      </c>
      <c r="C9766" s="25">
        <v>2002291.2</v>
      </c>
      <c r="D9766" s="22" t="s">
        <v>14001</v>
      </c>
      <c r="E9766" s="22" t="s">
        <v>48</v>
      </c>
      <c r="F9766" s="23" t="str">
        <f>HYPERLINK("https://www.spark-marketing.ru/Card/Lot/72529092", "Оказание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...")</f>
        <v>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</v>
      </c>
      <c r="G9766" s="22" t="s">
        <v>292</v>
      </c>
      <c r="H9766" s="22" t="s">
        <v>292</v>
      </c>
      <c r="I9766" s="26">
        <v>43676.765034722201</v>
      </c>
      <c r="J9766" s="23" t="str">
        <f>HYPERLINK("https://www.spark-marketing.ru/Card/Person/234123", "ООО ""ЛИКА""")</f>
        <v>ООО "ЛИКА"</v>
      </c>
      <c r="K9766" s="24" t="s">
        <v>3509</v>
      </c>
      <c r="L9766" s="22" t="s">
        <v>10</v>
      </c>
      <c r="M9766" s="25">
        <v>1201374.71</v>
      </c>
      <c r="N9766" s="27">
        <v>0.40000000499427857</v>
      </c>
    </row>
    <row r="9767" spans="1:14" hidden="1" outlineLevel="1" x14ac:dyDescent="0.2">
      <c r="A9767" s="23" t="str">
        <f>HYPERLINK("https://www.spark-marketing.ru/Card/Person/65418", "УМВД РОССИИ ПО Г.КОСТРОМЕ")</f>
        <v>УМВД РОССИИ ПО Г.КОСТРОМЕ</v>
      </c>
      <c r="B9767" s="24" t="s">
        <v>3507</v>
      </c>
      <c r="C9767" s="25">
        <v>2002291.2</v>
      </c>
      <c r="D9767" s="22" t="s">
        <v>14001</v>
      </c>
      <c r="E9767" s="22" t="s">
        <v>48</v>
      </c>
      <c r="F9767" s="23" t="str">
        <f>HYPERLINK("https://www.spark-marketing.ru/Card/Lot/72529092", "Оказание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...")</f>
        <v>Оказание услуг по организации горячего питания для лиц, содержащихся в ИВС подозреваемых и обвиняемых УМВД России по г. Костроме, и лиц, содержащихся в специальном приемнике для содержания лиц, подвергнутых административному аресту УМВД России по г. ...</v>
      </c>
      <c r="G9767" s="22" t="s">
        <v>292</v>
      </c>
      <c r="H9767" s="22" t="s">
        <v>292</v>
      </c>
      <c r="I9767" s="26">
        <v>43676.765034722201</v>
      </c>
      <c r="J9767" s="23" t="str">
        <f>HYPERLINK("https://www.spark-marketing.ru/Card/Person/6682764", "ОВЕЧКИНА ЕЛЕНА ВАЛЕНТИНОВНА")</f>
        <v>ОВЕЧКИНА ЕЛЕНА ВАЛЕНТИНОВНА</v>
      </c>
      <c r="K9767" s="24" t="s">
        <v>3510</v>
      </c>
      <c r="L9767" s="28" t="s">
        <v>51</v>
      </c>
      <c r="M9767" s="25">
        <v>1211386.17</v>
      </c>
      <c r="N9767" s="27">
        <v>0.39500000299656712</v>
      </c>
    </row>
    <row r="9768" spans="1:14" x14ac:dyDescent="0.15">
      <c r="A9768" s="23" t="str">
        <f>HYPERLINK("https://www.spark-marketing.ru/Card/Person/31383", "МВД ПО КАБАРДИНО-БАЛКАРСКОЙ РЕСПУБЛИКЕ")</f>
        <v>МВД ПО КАБАРДИНО-БАЛКАРСКОЙ РЕСПУБЛИКЕ</v>
      </c>
      <c r="B9768" s="24" t="s">
        <v>13524</v>
      </c>
      <c r="C9768" s="25">
        <v>3090000</v>
      </c>
      <c r="D9768" s="22" t="s">
        <v>14002</v>
      </c>
      <c r="E9768" s="22" t="s">
        <v>48</v>
      </c>
      <c r="F9768" s="23" t="str">
        <f>HYPERLINK("https://www.spark-marketing.ru/Card/Lot/72530211", "Оказание услуг по организации трехразового горячего питания лиц, содержащихся в центре временного содержания иностранных граждан в 2020")</f>
        <v>Оказание услуг по организации трехразового горячего питания лиц, содержащихся в центре временного содержания иностранных граждан в 2020</v>
      </c>
      <c r="G9768" s="22" t="s">
        <v>986</v>
      </c>
      <c r="H9768" s="22" t="s">
        <v>986</v>
      </c>
      <c r="I9768" s="26">
        <v>43676.769722222198</v>
      </c>
      <c r="J9768" s="23" t="str">
        <f>HYPERLINK("https://www.spark-marketing.ru/Card/Person/63214", "Семенов Анзор Валериевич")</f>
        <v>Семенов Анзор Валериевич</v>
      </c>
      <c r="K9768" s="24" t="s">
        <v>13527</v>
      </c>
      <c r="L9768" s="28" t="s">
        <v>51</v>
      </c>
      <c r="M9768" s="28" t="s">
        <v>51</v>
      </c>
      <c r="N9768" s="28" t="s">
        <v>51</v>
      </c>
    </row>
    <row r="9769" spans="1:14" ht="12.75" hidden="1" outlineLevel="1" x14ac:dyDescent="0.2">
      <c r="A9769" s="23" t="str">
        <f>HYPERLINK("https://www.spark-marketing.ru/Card/Person/31383", "МВД ПО КАБАРДИНО-БАЛКАРСКОЙ РЕСПУБЛИКЕ")</f>
        <v>МВД ПО КАБАРДИНО-БАЛКАРСКОЙ РЕСПУБЛИКЕ</v>
      </c>
      <c r="B9769" s="24" t="s">
        <v>13524</v>
      </c>
      <c r="C9769" s="25">
        <v>3090000</v>
      </c>
      <c r="D9769" s="22" t="s">
        <v>14002</v>
      </c>
      <c r="E9769" s="22" t="s">
        <v>48</v>
      </c>
      <c r="F9769" s="23" t="str">
        <f>HYPERLINK("https://www.spark-marketing.ru/Card/Lot/72530211", "Оказание услуг по организации трехразового горячего питания лиц, содержащихся в центре временного содержания иностранных граждан в 2020")</f>
        <v>Оказание услуг по организации трехразового горячего питания лиц, содержащихся в центре временного содержания иностранных граждан в 2020</v>
      </c>
      <c r="G9769" s="22" t="s">
        <v>986</v>
      </c>
      <c r="H9769" s="22" t="s">
        <v>986</v>
      </c>
      <c r="I9769" s="26">
        <v>43676.769722222198</v>
      </c>
      <c r="J9769" s="23" t="str">
        <f>HYPERLINK("https://www.spark-marketing.ru/Card/Person/63214", "Семенов Анзор Валериевич")</f>
        <v>Семенов Анзор Валериевич</v>
      </c>
      <c r="K9769" s="24" t="s">
        <v>13527</v>
      </c>
      <c r="L9769" s="22" t="s">
        <v>10</v>
      </c>
      <c r="M9769" s="25">
        <v>4802.12</v>
      </c>
      <c r="N9769" s="27">
        <v>0.99844591585760523</v>
      </c>
    </row>
    <row r="9770" spans="1:14" x14ac:dyDescent="0.15">
      <c r="A9770" s="23" t="str">
        <f>HYPERLINK("https://www.spark-marketing.ru/Card/Person/4857905", "ГКУ ЦПО")</f>
        <v>ГКУ ЦПО</v>
      </c>
      <c r="B9770" s="24" t="s">
        <v>14003</v>
      </c>
      <c r="C9770" s="25">
        <v>2247844.5299999998</v>
      </c>
      <c r="D9770" s="22" t="s">
        <v>14004</v>
      </c>
      <c r="E9770" s="22" t="s">
        <v>809</v>
      </c>
      <c r="F9770" s="23" t="str">
        <f>HYPERLINK("https://www.spark-marketing.ru/Card/Lot/72529767", "На поставку компьютерной техники и оргтехники")</f>
        <v>На поставку компьютерной техники и оргтехники</v>
      </c>
      <c r="G9770" s="22" t="s">
        <v>132</v>
      </c>
      <c r="H9770" s="22" t="s">
        <v>587</v>
      </c>
      <c r="I9770" s="26">
        <v>43676.763368055603</v>
      </c>
      <c r="J9770" s="28" t="s">
        <v>51</v>
      </c>
      <c r="K9770" s="28" t="s">
        <v>51</v>
      </c>
      <c r="L9770" s="28" t="s">
        <v>51</v>
      </c>
      <c r="M9770" s="28" t="s">
        <v>51</v>
      </c>
      <c r="N9770" s="28" t="s">
        <v>51</v>
      </c>
    </row>
    <row r="9771" spans="1:14" hidden="1" outlineLevel="1" x14ac:dyDescent="0.2">
      <c r="A9771" s="23" t="str">
        <f>HYPERLINK("https://www.spark-marketing.ru/Card/Person/4857905", "ГКУ ЦПО")</f>
        <v>ГКУ ЦПО</v>
      </c>
      <c r="B9771" s="24" t="s">
        <v>14003</v>
      </c>
      <c r="C9771" s="25">
        <v>2247844.5299999998</v>
      </c>
      <c r="D9771" s="22" t="s">
        <v>14004</v>
      </c>
      <c r="E9771" s="22" t="s">
        <v>809</v>
      </c>
      <c r="F9771" s="23" t="str">
        <f>HYPERLINK("https://www.spark-marketing.ru/Card/Lot/72529767", "На поставку компьютерной техники и оргтехники")</f>
        <v>На поставку компьютерной техники и оргтехники</v>
      </c>
      <c r="G9771" s="22" t="s">
        <v>132</v>
      </c>
      <c r="H9771" s="22" t="s">
        <v>587</v>
      </c>
      <c r="I9771" s="26">
        <v>43676.763368055603</v>
      </c>
      <c r="J9771" s="23" t="str">
        <f>HYPERLINK("https://www.spark-marketing.ru/Card/Person/4879297", "ООО ""СТРУКТУРА МОМЕНТА""")</f>
        <v>ООО "СТРУКТУРА МОМЕНТА"</v>
      </c>
      <c r="K9771" s="24" t="s">
        <v>1783</v>
      </c>
      <c r="L9771" s="28" t="s">
        <v>51</v>
      </c>
      <c r="M9771" s="25">
        <v>1819059.93</v>
      </c>
      <c r="N9771" s="27">
        <v>0.19075367280850158</v>
      </c>
    </row>
    <row r="9772" spans="1:14" ht="12.75" hidden="1" outlineLevel="1" x14ac:dyDescent="0.2">
      <c r="A9772" s="23" t="str">
        <f>HYPERLINK("https://www.spark-marketing.ru/Card/Person/4857905", "ГКУ ЦПО")</f>
        <v>ГКУ ЦПО</v>
      </c>
      <c r="B9772" s="24" t="s">
        <v>14003</v>
      </c>
      <c r="C9772" s="25">
        <v>2247844.5299999998</v>
      </c>
      <c r="D9772" s="22" t="s">
        <v>14004</v>
      </c>
      <c r="E9772" s="22" t="s">
        <v>809</v>
      </c>
      <c r="F9772" s="23" t="str">
        <f>HYPERLINK("https://www.spark-marketing.ru/Card/Lot/72529767", "На поставку компьютерной техники и оргтехники")</f>
        <v>На поставку компьютерной техники и оргтехники</v>
      </c>
      <c r="G9772" s="22" t="s">
        <v>132</v>
      </c>
      <c r="H9772" s="22" t="s">
        <v>587</v>
      </c>
      <c r="I9772" s="26">
        <v>43676.763368055603</v>
      </c>
      <c r="J9772" s="23" t="str">
        <f>HYPERLINK("https://www.spark-marketing.ru/Card/Person/373121", "Новичков Дмитрий Анатольевич")</f>
        <v>Новичков Дмитрий Анатольевич</v>
      </c>
      <c r="K9772" s="24" t="s">
        <v>9416</v>
      </c>
      <c r="L9772" s="22" t="s">
        <v>10</v>
      </c>
      <c r="M9772" s="25">
        <v>1590471.48</v>
      </c>
      <c r="N9772" s="27">
        <v>0.29244595932975848</v>
      </c>
    </row>
    <row r="9773" spans="1:14" hidden="1" outlineLevel="1" x14ac:dyDescent="0.2">
      <c r="A9773" s="23" t="str">
        <f>HYPERLINK("https://www.spark-marketing.ru/Card/Person/4857905", "ГКУ ЦПО")</f>
        <v>ГКУ ЦПО</v>
      </c>
      <c r="B9773" s="24" t="s">
        <v>14003</v>
      </c>
      <c r="C9773" s="25">
        <v>2247844.5299999998</v>
      </c>
      <c r="D9773" s="22" t="s">
        <v>14004</v>
      </c>
      <c r="E9773" s="22" t="s">
        <v>809</v>
      </c>
      <c r="F9773" s="23" t="str">
        <f>HYPERLINK("https://www.spark-marketing.ru/Card/Lot/72529767", "На поставку компьютерной техники и оргтехники")</f>
        <v>На поставку компьютерной техники и оргтехники</v>
      </c>
      <c r="G9773" s="22" t="s">
        <v>132</v>
      </c>
      <c r="H9773" s="22" t="s">
        <v>587</v>
      </c>
      <c r="I9773" s="26">
        <v>43676.763368055603</v>
      </c>
      <c r="J9773" s="23" t="str">
        <f>HYPERLINK("https://www.spark-marketing.ru/Card/Person/6441784", "ООО ""ЦИФРОВЫЕ РЕШЕНИЯ""")</f>
        <v>ООО "ЦИФРОВЫЕ РЕШЕНИЯ"</v>
      </c>
      <c r="K9773" s="24" t="s">
        <v>14005</v>
      </c>
      <c r="L9773" s="28" t="s">
        <v>51</v>
      </c>
      <c r="M9773" s="25">
        <v>1601710.71</v>
      </c>
      <c r="N9773" s="27">
        <v>0.28744595605995937</v>
      </c>
    </row>
    <row r="9774" spans="1:14" x14ac:dyDescent="0.15">
      <c r="A9774" s="23" t="str">
        <f>HYPERLINK("https://www.spark-marketing.ru/Card/Person/85259", "МБОУ СОШ № 2")</f>
        <v>МБОУ СОШ № 2</v>
      </c>
      <c r="B9774" s="24" t="s">
        <v>14006</v>
      </c>
      <c r="C9774" s="25">
        <v>4214400</v>
      </c>
      <c r="D9774" s="22" t="s">
        <v>14007</v>
      </c>
      <c r="E9774" s="22" t="s">
        <v>48</v>
      </c>
      <c r="F9774" s="23" t="str">
        <f>HYPERLINK("https://www.spark-marketing.ru/Card/Lot/72530666", "Оказание услуг по организации питания")</f>
        <v>Оказание услуг по организации питания</v>
      </c>
      <c r="G9774" s="22" t="s">
        <v>104</v>
      </c>
      <c r="H9774" s="22" t="s">
        <v>104</v>
      </c>
      <c r="I9774" s="26">
        <v>43676.717754629601</v>
      </c>
      <c r="J9774" s="28" t="s">
        <v>51</v>
      </c>
      <c r="K9774" s="28" t="s">
        <v>51</v>
      </c>
      <c r="L9774" s="28" t="s">
        <v>51</v>
      </c>
      <c r="M9774" s="28" t="s">
        <v>51</v>
      </c>
      <c r="N9774" s="28" t="s">
        <v>51</v>
      </c>
    </row>
    <row r="9775" spans="1:14" ht="12.75" hidden="1" outlineLevel="1" x14ac:dyDescent="0.2">
      <c r="A9775" s="23" t="str">
        <f>HYPERLINK("https://www.spark-marketing.ru/Card/Person/85259", "МБОУ СОШ № 2")</f>
        <v>МБОУ СОШ № 2</v>
      </c>
      <c r="B9775" s="24" t="s">
        <v>14006</v>
      </c>
      <c r="C9775" s="25">
        <v>4214400</v>
      </c>
      <c r="D9775" s="22" t="s">
        <v>14007</v>
      </c>
      <c r="E9775" s="22" t="s">
        <v>48</v>
      </c>
      <c r="F9775" s="23" t="str">
        <f>HYPERLINK("https://www.spark-marketing.ru/Card/Lot/72530666", "Оказание услуг по организации питания")</f>
        <v>Оказание услуг по организации питания</v>
      </c>
      <c r="G9775" s="22" t="s">
        <v>104</v>
      </c>
      <c r="H9775" s="22" t="s">
        <v>104</v>
      </c>
      <c r="I9775" s="26">
        <v>43676.717754629601</v>
      </c>
      <c r="J9775" s="23" t="str">
        <f>HYPERLINK("https://www.spark-marketing.ru/Card/Person/18541", "Криштопа Ольга Вячеславовна")</f>
        <v>Криштопа Ольга Вячеславовна</v>
      </c>
      <c r="K9775" s="24" t="s">
        <v>13063</v>
      </c>
      <c r="L9775" s="22" t="s">
        <v>10</v>
      </c>
      <c r="M9775" s="25">
        <v>3013296</v>
      </c>
      <c r="N9775" s="27">
        <v>0.28499999999999998</v>
      </c>
    </row>
    <row r="9776" spans="1:14" hidden="1" outlineLevel="1" x14ac:dyDescent="0.2">
      <c r="A9776" s="23" t="str">
        <f>HYPERLINK("https://www.spark-marketing.ru/Card/Person/85259", "МБОУ СОШ № 2")</f>
        <v>МБОУ СОШ № 2</v>
      </c>
      <c r="B9776" s="24" t="s">
        <v>14006</v>
      </c>
      <c r="C9776" s="25">
        <v>4214400</v>
      </c>
      <c r="D9776" s="22" t="s">
        <v>14007</v>
      </c>
      <c r="E9776" s="22" t="s">
        <v>48</v>
      </c>
      <c r="F9776" s="23" t="str">
        <f>HYPERLINK("https://www.spark-marketing.ru/Card/Lot/72530666", "Оказание услуг по организации питания")</f>
        <v>Оказание услуг по организации питания</v>
      </c>
      <c r="G9776" s="22" t="s">
        <v>104</v>
      </c>
      <c r="H9776" s="22" t="s">
        <v>104</v>
      </c>
      <c r="I9776" s="26">
        <v>43676.717754629601</v>
      </c>
      <c r="J9776" s="23" t="str">
        <f>HYPERLINK("https://www.spark-marketing.ru/Card/Person/85328", "Бессонов Михаил Сергеевич")</f>
        <v>Бессонов Михаил Сергеевич</v>
      </c>
      <c r="K9776" s="24" t="s">
        <v>7804</v>
      </c>
      <c r="L9776" s="28" t="s">
        <v>51</v>
      </c>
      <c r="M9776" s="25">
        <v>3034368</v>
      </c>
      <c r="N9776" s="27">
        <v>0.28000000000000003</v>
      </c>
    </row>
    <row r="9777" spans="1:14" x14ac:dyDescent="0.15">
      <c r="A9777" s="23" t="str">
        <f>HYPERLINK("https://www.spark-marketing.ru/Card/Person/66917", "ФКУ ""ГБ МСЭ ПО РЕСПУБЛИКЕ САХА (ЯКУТИЯ)"" МИНТРУДА РОССИИ")</f>
        <v>ФКУ "ГБ МСЭ ПО РЕСПУБЛИКЕ САХА (ЯКУТИЯ)" МИНТРУДА РОССИИ</v>
      </c>
      <c r="B9777" s="24" t="s">
        <v>8757</v>
      </c>
      <c r="C9777" s="25">
        <v>84991.6</v>
      </c>
      <c r="D9777" s="22" t="s">
        <v>14008</v>
      </c>
      <c r="E9777" s="22" t="s">
        <v>91</v>
      </c>
      <c r="F9777" s="23" t="str">
        <f>HYPERLINK("https://www.spark-marketing.ru/Card/Lot/72536237", "Оказание услуг по ремонту и техническому обслуживанию вычислительной техники (в сфере ИКТ)")</f>
        <v>Оказание услуг по ремонту и техническому обслуживанию вычислительной техники (в сфере ИКТ)</v>
      </c>
      <c r="G9777" s="22" t="s">
        <v>241</v>
      </c>
      <c r="H9777" s="22" t="s">
        <v>241</v>
      </c>
      <c r="I9777" s="26">
        <v>43676.711226851898</v>
      </c>
      <c r="J9777" s="28" t="s">
        <v>51</v>
      </c>
      <c r="K9777" s="28" t="s">
        <v>51</v>
      </c>
      <c r="L9777" s="28" t="s">
        <v>51</v>
      </c>
      <c r="M9777" s="28" t="s">
        <v>51</v>
      </c>
      <c r="N9777" s="28" t="s">
        <v>51</v>
      </c>
    </row>
    <row r="9778" spans="1:14" x14ac:dyDescent="0.15">
      <c r="A9778" s="23" t="str">
        <f>HYPERLINK("https://www.spark-marketing.ru/Card/Person/1039770", "МБДОУ №45 Г.ШАХТЫ")</f>
        <v>МБДОУ №45 Г.ШАХТЫ</v>
      </c>
      <c r="B9778" s="24" t="s">
        <v>14009</v>
      </c>
      <c r="C9778" s="25">
        <v>371162.44</v>
      </c>
      <c r="D9778" s="22" t="s">
        <v>14010</v>
      </c>
      <c r="E9778" s="22" t="s">
        <v>48</v>
      </c>
      <c r="F9778" s="23" t="str">
        <f>HYPERLINK("https://www.spark-marketing.ru/Card/Lot/72474620", "Услуги по организации питания")</f>
        <v>Услуги по организации питания</v>
      </c>
      <c r="G9778" s="22" t="s">
        <v>267</v>
      </c>
      <c r="H9778" s="22" t="s">
        <v>4874</v>
      </c>
      <c r="I9778" s="26">
        <v>43676.720138888901</v>
      </c>
      <c r="J9778" s="28" t="s">
        <v>51</v>
      </c>
      <c r="K9778" s="28" t="s">
        <v>51</v>
      </c>
      <c r="L9778" s="28" t="s">
        <v>51</v>
      </c>
      <c r="M9778" s="28" t="s">
        <v>51</v>
      </c>
      <c r="N9778" s="28" t="s">
        <v>51</v>
      </c>
    </row>
    <row r="9779" spans="1:14" x14ac:dyDescent="0.15">
      <c r="A9779" s="23" t="str">
        <f>HYPERLINK("https://www.spark-marketing.ru/Card/Person/3860", "КГБУЗ ""ГОРОДСКАЯ БОЛЬНИЦА №2, Г. РУБЦОВСК""")</f>
        <v>КГБУЗ "ГОРОДСКАЯ БОЛЬНИЦА №2, Г. РУБЦОВСК"</v>
      </c>
      <c r="B9779" s="24" t="s">
        <v>10039</v>
      </c>
      <c r="C9779" s="25">
        <v>353089</v>
      </c>
      <c r="D9779" s="22" t="s">
        <v>14011</v>
      </c>
      <c r="E9779" s="22" t="s">
        <v>62</v>
      </c>
      <c r="F9779" s="23" t="str">
        <f>HYPERLINK("https://www.spark-marketing.ru/Card/Lot/72521566", "Поставка печатной продукции для нужд КГБУЗ ""ГБ№2, г. Рубцовск""")</f>
        <v>Поставка печатной продукции для нужд КГБУЗ "ГБ№2, г. Рубцовск"</v>
      </c>
      <c r="G9779" s="22" t="s">
        <v>63</v>
      </c>
      <c r="H9779" s="22" t="s">
        <v>1859</v>
      </c>
      <c r="I9779" s="26">
        <v>43676.7235069444</v>
      </c>
      <c r="J9779" s="28" t="s">
        <v>51</v>
      </c>
      <c r="K9779" s="28" t="s">
        <v>51</v>
      </c>
      <c r="L9779" s="28" t="s">
        <v>51</v>
      </c>
      <c r="M9779" s="28" t="s">
        <v>51</v>
      </c>
      <c r="N9779" s="28" t="s">
        <v>51</v>
      </c>
    </row>
    <row r="9780" spans="1:14" ht="12.75" hidden="1" outlineLevel="1" x14ac:dyDescent="0.2">
      <c r="A9780" s="23" t="str">
        <f>HYPERLINK("https://www.spark-marketing.ru/Card/Person/3860", "КГБУЗ ""ГОРОДСКАЯ БОЛЬНИЦА №2, Г. РУБЦОВСК""")</f>
        <v>КГБУЗ "ГОРОДСКАЯ БОЛЬНИЦА №2, Г. РУБЦОВСК"</v>
      </c>
      <c r="B9780" s="24" t="s">
        <v>10039</v>
      </c>
      <c r="C9780" s="25">
        <v>353089</v>
      </c>
      <c r="D9780" s="22" t="s">
        <v>14011</v>
      </c>
      <c r="E9780" s="22" t="s">
        <v>62</v>
      </c>
      <c r="F9780" s="23" t="str">
        <f>HYPERLINK("https://www.spark-marketing.ru/Card/Lot/72521566", "Поставка печатной продукции для нужд КГБУЗ ""ГБ№2, г. Рубцовск""")</f>
        <v>Поставка печатной продукции для нужд КГБУЗ "ГБ№2, г. Рубцовск"</v>
      </c>
      <c r="G9780" s="22" t="s">
        <v>63</v>
      </c>
      <c r="H9780" s="22" t="s">
        <v>1859</v>
      </c>
      <c r="I9780" s="26">
        <v>43676.7235069444</v>
      </c>
      <c r="J9780" s="23" t="str">
        <f>HYPERLINK("https://www.spark-marketing.ru/Card/Person/6626088", "Шмелева Лилия Анатольевна")</f>
        <v>Шмелева Лилия Анатольевна</v>
      </c>
      <c r="K9780" s="24" t="s">
        <v>5169</v>
      </c>
      <c r="L9780" s="22" t="s">
        <v>10</v>
      </c>
      <c r="M9780" s="25">
        <v>164186.20000000001</v>
      </c>
      <c r="N9780" s="27">
        <v>0.53500052394722009</v>
      </c>
    </row>
    <row r="9781" spans="1:14" hidden="1" outlineLevel="1" x14ac:dyDescent="0.2">
      <c r="A9781" s="23" t="str">
        <f>HYPERLINK("https://www.spark-marketing.ru/Card/Person/3860", "КГБУЗ ""ГОРОДСКАЯ БОЛЬНИЦА №2, Г. РУБЦОВСК""")</f>
        <v>КГБУЗ "ГОРОДСКАЯ БОЛЬНИЦА №2, Г. РУБЦОВСК"</v>
      </c>
      <c r="B9781" s="24" t="s">
        <v>10039</v>
      </c>
      <c r="C9781" s="25">
        <v>353089</v>
      </c>
      <c r="D9781" s="22" t="s">
        <v>14011</v>
      </c>
      <c r="E9781" s="22" t="s">
        <v>62</v>
      </c>
      <c r="F9781" s="23" t="str">
        <f>HYPERLINK("https://www.spark-marketing.ru/Card/Lot/72521566", "Поставка печатной продукции для нужд КГБУЗ ""ГБ№2, г. Рубцовск""")</f>
        <v>Поставка печатной продукции для нужд КГБУЗ "ГБ№2, г. Рубцовск"</v>
      </c>
      <c r="G9781" s="22" t="s">
        <v>63</v>
      </c>
      <c r="H9781" s="22" t="s">
        <v>1859</v>
      </c>
      <c r="I9781" s="26">
        <v>43676.7235069444</v>
      </c>
      <c r="J9781" s="23" t="str">
        <f>HYPERLINK("https://www.spark-marketing.ru/Card/Person/447785", "Третьяков Александр Владиславович")</f>
        <v>Третьяков Александр Владиславович</v>
      </c>
      <c r="K9781" s="24" t="s">
        <v>5952</v>
      </c>
      <c r="L9781" s="28" t="s">
        <v>51</v>
      </c>
      <c r="M9781" s="25">
        <v>338965.4</v>
      </c>
      <c r="N9781" s="27">
        <v>4.000011328588543E-2</v>
      </c>
    </row>
    <row r="9782" spans="1:14" hidden="1" outlineLevel="1" x14ac:dyDescent="0.2">
      <c r="A9782" s="23" t="str">
        <f>HYPERLINK("https://www.spark-marketing.ru/Card/Person/3860", "КГБУЗ ""ГОРОДСКАЯ БОЛЬНИЦА №2, Г. РУБЦОВСК""")</f>
        <v>КГБУЗ "ГОРОДСКАЯ БОЛЬНИЦА №2, Г. РУБЦОВСК"</v>
      </c>
      <c r="B9782" s="24" t="s">
        <v>10039</v>
      </c>
      <c r="C9782" s="25">
        <v>353089</v>
      </c>
      <c r="D9782" s="22" t="s">
        <v>14011</v>
      </c>
      <c r="E9782" s="22" t="s">
        <v>62</v>
      </c>
      <c r="F9782" s="23" t="str">
        <f>HYPERLINK("https://www.spark-marketing.ru/Card/Lot/72521566", "Поставка печатной продукции для нужд КГБУЗ ""ГБ№2, г. Рубцовск""")</f>
        <v>Поставка печатной продукции для нужд КГБУЗ "ГБ№2, г. Рубцовск"</v>
      </c>
      <c r="G9782" s="22" t="s">
        <v>63</v>
      </c>
      <c r="H9782" s="22" t="s">
        <v>1859</v>
      </c>
      <c r="I9782" s="26">
        <v>43676.7235069444</v>
      </c>
      <c r="J9782" s="23" t="str">
        <f>HYPERLINK("https://www.spark-marketing.ru/Card/Person/110731", "ООО ""ТИПОГРАФИЯ""")</f>
        <v>ООО "ТИПОГРАФИЯ"</v>
      </c>
      <c r="K9782" s="24" t="s">
        <v>5953</v>
      </c>
      <c r="L9782" s="28" t="s">
        <v>51</v>
      </c>
      <c r="M9782" s="25">
        <v>182950.25</v>
      </c>
      <c r="N9782" s="27">
        <v>0.48185797348543852</v>
      </c>
    </row>
    <row r="9783" spans="1:14" hidden="1" outlineLevel="1" x14ac:dyDescent="0.2">
      <c r="A9783" s="23" t="str">
        <f>HYPERLINK("https://www.spark-marketing.ru/Card/Person/3860", "КГБУЗ ""ГОРОДСКАЯ БОЛЬНИЦА №2, Г. РУБЦОВСК""")</f>
        <v>КГБУЗ "ГОРОДСКАЯ БОЛЬНИЦА №2, Г. РУБЦОВСК"</v>
      </c>
      <c r="B9783" s="24" t="s">
        <v>10039</v>
      </c>
      <c r="C9783" s="25">
        <v>353089</v>
      </c>
      <c r="D9783" s="22" t="s">
        <v>14011</v>
      </c>
      <c r="E9783" s="22" t="s">
        <v>62</v>
      </c>
      <c r="F9783" s="23" t="str">
        <f>HYPERLINK("https://www.spark-marketing.ru/Card/Lot/72521566", "Поставка печатной продукции для нужд КГБУЗ ""ГБ№2, г. Рубцовск""")</f>
        <v>Поставка печатной продукции для нужд КГБУЗ "ГБ№2, г. Рубцовск"</v>
      </c>
      <c r="G9783" s="22" t="s">
        <v>63</v>
      </c>
      <c r="H9783" s="22" t="s">
        <v>1859</v>
      </c>
      <c r="I9783" s="26">
        <v>43676.7235069444</v>
      </c>
      <c r="J9783" s="23" t="str">
        <f>HYPERLINK("https://www.spark-marketing.ru/Card/Person/37896", "АО ""РУБЦОВСКАЯ ТИПОГРАФИЯ""")</f>
        <v>АО "РУБЦОВСКАЯ ТИПОГРАФИЯ"</v>
      </c>
      <c r="K9783" s="24" t="s">
        <v>14012</v>
      </c>
      <c r="L9783" s="28" t="s">
        <v>51</v>
      </c>
      <c r="M9783" s="25">
        <v>165951.65</v>
      </c>
      <c r="N9783" s="27">
        <v>0.53000050978648439</v>
      </c>
    </row>
    <row r="9784" spans="1:14" x14ac:dyDescent="0.15">
      <c r="A9784" s="23" t="str">
        <f>HYPERLINK("https://www.spark-marketing.ru/Card/Person/1039770", "МБДОУ №45 Г.ШАХТЫ")</f>
        <v>МБДОУ №45 Г.ШАХТЫ</v>
      </c>
      <c r="B9784" s="24" t="s">
        <v>14009</v>
      </c>
      <c r="C9784" s="25">
        <v>371162.44</v>
      </c>
      <c r="D9784" s="22" t="s">
        <v>14013</v>
      </c>
      <c r="E9784" s="22" t="s">
        <v>48</v>
      </c>
      <c r="F9784" s="23" t="str">
        <f>HYPERLINK("https://www.spark-marketing.ru/Card/Lot/72474638", "услуги по организации питания")</f>
        <v>услуги по организации питания</v>
      </c>
      <c r="G9784" s="22" t="s">
        <v>267</v>
      </c>
      <c r="H9784" s="22" t="s">
        <v>4874</v>
      </c>
      <c r="I9784" s="26">
        <v>43676.729166666701</v>
      </c>
      <c r="J9784" s="28" t="s">
        <v>51</v>
      </c>
      <c r="K9784" s="28" t="s">
        <v>51</v>
      </c>
      <c r="L9784" s="28" t="s">
        <v>51</v>
      </c>
      <c r="M9784" s="28" t="s">
        <v>51</v>
      </c>
      <c r="N9784" s="28" t="s">
        <v>51</v>
      </c>
    </row>
    <row r="9785" spans="1:14" x14ac:dyDescent="0.15">
      <c r="A9785" s="23" t="str">
        <f>HYPERLINK("https://www.spark-marketing.ru/Card/Person/1034131", "МЕЖМУНИЦИПАЛЬНЫЙ ОТДЕЛ МВД РОССИИ ""ТУРОЧАКСКИЙ""")</f>
        <v>МЕЖМУНИЦИПАЛЬНЫЙ ОТДЕЛ МВД РОССИИ "ТУРОЧАКСКИЙ"</v>
      </c>
      <c r="B9785" s="24" t="s">
        <v>14014</v>
      </c>
      <c r="C9785" s="25">
        <v>1000000</v>
      </c>
      <c r="D9785" s="22" t="s">
        <v>14015</v>
      </c>
      <c r="E9785" s="22" t="s">
        <v>48</v>
      </c>
      <c r="F9785" s="23" t="str">
        <f>HYPERLINK("https://www.spark-marketing.ru/Card/Lot/72526926", "Услуги по обеспечению питанием лиц, содержащихся в изоляторе временного содержания")</f>
        <v>Услуги по обеспечению питанием лиц, содержащихся в изоляторе временного содержания</v>
      </c>
      <c r="G9785" s="22" t="s">
        <v>1141</v>
      </c>
      <c r="H9785" s="22" t="s">
        <v>14016</v>
      </c>
      <c r="I9785" s="26">
        <v>43676.7355902778</v>
      </c>
      <c r="J9785" s="23" t="str">
        <f>HYPERLINK("https://www.spark-marketing.ru/Card/Person/1645246", "Солопов Михаил Викторович")</f>
        <v>Солопов Михаил Викторович</v>
      </c>
      <c r="K9785" s="24" t="s">
        <v>14017</v>
      </c>
      <c r="L9785" s="22" t="s">
        <v>10</v>
      </c>
      <c r="M9785" s="28" t="s">
        <v>51</v>
      </c>
      <c r="N9785" s="28" t="s">
        <v>51</v>
      </c>
    </row>
    <row r="9786" spans="1:14" x14ac:dyDescent="0.15">
      <c r="A9786" s="23" t="str">
        <f>HYPERLINK("https://www.spark-marketing.ru/Card/Person/1034131", "МЕЖМУНИЦИПАЛЬНЫЙ ОТДЕЛ МВД РОССИИ ""ТУРОЧАКСКИЙ""")</f>
        <v>МЕЖМУНИЦИПАЛЬНЫЙ ОТДЕЛ МВД РОССИИ "ТУРОЧАКСКИЙ"</v>
      </c>
      <c r="B9786" s="24" t="s">
        <v>14014</v>
      </c>
      <c r="C9786" s="25">
        <v>420000</v>
      </c>
      <c r="D9786" s="22" t="s">
        <v>14018</v>
      </c>
      <c r="E9786" s="22" t="s">
        <v>48</v>
      </c>
      <c r="F9786" s="23" t="str">
        <f>HYPERLINK("https://www.spark-marketing.ru/Card/Lot/72524006", "Услуги по обеспечению питанием лиц, задержанных за административное правонарушение")</f>
        <v>Услуги по обеспечению питанием лиц, задержанных за административное правонарушение</v>
      </c>
      <c r="G9786" s="22" t="s">
        <v>1141</v>
      </c>
      <c r="H9786" s="22" t="s">
        <v>14016</v>
      </c>
      <c r="I9786" s="26">
        <v>43676.738148148099</v>
      </c>
      <c r="J9786" s="23" t="str">
        <f>HYPERLINK("https://www.spark-marketing.ru/Card/Person/1652740", "Куньщикова Евгения Егоровна")</f>
        <v>Куньщикова Евгения Егоровна</v>
      </c>
      <c r="K9786" s="24" t="s">
        <v>14019</v>
      </c>
      <c r="L9786" s="22" t="s">
        <v>10</v>
      </c>
      <c r="M9786" s="28" t="s">
        <v>51</v>
      </c>
      <c r="N9786" s="28" t="s">
        <v>51</v>
      </c>
    </row>
    <row r="9787" spans="1:14" collapsed="1" x14ac:dyDescent="0.15">
      <c r="A9787" s="23" t="str">
        <f t="shared" ref="A9787:A9793" si="240">HYPERLINK("https://www.spark-marketing.ru/Card/Person/59891", "ГБУЗ ""ТОРЖОКСКАЯ ЦРБ""")</f>
        <v>ГБУЗ "ТОРЖОКСКАЯ ЦРБ"</v>
      </c>
      <c r="B9787" s="24" t="s">
        <v>14020</v>
      </c>
      <c r="C9787" s="25">
        <v>1824395.5</v>
      </c>
      <c r="D9787" s="22" t="s">
        <v>14021</v>
      </c>
      <c r="E9787" s="22" t="s">
        <v>62</v>
      </c>
      <c r="F9787" s="23" t="str">
        <f t="shared" ref="F9787:F9793" si="241">HYPERLINK("https://www.spark-marketing.ru/Card/Lot/72487031", "Поставка печатной продукции")</f>
        <v>Поставка печатной продукции</v>
      </c>
      <c r="G9787" s="22" t="s">
        <v>137</v>
      </c>
      <c r="H9787" s="22" t="s">
        <v>14022</v>
      </c>
      <c r="I9787" s="26">
        <v>43676.729189814803</v>
      </c>
      <c r="J9787" s="28" t="s">
        <v>51</v>
      </c>
      <c r="K9787" s="28" t="s">
        <v>51</v>
      </c>
      <c r="L9787" s="28" t="s">
        <v>51</v>
      </c>
      <c r="M9787" s="28" t="s">
        <v>51</v>
      </c>
      <c r="N9787" s="28" t="s">
        <v>51</v>
      </c>
    </row>
    <row r="9788" spans="1:14" hidden="1" outlineLevel="1" x14ac:dyDescent="0.2">
      <c r="A9788" s="23" t="str">
        <f t="shared" si="240"/>
        <v>ГБУЗ "ТОРЖОКСКАЯ ЦРБ"</v>
      </c>
      <c r="B9788" s="24" t="s">
        <v>14020</v>
      </c>
      <c r="C9788" s="25">
        <v>1824395.5</v>
      </c>
      <c r="D9788" s="22" t="s">
        <v>14021</v>
      </c>
      <c r="E9788" s="22" t="s">
        <v>62</v>
      </c>
      <c r="F9788" s="23" t="str">
        <f t="shared" si="241"/>
        <v>Поставка печатной продукции</v>
      </c>
      <c r="G9788" s="22" t="s">
        <v>137</v>
      </c>
      <c r="H9788" s="22" t="s">
        <v>14022</v>
      </c>
      <c r="I9788" s="26">
        <v>43676.729189814803</v>
      </c>
      <c r="J9788" s="23" t="str">
        <f>HYPERLINK("https://www.spark-marketing.ru/Card/Person/6444850", "ДМИТРИЕВ АЛЕКСАНДР ВАСИЛЬЕВИЧ")</f>
        <v>ДМИТРИЕВ АЛЕКСАНДР ВАСИЛЬЕВИЧ</v>
      </c>
      <c r="K9788" s="24" t="s">
        <v>12763</v>
      </c>
      <c r="L9788" s="28" t="s">
        <v>51</v>
      </c>
      <c r="M9788" s="25">
        <v>990036.1</v>
      </c>
      <c r="N9788" s="27">
        <v>0.45733471717070118</v>
      </c>
    </row>
    <row r="9789" spans="1:14" hidden="1" outlineLevel="1" x14ac:dyDescent="0.2">
      <c r="A9789" s="23" t="str">
        <f t="shared" si="240"/>
        <v>ГБУЗ "ТОРЖОКСКАЯ ЦРБ"</v>
      </c>
      <c r="B9789" s="24" t="s">
        <v>14020</v>
      </c>
      <c r="C9789" s="25">
        <v>1824395.5</v>
      </c>
      <c r="D9789" s="22" t="s">
        <v>14021</v>
      </c>
      <c r="E9789" s="22" t="s">
        <v>62</v>
      </c>
      <c r="F9789" s="23" t="str">
        <f t="shared" si="241"/>
        <v>Поставка печатной продукции</v>
      </c>
      <c r="G9789" s="22" t="s">
        <v>137</v>
      </c>
      <c r="H9789" s="22" t="s">
        <v>14022</v>
      </c>
      <c r="I9789" s="26">
        <v>43676.729189814803</v>
      </c>
      <c r="J9789" s="23" t="str">
        <f>HYPERLINK("https://www.spark-marketing.ru/Card/Person/105032", "ООО ""ТОРЖОКСКАЯ ТИПОГРАФИЯ""")</f>
        <v>ООО "ТОРЖОКСКАЯ ТИПОГРАФИЯ"</v>
      </c>
      <c r="K9789" s="24" t="s">
        <v>7305</v>
      </c>
      <c r="L9789" s="28" t="s">
        <v>51</v>
      </c>
      <c r="M9789" s="25">
        <v>642013.02</v>
      </c>
      <c r="N9789" s="27">
        <v>0.64809548148962215</v>
      </c>
    </row>
    <row r="9790" spans="1:14" ht="12.75" hidden="1" outlineLevel="1" x14ac:dyDescent="0.2">
      <c r="A9790" s="23" t="str">
        <f t="shared" si="240"/>
        <v>ГБУЗ "ТОРЖОКСКАЯ ЦРБ"</v>
      </c>
      <c r="B9790" s="24" t="s">
        <v>14020</v>
      </c>
      <c r="C9790" s="25">
        <v>1824395.5</v>
      </c>
      <c r="D9790" s="22" t="s">
        <v>14021</v>
      </c>
      <c r="E9790" s="22" t="s">
        <v>62</v>
      </c>
      <c r="F9790" s="23" t="str">
        <f t="shared" si="241"/>
        <v>Поставка печатной продукции</v>
      </c>
      <c r="G9790" s="22" t="s">
        <v>137</v>
      </c>
      <c r="H9790" s="22" t="s">
        <v>14022</v>
      </c>
      <c r="I9790" s="26">
        <v>43676.729189814803</v>
      </c>
      <c r="J9790" s="23" t="str">
        <f>HYPERLINK("https://www.spark-marketing.ru/Card/Person/5771136", "Степанова Светлана Евгеньевна")</f>
        <v>Степанова Светлана Евгеньевна</v>
      </c>
      <c r="K9790" s="24" t="s">
        <v>14023</v>
      </c>
      <c r="L9790" s="22" t="s">
        <v>10</v>
      </c>
      <c r="M9790" s="25">
        <v>642013.02</v>
      </c>
      <c r="N9790" s="27">
        <v>0.64809548148962215</v>
      </c>
    </row>
    <row r="9791" spans="1:14" hidden="1" outlineLevel="1" x14ac:dyDescent="0.2">
      <c r="A9791" s="23" t="str">
        <f t="shared" si="240"/>
        <v>ГБУЗ "ТОРЖОКСКАЯ ЦРБ"</v>
      </c>
      <c r="B9791" s="24" t="s">
        <v>14020</v>
      </c>
      <c r="C9791" s="25">
        <v>1824395.5</v>
      </c>
      <c r="D9791" s="22" t="s">
        <v>14021</v>
      </c>
      <c r="E9791" s="22" t="s">
        <v>62</v>
      </c>
      <c r="F9791" s="23" t="str">
        <f t="shared" si="241"/>
        <v>Поставка печатной продукции</v>
      </c>
      <c r="G9791" s="22" t="s">
        <v>137</v>
      </c>
      <c r="H9791" s="22" t="s">
        <v>14022</v>
      </c>
      <c r="I9791" s="26">
        <v>43676.729189814803</v>
      </c>
      <c r="J9791" s="23" t="str">
        <f>HYPERLINK("https://www.spark-marketing.ru/Card/Person/313171", "ООО ""ЦЕНТР ПЕЧАТИ""")</f>
        <v>ООО "ЦЕНТР ПЕЧАТИ"</v>
      </c>
      <c r="K9791" s="24" t="s">
        <v>6204</v>
      </c>
      <c r="L9791" s="28" t="s">
        <v>51</v>
      </c>
      <c r="M9791" s="25">
        <v>651135</v>
      </c>
      <c r="N9791" s="27">
        <v>0.64309548011930528</v>
      </c>
    </row>
    <row r="9792" spans="1:14" hidden="1" outlineLevel="1" x14ac:dyDescent="0.2">
      <c r="A9792" s="23" t="str">
        <f t="shared" si="240"/>
        <v>ГБУЗ "ТОРЖОКСКАЯ ЦРБ"</v>
      </c>
      <c r="B9792" s="24" t="s">
        <v>14020</v>
      </c>
      <c r="C9792" s="25">
        <v>1824395.5</v>
      </c>
      <c r="D9792" s="22" t="s">
        <v>14021</v>
      </c>
      <c r="E9792" s="22" t="s">
        <v>62</v>
      </c>
      <c r="F9792" s="23" t="str">
        <f t="shared" si="241"/>
        <v>Поставка печатной продукции</v>
      </c>
      <c r="G9792" s="22" t="s">
        <v>137</v>
      </c>
      <c r="H9792" s="22" t="s">
        <v>14022</v>
      </c>
      <c r="I9792" s="26">
        <v>43676.729189814803</v>
      </c>
      <c r="J9792" s="23" t="str">
        <f>HYPERLINK("https://www.spark-marketing.ru/Card/Person/159573", "ООО ""ПОЛИГРАФИЧЕСКИЕ РЕШЕНИЯ""")</f>
        <v>ООО "ПОЛИГРАФИЧЕСКИЕ РЕШЕНИЯ"</v>
      </c>
      <c r="K9792" s="24" t="s">
        <v>5208</v>
      </c>
      <c r="L9792" s="28" t="s">
        <v>51</v>
      </c>
      <c r="M9792" s="25">
        <v>980000</v>
      </c>
      <c r="N9792" s="27">
        <v>0.46283577217768845</v>
      </c>
    </row>
    <row r="9793" spans="1:14" hidden="1" outlineLevel="1" x14ac:dyDescent="0.2">
      <c r="A9793" s="23" t="str">
        <f t="shared" si="240"/>
        <v>ГБУЗ "ТОРЖОКСКАЯ ЦРБ"</v>
      </c>
      <c r="B9793" s="24" t="s">
        <v>14020</v>
      </c>
      <c r="C9793" s="25">
        <v>1824395.5</v>
      </c>
      <c r="D9793" s="22" t="s">
        <v>14021</v>
      </c>
      <c r="E9793" s="22" t="s">
        <v>62</v>
      </c>
      <c r="F9793" s="23" t="str">
        <f t="shared" si="241"/>
        <v>Поставка печатной продукции</v>
      </c>
      <c r="G9793" s="22" t="s">
        <v>137</v>
      </c>
      <c r="H9793" s="22" t="s">
        <v>14022</v>
      </c>
      <c r="I9793" s="26">
        <v>43676.729189814803</v>
      </c>
      <c r="J9793" s="23" t="str">
        <f>HYPERLINK("https://www.spark-marketing.ru/Card/Person/6631976", "ООО ""ТИПОГРАФИЯ ФОРМАТ""")</f>
        <v>ООО "ТИПОГРАФИЯ ФОРМАТ"</v>
      </c>
      <c r="K9793" s="24" t="s">
        <v>6193</v>
      </c>
      <c r="L9793" s="28" t="s">
        <v>51</v>
      </c>
      <c r="M9793" s="25">
        <v>797694.32</v>
      </c>
      <c r="N9793" s="27">
        <v>0.56276239444791443</v>
      </c>
    </row>
    <row r="9794" spans="1:14" collapsed="1" x14ac:dyDescent="0.15">
      <c r="A9794" s="23" t="str">
        <f>HYPERLINK("https://www.spark-marketing.ru/Card/Person/58914", "МДОУ № 5")</f>
        <v>МДОУ № 5</v>
      </c>
      <c r="B9794" s="24" t="s">
        <v>13988</v>
      </c>
      <c r="C9794" s="25">
        <v>558470</v>
      </c>
      <c r="D9794" s="22" t="s">
        <v>14024</v>
      </c>
      <c r="E9794" s="22" t="s">
        <v>48</v>
      </c>
      <c r="F9794" s="23" t="str">
        <f>HYPERLINK("https://www.spark-marketing.ru/Card/Lot/72492682",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794" s="22" t="s">
        <v>49</v>
      </c>
      <c r="H9794" s="22" t="s">
        <v>6942</v>
      </c>
      <c r="I9794" s="26">
        <v>43676.744872685202</v>
      </c>
      <c r="J9794" s="28" t="s">
        <v>51</v>
      </c>
      <c r="K9794" s="28" t="s">
        <v>51</v>
      </c>
      <c r="L9794" s="28" t="s">
        <v>51</v>
      </c>
      <c r="M9794" s="28" t="s">
        <v>51</v>
      </c>
      <c r="N9794" s="28" t="s">
        <v>51</v>
      </c>
    </row>
    <row r="9795" spans="1:14" ht="12.75" hidden="1" outlineLevel="1" x14ac:dyDescent="0.2">
      <c r="A9795" s="23" t="str">
        <f>HYPERLINK("https://www.spark-marketing.ru/Card/Person/58914", "МДОУ № 5")</f>
        <v>МДОУ № 5</v>
      </c>
      <c r="B9795" s="24" t="s">
        <v>13988</v>
      </c>
      <c r="C9795" s="25">
        <v>558470</v>
      </c>
      <c r="D9795" s="22" t="s">
        <v>14024</v>
      </c>
      <c r="E9795" s="22" t="s">
        <v>48</v>
      </c>
      <c r="F9795" s="23" t="str">
        <f>HYPERLINK("https://www.spark-marketing.ru/Card/Lot/72492682",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795" s="22" t="s">
        <v>49</v>
      </c>
      <c r="H9795" s="22" t="s">
        <v>6942</v>
      </c>
      <c r="I9795" s="26">
        <v>43676.744872685202</v>
      </c>
      <c r="J9795" s="23" t="str">
        <f>HYPERLINK("https://www.spark-marketing.ru/Card/Person/1328900", "МУП ""ОБЩЕПИТ """)</f>
        <v>МУП "ОБЩЕПИТ "</v>
      </c>
      <c r="K9795" s="24" t="s">
        <v>13633</v>
      </c>
      <c r="L9795" s="22" t="s">
        <v>10</v>
      </c>
      <c r="M9795" s="25">
        <v>494245.95</v>
      </c>
      <c r="N9795" s="27">
        <v>0.115</v>
      </c>
    </row>
    <row r="9796" spans="1:14" hidden="1" outlineLevel="1" x14ac:dyDescent="0.2">
      <c r="A9796" s="23" t="str">
        <f>HYPERLINK("https://www.spark-marketing.ru/Card/Person/58914", "МДОУ № 5")</f>
        <v>МДОУ № 5</v>
      </c>
      <c r="B9796" s="24" t="s">
        <v>13988</v>
      </c>
      <c r="C9796" s="25">
        <v>558470</v>
      </c>
      <c r="D9796" s="22" t="s">
        <v>14024</v>
      </c>
      <c r="E9796" s="22" t="s">
        <v>48</v>
      </c>
      <c r="F9796" s="23" t="str">
        <f>HYPERLINK("https://www.spark-marketing.ru/Card/Lot/72492682", "Услуги по организации питания для воспитанников дошкольной образовательной организации")</f>
        <v>Услуги по организации питания для воспитанников дошкольной образовательной организации</v>
      </c>
      <c r="G9796" s="22" t="s">
        <v>49</v>
      </c>
      <c r="H9796" s="22" t="s">
        <v>6942</v>
      </c>
      <c r="I9796" s="26">
        <v>43676.744872685202</v>
      </c>
      <c r="J9796" s="23" t="str">
        <f>HYPERLINK("https://www.spark-marketing.ru/Card/Person/6288842", "ООО ""СТАВМЕД""")</f>
        <v>ООО "СТАВМЕД"</v>
      </c>
      <c r="K9796" s="24" t="s">
        <v>14025</v>
      </c>
      <c r="L9796" s="28" t="s">
        <v>51</v>
      </c>
      <c r="M9796" s="25">
        <v>497038.3</v>
      </c>
      <c r="N9796" s="27">
        <v>0.11</v>
      </c>
    </row>
    <row r="9797" spans="1:14" x14ac:dyDescent="0.15">
      <c r="A9797" s="23" t="str">
        <f>HYPERLINK("https://www.spark-marketing.ru/Card/Person/1178", "ГАУ РС (Я) ""РКБ №3""")</f>
        <v>ГАУ РС (Я) "РКБ №3"</v>
      </c>
      <c r="B9797" s="24" t="s">
        <v>14026</v>
      </c>
      <c r="C9797" s="25">
        <v>74879.38</v>
      </c>
      <c r="D9797" s="22" t="s">
        <v>14027</v>
      </c>
      <c r="E9797" s="22" t="s">
        <v>86</v>
      </c>
      <c r="F9797" s="23" t="str">
        <f>HYPERLINK("https://www.spark-marketing.ru/Card/Lot/72496965", "Оказание услуг на проведение инструментально-лабораторных исследований воды и продуктов питания и дезинфектантов")</f>
        <v>Оказание услуг на проведение инструментально-лабораторных исследований воды и продуктов питания и дезинфектантов</v>
      </c>
      <c r="G9797" s="22" t="s">
        <v>241</v>
      </c>
      <c r="H9797" s="22" t="s">
        <v>242</v>
      </c>
      <c r="I9797" s="26">
        <v>43676.724826388898</v>
      </c>
      <c r="J9797" s="23" t="str">
        <f>HYPERLINK("https://www.spark-marketing.ru/Card/Person/112607", "ФБУЗ ""ЦЕНТР ГИГИЕНЫ И ЭПИДЕМИОЛОГИИ В РЕСПУБЛИКЕ САХА (ЯКУТИЯ)""")</f>
        <v>ФБУЗ "ЦЕНТР ГИГИЕНЫ И ЭПИДЕМИОЛОГИИ В РЕСПУБЛИКЕ САХА (ЯКУТИЯ)"</v>
      </c>
      <c r="K9797" s="24" t="s">
        <v>14028</v>
      </c>
      <c r="L9797" s="22" t="s">
        <v>10</v>
      </c>
      <c r="M9797" s="28" t="s">
        <v>51</v>
      </c>
      <c r="N9797" s="28" t="s">
        <v>51</v>
      </c>
    </row>
    <row r="9798" spans="1:14" x14ac:dyDescent="0.15">
      <c r="A9798" s="23" t="str">
        <f>HYPERLINK("https://www.spark-marketing.ru/Card/Person/259820", "МО МВД РОССИИ ""КРАСНОХОЛМСКИЙ""")</f>
        <v>МО МВД РОССИИ "КРАСНОХОЛМСКИЙ"</v>
      </c>
      <c r="B9798" s="24" t="s">
        <v>2722</v>
      </c>
      <c r="C9798" s="25">
        <v>68000</v>
      </c>
      <c r="D9798" s="22" t="s">
        <v>14029</v>
      </c>
      <c r="E9798" s="22" t="s">
        <v>48</v>
      </c>
      <c r="F9798" s="23" t="str">
        <f>HYPERLINK("https://www.spark-marketing.ru/Card/Lot/72474211", "Услуги общественного питания, 272 усл. ед")</f>
        <v>Услуги общественного питания, 272 усл. ед</v>
      </c>
      <c r="G9798" s="22" t="s">
        <v>137</v>
      </c>
      <c r="H9798" s="22" t="s">
        <v>2724</v>
      </c>
      <c r="I9798" s="26">
        <v>43676.700763888897</v>
      </c>
      <c r="J9798" s="28" t="s">
        <v>51</v>
      </c>
      <c r="K9798" s="28" t="s">
        <v>51</v>
      </c>
      <c r="L9798" s="28" t="s">
        <v>51</v>
      </c>
      <c r="M9798" s="28" t="s">
        <v>51</v>
      </c>
      <c r="N9798" s="28" t="s">
        <v>51</v>
      </c>
    </row>
    <row r="9799" spans="1:14" collapsed="1" x14ac:dyDescent="0.15">
      <c r="A9799" s="23" t="s">
        <v>114</v>
      </c>
      <c r="B9799" s="28" t="s">
        <v>51</v>
      </c>
      <c r="C9799" s="25">
        <v>15700470.16</v>
      </c>
      <c r="D9799" s="22" t="s">
        <v>14030</v>
      </c>
      <c r="E9799" s="22" t="s">
        <v>48</v>
      </c>
      <c r="F9799" s="23" t="str">
        <f t="shared" ref="F9799:F9809" si="242">HYPERLINK("https://www.spark-marketing.ru/Card/Lot/72488583", "Оказание услуг по организации питания на 2 полугодие 2019 года для образовательных учреждений Альметьевского муниципального района")</f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799" s="22" t="s">
        <v>51</v>
      </c>
      <c r="H9799" s="22" t="s">
        <v>51</v>
      </c>
      <c r="I9799" s="26">
        <v>43676.696770833303</v>
      </c>
      <c r="J9799" s="28" t="s">
        <v>51</v>
      </c>
      <c r="K9799" s="28" t="s">
        <v>51</v>
      </c>
      <c r="L9799" s="28" t="s">
        <v>51</v>
      </c>
      <c r="M9799" s="28" t="s">
        <v>51</v>
      </c>
      <c r="N9799" s="28" t="s">
        <v>51</v>
      </c>
    </row>
    <row r="9800" spans="1:14" hidden="1" outlineLevel="1" x14ac:dyDescent="0.15">
      <c r="A9800" s="23" t="str">
        <f>HYPERLINK("https://www.spark-marketing.ru/Card/Person/256118", "МБДОУ №40 ""ГУСИ-ЛЕБЕДИ""")</f>
        <v>МБДОУ №40 "ГУСИ-ЛЕБЕДИ"</v>
      </c>
      <c r="B9800" s="24" t="s">
        <v>14031</v>
      </c>
      <c r="C9800" s="25">
        <v>1874017.6</v>
      </c>
      <c r="D9800" s="22" t="s">
        <v>14030</v>
      </c>
      <c r="E9800" s="22" t="s">
        <v>48</v>
      </c>
      <c r="F9800" s="23" t="str">
        <f t="shared" si="242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00" s="22" t="s">
        <v>217</v>
      </c>
      <c r="H9800" s="22" t="s">
        <v>9289</v>
      </c>
      <c r="I9800" s="26">
        <v>43676.696770833303</v>
      </c>
      <c r="J9800" s="28" t="s">
        <v>51</v>
      </c>
      <c r="K9800" s="28" t="s">
        <v>51</v>
      </c>
      <c r="L9800" s="28" t="s">
        <v>51</v>
      </c>
      <c r="M9800" s="28" t="s">
        <v>51</v>
      </c>
      <c r="N9800" s="28" t="s">
        <v>51</v>
      </c>
    </row>
    <row r="9801" spans="1:14" hidden="1" outlineLevel="1" x14ac:dyDescent="0.15">
      <c r="A9801" s="23" t="str">
        <f>HYPERLINK("https://www.spark-marketing.ru/Card/Person/257843", "МБДОУ ""Д/С № 45 ""КОСМОС""")</f>
        <v>МБДОУ "Д/С № 45 "КОСМОС"</v>
      </c>
      <c r="B9801" s="24" t="s">
        <v>14032</v>
      </c>
      <c r="C9801" s="25">
        <v>3072481.72</v>
      </c>
      <c r="D9801" s="22" t="s">
        <v>14030</v>
      </c>
      <c r="E9801" s="22" t="s">
        <v>48</v>
      </c>
      <c r="F9801" s="23" t="str">
        <f t="shared" si="242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01" s="22" t="s">
        <v>217</v>
      </c>
      <c r="H9801" s="22" t="s">
        <v>9289</v>
      </c>
      <c r="I9801" s="26">
        <v>43676.696770833303</v>
      </c>
      <c r="J9801" s="28" t="s">
        <v>51</v>
      </c>
      <c r="K9801" s="28" t="s">
        <v>51</v>
      </c>
      <c r="L9801" s="28" t="s">
        <v>51</v>
      </c>
      <c r="M9801" s="28" t="s">
        <v>51</v>
      </c>
      <c r="N9801" s="28" t="s">
        <v>51</v>
      </c>
    </row>
    <row r="9802" spans="1:14" hidden="1" outlineLevel="1" x14ac:dyDescent="0.15">
      <c r="A9802" s="23" t="str">
        <f>HYPERLINK("https://www.spark-marketing.ru/Card/Person/257951", "МБДОУ""Д/С № 43 ""БЕЛОЧКА""")</f>
        <v>МБДОУ"Д/С № 43 "БЕЛОЧКА"</v>
      </c>
      <c r="B9802" s="24" t="s">
        <v>14033</v>
      </c>
      <c r="C9802" s="25">
        <v>1852701.76</v>
      </c>
      <c r="D9802" s="22" t="s">
        <v>14030</v>
      </c>
      <c r="E9802" s="22" t="s">
        <v>48</v>
      </c>
      <c r="F9802" s="23" t="str">
        <f t="shared" si="242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02" s="22" t="s">
        <v>217</v>
      </c>
      <c r="H9802" s="22" t="s">
        <v>9289</v>
      </c>
      <c r="I9802" s="26">
        <v>43676.696770833303</v>
      </c>
      <c r="J9802" s="28" t="s">
        <v>51</v>
      </c>
      <c r="K9802" s="28" t="s">
        <v>51</v>
      </c>
      <c r="L9802" s="28" t="s">
        <v>51</v>
      </c>
      <c r="M9802" s="28" t="s">
        <v>51</v>
      </c>
      <c r="N9802" s="28" t="s">
        <v>51</v>
      </c>
    </row>
    <row r="9803" spans="1:14" hidden="1" outlineLevel="1" x14ac:dyDescent="0.15">
      <c r="A9803" s="23" t="str">
        <f>HYPERLINK("https://www.spark-marketing.ru/Card/Person/257958", "МБДОУ ""Д/С № 54 ""БЕЛОСНЕЖКА""")</f>
        <v>МБДОУ "Д/С № 54 "БЕЛОСНЕЖКА"</v>
      </c>
      <c r="B9803" s="24" t="s">
        <v>14034</v>
      </c>
      <c r="C9803" s="25">
        <v>1319552</v>
      </c>
      <c r="D9803" s="22" t="s">
        <v>14030</v>
      </c>
      <c r="E9803" s="22" t="s">
        <v>48</v>
      </c>
      <c r="F9803" s="23" t="str">
        <f t="shared" si="242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03" s="22" t="s">
        <v>217</v>
      </c>
      <c r="H9803" s="22" t="s">
        <v>9289</v>
      </c>
      <c r="I9803" s="26">
        <v>43676.696770833303</v>
      </c>
      <c r="J9803" s="28" t="s">
        <v>51</v>
      </c>
      <c r="K9803" s="28" t="s">
        <v>51</v>
      </c>
      <c r="L9803" s="28" t="s">
        <v>51</v>
      </c>
      <c r="M9803" s="28" t="s">
        <v>51</v>
      </c>
      <c r="N9803" s="28" t="s">
        <v>51</v>
      </c>
    </row>
    <row r="9804" spans="1:14" hidden="1" outlineLevel="1" x14ac:dyDescent="0.15">
      <c r="A9804" s="23" t="str">
        <f>HYPERLINK("https://www.spark-marketing.ru/Card/Person/257968", "МБДОУ ""Д/С ""ШАТЛЫК"" С.МИННИБАЕВО""")</f>
        <v>МБДОУ "Д/С "ШАТЛЫК" С.МИННИБАЕВО"</v>
      </c>
      <c r="B9804" s="24" t="s">
        <v>14035</v>
      </c>
      <c r="C9804" s="25">
        <v>472334.28</v>
      </c>
      <c r="D9804" s="22" t="s">
        <v>14030</v>
      </c>
      <c r="E9804" s="22" t="s">
        <v>48</v>
      </c>
      <c r="F9804" s="23" t="str">
        <f t="shared" si="242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04" s="22" t="s">
        <v>217</v>
      </c>
      <c r="H9804" s="22" t="s">
        <v>9294</v>
      </c>
      <c r="I9804" s="26">
        <v>43676.696770833303</v>
      </c>
      <c r="J9804" s="28" t="s">
        <v>51</v>
      </c>
      <c r="K9804" s="28" t="s">
        <v>51</v>
      </c>
      <c r="L9804" s="28" t="s">
        <v>51</v>
      </c>
      <c r="M9804" s="28" t="s">
        <v>51</v>
      </c>
      <c r="N9804" s="28" t="s">
        <v>51</v>
      </c>
    </row>
    <row r="9805" spans="1:14" hidden="1" outlineLevel="1" x14ac:dyDescent="0.15">
      <c r="A9805" s="23" t="str">
        <f>HYPERLINK("https://www.spark-marketing.ru/Card/Person/258771", "МБОУ ""СОШ №25 ИМ. 70-ЛЕТИЯ НЕФТИ ТАТАРСТАНА"" Г.АЛЬМЕТЬЕВСКА")</f>
        <v>МБОУ "СОШ №25 ИМ. 70-ЛЕТИЯ НЕФТИ ТАТАРСТАНА" Г.АЛЬМЕТЬЕВСКА</v>
      </c>
      <c r="B9805" s="24" t="s">
        <v>14036</v>
      </c>
      <c r="C9805" s="25">
        <v>4227908.8</v>
      </c>
      <c r="D9805" s="22" t="s">
        <v>14030</v>
      </c>
      <c r="E9805" s="22" t="s">
        <v>48</v>
      </c>
      <c r="F9805" s="23" t="str">
        <f t="shared" si="242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05" s="22" t="s">
        <v>217</v>
      </c>
      <c r="H9805" s="22" t="s">
        <v>9289</v>
      </c>
      <c r="I9805" s="26">
        <v>43676.696770833303</v>
      </c>
      <c r="J9805" s="28" t="s">
        <v>51</v>
      </c>
      <c r="K9805" s="28" t="s">
        <v>51</v>
      </c>
      <c r="L9805" s="28" t="s">
        <v>51</v>
      </c>
      <c r="M9805" s="28" t="s">
        <v>51</v>
      </c>
      <c r="N9805" s="28" t="s">
        <v>51</v>
      </c>
    </row>
    <row r="9806" spans="1:14" hidden="1" outlineLevel="1" x14ac:dyDescent="0.15">
      <c r="A9806" s="23" t="str">
        <f>HYPERLINK("https://www.spark-marketing.ru/Card/Person/259212", "МБОУ ""МИННИБАЕВСКАЯ СОШ""")</f>
        <v>МБОУ "МИННИБАЕВСКАЯ СОШ"</v>
      </c>
      <c r="B9806" s="24" t="s">
        <v>14037</v>
      </c>
      <c r="C9806" s="25">
        <v>178876.2</v>
      </c>
      <c r="D9806" s="22" t="s">
        <v>14030</v>
      </c>
      <c r="E9806" s="22" t="s">
        <v>48</v>
      </c>
      <c r="F9806" s="23" t="str">
        <f t="shared" si="242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06" s="22" t="s">
        <v>217</v>
      </c>
      <c r="H9806" s="22" t="s">
        <v>9294</v>
      </c>
      <c r="I9806" s="26">
        <v>43676.696770833303</v>
      </c>
      <c r="J9806" s="28" t="s">
        <v>51</v>
      </c>
      <c r="K9806" s="28" t="s">
        <v>51</v>
      </c>
      <c r="L9806" s="28" t="s">
        <v>51</v>
      </c>
      <c r="M9806" s="28" t="s">
        <v>51</v>
      </c>
      <c r="N9806" s="28" t="s">
        <v>51</v>
      </c>
    </row>
    <row r="9807" spans="1:14" hidden="1" outlineLevel="1" x14ac:dyDescent="0.15">
      <c r="A9807" s="23" t="str">
        <f>HYPERLINK("https://www.spark-marketing.ru/Card/Person/259313", "МБОУ ""СОШ №24"" Г.АЛЬМЕТЬЕВСКА")</f>
        <v>МБОУ "СОШ №24" Г.АЛЬМЕТЬЕВСКА</v>
      </c>
      <c r="B9807" s="24" t="s">
        <v>14038</v>
      </c>
      <c r="C9807" s="25">
        <v>2702597.8</v>
      </c>
      <c r="D9807" s="22" t="s">
        <v>14030</v>
      </c>
      <c r="E9807" s="22" t="s">
        <v>48</v>
      </c>
      <c r="F9807" s="23" t="str">
        <f t="shared" si="242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07" s="22" t="s">
        <v>217</v>
      </c>
      <c r="H9807" s="22" t="s">
        <v>9289</v>
      </c>
      <c r="I9807" s="26">
        <v>43676.696770833303</v>
      </c>
      <c r="J9807" s="28" t="s">
        <v>51</v>
      </c>
      <c r="K9807" s="28" t="s">
        <v>51</v>
      </c>
      <c r="L9807" s="28" t="s">
        <v>51</v>
      </c>
      <c r="M9807" s="28" t="s">
        <v>51</v>
      </c>
      <c r="N9807" s="28" t="s">
        <v>51</v>
      </c>
    </row>
    <row r="9808" spans="1:14" hidden="1" outlineLevel="1" x14ac:dyDescent="0.2">
      <c r="A9808" s="28" t="s">
        <v>51</v>
      </c>
      <c r="B9808" s="28" t="s">
        <v>51</v>
      </c>
      <c r="C9808" s="28" t="s">
        <v>51</v>
      </c>
      <c r="D9808" s="22" t="s">
        <v>14030</v>
      </c>
      <c r="E9808" s="22" t="s">
        <v>48</v>
      </c>
      <c r="F9808" s="23" t="str">
        <f t="shared" si="242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08" s="22" t="s">
        <v>51</v>
      </c>
      <c r="H9808" s="22" t="s">
        <v>51</v>
      </c>
      <c r="I9808" s="26">
        <v>43676.696770833303</v>
      </c>
      <c r="J9808" s="23" t="str">
        <f>HYPERLINK("https://www.spark-marketing.ru/Card/Person/165573", "ООО ""ЭТАЛОН""")</f>
        <v>ООО "ЭТАЛОН"</v>
      </c>
      <c r="K9808" s="24" t="s">
        <v>14039</v>
      </c>
      <c r="L9808" s="22" t="s">
        <v>10</v>
      </c>
      <c r="M9808" s="25">
        <v>11775352.619999999</v>
      </c>
      <c r="N9808" s="27">
        <v>0.25</v>
      </c>
    </row>
    <row r="9809" spans="1:14" hidden="1" outlineLevel="1" x14ac:dyDescent="0.2">
      <c r="A9809" s="28" t="s">
        <v>51</v>
      </c>
      <c r="B9809" s="28" t="s">
        <v>51</v>
      </c>
      <c r="C9809" s="28" t="s">
        <v>51</v>
      </c>
      <c r="D9809" s="22" t="s">
        <v>14030</v>
      </c>
      <c r="E9809" s="22" t="s">
        <v>48</v>
      </c>
      <c r="F9809" s="23" t="str">
        <f t="shared" si="242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09" s="22" t="s">
        <v>51</v>
      </c>
      <c r="H9809" s="22" t="s">
        <v>51</v>
      </c>
      <c r="I9809" s="26">
        <v>43676.696770833303</v>
      </c>
      <c r="J9809" s="23" t="str">
        <f>HYPERLINK("https://www.spark-marketing.ru/Card/Person/4868441", "ООО ""СКОРПИОНС-ГРУПП""")</f>
        <v>ООО "СКОРПИОНС-ГРУПП"</v>
      </c>
      <c r="K9809" s="24" t="s">
        <v>14040</v>
      </c>
      <c r="L9809" s="28" t="s">
        <v>51</v>
      </c>
      <c r="M9809" s="25">
        <v>11853854.970000001</v>
      </c>
      <c r="N9809" s="27">
        <v>0.24500000005095388</v>
      </c>
    </row>
    <row r="9810" spans="1:14" x14ac:dyDescent="0.15">
      <c r="A9810" s="23" t="str">
        <f>HYPERLINK("https://www.spark-marketing.ru/Card/Person/259820", "МО МВД РОССИИ ""КРАСНОХОЛМСКИЙ""")</f>
        <v>МО МВД РОССИИ "КРАСНОХОЛМСКИЙ"</v>
      </c>
      <c r="B9810" s="24" t="s">
        <v>2722</v>
      </c>
      <c r="C9810" s="25">
        <v>68000</v>
      </c>
      <c r="D9810" s="22" t="s">
        <v>14041</v>
      </c>
      <c r="E9810" s="22" t="s">
        <v>48</v>
      </c>
      <c r="F9810" s="23" t="str">
        <f>HYPERLINK("https://www.spark-marketing.ru/Card/Lot/72474083", "Услуги общественного питания, 272 усл. ед")</f>
        <v>Услуги общественного питания, 272 усл. ед</v>
      </c>
      <c r="G9810" s="22" t="s">
        <v>137</v>
      </c>
      <c r="H9810" s="22" t="s">
        <v>2724</v>
      </c>
      <c r="I9810" s="26">
        <v>43676.696365740703</v>
      </c>
      <c r="J9810" s="28" t="s">
        <v>51</v>
      </c>
      <c r="K9810" s="28" t="s">
        <v>51</v>
      </c>
      <c r="L9810" s="28" t="s">
        <v>51</v>
      </c>
      <c r="M9810" s="28" t="s">
        <v>51</v>
      </c>
      <c r="N9810" s="28" t="s">
        <v>51</v>
      </c>
    </row>
    <row r="9811" spans="1:14" x14ac:dyDescent="0.15">
      <c r="A9811" s="23" t="str">
        <f>HYPERLINK("https://www.spark-marketing.ru/Card/Person/831405", "МАОУ ""ЛИЦЕЙ № 4"" Г.ЧЕБОКСАРЫ")</f>
        <v>МАОУ "ЛИЦЕЙ № 4" Г.ЧЕБОКСАРЫ</v>
      </c>
      <c r="B9811" s="24" t="s">
        <v>14042</v>
      </c>
      <c r="C9811" s="25">
        <v>484650</v>
      </c>
      <c r="D9811" s="22" t="s">
        <v>14043</v>
      </c>
      <c r="E9811" s="22" t="s">
        <v>48</v>
      </c>
      <c r="F9811" s="23" t="str">
        <f>HYPERLINK("https://www.spark-marketing.ru/Card/Lot/72474037", "оказание услуг по организации горячего питания")</f>
        <v>оказание услуг по организации горячего питания</v>
      </c>
      <c r="G9811" s="22" t="s">
        <v>618</v>
      </c>
      <c r="H9811" s="22" t="s">
        <v>2842</v>
      </c>
      <c r="I9811" s="26">
        <v>43676.677083333299</v>
      </c>
      <c r="J9811" s="28" t="s">
        <v>51</v>
      </c>
      <c r="K9811" s="28" t="s">
        <v>51</v>
      </c>
      <c r="L9811" s="28" t="s">
        <v>51</v>
      </c>
      <c r="M9811" s="28" t="s">
        <v>51</v>
      </c>
      <c r="N9811" s="28" t="s">
        <v>51</v>
      </c>
    </row>
    <row r="9812" spans="1:14" collapsed="1" x14ac:dyDescent="0.15">
      <c r="A9812" s="23" t="s">
        <v>114</v>
      </c>
      <c r="B9812" s="28" t="s">
        <v>51</v>
      </c>
      <c r="C9812" s="25">
        <v>16487433.470000001</v>
      </c>
      <c r="D9812" s="22" t="s">
        <v>14044</v>
      </c>
      <c r="E9812" s="22" t="s">
        <v>48</v>
      </c>
      <c r="F9812" s="23" t="str">
        <f t="shared" ref="F9812:F9826" si="243">HYPERLINK("https://www.spark-marketing.ru/Card/Lot/72488580", "Оказание услуг по организации питания на 2 полугодие 2019 года для образовательных учреждений Альметьевского муниципального района")</f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12" s="22" t="s">
        <v>51</v>
      </c>
      <c r="H9812" s="22" t="s">
        <v>51</v>
      </c>
      <c r="I9812" s="26">
        <v>43676.696250000001</v>
      </c>
      <c r="J9812" s="28" t="s">
        <v>51</v>
      </c>
      <c r="K9812" s="28" t="s">
        <v>51</v>
      </c>
      <c r="L9812" s="28" t="s">
        <v>51</v>
      </c>
      <c r="M9812" s="28" t="s">
        <v>51</v>
      </c>
      <c r="N9812" s="28" t="s">
        <v>51</v>
      </c>
    </row>
    <row r="9813" spans="1:14" hidden="1" outlineLevel="1" x14ac:dyDescent="0.15">
      <c r="A9813" s="23" t="str">
        <f>HYPERLINK("https://www.spark-marketing.ru/Card/Person/255430", "МАОУ ""СОШ №7"" Г.АЛЬМЕТЬЕВСКА")</f>
        <v>МАОУ "СОШ №7" Г.АЛЬМЕТЬЕВСКА</v>
      </c>
      <c r="B9813" s="24" t="s">
        <v>14045</v>
      </c>
      <c r="C9813" s="25">
        <v>2184996.7999999998</v>
      </c>
      <c r="D9813" s="22" t="s">
        <v>14044</v>
      </c>
      <c r="E9813" s="22" t="s">
        <v>48</v>
      </c>
      <c r="F9813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13" s="22" t="s">
        <v>217</v>
      </c>
      <c r="H9813" s="22" t="s">
        <v>9289</v>
      </c>
      <c r="I9813" s="26">
        <v>43676.696250000001</v>
      </c>
      <c r="J9813" s="28" t="s">
        <v>51</v>
      </c>
      <c r="K9813" s="28" t="s">
        <v>51</v>
      </c>
      <c r="L9813" s="28" t="s">
        <v>51</v>
      </c>
      <c r="M9813" s="28" t="s">
        <v>51</v>
      </c>
      <c r="N9813" s="28" t="s">
        <v>51</v>
      </c>
    </row>
    <row r="9814" spans="1:14" hidden="1" outlineLevel="1" x14ac:dyDescent="0.15">
      <c r="A9814" s="23" t="str">
        <f>HYPERLINK("https://www.spark-marketing.ru/Card/Person/256093", "МБДОУ ""Д/С №58 ""ШАЯН НЭНИЛЭР""")</f>
        <v>МБДОУ "Д/С №58 "ШАЯН НЭНИЛЭР"</v>
      </c>
      <c r="B9814" s="24" t="s">
        <v>14046</v>
      </c>
      <c r="C9814" s="25">
        <v>2708449.58</v>
      </c>
      <c r="D9814" s="22" t="s">
        <v>14044</v>
      </c>
      <c r="E9814" s="22" t="s">
        <v>48</v>
      </c>
      <c r="F9814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14" s="22" t="s">
        <v>217</v>
      </c>
      <c r="H9814" s="22" t="s">
        <v>9289</v>
      </c>
      <c r="I9814" s="26">
        <v>43676.696250000001</v>
      </c>
      <c r="J9814" s="28" t="s">
        <v>51</v>
      </c>
      <c r="K9814" s="28" t="s">
        <v>51</v>
      </c>
      <c r="L9814" s="28" t="s">
        <v>51</v>
      </c>
      <c r="M9814" s="28" t="s">
        <v>51</v>
      </c>
      <c r="N9814" s="28" t="s">
        <v>51</v>
      </c>
    </row>
    <row r="9815" spans="1:14" hidden="1" outlineLevel="1" x14ac:dyDescent="0.15">
      <c r="A9815" s="23" t="str">
        <f>HYPERLINK("https://www.spark-marketing.ru/Card/Person/257812", "МБДОУ ""Д/С № 48 ""ВЕСНЯНКА""")</f>
        <v>МБДОУ "Д/С № 48 "ВЕСНЯНКА"</v>
      </c>
      <c r="B9815" s="24" t="s">
        <v>14047</v>
      </c>
      <c r="C9815" s="25">
        <v>1433744</v>
      </c>
      <c r="D9815" s="22" t="s">
        <v>14044</v>
      </c>
      <c r="E9815" s="22" t="s">
        <v>48</v>
      </c>
      <c r="F9815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15" s="22" t="s">
        <v>217</v>
      </c>
      <c r="H9815" s="22" t="s">
        <v>9289</v>
      </c>
      <c r="I9815" s="26">
        <v>43676.696250000001</v>
      </c>
      <c r="J9815" s="28" t="s">
        <v>51</v>
      </c>
      <c r="K9815" s="28" t="s">
        <v>51</v>
      </c>
      <c r="L9815" s="28" t="s">
        <v>51</v>
      </c>
      <c r="M9815" s="28" t="s">
        <v>51</v>
      </c>
      <c r="N9815" s="28" t="s">
        <v>51</v>
      </c>
    </row>
    <row r="9816" spans="1:14" hidden="1" outlineLevel="1" x14ac:dyDescent="0.15">
      <c r="A9816" s="23" t="str">
        <f>HYPERLINK("https://www.spark-marketing.ru/Card/Person/257932", "МБДОУ ""Д/С № 38 ""ДЕЛЬФИН""")</f>
        <v>МБДОУ "Д/С № 38 "ДЕЛЬФИН"</v>
      </c>
      <c r="B9816" s="24" t="s">
        <v>14048</v>
      </c>
      <c r="C9816" s="25">
        <v>1133680.76</v>
      </c>
      <c r="D9816" s="22" t="s">
        <v>14044</v>
      </c>
      <c r="E9816" s="22" t="s">
        <v>48</v>
      </c>
      <c r="F9816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16" s="22" t="s">
        <v>217</v>
      </c>
      <c r="H9816" s="22" t="s">
        <v>9289</v>
      </c>
      <c r="I9816" s="26">
        <v>43676.696250000001</v>
      </c>
      <c r="J9816" s="28" t="s">
        <v>51</v>
      </c>
      <c r="K9816" s="28" t="s">
        <v>51</v>
      </c>
      <c r="L9816" s="28" t="s">
        <v>51</v>
      </c>
      <c r="M9816" s="28" t="s">
        <v>51</v>
      </c>
      <c r="N9816" s="28" t="s">
        <v>51</v>
      </c>
    </row>
    <row r="9817" spans="1:14" hidden="1" outlineLevel="1" x14ac:dyDescent="0.15">
      <c r="A9817" s="23" t="str">
        <f>HYPERLINK("https://www.spark-marketing.ru/Card/Person/257935", "МБДОУ ""Д/С №62 ""ТИРЭК""")</f>
        <v>МБДОУ "Д/С №62 "ТИРЭК"</v>
      </c>
      <c r="B9817" s="24" t="s">
        <v>14049</v>
      </c>
      <c r="C9817" s="25">
        <v>1154608</v>
      </c>
      <c r="D9817" s="22" t="s">
        <v>14044</v>
      </c>
      <c r="E9817" s="22" t="s">
        <v>48</v>
      </c>
      <c r="F9817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17" s="22" t="s">
        <v>217</v>
      </c>
      <c r="H9817" s="22" t="s">
        <v>9294</v>
      </c>
      <c r="I9817" s="26">
        <v>43676.696250000001</v>
      </c>
      <c r="J9817" s="28" t="s">
        <v>51</v>
      </c>
      <c r="K9817" s="28" t="s">
        <v>51</v>
      </c>
      <c r="L9817" s="28" t="s">
        <v>51</v>
      </c>
      <c r="M9817" s="28" t="s">
        <v>51</v>
      </c>
      <c r="N9817" s="28" t="s">
        <v>51</v>
      </c>
    </row>
    <row r="9818" spans="1:14" hidden="1" outlineLevel="1" x14ac:dyDescent="0.15">
      <c r="A9818" s="23" t="str">
        <f>HYPERLINK("https://www.spark-marketing.ru/Card/Person/257948", "МБДОУ ""Д/С № 60 ""ДРУЖНАЯ СЕМЕЙКА""")</f>
        <v>МБДОУ "Д/С № 60 "ДРУЖНАЯ СЕМЕЙКА"</v>
      </c>
      <c r="B9818" s="24" t="s">
        <v>14050</v>
      </c>
      <c r="C9818" s="25">
        <v>635365.76</v>
      </c>
      <c r="D9818" s="22" t="s">
        <v>14044</v>
      </c>
      <c r="E9818" s="22" t="s">
        <v>48</v>
      </c>
      <c r="F9818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18" s="22" t="s">
        <v>217</v>
      </c>
      <c r="H9818" s="22" t="s">
        <v>9289</v>
      </c>
      <c r="I9818" s="26">
        <v>43676.696250000001</v>
      </c>
      <c r="J9818" s="28" t="s">
        <v>51</v>
      </c>
      <c r="K9818" s="28" t="s">
        <v>51</v>
      </c>
      <c r="L9818" s="28" t="s">
        <v>51</v>
      </c>
      <c r="M9818" s="28" t="s">
        <v>51</v>
      </c>
      <c r="N9818" s="28" t="s">
        <v>51</v>
      </c>
    </row>
    <row r="9819" spans="1:14" hidden="1" outlineLevel="1" x14ac:dyDescent="0.15">
      <c r="A9819" s="23" t="str">
        <f>HYPERLINK("https://www.spark-marketing.ru/Card/Person/257949", "МБДОУ ""ЦРР - Д/С № 46 ""ЗОЛУШКА""")</f>
        <v>МБДОУ "ЦРР - Д/С № 46 "ЗОЛУШКА"</v>
      </c>
      <c r="B9819" s="24" t="s">
        <v>14051</v>
      </c>
      <c r="C9819" s="25">
        <v>2791360</v>
      </c>
      <c r="D9819" s="22" t="s">
        <v>14044</v>
      </c>
      <c r="E9819" s="22" t="s">
        <v>48</v>
      </c>
      <c r="F9819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19" s="22" t="s">
        <v>217</v>
      </c>
      <c r="H9819" s="22" t="s">
        <v>9289</v>
      </c>
      <c r="I9819" s="26">
        <v>43676.696250000001</v>
      </c>
      <c r="J9819" s="28" t="s">
        <v>51</v>
      </c>
      <c r="K9819" s="28" t="s">
        <v>51</v>
      </c>
      <c r="L9819" s="28" t="s">
        <v>51</v>
      </c>
      <c r="M9819" s="28" t="s">
        <v>51</v>
      </c>
      <c r="N9819" s="28" t="s">
        <v>51</v>
      </c>
    </row>
    <row r="9820" spans="1:14" hidden="1" outlineLevel="1" x14ac:dyDescent="0.15">
      <c r="A9820" s="23" t="str">
        <f>HYPERLINK("https://www.spark-marketing.ru/Card/Person/257964", "МБДОУ ""Д/С № 47 ""ЭНЖЕ БОРТЕГЕ""")</f>
        <v>МБДОУ "Д/С № 47 "ЭНЖЕ БОРТЕГЕ"</v>
      </c>
      <c r="B9820" s="24" t="s">
        <v>14052</v>
      </c>
      <c r="C9820" s="25">
        <v>2670331.23</v>
      </c>
      <c r="D9820" s="22" t="s">
        <v>14044</v>
      </c>
      <c r="E9820" s="22" t="s">
        <v>48</v>
      </c>
      <c r="F9820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20" s="22" t="s">
        <v>217</v>
      </c>
      <c r="H9820" s="22" t="s">
        <v>9289</v>
      </c>
      <c r="I9820" s="26">
        <v>43676.696250000001</v>
      </c>
      <c r="J9820" s="28" t="s">
        <v>51</v>
      </c>
      <c r="K9820" s="28" t="s">
        <v>51</v>
      </c>
      <c r="L9820" s="28" t="s">
        <v>51</v>
      </c>
      <c r="M9820" s="28" t="s">
        <v>51</v>
      </c>
      <c r="N9820" s="28" t="s">
        <v>51</v>
      </c>
    </row>
    <row r="9821" spans="1:14" hidden="1" outlineLevel="1" x14ac:dyDescent="0.15">
      <c r="A9821" s="23" t="str">
        <f>HYPERLINK("https://www.spark-marketing.ru/Card/Person/259281", "МБОУ ""НИЖНЕМАКТАМИНСКАЯ СОШ №2""")</f>
        <v>МБОУ "НИЖНЕМАКТАМИНСКАЯ СОШ №2"</v>
      </c>
      <c r="B9821" s="24" t="s">
        <v>14053</v>
      </c>
      <c r="C9821" s="25">
        <v>1197237</v>
      </c>
      <c r="D9821" s="22" t="s">
        <v>14044</v>
      </c>
      <c r="E9821" s="22" t="s">
        <v>48</v>
      </c>
      <c r="F9821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21" s="22" t="s">
        <v>217</v>
      </c>
      <c r="H9821" s="22" t="s">
        <v>9294</v>
      </c>
      <c r="I9821" s="26">
        <v>43676.696250000001</v>
      </c>
      <c r="J9821" s="28" t="s">
        <v>51</v>
      </c>
      <c r="K9821" s="28" t="s">
        <v>51</v>
      </c>
      <c r="L9821" s="28" t="s">
        <v>51</v>
      </c>
      <c r="M9821" s="28" t="s">
        <v>51</v>
      </c>
      <c r="N9821" s="28" t="s">
        <v>51</v>
      </c>
    </row>
    <row r="9822" spans="1:14" hidden="1" outlineLevel="1" x14ac:dyDescent="0.15">
      <c r="A9822" s="23" t="str">
        <f>HYPERLINK("https://www.spark-marketing.ru/Card/Person/259282", "МБОУ ""КИЧУЙСКАЯ СОШ""")</f>
        <v>МБОУ "КИЧУЙСКАЯ СОШ"</v>
      </c>
      <c r="B9822" s="24" t="s">
        <v>14054</v>
      </c>
      <c r="C9822" s="25">
        <v>218346</v>
      </c>
      <c r="D9822" s="22" t="s">
        <v>14044</v>
      </c>
      <c r="E9822" s="22" t="s">
        <v>48</v>
      </c>
      <c r="F9822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22" s="22" t="s">
        <v>217</v>
      </c>
      <c r="H9822" s="22" t="s">
        <v>9294</v>
      </c>
      <c r="I9822" s="26">
        <v>43676.696250000001</v>
      </c>
      <c r="J9822" s="28" t="s">
        <v>51</v>
      </c>
      <c r="K9822" s="28" t="s">
        <v>51</v>
      </c>
      <c r="L9822" s="28" t="s">
        <v>51</v>
      </c>
      <c r="M9822" s="28" t="s">
        <v>51</v>
      </c>
      <c r="N9822" s="28" t="s">
        <v>51</v>
      </c>
    </row>
    <row r="9823" spans="1:14" hidden="1" outlineLevel="1" x14ac:dyDescent="0.15">
      <c r="A9823" s="23" t="str">
        <f>HYPERLINK("https://www.spark-marketing.ru/Card/Person/4355134", "МБДОУ ""Д/С ""СКАЗКА"" С. КИЧУЙ""")</f>
        <v>МБДОУ "Д/С "СКАЗКА" С. КИЧУЙ"</v>
      </c>
      <c r="B9823" s="24" t="s">
        <v>14055</v>
      </c>
      <c r="C9823" s="25">
        <v>359314.34</v>
      </c>
      <c r="D9823" s="22" t="s">
        <v>14044</v>
      </c>
      <c r="E9823" s="22" t="s">
        <v>48</v>
      </c>
      <c r="F9823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23" s="22" t="s">
        <v>217</v>
      </c>
      <c r="H9823" s="22" t="s">
        <v>9294</v>
      </c>
      <c r="I9823" s="26">
        <v>43676.696250000001</v>
      </c>
      <c r="J9823" s="28" t="s">
        <v>51</v>
      </c>
      <c r="K9823" s="28" t="s">
        <v>51</v>
      </c>
      <c r="L9823" s="28" t="s">
        <v>51</v>
      </c>
      <c r="M9823" s="28" t="s">
        <v>51</v>
      </c>
      <c r="N9823" s="28" t="s">
        <v>51</v>
      </c>
    </row>
    <row r="9824" spans="1:14" hidden="1" outlineLevel="1" x14ac:dyDescent="0.2">
      <c r="A9824" s="28" t="s">
        <v>51</v>
      </c>
      <c r="B9824" s="28" t="s">
        <v>51</v>
      </c>
      <c r="C9824" s="28" t="s">
        <v>51</v>
      </c>
      <c r="D9824" s="22" t="s">
        <v>14044</v>
      </c>
      <c r="E9824" s="22" t="s">
        <v>48</v>
      </c>
      <c r="F9824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24" s="22" t="s">
        <v>51</v>
      </c>
      <c r="H9824" s="22" t="s">
        <v>51</v>
      </c>
      <c r="I9824" s="26">
        <v>43676.696250000001</v>
      </c>
      <c r="J9824" s="23" t="str">
        <f>HYPERLINK("https://www.spark-marketing.ru/Card/Person/165573", "ООО ""ЭТАЛОН""")</f>
        <v>ООО "ЭТАЛОН"</v>
      </c>
      <c r="K9824" s="24" t="s">
        <v>14039</v>
      </c>
      <c r="L9824" s="22" t="s">
        <v>10</v>
      </c>
      <c r="M9824" s="25">
        <v>12365574.970000001</v>
      </c>
      <c r="N9824" s="27">
        <v>0.25000000803642364</v>
      </c>
    </row>
    <row r="9825" spans="1:14" hidden="1" outlineLevel="1" x14ac:dyDescent="0.2">
      <c r="A9825" s="28" t="s">
        <v>51</v>
      </c>
      <c r="B9825" s="28" t="s">
        <v>51</v>
      </c>
      <c r="C9825" s="28" t="s">
        <v>51</v>
      </c>
      <c r="D9825" s="22" t="s">
        <v>14044</v>
      </c>
      <c r="E9825" s="22" t="s">
        <v>48</v>
      </c>
      <c r="F9825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25" s="22" t="s">
        <v>51</v>
      </c>
      <c r="H9825" s="22" t="s">
        <v>51</v>
      </c>
      <c r="I9825" s="26">
        <v>43676.696250000001</v>
      </c>
      <c r="J9825" s="23" t="str">
        <f>HYPERLINK("https://www.spark-marketing.ru/Card/Person/6682098", "ООО ""СТ""")</f>
        <v>ООО "СТ"</v>
      </c>
      <c r="K9825" s="24" t="s">
        <v>14056</v>
      </c>
      <c r="L9825" s="28" t="s">
        <v>51</v>
      </c>
      <c r="M9825" s="25">
        <v>13849444.029999999</v>
      </c>
      <c r="N9825" s="27">
        <v>0.16000000514331111</v>
      </c>
    </row>
    <row r="9826" spans="1:14" hidden="1" outlineLevel="1" x14ac:dyDescent="0.2">
      <c r="A9826" s="28" t="s">
        <v>51</v>
      </c>
      <c r="B9826" s="28" t="s">
        <v>51</v>
      </c>
      <c r="C9826" s="28" t="s">
        <v>51</v>
      </c>
      <c r="D9826" s="22" t="s">
        <v>14044</v>
      </c>
      <c r="E9826" s="22" t="s">
        <v>48</v>
      </c>
      <c r="F9826" s="23" t="str">
        <f t="shared" si="24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26" s="22" t="s">
        <v>51</v>
      </c>
      <c r="H9826" s="22" t="s">
        <v>51</v>
      </c>
      <c r="I9826" s="26">
        <v>43676.696250000001</v>
      </c>
      <c r="J9826" s="23" t="str">
        <f>HYPERLINK("https://www.spark-marketing.ru/Card/Person/4868441", "ООО ""СКОРПИОНС-ГРУПП""")</f>
        <v>ООО "СКОРПИОНС-ГРУПП"</v>
      </c>
      <c r="K9826" s="24" t="s">
        <v>14040</v>
      </c>
      <c r="L9826" s="28" t="s">
        <v>51</v>
      </c>
      <c r="M9826" s="25">
        <v>12448012.140000001</v>
      </c>
      <c r="N9826" s="27">
        <v>0.24500000787569517</v>
      </c>
    </row>
    <row r="9827" spans="1:14" collapsed="1" x14ac:dyDescent="0.15">
      <c r="A9827" s="23" t="s">
        <v>114</v>
      </c>
      <c r="B9827" s="28" t="s">
        <v>51</v>
      </c>
      <c r="C9827" s="25">
        <v>17459775.199999999</v>
      </c>
      <c r="D9827" s="22" t="s">
        <v>14057</v>
      </c>
      <c r="E9827" s="22" t="s">
        <v>48</v>
      </c>
      <c r="F9827" s="23" t="str">
        <f t="shared" ref="F9827:F9842" si="244">HYPERLINK("https://www.spark-marketing.ru/Card/Lot/72488554", "Оказание услуг по организации питания на 2 полугодие 2019 года для образовательных учреждений Альметьевского муниципального района")</f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27" s="22" t="s">
        <v>51</v>
      </c>
      <c r="H9827" s="22" t="s">
        <v>51</v>
      </c>
      <c r="I9827" s="26">
        <v>43676.6959837963</v>
      </c>
      <c r="J9827" s="28" t="s">
        <v>51</v>
      </c>
      <c r="K9827" s="28" t="s">
        <v>51</v>
      </c>
      <c r="L9827" s="28" t="s">
        <v>51</v>
      </c>
      <c r="M9827" s="28" t="s">
        <v>51</v>
      </c>
      <c r="N9827" s="28" t="s">
        <v>51</v>
      </c>
    </row>
    <row r="9828" spans="1:14" hidden="1" outlineLevel="1" x14ac:dyDescent="0.15">
      <c r="A9828" s="23" t="str">
        <f>HYPERLINK("https://www.spark-marketing.ru/Card/Person/257122", "МБДОУ ""Д/С №33 ""НЕЗАБУДКА""")</f>
        <v>МБДОУ "Д/С №33 "НЕЗАБУДКА"</v>
      </c>
      <c r="B9828" s="24" t="s">
        <v>14058</v>
      </c>
      <c r="C9828" s="25">
        <v>2030080</v>
      </c>
      <c r="D9828" s="22" t="s">
        <v>14057</v>
      </c>
      <c r="E9828" s="22" t="s">
        <v>48</v>
      </c>
      <c r="F9828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28" s="22" t="s">
        <v>217</v>
      </c>
      <c r="H9828" s="22" t="s">
        <v>9289</v>
      </c>
      <c r="I9828" s="26">
        <v>43676.6959837963</v>
      </c>
      <c r="J9828" s="28" t="s">
        <v>51</v>
      </c>
      <c r="K9828" s="28" t="s">
        <v>51</v>
      </c>
      <c r="L9828" s="28" t="s">
        <v>51</v>
      </c>
      <c r="M9828" s="28" t="s">
        <v>51</v>
      </c>
      <c r="N9828" s="28" t="s">
        <v>51</v>
      </c>
    </row>
    <row r="9829" spans="1:14" hidden="1" outlineLevel="1" x14ac:dyDescent="0.15">
      <c r="A9829" s="23" t="str">
        <f>HYPERLINK("https://www.spark-marketing.ru/Card/Person/257786", "МБДОУ ""Д/С № 64 ""СОЛНЫШКО""")</f>
        <v>МБДОУ "Д/С № 64 "СОЛНЫШКО"</v>
      </c>
      <c r="B9829" s="24" t="s">
        <v>14059</v>
      </c>
      <c r="C9829" s="25">
        <v>1072136</v>
      </c>
      <c r="D9829" s="22" t="s">
        <v>14057</v>
      </c>
      <c r="E9829" s="22" t="s">
        <v>48</v>
      </c>
      <c r="F9829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29" s="22" t="s">
        <v>217</v>
      </c>
      <c r="H9829" s="22" t="s">
        <v>9294</v>
      </c>
      <c r="I9829" s="26">
        <v>43676.6959837963</v>
      </c>
      <c r="J9829" s="28" t="s">
        <v>51</v>
      </c>
      <c r="K9829" s="28" t="s">
        <v>51</v>
      </c>
      <c r="L9829" s="28" t="s">
        <v>51</v>
      </c>
      <c r="M9829" s="28" t="s">
        <v>51</v>
      </c>
      <c r="N9829" s="28" t="s">
        <v>51</v>
      </c>
    </row>
    <row r="9830" spans="1:14" hidden="1" outlineLevel="1" x14ac:dyDescent="0.15">
      <c r="A9830" s="23" t="str">
        <f>HYPERLINK("https://www.spark-marketing.ru/Card/Person/257791", "МБДОУ ""Д/С ""ЖЕМЧУЖИНКА"" С. КЛЕМЕНТЕЙКИНО""")</f>
        <v>МБДОУ "Д/С "ЖЕМЧУЖИНКА" С. КЛЕМЕНТЕЙКИНО"</v>
      </c>
      <c r="B9830" s="24" t="s">
        <v>14060</v>
      </c>
      <c r="C9830" s="25">
        <v>135528</v>
      </c>
      <c r="D9830" s="22" t="s">
        <v>14057</v>
      </c>
      <c r="E9830" s="22" t="s">
        <v>48</v>
      </c>
      <c r="F9830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30" s="22" t="s">
        <v>217</v>
      </c>
      <c r="H9830" s="22" t="s">
        <v>9294</v>
      </c>
      <c r="I9830" s="26">
        <v>43676.6959837963</v>
      </c>
      <c r="J9830" s="28" t="s">
        <v>51</v>
      </c>
      <c r="K9830" s="28" t="s">
        <v>51</v>
      </c>
      <c r="L9830" s="28" t="s">
        <v>51</v>
      </c>
      <c r="M9830" s="28" t="s">
        <v>51</v>
      </c>
      <c r="N9830" s="28" t="s">
        <v>51</v>
      </c>
    </row>
    <row r="9831" spans="1:14" hidden="1" outlineLevel="1" x14ac:dyDescent="0.15">
      <c r="A9831" s="23" t="str">
        <f>HYPERLINK("https://www.spark-marketing.ru/Card/Person/257807", "МБДОУ ""Д/С №10 ""СВЕТЛЯЧОК""")</f>
        <v>МБДОУ "Д/С №10 "СВЕТЛЯЧОК"</v>
      </c>
      <c r="B9831" s="24" t="s">
        <v>14061</v>
      </c>
      <c r="C9831" s="25">
        <v>976341.6</v>
      </c>
      <c r="D9831" s="22" t="s">
        <v>14057</v>
      </c>
      <c r="E9831" s="22" t="s">
        <v>48</v>
      </c>
      <c r="F9831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31" s="22" t="s">
        <v>217</v>
      </c>
      <c r="H9831" s="22" t="s">
        <v>9289</v>
      </c>
      <c r="I9831" s="26">
        <v>43676.6959837963</v>
      </c>
      <c r="J9831" s="28" t="s">
        <v>51</v>
      </c>
      <c r="K9831" s="28" t="s">
        <v>51</v>
      </c>
      <c r="L9831" s="28" t="s">
        <v>51</v>
      </c>
      <c r="M9831" s="28" t="s">
        <v>51</v>
      </c>
      <c r="N9831" s="28" t="s">
        <v>51</v>
      </c>
    </row>
    <row r="9832" spans="1:14" hidden="1" outlineLevel="1" x14ac:dyDescent="0.15">
      <c r="A9832" s="23" t="str">
        <f>HYPERLINK("https://www.spark-marketing.ru/Card/Person/257808", "МБДОУ ""ЦРР - Д/С № 65 ""ИВУШКА""")</f>
        <v>МБДОУ "ЦРР - Д/С № 65 "ИВУШКА"</v>
      </c>
      <c r="B9832" s="24" t="s">
        <v>14062</v>
      </c>
      <c r="C9832" s="25">
        <v>2622212</v>
      </c>
      <c r="D9832" s="22" t="s">
        <v>14057</v>
      </c>
      <c r="E9832" s="22" t="s">
        <v>48</v>
      </c>
      <c r="F9832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32" s="22" t="s">
        <v>217</v>
      </c>
      <c r="H9832" s="22" t="s">
        <v>9289</v>
      </c>
      <c r="I9832" s="26">
        <v>43676.6959837963</v>
      </c>
      <c r="J9832" s="28" t="s">
        <v>51</v>
      </c>
      <c r="K9832" s="28" t="s">
        <v>51</v>
      </c>
      <c r="L9832" s="28" t="s">
        <v>51</v>
      </c>
      <c r="M9832" s="28" t="s">
        <v>51</v>
      </c>
      <c r="N9832" s="28" t="s">
        <v>51</v>
      </c>
    </row>
    <row r="9833" spans="1:14" hidden="1" outlineLevel="1" x14ac:dyDescent="0.15">
      <c r="A9833" s="23" t="str">
        <f>HYPERLINK("https://www.spark-marketing.ru/Card/Person/257815", "МБДОУ ""Д/С № 9 ""САДКО""")</f>
        <v>МБДОУ "Д/С № 9 "САДКО"</v>
      </c>
      <c r="B9833" s="24" t="s">
        <v>14063</v>
      </c>
      <c r="C9833" s="25">
        <v>1078718.8</v>
      </c>
      <c r="D9833" s="22" t="s">
        <v>14057</v>
      </c>
      <c r="E9833" s="22" t="s">
        <v>48</v>
      </c>
      <c r="F9833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33" s="22" t="s">
        <v>217</v>
      </c>
      <c r="H9833" s="22" t="s">
        <v>9289</v>
      </c>
      <c r="I9833" s="26">
        <v>43676.6959837963</v>
      </c>
      <c r="J9833" s="28" t="s">
        <v>51</v>
      </c>
      <c r="K9833" s="28" t="s">
        <v>51</v>
      </c>
      <c r="L9833" s="28" t="s">
        <v>51</v>
      </c>
      <c r="M9833" s="28" t="s">
        <v>51</v>
      </c>
      <c r="N9833" s="28" t="s">
        <v>51</v>
      </c>
    </row>
    <row r="9834" spans="1:14" hidden="1" outlineLevel="1" x14ac:dyDescent="0.15">
      <c r="A9834" s="23" t="str">
        <f>HYPERLINK("https://www.spark-marketing.ru/Card/Person/257839", "МБДОУ ""Д/С № 63 ""КАЛИНКА""")</f>
        <v>МБДОУ "Д/С № 63 "КАЛИНКА"</v>
      </c>
      <c r="B9834" s="24" t="s">
        <v>14064</v>
      </c>
      <c r="C9834" s="25">
        <v>1763632</v>
      </c>
      <c r="D9834" s="22" t="s">
        <v>14057</v>
      </c>
      <c r="E9834" s="22" t="s">
        <v>48</v>
      </c>
      <c r="F9834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34" s="22" t="s">
        <v>217</v>
      </c>
      <c r="H9834" s="22" t="s">
        <v>9294</v>
      </c>
      <c r="I9834" s="26">
        <v>43676.6959837963</v>
      </c>
      <c r="J9834" s="28" t="s">
        <v>51</v>
      </c>
      <c r="K9834" s="28" t="s">
        <v>51</v>
      </c>
      <c r="L9834" s="28" t="s">
        <v>51</v>
      </c>
      <c r="M9834" s="28" t="s">
        <v>51</v>
      </c>
      <c r="N9834" s="28" t="s">
        <v>51</v>
      </c>
    </row>
    <row r="9835" spans="1:14" hidden="1" outlineLevel="1" x14ac:dyDescent="0.15">
      <c r="A9835" s="23" t="str">
        <f>HYPERLINK("https://www.spark-marketing.ru/Card/Person/257844", "МБДОУ ""ЦРР - Д/С №50 ""ЛЭЙСЭН""")</f>
        <v>МБДОУ "ЦРР - Д/С №50 "ЛЭЙСЭН"</v>
      </c>
      <c r="B9835" s="24" t="s">
        <v>14065</v>
      </c>
      <c r="C9835" s="25">
        <v>2661308</v>
      </c>
      <c r="D9835" s="22" t="s">
        <v>14057</v>
      </c>
      <c r="E9835" s="22" t="s">
        <v>48</v>
      </c>
      <c r="F9835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35" s="22" t="s">
        <v>217</v>
      </c>
      <c r="H9835" s="22" t="s">
        <v>9289</v>
      </c>
      <c r="I9835" s="26">
        <v>43676.6959837963</v>
      </c>
      <c r="J9835" s="28" t="s">
        <v>51</v>
      </c>
      <c r="K9835" s="28" t="s">
        <v>51</v>
      </c>
      <c r="L9835" s="28" t="s">
        <v>51</v>
      </c>
      <c r="M9835" s="28" t="s">
        <v>51</v>
      </c>
      <c r="N9835" s="28" t="s">
        <v>51</v>
      </c>
    </row>
    <row r="9836" spans="1:14" hidden="1" outlineLevel="1" x14ac:dyDescent="0.15">
      <c r="A9836" s="23" t="str">
        <f>HYPERLINK("https://www.spark-marketing.ru/Card/Person/259201", "МБОУ ""СОШ №20 Г. АЛЬМЕТЬЕВСКА")</f>
        <v>МБОУ "СОШ №20 Г. АЛЬМЕТЬЕВСКА</v>
      </c>
      <c r="B9836" s="24" t="s">
        <v>14066</v>
      </c>
      <c r="C9836" s="25">
        <v>3171506.4</v>
      </c>
      <c r="D9836" s="22" t="s">
        <v>14057</v>
      </c>
      <c r="E9836" s="22" t="s">
        <v>48</v>
      </c>
      <c r="F9836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36" s="22" t="s">
        <v>217</v>
      </c>
      <c r="H9836" s="22" t="s">
        <v>9289</v>
      </c>
      <c r="I9836" s="26">
        <v>43676.6959837963</v>
      </c>
      <c r="J9836" s="28" t="s">
        <v>51</v>
      </c>
      <c r="K9836" s="28" t="s">
        <v>51</v>
      </c>
      <c r="L9836" s="28" t="s">
        <v>51</v>
      </c>
      <c r="M9836" s="28" t="s">
        <v>51</v>
      </c>
      <c r="N9836" s="28" t="s">
        <v>51</v>
      </c>
    </row>
    <row r="9837" spans="1:14" hidden="1" outlineLevel="1" x14ac:dyDescent="0.15">
      <c r="A9837" s="23" t="str">
        <f>HYPERLINK("https://www.spark-marketing.ru/Card/Person/259209", "МУНИЦИПАЛЬНОЕ БЮДЖЕТНОЕ ОБЩЕОБРАЗОВАТЕЛЬНОЕ УЧРЕЖДЕНИЕ ""СИРЕНЬКИНСКАЯ СРЕДНЯЯ ОБЩЕОБРАЗОВАТЕЛЬНАЯ ШКОЛА"" АЛЬМЕТЬЕВСКОГО МУНИЦИПАЛЬНОГО РАЙОНА РЕСПУБЛИКИ ТАТАРСТАН")</f>
        <v>МУНИЦИПАЛЬНОЕ БЮДЖЕТНОЕ ОБЩЕОБРАЗОВАТЕЛЬНОЕ УЧРЕЖДЕНИЕ "СИРЕНЬКИНСКАЯ СРЕДНЯЯ ОБЩЕОБРАЗОВАТЕЛЬНАЯ ШКОЛА" АЛЬМЕТЬЕВСКОГО МУНИЦИПАЛЬНОГО РАЙОНА РЕСПУБЛИКИ ТАТАРСТАН</v>
      </c>
      <c r="B9837" s="24" t="s">
        <v>14067</v>
      </c>
      <c r="C9837" s="25">
        <v>186868.8</v>
      </c>
      <c r="D9837" s="22" t="s">
        <v>14057</v>
      </c>
      <c r="E9837" s="22" t="s">
        <v>48</v>
      </c>
      <c r="F9837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37" s="22" t="s">
        <v>217</v>
      </c>
      <c r="H9837" s="22" t="s">
        <v>9294</v>
      </c>
      <c r="I9837" s="26">
        <v>43676.6959837963</v>
      </c>
      <c r="J9837" s="28" t="s">
        <v>51</v>
      </c>
      <c r="K9837" s="28" t="s">
        <v>51</v>
      </c>
      <c r="L9837" s="28" t="s">
        <v>51</v>
      </c>
      <c r="M9837" s="28" t="s">
        <v>51</v>
      </c>
      <c r="N9837" s="28" t="s">
        <v>51</v>
      </c>
    </row>
    <row r="9838" spans="1:14" hidden="1" outlineLevel="1" x14ac:dyDescent="0.15">
      <c r="A9838" s="23" t="str">
        <f>HYPERLINK("https://www.spark-marketing.ru/Card/Person/259285", "МБОУ ""СОШ №1"" Г.АЛЬМЕТЬЕВСКА")</f>
        <v>МБОУ "СОШ №1" Г.АЛЬМЕТЬЕВСКА</v>
      </c>
      <c r="B9838" s="24" t="s">
        <v>14068</v>
      </c>
      <c r="C9838" s="25">
        <v>1700788</v>
      </c>
      <c r="D9838" s="22" t="s">
        <v>14057</v>
      </c>
      <c r="E9838" s="22" t="s">
        <v>48</v>
      </c>
      <c r="F9838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38" s="22" t="s">
        <v>217</v>
      </c>
      <c r="H9838" s="22" t="s">
        <v>9289</v>
      </c>
      <c r="I9838" s="26">
        <v>43676.6959837963</v>
      </c>
      <c r="J9838" s="28" t="s">
        <v>51</v>
      </c>
      <c r="K9838" s="28" t="s">
        <v>51</v>
      </c>
      <c r="L9838" s="28" t="s">
        <v>51</v>
      </c>
      <c r="M9838" s="28" t="s">
        <v>51</v>
      </c>
      <c r="N9838" s="28" t="s">
        <v>51</v>
      </c>
    </row>
    <row r="9839" spans="1:14" hidden="1" outlineLevel="1" x14ac:dyDescent="0.15">
      <c r="A9839" s="23" t="str">
        <f>HYPERLINK("https://www.spark-marketing.ru/Card/Person/1035992", "МБОУ ""ЕРСУБАЙКИНСКАЯ ООШ""")</f>
        <v>МБОУ "ЕРСУБАЙКИНСКАЯ ООШ"</v>
      </c>
      <c r="B9839" s="24" t="s">
        <v>14069</v>
      </c>
      <c r="C9839" s="25">
        <v>60655.6</v>
      </c>
      <c r="D9839" s="22" t="s">
        <v>14057</v>
      </c>
      <c r="E9839" s="22" t="s">
        <v>48</v>
      </c>
      <c r="F9839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39" s="22" t="s">
        <v>217</v>
      </c>
      <c r="H9839" s="22" t="s">
        <v>9294</v>
      </c>
      <c r="I9839" s="26">
        <v>43676.6959837963</v>
      </c>
      <c r="J9839" s="28" t="s">
        <v>51</v>
      </c>
      <c r="K9839" s="28" t="s">
        <v>51</v>
      </c>
      <c r="L9839" s="28" t="s">
        <v>51</v>
      </c>
      <c r="M9839" s="28" t="s">
        <v>51</v>
      </c>
      <c r="N9839" s="28" t="s">
        <v>51</v>
      </c>
    </row>
    <row r="9840" spans="1:14" hidden="1" outlineLevel="1" x14ac:dyDescent="0.2">
      <c r="A9840" s="28" t="s">
        <v>51</v>
      </c>
      <c r="B9840" s="28" t="s">
        <v>51</v>
      </c>
      <c r="C9840" s="28" t="s">
        <v>51</v>
      </c>
      <c r="D9840" s="22" t="s">
        <v>14057</v>
      </c>
      <c r="E9840" s="22" t="s">
        <v>48</v>
      </c>
      <c r="F9840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40" s="22" t="s">
        <v>51</v>
      </c>
      <c r="H9840" s="22" t="s">
        <v>51</v>
      </c>
      <c r="I9840" s="26">
        <v>43676.6959837963</v>
      </c>
      <c r="J9840" s="23" t="str">
        <f>HYPERLINK("https://www.spark-marketing.ru/Card/Person/165573", "ООО ""ЭТАЛОН""")</f>
        <v>ООО "ЭТАЛОН"</v>
      </c>
      <c r="K9840" s="24" t="s">
        <v>14039</v>
      </c>
      <c r="L9840" s="22" t="s">
        <v>10</v>
      </c>
      <c r="M9840" s="25">
        <v>13094831.199999999</v>
      </c>
      <c r="N9840" s="27">
        <v>0.25000001145490119</v>
      </c>
    </row>
    <row r="9841" spans="1:14" hidden="1" outlineLevel="1" x14ac:dyDescent="0.2">
      <c r="A9841" s="28" t="s">
        <v>51</v>
      </c>
      <c r="B9841" s="28" t="s">
        <v>51</v>
      </c>
      <c r="C9841" s="28" t="s">
        <v>51</v>
      </c>
      <c r="D9841" s="22" t="s">
        <v>14057</v>
      </c>
      <c r="E9841" s="22" t="s">
        <v>48</v>
      </c>
      <c r="F9841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41" s="22" t="s">
        <v>51</v>
      </c>
      <c r="H9841" s="22" t="s">
        <v>51</v>
      </c>
      <c r="I9841" s="26">
        <v>43676.6959837963</v>
      </c>
      <c r="J9841" s="23" t="str">
        <f>HYPERLINK("https://www.spark-marketing.ru/Card/Person/6682098", "ООО ""СТ""")</f>
        <v>ООО "СТ"</v>
      </c>
      <c r="K9841" s="24" t="s">
        <v>14056</v>
      </c>
      <c r="L9841" s="28" t="s">
        <v>51</v>
      </c>
      <c r="M9841" s="25">
        <v>14578912.16</v>
      </c>
      <c r="N9841" s="27">
        <v>0.16500000756023481</v>
      </c>
    </row>
    <row r="9842" spans="1:14" hidden="1" outlineLevel="1" x14ac:dyDescent="0.2">
      <c r="A9842" s="28" t="s">
        <v>51</v>
      </c>
      <c r="B9842" s="28" t="s">
        <v>51</v>
      </c>
      <c r="C9842" s="28" t="s">
        <v>51</v>
      </c>
      <c r="D9842" s="22" t="s">
        <v>14057</v>
      </c>
      <c r="E9842" s="22" t="s">
        <v>48</v>
      </c>
      <c r="F9842" s="23" t="str">
        <f t="shared" si="24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42" s="22" t="s">
        <v>51</v>
      </c>
      <c r="H9842" s="22" t="s">
        <v>51</v>
      </c>
      <c r="I9842" s="26">
        <v>43676.6959837963</v>
      </c>
      <c r="J9842" s="23" t="str">
        <f>HYPERLINK("https://www.spark-marketing.ru/Card/Person/4868441", "ООО ""СКОРПИОНС-ГРУПП""")</f>
        <v>ООО "СКОРПИОНС-ГРУПП"</v>
      </c>
      <c r="K9842" s="24" t="s">
        <v>14040</v>
      </c>
      <c r="L9842" s="28" t="s">
        <v>51</v>
      </c>
      <c r="M9842" s="25">
        <v>13182130.08</v>
      </c>
      <c r="N9842" s="27">
        <v>0.24500001122580317</v>
      </c>
    </row>
    <row r="9843" spans="1:14" collapsed="1" x14ac:dyDescent="0.15">
      <c r="A9843" s="23" t="s">
        <v>114</v>
      </c>
      <c r="B9843" s="28" t="s">
        <v>51</v>
      </c>
      <c r="C9843" s="25">
        <v>17722217.93</v>
      </c>
      <c r="D9843" s="22" t="s">
        <v>14070</v>
      </c>
      <c r="E9843" s="22" t="s">
        <v>48</v>
      </c>
      <c r="F9843" s="23" t="str">
        <f t="shared" ref="F9843:F9866" si="245">HYPERLINK("https://www.spark-marketing.ru/Card/Lot/72488606", "Оказание услуг по организации питания на 2 полугодие 2019 года для образовательных учреждений Альметьевского муниципального района")</f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43" s="22" t="s">
        <v>51</v>
      </c>
      <c r="H9843" s="22" t="s">
        <v>51</v>
      </c>
      <c r="I9843" s="26">
        <v>43676.697303240697</v>
      </c>
      <c r="J9843" s="28" t="s">
        <v>51</v>
      </c>
      <c r="K9843" s="28" t="s">
        <v>51</v>
      </c>
      <c r="L9843" s="28" t="s">
        <v>51</v>
      </c>
      <c r="M9843" s="28" t="s">
        <v>51</v>
      </c>
      <c r="N9843" s="28" t="s">
        <v>51</v>
      </c>
    </row>
    <row r="9844" spans="1:14" hidden="1" outlineLevel="1" x14ac:dyDescent="0.15">
      <c r="A9844" s="23" t="str">
        <f>HYPERLINK("https://www.spark-marketing.ru/Card/Person/255957", "МАОУ ""СОШ №10 С УГЛУБЛЕННЫМ ИЗУЧЕНИЕМ ОТДЕЛЬНЫХ ПРЕДМЕТОВ"" Г.АЛЬМЕТЬЕВСКА")</f>
        <v>МАОУ "СОШ №10 С УГЛУБЛЕННЫМ ИЗУЧЕНИЕМ ОТДЕЛЬНЫХ ПРЕДМЕТОВ" Г.АЛЬМЕТЬЕВСКА</v>
      </c>
      <c r="B9844" s="24" t="s">
        <v>14071</v>
      </c>
      <c r="C9844" s="25">
        <v>2653664.7999999998</v>
      </c>
      <c r="D9844" s="22" t="s">
        <v>14070</v>
      </c>
      <c r="E9844" s="22" t="s">
        <v>48</v>
      </c>
      <c r="F9844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44" s="22" t="s">
        <v>217</v>
      </c>
      <c r="H9844" s="22" t="s">
        <v>9289</v>
      </c>
      <c r="I9844" s="26">
        <v>43676.697303240697</v>
      </c>
      <c r="J9844" s="28" t="s">
        <v>51</v>
      </c>
      <c r="K9844" s="28" t="s">
        <v>51</v>
      </c>
      <c r="L9844" s="28" t="s">
        <v>51</v>
      </c>
      <c r="M9844" s="28" t="s">
        <v>51</v>
      </c>
      <c r="N9844" s="28" t="s">
        <v>51</v>
      </c>
    </row>
    <row r="9845" spans="1:14" hidden="1" outlineLevel="1" x14ac:dyDescent="0.15">
      <c r="A9845" s="23" t="str">
        <f>HYPERLINK("https://www.spark-marketing.ru/Card/Person/257792", "МБДОУ ""Д/С ""ВОРОБУШЕК"" С. РУССКИЙ АКТАШ""")</f>
        <v>МБДОУ "Д/С "ВОРОБУШЕК" С. РУССКИЙ АКТАШ"</v>
      </c>
      <c r="B9845" s="24" t="s">
        <v>14072</v>
      </c>
      <c r="C9845" s="25">
        <v>937774.4</v>
      </c>
      <c r="D9845" s="22" t="s">
        <v>14070</v>
      </c>
      <c r="E9845" s="22" t="s">
        <v>48</v>
      </c>
      <c r="F9845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45" s="22" t="s">
        <v>217</v>
      </c>
      <c r="H9845" s="22" t="s">
        <v>9294</v>
      </c>
      <c r="I9845" s="26">
        <v>43676.697303240697</v>
      </c>
      <c r="J9845" s="28" t="s">
        <v>51</v>
      </c>
      <c r="K9845" s="28" t="s">
        <v>51</v>
      </c>
      <c r="L9845" s="28" t="s">
        <v>51</v>
      </c>
      <c r="M9845" s="28" t="s">
        <v>51</v>
      </c>
      <c r="N9845" s="28" t="s">
        <v>51</v>
      </c>
    </row>
    <row r="9846" spans="1:14" hidden="1" outlineLevel="1" x14ac:dyDescent="0.15">
      <c r="A9846" s="23" t="str">
        <f>HYPERLINK("https://www.spark-marketing.ru/Card/Person/257793", "МБДОУ ""Д/С ""РЯБИНКА"" ПОС. Ж/Д СТ.КАЛЕЙКИНО""")</f>
        <v>МБДОУ "Д/С "РЯБИНКА" ПОС. Ж/Д СТ.КАЛЕЙКИНО"</v>
      </c>
      <c r="B9846" s="24" t="s">
        <v>14073</v>
      </c>
      <c r="C9846" s="25">
        <v>373234.62</v>
      </c>
      <c r="D9846" s="22" t="s">
        <v>14070</v>
      </c>
      <c r="E9846" s="22" t="s">
        <v>48</v>
      </c>
      <c r="F9846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46" s="22" t="s">
        <v>217</v>
      </c>
      <c r="H9846" s="22" t="s">
        <v>9294</v>
      </c>
      <c r="I9846" s="26">
        <v>43676.697303240697</v>
      </c>
      <c r="J9846" s="28" t="s">
        <v>51</v>
      </c>
      <c r="K9846" s="28" t="s">
        <v>51</v>
      </c>
      <c r="L9846" s="28" t="s">
        <v>51</v>
      </c>
      <c r="M9846" s="28" t="s">
        <v>51</v>
      </c>
      <c r="N9846" s="28" t="s">
        <v>51</v>
      </c>
    </row>
    <row r="9847" spans="1:14" hidden="1" outlineLevel="1" x14ac:dyDescent="0.15">
      <c r="A9847" s="23" t="str">
        <f>HYPERLINK("https://www.spark-marketing.ru/Card/Person/257799", "МБДОУ ""Д/С ""КАЕНКАЙ"" С. КАЛЕЙКИНО""")</f>
        <v>МБДОУ "Д/С "КАЕНКАЙ" С. КАЛЕЙКИНО"</v>
      </c>
      <c r="B9847" s="24" t="s">
        <v>14074</v>
      </c>
      <c r="C9847" s="25">
        <v>495830.84</v>
      </c>
      <c r="D9847" s="22" t="s">
        <v>14070</v>
      </c>
      <c r="E9847" s="22" t="s">
        <v>48</v>
      </c>
      <c r="F9847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47" s="22" t="s">
        <v>217</v>
      </c>
      <c r="H9847" s="22" t="s">
        <v>9294</v>
      </c>
      <c r="I9847" s="26">
        <v>43676.697303240697</v>
      </c>
      <c r="J9847" s="28" t="s">
        <v>51</v>
      </c>
      <c r="K9847" s="28" t="s">
        <v>51</v>
      </c>
      <c r="L9847" s="28" t="s">
        <v>51</v>
      </c>
      <c r="M9847" s="28" t="s">
        <v>51</v>
      </c>
      <c r="N9847" s="28" t="s">
        <v>51</v>
      </c>
    </row>
    <row r="9848" spans="1:14" hidden="1" outlineLevel="1" x14ac:dyDescent="0.15">
      <c r="A9848" s="23" t="str">
        <f>HYPERLINK("https://www.spark-marketing.ru/Card/Person/257832", "МБДОУ ""Д/С № 30 ""СНЕГУРОЧКА""")</f>
        <v>МБДОУ "Д/С № 30 "СНЕГУРОЧКА"</v>
      </c>
      <c r="B9848" s="24" t="s">
        <v>14075</v>
      </c>
      <c r="C9848" s="25">
        <v>1975775.36</v>
      </c>
      <c r="D9848" s="22" t="s">
        <v>14070</v>
      </c>
      <c r="E9848" s="22" t="s">
        <v>48</v>
      </c>
      <c r="F9848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48" s="22" t="s">
        <v>217</v>
      </c>
      <c r="H9848" s="22" t="s">
        <v>9289</v>
      </c>
      <c r="I9848" s="26">
        <v>43676.697303240697</v>
      </c>
      <c r="J9848" s="28" t="s">
        <v>51</v>
      </c>
      <c r="K9848" s="28" t="s">
        <v>51</v>
      </c>
      <c r="L9848" s="28" t="s">
        <v>51</v>
      </c>
      <c r="M9848" s="28" t="s">
        <v>51</v>
      </c>
      <c r="N9848" s="28" t="s">
        <v>51</v>
      </c>
    </row>
    <row r="9849" spans="1:14" hidden="1" outlineLevel="1" x14ac:dyDescent="0.15">
      <c r="A9849" s="23" t="str">
        <f>HYPERLINK("https://www.spark-marketing.ru/Card/Person/257834", "МБДОУ ""Д/С №1 ""ДЮЙМОВОЧКА"" С.РУССКИЙ АКТАШ""")</f>
        <v>МБДОУ "Д/С №1 "ДЮЙМОВОЧКА" С.РУССКИЙ АКТАШ"</v>
      </c>
      <c r="B9849" s="24" t="s">
        <v>14076</v>
      </c>
      <c r="C9849" s="25">
        <v>1515074.08</v>
      </c>
      <c r="D9849" s="22" t="s">
        <v>14070</v>
      </c>
      <c r="E9849" s="22" t="s">
        <v>48</v>
      </c>
      <c r="F9849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49" s="22" t="s">
        <v>217</v>
      </c>
      <c r="H9849" s="22" t="s">
        <v>9294</v>
      </c>
      <c r="I9849" s="26">
        <v>43676.697303240697</v>
      </c>
      <c r="J9849" s="28" t="s">
        <v>51</v>
      </c>
      <c r="K9849" s="28" t="s">
        <v>51</v>
      </c>
      <c r="L9849" s="28" t="s">
        <v>51</v>
      </c>
      <c r="M9849" s="28" t="s">
        <v>51</v>
      </c>
      <c r="N9849" s="28" t="s">
        <v>51</v>
      </c>
    </row>
    <row r="9850" spans="1:14" hidden="1" outlineLevel="1" x14ac:dyDescent="0.15">
      <c r="A9850" s="23" t="str">
        <f>HYPERLINK("https://www.spark-marketing.ru/Card/Person/257835", "МБДОУ ""Д/С С.БОРИСКИНО""")</f>
        <v>МБДОУ "Д/С С.БОРИСКИНО"</v>
      </c>
      <c r="B9850" s="24" t="s">
        <v>14077</v>
      </c>
      <c r="C9850" s="25">
        <v>101533.06</v>
      </c>
      <c r="D9850" s="22" t="s">
        <v>14070</v>
      </c>
      <c r="E9850" s="22" t="s">
        <v>48</v>
      </c>
      <c r="F9850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50" s="22" t="s">
        <v>217</v>
      </c>
      <c r="H9850" s="22" t="s">
        <v>9294</v>
      </c>
      <c r="I9850" s="26">
        <v>43676.697303240697</v>
      </c>
      <c r="J9850" s="28" t="s">
        <v>51</v>
      </c>
      <c r="K9850" s="28" t="s">
        <v>51</v>
      </c>
      <c r="L9850" s="28" t="s">
        <v>51</v>
      </c>
      <c r="M9850" s="28" t="s">
        <v>51</v>
      </c>
      <c r="N9850" s="28" t="s">
        <v>51</v>
      </c>
    </row>
    <row r="9851" spans="1:14" hidden="1" outlineLevel="1" x14ac:dyDescent="0.15">
      <c r="A9851" s="23" t="str">
        <f>HYPERLINK("https://www.spark-marketing.ru/Card/Person/257842", "МБДОУ ""Д/С № 32 ""ОДУВАНЧИК""")</f>
        <v>МБДОУ "Д/С № 32 "ОДУВАНЧИК"</v>
      </c>
      <c r="B9851" s="24" t="s">
        <v>14078</v>
      </c>
      <c r="C9851" s="25">
        <v>1015040</v>
      </c>
      <c r="D9851" s="22" t="s">
        <v>14070</v>
      </c>
      <c r="E9851" s="22" t="s">
        <v>48</v>
      </c>
      <c r="F9851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51" s="22" t="s">
        <v>217</v>
      </c>
      <c r="H9851" s="22" t="s">
        <v>9289</v>
      </c>
      <c r="I9851" s="26">
        <v>43676.697303240697</v>
      </c>
      <c r="J9851" s="28" t="s">
        <v>51</v>
      </c>
      <c r="K9851" s="28" t="s">
        <v>51</v>
      </c>
      <c r="L9851" s="28" t="s">
        <v>51</v>
      </c>
      <c r="M9851" s="28" t="s">
        <v>51</v>
      </c>
      <c r="N9851" s="28" t="s">
        <v>51</v>
      </c>
    </row>
    <row r="9852" spans="1:14" hidden="1" outlineLevel="1" x14ac:dyDescent="0.15">
      <c r="A9852" s="23" t="str">
        <f>HYPERLINK("https://www.spark-marketing.ru/Card/Person/257934", "МБДОУ ""Д/С ""СОЛНЫШКО"" ПОС. Ж/Д СТ.КАЛЕЙКИНО""")</f>
        <v>МБДОУ "Д/С "СОЛНЫШКО" ПОС. Ж/Д СТ.КАЛЕЙКИНО"</v>
      </c>
      <c r="B9852" s="24" t="s">
        <v>14079</v>
      </c>
      <c r="C9852" s="25">
        <v>440067.81</v>
      </c>
      <c r="D9852" s="22" t="s">
        <v>14070</v>
      </c>
      <c r="E9852" s="22" t="s">
        <v>48</v>
      </c>
      <c r="F9852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52" s="22" t="s">
        <v>217</v>
      </c>
      <c r="H9852" s="22" t="s">
        <v>9294</v>
      </c>
      <c r="I9852" s="26">
        <v>43676.697303240697</v>
      </c>
      <c r="J9852" s="28" t="s">
        <v>51</v>
      </c>
      <c r="K9852" s="28" t="s">
        <v>51</v>
      </c>
      <c r="L9852" s="28" t="s">
        <v>51</v>
      </c>
      <c r="M9852" s="28" t="s">
        <v>51</v>
      </c>
      <c r="N9852" s="28" t="s">
        <v>51</v>
      </c>
    </row>
    <row r="9853" spans="1:14" hidden="1" outlineLevel="1" x14ac:dyDescent="0.15">
      <c r="A9853" s="23" t="str">
        <f>HYPERLINK("https://www.spark-marketing.ru/Card/Person/257940", "МБДОУ ""Д/С № 31 ""СОЛНЫШКО""")</f>
        <v>МБДОУ "Д/С № 31 "СОЛНЫШКО"</v>
      </c>
      <c r="B9853" s="24" t="s">
        <v>14080</v>
      </c>
      <c r="C9853" s="25">
        <v>1008696</v>
      </c>
      <c r="D9853" s="22" t="s">
        <v>14070</v>
      </c>
      <c r="E9853" s="22" t="s">
        <v>48</v>
      </c>
      <c r="F9853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53" s="22" t="s">
        <v>217</v>
      </c>
      <c r="H9853" s="22" t="s">
        <v>9289</v>
      </c>
      <c r="I9853" s="26">
        <v>43676.697303240697</v>
      </c>
      <c r="J9853" s="28" t="s">
        <v>51</v>
      </c>
      <c r="K9853" s="28" t="s">
        <v>51</v>
      </c>
      <c r="L9853" s="28" t="s">
        <v>51</v>
      </c>
      <c r="M9853" s="28" t="s">
        <v>51</v>
      </c>
      <c r="N9853" s="28" t="s">
        <v>51</v>
      </c>
    </row>
    <row r="9854" spans="1:14" hidden="1" outlineLevel="1" x14ac:dyDescent="0.15">
      <c r="A9854" s="23" t="str">
        <f>HYPERLINK("https://www.spark-marketing.ru/Card/Person/257959", "МБДОУ ""Д/С С. ВЕРХНИЙ АКТАШ""")</f>
        <v>МБДОУ "Д/С С. ВЕРХНИЙ АКТАШ"</v>
      </c>
      <c r="B9854" s="24" t="s">
        <v>14081</v>
      </c>
      <c r="C9854" s="25">
        <v>200523.08</v>
      </c>
      <c r="D9854" s="22" t="s">
        <v>14070</v>
      </c>
      <c r="E9854" s="22" t="s">
        <v>48</v>
      </c>
      <c r="F9854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54" s="22" t="s">
        <v>217</v>
      </c>
      <c r="H9854" s="22" t="s">
        <v>9294</v>
      </c>
      <c r="I9854" s="26">
        <v>43676.697303240697</v>
      </c>
      <c r="J9854" s="28" t="s">
        <v>51</v>
      </c>
      <c r="K9854" s="28" t="s">
        <v>51</v>
      </c>
      <c r="L9854" s="28" t="s">
        <v>51</v>
      </c>
      <c r="M9854" s="28" t="s">
        <v>51</v>
      </c>
      <c r="N9854" s="28" t="s">
        <v>51</v>
      </c>
    </row>
    <row r="9855" spans="1:14" hidden="1" outlineLevel="1" x14ac:dyDescent="0.15">
      <c r="A9855" s="23" t="str">
        <f>HYPERLINK("https://www.spark-marketing.ru/Card/Person/257966", "МБДОУ ""Д/С № 29 ""ЛУКОМОРЬЕ""")</f>
        <v>МБДОУ "Д/С № 29 "ЛУКОМОРЬЕ"</v>
      </c>
      <c r="B9855" s="24" t="s">
        <v>14082</v>
      </c>
      <c r="C9855" s="25">
        <v>1244185.28</v>
      </c>
      <c r="D9855" s="22" t="s">
        <v>14070</v>
      </c>
      <c r="E9855" s="22" t="s">
        <v>48</v>
      </c>
      <c r="F9855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55" s="22" t="s">
        <v>217</v>
      </c>
      <c r="H9855" s="22" t="s">
        <v>9289</v>
      </c>
      <c r="I9855" s="26">
        <v>43676.697303240697</v>
      </c>
      <c r="J9855" s="28" t="s">
        <v>51</v>
      </c>
      <c r="K9855" s="28" t="s">
        <v>51</v>
      </c>
      <c r="L9855" s="28" t="s">
        <v>51</v>
      </c>
      <c r="M9855" s="28" t="s">
        <v>51</v>
      </c>
      <c r="N9855" s="28" t="s">
        <v>51</v>
      </c>
    </row>
    <row r="9856" spans="1:14" hidden="1" outlineLevel="1" x14ac:dyDescent="0.15">
      <c r="A9856" s="23" t="str">
        <f>HYPERLINK("https://www.spark-marketing.ru/Card/Person/257975", "МБДОУ ""Д/С ""РОМАШКА"" С. АППАКОВО""")</f>
        <v>МБДОУ "Д/С "РОМАШКА" С. АППАКОВО"</v>
      </c>
      <c r="B9856" s="24" t="s">
        <v>14083</v>
      </c>
      <c r="C9856" s="25">
        <v>55340.6</v>
      </c>
      <c r="D9856" s="22" t="s">
        <v>14070</v>
      </c>
      <c r="E9856" s="22" t="s">
        <v>48</v>
      </c>
      <c r="F9856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56" s="22" t="s">
        <v>217</v>
      </c>
      <c r="H9856" s="22" t="s">
        <v>9294</v>
      </c>
      <c r="I9856" s="26">
        <v>43676.697303240697</v>
      </c>
      <c r="J9856" s="28" t="s">
        <v>51</v>
      </c>
      <c r="K9856" s="28" t="s">
        <v>51</v>
      </c>
      <c r="L9856" s="28" t="s">
        <v>51</v>
      </c>
      <c r="M9856" s="28" t="s">
        <v>51</v>
      </c>
      <c r="N9856" s="28" t="s">
        <v>51</v>
      </c>
    </row>
    <row r="9857" spans="1:14" hidden="1" outlineLevel="1" x14ac:dyDescent="0.15">
      <c r="A9857" s="23" t="str">
        <f>HYPERLINK("https://www.spark-marketing.ru/Card/Person/257998", "МБДОУ ""Д/С ""СОЛНЫШКО"" С. ЯМАШИ""")</f>
        <v>МБДОУ "Д/С "СОЛНЫШКО" С. ЯМАШИ"</v>
      </c>
      <c r="B9857" s="24" t="s">
        <v>14084</v>
      </c>
      <c r="C9857" s="25">
        <v>342576</v>
      </c>
      <c r="D9857" s="22" t="s">
        <v>14070</v>
      </c>
      <c r="E9857" s="22" t="s">
        <v>48</v>
      </c>
      <c r="F9857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57" s="22" t="s">
        <v>217</v>
      </c>
      <c r="H9857" s="22" t="s">
        <v>9294</v>
      </c>
      <c r="I9857" s="26">
        <v>43676.697303240697</v>
      </c>
      <c r="J9857" s="28" t="s">
        <v>51</v>
      </c>
      <c r="K9857" s="28" t="s">
        <v>51</v>
      </c>
      <c r="L9857" s="28" t="s">
        <v>51</v>
      </c>
      <c r="M9857" s="28" t="s">
        <v>51</v>
      </c>
      <c r="N9857" s="28" t="s">
        <v>51</v>
      </c>
    </row>
    <row r="9858" spans="1:14" hidden="1" outlineLevel="1" x14ac:dyDescent="0.15">
      <c r="A9858" s="23" t="str">
        <f>HYPERLINK("https://www.spark-marketing.ru/Card/Person/259296", "МБОУ ""ЯМАШИНСКАЯ СОШ""")</f>
        <v>МБОУ "ЯМАШИНСКАЯ СОШ"</v>
      </c>
      <c r="B9858" s="24" t="s">
        <v>14085</v>
      </c>
      <c r="C9858" s="25">
        <v>337795</v>
      </c>
      <c r="D9858" s="22" t="s">
        <v>14070</v>
      </c>
      <c r="E9858" s="22" t="s">
        <v>48</v>
      </c>
      <c r="F9858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58" s="22" t="s">
        <v>217</v>
      </c>
      <c r="H9858" s="22" t="s">
        <v>9294</v>
      </c>
      <c r="I9858" s="26">
        <v>43676.697303240697</v>
      </c>
      <c r="J9858" s="28" t="s">
        <v>51</v>
      </c>
      <c r="K9858" s="28" t="s">
        <v>51</v>
      </c>
      <c r="L9858" s="28" t="s">
        <v>51</v>
      </c>
      <c r="M9858" s="28" t="s">
        <v>51</v>
      </c>
      <c r="N9858" s="28" t="s">
        <v>51</v>
      </c>
    </row>
    <row r="9859" spans="1:14" hidden="1" outlineLevel="1" x14ac:dyDescent="0.15">
      <c r="A9859" s="23" t="str">
        <f>HYPERLINK("https://www.spark-marketing.ru/Card/Person/259316", "МБОУ ""КАЛЕЙКИНСКАЯ СОШ""")</f>
        <v>МБОУ "КАЛЕЙКИНСКАЯ СОШ"</v>
      </c>
      <c r="B9859" s="24" t="s">
        <v>14086</v>
      </c>
      <c r="C9859" s="25">
        <v>326496.59999999998</v>
      </c>
      <c r="D9859" s="22" t="s">
        <v>14070</v>
      </c>
      <c r="E9859" s="22" t="s">
        <v>48</v>
      </c>
      <c r="F9859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59" s="22" t="s">
        <v>217</v>
      </c>
      <c r="H9859" s="22" t="s">
        <v>9294</v>
      </c>
      <c r="I9859" s="26">
        <v>43676.697303240697</v>
      </c>
      <c r="J9859" s="28" t="s">
        <v>51</v>
      </c>
      <c r="K9859" s="28" t="s">
        <v>51</v>
      </c>
      <c r="L9859" s="28" t="s">
        <v>51</v>
      </c>
      <c r="M9859" s="28" t="s">
        <v>51</v>
      </c>
      <c r="N9859" s="28" t="s">
        <v>51</v>
      </c>
    </row>
    <row r="9860" spans="1:14" hidden="1" outlineLevel="1" x14ac:dyDescent="0.15">
      <c r="A9860" s="23" t="str">
        <f>HYPERLINK("https://www.spark-marketing.ru/Card/Person/1086204", "МБОУ ""ЛЕСНО-КАЛЕЙКИНСКАЯ СОШ""")</f>
        <v>МБОУ "ЛЕСНО-КАЛЕЙКИНСКАЯ СОШ"</v>
      </c>
      <c r="B9860" s="24" t="s">
        <v>14087</v>
      </c>
      <c r="C9860" s="25">
        <v>417397</v>
      </c>
      <c r="D9860" s="22" t="s">
        <v>14070</v>
      </c>
      <c r="E9860" s="22" t="s">
        <v>48</v>
      </c>
      <c r="F9860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60" s="22" t="s">
        <v>217</v>
      </c>
      <c r="H9860" s="22" t="s">
        <v>9294</v>
      </c>
      <c r="I9860" s="26">
        <v>43676.697303240697</v>
      </c>
      <c r="J9860" s="28" t="s">
        <v>51</v>
      </c>
      <c r="K9860" s="28" t="s">
        <v>51</v>
      </c>
      <c r="L9860" s="28" t="s">
        <v>51</v>
      </c>
      <c r="M9860" s="28" t="s">
        <v>51</v>
      </c>
      <c r="N9860" s="28" t="s">
        <v>51</v>
      </c>
    </row>
    <row r="9861" spans="1:14" hidden="1" outlineLevel="1" x14ac:dyDescent="0.15">
      <c r="A9861" s="23" t="str">
        <f>HYPERLINK("https://www.spark-marketing.ru/Card/Person/1086448", "МБОУ ""СОШ №13"" Г. АЛЬМЕТЬЕВСКА")</f>
        <v>МБОУ "СОШ №13" Г. АЛЬМЕТЬЕВСКА</v>
      </c>
      <c r="B9861" s="24" t="s">
        <v>14088</v>
      </c>
      <c r="C9861" s="25">
        <v>888169.2</v>
      </c>
      <c r="D9861" s="22" t="s">
        <v>14070</v>
      </c>
      <c r="E9861" s="22" t="s">
        <v>48</v>
      </c>
      <c r="F9861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61" s="22" t="s">
        <v>217</v>
      </c>
      <c r="H9861" s="22" t="s">
        <v>9289</v>
      </c>
      <c r="I9861" s="26">
        <v>43676.697303240697</v>
      </c>
      <c r="J9861" s="28" t="s">
        <v>51</v>
      </c>
      <c r="K9861" s="28" t="s">
        <v>51</v>
      </c>
      <c r="L9861" s="28" t="s">
        <v>51</v>
      </c>
      <c r="M9861" s="28" t="s">
        <v>51</v>
      </c>
      <c r="N9861" s="28" t="s">
        <v>51</v>
      </c>
    </row>
    <row r="9862" spans="1:14" hidden="1" outlineLevel="1" x14ac:dyDescent="0.15">
      <c r="A9862" s="23" t="str">
        <f>HYPERLINK("https://www.spark-marketing.ru/Card/Person/4355093", "МБДОУ ""Д/С № 28 ""БУРАТИНО""")</f>
        <v>МБДОУ "Д/С № 28 "БУРАТИНО"</v>
      </c>
      <c r="B9862" s="24" t="s">
        <v>14089</v>
      </c>
      <c r="C9862" s="25">
        <v>443445.6</v>
      </c>
      <c r="D9862" s="22" t="s">
        <v>14070</v>
      </c>
      <c r="E9862" s="22" t="s">
        <v>48</v>
      </c>
      <c r="F9862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62" s="22" t="s">
        <v>217</v>
      </c>
      <c r="H9862" s="22" t="s">
        <v>9289</v>
      </c>
      <c r="I9862" s="26">
        <v>43676.697303240697</v>
      </c>
      <c r="J9862" s="28" t="s">
        <v>51</v>
      </c>
      <c r="K9862" s="28" t="s">
        <v>51</v>
      </c>
      <c r="L9862" s="28" t="s">
        <v>51</v>
      </c>
      <c r="M9862" s="28" t="s">
        <v>51</v>
      </c>
      <c r="N9862" s="28" t="s">
        <v>51</v>
      </c>
    </row>
    <row r="9863" spans="1:14" hidden="1" outlineLevel="1" x14ac:dyDescent="0.15">
      <c r="A9863" s="23" t="str">
        <f>HYPERLINK("https://www.spark-marketing.ru/Card/Person/254360", "МАОУ ""СОШ №16"" Г.АЛЬМЕТЬЕВСКА")</f>
        <v>МАОУ "СОШ №16" Г.АЛЬМЕТЬЕВСКА</v>
      </c>
      <c r="B9863" s="24" t="s">
        <v>14090</v>
      </c>
      <c r="C9863" s="25">
        <v>2949598.6</v>
      </c>
      <c r="D9863" s="22" t="s">
        <v>14070</v>
      </c>
      <c r="E9863" s="22" t="s">
        <v>48</v>
      </c>
      <c r="F9863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63" s="22" t="s">
        <v>217</v>
      </c>
      <c r="H9863" s="22" t="s">
        <v>9289</v>
      </c>
      <c r="I9863" s="26">
        <v>43676.697303240697</v>
      </c>
      <c r="J9863" s="28" t="s">
        <v>51</v>
      </c>
      <c r="K9863" s="28" t="s">
        <v>51</v>
      </c>
      <c r="L9863" s="28" t="s">
        <v>51</v>
      </c>
      <c r="M9863" s="28" t="s">
        <v>51</v>
      </c>
      <c r="N9863" s="28" t="s">
        <v>51</v>
      </c>
    </row>
    <row r="9864" spans="1:14" hidden="1" outlineLevel="1" x14ac:dyDescent="0.2">
      <c r="A9864" s="28" t="s">
        <v>51</v>
      </c>
      <c r="B9864" s="28" t="s">
        <v>51</v>
      </c>
      <c r="C9864" s="28" t="s">
        <v>51</v>
      </c>
      <c r="D9864" s="22" t="s">
        <v>14070</v>
      </c>
      <c r="E9864" s="22" t="s">
        <v>48</v>
      </c>
      <c r="F9864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64" s="22" t="s">
        <v>51</v>
      </c>
      <c r="H9864" s="22" t="s">
        <v>51</v>
      </c>
      <c r="I9864" s="26">
        <v>43676.697303240697</v>
      </c>
      <c r="J9864" s="23" t="str">
        <f>HYPERLINK("https://www.spark-marketing.ru/Card/Person/165573", "ООО ""ЭТАЛОН""")</f>
        <v>ООО "ЭТАЛОН"</v>
      </c>
      <c r="K9864" s="24" t="s">
        <v>14039</v>
      </c>
      <c r="L9864" s="22" t="s">
        <v>10</v>
      </c>
      <c r="M9864" s="25">
        <v>13203052.34</v>
      </c>
      <c r="N9864" s="27">
        <v>0.25500000100721026</v>
      </c>
    </row>
    <row r="9865" spans="1:14" hidden="1" outlineLevel="1" x14ac:dyDescent="0.2">
      <c r="A9865" s="28" t="s">
        <v>51</v>
      </c>
      <c r="B9865" s="28" t="s">
        <v>51</v>
      </c>
      <c r="C9865" s="28" t="s">
        <v>51</v>
      </c>
      <c r="D9865" s="22" t="s">
        <v>14070</v>
      </c>
      <c r="E9865" s="22" t="s">
        <v>48</v>
      </c>
      <c r="F9865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65" s="22" t="s">
        <v>51</v>
      </c>
      <c r="H9865" s="22" t="s">
        <v>51</v>
      </c>
      <c r="I9865" s="26">
        <v>43676.697303240697</v>
      </c>
      <c r="J9865" s="23" t="str">
        <f>HYPERLINK("https://www.spark-marketing.ru/Card/Person/6682098", "ООО ""СТ""")</f>
        <v>ООО "СТ"</v>
      </c>
      <c r="K9865" s="24" t="s">
        <v>14056</v>
      </c>
      <c r="L9865" s="28" t="s">
        <v>51</v>
      </c>
      <c r="M9865" s="25">
        <v>17544995.75</v>
      </c>
      <c r="N9865" s="27">
        <v>1.0000000039498443E-2</v>
      </c>
    </row>
    <row r="9866" spans="1:14" hidden="1" outlineLevel="1" x14ac:dyDescent="0.2">
      <c r="A9866" s="28" t="s">
        <v>51</v>
      </c>
      <c r="B9866" s="28" t="s">
        <v>51</v>
      </c>
      <c r="C9866" s="28" t="s">
        <v>51</v>
      </c>
      <c r="D9866" s="22" t="s">
        <v>14070</v>
      </c>
      <c r="E9866" s="22" t="s">
        <v>48</v>
      </c>
      <c r="F9866" s="23" t="str">
        <f t="shared" si="245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66" s="22" t="s">
        <v>51</v>
      </c>
      <c r="H9866" s="22" t="s">
        <v>51</v>
      </c>
      <c r="I9866" s="26">
        <v>43676.697303240697</v>
      </c>
      <c r="J9866" s="23" t="str">
        <f>HYPERLINK("https://www.spark-marketing.ru/Card/Person/4868441", "ООО ""СКОРПИОНС-ГРУПП""")</f>
        <v>ООО "СКОРПИОНС-ГРУПП"</v>
      </c>
      <c r="K9866" s="24" t="s">
        <v>14040</v>
      </c>
      <c r="L9866" s="28" t="s">
        <v>51</v>
      </c>
      <c r="M9866" s="25">
        <v>13291663.43</v>
      </c>
      <c r="N9866" s="27">
        <v>0.25000000098746106</v>
      </c>
    </row>
    <row r="9867" spans="1:14" collapsed="1" x14ac:dyDescent="0.15">
      <c r="A9867" s="23" t="str">
        <f>HYPERLINK("https://www.spark-marketing.ru/Card/Person/1008274", "ФКУ БМТИВС ГУФСИН РОССИИ ПО ПЕРМСКОМУ КРАЮ")</f>
        <v>ФКУ БМТИВС ГУФСИН РОССИИ ПО ПЕРМСКОМУ КРАЮ</v>
      </c>
      <c r="B9867" s="24" t="s">
        <v>14091</v>
      </c>
      <c r="C9867" s="25">
        <v>971005.01</v>
      </c>
      <c r="D9867" s="22" t="s">
        <v>14092</v>
      </c>
      <c r="E9867" s="22" t="s">
        <v>468</v>
      </c>
      <c r="F9867" s="23" t="str">
        <f>HYPERLINK("https://www.spark-marketing.ru/Card/Lot/72497142", "Оказание услуг по доставке продуктов питания учреждениям ГУФСИН России по Пермскому краю")</f>
        <v>Оказание услуг по доставке продуктов питания учреждениям ГУФСИН России по Пермскому краю</v>
      </c>
      <c r="G9867" s="22" t="s">
        <v>153</v>
      </c>
      <c r="H9867" s="22" t="s">
        <v>3981</v>
      </c>
      <c r="I9867" s="26">
        <v>43676.668553240699</v>
      </c>
      <c r="J9867" s="28" t="s">
        <v>51</v>
      </c>
      <c r="K9867" s="28" t="s">
        <v>51</v>
      </c>
      <c r="L9867" s="28" t="s">
        <v>51</v>
      </c>
      <c r="M9867" s="28" t="s">
        <v>51</v>
      </c>
      <c r="N9867" s="28" t="s">
        <v>51</v>
      </c>
    </row>
    <row r="9868" spans="1:14" hidden="1" outlineLevel="1" x14ac:dyDescent="0.2">
      <c r="A9868" s="23" t="str">
        <f>HYPERLINK("https://www.spark-marketing.ru/Card/Person/1008274", "ФКУ БМТИВС ГУФСИН РОССИИ ПО ПЕРМСКОМУ КРАЮ")</f>
        <v>ФКУ БМТИВС ГУФСИН РОССИИ ПО ПЕРМСКОМУ КРАЮ</v>
      </c>
      <c r="B9868" s="24" t="s">
        <v>14091</v>
      </c>
      <c r="C9868" s="25">
        <v>971005.01</v>
      </c>
      <c r="D9868" s="22" t="s">
        <v>14092</v>
      </c>
      <c r="E9868" s="22" t="s">
        <v>468</v>
      </c>
      <c r="F9868" s="23" t="str">
        <f>HYPERLINK("https://www.spark-marketing.ru/Card/Lot/72497142", "Оказание услуг по доставке продуктов питания учреждениям ГУФСИН России по Пермскому краю")</f>
        <v>Оказание услуг по доставке продуктов питания учреждениям ГУФСИН России по Пермскому краю</v>
      </c>
      <c r="G9868" s="22" t="s">
        <v>153</v>
      </c>
      <c r="H9868" s="22" t="s">
        <v>3981</v>
      </c>
      <c r="I9868" s="26">
        <v>43676.668553240699</v>
      </c>
      <c r="J9868" s="23" t="str">
        <f>HYPERLINK("https://www.spark-marketing.ru/Card/Person/4469499", "Дерябин Александр Анатольевич")</f>
        <v>Дерябин Александр Анатольевич</v>
      </c>
      <c r="K9868" s="24" t="s">
        <v>2157</v>
      </c>
      <c r="L9868" s="28" t="s">
        <v>51</v>
      </c>
      <c r="M9868" s="25">
        <v>961294.95</v>
      </c>
      <c r="N9868" s="27">
        <v>1.0000010195621956E-2</v>
      </c>
    </row>
    <row r="9869" spans="1:14" ht="12.75" hidden="1" outlineLevel="1" x14ac:dyDescent="0.2">
      <c r="A9869" s="23" t="str">
        <f>HYPERLINK("https://www.spark-marketing.ru/Card/Person/1008274", "ФКУ БМТИВС ГУФСИН РОССИИ ПО ПЕРМСКОМУ КРАЮ")</f>
        <v>ФКУ БМТИВС ГУФСИН РОССИИ ПО ПЕРМСКОМУ КРАЮ</v>
      </c>
      <c r="B9869" s="24" t="s">
        <v>14091</v>
      </c>
      <c r="C9869" s="25">
        <v>971005.01</v>
      </c>
      <c r="D9869" s="22" t="s">
        <v>14092</v>
      </c>
      <c r="E9869" s="22" t="s">
        <v>468</v>
      </c>
      <c r="F9869" s="23" t="str">
        <f>HYPERLINK("https://www.spark-marketing.ru/Card/Lot/72497142", "Оказание услуг по доставке продуктов питания учреждениям ГУФСИН России по Пермскому краю")</f>
        <v>Оказание услуг по доставке продуктов питания учреждениям ГУФСИН России по Пермскому краю</v>
      </c>
      <c r="G9869" s="22" t="s">
        <v>153</v>
      </c>
      <c r="H9869" s="22" t="s">
        <v>3981</v>
      </c>
      <c r="I9869" s="26">
        <v>43676.668553240699</v>
      </c>
      <c r="J9869" s="23" t="str">
        <f>HYPERLINK("https://www.spark-marketing.ru/Card/Person/6489368", "ООО ""ЛПР-ИНВЕСТ""")</f>
        <v>ООО "ЛПР-ИНВЕСТ"</v>
      </c>
      <c r="K9869" s="24" t="s">
        <v>14093</v>
      </c>
      <c r="L9869" s="22" t="s">
        <v>10</v>
      </c>
      <c r="M9869" s="25">
        <v>956439.92</v>
      </c>
      <c r="N9869" s="27">
        <v>1.5000015293432934E-2</v>
      </c>
    </row>
    <row r="9870" spans="1:14" x14ac:dyDescent="0.2">
      <c r="A9870" s="23" t="str">
        <f>HYPERLINK("https://www.spark-marketing.ru/Card/Person/1023602", "МБОУ ""СЕМИОЗЕРСКАЯ ООШ""")</f>
        <v>МБОУ "СЕМИОЗЕРСКАЯ ООШ"</v>
      </c>
      <c r="B9870" s="24" t="s">
        <v>14094</v>
      </c>
      <c r="C9870" s="25">
        <v>509343</v>
      </c>
      <c r="D9870" s="22" t="s">
        <v>14095</v>
      </c>
      <c r="E9870" s="22" t="s">
        <v>48</v>
      </c>
      <c r="F9870" s="23" t="str">
        <f>HYPERLINK("https://www.spark-marketing.ru/Card/Lot/72492430", "оказание услуг по организации питания для льготных категорий обучающихся и обеспечение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обеспечение молоком (кисломолочными продуктами) обучающихся 1-4 классов</v>
      </c>
      <c r="G9870" s="22" t="s">
        <v>162</v>
      </c>
      <c r="H9870" s="22" t="s">
        <v>5558</v>
      </c>
      <c r="I9870" s="26">
        <v>43676.691782407397</v>
      </c>
      <c r="J9870" s="23" t="str">
        <f>HYPERLINK("https://www.spark-marketing.ru/Card/Person/1281490", "Разина Елена Викторовна")</f>
        <v>Разина Елена Викторовна</v>
      </c>
      <c r="K9870" s="24" t="s">
        <v>5559</v>
      </c>
      <c r="L9870" s="28" t="s">
        <v>51</v>
      </c>
      <c r="M9870" s="25">
        <v>509343</v>
      </c>
      <c r="N9870" s="27">
        <v>0</v>
      </c>
    </row>
    <row r="9871" spans="1:14" collapsed="1" x14ac:dyDescent="0.15">
      <c r="A9871" s="23" t="s">
        <v>114</v>
      </c>
      <c r="B9871" s="28" t="s">
        <v>51</v>
      </c>
      <c r="C9871" s="25">
        <v>15484125.65</v>
      </c>
      <c r="D9871" s="22" t="s">
        <v>14096</v>
      </c>
      <c r="E9871" s="22" t="s">
        <v>48</v>
      </c>
      <c r="F9871" s="23" t="str">
        <f t="shared" ref="F9871:F9884" si="246">HYPERLINK("https://www.spark-marketing.ru/Card/Lot/72488585", "Оказание услуг по организации питания на 2 полугодие 2019 года для образовательных учреждений Альметьевского муниципального района")</f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71" s="22" t="s">
        <v>51</v>
      </c>
      <c r="H9871" s="22" t="s">
        <v>51</v>
      </c>
      <c r="I9871" s="26">
        <v>43676.696990740696</v>
      </c>
      <c r="J9871" s="28" t="s">
        <v>51</v>
      </c>
      <c r="K9871" s="28" t="s">
        <v>51</v>
      </c>
      <c r="L9871" s="28" t="s">
        <v>51</v>
      </c>
      <c r="M9871" s="28" t="s">
        <v>51</v>
      </c>
      <c r="N9871" s="28" t="s">
        <v>51</v>
      </c>
    </row>
    <row r="9872" spans="1:14" hidden="1" outlineLevel="1" x14ac:dyDescent="0.15">
      <c r="A9872" s="23" t="str">
        <f>HYPERLINK("https://www.spark-marketing.ru/Card/Person/255556", "МАОУ ""ЛИЦЕЙ №2"" Г.АЛЬМЕТЬЕВСКА")</f>
        <v>МАОУ "ЛИЦЕЙ №2" Г.АЛЬМЕТЬЕВСКА</v>
      </c>
      <c r="B9872" s="24" t="s">
        <v>14097</v>
      </c>
      <c r="C9872" s="25">
        <v>3621370.4</v>
      </c>
      <c r="D9872" s="22" t="s">
        <v>14096</v>
      </c>
      <c r="E9872" s="22" t="s">
        <v>48</v>
      </c>
      <c r="F9872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72" s="22" t="s">
        <v>217</v>
      </c>
      <c r="H9872" s="22" t="s">
        <v>9289</v>
      </c>
      <c r="I9872" s="26">
        <v>43676.696990740696</v>
      </c>
      <c r="J9872" s="28" t="s">
        <v>51</v>
      </c>
      <c r="K9872" s="28" t="s">
        <v>51</v>
      </c>
      <c r="L9872" s="28" t="s">
        <v>51</v>
      </c>
      <c r="M9872" s="28" t="s">
        <v>51</v>
      </c>
      <c r="N9872" s="28" t="s">
        <v>51</v>
      </c>
    </row>
    <row r="9873" spans="1:14" hidden="1" outlineLevel="1" x14ac:dyDescent="0.15">
      <c r="A9873" s="23" t="str">
        <f>HYPERLINK("https://www.spark-marketing.ru/Card/Person/256066", "МБДОУ ""ЦРР- Д/С №51 ""РАДУГА""")</f>
        <v>МБДОУ "ЦРР- Д/С №51 "РАДУГА"</v>
      </c>
      <c r="B9873" s="24" t="s">
        <v>14098</v>
      </c>
      <c r="C9873" s="25">
        <v>2639738.4</v>
      </c>
      <c r="D9873" s="22" t="s">
        <v>14096</v>
      </c>
      <c r="E9873" s="22" t="s">
        <v>48</v>
      </c>
      <c r="F9873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73" s="22" t="s">
        <v>217</v>
      </c>
      <c r="H9873" s="22" t="s">
        <v>9289</v>
      </c>
      <c r="I9873" s="26">
        <v>43676.696990740696</v>
      </c>
      <c r="J9873" s="28" t="s">
        <v>51</v>
      </c>
      <c r="K9873" s="28" t="s">
        <v>51</v>
      </c>
      <c r="L9873" s="28" t="s">
        <v>51</v>
      </c>
      <c r="M9873" s="28" t="s">
        <v>51</v>
      </c>
      <c r="N9873" s="28" t="s">
        <v>51</v>
      </c>
    </row>
    <row r="9874" spans="1:14" hidden="1" outlineLevel="1" x14ac:dyDescent="0.15">
      <c r="A9874" s="23" t="str">
        <f>HYPERLINK("https://www.spark-marketing.ru/Card/Person/257006", "МБДОУ ""ЦРР-Д/С №39 ""ЗОЛОТОЙ ПЕТУШОК""")</f>
        <v>МБДОУ "ЦРР-Д/С №39 "ЗОЛОТОЙ ПЕТУШОК"</v>
      </c>
      <c r="B9874" s="24" t="s">
        <v>14099</v>
      </c>
      <c r="C9874" s="25">
        <v>2847948.48</v>
      </c>
      <c r="D9874" s="22" t="s">
        <v>14096</v>
      </c>
      <c r="E9874" s="22" t="s">
        <v>48</v>
      </c>
      <c r="F9874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74" s="22" t="s">
        <v>217</v>
      </c>
      <c r="H9874" s="22" t="s">
        <v>9289</v>
      </c>
      <c r="I9874" s="26">
        <v>43676.696990740696</v>
      </c>
      <c r="J9874" s="28" t="s">
        <v>51</v>
      </c>
      <c r="K9874" s="28" t="s">
        <v>51</v>
      </c>
      <c r="L9874" s="28" t="s">
        <v>51</v>
      </c>
      <c r="M9874" s="28" t="s">
        <v>51</v>
      </c>
      <c r="N9874" s="28" t="s">
        <v>51</v>
      </c>
    </row>
    <row r="9875" spans="1:14" hidden="1" outlineLevel="1" x14ac:dyDescent="0.15">
      <c r="A9875" s="23" t="str">
        <f>HYPERLINK("https://www.spark-marketing.ru/Card/Person/257798", "МБДОУ ""Д/С ""АЛТЫНЧЭЧ"" С. БИШМУНЧА""")</f>
        <v>МБДОУ "Д/С "АЛТЫНЧЭЧ" С. БИШМУНЧА"</v>
      </c>
      <c r="B9875" s="24" t="s">
        <v>14100</v>
      </c>
      <c r="C9875" s="25">
        <v>184962.78</v>
      </c>
      <c r="D9875" s="22" t="s">
        <v>14096</v>
      </c>
      <c r="E9875" s="22" t="s">
        <v>48</v>
      </c>
      <c r="F9875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75" s="22" t="s">
        <v>217</v>
      </c>
      <c r="H9875" s="22" t="s">
        <v>9294</v>
      </c>
      <c r="I9875" s="26">
        <v>43676.696990740696</v>
      </c>
      <c r="J9875" s="28" t="s">
        <v>51</v>
      </c>
      <c r="K9875" s="28" t="s">
        <v>51</v>
      </c>
      <c r="L9875" s="28" t="s">
        <v>51</v>
      </c>
      <c r="M9875" s="28" t="s">
        <v>51</v>
      </c>
      <c r="N9875" s="28" t="s">
        <v>51</v>
      </c>
    </row>
    <row r="9876" spans="1:14" hidden="1" outlineLevel="1" x14ac:dyDescent="0.15">
      <c r="A9876" s="23" t="str">
        <f>HYPERLINK("https://www.spark-marketing.ru/Card/Person/257831", "МБДОУ ""Д/С № 59 ""СОЛНЕЧНАЯ СТРАНА""")</f>
        <v>МБДОУ "Д/С № 59 "СОЛНЕЧНАЯ СТРАНА"</v>
      </c>
      <c r="B9876" s="24" t="s">
        <v>14101</v>
      </c>
      <c r="C9876" s="25">
        <v>1246849.76</v>
      </c>
      <c r="D9876" s="22" t="s">
        <v>14096</v>
      </c>
      <c r="E9876" s="22" t="s">
        <v>48</v>
      </c>
      <c r="F9876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76" s="22" t="s">
        <v>217</v>
      </c>
      <c r="H9876" s="22" t="s">
        <v>9289</v>
      </c>
      <c r="I9876" s="26">
        <v>43676.696990740696</v>
      </c>
      <c r="J9876" s="28" t="s">
        <v>51</v>
      </c>
      <c r="K9876" s="28" t="s">
        <v>51</v>
      </c>
      <c r="L9876" s="28" t="s">
        <v>51</v>
      </c>
      <c r="M9876" s="28" t="s">
        <v>51</v>
      </c>
      <c r="N9876" s="28" t="s">
        <v>51</v>
      </c>
    </row>
    <row r="9877" spans="1:14" hidden="1" outlineLevel="1" x14ac:dyDescent="0.15">
      <c r="A9877" s="23" t="str">
        <f>HYPERLINK("https://www.spark-marketing.ru/Card/Person/257833", "МБДОУ ""ЦРР - Д/С № 1 ""БЭЛЭКЭЧ""")</f>
        <v>МБДОУ "ЦРР - Д/С № 1 "БЭЛЭКЭЧ"</v>
      </c>
      <c r="B9877" s="24" t="s">
        <v>14102</v>
      </c>
      <c r="C9877" s="25">
        <v>3172000</v>
      </c>
      <c r="D9877" s="22" t="s">
        <v>14096</v>
      </c>
      <c r="E9877" s="22" t="s">
        <v>48</v>
      </c>
      <c r="F9877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77" s="22" t="s">
        <v>217</v>
      </c>
      <c r="H9877" s="22" t="s">
        <v>9289</v>
      </c>
      <c r="I9877" s="26">
        <v>43676.696990740696</v>
      </c>
      <c r="J9877" s="28" t="s">
        <v>51</v>
      </c>
      <c r="K9877" s="28" t="s">
        <v>51</v>
      </c>
      <c r="L9877" s="28" t="s">
        <v>51</v>
      </c>
      <c r="M9877" s="28" t="s">
        <v>51</v>
      </c>
      <c r="N9877" s="28" t="s">
        <v>51</v>
      </c>
    </row>
    <row r="9878" spans="1:14" hidden="1" outlineLevel="1" x14ac:dyDescent="0.15">
      <c r="A9878" s="23" t="str">
        <f>HYPERLINK("https://www.spark-marketing.ru/Card/Person/257845", "МБДОУ ""Д/С ""КАРЛЫГАЧ"" С. КАМА-ИСМАГИЛОВО""")</f>
        <v>МБДОУ "Д/С "КАРЛЫГАЧ" С. КАМА-ИСМАГИЛОВО"</v>
      </c>
      <c r="B9878" s="24" t="s">
        <v>14103</v>
      </c>
      <c r="C9878" s="25">
        <v>169410</v>
      </c>
      <c r="D9878" s="22" t="s">
        <v>14096</v>
      </c>
      <c r="E9878" s="22" t="s">
        <v>48</v>
      </c>
      <c r="F9878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78" s="22" t="s">
        <v>217</v>
      </c>
      <c r="H9878" s="22" t="s">
        <v>9294</v>
      </c>
      <c r="I9878" s="26">
        <v>43676.696990740696</v>
      </c>
      <c r="J9878" s="28" t="s">
        <v>51</v>
      </c>
      <c r="K9878" s="28" t="s">
        <v>51</v>
      </c>
      <c r="L9878" s="28" t="s">
        <v>51</v>
      </c>
      <c r="M9878" s="28" t="s">
        <v>51</v>
      </c>
      <c r="N9878" s="28" t="s">
        <v>51</v>
      </c>
    </row>
    <row r="9879" spans="1:14" hidden="1" outlineLevel="1" x14ac:dyDescent="0.15">
      <c r="A9879" s="23" t="str">
        <f>HYPERLINK("https://www.spark-marketing.ru/Card/Person/257936", "МБДОУ ""Д/С ""ГОЛЧЭЧЭК"" С. НОВОЕ НАДЫРОВО""")</f>
        <v>МБДОУ "Д/С "ГОЛЧЭЧЭК" С. НОВОЕ НАДЫРОВО"</v>
      </c>
      <c r="B9879" s="24" t="s">
        <v>9292</v>
      </c>
      <c r="C9879" s="25">
        <v>397593</v>
      </c>
      <c r="D9879" s="22" t="s">
        <v>14096</v>
      </c>
      <c r="E9879" s="22" t="s">
        <v>48</v>
      </c>
      <c r="F9879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79" s="22" t="s">
        <v>217</v>
      </c>
      <c r="H9879" s="22" t="s">
        <v>9294</v>
      </c>
      <c r="I9879" s="26">
        <v>43676.696990740696</v>
      </c>
      <c r="J9879" s="28" t="s">
        <v>51</v>
      </c>
      <c r="K9879" s="28" t="s">
        <v>51</v>
      </c>
      <c r="L9879" s="28" t="s">
        <v>51</v>
      </c>
      <c r="M9879" s="28" t="s">
        <v>51</v>
      </c>
      <c r="N9879" s="28" t="s">
        <v>51</v>
      </c>
    </row>
    <row r="9880" spans="1:14" hidden="1" outlineLevel="1" x14ac:dyDescent="0.15">
      <c r="A9880" s="23" t="str">
        <f>HYPERLINK("https://www.spark-marketing.ru/Card/Person/257997", "МБДОУ ""Д/С ""ЛАНДЫШ"" С. АБДРАХМАНОВО""")</f>
        <v>МБДОУ "Д/С "ЛАНДЫШ" С. АБДРАХМАНОВО"</v>
      </c>
      <c r="B9880" s="24" t="s">
        <v>14104</v>
      </c>
      <c r="C9880" s="25">
        <v>638352.03</v>
      </c>
      <c r="D9880" s="22" t="s">
        <v>14096</v>
      </c>
      <c r="E9880" s="22" t="s">
        <v>48</v>
      </c>
      <c r="F9880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80" s="22" t="s">
        <v>217</v>
      </c>
      <c r="H9880" s="22" t="s">
        <v>9294</v>
      </c>
      <c r="I9880" s="26">
        <v>43676.696990740696</v>
      </c>
      <c r="J9880" s="28" t="s">
        <v>51</v>
      </c>
      <c r="K9880" s="28" t="s">
        <v>51</v>
      </c>
      <c r="L9880" s="28" t="s">
        <v>51</v>
      </c>
      <c r="M9880" s="28" t="s">
        <v>51</v>
      </c>
      <c r="N9880" s="28" t="s">
        <v>51</v>
      </c>
    </row>
    <row r="9881" spans="1:14" hidden="1" outlineLevel="1" x14ac:dyDescent="0.15">
      <c r="A9881" s="23" t="str">
        <f>HYPERLINK("https://www.spark-marketing.ru/Card/Person/259299", "МБОУ ""НОВОНАДЫРОВСКАЯ СОШ""")</f>
        <v>МБОУ "НОВОНАДЫРОВСКАЯ СОШ"</v>
      </c>
      <c r="B9881" s="24" t="s">
        <v>14105</v>
      </c>
      <c r="C9881" s="25">
        <v>296223.2</v>
      </c>
      <c r="D9881" s="22" t="s">
        <v>14096</v>
      </c>
      <c r="E9881" s="22" t="s">
        <v>48</v>
      </c>
      <c r="F9881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81" s="22" t="s">
        <v>217</v>
      </c>
      <c r="H9881" s="22" t="s">
        <v>9294</v>
      </c>
      <c r="I9881" s="26">
        <v>43676.696990740696</v>
      </c>
      <c r="J9881" s="28" t="s">
        <v>51</v>
      </c>
      <c r="K9881" s="28" t="s">
        <v>51</v>
      </c>
      <c r="L9881" s="28" t="s">
        <v>51</v>
      </c>
      <c r="M9881" s="28" t="s">
        <v>51</v>
      </c>
      <c r="N9881" s="28" t="s">
        <v>51</v>
      </c>
    </row>
    <row r="9882" spans="1:14" hidden="1" outlineLevel="1" x14ac:dyDescent="0.15">
      <c r="A9882" s="23" t="str">
        <f>HYPERLINK("https://www.spark-marketing.ru/Card/Person/259309", "МБОУ ""АБДРАХМАНОВСКАЯ СОШ""")</f>
        <v>МБОУ "АБДРАХМАНОВСКАЯ СОШ"</v>
      </c>
      <c r="B9882" s="24" t="s">
        <v>14106</v>
      </c>
      <c r="C9882" s="25">
        <v>269677.59999999998</v>
      </c>
      <c r="D9882" s="22" t="s">
        <v>14096</v>
      </c>
      <c r="E9882" s="22" t="s">
        <v>48</v>
      </c>
      <c r="F9882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82" s="22" t="s">
        <v>217</v>
      </c>
      <c r="H9882" s="22" t="s">
        <v>9294</v>
      </c>
      <c r="I9882" s="26">
        <v>43676.696990740696</v>
      </c>
      <c r="J9882" s="28" t="s">
        <v>51</v>
      </c>
      <c r="K9882" s="28" t="s">
        <v>51</v>
      </c>
      <c r="L9882" s="28" t="s">
        <v>51</v>
      </c>
      <c r="M9882" s="28" t="s">
        <v>51</v>
      </c>
      <c r="N9882" s="28" t="s">
        <v>51</v>
      </c>
    </row>
    <row r="9883" spans="1:14" hidden="1" outlineLevel="1" x14ac:dyDescent="0.2">
      <c r="A9883" s="28" t="s">
        <v>51</v>
      </c>
      <c r="B9883" s="28" t="s">
        <v>51</v>
      </c>
      <c r="C9883" s="28" t="s">
        <v>51</v>
      </c>
      <c r="D9883" s="22" t="s">
        <v>14096</v>
      </c>
      <c r="E9883" s="22" t="s">
        <v>48</v>
      </c>
      <c r="F9883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83" s="22" t="s">
        <v>51</v>
      </c>
      <c r="H9883" s="22" t="s">
        <v>51</v>
      </c>
      <c r="I9883" s="26">
        <v>43676.696990740696</v>
      </c>
      <c r="J9883" s="23" t="str">
        <f>HYPERLINK("https://www.spark-marketing.ru/Card/Person/165573", "ООО ""ЭТАЛОН""")</f>
        <v>ООО "ЭТАЛОН"</v>
      </c>
      <c r="K9883" s="24" t="s">
        <v>14039</v>
      </c>
      <c r="L9883" s="22" t="s">
        <v>10</v>
      </c>
      <c r="M9883" s="25">
        <v>11535673.52</v>
      </c>
      <c r="N9883" s="27">
        <v>0.2550000057639677</v>
      </c>
    </row>
    <row r="9884" spans="1:14" hidden="1" outlineLevel="1" x14ac:dyDescent="0.2">
      <c r="A9884" s="28" t="s">
        <v>51</v>
      </c>
      <c r="B9884" s="28" t="s">
        <v>51</v>
      </c>
      <c r="C9884" s="28" t="s">
        <v>51</v>
      </c>
      <c r="D9884" s="22" t="s">
        <v>14096</v>
      </c>
      <c r="E9884" s="22" t="s">
        <v>48</v>
      </c>
      <c r="F9884" s="23" t="str">
        <f t="shared" si="246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84" s="22" t="s">
        <v>51</v>
      </c>
      <c r="H9884" s="22" t="s">
        <v>51</v>
      </c>
      <c r="I9884" s="26">
        <v>43676.696990740696</v>
      </c>
      <c r="J9884" s="23" t="str">
        <f>HYPERLINK("https://www.spark-marketing.ru/Card/Person/4868441", "ООО ""СКОРПИОНС-ГРУПП""")</f>
        <v>ООО "СКОРПИОНС-ГРУПП"</v>
      </c>
      <c r="K9884" s="24" t="s">
        <v>14040</v>
      </c>
      <c r="L9884" s="28" t="s">
        <v>51</v>
      </c>
      <c r="M9884" s="25">
        <v>11613094.15</v>
      </c>
      <c r="N9884" s="27">
        <v>0.25000000565094871</v>
      </c>
    </row>
    <row r="9885" spans="1:14" collapsed="1" x14ac:dyDescent="0.15">
      <c r="A9885" s="23" t="s">
        <v>114</v>
      </c>
      <c r="B9885" s="28" t="s">
        <v>51</v>
      </c>
      <c r="C9885" s="25">
        <v>16658574.48</v>
      </c>
      <c r="D9885" s="22" t="s">
        <v>14107</v>
      </c>
      <c r="E9885" s="22" t="s">
        <v>48</v>
      </c>
      <c r="F9885" s="23" t="str">
        <f t="shared" ref="F9885:F9911" si="247">HYPERLINK("https://www.spark-marketing.ru/Card/Lot/72488581", "Оказание услуг по организации питания на 2 полугодие 2019 года для образовательных учреждений Альметьевского муниципального района")</f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85" s="22" t="s">
        <v>51</v>
      </c>
      <c r="H9885" s="22" t="s">
        <v>51</v>
      </c>
      <c r="I9885" s="26">
        <v>43676.696516203701</v>
      </c>
      <c r="J9885" s="28" t="s">
        <v>51</v>
      </c>
      <c r="K9885" s="28" t="s">
        <v>51</v>
      </c>
      <c r="L9885" s="28" t="s">
        <v>51</v>
      </c>
      <c r="M9885" s="28" t="s">
        <v>51</v>
      </c>
      <c r="N9885" s="28" t="s">
        <v>51</v>
      </c>
    </row>
    <row r="9886" spans="1:14" hidden="1" outlineLevel="1" x14ac:dyDescent="0.15">
      <c r="A9886" s="23" t="str">
        <f>HYPERLINK("https://www.spark-marketing.ru/Card/Person/257549", "МБДОУ ""ЦРР-Д/С №44 ""РОСИНКА""")</f>
        <v>МБДОУ "ЦРР-Д/С №44 "РОСИНКА"</v>
      </c>
      <c r="B9886" s="24" t="s">
        <v>14108</v>
      </c>
      <c r="C9886" s="25">
        <v>2794658.88</v>
      </c>
      <c r="D9886" s="22" t="s">
        <v>14107</v>
      </c>
      <c r="E9886" s="22" t="s">
        <v>48</v>
      </c>
      <c r="F9886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86" s="22" t="s">
        <v>217</v>
      </c>
      <c r="H9886" s="22" t="s">
        <v>9289</v>
      </c>
      <c r="I9886" s="26">
        <v>43676.696516203701</v>
      </c>
      <c r="J9886" s="28" t="s">
        <v>51</v>
      </c>
      <c r="K9886" s="28" t="s">
        <v>51</v>
      </c>
      <c r="L9886" s="28" t="s">
        <v>51</v>
      </c>
      <c r="M9886" s="28" t="s">
        <v>51</v>
      </c>
      <c r="N9886" s="28" t="s">
        <v>51</v>
      </c>
    </row>
    <row r="9887" spans="1:14" hidden="1" outlineLevel="1" x14ac:dyDescent="0.15">
      <c r="A9887" s="23" t="str">
        <f>HYPERLINK("https://www.spark-marketing.ru/Card/Person/257800", "МБДОУ ""Д/С № 37 ""СКАЗКА""")</f>
        <v>МБДОУ "Д/С № 37 "СКАЗКА"</v>
      </c>
      <c r="B9887" s="24" t="s">
        <v>9287</v>
      </c>
      <c r="C9887" s="25">
        <v>903639.36</v>
      </c>
      <c r="D9887" s="22" t="s">
        <v>14107</v>
      </c>
      <c r="E9887" s="22" t="s">
        <v>48</v>
      </c>
      <c r="F9887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87" s="22" t="s">
        <v>217</v>
      </c>
      <c r="H9887" s="22" t="s">
        <v>9289</v>
      </c>
      <c r="I9887" s="26">
        <v>43676.696516203701</v>
      </c>
      <c r="J9887" s="28" t="s">
        <v>51</v>
      </c>
      <c r="K9887" s="28" t="s">
        <v>51</v>
      </c>
      <c r="L9887" s="28" t="s">
        <v>51</v>
      </c>
      <c r="M9887" s="28" t="s">
        <v>51</v>
      </c>
      <c r="N9887" s="28" t="s">
        <v>51</v>
      </c>
    </row>
    <row r="9888" spans="1:14" hidden="1" outlineLevel="1" x14ac:dyDescent="0.15">
      <c r="A9888" s="23" t="str">
        <f>HYPERLINK("https://www.spark-marketing.ru/Card/Person/257814", "МБДОУ ""Д/С ""РОМАШКА"" С. ЧУПАЕВО""")</f>
        <v>МБДОУ "Д/С "РОМАШКА" С. ЧУПАЕВО"</v>
      </c>
      <c r="B9888" s="24" t="s">
        <v>14109</v>
      </c>
      <c r="C9888" s="25">
        <v>86737.919999999998</v>
      </c>
      <c r="D9888" s="22" t="s">
        <v>14107</v>
      </c>
      <c r="E9888" s="22" t="s">
        <v>48</v>
      </c>
      <c r="F9888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88" s="22" t="s">
        <v>217</v>
      </c>
      <c r="H9888" s="22" t="s">
        <v>9294</v>
      </c>
      <c r="I9888" s="26">
        <v>43676.696516203701</v>
      </c>
      <c r="J9888" s="28" t="s">
        <v>51</v>
      </c>
      <c r="K9888" s="28" t="s">
        <v>51</v>
      </c>
      <c r="L9888" s="28" t="s">
        <v>51</v>
      </c>
      <c r="M9888" s="28" t="s">
        <v>51</v>
      </c>
      <c r="N9888" s="28" t="s">
        <v>51</v>
      </c>
    </row>
    <row r="9889" spans="1:14" hidden="1" outlineLevel="1" x14ac:dyDescent="0.15">
      <c r="A9889" s="23" t="str">
        <f>HYPERLINK("https://www.spark-marketing.ru/Card/Person/257821", "МБДОУ ""Д/С № 56 ""КРЕПЫШ""")</f>
        <v>МБДОУ "Д/С № 56 "КРЕПЫШ"</v>
      </c>
      <c r="B9889" s="24" t="s">
        <v>14110</v>
      </c>
      <c r="C9889" s="25">
        <v>2612128.9700000002</v>
      </c>
      <c r="D9889" s="22" t="s">
        <v>14107</v>
      </c>
      <c r="E9889" s="22" t="s">
        <v>48</v>
      </c>
      <c r="F9889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89" s="22" t="s">
        <v>217</v>
      </c>
      <c r="H9889" s="22" t="s">
        <v>9289</v>
      </c>
      <c r="I9889" s="26">
        <v>43676.696516203701</v>
      </c>
      <c r="J9889" s="28" t="s">
        <v>51</v>
      </c>
      <c r="K9889" s="28" t="s">
        <v>51</v>
      </c>
      <c r="L9889" s="28" t="s">
        <v>51</v>
      </c>
      <c r="M9889" s="28" t="s">
        <v>51</v>
      </c>
      <c r="N9889" s="28" t="s">
        <v>51</v>
      </c>
    </row>
    <row r="9890" spans="1:14" hidden="1" outlineLevel="1" x14ac:dyDescent="0.15">
      <c r="A9890" s="23" t="str">
        <f>HYPERLINK("https://www.spark-marketing.ru/Card/Person/257823", "МБДОУ ""Д/С № 55 ""ЖАВОРОНОК""")</f>
        <v>МБДОУ "Д/С № 55 "ЖАВОРОНОК"</v>
      </c>
      <c r="B9890" s="24" t="s">
        <v>14111</v>
      </c>
      <c r="C9890" s="25">
        <v>1206121.28</v>
      </c>
      <c r="D9890" s="22" t="s">
        <v>14107</v>
      </c>
      <c r="E9890" s="22" t="s">
        <v>48</v>
      </c>
      <c r="F9890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90" s="22" t="s">
        <v>217</v>
      </c>
      <c r="H9890" s="22" t="s">
        <v>9289</v>
      </c>
      <c r="I9890" s="26">
        <v>43676.696516203701</v>
      </c>
      <c r="J9890" s="28" t="s">
        <v>51</v>
      </c>
      <c r="K9890" s="28" t="s">
        <v>51</v>
      </c>
      <c r="L9890" s="28" t="s">
        <v>51</v>
      </c>
      <c r="M9890" s="28" t="s">
        <v>51</v>
      </c>
      <c r="N9890" s="28" t="s">
        <v>51</v>
      </c>
    </row>
    <row r="9891" spans="1:14" hidden="1" outlineLevel="1" x14ac:dyDescent="0.15">
      <c r="A9891" s="23" t="str">
        <f>HYPERLINK("https://www.spark-marketing.ru/Card/Person/257838", "МБДОУ ""Д/С № 52 ""АЛТЫНЧЭЧ""")</f>
        <v>МБДОУ "Д/С № 52 "АЛТЫНЧЭЧ"</v>
      </c>
      <c r="B9891" s="24" t="s">
        <v>10114</v>
      </c>
      <c r="C9891" s="25">
        <v>1359700.03</v>
      </c>
      <c r="D9891" s="22" t="s">
        <v>14107</v>
      </c>
      <c r="E9891" s="22" t="s">
        <v>48</v>
      </c>
      <c r="F9891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91" s="22" t="s">
        <v>217</v>
      </c>
      <c r="H9891" s="22" t="s">
        <v>9289</v>
      </c>
      <c r="I9891" s="26">
        <v>43676.696516203701</v>
      </c>
      <c r="J9891" s="28" t="s">
        <v>51</v>
      </c>
      <c r="K9891" s="28" t="s">
        <v>51</v>
      </c>
      <c r="L9891" s="28" t="s">
        <v>51</v>
      </c>
      <c r="M9891" s="28" t="s">
        <v>51</v>
      </c>
      <c r="N9891" s="28" t="s">
        <v>51</v>
      </c>
    </row>
    <row r="9892" spans="1:14" hidden="1" outlineLevel="1" x14ac:dyDescent="0.15">
      <c r="A9892" s="23" t="str">
        <f>HYPERLINK("https://www.spark-marketing.ru/Card/Person/257943", "МБДОУ ""Д/С ""РОМАШКА"" П. МОЛОДЕЖНЫЙ""")</f>
        <v>МБДОУ "Д/С "РОМАШКА" П. МОЛОДЕЖНЫЙ"</v>
      </c>
      <c r="B9892" s="24" t="s">
        <v>14112</v>
      </c>
      <c r="C9892" s="25">
        <v>206445.8</v>
      </c>
      <c r="D9892" s="22" t="s">
        <v>14107</v>
      </c>
      <c r="E9892" s="22" t="s">
        <v>48</v>
      </c>
      <c r="F9892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92" s="22" t="s">
        <v>217</v>
      </c>
      <c r="H9892" s="22" t="s">
        <v>9294</v>
      </c>
      <c r="I9892" s="26">
        <v>43676.696516203701</v>
      </c>
      <c r="J9892" s="28" t="s">
        <v>51</v>
      </c>
      <c r="K9892" s="28" t="s">
        <v>51</v>
      </c>
      <c r="L9892" s="28" t="s">
        <v>51</v>
      </c>
      <c r="M9892" s="28" t="s">
        <v>51</v>
      </c>
      <c r="N9892" s="28" t="s">
        <v>51</v>
      </c>
    </row>
    <row r="9893" spans="1:14" hidden="1" outlineLevel="1" x14ac:dyDescent="0.15">
      <c r="A9893" s="23" t="str">
        <f>HYPERLINK("https://www.spark-marketing.ru/Card/Person/257952", "МБДОУ ""Д/С ""КУБЭЛЭК"" С. ЕЛХОВО")</f>
        <v>МБДОУ "Д/С "КУБЭЛЭК" С. ЕЛХОВО</v>
      </c>
      <c r="B9893" s="24" t="s">
        <v>14113</v>
      </c>
      <c r="C9893" s="25">
        <v>343592.4</v>
      </c>
      <c r="D9893" s="22" t="s">
        <v>14107</v>
      </c>
      <c r="E9893" s="22" t="s">
        <v>48</v>
      </c>
      <c r="F9893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93" s="22" t="s">
        <v>217</v>
      </c>
      <c r="H9893" s="22" t="s">
        <v>9294</v>
      </c>
      <c r="I9893" s="26">
        <v>43676.696516203701</v>
      </c>
      <c r="J9893" s="28" t="s">
        <v>51</v>
      </c>
      <c r="K9893" s="28" t="s">
        <v>51</v>
      </c>
      <c r="L9893" s="28" t="s">
        <v>51</v>
      </c>
      <c r="M9893" s="28" t="s">
        <v>51</v>
      </c>
      <c r="N9893" s="28" t="s">
        <v>51</v>
      </c>
    </row>
    <row r="9894" spans="1:14" hidden="1" outlineLevel="1" x14ac:dyDescent="0.15">
      <c r="A9894" s="23" t="str">
        <f>HYPERLINK("https://www.spark-marketing.ru/Card/Person/257960", "МБДОУ ""Д/С ""ЛЭЙСЭН"" С. КИЧУЧАТОВО""")</f>
        <v>МБДОУ "Д/С "ЛЭЙСЭН" С. КИЧУЧАТОВО"</v>
      </c>
      <c r="B9894" s="24" t="s">
        <v>14114</v>
      </c>
      <c r="C9894" s="25">
        <v>228465.55</v>
      </c>
      <c r="D9894" s="22" t="s">
        <v>14107</v>
      </c>
      <c r="E9894" s="22" t="s">
        <v>48</v>
      </c>
      <c r="F9894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94" s="22" t="s">
        <v>217</v>
      </c>
      <c r="H9894" s="22" t="s">
        <v>9294</v>
      </c>
      <c r="I9894" s="26">
        <v>43676.696516203701</v>
      </c>
      <c r="J9894" s="28" t="s">
        <v>51</v>
      </c>
      <c r="K9894" s="28" t="s">
        <v>51</v>
      </c>
      <c r="L9894" s="28" t="s">
        <v>51</v>
      </c>
      <c r="M9894" s="28" t="s">
        <v>51</v>
      </c>
      <c r="N9894" s="28" t="s">
        <v>51</v>
      </c>
    </row>
    <row r="9895" spans="1:14" hidden="1" outlineLevel="1" x14ac:dyDescent="0.15">
      <c r="A9895" s="23" t="str">
        <f>HYPERLINK("https://www.spark-marketing.ru/Card/Person/257965", "МБДОУ ""ЦРР - Д/С № 57 ""СОЛОВУШКА""")</f>
        <v>МБДОУ "ЦРР - Д/С № 57 "СОЛОВУШКА"</v>
      </c>
      <c r="B9895" s="24" t="s">
        <v>14115</v>
      </c>
      <c r="C9895" s="25">
        <v>2254657.6</v>
      </c>
      <c r="D9895" s="22" t="s">
        <v>14107</v>
      </c>
      <c r="E9895" s="22" t="s">
        <v>48</v>
      </c>
      <c r="F9895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95" s="22" t="s">
        <v>217</v>
      </c>
      <c r="H9895" s="22" t="s">
        <v>9289</v>
      </c>
      <c r="I9895" s="26">
        <v>43676.696516203701</v>
      </c>
      <c r="J9895" s="28" t="s">
        <v>51</v>
      </c>
      <c r="K9895" s="28" t="s">
        <v>51</v>
      </c>
      <c r="L9895" s="28" t="s">
        <v>51</v>
      </c>
      <c r="M9895" s="28" t="s">
        <v>51</v>
      </c>
      <c r="N9895" s="28" t="s">
        <v>51</v>
      </c>
    </row>
    <row r="9896" spans="1:14" hidden="1" outlineLevel="1" x14ac:dyDescent="0.15">
      <c r="A9896" s="23" t="str">
        <f>HYPERLINK("https://www.spark-marketing.ru/Card/Person/257970", "МБДОУ ""Д/С ""СКАЗКА"" С. НОВОТРОИЦКОЕ""")</f>
        <v>МБДОУ "Д/С "СКАЗКА" С. НОВОТРОИЦКОЕ"</v>
      </c>
      <c r="B9896" s="24" t="s">
        <v>14116</v>
      </c>
      <c r="C9896" s="25">
        <v>204697.07</v>
      </c>
      <c r="D9896" s="22" t="s">
        <v>14107</v>
      </c>
      <c r="E9896" s="22" t="s">
        <v>48</v>
      </c>
      <c r="F9896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96" s="22" t="s">
        <v>217</v>
      </c>
      <c r="H9896" s="22" t="s">
        <v>9294</v>
      </c>
      <c r="I9896" s="26">
        <v>43676.696516203701</v>
      </c>
      <c r="J9896" s="28" t="s">
        <v>51</v>
      </c>
      <c r="K9896" s="28" t="s">
        <v>51</v>
      </c>
      <c r="L9896" s="28" t="s">
        <v>51</v>
      </c>
      <c r="M9896" s="28" t="s">
        <v>51</v>
      </c>
      <c r="N9896" s="28" t="s">
        <v>51</v>
      </c>
    </row>
    <row r="9897" spans="1:14" hidden="1" outlineLevel="1" x14ac:dyDescent="0.15">
      <c r="A9897" s="23" t="str">
        <f>HYPERLINK("https://www.spark-marketing.ru/Card/Person/257971", "МБДОУ ""Д/С ""ГОЛБАКЧА"" С. КУЛЬШАРИПОВО""")</f>
        <v>МБДОУ "Д/С "ГОЛБАКЧА" С. КУЛЬШАРИПОВО"</v>
      </c>
      <c r="B9897" s="24" t="s">
        <v>14117</v>
      </c>
      <c r="C9897" s="25">
        <v>850268.42</v>
      </c>
      <c r="D9897" s="22" t="s">
        <v>14107</v>
      </c>
      <c r="E9897" s="22" t="s">
        <v>48</v>
      </c>
      <c r="F9897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97" s="22" t="s">
        <v>217</v>
      </c>
      <c r="H9897" s="22" t="s">
        <v>9294</v>
      </c>
      <c r="I9897" s="26">
        <v>43676.696516203701</v>
      </c>
      <c r="J9897" s="28" t="s">
        <v>51</v>
      </c>
      <c r="K9897" s="28" t="s">
        <v>51</v>
      </c>
      <c r="L9897" s="28" t="s">
        <v>51</v>
      </c>
      <c r="M9897" s="28" t="s">
        <v>51</v>
      </c>
      <c r="N9897" s="28" t="s">
        <v>51</v>
      </c>
    </row>
    <row r="9898" spans="1:14" hidden="1" outlineLevel="1" x14ac:dyDescent="0.15">
      <c r="A9898" s="23" t="str">
        <f>HYPERLINK("https://www.spark-marketing.ru/Card/Person/257974", "МБДОУ ""Д/С ""ЛАНДЫШ "" С. МАМЕТЬЕВО""")</f>
        <v>МБДОУ "Д/С "ЛАНДЫШ " С. МАМЕТЬЕВО"</v>
      </c>
      <c r="B9898" s="24" t="s">
        <v>14118</v>
      </c>
      <c r="C9898" s="25">
        <v>182349</v>
      </c>
      <c r="D9898" s="22" t="s">
        <v>14107</v>
      </c>
      <c r="E9898" s="22" t="s">
        <v>48</v>
      </c>
      <c r="F9898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98" s="22" t="s">
        <v>217</v>
      </c>
      <c r="H9898" s="22" t="s">
        <v>9294</v>
      </c>
      <c r="I9898" s="26">
        <v>43676.696516203701</v>
      </c>
      <c r="J9898" s="28" t="s">
        <v>51</v>
      </c>
      <c r="K9898" s="28" t="s">
        <v>51</v>
      </c>
      <c r="L9898" s="28" t="s">
        <v>51</v>
      </c>
      <c r="M9898" s="28" t="s">
        <v>51</v>
      </c>
      <c r="N9898" s="28" t="s">
        <v>51</v>
      </c>
    </row>
    <row r="9899" spans="1:14" hidden="1" outlineLevel="1" x14ac:dyDescent="0.15">
      <c r="A9899" s="23" t="str">
        <f>HYPERLINK("https://www.spark-marketing.ru/Card/Person/257980", "МБДОУ ""Д/С ""СОЛНЫШКО"" С. КУЗАЙКИНО""")</f>
        <v>МБДОУ "Д/С "СОЛНЫШКО" С. КУЗАЙКИНО"</v>
      </c>
      <c r="B9899" s="24" t="s">
        <v>14119</v>
      </c>
      <c r="C9899" s="25">
        <v>228384</v>
      </c>
      <c r="D9899" s="22" t="s">
        <v>14107</v>
      </c>
      <c r="E9899" s="22" t="s">
        <v>48</v>
      </c>
      <c r="F9899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899" s="22" t="s">
        <v>217</v>
      </c>
      <c r="H9899" s="22" t="s">
        <v>9294</v>
      </c>
      <c r="I9899" s="26">
        <v>43676.696516203701</v>
      </c>
      <c r="J9899" s="28" t="s">
        <v>51</v>
      </c>
      <c r="K9899" s="28" t="s">
        <v>51</v>
      </c>
      <c r="L9899" s="28" t="s">
        <v>51</v>
      </c>
      <c r="M9899" s="28" t="s">
        <v>51</v>
      </c>
      <c r="N9899" s="28" t="s">
        <v>51</v>
      </c>
    </row>
    <row r="9900" spans="1:14" hidden="1" outlineLevel="1" x14ac:dyDescent="0.15">
      <c r="A9900" s="23" t="str">
        <f>HYPERLINK("https://www.spark-marketing.ru/Card/Person/259177", "МБОУ ""РУССКО-АКТАШСКАЯ СОШ""")</f>
        <v>МБОУ "РУССКО-АКТАШСКАЯ СОШ"</v>
      </c>
      <c r="B9900" s="24" t="s">
        <v>14120</v>
      </c>
      <c r="C9900" s="25">
        <v>688300</v>
      </c>
      <c r="D9900" s="22" t="s">
        <v>14107</v>
      </c>
      <c r="E9900" s="22" t="s">
        <v>48</v>
      </c>
      <c r="F9900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00" s="22" t="s">
        <v>217</v>
      </c>
      <c r="H9900" s="22" t="s">
        <v>9294</v>
      </c>
      <c r="I9900" s="26">
        <v>43676.696516203701</v>
      </c>
      <c r="J9900" s="28" t="s">
        <v>51</v>
      </c>
      <c r="K9900" s="28" t="s">
        <v>51</v>
      </c>
      <c r="L9900" s="28" t="s">
        <v>51</v>
      </c>
      <c r="M9900" s="28" t="s">
        <v>51</v>
      </c>
      <c r="N9900" s="28" t="s">
        <v>51</v>
      </c>
    </row>
    <row r="9901" spans="1:14" hidden="1" outlineLevel="1" x14ac:dyDescent="0.15">
      <c r="A9901" s="23" t="str">
        <f>HYPERLINK("https://www.spark-marketing.ru/Card/Person/259198", "МБОУ ""КУЗАЙКИНСКАЯ СОШ""")</f>
        <v>МБОУ "КУЗАЙКИНСКАЯ СОШ"</v>
      </c>
      <c r="B9901" s="24" t="s">
        <v>14121</v>
      </c>
      <c r="C9901" s="25">
        <v>86664.4</v>
      </c>
      <c r="D9901" s="22" t="s">
        <v>14107</v>
      </c>
      <c r="E9901" s="22" t="s">
        <v>48</v>
      </c>
      <c r="F9901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01" s="22" t="s">
        <v>217</v>
      </c>
      <c r="H9901" s="22" t="s">
        <v>9294</v>
      </c>
      <c r="I9901" s="26">
        <v>43676.696516203701</v>
      </c>
      <c r="J9901" s="28" t="s">
        <v>51</v>
      </c>
      <c r="K9901" s="28" t="s">
        <v>51</v>
      </c>
      <c r="L9901" s="28" t="s">
        <v>51</v>
      </c>
      <c r="M9901" s="28" t="s">
        <v>51</v>
      </c>
      <c r="N9901" s="28" t="s">
        <v>51</v>
      </c>
    </row>
    <row r="9902" spans="1:14" hidden="1" outlineLevel="1" x14ac:dyDescent="0.15">
      <c r="A9902" s="23" t="str">
        <f>HYPERLINK("https://www.spark-marketing.ru/Card/Person/259200", "МБОУ ""КИЧУЧАТОВСКАЯ СОШ""")</f>
        <v>МБОУ "КИЧУЧАТОВСКАЯ СОШ"</v>
      </c>
      <c r="B9902" s="24" t="s">
        <v>14122</v>
      </c>
      <c r="C9902" s="25">
        <v>202020.6</v>
      </c>
      <c r="D9902" s="22" t="s">
        <v>14107</v>
      </c>
      <c r="E9902" s="22" t="s">
        <v>48</v>
      </c>
      <c r="F9902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02" s="22" t="s">
        <v>217</v>
      </c>
      <c r="H9902" s="22" t="s">
        <v>9294</v>
      </c>
      <c r="I9902" s="26">
        <v>43676.696516203701</v>
      </c>
      <c r="J9902" s="28" t="s">
        <v>51</v>
      </c>
      <c r="K9902" s="28" t="s">
        <v>51</v>
      </c>
      <c r="L9902" s="28" t="s">
        <v>51</v>
      </c>
      <c r="M9902" s="28" t="s">
        <v>51</v>
      </c>
      <c r="N9902" s="28" t="s">
        <v>51</v>
      </c>
    </row>
    <row r="9903" spans="1:14" hidden="1" outlineLevel="1" x14ac:dyDescent="0.15">
      <c r="A9903" s="23" t="str">
        <f>HYPERLINK("https://www.spark-marketing.ru/Card/Person/259210", "МБОУ ""МАМЕТЬЕВСКАЯ ООШ""")</f>
        <v>МБОУ "МАМЕТЬЕВСКАЯ ООШ"</v>
      </c>
      <c r="B9903" s="24" t="s">
        <v>14123</v>
      </c>
      <c r="C9903" s="25">
        <v>50958.400000000001</v>
      </c>
      <c r="D9903" s="22" t="s">
        <v>14107</v>
      </c>
      <c r="E9903" s="22" t="s">
        <v>48</v>
      </c>
      <c r="F9903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03" s="22" t="s">
        <v>217</v>
      </c>
      <c r="H9903" s="22" t="s">
        <v>9294</v>
      </c>
      <c r="I9903" s="26">
        <v>43676.696516203701</v>
      </c>
      <c r="J9903" s="28" t="s">
        <v>51</v>
      </c>
      <c r="K9903" s="28" t="s">
        <v>51</v>
      </c>
      <c r="L9903" s="28" t="s">
        <v>51</v>
      </c>
      <c r="M9903" s="28" t="s">
        <v>51</v>
      </c>
      <c r="N9903" s="28" t="s">
        <v>51</v>
      </c>
    </row>
    <row r="9904" spans="1:14" hidden="1" outlineLevel="1" x14ac:dyDescent="0.15">
      <c r="A9904" s="23" t="str">
        <f>HYPERLINK("https://www.spark-marketing.ru/Card/Person/259283", "МБОУ ""ООШ ПОС. МОЛОДЕЖНЫЙ""")</f>
        <v>МБОУ "ООШ ПОС. МОЛОДЕЖНЫЙ"</v>
      </c>
      <c r="B9904" s="24" t="s">
        <v>14124</v>
      </c>
      <c r="C9904" s="25">
        <v>106221.2</v>
      </c>
      <c r="D9904" s="22" t="s">
        <v>14107</v>
      </c>
      <c r="E9904" s="22" t="s">
        <v>48</v>
      </c>
      <c r="F9904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04" s="22" t="s">
        <v>217</v>
      </c>
      <c r="H9904" s="22" t="s">
        <v>9294</v>
      </c>
      <c r="I9904" s="26">
        <v>43676.696516203701</v>
      </c>
      <c r="J9904" s="28" t="s">
        <v>51</v>
      </c>
      <c r="K9904" s="28" t="s">
        <v>51</v>
      </c>
      <c r="L9904" s="28" t="s">
        <v>51</v>
      </c>
      <c r="M9904" s="28" t="s">
        <v>51</v>
      </c>
      <c r="N9904" s="28" t="s">
        <v>51</v>
      </c>
    </row>
    <row r="9905" spans="1:14" hidden="1" outlineLevel="1" x14ac:dyDescent="0.15">
      <c r="A9905" s="23" t="str">
        <f>HYPERLINK("https://www.spark-marketing.ru/Card/Person/259286", "МБОУ ""ЕЛХОВСКАЯ СОШ""")</f>
        <v>МБОУ "ЕЛХОВСКАЯ СОШ"</v>
      </c>
      <c r="B9905" s="24" t="s">
        <v>14125</v>
      </c>
      <c r="C9905" s="25">
        <v>303159</v>
      </c>
      <c r="D9905" s="22" t="s">
        <v>14107</v>
      </c>
      <c r="E9905" s="22" t="s">
        <v>48</v>
      </c>
      <c r="F9905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05" s="22" t="s">
        <v>217</v>
      </c>
      <c r="H9905" s="22" t="s">
        <v>9294</v>
      </c>
      <c r="I9905" s="26">
        <v>43676.696516203701</v>
      </c>
      <c r="J9905" s="28" t="s">
        <v>51</v>
      </c>
      <c r="K9905" s="28" t="s">
        <v>51</v>
      </c>
      <c r="L9905" s="28" t="s">
        <v>51</v>
      </c>
      <c r="M9905" s="28" t="s">
        <v>51</v>
      </c>
      <c r="N9905" s="28" t="s">
        <v>51</v>
      </c>
    </row>
    <row r="9906" spans="1:14" hidden="1" outlineLevel="1" x14ac:dyDescent="0.15">
      <c r="A9906" s="23" t="str">
        <f>HYPERLINK("https://www.spark-marketing.ru/Card/Person/259291", "МБОУ ""НОВОТРОИЦКАЯ СОШ""")</f>
        <v>МБОУ "НОВОТРОИЦКАЯ СОШ"</v>
      </c>
      <c r="B9906" s="24" t="s">
        <v>14126</v>
      </c>
      <c r="C9906" s="25">
        <v>221127.4</v>
      </c>
      <c r="D9906" s="22" t="s">
        <v>14107</v>
      </c>
      <c r="E9906" s="22" t="s">
        <v>48</v>
      </c>
      <c r="F9906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06" s="22" t="s">
        <v>217</v>
      </c>
      <c r="H9906" s="22" t="s">
        <v>9294</v>
      </c>
      <c r="I9906" s="26">
        <v>43676.696516203701</v>
      </c>
      <c r="J9906" s="28" t="s">
        <v>51</v>
      </c>
      <c r="K9906" s="28" t="s">
        <v>51</v>
      </c>
      <c r="L9906" s="28" t="s">
        <v>51</v>
      </c>
      <c r="M9906" s="28" t="s">
        <v>51</v>
      </c>
      <c r="N9906" s="28" t="s">
        <v>51</v>
      </c>
    </row>
    <row r="9907" spans="1:14" hidden="1" outlineLevel="1" x14ac:dyDescent="0.15">
      <c r="A9907" s="23" t="str">
        <f>HYPERLINK("https://www.spark-marketing.ru/Card/Person/259295", "МБОУ ""СОШ №12"" Г.АЛЬМЕТЬЕВСКА")</f>
        <v>МБОУ "СОШ №12" Г.АЛЬМЕТЬЕВСКА</v>
      </c>
      <c r="B9907" s="24" t="s">
        <v>14127</v>
      </c>
      <c r="C9907" s="25">
        <v>1361945</v>
      </c>
      <c r="D9907" s="22" t="s">
        <v>14107</v>
      </c>
      <c r="E9907" s="22" t="s">
        <v>48</v>
      </c>
      <c r="F9907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07" s="22" t="s">
        <v>217</v>
      </c>
      <c r="H9907" s="22" t="s">
        <v>9289</v>
      </c>
      <c r="I9907" s="26">
        <v>43676.696516203701</v>
      </c>
      <c r="J9907" s="28" t="s">
        <v>51</v>
      </c>
      <c r="K9907" s="28" t="s">
        <v>51</v>
      </c>
      <c r="L9907" s="28" t="s">
        <v>51</v>
      </c>
      <c r="M9907" s="28" t="s">
        <v>51</v>
      </c>
      <c r="N9907" s="28" t="s">
        <v>51</v>
      </c>
    </row>
    <row r="9908" spans="1:14" hidden="1" outlineLevel="1" x14ac:dyDescent="0.15">
      <c r="A9908" s="23" t="str">
        <f>HYPERLINK("https://www.spark-marketing.ru/Card/Person/259298", "МБОУ ""КУЛЬШАРИПОВСКАЯ СОШ""")</f>
        <v>МБОУ "КУЛЬШАРИПОВСКАЯ СОШ"</v>
      </c>
      <c r="B9908" s="24" t="s">
        <v>14128</v>
      </c>
      <c r="C9908" s="25">
        <v>176332.2</v>
      </c>
      <c r="D9908" s="22" t="s">
        <v>14107</v>
      </c>
      <c r="E9908" s="22" t="s">
        <v>48</v>
      </c>
      <c r="F9908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08" s="22" t="s">
        <v>217</v>
      </c>
      <c r="H9908" s="22" t="s">
        <v>9294</v>
      </c>
      <c r="I9908" s="26">
        <v>43676.696516203701</v>
      </c>
      <c r="J9908" s="28" t="s">
        <v>51</v>
      </c>
      <c r="K9908" s="28" t="s">
        <v>51</v>
      </c>
      <c r="L9908" s="28" t="s">
        <v>51</v>
      </c>
      <c r="M9908" s="28" t="s">
        <v>51</v>
      </c>
      <c r="N9908" s="28" t="s">
        <v>51</v>
      </c>
    </row>
    <row r="9909" spans="1:14" hidden="1" outlineLevel="1" x14ac:dyDescent="0.2">
      <c r="A9909" s="28" t="s">
        <v>51</v>
      </c>
      <c r="B9909" s="28" t="s">
        <v>51</v>
      </c>
      <c r="C9909" s="28" t="s">
        <v>51</v>
      </c>
      <c r="D9909" s="22" t="s">
        <v>14107</v>
      </c>
      <c r="E9909" s="22" t="s">
        <v>48</v>
      </c>
      <c r="F9909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09" s="22" t="s">
        <v>51</v>
      </c>
      <c r="H9909" s="22" t="s">
        <v>51</v>
      </c>
      <c r="I9909" s="26">
        <v>43676.696516203701</v>
      </c>
      <c r="J9909" s="23" t="str">
        <f>HYPERLINK("https://www.spark-marketing.ru/Card/Person/4868441", "ООО ""СКОРПИОНС-ГРУПП""")</f>
        <v>ООО "СКОРПИОНС-ГРУПП"</v>
      </c>
      <c r="K9909" s="24" t="s">
        <v>14040</v>
      </c>
      <c r="L9909" s="28" t="s">
        <v>51</v>
      </c>
      <c r="M9909" s="25">
        <v>12577223.73</v>
      </c>
      <c r="N9909" s="27">
        <v>0.24500000014406995</v>
      </c>
    </row>
    <row r="9910" spans="1:14" hidden="1" outlineLevel="1" x14ac:dyDescent="0.2">
      <c r="A9910" s="28" t="s">
        <v>51</v>
      </c>
      <c r="B9910" s="28" t="s">
        <v>51</v>
      </c>
      <c r="C9910" s="28" t="s">
        <v>51</v>
      </c>
      <c r="D9910" s="22" t="s">
        <v>14107</v>
      </c>
      <c r="E9910" s="22" t="s">
        <v>48</v>
      </c>
      <c r="F9910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10" s="22" t="s">
        <v>51</v>
      </c>
      <c r="H9910" s="22" t="s">
        <v>51</v>
      </c>
      <c r="I9910" s="26">
        <v>43676.696516203701</v>
      </c>
      <c r="J9910" s="23" t="str">
        <f>HYPERLINK("https://www.spark-marketing.ru/Card/Person/165573", "ООО ""ЭТАЛОН""")</f>
        <v>ООО "ЭТАЛОН"</v>
      </c>
      <c r="K9910" s="24" t="s">
        <v>14039</v>
      </c>
      <c r="L9910" s="22" t="s">
        <v>10</v>
      </c>
      <c r="M9910" s="25">
        <v>12493930.859999999</v>
      </c>
      <c r="N9910" s="27">
        <v>0.25</v>
      </c>
    </row>
    <row r="9911" spans="1:14" hidden="1" outlineLevel="1" x14ac:dyDescent="0.2">
      <c r="A9911" s="28" t="s">
        <v>51</v>
      </c>
      <c r="B9911" s="28" t="s">
        <v>51</v>
      </c>
      <c r="C9911" s="28" t="s">
        <v>51</v>
      </c>
      <c r="D9911" s="22" t="s">
        <v>14107</v>
      </c>
      <c r="E9911" s="22" t="s">
        <v>48</v>
      </c>
      <c r="F9911" s="23" t="str">
        <f t="shared" si="247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11" s="22" t="s">
        <v>51</v>
      </c>
      <c r="H9911" s="22" t="s">
        <v>51</v>
      </c>
      <c r="I9911" s="26">
        <v>43676.696516203701</v>
      </c>
      <c r="J9911" s="23" t="str">
        <f>HYPERLINK("https://www.spark-marketing.ru/Card/Person/6682098", "ООО ""СТ""")</f>
        <v>ООО "СТ"</v>
      </c>
      <c r="K9911" s="24" t="s">
        <v>14056</v>
      </c>
      <c r="L9911" s="28" t="s">
        <v>51</v>
      </c>
      <c r="M9911" s="25">
        <v>16491988.74</v>
      </c>
      <c r="N9911" s="27">
        <v>9.9999997118600994E-3</v>
      </c>
    </row>
    <row r="9912" spans="1:14" collapsed="1" x14ac:dyDescent="0.15">
      <c r="A9912" s="23" t="s">
        <v>114</v>
      </c>
      <c r="B9912" s="28" t="s">
        <v>51</v>
      </c>
      <c r="C9912" s="25">
        <v>16646758.380000001</v>
      </c>
      <c r="D9912" s="22" t="s">
        <v>14129</v>
      </c>
      <c r="E9912" s="22" t="s">
        <v>48</v>
      </c>
      <c r="F9912" s="23" t="str">
        <f t="shared" ref="F9912:F9928" si="248">HYPERLINK("https://www.spark-marketing.ru/Card/Lot/72488607", "Оказание услуг по организации питания на 2 полугодие 2019 года для образовательных учреждений Альметьевского муниципального района")</f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12" s="22" t="s">
        <v>51</v>
      </c>
      <c r="H9912" s="22" t="s">
        <v>51</v>
      </c>
      <c r="I9912" s="26">
        <v>43676.697673611103</v>
      </c>
      <c r="J9912" s="28" t="s">
        <v>51</v>
      </c>
      <c r="K9912" s="28" t="s">
        <v>51</v>
      </c>
      <c r="L9912" s="28" t="s">
        <v>51</v>
      </c>
      <c r="M9912" s="28" t="s">
        <v>51</v>
      </c>
      <c r="N9912" s="28" t="s">
        <v>51</v>
      </c>
    </row>
    <row r="9913" spans="1:14" hidden="1" outlineLevel="1" x14ac:dyDescent="0.15">
      <c r="A9913" s="23" t="str">
        <f>HYPERLINK("https://www.spark-marketing.ru/Card/Person/255952", "МАОУ ""ГИМНАЗИЯ № 5"" Г. АЛЬМЕТЬЕВСКА")</f>
        <v>МАОУ "ГИМНАЗИЯ № 5" Г. АЛЬМЕТЬЕВСКА</v>
      </c>
      <c r="B9913" s="24" t="s">
        <v>14130</v>
      </c>
      <c r="C9913" s="25">
        <v>1322511</v>
      </c>
      <c r="D9913" s="22" t="s">
        <v>14129</v>
      </c>
      <c r="E9913" s="22" t="s">
        <v>48</v>
      </c>
      <c r="F9913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13" s="22" t="s">
        <v>217</v>
      </c>
      <c r="H9913" s="22" t="s">
        <v>9289</v>
      </c>
      <c r="I9913" s="26">
        <v>43676.697673611103</v>
      </c>
      <c r="J9913" s="28" t="s">
        <v>51</v>
      </c>
      <c r="K9913" s="28" t="s">
        <v>51</v>
      </c>
      <c r="L9913" s="28" t="s">
        <v>51</v>
      </c>
      <c r="M9913" s="28" t="s">
        <v>51</v>
      </c>
      <c r="N9913" s="28" t="s">
        <v>51</v>
      </c>
    </row>
    <row r="9914" spans="1:14" hidden="1" outlineLevel="1" x14ac:dyDescent="0.15">
      <c r="A9914" s="23" t="str">
        <f>HYPERLINK("https://www.spark-marketing.ru/Card/Person/257813", "МБДОУ ""Д/С № 15 ""ТЕРЕМОК""")</f>
        <v>МБДОУ "Д/С № 15 "ТЕРЕМОК"</v>
      </c>
      <c r="B9914" s="24" t="s">
        <v>14131</v>
      </c>
      <c r="C9914" s="25">
        <v>1544039.45</v>
      </c>
      <c r="D9914" s="22" t="s">
        <v>14129</v>
      </c>
      <c r="E9914" s="22" t="s">
        <v>48</v>
      </c>
      <c r="F9914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14" s="22" t="s">
        <v>217</v>
      </c>
      <c r="H9914" s="22" t="s">
        <v>9289</v>
      </c>
      <c r="I9914" s="26">
        <v>43676.697673611103</v>
      </c>
      <c r="J9914" s="28" t="s">
        <v>51</v>
      </c>
      <c r="K9914" s="28" t="s">
        <v>51</v>
      </c>
      <c r="L9914" s="28" t="s">
        <v>51</v>
      </c>
      <c r="M9914" s="28" t="s">
        <v>51</v>
      </c>
      <c r="N9914" s="28" t="s">
        <v>51</v>
      </c>
    </row>
    <row r="9915" spans="1:14" hidden="1" outlineLevel="1" x14ac:dyDescent="0.15">
      <c r="A9915" s="23" t="str">
        <f>HYPERLINK("https://www.spark-marketing.ru/Card/Person/257830", "МБДОУ ""ЦРР - Д/С № 27 ""НЭНИ КУЛЛАР""")</f>
        <v>МБДОУ "ЦРР - Д/С № 27 "НЭНИ КУЛЛАР"</v>
      </c>
      <c r="B9915" s="24" t="s">
        <v>14132</v>
      </c>
      <c r="C9915" s="25">
        <v>3150087.25</v>
      </c>
      <c r="D9915" s="22" t="s">
        <v>14129</v>
      </c>
      <c r="E9915" s="22" t="s">
        <v>48</v>
      </c>
      <c r="F9915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15" s="22" t="s">
        <v>217</v>
      </c>
      <c r="H9915" s="22" t="s">
        <v>9289</v>
      </c>
      <c r="I9915" s="26">
        <v>43676.697673611103</v>
      </c>
      <c r="J9915" s="28" t="s">
        <v>51</v>
      </c>
      <c r="K9915" s="28" t="s">
        <v>51</v>
      </c>
      <c r="L9915" s="28" t="s">
        <v>51</v>
      </c>
      <c r="M9915" s="28" t="s">
        <v>51</v>
      </c>
      <c r="N9915" s="28" t="s">
        <v>51</v>
      </c>
    </row>
    <row r="9916" spans="1:14" hidden="1" outlineLevel="1" x14ac:dyDescent="0.15">
      <c r="A9916" s="23" t="str">
        <f>HYPERLINK("https://www.spark-marketing.ru/Card/Person/257920", "МБДОУ ""Д/С № 5 ""КОЛОКОЛЬЧИК""")</f>
        <v>МБДОУ "Д/С № 5 "КОЛОКОЛЬЧИК"</v>
      </c>
      <c r="B9916" s="24" t="s">
        <v>14133</v>
      </c>
      <c r="C9916" s="25">
        <v>1212365</v>
      </c>
      <c r="D9916" s="22" t="s">
        <v>14129</v>
      </c>
      <c r="E9916" s="22" t="s">
        <v>48</v>
      </c>
      <c r="F9916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16" s="22" t="s">
        <v>217</v>
      </c>
      <c r="H9916" s="22" t="s">
        <v>9289</v>
      </c>
      <c r="I9916" s="26">
        <v>43676.697673611103</v>
      </c>
      <c r="J9916" s="28" t="s">
        <v>51</v>
      </c>
      <c r="K9916" s="28" t="s">
        <v>51</v>
      </c>
      <c r="L9916" s="28" t="s">
        <v>51</v>
      </c>
      <c r="M9916" s="28" t="s">
        <v>51</v>
      </c>
      <c r="N9916" s="28" t="s">
        <v>51</v>
      </c>
    </row>
    <row r="9917" spans="1:14" hidden="1" outlineLevel="1" x14ac:dyDescent="0.15">
      <c r="A9917" s="23" t="str">
        <f>HYPERLINK("https://www.spark-marketing.ru/Card/Person/257945", "МУНИЦИПАЛЬНОЕ БЮДЖЕТНОЕ ДОШКОЛЬНОЕ ОБРАЗОВАТЕЛЬНОЕ УЧРЕЖДЕНИЕ ""ДЕТСКИЙ САД ОБЩЕРАЗВИВАЮЩЕГО ВИДА № 26 ""ЁЛОЧКА"" Г.АЛЬМЕТЬЕВСКА""")</f>
        <v>МУНИЦИПАЛЬНОЕ БЮДЖЕТНОЕ ДОШКОЛЬНОЕ ОБРАЗОВАТЕЛЬНОЕ УЧРЕЖДЕНИЕ "ДЕТСКИЙ САД ОБЩЕРАЗВИВАЮЩЕГО ВИДА № 26 "ЁЛОЧКА" Г.АЛЬМЕТЬЕВСКА"</v>
      </c>
      <c r="B9917" s="24" t="s">
        <v>14134</v>
      </c>
      <c r="C9917" s="25">
        <v>967967.52</v>
      </c>
      <c r="D9917" s="22" t="s">
        <v>14129</v>
      </c>
      <c r="E9917" s="22" t="s">
        <v>48</v>
      </c>
      <c r="F9917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17" s="22" t="s">
        <v>217</v>
      </c>
      <c r="H9917" s="22" t="s">
        <v>9289</v>
      </c>
      <c r="I9917" s="26">
        <v>43676.697673611103</v>
      </c>
      <c r="J9917" s="28" t="s">
        <v>51</v>
      </c>
      <c r="K9917" s="28" t="s">
        <v>51</v>
      </c>
      <c r="L9917" s="28" t="s">
        <v>51</v>
      </c>
      <c r="M9917" s="28" t="s">
        <v>51</v>
      </c>
      <c r="N9917" s="28" t="s">
        <v>51</v>
      </c>
    </row>
    <row r="9918" spans="1:14" hidden="1" outlineLevel="1" x14ac:dyDescent="0.15">
      <c r="A9918" s="23" t="str">
        <f>HYPERLINK("https://www.spark-marketing.ru/Card/Person/257978", "МБДОУ ""Д/С № 14 ""ДЮЙМОВОЧКА""")</f>
        <v>МБДОУ "Д/С № 14 "ДЮЙМОВОЧКА"</v>
      </c>
      <c r="B9918" s="24" t="s">
        <v>14135</v>
      </c>
      <c r="C9918" s="25">
        <v>1149786.56</v>
      </c>
      <c r="D9918" s="22" t="s">
        <v>14129</v>
      </c>
      <c r="E9918" s="22" t="s">
        <v>48</v>
      </c>
      <c r="F9918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18" s="22" t="s">
        <v>217</v>
      </c>
      <c r="H9918" s="22" t="s">
        <v>9289</v>
      </c>
      <c r="I9918" s="26">
        <v>43676.697673611103</v>
      </c>
      <c r="J9918" s="28" t="s">
        <v>51</v>
      </c>
      <c r="K9918" s="28" t="s">
        <v>51</v>
      </c>
      <c r="L9918" s="28" t="s">
        <v>51</v>
      </c>
      <c r="M9918" s="28" t="s">
        <v>51</v>
      </c>
      <c r="N9918" s="28" t="s">
        <v>51</v>
      </c>
    </row>
    <row r="9919" spans="1:14" hidden="1" outlineLevel="1" x14ac:dyDescent="0.15">
      <c r="A9919" s="23" t="str">
        <f>HYPERLINK("https://www.spark-marketing.ru/Card/Person/258787", "МБОУ ""СОШ №4""")</f>
        <v>МБОУ "СОШ №4"</v>
      </c>
      <c r="B9919" s="24" t="s">
        <v>14136</v>
      </c>
      <c r="C9919" s="25">
        <v>1546948.4</v>
      </c>
      <c r="D9919" s="22" t="s">
        <v>14129</v>
      </c>
      <c r="E9919" s="22" t="s">
        <v>48</v>
      </c>
      <c r="F9919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19" s="22" t="s">
        <v>217</v>
      </c>
      <c r="H9919" s="22" t="s">
        <v>9289</v>
      </c>
      <c r="I9919" s="26">
        <v>43676.697673611103</v>
      </c>
      <c r="J9919" s="28" t="s">
        <v>51</v>
      </c>
      <c r="K9919" s="28" t="s">
        <v>51</v>
      </c>
      <c r="L9919" s="28" t="s">
        <v>51</v>
      </c>
      <c r="M9919" s="28" t="s">
        <v>51</v>
      </c>
      <c r="N9919" s="28" t="s">
        <v>51</v>
      </c>
    </row>
    <row r="9920" spans="1:14" hidden="1" outlineLevel="1" x14ac:dyDescent="0.15">
      <c r="A9920" s="23" t="str">
        <f>HYPERLINK("https://www.spark-marketing.ru/Card/Person/259051", "МБОУ ""НИЖНЕМАКТАМИНСКАЯ СОШ №1""")</f>
        <v>МБОУ "НИЖНЕМАКТАМИНСКАЯ СОШ №1"</v>
      </c>
      <c r="B9920" s="24" t="s">
        <v>14137</v>
      </c>
      <c r="C9920" s="25">
        <v>1267762.3999999999</v>
      </c>
      <c r="D9920" s="22" t="s">
        <v>14129</v>
      </c>
      <c r="E9920" s="22" t="s">
        <v>48</v>
      </c>
      <c r="F9920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20" s="22" t="s">
        <v>217</v>
      </c>
      <c r="H9920" s="22" t="s">
        <v>9294</v>
      </c>
      <c r="I9920" s="26">
        <v>43676.697673611103</v>
      </c>
      <c r="J9920" s="28" t="s">
        <v>51</v>
      </c>
      <c r="K9920" s="28" t="s">
        <v>51</v>
      </c>
      <c r="L9920" s="28" t="s">
        <v>51</v>
      </c>
      <c r="M9920" s="28" t="s">
        <v>51</v>
      </c>
      <c r="N9920" s="28" t="s">
        <v>51</v>
      </c>
    </row>
    <row r="9921" spans="1:14" hidden="1" outlineLevel="1" x14ac:dyDescent="0.15">
      <c r="A9921" s="23" t="str">
        <f>HYPERLINK("https://www.spark-marketing.ru/Card/Person/259202", "МБОУ ""СОШ №2"" Г. АЛЬМЕТЬЕВСКА")</f>
        <v>МБОУ "СОШ №2" Г. АЛЬМЕТЬЕВСКА</v>
      </c>
      <c r="B9921" s="24" t="s">
        <v>14138</v>
      </c>
      <c r="C9921" s="25">
        <v>1427449</v>
      </c>
      <c r="D9921" s="22" t="s">
        <v>14129</v>
      </c>
      <c r="E9921" s="22" t="s">
        <v>48</v>
      </c>
      <c r="F9921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21" s="22" t="s">
        <v>217</v>
      </c>
      <c r="H9921" s="22" t="s">
        <v>9289</v>
      </c>
      <c r="I9921" s="26">
        <v>43676.697673611103</v>
      </c>
      <c r="J9921" s="28" t="s">
        <v>51</v>
      </c>
      <c r="K9921" s="28" t="s">
        <v>51</v>
      </c>
      <c r="L9921" s="28" t="s">
        <v>51</v>
      </c>
      <c r="M9921" s="28" t="s">
        <v>51</v>
      </c>
      <c r="N9921" s="28" t="s">
        <v>51</v>
      </c>
    </row>
    <row r="9922" spans="1:14" hidden="1" outlineLevel="1" x14ac:dyDescent="0.15">
      <c r="A9922" s="23" t="str">
        <f>HYPERLINK("https://www.spark-marketing.ru/Card/Person/259287", "МБОУ ""ТИХОНОВСКАЯ ООШ""")</f>
        <v>МБОУ "ТИХОНОВСКАЯ ООШ"</v>
      </c>
      <c r="B9922" s="24" t="s">
        <v>14139</v>
      </c>
      <c r="C9922" s="25">
        <v>194805.2</v>
      </c>
      <c r="D9922" s="22" t="s">
        <v>14129</v>
      </c>
      <c r="E9922" s="22" t="s">
        <v>48</v>
      </c>
      <c r="F9922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22" s="22" t="s">
        <v>217</v>
      </c>
      <c r="H9922" s="22" t="s">
        <v>9294</v>
      </c>
      <c r="I9922" s="26">
        <v>43676.697673611103</v>
      </c>
      <c r="J9922" s="28" t="s">
        <v>51</v>
      </c>
      <c r="K9922" s="28" t="s">
        <v>51</v>
      </c>
      <c r="L9922" s="28" t="s">
        <v>51</v>
      </c>
      <c r="M9922" s="28" t="s">
        <v>51</v>
      </c>
      <c r="N9922" s="28" t="s">
        <v>51</v>
      </c>
    </row>
    <row r="9923" spans="1:14" hidden="1" outlineLevel="1" x14ac:dyDescent="0.15">
      <c r="A9923" s="23" t="str">
        <f>HYPERLINK("https://www.spark-marketing.ru/Card/Person/259288", "МБОУ ""СОШ №3"" Г.АЛЬМЕТЬЕВСКА")</f>
        <v>МБОУ "СОШ №3" Г.АЛЬМЕТЬЕВСКА</v>
      </c>
      <c r="B9923" s="24" t="s">
        <v>14140</v>
      </c>
      <c r="C9923" s="25">
        <v>1308455.2</v>
      </c>
      <c r="D9923" s="22" t="s">
        <v>14129</v>
      </c>
      <c r="E9923" s="22" t="s">
        <v>48</v>
      </c>
      <c r="F9923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23" s="22" t="s">
        <v>217</v>
      </c>
      <c r="H9923" s="22" t="s">
        <v>9289</v>
      </c>
      <c r="I9923" s="26">
        <v>43676.697673611103</v>
      </c>
      <c r="J9923" s="28" t="s">
        <v>51</v>
      </c>
      <c r="K9923" s="28" t="s">
        <v>51</v>
      </c>
      <c r="L9923" s="28" t="s">
        <v>51</v>
      </c>
      <c r="M9923" s="28" t="s">
        <v>51</v>
      </c>
      <c r="N9923" s="28" t="s">
        <v>51</v>
      </c>
    </row>
    <row r="9924" spans="1:14" hidden="1" outlineLevel="1" x14ac:dyDescent="0.15">
      <c r="A9924" s="23" t="str">
        <f>HYPERLINK("https://www.spark-marketing.ru/Card/Person/259289", "МУНИЦИПАЛЬНОЕ БЮДЖЕТНОЕ ОБЩЕОБРАЗОВАТЕЛЬНОЕ УЧРЕЖДЕНИЕ ""СРЕДНЯЯ ОБЩЕОБРАЗОВАТЕЛЬНАЯ ШКОЛА №6"" Г.АЛЬМЕТЬЕВСКА РЕСПУБЛИКИ ТАТАРСТАН")</f>
        <v>МУНИЦИПАЛЬНОЕ БЮДЖЕТНОЕ ОБЩЕОБРАЗОВАТЕЛЬНОЕ УЧРЕЖДЕНИЕ "СРЕДНЯЯ ОБЩЕОБРАЗОВАТЕЛЬНАЯ ШКОЛА №6" Г.АЛЬМЕТЬЕВСКА РЕСПУБЛИКИ ТАТАРСТАН</v>
      </c>
      <c r="B9924" s="24" t="s">
        <v>14141</v>
      </c>
      <c r="C9924" s="25">
        <v>1184692.6000000001</v>
      </c>
      <c r="D9924" s="22" t="s">
        <v>14129</v>
      </c>
      <c r="E9924" s="22" t="s">
        <v>48</v>
      </c>
      <c r="F9924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24" s="22" t="s">
        <v>217</v>
      </c>
      <c r="H9924" s="22" t="s">
        <v>9289</v>
      </c>
      <c r="I9924" s="26">
        <v>43676.697673611103</v>
      </c>
      <c r="J9924" s="28" t="s">
        <v>51</v>
      </c>
      <c r="K9924" s="28" t="s">
        <v>51</v>
      </c>
      <c r="L9924" s="28" t="s">
        <v>51</v>
      </c>
      <c r="M9924" s="28" t="s">
        <v>51</v>
      </c>
      <c r="N9924" s="28" t="s">
        <v>51</v>
      </c>
    </row>
    <row r="9925" spans="1:14" hidden="1" outlineLevel="1" x14ac:dyDescent="0.15">
      <c r="A9925" s="23" t="str">
        <f>HYPERLINK("https://www.spark-marketing.ru/Card/Person/259290", "МБОУ ""УРСАЛИНСКАЯ ООШ"" Г.АЛЬМЕТЬЕВСКА")</f>
        <v>МБОУ "УРСАЛИНСКАЯ ООШ" Г.АЛЬМЕТЬЕВСКА</v>
      </c>
      <c r="B9925" s="24" t="s">
        <v>14142</v>
      </c>
      <c r="C9925" s="25">
        <v>369888.8</v>
      </c>
      <c r="D9925" s="22" t="s">
        <v>14129</v>
      </c>
      <c r="E9925" s="22" t="s">
        <v>48</v>
      </c>
      <c r="F9925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25" s="22" t="s">
        <v>217</v>
      </c>
      <c r="H9925" s="22" t="s">
        <v>9289</v>
      </c>
      <c r="I9925" s="26">
        <v>43676.697673611103</v>
      </c>
      <c r="J9925" s="28" t="s">
        <v>51</v>
      </c>
      <c r="K9925" s="28" t="s">
        <v>51</v>
      </c>
      <c r="L9925" s="28" t="s">
        <v>51</v>
      </c>
      <c r="M9925" s="28" t="s">
        <v>51</v>
      </c>
      <c r="N9925" s="28" t="s">
        <v>51</v>
      </c>
    </row>
    <row r="9926" spans="1:14" hidden="1" outlineLevel="1" x14ac:dyDescent="0.2">
      <c r="A9926" s="28" t="s">
        <v>51</v>
      </c>
      <c r="B9926" s="28" t="s">
        <v>51</v>
      </c>
      <c r="C9926" s="28" t="s">
        <v>51</v>
      </c>
      <c r="D9926" s="22" t="s">
        <v>14129</v>
      </c>
      <c r="E9926" s="22" t="s">
        <v>48</v>
      </c>
      <c r="F9926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26" s="22" t="s">
        <v>51</v>
      </c>
      <c r="H9926" s="22" t="s">
        <v>51</v>
      </c>
      <c r="I9926" s="26">
        <v>43676.697673611103</v>
      </c>
      <c r="J9926" s="23" t="str">
        <f>HYPERLINK("https://www.spark-marketing.ru/Card/Person/165573", "ООО ""ЭТАЛОН""")</f>
        <v>ООО "ЭТАЛОН"</v>
      </c>
      <c r="K9926" s="24" t="s">
        <v>14039</v>
      </c>
      <c r="L9926" s="22" t="s">
        <v>10</v>
      </c>
      <c r="M9926" s="25">
        <v>12485068.779999999</v>
      </c>
      <c r="N9926" s="27">
        <v>0.25000000030035879</v>
      </c>
    </row>
    <row r="9927" spans="1:14" hidden="1" outlineLevel="1" x14ac:dyDescent="0.2">
      <c r="A9927" s="28" t="s">
        <v>51</v>
      </c>
      <c r="B9927" s="28" t="s">
        <v>51</v>
      </c>
      <c r="C9927" s="28" t="s">
        <v>51</v>
      </c>
      <c r="D9927" s="22" t="s">
        <v>14129</v>
      </c>
      <c r="E9927" s="22" t="s">
        <v>48</v>
      </c>
      <c r="F9927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27" s="22" t="s">
        <v>51</v>
      </c>
      <c r="H9927" s="22" t="s">
        <v>51</v>
      </c>
      <c r="I9927" s="26">
        <v>43676.697673611103</v>
      </c>
      <c r="J9927" s="23" t="str">
        <f>HYPERLINK("https://www.spark-marketing.ru/Card/Person/6682098", "ООО ""СТ""")</f>
        <v>ООО "СТ"</v>
      </c>
      <c r="K9927" s="24" t="s">
        <v>14056</v>
      </c>
      <c r="L9927" s="28" t="s">
        <v>51</v>
      </c>
      <c r="M9927" s="25">
        <v>15980888.060000001</v>
      </c>
      <c r="N9927" s="27">
        <v>3.9999999086909314E-2</v>
      </c>
    </row>
    <row r="9928" spans="1:14" hidden="1" outlineLevel="1" x14ac:dyDescent="0.2">
      <c r="A9928" s="28" t="s">
        <v>51</v>
      </c>
      <c r="B9928" s="28" t="s">
        <v>51</v>
      </c>
      <c r="C9928" s="28" t="s">
        <v>51</v>
      </c>
      <c r="D9928" s="22" t="s">
        <v>14129</v>
      </c>
      <c r="E9928" s="22" t="s">
        <v>48</v>
      </c>
      <c r="F9928" s="23" t="str">
        <f t="shared" si="248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28" s="22" t="s">
        <v>51</v>
      </c>
      <c r="H9928" s="22" t="s">
        <v>51</v>
      </c>
      <c r="I9928" s="26">
        <v>43676.697673611103</v>
      </c>
      <c r="J9928" s="23" t="str">
        <f>HYPERLINK("https://www.spark-marketing.ru/Card/Person/4868441", "ООО ""СКОРПИОНС-ГРУПП""")</f>
        <v>ООО "СКОРПИОНС-ГРУПП"</v>
      </c>
      <c r="K9928" s="24" t="s">
        <v>14040</v>
      </c>
      <c r="L9928" s="28" t="s">
        <v>51</v>
      </c>
      <c r="M9928" s="25">
        <v>12568302.57</v>
      </c>
      <c r="N9928" s="27">
        <v>0.2450000004144951</v>
      </c>
    </row>
    <row r="9929" spans="1:14" collapsed="1" x14ac:dyDescent="0.15">
      <c r="A9929" s="23" t="str">
        <f>HYPERLINK("https://www.spark-marketing.ru/Card/Person/4353426", "ГУ ""МЕЖМУНИЦИПАЛЬНЫЙ ОТДЕЛ МВД РОССИИ ""ВОТКИНСКИЙ""")</f>
        <v>ГУ "МЕЖМУНИЦИПАЛЬНЫЙ ОТДЕЛ МВД РОССИИ "ВОТКИНСКИЙ"</v>
      </c>
      <c r="B9929" s="24" t="s">
        <v>4663</v>
      </c>
      <c r="C9929" s="25">
        <v>4803567.88</v>
      </c>
      <c r="D9929" s="22" t="s">
        <v>14143</v>
      </c>
      <c r="E9929" s="22" t="s">
        <v>48</v>
      </c>
      <c r="F9929" s="23" t="str">
        <f>HYPERLINK("https://www.spark-marketing.ru/Card/Lot/72530665", "Организация 3-х разового питаниялиц, подозреваемых и обвиняемых в совершении преступлений, содержащихсяв в ИВС")</f>
        <v>Организация 3-х разового питаниялиц, подозреваемых и обвиняемых в совершении преступлений, содержащихсяв в ИВС</v>
      </c>
      <c r="G9929" s="22" t="s">
        <v>852</v>
      </c>
      <c r="H9929" s="22" t="s">
        <v>4665</v>
      </c>
      <c r="I9929" s="26">
        <v>43676.702951388899</v>
      </c>
      <c r="J9929" s="28" t="s">
        <v>51</v>
      </c>
      <c r="K9929" s="28" t="s">
        <v>51</v>
      </c>
      <c r="L9929" s="28" t="s">
        <v>51</v>
      </c>
      <c r="M9929" s="28" t="s">
        <v>51</v>
      </c>
      <c r="N9929" s="28" t="s">
        <v>51</v>
      </c>
    </row>
    <row r="9930" spans="1:14" ht="12.75" hidden="1" outlineLevel="1" x14ac:dyDescent="0.2">
      <c r="A9930" s="23" t="str">
        <f>HYPERLINK("https://www.spark-marketing.ru/Card/Person/4353426", "ГУ ""МЕЖМУНИЦИПАЛЬНЫЙ ОТДЕЛ МВД РОССИИ ""ВОТКИНСКИЙ""")</f>
        <v>ГУ "МЕЖМУНИЦИПАЛЬНЫЙ ОТДЕЛ МВД РОССИИ "ВОТКИНСКИЙ"</v>
      </c>
      <c r="B9930" s="24" t="s">
        <v>4663</v>
      </c>
      <c r="C9930" s="25">
        <v>4803567.88</v>
      </c>
      <c r="D9930" s="22" t="s">
        <v>14143</v>
      </c>
      <c r="E9930" s="22" t="s">
        <v>48</v>
      </c>
      <c r="F9930" s="23" t="str">
        <f>HYPERLINK("https://www.spark-marketing.ru/Card/Lot/72530665", "Организация 3-х разового питаниялиц, подозреваемых и обвиняемых в совершении преступлений, содержащихсяв в ИВС")</f>
        <v>Организация 3-х разового питаниялиц, подозреваемых и обвиняемых в совершении преступлений, содержащихсяв в ИВС</v>
      </c>
      <c r="G9930" s="22" t="s">
        <v>852</v>
      </c>
      <c r="H9930" s="22" t="s">
        <v>4665</v>
      </c>
      <c r="I9930" s="26">
        <v>43676.702951388899</v>
      </c>
      <c r="J9930" s="23" t="str">
        <f>HYPERLINK("https://www.spark-marketing.ru/Card/Person/6599514", "ООО ""ПРОВАНС""")</f>
        <v>ООО "ПРОВАНС"</v>
      </c>
      <c r="K9930" s="24" t="s">
        <v>10709</v>
      </c>
      <c r="L9930" s="22" t="s">
        <v>10</v>
      </c>
      <c r="M9930" s="25">
        <v>3573854.32</v>
      </c>
      <c r="N9930" s="27">
        <v>0.25600003803839239</v>
      </c>
    </row>
    <row r="9931" spans="1:14" hidden="1" outlineLevel="1" x14ac:dyDescent="0.2">
      <c r="A9931" s="23" t="str">
        <f>HYPERLINK("https://www.spark-marketing.ru/Card/Person/4353426", "ГУ ""МЕЖМУНИЦИПАЛЬНЫЙ ОТДЕЛ МВД РОССИИ ""ВОТКИНСКИЙ""")</f>
        <v>ГУ "МЕЖМУНИЦИПАЛЬНЫЙ ОТДЕЛ МВД РОССИИ "ВОТКИНСКИЙ"</v>
      </c>
      <c r="B9931" s="24" t="s">
        <v>4663</v>
      </c>
      <c r="C9931" s="25">
        <v>4803567.88</v>
      </c>
      <c r="D9931" s="22" t="s">
        <v>14143</v>
      </c>
      <c r="E9931" s="22" t="s">
        <v>48</v>
      </c>
      <c r="F9931" s="23" t="str">
        <f>HYPERLINK("https://www.spark-marketing.ru/Card/Lot/72530665", "Организация 3-х разового питаниялиц, подозреваемых и обвиняемых в совершении преступлений, содержащихсяв в ИВС")</f>
        <v>Организация 3-х разового питаниялиц, подозреваемых и обвиняемых в совершении преступлений, содержащихсяв в ИВС</v>
      </c>
      <c r="G9931" s="22" t="s">
        <v>852</v>
      </c>
      <c r="H9931" s="22" t="s">
        <v>4665</v>
      </c>
      <c r="I9931" s="26">
        <v>43676.702951388899</v>
      </c>
      <c r="J9931" s="23" t="str">
        <f>HYPERLINK("https://www.spark-marketing.ru/Card/Person/6288703", "ООО ""ТРЕНД""")</f>
        <v>ООО "ТРЕНД"</v>
      </c>
      <c r="K9931" s="24" t="s">
        <v>14144</v>
      </c>
      <c r="L9931" s="28" t="s">
        <v>51</v>
      </c>
      <c r="M9931" s="25">
        <v>3597872.16</v>
      </c>
      <c r="N9931" s="27">
        <v>0.25100003791348524</v>
      </c>
    </row>
    <row r="9932" spans="1:14" hidden="1" outlineLevel="1" x14ac:dyDescent="0.2">
      <c r="A9932" s="23" t="str">
        <f>HYPERLINK("https://www.spark-marketing.ru/Card/Person/4353426", "ГУ ""МЕЖМУНИЦИПАЛЬНЫЙ ОТДЕЛ МВД РОССИИ ""ВОТКИНСКИЙ""")</f>
        <v>ГУ "МЕЖМУНИЦИПАЛЬНЫЙ ОТДЕЛ МВД РОССИИ "ВОТКИНСКИЙ"</v>
      </c>
      <c r="B9932" s="24" t="s">
        <v>4663</v>
      </c>
      <c r="C9932" s="25">
        <v>4803567.88</v>
      </c>
      <c r="D9932" s="22" t="s">
        <v>14143</v>
      </c>
      <c r="E9932" s="22" t="s">
        <v>48</v>
      </c>
      <c r="F9932" s="23" t="str">
        <f>HYPERLINK("https://www.spark-marketing.ru/Card/Lot/72530665", "Организация 3-х разового питаниялиц, подозреваемых и обвиняемых в совершении преступлений, содержащихсяв в ИВС")</f>
        <v>Организация 3-х разового питаниялиц, подозреваемых и обвиняемых в совершении преступлений, содержащихсяв в ИВС</v>
      </c>
      <c r="G9932" s="22" t="s">
        <v>852</v>
      </c>
      <c r="H9932" s="22" t="s">
        <v>4665</v>
      </c>
      <c r="I9932" s="26">
        <v>43676.702951388899</v>
      </c>
      <c r="J9932" s="23" t="str">
        <f>HYPERLINK("https://www.spark-marketing.ru/Card/Person/750261", "Филатова Оксана Рафиковна")</f>
        <v>Филатова Оксана Рафиковна</v>
      </c>
      <c r="K9932" s="24" t="s">
        <v>11689</v>
      </c>
      <c r="L9932" s="28" t="s">
        <v>51</v>
      </c>
      <c r="M9932" s="25">
        <v>4000036.13</v>
      </c>
      <c r="N9932" s="27">
        <v>0.1672781087044824</v>
      </c>
    </row>
    <row r="9933" spans="1:14" x14ac:dyDescent="0.15">
      <c r="A9933" s="23" t="str">
        <f>HYPERLINK("https://www.spark-marketing.ru/Card/Person/4345257", "АДМИНИСТРАЦИЯ ГЛАВЫ РЕСПУБЛИКИ БУРЯТИЯ И ПРАВИТЕЛЬСТВА РЕСПУБЛИКИ БУРЯТИЯ")</f>
        <v>АДМИНИСТРАЦИЯ ГЛАВЫ РЕСПУБЛИКИ БУРЯТИЯ И ПРАВИТЕЛЬСТВА РЕСПУБЛИКИ БУРЯТИЯ</v>
      </c>
      <c r="B9933" s="24" t="s">
        <v>14145</v>
      </c>
      <c r="C9933" s="25">
        <v>2500000</v>
      </c>
      <c r="D9933" s="22" t="s">
        <v>14146</v>
      </c>
      <c r="E9933" s="22" t="s">
        <v>14147</v>
      </c>
      <c r="F9933" s="23" t="str">
        <f>HYPERLINK("https://www.spark-marketing.ru/Card/Lot/72484789", "Оказание услуг по доработке системы мониторинга цифровой инфраструктуры, обеспечивающей функционирование информационных систем, предоставляющие государственные и муниципальные услуги")</f>
        <v>Оказание услуг по доработке системы мониторинга цифровой инфраструктуры, обеспечивающей функционирование информационных систем, предоставляющие государственные и муниципальные услуги</v>
      </c>
      <c r="G9933" s="22" t="s">
        <v>433</v>
      </c>
      <c r="H9933" s="22" t="s">
        <v>433</v>
      </c>
      <c r="I9933" s="26">
        <v>43676.690208333297</v>
      </c>
      <c r="J9933" s="23" t="str">
        <f>HYPERLINK("https://www.spark-marketing.ru/Card/Person/79755", "ООО ""ФРИКОМ-СЕТИ""")</f>
        <v>ООО "ФРИКОМ-СЕТИ"</v>
      </c>
      <c r="K9933" s="24" t="s">
        <v>14148</v>
      </c>
      <c r="L9933" s="22" t="s">
        <v>10</v>
      </c>
      <c r="M9933" s="28" t="s">
        <v>51</v>
      </c>
      <c r="N9933" s="28" t="s">
        <v>51</v>
      </c>
    </row>
    <row r="9934" spans="1:14" collapsed="1" x14ac:dyDescent="0.15">
      <c r="A9934" s="23" t="s">
        <v>114</v>
      </c>
      <c r="B9934" s="28" t="s">
        <v>51</v>
      </c>
      <c r="C9934" s="25">
        <v>15505590.439999999</v>
      </c>
      <c r="D9934" s="22" t="s">
        <v>14149</v>
      </c>
      <c r="E9934" s="22" t="s">
        <v>48</v>
      </c>
      <c r="F9934" s="23" t="str">
        <f t="shared" ref="F9934:F9944" si="249">HYPERLINK("https://www.spark-marketing.ru/Card/Lot/72488609", "Оказание услуг по организации питания на 2 полугодие 2019 года для образовательных учреждений Альметьевского муниципального района")</f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34" s="22" t="s">
        <v>51</v>
      </c>
      <c r="H9934" s="22" t="s">
        <v>51</v>
      </c>
      <c r="I9934" s="26">
        <v>43676.697928240697</v>
      </c>
      <c r="J9934" s="28" t="s">
        <v>51</v>
      </c>
      <c r="K9934" s="28" t="s">
        <v>51</v>
      </c>
      <c r="L9934" s="28" t="s">
        <v>51</v>
      </c>
      <c r="M9934" s="28" t="s">
        <v>51</v>
      </c>
      <c r="N9934" s="28" t="s">
        <v>51</v>
      </c>
    </row>
    <row r="9935" spans="1:14" hidden="1" outlineLevel="1" x14ac:dyDescent="0.15">
      <c r="A9935" s="23" t="str">
        <f>HYPERLINK("https://www.spark-marketing.ru/Card/Person/255346", "МБДОУ ""ЦРР - Д/С № 35 ""СКАЗОЧНАЯ СТРАНА""")</f>
        <v>МБДОУ "ЦРР - Д/С № 35 "СКАЗОЧНАЯ СТРАНА"</v>
      </c>
      <c r="B9935" s="24" t="s">
        <v>14150</v>
      </c>
      <c r="C9935" s="25">
        <v>2982060.64</v>
      </c>
      <c r="D9935" s="22" t="s">
        <v>14149</v>
      </c>
      <c r="E9935" s="22" t="s">
        <v>48</v>
      </c>
      <c r="F9935" s="23" t="str">
        <f t="shared" si="249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35" s="22" t="s">
        <v>217</v>
      </c>
      <c r="H9935" s="22" t="s">
        <v>9289</v>
      </c>
      <c r="I9935" s="26">
        <v>43676.697928240697</v>
      </c>
      <c r="J9935" s="28" t="s">
        <v>51</v>
      </c>
      <c r="K9935" s="28" t="s">
        <v>51</v>
      </c>
      <c r="L9935" s="28" t="s">
        <v>51</v>
      </c>
      <c r="M9935" s="28" t="s">
        <v>51</v>
      </c>
      <c r="N9935" s="28" t="s">
        <v>51</v>
      </c>
    </row>
    <row r="9936" spans="1:14" hidden="1" outlineLevel="1" x14ac:dyDescent="0.15">
      <c r="A9936" s="23" t="str">
        <f>HYPERLINK("https://www.spark-marketing.ru/Card/Person/255978", "МАОУ ""СОШ №17"" Г.АЛЬМЕТЬЕВСКА")</f>
        <v>МАОУ "СОШ №17" Г.АЛЬМЕТЬЕВСКА</v>
      </c>
      <c r="B9936" s="24" t="s">
        <v>14151</v>
      </c>
      <c r="C9936" s="25">
        <v>1625498.4</v>
      </c>
      <c r="D9936" s="22" t="s">
        <v>14149</v>
      </c>
      <c r="E9936" s="22" t="s">
        <v>48</v>
      </c>
      <c r="F9936" s="23" t="str">
        <f t="shared" si="249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36" s="22" t="s">
        <v>217</v>
      </c>
      <c r="H9936" s="22" t="s">
        <v>9289</v>
      </c>
      <c r="I9936" s="26">
        <v>43676.697928240697</v>
      </c>
      <c r="J9936" s="28" t="s">
        <v>51</v>
      </c>
      <c r="K9936" s="28" t="s">
        <v>51</v>
      </c>
      <c r="L9936" s="28" t="s">
        <v>51</v>
      </c>
      <c r="M9936" s="28" t="s">
        <v>51</v>
      </c>
      <c r="N9936" s="28" t="s">
        <v>51</v>
      </c>
    </row>
    <row r="9937" spans="1:14" hidden="1" outlineLevel="1" x14ac:dyDescent="0.15">
      <c r="A9937" s="23" t="str">
        <f>HYPERLINK("https://www.spark-marketing.ru/Card/Person/256342", "МБДОУ ""ЦРР-Д/С №36 ""ВОЛШЕБНЫЙ ДВОРЕЦ""")</f>
        <v>МБДОУ "ЦРР-Д/С №36 "ВОЛШЕБНЫЙ ДВОРЕЦ"</v>
      </c>
      <c r="B9937" s="24" t="s">
        <v>14152</v>
      </c>
      <c r="C9937" s="25">
        <v>2899842.4</v>
      </c>
      <c r="D9937" s="22" t="s">
        <v>14149</v>
      </c>
      <c r="E9937" s="22" t="s">
        <v>48</v>
      </c>
      <c r="F9937" s="23" t="str">
        <f t="shared" si="249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37" s="22" t="s">
        <v>217</v>
      </c>
      <c r="H9937" s="22" t="s">
        <v>9289</v>
      </c>
      <c r="I9937" s="26">
        <v>43676.697928240697</v>
      </c>
      <c r="J9937" s="28" t="s">
        <v>51</v>
      </c>
      <c r="K9937" s="28" t="s">
        <v>51</v>
      </c>
      <c r="L9937" s="28" t="s">
        <v>51</v>
      </c>
      <c r="M9937" s="28" t="s">
        <v>51</v>
      </c>
      <c r="N9937" s="28" t="s">
        <v>51</v>
      </c>
    </row>
    <row r="9938" spans="1:14" hidden="1" outlineLevel="1" x14ac:dyDescent="0.15">
      <c r="A9938" s="23" t="str">
        <f>HYPERLINK("https://www.spark-marketing.ru/Card/Person/257822", "МБДОУ ""Д/С № 34 ""ЧЕБУРАШКА""")</f>
        <v>МБДОУ "Д/С № 34 "ЧЕБУРАШКА"</v>
      </c>
      <c r="B9938" s="24" t="s">
        <v>14153</v>
      </c>
      <c r="C9938" s="25">
        <v>2366946.4</v>
      </c>
      <c r="D9938" s="22" t="s">
        <v>14149</v>
      </c>
      <c r="E9938" s="22" t="s">
        <v>48</v>
      </c>
      <c r="F9938" s="23" t="str">
        <f t="shared" si="249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38" s="22" t="s">
        <v>217</v>
      </c>
      <c r="H9938" s="22" t="s">
        <v>9289</v>
      </c>
      <c r="I9938" s="26">
        <v>43676.697928240697</v>
      </c>
      <c r="J9938" s="28" t="s">
        <v>51</v>
      </c>
      <c r="K9938" s="28" t="s">
        <v>51</v>
      </c>
      <c r="L9938" s="28" t="s">
        <v>51</v>
      </c>
      <c r="M9938" s="28" t="s">
        <v>51</v>
      </c>
      <c r="N9938" s="28" t="s">
        <v>51</v>
      </c>
    </row>
    <row r="9939" spans="1:14" hidden="1" outlineLevel="1" x14ac:dyDescent="0.15">
      <c r="A9939" s="23" t="str">
        <f>HYPERLINK("https://www.spark-marketing.ru/Card/Person/257986", "МБДОУ ""Д/С ""ЛЭЙСЭН"" С.ВЕРХНЯЯ МАКТАМА""")</f>
        <v>МБДОУ "Д/С "ЛЭЙСЭН" С.ВЕРХНЯЯ МАКТАМА"</v>
      </c>
      <c r="B9939" s="24" t="s">
        <v>14154</v>
      </c>
      <c r="C9939" s="25">
        <v>439027.6</v>
      </c>
      <c r="D9939" s="22" t="s">
        <v>14149</v>
      </c>
      <c r="E9939" s="22" t="s">
        <v>48</v>
      </c>
      <c r="F9939" s="23" t="str">
        <f t="shared" si="249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39" s="22" t="s">
        <v>217</v>
      </c>
      <c r="H9939" s="22" t="s">
        <v>9294</v>
      </c>
      <c r="I9939" s="26">
        <v>43676.697928240697</v>
      </c>
      <c r="J9939" s="28" t="s">
        <v>51</v>
      </c>
      <c r="K9939" s="28" t="s">
        <v>51</v>
      </c>
      <c r="L9939" s="28" t="s">
        <v>51</v>
      </c>
      <c r="M9939" s="28" t="s">
        <v>51</v>
      </c>
      <c r="N9939" s="28" t="s">
        <v>51</v>
      </c>
    </row>
    <row r="9940" spans="1:14" hidden="1" outlineLevel="1" x14ac:dyDescent="0.15">
      <c r="A9940" s="23" t="str">
        <f>HYPERLINK("https://www.spark-marketing.ru/Card/Person/259305", "МБОУ ""СОШ №21 - ОЦ ""ДАЙ 5""")</f>
        <v>МБОУ "СОШ №21 - ОЦ "ДАЙ 5"</v>
      </c>
      <c r="B9940" s="24" t="s">
        <v>14155</v>
      </c>
      <c r="C9940" s="25">
        <v>5072999.2</v>
      </c>
      <c r="D9940" s="22" t="s">
        <v>14149</v>
      </c>
      <c r="E9940" s="22" t="s">
        <v>48</v>
      </c>
      <c r="F9940" s="23" t="str">
        <f t="shared" si="249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40" s="22" t="s">
        <v>217</v>
      </c>
      <c r="H9940" s="22" t="s">
        <v>9289</v>
      </c>
      <c r="I9940" s="26">
        <v>43676.697928240697</v>
      </c>
      <c r="J9940" s="28" t="s">
        <v>51</v>
      </c>
      <c r="K9940" s="28" t="s">
        <v>51</v>
      </c>
      <c r="L9940" s="28" t="s">
        <v>51</v>
      </c>
      <c r="M9940" s="28" t="s">
        <v>51</v>
      </c>
      <c r="N9940" s="28" t="s">
        <v>51</v>
      </c>
    </row>
    <row r="9941" spans="1:14" hidden="1" outlineLevel="1" x14ac:dyDescent="0.15">
      <c r="A9941" s="23" t="str">
        <f>HYPERLINK("https://www.spark-marketing.ru/Card/Person/259310", "МБОУ ""ВЕРХНЕМАКТАМИНСКАЯ ООШ""")</f>
        <v>МБОУ "ВЕРХНЕМАКТАМИНСКАЯ ООШ"</v>
      </c>
      <c r="B9941" s="24" t="s">
        <v>14156</v>
      </c>
      <c r="C9941" s="25">
        <v>119215.8</v>
      </c>
      <c r="D9941" s="22" t="s">
        <v>14149</v>
      </c>
      <c r="E9941" s="22" t="s">
        <v>48</v>
      </c>
      <c r="F9941" s="23" t="str">
        <f t="shared" si="249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41" s="22" t="s">
        <v>217</v>
      </c>
      <c r="H9941" s="22" t="s">
        <v>9294</v>
      </c>
      <c r="I9941" s="26">
        <v>43676.697928240697</v>
      </c>
      <c r="J9941" s="28" t="s">
        <v>51</v>
      </c>
      <c r="K9941" s="28" t="s">
        <v>51</v>
      </c>
      <c r="L9941" s="28" t="s">
        <v>51</v>
      </c>
      <c r="M9941" s="28" t="s">
        <v>51</v>
      </c>
      <c r="N9941" s="28" t="s">
        <v>51</v>
      </c>
    </row>
    <row r="9942" spans="1:14" hidden="1" outlineLevel="1" x14ac:dyDescent="0.2">
      <c r="A9942" s="28" t="s">
        <v>51</v>
      </c>
      <c r="B9942" s="28" t="s">
        <v>51</v>
      </c>
      <c r="C9942" s="28" t="s">
        <v>51</v>
      </c>
      <c r="D9942" s="22" t="s">
        <v>14149</v>
      </c>
      <c r="E9942" s="22" t="s">
        <v>48</v>
      </c>
      <c r="F9942" s="23" t="str">
        <f t="shared" si="249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42" s="22" t="s">
        <v>51</v>
      </c>
      <c r="H9942" s="22" t="s">
        <v>51</v>
      </c>
      <c r="I9942" s="26">
        <v>43676.697928240697</v>
      </c>
      <c r="J9942" s="23" t="str">
        <f>HYPERLINK("https://www.spark-marketing.ru/Card/Person/165573", "ООО ""ЭТАЛОН""")</f>
        <v>ООО "ЭТАЛОН"</v>
      </c>
      <c r="K9942" s="24" t="s">
        <v>14039</v>
      </c>
      <c r="L9942" s="22" t="s">
        <v>10</v>
      </c>
      <c r="M9942" s="25">
        <v>11629192.939999999</v>
      </c>
      <c r="N9942" s="27">
        <v>0.24999999290578451</v>
      </c>
    </row>
    <row r="9943" spans="1:14" hidden="1" outlineLevel="1" x14ac:dyDescent="0.2">
      <c r="A9943" s="28" t="s">
        <v>51</v>
      </c>
      <c r="B9943" s="28" t="s">
        <v>51</v>
      </c>
      <c r="C9943" s="28" t="s">
        <v>51</v>
      </c>
      <c r="D9943" s="22" t="s">
        <v>14149</v>
      </c>
      <c r="E9943" s="22" t="s">
        <v>48</v>
      </c>
      <c r="F9943" s="23" t="str">
        <f t="shared" si="249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43" s="22" t="s">
        <v>51</v>
      </c>
      <c r="H9943" s="22" t="s">
        <v>51</v>
      </c>
      <c r="I9943" s="26">
        <v>43676.697928240697</v>
      </c>
      <c r="J9943" s="23" t="str">
        <f>HYPERLINK("https://www.spark-marketing.ru/Card/Person/6682098", "ООО ""СТ""")</f>
        <v>ООО "СТ"</v>
      </c>
      <c r="K9943" s="24" t="s">
        <v>14056</v>
      </c>
      <c r="L9943" s="28" t="s">
        <v>51</v>
      </c>
      <c r="M9943" s="25">
        <v>15040422.74</v>
      </c>
      <c r="N9943" s="27">
        <v>2.999999914869414E-2</v>
      </c>
    </row>
    <row r="9944" spans="1:14" hidden="1" outlineLevel="1" x14ac:dyDescent="0.2">
      <c r="A9944" s="28" t="s">
        <v>51</v>
      </c>
      <c r="B9944" s="28" t="s">
        <v>51</v>
      </c>
      <c r="C9944" s="28" t="s">
        <v>51</v>
      </c>
      <c r="D9944" s="22" t="s">
        <v>14149</v>
      </c>
      <c r="E9944" s="22" t="s">
        <v>48</v>
      </c>
      <c r="F9944" s="23" t="str">
        <f t="shared" si="249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9944" s="22" t="s">
        <v>51</v>
      </c>
      <c r="H9944" s="22" t="s">
        <v>51</v>
      </c>
      <c r="I9944" s="26">
        <v>43676.697928240697</v>
      </c>
      <c r="J9944" s="23" t="str">
        <f>HYPERLINK("https://www.spark-marketing.ru/Card/Person/4868441", "ООО ""СКОРПИОНС-ГРУПП""")</f>
        <v>ООО "СКОРПИОНС-ГРУПП"</v>
      </c>
      <c r="K9944" s="24" t="s">
        <v>14040</v>
      </c>
      <c r="L9944" s="28" t="s">
        <v>51</v>
      </c>
      <c r="M9944" s="25">
        <v>11706720.890000001</v>
      </c>
      <c r="N9944" s="27">
        <v>0.24499999304766881</v>
      </c>
    </row>
    <row r="9945" spans="1:14" x14ac:dyDescent="0.15">
      <c r="A9945" s="23" t="str">
        <f>HYPERLINK("https://www.spark-marketing.ru/Card/Person/74446", "ГБУЗ КО ""КО ЦМП""")</f>
        <v>ГБУЗ КО "КО ЦМП"</v>
      </c>
      <c r="B9945" s="24" t="s">
        <v>386</v>
      </c>
      <c r="C9945" s="25">
        <v>799200</v>
      </c>
      <c r="D9945" s="22" t="s">
        <v>14157</v>
      </c>
      <c r="E9945" s="22" t="s">
        <v>388</v>
      </c>
      <c r="F9945" s="23" t="str">
        <f>HYPERLINK("https://www.spark-marketing.ru/Card/Lot/72487776", "Оказание услуг по размещению видео материалов по здоровому образу жизни, включая здоровое питание и отказ от вредных привычек на экранах троллейбусов города Калуги")</f>
        <v>Оказание услуг по размещению видео материалов по здоровому образу жизни, включая здоровое питание и отказ от вредных привычек на экранах троллейбусов города Калуги</v>
      </c>
      <c r="G9945" s="22" t="s">
        <v>112</v>
      </c>
      <c r="H9945" s="22" t="s">
        <v>389</v>
      </c>
      <c r="I9945" s="26">
        <v>43676.701122685197</v>
      </c>
      <c r="J9945" s="23" t="str">
        <f>HYPERLINK("https://www.spark-marketing.ru/Card/Person/6679774", "ООО ""ПЕРВЫЙ РЕКЛАМНЫЙ ДИСКАУНТЕР""")</f>
        <v>ООО "ПЕРВЫЙ РЕКЛАМНЫЙ ДИСКАУНТЕР"</v>
      </c>
      <c r="K9945" s="24" t="s">
        <v>14158</v>
      </c>
      <c r="L9945" s="22" t="s">
        <v>10</v>
      </c>
      <c r="M9945" s="28" t="s">
        <v>51</v>
      </c>
      <c r="N9945" s="28" t="s">
        <v>51</v>
      </c>
    </row>
    <row r="9946" spans="1:14" x14ac:dyDescent="0.2">
      <c r="A9946" s="23" t="str">
        <f>HYPERLINK("https://www.spark-marketing.ru/Card/Person/26784", "БУЗ ВО ""БЕЛОЗЕРСКАЯ ЦРБ""")</f>
        <v>БУЗ ВО "БЕЛОЗЕРСКАЯ ЦРБ"</v>
      </c>
      <c r="B9946" s="24" t="s">
        <v>14159</v>
      </c>
      <c r="C9946" s="25">
        <v>3949686</v>
      </c>
      <c r="D9946" s="22" t="s">
        <v>14160</v>
      </c>
      <c r="E9946" s="22" t="s">
        <v>96</v>
      </c>
      <c r="F9946" s="23" t="str">
        <f>HYPERLINK("https://www.spark-marketing.ru/Card/Lot/72487204", "Оказание услуг по организации лечебного питания для пациентов")</f>
        <v>Оказание услуг по организации лечебного питания для пациентов</v>
      </c>
      <c r="G9946" s="22" t="s">
        <v>503</v>
      </c>
      <c r="H9946" s="22" t="s">
        <v>14161</v>
      </c>
      <c r="I9946" s="26">
        <v>43676.707222222198</v>
      </c>
      <c r="J9946" s="23" t="str">
        <f>HYPERLINK("https://www.spark-marketing.ru/Card/Person/5852111", "ООО ""ФАБРИКА ПИТАНИЯ""")</f>
        <v>ООО "ФАБРИКА ПИТАНИЯ"</v>
      </c>
      <c r="K9946" s="24" t="s">
        <v>6524</v>
      </c>
      <c r="L9946" s="28" t="s">
        <v>51</v>
      </c>
      <c r="M9946" s="25">
        <v>3949686</v>
      </c>
      <c r="N9946" s="27">
        <v>0</v>
      </c>
    </row>
    <row r="9947" spans="1:14" collapsed="1" x14ac:dyDescent="0.15">
      <c r="A9947" s="23" t="str">
        <f>HYPERLINK("https://www.spark-marketing.ru/Card/Person/241020", "О МВД РОССИИ ПО Г.ЖИГУЛЕВСКУ")</f>
        <v>О МВД РОССИИ ПО Г.ЖИГУЛЕВСКУ</v>
      </c>
      <c r="B9947" s="24" t="s">
        <v>14162</v>
      </c>
      <c r="C9947" s="25">
        <v>821000</v>
      </c>
      <c r="D9947" s="22" t="s">
        <v>14163</v>
      </c>
      <c r="E9947" s="22" t="s">
        <v>48</v>
      </c>
      <c r="F9947" s="23" t="str">
        <f>HYPERLINK("https://www.spark-marketing.ru/Card/Lot/72526069", "Услуги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задержанных.")</f>
        <v>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</v>
      </c>
      <c r="G9947" s="22" t="s">
        <v>128</v>
      </c>
      <c r="H9947" s="22" t="s">
        <v>14164</v>
      </c>
      <c r="I9947" s="26">
        <v>43676.669687499998</v>
      </c>
      <c r="J9947" s="28" t="s">
        <v>51</v>
      </c>
      <c r="K9947" s="28" t="s">
        <v>51</v>
      </c>
      <c r="L9947" s="28" t="s">
        <v>51</v>
      </c>
      <c r="M9947" s="28" t="s">
        <v>51</v>
      </c>
      <c r="N9947" s="28" t="s">
        <v>51</v>
      </c>
    </row>
    <row r="9948" spans="1:14" hidden="1" outlineLevel="1" x14ac:dyDescent="0.2">
      <c r="A9948" s="23" t="str">
        <f>HYPERLINK("https://www.spark-marketing.ru/Card/Person/241020", "О МВД РОССИИ ПО Г.ЖИГУЛЕВСКУ")</f>
        <v>О МВД РОССИИ ПО Г.ЖИГУЛЕВСКУ</v>
      </c>
      <c r="B9948" s="24" t="s">
        <v>14162</v>
      </c>
      <c r="C9948" s="25">
        <v>821000</v>
      </c>
      <c r="D9948" s="22" t="s">
        <v>14163</v>
      </c>
      <c r="E9948" s="22" t="s">
        <v>48</v>
      </c>
      <c r="F9948" s="23" t="str">
        <f>HYPERLINK("https://www.spark-marketing.ru/Card/Lot/72526069", "Услуги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задержанных.")</f>
        <v>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</v>
      </c>
      <c r="G9948" s="22" t="s">
        <v>128</v>
      </c>
      <c r="H9948" s="22" t="s">
        <v>14164</v>
      </c>
      <c r="I9948" s="26">
        <v>43676.669687499998</v>
      </c>
      <c r="J9948" s="23" t="str">
        <f>HYPERLINK("https://www.spark-marketing.ru/Card/Person/2395558", "ООО ""РЕСТОРИЯ""")</f>
        <v>ООО "РЕСТОРИЯ"</v>
      </c>
      <c r="K9948" s="24" t="s">
        <v>2093</v>
      </c>
      <c r="L9948" s="28" t="s">
        <v>51</v>
      </c>
      <c r="M9948" s="25">
        <v>751215</v>
      </c>
      <c r="N9948" s="27">
        <v>8.5000000000000006E-2</v>
      </c>
    </row>
    <row r="9949" spans="1:14" ht="12.75" hidden="1" outlineLevel="1" x14ac:dyDescent="0.2">
      <c r="A9949" s="23" t="str">
        <f>HYPERLINK("https://www.spark-marketing.ru/Card/Person/241020", "О МВД РОССИИ ПО Г.ЖИГУЛЕВСКУ")</f>
        <v>О МВД РОССИИ ПО Г.ЖИГУЛЕВСКУ</v>
      </c>
      <c r="B9949" s="24" t="s">
        <v>14162</v>
      </c>
      <c r="C9949" s="25">
        <v>821000</v>
      </c>
      <c r="D9949" s="22" t="s">
        <v>14163</v>
      </c>
      <c r="E9949" s="22" t="s">
        <v>48</v>
      </c>
      <c r="F9949" s="23" t="str">
        <f>HYPERLINK("https://www.spark-marketing.ru/Card/Lot/72526069", "Услуги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задержанных.")</f>
        <v>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</v>
      </c>
      <c r="G9949" s="22" t="s">
        <v>128</v>
      </c>
      <c r="H9949" s="22" t="s">
        <v>14164</v>
      </c>
      <c r="I9949" s="26">
        <v>43676.669687499998</v>
      </c>
      <c r="J9949" s="23" t="str">
        <f>HYPERLINK("https://www.spark-marketing.ru/Card/Person/6437703", "ООО ""ФЛАГМАН""")</f>
        <v>ООО "ФЛАГМАН"</v>
      </c>
      <c r="K9949" s="24" t="s">
        <v>14165</v>
      </c>
      <c r="L9949" s="22" t="s">
        <v>10</v>
      </c>
      <c r="M9949" s="25">
        <v>689640</v>
      </c>
      <c r="N9949" s="27">
        <v>0.16</v>
      </c>
    </row>
    <row r="9950" spans="1:14" hidden="1" outlineLevel="1" x14ac:dyDescent="0.2">
      <c r="A9950" s="23" t="str">
        <f>HYPERLINK("https://www.spark-marketing.ru/Card/Person/241020", "О МВД РОССИИ ПО Г.ЖИГУЛЕВСКУ")</f>
        <v>О МВД РОССИИ ПО Г.ЖИГУЛЕВСКУ</v>
      </c>
      <c r="B9950" s="24" t="s">
        <v>14162</v>
      </c>
      <c r="C9950" s="25">
        <v>821000</v>
      </c>
      <c r="D9950" s="22" t="s">
        <v>14163</v>
      </c>
      <c r="E9950" s="22" t="s">
        <v>48</v>
      </c>
      <c r="F9950" s="23" t="str">
        <f>HYPERLINK("https://www.spark-marketing.ru/Card/Lot/72526069", "Услуги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задержанных.")</f>
        <v>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</v>
      </c>
      <c r="G9950" s="22" t="s">
        <v>128</v>
      </c>
      <c r="H9950" s="22" t="s">
        <v>14164</v>
      </c>
      <c r="I9950" s="26">
        <v>43676.669687499998</v>
      </c>
      <c r="J9950" s="23" t="str">
        <f>HYPERLINK("https://www.spark-marketing.ru/Card/Person/691528", "МУП ""ШКОЛЬНОЕ ПИТАНИЕ""")</f>
        <v>МУП "ШКОЛЬНОЕ ПИТАНИЕ"</v>
      </c>
      <c r="K9950" s="24" t="s">
        <v>14166</v>
      </c>
      <c r="L9950" s="28" t="s">
        <v>51</v>
      </c>
      <c r="M9950" s="25">
        <v>693745</v>
      </c>
      <c r="N9950" s="27">
        <v>0.155</v>
      </c>
    </row>
    <row r="9951" spans="1:14" ht="12.75" x14ac:dyDescent="0.2">
      <c r="A9951" s="23" t="str">
        <f>HYPERLINK("https://www.spark-marketing.ru/Card/Person/344681", "МУ МВД РОССИИ ПО ЗАТО САРОВ")</f>
        <v>МУ МВД РОССИИ ПО ЗАТО САРОВ</v>
      </c>
      <c r="B9951" s="24" t="s">
        <v>10889</v>
      </c>
      <c r="C9951" s="25">
        <v>306170</v>
      </c>
      <c r="D9951" s="22" t="s">
        <v>14167</v>
      </c>
      <c r="E9951" s="22" t="s">
        <v>48</v>
      </c>
      <c r="F9951" s="23" t="str">
        <f>HYPERLINK("https://www.spark-marketing.ru/Card/Lot/72515693", "услуги по обеспечению питанием")</f>
        <v>услуги по обеспечению питанием</v>
      </c>
      <c r="G9951" s="22" t="s">
        <v>76</v>
      </c>
      <c r="H9951" s="22" t="s">
        <v>10891</v>
      </c>
      <c r="I9951" s="26">
        <v>43676.666261574101</v>
      </c>
      <c r="J9951" s="23" t="str">
        <f>HYPERLINK("https://www.spark-marketing.ru/Card/Person/514248", "МУП ""КШП""")</f>
        <v>МУП "КШП"</v>
      </c>
      <c r="K9951" s="24" t="s">
        <v>7464</v>
      </c>
      <c r="L9951" s="22" t="s">
        <v>10</v>
      </c>
      <c r="M9951" s="25">
        <v>306170</v>
      </c>
      <c r="N9951" s="27">
        <v>0</v>
      </c>
    </row>
    <row r="9952" spans="1:14" x14ac:dyDescent="0.15">
      <c r="A9952" s="23" t="str">
        <f>HYPERLINK("https://www.spark-marketing.ru/Card/Person/118752", "МО МВД РОССИИ ""КАРГАТСКИЙ""")</f>
        <v>МО МВД РОССИИ "КАРГАТСКИЙ"</v>
      </c>
      <c r="B9952" s="24" t="s">
        <v>5680</v>
      </c>
      <c r="C9952" s="25">
        <v>66216</v>
      </c>
      <c r="D9952" s="22" t="s">
        <v>14168</v>
      </c>
      <c r="E9952" s="22" t="s">
        <v>48</v>
      </c>
      <c r="F9952" s="23" t="str">
        <f>HYPERLINK("https://www.spark-marketing.ru/Card/Lot/72543537", "услуги по обеспечению горячим питанием")</f>
        <v>услуги по обеспечению горячим питанием</v>
      </c>
      <c r="G9952" s="22" t="s">
        <v>195</v>
      </c>
      <c r="H9952" s="22" t="s">
        <v>2276</v>
      </c>
      <c r="I9952" s="26">
        <v>43676.633009259298</v>
      </c>
      <c r="J9952" s="23" t="str">
        <f>HYPERLINK("https://www.spark-marketing.ru/Card/Person/370255", "ООО ""КОЛОС""")</f>
        <v>ООО "КОЛОС"</v>
      </c>
      <c r="K9952" s="24" t="s">
        <v>14169</v>
      </c>
      <c r="L9952" s="22" t="s">
        <v>10</v>
      </c>
      <c r="M9952" s="28" t="s">
        <v>51</v>
      </c>
      <c r="N9952" s="28" t="s">
        <v>51</v>
      </c>
    </row>
    <row r="9953" spans="1:14" collapsed="1" x14ac:dyDescent="0.15">
      <c r="A9953" s="23" t="s">
        <v>114</v>
      </c>
      <c r="B9953" s="28" t="s">
        <v>51</v>
      </c>
      <c r="C9953" s="25">
        <v>2990211.9</v>
      </c>
      <c r="D9953" s="22" t="s">
        <v>14170</v>
      </c>
      <c r="E9953" s="22" t="s">
        <v>96</v>
      </c>
      <c r="F9953" s="23" t="str">
        <f>HYPERLINK("https://www.spark-marketing.ru/Card/Lot/72497002", "МБОУ ""НОШ № 5"" оказание услуг по организации и обеспечению горячего питания для учащихся из многодетных малоимущих и малоимущих семей, учащихся с ограниченными возможностями здоровья МБОУ ""Лицей № 1"" Оказание услуг по организации и обеспечению го...")</f>
        <v>МБОУ "НОШ № 5" оказание услуг по организации и обеспечению горячего питания для учащихся из многодетных малоимущих и малоимущих семей, учащихся с ограниченными возможностями здоровья МБОУ "Лицей № 1" Оказание услуг по организации и обеспечению го...</v>
      </c>
      <c r="G9953" s="22" t="s">
        <v>51</v>
      </c>
      <c r="H9953" s="22" t="s">
        <v>51</v>
      </c>
      <c r="I9953" s="26">
        <v>43676.646655092598</v>
      </c>
      <c r="J9953" s="23" t="str">
        <f>HYPERLINK("https://www.spark-marketing.ru/Card/Person/1408474", "Манин Сергей Борисович")</f>
        <v>Манин Сергей Борисович</v>
      </c>
      <c r="K9953" s="24" t="s">
        <v>14171</v>
      </c>
      <c r="L9953" s="22" t="s">
        <v>10</v>
      </c>
      <c r="M9953" s="28" t="s">
        <v>51</v>
      </c>
      <c r="N9953" s="28" t="s">
        <v>51</v>
      </c>
    </row>
    <row r="9954" spans="1:14" hidden="1" outlineLevel="1" x14ac:dyDescent="0.15">
      <c r="A9954" s="23" t="str">
        <f>HYPERLINK("https://www.spark-marketing.ru/Card/Person/1024263", "МБОУ ""НОШ № 5""")</f>
        <v>МБОУ "НОШ № 5"</v>
      </c>
      <c r="B9954" s="24" t="s">
        <v>14172</v>
      </c>
      <c r="C9954" s="25">
        <v>1491141.6</v>
      </c>
      <c r="D9954" s="22" t="s">
        <v>14170</v>
      </c>
      <c r="E9954" s="22" t="s">
        <v>96</v>
      </c>
      <c r="F9954" s="23" t="str">
        <f>HYPERLINK("https://www.spark-marketing.ru/Card/Lot/72497002", "МБОУ ""НОШ № 5"" оказание услуг по организации и обеспечению горячего питания для учащихся из многодетных малоимущих и малоимущих семей, учащихся с ограниченными возможностями здоровья МБОУ ""Лицей № 1"" Оказание услуг по организации и обеспечению го...")</f>
        <v>МБОУ "НОШ № 5" оказание услуг по организации и обеспечению горячего питания для учащихся из многодетных малоимущих и малоимущих семей, учащихся с ограниченными возможностями здоровья МБОУ "Лицей № 1" Оказание услуг по организации и обеспечению го...</v>
      </c>
      <c r="G9954" s="22" t="s">
        <v>153</v>
      </c>
      <c r="H9954" s="22" t="s">
        <v>153</v>
      </c>
      <c r="I9954" s="26">
        <v>43676.646655092598</v>
      </c>
      <c r="J9954" s="23" t="str">
        <f>HYPERLINK("https://www.spark-marketing.ru/Card/Person/1408474", "Манин Сергей Борисович")</f>
        <v>Манин Сергей Борисович</v>
      </c>
      <c r="K9954" s="24" t="s">
        <v>14171</v>
      </c>
      <c r="L9954" s="22" t="s">
        <v>10</v>
      </c>
      <c r="M9954" s="28" t="s">
        <v>51</v>
      </c>
      <c r="N9954" s="28" t="s">
        <v>51</v>
      </c>
    </row>
    <row r="9955" spans="1:14" hidden="1" outlineLevel="1" x14ac:dyDescent="0.15">
      <c r="A9955" s="23" t="str">
        <f>HYPERLINK("https://www.spark-marketing.ru/Card/Person/1026078", "МБОУ ""ЛИЦЕЙ № 1""")</f>
        <v>МБОУ "ЛИЦЕЙ № 1"</v>
      </c>
      <c r="B9955" s="24" t="s">
        <v>14173</v>
      </c>
      <c r="C9955" s="25">
        <v>1499070.3</v>
      </c>
      <c r="D9955" s="22" t="s">
        <v>14170</v>
      </c>
      <c r="E9955" s="22" t="s">
        <v>96</v>
      </c>
      <c r="F9955" s="23" t="str">
        <f>HYPERLINK("https://www.spark-marketing.ru/Card/Lot/72497002", "МБОУ ""НОШ № 5"" оказание услуг по организации и обеспечению горячего питания для учащихся из многодетных малоимущих и малоимущих семей, учащихся с ограниченными возможностями здоровья МБОУ ""Лицей № 1"" Оказание услуг по организации и обеспечению го...")</f>
        <v>МБОУ "НОШ № 5" оказание услуг по организации и обеспечению горячего питания для учащихся из многодетных малоимущих и малоимущих семей, учащихся с ограниченными возможностями здоровья МБОУ "Лицей № 1" Оказание услуг по организации и обеспечению го...</v>
      </c>
      <c r="G9955" s="22" t="s">
        <v>153</v>
      </c>
      <c r="H9955" s="22" t="s">
        <v>153</v>
      </c>
      <c r="I9955" s="26">
        <v>43676.646655092598</v>
      </c>
      <c r="J9955" s="23" t="str">
        <f>HYPERLINK("https://www.spark-marketing.ru/Card/Person/1408474", "Манин Сергей Борисович")</f>
        <v>Манин Сергей Борисович</v>
      </c>
      <c r="K9955" s="24" t="s">
        <v>14171</v>
      </c>
      <c r="L9955" s="22" t="s">
        <v>10</v>
      </c>
      <c r="M9955" s="28" t="s">
        <v>51</v>
      </c>
      <c r="N9955" s="28" t="s">
        <v>51</v>
      </c>
    </row>
    <row r="9956" spans="1:14" x14ac:dyDescent="0.15">
      <c r="A9956" s="23" t="str">
        <f>HYPERLINK("https://www.spark-marketing.ru/Card/Person/530717", "ОМВД РОССИИ ПО КОЛПАШЕВСКОМУ РАЙОНУ УМВД РОССИИ ПО ТОМСКОЙ ОБЛАСТИ")</f>
        <v>ОМВД РОССИИ ПО КОЛПАШЕВСКОМУ РАЙОНУ УМВД РОССИИ ПО ТОМСКОЙ ОБЛАСТИ</v>
      </c>
      <c r="B9956" s="24" t="s">
        <v>14174</v>
      </c>
      <c r="C9956" s="25">
        <v>318500</v>
      </c>
      <c r="D9956" s="22" t="s">
        <v>14175</v>
      </c>
      <c r="E9956" s="22" t="s">
        <v>48</v>
      </c>
      <c r="F9956" s="23" t="str">
        <f>HYPERLINK("https://www.spark-marketing.ru/Card/Lot/72536664", "Оказание услуг по приготовлению трёхразового горячего питания, для обеспечения лиц, содержащихся в ИВС.")</f>
        <v>Оказание услуг по приготовлению трёхразового горячего питания, для обеспечения лиц, содержащихся в ИВС.</v>
      </c>
      <c r="G9956" s="22" t="s">
        <v>149</v>
      </c>
      <c r="H9956" s="22" t="s">
        <v>14176</v>
      </c>
      <c r="I9956" s="26">
        <v>43676.640636574099</v>
      </c>
      <c r="J9956" s="28" t="s">
        <v>51</v>
      </c>
      <c r="K9956" s="28" t="s">
        <v>51</v>
      </c>
      <c r="L9956" s="28" t="s">
        <v>51</v>
      </c>
      <c r="M9956" s="28" t="s">
        <v>51</v>
      </c>
      <c r="N9956" s="28" t="s">
        <v>51</v>
      </c>
    </row>
    <row r="9957" spans="1:14" collapsed="1" x14ac:dyDescent="0.15">
      <c r="A9957" s="23" t="str">
        <f>HYPERLINK("https://www.spark-marketing.ru/Card/Person/150161", "ФГБУ ""КОМБИНАТ ПИТАНИЯ ""КРЕМЛЕВСКИЙ""")</f>
        <v>ФГБУ "КОМБИНАТ ПИТАНИЯ "КРЕМЛЕВСКИЙ"</v>
      </c>
      <c r="B9957" s="24" t="s">
        <v>574</v>
      </c>
      <c r="C9957" s="25">
        <v>2800000</v>
      </c>
      <c r="D9957" s="22" t="s">
        <v>14177</v>
      </c>
      <c r="E9957" s="22" t="s">
        <v>14178</v>
      </c>
      <c r="F9957" s="23" t="str">
        <f>HYPERLINK("https://www.spark-marketing.ru/Card/Lot/72530084", "Оказание услуг по уборке помещений, мойке посуды, производственного инвентаря и оборудования для нужд ФГБУ «Комбинат питания «Кремлевский»")</f>
        <v>Оказание услуг по уборке помещений, мойке посуды, производственного инвентаря и оборудования для нужд ФГБУ «Комбинат питания «Кремлевский»</v>
      </c>
      <c r="G9957" s="22" t="s">
        <v>56</v>
      </c>
      <c r="H9957" s="22" t="s">
        <v>56</v>
      </c>
      <c r="I9957" s="26">
        <v>43676.665254629603</v>
      </c>
      <c r="J9957" s="28" t="s">
        <v>51</v>
      </c>
      <c r="K9957" s="28" t="s">
        <v>51</v>
      </c>
      <c r="L9957" s="28" t="s">
        <v>51</v>
      </c>
      <c r="M9957" s="28" t="s">
        <v>51</v>
      </c>
      <c r="N9957" s="28" t="s">
        <v>51</v>
      </c>
    </row>
    <row r="9958" spans="1:14" ht="12.75" hidden="1" outlineLevel="1" x14ac:dyDescent="0.2">
      <c r="A9958" s="23" t="str">
        <f>HYPERLINK("https://www.spark-marketing.ru/Card/Person/150161", "ФГБУ ""КОМБИНАТ ПИТАНИЯ ""КРЕМЛЕВСКИЙ""")</f>
        <v>ФГБУ "КОМБИНАТ ПИТАНИЯ "КРЕМЛЕВСКИЙ"</v>
      </c>
      <c r="B9958" s="24" t="s">
        <v>574</v>
      </c>
      <c r="C9958" s="25">
        <v>2800000</v>
      </c>
      <c r="D9958" s="22" t="s">
        <v>14177</v>
      </c>
      <c r="E9958" s="22" t="s">
        <v>14178</v>
      </c>
      <c r="F9958" s="23" t="str">
        <f>HYPERLINK("https://www.spark-marketing.ru/Card/Lot/72530084", "Оказание услуг по уборке помещений, мойке посуды, производственного инвентаря и оборудования для нужд ФГБУ «Комбинат питания «Кремлевский»")</f>
        <v>Оказание услуг по уборке помещений, мойке посуды, производственного инвентаря и оборудования для нужд ФГБУ «Комбинат питания «Кремлевский»</v>
      </c>
      <c r="G9958" s="22" t="s">
        <v>56</v>
      </c>
      <c r="H9958" s="22" t="s">
        <v>56</v>
      </c>
      <c r="I9958" s="26">
        <v>43676.665254629603</v>
      </c>
      <c r="J9958" s="23" t="str">
        <f>HYPERLINK("https://www.spark-marketing.ru/Card/Person/6524181", "ООО ""БРАЙТ""")</f>
        <v>ООО "БРАЙТ"</v>
      </c>
      <c r="K9958" s="24" t="s">
        <v>14179</v>
      </c>
      <c r="L9958" s="22" t="s">
        <v>10</v>
      </c>
      <c r="M9958" s="25">
        <v>2380000</v>
      </c>
      <c r="N9958" s="27">
        <v>0.15</v>
      </c>
    </row>
    <row r="9959" spans="1:14" hidden="1" outlineLevel="1" x14ac:dyDescent="0.2">
      <c r="A9959" s="23" t="str">
        <f>HYPERLINK("https://www.spark-marketing.ru/Card/Person/150161", "ФГБУ ""КОМБИНАТ ПИТАНИЯ ""КРЕМЛЕВСКИЙ""")</f>
        <v>ФГБУ "КОМБИНАТ ПИТАНИЯ "КРЕМЛЕВСКИЙ"</v>
      </c>
      <c r="B9959" s="24" t="s">
        <v>574</v>
      </c>
      <c r="C9959" s="25">
        <v>2800000</v>
      </c>
      <c r="D9959" s="22" t="s">
        <v>14177</v>
      </c>
      <c r="E9959" s="22" t="s">
        <v>14178</v>
      </c>
      <c r="F9959" s="23" t="str">
        <f>HYPERLINK("https://www.spark-marketing.ru/Card/Lot/72530084", "Оказание услуг по уборке помещений, мойке посуды, производственного инвентаря и оборудования для нужд ФГБУ «Комбинат питания «Кремлевский»")</f>
        <v>Оказание услуг по уборке помещений, мойке посуды, производственного инвентаря и оборудования для нужд ФГБУ «Комбинат питания «Кремлевский»</v>
      </c>
      <c r="G9959" s="22" t="s">
        <v>56</v>
      </c>
      <c r="H9959" s="22" t="s">
        <v>56</v>
      </c>
      <c r="I9959" s="26">
        <v>43676.665254629603</v>
      </c>
      <c r="J9959" s="23" t="str">
        <f>HYPERLINK("https://www.spark-marketing.ru/Card/Person/5963652", "ООО ""ВАШ ДОМ""")</f>
        <v>ООО "ВАШ ДОМ"</v>
      </c>
      <c r="K9959" s="24" t="s">
        <v>14180</v>
      </c>
      <c r="L9959" s="28" t="s">
        <v>51</v>
      </c>
      <c r="M9959" s="25">
        <v>2394000</v>
      </c>
      <c r="N9959" s="27">
        <v>0.14499999999999999</v>
      </c>
    </row>
    <row r="9960" spans="1:14" collapsed="1" x14ac:dyDescent="0.15">
      <c r="A9960" s="23" t="s">
        <v>114</v>
      </c>
      <c r="B9960" s="28" t="s">
        <v>51</v>
      </c>
      <c r="C9960" s="25">
        <v>13617686.039999999</v>
      </c>
      <c r="D9960" s="22" t="s">
        <v>14181</v>
      </c>
      <c r="E9960" s="22" t="s">
        <v>48</v>
      </c>
      <c r="F9960" s="23" t="str">
        <f t="shared" ref="F9960:F9975" si="250">HYPERLINK("https://www.spark-marketing.ru/Card/Lot/72531529", "оказание услуги по организации горячего питания детей, обучающихся в  муниципальных общеобразовательных учреждениях г. Канска, работающих на сырье")</f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60" s="22" t="s">
        <v>51</v>
      </c>
      <c r="H9960" s="22" t="s">
        <v>51</v>
      </c>
      <c r="I9960" s="26">
        <v>43676.659317129597</v>
      </c>
      <c r="J9960" s="23" t="str">
        <f t="shared" ref="J9960:J9975" si="251">HYPERLINK("https://www.spark-marketing.ru/Card/Person/138909", "Печёрский Юрий Андреевич")</f>
        <v>Печёрский Юрий Андреевич</v>
      </c>
      <c r="K9960" s="24" t="s">
        <v>14182</v>
      </c>
      <c r="L9960" s="22" t="s">
        <v>10</v>
      </c>
      <c r="M9960" s="28" t="s">
        <v>51</v>
      </c>
      <c r="N9960" s="28" t="s">
        <v>51</v>
      </c>
    </row>
    <row r="9961" spans="1:14" hidden="1" outlineLevel="1" x14ac:dyDescent="0.15">
      <c r="A9961" s="23" t="str">
        <f>HYPERLINK("https://www.spark-marketing.ru/Card/Person/107440", "МБОУ ООШ № 9 Г. КАНСКА")</f>
        <v>МБОУ ООШ № 9 Г. КАНСКА</v>
      </c>
      <c r="B9961" s="24" t="s">
        <v>14183</v>
      </c>
      <c r="C9961" s="25">
        <v>1598368.44</v>
      </c>
      <c r="D9961" s="22" t="s">
        <v>14181</v>
      </c>
      <c r="E9961" s="22" t="s">
        <v>48</v>
      </c>
      <c r="F9961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61" s="22" t="s">
        <v>281</v>
      </c>
      <c r="H9961" s="22" t="s">
        <v>14184</v>
      </c>
      <c r="I9961" s="26">
        <v>43676.659317129597</v>
      </c>
      <c r="J9961" s="23" t="str">
        <f t="shared" si="251"/>
        <v>Печёрский Юрий Андреевич</v>
      </c>
      <c r="K9961" s="24" t="s">
        <v>14182</v>
      </c>
      <c r="L9961" s="22" t="s">
        <v>10</v>
      </c>
      <c r="M9961" s="28" t="s">
        <v>51</v>
      </c>
      <c r="N9961" s="28" t="s">
        <v>51</v>
      </c>
    </row>
    <row r="9962" spans="1:14" hidden="1" outlineLevel="1" x14ac:dyDescent="0.15">
      <c r="A9962" s="23" t="str">
        <f>HYPERLINK("https://www.spark-marketing.ru/Card/Person/113250", "МБОУ СОШ № 19 Г.КАНСКА")</f>
        <v>МБОУ СОШ № 19 Г.КАНСКА</v>
      </c>
      <c r="B9962" s="24" t="s">
        <v>14185</v>
      </c>
      <c r="C9962" s="25">
        <v>762616.2</v>
      </c>
      <c r="D9962" s="22" t="s">
        <v>14181</v>
      </c>
      <c r="E9962" s="22" t="s">
        <v>48</v>
      </c>
      <c r="F9962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62" s="22" t="s">
        <v>281</v>
      </c>
      <c r="H9962" s="22" t="s">
        <v>14184</v>
      </c>
      <c r="I9962" s="26">
        <v>43676.659317129597</v>
      </c>
      <c r="J9962" s="23" t="str">
        <f t="shared" si="251"/>
        <v>Печёрский Юрий Андреевич</v>
      </c>
      <c r="K9962" s="24" t="s">
        <v>14182</v>
      </c>
      <c r="L9962" s="22" t="s">
        <v>10</v>
      </c>
      <c r="M9962" s="28" t="s">
        <v>51</v>
      </c>
      <c r="N9962" s="28" t="s">
        <v>51</v>
      </c>
    </row>
    <row r="9963" spans="1:14" hidden="1" outlineLevel="1" x14ac:dyDescent="0.15">
      <c r="A9963" s="23" t="str">
        <f>HYPERLINK("https://www.spark-marketing.ru/Card/Person/118433", "МБОУ СОШ № 2 Г. КАНСКА")</f>
        <v>МБОУ СОШ № 2 Г. КАНСКА</v>
      </c>
      <c r="B9963" s="24" t="s">
        <v>14186</v>
      </c>
      <c r="C9963" s="25">
        <v>1462769.52</v>
      </c>
      <c r="D9963" s="22" t="s">
        <v>14181</v>
      </c>
      <c r="E9963" s="22" t="s">
        <v>48</v>
      </c>
      <c r="F9963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63" s="22" t="s">
        <v>281</v>
      </c>
      <c r="H9963" s="22" t="s">
        <v>14184</v>
      </c>
      <c r="I9963" s="26">
        <v>43676.659317129597</v>
      </c>
      <c r="J9963" s="23" t="str">
        <f t="shared" si="251"/>
        <v>Печёрский Юрий Андреевич</v>
      </c>
      <c r="K9963" s="24" t="s">
        <v>14182</v>
      </c>
      <c r="L9963" s="22" t="s">
        <v>10</v>
      </c>
      <c r="M9963" s="28" t="s">
        <v>51</v>
      </c>
      <c r="N9963" s="28" t="s">
        <v>51</v>
      </c>
    </row>
    <row r="9964" spans="1:14" hidden="1" outlineLevel="1" x14ac:dyDescent="0.15">
      <c r="A9964" s="23" t="str">
        <f>HYPERLINK("https://www.spark-marketing.ru/Card/Person/138810", "МБОУ СОШ № 11")</f>
        <v>МБОУ СОШ № 11</v>
      </c>
      <c r="B9964" s="24" t="s">
        <v>14187</v>
      </c>
      <c r="C9964" s="25">
        <v>836541.12</v>
      </c>
      <c r="D9964" s="22" t="s">
        <v>14181</v>
      </c>
      <c r="E9964" s="22" t="s">
        <v>48</v>
      </c>
      <c r="F9964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64" s="22" t="s">
        <v>281</v>
      </c>
      <c r="H9964" s="22" t="s">
        <v>14184</v>
      </c>
      <c r="I9964" s="26">
        <v>43676.659317129597</v>
      </c>
      <c r="J9964" s="23" t="str">
        <f t="shared" si="251"/>
        <v>Печёрский Юрий Андреевич</v>
      </c>
      <c r="K9964" s="24" t="s">
        <v>14182</v>
      </c>
      <c r="L9964" s="22" t="s">
        <v>10</v>
      </c>
      <c r="M9964" s="28" t="s">
        <v>51</v>
      </c>
      <c r="N9964" s="28" t="s">
        <v>51</v>
      </c>
    </row>
    <row r="9965" spans="1:14" hidden="1" outlineLevel="1" x14ac:dyDescent="0.15">
      <c r="A9965" s="23" t="str">
        <f>HYPERLINK("https://www.spark-marketing.ru/Card/Person/138943", "МБОУ ООШ № 17 Г. КАНСКА")</f>
        <v>МБОУ ООШ № 17 Г. КАНСКА</v>
      </c>
      <c r="B9965" s="24" t="s">
        <v>14188</v>
      </c>
      <c r="C9965" s="25">
        <v>296976.40000000002</v>
      </c>
      <c r="D9965" s="22" t="s">
        <v>14181</v>
      </c>
      <c r="E9965" s="22" t="s">
        <v>48</v>
      </c>
      <c r="F9965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65" s="22" t="s">
        <v>281</v>
      </c>
      <c r="H9965" s="22" t="s">
        <v>14184</v>
      </c>
      <c r="I9965" s="26">
        <v>43676.659317129597</v>
      </c>
      <c r="J9965" s="23" t="str">
        <f t="shared" si="251"/>
        <v>Печёрский Юрий Андреевич</v>
      </c>
      <c r="K9965" s="24" t="s">
        <v>14182</v>
      </c>
      <c r="L9965" s="22" t="s">
        <v>10</v>
      </c>
      <c r="M9965" s="28" t="s">
        <v>51</v>
      </c>
      <c r="N9965" s="28" t="s">
        <v>51</v>
      </c>
    </row>
    <row r="9966" spans="1:14" hidden="1" outlineLevel="1" x14ac:dyDescent="0.15">
      <c r="A9966" s="23" t="str">
        <f>HYPERLINK("https://www.spark-marketing.ru/Card/Person/138998", "МБОУ СОШ № 5 Г. КАНСКА")</f>
        <v>МБОУ СОШ № 5 Г. КАНСКА</v>
      </c>
      <c r="B9966" s="24" t="s">
        <v>14189</v>
      </c>
      <c r="C9966" s="25">
        <v>578411.80000000005</v>
      </c>
      <c r="D9966" s="22" t="s">
        <v>14181</v>
      </c>
      <c r="E9966" s="22" t="s">
        <v>48</v>
      </c>
      <c r="F9966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66" s="22" t="s">
        <v>281</v>
      </c>
      <c r="H9966" s="22" t="s">
        <v>14184</v>
      </c>
      <c r="I9966" s="26">
        <v>43676.659317129597</v>
      </c>
      <c r="J9966" s="23" t="str">
        <f t="shared" si="251"/>
        <v>Печёрский Юрий Андреевич</v>
      </c>
      <c r="K9966" s="24" t="s">
        <v>14182</v>
      </c>
      <c r="L9966" s="22" t="s">
        <v>10</v>
      </c>
      <c r="M9966" s="28" t="s">
        <v>51</v>
      </c>
      <c r="N9966" s="28" t="s">
        <v>51</v>
      </c>
    </row>
    <row r="9967" spans="1:14" hidden="1" outlineLevel="1" x14ac:dyDescent="0.15">
      <c r="A9967" s="23" t="str">
        <f>HYPERLINK("https://www.spark-marketing.ru/Card/Person/150902", "МБОУ СОШ № 3 Г. КАНСКА")</f>
        <v>МБОУ СОШ № 3 Г. КАНСКА</v>
      </c>
      <c r="B9967" s="24" t="s">
        <v>14190</v>
      </c>
      <c r="C9967" s="25">
        <v>421400.6</v>
      </c>
      <c r="D9967" s="22" t="s">
        <v>14181</v>
      </c>
      <c r="E9967" s="22" t="s">
        <v>48</v>
      </c>
      <c r="F9967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67" s="22" t="s">
        <v>281</v>
      </c>
      <c r="H9967" s="22" t="s">
        <v>14184</v>
      </c>
      <c r="I9967" s="26">
        <v>43676.659317129597</v>
      </c>
      <c r="J9967" s="23" t="str">
        <f t="shared" si="251"/>
        <v>Печёрский Юрий Андреевич</v>
      </c>
      <c r="K9967" s="24" t="s">
        <v>14182</v>
      </c>
      <c r="L9967" s="22" t="s">
        <v>10</v>
      </c>
      <c r="M9967" s="28" t="s">
        <v>51</v>
      </c>
      <c r="N9967" s="28" t="s">
        <v>51</v>
      </c>
    </row>
    <row r="9968" spans="1:14" hidden="1" outlineLevel="1" x14ac:dyDescent="0.15">
      <c r="A9968" s="23" t="str">
        <f>HYPERLINK("https://www.spark-marketing.ru/Card/Person/947989", "МБОУ СОШ № 18 Г.КАНСКА")</f>
        <v>МБОУ СОШ № 18 Г.КАНСКА</v>
      </c>
      <c r="B9968" s="24" t="s">
        <v>14191</v>
      </c>
      <c r="C9968" s="25">
        <v>1431772.92</v>
      </c>
      <c r="D9968" s="22" t="s">
        <v>14181</v>
      </c>
      <c r="E9968" s="22" t="s">
        <v>48</v>
      </c>
      <c r="F9968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68" s="22" t="s">
        <v>281</v>
      </c>
      <c r="H9968" s="22" t="s">
        <v>14184</v>
      </c>
      <c r="I9968" s="26">
        <v>43676.659317129597</v>
      </c>
      <c r="J9968" s="23" t="str">
        <f t="shared" si="251"/>
        <v>Печёрский Юрий Андреевич</v>
      </c>
      <c r="K9968" s="24" t="s">
        <v>14182</v>
      </c>
      <c r="L9968" s="22" t="s">
        <v>10</v>
      </c>
      <c r="M9968" s="28" t="s">
        <v>51</v>
      </c>
      <c r="N9968" s="28" t="s">
        <v>51</v>
      </c>
    </row>
    <row r="9969" spans="1:14" hidden="1" outlineLevel="1" x14ac:dyDescent="0.15">
      <c r="A9969" s="23" t="str">
        <f>HYPERLINK("https://www.spark-marketing.ru/Card/Person/948033", "МБОУ СОШ №15 Г. КАНСКА")</f>
        <v>МБОУ СОШ №15 Г. КАНСКА</v>
      </c>
      <c r="B9969" s="24" t="s">
        <v>14192</v>
      </c>
      <c r="C9969" s="25">
        <v>1062341.24</v>
      </c>
      <c r="D9969" s="22" t="s">
        <v>14181</v>
      </c>
      <c r="E9969" s="22" t="s">
        <v>48</v>
      </c>
      <c r="F9969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69" s="22" t="s">
        <v>281</v>
      </c>
      <c r="H9969" s="22" t="s">
        <v>14184</v>
      </c>
      <c r="I9969" s="26">
        <v>43676.659317129597</v>
      </c>
      <c r="J9969" s="23" t="str">
        <f t="shared" si="251"/>
        <v>Печёрский Юрий Андреевич</v>
      </c>
      <c r="K9969" s="24" t="s">
        <v>14182</v>
      </c>
      <c r="L9969" s="22" t="s">
        <v>10</v>
      </c>
      <c r="M9969" s="28" t="s">
        <v>51</v>
      </c>
      <c r="N9969" s="28" t="s">
        <v>51</v>
      </c>
    </row>
    <row r="9970" spans="1:14" hidden="1" outlineLevel="1" x14ac:dyDescent="0.15">
      <c r="A9970" s="23" t="str">
        <f>HYPERLINK("https://www.spark-marketing.ru/Card/Person/948082", "МБОУ СОШ № 6 Г. КАНСКА")</f>
        <v>МБОУ СОШ № 6 Г. КАНСКА</v>
      </c>
      <c r="B9970" s="24" t="s">
        <v>14193</v>
      </c>
      <c r="C9970" s="25">
        <v>1647743.28</v>
      </c>
      <c r="D9970" s="22" t="s">
        <v>14181</v>
      </c>
      <c r="E9970" s="22" t="s">
        <v>48</v>
      </c>
      <c r="F9970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70" s="22" t="s">
        <v>281</v>
      </c>
      <c r="H9970" s="22" t="s">
        <v>14184</v>
      </c>
      <c r="I9970" s="26">
        <v>43676.659317129597</v>
      </c>
      <c r="J9970" s="23" t="str">
        <f t="shared" si="251"/>
        <v>Печёрский Юрий Андреевич</v>
      </c>
      <c r="K9970" s="24" t="s">
        <v>14182</v>
      </c>
      <c r="L9970" s="22" t="s">
        <v>10</v>
      </c>
      <c r="M9970" s="28" t="s">
        <v>51</v>
      </c>
      <c r="N9970" s="28" t="s">
        <v>51</v>
      </c>
    </row>
    <row r="9971" spans="1:14" hidden="1" outlineLevel="1" x14ac:dyDescent="0.15">
      <c r="A9971" s="23" t="str">
        <f>HYPERLINK("https://www.spark-marketing.ru/Card/Person/948090", "МБОУ СОШ №21 Г. КАНСКА")</f>
        <v>МБОУ СОШ №21 Г. КАНСКА</v>
      </c>
      <c r="B9971" s="24" t="s">
        <v>14194</v>
      </c>
      <c r="C9971" s="25">
        <v>604578.36</v>
      </c>
      <c r="D9971" s="22" t="s">
        <v>14181</v>
      </c>
      <c r="E9971" s="22" t="s">
        <v>48</v>
      </c>
      <c r="F9971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71" s="22" t="s">
        <v>281</v>
      </c>
      <c r="H9971" s="22" t="s">
        <v>14184</v>
      </c>
      <c r="I9971" s="26">
        <v>43676.659317129597</v>
      </c>
      <c r="J9971" s="23" t="str">
        <f t="shared" si="251"/>
        <v>Печёрский Юрий Андреевич</v>
      </c>
      <c r="K9971" s="24" t="s">
        <v>14182</v>
      </c>
      <c r="L9971" s="22" t="s">
        <v>10</v>
      </c>
      <c r="M9971" s="28" t="s">
        <v>51</v>
      </c>
      <c r="N9971" s="28" t="s">
        <v>51</v>
      </c>
    </row>
    <row r="9972" spans="1:14" hidden="1" outlineLevel="1" x14ac:dyDescent="0.15">
      <c r="A9972" s="23" t="str">
        <f>HYPERLINK("https://www.spark-marketing.ru/Card/Person/949758", "МБОУ ООШ № 8 Г. КАНСКА")</f>
        <v>МБОУ ООШ № 8 Г. КАНСКА</v>
      </c>
      <c r="B9972" s="24" t="s">
        <v>14195</v>
      </c>
      <c r="C9972" s="25">
        <v>535136.19999999995</v>
      </c>
      <c r="D9972" s="22" t="s">
        <v>14181</v>
      </c>
      <c r="E9972" s="22" t="s">
        <v>48</v>
      </c>
      <c r="F9972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72" s="22" t="s">
        <v>281</v>
      </c>
      <c r="H9972" s="22" t="s">
        <v>14184</v>
      </c>
      <c r="I9972" s="26">
        <v>43676.659317129597</v>
      </c>
      <c r="J9972" s="23" t="str">
        <f t="shared" si="251"/>
        <v>Печёрский Юрий Андреевич</v>
      </c>
      <c r="K9972" s="24" t="s">
        <v>14182</v>
      </c>
      <c r="L9972" s="22" t="s">
        <v>10</v>
      </c>
      <c r="M9972" s="28" t="s">
        <v>51</v>
      </c>
      <c r="N9972" s="28" t="s">
        <v>51</v>
      </c>
    </row>
    <row r="9973" spans="1:14" hidden="1" outlineLevel="1" x14ac:dyDescent="0.15">
      <c r="A9973" s="23" t="str">
        <f>HYPERLINK("https://www.spark-marketing.ru/Card/Person/954946", "МБОУ ООШ № 22")</f>
        <v>МБОУ ООШ № 22</v>
      </c>
      <c r="B9973" s="24" t="s">
        <v>14196</v>
      </c>
      <c r="C9973" s="25">
        <v>825108.96</v>
      </c>
      <c r="D9973" s="22" t="s">
        <v>14181</v>
      </c>
      <c r="E9973" s="22" t="s">
        <v>48</v>
      </c>
      <c r="F9973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73" s="22" t="s">
        <v>281</v>
      </c>
      <c r="H9973" s="22" t="s">
        <v>14184</v>
      </c>
      <c r="I9973" s="26">
        <v>43676.659317129597</v>
      </c>
      <c r="J9973" s="23" t="str">
        <f t="shared" si="251"/>
        <v>Печёрский Юрий Андреевич</v>
      </c>
      <c r="K9973" s="24" t="s">
        <v>14182</v>
      </c>
      <c r="L9973" s="22" t="s">
        <v>10</v>
      </c>
      <c r="M9973" s="28" t="s">
        <v>51</v>
      </c>
      <c r="N9973" s="28" t="s">
        <v>51</v>
      </c>
    </row>
    <row r="9974" spans="1:14" hidden="1" outlineLevel="1" x14ac:dyDescent="0.15">
      <c r="A9974" s="23" t="str">
        <f>HYPERLINK("https://www.spark-marketing.ru/Card/Person/956455", "МБОУ СОШ №7 Г. КАНСКА")</f>
        <v>МБОУ СОШ №7 Г. КАНСКА</v>
      </c>
      <c r="B9974" s="24" t="s">
        <v>14197</v>
      </c>
      <c r="C9974" s="25">
        <v>671995.92</v>
      </c>
      <c r="D9974" s="22" t="s">
        <v>14181</v>
      </c>
      <c r="E9974" s="22" t="s">
        <v>48</v>
      </c>
      <c r="F9974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74" s="22" t="s">
        <v>281</v>
      </c>
      <c r="H9974" s="22" t="s">
        <v>14184</v>
      </c>
      <c r="I9974" s="26">
        <v>43676.659317129597</v>
      </c>
      <c r="J9974" s="23" t="str">
        <f t="shared" si="251"/>
        <v>Печёрский Юрий Андреевич</v>
      </c>
      <c r="K9974" s="24" t="s">
        <v>14182</v>
      </c>
      <c r="L9974" s="22" t="s">
        <v>10</v>
      </c>
      <c r="M9974" s="28" t="s">
        <v>51</v>
      </c>
      <c r="N9974" s="28" t="s">
        <v>51</v>
      </c>
    </row>
    <row r="9975" spans="1:14" hidden="1" outlineLevel="1" x14ac:dyDescent="0.15">
      <c r="A9975" s="23" t="str">
        <f>HYPERLINK("https://www.spark-marketing.ru/Card/Person/956574", "МБОУ ООШ № 20 Г. КАНСКА")</f>
        <v>МБОУ ООШ № 20 Г. КАНСКА</v>
      </c>
      <c r="B9975" s="24" t="s">
        <v>14198</v>
      </c>
      <c r="C9975" s="25">
        <v>881925.08</v>
      </c>
      <c r="D9975" s="22" t="s">
        <v>14181</v>
      </c>
      <c r="E9975" s="22" t="s">
        <v>48</v>
      </c>
      <c r="F9975" s="23" t="str">
        <f t="shared" si="250"/>
        <v>оказание услуги по организации горячего питания детей, обучающихся в  муниципальных общеобразовательных учреждениях г. Канска, работающих на сырье</v>
      </c>
      <c r="G9975" s="22" t="s">
        <v>281</v>
      </c>
      <c r="H9975" s="22" t="s">
        <v>14184</v>
      </c>
      <c r="I9975" s="26">
        <v>43676.659317129597</v>
      </c>
      <c r="J9975" s="23" t="str">
        <f t="shared" si="251"/>
        <v>Печёрский Юрий Андреевич</v>
      </c>
      <c r="K9975" s="24" t="s">
        <v>14182</v>
      </c>
      <c r="L9975" s="22" t="s">
        <v>10</v>
      </c>
      <c r="M9975" s="28" t="s">
        <v>51</v>
      </c>
      <c r="N9975" s="28" t="s">
        <v>51</v>
      </c>
    </row>
    <row r="9976" spans="1:14" collapsed="1" x14ac:dyDescent="0.15">
      <c r="A9976" s="23" t="str">
        <f t="shared" ref="A9976:A9981" si="252">HYPERLINK("https://www.spark-marketing.ru/Card/Person/22491", "УПРАВА РАЙОНА МАРЬИНО ГОРОДА МОСКВЫ")</f>
        <v>УПРАВА РАЙОНА МАРЬИНО ГОРОДА МОСКВЫ</v>
      </c>
      <c r="B9976" s="24" t="s">
        <v>14199</v>
      </c>
      <c r="C9976" s="25">
        <v>712498.41</v>
      </c>
      <c r="D9976" s="22" t="s">
        <v>14200</v>
      </c>
      <c r="E9976" s="22" t="s">
        <v>48</v>
      </c>
      <c r="F9976" s="23" t="str">
        <f t="shared" ref="F9976:F9981" si="253">HYPERLINK("https://www.spark-marketing.ru/Card/Lot/72494917", "Оказание услуг по организации питания для УИК района Марьино города Москвы (среди СМП)")</f>
        <v>Оказание услуг по организации питания для УИК района Марьино города Москвы (среди СМП)</v>
      </c>
      <c r="G9976" s="22" t="s">
        <v>56</v>
      </c>
      <c r="H9976" s="22" t="s">
        <v>56</v>
      </c>
      <c r="I9976" s="26">
        <v>43676.657719907402</v>
      </c>
      <c r="J9976" s="28" t="s">
        <v>51</v>
      </c>
      <c r="K9976" s="28" t="s">
        <v>51</v>
      </c>
      <c r="L9976" s="28" t="s">
        <v>51</v>
      </c>
      <c r="M9976" s="28" t="s">
        <v>51</v>
      </c>
      <c r="N9976" s="28" t="s">
        <v>51</v>
      </c>
    </row>
    <row r="9977" spans="1:14" ht="12.75" hidden="1" outlineLevel="1" x14ac:dyDescent="0.2">
      <c r="A9977" s="23" t="str">
        <f t="shared" si="252"/>
        <v>УПРАВА РАЙОНА МАРЬИНО ГОРОДА МОСКВЫ</v>
      </c>
      <c r="B9977" s="24" t="s">
        <v>14199</v>
      </c>
      <c r="C9977" s="25">
        <v>712498.41</v>
      </c>
      <c r="D9977" s="22" t="s">
        <v>14200</v>
      </c>
      <c r="E9977" s="22" t="s">
        <v>48</v>
      </c>
      <c r="F9977" s="23" t="str">
        <f t="shared" si="253"/>
        <v>Оказание услуг по организации питания для УИК района Марьино города Москвы (среди СМП)</v>
      </c>
      <c r="G9977" s="22" t="s">
        <v>56</v>
      </c>
      <c r="H9977" s="22" t="s">
        <v>56</v>
      </c>
      <c r="I9977" s="26">
        <v>43676.657719907402</v>
      </c>
      <c r="J9977" s="23" t="str">
        <f>HYPERLINK("https://www.spark-marketing.ru/Card/Person/6366651", "ООО ""ЗАР""")</f>
        <v>ООО "ЗАР"</v>
      </c>
      <c r="K9977" s="24" t="s">
        <v>14201</v>
      </c>
      <c r="L9977" s="22" t="s">
        <v>10</v>
      </c>
      <c r="M9977" s="25">
        <v>381956.92</v>
      </c>
      <c r="N9977" s="27">
        <v>0.46391891597344054</v>
      </c>
    </row>
    <row r="9978" spans="1:14" hidden="1" outlineLevel="1" x14ac:dyDescent="0.2">
      <c r="A9978" s="23" t="str">
        <f t="shared" si="252"/>
        <v>УПРАВА РАЙОНА МАРЬИНО ГОРОДА МОСКВЫ</v>
      </c>
      <c r="B9978" s="24" t="s">
        <v>14199</v>
      </c>
      <c r="C9978" s="25">
        <v>712498.41</v>
      </c>
      <c r="D9978" s="22" t="s">
        <v>14200</v>
      </c>
      <c r="E9978" s="22" t="s">
        <v>48</v>
      </c>
      <c r="F9978" s="23" t="str">
        <f t="shared" si="253"/>
        <v>Оказание услуг по организации питания для УИК района Марьино города Москвы (среди СМП)</v>
      </c>
      <c r="G9978" s="22" t="s">
        <v>56</v>
      </c>
      <c r="H9978" s="22" t="s">
        <v>56</v>
      </c>
      <c r="I9978" s="26">
        <v>43676.657719907402</v>
      </c>
      <c r="J9978" s="23" t="str">
        <f>HYPERLINK("https://www.spark-marketing.ru/Card/Person/162438", "ООО ""ТЕХНО-КЛАССИК+""")</f>
        <v>ООО "ТЕХНО-КЛАССИК+"</v>
      </c>
      <c r="K9978" s="24" t="s">
        <v>13857</v>
      </c>
      <c r="L9978" s="28" t="s">
        <v>51</v>
      </c>
      <c r="M9978" s="25">
        <v>605623.65</v>
      </c>
      <c r="N9978" s="27">
        <v>0.14999999789473215</v>
      </c>
    </row>
    <row r="9979" spans="1:14" hidden="1" outlineLevel="1" x14ac:dyDescent="0.2">
      <c r="A9979" s="23" t="str">
        <f t="shared" si="252"/>
        <v>УПРАВА РАЙОНА МАРЬИНО ГОРОДА МОСКВЫ</v>
      </c>
      <c r="B9979" s="24" t="s">
        <v>14199</v>
      </c>
      <c r="C9979" s="25">
        <v>712498.41</v>
      </c>
      <c r="D9979" s="22" t="s">
        <v>14200</v>
      </c>
      <c r="E9979" s="22" t="s">
        <v>48</v>
      </c>
      <c r="F9979" s="23" t="str">
        <f t="shared" si="253"/>
        <v>Оказание услуг по организации питания для УИК района Марьино города Москвы (среди СМП)</v>
      </c>
      <c r="G9979" s="22" t="s">
        <v>56</v>
      </c>
      <c r="H9979" s="22" t="s">
        <v>56</v>
      </c>
      <c r="I9979" s="26">
        <v>43676.657719907402</v>
      </c>
      <c r="J9979" s="23" t="str">
        <f>HYPERLINK("https://www.spark-marketing.ru/Card/Person/593174", "ООО ""А.М.К.+""")</f>
        <v>ООО "А.М.К.+"</v>
      </c>
      <c r="K9979" s="24" t="s">
        <v>7364</v>
      </c>
      <c r="L9979" s="28" t="s">
        <v>51</v>
      </c>
      <c r="M9979" s="25">
        <v>385519.41</v>
      </c>
      <c r="N9979" s="27">
        <v>0.45891891885063996</v>
      </c>
    </row>
    <row r="9980" spans="1:14" hidden="1" outlineLevel="1" x14ac:dyDescent="0.2">
      <c r="A9980" s="23" t="str">
        <f t="shared" si="252"/>
        <v>УПРАВА РАЙОНА МАРЬИНО ГОРОДА МОСКВЫ</v>
      </c>
      <c r="B9980" s="24" t="s">
        <v>14199</v>
      </c>
      <c r="C9980" s="25">
        <v>712498.41</v>
      </c>
      <c r="D9980" s="22" t="s">
        <v>14200</v>
      </c>
      <c r="E9980" s="22" t="s">
        <v>48</v>
      </c>
      <c r="F9980" s="23" t="str">
        <f t="shared" si="253"/>
        <v>Оказание услуг по организации питания для УИК района Марьино города Москвы (среди СМП)</v>
      </c>
      <c r="G9980" s="22" t="s">
        <v>56</v>
      </c>
      <c r="H9980" s="22" t="s">
        <v>56</v>
      </c>
      <c r="I9980" s="26">
        <v>43676.657719907402</v>
      </c>
      <c r="J9980" s="23" t="str">
        <f>HYPERLINK("https://www.spark-marketing.ru/Card/Person/6650209", "Кишенина Ксения Владимировна")</f>
        <v>Кишенина Ксения Владимировна</v>
      </c>
      <c r="K9980" s="24" t="s">
        <v>11401</v>
      </c>
      <c r="L9980" s="28" t="s">
        <v>51</v>
      </c>
      <c r="M9980" s="25">
        <v>497620.53</v>
      </c>
      <c r="N9980" s="27">
        <v>0.30158366248143625</v>
      </c>
    </row>
    <row r="9981" spans="1:14" hidden="1" outlineLevel="1" x14ac:dyDescent="0.2">
      <c r="A9981" s="23" t="str">
        <f t="shared" si="252"/>
        <v>УПРАВА РАЙОНА МАРЬИНО ГОРОДА МОСКВЫ</v>
      </c>
      <c r="B9981" s="24" t="s">
        <v>14199</v>
      </c>
      <c r="C9981" s="25">
        <v>712498.41</v>
      </c>
      <c r="D9981" s="22" t="s">
        <v>14200</v>
      </c>
      <c r="E9981" s="22" t="s">
        <v>48</v>
      </c>
      <c r="F9981" s="23" t="str">
        <f t="shared" si="253"/>
        <v>Оказание услуг по организации питания для УИК района Марьино города Москвы (среди СМП)</v>
      </c>
      <c r="G9981" s="22" t="s">
        <v>56</v>
      </c>
      <c r="H9981" s="22" t="s">
        <v>56</v>
      </c>
      <c r="I9981" s="26">
        <v>43676.657719907402</v>
      </c>
      <c r="J9981" s="23" t="str">
        <f>HYPERLINK("https://www.spark-marketing.ru/Card/Person/2523959", "ООО ""КРУИЗ-ТУР""")</f>
        <v>ООО "КРУИЗ-ТУР"</v>
      </c>
      <c r="K9981" s="24" t="s">
        <v>13149</v>
      </c>
      <c r="L9981" s="28" t="s">
        <v>51</v>
      </c>
      <c r="M9981" s="25">
        <v>494058.04</v>
      </c>
      <c r="N9981" s="27">
        <v>0.30658365960423689</v>
      </c>
    </row>
    <row r="9982" spans="1:14" x14ac:dyDescent="0.15">
      <c r="A9982" s="23" t="str">
        <f>HYPERLINK("https://www.spark-marketing.ru/Card/Person/1033991", "МДОУ ДЕТСКИЙ САД №57 ""ЛАДУШКИ""")</f>
        <v>МДОУ ДЕТСКИЙ САД №57 "ЛАДУШКИ"</v>
      </c>
      <c r="B9982" s="24" t="s">
        <v>14202</v>
      </c>
      <c r="C9982" s="25">
        <v>356040</v>
      </c>
      <c r="D9982" s="22" t="s">
        <v>14203</v>
      </c>
      <c r="E9982" s="22" t="s">
        <v>48</v>
      </c>
      <c r="F9982" s="23" t="str">
        <f>HYPERLINK("https://www.spark-marketing.ru/Card/Lot/72473641",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9982" s="22" t="s">
        <v>49</v>
      </c>
      <c r="H9982" s="22" t="s">
        <v>50</v>
      </c>
      <c r="I9982" s="26">
        <v>43676.659259259301</v>
      </c>
      <c r="J9982" s="28" t="s">
        <v>51</v>
      </c>
      <c r="K9982" s="28" t="s">
        <v>51</v>
      </c>
      <c r="L9982" s="28" t="s">
        <v>51</v>
      </c>
      <c r="M9982" s="28" t="s">
        <v>51</v>
      </c>
      <c r="N9982" s="28" t="s">
        <v>51</v>
      </c>
    </row>
    <row r="9983" spans="1:14" collapsed="1" x14ac:dyDescent="0.15">
      <c r="A9983" s="23" t="s">
        <v>114</v>
      </c>
      <c r="B9983" s="28" t="s">
        <v>51</v>
      </c>
      <c r="C9983" s="25">
        <v>2571520</v>
      </c>
      <c r="D9983" s="22" t="s">
        <v>14204</v>
      </c>
      <c r="E9983" s="22" t="s">
        <v>48</v>
      </c>
      <c r="F9983" s="23" t="str">
        <f t="shared" ref="F9983:F9989" si="254">HYPERLINK("https://www.spark-marketing.ru/Card/Lot/72530080", "Оказание услуг по организации горячего питания на 2019 год (сентябрь-декабрь)")</f>
        <v>Оказание услуг по организации горячего питания на 2019 год (сентябрь-декабрь)</v>
      </c>
      <c r="G9983" s="22" t="s">
        <v>51</v>
      </c>
      <c r="H9983" s="22" t="s">
        <v>51</v>
      </c>
      <c r="I9983" s="26">
        <v>43676.636874999997</v>
      </c>
      <c r="J9983" s="28" t="s">
        <v>51</v>
      </c>
      <c r="K9983" s="28" t="s">
        <v>51</v>
      </c>
      <c r="L9983" s="28" t="s">
        <v>51</v>
      </c>
      <c r="M9983" s="28" t="s">
        <v>51</v>
      </c>
      <c r="N9983" s="28" t="s">
        <v>51</v>
      </c>
    </row>
    <row r="9984" spans="1:14" hidden="1" outlineLevel="1" x14ac:dyDescent="0.15">
      <c r="A9984" s="23" t="str">
        <f>HYPERLINK("https://www.spark-marketing.ru/Card/Person/241087", "МОУ ""РАЙВАТТАЛЬСКАЯ СОШ""")</f>
        <v>МОУ "РАЙВАТТАЛЬСКАЯ СОШ"</v>
      </c>
      <c r="B9984" s="24" t="s">
        <v>14205</v>
      </c>
      <c r="C9984" s="25">
        <v>174720</v>
      </c>
      <c r="D9984" s="22" t="s">
        <v>14204</v>
      </c>
      <c r="E9984" s="22" t="s">
        <v>48</v>
      </c>
      <c r="F9984" s="23" t="str">
        <f t="shared" si="254"/>
        <v>Оказание услуг по организации горячего питания на 2019 год (сентябрь-декабрь)</v>
      </c>
      <c r="G9984" s="22" t="s">
        <v>59</v>
      </c>
      <c r="H9984" s="22" t="s">
        <v>14206</v>
      </c>
      <c r="I9984" s="26">
        <v>43676.636874999997</v>
      </c>
      <c r="J9984" s="28" t="s">
        <v>51</v>
      </c>
      <c r="K9984" s="28" t="s">
        <v>51</v>
      </c>
      <c r="L9984" s="28" t="s">
        <v>51</v>
      </c>
      <c r="M9984" s="28" t="s">
        <v>51</v>
      </c>
      <c r="N9984" s="28" t="s">
        <v>51</v>
      </c>
    </row>
    <row r="9985" spans="1:14" hidden="1" outlineLevel="1" x14ac:dyDescent="0.15">
      <c r="A9985" s="23" t="str">
        <f>HYPERLINK("https://www.spark-marketing.ru/Card/Person/241091", "МБОУ ""КУРКИЁКСКАЯ СОШ""")</f>
        <v>МБОУ "КУРКИЁКСКАЯ СОШ"</v>
      </c>
      <c r="B9985" s="24" t="s">
        <v>14207</v>
      </c>
      <c r="C9985" s="25">
        <v>165760</v>
      </c>
      <c r="D9985" s="22" t="s">
        <v>14204</v>
      </c>
      <c r="E9985" s="22" t="s">
        <v>48</v>
      </c>
      <c r="F9985" s="23" t="str">
        <f t="shared" si="254"/>
        <v>Оказание услуг по организации горячего питания на 2019 год (сентябрь-декабрь)</v>
      </c>
      <c r="G9985" s="22" t="s">
        <v>59</v>
      </c>
      <c r="H9985" s="22" t="s">
        <v>14206</v>
      </c>
      <c r="I9985" s="26">
        <v>43676.636874999997</v>
      </c>
      <c r="J9985" s="28" t="s">
        <v>51</v>
      </c>
      <c r="K9985" s="28" t="s">
        <v>51</v>
      </c>
      <c r="L9985" s="28" t="s">
        <v>51</v>
      </c>
      <c r="M9985" s="28" t="s">
        <v>51</v>
      </c>
      <c r="N9985" s="28" t="s">
        <v>51</v>
      </c>
    </row>
    <row r="9986" spans="1:14" hidden="1" outlineLevel="1" x14ac:dyDescent="0.15">
      <c r="A9986" s="23" t="str">
        <f>HYPERLINK("https://www.spark-marketing.ru/Card/Person/241092", "МКОУ ""ИХАЛЬСКАЯ СОШ""")</f>
        <v>МКОУ "ИХАЛЬСКАЯ СОШ"</v>
      </c>
      <c r="B9986" s="24" t="s">
        <v>14208</v>
      </c>
      <c r="C9986" s="25">
        <v>246400</v>
      </c>
      <c r="D9986" s="22" t="s">
        <v>14204</v>
      </c>
      <c r="E9986" s="22" t="s">
        <v>48</v>
      </c>
      <c r="F9986" s="23" t="str">
        <f t="shared" si="254"/>
        <v>Оказание услуг по организации горячего питания на 2019 год (сентябрь-декабрь)</v>
      </c>
      <c r="G9986" s="22" t="s">
        <v>59</v>
      </c>
      <c r="H9986" s="22" t="s">
        <v>14206</v>
      </c>
      <c r="I9986" s="26">
        <v>43676.636874999997</v>
      </c>
      <c r="J9986" s="28" t="s">
        <v>51</v>
      </c>
      <c r="K9986" s="28" t="s">
        <v>51</v>
      </c>
      <c r="L9986" s="28" t="s">
        <v>51</v>
      </c>
      <c r="M9986" s="28" t="s">
        <v>51</v>
      </c>
      <c r="N9986" s="28" t="s">
        <v>51</v>
      </c>
    </row>
    <row r="9987" spans="1:14" hidden="1" outlineLevel="1" x14ac:dyDescent="0.15">
      <c r="A9987" s="23" t="str">
        <f>HYPERLINK("https://www.spark-marketing.ru/Card/Person/241095", "МКОУ ""ЛАХДЕНПОХСКАЯ СОШ""")</f>
        <v>МКОУ "ЛАХДЕНПОХСКАЯ СОШ"</v>
      </c>
      <c r="B9987" s="24" t="s">
        <v>14209</v>
      </c>
      <c r="C9987" s="25">
        <v>1711360</v>
      </c>
      <c r="D9987" s="22" t="s">
        <v>14204</v>
      </c>
      <c r="E9987" s="22" t="s">
        <v>48</v>
      </c>
      <c r="F9987" s="23" t="str">
        <f t="shared" si="254"/>
        <v>Оказание услуг по организации горячего питания на 2019 год (сентябрь-декабрь)</v>
      </c>
      <c r="G9987" s="22" t="s">
        <v>59</v>
      </c>
      <c r="H9987" s="22" t="s">
        <v>14206</v>
      </c>
      <c r="I9987" s="26">
        <v>43676.636874999997</v>
      </c>
      <c r="J9987" s="28" t="s">
        <v>51</v>
      </c>
      <c r="K9987" s="28" t="s">
        <v>51</v>
      </c>
      <c r="L9987" s="28" t="s">
        <v>51</v>
      </c>
      <c r="M9987" s="28" t="s">
        <v>51</v>
      </c>
      <c r="N9987" s="28" t="s">
        <v>51</v>
      </c>
    </row>
    <row r="9988" spans="1:14" hidden="1" outlineLevel="1" x14ac:dyDescent="0.15">
      <c r="A9988" s="23" t="str">
        <f>HYPERLINK("https://www.spark-marketing.ru/Card/Person/241417", "МКОУ ""ЭЛИСЕНВААРСКАЯ СОШ""")</f>
        <v>МКОУ "ЭЛИСЕНВААРСКАЯ СОШ"</v>
      </c>
      <c r="B9988" s="24" t="s">
        <v>14210</v>
      </c>
      <c r="C9988" s="25">
        <v>152320</v>
      </c>
      <c r="D9988" s="22" t="s">
        <v>14204</v>
      </c>
      <c r="E9988" s="22" t="s">
        <v>48</v>
      </c>
      <c r="F9988" s="23" t="str">
        <f t="shared" si="254"/>
        <v>Оказание услуг по организации горячего питания на 2019 год (сентябрь-декабрь)</v>
      </c>
      <c r="G9988" s="22" t="s">
        <v>59</v>
      </c>
      <c r="H9988" s="22" t="s">
        <v>14206</v>
      </c>
      <c r="I9988" s="26">
        <v>43676.636874999997</v>
      </c>
      <c r="J9988" s="28" t="s">
        <v>51</v>
      </c>
      <c r="K9988" s="28" t="s">
        <v>51</v>
      </c>
      <c r="L9988" s="28" t="s">
        <v>51</v>
      </c>
      <c r="M9988" s="28" t="s">
        <v>51</v>
      </c>
      <c r="N9988" s="28" t="s">
        <v>51</v>
      </c>
    </row>
    <row r="9989" spans="1:14" hidden="1" outlineLevel="1" x14ac:dyDescent="0.15">
      <c r="A9989" s="23" t="str">
        <f>HYPERLINK("https://www.spark-marketing.ru/Card/Person/241427", "МКОУ ""МИЙНАЛЬСКАЯ ООШ""")</f>
        <v>МКОУ "МИЙНАЛЬСКАЯ ООШ"</v>
      </c>
      <c r="B9989" s="24" t="s">
        <v>14211</v>
      </c>
      <c r="C9989" s="25">
        <v>120960</v>
      </c>
      <c r="D9989" s="22" t="s">
        <v>14204</v>
      </c>
      <c r="E9989" s="22" t="s">
        <v>48</v>
      </c>
      <c r="F9989" s="23" t="str">
        <f t="shared" si="254"/>
        <v>Оказание услуг по организации горячего питания на 2019 год (сентябрь-декабрь)</v>
      </c>
      <c r="G9989" s="22" t="s">
        <v>59</v>
      </c>
      <c r="H9989" s="22" t="s">
        <v>14206</v>
      </c>
      <c r="I9989" s="26">
        <v>43676.636874999997</v>
      </c>
      <c r="J9989" s="28" t="s">
        <v>51</v>
      </c>
      <c r="K9989" s="28" t="s">
        <v>51</v>
      </c>
      <c r="L9989" s="28" t="s">
        <v>51</v>
      </c>
      <c r="M9989" s="28" t="s">
        <v>51</v>
      </c>
      <c r="N9989" s="28" t="s">
        <v>51</v>
      </c>
    </row>
    <row r="9990" spans="1:14" collapsed="1" x14ac:dyDescent="0.15">
      <c r="A9990" s="23" t="str">
        <f>HYPERLINK("https://www.spark-marketing.ru/Card/Person/58573", "КГКУ ""УАЗ ПРАВИТЕЛЬСТВА ХК""")</f>
        <v>КГКУ "УАЗ ПРАВИТЕЛЬСТВА ХК"</v>
      </c>
      <c r="B9990" s="24" t="s">
        <v>14212</v>
      </c>
      <c r="C9990" s="25">
        <v>4400000</v>
      </c>
      <c r="D9990" s="22" t="s">
        <v>14213</v>
      </c>
      <c r="E9990" s="22" t="s">
        <v>355</v>
      </c>
      <c r="F9990" s="23" t="str">
        <f>HYPERLINK("https://www.spark-marketing.ru/Card/Lot/72485653", "Оказание услуг по полной замене аккумуляторных батарей в источниках бесперебойного питания")</f>
        <v>Оказание услуг по полной замене аккумуляторных батарей в источниках бесперебойного питания</v>
      </c>
      <c r="G9990" s="22" t="s">
        <v>1096</v>
      </c>
      <c r="H9990" s="22" t="s">
        <v>1097</v>
      </c>
      <c r="I9990" s="26">
        <v>43676.6496990741</v>
      </c>
      <c r="J9990" s="28" t="s">
        <v>51</v>
      </c>
      <c r="K9990" s="28" t="s">
        <v>51</v>
      </c>
      <c r="L9990" s="28" t="s">
        <v>51</v>
      </c>
      <c r="M9990" s="28" t="s">
        <v>51</v>
      </c>
      <c r="N9990" s="28" t="s">
        <v>51</v>
      </c>
    </row>
    <row r="9991" spans="1:14" hidden="1" outlineLevel="1" x14ac:dyDescent="0.2">
      <c r="A9991" s="23" t="str">
        <f>HYPERLINK("https://www.spark-marketing.ru/Card/Person/58573", "КГКУ ""УАЗ ПРАВИТЕЛЬСТВА ХК""")</f>
        <v>КГКУ "УАЗ ПРАВИТЕЛЬСТВА ХК"</v>
      </c>
      <c r="B9991" s="24" t="s">
        <v>14212</v>
      </c>
      <c r="C9991" s="25">
        <v>4400000</v>
      </c>
      <c r="D9991" s="22" t="s">
        <v>14213</v>
      </c>
      <c r="E9991" s="22" t="s">
        <v>355</v>
      </c>
      <c r="F9991" s="23" t="str">
        <f>HYPERLINK("https://www.spark-marketing.ru/Card/Lot/72485653", "Оказание услуг по полной замене аккумуляторных батарей в источниках бесперебойного питания")</f>
        <v>Оказание услуг по полной замене аккумуляторных батарей в источниках бесперебойного питания</v>
      </c>
      <c r="G9991" s="22" t="s">
        <v>1096</v>
      </c>
      <c r="H9991" s="22" t="s">
        <v>1097</v>
      </c>
      <c r="I9991" s="26">
        <v>43676.6496990741</v>
      </c>
      <c r="J9991" s="23" t="str">
        <f>HYPERLINK("https://www.spark-marketing.ru/Card/Person/140775", "ООО ""АЛЬФА-ЭНЕРГО""")</f>
        <v>ООО "АЛЬФА-ЭНЕРГО"</v>
      </c>
      <c r="K9991" s="24" t="s">
        <v>3030</v>
      </c>
      <c r="L9991" s="28" t="s">
        <v>51</v>
      </c>
      <c r="M9991" s="25">
        <v>2618000</v>
      </c>
      <c r="N9991" s="27">
        <v>0.40500000000000003</v>
      </c>
    </row>
    <row r="9992" spans="1:14" hidden="1" outlineLevel="1" x14ac:dyDescent="0.2">
      <c r="A9992" s="23" t="str">
        <f>HYPERLINK("https://www.spark-marketing.ru/Card/Person/58573", "КГКУ ""УАЗ ПРАВИТЕЛЬСТВА ХК""")</f>
        <v>КГКУ "УАЗ ПРАВИТЕЛЬСТВА ХК"</v>
      </c>
      <c r="B9992" s="24" t="s">
        <v>14212</v>
      </c>
      <c r="C9992" s="25">
        <v>4400000</v>
      </c>
      <c r="D9992" s="22" t="s">
        <v>14213</v>
      </c>
      <c r="E9992" s="22" t="s">
        <v>355</v>
      </c>
      <c r="F9992" s="23" t="str">
        <f>HYPERLINK("https://www.spark-marketing.ru/Card/Lot/72485653", "Оказание услуг по полной замене аккумуляторных батарей в источниках бесперебойного питания")</f>
        <v>Оказание услуг по полной замене аккумуляторных батарей в источниках бесперебойного питания</v>
      </c>
      <c r="G9992" s="22" t="s">
        <v>1096</v>
      </c>
      <c r="H9992" s="22" t="s">
        <v>1097</v>
      </c>
      <c r="I9992" s="26">
        <v>43676.6496990741</v>
      </c>
      <c r="J9992" s="23" t="str">
        <f>HYPERLINK("https://www.spark-marketing.ru/Card/Person/6087868", "ООО ""ЛОТУС-ЭЛЕКТРОНИКС""")</f>
        <v>ООО "ЛОТУС-ЭЛЕКТРОНИКС"</v>
      </c>
      <c r="K9992" s="24" t="s">
        <v>14214</v>
      </c>
      <c r="L9992" s="28" t="s">
        <v>51</v>
      </c>
      <c r="M9992" s="25">
        <v>3750000</v>
      </c>
      <c r="N9992" s="27">
        <v>0.14772727272727273</v>
      </c>
    </row>
    <row r="9993" spans="1:14" hidden="1" outlineLevel="1" x14ac:dyDescent="0.2">
      <c r="A9993" s="23" t="str">
        <f>HYPERLINK("https://www.spark-marketing.ru/Card/Person/58573", "КГКУ ""УАЗ ПРАВИТЕЛЬСТВА ХК""")</f>
        <v>КГКУ "УАЗ ПРАВИТЕЛЬСТВА ХК"</v>
      </c>
      <c r="B9993" s="24" t="s">
        <v>14212</v>
      </c>
      <c r="C9993" s="25">
        <v>4400000</v>
      </c>
      <c r="D9993" s="22" t="s">
        <v>14213</v>
      </c>
      <c r="E9993" s="22" t="s">
        <v>355</v>
      </c>
      <c r="F9993" s="23" t="str">
        <f>HYPERLINK("https://www.spark-marketing.ru/Card/Lot/72485653", "Оказание услуг по полной замене аккумуляторных батарей в источниках бесперебойного питания")</f>
        <v>Оказание услуг по полной замене аккумуляторных батарей в источниках бесперебойного питания</v>
      </c>
      <c r="G9993" s="22" t="s">
        <v>1096</v>
      </c>
      <c r="H9993" s="22" t="s">
        <v>1097</v>
      </c>
      <c r="I9993" s="26">
        <v>43676.6496990741</v>
      </c>
      <c r="J9993" s="23" t="str">
        <f>HYPERLINK("https://www.spark-marketing.ru/Card/Person/127291", "ООО ""ГРИНЭНЕРДЖИ""")</f>
        <v>ООО "ГРИНЭНЕРДЖИ"</v>
      </c>
      <c r="K9993" s="24" t="s">
        <v>14215</v>
      </c>
      <c r="L9993" s="28" t="s">
        <v>51</v>
      </c>
      <c r="M9993" s="25">
        <v>1980000</v>
      </c>
      <c r="N9993" s="27">
        <v>0.55000000000000004</v>
      </c>
    </row>
    <row r="9994" spans="1:14" ht="12.75" hidden="1" outlineLevel="1" x14ac:dyDescent="0.2">
      <c r="A9994" s="23" t="str">
        <f>HYPERLINK("https://www.spark-marketing.ru/Card/Person/58573", "КГКУ ""УАЗ ПРАВИТЕЛЬСТВА ХК""")</f>
        <v>КГКУ "УАЗ ПРАВИТЕЛЬСТВА ХК"</v>
      </c>
      <c r="B9994" s="24" t="s">
        <v>14212</v>
      </c>
      <c r="C9994" s="25">
        <v>4400000</v>
      </c>
      <c r="D9994" s="22" t="s">
        <v>14213</v>
      </c>
      <c r="E9994" s="22" t="s">
        <v>355</v>
      </c>
      <c r="F9994" s="23" t="str">
        <f>HYPERLINK("https://www.spark-marketing.ru/Card/Lot/72485653", "Оказание услуг по полной замене аккумуляторных батарей в источниках бесперебойного питания")</f>
        <v>Оказание услуг по полной замене аккумуляторных батарей в источниках бесперебойного питания</v>
      </c>
      <c r="G9994" s="22" t="s">
        <v>1096</v>
      </c>
      <c r="H9994" s="22" t="s">
        <v>1097</v>
      </c>
      <c r="I9994" s="26">
        <v>43676.6496990741</v>
      </c>
      <c r="J9994" s="23" t="str">
        <f>HYPERLINK("https://www.spark-marketing.ru/Card/Person/86357", "ЗАО ""БЭК""")</f>
        <v>ЗАО "БЭК"</v>
      </c>
      <c r="K9994" s="24" t="s">
        <v>4311</v>
      </c>
      <c r="L9994" s="22" t="s">
        <v>10</v>
      </c>
      <c r="M9994" s="25">
        <v>1958000</v>
      </c>
      <c r="N9994" s="27">
        <v>0.55500000000000005</v>
      </c>
    </row>
    <row r="9995" spans="1:14" x14ac:dyDescent="0.15">
      <c r="A9995" s="23" t="str">
        <f>HYPERLINK("https://www.spark-marketing.ru/Card/Person/1054426", "МБОУ ЛУКИЧЕВСКАЯ СОШ")</f>
        <v>МБОУ ЛУКИЧЕВСКАЯ СОШ</v>
      </c>
      <c r="B9995" s="24" t="s">
        <v>14216</v>
      </c>
      <c r="C9995" s="25">
        <v>51709.2</v>
      </c>
      <c r="D9995" s="22" t="s">
        <v>14217</v>
      </c>
      <c r="E9995" s="22" t="s">
        <v>48</v>
      </c>
      <c r="F9995" s="23" t="str">
        <f>HYPERLINK("https://www.spark-marketing.ru/Card/Lot/72496012", "Оказание услуг по организации горячего питания учащихся и воспитанников дошкольной группы")</f>
        <v>Оказание услуг по организации горячего питания учащихся и воспитанников дошкольной группы</v>
      </c>
      <c r="G9995" s="22" t="s">
        <v>267</v>
      </c>
      <c r="H9995" s="22" t="s">
        <v>14218</v>
      </c>
      <c r="I9995" s="26">
        <v>43676.629386574103</v>
      </c>
      <c r="J9995" s="28" t="s">
        <v>51</v>
      </c>
      <c r="K9995" s="28" t="s">
        <v>51</v>
      </c>
      <c r="L9995" s="28" t="s">
        <v>51</v>
      </c>
      <c r="M9995" s="28" t="s">
        <v>51</v>
      </c>
      <c r="N9995" s="28" t="s">
        <v>51</v>
      </c>
    </row>
    <row r="9996" spans="1:14" collapsed="1" x14ac:dyDescent="0.15">
      <c r="A9996" s="23" t="str">
        <f t="shared" ref="A9996:A10002" si="255">HYPERLINK("https://www.spark-marketing.ru/Card/Person/45433", "ФБУН ЦНИИ ЭПИДЕМИОЛОГИИ РОСПОТРЕБНАДЗОРА")</f>
        <v>ФБУН ЦНИИ ЭПИДЕМИОЛОГИИ РОСПОТРЕБНАДЗОРА</v>
      </c>
      <c r="B9996" s="24" t="s">
        <v>9015</v>
      </c>
      <c r="C9996" s="25">
        <v>700000</v>
      </c>
      <c r="D9996" s="22" t="s">
        <v>14219</v>
      </c>
      <c r="E9996" s="22" t="s">
        <v>55</v>
      </c>
      <c r="F9996" s="23" t="str">
        <f t="shared" ref="F9996:F10002" si="256">HYPERLINK("https://www.spark-marketing.ru/Card/Lot/72525722", "Услуги по организации авиаперелета, трансфера, проживания и питания для участников курсов повышения квалификации из Республики Вьетнам")</f>
        <v>Услуги по организации авиаперелета, трансфера, проживания и питания для участников курсов повышения квалификации из Республики Вьетнам</v>
      </c>
      <c r="G9996" s="22" t="s">
        <v>56</v>
      </c>
      <c r="H9996" s="22" t="s">
        <v>56</v>
      </c>
      <c r="I9996" s="26">
        <v>43676.6246875</v>
      </c>
      <c r="J9996" s="28" t="s">
        <v>51</v>
      </c>
      <c r="K9996" s="28" t="s">
        <v>51</v>
      </c>
      <c r="L9996" s="28" t="s">
        <v>51</v>
      </c>
      <c r="M9996" s="28" t="s">
        <v>51</v>
      </c>
      <c r="N9996" s="28" t="s">
        <v>51</v>
      </c>
    </row>
    <row r="9997" spans="1:14" hidden="1" outlineLevel="1" x14ac:dyDescent="0.2">
      <c r="A9997" s="23" t="str">
        <f t="shared" si="255"/>
        <v>ФБУН ЦНИИ ЭПИДЕМИОЛОГИИ РОСПОТРЕБНАДЗОРА</v>
      </c>
      <c r="B9997" s="24" t="s">
        <v>9015</v>
      </c>
      <c r="C9997" s="25">
        <v>700000</v>
      </c>
      <c r="D9997" s="22" t="s">
        <v>14219</v>
      </c>
      <c r="E9997" s="22" t="s">
        <v>55</v>
      </c>
      <c r="F9997" s="23" t="str">
        <f t="shared" si="256"/>
        <v>Услуги по организации авиаперелета, трансфера, проживания и питания для участников курсов повышения квалификации из Республики Вьетнам</v>
      </c>
      <c r="G9997" s="22" t="s">
        <v>56</v>
      </c>
      <c r="H9997" s="22" t="s">
        <v>56</v>
      </c>
      <c r="I9997" s="26">
        <v>43676.6246875</v>
      </c>
      <c r="J9997" s="23" t="str">
        <f>HYPERLINK("https://www.spark-marketing.ru/Card/Person/856601", "ООО ""АВЕНТУРА""")</f>
        <v>ООО "АВЕНТУРА"</v>
      </c>
      <c r="K9997" s="24" t="s">
        <v>9018</v>
      </c>
      <c r="L9997" s="28" t="s">
        <v>51</v>
      </c>
      <c r="M9997" s="25">
        <v>651000</v>
      </c>
      <c r="N9997" s="27">
        <v>7.0000000000000007E-2</v>
      </c>
    </row>
    <row r="9998" spans="1:14" ht="12.75" hidden="1" outlineLevel="1" x14ac:dyDescent="0.2">
      <c r="A9998" s="23" t="str">
        <f t="shared" si="255"/>
        <v>ФБУН ЦНИИ ЭПИДЕМИОЛОГИИ РОСПОТРЕБНАДЗОРА</v>
      </c>
      <c r="B9998" s="24" t="s">
        <v>9015</v>
      </c>
      <c r="C9998" s="25">
        <v>700000</v>
      </c>
      <c r="D9998" s="22" t="s">
        <v>14219</v>
      </c>
      <c r="E9998" s="22" t="s">
        <v>55</v>
      </c>
      <c r="F9998" s="23" t="str">
        <f t="shared" si="256"/>
        <v>Услуги по организации авиаперелета, трансфера, проживания и питания для участников курсов повышения квалификации из Республики Вьетнам</v>
      </c>
      <c r="G9998" s="22" t="s">
        <v>56</v>
      </c>
      <c r="H9998" s="22" t="s">
        <v>56</v>
      </c>
      <c r="I9998" s="26">
        <v>43676.6246875</v>
      </c>
      <c r="J9998" s="23" t="str">
        <f>HYPERLINK("https://www.spark-marketing.ru/Card/Person/153685", "АНО ДПО ""УЧЕБНЫЙ ЦЕНТР РРС""")</f>
        <v>АНО ДПО "УЧЕБНЫЙ ЦЕНТР РРС"</v>
      </c>
      <c r="K9998" s="24" t="s">
        <v>14220</v>
      </c>
      <c r="L9998" s="22" t="s">
        <v>10</v>
      </c>
      <c r="M9998" s="25">
        <v>405000</v>
      </c>
      <c r="N9998" s="27">
        <v>0.42142857142857143</v>
      </c>
    </row>
    <row r="9999" spans="1:14" hidden="1" outlineLevel="1" x14ac:dyDescent="0.2">
      <c r="A9999" s="23" t="str">
        <f t="shared" si="255"/>
        <v>ФБУН ЦНИИ ЭПИДЕМИОЛОГИИ РОСПОТРЕБНАДЗОРА</v>
      </c>
      <c r="B9999" s="24" t="s">
        <v>9015</v>
      </c>
      <c r="C9999" s="25">
        <v>700000</v>
      </c>
      <c r="D9999" s="22" t="s">
        <v>14219</v>
      </c>
      <c r="E9999" s="22" t="s">
        <v>55</v>
      </c>
      <c r="F9999" s="23" t="str">
        <f t="shared" si="256"/>
        <v>Услуги по организации авиаперелета, трансфера, проживания и питания для участников курсов повышения квалификации из Республики Вьетнам</v>
      </c>
      <c r="G9999" s="22" t="s">
        <v>56</v>
      </c>
      <c r="H9999" s="22" t="s">
        <v>56</v>
      </c>
      <c r="I9999" s="26">
        <v>43676.6246875</v>
      </c>
      <c r="J9999" s="23" t="str">
        <f>HYPERLINK("https://www.spark-marketing.ru/Card/Person/6578096", "ООО ""ЭКОСИТИ""")</f>
        <v>ООО "ЭКОСИТИ"</v>
      </c>
      <c r="K9999" s="24" t="s">
        <v>9017</v>
      </c>
      <c r="L9999" s="28" t="s">
        <v>51</v>
      </c>
      <c r="M9999" s="25">
        <v>605000</v>
      </c>
      <c r="N9999" s="27">
        <v>0.1357142857142857</v>
      </c>
    </row>
    <row r="10000" spans="1:14" hidden="1" outlineLevel="1" x14ac:dyDescent="0.2">
      <c r="A10000" s="23" t="str">
        <f t="shared" si="255"/>
        <v>ФБУН ЦНИИ ЭПИДЕМИОЛОГИИ РОСПОТРЕБНАДЗОРА</v>
      </c>
      <c r="B10000" s="24" t="s">
        <v>9015</v>
      </c>
      <c r="C10000" s="25">
        <v>700000</v>
      </c>
      <c r="D10000" s="22" t="s">
        <v>14219</v>
      </c>
      <c r="E10000" s="22" t="s">
        <v>55</v>
      </c>
      <c r="F10000" s="23" t="str">
        <f t="shared" si="256"/>
        <v>Услуги по организации авиаперелета, трансфера, проживания и питания для участников курсов повышения квалификации из Республики Вьетнам</v>
      </c>
      <c r="G10000" s="22" t="s">
        <v>56</v>
      </c>
      <c r="H10000" s="22" t="s">
        <v>56</v>
      </c>
      <c r="I10000" s="26">
        <v>43676.6246875</v>
      </c>
      <c r="J10000" s="23" t="str">
        <f>HYPERLINK("https://www.spark-marketing.ru/Card/Person/1639957", "ООО ""ДЖАЗ ТУР""")</f>
        <v>ООО "ДЖАЗ ТУР"</v>
      </c>
      <c r="K10000" s="24" t="s">
        <v>14221</v>
      </c>
      <c r="L10000" s="28" t="s">
        <v>51</v>
      </c>
      <c r="M10000" s="25">
        <v>415000</v>
      </c>
      <c r="N10000" s="27">
        <v>0.40714285714285714</v>
      </c>
    </row>
    <row r="10001" spans="1:14" hidden="1" outlineLevel="1" x14ac:dyDescent="0.2">
      <c r="A10001" s="23" t="str">
        <f t="shared" si="255"/>
        <v>ФБУН ЦНИИ ЭПИДЕМИОЛОГИИ РОСПОТРЕБНАДЗОРА</v>
      </c>
      <c r="B10001" s="24" t="s">
        <v>9015</v>
      </c>
      <c r="C10001" s="25">
        <v>700000</v>
      </c>
      <c r="D10001" s="22" t="s">
        <v>14219</v>
      </c>
      <c r="E10001" s="22" t="s">
        <v>55</v>
      </c>
      <c r="F10001" s="23" t="str">
        <f t="shared" si="256"/>
        <v>Услуги по организации авиаперелета, трансфера, проживания и питания для участников курсов повышения квалификации из Республики Вьетнам</v>
      </c>
      <c r="G10001" s="22" t="s">
        <v>56</v>
      </c>
      <c r="H10001" s="22" t="s">
        <v>56</v>
      </c>
      <c r="I10001" s="26">
        <v>43676.6246875</v>
      </c>
      <c r="J10001" s="23" t="str">
        <f>HYPERLINK("https://www.spark-marketing.ru/Card/Person/2555461", "ООО ""СПА-КУРОРТ""")</f>
        <v>ООО "СПА-КУРОРТ"</v>
      </c>
      <c r="K10001" s="24" t="s">
        <v>13498</v>
      </c>
      <c r="L10001" s="28" t="s">
        <v>51</v>
      </c>
      <c r="M10001" s="25">
        <v>416500</v>
      </c>
      <c r="N10001" s="27">
        <v>0.40500000000000003</v>
      </c>
    </row>
    <row r="10002" spans="1:14" hidden="1" outlineLevel="1" x14ac:dyDescent="0.2">
      <c r="A10002" s="23" t="str">
        <f t="shared" si="255"/>
        <v>ФБУН ЦНИИ ЭПИДЕМИОЛОГИИ РОСПОТРЕБНАДЗОРА</v>
      </c>
      <c r="B10002" s="24" t="s">
        <v>9015</v>
      </c>
      <c r="C10002" s="25">
        <v>700000</v>
      </c>
      <c r="D10002" s="22" t="s">
        <v>14219</v>
      </c>
      <c r="E10002" s="22" t="s">
        <v>55</v>
      </c>
      <c r="F10002" s="23" t="str">
        <f t="shared" si="256"/>
        <v>Услуги по организации авиаперелета, трансфера, проживания и питания для участников курсов повышения квалификации из Республики Вьетнам</v>
      </c>
      <c r="G10002" s="22" t="s">
        <v>56</v>
      </c>
      <c r="H10002" s="22" t="s">
        <v>56</v>
      </c>
      <c r="I10002" s="26">
        <v>43676.6246875</v>
      </c>
      <c r="J10002" s="23" t="str">
        <f>HYPERLINK("https://www.spark-marketing.ru/Card/Person/1642887", "ООО ""БИЭНДЖИ ПАРТНЕРЗ""")</f>
        <v>ООО "БИЭНДЖИ ПАРТНЕРЗ"</v>
      </c>
      <c r="K10002" s="24" t="s">
        <v>14222</v>
      </c>
      <c r="L10002" s="28" t="s">
        <v>51</v>
      </c>
      <c r="M10002" s="25">
        <v>699999.99</v>
      </c>
      <c r="N10002" s="27">
        <v>1.4285714285714286E-8</v>
      </c>
    </row>
    <row r="10003" spans="1:14" x14ac:dyDescent="0.15">
      <c r="A10003" s="23" t="str">
        <f>HYPERLINK("https://www.spark-marketing.ru/Card/Person/1024297", "МКОУ ОШ № 30")</f>
        <v>МКОУ ОШ № 30</v>
      </c>
      <c r="B10003" s="24" t="s">
        <v>14223</v>
      </c>
      <c r="C10003" s="25">
        <v>792000</v>
      </c>
      <c r="D10003" s="22" t="s">
        <v>14224</v>
      </c>
      <c r="E10003" s="22" t="s">
        <v>48</v>
      </c>
      <c r="F10003" s="23" t="str">
        <f>HYPERLINK("https://www.spark-marketing.ru/Card/Lot/72484229", "Оказание услуг по организации питания учащихся общеобразовательного учреждения")</f>
        <v>Оказание услуг по организации питания учащихся общеобразовательного учреждения</v>
      </c>
      <c r="G10003" s="22" t="s">
        <v>696</v>
      </c>
      <c r="H10003" s="22" t="s">
        <v>1163</v>
      </c>
      <c r="I10003" s="26">
        <v>43676.602557870399</v>
      </c>
      <c r="J10003" s="23" t="str">
        <f>HYPERLINK("https://www.spark-marketing.ru/Card/Person/6635294", "ООО ""ФСП""")</f>
        <v>ООО "ФСП"</v>
      </c>
      <c r="K10003" s="24" t="s">
        <v>1596</v>
      </c>
      <c r="L10003" s="22" t="s">
        <v>10</v>
      </c>
      <c r="M10003" s="28" t="s">
        <v>51</v>
      </c>
      <c r="N10003" s="28" t="s">
        <v>51</v>
      </c>
    </row>
    <row r="10004" spans="1:14" x14ac:dyDescent="0.15">
      <c r="A10004" s="23" t="str">
        <f>HYPERLINK("https://www.spark-marketing.ru/Card/Person/1052319", "МБОУ СТЕПАНО-САВЧЕНСКАЯ ООШ")</f>
        <v>МБОУ СТЕПАНО-САВЧЕНСКАЯ ООШ</v>
      </c>
      <c r="B10004" s="24" t="s">
        <v>14225</v>
      </c>
      <c r="C10004" s="25">
        <v>70178.399999999994</v>
      </c>
      <c r="D10004" s="22" t="s">
        <v>14226</v>
      </c>
      <c r="E10004" s="22" t="s">
        <v>48</v>
      </c>
      <c r="F10004" s="23" t="str">
        <f>HYPERLINK("https://www.spark-marketing.ru/Card/Lot/72496006", "Оказание услуг по организации горячего питания учащихся")</f>
        <v>Оказание услуг по организации горячего питания учащихся</v>
      </c>
      <c r="G10004" s="22" t="s">
        <v>267</v>
      </c>
      <c r="H10004" s="22" t="s">
        <v>14218</v>
      </c>
      <c r="I10004" s="26">
        <v>43676.598078703697</v>
      </c>
      <c r="J10004" s="28" t="s">
        <v>51</v>
      </c>
      <c r="K10004" s="28" t="s">
        <v>51</v>
      </c>
      <c r="L10004" s="28" t="s">
        <v>51</v>
      </c>
      <c r="M10004" s="28" t="s">
        <v>51</v>
      </c>
      <c r="N10004" s="28" t="s">
        <v>51</v>
      </c>
    </row>
    <row r="10005" spans="1:14" x14ac:dyDescent="0.15">
      <c r="A10005" s="23" t="str">
        <f>HYPERLINK("https://www.spark-marketing.ru/Card/Person/1051298", "МБОУ ОРЛОВСКАЯ НОШ")</f>
        <v>МБОУ ОРЛОВСКАЯ НОШ</v>
      </c>
      <c r="B10005" s="24" t="s">
        <v>14227</v>
      </c>
      <c r="C10005" s="25">
        <v>43410</v>
      </c>
      <c r="D10005" s="22" t="s">
        <v>14228</v>
      </c>
      <c r="E10005" s="22" t="s">
        <v>48</v>
      </c>
      <c r="F10005" s="23" t="str">
        <f>HYPERLINK("https://www.spark-marketing.ru/Card/Lot/72495959", "Оказание услуг по организации горячего питания учащихся и воспитанников дошкольной группы")</f>
        <v>Оказание услуг по организации горячего питания учащихся и воспитанников дошкольной группы</v>
      </c>
      <c r="G10005" s="22" t="s">
        <v>267</v>
      </c>
      <c r="H10005" s="22" t="s">
        <v>14218</v>
      </c>
      <c r="I10005" s="26">
        <v>43676.592731481498</v>
      </c>
      <c r="J10005" s="28" t="s">
        <v>51</v>
      </c>
      <c r="K10005" s="28" t="s">
        <v>51</v>
      </c>
      <c r="L10005" s="28" t="s">
        <v>51</v>
      </c>
      <c r="M10005" s="28" t="s">
        <v>51</v>
      </c>
      <c r="N10005" s="28" t="s">
        <v>51</v>
      </c>
    </row>
    <row r="10006" spans="1:14" x14ac:dyDescent="0.15">
      <c r="A10006" s="23" t="str">
        <f>HYPERLINK("https://www.spark-marketing.ru/Card/Person/6218347", "ГБОУ ""ИТШ № 777"" САНКТ-ПЕТЕРБУРГА")</f>
        <v>ГБОУ "ИТШ № 777" САНКТ-ПЕТЕРБУРГА</v>
      </c>
      <c r="B10006" s="24" t="s">
        <v>14229</v>
      </c>
      <c r="C10006" s="25">
        <v>14789096.449999999</v>
      </c>
      <c r="D10006" s="22" t="s">
        <v>14230</v>
      </c>
      <c r="E10006" s="22" t="s">
        <v>48</v>
      </c>
      <c r="F10006" s="23" t="str">
        <f>HYPERLINK("https://www.spark-marketing.ru/Card/Lot/72488637", "Оказание услуг по организации питания для нужд ГБОУ «ИТШ №777» Санкт-Петербурга")</f>
        <v>Оказание услуг по организации питания для нужд ГБОУ «ИТШ №777» Санкт-Петербурга</v>
      </c>
      <c r="G10006" s="22" t="s">
        <v>117</v>
      </c>
      <c r="H10006" s="22" t="s">
        <v>117</v>
      </c>
      <c r="I10006" s="26">
        <v>43676.588333333297</v>
      </c>
      <c r="J10006" s="23" t="str">
        <f>HYPERLINK("https://www.spark-marketing.ru/Card/Person/16209", "АО ""ФИРМА ФЛОРИДАН""")</f>
        <v>АО "ФИРМА ФЛОРИДАН"</v>
      </c>
      <c r="K10006" s="24" t="s">
        <v>14231</v>
      </c>
      <c r="L10006" s="22" t="s">
        <v>10</v>
      </c>
      <c r="M10006" s="28" t="s">
        <v>51</v>
      </c>
      <c r="N10006" s="28" t="s">
        <v>51</v>
      </c>
    </row>
    <row r="10007" spans="1:14" x14ac:dyDescent="0.15">
      <c r="A10007" s="23" t="str">
        <f>HYPERLINK("https://www.spark-marketing.ru/Card/Person/114525", "ОМВД РОССИИ ПО КОРСАКОВСКОМУ ГОРОДСКОМУ ОКРУГУ")</f>
        <v>ОМВД РОССИИ ПО КОРСАКОВСКОМУ ГОРОДСКОМУ ОКРУГУ</v>
      </c>
      <c r="B10007" s="24" t="s">
        <v>14232</v>
      </c>
      <c r="C10007" s="25">
        <v>1444000</v>
      </c>
      <c r="D10007" s="22" t="s">
        <v>14233</v>
      </c>
      <c r="E10007" s="22" t="s">
        <v>48</v>
      </c>
      <c r="F10007" s="23" t="str">
        <f>HYPERLINK("https://www.spark-marketing.ru/Card/Lot/72496029", "Услуги по обеспечению питанием спец контингента ИВС ОМВД России по Корсаковскому городскому округу")</f>
        <v>Услуги по обеспечению питанием спец контингента ИВС ОМВД России по Корсаковскому городскому округу</v>
      </c>
      <c r="G10007" s="22" t="s">
        <v>260</v>
      </c>
      <c r="H10007" s="22" t="s">
        <v>260</v>
      </c>
      <c r="I10007" s="26">
        <v>43676.602488425902</v>
      </c>
      <c r="J10007" s="23" t="str">
        <f>HYPERLINK("https://www.spark-marketing.ru/Card/Person/550158", "ООО ""БИОТА""")</f>
        <v>ООО "БИОТА"</v>
      </c>
      <c r="K10007" s="24" t="s">
        <v>14234</v>
      </c>
      <c r="L10007" s="22" t="s">
        <v>10</v>
      </c>
      <c r="M10007" s="28" t="s">
        <v>51</v>
      </c>
      <c r="N10007" s="28" t="s">
        <v>51</v>
      </c>
    </row>
    <row r="10008" spans="1:14" collapsed="1" x14ac:dyDescent="0.15">
      <c r="A10008" s="23" t="str">
        <f>HYPERLINK("https://www.spark-marketing.ru/Card/Person/83856", "УМВД РОССИИ ПО НАРО-ФОМИНСКОМУ ГОРОДСКОМУ ОКРУГУ")</f>
        <v>УМВД РОССИИ ПО НАРО-ФОМИНСКОМУ ГОРОДСКОМУ ОКРУГУ</v>
      </c>
      <c r="B10008" s="24" t="s">
        <v>14235</v>
      </c>
      <c r="C10008" s="25">
        <v>951801.92</v>
      </c>
      <c r="D10008" s="22" t="s">
        <v>14236</v>
      </c>
      <c r="E10008" s="22" t="s">
        <v>48</v>
      </c>
      <c r="F10008" s="23" t="str">
        <f>HYPERLINK("https://www.spark-marketing.ru/Card/Lot/72492244", "Оказание услуг по питанию граждан")</f>
        <v>Оказание услуг по питанию граждан</v>
      </c>
      <c r="G10008" s="22" t="s">
        <v>49</v>
      </c>
      <c r="H10008" s="22" t="s">
        <v>49</v>
      </c>
      <c r="I10008" s="26">
        <v>43676.617881944403</v>
      </c>
      <c r="J10008" s="28" t="s">
        <v>51</v>
      </c>
      <c r="K10008" s="28" t="s">
        <v>51</v>
      </c>
      <c r="L10008" s="28" t="s">
        <v>51</v>
      </c>
      <c r="M10008" s="28" t="s">
        <v>51</v>
      </c>
      <c r="N10008" s="28" t="s">
        <v>51</v>
      </c>
    </row>
    <row r="10009" spans="1:14" ht="12.75" hidden="1" outlineLevel="1" x14ac:dyDescent="0.2">
      <c r="A10009" s="23" t="str">
        <f>HYPERLINK("https://www.spark-marketing.ru/Card/Person/83856", "УМВД РОССИИ ПО НАРО-ФОМИНСКОМУ ГОРОДСКОМУ ОКРУГУ")</f>
        <v>УМВД РОССИИ ПО НАРО-ФОМИНСКОМУ ГОРОДСКОМУ ОКРУГУ</v>
      </c>
      <c r="B10009" s="24" t="s">
        <v>14235</v>
      </c>
      <c r="C10009" s="25">
        <v>951801.92</v>
      </c>
      <c r="D10009" s="22" t="s">
        <v>14236</v>
      </c>
      <c r="E10009" s="22" t="s">
        <v>48</v>
      </c>
      <c r="F10009" s="23" t="str">
        <f>HYPERLINK("https://www.spark-marketing.ru/Card/Lot/72492244", "Оказание услуг по питанию граждан")</f>
        <v>Оказание услуг по питанию граждан</v>
      </c>
      <c r="G10009" s="22" t="s">
        <v>49</v>
      </c>
      <c r="H10009" s="22" t="s">
        <v>49</v>
      </c>
      <c r="I10009" s="26">
        <v>43676.617881944403</v>
      </c>
      <c r="J10009" s="23" t="str">
        <f>HYPERLINK("https://www.spark-marketing.ru/Card/Person/6682773", "Марков Виталий Геннадьевич")</f>
        <v>Марков Виталий Геннадьевич</v>
      </c>
      <c r="K10009" s="24" t="s">
        <v>11402</v>
      </c>
      <c r="L10009" s="22" t="s">
        <v>10</v>
      </c>
      <c r="M10009" s="25">
        <v>899452.81</v>
      </c>
      <c r="N10009" s="27">
        <v>5.5000004622810593E-2</v>
      </c>
    </row>
    <row r="10010" spans="1:14" hidden="1" outlineLevel="1" x14ac:dyDescent="0.2">
      <c r="A10010" s="23" t="str">
        <f>HYPERLINK("https://www.spark-marketing.ru/Card/Person/83856", "УМВД РОССИИ ПО НАРО-ФОМИНСКОМУ ГОРОДСКОМУ ОКРУГУ")</f>
        <v>УМВД РОССИИ ПО НАРО-ФОМИНСКОМУ ГОРОДСКОМУ ОКРУГУ</v>
      </c>
      <c r="B10010" s="24" t="s">
        <v>14235</v>
      </c>
      <c r="C10010" s="25">
        <v>951801.92</v>
      </c>
      <c r="D10010" s="22" t="s">
        <v>14236</v>
      </c>
      <c r="E10010" s="22" t="s">
        <v>48</v>
      </c>
      <c r="F10010" s="23" t="str">
        <f>HYPERLINK("https://www.spark-marketing.ru/Card/Lot/72492244", "Оказание услуг по питанию граждан")</f>
        <v>Оказание услуг по питанию граждан</v>
      </c>
      <c r="G10010" s="22" t="s">
        <v>49</v>
      </c>
      <c r="H10010" s="22" t="s">
        <v>49</v>
      </c>
      <c r="I10010" s="26">
        <v>43676.617881944403</v>
      </c>
      <c r="J10010" s="23" t="str">
        <f>HYPERLINK("https://www.spark-marketing.ru/Card/Person/6443793", "ООО ""ВЕРОНА""")</f>
        <v>ООО "ВЕРОНА"</v>
      </c>
      <c r="K10010" s="24" t="s">
        <v>14237</v>
      </c>
      <c r="L10010" s="28" t="s">
        <v>51</v>
      </c>
      <c r="M10010" s="25">
        <v>904211.82</v>
      </c>
      <c r="N10010" s="27">
        <v>5.0000004202555084E-2</v>
      </c>
    </row>
    <row r="10011" spans="1:14" collapsed="1" x14ac:dyDescent="0.15">
      <c r="A10011" s="23" t="s">
        <v>114</v>
      </c>
      <c r="B10011" s="28" t="s">
        <v>51</v>
      </c>
      <c r="C10011" s="25">
        <v>27813889.390000001</v>
      </c>
      <c r="D10011" s="22" t="s">
        <v>14238</v>
      </c>
      <c r="E10011" s="22" t="s">
        <v>48</v>
      </c>
      <c r="F10011" s="23" t="str">
        <f t="shared" ref="F10011:F10026" si="257">HYPERLINK("https://www.spark-marketing.ru/Card/Lot/72532050", "Оказание услуг горячего питания для нужд образовательных учреждений")</f>
        <v>Оказание услуг горячего питания для нужд образовательных учреждений</v>
      </c>
      <c r="G10011" s="22" t="s">
        <v>51</v>
      </c>
      <c r="H10011" s="22" t="s">
        <v>51</v>
      </c>
      <c r="I10011" s="26">
        <v>43676.597650463002</v>
      </c>
      <c r="J10011" s="23" t="str">
        <f t="shared" ref="J10011:J10026" si="258">HYPERLINK("https://www.spark-marketing.ru/Card/Person/934640", "Малчинова Людмила Китовна")</f>
        <v>Малчинова Людмила Китовна</v>
      </c>
      <c r="K10011" s="24" t="s">
        <v>14239</v>
      </c>
      <c r="L10011" s="28" t="s">
        <v>51</v>
      </c>
      <c r="M10011" s="28" t="s">
        <v>51</v>
      </c>
      <c r="N10011" s="28" t="s">
        <v>51</v>
      </c>
    </row>
    <row r="10012" spans="1:14" hidden="1" outlineLevel="1" x14ac:dyDescent="0.15">
      <c r="A10012" s="23" t="str">
        <f>HYPERLINK("https://www.spark-marketing.ru/Card/Person/26790", "МКОУ ""КОШ-АГАЧСКАЯ СОШ ИМЕНИ В.И. ЧАПТЫНОВА""")</f>
        <v>МКОУ "КОШ-АГАЧСКАЯ СОШ ИМЕНИ В.И. ЧАПТЫНОВА"</v>
      </c>
      <c r="B10012" s="24" t="s">
        <v>14240</v>
      </c>
      <c r="C10012" s="25">
        <v>8595685.0600000005</v>
      </c>
      <c r="D10012" s="22" t="s">
        <v>14238</v>
      </c>
      <c r="E10012" s="22" t="s">
        <v>48</v>
      </c>
      <c r="F10012" s="23" t="str">
        <f t="shared" si="257"/>
        <v>Оказание услуг горячего питания для нужд образовательных учреждений</v>
      </c>
      <c r="G10012" s="22" t="s">
        <v>1141</v>
      </c>
      <c r="H10012" s="22" t="s">
        <v>14241</v>
      </c>
      <c r="I10012" s="26">
        <v>43676.597650463002</v>
      </c>
      <c r="J10012" s="23" t="str">
        <f t="shared" si="258"/>
        <v>Малчинова Людмила Китовна</v>
      </c>
      <c r="K10012" s="24" t="s">
        <v>14239</v>
      </c>
      <c r="L10012" s="28" t="s">
        <v>51</v>
      </c>
      <c r="M10012" s="28" t="s">
        <v>51</v>
      </c>
      <c r="N10012" s="28" t="s">
        <v>51</v>
      </c>
    </row>
    <row r="10013" spans="1:14" hidden="1" outlineLevel="1" x14ac:dyDescent="0.15">
      <c r="A10013" s="23" t="str">
        <f>HYPERLINK("https://www.spark-marketing.ru/Card/Person/80729", "МКОУ ""ТАШАНТИНСКАЯ ООШ""")</f>
        <v>МКОУ "ТАШАНТИНСКАЯ ООШ"</v>
      </c>
      <c r="B10013" s="24" t="s">
        <v>14242</v>
      </c>
      <c r="C10013" s="25">
        <v>884539.78</v>
      </c>
      <c r="D10013" s="22" t="s">
        <v>14238</v>
      </c>
      <c r="E10013" s="22" t="s">
        <v>48</v>
      </c>
      <c r="F10013" s="23" t="str">
        <f t="shared" si="257"/>
        <v>Оказание услуг горячего питания для нужд образовательных учреждений</v>
      </c>
      <c r="G10013" s="22" t="s">
        <v>1141</v>
      </c>
      <c r="H10013" s="22" t="s">
        <v>14241</v>
      </c>
      <c r="I10013" s="26">
        <v>43676.597650463002</v>
      </c>
      <c r="J10013" s="23" t="str">
        <f t="shared" si="258"/>
        <v>Малчинова Людмила Китовна</v>
      </c>
      <c r="K10013" s="24" t="s">
        <v>14239</v>
      </c>
      <c r="L10013" s="28" t="s">
        <v>51</v>
      </c>
      <c r="M10013" s="28" t="s">
        <v>51</v>
      </c>
      <c r="N10013" s="28" t="s">
        <v>51</v>
      </c>
    </row>
    <row r="10014" spans="1:14" hidden="1" outlineLevel="1" x14ac:dyDescent="0.15">
      <c r="A10014" s="23" t="str">
        <f>HYPERLINK("https://www.spark-marketing.ru/Card/Person/128129", "МКОУ ""КОШ-АГАЧСКАЯ СОШ ИМ.Л.И.ТЮКОВОЙ""")</f>
        <v>МКОУ "КОШ-АГАЧСКАЯ СОШ ИМ.Л.И.ТЮКОВОЙ"</v>
      </c>
      <c r="B10014" s="24" t="s">
        <v>14243</v>
      </c>
      <c r="C10014" s="25">
        <v>4564063.68</v>
      </c>
      <c r="D10014" s="22" t="s">
        <v>14238</v>
      </c>
      <c r="E10014" s="22" t="s">
        <v>48</v>
      </c>
      <c r="F10014" s="23" t="str">
        <f t="shared" si="257"/>
        <v>Оказание услуг горячего питания для нужд образовательных учреждений</v>
      </c>
      <c r="G10014" s="22" t="s">
        <v>1141</v>
      </c>
      <c r="H10014" s="22" t="s">
        <v>14241</v>
      </c>
      <c r="I10014" s="26">
        <v>43676.597650463002</v>
      </c>
      <c r="J10014" s="23" t="str">
        <f t="shared" si="258"/>
        <v>Малчинова Людмила Китовна</v>
      </c>
      <c r="K10014" s="24" t="s">
        <v>14239</v>
      </c>
      <c r="L10014" s="28" t="s">
        <v>51</v>
      </c>
      <c r="M10014" s="28" t="s">
        <v>51</v>
      </c>
      <c r="N10014" s="28" t="s">
        <v>51</v>
      </c>
    </row>
    <row r="10015" spans="1:14" hidden="1" outlineLevel="1" x14ac:dyDescent="0.15">
      <c r="A10015" s="23" t="str">
        <f>HYPERLINK("https://www.spark-marketing.ru/Card/Person/1060061", "МКОУ ""ЖАНА-АУЛЬСКАЯ СОШ""")</f>
        <v>МКОУ "ЖАНА-АУЛЬСКАЯ СОШ"</v>
      </c>
      <c r="B10015" s="24" t="s">
        <v>14244</v>
      </c>
      <c r="C10015" s="25">
        <v>1266032.32</v>
      </c>
      <c r="D10015" s="22" t="s">
        <v>14238</v>
      </c>
      <c r="E10015" s="22" t="s">
        <v>48</v>
      </c>
      <c r="F10015" s="23" t="str">
        <f t="shared" si="257"/>
        <v>Оказание услуг горячего питания для нужд образовательных учреждений</v>
      </c>
      <c r="G10015" s="22" t="s">
        <v>1141</v>
      </c>
      <c r="H10015" s="22" t="s">
        <v>14241</v>
      </c>
      <c r="I10015" s="26">
        <v>43676.597650463002</v>
      </c>
      <c r="J10015" s="23" t="str">
        <f t="shared" si="258"/>
        <v>Малчинова Людмила Китовна</v>
      </c>
      <c r="K10015" s="24" t="s">
        <v>14239</v>
      </c>
      <c r="L10015" s="28" t="s">
        <v>51</v>
      </c>
      <c r="M10015" s="28" t="s">
        <v>51</v>
      </c>
      <c r="N10015" s="28" t="s">
        <v>51</v>
      </c>
    </row>
    <row r="10016" spans="1:14" hidden="1" outlineLevel="1" x14ac:dyDescent="0.15">
      <c r="A10016" s="23" t="str">
        <f>HYPERLINK("https://www.spark-marketing.ru/Card/Person/1060446", "МКДОУ ДСОВ ""ТИЙНЕШ""")</f>
        <v>МКДОУ ДСОВ "ТИЙНЕШ"</v>
      </c>
      <c r="B10016" s="24" t="s">
        <v>14245</v>
      </c>
      <c r="C10016" s="25">
        <v>872867</v>
      </c>
      <c r="D10016" s="22" t="s">
        <v>14238</v>
      </c>
      <c r="E10016" s="22" t="s">
        <v>48</v>
      </c>
      <c r="F10016" s="23" t="str">
        <f t="shared" si="257"/>
        <v>Оказание услуг горячего питания для нужд образовательных учреждений</v>
      </c>
      <c r="G10016" s="22" t="s">
        <v>1141</v>
      </c>
      <c r="H10016" s="22" t="s">
        <v>14241</v>
      </c>
      <c r="I10016" s="26">
        <v>43676.597650463002</v>
      </c>
      <c r="J10016" s="23" t="str">
        <f t="shared" si="258"/>
        <v>Малчинова Людмила Китовна</v>
      </c>
      <c r="K10016" s="24" t="s">
        <v>14239</v>
      </c>
      <c r="L10016" s="28" t="s">
        <v>51</v>
      </c>
      <c r="M10016" s="28" t="s">
        <v>51</v>
      </c>
      <c r="N10016" s="28" t="s">
        <v>51</v>
      </c>
    </row>
    <row r="10017" spans="1:14" hidden="1" outlineLevel="1" x14ac:dyDescent="0.15">
      <c r="A10017" s="23" t="str">
        <f>HYPERLINK("https://www.spark-marketing.ru/Card/Person/1061338", "МКОУ ""ЧАГАН-УЗУНСКАЯ СОШ ИМ. П.И.ОСЬКИНОЙ""")</f>
        <v>МКОУ "ЧАГАН-УЗУНСКАЯ СОШ ИМ. П.И.ОСЬКИНОЙ"</v>
      </c>
      <c r="B10017" s="24" t="s">
        <v>14246</v>
      </c>
      <c r="C10017" s="25">
        <v>564469.73</v>
      </c>
      <c r="D10017" s="22" t="s">
        <v>14238</v>
      </c>
      <c r="E10017" s="22" t="s">
        <v>48</v>
      </c>
      <c r="F10017" s="23" t="str">
        <f t="shared" si="257"/>
        <v>Оказание услуг горячего питания для нужд образовательных учреждений</v>
      </c>
      <c r="G10017" s="22" t="s">
        <v>1141</v>
      </c>
      <c r="H10017" s="22" t="s">
        <v>14241</v>
      </c>
      <c r="I10017" s="26">
        <v>43676.597650463002</v>
      </c>
      <c r="J10017" s="23" t="str">
        <f t="shared" si="258"/>
        <v>Малчинова Людмила Китовна</v>
      </c>
      <c r="K10017" s="24" t="s">
        <v>14239</v>
      </c>
      <c r="L10017" s="28" t="s">
        <v>51</v>
      </c>
      <c r="M10017" s="28" t="s">
        <v>51</v>
      </c>
      <c r="N10017" s="28" t="s">
        <v>51</v>
      </c>
    </row>
    <row r="10018" spans="1:14" hidden="1" outlineLevel="1" x14ac:dyDescent="0.15">
      <c r="A10018" s="23" t="str">
        <f>HYPERLINK("https://www.spark-marketing.ru/Card/Person/1061381", "МКОУ ""ТЕЛЕНГИТ-СОРТОГОЙСКАЯ СОШ""")</f>
        <v>МКОУ "ТЕЛЕНГИТ-СОРТОГОЙСКАЯ СОШ"</v>
      </c>
      <c r="B10018" s="24" t="s">
        <v>14247</v>
      </c>
      <c r="C10018" s="25">
        <v>1087377.93</v>
      </c>
      <c r="D10018" s="22" t="s">
        <v>14238</v>
      </c>
      <c r="E10018" s="22" t="s">
        <v>48</v>
      </c>
      <c r="F10018" s="23" t="str">
        <f t="shared" si="257"/>
        <v>Оказание услуг горячего питания для нужд образовательных учреждений</v>
      </c>
      <c r="G10018" s="22" t="s">
        <v>1141</v>
      </c>
      <c r="H10018" s="22" t="s">
        <v>14241</v>
      </c>
      <c r="I10018" s="26">
        <v>43676.597650463002</v>
      </c>
      <c r="J10018" s="23" t="str">
        <f t="shared" si="258"/>
        <v>Малчинова Людмила Китовна</v>
      </c>
      <c r="K10018" s="24" t="s">
        <v>14239</v>
      </c>
      <c r="L10018" s="28" t="s">
        <v>51</v>
      </c>
      <c r="M10018" s="28" t="s">
        <v>51</v>
      </c>
      <c r="N10018" s="28" t="s">
        <v>51</v>
      </c>
    </row>
    <row r="10019" spans="1:14" hidden="1" outlineLevel="1" x14ac:dyDescent="0.15">
      <c r="A10019" s="23" t="str">
        <f>HYPERLINK("https://www.spark-marketing.ru/Card/Person/1061558", "МКОУ ""ОРТОЛЫКСКАЯ СОШ ИМ.М.И.ЛАПШИНА""")</f>
        <v>МКОУ "ОРТОЛЫКСКАЯ СОШ ИМ.М.И.ЛАПШИНА"</v>
      </c>
      <c r="B10019" s="24" t="s">
        <v>14248</v>
      </c>
      <c r="C10019" s="25">
        <v>968562.01</v>
      </c>
      <c r="D10019" s="22" t="s">
        <v>14238</v>
      </c>
      <c r="E10019" s="22" t="s">
        <v>48</v>
      </c>
      <c r="F10019" s="23" t="str">
        <f t="shared" si="257"/>
        <v>Оказание услуг горячего питания для нужд образовательных учреждений</v>
      </c>
      <c r="G10019" s="22" t="s">
        <v>1141</v>
      </c>
      <c r="H10019" s="22" t="s">
        <v>14241</v>
      </c>
      <c r="I10019" s="26">
        <v>43676.597650463002</v>
      </c>
      <c r="J10019" s="23" t="str">
        <f t="shared" si="258"/>
        <v>Малчинова Людмила Китовна</v>
      </c>
      <c r="K10019" s="24" t="s">
        <v>14239</v>
      </c>
      <c r="L10019" s="28" t="s">
        <v>51</v>
      </c>
      <c r="M10019" s="28" t="s">
        <v>51</v>
      </c>
      <c r="N10019" s="28" t="s">
        <v>51</v>
      </c>
    </row>
    <row r="10020" spans="1:14" hidden="1" outlineLevel="1" x14ac:dyDescent="0.15">
      <c r="A10020" s="23" t="str">
        <f>HYPERLINK("https://www.spark-marketing.ru/Card/Person/1061881", "МКОУ ""МУХОР-ТАРХАТИНСКАЯ СОШ""")</f>
        <v>МКОУ "МУХОР-ТАРХАТИНСКАЯ СОШ"</v>
      </c>
      <c r="B10020" s="24" t="s">
        <v>14249</v>
      </c>
      <c r="C10020" s="25">
        <v>1222370.78</v>
      </c>
      <c r="D10020" s="22" t="s">
        <v>14238</v>
      </c>
      <c r="E10020" s="22" t="s">
        <v>48</v>
      </c>
      <c r="F10020" s="23" t="str">
        <f t="shared" si="257"/>
        <v>Оказание услуг горячего питания для нужд образовательных учреждений</v>
      </c>
      <c r="G10020" s="22" t="s">
        <v>1141</v>
      </c>
      <c r="H10020" s="22" t="s">
        <v>14241</v>
      </c>
      <c r="I10020" s="26">
        <v>43676.597650463002</v>
      </c>
      <c r="J10020" s="23" t="str">
        <f t="shared" si="258"/>
        <v>Малчинова Людмила Китовна</v>
      </c>
      <c r="K10020" s="24" t="s">
        <v>14239</v>
      </c>
      <c r="L10020" s="28" t="s">
        <v>51</v>
      </c>
      <c r="M10020" s="28" t="s">
        <v>51</v>
      </c>
      <c r="N10020" s="28" t="s">
        <v>51</v>
      </c>
    </row>
    <row r="10021" spans="1:14" hidden="1" outlineLevel="1" x14ac:dyDescent="0.15">
      <c r="A10021" s="23" t="str">
        <f>HYPERLINK("https://www.spark-marketing.ru/Card/Person/1061888", "МКОУ ""БЕЛЬТИРСКАЯ СОШ ИМЕНИ К.ТЕБЕКОВОЙ""")</f>
        <v>МКОУ "БЕЛЬТИРСКАЯ СОШ ИМЕНИ К.ТЕБЕКОВОЙ"</v>
      </c>
      <c r="B10021" s="24" t="s">
        <v>14250</v>
      </c>
      <c r="C10021" s="25">
        <v>1410309.29</v>
      </c>
      <c r="D10021" s="22" t="s">
        <v>14238</v>
      </c>
      <c r="E10021" s="22" t="s">
        <v>48</v>
      </c>
      <c r="F10021" s="23" t="str">
        <f t="shared" si="257"/>
        <v>Оказание услуг горячего питания для нужд образовательных учреждений</v>
      </c>
      <c r="G10021" s="22" t="s">
        <v>1141</v>
      </c>
      <c r="H10021" s="22" t="s">
        <v>14241</v>
      </c>
      <c r="I10021" s="26">
        <v>43676.597650463002</v>
      </c>
      <c r="J10021" s="23" t="str">
        <f t="shared" si="258"/>
        <v>Малчинова Людмила Китовна</v>
      </c>
      <c r="K10021" s="24" t="s">
        <v>14239</v>
      </c>
      <c r="L10021" s="28" t="s">
        <v>51</v>
      </c>
      <c r="M10021" s="28" t="s">
        <v>51</v>
      </c>
      <c r="N10021" s="28" t="s">
        <v>51</v>
      </c>
    </row>
    <row r="10022" spans="1:14" hidden="1" outlineLevel="1" x14ac:dyDescent="0.15">
      <c r="A10022" s="23" t="str">
        <f>HYPERLINK("https://www.spark-marketing.ru/Card/Person/1061963", "МКОУ ""КУРАЙСКАЯ СОШ""")</f>
        <v>МКОУ "КУРАЙСКАЯ СОШ"</v>
      </c>
      <c r="B10022" s="24" t="s">
        <v>14251</v>
      </c>
      <c r="C10022" s="25">
        <v>2511538.9300000002</v>
      </c>
      <c r="D10022" s="22" t="s">
        <v>14238</v>
      </c>
      <c r="E10022" s="22" t="s">
        <v>48</v>
      </c>
      <c r="F10022" s="23" t="str">
        <f t="shared" si="257"/>
        <v>Оказание услуг горячего питания для нужд образовательных учреждений</v>
      </c>
      <c r="G10022" s="22" t="s">
        <v>1141</v>
      </c>
      <c r="H10022" s="22" t="s">
        <v>14241</v>
      </c>
      <c r="I10022" s="26">
        <v>43676.597650463002</v>
      </c>
      <c r="J10022" s="23" t="str">
        <f t="shared" si="258"/>
        <v>Малчинова Людмила Китовна</v>
      </c>
      <c r="K10022" s="24" t="s">
        <v>14239</v>
      </c>
      <c r="L10022" s="28" t="s">
        <v>51</v>
      </c>
      <c r="M10022" s="28" t="s">
        <v>51</v>
      </c>
      <c r="N10022" s="28" t="s">
        <v>51</v>
      </c>
    </row>
    <row r="10023" spans="1:14" hidden="1" outlineLevel="1" x14ac:dyDescent="0.15">
      <c r="A10023" s="23" t="str">
        <f>HYPERLINK("https://www.spark-marketing.ru/Card/Person/1062088", "МКОУ ""КОКОРИНСКАЯ СОШ""")</f>
        <v>МКОУ "КОКОРИНСКАЯ СОШ"</v>
      </c>
      <c r="B10023" s="24" t="s">
        <v>14252</v>
      </c>
      <c r="C10023" s="25">
        <v>1029932.73</v>
      </c>
      <c r="D10023" s="22" t="s">
        <v>14238</v>
      </c>
      <c r="E10023" s="22" t="s">
        <v>48</v>
      </c>
      <c r="F10023" s="23" t="str">
        <f t="shared" si="257"/>
        <v>Оказание услуг горячего питания для нужд образовательных учреждений</v>
      </c>
      <c r="G10023" s="22" t="s">
        <v>1141</v>
      </c>
      <c r="H10023" s="22" t="s">
        <v>14241</v>
      </c>
      <c r="I10023" s="26">
        <v>43676.597650463002</v>
      </c>
      <c r="J10023" s="23" t="str">
        <f t="shared" si="258"/>
        <v>Малчинова Людмила Китовна</v>
      </c>
      <c r="K10023" s="24" t="s">
        <v>14239</v>
      </c>
      <c r="L10023" s="28" t="s">
        <v>51</v>
      </c>
      <c r="M10023" s="28" t="s">
        <v>51</v>
      </c>
      <c r="N10023" s="28" t="s">
        <v>51</v>
      </c>
    </row>
    <row r="10024" spans="1:14" hidden="1" outlineLevel="1" x14ac:dyDescent="0.15">
      <c r="A10024" s="23" t="str">
        <f>HYPERLINK("https://www.spark-marketing.ru/Card/Person/1062190", "МКОУ ""ТОБЕЛЕРСКАЯ СОШ ИМ.А.КОЖАБАЕВА""")</f>
        <v>МКОУ "ТОБЕЛЕРСКАЯ СОШ ИМ.А.КОЖАБАЕВА"</v>
      </c>
      <c r="B10024" s="24" t="s">
        <v>14253</v>
      </c>
      <c r="C10024" s="25">
        <v>1283026.02</v>
      </c>
      <c r="D10024" s="22" t="s">
        <v>14238</v>
      </c>
      <c r="E10024" s="22" t="s">
        <v>48</v>
      </c>
      <c r="F10024" s="23" t="str">
        <f t="shared" si="257"/>
        <v>Оказание услуг горячего питания для нужд образовательных учреждений</v>
      </c>
      <c r="G10024" s="22" t="s">
        <v>1141</v>
      </c>
      <c r="H10024" s="22" t="s">
        <v>14241</v>
      </c>
      <c r="I10024" s="26">
        <v>43676.597650463002</v>
      </c>
      <c r="J10024" s="23" t="str">
        <f t="shared" si="258"/>
        <v>Малчинова Людмила Китовна</v>
      </c>
      <c r="K10024" s="24" t="s">
        <v>14239</v>
      </c>
      <c r="L10024" s="28" t="s">
        <v>51</v>
      </c>
      <c r="M10024" s="28" t="s">
        <v>51</v>
      </c>
      <c r="N10024" s="28" t="s">
        <v>51</v>
      </c>
    </row>
    <row r="10025" spans="1:14" hidden="1" outlineLevel="1" x14ac:dyDescent="0.15">
      <c r="A10025" s="23" t="str">
        <f>HYPERLINK("https://www.spark-marketing.ru/Card/Person/1062193", "МКОУ ""ДЖАЗАТОРСКАЯ СОШ ИМЕНИ М.И.БЕРСИМБАЕВА""")</f>
        <v>МКОУ "ДЖАЗАТОРСКАЯ СОШ ИМЕНИ М.И.БЕРСИМБАЕВА"</v>
      </c>
      <c r="B10025" s="24" t="s">
        <v>14254</v>
      </c>
      <c r="C10025" s="25">
        <v>1553114.13</v>
      </c>
      <c r="D10025" s="22" t="s">
        <v>14238</v>
      </c>
      <c r="E10025" s="22" t="s">
        <v>48</v>
      </c>
      <c r="F10025" s="23" t="str">
        <f t="shared" si="257"/>
        <v>Оказание услуг горячего питания для нужд образовательных учреждений</v>
      </c>
      <c r="G10025" s="22" t="s">
        <v>1141</v>
      </c>
      <c r="H10025" s="22" t="s">
        <v>14241</v>
      </c>
      <c r="I10025" s="26">
        <v>43676.597650463002</v>
      </c>
      <c r="J10025" s="23" t="str">
        <f t="shared" si="258"/>
        <v>Малчинова Людмила Китовна</v>
      </c>
      <c r="K10025" s="24" t="s">
        <v>14239</v>
      </c>
      <c r="L10025" s="28" t="s">
        <v>51</v>
      </c>
      <c r="M10025" s="28" t="s">
        <v>51</v>
      </c>
      <c r="N10025" s="28" t="s">
        <v>51</v>
      </c>
    </row>
    <row r="10026" spans="1:14" hidden="1" outlineLevel="1" x14ac:dyDescent="0.2">
      <c r="A10026" s="28" t="s">
        <v>51</v>
      </c>
      <c r="B10026" s="28" t="s">
        <v>51</v>
      </c>
      <c r="C10026" s="28" t="s">
        <v>51</v>
      </c>
      <c r="D10026" s="22" t="s">
        <v>14238</v>
      </c>
      <c r="E10026" s="22" t="s">
        <v>48</v>
      </c>
      <c r="F10026" s="23" t="str">
        <f t="shared" si="257"/>
        <v>Оказание услуг горячего питания для нужд образовательных учреждений</v>
      </c>
      <c r="G10026" s="22" t="s">
        <v>51</v>
      </c>
      <c r="H10026" s="22" t="s">
        <v>51</v>
      </c>
      <c r="I10026" s="26">
        <v>43676.597650463002</v>
      </c>
      <c r="J10026" s="23" t="str">
        <f t="shared" si="258"/>
        <v>Малчинова Людмила Китовна</v>
      </c>
      <c r="K10026" s="24" t="s">
        <v>14239</v>
      </c>
      <c r="L10026" s="22" t="s">
        <v>10</v>
      </c>
      <c r="M10026" s="25">
        <v>27674819.940000001</v>
      </c>
      <c r="N10026" s="27">
        <v>5.000000109657443E-3</v>
      </c>
    </row>
    <row r="10027" spans="1:14" x14ac:dyDescent="0.15">
      <c r="A10027" s="23" t="str">
        <f>HYPERLINK("https://www.spark-marketing.ru/Card/Person/114525", "ОМВД РОССИИ ПО КОРСАКОВСКОМУ ГОРОДСКОМУ ОКРУГУ")</f>
        <v>ОМВД РОССИИ ПО КОРСАКОВСКОМУ ГОРОДСКОМУ ОКРУГУ</v>
      </c>
      <c r="B10027" s="24" t="s">
        <v>14232</v>
      </c>
      <c r="C10027" s="25">
        <v>1444000</v>
      </c>
      <c r="D10027" s="22" t="s">
        <v>14255</v>
      </c>
      <c r="E10027" s="22" t="s">
        <v>48</v>
      </c>
      <c r="F10027" s="23" t="str">
        <f>HYPERLINK("https://www.spark-marketing.ru/Card/Lot/72496031", "Услуги по обеспечению питанием спец контингента ИВС ОМВД России по Корсаковскому городскому округу")</f>
        <v>Услуги по обеспечению питанием спец контингента ИВС ОМВД России по Корсаковскому городскому округу</v>
      </c>
      <c r="G10027" s="22" t="s">
        <v>260</v>
      </c>
      <c r="H10027" s="22" t="s">
        <v>260</v>
      </c>
      <c r="I10027" s="26">
        <v>43676.603356481501</v>
      </c>
      <c r="J10027" s="23" t="str">
        <f>HYPERLINK("https://www.spark-marketing.ru/Card/Person/550158", "ООО ""БИОТА""")</f>
        <v>ООО "БИОТА"</v>
      </c>
      <c r="K10027" s="24" t="s">
        <v>14234</v>
      </c>
      <c r="L10027" s="22" t="s">
        <v>10</v>
      </c>
      <c r="M10027" s="28" t="s">
        <v>51</v>
      </c>
      <c r="N10027" s="28" t="s">
        <v>51</v>
      </c>
    </row>
    <row r="10028" spans="1:14" x14ac:dyDescent="0.15">
      <c r="A10028" s="23" t="str">
        <f>HYPERLINK("https://www.spark-marketing.ru/Card/Person/1048834", "МБОУ ПЕРВОМАЙСКАЯ ООШ")</f>
        <v>МБОУ ПЕРВОМАЙСКАЯ ООШ</v>
      </c>
      <c r="B10028" s="24" t="s">
        <v>14256</v>
      </c>
      <c r="C10028" s="25">
        <v>100951.2</v>
      </c>
      <c r="D10028" s="22" t="s">
        <v>14257</v>
      </c>
      <c r="E10028" s="22" t="s">
        <v>48</v>
      </c>
      <c r="F10028" s="23" t="str">
        <f>HYPERLINK("https://www.spark-marketing.ru/Card/Lot/72495886", "Оказание услуг по организации горячего питания учащихся и воспитанников дошкольной группы")</f>
        <v>Оказание услуг по организации горячего питания учащихся и воспитанников дошкольной группы</v>
      </c>
      <c r="G10028" s="22" t="s">
        <v>267</v>
      </c>
      <c r="H10028" s="22" t="s">
        <v>14218</v>
      </c>
      <c r="I10028" s="26">
        <v>43676.566770833299</v>
      </c>
      <c r="J10028" s="28" t="s">
        <v>51</v>
      </c>
      <c r="K10028" s="28" t="s">
        <v>51</v>
      </c>
      <c r="L10028" s="28" t="s">
        <v>51</v>
      </c>
      <c r="M10028" s="28" t="s">
        <v>51</v>
      </c>
      <c r="N10028" s="28" t="s">
        <v>51</v>
      </c>
    </row>
    <row r="10029" spans="1:14" collapsed="1" x14ac:dyDescent="0.15">
      <c r="A10029" s="23" t="str">
        <f>HYPERLINK("https://www.spark-marketing.ru/Card/Person/1234", "ВОЙСКОВАЯ ЧАСТЬ 66631")</f>
        <v>ВОЙСКОВАЯ ЧАСТЬ 66631</v>
      </c>
      <c r="B10029" s="24" t="s">
        <v>14258</v>
      </c>
      <c r="C10029" s="25">
        <v>3378180</v>
      </c>
      <c r="D10029" s="22" t="s">
        <v>14259</v>
      </c>
      <c r="E10029" s="22" t="s">
        <v>3325</v>
      </c>
      <c r="F10029" s="23" t="str">
        <f>HYPERLINK("https://www.spark-marketing.ru/Card/Lot/72530625", "Услуи по вывозу (удалению) пищевых отходов с объекта общественного питания")</f>
        <v>Услуи по вывозу (удалению) пищевых отходов с объекта общественного питания</v>
      </c>
      <c r="G10029" s="22" t="s">
        <v>49</v>
      </c>
      <c r="H10029" s="22" t="s">
        <v>49</v>
      </c>
      <c r="I10029" s="26">
        <v>43676.579490740703</v>
      </c>
      <c r="J10029" s="28" t="s">
        <v>51</v>
      </c>
      <c r="K10029" s="28" t="s">
        <v>51</v>
      </c>
      <c r="L10029" s="28" t="s">
        <v>51</v>
      </c>
      <c r="M10029" s="28" t="s">
        <v>51</v>
      </c>
      <c r="N10029" s="28" t="s">
        <v>51</v>
      </c>
    </row>
    <row r="10030" spans="1:14" hidden="1" outlineLevel="1" x14ac:dyDescent="0.2">
      <c r="A10030" s="23" t="str">
        <f>HYPERLINK("https://www.spark-marketing.ru/Card/Person/1234", "ВОЙСКОВАЯ ЧАСТЬ 66631")</f>
        <v>ВОЙСКОВАЯ ЧАСТЬ 66631</v>
      </c>
      <c r="B10030" s="24" t="s">
        <v>14258</v>
      </c>
      <c r="C10030" s="25">
        <v>3378180</v>
      </c>
      <c r="D10030" s="22" t="s">
        <v>14259</v>
      </c>
      <c r="E10030" s="22" t="s">
        <v>3325</v>
      </c>
      <c r="F10030" s="23" t="str">
        <f>HYPERLINK("https://www.spark-marketing.ru/Card/Lot/72530625", "Услуи по вывозу (удалению) пищевых отходов с объекта общественного питания")</f>
        <v>Услуи по вывозу (удалению) пищевых отходов с объекта общественного питания</v>
      </c>
      <c r="G10030" s="22" t="s">
        <v>49</v>
      </c>
      <c r="H10030" s="22" t="s">
        <v>49</v>
      </c>
      <c r="I10030" s="26">
        <v>43676.579490740703</v>
      </c>
      <c r="J10030" s="23" t="str">
        <f>HYPERLINK("https://www.spark-marketing.ru/Card/Person/87989", "ООО""ТРАНСМЕД""")</f>
        <v>ООО"ТРАНСМЕД"</v>
      </c>
      <c r="K10030" s="24" t="s">
        <v>14260</v>
      </c>
      <c r="L10030" s="28" t="s">
        <v>51</v>
      </c>
      <c r="M10030" s="25">
        <v>3359148</v>
      </c>
      <c r="N10030" s="27">
        <v>5.6338028169014088E-3</v>
      </c>
    </row>
    <row r="10031" spans="1:14" ht="12.75" hidden="1" outlineLevel="1" x14ac:dyDescent="0.2">
      <c r="A10031" s="23" t="str">
        <f>HYPERLINK("https://www.spark-marketing.ru/Card/Person/1234", "ВОЙСКОВАЯ ЧАСТЬ 66631")</f>
        <v>ВОЙСКОВАЯ ЧАСТЬ 66631</v>
      </c>
      <c r="B10031" s="24" t="s">
        <v>14258</v>
      </c>
      <c r="C10031" s="25">
        <v>3378180</v>
      </c>
      <c r="D10031" s="22" t="s">
        <v>14259</v>
      </c>
      <c r="E10031" s="22" t="s">
        <v>3325</v>
      </c>
      <c r="F10031" s="23" t="str">
        <f>HYPERLINK("https://www.spark-marketing.ru/Card/Lot/72530625", "Услуи по вывозу (удалению) пищевых отходов с объекта общественного питания")</f>
        <v>Услуи по вывозу (удалению) пищевых отходов с объекта общественного питания</v>
      </c>
      <c r="G10031" s="22" t="s">
        <v>49</v>
      </c>
      <c r="H10031" s="22" t="s">
        <v>49</v>
      </c>
      <c r="I10031" s="26">
        <v>43676.579490740703</v>
      </c>
      <c r="J10031" s="23" t="str">
        <f>HYPERLINK("https://www.spark-marketing.ru/Card/Person/82641", "ООО ""ЧИСТАЯ ЖИЗНЬ""")</f>
        <v>ООО "ЧИСТАЯ ЖИЗНЬ"</v>
      </c>
      <c r="K10031" s="24" t="s">
        <v>14261</v>
      </c>
      <c r="L10031" s="22" t="s">
        <v>10</v>
      </c>
      <c r="M10031" s="25">
        <v>3359148</v>
      </c>
      <c r="N10031" s="27">
        <v>5.6338028169014088E-3</v>
      </c>
    </row>
    <row r="10032" spans="1:14" hidden="1" outlineLevel="1" x14ac:dyDescent="0.2">
      <c r="A10032" s="23" t="str">
        <f>HYPERLINK("https://www.spark-marketing.ru/Card/Person/1234", "ВОЙСКОВАЯ ЧАСТЬ 66631")</f>
        <v>ВОЙСКОВАЯ ЧАСТЬ 66631</v>
      </c>
      <c r="B10032" s="24" t="s">
        <v>14258</v>
      </c>
      <c r="C10032" s="25">
        <v>3378180</v>
      </c>
      <c r="D10032" s="22" t="s">
        <v>14259</v>
      </c>
      <c r="E10032" s="22" t="s">
        <v>3325</v>
      </c>
      <c r="F10032" s="23" t="str">
        <f>HYPERLINK("https://www.spark-marketing.ru/Card/Lot/72530625", "Услуи по вывозу (удалению) пищевых отходов с объекта общественного питания")</f>
        <v>Услуи по вывозу (удалению) пищевых отходов с объекта общественного питания</v>
      </c>
      <c r="G10032" s="22" t="s">
        <v>49</v>
      </c>
      <c r="H10032" s="22" t="s">
        <v>49</v>
      </c>
      <c r="I10032" s="26">
        <v>43676.579490740703</v>
      </c>
      <c r="J10032" s="23" t="str">
        <f>HYPERLINK("https://www.spark-marketing.ru/Card/Person/699886", "ЗАО ""ЭКОЛОГИЯ ОБРАЩЕНИЯ ОТХОДОВ""")</f>
        <v>ЗАО "ЭКОЛОГИЯ ОБРАЩЕНИЯ ОТХОДОВ"</v>
      </c>
      <c r="K10032" s="24" t="s">
        <v>14262</v>
      </c>
      <c r="L10032" s="28" t="s">
        <v>51</v>
      </c>
      <c r="M10032" s="25">
        <v>3378180</v>
      </c>
      <c r="N10032" s="27">
        <v>0</v>
      </c>
    </row>
    <row r="10033" spans="1:14" x14ac:dyDescent="0.15">
      <c r="A10033" s="23" t="str">
        <f>HYPERLINK("https://www.spark-marketing.ru/Card/Person/1054247", "МБОУ АВАНГАРДОВСКАЯ ООШ")</f>
        <v>МБОУ АВАНГАРДОВСКАЯ ООШ</v>
      </c>
      <c r="B10033" s="24" t="s">
        <v>14263</v>
      </c>
      <c r="C10033" s="25">
        <v>31732.799999999999</v>
      </c>
      <c r="D10033" s="22" t="s">
        <v>14264</v>
      </c>
      <c r="E10033" s="22" t="s">
        <v>48</v>
      </c>
      <c r="F10033" s="23" t="str">
        <f>HYPERLINK("https://www.spark-marketing.ru/Card/Lot/72495861", "Оказание услуг по организации горячего питания учащихся и воспитанников дошкольной группы")</f>
        <v>Оказание услуг по организации горячего питания учащихся и воспитанников дошкольной группы</v>
      </c>
      <c r="G10033" s="22" t="s">
        <v>267</v>
      </c>
      <c r="H10033" s="22" t="s">
        <v>14218</v>
      </c>
      <c r="I10033" s="26">
        <v>43676.560173611098</v>
      </c>
      <c r="J10033" s="28" t="s">
        <v>51</v>
      </c>
      <c r="K10033" s="28" t="s">
        <v>51</v>
      </c>
      <c r="L10033" s="28" t="s">
        <v>51</v>
      </c>
      <c r="M10033" s="28" t="s">
        <v>51</v>
      </c>
      <c r="N10033" s="28" t="s">
        <v>51</v>
      </c>
    </row>
    <row r="10034" spans="1:14" x14ac:dyDescent="0.15">
      <c r="A10034" s="23" t="str">
        <f>HYPERLINK("https://www.spark-marketing.ru/Card/Person/997532", "ГБУЗ МО ""МОДБ""")</f>
        <v>ГБУЗ МО "МОДБ"</v>
      </c>
      <c r="B10034" s="24" t="s">
        <v>14265</v>
      </c>
      <c r="C10034" s="25">
        <v>1015263</v>
      </c>
      <c r="D10034" s="22" t="s">
        <v>14266</v>
      </c>
      <c r="E10034" s="22" t="s">
        <v>48</v>
      </c>
      <c r="F10034" s="23" t="str">
        <f>HYPERLINK("https://www.spark-marketing.ru/Card/Lot/72492125",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10034" s="22" t="s">
        <v>49</v>
      </c>
      <c r="H10034" s="22" t="s">
        <v>50</v>
      </c>
      <c r="I10034" s="26">
        <v>43676.564837963</v>
      </c>
      <c r="J10034" s="23" t="str">
        <f>HYPERLINK("https://www.spark-marketing.ru/Card/Person/47262", "МУП ""ПКП И ОРТ""")</f>
        <v>МУП "ПКП И ОРТ"</v>
      </c>
      <c r="K10034" s="24" t="s">
        <v>4140</v>
      </c>
      <c r="L10034" s="22" t="s">
        <v>10</v>
      </c>
      <c r="M10034" s="28" t="s">
        <v>51</v>
      </c>
      <c r="N10034" s="28" t="s">
        <v>51</v>
      </c>
    </row>
    <row r="10035" spans="1:14" x14ac:dyDescent="0.15">
      <c r="A10035" s="23" t="str">
        <f>HYPERLINK("https://www.spark-marketing.ru/Card/Person/1067621", "МБОУ КУТЕЙНИКОВСКАЯ СОШ")</f>
        <v>МБОУ КУТЕЙНИКОВСКАЯ СОШ</v>
      </c>
      <c r="B10035" s="24" t="s">
        <v>14267</v>
      </c>
      <c r="C10035" s="25">
        <v>47008.800000000003</v>
      </c>
      <c r="D10035" s="22" t="s">
        <v>14268</v>
      </c>
      <c r="E10035" s="22" t="s">
        <v>48</v>
      </c>
      <c r="F10035" s="23" t="str">
        <f>HYPERLINK("https://www.spark-marketing.ru/Card/Lot/72495888", "Оказание услуг по организации горячего питания учащихся и воспитанников дошкольной группы")</f>
        <v>Оказание услуг по организации горячего питания учащихся и воспитанников дошкольной группы</v>
      </c>
      <c r="G10035" s="22" t="s">
        <v>267</v>
      </c>
      <c r="H10035" s="22" t="s">
        <v>14218</v>
      </c>
      <c r="I10035" s="26">
        <v>43676.575162036999</v>
      </c>
      <c r="J10035" s="28" t="s">
        <v>51</v>
      </c>
      <c r="K10035" s="28" t="s">
        <v>51</v>
      </c>
      <c r="L10035" s="28" t="s">
        <v>51</v>
      </c>
      <c r="M10035" s="28" t="s">
        <v>51</v>
      </c>
      <c r="N10035" s="28" t="s">
        <v>51</v>
      </c>
    </row>
    <row r="10036" spans="1:14" x14ac:dyDescent="0.15">
      <c r="A10036" s="23" t="str">
        <f>HYPERLINK("https://www.spark-marketing.ru/Card/Person/1078548", "МБДОУ №5 ""ЖАВОРОНОК"" Г.ШАХТЫ")</f>
        <v>МБДОУ №5 "ЖАВОРОНОК" Г.ШАХТЫ</v>
      </c>
      <c r="B10036" s="24" t="s">
        <v>14269</v>
      </c>
      <c r="C10036" s="25">
        <v>395879.88</v>
      </c>
      <c r="D10036" s="22" t="s">
        <v>14270</v>
      </c>
      <c r="E10036" s="22" t="s">
        <v>48</v>
      </c>
      <c r="F10036" s="23" t="str">
        <f>HYPERLINK("https://www.spark-marketing.ru/Card/Lot/72470309", "Услуги по организации питания")</f>
        <v>Услуги по организации питания</v>
      </c>
      <c r="G10036" s="22" t="s">
        <v>267</v>
      </c>
      <c r="H10036" s="22" t="s">
        <v>4874</v>
      </c>
      <c r="I10036" s="26">
        <v>43676.551388888904</v>
      </c>
      <c r="J10036" s="28" t="s">
        <v>51</v>
      </c>
      <c r="K10036" s="28" t="s">
        <v>51</v>
      </c>
      <c r="L10036" s="28" t="s">
        <v>51</v>
      </c>
      <c r="M10036" s="28" t="s">
        <v>51</v>
      </c>
      <c r="N10036" s="28" t="s">
        <v>51</v>
      </c>
    </row>
    <row r="10037" spans="1:14" x14ac:dyDescent="0.15">
      <c r="A10037" s="23" t="str">
        <f>HYPERLINK("https://www.spark-marketing.ru/Card/Person/154320", "МЕЖМУНИЦИПАЛЬНЫЙ ОТДЕЛ МВД РОССИИ ПО ЗАТО Г. ТРЕХГОРНЫЙ ЧЕЛЯБИНСКОЙ ОБЛАСТИ")</f>
        <v>МЕЖМУНИЦИПАЛЬНЫЙ ОТДЕЛ МВД РОССИИ ПО ЗАТО Г. ТРЕХГОРНЫЙ ЧЕЛЯБИНСКОЙ ОБЛАСТИ</v>
      </c>
      <c r="B10037" s="24" t="s">
        <v>14271</v>
      </c>
      <c r="C10037" s="25">
        <v>199300</v>
      </c>
      <c r="D10037" s="22" t="s">
        <v>14272</v>
      </c>
      <c r="E10037" s="22" t="s">
        <v>48</v>
      </c>
      <c r="F10037" s="23" t="str">
        <f>HYPERLINK("https://www.spark-marketing.ru/Card/Lot/72519647", "Оказание услуг по организации трехразового питания лиц, содержащихся в ИВС и комнате содержания задержанных лиц дежурной части Межмуниципального отдела МВД России по ЗАТО г. Трехгорный Челябинской области на 2021 год.")</f>
        <v>Оказание услуг по организации трехразового питания лиц, содержащихся в ИВС и комнате содержания задержанных лиц дежурной части Межмуниципального отдела МВД России по ЗАТО г. Трехгорный Челябинской области на 2021 год.</v>
      </c>
      <c r="G10037" s="22" t="s">
        <v>469</v>
      </c>
      <c r="H10037" s="22" t="s">
        <v>14273</v>
      </c>
      <c r="I10037" s="26">
        <v>43676.557523148098</v>
      </c>
      <c r="J10037" s="23" t="str">
        <f>HYPERLINK("https://www.spark-marketing.ru/Card/Person/886611", "ООО ""МЕТЕЛИЦА""")</f>
        <v>ООО "МЕТЕЛИЦА"</v>
      </c>
      <c r="K10037" s="24" t="s">
        <v>14274</v>
      </c>
      <c r="L10037" s="22" t="s">
        <v>10</v>
      </c>
      <c r="M10037" s="28" t="s">
        <v>51</v>
      </c>
      <c r="N10037" s="28" t="s">
        <v>51</v>
      </c>
    </row>
    <row r="10038" spans="1:14" x14ac:dyDescent="0.15">
      <c r="A10038" s="23" t="str">
        <f>HYPERLINK("https://www.spark-marketing.ru/Card/Person/996161", "ОМВД РОССИИ ПО ЗАТО МИРНЫЙ")</f>
        <v>ОМВД РОССИИ ПО ЗАТО МИРНЫЙ</v>
      </c>
      <c r="B10038" s="24" t="s">
        <v>14275</v>
      </c>
      <c r="C10038" s="25">
        <v>4892</v>
      </c>
      <c r="D10038" s="22" t="s">
        <v>14276</v>
      </c>
      <c r="E10038" s="22" t="s">
        <v>48</v>
      </c>
      <c r="F10038" s="23" t="str">
        <f>HYPERLINK("https://www.spark-marketing.ru/Card/Lot/72471282", "Услуги по обеспечению питанием, осуществляемые по договору, 18 усл. ед")</f>
        <v>Услуги по обеспечению питанием, осуществляемые по договору, 18 усл. ед</v>
      </c>
      <c r="G10038" s="22" t="s">
        <v>214</v>
      </c>
      <c r="H10038" s="22" t="s">
        <v>3697</v>
      </c>
      <c r="I10038" s="26">
        <v>43676.561747685198</v>
      </c>
      <c r="J10038" s="28" t="s">
        <v>51</v>
      </c>
      <c r="K10038" s="28" t="s">
        <v>51</v>
      </c>
      <c r="L10038" s="28" t="s">
        <v>51</v>
      </c>
      <c r="M10038" s="28" t="s">
        <v>51</v>
      </c>
      <c r="N10038" s="28" t="s">
        <v>51</v>
      </c>
    </row>
    <row r="10039" spans="1:14" x14ac:dyDescent="0.15">
      <c r="A10039" s="23" t="str">
        <f>HYPERLINK("https://www.spark-marketing.ru/Card/Person/1052454", "МБОУ ТЕРНОВСКАЯ ООШ")</f>
        <v>МБОУ ТЕРНОВСКАЯ ООШ</v>
      </c>
      <c r="B10039" s="24" t="s">
        <v>14277</v>
      </c>
      <c r="C10039" s="25">
        <v>41018.800000000003</v>
      </c>
      <c r="D10039" s="22" t="s">
        <v>14278</v>
      </c>
      <c r="E10039" s="22" t="s">
        <v>48</v>
      </c>
      <c r="F10039" s="23" t="str">
        <f>HYPERLINK("https://www.spark-marketing.ru/Card/Lot/72495891", "Оказание услуг по организации горячего питания учащихся")</f>
        <v>Оказание услуг по организации горячего питания учащихся</v>
      </c>
      <c r="G10039" s="22" t="s">
        <v>267</v>
      </c>
      <c r="H10039" s="22" t="s">
        <v>14218</v>
      </c>
      <c r="I10039" s="26">
        <v>43676.580590277801</v>
      </c>
      <c r="J10039" s="23" t="str">
        <f>HYPERLINK("https://www.spark-marketing.ru/Card/Person/1451235", "МИЛЮТИНСКОЕ РАЙПО")</f>
        <v>МИЛЮТИНСКОЕ РАЙПО</v>
      </c>
      <c r="K10039" s="24" t="s">
        <v>14279</v>
      </c>
      <c r="L10039" s="22" t="s">
        <v>10</v>
      </c>
      <c r="M10039" s="28" t="s">
        <v>51</v>
      </c>
      <c r="N10039" s="28" t="s">
        <v>51</v>
      </c>
    </row>
    <row r="10040" spans="1:14" x14ac:dyDescent="0.15">
      <c r="A10040" s="23" t="str">
        <f>HYPERLINK("https://www.spark-marketing.ru/Card/Person/154320", "МЕЖМУНИЦИПАЛЬНЫЙ ОТДЕЛ МВД РОССИИ ПО ЗАТО Г. ТРЕХГОРНЫЙ ЧЕЛЯБИНСКОЙ ОБЛАСТИ")</f>
        <v>МЕЖМУНИЦИПАЛЬНЫЙ ОТДЕЛ МВД РОССИИ ПО ЗАТО Г. ТРЕХГОРНЫЙ ЧЕЛЯБИНСКОЙ ОБЛАСТИ</v>
      </c>
      <c r="B10040" s="24" t="s">
        <v>14271</v>
      </c>
      <c r="C10040" s="25">
        <v>199300</v>
      </c>
      <c r="D10040" s="22" t="s">
        <v>14280</v>
      </c>
      <c r="E10040" s="22" t="s">
        <v>48</v>
      </c>
      <c r="F10040" s="23" t="str">
        <f>HYPERLINK("https://www.spark-marketing.ru/Card/Lot/72519641", "Оказание услуг по организации трехразового питания лиц, содержащихся в ИВС и комнате содержания задержанных лиц дежурной части Межмуниципального отдела МВД России по ЗАТО г. Трехгорный Челябинской области на 2020 год")</f>
        <v>Оказание услуг по организации трехразового питания лиц, содержащихся в ИВС и комнате содержания задержанных лиц дежурной части Межмуниципального отдела МВД России по ЗАТО г. Трехгорный Челябинской области на 2020 год</v>
      </c>
      <c r="G10040" s="22" t="s">
        <v>469</v>
      </c>
      <c r="H10040" s="22" t="s">
        <v>14273</v>
      </c>
      <c r="I10040" s="26">
        <v>43676.548263888901</v>
      </c>
      <c r="J10040" s="23" t="str">
        <f>HYPERLINK("https://www.spark-marketing.ru/Card/Person/886611", "ООО ""МЕТЕЛИЦА""")</f>
        <v>ООО "МЕТЕЛИЦА"</v>
      </c>
      <c r="K10040" s="24" t="s">
        <v>14274</v>
      </c>
      <c r="L10040" s="22" t="s">
        <v>10</v>
      </c>
      <c r="M10040" s="28" t="s">
        <v>51</v>
      </c>
      <c r="N10040" s="28" t="s">
        <v>51</v>
      </c>
    </row>
    <row r="10041" spans="1:14" x14ac:dyDescent="0.15">
      <c r="A10041" s="23" t="str">
        <f>HYPERLINK("https://www.spark-marketing.ru/Card/Person/1023099", "МБДОУ Д/С № 36")</f>
        <v>МБДОУ Д/С № 36</v>
      </c>
      <c r="B10041" s="24" t="s">
        <v>14281</v>
      </c>
      <c r="C10041" s="25">
        <v>17666413.739999998</v>
      </c>
      <c r="D10041" s="22" t="s">
        <v>14282</v>
      </c>
      <c r="E10041" s="22" t="s">
        <v>96</v>
      </c>
      <c r="F10041" s="23" t="str">
        <f>HYPERLINK("https://www.spark-marketing.ru/Card/Lot/72496850", "Оказание услуг по организации горячего питания")</f>
        <v>Оказание услуг по организации горячего питания</v>
      </c>
      <c r="G10041" s="22" t="s">
        <v>153</v>
      </c>
      <c r="H10041" s="22" t="s">
        <v>153</v>
      </c>
      <c r="I10041" s="26">
        <v>43676.525775463</v>
      </c>
      <c r="J10041" s="23" t="str">
        <f>HYPERLINK("https://www.spark-marketing.ru/Card/Person/6503158", "Батуев Николай Михайлович")</f>
        <v>Батуев Николай Михайлович</v>
      </c>
      <c r="K10041" s="24" t="s">
        <v>14283</v>
      </c>
      <c r="L10041" s="28" t="s">
        <v>51</v>
      </c>
      <c r="M10041" s="28" t="s">
        <v>51</v>
      </c>
      <c r="N10041" s="28" t="s">
        <v>51</v>
      </c>
    </row>
    <row r="10042" spans="1:14" x14ac:dyDescent="0.15">
      <c r="A10042" s="23" t="str">
        <f>HYPERLINK("https://www.spark-marketing.ru/Card/Person/1015616", "ОМВД РОССИИ ПО БЕЛОГОРСКОМУ РАЙОНУ")</f>
        <v>ОМВД РОССИИ ПО БЕЛОГОРСКОМУ РАЙОНУ</v>
      </c>
      <c r="B10042" s="24" t="s">
        <v>14284</v>
      </c>
      <c r="C10042" s="25">
        <v>229.08</v>
      </c>
      <c r="D10042" s="22" t="s">
        <v>14285</v>
      </c>
      <c r="E10042" s="22" t="s">
        <v>48</v>
      </c>
      <c r="F10042" s="23" t="str">
        <f>HYPERLINK("https://www.spark-marketing.ru/Card/Lot/72469103",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042" s="22" t="s">
        <v>108</v>
      </c>
      <c r="H10042" s="22" t="s">
        <v>14286</v>
      </c>
      <c r="I10042" s="26">
        <v>43676.509375000001</v>
      </c>
      <c r="J10042" s="28" t="s">
        <v>51</v>
      </c>
      <c r="K10042" s="28" t="s">
        <v>51</v>
      </c>
      <c r="L10042" s="28" t="s">
        <v>51</v>
      </c>
      <c r="M10042" s="28" t="s">
        <v>51</v>
      </c>
      <c r="N10042" s="28" t="s">
        <v>51</v>
      </c>
    </row>
    <row r="10043" spans="1:14" x14ac:dyDescent="0.15">
      <c r="A10043" s="23" t="str">
        <f>HYPERLINK("https://www.spark-marketing.ru/Card/Person/1056224", "МБОУ СЕЛИВАНОВСКАЯ СОШ")</f>
        <v>МБОУ СЕЛИВАНОВСКАЯ СОШ</v>
      </c>
      <c r="B10043" s="24" t="s">
        <v>14287</v>
      </c>
      <c r="C10043" s="25">
        <v>67068</v>
      </c>
      <c r="D10043" s="22" t="s">
        <v>14288</v>
      </c>
      <c r="E10043" s="22" t="s">
        <v>48</v>
      </c>
      <c r="F10043" s="23" t="str">
        <f>HYPERLINK("https://www.spark-marketing.ru/Card/Lot/72495998", "Оказание услуг по организации горячего питания учащихся")</f>
        <v>Оказание услуг по организации горячего питания учащихся</v>
      </c>
      <c r="G10043" s="22" t="s">
        <v>267</v>
      </c>
      <c r="H10043" s="22" t="s">
        <v>14218</v>
      </c>
      <c r="I10043" s="26">
        <v>43676.478067129603</v>
      </c>
      <c r="J10043" s="28" t="s">
        <v>51</v>
      </c>
      <c r="K10043" s="28" t="s">
        <v>51</v>
      </c>
      <c r="L10043" s="28" t="s">
        <v>51</v>
      </c>
      <c r="M10043" s="28" t="s">
        <v>51</v>
      </c>
      <c r="N10043" s="28" t="s">
        <v>51</v>
      </c>
    </row>
    <row r="10044" spans="1:14" x14ac:dyDescent="0.15">
      <c r="A10044" s="23" t="str">
        <f>HYPERLINK("https://www.spark-marketing.ru/Card/Person/1056983", "МБОУ РОССОШАНСКАЯ ООШ")</f>
        <v>МБОУ РОССОШАНСКАЯ ООШ</v>
      </c>
      <c r="B10044" s="24" t="s">
        <v>14289</v>
      </c>
      <c r="C10044" s="25">
        <v>46850.8</v>
      </c>
      <c r="D10044" s="22" t="s">
        <v>14290</v>
      </c>
      <c r="E10044" s="22" t="s">
        <v>48</v>
      </c>
      <c r="F10044" s="23" t="str">
        <f>HYPERLINK("https://www.spark-marketing.ru/Card/Lot/72496001", "Оказание услуг по организации горячего питания учащихся")</f>
        <v>Оказание услуг по организации горячего питания учащихся</v>
      </c>
      <c r="G10044" s="22" t="s">
        <v>267</v>
      </c>
      <c r="H10044" s="22" t="s">
        <v>14218</v>
      </c>
      <c r="I10044" s="26">
        <v>43676.480266203696</v>
      </c>
      <c r="J10044" s="28" t="s">
        <v>51</v>
      </c>
      <c r="K10044" s="28" t="s">
        <v>51</v>
      </c>
      <c r="L10044" s="28" t="s">
        <v>51</v>
      </c>
      <c r="M10044" s="28" t="s">
        <v>51</v>
      </c>
      <c r="N10044" s="28" t="s">
        <v>51</v>
      </c>
    </row>
    <row r="10045" spans="1:14" x14ac:dyDescent="0.15">
      <c r="A10045" s="23" t="str">
        <f>HYPERLINK("https://www.spark-marketing.ru/Card/Person/388127", "МО МВД РОССИИ ""ЩИГРОВСКИЙ""")</f>
        <v>МО МВД РОССИИ "ЩИГРОВСКИЙ"</v>
      </c>
      <c r="B10045" s="24" t="s">
        <v>14291</v>
      </c>
      <c r="C10045" s="25">
        <v>214400</v>
      </c>
      <c r="D10045" s="22" t="s">
        <v>14292</v>
      </c>
      <c r="E10045" s="22" t="s">
        <v>48</v>
      </c>
      <c r="F10045" s="23" t="str">
        <f>HYPERLINK("https://www.spark-marketing.ru/Card/Lot/72468709",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0045" s="22" t="s">
        <v>1111</v>
      </c>
      <c r="H10045" s="22" t="s">
        <v>14293</v>
      </c>
      <c r="I10045" s="26">
        <v>43676.4860416667</v>
      </c>
      <c r="J10045" s="28" t="s">
        <v>51</v>
      </c>
      <c r="K10045" s="28" t="s">
        <v>51</v>
      </c>
      <c r="L10045" s="28" t="s">
        <v>51</v>
      </c>
      <c r="M10045" s="28" t="s">
        <v>51</v>
      </c>
      <c r="N10045" s="28" t="s">
        <v>51</v>
      </c>
    </row>
    <row r="10046" spans="1:14" x14ac:dyDescent="0.15">
      <c r="A10046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10046" s="24" t="s">
        <v>13798</v>
      </c>
      <c r="C10046" s="25">
        <v>374000</v>
      </c>
      <c r="D10046" s="22" t="s">
        <v>14294</v>
      </c>
      <c r="E10046" s="22" t="s">
        <v>48</v>
      </c>
      <c r="F10046" s="23" t="str">
        <f>HYPERLINK("https://www.spark-marketing.ru/Card/Lot/72469482",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0046" s="22" t="s">
        <v>63</v>
      </c>
      <c r="H10046" s="22" t="s">
        <v>177</v>
      </c>
      <c r="I10046" s="26">
        <v>43676.499305555597</v>
      </c>
      <c r="J10046" s="28" t="s">
        <v>51</v>
      </c>
      <c r="K10046" s="28" t="s">
        <v>51</v>
      </c>
      <c r="L10046" s="28" t="s">
        <v>51</v>
      </c>
      <c r="M10046" s="28" t="s">
        <v>51</v>
      </c>
      <c r="N10046" s="28" t="s">
        <v>51</v>
      </c>
    </row>
    <row r="10047" spans="1:14" x14ac:dyDescent="0.15">
      <c r="A10047" s="23" t="str">
        <f>HYPERLINK("https://www.spark-marketing.ru/Card/Person/1049641", "МБОУ НИКОЛО- БЕРЕЗОВСКАЯ СОШ")</f>
        <v>МБОУ НИКОЛО- БЕРЕЗОВСКАЯ СОШ</v>
      </c>
      <c r="B10047" s="24" t="s">
        <v>14295</v>
      </c>
      <c r="C10047" s="25">
        <v>63795.6</v>
      </c>
      <c r="D10047" s="22" t="s">
        <v>14296</v>
      </c>
      <c r="E10047" s="22" t="s">
        <v>48</v>
      </c>
      <c r="F10047" s="23" t="str">
        <f>HYPERLINK("https://www.spark-marketing.ru/Card/Lot/72517647", "Оказание услуг по организации горячего питания учащихся")</f>
        <v>Оказание услуг по организации горячего питания учащихся</v>
      </c>
      <c r="G10047" s="22" t="s">
        <v>267</v>
      </c>
      <c r="H10047" s="22" t="s">
        <v>14218</v>
      </c>
      <c r="I10047" s="26">
        <v>43676.461458333302</v>
      </c>
      <c r="J10047" s="28" t="s">
        <v>51</v>
      </c>
      <c r="K10047" s="28" t="s">
        <v>51</v>
      </c>
      <c r="L10047" s="28" t="s">
        <v>51</v>
      </c>
      <c r="M10047" s="28" t="s">
        <v>51</v>
      </c>
      <c r="N10047" s="28" t="s">
        <v>51</v>
      </c>
    </row>
    <row r="10048" spans="1:14" x14ac:dyDescent="0.15">
      <c r="A10048" s="23" t="str">
        <f>HYPERLINK("https://www.spark-marketing.ru/Card/Person/1050191", "МБОУ СВЕТОЧНИКОВСКАЯ СОШ")</f>
        <v>МБОУ СВЕТОЧНИКОВСКАЯ СОШ</v>
      </c>
      <c r="B10048" s="24" t="s">
        <v>14297</v>
      </c>
      <c r="C10048" s="25">
        <v>20962.8</v>
      </c>
      <c r="D10048" s="22" t="s">
        <v>14298</v>
      </c>
      <c r="E10048" s="22" t="s">
        <v>48</v>
      </c>
      <c r="F10048" s="23" t="str">
        <f>HYPERLINK("https://www.spark-marketing.ru/Card/Lot/72495996", "Оказание услуг по организации горячего питания учащихся")</f>
        <v>Оказание услуг по организации горячего питания учащихся</v>
      </c>
      <c r="G10048" s="22" t="s">
        <v>267</v>
      </c>
      <c r="H10048" s="22" t="s">
        <v>14218</v>
      </c>
      <c r="I10048" s="26">
        <v>43676.477534722202</v>
      </c>
      <c r="J10048" s="28" t="s">
        <v>51</v>
      </c>
      <c r="K10048" s="28" t="s">
        <v>51</v>
      </c>
      <c r="L10048" s="28" t="s">
        <v>51</v>
      </c>
      <c r="M10048" s="28" t="s">
        <v>51</v>
      </c>
      <c r="N10048" s="28" t="s">
        <v>51</v>
      </c>
    </row>
    <row r="10049" spans="1:14" x14ac:dyDescent="0.15">
      <c r="A10049" s="23" t="str">
        <f>HYPERLINK("https://www.spark-marketing.ru/Card/Person/1077272", "МБОУ СОШ №35 Г.ШАХТЫ")</f>
        <v>МБОУ СОШ №35 Г.ШАХТЫ</v>
      </c>
      <c r="B10049" s="24" t="s">
        <v>14299</v>
      </c>
      <c r="C10049" s="25">
        <v>332777</v>
      </c>
      <c r="D10049" s="22" t="s">
        <v>14300</v>
      </c>
      <c r="E10049" s="22" t="s">
        <v>48</v>
      </c>
      <c r="F10049" s="23" t="str">
        <f>HYPERLINK("https://www.spark-marketing.ru/Card/Lot/72468829", "услуги по организации питания")</f>
        <v>услуги по организации питания</v>
      </c>
      <c r="G10049" s="22" t="s">
        <v>267</v>
      </c>
      <c r="H10049" s="22" t="s">
        <v>4874</v>
      </c>
      <c r="I10049" s="26">
        <v>43676.495833333298</v>
      </c>
      <c r="J10049" s="28" t="s">
        <v>51</v>
      </c>
      <c r="K10049" s="28" t="s">
        <v>51</v>
      </c>
      <c r="L10049" s="28" t="s">
        <v>51</v>
      </c>
      <c r="M10049" s="28" t="s">
        <v>51</v>
      </c>
      <c r="N10049" s="28" t="s">
        <v>51</v>
      </c>
    </row>
    <row r="10050" spans="1:14" x14ac:dyDescent="0.15">
      <c r="A10050" s="23" t="str">
        <f>HYPERLINK("https://www.spark-marketing.ru/Card/Person/890814", "ГКОУ ШКОЛА № 9 Г. НОВОРОССИЙСКА")</f>
        <v>ГКОУ ШКОЛА № 9 Г. НОВОРОССИЙСКА</v>
      </c>
      <c r="B10050" s="24" t="s">
        <v>14301</v>
      </c>
      <c r="C10050" s="25">
        <v>496320</v>
      </c>
      <c r="D10050" s="22" t="s">
        <v>14302</v>
      </c>
      <c r="E10050" s="22" t="s">
        <v>48</v>
      </c>
      <c r="F10050" s="23" t="str">
        <f>HYPERLINK("https://www.spark-marketing.ru/Card/Lot/72543535", "Услуги по обеспечению питанием в декабре 2019г. обучающихся ГКОУ школы № 9 г. Новороссийска")</f>
        <v>Услуги по обеспечению питанием в декабре 2019г. обучающихся ГКОУ школы № 9 г. Новороссийска</v>
      </c>
      <c r="G10050" s="22" t="s">
        <v>104</v>
      </c>
      <c r="H10050" s="22" t="s">
        <v>1689</v>
      </c>
      <c r="I10050" s="26">
        <v>43676.492939814802</v>
      </c>
      <c r="J10050" s="28" t="s">
        <v>51</v>
      </c>
      <c r="K10050" s="28" t="s">
        <v>51</v>
      </c>
      <c r="L10050" s="28" t="s">
        <v>51</v>
      </c>
      <c r="M10050" s="28" t="s">
        <v>51</v>
      </c>
      <c r="N10050" s="28" t="s">
        <v>51</v>
      </c>
    </row>
    <row r="10051" spans="1:14" ht="12.75" hidden="1" outlineLevel="1" x14ac:dyDescent="0.2">
      <c r="A10051" s="23" t="str">
        <f>HYPERLINK("https://www.spark-marketing.ru/Card/Person/890814", "ГКОУ ШКОЛА № 9 Г. НОВОРОССИЙСКА")</f>
        <v>ГКОУ ШКОЛА № 9 Г. НОВОРОССИЙСКА</v>
      </c>
      <c r="B10051" s="24" t="s">
        <v>14301</v>
      </c>
      <c r="C10051" s="25">
        <v>496320</v>
      </c>
      <c r="D10051" s="22" t="s">
        <v>14302</v>
      </c>
      <c r="E10051" s="22" t="s">
        <v>48</v>
      </c>
      <c r="F10051" s="23" t="str">
        <f>HYPERLINK("https://www.spark-marketing.ru/Card/Lot/72543535", "Услуги по обеспечению питанием в декабре 2019г. обучающихся ГКОУ школы № 9 г. Новороссийска")</f>
        <v>Услуги по обеспечению питанием в декабре 2019г. обучающихся ГКОУ школы № 9 г. Новороссийска</v>
      </c>
      <c r="G10051" s="22" t="s">
        <v>104</v>
      </c>
      <c r="H10051" s="22" t="s">
        <v>1689</v>
      </c>
      <c r="I10051" s="26">
        <v>43676.492939814802</v>
      </c>
      <c r="J10051" s="23" t="str">
        <f>HYPERLINK("https://www.spark-marketing.ru/Card/Person/2461569", "ООО ""КОНСТАНТИНОВ""")</f>
        <v>ООО "КОНСТАНТИНОВ"</v>
      </c>
      <c r="K10051" s="24" t="s">
        <v>1691</v>
      </c>
      <c r="L10051" s="22" t="s">
        <v>10</v>
      </c>
      <c r="M10051" s="25">
        <v>389611.2</v>
      </c>
      <c r="N10051" s="27">
        <v>0.215</v>
      </c>
    </row>
    <row r="10052" spans="1:14" hidden="1" outlineLevel="1" x14ac:dyDescent="0.2">
      <c r="A10052" s="23" t="str">
        <f>HYPERLINK("https://www.spark-marketing.ru/Card/Person/890814", "ГКОУ ШКОЛА № 9 Г. НОВОРОССИЙСКА")</f>
        <v>ГКОУ ШКОЛА № 9 Г. НОВОРОССИЙСКА</v>
      </c>
      <c r="B10052" s="24" t="s">
        <v>14301</v>
      </c>
      <c r="C10052" s="25">
        <v>496320</v>
      </c>
      <c r="D10052" s="22" t="s">
        <v>14302</v>
      </c>
      <c r="E10052" s="22" t="s">
        <v>48</v>
      </c>
      <c r="F10052" s="23" t="str">
        <f>HYPERLINK("https://www.spark-marketing.ru/Card/Lot/72543535", "Услуги по обеспечению питанием в декабре 2019г. обучающихся ГКОУ школы № 9 г. Новороссийска")</f>
        <v>Услуги по обеспечению питанием в декабре 2019г. обучающихся ГКОУ школы № 9 г. Новороссийска</v>
      </c>
      <c r="G10052" s="22" t="s">
        <v>104</v>
      </c>
      <c r="H10052" s="22" t="s">
        <v>1689</v>
      </c>
      <c r="I10052" s="26">
        <v>43676.492939814802</v>
      </c>
      <c r="J10052" s="23" t="str">
        <f>HYPERLINK("https://www.spark-marketing.ru/Card/Person/54395", "Третьяков Вячеслав Викторович")</f>
        <v>Третьяков Вячеслав Викторович</v>
      </c>
      <c r="K10052" s="24" t="s">
        <v>1690</v>
      </c>
      <c r="L10052" s="28" t="s">
        <v>51</v>
      </c>
      <c r="M10052" s="25">
        <v>392092.8</v>
      </c>
      <c r="N10052" s="27">
        <v>0.21</v>
      </c>
    </row>
    <row r="10053" spans="1:14" x14ac:dyDescent="0.15">
      <c r="A10053" s="23" t="str">
        <f>HYPERLINK("https://www.spark-marketing.ru/Card/Person/237621", "МБОУ ""СШ № 10""")</f>
        <v>МБОУ "СШ № 10"</v>
      </c>
      <c r="B10053" s="24" t="s">
        <v>14303</v>
      </c>
      <c r="C10053" s="25">
        <v>349676</v>
      </c>
      <c r="D10053" s="22" t="s">
        <v>14304</v>
      </c>
      <c r="E10053" s="22" t="s">
        <v>48</v>
      </c>
      <c r="F10053" s="23" t="str">
        <f>HYPERLINK("https://www.spark-marketing.ru/Card/Lot/72521521", "Оказание услуг по организации горячего питания и обеспечению горячим питанием учащихся МБОУ ""СШ № 10""")</f>
        <v>Оказание услуг по организации горячего питания и обеспечению горячим питанием учащихся МБОУ "СШ № 10"</v>
      </c>
      <c r="G10053" s="22" t="s">
        <v>460</v>
      </c>
      <c r="H10053" s="22" t="s">
        <v>461</v>
      </c>
      <c r="I10053" s="26">
        <v>43676.473657407398</v>
      </c>
      <c r="J10053" s="28" t="s">
        <v>51</v>
      </c>
      <c r="K10053" s="28" t="s">
        <v>51</v>
      </c>
      <c r="L10053" s="28" t="s">
        <v>51</v>
      </c>
      <c r="M10053" s="28" t="s">
        <v>51</v>
      </c>
      <c r="N10053" s="28" t="s">
        <v>51</v>
      </c>
    </row>
    <row r="10054" spans="1:14" x14ac:dyDescent="0.15">
      <c r="A10054" s="23" t="str">
        <f>HYPERLINK("https://www.spark-marketing.ru/Card/Person/890814", "ГКОУ ШКОЛА № 9 Г. НОВОРОССИЙСКА")</f>
        <v>ГКОУ ШКОЛА № 9 Г. НОВОРОССИЙСКА</v>
      </c>
      <c r="B10054" s="24" t="s">
        <v>14301</v>
      </c>
      <c r="C10054" s="25">
        <v>451200</v>
      </c>
      <c r="D10054" s="22" t="s">
        <v>14305</v>
      </c>
      <c r="E10054" s="22" t="s">
        <v>48</v>
      </c>
      <c r="F10054" s="23" t="str">
        <f>HYPERLINK("https://www.spark-marketing.ru/Card/Lot/72543498", "Оказание услуг по обеспечению обучающихся питанием в октябре 2019г.  ГКОУ школы № 9 г. Новороссийска")</f>
        <v>Оказание услуг по обеспечению обучающихся питанием в октябре 2019г.  ГКОУ школы № 9 г. Новороссийска</v>
      </c>
      <c r="G10054" s="22" t="s">
        <v>104</v>
      </c>
      <c r="H10054" s="22" t="s">
        <v>1689</v>
      </c>
      <c r="I10054" s="26">
        <v>43676.4680787037</v>
      </c>
      <c r="J10054" s="28" t="s">
        <v>51</v>
      </c>
      <c r="K10054" s="28" t="s">
        <v>51</v>
      </c>
      <c r="L10054" s="28" t="s">
        <v>51</v>
      </c>
      <c r="M10054" s="28" t="s">
        <v>51</v>
      </c>
      <c r="N10054" s="28" t="s">
        <v>51</v>
      </c>
    </row>
    <row r="10055" spans="1:14" hidden="1" outlineLevel="1" x14ac:dyDescent="0.2">
      <c r="A10055" s="23" t="str">
        <f>HYPERLINK("https://www.spark-marketing.ru/Card/Person/890814", "ГКОУ ШКОЛА № 9 Г. НОВОРОССИЙСКА")</f>
        <v>ГКОУ ШКОЛА № 9 Г. НОВОРОССИЙСКА</v>
      </c>
      <c r="B10055" s="24" t="s">
        <v>14301</v>
      </c>
      <c r="C10055" s="25">
        <v>451200</v>
      </c>
      <c r="D10055" s="22" t="s">
        <v>14305</v>
      </c>
      <c r="E10055" s="22" t="s">
        <v>48</v>
      </c>
      <c r="F10055" s="23" t="str">
        <f>HYPERLINK("https://www.spark-marketing.ru/Card/Lot/72543498", "Оказание услуг по обеспечению обучающихся питанием в октябре 2019г.  ГКОУ школы № 9 г. Новороссийска")</f>
        <v>Оказание услуг по обеспечению обучающихся питанием в октябре 2019г.  ГКОУ школы № 9 г. Новороссийска</v>
      </c>
      <c r="G10055" s="22" t="s">
        <v>104</v>
      </c>
      <c r="H10055" s="22" t="s">
        <v>1689</v>
      </c>
      <c r="I10055" s="26">
        <v>43676.4680787037</v>
      </c>
      <c r="J10055" s="23" t="str">
        <f>HYPERLINK("https://www.spark-marketing.ru/Card/Person/54395", "Третьяков Вячеслав Викторович")</f>
        <v>Третьяков Вячеслав Викторович</v>
      </c>
      <c r="K10055" s="24" t="s">
        <v>1690</v>
      </c>
      <c r="L10055" s="28" t="s">
        <v>51</v>
      </c>
      <c r="M10055" s="25">
        <v>351936</v>
      </c>
      <c r="N10055" s="27">
        <v>0.22</v>
      </c>
    </row>
    <row r="10056" spans="1:14" ht="12.75" hidden="1" outlineLevel="1" x14ac:dyDescent="0.2">
      <c r="A10056" s="23" t="str">
        <f>HYPERLINK("https://www.spark-marketing.ru/Card/Person/890814", "ГКОУ ШКОЛА № 9 Г. НОВОРОССИЙСКА")</f>
        <v>ГКОУ ШКОЛА № 9 Г. НОВОРОССИЙСКА</v>
      </c>
      <c r="B10056" s="24" t="s">
        <v>14301</v>
      </c>
      <c r="C10056" s="25">
        <v>451200</v>
      </c>
      <c r="D10056" s="22" t="s">
        <v>14305</v>
      </c>
      <c r="E10056" s="22" t="s">
        <v>48</v>
      </c>
      <c r="F10056" s="23" t="str">
        <f>HYPERLINK("https://www.spark-marketing.ru/Card/Lot/72543498", "Оказание услуг по обеспечению обучающихся питанием в октябре 2019г.  ГКОУ школы № 9 г. Новороссийска")</f>
        <v>Оказание услуг по обеспечению обучающихся питанием в октябре 2019г.  ГКОУ школы № 9 г. Новороссийска</v>
      </c>
      <c r="G10056" s="22" t="s">
        <v>104</v>
      </c>
      <c r="H10056" s="22" t="s">
        <v>1689</v>
      </c>
      <c r="I10056" s="26">
        <v>43676.4680787037</v>
      </c>
      <c r="J10056" s="23" t="str">
        <f>HYPERLINK("https://www.spark-marketing.ru/Card/Person/2461569", "ООО ""КОНСТАНТИНОВ""")</f>
        <v>ООО "КОНСТАНТИНОВ"</v>
      </c>
      <c r="K10056" s="24" t="s">
        <v>1691</v>
      </c>
      <c r="L10056" s="22" t="s">
        <v>10</v>
      </c>
      <c r="M10056" s="25">
        <v>349680</v>
      </c>
      <c r="N10056" s="27">
        <v>0.22500000000000001</v>
      </c>
    </row>
    <row r="10057" spans="1:14" x14ac:dyDescent="0.15">
      <c r="A10057" s="23" t="str">
        <f>HYPERLINK("https://www.spark-marketing.ru/Card/Person/1053597", "МБОУ КАМЕННАЯ СОШ")</f>
        <v>МБОУ КАМЕННАЯ СОШ</v>
      </c>
      <c r="B10057" s="24" t="s">
        <v>14306</v>
      </c>
      <c r="C10057" s="25">
        <v>11664</v>
      </c>
      <c r="D10057" s="22" t="s">
        <v>14307</v>
      </c>
      <c r="E10057" s="22" t="s">
        <v>48</v>
      </c>
      <c r="F10057" s="23" t="str">
        <f>HYPERLINK("https://www.spark-marketing.ru/Card/Lot/72516135", "Оказание услуг по организации горячего питания учащихся")</f>
        <v>Оказание услуг по организации горячего питания учащихся</v>
      </c>
      <c r="G10057" s="22" t="s">
        <v>267</v>
      </c>
      <c r="H10057" s="22" t="s">
        <v>14218</v>
      </c>
      <c r="I10057" s="26">
        <v>43676.4863541667</v>
      </c>
      <c r="J10057" s="28" t="s">
        <v>51</v>
      </c>
      <c r="K10057" s="28" t="s">
        <v>51</v>
      </c>
      <c r="L10057" s="28" t="s">
        <v>51</v>
      </c>
      <c r="M10057" s="28" t="s">
        <v>51</v>
      </c>
      <c r="N10057" s="28" t="s">
        <v>51</v>
      </c>
    </row>
    <row r="10058" spans="1:14" x14ac:dyDescent="0.15">
      <c r="A10058" s="23" t="str">
        <f>HYPERLINK("https://www.spark-marketing.ru/Card/Person/52177", "ФГБУЗ ЦМСЧ № 119 ФМБА РОССИИ")</f>
        <v>ФГБУЗ ЦМСЧ № 119 ФМБА РОССИИ</v>
      </c>
      <c r="B10058" s="24" t="s">
        <v>14308</v>
      </c>
      <c r="C10058" s="25">
        <v>15000</v>
      </c>
      <c r="D10058" s="22" t="s">
        <v>14309</v>
      </c>
      <c r="E10058" s="22" t="s">
        <v>86</v>
      </c>
      <c r="F10058" s="23" t="str">
        <f>HYPERLINK("https://www.spark-marketing.ru/Card/Lot/72516115", "Оказание услуг по техническому обслуживанию источника бесперебойного питания General Electric SG-CE series PurePulse 60кВА")</f>
        <v>Оказание услуг по техническому обслуживанию источника бесперебойного питания General Electric SG-CE series PurePulse 60кВА</v>
      </c>
      <c r="G10058" s="22" t="s">
        <v>56</v>
      </c>
      <c r="H10058" s="22" t="s">
        <v>56</v>
      </c>
      <c r="I10058" s="26">
        <v>43676.466111111098</v>
      </c>
      <c r="J10058" s="28" t="s">
        <v>51</v>
      </c>
      <c r="K10058" s="28" t="s">
        <v>51</v>
      </c>
      <c r="L10058" s="28" t="s">
        <v>51</v>
      </c>
      <c r="M10058" s="28" t="s">
        <v>51</v>
      </c>
      <c r="N10058" s="28" t="s">
        <v>51</v>
      </c>
    </row>
    <row r="10059" spans="1:14" ht="12.75" hidden="1" outlineLevel="1" x14ac:dyDescent="0.2">
      <c r="A10059" s="23" t="str">
        <f>HYPERLINK("https://www.spark-marketing.ru/Card/Person/52177", "ФГБУЗ ЦМСЧ № 119 ФМБА РОССИИ")</f>
        <v>ФГБУЗ ЦМСЧ № 119 ФМБА РОССИИ</v>
      </c>
      <c r="B10059" s="24" t="s">
        <v>14308</v>
      </c>
      <c r="C10059" s="25">
        <v>15000</v>
      </c>
      <c r="D10059" s="22" t="s">
        <v>14309</v>
      </c>
      <c r="E10059" s="22" t="s">
        <v>86</v>
      </c>
      <c r="F10059" s="23" t="str">
        <f>HYPERLINK("https://www.spark-marketing.ru/Card/Lot/72516115", "Оказание услуг по техническому обслуживанию источника бесперебойного питания General Electric SG-CE series PurePulse 60кВА")</f>
        <v>Оказание услуг по техническому обслуживанию источника бесперебойного питания General Electric SG-CE series PurePulse 60кВА</v>
      </c>
      <c r="G10059" s="22" t="s">
        <v>56</v>
      </c>
      <c r="H10059" s="22" t="s">
        <v>56</v>
      </c>
      <c r="I10059" s="26">
        <v>43676.466111111098</v>
      </c>
      <c r="J10059" s="23" t="str">
        <f>HYPERLINK("https://www.spark-marketing.ru/Card/Person/6112909", "ООО ""ПРОФИТ""")</f>
        <v>ООО "ПРОФИТ"</v>
      </c>
      <c r="K10059" s="24" t="s">
        <v>14310</v>
      </c>
      <c r="L10059" s="22" t="s">
        <v>10</v>
      </c>
      <c r="M10059" s="25">
        <v>13995</v>
      </c>
      <c r="N10059" s="27">
        <v>6.7000000000000004E-2</v>
      </c>
    </row>
    <row r="10060" spans="1:14" hidden="1" outlineLevel="1" x14ac:dyDescent="0.2">
      <c r="A10060" s="23" t="str">
        <f>HYPERLINK("https://www.spark-marketing.ru/Card/Person/52177", "ФГБУЗ ЦМСЧ № 119 ФМБА РОССИИ")</f>
        <v>ФГБУЗ ЦМСЧ № 119 ФМБА РОССИИ</v>
      </c>
      <c r="B10060" s="24" t="s">
        <v>14308</v>
      </c>
      <c r="C10060" s="25">
        <v>15000</v>
      </c>
      <c r="D10060" s="22" t="s">
        <v>14309</v>
      </c>
      <c r="E10060" s="22" t="s">
        <v>86</v>
      </c>
      <c r="F10060" s="23" t="str">
        <f>HYPERLINK("https://www.spark-marketing.ru/Card/Lot/72516115", "Оказание услуг по техническому обслуживанию источника бесперебойного питания General Electric SG-CE series PurePulse 60кВА")</f>
        <v>Оказание услуг по техническому обслуживанию источника бесперебойного питания General Electric SG-CE series PurePulse 60кВА</v>
      </c>
      <c r="G10060" s="22" t="s">
        <v>56</v>
      </c>
      <c r="H10060" s="22" t="s">
        <v>56</v>
      </c>
      <c r="I10060" s="26">
        <v>43676.466111111098</v>
      </c>
      <c r="J10060" s="23" t="str">
        <f>HYPERLINK("https://www.spark-marketing.ru/Card/Person/305985", "ООО ""ГРИНХАБ""")</f>
        <v>ООО "ГРИНХАБ"</v>
      </c>
      <c r="K10060" s="24" t="s">
        <v>14311</v>
      </c>
      <c r="L10060" s="28" t="s">
        <v>51</v>
      </c>
      <c r="M10060" s="25">
        <v>15000</v>
      </c>
      <c r="N10060" s="27">
        <v>0</v>
      </c>
    </row>
    <row r="10061" spans="1:14" x14ac:dyDescent="0.15">
      <c r="A10061" s="23" t="str">
        <f>HYPERLINK("https://www.spark-marketing.ru/Card/Person/26562", "МБОУ МИЛЮТИНСКАЯ СОШ")</f>
        <v>МБОУ МИЛЮТИНСКАЯ СОШ</v>
      </c>
      <c r="B10061" s="24" t="s">
        <v>14312</v>
      </c>
      <c r="C10061" s="25">
        <v>430012.8</v>
      </c>
      <c r="D10061" s="22" t="s">
        <v>14313</v>
      </c>
      <c r="E10061" s="22" t="s">
        <v>48</v>
      </c>
      <c r="F10061" s="23" t="str">
        <f>HYPERLINK("https://www.spark-marketing.ru/Card/Lot/72524094", "Оказание услуг по организации горячего питания учащихся")</f>
        <v>Оказание услуг по организации горячего питания учащихся</v>
      </c>
      <c r="G10061" s="22" t="s">
        <v>267</v>
      </c>
      <c r="H10061" s="22" t="s">
        <v>14218</v>
      </c>
      <c r="I10061" s="26">
        <v>43676.4707291667</v>
      </c>
      <c r="J10061" s="28" t="s">
        <v>51</v>
      </c>
      <c r="K10061" s="28" t="s">
        <v>51</v>
      </c>
      <c r="L10061" s="28" t="s">
        <v>51</v>
      </c>
      <c r="M10061" s="28" t="s">
        <v>51</v>
      </c>
      <c r="N10061" s="28" t="s">
        <v>51</v>
      </c>
    </row>
    <row r="10062" spans="1:14" ht="12.75" hidden="1" outlineLevel="1" x14ac:dyDescent="0.2">
      <c r="A10062" s="23" t="str">
        <f>HYPERLINK("https://www.spark-marketing.ru/Card/Person/26562", "МБОУ МИЛЮТИНСКАЯ СОШ")</f>
        <v>МБОУ МИЛЮТИНСКАЯ СОШ</v>
      </c>
      <c r="B10062" s="24" t="s">
        <v>14312</v>
      </c>
      <c r="C10062" s="25">
        <v>430012.8</v>
      </c>
      <c r="D10062" s="22" t="s">
        <v>14313</v>
      </c>
      <c r="E10062" s="22" t="s">
        <v>48</v>
      </c>
      <c r="F10062" s="23" t="str">
        <f>HYPERLINK("https://www.spark-marketing.ru/Card/Lot/72524094", "Оказание услуг по организации горячего питания учащихся")</f>
        <v>Оказание услуг по организации горячего питания учащихся</v>
      </c>
      <c r="G10062" s="22" t="s">
        <v>267</v>
      </c>
      <c r="H10062" s="22" t="s">
        <v>14218</v>
      </c>
      <c r="I10062" s="26">
        <v>43676.4707291667</v>
      </c>
      <c r="J10062" s="23" t="str">
        <f>HYPERLINK("https://www.spark-marketing.ru/Card/Person/1451235", "МИЛЮТИНСКОЕ РАЙПО")</f>
        <v>МИЛЮТИНСКОЕ РАЙПО</v>
      </c>
      <c r="K10062" s="24" t="s">
        <v>14279</v>
      </c>
      <c r="L10062" s="22" t="s">
        <v>10</v>
      </c>
      <c r="M10062" s="25">
        <v>305309.31</v>
      </c>
      <c r="N10062" s="27">
        <v>0.28999948373629808</v>
      </c>
    </row>
    <row r="10063" spans="1:14" hidden="1" outlineLevel="1" x14ac:dyDescent="0.2">
      <c r="A10063" s="23" t="str">
        <f>HYPERLINK("https://www.spark-marketing.ru/Card/Person/26562", "МБОУ МИЛЮТИНСКАЯ СОШ")</f>
        <v>МБОУ МИЛЮТИНСКАЯ СОШ</v>
      </c>
      <c r="B10063" s="24" t="s">
        <v>14312</v>
      </c>
      <c r="C10063" s="25">
        <v>430012.8</v>
      </c>
      <c r="D10063" s="22" t="s">
        <v>14313</v>
      </c>
      <c r="E10063" s="22" t="s">
        <v>48</v>
      </c>
      <c r="F10063" s="23" t="str">
        <f>HYPERLINK("https://www.spark-marketing.ru/Card/Lot/72524094", "Оказание услуг по организации горячего питания учащихся")</f>
        <v>Оказание услуг по организации горячего питания учащихся</v>
      </c>
      <c r="G10063" s="22" t="s">
        <v>267</v>
      </c>
      <c r="H10063" s="22" t="s">
        <v>14218</v>
      </c>
      <c r="I10063" s="26">
        <v>43676.4707291667</v>
      </c>
      <c r="J10063" s="23" t="str">
        <f>HYPERLINK("https://www.spark-marketing.ru/Card/Person/6073025", "ООО ""ЕВРОТРЕЙД""")</f>
        <v>ООО "ЕВРОТРЕЙД"</v>
      </c>
      <c r="K10063" s="24" t="s">
        <v>7945</v>
      </c>
      <c r="L10063" s="28" t="s">
        <v>51</v>
      </c>
      <c r="M10063" s="25">
        <v>307459.37</v>
      </c>
      <c r="N10063" s="27">
        <v>0.28499949303834676</v>
      </c>
    </row>
    <row r="10064" spans="1:14" x14ac:dyDescent="0.15">
      <c r="A10064" s="23" t="str">
        <f>HYPERLINK("https://www.spark-marketing.ru/Card/Person/1051484", "МБОУ МАНЬКОВО-БЕРЕЗОВСКАЯ СОШ")</f>
        <v>МБОУ МАНЬКОВО-БЕРЕЗОВСКАЯ СОШ</v>
      </c>
      <c r="B10064" s="24" t="s">
        <v>14314</v>
      </c>
      <c r="C10064" s="25">
        <v>94964.4</v>
      </c>
      <c r="D10064" s="22" t="s">
        <v>14315</v>
      </c>
      <c r="E10064" s="22" t="s">
        <v>48</v>
      </c>
      <c r="F10064" s="23" t="str">
        <f>HYPERLINK("https://www.spark-marketing.ru/Card/Lot/72518723", "Оказание услуг по организации горячего питания учащихся")</f>
        <v>Оказание услуг по организации горячего питания учащихся</v>
      </c>
      <c r="G10064" s="22" t="s">
        <v>267</v>
      </c>
      <c r="H10064" s="22" t="s">
        <v>14218</v>
      </c>
      <c r="I10064" s="26">
        <v>43676.478425925903</v>
      </c>
      <c r="J10064" s="28" t="s">
        <v>51</v>
      </c>
      <c r="K10064" s="28" t="s">
        <v>51</v>
      </c>
      <c r="L10064" s="28" t="s">
        <v>51</v>
      </c>
      <c r="M10064" s="28" t="s">
        <v>51</v>
      </c>
      <c r="N10064" s="28" t="s">
        <v>51</v>
      </c>
    </row>
    <row r="10065" spans="1:14" x14ac:dyDescent="0.15">
      <c r="A10065" s="23" t="str">
        <f>HYPERLINK("https://www.spark-marketing.ru/Card/Person/1053870", "МБОУ ПЕТРОВСКАЯ СОШ")</f>
        <v>МБОУ ПЕТРОВСКАЯ СОШ</v>
      </c>
      <c r="B10065" s="24" t="s">
        <v>14316</v>
      </c>
      <c r="C10065" s="25">
        <v>55954.8</v>
      </c>
      <c r="D10065" s="22" t="s">
        <v>14317</v>
      </c>
      <c r="E10065" s="22" t="s">
        <v>48</v>
      </c>
      <c r="F10065" s="23" t="str">
        <f>HYPERLINK("https://www.spark-marketing.ru/Card/Lot/72495974", "Оказание услуг по организации горячего питания учащихся")</f>
        <v>Оказание услуг по организации горячего питания учащихся</v>
      </c>
      <c r="G10065" s="22" t="s">
        <v>267</v>
      </c>
      <c r="H10065" s="22" t="s">
        <v>14218</v>
      </c>
      <c r="I10065" s="26">
        <v>43676.477291666699</v>
      </c>
      <c r="J10065" s="28" t="s">
        <v>51</v>
      </c>
      <c r="K10065" s="28" t="s">
        <v>51</v>
      </c>
      <c r="L10065" s="28" t="s">
        <v>51</v>
      </c>
      <c r="M10065" s="28" t="s">
        <v>51</v>
      </c>
      <c r="N10065" s="28" t="s">
        <v>51</v>
      </c>
    </row>
    <row r="10066" spans="1:14" x14ac:dyDescent="0.15">
      <c r="A10066" s="23" t="str">
        <f>HYPERLINK("https://www.spark-marketing.ru/Card/Person/890814", "ГКОУ ШКОЛА № 9 Г. НОВОРОССИЙСКА")</f>
        <v>ГКОУ ШКОЛА № 9 Г. НОВОРОССИЙСКА</v>
      </c>
      <c r="B10066" s="24" t="s">
        <v>14301</v>
      </c>
      <c r="C10066" s="25">
        <v>451200</v>
      </c>
      <c r="D10066" s="22" t="s">
        <v>14318</v>
      </c>
      <c r="E10066" s="22" t="s">
        <v>48</v>
      </c>
      <c r="F10066" s="23" t="str">
        <f>HYPERLINK("https://www.spark-marketing.ru/Card/Lot/72543501", "Услуги по обеспечению питанием в ноябре 2019г. обучающихся ГКОУ школы № 9 г. Новороссийска")</f>
        <v>Услуги по обеспечению питанием в ноябре 2019г. обучающихся ГКОУ школы № 9 г. Новороссийска</v>
      </c>
      <c r="G10066" s="22" t="s">
        <v>104</v>
      </c>
      <c r="H10066" s="22" t="s">
        <v>1689</v>
      </c>
      <c r="I10066" s="26">
        <v>43676.480902777803</v>
      </c>
      <c r="J10066" s="28" t="s">
        <v>51</v>
      </c>
      <c r="K10066" s="28" t="s">
        <v>51</v>
      </c>
      <c r="L10066" s="28" t="s">
        <v>51</v>
      </c>
      <c r="M10066" s="28" t="s">
        <v>51</v>
      </c>
      <c r="N10066" s="28" t="s">
        <v>51</v>
      </c>
    </row>
    <row r="10067" spans="1:14" hidden="1" outlineLevel="1" x14ac:dyDescent="0.2">
      <c r="A10067" s="23" t="str">
        <f>HYPERLINK("https://www.spark-marketing.ru/Card/Person/890814", "ГКОУ ШКОЛА № 9 Г. НОВОРОССИЙСКА")</f>
        <v>ГКОУ ШКОЛА № 9 Г. НОВОРОССИЙСКА</v>
      </c>
      <c r="B10067" s="24" t="s">
        <v>14301</v>
      </c>
      <c r="C10067" s="25">
        <v>451200</v>
      </c>
      <c r="D10067" s="22" t="s">
        <v>14318</v>
      </c>
      <c r="E10067" s="22" t="s">
        <v>48</v>
      </c>
      <c r="F10067" s="23" t="str">
        <f>HYPERLINK("https://www.spark-marketing.ru/Card/Lot/72543501", "Услуги по обеспечению питанием в ноябре 2019г. обучающихся ГКОУ школы № 9 г. Новороссийска")</f>
        <v>Услуги по обеспечению питанием в ноябре 2019г. обучающихся ГКОУ школы № 9 г. Новороссийска</v>
      </c>
      <c r="G10067" s="22" t="s">
        <v>104</v>
      </c>
      <c r="H10067" s="22" t="s">
        <v>1689</v>
      </c>
      <c r="I10067" s="26">
        <v>43676.480902777803</v>
      </c>
      <c r="J10067" s="23" t="str">
        <f>HYPERLINK("https://www.spark-marketing.ru/Card/Person/54395", "Третьяков Вячеслав Викторович")</f>
        <v>Третьяков Вячеслав Викторович</v>
      </c>
      <c r="K10067" s="24" t="s">
        <v>1690</v>
      </c>
      <c r="L10067" s="28" t="s">
        <v>51</v>
      </c>
      <c r="M10067" s="25">
        <v>351936</v>
      </c>
      <c r="N10067" s="27">
        <v>0.22</v>
      </c>
    </row>
    <row r="10068" spans="1:14" ht="12.75" hidden="1" outlineLevel="1" x14ac:dyDescent="0.2">
      <c r="A10068" s="23" t="str">
        <f>HYPERLINK("https://www.spark-marketing.ru/Card/Person/890814", "ГКОУ ШКОЛА № 9 Г. НОВОРОССИЙСКА")</f>
        <v>ГКОУ ШКОЛА № 9 Г. НОВОРОССИЙСКА</v>
      </c>
      <c r="B10068" s="24" t="s">
        <v>14301</v>
      </c>
      <c r="C10068" s="25">
        <v>451200</v>
      </c>
      <c r="D10068" s="22" t="s">
        <v>14318</v>
      </c>
      <c r="E10068" s="22" t="s">
        <v>48</v>
      </c>
      <c r="F10068" s="23" t="str">
        <f>HYPERLINK("https://www.spark-marketing.ru/Card/Lot/72543501", "Услуги по обеспечению питанием в ноябре 2019г. обучающихся ГКОУ школы № 9 г. Новороссийска")</f>
        <v>Услуги по обеспечению питанием в ноябре 2019г. обучающихся ГКОУ школы № 9 г. Новороссийска</v>
      </c>
      <c r="G10068" s="22" t="s">
        <v>104</v>
      </c>
      <c r="H10068" s="22" t="s">
        <v>1689</v>
      </c>
      <c r="I10068" s="26">
        <v>43676.480902777803</v>
      </c>
      <c r="J10068" s="23" t="str">
        <f>HYPERLINK("https://www.spark-marketing.ru/Card/Person/2461569", "ООО ""КОНСТАНТИНОВ""")</f>
        <v>ООО "КОНСТАНТИНОВ"</v>
      </c>
      <c r="K10068" s="24" t="s">
        <v>1691</v>
      </c>
      <c r="L10068" s="22" t="s">
        <v>10</v>
      </c>
      <c r="M10068" s="25">
        <v>349680</v>
      </c>
      <c r="N10068" s="27">
        <v>0.22500000000000001</v>
      </c>
    </row>
    <row r="10069" spans="1:14" x14ac:dyDescent="0.15">
      <c r="A10069" s="23" t="str">
        <f>HYPERLINK("https://www.spark-marketing.ru/Card/Person/1063571", "МБОУ ""СШ № 29""")</f>
        <v>МБОУ "СШ № 29"</v>
      </c>
      <c r="B10069" s="24" t="s">
        <v>14319</v>
      </c>
      <c r="C10069" s="25">
        <v>1300360</v>
      </c>
      <c r="D10069" s="22" t="s">
        <v>14320</v>
      </c>
      <c r="E10069" s="22" t="s">
        <v>48</v>
      </c>
      <c r="F10069" s="23" t="str">
        <f>HYPERLINK("https://www.spark-marketing.ru/Card/Lot/72483901", "Оказание услуг по организации горячего питания и обеспечению горячим питанием учащихся МБОУ ""СШ № 29""")</f>
        <v>Оказание услуг по организации горячего питания и обеспечению горячим питанием учащихся МБОУ "СШ № 29"</v>
      </c>
      <c r="G10069" s="22" t="s">
        <v>460</v>
      </c>
      <c r="H10069" s="22" t="s">
        <v>461</v>
      </c>
      <c r="I10069" s="26">
        <v>43676.471296296302</v>
      </c>
      <c r="J10069" s="23" t="str">
        <f>HYPERLINK("https://www.spark-marketing.ru/Card/Person/836702", "МУП ""КСП""")</f>
        <v>МУП "КСП"</v>
      </c>
      <c r="K10069" s="24" t="s">
        <v>6532</v>
      </c>
      <c r="L10069" s="22" t="s">
        <v>10</v>
      </c>
      <c r="M10069" s="28" t="s">
        <v>51</v>
      </c>
      <c r="N10069" s="28" t="s">
        <v>51</v>
      </c>
    </row>
    <row r="10070" spans="1:14" x14ac:dyDescent="0.15">
      <c r="A10070" s="23" t="str">
        <f>HYPERLINK("https://www.spark-marketing.ru/Card/Person/1054079", "МБОУ НОВОДМИТРИЕВСКАЯ СОШ")</f>
        <v>МБОУ НОВОДМИТРИЕВСКАЯ СОШ</v>
      </c>
      <c r="B10070" s="24" t="s">
        <v>14321</v>
      </c>
      <c r="C10070" s="25">
        <v>36450</v>
      </c>
      <c r="D10070" s="22" t="s">
        <v>14322</v>
      </c>
      <c r="E10070" s="22" t="s">
        <v>48</v>
      </c>
      <c r="F10070" s="23" t="str">
        <f>HYPERLINK("https://www.spark-marketing.ru/Card/Lot/72495737", "Оказание услуг по организации горячего питания учащихся")</f>
        <v>Оказание услуг по организации горячего питания учащихся</v>
      </c>
      <c r="G10070" s="22" t="s">
        <v>267</v>
      </c>
      <c r="H10070" s="22" t="s">
        <v>14218</v>
      </c>
      <c r="I10070" s="26">
        <v>43676.476388888899</v>
      </c>
      <c r="J10070" s="28" t="s">
        <v>51</v>
      </c>
      <c r="K10070" s="28" t="s">
        <v>51</v>
      </c>
      <c r="L10070" s="28" t="s">
        <v>51</v>
      </c>
      <c r="M10070" s="28" t="s">
        <v>51</v>
      </c>
      <c r="N10070" s="28" t="s">
        <v>51</v>
      </c>
    </row>
    <row r="10071" spans="1:14" x14ac:dyDescent="0.2">
      <c r="A10071" s="23" t="s">
        <v>114</v>
      </c>
      <c r="B10071" s="28" t="s">
        <v>51</v>
      </c>
      <c r="C10071" s="25">
        <v>24193722</v>
      </c>
      <c r="D10071" s="22" t="s">
        <v>14323</v>
      </c>
      <c r="E10071" s="22" t="s">
        <v>48</v>
      </c>
      <c r="F10071" s="23" t="str">
        <f>HYPERLINK("https://www.spark-marketing.ru/Card/Lot/72487937", "Оказание услуг по организации питания учащихся в 2019-2021 гг.")</f>
        <v>Оказание услуг по организации питания учащихся в 2019-2021 гг.</v>
      </c>
      <c r="G10071" s="22" t="s">
        <v>51</v>
      </c>
      <c r="H10071" s="22" t="s">
        <v>51</v>
      </c>
      <c r="I10071" s="26">
        <v>43676.464097222197</v>
      </c>
      <c r="J10071" s="23" t="str">
        <f>HYPERLINK("https://www.spark-marketing.ru/Card/Person/103647", "АО ""КСП ""ВОЛНА""")</f>
        <v>АО "КСП "ВОЛНА"</v>
      </c>
      <c r="K10071" s="24" t="s">
        <v>5446</v>
      </c>
      <c r="L10071" s="28" t="s">
        <v>51</v>
      </c>
      <c r="M10071" s="25">
        <v>24193722</v>
      </c>
      <c r="N10071" s="27">
        <v>0</v>
      </c>
    </row>
    <row r="10072" spans="1:14" hidden="1" outlineLevel="1" x14ac:dyDescent="0.2">
      <c r="A10072" s="23" t="str">
        <f>HYPERLINK("https://www.spark-marketing.ru/Card/Person/24997", "ГБОУ ШКОЛА № 268 НЕВСКОГО РАЙОНА САНКТ-ПЕТЕРБУРГА")</f>
        <v>ГБОУ ШКОЛА № 268 НЕВСКОГО РАЙОНА САНКТ-ПЕТЕРБУРГА</v>
      </c>
      <c r="B10072" s="24" t="s">
        <v>14324</v>
      </c>
      <c r="C10072" s="25">
        <v>11201098</v>
      </c>
      <c r="D10072" s="22" t="s">
        <v>14323</v>
      </c>
      <c r="E10072" s="22" t="s">
        <v>48</v>
      </c>
      <c r="F10072" s="23" t="str">
        <f>HYPERLINK("https://www.spark-marketing.ru/Card/Lot/72487937", "Оказание услуг по организации питания учащихся в 2019-2021 гг.")</f>
        <v>Оказание услуг по организации питания учащихся в 2019-2021 гг.</v>
      </c>
      <c r="G10072" s="22" t="s">
        <v>117</v>
      </c>
      <c r="H10072" s="22" t="s">
        <v>117</v>
      </c>
      <c r="I10072" s="26">
        <v>43676.464097222197</v>
      </c>
      <c r="J10072" s="23" t="str">
        <f>HYPERLINK("https://www.spark-marketing.ru/Card/Person/103647", "АО ""КСП ""ВОЛНА""")</f>
        <v>АО "КСП "ВОЛНА"</v>
      </c>
      <c r="K10072" s="24" t="s">
        <v>5446</v>
      </c>
      <c r="L10072" s="28" t="s">
        <v>51</v>
      </c>
      <c r="M10072" s="28" t="s">
        <v>51</v>
      </c>
      <c r="N10072" s="27">
        <v>0</v>
      </c>
    </row>
    <row r="10073" spans="1:14" hidden="1" outlineLevel="1" x14ac:dyDescent="0.2">
      <c r="A10073" s="23" t="str">
        <f>HYPERLINK("https://www.spark-marketing.ru/Card/Person/26649", "ГБОУ СОШ № 516 НЕВСКОГО РАЙОНА САНКТ-ПЕТЕРБУРГА")</f>
        <v>ГБОУ СОШ № 516 НЕВСКОГО РАЙОНА САНКТ-ПЕТЕРБУРГА</v>
      </c>
      <c r="B10073" s="24" t="s">
        <v>14325</v>
      </c>
      <c r="C10073" s="25">
        <v>12992624</v>
      </c>
      <c r="D10073" s="22" t="s">
        <v>14323</v>
      </c>
      <c r="E10073" s="22" t="s">
        <v>48</v>
      </c>
      <c r="F10073" s="23" t="str">
        <f>HYPERLINK("https://www.spark-marketing.ru/Card/Lot/72487937", "Оказание услуг по организации питания учащихся в 2019-2021 гг.")</f>
        <v>Оказание услуг по организации питания учащихся в 2019-2021 гг.</v>
      </c>
      <c r="G10073" s="22" t="s">
        <v>117</v>
      </c>
      <c r="H10073" s="22" t="s">
        <v>117</v>
      </c>
      <c r="I10073" s="26">
        <v>43676.464097222197</v>
      </c>
      <c r="J10073" s="23" t="str">
        <f>HYPERLINK("https://www.spark-marketing.ru/Card/Person/103647", "АО ""КСП ""ВОЛНА""")</f>
        <v>АО "КСП "ВОЛНА"</v>
      </c>
      <c r="K10073" s="24" t="s">
        <v>5446</v>
      </c>
      <c r="L10073" s="28" t="s">
        <v>51</v>
      </c>
      <c r="M10073" s="28" t="s">
        <v>51</v>
      </c>
      <c r="N10073" s="27">
        <v>0</v>
      </c>
    </row>
    <row r="10074" spans="1:14" x14ac:dyDescent="0.15">
      <c r="A10074" s="23" t="str">
        <f>HYPERLINK("https://www.spark-marketing.ru/Card/Person/1080466", "МБДОУ №80 Г.ШАХТЫ")</f>
        <v>МБДОУ №80 Г.ШАХТЫ</v>
      </c>
      <c r="B10074" s="24" t="s">
        <v>14326</v>
      </c>
      <c r="C10074" s="25">
        <v>296682.40000000002</v>
      </c>
      <c r="D10074" s="22" t="s">
        <v>14327</v>
      </c>
      <c r="E10074" s="22" t="s">
        <v>48</v>
      </c>
      <c r="F10074" s="23" t="str">
        <f>HYPERLINK("https://www.spark-marketing.ru/Card/Lot/72467326", "услуга по организации питания")</f>
        <v>услуга по организации питания</v>
      </c>
      <c r="G10074" s="22" t="s">
        <v>267</v>
      </c>
      <c r="H10074" s="22" t="s">
        <v>4874</v>
      </c>
      <c r="I10074" s="26">
        <v>43676.434722222199</v>
      </c>
      <c r="J10074" s="28" t="s">
        <v>51</v>
      </c>
      <c r="K10074" s="28" t="s">
        <v>51</v>
      </c>
      <c r="L10074" s="28" t="s">
        <v>51</v>
      </c>
      <c r="M10074" s="28" t="s">
        <v>51</v>
      </c>
      <c r="N10074" s="28" t="s">
        <v>51</v>
      </c>
    </row>
    <row r="10075" spans="1:14" x14ac:dyDescent="0.15">
      <c r="A10075" s="23" t="str">
        <f>HYPERLINK("https://www.spark-marketing.ru/Card/Person/1071609", "МБДОУ Д/С № 4 ""БЕРЕЗКА""")</f>
        <v>МБДОУ Д/С № 4 "БЕРЕЗКА"</v>
      </c>
      <c r="B10075" s="24" t="s">
        <v>14328</v>
      </c>
      <c r="C10075" s="25">
        <v>12590683.91</v>
      </c>
      <c r="D10075" s="22" t="s">
        <v>14329</v>
      </c>
      <c r="E10075" s="22" t="s">
        <v>96</v>
      </c>
      <c r="F10075" s="23" t="str">
        <f>HYPERLINK("https://www.spark-marketing.ru/Card/Lot/72496914", "Оказание услуг по организации горячего питания")</f>
        <v>Оказание услуг по организации горячего питания</v>
      </c>
      <c r="G10075" s="22" t="s">
        <v>153</v>
      </c>
      <c r="H10075" s="22" t="s">
        <v>153</v>
      </c>
      <c r="I10075" s="26">
        <v>43676.431770833296</v>
      </c>
      <c r="J10075" s="28" t="s">
        <v>51</v>
      </c>
      <c r="K10075" s="28" t="s">
        <v>51</v>
      </c>
      <c r="L10075" s="28" t="s">
        <v>51</v>
      </c>
      <c r="M10075" s="28" t="s">
        <v>51</v>
      </c>
      <c r="N10075" s="28" t="s">
        <v>51</v>
      </c>
    </row>
    <row r="10076" spans="1:14" hidden="1" outlineLevel="1" x14ac:dyDescent="0.2">
      <c r="A10076" s="23" t="str">
        <f>HYPERLINK("https://www.spark-marketing.ru/Card/Person/1071609", "МБДОУ Д/С № 4 ""БЕРЕЗКА""")</f>
        <v>МБДОУ Д/С № 4 "БЕРЕЗКА"</v>
      </c>
      <c r="B10076" s="24" t="s">
        <v>14328</v>
      </c>
      <c r="C10076" s="25">
        <v>12590683.91</v>
      </c>
      <c r="D10076" s="22" t="s">
        <v>14329</v>
      </c>
      <c r="E10076" s="22" t="s">
        <v>96</v>
      </c>
      <c r="F10076" s="23" t="str">
        <f>HYPERLINK("https://www.spark-marketing.ru/Card/Lot/72496914", "Оказание услуг по организации горячего питания")</f>
        <v>Оказание услуг по организации горячего питания</v>
      </c>
      <c r="G10076" s="22" t="s">
        <v>153</v>
      </c>
      <c r="H10076" s="22" t="s">
        <v>153</v>
      </c>
      <c r="I10076" s="26">
        <v>43676.431770833296</v>
      </c>
      <c r="J10076" s="23" t="str">
        <f>HYPERLINK("https://www.spark-marketing.ru/Card/Person/6141623", "ООО ""КОМБИНАТ ПИТАНИЯ""")</f>
        <v>ООО "КОМБИНАТ ПИТАНИЯ"</v>
      </c>
      <c r="K10076" s="24" t="s">
        <v>6012</v>
      </c>
      <c r="L10076" s="28" t="s">
        <v>51</v>
      </c>
      <c r="M10076" s="25">
        <v>12580683.91</v>
      </c>
      <c r="N10076" s="27">
        <v>7.9423803118888715E-4</v>
      </c>
    </row>
    <row r="10077" spans="1:14" hidden="1" outlineLevel="1" x14ac:dyDescent="0.15">
      <c r="A10077" s="23" t="str">
        <f>HYPERLINK("https://www.spark-marketing.ru/Card/Person/1071609", "МБДОУ Д/С № 4 ""БЕРЕЗКА""")</f>
        <v>МБДОУ Д/С № 4 "БЕРЕЗКА"</v>
      </c>
      <c r="B10077" s="24" t="s">
        <v>14328</v>
      </c>
      <c r="C10077" s="25">
        <v>12590683.91</v>
      </c>
      <c r="D10077" s="22" t="s">
        <v>14329</v>
      </c>
      <c r="E10077" s="22" t="s">
        <v>96</v>
      </c>
      <c r="F10077" s="23" t="str">
        <f>HYPERLINK("https://www.spark-marketing.ru/Card/Lot/72496914", "Оказание услуг по организации горячего питания")</f>
        <v>Оказание услуг по организации горячего питания</v>
      </c>
      <c r="G10077" s="22" t="s">
        <v>153</v>
      </c>
      <c r="H10077" s="22" t="s">
        <v>153</v>
      </c>
      <c r="I10077" s="26">
        <v>43676.431770833296</v>
      </c>
      <c r="J10077" s="23" t="str">
        <f>HYPERLINK("https://www.spark-marketing.ru/Card/Person/1129147", "Кобилова Надежда Юрьевна")</f>
        <v>Кобилова Надежда Юрьевна</v>
      </c>
      <c r="K10077" s="24" t="s">
        <v>14330</v>
      </c>
      <c r="L10077" s="28" t="s">
        <v>51</v>
      </c>
      <c r="M10077" s="28" t="s">
        <v>51</v>
      </c>
      <c r="N10077" s="28" t="s">
        <v>51</v>
      </c>
    </row>
    <row r="10078" spans="1:14" x14ac:dyDescent="0.15">
      <c r="A10078" s="23" t="str">
        <f>HYPERLINK("https://www.spark-marketing.ru/Card/Person/62702", "ГБУЗ ""ТОРОПЕЦКАЯ ЦРБ""")</f>
        <v>ГБУЗ "ТОРОПЕЦКАЯ ЦРБ"</v>
      </c>
      <c r="B10078" s="24" t="s">
        <v>14331</v>
      </c>
      <c r="C10078" s="25">
        <v>335594</v>
      </c>
      <c r="D10078" s="22" t="s">
        <v>14332</v>
      </c>
      <c r="E10078" s="22" t="s">
        <v>62</v>
      </c>
      <c r="F10078" s="23" t="str">
        <f>HYPERLINK("https://www.spark-marketing.ru/Card/Lot/72486148", "Поставка бланков")</f>
        <v>Поставка бланков</v>
      </c>
      <c r="G10078" s="22" t="s">
        <v>137</v>
      </c>
      <c r="H10078" s="22" t="s">
        <v>14333</v>
      </c>
      <c r="I10078" s="26">
        <v>43676.431828703702</v>
      </c>
      <c r="J10078" s="28" t="s">
        <v>51</v>
      </c>
      <c r="K10078" s="28" t="s">
        <v>51</v>
      </c>
      <c r="L10078" s="28" t="s">
        <v>51</v>
      </c>
      <c r="M10078" s="28" t="s">
        <v>51</v>
      </c>
      <c r="N10078" s="28" t="s">
        <v>51</v>
      </c>
    </row>
    <row r="10079" spans="1:14" hidden="1" outlineLevel="1" x14ac:dyDescent="0.2">
      <c r="A10079" s="23" t="str">
        <f>HYPERLINK("https://www.spark-marketing.ru/Card/Person/62702", "ГБУЗ ""ТОРОПЕЦКАЯ ЦРБ""")</f>
        <v>ГБУЗ "ТОРОПЕЦКАЯ ЦРБ"</v>
      </c>
      <c r="B10079" s="24" t="s">
        <v>14331</v>
      </c>
      <c r="C10079" s="25">
        <v>335594</v>
      </c>
      <c r="D10079" s="22" t="s">
        <v>14332</v>
      </c>
      <c r="E10079" s="22" t="s">
        <v>62</v>
      </c>
      <c r="F10079" s="23" t="str">
        <f>HYPERLINK("https://www.spark-marketing.ru/Card/Lot/72486148", "Поставка бланков")</f>
        <v>Поставка бланков</v>
      </c>
      <c r="G10079" s="22" t="s">
        <v>137</v>
      </c>
      <c r="H10079" s="22" t="s">
        <v>14333</v>
      </c>
      <c r="I10079" s="26">
        <v>43676.431828703702</v>
      </c>
      <c r="J10079" s="23" t="str">
        <f>HYPERLINK("https://www.spark-marketing.ru/Card/Person/70363", "ООО ""ВИННЕР - ПРИНТ""")</f>
        <v>ООО "ВИННЕР - ПРИНТ"</v>
      </c>
      <c r="K10079" s="24" t="s">
        <v>3048</v>
      </c>
      <c r="L10079" s="28" t="s">
        <v>51</v>
      </c>
      <c r="M10079" s="25">
        <v>180000</v>
      </c>
      <c r="N10079" s="27">
        <v>0.4636376097308057</v>
      </c>
    </row>
    <row r="10080" spans="1:14" hidden="1" outlineLevel="1" x14ac:dyDescent="0.2">
      <c r="A10080" s="23" t="str">
        <f>HYPERLINK("https://www.spark-marketing.ru/Card/Person/62702", "ГБУЗ ""ТОРОПЕЦКАЯ ЦРБ""")</f>
        <v>ГБУЗ "ТОРОПЕЦКАЯ ЦРБ"</v>
      </c>
      <c r="B10080" s="24" t="s">
        <v>14331</v>
      </c>
      <c r="C10080" s="25">
        <v>335594</v>
      </c>
      <c r="D10080" s="22" t="s">
        <v>14332</v>
      </c>
      <c r="E10080" s="22" t="s">
        <v>62</v>
      </c>
      <c r="F10080" s="23" t="str">
        <f>HYPERLINK("https://www.spark-marketing.ru/Card/Lot/72486148", "Поставка бланков")</f>
        <v>Поставка бланков</v>
      </c>
      <c r="G10080" s="22" t="s">
        <v>137</v>
      </c>
      <c r="H10080" s="22" t="s">
        <v>14333</v>
      </c>
      <c r="I10080" s="26">
        <v>43676.431828703702</v>
      </c>
      <c r="J10080" s="23" t="str">
        <f>HYPERLINK("https://www.spark-marketing.ru/Card/Person/105032", "ООО ""ТОРЖОКСКАЯ ТИПОГРАФИЯ""")</f>
        <v>ООО "ТОРЖОКСКАЯ ТИПОГРАФИЯ"</v>
      </c>
      <c r="K10080" s="24" t="s">
        <v>7305</v>
      </c>
      <c r="L10080" s="28" t="s">
        <v>51</v>
      </c>
      <c r="M10080" s="25">
        <v>178321</v>
      </c>
      <c r="N10080" s="27">
        <v>0.46864067891559441</v>
      </c>
    </row>
    <row r="10081" spans="1:14" hidden="1" outlineLevel="1" x14ac:dyDescent="0.2">
      <c r="A10081" s="23" t="str">
        <f>HYPERLINK("https://www.spark-marketing.ru/Card/Person/62702", "ГБУЗ ""ТОРОПЕЦКАЯ ЦРБ""")</f>
        <v>ГБУЗ "ТОРОПЕЦКАЯ ЦРБ"</v>
      </c>
      <c r="B10081" s="24" t="s">
        <v>14331</v>
      </c>
      <c r="C10081" s="25">
        <v>335594</v>
      </c>
      <c r="D10081" s="22" t="s">
        <v>14332</v>
      </c>
      <c r="E10081" s="22" t="s">
        <v>62</v>
      </c>
      <c r="F10081" s="23" t="str">
        <f>HYPERLINK("https://www.spark-marketing.ru/Card/Lot/72486148", "Поставка бланков")</f>
        <v>Поставка бланков</v>
      </c>
      <c r="G10081" s="22" t="s">
        <v>137</v>
      </c>
      <c r="H10081" s="22" t="s">
        <v>14333</v>
      </c>
      <c r="I10081" s="26">
        <v>43676.431828703702</v>
      </c>
      <c r="J10081" s="23" t="str">
        <f>HYPERLINK("https://www.spark-marketing.ru/Card/Person/6421268", "Головатый Александр Николаевич")</f>
        <v>Головатый Александр Николаевич</v>
      </c>
      <c r="K10081" s="24" t="s">
        <v>5206</v>
      </c>
      <c r="L10081" s="28" t="s">
        <v>51</v>
      </c>
      <c r="M10081" s="25">
        <v>178322</v>
      </c>
      <c r="N10081" s="27">
        <v>0.4686376991245374</v>
      </c>
    </row>
    <row r="10082" spans="1:14" ht="12.75" hidden="1" outlineLevel="1" x14ac:dyDescent="0.2">
      <c r="A10082" s="23" t="str">
        <f>HYPERLINK("https://www.spark-marketing.ru/Card/Person/62702", "ГБУЗ ""ТОРОПЕЦКАЯ ЦРБ""")</f>
        <v>ГБУЗ "ТОРОПЕЦКАЯ ЦРБ"</v>
      </c>
      <c r="B10082" s="24" t="s">
        <v>14331</v>
      </c>
      <c r="C10082" s="25">
        <v>335594</v>
      </c>
      <c r="D10082" s="22" t="s">
        <v>14332</v>
      </c>
      <c r="E10082" s="22" t="s">
        <v>62</v>
      </c>
      <c r="F10082" s="23" t="str">
        <f>HYPERLINK("https://www.spark-marketing.ru/Card/Lot/72486148", "Поставка бланков")</f>
        <v>Поставка бланков</v>
      </c>
      <c r="G10082" s="22" t="s">
        <v>137</v>
      </c>
      <c r="H10082" s="22" t="s">
        <v>14333</v>
      </c>
      <c r="I10082" s="26">
        <v>43676.431828703702</v>
      </c>
      <c r="J10082" s="23" t="str">
        <f>HYPERLINK("https://www.spark-marketing.ru/Card/Person/63905", "ООО ""АКЦЕНТ""")</f>
        <v>ООО "АКЦЕНТ"</v>
      </c>
      <c r="K10082" s="24" t="s">
        <v>5170</v>
      </c>
      <c r="L10082" s="22" t="s">
        <v>10</v>
      </c>
      <c r="M10082" s="25">
        <v>176000</v>
      </c>
      <c r="N10082" s="27">
        <v>0.47555677395900997</v>
      </c>
    </row>
    <row r="10083" spans="1:14" x14ac:dyDescent="0.15">
      <c r="A10083" s="23" t="str">
        <f>HYPERLINK("https://www.spark-marketing.ru/Card/Person/890814", "ГКОУ ШКОЛА № 9 Г. НОВОРОССИЙСКА")</f>
        <v>ГКОУ ШКОЛА № 9 Г. НОВОРОССИЙСКА</v>
      </c>
      <c r="B10083" s="24" t="s">
        <v>14301</v>
      </c>
      <c r="C10083" s="25">
        <v>473760</v>
      </c>
      <c r="D10083" s="22" t="s">
        <v>14334</v>
      </c>
      <c r="E10083" s="22" t="s">
        <v>48</v>
      </c>
      <c r="F10083" s="23" t="str">
        <f>HYPERLINK("https://www.spark-marketing.ru/Card/Lot/72524090", "Услуги по обеспечению обучающихся питанием  в сентябре 2019г. ГКОУ школы № 9 г. Новороссийска")</f>
        <v>Услуги по обеспечению обучающихся питанием  в сентябре 2019г. ГКОУ школы № 9 г. Новороссийска</v>
      </c>
      <c r="G10083" s="22" t="s">
        <v>104</v>
      </c>
      <c r="H10083" s="22" t="s">
        <v>1689</v>
      </c>
      <c r="I10083" s="26">
        <v>43676.449270833298</v>
      </c>
      <c r="J10083" s="28" t="s">
        <v>51</v>
      </c>
      <c r="K10083" s="28" t="s">
        <v>51</v>
      </c>
      <c r="L10083" s="28" t="s">
        <v>51</v>
      </c>
      <c r="M10083" s="28" t="s">
        <v>51</v>
      </c>
      <c r="N10083" s="28" t="s">
        <v>51</v>
      </c>
    </row>
    <row r="10084" spans="1:14" ht="12.75" hidden="1" outlineLevel="1" x14ac:dyDescent="0.2">
      <c r="A10084" s="23" t="str">
        <f>HYPERLINK("https://www.spark-marketing.ru/Card/Person/890814", "ГКОУ ШКОЛА № 9 Г. НОВОРОССИЙСКА")</f>
        <v>ГКОУ ШКОЛА № 9 Г. НОВОРОССИЙСКА</v>
      </c>
      <c r="B10084" s="24" t="s">
        <v>14301</v>
      </c>
      <c r="C10084" s="25">
        <v>473760</v>
      </c>
      <c r="D10084" s="22" t="s">
        <v>14334</v>
      </c>
      <c r="E10084" s="22" t="s">
        <v>48</v>
      </c>
      <c r="F10084" s="23" t="str">
        <f>HYPERLINK("https://www.spark-marketing.ru/Card/Lot/72524090", "Услуги по обеспечению обучающихся питанием  в сентябре 2019г. ГКОУ школы № 9 г. Новороссийска")</f>
        <v>Услуги по обеспечению обучающихся питанием  в сентябре 2019г. ГКОУ школы № 9 г. Новороссийска</v>
      </c>
      <c r="G10084" s="22" t="s">
        <v>104</v>
      </c>
      <c r="H10084" s="22" t="s">
        <v>1689</v>
      </c>
      <c r="I10084" s="26">
        <v>43676.449270833298</v>
      </c>
      <c r="J10084" s="23" t="str">
        <f>HYPERLINK("https://www.spark-marketing.ru/Card/Person/2461569", "ООО ""КОНСТАНТИНОВ""")</f>
        <v>ООО "КОНСТАНТИНОВ"</v>
      </c>
      <c r="K10084" s="24" t="s">
        <v>1691</v>
      </c>
      <c r="L10084" s="22" t="s">
        <v>10</v>
      </c>
      <c r="M10084" s="25">
        <v>371901.6</v>
      </c>
      <c r="N10084" s="27">
        <v>0.215</v>
      </c>
    </row>
    <row r="10085" spans="1:14" hidden="1" outlineLevel="1" x14ac:dyDescent="0.2">
      <c r="A10085" s="23" t="str">
        <f>HYPERLINK("https://www.spark-marketing.ru/Card/Person/890814", "ГКОУ ШКОЛА № 9 Г. НОВОРОССИЙСКА")</f>
        <v>ГКОУ ШКОЛА № 9 Г. НОВОРОССИЙСКА</v>
      </c>
      <c r="B10085" s="24" t="s">
        <v>14301</v>
      </c>
      <c r="C10085" s="25">
        <v>473760</v>
      </c>
      <c r="D10085" s="22" t="s">
        <v>14334</v>
      </c>
      <c r="E10085" s="22" t="s">
        <v>48</v>
      </c>
      <c r="F10085" s="23" t="str">
        <f>HYPERLINK("https://www.spark-marketing.ru/Card/Lot/72524090", "Услуги по обеспечению обучающихся питанием  в сентябре 2019г. ГКОУ школы № 9 г. Новороссийска")</f>
        <v>Услуги по обеспечению обучающихся питанием  в сентябре 2019г. ГКОУ школы № 9 г. Новороссийска</v>
      </c>
      <c r="G10085" s="22" t="s">
        <v>104</v>
      </c>
      <c r="H10085" s="22" t="s">
        <v>1689</v>
      </c>
      <c r="I10085" s="26">
        <v>43676.449270833298</v>
      </c>
      <c r="J10085" s="23" t="str">
        <f>HYPERLINK("https://www.spark-marketing.ru/Card/Person/54395", "Третьяков Вячеслав Викторович")</f>
        <v>Третьяков Вячеслав Викторович</v>
      </c>
      <c r="K10085" s="24" t="s">
        <v>1690</v>
      </c>
      <c r="L10085" s="28" t="s">
        <v>51</v>
      </c>
      <c r="M10085" s="25">
        <v>374270.4</v>
      </c>
      <c r="N10085" s="27">
        <v>0.21</v>
      </c>
    </row>
    <row r="10086" spans="1:14" x14ac:dyDescent="0.15">
      <c r="A10086" s="23" t="str">
        <f>HYPERLINK("https://www.spark-marketing.ru/Card/Person/1029866", "ГБУСО МО ""ДМИТРОВСКИЙ ЦСПСИД""")</f>
        <v>ГБУСО МО "ДМИТРОВСКИЙ ЦСПСИД"</v>
      </c>
      <c r="B10086" s="24" t="s">
        <v>719</v>
      </c>
      <c r="C10086" s="25">
        <v>231600</v>
      </c>
      <c r="D10086" s="22" t="s">
        <v>14335</v>
      </c>
      <c r="E10086" s="22" t="s">
        <v>48</v>
      </c>
      <c r="F10086" s="23" t="str">
        <f>HYPERLINK("https://www.spark-marketing.ru/Card/Lot/72467543", "Услуги питания")</f>
        <v>Услуги питания</v>
      </c>
      <c r="G10086" s="22" t="s">
        <v>49</v>
      </c>
      <c r="H10086" s="22" t="s">
        <v>721</v>
      </c>
      <c r="I10086" s="26">
        <v>43676.398692129602</v>
      </c>
      <c r="J10086" s="28" t="s">
        <v>51</v>
      </c>
      <c r="K10086" s="28" t="s">
        <v>51</v>
      </c>
      <c r="L10086" s="28" t="s">
        <v>51</v>
      </c>
      <c r="M10086" s="28" t="s">
        <v>51</v>
      </c>
      <c r="N10086" s="28" t="s">
        <v>51</v>
      </c>
    </row>
    <row r="10087" spans="1:14" x14ac:dyDescent="0.15">
      <c r="A10087" s="23" t="str">
        <f>HYPERLINK("https://www.spark-marketing.ru/Card/Person/59773", "ГУЗ ""ГБ № 7 Г.ТУЛЫ""")</f>
        <v>ГУЗ "ГБ № 7 Г.ТУЛЫ"</v>
      </c>
      <c r="B10087" s="24" t="s">
        <v>11257</v>
      </c>
      <c r="C10087" s="25">
        <v>100000</v>
      </c>
      <c r="D10087" s="22" t="s">
        <v>14336</v>
      </c>
      <c r="E10087" s="22" t="s">
        <v>48</v>
      </c>
      <c r="F10087" s="23" t="str">
        <f>HYPERLINK("https://www.spark-marketing.ru/Card/Lot/72483740", "Оказание услуг по организации лечебного питания пациентов")</f>
        <v>Оказание услуг по организации лечебного питания пациентов</v>
      </c>
      <c r="G10087" s="22" t="s">
        <v>68</v>
      </c>
      <c r="H10087" s="22" t="s">
        <v>69</v>
      </c>
      <c r="I10087" s="26">
        <v>43676.375057870398</v>
      </c>
      <c r="J10087" s="23" t="str">
        <f>HYPERLINK("https://www.spark-marketing.ru/Card/Person/51530", "ООО ""ЛЕГЕНДА""")</f>
        <v>ООО "ЛЕГЕНДА"</v>
      </c>
      <c r="K10087" s="24" t="s">
        <v>6869</v>
      </c>
      <c r="L10087" s="22" t="s">
        <v>10</v>
      </c>
      <c r="M10087" s="28" t="s">
        <v>51</v>
      </c>
      <c r="N10087" s="28" t="s">
        <v>51</v>
      </c>
    </row>
    <row r="10088" spans="1:14" x14ac:dyDescent="0.15">
      <c r="A10088" s="23" t="str">
        <f>HYPERLINK("https://www.spark-marketing.ru/Card/Person/4348382", "ООО ""ГАЗПРОМ ПИТАНИЕ""")</f>
        <v>ООО "ГАЗПРОМ ПИТАНИЕ"</v>
      </c>
      <c r="B10088" s="24" t="s">
        <v>2869</v>
      </c>
      <c r="C10088" s="25">
        <v>2416.67</v>
      </c>
      <c r="D10088" s="22" t="s">
        <v>14337</v>
      </c>
      <c r="E10088" s="22" t="s">
        <v>52</v>
      </c>
      <c r="F10088" s="23" t="str">
        <f>HYPERLINK("https://www.spark-marketing.ru/Card/Lot/72467250", "Оказание услуг по выпуску сертификата ключа проверки эп для эгаис для нужд филиала томское уооп ооо ""газпром питание""")</f>
        <v>Оказание услуг по выпуску сертификата ключа проверки эп для эгаис для нужд филиала томское уооп ооо "газпром питание"</v>
      </c>
      <c r="G10088" s="22" t="s">
        <v>56</v>
      </c>
      <c r="H10088" s="22" t="s">
        <v>56</v>
      </c>
      <c r="I10088" s="26">
        <v>43676.414583333302</v>
      </c>
      <c r="J10088" s="28" t="s">
        <v>51</v>
      </c>
      <c r="K10088" s="28" t="s">
        <v>51</v>
      </c>
      <c r="L10088" s="28" t="s">
        <v>51</v>
      </c>
      <c r="M10088" s="28" t="s">
        <v>51</v>
      </c>
      <c r="N10088" s="28" t="s">
        <v>51</v>
      </c>
    </row>
    <row r="10089" spans="1:14" x14ac:dyDescent="0.15">
      <c r="A10089" s="23" t="str">
        <f>HYPERLINK("https://www.spark-marketing.ru/Card/Person/4373381", "МБОУ ""ГИМНАЗИЯ № 8""")</f>
        <v>МБОУ "ГИМНАЗИЯ № 8"</v>
      </c>
      <c r="B10089" s="24" t="s">
        <v>14338</v>
      </c>
      <c r="C10089" s="25">
        <v>490392.96</v>
      </c>
      <c r="D10089" s="22" t="s">
        <v>14339</v>
      </c>
      <c r="E10089" s="22" t="s">
        <v>48</v>
      </c>
      <c r="F10089" s="23" t="str">
        <f>HYPERLINK("https://www.spark-marketing.ru/Card/Lot/72486438", "№ зз-25851-19 Услуги по обеспечению питанием учащихся")</f>
        <v>№ зз-25851-19 Услуги по обеспечению питанием учащихся</v>
      </c>
      <c r="G10089" s="22" t="s">
        <v>852</v>
      </c>
      <c r="H10089" s="22" t="s">
        <v>6348</v>
      </c>
      <c r="I10089" s="26">
        <v>43676.362638888902</v>
      </c>
      <c r="J10089" s="23" t="str">
        <f>HYPERLINK("https://www.spark-marketing.ru/Card/Person/4409135", "МУП ""ШКОЛЬНОЕ ПИТАНИЕ""")</f>
        <v>МУП "ШКОЛЬНОЕ ПИТАНИЕ"</v>
      </c>
      <c r="K10089" s="24" t="s">
        <v>6349</v>
      </c>
      <c r="L10089" s="22" t="s">
        <v>10</v>
      </c>
      <c r="M10089" s="28" t="s">
        <v>51</v>
      </c>
      <c r="N10089" s="28" t="s">
        <v>51</v>
      </c>
    </row>
    <row r="10090" spans="1:14" x14ac:dyDescent="0.15">
      <c r="A10090" s="23" t="str">
        <f>HYPERLINK("https://www.spark-marketing.ru/Card/Person/905066", "КГБУ ДО ""АЛТАЙСКИЙ КРАЕВОЙ ДЕТСКИЙ ЭКОЛОГИЧЕСКИЙ ЦЕНТР""")</f>
        <v>КГБУ ДО "АЛТАЙСКИЙ КРАЕВОЙ ДЕТСКИЙ ЭКОЛОГИЧЕСКИЙ ЦЕНТР"</v>
      </c>
      <c r="B10090" s="24" t="s">
        <v>10003</v>
      </c>
      <c r="C10090" s="25">
        <v>1262.9000000000001</v>
      </c>
      <c r="D10090" s="22" t="s">
        <v>14340</v>
      </c>
      <c r="E10090" s="22" t="s">
        <v>586</v>
      </c>
      <c r="F10090" s="23" t="str">
        <f>HYPERLINK("https://www.spark-marketing.ru/Card/Lot/72466680",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0090" s="22" t="s">
        <v>63</v>
      </c>
      <c r="H10090" s="22" t="s">
        <v>177</v>
      </c>
      <c r="I10090" s="26">
        <v>43676.370833333298</v>
      </c>
      <c r="J10090" s="28" t="s">
        <v>51</v>
      </c>
      <c r="K10090" s="28" t="s">
        <v>51</v>
      </c>
      <c r="L10090" s="28" t="s">
        <v>51</v>
      </c>
      <c r="M10090" s="28" t="s">
        <v>51</v>
      </c>
      <c r="N10090" s="28" t="s">
        <v>51</v>
      </c>
    </row>
    <row r="10091" spans="1:14" x14ac:dyDescent="0.15">
      <c r="A10091" s="23" t="str">
        <f>HYPERLINK("https://www.spark-marketing.ru/Card/Person/12747", "АДМИНИСТРАЦИЯ МЕЖДУРЕЧЕНСКОГО ГОРОДСКОГО ОКРУГА")</f>
        <v>АДМИНИСТРАЦИЯ МЕЖДУРЕЧЕНСКОГО ГОРОДСКОГО ОКРУГА</v>
      </c>
      <c r="B10091" s="24" t="s">
        <v>14341</v>
      </c>
      <c r="C10091" s="25">
        <v>300000</v>
      </c>
      <c r="D10091" s="22" t="s">
        <v>14342</v>
      </c>
      <c r="E10091" s="22" t="s">
        <v>51</v>
      </c>
      <c r="F10091" s="23" t="str">
        <f>HYPERLINK("https://www.spark-marketing.ru/Card/Lot/72485790", "Оказание услуг по организации горячего питания при проведении массовых мероприятий")</f>
        <v>Оказание услуг по организации горячего питания при проведении массовых мероприятий</v>
      </c>
      <c r="G10091" s="22" t="s">
        <v>304</v>
      </c>
      <c r="H10091" s="22" t="s">
        <v>2233</v>
      </c>
      <c r="I10091" s="26">
        <v>43676.341215277796</v>
      </c>
      <c r="J10091" s="28" t="s">
        <v>51</v>
      </c>
      <c r="K10091" s="28" t="s">
        <v>51</v>
      </c>
      <c r="L10091" s="28" t="s">
        <v>51</v>
      </c>
      <c r="M10091" s="28" t="s">
        <v>51</v>
      </c>
      <c r="N10091" s="28" t="s">
        <v>51</v>
      </c>
    </row>
    <row r="10092" spans="1:14" hidden="1" outlineLevel="1" x14ac:dyDescent="0.2">
      <c r="A10092" s="23" t="str">
        <f>HYPERLINK("https://www.spark-marketing.ru/Card/Person/12747", "АДМИНИСТРАЦИЯ МЕЖДУРЕЧЕНСКОГО ГОРОДСКОГО ОКРУГА")</f>
        <v>АДМИНИСТРАЦИЯ МЕЖДУРЕЧЕНСКОГО ГОРОДСКОГО ОКРУГА</v>
      </c>
      <c r="B10092" s="24" t="s">
        <v>14341</v>
      </c>
      <c r="C10092" s="25">
        <v>300000</v>
      </c>
      <c r="D10092" s="22" t="s">
        <v>14342</v>
      </c>
      <c r="E10092" s="22" t="s">
        <v>51</v>
      </c>
      <c r="F10092" s="23" t="str">
        <f>HYPERLINK("https://www.spark-marketing.ru/Card/Lot/72485790", "Оказание услуг по организации горячего питания при проведении массовых мероприятий")</f>
        <v>Оказание услуг по организации горячего питания при проведении массовых мероприятий</v>
      </c>
      <c r="G10092" s="22" t="s">
        <v>304</v>
      </c>
      <c r="H10092" s="22" t="s">
        <v>2233</v>
      </c>
      <c r="I10092" s="26">
        <v>43676.341215277796</v>
      </c>
      <c r="J10092" s="23" t="str">
        <f>HYPERLINK("https://www.spark-marketing.ru/Card/Person/626915", "ООО ""ВОЛНА""")</f>
        <v>ООО "ВОЛНА"</v>
      </c>
      <c r="K10092" s="24" t="s">
        <v>14343</v>
      </c>
      <c r="L10092" s="28" t="s">
        <v>51</v>
      </c>
      <c r="M10092" s="25">
        <v>175500</v>
      </c>
      <c r="N10092" s="27">
        <v>0.41499999999999998</v>
      </c>
    </row>
    <row r="10093" spans="1:14" ht="12.75" hidden="1" outlineLevel="1" x14ac:dyDescent="0.2">
      <c r="A10093" s="23" t="str">
        <f>HYPERLINK("https://www.spark-marketing.ru/Card/Person/12747", "АДМИНИСТРАЦИЯ МЕЖДУРЕЧЕНСКОГО ГОРОДСКОГО ОКРУГА")</f>
        <v>АДМИНИСТРАЦИЯ МЕЖДУРЕЧЕНСКОГО ГОРОДСКОГО ОКРУГА</v>
      </c>
      <c r="B10093" s="24" t="s">
        <v>14341</v>
      </c>
      <c r="C10093" s="25">
        <v>300000</v>
      </c>
      <c r="D10093" s="22" t="s">
        <v>14342</v>
      </c>
      <c r="E10093" s="22" t="s">
        <v>51</v>
      </c>
      <c r="F10093" s="23" t="str">
        <f>HYPERLINK("https://www.spark-marketing.ru/Card/Lot/72485790", "Оказание услуг по организации горячего питания при проведении массовых мероприятий")</f>
        <v>Оказание услуг по организации горячего питания при проведении массовых мероприятий</v>
      </c>
      <c r="G10093" s="22" t="s">
        <v>304</v>
      </c>
      <c r="H10093" s="22" t="s">
        <v>2233</v>
      </c>
      <c r="I10093" s="26">
        <v>43676.341215277796</v>
      </c>
      <c r="J10093" s="23" t="str">
        <f>HYPERLINK("https://www.spark-marketing.ru/Card/Person/623897", "Джум Светлана Анатольевна")</f>
        <v>Джум Светлана Анатольевна</v>
      </c>
      <c r="K10093" s="24" t="s">
        <v>10677</v>
      </c>
      <c r="L10093" s="22" t="s">
        <v>10</v>
      </c>
      <c r="M10093" s="25">
        <v>174000</v>
      </c>
      <c r="N10093" s="27">
        <v>0.42</v>
      </c>
    </row>
    <row r="10094" spans="1:14" x14ac:dyDescent="0.15">
      <c r="A10094" s="23" t="str">
        <f>HYPERLINK("https://www.spark-marketing.ru/Card/Person/241020", "О МВД РОССИИ ПО Г.ЖИГУЛЕВСКУ")</f>
        <v>О МВД РОССИИ ПО Г.ЖИГУЛЕВСКУ</v>
      </c>
      <c r="B10094" s="24" t="s">
        <v>14162</v>
      </c>
      <c r="C10094" s="25">
        <v>821000</v>
      </c>
      <c r="D10094" s="22" t="s">
        <v>14344</v>
      </c>
      <c r="E10094" s="22" t="s">
        <v>48</v>
      </c>
      <c r="F10094" s="23" t="str">
        <f>HYPERLINK("https://www.spark-marketing.ru/Card/Lot/72495476", "Услуги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задержанных.")</f>
        <v>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</v>
      </c>
      <c r="G10094" s="22" t="s">
        <v>128</v>
      </c>
      <c r="H10094" s="22" t="s">
        <v>14164</v>
      </c>
      <c r="I10094" s="26">
        <v>43676.362916666701</v>
      </c>
      <c r="J10094" s="28" t="s">
        <v>51</v>
      </c>
      <c r="K10094" s="28" t="s">
        <v>51</v>
      </c>
      <c r="L10094" s="28" t="s">
        <v>51</v>
      </c>
      <c r="M10094" s="28" t="s">
        <v>51</v>
      </c>
      <c r="N10094" s="28" t="s">
        <v>51</v>
      </c>
    </row>
    <row r="10095" spans="1:14" hidden="1" outlineLevel="1" x14ac:dyDescent="0.2">
      <c r="A10095" s="23" t="str">
        <f>HYPERLINK("https://www.spark-marketing.ru/Card/Person/241020", "О МВД РОССИИ ПО Г.ЖИГУЛЕВСКУ")</f>
        <v>О МВД РОССИИ ПО Г.ЖИГУЛЕВСКУ</v>
      </c>
      <c r="B10095" s="24" t="s">
        <v>14162</v>
      </c>
      <c r="C10095" s="25">
        <v>821000</v>
      </c>
      <c r="D10095" s="22" t="s">
        <v>14344</v>
      </c>
      <c r="E10095" s="22" t="s">
        <v>48</v>
      </c>
      <c r="F10095" s="23" t="str">
        <f>HYPERLINK("https://www.spark-marketing.ru/Card/Lot/72495476", "Услуги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задержанных.")</f>
        <v>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</v>
      </c>
      <c r="G10095" s="22" t="s">
        <v>128</v>
      </c>
      <c r="H10095" s="22" t="s">
        <v>14164</v>
      </c>
      <c r="I10095" s="26">
        <v>43676.362916666701</v>
      </c>
      <c r="J10095" s="23" t="str">
        <f>HYPERLINK("https://www.spark-marketing.ru/Card/Person/2395558", "ООО ""РЕСТОРИЯ""")</f>
        <v>ООО "РЕСТОРИЯ"</v>
      </c>
      <c r="K10095" s="24" t="s">
        <v>2093</v>
      </c>
      <c r="L10095" s="28" t="s">
        <v>51</v>
      </c>
      <c r="M10095" s="25">
        <v>747110</v>
      </c>
      <c r="N10095" s="27">
        <v>0.09</v>
      </c>
    </row>
    <row r="10096" spans="1:14" ht="12.75" hidden="1" outlineLevel="1" x14ac:dyDescent="0.2">
      <c r="A10096" s="23" t="str">
        <f>HYPERLINK("https://www.spark-marketing.ru/Card/Person/241020", "О МВД РОССИИ ПО Г.ЖИГУЛЕВСКУ")</f>
        <v>О МВД РОССИИ ПО Г.ЖИГУЛЕВСКУ</v>
      </c>
      <c r="B10096" s="24" t="s">
        <v>14162</v>
      </c>
      <c r="C10096" s="25">
        <v>821000</v>
      </c>
      <c r="D10096" s="22" t="s">
        <v>14344</v>
      </c>
      <c r="E10096" s="22" t="s">
        <v>48</v>
      </c>
      <c r="F10096" s="23" t="str">
        <f>HYPERLINK("https://www.spark-marketing.ru/Card/Lot/72495476", "Услуги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задержанных.")</f>
        <v>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</v>
      </c>
      <c r="G10096" s="22" t="s">
        <v>128</v>
      </c>
      <c r="H10096" s="22" t="s">
        <v>14164</v>
      </c>
      <c r="I10096" s="26">
        <v>43676.362916666701</v>
      </c>
      <c r="J10096" s="23" t="str">
        <f>HYPERLINK("https://www.spark-marketing.ru/Card/Person/6437703", "ООО ""ФЛАГМАН""")</f>
        <v>ООО "ФЛАГМАН"</v>
      </c>
      <c r="K10096" s="24" t="s">
        <v>14165</v>
      </c>
      <c r="L10096" s="22" t="s">
        <v>10</v>
      </c>
      <c r="M10096" s="25">
        <v>718375</v>
      </c>
      <c r="N10096" s="27">
        <v>0.125</v>
      </c>
    </row>
    <row r="10097" spans="1:14" hidden="1" outlineLevel="1" x14ac:dyDescent="0.2">
      <c r="A10097" s="23" t="str">
        <f>HYPERLINK("https://www.spark-marketing.ru/Card/Person/241020", "О МВД РОССИИ ПО Г.ЖИГУЛЕВСКУ")</f>
        <v>О МВД РОССИИ ПО Г.ЖИГУЛЕВСКУ</v>
      </c>
      <c r="B10097" s="24" t="s">
        <v>14162</v>
      </c>
      <c r="C10097" s="25">
        <v>821000</v>
      </c>
      <c r="D10097" s="22" t="s">
        <v>14344</v>
      </c>
      <c r="E10097" s="22" t="s">
        <v>48</v>
      </c>
      <c r="F10097" s="23" t="str">
        <f>HYPERLINK("https://www.spark-marketing.ru/Card/Lot/72495476", "Услуги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задержанных.")</f>
        <v>Услуги по организации и доставке горячего питания для подозреваемых, обвиняемых и лиц, подверженных адм.аресту, содержащихся в ИВС, а также для лиц,задержанных в адм.порядке, содержащихся в комнатах для задержанных.</v>
      </c>
      <c r="G10097" s="22" t="s">
        <v>128</v>
      </c>
      <c r="H10097" s="22" t="s">
        <v>14164</v>
      </c>
      <c r="I10097" s="26">
        <v>43676.362916666701</v>
      </c>
      <c r="J10097" s="23" t="str">
        <f>HYPERLINK("https://www.spark-marketing.ru/Card/Person/691528", "МУП ""ШКОЛЬНОЕ ПИТАНИЕ""")</f>
        <v>МУП "ШКОЛЬНОЕ ПИТАНИЕ"</v>
      </c>
      <c r="K10097" s="24" t="s">
        <v>14166</v>
      </c>
      <c r="L10097" s="28" t="s">
        <v>51</v>
      </c>
      <c r="M10097" s="25">
        <v>722480</v>
      </c>
      <c r="N10097" s="27">
        <v>0.12</v>
      </c>
    </row>
    <row r="10098" spans="1:14" x14ac:dyDescent="0.15">
      <c r="A10098" s="23" t="str">
        <f>HYPERLINK("https://www.spark-marketing.ru/Card/Person/628468", "ГПОУ ПСТ")</f>
        <v>ГПОУ ПСТ</v>
      </c>
      <c r="B10098" s="24" t="s">
        <v>14345</v>
      </c>
      <c r="C10098" s="25">
        <v>1091125</v>
      </c>
      <c r="D10098" s="22" t="s">
        <v>14346</v>
      </c>
      <c r="E10098" s="22" t="s">
        <v>48</v>
      </c>
      <c r="F10098" s="23" t="str">
        <f>HYPERLINK("https://www.spark-marketing.ru/Card/Lot/72485559", "Оказание услуг по организации горячего питания")</f>
        <v>Оказание услуг по организации горячего питания</v>
      </c>
      <c r="G10098" s="22" t="s">
        <v>304</v>
      </c>
      <c r="H10098" s="22" t="s">
        <v>12778</v>
      </c>
      <c r="I10098" s="26">
        <v>43676.334733796299</v>
      </c>
      <c r="J10098" s="28" t="s">
        <v>51</v>
      </c>
      <c r="K10098" s="28" t="s">
        <v>51</v>
      </c>
      <c r="L10098" s="28" t="s">
        <v>51</v>
      </c>
      <c r="M10098" s="28" t="s">
        <v>51</v>
      </c>
      <c r="N10098" s="28" t="s">
        <v>51</v>
      </c>
    </row>
    <row r="10099" spans="1:14" ht="12.75" hidden="1" outlineLevel="1" x14ac:dyDescent="0.2">
      <c r="A10099" s="23" t="str">
        <f>HYPERLINK("https://www.spark-marketing.ru/Card/Person/628468", "ГПОУ ПСТ")</f>
        <v>ГПОУ ПСТ</v>
      </c>
      <c r="B10099" s="24" t="s">
        <v>14345</v>
      </c>
      <c r="C10099" s="25">
        <v>1091125</v>
      </c>
      <c r="D10099" s="22" t="s">
        <v>14346</v>
      </c>
      <c r="E10099" s="22" t="s">
        <v>48</v>
      </c>
      <c r="F10099" s="23" t="str">
        <f>HYPERLINK("https://www.spark-marketing.ru/Card/Lot/72485559", "Оказание услуг по организации горячего питания")</f>
        <v>Оказание услуг по организации горячего питания</v>
      </c>
      <c r="G10099" s="22" t="s">
        <v>304</v>
      </c>
      <c r="H10099" s="22" t="s">
        <v>12778</v>
      </c>
      <c r="I10099" s="26">
        <v>43676.334733796299</v>
      </c>
      <c r="J10099" s="23" t="str">
        <f>HYPERLINK("https://www.spark-marketing.ru/Card/Person/4392522", "ООО ""ВИРТРОН""")</f>
        <v>ООО "ВИРТРОН"</v>
      </c>
      <c r="K10099" s="24" t="s">
        <v>14347</v>
      </c>
      <c r="L10099" s="22" t="s">
        <v>10</v>
      </c>
      <c r="M10099" s="25">
        <v>1047479.96</v>
      </c>
      <c r="N10099" s="27">
        <v>4.000003665941116E-2</v>
      </c>
    </row>
    <row r="10100" spans="1:14" hidden="1" outlineLevel="1" x14ac:dyDescent="0.2">
      <c r="A10100" s="23" t="str">
        <f>HYPERLINK("https://www.spark-marketing.ru/Card/Person/628468", "ГПОУ ПСТ")</f>
        <v>ГПОУ ПСТ</v>
      </c>
      <c r="B10100" s="24" t="s">
        <v>14345</v>
      </c>
      <c r="C10100" s="25">
        <v>1091125</v>
      </c>
      <c r="D10100" s="22" t="s">
        <v>14346</v>
      </c>
      <c r="E10100" s="22" t="s">
        <v>48</v>
      </c>
      <c r="F10100" s="23" t="str">
        <f>HYPERLINK("https://www.spark-marketing.ru/Card/Lot/72485559", "Оказание услуг по организации горячего питания")</f>
        <v>Оказание услуг по организации горячего питания</v>
      </c>
      <c r="G10100" s="22" t="s">
        <v>304</v>
      </c>
      <c r="H10100" s="22" t="s">
        <v>12778</v>
      </c>
      <c r="I10100" s="26">
        <v>43676.334733796299</v>
      </c>
      <c r="J10100" s="23" t="str">
        <f>HYPERLINK("https://www.spark-marketing.ru/Card/Person/116809", "ООО ""МИЛЛАНД-М""")</f>
        <v>ООО "МИЛЛАНД-М"</v>
      </c>
      <c r="K10100" s="24" t="s">
        <v>14348</v>
      </c>
      <c r="L10100" s="28" t="s">
        <v>51</v>
      </c>
      <c r="M10100" s="25">
        <v>1047480</v>
      </c>
      <c r="N10100" s="27">
        <v>0.04</v>
      </c>
    </row>
    <row r="10101" spans="1:14" x14ac:dyDescent="0.15">
      <c r="A10101" s="23" t="str">
        <f>HYPERLINK("https://www.spark-marketing.ru/Card/Person/140159", "МЕЖМУНИЦИПАЛЬНЫЙ ОТДЕЛ МВД РОССИИ ""ЧУСОВСКОЙ""")</f>
        <v>МЕЖМУНИЦИПАЛЬНЫЙ ОТДЕЛ МВД РОССИИ "ЧУСОВСКОЙ"</v>
      </c>
      <c r="B10101" s="24" t="s">
        <v>14349</v>
      </c>
      <c r="C10101" s="25">
        <v>2565000</v>
      </c>
      <c r="D10101" s="22" t="s">
        <v>14350</v>
      </c>
      <c r="E10101" s="22" t="s">
        <v>48</v>
      </c>
      <c r="F10101" s="23" t="str">
        <f>HYPERLINK("https://www.spark-marketing.ru/Card/Lot/72496550", "оказание услуг по организации трехразового горячего питания для лиц содержащихся в ИВС")</f>
        <v>оказание услуг по организации трехразового горячего питания для лиц содержащихся в ИВС</v>
      </c>
      <c r="G10101" s="22" t="s">
        <v>153</v>
      </c>
      <c r="H10101" s="22" t="s">
        <v>14351</v>
      </c>
      <c r="I10101" s="26">
        <v>43676.367384259298</v>
      </c>
      <c r="J10101" s="23" t="str">
        <f>HYPERLINK("https://www.spark-marketing.ru/Card/Person/358098", "ООО ""УРАЛСТРОЙ""")</f>
        <v>ООО "УРАЛСТРОЙ"</v>
      </c>
      <c r="K10101" s="24" t="s">
        <v>11471</v>
      </c>
      <c r="L10101" s="22" t="s">
        <v>10</v>
      </c>
      <c r="M10101" s="28" t="s">
        <v>51</v>
      </c>
      <c r="N10101" s="28" t="s">
        <v>51</v>
      </c>
    </row>
    <row r="10102" spans="1:14" x14ac:dyDescent="0.15">
      <c r="A10102" s="23" t="str">
        <f>HYPERLINK("https://www.spark-marketing.ru/Card/Person/144310", "КГБУ ""АЛТАЙСКИЙ ЦЕНТР ПОМОЩИ ДЕТЯМ, ОСТАВШИМСЯ БЕЗ ПОПЕЧЕНИЯ РОДИТЕЛЕЙ, ИМ. В.С. ЕРШОВА""")</f>
        <v>КГБУ "АЛТАЙСКИЙ ЦЕНТР ПОМОЩИ ДЕТЯМ, ОСТАВШИМСЯ БЕЗ ПОПЕЧЕНИЯ РОДИТЕЛЕЙ, ИМ. В.С. ЕРШОВА"</v>
      </c>
      <c r="B10102" s="24" t="s">
        <v>14352</v>
      </c>
      <c r="C10102" s="25">
        <v>39723</v>
      </c>
      <c r="D10102" s="22" t="s">
        <v>14353</v>
      </c>
      <c r="E10102" s="22" t="s">
        <v>14354</v>
      </c>
      <c r="F10102" s="23" t="str">
        <f>HYPERLINK("https://www.spark-marketing.ru/Card/Lot/72465312", "Товары,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</v>
      </c>
      <c r="G10102" s="22" t="s">
        <v>63</v>
      </c>
      <c r="H10102" s="22" t="s">
        <v>8604</v>
      </c>
      <c r="I10102" s="26">
        <v>43676.252777777801</v>
      </c>
      <c r="J10102" s="28" t="s">
        <v>51</v>
      </c>
      <c r="K10102" s="28" t="s">
        <v>51</v>
      </c>
      <c r="L10102" s="28" t="s">
        <v>51</v>
      </c>
      <c r="M10102" s="28" t="s">
        <v>51</v>
      </c>
      <c r="N10102" s="28" t="s">
        <v>51</v>
      </c>
    </row>
    <row r="10103" spans="1:14" x14ac:dyDescent="0.15">
      <c r="A10103" s="23" t="str">
        <f>HYPERLINK("https://www.spark-marketing.ru/Card/Person/54037", "КГБУЗ ""АЛТАЙСКИЙ КРАЕВОЙ КАРДИОЛОГИЧЕСКИЙ ДИСПАНСЕР""")</f>
        <v>КГБУЗ "АЛТАЙСКИЙ КРАЕВОЙ КАРДИОЛОГИЧЕСКИЙ ДИСПАНСЕР"</v>
      </c>
      <c r="B10103" s="24" t="s">
        <v>14355</v>
      </c>
      <c r="C10103" s="25">
        <v>252000</v>
      </c>
      <c r="D10103" s="22" t="s">
        <v>14356</v>
      </c>
      <c r="E10103" s="22" t="s">
        <v>976</v>
      </c>
      <c r="F10103" s="23" t="str">
        <f>HYPERLINK("https://www.spark-marketing.ru/Card/Lot/72465517", "(244)Товары, работы или услуги на сумму, не превышающую 100 тыс. руб. (п.4 ч.1 ст.93 Федерального закона №44-ФЗ)")</f>
        <v>(244)Товары, работы или услуги на сумму, не превышающую 100 тыс. руб. (п.4 ч.1 ст.93 Федерального закона №44-ФЗ)</v>
      </c>
      <c r="G10103" s="22" t="s">
        <v>63</v>
      </c>
      <c r="H10103" s="22" t="s">
        <v>177</v>
      </c>
      <c r="I10103" s="26">
        <v>43676.282638888901</v>
      </c>
      <c r="J10103" s="28" t="s">
        <v>51</v>
      </c>
      <c r="K10103" s="28" t="s">
        <v>51</v>
      </c>
      <c r="L10103" s="28" t="s">
        <v>51</v>
      </c>
      <c r="M10103" s="28" t="s">
        <v>51</v>
      </c>
      <c r="N10103" s="28" t="s">
        <v>51</v>
      </c>
    </row>
    <row r="10104" spans="1:14" x14ac:dyDescent="0.2">
      <c r="A10104" s="23" t="str">
        <f>HYPERLINK("https://www.spark-marketing.ru/Card/Person/1754494", "МАОУ ""ГИМНАЗИЯ №1"" Г. СОВЕТСКА")</f>
        <v>МАОУ "ГИМНАЗИЯ №1" Г. СОВЕТСКА</v>
      </c>
      <c r="B10104" s="24" t="s">
        <v>14357</v>
      </c>
      <c r="C10104" s="25">
        <v>1644030.29</v>
      </c>
      <c r="D10104" s="22" t="s">
        <v>14358</v>
      </c>
      <c r="E10104" s="22" t="s">
        <v>362</v>
      </c>
      <c r="F10104" s="23" t="str">
        <f>HYPERLINK("https://www.spark-marketing.ru/Card/Lot/72480606", "Оказание услуг по организации горячего питания учащихся МАОУ ""Гимназия №1"" г. Советска")</f>
        <v>Оказание услуг по организации горячего питания учащихся МАОУ "Гимназия №1" г. Советска</v>
      </c>
      <c r="G10104" s="22" t="s">
        <v>400</v>
      </c>
      <c r="H10104" s="22" t="s">
        <v>400</v>
      </c>
      <c r="I10104" s="26">
        <v>43676</v>
      </c>
      <c r="J10104" s="28" t="s">
        <v>51</v>
      </c>
      <c r="K10104" s="28" t="s">
        <v>51</v>
      </c>
      <c r="L10104" s="22" t="s">
        <v>10</v>
      </c>
      <c r="M10104" s="25">
        <v>1644030.29</v>
      </c>
      <c r="N10104" s="27">
        <v>0</v>
      </c>
    </row>
    <row r="10105" spans="1:14" x14ac:dyDescent="0.15">
      <c r="A10105" s="23" t="str">
        <f>HYPERLINK("https://www.spark-marketing.ru/Card/Person/575963", "МАУК ЦК ""УРАЛ""")</f>
        <v>МАУК ЦК "УРАЛ"</v>
      </c>
      <c r="B10105" s="24" t="s">
        <v>14359</v>
      </c>
      <c r="C10105" s="25">
        <v>284608</v>
      </c>
      <c r="D10105" s="22" t="s">
        <v>14360</v>
      </c>
      <c r="E10105" s="22" t="s">
        <v>1412</v>
      </c>
      <c r="F10105" s="23" t="str">
        <f>HYPERLINK("https://www.spark-marketing.ru/Card/Lot/72479355", "Услуги по организации питания участников Международного Фестиваля духовых оркестров в рамках празднования Дня города в Екатеринбурге в 2019 году")</f>
        <v>Услуги по организации питания участников Международного Фестиваля духовых оркестров в рамках празднования Дня города в Екатеринбурге в 2019 году</v>
      </c>
      <c r="G10105" s="22" t="s">
        <v>174</v>
      </c>
      <c r="H10105" s="22" t="s">
        <v>174</v>
      </c>
      <c r="I10105" s="26">
        <v>43676</v>
      </c>
      <c r="J10105" s="28" t="s">
        <v>51</v>
      </c>
      <c r="K10105" s="28" t="s">
        <v>51</v>
      </c>
      <c r="L10105" s="28" t="s">
        <v>51</v>
      </c>
      <c r="M10105" s="28" t="s">
        <v>51</v>
      </c>
      <c r="N10105" s="28" t="s">
        <v>51</v>
      </c>
    </row>
    <row r="10106" spans="1:14" x14ac:dyDescent="0.15">
      <c r="A10106" s="23" t="str">
        <f>HYPERLINK("https://www.spark-marketing.ru/Card/Person/50743", "МП ""ДЕТСКОЕ ПИТАНИЕ""")</f>
        <v>МП "ДЕТСКОЕ ПИТАНИЕ"</v>
      </c>
      <c r="B10106" s="24" t="s">
        <v>1562</v>
      </c>
      <c r="C10106" s="25">
        <v>473880</v>
      </c>
      <c r="D10106" s="22" t="s">
        <v>14361</v>
      </c>
      <c r="E10106" s="22" t="s">
        <v>2265</v>
      </c>
      <c r="F10106" s="23" t="str">
        <f>HYPERLINK("https://www.spark-marketing.ru/Card/Lot/72479450", "Лот №2 Поставка Кисель ягодный концентрат для оказания услуг по предоставлению питания школьникам.")</f>
        <v>Лот №2 Поставка Кисель ягодный концентрат для оказания услуг по предоставлению питания школьникам.</v>
      </c>
      <c r="G10106" s="22" t="s">
        <v>1522</v>
      </c>
      <c r="H10106" s="22" t="s">
        <v>1523</v>
      </c>
      <c r="I10106" s="26">
        <v>43676</v>
      </c>
      <c r="J10106" s="28" t="s">
        <v>51</v>
      </c>
      <c r="K10106" s="28" t="s">
        <v>51</v>
      </c>
      <c r="L10106" s="28" t="s">
        <v>51</v>
      </c>
      <c r="M10106" s="28" t="s">
        <v>51</v>
      </c>
      <c r="N10106" s="28" t="s">
        <v>51</v>
      </c>
    </row>
    <row r="10107" spans="1:14" x14ac:dyDescent="0.2">
      <c r="A10107" s="23" t="str">
        <f>HYPERLINK("https://www.spark-marketing.ru/Card/Person/1054240", "МАОУ ГИМНАЗИЯ № 24 ГОРОДА СТАВРОПОЛЯ ИМЕНИ ГЕНЕРАЛ-ЛЕЙТЕНАНТА ЮСТИЦИИ М.Г. ЯДРОВА")</f>
        <v>МАОУ ГИМНАЗИЯ № 24 ГОРОДА СТАВРОПОЛЯ ИМЕНИ ГЕНЕРАЛ-ЛЕЙТЕНАНТА ЮСТИЦИИ М.Г. ЯДРОВА</v>
      </c>
      <c r="B10107" s="24" t="s">
        <v>14362</v>
      </c>
      <c r="C10107" s="25">
        <v>1505244</v>
      </c>
      <c r="D10107" s="22" t="s">
        <v>14363</v>
      </c>
      <c r="E10107" s="22" t="s">
        <v>362</v>
      </c>
      <c r="F10107" s="23" t="str">
        <f>HYPERLINK("https://www.spark-marketing.ru/Card/Lot/72480735", "Оказание услуг по организации питания учащихся в период с сентября по декабрь 2019 года")</f>
        <v>Оказание услуг по организации питания учащихся в период с сентября по декабрь 2019 года</v>
      </c>
      <c r="G10107" s="22" t="s">
        <v>87</v>
      </c>
      <c r="H10107" s="22" t="s">
        <v>87</v>
      </c>
      <c r="I10107" s="26">
        <v>43676</v>
      </c>
      <c r="J10107" s="28" t="s">
        <v>51</v>
      </c>
      <c r="K10107" s="28" t="s">
        <v>51</v>
      </c>
      <c r="L10107" s="22" t="s">
        <v>10</v>
      </c>
      <c r="M10107" s="25">
        <v>1505244</v>
      </c>
      <c r="N10107" s="27">
        <v>0</v>
      </c>
    </row>
    <row r="10108" spans="1:14" x14ac:dyDescent="0.15">
      <c r="A10108" s="23" t="str">
        <f>HYPERLINK("https://www.spark-marketing.ru/Card/Person/1616713", "ПАО ""ТМ""")</f>
        <v>ПАО "ТМ"</v>
      </c>
      <c r="B10108" s="24" t="s">
        <v>14364</v>
      </c>
      <c r="C10108" s="25">
        <v>255742</v>
      </c>
      <c r="D10108" s="22" t="s">
        <v>14365</v>
      </c>
      <c r="E10108" s="22" t="s">
        <v>2217</v>
      </c>
      <c r="F10108" s="23" t="str">
        <f>HYPERLINK("https://www.spark-marketing.ru/Card/Lot/72478102", "Оказание услуг по организации питания на производственном совещании представителей ПАО «Газпром» на территории ПАО «ТМ»")</f>
        <v>Оказание услуг по организации питания на производственном совещании представителей ПАО «Газпром» на территории ПАО «ТМ»</v>
      </c>
      <c r="G10108" s="22" t="s">
        <v>766</v>
      </c>
      <c r="H10108" s="22" t="s">
        <v>766</v>
      </c>
      <c r="I10108" s="26">
        <v>43676</v>
      </c>
      <c r="J10108" s="28" t="s">
        <v>51</v>
      </c>
      <c r="K10108" s="28" t="s">
        <v>51</v>
      </c>
      <c r="L10108" s="28" t="s">
        <v>51</v>
      </c>
      <c r="M10108" s="28" t="s">
        <v>51</v>
      </c>
      <c r="N10108" s="28" t="s">
        <v>51</v>
      </c>
    </row>
    <row r="10109" spans="1:14" x14ac:dyDescent="0.15">
      <c r="A10109" s="23" t="str">
        <f>HYPERLINK("https://www.spark-marketing.ru/Card/Person/947544", "МАОУ ГИМНАЗИЯ № 15")</f>
        <v>МАОУ ГИМНАЗИЯ № 15</v>
      </c>
      <c r="B10109" s="24" t="s">
        <v>14366</v>
      </c>
      <c r="C10109" s="25">
        <v>463117.24</v>
      </c>
      <c r="D10109" s="22" t="s">
        <v>14367</v>
      </c>
      <c r="E10109" s="22" t="s">
        <v>362</v>
      </c>
      <c r="F10109" s="23" t="str">
        <f>HYPERLINK("https://www.spark-marketing.ru/Card/Lot/72478867", "оказание услуг по организации горячего питания учащихся в первой четверти 2019-2020 учебного года")</f>
        <v>оказание услуг по организации горячего питания учащихся в первой четверти 2019-2020 учебного года</v>
      </c>
      <c r="G10109" s="22" t="s">
        <v>281</v>
      </c>
      <c r="H10109" s="22" t="s">
        <v>281</v>
      </c>
      <c r="I10109" s="26">
        <v>43676</v>
      </c>
      <c r="J10109" s="28" t="s">
        <v>51</v>
      </c>
      <c r="K10109" s="28" t="s">
        <v>51</v>
      </c>
      <c r="L10109" s="28" t="s">
        <v>51</v>
      </c>
      <c r="M10109" s="28" t="s">
        <v>51</v>
      </c>
      <c r="N10109" s="28" t="s">
        <v>51</v>
      </c>
    </row>
    <row r="10110" spans="1:14" x14ac:dyDescent="0.2">
      <c r="A10110" s="23" t="str">
        <f>HYPERLINK("https://www.spark-marketing.ru/Card/Person/4348376", "АО ""ЖТК""")</f>
        <v>АО "ЖТК"</v>
      </c>
      <c r="B10110" s="24" t="s">
        <v>2312</v>
      </c>
      <c r="C10110" s="25">
        <v>140000</v>
      </c>
      <c r="D10110" s="22" t="s">
        <v>14368</v>
      </c>
      <c r="E10110" s="22" t="s">
        <v>580</v>
      </c>
      <c r="F10110" s="23" t="str">
        <f>HYPERLINK("https://www.spark-marketing.ru/Card/Lot/72477191", "Поставка продуктов питания на оказание услуг по организации питания пассажиров при задержке поездов более 4-х часов,а также пассажиров,оказавшихся в зоне чрезвычайных ситуаций")</f>
        <v>Поставка продуктов питания на оказание услуг по организации питания пассажиров при задержке поездов более 4-х часов,а также пассажиров,оказавшихся в зоне чрезвычайных ситуаций</v>
      </c>
      <c r="G10110" s="22" t="s">
        <v>104</v>
      </c>
      <c r="H10110" s="22" t="s">
        <v>104</v>
      </c>
      <c r="I10110" s="26">
        <v>43676</v>
      </c>
      <c r="J10110" s="28" t="s">
        <v>51</v>
      </c>
      <c r="K10110" s="28" t="s">
        <v>51</v>
      </c>
      <c r="L10110" s="28" t="s">
        <v>51</v>
      </c>
      <c r="M10110" s="25">
        <v>140000</v>
      </c>
      <c r="N10110" s="27">
        <v>0</v>
      </c>
    </row>
    <row r="10111" spans="1:14" x14ac:dyDescent="0.15">
      <c r="A10111" s="23" t="str">
        <f>HYPERLINK("https://www.spark-marketing.ru/Card/Person/430530", "МАОО ""СОШ №3 Г.РУЗЫ""")</f>
        <v>МАОО "СОШ №3 Г.РУЗЫ"</v>
      </c>
      <c r="B10111" s="24" t="s">
        <v>14369</v>
      </c>
      <c r="C10111" s="25">
        <v>1824900</v>
      </c>
      <c r="D10111" s="22" t="s">
        <v>14370</v>
      </c>
      <c r="E10111" s="22" t="s">
        <v>2217</v>
      </c>
      <c r="F10111" s="23" t="str">
        <f>HYPERLINK("https://www.spark-marketing.ru/Card/Lot/72480712", "Оказание услуг по организации питания льготной категории детей, обучающихся а МАОО ""СОШ №3 г. Рузы""")</f>
        <v>Оказание услуг по организации питания льготной категории детей, обучающихся а МАОО "СОШ №3 г. Рузы"</v>
      </c>
      <c r="G10111" s="22" t="s">
        <v>49</v>
      </c>
      <c r="H10111" s="22" t="s">
        <v>49</v>
      </c>
      <c r="I10111" s="26">
        <v>43676</v>
      </c>
      <c r="J10111" s="28" t="s">
        <v>51</v>
      </c>
      <c r="K10111" s="28" t="s">
        <v>51</v>
      </c>
      <c r="L10111" s="28" t="s">
        <v>51</v>
      </c>
      <c r="M10111" s="28" t="s">
        <v>51</v>
      </c>
      <c r="N10111" s="28" t="s">
        <v>51</v>
      </c>
    </row>
    <row r="10112" spans="1:14" x14ac:dyDescent="0.2">
      <c r="A10112" s="23" t="str">
        <f>HYPERLINK("https://www.spark-marketing.ru/Card/Person/1759924", "МАОУ ""ЛИЦЕЙ №6""")</f>
        <v>МАОУ "ЛИЦЕЙ №6"</v>
      </c>
      <c r="B10112" s="24" t="s">
        <v>14371</v>
      </c>
      <c r="C10112" s="25">
        <v>422750</v>
      </c>
      <c r="D10112" s="22" t="s">
        <v>14372</v>
      </c>
      <c r="E10112" s="22" t="s">
        <v>362</v>
      </c>
      <c r="F10112" s="23" t="str">
        <f>HYPERLINK("https://www.spark-marketing.ru/Card/Lot/72478783", "Оказание услуг по организации питания обучающихся")</f>
        <v>Оказание услуг по организации питания обучающихся</v>
      </c>
      <c r="G10112" s="22" t="s">
        <v>1370</v>
      </c>
      <c r="H10112" s="22" t="s">
        <v>1370</v>
      </c>
      <c r="I10112" s="26">
        <v>43676</v>
      </c>
      <c r="J10112" s="28" t="s">
        <v>51</v>
      </c>
      <c r="K10112" s="28" t="s">
        <v>51</v>
      </c>
      <c r="L10112" s="22" t="s">
        <v>10</v>
      </c>
      <c r="M10112" s="25">
        <v>422750</v>
      </c>
      <c r="N10112" s="27">
        <v>0</v>
      </c>
    </row>
    <row r="10113" spans="1:14" x14ac:dyDescent="0.15">
      <c r="A10113" s="23" t="str">
        <f>HYPERLINK("https://www.spark-marketing.ru/Card/Person/50743", "МП ""ДЕТСКОЕ ПИТАНИЕ""")</f>
        <v>МП "ДЕТСКОЕ ПИТАНИЕ"</v>
      </c>
      <c r="B10113" s="24" t="s">
        <v>1562</v>
      </c>
      <c r="C10113" s="25">
        <v>1033230</v>
      </c>
      <c r="D10113" s="22" t="s">
        <v>14361</v>
      </c>
      <c r="E10113" s="22" t="s">
        <v>3064</v>
      </c>
      <c r="F10113" s="23" t="str">
        <f>HYPERLINK("https://www.spark-marketing.ru/Card/Lot/72479370", "Лот №4 Поставка сушёных фруктов для оказания услуг по предоставлению питания школьникам.")</f>
        <v>Лот №4 Поставка сушёных фруктов для оказания услуг по предоставлению питания школьникам.</v>
      </c>
      <c r="G10113" s="22" t="s">
        <v>1522</v>
      </c>
      <c r="H10113" s="22" t="s">
        <v>1523</v>
      </c>
      <c r="I10113" s="26">
        <v>43676</v>
      </c>
      <c r="J10113" s="28" t="s">
        <v>51</v>
      </c>
      <c r="K10113" s="28" t="s">
        <v>51</v>
      </c>
      <c r="L10113" s="28" t="s">
        <v>51</v>
      </c>
      <c r="M10113" s="28" t="s">
        <v>51</v>
      </c>
      <c r="N10113" s="28" t="s">
        <v>51</v>
      </c>
    </row>
    <row r="10114" spans="1:14" x14ac:dyDescent="0.2">
      <c r="A10114" s="23" t="str">
        <f>HYPERLINK("https://www.spark-marketing.ru/Card/Person/107537", "ТНЦ СО РАН")</f>
        <v>ТНЦ СО РАН</v>
      </c>
      <c r="B10114" s="24" t="s">
        <v>14373</v>
      </c>
      <c r="C10114" s="25">
        <v>539765</v>
      </c>
      <c r="D10114" s="22" t="s">
        <v>14374</v>
      </c>
      <c r="E10114" s="22" t="s">
        <v>2217</v>
      </c>
      <c r="F10114" s="23" t="str">
        <f>HYPERLINK("https://www.spark-marketing.ru/Card/Lot/72479242", "Российский рубль")</f>
        <v>Российский рубль</v>
      </c>
      <c r="G10114" s="22" t="s">
        <v>149</v>
      </c>
      <c r="H10114" s="22" t="s">
        <v>496</v>
      </c>
      <c r="I10114" s="26">
        <v>43676</v>
      </c>
      <c r="J10114" s="28" t="s">
        <v>51</v>
      </c>
      <c r="K10114" s="28" t="s">
        <v>51</v>
      </c>
      <c r="L10114" s="22" t="s">
        <v>10</v>
      </c>
      <c r="M10114" s="25">
        <v>539765</v>
      </c>
      <c r="N10114" s="27">
        <v>0</v>
      </c>
    </row>
    <row r="10115" spans="1:14" x14ac:dyDescent="0.15">
      <c r="A10115" s="23" t="str">
        <f>HYPERLINK("https://www.spark-marketing.ru/Card/Person/4372570", "МАУ ДО ДЮСШ")</f>
        <v>МАУ ДО ДЮСШ</v>
      </c>
      <c r="B10115" s="24" t="s">
        <v>14375</v>
      </c>
      <c r="C10115" s="25">
        <v>503697.6</v>
      </c>
      <c r="D10115" s="22" t="s">
        <v>14376</v>
      </c>
      <c r="E10115" s="22" t="s">
        <v>362</v>
      </c>
      <c r="F10115" s="23" t="str">
        <f>HYPERLINK("https://www.spark-marketing.ru/Card/Lot/72479277", "оказание услуг по организации и обеспечению питанием детей, оздоравливаемых и отдыхающих в городском оздоровительном лагере с дневным пребыванием детей")</f>
        <v>оказание услуг по организации и обеспечению питанием детей, оздоравливаемых и отдыхающих в городском оздоровительном лагере с дневным пребыванием детей</v>
      </c>
      <c r="G10115" s="22" t="s">
        <v>174</v>
      </c>
      <c r="H10115" s="22" t="s">
        <v>174</v>
      </c>
      <c r="I10115" s="26">
        <v>43676</v>
      </c>
      <c r="J10115" s="28" t="s">
        <v>51</v>
      </c>
      <c r="K10115" s="28" t="s">
        <v>51</v>
      </c>
      <c r="L10115" s="28" t="s">
        <v>51</v>
      </c>
      <c r="M10115" s="28" t="s">
        <v>51</v>
      </c>
      <c r="N10115" s="28" t="s">
        <v>51</v>
      </c>
    </row>
    <row r="10116" spans="1:14" x14ac:dyDescent="0.15">
      <c r="A10116" s="23" t="str">
        <f>HYPERLINK("https://www.spark-marketing.ru/Card/Person/1390375", "ФГАУ ""УПРАВЛЕНИЕ СПОРТМЕРОПРИЯТИЙ""")</f>
        <v>ФГАУ "УПРАВЛЕНИЕ СПОРТМЕРОПРИЯТИЙ"</v>
      </c>
      <c r="B10116" s="24" t="s">
        <v>2632</v>
      </c>
      <c r="C10116" s="25">
        <v>3780000</v>
      </c>
      <c r="D10116" s="22" t="s">
        <v>14377</v>
      </c>
      <c r="E10116" s="22" t="s">
        <v>769</v>
      </c>
      <c r="F10116" s="23" t="str">
        <f>HYPERLINK("https://www.spark-marketing.ru/Card/Lot/72481371", "Оказание услуг по организации проживания и питания участников VI Спартакиады пенсионеров России")</f>
        <v>Оказание услуг по организации проживания и питания участников VI Спартакиады пенсионеров России</v>
      </c>
      <c r="G10116" s="22" t="s">
        <v>145</v>
      </c>
      <c r="H10116" s="22" t="s">
        <v>145</v>
      </c>
      <c r="I10116" s="26">
        <v>43676</v>
      </c>
      <c r="J10116" s="28" t="s">
        <v>51</v>
      </c>
      <c r="K10116" s="28" t="s">
        <v>51</v>
      </c>
      <c r="L10116" s="28" t="s">
        <v>51</v>
      </c>
      <c r="M10116" s="28" t="s">
        <v>51</v>
      </c>
      <c r="N10116" s="28" t="s">
        <v>51</v>
      </c>
    </row>
    <row r="10117" spans="1:14" x14ac:dyDescent="0.2">
      <c r="A10117" s="23" t="str">
        <f>HYPERLINK("https://www.spark-marketing.ru/Card/Person/1759822", "МОУ ""СОШ № 48""")</f>
        <v>МОУ "СОШ № 48"</v>
      </c>
      <c r="B10117" s="24" t="s">
        <v>14378</v>
      </c>
      <c r="C10117" s="25">
        <v>519470</v>
      </c>
      <c r="D10117" s="22" t="s">
        <v>14379</v>
      </c>
      <c r="E10117" s="22" t="s">
        <v>362</v>
      </c>
      <c r="F10117" s="23" t="str">
        <f>HYPERLINK("https://www.spark-marketing.ru/Card/Lot/72479510", "оказание услуг по организации здорового питания детей из малообеспеченных семей и детей с нарушение здоровья")</f>
        <v>оказание услуг по организации здорового питания детей из малообеспеченных семей и детей с нарушение здоровья</v>
      </c>
      <c r="G10117" s="22" t="s">
        <v>469</v>
      </c>
      <c r="H10117" s="22" t="s">
        <v>469</v>
      </c>
      <c r="I10117" s="26">
        <v>43676</v>
      </c>
      <c r="J10117" s="28" t="s">
        <v>51</v>
      </c>
      <c r="K10117" s="28" t="s">
        <v>51</v>
      </c>
      <c r="L10117" s="22" t="s">
        <v>10</v>
      </c>
      <c r="M10117" s="25">
        <v>519470</v>
      </c>
      <c r="N10117" s="27">
        <v>0</v>
      </c>
    </row>
    <row r="10118" spans="1:14" x14ac:dyDescent="0.15">
      <c r="A10118" s="23" t="str">
        <f>HYPERLINK("https://www.spark-marketing.ru/Card/Person/50743", "МП ""ДЕТСКОЕ ПИТАНИЕ""")</f>
        <v>МП "ДЕТСКОЕ ПИТАНИЕ"</v>
      </c>
      <c r="B10118" s="24" t="s">
        <v>1562</v>
      </c>
      <c r="C10118" s="25">
        <v>642337</v>
      </c>
      <c r="D10118" s="22" t="s">
        <v>14361</v>
      </c>
      <c r="E10118" s="22" t="s">
        <v>3064</v>
      </c>
      <c r="F10118" s="23" t="str">
        <f>HYPERLINK("https://www.spark-marketing.ru/Card/Lot/72479451", "Лот №3 Поставка сухофруктов для оказания услуг по предоставлению питания школьникам.")</f>
        <v>Лот №3 Поставка сухофруктов для оказания услуг по предоставлению питания школьникам.</v>
      </c>
      <c r="G10118" s="22" t="s">
        <v>1522</v>
      </c>
      <c r="H10118" s="22" t="s">
        <v>1523</v>
      </c>
      <c r="I10118" s="26">
        <v>43676</v>
      </c>
      <c r="J10118" s="28" t="s">
        <v>51</v>
      </c>
      <c r="K10118" s="28" t="s">
        <v>51</v>
      </c>
      <c r="L10118" s="28" t="s">
        <v>51</v>
      </c>
      <c r="M10118" s="28" t="s">
        <v>51</v>
      </c>
      <c r="N10118" s="28" t="s">
        <v>51</v>
      </c>
    </row>
    <row r="10119" spans="1:14" x14ac:dyDescent="0.15">
      <c r="A10119" s="23" t="str">
        <f>HYPERLINK("https://www.spark-marketing.ru/Card/Person/50743", "МП ""ДЕТСКОЕ ПИТАНИЕ""")</f>
        <v>МП "ДЕТСКОЕ ПИТАНИЕ"</v>
      </c>
      <c r="B10119" s="24" t="s">
        <v>1562</v>
      </c>
      <c r="C10119" s="25">
        <v>1077825</v>
      </c>
      <c r="D10119" s="22" t="s">
        <v>14380</v>
      </c>
      <c r="E10119" s="22" t="s">
        <v>14381</v>
      </c>
      <c r="F10119" s="23" t="str">
        <f>HYPERLINK("https://www.spark-marketing.ru/Card/Lot/72480145", "Поставка продуктов питания (чай, кофейный напиток, какао порошок) (для оказания услуг по предоставлению питания школьникам).")</f>
        <v>Поставка продуктов питания (чай, кофейный напиток, какао порошок) (для оказания услуг по предоставлению питания школьникам).</v>
      </c>
      <c r="G10119" s="22" t="s">
        <v>1522</v>
      </c>
      <c r="H10119" s="22" t="s">
        <v>1523</v>
      </c>
      <c r="I10119" s="26">
        <v>43676</v>
      </c>
      <c r="J10119" s="28" t="s">
        <v>51</v>
      </c>
      <c r="K10119" s="28" t="s">
        <v>51</v>
      </c>
      <c r="L10119" s="28" t="s">
        <v>51</v>
      </c>
      <c r="M10119" s="28" t="s">
        <v>51</v>
      </c>
      <c r="N10119" s="28" t="s">
        <v>51</v>
      </c>
    </row>
    <row r="10120" spans="1:14" x14ac:dyDescent="0.2">
      <c r="A10120" s="23" t="str">
        <f>HYPERLINK("https://www.spark-marketing.ru/Card/Person/4365763", "ООО УРС ""СИБНЕФТЕПРОВОД""")</f>
        <v>ООО УРС "СИБНЕФТЕПРОВОД"</v>
      </c>
      <c r="B10120" s="24" t="s">
        <v>14382</v>
      </c>
      <c r="C10120" s="25">
        <v>407759.33</v>
      </c>
      <c r="D10120" s="22" t="s">
        <v>14383</v>
      </c>
      <c r="E10120" s="22" t="s">
        <v>14384</v>
      </c>
      <c r="F10120" s="23" t="str">
        <f>HYPERLINK("https://www.spark-marketing.ru/Card/Lot/72478627", "Оказание услуг по уборке производственных помещений предприятий общественного питания")</f>
        <v>Оказание услуг по уборке производственных помещений предприятий общественного питания</v>
      </c>
      <c r="G10120" s="22" t="s">
        <v>766</v>
      </c>
      <c r="H10120" s="22" t="s">
        <v>1028</v>
      </c>
      <c r="I10120" s="26">
        <v>43676</v>
      </c>
      <c r="J10120" s="28" t="s">
        <v>51</v>
      </c>
      <c r="K10120" s="28" t="s">
        <v>51</v>
      </c>
      <c r="L10120" s="22" t="s">
        <v>10</v>
      </c>
      <c r="M10120" s="25">
        <v>403825.74</v>
      </c>
      <c r="N10120" s="27">
        <v>9.6468424155984368E-3</v>
      </c>
    </row>
    <row r="10121" spans="1:14" x14ac:dyDescent="0.15">
      <c r="A10121" s="23" t="str">
        <f>HYPERLINK("https://www.spark-marketing.ru/Card/Person/50743", "МП ""ДЕТСКОЕ ПИТАНИЕ""")</f>
        <v>МП "ДЕТСКОЕ ПИТАНИЕ"</v>
      </c>
      <c r="B10121" s="24" t="s">
        <v>1562</v>
      </c>
      <c r="C10121" s="25">
        <v>365781</v>
      </c>
      <c r="D10121" s="22" t="s">
        <v>14361</v>
      </c>
      <c r="E10121" s="22" t="s">
        <v>3064</v>
      </c>
      <c r="F10121" s="23" t="str">
        <f>HYPERLINK("https://www.spark-marketing.ru/Card/Lot/72479449", "Поставка томатной пасты для оказания услуг по предоставлению питания школьникам.")</f>
        <v>Поставка томатной пасты для оказания услуг по предоставлению питания школьникам.</v>
      </c>
      <c r="G10121" s="22" t="s">
        <v>1522</v>
      </c>
      <c r="H10121" s="22" t="s">
        <v>1523</v>
      </c>
      <c r="I10121" s="26">
        <v>43676</v>
      </c>
      <c r="J10121" s="28" t="s">
        <v>51</v>
      </c>
      <c r="K10121" s="28" t="s">
        <v>51</v>
      </c>
      <c r="L10121" s="28" t="s">
        <v>51</v>
      </c>
      <c r="M10121" s="28" t="s">
        <v>51</v>
      </c>
      <c r="N10121" s="28" t="s">
        <v>51</v>
      </c>
    </row>
    <row r="10122" spans="1:14" x14ac:dyDescent="0.2">
      <c r="A10122" s="23" t="str">
        <f>HYPERLINK("https://www.spark-marketing.ru/Card/Person/1764968", "ГАОУ ТО ""ФМШ""")</f>
        <v>ГАОУ ТО "ФМШ"</v>
      </c>
      <c r="B10122" s="24" t="s">
        <v>14385</v>
      </c>
      <c r="C10122" s="25">
        <v>9976923</v>
      </c>
      <c r="D10122" s="22" t="s">
        <v>14386</v>
      </c>
      <c r="E10122" s="22" t="s">
        <v>362</v>
      </c>
      <c r="F10122" s="23" t="str">
        <f>HYPERLINK("https://www.spark-marketing.ru/Card/Lot/72481875", "Оказание услуги по обеспечению питанием обучающихся")</f>
        <v>Оказание услуги по обеспечению питанием обучающихся</v>
      </c>
      <c r="G10122" s="22" t="s">
        <v>766</v>
      </c>
      <c r="H10122" s="22" t="s">
        <v>766</v>
      </c>
      <c r="I10122" s="26">
        <v>43676</v>
      </c>
      <c r="J10122" s="28" t="s">
        <v>51</v>
      </c>
      <c r="K10122" s="28" t="s">
        <v>51</v>
      </c>
      <c r="L10122" s="22" t="s">
        <v>10</v>
      </c>
      <c r="M10122" s="25">
        <v>9976923</v>
      </c>
      <c r="N10122" s="27">
        <v>0</v>
      </c>
    </row>
    <row r="10123" spans="1:14" x14ac:dyDescent="0.15">
      <c r="A10123" s="23" t="str">
        <f>HYPERLINK("https://www.spark-marketing.ru/Card/Person/1042165", "ГБОУ СО «ШКОЛА АОП № 6 Г.САРАТОВА»")</f>
        <v>ГБОУ СО «ШКОЛА АОП № 6 Г.САРАТОВА»</v>
      </c>
      <c r="B10123" s="24" t="s">
        <v>12290</v>
      </c>
      <c r="C10123" s="25">
        <v>960798</v>
      </c>
      <c r="D10123" s="22" t="s">
        <v>14387</v>
      </c>
      <c r="E10123" s="22" t="s">
        <v>48</v>
      </c>
      <c r="F10123" s="23" t="str">
        <f>HYPERLINK("https://www.spark-marketing.ru/Card/Lot/72457154", "Оказание услуг по организации горячего питания")</f>
        <v>Оказание услуг по организации горячего питания</v>
      </c>
      <c r="G10123" s="22" t="s">
        <v>351</v>
      </c>
      <c r="H10123" s="22" t="s">
        <v>2983</v>
      </c>
      <c r="I10123" s="26">
        <v>43675.791932870401</v>
      </c>
      <c r="J10123" s="28" t="s">
        <v>51</v>
      </c>
      <c r="K10123" s="28" t="s">
        <v>51</v>
      </c>
      <c r="L10123" s="28" t="s">
        <v>51</v>
      </c>
      <c r="M10123" s="28" t="s">
        <v>51</v>
      </c>
      <c r="N10123" s="28" t="s">
        <v>51</v>
      </c>
    </row>
    <row r="10124" spans="1:14" x14ac:dyDescent="0.2">
      <c r="A10124" s="23" t="str">
        <f>HYPERLINK("https://www.spark-marketing.ru/Card/Person/4874743", "ГАУ ВО ""СК ""РОТОР""")</f>
        <v>ГАУ ВО "СК "РОТОР"</v>
      </c>
      <c r="B10124" s="24" t="s">
        <v>1208</v>
      </c>
      <c r="C10124" s="25">
        <v>310200</v>
      </c>
      <c r="D10124" s="22" t="s">
        <v>14388</v>
      </c>
      <c r="E10124" s="22" t="s">
        <v>769</v>
      </c>
      <c r="F10124" s="23" t="str">
        <f>HYPERLINK("https://www.spark-marketing.ru/Card/Lot/72463479", "Услуги по организации проживания и питания в отеле «Ибис» для футбольной команды «Ротор», в период с 02 августа 2019 года по 04 августа 2019 года в городе Краснодар")</f>
        <v>Услуги по организации проживания и питания в отеле «Ибис» для футбольной команды «Ротор», в период с 02 августа 2019 года по 04 августа 2019 года в городе Краснодар</v>
      </c>
      <c r="G10124" s="22" t="s">
        <v>104</v>
      </c>
      <c r="H10124" s="22" t="s">
        <v>104</v>
      </c>
      <c r="I10124" s="26">
        <v>43675.7570486111</v>
      </c>
      <c r="J10124" s="28" t="s">
        <v>51</v>
      </c>
      <c r="K10124" s="28" t="s">
        <v>51</v>
      </c>
      <c r="L10124" s="28" t="s">
        <v>51</v>
      </c>
      <c r="M10124" s="25">
        <v>310200</v>
      </c>
      <c r="N10124" s="27">
        <v>0</v>
      </c>
    </row>
    <row r="10125" spans="1:14" x14ac:dyDescent="0.15">
      <c r="A10125" s="23" t="str">
        <f>HYPERLINK("https://www.spark-marketing.ru/Card/Person/4348382", "ООО ""ГАЗПРОМ ПИТАНИЕ""")</f>
        <v>ООО "ГАЗПРОМ ПИТАНИЕ"</v>
      </c>
      <c r="B10125" s="24" t="s">
        <v>2869</v>
      </c>
      <c r="C10125" s="25">
        <v>97200</v>
      </c>
      <c r="D10125" s="22" t="s">
        <v>14389</v>
      </c>
      <c r="E10125" s="22" t="s">
        <v>52</v>
      </c>
      <c r="F10125" s="23" t="str">
        <f>HYPERLINK("https://www.spark-marketing.ru/Card/Lot/72444019", "Оказание услуг по проведению специальной оценки условий труда на рабочих местах для нужд ооо ""газпром питание""")</f>
        <v>Оказание услуг по проведению специальной оценки условий труда на рабочих местах для нужд ооо "газпром питание"</v>
      </c>
      <c r="G10125" s="22" t="s">
        <v>56</v>
      </c>
      <c r="H10125" s="22" t="s">
        <v>56</v>
      </c>
      <c r="I10125" s="26">
        <v>43675.751388888901</v>
      </c>
      <c r="J10125" s="28" t="s">
        <v>51</v>
      </c>
      <c r="K10125" s="28" t="s">
        <v>51</v>
      </c>
      <c r="L10125" s="28" t="s">
        <v>51</v>
      </c>
      <c r="M10125" s="28" t="s">
        <v>51</v>
      </c>
      <c r="N10125" s="28" t="s">
        <v>51</v>
      </c>
    </row>
    <row r="10126" spans="1:14" x14ac:dyDescent="0.15">
      <c r="A10126" s="23" t="str">
        <f>HYPERLINK("https://www.spark-marketing.ru/Card/Person/6086", "ГКУ ""ДИРЕКЦИЯ ОДОТСЗН Г. МОСКВЫ""")</f>
        <v>ГКУ "ДИРЕКЦИЯ ОДОТСЗН Г. МОСКВЫ"</v>
      </c>
      <c r="B10126" s="24" t="s">
        <v>164</v>
      </c>
      <c r="C10126" s="25">
        <v>5614650</v>
      </c>
      <c r="D10126" s="22" t="s">
        <v>14390</v>
      </c>
      <c r="E10126" s="22" t="s">
        <v>86</v>
      </c>
      <c r="F10126" s="23" t="str">
        <f>HYPERLINK("https://www.spark-marketing.ru/Card/Lot/72453515", "Оказание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кишечник...")</f>
        <v>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</v>
      </c>
      <c r="G10126" s="22" t="s">
        <v>56</v>
      </c>
      <c r="H10126" s="22" t="s">
        <v>56</v>
      </c>
      <c r="I10126" s="26">
        <v>43675.762754629599</v>
      </c>
      <c r="J10126" s="28" t="s">
        <v>51</v>
      </c>
      <c r="K10126" s="28" t="s">
        <v>51</v>
      </c>
      <c r="L10126" s="28" t="s">
        <v>51</v>
      </c>
      <c r="M10126" s="28" t="s">
        <v>51</v>
      </c>
      <c r="N10126" s="28" t="s">
        <v>51</v>
      </c>
    </row>
    <row r="10127" spans="1:14" hidden="1" outlineLevel="1" x14ac:dyDescent="0.15">
      <c r="A10127" s="23" t="str">
        <f>HYPERLINK("https://www.spark-marketing.ru/Card/Person/6086", "ГКУ ""ДИРЕКЦИЯ ОДОТСЗН Г. МОСКВЫ""")</f>
        <v>ГКУ "ДИРЕКЦИЯ ОДОТСЗН Г. МОСКВЫ"</v>
      </c>
      <c r="B10127" s="24" t="s">
        <v>164</v>
      </c>
      <c r="C10127" s="25">
        <v>5614650</v>
      </c>
      <c r="D10127" s="22" t="s">
        <v>14390</v>
      </c>
      <c r="E10127" s="22" t="s">
        <v>86</v>
      </c>
      <c r="F10127" s="23" t="str">
        <f>HYPERLINK("https://www.spark-marketing.ru/Card/Lot/72453515", "Оказание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кишечник...")</f>
        <v>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</v>
      </c>
      <c r="G10127" s="22" t="s">
        <v>56</v>
      </c>
      <c r="H10127" s="22" t="s">
        <v>56</v>
      </c>
      <c r="I10127" s="26">
        <v>43675.762754629599</v>
      </c>
      <c r="J10127" s="23" t="str">
        <f>HYPERLINK("https://www.spark-marketing.ru/Card/Person/438608", "ООО ""ЛЕЧЕБНО-ПРОФИЛАКТИЧЕСКОЕ УЧРЕЖДЕНИЕ ""САНАТОРИЙ ДОРОХОВО""")</f>
        <v>ООО "ЛЕЧЕБНО-ПРОФИЛАКТИЧЕСКОЕ УЧРЕЖДЕНИЕ "САНАТОРИЙ ДОРОХОВО"</v>
      </c>
      <c r="K10127" s="24" t="s">
        <v>14391</v>
      </c>
      <c r="L10127" s="28" t="s">
        <v>51</v>
      </c>
      <c r="M10127" s="28" t="s">
        <v>51</v>
      </c>
      <c r="N10127" s="28" t="s">
        <v>51</v>
      </c>
    </row>
    <row r="10128" spans="1:14" hidden="1" outlineLevel="1" x14ac:dyDescent="0.2">
      <c r="A10128" s="23" t="str">
        <f>HYPERLINK("https://www.spark-marketing.ru/Card/Person/6086", "ГКУ ""ДИРЕКЦИЯ ОДОТСЗН Г. МОСКВЫ""")</f>
        <v>ГКУ "ДИРЕКЦИЯ ОДОТСЗН Г. МОСКВЫ"</v>
      </c>
      <c r="B10128" s="24" t="s">
        <v>164</v>
      </c>
      <c r="C10128" s="25">
        <v>5614650</v>
      </c>
      <c r="D10128" s="22" t="s">
        <v>14390</v>
      </c>
      <c r="E10128" s="22" t="s">
        <v>86</v>
      </c>
      <c r="F10128" s="23" t="str">
        <f>HYPERLINK("https://www.spark-marketing.ru/Card/Lot/72453515", "Оказание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кишечник...")</f>
        <v>Оказание услуг по предоставлению санаторно-курортного лечения (по путевкам) в 2019-2020 году в санатории для лечения болезней печени, желчного пузыря, желчевыводящих путей и поджелудочной железы, пищевода, желудка и двенадцатиперстной кишки, кишечник...</v>
      </c>
      <c r="G10128" s="22" t="s">
        <v>56</v>
      </c>
      <c r="H10128" s="22" t="s">
        <v>56</v>
      </c>
      <c r="I10128" s="26">
        <v>43675.762754629599</v>
      </c>
      <c r="J10128" s="23" t="str">
        <f>HYPERLINK("https://www.spark-marketing.ru/Card/Person/404257", "ООО ""САНАТОРИЙ ""УДЕЛЬНАЯ""")</f>
        <v>ООО "САНАТОРИЙ "УДЕЛЬНАЯ"</v>
      </c>
      <c r="K10128" s="24" t="s">
        <v>14392</v>
      </c>
      <c r="L10128" s="28" t="s">
        <v>51</v>
      </c>
      <c r="M10128" s="25">
        <v>5614650</v>
      </c>
      <c r="N10128" s="27">
        <v>0</v>
      </c>
    </row>
    <row r="10129" spans="1:14" x14ac:dyDescent="0.15">
      <c r="A10129" s="23" t="str">
        <f t="shared" ref="A10129:A10134" si="259">HYPERLINK("https://www.spark-marketing.ru/Card/Person/19233", "УПРАВА РАЙОНА СОКОЛИНАЯ ГОРА ГОРОДА МОСКВЫ")</f>
        <v>УПРАВА РАЙОНА СОКОЛИНАЯ ГОРА ГОРОДА МОСКВЫ</v>
      </c>
      <c r="B10129" s="24" t="s">
        <v>14393</v>
      </c>
      <c r="C10129" s="25">
        <v>200000</v>
      </c>
      <c r="D10129" s="22" t="s">
        <v>14394</v>
      </c>
      <c r="E10129" s="22" t="s">
        <v>96</v>
      </c>
      <c r="F10129" s="23" t="str">
        <f t="shared" ref="F10129:F10134" si="260">HYPERLINK("https://www.spark-marketing.ru/Card/Lot/72453717", "Оказание услуг по организации чайных столов для организаций ветеранов к праздничным датам.")</f>
        <v>Оказание услуг по организации чайных столов для организаций ветеранов к праздничным датам.</v>
      </c>
      <c r="G10129" s="22" t="s">
        <v>56</v>
      </c>
      <c r="H10129" s="22" t="s">
        <v>56</v>
      </c>
      <c r="I10129" s="26">
        <v>43675.777384259301</v>
      </c>
      <c r="J10129" s="28" t="s">
        <v>51</v>
      </c>
      <c r="K10129" s="28" t="s">
        <v>51</v>
      </c>
      <c r="L10129" s="28" t="s">
        <v>51</v>
      </c>
      <c r="M10129" s="28" t="s">
        <v>51</v>
      </c>
      <c r="N10129" s="28" t="s">
        <v>51</v>
      </c>
    </row>
    <row r="10130" spans="1:14" ht="12.75" hidden="1" outlineLevel="1" x14ac:dyDescent="0.2">
      <c r="A10130" s="23" t="str">
        <f t="shared" si="259"/>
        <v>УПРАВА РАЙОНА СОКОЛИНАЯ ГОРА ГОРОДА МОСКВЫ</v>
      </c>
      <c r="B10130" s="24" t="s">
        <v>14393</v>
      </c>
      <c r="C10130" s="25">
        <v>200000</v>
      </c>
      <c r="D10130" s="22" t="s">
        <v>14394</v>
      </c>
      <c r="E10130" s="22" t="s">
        <v>96</v>
      </c>
      <c r="F10130" s="23" t="str">
        <f t="shared" si="260"/>
        <v>Оказание услуг по организации чайных столов для организаций ветеранов к праздничным датам.</v>
      </c>
      <c r="G10130" s="22" t="s">
        <v>56</v>
      </c>
      <c r="H10130" s="22" t="s">
        <v>56</v>
      </c>
      <c r="I10130" s="26">
        <v>43675.777384259301</v>
      </c>
      <c r="J10130" s="23" t="str">
        <f>HYPERLINK("https://www.spark-marketing.ru/Card/Person/6681346", "Алексютенко Сергей Владимирович")</f>
        <v>Алексютенко Сергей Владимирович</v>
      </c>
      <c r="K10130" s="24" t="s">
        <v>9024</v>
      </c>
      <c r="L10130" s="22" t="s">
        <v>10</v>
      </c>
      <c r="M10130" s="25">
        <v>170000</v>
      </c>
      <c r="N10130" s="27">
        <v>0.15</v>
      </c>
    </row>
    <row r="10131" spans="1:14" hidden="1" outlineLevel="1" x14ac:dyDescent="0.2">
      <c r="A10131" s="23" t="str">
        <f t="shared" si="259"/>
        <v>УПРАВА РАЙОНА СОКОЛИНАЯ ГОРА ГОРОДА МОСКВЫ</v>
      </c>
      <c r="B10131" s="24" t="s">
        <v>14393</v>
      </c>
      <c r="C10131" s="25">
        <v>200000</v>
      </c>
      <c r="D10131" s="22" t="s">
        <v>14394</v>
      </c>
      <c r="E10131" s="22" t="s">
        <v>96</v>
      </c>
      <c r="F10131" s="23" t="str">
        <f t="shared" si="260"/>
        <v>Оказание услуг по организации чайных столов для организаций ветеранов к праздничным датам.</v>
      </c>
      <c r="G10131" s="22" t="s">
        <v>56</v>
      </c>
      <c r="H10131" s="22" t="s">
        <v>56</v>
      </c>
      <c r="I10131" s="26">
        <v>43675.777384259301</v>
      </c>
      <c r="J10131" s="23" t="str">
        <f>HYPERLINK("https://www.spark-marketing.ru/Card/Person/1836396", "ООО ""ЗВАНЫЙ УЖИН""")</f>
        <v>ООО "ЗВАНЫЙ УЖИН"</v>
      </c>
      <c r="K10131" s="24" t="s">
        <v>14395</v>
      </c>
      <c r="L10131" s="28" t="s">
        <v>51</v>
      </c>
      <c r="M10131" s="25">
        <v>179200</v>
      </c>
      <c r="N10131" s="27">
        <v>0.104</v>
      </c>
    </row>
    <row r="10132" spans="1:14" hidden="1" outlineLevel="1" x14ac:dyDescent="0.2">
      <c r="A10132" s="23" t="str">
        <f t="shared" si="259"/>
        <v>УПРАВА РАЙОНА СОКОЛИНАЯ ГОРА ГОРОДА МОСКВЫ</v>
      </c>
      <c r="B10132" s="24" t="s">
        <v>14393</v>
      </c>
      <c r="C10132" s="25">
        <v>200000</v>
      </c>
      <c r="D10132" s="22" t="s">
        <v>14394</v>
      </c>
      <c r="E10132" s="22" t="s">
        <v>96</v>
      </c>
      <c r="F10132" s="23" t="str">
        <f t="shared" si="260"/>
        <v>Оказание услуг по организации чайных столов для организаций ветеранов к праздничным датам.</v>
      </c>
      <c r="G10132" s="22" t="s">
        <v>56</v>
      </c>
      <c r="H10132" s="22" t="s">
        <v>56</v>
      </c>
      <c r="I10132" s="26">
        <v>43675.777384259301</v>
      </c>
      <c r="J10132" s="23" t="str">
        <f>HYPERLINK("https://www.spark-marketing.ru/Card/Person/6680326", "Федулов Сергей Михайлович")</f>
        <v>Федулов Сергей Михайлович</v>
      </c>
      <c r="K10132" s="24" t="s">
        <v>14396</v>
      </c>
      <c r="L10132" s="28" t="s">
        <v>51</v>
      </c>
      <c r="M10132" s="25">
        <v>198000</v>
      </c>
      <c r="N10132" s="27">
        <v>0.01</v>
      </c>
    </row>
    <row r="10133" spans="1:14" hidden="1" outlineLevel="1" x14ac:dyDescent="0.2">
      <c r="A10133" s="23" t="str">
        <f t="shared" si="259"/>
        <v>УПРАВА РАЙОНА СОКОЛИНАЯ ГОРА ГОРОДА МОСКВЫ</v>
      </c>
      <c r="B10133" s="24" t="s">
        <v>14393</v>
      </c>
      <c r="C10133" s="25">
        <v>200000</v>
      </c>
      <c r="D10133" s="22" t="s">
        <v>14394</v>
      </c>
      <c r="E10133" s="22" t="s">
        <v>96</v>
      </c>
      <c r="F10133" s="23" t="str">
        <f t="shared" si="260"/>
        <v>Оказание услуг по организации чайных столов для организаций ветеранов к праздничным датам.</v>
      </c>
      <c r="G10133" s="22" t="s">
        <v>56</v>
      </c>
      <c r="H10133" s="22" t="s">
        <v>56</v>
      </c>
      <c r="I10133" s="26">
        <v>43675.777384259301</v>
      </c>
      <c r="J10133" s="23" t="str">
        <f>HYPERLINK("https://www.spark-marketing.ru/Card/Person/55259", "ООО ""О`НАСТРОЕНИЕ""")</f>
        <v>ООО "О`НАСТРОЕНИЕ"</v>
      </c>
      <c r="K10133" s="24" t="s">
        <v>14397</v>
      </c>
      <c r="L10133" s="28" t="s">
        <v>51</v>
      </c>
      <c r="M10133" s="25">
        <v>199000</v>
      </c>
      <c r="N10133" s="27">
        <v>5.0000000000000001E-3</v>
      </c>
    </row>
    <row r="10134" spans="1:14" hidden="1" outlineLevel="1" x14ac:dyDescent="0.2">
      <c r="A10134" s="23" t="str">
        <f t="shared" si="259"/>
        <v>УПРАВА РАЙОНА СОКОЛИНАЯ ГОРА ГОРОДА МОСКВЫ</v>
      </c>
      <c r="B10134" s="24" t="s">
        <v>14393</v>
      </c>
      <c r="C10134" s="25">
        <v>200000</v>
      </c>
      <c r="D10134" s="22" t="s">
        <v>14394</v>
      </c>
      <c r="E10134" s="22" t="s">
        <v>96</v>
      </c>
      <c r="F10134" s="23" t="str">
        <f t="shared" si="260"/>
        <v>Оказание услуг по организации чайных столов для организаций ветеранов к праздничным датам.</v>
      </c>
      <c r="G10134" s="22" t="s">
        <v>56</v>
      </c>
      <c r="H10134" s="22" t="s">
        <v>56</v>
      </c>
      <c r="I10134" s="26">
        <v>43675.777384259301</v>
      </c>
      <c r="J10134" s="23" t="str">
        <f>HYPERLINK("https://www.spark-marketing.ru/Card/Person/6681345", "ООО ""БИН-ИНВЕСТ""")</f>
        <v>ООО "БИН-ИНВЕСТ"</v>
      </c>
      <c r="K10134" s="24" t="s">
        <v>14398</v>
      </c>
      <c r="L10134" s="28" t="s">
        <v>51</v>
      </c>
      <c r="M10134" s="25">
        <v>200000</v>
      </c>
      <c r="N10134" s="27">
        <v>0</v>
      </c>
    </row>
    <row r="10135" spans="1:14" x14ac:dyDescent="0.15">
      <c r="A10135" s="23" t="str">
        <f>HYPERLINK("https://www.spark-marketing.ru/Card/Person/65064", "ГБУ СО «КЦСОН РК»")</f>
        <v>ГБУ СО «КЦСОН РК»</v>
      </c>
      <c r="B10135" s="24" t="s">
        <v>6632</v>
      </c>
      <c r="C10135" s="25">
        <v>640039.68000000005</v>
      </c>
      <c r="D10135" s="22" t="s">
        <v>14399</v>
      </c>
      <c r="E10135" s="22" t="s">
        <v>48</v>
      </c>
      <c r="F10135" s="23" t="str">
        <f>HYPERLINK("https://www.spark-marketing.ru/Card/Lot/72449031", "Оказание услуг по организации питания")</f>
        <v>Оказание услуг по организации питания</v>
      </c>
      <c r="G10135" s="22" t="s">
        <v>59</v>
      </c>
      <c r="H10135" s="22" t="s">
        <v>8526</v>
      </c>
      <c r="I10135" s="26">
        <v>43675.750555555598</v>
      </c>
      <c r="J10135" s="28" t="s">
        <v>51</v>
      </c>
      <c r="K10135" s="28" t="s">
        <v>51</v>
      </c>
      <c r="L10135" s="28" t="s">
        <v>51</v>
      </c>
      <c r="M10135" s="28" t="s">
        <v>51</v>
      </c>
      <c r="N10135" s="28" t="s">
        <v>51</v>
      </c>
    </row>
    <row r="10136" spans="1:14" x14ac:dyDescent="0.15">
      <c r="A10136" s="23" t="str">
        <f>HYPERLINK("https://www.spark-marketing.ru/Card/Person/1040158", "ГБПОУ СО ""ПАЛ""")</f>
        <v>ГБПОУ СО "ПАЛ"</v>
      </c>
      <c r="B10136" s="24" t="s">
        <v>14400</v>
      </c>
      <c r="C10136" s="25">
        <v>494100</v>
      </c>
      <c r="D10136" s="22" t="s">
        <v>14401</v>
      </c>
      <c r="E10136" s="22" t="s">
        <v>48</v>
      </c>
      <c r="F10136" s="23" t="str">
        <f>HYPERLINK("https://www.spark-marketing.ru/Card/Lot/72457129", "Услуга по организации горячего питания основного контингента обучающихся в ГБПОУ СО ""ПАЛ"" на 2019г")</f>
        <v>Услуга по организации горячего питания основного контингента обучающихся в ГБПОУ СО "ПАЛ" на 2019г</v>
      </c>
      <c r="G10136" s="22" t="s">
        <v>351</v>
      </c>
      <c r="H10136" s="22" t="s">
        <v>14402</v>
      </c>
      <c r="I10136" s="26">
        <v>43675.775347222203</v>
      </c>
      <c r="J10136" s="23" t="str">
        <f>HYPERLINK("https://www.spark-marketing.ru/Card/Person/795313", "ООО ""АЛЬТЕРНАТИВА""")</f>
        <v>ООО "АЛЬТЕРНАТИВА"</v>
      </c>
      <c r="K10136" s="24" t="s">
        <v>14403</v>
      </c>
      <c r="L10136" s="22" t="s">
        <v>10</v>
      </c>
      <c r="M10136" s="28" t="s">
        <v>51</v>
      </c>
      <c r="N10136" s="28" t="s">
        <v>51</v>
      </c>
    </row>
    <row r="10137" spans="1:14" x14ac:dyDescent="0.2">
      <c r="A10137" s="23" t="str">
        <f>HYPERLINK("https://www.spark-marketing.ru/Card/Person/1517401", "МАОУ АЛАБИНСКАЯ СОШ С УИОП ИМЕНИ ГЕРОЯ РФ С.А.АШИХМИНА")</f>
        <v>МАОУ АЛАБИНСКАЯ СОШ С УИОП ИМЕНИ ГЕРОЯ РФ С.А.АШИХМИНА</v>
      </c>
      <c r="B10137" s="24" t="s">
        <v>14404</v>
      </c>
      <c r="C10137" s="25">
        <v>2584500</v>
      </c>
      <c r="D10137" s="22" t="s">
        <v>14405</v>
      </c>
      <c r="E10137" s="22" t="s">
        <v>580</v>
      </c>
      <c r="F10137" s="23" t="str">
        <f>HYPERLINK("https://www.spark-marketing.ru/Card/Lot/72461569", "Оказание услуг по организации рационального питания обучающихся.")</f>
        <v>Оказание услуг по организации рационального питания обучающихся.</v>
      </c>
      <c r="G10137" s="22" t="s">
        <v>49</v>
      </c>
      <c r="H10137" s="22" t="s">
        <v>49</v>
      </c>
      <c r="I10137" s="26">
        <v>43675.744155092601</v>
      </c>
      <c r="J10137" s="28" t="s">
        <v>51</v>
      </c>
      <c r="K10137" s="28" t="s">
        <v>51</v>
      </c>
      <c r="L10137" s="22" t="s">
        <v>10</v>
      </c>
      <c r="M10137" s="25">
        <v>2581410</v>
      </c>
      <c r="N10137" s="27">
        <v>1.1955890887986071E-3</v>
      </c>
    </row>
    <row r="10138" spans="1:14" x14ac:dyDescent="0.15">
      <c r="A10138" s="23" t="str">
        <f>HYPERLINK("https://www.spark-marketing.ru/Card/Person/4346692", "МТИЗН ОРЕНБУРГСКОЙ ОБЛАСТИ")</f>
        <v>МТИЗН ОРЕНБУРГСКОЙ ОБЛАСТИ</v>
      </c>
      <c r="B10138" s="24" t="s">
        <v>14406</v>
      </c>
      <c r="C10138" s="25">
        <v>55412.7</v>
      </c>
      <c r="D10138" s="22" t="s">
        <v>14407</v>
      </c>
      <c r="E10138" s="22" t="s">
        <v>809</v>
      </c>
      <c r="F10138" s="23" t="str">
        <f>HYPERLINK("https://www.spark-marketing.ru/Card/Lot/72452664", "Поставка источников бесперебойного питания")</f>
        <v>Поставка источников бесперебойного питания</v>
      </c>
      <c r="G10138" s="22" t="s">
        <v>132</v>
      </c>
      <c r="H10138" s="22" t="s">
        <v>587</v>
      </c>
      <c r="I10138" s="26">
        <v>43675.736469907402</v>
      </c>
      <c r="J10138" s="23" t="str">
        <f>HYPERLINK("https://www.spark-marketing.ru/Card/Person/366238", "ООО ""ТРАНСФЕР""")</f>
        <v>ООО "ТРАНСФЕР"</v>
      </c>
      <c r="K10138" s="24" t="s">
        <v>14408</v>
      </c>
      <c r="L10138" s="22" t="s">
        <v>10</v>
      </c>
      <c r="M10138" s="28" t="s">
        <v>51</v>
      </c>
      <c r="N10138" s="28" t="s">
        <v>51</v>
      </c>
    </row>
    <row r="10139" spans="1:14" x14ac:dyDescent="0.15">
      <c r="A10139" s="23" t="str">
        <f>HYPERLINK("https://www.spark-marketing.ru/Card/Person/1007738", "МБОУ ""СШ № 3""")</f>
        <v>МБОУ "СШ № 3"</v>
      </c>
      <c r="B10139" s="24" t="s">
        <v>14409</v>
      </c>
      <c r="C10139" s="25">
        <v>1022463</v>
      </c>
      <c r="D10139" s="22" t="s">
        <v>14410</v>
      </c>
      <c r="E10139" s="22" t="s">
        <v>48</v>
      </c>
      <c r="F10139" s="23" t="str">
        <f>HYPERLINK("https://www.spark-marketing.ru/Card/Lot/72460351", "Оказание услуг по организации горячего питания и обеспечению горячим питанием обучающихся МБОУ ""СШ № 3""")</f>
        <v>Оказание услуг по организации горячего питания и обеспечению горячим питанием обучающихся МБОУ "СШ № 3"</v>
      </c>
      <c r="G10139" s="22" t="s">
        <v>460</v>
      </c>
      <c r="H10139" s="22" t="s">
        <v>461</v>
      </c>
      <c r="I10139" s="26">
        <v>43675.719236111101</v>
      </c>
      <c r="J10139" s="28" t="s">
        <v>51</v>
      </c>
      <c r="K10139" s="28" t="s">
        <v>51</v>
      </c>
      <c r="L10139" s="28" t="s">
        <v>51</v>
      </c>
      <c r="M10139" s="28" t="s">
        <v>51</v>
      </c>
      <c r="N10139" s="28" t="s">
        <v>51</v>
      </c>
    </row>
    <row r="10140" spans="1:14" x14ac:dyDescent="0.2">
      <c r="A10140" s="23" t="s">
        <v>114</v>
      </c>
      <c r="B10140" s="28" t="s">
        <v>51</v>
      </c>
      <c r="C10140" s="25">
        <v>5482360</v>
      </c>
      <c r="D10140" s="22" t="s">
        <v>14411</v>
      </c>
      <c r="E10140" s="22" t="s">
        <v>48</v>
      </c>
      <c r="F10140" s="23" t="str">
        <f t="shared" ref="F10140:F10155" si="261">HYPERLINK("https://www.spark-marketing.ru/Card/Lot/72454453", "Оказание услуг на организацию питания категорий детей, определенных областным законом от 17 ноября 2017 года № 72-оз ""Социальный кодекс Ленинградской области"", в общеобразовательных учреждениях муниципального образования Тосненский район Ленинградс...")</f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40" s="22" t="s">
        <v>51</v>
      </c>
      <c r="H10140" s="22" t="s">
        <v>51</v>
      </c>
      <c r="I10140" s="26">
        <v>43675.734398148103</v>
      </c>
      <c r="J10140" s="23" t="str">
        <f t="shared" ref="J10140:J10155" si="262">HYPERLINK("https://www.spark-marketing.ru/Card/Person/133962", "ООО ""НОВЫЙ ВЕК""")</f>
        <v>ООО "НОВЫЙ ВЕК"</v>
      </c>
      <c r="K10140" s="24" t="s">
        <v>3583</v>
      </c>
      <c r="L10140" s="28" t="s">
        <v>51</v>
      </c>
      <c r="M10140" s="25">
        <v>5482360</v>
      </c>
      <c r="N10140" s="27">
        <v>0</v>
      </c>
    </row>
    <row r="10141" spans="1:14" hidden="1" outlineLevel="1" x14ac:dyDescent="0.2">
      <c r="A10141" s="23" t="str">
        <f>HYPERLINK("https://www.spark-marketing.ru/Card/Person/393999", "МКОУ ""КРАСНОБОРСКАЯ СОШ""")</f>
        <v>МКОУ "КРАСНОБОРСКАЯ СОШ"</v>
      </c>
      <c r="B10141" s="24" t="s">
        <v>14412</v>
      </c>
      <c r="C10141" s="25">
        <v>534040</v>
      </c>
      <c r="D10141" s="22" t="s">
        <v>14411</v>
      </c>
      <c r="E10141" s="22" t="s">
        <v>48</v>
      </c>
      <c r="F10141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41" s="22" t="s">
        <v>162</v>
      </c>
      <c r="H10141" s="22" t="s">
        <v>4106</v>
      </c>
      <c r="I10141" s="26">
        <v>43675.734398148103</v>
      </c>
      <c r="J10141" s="23" t="str">
        <f t="shared" si="262"/>
        <v>ООО "НОВЫЙ ВЕК"</v>
      </c>
      <c r="K10141" s="24" t="s">
        <v>3583</v>
      </c>
      <c r="L10141" s="28" t="s">
        <v>51</v>
      </c>
      <c r="M10141" s="28" t="s">
        <v>51</v>
      </c>
      <c r="N10141" s="27">
        <v>0</v>
      </c>
    </row>
    <row r="10142" spans="1:14" hidden="1" outlineLevel="1" x14ac:dyDescent="0.2">
      <c r="A10142" s="23" t="str">
        <f>HYPERLINK("https://www.spark-marketing.ru/Card/Person/394787", "МКОУ ""РЯБОВСКАЯ ООШ""")</f>
        <v>МКОУ "РЯБОВСКАЯ ООШ"</v>
      </c>
      <c r="B10142" s="24" t="s">
        <v>14413</v>
      </c>
      <c r="C10142" s="25">
        <v>324480</v>
      </c>
      <c r="D10142" s="22" t="s">
        <v>14411</v>
      </c>
      <c r="E10142" s="22" t="s">
        <v>48</v>
      </c>
      <c r="F10142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42" s="22" t="s">
        <v>162</v>
      </c>
      <c r="H10142" s="22" t="s">
        <v>162</v>
      </c>
      <c r="I10142" s="26">
        <v>43675.734398148103</v>
      </c>
      <c r="J10142" s="23" t="str">
        <f t="shared" si="262"/>
        <v>ООО "НОВЫЙ ВЕК"</v>
      </c>
      <c r="K10142" s="24" t="s">
        <v>3583</v>
      </c>
      <c r="L10142" s="28" t="s">
        <v>51</v>
      </c>
      <c r="M10142" s="28" t="s">
        <v>51</v>
      </c>
      <c r="N10142" s="27">
        <v>0</v>
      </c>
    </row>
    <row r="10143" spans="1:14" hidden="1" outlineLevel="1" x14ac:dyDescent="0.2">
      <c r="A10143" s="23" t="str">
        <f>HYPERLINK("https://www.spark-marketing.ru/Card/Person/395201", "МКОУ ""АНДРИАНОВСКАЯ ООШ""")</f>
        <v>МКОУ "АНДРИАНОВСКАЯ ООШ"</v>
      </c>
      <c r="B10143" s="24" t="s">
        <v>14414</v>
      </c>
      <c r="C10143" s="25">
        <v>101400</v>
      </c>
      <c r="D10143" s="22" t="s">
        <v>14411</v>
      </c>
      <c r="E10143" s="22" t="s">
        <v>48</v>
      </c>
      <c r="F10143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43" s="22" t="s">
        <v>162</v>
      </c>
      <c r="H10143" s="22" t="s">
        <v>14415</v>
      </c>
      <c r="I10143" s="26">
        <v>43675.734398148103</v>
      </c>
      <c r="J10143" s="23" t="str">
        <f t="shared" si="262"/>
        <v>ООО "НОВЫЙ ВЕК"</v>
      </c>
      <c r="K10143" s="24" t="s">
        <v>3583</v>
      </c>
      <c r="L10143" s="28" t="s">
        <v>51</v>
      </c>
      <c r="M10143" s="28" t="s">
        <v>51</v>
      </c>
      <c r="N10143" s="27">
        <v>0</v>
      </c>
    </row>
    <row r="10144" spans="1:14" hidden="1" outlineLevel="1" x14ac:dyDescent="0.2">
      <c r="A10144" s="23" t="str">
        <f>HYPERLINK("https://www.spark-marketing.ru/Card/Person/399143", "МКОУ ""ФОРНОСОВСКАЯ ООШ""")</f>
        <v>МКОУ "ФОРНОСОВСКАЯ ООШ"</v>
      </c>
      <c r="B10144" s="24" t="s">
        <v>14416</v>
      </c>
      <c r="C10144" s="25">
        <v>277160</v>
      </c>
      <c r="D10144" s="22" t="s">
        <v>14411</v>
      </c>
      <c r="E10144" s="22" t="s">
        <v>48</v>
      </c>
      <c r="F10144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44" s="22" t="s">
        <v>51</v>
      </c>
      <c r="H10144" s="22" t="s">
        <v>51</v>
      </c>
      <c r="I10144" s="26">
        <v>43675.734398148103</v>
      </c>
      <c r="J10144" s="23" t="str">
        <f t="shared" si="262"/>
        <v>ООО "НОВЫЙ ВЕК"</v>
      </c>
      <c r="K10144" s="24" t="s">
        <v>3583</v>
      </c>
      <c r="L10144" s="28" t="s">
        <v>51</v>
      </c>
      <c r="M10144" s="28" t="s">
        <v>51</v>
      </c>
      <c r="N10144" s="27">
        <v>0</v>
      </c>
    </row>
    <row r="10145" spans="1:14" hidden="1" outlineLevel="1" x14ac:dyDescent="0.2">
      <c r="A10145" s="23" t="str">
        <f>HYPERLINK("https://www.spark-marketing.ru/Card/Person/399545", "МКОУ ""ЛЮБАНСКАЯ СОШ""")</f>
        <v>МКОУ "ЛЮБАНСКАЯ СОШ"</v>
      </c>
      <c r="B10145" s="24" t="s">
        <v>14417</v>
      </c>
      <c r="C10145" s="25">
        <v>824720</v>
      </c>
      <c r="D10145" s="22" t="s">
        <v>14411</v>
      </c>
      <c r="E10145" s="22" t="s">
        <v>48</v>
      </c>
      <c r="F10145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45" s="22" t="s">
        <v>162</v>
      </c>
      <c r="H10145" s="22" t="s">
        <v>4106</v>
      </c>
      <c r="I10145" s="26">
        <v>43675.734398148103</v>
      </c>
      <c r="J10145" s="23" t="str">
        <f t="shared" si="262"/>
        <v>ООО "НОВЫЙ ВЕК"</v>
      </c>
      <c r="K10145" s="24" t="s">
        <v>3583</v>
      </c>
      <c r="L10145" s="28" t="s">
        <v>51</v>
      </c>
      <c r="M10145" s="28" t="s">
        <v>51</v>
      </c>
      <c r="N10145" s="27">
        <v>0</v>
      </c>
    </row>
    <row r="10146" spans="1:14" hidden="1" outlineLevel="1" x14ac:dyDescent="0.2">
      <c r="A10146" s="23" t="str">
        <f>HYPERLINK("https://www.spark-marketing.ru/Card/Person/400205", "МКОУ ""НУРМЕНСКАЯ СОШ""")</f>
        <v>МКОУ "НУРМЕНСКАЯ СОШ"</v>
      </c>
      <c r="B10146" s="24" t="s">
        <v>14418</v>
      </c>
      <c r="C10146" s="25">
        <v>405600</v>
      </c>
      <c r="D10146" s="22" t="s">
        <v>14411</v>
      </c>
      <c r="E10146" s="22" t="s">
        <v>48</v>
      </c>
      <c r="F10146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46" s="22" t="s">
        <v>162</v>
      </c>
      <c r="H10146" s="22" t="s">
        <v>4106</v>
      </c>
      <c r="I10146" s="26">
        <v>43675.734398148103</v>
      </c>
      <c r="J10146" s="23" t="str">
        <f t="shared" si="262"/>
        <v>ООО "НОВЫЙ ВЕК"</v>
      </c>
      <c r="K10146" s="24" t="s">
        <v>3583</v>
      </c>
      <c r="L10146" s="28" t="s">
        <v>51</v>
      </c>
      <c r="M10146" s="28" t="s">
        <v>51</v>
      </c>
      <c r="N10146" s="27">
        <v>0</v>
      </c>
    </row>
    <row r="10147" spans="1:14" hidden="1" outlineLevel="1" x14ac:dyDescent="0.2">
      <c r="A10147" s="23" t="str">
        <f>HYPERLINK("https://www.spark-marketing.ru/Card/Person/400213", "МКОУ ""ФЕДОРОВСКАЯ СОШ""")</f>
        <v>МКОУ "ФЕДОРОВСКАЯ СОШ"</v>
      </c>
      <c r="B10147" s="24" t="s">
        <v>14419</v>
      </c>
      <c r="C10147" s="25">
        <v>811200</v>
      </c>
      <c r="D10147" s="22" t="s">
        <v>14411</v>
      </c>
      <c r="E10147" s="22" t="s">
        <v>48</v>
      </c>
      <c r="F10147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47" s="22" t="s">
        <v>162</v>
      </c>
      <c r="H10147" s="22" t="s">
        <v>4106</v>
      </c>
      <c r="I10147" s="26">
        <v>43675.734398148103</v>
      </c>
      <c r="J10147" s="23" t="str">
        <f t="shared" si="262"/>
        <v>ООО "НОВЫЙ ВЕК"</v>
      </c>
      <c r="K10147" s="24" t="s">
        <v>3583</v>
      </c>
      <c r="L10147" s="28" t="s">
        <v>51</v>
      </c>
      <c r="M10147" s="28" t="s">
        <v>51</v>
      </c>
      <c r="N10147" s="27">
        <v>0</v>
      </c>
    </row>
    <row r="10148" spans="1:14" hidden="1" outlineLevel="1" x14ac:dyDescent="0.2">
      <c r="A10148" s="23" t="str">
        <f>HYPERLINK("https://www.spark-marketing.ru/Card/Person/400693", "МКОУ ""УШАКИНСКАЯ СОШ №1""")</f>
        <v>МКОУ "УШАКИНСКАЯ СОШ №1"</v>
      </c>
      <c r="B10148" s="24" t="s">
        <v>14420</v>
      </c>
      <c r="C10148" s="25">
        <v>439400</v>
      </c>
      <c r="D10148" s="22" t="s">
        <v>14411</v>
      </c>
      <c r="E10148" s="22" t="s">
        <v>48</v>
      </c>
      <c r="F10148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48" s="22" t="s">
        <v>162</v>
      </c>
      <c r="H10148" s="22" t="s">
        <v>4106</v>
      </c>
      <c r="I10148" s="26">
        <v>43675.734398148103</v>
      </c>
      <c r="J10148" s="23" t="str">
        <f t="shared" si="262"/>
        <v>ООО "НОВЫЙ ВЕК"</v>
      </c>
      <c r="K10148" s="24" t="s">
        <v>3583</v>
      </c>
      <c r="L10148" s="28" t="s">
        <v>51</v>
      </c>
      <c r="M10148" s="28" t="s">
        <v>51</v>
      </c>
      <c r="N10148" s="27">
        <v>0</v>
      </c>
    </row>
    <row r="10149" spans="1:14" hidden="1" outlineLevel="1" x14ac:dyDescent="0.2">
      <c r="A10149" s="23" t="str">
        <f>HYPERLINK("https://www.spark-marketing.ru/Card/Person/400782", "МКОУ ""УЛЬЯНОВСКАЯ СОШ №1""")</f>
        <v>МКОУ "УЛЬЯНОВСКАЯ СОШ №1"</v>
      </c>
      <c r="B10149" s="24" t="s">
        <v>14421</v>
      </c>
      <c r="C10149" s="25">
        <v>540800</v>
      </c>
      <c r="D10149" s="22" t="s">
        <v>14411</v>
      </c>
      <c r="E10149" s="22" t="s">
        <v>48</v>
      </c>
      <c r="F10149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49" s="22" t="s">
        <v>162</v>
      </c>
      <c r="H10149" s="22" t="s">
        <v>4106</v>
      </c>
      <c r="I10149" s="26">
        <v>43675.734398148103</v>
      </c>
      <c r="J10149" s="23" t="str">
        <f t="shared" si="262"/>
        <v>ООО "НОВЫЙ ВЕК"</v>
      </c>
      <c r="K10149" s="24" t="s">
        <v>3583</v>
      </c>
      <c r="L10149" s="28" t="s">
        <v>51</v>
      </c>
      <c r="M10149" s="28" t="s">
        <v>51</v>
      </c>
      <c r="N10149" s="27">
        <v>0</v>
      </c>
    </row>
    <row r="10150" spans="1:14" hidden="1" outlineLevel="1" x14ac:dyDescent="0.2">
      <c r="A10150" s="23" t="str">
        <f>HYPERLINK("https://www.spark-marketing.ru/Card/Person/402809", "МКОУ ""ТЕЛЬМАНОВСКАЯ СОШ""")</f>
        <v>МКОУ "ТЕЛЬМАНОВСКАЯ СОШ"</v>
      </c>
      <c r="B10150" s="24" t="s">
        <v>14422</v>
      </c>
      <c r="C10150" s="25">
        <v>338000</v>
      </c>
      <c r="D10150" s="22" t="s">
        <v>14411</v>
      </c>
      <c r="E10150" s="22" t="s">
        <v>48</v>
      </c>
      <c r="F10150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50" s="22" t="s">
        <v>162</v>
      </c>
      <c r="H10150" s="22" t="s">
        <v>4106</v>
      </c>
      <c r="I10150" s="26">
        <v>43675.734398148103</v>
      </c>
      <c r="J10150" s="23" t="str">
        <f t="shared" si="262"/>
        <v>ООО "НОВЫЙ ВЕК"</v>
      </c>
      <c r="K10150" s="24" t="s">
        <v>3583</v>
      </c>
      <c r="L10150" s="28" t="s">
        <v>51</v>
      </c>
      <c r="M10150" s="28" t="s">
        <v>51</v>
      </c>
      <c r="N10150" s="27">
        <v>0</v>
      </c>
    </row>
    <row r="10151" spans="1:14" hidden="1" outlineLevel="1" x14ac:dyDescent="0.2">
      <c r="A10151" s="23" t="str">
        <f>HYPERLINK("https://www.spark-marketing.ru/Card/Person/403841", "МКОУ ""САБЛИНСКАЯ ООШ""")</f>
        <v>МКОУ "САБЛИНСКАЯ ООШ"</v>
      </c>
      <c r="B10151" s="24" t="s">
        <v>14423</v>
      </c>
      <c r="C10151" s="25">
        <v>135200</v>
      </c>
      <c r="D10151" s="22" t="s">
        <v>14411</v>
      </c>
      <c r="E10151" s="22" t="s">
        <v>48</v>
      </c>
      <c r="F10151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51" s="22" t="s">
        <v>51</v>
      </c>
      <c r="H10151" s="22" t="s">
        <v>51</v>
      </c>
      <c r="I10151" s="26">
        <v>43675.734398148103</v>
      </c>
      <c r="J10151" s="23" t="str">
        <f t="shared" si="262"/>
        <v>ООО "НОВЫЙ ВЕК"</v>
      </c>
      <c r="K10151" s="24" t="s">
        <v>3583</v>
      </c>
      <c r="L10151" s="28" t="s">
        <v>51</v>
      </c>
      <c r="M10151" s="28" t="s">
        <v>51</v>
      </c>
      <c r="N10151" s="27">
        <v>0</v>
      </c>
    </row>
    <row r="10152" spans="1:14" hidden="1" outlineLevel="1" x14ac:dyDescent="0.2">
      <c r="A10152" s="23" t="str">
        <f>HYPERLINK("https://www.spark-marketing.ru/Card/Person/427886", "МКОУ ""ПЕЛЬГОРСКАЯ ООШ""")</f>
        <v>МКОУ "ПЕЛЬГОРСКАЯ ООШ"</v>
      </c>
      <c r="B10152" s="24" t="s">
        <v>14424</v>
      </c>
      <c r="C10152" s="25">
        <v>196040</v>
      </c>
      <c r="D10152" s="22" t="s">
        <v>14411</v>
      </c>
      <c r="E10152" s="22" t="s">
        <v>48</v>
      </c>
      <c r="F10152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52" s="22" t="s">
        <v>51</v>
      </c>
      <c r="H10152" s="22" t="s">
        <v>51</v>
      </c>
      <c r="I10152" s="26">
        <v>43675.734398148103</v>
      </c>
      <c r="J10152" s="23" t="str">
        <f t="shared" si="262"/>
        <v>ООО "НОВЫЙ ВЕК"</v>
      </c>
      <c r="K10152" s="24" t="s">
        <v>3583</v>
      </c>
      <c r="L10152" s="28" t="s">
        <v>51</v>
      </c>
      <c r="M10152" s="28" t="s">
        <v>51</v>
      </c>
      <c r="N10152" s="27">
        <v>0</v>
      </c>
    </row>
    <row r="10153" spans="1:14" hidden="1" outlineLevel="1" x14ac:dyDescent="0.2">
      <c r="A10153" s="23" t="str">
        <f>HYPERLINK("https://www.spark-marketing.ru/Card/Person/1011524", "МКОУ ""УЛЬЯНОВСКАЯ ООШ №2""")</f>
        <v>МКОУ "УЛЬЯНОВСКАЯ ООШ №2"</v>
      </c>
      <c r="B10153" s="24" t="s">
        <v>14425</v>
      </c>
      <c r="C10153" s="25">
        <v>114920</v>
      </c>
      <c r="D10153" s="22" t="s">
        <v>14411</v>
      </c>
      <c r="E10153" s="22" t="s">
        <v>48</v>
      </c>
      <c r="F10153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53" s="22" t="s">
        <v>162</v>
      </c>
      <c r="H10153" s="22" t="s">
        <v>14415</v>
      </c>
      <c r="I10153" s="26">
        <v>43675.734398148103</v>
      </c>
      <c r="J10153" s="23" t="str">
        <f t="shared" si="262"/>
        <v>ООО "НОВЫЙ ВЕК"</v>
      </c>
      <c r="K10153" s="24" t="s">
        <v>3583</v>
      </c>
      <c r="L10153" s="28" t="s">
        <v>51</v>
      </c>
      <c r="M10153" s="28" t="s">
        <v>51</v>
      </c>
      <c r="N10153" s="27">
        <v>0</v>
      </c>
    </row>
    <row r="10154" spans="1:14" hidden="1" outlineLevel="1" x14ac:dyDescent="0.2">
      <c r="A10154" s="23" t="str">
        <f>HYPERLINK("https://www.spark-marketing.ru/Card/Person/1014175", "МКОУ ""ТРУБНИКОБОРСКАЯ ООШ""")</f>
        <v>МКОУ "ТРУБНИКОБОРСКАЯ ООШ"</v>
      </c>
      <c r="B10154" s="24" t="s">
        <v>14426</v>
      </c>
      <c r="C10154" s="25">
        <v>270400</v>
      </c>
      <c r="D10154" s="22" t="s">
        <v>14411</v>
      </c>
      <c r="E10154" s="22" t="s">
        <v>48</v>
      </c>
      <c r="F10154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54" s="22" t="s">
        <v>162</v>
      </c>
      <c r="H10154" s="22" t="s">
        <v>4106</v>
      </c>
      <c r="I10154" s="26">
        <v>43675.734398148103</v>
      </c>
      <c r="J10154" s="23" t="str">
        <f t="shared" si="262"/>
        <v>ООО "НОВЫЙ ВЕК"</v>
      </c>
      <c r="K10154" s="24" t="s">
        <v>3583</v>
      </c>
      <c r="L10154" s="28" t="s">
        <v>51</v>
      </c>
      <c r="M10154" s="28" t="s">
        <v>51</v>
      </c>
      <c r="N10154" s="27">
        <v>0</v>
      </c>
    </row>
    <row r="10155" spans="1:14" hidden="1" outlineLevel="1" x14ac:dyDescent="0.2">
      <c r="A10155" s="23" t="str">
        <f>HYPERLINK("https://www.spark-marketing.ru/Card/Person/1016811", "МКОУ ""ВОЙСКОРОВСКАЯ ООШ""")</f>
        <v>МКОУ "ВОЙСКОРОВСКАЯ ООШ"</v>
      </c>
      <c r="B10155" s="24" t="s">
        <v>14427</v>
      </c>
      <c r="C10155" s="25">
        <v>169000</v>
      </c>
      <c r="D10155" s="22" t="s">
        <v>14411</v>
      </c>
      <c r="E10155" s="22" t="s">
        <v>48</v>
      </c>
      <c r="F10155" s="23" t="str">
        <f t="shared" si="261"/>
        <v>Оказание услуг на организацию питания категорий детей, определенных областным законом от 17 ноября 2017 года № 72-оз "Социальный кодекс Ленинградской области", в общеобразовательных учреждениях муниципального образования Тосненский район Ленинградс...</v>
      </c>
      <c r="G10155" s="22" t="s">
        <v>162</v>
      </c>
      <c r="H10155" s="22" t="s">
        <v>4106</v>
      </c>
      <c r="I10155" s="26">
        <v>43675.734398148103</v>
      </c>
      <c r="J10155" s="23" t="str">
        <f t="shared" si="262"/>
        <v>ООО "НОВЫЙ ВЕК"</v>
      </c>
      <c r="K10155" s="24" t="s">
        <v>3583</v>
      </c>
      <c r="L10155" s="28" t="s">
        <v>51</v>
      </c>
      <c r="M10155" s="28" t="s">
        <v>51</v>
      </c>
      <c r="N10155" s="27">
        <v>0</v>
      </c>
    </row>
    <row r="10156" spans="1:14" x14ac:dyDescent="0.2">
      <c r="A10156" s="23" t="str">
        <f>HYPERLINK("https://www.spark-marketing.ru/Card/Person/9617", "ФГБУ ""ГНЦДК"" МИНЗДРАВА РОССИИ")</f>
        <v>ФГБУ "ГНЦДК" МИНЗДРАВА РОССИИ</v>
      </c>
      <c r="B10156" s="24" t="s">
        <v>14428</v>
      </c>
      <c r="C10156" s="25">
        <v>2152800</v>
      </c>
      <c r="D10156" s="22" t="s">
        <v>14429</v>
      </c>
      <c r="E10156" s="22" t="s">
        <v>48</v>
      </c>
      <c r="F10156" s="23" t="str">
        <f>HYPERLINK("https://www.spark-marketing.ru/Card/Lot/72453477", "Оказание услуг по организации лечебного питания")</f>
        <v>Оказание услуг по организации лечебного питания</v>
      </c>
      <c r="G10156" s="22" t="s">
        <v>56</v>
      </c>
      <c r="H10156" s="22" t="s">
        <v>56</v>
      </c>
      <c r="I10156" s="26">
        <v>43675.721261574101</v>
      </c>
      <c r="J10156" s="23" t="str">
        <f>HYPERLINK("https://www.spark-marketing.ru/Card/Person/90084", "ООО ""ВКУСНЫЙ ВЫБОР""")</f>
        <v>ООО "ВКУСНЫЙ ВЫБОР"</v>
      </c>
      <c r="K10156" s="24" t="s">
        <v>3103</v>
      </c>
      <c r="L10156" s="28" t="s">
        <v>51</v>
      </c>
      <c r="M10156" s="25">
        <v>2088216</v>
      </c>
      <c r="N10156" s="27">
        <v>0.03</v>
      </c>
    </row>
    <row r="10157" spans="1:14" x14ac:dyDescent="0.15">
      <c r="A10157" s="23" t="str">
        <f>HYPERLINK("https://www.spark-marketing.ru/Card/Person/244418", "ОТДЕЛ МВД РОССИИ ПО ПЕТРОВСКОМУ РАЙОНУ САРАТОВСКОЙ ОБЛАСТИ")</f>
        <v>ОТДЕЛ МВД РОССИИ ПО ПЕТРОВСКОМУ РАЙОНУ САРАТОВСКОЙ ОБЛАСТИ</v>
      </c>
      <c r="B10157" s="24" t="s">
        <v>9250</v>
      </c>
      <c r="C10157" s="25">
        <v>575450</v>
      </c>
      <c r="D10157" s="22" t="s">
        <v>14430</v>
      </c>
      <c r="E10157" s="22" t="s">
        <v>48</v>
      </c>
      <c r="F10157" s="23" t="str">
        <f>HYPERLINK("https://www.spark-marketing.ru/Card/Lot/72462355", "организация горячего питания")</f>
        <v>организация горячего питания</v>
      </c>
      <c r="G10157" s="22" t="s">
        <v>351</v>
      </c>
      <c r="H10157" s="22" t="s">
        <v>9252</v>
      </c>
      <c r="I10157" s="26">
        <v>43675.714212963001</v>
      </c>
      <c r="J10157" s="23" t="str">
        <f>HYPERLINK("https://www.spark-marketing.ru/Card/Person/6278214", "ООО ""СЕВЕР""")</f>
        <v>ООО "СЕВЕР"</v>
      </c>
      <c r="K10157" s="24" t="s">
        <v>9253</v>
      </c>
      <c r="L10157" s="22" t="s">
        <v>10</v>
      </c>
      <c r="M10157" s="28" t="s">
        <v>51</v>
      </c>
      <c r="N10157" s="28" t="s">
        <v>51</v>
      </c>
    </row>
    <row r="10158" spans="1:14" x14ac:dyDescent="0.15">
      <c r="A10158" s="23" t="str">
        <f>HYPERLINK("https://www.spark-marketing.ru/Card/Person/74446", "ГБУЗ КО ""КО ЦМП""")</f>
        <v>ГБУЗ КО "КО ЦМП"</v>
      </c>
      <c r="B10158" s="24" t="s">
        <v>386</v>
      </c>
      <c r="C10158" s="25">
        <v>648000</v>
      </c>
      <c r="D10158" s="22" t="s">
        <v>14431</v>
      </c>
      <c r="E10158" s="22" t="s">
        <v>388</v>
      </c>
      <c r="F10158" s="23" t="str">
        <f>HYPERLINK("https://www.spark-marketing.ru/Card/Lot/72448384", "Оказание услуг по размещению материалов по здоровому образу жизни, включая здоровое питание и отказ от вредных привычек на остановках общественного транспорта.")</f>
        <v>Оказание услуг по размещению материалов по здоровому образу жизни, включая здоровое питание и отказ от вредных привычек на остановках общественного транспорта.</v>
      </c>
      <c r="G10158" s="22" t="s">
        <v>112</v>
      </c>
      <c r="H10158" s="22" t="s">
        <v>389</v>
      </c>
      <c r="I10158" s="26">
        <v>43675.709293981497</v>
      </c>
      <c r="J10158" s="28" t="s">
        <v>51</v>
      </c>
      <c r="K10158" s="28" t="s">
        <v>51</v>
      </c>
      <c r="L10158" s="28" t="s">
        <v>51</v>
      </c>
      <c r="M10158" s="28" t="s">
        <v>51</v>
      </c>
      <c r="N10158" s="28" t="s">
        <v>51</v>
      </c>
    </row>
    <row r="10159" spans="1:14" ht="12.75" hidden="1" outlineLevel="1" x14ac:dyDescent="0.2">
      <c r="A10159" s="23" t="str">
        <f>HYPERLINK("https://www.spark-marketing.ru/Card/Person/74446", "ГБУЗ КО ""КО ЦМП""")</f>
        <v>ГБУЗ КО "КО ЦМП"</v>
      </c>
      <c r="B10159" s="24" t="s">
        <v>386</v>
      </c>
      <c r="C10159" s="25">
        <v>648000</v>
      </c>
      <c r="D10159" s="22" t="s">
        <v>14431</v>
      </c>
      <c r="E10159" s="22" t="s">
        <v>388</v>
      </c>
      <c r="F10159" s="23" t="str">
        <f>HYPERLINK("https://www.spark-marketing.ru/Card/Lot/72448384", "Оказание услуг по размещению материалов по здоровому образу жизни, включая здоровое питание и отказ от вредных привычек на остановках общественного транспорта.")</f>
        <v>Оказание услуг по размещению материалов по здоровому образу жизни, включая здоровое питание и отказ от вредных привычек на остановках общественного транспорта.</v>
      </c>
      <c r="G10159" s="22" t="s">
        <v>112</v>
      </c>
      <c r="H10159" s="22" t="s">
        <v>389</v>
      </c>
      <c r="I10159" s="26">
        <v>43675.709293981497</v>
      </c>
      <c r="J10159" s="23" t="str">
        <f>HYPERLINK("https://www.spark-marketing.ru/Card/Person/6249883", "ООО ""АУТДОР СЕЙЛ""")</f>
        <v>ООО "АУТДОР СЕЙЛ"</v>
      </c>
      <c r="K10159" s="24" t="s">
        <v>14432</v>
      </c>
      <c r="L10159" s="22" t="s">
        <v>10</v>
      </c>
      <c r="M10159" s="25">
        <v>498960</v>
      </c>
      <c r="N10159" s="27">
        <v>0.23</v>
      </c>
    </row>
    <row r="10160" spans="1:14" hidden="1" outlineLevel="1" x14ac:dyDescent="0.2">
      <c r="A10160" s="23" t="str">
        <f>HYPERLINK("https://www.spark-marketing.ru/Card/Person/74446", "ГБУЗ КО ""КО ЦМП""")</f>
        <v>ГБУЗ КО "КО ЦМП"</v>
      </c>
      <c r="B10160" s="24" t="s">
        <v>386</v>
      </c>
      <c r="C10160" s="25">
        <v>648000</v>
      </c>
      <c r="D10160" s="22" t="s">
        <v>14431</v>
      </c>
      <c r="E10160" s="22" t="s">
        <v>388</v>
      </c>
      <c r="F10160" s="23" t="str">
        <f>HYPERLINK("https://www.spark-marketing.ru/Card/Lot/72448384", "Оказание услуг по размещению материалов по здоровому образу жизни, включая здоровое питание и отказ от вредных привычек на остановках общественного транспорта.")</f>
        <v>Оказание услуг по размещению материалов по здоровому образу жизни, включая здоровое питание и отказ от вредных привычек на остановках общественного транспорта.</v>
      </c>
      <c r="G10160" s="22" t="s">
        <v>112</v>
      </c>
      <c r="H10160" s="22" t="s">
        <v>389</v>
      </c>
      <c r="I10160" s="26">
        <v>43675.709293981497</v>
      </c>
      <c r="J10160" s="23" t="str">
        <f>HYPERLINK("https://www.spark-marketing.ru/Card/Person/6462674", "ООО «МЕДИА ПЛАТФОРМА»")</f>
        <v>ООО «МЕДИА ПЛАТФОРМА»</v>
      </c>
      <c r="K10160" s="24" t="s">
        <v>14433</v>
      </c>
      <c r="L10160" s="28" t="s">
        <v>51</v>
      </c>
      <c r="M10160" s="25">
        <v>531360</v>
      </c>
      <c r="N10160" s="27">
        <v>0.18</v>
      </c>
    </row>
    <row r="10161" spans="1:14" x14ac:dyDescent="0.15">
      <c r="A10161" s="23" t="str">
        <f>HYPERLINK("https://www.spark-marketing.ru/Card/Person/25413", "ФГКУ ""СЗРПСО МЧС РОССИИ""")</f>
        <v>ФГКУ "СЗРПСО МЧС РОССИИ"</v>
      </c>
      <c r="B10161" s="24" t="s">
        <v>10257</v>
      </c>
      <c r="C10161" s="25">
        <v>1066660</v>
      </c>
      <c r="D10161" s="22" t="s">
        <v>14434</v>
      </c>
      <c r="E10161" s="22" t="s">
        <v>48</v>
      </c>
      <c r="F10161" s="23" t="str">
        <f>HYPERLINK("https://www.spark-marketing.ru/Card/Lot/72454386", "Оказание услуг по организации горячего питания работников , несущих дежурство в Вологодском ПСО МЧС России")</f>
        <v>Оказание услуг по организации горячего питания работников , несущих дежурство в Вологодском ПСО МЧС России</v>
      </c>
      <c r="G10161" s="22" t="s">
        <v>503</v>
      </c>
      <c r="H10161" s="22" t="s">
        <v>503</v>
      </c>
      <c r="I10161" s="26">
        <v>43675.7253472222</v>
      </c>
      <c r="J10161" s="23" t="str">
        <f>HYPERLINK("https://www.spark-marketing.ru/Card/Person/1270840", "КИРИЛЛОВСКОЕ РАЙПО")</f>
        <v>КИРИЛЛОВСКОЕ РАЙПО</v>
      </c>
      <c r="K10161" s="24" t="s">
        <v>14435</v>
      </c>
      <c r="L10161" s="22" t="s">
        <v>10</v>
      </c>
      <c r="M10161" s="28" t="s">
        <v>51</v>
      </c>
      <c r="N10161" s="28" t="s">
        <v>51</v>
      </c>
    </row>
    <row r="10162" spans="1:14" x14ac:dyDescent="0.15">
      <c r="A10162" s="23" t="str">
        <f>HYPERLINK("https://www.spark-marketing.ru/Card/Person/74446", "ГБУЗ КО ""КО ЦМП""")</f>
        <v>ГБУЗ КО "КО ЦМП"</v>
      </c>
      <c r="B10162" s="24" t="s">
        <v>386</v>
      </c>
      <c r="C10162" s="25">
        <v>888400</v>
      </c>
      <c r="D10162" s="22" t="s">
        <v>14436</v>
      </c>
      <c r="E10162" s="22" t="s">
        <v>388</v>
      </c>
      <c r="F10162" s="23" t="str">
        <f>HYPERLINK("https://www.spark-marketing.ru/Card/Lot/72448382", "Оказание услуг по размещению видео материалов по здоровому образу жизни, включая здоровое питание и отказ от вредных привычек в эфире областных и городских телерадиокомпаний")</f>
        <v>Оказание услуг по размещению видео материалов по здоровому образу жизни, включая здоровое питание и отказ от вредных привычек в эфире областных и городских телерадиокомпаний</v>
      </c>
      <c r="G10162" s="22" t="s">
        <v>112</v>
      </c>
      <c r="H10162" s="22" t="s">
        <v>389</v>
      </c>
      <c r="I10162" s="26">
        <v>43675.708784722199</v>
      </c>
      <c r="J10162" s="28" t="s">
        <v>51</v>
      </c>
      <c r="K10162" s="28" t="s">
        <v>51</v>
      </c>
      <c r="L10162" s="28" t="s">
        <v>51</v>
      </c>
      <c r="M10162" s="28" t="s">
        <v>51</v>
      </c>
      <c r="N10162" s="28" t="s">
        <v>51</v>
      </c>
    </row>
    <row r="10163" spans="1:14" ht="12.75" hidden="1" outlineLevel="1" x14ac:dyDescent="0.2">
      <c r="A10163" s="23" t="str">
        <f>HYPERLINK("https://www.spark-marketing.ru/Card/Person/74446", "ГБУЗ КО ""КО ЦМП""")</f>
        <v>ГБУЗ КО "КО ЦМП"</v>
      </c>
      <c r="B10163" s="24" t="s">
        <v>386</v>
      </c>
      <c r="C10163" s="25">
        <v>888400</v>
      </c>
      <c r="D10163" s="22" t="s">
        <v>14436</v>
      </c>
      <c r="E10163" s="22" t="s">
        <v>388</v>
      </c>
      <c r="F10163" s="23" t="str">
        <f>HYPERLINK("https://www.spark-marketing.ru/Card/Lot/72448382", "Оказание услуг по размещению видео материалов по здоровому образу жизни, включая здоровое питание и отказ от вредных привычек в эфире областных и городских телерадиокомпаний")</f>
        <v>Оказание услуг по размещению видео материалов по здоровому образу жизни, включая здоровое питание и отказ от вредных привычек в эфире областных и городских телерадиокомпаний</v>
      </c>
      <c r="G10163" s="22" t="s">
        <v>112</v>
      </c>
      <c r="H10163" s="22" t="s">
        <v>389</v>
      </c>
      <c r="I10163" s="26">
        <v>43675.708784722199</v>
      </c>
      <c r="J10163" s="23" t="str">
        <f>HYPERLINK("https://www.spark-marketing.ru/Card/Person/1890691", "ООО ""ИНТЕРВИДЕО""")</f>
        <v>ООО "ИНТЕРВИДЕО"</v>
      </c>
      <c r="K10163" s="24" t="s">
        <v>12125</v>
      </c>
      <c r="L10163" s="22" t="s">
        <v>10</v>
      </c>
      <c r="M10163" s="25">
        <v>140000</v>
      </c>
      <c r="N10163" s="27">
        <v>0.84241332733003149</v>
      </c>
    </row>
    <row r="10164" spans="1:14" hidden="1" outlineLevel="1" x14ac:dyDescent="0.2">
      <c r="A10164" s="23" t="str">
        <f>HYPERLINK("https://www.spark-marketing.ru/Card/Person/74446", "ГБУЗ КО ""КО ЦМП""")</f>
        <v>ГБУЗ КО "КО ЦМП"</v>
      </c>
      <c r="B10164" s="24" t="s">
        <v>386</v>
      </c>
      <c r="C10164" s="25">
        <v>888400</v>
      </c>
      <c r="D10164" s="22" t="s">
        <v>14436</v>
      </c>
      <c r="E10164" s="22" t="s">
        <v>388</v>
      </c>
      <c r="F10164" s="23" t="str">
        <f>HYPERLINK("https://www.spark-marketing.ru/Card/Lot/72448382", "Оказание услуг по размещению видео материалов по здоровому образу жизни, включая здоровое питание и отказ от вредных привычек в эфире областных и городских телерадиокомпаний")</f>
        <v>Оказание услуг по размещению видео материалов по здоровому образу жизни, включая здоровое питание и отказ от вредных привычек в эфире областных и городских телерадиокомпаний</v>
      </c>
      <c r="G10164" s="22" t="s">
        <v>112</v>
      </c>
      <c r="H10164" s="22" t="s">
        <v>389</v>
      </c>
      <c r="I10164" s="26">
        <v>43675.708784722199</v>
      </c>
      <c r="J10164" s="23" t="str">
        <f>HYPERLINK("https://www.spark-marketing.ru/Card/Person/297870", "ООО ""ТРК ""НИКА""""")</f>
        <v>ООО "ТРК "НИКА""</v>
      </c>
      <c r="K10164" s="24" t="s">
        <v>14437</v>
      </c>
      <c r="L10164" s="28" t="s">
        <v>51</v>
      </c>
      <c r="M10164" s="25">
        <v>150000</v>
      </c>
      <c r="N10164" s="27">
        <v>0.83115713642503375</v>
      </c>
    </row>
    <row r="10165" spans="1:14" x14ac:dyDescent="0.2">
      <c r="A10165" s="23" t="str">
        <f>HYPERLINK("https://www.spark-marketing.ru/Card/Person/87494", "ГКОУ ""ВОЛГОГРАДСКАЯ ОШИ № 6""")</f>
        <v>ГКОУ "ВОЛГОГРАДСКАЯ ОШИ № 6"</v>
      </c>
      <c r="B10165" s="24" t="s">
        <v>14438</v>
      </c>
      <c r="C10165" s="25">
        <v>9634590.5</v>
      </c>
      <c r="D10165" s="22" t="s">
        <v>14439</v>
      </c>
      <c r="E10165" s="22" t="s">
        <v>48</v>
      </c>
      <c r="F10165" s="23" t="str">
        <f>HYPERLINK("https://www.spark-marketing.ru/Card/Lot/72456973", "Оказание услуг по обеспечению питанием")</f>
        <v>Оказание услуг по обеспечению питанием</v>
      </c>
      <c r="G10165" s="22" t="s">
        <v>158</v>
      </c>
      <c r="H10165" s="22" t="s">
        <v>171</v>
      </c>
      <c r="I10165" s="26">
        <v>43675.734664351898</v>
      </c>
      <c r="J10165" s="23" t="str">
        <f>HYPERLINK("https://www.spark-marketing.ru/Card/Person/6558293", "ООО ""ВИВО МАРКЕТ""")</f>
        <v>ООО "ВИВО МАРКЕТ"</v>
      </c>
      <c r="K10165" s="24" t="s">
        <v>14440</v>
      </c>
      <c r="L10165" s="28" t="s">
        <v>51</v>
      </c>
      <c r="M10165" s="25">
        <v>9634590.5</v>
      </c>
      <c r="N10165" s="27">
        <v>0</v>
      </c>
    </row>
    <row r="10166" spans="1:14" x14ac:dyDescent="0.15">
      <c r="A10166" s="23" t="str">
        <f>HYPERLINK("https://www.spark-marketing.ru/Card/Person/73440", "ГБПОУ ПТТТИС")</f>
        <v>ГБПОУ ПТТТИС</v>
      </c>
      <c r="B10166" s="24" t="s">
        <v>14441</v>
      </c>
      <c r="C10166" s="25">
        <v>5134000</v>
      </c>
      <c r="D10166" s="22" t="s">
        <v>14442</v>
      </c>
      <c r="E10166" s="22" t="s">
        <v>96</v>
      </c>
      <c r="F10166" s="23" t="str">
        <f>HYPERLINK("https://www.spark-marketing.ru/Card/Lot/72459670", "Оказание услуг по организации ежедневного четырехразового питания при проведении 3 смены Северо-Кавказского молодежного форума «Машук» в 2019 году для обеспечения государственных нужд Ставропольского края")</f>
        <v>Оказание услуг по организации ежедневного четырехразового питания при проведении 3 смены Северо-Кавказского молодежного форума «Машук» в 2019 году для обеспечения государственных нужд Ставропольского края</v>
      </c>
      <c r="G10166" s="22" t="s">
        <v>87</v>
      </c>
      <c r="H10166" s="22" t="s">
        <v>5826</v>
      </c>
      <c r="I10166" s="26">
        <v>43675.694039351903</v>
      </c>
      <c r="J10166" s="28" t="s">
        <v>51</v>
      </c>
      <c r="K10166" s="28" t="s">
        <v>51</v>
      </c>
      <c r="L10166" s="28" t="s">
        <v>51</v>
      </c>
      <c r="M10166" s="28" t="s">
        <v>51</v>
      </c>
      <c r="N10166" s="28" t="s">
        <v>51</v>
      </c>
    </row>
    <row r="10167" spans="1:14" hidden="1" outlineLevel="1" x14ac:dyDescent="0.2">
      <c r="A10167" s="23" t="str">
        <f>HYPERLINK("https://www.spark-marketing.ru/Card/Person/73440", "ГБПОУ ПТТТИС")</f>
        <v>ГБПОУ ПТТТИС</v>
      </c>
      <c r="B10167" s="24" t="s">
        <v>14441</v>
      </c>
      <c r="C10167" s="25">
        <v>5134000</v>
      </c>
      <c r="D10167" s="22" t="s">
        <v>14442</v>
      </c>
      <c r="E10167" s="22" t="s">
        <v>96</v>
      </c>
      <c r="F10167" s="23" t="str">
        <f>HYPERLINK("https://www.spark-marketing.ru/Card/Lot/72459670", "Оказание услуг по организации ежедневного четырехразового питания при проведении 3 смены Северо-Кавказского молодежного форума «Машук» в 2019 году для обеспечения государственных нужд Ставропольского края")</f>
        <v>Оказание услуг по организации ежедневного четырехразового питания при проведении 3 смены Северо-Кавказского молодежного форума «Машук» в 2019 году для обеспечения государственных нужд Ставропольского края</v>
      </c>
      <c r="G10167" s="22" t="s">
        <v>87</v>
      </c>
      <c r="H10167" s="22" t="s">
        <v>5826</v>
      </c>
      <c r="I10167" s="26">
        <v>43675.694039351903</v>
      </c>
      <c r="J10167" s="23" t="str">
        <f>HYPERLINK("https://www.spark-marketing.ru/Card/Person/4935875", "ООО ""ЛОТОС""")</f>
        <v>ООО "ЛОТОС"</v>
      </c>
      <c r="K10167" s="24" t="s">
        <v>14443</v>
      </c>
      <c r="L10167" s="28" t="s">
        <v>51</v>
      </c>
      <c r="M10167" s="25">
        <v>5108330</v>
      </c>
      <c r="N10167" s="27">
        <v>5.0000000000000001E-3</v>
      </c>
    </row>
    <row r="10168" spans="1:14" ht="12.75" hidden="1" outlineLevel="1" x14ac:dyDescent="0.2">
      <c r="A10168" s="23" t="str">
        <f>HYPERLINK("https://www.spark-marketing.ru/Card/Person/73440", "ГБПОУ ПТТТИС")</f>
        <v>ГБПОУ ПТТТИС</v>
      </c>
      <c r="B10168" s="24" t="s">
        <v>14441</v>
      </c>
      <c r="C10168" s="25">
        <v>5134000</v>
      </c>
      <c r="D10168" s="22" t="s">
        <v>14442</v>
      </c>
      <c r="E10168" s="22" t="s">
        <v>96</v>
      </c>
      <c r="F10168" s="23" t="str">
        <f>HYPERLINK("https://www.spark-marketing.ru/Card/Lot/72459670", "Оказание услуг по организации ежедневного четырехразового питания при проведении 3 смены Северо-Кавказского молодежного форума «Машук» в 2019 году для обеспечения государственных нужд Ставропольского края")</f>
        <v>Оказание услуг по организации ежедневного четырехразового питания при проведении 3 смены Северо-Кавказского молодежного форума «Машук» в 2019 году для обеспечения государственных нужд Ставропольского края</v>
      </c>
      <c r="G10168" s="22" t="s">
        <v>87</v>
      </c>
      <c r="H10168" s="22" t="s">
        <v>5826</v>
      </c>
      <c r="I10168" s="26">
        <v>43675.694039351903</v>
      </c>
      <c r="J10168" s="23" t="str">
        <f>HYPERLINK("https://www.spark-marketing.ru/Card/Person/5900766", "ООО ""АЛЬЯНС""")</f>
        <v>ООО "АЛЬЯНС"</v>
      </c>
      <c r="K10168" s="24" t="s">
        <v>14444</v>
      </c>
      <c r="L10168" s="22" t="s">
        <v>10</v>
      </c>
      <c r="M10168" s="25">
        <v>5082660</v>
      </c>
      <c r="N10168" s="27">
        <v>0.01</v>
      </c>
    </row>
    <row r="10169" spans="1:14" x14ac:dyDescent="0.15">
      <c r="A10169" s="23" t="str">
        <f>HYPERLINK("https://www.spark-marketing.ru/Card/Person/118145", "ГБУ РС (Я) ""ВЕРХНЕКОЛЫМСКАЯ ЦРБ""")</f>
        <v>ГБУ РС (Я) "ВЕРХНЕКОЛЫМСКАЯ ЦРБ"</v>
      </c>
      <c r="B10169" s="24" t="s">
        <v>14445</v>
      </c>
      <c r="C10169" s="25">
        <v>129000</v>
      </c>
      <c r="D10169" s="22" t="s">
        <v>14446</v>
      </c>
      <c r="E10169" s="22" t="s">
        <v>51</v>
      </c>
      <c r="F10169" s="23" t="str">
        <f>HYPERLINK("https://www.spark-marketing.ru/Card/Lot/72457861", "Поставка специализированного пищевого продукта в виде витаминно-минерального комплекса")</f>
        <v>Поставка специализированного пищевого продукта в виде витаминно-минерального комплекса</v>
      </c>
      <c r="G10169" s="22" t="s">
        <v>241</v>
      </c>
      <c r="H10169" s="22" t="s">
        <v>13890</v>
      </c>
      <c r="I10169" s="26">
        <v>43675.702546296299</v>
      </c>
      <c r="J10169" s="23" t="str">
        <f>HYPERLINK("https://www.spark-marketing.ru/Card/Person/5794950", "ООО ""МИНЕРАЛФАРМ""")</f>
        <v>ООО "МИНЕРАЛФАРМ"</v>
      </c>
      <c r="K10169" s="24" t="s">
        <v>14447</v>
      </c>
      <c r="L10169" s="22" t="s">
        <v>10</v>
      </c>
      <c r="M10169" s="28" t="s">
        <v>51</v>
      </c>
      <c r="N10169" s="28" t="s">
        <v>51</v>
      </c>
    </row>
    <row r="10170" spans="1:14" x14ac:dyDescent="0.15">
      <c r="A10170" s="23" t="str">
        <f>HYPERLINK("https://www.spark-marketing.ru/Card/Person/1343922", "ФЛ ""КАЭР"" АО ""Атомэнергоремонт""")</f>
        <v>ФЛ "КАЭР" АО "Атомэнергоремонт"</v>
      </c>
      <c r="B10170" s="24" t="s">
        <v>14448</v>
      </c>
      <c r="C10170" s="28" t="s">
        <v>51</v>
      </c>
      <c r="D10170" s="22" t="s">
        <v>14449</v>
      </c>
      <c r="E10170" s="22" t="s">
        <v>48</v>
      </c>
      <c r="F10170" s="23" t="str">
        <f>HYPERLINK("https://www.spark-marketing.ru/Card/Lot/72445266", "Оказание услуг по организации лечебно-профилактического питания для персонала «Калининатомэнергоремонт» - филиала АО «Атомэнергоремонт")</f>
        <v>Оказание услуг по организации лечебно-профилактического питания для персонала «Калининатомэнергоремонт» - филиала АО «Атомэнергоремонт</v>
      </c>
      <c r="G10170" s="22" t="s">
        <v>56</v>
      </c>
      <c r="H10170" s="22" t="s">
        <v>56</v>
      </c>
      <c r="I10170" s="26">
        <v>43675.688449074099</v>
      </c>
      <c r="J10170" s="28" t="s">
        <v>51</v>
      </c>
      <c r="K10170" s="28" t="s">
        <v>51</v>
      </c>
      <c r="L10170" s="28" t="s">
        <v>51</v>
      </c>
      <c r="M10170" s="28" t="s">
        <v>51</v>
      </c>
      <c r="N10170" s="28" t="s">
        <v>51</v>
      </c>
    </row>
    <row r="10171" spans="1:14" x14ac:dyDescent="0.15">
      <c r="A10171" s="23" t="str">
        <f>HYPERLINK("https://www.spark-marketing.ru/Card/Person/121861", "ГБУ ВО ""ОМЦ""")</f>
        <v>ГБУ ВО "ОМЦ"</v>
      </c>
      <c r="B10171" s="24" t="s">
        <v>79</v>
      </c>
      <c r="C10171" s="25">
        <v>591800</v>
      </c>
      <c r="D10171" s="22" t="s">
        <v>14450</v>
      </c>
      <c r="E10171" s="22" t="s">
        <v>81</v>
      </c>
      <c r="F10171" s="23" t="str">
        <f>HYPERLINK("https://www.spark-marketing.ru/Card/Lot/72457597", "2019-04948/Оказание услуг по организации проживания с питанием участников и организаторов Всероссийского детско-юношеского военно-патриотического общественного движения ""Юнармия""")</f>
        <v>2019-04948/Оказание услуг по организации проживания с питанием участников и организаторов Всероссийского детско-юношеского военно-патриотического общественного движения "Юнармия"</v>
      </c>
      <c r="G10171" s="22" t="s">
        <v>82</v>
      </c>
      <c r="H10171" s="22" t="s">
        <v>83</v>
      </c>
      <c r="I10171" s="26">
        <v>43675.672175925902</v>
      </c>
      <c r="J10171" s="23" t="str">
        <f>HYPERLINK("https://www.spark-marketing.ru/Card/Person/336101", "ООО ""КОМФОРТ""")</f>
        <v>ООО "КОМФОРТ"</v>
      </c>
      <c r="K10171" s="24" t="s">
        <v>4486</v>
      </c>
      <c r="L10171" s="22" t="s">
        <v>10</v>
      </c>
      <c r="M10171" s="28" t="s">
        <v>51</v>
      </c>
      <c r="N10171" s="28" t="s">
        <v>51</v>
      </c>
    </row>
    <row r="10172" spans="1:14" ht="12.75" x14ac:dyDescent="0.2">
      <c r="A10172" s="23" t="str">
        <f>HYPERLINK("https://www.spark-marketing.ru/Card/Person/266871", "ДЕПАРТАМЕНТ ФИНАНСОВ АДМИНИСТРАЦИИ ВОЛГОГРАДА")</f>
        <v>ДЕПАРТАМЕНТ ФИНАНСОВ АДМИНИСТРАЦИИ ВОЛГОГРАДА</v>
      </c>
      <c r="B10172" s="24" t="s">
        <v>14451</v>
      </c>
      <c r="C10172" s="25">
        <v>92933.24</v>
      </c>
      <c r="D10172" s="22" t="s">
        <v>14452</v>
      </c>
      <c r="E10172" s="22" t="s">
        <v>152</v>
      </c>
      <c r="F10172" s="23" t="str">
        <f>HYPERLINK("https://www.spark-marketing.ru/Card/Lot/72456407", "Оказание услуг по ремонту источников бесперебойного питания")</f>
        <v>Оказание услуг по ремонту источников бесперебойного питания</v>
      </c>
      <c r="G10172" s="22" t="s">
        <v>158</v>
      </c>
      <c r="H10172" s="22" t="s">
        <v>171</v>
      </c>
      <c r="I10172" s="26">
        <v>43675.686064814799</v>
      </c>
      <c r="J10172" s="23" t="str">
        <f>HYPERLINK("https://www.spark-marketing.ru/Card/Person/179436", "ООО ""АСЭС""")</f>
        <v>ООО "АСЭС"</v>
      </c>
      <c r="K10172" s="24" t="s">
        <v>11701</v>
      </c>
      <c r="L10172" s="22" t="s">
        <v>10</v>
      </c>
      <c r="M10172" s="25">
        <v>80000</v>
      </c>
      <c r="N10172" s="27">
        <v>0.13916699772869212</v>
      </c>
    </row>
    <row r="10173" spans="1:14" x14ac:dyDescent="0.15">
      <c r="A10173" s="23" t="str">
        <f>HYPERLINK("https://www.spark-marketing.ru/Card/Person/20208", "КГБУЗ ККОКБ ИМ. ПРОФЕССОРА П.Г.МАКАРОВА")</f>
        <v>КГБУЗ ККОКБ ИМ. ПРОФЕССОРА П.Г.МАКАРОВА</v>
      </c>
      <c r="B10173" s="24" t="s">
        <v>1784</v>
      </c>
      <c r="C10173" s="25">
        <v>499961.25</v>
      </c>
      <c r="D10173" s="22" t="s">
        <v>14453</v>
      </c>
      <c r="E10173" s="22" t="s">
        <v>48</v>
      </c>
      <c r="F10173" s="23" t="str">
        <f>HYPERLINK("https://www.spark-marketing.ru/Card/Lot/72453033", "Услуги по организации и обеспечению питанием пациентов стационара (взрослых и детей)")</f>
        <v>Услуги по организации и обеспечению питанием пациентов стационара (взрослых и детей)</v>
      </c>
      <c r="G10173" s="22" t="s">
        <v>281</v>
      </c>
      <c r="H10173" s="22" t="s">
        <v>1036</v>
      </c>
      <c r="I10173" s="26">
        <v>43675.702685185199</v>
      </c>
      <c r="J10173" s="23" t="str">
        <f>HYPERLINK("https://www.spark-marketing.ru/Card/Person/10897", "КГБУЗ ККБ")</f>
        <v>КГБУЗ ККБ</v>
      </c>
      <c r="K10173" s="24" t="s">
        <v>1786</v>
      </c>
      <c r="L10173" s="22" t="s">
        <v>10</v>
      </c>
      <c r="M10173" s="28" t="s">
        <v>51</v>
      </c>
      <c r="N10173" s="28" t="s">
        <v>51</v>
      </c>
    </row>
    <row r="10174" spans="1:14" x14ac:dyDescent="0.15">
      <c r="A10174" s="23" t="str">
        <f>HYPERLINK("https://www.spark-marketing.ru/Card/Person/4369400", "ООО АВИАПРЕДПРИЯТИЕ ""ГАЗПРОМ АВИА""")</f>
        <v>ООО АВИАПРЕДПРИЯТИЕ "ГАЗПРОМ АВИА"</v>
      </c>
      <c r="B10174" s="24" t="s">
        <v>1724</v>
      </c>
      <c r="C10174" s="25">
        <v>13941</v>
      </c>
      <c r="D10174" s="22" t="s">
        <v>14454</v>
      </c>
      <c r="E10174" s="22" t="s">
        <v>1726</v>
      </c>
      <c r="F10174" s="23" t="str">
        <f>HYPERLINK("https://www.spark-marketing.ru/Card/Lot/72462201", "оплата по счетам №79 за услуги по обеспечению бортовым питанием в а/п г. Курган")</f>
        <v>оплата по счетам №79 за услуги по обеспечению бортовым питанием в а/п г. Курган</v>
      </c>
      <c r="G10174" s="22" t="s">
        <v>56</v>
      </c>
      <c r="H10174" s="22" t="s">
        <v>56</v>
      </c>
      <c r="I10174" s="26">
        <v>43675.687696759298</v>
      </c>
      <c r="J10174" s="28" t="s">
        <v>51</v>
      </c>
      <c r="K10174" s="28" t="s">
        <v>51</v>
      </c>
      <c r="L10174" s="28" t="s">
        <v>51</v>
      </c>
      <c r="M10174" s="28" t="s">
        <v>51</v>
      </c>
      <c r="N10174" s="28" t="s">
        <v>51</v>
      </c>
    </row>
    <row r="10175" spans="1:14" x14ac:dyDescent="0.15">
      <c r="A10175" s="23" t="str">
        <f>HYPERLINK("https://www.spark-marketing.ru/Card/Person/4369400", "ООО АВИАПРЕДПРИЯТИЕ ""ГАЗПРОМ АВИА""")</f>
        <v>ООО АВИАПРЕДПРИЯТИЕ "ГАЗПРОМ АВИА"</v>
      </c>
      <c r="B10175" s="24" t="s">
        <v>1724</v>
      </c>
      <c r="C10175" s="25">
        <v>62033898.299999997</v>
      </c>
      <c r="D10175" s="22" t="s">
        <v>14455</v>
      </c>
      <c r="E10175" s="22" t="s">
        <v>1726</v>
      </c>
      <c r="F10175" s="23" t="str">
        <f>HYPERLINK("https://www.spark-marketing.ru/Card/Lot/72462217", "оказание услуг по обеспечению пассажиров и экипажей воздушных судов бортовым питанием в а/п г. Новый Уренгой.")</f>
        <v>оказание услуг по обеспечению пассажиров и экипажей воздушных судов бортовым питанием в а/п г. Новый Уренгой.</v>
      </c>
      <c r="G10175" s="22" t="s">
        <v>56</v>
      </c>
      <c r="H10175" s="22" t="s">
        <v>56</v>
      </c>
      <c r="I10175" s="26">
        <v>43675.694432870398</v>
      </c>
      <c r="J10175" s="28" t="s">
        <v>51</v>
      </c>
      <c r="K10175" s="28" t="s">
        <v>51</v>
      </c>
      <c r="L10175" s="28" t="s">
        <v>51</v>
      </c>
      <c r="M10175" s="28" t="s">
        <v>51</v>
      </c>
      <c r="N10175" s="28" t="s">
        <v>51</v>
      </c>
    </row>
    <row r="10176" spans="1:14" x14ac:dyDescent="0.15">
      <c r="A10176" s="23" t="str">
        <f>HYPERLINK("https://www.spark-marketing.ru/Card/Person/1343922", "ФЛ ""КАЭР"" АО ""Атомэнергоремонт""")</f>
        <v>ФЛ "КАЭР" АО "Атомэнергоремонт"</v>
      </c>
      <c r="B10176" s="24" t="s">
        <v>14448</v>
      </c>
      <c r="C10176" s="25">
        <v>0</v>
      </c>
      <c r="D10176" s="22" t="s">
        <v>14456</v>
      </c>
      <c r="E10176" s="22" t="s">
        <v>52</v>
      </c>
      <c r="F10176" s="23" t="str">
        <f>HYPERLINK("https://www.spark-marketing.ru/Card/Lot/72446027", "мониторинг цен в электронной форме на Оказание услуг по организации лечебно-профилактического питания для персонала «Калининатомэнергоремонт» - филиала АО «Атомэнергоремонт")</f>
        <v>мониторинг цен в электронной форме на Оказание услуг по организации лечебно-профилактического питания для персонала «Калининатомэнергоремонт» - филиала АО «Атомэнергоремонт</v>
      </c>
      <c r="G10176" s="22" t="s">
        <v>56</v>
      </c>
      <c r="H10176" s="22" t="s">
        <v>56</v>
      </c>
      <c r="I10176" s="26">
        <v>43675.688368055598</v>
      </c>
      <c r="J10176" s="28" t="s">
        <v>51</v>
      </c>
      <c r="K10176" s="28" t="s">
        <v>51</v>
      </c>
      <c r="L10176" s="28" t="s">
        <v>51</v>
      </c>
      <c r="M10176" s="28" t="s">
        <v>51</v>
      </c>
      <c r="N10176" s="28" t="s">
        <v>51</v>
      </c>
    </row>
    <row r="10177" spans="1:14" x14ac:dyDescent="0.15">
      <c r="A10177" s="23" t="str">
        <f>HYPERLINK("https://www.spark-marketing.ru/Card/Person/997482", "ГБПОУ ПО ""ОМК""")</f>
        <v>ГБПОУ ПО "ОМК"</v>
      </c>
      <c r="B10177" s="24" t="s">
        <v>14457</v>
      </c>
      <c r="C10177" s="25">
        <v>421875</v>
      </c>
      <c r="D10177" s="22" t="s">
        <v>14458</v>
      </c>
      <c r="E10177" s="22" t="s">
        <v>96</v>
      </c>
      <c r="F10177" s="23" t="str">
        <f>HYPERLINK("https://www.spark-marketing.ru/Card/Lot/72459665", "Услуги по организации горячего питания (идентификационный номер: 4418-А-ГЗ-Л)")</f>
        <v>Услуги по организации горячего питания (идентификационный номер: 4418-А-ГЗ-Л)</v>
      </c>
      <c r="G10177" s="22" t="s">
        <v>415</v>
      </c>
      <c r="H10177" s="22" t="s">
        <v>3733</v>
      </c>
      <c r="I10177" s="26">
        <v>43675.668981481504</v>
      </c>
      <c r="J10177" s="23" t="str">
        <f>HYPERLINK("https://www.spark-marketing.ru/Card/Person/1427631", "Иванов Виктор Алексеевич")</f>
        <v>Иванов Виктор Алексеевич</v>
      </c>
      <c r="K10177" s="24" t="s">
        <v>12977</v>
      </c>
      <c r="L10177" s="22" t="s">
        <v>10</v>
      </c>
      <c r="M10177" s="28" t="s">
        <v>51</v>
      </c>
      <c r="N10177" s="28" t="s">
        <v>51</v>
      </c>
    </row>
    <row r="10178" spans="1:14" ht="12.75" x14ac:dyDescent="0.2">
      <c r="A10178" s="23" t="str">
        <f>HYPERLINK("https://www.spark-marketing.ru/Card/Person/1081527", "МБОУ ""ПУШНОВСКАЯ СОШ""")</f>
        <v>МБОУ "ПУШНОВСКАЯ СОШ"</v>
      </c>
      <c r="B10178" s="24" t="s">
        <v>14459</v>
      </c>
      <c r="C10178" s="25">
        <v>491656.5</v>
      </c>
      <c r="D10178" s="22" t="s">
        <v>14460</v>
      </c>
      <c r="E10178" s="22" t="s">
        <v>48</v>
      </c>
      <c r="F10178" s="23" t="str">
        <f>HYPERLINK("https://www.spark-marketing.ru/Card/Lot/72453709", "Оказание услуг по организации питания для льготных категорий обучающихся и обеспечению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обеспечению молоком (кисломолочными продуктами) обучающихся 1-4 классов</v>
      </c>
      <c r="G10178" s="22" t="s">
        <v>162</v>
      </c>
      <c r="H10178" s="22" t="s">
        <v>5558</v>
      </c>
      <c r="I10178" s="26">
        <v>43675.704826388901</v>
      </c>
      <c r="J10178" s="23" t="str">
        <f>HYPERLINK("https://www.spark-marketing.ru/Card/Person/42095", "ООО ""КОМБИНАТ СОЦИАЛЬНОГО ПИТАНИЯ""")</f>
        <v>ООО "КОМБИНАТ СОЦИАЛЬНОГО ПИТАНИЯ"</v>
      </c>
      <c r="K10178" s="24" t="s">
        <v>12318</v>
      </c>
      <c r="L10178" s="22" t="s">
        <v>10</v>
      </c>
      <c r="M10178" s="25">
        <v>491656.5</v>
      </c>
      <c r="N10178" s="27">
        <v>0</v>
      </c>
    </row>
    <row r="10179" spans="1:14" x14ac:dyDescent="0.15">
      <c r="A10179" s="23" t="s">
        <v>114</v>
      </c>
      <c r="B10179" s="28" t="s">
        <v>51</v>
      </c>
      <c r="C10179" s="25">
        <v>15407257.59</v>
      </c>
      <c r="D10179" s="22" t="s">
        <v>14461</v>
      </c>
      <c r="E10179" s="22" t="s">
        <v>48</v>
      </c>
      <c r="F10179" s="23" t="str">
        <f t="shared" ref="F10179:F10207" si="263">HYPERLINK("https://www.spark-marketing.ru/Card/Lot/72459218", "Оказание услуг по организации питания на 2 полугодие 2019 года для образовательных учреждений Альметьевского муниципального района")</f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79" s="22" t="s">
        <v>51</v>
      </c>
      <c r="H10179" s="22" t="s">
        <v>51</v>
      </c>
      <c r="I10179" s="26">
        <v>43675.704907407402</v>
      </c>
      <c r="J10179" s="28" t="s">
        <v>51</v>
      </c>
      <c r="K10179" s="28" t="s">
        <v>51</v>
      </c>
      <c r="L10179" s="28" t="s">
        <v>51</v>
      </c>
      <c r="M10179" s="28" t="s">
        <v>51</v>
      </c>
      <c r="N10179" s="28" t="s">
        <v>51</v>
      </c>
    </row>
    <row r="10180" spans="1:14" hidden="1" outlineLevel="1" x14ac:dyDescent="0.15">
      <c r="A10180" s="23" t="str">
        <f>HYPERLINK("https://www.spark-marketing.ru/Card/Person/256022", "МБОУ ""СОШ №15"" Г.АЛЬМЕТЬЕВСКА")</f>
        <v>МБОУ "СОШ №15" Г.АЛЬМЕТЬЕВСКА</v>
      </c>
      <c r="B10180" s="24" t="s">
        <v>14462</v>
      </c>
      <c r="C10180" s="25">
        <v>1684383.2</v>
      </c>
      <c r="D10180" s="22" t="s">
        <v>14461</v>
      </c>
      <c r="E10180" s="22" t="s">
        <v>48</v>
      </c>
      <c r="F10180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80" s="22" t="s">
        <v>217</v>
      </c>
      <c r="H10180" s="22" t="s">
        <v>9289</v>
      </c>
      <c r="I10180" s="26">
        <v>43675.704907407402</v>
      </c>
      <c r="J10180" s="28" t="s">
        <v>51</v>
      </c>
      <c r="K10180" s="28" t="s">
        <v>51</v>
      </c>
      <c r="L10180" s="28" t="s">
        <v>51</v>
      </c>
      <c r="M10180" s="28" t="s">
        <v>51</v>
      </c>
      <c r="N10180" s="28" t="s">
        <v>51</v>
      </c>
    </row>
    <row r="10181" spans="1:14" hidden="1" outlineLevel="1" x14ac:dyDescent="0.15">
      <c r="A10181" s="23" t="str">
        <f>HYPERLINK("https://www.spark-marketing.ru/Card/Person/256057", "МБДОУ ""Д/С №23 ""МАЛЫШ""")</f>
        <v>МБДОУ "Д/С №23 "МАЛЫШ"</v>
      </c>
      <c r="B10181" s="24" t="s">
        <v>14463</v>
      </c>
      <c r="C10181" s="25">
        <v>2068144</v>
      </c>
      <c r="D10181" s="22" t="s">
        <v>14461</v>
      </c>
      <c r="E10181" s="22" t="s">
        <v>48</v>
      </c>
      <c r="F10181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81" s="22" t="s">
        <v>217</v>
      </c>
      <c r="H10181" s="22" t="s">
        <v>9289</v>
      </c>
      <c r="I10181" s="26">
        <v>43675.704907407402</v>
      </c>
      <c r="J10181" s="28" t="s">
        <v>51</v>
      </c>
      <c r="K10181" s="28" t="s">
        <v>51</v>
      </c>
      <c r="L10181" s="28" t="s">
        <v>51</v>
      </c>
      <c r="M10181" s="28" t="s">
        <v>51</v>
      </c>
      <c r="N10181" s="28" t="s">
        <v>51</v>
      </c>
    </row>
    <row r="10182" spans="1:14" hidden="1" outlineLevel="1" x14ac:dyDescent="0.15">
      <c r="A10182" s="23" t="str">
        <f>HYPERLINK("https://www.spark-marketing.ru/Card/Person/257785", "МБДОУ ""Д/С ""ТИРЭК"" С. УРСАЛАБАШ""")</f>
        <v>МБДОУ "Д/С "ТИРЭК" С. УРСАЛАБАШ"</v>
      </c>
      <c r="B10182" s="24" t="s">
        <v>14464</v>
      </c>
      <c r="C10182" s="25">
        <v>108101.75999999999</v>
      </c>
      <c r="D10182" s="22" t="s">
        <v>14461</v>
      </c>
      <c r="E10182" s="22" t="s">
        <v>48</v>
      </c>
      <c r="F10182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82" s="22" t="s">
        <v>217</v>
      </c>
      <c r="H10182" s="22" t="s">
        <v>9294</v>
      </c>
      <c r="I10182" s="26">
        <v>43675.704907407402</v>
      </c>
      <c r="J10182" s="28" t="s">
        <v>51</v>
      </c>
      <c r="K10182" s="28" t="s">
        <v>51</v>
      </c>
      <c r="L10182" s="28" t="s">
        <v>51</v>
      </c>
      <c r="M10182" s="28" t="s">
        <v>51</v>
      </c>
      <c r="N10182" s="28" t="s">
        <v>51</v>
      </c>
    </row>
    <row r="10183" spans="1:14" hidden="1" outlineLevel="1" x14ac:dyDescent="0.15">
      <c r="A10183" s="23" t="str">
        <f>HYPERLINK("https://www.spark-marketing.ru/Card/Person/257794", "МБДОУ ""Д/С ""СОЛНЫШКО"" С. НОВОНИКОЛЬСК""")</f>
        <v>МБДОУ "Д/С "СОЛНЫШКО" С. НОВОНИКОЛЬСК"</v>
      </c>
      <c r="B10183" s="24" t="s">
        <v>10596</v>
      </c>
      <c r="C10183" s="25">
        <v>241072</v>
      </c>
      <c r="D10183" s="22" t="s">
        <v>14461</v>
      </c>
      <c r="E10183" s="22" t="s">
        <v>48</v>
      </c>
      <c r="F10183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83" s="22" t="s">
        <v>217</v>
      </c>
      <c r="H10183" s="22" t="s">
        <v>9294</v>
      </c>
      <c r="I10183" s="26">
        <v>43675.704907407402</v>
      </c>
      <c r="J10183" s="28" t="s">
        <v>51</v>
      </c>
      <c r="K10183" s="28" t="s">
        <v>51</v>
      </c>
      <c r="L10183" s="28" t="s">
        <v>51</v>
      </c>
      <c r="M10183" s="28" t="s">
        <v>51</v>
      </c>
      <c r="N10183" s="28" t="s">
        <v>51</v>
      </c>
    </row>
    <row r="10184" spans="1:14" hidden="1" outlineLevel="1" x14ac:dyDescent="0.15">
      <c r="A10184" s="23" t="str">
        <f>HYPERLINK("https://www.spark-marketing.ru/Card/Person/257806", "МБДОУ ""ЦРР - Д/С № 22 ""АЛСУ""")</f>
        <v>МБДОУ "ЦРР - Д/С № 22 "АЛСУ"</v>
      </c>
      <c r="B10184" s="24" t="s">
        <v>14465</v>
      </c>
      <c r="C10184" s="25">
        <v>2753296</v>
      </c>
      <c r="D10184" s="22" t="s">
        <v>14461</v>
      </c>
      <c r="E10184" s="22" t="s">
        <v>48</v>
      </c>
      <c r="F10184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84" s="22" t="s">
        <v>217</v>
      </c>
      <c r="H10184" s="22" t="s">
        <v>9289</v>
      </c>
      <c r="I10184" s="26">
        <v>43675.704907407402</v>
      </c>
      <c r="J10184" s="28" t="s">
        <v>51</v>
      </c>
      <c r="K10184" s="28" t="s">
        <v>51</v>
      </c>
      <c r="L10184" s="28" t="s">
        <v>51</v>
      </c>
      <c r="M10184" s="28" t="s">
        <v>51</v>
      </c>
      <c r="N10184" s="28" t="s">
        <v>51</v>
      </c>
    </row>
    <row r="10185" spans="1:14" hidden="1" outlineLevel="1" x14ac:dyDescent="0.15">
      <c r="A10185" s="23" t="str">
        <f>HYPERLINK("https://www.spark-marketing.ru/Card/Person/257810", "МБДОУ ""Д/С № 53 ""СВЕТОФОРИК""")</f>
        <v>МБДОУ "Д/С № 53 "СВЕТОФОРИК"</v>
      </c>
      <c r="B10185" s="24" t="s">
        <v>14466</v>
      </c>
      <c r="C10185" s="25">
        <v>1930500.48</v>
      </c>
      <c r="D10185" s="22" t="s">
        <v>14461</v>
      </c>
      <c r="E10185" s="22" t="s">
        <v>48</v>
      </c>
      <c r="F10185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85" s="22" t="s">
        <v>217</v>
      </c>
      <c r="H10185" s="22" t="s">
        <v>9289</v>
      </c>
      <c r="I10185" s="26">
        <v>43675.704907407402</v>
      </c>
      <c r="J10185" s="28" t="s">
        <v>51</v>
      </c>
      <c r="K10185" s="28" t="s">
        <v>51</v>
      </c>
      <c r="L10185" s="28" t="s">
        <v>51</v>
      </c>
      <c r="M10185" s="28" t="s">
        <v>51</v>
      </c>
      <c r="N10185" s="28" t="s">
        <v>51</v>
      </c>
    </row>
    <row r="10186" spans="1:14" hidden="1" outlineLevel="1" x14ac:dyDescent="0.15">
      <c r="A10186" s="23" t="str">
        <f>HYPERLINK("https://www.spark-marketing.ru/Card/Person/257930", "МБДОУ ""Д/С № 21 ""ГВОЗДИКА""")</f>
        <v>МБДОУ "Д/С № 21 "ГВОЗДИКА"</v>
      </c>
      <c r="B10186" s="24" t="s">
        <v>14467</v>
      </c>
      <c r="C10186" s="25">
        <v>1519261.12</v>
      </c>
      <c r="D10186" s="22" t="s">
        <v>14461</v>
      </c>
      <c r="E10186" s="22" t="s">
        <v>48</v>
      </c>
      <c r="F10186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86" s="22" t="s">
        <v>217</v>
      </c>
      <c r="H10186" s="22" t="s">
        <v>9289</v>
      </c>
      <c r="I10186" s="26">
        <v>43675.704907407402</v>
      </c>
      <c r="J10186" s="28" t="s">
        <v>51</v>
      </c>
      <c r="K10186" s="28" t="s">
        <v>51</v>
      </c>
      <c r="L10186" s="28" t="s">
        <v>51</v>
      </c>
      <c r="M10186" s="28" t="s">
        <v>51</v>
      </c>
      <c r="N10186" s="28" t="s">
        <v>51</v>
      </c>
    </row>
    <row r="10187" spans="1:14" hidden="1" outlineLevel="1" x14ac:dyDescent="0.15">
      <c r="A10187" s="23" t="str">
        <f>HYPERLINK("https://www.spark-marketing.ru/Card/Person/257944", "МБДОУ ""Д/С ""КОЛОКОЛЬЧИК"" С. СТАРОЕ СУРКИНО""")</f>
        <v>МБДОУ "Д/С "КОЛОКОЛЬЧИК" С. СТАРОЕ СУРКИНО"</v>
      </c>
      <c r="B10187" s="24" t="s">
        <v>14468</v>
      </c>
      <c r="C10187" s="25">
        <v>286888.59999999998</v>
      </c>
      <c r="D10187" s="22" t="s">
        <v>14461</v>
      </c>
      <c r="E10187" s="22" t="s">
        <v>48</v>
      </c>
      <c r="F10187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87" s="22" t="s">
        <v>217</v>
      </c>
      <c r="H10187" s="22" t="s">
        <v>9294</v>
      </c>
      <c r="I10187" s="26">
        <v>43675.704907407402</v>
      </c>
      <c r="J10187" s="28" t="s">
        <v>51</v>
      </c>
      <c r="K10187" s="28" t="s">
        <v>51</v>
      </c>
      <c r="L10187" s="28" t="s">
        <v>51</v>
      </c>
      <c r="M10187" s="28" t="s">
        <v>51</v>
      </c>
      <c r="N10187" s="28" t="s">
        <v>51</v>
      </c>
    </row>
    <row r="10188" spans="1:14" hidden="1" outlineLevel="1" x14ac:dyDescent="0.15">
      <c r="A10188" s="23" t="str">
        <f>HYPERLINK("https://www.spark-marketing.ru/Card/Person/257963", "МБДОУ ""Д/С ""ЭКИЯТ"" С. СУЛЕЕВО""")</f>
        <v>МБДОУ "Д/С "ЭКИЯТ" С. СУЛЕЕВО"</v>
      </c>
      <c r="B10188" s="24" t="s">
        <v>14469</v>
      </c>
      <c r="C10188" s="25">
        <v>207880.6</v>
      </c>
      <c r="D10188" s="22" t="s">
        <v>14461</v>
      </c>
      <c r="E10188" s="22" t="s">
        <v>48</v>
      </c>
      <c r="F10188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88" s="22" t="s">
        <v>217</v>
      </c>
      <c r="H10188" s="22" t="s">
        <v>9294</v>
      </c>
      <c r="I10188" s="26">
        <v>43675.704907407402</v>
      </c>
      <c r="J10188" s="28" t="s">
        <v>51</v>
      </c>
      <c r="K10188" s="28" t="s">
        <v>51</v>
      </c>
      <c r="L10188" s="28" t="s">
        <v>51</v>
      </c>
      <c r="M10188" s="28" t="s">
        <v>51</v>
      </c>
      <c r="N10188" s="28" t="s">
        <v>51</v>
      </c>
    </row>
    <row r="10189" spans="1:14" hidden="1" outlineLevel="1" x14ac:dyDescent="0.15">
      <c r="A10189" s="23" t="str">
        <f>HYPERLINK("https://www.spark-marketing.ru/Card/Person/257967", "МБДОУ ""ДЕТСКИЙ САД № 2 ""ЛАЛЭ"" С. НОВОЕ КАШИРОВО""")</f>
        <v>МБДОУ "ДЕТСКИЙ САД № 2 "ЛАЛЭ" С. НОВОЕ КАШИРОВО"</v>
      </c>
      <c r="B10189" s="24" t="s">
        <v>14470</v>
      </c>
      <c r="C10189" s="25">
        <v>171781.74</v>
      </c>
      <c r="D10189" s="22" t="s">
        <v>14461</v>
      </c>
      <c r="E10189" s="22" t="s">
        <v>48</v>
      </c>
      <c r="F10189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89" s="22" t="s">
        <v>217</v>
      </c>
      <c r="H10189" s="22" t="s">
        <v>9294</v>
      </c>
      <c r="I10189" s="26">
        <v>43675.704907407402</v>
      </c>
      <c r="J10189" s="28" t="s">
        <v>51</v>
      </c>
      <c r="K10189" s="28" t="s">
        <v>51</v>
      </c>
      <c r="L10189" s="28" t="s">
        <v>51</v>
      </c>
      <c r="M10189" s="28" t="s">
        <v>51</v>
      </c>
      <c r="N10189" s="28" t="s">
        <v>51</v>
      </c>
    </row>
    <row r="10190" spans="1:14" hidden="1" outlineLevel="1" x14ac:dyDescent="0.15">
      <c r="A10190" s="23" t="str">
        <f>HYPERLINK("https://www.spark-marketing.ru/Card/Person/257972", "МБДОУ ""Д/С ""СОЛНЫШКО"" СТ. МИННИБАЕВО""")</f>
        <v>МБДОУ "Д/С "СОЛНЫШКО" СТ. МИННИБАЕВО"</v>
      </c>
      <c r="B10190" s="24" t="s">
        <v>14471</v>
      </c>
      <c r="C10190" s="25">
        <v>287449.05</v>
      </c>
      <c r="D10190" s="22" t="s">
        <v>14461</v>
      </c>
      <c r="E10190" s="22" t="s">
        <v>48</v>
      </c>
      <c r="F10190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90" s="22" t="s">
        <v>217</v>
      </c>
      <c r="H10190" s="22" t="s">
        <v>9294</v>
      </c>
      <c r="I10190" s="26">
        <v>43675.704907407402</v>
      </c>
      <c r="J10190" s="28" t="s">
        <v>51</v>
      </c>
      <c r="K10190" s="28" t="s">
        <v>51</v>
      </c>
      <c r="L10190" s="28" t="s">
        <v>51</v>
      </c>
      <c r="M10190" s="28" t="s">
        <v>51</v>
      </c>
      <c r="N10190" s="28" t="s">
        <v>51</v>
      </c>
    </row>
    <row r="10191" spans="1:14" hidden="1" outlineLevel="1" x14ac:dyDescent="0.15">
      <c r="A10191" s="23" t="str">
        <f>HYPERLINK("https://www.spark-marketing.ru/Card/Person/257973", "МБДОУ ""Д/С № 1 ""КОНБАГЫШ"" С. НОВОЕ КАШИРОВО""")</f>
        <v>МБДОУ "Д/С № 1 "КОНБАГЫШ" С. НОВОЕ КАШИРОВО"</v>
      </c>
      <c r="B10191" s="24" t="s">
        <v>14472</v>
      </c>
      <c r="C10191" s="25">
        <v>361938.88</v>
      </c>
      <c r="D10191" s="22" t="s">
        <v>14461</v>
      </c>
      <c r="E10191" s="22" t="s">
        <v>48</v>
      </c>
      <c r="F10191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91" s="22" t="s">
        <v>217</v>
      </c>
      <c r="H10191" s="22" t="s">
        <v>9294</v>
      </c>
      <c r="I10191" s="26">
        <v>43675.704907407402</v>
      </c>
      <c r="J10191" s="28" t="s">
        <v>51</v>
      </c>
      <c r="K10191" s="28" t="s">
        <v>51</v>
      </c>
      <c r="L10191" s="28" t="s">
        <v>51</v>
      </c>
      <c r="M10191" s="28" t="s">
        <v>51</v>
      </c>
      <c r="N10191" s="28" t="s">
        <v>51</v>
      </c>
    </row>
    <row r="10192" spans="1:14" hidden="1" outlineLevel="1" x14ac:dyDescent="0.15">
      <c r="A10192" s="23" t="str">
        <f>HYPERLINK("https://www.spark-marketing.ru/Card/Person/257977", "МБДОУ ""Д/С ""ТЮЛЬПАН"" Д. ИРЕКЛЕ""")</f>
        <v>МБДОУ "Д/С "ТЮЛЬПАН" Д. ИРЕКЛЕ"</v>
      </c>
      <c r="B10192" s="24" t="s">
        <v>14473</v>
      </c>
      <c r="C10192" s="25">
        <v>195725.02</v>
      </c>
      <c r="D10192" s="22" t="s">
        <v>14461</v>
      </c>
      <c r="E10192" s="22" t="s">
        <v>48</v>
      </c>
      <c r="F10192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92" s="22" t="s">
        <v>217</v>
      </c>
      <c r="H10192" s="22" t="s">
        <v>9294</v>
      </c>
      <c r="I10192" s="26">
        <v>43675.704907407402</v>
      </c>
      <c r="J10192" s="28" t="s">
        <v>51</v>
      </c>
      <c r="K10192" s="28" t="s">
        <v>51</v>
      </c>
      <c r="L10192" s="28" t="s">
        <v>51</v>
      </c>
      <c r="M10192" s="28" t="s">
        <v>51</v>
      </c>
      <c r="N10192" s="28" t="s">
        <v>51</v>
      </c>
    </row>
    <row r="10193" spans="1:14" hidden="1" outlineLevel="1" x14ac:dyDescent="0.15">
      <c r="A10193" s="23" t="str">
        <f>HYPERLINK("https://www.spark-marketing.ru/Card/Person/257981", "МБДОУ ""Д/С № 24 ""КУК ЧЭЧЭК""")</f>
        <v>МБДОУ "Д/С № 24 "КУК ЧЭЧЭК"</v>
      </c>
      <c r="B10193" s="24" t="s">
        <v>14474</v>
      </c>
      <c r="C10193" s="25">
        <v>593417.76</v>
      </c>
      <c r="D10193" s="22" t="s">
        <v>14461</v>
      </c>
      <c r="E10193" s="22" t="s">
        <v>48</v>
      </c>
      <c r="F10193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93" s="22" t="s">
        <v>217</v>
      </c>
      <c r="H10193" s="22" t="s">
        <v>9289</v>
      </c>
      <c r="I10193" s="26">
        <v>43675.704907407402</v>
      </c>
      <c r="J10193" s="28" t="s">
        <v>51</v>
      </c>
      <c r="K10193" s="28" t="s">
        <v>51</v>
      </c>
      <c r="L10193" s="28" t="s">
        <v>51</v>
      </c>
      <c r="M10193" s="28" t="s">
        <v>51</v>
      </c>
      <c r="N10193" s="28" t="s">
        <v>51</v>
      </c>
    </row>
    <row r="10194" spans="1:14" hidden="1" outlineLevel="1" x14ac:dyDescent="0.15">
      <c r="A10194" s="23" t="str">
        <f>HYPERLINK("https://www.spark-marketing.ru/Card/Person/257999", "МБДОУ ""Д/С ""ВАСИЛЕК"" С. НОВАЯ МИХАЙЛОВКА""")</f>
        <v>МБДОУ "Д/С "ВАСИЛЕК" С. НОВАЯ МИХАЙЛОВКА"</v>
      </c>
      <c r="B10194" s="24" t="s">
        <v>14475</v>
      </c>
      <c r="C10194" s="25">
        <v>84705</v>
      </c>
      <c r="D10194" s="22" t="s">
        <v>14461</v>
      </c>
      <c r="E10194" s="22" t="s">
        <v>48</v>
      </c>
      <c r="F10194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94" s="22" t="s">
        <v>217</v>
      </c>
      <c r="H10194" s="22" t="s">
        <v>9294</v>
      </c>
      <c r="I10194" s="26">
        <v>43675.704907407402</v>
      </c>
      <c r="J10194" s="28" t="s">
        <v>51</v>
      </c>
      <c r="K10194" s="28" t="s">
        <v>51</v>
      </c>
      <c r="L10194" s="28" t="s">
        <v>51</v>
      </c>
      <c r="M10194" s="28" t="s">
        <v>51</v>
      </c>
      <c r="N10194" s="28" t="s">
        <v>51</v>
      </c>
    </row>
    <row r="10195" spans="1:14" hidden="1" outlineLevel="1" x14ac:dyDescent="0.15">
      <c r="A10195" s="23" t="str">
        <f>HYPERLINK("https://www.spark-marketing.ru/Card/Person/258001", "МБДОУ ""Д/С ""МИЛЭШ"" С. ТАЙСУГАНОВО""")</f>
        <v>МБДОУ "Д/С "МИЛЭШ" С. ТАЙСУГАНОВО"</v>
      </c>
      <c r="B10195" s="24" t="s">
        <v>14476</v>
      </c>
      <c r="C10195" s="25">
        <v>381916.98</v>
      </c>
      <c r="D10195" s="22" t="s">
        <v>14461</v>
      </c>
      <c r="E10195" s="22" t="s">
        <v>48</v>
      </c>
      <c r="F10195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95" s="22" t="s">
        <v>217</v>
      </c>
      <c r="H10195" s="22" t="s">
        <v>9294</v>
      </c>
      <c r="I10195" s="26">
        <v>43675.704907407402</v>
      </c>
      <c r="J10195" s="28" t="s">
        <v>51</v>
      </c>
      <c r="K10195" s="28" t="s">
        <v>51</v>
      </c>
      <c r="L10195" s="28" t="s">
        <v>51</v>
      </c>
      <c r="M10195" s="28" t="s">
        <v>51</v>
      </c>
      <c r="N10195" s="28" t="s">
        <v>51</v>
      </c>
    </row>
    <row r="10196" spans="1:14" hidden="1" outlineLevel="1" x14ac:dyDescent="0.15">
      <c r="A10196" s="23" t="str">
        <f>HYPERLINK("https://www.spark-marketing.ru/Card/Person/258521", "МБОУ ""СТАРОМИХАЙЛОВСКАЯ СОШ""")</f>
        <v>МБОУ "СТАРОМИХАЙЛОВСКАЯ СОШ"</v>
      </c>
      <c r="B10196" s="24" t="s">
        <v>14477</v>
      </c>
      <c r="C10196" s="25">
        <v>150064.4</v>
      </c>
      <c r="D10196" s="22" t="s">
        <v>14461</v>
      </c>
      <c r="E10196" s="22" t="s">
        <v>48</v>
      </c>
      <c r="F10196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96" s="22" t="s">
        <v>217</v>
      </c>
      <c r="H10196" s="22" t="s">
        <v>9294</v>
      </c>
      <c r="I10196" s="26">
        <v>43675.704907407402</v>
      </c>
      <c r="J10196" s="28" t="s">
        <v>51</v>
      </c>
      <c r="K10196" s="28" t="s">
        <v>51</v>
      </c>
      <c r="L10196" s="28" t="s">
        <v>51</v>
      </c>
      <c r="M10196" s="28" t="s">
        <v>51</v>
      </c>
      <c r="N10196" s="28" t="s">
        <v>51</v>
      </c>
    </row>
    <row r="10197" spans="1:14" hidden="1" outlineLevel="1" x14ac:dyDescent="0.15">
      <c r="A10197" s="23" t="str">
        <f>HYPERLINK("https://www.spark-marketing.ru/Card/Person/259293", "МБОУ ""СОШ №11"" Г.АЛЬМЕТЬЕВСКА")</f>
        <v>МБОУ "СОШ №11" Г.АЛЬМЕТЬЕВСКА</v>
      </c>
      <c r="B10197" s="24" t="s">
        <v>14478</v>
      </c>
      <c r="C10197" s="25">
        <v>1595287.4</v>
      </c>
      <c r="D10197" s="22" t="s">
        <v>14461</v>
      </c>
      <c r="E10197" s="22" t="s">
        <v>48</v>
      </c>
      <c r="F10197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97" s="22" t="s">
        <v>217</v>
      </c>
      <c r="H10197" s="22" t="s">
        <v>9289</v>
      </c>
      <c r="I10197" s="26">
        <v>43675.704907407402</v>
      </c>
      <c r="J10197" s="28" t="s">
        <v>51</v>
      </c>
      <c r="K10197" s="28" t="s">
        <v>51</v>
      </c>
      <c r="L10197" s="28" t="s">
        <v>51</v>
      </c>
      <c r="M10197" s="28" t="s">
        <v>51</v>
      </c>
      <c r="N10197" s="28" t="s">
        <v>51</v>
      </c>
    </row>
    <row r="10198" spans="1:14" hidden="1" outlineLevel="1" x14ac:dyDescent="0.15">
      <c r="A10198" s="23" t="str">
        <f>HYPERLINK("https://www.spark-marketing.ru/Card/Person/259294", "МБОУ ""НОВОКАШИРОВСКАЯ СОШ""")</f>
        <v>МБОУ "НОВОКАШИРОВСКАЯ СОШ"</v>
      </c>
      <c r="B10198" s="24" t="s">
        <v>14479</v>
      </c>
      <c r="C10198" s="25">
        <v>219139.6</v>
      </c>
      <c r="D10198" s="22" t="s">
        <v>14461</v>
      </c>
      <c r="E10198" s="22" t="s">
        <v>48</v>
      </c>
      <c r="F10198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98" s="22" t="s">
        <v>217</v>
      </c>
      <c r="H10198" s="22" t="s">
        <v>9294</v>
      </c>
      <c r="I10198" s="26">
        <v>43675.704907407402</v>
      </c>
      <c r="J10198" s="28" t="s">
        <v>51</v>
      </c>
      <c r="K10198" s="28" t="s">
        <v>51</v>
      </c>
      <c r="L10198" s="28" t="s">
        <v>51</v>
      </c>
      <c r="M10198" s="28" t="s">
        <v>51</v>
      </c>
      <c r="N10198" s="28" t="s">
        <v>51</v>
      </c>
    </row>
    <row r="10199" spans="1:14" hidden="1" outlineLevel="1" x14ac:dyDescent="0.15">
      <c r="A10199" s="23" t="str">
        <f>HYPERLINK("https://www.spark-marketing.ru/Card/Person/259308", "МБОУ ""СТАРОСУРКИНСКАЯ СОШ""")</f>
        <v>МБОУ "СТАРОСУРКИНСКАЯ СОШ"</v>
      </c>
      <c r="B10199" s="24" t="s">
        <v>14480</v>
      </c>
      <c r="C10199" s="25">
        <v>142754</v>
      </c>
      <c r="D10199" s="22" t="s">
        <v>14461</v>
      </c>
      <c r="E10199" s="22" t="s">
        <v>48</v>
      </c>
      <c r="F10199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199" s="22" t="s">
        <v>217</v>
      </c>
      <c r="H10199" s="22" t="s">
        <v>9294</v>
      </c>
      <c r="I10199" s="26">
        <v>43675.704907407402</v>
      </c>
      <c r="J10199" s="28" t="s">
        <v>51</v>
      </c>
      <c r="K10199" s="28" t="s">
        <v>51</v>
      </c>
      <c r="L10199" s="28" t="s">
        <v>51</v>
      </c>
      <c r="M10199" s="28" t="s">
        <v>51</v>
      </c>
      <c r="N10199" s="28" t="s">
        <v>51</v>
      </c>
    </row>
    <row r="10200" spans="1:14" hidden="1" outlineLevel="1" x14ac:dyDescent="0.15">
      <c r="A10200" s="23" t="str">
        <f>HYPERLINK("https://www.spark-marketing.ru/Card/Person/259312", "МБОУ ""СУЛЕЕВСКАЯ СОШ""")</f>
        <v>МБОУ "СУЛЕЕВСКАЯ СОШ"</v>
      </c>
      <c r="B10200" s="24" t="s">
        <v>14481</v>
      </c>
      <c r="C10200" s="25">
        <v>89085.4</v>
      </c>
      <c r="D10200" s="22" t="s">
        <v>14461</v>
      </c>
      <c r="E10200" s="22" t="s">
        <v>48</v>
      </c>
      <c r="F10200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00" s="22" t="s">
        <v>217</v>
      </c>
      <c r="H10200" s="22" t="s">
        <v>9294</v>
      </c>
      <c r="I10200" s="26">
        <v>43675.704907407402</v>
      </c>
      <c r="J10200" s="28" t="s">
        <v>51</v>
      </c>
      <c r="K10200" s="28" t="s">
        <v>51</v>
      </c>
      <c r="L10200" s="28" t="s">
        <v>51</v>
      </c>
      <c r="M10200" s="28" t="s">
        <v>51</v>
      </c>
      <c r="N10200" s="28" t="s">
        <v>51</v>
      </c>
    </row>
    <row r="10201" spans="1:14" hidden="1" outlineLevel="1" x14ac:dyDescent="0.15">
      <c r="A10201" s="23" t="str">
        <f>HYPERLINK("https://www.spark-marketing.ru/Card/Person/259314", "МБОУ ""НОВОСУРКИНСКАЯ ООШ""")</f>
        <v>МБОУ "НОВОСУРКИНСКАЯ ООШ"</v>
      </c>
      <c r="B10201" s="24" t="s">
        <v>14482</v>
      </c>
      <c r="C10201" s="25">
        <v>38870.400000000001</v>
      </c>
      <c r="D10201" s="22" t="s">
        <v>14461</v>
      </c>
      <c r="E10201" s="22" t="s">
        <v>48</v>
      </c>
      <c r="F10201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01" s="22" t="s">
        <v>217</v>
      </c>
      <c r="H10201" s="22" t="s">
        <v>9294</v>
      </c>
      <c r="I10201" s="26">
        <v>43675.704907407402</v>
      </c>
      <c r="J10201" s="28" t="s">
        <v>51</v>
      </c>
      <c r="K10201" s="28" t="s">
        <v>51</v>
      </c>
      <c r="L10201" s="28" t="s">
        <v>51</v>
      </c>
      <c r="M10201" s="28" t="s">
        <v>51</v>
      </c>
      <c r="N10201" s="28" t="s">
        <v>51</v>
      </c>
    </row>
    <row r="10202" spans="1:14" hidden="1" outlineLevel="1" x14ac:dyDescent="0.15">
      <c r="A10202" s="23" t="str">
        <f>HYPERLINK("https://www.spark-marketing.ru/Card/Person/259359", "МБОУ ""НОВОНИКОЛЬСКАЯ ООШ""")</f>
        <v>МБОУ "НОВОНИКОЛЬСКАЯ ООШ"</v>
      </c>
      <c r="B10202" s="24" t="s">
        <v>14483</v>
      </c>
      <c r="C10202" s="25">
        <v>131268</v>
      </c>
      <c r="D10202" s="22" t="s">
        <v>14461</v>
      </c>
      <c r="E10202" s="22" t="s">
        <v>48</v>
      </c>
      <c r="F10202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02" s="22" t="s">
        <v>217</v>
      </c>
      <c r="H10202" s="22" t="s">
        <v>9294</v>
      </c>
      <c r="I10202" s="26">
        <v>43675.704907407402</v>
      </c>
      <c r="J10202" s="28" t="s">
        <v>51</v>
      </c>
      <c r="K10202" s="28" t="s">
        <v>51</v>
      </c>
      <c r="L10202" s="28" t="s">
        <v>51</v>
      </c>
      <c r="M10202" s="28" t="s">
        <v>51</v>
      </c>
      <c r="N10202" s="28" t="s">
        <v>51</v>
      </c>
    </row>
    <row r="10203" spans="1:14" hidden="1" outlineLevel="1" x14ac:dyDescent="0.15">
      <c r="A10203" s="23" t="str">
        <f>HYPERLINK("https://www.spark-marketing.ru/Card/Person/847099", "МБОУ ""ТАЙСУГАНОВСКАЯ ООШ""")</f>
        <v>МБОУ "ТАЙСУГАНОВСКАЯ ООШ"</v>
      </c>
      <c r="B10203" s="24" t="s">
        <v>14484</v>
      </c>
      <c r="C10203" s="25">
        <v>94935.6</v>
      </c>
      <c r="D10203" s="22" t="s">
        <v>14461</v>
      </c>
      <c r="E10203" s="22" t="s">
        <v>48</v>
      </c>
      <c r="F10203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03" s="22" t="s">
        <v>217</v>
      </c>
      <c r="H10203" s="22" t="s">
        <v>9294</v>
      </c>
      <c r="I10203" s="26">
        <v>43675.704907407402</v>
      </c>
      <c r="J10203" s="28" t="s">
        <v>51</v>
      </c>
      <c r="K10203" s="28" t="s">
        <v>51</v>
      </c>
      <c r="L10203" s="28" t="s">
        <v>51</v>
      </c>
      <c r="M10203" s="28" t="s">
        <v>51</v>
      </c>
      <c r="N10203" s="28" t="s">
        <v>51</v>
      </c>
    </row>
    <row r="10204" spans="1:14" hidden="1" outlineLevel="1" x14ac:dyDescent="0.15">
      <c r="A10204" s="23" t="str">
        <f>HYPERLINK("https://www.spark-marketing.ru/Card/Person/1086170", "МБОУ ""ООШ СТ.МИННИБАЕВО""")</f>
        <v>МБОУ "ООШ СТ.МИННИБАЕВО"</v>
      </c>
      <c r="B10204" s="24" t="s">
        <v>14485</v>
      </c>
      <c r="C10204" s="25">
        <v>69390.600000000006</v>
      </c>
      <c r="D10204" s="22" t="s">
        <v>14461</v>
      </c>
      <c r="E10204" s="22" t="s">
        <v>48</v>
      </c>
      <c r="F10204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04" s="22" t="s">
        <v>217</v>
      </c>
      <c r="H10204" s="22" t="s">
        <v>9294</v>
      </c>
      <c r="I10204" s="26">
        <v>43675.704907407402</v>
      </c>
      <c r="J10204" s="28" t="s">
        <v>51</v>
      </c>
      <c r="K10204" s="28" t="s">
        <v>51</v>
      </c>
      <c r="L10204" s="28" t="s">
        <v>51</v>
      </c>
      <c r="M10204" s="28" t="s">
        <v>51</v>
      </c>
      <c r="N10204" s="28" t="s">
        <v>51</v>
      </c>
    </row>
    <row r="10205" spans="1:14" hidden="1" outlineLevel="1" x14ac:dyDescent="0.2">
      <c r="A10205" s="28" t="s">
        <v>51</v>
      </c>
      <c r="B10205" s="28" t="s">
        <v>51</v>
      </c>
      <c r="C10205" s="28" t="s">
        <v>51</v>
      </c>
      <c r="D10205" s="22" t="s">
        <v>14461</v>
      </c>
      <c r="E10205" s="22" t="s">
        <v>48</v>
      </c>
      <c r="F10205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05" s="22" t="s">
        <v>51</v>
      </c>
      <c r="H10205" s="22" t="s">
        <v>51</v>
      </c>
      <c r="I10205" s="26">
        <v>43675.704907407402</v>
      </c>
      <c r="J10205" s="23" t="str">
        <f>HYPERLINK("https://www.spark-marketing.ru/Card/Person/4868441", "ООО ""СКОРПИОНС-ГРУПП""")</f>
        <v>ООО "СКОРПИОНС-ГРУПП"</v>
      </c>
      <c r="K10205" s="24" t="s">
        <v>14040</v>
      </c>
      <c r="L10205" s="28" t="s">
        <v>51</v>
      </c>
      <c r="M10205" s="25">
        <v>11632479.48</v>
      </c>
      <c r="N10205" s="27">
        <v>0.24500000002920702</v>
      </c>
    </row>
    <row r="10206" spans="1:14" hidden="1" outlineLevel="1" x14ac:dyDescent="0.2">
      <c r="A10206" s="28" t="s">
        <v>51</v>
      </c>
      <c r="B10206" s="28" t="s">
        <v>51</v>
      </c>
      <c r="C10206" s="28" t="s">
        <v>51</v>
      </c>
      <c r="D10206" s="22" t="s">
        <v>14461</v>
      </c>
      <c r="E10206" s="22" t="s">
        <v>48</v>
      </c>
      <c r="F10206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06" s="22" t="s">
        <v>51</v>
      </c>
      <c r="H10206" s="22" t="s">
        <v>51</v>
      </c>
      <c r="I10206" s="26">
        <v>43675.704907407402</v>
      </c>
      <c r="J10206" s="23" t="str">
        <f>HYPERLINK("https://www.spark-marketing.ru/Card/Person/165573", "ООО ""ЭТАЛОН""")</f>
        <v>ООО "ЭТАЛОН"</v>
      </c>
      <c r="K10206" s="24" t="s">
        <v>14039</v>
      </c>
      <c r="L10206" s="22" t="s">
        <v>10</v>
      </c>
      <c r="M10206" s="25">
        <v>11555443.189999999</v>
      </c>
      <c r="N10206" s="27">
        <v>0.2500000001622612</v>
      </c>
    </row>
    <row r="10207" spans="1:14" hidden="1" outlineLevel="1" x14ac:dyDescent="0.2">
      <c r="A10207" s="28" t="s">
        <v>51</v>
      </c>
      <c r="B10207" s="28" t="s">
        <v>51</v>
      </c>
      <c r="C10207" s="28" t="s">
        <v>51</v>
      </c>
      <c r="D10207" s="22" t="s">
        <v>14461</v>
      </c>
      <c r="E10207" s="22" t="s">
        <v>48</v>
      </c>
      <c r="F10207" s="23" t="str">
        <f t="shared" si="263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07" s="22" t="s">
        <v>51</v>
      </c>
      <c r="H10207" s="22" t="s">
        <v>51</v>
      </c>
      <c r="I10207" s="26">
        <v>43675.704907407402</v>
      </c>
      <c r="J10207" s="23" t="str">
        <f>HYPERLINK("https://www.spark-marketing.ru/Card/Person/6682098", "ООО ""СТ""")</f>
        <v>ООО "СТ"</v>
      </c>
      <c r="K10207" s="24" t="s">
        <v>14056</v>
      </c>
      <c r="L10207" s="28" t="s">
        <v>51</v>
      </c>
      <c r="M10207" s="25">
        <v>12710987.460000001</v>
      </c>
      <c r="N10207" s="27">
        <v>0.17500000335880669</v>
      </c>
    </row>
    <row r="10208" spans="1:14" x14ac:dyDescent="0.15">
      <c r="A10208" s="23" t="str">
        <f>HYPERLINK("https://www.spark-marketing.ru/Card/Person/4354773", "КГБПОУ ""КАНСКИЙ ТЕХНОЛОГИЧЕСКИЙ КОЛЛЕДЖ""")</f>
        <v>КГБПОУ "КАНСКИЙ ТЕХНОЛОГИЧЕСКИЙ КОЛЛЕДЖ"</v>
      </c>
      <c r="B10208" s="24" t="s">
        <v>14486</v>
      </c>
      <c r="C10208" s="25">
        <v>10595950.26</v>
      </c>
      <c r="D10208" s="22" t="s">
        <v>14487</v>
      </c>
      <c r="E10208" s="22" t="s">
        <v>2719</v>
      </c>
      <c r="F10208" s="23" t="str">
        <f>HYPERLINK("https://www.spark-marketing.ru/Card/Lot/72453087", "ЭА 44918/19 «Поставка серверного и телекоммуникационного оборудования с оказанием услуг по его установке для нужд КГБПОУ «Канский технологический колледж, субъектами малого предпринимательства и социально-ориентированными некоммерческими организациям...")</f>
        <v>ЭА 44918/19 «Поставка серверного и телекоммуникационного оборудования с оказанием услуг по его установке для нужд КГБПОУ «Канский технологический колледж, субъектами малого предпринимательства и социально-ориентированными некоммерческими организациям...</v>
      </c>
      <c r="G10208" s="22" t="s">
        <v>281</v>
      </c>
      <c r="H10208" s="22" t="s">
        <v>14184</v>
      </c>
      <c r="I10208" s="26">
        <v>43675.703344907401</v>
      </c>
      <c r="J10208" s="23" t="str">
        <f>HYPERLINK("https://www.spark-marketing.ru/Card/Person/4395841", "ООО ""СИСТЕМНЫЕ РЕШЕНИЯ""")</f>
        <v>ООО "СИСТЕМНЫЕ РЕШЕНИЯ"</v>
      </c>
      <c r="K10208" s="24" t="s">
        <v>6235</v>
      </c>
      <c r="L10208" s="28" t="s">
        <v>51</v>
      </c>
      <c r="M10208" s="28" t="s">
        <v>51</v>
      </c>
      <c r="N10208" s="28" t="s">
        <v>51</v>
      </c>
    </row>
    <row r="10209" spans="1:14" hidden="1" outlineLevel="1" x14ac:dyDescent="0.15">
      <c r="A10209" s="23" t="str">
        <f>HYPERLINK("https://www.spark-marketing.ru/Card/Person/4354773", "КГБПОУ ""КАНСКИЙ ТЕХНОЛОГИЧЕСКИЙ КОЛЛЕДЖ""")</f>
        <v>КГБПОУ "КАНСКИЙ ТЕХНОЛОГИЧЕСКИЙ КОЛЛЕДЖ"</v>
      </c>
      <c r="B10209" s="24" t="s">
        <v>14486</v>
      </c>
      <c r="C10209" s="25">
        <v>10595950.26</v>
      </c>
      <c r="D10209" s="22" t="s">
        <v>14487</v>
      </c>
      <c r="E10209" s="22" t="s">
        <v>2719</v>
      </c>
      <c r="F10209" s="23" t="str">
        <f>HYPERLINK("https://www.spark-marketing.ru/Card/Lot/72453087", "ЭА 44918/19 «Поставка серверного и телекоммуникационного оборудования с оказанием услуг по его установке для нужд КГБПОУ «Канский технологический колледж, субъектами малого предпринимательства и социально-ориентированными некоммерческими организациям...")</f>
        <v>ЭА 44918/19 «Поставка серверного и телекоммуникационного оборудования с оказанием услуг по его установке для нужд КГБПОУ «Канский технологический колледж, субъектами малого предпринимательства и социально-ориентированными некоммерческими организациям...</v>
      </c>
      <c r="G10209" s="22" t="s">
        <v>281</v>
      </c>
      <c r="H10209" s="22" t="s">
        <v>14184</v>
      </c>
      <c r="I10209" s="26">
        <v>43675.703344907401</v>
      </c>
      <c r="J10209" s="23" t="str">
        <f>HYPERLINK("https://www.spark-marketing.ru/Card/Person/4395841", "ООО ""СИСТЕМНЫЕ РЕШЕНИЯ""")</f>
        <v>ООО "СИСТЕМНЫЕ РЕШЕНИЯ"</v>
      </c>
      <c r="K10209" s="24" t="s">
        <v>6235</v>
      </c>
      <c r="L10209" s="22" t="s">
        <v>10</v>
      </c>
      <c r="M10209" s="28" t="s">
        <v>51</v>
      </c>
      <c r="N10209" s="28" t="s">
        <v>51</v>
      </c>
    </row>
    <row r="10210" spans="1:14" x14ac:dyDescent="0.15">
      <c r="A10210" s="23" t="str">
        <f>HYPERLINK("https://www.spark-marketing.ru/Card/Person/22277", "ГЛАВНОЕ УПРАВЛЕНИЕ МЧС РОССИИ ПО СТАВРОПОЛЬСКОМУ КРАЮ")</f>
        <v>ГЛАВНОЕ УПРАВЛЕНИЕ МЧС РОССИИ ПО СТАВРОПОЛЬСКОМУ КРАЮ</v>
      </c>
      <c r="B10210" s="24" t="s">
        <v>14488</v>
      </c>
      <c r="C10210" s="25">
        <v>482344.5</v>
      </c>
      <c r="D10210" s="22" t="s">
        <v>14489</v>
      </c>
      <c r="E10210" s="22" t="s">
        <v>48</v>
      </c>
      <c r="F10210" s="23" t="str">
        <f>HYPERLINK("https://www.spark-marketing.ru/Card/Lot/72459714", "Услуги по организации питания")</f>
        <v>Услуги по организации питания</v>
      </c>
      <c r="G10210" s="22" t="s">
        <v>87</v>
      </c>
      <c r="H10210" s="22" t="s">
        <v>686</v>
      </c>
      <c r="I10210" s="26">
        <v>43675.697615740697</v>
      </c>
      <c r="J10210" s="23" t="str">
        <f>HYPERLINK("https://www.spark-marketing.ru/Card/Person/6079226", "ООО ""НОВЬ""")</f>
        <v>ООО "НОВЬ"</v>
      </c>
      <c r="K10210" s="24" t="s">
        <v>14490</v>
      </c>
      <c r="L10210" s="28" t="s">
        <v>51</v>
      </c>
      <c r="M10210" s="28" t="s">
        <v>51</v>
      </c>
      <c r="N10210" s="28" t="s">
        <v>51</v>
      </c>
    </row>
    <row r="10211" spans="1:14" ht="12.75" hidden="1" outlineLevel="1" x14ac:dyDescent="0.2">
      <c r="A10211" s="23" t="str">
        <f>HYPERLINK("https://www.spark-marketing.ru/Card/Person/22277", "ГЛАВНОЕ УПРАВЛЕНИЕ МЧС РОССИИ ПО СТАВРОПОЛЬСКОМУ КРАЮ")</f>
        <v>ГЛАВНОЕ УПРАВЛЕНИЕ МЧС РОССИИ ПО СТАВРОПОЛЬСКОМУ КРАЮ</v>
      </c>
      <c r="B10211" s="24" t="s">
        <v>14488</v>
      </c>
      <c r="C10211" s="25">
        <v>482344.5</v>
      </c>
      <c r="D10211" s="22" t="s">
        <v>14489</v>
      </c>
      <c r="E10211" s="22" t="s">
        <v>48</v>
      </c>
      <c r="F10211" s="23" t="str">
        <f>HYPERLINK("https://www.spark-marketing.ru/Card/Lot/72459714", "Услуги по организации питания")</f>
        <v>Услуги по организации питания</v>
      </c>
      <c r="G10211" s="22" t="s">
        <v>87</v>
      </c>
      <c r="H10211" s="22" t="s">
        <v>686</v>
      </c>
      <c r="I10211" s="26">
        <v>43675.697615740697</v>
      </c>
      <c r="J10211" s="23" t="str">
        <f>HYPERLINK("https://www.spark-marketing.ru/Card/Person/6079226", "ООО ""НОВЬ""")</f>
        <v>ООО "НОВЬ"</v>
      </c>
      <c r="K10211" s="24" t="s">
        <v>14490</v>
      </c>
      <c r="L10211" s="22" t="s">
        <v>10</v>
      </c>
      <c r="M10211" s="25">
        <v>479932.78</v>
      </c>
      <c r="N10211" s="27">
        <v>4.9999948169824676E-3</v>
      </c>
    </row>
    <row r="10212" spans="1:14" x14ac:dyDescent="0.15">
      <c r="A10212" s="23" t="str">
        <f>HYPERLINK("https://www.spark-marketing.ru/Card/Person/244418", "ОТДЕЛ МВД РОССИИ ПО ПЕТРОВСКОМУ РАЙОНУ САРАТОВСКОЙ ОБЛАСТИ")</f>
        <v>ОТДЕЛ МВД РОССИИ ПО ПЕТРОВСКОМУ РАЙОНУ САРАТОВСКОЙ ОБЛАСТИ</v>
      </c>
      <c r="B10212" s="24" t="s">
        <v>9250</v>
      </c>
      <c r="C10212" s="25">
        <v>575450</v>
      </c>
      <c r="D10212" s="22" t="s">
        <v>14491</v>
      </c>
      <c r="E10212" s="22" t="s">
        <v>48</v>
      </c>
      <c r="F10212" s="23" t="str">
        <f>HYPERLINK("https://www.spark-marketing.ru/Card/Lot/72462072", "организация горячего питания")</f>
        <v>организация горячего питания</v>
      </c>
      <c r="G10212" s="22" t="s">
        <v>351</v>
      </c>
      <c r="H10212" s="22" t="s">
        <v>9252</v>
      </c>
      <c r="I10212" s="26">
        <v>43675.705138888901</v>
      </c>
      <c r="J10212" s="23" t="str">
        <f>HYPERLINK("https://www.spark-marketing.ru/Card/Person/6278214", "ООО ""СЕВЕР""")</f>
        <v>ООО "СЕВЕР"</v>
      </c>
      <c r="K10212" s="24" t="s">
        <v>9253</v>
      </c>
      <c r="L10212" s="22" t="s">
        <v>10</v>
      </c>
      <c r="M10212" s="28" t="s">
        <v>51</v>
      </c>
      <c r="N10212" s="28" t="s">
        <v>51</v>
      </c>
    </row>
    <row r="10213" spans="1:14" x14ac:dyDescent="0.15">
      <c r="A10213" s="23" t="s">
        <v>114</v>
      </c>
      <c r="B10213" s="28" t="s">
        <v>51</v>
      </c>
      <c r="C10213" s="25">
        <v>15525380.060000001</v>
      </c>
      <c r="D10213" s="22" t="s">
        <v>14492</v>
      </c>
      <c r="E10213" s="22" t="s">
        <v>48</v>
      </c>
      <c r="F10213" s="23" t="str">
        <f t="shared" ref="F10213:F10225" si="264">HYPERLINK("https://www.spark-marketing.ru/Card/Lot/72458291", "Оказание услуг по организации питания на 2 полугодие 2019 года для образовательных учреждений Альметьевского муниципального района")</f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13" s="22" t="s">
        <v>51</v>
      </c>
      <c r="H10213" s="22" t="s">
        <v>51</v>
      </c>
      <c r="I10213" s="26">
        <v>43675.682812500003</v>
      </c>
      <c r="J10213" s="28" t="s">
        <v>51</v>
      </c>
      <c r="K10213" s="28" t="s">
        <v>51</v>
      </c>
      <c r="L10213" s="28" t="s">
        <v>51</v>
      </c>
      <c r="M10213" s="28" t="s">
        <v>51</v>
      </c>
      <c r="N10213" s="28" t="s">
        <v>51</v>
      </c>
    </row>
    <row r="10214" spans="1:14" hidden="1" outlineLevel="1" x14ac:dyDescent="0.15">
      <c r="A10214" s="23" t="str">
        <f>HYPERLINK("https://www.spark-marketing.ru/Card/Person/257809", "МБДОУ ""ЦРР - Д/С № 4 ""ДРУЖБА""")</f>
        <v>МБДОУ "ЦРР - Д/С № 4 "ДРУЖБА"</v>
      </c>
      <c r="B10214" s="24" t="s">
        <v>14493</v>
      </c>
      <c r="C10214" s="25">
        <v>2738070.4</v>
      </c>
      <c r="D10214" s="22" t="s">
        <v>14492</v>
      </c>
      <c r="E10214" s="22" t="s">
        <v>48</v>
      </c>
      <c r="F10214" s="23" t="str">
        <f t="shared" si="26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14" s="22" t="s">
        <v>217</v>
      </c>
      <c r="H10214" s="22" t="s">
        <v>9289</v>
      </c>
      <c r="I10214" s="26">
        <v>43675.682812500003</v>
      </c>
      <c r="J10214" s="28" t="s">
        <v>51</v>
      </c>
      <c r="K10214" s="28" t="s">
        <v>51</v>
      </c>
      <c r="L10214" s="28" t="s">
        <v>51</v>
      </c>
      <c r="M10214" s="28" t="s">
        <v>51</v>
      </c>
      <c r="N10214" s="28" t="s">
        <v>51</v>
      </c>
    </row>
    <row r="10215" spans="1:14" hidden="1" outlineLevel="1" x14ac:dyDescent="0.15">
      <c r="A10215" s="23" t="str">
        <f>HYPERLINK("https://www.spark-marketing.ru/Card/Person/257829", "МБДОУ ""Д/С ""ТЕРЕМОК"" С. ЯМАШ""")</f>
        <v>МБДОУ "Д/С "ТЕРЕМОК" С. ЯМАШ"</v>
      </c>
      <c r="B10215" s="24" t="s">
        <v>14494</v>
      </c>
      <c r="C10215" s="25">
        <v>338465.7</v>
      </c>
      <c r="D10215" s="22" t="s">
        <v>14492</v>
      </c>
      <c r="E10215" s="22" t="s">
        <v>48</v>
      </c>
      <c r="F10215" s="23" t="str">
        <f t="shared" si="26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15" s="22" t="s">
        <v>217</v>
      </c>
      <c r="H10215" s="22" t="s">
        <v>9294</v>
      </c>
      <c r="I10215" s="26">
        <v>43675.682812500003</v>
      </c>
      <c r="J10215" s="28" t="s">
        <v>51</v>
      </c>
      <c r="K10215" s="28" t="s">
        <v>51</v>
      </c>
      <c r="L10215" s="28" t="s">
        <v>51</v>
      </c>
      <c r="M10215" s="28" t="s">
        <v>51</v>
      </c>
      <c r="N10215" s="28" t="s">
        <v>51</v>
      </c>
    </row>
    <row r="10216" spans="1:14" hidden="1" outlineLevel="1" x14ac:dyDescent="0.15">
      <c r="A10216" s="23" t="str">
        <f>HYPERLINK("https://www.spark-marketing.ru/Card/Person/257841", "МБДОУ ""ЦРР-Д/С №2 ""ПЛАНЕТА ДЕТСТВА""")</f>
        <v>МБДОУ "ЦРР-Д/С №2 "ПЛАНЕТА ДЕТСТВА"</v>
      </c>
      <c r="B10216" s="24" t="s">
        <v>14495</v>
      </c>
      <c r="C10216" s="25">
        <v>2582008</v>
      </c>
      <c r="D10216" s="22" t="s">
        <v>14492</v>
      </c>
      <c r="E10216" s="22" t="s">
        <v>48</v>
      </c>
      <c r="F10216" s="23" t="str">
        <f t="shared" si="26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16" s="22" t="s">
        <v>217</v>
      </c>
      <c r="H10216" s="22" t="s">
        <v>9289</v>
      </c>
      <c r="I10216" s="26">
        <v>43675.682812500003</v>
      </c>
      <c r="J10216" s="28" t="s">
        <v>51</v>
      </c>
      <c r="K10216" s="28" t="s">
        <v>51</v>
      </c>
      <c r="L10216" s="28" t="s">
        <v>51</v>
      </c>
      <c r="M10216" s="28" t="s">
        <v>51</v>
      </c>
      <c r="N10216" s="28" t="s">
        <v>51</v>
      </c>
    </row>
    <row r="10217" spans="1:14" hidden="1" outlineLevel="1" x14ac:dyDescent="0.15">
      <c r="A10217" s="23" t="str">
        <f>HYPERLINK("https://www.spark-marketing.ru/Card/Person/257929", "МБДОУ ""ЦРР-Д/С № 7 ""ЗОЛОТОЙ КЛЮЧИК""")</f>
        <v>МБДОУ "ЦРР-Д/С № 7 "ЗОЛОТОЙ КЛЮЧИК"</v>
      </c>
      <c r="B10217" s="24" t="s">
        <v>14496</v>
      </c>
      <c r="C10217" s="25">
        <v>2936003.2</v>
      </c>
      <c r="D10217" s="22" t="s">
        <v>14492</v>
      </c>
      <c r="E10217" s="22" t="s">
        <v>48</v>
      </c>
      <c r="F10217" s="23" t="str">
        <f t="shared" si="26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17" s="22" t="s">
        <v>217</v>
      </c>
      <c r="H10217" s="22" t="s">
        <v>9289</v>
      </c>
      <c r="I10217" s="26">
        <v>43675.682812500003</v>
      </c>
      <c r="J10217" s="28" t="s">
        <v>51</v>
      </c>
      <c r="K10217" s="28" t="s">
        <v>51</v>
      </c>
      <c r="L10217" s="28" t="s">
        <v>51</v>
      </c>
      <c r="M10217" s="28" t="s">
        <v>51</v>
      </c>
      <c r="N10217" s="28" t="s">
        <v>51</v>
      </c>
    </row>
    <row r="10218" spans="1:14" hidden="1" outlineLevel="1" x14ac:dyDescent="0.15">
      <c r="A10218" s="23" t="str">
        <f>HYPERLINK("https://www.spark-marketing.ru/Card/Person/257946", "МБДОУ ""Д/С № 20 ""ПЕТУШОК""")</f>
        <v>МБДОУ "Д/С № 20 "ПЕТУШОК"</v>
      </c>
      <c r="B10218" s="24" t="s">
        <v>14497</v>
      </c>
      <c r="C10218" s="25">
        <v>596336</v>
      </c>
      <c r="D10218" s="22" t="s">
        <v>14492</v>
      </c>
      <c r="E10218" s="22" t="s">
        <v>48</v>
      </c>
      <c r="F10218" s="23" t="str">
        <f t="shared" si="26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18" s="22" t="s">
        <v>217</v>
      </c>
      <c r="H10218" s="22" t="s">
        <v>9289</v>
      </c>
      <c r="I10218" s="26">
        <v>43675.682812500003</v>
      </c>
      <c r="J10218" s="28" t="s">
        <v>51</v>
      </c>
      <c r="K10218" s="28" t="s">
        <v>51</v>
      </c>
      <c r="L10218" s="28" t="s">
        <v>51</v>
      </c>
      <c r="M10218" s="28" t="s">
        <v>51</v>
      </c>
      <c r="N10218" s="28" t="s">
        <v>51</v>
      </c>
    </row>
    <row r="10219" spans="1:14" hidden="1" outlineLevel="1" x14ac:dyDescent="0.15">
      <c r="A10219" s="23" t="str">
        <f>HYPERLINK("https://www.spark-marketing.ru/Card/Person/257987", "МБДОУ ""Д/С № 18 ""АЛЕНЬКИЙ ЦВЕТОЧЕК""")</f>
        <v>МБДОУ "Д/С № 18 "АЛЕНЬКИЙ ЦВЕТОЧЕК"</v>
      </c>
      <c r="B10219" s="24" t="s">
        <v>14498</v>
      </c>
      <c r="C10219" s="25">
        <v>1662635.52</v>
      </c>
      <c r="D10219" s="22" t="s">
        <v>14492</v>
      </c>
      <c r="E10219" s="22" t="s">
        <v>48</v>
      </c>
      <c r="F10219" s="23" t="str">
        <f t="shared" si="26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19" s="22" t="s">
        <v>217</v>
      </c>
      <c r="H10219" s="22" t="s">
        <v>9289</v>
      </c>
      <c r="I10219" s="26">
        <v>43675.682812500003</v>
      </c>
      <c r="J10219" s="28" t="s">
        <v>51</v>
      </c>
      <c r="K10219" s="28" t="s">
        <v>51</v>
      </c>
      <c r="L10219" s="28" t="s">
        <v>51</v>
      </c>
      <c r="M10219" s="28" t="s">
        <v>51</v>
      </c>
      <c r="N10219" s="28" t="s">
        <v>51</v>
      </c>
    </row>
    <row r="10220" spans="1:14" hidden="1" outlineLevel="1" x14ac:dyDescent="0.15">
      <c r="A10220" s="23" t="str">
        <f>HYPERLINK("https://www.spark-marketing.ru/Card/Person/257988", "МБДОУ ""Д/С №19 ""ЗВЕЗДОЧКА""")</f>
        <v>МБДОУ "Д/С №19 "ЗВЕЗДОЧКА"</v>
      </c>
      <c r="B10220" s="24" t="s">
        <v>14499</v>
      </c>
      <c r="C10220" s="25">
        <v>430123.2</v>
      </c>
      <c r="D10220" s="22" t="s">
        <v>14492</v>
      </c>
      <c r="E10220" s="22" t="s">
        <v>48</v>
      </c>
      <c r="F10220" s="23" t="str">
        <f t="shared" si="26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20" s="22" t="s">
        <v>217</v>
      </c>
      <c r="H10220" s="22" t="s">
        <v>9289</v>
      </c>
      <c r="I10220" s="26">
        <v>43675.682812500003</v>
      </c>
      <c r="J10220" s="28" t="s">
        <v>51</v>
      </c>
      <c r="K10220" s="28" t="s">
        <v>51</v>
      </c>
      <c r="L10220" s="28" t="s">
        <v>51</v>
      </c>
      <c r="M10220" s="28" t="s">
        <v>51</v>
      </c>
      <c r="N10220" s="28" t="s">
        <v>51</v>
      </c>
    </row>
    <row r="10221" spans="1:14" hidden="1" outlineLevel="1" x14ac:dyDescent="0.15">
      <c r="A10221" s="23" t="str">
        <f>HYPERLINK("https://www.spark-marketing.ru/Card/Person/258729", "МБОУ ""ГИМНАЗИЯ №1 ИМ.Р. ФАХРЕТДИНА""")</f>
        <v>МБОУ "ГИМНАЗИЯ №1 ИМ.Р. ФАХРЕТДИНА"</v>
      </c>
      <c r="B10221" s="24" t="s">
        <v>14500</v>
      </c>
      <c r="C10221" s="25">
        <v>4148183.84</v>
      </c>
      <c r="D10221" s="22" t="s">
        <v>14492</v>
      </c>
      <c r="E10221" s="22" t="s">
        <v>48</v>
      </c>
      <c r="F10221" s="23" t="str">
        <f t="shared" si="26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21" s="22" t="s">
        <v>217</v>
      </c>
      <c r="H10221" s="22" t="s">
        <v>9289</v>
      </c>
      <c r="I10221" s="26">
        <v>43675.682812500003</v>
      </c>
      <c r="J10221" s="28" t="s">
        <v>51</v>
      </c>
      <c r="K10221" s="28" t="s">
        <v>51</v>
      </c>
      <c r="L10221" s="28" t="s">
        <v>51</v>
      </c>
      <c r="M10221" s="28" t="s">
        <v>51</v>
      </c>
      <c r="N10221" s="28" t="s">
        <v>51</v>
      </c>
    </row>
    <row r="10222" spans="1:14" hidden="1" outlineLevel="1" x14ac:dyDescent="0.15">
      <c r="A10222" s="23" t="str">
        <f>HYPERLINK("https://www.spark-marketing.ru/Card/Person/2556788", "МБОУ ""ЯМАШСКАЯ ООШ""")</f>
        <v>МБОУ "ЯМАШСКАЯ ООШ"</v>
      </c>
      <c r="B10222" s="24" t="s">
        <v>14501</v>
      </c>
      <c r="C10222" s="25">
        <v>93554.2</v>
      </c>
      <c r="D10222" s="22" t="s">
        <v>14492</v>
      </c>
      <c r="E10222" s="22" t="s">
        <v>48</v>
      </c>
      <c r="F10222" s="23" t="str">
        <f t="shared" si="26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22" s="22" t="s">
        <v>217</v>
      </c>
      <c r="H10222" s="22" t="s">
        <v>9294</v>
      </c>
      <c r="I10222" s="26">
        <v>43675.682812500003</v>
      </c>
      <c r="J10222" s="28" t="s">
        <v>51</v>
      </c>
      <c r="K10222" s="28" t="s">
        <v>51</v>
      </c>
      <c r="L10222" s="28" t="s">
        <v>51</v>
      </c>
      <c r="M10222" s="28" t="s">
        <v>51</v>
      </c>
      <c r="N10222" s="28" t="s">
        <v>51</v>
      </c>
    </row>
    <row r="10223" spans="1:14" hidden="1" outlineLevel="1" x14ac:dyDescent="0.2">
      <c r="A10223" s="28" t="s">
        <v>51</v>
      </c>
      <c r="B10223" s="28" t="s">
        <v>51</v>
      </c>
      <c r="C10223" s="28" t="s">
        <v>51</v>
      </c>
      <c r="D10223" s="22" t="s">
        <v>14492</v>
      </c>
      <c r="E10223" s="22" t="s">
        <v>48</v>
      </c>
      <c r="F10223" s="23" t="str">
        <f t="shared" si="26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23" s="22" t="s">
        <v>51</v>
      </c>
      <c r="H10223" s="22" t="s">
        <v>51</v>
      </c>
      <c r="I10223" s="26">
        <v>43675.682812500003</v>
      </c>
      <c r="J10223" s="23" t="str">
        <f>HYPERLINK("https://www.spark-marketing.ru/Card/Person/165573", "ООО ""ЭТАЛОН""")</f>
        <v>ООО "ЭТАЛОН"</v>
      </c>
      <c r="K10223" s="24" t="s">
        <v>14039</v>
      </c>
      <c r="L10223" s="28" t="s">
        <v>51</v>
      </c>
      <c r="M10223" s="25">
        <v>13196573.060000001</v>
      </c>
      <c r="N10223" s="27">
        <v>0.14999999942030404</v>
      </c>
    </row>
    <row r="10224" spans="1:14" hidden="1" outlineLevel="1" x14ac:dyDescent="0.2">
      <c r="A10224" s="28" t="s">
        <v>51</v>
      </c>
      <c r="B10224" s="28" t="s">
        <v>51</v>
      </c>
      <c r="C10224" s="28" t="s">
        <v>51</v>
      </c>
      <c r="D10224" s="22" t="s">
        <v>14492</v>
      </c>
      <c r="E10224" s="22" t="s">
        <v>48</v>
      </c>
      <c r="F10224" s="23" t="str">
        <f t="shared" si="26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24" s="22" t="s">
        <v>51</v>
      </c>
      <c r="H10224" s="22" t="s">
        <v>51</v>
      </c>
      <c r="I10224" s="26">
        <v>43675.682812500003</v>
      </c>
      <c r="J10224" s="23" t="str">
        <f>HYPERLINK("https://www.spark-marketing.ru/Card/Person/6682098", "ООО ""СТ""")</f>
        <v>ООО "СТ"</v>
      </c>
      <c r="K10224" s="24" t="s">
        <v>14056</v>
      </c>
      <c r="L10224" s="28" t="s">
        <v>51</v>
      </c>
      <c r="M10224" s="25">
        <v>13274199.960000001</v>
      </c>
      <c r="N10224" s="27">
        <v>0.14499999943962724</v>
      </c>
    </row>
    <row r="10225" spans="1:14" hidden="1" outlineLevel="1" x14ac:dyDescent="0.2">
      <c r="A10225" s="28" t="s">
        <v>51</v>
      </c>
      <c r="B10225" s="28" t="s">
        <v>51</v>
      </c>
      <c r="C10225" s="28" t="s">
        <v>51</v>
      </c>
      <c r="D10225" s="22" t="s">
        <v>14492</v>
      </c>
      <c r="E10225" s="22" t="s">
        <v>48</v>
      </c>
      <c r="F10225" s="23" t="str">
        <f t="shared" si="264"/>
        <v>Оказание услуг по организации питания на 2 полугодие 2019 года для образовательных учреждений Альметьевского муниципального района</v>
      </c>
      <c r="G10225" s="22" t="s">
        <v>51</v>
      </c>
      <c r="H10225" s="22" t="s">
        <v>51</v>
      </c>
      <c r="I10225" s="26">
        <v>43675.682812500003</v>
      </c>
      <c r="J10225" s="23" t="str">
        <f>HYPERLINK("https://www.spark-marketing.ru/Card/Person/4868441", "ООО ""СКОРПИОНС-ГРУПП""")</f>
        <v>ООО "СКОРПИОНС-ГРУПП"</v>
      </c>
      <c r="K10225" s="24" t="s">
        <v>14040</v>
      </c>
      <c r="L10225" s="22" t="s">
        <v>10</v>
      </c>
      <c r="M10225" s="25">
        <v>12420304.060000001</v>
      </c>
      <c r="N10225" s="27">
        <v>0.19999999922707207</v>
      </c>
    </row>
    <row r="10226" spans="1:14" x14ac:dyDescent="0.15">
      <c r="A10226" s="23" t="str">
        <f>HYPERLINK("https://www.spark-marketing.ru/Card/Person/4452050", "ГАУ БРЯНСКИЙ ОБЛАСТНОЙ ""ЦЕНТР ОКАЗАНИЯ УСЛУГ ""МОЙ БИЗНЕС""")</f>
        <v>ГАУ БРЯНСКИЙ ОБЛАСТНОЙ "ЦЕНТР ОКАЗАНИЯ УСЛУГ "МОЙ БИЗНЕС"</v>
      </c>
      <c r="B10226" s="24" t="s">
        <v>14502</v>
      </c>
      <c r="C10226" s="25">
        <v>1500000</v>
      </c>
      <c r="D10226" s="22" t="s">
        <v>14503</v>
      </c>
      <c r="E10226" s="22" t="s">
        <v>554</v>
      </c>
      <c r="F10226" s="23" t="str">
        <f>HYPERLINK("https://www.spark-marketing.ru/Card/Lot/72460558", "оказание услуг по организации участия субъектов малого и среднего предпринимательства Брянской области в XXI специализированной выставке продуктов питания «Expo Food», с 24 по 26 октября 2019 года, г. Сочи.")</f>
        <v>оказание услуг по организации участия субъектов малого и среднего предпринимательства Брянской области в XXI специализированной выставке продуктов питания «Expo Food», с 24 по 26 октября 2019 года, г. Сочи.</v>
      </c>
      <c r="G10226" s="22" t="s">
        <v>475</v>
      </c>
      <c r="H10226" s="22" t="s">
        <v>475</v>
      </c>
      <c r="I10226" s="26">
        <v>43675.642812500002</v>
      </c>
      <c r="J10226" s="28" t="s">
        <v>51</v>
      </c>
      <c r="K10226" s="28" t="s">
        <v>51</v>
      </c>
      <c r="L10226" s="28" t="s">
        <v>51</v>
      </c>
      <c r="M10226" s="28" t="s">
        <v>51</v>
      </c>
      <c r="N10226" s="28" t="s">
        <v>51</v>
      </c>
    </row>
    <row r="10227" spans="1:14" x14ac:dyDescent="0.15">
      <c r="A10227" s="23" t="str">
        <f>HYPERLINK("https://www.spark-marketing.ru/Card/Person/1051980", "МБОУ ""СШ № 6""")</f>
        <v>МБОУ "СШ № 6"</v>
      </c>
      <c r="B10227" s="24" t="s">
        <v>14504</v>
      </c>
      <c r="C10227" s="25">
        <v>611955</v>
      </c>
      <c r="D10227" s="22" t="s">
        <v>14505</v>
      </c>
      <c r="E10227" s="22" t="s">
        <v>48</v>
      </c>
      <c r="F10227" s="23" t="str">
        <f>HYPERLINK("https://www.spark-marketing.ru/Card/Lot/72459166", "Оказание услуги по организации горячего питания и обеспечению горячим питанием учащихся МБОУ ""СШ № 6""")</f>
        <v>Оказание услуги по организации горячего питания и обеспечению горячим питанием учащихся МБОУ "СШ № 6"</v>
      </c>
      <c r="G10227" s="22" t="s">
        <v>460</v>
      </c>
      <c r="H10227" s="22" t="s">
        <v>461</v>
      </c>
      <c r="I10227" s="26">
        <v>43675.643738425897</v>
      </c>
      <c r="J10227" s="23" t="str">
        <f>HYPERLINK("https://www.spark-marketing.ru/Card/Person/836702", "МУП ""КСП""")</f>
        <v>МУП "КСП"</v>
      </c>
      <c r="K10227" s="24" t="s">
        <v>6532</v>
      </c>
      <c r="L10227" s="22" t="s">
        <v>10</v>
      </c>
      <c r="M10227" s="28" t="s">
        <v>51</v>
      </c>
      <c r="N10227" s="28" t="s">
        <v>51</v>
      </c>
    </row>
    <row r="10228" spans="1:14" x14ac:dyDescent="0.15">
      <c r="A10228" s="23" t="str">
        <f>HYPERLINK("https://www.spark-marketing.ru/Card/Person/25432", "ГБУЗ ""ЦРБ"" Г.О. ПРОХЛАДНЫЙ И ПРОХЛАДНЕНСКОГО МУНИЦИПАЛЬНОГО РАЙОНА")</f>
        <v>ГБУЗ "ЦРБ" Г.О. ПРОХЛАДНЫЙ И ПРОХЛАДНЕНСКОГО МУНИЦИПАЛЬНОГО РАЙОНА</v>
      </c>
      <c r="B10228" s="24" t="s">
        <v>14506</v>
      </c>
      <c r="C10228" s="25">
        <v>20200</v>
      </c>
      <c r="D10228" s="22" t="s">
        <v>14507</v>
      </c>
      <c r="E10228" s="22" t="s">
        <v>86</v>
      </c>
      <c r="F10228" s="23" t="str">
        <f>HYPERLINK("https://www.spark-marketing.ru/Card/Lot/72448337", "Оказание услуг по обеспечению лекарственными средствами, медицинскими изделиями, специализированными продуктами лечебного питания, средствами для дезинфекции и иммунобиологическими препаратами.")</f>
        <v>Оказание услуг по обеспечению лекарственными средствами, медицинскими изделиями, специализированными продуктами лечебного питания, средствами для дезинфекции и иммунобиологическими препаратами.</v>
      </c>
      <c r="G10228" s="22" t="s">
        <v>986</v>
      </c>
      <c r="H10228" s="22" t="s">
        <v>14508</v>
      </c>
      <c r="I10228" s="26">
        <v>43675.6540046296</v>
      </c>
      <c r="J10228" s="28" t="s">
        <v>51</v>
      </c>
      <c r="K10228" s="28" t="s">
        <v>51</v>
      </c>
      <c r="L10228" s="28" t="s">
        <v>51</v>
      </c>
      <c r="M10228" s="28" t="s">
        <v>51</v>
      </c>
      <c r="N10228" s="28" t="s">
        <v>51</v>
      </c>
    </row>
    <row r="10229" spans="1:14" x14ac:dyDescent="0.15">
      <c r="A10229" s="23" t="str">
        <f>HYPERLINK("https://www.spark-marketing.ru/Card/Person/356943", "МЕЖМУНИЦИПАЛЬНЫЙ ОТДЕЛ МВД РОССИИ ""КРАСНОСУЛИНСКИЙ""")</f>
        <v>МЕЖМУНИЦИПАЛЬНЫЙ ОТДЕЛ МВД РОССИИ "КРАСНОСУЛИНСКИЙ"</v>
      </c>
      <c r="B10229" s="24" t="s">
        <v>2159</v>
      </c>
      <c r="C10229" s="25">
        <v>15906.87</v>
      </c>
      <c r="D10229" s="22" t="s">
        <v>14509</v>
      </c>
      <c r="E10229" s="22" t="s">
        <v>48</v>
      </c>
      <c r="F10229" s="23" t="str">
        <f>HYPERLINK("https://www.spark-marketing.ru/Card/Lot/72442080", "Услуги по обеспечению питания лиц содержащихся в спец. помещениях задержанных лиц, 49 усл. ед")</f>
        <v>Услуги по обеспечению питания лиц содержащихся в спец. помещениях задержанных лиц, 49 усл. ед</v>
      </c>
      <c r="G10229" s="22" t="s">
        <v>267</v>
      </c>
      <c r="H10229" s="22" t="s">
        <v>9424</v>
      </c>
      <c r="I10229" s="26">
        <v>43675.665601851899</v>
      </c>
      <c r="J10229" s="28" t="s">
        <v>51</v>
      </c>
      <c r="K10229" s="28" t="s">
        <v>51</v>
      </c>
      <c r="L10229" s="28" t="s">
        <v>51</v>
      </c>
      <c r="M10229" s="28" t="s">
        <v>51</v>
      </c>
      <c r="N10229" s="28" t="s">
        <v>51</v>
      </c>
    </row>
    <row r="10230" spans="1:14" x14ac:dyDescent="0.15">
      <c r="A10230" s="23" t="str">
        <f>HYPERLINK("https://www.spark-marketing.ru/Card/Person/25432", "ГБУЗ ""ЦРБ"" Г.О. ПРОХЛАДНЫЙ И ПРОХЛАДНЕНСКОГО МУНИЦИПАЛЬНОГО РАЙОНА")</f>
        <v>ГБУЗ "ЦРБ" Г.О. ПРОХЛАДНЫЙ И ПРОХЛАДНЕНСКОГО МУНИЦИПАЛЬНОГО РАЙОНА</v>
      </c>
      <c r="B10230" s="24" t="s">
        <v>14506</v>
      </c>
      <c r="C10230" s="25">
        <v>33148.199999999997</v>
      </c>
      <c r="D10230" s="22" t="s">
        <v>14510</v>
      </c>
      <c r="E10230" s="22" t="s">
        <v>86</v>
      </c>
      <c r="F10230" s="23" t="str">
        <f>HYPERLINK("https://www.spark-marketing.ru/Card/Lot/72448312", "Оказание услуг по обеспечению лекарственными средствами, медицинскими изделиями, специализированными продуктами лечебного питания, средствами для дезинфекции и иммунобиологическими препаратами.")</f>
        <v>Оказание услуг по обеспечению лекарственными средствами, медицинскими изделиями, специализированными продуктами лечебного питания, средствами для дезинфекции и иммунобиологическими препаратами.</v>
      </c>
      <c r="G10230" s="22" t="s">
        <v>986</v>
      </c>
      <c r="H10230" s="22" t="s">
        <v>14508</v>
      </c>
      <c r="I10230" s="26">
        <v>43675.653101851902</v>
      </c>
      <c r="J10230" s="28" t="s">
        <v>51</v>
      </c>
      <c r="K10230" s="28" t="s">
        <v>51</v>
      </c>
      <c r="L10230" s="28" t="s">
        <v>51</v>
      </c>
      <c r="M10230" s="28" t="s">
        <v>51</v>
      </c>
      <c r="N10230" s="28" t="s">
        <v>51</v>
      </c>
    </row>
    <row r="10231" spans="1:14" x14ac:dyDescent="0.15">
      <c r="A10231" s="23" t="str">
        <f>HYPERLINK("https://www.spark-marketing.ru/Card/Person/29642", "ФГБОУ ВО ИВГМА МИНЗДРАВА РОССИИ")</f>
        <v>ФГБОУ ВО ИВГМА МИНЗДРАВА РОССИИ</v>
      </c>
      <c r="B10231" s="24" t="s">
        <v>4658</v>
      </c>
      <c r="C10231" s="25">
        <v>67747</v>
      </c>
      <c r="D10231" s="22" t="s">
        <v>14511</v>
      </c>
      <c r="E10231" s="22" t="s">
        <v>62</v>
      </c>
      <c r="F10231" s="23" t="str">
        <f>HYPERLINK("https://www.spark-marketing.ru/Card/Lot/72448292", "Оказание услуг по изготовлению бланков для клиники ФГБОУ ВО ИвГМа Минздрава России")</f>
        <v>Оказание услуг по изготовлению бланков для клиники ФГБОУ ВО ИвГМа Минздрава России</v>
      </c>
      <c r="G10231" s="22" t="s">
        <v>1047</v>
      </c>
      <c r="H10231" s="22" t="s">
        <v>1047</v>
      </c>
      <c r="I10231" s="26">
        <v>43675.650462963</v>
      </c>
      <c r="J10231" s="23" t="str">
        <f>HYPERLINK("https://www.spark-marketing.ru/Card/Person/6421268", "Головатый Александр Николаевич")</f>
        <v>Головатый Александр Николаевич</v>
      </c>
      <c r="K10231" s="24" t="s">
        <v>5206</v>
      </c>
      <c r="L10231" s="28" t="s">
        <v>51</v>
      </c>
      <c r="M10231" s="28" t="s">
        <v>51</v>
      </c>
      <c r="N10231" s="28" t="s">
        <v>51</v>
      </c>
    </row>
    <row r="10232" spans="1:14" ht="12.75" hidden="1" outlineLevel="1" x14ac:dyDescent="0.2">
      <c r="A10232" s="23" t="str">
        <f>HYPERLINK("https://www.spark-marketing.ru/Card/Person/29642", "ФГБОУ ВО ИВГМА МИНЗДРАВА РОССИИ")</f>
        <v>ФГБОУ ВО ИВГМА МИНЗДРАВА РОССИИ</v>
      </c>
      <c r="B10232" s="24" t="s">
        <v>4658</v>
      </c>
      <c r="C10232" s="25">
        <v>67747</v>
      </c>
      <c r="D10232" s="22" t="s">
        <v>14511</v>
      </c>
      <c r="E10232" s="22" t="s">
        <v>62</v>
      </c>
      <c r="F10232" s="23" t="str">
        <f>HYPERLINK("https://www.spark-marketing.ru/Card/Lot/72448292", "Оказание услуг по изготовлению бланков для клиники ФГБОУ ВО ИвГМа Минздрава России")</f>
        <v>Оказание услуг по изготовлению бланков для клиники ФГБОУ ВО ИвГМа Минздрава России</v>
      </c>
      <c r="G10232" s="22" t="s">
        <v>1047</v>
      </c>
      <c r="H10232" s="22" t="s">
        <v>1047</v>
      </c>
      <c r="I10232" s="26">
        <v>43675.650462963</v>
      </c>
      <c r="J10232" s="23" t="str">
        <f>HYPERLINK("https://www.spark-marketing.ru/Card/Person/6421268", "Головатый Александр Николаевич")</f>
        <v>Головатый Александр Николаевич</v>
      </c>
      <c r="K10232" s="24" t="s">
        <v>5206</v>
      </c>
      <c r="L10232" s="22" t="s">
        <v>10</v>
      </c>
      <c r="M10232" s="25">
        <v>67408.259999999995</v>
      </c>
      <c r="N10232" s="27">
        <v>5.0000738040060812E-3</v>
      </c>
    </row>
    <row r="10233" spans="1:14" x14ac:dyDescent="0.15">
      <c r="A10233" s="23" t="str">
        <f>HYPERLINK("https://www.spark-marketing.ru/Card/Person/3252", "МБОУ ""СОШ №4""")</f>
        <v>МБОУ "СОШ №4"</v>
      </c>
      <c r="B10233" s="24" t="s">
        <v>14512</v>
      </c>
      <c r="C10233" s="25">
        <v>8521558.4000000004</v>
      </c>
      <c r="D10233" s="22" t="s">
        <v>14513</v>
      </c>
      <c r="E10233" s="22" t="s">
        <v>96</v>
      </c>
      <c r="F10233" s="23" t="str">
        <f>HYPERLINK("https://www.spark-marketing.ru/Card/Lot/72452104", "Оказание услуг в организации питания обучающихся.")</f>
        <v>Оказание услуг в организации питания обучающихся.</v>
      </c>
      <c r="G10233" s="22" t="s">
        <v>97</v>
      </c>
      <c r="H10233" s="22" t="s">
        <v>1711</v>
      </c>
      <c r="I10233" s="26">
        <v>43675.659687500003</v>
      </c>
      <c r="J10233" s="23" t="str">
        <f>HYPERLINK("https://www.spark-marketing.ru/Card/Person/6483642", "МУП ""КОМБИНАТ ПИТАНИЯ""")</f>
        <v>МУП "КОМБИНАТ ПИТАНИЯ"</v>
      </c>
      <c r="K10233" s="24" t="s">
        <v>13025</v>
      </c>
      <c r="L10233" s="28" t="s">
        <v>51</v>
      </c>
      <c r="M10233" s="28" t="s">
        <v>51</v>
      </c>
      <c r="N10233" s="28" t="s">
        <v>51</v>
      </c>
    </row>
    <row r="10234" spans="1:14" ht="12.75" hidden="1" outlineLevel="1" x14ac:dyDescent="0.2">
      <c r="A10234" s="23" t="str">
        <f>HYPERLINK("https://www.spark-marketing.ru/Card/Person/3252", "МБОУ ""СОШ №4""")</f>
        <v>МБОУ "СОШ №4"</v>
      </c>
      <c r="B10234" s="24" t="s">
        <v>14512</v>
      </c>
      <c r="C10234" s="25">
        <v>8521558.4000000004</v>
      </c>
      <c r="D10234" s="22" t="s">
        <v>14513</v>
      </c>
      <c r="E10234" s="22" t="s">
        <v>96</v>
      </c>
      <c r="F10234" s="23" t="str">
        <f>HYPERLINK("https://www.spark-marketing.ru/Card/Lot/72452104", "Оказание услуг в организации питания обучающихся.")</f>
        <v>Оказание услуг в организации питания обучающихся.</v>
      </c>
      <c r="G10234" s="22" t="s">
        <v>97</v>
      </c>
      <c r="H10234" s="22" t="s">
        <v>1711</v>
      </c>
      <c r="I10234" s="26">
        <v>43675.659687500003</v>
      </c>
      <c r="J10234" s="23" t="str">
        <f>HYPERLINK("https://www.spark-marketing.ru/Card/Person/6483642", "МУП ""КОМБИНАТ ПИТАНИЯ""")</f>
        <v>МУП "КОМБИНАТ ПИТАНИЯ"</v>
      </c>
      <c r="K10234" s="24" t="s">
        <v>13025</v>
      </c>
      <c r="L10234" s="22" t="s">
        <v>10</v>
      </c>
      <c r="M10234" s="25">
        <v>8478950.6099999994</v>
      </c>
      <c r="N10234" s="27">
        <v>4.9999997653011451E-3</v>
      </c>
    </row>
    <row r="10235" spans="1:14" x14ac:dyDescent="0.15">
      <c r="A10235" s="23" t="str">
        <f>HYPERLINK("https://www.spark-marketing.ru/Card/Person/267554", "ОМВД РОССИИ ""НЯНДОМСКИЙ""")</f>
        <v>ОМВД РОССИИ "НЯНДОМСКИЙ"</v>
      </c>
      <c r="B10235" s="24" t="s">
        <v>5793</v>
      </c>
      <c r="C10235" s="25">
        <v>365148.38</v>
      </c>
      <c r="D10235" s="22" t="s">
        <v>14514</v>
      </c>
      <c r="E10235" s="22" t="s">
        <v>48</v>
      </c>
      <c r="F10235" s="23" t="str">
        <f>HYPERLINK("https://www.spark-marketing.ru/Card/Lot/72449337", "Услуги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ОП ""Каргопольский"", в соответствии с нормой суточного довольствия, а также...")</f>
        <v>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ОП "Каргопольский", в соответствии с нормой суточного довольствия, а также...</v>
      </c>
      <c r="G10235" s="22" t="s">
        <v>214</v>
      </c>
      <c r="H10235" s="22" t="s">
        <v>214</v>
      </c>
      <c r="I10235" s="26">
        <v>43675.650231481501</v>
      </c>
      <c r="J10235" s="28" t="s">
        <v>51</v>
      </c>
      <c r="K10235" s="28" t="s">
        <v>51</v>
      </c>
      <c r="L10235" s="28" t="s">
        <v>51</v>
      </c>
      <c r="M10235" s="28" t="s">
        <v>51</v>
      </c>
      <c r="N10235" s="28" t="s">
        <v>51</v>
      </c>
    </row>
    <row r="10236" spans="1:14" x14ac:dyDescent="0.2">
      <c r="A10236" s="23" t="str">
        <f>HYPERLINK("https://www.spark-marketing.ru/Card/Person/1005454", "МОУ ""СОСНОВСКИЙ ЦО""")</f>
        <v>МОУ "СОСНОВСКИЙ ЦО"</v>
      </c>
      <c r="B10236" s="24" t="s">
        <v>14515</v>
      </c>
      <c r="C10236" s="25">
        <v>1695920</v>
      </c>
      <c r="D10236" s="22" t="s">
        <v>14516</v>
      </c>
      <c r="E10236" s="22" t="s">
        <v>48</v>
      </c>
      <c r="F10236" s="23" t="str">
        <f>HYPERLINK("https://www.spark-marketing.ru/Card/Lot/72452628", "Организация питания учащихся муниципального общеобразовательного учреждения «Сосновский центр образования» по социальному заказу в период с 02.09.2019г по 29.12.2019г.")</f>
        <v>Организация питания учащихся муниципального общеобразовательного учреждения «Сосновский центр образования» по социальному заказу в период с 02.09.2019г по 29.12.2019г.</v>
      </c>
      <c r="G10236" s="22" t="s">
        <v>162</v>
      </c>
      <c r="H10236" s="22" t="s">
        <v>14517</v>
      </c>
      <c r="I10236" s="26">
        <v>43675.652719907397</v>
      </c>
      <c r="J10236" s="23" t="str">
        <f>HYPERLINK("https://www.spark-marketing.ru/Card/Person/1276348", "Визгалова Лидия Сергеевна")</f>
        <v>Визгалова Лидия Сергеевна</v>
      </c>
      <c r="K10236" s="24" t="s">
        <v>14518</v>
      </c>
      <c r="L10236" s="28" t="s">
        <v>51</v>
      </c>
      <c r="M10236" s="25">
        <v>1690640</v>
      </c>
      <c r="N10236" s="27">
        <v>3.1133544035095995E-3</v>
      </c>
    </row>
    <row r="10237" spans="1:14" x14ac:dyDescent="0.15">
      <c r="A10237" s="23" t="str">
        <f>HYPERLINK("https://www.spark-marketing.ru/Card/Person/67068", "ОМВД РОССИИ ПО Г. ПЕЧОРЕ")</f>
        <v>ОМВД РОССИИ ПО Г. ПЕЧОРЕ</v>
      </c>
      <c r="B10237" s="24" t="s">
        <v>14519</v>
      </c>
      <c r="C10237" s="25">
        <v>880000</v>
      </c>
      <c r="D10237" s="22" t="s">
        <v>14520</v>
      </c>
      <c r="E10237" s="22" t="s">
        <v>48</v>
      </c>
      <c r="F10237" s="23" t="str">
        <f>HYPERLINK("https://www.spark-marketing.ru/Card/Lot/72451045", "Услуги по организации питания для нужд ИВС и СП ОМВД России по г. Печоре")</f>
        <v>Услуги по организации питания для нужд ИВС и СП ОМВД России по г. Печоре</v>
      </c>
      <c r="G10237" s="22" t="s">
        <v>271</v>
      </c>
      <c r="H10237" s="22" t="s">
        <v>271</v>
      </c>
      <c r="I10237" s="26">
        <v>43675.628599536998</v>
      </c>
      <c r="J10237" s="28" t="s">
        <v>51</v>
      </c>
      <c r="K10237" s="28" t="s">
        <v>51</v>
      </c>
      <c r="L10237" s="28" t="s">
        <v>51</v>
      </c>
      <c r="M10237" s="28" t="s">
        <v>51</v>
      </c>
      <c r="N10237" s="28" t="s">
        <v>51</v>
      </c>
    </row>
    <row r="10238" spans="1:14" hidden="1" outlineLevel="1" x14ac:dyDescent="0.2">
      <c r="A10238" s="23" t="str">
        <f>HYPERLINK("https://www.spark-marketing.ru/Card/Person/67068", "ОМВД РОССИИ ПО Г. ПЕЧОРЕ")</f>
        <v>ОМВД РОССИИ ПО Г. ПЕЧОРЕ</v>
      </c>
      <c r="B10238" s="24" t="s">
        <v>14519</v>
      </c>
      <c r="C10238" s="25">
        <v>880000</v>
      </c>
      <c r="D10238" s="22" t="s">
        <v>14520</v>
      </c>
      <c r="E10238" s="22" t="s">
        <v>48</v>
      </c>
      <c r="F10238" s="23" t="str">
        <f>HYPERLINK("https://www.spark-marketing.ru/Card/Lot/72451045", "Услуги по организации питания для нужд ИВС и СП ОМВД России по г. Печоре")</f>
        <v>Услуги по организации питания для нужд ИВС и СП ОМВД России по г. Печоре</v>
      </c>
      <c r="G10238" s="22" t="s">
        <v>271</v>
      </c>
      <c r="H10238" s="22" t="s">
        <v>271</v>
      </c>
      <c r="I10238" s="26">
        <v>43675.628599536998</v>
      </c>
      <c r="J10238" s="23" t="str">
        <f>HYPERLINK("https://www.spark-marketing.ru/Card/Person/67026", "Рощина Екатерина Андриановна")</f>
        <v>Рощина Екатерина Андриановна</v>
      </c>
      <c r="K10238" s="24" t="s">
        <v>14521</v>
      </c>
      <c r="L10238" s="28" t="s">
        <v>51</v>
      </c>
      <c r="M10238" s="25">
        <v>2938.18</v>
      </c>
      <c r="N10238" s="27">
        <v>0.99666115909090913</v>
      </c>
    </row>
    <row r="10239" spans="1:14" ht="12.75" hidden="1" outlineLevel="1" x14ac:dyDescent="0.2">
      <c r="A10239" s="23" t="str">
        <f>HYPERLINK("https://www.spark-marketing.ru/Card/Person/67068", "ОМВД РОССИИ ПО Г. ПЕЧОРЕ")</f>
        <v>ОМВД РОССИИ ПО Г. ПЕЧОРЕ</v>
      </c>
      <c r="B10239" s="24" t="s">
        <v>14519</v>
      </c>
      <c r="C10239" s="25">
        <v>880000</v>
      </c>
      <c r="D10239" s="22" t="s">
        <v>14520</v>
      </c>
      <c r="E10239" s="22" t="s">
        <v>48</v>
      </c>
      <c r="F10239" s="23" t="str">
        <f>HYPERLINK("https://www.spark-marketing.ru/Card/Lot/72451045", "Услуги по организации питания для нужд ИВС и СП ОМВД России по г. Печоре")</f>
        <v>Услуги по организации питания для нужд ИВС и СП ОМВД России по г. Печоре</v>
      </c>
      <c r="G10239" s="22" t="s">
        <v>271</v>
      </c>
      <c r="H10239" s="22" t="s">
        <v>271</v>
      </c>
      <c r="I10239" s="26">
        <v>43675.628599536998</v>
      </c>
      <c r="J10239" s="23" t="str">
        <f>HYPERLINK("https://www.spark-marketing.ru/Card/Person/6676342", "Кургузова Галина Валентиновна")</f>
        <v>Кургузова Галина Валентиновна</v>
      </c>
      <c r="K10239" s="24" t="s">
        <v>14522</v>
      </c>
      <c r="L10239" s="22" t="s">
        <v>10</v>
      </c>
      <c r="M10239" s="25">
        <v>2524.6799999999998</v>
      </c>
      <c r="N10239" s="27">
        <v>0.99713104545454545</v>
      </c>
    </row>
    <row r="10240" spans="1:14" hidden="1" outlineLevel="1" x14ac:dyDescent="0.2">
      <c r="A10240" s="23" t="str">
        <f>HYPERLINK("https://www.spark-marketing.ru/Card/Person/67068", "ОМВД РОССИИ ПО Г. ПЕЧОРЕ")</f>
        <v>ОМВД РОССИИ ПО Г. ПЕЧОРЕ</v>
      </c>
      <c r="B10240" s="24" t="s">
        <v>14519</v>
      </c>
      <c r="C10240" s="25">
        <v>880000</v>
      </c>
      <c r="D10240" s="22" t="s">
        <v>14520</v>
      </c>
      <c r="E10240" s="22" t="s">
        <v>48</v>
      </c>
      <c r="F10240" s="23" t="str">
        <f>HYPERLINK("https://www.spark-marketing.ru/Card/Lot/72451045", "Услуги по организации питания для нужд ИВС и СП ОМВД России по г. Печоре")</f>
        <v>Услуги по организации питания для нужд ИВС и СП ОМВД России по г. Печоре</v>
      </c>
      <c r="G10240" s="22" t="s">
        <v>271</v>
      </c>
      <c r="H10240" s="22" t="s">
        <v>271</v>
      </c>
      <c r="I10240" s="26">
        <v>43675.628599536998</v>
      </c>
      <c r="J10240" s="23" t="str">
        <f>HYPERLINK("https://www.spark-marketing.ru/Card/Person/6682761", "ООО ""ПЕГАС""")</f>
        <v>ООО "ПЕГАС"</v>
      </c>
      <c r="K10240" s="24" t="s">
        <v>14523</v>
      </c>
      <c r="L10240" s="28" t="s">
        <v>51</v>
      </c>
      <c r="M10240" s="25">
        <v>2539.4499999999998</v>
      </c>
      <c r="N10240" s="27">
        <v>0.99711426136363634</v>
      </c>
    </row>
    <row r="10241" spans="1:14" x14ac:dyDescent="0.15">
      <c r="A10241" s="23" t="str">
        <f>HYPERLINK("https://www.spark-marketing.ru/Card/Person/253242", "ОМВД РОССИИ ПО БЕЛОМОРСКОМУ РАЙОНУ")</f>
        <v>ОМВД РОССИИ ПО БЕЛОМОРСКОМУ РАЙОНУ</v>
      </c>
      <c r="B10241" s="24" t="s">
        <v>3225</v>
      </c>
      <c r="C10241" s="25">
        <v>857725.5</v>
      </c>
      <c r="D10241" s="22" t="s">
        <v>14524</v>
      </c>
      <c r="E10241" s="22" t="s">
        <v>48</v>
      </c>
      <c r="F10241" s="23" t="str">
        <f>HYPERLINK("https://www.spark-marketing.ru/Card/Lot/72447155",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0241" s="22" t="s">
        <v>59</v>
      </c>
      <c r="H10241" s="22" t="s">
        <v>3227</v>
      </c>
      <c r="I10241" s="26">
        <v>43675.629039351901</v>
      </c>
      <c r="J10241" s="28" t="s">
        <v>51</v>
      </c>
      <c r="K10241" s="28" t="s">
        <v>51</v>
      </c>
      <c r="L10241" s="28" t="s">
        <v>51</v>
      </c>
      <c r="M10241" s="28" t="s">
        <v>51</v>
      </c>
      <c r="N10241" s="28" t="s">
        <v>51</v>
      </c>
    </row>
    <row r="10242" spans="1:14" x14ac:dyDescent="0.15">
      <c r="A10242" s="23" t="str">
        <f>HYPERLINK("https://www.spark-marketing.ru/Card/Person/4373783", "МБОУ ""ЯЛТИНСКАЯ ГИМНАЗИЯ ИМ.А.П.ЧЕХОВА""")</f>
        <v>МБОУ "ЯЛТИНСКАЯ ГИМНАЗИЯ ИМ.А.П.ЧЕХОВА"</v>
      </c>
      <c r="B10242" s="24" t="s">
        <v>14525</v>
      </c>
      <c r="C10242" s="25">
        <v>1028100</v>
      </c>
      <c r="D10242" s="22" t="s">
        <v>14526</v>
      </c>
      <c r="E10242" s="22" t="s">
        <v>48</v>
      </c>
      <c r="F10242" s="23" t="str">
        <f>HYPERLINK("https://www.spark-marketing.ru/Card/Lot/72451979", "Оказания услуг по организации горячего питания (завтраки, обеды) обучающихся.")</f>
        <v>Оказания услуг по организации горячего питания (завтраки, обеды) обучающихся.</v>
      </c>
      <c r="G10242" s="22" t="s">
        <v>108</v>
      </c>
      <c r="H10242" s="22" t="s">
        <v>1321</v>
      </c>
      <c r="I10242" s="26">
        <v>43675.626655092601</v>
      </c>
      <c r="J10242" s="23" t="str">
        <f>HYPERLINK("https://www.spark-marketing.ru/Card/Person/1730092", "ООО ""МИМОЗА""")</f>
        <v>ООО "МИМОЗА"</v>
      </c>
      <c r="K10242" s="24" t="s">
        <v>4673</v>
      </c>
      <c r="L10242" s="22" t="s">
        <v>10</v>
      </c>
      <c r="M10242" s="28" t="s">
        <v>51</v>
      </c>
      <c r="N10242" s="28" t="s">
        <v>51</v>
      </c>
    </row>
    <row r="10243" spans="1:14" x14ac:dyDescent="0.15">
      <c r="A10243" s="23" t="str">
        <f>HYPERLINK("https://www.spark-marketing.ru/Card/Person/54226", "ОМВД РОССИИ ПО ГОРОДУ МОНЧЕГОРСКУ")</f>
        <v>ОМВД РОССИИ ПО ГОРОДУ МОНЧЕГОРСКУ</v>
      </c>
      <c r="B10243" s="24" t="s">
        <v>8248</v>
      </c>
      <c r="C10243" s="25">
        <v>114084</v>
      </c>
      <c r="D10243" s="22" t="s">
        <v>14527</v>
      </c>
      <c r="E10243" s="22" t="s">
        <v>48</v>
      </c>
      <c r="F10243" s="23" t="str">
        <f>HYPERLINK("https://www.spark-marketing.ru/Card/Lot/72441751", "Услуги по обеспечению питанием, осуществляемые по договору, 254 усл. ед")</f>
        <v>Услуги по обеспечению питанием, осуществляемые по договору, 254 усл. ед</v>
      </c>
      <c r="G10243" s="22" t="s">
        <v>340</v>
      </c>
      <c r="H10243" s="22" t="s">
        <v>8250</v>
      </c>
      <c r="I10243" s="26">
        <v>43675.645011574103</v>
      </c>
      <c r="J10243" s="28" t="s">
        <v>51</v>
      </c>
      <c r="K10243" s="28" t="s">
        <v>51</v>
      </c>
      <c r="L10243" s="28" t="s">
        <v>51</v>
      </c>
      <c r="M10243" s="28" t="s">
        <v>51</v>
      </c>
      <c r="N10243" s="28" t="s">
        <v>51</v>
      </c>
    </row>
    <row r="10244" spans="1:14" x14ac:dyDescent="0.15">
      <c r="A10244" s="23" t="str">
        <f>HYPERLINK("https://www.spark-marketing.ru/Card/Person/4751199", "МАОУ СВЕРДЛОВСКАЯ СОШ № 2")</f>
        <v>МАОУ СВЕРДЛОВСКАЯ СОШ № 2</v>
      </c>
      <c r="B10244" s="24" t="s">
        <v>13586</v>
      </c>
      <c r="C10244" s="25">
        <v>3707024</v>
      </c>
      <c r="D10244" s="22" t="s">
        <v>14528</v>
      </c>
      <c r="E10244" s="22" t="s">
        <v>362</v>
      </c>
      <c r="F10244" s="23" t="str">
        <f>HYPERLINK("https://www.spark-marketing.ru/Card/Lot/72456600", "Оказание услуг по организации горячего питания на базе пищеблока Заказчика")</f>
        <v>Оказание услуг по организации горячего питания на базе пищеблока Заказчика</v>
      </c>
      <c r="G10244" s="22" t="s">
        <v>49</v>
      </c>
      <c r="H10244" s="22" t="s">
        <v>49</v>
      </c>
      <c r="I10244" s="26">
        <v>43675.6639236111</v>
      </c>
      <c r="J10244" s="28" t="s">
        <v>51</v>
      </c>
      <c r="K10244" s="28" t="s">
        <v>51</v>
      </c>
      <c r="L10244" s="28" t="s">
        <v>51</v>
      </c>
      <c r="M10244" s="28" t="s">
        <v>51</v>
      </c>
      <c r="N10244" s="28" t="s">
        <v>51</v>
      </c>
    </row>
    <row r="10245" spans="1:14" x14ac:dyDescent="0.15">
      <c r="A10245" s="23" t="str">
        <f>HYPERLINK("https://www.spark-marketing.ru/Card/Person/61950", "ГБУЗ СО ""ЖИГУЛЕВСКАЯ ЦГБ""")</f>
        <v>ГБУЗ СО "ЖИГУЛЕВСКАЯ ЦГБ"</v>
      </c>
      <c r="B10245" s="24" t="s">
        <v>14529</v>
      </c>
      <c r="C10245" s="25">
        <v>9603995</v>
      </c>
      <c r="D10245" s="22" t="s">
        <v>14530</v>
      </c>
      <c r="E10245" s="22" t="s">
        <v>48</v>
      </c>
      <c r="F10245" s="23" t="str">
        <f>HYPERLINK("https://www.spark-marketing.ru/Card/Lot/72459164", "Оказание услуг по приготовление диетического лечебного питания пациентам Государственного бюджетного учреждения здравоохранения Самарской области ""Жигулевская центральная городская больница"".")</f>
        <v>Оказание услуг по приготовление диетического лечебного питания пациентам Государственного бюджетного учреждения здравоохранения Самарской области "Жигулевская центральная городская больница".</v>
      </c>
      <c r="G10245" s="22" t="s">
        <v>128</v>
      </c>
      <c r="H10245" s="22" t="s">
        <v>14164</v>
      </c>
      <c r="I10245" s="26">
        <v>43675.643530092602</v>
      </c>
      <c r="J10245" s="28" t="s">
        <v>51</v>
      </c>
      <c r="K10245" s="28" t="s">
        <v>51</v>
      </c>
      <c r="L10245" s="28" t="s">
        <v>51</v>
      </c>
      <c r="M10245" s="28" t="s">
        <v>51</v>
      </c>
      <c r="N10245" s="28" t="s">
        <v>51</v>
      </c>
    </row>
    <row r="10246" spans="1:14" hidden="1" outlineLevel="1" x14ac:dyDescent="0.2">
      <c r="A10246" s="23" t="str">
        <f>HYPERLINK("https://www.spark-marketing.ru/Card/Person/61950", "ГБУЗ СО ""ЖИГУЛЕВСКАЯ ЦГБ""")</f>
        <v>ГБУЗ СО "ЖИГУЛЕВСКАЯ ЦГБ"</v>
      </c>
      <c r="B10246" s="24" t="s">
        <v>14529</v>
      </c>
      <c r="C10246" s="25">
        <v>9603995</v>
      </c>
      <c r="D10246" s="22" t="s">
        <v>14530</v>
      </c>
      <c r="E10246" s="22" t="s">
        <v>48</v>
      </c>
      <c r="F10246" s="23" t="str">
        <f>HYPERLINK("https://www.spark-marketing.ru/Card/Lot/72459164", "Оказание услуг по приготовление диетического лечебного питания пациентам Государственного бюджетного учреждения здравоохранения Самарской области ""Жигулевская центральная городская больница"".")</f>
        <v>Оказание услуг по приготовление диетического лечебного питания пациентам Государственного бюджетного учреждения здравоохранения Самарской области "Жигулевская центральная городская больница".</v>
      </c>
      <c r="G10246" s="22" t="s">
        <v>128</v>
      </c>
      <c r="H10246" s="22" t="s">
        <v>14164</v>
      </c>
      <c r="I10246" s="26">
        <v>43675.643530092602</v>
      </c>
      <c r="J10246" s="23" t="str">
        <f>HYPERLINK("https://www.spark-marketing.ru/Card/Person/31748", "ЧУСТРИ ""АРАХНА"" ТГООИВ")</f>
        <v>ЧУСТРИ "АРАХНА" ТГООИВ</v>
      </c>
      <c r="K10246" s="24" t="s">
        <v>14531</v>
      </c>
      <c r="L10246" s="28" t="s">
        <v>51</v>
      </c>
      <c r="M10246" s="25">
        <v>9293832</v>
      </c>
      <c r="N10246" s="27">
        <v>3.2295206317787546E-2</v>
      </c>
    </row>
    <row r="10247" spans="1:14" ht="12.75" hidden="1" outlineLevel="1" x14ac:dyDescent="0.2">
      <c r="A10247" s="23" t="str">
        <f>HYPERLINK("https://www.spark-marketing.ru/Card/Person/61950", "ГБУЗ СО ""ЖИГУЛЕВСКАЯ ЦГБ""")</f>
        <v>ГБУЗ СО "ЖИГУЛЕВСКАЯ ЦГБ"</v>
      </c>
      <c r="B10247" s="24" t="s">
        <v>14529</v>
      </c>
      <c r="C10247" s="25">
        <v>9603995</v>
      </c>
      <c r="D10247" s="22" t="s">
        <v>14530</v>
      </c>
      <c r="E10247" s="22" t="s">
        <v>48</v>
      </c>
      <c r="F10247" s="23" t="str">
        <f>HYPERLINK("https://www.spark-marketing.ru/Card/Lot/72459164", "Оказание услуг по приготовление диетического лечебного питания пациентам Государственного бюджетного учреждения здравоохранения Самарской области ""Жигулевская центральная городская больница"".")</f>
        <v>Оказание услуг по приготовление диетического лечебного питания пациентам Государственного бюджетного учреждения здравоохранения Самарской области "Жигулевская центральная городская больница".</v>
      </c>
      <c r="G10247" s="22" t="s">
        <v>128</v>
      </c>
      <c r="H10247" s="22" t="s">
        <v>14164</v>
      </c>
      <c r="I10247" s="26">
        <v>43675.643530092602</v>
      </c>
      <c r="J10247" s="23" t="str">
        <f>HYPERLINK("https://www.spark-marketing.ru/Card/Person/4347804", "ООО ""ККДП""")</f>
        <v>ООО "ККДП"</v>
      </c>
      <c r="K10247" s="24" t="s">
        <v>14532</v>
      </c>
      <c r="L10247" s="22" t="s">
        <v>10</v>
      </c>
      <c r="M10247" s="25">
        <v>9503995</v>
      </c>
      <c r="N10247" s="27">
        <v>1.0412333617416503E-2</v>
      </c>
    </row>
    <row r="10248" spans="1:14" x14ac:dyDescent="0.15">
      <c r="A10248" s="23" t="str">
        <f>HYPERLINK("https://www.spark-marketing.ru/Card/Person/267554", "ОМВД РОССИИ ""НЯНДОМСКИЙ""")</f>
        <v>ОМВД РОССИИ "НЯНДОМСКИЙ"</v>
      </c>
      <c r="B10248" s="24" t="s">
        <v>5793</v>
      </c>
      <c r="C10248" s="25">
        <v>534524.19999999995</v>
      </c>
      <c r="D10248" s="22" t="s">
        <v>14533</v>
      </c>
      <c r="E10248" s="22" t="s">
        <v>48</v>
      </c>
      <c r="F10248" s="23" t="str">
        <f>HYPERLINK("https://www.spark-marketing.ru/Card/Lot/72449332", "Услуги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ОМВД России «Няндомский», в соответствии с нормой суточного довольствия, а т...")</f>
        <v>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ОМВД России «Няндомский», в соответствии с нормой суточного довольствия, а т...</v>
      </c>
      <c r="G10248" s="22" t="s">
        <v>214</v>
      </c>
      <c r="H10248" s="22" t="s">
        <v>214</v>
      </c>
      <c r="I10248" s="26">
        <v>43675.648715277799</v>
      </c>
      <c r="J10248" s="23" t="str">
        <f>HYPERLINK("https://www.spark-marketing.ru/Card/Person/6204506", "ООО ""ТРАНСАВТО""")</f>
        <v>ООО "ТРАНСАВТО"</v>
      </c>
      <c r="K10248" s="24" t="s">
        <v>5795</v>
      </c>
      <c r="L10248" s="28" t="s">
        <v>51</v>
      </c>
      <c r="M10248" s="28" t="s">
        <v>51</v>
      </c>
      <c r="N10248" s="28" t="s">
        <v>51</v>
      </c>
    </row>
    <row r="10249" spans="1:14" x14ac:dyDescent="0.15">
      <c r="A10249" s="23" t="str">
        <f>HYPERLINK("https://www.spark-marketing.ru/Card/Person/356943", "МЕЖМУНИЦИПАЛЬНЫЙ ОТДЕЛ МВД РОССИИ ""КРАСНОСУЛИНСКИЙ""")</f>
        <v>МЕЖМУНИЦИПАЛЬНЫЙ ОТДЕЛ МВД РОССИИ "КРАСНОСУЛИНСКИЙ"</v>
      </c>
      <c r="B10249" s="24" t="s">
        <v>2159</v>
      </c>
      <c r="C10249" s="25">
        <v>15906.87</v>
      </c>
      <c r="D10249" s="22" t="s">
        <v>14534</v>
      </c>
      <c r="E10249" s="22" t="s">
        <v>48</v>
      </c>
      <c r="F10249" s="23" t="str">
        <f>HYPERLINK("https://www.spark-marketing.ru/Card/Lot/72442063", "Услуги по обеспечению питания лиц содержащихся в спец. помещениях задержанных лиц, 49 усл. ед")</f>
        <v>Услуги по обеспечению питания лиц содержащихся в спец. помещениях задержанных лиц, 49 усл. ед</v>
      </c>
      <c r="G10249" s="22" t="s">
        <v>267</v>
      </c>
      <c r="H10249" s="22" t="s">
        <v>9424</v>
      </c>
      <c r="I10249" s="26">
        <v>43675.660266203697</v>
      </c>
      <c r="J10249" s="28" t="s">
        <v>51</v>
      </c>
      <c r="K10249" s="28" t="s">
        <v>51</v>
      </c>
      <c r="L10249" s="28" t="s">
        <v>51</v>
      </c>
      <c r="M10249" s="28" t="s">
        <v>51</v>
      </c>
      <c r="N10249" s="28" t="s">
        <v>51</v>
      </c>
    </row>
    <row r="10250" spans="1:14" x14ac:dyDescent="0.15">
      <c r="A10250" s="23" t="str">
        <f>HYPERLINK("https://www.spark-marketing.ru/Card/Person/1077922", "МБДОУ №52 Г.ШАХТЫ")</f>
        <v>МБДОУ №52 Г.ШАХТЫ</v>
      </c>
      <c r="B10250" s="24" t="s">
        <v>14535</v>
      </c>
      <c r="C10250" s="25">
        <v>282628.28000000003</v>
      </c>
      <c r="D10250" s="22" t="s">
        <v>14536</v>
      </c>
      <c r="E10250" s="22" t="s">
        <v>48</v>
      </c>
      <c r="F10250" s="23" t="str">
        <f>HYPERLINK("https://www.spark-marketing.ru/Card/Lot/72441805", "услуги по организации питания")</f>
        <v>услуги по организации питания</v>
      </c>
      <c r="G10250" s="22" t="s">
        <v>267</v>
      </c>
      <c r="H10250" s="22" t="s">
        <v>4874</v>
      </c>
      <c r="I10250" s="26">
        <v>43675.651388888902</v>
      </c>
      <c r="J10250" s="28" t="s">
        <v>51</v>
      </c>
      <c r="K10250" s="28" t="s">
        <v>51</v>
      </c>
      <c r="L10250" s="28" t="s">
        <v>51</v>
      </c>
      <c r="M10250" s="28" t="s">
        <v>51</v>
      </c>
      <c r="N10250" s="28" t="s">
        <v>51</v>
      </c>
    </row>
    <row r="10251" spans="1:14" x14ac:dyDescent="0.15">
      <c r="A10251" s="23" t="str">
        <f>HYPERLINK("https://www.spark-marketing.ru/Card/Person/2086234", "ГАОУ ""ЛИЦЕЙ ИННОПОЛИС""")</f>
        <v>ГАОУ "ЛИЦЕЙ ИННОПОЛИС"</v>
      </c>
      <c r="B10251" s="24" t="s">
        <v>1143</v>
      </c>
      <c r="C10251" s="25">
        <v>5280000</v>
      </c>
      <c r="D10251" s="22" t="s">
        <v>14537</v>
      </c>
      <c r="E10251" s="22" t="s">
        <v>48</v>
      </c>
      <c r="F10251" s="23" t="str">
        <f>HYPERLINK("https://www.spark-marketing.ru/Card/Lot/72457810", "Оказание услуг по обеспечению горячим питанием учащихся")</f>
        <v>Оказание услуг по обеспечению горячим питанием учащихся</v>
      </c>
      <c r="G10251" s="22" t="s">
        <v>217</v>
      </c>
      <c r="H10251" s="22" t="s">
        <v>1145</v>
      </c>
      <c r="I10251" s="26">
        <v>43675.652974536999</v>
      </c>
      <c r="J10251" s="28" t="s">
        <v>51</v>
      </c>
      <c r="K10251" s="28" t="s">
        <v>51</v>
      </c>
      <c r="L10251" s="28" t="s">
        <v>51</v>
      </c>
      <c r="M10251" s="28" t="s">
        <v>51</v>
      </c>
      <c r="N10251" s="28" t="s">
        <v>51</v>
      </c>
    </row>
    <row r="10252" spans="1:14" hidden="1" outlineLevel="1" x14ac:dyDescent="0.2">
      <c r="A10252" s="23" t="str">
        <f>HYPERLINK("https://www.spark-marketing.ru/Card/Person/2086234", "ГАОУ ""ЛИЦЕЙ ИННОПОЛИС""")</f>
        <v>ГАОУ "ЛИЦЕЙ ИННОПОЛИС"</v>
      </c>
      <c r="B10252" s="24" t="s">
        <v>1143</v>
      </c>
      <c r="C10252" s="25">
        <v>5280000</v>
      </c>
      <c r="D10252" s="22" t="s">
        <v>14537</v>
      </c>
      <c r="E10252" s="22" t="s">
        <v>48</v>
      </c>
      <c r="F10252" s="23" t="str">
        <f>HYPERLINK("https://www.spark-marketing.ru/Card/Lot/72457810", "Оказание услуг по обеспечению горячим питанием учащихся")</f>
        <v>Оказание услуг по обеспечению горячим питанием учащихся</v>
      </c>
      <c r="G10252" s="22" t="s">
        <v>217</v>
      </c>
      <c r="H10252" s="22" t="s">
        <v>1145</v>
      </c>
      <c r="I10252" s="26">
        <v>43675.652974536999</v>
      </c>
      <c r="J10252" s="23" t="str">
        <f>HYPERLINK("https://www.spark-marketing.ru/Card/Person/6084653", "ООО ""ВИТАРА""")</f>
        <v>ООО "ВИТАРА"</v>
      </c>
      <c r="K10252" s="24" t="s">
        <v>2437</v>
      </c>
      <c r="L10252" s="28" t="s">
        <v>51</v>
      </c>
      <c r="M10252" s="25">
        <v>3547200</v>
      </c>
      <c r="N10252" s="27">
        <v>0.32818181818181819</v>
      </c>
    </row>
    <row r="10253" spans="1:14" hidden="1" outlineLevel="1" x14ac:dyDescent="0.2">
      <c r="A10253" s="23" t="str">
        <f>HYPERLINK("https://www.spark-marketing.ru/Card/Person/2086234", "ГАОУ ""ЛИЦЕЙ ИННОПОЛИС""")</f>
        <v>ГАОУ "ЛИЦЕЙ ИННОПОЛИС"</v>
      </c>
      <c r="B10253" s="24" t="s">
        <v>1143</v>
      </c>
      <c r="C10253" s="25">
        <v>5280000</v>
      </c>
      <c r="D10253" s="22" t="s">
        <v>14537</v>
      </c>
      <c r="E10253" s="22" t="s">
        <v>48</v>
      </c>
      <c r="F10253" s="23" t="str">
        <f>HYPERLINK("https://www.spark-marketing.ru/Card/Lot/72457810", "Оказание услуг по обеспечению горячим питанием учащихся")</f>
        <v>Оказание услуг по обеспечению горячим питанием учащихся</v>
      </c>
      <c r="G10253" s="22" t="s">
        <v>217</v>
      </c>
      <c r="H10253" s="22" t="s">
        <v>1145</v>
      </c>
      <c r="I10253" s="26">
        <v>43675.652974536999</v>
      </c>
      <c r="J10253" s="23" t="str">
        <f>HYPERLINK("https://www.spark-marketing.ru/Card/Person/5895498", "ООО ""ТРАПЕЗА КОМПАНИ""")</f>
        <v>ООО "ТРАПЕЗА КОМПАНИ"</v>
      </c>
      <c r="K10253" s="24" t="s">
        <v>14538</v>
      </c>
      <c r="L10253" s="28" t="s">
        <v>51</v>
      </c>
      <c r="M10253" s="25">
        <v>3200400</v>
      </c>
      <c r="N10253" s="27">
        <v>0.39386363636363636</v>
      </c>
    </row>
    <row r="10254" spans="1:14" ht="12.75" hidden="1" outlineLevel="1" x14ac:dyDescent="0.2">
      <c r="A10254" s="23" t="str">
        <f>HYPERLINK("https://www.spark-marketing.ru/Card/Person/2086234", "ГАОУ ""ЛИЦЕЙ ИННОПОЛИС""")</f>
        <v>ГАОУ "ЛИЦЕЙ ИННОПОЛИС"</v>
      </c>
      <c r="B10254" s="24" t="s">
        <v>1143</v>
      </c>
      <c r="C10254" s="25">
        <v>5280000</v>
      </c>
      <c r="D10254" s="22" t="s">
        <v>14537</v>
      </c>
      <c r="E10254" s="22" t="s">
        <v>48</v>
      </c>
      <c r="F10254" s="23" t="str">
        <f>HYPERLINK("https://www.spark-marketing.ru/Card/Lot/72457810", "Оказание услуг по обеспечению горячим питанием учащихся")</f>
        <v>Оказание услуг по обеспечению горячим питанием учащихся</v>
      </c>
      <c r="G10254" s="22" t="s">
        <v>217</v>
      </c>
      <c r="H10254" s="22" t="s">
        <v>1145</v>
      </c>
      <c r="I10254" s="26">
        <v>43675.652974536999</v>
      </c>
      <c r="J10254" s="23" t="str">
        <f>HYPERLINK("https://www.spark-marketing.ru/Card/Person/6633295", "ООО ""КРИСТЕЛЬ""")</f>
        <v>ООО "КРИСТЕЛЬ"</v>
      </c>
      <c r="K10254" s="24" t="s">
        <v>2792</v>
      </c>
      <c r="L10254" s="22" t="s">
        <v>10</v>
      </c>
      <c r="M10254" s="25">
        <v>3174000</v>
      </c>
      <c r="N10254" s="27">
        <v>0.39886363636363636</v>
      </c>
    </row>
    <row r="10255" spans="1:14" x14ac:dyDescent="0.15">
      <c r="A10255" s="23" t="str">
        <f>HYPERLINK("https://www.spark-marketing.ru/Card/Person/269616", "МО МВД РОССИИ ""ЗЕЙСКИЙ""")</f>
        <v>МО МВД РОССИИ "ЗЕЙСКИЙ"</v>
      </c>
      <c r="B10255" s="24" t="s">
        <v>14539</v>
      </c>
      <c r="C10255" s="25">
        <v>1150000</v>
      </c>
      <c r="D10255" s="22" t="s">
        <v>14540</v>
      </c>
      <c r="E10255" s="22" t="s">
        <v>48</v>
      </c>
      <c r="F10255" s="23" t="str">
        <f>HYPERLINK("https://www.spark-marketing.ru/Card/Lot/72448330", "оказание услуг по обеспечению горячим питанием и услуг по раздаче пищи лицам, содержащихся в ИВС МО МВД России «Зейский»")</f>
        <v>оказание услуг по обеспечению горячим питанием и услуг по раздаче пищи лицам, содержащихся в ИВС МО МВД России «Зейский»</v>
      </c>
      <c r="G10255" s="22" t="s">
        <v>210</v>
      </c>
      <c r="H10255" s="22" t="s">
        <v>14541</v>
      </c>
      <c r="I10255" s="26">
        <v>43675.613136574102</v>
      </c>
      <c r="J10255" s="23" t="str">
        <f>HYPERLINK("https://www.spark-marketing.ru/Card/Person/286864", "Гордеева Елена Васильевна")</f>
        <v>Гордеева Елена Васильевна</v>
      </c>
      <c r="K10255" s="24" t="s">
        <v>14542</v>
      </c>
      <c r="L10255" s="22" t="s">
        <v>10</v>
      </c>
      <c r="M10255" s="28" t="s">
        <v>51</v>
      </c>
      <c r="N10255" s="28" t="s">
        <v>51</v>
      </c>
    </row>
    <row r="10256" spans="1:14" x14ac:dyDescent="0.15">
      <c r="A10256" s="23" t="str">
        <f>HYPERLINK("https://www.spark-marketing.ru/Card/Person/103354", "ГКОУ СО ""ПЕРВОУРАЛЬСКАЯ ШКОЛА""")</f>
        <v>ГКОУ СО "ПЕРВОУРАЛЬСКАЯ ШКОЛА"</v>
      </c>
      <c r="B10256" s="24" t="s">
        <v>14543</v>
      </c>
      <c r="C10256" s="25">
        <v>986000</v>
      </c>
      <c r="D10256" s="22" t="s">
        <v>14544</v>
      </c>
      <c r="E10256" s="22" t="s">
        <v>48</v>
      </c>
      <c r="F10256" s="23" t="str">
        <f>HYPERLINK("https://www.spark-marketing.ru/Card/Lot/72458380", "Услуги по организации питания детей")</f>
        <v>Услуги по организации питания детей</v>
      </c>
      <c r="G10256" s="22" t="s">
        <v>174</v>
      </c>
      <c r="H10256" s="22" t="s">
        <v>3406</v>
      </c>
      <c r="I10256" s="26">
        <v>43675.597986111097</v>
      </c>
      <c r="J10256" s="23" t="str">
        <f>HYPERLINK("https://www.spark-marketing.ru/Card/Person/4422544", "ООО СТОЛОВАЯ ""УРАЛ""")</f>
        <v>ООО СТОЛОВАЯ "УРАЛ"</v>
      </c>
      <c r="K10256" s="24" t="s">
        <v>12642</v>
      </c>
      <c r="L10256" s="22" t="s">
        <v>10</v>
      </c>
      <c r="M10256" s="28" t="s">
        <v>51</v>
      </c>
      <c r="N10256" s="28" t="s">
        <v>51</v>
      </c>
    </row>
    <row r="10257" spans="1:14" x14ac:dyDescent="0.15">
      <c r="A10257" s="23" t="str">
        <f>HYPERLINK("https://www.spark-marketing.ru/Card/Person/1028945", "МБОУ СОШ №39 Г.ШАХТЫ")</f>
        <v>МБОУ СОШ №39 Г.ШАХТЫ</v>
      </c>
      <c r="B10257" s="24" t="s">
        <v>14545</v>
      </c>
      <c r="C10257" s="25">
        <v>115775.44</v>
      </c>
      <c r="D10257" s="22" t="s">
        <v>14546</v>
      </c>
      <c r="E10257" s="22" t="s">
        <v>48</v>
      </c>
      <c r="F10257" s="23" t="str">
        <f>HYPERLINK("https://www.spark-marketing.ru/Card/Lot/72440387", "услуга по организации питания")</f>
        <v>услуга по организации питания</v>
      </c>
      <c r="G10257" s="22" t="s">
        <v>267</v>
      </c>
      <c r="H10257" s="22" t="s">
        <v>4874</v>
      </c>
      <c r="I10257" s="26">
        <v>43675.589583333298</v>
      </c>
      <c r="J10257" s="28" t="s">
        <v>51</v>
      </c>
      <c r="K10257" s="28" t="s">
        <v>51</v>
      </c>
      <c r="L10257" s="28" t="s">
        <v>51</v>
      </c>
      <c r="M10257" s="28" t="s">
        <v>51</v>
      </c>
      <c r="N10257" s="28" t="s">
        <v>51</v>
      </c>
    </row>
    <row r="10258" spans="1:14" x14ac:dyDescent="0.15">
      <c r="A10258" s="23" t="str">
        <f>HYPERLINK("https://www.spark-marketing.ru/Card/Person/1039928", "МБОУ АНДРЕЕВСКАЯ СОШ №30")</f>
        <v>МБОУ АНДРЕЕВСКАЯ СОШ №30</v>
      </c>
      <c r="B10258" s="24" t="s">
        <v>14547</v>
      </c>
      <c r="C10258" s="25">
        <v>458974.32</v>
      </c>
      <c r="D10258" s="22" t="s">
        <v>14548</v>
      </c>
      <c r="E10258" s="22" t="s">
        <v>51</v>
      </c>
      <c r="F10258" s="23" t="str">
        <f>HYPERLINK("https://www.spark-marketing.ru/Card/Lot/72455187", "Организация горячего питания в МБОУ Андреевская СОШ № 30")</f>
        <v>Организация горячего питания в МБОУ Андреевская СОШ № 30</v>
      </c>
      <c r="G10258" s="22" t="s">
        <v>663</v>
      </c>
      <c r="H10258" s="22" t="s">
        <v>663</v>
      </c>
      <c r="I10258" s="26">
        <v>43675.623611111099</v>
      </c>
      <c r="J10258" s="28" t="s">
        <v>51</v>
      </c>
      <c r="K10258" s="28" t="s">
        <v>51</v>
      </c>
      <c r="L10258" s="28" t="s">
        <v>51</v>
      </c>
      <c r="M10258" s="28" t="s">
        <v>51</v>
      </c>
      <c r="N10258" s="28" t="s">
        <v>51</v>
      </c>
    </row>
    <row r="10259" spans="1:14" ht="12.75" hidden="1" outlineLevel="1" x14ac:dyDescent="0.2">
      <c r="A10259" s="23" t="str">
        <f>HYPERLINK("https://www.spark-marketing.ru/Card/Person/1039928", "МБОУ АНДРЕЕВСКАЯ СОШ №30")</f>
        <v>МБОУ АНДРЕЕВСКАЯ СОШ №30</v>
      </c>
      <c r="B10259" s="24" t="s">
        <v>14547</v>
      </c>
      <c r="C10259" s="25">
        <v>458974.32</v>
      </c>
      <c r="D10259" s="22" t="s">
        <v>14548</v>
      </c>
      <c r="E10259" s="22" t="s">
        <v>51</v>
      </c>
      <c r="F10259" s="23" t="str">
        <f>HYPERLINK("https://www.spark-marketing.ru/Card/Lot/72455187", "Организация горячего питания в МБОУ Андреевская СОШ № 30")</f>
        <v>Организация горячего питания в МБОУ Андреевская СОШ № 30</v>
      </c>
      <c r="G10259" s="22" t="s">
        <v>663</v>
      </c>
      <c r="H10259" s="22" t="s">
        <v>663</v>
      </c>
      <c r="I10259" s="26">
        <v>43675.623611111099</v>
      </c>
      <c r="J10259" s="23" t="str">
        <f>HYPERLINK("https://www.spark-marketing.ru/Card/Person/1136309", "ООО ""ГАЛИНА""")</f>
        <v>ООО "ГАЛИНА"</v>
      </c>
      <c r="K10259" s="24" t="s">
        <v>14549</v>
      </c>
      <c r="L10259" s="22" t="s">
        <v>10</v>
      </c>
      <c r="M10259" s="25">
        <v>395000</v>
      </c>
      <c r="N10259" s="27">
        <v>0.13938540178021289</v>
      </c>
    </row>
    <row r="10260" spans="1:14" hidden="1" outlineLevel="1" x14ac:dyDescent="0.2">
      <c r="A10260" s="23" t="str">
        <f>HYPERLINK("https://www.spark-marketing.ru/Card/Person/1039928", "МБОУ АНДРЕЕВСКАЯ СОШ №30")</f>
        <v>МБОУ АНДРЕЕВСКАЯ СОШ №30</v>
      </c>
      <c r="B10260" s="24" t="s">
        <v>14547</v>
      </c>
      <c r="C10260" s="25">
        <v>458974.32</v>
      </c>
      <c r="D10260" s="22" t="s">
        <v>14548</v>
      </c>
      <c r="E10260" s="22" t="s">
        <v>51</v>
      </c>
      <c r="F10260" s="23" t="str">
        <f>HYPERLINK("https://www.spark-marketing.ru/Card/Lot/72455187", "Организация горячего питания в МБОУ Андреевская СОШ № 30")</f>
        <v>Организация горячего питания в МБОУ Андреевская СОШ № 30</v>
      </c>
      <c r="G10260" s="22" t="s">
        <v>663</v>
      </c>
      <c r="H10260" s="22" t="s">
        <v>663</v>
      </c>
      <c r="I10260" s="26">
        <v>43675.623611111099</v>
      </c>
      <c r="J10260" s="23" t="str">
        <f>HYPERLINK("https://www.spark-marketing.ru/Card/Person/4401310", "Макарова Елена Александровна")</f>
        <v>Макарова Елена Александровна</v>
      </c>
      <c r="K10260" s="24" t="s">
        <v>6555</v>
      </c>
      <c r="L10260" s="28" t="s">
        <v>51</v>
      </c>
      <c r="M10260" s="25">
        <v>453486.6</v>
      </c>
      <c r="N10260" s="27">
        <v>1.1956485931500482E-2</v>
      </c>
    </row>
    <row r="10261" spans="1:14" x14ac:dyDescent="0.2">
      <c r="A10261" s="23" t="str">
        <f>HYPERLINK("https://www.spark-marketing.ru/Card/Person/27609", "ФГУП ""ГВСУ № 7""")</f>
        <v>ФГУП "ГВСУ № 7"</v>
      </c>
      <c r="B10261" s="24" t="s">
        <v>14550</v>
      </c>
      <c r="C10261" s="25">
        <v>21262500</v>
      </c>
      <c r="D10261" s="22" t="s">
        <v>14551</v>
      </c>
      <c r="E10261" s="22" t="s">
        <v>362</v>
      </c>
      <c r="F10261" s="23" t="str">
        <f>HYPERLINK("https://www.spark-marketing.ru/Card/Lot/72462197", "Услуги по организации питания")</f>
        <v>Услуги по организации питания</v>
      </c>
      <c r="G10261" s="22" t="s">
        <v>228</v>
      </c>
      <c r="H10261" s="22" t="s">
        <v>228</v>
      </c>
      <c r="I10261" s="26">
        <v>43675.585509259297</v>
      </c>
      <c r="J10261" s="28" t="s">
        <v>51</v>
      </c>
      <c r="K10261" s="28" t="s">
        <v>51</v>
      </c>
      <c r="L10261" s="22" t="s">
        <v>10</v>
      </c>
      <c r="M10261" s="25">
        <v>21262500</v>
      </c>
      <c r="N10261" s="27">
        <v>0</v>
      </c>
    </row>
    <row r="10262" spans="1:14" x14ac:dyDescent="0.2">
      <c r="A10262" s="23" t="str">
        <f>HYPERLINK("https://www.spark-marketing.ru/Card/Person/27609", "ФГУП ""ГВСУ № 7""")</f>
        <v>ФГУП "ГВСУ № 7"</v>
      </c>
      <c r="B10262" s="24" t="s">
        <v>14550</v>
      </c>
      <c r="C10262" s="25">
        <v>7198000</v>
      </c>
      <c r="D10262" s="22" t="s">
        <v>14552</v>
      </c>
      <c r="E10262" s="22" t="s">
        <v>362</v>
      </c>
      <c r="F10262" s="23" t="str">
        <f>HYPERLINK("https://www.spark-marketing.ru/Card/Lot/72462195", "оказание услуг по организации питания работников")</f>
        <v>оказание услуг по организации питания работников</v>
      </c>
      <c r="G10262" s="22" t="s">
        <v>322</v>
      </c>
      <c r="H10262" s="22" t="s">
        <v>322</v>
      </c>
      <c r="I10262" s="26">
        <v>43675.585162037001</v>
      </c>
      <c r="J10262" s="28" t="s">
        <v>51</v>
      </c>
      <c r="K10262" s="28" t="s">
        <v>51</v>
      </c>
      <c r="L10262" s="28" t="s">
        <v>51</v>
      </c>
      <c r="M10262" s="25">
        <v>290</v>
      </c>
      <c r="N10262" s="27">
        <v>0.99995971103084191</v>
      </c>
    </row>
    <row r="10263" spans="1:14" x14ac:dyDescent="0.15">
      <c r="A10263" s="23" t="str">
        <f>HYPERLINK("https://www.spark-marketing.ru/Card/Person/269616", "МО МВД РОССИИ ""ЗЕЙСКИЙ""")</f>
        <v>МО МВД РОССИИ "ЗЕЙСКИЙ"</v>
      </c>
      <c r="B10263" s="24" t="s">
        <v>14539</v>
      </c>
      <c r="C10263" s="25">
        <v>1150000</v>
      </c>
      <c r="D10263" s="22" t="s">
        <v>14553</v>
      </c>
      <c r="E10263" s="22" t="s">
        <v>48</v>
      </c>
      <c r="F10263" s="23" t="str">
        <f>HYPERLINK("https://www.spark-marketing.ru/Card/Lot/72448422", "оказание услуг по обеспечению горячим питанием и услуг по раздаче пищи лицам, содержащихся в ИВС МО МВД России «Зейский»")</f>
        <v>оказание услуг по обеспечению горячим питанием и услуг по раздаче пищи лицам, содержащихся в ИВС МО МВД России «Зейский»</v>
      </c>
      <c r="G10263" s="22" t="s">
        <v>210</v>
      </c>
      <c r="H10263" s="22" t="s">
        <v>14541</v>
      </c>
      <c r="I10263" s="26">
        <v>43675.623888888898</v>
      </c>
      <c r="J10263" s="23" t="str">
        <f>HYPERLINK("https://www.spark-marketing.ru/Card/Person/286864", "Гордеева Елена Васильевна")</f>
        <v>Гордеева Елена Васильевна</v>
      </c>
      <c r="K10263" s="24" t="s">
        <v>14542</v>
      </c>
      <c r="L10263" s="22" t="s">
        <v>10</v>
      </c>
      <c r="M10263" s="28" t="s">
        <v>51</v>
      </c>
      <c r="N10263" s="28" t="s">
        <v>51</v>
      </c>
    </row>
    <row r="10264" spans="1:14" x14ac:dyDescent="0.15">
      <c r="A10264" s="23" t="s">
        <v>114</v>
      </c>
      <c r="B10264" s="28" t="s">
        <v>51</v>
      </c>
      <c r="C10264" s="25">
        <v>25715619.600000001</v>
      </c>
      <c r="D10264" s="22" t="s">
        <v>14554</v>
      </c>
      <c r="E10264" s="22" t="s">
        <v>48</v>
      </c>
      <c r="F10264" s="23" t="str">
        <f t="shared" ref="F10264:F10276" si="265">HYPERLINK("https://www.spark-marketing.ru/Card/Lot/72461320", "Оказание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город...")</f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64" s="22" t="s">
        <v>51</v>
      </c>
      <c r="H10264" s="22" t="s">
        <v>51</v>
      </c>
      <c r="I10264" s="26">
        <v>43675.6183101852</v>
      </c>
      <c r="J10264" s="23" t="str">
        <f t="shared" ref="J10264:J10276" si="266">HYPERLINK("https://www.spark-marketing.ru/Card/Person/219545", "Кононенко Юрий Андреевич")</f>
        <v>Кононенко Юрий Андреевич</v>
      </c>
      <c r="K10264" s="24" t="s">
        <v>14555</v>
      </c>
      <c r="L10264" s="22" t="s">
        <v>10</v>
      </c>
      <c r="M10264" s="28" t="s">
        <v>51</v>
      </c>
      <c r="N10264" s="28" t="s">
        <v>51</v>
      </c>
    </row>
    <row r="10265" spans="1:14" hidden="1" outlineLevel="1" x14ac:dyDescent="0.15">
      <c r="A10265" s="23" t="str">
        <f>HYPERLINK("https://www.spark-marketing.ru/Card/Person/149460", "МОБУ ""СОШ № 2""")</f>
        <v>МОБУ "СОШ № 2"</v>
      </c>
      <c r="B10265" s="24" t="s">
        <v>14556</v>
      </c>
      <c r="C10265" s="25">
        <v>5322656.4000000004</v>
      </c>
      <c r="D10265" s="22" t="s">
        <v>14554</v>
      </c>
      <c r="E10265" s="22" t="s">
        <v>48</v>
      </c>
      <c r="F10265" s="23" t="str">
        <f t="shared" si="265"/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65" s="22" t="s">
        <v>543</v>
      </c>
      <c r="H10265" s="22" t="s">
        <v>6970</v>
      </c>
      <c r="I10265" s="26">
        <v>43675.6183101852</v>
      </c>
      <c r="J10265" s="23" t="str">
        <f t="shared" si="266"/>
        <v>Кононенко Юрий Андреевич</v>
      </c>
      <c r="K10265" s="24" t="s">
        <v>14555</v>
      </c>
      <c r="L10265" s="22" t="s">
        <v>10</v>
      </c>
      <c r="M10265" s="28" t="s">
        <v>51</v>
      </c>
      <c r="N10265" s="28" t="s">
        <v>51</v>
      </c>
    </row>
    <row r="10266" spans="1:14" hidden="1" outlineLevel="1" x14ac:dyDescent="0.15">
      <c r="A10266" s="23" t="str">
        <f>HYPERLINK("https://www.spark-marketing.ru/Card/Person/949313", "МОБУ ""СОШ № 21""")</f>
        <v>МОБУ "СОШ № 21"</v>
      </c>
      <c r="B10266" s="24" t="s">
        <v>14557</v>
      </c>
      <c r="C10266" s="25">
        <v>3291428.8</v>
      </c>
      <c r="D10266" s="22" t="s">
        <v>14554</v>
      </c>
      <c r="E10266" s="22" t="s">
        <v>48</v>
      </c>
      <c r="F10266" s="23" t="str">
        <f t="shared" si="265"/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66" s="22" t="s">
        <v>543</v>
      </c>
      <c r="H10266" s="22" t="s">
        <v>6970</v>
      </c>
      <c r="I10266" s="26">
        <v>43675.6183101852</v>
      </c>
      <c r="J10266" s="23" t="str">
        <f t="shared" si="266"/>
        <v>Кононенко Юрий Андреевич</v>
      </c>
      <c r="K10266" s="24" t="s">
        <v>14555</v>
      </c>
      <c r="L10266" s="22" t="s">
        <v>10</v>
      </c>
      <c r="M10266" s="28" t="s">
        <v>51</v>
      </c>
      <c r="N10266" s="28" t="s">
        <v>51</v>
      </c>
    </row>
    <row r="10267" spans="1:14" hidden="1" outlineLevel="1" x14ac:dyDescent="0.15">
      <c r="A10267" s="23" t="str">
        <f>HYPERLINK("https://www.spark-marketing.ru/Card/Person/949479", "МОБУ ""СОШ № 1""")</f>
        <v>МОБУ "СОШ № 1"</v>
      </c>
      <c r="B10267" s="24" t="s">
        <v>14558</v>
      </c>
      <c r="C10267" s="25">
        <v>2644685.6</v>
      </c>
      <c r="D10267" s="22" t="s">
        <v>14554</v>
      </c>
      <c r="E10267" s="22" t="s">
        <v>48</v>
      </c>
      <c r="F10267" s="23" t="str">
        <f t="shared" si="265"/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67" s="22" t="s">
        <v>543</v>
      </c>
      <c r="H10267" s="22" t="s">
        <v>6970</v>
      </c>
      <c r="I10267" s="26">
        <v>43675.6183101852</v>
      </c>
      <c r="J10267" s="23" t="str">
        <f t="shared" si="266"/>
        <v>Кононенко Юрий Андреевич</v>
      </c>
      <c r="K10267" s="24" t="s">
        <v>14555</v>
      </c>
      <c r="L10267" s="22" t="s">
        <v>10</v>
      </c>
      <c r="M10267" s="28" t="s">
        <v>51</v>
      </c>
      <c r="N10267" s="28" t="s">
        <v>51</v>
      </c>
    </row>
    <row r="10268" spans="1:14" hidden="1" outlineLevel="1" x14ac:dyDescent="0.15">
      <c r="A10268" s="23" t="str">
        <f>HYPERLINK("https://www.spark-marketing.ru/Card/Person/949811", "МОБУ ""СОШ № 8""")</f>
        <v>МОБУ "СОШ № 8"</v>
      </c>
      <c r="B10268" s="24" t="s">
        <v>14559</v>
      </c>
      <c r="C10268" s="25">
        <v>3466366.4</v>
      </c>
      <c r="D10268" s="22" t="s">
        <v>14554</v>
      </c>
      <c r="E10268" s="22" t="s">
        <v>48</v>
      </c>
      <c r="F10268" s="23" t="str">
        <f t="shared" si="265"/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68" s="22" t="s">
        <v>543</v>
      </c>
      <c r="H10268" s="22" t="s">
        <v>6970</v>
      </c>
      <c r="I10268" s="26">
        <v>43675.6183101852</v>
      </c>
      <c r="J10268" s="23" t="str">
        <f t="shared" si="266"/>
        <v>Кононенко Юрий Андреевич</v>
      </c>
      <c r="K10268" s="24" t="s">
        <v>14555</v>
      </c>
      <c r="L10268" s="22" t="s">
        <v>10</v>
      </c>
      <c r="M10268" s="28" t="s">
        <v>51</v>
      </c>
      <c r="N10268" s="28" t="s">
        <v>51</v>
      </c>
    </row>
    <row r="10269" spans="1:14" hidden="1" outlineLevel="1" x14ac:dyDescent="0.15">
      <c r="A10269" s="23" t="str">
        <f>HYPERLINK("https://www.spark-marketing.ru/Card/Person/950087", "МОБУ ""СОШ № 5"" С. КРАСНОРЕЧЕНСКИЙ")</f>
        <v>МОБУ "СОШ № 5" С. КРАСНОРЕЧЕНСКИЙ</v>
      </c>
      <c r="B10269" s="24" t="s">
        <v>14560</v>
      </c>
      <c r="C10269" s="25">
        <v>1108791.6000000001</v>
      </c>
      <c r="D10269" s="22" t="s">
        <v>14554</v>
      </c>
      <c r="E10269" s="22" t="s">
        <v>48</v>
      </c>
      <c r="F10269" s="23" t="str">
        <f t="shared" si="265"/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69" s="22" t="s">
        <v>543</v>
      </c>
      <c r="H10269" s="22" t="s">
        <v>6970</v>
      </c>
      <c r="I10269" s="26">
        <v>43675.6183101852</v>
      </c>
      <c r="J10269" s="23" t="str">
        <f t="shared" si="266"/>
        <v>Кононенко Юрий Андреевич</v>
      </c>
      <c r="K10269" s="24" t="s">
        <v>14555</v>
      </c>
      <c r="L10269" s="22" t="s">
        <v>10</v>
      </c>
      <c r="M10269" s="28" t="s">
        <v>51</v>
      </c>
      <c r="N10269" s="28" t="s">
        <v>51</v>
      </c>
    </row>
    <row r="10270" spans="1:14" hidden="1" outlineLevel="1" x14ac:dyDescent="0.15">
      <c r="A10270" s="23" t="str">
        <f>HYPERLINK("https://www.spark-marketing.ru/Card/Person/951791", "МОБУ СОШ № 12")</f>
        <v>МОБУ СОШ № 12</v>
      </c>
      <c r="B10270" s="24" t="s">
        <v>14561</v>
      </c>
      <c r="C10270" s="25">
        <v>961603.2</v>
      </c>
      <c r="D10270" s="22" t="s">
        <v>14554</v>
      </c>
      <c r="E10270" s="22" t="s">
        <v>48</v>
      </c>
      <c r="F10270" s="23" t="str">
        <f t="shared" si="265"/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70" s="22" t="s">
        <v>543</v>
      </c>
      <c r="H10270" s="22" t="s">
        <v>6970</v>
      </c>
      <c r="I10270" s="26">
        <v>43675.6183101852</v>
      </c>
      <c r="J10270" s="23" t="str">
        <f t="shared" si="266"/>
        <v>Кононенко Юрий Андреевич</v>
      </c>
      <c r="K10270" s="24" t="s">
        <v>14555</v>
      </c>
      <c r="L10270" s="22" t="s">
        <v>10</v>
      </c>
      <c r="M10270" s="28" t="s">
        <v>51</v>
      </c>
      <c r="N10270" s="28" t="s">
        <v>51</v>
      </c>
    </row>
    <row r="10271" spans="1:14" hidden="1" outlineLevel="1" x14ac:dyDescent="0.15">
      <c r="A10271" s="23" t="str">
        <f>HYPERLINK("https://www.spark-marketing.ru/Card/Person/952106", "МОБУ ""СОШ №16""")</f>
        <v>МОБУ "СОШ №16"</v>
      </c>
      <c r="B10271" s="24" t="s">
        <v>14562</v>
      </c>
      <c r="C10271" s="25">
        <v>594981.6</v>
      </c>
      <c r="D10271" s="22" t="s">
        <v>14554</v>
      </c>
      <c r="E10271" s="22" t="s">
        <v>48</v>
      </c>
      <c r="F10271" s="23" t="str">
        <f t="shared" si="265"/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71" s="22" t="s">
        <v>543</v>
      </c>
      <c r="H10271" s="22" t="s">
        <v>6970</v>
      </c>
      <c r="I10271" s="26">
        <v>43675.6183101852</v>
      </c>
      <c r="J10271" s="23" t="str">
        <f t="shared" si="266"/>
        <v>Кононенко Юрий Андреевич</v>
      </c>
      <c r="K10271" s="24" t="s">
        <v>14555</v>
      </c>
      <c r="L10271" s="22" t="s">
        <v>10</v>
      </c>
      <c r="M10271" s="28" t="s">
        <v>51</v>
      </c>
      <c r="N10271" s="28" t="s">
        <v>51</v>
      </c>
    </row>
    <row r="10272" spans="1:14" hidden="1" outlineLevel="1" x14ac:dyDescent="0.15">
      <c r="A10272" s="23" t="str">
        <f>HYPERLINK("https://www.spark-marketing.ru/Card/Person/952324", "МОБУ ""ГИМНАЗИЯ ИСТОК""")</f>
        <v>МОБУ "ГИМНАЗИЯ ИСТОК"</v>
      </c>
      <c r="B10272" s="24" t="s">
        <v>14563</v>
      </c>
      <c r="C10272" s="25">
        <v>1215636.3999999999</v>
      </c>
      <c r="D10272" s="22" t="s">
        <v>14554</v>
      </c>
      <c r="E10272" s="22" t="s">
        <v>48</v>
      </c>
      <c r="F10272" s="23" t="str">
        <f t="shared" si="265"/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72" s="22" t="s">
        <v>543</v>
      </c>
      <c r="H10272" s="22" t="s">
        <v>6970</v>
      </c>
      <c r="I10272" s="26">
        <v>43675.6183101852</v>
      </c>
      <c r="J10272" s="23" t="str">
        <f t="shared" si="266"/>
        <v>Кононенко Юрий Андреевич</v>
      </c>
      <c r="K10272" s="24" t="s">
        <v>14555</v>
      </c>
      <c r="L10272" s="22" t="s">
        <v>10</v>
      </c>
      <c r="M10272" s="28" t="s">
        <v>51</v>
      </c>
      <c r="N10272" s="28" t="s">
        <v>51</v>
      </c>
    </row>
    <row r="10273" spans="1:14" hidden="1" outlineLevel="1" x14ac:dyDescent="0.15">
      <c r="A10273" s="23" t="str">
        <f>HYPERLINK("https://www.spark-marketing.ru/Card/Person/952840", "МОБУ ""СОШ №3""")</f>
        <v>МОБУ "СОШ №3"</v>
      </c>
      <c r="B10273" s="24" t="s">
        <v>14564</v>
      </c>
      <c r="C10273" s="25">
        <v>793654.8</v>
      </c>
      <c r="D10273" s="22" t="s">
        <v>14554</v>
      </c>
      <c r="E10273" s="22" t="s">
        <v>48</v>
      </c>
      <c r="F10273" s="23" t="str">
        <f t="shared" si="265"/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73" s="22" t="s">
        <v>543</v>
      </c>
      <c r="H10273" s="22" t="s">
        <v>6970</v>
      </c>
      <c r="I10273" s="26">
        <v>43675.6183101852</v>
      </c>
      <c r="J10273" s="23" t="str">
        <f t="shared" si="266"/>
        <v>Кононенко Юрий Андреевич</v>
      </c>
      <c r="K10273" s="24" t="s">
        <v>14555</v>
      </c>
      <c r="L10273" s="22" t="s">
        <v>10</v>
      </c>
      <c r="M10273" s="28" t="s">
        <v>51</v>
      </c>
      <c r="N10273" s="28" t="s">
        <v>51</v>
      </c>
    </row>
    <row r="10274" spans="1:14" hidden="1" outlineLevel="1" x14ac:dyDescent="0.15">
      <c r="A10274" s="23" t="str">
        <f>HYPERLINK("https://www.spark-marketing.ru/Card/Person/4372462", "МОБУ ""СОШ №25""")</f>
        <v>МОБУ "СОШ №25"</v>
      </c>
      <c r="B10274" s="24" t="s">
        <v>14565</v>
      </c>
      <c r="C10274" s="25">
        <v>3390315.6</v>
      </c>
      <c r="D10274" s="22" t="s">
        <v>14554</v>
      </c>
      <c r="E10274" s="22" t="s">
        <v>48</v>
      </c>
      <c r="F10274" s="23" t="str">
        <f t="shared" si="265"/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74" s="22" t="s">
        <v>543</v>
      </c>
      <c r="H10274" s="22" t="s">
        <v>6970</v>
      </c>
      <c r="I10274" s="26">
        <v>43675.6183101852</v>
      </c>
      <c r="J10274" s="23" t="str">
        <f t="shared" si="266"/>
        <v>Кононенко Юрий Андреевич</v>
      </c>
      <c r="K10274" s="24" t="s">
        <v>14555</v>
      </c>
      <c r="L10274" s="22" t="s">
        <v>10</v>
      </c>
      <c r="M10274" s="28" t="s">
        <v>51</v>
      </c>
      <c r="N10274" s="28" t="s">
        <v>51</v>
      </c>
    </row>
    <row r="10275" spans="1:14" hidden="1" outlineLevel="1" x14ac:dyDescent="0.15">
      <c r="A10275" s="23" t="str">
        <f>HYPERLINK("https://www.spark-marketing.ru/Card/Person/4374476", "МОБУ ""СОШ № 17 ""РОДНИК""")</f>
        <v>МОБУ "СОШ № 17 "РОДНИК"</v>
      </c>
      <c r="B10275" s="24" t="s">
        <v>14566</v>
      </c>
      <c r="C10275" s="25">
        <v>2448503.6</v>
      </c>
      <c r="D10275" s="22" t="s">
        <v>14554</v>
      </c>
      <c r="E10275" s="22" t="s">
        <v>48</v>
      </c>
      <c r="F10275" s="23" t="str">
        <f t="shared" si="265"/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75" s="22" t="s">
        <v>543</v>
      </c>
      <c r="H10275" s="22" t="s">
        <v>6970</v>
      </c>
      <c r="I10275" s="26">
        <v>43675.6183101852</v>
      </c>
      <c r="J10275" s="23" t="str">
        <f t="shared" si="266"/>
        <v>Кононенко Юрий Андреевич</v>
      </c>
      <c r="K10275" s="24" t="s">
        <v>14555</v>
      </c>
      <c r="L10275" s="22" t="s">
        <v>10</v>
      </c>
      <c r="M10275" s="28" t="s">
        <v>51</v>
      </c>
      <c r="N10275" s="28" t="s">
        <v>51</v>
      </c>
    </row>
    <row r="10276" spans="1:14" hidden="1" outlineLevel="1" x14ac:dyDescent="0.15">
      <c r="A10276" s="23" t="str">
        <f>HYPERLINK("https://www.spark-marketing.ru/Card/Person/4864438", "МОБУ ""СОШ № 7""")</f>
        <v>МОБУ "СОШ № 7"</v>
      </c>
      <c r="B10276" s="24" t="s">
        <v>14567</v>
      </c>
      <c r="C10276" s="25">
        <v>476995.6</v>
      </c>
      <c r="D10276" s="22" t="s">
        <v>14554</v>
      </c>
      <c r="E10276" s="22" t="s">
        <v>48</v>
      </c>
      <c r="F10276" s="23" t="str">
        <f t="shared" si="265"/>
        <v>Оказание услуг по обеспечению бесплатным питанием льготных категорий обучающихся 1-11 классов и бесплатным молоком или кисломолочным продуктом обучающихся 1 - 4 классов включительно в муниципальных общеобразовательных учреждениях Дальнегорского город...</v>
      </c>
      <c r="G10276" s="22" t="s">
        <v>543</v>
      </c>
      <c r="H10276" s="22" t="s">
        <v>6970</v>
      </c>
      <c r="I10276" s="26">
        <v>43675.6183101852</v>
      </c>
      <c r="J10276" s="23" t="str">
        <f t="shared" si="266"/>
        <v>Кононенко Юрий Андреевич</v>
      </c>
      <c r="K10276" s="24" t="s">
        <v>14555</v>
      </c>
      <c r="L10276" s="22" t="s">
        <v>10</v>
      </c>
      <c r="M10276" s="28" t="s">
        <v>51</v>
      </c>
      <c r="N10276" s="28" t="s">
        <v>51</v>
      </c>
    </row>
    <row r="10277" spans="1:14" x14ac:dyDescent="0.15">
      <c r="A10277" s="23" t="str">
        <f t="shared" ref="A10277:A10282" si="267">HYPERLINK("https://www.spark-marketing.ru/Card/Person/21203", "СПБ ГБУ ""ДИРЕКЦИЯ ПО УПРАВЛЕНИЮ ОБЪЕКТАМИ АДМИНИСТРАТИВНОГО НАЗНАЧЕНИЯ""")</f>
        <v>СПБ ГБУ "ДИРЕКЦИЯ ПО УПРАВЛЕНИЮ ОБЪЕКТАМИ АДМИНИСТРАТИВНОГО НАЗНАЧЕНИЯ"</v>
      </c>
      <c r="B10277" s="24" t="s">
        <v>14568</v>
      </c>
      <c r="C10277" s="25">
        <v>31067072.629999999</v>
      </c>
      <c r="D10277" s="22" t="s">
        <v>14569</v>
      </c>
      <c r="E10277" s="22" t="s">
        <v>14178</v>
      </c>
      <c r="F10277" s="23" t="str">
        <f t="shared" ref="F10277:F10282" si="268">HYPERLINK("https://www.spark-marketing.ru/Card/Lot/72459724", "Оказание клининговых услуг")</f>
        <v>Оказание клининговых услуг</v>
      </c>
      <c r="G10277" s="22" t="s">
        <v>117</v>
      </c>
      <c r="H10277" s="22" t="s">
        <v>117</v>
      </c>
      <c r="I10277" s="26">
        <v>43675.623437499999</v>
      </c>
      <c r="J10277" s="28" t="s">
        <v>51</v>
      </c>
      <c r="K10277" s="28" t="s">
        <v>51</v>
      </c>
      <c r="L10277" s="28" t="s">
        <v>51</v>
      </c>
      <c r="M10277" s="28" t="s">
        <v>51</v>
      </c>
      <c r="N10277" s="28" t="s">
        <v>51</v>
      </c>
    </row>
    <row r="10278" spans="1:14" ht="12.75" hidden="1" outlineLevel="1" x14ac:dyDescent="0.2">
      <c r="A10278" s="23" t="str">
        <f t="shared" si="267"/>
        <v>СПБ ГБУ "ДИРЕКЦИЯ ПО УПРАВЛЕНИЮ ОБЪЕКТАМИ АДМИНИСТРАТИВНОГО НАЗНАЧЕНИЯ"</v>
      </c>
      <c r="B10278" s="24" t="s">
        <v>14568</v>
      </c>
      <c r="C10278" s="25">
        <v>31067072.629999999</v>
      </c>
      <c r="D10278" s="22" t="s">
        <v>14569</v>
      </c>
      <c r="E10278" s="22" t="s">
        <v>14178</v>
      </c>
      <c r="F10278" s="23" t="str">
        <f t="shared" si="268"/>
        <v>Оказание клининговых услуг</v>
      </c>
      <c r="G10278" s="22" t="s">
        <v>117</v>
      </c>
      <c r="H10278" s="22" t="s">
        <v>117</v>
      </c>
      <c r="I10278" s="26">
        <v>43675.623437499999</v>
      </c>
      <c r="J10278" s="23" t="str">
        <f>HYPERLINK("https://www.spark-marketing.ru/Card/Person/4318146", "ООО ""СОФИЯ""")</f>
        <v>ООО "СОФИЯ"</v>
      </c>
      <c r="K10278" s="24" t="s">
        <v>14570</v>
      </c>
      <c r="L10278" s="22" t="s">
        <v>10</v>
      </c>
      <c r="M10278" s="25">
        <v>30911737.27</v>
      </c>
      <c r="N10278" s="27">
        <v>4.9999998986064755E-3</v>
      </c>
    </row>
    <row r="10279" spans="1:14" hidden="1" outlineLevel="1" x14ac:dyDescent="0.2">
      <c r="A10279" s="23" t="str">
        <f t="shared" si="267"/>
        <v>СПБ ГБУ "ДИРЕКЦИЯ ПО УПРАВЛЕНИЮ ОБЪЕКТАМИ АДМИНИСТРАТИВНОГО НАЗНАЧЕНИЯ"</v>
      </c>
      <c r="B10279" s="24" t="s">
        <v>14568</v>
      </c>
      <c r="C10279" s="25">
        <v>31067072.629999999</v>
      </c>
      <c r="D10279" s="22" t="s">
        <v>14569</v>
      </c>
      <c r="E10279" s="22" t="s">
        <v>14178</v>
      </c>
      <c r="F10279" s="23" t="str">
        <f t="shared" si="268"/>
        <v>Оказание клининговых услуг</v>
      </c>
      <c r="G10279" s="22" t="s">
        <v>117</v>
      </c>
      <c r="H10279" s="22" t="s">
        <v>117</v>
      </c>
      <c r="I10279" s="26">
        <v>43675.623437499999</v>
      </c>
      <c r="J10279" s="23" t="str">
        <f>HYPERLINK("https://www.spark-marketing.ru/Card/Person/1365199", "ООО ""ПРОФЭКО""")</f>
        <v>ООО "ПРОФЭКО"</v>
      </c>
      <c r="K10279" s="24" t="s">
        <v>14571</v>
      </c>
      <c r="L10279" s="28" t="s">
        <v>51</v>
      </c>
      <c r="M10279" s="25">
        <v>30911737.27</v>
      </c>
      <c r="N10279" s="27">
        <v>4.9999998986064755E-3</v>
      </c>
    </row>
    <row r="10280" spans="1:14" hidden="1" outlineLevel="1" x14ac:dyDescent="0.2">
      <c r="A10280" s="23" t="str">
        <f t="shared" si="267"/>
        <v>СПБ ГБУ "ДИРЕКЦИЯ ПО УПРАВЛЕНИЮ ОБЪЕКТАМИ АДМИНИСТРАТИВНОГО НАЗНАЧЕНИЯ"</v>
      </c>
      <c r="B10280" s="24" t="s">
        <v>14568</v>
      </c>
      <c r="C10280" s="25">
        <v>31067072.629999999</v>
      </c>
      <c r="D10280" s="22" t="s">
        <v>14569</v>
      </c>
      <c r="E10280" s="22" t="s">
        <v>14178</v>
      </c>
      <c r="F10280" s="23" t="str">
        <f t="shared" si="268"/>
        <v>Оказание клининговых услуг</v>
      </c>
      <c r="G10280" s="22" t="s">
        <v>117</v>
      </c>
      <c r="H10280" s="22" t="s">
        <v>117</v>
      </c>
      <c r="I10280" s="26">
        <v>43675.623437499999</v>
      </c>
      <c r="J10280" s="23" t="str">
        <f>HYPERLINK("https://www.spark-marketing.ru/Card/Person/65950", "Баранова Надежда Анатольевна")</f>
        <v>Баранова Надежда Анатольевна</v>
      </c>
      <c r="K10280" s="24" t="s">
        <v>14572</v>
      </c>
      <c r="L10280" s="28" t="s">
        <v>51</v>
      </c>
      <c r="M10280" s="25">
        <v>23921646.07</v>
      </c>
      <c r="N10280" s="27">
        <v>0.22999999533589785</v>
      </c>
    </row>
    <row r="10281" spans="1:14" hidden="1" outlineLevel="1" x14ac:dyDescent="0.2">
      <c r="A10281" s="23" t="str">
        <f t="shared" si="267"/>
        <v>СПБ ГБУ "ДИРЕКЦИЯ ПО УПРАВЛЕНИЮ ОБЪЕКТАМИ АДМИНИСТРАТИВНОГО НАЗНАЧЕНИЯ"</v>
      </c>
      <c r="B10281" s="24" t="s">
        <v>14568</v>
      </c>
      <c r="C10281" s="25">
        <v>31067072.629999999</v>
      </c>
      <c r="D10281" s="22" t="s">
        <v>14569</v>
      </c>
      <c r="E10281" s="22" t="s">
        <v>14178</v>
      </c>
      <c r="F10281" s="23" t="str">
        <f t="shared" si="268"/>
        <v>Оказание клининговых услуг</v>
      </c>
      <c r="G10281" s="22" t="s">
        <v>117</v>
      </c>
      <c r="H10281" s="22" t="s">
        <v>117</v>
      </c>
      <c r="I10281" s="26">
        <v>43675.623437499999</v>
      </c>
      <c r="J10281" s="23" t="str">
        <f>HYPERLINK("https://www.spark-marketing.ru/Card/Person/929825", "ООО ""СВЯТОГОР""")</f>
        <v>ООО "СВЯТОГОР"</v>
      </c>
      <c r="K10281" s="24" t="s">
        <v>14573</v>
      </c>
      <c r="L10281" s="28" t="s">
        <v>51</v>
      </c>
      <c r="M10281" s="25">
        <v>24076981.43</v>
      </c>
      <c r="N10281" s="27">
        <v>0.22499999543729138</v>
      </c>
    </row>
    <row r="10282" spans="1:14" ht="12.75" hidden="1" outlineLevel="1" x14ac:dyDescent="0.2">
      <c r="A10282" s="23" t="str">
        <f t="shared" si="267"/>
        <v>СПБ ГБУ "ДИРЕКЦИЯ ПО УПРАВЛЕНИЮ ОБЪЕКТАМИ АДМИНИСТРАТИВНОГО НАЗНАЧЕНИЯ"</v>
      </c>
      <c r="B10282" s="24" t="s">
        <v>14568</v>
      </c>
      <c r="C10282" s="25">
        <v>31067072.629999999</v>
      </c>
      <c r="D10282" s="22" t="s">
        <v>14569</v>
      </c>
      <c r="E10282" s="22" t="s">
        <v>14178</v>
      </c>
      <c r="F10282" s="23" t="str">
        <f t="shared" si="268"/>
        <v>Оказание клининговых услуг</v>
      </c>
      <c r="G10282" s="22" t="s">
        <v>117</v>
      </c>
      <c r="H10282" s="22" t="s">
        <v>117</v>
      </c>
      <c r="I10282" s="26">
        <v>43675.623437499999</v>
      </c>
      <c r="J10282" s="23" t="str">
        <f>HYPERLINK("https://www.spark-marketing.ru/Card/Person/4318146", "ООО ""СОФИЯ""")</f>
        <v>ООО "СОФИЯ"</v>
      </c>
      <c r="K10282" s="24" t="s">
        <v>14570</v>
      </c>
      <c r="L10282" s="22" t="s">
        <v>10</v>
      </c>
      <c r="M10282" s="25">
        <v>23921646.07</v>
      </c>
      <c r="N10282" s="27">
        <v>0.22999999533589785</v>
      </c>
    </row>
    <row r="10283" spans="1:14" x14ac:dyDescent="0.15">
      <c r="A10283" s="23" t="str">
        <f>HYPERLINK("https://www.spark-marketing.ru/Card/Person/270454", "МО МВД РОССИИ ""УРЕНСКИЙ""")</f>
        <v>МО МВД РОССИИ "УРЕНСКИЙ"</v>
      </c>
      <c r="B10283" s="24" t="s">
        <v>12212</v>
      </c>
      <c r="C10283" s="25">
        <v>625048.51</v>
      </c>
      <c r="D10283" s="22" t="s">
        <v>14574</v>
      </c>
      <c r="E10283" s="22" t="s">
        <v>48</v>
      </c>
      <c r="F10283" s="23" t="str">
        <f>HYPERLINK("https://www.spark-marketing.ru/Card/Lot/72446911", "Услуги по обеспечению питанием лиц, содержащихся в изоляторе временного содержания МО МВД России «Уренский» и лиц, задержанных на срок свыше 3 часов, содержащихся в СПЗ дежурной части МО МВД России «Уренский»")</f>
        <v>Услуги по обеспечению питанием лиц, содержащихся в изоляторе временного содержания МО МВД России «Уренский» и лиц, задержанных на срок свыше 3 часов, содержащихся в СПЗ дежурной части МО МВД России «Уренский»</v>
      </c>
      <c r="G10283" s="22" t="s">
        <v>76</v>
      </c>
      <c r="H10283" s="22" t="s">
        <v>76</v>
      </c>
      <c r="I10283" s="26">
        <v>43675.551805555602</v>
      </c>
      <c r="J10283" s="23" t="str">
        <f>HYPERLINK("https://www.spark-marketing.ru/Card/Person/1177332", "ООО ""ПИЩЕКОМБИНАТ""")</f>
        <v>ООО "ПИЩЕКОМБИНАТ"</v>
      </c>
      <c r="K10283" s="24" t="s">
        <v>14575</v>
      </c>
      <c r="L10283" s="22" t="s">
        <v>10</v>
      </c>
      <c r="M10283" s="28" t="s">
        <v>51</v>
      </c>
      <c r="N10283" s="28" t="s">
        <v>51</v>
      </c>
    </row>
    <row r="10284" spans="1:14" x14ac:dyDescent="0.15">
      <c r="A10284" s="23" t="str">
        <f>HYPERLINK("https://www.spark-marketing.ru/Card/Person/769", "ФКУ ""ЦОКР""")</f>
        <v>ФКУ "ЦОКР"</v>
      </c>
      <c r="B10284" s="24" t="s">
        <v>2576</v>
      </c>
      <c r="C10284" s="25">
        <v>136099.98000000001</v>
      </c>
      <c r="D10284" s="22" t="s">
        <v>14576</v>
      </c>
      <c r="E10284" s="22" t="s">
        <v>91</v>
      </c>
      <c r="F10284" s="23" t="str">
        <f>HYPERLINK("https://www.spark-marketing.ru/Card/Lot/72454064", "Оказание услуг по техническому обслуживанию и регламентно-профилактическому ремонту средств вычислительной техники для обеспечения государственных нужд Управления Федерального казначейства по Забайкальскому краю")</f>
        <v>Оказание услуг по техническому обслуживанию и регламентно-профилактическому ремонту средств вычислительной техники для обеспечения государственных нужд Управления Федерального казначейства по Забайкальскому краю</v>
      </c>
      <c r="G10284" s="22" t="s">
        <v>228</v>
      </c>
      <c r="H10284" s="22" t="s">
        <v>228</v>
      </c>
      <c r="I10284" s="26">
        <v>43675.5464699074</v>
      </c>
      <c r="J10284" s="23" t="str">
        <f>HYPERLINK("https://www.spark-marketing.ru/Card/Person/6578092", "ООО ""АСП ТРЕЙД""")</f>
        <v>ООО "АСП ТРЕЙД"</v>
      </c>
      <c r="K10284" s="24" t="s">
        <v>2594</v>
      </c>
      <c r="L10284" s="28" t="s">
        <v>51</v>
      </c>
      <c r="M10284" s="28" t="s">
        <v>51</v>
      </c>
      <c r="N10284" s="28" t="s">
        <v>51</v>
      </c>
    </row>
    <row r="10285" spans="1:14" ht="12.75" hidden="1" outlineLevel="1" x14ac:dyDescent="0.2">
      <c r="A10285" s="23" t="str">
        <f>HYPERLINK("https://www.spark-marketing.ru/Card/Person/769", "ФКУ ""ЦОКР""")</f>
        <v>ФКУ "ЦОКР"</v>
      </c>
      <c r="B10285" s="24" t="s">
        <v>2576</v>
      </c>
      <c r="C10285" s="25">
        <v>136099.98000000001</v>
      </c>
      <c r="D10285" s="22" t="s">
        <v>14576</v>
      </c>
      <c r="E10285" s="22" t="s">
        <v>91</v>
      </c>
      <c r="F10285" s="23" t="str">
        <f>HYPERLINK("https://www.spark-marketing.ru/Card/Lot/72454064", "Оказание услуг по техническому обслуживанию и регламентно-профилактическому ремонту средств вычислительной техники для обеспечения государственных нужд Управления Федерального казначейства по Забайкальскому краю")</f>
        <v>Оказание услуг по техническому обслуживанию и регламентно-профилактическому ремонту средств вычислительной техники для обеспечения государственных нужд Управления Федерального казначейства по Забайкальскому краю</v>
      </c>
      <c r="G10285" s="22" t="s">
        <v>228</v>
      </c>
      <c r="H10285" s="22" t="s">
        <v>228</v>
      </c>
      <c r="I10285" s="26">
        <v>43675.5464699074</v>
      </c>
      <c r="J10285" s="23" t="str">
        <f>HYPERLINK("https://www.spark-marketing.ru/Card/Person/6578092", "ООО ""АСП ТРЕЙД""")</f>
        <v>ООО "АСП ТРЕЙД"</v>
      </c>
      <c r="K10285" s="24" t="s">
        <v>2594</v>
      </c>
      <c r="L10285" s="22" t="s">
        <v>10</v>
      </c>
      <c r="M10285" s="25">
        <v>135419.48000000001</v>
      </c>
      <c r="N10285" s="27">
        <v>5.0000007347539652E-3</v>
      </c>
    </row>
    <row r="10286" spans="1:14" x14ac:dyDescent="0.2">
      <c r="A10286" s="23" t="str">
        <f>HYPERLINK("https://www.spark-marketing.ru/Card/Person/1081057", "МАОУ ""ШКОЛА № 10""")</f>
        <v>МАОУ "ШКОЛА № 10"</v>
      </c>
      <c r="B10286" s="24" t="s">
        <v>7195</v>
      </c>
      <c r="C10286" s="25">
        <v>345600</v>
      </c>
      <c r="D10286" s="22" t="s">
        <v>14577</v>
      </c>
      <c r="E10286" s="22" t="s">
        <v>362</v>
      </c>
      <c r="F10286" s="23" t="str">
        <f>HYPERLINK("https://www.spark-marketing.ru/Card/Lot/72458525", "организация горячего питания учащихся в период работы лагеря дневного пребывания детей (ЛДПД)")</f>
        <v>организация горячего питания учащихся в период работы лагеря дневного пребывания детей (ЛДПД)</v>
      </c>
      <c r="G10286" s="22" t="s">
        <v>174</v>
      </c>
      <c r="H10286" s="22" t="s">
        <v>174</v>
      </c>
      <c r="I10286" s="26">
        <v>43675.560196759303</v>
      </c>
      <c r="J10286" s="28" t="s">
        <v>51</v>
      </c>
      <c r="K10286" s="28" t="s">
        <v>51</v>
      </c>
      <c r="L10286" s="28" t="s">
        <v>51</v>
      </c>
      <c r="M10286" s="25">
        <v>345600</v>
      </c>
      <c r="N10286" s="27">
        <v>0</v>
      </c>
    </row>
    <row r="10287" spans="1:14" x14ac:dyDescent="0.15">
      <c r="A10287" s="23" t="str">
        <f>HYPERLINK("https://www.spark-marketing.ru/Card/Person/646634", "ОТДЕЛ МВД РОССИИ ПО КАРМАСКАЛИНСКОМУ РАЙОНУ")</f>
        <v>ОТДЕЛ МВД РОССИИ ПО КАРМАСКАЛИНСКОМУ РАЙОНУ</v>
      </c>
      <c r="B10287" s="24" t="s">
        <v>14578</v>
      </c>
      <c r="C10287" s="25">
        <v>50000</v>
      </c>
      <c r="D10287" s="22" t="s">
        <v>14579</v>
      </c>
      <c r="E10287" s="22" t="s">
        <v>48</v>
      </c>
      <c r="F10287" s="23" t="str">
        <f>HYPERLINK("https://www.spark-marketing.ru/Card/Lot/72439972",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287" s="22" t="s">
        <v>145</v>
      </c>
      <c r="H10287" s="22" t="s">
        <v>14580</v>
      </c>
      <c r="I10287" s="26">
        <v>43675.564317129603</v>
      </c>
      <c r="J10287" s="28" t="s">
        <v>51</v>
      </c>
      <c r="K10287" s="28" t="s">
        <v>51</v>
      </c>
      <c r="L10287" s="28" t="s">
        <v>51</v>
      </c>
      <c r="M10287" s="28" t="s">
        <v>51</v>
      </c>
      <c r="N10287" s="28" t="s">
        <v>51</v>
      </c>
    </row>
    <row r="10288" spans="1:14" x14ac:dyDescent="0.15">
      <c r="A10288" s="23" t="str">
        <f>HYPERLINK("https://www.spark-marketing.ru/Card/Person/1026953", "МДОУ ""ДЕТСКИЙ САД № 81""")</f>
        <v>МДОУ "ДЕТСКИЙ САД № 81"</v>
      </c>
      <c r="B10288" s="24" t="s">
        <v>14581</v>
      </c>
      <c r="C10288" s="25">
        <v>90300</v>
      </c>
      <c r="D10288" s="22" t="s">
        <v>14582</v>
      </c>
      <c r="E10288" s="22" t="s">
        <v>362</v>
      </c>
      <c r="F10288" s="23" t="str">
        <f>HYPERLINK("https://www.spark-marketing.ru/Card/Lot/72456196", "Оказание услуг по организации питания сотрудников")</f>
        <v>Оказание услуг по организации питания сотрудников</v>
      </c>
      <c r="G10288" s="22" t="s">
        <v>185</v>
      </c>
      <c r="H10288" s="22" t="s">
        <v>185</v>
      </c>
      <c r="I10288" s="26">
        <v>43675.572916666701</v>
      </c>
      <c r="J10288" s="28" t="s">
        <v>51</v>
      </c>
      <c r="K10288" s="28" t="s">
        <v>51</v>
      </c>
      <c r="L10288" s="28" t="s">
        <v>51</v>
      </c>
      <c r="M10288" s="28" t="s">
        <v>51</v>
      </c>
      <c r="N10288" s="28" t="s">
        <v>51</v>
      </c>
    </row>
    <row r="10289" spans="1:14" x14ac:dyDescent="0.15">
      <c r="A10289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10289" s="24" t="s">
        <v>11946</v>
      </c>
      <c r="C10289" s="25">
        <v>433105</v>
      </c>
      <c r="D10289" s="22" t="s">
        <v>14583</v>
      </c>
      <c r="E10289" s="22" t="s">
        <v>48</v>
      </c>
      <c r="F10289" s="23" t="str">
        <f>HYPERLINK("https://www.spark-marketing.ru/Card/Lot/72447258", "Оказание услуг по обеспечению ежедневным трёхразовым горячим питанием граждан, содержащихся в ИВС")</f>
        <v>Оказание услуг по обеспечению ежедневным трёхразовым горячим питанием граждан, содержащихся в ИВС</v>
      </c>
      <c r="G10289" s="22" t="s">
        <v>49</v>
      </c>
      <c r="H10289" s="22" t="s">
        <v>49</v>
      </c>
      <c r="I10289" s="26">
        <v>43675.581006944398</v>
      </c>
      <c r="J10289" s="23" t="str">
        <f>HYPERLINK("https://www.spark-marketing.ru/Card/Person/6427430", "Хлопотова Ирина Анатольевна")</f>
        <v>Хлопотова Ирина Анатольевна</v>
      </c>
      <c r="K10289" s="24" t="s">
        <v>11948</v>
      </c>
      <c r="L10289" s="22" t="s">
        <v>10</v>
      </c>
      <c r="M10289" s="28" t="s">
        <v>51</v>
      </c>
      <c r="N10289" s="28" t="s">
        <v>51</v>
      </c>
    </row>
    <row r="10290" spans="1:14" x14ac:dyDescent="0.15">
      <c r="A10290" s="23" t="str">
        <f>HYPERLINK("https://www.spark-marketing.ru/Card/Person/133985", "ОМВД РОССИИ ПО КАМЕНСКОМУ РАЙОНУ")</f>
        <v>ОМВД РОССИИ ПО КАМЕНСКОМУ РАЙОНУ</v>
      </c>
      <c r="B10290" s="24" t="s">
        <v>4386</v>
      </c>
      <c r="C10290" s="25">
        <v>104250</v>
      </c>
      <c r="D10290" s="22" t="s">
        <v>14584</v>
      </c>
      <c r="E10290" s="22" t="s">
        <v>48</v>
      </c>
      <c r="F10290" s="23" t="str">
        <f>HYPERLINK("https://www.spark-marketing.ru/Card/Lot/72460451", "Услуги по обеспечению трехразовым горячим питанием подозреваемых и обвиняемых в совершении преступлений, осужденных к лишению свободы, находящихся в ИВС ОМВД России по Каменскому району, для субъектов малого предпринимательства или социально ориентир...")</f>
        <v>Услуги по обеспечению трехразовым горячим питанием подозреваемых и обвиняемых в совершении преступлений, осужденных к лишению свободы, находящихся в ИВС ОМВД России по Каменскому району, для субъектов малого предпринимательства или социально ориентир...</v>
      </c>
      <c r="G10290" s="22" t="s">
        <v>72</v>
      </c>
      <c r="H10290" s="22" t="s">
        <v>72</v>
      </c>
      <c r="I10290" s="26">
        <v>43675.562071759297</v>
      </c>
      <c r="J10290" s="23" t="str">
        <f>HYPERLINK("https://www.spark-marketing.ru/Card/Person/1429575", "Чернышов Александр Иванович")</f>
        <v>Чернышов Александр Иванович</v>
      </c>
      <c r="K10290" s="24" t="s">
        <v>14585</v>
      </c>
      <c r="L10290" s="22" t="s">
        <v>10</v>
      </c>
      <c r="M10290" s="28" t="s">
        <v>51</v>
      </c>
      <c r="N10290" s="28" t="s">
        <v>51</v>
      </c>
    </row>
    <row r="10291" spans="1:14" x14ac:dyDescent="0.15">
      <c r="A10291" s="23" t="str">
        <f>HYPERLINK("https://www.spark-marketing.ru/Card/Person/270454", "МО МВД РОССИИ ""УРЕНСКИЙ""")</f>
        <v>МО МВД РОССИИ "УРЕНСКИЙ"</v>
      </c>
      <c r="B10291" s="24" t="s">
        <v>12212</v>
      </c>
      <c r="C10291" s="25">
        <v>660048.51</v>
      </c>
      <c r="D10291" s="22" t="s">
        <v>14586</v>
      </c>
      <c r="E10291" s="22" t="s">
        <v>48</v>
      </c>
      <c r="F10291" s="23" t="str">
        <f>HYPERLINK("https://www.spark-marketing.ru/Card/Lot/72446940", "Услуги по обеспечению питанием лиц, содержащихся в изоляторе временного содержания МО МВД России «Уренский» и лиц, задержанных на срок свыше 3 часов, содержащихся в СПЗ дежурной части МО МВД России «Уренский»")</f>
        <v>Услуги по обеспечению питанием лиц, содержащихся в изоляторе временного содержания МО МВД России «Уренский» и лиц, задержанных на срок свыше 3 часов, содержащихся в СПЗ дежурной части МО МВД России «Уренский»</v>
      </c>
      <c r="G10291" s="22" t="s">
        <v>76</v>
      </c>
      <c r="H10291" s="22" t="s">
        <v>76</v>
      </c>
      <c r="I10291" s="26">
        <v>43675.5532060185</v>
      </c>
      <c r="J10291" s="23" t="str">
        <f>HYPERLINK("https://www.spark-marketing.ru/Card/Person/1177332", "ООО ""ПИЩЕКОМБИНАТ""")</f>
        <v>ООО "ПИЩЕКОМБИНАТ"</v>
      </c>
      <c r="K10291" s="24" t="s">
        <v>14575</v>
      </c>
      <c r="L10291" s="22" t="s">
        <v>10</v>
      </c>
      <c r="M10291" s="28" t="s">
        <v>51</v>
      </c>
      <c r="N10291" s="28" t="s">
        <v>51</v>
      </c>
    </row>
    <row r="10292" spans="1:14" x14ac:dyDescent="0.2">
      <c r="A10292" s="23" t="str">
        <f>HYPERLINK("https://www.spark-marketing.ru/Card/Person/977079", "КГАУ ""СШОР ПО ВОЛЕЙБОЛУ ""ЕНИСЕЙ"" ИМЕНИ Э.А. НОСКОВА""")</f>
        <v>КГАУ "СШОР ПО ВОЛЕЙБОЛУ "ЕНИСЕЙ" ИМЕНИ Э.А. НОСКОВА"</v>
      </c>
      <c r="B10292" s="24" t="s">
        <v>14587</v>
      </c>
      <c r="C10292" s="25">
        <v>1589960</v>
      </c>
      <c r="D10292" s="22" t="s">
        <v>14588</v>
      </c>
      <c r="E10292" s="22" t="s">
        <v>6495</v>
      </c>
      <c r="F10292" s="23" t="str">
        <f>HYPERLINK("https://www.spark-marketing.ru/Card/Lot/72461236", "Оказание услуг по организации тренировочного сбора в каникулярный период")</f>
        <v>Оказание услуг по организации тренировочного сбора в каникулярный период</v>
      </c>
      <c r="G10292" s="22" t="s">
        <v>281</v>
      </c>
      <c r="H10292" s="22" t="s">
        <v>281</v>
      </c>
      <c r="I10292" s="26">
        <v>43675.575312499997</v>
      </c>
      <c r="J10292" s="28" t="s">
        <v>51</v>
      </c>
      <c r="K10292" s="28" t="s">
        <v>51</v>
      </c>
      <c r="L10292" s="22" t="s">
        <v>10</v>
      </c>
      <c r="M10292" s="25">
        <v>1589960</v>
      </c>
      <c r="N10292" s="27">
        <v>0</v>
      </c>
    </row>
    <row r="10293" spans="1:14" x14ac:dyDescent="0.15">
      <c r="A10293" s="23" t="str">
        <f>HYPERLINK("https://www.spark-marketing.ru/Card/Person/646634", "ОТДЕЛ МВД РОССИИ ПО КАРМАСКАЛИНСКОМУ РАЙОНУ")</f>
        <v>ОТДЕЛ МВД РОССИИ ПО КАРМАСКАЛИНСКОМУ РАЙОНУ</v>
      </c>
      <c r="B10293" s="24" t="s">
        <v>14578</v>
      </c>
      <c r="C10293" s="25">
        <v>50000</v>
      </c>
      <c r="D10293" s="22" t="s">
        <v>14589</v>
      </c>
      <c r="E10293" s="22" t="s">
        <v>48</v>
      </c>
      <c r="F10293" s="23" t="str">
        <f>HYPERLINK("https://www.spark-marketing.ru/Card/Lot/72439919",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293" s="22" t="s">
        <v>145</v>
      </c>
      <c r="H10293" s="22" t="s">
        <v>14580</v>
      </c>
      <c r="I10293" s="26">
        <v>43675.5615972222</v>
      </c>
      <c r="J10293" s="28" t="s">
        <v>51</v>
      </c>
      <c r="K10293" s="28" t="s">
        <v>51</v>
      </c>
      <c r="L10293" s="28" t="s">
        <v>51</v>
      </c>
      <c r="M10293" s="28" t="s">
        <v>51</v>
      </c>
      <c r="N10293" s="28" t="s">
        <v>51</v>
      </c>
    </row>
    <row r="10294" spans="1:14" x14ac:dyDescent="0.15">
      <c r="A10294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10294" s="24" t="s">
        <v>11946</v>
      </c>
      <c r="C10294" s="25">
        <v>436195</v>
      </c>
      <c r="D10294" s="22" t="s">
        <v>14590</v>
      </c>
      <c r="E10294" s="22" t="s">
        <v>48</v>
      </c>
      <c r="F10294" s="23" t="str">
        <f>HYPERLINK("https://www.spark-marketing.ru/Card/Lot/72447256", "Оказание услуг по обеспечению ежедневным трёхразовым горячим питанием граждан, содержащихся в ИВС")</f>
        <v>Оказание услуг по обеспечению ежедневным трёхразовым горячим питанием граждан, содержащихся в ИВС</v>
      </c>
      <c r="G10294" s="22" t="s">
        <v>49</v>
      </c>
      <c r="H10294" s="22" t="s">
        <v>49</v>
      </c>
      <c r="I10294" s="26">
        <v>43675.5808217593</v>
      </c>
      <c r="J10294" s="23" t="str">
        <f>HYPERLINK("https://www.spark-marketing.ru/Card/Person/6427430", "Хлопотова Ирина Анатольевна")</f>
        <v>Хлопотова Ирина Анатольевна</v>
      </c>
      <c r="K10294" s="24" t="s">
        <v>11948</v>
      </c>
      <c r="L10294" s="22" t="s">
        <v>10</v>
      </c>
      <c r="M10294" s="28" t="s">
        <v>51</v>
      </c>
      <c r="N10294" s="28" t="s">
        <v>51</v>
      </c>
    </row>
    <row r="10295" spans="1:14" x14ac:dyDescent="0.15">
      <c r="A10295" s="23" t="str">
        <f>HYPERLINK("https://www.spark-marketing.ru/Card/Person/74446", "ГБУЗ КО ""КО ЦМП""")</f>
        <v>ГБУЗ КО "КО ЦМП"</v>
      </c>
      <c r="B10295" s="24" t="s">
        <v>386</v>
      </c>
      <c r="C10295" s="25">
        <v>319200</v>
      </c>
      <c r="D10295" s="22" t="s">
        <v>14591</v>
      </c>
      <c r="E10295" s="22" t="s">
        <v>388</v>
      </c>
      <c r="F10295" s="23" t="str">
        <f>HYPERLINK("https://www.spark-marketing.ru/Card/Lot/72446491", "Оказание услуг по размещению видео материалов по здоровому образу жизни, включая здоровое питание и отказ от вредных привычек на экранах в торговых сетях города Калуги")</f>
        <v>Оказание услуг по размещению видео материалов по здоровому образу жизни, включая здоровое питание и отказ от вредных привычек на экранах в торговых сетях города Калуги</v>
      </c>
      <c r="G10295" s="22" t="s">
        <v>112</v>
      </c>
      <c r="H10295" s="22" t="s">
        <v>389</v>
      </c>
      <c r="I10295" s="26">
        <v>43675.510567129597</v>
      </c>
      <c r="J10295" s="28" t="s">
        <v>51</v>
      </c>
      <c r="K10295" s="28" t="s">
        <v>51</v>
      </c>
      <c r="L10295" s="28" t="s">
        <v>51</v>
      </c>
      <c r="M10295" s="28" t="s">
        <v>51</v>
      </c>
      <c r="N10295" s="28" t="s">
        <v>51</v>
      </c>
    </row>
    <row r="10296" spans="1:14" ht="12.75" hidden="1" outlineLevel="1" x14ac:dyDescent="0.2">
      <c r="A10296" s="23" t="str">
        <f>HYPERLINK("https://www.spark-marketing.ru/Card/Person/74446", "ГБУЗ КО ""КО ЦМП""")</f>
        <v>ГБУЗ КО "КО ЦМП"</v>
      </c>
      <c r="B10296" s="24" t="s">
        <v>386</v>
      </c>
      <c r="C10296" s="25">
        <v>319200</v>
      </c>
      <c r="D10296" s="22" t="s">
        <v>14591</v>
      </c>
      <c r="E10296" s="22" t="s">
        <v>388</v>
      </c>
      <c r="F10296" s="23" t="str">
        <f>HYPERLINK("https://www.spark-marketing.ru/Card/Lot/72446491", "Оказание услуг по размещению видео материалов по здоровому образу жизни, включая здоровое питание и отказ от вредных привычек на экранах в торговых сетях города Калуги")</f>
        <v>Оказание услуг по размещению видео материалов по здоровому образу жизни, включая здоровое питание и отказ от вредных привычек на экранах в торговых сетях города Калуги</v>
      </c>
      <c r="G10296" s="22" t="s">
        <v>112</v>
      </c>
      <c r="H10296" s="22" t="s">
        <v>389</v>
      </c>
      <c r="I10296" s="26">
        <v>43675.510567129597</v>
      </c>
      <c r="J10296" s="23" t="str">
        <f>HYPERLINK("https://www.spark-marketing.ru/Card/Person/6679774", "ООО ""ПЕРВЫЙ РЕКЛАМНЫЙ ДИСКАУНТЕР""")</f>
        <v>ООО "ПЕРВЫЙ РЕКЛАМНЫЙ ДИСКАУНТЕР"</v>
      </c>
      <c r="K10296" s="24" t="s">
        <v>14158</v>
      </c>
      <c r="L10296" s="22" t="s">
        <v>10</v>
      </c>
      <c r="M10296" s="25">
        <v>298452</v>
      </c>
      <c r="N10296" s="27">
        <v>6.5000000000000002E-2</v>
      </c>
    </row>
    <row r="10297" spans="1:14" hidden="1" outlineLevel="1" x14ac:dyDescent="0.2">
      <c r="A10297" s="23" t="str">
        <f>HYPERLINK("https://www.spark-marketing.ru/Card/Person/74446", "ГБУЗ КО ""КО ЦМП""")</f>
        <v>ГБУЗ КО "КО ЦМП"</v>
      </c>
      <c r="B10297" s="24" t="s">
        <v>386</v>
      </c>
      <c r="C10297" s="25">
        <v>319200</v>
      </c>
      <c r="D10297" s="22" t="s">
        <v>14591</v>
      </c>
      <c r="E10297" s="22" t="s">
        <v>388</v>
      </c>
      <c r="F10297" s="23" t="str">
        <f>HYPERLINK("https://www.spark-marketing.ru/Card/Lot/72446491", "Оказание услуг по размещению видео материалов по здоровому образу жизни, включая здоровое питание и отказ от вредных привычек на экранах в торговых сетях города Калуги")</f>
        <v>Оказание услуг по размещению видео материалов по здоровому образу жизни, включая здоровое питание и отказ от вредных привычек на экранах в торговых сетях города Калуги</v>
      </c>
      <c r="G10297" s="22" t="s">
        <v>112</v>
      </c>
      <c r="H10297" s="22" t="s">
        <v>389</v>
      </c>
      <c r="I10297" s="26">
        <v>43675.510567129597</v>
      </c>
      <c r="J10297" s="23" t="str">
        <f>HYPERLINK("https://www.spark-marketing.ru/Card/Person/6462674", "ООО «МЕДИА ПЛАТФОРМА»")</f>
        <v>ООО «МЕДИА ПЛАТФОРМА»</v>
      </c>
      <c r="K10297" s="24" t="s">
        <v>14433</v>
      </c>
      <c r="L10297" s="28" t="s">
        <v>51</v>
      </c>
      <c r="M10297" s="25">
        <v>300048</v>
      </c>
      <c r="N10297" s="27">
        <v>0.06</v>
      </c>
    </row>
    <row r="10298" spans="1:14" x14ac:dyDescent="0.15">
      <c r="A10298" s="23" t="s">
        <v>114</v>
      </c>
      <c r="B10298" s="28" t="s">
        <v>51</v>
      </c>
      <c r="C10298" s="25">
        <v>26415600</v>
      </c>
      <c r="D10298" s="22" t="s">
        <v>14592</v>
      </c>
      <c r="E10298" s="22" t="s">
        <v>48</v>
      </c>
      <c r="F10298" s="23" t="str">
        <f t="shared" ref="F10298:F10320" si="269">HYPERLINK("https://www.spark-marketing.ru/Card/Lot/72448564", "Оказание услуг по организации питания учащихся общеобразовательных учреждений")</f>
        <v>Оказание услуг по организации питания учащихся общеобразовательных учреждений</v>
      </c>
      <c r="G10298" s="22" t="s">
        <v>51</v>
      </c>
      <c r="H10298" s="22" t="s">
        <v>51</v>
      </c>
      <c r="I10298" s="26">
        <v>43675.521828703699</v>
      </c>
      <c r="J10298" s="23" t="str">
        <f t="shared" ref="J10298:J10320" si="270">HYPERLINK("https://www.spark-marketing.ru/Card/Person/6635294", "ООО ""ФСП""")</f>
        <v>ООО "ФСП"</v>
      </c>
      <c r="K10298" s="24" t="s">
        <v>1596</v>
      </c>
      <c r="L10298" s="22" t="s">
        <v>10</v>
      </c>
      <c r="M10298" s="28" t="s">
        <v>51</v>
      </c>
      <c r="N10298" s="28" t="s">
        <v>51</v>
      </c>
    </row>
    <row r="10299" spans="1:14" hidden="1" outlineLevel="1" x14ac:dyDescent="0.15">
      <c r="A10299" s="23" t="str">
        <f>HYPERLINK("https://www.spark-marketing.ru/Card/Person/104749", "МБОУ СОШ № 18")</f>
        <v>МБОУ СОШ № 18</v>
      </c>
      <c r="B10299" s="24" t="s">
        <v>14593</v>
      </c>
      <c r="C10299" s="25">
        <v>976200</v>
      </c>
      <c r="D10299" s="22" t="s">
        <v>14592</v>
      </c>
      <c r="E10299" s="22" t="s">
        <v>48</v>
      </c>
      <c r="F10299" s="23" t="str">
        <f t="shared" si="269"/>
        <v>Оказание услуг по организации питания учащихся общеобразовательных учреждений</v>
      </c>
      <c r="G10299" s="22" t="s">
        <v>696</v>
      </c>
      <c r="H10299" s="22" t="s">
        <v>1163</v>
      </c>
      <c r="I10299" s="26">
        <v>43675.521828703699</v>
      </c>
      <c r="J10299" s="23" t="str">
        <f t="shared" si="270"/>
        <v>ООО "ФСП"</v>
      </c>
      <c r="K10299" s="24" t="s">
        <v>1596</v>
      </c>
      <c r="L10299" s="22" t="s">
        <v>10</v>
      </c>
      <c r="M10299" s="28" t="s">
        <v>51</v>
      </c>
      <c r="N10299" s="28" t="s">
        <v>51</v>
      </c>
    </row>
    <row r="10300" spans="1:14" hidden="1" outlineLevel="1" x14ac:dyDescent="0.15">
      <c r="A10300" s="23" t="str">
        <f>HYPERLINK("https://www.spark-marketing.ru/Card/Person/112592", "МБОУ ""ГИМНАЗИЯ № 22""")</f>
        <v>МБОУ "ГИМНАЗИЯ № 22"</v>
      </c>
      <c r="B10300" s="24" t="s">
        <v>14594</v>
      </c>
      <c r="C10300" s="25">
        <v>1476600</v>
      </c>
      <c r="D10300" s="22" t="s">
        <v>14592</v>
      </c>
      <c r="E10300" s="22" t="s">
        <v>48</v>
      </c>
      <c r="F10300" s="23" t="str">
        <f t="shared" si="269"/>
        <v>Оказание услуг по организации питания учащихся общеобразовательных учреждений</v>
      </c>
      <c r="G10300" s="22" t="s">
        <v>696</v>
      </c>
      <c r="H10300" s="22" t="s">
        <v>1163</v>
      </c>
      <c r="I10300" s="26">
        <v>43675.521828703699</v>
      </c>
      <c r="J10300" s="23" t="str">
        <f t="shared" si="270"/>
        <v>ООО "ФСП"</v>
      </c>
      <c r="K10300" s="24" t="s">
        <v>1596</v>
      </c>
      <c r="L10300" s="22" t="s">
        <v>10</v>
      </c>
      <c r="M10300" s="28" t="s">
        <v>51</v>
      </c>
      <c r="N10300" s="28" t="s">
        <v>51</v>
      </c>
    </row>
    <row r="10301" spans="1:14" hidden="1" outlineLevel="1" x14ac:dyDescent="0.15">
      <c r="A10301" s="23" t="str">
        <f>HYPERLINK("https://www.spark-marketing.ru/Card/Person/125633", "МБОУ ""ЛИЦЕЙ № 10""")</f>
        <v>МБОУ "ЛИЦЕЙ № 10"</v>
      </c>
      <c r="B10301" s="24" t="s">
        <v>14595</v>
      </c>
      <c r="C10301" s="25">
        <v>1639800</v>
      </c>
      <c r="D10301" s="22" t="s">
        <v>14592</v>
      </c>
      <c r="E10301" s="22" t="s">
        <v>48</v>
      </c>
      <c r="F10301" s="23" t="str">
        <f t="shared" si="269"/>
        <v>Оказание услуг по организации питания учащихся общеобразовательных учреждений</v>
      </c>
      <c r="G10301" s="22" t="s">
        <v>696</v>
      </c>
      <c r="H10301" s="22" t="s">
        <v>1163</v>
      </c>
      <c r="I10301" s="26">
        <v>43675.521828703699</v>
      </c>
      <c r="J10301" s="23" t="str">
        <f t="shared" si="270"/>
        <v>ООО "ФСП"</v>
      </c>
      <c r="K10301" s="24" t="s">
        <v>1596</v>
      </c>
      <c r="L10301" s="22" t="s">
        <v>10</v>
      </c>
      <c r="M10301" s="28" t="s">
        <v>51</v>
      </c>
      <c r="N10301" s="28" t="s">
        <v>51</v>
      </c>
    </row>
    <row r="10302" spans="1:14" hidden="1" outlineLevel="1" x14ac:dyDescent="0.15">
      <c r="A10302" s="23" t="str">
        <f>HYPERLINK("https://www.spark-marketing.ru/Card/Person/129162", "МБОУ СОШ № 46")</f>
        <v>МБОУ СОШ № 46</v>
      </c>
      <c r="B10302" s="24" t="s">
        <v>14596</v>
      </c>
      <c r="C10302" s="25">
        <v>1420800</v>
      </c>
      <c r="D10302" s="22" t="s">
        <v>14592</v>
      </c>
      <c r="E10302" s="22" t="s">
        <v>48</v>
      </c>
      <c r="F10302" s="23" t="str">
        <f t="shared" si="269"/>
        <v>Оказание услуг по организации питания учащихся общеобразовательных учреждений</v>
      </c>
      <c r="G10302" s="22" t="s">
        <v>696</v>
      </c>
      <c r="H10302" s="22" t="s">
        <v>1163</v>
      </c>
      <c r="I10302" s="26">
        <v>43675.521828703699</v>
      </c>
      <c r="J10302" s="23" t="str">
        <f t="shared" si="270"/>
        <v>ООО "ФСП"</v>
      </c>
      <c r="K10302" s="24" t="s">
        <v>1596</v>
      </c>
      <c r="L10302" s="22" t="s">
        <v>10</v>
      </c>
      <c r="M10302" s="28" t="s">
        <v>51</v>
      </c>
      <c r="N10302" s="28" t="s">
        <v>51</v>
      </c>
    </row>
    <row r="10303" spans="1:14" hidden="1" outlineLevel="1" x14ac:dyDescent="0.15">
      <c r="A10303" s="23" t="str">
        <f>HYPERLINK("https://www.spark-marketing.ru/Card/Person/1007302", "МБОУ ООШ № 34")</f>
        <v>МБОУ ООШ № 34</v>
      </c>
      <c r="B10303" s="24" t="s">
        <v>14597</v>
      </c>
      <c r="C10303" s="25">
        <v>535200</v>
      </c>
      <c r="D10303" s="22" t="s">
        <v>14592</v>
      </c>
      <c r="E10303" s="22" t="s">
        <v>48</v>
      </c>
      <c r="F10303" s="23" t="str">
        <f t="shared" si="269"/>
        <v>Оказание услуг по организации питания учащихся общеобразовательных учреждений</v>
      </c>
      <c r="G10303" s="22" t="s">
        <v>696</v>
      </c>
      <c r="H10303" s="22" t="s">
        <v>1163</v>
      </c>
      <c r="I10303" s="26">
        <v>43675.521828703699</v>
      </c>
      <c r="J10303" s="23" t="str">
        <f t="shared" si="270"/>
        <v>ООО "ФСП"</v>
      </c>
      <c r="K10303" s="24" t="s">
        <v>1596</v>
      </c>
      <c r="L10303" s="22" t="s">
        <v>10</v>
      </c>
      <c r="M10303" s="28" t="s">
        <v>51</v>
      </c>
      <c r="N10303" s="28" t="s">
        <v>51</v>
      </c>
    </row>
    <row r="10304" spans="1:14" hidden="1" outlineLevel="1" x14ac:dyDescent="0.15">
      <c r="A10304" s="23" t="str">
        <f>HYPERLINK("https://www.spark-marketing.ru/Card/Person/1007573", "МБОУ СОШ № 7")</f>
        <v>МБОУ СОШ № 7</v>
      </c>
      <c r="B10304" s="24" t="s">
        <v>14598</v>
      </c>
      <c r="C10304" s="25">
        <v>1246200</v>
      </c>
      <c r="D10304" s="22" t="s">
        <v>14592</v>
      </c>
      <c r="E10304" s="22" t="s">
        <v>48</v>
      </c>
      <c r="F10304" s="23" t="str">
        <f t="shared" si="269"/>
        <v>Оказание услуг по организации питания учащихся общеобразовательных учреждений</v>
      </c>
      <c r="G10304" s="22" t="s">
        <v>696</v>
      </c>
      <c r="H10304" s="22" t="s">
        <v>1163</v>
      </c>
      <c r="I10304" s="26">
        <v>43675.521828703699</v>
      </c>
      <c r="J10304" s="23" t="str">
        <f t="shared" si="270"/>
        <v>ООО "ФСП"</v>
      </c>
      <c r="K10304" s="24" t="s">
        <v>1596</v>
      </c>
      <c r="L10304" s="22" t="s">
        <v>10</v>
      </c>
      <c r="M10304" s="28" t="s">
        <v>51</v>
      </c>
      <c r="N10304" s="28" t="s">
        <v>51</v>
      </c>
    </row>
    <row r="10305" spans="1:14" hidden="1" outlineLevel="1" x14ac:dyDescent="0.15">
      <c r="A10305" s="23" t="str">
        <f>HYPERLINK("https://www.spark-marketing.ru/Card/Person/1007961", "МБОУ СОШ № 41")</f>
        <v>МБОУ СОШ № 41</v>
      </c>
      <c r="B10305" s="24" t="s">
        <v>14599</v>
      </c>
      <c r="C10305" s="25">
        <v>1327200</v>
      </c>
      <c r="D10305" s="22" t="s">
        <v>14592</v>
      </c>
      <c r="E10305" s="22" t="s">
        <v>48</v>
      </c>
      <c r="F10305" s="23" t="str">
        <f t="shared" si="269"/>
        <v>Оказание услуг по организации питания учащихся общеобразовательных учреждений</v>
      </c>
      <c r="G10305" s="22" t="s">
        <v>696</v>
      </c>
      <c r="H10305" s="22" t="s">
        <v>1163</v>
      </c>
      <c r="I10305" s="26">
        <v>43675.521828703699</v>
      </c>
      <c r="J10305" s="23" t="str">
        <f t="shared" si="270"/>
        <v>ООО "ФСП"</v>
      </c>
      <c r="K10305" s="24" t="s">
        <v>1596</v>
      </c>
      <c r="L10305" s="22" t="s">
        <v>10</v>
      </c>
      <c r="M10305" s="28" t="s">
        <v>51</v>
      </c>
      <c r="N10305" s="28" t="s">
        <v>51</v>
      </c>
    </row>
    <row r="10306" spans="1:14" hidden="1" outlineLevel="1" x14ac:dyDescent="0.15">
      <c r="A10306" s="23" t="str">
        <f>HYPERLINK("https://www.spark-marketing.ru/Card/Person/1021710", "МБОУ СОШ № 49")</f>
        <v>МБОУ СОШ № 49</v>
      </c>
      <c r="B10306" s="24" t="s">
        <v>14600</v>
      </c>
      <c r="C10306" s="25">
        <v>1545000</v>
      </c>
      <c r="D10306" s="22" t="s">
        <v>14592</v>
      </c>
      <c r="E10306" s="22" t="s">
        <v>48</v>
      </c>
      <c r="F10306" s="23" t="str">
        <f t="shared" si="269"/>
        <v>Оказание услуг по организации питания учащихся общеобразовательных учреждений</v>
      </c>
      <c r="G10306" s="22" t="s">
        <v>696</v>
      </c>
      <c r="H10306" s="22" t="s">
        <v>1163</v>
      </c>
      <c r="I10306" s="26">
        <v>43675.521828703699</v>
      </c>
      <c r="J10306" s="23" t="str">
        <f t="shared" si="270"/>
        <v>ООО "ФСП"</v>
      </c>
      <c r="K10306" s="24" t="s">
        <v>1596</v>
      </c>
      <c r="L10306" s="22" t="s">
        <v>10</v>
      </c>
      <c r="M10306" s="28" t="s">
        <v>51</v>
      </c>
      <c r="N10306" s="28" t="s">
        <v>51</v>
      </c>
    </row>
    <row r="10307" spans="1:14" hidden="1" outlineLevel="1" x14ac:dyDescent="0.15">
      <c r="A10307" s="23" t="str">
        <f>HYPERLINK("https://www.spark-marketing.ru/Card/Person/1021890", "МБОУ ""ГИМНАЗИЯ № 5""")</f>
        <v>МБОУ "ГИМНАЗИЯ № 5"</v>
      </c>
      <c r="B10307" s="24" t="s">
        <v>14601</v>
      </c>
      <c r="C10307" s="25">
        <v>1161600</v>
      </c>
      <c r="D10307" s="22" t="s">
        <v>14592</v>
      </c>
      <c r="E10307" s="22" t="s">
        <v>48</v>
      </c>
      <c r="F10307" s="23" t="str">
        <f t="shared" si="269"/>
        <v>Оказание услуг по организации питания учащихся общеобразовательных учреждений</v>
      </c>
      <c r="G10307" s="22" t="s">
        <v>696</v>
      </c>
      <c r="H10307" s="22" t="s">
        <v>1163</v>
      </c>
      <c r="I10307" s="26">
        <v>43675.521828703699</v>
      </c>
      <c r="J10307" s="23" t="str">
        <f t="shared" si="270"/>
        <v>ООО "ФСП"</v>
      </c>
      <c r="K10307" s="24" t="s">
        <v>1596</v>
      </c>
      <c r="L10307" s="22" t="s">
        <v>10</v>
      </c>
      <c r="M10307" s="28" t="s">
        <v>51</v>
      </c>
      <c r="N10307" s="28" t="s">
        <v>51</v>
      </c>
    </row>
    <row r="10308" spans="1:14" hidden="1" outlineLevel="1" x14ac:dyDescent="0.15">
      <c r="A10308" s="23" t="str">
        <f>HYPERLINK("https://www.spark-marketing.ru/Card/Person/1025067", "МБОУ ""ЛИЦЕЙ № 32""")</f>
        <v>МБОУ "ЛИЦЕЙ № 32"</v>
      </c>
      <c r="B10308" s="24" t="s">
        <v>14602</v>
      </c>
      <c r="C10308" s="25">
        <v>1624800</v>
      </c>
      <c r="D10308" s="22" t="s">
        <v>14592</v>
      </c>
      <c r="E10308" s="22" t="s">
        <v>48</v>
      </c>
      <c r="F10308" s="23" t="str">
        <f t="shared" si="269"/>
        <v>Оказание услуг по организации питания учащихся общеобразовательных учреждений</v>
      </c>
      <c r="G10308" s="22" t="s">
        <v>696</v>
      </c>
      <c r="H10308" s="22" t="s">
        <v>1163</v>
      </c>
      <c r="I10308" s="26">
        <v>43675.521828703699</v>
      </c>
      <c r="J10308" s="23" t="str">
        <f t="shared" si="270"/>
        <v>ООО "ФСП"</v>
      </c>
      <c r="K10308" s="24" t="s">
        <v>1596</v>
      </c>
      <c r="L10308" s="22" t="s">
        <v>10</v>
      </c>
      <c r="M10308" s="28" t="s">
        <v>51</v>
      </c>
      <c r="N10308" s="28" t="s">
        <v>51</v>
      </c>
    </row>
    <row r="10309" spans="1:14" hidden="1" outlineLevel="1" x14ac:dyDescent="0.15">
      <c r="A10309" s="23" t="str">
        <f>HYPERLINK("https://www.spark-marketing.ru/Card/Person/1031771", "МБОУ СОШ № 16")</f>
        <v>МБОУ СОШ № 16</v>
      </c>
      <c r="B10309" s="24" t="s">
        <v>14603</v>
      </c>
      <c r="C10309" s="25">
        <v>654000</v>
      </c>
      <c r="D10309" s="22" t="s">
        <v>14592</v>
      </c>
      <c r="E10309" s="22" t="s">
        <v>48</v>
      </c>
      <c r="F10309" s="23" t="str">
        <f t="shared" si="269"/>
        <v>Оказание услуг по организации питания учащихся общеобразовательных учреждений</v>
      </c>
      <c r="G10309" s="22" t="s">
        <v>696</v>
      </c>
      <c r="H10309" s="22" t="s">
        <v>1163</v>
      </c>
      <c r="I10309" s="26">
        <v>43675.521828703699</v>
      </c>
      <c r="J10309" s="23" t="str">
        <f t="shared" si="270"/>
        <v>ООО "ФСП"</v>
      </c>
      <c r="K10309" s="24" t="s">
        <v>1596</v>
      </c>
      <c r="L10309" s="22" t="s">
        <v>10</v>
      </c>
      <c r="M10309" s="28" t="s">
        <v>51</v>
      </c>
      <c r="N10309" s="28" t="s">
        <v>51</v>
      </c>
    </row>
    <row r="10310" spans="1:14" hidden="1" outlineLevel="1" x14ac:dyDescent="0.15">
      <c r="A10310" s="23" t="str">
        <f>HYPERLINK("https://www.spark-marketing.ru/Card/Person/1045247", "МБОУ ""ГИМНАЗИЯ № 12""")</f>
        <v>МБОУ "ГИМНАЗИЯ № 12"</v>
      </c>
      <c r="B10310" s="24" t="s">
        <v>14604</v>
      </c>
      <c r="C10310" s="25">
        <v>966000</v>
      </c>
      <c r="D10310" s="22" t="s">
        <v>14592</v>
      </c>
      <c r="E10310" s="22" t="s">
        <v>48</v>
      </c>
      <c r="F10310" s="23" t="str">
        <f t="shared" si="269"/>
        <v>Оказание услуг по организации питания учащихся общеобразовательных учреждений</v>
      </c>
      <c r="G10310" s="22" t="s">
        <v>696</v>
      </c>
      <c r="H10310" s="22" t="s">
        <v>1163</v>
      </c>
      <c r="I10310" s="26">
        <v>43675.521828703699</v>
      </c>
      <c r="J10310" s="23" t="str">
        <f t="shared" si="270"/>
        <v>ООО "ФСП"</v>
      </c>
      <c r="K10310" s="24" t="s">
        <v>1596</v>
      </c>
      <c r="L10310" s="22" t="s">
        <v>10</v>
      </c>
      <c r="M10310" s="28" t="s">
        <v>51</v>
      </c>
      <c r="N10310" s="28" t="s">
        <v>51</v>
      </c>
    </row>
    <row r="10311" spans="1:14" hidden="1" outlineLevel="1" x14ac:dyDescent="0.15">
      <c r="A10311" s="23" t="str">
        <f>HYPERLINK("https://www.spark-marketing.ru/Card/Person/1048389", "МБОУ СОШ № 48")</f>
        <v>МБОУ СОШ № 48</v>
      </c>
      <c r="B10311" s="24" t="s">
        <v>14605</v>
      </c>
      <c r="C10311" s="25">
        <v>1302600</v>
      </c>
      <c r="D10311" s="22" t="s">
        <v>14592</v>
      </c>
      <c r="E10311" s="22" t="s">
        <v>48</v>
      </c>
      <c r="F10311" s="23" t="str">
        <f t="shared" si="269"/>
        <v>Оказание услуг по организации питания учащихся общеобразовательных учреждений</v>
      </c>
      <c r="G10311" s="22" t="s">
        <v>696</v>
      </c>
      <c r="H10311" s="22" t="s">
        <v>1163</v>
      </c>
      <c r="I10311" s="26">
        <v>43675.521828703699</v>
      </c>
      <c r="J10311" s="23" t="str">
        <f t="shared" si="270"/>
        <v>ООО "ФСП"</v>
      </c>
      <c r="K10311" s="24" t="s">
        <v>1596</v>
      </c>
      <c r="L10311" s="22" t="s">
        <v>10</v>
      </c>
      <c r="M10311" s="28" t="s">
        <v>51</v>
      </c>
      <c r="N10311" s="28" t="s">
        <v>51</v>
      </c>
    </row>
    <row r="10312" spans="1:14" hidden="1" outlineLevel="1" x14ac:dyDescent="0.15">
      <c r="A10312" s="23" t="str">
        <f>HYPERLINK("https://www.spark-marketing.ru/Card/Person/1048835", "МБОУ СОШ № 4")</f>
        <v>МБОУ СОШ № 4</v>
      </c>
      <c r="B10312" s="24" t="s">
        <v>14606</v>
      </c>
      <c r="C10312" s="25">
        <v>942000</v>
      </c>
      <c r="D10312" s="22" t="s">
        <v>14592</v>
      </c>
      <c r="E10312" s="22" t="s">
        <v>48</v>
      </c>
      <c r="F10312" s="23" t="str">
        <f t="shared" si="269"/>
        <v>Оказание услуг по организации питания учащихся общеобразовательных учреждений</v>
      </c>
      <c r="G10312" s="22" t="s">
        <v>696</v>
      </c>
      <c r="H10312" s="22" t="s">
        <v>1163</v>
      </c>
      <c r="I10312" s="26">
        <v>43675.521828703699</v>
      </c>
      <c r="J10312" s="23" t="str">
        <f t="shared" si="270"/>
        <v>ООО "ФСП"</v>
      </c>
      <c r="K10312" s="24" t="s">
        <v>1596</v>
      </c>
      <c r="L10312" s="22" t="s">
        <v>10</v>
      </c>
      <c r="M10312" s="28" t="s">
        <v>51</v>
      </c>
      <c r="N10312" s="28" t="s">
        <v>51</v>
      </c>
    </row>
    <row r="10313" spans="1:14" hidden="1" outlineLevel="1" x14ac:dyDescent="0.15">
      <c r="A10313" s="23" t="str">
        <f>HYPERLINK("https://www.spark-marketing.ru/Card/Person/1049907", "МБОУ СОШ № 28")</f>
        <v>МБОУ СОШ № 28</v>
      </c>
      <c r="B10313" s="24" t="s">
        <v>14607</v>
      </c>
      <c r="C10313" s="25">
        <v>1324800</v>
      </c>
      <c r="D10313" s="22" t="s">
        <v>14592</v>
      </c>
      <c r="E10313" s="22" t="s">
        <v>48</v>
      </c>
      <c r="F10313" s="23" t="str">
        <f t="shared" si="269"/>
        <v>Оказание услуг по организации питания учащихся общеобразовательных учреждений</v>
      </c>
      <c r="G10313" s="22" t="s">
        <v>696</v>
      </c>
      <c r="H10313" s="22" t="s">
        <v>1163</v>
      </c>
      <c r="I10313" s="26">
        <v>43675.521828703699</v>
      </c>
      <c r="J10313" s="23" t="str">
        <f t="shared" si="270"/>
        <v>ООО "ФСП"</v>
      </c>
      <c r="K10313" s="24" t="s">
        <v>1596</v>
      </c>
      <c r="L10313" s="22" t="s">
        <v>10</v>
      </c>
      <c r="M10313" s="28" t="s">
        <v>51</v>
      </c>
      <c r="N10313" s="28" t="s">
        <v>51</v>
      </c>
    </row>
    <row r="10314" spans="1:14" hidden="1" outlineLevel="1" x14ac:dyDescent="0.15">
      <c r="A10314" s="23" t="str">
        <f>HYPERLINK("https://www.spark-marketing.ru/Card/Person/1053893", "МБОУ СОШ № 19")</f>
        <v>МБОУ СОШ № 19</v>
      </c>
      <c r="B10314" s="24" t="s">
        <v>14608</v>
      </c>
      <c r="C10314" s="25">
        <v>709800</v>
      </c>
      <c r="D10314" s="22" t="s">
        <v>14592</v>
      </c>
      <c r="E10314" s="22" t="s">
        <v>48</v>
      </c>
      <c r="F10314" s="23" t="str">
        <f t="shared" si="269"/>
        <v>Оказание услуг по организации питания учащихся общеобразовательных учреждений</v>
      </c>
      <c r="G10314" s="22" t="s">
        <v>696</v>
      </c>
      <c r="H10314" s="22" t="s">
        <v>1163</v>
      </c>
      <c r="I10314" s="26">
        <v>43675.521828703699</v>
      </c>
      <c r="J10314" s="23" t="str">
        <f t="shared" si="270"/>
        <v>ООО "ФСП"</v>
      </c>
      <c r="K10314" s="24" t="s">
        <v>1596</v>
      </c>
      <c r="L10314" s="22" t="s">
        <v>10</v>
      </c>
      <c r="M10314" s="28" t="s">
        <v>51</v>
      </c>
      <c r="N10314" s="28" t="s">
        <v>51</v>
      </c>
    </row>
    <row r="10315" spans="1:14" hidden="1" outlineLevel="1" x14ac:dyDescent="0.15">
      <c r="A10315" s="23" t="str">
        <f>HYPERLINK("https://www.spark-marketing.ru/Card/Person/1055454", "МБОУ ""ГИМНАЗИЯ № 2""")</f>
        <v>МБОУ "ГИМНАЗИЯ № 2"</v>
      </c>
      <c r="B10315" s="24" t="s">
        <v>14609</v>
      </c>
      <c r="C10315" s="25">
        <v>1146000</v>
      </c>
      <c r="D10315" s="22" t="s">
        <v>14592</v>
      </c>
      <c r="E10315" s="22" t="s">
        <v>48</v>
      </c>
      <c r="F10315" s="23" t="str">
        <f t="shared" si="269"/>
        <v>Оказание услуг по организации питания учащихся общеобразовательных учреждений</v>
      </c>
      <c r="G10315" s="22" t="s">
        <v>696</v>
      </c>
      <c r="H10315" s="22" t="s">
        <v>1163</v>
      </c>
      <c r="I10315" s="26">
        <v>43675.521828703699</v>
      </c>
      <c r="J10315" s="23" t="str">
        <f t="shared" si="270"/>
        <v>ООО "ФСП"</v>
      </c>
      <c r="K10315" s="24" t="s">
        <v>1596</v>
      </c>
      <c r="L10315" s="22" t="s">
        <v>10</v>
      </c>
      <c r="M10315" s="28" t="s">
        <v>51</v>
      </c>
      <c r="N10315" s="28" t="s">
        <v>51</v>
      </c>
    </row>
    <row r="10316" spans="1:14" hidden="1" outlineLevel="1" x14ac:dyDescent="0.15">
      <c r="A10316" s="23" t="str">
        <f>HYPERLINK("https://www.spark-marketing.ru/Card/Person/1057383", "МБОУ СОШ № 20")</f>
        <v>МБОУ СОШ № 20</v>
      </c>
      <c r="B10316" s="24" t="s">
        <v>14610</v>
      </c>
      <c r="C10316" s="25">
        <v>1093800</v>
      </c>
      <c r="D10316" s="22" t="s">
        <v>14592</v>
      </c>
      <c r="E10316" s="22" t="s">
        <v>48</v>
      </c>
      <c r="F10316" s="23" t="str">
        <f t="shared" si="269"/>
        <v>Оказание услуг по организации питания учащихся общеобразовательных учреждений</v>
      </c>
      <c r="G10316" s="22" t="s">
        <v>696</v>
      </c>
      <c r="H10316" s="22" t="s">
        <v>1163</v>
      </c>
      <c r="I10316" s="26">
        <v>43675.521828703699</v>
      </c>
      <c r="J10316" s="23" t="str">
        <f t="shared" si="270"/>
        <v>ООО "ФСП"</v>
      </c>
      <c r="K10316" s="24" t="s">
        <v>1596</v>
      </c>
      <c r="L10316" s="22" t="s">
        <v>10</v>
      </c>
      <c r="M10316" s="28" t="s">
        <v>51</v>
      </c>
      <c r="N10316" s="28" t="s">
        <v>51</v>
      </c>
    </row>
    <row r="10317" spans="1:14" hidden="1" outlineLevel="1" x14ac:dyDescent="0.15">
      <c r="A10317" s="23" t="str">
        <f>HYPERLINK("https://www.spark-marketing.ru/Card/Person/1057592", "МБОУ СОШ № 13")</f>
        <v>МБОУ СОШ № 13</v>
      </c>
      <c r="B10317" s="24" t="s">
        <v>14611</v>
      </c>
      <c r="C10317" s="25">
        <v>1020000</v>
      </c>
      <c r="D10317" s="22" t="s">
        <v>14592</v>
      </c>
      <c r="E10317" s="22" t="s">
        <v>48</v>
      </c>
      <c r="F10317" s="23" t="str">
        <f t="shared" si="269"/>
        <v>Оказание услуг по организации питания учащихся общеобразовательных учреждений</v>
      </c>
      <c r="G10317" s="22" t="s">
        <v>696</v>
      </c>
      <c r="H10317" s="22" t="s">
        <v>1163</v>
      </c>
      <c r="I10317" s="26">
        <v>43675.521828703699</v>
      </c>
      <c r="J10317" s="23" t="str">
        <f t="shared" si="270"/>
        <v>ООО "ФСП"</v>
      </c>
      <c r="K10317" s="24" t="s">
        <v>1596</v>
      </c>
      <c r="L10317" s="22" t="s">
        <v>10</v>
      </c>
      <c r="M10317" s="28" t="s">
        <v>51</v>
      </c>
      <c r="N10317" s="28" t="s">
        <v>51</v>
      </c>
    </row>
    <row r="10318" spans="1:14" hidden="1" outlineLevel="1" x14ac:dyDescent="0.15">
      <c r="A10318" s="23" t="str">
        <f>HYPERLINK("https://www.spark-marketing.ru/Card/Person/1058542", "МБОУ СОШ № 45")</f>
        <v>МБОУ СОШ № 45</v>
      </c>
      <c r="B10318" s="24" t="s">
        <v>14612</v>
      </c>
      <c r="C10318" s="25">
        <v>1723200</v>
      </c>
      <c r="D10318" s="22" t="s">
        <v>14592</v>
      </c>
      <c r="E10318" s="22" t="s">
        <v>48</v>
      </c>
      <c r="F10318" s="23" t="str">
        <f t="shared" si="269"/>
        <v>Оказание услуг по организации питания учащихся общеобразовательных учреждений</v>
      </c>
      <c r="G10318" s="22" t="s">
        <v>696</v>
      </c>
      <c r="H10318" s="22" t="s">
        <v>1163</v>
      </c>
      <c r="I10318" s="26">
        <v>43675.521828703699</v>
      </c>
      <c r="J10318" s="23" t="str">
        <f t="shared" si="270"/>
        <v>ООО "ФСП"</v>
      </c>
      <c r="K10318" s="24" t="s">
        <v>1596</v>
      </c>
      <c r="L10318" s="22" t="s">
        <v>10</v>
      </c>
      <c r="M10318" s="28" t="s">
        <v>51</v>
      </c>
      <c r="N10318" s="28" t="s">
        <v>51</v>
      </c>
    </row>
    <row r="10319" spans="1:14" hidden="1" outlineLevel="1" x14ac:dyDescent="0.15">
      <c r="A10319" s="23" t="str">
        <f>HYPERLINK("https://www.spark-marketing.ru/Card/Person/1067371", "МБОУ ""ЛИЦЕЙ № 9""")</f>
        <v>МБОУ "ЛИЦЕЙ № 9"</v>
      </c>
      <c r="B10319" s="24" t="s">
        <v>14613</v>
      </c>
      <c r="C10319" s="25">
        <v>1459200</v>
      </c>
      <c r="D10319" s="22" t="s">
        <v>14592</v>
      </c>
      <c r="E10319" s="22" t="s">
        <v>48</v>
      </c>
      <c r="F10319" s="23" t="str">
        <f t="shared" si="269"/>
        <v>Оказание услуг по организации питания учащихся общеобразовательных учреждений</v>
      </c>
      <c r="G10319" s="22" t="s">
        <v>696</v>
      </c>
      <c r="H10319" s="22" t="s">
        <v>1163</v>
      </c>
      <c r="I10319" s="26">
        <v>43675.521828703699</v>
      </c>
      <c r="J10319" s="23" t="str">
        <f t="shared" si="270"/>
        <v>ООО "ФСП"</v>
      </c>
      <c r="K10319" s="24" t="s">
        <v>1596</v>
      </c>
      <c r="L10319" s="22" t="s">
        <v>10</v>
      </c>
      <c r="M10319" s="28" t="s">
        <v>51</v>
      </c>
      <c r="N10319" s="28" t="s">
        <v>51</v>
      </c>
    </row>
    <row r="10320" spans="1:14" hidden="1" outlineLevel="1" x14ac:dyDescent="0.15">
      <c r="A10320" s="23" t="str">
        <f>HYPERLINK("https://www.spark-marketing.ru/Card/Person/4374820", "МБОУ СОШ № 33")</f>
        <v>МБОУ СОШ № 33</v>
      </c>
      <c r="B10320" s="24" t="s">
        <v>14614</v>
      </c>
      <c r="C10320" s="25">
        <v>1120800</v>
      </c>
      <c r="D10320" s="22" t="s">
        <v>14592</v>
      </c>
      <c r="E10320" s="22" t="s">
        <v>48</v>
      </c>
      <c r="F10320" s="23" t="str">
        <f t="shared" si="269"/>
        <v>Оказание услуг по организации питания учащихся общеобразовательных учреждений</v>
      </c>
      <c r="G10320" s="22" t="s">
        <v>696</v>
      </c>
      <c r="H10320" s="22" t="s">
        <v>1163</v>
      </c>
      <c r="I10320" s="26">
        <v>43675.521828703699</v>
      </c>
      <c r="J10320" s="23" t="str">
        <f t="shared" si="270"/>
        <v>ООО "ФСП"</v>
      </c>
      <c r="K10320" s="24" t="s">
        <v>1596</v>
      </c>
      <c r="L10320" s="22" t="s">
        <v>10</v>
      </c>
      <c r="M10320" s="28" t="s">
        <v>51</v>
      </c>
      <c r="N10320" s="28" t="s">
        <v>51</v>
      </c>
    </row>
    <row r="10321" spans="1:14" x14ac:dyDescent="0.2">
      <c r="A10321" s="23" t="str">
        <f>HYPERLINK("https://www.spark-marketing.ru/Card/Person/4414989", "МАОУ СОШ № 1 Г. ИВДЕЛЯ")</f>
        <v>МАОУ СОШ № 1 Г. ИВДЕЛЯ</v>
      </c>
      <c r="B10321" s="24" t="s">
        <v>12265</v>
      </c>
      <c r="C10321" s="25">
        <v>1760222.4</v>
      </c>
      <c r="D10321" s="22" t="s">
        <v>14615</v>
      </c>
      <c r="E10321" s="22" t="s">
        <v>362</v>
      </c>
      <c r="F10321" s="23" t="str">
        <f>HYPERLINK("https://www.spark-marketing.ru/Card/Lot/72463013", "Оказание услуги по обеспечению горячим питанием учащихся")</f>
        <v>Оказание услуги по обеспечению горячим питанием учащихся</v>
      </c>
      <c r="G10321" s="22" t="s">
        <v>174</v>
      </c>
      <c r="H10321" s="22" t="s">
        <v>9181</v>
      </c>
      <c r="I10321" s="26">
        <v>43675.512951388897</v>
      </c>
      <c r="J10321" s="28" t="s">
        <v>51</v>
      </c>
      <c r="K10321" s="28" t="s">
        <v>51</v>
      </c>
      <c r="L10321" s="28" t="s">
        <v>51</v>
      </c>
      <c r="M10321" s="25">
        <v>1760222.4</v>
      </c>
      <c r="N10321" s="27">
        <v>0</v>
      </c>
    </row>
    <row r="10322" spans="1:14" x14ac:dyDescent="0.15">
      <c r="A10322" s="23" t="str">
        <f>HYPERLINK("https://www.spark-marketing.ru/Card/Person/125736", "МО МВД РОССИИ ""ПОЧЕПСКИЙ""")</f>
        <v>МО МВД РОССИИ "ПОЧЕПСКИЙ"</v>
      </c>
      <c r="B10322" s="24" t="s">
        <v>8829</v>
      </c>
      <c r="C10322" s="25">
        <v>2667000</v>
      </c>
      <c r="D10322" s="22" t="s">
        <v>14616</v>
      </c>
      <c r="E10322" s="22" t="s">
        <v>48</v>
      </c>
      <c r="F10322" s="23" t="str">
        <f>HYPERLINK("https://www.spark-marketing.ru/Card/Lot/72448464", "Услуги по приготовлению комплексного горячего питания")</f>
        <v>Услуги по приготовлению комплексного горячего питания</v>
      </c>
      <c r="G10322" s="22" t="s">
        <v>475</v>
      </c>
      <c r="H10322" s="22" t="s">
        <v>475</v>
      </c>
      <c r="I10322" s="26">
        <v>43675.502141203702</v>
      </c>
      <c r="J10322" s="28" t="s">
        <v>51</v>
      </c>
      <c r="K10322" s="28" t="s">
        <v>51</v>
      </c>
      <c r="L10322" s="28" t="s">
        <v>51</v>
      </c>
      <c r="M10322" s="28" t="s">
        <v>51</v>
      </c>
      <c r="N10322" s="28" t="s">
        <v>51</v>
      </c>
    </row>
    <row r="10323" spans="1:14" x14ac:dyDescent="0.15">
      <c r="A10323" s="23" t="str">
        <f>HYPERLINK("https://www.spark-marketing.ru/Card/Person/4331050", "ООО БАШНЕФТЬ СЕРВИС")</f>
        <v>ООО БАШНЕФТЬ СЕРВИС</v>
      </c>
      <c r="B10323" s="28" t="s">
        <v>51</v>
      </c>
      <c r="C10323" s="28" t="s">
        <v>51</v>
      </c>
      <c r="D10323" s="22" t="s">
        <v>14617</v>
      </c>
      <c r="E10323" s="22" t="s">
        <v>958</v>
      </c>
      <c r="F10323" s="23" t="str">
        <f>HYPERLINK("https://www.spark-marketing.ru/Card/Lot/74005083", "услуги по проведению лабораторно-инструментальных исследований в ПГП")</f>
        <v>услуги по проведению лабораторно-инструментальных исследований в ПГП</v>
      </c>
      <c r="G10323" s="22" t="s">
        <v>51</v>
      </c>
      <c r="H10323" s="22" t="s">
        <v>51</v>
      </c>
      <c r="I10323" s="26">
        <v>43675.506249999999</v>
      </c>
      <c r="J10323" s="28" t="s">
        <v>51</v>
      </c>
      <c r="K10323" s="28" t="s">
        <v>51</v>
      </c>
      <c r="L10323" s="28" t="s">
        <v>51</v>
      </c>
      <c r="M10323" s="28" t="s">
        <v>51</v>
      </c>
      <c r="N10323" s="28" t="s">
        <v>51</v>
      </c>
    </row>
    <row r="10324" spans="1:14" x14ac:dyDescent="0.15">
      <c r="A10324" s="23" t="str">
        <f>HYPERLINK("https://www.spark-marketing.ru/Card/Person/74446", "ГБУЗ КО ""КО ЦМП""")</f>
        <v>ГБУЗ КО "КО ЦМП"</v>
      </c>
      <c r="B10324" s="24" t="s">
        <v>386</v>
      </c>
      <c r="C10324" s="25">
        <v>3033600</v>
      </c>
      <c r="D10324" s="22" t="s">
        <v>14618</v>
      </c>
      <c r="E10324" s="22" t="s">
        <v>388</v>
      </c>
      <c r="F10324" s="23" t="str">
        <f>HYPERLINK("https://www.spark-marketing.ru/Card/Lot/72446495", "Оказание услуг по размещению материалов по здоровому образу жизни, включая здоровое питание и отказ от вредных привычек на остановках общественного транспорта.")</f>
        <v>Оказание услуг по размещению материалов по здоровому образу жизни, включая здоровое питание и отказ от вредных привычек на остановках общественного транспорта.</v>
      </c>
      <c r="G10324" s="22" t="s">
        <v>112</v>
      </c>
      <c r="H10324" s="22" t="s">
        <v>389</v>
      </c>
      <c r="I10324" s="26">
        <v>43675.511041666701</v>
      </c>
      <c r="J10324" s="23" t="str">
        <f>HYPERLINK("https://www.spark-marketing.ru/Card/Person/6249883", "ООО ""АУТДОР СЕЙЛ""")</f>
        <v>ООО "АУТДОР СЕЙЛ"</v>
      </c>
      <c r="K10324" s="24" t="s">
        <v>14432</v>
      </c>
      <c r="L10324" s="28" t="s">
        <v>51</v>
      </c>
      <c r="M10324" s="28" t="s">
        <v>51</v>
      </c>
      <c r="N10324" s="28" t="s">
        <v>51</v>
      </c>
    </row>
    <row r="10325" spans="1:14" hidden="1" outlineLevel="1" x14ac:dyDescent="0.15">
      <c r="A10325" s="23" t="str">
        <f>HYPERLINK("https://www.spark-marketing.ru/Card/Person/74446", "ГБУЗ КО ""КО ЦМП""")</f>
        <v>ГБУЗ КО "КО ЦМП"</v>
      </c>
      <c r="B10325" s="24" t="s">
        <v>386</v>
      </c>
      <c r="C10325" s="25">
        <v>3033600</v>
      </c>
      <c r="D10325" s="22" t="s">
        <v>14618</v>
      </c>
      <c r="E10325" s="22" t="s">
        <v>388</v>
      </c>
      <c r="F10325" s="23" t="str">
        <f>HYPERLINK("https://www.spark-marketing.ru/Card/Lot/72446495", "Оказание услуг по размещению материалов по здоровому образу жизни, включая здоровое питание и отказ от вредных привычек на остановках общественного транспорта.")</f>
        <v>Оказание услуг по размещению материалов по здоровому образу жизни, включая здоровое питание и отказ от вредных привычек на остановках общественного транспорта.</v>
      </c>
      <c r="G10325" s="22" t="s">
        <v>112</v>
      </c>
      <c r="H10325" s="22" t="s">
        <v>389</v>
      </c>
      <c r="I10325" s="26">
        <v>43675.511041666701</v>
      </c>
      <c r="J10325" s="23" t="str">
        <f>HYPERLINK("https://www.spark-marketing.ru/Card/Person/6249883", "ООО ""АУТДОР СЕЙЛ""")</f>
        <v>ООО "АУТДОР СЕЙЛ"</v>
      </c>
      <c r="K10325" s="24" t="s">
        <v>14432</v>
      </c>
      <c r="L10325" s="22" t="s">
        <v>10</v>
      </c>
      <c r="M10325" s="28" t="s">
        <v>51</v>
      </c>
      <c r="N10325" s="28" t="s">
        <v>51</v>
      </c>
    </row>
    <row r="10326" spans="1:14" x14ac:dyDescent="0.15">
      <c r="A10326" s="23" t="str">
        <f>HYPERLINK("https://www.spark-marketing.ru/Card/Person/54750", "УМВД РОССИИ ПО ГОРОДСКОМУ ОКРУГУ ДОМОДЕДОВО")</f>
        <v>УМВД РОССИИ ПО ГОРОДСКОМУ ОКРУГУ ДОМОДЕДОВО</v>
      </c>
      <c r="B10326" s="24" t="s">
        <v>14619</v>
      </c>
      <c r="C10326" s="25">
        <v>1294800</v>
      </c>
      <c r="D10326" s="22" t="s">
        <v>14620</v>
      </c>
      <c r="E10326" s="22" t="s">
        <v>48</v>
      </c>
      <c r="F10326" s="23" t="str">
        <f>HYPERLINK("https://www.spark-marketing.ru/Card/Lot/72447531", "Работы, услуги по содержанию имущества (услуги по обеспечению питанием, осуществляемые по договору, прочее)")</f>
        <v>Работы, услуги по содержанию имущества (услуги по обеспечению питанием, осуществляемые по договору, прочее)</v>
      </c>
      <c r="G10326" s="22" t="s">
        <v>49</v>
      </c>
      <c r="H10326" s="22" t="s">
        <v>5231</v>
      </c>
      <c r="I10326" s="26">
        <v>43675.527314814797</v>
      </c>
      <c r="J10326" s="23" t="str">
        <f>HYPERLINK("https://www.spark-marketing.ru/Card/Person/6578901", "ООО ""ДОРОГА""")</f>
        <v>ООО "ДОРОГА"</v>
      </c>
      <c r="K10326" s="24" t="s">
        <v>3102</v>
      </c>
      <c r="L10326" s="22" t="s">
        <v>10</v>
      </c>
      <c r="M10326" s="28" t="s">
        <v>51</v>
      </c>
      <c r="N10326" s="28" t="s">
        <v>51</v>
      </c>
    </row>
    <row r="10327" spans="1:14" x14ac:dyDescent="0.15">
      <c r="A10327" s="23" t="str">
        <f>HYPERLINK("https://www.spark-marketing.ru/Card/Person/125736", "МО МВД РОССИИ ""ПОЧЕПСКИЙ""")</f>
        <v>МО МВД РОССИИ "ПОЧЕПСКИЙ"</v>
      </c>
      <c r="B10327" s="24" t="s">
        <v>8829</v>
      </c>
      <c r="C10327" s="25">
        <v>887750</v>
      </c>
      <c r="D10327" s="22" t="s">
        <v>14621</v>
      </c>
      <c r="E10327" s="22" t="s">
        <v>48</v>
      </c>
      <c r="F10327" s="23" t="str">
        <f>HYPERLINK("https://www.spark-marketing.ru/Card/Lot/72448212", "Услуги по приготовлению комплексного горячего питания")</f>
        <v>Услуги по приготовлению комплексного горячего питания</v>
      </c>
      <c r="G10327" s="22" t="s">
        <v>475</v>
      </c>
      <c r="H10327" s="22" t="s">
        <v>8831</v>
      </c>
      <c r="I10327" s="26">
        <v>43675.538981481499</v>
      </c>
      <c r="J10327" s="28" t="s">
        <v>51</v>
      </c>
      <c r="K10327" s="28" t="s">
        <v>51</v>
      </c>
      <c r="L10327" s="28" t="s">
        <v>51</v>
      </c>
      <c r="M10327" s="28" t="s">
        <v>51</v>
      </c>
      <c r="N10327" s="28" t="s">
        <v>51</v>
      </c>
    </row>
    <row r="10328" spans="1:14" x14ac:dyDescent="0.15">
      <c r="A10328" s="23" t="str">
        <f>HYPERLINK("https://www.spark-marketing.ru/Card/Person/34533", "ГБУЗ ПК ""БЕРЕЗОВСКАЯ ЦРБ""")</f>
        <v>ГБУЗ ПК "БЕРЕЗОВСКАЯ ЦРБ"</v>
      </c>
      <c r="B10328" s="24" t="s">
        <v>14622</v>
      </c>
      <c r="C10328" s="25">
        <v>921000</v>
      </c>
      <c r="D10328" s="22" t="s">
        <v>14623</v>
      </c>
      <c r="E10328" s="22" t="s">
        <v>96</v>
      </c>
      <c r="F10328" s="23" t="str">
        <f>HYPERLINK("https://www.spark-marketing.ru/Card/Lot/72460335", "ОКАЗАНИЕ УСЛУГ ПО ОРГАНИЗАЦИИ ЛЕЧЕБНОГО ПИТАНИЯ")</f>
        <v>ОКАЗАНИЕ УСЛУГ ПО ОРГАНИЗАЦИИ ЛЕЧЕБНОГО ПИТАНИЯ</v>
      </c>
      <c r="G10328" s="22" t="s">
        <v>153</v>
      </c>
      <c r="H10328" s="22" t="s">
        <v>153</v>
      </c>
      <c r="I10328" s="26">
        <v>43675.533263888901</v>
      </c>
      <c r="J10328" s="28" t="s">
        <v>51</v>
      </c>
      <c r="K10328" s="28" t="s">
        <v>51</v>
      </c>
      <c r="L10328" s="28" t="s">
        <v>51</v>
      </c>
      <c r="M10328" s="28" t="s">
        <v>51</v>
      </c>
      <c r="N10328" s="28" t="s">
        <v>51</v>
      </c>
    </row>
    <row r="10329" spans="1:14" ht="12.75" hidden="1" outlineLevel="1" x14ac:dyDescent="0.2">
      <c r="A10329" s="23" t="str">
        <f>HYPERLINK("https://www.spark-marketing.ru/Card/Person/34533", "ГБУЗ ПК ""БЕРЕЗОВСКАЯ ЦРБ""")</f>
        <v>ГБУЗ ПК "БЕРЕЗОВСКАЯ ЦРБ"</v>
      </c>
      <c r="B10329" s="24" t="s">
        <v>14622</v>
      </c>
      <c r="C10329" s="25">
        <v>921000</v>
      </c>
      <c r="D10329" s="22" t="s">
        <v>14623</v>
      </c>
      <c r="E10329" s="22" t="s">
        <v>96</v>
      </c>
      <c r="F10329" s="23" t="str">
        <f>HYPERLINK("https://www.spark-marketing.ru/Card/Lot/72460335", "ОКАЗАНИЕ УСЛУГ ПО ОРГАНИЗАЦИИ ЛЕЧЕБНОГО ПИТАНИЯ")</f>
        <v>ОКАЗАНИЕ УСЛУГ ПО ОРГАНИЗАЦИИ ЛЕЧЕБНОГО ПИТАНИЯ</v>
      </c>
      <c r="G10329" s="22" t="s">
        <v>153</v>
      </c>
      <c r="H10329" s="22" t="s">
        <v>153</v>
      </c>
      <c r="I10329" s="26">
        <v>43675.533263888901</v>
      </c>
      <c r="J10329" s="23" t="str">
        <f>HYPERLINK("https://www.spark-marketing.ru/Card/Person/1417322", "Лебедева Татьяна Анатольевна")</f>
        <v>Лебедева Татьяна Анатольевна</v>
      </c>
      <c r="K10329" s="24" t="s">
        <v>14624</v>
      </c>
      <c r="L10329" s="22" t="s">
        <v>10</v>
      </c>
      <c r="M10329" s="25">
        <v>921000</v>
      </c>
      <c r="N10329" s="27">
        <v>0</v>
      </c>
    </row>
    <row r="10330" spans="1:14" hidden="1" outlineLevel="1" x14ac:dyDescent="0.2">
      <c r="A10330" s="23" t="str">
        <f>HYPERLINK("https://www.spark-marketing.ru/Card/Person/34533", "ГБУЗ ПК ""БЕРЕЗОВСКАЯ ЦРБ""")</f>
        <v>ГБУЗ ПК "БЕРЕЗОВСКАЯ ЦРБ"</v>
      </c>
      <c r="B10330" s="24" t="s">
        <v>14622</v>
      </c>
      <c r="C10330" s="25">
        <v>921000</v>
      </c>
      <c r="D10330" s="22" t="s">
        <v>14623</v>
      </c>
      <c r="E10330" s="22" t="s">
        <v>96</v>
      </c>
      <c r="F10330" s="23" t="str">
        <f>HYPERLINK("https://www.spark-marketing.ru/Card/Lot/72460335", "ОКАЗАНИЕ УСЛУГ ПО ОРГАНИЗАЦИИ ЛЕЧЕБНОГО ПИТАНИЯ")</f>
        <v>ОКАЗАНИЕ УСЛУГ ПО ОРГАНИЗАЦИИ ЛЕЧЕБНОГО ПИТАНИЯ</v>
      </c>
      <c r="G10330" s="22" t="s">
        <v>153</v>
      </c>
      <c r="H10330" s="22" t="s">
        <v>153</v>
      </c>
      <c r="I10330" s="26">
        <v>43675.533263888901</v>
      </c>
      <c r="J10330" s="23" t="str">
        <f>HYPERLINK("https://www.spark-marketing.ru/Card/Person/752895", "ООО ""ОЛИМП""")</f>
        <v>ООО "ОЛИМП"</v>
      </c>
      <c r="K10330" s="24" t="s">
        <v>10532</v>
      </c>
      <c r="L10330" s="28" t="s">
        <v>51</v>
      </c>
      <c r="M10330" s="25">
        <v>921000</v>
      </c>
      <c r="N10330" s="27">
        <v>0</v>
      </c>
    </row>
    <row r="10331" spans="1:14" x14ac:dyDescent="0.15">
      <c r="A10331" s="23" t="str">
        <f>HYPERLINK("https://www.spark-marketing.ru/Card/Person/54750", "УМВД РОССИИ ПО ГОРОДСКОМУ ОКРУГУ ДОМОДЕДОВО")</f>
        <v>УМВД РОССИИ ПО ГОРОДСКОМУ ОКРУГУ ДОМОДЕДОВО</v>
      </c>
      <c r="B10331" s="24" t="s">
        <v>14619</v>
      </c>
      <c r="C10331" s="25">
        <v>1294800</v>
      </c>
      <c r="D10331" s="22" t="s">
        <v>14625</v>
      </c>
      <c r="E10331" s="22" t="s">
        <v>48</v>
      </c>
      <c r="F10331" s="23" t="str">
        <f>HYPERLINK("https://www.spark-marketing.ru/Card/Lot/72447528", "Работы, услуги по содержанию имущества (услуги по обеспечению питанием, осуществляемые по договору, прочие)")</f>
        <v>Работы, услуги по содержанию имущества (услуги по обеспечению питанием, осуществляемые по договору, прочие)</v>
      </c>
      <c r="G10331" s="22" t="s">
        <v>49</v>
      </c>
      <c r="H10331" s="22" t="s">
        <v>5231</v>
      </c>
      <c r="I10331" s="26">
        <v>43675.526851851799</v>
      </c>
      <c r="J10331" s="23" t="str">
        <f>HYPERLINK("https://www.spark-marketing.ru/Card/Person/6578901", "ООО ""ДОРОГА""")</f>
        <v>ООО "ДОРОГА"</v>
      </c>
      <c r="K10331" s="24" t="s">
        <v>3102</v>
      </c>
      <c r="L10331" s="22" t="s">
        <v>10</v>
      </c>
      <c r="M10331" s="28" t="s">
        <v>51</v>
      </c>
      <c r="N10331" s="28" t="s">
        <v>51</v>
      </c>
    </row>
    <row r="10332" spans="1:14" x14ac:dyDescent="0.15">
      <c r="A10332" s="23" t="str">
        <f>HYPERLINK("https://www.spark-marketing.ru/Card/Person/32544", "ГБУЗ ЯО ""ЯОКНБ""")</f>
        <v>ГБУЗ ЯО "ЯОКНБ"</v>
      </c>
      <c r="B10332" s="24" t="s">
        <v>10819</v>
      </c>
      <c r="C10332" s="25">
        <v>935981</v>
      </c>
      <c r="D10332" s="22" t="s">
        <v>14626</v>
      </c>
      <c r="E10332" s="22" t="s">
        <v>362</v>
      </c>
      <c r="F10332" s="23" t="str">
        <f>HYPERLINK("https://www.spark-marketing.ru/Card/Lot/72456470", "Оказание услуг по организации и доставке горячего питания")</f>
        <v>Оказание услуг по организации и доставке горячего питания</v>
      </c>
      <c r="G10332" s="22" t="s">
        <v>185</v>
      </c>
      <c r="H10332" s="22" t="s">
        <v>185</v>
      </c>
      <c r="I10332" s="26">
        <v>43675.516817129603</v>
      </c>
      <c r="J10332" s="28" t="s">
        <v>51</v>
      </c>
      <c r="K10332" s="28" t="s">
        <v>51</v>
      </c>
      <c r="L10332" s="22" t="s">
        <v>10</v>
      </c>
      <c r="M10332" s="28" t="s">
        <v>51</v>
      </c>
      <c r="N10332" s="28" t="s">
        <v>51</v>
      </c>
    </row>
    <row r="10333" spans="1:14" x14ac:dyDescent="0.15">
      <c r="A10333" s="23" t="str">
        <f>HYPERLINK("https://www.spark-marketing.ru/Card/Person/1759398", "ГАУ РО ""РОСТОВПАТРИОТЦЕНТР""")</f>
        <v>ГАУ РО "РОСТОВПАТРИОТЦЕНТР"</v>
      </c>
      <c r="B10333" s="24" t="s">
        <v>14627</v>
      </c>
      <c r="C10333" s="25">
        <v>1200000</v>
      </c>
      <c r="D10333" s="22" t="s">
        <v>14628</v>
      </c>
      <c r="E10333" s="22" t="s">
        <v>952</v>
      </c>
      <c r="F10333" s="23" t="str">
        <f>HYPERLINK("https://www.spark-marketing.ru/Card/Lot/72461797", "Оказание услуг по обеспечению питанием участников международного фестиваля ""Молодежь - за Союзное государство""")</f>
        <v>Оказание услуг по обеспечению питанием участников международного фестиваля "Молодежь - за Союзное государство"</v>
      </c>
      <c r="G10333" s="22" t="s">
        <v>267</v>
      </c>
      <c r="H10333" s="22" t="s">
        <v>267</v>
      </c>
      <c r="I10333" s="26">
        <v>43675.534444444398</v>
      </c>
      <c r="J10333" s="28" t="s">
        <v>51</v>
      </c>
      <c r="K10333" s="28" t="s">
        <v>51</v>
      </c>
      <c r="L10333" s="28" t="s">
        <v>51</v>
      </c>
      <c r="M10333" s="28" t="s">
        <v>51</v>
      </c>
      <c r="N10333" s="28" t="s">
        <v>51</v>
      </c>
    </row>
    <row r="10334" spans="1:14" x14ac:dyDescent="0.15">
      <c r="A10334" s="23" t="str">
        <f>HYPERLINK("https://www.spark-marketing.ru/Card/Person/149739", "ОТДЕЛ МВД РФ ПО ЗАКАМЕНСКОМУ РАЙОНУ")</f>
        <v>ОТДЕЛ МВД РФ ПО ЗАКАМЕНСКОМУ РАЙОНУ</v>
      </c>
      <c r="B10334" s="24" t="s">
        <v>11387</v>
      </c>
      <c r="C10334" s="25">
        <v>890240</v>
      </c>
      <c r="D10334" s="22" t="s">
        <v>14629</v>
      </c>
      <c r="E10334" s="22" t="s">
        <v>48</v>
      </c>
      <c r="F10334" s="23" t="str">
        <f>HYPERLINK("https://www.spark-marketing.ru/Card/Lot/72448563", "Питание ИВС")</f>
        <v>Питание ИВС</v>
      </c>
      <c r="G10334" s="22" t="s">
        <v>433</v>
      </c>
      <c r="H10334" s="22" t="s">
        <v>5082</v>
      </c>
      <c r="I10334" s="26">
        <v>43675.521261574097</v>
      </c>
      <c r="J10334" s="28" t="s">
        <v>51</v>
      </c>
      <c r="K10334" s="28" t="s">
        <v>51</v>
      </c>
      <c r="L10334" s="28" t="s">
        <v>51</v>
      </c>
      <c r="M10334" s="28" t="s">
        <v>51</v>
      </c>
      <c r="N10334" s="28" t="s">
        <v>51</v>
      </c>
    </row>
    <row r="10335" spans="1:14" x14ac:dyDescent="0.15">
      <c r="A10335" s="23" t="str">
        <f>HYPERLINK("https://www.spark-marketing.ru/Card/Person/45235", "ГКОУ КО ""ОБЛАСТНОЙ ЦЕНТР ОБРАЗОВАНИЯ""")</f>
        <v>ГКОУ КО "ОБЛАСТНОЙ ЦЕНТР ОБРАЗОВАНИЯ"</v>
      </c>
      <c r="B10335" s="24" t="s">
        <v>14630</v>
      </c>
      <c r="C10335" s="25">
        <v>2816630.91</v>
      </c>
      <c r="D10335" s="22" t="s">
        <v>14631</v>
      </c>
      <c r="E10335" s="22" t="s">
        <v>51</v>
      </c>
      <c r="F10335" s="23" t="str">
        <f>HYPERLINK("https://www.spark-marketing.ru/Card/Lot/72446799", "Оказание услуг по обеспечению горячим сбалансированным питанием воспитанников")</f>
        <v>Оказание услуг по обеспечению горячим сбалансированным питанием воспитанников</v>
      </c>
      <c r="G10335" s="22" t="s">
        <v>112</v>
      </c>
      <c r="H10335" s="22" t="s">
        <v>389</v>
      </c>
      <c r="I10335" s="26">
        <v>43675.531597222202</v>
      </c>
      <c r="J10335" s="23" t="str">
        <f>HYPERLINK("https://www.spark-marketing.ru/Card/Person/54026", "ООО ""КПК""")</f>
        <v>ООО "КПК"</v>
      </c>
      <c r="K10335" s="24" t="s">
        <v>7348</v>
      </c>
      <c r="L10335" s="22" t="s">
        <v>10</v>
      </c>
      <c r="M10335" s="28" t="s">
        <v>51</v>
      </c>
      <c r="N10335" s="28" t="s">
        <v>51</v>
      </c>
    </row>
    <row r="10336" spans="1:14" x14ac:dyDescent="0.15">
      <c r="A10336" s="23" t="str">
        <f>HYPERLINK("https://www.spark-marketing.ru/Card/Person/7958", "МЕЖМУНИЦИПАЛЬНЫЙ ОТДЕЛ МВД РОССИИ ""ЧЕБАРКУЛЬСКИЙ"" ЧЕЛЯБИНСКОЙ ОБЛАСТИ")</f>
        <v>МЕЖМУНИЦИПАЛЬНЫЙ ОТДЕЛ МВД РОССИИ "ЧЕБАРКУЛЬСКИЙ" ЧЕЛЯБИНСКОЙ ОБЛАСТИ</v>
      </c>
      <c r="B10336" s="24" t="s">
        <v>14632</v>
      </c>
      <c r="C10336" s="25">
        <v>300000</v>
      </c>
      <c r="D10336" s="22" t="s">
        <v>14633</v>
      </c>
      <c r="E10336" s="22" t="s">
        <v>96</v>
      </c>
      <c r="F10336" s="23" t="str">
        <f>HYPERLINK("https://www.spark-marketing.ru/Card/Lot/72448390", "питание арестованных")</f>
        <v>питание арестованных</v>
      </c>
      <c r="G10336" s="22" t="s">
        <v>469</v>
      </c>
      <c r="H10336" s="22" t="s">
        <v>14634</v>
      </c>
      <c r="I10336" s="26">
        <v>43675.487905092603</v>
      </c>
      <c r="J10336" s="28" t="s">
        <v>51</v>
      </c>
      <c r="K10336" s="28" t="s">
        <v>51</v>
      </c>
      <c r="L10336" s="28" t="s">
        <v>51</v>
      </c>
      <c r="M10336" s="28" t="s">
        <v>51</v>
      </c>
      <c r="N10336" s="28" t="s">
        <v>51</v>
      </c>
    </row>
    <row r="10337" spans="1:14" ht="12.75" hidden="1" outlineLevel="1" x14ac:dyDescent="0.2">
      <c r="A10337" s="23" t="str">
        <f>HYPERLINK("https://www.spark-marketing.ru/Card/Person/7958", "МЕЖМУНИЦИПАЛЬНЫЙ ОТДЕЛ МВД РОССИИ ""ЧЕБАРКУЛЬСКИЙ"" ЧЕЛЯБИНСКОЙ ОБЛАСТИ")</f>
        <v>МЕЖМУНИЦИПАЛЬНЫЙ ОТДЕЛ МВД РОССИИ "ЧЕБАРКУЛЬСКИЙ" ЧЕЛЯБИНСКОЙ ОБЛАСТИ</v>
      </c>
      <c r="B10337" s="24" t="s">
        <v>14632</v>
      </c>
      <c r="C10337" s="25">
        <v>300000</v>
      </c>
      <c r="D10337" s="22" t="s">
        <v>14633</v>
      </c>
      <c r="E10337" s="22" t="s">
        <v>96</v>
      </c>
      <c r="F10337" s="23" t="str">
        <f>HYPERLINK("https://www.spark-marketing.ru/Card/Lot/72448390", "питание арестованных")</f>
        <v>питание арестованных</v>
      </c>
      <c r="G10337" s="22" t="s">
        <v>469</v>
      </c>
      <c r="H10337" s="22" t="s">
        <v>14634</v>
      </c>
      <c r="I10337" s="26">
        <v>43675.487905092603</v>
      </c>
      <c r="J10337" s="23" t="str">
        <f>HYPERLINK("https://www.spark-marketing.ru/Card/Person/6447382", "ООО ""ГЕРМЕС""")</f>
        <v>ООО "ГЕРМЕС"</v>
      </c>
      <c r="K10337" s="24" t="s">
        <v>14635</v>
      </c>
      <c r="L10337" s="22" t="s">
        <v>10</v>
      </c>
      <c r="M10337" s="25">
        <v>300000</v>
      </c>
      <c r="N10337" s="27">
        <v>0</v>
      </c>
    </row>
    <row r="10338" spans="1:14" hidden="1" outlineLevel="1" x14ac:dyDescent="0.2">
      <c r="A10338" s="23" t="str">
        <f>HYPERLINK("https://www.spark-marketing.ru/Card/Person/7958", "МЕЖМУНИЦИПАЛЬНЫЙ ОТДЕЛ МВД РОССИИ ""ЧЕБАРКУЛЬСКИЙ"" ЧЕЛЯБИНСКОЙ ОБЛАСТИ")</f>
        <v>МЕЖМУНИЦИПАЛЬНЫЙ ОТДЕЛ МВД РОССИИ "ЧЕБАРКУЛЬСКИЙ" ЧЕЛЯБИНСКОЙ ОБЛАСТИ</v>
      </c>
      <c r="B10338" s="24" t="s">
        <v>14632</v>
      </c>
      <c r="C10338" s="25">
        <v>300000</v>
      </c>
      <c r="D10338" s="22" t="s">
        <v>14633</v>
      </c>
      <c r="E10338" s="22" t="s">
        <v>96</v>
      </c>
      <c r="F10338" s="23" t="str">
        <f>HYPERLINK("https://www.spark-marketing.ru/Card/Lot/72448390", "питание арестованных")</f>
        <v>питание арестованных</v>
      </c>
      <c r="G10338" s="22" t="s">
        <v>469</v>
      </c>
      <c r="H10338" s="22" t="s">
        <v>14634</v>
      </c>
      <c r="I10338" s="26">
        <v>43675.487905092603</v>
      </c>
      <c r="J10338" s="23" t="str">
        <f>HYPERLINK("https://www.spark-marketing.ru/Card/Person/1513708", "ООО ""ГЕРМЕС""")</f>
        <v>ООО "ГЕРМЕС"</v>
      </c>
      <c r="K10338" s="24" t="s">
        <v>14636</v>
      </c>
      <c r="L10338" s="28" t="s">
        <v>51</v>
      </c>
      <c r="M10338" s="25">
        <v>300000</v>
      </c>
      <c r="N10338" s="27">
        <v>0</v>
      </c>
    </row>
    <row r="10339" spans="1:14" x14ac:dyDescent="0.15">
      <c r="A10339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10339" s="24" t="s">
        <v>5659</v>
      </c>
      <c r="C10339" s="25">
        <v>800000</v>
      </c>
      <c r="D10339" s="22" t="s">
        <v>14637</v>
      </c>
      <c r="E10339" s="22" t="s">
        <v>48</v>
      </c>
      <c r="F10339" s="23" t="str">
        <f>HYPERLINK("https://www.spark-marketing.ru/Card/Lot/72432181", "Оказание услуг по организации ежедневного трехразового горячего питания спецконтингента содержащегося в ИВС ОМВД России по ЗАТО Вилючинск")</f>
        <v>Оказание услуг по организации ежедневного трехразового горячего питания спецконтингента содержащегося в ИВС ОМВД России по ЗАТО Вилючинск</v>
      </c>
      <c r="G10339" s="22" t="s">
        <v>246</v>
      </c>
      <c r="H10339" s="22" t="s">
        <v>246</v>
      </c>
      <c r="I10339" s="26">
        <v>43675.495983796303</v>
      </c>
      <c r="J10339" s="28" t="s">
        <v>51</v>
      </c>
      <c r="K10339" s="28" t="s">
        <v>51</v>
      </c>
      <c r="L10339" s="28" t="s">
        <v>51</v>
      </c>
      <c r="M10339" s="28" t="s">
        <v>51</v>
      </c>
      <c r="N10339" s="28" t="s">
        <v>51</v>
      </c>
    </row>
    <row r="10340" spans="1:14" x14ac:dyDescent="0.15">
      <c r="A10340" s="23" t="str">
        <f>HYPERLINK("https://www.spark-marketing.ru/Card/Person/10122", "ГБУЗ СО ""УРАЛЬСКИЙ ИНСТИТУТ КАРДИОЛОГИИ""")</f>
        <v>ГБУЗ СО "УРАЛЬСКИЙ ИНСТИТУТ КАРДИОЛОГИИ"</v>
      </c>
      <c r="B10340" s="24" t="s">
        <v>10519</v>
      </c>
      <c r="C10340" s="25">
        <v>129466.26</v>
      </c>
      <c r="D10340" s="22" t="s">
        <v>14638</v>
      </c>
      <c r="E10340" s="22" t="s">
        <v>152</v>
      </c>
      <c r="F10340" s="23" t="str">
        <f>HYPERLINK("https://www.spark-marketing.ru/Card/Lot/72457496", "Оказание услуг по техническому обслуживанию источников бесперебойного питания")</f>
        <v>Оказание услуг по техническому обслуживанию источников бесперебойного питания</v>
      </c>
      <c r="G10340" s="22" t="s">
        <v>174</v>
      </c>
      <c r="H10340" s="22" t="s">
        <v>530</v>
      </c>
      <c r="I10340" s="26">
        <v>43675.490868055596</v>
      </c>
      <c r="J10340" s="28" t="s">
        <v>51</v>
      </c>
      <c r="K10340" s="28" t="s">
        <v>51</v>
      </c>
      <c r="L10340" s="28" t="s">
        <v>51</v>
      </c>
      <c r="M10340" s="28" t="s">
        <v>51</v>
      </c>
      <c r="N10340" s="28" t="s">
        <v>51</v>
      </c>
    </row>
    <row r="10341" spans="1:14" x14ac:dyDescent="0.15">
      <c r="A10341" s="23" t="str">
        <f>HYPERLINK("https://www.spark-marketing.ru/Card/Person/133985", "ОМВД РОССИИ ПО КАМЕНСКОМУ РАЙОНУ")</f>
        <v>ОМВД РОССИИ ПО КАМЕНСКОМУ РАЙОНУ</v>
      </c>
      <c r="B10341" s="24" t="s">
        <v>4386</v>
      </c>
      <c r="C10341" s="25">
        <v>143000</v>
      </c>
      <c r="D10341" s="22" t="s">
        <v>14639</v>
      </c>
      <c r="E10341" s="22" t="s">
        <v>48</v>
      </c>
      <c r="F10341" s="23" t="str">
        <f>HYPERLINK("https://www.spark-marketing.ru/Card/Lot/72459543", "Услуги по обеспечению трехразовым горячим питанием подозреваемых и обвиняемых в совершении преступлений, осужденных к лишению свободы, находящихся в ИВС ОМВД России по Каменскому району, для субъектов малого предпринимательства или социально ориентир...")</f>
        <v>Услуги по обеспечению трехразовым горячим питанием подозреваемых и обвиняемых в совершении преступлений, осужденных к лишению свободы, находящихся в ИВС ОМВД России по Каменскому району, для субъектов малого предпринимательства или социально ориентир...</v>
      </c>
      <c r="G10341" s="22" t="s">
        <v>72</v>
      </c>
      <c r="H10341" s="22" t="s">
        <v>72</v>
      </c>
      <c r="I10341" s="26">
        <v>43675.464733796303</v>
      </c>
      <c r="J10341" s="23" t="str">
        <f>HYPERLINK("https://www.spark-marketing.ru/Card/Person/1429575", "Чернышов Александр Иванович")</f>
        <v>Чернышов Александр Иванович</v>
      </c>
      <c r="K10341" s="24" t="s">
        <v>14585</v>
      </c>
      <c r="L10341" s="22" t="s">
        <v>10</v>
      </c>
      <c r="M10341" s="28" t="s">
        <v>51</v>
      </c>
      <c r="N10341" s="28" t="s">
        <v>51</v>
      </c>
    </row>
    <row r="10342" spans="1:14" x14ac:dyDescent="0.15">
      <c r="A10342" s="23" t="str">
        <f>HYPERLINK("https://www.spark-marketing.ru/Card/Person/7958", "МЕЖМУНИЦИПАЛЬНЫЙ ОТДЕЛ МВД РОССИИ ""ЧЕБАРКУЛЬСКИЙ"" ЧЕЛЯБИНСКОЙ ОБЛАСТИ")</f>
        <v>МЕЖМУНИЦИПАЛЬНЫЙ ОТДЕЛ МВД РОССИИ "ЧЕБАРКУЛЬСКИЙ" ЧЕЛЯБИНСКОЙ ОБЛАСТИ</v>
      </c>
      <c r="B10342" s="24" t="s">
        <v>14632</v>
      </c>
      <c r="C10342" s="25">
        <v>300000</v>
      </c>
      <c r="D10342" s="22" t="s">
        <v>14640</v>
      </c>
      <c r="E10342" s="22" t="s">
        <v>96</v>
      </c>
      <c r="F10342" s="23" t="str">
        <f>HYPERLINK("https://www.spark-marketing.ru/Card/Lot/72448366", "питание арестованных")</f>
        <v>питание арестованных</v>
      </c>
      <c r="G10342" s="22" t="s">
        <v>469</v>
      </c>
      <c r="H10342" s="22" t="s">
        <v>14634</v>
      </c>
      <c r="I10342" s="26">
        <v>43675.487557870401</v>
      </c>
      <c r="J10342" s="23" t="str">
        <f>HYPERLINK("https://www.spark-marketing.ru/Card/Person/6447382", "ООО ""ГЕРМЕС""")</f>
        <v>ООО "ГЕРМЕС"</v>
      </c>
      <c r="K10342" s="24" t="s">
        <v>14635</v>
      </c>
      <c r="L10342" s="28" t="s">
        <v>51</v>
      </c>
      <c r="M10342" s="28" t="s">
        <v>51</v>
      </c>
      <c r="N10342" s="28" t="s">
        <v>51</v>
      </c>
    </row>
    <row r="10343" spans="1:14" ht="12.75" hidden="1" outlineLevel="1" x14ac:dyDescent="0.2">
      <c r="A10343" s="23" t="str">
        <f>HYPERLINK("https://www.spark-marketing.ru/Card/Person/7958", "МЕЖМУНИЦИПАЛЬНЫЙ ОТДЕЛ МВД РОССИИ ""ЧЕБАРКУЛЬСКИЙ"" ЧЕЛЯБИНСКОЙ ОБЛАСТИ")</f>
        <v>МЕЖМУНИЦИПАЛЬНЫЙ ОТДЕЛ МВД РОССИИ "ЧЕБАРКУЛЬСКИЙ" ЧЕЛЯБИНСКОЙ ОБЛАСТИ</v>
      </c>
      <c r="B10343" s="24" t="s">
        <v>14632</v>
      </c>
      <c r="C10343" s="25">
        <v>300000</v>
      </c>
      <c r="D10343" s="22" t="s">
        <v>14640</v>
      </c>
      <c r="E10343" s="22" t="s">
        <v>96</v>
      </c>
      <c r="F10343" s="23" t="str">
        <f>HYPERLINK("https://www.spark-marketing.ru/Card/Lot/72448366", "питание арестованных")</f>
        <v>питание арестованных</v>
      </c>
      <c r="G10343" s="22" t="s">
        <v>469</v>
      </c>
      <c r="H10343" s="22" t="s">
        <v>14634</v>
      </c>
      <c r="I10343" s="26">
        <v>43675.487557870401</v>
      </c>
      <c r="J10343" s="23" t="str">
        <f>HYPERLINK("https://www.spark-marketing.ru/Card/Person/6447382", "ООО ""ГЕРМЕС""")</f>
        <v>ООО "ГЕРМЕС"</v>
      </c>
      <c r="K10343" s="24" t="s">
        <v>14635</v>
      </c>
      <c r="L10343" s="22" t="s">
        <v>10</v>
      </c>
      <c r="M10343" s="25">
        <v>298500</v>
      </c>
      <c r="N10343" s="27">
        <v>5.0000000000000001E-3</v>
      </c>
    </row>
    <row r="10344" spans="1:14" x14ac:dyDescent="0.2">
      <c r="A10344" s="23" t="str">
        <f>HYPERLINK("https://www.spark-marketing.ru/Card/Person/2619", "КОГБУЗ ""ОБЛАСТНОЙ КЛИНИЧЕСКИЙ ПРОТИВОТУБЕРКУЛЕЗНЫЙ ДИСПАНСЕР"", КОГБУЗ ""ОКПТД""")</f>
        <v>КОГБУЗ "ОБЛАСТНОЙ КЛИНИЧЕСКИЙ ПРОТИВОТУБЕРКУЛЕЗНЫЙ ДИСПАНСЕР", КОГБУЗ "ОКПТД"</v>
      </c>
      <c r="B10344" s="24" t="s">
        <v>14641</v>
      </c>
      <c r="C10344" s="25">
        <v>61102412.399999999</v>
      </c>
      <c r="D10344" s="22" t="s">
        <v>14642</v>
      </c>
      <c r="E10344" s="22" t="s">
        <v>96</v>
      </c>
      <c r="F10344" s="23" t="str">
        <f>HYPERLINK("https://www.spark-marketing.ru/Card/Lot/72449951", "Оказание услуг по приготовлению и передаче ежедневного лечебного горячего питания для снабжения больных стационара")</f>
        <v>Оказание услуг по приготовлению и передаче ежедневного лечебного горячего питания для снабжения больных стационара</v>
      </c>
      <c r="G10344" s="22" t="s">
        <v>224</v>
      </c>
      <c r="H10344" s="22" t="s">
        <v>225</v>
      </c>
      <c r="I10344" s="26">
        <v>43675.4842824074</v>
      </c>
      <c r="J10344" s="23" t="str">
        <f>HYPERLINK("https://www.spark-marketing.ru/Card/Person/35426", "ООО ""ТЕХНОЛОГИЯ ДИЕТИЧЕСКОГО ПИТАНИЯ""")</f>
        <v>ООО "ТЕХНОЛОГИЯ ДИЕТИЧЕСКОГО ПИТАНИЯ"</v>
      </c>
      <c r="K10344" s="24" t="s">
        <v>12077</v>
      </c>
      <c r="L10344" s="28" t="s">
        <v>51</v>
      </c>
      <c r="M10344" s="25">
        <v>61102412.399999999</v>
      </c>
      <c r="N10344" s="27">
        <v>0</v>
      </c>
    </row>
    <row r="10345" spans="1:14" x14ac:dyDescent="0.15">
      <c r="A10345" s="23" t="str">
        <f>HYPERLINK("https://www.spark-marketing.ru/Card/Person/61478", "ГБОУ ДПО ИРОСО")</f>
        <v>ГБОУ ДПО ИРОСО</v>
      </c>
      <c r="B10345" s="24" t="s">
        <v>8483</v>
      </c>
      <c r="C10345" s="25">
        <v>499989</v>
      </c>
      <c r="D10345" s="22" t="s">
        <v>14643</v>
      </c>
      <c r="E10345" s="22" t="s">
        <v>67</v>
      </c>
      <c r="F10345" s="23" t="str">
        <f>HYPERLINK("https://www.spark-marketing.ru/Card/Lot/72432192", "Оказание услуг по питанию участников, экспертов и волонтеров регионального чемпионата по профессиональному мастерству среди инвалидов и лиц с ОВЗ «Абилимпикс» Сахалинской области")</f>
        <v>Оказание услуг по питанию участников, экспертов и волонтеров регионального чемпионата по профессиональному мастерству среди инвалидов и лиц с ОВЗ «Абилимпикс» Сахалинской области</v>
      </c>
      <c r="G10345" s="22" t="s">
        <v>260</v>
      </c>
      <c r="H10345" s="22" t="s">
        <v>804</v>
      </c>
      <c r="I10345" s="26">
        <v>43675.463194444397</v>
      </c>
      <c r="J10345" s="28" t="s">
        <v>51</v>
      </c>
      <c r="K10345" s="28" t="s">
        <v>51</v>
      </c>
      <c r="L10345" s="28" t="s">
        <v>51</v>
      </c>
      <c r="M10345" s="28" t="s">
        <v>51</v>
      </c>
      <c r="N10345" s="28" t="s">
        <v>51</v>
      </c>
    </row>
    <row r="10346" spans="1:14" ht="12.75" hidden="1" outlineLevel="1" x14ac:dyDescent="0.2">
      <c r="A10346" s="23" t="str">
        <f>HYPERLINK("https://www.spark-marketing.ru/Card/Person/61478", "ГБОУ ДПО ИРОСО")</f>
        <v>ГБОУ ДПО ИРОСО</v>
      </c>
      <c r="B10346" s="24" t="s">
        <v>8483</v>
      </c>
      <c r="C10346" s="25">
        <v>499989</v>
      </c>
      <c r="D10346" s="22" t="s">
        <v>14643</v>
      </c>
      <c r="E10346" s="22" t="s">
        <v>67</v>
      </c>
      <c r="F10346" s="23" t="str">
        <f>HYPERLINK("https://www.spark-marketing.ru/Card/Lot/72432192", "Оказание услуг по питанию участников, экспертов и волонтеров регионального чемпионата по профессиональному мастерству среди инвалидов и лиц с ОВЗ «Абилимпикс» Сахалинской области")</f>
        <v>Оказание услуг по питанию участников, экспертов и волонтеров регионального чемпионата по профессиональному мастерству среди инвалидов и лиц с ОВЗ «Абилимпикс» Сахалинской области</v>
      </c>
      <c r="G10346" s="22" t="s">
        <v>260</v>
      </c>
      <c r="H10346" s="22" t="s">
        <v>804</v>
      </c>
      <c r="I10346" s="26">
        <v>43675.463194444397</v>
      </c>
      <c r="J10346" s="23" t="str">
        <f>HYPERLINK("https://www.spark-marketing.ru/Card/Person/5860933", "Морозова Анна Юрьевна")</f>
        <v>Морозова Анна Юрьевна</v>
      </c>
      <c r="K10346" s="24" t="s">
        <v>14644</v>
      </c>
      <c r="L10346" s="22" t="s">
        <v>10</v>
      </c>
      <c r="M10346" s="25">
        <v>450000</v>
      </c>
      <c r="N10346" s="27">
        <v>9.9980199564390415E-2</v>
      </c>
    </row>
    <row r="10347" spans="1:14" hidden="1" outlineLevel="1" x14ac:dyDescent="0.2">
      <c r="A10347" s="23" t="str">
        <f>HYPERLINK("https://www.spark-marketing.ru/Card/Person/61478", "ГБОУ ДПО ИРОСО")</f>
        <v>ГБОУ ДПО ИРОСО</v>
      </c>
      <c r="B10347" s="24" t="s">
        <v>8483</v>
      </c>
      <c r="C10347" s="25">
        <v>499989</v>
      </c>
      <c r="D10347" s="22" t="s">
        <v>14643</v>
      </c>
      <c r="E10347" s="22" t="s">
        <v>67</v>
      </c>
      <c r="F10347" s="23" t="str">
        <f>HYPERLINK("https://www.spark-marketing.ru/Card/Lot/72432192", "Оказание услуг по питанию участников, экспертов и волонтеров регионального чемпионата по профессиональному мастерству среди инвалидов и лиц с ОВЗ «Абилимпикс» Сахалинской области")</f>
        <v>Оказание услуг по питанию участников, экспертов и волонтеров регионального чемпионата по профессиональному мастерству среди инвалидов и лиц с ОВЗ «Абилимпикс» Сахалинской области</v>
      </c>
      <c r="G10347" s="22" t="s">
        <v>260</v>
      </c>
      <c r="H10347" s="22" t="s">
        <v>804</v>
      </c>
      <c r="I10347" s="26">
        <v>43675.463194444397</v>
      </c>
      <c r="J10347" s="23" t="str">
        <f>HYPERLINK("https://www.spark-marketing.ru/Card/Person/6469699", "Асташкин Алексей Александрович")</f>
        <v>Асташкин Алексей Александрович</v>
      </c>
      <c r="K10347" s="24" t="s">
        <v>14645</v>
      </c>
      <c r="L10347" s="28" t="s">
        <v>51</v>
      </c>
      <c r="M10347" s="25">
        <v>470000</v>
      </c>
      <c r="N10347" s="27">
        <v>5.997931954502999E-2</v>
      </c>
    </row>
    <row r="10348" spans="1:14" hidden="1" outlineLevel="1" x14ac:dyDescent="0.2">
      <c r="A10348" s="23" t="str">
        <f>HYPERLINK("https://www.spark-marketing.ru/Card/Person/61478", "ГБОУ ДПО ИРОСО")</f>
        <v>ГБОУ ДПО ИРОСО</v>
      </c>
      <c r="B10348" s="24" t="s">
        <v>8483</v>
      </c>
      <c r="C10348" s="25">
        <v>499989</v>
      </c>
      <c r="D10348" s="22" t="s">
        <v>14643</v>
      </c>
      <c r="E10348" s="22" t="s">
        <v>67</v>
      </c>
      <c r="F10348" s="23" t="str">
        <f>HYPERLINK("https://www.spark-marketing.ru/Card/Lot/72432192", "Оказание услуг по питанию участников, экспертов и волонтеров регионального чемпионата по профессиональному мастерству среди инвалидов и лиц с ОВЗ «Абилимпикс» Сахалинской области")</f>
        <v>Оказание услуг по питанию участников, экспертов и волонтеров регионального чемпионата по профессиональному мастерству среди инвалидов и лиц с ОВЗ «Абилимпикс» Сахалинской области</v>
      </c>
      <c r="G10348" s="22" t="s">
        <v>260</v>
      </c>
      <c r="H10348" s="22" t="s">
        <v>804</v>
      </c>
      <c r="I10348" s="26">
        <v>43675.463194444397</v>
      </c>
      <c r="J10348" s="23" t="str">
        <f>HYPERLINK("https://www.spark-marketing.ru/Card/Person/797550", "Герасимов Виктор Юрьевич")</f>
        <v>Герасимов Виктор Юрьевич</v>
      </c>
      <c r="K10348" s="24" t="s">
        <v>3539</v>
      </c>
      <c r="L10348" s="28" t="s">
        <v>51</v>
      </c>
      <c r="M10348" s="25">
        <v>490000</v>
      </c>
      <c r="N10348" s="27">
        <v>1.9978439525669564E-2</v>
      </c>
    </row>
    <row r="10349" spans="1:14" x14ac:dyDescent="0.15">
      <c r="A10349" s="23" t="str">
        <f>HYPERLINK("https://www.spark-marketing.ru/Card/Person/1001139", "МО МВД РОССИИ ""КНЯГИНИНСКИЙ""")</f>
        <v>МО МВД РОССИИ "КНЯГИНИНСКИЙ"</v>
      </c>
      <c r="B10349" s="24" t="s">
        <v>14646</v>
      </c>
      <c r="C10349" s="25">
        <v>380000</v>
      </c>
      <c r="D10349" s="22" t="s">
        <v>14647</v>
      </c>
      <c r="E10349" s="22" t="s">
        <v>48</v>
      </c>
      <c r="F10349" s="23" t="str">
        <f>HYPERLINK("https://www.spark-marketing.ru/Card/Lot/72454324", "питание арестованных")</f>
        <v>питание арестованных</v>
      </c>
      <c r="G10349" s="22" t="s">
        <v>76</v>
      </c>
      <c r="H10349" s="22" t="s">
        <v>14648</v>
      </c>
      <c r="I10349" s="26">
        <v>43675.423750000002</v>
      </c>
      <c r="J10349" s="28" t="s">
        <v>51</v>
      </c>
      <c r="K10349" s="28" t="s">
        <v>51</v>
      </c>
      <c r="L10349" s="28" t="s">
        <v>51</v>
      </c>
      <c r="M10349" s="28" t="s">
        <v>51</v>
      </c>
      <c r="N10349" s="28" t="s">
        <v>51</v>
      </c>
    </row>
    <row r="10350" spans="1:14" x14ac:dyDescent="0.15">
      <c r="A10350" s="23" t="str">
        <f>HYPERLINK("https://www.spark-marketing.ru/Card/Person/4343552", "АДМИНИСТРАЦИЯ ПСКОВСКОЙ ОБЛАСТИ")</f>
        <v>АДМИНИСТРАЦИЯ ПСКОВСКОЙ ОБЛАСТИ</v>
      </c>
      <c r="B10350" s="24" t="s">
        <v>4540</v>
      </c>
      <c r="C10350" s="25">
        <v>100000</v>
      </c>
      <c r="D10350" s="22" t="s">
        <v>14649</v>
      </c>
      <c r="E10350" s="22" t="s">
        <v>48</v>
      </c>
      <c r="F10350" s="23" t="str">
        <f>HYPERLINK("https://www.spark-marketing.ru/Card/Lot/72459308", "Оказание услуг по предоставлению питания")</f>
        <v>Оказание услуг по предоставлению питания</v>
      </c>
      <c r="G10350" s="22" t="s">
        <v>415</v>
      </c>
      <c r="H10350" s="22" t="s">
        <v>4542</v>
      </c>
      <c r="I10350" s="26">
        <v>43675.429386574098</v>
      </c>
      <c r="J10350" s="23" t="str">
        <f>HYPERLINK("https://www.spark-marketing.ru/Card/Person/59968", "ФГБОУ ВО ""ПСКОВСКИЙ ГОСУДАРСТВЕННЫЙ УНИВЕРСИТЕТ""")</f>
        <v>ФГБОУ ВО "ПСКОВСКИЙ ГОСУДАРСТВЕННЫЙ УНИВЕРСИТЕТ"</v>
      </c>
      <c r="K10350" s="24" t="s">
        <v>14650</v>
      </c>
      <c r="L10350" s="22" t="s">
        <v>10</v>
      </c>
      <c r="M10350" s="28" t="s">
        <v>51</v>
      </c>
      <c r="N10350" s="28" t="s">
        <v>51</v>
      </c>
    </row>
    <row r="10351" spans="1:14" x14ac:dyDescent="0.15">
      <c r="A10351" s="23" t="str">
        <f>HYPERLINK("https://www.spark-marketing.ru/Card/Person/4349211", "ГБУ РК «МНОГОФУНКЦИОНАЛЬНЫЙ ЦЕНТР ПРЕДОСТАВЛЕНИЯ ГОСУДАРСТВЕННЫХ И МУНИЦИПАЛЬНЫХ УСЛУГ»")</f>
        <v>ГБУ РК «МНОГОФУНКЦИОНАЛЬНЫЙ ЦЕНТР ПРЕДОСТАВЛЕНИЯ ГОСУДАРСТВЕННЫХ И МУНИЦИПАЛЬНЫХ УСЛУГ»</v>
      </c>
      <c r="B10351" s="24" t="s">
        <v>10262</v>
      </c>
      <c r="C10351" s="25">
        <v>346600.14</v>
      </c>
      <c r="D10351" s="22" t="s">
        <v>14651</v>
      </c>
      <c r="E10351" s="22" t="s">
        <v>91</v>
      </c>
      <c r="F10351" s="23" t="str">
        <f>HYPERLINK("https://www.spark-marketing.ru/Card/Lot/72450139", "Выполнение работ по ремонту оргтехники для ГБУ РК ""Многофункциональный центр предоставления государственных и муниципальных услуг""")</f>
        <v>Выполнение работ по ремонту оргтехники для ГБУ РК "Многофункциональный центр предоставления государственных и муниципальных услуг"</v>
      </c>
      <c r="G10351" s="22" t="s">
        <v>108</v>
      </c>
      <c r="H10351" s="22" t="s">
        <v>108</v>
      </c>
      <c r="I10351" s="26">
        <v>43675.444224537001</v>
      </c>
      <c r="J10351" s="28" t="s">
        <v>51</v>
      </c>
      <c r="K10351" s="28" t="s">
        <v>51</v>
      </c>
      <c r="L10351" s="28" t="s">
        <v>51</v>
      </c>
      <c r="M10351" s="28" t="s">
        <v>51</v>
      </c>
      <c r="N10351" s="28" t="s">
        <v>51</v>
      </c>
    </row>
    <row r="10352" spans="1:14" ht="12.75" hidden="1" outlineLevel="1" x14ac:dyDescent="0.2">
      <c r="A10352" s="23" t="str">
        <f>HYPERLINK("https://www.spark-marketing.ru/Card/Person/4349211", "ГБУ РК «МНОГОФУНКЦИОНАЛЬНЫЙ ЦЕНТР ПРЕДОСТАВЛЕНИЯ ГОСУДАРСТВЕННЫХ И МУНИЦИПАЛЬНЫХ УСЛУГ»")</f>
        <v>ГБУ РК «МНОГОФУНКЦИОНАЛЬНЫЙ ЦЕНТР ПРЕДОСТАВЛЕНИЯ ГОСУДАРСТВЕННЫХ И МУНИЦИПАЛЬНЫХ УСЛУГ»</v>
      </c>
      <c r="B10352" s="24" t="s">
        <v>10262</v>
      </c>
      <c r="C10352" s="25">
        <v>346600.14</v>
      </c>
      <c r="D10352" s="22" t="s">
        <v>14651</v>
      </c>
      <c r="E10352" s="22" t="s">
        <v>91</v>
      </c>
      <c r="F10352" s="23" t="str">
        <f>HYPERLINK("https://www.spark-marketing.ru/Card/Lot/72450139", "Выполнение работ по ремонту оргтехники для ГБУ РК ""Многофункциональный центр предоставления государственных и муниципальных услуг""")</f>
        <v>Выполнение работ по ремонту оргтехники для ГБУ РК "Многофункциональный центр предоставления государственных и муниципальных услуг"</v>
      </c>
      <c r="G10352" s="22" t="s">
        <v>108</v>
      </c>
      <c r="H10352" s="22" t="s">
        <v>108</v>
      </c>
      <c r="I10352" s="26">
        <v>43675.444224537001</v>
      </c>
      <c r="J10352" s="23" t="str">
        <f>HYPERLINK("https://www.spark-marketing.ru/Card/Person/932072", "Белопухов Владимир Александрович")</f>
        <v>Белопухов Владимир Александрович</v>
      </c>
      <c r="K10352" s="24" t="s">
        <v>14652</v>
      </c>
      <c r="L10352" s="22" t="s">
        <v>10</v>
      </c>
      <c r="M10352" s="25">
        <v>341401.14</v>
      </c>
      <c r="N10352" s="27">
        <v>1.4999993941144974E-2</v>
      </c>
    </row>
    <row r="10353" spans="1:14" hidden="1" outlineLevel="1" x14ac:dyDescent="0.2">
      <c r="A10353" s="23" t="str">
        <f>HYPERLINK("https://www.spark-marketing.ru/Card/Person/4349211", "ГБУ РК «МНОГОФУНКЦИОНАЛЬНЫЙ ЦЕНТР ПРЕДОСТАВЛЕНИЯ ГОСУДАРСТВЕННЫХ И МУНИЦИПАЛЬНЫХ УСЛУГ»")</f>
        <v>ГБУ РК «МНОГОФУНКЦИОНАЛЬНЫЙ ЦЕНТР ПРЕДОСТАВЛЕНИЯ ГОСУДАРСТВЕННЫХ И МУНИЦИПАЛЬНЫХ УСЛУГ»</v>
      </c>
      <c r="B10353" s="24" t="s">
        <v>10262</v>
      </c>
      <c r="C10353" s="25">
        <v>346600.14</v>
      </c>
      <c r="D10353" s="22" t="s">
        <v>14651</v>
      </c>
      <c r="E10353" s="22" t="s">
        <v>91</v>
      </c>
      <c r="F10353" s="23" t="str">
        <f>HYPERLINK("https://www.spark-marketing.ru/Card/Lot/72450139", "Выполнение работ по ремонту оргтехники для ГБУ РК ""Многофункциональный центр предоставления государственных и муниципальных услуг""")</f>
        <v>Выполнение работ по ремонту оргтехники для ГБУ РК "Многофункциональный центр предоставления государственных и муниципальных услуг"</v>
      </c>
      <c r="G10353" s="22" t="s">
        <v>108</v>
      </c>
      <c r="H10353" s="22" t="s">
        <v>108</v>
      </c>
      <c r="I10353" s="26">
        <v>43675.444224537001</v>
      </c>
      <c r="J10353" s="23" t="str">
        <f>HYPERLINK("https://www.spark-marketing.ru/Card/Person/6483095", "Маринянская Оксана Александровна")</f>
        <v>Маринянская Оксана Александровна</v>
      </c>
      <c r="K10353" s="24" t="s">
        <v>14653</v>
      </c>
      <c r="L10353" s="28" t="s">
        <v>51</v>
      </c>
      <c r="M10353" s="25">
        <v>343134.14</v>
      </c>
      <c r="N10353" s="27">
        <v>9.9999959607633172E-3</v>
      </c>
    </row>
    <row r="10354" spans="1:14" ht="12.75" x14ac:dyDescent="0.2">
      <c r="A10354" s="23" t="str">
        <f>HYPERLINK("https://www.spark-marketing.ru/Card/Person/14233", "АДМИНИСТРАЦИЯ МУНИЦИПАЛЬНОГО ОБРАЗОВАНИЯ ГОРОД НОВОРОССИЙСК")</f>
        <v>АДМИНИСТРАЦИЯ МУНИЦИПАЛЬНОГО ОБРАЗОВАНИЯ ГОРОД НОВОРОССИЙСК</v>
      </c>
      <c r="B10354" s="24" t="s">
        <v>14654</v>
      </c>
      <c r="C10354" s="25">
        <v>497115.19</v>
      </c>
      <c r="D10354" s="22" t="s">
        <v>14655</v>
      </c>
      <c r="E10354" s="22" t="s">
        <v>67</v>
      </c>
      <c r="F10354" s="23" t="str">
        <f>HYPERLINK("https://www.spark-marketing.ru/Card/Lot/72449433", "Оказание услуг по проведению официальных обедов и ужинов для участников делегаций и представительских мероприятий")</f>
        <v>Оказание услуг по проведению официальных обедов и ужинов для участников делегаций и представительских мероприятий</v>
      </c>
      <c r="G10354" s="22" t="s">
        <v>104</v>
      </c>
      <c r="H10354" s="22" t="s">
        <v>1689</v>
      </c>
      <c r="I10354" s="26">
        <v>43675.424918981502</v>
      </c>
      <c r="J10354" s="23" t="str">
        <f>HYPERLINK("https://www.spark-marketing.ru/Card/Person/6683545", "Метёлкина Вера Анатольевна")</f>
        <v>Метёлкина Вера Анатольевна</v>
      </c>
      <c r="K10354" s="24" t="s">
        <v>14656</v>
      </c>
      <c r="L10354" s="22" t="s">
        <v>10</v>
      </c>
      <c r="M10354" s="25">
        <v>497115</v>
      </c>
      <c r="N10354" s="27">
        <v>3.8220517864280109E-7</v>
      </c>
    </row>
    <row r="10355" spans="1:14" x14ac:dyDescent="0.15">
      <c r="A10355" s="23" t="str">
        <f>HYPERLINK("https://www.spark-marketing.ru/Card/Person/4347256", "ГБУЗ КК БЫСТРИНСКАЯ РБ")</f>
        <v>ГБУЗ КК БЫСТРИНСКАЯ РБ</v>
      </c>
      <c r="B10355" s="24" t="s">
        <v>14657</v>
      </c>
      <c r="C10355" s="25">
        <v>1151400</v>
      </c>
      <c r="D10355" s="22" t="s">
        <v>14658</v>
      </c>
      <c r="E10355" s="22" t="s">
        <v>48</v>
      </c>
      <c r="F10355" s="23" t="str">
        <f>HYPERLINK("https://www.spark-marketing.ru/Card/Lot/72432160", "Оказание услуг по организации лечебного питания")</f>
        <v>Оказание услуг по организации лечебного питания</v>
      </c>
      <c r="G10355" s="22" t="s">
        <v>246</v>
      </c>
      <c r="H10355" s="22" t="s">
        <v>14659</v>
      </c>
      <c r="I10355" s="26">
        <v>43675.445081018501</v>
      </c>
      <c r="J10355" s="28" t="s">
        <v>51</v>
      </c>
      <c r="K10355" s="28" t="s">
        <v>51</v>
      </c>
      <c r="L10355" s="28" t="s">
        <v>51</v>
      </c>
      <c r="M10355" s="28" t="s">
        <v>51</v>
      </c>
      <c r="N10355" s="28" t="s">
        <v>51</v>
      </c>
    </row>
    <row r="10356" spans="1:14" x14ac:dyDescent="0.2">
      <c r="A10356" s="23" t="s">
        <v>114</v>
      </c>
      <c r="B10356" s="28" t="s">
        <v>51</v>
      </c>
      <c r="C10356" s="25">
        <v>6144176.1699999999</v>
      </c>
      <c r="D10356" s="22" t="s">
        <v>14660</v>
      </c>
      <c r="E10356" s="22" t="s">
        <v>48</v>
      </c>
      <c r="F10356" s="23" t="str">
        <f>HYPERLINK("https://www.spark-marketing.ru/Card/Lot/72450200", "Услуги по организации общественного питания")</f>
        <v>Услуги по организации общественного питания</v>
      </c>
      <c r="G10356" s="22" t="s">
        <v>51</v>
      </c>
      <c r="H10356" s="22" t="s">
        <v>51</v>
      </c>
      <c r="I10356" s="26">
        <v>43675.457951388897</v>
      </c>
      <c r="J10356" s="23" t="str">
        <f>HYPERLINK("https://www.spark-marketing.ru/Card/Person/129358", "ООО ""УТ""")</f>
        <v>ООО "УТ"</v>
      </c>
      <c r="K10356" s="24" t="s">
        <v>3751</v>
      </c>
      <c r="L10356" s="28" t="s">
        <v>51</v>
      </c>
      <c r="M10356" s="25">
        <v>6144176.1699999999</v>
      </c>
      <c r="N10356" s="27">
        <v>0</v>
      </c>
    </row>
    <row r="10357" spans="1:14" hidden="1" outlineLevel="1" x14ac:dyDescent="0.2">
      <c r="A10357" s="23" t="str">
        <f>HYPERLINK("https://www.spark-marketing.ru/Card/Person/954421", "МБОУ ""ССШ № 1""")</f>
        <v>МБОУ "ССШ № 1"</v>
      </c>
      <c r="B10357" s="24" t="s">
        <v>3752</v>
      </c>
      <c r="C10357" s="25">
        <v>2495629.7000000002</v>
      </c>
      <c r="D10357" s="22" t="s">
        <v>14660</v>
      </c>
      <c r="E10357" s="22" t="s">
        <v>48</v>
      </c>
      <c r="F10357" s="23" t="str">
        <f>HYPERLINK("https://www.spark-marketing.ru/Card/Lot/72450200", "Услуги по организации общественного питания")</f>
        <v>Услуги по организации общественного питания</v>
      </c>
      <c r="G10357" s="22" t="s">
        <v>281</v>
      </c>
      <c r="H10357" s="22" t="s">
        <v>6716</v>
      </c>
      <c r="I10357" s="26">
        <v>43675.457951388897</v>
      </c>
      <c r="J10357" s="23" t="str">
        <f>HYPERLINK("https://www.spark-marketing.ru/Card/Person/129358", "ООО ""УТ""")</f>
        <v>ООО "УТ"</v>
      </c>
      <c r="K10357" s="24" t="s">
        <v>3751</v>
      </c>
      <c r="L10357" s="28" t="s">
        <v>51</v>
      </c>
      <c r="M10357" s="28" t="s">
        <v>51</v>
      </c>
      <c r="N10357" s="27">
        <v>0</v>
      </c>
    </row>
    <row r="10358" spans="1:14" hidden="1" outlineLevel="1" x14ac:dyDescent="0.2">
      <c r="A10358" s="23" t="str">
        <f>HYPERLINK("https://www.spark-marketing.ru/Card/Person/954626", "МБОУ ""ТСШ № 3""")</f>
        <v>МБОУ "ТСШ № 3"</v>
      </c>
      <c r="B10358" s="24" t="s">
        <v>3753</v>
      </c>
      <c r="C10358" s="25">
        <v>1732384.23</v>
      </c>
      <c r="D10358" s="22" t="s">
        <v>14660</v>
      </c>
      <c r="E10358" s="22" t="s">
        <v>48</v>
      </c>
      <c r="F10358" s="23" t="str">
        <f>HYPERLINK("https://www.spark-marketing.ru/Card/Lot/72450200", "Услуги по организации общественного питания")</f>
        <v>Услуги по организации общественного питания</v>
      </c>
      <c r="G10358" s="22" t="s">
        <v>281</v>
      </c>
      <c r="H10358" s="22" t="s">
        <v>6716</v>
      </c>
      <c r="I10358" s="26">
        <v>43675.457951388897</v>
      </c>
      <c r="J10358" s="23" t="str">
        <f>HYPERLINK("https://www.spark-marketing.ru/Card/Person/129358", "ООО ""УТ""")</f>
        <v>ООО "УТ"</v>
      </c>
      <c r="K10358" s="24" t="s">
        <v>3751</v>
      </c>
      <c r="L10358" s="28" t="s">
        <v>51</v>
      </c>
      <c r="M10358" s="28" t="s">
        <v>51</v>
      </c>
      <c r="N10358" s="27">
        <v>0</v>
      </c>
    </row>
    <row r="10359" spans="1:14" hidden="1" outlineLevel="1" x14ac:dyDescent="0.2">
      <c r="A10359" s="23" t="str">
        <f>HYPERLINK("https://www.spark-marketing.ru/Card/Person/954631", "МБОУ ""ССШ № 2""")</f>
        <v>МБОУ "ССШ № 2"</v>
      </c>
      <c r="B10359" s="24" t="s">
        <v>3754</v>
      </c>
      <c r="C10359" s="25">
        <v>1916162.24</v>
      </c>
      <c r="D10359" s="22" t="s">
        <v>14660</v>
      </c>
      <c r="E10359" s="22" t="s">
        <v>48</v>
      </c>
      <c r="F10359" s="23" t="str">
        <f>HYPERLINK("https://www.spark-marketing.ru/Card/Lot/72450200", "Услуги по организации общественного питания")</f>
        <v>Услуги по организации общественного питания</v>
      </c>
      <c r="G10359" s="22" t="s">
        <v>281</v>
      </c>
      <c r="H10359" s="22" t="s">
        <v>6716</v>
      </c>
      <c r="I10359" s="26">
        <v>43675.457951388897</v>
      </c>
      <c r="J10359" s="23" t="str">
        <f>HYPERLINK("https://www.spark-marketing.ru/Card/Person/129358", "ООО ""УТ""")</f>
        <v>ООО "УТ"</v>
      </c>
      <c r="K10359" s="24" t="s">
        <v>3751</v>
      </c>
      <c r="L10359" s="28" t="s">
        <v>51</v>
      </c>
      <c r="M10359" s="28" t="s">
        <v>51</v>
      </c>
      <c r="N10359" s="27">
        <v>0</v>
      </c>
    </row>
    <row r="10360" spans="1:14" collapsed="1" x14ac:dyDescent="0.15">
      <c r="A10360" s="23" t="str">
        <f>HYPERLINK("https://www.spark-marketing.ru/Card/Person/1006572", "МОУ ЕРМОЛИНСКАЯ ООШ")</f>
        <v>МОУ ЕРМОЛИНСКАЯ ООШ</v>
      </c>
      <c r="B10360" s="24" t="s">
        <v>14661</v>
      </c>
      <c r="C10360" s="25">
        <v>541927.52</v>
      </c>
      <c r="D10360" s="22" t="s">
        <v>14662</v>
      </c>
      <c r="E10360" s="22" t="s">
        <v>48</v>
      </c>
      <c r="F10360" s="23" t="str">
        <f>HYPERLINK("https://www.spark-marketing.ru/Card/Lot/72446853", "Услуги по организации горячего питания для учащихся МОУ Ермолинская ООШ с 01.09.2019 по 31.12.2019")</f>
        <v>Услуги по организации горячего питания для учащихся МОУ Ермолинская ООШ с 01.09.2019 по 31.12.2019</v>
      </c>
      <c r="G10360" s="22" t="s">
        <v>49</v>
      </c>
      <c r="H10360" s="22" t="s">
        <v>49</v>
      </c>
      <c r="I10360" s="26">
        <v>43675.422916666699</v>
      </c>
      <c r="J10360" s="28" t="s">
        <v>51</v>
      </c>
      <c r="K10360" s="28" t="s">
        <v>51</v>
      </c>
      <c r="L10360" s="28" t="s">
        <v>51</v>
      </c>
      <c r="M10360" s="28" t="s">
        <v>51</v>
      </c>
      <c r="N10360" s="28" t="s">
        <v>51</v>
      </c>
    </row>
    <row r="10361" spans="1:14" hidden="1" outlineLevel="1" x14ac:dyDescent="0.2">
      <c r="A10361" s="23" t="str">
        <f>HYPERLINK("https://www.spark-marketing.ru/Card/Person/1006572", "МОУ ЕРМОЛИНСКАЯ ООШ")</f>
        <v>МОУ ЕРМОЛИНСКАЯ ООШ</v>
      </c>
      <c r="B10361" s="24" t="s">
        <v>14661</v>
      </c>
      <c r="C10361" s="25">
        <v>541927.52</v>
      </c>
      <c r="D10361" s="22" t="s">
        <v>14662</v>
      </c>
      <c r="E10361" s="22" t="s">
        <v>48</v>
      </c>
      <c r="F10361" s="23" t="str">
        <f>HYPERLINK("https://www.spark-marketing.ru/Card/Lot/72446853", "Услуги по организации горячего питания для учащихся МОУ Ермолинская ООШ с 01.09.2019 по 31.12.2019")</f>
        <v>Услуги по организации горячего питания для учащихся МОУ Ермолинская ООШ с 01.09.2019 по 31.12.2019</v>
      </c>
      <c r="G10361" s="22" t="s">
        <v>49</v>
      </c>
      <c r="H10361" s="22" t="s">
        <v>49</v>
      </c>
      <c r="I10361" s="26">
        <v>43675.422916666699</v>
      </c>
      <c r="J10361" s="23" t="str">
        <f>HYPERLINK("https://www.spark-marketing.ru/Card/Person/31262", "ООО ""АЛЬЯНС""")</f>
        <v>ООО "АЛЬЯНС"</v>
      </c>
      <c r="K10361" s="24" t="s">
        <v>1718</v>
      </c>
      <c r="L10361" s="28" t="s">
        <v>51</v>
      </c>
      <c r="M10361" s="25">
        <v>490444.36</v>
      </c>
      <c r="N10361" s="27">
        <v>9.5000084144093666E-2</v>
      </c>
    </row>
    <row r="10362" spans="1:14" ht="12.75" hidden="1" outlineLevel="1" x14ac:dyDescent="0.2">
      <c r="A10362" s="23" t="str">
        <f>HYPERLINK("https://www.spark-marketing.ru/Card/Person/1006572", "МОУ ЕРМОЛИНСКАЯ ООШ")</f>
        <v>МОУ ЕРМОЛИНСКАЯ ООШ</v>
      </c>
      <c r="B10362" s="24" t="s">
        <v>14661</v>
      </c>
      <c r="C10362" s="25">
        <v>541927.52</v>
      </c>
      <c r="D10362" s="22" t="s">
        <v>14662</v>
      </c>
      <c r="E10362" s="22" t="s">
        <v>48</v>
      </c>
      <c r="F10362" s="23" t="str">
        <f>HYPERLINK("https://www.spark-marketing.ru/Card/Lot/72446853", "Услуги по организации горячего питания для учащихся МОУ Ермолинская ООШ с 01.09.2019 по 31.12.2019")</f>
        <v>Услуги по организации горячего питания для учащихся МОУ Ермолинская ООШ с 01.09.2019 по 31.12.2019</v>
      </c>
      <c r="G10362" s="22" t="s">
        <v>49</v>
      </c>
      <c r="H10362" s="22" t="s">
        <v>49</v>
      </c>
      <c r="I10362" s="26">
        <v>43675.422916666699</v>
      </c>
      <c r="J10362" s="23" t="str">
        <f>HYPERLINK("https://www.spark-marketing.ru/Card/Person/75516", "ООО ""КОНЦЕПТ""")</f>
        <v>ООО "КОНЦЕПТ"</v>
      </c>
      <c r="K10362" s="24" t="s">
        <v>1717</v>
      </c>
      <c r="L10362" s="22" t="s">
        <v>10</v>
      </c>
      <c r="M10362" s="25">
        <v>484905.04</v>
      </c>
      <c r="N10362" s="27">
        <v>0.10522159863739712</v>
      </c>
    </row>
    <row r="10363" spans="1:14" collapsed="1" x14ac:dyDescent="0.15">
      <c r="A10363" s="23" t="str">
        <f>HYPERLINK("https://www.spark-marketing.ru/Card/Person/4378298", "МБОУ ""МОРСКАЯ СРЕДНЯЯ ОБЩЕОБРАЗОВАТЕЛЬНАЯ ШКОЛА ИМ . В.А. ДЕРЯГИНА"" ГОРОДСКОГО ОКРУГА СУДАК")</f>
        <v>МБОУ "МОРСКАЯ СРЕДНЯЯ ОБЩЕОБРАЗОВАТЕЛЬНАЯ ШКОЛА ИМ . В.А. ДЕРЯГИНА" ГОРОДСКОГО ОКРУГА СУДАК</v>
      </c>
      <c r="B10363" s="24" t="s">
        <v>14663</v>
      </c>
      <c r="C10363" s="25">
        <v>4481136</v>
      </c>
      <c r="D10363" s="22" t="s">
        <v>14664</v>
      </c>
      <c r="E10363" s="22" t="s">
        <v>48</v>
      </c>
      <c r="F10363" s="23" t="str">
        <f>HYPERLINK("https://www.spark-marketing.ru/Card/Lot/72450339", "Услуга по организации питания для учащихся")</f>
        <v>Услуга по организации питания для учащихся</v>
      </c>
      <c r="G10363" s="22" t="s">
        <v>108</v>
      </c>
      <c r="H10363" s="22" t="s">
        <v>4593</v>
      </c>
      <c r="I10363" s="26">
        <v>43675.421770833302</v>
      </c>
      <c r="J10363" s="28" t="s">
        <v>51</v>
      </c>
      <c r="K10363" s="28" t="s">
        <v>51</v>
      </c>
      <c r="L10363" s="28" t="s">
        <v>51</v>
      </c>
      <c r="M10363" s="28" t="s">
        <v>51</v>
      </c>
      <c r="N10363" s="28" t="s">
        <v>51</v>
      </c>
    </row>
    <row r="10364" spans="1:14" hidden="1" outlineLevel="1" x14ac:dyDescent="0.2">
      <c r="A10364" s="23" t="str">
        <f>HYPERLINK("https://www.spark-marketing.ru/Card/Person/4378298", "МБОУ ""МОРСКАЯ СРЕДНЯЯ ОБЩЕОБРАЗОВАТЕЛЬНАЯ ШКОЛА ИМ . В.А. ДЕРЯГИНА"" ГОРОДСКОГО ОКРУГА СУДАК")</f>
        <v>МБОУ "МОРСКАЯ СРЕДНЯЯ ОБЩЕОБРАЗОВАТЕЛЬНАЯ ШКОЛА ИМ . В.А. ДЕРЯГИНА" ГОРОДСКОГО ОКРУГА СУДАК</v>
      </c>
      <c r="B10364" s="24" t="s">
        <v>14663</v>
      </c>
      <c r="C10364" s="25">
        <v>4481136</v>
      </c>
      <c r="D10364" s="22" t="s">
        <v>14664</v>
      </c>
      <c r="E10364" s="22" t="s">
        <v>48</v>
      </c>
      <c r="F10364" s="23" t="str">
        <f>HYPERLINK("https://www.spark-marketing.ru/Card/Lot/72450339", "Услуга по организации питания для учащихся")</f>
        <v>Услуга по организации питания для учащихся</v>
      </c>
      <c r="G10364" s="22" t="s">
        <v>108</v>
      </c>
      <c r="H10364" s="22" t="s">
        <v>4593</v>
      </c>
      <c r="I10364" s="26">
        <v>43675.421770833302</v>
      </c>
      <c r="J10364" s="23" t="str">
        <f>HYPERLINK("https://www.spark-marketing.ru/Card/Person/4856360", "ООО ""МЕЛИССА""")</f>
        <v>ООО "МЕЛИССА"</v>
      </c>
      <c r="K10364" s="24" t="s">
        <v>4595</v>
      </c>
      <c r="L10364" s="28" t="s">
        <v>51</v>
      </c>
      <c r="M10364" s="25">
        <v>4481136</v>
      </c>
      <c r="N10364" s="27">
        <v>0</v>
      </c>
    </row>
    <row r="10365" spans="1:14" ht="12.75" hidden="1" outlineLevel="1" x14ac:dyDescent="0.2">
      <c r="A10365" s="23" t="str">
        <f>HYPERLINK("https://www.spark-marketing.ru/Card/Person/4378298", "МБОУ ""МОРСКАЯ СРЕДНЯЯ ОБЩЕОБРАЗОВАТЕЛЬНАЯ ШКОЛА ИМ . В.А. ДЕРЯГИНА"" ГОРОДСКОГО ОКРУГА СУДАК")</f>
        <v>МБОУ "МОРСКАЯ СРЕДНЯЯ ОБЩЕОБРАЗОВАТЕЛЬНАЯ ШКОЛА ИМ . В.А. ДЕРЯГИНА" ГОРОДСКОГО ОКРУГА СУДАК</v>
      </c>
      <c r="B10365" s="24" t="s">
        <v>14663</v>
      </c>
      <c r="C10365" s="25">
        <v>4481136</v>
      </c>
      <c r="D10365" s="22" t="s">
        <v>14664</v>
      </c>
      <c r="E10365" s="22" t="s">
        <v>48</v>
      </c>
      <c r="F10365" s="23" t="str">
        <f>HYPERLINK("https://www.spark-marketing.ru/Card/Lot/72450339", "Услуга по организации питания для учащихся")</f>
        <v>Услуга по организации питания для учащихся</v>
      </c>
      <c r="G10365" s="22" t="s">
        <v>108</v>
      </c>
      <c r="H10365" s="22" t="s">
        <v>4593</v>
      </c>
      <c r="I10365" s="26">
        <v>43675.421770833302</v>
      </c>
      <c r="J10365" s="23" t="str">
        <f>HYPERLINK("https://www.spark-marketing.ru/Card/Person/5789450", "Шмакова Наталия Владимировна")</f>
        <v>Шмакова Наталия Владимировна</v>
      </c>
      <c r="K10365" s="24" t="s">
        <v>4594</v>
      </c>
      <c r="L10365" s="22" t="s">
        <v>10</v>
      </c>
      <c r="M10365" s="25">
        <v>4481136</v>
      </c>
      <c r="N10365" s="27">
        <v>0</v>
      </c>
    </row>
    <row r="10366" spans="1:14" x14ac:dyDescent="0.15">
      <c r="A10366" s="23" t="str">
        <f>HYPERLINK("https://www.spark-marketing.ru/Card/Person/16469", "ГБУЗ СО ""ПТД""")</f>
        <v>ГБУЗ СО "ПТД"</v>
      </c>
      <c r="B10366" s="24" t="s">
        <v>2531</v>
      </c>
      <c r="C10366" s="25">
        <v>554499.80000000005</v>
      </c>
      <c r="D10366" s="22" t="s">
        <v>14665</v>
      </c>
      <c r="E10366" s="22" t="s">
        <v>96</v>
      </c>
      <c r="F10366" s="23" t="str">
        <f>HYPERLINK("https://www.spark-marketing.ru/Card/Lot/72456855", "Оказание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(октябрь).")</f>
        <v>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(октябрь).</v>
      </c>
      <c r="G10366" s="22" t="s">
        <v>174</v>
      </c>
      <c r="H10366" s="22" t="s">
        <v>530</v>
      </c>
      <c r="I10366" s="26">
        <v>43675.4323842593</v>
      </c>
      <c r="J10366" s="23" t="str">
        <f>HYPERLINK("https://www.spark-marketing.ru/Card/Person/4868934", "ООО ""АЗБУКА ПИТАНИЯ""")</f>
        <v>ООО "АЗБУКА ПИТАНИЯ"</v>
      </c>
      <c r="K10366" s="24" t="s">
        <v>2534</v>
      </c>
      <c r="L10366" s="22" t="s">
        <v>10</v>
      </c>
      <c r="M10366" s="28" t="s">
        <v>51</v>
      </c>
      <c r="N10366" s="28" t="s">
        <v>51</v>
      </c>
    </row>
    <row r="10367" spans="1:14" x14ac:dyDescent="0.2">
      <c r="A10367" s="23" t="str">
        <f>HYPERLINK("https://www.spark-marketing.ru/Card/Person/4434536", "МАОУ СОШ №92 ГОРОДА ТЮМЕНИ")</f>
        <v>МАОУ СОШ №92 ГОРОДА ТЮМЕНИ</v>
      </c>
      <c r="B10367" s="24" t="s">
        <v>14666</v>
      </c>
      <c r="C10367" s="25">
        <v>187605240</v>
      </c>
      <c r="D10367" s="22" t="s">
        <v>14667</v>
      </c>
      <c r="E10367" s="22" t="s">
        <v>362</v>
      </c>
      <c r="F10367" s="23" t="str">
        <f>HYPERLINK("https://www.spark-marketing.ru/Card/Lot/72462601", "Оказание услуги по обеспечению питанием обучающихся")</f>
        <v>Оказание услуги по обеспечению питанием обучающихся</v>
      </c>
      <c r="G10367" s="22" t="s">
        <v>766</v>
      </c>
      <c r="H10367" s="22" t="s">
        <v>766</v>
      </c>
      <c r="I10367" s="26">
        <v>43675.454687500001</v>
      </c>
      <c r="J10367" s="28" t="s">
        <v>51</v>
      </c>
      <c r="K10367" s="28" t="s">
        <v>51</v>
      </c>
      <c r="L10367" s="22" t="s">
        <v>10</v>
      </c>
      <c r="M10367" s="25">
        <v>184346520</v>
      </c>
      <c r="N10367" s="27">
        <v>1.7370090515595408E-2</v>
      </c>
    </row>
    <row r="10368" spans="1:14" x14ac:dyDescent="0.15">
      <c r="A10368" s="23" t="str">
        <f>HYPERLINK("https://www.spark-marketing.ru/Card/Person/125522", "МБОУ ""СШ № 17 ИМ.ГЕРОЯ РОССИЙСКОЙ ФЕДЕРАЦИИ А.Б.БУХАНОВА""")</f>
        <v>МБОУ "СШ № 17 ИМ.ГЕРОЯ РОССИЙСКОЙ ФЕДЕРАЦИИ А.Б.БУХАНОВА"</v>
      </c>
      <c r="B10368" s="24" t="s">
        <v>14668</v>
      </c>
      <c r="C10368" s="25">
        <v>1505028</v>
      </c>
      <c r="D10368" s="22" t="s">
        <v>14669</v>
      </c>
      <c r="E10368" s="22" t="s">
        <v>48</v>
      </c>
      <c r="F10368" s="23" t="str">
        <f>HYPERLINK("https://www.spark-marketing.ru/Card/Lot/72456771", "Оказание услуг по организации горячего питания и обеспечению горячим питанием учащихся МБОУ ""СШ № 17 им. Героя Российской Федерации А.Б. Буханова""")</f>
        <v>Оказание услуг по организации горячего питания и обеспечению горячим питанием учащихся МБОУ "СШ № 17 им. Героя Российской Федерации А.Б. Буханова"</v>
      </c>
      <c r="G10368" s="22" t="s">
        <v>460</v>
      </c>
      <c r="H10368" s="22" t="s">
        <v>461</v>
      </c>
      <c r="I10368" s="26">
        <v>43675.425983796304</v>
      </c>
      <c r="J10368" s="23" t="str">
        <f>HYPERLINK("https://www.spark-marketing.ru/Card/Person/836702", "МУП ""КСП""")</f>
        <v>МУП "КСП"</v>
      </c>
      <c r="K10368" s="24" t="s">
        <v>6532</v>
      </c>
      <c r="L10368" s="22" t="s">
        <v>10</v>
      </c>
      <c r="M10368" s="28" t="s">
        <v>51</v>
      </c>
      <c r="N10368" s="28" t="s">
        <v>51</v>
      </c>
    </row>
    <row r="10369" spans="1:14" x14ac:dyDescent="0.15">
      <c r="A10369" s="23" t="str">
        <f>HYPERLINK("https://www.spark-marketing.ru/Card/Person/16469", "ГБУЗ СО ""ПТД""")</f>
        <v>ГБУЗ СО "ПТД"</v>
      </c>
      <c r="B10369" s="24" t="s">
        <v>2531</v>
      </c>
      <c r="C10369" s="25">
        <v>991250</v>
      </c>
      <c r="D10369" s="22" t="s">
        <v>14670</v>
      </c>
      <c r="E10369" s="22" t="s">
        <v>96</v>
      </c>
      <c r="F10369" s="23" t="str">
        <f>HYPERLINK("https://www.spark-marketing.ru/Card/Lot/72456802", "Оказание услуг по приготовлению диетических блюд (горячего питания) для пациентов Противотуберкулезного диспансера г. Екатеринбург, ул. Камская, 37 в 2019 г. (октябрь-ноябрь).")</f>
        <v>Оказание услуг по приготовлению диетических блюд (горячего питания) для пациентов Противотуберкулезного диспансера г. Екатеринбург, ул. Камская, 37 в 2019 г. (октябрь-ноябрь).</v>
      </c>
      <c r="G10369" s="22" t="s">
        <v>174</v>
      </c>
      <c r="H10369" s="22" t="s">
        <v>530</v>
      </c>
      <c r="I10369" s="26">
        <v>43675.432268518503</v>
      </c>
      <c r="J10369" s="23" t="str">
        <f>HYPERLINK("https://www.spark-marketing.ru/Card/Person/4868934", "ООО ""АЗБУКА ПИТАНИЯ""")</f>
        <v>ООО "АЗБУКА ПИТАНИЯ"</v>
      </c>
      <c r="K10369" s="24" t="s">
        <v>2534</v>
      </c>
      <c r="L10369" s="22" t="s">
        <v>10</v>
      </c>
      <c r="M10369" s="28" t="s">
        <v>51</v>
      </c>
      <c r="N10369" s="28" t="s">
        <v>51</v>
      </c>
    </row>
    <row r="10370" spans="1:14" collapsed="1" x14ac:dyDescent="0.15">
      <c r="A10370" s="23" t="str">
        <f>HYPERLINK("https://www.spark-marketing.ru/Card/Person/138571", "МБДОУ ""ЦРР - ДЕТСКИЙ САД № 8""")</f>
        <v>МБДОУ "ЦРР - ДЕТСКИЙ САД № 8"</v>
      </c>
      <c r="B10370" s="24" t="s">
        <v>14671</v>
      </c>
      <c r="C10370" s="25">
        <v>4770998.4000000004</v>
      </c>
      <c r="D10370" s="22" t="s">
        <v>14672</v>
      </c>
      <c r="E10370" s="22" t="s">
        <v>96</v>
      </c>
      <c r="F10370" s="23" t="str">
        <f>HYPERLINK("https://www.spark-marketing.ru/Card/Lot/72459834", "Оказание услуг по организации горячего питания для воспитанников")</f>
        <v>Оказание услуг по организации горячего питания для воспитанников</v>
      </c>
      <c r="G10370" s="22" t="s">
        <v>153</v>
      </c>
      <c r="H10370" s="22" t="s">
        <v>153</v>
      </c>
      <c r="I10370" s="26">
        <v>43675.434745370403</v>
      </c>
      <c r="J10370" s="28" t="s">
        <v>51</v>
      </c>
      <c r="K10370" s="28" t="s">
        <v>51</v>
      </c>
      <c r="L10370" s="28" t="s">
        <v>51</v>
      </c>
      <c r="M10370" s="28" t="s">
        <v>51</v>
      </c>
      <c r="N10370" s="28" t="s">
        <v>51</v>
      </c>
    </row>
    <row r="10371" spans="1:14" ht="12.75" hidden="1" outlineLevel="1" x14ac:dyDescent="0.2">
      <c r="A10371" s="23" t="str">
        <f>HYPERLINK("https://www.spark-marketing.ru/Card/Person/138571", "МБДОУ ""ЦРР - ДЕТСКИЙ САД № 8""")</f>
        <v>МБДОУ "ЦРР - ДЕТСКИЙ САД № 8"</v>
      </c>
      <c r="B10371" s="24" t="s">
        <v>14671</v>
      </c>
      <c r="C10371" s="25">
        <v>4770998.4000000004</v>
      </c>
      <c r="D10371" s="22" t="s">
        <v>14672</v>
      </c>
      <c r="E10371" s="22" t="s">
        <v>96</v>
      </c>
      <c r="F10371" s="23" t="str">
        <f>HYPERLINK("https://www.spark-marketing.ru/Card/Lot/72459834", "Оказание услуг по организации горячего питания для воспитанников")</f>
        <v>Оказание услуг по организации горячего питания для воспитанников</v>
      </c>
      <c r="G10371" s="22" t="s">
        <v>153</v>
      </c>
      <c r="H10371" s="22" t="s">
        <v>153</v>
      </c>
      <c r="I10371" s="26">
        <v>43675.434745370403</v>
      </c>
      <c r="J10371" s="23" t="str">
        <f>HYPERLINK("https://www.spark-marketing.ru/Card/Person/1016854", "МБУ ""КОМБИНАТ ПИТАНИЯ""")</f>
        <v>МБУ "КОМБИНАТ ПИТАНИЯ"</v>
      </c>
      <c r="K10371" s="24" t="s">
        <v>6224</v>
      </c>
      <c r="L10371" s="22" t="s">
        <v>10</v>
      </c>
      <c r="M10371" s="25">
        <v>4565853.5999999996</v>
      </c>
      <c r="N10371" s="27">
        <v>4.2998295702635324E-2</v>
      </c>
    </row>
    <row r="10372" spans="1:14" hidden="1" outlineLevel="1" x14ac:dyDescent="0.2">
      <c r="A10372" s="23" t="str">
        <f>HYPERLINK("https://www.spark-marketing.ru/Card/Person/138571", "МБДОУ ""ЦРР - ДЕТСКИЙ САД № 8""")</f>
        <v>МБДОУ "ЦРР - ДЕТСКИЙ САД № 8"</v>
      </c>
      <c r="B10372" s="24" t="s">
        <v>14671</v>
      </c>
      <c r="C10372" s="25">
        <v>4770998.4000000004</v>
      </c>
      <c r="D10372" s="22" t="s">
        <v>14672</v>
      </c>
      <c r="E10372" s="22" t="s">
        <v>96</v>
      </c>
      <c r="F10372" s="23" t="str">
        <f>HYPERLINK("https://www.spark-marketing.ru/Card/Lot/72459834", "Оказание услуг по организации горячего питания для воспитанников")</f>
        <v>Оказание услуг по организации горячего питания для воспитанников</v>
      </c>
      <c r="G10372" s="22" t="s">
        <v>153</v>
      </c>
      <c r="H10372" s="22" t="s">
        <v>153</v>
      </c>
      <c r="I10372" s="26">
        <v>43675.434745370403</v>
      </c>
      <c r="J10372" s="23" t="str">
        <f>HYPERLINK("https://www.spark-marketing.ru/Card/Person/788397", "Меньшатов Станислав Николаевич")</f>
        <v>Меньшатов Станислав Николаевич</v>
      </c>
      <c r="K10372" s="24" t="s">
        <v>6223</v>
      </c>
      <c r="L10372" s="28" t="s">
        <v>51</v>
      </c>
      <c r="M10372" s="25">
        <v>4608784.45</v>
      </c>
      <c r="N10372" s="27">
        <v>3.4000000922238836E-2</v>
      </c>
    </row>
    <row r="10373" spans="1:14" x14ac:dyDescent="0.15">
      <c r="A10373" s="23" t="str">
        <f>HYPERLINK("https://www.spark-marketing.ru/Card/Person/4343552", "АДМИНИСТРАЦИЯ ПСКОВСКОЙ ОБЛАСТИ")</f>
        <v>АДМИНИСТРАЦИЯ ПСКОВСКОЙ ОБЛАСТИ</v>
      </c>
      <c r="B10373" s="24" t="s">
        <v>4540</v>
      </c>
      <c r="C10373" s="25">
        <v>120000</v>
      </c>
      <c r="D10373" s="22" t="s">
        <v>14673</v>
      </c>
      <c r="E10373" s="22" t="s">
        <v>48</v>
      </c>
      <c r="F10373" s="23" t="str">
        <f>HYPERLINK("https://www.spark-marketing.ru/Card/Lot/72459307", "Оказание услуг по предоставлению питания")</f>
        <v>Оказание услуг по предоставлению питания</v>
      </c>
      <c r="G10373" s="22" t="s">
        <v>415</v>
      </c>
      <c r="H10373" s="22" t="s">
        <v>4542</v>
      </c>
      <c r="I10373" s="26">
        <v>43675.428888888899</v>
      </c>
      <c r="J10373" s="23" t="str">
        <f>HYPERLINK("https://www.spark-marketing.ru/Card/Person/6067820", "ООО ""ФУД СЕРВИС""")</f>
        <v>ООО "ФУД СЕРВИС"</v>
      </c>
      <c r="K10373" s="24" t="s">
        <v>4543</v>
      </c>
      <c r="L10373" s="22" t="s">
        <v>10</v>
      </c>
      <c r="M10373" s="28" t="s">
        <v>51</v>
      </c>
      <c r="N10373" s="28" t="s">
        <v>51</v>
      </c>
    </row>
    <row r="10374" spans="1:14" collapsed="1" x14ac:dyDescent="0.15">
      <c r="A10374" s="23" t="str">
        <f>HYPERLINK("https://www.spark-marketing.ru/Card/Person/32053", "СПБ ГБУ ""КЦСОН ПРИМОРСКОГО РАЙОНА САНКТ-ПЕТЕРБУРГА""")</f>
        <v>СПБ ГБУ "КЦСОН ПРИМОРСКОГО РАЙОНА САНКТ-ПЕТЕРБУРГА"</v>
      </c>
      <c r="B10374" s="24" t="s">
        <v>14674</v>
      </c>
      <c r="C10374" s="25">
        <v>679110</v>
      </c>
      <c r="D10374" s="22" t="s">
        <v>14675</v>
      </c>
      <c r="E10374" s="22" t="s">
        <v>48</v>
      </c>
      <c r="F10374" s="23" t="str">
        <f>HYPERLINK("https://www.spark-marketing.ru/Card/Lot/72455969", "Оказание услуг на поставку и выдачу наборов продуктов питания, в помещениях исполнителя, гражданам, нуждающимся в социальном обслуживании")</f>
        <v>Оказание услуг на поставку и выдачу наборов продуктов питания, в помещениях исполнителя, гражданам, нуждающимся в социальном обслуживании</v>
      </c>
      <c r="G10374" s="22" t="s">
        <v>117</v>
      </c>
      <c r="H10374" s="22" t="s">
        <v>117</v>
      </c>
      <c r="I10374" s="26">
        <v>43675.455601851798</v>
      </c>
      <c r="J10374" s="28" t="s">
        <v>51</v>
      </c>
      <c r="K10374" s="28" t="s">
        <v>51</v>
      </c>
      <c r="L10374" s="28" t="s">
        <v>51</v>
      </c>
      <c r="M10374" s="28" t="s">
        <v>51</v>
      </c>
      <c r="N10374" s="28" t="s">
        <v>51</v>
      </c>
    </row>
    <row r="10375" spans="1:14" hidden="1" outlineLevel="1" x14ac:dyDescent="0.2">
      <c r="A10375" s="23" t="str">
        <f>HYPERLINK("https://www.spark-marketing.ru/Card/Person/32053", "СПБ ГБУ ""КЦСОН ПРИМОРСКОГО РАЙОНА САНКТ-ПЕТЕРБУРГА""")</f>
        <v>СПБ ГБУ "КЦСОН ПРИМОРСКОГО РАЙОНА САНКТ-ПЕТЕРБУРГА"</v>
      </c>
      <c r="B10375" s="24" t="s">
        <v>14674</v>
      </c>
      <c r="C10375" s="25">
        <v>679110</v>
      </c>
      <c r="D10375" s="22" t="s">
        <v>14675</v>
      </c>
      <c r="E10375" s="22" t="s">
        <v>48</v>
      </c>
      <c r="F10375" s="23" t="str">
        <f>HYPERLINK("https://www.spark-marketing.ru/Card/Lot/72455969", "Оказание услуг на поставку и выдачу наборов продуктов питания, в помещениях исполнителя, гражданам, нуждающимся в социальном обслуживании")</f>
        <v>Оказание услуг на поставку и выдачу наборов продуктов питания, в помещениях исполнителя, гражданам, нуждающимся в социальном обслуживании</v>
      </c>
      <c r="G10375" s="22" t="s">
        <v>117</v>
      </c>
      <c r="H10375" s="22" t="s">
        <v>117</v>
      </c>
      <c r="I10375" s="26">
        <v>43675.455601851798</v>
      </c>
      <c r="J10375" s="23" t="str">
        <f>HYPERLINK("https://www.spark-marketing.ru/Card/Person/6440908", "ООО ""БАКАЛЕЯОПТ""")</f>
        <v>ООО "БАКАЛЕЯОПТ"</v>
      </c>
      <c r="K10375" s="24" t="s">
        <v>14676</v>
      </c>
      <c r="L10375" s="28" t="s">
        <v>51</v>
      </c>
      <c r="M10375" s="25">
        <v>332763.90000000002</v>
      </c>
      <c r="N10375" s="27">
        <v>0.51</v>
      </c>
    </row>
    <row r="10376" spans="1:14" ht="12.75" hidden="1" outlineLevel="1" x14ac:dyDescent="0.2">
      <c r="A10376" s="23" t="str">
        <f>HYPERLINK("https://www.spark-marketing.ru/Card/Person/32053", "СПБ ГБУ ""КЦСОН ПРИМОРСКОГО РАЙОНА САНКТ-ПЕТЕРБУРГА""")</f>
        <v>СПБ ГБУ "КЦСОН ПРИМОРСКОГО РАЙОНА САНКТ-ПЕТЕРБУРГА"</v>
      </c>
      <c r="B10376" s="24" t="s">
        <v>14674</v>
      </c>
      <c r="C10376" s="25">
        <v>679110</v>
      </c>
      <c r="D10376" s="22" t="s">
        <v>14675</v>
      </c>
      <c r="E10376" s="22" t="s">
        <v>48</v>
      </c>
      <c r="F10376" s="23" t="str">
        <f>HYPERLINK("https://www.spark-marketing.ru/Card/Lot/72455969", "Оказание услуг на поставку и выдачу наборов продуктов питания, в помещениях исполнителя, гражданам, нуждающимся в социальном обслуживании")</f>
        <v>Оказание услуг на поставку и выдачу наборов продуктов питания, в помещениях исполнителя, гражданам, нуждающимся в социальном обслуживании</v>
      </c>
      <c r="G10376" s="22" t="s">
        <v>117</v>
      </c>
      <c r="H10376" s="22" t="s">
        <v>117</v>
      </c>
      <c r="I10376" s="26">
        <v>43675.455601851798</v>
      </c>
      <c r="J10376" s="23" t="str">
        <f>HYPERLINK("https://www.spark-marketing.ru/Card/Person/5915223", "ООО ""ГАРАНТ""")</f>
        <v>ООО "ГАРАНТ"</v>
      </c>
      <c r="K10376" s="24" t="s">
        <v>14677</v>
      </c>
      <c r="L10376" s="22" t="s">
        <v>10</v>
      </c>
      <c r="M10376" s="25">
        <v>332763.90000000002</v>
      </c>
      <c r="N10376" s="27">
        <v>0.51</v>
      </c>
    </row>
    <row r="10377" spans="1:14" ht="12.75" x14ac:dyDescent="0.2">
      <c r="A10377" s="23" t="str">
        <f>HYPERLINK("https://www.spark-marketing.ru/Card/Person/47113", "ГБУЗ АРХАНГЕЛЬСКОЙ ОБЛАСТИ ""КАРПОГОРСКАЯ ЦРБ""")</f>
        <v>ГБУЗ АРХАНГЕЛЬСКОЙ ОБЛАСТИ "КАРПОГОРСКАЯ ЦРБ"</v>
      </c>
      <c r="B10377" s="24" t="s">
        <v>14678</v>
      </c>
      <c r="C10377" s="25">
        <v>319200</v>
      </c>
      <c r="D10377" s="22" t="s">
        <v>14679</v>
      </c>
      <c r="E10377" s="22" t="s">
        <v>48</v>
      </c>
      <c r="F10377" s="23" t="str">
        <f>HYPERLINK("https://www.spark-marketing.ru/Card/Lot/72452565", "Оказание услуг по организации лечебного питания пациентов, находящихся в круглосуточном стационаре Пинежской УБ")</f>
        <v>Оказание услуг по организации лечебного питания пациентов, находящихся в круглосуточном стационаре Пинежской УБ</v>
      </c>
      <c r="G10377" s="22" t="s">
        <v>214</v>
      </c>
      <c r="H10377" s="22" t="s">
        <v>14680</v>
      </c>
      <c r="I10377" s="26">
        <v>43675.420844907399</v>
      </c>
      <c r="J10377" s="23" t="str">
        <f>HYPERLINK("https://www.spark-marketing.ru/Card/Person/1981421", "ПИНЕЖСКОЕ ПО")</f>
        <v>ПИНЕЖСКОЕ ПО</v>
      </c>
      <c r="K10377" s="24" t="s">
        <v>14681</v>
      </c>
      <c r="L10377" s="22" t="s">
        <v>10</v>
      </c>
      <c r="M10377" s="25">
        <v>319200</v>
      </c>
      <c r="N10377" s="27">
        <v>0</v>
      </c>
    </row>
    <row r="10378" spans="1:14" collapsed="1" x14ac:dyDescent="0.15">
      <c r="A10378" s="23" t="str">
        <f>HYPERLINK("https://www.spark-marketing.ru/Card/Person/1760891", "ГУ-РО ФОНДА СОЦИАЛЬНОГО СТРАХОВАНИЯ РОССИЙСКОЙ ФЕДЕРАЦИИ ПО РЕСПУБЛИКЕ ТАТАРСТАН")</f>
        <v>ГУ-РО ФОНДА СОЦИАЛЬНОГО СТРАХОВАНИЯ РОССИЙСКОЙ ФЕДЕРАЦИИ ПО РЕСПУБЛИКЕ ТАТАРСТАН</v>
      </c>
      <c r="B10378" s="24" t="s">
        <v>4444</v>
      </c>
      <c r="C10378" s="25">
        <v>2986560</v>
      </c>
      <c r="D10378" s="22" t="s">
        <v>14682</v>
      </c>
      <c r="E10378" s="22" t="s">
        <v>86</v>
      </c>
      <c r="F10378" s="23" t="str">
        <f>HYPERLINK("https://www.spark-marketing.ru/Card/Lot/72455623", "Оказание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заболевания по...")</f>
        <v>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заболевания по...</v>
      </c>
      <c r="G10378" s="22" t="s">
        <v>217</v>
      </c>
      <c r="H10378" s="22" t="s">
        <v>937</v>
      </c>
      <c r="I10378" s="26">
        <v>43675.404791666697</v>
      </c>
      <c r="J10378" s="28" t="s">
        <v>51</v>
      </c>
      <c r="K10378" s="28" t="s">
        <v>51</v>
      </c>
      <c r="L10378" s="28" t="s">
        <v>51</v>
      </c>
      <c r="M10378" s="28" t="s">
        <v>51</v>
      </c>
      <c r="N10378" s="28" t="s">
        <v>51</v>
      </c>
    </row>
    <row r="10379" spans="1:14" hidden="1" outlineLevel="1" x14ac:dyDescent="0.2">
      <c r="A10379" s="23" t="str">
        <f>HYPERLINK("https://www.spark-marketing.ru/Card/Person/1760891", "ГУ-РО ФОНДА СОЦИАЛЬНОГО СТРАХОВАНИЯ РОССИЙСКОЙ ФЕДЕРАЦИИ ПО РЕСПУБЛИКЕ ТАТАРСТАН")</f>
        <v>ГУ-РО ФОНДА СОЦИАЛЬНОГО СТРАХОВАНИЯ РОССИЙСКОЙ ФЕДЕРАЦИИ ПО РЕСПУБЛИКЕ ТАТАРСТАН</v>
      </c>
      <c r="B10379" s="24" t="s">
        <v>4444</v>
      </c>
      <c r="C10379" s="25">
        <v>2986560</v>
      </c>
      <c r="D10379" s="22" t="s">
        <v>14682</v>
      </c>
      <c r="E10379" s="22" t="s">
        <v>86</v>
      </c>
      <c r="F10379" s="23" t="str">
        <f>HYPERLINK("https://www.spark-marketing.ru/Card/Lot/72455623", "Оказание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заболевания по...")</f>
        <v>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заболевания по...</v>
      </c>
      <c r="G10379" s="22" t="s">
        <v>217</v>
      </c>
      <c r="H10379" s="22" t="s">
        <v>937</v>
      </c>
      <c r="I10379" s="26">
        <v>43675.404791666697</v>
      </c>
      <c r="J10379" s="23" t="str">
        <f>HYPERLINK("https://www.spark-marketing.ru/Card/Person/5824866", "АНО ""САНАТОРИЙ-ПРОФИЛАКТОРИЙ ""ГОЛУБОЕ ОЗЕРО""")</f>
        <v>АНО "САНАТОРИЙ-ПРОФИЛАКТОРИЙ "ГОЛУБОЕ ОЗЕРО"</v>
      </c>
      <c r="K10379" s="24" t="s">
        <v>4448</v>
      </c>
      <c r="L10379" s="28" t="s">
        <v>51</v>
      </c>
      <c r="M10379" s="25">
        <v>2583374.4</v>
      </c>
      <c r="N10379" s="27">
        <v>0.13500000000000001</v>
      </c>
    </row>
    <row r="10380" spans="1:14" ht="12.75" hidden="1" outlineLevel="1" x14ac:dyDescent="0.2">
      <c r="A10380" s="23" t="str">
        <f>HYPERLINK("https://www.spark-marketing.ru/Card/Person/1760891", "ГУ-РО ФОНДА СОЦИАЛЬНОГО СТРАХОВАНИЯ РОССИЙСКОЙ ФЕДЕРАЦИИ ПО РЕСПУБЛИКЕ ТАТАРСТАН")</f>
        <v>ГУ-РО ФОНДА СОЦИАЛЬНОГО СТРАХОВАНИЯ РОССИЙСКОЙ ФЕДЕРАЦИИ ПО РЕСПУБЛИКЕ ТАТАРСТАН</v>
      </c>
      <c r="B10380" s="24" t="s">
        <v>4444</v>
      </c>
      <c r="C10380" s="25">
        <v>2986560</v>
      </c>
      <c r="D10380" s="22" t="s">
        <v>14682</v>
      </c>
      <c r="E10380" s="22" t="s">
        <v>86</v>
      </c>
      <c r="F10380" s="23" t="str">
        <f>HYPERLINK("https://www.spark-marketing.ru/Card/Lot/72455623", "Оказание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заболевания по...")</f>
        <v>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заболевания по...</v>
      </c>
      <c r="G10380" s="22" t="s">
        <v>217</v>
      </c>
      <c r="H10380" s="22" t="s">
        <v>937</v>
      </c>
      <c r="I10380" s="26">
        <v>43675.404791666697</v>
      </c>
      <c r="J10380" s="23" t="str">
        <f>HYPERLINK("https://www.spark-marketing.ru/Card/Person/367477", "ООО КЛИНИКА-САНАТОРИЙ ""НАБЕРЕЖНЫЕ ЧЕЛНЫ""")</f>
        <v>ООО КЛИНИКА-САНАТОРИЙ "НАБЕРЕЖНЫЕ ЧЕЛНЫ"</v>
      </c>
      <c r="K10380" s="24" t="s">
        <v>14683</v>
      </c>
      <c r="L10380" s="22" t="s">
        <v>10</v>
      </c>
      <c r="M10380" s="25">
        <v>2568441.6</v>
      </c>
      <c r="N10380" s="27">
        <v>0.14000000000000001</v>
      </c>
    </row>
    <row r="10381" spans="1:14" x14ac:dyDescent="0.15">
      <c r="A10381" s="23" t="str">
        <f>HYPERLINK("https://www.spark-marketing.ru/Card/Person/106866", "ОТДЕЛ МВД РОССИИ ПО ТИМАШЕВСКОМУ РАЙОНУ")</f>
        <v>ОТДЕЛ МВД РОССИИ ПО ТИМАШЕВСКОМУ РАЙОНУ</v>
      </c>
      <c r="B10381" s="24" t="s">
        <v>14684</v>
      </c>
      <c r="C10381" s="25">
        <v>400000</v>
      </c>
      <c r="D10381" s="22" t="s">
        <v>14685</v>
      </c>
      <c r="E10381" s="22" t="s">
        <v>48</v>
      </c>
      <c r="F10381" s="23" t="str">
        <f>HYPERLINK("https://www.spark-marketing.ru/Card/Lot/72449216", "Услуги по обеспечению ежедневным трехразовым горячим питанием лиц, содержащихся в изоляторе временного содержания подозреваемых и обвиняемых в совершении преступлений, лиц, подвергнутых административному аресту")</f>
        <v>Услуги по обеспечению ежедневным трехразовым горячим питанием лиц, содержащихся в изоляторе временного содержания подозреваемых и обвиняемых в совершении преступлений, лиц, подвергнутых административному аресту</v>
      </c>
      <c r="G10381" s="22" t="s">
        <v>104</v>
      </c>
      <c r="H10381" s="22" t="s">
        <v>14686</v>
      </c>
      <c r="I10381" s="26">
        <v>43675.410173611097</v>
      </c>
      <c r="J10381" s="23" t="str">
        <f>HYPERLINK("https://www.spark-marketing.ru/Card/Person/462842", "Пышная Зоя Николаевна")</f>
        <v>Пышная Зоя Николаевна</v>
      </c>
      <c r="K10381" s="24" t="s">
        <v>14687</v>
      </c>
      <c r="L10381" s="22" t="s">
        <v>10</v>
      </c>
      <c r="M10381" s="28" t="s">
        <v>51</v>
      </c>
      <c r="N10381" s="28" t="s">
        <v>51</v>
      </c>
    </row>
    <row r="10382" spans="1:14" x14ac:dyDescent="0.15">
      <c r="A10382" s="23" t="str">
        <f>HYPERLINK("https://www.spark-marketing.ru/Card/Person/101010", "УМВД РОССИИ ПО Г. ЧЕБОКСАРЫ")</f>
        <v>УМВД РОССИИ ПО Г. ЧЕБОКСАРЫ</v>
      </c>
      <c r="B10382" s="24" t="s">
        <v>2840</v>
      </c>
      <c r="C10382" s="25">
        <v>5858559</v>
      </c>
      <c r="D10382" s="22" t="s">
        <v>14688</v>
      </c>
      <c r="E10382" s="22" t="s">
        <v>96</v>
      </c>
      <c r="F10382" s="23" t="str">
        <f>HYPERLINK("https://www.spark-marketing.ru/Card/Lot/72448022", "Услуги по обеспечению ежедневным горячим питанием подозреваемых и обвиняемых в совершении преступлений, содержащихся в изоляторе временного содержания, лиц задержанных, арестованных в административном порядке")</f>
        <v>Услуги по обеспечению ежедневным горячим питанием подозреваемых и обвиняемых в совершении преступлений, содержащихся в изоляторе временного содержания, лиц задержанных, арестованных в административном порядке</v>
      </c>
      <c r="G10382" s="22" t="s">
        <v>618</v>
      </c>
      <c r="H10382" s="22" t="s">
        <v>2842</v>
      </c>
      <c r="I10382" s="26">
        <v>43675.405833333301</v>
      </c>
      <c r="J10382" s="23" t="str">
        <f>HYPERLINK("https://www.spark-marketing.ru/Card/Person/624205", "ООО ""СТОЛОВАЯ""")</f>
        <v>ООО "СТОЛОВАЯ"</v>
      </c>
      <c r="K10382" s="24" t="s">
        <v>2843</v>
      </c>
      <c r="L10382" s="22" t="s">
        <v>10</v>
      </c>
      <c r="M10382" s="28" t="s">
        <v>51</v>
      </c>
      <c r="N10382" s="28" t="s">
        <v>51</v>
      </c>
    </row>
    <row r="10383" spans="1:14" x14ac:dyDescent="0.15">
      <c r="A10383" s="23" t="str">
        <f>HYPERLINK("https://www.spark-marketing.ru/Card/Person/253228", "ОМВД РОССИИ ПО ПУДОЖСКОМУ РАЙОНУ")</f>
        <v>ОМВД РОССИИ ПО ПУДОЖСКОМУ РАЙОНУ</v>
      </c>
      <c r="B10383" s="24" t="s">
        <v>14689</v>
      </c>
      <c r="C10383" s="25">
        <v>1000000</v>
      </c>
      <c r="D10383" s="22" t="s">
        <v>14690</v>
      </c>
      <c r="E10383" s="22" t="s">
        <v>48</v>
      </c>
      <c r="F10383" s="23" t="str">
        <f>HYPERLINK("https://www.spark-marketing.ru/Card/Lot/72453977", "Услуги по организации питания для лиц, содержащихся в СП СЗЛ")</f>
        <v>Услуги по организации питания для лиц, содержащихся в СП СЗЛ</v>
      </c>
      <c r="G10383" s="22" t="s">
        <v>59</v>
      </c>
      <c r="H10383" s="22" t="s">
        <v>14691</v>
      </c>
      <c r="I10383" s="26">
        <v>43675.378784722197</v>
      </c>
      <c r="J10383" s="23" t="str">
        <f>HYPERLINK("https://www.spark-marketing.ru/Card/Person/1117685", "ООО ""ОНЕГО""")</f>
        <v>ООО "ОНЕГО"</v>
      </c>
      <c r="K10383" s="24" t="s">
        <v>14692</v>
      </c>
      <c r="L10383" s="22" t="s">
        <v>10</v>
      </c>
      <c r="M10383" s="28" t="s">
        <v>51</v>
      </c>
      <c r="N10383" s="28" t="s">
        <v>51</v>
      </c>
    </row>
    <row r="10384" spans="1:14" x14ac:dyDescent="0.15">
      <c r="A10384" s="23" t="str">
        <f>HYPERLINK("https://www.spark-marketing.ru/Card/Person/10550", "БУЗ УР ""УВИНСКАЯ РБ МЗ УР""")</f>
        <v>БУЗ УР "УВИНСКАЯ РБ МЗ УР"</v>
      </c>
      <c r="B10384" s="24" t="s">
        <v>14693</v>
      </c>
      <c r="C10384" s="25">
        <v>7096120</v>
      </c>
      <c r="D10384" s="22" t="s">
        <v>14694</v>
      </c>
      <c r="E10384" s="22" t="s">
        <v>48</v>
      </c>
      <c r="F10384" s="23" t="str">
        <f>HYPERLINK("https://www.spark-marketing.ru/Card/Lot/72455512", "№ зз-24858-19 Услуги по организации лечебного питания пациентов БУЗ УР ''Увинская РБ'' МЗ УР'' (п. Ува)")</f>
        <v>№ зз-24858-19 Услуги по организации лечебного питания пациентов БУЗ УР ''Увинская РБ'' МЗ УР'' (п. Ува)</v>
      </c>
      <c r="G10384" s="22" t="s">
        <v>852</v>
      </c>
      <c r="H10384" s="22" t="s">
        <v>14695</v>
      </c>
      <c r="I10384" s="26">
        <v>43675.3912962963</v>
      </c>
      <c r="J10384" s="23" t="str">
        <f>HYPERLINK("https://www.spark-marketing.ru/Card/Person/391246", "Ветошкина Наталья Владимировна")</f>
        <v>Ветошкина Наталья Владимировна</v>
      </c>
      <c r="K10384" s="24" t="s">
        <v>14696</v>
      </c>
      <c r="L10384" s="22" t="s">
        <v>10</v>
      </c>
      <c r="M10384" s="28" t="s">
        <v>51</v>
      </c>
      <c r="N10384" s="28" t="s">
        <v>51</v>
      </c>
    </row>
    <row r="10385" spans="1:14" collapsed="1" x14ac:dyDescent="0.15">
      <c r="A10385" s="23" t="str">
        <f>HYPERLINK("https://www.spark-marketing.ru/Card/Person/27404", "ФКУ ""ЦХИСО МВД ПО РЕСПУБЛИКЕ МАРИЙ ЭЛ""")</f>
        <v>ФКУ "ЦХИСО МВД ПО РЕСПУБЛИКЕ МАРИЙ ЭЛ"</v>
      </c>
      <c r="B10385" s="24" t="s">
        <v>14697</v>
      </c>
      <c r="C10385" s="25">
        <v>199870</v>
      </c>
      <c r="D10385" s="22" t="s">
        <v>14698</v>
      </c>
      <c r="E10385" s="22" t="s">
        <v>2086</v>
      </c>
      <c r="F10385" s="23" t="str">
        <f>HYPERLINK("https://www.spark-marketing.ru/Card/Lot/72446839", "Оказание услуг по ремонту источника бесперебойного питания APC Symmetra RM SYHF6KI в рамках государственного оборонного заказа вне государственной программы вооружения")</f>
        <v>Оказание услуг по ремонту источника бесперебойного питания APC Symmetra RM SYHF6KI в рамках государственного оборонного заказа вне государственной программы вооружения</v>
      </c>
      <c r="G10385" s="22" t="s">
        <v>3249</v>
      </c>
      <c r="H10385" s="22" t="s">
        <v>3250</v>
      </c>
      <c r="I10385" s="26">
        <v>43675.407719907402</v>
      </c>
      <c r="J10385" s="28" t="s">
        <v>51</v>
      </c>
      <c r="K10385" s="28" t="s">
        <v>51</v>
      </c>
      <c r="L10385" s="28" t="s">
        <v>51</v>
      </c>
      <c r="M10385" s="28" t="s">
        <v>51</v>
      </c>
      <c r="N10385" s="28" t="s">
        <v>51</v>
      </c>
    </row>
    <row r="10386" spans="1:14" hidden="1" outlineLevel="1" x14ac:dyDescent="0.2">
      <c r="A10386" s="23" t="str">
        <f>HYPERLINK("https://www.spark-marketing.ru/Card/Person/27404", "ФКУ ""ЦХИСО МВД ПО РЕСПУБЛИКЕ МАРИЙ ЭЛ""")</f>
        <v>ФКУ "ЦХИСО МВД ПО РЕСПУБЛИКЕ МАРИЙ ЭЛ"</v>
      </c>
      <c r="B10386" s="24" t="s">
        <v>14697</v>
      </c>
      <c r="C10386" s="25">
        <v>199870</v>
      </c>
      <c r="D10386" s="22" t="s">
        <v>14698</v>
      </c>
      <c r="E10386" s="22" t="s">
        <v>2086</v>
      </c>
      <c r="F10386" s="23" t="str">
        <f>HYPERLINK("https://www.spark-marketing.ru/Card/Lot/72446839", "Оказание услуг по ремонту источника бесперебойного питания APC Symmetra RM SYHF6KI в рамках государственного оборонного заказа вне государственной программы вооружения")</f>
        <v>Оказание услуг по ремонту источника бесперебойного питания APC Symmetra RM SYHF6KI в рамках государственного оборонного заказа вне государственной программы вооружения</v>
      </c>
      <c r="G10386" s="22" t="s">
        <v>3249</v>
      </c>
      <c r="H10386" s="22" t="s">
        <v>3250</v>
      </c>
      <c r="I10386" s="26">
        <v>43675.407719907402</v>
      </c>
      <c r="J10386" s="23" t="str">
        <f>HYPERLINK("https://www.spark-marketing.ru/Card/Person/160406", "ООО ""АШ""")</f>
        <v>ООО "АШ"</v>
      </c>
      <c r="K10386" s="24" t="s">
        <v>14699</v>
      </c>
      <c r="L10386" s="28" t="s">
        <v>51</v>
      </c>
      <c r="M10386" s="25">
        <v>188877.15</v>
      </c>
      <c r="N10386" s="27">
        <v>5.5E-2</v>
      </c>
    </row>
    <row r="10387" spans="1:14" ht="12.75" hidden="1" outlineLevel="1" x14ac:dyDescent="0.2">
      <c r="A10387" s="23" t="str">
        <f>HYPERLINK("https://www.spark-marketing.ru/Card/Person/27404", "ФКУ ""ЦХИСО МВД ПО РЕСПУБЛИКЕ МАРИЙ ЭЛ""")</f>
        <v>ФКУ "ЦХИСО МВД ПО РЕСПУБЛИКЕ МАРИЙ ЭЛ"</v>
      </c>
      <c r="B10387" s="24" t="s">
        <v>14697</v>
      </c>
      <c r="C10387" s="25">
        <v>199870</v>
      </c>
      <c r="D10387" s="22" t="s">
        <v>14698</v>
      </c>
      <c r="E10387" s="22" t="s">
        <v>2086</v>
      </c>
      <c r="F10387" s="23" t="str">
        <f>HYPERLINK("https://www.spark-marketing.ru/Card/Lot/72446839", "Оказание услуг по ремонту источника бесперебойного питания APC Symmetra RM SYHF6KI в рамках государственного оборонного заказа вне государственной программы вооружения")</f>
        <v>Оказание услуг по ремонту источника бесперебойного питания APC Symmetra RM SYHF6KI в рамках государственного оборонного заказа вне государственной программы вооружения</v>
      </c>
      <c r="G10387" s="22" t="s">
        <v>3249</v>
      </c>
      <c r="H10387" s="22" t="s">
        <v>3250</v>
      </c>
      <c r="I10387" s="26">
        <v>43675.407719907402</v>
      </c>
      <c r="J10387" s="23" t="str">
        <f>HYPERLINK("https://www.spark-marketing.ru/Card/Person/159546", "ООО ""АСТРА-СЕРВИС""")</f>
        <v>ООО "АСТРА-СЕРВИС"</v>
      </c>
      <c r="K10387" s="24" t="s">
        <v>14700</v>
      </c>
      <c r="L10387" s="22" t="s">
        <v>10</v>
      </c>
      <c r="M10387" s="25">
        <v>187877.8</v>
      </c>
      <c r="N10387" s="27">
        <v>0.06</v>
      </c>
    </row>
    <row r="10388" spans="1:14" x14ac:dyDescent="0.15">
      <c r="A10388" s="23" t="str">
        <f>HYPERLINK("https://www.spark-marketing.ru/Card/Person/997049", "МУ ""ЦБС""")</f>
        <v>МУ "ЦБС"</v>
      </c>
      <c r="B10388" s="24" t="s">
        <v>14701</v>
      </c>
      <c r="C10388" s="25">
        <v>272603.8</v>
      </c>
      <c r="D10388" s="22" t="s">
        <v>14702</v>
      </c>
      <c r="E10388" s="22" t="s">
        <v>716</v>
      </c>
      <c r="F10388" s="23" t="str">
        <f>HYPERLINK("https://www.spark-marketing.ru/Card/Lot/72435492", "поставка литературы для комплектования книжного фонда")</f>
        <v>поставка литературы для комплектования книжного фонда</v>
      </c>
      <c r="G10388" s="22" t="s">
        <v>469</v>
      </c>
      <c r="H10388" s="22" t="s">
        <v>5961</v>
      </c>
      <c r="I10388" s="26">
        <v>43675.399305555598</v>
      </c>
      <c r="J10388" s="28" t="s">
        <v>51</v>
      </c>
      <c r="K10388" s="28" t="s">
        <v>51</v>
      </c>
      <c r="L10388" s="28" t="s">
        <v>51</v>
      </c>
      <c r="M10388" s="28" t="s">
        <v>51</v>
      </c>
      <c r="N10388" s="28" t="s">
        <v>51</v>
      </c>
    </row>
    <row r="10389" spans="1:14" x14ac:dyDescent="0.15">
      <c r="A10389" s="23" t="str">
        <f>HYPERLINK("https://www.spark-marketing.ru/Card/Person/10550", "БУЗ УР ""УВИНСКАЯ РБ МЗ УР""")</f>
        <v>БУЗ УР "УВИНСКАЯ РБ МЗ УР"</v>
      </c>
      <c r="B10389" s="24" t="s">
        <v>14693</v>
      </c>
      <c r="C10389" s="25">
        <v>1261200</v>
      </c>
      <c r="D10389" s="22" t="s">
        <v>14703</v>
      </c>
      <c r="E10389" s="22" t="s">
        <v>48</v>
      </c>
      <c r="F10389" s="23" t="str">
        <f>HYPERLINK("https://www.spark-marketing.ru/Card/Lot/72455433", "№ зз-24871-19 Услуги по организации лечебного питания пациентов БУЗ УР ''Увинская РБ'' МЗ УР'' (с. Нылга)")</f>
        <v>№ зз-24871-19 Услуги по организации лечебного питания пациентов БУЗ УР ''Увинская РБ'' МЗ УР'' (с. Нылга)</v>
      </c>
      <c r="G10389" s="22" t="s">
        <v>852</v>
      </c>
      <c r="H10389" s="22" t="s">
        <v>14695</v>
      </c>
      <c r="I10389" s="26">
        <v>43675.3830787037</v>
      </c>
      <c r="J10389" s="23" t="str">
        <f>HYPERLINK("https://www.spark-marketing.ru/Card/Person/391246", "Ветошкина Наталья Владимировна")</f>
        <v>Ветошкина Наталья Владимировна</v>
      </c>
      <c r="K10389" s="24" t="s">
        <v>14696</v>
      </c>
      <c r="L10389" s="22" t="s">
        <v>10</v>
      </c>
      <c r="M10389" s="28" t="s">
        <v>51</v>
      </c>
      <c r="N10389" s="28" t="s">
        <v>51</v>
      </c>
    </row>
    <row r="10390" spans="1:14" x14ac:dyDescent="0.15">
      <c r="A10390" s="23" t="str">
        <f>HYPERLINK("https://www.spark-marketing.ru/Card/Person/1760891", "ГУ-РО ФОНДА СОЦИАЛЬНОГО СТРАХОВАНИЯ РОССИЙСКОЙ ФЕДЕРАЦИИ ПО РЕСПУБЛИКЕ ТАТАРСТАН")</f>
        <v>ГУ-РО ФОНДА СОЦИАЛЬНОГО СТРАХОВАНИЯ РОССИЙСКОЙ ФЕДЕРАЦИИ ПО РЕСПУБЛИКЕ ТАТАРСТАН</v>
      </c>
      <c r="B10390" s="24" t="s">
        <v>4444</v>
      </c>
      <c r="C10390" s="25">
        <v>2986560</v>
      </c>
      <c r="D10390" s="22" t="s">
        <v>14704</v>
      </c>
      <c r="E10390" s="22" t="s">
        <v>86</v>
      </c>
      <c r="F10390" s="23" t="str">
        <f>HYPERLINK("https://www.spark-marketing.ru/Card/Lot/72455604", "Оказание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заболевания по...")</f>
        <v>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заболевания по...</v>
      </c>
      <c r="G10390" s="22" t="s">
        <v>217</v>
      </c>
      <c r="H10390" s="22" t="s">
        <v>937</v>
      </c>
      <c r="I10390" s="26">
        <v>43675.404108796298</v>
      </c>
      <c r="J10390" s="23" t="str">
        <f>HYPERLINK("https://www.spark-marketing.ru/Card/Person/161148", "УЧРЕЖДЕНИЕ ПРОФСОЮЗОВ САНАТОРИЙ ""ВАСИЛЬЕВСКИЙ""")</f>
        <v>УЧРЕЖДЕНИЕ ПРОФСОЮЗОВ САНАТОРИЙ "ВАСИЛЬЕВСКИЙ"</v>
      </c>
      <c r="K10390" s="24" t="s">
        <v>4446</v>
      </c>
      <c r="L10390" s="22" t="s">
        <v>10</v>
      </c>
      <c r="M10390" s="28" t="s">
        <v>51</v>
      </c>
      <c r="N10390" s="28" t="s">
        <v>51</v>
      </c>
    </row>
    <row r="10391" spans="1:14" x14ac:dyDescent="0.15">
      <c r="A10391" s="23" t="str">
        <f>HYPERLINK("https://www.spark-marketing.ru/Card/Person/1760891", "ГУ-РО ФОНДА СОЦИАЛЬНОГО СТРАХОВАНИЯ РОССИЙСКОЙ ФЕДЕРАЦИИ ПО РЕСПУБЛИКЕ ТАТАРСТАН")</f>
        <v>ГУ-РО ФОНДА СОЦИАЛЬНОГО СТРАХОВАНИЯ РОССИЙСКОЙ ФЕДЕРАЦИИ ПО РЕСПУБЛИКЕ ТАТАРСТАН</v>
      </c>
      <c r="B10391" s="24" t="s">
        <v>4444</v>
      </c>
      <c r="C10391" s="25">
        <v>2986560</v>
      </c>
      <c r="D10391" s="22" t="s">
        <v>14705</v>
      </c>
      <c r="E10391" s="22" t="s">
        <v>86</v>
      </c>
      <c r="F10391" s="23" t="str">
        <f>HYPERLINK("https://www.spark-marketing.ru/Card/Lot/72455619", "Оказание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заболевания по...")</f>
        <v>Оказание услуг в 2019 году по санаторно-курортному лечению граждан, получателей государственной социальной помощи в виде набора социальных услуг, в организации (в учреждении), оказывающей санаторно-курортные услуги по профилям лечения: заболевания по...</v>
      </c>
      <c r="G10391" s="22" t="s">
        <v>217</v>
      </c>
      <c r="H10391" s="22" t="s">
        <v>937</v>
      </c>
      <c r="I10391" s="26">
        <v>43675.4042708333</v>
      </c>
      <c r="J10391" s="23" t="str">
        <f>HYPERLINK("https://www.spark-marketing.ru/Card/Person/120496", "УЧРЕЖДЕНИЕ ПРОФСОЮЗОВ САНАТОРИЙ ""ЛИВАДИЯ""")</f>
        <v>УЧРЕЖДЕНИЕ ПРОФСОЮЗОВ САНАТОРИЙ "ЛИВАДИЯ"</v>
      </c>
      <c r="K10391" s="24" t="s">
        <v>4447</v>
      </c>
      <c r="L10391" s="22" t="s">
        <v>10</v>
      </c>
      <c r="M10391" s="28" t="s">
        <v>51</v>
      </c>
      <c r="N10391" s="28" t="s">
        <v>51</v>
      </c>
    </row>
    <row r="10392" spans="1:14" x14ac:dyDescent="0.15">
      <c r="A10392" s="23" t="str">
        <f>HYPERLINK("https://www.spark-marketing.ru/Card/Person/71564", "КОУ ""НИЖНЕВАРТОВСКАЯ ШКОЛА ДЛЯ ОБУЧАЮЩИХСЯ С ОГРАНИЧЕННЫМИ ВОЗМОЖНОСТЯМИ ЗДОРОВЬЯ № 1""")</f>
        <v>КОУ "НИЖНЕВАРТОВСКАЯ ШКОЛА ДЛЯ ОБУЧАЮЩИХСЯ С ОГРАНИЧЕННЫМИ ВОЗМОЖНОСТЯМИ ЗДОРОВЬЯ № 1"</v>
      </c>
      <c r="B10392" s="24" t="s">
        <v>14706</v>
      </c>
      <c r="C10392" s="28" t="s">
        <v>51</v>
      </c>
      <c r="D10392" s="22" t="s">
        <v>14707</v>
      </c>
      <c r="E10392" s="22" t="s">
        <v>51</v>
      </c>
      <c r="F10392" s="23" t="str">
        <f>HYPERLINK("https://www.spark-marketing.ru/Card/Lot/72434436", "Поставка продуктов питания Товары, работы или услуги на сумму, не превышающую 400,0 тысяч рублей согласно п. 5 ч. 1 ст. 93 Федерального закона от 05.04.2013 № 44-ФЗ (закупки малого объема)")</f>
        <v>Поставка продуктов питания Товары, работы или услуги на сумму, не превышающую 400,0 тысяч рублей согласно п. 5 ч. 1 ст. 93 Федерального закона от 05.04.2013 № 44-ФЗ (закупки малого объема)</v>
      </c>
      <c r="G10392" s="22" t="s">
        <v>97</v>
      </c>
      <c r="H10392" s="22" t="s">
        <v>366</v>
      </c>
      <c r="I10392" s="26">
        <v>43675.337500000001</v>
      </c>
      <c r="J10392" s="28" t="s">
        <v>51</v>
      </c>
      <c r="K10392" s="28" t="s">
        <v>51</v>
      </c>
      <c r="L10392" s="28" t="s">
        <v>51</v>
      </c>
      <c r="M10392" s="28" t="s">
        <v>51</v>
      </c>
      <c r="N10392" s="28" t="s">
        <v>51</v>
      </c>
    </row>
    <row r="10393" spans="1:14" collapsed="1" x14ac:dyDescent="0.15">
      <c r="A10393" s="23" t="str">
        <f>HYPERLINK("https://www.spark-marketing.ru/Card/Person/947698", "МБОУ ""ЛИЦЕЙ"" Г. ЛЕСОСИБИРСКА")</f>
        <v>МБОУ "ЛИЦЕЙ" Г. ЛЕСОСИБИРСКА</v>
      </c>
      <c r="B10393" s="24" t="s">
        <v>14708</v>
      </c>
      <c r="C10393" s="25">
        <v>822649.82</v>
      </c>
      <c r="D10393" s="22" t="s">
        <v>14709</v>
      </c>
      <c r="E10393" s="22" t="s">
        <v>48</v>
      </c>
      <c r="F10393" s="23" t="str">
        <f>HYPERLINK("https://www.spark-marketing.ru/Card/Lot/72433651", "Оказание услуг по организации горячего питания")</f>
        <v>Оказание услуг по организации горячего питания</v>
      </c>
      <c r="G10393" s="22" t="s">
        <v>281</v>
      </c>
      <c r="H10393" s="22" t="s">
        <v>281</v>
      </c>
      <c r="I10393" s="26">
        <v>43675.327777777798</v>
      </c>
      <c r="J10393" s="28" t="s">
        <v>51</v>
      </c>
      <c r="K10393" s="28" t="s">
        <v>51</v>
      </c>
      <c r="L10393" s="28" t="s">
        <v>51</v>
      </c>
      <c r="M10393" s="28" t="s">
        <v>51</v>
      </c>
      <c r="N10393" s="28" t="s">
        <v>51</v>
      </c>
    </row>
    <row r="10394" spans="1:14" ht="12.75" hidden="1" outlineLevel="1" x14ac:dyDescent="0.2">
      <c r="A10394" s="23" t="str">
        <f>HYPERLINK("https://www.spark-marketing.ru/Card/Person/947698", "МБОУ ""ЛИЦЕЙ"" Г. ЛЕСОСИБИРСКА")</f>
        <v>МБОУ "ЛИЦЕЙ" Г. ЛЕСОСИБИРСКА</v>
      </c>
      <c r="B10394" s="24" t="s">
        <v>14708</v>
      </c>
      <c r="C10394" s="25">
        <v>822649.82</v>
      </c>
      <c r="D10394" s="22" t="s">
        <v>14709</v>
      </c>
      <c r="E10394" s="22" t="s">
        <v>48</v>
      </c>
      <c r="F10394" s="23" t="str">
        <f>HYPERLINK("https://www.spark-marketing.ru/Card/Lot/72433651", "Оказание услуг по организации горячего питания")</f>
        <v>Оказание услуг по организации горячего питания</v>
      </c>
      <c r="G10394" s="22" t="s">
        <v>281</v>
      </c>
      <c r="H10394" s="22" t="s">
        <v>281</v>
      </c>
      <c r="I10394" s="26">
        <v>43675.327777777798</v>
      </c>
      <c r="J10394" s="23" t="str">
        <f>HYPERLINK("https://www.spark-marketing.ru/Card/Person/969761", "Заплатина Людмила Альфредовна")</f>
        <v>Заплатина Людмила Альфредовна</v>
      </c>
      <c r="K10394" s="24" t="s">
        <v>7793</v>
      </c>
      <c r="L10394" s="22" t="s">
        <v>10</v>
      </c>
      <c r="M10394" s="25">
        <v>815000</v>
      </c>
      <c r="N10394" s="27">
        <v>9.2989991780463768E-3</v>
      </c>
    </row>
    <row r="10395" spans="1:14" hidden="1" outlineLevel="1" x14ac:dyDescent="0.2">
      <c r="A10395" s="23" t="str">
        <f>HYPERLINK("https://www.spark-marketing.ru/Card/Person/947698", "МБОУ ""ЛИЦЕЙ"" Г. ЛЕСОСИБИРСКА")</f>
        <v>МБОУ "ЛИЦЕЙ" Г. ЛЕСОСИБИРСКА</v>
      </c>
      <c r="B10395" s="24" t="s">
        <v>14708</v>
      </c>
      <c r="C10395" s="25">
        <v>822649.82</v>
      </c>
      <c r="D10395" s="22" t="s">
        <v>14709</v>
      </c>
      <c r="E10395" s="22" t="s">
        <v>48</v>
      </c>
      <c r="F10395" s="23" t="str">
        <f>HYPERLINK("https://www.spark-marketing.ru/Card/Lot/72433651", "Оказание услуг по организации горячего питания")</f>
        <v>Оказание услуг по организации горячего питания</v>
      </c>
      <c r="G10395" s="22" t="s">
        <v>281</v>
      </c>
      <c r="H10395" s="22" t="s">
        <v>281</v>
      </c>
      <c r="I10395" s="26">
        <v>43675.327777777798</v>
      </c>
      <c r="J10395" s="23" t="str">
        <f>HYPERLINK("https://www.spark-marketing.ru/Card/Person/218344", "ООО ""ПОЛЕКС""")</f>
        <v>ООО "ПОЛЕКС"</v>
      </c>
      <c r="K10395" s="24" t="s">
        <v>1449</v>
      </c>
      <c r="L10395" s="28" t="s">
        <v>51</v>
      </c>
      <c r="M10395" s="25">
        <v>790000</v>
      </c>
      <c r="N10395" s="27">
        <v>3.9688600430253546E-2</v>
      </c>
    </row>
    <row r="10396" spans="1:14" x14ac:dyDescent="0.15">
      <c r="A10396" s="23" t="str">
        <f>HYPERLINK("https://www.spark-marketing.ru/Card/Person/71564", "КОУ ""НИЖНЕВАРТОВСКАЯ ШКОЛА ДЛЯ ОБУЧАЮЩИХСЯ С ОГРАНИЧЕННЫМИ ВОЗМОЖНОСТЯМИ ЗДОРОВЬЯ № 1""")</f>
        <v>КОУ "НИЖНЕВАРТОВСКАЯ ШКОЛА ДЛЯ ОБУЧАЮЩИХСЯ С ОГРАНИЧЕННЫМИ ВОЗМОЖНОСТЯМИ ЗДОРОВЬЯ № 1"</v>
      </c>
      <c r="B10396" s="24" t="s">
        <v>14706</v>
      </c>
      <c r="C10396" s="28" t="s">
        <v>51</v>
      </c>
      <c r="D10396" s="22" t="s">
        <v>14710</v>
      </c>
      <c r="E10396" s="22" t="s">
        <v>51</v>
      </c>
      <c r="F10396" s="23" t="str">
        <f>HYPERLINK("https://www.spark-marketing.ru/Card/Lot/72434414", "Поставка продуктов питания Товары, работы или услуги на сумму, не превышающую 400,0 тысяч рублей согласно п. 5 ч. 1 ст. 93 Федерального закона от 05.04.2013 № 44-ФЗ (закупки малого объема)")</f>
        <v>Поставка продуктов питания Товары, работы или услуги на сумму, не превышающую 400,0 тысяч рублей согласно п. 5 ч. 1 ст. 93 Федерального закона от 05.04.2013 № 44-ФЗ (закупки малого объема)</v>
      </c>
      <c r="G10396" s="22" t="s">
        <v>97</v>
      </c>
      <c r="H10396" s="22" t="s">
        <v>366</v>
      </c>
      <c r="I10396" s="26">
        <v>43675.310416666704</v>
      </c>
      <c r="J10396" s="28" t="s">
        <v>51</v>
      </c>
      <c r="K10396" s="28" t="s">
        <v>51</v>
      </c>
      <c r="L10396" s="28" t="s">
        <v>51</v>
      </c>
      <c r="M10396" s="28" t="s">
        <v>51</v>
      </c>
      <c r="N10396" s="28" t="s">
        <v>51</v>
      </c>
    </row>
    <row r="10397" spans="1:14" x14ac:dyDescent="0.15">
      <c r="A10397" s="23" t="str">
        <f>HYPERLINK("https://www.spark-marketing.ru/Card/Person/236446", "МАОУ ГИМНАЗИЯ №1 ИМ. А.С.ПУШКИНА Г.ЮЖНО-САХАЛИНСКА")</f>
        <v>МАОУ ГИМНАЗИЯ №1 ИМ. А.С.ПУШКИНА Г.ЮЖНО-САХАЛИНСКА</v>
      </c>
      <c r="B10397" s="24" t="s">
        <v>3305</v>
      </c>
      <c r="C10397" s="28" t="s">
        <v>51</v>
      </c>
      <c r="D10397" s="22" t="s">
        <v>14711</v>
      </c>
      <c r="E10397" s="22" t="s">
        <v>580</v>
      </c>
      <c r="F10397" s="23" t="str">
        <f>HYPERLINK("https://www.spark-marketing.ru/Card/Lot/72432551", "Оказание услуг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малочисленных народов Севера Сах...")</f>
        <v>Оказание услуг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малочисленных народов Севера Сах...</v>
      </c>
      <c r="G10397" s="22" t="s">
        <v>260</v>
      </c>
      <c r="H10397" s="22" t="s">
        <v>804</v>
      </c>
      <c r="I10397" s="26">
        <v>43675.250694444403</v>
      </c>
      <c r="J10397" s="28" t="s">
        <v>51</v>
      </c>
      <c r="K10397" s="28" t="s">
        <v>51</v>
      </c>
      <c r="L10397" s="28" t="s">
        <v>51</v>
      </c>
      <c r="M10397" s="28" t="s">
        <v>51</v>
      </c>
      <c r="N10397" s="28" t="s">
        <v>51</v>
      </c>
    </row>
    <row r="10398" spans="1:14" x14ac:dyDescent="0.15">
      <c r="A10398" s="23" t="str">
        <f>HYPERLINK("https://www.spark-marketing.ru/Card/Person/79553", "АДМИНИСТРАЦИЯ ВЕНГЕРОВСКОГО РАЙОНА НОВОСИБИРСКОЙ ОБЛАСТИ")</f>
        <v>АДМИНИСТРАЦИЯ ВЕНГЕРОВСКОГО РАЙОНА НОВОСИБИРСКОЙ ОБЛАСТИ</v>
      </c>
      <c r="B10398" s="24" t="s">
        <v>14712</v>
      </c>
      <c r="C10398" s="25">
        <v>6100</v>
      </c>
      <c r="D10398" s="22" t="s">
        <v>14713</v>
      </c>
      <c r="E10398" s="22" t="s">
        <v>14714</v>
      </c>
      <c r="F10398" s="23" t="str">
        <f>HYPERLINK("https://www.spark-marketing.ru/Card/Lot/72432588", "Товары, работы или услуги на сумму, не превышающую 300 тыс. рублей (в случае заключения заказчиком контракта в соответствии с п. 4 ч. 1 ст. 93 Федерального закона от 05.04.2013 г. № 44-ФЗ);")</f>
        <v>Товары, работы или услуги на сумму, не превышающую 300 тыс. рублей (в случае заключения заказчиком контракта в соответствии с п. 4 ч. 1 ст. 93 Федерального закона от 05.04.2013 г. № 44-ФЗ);</v>
      </c>
      <c r="G10398" s="22" t="s">
        <v>195</v>
      </c>
      <c r="H10398" s="22" t="s">
        <v>14715</v>
      </c>
      <c r="I10398" s="26">
        <v>43675.236111111102</v>
      </c>
      <c r="J10398" s="28" t="s">
        <v>51</v>
      </c>
      <c r="K10398" s="28" t="s">
        <v>51</v>
      </c>
      <c r="L10398" s="28" t="s">
        <v>51</v>
      </c>
      <c r="M10398" s="28" t="s">
        <v>51</v>
      </c>
      <c r="N10398" s="28" t="s">
        <v>51</v>
      </c>
    </row>
    <row r="10399" spans="1:14" x14ac:dyDescent="0.15">
      <c r="A10399" s="23" t="str">
        <f>HYPERLINK("https://www.spark-marketing.ru/Card/Person/291431", "КАЛИНИНГРАДСКИЙ ОБЛАСТНОЙ ИНСТИТУТ РАЗВИТИЯ ОБРАЗОВАНИЯ")</f>
        <v>КАЛИНИНГРАДСКИЙ ОБЛАСТНОЙ ИНСТИТУТ РАЗВИТИЯ ОБРАЗОВАНИЯ</v>
      </c>
      <c r="B10399" s="24" t="s">
        <v>1911</v>
      </c>
      <c r="C10399" s="25">
        <v>30000</v>
      </c>
      <c r="D10399" s="22" t="s">
        <v>14716</v>
      </c>
      <c r="E10399" s="22" t="s">
        <v>48</v>
      </c>
      <c r="F10399" s="23" t="str">
        <f>HYPERLINK("https://www.spark-marketing.ru/Card/Lot/72431953", "Оказание услуг по организации питания")</f>
        <v>Оказание услуг по организации питания</v>
      </c>
      <c r="G10399" s="22" t="s">
        <v>400</v>
      </c>
      <c r="H10399" s="22" t="s">
        <v>14717</v>
      </c>
      <c r="I10399" s="26">
        <v>43675.145138888904</v>
      </c>
      <c r="J10399" s="28" t="s">
        <v>51</v>
      </c>
      <c r="K10399" s="28" t="s">
        <v>51</v>
      </c>
      <c r="L10399" s="28" t="s">
        <v>51</v>
      </c>
      <c r="M10399" s="28" t="s">
        <v>51</v>
      </c>
      <c r="N10399" s="28" t="s">
        <v>51</v>
      </c>
    </row>
    <row r="10400" spans="1:14" x14ac:dyDescent="0.2">
      <c r="A10400" s="23" t="str">
        <f>HYPERLINK("https://www.spark-marketing.ru/Card/Person/240535", "ГПОАУ АТК")</f>
        <v>ГПОАУ АТК</v>
      </c>
      <c r="B10400" s="24" t="s">
        <v>2228</v>
      </c>
      <c r="C10400" s="25">
        <v>205220</v>
      </c>
      <c r="D10400" s="22" t="s">
        <v>14718</v>
      </c>
      <c r="E10400" s="22" t="s">
        <v>362</v>
      </c>
      <c r="F10400" s="23" t="str">
        <f>HYPERLINK("https://www.spark-marketing.ru/Card/Lot/72432499", "Оказание услуг по организации горячего питания г. Шимановск")</f>
        <v>Оказание услуг по организации горячего питания г. Шимановск</v>
      </c>
      <c r="G10400" s="22" t="s">
        <v>210</v>
      </c>
      <c r="H10400" s="22" t="s">
        <v>210</v>
      </c>
      <c r="I10400" s="26">
        <v>43675</v>
      </c>
      <c r="J10400" s="28" t="s">
        <v>51</v>
      </c>
      <c r="K10400" s="28" t="s">
        <v>51</v>
      </c>
      <c r="L10400" s="28" t="s">
        <v>51</v>
      </c>
      <c r="M10400" s="25">
        <v>205220</v>
      </c>
      <c r="N10400" s="27">
        <v>0</v>
      </c>
    </row>
    <row r="10401" spans="1:14" x14ac:dyDescent="0.2">
      <c r="A10401" s="23" t="str">
        <f>HYPERLINK("https://www.spark-marketing.ru/Card/Person/149338", "МБДОУ ""ДЕТСКИЙ САД ОБЩЕРАЗВИВАЮЩЕГО ВИДА №13"" НМР РТ")</f>
        <v>МБДОУ "ДЕТСКИЙ САД ОБЩЕРАЗВИВАЮЩЕГО ВИДА №13" НМР РТ</v>
      </c>
      <c r="B10401" s="24" t="s">
        <v>8085</v>
      </c>
      <c r="C10401" s="25">
        <v>22457.759999999998</v>
      </c>
      <c r="D10401" s="22" t="s">
        <v>14719</v>
      </c>
      <c r="E10401" s="22" t="s">
        <v>52</v>
      </c>
      <c r="F10401" s="23" t="str">
        <f>HYPERLINK("https://www.spark-marketing.ru/Card/Lot/73775725", "Услуги по организации питания")</f>
        <v>Услуги по организации питания</v>
      </c>
      <c r="G10401" s="22" t="s">
        <v>217</v>
      </c>
      <c r="H10401" s="22" t="s">
        <v>218</v>
      </c>
      <c r="I10401" s="26">
        <v>43675.000694444403</v>
      </c>
      <c r="J10401" s="28" t="s">
        <v>51</v>
      </c>
      <c r="K10401" s="28" t="s">
        <v>51</v>
      </c>
      <c r="L10401" s="28" t="s">
        <v>51</v>
      </c>
      <c r="M10401" s="25">
        <v>22457.759999999998</v>
      </c>
      <c r="N10401" s="27">
        <v>0</v>
      </c>
    </row>
    <row r="10402" spans="1:14" x14ac:dyDescent="0.15">
      <c r="A10402" s="23" t="str">
        <f>HYPERLINK("https://www.spark-marketing.ru/Card/Person/71047", "ФГБОУ ВО ""ВГУЭС"", ВГУЭС, ВЛАДИВОСТОКСКИЙ ГОСУДАРСТВЕННЫЙ УНИВЕРСИТЕТ ЭКОНОМИКИ И СЕРВИСА, ФГБОУ ВО ""ВЛАДИВОСТОКСКИЙ ГОСУДАРСТВЕННЫЙ УНИВЕРСИТЕТ ЭКОНОМИКИ И СЕРВИСА""")</f>
        <v>ФГБОУ ВО "ВГУЭС", ВГУЭС, ВЛАДИВОСТОКСКИЙ ГОСУДАРСТВЕННЫЙ УНИВЕРСИТЕТ ЭКОНОМИКИ И СЕРВИСА, ФГБОУ ВО "ВЛАДИВОСТОКСКИЙ ГОСУДАРСТВЕННЫЙ УНИВЕРСИТЕТ ЭКОНОМИКИ И СЕРВИСА"</v>
      </c>
      <c r="B10402" s="24" t="s">
        <v>14720</v>
      </c>
      <c r="C10402" s="25">
        <v>26316018.98</v>
      </c>
      <c r="D10402" s="22" t="s">
        <v>14721</v>
      </c>
      <c r="E10402" s="22" t="s">
        <v>362</v>
      </c>
      <c r="F10402" s="23" t="str">
        <f>HYPERLINK("https://www.spark-marketing.ru/Card/Lot/72463842", "Оказание услуг по организации питания")</f>
        <v>Оказание услуг по организации питания</v>
      </c>
      <c r="G10402" s="22" t="s">
        <v>543</v>
      </c>
      <c r="H10402" s="22" t="s">
        <v>543</v>
      </c>
      <c r="I10402" s="26">
        <v>43675.628912036998</v>
      </c>
      <c r="J10402" s="28" t="s">
        <v>51</v>
      </c>
      <c r="K10402" s="28" t="s">
        <v>51</v>
      </c>
      <c r="L10402" s="28" t="s">
        <v>51</v>
      </c>
      <c r="M10402" s="28" t="s">
        <v>51</v>
      </c>
      <c r="N10402" s="28" t="s">
        <v>51</v>
      </c>
    </row>
    <row r="10403" spans="1:14" x14ac:dyDescent="0.2">
      <c r="A10403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10403" s="24" t="s">
        <v>6649</v>
      </c>
      <c r="C10403" s="25">
        <v>22892000</v>
      </c>
      <c r="D10403" s="22" t="s">
        <v>14722</v>
      </c>
      <c r="E10403" s="22" t="s">
        <v>580</v>
      </c>
      <c r="F10403" s="23" t="str">
        <f>HYPERLINK("https://www.spark-marketing.ru/Card/Lot/72430844", "Оказание услуг по организации общественного питания в ФГАУ «Санаторий ФССП России «Зеленая долина»")</f>
        <v>Оказание услуг по организации общественного питания в ФГАУ «Санаторий ФССП России «Зеленая долина»</v>
      </c>
      <c r="G10403" s="22" t="s">
        <v>104</v>
      </c>
      <c r="H10403" s="22" t="s">
        <v>104</v>
      </c>
      <c r="I10403" s="26">
        <v>43674</v>
      </c>
      <c r="J10403" s="28" t="s">
        <v>51</v>
      </c>
      <c r="K10403" s="28" t="s">
        <v>51</v>
      </c>
      <c r="L10403" s="22" t="s">
        <v>10</v>
      </c>
      <c r="M10403" s="25">
        <v>21966000</v>
      </c>
      <c r="N10403" s="27">
        <v>4.0450812510920843E-2</v>
      </c>
    </row>
    <row r="10404" spans="1:14" x14ac:dyDescent="0.15">
      <c r="A10404" s="23" t="str">
        <f>HYPERLINK("https://www.spark-marketing.ru/Card/Person/1012158", "МАОУ ДО ДТДМ")</f>
        <v>МАОУ ДО ДТДМ</v>
      </c>
      <c r="B10404" s="24" t="s">
        <v>4649</v>
      </c>
      <c r="C10404" s="25">
        <v>234675</v>
      </c>
      <c r="D10404" s="22" t="s">
        <v>14723</v>
      </c>
      <c r="E10404" s="22" t="s">
        <v>362</v>
      </c>
      <c r="F10404" s="23" t="str">
        <f>HYPERLINK("https://www.spark-marketing.ru/Card/Lot/72430676", "Заключение договора на оказание услуг по организации питания")</f>
        <v>Заключение договора на оказание услуг по организации питания</v>
      </c>
      <c r="G10404" s="22" t="s">
        <v>72</v>
      </c>
      <c r="H10404" s="22" t="s">
        <v>72</v>
      </c>
      <c r="I10404" s="26">
        <v>43674</v>
      </c>
      <c r="J10404" s="28" t="s">
        <v>51</v>
      </c>
      <c r="K10404" s="28" t="s">
        <v>51</v>
      </c>
      <c r="L10404" s="28" t="s">
        <v>51</v>
      </c>
      <c r="M10404" s="28" t="s">
        <v>51</v>
      </c>
      <c r="N10404" s="28" t="s">
        <v>51</v>
      </c>
    </row>
    <row r="10405" spans="1:14" collapsed="1" x14ac:dyDescent="0.15">
      <c r="A10405" s="23" t="str">
        <f t="shared" ref="A10405:A10410" si="271">HYPERLINK("https://www.spark-marketing.ru/Card/Person/742925", "О МВД РОССИИ ПО ДЖИДИНСКОМУ РАЙОНУ")</f>
        <v>О МВД РОССИИ ПО ДЖИДИНСКОМУ РАЙОНУ</v>
      </c>
      <c r="B10405" s="24" t="s">
        <v>14724</v>
      </c>
      <c r="C10405" s="25">
        <v>750300</v>
      </c>
      <c r="D10405" s="22" t="s">
        <v>14725</v>
      </c>
      <c r="E10405" s="22" t="s">
        <v>48</v>
      </c>
      <c r="F10405" s="23" t="str">
        <f>HYPERLINK("https://www.spark-marketing.ru/Card/Lot/72433634", "Услуги по обеспечению ежедневным трёхразовым горячим питанием лиц, содержащихся в ИВС и дежурной части О МВД более 3 часов")</f>
        <v>Услуги по обеспечению ежедневным трёхразовым горячим питанием лиц, содержащихся в ИВС и дежурной части О МВД более 3 часов</v>
      </c>
      <c r="G10405" s="22" t="s">
        <v>433</v>
      </c>
      <c r="H10405" s="22" t="s">
        <v>14726</v>
      </c>
      <c r="I10405" s="26">
        <v>43673.583854166704</v>
      </c>
      <c r="J10405" s="28" t="s">
        <v>51</v>
      </c>
      <c r="K10405" s="28" t="s">
        <v>51</v>
      </c>
      <c r="L10405" s="28" t="s">
        <v>51</v>
      </c>
      <c r="M10405" s="28" t="s">
        <v>51</v>
      </c>
      <c r="N10405" s="28" t="s">
        <v>51</v>
      </c>
    </row>
    <row r="10406" spans="1:14" hidden="1" outlineLevel="1" x14ac:dyDescent="0.2">
      <c r="A10406" s="23" t="str">
        <f t="shared" si="271"/>
        <v>О МВД РОССИИ ПО ДЖИДИНСКОМУ РАЙОНУ</v>
      </c>
      <c r="B10406" s="24" t="s">
        <v>14724</v>
      </c>
      <c r="C10406" s="25">
        <v>750300</v>
      </c>
      <c r="D10406" s="22" t="s">
        <v>14725</v>
      </c>
      <c r="E10406" s="22" t="s">
        <v>48</v>
      </c>
      <c r="F10406" s="23" t="str">
        <f>HYPERLINK("https://www.spark-marketing.ru/Card/Lot/72433634", "Услуги по обеспечению ежедневным трёхразовым горячим питанием лиц, содержащихся в ИВС и дежурной части О МВД более 3 часов")</f>
        <v>Услуги по обеспечению ежедневным трёхразовым горячим питанием лиц, содержащихся в ИВС и дежурной части О МВД более 3 часов</v>
      </c>
      <c r="G10406" s="22" t="s">
        <v>433</v>
      </c>
      <c r="H10406" s="22" t="s">
        <v>14726</v>
      </c>
      <c r="I10406" s="26">
        <v>43673.583854166704</v>
      </c>
      <c r="J10406" s="23" t="str">
        <f>HYPERLINK("https://www.spark-marketing.ru/Card/Person/214151", "ПО ""УТБ БКС""")</f>
        <v>ПО "УТБ БКС"</v>
      </c>
      <c r="K10406" s="24" t="s">
        <v>6695</v>
      </c>
      <c r="L10406" s="28" t="s">
        <v>51</v>
      </c>
      <c r="M10406" s="25">
        <v>737212</v>
      </c>
      <c r="N10406" s="27">
        <v>1.7443689190990271E-2</v>
      </c>
    </row>
    <row r="10407" spans="1:14" ht="12.75" hidden="1" outlineLevel="1" x14ac:dyDescent="0.2">
      <c r="A10407" s="23" t="str">
        <f t="shared" si="271"/>
        <v>О МВД РОССИИ ПО ДЖИДИНСКОМУ РАЙОНУ</v>
      </c>
      <c r="B10407" s="24" t="s">
        <v>14724</v>
      </c>
      <c r="C10407" s="25">
        <v>750300</v>
      </c>
      <c r="D10407" s="22" t="s">
        <v>14725</v>
      </c>
      <c r="E10407" s="22" t="s">
        <v>48</v>
      </c>
      <c r="F10407" s="23" t="str">
        <f>HYPERLINK("https://www.spark-marketing.ru/Card/Lot/72433634", "Услуги по обеспечению ежедневным трёхразовым горячим питанием лиц, содержащихся в ИВС и дежурной части О МВД более 3 часов")</f>
        <v>Услуги по обеспечению ежедневным трёхразовым горячим питанием лиц, содержащихся в ИВС и дежурной части О МВД более 3 часов</v>
      </c>
      <c r="G10407" s="22" t="s">
        <v>433</v>
      </c>
      <c r="H10407" s="22" t="s">
        <v>14726</v>
      </c>
      <c r="I10407" s="26">
        <v>43673.583854166704</v>
      </c>
      <c r="J10407" s="23" t="str">
        <f>HYPERLINK("https://www.spark-marketing.ru/Card/Person/259304", "АУСО РБ ""ДЖИДИНСКИЙ ДИ""")</f>
        <v>АУСО РБ "ДЖИДИНСКИЙ ДИ"</v>
      </c>
      <c r="K10407" s="24" t="s">
        <v>14727</v>
      </c>
      <c r="L10407" s="22" t="s">
        <v>10</v>
      </c>
      <c r="M10407" s="25">
        <v>733460.5</v>
      </c>
      <c r="N10407" s="27">
        <v>2.2443689190990272E-2</v>
      </c>
    </row>
    <row r="10408" spans="1:14" collapsed="1" x14ac:dyDescent="0.15">
      <c r="A10408" s="23" t="str">
        <f t="shared" si="271"/>
        <v>О МВД РОССИИ ПО ДЖИДИНСКОМУ РАЙОНУ</v>
      </c>
      <c r="B10408" s="24" t="s">
        <v>14724</v>
      </c>
      <c r="C10408" s="25">
        <v>750300</v>
      </c>
      <c r="D10408" s="22" t="s">
        <v>14728</v>
      </c>
      <c r="E10408" s="22" t="s">
        <v>48</v>
      </c>
      <c r="F10408" s="23" t="str">
        <f>HYPERLINK("https://www.spark-marketing.ru/Card/Lot/72433633", "Услуги по обеспечению ежедневным трёхразовым горячим питанием лиц, содержащихся в ИВС и дежурной части О МВД более 3 часов")</f>
        <v>Услуги по обеспечению ежедневным трёхразовым горячим питанием лиц, содержащихся в ИВС и дежурной части О МВД более 3 часов</v>
      </c>
      <c r="G10408" s="22" t="s">
        <v>433</v>
      </c>
      <c r="H10408" s="22" t="s">
        <v>14726</v>
      </c>
      <c r="I10408" s="26">
        <v>43673.557650463001</v>
      </c>
      <c r="J10408" s="28" t="s">
        <v>51</v>
      </c>
      <c r="K10408" s="28" t="s">
        <v>51</v>
      </c>
      <c r="L10408" s="28" t="s">
        <v>51</v>
      </c>
      <c r="M10408" s="28" t="s">
        <v>51</v>
      </c>
      <c r="N10408" s="28" t="s">
        <v>51</v>
      </c>
    </row>
    <row r="10409" spans="1:14" ht="12.75" hidden="1" outlineLevel="1" x14ac:dyDescent="0.2">
      <c r="A10409" s="23" t="str">
        <f t="shared" si="271"/>
        <v>О МВД РОССИИ ПО ДЖИДИНСКОМУ РАЙОНУ</v>
      </c>
      <c r="B10409" s="24" t="s">
        <v>14724</v>
      </c>
      <c r="C10409" s="25">
        <v>750300</v>
      </c>
      <c r="D10409" s="22" t="s">
        <v>14728</v>
      </c>
      <c r="E10409" s="22" t="s">
        <v>48</v>
      </c>
      <c r="F10409" s="23" t="str">
        <f>HYPERLINK("https://www.spark-marketing.ru/Card/Lot/72433633", "Услуги по обеспечению ежедневным трёхразовым горячим питанием лиц, содержащихся в ИВС и дежурной части О МВД более 3 часов")</f>
        <v>Услуги по обеспечению ежедневным трёхразовым горячим питанием лиц, содержащихся в ИВС и дежурной части О МВД более 3 часов</v>
      </c>
      <c r="G10409" s="22" t="s">
        <v>433</v>
      </c>
      <c r="H10409" s="22" t="s">
        <v>14726</v>
      </c>
      <c r="I10409" s="26">
        <v>43673.557650463001</v>
      </c>
      <c r="J10409" s="23" t="str">
        <f>HYPERLINK("https://www.spark-marketing.ru/Card/Person/259304", "АУСО РБ ""ДЖИДИНСКИЙ ДИ""")</f>
        <v>АУСО РБ "ДЖИДИНСКИЙ ДИ"</v>
      </c>
      <c r="K10409" s="24" t="s">
        <v>14727</v>
      </c>
      <c r="L10409" s="22" t="s">
        <v>10</v>
      </c>
      <c r="M10409" s="25">
        <v>705281.99</v>
      </c>
      <c r="N10409" s="27">
        <v>6.000001332800213E-2</v>
      </c>
    </row>
    <row r="10410" spans="1:14" hidden="1" outlineLevel="1" x14ac:dyDescent="0.2">
      <c r="A10410" s="23" t="str">
        <f t="shared" si="271"/>
        <v>О МВД РОССИИ ПО ДЖИДИНСКОМУ РАЙОНУ</v>
      </c>
      <c r="B10410" s="24" t="s">
        <v>14724</v>
      </c>
      <c r="C10410" s="25">
        <v>750300</v>
      </c>
      <c r="D10410" s="22" t="s">
        <v>14728</v>
      </c>
      <c r="E10410" s="22" t="s">
        <v>48</v>
      </c>
      <c r="F10410" s="23" t="str">
        <f>HYPERLINK("https://www.spark-marketing.ru/Card/Lot/72433633", "Услуги по обеспечению ежедневным трёхразовым горячим питанием лиц, содержащихся в ИВС и дежурной части О МВД более 3 часов")</f>
        <v>Услуги по обеспечению ежедневным трёхразовым горячим питанием лиц, содержащихся в ИВС и дежурной части О МВД более 3 часов</v>
      </c>
      <c r="G10410" s="22" t="s">
        <v>433</v>
      </c>
      <c r="H10410" s="22" t="s">
        <v>14726</v>
      </c>
      <c r="I10410" s="26">
        <v>43673.557650463001</v>
      </c>
      <c r="J10410" s="23" t="str">
        <f>HYPERLINK("https://www.spark-marketing.ru/Card/Person/214151", "ПО ""УТБ БКС""")</f>
        <v>ПО "УТБ БКС"</v>
      </c>
      <c r="K10410" s="24" t="s">
        <v>6695</v>
      </c>
      <c r="L10410" s="28" t="s">
        <v>51</v>
      </c>
      <c r="M10410" s="25">
        <v>709033.5</v>
      </c>
      <c r="N10410" s="27">
        <v>5.5E-2</v>
      </c>
    </row>
    <row r="10411" spans="1:14" x14ac:dyDescent="0.15">
      <c r="A10411" s="23" t="str">
        <f>HYPERLINK("https://www.spark-marketing.ru/Card/Person/1659453", "ГАУК Г. МОСКВЫ ПКИО ""КРАСНАЯ ПРЕСНЯ""")</f>
        <v>ГАУК Г. МОСКВЫ ПКИО "КРАСНАЯ ПРЕСНЯ"</v>
      </c>
      <c r="B10411" s="24" t="s">
        <v>2678</v>
      </c>
      <c r="C10411" s="25">
        <v>138600</v>
      </c>
      <c r="D10411" s="22" t="s">
        <v>14729</v>
      </c>
      <c r="E10411" s="22" t="s">
        <v>52</v>
      </c>
      <c r="F10411" s="23" t="str">
        <f>HYPERLINK("https://www.spark-marketing.ru/Card/Lot/72430540",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Мантулинская, 5с2,Зона центральной аллеи (основная территория ГАУК г. Москвы ПКиО «Красная Пресня...")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Мантулинская, 5с2,Зона центральной аллеи (основная территория ГАУК г. Москвы ПКиО «Красная Пресня...</v>
      </c>
      <c r="G10411" s="22" t="s">
        <v>56</v>
      </c>
      <c r="H10411" s="22" t="s">
        <v>56</v>
      </c>
      <c r="I10411" s="26">
        <v>43673</v>
      </c>
      <c r="J10411" s="28" t="s">
        <v>51</v>
      </c>
      <c r="K10411" s="28" t="s">
        <v>51</v>
      </c>
      <c r="L10411" s="28" t="s">
        <v>51</v>
      </c>
      <c r="M10411" s="28" t="s">
        <v>51</v>
      </c>
      <c r="N10411" s="28" t="s">
        <v>51</v>
      </c>
    </row>
    <row r="10412" spans="1:14" x14ac:dyDescent="0.2">
      <c r="A10412" s="23" t="str">
        <f>HYPERLINK("https://www.spark-marketing.ru/Card/Person/4434601", "МАУ ДО ДЮСШ № 1 ГОРОДА ТЮМЕНИ")</f>
        <v>МАУ ДО ДЮСШ № 1 ГОРОДА ТЮМЕНИ</v>
      </c>
      <c r="B10412" s="24" t="s">
        <v>14730</v>
      </c>
      <c r="C10412" s="25">
        <v>117600</v>
      </c>
      <c r="D10412" s="22" t="s">
        <v>14731</v>
      </c>
      <c r="E10412" s="22" t="s">
        <v>362</v>
      </c>
      <c r="F10412" s="23" t="str">
        <f>HYPERLINK("https://www.spark-marketing.ru/Card/Lot/72430127", "Услуги по обеспечению питанием")</f>
        <v>Услуги по обеспечению питанием</v>
      </c>
      <c r="G10412" s="22" t="s">
        <v>108</v>
      </c>
      <c r="H10412" s="22" t="s">
        <v>108</v>
      </c>
      <c r="I10412" s="26">
        <v>43673</v>
      </c>
      <c r="J10412" s="28" t="s">
        <v>51</v>
      </c>
      <c r="K10412" s="28" t="s">
        <v>51</v>
      </c>
      <c r="L10412" s="22" t="s">
        <v>10</v>
      </c>
      <c r="M10412" s="25">
        <v>117600</v>
      </c>
      <c r="N10412" s="27">
        <v>0</v>
      </c>
    </row>
    <row r="10413" spans="1:14" x14ac:dyDescent="0.15">
      <c r="A10413" s="23" t="str">
        <f>HYPERLINK("https://www.spark-marketing.ru/Card/Person/1747814", "ГАУК Г. МОСКВЫ ""ГМЗ ""КУЗЬМИНКИ-ЛЮБЛИНО""")</f>
        <v>ГАУК Г. МОСКВЫ "ГМЗ "КУЗЬМИНКИ-ЛЮБЛИНО"</v>
      </c>
      <c r="B10413" s="24" t="s">
        <v>2685</v>
      </c>
      <c r="C10413" s="25">
        <v>274390.2</v>
      </c>
      <c r="D10413" s="22" t="s">
        <v>14732</v>
      </c>
      <c r="E10413" s="22" t="s">
        <v>52</v>
      </c>
      <c r="F10413" s="23" t="str">
        <f>HYPERLINK("https://www.spark-marketing.ru/Card/Lot/72430509",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территория ГАУК г. Москвы «ГМЗ «Кузьминки-Люблино», около конного двора (НТО 13) специализация «Общес...")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территория ГАУК г. Москвы «ГМЗ «Кузьминки-Люблино», около конного двора (НТО 13) специализация «Общес...</v>
      </c>
      <c r="G10413" s="22" t="s">
        <v>56</v>
      </c>
      <c r="H10413" s="22" t="s">
        <v>56</v>
      </c>
      <c r="I10413" s="26">
        <v>43673</v>
      </c>
      <c r="J10413" s="28" t="s">
        <v>51</v>
      </c>
      <c r="K10413" s="28" t="s">
        <v>51</v>
      </c>
      <c r="L10413" s="28" t="s">
        <v>51</v>
      </c>
      <c r="M10413" s="28" t="s">
        <v>51</v>
      </c>
      <c r="N10413" s="28" t="s">
        <v>51</v>
      </c>
    </row>
    <row r="10414" spans="1:14" x14ac:dyDescent="0.15">
      <c r="A10414" s="23" t="str">
        <f>HYPERLINK("https://www.spark-marketing.ru/Card/Person/1747814", "ГАУК Г. МОСКВЫ ""ГМЗ ""КУЗЬМИНКИ-ЛЮБЛИНО""")</f>
        <v>ГАУК Г. МОСКВЫ "ГМЗ "КУЗЬМИНКИ-ЛЮБЛИНО"</v>
      </c>
      <c r="B10414" s="24" t="s">
        <v>2685</v>
      </c>
      <c r="C10414" s="25">
        <v>189000</v>
      </c>
      <c r="D10414" s="22" t="s">
        <v>14733</v>
      </c>
      <c r="E10414" s="22" t="s">
        <v>52</v>
      </c>
      <c r="F10414" s="23" t="str">
        <f>HYPERLINK("https://www.spark-marketing.ru/Card/Lot/72430508",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территория ГАУК г. Москвы «ГМЗ «Кузьминки-Люблино», напротив зоны аттракционов крупных форм (НТО 4) с...")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территория ГАУК г. Москвы «ГМЗ «Кузьминки-Люблино», напротив зоны аттракционов крупных форм (НТО 4) с...</v>
      </c>
      <c r="G10414" s="22" t="s">
        <v>56</v>
      </c>
      <c r="H10414" s="22" t="s">
        <v>56</v>
      </c>
      <c r="I10414" s="26">
        <v>43673</v>
      </c>
      <c r="J10414" s="28" t="s">
        <v>51</v>
      </c>
      <c r="K10414" s="28" t="s">
        <v>51</v>
      </c>
      <c r="L10414" s="28" t="s">
        <v>51</v>
      </c>
      <c r="M10414" s="28" t="s">
        <v>51</v>
      </c>
      <c r="N10414" s="28" t="s">
        <v>51</v>
      </c>
    </row>
    <row r="10415" spans="1:14" x14ac:dyDescent="0.15">
      <c r="A10415" s="23" t="str">
        <f>HYPERLINK("https://www.spark-marketing.ru/Card/Person/1747814", "ГАУК Г. МОСКВЫ ""ГМЗ ""КУЗЬМИНКИ-ЛЮБЛИНО""")</f>
        <v>ГАУК Г. МОСКВЫ "ГМЗ "КУЗЬМИНКИ-ЛЮБЛИНО"</v>
      </c>
      <c r="B10415" s="24" t="s">
        <v>2685</v>
      </c>
      <c r="C10415" s="25">
        <v>362579</v>
      </c>
      <c r="D10415" s="22" t="s">
        <v>14734</v>
      </c>
      <c r="E10415" s="22" t="s">
        <v>52</v>
      </c>
      <c r="F10415" s="23" t="str">
        <f>HYPERLINK("https://www.spark-marketing.ru/Card/Lot/72430542",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территория ГАУК г. Москвы «ГМЗ «Кузьминки-Люблино», парк «Садовники», на центральной площади парка, о...")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территория ГАУК г. Москвы «ГМЗ «Кузьминки-Люблино», парк «Садовники», на центральной площади парка, о...</v>
      </c>
      <c r="G10415" s="22" t="s">
        <v>56</v>
      </c>
      <c r="H10415" s="22" t="s">
        <v>56</v>
      </c>
      <c r="I10415" s="26">
        <v>43673</v>
      </c>
      <c r="J10415" s="28" t="s">
        <v>51</v>
      </c>
      <c r="K10415" s="28" t="s">
        <v>51</v>
      </c>
      <c r="L10415" s="28" t="s">
        <v>51</v>
      </c>
      <c r="M10415" s="28" t="s">
        <v>51</v>
      </c>
      <c r="N10415" s="28" t="s">
        <v>51</v>
      </c>
    </row>
    <row r="10416" spans="1:14" x14ac:dyDescent="0.15">
      <c r="A10416" s="23" t="str">
        <f>HYPERLINK("https://www.spark-marketing.ru/Card/Person/1659453", "ГАУК Г. МОСКВЫ ПКИО ""КРАСНАЯ ПРЕСНЯ""")</f>
        <v>ГАУК Г. МОСКВЫ ПКИО "КРАСНАЯ ПРЕСНЯ"</v>
      </c>
      <c r="B10416" s="24" t="s">
        <v>2678</v>
      </c>
      <c r="C10416" s="25">
        <v>138600</v>
      </c>
      <c r="D10416" s="22" t="s">
        <v>14735</v>
      </c>
      <c r="E10416" s="22" t="s">
        <v>52</v>
      </c>
      <c r="F10416" s="23" t="str">
        <f>HYPERLINK("https://www.spark-marketing.ru/Card/Lot/72430541",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Мантулинская, владение 5 (основная территория ГАУК г. Москвы ПКиО «Красная Пресня») (НТО 23) спец...")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Мантулинская, владение 5 (основная территория ГАУК г. Москвы ПКиО «Красная Пресня») (НТО 23) спец...</v>
      </c>
      <c r="G10416" s="22" t="s">
        <v>56</v>
      </c>
      <c r="H10416" s="22" t="s">
        <v>56</v>
      </c>
      <c r="I10416" s="26">
        <v>43673</v>
      </c>
      <c r="J10416" s="28" t="s">
        <v>51</v>
      </c>
      <c r="K10416" s="28" t="s">
        <v>51</v>
      </c>
      <c r="L10416" s="28" t="s">
        <v>51</v>
      </c>
      <c r="M10416" s="28" t="s">
        <v>51</v>
      </c>
      <c r="N10416" s="28" t="s">
        <v>51</v>
      </c>
    </row>
    <row r="10417" spans="1:14" x14ac:dyDescent="0.15">
      <c r="A10417" s="23" t="str">
        <f>HYPERLINK("https://www.spark-marketing.ru/Card/Person/34895", "УМВД РОССИИ ПО Г. АБАКАНУ")</f>
        <v>УМВД РОССИИ ПО Г. АБАКАНУ</v>
      </c>
      <c r="B10417" s="24" t="s">
        <v>5979</v>
      </c>
      <c r="C10417" s="25">
        <v>1350000</v>
      </c>
      <c r="D10417" s="22" t="s">
        <v>14736</v>
      </c>
      <c r="E10417" s="22" t="s">
        <v>48</v>
      </c>
      <c r="F10417" s="23" t="str">
        <f>HYPERLINK("https://www.spark-marketing.ru/Card/Lot/72433612", "Оказание  услуг по организации (приготовить из своих продуктов,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Оказание  услуг по организации (приготовить из своих продуктов,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10417" s="22" t="s">
        <v>92</v>
      </c>
      <c r="H10417" s="22" t="s">
        <v>93</v>
      </c>
      <c r="I10417" s="26">
        <v>43672.8492708333</v>
      </c>
      <c r="J10417" s="23" t="str">
        <f>HYPERLINK("https://www.spark-marketing.ru/Card/Person/4948502", "Будаева Ольга Борисовна")</f>
        <v>Будаева Ольга Борисовна</v>
      </c>
      <c r="K10417" s="24" t="s">
        <v>5983</v>
      </c>
      <c r="L10417" s="22" t="s">
        <v>10</v>
      </c>
      <c r="M10417" s="28" t="s">
        <v>51</v>
      </c>
      <c r="N10417" s="28" t="s">
        <v>51</v>
      </c>
    </row>
    <row r="10418" spans="1:14" x14ac:dyDescent="0.15">
      <c r="A10418" s="23" t="str">
        <f>HYPERLINK("https://www.spark-marketing.ru/Card/Person/34895", "УМВД РОССИИ ПО Г. АБАКАНУ")</f>
        <v>УМВД РОССИИ ПО Г. АБАКАНУ</v>
      </c>
      <c r="B10418" s="24" t="s">
        <v>5979</v>
      </c>
      <c r="C10418" s="25">
        <v>249918</v>
      </c>
      <c r="D10418" s="22" t="s">
        <v>14737</v>
      </c>
      <c r="E10418" s="22" t="s">
        <v>48</v>
      </c>
      <c r="F10418" s="23" t="str">
        <f>HYPERLINK("https://www.spark-marketing.ru/Card/Lot/72433617", "Оказание услуг по организации (приготовить из своих продуктов, своими силами и средствами) и  доставке готового питания, для задержанных лиц, находящихся в специальном помещении более 3-х часов для нужд УМВД России по г. Абакану")</f>
        <v>Оказание услуг по организации (приготовить из своих продуктов, своими силами и средствами) и  доставке готового питания, для задержанных лиц, находящихся в специальном помещении более 3-х часов для нужд УМВД России по г. Абакану</v>
      </c>
      <c r="G10418" s="22" t="s">
        <v>92</v>
      </c>
      <c r="H10418" s="22" t="s">
        <v>93</v>
      </c>
      <c r="I10418" s="26">
        <v>43672.871053240699</v>
      </c>
      <c r="J10418" s="28" t="s">
        <v>51</v>
      </c>
      <c r="K10418" s="28" t="s">
        <v>51</v>
      </c>
      <c r="L10418" s="28" t="s">
        <v>51</v>
      </c>
      <c r="M10418" s="28" t="s">
        <v>51</v>
      </c>
      <c r="N10418" s="28" t="s">
        <v>51</v>
      </c>
    </row>
    <row r="10419" spans="1:14" hidden="1" outlineLevel="1" x14ac:dyDescent="0.2">
      <c r="A10419" s="23" t="str">
        <f>HYPERLINK("https://www.spark-marketing.ru/Card/Person/34895", "УМВД РОССИИ ПО Г. АБАКАНУ")</f>
        <v>УМВД РОССИИ ПО Г. АБАКАНУ</v>
      </c>
      <c r="B10419" s="24" t="s">
        <v>5979</v>
      </c>
      <c r="C10419" s="25">
        <v>249918</v>
      </c>
      <c r="D10419" s="22" t="s">
        <v>14737</v>
      </c>
      <c r="E10419" s="22" t="s">
        <v>48</v>
      </c>
      <c r="F10419" s="23" t="str">
        <f>HYPERLINK("https://www.spark-marketing.ru/Card/Lot/72433617", "Оказание услуг по организации (приготовить из своих продуктов, своими силами и средствами) и  доставке готового питания, для задержанных лиц, находящихся в специальном помещении более 3-х часов для нужд УМВД России по г. Абакану")</f>
        <v>Оказание услуг по организации (приготовить из своих продуктов, своими силами и средствами) и  доставке готового питания, для задержанных лиц, находящихся в специальном помещении более 3-х часов для нужд УМВД России по г. Абакану</v>
      </c>
      <c r="G10419" s="22" t="s">
        <v>92</v>
      </c>
      <c r="H10419" s="22" t="s">
        <v>93</v>
      </c>
      <c r="I10419" s="26">
        <v>43672.871053240699</v>
      </c>
      <c r="J10419" s="23" t="str">
        <f>HYPERLINK("https://www.spark-marketing.ru/Card/Person/656154", "ООО ""ЗЕВС""")</f>
        <v>ООО "ЗЕВС"</v>
      </c>
      <c r="K10419" s="24" t="s">
        <v>5981</v>
      </c>
      <c r="L10419" s="28" t="s">
        <v>51</v>
      </c>
      <c r="M10419" s="25">
        <v>221177.43</v>
      </c>
      <c r="N10419" s="27">
        <v>0.115</v>
      </c>
    </row>
    <row r="10420" spans="1:14" ht="12.75" hidden="1" outlineLevel="1" x14ac:dyDescent="0.2">
      <c r="A10420" s="23" t="str">
        <f>HYPERLINK("https://www.spark-marketing.ru/Card/Person/34895", "УМВД РОССИИ ПО Г. АБАКАНУ")</f>
        <v>УМВД РОССИИ ПО Г. АБАКАНУ</v>
      </c>
      <c r="B10420" s="24" t="s">
        <v>5979</v>
      </c>
      <c r="C10420" s="25">
        <v>249918</v>
      </c>
      <c r="D10420" s="22" t="s">
        <v>14737</v>
      </c>
      <c r="E10420" s="22" t="s">
        <v>48</v>
      </c>
      <c r="F10420" s="23" t="str">
        <f>HYPERLINK("https://www.spark-marketing.ru/Card/Lot/72433617", "Оказание услуг по организации (приготовить из своих продуктов, своими силами и средствами) и  доставке готового питания, для задержанных лиц, находящихся в специальном помещении более 3-х часов для нужд УМВД России по г. Абакану")</f>
        <v>Оказание услуг по организации (приготовить из своих продуктов, своими силами и средствами) и  доставке готового питания, для задержанных лиц, находящихся в специальном помещении более 3-х часов для нужд УМВД России по г. Абакану</v>
      </c>
      <c r="G10420" s="22" t="s">
        <v>92</v>
      </c>
      <c r="H10420" s="22" t="s">
        <v>93</v>
      </c>
      <c r="I10420" s="26">
        <v>43672.871053240699</v>
      </c>
      <c r="J10420" s="23" t="str">
        <f>HYPERLINK("https://www.spark-marketing.ru/Card/Person/4948502", "Будаева Ольга Борисовна")</f>
        <v>Будаева Ольга Борисовна</v>
      </c>
      <c r="K10420" s="24" t="s">
        <v>5983</v>
      </c>
      <c r="L10420" s="22" t="s">
        <v>10</v>
      </c>
      <c r="M10420" s="25">
        <v>219927.84</v>
      </c>
      <c r="N10420" s="27">
        <v>0.12</v>
      </c>
    </row>
    <row r="10421" spans="1:14" x14ac:dyDescent="0.15">
      <c r="A10421" s="23" t="str">
        <f>HYPERLINK("https://www.spark-marketing.ru/Card/Person/34895", "УМВД РОССИИ ПО Г. АБАКАНУ")</f>
        <v>УМВД РОССИИ ПО Г. АБАКАНУ</v>
      </c>
      <c r="B10421" s="24" t="s">
        <v>5979</v>
      </c>
      <c r="C10421" s="25">
        <v>1442489.88</v>
      </c>
      <c r="D10421" s="22" t="s">
        <v>14738</v>
      </c>
      <c r="E10421" s="22" t="s">
        <v>48</v>
      </c>
      <c r="F10421" s="23" t="str">
        <f>HYPERLINK("https://www.spark-marketing.ru/Card/Lot/72433615", "Оказание  услуг по организации (приготовить из своих продуктов своими силами и средствами) и  доставке готового питания для лиц, содержащихся в Центре временного содержания иностранных граждан УМВД России по г. Абакану.")</f>
        <v>Оказание  услуг по организации (приготовить из своих продуктов своими силами и средствами) и  доставке готового питания для лиц, содержащихся в Центре временного содержания иностранных граждан УМВД России по г. Абакану.</v>
      </c>
      <c r="G10421" s="22" t="s">
        <v>92</v>
      </c>
      <c r="H10421" s="22" t="s">
        <v>93</v>
      </c>
      <c r="I10421" s="26">
        <v>43672.864780092597</v>
      </c>
      <c r="J10421" s="23" t="str">
        <f>HYPERLINK("https://www.spark-marketing.ru/Card/Person/4948502", "Будаева Ольга Борисовна")</f>
        <v>Будаева Ольга Борисовна</v>
      </c>
      <c r="K10421" s="24" t="s">
        <v>5983</v>
      </c>
      <c r="L10421" s="22" t="s">
        <v>10</v>
      </c>
      <c r="M10421" s="28" t="s">
        <v>51</v>
      </c>
      <c r="N10421" s="28" t="s">
        <v>51</v>
      </c>
    </row>
    <row r="10422" spans="1:14" x14ac:dyDescent="0.15">
      <c r="A10422" s="23" t="str">
        <f>HYPERLINK("https://www.spark-marketing.ru/Card/Person/16737", "ГБУЗ ""ДОМБАРОВСКАЯ РБ""")</f>
        <v>ГБУЗ "ДОМБАРОВСКАЯ РБ"</v>
      </c>
      <c r="B10422" s="24" t="s">
        <v>593</v>
      </c>
      <c r="C10422" s="25">
        <v>9232.7999999999993</v>
      </c>
      <c r="D10422" s="22" t="s">
        <v>14739</v>
      </c>
      <c r="E10422" s="22" t="s">
        <v>595</v>
      </c>
      <c r="F10422" s="23" t="str">
        <f>HYPERLINK("https://www.spark-marketing.ru/Card/Lot/72394253", "На поставку продуктов питания (томатная паста, плоды шиповника)")</f>
        <v>На поставку продуктов питания (томатная паста, плоды шиповника)</v>
      </c>
      <c r="G10422" s="22" t="s">
        <v>132</v>
      </c>
      <c r="H10422" s="22" t="s">
        <v>596</v>
      </c>
      <c r="I10422" s="26">
        <v>43672.810277777797</v>
      </c>
      <c r="J10422" s="23" t="str">
        <f>HYPERLINK("https://www.spark-marketing.ru/Card/Person/5972399", "ООО ""ТОРГОВЫЙ ДОМ САМАЛ""")</f>
        <v>ООО "ТОРГОВЫЙ ДОМ САМАЛ"</v>
      </c>
      <c r="K10422" s="24" t="s">
        <v>14740</v>
      </c>
      <c r="L10422" s="22" t="s">
        <v>10</v>
      </c>
      <c r="M10422" s="28" t="s">
        <v>51</v>
      </c>
      <c r="N10422" s="28" t="s">
        <v>51</v>
      </c>
    </row>
    <row r="10423" spans="1:14" x14ac:dyDescent="0.15">
      <c r="A10423" s="23" t="str">
        <f>HYPERLINK("https://www.spark-marketing.ru/Card/Person/89124", "МОБУ СОШ №12")</f>
        <v>МОБУ СОШ №12</v>
      </c>
      <c r="B10423" s="24" t="s">
        <v>14741</v>
      </c>
      <c r="C10423" s="25">
        <v>1075671.3999999999</v>
      </c>
      <c r="D10423" s="22" t="s">
        <v>14742</v>
      </c>
      <c r="E10423" s="22" t="s">
        <v>48</v>
      </c>
      <c r="F10423" s="23" t="str">
        <f>HYPERLINK("https://www.spark-marketing.ru/Card/Lot/72368251", "Оказание услуг по организации горячего питания обучающихся в МОБУ СОШ №12 ГО «город Якутск»")</f>
        <v>Оказание услуг по организации горячего питания обучающихся в МОБУ СОШ №12 ГО «город Якутск»</v>
      </c>
      <c r="G10423" s="22" t="s">
        <v>241</v>
      </c>
      <c r="H10423" s="22" t="s">
        <v>242</v>
      </c>
      <c r="I10423" s="26">
        <v>43672.725694444402</v>
      </c>
      <c r="J10423" s="28" t="s">
        <v>51</v>
      </c>
      <c r="K10423" s="28" t="s">
        <v>51</v>
      </c>
      <c r="L10423" s="28" t="s">
        <v>51</v>
      </c>
      <c r="M10423" s="28" t="s">
        <v>51</v>
      </c>
      <c r="N10423" s="28" t="s">
        <v>51</v>
      </c>
    </row>
    <row r="10424" spans="1:14" hidden="1" outlineLevel="1" x14ac:dyDescent="0.15">
      <c r="A10424" s="23" t="str">
        <f>HYPERLINK("https://www.spark-marketing.ru/Card/Person/89124", "МОБУ СОШ №12")</f>
        <v>МОБУ СОШ №12</v>
      </c>
      <c r="B10424" s="24" t="s">
        <v>14741</v>
      </c>
      <c r="C10424" s="25">
        <v>1075671.3999999999</v>
      </c>
      <c r="D10424" s="22" t="s">
        <v>14742</v>
      </c>
      <c r="E10424" s="22" t="s">
        <v>48</v>
      </c>
      <c r="F10424" s="23" t="str">
        <f>HYPERLINK("https://www.spark-marketing.ru/Card/Lot/72368251", "Оказание услуг по организации горячего питания обучающихся в МОБУ СОШ №12 ГО «город Якутск»")</f>
        <v>Оказание услуг по организации горячего питания обучающихся в МОБУ СОШ №12 ГО «город Якутск»</v>
      </c>
      <c r="G10424" s="22" t="s">
        <v>241</v>
      </c>
      <c r="H10424" s="22" t="s">
        <v>242</v>
      </c>
      <c r="I10424" s="26">
        <v>43672.725694444402</v>
      </c>
      <c r="J10424" s="23" t="str">
        <f>HYPERLINK("https://www.spark-marketing.ru/Card/Person/816714", "МАОУ СПЛ")</f>
        <v>МАОУ СПЛ</v>
      </c>
      <c r="K10424" s="24" t="s">
        <v>14743</v>
      </c>
      <c r="L10424" s="28" t="s">
        <v>51</v>
      </c>
      <c r="M10424" s="28" t="s">
        <v>51</v>
      </c>
      <c r="N10424" s="28" t="s">
        <v>51</v>
      </c>
    </row>
    <row r="10425" spans="1:14" hidden="1" outlineLevel="1" x14ac:dyDescent="0.2">
      <c r="A10425" s="23" t="str">
        <f>HYPERLINK("https://www.spark-marketing.ru/Card/Person/89124", "МОБУ СОШ №12")</f>
        <v>МОБУ СОШ №12</v>
      </c>
      <c r="B10425" s="24" t="s">
        <v>14741</v>
      </c>
      <c r="C10425" s="25">
        <v>1075671.3999999999</v>
      </c>
      <c r="D10425" s="22" t="s">
        <v>14742</v>
      </c>
      <c r="E10425" s="22" t="s">
        <v>48</v>
      </c>
      <c r="F10425" s="23" t="str">
        <f>HYPERLINK("https://www.spark-marketing.ru/Card/Lot/72368251", "Оказание услуг по организации горячего питания обучающихся в МОБУ СОШ №12 ГО «город Якутск»")</f>
        <v>Оказание услуг по организации горячего питания обучающихся в МОБУ СОШ №12 ГО «город Якутск»</v>
      </c>
      <c r="G10425" s="22" t="s">
        <v>241</v>
      </c>
      <c r="H10425" s="22" t="s">
        <v>242</v>
      </c>
      <c r="I10425" s="26">
        <v>43672.725694444402</v>
      </c>
      <c r="J10425" s="23" t="str">
        <f>HYPERLINK("https://www.spark-marketing.ru/Card/Person/456440", "ООО ""ЯНИС""")</f>
        <v>ООО "ЯНИС"</v>
      </c>
      <c r="K10425" s="24" t="s">
        <v>7902</v>
      </c>
      <c r="L10425" s="28" t="s">
        <v>51</v>
      </c>
      <c r="M10425" s="25">
        <v>892808</v>
      </c>
      <c r="N10425" s="27">
        <v>0.1699993139168709</v>
      </c>
    </row>
    <row r="10426" spans="1:14" x14ac:dyDescent="0.15">
      <c r="A10426" s="23" t="str">
        <f>HYPERLINK("https://www.spark-marketing.ru/Card/Person/242433", "ГБУСО КО ""ОСОБЫЙ РЕБЕНОК""")</f>
        <v>ГБУСО КО "ОСОБЫЙ РЕБЕНОК"</v>
      </c>
      <c r="B10426" s="24" t="s">
        <v>14744</v>
      </c>
      <c r="C10426" s="25">
        <v>4180</v>
      </c>
      <c r="D10426" s="22" t="s">
        <v>14745</v>
      </c>
      <c r="E10426" s="22" t="s">
        <v>48</v>
      </c>
      <c r="F10426" s="23" t="str">
        <f>HYPERLINK("https://www.spark-marketing.ru/Card/Lot/72389020", "оказание услуг по организации питания")</f>
        <v>оказание услуг по организации питания</v>
      </c>
      <c r="G10426" s="22" t="s">
        <v>400</v>
      </c>
      <c r="H10426" s="22" t="s">
        <v>401</v>
      </c>
      <c r="I10426" s="26">
        <v>43672.747916666704</v>
      </c>
      <c r="J10426" s="28" t="s">
        <v>51</v>
      </c>
      <c r="K10426" s="28" t="s">
        <v>51</v>
      </c>
      <c r="L10426" s="28" t="s">
        <v>51</v>
      </c>
      <c r="M10426" s="28" t="s">
        <v>51</v>
      </c>
      <c r="N10426" s="28" t="s">
        <v>51</v>
      </c>
    </row>
    <row r="10427" spans="1:14" x14ac:dyDescent="0.15">
      <c r="A10427" s="23" t="str">
        <f>HYPERLINK("https://www.spark-marketing.ru/Card/Person/893941", "МОКУ С(К)ОШ № 4")</f>
        <v>МОКУ С(К)ОШ № 4</v>
      </c>
      <c r="B10427" s="24" t="s">
        <v>14746</v>
      </c>
      <c r="C10427" s="25">
        <v>996030</v>
      </c>
      <c r="D10427" s="22" t="s">
        <v>14747</v>
      </c>
      <c r="E10427" s="22" t="s">
        <v>48</v>
      </c>
      <c r="F10427" s="23" t="str">
        <f>HYPERLINK("https://www.spark-marketing.ru/Card/Lot/72368247", "Оказание услуг по организации горячего питания")</f>
        <v>Оказание услуг по организации горячего питания</v>
      </c>
      <c r="G10427" s="22" t="s">
        <v>241</v>
      </c>
      <c r="H10427" s="22" t="s">
        <v>242</v>
      </c>
      <c r="I10427" s="26">
        <v>43672.738194444399</v>
      </c>
      <c r="J10427" s="28" t="s">
        <v>51</v>
      </c>
      <c r="K10427" s="28" t="s">
        <v>51</v>
      </c>
      <c r="L10427" s="28" t="s">
        <v>51</v>
      </c>
      <c r="M10427" s="28" t="s">
        <v>51</v>
      </c>
      <c r="N10427" s="28" t="s">
        <v>51</v>
      </c>
    </row>
    <row r="10428" spans="1:14" hidden="1" outlineLevel="1" x14ac:dyDescent="0.15">
      <c r="A10428" s="23" t="str">
        <f>HYPERLINK("https://www.spark-marketing.ru/Card/Person/893941", "МОКУ С(К)ОШ № 4")</f>
        <v>МОКУ С(К)ОШ № 4</v>
      </c>
      <c r="B10428" s="24" t="s">
        <v>14746</v>
      </c>
      <c r="C10428" s="25">
        <v>996030</v>
      </c>
      <c r="D10428" s="22" t="s">
        <v>14747</v>
      </c>
      <c r="E10428" s="22" t="s">
        <v>48</v>
      </c>
      <c r="F10428" s="23" t="str">
        <f>HYPERLINK("https://www.spark-marketing.ru/Card/Lot/72368247", "Оказание услуг по организации горячего питания")</f>
        <v>Оказание услуг по организации горячего питания</v>
      </c>
      <c r="G10428" s="22" t="s">
        <v>241</v>
      </c>
      <c r="H10428" s="22" t="s">
        <v>242</v>
      </c>
      <c r="I10428" s="26">
        <v>43672.738194444399</v>
      </c>
      <c r="J10428" s="23" t="str">
        <f>HYPERLINK("https://www.spark-marketing.ru/Card/Person/816714", "МАОУ СПЛ")</f>
        <v>МАОУ СПЛ</v>
      </c>
      <c r="K10428" s="24" t="s">
        <v>14743</v>
      </c>
      <c r="L10428" s="28" t="s">
        <v>51</v>
      </c>
      <c r="M10428" s="28" t="s">
        <v>51</v>
      </c>
      <c r="N10428" s="28" t="s">
        <v>51</v>
      </c>
    </row>
    <row r="10429" spans="1:14" ht="12.75" hidden="1" outlineLevel="1" x14ac:dyDescent="0.2">
      <c r="A10429" s="23" t="str">
        <f>HYPERLINK("https://www.spark-marketing.ru/Card/Person/893941", "МОКУ С(К)ОШ № 4")</f>
        <v>МОКУ С(К)ОШ № 4</v>
      </c>
      <c r="B10429" s="24" t="s">
        <v>14746</v>
      </c>
      <c r="C10429" s="25">
        <v>996030</v>
      </c>
      <c r="D10429" s="22" t="s">
        <v>14747</v>
      </c>
      <c r="E10429" s="22" t="s">
        <v>48</v>
      </c>
      <c r="F10429" s="23" t="str">
        <f>HYPERLINK("https://www.spark-marketing.ru/Card/Lot/72368247", "Оказание услуг по организации горячего питания")</f>
        <v>Оказание услуг по организации горячего питания</v>
      </c>
      <c r="G10429" s="22" t="s">
        <v>241</v>
      </c>
      <c r="H10429" s="22" t="s">
        <v>242</v>
      </c>
      <c r="I10429" s="26">
        <v>43672.738194444399</v>
      </c>
      <c r="J10429" s="23" t="str">
        <f>HYPERLINK("https://www.spark-marketing.ru/Card/Person/458943", "ООО ""РОСА-ОБЩЕПИТ""")</f>
        <v>ООО "РОСА-ОБЩЕПИТ"</v>
      </c>
      <c r="K10429" s="24" t="s">
        <v>14748</v>
      </c>
      <c r="L10429" s="22" t="s">
        <v>10</v>
      </c>
      <c r="M10429" s="25">
        <v>996030</v>
      </c>
      <c r="N10429" s="27">
        <v>0</v>
      </c>
    </row>
    <row r="10430" spans="1:14" hidden="1" outlineLevel="1" x14ac:dyDescent="0.2">
      <c r="A10430" s="23" t="str">
        <f>HYPERLINK("https://www.spark-marketing.ru/Card/Person/893941", "МОКУ С(К)ОШ № 4")</f>
        <v>МОКУ С(К)ОШ № 4</v>
      </c>
      <c r="B10430" s="24" t="s">
        <v>14746</v>
      </c>
      <c r="C10430" s="25">
        <v>996030</v>
      </c>
      <c r="D10430" s="22" t="s">
        <v>14747</v>
      </c>
      <c r="E10430" s="22" t="s">
        <v>48</v>
      </c>
      <c r="F10430" s="23" t="str">
        <f>HYPERLINK("https://www.spark-marketing.ru/Card/Lot/72368247", "Оказание услуг по организации горячего питания")</f>
        <v>Оказание услуг по организации горячего питания</v>
      </c>
      <c r="G10430" s="22" t="s">
        <v>241</v>
      </c>
      <c r="H10430" s="22" t="s">
        <v>242</v>
      </c>
      <c r="I10430" s="26">
        <v>43672.738194444399</v>
      </c>
      <c r="J10430" s="23" t="str">
        <f>HYPERLINK("https://www.spark-marketing.ru/Card/Person/456440", "ООО ""ЯНИС""")</f>
        <v>ООО "ЯНИС"</v>
      </c>
      <c r="K10430" s="24" t="s">
        <v>7902</v>
      </c>
      <c r="L10430" s="28" t="s">
        <v>51</v>
      </c>
      <c r="M10430" s="25">
        <v>798000</v>
      </c>
      <c r="N10430" s="27">
        <v>0.19881931267130509</v>
      </c>
    </row>
    <row r="10431" spans="1:14" x14ac:dyDescent="0.2">
      <c r="A10431" s="23" t="str">
        <f>HYPERLINK("https://www.spark-marketing.ru/Card/Person/1031259", "МБОУ ""НАЧАЛЬНАЯ ШКОЛА - ДЕТСКИЙ САД № 44""")</f>
        <v>МБОУ "НАЧАЛЬНАЯ ШКОЛА - ДЕТСКИЙ САД № 44"</v>
      </c>
      <c r="B10431" s="24" t="s">
        <v>14749</v>
      </c>
      <c r="C10431" s="25">
        <v>1314600</v>
      </c>
      <c r="D10431" s="22" t="s">
        <v>14750</v>
      </c>
      <c r="E10431" s="22" t="s">
        <v>48</v>
      </c>
      <c r="F10431" s="23" t="str">
        <f>HYPERLINK("https://www.spark-marketing.ru/Card/Lot/72393091", "Оказание услуг по организации питания учащихся общеобразовательного учреждения")</f>
        <v>Оказание услуг по организации питания учащихся общеобразовательного учреждения</v>
      </c>
      <c r="G10431" s="22" t="s">
        <v>696</v>
      </c>
      <c r="H10431" s="22" t="s">
        <v>1163</v>
      </c>
      <c r="I10431" s="26">
        <v>43672.746527777803</v>
      </c>
      <c r="J10431" s="23" t="str">
        <f>HYPERLINK("https://www.spark-marketing.ru/Card/Person/263606", "ООО ""КОМБИНАТ ПИТАНИЯ-ЖБК-1""")</f>
        <v>ООО "КОМБИНАТ ПИТАНИЯ-ЖБК-1"</v>
      </c>
      <c r="K10431" s="24" t="s">
        <v>14751</v>
      </c>
      <c r="L10431" s="28" t="s">
        <v>51</v>
      </c>
      <c r="M10431" s="25">
        <v>1314600</v>
      </c>
      <c r="N10431" s="27">
        <v>0</v>
      </c>
    </row>
    <row r="10432" spans="1:14" x14ac:dyDescent="0.15">
      <c r="A10432" s="23" t="str">
        <f>HYPERLINK("https://www.spark-marketing.ru/Card/Person/153918", "МБУ ДО СДЮСШ № 3 ИМЕНИ В.П. КЕРЕМЯСОВА""")</f>
        <v>МБУ ДО СДЮСШ № 3 ИМЕНИ В.П. КЕРЕМЯСОВА"</v>
      </c>
      <c r="B10432" s="24" t="s">
        <v>14752</v>
      </c>
      <c r="C10432" s="25">
        <v>668161</v>
      </c>
      <c r="D10432" s="22" t="s">
        <v>14753</v>
      </c>
      <c r="E10432" s="22" t="s">
        <v>48</v>
      </c>
      <c r="F10432" s="23" t="str">
        <f>HYPERLINK("https://www.spark-marketing.ru/Card/Lot/72367353", "Оказание услуг по организации горячего питания")</f>
        <v>Оказание услуг по организации горячего питания</v>
      </c>
      <c r="G10432" s="22" t="s">
        <v>241</v>
      </c>
      <c r="H10432" s="22" t="s">
        <v>242</v>
      </c>
      <c r="I10432" s="26">
        <v>43672.712500000001</v>
      </c>
      <c r="J10432" s="28" t="s">
        <v>51</v>
      </c>
      <c r="K10432" s="28" t="s">
        <v>51</v>
      </c>
      <c r="L10432" s="28" t="s">
        <v>51</v>
      </c>
      <c r="M10432" s="28" t="s">
        <v>51</v>
      </c>
      <c r="N10432" s="28" t="s">
        <v>51</v>
      </c>
    </row>
    <row r="10433" spans="1:14" hidden="1" outlineLevel="1" x14ac:dyDescent="0.2">
      <c r="A10433" s="23" t="str">
        <f>HYPERLINK("https://www.spark-marketing.ru/Card/Person/153918", "МБУ ДО СДЮСШ № 3 ИМЕНИ В.П. КЕРЕМЯСОВА""")</f>
        <v>МБУ ДО СДЮСШ № 3 ИМЕНИ В.П. КЕРЕМЯСОВА"</v>
      </c>
      <c r="B10433" s="24" t="s">
        <v>14752</v>
      </c>
      <c r="C10433" s="25">
        <v>668161</v>
      </c>
      <c r="D10433" s="22" t="s">
        <v>14753</v>
      </c>
      <c r="E10433" s="22" t="s">
        <v>48</v>
      </c>
      <c r="F10433" s="23" t="str">
        <f>HYPERLINK("https://www.spark-marketing.ru/Card/Lot/72367353", "Оказание услуг по организации горячего питания")</f>
        <v>Оказание услуг по организации горячего питания</v>
      </c>
      <c r="G10433" s="22" t="s">
        <v>241</v>
      </c>
      <c r="H10433" s="22" t="s">
        <v>242</v>
      </c>
      <c r="I10433" s="26">
        <v>43672.712500000001</v>
      </c>
      <c r="J10433" s="23" t="str">
        <f>HYPERLINK("https://www.spark-marketing.ru/Card/Person/6147602", "ООО ""КП ""СЭРГЭЛЭЭХ""""")</f>
        <v>ООО "КП "СЭРГЭЛЭЭХ""</v>
      </c>
      <c r="K10433" s="24" t="s">
        <v>14754</v>
      </c>
      <c r="L10433" s="28" t="s">
        <v>51</v>
      </c>
      <c r="M10433" s="25">
        <v>561600</v>
      </c>
      <c r="N10433" s="27">
        <v>0.159484016576843</v>
      </c>
    </row>
    <row r="10434" spans="1:14" ht="12.75" hidden="1" outlineLevel="1" x14ac:dyDescent="0.2">
      <c r="A10434" s="23" t="str">
        <f>HYPERLINK("https://www.spark-marketing.ru/Card/Person/153918", "МБУ ДО СДЮСШ № 3 ИМЕНИ В.П. КЕРЕМЯСОВА""")</f>
        <v>МБУ ДО СДЮСШ № 3 ИМЕНИ В.П. КЕРЕМЯСОВА"</v>
      </c>
      <c r="B10434" s="24" t="s">
        <v>14752</v>
      </c>
      <c r="C10434" s="25">
        <v>668161</v>
      </c>
      <c r="D10434" s="22" t="s">
        <v>14753</v>
      </c>
      <c r="E10434" s="22" t="s">
        <v>48</v>
      </c>
      <c r="F10434" s="23" t="str">
        <f>HYPERLINK("https://www.spark-marketing.ru/Card/Lot/72367353", "Оказание услуг по организации горячего питания")</f>
        <v>Оказание услуг по организации горячего питания</v>
      </c>
      <c r="G10434" s="22" t="s">
        <v>241</v>
      </c>
      <c r="H10434" s="22" t="s">
        <v>242</v>
      </c>
      <c r="I10434" s="26">
        <v>43672.712500000001</v>
      </c>
      <c r="J10434" s="23" t="str">
        <f>HYPERLINK("https://www.spark-marketing.ru/Card/Person/63464", "Цхай Надежда Моисеевна")</f>
        <v>Цхай Надежда Моисеевна</v>
      </c>
      <c r="K10434" s="24" t="s">
        <v>7903</v>
      </c>
      <c r="L10434" s="22" t="s">
        <v>10</v>
      </c>
      <c r="M10434" s="25">
        <v>567999</v>
      </c>
      <c r="N10434" s="27">
        <v>0.14990698349649262</v>
      </c>
    </row>
    <row r="10435" spans="1:14" x14ac:dyDescent="0.15">
      <c r="A10435" s="23" t="str">
        <f>HYPERLINK("https://www.spark-marketing.ru/Card/Person/242433", "ГБУСО КО ""ОСОБЫЙ РЕБЕНОК""")</f>
        <v>ГБУСО КО "ОСОБЫЙ РЕБЕНОК"</v>
      </c>
      <c r="B10435" s="24" t="s">
        <v>14744</v>
      </c>
      <c r="C10435" s="25">
        <v>38720</v>
      </c>
      <c r="D10435" s="22" t="s">
        <v>14755</v>
      </c>
      <c r="E10435" s="22" t="s">
        <v>48</v>
      </c>
      <c r="F10435" s="23" t="str">
        <f>HYPERLINK("https://www.spark-marketing.ru/Card/Lot/72388977", "оказание услуг по организации питания")</f>
        <v>оказание услуг по организации питания</v>
      </c>
      <c r="G10435" s="22" t="s">
        <v>400</v>
      </c>
      <c r="H10435" s="22" t="s">
        <v>401</v>
      </c>
      <c r="I10435" s="26">
        <v>43672.745138888902</v>
      </c>
      <c r="J10435" s="28" t="s">
        <v>51</v>
      </c>
      <c r="K10435" s="28" t="s">
        <v>51</v>
      </c>
      <c r="L10435" s="28" t="s">
        <v>51</v>
      </c>
      <c r="M10435" s="28" t="s">
        <v>51</v>
      </c>
      <c r="N10435" s="28" t="s">
        <v>51</v>
      </c>
    </row>
    <row r="10436" spans="1:14" x14ac:dyDescent="0.2">
      <c r="A10436" s="23" t="str">
        <f>HYPERLINK("https://www.spark-marketing.ru/Card/Person/1057787", "МБОУ СОШ № 11")</f>
        <v>МБОУ СОШ № 11</v>
      </c>
      <c r="B10436" s="24" t="s">
        <v>14756</v>
      </c>
      <c r="C10436" s="25">
        <v>1675200</v>
      </c>
      <c r="D10436" s="22" t="s">
        <v>14757</v>
      </c>
      <c r="E10436" s="22" t="s">
        <v>48</v>
      </c>
      <c r="F10436" s="23" t="str">
        <f>HYPERLINK("https://www.spark-marketing.ru/Card/Lot/72388086", "Оказание услуг столовых (организация питания учащихся общеобразовательного учреждения)")</f>
        <v>Оказание услуг столовых (организация питания учащихся общеобразовательного учреждения)</v>
      </c>
      <c r="G10436" s="22" t="s">
        <v>696</v>
      </c>
      <c r="H10436" s="22" t="s">
        <v>1163</v>
      </c>
      <c r="I10436" s="26">
        <v>43672.749305555597</v>
      </c>
      <c r="J10436" s="23" t="str">
        <f>HYPERLINK("https://www.spark-marketing.ru/Card/Person/263606", "ООО ""КОМБИНАТ ПИТАНИЯ-ЖБК-1""")</f>
        <v>ООО "КОМБИНАТ ПИТАНИЯ-ЖБК-1"</v>
      </c>
      <c r="K10436" s="24" t="s">
        <v>14751</v>
      </c>
      <c r="L10436" s="28" t="s">
        <v>51</v>
      </c>
      <c r="M10436" s="25">
        <v>1675200</v>
      </c>
      <c r="N10436" s="27">
        <v>0</v>
      </c>
    </row>
    <row r="10437" spans="1:14" x14ac:dyDescent="0.15">
      <c r="A10437" s="23" t="str">
        <f>HYPERLINK("https://www.spark-marketing.ru/Card/Person/21172", "ГБУ СК ""ЦМП""")</f>
        <v>ГБУ СК "ЦМП"</v>
      </c>
      <c r="B10437" s="24" t="s">
        <v>1933</v>
      </c>
      <c r="C10437" s="25">
        <v>156477</v>
      </c>
      <c r="D10437" s="22" t="s">
        <v>14758</v>
      </c>
      <c r="E10437" s="22" t="s">
        <v>51</v>
      </c>
      <c r="F10437" s="23" t="str">
        <f>HYPERLINK("https://www.spark-marketing.ru/Card/Lot/72393661", "Оказание услуг по организации питания участников и организаторов школы актива лидеров детских и молодежных общественных объединений Ставропольского края «Старт Машук» для обеспечения государственных нужд Ставропольского края")</f>
        <v>Оказание услуг по организации питания участников и организаторов школы актива лидеров детских и молодежных общественных объединений Ставропольского края «Старт Машук» для обеспечения государственных нужд Ставропольского края</v>
      </c>
      <c r="G10437" s="22" t="s">
        <v>87</v>
      </c>
      <c r="H10437" s="22" t="s">
        <v>686</v>
      </c>
      <c r="I10437" s="26">
        <v>43672.720300925903</v>
      </c>
      <c r="J10437" s="23" t="str">
        <f>HYPERLINK("https://www.spark-marketing.ru/Card/Person/5905019", "Фурсова Мария Алексеевна")</f>
        <v>Фурсова Мария Алексеевна</v>
      </c>
      <c r="K10437" s="24" t="s">
        <v>6312</v>
      </c>
      <c r="L10437" s="22" t="s">
        <v>10</v>
      </c>
      <c r="M10437" s="28" t="s">
        <v>51</v>
      </c>
      <c r="N10437" s="28" t="s">
        <v>51</v>
      </c>
    </row>
    <row r="10438" spans="1:14" x14ac:dyDescent="0.15">
      <c r="A10438" s="23" t="str">
        <f>HYPERLINK("https://www.spark-marketing.ru/Card/Person/4347191", "АДМИНИСТРАЦИЯ ВОЛГОДОНСКОГО РАЙОНА")</f>
        <v>АДМИНИСТРАЦИЯ ВОЛГОДОНСКОГО РАЙОНА</v>
      </c>
      <c r="B10438" s="24" t="s">
        <v>14759</v>
      </c>
      <c r="C10438" s="28" t="s">
        <v>51</v>
      </c>
      <c r="D10438" s="22" t="s">
        <v>14760</v>
      </c>
      <c r="E10438" s="22" t="s">
        <v>14761</v>
      </c>
      <c r="F10438" s="23" t="str">
        <f>HYPERLINK("https://www.spark-marketing.ru/Card/Lot/72393501", "предварительный   отбор участников закупки в целях оказания гуманитарной помощи либо ликвидации последствий чрезвычайных ситуаций  природного или техногенного характера для включения в перечень поставщиков, подрядчиков, исполнителей и последующего ос...")</f>
        <v>предварительный   отбор участников закупки в целях оказания гуманитарной помощи либо ликвидации последствий чрезвычайных ситуаций  природного или техногенного характера для включения в перечень поставщиков, подрядчиков, исполнителей и последующего ос...</v>
      </c>
      <c r="G10438" s="22" t="s">
        <v>267</v>
      </c>
      <c r="H10438" s="22" t="s">
        <v>14762</v>
      </c>
      <c r="I10438" s="26">
        <v>43672.707442129598</v>
      </c>
      <c r="J10438" s="28" t="s">
        <v>51</v>
      </c>
      <c r="K10438" s="28" t="s">
        <v>51</v>
      </c>
      <c r="L10438" s="28" t="s">
        <v>51</v>
      </c>
      <c r="M10438" s="28" t="s">
        <v>51</v>
      </c>
      <c r="N10438" s="28" t="s">
        <v>51</v>
      </c>
    </row>
    <row r="10439" spans="1:14" hidden="1" outlineLevel="1" x14ac:dyDescent="0.15">
      <c r="A10439" s="23" t="str">
        <f>HYPERLINK("https://www.spark-marketing.ru/Card/Person/4347191", "АДМИНИСТРАЦИЯ ВОЛГОДОНСКОГО РАЙОНА")</f>
        <v>АДМИНИСТРАЦИЯ ВОЛГОДОНСКОГО РАЙОНА</v>
      </c>
      <c r="B10439" s="24" t="s">
        <v>14759</v>
      </c>
      <c r="C10439" s="28" t="s">
        <v>51</v>
      </c>
      <c r="D10439" s="22" t="s">
        <v>14760</v>
      </c>
      <c r="E10439" s="22" t="s">
        <v>14761</v>
      </c>
      <c r="F10439" s="23" t="str">
        <f>HYPERLINK("https://www.spark-marketing.ru/Card/Lot/72393501", "предварительный   отбор участников закупки в целях оказания гуманитарной помощи либо ликвидации последствий чрезвычайных ситуаций  природного или техногенного характера для включения в перечень поставщиков, подрядчиков, исполнителей и последующего ос...")</f>
        <v>предварительный   отбор участников закупки в целях оказания гуманитарной помощи либо ликвидации последствий чрезвычайных ситуаций  природного или техногенного характера для включения в перечень поставщиков, подрядчиков, исполнителей и последующего ос...</v>
      </c>
      <c r="G10439" s="22" t="s">
        <v>267</v>
      </c>
      <c r="H10439" s="22" t="s">
        <v>14762</v>
      </c>
      <c r="I10439" s="26">
        <v>43672.707442129598</v>
      </c>
      <c r="J10439" s="23" t="str">
        <f>HYPERLINK("https://www.spark-marketing.ru/Card/Person/4645710", "БОЛЬШОВСКОЕ ПО")</f>
        <v>БОЛЬШОВСКОЕ ПО</v>
      </c>
      <c r="K10439" s="24" t="s">
        <v>14763</v>
      </c>
      <c r="L10439" s="28" t="s">
        <v>51</v>
      </c>
      <c r="M10439" s="28" t="s">
        <v>51</v>
      </c>
      <c r="N10439" s="28" t="s">
        <v>51</v>
      </c>
    </row>
    <row r="10440" spans="1:14" hidden="1" outlineLevel="1" x14ac:dyDescent="0.15">
      <c r="A10440" s="23" t="str">
        <f>HYPERLINK("https://www.spark-marketing.ru/Card/Person/4347191", "АДМИНИСТРАЦИЯ ВОЛГОДОНСКОГО РАЙОНА")</f>
        <v>АДМИНИСТРАЦИЯ ВОЛГОДОНСКОГО РАЙОНА</v>
      </c>
      <c r="B10440" s="24" t="s">
        <v>14759</v>
      </c>
      <c r="C10440" s="28" t="s">
        <v>51</v>
      </c>
      <c r="D10440" s="22" t="s">
        <v>14760</v>
      </c>
      <c r="E10440" s="22" t="s">
        <v>14761</v>
      </c>
      <c r="F10440" s="23" t="str">
        <f>HYPERLINK("https://www.spark-marketing.ru/Card/Lot/72393501", "предварительный   отбор участников закупки в целях оказания гуманитарной помощи либо ликвидации последствий чрезвычайных ситуаций  природного или техногенного характера для включения в перечень поставщиков, подрядчиков, исполнителей и последующего ос...")</f>
        <v>предварительный   отбор участников закупки в целях оказания гуманитарной помощи либо ликвидации последствий чрезвычайных ситуаций  природного или техногенного характера для включения в перечень поставщиков, подрядчиков, исполнителей и последующего ос...</v>
      </c>
      <c r="G10440" s="22" t="s">
        <v>267</v>
      </c>
      <c r="H10440" s="22" t="s">
        <v>14762</v>
      </c>
      <c r="I10440" s="26">
        <v>43672.707442129598</v>
      </c>
      <c r="J10440" s="23" t="str">
        <f>HYPERLINK("https://www.spark-marketing.ru/Card/Person/1443121", "ООО ""АЛЬФА""")</f>
        <v>ООО "АЛЬФА"</v>
      </c>
      <c r="K10440" s="24" t="s">
        <v>14764</v>
      </c>
      <c r="L10440" s="28" t="s">
        <v>51</v>
      </c>
      <c r="M10440" s="28" t="s">
        <v>51</v>
      </c>
      <c r="N10440" s="28" t="s">
        <v>51</v>
      </c>
    </row>
    <row r="10441" spans="1:14" x14ac:dyDescent="0.15">
      <c r="A10441" s="23" t="str">
        <f>HYPERLINK("https://www.spark-marketing.ru/Card/Person/1023969", "МБОУ ""СШ № 1""")</f>
        <v>МБОУ "СШ № 1"</v>
      </c>
      <c r="B10441" s="24" t="s">
        <v>14765</v>
      </c>
      <c r="C10441" s="25">
        <v>612180</v>
      </c>
      <c r="D10441" s="22" t="s">
        <v>14766</v>
      </c>
      <c r="E10441" s="22" t="s">
        <v>48</v>
      </c>
      <c r="F10441" s="23" t="str">
        <f>HYPERLINK("https://www.spark-marketing.ru/Card/Lot/72387132", "Оказание услуги по организации горячего питания и обеспечению горячим питанием учащихся МБОУ ""СШ №1"" г. Смоленска")</f>
        <v>Оказание услуги по организации горячего питания и обеспечению горячим питанием учащихся МБОУ "СШ №1" г. Смоленска</v>
      </c>
      <c r="G10441" s="22" t="s">
        <v>460</v>
      </c>
      <c r="H10441" s="22" t="s">
        <v>461</v>
      </c>
      <c r="I10441" s="26">
        <v>43672.694398148102</v>
      </c>
      <c r="J10441" s="28" t="s">
        <v>51</v>
      </c>
      <c r="K10441" s="28" t="s">
        <v>51</v>
      </c>
      <c r="L10441" s="28" t="s">
        <v>51</v>
      </c>
      <c r="M10441" s="28" t="s">
        <v>51</v>
      </c>
      <c r="N10441" s="28" t="s">
        <v>51</v>
      </c>
    </row>
    <row r="10442" spans="1:14" x14ac:dyDescent="0.2">
      <c r="A10442" s="23" t="str">
        <f>HYPERLINK("https://www.spark-marketing.ru/Card/Person/1040831", "ОБОУ ""СУДЖАНСКАЯ ШКОЛА-ИНТЕРНАТ""")</f>
        <v>ОБОУ "СУДЖАНСКАЯ ШКОЛА-ИНТЕРНАТ"</v>
      </c>
      <c r="B10442" s="24" t="s">
        <v>14767</v>
      </c>
      <c r="C10442" s="25">
        <v>2688545.28</v>
      </c>
      <c r="D10442" s="22" t="s">
        <v>14768</v>
      </c>
      <c r="E10442" s="22" t="s">
        <v>96</v>
      </c>
      <c r="F10442" s="23" t="str">
        <f>HYPERLINK("https://www.spark-marketing.ru/Card/Lot/72387456", "Оказание услуги по организации питания воспитанников")</f>
        <v>Оказание услуги по организации питания воспитанников</v>
      </c>
      <c r="G10442" s="22" t="s">
        <v>1111</v>
      </c>
      <c r="H10442" s="22" t="s">
        <v>1111</v>
      </c>
      <c r="I10442" s="26">
        <v>43672.695833333302</v>
      </c>
      <c r="J10442" s="23" t="str">
        <f>HYPERLINK("https://www.spark-marketing.ru/Card/Person/83981", "Дюкарева Людмила Николаевна")</f>
        <v>Дюкарева Людмила Николаевна</v>
      </c>
      <c r="K10442" s="24" t="s">
        <v>14769</v>
      </c>
      <c r="L10442" s="28" t="s">
        <v>51</v>
      </c>
      <c r="M10442" s="25">
        <v>2626577.7599999998</v>
      </c>
      <c r="N10442" s="27">
        <v>2.3048717260212927E-2</v>
      </c>
    </row>
    <row r="10443" spans="1:14" x14ac:dyDescent="0.15">
      <c r="A10443" s="23" t="str">
        <f>HYPERLINK("https://www.spark-marketing.ru/Card/Person/1022293", "МО МВД РОССИИ ""СЕБЕЖСКИЙ""")</f>
        <v>МО МВД РОССИИ "СЕБЕЖСКИЙ"</v>
      </c>
      <c r="B10443" s="24" t="s">
        <v>14770</v>
      </c>
      <c r="C10443" s="25">
        <v>460000</v>
      </c>
      <c r="D10443" s="22" t="s">
        <v>14771</v>
      </c>
      <c r="E10443" s="22" t="s">
        <v>48</v>
      </c>
      <c r="F10443" s="23" t="str">
        <f>HYPERLINK("https://www.spark-marketing.ru/Card/Lot/72380299", "Услуги по организации питания в ИВС")</f>
        <v>Услуги по организации питания в ИВС</v>
      </c>
      <c r="G10443" s="22" t="s">
        <v>415</v>
      </c>
      <c r="H10443" s="22" t="s">
        <v>415</v>
      </c>
      <c r="I10443" s="26">
        <v>43672.676504629599</v>
      </c>
      <c r="J10443" s="23" t="str">
        <f>HYPERLINK("https://www.spark-marketing.ru/Card/Person/793645", "СЕБЕЖСКОЕ РАЙПО")</f>
        <v>СЕБЕЖСКОЕ РАЙПО</v>
      </c>
      <c r="K10443" s="24" t="s">
        <v>14772</v>
      </c>
      <c r="L10443" s="22" t="s">
        <v>10</v>
      </c>
      <c r="M10443" s="28" t="s">
        <v>51</v>
      </c>
      <c r="N10443" s="28" t="s">
        <v>51</v>
      </c>
    </row>
    <row r="10444" spans="1:14" x14ac:dyDescent="0.2">
      <c r="A10444" s="23" t="str">
        <f>HYPERLINK("https://www.spark-marketing.ru/Card/Person/949593", "МБОУ ""СОШ №8""")</f>
        <v>МБОУ "СОШ №8"</v>
      </c>
      <c r="B10444" s="24" t="s">
        <v>14773</v>
      </c>
      <c r="C10444" s="25">
        <v>554705</v>
      </c>
      <c r="D10444" s="22" t="s">
        <v>14774</v>
      </c>
      <c r="E10444" s="22" t="s">
        <v>48</v>
      </c>
      <c r="F10444" s="23" t="str">
        <f>HYPERLINK("https://www.spark-marketing.ru/Card/Lot/72371125", "Оказание услуг по организации горячего питания")</f>
        <v>Оказание услуг по организации горячего питания</v>
      </c>
      <c r="G10444" s="22" t="s">
        <v>281</v>
      </c>
      <c r="H10444" s="22" t="s">
        <v>281</v>
      </c>
      <c r="I10444" s="26">
        <v>43672.676388888904</v>
      </c>
      <c r="J10444" s="23" t="str">
        <f>HYPERLINK("https://www.spark-marketing.ru/Card/Person/474785", "Кульбанова Людмила Николаевна")</f>
        <v>Кульбанова Людмила Николаевна</v>
      </c>
      <c r="K10444" s="24" t="s">
        <v>14775</v>
      </c>
      <c r="L10444" s="28" t="s">
        <v>51</v>
      </c>
      <c r="M10444" s="25">
        <v>543610.9</v>
      </c>
      <c r="N10444" s="27">
        <v>0.02</v>
      </c>
    </row>
    <row r="10445" spans="1:14" x14ac:dyDescent="0.15">
      <c r="A10445" s="23" t="str">
        <f>HYPERLINK("https://www.spark-marketing.ru/Card/Person/1022293", "МО МВД РОССИИ ""СЕБЕЖСКИЙ""")</f>
        <v>МО МВД РОССИИ "СЕБЕЖСКИЙ"</v>
      </c>
      <c r="B10445" s="24" t="s">
        <v>14770</v>
      </c>
      <c r="C10445" s="25">
        <v>460000</v>
      </c>
      <c r="D10445" s="22" t="s">
        <v>14776</v>
      </c>
      <c r="E10445" s="22" t="s">
        <v>48</v>
      </c>
      <c r="F10445" s="23" t="str">
        <f>HYPERLINK("https://www.spark-marketing.ru/Card/Lot/72387245", "Услуги по организации питания в ИВС")</f>
        <v>Услуги по организации питания в ИВС</v>
      </c>
      <c r="G10445" s="22" t="s">
        <v>415</v>
      </c>
      <c r="H10445" s="22" t="s">
        <v>415</v>
      </c>
      <c r="I10445" s="26">
        <v>43672.679861111101</v>
      </c>
      <c r="J10445" s="23" t="str">
        <f>HYPERLINK("https://www.spark-marketing.ru/Card/Person/793645", "СЕБЕЖСКОЕ РАЙПО")</f>
        <v>СЕБЕЖСКОЕ РАЙПО</v>
      </c>
      <c r="K10445" s="24" t="s">
        <v>14772</v>
      </c>
      <c r="L10445" s="22" t="s">
        <v>10</v>
      </c>
      <c r="M10445" s="28" t="s">
        <v>51</v>
      </c>
      <c r="N10445" s="28" t="s">
        <v>51</v>
      </c>
    </row>
    <row r="10446" spans="1:14" x14ac:dyDescent="0.15">
      <c r="A10446" s="23" t="str">
        <f>HYPERLINK("https://www.spark-marketing.ru/Card/Person/34205", "МВД ПО РЕСПУБЛИКЕ ТАТАРСТАН")</f>
        <v>МВД ПО РЕСПУБЛИКЕ ТАТАРСТАН</v>
      </c>
      <c r="B10446" s="24" t="s">
        <v>5565</v>
      </c>
      <c r="C10446" s="25">
        <v>300</v>
      </c>
      <c r="D10446" s="22" t="s">
        <v>14777</v>
      </c>
      <c r="E10446" s="22" t="s">
        <v>96</v>
      </c>
      <c r="F10446" s="23" t="str">
        <f>HYPERLINK("https://www.spark-marketing.ru/Card/Lot/72375805",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0446" s="22" t="s">
        <v>217</v>
      </c>
      <c r="H10446" s="22" t="s">
        <v>937</v>
      </c>
      <c r="I10446" s="26">
        <v>43672.689004629603</v>
      </c>
      <c r="J10446" s="28" t="s">
        <v>51</v>
      </c>
      <c r="K10446" s="28" t="s">
        <v>51</v>
      </c>
      <c r="L10446" s="28" t="s">
        <v>51</v>
      </c>
      <c r="M10446" s="28" t="s">
        <v>51</v>
      </c>
      <c r="N10446" s="28" t="s">
        <v>51</v>
      </c>
    </row>
    <row r="10447" spans="1:14" x14ac:dyDescent="0.15">
      <c r="A10447" s="23" t="str">
        <f>HYPERLINK("https://www.spark-marketing.ru/Card/Person/827513", "АО ""ИГИРГИ""")</f>
        <v>АО "ИГИРГИ"</v>
      </c>
      <c r="B10447" s="24" t="s">
        <v>916</v>
      </c>
      <c r="C10447" s="28" t="s">
        <v>51</v>
      </c>
      <c r="D10447" s="22" t="s">
        <v>14778</v>
      </c>
      <c r="E10447" s="22" t="s">
        <v>6089</v>
      </c>
      <c r="F10447" s="23" t="str">
        <f>HYPERLINK("https://www.spark-marketing.ru/Card/Lot/72387577", "оказание услуг по выездному обслуживанию и организации питания (кейтеринга) для планируемых мероприятий в здании АО ""ИГиРГИ"" в 2019 году")</f>
        <v>оказание услуг по выездному обслуживанию и организации питания (кейтеринга) для планируемых мероприятий в здании АО "ИГиРГИ" в 2019 году</v>
      </c>
      <c r="G10447" s="22" t="s">
        <v>56</v>
      </c>
      <c r="H10447" s="22" t="s">
        <v>56</v>
      </c>
      <c r="I10447" s="26">
        <v>43672.7055555556</v>
      </c>
      <c r="J10447" s="28" t="s">
        <v>51</v>
      </c>
      <c r="K10447" s="28" t="s">
        <v>51</v>
      </c>
      <c r="L10447" s="28" t="s">
        <v>51</v>
      </c>
      <c r="M10447" s="28" t="s">
        <v>51</v>
      </c>
      <c r="N10447" s="28" t="s">
        <v>51</v>
      </c>
    </row>
    <row r="10448" spans="1:14" x14ac:dyDescent="0.15">
      <c r="A10448" s="23" t="s">
        <v>114</v>
      </c>
      <c r="B10448" s="28" t="s">
        <v>51</v>
      </c>
      <c r="C10448" s="25">
        <v>21937200</v>
      </c>
      <c r="D10448" s="22" t="s">
        <v>14779</v>
      </c>
      <c r="E10448" s="22" t="s">
        <v>48</v>
      </c>
      <c r="F10448" s="23" t="str">
        <f t="shared" ref="F10448:F10463" si="272">HYPERLINK("https://www.spark-marketing.ru/Card/Lot/72388310", "Совместный аукцион в электронной форме на оказание услуг по организации питания учащихся и воспитанников общеобразовательных учреждений")</f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48" s="22" t="s">
        <v>51</v>
      </c>
      <c r="H10448" s="22" t="s">
        <v>51</v>
      </c>
      <c r="I10448" s="26">
        <v>43672.7039351852</v>
      </c>
      <c r="J10448" s="23" t="str">
        <f t="shared" ref="J10448:J10463" si="273">HYPERLINK("https://www.spark-marketing.ru/Card/Person/6635294", "ООО ""ФСП""")</f>
        <v>ООО "ФСП"</v>
      </c>
      <c r="K10448" s="24" t="s">
        <v>1596</v>
      </c>
      <c r="L10448" s="22" t="s">
        <v>10</v>
      </c>
      <c r="M10448" s="28" t="s">
        <v>51</v>
      </c>
      <c r="N10448" s="28" t="s">
        <v>51</v>
      </c>
    </row>
    <row r="10449" spans="1:14" hidden="1" outlineLevel="1" x14ac:dyDescent="0.15">
      <c r="A10449" s="23" t="str">
        <f>HYPERLINK("https://www.spark-marketing.ru/Card/Person/89765", "МБОУ СОШ № 24")</f>
        <v>МБОУ СОШ № 24</v>
      </c>
      <c r="B10449" s="24" t="s">
        <v>14780</v>
      </c>
      <c r="C10449" s="25">
        <v>970800</v>
      </c>
      <c r="D10449" s="22" t="s">
        <v>14779</v>
      </c>
      <c r="E10449" s="22" t="s">
        <v>48</v>
      </c>
      <c r="F10449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49" s="22" t="s">
        <v>696</v>
      </c>
      <c r="H10449" s="22" t="s">
        <v>1163</v>
      </c>
      <c r="I10449" s="26">
        <v>43672.7039351852</v>
      </c>
      <c r="J10449" s="23" t="str">
        <f t="shared" si="273"/>
        <v>ООО "ФСП"</v>
      </c>
      <c r="K10449" s="24" t="s">
        <v>1596</v>
      </c>
      <c r="L10449" s="22" t="s">
        <v>10</v>
      </c>
      <c r="M10449" s="28" t="s">
        <v>51</v>
      </c>
      <c r="N10449" s="28" t="s">
        <v>51</v>
      </c>
    </row>
    <row r="10450" spans="1:14" hidden="1" outlineLevel="1" x14ac:dyDescent="0.15">
      <c r="A10450" s="23" t="str">
        <f>HYPERLINK("https://www.spark-marketing.ru/Card/Person/129472", "МБОУ СОШ № 21")</f>
        <v>МБОУ СОШ № 21</v>
      </c>
      <c r="B10450" s="24" t="s">
        <v>14781</v>
      </c>
      <c r="C10450" s="25">
        <v>1947000</v>
      </c>
      <c r="D10450" s="22" t="s">
        <v>14779</v>
      </c>
      <c r="E10450" s="22" t="s">
        <v>48</v>
      </c>
      <c r="F10450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50" s="22" t="s">
        <v>696</v>
      </c>
      <c r="H10450" s="22" t="s">
        <v>1163</v>
      </c>
      <c r="I10450" s="26">
        <v>43672.7039351852</v>
      </c>
      <c r="J10450" s="23" t="str">
        <f t="shared" si="273"/>
        <v>ООО "ФСП"</v>
      </c>
      <c r="K10450" s="24" t="s">
        <v>1596</v>
      </c>
      <c r="L10450" s="22" t="s">
        <v>10</v>
      </c>
      <c r="M10450" s="28" t="s">
        <v>51</v>
      </c>
      <c r="N10450" s="28" t="s">
        <v>51</v>
      </c>
    </row>
    <row r="10451" spans="1:14" hidden="1" outlineLevel="1" x14ac:dyDescent="0.15">
      <c r="A10451" s="23" t="str">
        <f>HYPERLINK("https://www.spark-marketing.ru/Card/Person/1006990", "МБОУ СОШ № 17")</f>
        <v>МБОУ СОШ № 17</v>
      </c>
      <c r="B10451" s="24" t="s">
        <v>14782</v>
      </c>
      <c r="C10451" s="25">
        <v>1155600</v>
      </c>
      <c r="D10451" s="22" t="s">
        <v>14779</v>
      </c>
      <c r="E10451" s="22" t="s">
        <v>48</v>
      </c>
      <c r="F10451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51" s="22" t="s">
        <v>696</v>
      </c>
      <c r="H10451" s="22" t="s">
        <v>1163</v>
      </c>
      <c r="I10451" s="26">
        <v>43672.7039351852</v>
      </c>
      <c r="J10451" s="23" t="str">
        <f t="shared" si="273"/>
        <v>ООО "ФСП"</v>
      </c>
      <c r="K10451" s="24" t="s">
        <v>1596</v>
      </c>
      <c r="L10451" s="22" t="s">
        <v>10</v>
      </c>
      <c r="M10451" s="28" t="s">
        <v>51</v>
      </c>
      <c r="N10451" s="28" t="s">
        <v>51</v>
      </c>
    </row>
    <row r="10452" spans="1:14" hidden="1" outlineLevel="1" x14ac:dyDescent="0.15">
      <c r="A10452" s="23" t="str">
        <f>HYPERLINK("https://www.spark-marketing.ru/Card/Person/1007191", "МБОУ СОШ № 43")</f>
        <v>МБОУ СОШ № 43</v>
      </c>
      <c r="B10452" s="24" t="s">
        <v>14783</v>
      </c>
      <c r="C10452" s="25">
        <v>1440600</v>
      </c>
      <c r="D10452" s="22" t="s">
        <v>14779</v>
      </c>
      <c r="E10452" s="22" t="s">
        <v>48</v>
      </c>
      <c r="F10452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52" s="22" t="s">
        <v>696</v>
      </c>
      <c r="H10452" s="22" t="s">
        <v>1163</v>
      </c>
      <c r="I10452" s="26">
        <v>43672.7039351852</v>
      </c>
      <c r="J10452" s="23" t="str">
        <f t="shared" si="273"/>
        <v>ООО "ФСП"</v>
      </c>
      <c r="K10452" s="24" t="s">
        <v>1596</v>
      </c>
      <c r="L10452" s="22" t="s">
        <v>10</v>
      </c>
      <c r="M10452" s="28" t="s">
        <v>51</v>
      </c>
      <c r="N10452" s="28" t="s">
        <v>51</v>
      </c>
    </row>
    <row r="10453" spans="1:14" hidden="1" outlineLevel="1" x14ac:dyDescent="0.15">
      <c r="A10453" s="23" t="str">
        <f>HYPERLINK("https://www.spark-marketing.ru/Card/Person/1020224", "МБОУ СОШ № 27")</f>
        <v>МБОУ СОШ № 27</v>
      </c>
      <c r="B10453" s="24" t="s">
        <v>14784</v>
      </c>
      <c r="C10453" s="25">
        <v>985200</v>
      </c>
      <c r="D10453" s="22" t="s">
        <v>14779</v>
      </c>
      <c r="E10453" s="22" t="s">
        <v>48</v>
      </c>
      <c r="F10453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53" s="22" t="s">
        <v>696</v>
      </c>
      <c r="H10453" s="22" t="s">
        <v>1163</v>
      </c>
      <c r="I10453" s="26">
        <v>43672.7039351852</v>
      </c>
      <c r="J10453" s="23" t="str">
        <f t="shared" si="273"/>
        <v>ООО "ФСП"</v>
      </c>
      <c r="K10453" s="24" t="s">
        <v>1596</v>
      </c>
      <c r="L10453" s="22" t="s">
        <v>10</v>
      </c>
      <c r="M10453" s="28" t="s">
        <v>51</v>
      </c>
      <c r="N10453" s="28" t="s">
        <v>51</v>
      </c>
    </row>
    <row r="10454" spans="1:14" hidden="1" outlineLevel="1" x14ac:dyDescent="0.15">
      <c r="A10454" s="23" t="str">
        <f>HYPERLINK("https://www.spark-marketing.ru/Card/Person/1026236", "МБОУ ""ГИМНАЗИЯ № 3""")</f>
        <v>МБОУ "ГИМНАЗИЯ № 3"</v>
      </c>
      <c r="B10454" s="24" t="s">
        <v>14785</v>
      </c>
      <c r="C10454" s="25">
        <v>1955400</v>
      </c>
      <c r="D10454" s="22" t="s">
        <v>14779</v>
      </c>
      <c r="E10454" s="22" t="s">
        <v>48</v>
      </c>
      <c r="F10454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54" s="22" t="s">
        <v>696</v>
      </c>
      <c r="H10454" s="22" t="s">
        <v>1163</v>
      </c>
      <c r="I10454" s="26">
        <v>43672.7039351852</v>
      </c>
      <c r="J10454" s="23" t="str">
        <f t="shared" si="273"/>
        <v>ООО "ФСП"</v>
      </c>
      <c r="K10454" s="24" t="s">
        <v>1596</v>
      </c>
      <c r="L10454" s="22" t="s">
        <v>10</v>
      </c>
      <c r="M10454" s="28" t="s">
        <v>51</v>
      </c>
      <c r="N10454" s="28" t="s">
        <v>51</v>
      </c>
    </row>
    <row r="10455" spans="1:14" hidden="1" outlineLevel="1" x14ac:dyDescent="0.15">
      <c r="A10455" s="23" t="str">
        <f>HYPERLINK("https://www.spark-marketing.ru/Card/Person/1026579", "МБОУ СОШ № 37")</f>
        <v>МБОУ СОШ № 37</v>
      </c>
      <c r="B10455" s="24" t="s">
        <v>14786</v>
      </c>
      <c r="C10455" s="25">
        <v>973200</v>
      </c>
      <c r="D10455" s="22" t="s">
        <v>14779</v>
      </c>
      <c r="E10455" s="22" t="s">
        <v>48</v>
      </c>
      <c r="F10455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55" s="22" t="s">
        <v>696</v>
      </c>
      <c r="H10455" s="22" t="s">
        <v>1163</v>
      </c>
      <c r="I10455" s="26">
        <v>43672.7039351852</v>
      </c>
      <c r="J10455" s="23" t="str">
        <f t="shared" si="273"/>
        <v>ООО "ФСП"</v>
      </c>
      <c r="K10455" s="24" t="s">
        <v>1596</v>
      </c>
      <c r="L10455" s="22" t="s">
        <v>10</v>
      </c>
      <c r="M10455" s="28" t="s">
        <v>51</v>
      </c>
      <c r="N10455" s="28" t="s">
        <v>51</v>
      </c>
    </row>
    <row r="10456" spans="1:14" hidden="1" outlineLevel="1" x14ac:dyDescent="0.15">
      <c r="A10456" s="23" t="str">
        <f>HYPERLINK("https://www.spark-marketing.ru/Card/Person/1031705", "МБОУ СОШ № 35")</f>
        <v>МБОУ СОШ № 35</v>
      </c>
      <c r="B10456" s="24" t="s">
        <v>14787</v>
      </c>
      <c r="C10456" s="25">
        <v>1435200</v>
      </c>
      <c r="D10456" s="22" t="s">
        <v>14779</v>
      </c>
      <c r="E10456" s="22" t="s">
        <v>48</v>
      </c>
      <c r="F10456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56" s="22" t="s">
        <v>696</v>
      </c>
      <c r="H10456" s="22" t="s">
        <v>1163</v>
      </c>
      <c r="I10456" s="26">
        <v>43672.7039351852</v>
      </c>
      <c r="J10456" s="23" t="str">
        <f t="shared" si="273"/>
        <v>ООО "ФСП"</v>
      </c>
      <c r="K10456" s="24" t="s">
        <v>1596</v>
      </c>
      <c r="L10456" s="22" t="s">
        <v>10</v>
      </c>
      <c r="M10456" s="28" t="s">
        <v>51</v>
      </c>
      <c r="N10456" s="28" t="s">
        <v>51</v>
      </c>
    </row>
    <row r="10457" spans="1:14" hidden="1" outlineLevel="1" x14ac:dyDescent="0.15">
      <c r="A10457" s="23" t="str">
        <f>HYPERLINK("https://www.spark-marketing.ru/Card/Person/1032953", "МБОУ СОШ № 29")</f>
        <v>МБОУ СОШ № 29</v>
      </c>
      <c r="B10457" s="24" t="s">
        <v>14788</v>
      </c>
      <c r="C10457" s="25">
        <v>1018200</v>
      </c>
      <c r="D10457" s="22" t="s">
        <v>14779</v>
      </c>
      <c r="E10457" s="22" t="s">
        <v>48</v>
      </c>
      <c r="F10457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57" s="22" t="s">
        <v>696</v>
      </c>
      <c r="H10457" s="22" t="s">
        <v>1163</v>
      </c>
      <c r="I10457" s="26">
        <v>43672.7039351852</v>
      </c>
      <c r="J10457" s="23" t="str">
        <f t="shared" si="273"/>
        <v>ООО "ФСП"</v>
      </c>
      <c r="K10457" s="24" t="s">
        <v>1596</v>
      </c>
      <c r="L10457" s="22" t="s">
        <v>10</v>
      </c>
      <c r="M10457" s="28" t="s">
        <v>51</v>
      </c>
      <c r="N10457" s="28" t="s">
        <v>51</v>
      </c>
    </row>
    <row r="10458" spans="1:14" hidden="1" outlineLevel="1" x14ac:dyDescent="0.15">
      <c r="A10458" s="23" t="str">
        <f>HYPERLINK("https://www.spark-marketing.ru/Card/Person/1048758", "МБОУ СОШ № 40")</f>
        <v>МБОУ СОШ № 40</v>
      </c>
      <c r="B10458" s="24" t="s">
        <v>14789</v>
      </c>
      <c r="C10458" s="25">
        <v>1879200</v>
      </c>
      <c r="D10458" s="22" t="s">
        <v>14779</v>
      </c>
      <c r="E10458" s="22" t="s">
        <v>48</v>
      </c>
      <c r="F10458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58" s="22" t="s">
        <v>696</v>
      </c>
      <c r="H10458" s="22" t="s">
        <v>1163</v>
      </c>
      <c r="I10458" s="26">
        <v>43672.7039351852</v>
      </c>
      <c r="J10458" s="23" t="str">
        <f t="shared" si="273"/>
        <v>ООО "ФСП"</v>
      </c>
      <c r="K10458" s="24" t="s">
        <v>1596</v>
      </c>
      <c r="L10458" s="22" t="s">
        <v>10</v>
      </c>
      <c r="M10458" s="28" t="s">
        <v>51</v>
      </c>
      <c r="N10458" s="28" t="s">
        <v>51</v>
      </c>
    </row>
    <row r="10459" spans="1:14" hidden="1" outlineLevel="1" x14ac:dyDescent="0.15">
      <c r="A10459" s="23" t="str">
        <f>HYPERLINK("https://www.spark-marketing.ru/Card/Person/1057717", "МБОУ СОШ № 31")</f>
        <v>МБОУ СОШ № 31</v>
      </c>
      <c r="B10459" s="24" t="s">
        <v>14790</v>
      </c>
      <c r="C10459" s="25">
        <v>937200</v>
      </c>
      <c r="D10459" s="22" t="s">
        <v>14779</v>
      </c>
      <c r="E10459" s="22" t="s">
        <v>48</v>
      </c>
      <c r="F10459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59" s="22" t="s">
        <v>696</v>
      </c>
      <c r="H10459" s="22" t="s">
        <v>1163</v>
      </c>
      <c r="I10459" s="26">
        <v>43672.7039351852</v>
      </c>
      <c r="J10459" s="23" t="str">
        <f t="shared" si="273"/>
        <v>ООО "ФСП"</v>
      </c>
      <c r="K10459" s="24" t="s">
        <v>1596</v>
      </c>
      <c r="L10459" s="22" t="s">
        <v>10</v>
      </c>
      <c r="M10459" s="28" t="s">
        <v>51</v>
      </c>
      <c r="N10459" s="28" t="s">
        <v>51</v>
      </c>
    </row>
    <row r="10460" spans="1:14" hidden="1" outlineLevel="1" x14ac:dyDescent="0.15">
      <c r="A10460" s="23" t="str">
        <f>HYPERLINK("https://www.spark-marketing.ru/Card/Person/1066716", "МБОУ СОШ № 47")</f>
        <v>МБОУ СОШ № 47</v>
      </c>
      <c r="B10460" s="24" t="s">
        <v>14791</v>
      </c>
      <c r="C10460" s="25">
        <v>1434600</v>
      </c>
      <c r="D10460" s="22" t="s">
        <v>14779</v>
      </c>
      <c r="E10460" s="22" t="s">
        <v>48</v>
      </c>
      <c r="F10460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60" s="22" t="s">
        <v>696</v>
      </c>
      <c r="H10460" s="22" t="s">
        <v>1163</v>
      </c>
      <c r="I10460" s="26">
        <v>43672.7039351852</v>
      </c>
      <c r="J10460" s="23" t="str">
        <f t="shared" si="273"/>
        <v>ООО "ФСП"</v>
      </c>
      <c r="K10460" s="24" t="s">
        <v>1596</v>
      </c>
      <c r="L10460" s="22" t="s">
        <v>10</v>
      </c>
      <c r="M10460" s="28" t="s">
        <v>51</v>
      </c>
      <c r="N10460" s="28" t="s">
        <v>51</v>
      </c>
    </row>
    <row r="10461" spans="1:14" hidden="1" outlineLevel="1" x14ac:dyDescent="0.15">
      <c r="A10461" s="23" t="str">
        <f>HYPERLINK("https://www.spark-marketing.ru/Card/Person/1082965", "МБОУ СОШ № 42")</f>
        <v>МБОУ СОШ № 42</v>
      </c>
      <c r="B10461" s="24" t="s">
        <v>14792</v>
      </c>
      <c r="C10461" s="25">
        <v>1673400</v>
      </c>
      <c r="D10461" s="22" t="s">
        <v>14779</v>
      </c>
      <c r="E10461" s="22" t="s">
        <v>48</v>
      </c>
      <c r="F10461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61" s="22" t="s">
        <v>696</v>
      </c>
      <c r="H10461" s="22" t="s">
        <v>1163</v>
      </c>
      <c r="I10461" s="26">
        <v>43672.7039351852</v>
      </c>
      <c r="J10461" s="23" t="str">
        <f t="shared" si="273"/>
        <v>ООО "ФСП"</v>
      </c>
      <c r="K10461" s="24" t="s">
        <v>1596</v>
      </c>
      <c r="L10461" s="22" t="s">
        <v>10</v>
      </c>
      <c r="M10461" s="28" t="s">
        <v>51</v>
      </c>
      <c r="N10461" s="28" t="s">
        <v>51</v>
      </c>
    </row>
    <row r="10462" spans="1:14" hidden="1" outlineLevel="1" x14ac:dyDescent="0.15">
      <c r="A10462" s="23" t="str">
        <f>HYPERLINK("https://www.spark-marketing.ru/Card/Person/4928329", "МБОУ СОШ № 50")</f>
        <v>МБОУ СОШ № 50</v>
      </c>
      <c r="B10462" s="24" t="s">
        <v>14793</v>
      </c>
      <c r="C10462" s="25">
        <v>2062200</v>
      </c>
      <c r="D10462" s="22" t="s">
        <v>14779</v>
      </c>
      <c r="E10462" s="22" t="s">
        <v>48</v>
      </c>
      <c r="F10462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62" s="22" t="s">
        <v>696</v>
      </c>
      <c r="H10462" s="22" t="s">
        <v>1163</v>
      </c>
      <c r="I10462" s="26">
        <v>43672.7039351852</v>
      </c>
      <c r="J10462" s="23" t="str">
        <f t="shared" si="273"/>
        <v>ООО "ФСП"</v>
      </c>
      <c r="K10462" s="24" t="s">
        <v>1596</v>
      </c>
      <c r="L10462" s="22" t="s">
        <v>10</v>
      </c>
      <c r="M10462" s="28" t="s">
        <v>51</v>
      </c>
      <c r="N10462" s="28" t="s">
        <v>51</v>
      </c>
    </row>
    <row r="10463" spans="1:14" hidden="1" outlineLevel="1" x14ac:dyDescent="0.15">
      <c r="A10463" s="23" t="str">
        <f>HYPERLINK("https://www.spark-marketing.ru/Card/Person/6218190", "МБОУ ЦО № 15")</f>
        <v>МБОУ ЦО № 15</v>
      </c>
      <c r="B10463" s="24" t="s">
        <v>14794</v>
      </c>
      <c r="C10463" s="25">
        <v>2069400</v>
      </c>
      <c r="D10463" s="22" t="s">
        <v>14779</v>
      </c>
      <c r="E10463" s="22" t="s">
        <v>48</v>
      </c>
      <c r="F10463" s="23" t="str">
        <f t="shared" si="272"/>
        <v>Совместный аукцион в электронной форме на оказание услуг по организации питания учащихся и воспитанников общеобразовательных учреждений</v>
      </c>
      <c r="G10463" s="22" t="s">
        <v>696</v>
      </c>
      <c r="H10463" s="22" t="s">
        <v>1163</v>
      </c>
      <c r="I10463" s="26">
        <v>43672.7039351852</v>
      </c>
      <c r="J10463" s="23" t="str">
        <f t="shared" si="273"/>
        <v>ООО "ФСП"</v>
      </c>
      <c r="K10463" s="24" t="s">
        <v>1596</v>
      </c>
      <c r="L10463" s="22" t="s">
        <v>10</v>
      </c>
      <c r="M10463" s="28" t="s">
        <v>51</v>
      </c>
      <c r="N10463" s="28" t="s">
        <v>51</v>
      </c>
    </row>
    <row r="10464" spans="1:14" x14ac:dyDescent="0.15">
      <c r="A10464" s="23" t="str">
        <f>HYPERLINK("https://www.spark-marketing.ru/Card/Person/818087", "МБОУ ""СОШ № 5""")</f>
        <v>МБОУ "СОШ № 5"</v>
      </c>
      <c r="B10464" s="24" t="s">
        <v>14795</v>
      </c>
      <c r="C10464" s="25">
        <v>410796.48</v>
      </c>
      <c r="D10464" s="22" t="s">
        <v>14796</v>
      </c>
      <c r="E10464" s="22" t="s">
        <v>48</v>
      </c>
      <c r="F10464" s="23" t="str">
        <f>HYPERLINK("https://www.spark-marketing.ru/Card/Lot/72380329", "№ зз-25596-19 Услуги по обеспечению питанием, осуществляемые по договору, прочие")</f>
        <v>№ зз-25596-19 Услуги по обеспечению питанием, осуществляемые по договору, прочие</v>
      </c>
      <c r="G10464" s="22" t="s">
        <v>852</v>
      </c>
      <c r="H10464" s="22" t="s">
        <v>6348</v>
      </c>
      <c r="I10464" s="26">
        <v>43672.678148148101</v>
      </c>
      <c r="J10464" s="23" t="str">
        <f>HYPERLINK("https://www.spark-marketing.ru/Card/Person/4409135", "МУП ""ШКОЛЬНОЕ ПИТАНИЕ""")</f>
        <v>МУП "ШКОЛЬНОЕ ПИТАНИЕ"</v>
      </c>
      <c r="K10464" s="24" t="s">
        <v>6349</v>
      </c>
      <c r="L10464" s="22" t="s">
        <v>10</v>
      </c>
      <c r="M10464" s="28" t="s">
        <v>51</v>
      </c>
      <c r="N10464" s="28" t="s">
        <v>51</v>
      </c>
    </row>
    <row r="10465" spans="1:14" x14ac:dyDescent="0.15">
      <c r="A10465" s="23" t="str">
        <f>HYPERLINK("https://www.spark-marketing.ru/Card/Person/3213", "ГУЗ ЯО КЛИНИЧЕСКАЯ БОЛЬНИЦА № 8")</f>
        <v>ГУЗ ЯО КЛИНИЧЕСКАЯ БОЛЬНИЦА № 8</v>
      </c>
      <c r="B10465" s="24" t="s">
        <v>14797</v>
      </c>
      <c r="C10465" s="25">
        <v>15910786.300000001</v>
      </c>
      <c r="D10465" s="22" t="s">
        <v>14798</v>
      </c>
      <c r="E10465" s="22" t="s">
        <v>48</v>
      </c>
      <c r="F10465" s="23" t="str">
        <f>HYPERLINK("https://www.spark-marketing.ru/Card/Lot/72418936", "Оказание услуг по организации и доставке горячего питания")</f>
        <v>Оказание услуг по организации и доставке горячего питания</v>
      </c>
      <c r="G10465" s="22" t="s">
        <v>185</v>
      </c>
      <c r="H10465" s="22" t="s">
        <v>3365</v>
      </c>
      <c r="I10465" s="26">
        <v>43672.683680555601</v>
      </c>
      <c r="J10465" s="23" t="str">
        <f>HYPERLINK("https://www.spark-marketing.ru/Card/Person/131877", "ООО ""ВОЕНСЕРВИС""")</f>
        <v>ООО "ВОЕНСЕРВИС"</v>
      </c>
      <c r="K10465" s="24" t="s">
        <v>14799</v>
      </c>
      <c r="L10465" s="22" t="s">
        <v>10</v>
      </c>
      <c r="M10465" s="28" t="s">
        <v>51</v>
      </c>
      <c r="N10465" s="28" t="s">
        <v>51</v>
      </c>
    </row>
    <row r="10466" spans="1:14" x14ac:dyDescent="0.15">
      <c r="A10466" s="23" t="str">
        <f>HYPERLINK("https://www.spark-marketing.ru/Card/Person/133985", "ОМВД РОССИИ ПО КАМЕНСКОМУ РАЙОНУ")</f>
        <v>ОМВД РОССИИ ПО КАМЕНСКОМУ РАЙОНУ</v>
      </c>
      <c r="B10466" s="24" t="s">
        <v>4386</v>
      </c>
      <c r="C10466" s="25">
        <v>384380</v>
      </c>
      <c r="D10466" s="22" t="s">
        <v>14800</v>
      </c>
      <c r="E10466" s="22" t="s">
        <v>48</v>
      </c>
      <c r="F10466" s="23" t="str">
        <f>HYPERLINK("https://www.spark-marketing.ru/Card/Lot/72380519", "Услуги по обеспечению трехразовым горячим питанием лиц, подвергнутых административному аресту и находящихся в ИВС ОМВД России по Каменскому району, для субъектов малого предпринимательства или социально ориентированных некоммерческих организаций, за ...")</f>
        <v>Услуги по обеспечению трехразовым горячим питанием лиц, подвергнутых административному аресту и находящихся в ИВС ОМВД России по Каменскому району, для субъектов малого предпринимательства или социально ориентированных некоммерческих организаций, за ...</v>
      </c>
      <c r="G10466" s="22" t="s">
        <v>72</v>
      </c>
      <c r="H10466" s="22" t="s">
        <v>72</v>
      </c>
      <c r="I10466" s="26">
        <v>43672.659340277802</v>
      </c>
      <c r="J10466" s="23" t="str">
        <f>HYPERLINK("https://www.spark-marketing.ru/Card/Person/1429575", "Чернышов Александр Иванович")</f>
        <v>Чернышов Александр Иванович</v>
      </c>
      <c r="K10466" s="24" t="s">
        <v>14585</v>
      </c>
      <c r="L10466" s="22" t="s">
        <v>10</v>
      </c>
      <c r="M10466" s="28" t="s">
        <v>51</v>
      </c>
      <c r="N10466" s="28" t="s">
        <v>51</v>
      </c>
    </row>
    <row r="10467" spans="1:14" x14ac:dyDescent="0.15">
      <c r="A10467" s="23" t="str">
        <f>HYPERLINK("https://www.spark-marketing.ru/Card/Person/111971", "ГБУ КО ""СОЦИАЛЬНО-ОЗДОРОВИТЕЛЬНЫЙ ЦЕНТР""")</f>
        <v>ГБУ КО "СОЦИАЛЬНО-ОЗДОРОВИТЕЛЬНЫЙ ЦЕНТР"</v>
      </c>
      <c r="B10467" s="24" t="s">
        <v>14801</v>
      </c>
      <c r="C10467" s="25">
        <v>499800</v>
      </c>
      <c r="D10467" s="22" t="s">
        <v>14802</v>
      </c>
      <c r="E10467" s="22" t="s">
        <v>48</v>
      </c>
      <c r="F10467" s="23" t="str">
        <f>HYPERLINK("https://www.spark-marketing.ru/Card/Lot/72394613", "Оказание услуг по организации питания детей в социально-оздоровительном центре")</f>
        <v>Оказание услуг по организации питания детей в социально-оздоровительном центре</v>
      </c>
      <c r="G10467" s="22" t="s">
        <v>400</v>
      </c>
      <c r="H10467" s="22" t="s">
        <v>400</v>
      </c>
      <c r="I10467" s="26">
        <v>43672.630150463003</v>
      </c>
      <c r="J10467" s="28" t="s">
        <v>51</v>
      </c>
      <c r="K10467" s="28" t="s">
        <v>51</v>
      </c>
      <c r="L10467" s="28" t="s">
        <v>51</v>
      </c>
      <c r="M10467" s="28" t="s">
        <v>51</v>
      </c>
      <c r="N10467" s="28" t="s">
        <v>51</v>
      </c>
    </row>
    <row r="10468" spans="1:14" ht="12.75" hidden="1" outlineLevel="1" x14ac:dyDescent="0.2">
      <c r="A10468" s="23" t="str">
        <f>HYPERLINK("https://www.spark-marketing.ru/Card/Person/111971", "ГБУ КО ""СОЦИАЛЬНО-ОЗДОРОВИТЕЛЬНЫЙ ЦЕНТР""")</f>
        <v>ГБУ КО "СОЦИАЛЬНО-ОЗДОРОВИТЕЛЬНЫЙ ЦЕНТР"</v>
      </c>
      <c r="B10468" s="24" t="s">
        <v>14801</v>
      </c>
      <c r="C10468" s="25">
        <v>499800</v>
      </c>
      <c r="D10468" s="22" t="s">
        <v>14802</v>
      </c>
      <c r="E10468" s="22" t="s">
        <v>48</v>
      </c>
      <c r="F10468" s="23" t="str">
        <f>HYPERLINK("https://www.spark-marketing.ru/Card/Lot/72394613", "Оказание услуг по организации питания детей в социально-оздоровительном центре")</f>
        <v>Оказание услуг по организации питания детей в социально-оздоровительном центре</v>
      </c>
      <c r="G10468" s="22" t="s">
        <v>400</v>
      </c>
      <c r="H10468" s="22" t="s">
        <v>400</v>
      </c>
      <c r="I10468" s="26">
        <v>43672.630150463003</v>
      </c>
      <c r="J10468" s="23" t="str">
        <f>HYPERLINK("https://www.spark-marketing.ru/Card/Person/2090231", "Дараган Людмила Юрьевна")</f>
        <v>Дараган Людмила Юрьевна</v>
      </c>
      <c r="K10468" s="24" t="s">
        <v>14803</v>
      </c>
      <c r="L10468" s="22" t="s">
        <v>10</v>
      </c>
      <c r="M10468" s="25">
        <v>496860</v>
      </c>
      <c r="N10468" s="27">
        <v>5.8823529411764705E-3</v>
      </c>
    </row>
    <row r="10469" spans="1:14" hidden="1" outlineLevel="1" x14ac:dyDescent="0.2">
      <c r="A10469" s="23" t="str">
        <f>HYPERLINK("https://www.spark-marketing.ru/Card/Person/111971", "ГБУ КО ""СОЦИАЛЬНО-ОЗДОРОВИТЕЛЬНЫЙ ЦЕНТР""")</f>
        <v>ГБУ КО "СОЦИАЛЬНО-ОЗДОРОВИТЕЛЬНЫЙ ЦЕНТР"</v>
      </c>
      <c r="B10469" s="24" t="s">
        <v>14801</v>
      </c>
      <c r="C10469" s="25">
        <v>499800</v>
      </c>
      <c r="D10469" s="22" t="s">
        <v>14802</v>
      </c>
      <c r="E10469" s="22" t="s">
        <v>48</v>
      </c>
      <c r="F10469" s="23" t="str">
        <f>HYPERLINK("https://www.spark-marketing.ru/Card/Lot/72394613", "Оказание услуг по организации питания детей в социально-оздоровительном центре")</f>
        <v>Оказание услуг по организации питания детей в социально-оздоровительном центре</v>
      </c>
      <c r="G10469" s="22" t="s">
        <v>400</v>
      </c>
      <c r="H10469" s="22" t="s">
        <v>400</v>
      </c>
      <c r="I10469" s="26">
        <v>43672.630150463003</v>
      </c>
      <c r="J10469" s="23" t="str">
        <f>HYPERLINK("https://www.spark-marketing.ru/Card/Person/1181198", "Белоус Нина Алексеевна")</f>
        <v>Белоус Нина Алексеевна</v>
      </c>
      <c r="K10469" s="24" t="s">
        <v>14804</v>
      </c>
      <c r="L10469" s="28" t="s">
        <v>51</v>
      </c>
      <c r="M10469" s="25">
        <v>499800</v>
      </c>
      <c r="N10469" s="27">
        <v>0</v>
      </c>
    </row>
    <row r="10470" spans="1:14" x14ac:dyDescent="0.15">
      <c r="A10470" s="23" t="str">
        <f>HYPERLINK("https://www.spark-marketing.ru/Card/Person/133359", "МДОУ ДЕТСКИЙ САД КОМБИНИРОВАННОГО ВИДА № 33 ""АЛЕНУШКА""")</f>
        <v>МДОУ ДЕТСКИЙ САД КОМБИНИРОВАННОГО ВИДА № 33 "АЛЕНУШКА"</v>
      </c>
      <c r="B10470" s="24" t="s">
        <v>14805</v>
      </c>
      <c r="C10470" s="25">
        <v>288360</v>
      </c>
      <c r="D10470" s="22" t="s">
        <v>14806</v>
      </c>
      <c r="E10470" s="22" t="s">
        <v>48</v>
      </c>
      <c r="F10470" s="23" t="str">
        <f>HYPERLINK("https://www.spark-marketing.ru/Card/Lot/72374730",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10470" s="22" t="s">
        <v>49</v>
      </c>
      <c r="H10470" s="22" t="s">
        <v>50</v>
      </c>
      <c r="I10470" s="26">
        <v>43672.649282407401</v>
      </c>
      <c r="J10470" s="28" t="s">
        <v>51</v>
      </c>
      <c r="K10470" s="28" t="s">
        <v>51</v>
      </c>
      <c r="L10470" s="28" t="s">
        <v>51</v>
      </c>
      <c r="M10470" s="28" t="s">
        <v>51</v>
      </c>
      <c r="N10470" s="28" t="s">
        <v>51</v>
      </c>
    </row>
    <row r="10471" spans="1:14" x14ac:dyDescent="0.2">
      <c r="A10471" s="23" t="str">
        <f>HYPERLINK("https://www.spark-marketing.ru/Card/Person/139484", "ГКОУ ""ВОЛГОГРАДСКАЯ ШКОЛА-ИНТЕРНАТ № 7""")</f>
        <v>ГКОУ "ВОЛГОГРАДСКАЯ ШКОЛА-ИНТЕРНАТ № 7"</v>
      </c>
      <c r="B10471" s="24" t="s">
        <v>14807</v>
      </c>
      <c r="C10471" s="25">
        <v>11567892.029999999</v>
      </c>
      <c r="D10471" s="22" t="s">
        <v>14808</v>
      </c>
      <c r="E10471" s="22" t="s">
        <v>48</v>
      </c>
      <c r="F10471" s="23" t="str">
        <f>HYPERLINK("https://www.spark-marketing.ru/Card/Lot/72374203", "Оказание услуг по обеспечению питанием")</f>
        <v>Оказание услуг по обеспечению питанием</v>
      </c>
      <c r="G10471" s="22" t="s">
        <v>158</v>
      </c>
      <c r="H10471" s="22" t="s">
        <v>171</v>
      </c>
      <c r="I10471" s="26">
        <v>43672.646527777797</v>
      </c>
      <c r="J10471" s="23" t="str">
        <f>HYPERLINK("https://www.spark-marketing.ru/Card/Person/6558293", "ООО ""ВИВО МАРКЕТ""")</f>
        <v>ООО "ВИВО МАРКЕТ"</v>
      </c>
      <c r="K10471" s="24" t="s">
        <v>14440</v>
      </c>
      <c r="L10471" s="28" t="s">
        <v>51</v>
      </c>
      <c r="M10471" s="25">
        <v>11567892.029999999</v>
      </c>
      <c r="N10471" s="27">
        <v>0</v>
      </c>
    </row>
    <row r="10472" spans="1:14" x14ac:dyDescent="0.15">
      <c r="A10472" s="23" t="str">
        <f>HYPERLINK("https://www.spark-marketing.ru/Card/Person/4348584", "АО ""АТОМ-ОХРАНА""")</f>
        <v>АО "АТОМ-ОХРАНА"</v>
      </c>
      <c r="B10472" s="24" t="s">
        <v>14809</v>
      </c>
      <c r="C10472" s="25">
        <v>0</v>
      </c>
      <c r="D10472" s="22" t="s">
        <v>14810</v>
      </c>
      <c r="E10472" s="22" t="s">
        <v>52</v>
      </c>
      <c r="F10472" s="23" t="str">
        <f>HYPERLINK("https://www.spark-marketing.ru/Card/Lot/72415329", "мониторинг цен в электронной форме на Оказание услуг по организации и проведению питания участников семинара-совещения по системе кофе-брейк АО «Атом-охрана»")</f>
        <v>мониторинг цен в электронной форме на Оказание услуг по организации и проведению питания участников семинара-совещения по системе кофе-брейк АО «Атом-охрана»</v>
      </c>
      <c r="G10472" s="22" t="s">
        <v>56</v>
      </c>
      <c r="H10472" s="22" t="s">
        <v>56</v>
      </c>
      <c r="I10472" s="26">
        <v>43672.652569444399</v>
      </c>
      <c r="J10472" s="28" t="s">
        <v>51</v>
      </c>
      <c r="K10472" s="28" t="s">
        <v>51</v>
      </c>
      <c r="L10472" s="28" t="s">
        <v>51</v>
      </c>
      <c r="M10472" s="28" t="s">
        <v>51</v>
      </c>
      <c r="N10472" s="28" t="s">
        <v>51</v>
      </c>
    </row>
    <row r="10473" spans="1:14" x14ac:dyDescent="0.15">
      <c r="A10473" s="23" t="str">
        <f>HYPERLINK("https://www.spark-marketing.ru/Card/Person/4348584", "АО ""АТОМ-ОХРАНА""")</f>
        <v>АО "АТОМ-ОХРАНА"</v>
      </c>
      <c r="B10473" s="24" t="s">
        <v>14809</v>
      </c>
      <c r="C10473" s="28" t="s">
        <v>51</v>
      </c>
      <c r="D10473" s="22" t="s">
        <v>14811</v>
      </c>
      <c r="E10473" s="22" t="s">
        <v>14812</v>
      </c>
      <c r="F10473" s="23" t="str">
        <f>HYPERLINK("https://www.spark-marketing.ru/Card/Lot/72375141", "Оказание услуг по организации и проведению питания участников семинара-совещения по системе кофе-брейк АО «Атом-охрана»")</f>
        <v>Оказание услуг по организации и проведению питания участников семинара-совещения по системе кофе-брейк АО «Атом-охрана»</v>
      </c>
      <c r="G10473" s="22" t="s">
        <v>56</v>
      </c>
      <c r="H10473" s="22" t="s">
        <v>56</v>
      </c>
      <c r="I10473" s="26">
        <v>43672.652893518498</v>
      </c>
      <c r="J10473" s="28" t="s">
        <v>51</v>
      </c>
      <c r="K10473" s="28" t="s">
        <v>51</v>
      </c>
      <c r="L10473" s="28" t="s">
        <v>51</v>
      </c>
      <c r="M10473" s="28" t="s">
        <v>51</v>
      </c>
      <c r="N10473" s="28" t="s">
        <v>51</v>
      </c>
    </row>
    <row r="10474" spans="1:14" x14ac:dyDescent="0.15">
      <c r="A10474" s="23" t="str">
        <f>HYPERLINK("https://www.spark-marketing.ru/Card/Person/133985", "ОМВД РОССИИ ПО КАМЕНСКОМУ РАЙОНУ")</f>
        <v>ОМВД РОССИИ ПО КАМЕНСКОМУ РАЙОНУ</v>
      </c>
      <c r="B10474" s="24" t="s">
        <v>4386</v>
      </c>
      <c r="C10474" s="25">
        <v>655000</v>
      </c>
      <c r="D10474" s="22" t="s">
        <v>14813</v>
      </c>
      <c r="E10474" s="22" t="s">
        <v>48</v>
      </c>
      <c r="F10474" s="23" t="str">
        <f>HYPERLINK("https://www.spark-marketing.ru/Card/Lot/72379891", "Услуги по обеспечению трехразовым горячим питанием лиц, подвергнутых административному аресту и находящихся в ИВС ОМВД России по Каменскому району, для субъектов малого предпринимательства или социально ориентированных некоммерческих организаций, за ...")</f>
        <v>Услуги по обеспечению трехразовым горячим питанием лиц, подвергнутых административному аресту и находящихся в ИВС ОМВД России по Каменскому району, для субъектов малого предпринимательства или социально ориентированных некоммерческих организаций, за ...</v>
      </c>
      <c r="G10474" s="22" t="s">
        <v>72</v>
      </c>
      <c r="H10474" s="22" t="s">
        <v>72</v>
      </c>
      <c r="I10474" s="26">
        <v>43672.634282407402</v>
      </c>
      <c r="J10474" s="23" t="str">
        <f>HYPERLINK("https://www.spark-marketing.ru/Card/Person/1429575", "Чернышов Александр Иванович")</f>
        <v>Чернышов Александр Иванович</v>
      </c>
      <c r="K10474" s="24" t="s">
        <v>14585</v>
      </c>
      <c r="L10474" s="22" t="s">
        <v>10</v>
      </c>
      <c r="M10474" s="28" t="s">
        <v>51</v>
      </c>
      <c r="N10474" s="28" t="s">
        <v>51</v>
      </c>
    </row>
    <row r="10475" spans="1:14" x14ac:dyDescent="0.15">
      <c r="A10475" s="23" t="str">
        <f>HYPERLINK("https://www.spark-marketing.ru/Card/Person/103612", "МОМВД РОССИИ ""УВАРОВСКИЙ""")</f>
        <v>МОМВД РОССИИ "УВАРОВСКИЙ"</v>
      </c>
      <c r="B10475" s="24" t="s">
        <v>3610</v>
      </c>
      <c r="C10475" s="25">
        <v>897300</v>
      </c>
      <c r="D10475" s="22" t="s">
        <v>14814</v>
      </c>
      <c r="E10475" s="22" t="s">
        <v>48</v>
      </c>
      <c r="F10475" s="23" t="str">
        <f>HYPERLINK("https://www.spark-marketing.ru/Card/Lot/72380401", "Оказание услуг по приготовлению и поставке трёхразового горячего питания лицам, арестованных в административном порядке, содержащихся в изоляторе временного содержания подозреваемых и обвиняемых, а также в дежурных частях")</f>
        <v>Оказание услуг по приготовлению и поставке трёхразового горячего питания лицам, арестованных в административном порядке, содержащихся в изоляторе временного содержания подозреваемых и обвиняемых, а также в дежурных частях</v>
      </c>
      <c r="G10475" s="22" t="s">
        <v>1370</v>
      </c>
      <c r="H10475" s="22" t="s">
        <v>3612</v>
      </c>
      <c r="I10475" s="26">
        <v>43672.653738425899</v>
      </c>
      <c r="J10475" s="23" t="str">
        <f>HYPERLINK("https://www.spark-marketing.ru/Card/Person/4416918", "ООО""ЛАГУНА""")</f>
        <v>ООО"ЛАГУНА"</v>
      </c>
      <c r="K10475" s="24" t="s">
        <v>3613</v>
      </c>
      <c r="L10475" s="22" t="s">
        <v>10</v>
      </c>
      <c r="M10475" s="28" t="s">
        <v>51</v>
      </c>
      <c r="N10475" s="28" t="s">
        <v>51</v>
      </c>
    </row>
    <row r="10476" spans="1:14" x14ac:dyDescent="0.15">
      <c r="A10476" s="23" t="str">
        <f>HYPERLINK("https://www.spark-marketing.ru/Card/Person/270454", "МО МВД РОССИИ ""УРЕНСКИЙ""")</f>
        <v>МО МВД РОССИИ "УРЕНСКИЙ"</v>
      </c>
      <c r="B10476" s="24" t="s">
        <v>12212</v>
      </c>
      <c r="C10476" s="25">
        <v>2193.59</v>
      </c>
      <c r="D10476" s="22" t="s">
        <v>14815</v>
      </c>
      <c r="E10476" s="22" t="s">
        <v>48</v>
      </c>
      <c r="F10476" s="23" t="str">
        <f>HYPERLINK("https://www.spark-marketing.ru/Card/Lot/72374123",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0476" s="22" t="s">
        <v>76</v>
      </c>
      <c r="H10476" s="22" t="s">
        <v>14816</v>
      </c>
      <c r="I10476" s="26">
        <v>43672.660046296303</v>
      </c>
      <c r="J10476" s="28" t="s">
        <v>51</v>
      </c>
      <c r="K10476" s="28" t="s">
        <v>51</v>
      </c>
      <c r="L10476" s="28" t="s">
        <v>51</v>
      </c>
      <c r="M10476" s="28" t="s">
        <v>51</v>
      </c>
      <c r="N10476" s="28" t="s">
        <v>51</v>
      </c>
    </row>
    <row r="10477" spans="1:14" x14ac:dyDescent="0.15">
      <c r="A10477" s="23" t="str">
        <f>HYPERLINK("https://www.spark-marketing.ru/Card/Person/103612", "МОМВД РОССИИ ""УВАРОВСКИЙ""")</f>
        <v>МОМВД РОССИИ "УВАРОВСКИЙ"</v>
      </c>
      <c r="B10477" s="24" t="s">
        <v>3610</v>
      </c>
      <c r="C10477" s="25">
        <v>845100</v>
      </c>
      <c r="D10477" s="22" t="s">
        <v>14817</v>
      </c>
      <c r="E10477" s="22" t="s">
        <v>48</v>
      </c>
      <c r="F10477" s="23" t="str">
        <f>HYPERLINK("https://www.spark-marketing.ru/Card/Lot/72380282", "Оказание услуг  по  приготовлению и поставке трёхразового горячего питания лицам, арестованных в административном порядке, содержащихся в изоляторе временного содержания подозреваемых и обвиняемых и дежурных частях")</f>
        <v>Оказание услуг  по  приготовлению и поставке трёхразового горячего питания лицам, арестованных в административном порядке, содержащихся в изоляторе временного содержания подозреваемых и обвиняемых и дежурных частях</v>
      </c>
      <c r="G10477" s="22" t="s">
        <v>1370</v>
      </c>
      <c r="H10477" s="22" t="s">
        <v>3612</v>
      </c>
      <c r="I10477" s="26">
        <v>43672.645729166703</v>
      </c>
      <c r="J10477" s="23" t="str">
        <f>HYPERLINK("https://www.spark-marketing.ru/Card/Person/4416918", "ООО""ЛАГУНА""")</f>
        <v>ООО"ЛАГУНА"</v>
      </c>
      <c r="K10477" s="24" t="s">
        <v>3613</v>
      </c>
      <c r="L10477" s="22" t="s">
        <v>10</v>
      </c>
      <c r="M10477" s="28" t="s">
        <v>51</v>
      </c>
      <c r="N10477" s="28" t="s">
        <v>51</v>
      </c>
    </row>
    <row r="10478" spans="1:14" x14ac:dyDescent="0.15">
      <c r="A10478" s="23" t="str">
        <f>HYPERLINK("https://www.spark-marketing.ru/Card/Person/51173", "МКУ ""УКС""")</f>
        <v>МКУ "УКС"</v>
      </c>
      <c r="B10478" s="24" t="s">
        <v>14818</v>
      </c>
      <c r="C10478" s="25">
        <v>903861.83</v>
      </c>
      <c r="D10478" s="22" t="s">
        <v>14819</v>
      </c>
      <c r="E10478" s="22" t="s">
        <v>14820</v>
      </c>
      <c r="F10478" s="23" t="str">
        <f>HYPERLINK("https://www.spark-marketing.ru/Card/Lot/72368527", "Оказание услуг по изготовлению, доставке и монтажу шкафов металлических  для детского сада по ул. В. Высоцкого в Октябрьском  районе")</f>
        <v>Оказание услуг по изготовлению, доставке и монтажу шкафов металлических  для детского сада по ул. В. Высоцкого в Октябрьском  районе</v>
      </c>
      <c r="G10478" s="22" t="s">
        <v>195</v>
      </c>
      <c r="H10478" s="22" t="s">
        <v>196</v>
      </c>
      <c r="I10478" s="26">
        <v>43672.644606481503</v>
      </c>
      <c r="J10478" s="28" t="s">
        <v>51</v>
      </c>
      <c r="K10478" s="28" t="s">
        <v>51</v>
      </c>
      <c r="L10478" s="28" t="s">
        <v>51</v>
      </c>
      <c r="M10478" s="28" t="s">
        <v>51</v>
      </c>
      <c r="N10478" s="28" t="s">
        <v>51</v>
      </c>
    </row>
    <row r="10479" spans="1:14" hidden="1" outlineLevel="1" x14ac:dyDescent="0.2">
      <c r="A10479" s="23" t="str">
        <f>HYPERLINK("https://www.spark-marketing.ru/Card/Person/51173", "МКУ ""УКС""")</f>
        <v>МКУ "УКС"</v>
      </c>
      <c r="B10479" s="24" t="s">
        <v>14818</v>
      </c>
      <c r="C10479" s="25">
        <v>903861.83</v>
      </c>
      <c r="D10479" s="22" t="s">
        <v>14819</v>
      </c>
      <c r="E10479" s="22" t="s">
        <v>14820</v>
      </c>
      <c r="F10479" s="23" t="str">
        <f>HYPERLINK("https://www.spark-marketing.ru/Card/Lot/72368527", "Оказание услуг по изготовлению, доставке и монтажу шкафов металлических  для детского сада по ул. В. Высоцкого в Октябрьском  районе")</f>
        <v>Оказание услуг по изготовлению, доставке и монтажу шкафов металлических  для детского сада по ул. В. Высоцкого в Октябрьском  районе</v>
      </c>
      <c r="G10479" s="22" t="s">
        <v>195</v>
      </c>
      <c r="H10479" s="22" t="s">
        <v>196</v>
      </c>
      <c r="I10479" s="26">
        <v>43672.644606481503</v>
      </c>
      <c r="J10479" s="23" t="str">
        <f>HYPERLINK("https://www.spark-marketing.ru/Card/Person/6501338", "Поваров Дмитрий Александрович")</f>
        <v>Поваров Дмитрий Александрович</v>
      </c>
      <c r="K10479" s="24" t="s">
        <v>14821</v>
      </c>
      <c r="L10479" s="28" t="s">
        <v>51</v>
      </c>
      <c r="M10479" s="25">
        <v>867705.79</v>
      </c>
      <c r="N10479" s="27">
        <v>4.0001733450786385E-2</v>
      </c>
    </row>
    <row r="10480" spans="1:14" hidden="1" outlineLevel="1" x14ac:dyDescent="0.2">
      <c r="A10480" s="23" t="str">
        <f>HYPERLINK("https://www.spark-marketing.ru/Card/Person/51173", "МКУ ""УКС""")</f>
        <v>МКУ "УКС"</v>
      </c>
      <c r="B10480" s="24" t="s">
        <v>14818</v>
      </c>
      <c r="C10480" s="25">
        <v>903861.83</v>
      </c>
      <c r="D10480" s="22" t="s">
        <v>14819</v>
      </c>
      <c r="E10480" s="22" t="s">
        <v>14820</v>
      </c>
      <c r="F10480" s="23" t="str">
        <f>HYPERLINK("https://www.spark-marketing.ru/Card/Lot/72368527", "Оказание услуг по изготовлению, доставке и монтажу шкафов металлических  для детского сада по ул. В. Высоцкого в Октябрьском  районе")</f>
        <v>Оказание услуг по изготовлению, доставке и монтажу шкафов металлических  для детского сада по ул. В. Высоцкого в Октябрьском  районе</v>
      </c>
      <c r="G10480" s="22" t="s">
        <v>195</v>
      </c>
      <c r="H10480" s="22" t="s">
        <v>196</v>
      </c>
      <c r="I10480" s="26">
        <v>43672.644606481503</v>
      </c>
      <c r="J10480" s="23" t="str">
        <f>HYPERLINK("https://www.spark-marketing.ru/Card/Person/4361651", "ООО ""МЕТАЛАЙН ГРУПП""")</f>
        <v>ООО "МЕТАЛАЙН ГРУПП"</v>
      </c>
      <c r="K10480" s="24" t="s">
        <v>14822</v>
      </c>
      <c r="L10480" s="28" t="s">
        <v>51</v>
      </c>
      <c r="M10480" s="25">
        <v>777316.79</v>
      </c>
      <c r="N10480" s="27">
        <v>0.1400048500775832</v>
      </c>
    </row>
    <row r="10481" spans="1:14" ht="12.75" hidden="1" outlineLevel="1" x14ac:dyDescent="0.2">
      <c r="A10481" s="23" t="str">
        <f>HYPERLINK("https://www.spark-marketing.ru/Card/Person/51173", "МКУ ""УКС""")</f>
        <v>МКУ "УКС"</v>
      </c>
      <c r="B10481" s="24" t="s">
        <v>14818</v>
      </c>
      <c r="C10481" s="25">
        <v>903861.83</v>
      </c>
      <c r="D10481" s="22" t="s">
        <v>14819</v>
      </c>
      <c r="E10481" s="22" t="s">
        <v>14820</v>
      </c>
      <c r="F10481" s="23" t="str">
        <f>HYPERLINK("https://www.spark-marketing.ru/Card/Lot/72368527", "Оказание услуг по изготовлению, доставке и монтажу шкафов металлических  для детского сада по ул. В. Высоцкого в Октябрьском  районе")</f>
        <v>Оказание услуг по изготовлению, доставке и монтажу шкафов металлических  для детского сада по ул. В. Высоцкого в Октябрьском  районе</v>
      </c>
      <c r="G10481" s="22" t="s">
        <v>195</v>
      </c>
      <c r="H10481" s="22" t="s">
        <v>196</v>
      </c>
      <c r="I10481" s="26">
        <v>43672.644606481503</v>
      </c>
      <c r="J10481" s="23" t="str">
        <f>HYPERLINK("https://www.spark-marketing.ru/Card/Person/6465456", "ООО ТК ""ШКОЛЬНАЯ-ЛИГА""")</f>
        <v>ООО ТК "ШКОЛЬНАЯ-ЛИГА"</v>
      </c>
      <c r="K10481" s="24" t="s">
        <v>14823</v>
      </c>
      <c r="L10481" s="22" t="s">
        <v>10</v>
      </c>
      <c r="M10481" s="25">
        <v>772797.1</v>
      </c>
      <c r="N10481" s="27">
        <v>0.14500527143623268</v>
      </c>
    </row>
    <row r="10482" spans="1:14" hidden="1" outlineLevel="1" x14ac:dyDescent="0.2">
      <c r="A10482" s="23" t="str">
        <f>HYPERLINK("https://www.spark-marketing.ru/Card/Person/51173", "МКУ ""УКС""")</f>
        <v>МКУ "УКС"</v>
      </c>
      <c r="B10482" s="24" t="s">
        <v>14818</v>
      </c>
      <c r="C10482" s="25">
        <v>903861.83</v>
      </c>
      <c r="D10482" s="22" t="s">
        <v>14819</v>
      </c>
      <c r="E10482" s="22" t="s">
        <v>14820</v>
      </c>
      <c r="F10482" s="23" t="str">
        <f>HYPERLINK("https://www.spark-marketing.ru/Card/Lot/72368527", "Оказание услуг по изготовлению, доставке и монтажу шкафов металлических  для детского сада по ул. В. Высоцкого в Октябрьском  районе")</f>
        <v>Оказание услуг по изготовлению, доставке и монтажу шкафов металлических  для детского сада по ул. В. Высоцкого в Октябрьском  районе</v>
      </c>
      <c r="G10482" s="22" t="s">
        <v>195</v>
      </c>
      <c r="H10482" s="22" t="s">
        <v>196</v>
      </c>
      <c r="I10482" s="26">
        <v>43672.644606481503</v>
      </c>
      <c r="J10482" s="23" t="str">
        <f>HYPERLINK("https://www.spark-marketing.ru/Card/Person/2009506", "ООО ""ПРОМЫШЛЕННАЯ МЕБЕЛЬ""")</f>
        <v>ООО "ПРОМЫШЛЕННАЯ МЕБЕЛЬ"</v>
      </c>
      <c r="K10482" s="24" t="s">
        <v>14824</v>
      </c>
      <c r="L10482" s="28" t="s">
        <v>51</v>
      </c>
      <c r="M10482" s="25">
        <v>796000</v>
      </c>
      <c r="N10482" s="27">
        <v>0.1193344230500363</v>
      </c>
    </row>
    <row r="10483" spans="1:14" x14ac:dyDescent="0.15">
      <c r="A10483" s="23" t="str">
        <f>HYPERLINK("https://www.spark-marketing.ru/Card/Person/51435", "ДЕПАРТАМЕНТ ЗДРАВООХРАНЕНИЯ ИВАНОВСКОЙ ОБЛАСТИ")</f>
        <v>ДЕПАРТАМЕНТ ЗДРАВООХРАНЕНИЯ ИВАНОВСКОЙ ОБЛАСТИ</v>
      </c>
      <c r="B10483" s="24" t="s">
        <v>3899</v>
      </c>
      <c r="C10483" s="25">
        <v>5000000</v>
      </c>
      <c r="D10483" s="22" t="s">
        <v>14825</v>
      </c>
      <c r="E10483" s="22" t="s">
        <v>86</v>
      </c>
      <c r="F10483" s="23" t="str">
        <f>HYPERLINK("https://www.spark-marketing.ru/Card/Lot/72381222", "ОКАЗАНИЕ УСЛУГ ПО ДОСТАВКЕ, ПОЛУЧЕНИЮ, ХРАНЕНИЮ, ВЕДЕНИЮ УЧЕТА ДВИЖЕНИЯ ТОВАРА, ПРЕДСТАВЛЕНИЮ ОТЧЕТНОСТИ, ПЕРЕДАЧЕ В ПУНКТЫ ОТПУСКА И ОТПУСКУ ИЗ ПУНКТОВ ОТПУСКА ЛЕКАРСТВЕННЫХ ПРЕПАРАТОВ, ИЗДЕЛИЙ МЕДИЦИНСКОГО НАЗНАЧЕНИЯ ДЛЯ ГРАЖДАН, А ТАКЖЕ СПЕЦИАЛИЗИ...")</f>
        <v>ОКАЗАНИЕ УСЛУГ ПО ДОСТАВКЕ, ПОЛУЧЕНИЮ, ХРАНЕНИЮ, ВЕДЕНИЮ УЧЕТА ДВИЖЕНИЯ ТОВАРА, ПРЕДСТАВЛЕНИЮ ОТЧЕТНОСТИ, ПЕРЕДАЧЕ В ПУНКТЫ ОТПУСКА И ОТПУСКУ ИЗ ПУНКТОВ ОТПУСКА ЛЕКАРСТВЕННЫХ ПРЕПАРАТОВ, ИЗДЕЛИЙ МЕДИЦИНСКОГО НАЗНАЧЕНИЯ ДЛЯ ГРАЖДАН, А ТАКЖЕ СПЕЦИАЛИЗИ...</v>
      </c>
      <c r="G10483" s="22" t="s">
        <v>1047</v>
      </c>
      <c r="H10483" s="22" t="s">
        <v>1953</v>
      </c>
      <c r="I10483" s="26">
        <v>43672.663946759298</v>
      </c>
      <c r="J10483" s="23" t="str">
        <f>HYPERLINK("https://www.spark-marketing.ru/Card/Person/324957", "ОГУП ""ФАРМАЦИЯ""")</f>
        <v>ОГУП "ФАРМАЦИЯ"</v>
      </c>
      <c r="K10483" s="24" t="s">
        <v>3901</v>
      </c>
      <c r="L10483" s="22" t="s">
        <v>10</v>
      </c>
      <c r="M10483" s="28" t="s">
        <v>51</v>
      </c>
      <c r="N10483" s="28" t="s">
        <v>51</v>
      </c>
    </row>
    <row r="10484" spans="1:14" x14ac:dyDescent="0.15">
      <c r="A10484" s="23" t="str">
        <f>HYPERLINK("https://www.spark-marketing.ru/Card/Person/104107", "МОУ ГИМНАЗИЯ Г.МАЛОЯРОСЛАВЦА")</f>
        <v>МОУ ГИМНАЗИЯ Г.МАЛОЯРОСЛАВЦА</v>
      </c>
      <c r="B10484" s="24" t="s">
        <v>14826</v>
      </c>
      <c r="C10484" s="25">
        <v>1212000</v>
      </c>
      <c r="D10484" s="22" t="s">
        <v>14827</v>
      </c>
      <c r="E10484" s="22" t="s">
        <v>48</v>
      </c>
      <c r="F10484" s="23" t="str">
        <f>HYPERLINK("https://www.spark-marketing.ru/Card/Lot/72380440", "Услуга по организации горячего питания учащихся. (реестровый номер: 2080Э-10/19сб)")</f>
        <v>Услуга по организации горячего питания учащихся. (реестровый номер: 2080Э-10/19сб)</v>
      </c>
      <c r="G10484" s="22" t="s">
        <v>112</v>
      </c>
      <c r="H10484" s="22" t="s">
        <v>112</v>
      </c>
      <c r="I10484" s="26">
        <v>43672.656585648103</v>
      </c>
      <c r="J10484" s="28" t="s">
        <v>51</v>
      </c>
      <c r="K10484" s="28" t="s">
        <v>51</v>
      </c>
      <c r="L10484" s="28" t="s">
        <v>51</v>
      </c>
      <c r="M10484" s="28" t="s">
        <v>51</v>
      </c>
      <c r="N10484" s="28" t="s">
        <v>51</v>
      </c>
    </row>
    <row r="10485" spans="1:14" ht="12.75" hidden="1" outlineLevel="1" x14ac:dyDescent="0.2">
      <c r="A10485" s="23" t="str">
        <f>HYPERLINK("https://www.spark-marketing.ru/Card/Person/104107", "МОУ ГИМНАЗИЯ Г.МАЛОЯРОСЛАВЦА")</f>
        <v>МОУ ГИМНАЗИЯ Г.МАЛОЯРОСЛАВЦА</v>
      </c>
      <c r="B10485" s="24" t="s">
        <v>14826</v>
      </c>
      <c r="C10485" s="25">
        <v>1212000</v>
      </c>
      <c r="D10485" s="22" t="s">
        <v>14827</v>
      </c>
      <c r="E10485" s="22" t="s">
        <v>48</v>
      </c>
      <c r="F10485" s="23" t="str">
        <f>HYPERLINK("https://www.spark-marketing.ru/Card/Lot/72380440", "Услуга по организации горячего питания учащихся. (реестровый номер: 2080Э-10/19сб)")</f>
        <v>Услуга по организации горячего питания учащихся. (реестровый номер: 2080Э-10/19сб)</v>
      </c>
      <c r="G10485" s="22" t="s">
        <v>112</v>
      </c>
      <c r="H10485" s="22" t="s">
        <v>112</v>
      </c>
      <c r="I10485" s="26">
        <v>43672.656585648103</v>
      </c>
      <c r="J10485" s="23" t="str">
        <f>HYPERLINK("https://www.spark-marketing.ru/Card/Person/138382", "Киржинова Родима Каншобиевна")</f>
        <v>Киржинова Родима Каншобиевна</v>
      </c>
      <c r="K10485" s="24" t="s">
        <v>14828</v>
      </c>
      <c r="L10485" s="22" t="s">
        <v>10</v>
      </c>
      <c r="M10485" s="25">
        <v>599940</v>
      </c>
      <c r="N10485" s="27">
        <v>0.505</v>
      </c>
    </row>
    <row r="10486" spans="1:14" hidden="1" outlineLevel="1" x14ac:dyDescent="0.2">
      <c r="A10486" s="23" t="str">
        <f>HYPERLINK("https://www.spark-marketing.ru/Card/Person/104107", "МОУ ГИМНАЗИЯ Г.МАЛОЯРОСЛАВЦА")</f>
        <v>МОУ ГИМНАЗИЯ Г.МАЛОЯРОСЛАВЦА</v>
      </c>
      <c r="B10486" s="24" t="s">
        <v>14826</v>
      </c>
      <c r="C10486" s="25">
        <v>1212000</v>
      </c>
      <c r="D10486" s="22" t="s">
        <v>14827</v>
      </c>
      <c r="E10486" s="22" t="s">
        <v>48</v>
      </c>
      <c r="F10486" s="23" t="str">
        <f>HYPERLINK("https://www.spark-marketing.ru/Card/Lot/72380440", "Услуга по организации горячего питания учащихся. (реестровый номер: 2080Э-10/19сб)")</f>
        <v>Услуга по организации горячего питания учащихся. (реестровый номер: 2080Э-10/19сб)</v>
      </c>
      <c r="G10486" s="22" t="s">
        <v>112</v>
      </c>
      <c r="H10486" s="22" t="s">
        <v>112</v>
      </c>
      <c r="I10486" s="26">
        <v>43672.656585648103</v>
      </c>
      <c r="J10486" s="23" t="str">
        <f>HYPERLINK("https://www.spark-marketing.ru/Card/Person/91324", "ООО ""КАЛУЖСКИЙ КОМБИНАТ ШКОЛЬНОГО ПИТАНИЯ""")</f>
        <v>ООО "КАЛУЖСКИЙ КОМБИНАТ ШКОЛЬНОГО ПИТАНИЯ"</v>
      </c>
      <c r="K10486" s="24" t="s">
        <v>14829</v>
      </c>
      <c r="L10486" s="28" t="s">
        <v>51</v>
      </c>
      <c r="M10486" s="25">
        <v>606000</v>
      </c>
      <c r="N10486" s="27">
        <v>0.5</v>
      </c>
    </row>
    <row r="10487" spans="1:14" x14ac:dyDescent="0.15">
      <c r="A10487" s="23" t="str">
        <f>HYPERLINK("https://www.spark-marketing.ru/Card/Person/124857", "МОУ СРЕДНЯЯ ОБЩЕОБРАЗОВАТЕЛЬНАЯ ШКОЛА № 4 Г. МАЛОЯРОСЛАВЦА")</f>
        <v>МОУ СРЕДНЯЯ ОБЩЕОБРАЗОВАТЕЛЬНАЯ ШКОЛА № 4 Г. МАЛОЯРОСЛАВЦА</v>
      </c>
      <c r="B10487" s="24" t="s">
        <v>14830</v>
      </c>
      <c r="C10487" s="25">
        <v>1056900</v>
      </c>
      <c r="D10487" s="22" t="s">
        <v>14831</v>
      </c>
      <c r="E10487" s="22" t="s">
        <v>48</v>
      </c>
      <c r="F10487" s="23" t="str">
        <f>HYPERLINK("https://www.spark-marketing.ru/Card/Lot/72374395", "Оказание услуг по организации горячего питания  учащихся (реестровый номер: 2004Э-10/сб19)")</f>
        <v>Оказание услуг по организации горячего питания  учащихся (реестровый номер: 2004Э-10/сб19)</v>
      </c>
      <c r="G10487" s="22" t="s">
        <v>112</v>
      </c>
      <c r="H10487" s="22" t="s">
        <v>112</v>
      </c>
      <c r="I10487" s="26">
        <v>43672.608773148102</v>
      </c>
      <c r="J10487" s="28" t="s">
        <v>51</v>
      </c>
      <c r="K10487" s="28" t="s">
        <v>51</v>
      </c>
      <c r="L10487" s="28" t="s">
        <v>51</v>
      </c>
      <c r="M10487" s="28" t="s">
        <v>51</v>
      </c>
      <c r="N10487" s="28" t="s">
        <v>51</v>
      </c>
    </row>
    <row r="10488" spans="1:14" ht="12.75" hidden="1" outlineLevel="1" x14ac:dyDescent="0.2">
      <c r="A10488" s="23" t="str">
        <f>HYPERLINK("https://www.spark-marketing.ru/Card/Person/124857", "МОУ СРЕДНЯЯ ОБЩЕОБРАЗОВАТЕЛЬНАЯ ШКОЛА № 4 Г. МАЛОЯРОСЛАВЦА")</f>
        <v>МОУ СРЕДНЯЯ ОБЩЕОБРАЗОВАТЕЛЬНАЯ ШКОЛА № 4 Г. МАЛОЯРОСЛАВЦА</v>
      </c>
      <c r="B10488" s="24" t="s">
        <v>14830</v>
      </c>
      <c r="C10488" s="25">
        <v>1056900</v>
      </c>
      <c r="D10488" s="22" t="s">
        <v>14831</v>
      </c>
      <c r="E10488" s="22" t="s">
        <v>48</v>
      </c>
      <c r="F10488" s="23" t="str">
        <f>HYPERLINK("https://www.spark-marketing.ru/Card/Lot/72374395", "Оказание услуг по организации горячего питания  учащихся (реестровый номер: 2004Э-10/сб19)")</f>
        <v>Оказание услуг по организации горячего питания  учащихся (реестровый номер: 2004Э-10/сб19)</v>
      </c>
      <c r="G10488" s="22" t="s">
        <v>112</v>
      </c>
      <c r="H10488" s="22" t="s">
        <v>112</v>
      </c>
      <c r="I10488" s="26">
        <v>43672.608773148102</v>
      </c>
      <c r="J10488" s="23" t="str">
        <f>HYPERLINK("https://www.spark-marketing.ru/Card/Person/138382", "Киржинова Родима Каншобиевна")</f>
        <v>Киржинова Родима Каншобиевна</v>
      </c>
      <c r="K10488" s="24" t="s">
        <v>14828</v>
      </c>
      <c r="L10488" s="22" t="s">
        <v>10</v>
      </c>
      <c r="M10488" s="25">
        <v>840235.5</v>
      </c>
      <c r="N10488" s="27">
        <v>0.20499999999999999</v>
      </c>
    </row>
    <row r="10489" spans="1:14" hidden="1" outlineLevel="1" x14ac:dyDescent="0.2">
      <c r="A10489" s="23" t="str">
        <f>HYPERLINK("https://www.spark-marketing.ru/Card/Person/124857", "МОУ СРЕДНЯЯ ОБЩЕОБРАЗОВАТЕЛЬНАЯ ШКОЛА № 4 Г. МАЛОЯРОСЛАВЦА")</f>
        <v>МОУ СРЕДНЯЯ ОБЩЕОБРАЗОВАТЕЛЬНАЯ ШКОЛА № 4 Г. МАЛОЯРОСЛАВЦА</v>
      </c>
      <c r="B10489" s="24" t="s">
        <v>14830</v>
      </c>
      <c r="C10489" s="25">
        <v>1056900</v>
      </c>
      <c r="D10489" s="22" t="s">
        <v>14831</v>
      </c>
      <c r="E10489" s="22" t="s">
        <v>48</v>
      </c>
      <c r="F10489" s="23" t="str">
        <f>HYPERLINK("https://www.spark-marketing.ru/Card/Lot/72374395", "Оказание услуг по организации горячего питания  учащихся (реестровый номер: 2004Э-10/сб19)")</f>
        <v>Оказание услуг по организации горячего питания  учащихся (реестровый номер: 2004Э-10/сб19)</v>
      </c>
      <c r="G10489" s="22" t="s">
        <v>112</v>
      </c>
      <c r="H10489" s="22" t="s">
        <v>112</v>
      </c>
      <c r="I10489" s="26">
        <v>43672.608773148102</v>
      </c>
      <c r="J10489" s="23" t="str">
        <f>HYPERLINK("https://www.spark-marketing.ru/Card/Person/91324", "ООО ""КАЛУЖСКИЙ КОМБИНАТ ШКОЛЬНОГО ПИТАНИЯ""")</f>
        <v>ООО "КАЛУЖСКИЙ КОМБИНАТ ШКОЛЬНОГО ПИТАНИЯ"</v>
      </c>
      <c r="K10489" s="24" t="s">
        <v>14829</v>
      </c>
      <c r="L10489" s="28" t="s">
        <v>51</v>
      </c>
      <c r="M10489" s="25">
        <v>845520</v>
      </c>
      <c r="N10489" s="27">
        <v>0.2</v>
      </c>
    </row>
    <row r="10490" spans="1:14" x14ac:dyDescent="0.15">
      <c r="A10490" s="23" t="str">
        <f>HYPERLINK("https://www.spark-marketing.ru/Card/Person/641920", "ОТДЕЛ МВД РОССИИ ПО ЯНАУЛЬСКОМУ РАЙОНУ")</f>
        <v>ОТДЕЛ МВД РОССИИ ПО ЯНАУЛЬСКОМУ РАЙОНУ</v>
      </c>
      <c r="B10490" s="24" t="s">
        <v>12689</v>
      </c>
      <c r="C10490" s="25">
        <v>30000</v>
      </c>
      <c r="D10490" s="22" t="s">
        <v>14832</v>
      </c>
      <c r="E10490" s="22" t="s">
        <v>48</v>
      </c>
      <c r="F10490" s="23" t="str">
        <f>HYPERLINK("https://www.spark-marketing.ru/Card/Lot/72371353",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490" s="22" t="s">
        <v>145</v>
      </c>
      <c r="H10490" s="22" t="s">
        <v>1316</v>
      </c>
      <c r="I10490" s="26">
        <v>43672.615057870396</v>
      </c>
      <c r="J10490" s="28" t="s">
        <v>51</v>
      </c>
      <c r="K10490" s="28" t="s">
        <v>51</v>
      </c>
      <c r="L10490" s="28" t="s">
        <v>51</v>
      </c>
      <c r="M10490" s="28" t="s">
        <v>51</v>
      </c>
      <c r="N10490" s="28" t="s">
        <v>51</v>
      </c>
    </row>
    <row r="10491" spans="1:14" x14ac:dyDescent="0.15">
      <c r="A10491" s="23" t="str">
        <f>HYPERLINK("https://www.spark-marketing.ru/Card/Person/15703", "ОГБУЗ ОБ КО №1")</f>
        <v>ОГБУЗ ОБ КО №1</v>
      </c>
      <c r="B10491" s="24" t="s">
        <v>8817</v>
      </c>
      <c r="C10491" s="25">
        <v>78669.990000000005</v>
      </c>
      <c r="D10491" s="22" t="s">
        <v>14833</v>
      </c>
      <c r="E10491" s="22" t="s">
        <v>695</v>
      </c>
      <c r="F10491" s="23" t="str">
        <f>HYPERLINK("https://www.spark-marketing.ru/Card/Lot/72370925", "Оказание услуг по поверке средств измерений для нужд ОГБУЗ ОБ КО № 1")</f>
        <v>Оказание услуг по поверке средств измерений для нужд ОГБУЗ ОБ КО № 1</v>
      </c>
      <c r="G10491" s="22" t="s">
        <v>292</v>
      </c>
      <c r="H10491" s="22" t="s">
        <v>14834</v>
      </c>
      <c r="I10491" s="26">
        <v>43672.585416666698</v>
      </c>
      <c r="J10491" s="28" t="s">
        <v>51</v>
      </c>
      <c r="K10491" s="28" t="s">
        <v>51</v>
      </c>
      <c r="L10491" s="28" t="s">
        <v>51</v>
      </c>
      <c r="M10491" s="28" t="s">
        <v>51</v>
      </c>
      <c r="N10491" s="28" t="s">
        <v>51</v>
      </c>
    </row>
    <row r="10492" spans="1:14" x14ac:dyDescent="0.15">
      <c r="A10492" s="23" t="str">
        <f>HYPERLINK("https://www.spark-marketing.ru/Card/Person/1056509", "МБОУ ""СШ № 15""")</f>
        <v>МБОУ "СШ № 15"</v>
      </c>
      <c r="B10492" s="24" t="s">
        <v>14835</v>
      </c>
      <c r="C10492" s="25">
        <v>1056020</v>
      </c>
      <c r="D10492" s="22" t="s">
        <v>14836</v>
      </c>
      <c r="E10492" s="22" t="s">
        <v>48</v>
      </c>
      <c r="F10492" s="23" t="str">
        <f>HYPERLINK("https://www.spark-marketing.ru/Card/Lot/72379668", "Оказание услуги по организации горячего питания и обеспечению горячим питанием учащихся МБОУ ""СШ № 15""")</f>
        <v>Оказание услуги по организации горячего питания и обеспечению горячим питанием учащихся МБОУ "СШ № 15"</v>
      </c>
      <c r="G10492" s="22" t="s">
        <v>460</v>
      </c>
      <c r="H10492" s="22" t="s">
        <v>461</v>
      </c>
      <c r="I10492" s="26">
        <v>43672.620925925898</v>
      </c>
      <c r="J10492" s="23" t="str">
        <f>HYPERLINK("https://www.spark-marketing.ru/Card/Person/836702", "МУП ""КСП""")</f>
        <v>МУП "КСП"</v>
      </c>
      <c r="K10492" s="24" t="s">
        <v>6532</v>
      </c>
      <c r="L10492" s="22" t="s">
        <v>10</v>
      </c>
      <c r="M10492" s="28" t="s">
        <v>51</v>
      </c>
      <c r="N10492" s="28" t="s">
        <v>51</v>
      </c>
    </row>
    <row r="10493" spans="1:14" x14ac:dyDescent="0.15">
      <c r="A10493" s="23" t="str">
        <f>HYPERLINK("https://www.spark-marketing.ru/Card/Person/140608", "МОУ СОШ № 1 Г.МАЛОЯРОСЛАВЦА")</f>
        <v>МОУ СОШ № 1 Г.МАЛОЯРОСЛАВЦА</v>
      </c>
      <c r="B10493" s="24" t="s">
        <v>14837</v>
      </c>
      <c r="C10493" s="25">
        <v>1114000</v>
      </c>
      <c r="D10493" s="22" t="s">
        <v>14838</v>
      </c>
      <c r="E10493" s="22" t="s">
        <v>48</v>
      </c>
      <c r="F10493" s="23" t="str">
        <f>HYPERLINK("https://www.spark-marketing.ru/Card/Lot/72374446", "услуга по организации горячего питания учащихся (реестровый номер: 2003Э-10/19сб)")</f>
        <v>услуга по организации горячего питания учащихся (реестровый номер: 2003Э-10/19сб)</v>
      </c>
      <c r="G10493" s="22" t="s">
        <v>112</v>
      </c>
      <c r="H10493" s="22" t="s">
        <v>112</v>
      </c>
      <c r="I10493" s="26">
        <v>43672.6191203704</v>
      </c>
      <c r="J10493" s="28" t="s">
        <v>51</v>
      </c>
      <c r="K10493" s="28" t="s">
        <v>51</v>
      </c>
      <c r="L10493" s="28" t="s">
        <v>51</v>
      </c>
      <c r="M10493" s="28" t="s">
        <v>51</v>
      </c>
      <c r="N10493" s="28" t="s">
        <v>51</v>
      </c>
    </row>
    <row r="10494" spans="1:14" ht="12.75" hidden="1" outlineLevel="1" x14ac:dyDescent="0.2">
      <c r="A10494" s="23" t="str">
        <f>HYPERLINK("https://www.spark-marketing.ru/Card/Person/140608", "МОУ СОШ № 1 Г.МАЛОЯРОСЛАВЦА")</f>
        <v>МОУ СОШ № 1 Г.МАЛОЯРОСЛАВЦА</v>
      </c>
      <c r="B10494" s="24" t="s">
        <v>14837</v>
      </c>
      <c r="C10494" s="25">
        <v>1114000</v>
      </c>
      <c r="D10494" s="22" t="s">
        <v>14838</v>
      </c>
      <c r="E10494" s="22" t="s">
        <v>48</v>
      </c>
      <c r="F10494" s="23" t="str">
        <f>HYPERLINK("https://www.spark-marketing.ru/Card/Lot/72374446", "услуга по организации горячего питания учащихся (реестровый номер: 2003Э-10/19сб)")</f>
        <v>услуга по организации горячего питания учащихся (реестровый номер: 2003Э-10/19сб)</v>
      </c>
      <c r="G10494" s="22" t="s">
        <v>112</v>
      </c>
      <c r="H10494" s="22" t="s">
        <v>112</v>
      </c>
      <c r="I10494" s="26">
        <v>43672.6191203704</v>
      </c>
      <c r="J10494" s="23" t="str">
        <f>HYPERLINK("https://www.spark-marketing.ru/Card/Person/138382", "Киржинова Родима Каншобиевна")</f>
        <v>Киржинова Родима Каншобиевна</v>
      </c>
      <c r="K10494" s="24" t="s">
        <v>14828</v>
      </c>
      <c r="L10494" s="22" t="s">
        <v>10</v>
      </c>
      <c r="M10494" s="25">
        <v>551430</v>
      </c>
      <c r="N10494" s="27">
        <v>0.505</v>
      </c>
    </row>
    <row r="10495" spans="1:14" hidden="1" outlineLevel="1" x14ac:dyDescent="0.2">
      <c r="A10495" s="23" t="str">
        <f>HYPERLINK("https://www.spark-marketing.ru/Card/Person/140608", "МОУ СОШ № 1 Г.МАЛОЯРОСЛАВЦА")</f>
        <v>МОУ СОШ № 1 Г.МАЛОЯРОСЛАВЦА</v>
      </c>
      <c r="B10495" s="24" t="s">
        <v>14837</v>
      </c>
      <c r="C10495" s="25">
        <v>1114000</v>
      </c>
      <c r="D10495" s="22" t="s">
        <v>14838</v>
      </c>
      <c r="E10495" s="22" t="s">
        <v>48</v>
      </c>
      <c r="F10495" s="23" t="str">
        <f>HYPERLINK("https://www.spark-marketing.ru/Card/Lot/72374446", "услуга по организации горячего питания учащихся (реестровый номер: 2003Э-10/19сб)")</f>
        <v>услуга по организации горячего питания учащихся (реестровый номер: 2003Э-10/19сб)</v>
      </c>
      <c r="G10495" s="22" t="s">
        <v>112</v>
      </c>
      <c r="H10495" s="22" t="s">
        <v>112</v>
      </c>
      <c r="I10495" s="26">
        <v>43672.6191203704</v>
      </c>
      <c r="J10495" s="23" t="str">
        <f>HYPERLINK("https://www.spark-marketing.ru/Card/Person/91324", "ООО ""КАЛУЖСКИЙ КОМБИНАТ ШКОЛЬНОГО ПИТАНИЯ""")</f>
        <v>ООО "КАЛУЖСКИЙ КОМБИНАТ ШКОЛЬНОГО ПИТАНИЯ"</v>
      </c>
      <c r="K10495" s="24" t="s">
        <v>14829</v>
      </c>
      <c r="L10495" s="28" t="s">
        <v>51</v>
      </c>
      <c r="M10495" s="25">
        <v>557000</v>
      </c>
      <c r="N10495" s="27">
        <v>0.5</v>
      </c>
    </row>
    <row r="10496" spans="1:14" x14ac:dyDescent="0.15">
      <c r="A10496" s="23" t="str">
        <f>HYPERLINK("https://www.spark-marketing.ru/Card/Person/641920", "ОТДЕЛ МВД РОССИИ ПО ЯНАУЛЬСКОМУ РАЙОНУ")</f>
        <v>ОТДЕЛ МВД РОССИИ ПО ЯНАУЛЬСКОМУ РАЙОНУ</v>
      </c>
      <c r="B10496" s="24" t="s">
        <v>12689</v>
      </c>
      <c r="C10496" s="25">
        <v>30000</v>
      </c>
      <c r="D10496" s="22" t="s">
        <v>14839</v>
      </c>
      <c r="E10496" s="22" t="s">
        <v>48</v>
      </c>
      <c r="F10496" s="23" t="str">
        <f>HYPERLINK("https://www.spark-marketing.ru/Card/Lot/72371106",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496" s="22" t="s">
        <v>145</v>
      </c>
      <c r="H10496" s="22" t="s">
        <v>1316</v>
      </c>
      <c r="I10496" s="26">
        <v>43672.6035416667</v>
      </c>
      <c r="J10496" s="28" t="s">
        <v>51</v>
      </c>
      <c r="K10496" s="28" t="s">
        <v>51</v>
      </c>
      <c r="L10496" s="28" t="s">
        <v>51</v>
      </c>
      <c r="M10496" s="28" t="s">
        <v>51</v>
      </c>
      <c r="N10496" s="28" t="s">
        <v>51</v>
      </c>
    </row>
    <row r="10497" spans="1:14" x14ac:dyDescent="0.15">
      <c r="A10497" s="23" t="str">
        <f>HYPERLINK("https://www.spark-marketing.ru/Card/Person/57217", "ГБУ СШ № 2 КРАСНОГВАРДЕЙСКОГО РАЙОНА")</f>
        <v>ГБУ СШ № 2 КРАСНОГВАРДЕЙСКОГО РАЙОНА</v>
      </c>
      <c r="B10497" s="24" t="s">
        <v>2479</v>
      </c>
      <c r="C10497" s="25">
        <v>552806.1</v>
      </c>
      <c r="D10497" s="22" t="s">
        <v>14840</v>
      </c>
      <c r="E10497" s="22" t="s">
        <v>2481</v>
      </c>
      <c r="F10497" s="23" t="str">
        <f>HYPERLINK("https://www.spark-marketing.ru/Card/Lot/72373884", "Оказание услуг по проведению тренировочного мероприятия для Государственного бюджетного учреждения спортивная школа № 2 Красногвардейского района, для нужд Санкт-Петербурга в 2019 году")</f>
        <v>Оказание услуг по проведению тренировочного мероприятия для Государственного бюджетного учреждения спортивная школа № 2 Красногвардейского района, для нужд Санкт-Петербурга в 2019 году</v>
      </c>
      <c r="G10497" s="22" t="s">
        <v>117</v>
      </c>
      <c r="H10497" s="22" t="s">
        <v>117</v>
      </c>
      <c r="I10497" s="26">
        <v>43672.585717592599</v>
      </c>
      <c r="J10497" s="23" t="str">
        <f>HYPERLINK("https://www.spark-marketing.ru/Card/Person/1561901", "ООО ""ВИВА ТУР""")</f>
        <v>ООО "ВИВА ТУР"</v>
      </c>
      <c r="K10497" s="24" t="s">
        <v>14841</v>
      </c>
      <c r="L10497" s="22" t="s">
        <v>10</v>
      </c>
      <c r="M10497" s="28" t="s">
        <v>51</v>
      </c>
      <c r="N10497" s="28" t="s">
        <v>51</v>
      </c>
    </row>
    <row r="10498" spans="1:14" x14ac:dyDescent="0.15">
      <c r="A10498" s="23" t="str">
        <f>HYPERLINK("https://www.spark-marketing.ru/Card/Person/4989", "ОМВД РОССИИ ПО АЛТАЙСКОМУ РАЙОНУ")</f>
        <v>ОМВД РОССИИ ПО АЛТАЙСКОМУ РАЙОНУ</v>
      </c>
      <c r="B10498" s="24" t="s">
        <v>8874</v>
      </c>
      <c r="C10498" s="25">
        <v>1014480</v>
      </c>
      <c r="D10498" s="22" t="s">
        <v>14842</v>
      </c>
      <c r="E10498" s="22" t="s">
        <v>48</v>
      </c>
      <c r="F10498" s="23" t="str">
        <f>HYPERLINK("https://www.spark-marketing.ru/Card/Lot/72368576", "Услуги по организации питания в изоляторах временного содержания")</f>
        <v>Услуги по организации питания в изоляторах временного содержания</v>
      </c>
      <c r="G10498" s="22" t="s">
        <v>92</v>
      </c>
      <c r="H10498" s="22" t="s">
        <v>8604</v>
      </c>
      <c r="I10498" s="26">
        <v>43672.608333333301</v>
      </c>
      <c r="J10498" s="23" t="str">
        <f>HYPERLINK("https://www.spark-marketing.ru/Card/Person/656603", "ООО "" ОБЩЕПИТ АЛТАЙСКОГО РАЙПО """)</f>
        <v>ООО " ОБЩЕПИТ АЛТАЙСКОГО РАЙПО "</v>
      </c>
      <c r="K10498" s="24" t="s">
        <v>14843</v>
      </c>
      <c r="L10498" s="22" t="s">
        <v>10</v>
      </c>
      <c r="M10498" s="28" t="s">
        <v>51</v>
      </c>
      <c r="N10498" s="28" t="s">
        <v>51</v>
      </c>
    </row>
    <row r="10499" spans="1:14" x14ac:dyDescent="0.15">
      <c r="A10499" s="23" t="str">
        <f>HYPERLINK("https://www.spark-marketing.ru/Card/Person/947535", "ОТДЕЛ МВД РОССИИ ПО НОВОАЛЕКСАНДРОВСКОМУ ГОРОДСКОМУ ОКРУГУ")</f>
        <v>ОТДЕЛ МВД РОССИИ ПО НОВОАЛЕКСАНДРОВСКОМУ ГОРОДСКОМУ ОКРУГУ</v>
      </c>
      <c r="B10499" s="24" t="s">
        <v>14844</v>
      </c>
      <c r="C10499" s="25">
        <v>237600</v>
      </c>
      <c r="D10499" s="22" t="s">
        <v>14845</v>
      </c>
      <c r="E10499" s="22" t="s">
        <v>48</v>
      </c>
      <c r="F10499" s="23" t="str">
        <f>HYPERLINK("https://www.spark-marketing.ru/Card/Lot/72375786", "Питание ИВС 2019")</f>
        <v>Питание ИВС 2019</v>
      </c>
      <c r="G10499" s="22" t="s">
        <v>87</v>
      </c>
      <c r="H10499" s="22" t="s">
        <v>14846</v>
      </c>
      <c r="I10499" s="26">
        <v>43672.617002314801</v>
      </c>
      <c r="J10499" s="23" t="str">
        <f>HYPERLINK("https://www.spark-marketing.ru/Card/Person/6436035", "ООО ""СТАВЮГОПТ""")</f>
        <v>ООО "СТАВЮГОПТ"</v>
      </c>
      <c r="K10499" s="24" t="s">
        <v>14847</v>
      </c>
      <c r="L10499" s="22" t="s">
        <v>10</v>
      </c>
      <c r="M10499" s="28" t="s">
        <v>51</v>
      </c>
      <c r="N10499" s="28" t="s">
        <v>51</v>
      </c>
    </row>
    <row r="10500" spans="1:14" x14ac:dyDescent="0.15">
      <c r="A10500" s="23" t="str">
        <f>HYPERLINK("https://www.spark-marketing.ru/Card/Person/4345465", "МИНЗДРАВ УЛЬЯНОВСКОЙ ОБЛАСТИ")</f>
        <v>МИНЗДРАВ УЛЬЯНОВСКОЙ ОБЛАСТИ</v>
      </c>
      <c r="B10500" s="24" t="s">
        <v>5171</v>
      </c>
      <c r="C10500" s="25">
        <v>12895498.25</v>
      </c>
      <c r="D10500" s="22" t="s">
        <v>14848</v>
      </c>
      <c r="E10500" s="22" t="s">
        <v>5173</v>
      </c>
      <c r="F10500" s="23" t="str">
        <f>HYPERLINK("https://www.spark-marketing.ru/Card/Lot/72381052", "Осуществление функций уполномоченной фармацевтической организации (склада) по оказанию услуги по обеспечению лекарственными препаратами, медицинскими изделиями, а также специализированными продуктами лечебного питания отдельных категорий граждан, име...")</f>
        <v>Осуществление функций уполномоченной фармацевтической организации (склада) по оказанию услуги по обеспечению лекарственными препаратами, медицинскими изделиями, а также специализированными продуктами лечебного питания отдельных категорий граждан, име...</v>
      </c>
      <c r="G10500" s="22" t="s">
        <v>1918</v>
      </c>
      <c r="H10500" s="22" t="s">
        <v>2140</v>
      </c>
      <c r="I10500" s="26">
        <v>43672.603877314803</v>
      </c>
      <c r="J10500" s="28" t="s">
        <v>51</v>
      </c>
      <c r="K10500" s="28" t="s">
        <v>51</v>
      </c>
      <c r="L10500" s="28" t="s">
        <v>51</v>
      </c>
      <c r="M10500" s="28" t="s">
        <v>51</v>
      </c>
      <c r="N10500" s="28" t="s">
        <v>51</v>
      </c>
    </row>
    <row r="10501" spans="1:14" x14ac:dyDescent="0.2">
      <c r="A10501" s="23" t="s">
        <v>114</v>
      </c>
      <c r="B10501" s="28" t="s">
        <v>51</v>
      </c>
      <c r="C10501" s="25">
        <v>6072456</v>
      </c>
      <c r="D10501" s="22" t="s">
        <v>14849</v>
      </c>
      <c r="E10501" s="22" t="s">
        <v>48</v>
      </c>
      <c r="F10501" s="23" t="str">
        <f t="shared" ref="F10501:F10509" si="274">HYPERLINK("https://www.spark-marketing.ru/Card/Lot/72380419", "Оказание услуг на организацию питания категорий детей, определенных Областным законом от 17 ноября 2017 года № 72-оз «Социальный кодекс Ленинградской области», в общеобразовательных учреждениях муниципального образования Тосненский район Ленинградско...")</f>
        <v>Оказание услуг на организацию питания категорий детей, определенных Областным законом от 17 ноября 2017 года № 72-оз «Социальный кодекс Ленинградской области», в общеобразовательных учреждениях муниципального образования Тосненский район Ленинградско...</v>
      </c>
      <c r="G10501" s="22" t="s">
        <v>51</v>
      </c>
      <c r="H10501" s="22" t="s">
        <v>51</v>
      </c>
      <c r="I10501" s="26">
        <v>43672.620138888902</v>
      </c>
      <c r="J10501" s="23" t="str">
        <f t="shared" ref="J10501:J10509" si="275">HYPERLINK("https://www.spark-marketing.ru/Card/Person/133962", "ООО ""НОВЫЙ ВЕК""")</f>
        <v>ООО "НОВЫЙ ВЕК"</v>
      </c>
      <c r="K10501" s="24" t="s">
        <v>3583</v>
      </c>
      <c r="L10501" s="28" t="s">
        <v>51</v>
      </c>
      <c r="M10501" s="25">
        <v>6072456</v>
      </c>
      <c r="N10501" s="27">
        <v>0</v>
      </c>
    </row>
    <row r="10502" spans="1:14" hidden="1" outlineLevel="1" x14ac:dyDescent="0.2">
      <c r="A10502" s="23" t="str">
        <f>HYPERLINK("https://www.spark-marketing.ru/Card/Person/107775", "МБОУ ""СОШ №2 Г.НИКОЛЬСКОЕ""")</f>
        <v>МБОУ "СОШ №2 Г.НИКОЛЬСКОЕ"</v>
      </c>
      <c r="B10502" s="24" t="s">
        <v>14850</v>
      </c>
      <c r="C10502" s="25">
        <v>1239680</v>
      </c>
      <c r="D10502" s="22" t="s">
        <v>14849</v>
      </c>
      <c r="E10502" s="22" t="s">
        <v>48</v>
      </c>
      <c r="F10502" s="23" t="str">
        <f t="shared" si="274"/>
        <v>Оказание услуг на организацию питания категорий детей, определенных Областным законом от 17 ноября 2017 года № 72-оз «Социальный кодекс Ленинградской области», в общеобразовательных учреждениях муниципального образования Тосненский район Ленинградско...</v>
      </c>
      <c r="G10502" s="22" t="s">
        <v>162</v>
      </c>
      <c r="H10502" s="22" t="s">
        <v>4106</v>
      </c>
      <c r="I10502" s="26">
        <v>43672.620138888902</v>
      </c>
      <c r="J10502" s="23" t="str">
        <f t="shared" si="275"/>
        <v>ООО "НОВЫЙ ВЕК"</v>
      </c>
      <c r="K10502" s="24" t="s">
        <v>3583</v>
      </c>
      <c r="L10502" s="28" t="s">
        <v>51</v>
      </c>
      <c r="M10502" s="28" t="s">
        <v>51</v>
      </c>
      <c r="N10502" s="27">
        <v>0</v>
      </c>
    </row>
    <row r="10503" spans="1:14" hidden="1" outlineLevel="1" x14ac:dyDescent="0.2">
      <c r="A10503" s="23" t="str">
        <f>HYPERLINK("https://www.spark-marketing.ru/Card/Person/393403", "МБОУ ""СОШ №4 Г.ТОСНО""")</f>
        <v>МБОУ "СОШ №4 Г.ТОСНО"</v>
      </c>
      <c r="B10503" s="24" t="s">
        <v>14851</v>
      </c>
      <c r="C10503" s="25">
        <v>1162512</v>
      </c>
      <c r="D10503" s="22" t="s">
        <v>14849</v>
      </c>
      <c r="E10503" s="22" t="s">
        <v>48</v>
      </c>
      <c r="F10503" s="23" t="str">
        <f t="shared" si="274"/>
        <v>Оказание услуг на организацию питания категорий детей, определенных Областным законом от 17 ноября 2017 года № 72-оз «Социальный кодекс Ленинградской области», в общеобразовательных учреждениях муниципального образования Тосненский район Ленинградско...</v>
      </c>
      <c r="G10503" s="22" t="s">
        <v>162</v>
      </c>
      <c r="H10503" s="22" t="s">
        <v>4106</v>
      </c>
      <c r="I10503" s="26">
        <v>43672.620138888902</v>
      </c>
      <c r="J10503" s="23" t="str">
        <f t="shared" si="275"/>
        <v>ООО "НОВЫЙ ВЕК"</v>
      </c>
      <c r="K10503" s="24" t="s">
        <v>3583</v>
      </c>
      <c r="L10503" s="28" t="s">
        <v>51</v>
      </c>
      <c r="M10503" s="28" t="s">
        <v>51</v>
      </c>
      <c r="N10503" s="27">
        <v>0</v>
      </c>
    </row>
    <row r="10504" spans="1:14" hidden="1" outlineLevel="1" x14ac:dyDescent="0.2">
      <c r="A10504" s="23" t="str">
        <f>HYPERLINK("https://www.spark-marketing.ru/Card/Person/395445", "МБОУ ""СОШ №1 Г.ТОСНО С УГЛУБЛЕННЫМ ИЗУЧЕНИЕМ ОТДЕЛЬНЫХ ПРЕДМЕТОВ""")</f>
        <v>МБОУ "СОШ №1 Г.ТОСНО С УГЛУБЛЕННЫМ ИЗУЧЕНИЕМ ОТДЕЛЬНЫХ ПРЕДМЕТОВ"</v>
      </c>
      <c r="B10504" s="24" t="s">
        <v>14852</v>
      </c>
      <c r="C10504" s="25">
        <v>839800</v>
      </c>
      <c r="D10504" s="22" t="s">
        <v>14849</v>
      </c>
      <c r="E10504" s="22" t="s">
        <v>48</v>
      </c>
      <c r="F10504" s="23" t="str">
        <f t="shared" si="274"/>
        <v>Оказание услуг на организацию питания категорий детей, определенных Областным законом от 17 ноября 2017 года № 72-оз «Социальный кодекс Ленинградской области», в общеобразовательных учреждениях муниципального образования Тосненский район Ленинградско...</v>
      </c>
      <c r="G10504" s="22" t="s">
        <v>162</v>
      </c>
      <c r="H10504" s="22" t="s">
        <v>4106</v>
      </c>
      <c r="I10504" s="26">
        <v>43672.620138888902</v>
      </c>
      <c r="J10504" s="23" t="str">
        <f t="shared" si="275"/>
        <v>ООО "НОВЫЙ ВЕК"</v>
      </c>
      <c r="K10504" s="24" t="s">
        <v>3583</v>
      </c>
      <c r="L10504" s="28" t="s">
        <v>51</v>
      </c>
      <c r="M10504" s="28" t="s">
        <v>51</v>
      </c>
      <c r="N10504" s="27">
        <v>0</v>
      </c>
    </row>
    <row r="10505" spans="1:14" hidden="1" outlineLevel="1" x14ac:dyDescent="0.2">
      <c r="A10505" s="23" t="str">
        <f>HYPERLINK("https://www.spark-marketing.ru/Card/Person/396641", "МБОУ ""СОШ №3 Г.ТОСНО""")</f>
        <v>МБОУ "СОШ №3 Г.ТОСНО"</v>
      </c>
      <c r="B10505" s="24" t="s">
        <v>14853</v>
      </c>
      <c r="C10505" s="25">
        <v>458432</v>
      </c>
      <c r="D10505" s="22" t="s">
        <v>14849</v>
      </c>
      <c r="E10505" s="22" t="s">
        <v>48</v>
      </c>
      <c r="F10505" s="23" t="str">
        <f t="shared" si="274"/>
        <v>Оказание услуг на организацию питания категорий детей, определенных Областным законом от 17 ноября 2017 года № 72-оз «Социальный кодекс Ленинградской области», в общеобразовательных учреждениях муниципального образования Тосненский район Ленинградско...</v>
      </c>
      <c r="G10505" s="22" t="s">
        <v>162</v>
      </c>
      <c r="H10505" s="22" t="s">
        <v>4106</v>
      </c>
      <c r="I10505" s="26">
        <v>43672.620138888902</v>
      </c>
      <c r="J10505" s="23" t="str">
        <f t="shared" si="275"/>
        <v>ООО "НОВЫЙ ВЕК"</v>
      </c>
      <c r="K10505" s="24" t="s">
        <v>3583</v>
      </c>
      <c r="L10505" s="28" t="s">
        <v>51</v>
      </c>
      <c r="M10505" s="28" t="s">
        <v>51</v>
      </c>
      <c r="N10505" s="27">
        <v>0</v>
      </c>
    </row>
    <row r="10506" spans="1:14" hidden="1" outlineLevel="1" x14ac:dyDescent="0.2">
      <c r="A10506" s="23" t="str">
        <f>HYPERLINK("https://www.spark-marketing.ru/Card/Person/398087", "МБОУ ""СОШ №3 Г.НИКОЛЬСКОЕ""")</f>
        <v>МБОУ "СОШ №3 Г.НИКОЛЬСКОЕ"</v>
      </c>
      <c r="B10506" s="24" t="s">
        <v>14854</v>
      </c>
      <c r="C10506" s="25">
        <v>432640</v>
      </c>
      <c r="D10506" s="22" t="s">
        <v>14849</v>
      </c>
      <c r="E10506" s="22" t="s">
        <v>48</v>
      </c>
      <c r="F10506" s="23" t="str">
        <f t="shared" si="274"/>
        <v>Оказание услуг на организацию питания категорий детей, определенных Областным законом от 17 ноября 2017 года № 72-оз «Социальный кодекс Ленинградской области», в общеобразовательных учреждениях муниципального образования Тосненский район Ленинградско...</v>
      </c>
      <c r="G10506" s="22" t="s">
        <v>162</v>
      </c>
      <c r="H10506" s="22" t="s">
        <v>4106</v>
      </c>
      <c r="I10506" s="26">
        <v>43672.620138888902</v>
      </c>
      <c r="J10506" s="23" t="str">
        <f t="shared" si="275"/>
        <v>ООО "НОВЫЙ ВЕК"</v>
      </c>
      <c r="K10506" s="24" t="s">
        <v>3583</v>
      </c>
      <c r="L10506" s="28" t="s">
        <v>51</v>
      </c>
      <c r="M10506" s="28" t="s">
        <v>51</v>
      </c>
      <c r="N10506" s="27">
        <v>0</v>
      </c>
    </row>
    <row r="10507" spans="1:14" hidden="1" outlineLevel="1" x14ac:dyDescent="0.2">
      <c r="A10507" s="23" t="str">
        <f>HYPERLINK("https://www.spark-marketing.ru/Card/Person/399427", "МБОУ ""ГИМНАЗИЯ №1 Г.НИКОЛЬСКОЕ""")</f>
        <v>МБОУ "ГИМНАЗИЯ №1 Г.НИКОЛЬСКОЕ"</v>
      </c>
      <c r="B10507" s="24" t="s">
        <v>14855</v>
      </c>
      <c r="C10507" s="25">
        <v>591552</v>
      </c>
      <c r="D10507" s="22" t="s">
        <v>14849</v>
      </c>
      <c r="E10507" s="22" t="s">
        <v>48</v>
      </c>
      <c r="F10507" s="23" t="str">
        <f t="shared" si="274"/>
        <v>Оказание услуг на организацию питания категорий детей, определенных Областным законом от 17 ноября 2017 года № 72-оз «Социальный кодекс Ленинградской области», в общеобразовательных учреждениях муниципального образования Тосненский район Ленинградско...</v>
      </c>
      <c r="G10507" s="22" t="s">
        <v>162</v>
      </c>
      <c r="H10507" s="22" t="s">
        <v>4106</v>
      </c>
      <c r="I10507" s="26">
        <v>43672.620138888902</v>
      </c>
      <c r="J10507" s="23" t="str">
        <f t="shared" si="275"/>
        <v>ООО "НОВЫЙ ВЕК"</v>
      </c>
      <c r="K10507" s="24" t="s">
        <v>3583</v>
      </c>
      <c r="L10507" s="28" t="s">
        <v>51</v>
      </c>
      <c r="M10507" s="28" t="s">
        <v>51</v>
      </c>
      <c r="N10507" s="27">
        <v>0</v>
      </c>
    </row>
    <row r="10508" spans="1:14" hidden="1" outlineLevel="1" x14ac:dyDescent="0.2">
      <c r="A10508" s="23" t="str">
        <f>HYPERLINK("https://www.spark-marketing.ru/Card/Person/404863", "МБОУ ""ГИМНАЗИЯ №2 Г. ТОСНО ИМ. ГЕРОЯ СОЦИАЛИСТИЧЕСКОГО ТРУДА Н.Ф.ФЕДОРОВА""")</f>
        <v>МБОУ "ГИМНАЗИЯ №2 Г. ТОСНО ИМ. ГЕРОЯ СОЦИАЛИСТИЧЕСКОГО ТРУДА Н.Ф.ФЕДОРОВА"</v>
      </c>
      <c r="B10508" s="24" t="s">
        <v>14856</v>
      </c>
      <c r="C10508" s="25">
        <v>682240</v>
      </c>
      <c r="D10508" s="22" t="s">
        <v>14849</v>
      </c>
      <c r="E10508" s="22" t="s">
        <v>48</v>
      </c>
      <c r="F10508" s="23" t="str">
        <f t="shared" si="274"/>
        <v>Оказание услуг на организацию питания категорий детей, определенных Областным законом от 17 ноября 2017 года № 72-оз «Социальный кодекс Ленинградской области», в общеобразовательных учреждениях муниципального образования Тосненский район Ленинградско...</v>
      </c>
      <c r="G10508" s="22" t="s">
        <v>162</v>
      </c>
      <c r="H10508" s="22" t="s">
        <v>4106</v>
      </c>
      <c r="I10508" s="26">
        <v>43672.620138888902</v>
      </c>
      <c r="J10508" s="23" t="str">
        <f t="shared" si="275"/>
        <v>ООО "НОВЫЙ ВЕК"</v>
      </c>
      <c r="K10508" s="24" t="s">
        <v>3583</v>
      </c>
      <c r="L10508" s="28" t="s">
        <v>51</v>
      </c>
      <c r="M10508" s="28" t="s">
        <v>51</v>
      </c>
      <c r="N10508" s="27">
        <v>0</v>
      </c>
    </row>
    <row r="10509" spans="1:14" hidden="1" outlineLevel="1" x14ac:dyDescent="0.2">
      <c r="A10509" s="23" t="str">
        <f>HYPERLINK("https://www.spark-marketing.ru/Card/Person/4353960", "МБОУ ""СЕЛЬЦОВСКАЯ СОШ""")</f>
        <v>МБОУ "СЕЛЬЦОВСКАЯ СОШ"</v>
      </c>
      <c r="B10509" s="24" t="s">
        <v>14857</v>
      </c>
      <c r="C10509" s="25">
        <v>665600</v>
      </c>
      <c r="D10509" s="22" t="s">
        <v>14849</v>
      </c>
      <c r="E10509" s="22" t="s">
        <v>48</v>
      </c>
      <c r="F10509" s="23" t="str">
        <f t="shared" si="274"/>
        <v>Оказание услуг на организацию питания категорий детей, определенных Областным законом от 17 ноября 2017 года № 72-оз «Социальный кодекс Ленинградской области», в общеобразовательных учреждениях муниципального образования Тосненский район Ленинградско...</v>
      </c>
      <c r="G10509" s="22" t="s">
        <v>162</v>
      </c>
      <c r="H10509" s="22" t="s">
        <v>4106</v>
      </c>
      <c r="I10509" s="26">
        <v>43672.620138888902</v>
      </c>
      <c r="J10509" s="23" t="str">
        <f t="shared" si="275"/>
        <v>ООО "НОВЫЙ ВЕК"</v>
      </c>
      <c r="K10509" s="24" t="s">
        <v>3583</v>
      </c>
      <c r="L10509" s="28" t="s">
        <v>51</v>
      </c>
      <c r="M10509" s="28" t="s">
        <v>51</v>
      </c>
      <c r="N10509" s="27">
        <v>0</v>
      </c>
    </row>
    <row r="10510" spans="1:14" x14ac:dyDescent="0.15">
      <c r="A10510" s="23" t="str">
        <f>HYPERLINK("https://www.spark-marketing.ru/Card/Person/812636", "ОТДЕЛ МВД РОССИИ ПО АГРЫЗСКОМУ РАЙОНУ")</f>
        <v>ОТДЕЛ МВД РОССИИ ПО АГРЫЗСКОМУ РАЙОНУ</v>
      </c>
      <c r="B10510" s="24" t="s">
        <v>9199</v>
      </c>
      <c r="C10510" s="25">
        <v>528000</v>
      </c>
      <c r="D10510" s="22" t="s">
        <v>14858</v>
      </c>
      <c r="E10510" s="22" t="s">
        <v>48</v>
      </c>
      <c r="F10510" s="23" t="str">
        <f>HYPERLINK("https://www.spark-marketing.ru/Card/Lot/72373893", "Прочая закупка услуг (питание лиц, содержащихся в ИВС, СП и КСЗЛ)")</f>
        <v>Прочая закупка услуг (питание лиц, содержащихся в ИВС, СП и КСЗЛ)</v>
      </c>
      <c r="G10510" s="22" t="s">
        <v>217</v>
      </c>
      <c r="H10510" s="22" t="s">
        <v>9201</v>
      </c>
      <c r="I10510" s="26">
        <v>43672.588495370401</v>
      </c>
      <c r="J10510" s="28" t="s">
        <v>51</v>
      </c>
      <c r="K10510" s="28" t="s">
        <v>51</v>
      </c>
      <c r="L10510" s="28" t="s">
        <v>51</v>
      </c>
      <c r="M10510" s="28" t="s">
        <v>51</v>
      </c>
      <c r="N10510" s="28" t="s">
        <v>51</v>
      </c>
    </row>
    <row r="10511" spans="1:14" x14ac:dyDescent="0.15">
      <c r="A10511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10511" s="24" t="s">
        <v>13798</v>
      </c>
      <c r="C10511" s="25">
        <v>119012.83</v>
      </c>
      <c r="D10511" s="22" t="s">
        <v>14859</v>
      </c>
      <c r="E10511" s="22" t="s">
        <v>14860</v>
      </c>
      <c r="F10511" s="23" t="str">
        <f>HYPERLINK("https://www.spark-marketing.ru/Card/Lot/72370922",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0511" s="22" t="s">
        <v>63</v>
      </c>
      <c r="H10511" s="22" t="s">
        <v>177</v>
      </c>
      <c r="I10511" s="26">
        <v>43672.585416666698</v>
      </c>
      <c r="J10511" s="28" t="s">
        <v>51</v>
      </c>
      <c r="K10511" s="28" t="s">
        <v>51</v>
      </c>
      <c r="L10511" s="28" t="s">
        <v>51</v>
      </c>
      <c r="M10511" s="28" t="s">
        <v>51</v>
      </c>
      <c r="N10511" s="28" t="s">
        <v>51</v>
      </c>
    </row>
    <row r="10512" spans="1:14" x14ac:dyDescent="0.15">
      <c r="A10512" s="23" t="str">
        <f>HYPERLINK("https://www.spark-marketing.ru/Card/Person/34205", "МВД ПО РЕСПУБЛИКЕ ТАТАРСТАН")</f>
        <v>МВД ПО РЕСПУБЛИКЕ ТАТАРСТАН</v>
      </c>
      <c r="B10512" s="24" t="s">
        <v>5565</v>
      </c>
      <c r="C10512" s="25">
        <v>835000</v>
      </c>
      <c r="D10512" s="22" t="s">
        <v>14861</v>
      </c>
      <c r="E10512" s="22" t="s">
        <v>48</v>
      </c>
      <c r="F10512" s="23" t="str">
        <f>HYPERLINK("https://www.spark-marketing.ru/Card/Lot/72373838", "Прочая закупка товаров, работ и услуг (Оказание услуг по организации питания лиц, содержащихся в центре временного содержания несовершеннолетних правонарушителей МВД по Республике Татарстан)")</f>
        <v>Прочая закупка товаров, работ и услуг (Оказание услуг по организации питания лиц, содержащихся в центре временного содержания несовершеннолетних правонарушителей МВД по Республике Татарстан)</v>
      </c>
      <c r="G10512" s="22" t="s">
        <v>217</v>
      </c>
      <c r="H10512" s="22" t="s">
        <v>937</v>
      </c>
      <c r="I10512" s="26">
        <v>43672.565532407403</v>
      </c>
      <c r="J10512" s="23" t="str">
        <f>HYPERLINK("https://www.spark-marketing.ru/Card/Person/4889913", "ООО АНТАРЕС-Х""")</f>
        <v>ООО АНТАРЕС-Х"</v>
      </c>
      <c r="K10512" s="24" t="s">
        <v>2877</v>
      </c>
      <c r="L10512" s="28" t="s">
        <v>51</v>
      </c>
      <c r="M10512" s="28" t="s">
        <v>51</v>
      </c>
      <c r="N10512" s="28" t="s">
        <v>51</v>
      </c>
    </row>
    <row r="10513" spans="1:14" ht="12.75" hidden="1" outlineLevel="1" x14ac:dyDescent="0.2">
      <c r="A10513" s="23" t="str">
        <f>HYPERLINK("https://www.spark-marketing.ru/Card/Person/34205", "МВД ПО РЕСПУБЛИКЕ ТАТАРСТАН")</f>
        <v>МВД ПО РЕСПУБЛИКЕ ТАТАРСТАН</v>
      </c>
      <c r="B10513" s="24" t="s">
        <v>5565</v>
      </c>
      <c r="C10513" s="25">
        <v>835000</v>
      </c>
      <c r="D10513" s="22" t="s">
        <v>14861</v>
      </c>
      <c r="E10513" s="22" t="s">
        <v>48</v>
      </c>
      <c r="F10513" s="23" t="str">
        <f>HYPERLINK("https://www.spark-marketing.ru/Card/Lot/72373838", "Прочая закупка товаров, работ и услуг (Оказание услуг по организации питания лиц, содержащихся в центре временного содержания несовершеннолетних правонарушителей МВД по Республике Татарстан)")</f>
        <v>Прочая закупка товаров, работ и услуг (Оказание услуг по организации питания лиц, содержащихся в центре временного содержания несовершеннолетних правонарушителей МВД по Республике Татарстан)</v>
      </c>
      <c r="G10513" s="22" t="s">
        <v>217</v>
      </c>
      <c r="H10513" s="22" t="s">
        <v>937</v>
      </c>
      <c r="I10513" s="26">
        <v>43672.565532407403</v>
      </c>
      <c r="J10513" s="23" t="str">
        <f>HYPERLINK("https://www.spark-marketing.ru/Card/Person/4889913", "ООО АНТАРЕС-Х""")</f>
        <v>ООО АНТАРЕС-Х"</v>
      </c>
      <c r="K10513" s="24" t="s">
        <v>2877</v>
      </c>
      <c r="L10513" s="22" t="s">
        <v>10</v>
      </c>
      <c r="M10513" s="25">
        <v>320</v>
      </c>
      <c r="N10513" s="27">
        <v>0.99961676646706588</v>
      </c>
    </row>
    <row r="10514" spans="1:14" x14ac:dyDescent="0.15">
      <c r="A10514" s="23" t="str">
        <f>HYPERLINK("https://www.spark-marketing.ru/Card/Person/163901", "МО МВД РОССИИ ""БАТЫРЕВСКИЙ""")</f>
        <v>МО МВД РОССИИ "БАТЫРЕВСКИЙ"</v>
      </c>
      <c r="B10514" s="24" t="s">
        <v>14862</v>
      </c>
      <c r="C10514" s="25">
        <v>209450</v>
      </c>
      <c r="D10514" s="22" t="s">
        <v>14863</v>
      </c>
      <c r="E10514" s="22" t="s">
        <v>48</v>
      </c>
      <c r="F10514" s="23" t="str">
        <f>HYPERLINK("https://www.spark-marketing.ru/Card/Lot/72369321",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514" s="22" t="s">
        <v>618</v>
      </c>
      <c r="H10514" s="22" t="s">
        <v>10481</v>
      </c>
      <c r="I10514" s="26">
        <v>43672.555925925903</v>
      </c>
      <c r="J10514" s="28" t="s">
        <v>51</v>
      </c>
      <c r="K10514" s="28" t="s">
        <v>51</v>
      </c>
      <c r="L10514" s="28" t="s">
        <v>51</v>
      </c>
      <c r="M10514" s="28" t="s">
        <v>51</v>
      </c>
      <c r="N10514" s="28" t="s">
        <v>51</v>
      </c>
    </row>
    <row r="10515" spans="1:14" x14ac:dyDescent="0.15">
      <c r="A10515" s="23" t="str">
        <f>HYPERLINK("https://www.spark-marketing.ru/Card/Person/4347870", "МБОУ СОШ № 56")</f>
        <v>МБОУ СОШ № 56</v>
      </c>
      <c r="B10515" s="24" t="s">
        <v>14864</v>
      </c>
      <c r="C10515" s="25">
        <v>4734175.0999999996</v>
      </c>
      <c r="D10515" s="22" t="s">
        <v>14865</v>
      </c>
      <c r="E10515" s="22" t="s">
        <v>48</v>
      </c>
      <c r="F10515" s="23" t="str">
        <f>HYPERLINK("https://www.spark-marketing.ru/Card/Lot/72368837", "Оказание услуги по организации питания учащихся МБОУ СОШ № 56")</f>
        <v>Оказание услуги по организации питания учащихся МБОУ СОШ № 56</v>
      </c>
      <c r="G10515" s="22" t="s">
        <v>174</v>
      </c>
      <c r="H10515" s="22" t="s">
        <v>174</v>
      </c>
      <c r="I10515" s="26">
        <v>43672.569444444402</v>
      </c>
      <c r="J10515" s="28" t="s">
        <v>51</v>
      </c>
      <c r="K10515" s="28" t="s">
        <v>51</v>
      </c>
      <c r="L10515" s="28" t="s">
        <v>51</v>
      </c>
      <c r="M10515" s="28" t="s">
        <v>51</v>
      </c>
      <c r="N10515" s="28" t="s">
        <v>51</v>
      </c>
    </row>
    <row r="10516" spans="1:14" hidden="1" outlineLevel="1" x14ac:dyDescent="0.2">
      <c r="A10516" s="23" t="str">
        <f>HYPERLINK("https://www.spark-marketing.ru/Card/Person/4347870", "МБОУ СОШ № 56")</f>
        <v>МБОУ СОШ № 56</v>
      </c>
      <c r="B10516" s="24" t="s">
        <v>14864</v>
      </c>
      <c r="C10516" s="25">
        <v>4734175.0999999996</v>
      </c>
      <c r="D10516" s="22" t="s">
        <v>14865</v>
      </c>
      <c r="E10516" s="22" t="s">
        <v>48</v>
      </c>
      <c r="F10516" s="23" t="str">
        <f>HYPERLINK("https://www.spark-marketing.ru/Card/Lot/72368837", "Оказание услуги по организации питания учащихся МБОУ СОШ № 56")</f>
        <v>Оказание услуги по организации питания учащихся МБОУ СОШ № 56</v>
      </c>
      <c r="G10516" s="22" t="s">
        <v>174</v>
      </c>
      <c r="H10516" s="22" t="s">
        <v>174</v>
      </c>
      <c r="I10516" s="26">
        <v>43672.569444444402</v>
      </c>
      <c r="J10516" s="23" t="str">
        <f>HYPERLINK("https://www.spark-marketing.ru/Card/Person/26777", "Розенбах Евгения Олеговна")</f>
        <v>Розенбах Евгения Олеговна</v>
      </c>
      <c r="K10516" s="24" t="s">
        <v>14866</v>
      </c>
      <c r="L10516" s="28" t="s">
        <v>51</v>
      </c>
      <c r="M10516" s="25">
        <v>4141928.05</v>
      </c>
      <c r="N10516" s="27">
        <v>0.12510036859430906</v>
      </c>
    </row>
    <row r="10517" spans="1:14" hidden="1" outlineLevel="1" x14ac:dyDescent="0.2">
      <c r="A10517" s="23" t="str">
        <f>HYPERLINK("https://www.spark-marketing.ru/Card/Person/4347870", "МБОУ СОШ № 56")</f>
        <v>МБОУ СОШ № 56</v>
      </c>
      <c r="B10517" s="24" t="s">
        <v>14864</v>
      </c>
      <c r="C10517" s="25">
        <v>4734175.0999999996</v>
      </c>
      <c r="D10517" s="22" t="s">
        <v>14865</v>
      </c>
      <c r="E10517" s="22" t="s">
        <v>48</v>
      </c>
      <c r="F10517" s="23" t="str">
        <f>HYPERLINK("https://www.spark-marketing.ru/Card/Lot/72368837", "Оказание услуги по организации питания учащихся МБОУ СОШ № 56")</f>
        <v>Оказание услуги по организации питания учащихся МБОУ СОШ № 56</v>
      </c>
      <c r="G10517" s="22" t="s">
        <v>174</v>
      </c>
      <c r="H10517" s="22" t="s">
        <v>174</v>
      </c>
      <c r="I10517" s="26">
        <v>43672.569444444402</v>
      </c>
      <c r="J10517" s="23" t="str">
        <f>HYPERLINK("https://www.spark-marketing.ru/Card/Person/67645", "ООО ""МБП ""ТЕХНОЛОГ""")</f>
        <v>ООО "МБП "ТЕХНОЛОГ"</v>
      </c>
      <c r="K10517" s="24" t="s">
        <v>14867</v>
      </c>
      <c r="L10517" s="28" t="s">
        <v>51</v>
      </c>
      <c r="M10517" s="25">
        <v>4734000</v>
      </c>
      <c r="N10517" s="27">
        <v>3.6986380161561832E-5</v>
      </c>
    </row>
    <row r="10518" spans="1:14" ht="12.75" hidden="1" outlineLevel="1" x14ac:dyDescent="0.2">
      <c r="A10518" s="23" t="str">
        <f>HYPERLINK("https://www.spark-marketing.ru/Card/Person/4347870", "МБОУ СОШ № 56")</f>
        <v>МБОУ СОШ № 56</v>
      </c>
      <c r="B10518" s="24" t="s">
        <v>14864</v>
      </c>
      <c r="C10518" s="25">
        <v>4734175.0999999996</v>
      </c>
      <c r="D10518" s="22" t="s">
        <v>14865</v>
      </c>
      <c r="E10518" s="22" t="s">
        <v>48</v>
      </c>
      <c r="F10518" s="23" t="str">
        <f>HYPERLINK("https://www.spark-marketing.ru/Card/Lot/72368837", "Оказание услуги по организации питания учащихся МБОУ СОШ № 56")</f>
        <v>Оказание услуги по организации питания учащихся МБОУ СОШ № 56</v>
      </c>
      <c r="G10518" s="22" t="s">
        <v>174</v>
      </c>
      <c r="H10518" s="22" t="s">
        <v>174</v>
      </c>
      <c r="I10518" s="26">
        <v>43672.569444444402</v>
      </c>
      <c r="J10518" s="23" t="str">
        <f>HYPERLINK("https://www.spark-marketing.ru/Card/Person/55369", "ООО ""КОМБИНАТ ОБЩЕСТВЕННОГО ПИТАНИЯ""")</f>
        <v>ООО "КОМБИНАТ ОБЩЕСТВЕННОГО ПИТАНИЯ"</v>
      </c>
      <c r="K10518" s="24" t="s">
        <v>1516</v>
      </c>
      <c r="L10518" s="22" t="s">
        <v>10</v>
      </c>
      <c r="M10518" s="25">
        <v>3897658.67</v>
      </c>
      <c r="N10518" s="27">
        <v>0.17669739972228743</v>
      </c>
    </row>
    <row r="10519" spans="1:14" x14ac:dyDescent="0.15">
      <c r="A10519" s="23" t="str">
        <f>HYPERLINK("https://www.spark-marketing.ru/Card/Person/21512", "ОТДЕЛ МВД РОССИИ ПО Г. ЕССЕНТУКИ")</f>
        <v>ОТДЕЛ МВД РОССИИ ПО Г. ЕССЕНТУКИ</v>
      </c>
      <c r="B10519" s="24" t="s">
        <v>14868</v>
      </c>
      <c r="C10519" s="25">
        <v>1198000</v>
      </c>
      <c r="D10519" s="22" t="s">
        <v>14869</v>
      </c>
      <c r="E10519" s="22" t="s">
        <v>48</v>
      </c>
      <c r="F10519" s="23" t="str">
        <f>HYPERLINK("https://www.spark-marketing.ru/Card/Lot/72375571", "услуги по организации питания граждан, содержащихся в камере задержанных свыше 3-х часов, подозреваемых и обвиняемых в совершении преступлений, содержащихся в ИВСП и О")</f>
        <v>услуги по организации питания граждан, содержащихся в камере задержанных свыше 3-х часов, подозреваемых и обвиняемых в совершении преступлений, содержащихся в ИВСП и О</v>
      </c>
      <c r="G10519" s="22" t="s">
        <v>87</v>
      </c>
      <c r="H10519" s="22" t="s">
        <v>604</v>
      </c>
      <c r="I10519" s="26">
        <v>43672.545358796298</v>
      </c>
      <c r="J10519" s="23" t="str">
        <f>HYPERLINK("https://www.spark-marketing.ru/Card/Person/6381202", "Алексанян Корюн Шамирович")</f>
        <v>Алексанян Корюн Шамирович</v>
      </c>
      <c r="K10519" s="24" t="s">
        <v>14870</v>
      </c>
      <c r="L10519" s="22" t="s">
        <v>10</v>
      </c>
      <c r="M10519" s="28" t="s">
        <v>51</v>
      </c>
      <c r="N10519" s="28" t="s">
        <v>51</v>
      </c>
    </row>
    <row r="10520" spans="1:14" x14ac:dyDescent="0.15">
      <c r="A10520" s="23" t="str">
        <f>HYPERLINK("https://www.spark-marketing.ru/Card/Person/21512", "ОТДЕЛ МВД РОССИИ ПО Г. ЕССЕНТУКИ")</f>
        <v>ОТДЕЛ МВД РОССИИ ПО Г. ЕССЕНТУКИ</v>
      </c>
      <c r="B10520" s="24" t="s">
        <v>14868</v>
      </c>
      <c r="C10520" s="25">
        <v>1198000</v>
      </c>
      <c r="D10520" s="22" t="s">
        <v>14871</v>
      </c>
      <c r="E10520" s="22" t="s">
        <v>48</v>
      </c>
      <c r="F10520" s="23" t="str">
        <f>HYPERLINK("https://www.spark-marketing.ru/Card/Lot/72375618", "услуги по организации горячего питания граждан, содержащихся в камере задержанных лиц ДЧсвыше 3-х часов, подозреваемых и обвиняемых в совершении преступлений,содержащихся в ИВСП и О")</f>
        <v>услуги по организации горячего питания граждан, содержащихся в камере задержанных лиц ДЧсвыше 3-х часов, подозреваемых и обвиняемых в совершении преступлений,содержащихся в ИВСП и О</v>
      </c>
      <c r="G10520" s="22" t="s">
        <v>87</v>
      </c>
      <c r="H10520" s="22" t="s">
        <v>604</v>
      </c>
      <c r="I10520" s="26">
        <v>43672.559884259303</v>
      </c>
      <c r="J10520" s="23" t="str">
        <f>HYPERLINK("https://www.spark-marketing.ru/Card/Person/6381202", "Алексанян Корюн Шамирович")</f>
        <v>Алексанян Корюн Шамирович</v>
      </c>
      <c r="K10520" s="24" t="s">
        <v>14870</v>
      </c>
      <c r="L10520" s="22" t="s">
        <v>10</v>
      </c>
      <c r="M10520" s="28" t="s">
        <v>51</v>
      </c>
      <c r="N10520" s="28" t="s">
        <v>51</v>
      </c>
    </row>
    <row r="10521" spans="1:14" x14ac:dyDescent="0.15">
      <c r="A10521" s="23" t="str">
        <f>HYPERLINK("https://www.spark-marketing.ru/Card/Person/101010", "УМВД РОССИИ ПО Г. ЧЕБОКСАРЫ")</f>
        <v>УМВД РОССИИ ПО Г. ЧЕБОКСАРЫ</v>
      </c>
      <c r="B10521" s="24" t="s">
        <v>2840</v>
      </c>
      <c r="C10521" s="25">
        <v>5858559</v>
      </c>
      <c r="D10521" s="22" t="s">
        <v>14872</v>
      </c>
      <c r="E10521" s="22" t="s">
        <v>96</v>
      </c>
      <c r="F10521" s="23" t="str">
        <f>HYPERLINK("https://www.spark-marketing.ru/Card/Lot/72374331", "Услуги по обеспечению ежедневным горячим питанием подозреваемых и обвиняемых в совершении преступлений, содержащихся в изоляторе временного содержания, лиц задержанных, арестованных в административном порядке")</f>
        <v>Услуги по обеспечению ежедневным горячим питанием подозреваемых и обвиняемых в совершении преступлений, содержащихся в изоляторе временного содержания, лиц задержанных, арестованных в административном порядке</v>
      </c>
      <c r="G10521" s="22" t="s">
        <v>618</v>
      </c>
      <c r="H10521" s="22" t="s">
        <v>2842</v>
      </c>
      <c r="I10521" s="26">
        <v>43672.558622685203</v>
      </c>
      <c r="J10521" s="23" t="str">
        <f>HYPERLINK("https://www.spark-marketing.ru/Card/Person/624205", "ООО ""СТОЛОВАЯ""")</f>
        <v>ООО "СТОЛОВАЯ"</v>
      </c>
      <c r="K10521" s="24" t="s">
        <v>2843</v>
      </c>
      <c r="L10521" s="22" t="s">
        <v>10</v>
      </c>
      <c r="M10521" s="28" t="s">
        <v>51</v>
      </c>
      <c r="N10521" s="28" t="s">
        <v>51</v>
      </c>
    </row>
    <row r="10522" spans="1:14" x14ac:dyDescent="0.15">
      <c r="A10522" s="23" t="str">
        <f>HYPERLINK("https://www.spark-marketing.ru/Card/Person/163901", "МО МВД РОССИИ ""БАТЫРЕВСКИЙ""")</f>
        <v>МО МВД РОССИИ "БАТЫРЕВСКИЙ"</v>
      </c>
      <c r="B10522" s="24" t="s">
        <v>14862</v>
      </c>
      <c r="C10522" s="25">
        <v>209450</v>
      </c>
      <c r="D10522" s="22" t="s">
        <v>14873</v>
      </c>
      <c r="E10522" s="22" t="s">
        <v>48</v>
      </c>
      <c r="F10522" s="23" t="str">
        <f>HYPERLINK("https://www.spark-marketing.ru/Card/Lot/72368590",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522" s="22" t="s">
        <v>618</v>
      </c>
      <c r="H10522" s="22" t="s">
        <v>10481</v>
      </c>
      <c r="I10522" s="26">
        <v>43672.552013888897</v>
      </c>
      <c r="J10522" s="28" t="s">
        <v>51</v>
      </c>
      <c r="K10522" s="28" t="s">
        <v>51</v>
      </c>
      <c r="L10522" s="28" t="s">
        <v>51</v>
      </c>
      <c r="M10522" s="28" t="s">
        <v>51</v>
      </c>
      <c r="N10522" s="28" t="s">
        <v>51</v>
      </c>
    </row>
    <row r="10523" spans="1:14" x14ac:dyDescent="0.15">
      <c r="A10523" s="23" t="str">
        <f>HYPERLINK("https://www.spark-marketing.ru/Card/Person/9555", "ОМВД РОССИИ ПО ОНЕЖСКОМУ РАЙОНУ")</f>
        <v>ОМВД РОССИИ ПО ОНЕЖСКОМУ РАЙОНУ</v>
      </c>
      <c r="B10523" s="24" t="s">
        <v>7536</v>
      </c>
      <c r="C10523" s="25">
        <v>1560000</v>
      </c>
      <c r="D10523" s="22" t="s">
        <v>14874</v>
      </c>
      <c r="E10523" s="22" t="s">
        <v>48</v>
      </c>
      <c r="F10523" s="23" t="str">
        <f>HYPERLINK("https://www.spark-marketing.ru/Card/Lot/72374337", "Услуги по обеспечению питанием ИВС и СПСЗЛ")</f>
        <v>Услуги по обеспечению питанием ИВС и СПСЗЛ</v>
      </c>
      <c r="G10523" s="22" t="s">
        <v>214</v>
      </c>
      <c r="H10523" s="22" t="s">
        <v>214</v>
      </c>
      <c r="I10523" s="26">
        <v>43672.563391203701</v>
      </c>
      <c r="J10523" s="28" t="s">
        <v>51</v>
      </c>
      <c r="K10523" s="28" t="s">
        <v>51</v>
      </c>
      <c r="L10523" s="28" t="s">
        <v>51</v>
      </c>
      <c r="M10523" s="28" t="s">
        <v>51</v>
      </c>
      <c r="N10523" s="28" t="s">
        <v>51</v>
      </c>
    </row>
    <row r="10524" spans="1:14" x14ac:dyDescent="0.15">
      <c r="A10524" s="23" t="str">
        <f>HYPERLINK("https://www.spark-marketing.ru/Card/Person/291413", "ОТДЕЛ МВД РОССИИ ПО ГРИБАНОВСКОМУ РАЙОНУ")</f>
        <v>ОТДЕЛ МВД РОССИИ ПО ГРИБАНОВСКОМУ РАЙОНУ</v>
      </c>
      <c r="B10524" s="24" t="s">
        <v>5359</v>
      </c>
      <c r="C10524" s="25">
        <v>75000</v>
      </c>
      <c r="D10524" s="22" t="s">
        <v>14875</v>
      </c>
      <c r="E10524" s="22" t="s">
        <v>48</v>
      </c>
      <c r="F10524" s="23" t="str">
        <f>HYPERLINK("https://www.spark-marketing.ru/Card/Lot/72369399",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524" s="22" t="s">
        <v>82</v>
      </c>
      <c r="H10524" s="22" t="s">
        <v>5361</v>
      </c>
      <c r="I10524" s="26">
        <v>43672.567488425899</v>
      </c>
      <c r="J10524" s="28" t="s">
        <v>51</v>
      </c>
      <c r="K10524" s="28" t="s">
        <v>51</v>
      </c>
      <c r="L10524" s="28" t="s">
        <v>51</v>
      </c>
      <c r="M10524" s="28" t="s">
        <v>51</v>
      </c>
      <c r="N10524" s="28" t="s">
        <v>51</v>
      </c>
    </row>
    <row r="10525" spans="1:14" x14ac:dyDescent="0.15">
      <c r="A10525" s="23" t="str">
        <f>HYPERLINK("https://www.spark-marketing.ru/Card/Person/291413", "ОТДЕЛ МВД РОССИИ ПО ГРИБАНОВСКОМУ РАЙОНУ")</f>
        <v>ОТДЕЛ МВД РОССИИ ПО ГРИБАНОВСКОМУ РАЙОНУ</v>
      </c>
      <c r="B10525" s="24" t="s">
        <v>5359</v>
      </c>
      <c r="C10525" s="25">
        <v>75000</v>
      </c>
      <c r="D10525" s="22" t="s">
        <v>14876</v>
      </c>
      <c r="E10525" s="22" t="s">
        <v>48</v>
      </c>
      <c r="F10525" s="23" t="str">
        <f>HYPERLINK("https://www.spark-marketing.ru/Card/Lot/72369397",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525" s="22" t="s">
        <v>82</v>
      </c>
      <c r="H10525" s="22" t="s">
        <v>5361</v>
      </c>
      <c r="I10525" s="26">
        <v>43672.566099536998</v>
      </c>
      <c r="J10525" s="28" t="s">
        <v>51</v>
      </c>
      <c r="K10525" s="28" t="s">
        <v>51</v>
      </c>
      <c r="L10525" s="28" t="s">
        <v>51</v>
      </c>
      <c r="M10525" s="28" t="s">
        <v>51</v>
      </c>
      <c r="N10525" s="28" t="s">
        <v>51</v>
      </c>
    </row>
    <row r="10526" spans="1:14" x14ac:dyDescent="0.2">
      <c r="A10526" s="23" t="str">
        <f>HYPERLINK("https://www.spark-marketing.ru/Card/Person/1759183", "МАУ ""ДВОРЕЦ СПОРТА""")</f>
        <v>МАУ "ДВОРЕЦ СПОРТА"</v>
      </c>
      <c r="B10526" s="24" t="s">
        <v>9552</v>
      </c>
      <c r="C10526" s="25">
        <v>302400</v>
      </c>
      <c r="D10526" s="22" t="s">
        <v>14877</v>
      </c>
      <c r="E10526" s="22" t="s">
        <v>794</v>
      </c>
      <c r="F10526" s="23" t="str">
        <f>HYPERLINK("https://www.spark-marketing.ru/Card/Lot/72416667", "Услуги по организации проживания и питания сопровождающих в летние лагеря")</f>
        <v>Услуги по организации проживания и питания сопровождающих в летние лагеря</v>
      </c>
      <c r="G10526" s="22" t="s">
        <v>97</v>
      </c>
      <c r="H10526" s="22" t="s">
        <v>97</v>
      </c>
      <c r="I10526" s="26">
        <v>43672.506712962997</v>
      </c>
      <c r="J10526" s="28" t="s">
        <v>51</v>
      </c>
      <c r="K10526" s="28" t="s">
        <v>51</v>
      </c>
      <c r="L10526" s="28" t="s">
        <v>51</v>
      </c>
      <c r="M10526" s="25">
        <v>302400</v>
      </c>
      <c r="N10526" s="27">
        <v>0</v>
      </c>
    </row>
    <row r="10527" spans="1:14" x14ac:dyDescent="0.15">
      <c r="A10527" s="23" t="str">
        <f>HYPERLINK("https://www.spark-marketing.ru/Card/Person/34132", "СПБ ГБПОУ ""УОР № 1""")</f>
        <v>СПБ ГБПОУ "УОР № 1"</v>
      </c>
      <c r="B10527" s="24" t="s">
        <v>632</v>
      </c>
      <c r="C10527" s="25">
        <v>494282.8</v>
      </c>
      <c r="D10527" s="22" t="s">
        <v>14878</v>
      </c>
      <c r="E10527" s="22" t="s">
        <v>374</v>
      </c>
      <c r="F10527" s="23" t="str">
        <f>HYPERLINK("https://www.spark-marketing.ru/Card/Lot/72373755", "Оказание на 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предоставления спортивного соору...")</f>
        <v>Оказание на 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проживания и предоставления спортивного соору...</v>
      </c>
      <c r="G10527" s="22" t="s">
        <v>117</v>
      </c>
      <c r="H10527" s="22" t="s">
        <v>117</v>
      </c>
      <c r="I10527" s="26">
        <v>43672.539247685199</v>
      </c>
      <c r="J10527" s="23" t="str">
        <f>HYPERLINK("https://www.spark-marketing.ru/Card/Person/6514967", "ООО ""АЛЬЯНС""")</f>
        <v>ООО "АЛЬЯНС"</v>
      </c>
      <c r="K10527" s="24" t="s">
        <v>1634</v>
      </c>
      <c r="L10527" s="22" t="s">
        <v>10</v>
      </c>
      <c r="M10527" s="28" t="s">
        <v>51</v>
      </c>
      <c r="N10527" s="28" t="s">
        <v>51</v>
      </c>
    </row>
    <row r="10528" spans="1:14" x14ac:dyDescent="0.2">
      <c r="A10528" s="23" t="str">
        <f>HYPERLINK("https://www.spark-marketing.ru/Card/Person/1763652", "МАОУ СОШ №70 ГОРОДА ТЮМЕНИ")</f>
        <v>МАОУ СОШ №70 ГОРОДА ТЮМЕНИ</v>
      </c>
      <c r="B10528" s="24" t="s">
        <v>14879</v>
      </c>
      <c r="C10528" s="25">
        <v>145300760</v>
      </c>
      <c r="D10528" s="22" t="s">
        <v>14880</v>
      </c>
      <c r="E10528" s="22" t="s">
        <v>362</v>
      </c>
      <c r="F10528" s="23" t="str">
        <f>HYPERLINK("https://www.spark-marketing.ru/Card/Lot/72416962", "Оказание услуги по обеспечению питанием обучающихся")</f>
        <v>Оказание услуги по обеспечению питанием обучающихся</v>
      </c>
      <c r="G10528" s="22" t="s">
        <v>766</v>
      </c>
      <c r="H10528" s="22" t="s">
        <v>766</v>
      </c>
      <c r="I10528" s="26">
        <v>43672.5299421296</v>
      </c>
      <c r="J10528" s="28" t="s">
        <v>51</v>
      </c>
      <c r="K10528" s="28" t="s">
        <v>51</v>
      </c>
      <c r="L10528" s="22" t="s">
        <v>10</v>
      </c>
      <c r="M10528" s="25">
        <v>144363140</v>
      </c>
      <c r="N10528" s="27">
        <v>6.4529600533403952E-3</v>
      </c>
    </row>
    <row r="10529" spans="1:14" x14ac:dyDescent="0.15">
      <c r="A10529" s="23" t="str">
        <f>HYPERLINK("https://www.spark-marketing.ru/Card/Person/267554", "ОМВД РОССИИ ""НЯНДОМСКИЙ""")</f>
        <v>ОМВД РОССИИ "НЯНДОМСКИЙ"</v>
      </c>
      <c r="B10529" s="24" t="s">
        <v>5793</v>
      </c>
      <c r="C10529" s="25">
        <v>321569.93</v>
      </c>
      <c r="D10529" s="22" t="s">
        <v>14881</v>
      </c>
      <c r="E10529" s="22" t="s">
        <v>48</v>
      </c>
      <c r="F10529" s="23" t="str">
        <f>HYPERLINK("https://www.spark-marketing.ru/Card/Lot/72373773", "Услуги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ОП ""Каргопольский"", в соответствии с нормой суточного довольствия, а также...")</f>
        <v>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ОП "Каргопольский", в соответствии с нормой суточного довольствия, а также...</v>
      </c>
      <c r="G10529" s="22" t="s">
        <v>214</v>
      </c>
      <c r="H10529" s="22" t="s">
        <v>214</v>
      </c>
      <c r="I10529" s="26">
        <v>43672.500115740702</v>
      </c>
      <c r="J10529" s="28" t="s">
        <v>51</v>
      </c>
      <c r="K10529" s="28" t="s">
        <v>51</v>
      </c>
      <c r="L10529" s="28" t="s">
        <v>51</v>
      </c>
      <c r="M10529" s="28" t="s">
        <v>51</v>
      </c>
      <c r="N10529" s="28" t="s">
        <v>51</v>
      </c>
    </row>
    <row r="10530" spans="1:14" x14ac:dyDescent="0.15">
      <c r="A10530" s="23" t="str">
        <f>HYPERLINK("https://www.spark-marketing.ru/Card/Person/1042885", "МЕЖМУНИЦИПАЛЬНЫЙ ОТДЕЛ МВД РОССИИ ""ВЕРЕЩАГИНСКИЙ""")</f>
        <v>МЕЖМУНИЦИПАЛЬНЫЙ ОТДЕЛ МВД РОССИИ "ВЕРЕЩАГИНСКИЙ"</v>
      </c>
      <c r="B10530" s="24" t="s">
        <v>9891</v>
      </c>
      <c r="C10530" s="25">
        <v>858595.6</v>
      </c>
      <c r="D10530" s="22" t="s">
        <v>14882</v>
      </c>
      <c r="E10530" s="22" t="s">
        <v>48</v>
      </c>
      <c r="F10530" s="23" t="str">
        <f>HYPERLINK("https://www.spark-marketing.ru/Card/Lot/72371448", "Оказание услуг по организации комплексного горячего питания арестованных и административно-задержанных лиц (включая выходные и праздничные дни), содержащихся в изоляторе временного содержания и дежурной части")</f>
        <v>Оказание услуг по организации комплексного горячего питания арестованных и административно-задержанных лиц (включая выходные и праздничные дни), содержащихся в изоляторе временного содержания и дежурной части</v>
      </c>
      <c r="G10530" s="22" t="s">
        <v>153</v>
      </c>
      <c r="H10530" s="22" t="s">
        <v>153</v>
      </c>
      <c r="I10530" s="26">
        <v>43672.501134259299</v>
      </c>
      <c r="J10530" s="23" t="str">
        <f>HYPERLINK("https://www.spark-marketing.ru/Card/Person/780721", "МУП ""ВКДП""")</f>
        <v>МУП "ВКДП"</v>
      </c>
      <c r="K10530" s="24" t="s">
        <v>7912</v>
      </c>
      <c r="L10530" s="22" t="s">
        <v>10</v>
      </c>
      <c r="M10530" s="28" t="s">
        <v>51</v>
      </c>
      <c r="N10530" s="28" t="s">
        <v>51</v>
      </c>
    </row>
    <row r="10531" spans="1:14" x14ac:dyDescent="0.15">
      <c r="A10531" s="23" t="str">
        <f>HYPERLINK("https://www.spark-marketing.ru/Card/Person/5812", "ГБУЗ РХ ""УСТЬ-АБАКАНСКАЯ РБ""")</f>
        <v>ГБУЗ РХ "УСТЬ-АБАКАНСКАЯ РБ"</v>
      </c>
      <c r="B10531" s="24" t="s">
        <v>9679</v>
      </c>
      <c r="C10531" s="25">
        <v>182000</v>
      </c>
      <c r="D10531" s="22" t="s">
        <v>14883</v>
      </c>
      <c r="E10531" s="22" t="s">
        <v>621</v>
      </c>
      <c r="F10531" s="23" t="str">
        <f>HYPERLINK("https://www.spark-marketing.ru/Card/Lot/72363572", "Оказание услуг по сопровождению программных продуктов «1С: Бухгалтерия государственного учреждения 8», «1С: Медицина. Федеральные регистры», «1С: Медицина. Диетическое питание» в целях обеспечения деятельности предприятия ГБУЗ РХ ""Усть-Абаканская РБ...")</f>
        <v>Оказание услуг по сопровождению программных продуктов «1С: Бухгалтерия государственного учреждения 8», «1С: Медицина. Федеральные регистры», «1С: Медицина. Диетическое питание» в целях обеспечения деятельности предприятия ГБУЗ РХ "Усть-Абаканская РБ...</v>
      </c>
      <c r="G10531" s="22" t="s">
        <v>92</v>
      </c>
      <c r="H10531" s="22" t="s">
        <v>9681</v>
      </c>
      <c r="I10531" s="26">
        <v>43672.528900463003</v>
      </c>
      <c r="J10531" s="23" t="str">
        <f>HYPERLINK("https://www.spark-marketing.ru/Card/Person/648044", "ООО ""АКСИОМА""")</f>
        <v>ООО "АКСИОМА"</v>
      </c>
      <c r="K10531" s="24" t="s">
        <v>14884</v>
      </c>
      <c r="L10531" s="22" t="s">
        <v>10</v>
      </c>
      <c r="M10531" s="28" t="s">
        <v>51</v>
      </c>
      <c r="N10531" s="28" t="s">
        <v>51</v>
      </c>
    </row>
    <row r="10532" spans="1:14" x14ac:dyDescent="0.15">
      <c r="A10532" s="23" t="str">
        <f>HYPERLINK("https://www.spark-marketing.ru/Card/Person/4345465", "МИНЗДРАВ УЛЬЯНОВСКОЙ ОБЛАСТИ")</f>
        <v>МИНЗДРАВ УЛЬЯНОВСКОЙ ОБЛАСТИ</v>
      </c>
      <c r="B10532" s="24" t="s">
        <v>5171</v>
      </c>
      <c r="C10532" s="25">
        <v>16079375.18</v>
      </c>
      <c r="D10532" s="22" t="s">
        <v>14885</v>
      </c>
      <c r="E10532" s="22" t="s">
        <v>5173</v>
      </c>
      <c r="F10532" s="23" t="str">
        <f>HYPERLINK("https://www.spark-marketing.ru/Card/Lot/72372687", "Осуществление функций уполномоченной фармацевтической организации (склада) по оказанию услуги по обеспечению лекарственными препаратами, медицинскими изделиями, а также специализированными продуктами лечебного питания граждан Ульяновской области, стр...")</f>
        <v>Осуществление функций уполномоченной фармацевтической организации (склада) по оказанию услуги по обеспечению лекарственными препаратами, медицинскими изделиями, а также специализированными продуктами лечебного питания граждан Ульяновской области, стр...</v>
      </c>
      <c r="G10532" s="22" t="s">
        <v>1918</v>
      </c>
      <c r="H10532" s="22" t="s">
        <v>2140</v>
      </c>
      <c r="I10532" s="26">
        <v>43672.522546296299</v>
      </c>
      <c r="J10532" s="28" t="s">
        <v>51</v>
      </c>
      <c r="K10532" s="28" t="s">
        <v>51</v>
      </c>
      <c r="L10532" s="28" t="s">
        <v>51</v>
      </c>
      <c r="M10532" s="28" t="s">
        <v>51</v>
      </c>
      <c r="N10532" s="28" t="s">
        <v>51</v>
      </c>
    </row>
    <row r="10533" spans="1:14" x14ac:dyDescent="0.15">
      <c r="A10533" s="23" t="str">
        <f>HYPERLINK("https://www.spark-marketing.ru/Card/Person/1061280", "МКОУ""ЕРМАКОВСКАЯ ОШ""")</f>
        <v>МКОУ"ЕРМАКОВСКАЯ ОШ"</v>
      </c>
      <c r="B10533" s="24" t="s">
        <v>14886</v>
      </c>
      <c r="C10533" s="25">
        <v>5485</v>
      </c>
      <c r="D10533" s="22" t="s">
        <v>14887</v>
      </c>
      <c r="E10533" s="22" t="s">
        <v>355</v>
      </c>
      <c r="F10533" s="23" t="str">
        <f>HYPERLINK("https://www.spark-marketing.ru/Card/Lot/72367291", "Замена аккумуляторов и прибора управления оповещением Рокот-4 (№44-ФЗ)")</f>
        <v>Замена аккумуляторов и прибора управления оповещением Рокот-4 (№44-ФЗ)</v>
      </c>
      <c r="G10533" s="22" t="s">
        <v>195</v>
      </c>
      <c r="H10533" s="22" t="s">
        <v>14888</v>
      </c>
      <c r="I10533" s="26">
        <v>43672.517361111102</v>
      </c>
      <c r="J10533" s="28" t="s">
        <v>51</v>
      </c>
      <c r="K10533" s="28" t="s">
        <v>51</v>
      </c>
      <c r="L10533" s="28" t="s">
        <v>51</v>
      </c>
      <c r="M10533" s="28" t="s">
        <v>51</v>
      </c>
      <c r="N10533" s="28" t="s">
        <v>51</v>
      </c>
    </row>
    <row r="10534" spans="1:14" x14ac:dyDescent="0.15">
      <c r="A10534" s="23" t="str">
        <f>HYPERLINK("https://www.spark-marketing.ru/Card/Person/65936", "ГБДОУ ДЕТСКИЙ САД № 39 ПУШКИНСКОГО РАЙОНА СПБ")</f>
        <v>ГБДОУ ДЕТСКИЙ САД № 39 ПУШКИНСКОГО РАЙОНА СПБ</v>
      </c>
      <c r="B10534" s="24" t="s">
        <v>14889</v>
      </c>
      <c r="C10534" s="25">
        <v>1211148</v>
      </c>
      <c r="D10534" s="22" t="s">
        <v>14890</v>
      </c>
      <c r="E10534" s="22" t="s">
        <v>48</v>
      </c>
      <c r="F10534" s="23" t="str">
        <f>HYPERLINK("https://www.spark-marketing.ru/Card/Lot/72370147", "Оказание услуг по организации питания детей в возрасте от 3 до 7 лет, посещающих ГБДОУ детский сад № 39 Пушкинского района СПб в 2019 году")</f>
        <v>Оказание услуг по организации питания детей в возрасте от 3 до 7 лет, посещающих ГБДОУ детский сад № 39 Пушкинского района СПб в 2019 году</v>
      </c>
      <c r="G10534" s="22" t="s">
        <v>117</v>
      </c>
      <c r="H10534" s="22" t="s">
        <v>117</v>
      </c>
      <c r="I10534" s="26">
        <v>43672.500289351898</v>
      </c>
      <c r="J10534" s="28" t="s">
        <v>51</v>
      </c>
      <c r="K10534" s="28" t="s">
        <v>51</v>
      </c>
      <c r="L10534" s="28" t="s">
        <v>51</v>
      </c>
      <c r="M10534" s="28" t="s">
        <v>51</v>
      </c>
      <c r="N10534" s="28" t="s">
        <v>51</v>
      </c>
    </row>
    <row r="10535" spans="1:14" ht="12.75" hidden="1" outlineLevel="1" x14ac:dyDescent="0.2">
      <c r="A10535" s="23" t="str">
        <f>HYPERLINK("https://www.spark-marketing.ru/Card/Person/65936", "ГБДОУ ДЕТСКИЙ САД № 39 ПУШКИНСКОГО РАЙОНА СПБ")</f>
        <v>ГБДОУ ДЕТСКИЙ САД № 39 ПУШКИНСКОГО РАЙОНА СПБ</v>
      </c>
      <c r="B10535" s="24" t="s">
        <v>14889</v>
      </c>
      <c r="C10535" s="25">
        <v>1211148</v>
      </c>
      <c r="D10535" s="22" t="s">
        <v>14890</v>
      </c>
      <c r="E10535" s="22" t="s">
        <v>48</v>
      </c>
      <c r="F10535" s="23" t="str">
        <f>HYPERLINK("https://www.spark-marketing.ru/Card/Lot/72370147", "Оказание услуг по организации питания детей в возрасте от 3 до 7 лет, посещающих ГБДОУ детский сад № 39 Пушкинского района СПб в 2019 году")</f>
        <v>Оказание услуг по организации питания детей в возрасте от 3 до 7 лет, посещающих ГБДОУ детский сад № 39 Пушкинского района СПб в 2019 году</v>
      </c>
      <c r="G10535" s="22" t="s">
        <v>117</v>
      </c>
      <c r="H10535" s="22" t="s">
        <v>117</v>
      </c>
      <c r="I10535" s="26">
        <v>43672.500289351898</v>
      </c>
      <c r="J10535" s="23" t="str">
        <f>HYPERLINK("https://www.spark-marketing.ru/Card/Person/914815", "ООО ""СОКОС""")</f>
        <v>ООО "СОКОС"</v>
      </c>
      <c r="K10535" s="24" t="s">
        <v>14891</v>
      </c>
      <c r="L10535" s="22" t="s">
        <v>10</v>
      </c>
      <c r="M10535" s="25">
        <v>1077921.72</v>
      </c>
      <c r="N10535" s="27">
        <v>0.11</v>
      </c>
    </row>
    <row r="10536" spans="1:14" hidden="1" outlineLevel="1" x14ac:dyDescent="0.2">
      <c r="A10536" s="23" t="str">
        <f>HYPERLINK("https://www.spark-marketing.ru/Card/Person/65936", "ГБДОУ ДЕТСКИЙ САД № 39 ПУШКИНСКОГО РАЙОНА СПБ")</f>
        <v>ГБДОУ ДЕТСКИЙ САД № 39 ПУШКИНСКОГО РАЙОНА СПБ</v>
      </c>
      <c r="B10536" s="24" t="s">
        <v>14889</v>
      </c>
      <c r="C10536" s="25">
        <v>1211148</v>
      </c>
      <c r="D10536" s="22" t="s">
        <v>14890</v>
      </c>
      <c r="E10536" s="22" t="s">
        <v>48</v>
      </c>
      <c r="F10536" s="23" t="str">
        <f>HYPERLINK("https://www.spark-marketing.ru/Card/Lot/72370147", "Оказание услуг по организации питания детей в возрасте от 3 до 7 лет, посещающих ГБДОУ детский сад № 39 Пушкинского района СПб в 2019 году")</f>
        <v>Оказание услуг по организации питания детей в возрасте от 3 до 7 лет, посещающих ГБДОУ детский сад № 39 Пушкинского района СПб в 2019 году</v>
      </c>
      <c r="G10536" s="22" t="s">
        <v>117</v>
      </c>
      <c r="H10536" s="22" t="s">
        <v>117</v>
      </c>
      <c r="I10536" s="26">
        <v>43672.500289351898</v>
      </c>
      <c r="J10536" s="23" t="str">
        <f>HYPERLINK("https://www.spark-marketing.ru/Card/Person/234422", "ООО ""ЛИМАК-НЕВА""")</f>
        <v>ООО "ЛИМАК-НЕВА"</v>
      </c>
      <c r="K10536" s="24" t="s">
        <v>14892</v>
      </c>
      <c r="L10536" s="28" t="s">
        <v>51</v>
      </c>
      <c r="M10536" s="25">
        <v>1083977.46</v>
      </c>
      <c r="N10536" s="27">
        <v>0.105</v>
      </c>
    </row>
    <row r="10537" spans="1:14" x14ac:dyDescent="0.15">
      <c r="A10537" s="23" t="str">
        <f>HYPERLINK("https://www.spark-marketing.ru/Card/Person/112299", "МБОУ ""ШКОЛА № 29""")</f>
        <v>МБОУ "ШКОЛА № 29"</v>
      </c>
      <c r="B10537" s="24" t="s">
        <v>14893</v>
      </c>
      <c r="C10537" s="25">
        <v>3538400</v>
      </c>
      <c r="D10537" s="22" t="s">
        <v>14894</v>
      </c>
      <c r="E10537" s="22" t="s">
        <v>48</v>
      </c>
      <c r="F10537" s="23" t="str">
        <f>HYPERLINK("https://www.spark-marketing.ru/Card/Lot/72370170", "Оказание услуг по организации, приготовлению и предоставлению питания обучающимся Муниципального бюджетного общеобразовательное учреждения «Специальная (коррекционная) школа №29 VI вида»")</f>
        <v>Оказание услуг по организации, приготовлению и предоставлению питания обучающимся Муниципального бюджетного общеобразовательное учреждения «Специальная (коррекционная) школа №29 VI вида»</v>
      </c>
      <c r="G10537" s="22" t="s">
        <v>469</v>
      </c>
      <c r="H10537" s="22" t="s">
        <v>11760</v>
      </c>
      <c r="I10537" s="26">
        <v>43672.531018518501</v>
      </c>
      <c r="J10537" s="28" t="s">
        <v>51</v>
      </c>
      <c r="K10537" s="28" t="s">
        <v>51</v>
      </c>
      <c r="L10537" s="28" t="s">
        <v>51</v>
      </c>
      <c r="M10537" s="28" t="s">
        <v>51</v>
      </c>
      <c r="N10537" s="28" t="s">
        <v>51</v>
      </c>
    </row>
    <row r="10538" spans="1:14" ht="12.75" hidden="1" outlineLevel="1" x14ac:dyDescent="0.2">
      <c r="A10538" s="23" t="str">
        <f>HYPERLINK("https://www.spark-marketing.ru/Card/Person/112299", "МБОУ ""ШКОЛА № 29""")</f>
        <v>МБОУ "ШКОЛА № 29"</v>
      </c>
      <c r="B10538" s="24" t="s">
        <v>14893</v>
      </c>
      <c r="C10538" s="25">
        <v>3538400</v>
      </c>
      <c r="D10538" s="22" t="s">
        <v>14894</v>
      </c>
      <c r="E10538" s="22" t="s">
        <v>48</v>
      </c>
      <c r="F10538" s="23" t="str">
        <f>HYPERLINK("https://www.spark-marketing.ru/Card/Lot/72370170", "Оказание услуг по организации, приготовлению и предоставлению питания обучающимся Муниципального бюджетного общеобразовательное учреждения «Специальная (коррекционная) школа №29 VI вида»")</f>
        <v>Оказание услуг по организации, приготовлению и предоставлению питания обучающимся Муниципального бюджетного общеобразовательное учреждения «Специальная (коррекционная) школа №29 VI вида»</v>
      </c>
      <c r="G10538" s="22" t="s">
        <v>469</v>
      </c>
      <c r="H10538" s="22" t="s">
        <v>11760</v>
      </c>
      <c r="I10538" s="26">
        <v>43672.531018518501</v>
      </c>
      <c r="J10538" s="23" t="str">
        <f>HYPERLINK("https://www.spark-marketing.ru/Card/Person/61223", "ООО ""ДЕТСКОЕ ОБЩЕСТВЕННОЕ ПИТАНИЕ - ДОП""")</f>
        <v>ООО "ДЕТСКОЕ ОБЩЕСТВЕННОЕ ПИТАНИЕ - ДОП"</v>
      </c>
      <c r="K10538" s="24" t="s">
        <v>14895</v>
      </c>
      <c r="L10538" s="22" t="s">
        <v>10</v>
      </c>
      <c r="M10538" s="25">
        <v>2671492</v>
      </c>
      <c r="N10538" s="27">
        <v>0.245</v>
      </c>
    </row>
    <row r="10539" spans="1:14" hidden="1" outlineLevel="1" x14ac:dyDescent="0.2">
      <c r="A10539" s="23" t="str">
        <f>HYPERLINK("https://www.spark-marketing.ru/Card/Person/112299", "МБОУ ""ШКОЛА № 29""")</f>
        <v>МБОУ "ШКОЛА № 29"</v>
      </c>
      <c r="B10539" s="24" t="s">
        <v>14893</v>
      </c>
      <c r="C10539" s="25">
        <v>3538400</v>
      </c>
      <c r="D10539" s="22" t="s">
        <v>14894</v>
      </c>
      <c r="E10539" s="22" t="s">
        <v>48</v>
      </c>
      <c r="F10539" s="23" t="str">
        <f>HYPERLINK("https://www.spark-marketing.ru/Card/Lot/72370170", "Оказание услуг по организации, приготовлению и предоставлению питания обучающимся Муниципального бюджетного общеобразовательное учреждения «Специальная (коррекционная) школа №29 VI вида»")</f>
        <v>Оказание услуг по организации, приготовлению и предоставлению питания обучающимся Муниципального бюджетного общеобразовательное учреждения «Специальная (коррекционная) школа №29 VI вида»</v>
      </c>
      <c r="G10539" s="22" t="s">
        <v>469</v>
      </c>
      <c r="H10539" s="22" t="s">
        <v>11760</v>
      </c>
      <c r="I10539" s="26">
        <v>43672.531018518501</v>
      </c>
      <c r="J10539" s="23" t="str">
        <f>HYPERLINK("https://www.spark-marketing.ru/Card/Person/6574581", "Болдырев Сергей Николаевич")</f>
        <v>Болдырев Сергей Николаевич</v>
      </c>
      <c r="K10539" s="24" t="s">
        <v>14896</v>
      </c>
      <c r="L10539" s="28" t="s">
        <v>51</v>
      </c>
      <c r="M10539" s="25">
        <v>2689184</v>
      </c>
      <c r="N10539" s="27">
        <v>0.24</v>
      </c>
    </row>
    <row r="10540" spans="1:14" x14ac:dyDescent="0.15">
      <c r="A10540" s="23" t="str">
        <f>HYPERLINK("https://www.spark-marketing.ru/Card/Person/171778", "ОТДЕЛ МВД РОССИИ ПО КАНЕВСКОМУ РАЙОНУ")</f>
        <v>ОТДЕЛ МВД РОССИИ ПО КАНЕВСКОМУ РАЙОНУ</v>
      </c>
      <c r="B10540" s="24" t="s">
        <v>2704</v>
      </c>
      <c r="C10540" s="25">
        <v>1625000</v>
      </c>
      <c r="D10540" s="22" t="s">
        <v>14897</v>
      </c>
      <c r="E10540" s="22" t="s">
        <v>96</v>
      </c>
      <c r="F10540" s="23" t="str">
        <f>HYPERLINK("https://www.spark-marketing.ru/Card/Lot/72372704", "обеспечение ежедневным трехразовым, горячим питанием лиц, содержащихся в ИВС ПиО, в спецприемнике, в КСЗЛ дежурной части Отдела МВД России по Каневскому району")</f>
        <v>обеспечение ежедневным трехразовым, горячим питанием лиц, содержащихся в ИВС ПиО, в спецприемнике, в КСЗЛ дежурной части Отдела МВД России по Каневскому району</v>
      </c>
      <c r="G10540" s="22" t="s">
        <v>104</v>
      </c>
      <c r="H10540" s="22" t="s">
        <v>2706</v>
      </c>
      <c r="I10540" s="26">
        <v>43672.463414351798</v>
      </c>
      <c r="J10540" s="23" t="str">
        <f>HYPERLINK("https://www.spark-marketing.ru/Card/Person/79336", "ООО ""ТД КАЛОРИЯ""")</f>
        <v>ООО "ТД КАЛОРИЯ"</v>
      </c>
      <c r="K10540" s="24" t="s">
        <v>2707</v>
      </c>
      <c r="L10540" s="22" t="s">
        <v>10</v>
      </c>
      <c r="M10540" s="28" t="s">
        <v>51</v>
      </c>
      <c r="N10540" s="28" t="s">
        <v>51</v>
      </c>
    </row>
    <row r="10541" spans="1:14" x14ac:dyDescent="0.15">
      <c r="A10541" s="23" t="str">
        <f>HYPERLINK("https://www.spark-marketing.ru/Card/Person/4348382", "ООО ""ГАЗПРОМ ПИТАНИЕ""")</f>
        <v>ООО "ГАЗПРОМ ПИТАНИЕ"</v>
      </c>
      <c r="B10541" s="24" t="s">
        <v>2869</v>
      </c>
      <c r="C10541" s="25">
        <v>4400</v>
      </c>
      <c r="D10541" s="22" t="s">
        <v>14898</v>
      </c>
      <c r="E10541" s="22" t="s">
        <v>52</v>
      </c>
      <c r="F10541" s="23" t="str">
        <f>HYPERLINK("https://www.spark-marketing.ru/Card/Lot/72367138", "Оказание образовательных услуг по охране труда, оказанию первой помощи пострадавшим и пожарной безопасности для нужд филиала «ставропольское управление по организации общественного питания» ооо «газпром питание»")</f>
        <v>Оказание образовательных услуг по охране труда, оказанию первой помощи пострадавшим и пожарной безопасности для нужд филиала «ставропольское управление по организации общественного питания» ооо «газпром питание»</v>
      </c>
      <c r="G10541" s="22" t="s">
        <v>87</v>
      </c>
      <c r="H10541" s="22" t="s">
        <v>6967</v>
      </c>
      <c r="I10541" s="26">
        <v>43672.495833333298</v>
      </c>
      <c r="J10541" s="28" t="s">
        <v>51</v>
      </c>
      <c r="K10541" s="28" t="s">
        <v>51</v>
      </c>
      <c r="L10541" s="28" t="s">
        <v>51</v>
      </c>
      <c r="M10541" s="28" t="s">
        <v>51</v>
      </c>
      <c r="N10541" s="28" t="s">
        <v>51</v>
      </c>
    </row>
    <row r="10542" spans="1:14" collapsed="1" x14ac:dyDescent="0.15">
      <c r="A10542" s="23" t="str">
        <f>HYPERLINK("https://www.spark-marketing.ru/Card/Person/133559", "МБОУ "" СРЕДНЯЯ ОБЩЕОБРАЗОВАТЕЛЬНАЯ ШКОЛА №21""")</f>
        <v>МБОУ " СРЕДНЯЯ ОБЩЕОБРАЗОВАТЕЛЬНАЯ ШКОЛА №21"</v>
      </c>
      <c r="B10542" s="24" t="s">
        <v>14899</v>
      </c>
      <c r="C10542" s="25">
        <v>2821820.75</v>
      </c>
      <c r="D10542" s="22" t="s">
        <v>14900</v>
      </c>
      <c r="E10542" s="22" t="s">
        <v>48</v>
      </c>
      <c r="F10542" s="23" t="str">
        <f>HYPERLINK("https://www.spark-marketing.ru/Card/Lot/72367335", "Оказание услуг по организации питания обучающихся")</f>
        <v>Оказание услуг по организации питания обучающихся</v>
      </c>
      <c r="G10542" s="22" t="s">
        <v>49</v>
      </c>
      <c r="H10542" s="22" t="s">
        <v>49</v>
      </c>
      <c r="I10542" s="26">
        <v>43672.465277777803</v>
      </c>
      <c r="J10542" s="28" t="s">
        <v>51</v>
      </c>
      <c r="K10542" s="28" t="s">
        <v>51</v>
      </c>
      <c r="L10542" s="28" t="s">
        <v>51</v>
      </c>
      <c r="M10542" s="28" t="s">
        <v>51</v>
      </c>
      <c r="N10542" s="28" t="s">
        <v>51</v>
      </c>
    </row>
    <row r="10543" spans="1:14" hidden="1" outlineLevel="1" x14ac:dyDescent="0.2">
      <c r="A10543" s="23" t="str">
        <f>HYPERLINK("https://www.spark-marketing.ru/Card/Person/133559", "МБОУ "" СРЕДНЯЯ ОБЩЕОБРАЗОВАТЕЛЬНАЯ ШКОЛА №21""")</f>
        <v>МБОУ " СРЕДНЯЯ ОБЩЕОБРАЗОВАТЕЛЬНАЯ ШКОЛА №21"</v>
      </c>
      <c r="B10543" s="24" t="s">
        <v>14899</v>
      </c>
      <c r="C10543" s="25">
        <v>2821820.75</v>
      </c>
      <c r="D10543" s="22" t="s">
        <v>14900</v>
      </c>
      <c r="E10543" s="22" t="s">
        <v>48</v>
      </c>
      <c r="F10543" s="23" t="str">
        <f>HYPERLINK("https://www.spark-marketing.ru/Card/Lot/72367335", "Оказание услуг по организации питания обучающихся")</f>
        <v>Оказание услуг по организации питания обучающихся</v>
      </c>
      <c r="G10543" s="22" t="s">
        <v>49</v>
      </c>
      <c r="H10543" s="22" t="s">
        <v>49</v>
      </c>
      <c r="I10543" s="26">
        <v>43672.465277777803</v>
      </c>
      <c r="J10543" s="23" t="str">
        <f>HYPERLINK("https://www.spark-marketing.ru/Card/Person/1329179", "Матюхина Наталья Алексеевна")</f>
        <v>Матюхина Наталья Алексеевна</v>
      </c>
      <c r="K10543" s="24" t="s">
        <v>14901</v>
      </c>
      <c r="L10543" s="28" t="s">
        <v>51</v>
      </c>
      <c r="M10543" s="25">
        <v>2821820.75</v>
      </c>
      <c r="N10543" s="27">
        <v>0</v>
      </c>
    </row>
    <row r="10544" spans="1:14" ht="12.75" hidden="1" outlineLevel="1" x14ac:dyDescent="0.2">
      <c r="A10544" s="23" t="str">
        <f>HYPERLINK("https://www.spark-marketing.ru/Card/Person/133559", "МБОУ "" СРЕДНЯЯ ОБЩЕОБРАЗОВАТЕЛЬНАЯ ШКОЛА №21""")</f>
        <v>МБОУ " СРЕДНЯЯ ОБЩЕОБРАЗОВАТЕЛЬНАЯ ШКОЛА №21"</v>
      </c>
      <c r="B10544" s="24" t="s">
        <v>14899</v>
      </c>
      <c r="C10544" s="25">
        <v>2821820.75</v>
      </c>
      <c r="D10544" s="22" t="s">
        <v>14900</v>
      </c>
      <c r="E10544" s="22" t="s">
        <v>48</v>
      </c>
      <c r="F10544" s="23" t="str">
        <f>HYPERLINK("https://www.spark-marketing.ru/Card/Lot/72367335", "Оказание услуг по организации питания обучающихся")</f>
        <v>Оказание услуг по организации питания обучающихся</v>
      </c>
      <c r="G10544" s="22" t="s">
        <v>49</v>
      </c>
      <c r="H10544" s="22" t="s">
        <v>49</v>
      </c>
      <c r="I10544" s="26">
        <v>43672.465277777803</v>
      </c>
      <c r="J10544" s="23" t="str">
        <f>HYPERLINK("https://www.spark-marketing.ru/Card/Person/4348093", "Филин Андрей Сергеевич")</f>
        <v>Филин Андрей Сергеевич</v>
      </c>
      <c r="K10544" s="24" t="s">
        <v>1186</v>
      </c>
      <c r="L10544" s="22" t="s">
        <v>10</v>
      </c>
      <c r="M10544" s="25">
        <v>2821800</v>
      </c>
      <c r="N10544" s="27">
        <v>7.3534082559992513E-6</v>
      </c>
    </row>
    <row r="10545" spans="1:14" x14ac:dyDescent="0.15">
      <c r="A10545" s="23" t="str">
        <f>HYPERLINK("https://www.spark-marketing.ru/Card/Person/4343935", "АДМИНИСТРАЦИЯ ЧАНОВСКОГО РАЙОНА НОВОСИБИРСКОЙ ОБЛАСТИ")</f>
        <v>АДМИНИСТРАЦИЯ ЧАНОВСКОГО РАЙОНА НОВОСИБИРСКОЙ ОБЛАСТИ</v>
      </c>
      <c r="B10545" s="24" t="s">
        <v>9258</v>
      </c>
      <c r="C10545" s="25">
        <v>178633.34</v>
      </c>
      <c r="D10545" s="22" t="s">
        <v>14902</v>
      </c>
      <c r="E10545" s="22" t="s">
        <v>48</v>
      </c>
      <c r="F10545" s="23" t="str">
        <f>HYPERLINK("https://www.spark-marketing.ru/Card/Lot/72360666", "на оказание услуг по обеспечению питанием в ресторанах, кафе и прочих предприятиях без сопровождения развлекательных программ")</f>
        <v>на оказание услуг по обеспечению питанием в ресторанах, кафе и прочих предприятиях без сопровождения развлекательных программ</v>
      </c>
      <c r="G10545" s="22" t="s">
        <v>195</v>
      </c>
      <c r="H10545" s="22" t="s">
        <v>6329</v>
      </c>
      <c r="I10545" s="26">
        <v>43672.473715277803</v>
      </c>
      <c r="J10545" s="28" t="s">
        <v>51</v>
      </c>
      <c r="K10545" s="28" t="s">
        <v>51</v>
      </c>
      <c r="L10545" s="28" t="s">
        <v>51</v>
      </c>
      <c r="M10545" s="28" t="s">
        <v>51</v>
      </c>
      <c r="N10545" s="28" t="s">
        <v>51</v>
      </c>
    </row>
    <row r="10546" spans="1:14" x14ac:dyDescent="0.15">
      <c r="A10546" s="23" t="str">
        <f>HYPERLINK("https://www.spark-marketing.ru/Card/Person/55306", "МЕЖМУНИЦИПАЛЬНЫЙ ОТДЕЛ МВД РОССИИ ""КАРТАЛИНСКИЙ"" ЧЕЛЯБИНСКОЙ ОБЛАСТИ")</f>
        <v>МЕЖМУНИЦИПАЛЬНЫЙ ОТДЕЛ МВД РОССИИ "КАРТАЛИНСКИЙ" ЧЕЛЯБИНСКОЙ ОБЛАСТИ</v>
      </c>
      <c r="B10546" s="24" t="s">
        <v>2446</v>
      </c>
      <c r="C10546" s="25">
        <v>600000</v>
      </c>
      <c r="D10546" s="22" t="s">
        <v>14903</v>
      </c>
      <c r="E10546" s="22" t="s">
        <v>48</v>
      </c>
      <c r="F10546" s="23" t="str">
        <f>HYPERLINK("https://www.spark-marketing.ru/Card/Lot/72371876", "Услуги по питанию лиц, содержащихся в ИВС")</f>
        <v>Услуги по питанию лиц, содержащихся в ИВС</v>
      </c>
      <c r="G10546" s="22" t="s">
        <v>469</v>
      </c>
      <c r="H10546" s="22" t="s">
        <v>469</v>
      </c>
      <c r="I10546" s="26">
        <v>43672.459212962996</v>
      </c>
      <c r="J10546" s="23" t="str">
        <f>HYPERLINK("https://www.spark-marketing.ru/Card/Person/871358", "Угличина Ольга Анатольевна")</f>
        <v>Угличина Ольга Анатольевна</v>
      </c>
      <c r="K10546" s="24" t="s">
        <v>2448</v>
      </c>
      <c r="L10546" s="22" t="s">
        <v>10</v>
      </c>
      <c r="M10546" s="28" t="s">
        <v>51</v>
      </c>
      <c r="N10546" s="28" t="s">
        <v>51</v>
      </c>
    </row>
    <row r="10547" spans="1:14" x14ac:dyDescent="0.15">
      <c r="A10547" s="23" t="str">
        <f>HYPERLINK("https://www.spark-marketing.ru/Card/Person/55306", "МЕЖМУНИЦИПАЛЬНЫЙ ОТДЕЛ МВД РОССИИ ""КАРТАЛИНСКИЙ"" ЧЕЛЯБИНСКОЙ ОБЛАСТИ")</f>
        <v>МЕЖМУНИЦИПАЛЬНЫЙ ОТДЕЛ МВД РОССИИ "КАРТАЛИНСКИЙ" ЧЕЛЯБИНСКОЙ ОБЛАСТИ</v>
      </c>
      <c r="B10547" s="24" t="s">
        <v>2446</v>
      </c>
      <c r="C10547" s="25">
        <v>255000</v>
      </c>
      <c r="D10547" s="22" t="s">
        <v>14904</v>
      </c>
      <c r="E10547" s="22" t="s">
        <v>48</v>
      </c>
      <c r="F10547" s="23" t="str">
        <f>HYPERLINK("https://www.spark-marketing.ru/Card/Lot/72370663", "Оказание услуг по обеспечению питанием в спецприемниках")</f>
        <v>Оказание услуг по обеспечению питанием в спецприемниках</v>
      </c>
      <c r="G10547" s="22" t="s">
        <v>469</v>
      </c>
      <c r="H10547" s="22" t="s">
        <v>469</v>
      </c>
      <c r="I10547" s="26">
        <v>43672.467615740701</v>
      </c>
      <c r="J10547" s="23" t="str">
        <f>HYPERLINK("https://www.spark-marketing.ru/Card/Person/871358", "Угличина Ольга Анатольевна")</f>
        <v>Угличина Ольга Анатольевна</v>
      </c>
      <c r="K10547" s="24" t="s">
        <v>2448</v>
      </c>
      <c r="L10547" s="22" t="s">
        <v>10</v>
      </c>
      <c r="M10547" s="28" t="s">
        <v>51</v>
      </c>
      <c r="N10547" s="28" t="s">
        <v>51</v>
      </c>
    </row>
    <row r="10548" spans="1:14" x14ac:dyDescent="0.15">
      <c r="A10548" s="23" t="str">
        <f>HYPERLINK("https://www.spark-marketing.ru/Card/Person/171778", "ОТДЕЛ МВД РОССИИ ПО КАНЕВСКОМУ РАЙОНУ")</f>
        <v>ОТДЕЛ МВД РОССИИ ПО КАНЕВСКОМУ РАЙОНУ</v>
      </c>
      <c r="B10548" s="24" t="s">
        <v>2704</v>
      </c>
      <c r="C10548" s="25">
        <v>1625000</v>
      </c>
      <c r="D10548" s="22" t="s">
        <v>14905</v>
      </c>
      <c r="E10548" s="22" t="s">
        <v>96</v>
      </c>
      <c r="F10548" s="23" t="str">
        <f>HYPERLINK("https://www.spark-marketing.ru/Card/Lot/72374292", "обеспечение ежедневным трехразовым, горячим питанием лиц, содержащихся в ИВС ПиО, в спецприемнике, в КСЗЛ дежурной части Отдела МВД России по Каневскому району")</f>
        <v>обеспечение ежедневным трехразовым, горячим питанием лиц, содержащихся в ИВС ПиО, в спецприемнике, в КСЗЛ дежурной части Отдела МВД России по Каневскому району</v>
      </c>
      <c r="G10548" s="22" t="s">
        <v>104</v>
      </c>
      <c r="H10548" s="22" t="s">
        <v>2706</v>
      </c>
      <c r="I10548" s="26">
        <v>43672.498854166697</v>
      </c>
      <c r="J10548" s="23" t="str">
        <f>HYPERLINK("https://www.spark-marketing.ru/Card/Person/79336", "ООО ""ТД КАЛОРИЯ""")</f>
        <v>ООО "ТД КАЛОРИЯ"</v>
      </c>
      <c r="K10548" s="24" t="s">
        <v>2707</v>
      </c>
      <c r="L10548" s="22" t="s">
        <v>10</v>
      </c>
      <c r="M10548" s="28" t="s">
        <v>51</v>
      </c>
      <c r="N10548" s="28" t="s">
        <v>51</v>
      </c>
    </row>
    <row r="10549" spans="1:14" x14ac:dyDescent="0.15">
      <c r="A10549" s="23" t="str">
        <f>HYPERLINK("https://www.spark-marketing.ru/Card/Person/55306", "МЕЖМУНИЦИПАЛЬНЫЙ ОТДЕЛ МВД РОССИИ ""КАРТАЛИНСКИЙ"" ЧЕЛЯБИНСКОЙ ОБЛАСТИ")</f>
        <v>МЕЖМУНИЦИПАЛЬНЫЙ ОТДЕЛ МВД РОССИИ "КАРТАЛИНСКИЙ" ЧЕЛЯБИНСКОЙ ОБЛАСТИ</v>
      </c>
      <c r="B10549" s="24" t="s">
        <v>2446</v>
      </c>
      <c r="C10549" s="25">
        <v>255000</v>
      </c>
      <c r="D10549" s="22" t="s">
        <v>14906</v>
      </c>
      <c r="E10549" s="22" t="s">
        <v>48</v>
      </c>
      <c r="F10549" s="23" t="str">
        <f>HYPERLINK("https://www.spark-marketing.ru/Card/Lot/72370684", "Оказание услуг по обеспечению питанием в спецприемниках")</f>
        <v>Оказание услуг по обеспечению питанием в спецприемниках</v>
      </c>
      <c r="G10549" s="22" t="s">
        <v>469</v>
      </c>
      <c r="H10549" s="22" t="s">
        <v>469</v>
      </c>
      <c r="I10549" s="26">
        <v>43672.472743055601</v>
      </c>
      <c r="J10549" s="23" t="str">
        <f>HYPERLINK("https://www.spark-marketing.ru/Card/Person/871358", "Угличина Ольга Анатольевна")</f>
        <v>Угличина Ольга Анатольевна</v>
      </c>
      <c r="K10549" s="24" t="s">
        <v>2448</v>
      </c>
      <c r="L10549" s="22" t="s">
        <v>10</v>
      </c>
      <c r="M10549" s="28" t="s">
        <v>51</v>
      </c>
      <c r="N10549" s="28" t="s">
        <v>51</v>
      </c>
    </row>
    <row r="10550" spans="1:14" x14ac:dyDescent="0.15">
      <c r="A10550" s="23" t="str">
        <f>HYPERLINK("https://www.spark-marketing.ru/Card/Person/55306", "МЕЖМУНИЦИПАЛЬНЫЙ ОТДЕЛ МВД РОССИИ ""КАРТАЛИНСКИЙ"" ЧЕЛЯБИНСКОЙ ОБЛАСТИ")</f>
        <v>МЕЖМУНИЦИПАЛЬНЫЙ ОТДЕЛ МВД РОССИИ "КАРТАЛИНСКИЙ" ЧЕЛЯБИНСКОЙ ОБЛАСТИ</v>
      </c>
      <c r="B10550" s="24" t="s">
        <v>2446</v>
      </c>
      <c r="C10550" s="25">
        <v>600000</v>
      </c>
      <c r="D10550" s="22" t="s">
        <v>14907</v>
      </c>
      <c r="E10550" s="22" t="s">
        <v>48</v>
      </c>
      <c r="F10550" s="23" t="str">
        <f>HYPERLINK("https://www.spark-marketing.ru/Card/Lot/72363902", "Услуги по питанию лиц, содержащихся в ИВС")</f>
        <v>Услуги по питанию лиц, содержащихся в ИВС</v>
      </c>
      <c r="G10550" s="22" t="s">
        <v>469</v>
      </c>
      <c r="H10550" s="22" t="s">
        <v>469</v>
      </c>
      <c r="I10550" s="26">
        <v>43672.452662037002</v>
      </c>
      <c r="J10550" s="23" t="str">
        <f>HYPERLINK("https://www.spark-marketing.ru/Card/Person/871358", "Угличина Ольга Анатольевна")</f>
        <v>Угличина Ольга Анатольевна</v>
      </c>
      <c r="K10550" s="24" t="s">
        <v>2448</v>
      </c>
      <c r="L10550" s="22" t="s">
        <v>10</v>
      </c>
      <c r="M10550" s="28" t="s">
        <v>51</v>
      </c>
      <c r="N10550" s="28" t="s">
        <v>51</v>
      </c>
    </row>
    <row r="10551" spans="1:14" x14ac:dyDescent="0.15">
      <c r="A10551" s="23" t="str">
        <f>HYPERLINK("https://www.spark-marketing.ru/Card/Person/1079392", "МБОУ ""СШ № 18""")</f>
        <v>МБОУ "СШ № 18"</v>
      </c>
      <c r="B10551" s="24" t="s">
        <v>14908</v>
      </c>
      <c r="C10551" s="25">
        <v>1001810</v>
      </c>
      <c r="D10551" s="22" t="s">
        <v>14909</v>
      </c>
      <c r="E10551" s="22" t="s">
        <v>48</v>
      </c>
      <c r="F10551" s="23" t="str">
        <f>HYPERLINK("https://www.spark-marketing.ru/Card/Lot/72368373", "Организация услуг по организации горячего питания и обеспечению горячим питанием учащихся МБОУ ""СШ № 18""")</f>
        <v>Организация услуг по организации горячего питания и обеспечению горячим питанием учащихся МБОУ "СШ № 18"</v>
      </c>
      <c r="G10551" s="22" t="s">
        <v>460</v>
      </c>
      <c r="H10551" s="22" t="s">
        <v>461</v>
      </c>
      <c r="I10551" s="26">
        <v>43672.428217592598</v>
      </c>
      <c r="J10551" s="23" t="str">
        <f>HYPERLINK("https://www.spark-marketing.ru/Card/Person/836702", "МУП ""КСП""")</f>
        <v>МУП "КСП"</v>
      </c>
      <c r="K10551" s="24" t="s">
        <v>6532</v>
      </c>
      <c r="L10551" s="22" t="s">
        <v>10</v>
      </c>
      <c r="M10551" s="28" t="s">
        <v>51</v>
      </c>
      <c r="N10551" s="28" t="s">
        <v>51</v>
      </c>
    </row>
    <row r="10552" spans="1:14" x14ac:dyDescent="0.15">
      <c r="A10552" s="23" t="str">
        <f>HYPERLINK("https://www.spark-marketing.ru/Card/Person/4375392", "МБОУ ""ЯСШЛ № 9""")</f>
        <v>МБОУ "ЯСШЛ № 9"</v>
      </c>
      <c r="B10552" s="24" t="s">
        <v>14910</v>
      </c>
      <c r="C10552" s="25">
        <v>2693045</v>
      </c>
      <c r="D10552" s="22" t="s">
        <v>14911</v>
      </c>
      <c r="E10552" s="22" t="s">
        <v>48</v>
      </c>
      <c r="F10552" s="23" t="str">
        <f>HYPERLINK("https://www.spark-marketing.ru/Card/Lot/72368886", "Оказание услуг по организации горячего питания (завтраки, обеды) обучающихся")</f>
        <v>Оказание услуг по организации горячего питания (завтраки, обеды) обучающихся</v>
      </c>
      <c r="G10552" s="22" t="s">
        <v>108</v>
      </c>
      <c r="H10552" s="22" t="s">
        <v>1321</v>
      </c>
      <c r="I10552" s="26">
        <v>43672.451111111099</v>
      </c>
      <c r="J10552" s="23" t="str">
        <f>HYPERLINK("https://www.spark-marketing.ru/Card/Person/1730092", "ООО ""МИМОЗА""")</f>
        <v>ООО "МИМОЗА"</v>
      </c>
      <c r="K10552" s="24" t="s">
        <v>4673</v>
      </c>
      <c r="L10552" s="22" t="s">
        <v>10</v>
      </c>
      <c r="M10552" s="28" t="s">
        <v>51</v>
      </c>
      <c r="N10552" s="28" t="s">
        <v>51</v>
      </c>
    </row>
    <row r="10553" spans="1:14" ht="12.75" x14ac:dyDescent="0.2">
      <c r="A10553" s="23" t="str">
        <f>HYPERLINK("https://www.spark-marketing.ru/Card/Person/3618", "ФБУ ЦЕНТР РЕАБИЛИТАЦИИ ФСС РФ ""ОМСКИЙ""")</f>
        <v>ФБУ ЦЕНТР РЕАБИЛИТАЦИИ ФСС РФ "ОМСКИЙ"</v>
      </c>
      <c r="B10553" s="24" t="s">
        <v>14912</v>
      </c>
      <c r="C10553" s="25">
        <v>276664.96999999997</v>
      </c>
      <c r="D10553" s="22" t="s">
        <v>14913</v>
      </c>
      <c r="E10553" s="22" t="s">
        <v>603</v>
      </c>
      <c r="F10553" s="23" t="str">
        <f>HYPERLINK("https://www.spark-marketing.ru/Card/Lot/72363890", "Оказание услуг по поверке медицинских приборов и оборудования для нужд ФБУ Центра реабилитации ФСС РФ ""Омский""")</f>
        <v>Оказание услуг по поверке медицинских приборов и оборудования для нужд ФБУ Центра реабилитации ФСС РФ "Омский"</v>
      </c>
      <c r="G10553" s="22" t="s">
        <v>487</v>
      </c>
      <c r="H10553" s="22" t="s">
        <v>487</v>
      </c>
      <c r="I10553" s="26">
        <v>43672.4226388889</v>
      </c>
      <c r="J10553" s="23" t="str">
        <f>HYPERLINK("https://www.spark-marketing.ru/Card/Person/60836", "ООО «КОМПАНИЯ «МЕДТЕХСЕРВИС»")</f>
        <v>ООО «КОМПАНИЯ «МЕДТЕХСЕРВИС»</v>
      </c>
      <c r="K10553" s="24" t="s">
        <v>14914</v>
      </c>
      <c r="L10553" s="22" t="s">
        <v>10</v>
      </c>
      <c r="M10553" s="25">
        <v>275000</v>
      </c>
      <c r="N10553" s="27">
        <v>6.0180007609926187E-3</v>
      </c>
    </row>
    <row r="10554" spans="1:14" x14ac:dyDescent="0.15">
      <c r="A10554" s="23" t="str">
        <f>HYPERLINK("https://www.spark-marketing.ru/Card/Person/265244", "МО МВД РОССИИ ""ТЫНДИНСКИЙ""")</f>
        <v>МО МВД РОССИИ "ТЫНДИНСКИЙ"</v>
      </c>
      <c r="B10554" s="24" t="s">
        <v>208</v>
      </c>
      <c r="C10554" s="25">
        <v>700000</v>
      </c>
      <c r="D10554" s="22" t="s">
        <v>14915</v>
      </c>
      <c r="E10554" s="22" t="s">
        <v>48</v>
      </c>
      <c r="F10554" s="23" t="str">
        <f>HYPERLINK("https://www.spark-marketing.ru/Card/Lot/72362580", "оказание услуг по организации ежедневного трехразового горячего питания с услугой раздачи пищи лицам, содержащимся в ИВС МО МВД России «Тындинский» и оказание услуг по организации ежедневного трехразового горячего питания в индивидуальной одноразовой...")</f>
        <v>оказание услуг по организации ежедневного трехразового горячего питания с услугой раздачи пищи лицам, содержащимся в ИВС МО МВД России «Тындинский» и оказание услуг по организации ежедневного трехразового горячего питания в индивидуальной одноразовой...</v>
      </c>
      <c r="G10554" s="22" t="s">
        <v>210</v>
      </c>
      <c r="H10554" s="22" t="s">
        <v>211</v>
      </c>
      <c r="I10554" s="26">
        <v>43672.418912036999</v>
      </c>
      <c r="J10554" s="28" t="s">
        <v>51</v>
      </c>
      <c r="K10554" s="28" t="s">
        <v>51</v>
      </c>
      <c r="L10554" s="28" t="s">
        <v>51</v>
      </c>
      <c r="M10554" s="28" t="s">
        <v>51</v>
      </c>
      <c r="N10554" s="28" t="s">
        <v>51</v>
      </c>
    </row>
    <row r="10555" spans="1:14" x14ac:dyDescent="0.2">
      <c r="A10555" s="23" t="str">
        <f>HYPERLINK("https://www.spark-marketing.ru/Card/Person/4415390", "МАОУ ДО ЦДО ""СПЕКТР""")</f>
        <v>МАОУ ДО ЦДО "СПЕКТР"</v>
      </c>
      <c r="B10555" s="24" t="s">
        <v>14916</v>
      </c>
      <c r="C10555" s="25">
        <v>107800</v>
      </c>
      <c r="D10555" s="22" t="s">
        <v>14917</v>
      </c>
      <c r="E10555" s="22" t="s">
        <v>362</v>
      </c>
      <c r="F10555" s="23" t="str">
        <f>HYPERLINK("https://www.spark-marketing.ru/Card/Lot/72416774", "На оказание услуг по организации питания детей в условиях оборонно - спортивного лагеря в период летних каникул")</f>
        <v>На оказание услуг по организации питания детей в условиях оборонно - спортивного лагеря в период летних каникул</v>
      </c>
      <c r="G10555" s="22" t="s">
        <v>174</v>
      </c>
      <c r="H10555" s="22" t="s">
        <v>174</v>
      </c>
      <c r="I10555" s="26">
        <v>43672.448703703703</v>
      </c>
      <c r="J10555" s="28" t="s">
        <v>51</v>
      </c>
      <c r="K10555" s="28" t="s">
        <v>51</v>
      </c>
      <c r="L10555" s="28" t="s">
        <v>51</v>
      </c>
      <c r="M10555" s="25">
        <v>107800</v>
      </c>
      <c r="N10555" s="27">
        <v>0</v>
      </c>
    </row>
    <row r="10556" spans="1:14" x14ac:dyDescent="0.15">
      <c r="A10556" s="23" t="str">
        <f>HYPERLINK("https://www.spark-marketing.ru/Card/Person/35163", "ФГБОУ ВО ПГМУ ИМ. АКАДЕМИКА Е.А. ВАГНЕРА МИНЗДРАВА РОССИИ")</f>
        <v>ФГБОУ ВО ПГМУ ИМ. АКАДЕМИКА Е.А. ВАГНЕРА МИНЗДРАВА РОССИИ</v>
      </c>
      <c r="B10556" s="24" t="s">
        <v>14918</v>
      </c>
      <c r="C10556" s="25">
        <v>500000</v>
      </c>
      <c r="D10556" s="22" t="s">
        <v>14919</v>
      </c>
      <c r="E10556" s="22" t="s">
        <v>583</v>
      </c>
      <c r="F10556" s="23" t="str">
        <f>HYPERLINK("https://www.spark-marketing.ru/Card/Lot/72371168", "Оказание услуг по ремонту медицинского оборудования")</f>
        <v>Оказание услуг по ремонту медицинского оборудования</v>
      </c>
      <c r="G10556" s="22" t="s">
        <v>153</v>
      </c>
      <c r="H10556" s="22" t="s">
        <v>3981</v>
      </c>
      <c r="I10556" s="26">
        <v>43672.4198958333</v>
      </c>
      <c r="J10556" s="23" t="str">
        <f>HYPERLINK("https://www.spark-marketing.ru/Card/Person/153594", "ООО ""ТЕХНИКА""")</f>
        <v>ООО "ТЕХНИКА"</v>
      </c>
      <c r="K10556" s="24" t="s">
        <v>14920</v>
      </c>
      <c r="L10556" s="22" t="s">
        <v>10</v>
      </c>
      <c r="M10556" s="28" t="s">
        <v>51</v>
      </c>
      <c r="N10556" s="28" t="s">
        <v>51</v>
      </c>
    </row>
    <row r="10557" spans="1:14" x14ac:dyDescent="0.15">
      <c r="A10557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10557" s="24" t="s">
        <v>13798</v>
      </c>
      <c r="C10557" s="25">
        <v>34058</v>
      </c>
      <c r="D10557" s="22" t="s">
        <v>14921</v>
      </c>
      <c r="E10557" s="22" t="s">
        <v>14922</v>
      </c>
      <c r="F10557" s="23" t="str">
        <f>HYPERLINK("https://www.spark-marketing.ru/Card/Lot/72363944",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0557" s="22" t="s">
        <v>63</v>
      </c>
      <c r="H10557" s="22" t="s">
        <v>177</v>
      </c>
      <c r="I10557" s="26">
        <v>43672.434722222199</v>
      </c>
      <c r="J10557" s="28" t="s">
        <v>51</v>
      </c>
      <c r="K10557" s="28" t="s">
        <v>51</v>
      </c>
      <c r="L10557" s="28" t="s">
        <v>51</v>
      </c>
      <c r="M10557" s="28" t="s">
        <v>51</v>
      </c>
      <c r="N10557" s="28" t="s">
        <v>51</v>
      </c>
    </row>
    <row r="10558" spans="1:14" x14ac:dyDescent="0.15">
      <c r="A10558" s="23" t="str">
        <f>HYPERLINK("https://www.spark-marketing.ru/Card/Person/88037", "ГКОУ СО ""ШКОЛА-ИНТЕРНАТ №17""")</f>
        <v>ГКОУ СО "ШКОЛА-ИНТЕРНАТ №17"</v>
      </c>
      <c r="B10558" s="24" t="s">
        <v>3630</v>
      </c>
      <c r="C10558" s="25">
        <v>997619</v>
      </c>
      <c r="D10558" s="22" t="s">
        <v>14923</v>
      </c>
      <c r="E10558" s="22" t="s">
        <v>48</v>
      </c>
      <c r="F10558" s="23" t="str">
        <f>HYPERLINK("https://www.spark-marketing.ru/Card/Lot/72365761", "Оказание услуг по организации школьного питания")</f>
        <v>Оказание услуг по организации школьного питания</v>
      </c>
      <c r="G10558" s="22" t="s">
        <v>174</v>
      </c>
      <c r="H10558" s="22" t="s">
        <v>530</v>
      </c>
      <c r="I10558" s="26">
        <v>43672.4209722222</v>
      </c>
      <c r="J10558" s="23" t="str">
        <f>HYPERLINK("https://www.spark-marketing.ru/Card/Person/1480029", "ООО ""ЖЕМЧУЖИНА""")</f>
        <v>ООО "ЖЕМЧУЖИНА"</v>
      </c>
      <c r="K10558" s="24" t="s">
        <v>3632</v>
      </c>
      <c r="L10558" s="22" t="s">
        <v>10</v>
      </c>
      <c r="M10558" s="28" t="s">
        <v>51</v>
      </c>
      <c r="N10558" s="28" t="s">
        <v>51</v>
      </c>
    </row>
    <row r="10559" spans="1:14" x14ac:dyDescent="0.15">
      <c r="A10559" s="23" t="str">
        <f>HYPERLINK("https://www.spark-marketing.ru/Card/Person/1064079", "ОТДЕЛ МВД РОССИИ ПО КУНАШАКСКОМУ РАЙОНУ ЧЕЛЯБИНСКОЙ ОБЛАСТИ")</f>
        <v>ОТДЕЛ МВД РОССИИ ПО КУНАШАКСКОМУ РАЙОНУ ЧЕЛЯБИНСКОЙ ОБЛАСТИ</v>
      </c>
      <c r="B10559" s="24" t="s">
        <v>14924</v>
      </c>
      <c r="C10559" s="25">
        <v>375000</v>
      </c>
      <c r="D10559" s="22" t="s">
        <v>14925</v>
      </c>
      <c r="E10559" s="22" t="s">
        <v>48</v>
      </c>
      <c r="F10559" s="23" t="str">
        <f>HYPERLINK("https://www.spark-marketing.ru/Card/Lot/72363557", "Питание лиц содержащихся в ИВС")</f>
        <v>Питание лиц содержащихся в ИВС</v>
      </c>
      <c r="G10559" s="22" t="s">
        <v>469</v>
      </c>
      <c r="H10559" s="22" t="s">
        <v>14926</v>
      </c>
      <c r="I10559" s="26">
        <v>43672.4386689815</v>
      </c>
      <c r="J10559" s="23" t="str">
        <f>HYPERLINK("https://www.spark-marketing.ru/Card/Person/870412", "ТАХТАЛЫМСКОЕ ПО")</f>
        <v>ТАХТАЛЫМСКОЕ ПО</v>
      </c>
      <c r="K10559" s="24" t="s">
        <v>14927</v>
      </c>
      <c r="L10559" s="22" t="s">
        <v>10</v>
      </c>
      <c r="M10559" s="28" t="s">
        <v>51</v>
      </c>
      <c r="N10559" s="28" t="s">
        <v>51</v>
      </c>
    </row>
    <row r="10560" spans="1:14" x14ac:dyDescent="0.15">
      <c r="A10560" s="23" t="str">
        <f>HYPERLINK("https://www.spark-marketing.ru/Card/Person/1000098", "МБОУ ""СШ № 9""")</f>
        <v>МБОУ "СШ № 9"</v>
      </c>
      <c r="B10560" s="24" t="s">
        <v>14928</v>
      </c>
      <c r="C10560" s="25">
        <v>1153680</v>
      </c>
      <c r="D10560" s="22" t="s">
        <v>14929</v>
      </c>
      <c r="E10560" s="22" t="s">
        <v>48</v>
      </c>
      <c r="F10560" s="23" t="str">
        <f>HYPERLINK("https://www.spark-marketing.ru/Card/Lot/72368364", "Оказание услуг по организации горячего питания и обеспечению горячим питанием учащихся МБОУ ""СШ № 9""")</f>
        <v>Оказание услуг по организации горячего питания и обеспечению горячим питанием учащихся МБОУ "СШ № 9"</v>
      </c>
      <c r="G10560" s="22" t="s">
        <v>460</v>
      </c>
      <c r="H10560" s="22" t="s">
        <v>461</v>
      </c>
      <c r="I10560" s="26">
        <v>43672.420081018499</v>
      </c>
      <c r="J10560" s="23" t="str">
        <f>HYPERLINK("https://www.spark-marketing.ru/Card/Person/836702", "МУП ""КСП""")</f>
        <v>МУП "КСП"</v>
      </c>
      <c r="K10560" s="24" t="s">
        <v>6532</v>
      </c>
      <c r="L10560" s="22" t="s">
        <v>10</v>
      </c>
      <c r="M10560" s="28" t="s">
        <v>51</v>
      </c>
      <c r="N10560" s="28" t="s">
        <v>51</v>
      </c>
    </row>
    <row r="10561" spans="1:14" collapsed="1" x14ac:dyDescent="0.15">
      <c r="A10561" s="23" t="str">
        <f>HYPERLINK("https://www.spark-marketing.ru/Card/Person/6487304", "МБОУ ""СОШ №4"" Г. ИВАНТЕЕВКИ")</f>
        <v>МБОУ "СОШ №4" Г. ИВАНТЕЕВКИ</v>
      </c>
      <c r="B10561" s="24" t="s">
        <v>14930</v>
      </c>
      <c r="C10561" s="25">
        <v>2182950</v>
      </c>
      <c r="D10561" s="22" t="s">
        <v>14931</v>
      </c>
      <c r="E10561" s="22" t="s">
        <v>48</v>
      </c>
      <c r="F10561" s="23" t="str">
        <f>HYPERLINK("https://www.spark-marketing.ru/Card/Lot/72366255", "Оказание услуг по организации питания для нужд МБОУ ""СОШ №4""")</f>
        <v>Оказание услуг по организации питания для нужд МБОУ "СОШ №4"</v>
      </c>
      <c r="G10561" s="22" t="s">
        <v>49</v>
      </c>
      <c r="H10561" s="22" t="s">
        <v>14932</v>
      </c>
      <c r="I10561" s="26">
        <v>43672.434722222199</v>
      </c>
      <c r="J10561" s="28" t="s">
        <v>51</v>
      </c>
      <c r="K10561" s="28" t="s">
        <v>51</v>
      </c>
      <c r="L10561" s="28" t="s">
        <v>51</v>
      </c>
      <c r="M10561" s="28" t="s">
        <v>51</v>
      </c>
      <c r="N10561" s="28" t="s">
        <v>51</v>
      </c>
    </row>
    <row r="10562" spans="1:14" hidden="1" outlineLevel="1" x14ac:dyDescent="0.2">
      <c r="A10562" s="23" t="str">
        <f>HYPERLINK("https://www.spark-marketing.ru/Card/Person/6487304", "МБОУ ""СОШ №4"" Г. ИВАНТЕЕВКИ")</f>
        <v>МБОУ "СОШ №4" Г. ИВАНТЕЕВКИ</v>
      </c>
      <c r="B10562" s="24" t="s">
        <v>14930</v>
      </c>
      <c r="C10562" s="25">
        <v>2182950</v>
      </c>
      <c r="D10562" s="22" t="s">
        <v>14931</v>
      </c>
      <c r="E10562" s="22" t="s">
        <v>48</v>
      </c>
      <c r="F10562" s="23" t="str">
        <f>HYPERLINK("https://www.spark-marketing.ru/Card/Lot/72366255", "Оказание услуг по организации питания для нужд МБОУ ""СОШ №4""")</f>
        <v>Оказание услуг по организации питания для нужд МБОУ "СОШ №4"</v>
      </c>
      <c r="G10562" s="22" t="s">
        <v>49</v>
      </c>
      <c r="H10562" s="22" t="s">
        <v>14932</v>
      </c>
      <c r="I10562" s="26">
        <v>43672.434722222199</v>
      </c>
      <c r="J10562" s="23" t="str">
        <f>HYPERLINK("https://www.spark-marketing.ru/Card/Person/74825", "ООО ""ИНСТИТУТ ПИТАНИЯ""")</f>
        <v>ООО "ИНСТИТУТ ПИТАНИЯ"</v>
      </c>
      <c r="K10562" s="24" t="s">
        <v>1646</v>
      </c>
      <c r="L10562" s="28" t="s">
        <v>51</v>
      </c>
      <c r="M10562" s="25">
        <v>1942825.5</v>
      </c>
      <c r="N10562" s="27">
        <v>0.11</v>
      </c>
    </row>
    <row r="10563" spans="1:14" ht="12.75" hidden="1" outlineLevel="1" x14ac:dyDescent="0.2">
      <c r="A10563" s="23" t="str">
        <f>HYPERLINK("https://www.spark-marketing.ru/Card/Person/6487304", "МБОУ ""СОШ №4"" Г. ИВАНТЕЕВКИ")</f>
        <v>МБОУ "СОШ №4" Г. ИВАНТЕЕВКИ</v>
      </c>
      <c r="B10563" s="24" t="s">
        <v>14930</v>
      </c>
      <c r="C10563" s="25">
        <v>2182950</v>
      </c>
      <c r="D10563" s="22" t="s">
        <v>14931</v>
      </c>
      <c r="E10563" s="22" t="s">
        <v>48</v>
      </c>
      <c r="F10563" s="23" t="str">
        <f>HYPERLINK("https://www.spark-marketing.ru/Card/Lot/72366255", "Оказание услуг по организации питания для нужд МБОУ ""СОШ №4""")</f>
        <v>Оказание услуг по организации питания для нужд МБОУ "СОШ №4"</v>
      </c>
      <c r="G10563" s="22" t="s">
        <v>49</v>
      </c>
      <c r="H10563" s="22" t="s">
        <v>14932</v>
      </c>
      <c r="I10563" s="26">
        <v>43672.434722222199</v>
      </c>
      <c r="J10563" s="23" t="str">
        <f>HYPERLINK("https://www.spark-marketing.ru/Card/Person/100937", "ООО ""ВЕРТИКАЛЬ""")</f>
        <v>ООО "ВЕРТИКАЛЬ"</v>
      </c>
      <c r="K10563" s="24" t="s">
        <v>4501</v>
      </c>
      <c r="L10563" s="22" t="s">
        <v>10</v>
      </c>
      <c r="M10563" s="25">
        <v>2182950</v>
      </c>
      <c r="N10563" s="27">
        <v>0</v>
      </c>
    </row>
    <row r="10564" spans="1:14" x14ac:dyDescent="0.2">
      <c r="A10564" s="23" t="str">
        <f>HYPERLINK("https://www.spark-marketing.ru/Card/Person/4345826", "ПАО СБЕРБАНК")</f>
        <v>ПАО СБЕРБАНК</v>
      </c>
      <c r="B10564" s="24" t="s">
        <v>2945</v>
      </c>
      <c r="C10564" s="25">
        <v>10000</v>
      </c>
      <c r="D10564" s="22" t="s">
        <v>14933</v>
      </c>
      <c r="E10564" s="22" t="s">
        <v>1593</v>
      </c>
      <c r="F10564" s="23" t="str">
        <f>HYPERLINK("https://www.spark-marketing.ru/Card/Lot/72416594", "Организация общественного питания, 1 комплект")</f>
        <v>Организация общественного питания, 1 комплект</v>
      </c>
      <c r="G10564" s="22" t="s">
        <v>1918</v>
      </c>
      <c r="H10564" s="22" t="s">
        <v>1918</v>
      </c>
      <c r="I10564" s="26">
        <v>43672.447037037004</v>
      </c>
      <c r="J10564" s="28" t="s">
        <v>51</v>
      </c>
      <c r="K10564" s="28" t="s">
        <v>51</v>
      </c>
      <c r="L10564" s="22" t="s">
        <v>10</v>
      </c>
      <c r="M10564" s="25">
        <v>10000</v>
      </c>
      <c r="N10564" s="27">
        <v>0</v>
      </c>
    </row>
    <row r="10565" spans="1:14" collapsed="1" x14ac:dyDescent="0.15">
      <c r="A10565" s="23" t="str">
        <f>HYPERLINK("https://www.spark-marketing.ru/Card/Person/123973", "МОУ НИКОЛО-КРОПОТКИНСКАЯ ООШ")</f>
        <v>МОУ НИКОЛО-КРОПОТКИНСКАЯ ООШ</v>
      </c>
      <c r="B10565" s="24" t="s">
        <v>14934</v>
      </c>
      <c r="C10565" s="25">
        <v>594330.96</v>
      </c>
      <c r="D10565" s="22" t="s">
        <v>14935</v>
      </c>
      <c r="E10565" s="22" t="s">
        <v>48</v>
      </c>
      <c r="F10565" s="23" t="str">
        <f>HYPERLINK("https://www.spark-marketing.ru/Card/Lot/72365666", "Оказание услуг по приготовлению и организации горячего рационального питания учащихся МОУ Николо-Кропоткинская ООШ на период с 01 сентября 2019г. по 31 декабря 2019г.")</f>
        <v>Оказание услуг по приготовлению и организации горячего рационального питания учащихся МОУ Николо-Кропоткинская ООШ на период с 01 сентября 2019г. по 31 декабря 2019г.</v>
      </c>
      <c r="G10565" s="22" t="s">
        <v>49</v>
      </c>
      <c r="H10565" s="22" t="s">
        <v>49</v>
      </c>
      <c r="I10565" s="26">
        <v>43672.4071527778</v>
      </c>
      <c r="J10565" s="28" t="s">
        <v>51</v>
      </c>
      <c r="K10565" s="28" t="s">
        <v>51</v>
      </c>
      <c r="L10565" s="28" t="s">
        <v>51</v>
      </c>
      <c r="M10565" s="28" t="s">
        <v>51</v>
      </c>
      <c r="N10565" s="28" t="s">
        <v>51</v>
      </c>
    </row>
    <row r="10566" spans="1:14" ht="12.75" hidden="1" outlineLevel="1" x14ac:dyDescent="0.2">
      <c r="A10566" s="23" t="str">
        <f>HYPERLINK("https://www.spark-marketing.ru/Card/Person/123973", "МОУ НИКОЛО-КРОПОТКИНСКАЯ ООШ")</f>
        <v>МОУ НИКОЛО-КРОПОТКИНСКАЯ ООШ</v>
      </c>
      <c r="B10566" s="24" t="s">
        <v>14934</v>
      </c>
      <c r="C10566" s="25">
        <v>594330.96</v>
      </c>
      <c r="D10566" s="22" t="s">
        <v>14935</v>
      </c>
      <c r="E10566" s="22" t="s">
        <v>48</v>
      </c>
      <c r="F10566" s="23" t="str">
        <f>HYPERLINK("https://www.spark-marketing.ru/Card/Lot/72365666", "Оказание услуг по приготовлению и организации горячего рационального питания учащихся МОУ Николо-Кропоткинская ООШ на период с 01 сентября 2019г. по 31 декабря 2019г.")</f>
        <v>Оказание услуг по приготовлению и организации горячего рационального питания учащихся МОУ Николо-Кропоткинская ООШ на период с 01 сентября 2019г. по 31 декабря 2019г.</v>
      </c>
      <c r="G10566" s="22" t="s">
        <v>49</v>
      </c>
      <c r="H10566" s="22" t="s">
        <v>49</v>
      </c>
      <c r="I10566" s="26">
        <v>43672.4071527778</v>
      </c>
      <c r="J10566" s="23" t="str">
        <f>HYPERLINK("https://www.spark-marketing.ru/Card/Person/75516", "ООО ""КОНЦЕПТ""")</f>
        <v>ООО "КОНЦЕПТ"</v>
      </c>
      <c r="K10566" s="24" t="s">
        <v>1717</v>
      </c>
      <c r="L10566" s="22" t="s">
        <v>10</v>
      </c>
      <c r="M10566" s="25">
        <v>534813.07999999996</v>
      </c>
      <c r="N10566" s="27">
        <v>0.10014265452366809</v>
      </c>
    </row>
    <row r="10567" spans="1:14" hidden="1" outlineLevel="1" x14ac:dyDescent="0.2">
      <c r="A10567" s="23" t="str">
        <f>HYPERLINK("https://www.spark-marketing.ru/Card/Person/123973", "МОУ НИКОЛО-КРОПОТКИНСКАЯ ООШ")</f>
        <v>МОУ НИКОЛО-КРОПОТКИНСКАЯ ООШ</v>
      </c>
      <c r="B10567" s="24" t="s">
        <v>14934</v>
      </c>
      <c r="C10567" s="25">
        <v>594330.96</v>
      </c>
      <c r="D10567" s="22" t="s">
        <v>14935</v>
      </c>
      <c r="E10567" s="22" t="s">
        <v>48</v>
      </c>
      <c r="F10567" s="23" t="str">
        <f>HYPERLINK("https://www.spark-marketing.ru/Card/Lot/72365666", "Оказание услуг по приготовлению и организации горячего рационального питания учащихся МОУ Николо-Кропоткинская ООШ на период с 01 сентября 2019г. по 31 декабря 2019г.")</f>
        <v>Оказание услуг по приготовлению и организации горячего рационального питания учащихся МОУ Николо-Кропоткинская ООШ на период с 01 сентября 2019г. по 31 декабря 2019г.</v>
      </c>
      <c r="G10567" s="22" t="s">
        <v>49</v>
      </c>
      <c r="H10567" s="22" t="s">
        <v>49</v>
      </c>
      <c r="I10567" s="26">
        <v>43672.4071527778</v>
      </c>
      <c r="J10567" s="23" t="str">
        <f>HYPERLINK("https://www.spark-marketing.ru/Card/Person/31262", "ООО ""АЛЬЯНС""")</f>
        <v>ООО "АЛЬЯНС"</v>
      </c>
      <c r="K10567" s="24" t="s">
        <v>1718</v>
      </c>
      <c r="L10567" s="28" t="s">
        <v>51</v>
      </c>
      <c r="M10567" s="25">
        <v>537869.42000000004</v>
      </c>
      <c r="N10567" s="27">
        <v>9.5000166237343586E-2</v>
      </c>
    </row>
    <row r="10568" spans="1:14" x14ac:dyDescent="0.15">
      <c r="A10568" s="23" t="str">
        <f>HYPERLINK("https://www.spark-marketing.ru/Card/Person/995845", "ОМВД РОССИИ ПО СУДОГОДСКОМУ РАЙОНУ")</f>
        <v>ОМВД РОССИИ ПО СУДОГОДСКОМУ РАЙОНУ</v>
      </c>
      <c r="B10568" s="24" t="s">
        <v>10538</v>
      </c>
      <c r="C10568" s="25">
        <v>582500</v>
      </c>
      <c r="D10568" s="22" t="s">
        <v>14936</v>
      </c>
      <c r="E10568" s="22" t="s">
        <v>48</v>
      </c>
      <c r="F10568" s="23" t="str">
        <f>HYPERLINK("https://www.spark-marketing.ru/Card/Lot/72367482", "Прочая закупка услуг (услуги по организации ежедневного трехразового горячего питания лиц, подвергнутых административному аресту, и лиц, содержащихся в ИВС)")</f>
        <v>Прочая закупка услуг (услуги по организации ежедневного трехразового горячего питания лиц, подвергнутых административному аресту, и лиц, содержащихся в ИВС)</v>
      </c>
      <c r="G10568" s="22" t="s">
        <v>663</v>
      </c>
      <c r="H10568" s="22" t="s">
        <v>663</v>
      </c>
      <c r="I10568" s="26">
        <v>43672.411874999998</v>
      </c>
      <c r="J10568" s="28" t="s">
        <v>51</v>
      </c>
      <c r="K10568" s="28" t="s">
        <v>51</v>
      </c>
      <c r="L10568" s="28" t="s">
        <v>51</v>
      </c>
      <c r="M10568" s="28" t="s">
        <v>51</v>
      </c>
      <c r="N10568" s="28" t="s">
        <v>51</v>
      </c>
    </row>
    <row r="10569" spans="1:14" x14ac:dyDescent="0.15">
      <c r="A10569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10569" s="24" t="s">
        <v>5659</v>
      </c>
      <c r="C10569" s="25">
        <v>800000</v>
      </c>
      <c r="D10569" s="22" t="s">
        <v>14937</v>
      </c>
      <c r="E10569" s="22" t="s">
        <v>48</v>
      </c>
      <c r="F10569" s="23" t="str">
        <f>HYPERLINK("https://www.spark-marketing.ru/Card/Lot/72353758", "Оказание услуг по организации ежедневного трехразового горячего питания спецконтингента содержащегося в в ИВС Мильковского МО МВД России по Камчатскому краю")</f>
        <v>Оказание услуг по организации ежедневного трехразового горячего питания спецконтингента содержащегося в в ИВС Мильковского МО МВД России по Камчатскому краю</v>
      </c>
      <c r="G10569" s="22" t="s">
        <v>246</v>
      </c>
      <c r="H10569" s="22" t="s">
        <v>5661</v>
      </c>
      <c r="I10569" s="26">
        <v>43672.412905092599</v>
      </c>
      <c r="J10569" s="23" t="str">
        <f>HYPERLINK("https://www.spark-marketing.ru/Card/Person/135051", "ФКУ ИК-7 УФСИН РОССИИ ПО КАМЧАТСКОМУ КРАЮ")</f>
        <v>ФКУ ИК-7 УФСИН РОССИИ ПО КАМЧАТСКОМУ КРАЮ</v>
      </c>
      <c r="K10569" s="24" t="s">
        <v>5662</v>
      </c>
      <c r="L10569" s="22" t="s">
        <v>10</v>
      </c>
      <c r="M10569" s="28" t="s">
        <v>51</v>
      </c>
      <c r="N10569" s="28" t="s">
        <v>51</v>
      </c>
    </row>
    <row r="10570" spans="1:14" collapsed="1" x14ac:dyDescent="0.15">
      <c r="A10570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10570" s="24" t="s">
        <v>5659</v>
      </c>
      <c r="C10570" s="25">
        <v>2000000</v>
      </c>
      <c r="D10570" s="22" t="s">
        <v>14938</v>
      </c>
      <c r="E10570" s="22" t="s">
        <v>48</v>
      </c>
      <c r="F10570" s="23" t="str">
        <f>HYPERLINK("https://www.spark-marketing.ru/Card/Lot/72352247", "Оказание услуг по организации ежедневного трехразового горячего питания спецконтингента содержащегося в СПСЛПАА УМВД России по городу Петропавловску-Камчатскому")</f>
        <v>Оказание услуг по организации ежедневного трехразового горячего питания спецконтингента содержащегося в СПСЛПАА УМВД России по городу Петропавловску-Камчатскому</v>
      </c>
      <c r="G10570" s="22" t="s">
        <v>246</v>
      </c>
      <c r="H10570" s="22" t="s">
        <v>247</v>
      </c>
      <c r="I10570" s="26">
        <v>43672.381307870397</v>
      </c>
      <c r="J10570" s="28" t="s">
        <v>51</v>
      </c>
      <c r="K10570" s="28" t="s">
        <v>51</v>
      </c>
      <c r="L10570" s="28" t="s">
        <v>51</v>
      </c>
      <c r="M10570" s="28" t="s">
        <v>51</v>
      </c>
      <c r="N10570" s="28" t="s">
        <v>51</v>
      </c>
    </row>
    <row r="10571" spans="1:14" ht="12.75" hidden="1" outlineLevel="1" x14ac:dyDescent="0.2">
      <c r="A10571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10571" s="24" t="s">
        <v>5659</v>
      </c>
      <c r="C10571" s="25">
        <v>2000000</v>
      </c>
      <c r="D10571" s="22" t="s">
        <v>14938</v>
      </c>
      <c r="E10571" s="22" t="s">
        <v>48</v>
      </c>
      <c r="F10571" s="23" t="str">
        <f>HYPERLINK("https://www.spark-marketing.ru/Card/Lot/72352247", "Оказание услуг по организации ежедневного трехразового горячего питания спецконтингента содержащегося в СПСЛПАА УМВД России по городу Петропавловску-Камчатскому")</f>
        <v>Оказание услуг по организации ежедневного трехразового горячего питания спецконтингента содержащегося в СПСЛПАА УМВД России по городу Петропавловску-Камчатскому</v>
      </c>
      <c r="G10571" s="22" t="s">
        <v>246</v>
      </c>
      <c r="H10571" s="22" t="s">
        <v>247</v>
      </c>
      <c r="I10571" s="26">
        <v>43672.381307870397</v>
      </c>
      <c r="J10571" s="23" t="str">
        <f>HYPERLINK("https://www.spark-marketing.ru/Card/Person/147450", "Гагиев Сослан Маратович")</f>
        <v>Гагиев Сослан Маратович</v>
      </c>
      <c r="K10571" s="24" t="s">
        <v>10018</v>
      </c>
      <c r="L10571" s="22" t="s">
        <v>10</v>
      </c>
      <c r="M10571" s="25">
        <v>2924.59</v>
      </c>
      <c r="N10571" s="27">
        <v>0.99853770500000005</v>
      </c>
    </row>
    <row r="10572" spans="1:14" hidden="1" outlineLevel="1" x14ac:dyDescent="0.2">
      <c r="A10572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10572" s="24" t="s">
        <v>5659</v>
      </c>
      <c r="C10572" s="25">
        <v>2000000</v>
      </c>
      <c r="D10572" s="22" t="s">
        <v>14938</v>
      </c>
      <c r="E10572" s="22" t="s">
        <v>48</v>
      </c>
      <c r="F10572" s="23" t="str">
        <f>HYPERLINK("https://www.spark-marketing.ru/Card/Lot/72352247", "Оказание услуг по организации ежедневного трехразового горячего питания спецконтингента содержащегося в СПСЛПАА УМВД России по городу Петропавловску-Камчатскому")</f>
        <v>Оказание услуг по организации ежедневного трехразового горячего питания спецконтингента содержащегося в СПСЛПАА УМВД России по городу Петропавловску-Камчатскому</v>
      </c>
      <c r="G10572" s="22" t="s">
        <v>246</v>
      </c>
      <c r="H10572" s="22" t="s">
        <v>247</v>
      </c>
      <c r="I10572" s="26">
        <v>43672.381307870397</v>
      </c>
      <c r="J10572" s="23" t="str">
        <f>HYPERLINK("https://www.spark-marketing.ru/Card/Person/114050", "Чиботэрикэ Светлана Ивановна")</f>
        <v>Чиботэрикэ Светлана Ивановна</v>
      </c>
      <c r="K10572" s="24" t="s">
        <v>10021</v>
      </c>
      <c r="L10572" s="28" t="s">
        <v>51</v>
      </c>
      <c r="M10572" s="25">
        <v>2949.7</v>
      </c>
      <c r="N10572" s="27">
        <v>0.99852514999999997</v>
      </c>
    </row>
    <row r="10573" spans="1:14" x14ac:dyDescent="0.2">
      <c r="A10573" s="23" t="str">
        <f>HYPERLINK("https://www.spark-marketing.ru/Card/Person/147909", "МБОУ ""СОШ № 8 Г. ВЫБОРГА""")</f>
        <v>МБОУ "СОШ № 8 Г. ВЫБОРГА"</v>
      </c>
      <c r="B10573" s="24" t="s">
        <v>14939</v>
      </c>
      <c r="C10573" s="25">
        <v>2125969</v>
      </c>
      <c r="D10573" s="22" t="s">
        <v>14940</v>
      </c>
      <c r="E10573" s="22" t="s">
        <v>48</v>
      </c>
      <c r="F10573" s="23" t="str">
        <f>HYPERLINK("https://www.spark-marketing.ru/Card/Lot/72363102", "Оказание услуг организации питания для льготных категорий, обучающихся и обеспечения молоком (кисломолочными продуктами) обучающихся 1-4 классов муниципального бюджетного общеобразовательного учреждения «Средняя общеобразовательная школа № 8 г. Выбор...")</f>
        <v>Оказание услуг организации питания для льготных категорий, обучающихся и обеспечения молоком (кисломолочными продуктами) обучающихся 1-4 классов муниципального бюджетного общеобразовательного учреждения «Средняя общеобразовательная школа № 8 г. Выбор...</v>
      </c>
      <c r="G10573" s="22" t="s">
        <v>162</v>
      </c>
      <c r="H10573" s="22" t="s">
        <v>10137</v>
      </c>
      <c r="I10573" s="26">
        <v>43672.383333333302</v>
      </c>
      <c r="J10573" s="23" t="str">
        <f>HYPERLINK("https://www.spark-marketing.ru/Card/Person/1281490", "Разина Елена Викторовна")</f>
        <v>Разина Елена Викторовна</v>
      </c>
      <c r="K10573" s="24" t="s">
        <v>5559</v>
      </c>
      <c r="L10573" s="28" t="s">
        <v>51</v>
      </c>
      <c r="M10573" s="25">
        <v>2125969</v>
      </c>
      <c r="N10573" s="27">
        <v>0</v>
      </c>
    </row>
    <row r="10574" spans="1:14" x14ac:dyDescent="0.15">
      <c r="A10574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10574" s="24" t="s">
        <v>5659</v>
      </c>
      <c r="C10574" s="25">
        <v>700000</v>
      </c>
      <c r="D10574" s="22" t="s">
        <v>14941</v>
      </c>
      <c r="E10574" s="22" t="s">
        <v>48</v>
      </c>
      <c r="F10574" s="23" t="str">
        <f>HYPERLINK("https://www.spark-marketing.ru/Card/Lot/72353746", "Оказание услуг по организации ежедневного пятиразового горячего питания для несовершеннолетних правонарушителей, содержащихся в ЦВСНП УМВД России по Камчатскому краю")</f>
        <v>Оказание услуг по организации ежедневного пятиразового горячего питания для несовершеннолетних правонарушителей, содержащихся в ЦВСНП УМВД России по Камчатскому краю</v>
      </c>
      <c r="G10574" s="22" t="s">
        <v>246</v>
      </c>
      <c r="H10574" s="22" t="s">
        <v>247</v>
      </c>
      <c r="I10574" s="26">
        <v>43672.402638888903</v>
      </c>
      <c r="J10574" s="23" t="str">
        <f>HYPERLINK("https://www.spark-marketing.ru/Card/Person/114050", "Чиботэрикэ Светлана Ивановна")</f>
        <v>Чиботэрикэ Светлана Ивановна</v>
      </c>
      <c r="K10574" s="24" t="s">
        <v>10021</v>
      </c>
      <c r="L10574" s="22" t="s">
        <v>10</v>
      </c>
      <c r="M10574" s="28" t="s">
        <v>51</v>
      </c>
      <c r="N10574" s="28" t="s">
        <v>51</v>
      </c>
    </row>
    <row r="10575" spans="1:14" collapsed="1" x14ac:dyDescent="0.15">
      <c r="A10575" s="23" t="str">
        <f>HYPERLINK("https://www.spark-marketing.ru/Card/Person/813468", "ОТДЕЛ МВД РОССИИ ПО БУГУЛЬМИНСКОМУ РАЙОНУ")</f>
        <v>ОТДЕЛ МВД РОССИИ ПО БУГУЛЬМИНСКОМУ РАЙОНУ</v>
      </c>
      <c r="B10575" s="24" t="s">
        <v>14942</v>
      </c>
      <c r="C10575" s="25">
        <v>2400000</v>
      </c>
      <c r="D10575" s="22" t="s">
        <v>14943</v>
      </c>
      <c r="E10575" s="22" t="s">
        <v>48</v>
      </c>
      <c r="F10575" s="23" t="str">
        <f>HYPERLINK("https://www.spark-marketing.ru/Card/Lot/72369996", "Прочая закупка товаров, работ и услуг - оказание услуг по организации питания лиц, содержащихся в изоляторе временного содержания, специальном приемнике, комнатах административно задержанных")</f>
        <v>Прочая закупка товаров, работ и услуг - оказание услуг по организации питания лиц, содержащихся в изоляторе временного содержания, специальном приемнике, комнатах административно задержанных</v>
      </c>
      <c r="G10575" s="22" t="s">
        <v>217</v>
      </c>
      <c r="H10575" s="22" t="s">
        <v>13410</v>
      </c>
      <c r="I10575" s="26">
        <v>43672.400937500002</v>
      </c>
      <c r="J10575" s="28" t="s">
        <v>51</v>
      </c>
      <c r="K10575" s="28" t="s">
        <v>51</v>
      </c>
      <c r="L10575" s="28" t="s">
        <v>51</v>
      </c>
      <c r="M10575" s="28" t="s">
        <v>51</v>
      </c>
      <c r="N10575" s="28" t="s">
        <v>51</v>
      </c>
    </row>
    <row r="10576" spans="1:14" ht="12.75" hidden="1" outlineLevel="1" x14ac:dyDescent="0.2">
      <c r="A10576" s="23" t="str">
        <f>HYPERLINK("https://www.spark-marketing.ru/Card/Person/813468", "ОТДЕЛ МВД РОССИИ ПО БУГУЛЬМИНСКОМУ РАЙОНУ")</f>
        <v>ОТДЕЛ МВД РОССИИ ПО БУГУЛЬМИНСКОМУ РАЙОНУ</v>
      </c>
      <c r="B10576" s="24" t="s">
        <v>14942</v>
      </c>
      <c r="C10576" s="25">
        <v>2400000</v>
      </c>
      <c r="D10576" s="22" t="s">
        <v>14943</v>
      </c>
      <c r="E10576" s="22" t="s">
        <v>48</v>
      </c>
      <c r="F10576" s="23" t="str">
        <f>HYPERLINK("https://www.spark-marketing.ru/Card/Lot/72369996", "Прочая закупка товаров, работ и услуг - оказание услуг по организации питания лиц, содержащихся в изоляторе временного содержания, специальном приемнике, комнатах административно задержанных")</f>
        <v>Прочая закупка товаров, работ и услуг - оказание услуг по организации питания лиц, содержащихся в изоляторе временного содержания, специальном приемнике, комнатах административно задержанных</v>
      </c>
      <c r="G10576" s="22" t="s">
        <v>217</v>
      </c>
      <c r="H10576" s="22" t="s">
        <v>13410</v>
      </c>
      <c r="I10576" s="26">
        <v>43672.400937500002</v>
      </c>
      <c r="J10576" s="23" t="str">
        <f>HYPERLINK("https://www.spark-marketing.ru/Card/Person/815854", "Галиякбарова Альбина Мисхатовна")</f>
        <v>Галиякбарова Альбина Мисхатовна</v>
      </c>
      <c r="K10576" s="24" t="s">
        <v>14944</v>
      </c>
      <c r="L10576" s="22" t="s">
        <v>10</v>
      </c>
      <c r="M10576" s="25">
        <v>2400000</v>
      </c>
      <c r="N10576" s="27">
        <v>0</v>
      </c>
    </row>
    <row r="10577" spans="1:14" hidden="1" outlineLevel="1" x14ac:dyDescent="0.2">
      <c r="A10577" s="23" t="str">
        <f>HYPERLINK("https://www.spark-marketing.ru/Card/Person/813468", "ОТДЕЛ МВД РОССИИ ПО БУГУЛЬМИНСКОМУ РАЙОНУ")</f>
        <v>ОТДЕЛ МВД РОССИИ ПО БУГУЛЬМИНСКОМУ РАЙОНУ</v>
      </c>
      <c r="B10577" s="24" t="s">
        <v>14942</v>
      </c>
      <c r="C10577" s="25">
        <v>2400000</v>
      </c>
      <c r="D10577" s="22" t="s">
        <v>14943</v>
      </c>
      <c r="E10577" s="22" t="s">
        <v>48</v>
      </c>
      <c r="F10577" s="23" t="str">
        <f>HYPERLINK("https://www.spark-marketing.ru/Card/Lot/72369996", "Прочая закупка товаров, работ и услуг - оказание услуг по организации питания лиц, содержащихся в изоляторе временного содержания, специальном приемнике, комнатах административно задержанных")</f>
        <v>Прочая закупка товаров, работ и услуг - оказание услуг по организации питания лиц, содержащихся в изоляторе временного содержания, специальном приемнике, комнатах административно задержанных</v>
      </c>
      <c r="G10577" s="22" t="s">
        <v>217</v>
      </c>
      <c r="H10577" s="22" t="s">
        <v>13410</v>
      </c>
      <c r="I10577" s="26">
        <v>43672.400937500002</v>
      </c>
      <c r="J10577" s="23" t="str">
        <f>HYPERLINK("https://www.spark-marketing.ru/Card/Person/6084653", "ООО ""ВИТАРА""")</f>
        <v>ООО "ВИТАРА"</v>
      </c>
      <c r="K10577" s="24" t="s">
        <v>2437</v>
      </c>
      <c r="L10577" s="28" t="s">
        <v>51</v>
      </c>
      <c r="M10577" s="25">
        <v>2400000</v>
      </c>
      <c r="N10577" s="27">
        <v>0</v>
      </c>
    </row>
    <row r="10578" spans="1:14" hidden="1" outlineLevel="1" x14ac:dyDescent="0.2">
      <c r="A10578" s="23" t="str">
        <f>HYPERLINK("https://www.spark-marketing.ru/Card/Person/813468", "ОТДЕЛ МВД РОССИИ ПО БУГУЛЬМИНСКОМУ РАЙОНУ")</f>
        <v>ОТДЕЛ МВД РОССИИ ПО БУГУЛЬМИНСКОМУ РАЙОНУ</v>
      </c>
      <c r="B10578" s="24" t="s">
        <v>14942</v>
      </c>
      <c r="C10578" s="25">
        <v>2400000</v>
      </c>
      <c r="D10578" s="22" t="s">
        <v>14943</v>
      </c>
      <c r="E10578" s="22" t="s">
        <v>48</v>
      </c>
      <c r="F10578" s="23" t="str">
        <f>HYPERLINK("https://www.spark-marketing.ru/Card/Lot/72369996", "Прочая закупка товаров, работ и услуг - оказание услуг по организации питания лиц, содержащихся в изоляторе временного содержания, специальном приемнике, комнатах административно задержанных")</f>
        <v>Прочая закупка товаров, работ и услуг - оказание услуг по организации питания лиц, содержащихся в изоляторе временного содержания, специальном приемнике, комнатах административно задержанных</v>
      </c>
      <c r="G10578" s="22" t="s">
        <v>217</v>
      </c>
      <c r="H10578" s="22" t="s">
        <v>13410</v>
      </c>
      <c r="I10578" s="26">
        <v>43672.400937500002</v>
      </c>
      <c r="J10578" s="23" t="str">
        <f>HYPERLINK("https://www.spark-marketing.ru/Card/Person/6075772", "ООО ""ЭТАЛОН+""")</f>
        <v>ООО "ЭТАЛОН+"</v>
      </c>
      <c r="K10578" s="24" t="s">
        <v>5846</v>
      </c>
      <c r="L10578" s="28" t="s">
        <v>51</v>
      </c>
      <c r="M10578" s="25">
        <v>2400000</v>
      </c>
      <c r="N10578" s="27">
        <v>0</v>
      </c>
    </row>
    <row r="10579" spans="1:14" collapsed="1" x14ac:dyDescent="0.15">
      <c r="A10579" s="23" t="str">
        <f>HYPERLINK("https://www.spark-marketing.ru/Card/Person/36875", "ФГБОУ ВО ""КУБГТУ"",КУБГТУ,ФГБОУ ВО ""КУБАНСКИЙ ГОСУДАРСТВЕННЫЙ ТЕХНОЛОГИЧЕСКИЙ УНИВЕРСИТЕТ""")</f>
        <v>ФГБОУ ВО "КУБГТУ",КУБГТУ,ФГБОУ ВО "КУБАНСКИЙ ГОСУДАРСТВЕННЫЙ ТЕХНОЛОГИЧЕСКИЙ УНИВЕРСИТЕТ"</v>
      </c>
      <c r="B10579" s="24" t="s">
        <v>14945</v>
      </c>
      <c r="C10579" s="25">
        <v>2424328.81</v>
      </c>
      <c r="D10579" s="22" t="s">
        <v>14946</v>
      </c>
      <c r="E10579" s="22" t="s">
        <v>716</v>
      </c>
      <c r="F10579" s="23" t="str">
        <f>HYPERLINK("https://www.spark-marketing.ru/Card/Lot/72374142", "Поставка учебной литературы на бумажных носителях")</f>
        <v>Поставка учебной литературы на бумажных носителях</v>
      </c>
      <c r="G10579" s="22" t="s">
        <v>104</v>
      </c>
      <c r="H10579" s="22" t="s">
        <v>104</v>
      </c>
      <c r="I10579" s="26">
        <v>43672.372824074097</v>
      </c>
      <c r="J10579" s="28" t="s">
        <v>51</v>
      </c>
      <c r="K10579" s="28" t="s">
        <v>51</v>
      </c>
      <c r="L10579" s="28" t="s">
        <v>51</v>
      </c>
      <c r="M10579" s="28" t="s">
        <v>51</v>
      </c>
      <c r="N10579" s="28" t="s">
        <v>51</v>
      </c>
    </row>
    <row r="10580" spans="1:14" hidden="1" outlineLevel="1" x14ac:dyDescent="0.2">
      <c r="A10580" s="23" t="str">
        <f>HYPERLINK("https://www.spark-marketing.ru/Card/Person/36875", "ФГБОУ ВО ""КУБГТУ"",КУБГТУ,ФГБОУ ВО ""КУБАНСКИЙ ГОСУДАРСТВЕННЫЙ ТЕХНОЛОГИЧЕСКИЙ УНИВЕРСИТЕТ""")</f>
        <v>ФГБОУ ВО "КУБГТУ",КУБГТУ,ФГБОУ ВО "КУБАНСКИЙ ГОСУДАРСТВЕННЫЙ ТЕХНОЛОГИЧЕСКИЙ УНИВЕРСИТЕТ"</v>
      </c>
      <c r="B10580" s="24" t="s">
        <v>14945</v>
      </c>
      <c r="C10580" s="25">
        <v>2424328.81</v>
      </c>
      <c r="D10580" s="22" t="s">
        <v>14946</v>
      </c>
      <c r="E10580" s="22" t="s">
        <v>716</v>
      </c>
      <c r="F10580" s="23" t="str">
        <f>HYPERLINK("https://www.spark-marketing.ru/Card/Lot/72374142", "Поставка учебной литературы на бумажных носителях")</f>
        <v>Поставка учебной литературы на бумажных носителях</v>
      </c>
      <c r="G10580" s="22" t="s">
        <v>104</v>
      </c>
      <c r="H10580" s="22" t="s">
        <v>104</v>
      </c>
      <c r="I10580" s="26">
        <v>43672.372824074097</v>
      </c>
      <c r="J10580" s="23" t="str">
        <f>HYPERLINK("https://www.spark-marketing.ru/Card/Person/75285", "ООО ""КНОРУС МЕДИА""")</f>
        <v>ООО "КНОРУС МЕДИА"</v>
      </c>
      <c r="K10580" s="24" t="s">
        <v>9371</v>
      </c>
      <c r="L10580" s="28" t="s">
        <v>51</v>
      </c>
      <c r="M10580" s="25">
        <v>2412207</v>
      </c>
      <c r="N10580" s="27">
        <v>5.0000684519357751E-3</v>
      </c>
    </row>
    <row r="10581" spans="1:14" ht="12.75" hidden="1" outlineLevel="1" x14ac:dyDescent="0.2">
      <c r="A10581" s="23" t="str">
        <f>HYPERLINK("https://www.spark-marketing.ru/Card/Person/36875", "ФГБОУ ВО ""КУБГТУ"",КУБГТУ,ФГБОУ ВО ""КУБАНСКИЙ ГОСУДАРСТВЕННЫЙ ТЕХНОЛОГИЧЕСКИЙ УНИВЕРСИТЕТ""")</f>
        <v>ФГБОУ ВО "КУБГТУ",КУБГТУ,ФГБОУ ВО "КУБАНСКИЙ ГОСУДАРСТВЕННЫЙ ТЕХНОЛОГИЧЕСКИЙ УНИВЕРСИТЕТ"</v>
      </c>
      <c r="B10581" s="24" t="s">
        <v>14945</v>
      </c>
      <c r="C10581" s="25">
        <v>2424328.81</v>
      </c>
      <c r="D10581" s="22" t="s">
        <v>14946</v>
      </c>
      <c r="E10581" s="22" t="s">
        <v>716</v>
      </c>
      <c r="F10581" s="23" t="str">
        <f>HYPERLINK("https://www.spark-marketing.ru/Card/Lot/72374142", "Поставка учебной литературы на бумажных носителях")</f>
        <v>Поставка учебной литературы на бумажных носителях</v>
      </c>
      <c r="G10581" s="22" t="s">
        <v>104</v>
      </c>
      <c r="H10581" s="22" t="s">
        <v>104</v>
      </c>
      <c r="I10581" s="26">
        <v>43672.372824074097</v>
      </c>
      <c r="J10581" s="23" t="str">
        <f>HYPERLINK("https://www.spark-marketing.ru/Card/Person/69047", "ООО ""ЦКБ ""БИБКОМ""")</f>
        <v>ООО "ЦКБ "БИБКОМ"</v>
      </c>
      <c r="K10581" s="24" t="s">
        <v>14947</v>
      </c>
      <c r="L10581" s="22" t="s">
        <v>10</v>
      </c>
      <c r="M10581" s="25">
        <v>2412207</v>
      </c>
      <c r="N10581" s="27">
        <v>5.0000684519357751E-3</v>
      </c>
    </row>
    <row r="10582" spans="1:14" hidden="1" outlineLevel="1" x14ac:dyDescent="0.2">
      <c r="A10582" s="23" t="str">
        <f>HYPERLINK("https://www.spark-marketing.ru/Card/Person/36875", "ФГБОУ ВО ""КУБГТУ"",КУБГТУ,ФГБОУ ВО ""КУБАНСКИЙ ГОСУДАРСТВЕННЫЙ ТЕХНОЛОГИЧЕСКИЙ УНИВЕРСИТЕТ""")</f>
        <v>ФГБОУ ВО "КУБГТУ",КУБГТУ,ФГБОУ ВО "КУБАНСКИЙ ГОСУДАРСТВЕННЫЙ ТЕХНОЛОГИЧЕСКИЙ УНИВЕРСИТЕТ"</v>
      </c>
      <c r="B10582" s="24" t="s">
        <v>14945</v>
      </c>
      <c r="C10582" s="25">
        <v>2424328.81</v>
      </c>
      <c r="D10582" s="22" t="s">
        <v>14946</v>
      </c>
      <c r="E10582" s="22" t="s">
        <v>716</v>
      </c>
      <c r="F10582" s="23" t="str">
        <f>HYPERLINK("https://www.spark-marketing.ru/Card/Lot/72374142", "Поставка учебной литературы на бумажных носителях")</f>
        <v>Поставка учебной литературы на бумажных носителях</v>
      </c>
      <c r="G10582" s="22" t="s">
        <v>104</v>
      </c>
      <c r="H10582" s="22" t="s">
        <v>104</v>
      </c>
      <c r="I10582" s="26">
        <v>43672.372824074097</v>
      </c>
      <c r="J10582" s="23" t="str">
        <f>HYPERLINK("https://www.spark-marketing.ru/Card/Person/4359157", "ООО ""ИЗДАТЕЛЬСКИЙ ДОМ ""ФОРУМ""")</f>
        <v>ООО "ИЗДАТЕЛЬСКИЙ ДОМ "ФОРУМ"</v>
      </c>
      <c r="K10582" s="24" t="s">
        <v>7129</v>
      </c>
      <c r="L10582" s="28" t="s">
        <v>51</v>
      </c>
      <c r="M10582" s="25">
        <v>2412207</v>
      </c>
      <c r="N10582" s="27">
        <v>5.0000684519357751E-3</v>
      </c>
    </row>
    <row r="10583" spans="1:14" x14ac:dyDescent="0.2">
      <c r="A10583" s="23" t="str">
        <f>HYPERLINK("https://www.spark-marketing.ru/Card/Person/1763005", "МАОУ ""ООШ № 13""")</f>
        <v>МАОУ "ООШ № 13"</v>
      </c>
      <c r="B10583" s="24" t="s">
        <v>14948</v>
      </c>
      <c r="C10583" s="25">
        <v>2451801</v>
      </c>
      <c r="D10583" s="22" t="s">
        <v>14949</v>
      </c>
      <c r="E10583" s="22" t="s">
        <v>362</v>
      </c>
      <c r="F10583" s="23" t="str">
        <f>HYPERLINK("https://www.spark-marketing.ru/Card/Lot/72417091", "Оказание услуг по организации питания обучающихся в МАОУ ""ООШ №13""")</f>
        <v>Оказание услуг по организации питания обучающихся в МАОУ "ООШ №13"</v>
      </c>
      <c r="G10583" s="22" t="s">
        <v>153</v>
      </c>
      <c r="H10583" s="22" t="s">
        <v>153</v>
      </c>
      <c r="I10583" s="26">
        <v>43672.365555555603</v>
      </c>
      <c r="J10583" s="28" t="s">
        <v>51</v>
      </c>
      <c r="K10583" s="28" t="s">
        <v>51</v>
      </c>
      <c r="L10583" s="28" t="s">
        <v>51</v>
      </c>
      <c r="M10583" s="25">
        <v>2451801</v>
      </c>
      <c r="N10583" s="27">
        <v>0</v>
      </c>
    </row>
    <row r="10584" spans="1:14" collapsed="1" x14ac:dyDescent="0.15">
      <c r="A10584" s="23" t="str">
        <f>HYPERLINK("https://www.spark-marketing.ru/Card/Person/1042029", "МБОУ ""СОШ №11""")</f>
        <v>МБОУ "СОШ №11"</v>
      </c>
      <c r="B10584" s="24" t="s">
        <v>14950</v>
      </c>
      <c r="C10584" s="25">
        <v>1091450.3600000001</v>
      </c>
      <c r="D10584" s="22" t="s">
        <v>14951</v>
      </c>
      <c r="E10584" s="22" t="s">
        <v>96</v>
      </c>
      <c r="F10584" s="23" t="str">
        <f>HYPERLINK("https://www.spark-marketing.ru/Card/Lot/72364338", "Услуги по организации питания учащихся из многодетных малоимущих семей и малоимущих семей")</f>
        <v>Услуги по организации питания учащихся из многодетных малоимущих семей и малоимущих семей</v>
      </c>
      <c r="G10584" s="22" t="s">
        <v>153</v>
      </c>
      <c r="H10584" s="22" t="s">
        <v>153</v>
      </c>
      <c r="I10584" s="26">
        <v>43672.371585648201</v>
      </c>
      <c r="J10584" s="28" t="s">
        <v>51</v>
      </c>
      <c r="K10584" s="28" t="s">
        <v>51</v>
      </c>
      <c r="L10584" s="28" t="s">
        <v>51</v>
      </c>
      <c r="M10584" s="28" t="s">
        <v>51</v>
      </c>
      <c r="N10584" s="28" t="s">
        <v>51</v>
      </c>
    </row>
    <row r="10585" spans="1:14" ht="12.75" hidden="1" outlineLevel="1" x14ac:dyDescent="0.2">
      <c r="A10585" s="23" t="str">
        <f>HYPERLINK("https://www.spark-marketing.ru/Card/Person/1042029", "МБОУ ""СОШ №11""")</f>
        <v>МБОУ "СОШ №11"</v>
      </c>
      <c r="B10585" s="24" t="s">
        <v>14950</v>
      </c>
      <c r="C10585" s="25">
        <v>1091450.3600000001</v>
      </c>
      <c r="D10585" s="22" t="s">
        <v>14951</v>
      </c>
      <c r="E10585" s="22" t="s">
        <v>96</v>
      </c>
      <c r="F10585" s="23" t="str">
        <f>HYPERLINK("https://www.spark-marketing.ru/Card/Lot/72364338", "Услуги по организации питания учащихся из многодетных малоимущих семей и малоимущих семей")</f>
        <v>Услуги по организации питания учащихся из многодетных малоимущих семей и малоимущих семей</v>
      </c>
      <c r="G10585" s="22" t="s">
        <v>153</v>
      </c>
      <c r="H10585" s="22" t="s">
        <v>153</v>
      </c>
      <c r="I10585" s="26">
        <v>43672.371585648201</v>
      </c>
      <c r="J10585" s="23" t="str">
        <f>HYPERLINK("https://www.spark-marketing.ru/Card/Person/1401152", "МУП ЦШП ""ВЕСТА""")</f>
        <v>МУП ЦШП "ВЕСТА"</v>
      </c>
      <c r="K10585" s="24" t="s">
        <v>6558</v>
      </c>
      <c r="L10585" s="22" t="s">
        <v>10</v>
      </c>
      <c r="M10585" s="25">
        <v>1020505.98</v>
      </c>
      <c r="N10585" s="27">
        <v>6.5000097668207288E-2</v>
      </c>
    </row>
    <row r="10586" spans="1:14" hidden="1" outlineLevel="1" x14ac:dyDescent="0.2">
      <c r="A10586" s="23" t="str">
        <f>HYPERLINK("https://www.spark-marketing.ru/Card/Person/1042029", "МБОУ ""СОШ №11""")</f>
        <v>МБОУ "СОШ №11"</v>
      </c>
      <c r="B10586" s="24" t="s">
        <v>14950</v>
      </c>
      <c r="C10586" s="25">
        <v>1091450.3600000001</v>
      </c>
      <c r="D10586" s="22" t="s">
        <v>14951</v>
      </c>
      <c r="E10586" s="22" t="s">
        <v>96</v>
      </c>
      <c r="F10586" s="23" t="str">
        <f>HYPERLINK("https://www.spark-marketing.ru/Card/Lot/72364338", "Услуги по организации питания учащихся из многодетных малоимущих семей и малоимущих семей")</f>
        <v>Услуги по организации питания учащихся из многодетных малоимущих семей и малоимущих семей</v>
      </c>
      <c r="G10586" s="22" t="s">
        <v>153</v>
      </c>
      <c r="H10586" s="22" t="s">
        <v>153</v>
      </c>
      <c r="I10586" s="26">
        <v>43672.371585648201</v>
      </c>
      <c r="J10586" s="23" t="str">
        <f>HYPERLINK("https://www.spark-marketing.ru/Card/Person/752895", "ООО ""ОЛИМП""")</f>
        <v>ООО "ОЛИМП"</v>
      </c>
      <c r="K10586" s="24" t="s">
        <v>10532</v>
      </c>
      <c r="L10586" s="28" t="s">
        <v>51</v>
      </c>
      <c r="M10586" s="25">
        <v>1025963.24</v>
      </c>
      <c r="N10586" s="27">
        <v>6.0000090155268263E-2</v>
      </c>
    </row>
    <row r="10587" spans="1:14" x14ac:dyDescent="0.15">
      <c r="A10587" s="23" t="str">
        <f>HYPERLINK("https://www.spark-marketing.ru/Card/Person/330018", "ФЛ Калининская АЭС")</f>
        <v>ФЛ Калининская АЭС</v>
      </c>
      <c r="B10587" s="24" t="s">
        <v>908</v>
      </c>
      <c r="C10587" s="25">
        <v>0</v>
      </c>
      <c r="D10587" s="22" t="s">
        <v>14952</v>
      </c>
      <c r="E10587" s="22" t="s">
        <v>52</v>
      </c>
      <c r="F10587" s="23" t="str">
        <f>HYPERLINK("https://www.spark-marketing.ru/Card/Lot/72415576", "мониторинг цен в электронной форме на Оказание услуг по организации лечебно-профилактического питания (ЛПП) обеспечения молоком работников Калининской атомной станции")</f>
        <v>мониторинг цен в электронной форме на Оказание услуг по организации лечебно-профилактического питания (ЛПП) обеспечения молоком работников Калининской атомной станции</v>
      </c>
      <c r="G10587" s="22" t="s">
        <v>56</v>
      </c>
      <c r="H10587" s="22" t="s">
        <v>56</v>
      </c>
      <c r="I10587" s="26">
        <v>43672.319282407399</v>
      </c>
      <c r="J10587" s="28" t="s">
        <v>51</v>
      </c>
      <c r="K10587" s="28" t="s">
        <v>51</v>
      </c>
      <c r="L10587" s="28" t="s">
        <v>51</v>
      </c>
      <c r="M10587" s="28" t="s">
        <v>51</v>
      </c>
      <c r="N10587" s="28" t="s">
        <v>51</v>
      </c>
    </row>
    <row r="10588" spans="1:14" x14ac:dyDescent="0.15">
      <c r="A10588" s="23" t="str">
        <f>HYPERLINK("https://www.spark-marketing.ru/Card/Person/859134", "АО ""ГАЗПРОМ ГАЗОРАСПРЕДЕЛЕНИЕ СЕВЕР""")</f>
        <v>АО "ГАЗПРОМ ГАЗОРАСПРЕДЕЛЕНИЕ СЕВЕР"</v>
      </c>
      <c r="B10588" s="24" t="s">
        <v>14953</v>
      </c>
      <c r="C10588" s="25">
        <v>558000</v>
      </c>
      <c r="D10588" s="22" t="s">
        <v>14954</v>
      </c>
      <c r="E10588" s="22" t="s">
        <v>580</v>
      </c>
      <c r="F10588" s="23" t="str">
        <f>HYPERLINK("https://www.spark-marketing.ru/Card/Lot/72416822", "Услуги по организации культурно-массовых мероприятий")</f>
        <v>Услуги по организации культурно-массовых мероприятий</v>
      </c>
      <c r="G10588" s="22" t="s">
        <v>766</v>
      </c>
      <c r="H10588" s="22" t="s">
        <v>1028</v>
      </c>
      <c r="I10588" s="26">
        <v>43672.293009259301</v>
      </c>
      <c r="J10588" s="28" t="s">
        <v>51</v>
      </c>
      <c r="K10588" s="28" t="s">
        <v>51</v>
      </c>
      <c r="L10588" s="28" t="s">
        <v>51</v>
      </c>
      <c r="M10588" s="28" t="s">
        <v>51</v>
      </c>
      <c r="N10588" s="28" t="s">
        <v>51</v>
      </c>
    </row>
    <row r="10589" spans="1:14" x14ac:dyDescent="0.15">
      <c r="A10589" s="23" t="str">
        <f>HYPERLINK("https://www.spark-marketing.ru/Card/Person/2097942", "АО ""КОНЦЕРН РОСЭНЕРГОАТОМ""")</f>
        <v>АО "КОНЦЕРН РОСЭНЕРГОАТОМ"</v>
      </c>
      <c r="B10589" s="24" t="s">
        <v>908</v>
      </c>
      <c r="C10589" s="28" t="s">
        <v>51</v>
      </c>
      <c r="D10589" s="22" t="s">
        <v>14955</v>
      </c>
      <c r="E10589" s="22" t="s">
        <v>14956</v>
      </c>
      <c r="F10589" s="23" t="str">
        <f>HYPERLINK("https://www.spark-marketing.ru/Card/Lot/72360049", "Оказание услуг по организации лечебно-профилактического питания (ЛПП) обеспечения молоком работников Калининской атомной станции")</f>
        <v>Оказание услуг по организации лечебно-профилактического питания (ЛПП) обеспечения молоком работников Калининской атомной станции</v>
      </c>
      <c r="G10589" s="22" t="s">
        <v>56</v>
      </c>
      <c r="H10589" s="22" t="s">
        <v>56</v>
      </c>
      <c r="I10589" s="26">
        <v>43672.319560185198</v>
      </c>
      <c r="J10589" s="28" t="s">
        <v>51</v>
      </c>
      <c r="K10589" s="28" t="s">
        <v>51</v>
      </c>
      <c r="L10589" s="28" t="s">
        <v>51</v>
      </c>
      <c r="M10589" s="28" t="s">
        <v>51</v>
      </c>
      <c r="N10589" s="28" t="s">
        <v>51</v>
      </c>
    </row>
    <row r="10590" spans="1:14" x14ac:dyDescent="0.2">
      <c r="A10590" s="23" t="str">
        <f>HYPERLINK("https://www.spark-marketing.ru/Card/Person/864283", "ГАУ ТО ""ЦСП""")</f>
        <v>ГАУ ТО "ЦСП"</v>
      </c>
      <c r="B10590" s="24" t="s">
        <v>14957</v>
      </c>
      <c r="C10590" s="25">
        <v>110700</v>
      </c>
      <c r="D10590" s="22" t="s">
        <v>14958</v>
      </c>
      <c r="E10590" s="22" t="s">
        <v>4431</v>
      </c>
      <c r="F10590" s="23" t="str">
        <f>HYPERLINK("https://www.spark-marketing.ru/Card/Lot/72381201", "Оказание услуг по организации питания спортивных судей и волонтеров, иногородних судей в рамках проведения Чемпионата России, Первенства России, Всероссийских соревнований по летнему биатлону")</f>
        <v>Оказание услуг по организации питания спортивных судей и волонтеров, иногородних судей в рамках проведения Чемпионата России, Первенства России, Всероссийских соревнований по летнему биатлону</v>
      </c>
      <c r="G10590" s="22" t="s">
        <v>766</v>
      </c>
      <c r="H10590" s="22" t="s">
        <v>766</v>
      </c>
      <c r="I10590" s="26">
        <v>43672</v>
      </c>
      <c r="J10590" s="28" t="s">
        <v>51</v>
      </c>
      <c r="K10590" s="28" t="s">
        <v>51</v>
      </c>
      <c r="L10590" s="22" t="s">
        <v>10</v>
      </c>
      <c r="M10590" s="25">
        <v>110700</v>
      </c>
      <c r="N10590" s="27">
        <v>0</v>
      </c>
    </row>
    <row r="10591" spans="1:14" x14ac:dyDescent="0.15">
      <c r="A10591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10591" s="24" t="s">
        <v>1909</v>
      </c>
      <c r="C10591" s="25">
        <v>260000</v>
      </c>
      <c r="D10591" s="22" t="s">
        <v>14959</v>
      </c>
      <c r="E10591" s="22" t="s">
        <v>769</v>
      </c>
      <c r="F10591" s="23" t="str">
        <f>HYPERLINK("https://www.spark-marketing.ru/Card/Lot/72375417", "Услуги по бронированию мест размещения (проживание) и питания для Молодежной хоккейной команды ""АК-59"" в период проведения турнира Молодежной Хоккейной Лиги в г. Магнитогорск в гостинице ""Гранат""")</f>
        <v>Услуги по бронированию мест размещения (проживание) и питания для Молодежной хоккейной команды "АК-59" в период проведения турнира Молодежной Хоккейной Лиги в г. Магнитогорск в гостинице "Гранат"</v>
      </c>
      <c r="G10591" s="22" t="s">
        <v>469</v>
      </c>
      <c r="H10591" s="22" t="s">
        <v>469</v>
      </c>
      <c r="I10591" s="26">
        <v>43672</v>
      </c>
      <c r="J10591" s="28" t="s">
        <v>51</v>
      </c>
      <c r="K10591" s="28" t="s">
        <v>51</v>
      </c>
      <c r="L10591" s="28" t="s">
        <v>51</v>
      </c>
      <c r="M10591" s="28" t="s">
        <v>51</v>
      </c>
      <c r="N10591" s="28" t="s">
        <v>51</v>
      </c>
    </row>
    <row r="10592" spans="1:14" x14ac:dyDescent="0.15">
      <c r="A10592" s="23" t="str">
        <f>HYPERLINK("https://www.spark-marketing.ru/Card/Person/1778526", "ООО ""А-ТЕХНИКС""")</f>
        <v>ООО "А-ТЕХНИКС"</v>
      </c>
      <c r="B10592" s="24" t="s">
        <v>14960</v>
      </c>
      <c r="C10592" s="25">
        <v>775000</v>
      </c>
      <c r="D10592" s="22" t="s">
        <v>14961</v>
      </c>
      <c r="E10592" s="22" t="s">
        <v>1403</v>
      </c>
      <c r="F10592" s="23" t="str">
        <f>HYPERLINK("https://www.spark-marketing.ru/Card/Lot/72394301", "Оказание услуг по ремонту генератора для наземного источника питания воздушного судна")</f>
        <v>Оказание услуг по ремонту генератора для наземного источника питания воздушного судна</v>
      </c>
      <c r="G10592" s="22" t="s">
        <v>56</v>
      </c>
      <c r="H10592" s="22" t="s">
        <v>56</v>
      </c>
      <c r="I10592" s="26">
        <v>43672</v>
      </c>
      <c r="J10592" s="28" t="s">
        <v>51</v>
      </c>
      <c r="K10592" s="28" t="s">
        <v>51</v>
      </c>
      <c r="L10592" s="28" t="s">
        <v>51</v>
      </c>
      <c r="M10592" s="28" t="s">
        <v>51</v>
      </c>
      <c r="N10592" s="28" t="s">
        <v>51</v>
      </c>
    </row>
    <row r="10593" spans="1:14" x14ac:dyDescent="0.15">
      <c r="A10593" s="23" t="str">
        <f>HYPERLINK("https://www.spark-marketing.ru/Card/Person/101405", "ОГАУ ""ЦСП СК ТО""")</f>
        <v>ОГАУ "ЦСП СК ТО"</v>
      </c>
      <c r="B10593" s="24" t="s">
        <v>14962</v>
      </c>
      <c r="C10593" s="25">
        <v>876240</v>
      </c>
      <c r="D10593" s="22" t="s">
        <v>14963</v>
      </c>
      <c r="E10593" s="22" t="s">
        <v>14964</v>
      </c>
      <c r="F10593" s="23" t="str">
        <f>HYPERLINK("https://www.spark-marketing.ru/Card/Lot/72377878", "Услуги по организации проживания и питания участников областного молодежного форума «Смородина»")</f>
        <v>Услуги по организации проживания и питания участников областного молодежного форума «Смородина»</v>
      </c>
      <c r="G10593" s="22" t="s">
        <v>149</v>
      </c>
      <c r="H10593" s="22" t="s">
        <v>149</v>
      </c>
      <c r="I10593" s="26">
        <v>43672</v>
      </c>
      <c r="J10593" s="28" t="s">
        <v>51</v>
      </c>
      <c r="K10593" s="28" t="s">
        <v>51</v>
      </c>
      <c r="L10593" s="28" t="s">
        <v>51</v>
      </c>
      <c r="M10593" s="28" t="s">
        <v>51</v>
      </c>
      <c r="N10593" s="28" t="s">
        <v>51</v>
      </c>
    </row>
    <row r="10594" spans="1:14" x14ac:dyDescent="0.2">
      <c r="A10594" s="23" t="str">
        <f>HYPERLINK("https://www.spark-marketing.ru/Card/Person/1053904", "МАОУ ЛИЦЕЙ ИМЕНИ ГЕРОЯ РОССИИ ВЕРЫ ВОЛОШИНОЙ")</f>
        <v>МАОУ ЛИЦЕЙ ИМЕНИ ГЕРОЯ РОССИИ ВЕРЫ ВОЛОШИНОЙ</v>
      </c>
      <c r="B10594" s="24" t="s">
        <v>14965</v>
      </c>
      <c r="C10594" s="25">
        <v>561295</v>
      </c>
      <c r="D10594" s="22" t="s">
        <v>14966</v>
      </c>
      <c r="E10594" s="22" t="s">
        <v>2217</v>
      </c>
      <c r="F10594" s="23" t="str">
        <f>HYPERLINK("https://www.spark-marketing.ru/Card/Lot/72387621", "Оказание услуг по организации рационального питания обучающихся")</f>
        <v>Оказание услуг по организации рационального питания обучающихся</v>
      </c>
      <c r="G10594" s="22" t="s">
        <v>49</v>
      </c>
      <c r="H10594" s="22" t="s">
        <v>49</v>
      </c>
      <c r="I10594" s="26">
        <v>43672</v>
      </c>
      <c r="J10594" s="28" t="s">
        <v>51</v>
      </c>
      <c r="K10594" s="28" t="s">
        <v>51</v>
      </c>
      <c r="L10594" s="22" t="s">
        <v>10</v>
      </c>
      <c r="M10594" s="25">
        <v>560410.19999999995</v>
      </c>
      <c r="N10594" s="27">
        <v>1.5763546798029558E-3</v>
      </c>
    </row>
    <row r="10595" spans="1:14" x14ac:dyDescent="0.2">
      <c r="A10595" s="23" t="str">
        <f>HYPERLINK("https://www.spark-marketing.ru/Card/Person/1309937", "МАОУ ""КАДЕТСКАЯ ШКОЛА""")</f>
        <v>МАОУ "КАДЕТСКАЯ ШКОЛА"</v>
      </c>
      <c r="B10595" s="24" t="s">
        <v>14967</v>
      </c>
      <c r="C10595" s="25">
        <v>2874908.4</v>
      </c>
      <c r="D10595" s="22" t="s">
        <v>14968</v>
      </c>
      <c r="E10595" s="22" t="s">
        <v>362</v>
      </c>
      <c r="F10595" s="23" t="str">
        <f>HYPERLINK("https://www.spark-marketing.ru/Card/Lot/72389027", "Оказание услуг по организации питания учащихся")</f>
        <v>Оказание услуг по организации питания учащихся</v>
      </c>
      <c r="G10595" s="22" t="s">
        <v>415</v>
      </c>
      <c r="H10595" s="22" t="s">
        <v>415</v>
      </c>
      <c r="I10595" s="26">
        <v>43672</v>
      </c>
      <c r="J10595" s="28" t="s">
        <v>51</v>
      </c>
      <c r="K10595" s="28" t="s">
        <v>51</v>
      </c>
      <c r="L10595" s="28" t="s">
        <v>51</v>
      </c>
      <c r="M10595" s="25">
        <v>2874908.4</v>
      </c>
      <c r="N10595" s="27">
        <v>0</v>
      </c>
    </row>
    <row r="10596" spans="1:14" x14ac:dyDescent="0.15">
      <c r="A10596" s="23" t="str">
        <f>HYPERLINK("https://www.spark-marketing.ru/Card/Person/4695456", "РУСАЛ")</f>
        <v>РУСАЛ</v>
      </c>
      <c r="B10596" s="28" t="s">
        <v>51</v>
      </c>
      <c r="C10596" s="28" t="s">
        <v>51</v>
      </c>
      <c r="D10596" s="22" t="s">
        <v>14969</v>
      </c>
      <c r="E10596" s="22" t="s">
        <v>52</v>
      </c>
      <c r="F10596" s="23" t="str">
        <f>HYPERLINK("https://www.spark-marketing.ru/Card/Lot/72359741", "Предоставление услуг корпоративного питания для сотрудников промплощадки филиала ПАО РУСАЛ Братск в городе Шелехов продлен до 21.08.2019г.")</f>
        <v>Предоставление услуг корпоративного питания для сотрудников промплощадки филиала ПАО РУСАЛ Братск в городе Шелехов продлен до 21.08.2019г.</v>
      </c>
      <c r="G10596" s="22" t="s">
        <v>51</v>
      </c>
      <c r="H10596" s="22" t="s">
        <v>51</v>
      </c>
      <c r="I10596" s="26">
        <v>43672</v>
      </c>
      <c r="J10596" s="28" t="s">
        <v>51</v>
      </c>
      <c r="K10596" s="28" t="s">
        <v>51</v>
      </c>
      <c r="L10596" s="28" t="s">
        <v>51</v>
      </c>
      <c r="M10596" s="28" t="s">
        <v>51</v>
      </c>
      <c r="N10596" s="28" t="s">
        <v>51</v>
      </c>
    </row>
    <row r="10597" spans="1:14" x14ac:dyDescent="0.15">
      <c r="A10597" s="23" t="str">
        <f>HYPERLINK("https://www.spark-marketing.ru/Card/Person/1716154", "ООО ""ТРАНСНЕФТЬ - БАЛТИКА""")</f>
        <v>ООО "ТРАНСНЕФТЬ - БАЛТИКА"</v>
      </c>
      <c r="B10597" s="24" t="s">
        <v>6293</v>
      </c>
      <c r="C10597" s="25">
        <v>2750256</v>
      </c>
      <c r="D10597" s="22" t="s">
        <v>14970</v>
      </c>
      <c r="E10597" s="22" t="s">
        <v>1593</v>
      </c>
      <c r="F10597" s="23" t="str">
        <f>HYPERLINK("https://www.spark-marketing.ru/Card/Lot/72377899", "1800-H05-К-Y03-00295-2019 «""2019-ОСР-ТНБ-92 ""Оказание услуг по организации питания для работников НПС-7, РММ БПО, ЦРС""»")</f>
        <v>1800-H05-К-Y03-00295-2019 «"2019-ОСР-ТНБ-92 "Оказание услуг по организации питания для работников НПС-7, РММ БПО, ЦРС"»</v>
      </c>
      <c r="G10597" s="22" t="s">
        <v>117</v>
      </c>
      <c r="H10597" s="22" t="s">
        <v>117</v>
      </c>
      <c r="I10597" s="26">
        <v>43672</v>
      </c>
      <c r="J10597" s="28" t="s">
        <v>51</v>
      </c>
      <c r="K10597" s="28" t="s">
        <v>51</v>
      </c>
      <c r="L10597" s="28" t="s">
        <v>51</v>
      </c>
      <c r="M10597" s="28" t="s">
        <v>51</v>
      </c>
      <c r="N10597" s="28" t="s">
        <v>51</v>
      </c>
    </row>
    <row r="10598" spans="1:14" x14ac:dyDescent="0.2">
      <c r="A10598" s="23" t="str">
        <f>HYPERLINK("https://www.spark-marketing.ru/Card/Person/1323085", "МАОУ СОШ № 35")</f>
        <v>МАОУ СОШ № 35</v>
      </c>
      <c r="B10598" s="24" t="s">
        <v>14971</v>
      </c>
      <c r="C10598" s="25">
        <v>1423830</v>
      </c>
      <c r="D10598" s="22" t="s">
        <v>14972</v>
      </c>
      <c r="E10598" s="22" t="s">
        <v>362</v>
      </c>
      <c r="F10598" s="23" t="str">
        <f>HYPERLINK("https://www.spark-marketing.ru/Card/Lot/72388432", "Оказание услуг по организации питания обучающихся в МАОУ СОШ №35")</f>
        <v>Оказание услуг по организации питания обучающихся в МАОУ СОШ №35</v>
      </c>
      <c r="G10598" s="22" t="s">
        <v>1370</v>
      </c>
      <c r="H10598" s="22" t="s">
        <v>1370</v>
      </c>
      <c r="I10598" s="26">
        <v>43672</v>
      </c>
      <c r="J10598" s="28" t="s">
        <v>51</v>
      </c>
      <c r="K10598" s="28" t="s">
        <v>51</v>
      </c>
      <c r="L10598" s="28" t="s">
        <v>51</v>
      </c>
      <c r="M10598" s="25">
        <v>1423830</v>
      </c>
      <c r="N10598" s="27">
        <v>0</v>
      </c>
    </row>
    <row r="10599" spans="1:14" x14ac:dyDescent="0.15">
      <c r="A10599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10599" s="24" t="s">
        <v>1909</v>
      </c>
      <c r="C10599" s="25">
        <v>240640</v>
      </c>
      <c r="D10599" s="22" t="s">
        <v>14973</v>
      </c>
      <c r="E10599" s="22" t="s">
        <v>769</v>
      </c>
      <c r="F10599" s="23" t="str">
        <f>HYPERLINK("https://www.spark-marketing.ru/Card/Lot/72375592", "Услуги по бронированию мест размещения (проживание) и питания для Молодежной хоккейной команды ""АК-59"" в период проведения предсезонного хоккейного Турнира памяти С.Н. Архангельского в гостинице ""Славяночка""")</f>
        <v>Услуги по бронированию мест размещения (проживание) и питания для Молодежной хоккейной команды "АК-59" в период проведения предсезонного хоккейного Турнира памяти С.Н. Архангельского в гостинице "Славяночка"</v>
      </c>
      <c r="G10599" s="22" t="s">
        <v>469</v>
      </c>
      <c r="H10599" s="22" t="s">
        <v>469</v>
      </c>
      <c r="I10599" s="26">
        <v>43672</v>
      </c>
      <c r="J10599" s="28" t="s">
        <v>51</v>
      </c>
      <c r="K10599" s="28" t="s">
        <v>51</v>
      </c>
      <c r="L10599" s="28" t="s">
        <v>51</v>
      </c>
      <c r="M10599" s="28" t="s">
        <v>51</v>
      </c>
      <c r="N10599" s="28" t="s">
        <v>51</v>
      </c>
    </row>
    <row r="10600" spans="1:14" x14ac:dyDescent="0.15">
      <c r="A10600" s="23" t="str">
        <f>HYPERLINK("https://www.spark-marketing.ru/Card/Person/1217277", "МАОУ ЛИЦЕЙ № 5 ГОРОДА СТАВРОПОЛЯ")</f>
        <v>МАОУ ЛИЦЕЙ № 5 ГОРОДА СТАВРОПОЛЯ</v>
      </c>
      <c r="B10600" s="24" t="s">
        <v>14974</v>
      </c>
      <c r="C10600" s="25">
        <v>1585251</v>
      </c>
      <c r="D10600" s="22" t="s">
        <v>14975</v>
      </c>
      <c r="E10600" s="22" t="s">
        <v>362</v>
      </c>
      <c r="F10600" s="23" t="str">
        <f>HYPERLINK("https://www.spark-marketing.ru/Card/Lot/72388515", "организация питания учащихся лицея в течении учебного года с сентября 2019 по декабрь 2019")</f>
        <v>организация питания учащихся лицея в течении учебного года с сентября 2019 по декабрь 2019</v>
      </c>
      <c r="G10600" s="22" t="s">
        <v>87</v>
      </c>
      <c r="H10600" s="22" t="s">
        <v>87</v>
      </c>
      <c r="I10600" s="26">
        <v>43672</v>
      </c>
      <c r="J10600" s="28" t="s">
        <v>51</v>
      </c>
      <c r="K10600" s="28" t="s">
        <v>51</v>
      </c>
      <c r="L10600" s="28" t="s">
        <v>51</v>
      </c>
      <c r="M10600" s="28" t="s">
        <v>51</v>
      </c>
      <c r="N10600" s="28" t="s">
        <v>51</v>
      </c>
    </row>
    <row r="10601" spans="1:14" x14ac:dyDescent="0.2">
      <c r="A10601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10601" s="24" t="s">
        <v>6649</v>
      </c>
      <c r="C10601" s="25">
        <v>2993800</v>
      </c>
      <c r="D10601" s="22" t="s">
        <v>14976</v>
      </c>
      <c r="E10601" s="22" t="s">
        <v>952</v>
      </c>
      <c r="F10601" s="23" t="str">
        <f>HYPERLINK("https://www.spark-marketing.ru/Card/Lot/72381386", "Оказание услуг по организации общественного питания в ФГАУ «Санаторий ФССП России ""Зеленая долина""")</f>
        <v>Оказание услуг по организации общественного питания в ФГАУ «Санаторий ФССП России "Зеленая долина"</v>
      </c>
      <c r="G10601" s="22" t="s">
        <v>104</v>
      </c>
      <c r="H10601" s="22" t="s">
        <v>104</v>
      </c>
      <c r="I10601" s="26">
        <v>43672</v>
      </c>
      <c r="J10601" s="28" t="s">
        <v>51</v>
      </c>
      <c r="K10601" s="28" t="s">
        <v>51</v>
      </c>
      <c r="L10601" s="22" t="s">
        <v>10</v>
      </c>
      <c r="M10601" s="25">
        <v>2993800</v>
      </c>
      <c r="N10601" s="27">
        <v>0</v>
      </c>
    </row>
    <row r="10602" spans="1:14" x14ac:dyDescent="0.15">
      <c r="A10602" s="23" t="str">
        <f>HYPERLINK("https://www.spark-marketing.ru/Card/Person/149338", "МБДОУ ""ДЕТСКИЙ САД ОБЩЕРАЗВИВАЮЩЕГО ВИДА №13"" НМР РТ")</f>
        <v>МБДОУ "ДЕТСКИЙ САД ОБЩЕРАЗВИВАЮЩЕГО ВИДА №13" НМР РТ</v>
      </c>
      <c r="B10602" s="24" t="s">
        <v>8085</v>
      </c>
      <c r="C10602" s="25">
        <v>22457.759999999998</v>
      </c>
      <c r="D10602" s="22" t="s">
        <v>14977</v>
      </c>
      <c r="E10602" s="22" t="s">
        <v>52</v>
      </c>
      <c r="F10602" s="23" t="str">
        <f>HYPERLINK("https://www.spark-marketing.ru/Card/Lot/73774735", "Услуги по организации питания")</f>
        <v>Услуги по организации питания</v>
      </c>
      <c r="G10602" s="22" t="s">
        <v>217</v>
      </c>
      <c r="H10602" s="22" t="s">
        <v>218</v>
      </c>
      <c r="I10602" s="26">
        <v>43672.409722222197</v>
      </c>
      <c r="J10602" s="28" t="s">
        <v>51</v>
      </c>
      <c r="K10602" s="28" t="s">
        <v>51</v>
      </c>
      <c r="L10602" s="28" t="s">
        <v>51</v>
      </c>
      <c r="M10602" s="28" t="s">
        <v>51</v>
      </c>
      <c r="N10602" s="28" t="s">
        <v>51</v>
      </c>
    </row>
    <row r="10603" spans="1:14" x14ac:dyDescent="0.15">
      <c r="A10603" s="23" t="str">
        <f>HYPERLINK("https://www.spark-marketing.ru/Card/Person/1362909", "МАОУ ""СОШ № 2""")</f>
        <v>МАОУ "СОШ № 2"</v>
      </c>
      <c r="B10603" s="24" t="s">
        <v>14978</v>
      </c>
      <c r="C10603" s="25">
        <v>1168371</v>
      </c>
      <c r="D10603" s="22" t="s">
        <v>14979</v>
      </c>
      <c r="E10603" s="22" t="s">
        <v>362</v>
      </c>
      <c r="F10603" s="23" t="str">
        <f>HYPERLINK("https://www.spark-marketing.ru/Card/Lot/72380471", "Оказание услуг по обеспечению питанием обучающихся из малоимущих семей и обучающихся с ограниченными возможностями здоровья в МАОУ «СОШ № 2»")</f>
        <v>Оказание услуг по обеспечению питанием обучающихся из малоимущих семей и обучающихся с ограниченными возможностями здоровья в МАОУ «СОШ № 2»</v>
      </c>
      <c r="G10603" s="22" t="s">
        <v>149</v>
      </c>
      <c r="H10603" s="22" t="s">
        <v>149</v>
      </c>
      <c r="I10603" s="26">
        <v>43672</v>
      </c>
      <c r="J10603" s="28" t="s">
        <v>51</v>
      </c>
      <c r="K10603" s="28" t="s">
        <v>51</v>
      </c>
      <c r="L10603" s="28" t="s">
        <v>51</v>
      </c>
      <c r="M10603" s="28" t="s">
        <v>51</v>
      </c>
      <c r="N10603" s="28" t="s">
        <v>51</v>
      </c>
    </row>
    <row r="10604" spans="1:14" x14ac:dyDescent="0.2">
      <c r="A10604" s="23" t="str">
        <f>HYPERLINK("https://www.spark-marketing.ru/Card/Person/4376360", "МАОУ СОШ №14 ИМ.В.Ф. ФУФАЧЕВА")</f>
        <v>МАОУ СОШ №14 ИМ.В.Ф. ФУФАЧЕВА</v>
      </c>
      <c r="B10604" s="24" t="s">
        <v>14980</v>
      </c>
      <c r="C10604" s="25">
        <v>3299167.8</v>
      </c>
      <c r="D10604" s="22" t="s">
        <v>14981</v>
      </c>
      <c r="E10604" s="22" t="s">
        <v>362</v>
      </c>
      <c r="F10604" s="23" t="str">
        <f>HYPERLINK("https://www.spark-marketing.ru/Card/Lot/72379857", "Оказание услуг по организации и обеспечению горячим питанием обучающихся")</f>
        <v>Оказание услуг по организации и обеспечению горячим питанием обучающихся</v>
      </c>
      <c r="G10604" s="22" t="s">
        <v>174</v>
      </c>
      <c r="H10604" s="22" t="s">
        <v>174</v>
      </c>
      <c r="I10604" s="26">
        <v>43672</v>
      </c>
      <c r="J10604" s="28" t="s">
        <v>51</v>
      </c>
      <c r="K10604" s="28" t="s">
        <v>51</v>
      </c>
      <c r="L10604" s="22" t="s">
        <v>10</v>
      </c>
      <c r="M10604" s="25">
        <v>3299167.8</v>
      </c>
      <c r="N10604" s="27">
        <v>0</v>
      </c>
    </row>
    <row r="10605" spans="1:14" x14ac:dyDescent="0.15">
      <c r="A10605" s="23" t="str">
        <f>HYPERLINK("https://www.spark-marketing.ru/Card/Person/6573013", "РЕСПУБЛИКАНСКИЙ ДОМ-ИНТЕРНАТ ДЛЯ ПРЕСТАРЕЛЫХ И ИНВАЛИДОВ, РЕСПУБЛИКАНСКИЙ ДИ")</f>
        <v>РЕСПУБЛИКАНСКИЙ ДОМ-ИНТЕРНАТ ДЛЯ ПРЕСТАРЕЛЫХ И ИНВАЛИДОВ, РЕСПУБЛИКАНСКИЙ ДИ</v>
      </c>
      <c r="B10605" s="24" t="s">
        <v>14982</v>
      </c>
      <c r="C10605" s="25">
        <v>1063350</v>
      </c>
      <c r="D10605" s="22" t="s">
        <v>14983</v>
      </c>
      <c r="E10605" s="22" t="s">
        <v>362</v>
      </c>
      <c r="F10605" s="23" t="str">
        <f>HYPERLINK("https://www.spark-marketing.ru/Card/Lot/72388369", "Приготовление горячего питания для получателей социальных услуг для нужд Автономного стационарного учреждения социального обслуживания Удмуртской Республики «Республиканский дом-интернат для престарелых и инвалидов» (филиал Сарапульский психоневролог...")</f>
        <v>Приготовление горячего питания для получателей социальных услуг для нужд Автономного стационарного учреждения социального обслуживания Удмуртской Республики «Республиканский дом-интернат для престарелых и инвалидов» (филиал Сарапульский психоневролог...</v>
      </c>
      <c r="G10605" s="22" t="s">
        <v>852</v>
      </c>
      <c r="H10605" s="22" t="s">
        <v>852</v>
      </c>
      <c r="I10605" s="26">
        <v>43672</v>
      </c>
      <c r="J10605" s="28" t="s">
        <v>51</v>
      </c>
      <c r="K10605" s="28" t="s">
        <v>51</v>
      </c>
      <c r="L10605" s="28" t="s">
        <v>51</v>
      </c>
      <c r="M10605" s="28" t="s">
        <v>51</v>
      </c>
      <c r="N10605" s="28" t="s">
        <v>51</v>
      </c>
    </row>
    <row r="10606" spans="1:14" x14ac:dyDescent="0.15">
      <c r="A10606" s="23" t="str">
        <f>HYPERLINK("https://www.spark-marketing.ru/Card/Person/15426", "АО ""АДМИРАЛТЕЙСКИЕ ВЕРФИ""")</f>
        <v>АО "АДМИРАЛТЕЙСКИЕ ВЕРФИ"</v>
      </c>
      <c r="B10606" s="24" t="s">
        <v>9587</v>
      </c>
      <c r="C10606" s="25">
        <v>2984011.57</v>
      </c>
      <c r="D10606" s="22" t="s">
        <v>14984</v>
      </c>
      <c r="E10606" s="22" t="s">
        <v>362</v>
      </c>
      <c r="F10606" s="23" t="str">
        <f>HYPERLINK("https://www.spark-marketing.ru/Card/Lot/72378279", "Организация питания сдаточной команды во время ходовых испытаний")</f>
        <v>Организация питания сдаточной команды во время ходовых испытаний</v>
      </c>
      <c r="G10606" s="22" t="s">
        <v>117</v>
      </c>
      <c r="H10606" s="22" t="s">
        <v>117</v>
      </c>
      <c r="I10606" s="26">
        <v>43672</v>
      </c>
      <c r="J10606" s="28" t="s">
        <v>51</v>
      </c>
      <c r="K10606" s="28" t="s">
        <v>51</v>
      </c>
      <c r="L10606" s="28" t="s">
        <v>51</v>
      </c>
      <c r="M10606" s="28" t="s">
        <v>51</v>
      </c>
      <c r="N10606" s="28" t="s">
        <v>51</v>
      </c>
    </row>
    <row r="10607" spans="1:14" x14ac:dyDescent="0.2">
      <c r="A10607" s="23" t="str">
        <f>HYPERLINK("https://www.spark-marketing.ru/Card/Person/1569221", "СОШ № 36")</f>
        <v>СОШ № 36</v>
      </c>
      <c r="B10607" s="24" t="s">
        <v>10111</v>
      </c>
      <c r="C10607" s="25">
        <v>932100</v>
      </c>
      <c r="D10607" s="22" t="s">
        <v>14985</v>
      </c>
      <c r="E10607" s="22" t="s">
        <v>362</v>
      </c>
      <c r="F10607" s="23" t="str">
        <f>HYPERLINK("https://www.spark-marketing.ru/Card/Lot/72377951", "Оказание услуг по организации горячего питания обучающихся")</f>
        <v>Оказание услуг по организации горячего питания обучающихся</v>
      </c>
      <c r="G10607" s="22" t="s">
        <v>185</v>
      </c>
      <c r="H10607" s="22" t="s">
        <v>185</v>
      </c>
      <c r="I10607" s="26">
        <v>43672</v>
      </c>
      <c r="J10607" s="28" t="s">
        <v>51</v>
      </c>
      <c r="K10607" s="28" t="s">
        <v>51</v>
      </c>
      <c r="L10607" s="28" t="s">
        <v>51</v>
      </c>
      <c r="M10607" s="25">
        <v>932100</v>
      </c>
      <c r="N10607" s="27">
        <v>0</v>
      </c>
    </row>
    <row r="10608" spans="1:14" x14ac:dyDescent="0.15">
      <c r="A10608" s="23" t="str">
        <f>HYPERLINK("https://www.spark-marketing.ru/Card/Person/1760026", "ЗАО ""ПФК ""КРЫЛЬЯ СОВЕТОВ""")</f>
        <v>ЗАО "ПФК "КРЫЛЬЯ СОВЕТОВ"</v>
      </c>
      <c r="B10608" s="24" t="s">
        <v>2056</v>
      </c>
      <c r="C10608" s="25">
        <v>181700</v>
      </c>
      <c r="D10608" s="22" t="s">
        <v>14986</v>
      </c>
      <c r="E10608" s="22" t="s">
        <v>4410</v>
      </c>
      <c r="F10608" s="23" t="str">
        <f>HYPERLINK("https://www.spark-marketing.ru/Card/Lot/72387930", "Комплекс услуг по организации питания и проживания ЦПФ, 2005г.р., 2004г.р., КФК в рамках соревнований")</f>
        <v>Комплекс услуг по организации питания и проживания ЦПФ, 2005г.р., 2004г.р., КФК в рамках соревнований</v>
      </c>
      <c r="G10608" s="22" t="s">
        <v>351</v>
      </c>
      <c r="H10608" s="22" t="s">
        <v>351</v>
      </c>
      <c r="I10608" s="26">
        <v>43672</v>
      </c>
      <c r="J10608" s="28" t="s">
        <v>51</v>
      </c>
      <c r="K10608" s="28" t="s">
        <v>51</v>
      </c>
      <c r="L10608" s="28" t="s">
        <v>51</v>
      </c>
      <c r="M10608" s="28" t="s">
        <v>51</v>
      </c>
      <c r="N10608" s="28" t="s">
        <v>51</v>
      </c>
    </row>
    <row r="10609" spans="1:14" x14ac:dyDescent="0.15">
      <c r="A10609" s="23" t="str">
        <f>HYPERLINK("https://www.spark-marketing.ru/Card/Person/1716154", "ООО ""ТРАНСНЕФТЬ - БАЛТИКА""")</f>
        <v>ООО "ТРАНСНЕФТЬ - БАЛТИКА"</v>
      </c>
      <c r="B10609" s="24" t="s">
        <v>6293</v>
      </c>
      <c r="C10609" s="25">
        <v>2303064</v>
      </c>
      <c r="D10609" s="22" t="s">
        <v>14987</v>
      </c>
      <c r="E10609" s="22" t="s">
        <v>1593</v>
      </c>
      <c r="F10609" s="23" t="str">
        <f>HYPERLINK("https://www.spark-marketing.ru/Card/Lot/72378285", "1800-H05-К-Y03-00313-2019 «2019-ОСР-ТНБ-91 Организация услуг общественного питания для работников НПС «Андреаполь»»")</f>
        <v>1800-H05-К-Y03-00313-2019 «2019-ОСР-ТНБ-91 Организация услуг общественного питания для работников НПС «Андреаполь»»</v>
      </c>
      <c r="G10609" s="22" t="s">
        <v>117</v>
      </c>
      <c r="H10609" s="22" t="s">
        <v>117</v>
      </c>
      <c r="I10609" s="26">
        <v>43672</v>
      </c>
      <c r="J10609" s="28" t="s">
        <v>51</v>
      </c>
      <c r="K10609" s="28" t="s">
        <v>51</v>
      </c>
      <c r="L10609" s="28" t="s">
        <v>51</v>
      </c>
      <c r="M10609" s="28" t="s">
        <v>51</v>
      </c>
      <c r="N10609" s="28" t="s">
        <v>51</v>
      </c>
    </row>
    <row r="10610" spans="1:14" x14ac:dyDescent="0.15">
      <c r="A10610" s="23" t="str">
        <f>HYPERLINK("https://www.spark-marketing.ru/Card/Person/1716154", "ООО ""ТРАНСНЕФТЬ - БАЛТИКА""")</f>
        <v>ООО "ТРАНСНЕФТЬ - БАЛТИКА"</v>
      </c>
      <c r="B10610" s="24" t="s">
        <v>6293</v>
      </c>
      <c r="C10610" s="25">
        <v>2270664</v>
      </c>
      <c r="D10610" s="22" t="s">
        <v>14988</v>
      </c>
      <c r="E10610" s="22" t="s">
        <v>1593</v>
      </c>
      <c r="F10610" s="23" t="str">
        <f>HYPERLINK("https://www.spark-marketing.ru/Card/Lot/72375406", "1800-H05-К-Y03-00314-2019 «2019-ОСР-ТНБ-90 Организация услуг общественного питания для работников НПС-3»»")</f>
        <v>1800-H05-К-Y03-00314-2019 «2019-ОСР-ТНБ-90 Организация услуг общественного питания для работников НПС-3»»</v>
      </c>
      <c r="G10610" s="22" t="s">
        <v>117</v>
      </c>
      <c r="H10610" s="22" t="s">
        <v>117</v>
      </c>
      <c r="I10610" s="26">
        <v>43672</v>
      </c>
      <c r="J10610" s="28" t="s">
        <v>51</v>
      </c>
      <c r="K10610" s="28" t="s">
        <v>51</v>
      </c>
      <c r="L10610" s="28" t="s">
        <v>51</v>
      </c>
      <c r="M10610" s="28" t="s">
        <v>51</v>
      </c>
      <c r="N10610" s="28" t="s">
        <v>51</v>
      </c>
    </row>
    <row r="10611" spans="1:14" x14ac:dyDescent="0.15">
      <c r="A10611" s="23" t="str">
        <f>HYPERLINK("https://www.spark-marketing.ru/Card/Person/1760026", "ЗАО ""ПФК ""КРЫЛЬЯ СОВЕТОВ""")</f>
        <v>ЗАО "ПФК "КРЫЛЬЯ СОВЕТОВ"</v>
      </c>
      <c r="B10611" s="24" t="s">
        <v>2056</v>
      </c>
      <c r="C10611" s="25">
        <v>291900</v>
      </c>
      <c r="D10611" s="22" t="s">
        <v>14989</v>
      </c>
      <c r="E10611" s="22" t="s">
        <v>4410</v>
      </c>
      <c r="F10611" s="23" t="str">
        <f>HYPERLINK("https://www.spark-marketing.ru/Card/Lot/72388032", "Комплекс услуг по организации питания и проживания ЦПФ 2002г.р., в рамках соревнований «Национальный отбор в Юношескую лигу УЕФА сезона 2019/2020гг. Зона «Приволжье»")</f>
        <v>Комплекс услуг по организации питания и проживания ЦПФ 2002г.р., в рамках соревнований «Национальный отбор в Юношескую лигу УЕФА сезона 2019/2020гг. Зона «Приволжье»</v>
      </c>
      <c r="G10611" s="22" t="s">
        <v>76</v>
      </c>
      <c r="H10611" s="22" t="s">
        <v>76</v>
      </c>
      <c r="I10611" s="26">
        <v>43672</v>
      </c>
      <c r="J10611" s="28" t="s">
        <v>51</v>
      </c>
      <c r="K10611" s="28" t="s">
        <v>51</v>
      </c>
      <c r="L10611" s="28" t="s">
        <v>51</v>
      </c>
      <c r="M10611" s="28" t="s">
        <v>51</v>
      </c>
      <c r="N10611" s="28" t="s">
        <v>51</v>
      </c>
    </row>
    <row r="10612" spans="1:14" x14ac:dyDescent="0.15">
      <c r="A10612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10612" s="24" t="s">
        <v>10639</v>
      </c>
      <c r="C10612" s="25">
        <v>299625</v>
      </c>
      <c r="D10612" s="22" t="s">
        <v>14990</v>
      </c>
      <c r="E10612" s="22" t="s">
        <v>48</v>
      </c>
      <c r="F10612" s="23" t="str">
        <f>HYPERLINK("https://www.spark-marketing.ru/Card/Lot/72351411", "Услуги по обеспечению питанием, осуществляемые по договору, 705 усл. ед")</f>
        <v>Услуги по обеспечению питанием, осуществляемые по договору, 705 усл. ед</v>
      </c>
      <c r="G10612" s="22" t="s">
        <v>267</v>
      </c>
      <c r="H10612" s="22" t="s">
        <v>10641</v>
      </c>
      <c r="I10612" s="26">
        <v>43671.875659722202</v>
      </c>
      <c r="J10612" s="28" t="s">
        <v>51</v>
      </c>
      <c r="K10612" s="28" t="s">
        <v>51</v>
      </c>
      <c r="L10612" s="28" t="s">
        <v>51</v>
      </c>
      <c r="M10612" s="28" t="s">
        <v>51</v>
      </c>
      <c r="N10612" s="28" t="s">
        <v>51</v>
      </c>
    </row>
    <row r="10613" spans="1:14" x14ac:dyDescent="0.15">
      <c r="A10613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10613" s="24" t="s">
        <v>10639</v>
      </c>
      <c r="C10613" s="25">
        <v>280075</v>
      </c>
      <c r="D10613" s="22" t="s">
        <v>14991</v>
      </c>
      <c r="E10613" s="22" t="s">
        <v>48</v>
      </c>
      <c r="F10613" s="23" t="str">
        <f>HYPERLINK("https://www.spark-marketing.ru/Card/Lot/72351413", "Услуги по обеспечению питанием, осуществляемые по договору, 659 усл. ед")</f>
        <v>Услуги по обеспечению питанием, осуществляемые по договору, 659 усл. ед</v>
      </c>
      <c r="G10613" s="22" t="s">
        <v>267</v>
      </c>
      <c r="H10613" s="22" t="s">
        <v>10641</v>
      </c>
      <c r="I10613" s="26">
        <v>43671.877604166701</v>
      </c>
      <c r="J10613" s="28" t="s">
        <v>51</v>
      </c>
      <c r="K10613" s="28" t="s">
        <v>51</v>
      </c>
      <c r="L10613" s="28" t="s">
        <v>51</v>
      </c>
      <c r="M10613" s="28" t="s">
        <v>51</v>
      </c>
      <c r="N10613" s="28" t="s">
        <v>51</v>
      </c>
    </row>
    <row r="10614" spans="1:14" x14ac:dyDescent="0.15">
      <c r="A10614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10614" s="24" t="s">
        <v>10639</v>
      </c>
      <c r="C10614" s="25">
        <v>279630</v>
      </c>
      <c r="D10614" s="22" t="s">
        <v>14992</v>
      </c>
      <c r="E10614" s="22" t="s">
        <v>48</v>
      </c>
      <c r="F10614" s="23" t="str">
        <f>HYPERLINK("https://www.spark-marketing.ru/Card/Lot/72351410", "Услуги по обеспечению питанием, осуществляемые по договору, 717 усл. ед")</f>
        <v>Услуги по обеспечению питанием, осуществляемые по договору, 717 усл. ед</v>
      </c>
      <c r="G10614" s="22" t="s">
        <v>267</v>
      </c>
      <c r="H10614" s="22" t="s">
        <v>10641</v>
      </c>
      <c r="I10614" s="26">
        <v>43671.872106481504</v>
      </c>
      <c r="J10614" s="28" t="s">
        <v>51</v>
      </c>
      <c r="K10614" s="28" t="s">
        <v>51</v>
      </c>
      <c r="L10614" s="28" t="s">
        <v>51</v>
      </c>
      <c r="M10614" s="28" t="s">
        <v>51</v>
      </c>
      <c r="N10614" s="28" t="s">
        <v>51</v>
      </c>
    </row>
    <row r="10615" spans="1:14" x14ac:dyDescent="0.15">
      <c r="A10615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10615" s="24" t="s">
        <v>10639</v>
      </c>
      <c r="C10615" s="25">
        <v>299910</v>
      </c>
      <c r="D10615" s="22" t="s">
        <v>14993</v>
      </c>
      <c r="E10615" s="22" t="s">
        <v>48</v>
      </c>
      <c r="F10615" s="23" t="str">
        <f>HYPERLINK("https://www.spark-marketing.ru/Card/Lot/72351407", "Услуги по обеспечению питанием, осуществляемые по договору, 769 усл. ед")</f>
        <v>Услуги по обеспечению питанием, осуществляемые по договору, 769 усл. ед</v>
      </c>
      <c r="G10615" s="22" t="s">
        <v>267</v>
      </c>
      <c r="H10615" s="22" t="s">
        <v>10641</v>
      </c>
      <c r="I10615" s="26">
        <v>43671.864999999998</v>
      </c>
      <c r="J10615" s="28" t="s">
        <v>51</v>
      </c>
      <c r="K10615" s="28" t="s">
        <v>51</v>
      </c>
      <c r="L10615" s="28" t="s">
        <v>51</v>
      </c>
      <c r="M10615" s="28" t="s">
        <v>51</v>
      </c>
      <c r="N10615" s="28" t="s">
        <v>51</v>
      </c>
    </row>
    <row r="10616" spans="1:14" x14ac:dyDescent="0.15">
      <c r="A10616" s="23" t="str">
        <f>HYPERLINK("https://www.spark-marketing.ru/Card/Person/6511290", "ГАУ ЛО ""СШ ""ЛЕНИНГРАДЕЦ""")</f>
        <v>ГАУ ЛО "СШ "ЛЕНИНГРАДЕЦ"</v>
      </c>
      <c r="B10616" s="24" t="s">
        <v>10983</v>
      </c>
      <c r="C10616" s="25">
        <v>510500</v>
      </c>
      <c r="D10616" s="22" t="s">
        <v>14994</v>
      </c>
      <c r="E10616" s="22" t="s">
        <v>580</v>
      </c>
      <c r="F10616" s="23" t="str">
        <f>HYPERLINK("https://www.spark-marketing.ru/Card/Lot/72356212", "Предоставление услуг организации питания")</f>
        <v>Предоставление услуг организации питания</v>
      </c>
      <c r="G10616" s="22" t="s">
        <v>162</v>
      </c>
      <c r="H10616" s="22" t="s">
        <v>162</v>
      </c>
      <c r="I10616" s="26">
        <v>43671.756412037001</v>
      </c>
      <c r="J10616" s="28" t="s">
        <v>51</v>
      </c>
      <c r="K10616" s="28" t="s">
        <v>51</v>
      </c>
      <c r="L10616" s="28" t="s">
        <v>51</v>
      </c>
      <c r="M10616" s="28" t="s">
        <v>51</v>
      </c>
      <c r="N10616" s="28" t="s">
        <v>51</v>
      </c>
    </row>
    <row r="10617" spans="1:14" x14ac:dyDescent="0.15">
      <c r="A10617" s="23" t="str">
        <f>HYPERLINK("https://www.spark-marketing.ru/Card/Person/6511290", "ГАУ ЛО ""СШ ""ЛЕНИНГРАДЕЦ""")</f>
        <v>ГАУ ЛО "СШ "ЛЕНИНГРАДЕЦ"</v>
      </c>
      <c r="B10617" s="24" t="s">
        <v>10983</v>
      </c>
      <c r="C10617" s="25">
        <v>312750</v>
      </c>
      <c r="D10617" s="22" t="s">
        <v>14995</v>
      </c>
      <c r="E10617" s="22" t="s">
        <v>580</v>
      </c>
      <c r="F10617" s="23" t="str">
        <f>HYPERLINK("https://www.spark-marketing.ru/Card/Lot/72356224", "Предоставление услуг по организации питания")</f>
        <v>Предоставление услуг по организации питания</v>
      </c>
      <c r="G10617" s="22" t="s">
        <v>162</v>
      </c>
      <c r="H10617" s="22" t="s">
        <v>162</v>
      </c>
      <c r="I10617" s="26">
        <v>43671.767858796302</v>
      </c>
      <c r="J10617" s="28" t="s">
        <v>51</v>
      </c>
      <c r="K10617" s="28" t="s">
        <v>51</v>
      </c>
      <c r="L10617" s="28" t="s">
        <v>51</v>
      </c>
      <c r="M10617" s="28" t="s">
        <v>51</v>
      </c>
      <c r="N10617" s="28" t="s">
        <v>51</v>
      </c>
    </row>
    <row r="10618" spans="1:14" x14ac:dyDescent="0.2">
      <c r="A10618" s="23" t="str">
        <f>HYPERLINK("https://www.spark-marketing.ru/Card/Person/1778529", "КГАУ ЦСПСКХК")</f>
        <v>КГАУ ЦСПСКХК</v>
      </c>
      <c r="B10618" s="24" t="s">
        <v>5909</v>
      </c>
      <c r="C10618" s="25">
        <v>3197700</v>
      </c>
      <c r="D10618" s="22" t="s">
        <v>14996</v>
      </c>
      <c r="E10618" s="22" t="s">
        <v>769</v>
      </c>
      <c r="F10618" s="23" t="str">
        <f>HYPERLINK("https://www.spark-marketing.ru/Card/Lot/72353621", "Оказание услуг по организации проживания и трёхразового питания участников всероссийских соревнований по велосипедному спорту в 2019 году в г. Хабаровске")</f>
        <v>Оказание услуг по организации проживания и трёхразового питания участников всероссийских соревнований по велосипедному спорту в 2019 году в г. Хабаровске</v>
      </c>
      <c r="G10618" s="22" t="s">
        <v>1096</v>
      </c>
      <c r="H10618" s="22" t="s">
        <v>1096</v>
      </c>
      <c r="I10618" s="26">
        <v>43671.755208333299</v>
      </c>
      <c r="J10618" s="28" t="s">
        <v>51</v>
      </c>
      <c r="K10618" s="28" t="s">
        <v>51</v>
      </c>
      <c r="L10618" s="22" t="s">
        <v>10</v>
      </c>
      <c r="M10618" s="25">
        <v>3178200</v>
      </c>
      <c r="N10618" s="27">
        <v>6.0981330331175533E-3</v>
      </c>
    </row>
    <row r="10619" spans="1:14" x14ac:dyDescent="0.2">
      <c r="A10619" s="23" t="str">
        <f>HYPERLINK("https://www.spark-marketing.ru/Card/Person/1010894", "ГКОУ ""ДУБОВСКАЯ ШКОЛА-ИНТЕРНАТ""")</f>
        <v>ГКОУ "ДУБОВСКАЯ ШКОЛА-ИНТЕРНАТ"</v>
      </c>
      <c r="B10619" s="24" t="s">
        <v>14997</v>
      </c>
      <c r="C10619" s="25">
        <v>10460651.25</v>
      </c>
      <c r="D10619" s="22" t="s">
        <v>14998</v>
      </c>
      <c r="E10619" s="22" t="s">
        <v>48</v>
      </c>
      <c r="F10619" s="23" t="str">
        <f>HYPERLINK("https://www.spark-marketing.ru/Card/Lot/72349672", "Оказание услуг по обеспечению питанием")</f>
        <v>Оказание услуг по обеспечению питанием</v>
      </c>
      <c r="G10619" s="22" t="s">
        <v>158</v>
      </c>
      <c r="H10619" s="22" t="s">
        <v>14999</v>
      </c>
      <c r="I10619" s="26">
        <v>43671.751388888901</v>
      </c>
      <c r="J10619" s="23" t="str">
        <f>HYPERLINK("https://www.spark-marketing.ru/Card/Person/89292", "ООО ""СЛАВИА""")</f>
        <v>ООО "СЛАВИА"</v>
      </c>
      <c r="K10619" s="24" t="s">
        <v>13822</v>
      </c>
      <c r="L10619" s="28" t="s">
        <v>51</v>
      </c>
      <c r="M10619" s="25">
        <v>10460651.25</v>
      </c>
      <c r="N10619" s="27">
        <v>0</v>
      </c>
    </row>
    <row r="10620" spans="1:14" x14ac:dyDescent="0.15">
      <c r="A10620" s="23" t="str">
        <f>HYPERLINK("https://www.spark-marketing.ru/Card/Person/1678692", "ФГУП ""НО РАО""")</f>
        <v>ФГУП "НО РАО"</v>
      </c>
      <c r="B10620" s="24" t="s">
        <v>15000</v>
      </c>
      <c r="C10620" s="25">
        <v>634680</v>
      </c>
      <c r="D10620" s="22" t="s">
        <v>15001</v>
      </c>
      <c r="E10620" s="22" t="s">
        <v>2217</v>
      </c>
      <c r="F10620" s="23" t="str">
        <f>HYPERLINK("https://www.spark-marketing.ru/Card/Lot/72356136", "Оказание услуги по организации лечебно-профилактического питания для работников отделения «Новоуральское» филиала «Северский» ФГУП «НО РАО»")</f>
        <v>Оказание услуги по организации лечебно-профилактического питания для работников отделения «Новоуральское» филиала «Северский» ФГУП «НО РАО»</v>
      </c>
      <c r="G10620" s="22" t="s">
        <v>56</v>
      </c>
      <c r="H10620" s="22" t="s">
        <v>56</v>
      </c>
      <c r="I10620" s="26">
        <v>43671.745358796303</v>
      </c>
      <c r="J10620" s="28" t="s">
        <v>51</v>
      </c>
      <c r="K10620" s="28" t="s">
        <v>51</v>
      </c>
      <c r="L10620" s="28" t="s">
        <v>51</v>
      </c>
      <c r="M10620" s="28" t="s">
        <v>51</v>
      </c>
      <c r="N10620" s="28" t="s">
        <v>51</v>
      </c>
    </row>
    <row r="10621" spans="1:14" x14ac:dyDescent="0.15">
      <c r="A10621" s="23" t="str">
        <f>HYPERLINK("https://www.spark-marketing.ru/Card/Person/87162", "ФГБОУ ВО ""ИГХТУ"", ИГХТУ")</f>
        <v>ФГБОУ ВО "ИГХТУ", ИГХТУ</v>
      </c>
      <c r="B10621" s="24" t="s">
        <v>15002</v>
      </c>
      <c r="C10621" s="25">
        <v>646020</v>
      </c>
      <c r="D10621" s="22" t="s">
        <v>15003</v>
      </c>
      <c r="E10621" s="22" t="s">
        <v>362</v>
      </c>
      <c r="F10621" s="23" t="str">
        <f>HYPERLINK("https://www.spark-marketing.ru/Card/Lot/72353217", "Оказание услуг по организации лечебного питания пациентов, находящихся на лечении санатория-профилактория ФГБОУ ВО «ИГХТУ")</f>
        <v>Оказание услуг по организации лечебного питания пациентов, находящихся на лечении санатория-профилактория ФГБОУ ВО «ИГХТУ</v>
      </c>
      <c r="G10621" s="22" t="s">
        <v>1047</v>
      </c>
      <c r="H10621" s="22" t="s">
        <v>1953</v>
      </c>
      <c r="I10621" s="26">
        <v>43671.735798611102</v>
      </c>
      <c r="J10621" s="28" t="s">
        <v>51</v>
      </c>
      <c r="K10621" s="28" t="s">
        <v>51</v>
      </c>
      <c r="L10621" s="28" t="s">
        <v>51</v>
      </c>
      <c r="M10621" s="28" t="s">
        <v>51</v>
      </c>
      <c r="N10621" s="28" t="s">
        <v>51</v>
      </c>
    </row>
    <row r="10622" spans="1:14" x14ac:dyDescent="0.2">
      <c r="A10622" s="23" t="str">
        <f>HYPERLINK("https://www.spark-marketing.ru/Card/Person/4346656", "ФГБУ ""ТЦСКР ""КРЫМСКИЙ""")</f>
        <v>ФГБУ "ТЦСКР "КРЫМСКИЙ"</v>
      </c>
      <c r="B10622" s="24" t="s">
        <v>2225</v>
      </c>
      <c r="C10622" s="25">
        <v>113470</v>
      </c>
      <c r="D10622" s="22" t="s">
        <v>15004</v>
      </c>
      <c r="E10622" s="22" t="s">
        <v>580</v>
      </c>
      <c r="F10622" s="23" t="str">
        <f>HYPERLINK("https://www.spark-marketing.ru/Card/Lot/72352338", "Оказание услуг питания")</f>
        <v>Оказание услуг питания</v>
      </c>
      <c r="G10622" s="22" t="s">
        <v>108</v>
      </c>
      <c r="H10622" s="22" t="s">
        <v>108</v>
      </c>
      <c r="I10622" s="26">
        <v>43671.731608796297</v>
      </c>
      <c r="J10622" s="28" t="s">
        <v>51</v>
      </c>
      <c r="K10622" s="28" t="s">
        <v>51</v>
      </c>
      <c r="L10622" s="28" t="s">
        <v>51</v>
      </c>
      <c r="M10622" s="25">
        <v>113470</v>
      </c>
      <c r="N10622" s="27">
        <v>0</v>
      </c>
    </row>
    <row r="10623" spans="1:14" x14ac:dyDescent="0.15">
      <c r="A10623" s="23" t="str">
        <f>HYPERLINK("https://www.spark-marketing.ru/Card/Person/7966", "УПРАВА РАЙОНА ПРЕОБРАЖЕНСКОЕ ГОРОДА МОСКВЫ")</f>
        <v>УПРАВА РАЙОНА ПРЕОБРАЖЕНСКОЕ ГОРОДА МОСКВЫ</v>
      </c>
      <c r="B10623" s="24" t="s">
        <v>15005</v>
      </c>
      <c r="C10623" s="25">
        <v>300000</v>
      </c>
      <c r="D10623" s="22" t="s">
        <v>15006</v>
      </c>
      <c r="E10623" s="22" t="s">
        <v>48</v>
      </c>
      <c r="F10623" s="23" t="str">
        <f>HYPERLINK("https://www.spark-marketing.ru/Card/Lot/72350551", "Оказание услуг по приготовлению и поставке горячего питания для членов участковых избирательных комиссий района Преображенское города Москвы с правом решающего голоса и членов территориальной избирательной комиссии района Преображенское города Москвы...")</f>
        <v>Оказание услуг по приготовлению и поставке горячего питания для членов участковых избирательных комиссий района Преображенское города Москвы с правом решающего голоса и членов территориальной избирательной комиссии района Преображенское города Москвы...</v>
      </c>
      <c r="G10623" s="22" t="s">
        <v>56</v>
      </c>
      <c r="H10623" s="22" t="s">
        <v>56</v>
      </c>
      <c r="I10623" s="26">
        <v>43671.711504629602</v>
      </c>
      <c r="J10623" s="28" t="s">
        <v>51</v>
      </c>
      <c r="K10623" s="28" t="s">
        <v>51</v>
      </c>
      <c r="L10623" s="28" t="s">
        <v>51</v>
      </c>
      <c r="M10623" s="28" t="s">
        <v>51</v>
      </c>
      <c r="N10623" s="28" t="s">
        <v>51</v>
      </c>
    </row>
    <row r="10624" spans="1:14" hidden="1" outlineLevel="1" x14ac:dyDescent="0.2">
      <c r="A10624" s="23" t="str">
        <f>HYPERLINK("https://www.spark-marketing.ru/Card/Person/7966", "УПРАВА РАЙОНА ПРЕОБРАЖЕНСКОЕ ГОРОДА МОСКВЫ")</f>
        <v>УПРАВА РАЙОНА ПРЕОБРАЖЕНСКОЕ ГОРОДА МОСКВЫ</v>
      </c>
      <c r="B10624" s="24" t="s">
        <v>15005</v>
      </c>
      <c r="C10624" s="25">
        <v>300000</v>
      </c>
      <c r="D10624" s="22" t="s">
        <v>15006</v>
      </c>
      <c r="E10624" s="22" t="s">
        <v>48</v>
      </c>
      <c r="F10624" s="23" t="str">
        <f>HYPERLINK("https://www.spark-marketing.ru/Card/Lot/72350551", "Оказание услуг по приготовлению и поставке горячего питания для членов участковых избирательных комиссий района Преображенское города Москвы с правом решающего голоса и членов территориальной избирательной комиссии района Преображенское города Москвы...")</f>
        <v>Оказание услуг по приготовлению и поставке горячего питания для членов участковых избирательных комиссий района Преображенское города Москвы с правом решающего голоса и членов территориальной избирательной комиссии района Преображенское города Москвы...</v>
      </c>
      <c r="G10624" s="22" t="s">
        <v>56</v>
      </c>
      <c r="H10624" s="22" t="s">
        <v>56</v>
      </c>
      <c r="I10624" s="26">
        <v>43671.711504629602</v>
      </c>
      <c r="J10624" s="23" t="str">
        <f>HYPERLINK("https://www.spark-marketing.ru/Card/Person/6249615", "ООО ""АЛЬЯНС ПИТАНИЯ""")</f>
        <v>ООО "АЛЬЯНС ПИТАНИЯ"</v>
      </c>
      <c r="K10624" s="24" t="s">
        <v>9696</v>
      </c>
      <c r="L10624" s="28" t="s">
        <v>51</v>
      </c>
      <c r="M10624" s="25">
        <v>267000</v>
      </c>
      <c r="N10624" s="27">
        <v>0.11</v>
      </c>
    </row>
    <row r="10625" spans="1:14" hidden="1" outlineLevel="1" x14ac:dyDescent="0.2">
      <c r="A10625" s="23" t="str">
        <f>HYPERLINK("https://www.spark-marketing.ru/Card/Person/7966", "УПРАВА РАЙОНА ПРЕОБРАЖЕНСКОЕ ГОРОДА МОСКВЫ")</f>
        <v>УПРАВА РАЙОНА ПРЕОБРАЖЕНСКОЕ ГОРОДА МОСКВЫ</v>
      </c>
      <c r="B10625" s="24" t="s">
        <v>15005</v>
      </c>
      <c r="C10625" s="25">
        <v>300000</v>
      </c>
      <c r="D10625" s="22" t="s">
        <v>15006</v>
      </c>
      <c r="E10625" s="22" t="s">
        <v>48</v>
      </c>
      <c r="F10625" s="23" t="str">
        <f>HYPERLINK("https://www.spark-marketing.ru/Card/Lot/72350551", "Оказание услуг по приготовлению и поставке горячего питания для членов участковых избирательных комиссий района Преображенское города Москвы с правом решающего голоса и членов территориальной избирательной комиссии района Преображенское города Москвы...")</f>
        <v>Оказание услуг по приготовлению и поставке горячего питания для членов участковых избирательных комиссий района Преображенское города Москвы с правом решающего голоса и членов территориальной избирательной комиссии района Преображенское города Москвы...</v>
      </c>
      <c r="G10625" s="22" t="s">
        <v>56</v>
      </c>
      <c r="H10625" s="22" t="s">
        <v>56</v>
      </c>
      <c r="I10625" s="26">
        <v>43671.711504629602</v>
      </c>
      <c r="J10625" s="23" t="str">
        <f>HYPERLINK("https://www.spark-marketing.ru/Card/Person/6604981", "ООО ""ПЕРСПЕКТИВА""")</f>
        <v>ООО "ПЕРСПЕКТИВА"</v>
      </c>
      <c r="K10625" s="24" t="s">
        <v>13150</v>
      </c>
      <c r="L10625" s="28" t="s">
        <v>51</v>
      </c>
      <c r="M10625" s="25">
        <v>225000</v>
      </c>
      <c r="N10625" s="27">
        <v>0.25</v>
      </c>
    </row>
    <row r="10626" spans="1:14" ht="12.75" hidden="1" outlineLevel="1" x14ac:dyDescent="0.2">
      <c r="A10626" s="23" t="str">
        <f>HYPERLINK("https://www.spark-marketing.ru/Card/Person/7966", "УПРАВА РАЙОНА ПРЕОБРАЖЕНСКОЕ ГОРОДА МОСКВЫ")</f>
        <v>УПРАВА РАЙОНА ПРЕОБРАЖЕНСКОЕ ГОРОДА МОСКВЫ</v>
      </c>
      <c r="B10626" s="24" t="s">
        <v>15005</v>
      </c>
      <c r="C10626" s="25">
        <v>300000</v>
      </c>
      <c r="D10626" s="22" t="s">
        <v>15006</v>
      </c>
      <c r="E10626" s="22" t="s">
        <v>48</v>
      </c>
      <c r="F10626" s="23" t="str">
        <f>HYPERLINK("https://www.spark-marketing.ru/Card/Lot/72350551", "Оказание услуг по приготовлению и поставке горячего питания для членов участковых избирательных комиссий района Преображенское города Москвы с правом решающего голоса и членов территориальной избирательной комиссии района Преображенское города Москвы...")</f>
        <v>Оказание услуг по приготовлению и поставке горячего питания для членов участковых избирательных комиссий района Преображенское города Москвы с правом решающего голоса и членов территориальной избирательной комиссии района Преображенское города Москвы...</v>
      </c>
      <c r="G10626" s="22" t="s">
        <v>56</v>
      </c>
      <c r="H10626" s="22" t="s">
        <v>56</v>
      </c>
      <c r="I10626" s="26">
        <v>43671.711504629602</v>
      </c>
      <c r="J10626" s="23" t="str">
        <f>HYPERLINK("https://www.spark-marketing.ru/Card/Person/2042423", "ООО ""ТФ ПРОДЖЕКТ""")</f>
        <v>ООО "ТФ ПРОДЖЕКТ"</v>
      </c>
      <c r="K10626" s="24" t="s">
        <v>9610</v>
      </c>
      <c r="L10626" s="22" t="s">
        <v>10</v>
      </c>
      <c r="M10626" s="25">
        <v>223500</v>
      </c>
      <c r="N10626" s="27">
        <v>0.255</v>
      </c>
    </row>
    <row r="10627" spans="1:14" x14ac:dyDescent="0.15">
      <c r="A10627" s="23" t="str">
        <f>HYPERLINK("https://www.spark-marketing.ru/Card/Person/74514", "ГБУ РС(Я) ""ЖИГАНСКАЯ ЦРБ ИМЕНИ О.Г. ЗАХАРОВОЙ""")</f>
        <v>ГБУ РС(Я) "ЖИГАНСКАЯ ЦРБ ИМЕНИ О.Г. ЗАХАРОВОЙ"</v>
      </c>
      <c r="B10627" s="24" t="s">
        <v>15007</v>
      </c>
      <c r="C10627" s="25">
        <v>2753496</v>
      </c>
      <c r="D10627" s="22" t="s">
        <v>15008</v>
      </c>
      <c r="E10627" s="22" t="s">
        <v>48</v>
      </c>
      <c r="F10627" s="23" t="str">
        <f>HYPERLINK("https://www.spark-marketing.ru/Card/Lot/72357677", "Оказание услуг по организации горячего питания больных стационарных отделений")</f>
        <v>Оказание услуг по организации горячего питания больных стационарных отделений</v>
      </c>
      <c r="G10627" s="22" t="s">
        <v>241</v>
      </c>
      <c r="H10627" s="22" t="s">
        <v>15009</v>
      </c>
      <c r="I10627" s="26">
        <v>43671.726122685199</v>
      </c>
      <c r="J10627" s="23" t="str">
        <f>HYPERLINK("https://www.spark-marketing.ru/Card/Person/455203", "ООО ""ХЛЕБОПЕКАРНЯ""")</f>
        <v>ООО "ХЛЕБОПЕКАРНЯ"</v>
      </c>
      <c r="K10627" s="24" t="s">
        <v>15010</v>
      </c>
      <c r="L10627" s="22" t="s">
        <v>10</v>
      </c>
      <c r="M10627" s="28" t="s">
        <v>51</v>
      </c>
      <c r="N10627" s="28" t="s">
        <v>51</v>
      </c>
    </row>
    <row r="10628" spans="1:14" x14ac:dyDescent="0.15">
      <c r="A10628" s="23" t="s">
        <v>114</v>
      </c>
      <c r="B10628" s="28" t="s">
        <v>51</v>
      </c>
      <c r="C10628" s="25">
        <v>8447712</v>
      </c>
      <c r="D10628" s="22" t="s">
        <v>15011</v>
      </c>
      <c r="E10628" s="22" t="s">
        <v>48</v>
      </c>
      <c r="F10628" s="23" t="str">
        <f t="shared" ref="F10628:F10643" si="276">HYPERLINK("https://www.spark-marketing.ru/Card/Lot/72257903", "Оказание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года")</f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28" s="22" t="s">
        <v>51</v>
      </c>
      <c r="H10628" s="22" t="s">
        <v>51</v>
      </c>
      <c r="I10628" s="26">
        <v>43668.714583333298</v>
      </c>
      <c r="J10628" s="28" t="s">
        <v>51</v>
      </c>
      <c r="K10628" s="28" t="s">
        <v>51</v>
      </c>
      <c r="L10628" s="28" t="s">
        <v>51</v>
      </c>
      <c r="M10628" s="28" t="s">
        <v>51</v>
      </c>
      <c r="N10628" s="28" t="s">
        <v>51</v>
      </c>
    </row>
    <row r="10629" spans="1:14" hidden="1" outlineLevel="1" x14ac:dyDescent="0.15">
      <c r="A10629" s="23" t="str">
        <f>HYPERLINK("https://www.spark-marketing.ru/Card/Person/68084", "МОУ "" ИЗВАРСКАЯ СОШ""")</f>
        <v>МОУ " ИЗВАРСКАЯ СОШ"</v>
      </c>
      <c r="B10629" s="24" t="s">
        <v>15012</v>
      </c>
      <c r="C10629" s="25">
        <v>393120</v>
      </c>
      <c r="D10629" s="22" t="s">
        <v>15011</v>
      </c>
      <c r="E10629" s="22" t="s">
        <v>48</v>
      </c>
      <c r="F10629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29" s="22" t="s">
        <v>162</v>
      </c>
      <c r="H10629" s="22" t="s">
        <v>9810</v>
      </c>
      <c r="I10629" s="26">
        <v>43668.714583333298</v>
      </c>
      <c r="J10629" s="28" t="s">
        <v>51</v>
      </c>
      <c r="K10629" s="28" t="s">
        <v>51</v>
      </c>
      <c r="L10629" s="28" t="s">
        <v>51</v>
      </c>
      <c r="M10629" s="28" t="s">
        <v>51</v>
      </c>
      <c r="N10629" s="28" t="s">
        <v>51</v>
      </c>
    </row>
    <row r="10630" spans="1:14" hidden="1" outlineLevel="1" x14ac:dyDescent="0.15">
      <c r="A10630" s="23" t="str">
        <f>HYPERLINK("https://www.spark-marketing.ru/Card/Person/73418", "МОУ ""БОЛЬШЕВРУДСКАЯ СОШ""")</f>
        <v>МОУ "БОЛЬШЕВРУДСКАЯ СОШ"</v>
      </c>
      <c r="B10630" s="24" t="s">
        <v>15013</v>
      </c>
      <c r="C10630" s="25">
        <v>786240</v>
      </c>
      <c r="D10630" s="22" t="s">
        <v>15011</v>
      </c>
      <c r="E10630" s="22" t="s">
        <v>48</v>
      </c>
      <c r="F10630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30" s="22" t="s">
        <v>51</v>
      </c>
      <c r="H10630" s="22" t="s">
        <v>51</v>
      </c>
      <c r="I10630" s="26">
        <v>43668.714583333298</v>
      </c>
      <c r="J10630" s="28" t="s">
        <v>51</v>
      </c>
      <c r="K10630" s="28" t="s">
        <v>51</v>
      </c>
      <c r="L10630" s="28" t="s">
        <v>51</v>
      </c>
      <c r="M10630" s="28" t="s">
        <v>51</v>
      </c>
      <c r="N10630" s="28" t="s">
        <v>51</v>
      </c>
    </row>
    <row r="10631" spans="1:14" hidden="1" outlineLevel="1" x14ac:dyDescent="0.15">
      <c r="A10631" s="23" t="str">
        <f>HYPERLINK("https://www.spark-marketing.ru/Card/Person/81762", "МОУ ""ВОЛОСОВСКАЯ НОШ""")</f>
        <v>МОУ "ВОЛОСОВСКАЯ НОШ"</v>
      </c>
      <c r="B10631" s="24" t="s">
        <v>15014</v>
      </c>
      <c r="C10631" s="25">
        <v>987168</v>
      </c>
      <c r="D10631" s="22" t="s">
        <v>15011</v>
      </c>
      <c r="E10631" s="22" t="s">
        <v>48</v>
      </c>
      <c r="F10631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31" s="22" t="s">
        <v>162</v>
      </c>
      <c r="H10631" s="22" t="s">
        <v>9810</v>
      </c>
      <c r="I10631" s="26">
        <v>43668.714583333298</v>
      </c>
      <c r="J10631" s="28" t="s">
        <v>51</v>
      </c>
      <c r="K10631" s="28" t="s">
        <v>51</v>
      </c>
      <c r="L10631" s="28" t="s">
        <v>51</v>
      </c>
      <c r="M10631" s="28" t="s">
        <v>51</v>
      </c>
      <c r="N10631" s="28" t="s">
        <v>51</v>
      </c>
    </row>
    <row r="10632" spans="1:14" hidden="1" outlineLevel="1" x14ac:dyDescent="0.15">
      <c r="A10632" s="23" t="str">
        <f>HYPERLINK("https://www.spark-marketing.ru/Card/Person/81917", "МОУ ""ТОРОСОВСКАЯ ООШ""")</f>
        <v>МОУ "ТОРОСОВСКАЯ ООШ"</v>
      </c>
      <c r="B10632" s="24" t="s">
        <v>15015</v>
      </c>
      <c r="C10632" s="25">
        <v>681408</v>
      </c>
      <c r="D10632" s="22" t="s">
        <v>15011</v>
      </c>
      <c r="E10632" s="22" t="s">
        <v>48</v>
      </c>
      <c r="F10632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32" s="22" t="s">
        <v>162</v>
      </c>
      <c r="H10632" s="22" t="s">
        <v>9810</v>
      </c>
      <c r="I10632" s="26">
        <v>43668.714583333298</v>
      </c>
      <c r="J10632" s="28" t="s">
        <v>51</v>
      </c>
      <c r="K10632" s="28" t="s">
        <v>51</v>
      </c>
      <c r="L10632" s="28" t="s">
        <v>51</v>
      </c>
      <c r="M10632" s="28" t="s">
        <v>51</v>
      </c>
      <c r="N10632" s="28" t="s">
        <v>51</v>
      </c>
    </row>
    <row r="10633" spans="1:14" hidden="1" outlineLevel="1" x14ac:dyDescent="0.15">
      <c r="A10633" s="23" t="str">
        <f>HYPERLINK("https://www.spark-marketing.ru/Card/Person/82760", "МОУ ""ЯБЛОНИЦКАЯ СОШ""")</f>
        <v>МОУ "ЯБЛОНИЦКАЯ СОШ"</v>
      </c>
      <c r="B10633" s="24" t="s">
        <v>15016</v>
      </c>
      <c r="C10633" s="25">
        <v>1004640</v>
      </c>
      <c r="D10633" s="22" t="s">
        <v>15011</v>
      </c>
      <c r="E10633" s="22" t="s">
        <v>48</v>
      </c>
      <c r="F10633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33" s="22" t="s">
        <v>162</v>
      </c>
      <c r="H10633" s="22" t="s">
        <v>9810</v>
      </c>
      <c r="I10633" s="26">
        <v>43668.714583333298</v>
      </c>
      <c r="J10633" s="28" t="s">
        <v>51</v>
      </c>
      <c r="K10633" s="28" t="s">
        <v>51</v>
      </c>
      <c r="L10633" s="28" t="s">
        <v>51</v>
      </c>
      <c r="M10633" s="28" t="s">
        <v>51</v>
      </c>
      <c r="N10633" s="28" t="s">
        <v>51</v>
      </c>
    </row>
    <row r="10634" spans="1:14" hidden="1" outlineLevel="1" x14ac:dyDescent="0.15">
      <c r="A10634" s="23" t="str">
        <f>HYPERLINK("https://www.spark-marketing.ru/Card/Person/126070", "МОУ ""КАЛИТИНСКАЯ СОШ""")</f>
        <v>МОУ "КАЛИТИНСКАЯ СОШ"</v>
      </c>
      <c r="B10634" s="24" t="s">
        <v>15017</v>
      </c>
      <c r="C10634" s="25">
        <v>838656</v>
      </c>
      <c r="D10634" s="22" t="s">
        <v>15011</v>
      </c>
      <c r="E10634" s="22" t="s">
        <v>48</v>
      </c>
      <c r="F10634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34" s="22" t="s">
        <v>162</v>
      </c>
      <c r="H10634" s="22" t="s">
        <v>9810</v>
      </c>
      <c r="I10634" s="26">
        <v>43668.714583333298</v>
      </c>
      <c r="J10634" s="28" t="s">
        <v>51</v>
      </c>
      <c r="K10634" s="28" t="s">
        <v>51</v>
      </c>
      <c r="L10634" s="28" t="s">
        <v>51</v>
      </c>
      <c r="M10634" s="28" t="s">
        <v>51</v>
      </c>
      <c r="N10634" s="28" t="s">
        <v>51</v>
      </c>
    </row>
    <row r="10635" spans="1:14" hidden="1" outlineLevel="1" x14ac:dyDescent="0.15">
      <c r="A10635" s="23" t="str">
        <f>HYPERLINK("https://www.spark-marketing.ru/Card/Person/237379", "МОУ ""ВСОШ №2""")</f>
        <v>МОУ "ВСОШ №2"</v>
      </c>
      <c r="B10635" s="24" t="s">
        <v>15018</v>
      </c>
      <c r="C10635" s="25">
        <v>454272</v>
      </c>
      <c r="D10635" s="22" t="s">
        <v>15011</v>
      </c>
      <c r="E10635" s="22" t="s">
        <v>48</v>
      </c>
      <c r="F10635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35" s="22" t="s">
        <v>162</v>
      </c>
      <c r="H10635" s="22" t="s">
        <v>9810</v>
      </c>
      <c r="I10635" s="26">
        <v>43668.714583333298</v>
      </c>
      <c r="J10635" s="28" t="s">
        <v>51</v>
      </c>
      <c r="K10635" s="28" t="s">
        <v>51</v>
      </c>
      <c r="L10635" s="28" t="s">
        <v>51</v>
      </c>
      <c r="M10635" s="28" t="s">
        <v>51</v>
      </c>
      <c r="N10635" s="28" t="s">
        <v>51</v>
      </c>
    </row>
    <row r="10636" spans="1:14" hidden="1" outlineLevel="1" x14ac:dyDescent="0.15">
      <c r="A10636" s="23" t="str">
        <f>HYPERLINK("https://www.spark-marketing.ru/Card/Person/237386", "МОУ ,,БЕСЕДСКАЯ ООШ,,")</f>
        <v>МОУ ,,БЕСЕДСКАЯ ООШ,,</v>
      </c>
      <c r="B10636" s="24" t="s">
        <v>15019</v>
      </c>
      <c r="C10636" s="25">
        <v>253344</v>
      </c>
      <c r="D10636" s="22" t="s">
        <v>15011</v>
      </c>
      <c r="E10636" s="22" t="s">
        <v>48</v>
      </c>
      <c r="F10636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36" s="22" t="s">
        <v>162</v>
      </c>
      <c r="H10636" s="22" t="s">
        <v>9810</v>
      </c>
      <c r="I10636" s="26">
        <v>43668.714583333298</v>
      </c>
      <c r="J10636" s="28" t="s">
        <v>51</v>
      </c>
      <c r="K10636" s="28" t="s">
        <v>51</v>
      </c>
      <c r="L10636" s="28" t="s">
        <v>51</v>
      </c>
      <c r="M10636" s="28" t="s">
        <v>51</v>
      </c>
      <c r="N10636" s="28" t="s">
        <v>51</v>
      </c>
    </row>
    <row r="10637" spans="1:14" hidden="1" outlineLevel="1" x14ac:dyDescent="0.15">
      <c r="A10637" s="23" t="str">
        <f>HYPERLINK("https://www.spark-marketing.ru/Card/Person/69066", "МОУ ""ВОЛОСОВСКАЯ СОШ №1""")</f>
        <v>МОУ "ВОЛОСОВСКАЯ СОШ №1"</v>
      </c>
      <c r="B10637" s="24" t="s">
        <v>15020</v>
      </c>
      <c r="C10637" s="25">
        <v>1022112</v>
      </c>
      <c r="D10637" s="22" t="s">
        <v>15011</v>
      </c>
      <c r="E10637" s="22" t="s">
        <v>48</v>
      </c>
      <c r="F10637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37" s="22" t="s">
        <v>162</v>
      </c>
      <c r="H10637" s="22" t="s">
        <v>9810</v>
      </c>
      <c r="I10637" s="26">
        <v>43668.714583333298</v>
      </c>
      <c r="J10637" s="28" t="s">
        <v>51</v>
      </c>
      <c r="K10637" s="28" t="s">
        <v>51</v>
      </c>
      <c r="L10637" s="28" t="s">
        <v>51</v>
      </c>
      <c r="M10637" s="28" t="s">
        <v>51</v>
      </c>
      <c r="N10637" s="28" t="s">
        <v>51</v>
      </c>
    </row>
    <row r="10638" spans="1:14" hidden="1" outlineLevel="1" x14ac:dyDescent="0.15">
      <c r="A10638" s="23" t="str">
        <f>HYPERLINK("https://www.spark-marketing.ru/Card/Person/237140", "МОУ ""ЗИМИТИЦКАЯ ОСНОВНАЯ ОБЩЕОБРАЗОВАТЕЛЬНАЯ ШКОЛА""")</f>
        <v>МОУ "ЗИМИТИЦКАЯ ОСНОВНАЯ ОБЩЕОБРАЗОВАТЕЛЬНАЯ ШКОЛА"</v>
      </c>
      <c r="B10638" s="24" t="s">
        <v>15021</v>
      </c>
      <c r="C10638" s="25">
        <v>480480</v>
      </c>
      <c r="D10638" s="22" t="s">
        <v>15011</v>
      </c>
      <c r="E10638" s="22" t="s">
        <v>48</v>
      </c>
      <c r="F10638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38" s="22" t="s">
        <v>162</v>
      </c>
      <c r="H10638" s="22" t="s">
        <v>9810</v>
      </c>
      <c r="I10638" s="26">
        <v>43668.714583333298</v>
      </c>
      <c r="J10638" s="28" t="s">
        <v>51</v>
      </c>
      <c r="K10638" s="28" t="s">
        <v>51</v>
      </c>
      <c r="L10638" s="28" t="s">
        <v>51</v>
      </c>
      <c r="M10638" s="28" t="s">
        <v>51</v>
      </c>
      <c r="N10638" s="28" t="s">
        <v>51</v>
      </c>
    </row>
    <row r="10639" spans="1:14" hidden="1" outlineLevel="1" x14ac:dyDescent="0.15">
      <c r="A10639" s="23" t="str">
        <f>HYPERLINK("https://www.spark-marketing.ru/Card/Person/237150", "МОУ ""ОКТЯБРЬСКАЯ ООШ""")</f>
        <v>МОУ "ОКТЯБРЬСКАЯ ООШ"</v>
      </c>
      <c r="B10639" s="24" t="s">
        <v>15022</v>
      </c>
      <c r="C10639" s="25">
        <v>471744</v>
      </c>
      <c r="D10639" s="22" t="s">
        <v>15011</v>
      </c>
      <c r="E10639" s="22" t="s">
        <v>48</v>
      </c>
      <c r="F10639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39" s="22" t="s">
        <v>162</v>
      </c>
      <c r="H10639" s="22" t="s">
        <v>9810</v>
      </c>
      <c r="I10639" s="26">
        <v>43668.714583333298</v>
      </c>
      <c r="J10639" s="28" t="s">
        <v>51</v>
      </c>
      <c r="K10639" s="28" t="s">
        <v>51</v>
      </c>
      <c r="L10639" s="28" t="s">
        <v>51</v>
      </c>
      <c r="M10639" s="28" t="s">
        <v>51</v>
      </c>
      <c r="N10639" s="28" t="s">
        <v>51</v>
      </c>
    </row>
    <row r="10640" spans="1:14" hidden="1" outlineLevel="1" x14ac:dyDescent="0.15">
      <c r="A10640" s="23" t="str">
        <f>HYPERLINK("https://www.spark-marketing.ru/Card/Person/237164", "МОУ ""СЕЛЬЦОВСКАЯ СРЕДНЯЯ ОБЩЕОБРАЗОВАТЕЛЬНАЯ ШКОЛА""")</f>
        <v>МОУ "СЕЛЬЦОВСКАЯ СРЕДНЯЯ ОБЩЕОБРАЗОВАТЕЛЬНАЯ ШКОЛА"</v>
      </c>
      <c r="B10640" s="24" t="s">
        <v>15023</v>
      </c>
      <c r="C10640" s="25">
        <v>620256</v>
      </c>
      <c r="D10640" s="22" t="s">
        <v>15011</v>
      </c>
      <c r="E10640" s="22" t="s">
        <v>48</v>
      </c>
      <c r="F10640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40" s="22" t="s">
        <v>51</v>
      </c>
      <c r="H10640" s="22" t="s">
        <v>51</v>
      </c>
      <c r="I10640" s="26">
        <v>43668.714583333298</v>
      </c>
      <c r="J10640" s="28" t="s">
        <v>51</v>
      </c>
      <c r="K10640" s="28" t="s">
        <v>51</v>
      </c>
      <c r="L10640" s="28" t="s">
        <v>51</v>
      </c>
      <c r="M10640" s="28" t="s">
        <v>51</v>
      </c>
      <c r="N10640" s="28" t="s">
        <v>51</v>
      </c>
    </row>
    <row r="10641" spans="1:14" hidden="1" outlineLevel="1" x14ac:dyDescent="0.15">
      <c r="A10641" s="23" t="str">
        <f>HYPERLINK("https://www.spark-marketing.ru/Card/Person/237174", "МОУ ""САБСКАЯ СОШ""")</f>
        <v>МОУ "САБСКАЯ СОШ"</v>
      </c>
      <c r="B10641" s="24" t="s">
        <v>15024</v>
      </c>
      <c r="C10641" s="25">
        <v>454272</v>
      </c>
      <c r="D10641" s="22" t="s">
        <v>15011</v>
      </c>
      <c r="E10641" s="22" t="s">
        <v>48</v>
      </c>
      <c r="F10641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41" s="22" t="s">
        <v>51</v>
      </c>
      <c r="H10641" s="22" t="s">
        <v>51</v>
      </c>
      <c r="I10641" s="26">
        <v>43668.714583333298</v>
      </c>
      <c r="J10641" s="28" t="s">
        <v>51</v>
      </c>
      <c r="K10641" s="28" t="s">
        <v>51</v>
      </c>
      <c r="L10641" s="28" t="s">
        <v>51</v>
      </c>
      <c r="M10641" s="28" t="s">
        <v>51</v>
      </c>
      <c r="N10641" s="28" t="s">
        <v>51</v>
      </c>
    </row>
    <row r="10642" spans="1:14" hidden="1" outlineLevel="1" x14ac:dyDescent="0.2">
      <c r="A10642" s="28" t="s">
        <v>51</v>
      </c>
      <c r="B10642" s="28" t="s">
        <v>51</v>
      </c>
      <c r="C10642" s="28" t="s">
        <v>51</v>
      </c>
      <c r="D10642" s="22" t="s">
        <v>15011</v>
      </c>
      <c r="E10642" s="22" t="s">
        <v>48</v>
      </c>
      <c r="F10642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42" s="22" t="s">
        <v>51</v>
      </c>
      <c r="H10642" s="22" t="s">
        <v>51</v>
      </c>
      <c r="I10642" s="26">
        <v>43668.714583333298</v>
      </c>
      <c r="J10642" s="23" t="str">
        <f>HYPERLINK("https://www.spark-marketing.ru/Card/Person/5435260", "ООО ""КОМБИНАТ ПИТАНИЯ ВЕЛЕС""")</f>
        <v>ООО "КОМБИНАТ ПИТАНИЯ ВЕЛЕС"</v>
      </c>
      <c r="K10642" s="24" t="s">
        <v>15025</v>
      </c>
      <c r="L10642" s="28" t="s">
        <v>51</v>
      </c>
      <c r="M10642" s="25">
        <v>6335790</v>
      </c>
      <c r="N10642" s="27">
        <v>0.24999928974851415</v>
      </c>
    </row>
    <row r="10643" spans="1:14" hidden="1" outlineLevel="1" x14ac:dyDescent="0.2">
      <c r="A10643" s="28" t="s">
        <v>51</v>
      </c>
      <c r="B10643" s="28" t="s">
        <v>51</v>
      </c>
      <c r="C10643" s="28" t="s">
        <v>51</v>
      </c>
      <c r="D10643" s="22" t="s">
        <v>15011</v>
      </c>
      <c r="E10643" s="22" t="s">
        <v>48</v>
      </c>
      <c r="F10643" s="23" t="str">
        <f t="shared" si="276"/>
        <v>Оказание услуг по организации горячего питания учащихся (как полной комплексной услуги) в муниципальных общеобразовательных учреждениях Волосовского муниципального района Ленинградской области в течение 2019 года</v>
      </c>
      <c r="G10643" s="22" t="s">
        <v>51</v>
      </c>
      <c r="H10643" s="22" t="s">
        <v>51</v>
      </c>
      <c r="I10643" s="26">
        <v>43668.714583333298</v>
      </c>
      <c r="J10643" s="23" t="str">
        <f>HYPERLINK("https://www.spark-marketing.ru/Card/Person/56613", "ООО ""АВТОВАМ""")</f>
        <v>ООО "АВТОВАМ"</v>
      </c>
      <c r="K10643" s="24" t="s">
        <v>15026</v>
      </c>
      <c r="L10643" s="22" t="s">
        <v>10</v>
      </c>
      <c r="M10643" s="25">
        <v>8405473</v>
      </c>
      <c r="N10643" s="27">
        <v>5.000052085108962E-3</v>
      </c>
    </row>
    <row r="10644" spans="1:14" x14ac:dyDescent="0.15">
      <c r="A10644" s="23" t="str">
        <f>HYPERLINK("https://www.spark-marketing.ru/Card/Person/5858167", "ОМВД РОССИИ ПО ЗАВОЛЖСКОМУ ГОРОДСКОМУ РАЙОНУ")</f>
        <v>ОМВД РОССИИ ПО ЗАВОЛЖСКОМУ ГОРОДСКОМУ РАЙОНУ</v>
      </c>
      <c r="B10644" s="24" t="s">
        <v>15027</v>
      </c>
      <c r="C10644" s="25">
        <v>45113.599999999999</v>
      </c>
      <c r="D10644" s="22" t="s">
        <v>15028</v>
      </c>
      <c r="E10644" s="22" t="s">
        <v>48</v>
      </c>
      <c r="F10644" s="23" t="str">
        <f>HYPERLINK("https://www.spark-marketing.ru/Card/Lot/72348082",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644" s="22" t="s">
        <v>185</v>
      </c>
      <c r="H10644" s="22" t="s">
        <v>185</v>
      </c>
      <c r="I10644" s="26">
        <v>43671.745057870401</v>
      </c>
      <c r="J10644" s="28" t="s">
        <v>51</v>
      </c>
      <c r="K10644" s="28" t="s">
        <v>51</v>
      </c>
      <c r="L10644" s="28" t="s">
        <v>51</v>
      </c>
      <c r="M10644" s="28" t="s">
        <v>51</v>
      </c>
      <c r="N10644" s="28" t="s">
        <v>51</v>
      </c>
    </row>
    <row r="10645" spans="1:14" x14ac:dyDescent="0.15">
      <c r="A10645" s="23" t="str">
        <f>HYPERLINK("https://www.spark-marketing.ru/Card/Person/293838", "ООО ""РЖД ТУР""")</f>
        <v>ООО "РЖД ТУР"</v>
      </c>
      <c r="B10645" s="24" t="s">
        <v>11207</v>
      </c>
      <c r="C10645" s="25">
        <v>102000</v>
      </c>
      <c r="D10645" s="22" t="s">
        <v>15029</v>
      </c>
      <c r="E10645" s="22" t="s">
        <v>580</v>
      </c>
      <c r="F10645" s="23" t="str">
        <f>HYPERLINK("https://www.spark-marketing.ru/Card/Lot/72352592", "Услуги по организации питания и обслуживанию пассажиров (в том числе организованных групп пассажиров) в пути следования в поезде дальнего следования")</f>
        <v>Услуги по организации питания и обслуживанию пассажиров (в том числе организованных групп пассажиров) в пути следования в поезде дальнего следования</v>
      </c>
      <c r="G10645" s="22" t="s">
        <v>56</v>
      </c>
      <c r="H10645" s="22" t="s">
        <v>56</v>
      </c>
      <c r="I10645" s="26">
        <v>43671.736527777801</v>
      </c>
      <c r="J10645" s="28" t="s">
        <v>51</v>
      </c>
      <c r="K10645" s="28" t="s">
        <v>51</v>
      </c>
      <c r="L10645" s="28" t="s">
        <v>51</v>
      </c>
      <c r="M10645" s="28" t="s">
        <v>51</v>
      </c>
      <c r="N10645" s="28" t="s">
        <v>51</v>
      </c>
    </row>
    <row r="10646" spans="1:14" x14ac:dyDescent="0.15">
      <c r="A10646" s="23" t="str">
        <f>HYPERLINK("https://www.spark-marketing.ru/Card/Person/51173", "МКУ ""УКС""")</f>
        <v>МКУ "УКС"</v>
      </c>
      <c r="B10646" s="24" t="s">
        <v>14818</v>
      </c>
      <c r="C10646" s="25">
        <v>1655094.64</v>
      </c>
      <c r="D10646" s="22" t="s">
        <v>15030</v>
      </c>
      <c r="E10646" s="22" t="s">
        <v>14820</v>
      </c>
      <c r="F10646" s="23" t="str">
        <f>HYPERLINK("https://www.spark-marketing.ru/Card/Lot/72341624", "Оказание услуг по изготовлению, доставке и монтажу шкафов металлических  для детского сада  по ул. Петухова, 160/2 в Кировском районе")</f>
        <v>Оказание услуг по изготовлению, доставке и монтажу шкафов металлических  для детского сада  по ул. Петухова, 160/2 в Кировском районе</v>
      </c>
      <c r="G10646" s="22" t="s">
        <v>195</v>
      </c>
      <c r="H10646" s="22" t="s">
        <v>196</v>
      </c>
      <c r="I10646" s="26">
        <v>43671.720462963</v>
      </c>
      <c r="J10646" s="28" t="s">
        <v>51</v>
      </c>
      <c r="K10646" s="28" t="s">
        <v>51</v>
      </c>
      <c r="L10646" s="28" t="s">
        <v>51</v>
      </c>
      <c r="M10646" s="28" t="s">
        <v>51</v>
      </c>
      <c r="N10646" s="28" t="s">
        <v>51</v>
      </c>
    </row>
    <row r="10647" spans="1:14" hidden="1" outlineLevel="1" x14ac:dyDescent="0.2">
      <c r="A10647" s="23" t="str">
        <f>HYPERLINK("https://www.spark-marketing.ru/Card/Person/51173", "МКУ ""УКС""")</f>
        <v>МКУ "УКС"</v>
      </c>
      <c r="B10647" s="24" t="s">
        <v>14818</v>
      </c>
      <c r="C10647" s="25">
        <v>1655094.64</v>
      </c>
      <c r="D10647" s="22" t="s">
        <v>15030</v>
      </c>
      <c r="E10647" s="22" t="s">
        <v>14820</v>
      </c>
      <c r="F10647" s="23" t="str">
        <f>HYPERLINK("https://www.spark-marketing.ru/Card/Lot/72341624", "Оказание услуг по изготовлению, доставке и монтажу шкафов металлических  для детского сада  по ул. Петухова, 160/2 в Кировском районе")</f>
        <v>Оказание услуг по изготовлению, доставке и монтажу шкафов металлических  для детского сада  по ул. Петухова, 160/2 в Кировском районе</v>
      </c>
      <c r="G10647" s="22" t="s">
        <v>195</v>
      </c>
      <c r="H10647" s="22" t="s">
        <v>196</v>
      </c>
      <c r="I10647" s="26">
        <v>43671.720462963</v>
      </c>
      <c r="J10647" s="23" t="str">
        <f>HYPERLINK("https://www.spark-marketing.ru/Card/Person/4361651", "ООО ""МЕТАЛАЙН ГРУПП""")</f>
        <v>ООО "МЕТАЛАЙН ГРУПП"</v>
      </c>
      <c r="K10647" s="24" t="s">
        <v>14822</v>
      </c>
      <c r="L10647" s="28" t="s">
        <v>51</v>
      </c>
      <c r="M10647" s="25">
        <v>1348900.82</v>
      </c>
      <c r="N10647" s="27">
        <v>0.18500079246223647</v>
      </c>
    </row>
    <row r="10648" spans="1:14" ht="12.75" hidden="1" outlineLevel="1" x14ac:dyDescent="0.2">
      <c r="A10648" s="23" t="str">
        <f>HYPERLINK("https://www.spark-marketing.ru/Card/Person/51173", "МКУ ""УКС""")</f>
        <v>МКУ "УКС"</v>
      </c>
      <c r="B10648" s="24" t="s">
        <v>14818</v>
      </c>
      <c r="C10648" s="25">
        <v>1655094.64</v>
      </c>
      <c r="D10648" s="22" t="s">
        <v>15030</v>
      </c>
      <c r="E10648" s="22" t="s">
        <v>14820</v>
      </c>
      <c r="F10648" s="23" t="str">
        <f>HYPERLINK("https://www.spark-marketing.ru/Card/Lot/72341624", "Оказание услуг по изготовлению, доставке и монтажу шкафов металлических  для детского сада  по ул. Петухова, 160/2 в Кировском районе")</f>
        <v>Оказание услуг по изготовлению, доставке и монтажу шкафов металлических  для детского сада  по ул. Петухова, 160/2 в Кировском районе</v>
      </c>
      <c r="G10648" s="22" t="s">
        <v>195</v>
      </c>
      <c r="H10648" s="22" t="s">
        <v>196</v>
      </c>
      <c r="I10648" s="26">
        <v>43671.720462963</v>
      </c>
      <c r="J10648" s="23" t="str">
        <f>HYPERLINK("https://www.spark-marketing.ru/Card/Person/168834", "Трифонов Алексей Анатольевич")</f>
        <v>Трифонов Алексей Анатольевич</v>
      </c>
      <c r="K10648" s="24" t="s">
        <v>15031</v>
      </c>
      <c r="L10648" s="22" t="s">
        <v>10</v>
      </c>
      <c r="M10648" s="25">
        <v>1142012.6299999999</v>
      </c>
      <c r="N10648" s="27">
        <v>0.31000161416751371</v>
      </c>
    </row>
    <row r="10649" spans="1:14" hidden="1" outlineLevel="1" x14ac:dyDescent="0.2">
      <c r="A10649" s="23" t="str">
        <f>HYPERLINK("https://www.spark-marketing.ru/Card/Person/51173", "МКУ ""УКС""")</f>
        <v>МКУ "УКС"</v>
      </c>
      <c r="B10649" s="24" t="s">
        <v>14818</v>
      </c>
      <c r="C10649" s="25">
        <v>1655094.64</v>
      </c>
      <c r="D10649" s="22" t="s">
        <v>15030</v>
      </c>
      <c r="E10649" s="22" t="s">
        <v>14820</v>
      </c>
      <c r="F10649" s="23" t="str">
        <f>HYPERLINK("https://www.spark-marketing.ru/Card/Lot/72341624", "Оказание услуг по изготовлению, доставке и монтажу шкафов металлических  для детского сада  по ул. Петухова, 160/2 в Кировском районе")</f>
        <v>Оказание услуг по изготовлению, доставке и монтажу шкафов металлических  для детского сада  по ул. Петухова, 160/2 в Кировском районе</v>
      </c>
      <c r="G10649" s="22" t="s">
        <v>195</v>
      </c>
      <c r="H10649" s="22" t="s">
        <v>196</v>
      </c>
      <c r="I10649" s="26">
        <v>43671.720462963</v>
      </c>
      <c r="J10649" s="23" t="str">
        <f>HYPERLINK("https://www.spark-marketing.ru/Card/Person/170433", "Яковлева Людмила Аркадьевна")</f>
        <v>Яковлева Людмила Аркадьевна</v>
      </c>
      <c r="K10649" s="24" t="s">
        <v>15032</v>
      </c>
      <c r="L10649" s="28" t="s">
        <v>51</v>
      </c>
      <c r="M10649" s="25">
        <v>1506134.75</v>
      </c>
      <c r="N10649" s="27">
        <v>9.0000829197295934E-2</v>
      </c>
    </row>
    <row r="10650" spans="1:14" hidden="1" outlineLevel="1" x14ac:dyDescent="0.2">
      <c r="A10650" s="23" t="str">
        <f>HYPERLINK("https://www.spark-marketing.ru/Card/Person/51173", "МКУ ""УКС""")</f>
        <v>МКУ "УКС"</v>
      </c>
      <c r="B10650" s="24" t="s">
        <v>14818</v>
      </c>
      <c r="C10650" s="25">
        <v>1655094.64</v>
      </c>
      <c r="D10650" s="22" t="s">
        <v>15030</v>
      </c>
      <c r="E10650" s="22" t="s">
        <v>14820</v>
      </c>
      <c r="F10650" s="23" t="str">
        <f>HYPERLINK("https://www.spark-marketing.ru/Card/Lot/72341624", "Оказание услуг по изготовлению, доставке и монтажу шкафов металлических  для детского сада  по ул. Петухова, 160/2 в Кировском районе")</f>
        <v>Оказание услуг по изготовлению, доставке и монтажу шкафов металлических  для детского сада  по ул. Петухова, 160/2 в Кировском районе</v>
      </c>
      <c r="G10650" s="22" t="s">
        <v>195</v>
      </c>
      <c r="H10650" s="22" t="s">
        <v>196</v>
      </c>
      <c r="I10650" s="26">
        <v>43671.720462963</v>
      </c>
      <c r="J10650" s="23" t="str">
        <f>HYPERLINK("https://www.spark-marketing.ru/Card/Person/6465456", "ООО ТК ""ШКОЛЬНАЯ-ЛИГА""")</f>
        <v>ООО ТК "ШКОЛЬНАЯ-ЛИГА"</v>
      </c>
      <c r="K10650" s="24" t="s">
        <v>14823</v>
      </c>
      <c r="L10650" s="28" t="s">
        <v>51</v>
      </c>
      <c r="M10650" s="25">
        <v>1150288.1000000001</v>
      </c>
      <c r="N10650" s="27">
        <v>0.3050016161009379</v>
      </c>
    </row>
    <row r="10651" spans="1:14" x14ac:dyDescent="0.15">
      <c r="A10651" s="23" t="str">
        <f>HYPERLINK("https://www.spark-marketing.ru/Card/Person/36384", "ФГБОУ ВО ""МГУТУ ИМ. К.Г. РАЗУМОВСКОГО (ПКУ)""")</f>
        <v>ФГБОУ ВО "МГУТУ ИМ. К.Г. РАЗУМОВСКОГО (ПКУ)"</v>
      </c>
      <c r="B10651" s="24" t="s">
        <v>15033</v>
      </c>
      <c r="C10651" s="25">
        <v>9728668.8000000007</v>
      </c>
      <c r="D10651" s="22" t="s">
        <v>15034</v>
      </c>
      <c r="E10651" s="22" t="s">
        <v>48</v>
      </c>
      <c r="F10651" s="23" t="str">
        <f>HYPERLINK("https://www.spark-marketing.ru/Card/Lot/72349671", "Оказание услуг по организации горячего питания для воспитанников Университетского казачьего кадетского корпуса-интерната (филиал) федерального государственного бюджетного образовательного учреждения высшего образования «Московский государственный уни...")</f>
        <v>Оказание услуг по организации горячего питания для воспитанников Университетского казачьего кадетского корпуса-интерната (филиал) федерального государственного бюджетного образовательного учреждения высшего образования «Московский государственный уни...</v>
      </c>
      <c r="G10651" s="22" t="s">
        <v>267</v>
      </c>
      <c r="H10651" s="22" t="s">
        <v>267</v>
      </c>
      <c r="I10651" s="26">
        <v>43671.710416666698</v>
      </c>
      <c r="J10651" s="28" t="s">
        <v>51</v>
      </c>
      <c r="K10651" s="28" t="s">
        <v>51</v>
      </c>
      <c r="L10651" s="28" t="s">
        <v>51</v>
      </c>
      <c r="M10651" s="28" t="s">
        <v>51</v>
      </c>
      <c r="N10651" s="28" t="s">
        <v>51</v>
      </c>
    </row>
    <row r="10652" spans="1:14" hidden="1" outlineLevel="1" x14ac:dyDescent="0.2">
      <c r="A10652" s="23" t="str">
        <f>HYPERLINK("https://www.spark-marketing.ru/Card/Person/36384", "ФГБОУ ВО ""МГУТУ ИМ. К.Г. РАЗУМОВСКОГО (ПКУ)""")</f>
        <v>ФГБОУ ВО "МГУТУ ИМ. К.Г. РАЗУМОВСКОГО (ПКУ)"</v>
      </c>
      <c r="B10652" s="24" t="s">
        <v>15033</v>
      </c>
      <c r="C10652" s="25">
        <v>9728668.8000000007</v>
      </c>
      <c r="D10652" s="22" t="s">
        <v>15034</v>
      </c>
      <c r="E10652" s="22" t="s">
        <v>48</v>
      </c>
      <c r="F10652" s="23" t="str">
        <f>HYPERLINK("https://www.spark-marketing.ru/Card/Lot/72349671", "Оказание услуг по организации горячего питания для воспитанников Университетского казачьего кадетского корпуса-интерната (филиал) федерального государственного бюджетного образовательного учреждения высшего образования «Московский государственный уни...")</f>
        <v>Оказание услуг по организации горячего питания для воспитанников Университетского казачьего кадетского корпуса-интерната (филиал) федерального государственного бюджетного образовательного учреждения высшего образования «Московский государственный уни...</v>
      </c>
      <c r="G10652" s="22" t="s">
        <v>267</v>
      </c>
      <c r="H10652" s="22" t="s">
        <v>267</v>
      </c>
      <c r="I10652" s="26">
        <v>43671.710416666698</v>
      </c>
      <c r="J10652" s="23" t="str">
        <f>HYPERLINK("https://www.spark-marketing.ru/Card/Person/4325048", "Сенченко Андрей Владимирович")</f>
        <v>Сенченко Андрей Владимирович</v>
      </c>
      <c r="K10652" s="24" t="s">
        <v>15035</v>
      </c>
      <c r="L10652" s="28" t="s">
        <v>51</v>
      </c>
      <c r="M10652" s="25">
        <v>8755200</v>
      </c>
      <c r="N10652" s="27">
        <v>0.10006187074638619</v>
      </c>
    </row>
    <row r="10653" spans="1:14" ht="12.75" hidden="1" outlineLevel="1" x14ac:dyDescent="0.2">
      <c r="A10653" s="23" t="str">
        <f>HYPERLINK("https://www.spark-marketing.ru/Card/Person/36384", "ФГБОУ ВО ""МГУТУ ИМ. К.Г. РАЗУМОВСКОГО (ПКУ)""")</f>
        <v>ФГБОУ ВО "МГУТУ ИМ. К.Г. РАЗУМОВСКОГО (ПКУ)"</v>
      </c>
      <c r="B10653" s="24" t="s">
        <v>15033</v>
      </c>
      <c r="C10653" s="25">
        <v>9728668.8000000007</v>
      </c>
      <c r="D10653" s="22" t="s">
        <v>15034</v>
      </c>
      <c r="E10653" s="22" t="s">
        <v>48</v>
      </c>
      <c r="F10653" s="23" t="str">
        <f>HYPERLINK("https://www.spark-marketing.ru/Card/Lot/72349671", "Оказание услуг по организации горячего питания для воспитанников Университетского казачьего кадетского корпуса-интерната (филиал) федерального государственного бюджетного образовательного учреждения высшего образования «Московский государственный уни...")</f>
        <v>Оказание услуг по организации горячего питания для воспитанников Университетского казачьего кадетского корпуса-интерната (филиал) федерального государственного бюджетного образовательного учреждения высшего образования «Московский государственный уни...</v>
      </c>
      <c r="G10653" s="22" t="s">
        <v>267</v>
      </c>
      <c r="H10653" s="22" t="s">
        <v>267</v>
      </c>
      <c r="I10653" s="26">
        <v>43671.710416666698</v>
      </c>
      <c r="J10653" s="23" t="str">
        <f>HYPERLINK("https://www.spark-marketing.ru/Card/Person/1438531", "ООО ""ОПТИМА""")</f>
        <v>ООО "ОПТИМА"</v>
      </c>
      <c r="K10653" s="24" t="s">
        <v>15036</v>
      </c>
      <c r="L10653" s="22" t="s">
        <v>10</v>
      </c>
      <c r="M10653" s="25">
        <v>7880000</v>
      </c>
      <c r="N10653" s="27">
        <v>0.19002279119626314</v>
      </c>
    </row>
    <row r="10654" spans="1:14" x14ac:dyDescent="0.15">
      <c r="A10654" s="23" t="str">
        <f>HYPERLINK("https://www.spark-marketing.ru/Card/Person/1752680", "КОМИТЕТ ПО КУЛЬТУРЕ И СПОРТУ ТАЛДОМСКОГО ГОРОДСКОГО ОКРУГА")</f>
        <v>КОМИТЕТ ПО КУЛЬТУРЕ И СПОРТУ ТАЛДОМСКОГО ГОРОДСКОГО ОКРУГА</v>
      </c>
      <c r="B10654" s="24" t="s">
        <v>15037</v>
      </c>
      <c r="C10654" s="25">
        <v>4605</v>
      </c>
      <c r="D10654" s="22" t="s">
        <v>15038</v>
      </c>
      <c r="E10654" s="22" t="s">
        <v>48</v>
      </c>
      <c r="F10654" s="23" t="str">
        <f>HYPERLINK("https://www.spark-marketing.ru/Card/Lot/72348703", "Оказание услуг по организации питания участников спортивно-массового мероприятия для нужд Комитета по культуре, физической культуре, спорту, туризму и работе с молодёжью")</f>
        <v>Оказание услуг по организации питания участников спортивно-массового мероприятия для нужд Комитета по культуре, физической культуре, спорту, туризму и работе с молодёжью</v>
      </c>
      <c r="G10654" s="22" t="s">
        <v>49</v>
      </c>
      <c r="H10654" s="22" t="s">
        <v>8877</v>
      </c>
      <c r="I10654" s="26">
        <v>43671.721921296303</v>
      </c>
      <c r="J10654" s="28" t="s">
        <v>51</v>
      </c>
      <c r="K10654" s="28" t="s">
        <v>51</v>
      </c>
      <c r="L10654" s="28" t="s">
        <v>51</v>
      </c>
      <c r="M10654" s="28" t="s">
        <v>51</v>
      </c>
      <c r="N10654" s="28" t="s">
        <v>51</v>
      </c>
    </row>
    <row r="10655" spans="1:14" x14ac:dyDescent="0.15">
      <c r="A10655" s="23" t="str">
        <f>HYPERLINK("https://www.spark-marketing.ru/Card/Person/51537", "АППАРАТ ПРАВИТЕЛЬСТВА ПЕРМСКОГО КРАЯ")</f>
        <v>АППАРАТ ПРАВИТЕЛЬСТВА ПЕРМСКОГО КРАЯ</v>
      </c>
      <c r="B10655" s="24" t="s">
        <v>1649</v>
      </c>
      <c r="C10655" s="25">
        <v>1500000</v>
      </c>
      <c r="D10655" s="22" t="s">
        <v>15039</v>
      </c>
      <c r="E10655" s="22" t="s">
        <v>96</v>
      </c>
      <c r="F10655" s="23" t="str">
        <f>HYPERLINK("https://www.spark-marketing.ru/Card/Lot/72360480", "Оказание услуг по организации обслуживания официальных выездных мероприятий")</f>
        <v>Оказание услуг по организации обслуживания официальных выездных мероприятий</v>
      </c>
      <c r="G10655" s="22" t="s">
        <v>153</v>
      </c>
      <c r="H10655" s="22" t="s">
        <v>153</v>
      </c>
      <c r="I10655" s="26">
        <v>43671.742523148103</v>
      </c>
      <c r="J10655" s="23" t="str">
        <f>HYPERLINK("https://www.spark-marketing.ru/Card/Person/6283007", "ООО ""КОРС И ХОРС""")</f>
        <v>ООО "КОРС И ХОРС"</v>
      </c>
      <c r="K10655" s="24" t="s">
        <v>15040</v>
      </c>
      <c r="L10655" s="28" t="s">
        <v>51</v>
      </c>
      <c r="M10655" s="28" t="s">
        <v>51</v>
      </c>
      <c r="N10655" s="28" t="s">
        <v>51</v>
      </c>
    </row>
    <row r="10656" spans="1:14" ht="12.75" hidden="1" outlineLevel="1" x14ac:dyDescent="0.2">
      <c r="A10656" s="23" t="str">
        <f>HYPERLINK("https://www.spark-marketing.ru/Card/Person/51537", "АППАРАТ ПРАВИТЕЛЬСТВА ПЕРМСКОГО КРАЯ")</f>
        <v>АППАРАТ ПРАВИТЕЛЬСТВА ПЕРМСКОГО КРАЯ</v>
      </c>
      <c r="B10656" s="24" t="s">
        <v>1649</v>
      </c>
      <c r="C10656" s="25">
        <v>1500000</v>
      </c>
      <c r="D10656" s="22" t="s">
        <v>15039</v>
      </c>
      <c r="E10656" s="22" t="s">
        <v>96</v>
      </c>
      <c r="F10656" s="23" t="str">
        <f>HYPERLINK("https://www.spark-marketing.ru/Card/Lot/72360480", "Оказание услуг по организации обслуживания официальных выездных мероприятий")</f>
        <v>Оказание услуг по организации обслуживания официальных выездных мероприятий</v>
      </c>
      <c r="G10656" s="22" t="s">
        <v>153</v>
      </c>
      <c r="H10656" s="22" t="s">
        <v>153</v>
      </c>
      <c r="I10656" s="26">
        <v>43671.742523148103</v>
      </c>
      <c r="J10656" s="23" t="str">
        <f>HYPERLINK("https://www.spark-marketing.ru/Card/Person/6283007", "ООО ""КОРС И ХОРС""")</f>
        <v>ООО "КОРС И ХОРС"</v>
      </c>
      <c r="K10656" s="24" t="s">
        <v>15040</v>
      </c>
      <c r="L10656" s="22" t="s">
        <v>10</v>
      </c>
      <c r="M10656" s="25">
        <v>1492500</v>
      </c>
      <c r="N10656" s="27">
        <v>5.0000000000000001E-3</v>
      </c>
    </row>
    <row r="10657" spans="1:14" x14ac:dyDescent="0.2">
      <c r="A10657" s="23" t="str">
        <f>HYPERLINK("https://www.spark-marketing.ru/Card/Person/1521946", "МАОУ НАРО-ФОМИНСКАЯ СОШ № 3 СУИОП")</f>
        <v>МАОУ НАРО-ФОМИНСКАЯ СОШ № 3 СУИОП</v>
      </c>
      <c r="B10657" s="24" t="s">
        <v>15041</v>
      </c>
      <c r="C10657" s="25">
        <v>2780405</v>
      </c>
      <c r="D10657" s="22" t="s">
        <v>15042</v>
      </c>
      <c r="E10657" s="22" t="s">
        <v>362</v>
      </c>
      <c r="F10657" s="23" t="str">
        <f>HYPERLINK("https://www.spark-marketing.ru/Card/Lot/72356100", "Оказание услуг по организации рационального питания обучающихся")</f>
        <v>Оказание услуг по организации рационального питания обучающихся</v>
      </c>
      <c r="G10657" s="22" t="s">
        <v>49</v>
      </c>
      <c r="H10657" s="22" t="s">
        <v>49</v>
      </c>
      <c r="I10657" s="26">
        <v>43671.737881944398</v>
      </c>
      <c r="J10657" s="28" t="s">
        <v>51</v>
      </c>
      <c r="K10657" s="28" t="s">
        <v>51</v>
      </c>
      <c r="L10657" s="22" t="s">
        <v>10</v>
      </c>
      <c r="M10657" s="25">
        <v>2777260.8</v>
      </c>
      <c r="N10657" s="27">
        <v>1.1308424492115358E-3</v>
      </c>
    </row>
    <row r="10658" spans="1:14" x14ac:dyDescent="0.15">
      <c r="A10658" s="23" t="str">
        <f>HYPERLINK("https://www.spark-marketing.ru/Card/Person/48750", "ФГУП ""ВНИИМ ИМ. Д.И.МЕНДЕЛЕЕВА""")</f>
        <v>ФГУП "ВНИИМ ИМ. Д.И.МЕНДЕЛЕЕВА"</v>
      </c>
      <c r="B10658" s="24" t="s">
        <v>15043</v>
      </c>
      <c r="C10658" s="25">
        <v>3600000</v>
      </c>
      <c r="D10658" s="22" t="s">
        <v>15044</v>
      </c>
      <c r="E10658" s="22" t="s">
        <v>362</v>
      </c>
      <c r="F10658" s="23" t="str">
        <f>HYPERLINK("https://www.spark-marketing.ru/Card/Lot/72354236", "Оказание услуг по организации лечебно-профилактического питания для сотрудников ФГУП «ВНИИМ им. Д.И. Менделеева»")</f>
        <v>Оказание услуг по организации лечебно-профилактического питания для сотрудников ФГУП «ВНИИМ им. Д.И. Менделеева»</v>
      </c>
      <c r="G10658" s="22" t="s">
        <v>117</v>
      </c>
      <c r="H10658" s="22" t="s">
        <v>117</v>
      </c>
      <c r="I10658" s="26">
        <v>43671.716527777797</v>
      </c>
      <c r="J10658" s="28" t="s">
        <v>51</v>
      </c>
      <c r="K10658" s="28" t="s">
        <v>51</v>
      </c>
      <c r="L10658" s="28" t="s">
        <v>51</v>
      </c>
      <c r="M10658" s="28" t="s">
        <v>51</v>
      </c>
      <c r="N10658" s="28" t="s">
        <v>51</v>
      </c>
    </row>
    <row r="10659" spans="1:14" x14ac:dyDescent="0.15">
      <c r="A10659" s="23" t="str">
        <f>HYPERLINK("https://www.spark-marketing.ru/Card/Person/135216", "ОМВД РОССИИ ПО МИРНИНСКОМУ РАЙОНУ")</f>
        <v>ОМВД РОССИИ ПО МИРНИНСКОМУ РАЙОНУ</v>
      </c>
      <c r="B10659" s="24" t="s">
        <v>5214</v>
      </c>
      <c r="C10659" s="25">
        <v>234000</v>
      </c>
      <c r="D10659" s="22" t="s">
        <v>15045</v>
      </c>
      <c r="E10659" s="22" t="s">
        <v>48</v>
      </c>
      <c r="F10659" s="23" t="str">
        <f>HYPERLINK("https://www.spark-marketing.ru/Card/Lot/72360874", "питание ИВС г. Удачный")</f>
        <v>питание ИВС г. Удачный</v>
      </c>
      <c r="G10659" s="22" t="s">
        <v>241</v>
      </c>
      <c r="H10659" s="22" t="s">
        <v>4987</v>
      </c>
      <c r="I10659" s="26">
        <v>43671.745902777802</v>
      </c>
      <c r="J10659" s="23" t="str">
        <f>HYPERLINK("https://www.spark-marketing.ru/Card/Person/1754869", "АО ""АЛРОСА-ТОРГ""")</f>
        <v>АО "АЛРОСА-ТОРГ"</v>
      </c>
      <c r="K10659" s="24" t="s">
        <v>5216</v>
      </c>
      <c r="L10659" s="22" t="s">
        <v>10</v>
      </c>
      <c r="M10659" s="28" t="s">
        <v>51</v>
      </c>
      <c r="N10659" s="28" t="s">
        <v>51</v>
      </c>
    </row>
    <row r="10660" spans="1:14" x14ac:dyDescent="0.15">
      <c r="A10660" s="23" t="str">
        <f>HYPERLINK("https://www.spark-marketing.ru/Card/Person/49214", "УПРАВА РАЙОНА ПОКРОВСКОЕ-СТРЕШНЕВО ГОРОДА МОСКВЫ")</f>
        <v>УПРАВА РАЙОНА ПОКРОВСКОЕ-СТРЕШНЕВО ГОРОДА МОСКВЫ</v>
      </c>
      <c r="B10660" s="24" t="s">
        <v>15046</v>
      </c>
      <c r="C10660" s="25">
        <v>155250</v>
      </c>
      <c r="D10660" s="22" t="s">
        <v>15047</v>
      </c>
      <c r="E10660" s="22" t="s">
        <v>96</v>
      </c>
      <c r="F10660" s="23" t="str">
        <f>HYPERLINK("https://www.spark-marketing.ru/Card/Lot/72350640", "Оказание услуг по организации питания членов избирательных комиссий района Покровское-Стрешнево в день проведения выборов")</f>
        <v>Оказание услуг по организации питания членов избирательных комиссий района Покровское-Стрешнево в день проведения выборов</v>
      </c>
      <c r="G10660" s="22" t="s">
        <v>56</v>
      </c>
      <c r="H10660" s="22" t="s">
        <v>56</v>
      </c>
      <c r="I10660" s="26">
        <v>43671.722557870402</v>
      </c>
      <c r="J10660" s="28" t="s">
        <v>51</v>
      </c>
      <c r="K10660" s="28" t="s">
        <v>51</v>
      </c>
      <c r="L10660" s="28" t="s">
        <v>51</v>
      </c>
      <c r="M10660" s="28" t="s">
        <v>51</v>
      </c>
      <c r="N10660" s="28" t="s">
        <v>51</v>
      </c>
    </row>
    <row r="10661" spans="1:14" hidden="1" outlineLevel="1" x14ac:dyDescent="0.2">
      <c r="A10661" s="23" t="str">
        <f>HYPERLINK("https://www.spark-marketing.ru/Card/Person/49214", "УПРАВА РАЙОНА ПОКРОВСКОЕ-СТРЕШНЕВО ГОРОДА МОСКВЫ")</f>
        <v>УПРАВА РАЙОНА ПОКРОВСКОЕ-СТРЕШНЕВО ГОРОДА МОСКВЫ</v>
      </c>
      <c r="B10661" s="24" t="s">
        <v>15046</v>
      </c>
      <c r="C10661" s="25">
        <v>155250</v>
      </c>
      <c r="D10661" s="22" t="s">
        <v>15047</v>
      </c>
      <c r="E10661" s="22" t="s">
        <v>96</v>
      </c>
      <c r="F10661" s="23" t="str">
        <f>HYPERLINK("https://www.spark-marketing.ru/Card/Lot/72350640", "Оказание услуг по организации питания членов избирательных комиссий района Покровское-Стрешнево в день проведения выборов")</f>
        <v>Оказание услуг по организации питания членов избирательных комиссий района Покровское-Стрешнево в день проведения выборов</v>
      </c>
      <c r="G10661" s="22" t="s">
        <v>56</v>
      </c>
      <c r="H10661" s="22" t="s">
        <v>56</v>
      </c>
      <c r="I10661" s="26">
        <v>43671.722557870402</v>
      </c>
      <c r="J10661" s="23" t="str">
        <f>HYPERLINK("https://www.spark-marketing.ru/Card/Person/6680995", "КОЧЕРГИН КИРИЛЛ АНДРЕЕВИЧ")</f>
        <v>КОЧЕРГИН КИРИЛЛ АНДРЕЕВИЧ</v>
      </c>
      <c r="K10661" s="24" t="s">
        <v>15048</v>
      </c>
      <c r="L10661" s="28" t="s">
        <v>51</v>
      </c>
      <c r="M10661" s="25">
        <v>112815</v>
      </c>
      <c r="N10661" s="27">
        <v>0.27333333333333332</v>
      </c>
    </row>
    <row r="10662" spans="1:14" ht="12.75" hidden="1" outlineLevel="1" x14ac:dyDescent="0.2">
      <c r="A10662" s="23" t="str">
        <f>HYPERLINK("https://www.spark-marketing.ru/Card/Person/49214", "УПРАВА РАЙОНА ПОКРОВСКОЕ-СТРЕШНЕВО ГОРОДА МОСКВЫ")</f>
        <v>УПРАВА РАЙОНА ПОКРОВСКОЕ-СТРЕШНЕВО ГОРОДА МОСКВЫ</v>
      </c>
      <c r="B10662" s="24" t="s">
        <v>15046</v>
      </c>
      <c r="C10662" s="25">
        <v>155250</v>
      </c>
      <c r="D10662" s="22" t="s">
        <v>15047</v>
      </c>
      <c r="E10662" s="22" t="s">
        <v>96</v>
      </c>
      <c r="F10662" s="23" t="str">
        <f>HYPERLINK("https://www.spark-marketing.ru/Card/Lot/72350640", "Оказание услуг по организации питания членов избирательных комиссий района Покровское-Стрешнево в день проведения выборов")</f>
        <v>Оказание услуг по организации питания членов избирательных комиссий района Покровское-Стрешнево в день проведения выборов</v>
      </c>
      <c r="G10662" s="22" t="s">
        <v>56</v>
      </c>
      <c r="H10662" s="22" t="s">
        <v>56</v>
      </c>
      <c r="I10662" s="26">
        <v>43671.722557870402</v>
      </c>
      <c r="J10662" s="23" t="str">
        <f>HYPERLINK("https://www.spark-marketing.ru/Card/Person/6633519", "ООО ""КОММЕРЦПРО""")</f>
        <v>ООО "КОММЕРЦПРО"</v>
      </c>
      <c r="K10662" s="24" t="s">
        <v>7403</v>
      </c>
      <c r="L10662" s="22" t="s">
        <v>10</v>
      </c>
      <c r="M10662" s="25">
        <v>113600</v>
      </c>
      <c r="N10662" s="27">
        <v>0.26827697262479872</v>
      </c>
    </row>
    <row r="10663" spans="1:14" hidden="1" outlineLevel="1" x14ac:dyDescent="0.2">
      <c r="A10663" s="23" t="str">
        <f>HYPERLINK("https://www.spark-marketing.ru/Card/Person/49214", "УПРАВА РАЙОНА ПОКРОВСКОЕ-СТРЕШНЕВО ГОРОДА МОСКВЫ")</f>
        <v>УПРАВА РАЙОНА ПОКРОВСКОЕ-СТРЕШНЕВО ГОРОДА МОСКВЫ</v>
      </c>
      <c r="B10663" s="24" t="s">
        <v>15046</v>
      </c>
      <c r="C10663" s="25">
        <v>155250</v>
      </c>
      <c r="D10663" s="22" t="s">
        <v>15047</v>
      </c>
      <c r="E10663" s="22" t="s">
        <v>96</v>
      </c>
      <c r="F10663" s="23" t="str">
        <f>HYPERLINK("https://www.spark-marketing.ru/Card/Lot/72350640", "Оказание услуг по организации питания членов избирательных комиссий района Покровское-Стрешнево в день проведения выборов")</f>
        <v>Оказание услуг по организации питания членов избирательных комиссий района Покровское-Стрешнево в день проведения выборов</v>
      </c>
      <c r="G10663" s="22" t="s">
        <v>56</v>
      </c>
      <c r="H10663" s="22" t="s">
        <v>56</v>
      </c>
      <c r="I10663" s="26">
        <v>43671.722557870402</v>
      </c>
      <c r="J10663" s="23" t="str">
        <f>HYPERLINK("https://www.spark-marketing.ru/Card/Person/6623964", "Даскал Александр Степанович")</f>
        <v>Даскал Александр Степанович</v>
      </c>
      <c r="K10663" s="24" t="s">
        <v>15049</v>
      </c>
      <c r="L10663" s="28" t="s">
        <v>51</v>
      </c>
      <c r="M10663" s="25">
        <v>124223.75</v>
      </c>
      <c r="N10663" s="27">
        <v>0.19984702093397747</v>
      </c>
    </row>
    <row r="10664" spans="1:14" x14ac:dyDescent="0.2">
      <c r="A10664" s="23" t="str">
        <f>HYPERLINK("https://www.spark-marketing.ru/Card/Person/1377141", "МАОУ СЕЛЯТИНСКАЯ СОШ №1")</f>
        <v>МАОУ СЕЛЯТИНСКАЯ СОШ №1</v>
      </c>
      <c r="B10664" s="24" t="s">
        <v>15050</v>
      </c>
      <c r="C10664" s="25">
        <v>2636990</v>
      </c>
      <c r="D10664" s="22" t="s">
        <v>15051</v>
      </c>
      <c r="E10664" s="22" t="s">
        <v>362</v>
      </c>
      <c r="F10664" s="23" t="str">
        <f>HYPERLINK("https://www.spark-marketing.ru/Card/Lot/72356162", "Оказание услуг по организации питания")</f>
        <v>Оказание услуг по организации питания</v>
      </c>
      <c r="G10664" s="22" t="s">
        <v>49</v>
      </c>
      <c r="H10664" s="22" t="s">
        <v>49</v>
      </c>
      <c r="I10664" s="26">
        <v>43671.749618055597</v>
      </c>
      <c r="J10664" s="28" t="s">
        <v>51</v>
      </c>
      <c r="K10664" s="28" t="s">
        <v>51</v>
      </c>
      <c r="L10664" s="22" t="s">
        <v>10</v>
      </c>
      <c r="M10664" s="25">
        <v>2634207.6</v>
      </c>
      <c r="N10664" s="27">
        <v>1.0551424161638838E-3</v>
      </c>
    </row>
    <row r="10665" spans="1:14" x14ac:dyDescent="0.15">
      <c r="A10665" s="23" t="str">
        <f>HYPERLINK("https://www.spark-marketing.ru/Card/Person/37286", "ОТДЕЛ МВД РОССИИ ПО ТАШТАГОЛЬСКОМУ РАЙОНУ")</f>
        <v>ОТДЕЛ МВД РОССИИ ПО ТАШТАГОЛЬСКОМУ РАЙОНУ</v>
      </c>
      <c r="B10665" s="24" t="s">
        <v>15052</v>
      </c>
      <c r="C10665" s="25">
        <v>525000</v>
      </c>
      <c r="D10665" s="22" t="s">
        <v>15053</v>
      </c>
      <c r="E10665" s="22" t="s">
        <v>48</v>
      </c>
      <c r="F10665" s="23" t="str">
        <f>HYPERLINK("https://www.spark-marketing.ru/Card/Lot/72366194", "Оказание услуг по организации ежедневного комплекса горячего питания лиц, находящихся в изоляторе временного содержания.")</f>
        <v>Оказание услуг по организации ежедневного комплекса горячего питания лиц, находящихся в изоляторе временного содержания.</v>
      </c>
      <c r="G10665" s="22" t="s">
        <v>304</v>
      </c>
      <c r="H10665" s="22" t="s">
        <v>5840</v>
      </c>
      <c r="I10665" s="26">
        <v>43671.702974537002</v>
      </c>
      <c r="J10665" s="28" t="s">
        <v>51</v>
      </c>
      <c r="K10665" s="28" t="s">
        <v>51</v>
      </c>
      <c r="L10665" s="28" t="s">
        <v>51</v>
      </c>
      <c r="M10665" s="28" t="s">
        <v>51</v>
      </c>
      <c r="N10665" s="28" t="s">
        <v>51</v>
      </c>
    </row>
    <row r="10666" spans="1:14" x14ac:dyDescent="0.15">
      <c r="A10666" s="23" t="str">
        <f>HYPERLINK("https://www.spark-marketing.ru/Card/Person/22193", "УМВД РОССИИ ПО ТВЕРСКОЙ ОБЛАСТИ")</f>
        <v>УМВД РОССИИ ПО ТВЕРСКОЙ ОБЛАСТИ</v>
      </c>
      <c r="B10666" s="24" t="s">
        <v>15054</v>
      </c>
      <c r="C10666" s="25">
        <v>6719760</v>
      </c>
      <c r="D10666" s="22" t="s">
        <v>15055</v>
      </c>
      <c r="E10666" s="22" t="s">
        <v>48</v>
      </c>
      <c r="F10666" s="23" t="str">
        <f>HYPERLINK("https://www.spark-marketing.ru/Card/Lot/72361282", "Оказание услуг по организации питания иностранных граждан, содержащихся в ЦВСИГ УМВД России по Тверской области")</f>
        <v>Оказание услуг по организации питания иностранных граждан, содержащихся в ЦВСИГ УМВД России по Тверской области</v>
      </c>
      <c r="G10666" s="22" t="s">
        <v>137</v>
      </c>
      <c r="H10666" s="22" t="s">
        <v>138</v>
      </c>
      <c r="I10666" s="26">
        <v>43671.7000694444</v>
      </c>
      <c r="J10666" s="23" t="str">
        <f>HYPERLINK("https://www.spark-marketing.ru/Card/Person/137941", "Пушкина Светлана Александровна")</f>
        <v>Пушкина Светлана Александровна</v>
      </c>
      <c r="K10666" s="24" t="s">
        <v>3193</v>
      </c>
      <c r="L10666" s="22" t="s">
        <v>10</v>
      </c>
      <c r="M10666" s="28" t="s">
        <v>51</v>
      </c>
      <c r="N10666" s="28" t="s">
        <v>51</v>
      </c>
    </row>
    <row r="10667" spans="1:14" x14ac:dyDescent="0.15">
      <c r="A10667" s="23" t="str">
        <f>HYPERLINK("https://www.spark-marketing.ru/Card/Person/568555", "ГАУ СО ""ДОМ МОЛОДЕЖИ""")</f>
        <v>ГАУ СО "ДОМ МОЛОДЕЖИ"</v>
      </c>
      <c r="B10667" s="24" t="s">
        <v>7669</v>
      </c>
      <c r="C10667" s="25">
        <v>165160</v>
      </c>
      <c r="D10667" s="22" t="s">
        <v>15056</v>
      </c>
      <c r="E10667" s="22" t="s">
        <v>580</v>
      </c>
      <c r="F10667" s="23" t="str">
        <f>HYPERLINK("https://www.spark-marketing.ru/Card/Lot/72355926", "оказание услуг по обслуживанию питанием представителей Заказчика при проведении массового мероприятия XXXXII Всероссийского фестиваля песни «Знаменка»")</f>
        <v>оказание услуг по обслуживанию питанием представителей Заказчика при проведении массового мероприятия XXXXII Всероссийского фестиваля песни «Знаменка»</v>
      </c>
      <c r="G10667" s="22" t="s">
        <v>174</v>
      </c>
      <c r="H10667" s="22" t="s">
        <v>174</v>
      </c>
      <c r="I10667" s="26">
        <v>43671.707928240699</v>
      </c>
      <c r="J10667" s="28" t="s">
        <v>51</v>
      </c>
      <c r="K10667" s="28" t="s">
        <v>51</v>
      </c>
      <c r="L10667" s="28" t="s">
        <v>51</v>
      </c>
      <c r="M10667" s="28" t="s">
        <v>51</v>
      </c>
      <c r="N10667" s="28" t="s">
        <v>51</v>
      </c>
    </row>
    <row r="10668" spans="1:14" x14ac:dyDescent="0.15">
      <c r="A10668" s="23" t="str">
        <f>HYPERLINK("https://www.spark-marketing.ru/Card/Person/159375", "ГЛАВНОЕ УПРАВЛЕНИЕ МЧС РОССИИ ПО РЕСПУБЛИКЕ МОРДОВИЯ")</f>
        <v>ГЛАВНОЕ УПРАВЛЕНИЕ МЧС РОССИИ ПО РЕСПУБЛИКЕ МОРДОВИЯ</v>
      </c>
      <c r="B10668" s="24" t="s">
        <v>12622</v>
      </c>
      <c r="C10668" s="25">
        <v>96875</v>
      </c>
      <c r="D10668" s="22" t="s">
        <v>15057</v>
      </c>
      <c r="E10668" s="22" t="s">
        <v>96</v>
      </c>
      <c r="F10668" s="23" t="str">
        <f>HYPERLINK("https://www.spark-marketing.ru/Card/Lot/72343074", "Услуга по питанию, 1 шт")</f>
        <v>Услуга по питанию, 1 шт</v>
      </c>
      <c r="G10668" s="22" t="s">
        <v>277</v>
      </c>
      <c r="H10668" s="22" t="s">
        <v>278</v>
      </c>
      <c r="I10668" s="26">
        <v>43671.668159722198</v>
      </c>
      <c r="J10668" s="28" t="s">
        <v>51</v>
      </c>
      <c r="K10668" s="28" t="s">
        <v>51</v>
      </c>
      <c r="L10668" s="28" t="s">
        <v>51</v>
      </c>
      <c r="M10668" s="28" t="s">
        <v>51</v>
      </c>
      <c r="N10668" s="28" t="s">
        <v>51</v>
      </c>
    </row>
    <row r="10669" spans="1:14" x14ac:dyDescent="0.15">
      <c r="A10669" s="23" t="str">
        <f>HYPERLINK("https://www.spark-marketing.ru/Card/Person/50743", "МП ""ДЕТСКОЕ ПИТАНИЕ""")</f>
        <v>МП "ДЕТСКОЕ ПИТАНИЕ"</v>
      </c>
      <c r="B10669" s="24" t="s">
        <v>1562</v>
      </c>
      <c r="C10669" s="25">
        <v>642337</v>
      </c>
      <c r="D10669" s="22" t="s">
        <v>15058</v>
      </c>
      <c r="E10669" s="22" t="s">
        <v>3064</v>
      </c>
      <c r="F10669" s="23" t="str">
        <f>HYPERLINK("https://www.spark-marketing.ru/Card/Lot/72355921", "Лот №3 Поставка сухофруктов для оказания услуг по предоставлению питания школьникам.")</f>
        <v>Лот №3 Поставка сухофруктов для оказания услуг по предоставлению питания школьникам.</v>
      </c>
      <c r="G10669" s="22" t="s">
        <v>1522</v>
      </c>
      <c r="H10669" s="22" t="s">
        <v>1523</v>
      </c>
      <c r="I10669" s="26">
        <v>43671.705879629597</v>
      </c>
      <c r="J10669" s="28" t="s">
        <v>51</v>
      </c>
      <c r="K10669" s="28" t="s">
        <v>51</v>
      </c>
      <c r="L10669" s="28" t="s">
        <v>51</v>
      </c>
      <c r="M10669" s="28" t="s">
        <v>51</v>
      </c>
      <c r="N10669" s="28" t="s">
        <v>51</v>
      </c>
    </row>
    <row r="10670" spans="1:14" x14ac:dyDescent="0.2">
      <c r="A10670" s="23" t="str">
        <f>HYPERLINK("https://www.spark-marketing.ru/Card/Person/16510", "ФГБОУ ВО СЗГМУ ИМ. И.И. МЕЧНИКОВА МИНЗДРАВА РОССИИ")</f>
        <v>ФГБОУ ВО СЗГМУ ИМ. И.И. МЕЧНИКОВА МИНЗДРАВА РОССИИ</v>
      </c>
      <c r="B10670" s="24" t="s">
        <v>9564</v>
      </c>
      <c r="C10670" s="25">
        <v>795000</v>
      </c>
      <c r="D10670" s="22" t="s">
        <v>15059</v>
      </c>
      <c r="E10670" s="22" t="s">
        <v>362</v>
      </c>
      <c r="F10670" s="23" t="str">
        <f>HYPERLINK("https://www.spark-marketing.ru/Card/Lot/72354164", "Оказаниее услуг по организации завтраков (шведский стол) 2 полугодие в общежитии ФГБОУ ВО СЗГМУ им. И.И. Мечникова Минздрава России")</f>
        <v>Оказаниее услуг по организации завтраков (шведский стол) 2 полугодие в общежитии ФГБОУ ВО СЗГМУ им. И.И. Мечникова Минздрава России</v>
      </c>
      <c r="G10670" s="22" t="s">
        <v>117</v>
      </c>
      <c r="H10670" s="22" t="s">
        <v>117</v>
      </c>
      <c r="I10670" s="26">
        <v>43671.705150463</v>
      </c>
      <c r="J10670" s="28" t="s">
        <v>51</v>
      </c>
      <c r="K10670" s="28" t="s">
        <v>51</v>
      </c>
      <c r="L10670" s="28" t="s">
        <v>51</v>
      </c>
      <c r="M10670" s="25">
        <v>787050</v>
      </c>
      <c r="N10670" s="27">
        <v>0.01</v>
      </c>
    </row>
    <row r="10671" spans="1:14" x14ac:dyDescent="0.15">
      <c r="A10671" s="23" t="str">
        <f>HYPERLINK("https://www.spark-marketing.ru/Card/Person/2086250", "КАЗ ФЛ ФГБОУ ВО ""ВГУВТ""")</f>
        <v>КАЗ ФЛ ФГБОУ ВО "ВГУВТ"</v>
      </c>
      <c r="B10671" s="24" t="s">
        <v>7095</v>
      </c>
      <c r="C10671" s="25">
        <v>3541243.97</v>
      </c>
      <c r="D10671" s="22" t="s">
        <v>15060</v>
      </c>
      <c r="E10671" s="22" t="s">
        <v>48</v>
      </c>
      <c r="F10671" s="23" t="str">
        <f>HYPERLINK("https://www.spark-marketing.ru/Card/Lot/72349856", "Оказание услуг по обеспечению горячим питанием студентов")</f>
        <v>Оказание услуг по обеспечению горячим питанием студентов</v>
      </c>
      <c r="G10671" s="22" t="s">
        <v>217</v>
      </c>
      <c r="H10671" s="22" t="s">
        <v>937</v>
      </c>
      <c r="I10671" s="26">
        <v>43671.6725462963</v>
      </c>
      <c r="J10671" s="28" t="s">
        <v>51</v>
      </c>
      <c r="K10671" s="28" t="s">
        <v>51</v>
      </c>
      <c r="L10671" s="28" t="s">
        <v>51</v>
      </c>
      <c r="M10671" s="28" t="s">
        <v>51</v>
      </c>
      <c r="N10671" s="28" t="s">
        <v>51</v>
      </c>
    </row>
    <row r="10672" spans="1:14" hidden="1" outlineLevel="1" x14ac:dyDescent="0.2">
      <c r="A10672" s="23" t="str">
        <f>HYPERLINK("https://www.spark-marketing.ru/Card/Person/2086250", "КАЗ ФЛ ФГБОУ ВО ""ВГУВТ""")</f>
        <v>КАЗ ФЛ ФГБОУ ВО "ВГУВТ"</v>
      </c>
      <c r="B10672" s="24" t="s">
        <v>7095</v>
      </c>
      <c r="C10672" s="25">
        <v>3541243.97</v>
      </c>
      <c r="D10672" s="22" t="s">
        <v>15060</v>
      </c>
      <c r="E10672" s="22" t="s">
        <v>48</v>
      </c>
      <c r="F10672" s="23" t="str">
        <f>HYPERLINK("https://www.spark-marketing.ru/Card/Lot/72349856", "Оказание услуг по обеспечению горячим питанием студентов")</f>
        <v>Оказание услуг по обеспечению горячим питанием студентов</v>
      </c>
      <c r="G10672" s="22" t="s">
        <v>217</v>
      </c>
      <c r="H10672" s="22" t="s">
        <v>937</v>
      </c>
      <c r="I10672" s="26">
        <v>43671.6725462963</v>
      </c>
      <c r="J10672" s="23" t="str">
        <f>HYPERLINK("https://www.spark-marketing.ru/Card/Person/4885171", "Гараева Ильсияр Ильдусовна")</f>
        <v>Гараева Ильсияр Ильдусовна</v>
      </c>
      <c r="K10672" s="24" t="s">
        <v>15061</v>
      </c>
      <c r="L10672" s="28" t="s">
        <v>51</v>
      </c>
      <c r="M10672" s="25">
        <v>3169413.35</v>
      </c>
      <c r="N10672" s="27">
        <v>0.10500000088951793</v>
      </c>
    </row>
    <row r="10673" spans="1:14" ht="12.75" hidden="1" outlineLevel="1" x14ac:dyDescent="0.2">
      <c r="A10673" s="23" t="str">
        <f>HYPERLINK("https://www.spark-marketing.ru/Card/Person/2086250", "КАЗ ФЛ ФГБОУ ВО ""ВГУВТ""")</f>
        <v>КАЗ ФЛ ФГБОУ ВО "ВГУВТ"</v>
      </c>
      <c r="B10673" s="24" t="s">
        <v>7095</v>
      </c>
      <c r="C10673" s="25">
        <v>3541243.97</v>
      </c>
      <c r="D10673" s="22" t="s">
        <v>15060</v>
      </c>
      <c r="E10673" s="22" t="s">
        <v>48</v>
      </c>
      <c r="F10673" s="23" t="str">
        <f>HYPERLINK("https://www.spark-marketing.ru/Card/Lot/72349856", "Оказание услуг по обеспечению горячим питанием студентов")</f>
        <v>Оказание услуг по обеспечению горячим питанием студентов</v>
      </c>
      <c r="G10673" s="22" t="s">
        <v>217</v>
      </c>
      <c r="H10673" s="22" t="s">
        <v>937</v>
      </c>
      <c r="I10673" s="26">
        <v>43671.6725462963</v>
      </c>
      <c r="J10673" s="23" t="str">
        <f>HYPERLINK("https://www.spark-marketing.ru/Card/Person/6084653", "ООО ""ВИТАРА""")</f>
        <v>ООО "ВИТАРА"</v>
      </c>
      <c r="K10673" s="24" t="s">
        <v>2437</v>
      </c>
      <c r="L10673" s="22" t="s">
        <v>10</v>
      </c>
      <c r="M10673" s="25">
        <v>1768525.78</v>
      </c>
      <c r="N10673" s="27">
        <v>0.50059194029492415</v>
      </c>
    </row>
    <row r="10674" spans="1:14" hidden="1" outlineLevel="1" x14ac:dyDescent="0.2">
      <c r="A10674" s="23" t="str">
        <f>HYPERLINK("https://www.spark-marketing.ru/Card/Person/2086250", "КАЗ ФЛ ФГБОУ ВО ""ВГУВТ""")</f>
        <v>КАЗ ФЛ ФГБОУ ВО "ВГУВТ"</v>
      </c>
      <c r="B10674" s="24" t="s">
        <v>7095</v>
      </c>
      <c r="C10674" s="25">
        <v>3541243.97</v>
      </c>
      <c r="D10674" s="22" t="s">
        <v>15060</v>
      </c>
      <c r="E10674" s="22" t="s">
        <v>48</v>
      </c>
      <c r="F10674" s="23" t="str">
        <f>HYPERLINK("https://www.spark-marketing.ru/Card/Lot/72349856", "Оказание услуг по обеспечению горячим питанием студентов")</f>
        <v>Оказание услуг по обеспечению горячим питанием студентов</v>
      </c>
      <c r="G10674" s="22" t="s">
        <v>217</v>
      </c>
      <c r="H10674" s="22" t="s">
        <v>937</v>
      </c>
      <c r="I10674" s="26">
        <v>43671.6725462963</v>
      </c>
      <c r="J10674" s="23" t="str">
        <f>HYPERLINK("https://www.spark-marketing.ru/Card/Person/5895498", "ООО ""ТРАПЕЗА КОМПАНИ""")</f>
        <v>ООО "ТРАПЕЗА КОМПАНИ"</v>
      </c>
      <c r="K10674" s="24" t="s">
        <v>14538</v>
      </c>
      <c r="L10674" s="28" t="s">
        <v>51</v>
      </c>
      <c r="M10674" s="25">
        <v>2866312.2</v>
      </c>
      <c r="N10674" s="27">
        <v>0.19059171740714606</v>
      </c>
    </row>
    <row r="10675" spans="1:14" hidden="1" outlineLevel="1" x14ac:dyDescent="0.2">
      <c r="A10675" s="23" t="str">
        <f>HYPERLINK("https://www.spark-marketing.ru/Card/Person/2086250", "КАЗ ФЛ ФГБОУ ВО ""ВГУВТ""")</f>
        <v>КАЗ ФЛ ФГБОУ ВО "ВГУВТ"</v>
      </c>
      <c r="B10675" s="24" t="s">
        <v>7095</v>
      </c>
      <c r="C10675" s="25">
        <v>3541243.97</v>
      </c>
      <c r="D10675" s="22" t="s">
        <v>15060</v>
      </c>
      <c r="E10675" s="22" t="s">
        <v>48</v>
      </c>
      <c r="F10675" s="23" t="str">
        <f>HYPERLINK("https://www.spark-marketing.ru/Card/Lot/72349856", "Оказание услуг по обеспечению горячим питанием студентов")</f>
        <v>Оказание услуг по обеспечению горячим питанием студентов</v>
      </c>
      <c r="G10675" s="22" t="s">
        <v>217</v>
      </c>
      <c r="H10675" s="22" t="s">
        <v>937</v>
      </c>
      <c r="I10675" s="26">
        <v>43671.6725462963</v>
      </c>
      <c r="J10675" s="23" t="str">
        <f>HYPERLINK("https://www.spark-marketing.ru/Card/Person/6682069", "ООО ""САРА""")</f>
        <v>ООО "САРА"</v>
      </c>
      <c r="K10675" s="24" t="s">
        <v>15062</v>
      </c>
      <c r="L10675" s="28" t="s">
        <v>51</v>
      </c>
      <c r="M10675" s="25">
        <v>1786232</v>
      </c>
      <c r="N10675" s="27">
        <v>0.49559194025256609</v>
      </c>
    </row>
    <row r="10676" spans="1:14" x14ac:dyDescent="0.2">
      <c r="A10676" s="23" t="s">
        <v>114</v>
      </c>
      <c r="B10676" s="28" t="s">
        <v>51</v>
      </c>
      <c r="C10676" s="25">
        <v>5577594.1500000004</v>
      </c>
      <c r="D10676" s="22" t="s">
        <v>15063</v>
      </c>
      <c r="E10676" s="22" t="s">
        <v>48</v>
      </c>
      <c r="F10676" s="23" t="str">
        <f t="shared" ref="F10676:F10700" si="277">HYPERLINK("https://www.spark-marketing.ru/Card/Lot/72349614", "Услуги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классов.")</f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76" s="22" t="s">
        <v>51</v>
      </c>
      <c r="H10676" s="22" t="s">
        <v>51</v>
      </c>
      <c r="I10676" s="26">
        <v>43671.683333333298</v>
      </c>
      <c r="J10676" s="23" t="str">
        <f t="shared" ref="J10676:J10700" si="278">HYPERLINK("https://www.spark-marketing.ru/Card/Person/529633", "ООО ""ФОРМУЛА ВКУСА""")</f>
        <v>ООО "ФОРМУЛА ВКУСА"</v>
      </c>
      <c r="K10676" s="24" t="s">
        <v>15064</v>
      </c>
      <c r="L10676" s="28" t="s">
        <v>51</v>
      </c>
      <c r="M10676" s="25">
        <v>5577594.1500000004</v>
      </c>
      <c r="N10676" s="27">
        <v>0</v>
      </c>
    </row>
    <row r="10677" spans="1:14" hidden="1" outlineLevel="1" x14ac:dyDescent="0.2">
      <c r="A10677" s="23" t="str">
        <f>HYPERLINK("https://www.spark-marketing.ru/Card/Person/94976", "МБОУ СОШ № 21 ИМЕНИ ЛЕТЧИКА ИГОРЯ ЩИПАНОВА СТ-ЦЫ ЯСЕНСКОЙ МО ЕЙСКИЙ РАЙОН")</f>
        <v>МБОУ СОШ № 21 ИМЕНИ ЛЕТЧИКА ИГОРЯ ЩИПАНОВА СТ-ЦЫ ЯСЕНСКОЙ МО ЕЙСКИЙ РАЙОН</v>
      </c>
      <c r="B10677" s="24" t="s">
        <v>15065</v>
      </c>
      <c r="C10677" s="25">
        <v>326008.09999999998</v>
      </c>
      <c r="D10677" s="22" t="s">
        <v>15063</v>
      </c>
      <c r="E10677" s="22" t="s">
        <v>48</v>
      </c>
      <c r="F10677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77" s="22" t="s">
        <v>104</v>
      </c>
      <c r="H10677" s="22" t="s">
        <v>104</v>
      </c>
      <c r="I10677" s="26">
        <v>43671.683333333298</v>
      </c>
      <c r="J10677" s="23" t="str">
        <f t="shared" si="278"/>
        <v>ООО "ФОРМУЛА ВКУСА"</v>
      </c>
      <c r="K10677" s="24" t="s">
        <v>15064</v>
      </c>
      <c r="L10677" s="28" t="s">
        <v>51</v>
      </c>
      <c r="M10677" s="28" t="s">
        <v>51</v>
      </c>
      <c r="N10677" s="27">
        <v>0</v>
      </c>
    </row>
    <row r="10678" spans="1:14" hidden="1" outlineLevel="1" x14ac:dyDescent="0.2">
      <c r="A10678" s="23" t="str">
        <f>HYPERLINK("https://www.spark-marketing.ru/Card/Person/95134", "МБОУ СОШ № 6 ИМ. А.П. СОРОКИ СТ-ЦЫ КАМЫШЕВАТСКОЙ МО ЕЙСКИЙ РАЙОН")</f>
        <v>МБОУ СОШ № 6 ИМ. А.П. СОРОКИ СТ-ЦЫ КАМЫШЕВАТСКОЙ МО ЕЙСКИЙ РАЙОН</v>
      </c>
      <c r="B10678" s="24" t="s">
        <v>15066</v>
      </c>
      <c r="C10678" s="25">
        <v>183142.5</v>
      </c>
      <c r="D10678" s="22" t="s">
        <v>15063</v>
      </c>
      <c r="E10678" s="22" t="s">
        <v>48</v>
      </c>
      <c r="F10678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78" s="22" t="s">
        <v>104</v>
      </c>
      <c r="H10678" s="22" t="s">
        <v>104</v>
      </c>
      <c r="I10678" s="26">
        <v>43671.683333333298</v>
      </c>
      <c r="J10678" s="23" t="str">
        <f t="shared" si="278"/>
        <v>ООО "ФОРМУЛА ВКУСА"</v>
      </c>
      <c r="K10678" s="24" t="s">
        <v>15064</v>
      </c>
      <c r="L10678" s="28" t="s">
        <v>51</v>
      </c>
      <c r="M10678" s="28" t="s">
        <v>51</v>
      </c>
      <c r="N10678" s="27">
        <v>0</v>
      </c>
    </row>
    <row r="10679" spans="1:14" hidden="1" outlineLevel="1" x14ac:dyDescent="0.2">
      <c r="A10679" s="23" t="str">
        <f>HYPERLINK("https://www.spark-marketing.ru/Card/Person/105934", "МБОУ СОШ № 2 ИМЕНИ ГЕРОЯ СОВЕТСКОГО СОЮЗА А.В.ЛЯПИДЕВСКОГО Г. ЕЙСКА МО ЕЙСКИЙ РАЙОН")</f>
        <v>МБОУ СОШ № 2 ИМЕНИ ГЕРОЯ СОВЕТСКОГО СОЮЗА А.В.ЛЯПИДЕВСКОГО Г. ЕЙСКА МО ЕЙСКИЙ РАЙОН</v>
      </c>
      <c r="B10679" s="24" t="s">
        <v>15067</v>
      </c>
      <c r="C10679" s="25">
        <v>459430.35</v>
      </c>
      <c r="D10679" s="22" t="s">
        <v>15063</v>
      </c>
      <c r="E10679" s="22" t="s">
        <v>48</v>
      </c>
      <c r="F10679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79" s="22" t="s">
        <v>104</v>
      </c>
      <c r="H10679" s="22" t="s">
        <v>104</v>
      </c>
      <c r="I10679" s="26">
        <v>43671.683333333298</v>
      </c>
      <c r="J10679" s="23" t="str">
        <f t="shared" si="278"/>
        <v>ООО "ФОРМУЛА ВКУСА"</v>
      </c>
      <c r="K10679" s="24" t="s">
        <v>15064</v>
      </c>
      <c r="L10679" s="28" t="s">
        <v>51</v>
      </c>
      <c r="M10679" s="28" t="s">
        <v>51</v>
      </c>
      <c r="N10679" s="27">
        <v>0</v>
      </c>
    </row>
    <row r="10680" spans="1:14" hidden="1" outlineLevel="1" x14ac:dyDescent="0.2">
      <c r="A10680" s="23" t="str">
        <f>HYPERLINK("https://www.spark-marketing.ru/Card/Person/111765", "МБОУ СОШ № 7 ИМ. ИСТОРИКА, ПРОФЕССОРА Н. И. ПАВЛЕНКО Н. ЕЙСКА МО ЕЙСКИЙ РАЙОН")</f>
        <v>МБОУ СОШ № 7 ИМ. ИСТОРИКА, ПРОФЕССОРА Н. И. ПАВЛЕНКО Н. ЕЙСКА МО ЕЙСКИЙ РАЙОН</v>
      </c>
      <c r="B10680" s="24" t="s">
        <v>15068</v>
      </c>
      <c r="C10680" s="25">
        <v>453874.3</v>
      </c>
      <c r="D10680" s="22" t="s">
        <v>15063</v>
      </c>
      <c r="E10680" s="22" t="s">
        <v>48</v>
      </c>
      <c r="F10680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80" s="22" t="s">
        <v>104</v>
      </c>
      <c r="H10680" s="22" t="s">
        <v>104</v>
      </c>
      <c r="I10680" s="26">
        <v>43671.683333333298</v>
      </c>
      <c r="J10680" s="23" t="str">
        <f t="shared" si="278"/>
        <v>ООО "ФОРМУЛА ВКУСА"</v>
      </c>
      <c r="K10680" s="24" t="s">
        <v>15064</v>
      </c>
      <c r="L10680" s="28" t="s">
        <v>51</v>
      </c>
      <c r="M10680" s="28" t="s">
        <v>51</v>
      </c>
      <c r="N10680" s="27">
        <v>0</v>
      </c>
    </row>
    <row r="10681" spans="1:14" hidden="1" outlineLevel="1" x14ac:dyDescent="0.2">
      <c r="A10681" s="23" t="str">
        <f>HYPERLINK("https://www.spark-marketing.ru/Card/Person/111832", "МБОУ ЛИЦЕЙ №4 ИМ. ПРОФЕССОРА Е.А.КОТЕНКО Г. ЕЙСКА МО ЕЙСКИЙ РАЙОН")</f>
        <v>МБОУ ЛИЦЕЙ №4 ИМ. ПРОФЕССОРА Е.А.КОТЕНКО Г. ЕЙСКА МО ЕЙСКИЙ РАЙОН</v>
      </c>
      <c r="B10681" s="24" t="s">
        <v>15069</v>
      </c>
      <c r="C10681" s="25">
        <v>450416.8</v>
      </c>
      <c r="D10681" s="22" t="s">
        <v>15063</v>
      </c>
      <c r="E10681" s="22" t="s">
        <v>48</v>
      </c>
      <c r="F10681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81" s="22" t="s">
        <v>104</v>
      </c>
      <c r="H10681" s="22" t="s">
        <v>104</v>
      </c>
      <c r="I10681" s="26">
        <v>43671.683333333298</v>
      </c>
      <c r="J10681" s="23" t="str">
        <f t="shared" si="278"/>
        <v>ООО "ФОРМУЛА ВКУСА"</v>
      </c>
      <c r="K10681" s="24" t="s">
        <v>15064</v>
      </c>
      <c r="L10681" s="28" t="s">
        <v>51</v>
      </c>
      <c r="M10681" s="28" t="s">
        <v>51</v>
      </c>
      <c r="N10681" s="27">
        <v>0</v>
      </c>
    </row>
    <row r="10682" spans="1:14" hidden="1" outlineLevel="1" x14ac:dyDescent="0.2">
      <c r="A10682" s="23" t="str">
        <f>HYPERLINK("https://www.spark-marketing.ru/Card/Person/147201", "МБОУ ГИМНАЗИЯ № 14 ИМ. Ю.А. ГАГАРИНА Г. ЕЙСКА МО ЕЙСКИЙ РАЙОН")</f>
        <v>МБОУ ГИМНАЗИЯ № 14 ИМ. Ю.А. ГАГАРИНА Г. ЕЙСКА МО ЕЙСКИЙ РАЙОН</v>
      </c>
      <c r="B10682" s="24" t="s">
        <v>15070</v>
      </c>
      <c r="C10682" s="25">
        <v>460091.2</v>
      </c>
      <c r="D10682" s="22" t="s">
        <v>15063</v>
      </c>
      <c r="E10682" s="22" t="s">
        <v>48</v>
      </c>
      <c r="F10682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82" s="22" t="s">
        <v>104</v>
      </c>
      <c r="H10682" s="22" t="s">
        <v>104</v>
      </c>
      <c r="I10682" s="26">
        <v>43671.683333333298</v>
      </c>
      <c r="J10682" s="23" t="str">
        <f t="shared" si="278"/>
        <v>ООО "ФОРМУЛА ВКУСА"</v>
      </c>
      <c r="K10682" s="24" t="s">
        <v>15064</v>
      </c>
      <c r="L10682" s="28" t="s">
        <v>51</v>
      </c>
      <c r="M10682" s="28" t="s">
        <v>51</v>
      </c>
      <c r="N10682" s="27">
        <v>0</v>
      </c>
    </row>
    <row r="10683" spans="1:14" hidden="1" outlineLevel="1" x14ac:dyDescent="0.2">
      <c r="A10683" s="23" t="str">
        <f>HYPERLINK("https://www.spark-marketing.ru/Card/Person/240526", "МБОУ СОШ № 3 ИМ. ГЕНЕРАЛ-ФЕЛЬДМАРШАЛА М. С. ВОРОНЦОВА Г. ЕЙСКА МО ЕЙСКИЙ РАЙОН")</f>
        <v>МБОУ СОШ № 3 ИМ. ГЕНЕРАЛ-ФЕЛЬДМАРШАЛА М. С. ВОРОНЦОВА Г. ЕЙСКА МО ЕЙСКИЙ РАЙОН</v>
      </c>
      <c r="B10683" s="24" t="s">
        <v>15071</v>
      </c>
      <c r="C10683" s="25">
        <v>215730.15</v>
      </c>
      <c r="D10683" s="22" t="s">
        <v>15063</v>
      </c>
      <c r="E10683" s="22" t="s">
        <v>48</v>
      </c>
      <c r="F10683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83" s="22" t="s">
        <v>104</v>
      </c>
      <c r="H10683" s="22" t="s">
        <v>104</v>
      </c>
      <c r="I10683" s="26">
        <v>43671.683333333298</v>
      </c>
      <c r="J10683" s="23" t="str">
        <f t="shared" si="278"/>
        <v>ООО "ФОРМУЛА ВКУСА"</v>
      </c>
      <c r="K10683" s="24" t="s">
        <v>15064</v>
      </c>
      <c r="L10683" s="28" t="s">
        <v>51</v>
      </c>
      <c r="M10683" s="28" t="s">
        <v>51</v>
      </c>
      <c r="N10683" s="27">
        <v>0</v>
      </c>
    </row>
    <row r="10684" spans="1:14" hidden="1" outlineLevel="1" x14ac:dyDescent="0.2">
      <c r="A10684" s="23" t="str">
        <f>HYPERLINK("https://www.spark-marketing.ru/Card/Person/881632", "МБОУ СОШ № 25 ИМ. ТРИЖДЫ ГЕРОЯ СОВЕТСКОГО СОЮЗА А.И. ПОКРЫШКИНА СТ-ЦЫ ДОЛЖАНСКОЙ МО ЕЙСКИЙ РАЙОН")</f>
        <v>МБОУ СОШ № 25 ИМ. ТРИЖДЫ ГЕРОЯ СОВЕТСКОГО СОЮЗА А.И. ПОКРЫШКИНА СТ-ЦЫ ДОЛЖАНСКОЙ МО ЕЙСКИЙ РАЙОН</v>
      </c>
      <c r="B10684" s="24" t="s">
        <v>15072</v>
      </c>
      <c r="C10684" s="25">
        <v>239278.2</v>
      </c>
      <c r="D10684" s="22" t="s">
        <v>15063</v>
      </c>
      <c r="E10684" s="22" t="s">
        <v>48</v>
      </c>
      <c r="F10684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84" s="22" t="s">
        <v>104</v>
      </c>
      <c r="H10684" s="22" t="s">
        <v>104</v>
      </c>
      <c r="I10684" s="26">
        <v>43671.683333333298</v>
      </c>
      <c r="J10684" s="23" t="str">
        <f t="shared" si="278"/>
        <v>ООО "ФОРМУЛА ВКУСА"</v>
      </c>
      <c r="K10684" s="24" t="s">
        <v>15064</v>
      </c>
      <c r="L10684" s="28" t="s">
        <v>51</v>
      </c>
      <c r="M10684" s="28" t="s">
        <v>51</v>
      </c>
      <c r="N10684" s="27">
        <v>0</v>
      </c>
    </row>
    <row r="10685" spans="1:14" hidden="1" outlineLevel="1" x14ac:dyDescent="0.2">
      <c r="A10685" s="23" t="str">
        <f>HYPERLINK("https://www.spark-marketing.ru/Card/Person/883097", "МБОУ СОШ № 22 П. ОКТЯБРЬСКИЙ МО ЕЙСКИЙ РАЙОН")</f>
        <v>МБОУ СОШ № 22 П. ОКТЯБРЬСКИЙ МО ЕЙСКИЙ РАЙОН</v>
      </c>
      <c r="B10685" s="24" t="s">
        <v>15073</v>
      </c>
      <c r="C10685" s="25">
        <v>225435.1</v>
      </c>
      <c r="D10685" s="22" t="s">
        <v>15063</v>
      </c>
      <c r="E10685" s="22" t="s">
        <v>48</v>
      </c>
      <c r="F10685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85" s="22" t="s">
        <v>104</v>
      </c>
      <c r="H10685" s="22" t="s">
        <v>104</v>
      </c>
      <c r="I10685" s="26">
        <v>43671.683333333298</v>
      </c>
      <c r="J10685" s="23" t="str">
        <f t="shared" si="278"/>
        <v>ООО "ФОРМУЛА ВКУСА"</v>
      </c>
      <c r="K10685" s="24" t="s">
        <v>15064</v>
      </c>
      <c r="L10685" s="28" t="s">
        <v>51</v>
      </c>
      <c r="M10685" s="28" t="s">
        <v>51</v>
      </c>
      <c r="N10685" s="27">
        <v>0</v>
      </c>
    </row>
    <row r="10686" spans="1:14" hidden="1" outlineLevel="1" x14ac:dyDescent="0.2">
      <c r="A10686" s="23" t="str">
        <f>HYPERLINK("https://www.spark-marketing.ru/Card/Person/885249", "МБОУ ООШ № 26 ИМ. И.А. ПУЛИНА СТ-ЦЫ ДОЛЖАНСКОЙ МО ЕЙСКИЙ РАЙОН")</f>
        <v>МБОУ ООШ № 26 ИМ. И.А. ПУЛИНА СТ-ЦЫ ДОЛЖАНСКОЙ МО ЕЙСКИЙ РАЙОН</v>
      </c>
      <c r="B10686" s="24" t="s">
        <v>15074</v>
      </c>
      <c r="C10686" s="25">
        <v>103796.4</v>
      </c>
      <c r="D10686" s="22" t="s">
        <v>15063</v>
      </c>
      <c r="E10686" s="22" t="s">
        <v>48</v>
      </c>
      <c r="F10686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86" s="22" t="s">
        <v>104</v>
      </c>
      <c r="H10686" s="22" t="s">
        <v>104</v>
      </c>
      <c r="I10686" s="26">
        <v>43671.683333333298</v>
      </c>
      <c r="J10686" s="23" t="str">
        <f t="shared" si="278"/>
        <v>ООО "ФОРМУЛА ВКУСА"</v>
      </c>
      <c r="K10686" s="24" t="s">
        <v>15064</v>
      </c>
      <c r="L10686" s="28" t="s">
        <v>51</v>
      </c>
      <c r="M10686" s="28" t="s">
        <v>51</v>
      </c>
      <c r="N10686" s="27">
        <v>0</v>
      </c>
    </row>
    <row r="10687" spans="1:14" hidden="1" outlineLevel="1" x14ac:dyDescent="0.2">
      <c r="A10687" s="23" t="str">
        <f>HYPERLINK("https://www.spark-marketing.ru/Card/Person/885516", "МБОУ СОШ № 24 ИМ. КАВАЛЕРА ОРДЕНА МУЖЕСТВА Е. ЛАЗАРЕВА С. АЛЕКСАНДРОВКА МО ЕЙСКИЙ РАЙОН")</f>
        <v>МБОУ СОШ № 24 ИМ. КАВАЛЕРА ОРДЕНА МУЖЕСТВА Е. ЛАЗАРЕВА С. АЛЕКСАНДРОВКА МО ЕЙСКИЙ РАЙОН</v>
      </c>
      <c r="B10687" s="24" t="s">
        <v>15075</v>
      </c>
      <c r="C10687" s="25">
        <v>246737.05</v>
      </c>
      <c r="D10687" s="22" t="s">
        <v>15063</v>
      </c>
      <c r="E10687" s="22" t="s">
        <v>48</v>
      </c>
      <c r="F10687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87" s="22" t="s">
        <v>104</v>
      </c>
      <c r="H10687" s="22" t="s">
        <v>104</v>
      </c>
      <c r="I10687" s="26">
        <v>43671.683333333298</v>
      </c>
      <c r="J10687" s="23" t="str">
        <f t="shared" si="278"/>
        <v>ООО "ФОРМУЛА ВКУСА"</v>
      </c>
      <c r="K10687" s="24" t="s">
        <v>15064</v>
      </c>
      <c r="L10687" s="28" t="s">
        <v>51</v>
      </c>
      <c r="M10687" s="28" t="s">
        <v>51</v>
      </c>
      <c r="N10687" s="27">
        <v>0</v>
      </c>
    </row>
    <row r="10688" spans="1:14" hidden="1" outlineLevel="1" x14ac:dyDescent="0.2">
      <c r="A10688" s="23" t="str">
        <f>HYPERLINK("https://www.spark-marketing.ru/Card/Person/885857", "МБОУ СОШ № 20 ИМ. ГЕРОЯ СОВЕТСКОГО СОЮЗА И.В. ГАВРИЛОВА Г. ЕЙСКА МО ЕЙСКИЙ РАЙОН")</f>
        <v>МБОУ СОШ № 20 ИМ. ГЕРОЯ СОВЕТСКОГО СОЮЗА И.В. ГАВРИЛОВА Г. ЕЙСКА МО ЕЙСКИЙ РАЙОН</v>
      </c>
      <c r="B10688" s="24" t="s">
        <v>15076</v>
      </c>
      <c r="C10688" s="25">
        <v>299539.65000000002</v>
      </c>
      <c r="D10688" s="22" t="s">
        <v>15063</v>
      </c>
      <c r="E10688" s="22" t="s">
        <v>48</v>
      </c>
      <c r="F10688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88" s="22" t="s">
        <v>104</v>
      </c>
      <c r="H10688" s="22" t="s">
        <v>104</v>
      </c>
      <c r="I10688" s="26">
        <v>43671.683333333298</v>
      </c>
      <c r="J10688" s="23" t="str">
        <f t="shared" si="278"/>
        <v>ООО "ФОРМУЛА ВКУСА"</v>
      </c>
      <c r="K10688" s="24" t="s">
        <v>15064</v>
      </c>
      <c r="L10688" s="28" t="s">
        <v>51</v>
      </c>
      <c r="M10688" s="28" t="s">
        <v>51</v>
      </c>
      <c r="N10688" s="27">
        <v>0</v>
      </c>
    </row>
    <row r="10689" spans="1:14" hidden="1" outlineLevel="1" x14ac:dyDescent="0.2">
      <c r="A10689" s="23" t="str">
        <f>HYPERLINK("https://www.spark-marketing.ru/Card/Person/887884", "МБОУ ООШ № 5 ИМЕНИ ГЕРОЯ СОВЕТСКОГО СОЮЗА П.А.МИХАЙЛИЧЕНКО Г. ЕЙСКА МО ЕЙСКИЙ РАЙОН")</f>
        <v>МБОУ ООШ № 5 ИМЕНИ ГЕРОЯ СОВЕТСКОГО СОЮЗА П.А.МИХАЙЛИЧЕНКО Г. ЕЙСКА МО ЕЙСКИЙ РАЙОН</v>
      </c>
      <c r="B10689" s="24" t="s">
        <v>15077</v>
      </c>
      <c r="C10689" s="25">
        <v>118591.9</v>
      </c>
      <c r="D10689" s="22" t="s">
        <v>15063</v>
      </c>
      <c r="E10689" s="22" t="s">
        <v>48</v>
      </c>
      <c r="F10689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89" s="22" t="s">
        <v>104</v>
      </c>
      <c r="H10689" s="22" t="s">
        <v>104</v>
      </c>
      <c r="I10689" s="26">
        <v>43671.683333333298</v>
      </c>
      <c r="J10689" s="23" t="str">
        <f t="shared" si="278"/>
        <v>ООО "ФОРМУЛА ВКУСА"</v>
      </c>
      <c r="K10689" s="24" t="s">
        <v>15064</v>
      </c>
      <c r="L10689" s="28" t="s">
        <v>51</v>
      </c>
      <c r="M10689" s="28" t="s">
        <v>51</v>
      </c>
      <c r="N10689" s="27">
        <v>0</v>
      </c>
    </row>
    <row r="10690" spans="1:14" hidden="1" outlineLevel="1" x14ac:dyDescent="0.2">
      <c r="A10690" s="23" t="str">
        <f>HYPERLINK("https://www.spark-marketing.ru/Card/Person/889662", "МБОУ СОШ № 1 ИМ. С. СОБОЛЯ Г. ЕЙСКА МО ЕЙСКИЙ РАЙОН")</f>
        <v>МБОУ СОШ № 1 ИМ. С. СОБОЛЯ Г. ЕЙСКА МО ЕЙСКИЙ РАЙОН</v>
      </c>
      <c r="B10690" s="24" t="s">
        <v>15078</v>
      </c>
      <c r="C10690" s="25">
        <v>329043.25</v>
      </c>
      <c r="D10690" s="22" t="s">
        <v>15063</v>
      </c>
      <c r="E10690" s="22" t="s">
        <v>48</v>
      </c>
      <c r="F10690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90" s="22" t="s">
        <v>104</v>
      </c>
      <c r="H10690" s="22" t="s">
        <v>104</v>
      </c>
      <c r="I10690" s="26">
        <v>43671.683333333298</v>
      </c>
      <c r="J10690" s="23" t="str">
        <f t="shared" si="278"/>
        <v>ООО "ФОРМУЛА ВКУСА"</v>
      </c>
      <c r="K10690" s="24" t="s">
        <v>15064</v>
      </c>
      <c r="L10690" s="28" t="s">
        <v>51</v>
      </c>
      <c r="M10690" s="28" t="s">
        <v>51</v>
      </c>
      <c r="N10690" s="27">
        <v>0</v>
      </c>
    </row>
    <row r="10691" spans="1:14" hidden="1" outlineLevel="1" x14ac:dyDescent="0.2">
      <c r="A10691" s="23" t="str">
        <f>HYPERLINK("https://www.spark-marketing.ru/Card/Person/890077", "МБОУ ООШ № 13 П. ЯСЕНСКАЯ ПЕРЕПРАВА МО ЕЙСКИЙ РАЙОН")</f>
        <v>МБОУ ООШ № 13 П. ЯСЕНСКАЯ ПЕРЕПРАВА МО ЕЙСКИЙ РАЙОН</v>
      </c>
      <c r="B10691" s="24" t="s">
        <v>15079</v>
      </c>
      <c r="C10691" s="25">
        <v>16904.099999999999</v>
      </c>
      <c r="D10691" s="22" t="s">
        <v>15063</v>
      </c>
      <c r="E10691" s="22" t="s">
        <v>48</v>
      </c>
      <c r="F10691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91" s="22" t="s">
        <v>104</v>
      </c>
      <c r="H10691" s="22" t="s">
        <v>104</v>
      </c>
      <c r="I10691" s="26">
        <v>43671.683333333298</v>
      </c>
      <c r="J10691" s="23" t="str">
        <f t="shared" si="278"/>
        <v>ООО "ФОРМУЛА ВКУСА"</v>
      </c>
      <c r="K10691" s="24" t="s">
        <v>15064</v>
      </c>
      <c r="L10691" s="28" t="s">
        <v>51</v>
      </c>
      <c r="M10691" s="28" t="s">
        <v>51</v>
      </c>
      <c r="N10691" s="27">
        <v>0</v>
      </c>
    </row>
    <row r="10692" spans="1:14" hidden="1" outlineLevel="1" x14ac:dyDescent="0.2">
      <c r="A10692" s="23" t="str">
        <f>HYPERLINK("https://www.spark-marketing.ru/Card/Person/891974", "МБОУ СОШ № 19 ИМ. А.В.СУВОРОВА П. СТЕПНОЙ МО ЕЙСКИЙ РАЙОН")</f>
        <v>МБОУ СОШ № 19 ИМ. А.В.СУВОРОВА П. СТЕПНОЙ МО ЕЙСКИЙ РАЙОН</v>
      </c>
      <c r="B10692" s="24" t="s">
        <v>15080</v>
      </c>
      <c r="C10692" s="25">
        <v>178521.7</v>
      </c>
      <c r="D10692" s="22" t="s">
        <v>15063</v>
      </c>
      <c r="E10692" s="22" t="s">
        <v>48</v>
      </c>
      <c r="F10692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92" s="22" t="s">
        <v>104</v>
      </c>
      <c r="H10692" s="22" t="s">
        <v>104</v>
      </c>
      <c r="I10692" s="26">
        <v>43671.683333333298</v>
      </c>
      <c r="J10692" s="23" t="str">
        <f t="shared" si="278"/>
        <v>ООО "ФОРМУЛА ВКУСА"</v>
      </c>
      <c r="K10692" s="24" t="s">
        <v>15064</v>
      </c>
      <c r="L10692" s="28" t="s">
        <v>51</v>
      </c>
      <c r="M10692" s="28" t="s">
        <v>51</v>
      </c>
      <c r="N10692" s="27">
        <v>0</v>
      </c>
    </row>
    <row r="10693" spans="1:14" hidden="1" outlineLevel="1" x14ac:dyDescent="0.2">
      <c r="A10693" s="23" t="str">
        <f>HYPERLINK("https://www.spark-marketing.ru/Card/Person/893078", "МБОУ СОШ № 17 ИМ. МАРШАЛА Г.К. ЖУКОВА П. СОВЕТСКИЙ МО ЕЙСКИЙ РАЙОН")</f>
        <v>МБОУ СОШ № 17 ИМ. МАРШАЛА Г.К. ЖУКОВА П. СОВЕТСКИЙ МО ЕЙСКИЙ РАЙОН</v>
      </c>
      <c r="B10693" s="24" t="s">
        <v>15081</v>
      </c>
      <c r="C10693" s="25">
        <v>217797.95</v>
      </c>
      <c r="D10693" s="22" t="s">
        <v>15063</v>
      </c>
      <c r="E10693" s="22" t="s">
        <v>48</v>
      </c>
      <c r="F10693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93" s="22" t="s">
        <v>104</v>
      </c>
      <c r="H10693" s="22" t="s">
        <v>104</v>
      </c>
      <c r="I10693" s="26">
        <v>43671.683333333298</v>
      </c>
      <c r="J10693" s="23" t="str">
        <f t="shared" si="278"/>
        <v>ООО "ФОРМУЛА ВКУСА"</v>
      </c>
      <c r="K10693" s="24" t="s">
        <v>15064</v>
      </c>
      <c r="L10693" s="28" t="s">
        <v>51</v>
      </c>
      <c r="M10693" s="28" t="s">
        <v>51</v>
      </c>
      <c r="N10693" s="27">
        <v>0</v>
      </c>
    </row>
    <row r="10694" spans="1:14" hidden="1" outlineLevel="1" x14ac:dyDescent="0.2">
      <c r="A10694" s="23" t="str">
        <f>HYPERLINK("https://www.spark-marketing.ru/Card/Person/893079", "МБОУ СОШ № 9 ИМ. ГЕНЕРАЛ-ЛЕЙТЕНАНТА И.Л. ХИЖНЯКА С. КУХАРИВКА МО ЕЙСКИЙ РАЙОН")</f>
        <v>МБОУ СОШ № 9 ИМ. ГЕНЕРАЛ-ЛЕЙТЕНАНТА И.Л. ХИЖНЯКА С. КУХАРИВКА МО ЕЙСКИЙ РАЙОН</v>
      </c>
      <c r="B10694" s="24" t="s">
        <v>15082</v>
      </c>
      <c r="C10694" s="25">
        <v>142504.1</v>
      </c>
      <c r="D10694" s="22" t="s">
        <v>15063</v>
      </c>
      <c r="E10694" s="22" t="s">
        <v>48</v>
      </c>
      <c r="F10694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94" s="22" t="s">
        <v>104</v>
      </c>
      <c r="H10694" s="22" t="s">
        <v>104</v>
      </c>
      <c r="I10694" s="26">
        <v>43671.683333333298</v>
      </c>
      <c r="J10694" s="23" t="str">
        <f t="shared" si="278"/>
        <v>ООО "ФОРМУЛА ВКУСА"</v>
      </c>
      <c r="K10694" s="24" t="s">
        <v>15064</v>
      </c>
      <c r="L10694" s="28" t="s">
        <v>51</v>
      </c>
      <c r="M10694" s="28" t="s">
        <v>51</v>
      </c>
      <c r="N10694" s="27">
        <v>0</v>
      </c>
    </row>
    <row r="10695" spans="1:14" hidden="1" outlineLevel="1" x14ac:dyDescent="0.2">
      <c r="A10695" s="23" t="str">
        <f>HYPERLINK("https://www.spark-marketing.ru/Card/Person/948400", "МБОУ СОШ № 8 ИМ. П.М. ГУРЬЕВА СТ-ЦЫ КОПАНСКОЙ МО ЕЙСКИЙ РАЙОН")</f>
        <v>МБОУ СОШ № 8 ИМ. П.М. ГУРЬЕВА СТ-ЦЫ КОПАНСКОЙ МО ЕЙСКИЙ РАЙОН</v>
      </c>
      <c r="B10695" s="24" t="s">
        <v>15083</v>
      </c>
      <c r="C10695" s="25">
        <v>194688</v>
      </c>
      <c r="D10695" s="22" t="s">
        <v>15063</v>
      </c>
      <c r="E10695" s="22" t="s">
        <v>48</v>
      </c>
      <c r="F10695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95" s="22" t="s">
        <v>104</v>
      </c>
      <c r="H10695" s="22" t="s">
        <v>104</v>
      </c>
      <c r="I10695" s="26">
        <v>43671.683333333298</v>
      </c>
      <c r="J10695" s="23" t="str">
        <f t="shared" si="278"/>
        <v>ООО "ФОРМУЛА ВКУСА"</v>
      </c>
      <c r="K10695" s="24" t="s">
        <v>15064</v>
      </c>
      <c r="L10695" s="28" t="s">
        <v>51</v>
      </c>
      <c r="M10695" s="28" t="s">
        <v>51</v>
      </c>
      <c r="N10695" s="27">
        <v>0</v>
      </c>
    </row>
    <row r="10696" spans="1:14" hidden="1" outlineLevel="1" x14ac:dyDescent="0.2">
      <c r="A10696" s="23" t="str">
        <f>HYPERLINK("https://www.spark-marketing.ru/Card/Person/954142", "МБОУ СОШ № 15 ИМ. ГЕРОЯ СОВЕТСКОГО СОЮЗА С.Д. МАЛОГО Г. ЕЙСКА МО ЕЙСКИЙ РАЙОН")</f>
        <v>МБОУ СОШ № 15 ИМ. ГЕРОЯ СОВЕТСКОГО СОЮЗА С.Д. МАЛОГО Г. ЕЙСКА МО ЕЙСКИЙ РАЙОН</v>
      </c>
      <c r="B10696" s="24" t="s">
        <v>15084</v>
      </c>
      <c r="C10696" s="25">
        <v>310091.45</v>
      </c>
      <c r="D10696" s="22" t="s">
        <v>15063</v>
      </c>
      <c r="E10696" s="22" t="s">
        <v>48</v>
      </c>
      <c r="F10696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96" s="22" t="s">
        <v>104</v>
      </c>
      <c r="H10696" s="22" t="s">
        <v>104</v>
      </c>
      <c r="I10696" s="26">
        <v>43671.683333333298</v>
      </c>
      <c r="J10696" s="23" t="str">
        <f t="shared" si="278"/>
        <v>ООО "ФОРМУЛА ВКУСА"</v>
      </c>
      <c r="K10696" s="24" t="s">
        <v>15064</v>
      </c>
      <c r="L10696" s="28" t="s">
        <v>51</v>
      </c>
      <c r="M10696" s="28" t="s">
        <v>51</v>
      </c>
      <c r="N10696" s="27">
        <v>0</v>
      </c>
    </row>
    <row r="10697" spans="1:14" hidden="1" outlineLevel="1" x14ac:dyDescent="0.2">
      <c r="A10697" s="23" t="str">
        <f>HYPERLINK("https://www.spark-marketing.ru/Card/Person/955796", "МБОУ СОШ № 10 ИМ. ГЕРОЯ СОВЕТСКОГО СОЮЗА К.И. НЕДОРУБОВА ПОС. МОРЕВКА МО ЕЙСКИЙ РАЙОН")</f>
        <v>МБОУ СОШ № 10 ИМ. ГЕРОЯ СОВЕТСКОГО СОЮЗА К.И. НЕДОРУБОВА ПОС. МОРЕВКА МО ЕЙСКИЙ РАЙОН</v>
      </c>
      <c r="B10697" s="24" t="s">
        <v>15085</v>
      </c>
      <c r="C10697" s="25">
        <v>103759.7</v>
      </c>
      <c r="D10697" s="22" t="s">
        <v>15063</v>
      </c>
      <c r="E10697" s="22" t="s">
        <v>48</v>
      </c>
      <c r="F10697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97" s="22" t="s">
        <v>104</v>
      </c>
      <c r="H10697" s="22" t="s">
        <v>104</v>
      </c>
      <c r="I10697" s="26">
        <v>43671.683333333298</v>
      </c>
      <c r="J10697" s="23" t="str">
        <f t="shared" si="278"/>
        <v>ООО "ФОРМУЛА ВКУСА"</v>
      </c>
      <c r="K10697" s="24" t="s">
        <v>15064</v>
      </c>
      <c r="L10697" s="28" t="s">
        <v>51</v>
      </c>
      <c r="M10697" s="28" t="s">
        <v>51</v>
      </c>
      <c r="N10697" s="27">
        <v>0</v>
      </c>
    </row>
    <row r="10698" spans="1:14" hidden="1" outlineLevel="1" x14ac:dyDescent="0.2">
      <c r="A10698" s="23" t="str">
        <f>HYPERLINK("https://www.spark-marketing.ru/Card/Person/956356", "МБОУ ООШ № 18 ИМ. Д.А. ШЕМЕТОВА ПОС. ЗАВОДСКОЙ МО ЕЙСКИЙ РАЙОН")</f>
        <v>МБОУ ООШ № 18 ИМ. Д.А. ШЕМЕТОВА ПОС. ЗАВОДСКОЙ МО ЕЙСКИЙ РАЙОН</v>
      </c>
      <c r="B10698" s="24" t="s">
        <v>15086</v>
      </c>
      <c r="C10698" s="25">
        <v>70729.5</v>
      </c>
      <c r="D10698" s="22" t="s">
        <v>15063</v>
      </c>
      <c r="E10698" s="22" t="s">
        <v>48</v>
      </c>
      <c r="F10698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98" s="22" t="s">
        <v>104</v>
      </c>
      <c r="H10698" s="22" t="s">
        <v>104</v>
      </c>
      <c r="I10698" s="26">
        <v>43671.683333333298</v>
      </c>
      <c r="J10698" s="23" t="str">
        <f t="shared" si="278"/>
        <v>ООО "ФОРМУЛА ВКУСА"</v>
      </c>
      <c r="K10698" s="24" t="s">
        <v>15064</v>
      </c>
      <c r="L10698" s="28" t="s">
        <v>51</v>
      </c>
      <c r="M10698" s="28" t="s">
        <v>51</v>
      </c>
      <c r="N10698" s="27">
        <v>0</v>
      </c>
    </row>
    <row r="10699" spans="1:14" hidden="1" outlineLevel="1" x14ac:dyDescent="0.2">
      <c r="A10699" s="23" t="str">
        <f>HYPERLINK("https://www.spark-marketing.ru/Card/Person/957340", "МБОУ СОШ № 27 ИМ. М. В. АЛЕКСАНДРОВА П. КОМСОМОЛЕЦ МО ЕЙСКИЙ РАЙОН")</f>
        <v>МБОУ СОШ № 27 ИМ. М. В. АЛЕКСАНДРОВА П. КОМСОМОЛЕЦ МО ЕЙСКИЙ РАЙОН</v>
      </c>
      <c r="B10699" s="24" t="s">
        <v>15087</v>
      </c>
      <c r="C10699" s="25">
        <v>140617.35</v>
      </c>
      <c r="D10699" s="22" t="s">
        <v>15063</v>
      </c>
      <c r="E10699" s="22" t="s">
        <v>48</v>
      </c>
      <c r="F10699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699" s="22" t="s">
        <v>104</v>
      </c>
      <c r="H10699" s="22" t="s">
        <v>104</v>
      </c>
      <c r="I10699" s="26">
        <v>43671.683333333298</v>
      </c>
      <c r="J10699" s="23" t="str">
        <f t="shared" si="278"/>
        <v>ООО "ФОРМУЛА ВКУСА"</v>
      </c>
      <c r="K10699" s="24" t="s">
        <v>15064</v>
      </c>
      <c r="L10699" s="28" t="s">
        <v>51</v>
      </c>
      <c r="M10699" s="28" t="s">
        <v>51</v>
      </c>
      <c r="N10699" s="27">
        <v>0</v>
      </c>
    </row>
    <row r="10700" spans="1:14" hidden="1" outlineLevel="1" x14ac:dyDescent="0.2">
      <c r="A10700" s="23" t="str">
        <f>HYPERLINK("https://www.spark-marketing.ru/Card/Person/958314", "МБОУ СОШ № 23 ИМ. В.П. АНТОНЮКА С. ВОРОНЦОВКА МО ЕЙСКИЙ РАЙОН")</f>
        <v>МБОУ СОШ № 23 ИМ. В.П. АНТОНЮКА С. ВОРОНЦОВКА МО ЕЙСКИЙ РАЙОН</v>
      </c>
      <c r="B10700" s="24" t="s">
        <v>15088</v>
      </c>
      <c r="C10700" s="25">
        <v>90865.35</v>
      </c>
      <c r="D10700" s="22" t="s">
        <v>15063</v>
      </c>
      <c r="E10700" s="22" t="s">
        <v>48</v>
      </c>
      <c r="F10700" s="23" t="str">
        <f t="shared" si="277"/>
        <v>Услуги по организации и обеспечению двухразового горячего питания детей групп продленного дня; горячими завтраками учащихся 1-11 классов; молоком и молочной продукцией учащихся 1-4 классов.</v>
      </c>
      <c r="G10700" s="22" t="s">
        <v>104</v>
      </c>
      <c r="H10700" s="22" t="s">
        <v>104</v>
      </c>
      <c r="I10700" s="26">
        <v>43671.683333333298</v>
      </c>
      <c r="J10700" s="23" t="str">
        <f t="shared" si="278"/>
        <v>ООО "ФОРМУЛА ВКУСА"</v>
      </c>
      <c r="K10700" s="24" t="s">
        <v>15064</v>
      </c>
      <c r="L10700" s="28" t="s">
        <v>51</v>
      </c>
      <c r="M10700" s="28" t="s">
        <v>51</v>
      </c>
      <c r="N10700" s="27">
        <v>0</v>
      </c>
    </row>
    <row r="10701" spans="1:14" x14ac:dyDescent="0.15">
      <c r="A10701" s="23" t="str">
        <f>HYPERLINK("https://www.spark-marketing.ru/Card/Person/29292", "ГУ-ЛЕНИНГРАДСКОЕ РО ФОНДА СОЦИАЛЬНОГО СТРАХОВАНИЯ РОССИЙСКОЙ ФЕДЕРАЦИИ")</f>
        <v>ГУ-ЛЕНИНГРАДСКОЕ РО ФОНДА СОЦИАЛЬНОГО СТРАХОВАНИЯ РОССИЙСКОЙ ФЕДЕРАЦИИ</v>
      </c>
      <c r="B10701" s="24" t="s">
        <v>1653</v>
      </c>
      <c r="C10701" s="25">
        <v>2245860</v>
      </c>
      <c r="D10701" s="22" t="s">
        <v>15089</v>
      </c>
      <c r="E10701" s="22" t="s">
        <v>86</v>
      </c>
      <c r="F10701" s="23" t="str">
        <f>HYPERLINK("https://www.spark-marketing.ru/Card/Lot/72349420", "Санаторно-курортное лечение граждан-получателей набора социальных услуг")</f>
        <v>Санаторно-курортное лечение граждан-получателей набора социальных услуг</v>
      </c>
      <c r="G10701" s="22" t="s">
        <v>117</v>
      </c>
      <c r="H10701" s="22" t="s">
        <v>117</v>
      </c>
      <c r="I10701" s="26">
        <v>43671.676388888904</v>
      </c>
      <c r="J10701" s="23" t="str">
        <f>HYPERLINK("https://www.spark-marketing.ru/Card/Person/4348164", "ГУП ""ПЕТЕРБУРГСКИЙ МЕТРОПОЛИТЕН """)</f>
        <v>ГУП "ПЕТЕРБУРГСКИЙ МЕТРОПОЛИТЕН "</v>
      </c>
      <c r="K10701" s="24" t="s">
        <v>15090</v>
      </c>
      <c r="L10701" s="22" t="s">
        <v>10</v>
      </c>
      <c r="M10701" s="28" t="s">
        <v>51</v>
      </c>
      <c r="N10701" s="28" t="s">
        <v>51</v>
      </c>
    </row>
    <row r="10702" spans="1:14" x14ac:dyDescent="0.15">
      <c r="A10702" s="23" t="str">
        <f>HYPERLINK("https://www.spark-marketing.ru/Card/Person/1059509", "ОМВД РОССИИ ПО ЮЖНО-КУРИЛЬСКОМУ ГОРОДСКОМУ ОКРУГУ")</f>
        <v>ОМВД РОССИИ ПО ЮЖНО-КУРИЛЬСКОМУ ГОРОДСКОМУ ОКРУГУ</v>
      </c>
      <c r="B10702" s="24" t="s">
        <v>15091</v>
      </c>
      <c r="C10702" s="25">
        <v>1700000</v>
      </c>
      <c r="D10702" s="22" t="s">
        <v>15092</v>
      </c>
      <c r="E10702" s="22" t="s">
        <v>48</v>
      </c>
      <c r="F10702" s="23" t="str">
        <f>HYPERLINK("https://www.spark-marketing.ru/Card/Lot/72330125", "Оказание услуг по обеспечению 3-х разовым ежедневным горячим питанием арестованных и административно-задержанных лиц")</f>
        <v>Оказание услуг по обеспечению 3-х разовым ежедневным горячим питанием арестованных и административно-задержанных лиц</v>
      </c>
      <c r="G10702" s="22" t="s">
        <v>260</v>
      </c>
      <c r="H10702" s="22" t="s">
        <v>15093</v>
      </c>
      <c r="I10702" s="26">
        <v>43671.672962962999</v>
      </c>
      <c r="J10702" s="23" t="str">
        <f>HYPERLINK("https://www.spark-marketing.ru/Card/Person/6504672", "Молявко Станислав Иванович")</f>
        <v>Молявко Станислав Иванович</v>
      </c>
      <c r="K10702" s="24" t="s">
        <v>15094</v>
      </c>
      <c r="L10702" s="22" t="s">
        <v>10</v>
      </c>
      <c r="M10702" s="28" t="s">
        <v>51</v>
      </c>
      <c r="N10702" s="28" t="s">
        <v>51</v>
      </c>
    </row>
    <row r="10703" spans="1:14" x14ac:dyDescent="0.15">
      <c r="A10703" s="23" t="str">
        <f>HYPERLINK("https://www.spark-marketing.ru/Card/Person/50743", "МП ""ДЕТСКОЕ ПИТАНИЕ""")</f>
        <v>МП "ДЕТСКОЕ ПИТАНИЕ"</v>
      </c>
      <c r="B10703" s="24" t="s">
        <v>1562</v>
      </c>
      <c r="C10703" s="25">
        <v>365781</v>
      </c>
      <c r="D10703" s="22" t="s">
        <v>15058</v>
      </c>
      <c r="E10703" s="22" t="s">
        <v>3064</v>
      </c>
      <c r="F10703" s="23" t="str">
        <f>HYPERLINK("https://www.spark-marketing.ru/Card/Lot/72355904", "Поставка томатной пасты для оказания услуг по предоставлению питания школьникам.")</f>
        <v>Поставка томатной пасты для оказания услуг по предоставлению питания школьникам.</v>
      </c>
      <c r="G10703" s="22" t="s">
        <v>1522</v>
      </c>
      <c r="H10703" s="22" t="s">
        <v>1523</v>
      </c>
      <c r="I10703" s="26">
        <v>43671.705879629597</v>
      </c>
      <c r="J10703" s="28" t="s">
        <v>51</v>
      </c>
      <c r="K10703" s="28" t="s">
        <v>51</v>
      </c>
      <c r="L10703" s="28" t="s">
        <v>51</v>
      </c>
      <c r="M10703" s="28" t="s">
        <v>51</v>
      </c>
      <c r="N10703" s="28" t="s">
        <v>51</v>
      </c>
    </row>
    <row r="10704" spans="1:14" x14ac:dyDescent="0.15">
      <c r="A10704" s="23" t="str">
        <f>HYPERLINK("https://www.spark-marketing.ru/Card/Person/4348382", "ООО ""ГАЗПРОМ ПИТАНИЕ""")</f>
        <v>ООО "ГАЗПРОМ ПИТАНИЕ"</v>
      </c>
      <c r="B10704" s="24" t="s">
        <v>2869</v>
      </c>
      <c r="C10704" s="25">
        <v>80000</v>
      </c>
      <c r="D10704" s="22" t="s">
        <v>15095</v>
      </c>
      <c r="E10704" s="22" t="s">
        <v>52</v>
      </c>
      <c r="F10704" s="23" t="str">
        <f>HYPERLINK("https://www.spark-marketing.ru/Card/Lot/72346064", "оказание услуг по востановлению, заправке картриджей для копировально-печатающего оборудования, техническому обслуживанию компьютерной и офисной техники для нужд филиала ""казанское уооп"" ооо ""газпром питание""")</f>
        <v>оказание услуг по востановлению, заправке картриджей для копировально-печатающего оборудования, техническому обслуживанию компьютерной и офисной техники для нужд филиала "казанское уооп" ооо "газпром питание"</v>
      </c>
      <c r="G10704" s="22" t="s">
        <v>56</v>
      </c>
      <c r="H10704" s="22" t="s">
        <v>56</v>
      </c>
      <c r="I10704" s="26">
        <v>43671.7055555556</v>
      </c>
      <c r="J10704" s="28" t="s">
        <v>51</v>
      </c>
      <c r="K10704" s="28" t="s">
        <v>51</v>
      </c>
      <c r="L10704" s="28" t="s">
        <v>51</v>
      </c>
      <c r="M10704" s="28" t="s">
        <v>51</v>
      </c>
      <c r="N10704" s="28" t="s">
        <v>51</v>
      </c>
    </row>
    <row r="10705" spans="1:14" x14ac:dyDescent="0.2">
      <c r="A10705" s="23" t="s">
        <v>114</v>
      </c>
      <c r="B10705" s="28" t="s">
        <v>51</v>
      </c>
      <c r="C10705" s="25">
        <v>6875058.6299999999</v>
      </c>
      <c r="D10705" s="22" t="s">
        <v>15096</v>
      </c>
      <c r="E10705" s="22" t="s">
        <v>48</v>
      </c>
      <c r="F10705" s="23" t="str">
        <f t="shared" ref="F10705:F10717" si="279">HYPERLINK("https://www.spark-marketing.ru/Card/Lot/72349616", "Оказание услуг по организации горячего питания в общеобразовательных учреждениях муниципального района Белокатайский район Республики Башкортостан")</f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05" s="22" t="s">
        <v>51</v>
      </c>
      <c r="H10705" s="22" t="s">
        <v>51</v>
      </c>
      <c r="I10705" s="26">
        <v>43671.675000000003</v>
      </c>
      <c r="J10705" s="23" t="str">
        <f t="shared" ref="J10705:J10717" si="280">HYPERLINK("https://www.spark-marketing.ru/Card/Person/774765", "ООО ""ОПТТОРГ""")</f>
        <v>ООО "ОПТТОРГ"</v>
      </c>
      <c r="K10705" s="24" t="s">
        <v>15097</v>
      </c>
      <c r="L10705" s="28" t="s">
        <v>51</v>
      </c>
      <c r="M10705" s="25">
        <v>6875058.6299999999</v>
      </c>
      <c r="N10705" s="27">
        <v>0</v>
      </c>
    </row>
    <row r="10706" spans="1:14" hidden="1" outlineLevel="1" x14ac:dyDescent="0.2">
      <c r="A10706" s="23" t="str">
        <f>HYPERLINK("https://www.spark-marketing.ru/Card/Person/237113", "МБОУ СОШ С.ЕМАШИ")</f>
        <v>МБОУ СОШ С.ЕМАШИ</v>
      </c>
      <c r="B10706" s="24" t="s">
        <v>15098</v>
      </c>
      <c r="C10706" s="25">
        <v>317868.06</v>
      </c>
      <c r="D10706" s="22" t="s">
        <v>15096</v>
      </c>
      <c r="E10706" s="22" t="s">
        <v>48</v>
      </c>
      <c r="F10706" s="23" t="str">
        <f t="shared" si="279"/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06" s="22" t="s">
        <v>145</v>
      </c>
      <c r="H10706" s="22" t="s">
        <v>15099</v>
      </c>
      <c r="I10706" s="26">
        <v>43671.675000000003</v>
      </c>
      <c r="J10706" s="23" t="str">
        <f t="shared" si="280"/>
        <v>ООО "ОПТТОРГ"</v>
      </c>
      <c r="K10706" s="24" t="s">
        <v>15097</v>
      </c>
      <c r="L10706" s="28" t="s">
        <v>51</v>
      </c>
      <c r="M10706" s="28" t="s">
        <v>51</v>
      </c>
      <c r="N10706" s="27">
        <v>0</v>
      </c>
    </row>
    <row r="10707" spans="1:14" hidden="1" outlineLevel="1" x14ac:dyDescent="0.2">
      <c r="A10707" s="23" t="str">
        <f>HYPERLINK("https://www.spark-marketing.ru/Card/Person/733426", "МБОУ СОШ №2 С.НОВОБЕЛОКАТАЙ")</f>
        <v>МБОУ СОШ №2 С.НОВОБЕЛОКАТАЙ</v>
      </c>
      <c r="B10707" s="24" t="s">
        <v>15100</v>
      </c>
      <c r="C10707" s="25">
        <v>1390443.39</v>
      </c>
      <c r="D10707" s="22" t="s">
        <v>15096</v>
      </c>
      <c r="E10707" s="22" t="s">
        <v>48</v>
      </c>
      <c r="F10707" s="23" t="str">
        <f t="shared" si="279"/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07" s="22" t="s">
        <v>15101</v>
      </c>
      <c r="H10707" s="22" t="s">
        <v>15102</v>
      </c>
      <c r="I10707" s="26">
        <v>43671.675000000003</v>
      </c>
      <c r="J10707" s="23" t="str">
        <f t="shared" si="280"/>
        <v>ООО "ОПТТОРГ"</v>
      </c>
      <c r="K10707" s="24" t="s">
        <v>15097</v>
      </c>
      <c r="L10707" s="28" t="s">
        <v>51</v>
      </c>
      <c r="M10707" s="28" t="s">
        <v>51</v>
      </c>
      <c r="N10707" s="27">
        <v>0</v>
      </c>
    </row>
    <row r="10708" spans="1:14" hidden="1" outlineLevel="1" x14ac:dyDescent="0.2">
      <c r="A10708" s="23" t="str">
        <f>HYPERLINK("https://www.spark-marketing.ru/Card/Person/736256", "МБОУ СОШ С. ЯНЫБАЕВО")</f>
        <v>МБОУ СОШ С. ЯНЫБАЕВО</v>
      </c>
      <c r="B10708" s="24" t="s">
        <v>15103</v>
      </c>
      <c r="C10708" s="25">
        <v>332913.21000000002</v>
      </c>
      <c r="D10708" s="22" t="s">
        <v>15096</v>
      </c>
      <c r="E10708" s="22" t="s">
        <v>48</v>
      </c>
      <c r="F10708" s="23" t="str">
        <f t="shared" si="279"/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08" s="22" t="s">
        <v>15104</v>
      </c>
      <c r="H10708" s="22" t="s">
        <v>15105</v>
      </c>
      <c r="I10708" s="26">
        <v>43671.675000000003</v>
      </c>
      <c r="J10708" s="23" t="str">
        <f t="shared" si="280"/>
        <v>ООО "ОПТТОРГ"</v>
      </c>
      <c r="K10708" s="24" t="s">
        <v>15097</v>
      </c>
      <c r="L10708" s="28" t="s">
        <v>51</v>
      </c>
      <c r="M10708" s="28" t="s">
        <v>51</v>
      </c>
      <c r="N10708" s="27">
        <v>0</v>
      </c>
    </row>
    <row r="10709" spans="1:14" hidden="1" outlineLevel="1" x14ac:dyDescent="0.2">
      <c r="A10709" s="23" t="str">
        <f>HYPERLINK("https://www.spark-marketing.ru/Card/Person/757839", "МКОУ ООШ Д.АЙДАКАЕВО")</f>
        <v>МКОУ ООШ Д.АЙДАКАЕВО</v>
      </c>
      <c r="B10709" s="24" t="s">
        <v>15106</v>
      </c>
      <c r="C10709" s="25">
        <v>152031.48000000001</v>
      </c>
      <c r="D10709" s="22" t="s">
        <v>15096</v>
      </c>
      <c r="E10709" s="22" t="s">
        <v>48</v>
      </c>
      <c r="F10709" s="23" t="str">
        <f t="shared" si="279"/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09" s="22" t="s">
        <v>145</v>
      </c>
      <c r="H10709" s="22" t="s">
        <v>15099</v>
      </c>
      <c r="I10709" s="26">
        <v>43671.675000000003</v>
      </c>
      <c r="J10709" s="23" t="str">
        <f t="shared" si="280"/>
        <v>ООО "ОПТТОРГ"</v>
      </c>
      <c r="K10709" s="24" t="s">
        <v>15097</v>
      </c>
      <c r="L10709" s="28" t="s">
        <v>51</v>
      </c>
      <c r="M10709" s="28" t="s">
        <v>51</v>
      </c>
      <c r="N10709" s="27">
        <v>0</v>
      </c>
    </row>
    <row r="10710" spans="1:14" hidden="1" outlineLevel="1" x14ac:dyDescent="0.2">
      <c r="A10710" s="23" t="str">
        <f>HYPERLINK("https://www.spark-marketing.ru/Card/Person/759133", "МБОУ НШ ДС ""ЛЯЙСЯН"" Д.КИРИКЕЕВО")</f>
        <v>МБОУ НШ ДС "ЛЯЙСЯН" Д.КИРИКЕЕВО</v>
      </c>
      <c r="B10710" s="24" t="s">
        <v>15107</v>
      </c>
      <c r="C10710" s="25">
        <v>126845.64</v>
      </c>
      <c r="D10710" s="22" t="s">
        <v>15096</v>
      </c>
      <c r="E10710" s="22" t="s">
        <v>48</v>
      </c>
      <c r="F10710" s="23" t="str">
        <f t="shared" si="279"/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10" s="22" t="s">
        <v>145</v>
      </c>
      <c r="H10710" s="22" t="s">
        <v>15099</v>
      </c>
      <c r="I10710" s="26">
        <v>43671.675000000003</v>
      </c>
      <c r="J10710" s="23" t="str">
        <f t="shared" si="280"/>
        <v>ООО "ОПТТОРГ"</v>
      </c>
      <c r="K10710" s="24" t="s">
        <v>15097</v>
      </c>
      <c r="L10710" s="28" t="s">
        <v>51</v>
      </c>
      <c r="M10710" s="28" t="s">
        <v>51</v>
      </c>
      <c r="N10710" s="27">
        <v>0</v>
      </c>
    </row>
    <row r="10711" spans="1:14" hidden="1" outlineLevel="1" x14ac:dyDescent="0.2">
      <c r="A10711" s="23" t="str">
        <f>HYPERLINK("https://www.spark-marketing.ru/Card/Person/1762623", "МБОУ СОШ С МАЙГАЗА")</f>
        <v>МБОУ СОШ С МАЙГАЗА</v>
      </c>
      <c r="B10711" s="24" t="s">
        <v>15108</v>
      </c>
      <c r="C10711" s="25">
        <v>282772.44</v>
      </c>
      <c r="D10711" s="22" t="s">
        <v>15096</v>
      </c>
      <c r="E10711" s="22" t="s">
        <v>48</v>
      </c>
      <c r="F10711" s="23" t="str">
        <f t="shared" si="279"/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11" s="22" t="s">
        <v>145</v>
      </c>
      <c r="H10711" s="22" t="s">
        <v>15099</v>
      </c>
      <c r="I10711" s="26">
        <v>43671.675000000003</v>
      </c>
      <c r="J10711" s="23" t="str">
        <f t="shared" si="280"/>
        <v>ООО "ОПТТОРГ"</v>
      </c>
      <c r="K10711" s="24" t="s">
        <v>15097</v>
      </c>
      <c r="L10711" s="28" t="s">
        <v>51</v>
      </c>
      <c r="M10711" s="28" t="s">
        <v>51</v>
      </c>
      <c r="N10711" s="27">
        <v>0</v>
      </c>
    </row>
    <row r="10712" spans="1:14" hidden="1" outlineLevel="1" x14ac:dyDescent="0.2">
      <c r="A10712" s="23" t="str">
        <f>HYPERLINK("https://www.spark-marketing.ru/Card/Person/1762632", "МКОУ СОШ С. НИЖНИЙ ИСКУШ")</f>
        <v>МКОУ СОШ С. НИЖНИЙ ИСКУШ</v>
      </c>
      <c r="B10712" s="24" t="s">
        <v>15109</v>
      </c>
      <c r="C10712" s="25">
        <v>234120.24</v>
      </c>
      <c r="D10712" s="22" t="s">
        <v>15096</v>
      </c>
      <c r="E10712" s="22" t="s">
        <v>48</v>
      </c>
      <c r="F10712" s="23" t="str">
        <f t="shared" si="279"/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12" s="22" t="s">
        <v>145</v>
      </c>
      <c r="H10712" s="22" t="s">
        <v>15099</v>
      </c>
      <c r="I10712" s="26">
        <v>43671.675000000003</v>
      </c>
      <c r="J10712" s="23" t="str">
        <f t="shared" si="280"/>
        <v>ООО "ОПТТОРГ"</v>
      </c>
      <c r="K10712" s="24" t="s">
        <v>15097</v>
      </c>
      <c r="L10712" s="28" t="s">
        <v>51</v>
      </c>
      <c r="M10712" s="28" t="s">
        <v>51</v>
      </c>
      <c r="N10712" s="27">
        <v>0</v>
      </c>
    </row>
    <row r="10713" spans="1:14" hidden="1" outlineLevel="1" x14ac:dyDescent="0.2">
      <c r="A10713" s="23" t="str">
        <f>HYPERLINK("https://www.spark-marketing.ru/Card/Person/1762636", "МКОУ СОШ Д. ЛЕВАЛИ")</f>
        <v>МКОУ СОШ Д. ЛЕВАЛИ</v>
      </c>
      <c r="B10713" s="24" t="s">
        <v>15110</v>
      </c>
      <c r="C10713" s="25">
        <v>209912.04</v>
      </c>
      <c r="D10713" s="22" t="s">
        <v>15096</v>
      </c>
      <c r="E10713" s="22" t="s">
        <v>48</v>
      </c>
      <c r="F10713" s="23" t="str">
        <f t="shared" si="279"/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13" s="22" t="s">
        <v>145</v>
      </c>
      <c r="H10713" s="22" t="s">
        <v>15099</v>
      </c>
      <c r="I10713" s="26">
        <v>43671.675000000003</v>
      </c>
      <c r="J10713" s="23" t="str">
        <f t="shared" si="280"/>
        <v>ООО "ОПТТОРГ"</v>
      </c>
      <c r="K10713" s="24" t="s">
        <v>15097</v>
      </c>
      <c r="L10713" s="28" t="s">
        <v>51</v>
      </c>
      <c r="M10713" s="28" t="s">
        <v>51</v>
      </c>
      <c r="N10713" s="27">
        <v>0</v>
      </c>
    </row>
    <row r="10714" spans="1:14" hidden="1" outlineLevel="1" x14ac:dyDescent="0.2">
      <c r="A10714" s="23" t="str">
        <f>HYPERLINK("https://www.spark-marketing.ru/Card/Person/1762637", "МБОУ СОШ №1 С.НОВОБЕЛОКАТАЙ")</f>
        <v>МБОУ СОШ №1 С.НОВОБЕЛОКАТАЙ</v>
      </c>
      <c r="B10714" s="24" t="s">
        <v>15111</v>
      </c>
      <c r="C10714" s="25">
        <v>1887910.17</v>
      </c>
      <c r="D10714" s="22" t="s">
        <v>15096</v>
      </c>
      <c r="E10714" s="22" t="s">
        <v>48</v>
      </c>
      <c r="F10714" s="23" t="str">
        <f t="shared" si="279"/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14" s="22" t="s">
        <v>15101</v>
      </c>
      <c r="H10714" s="22" t="s">
        <v>15102</v>
      </c>
      <c r="I10714" s="26">
        <v>43671.675000000003</v>
      </c>
      <c r="J10714" s="23" t="str">
        <f t="shared" si="280"/>
        <v>ООО "ОПТТОРГ"</v>
      </c>
      <c r="K10714" s="24" t="s">
        <v>15097</v>
      </c>
      <c r="L10714" s="28" t="s">
        <v>51</v>
      </c>
      <c r="M10714" s="28" t="s">
        <v>51</v>
      </c>
      <c r="N10714" s="27">
        <v>0</v>
      </c>
    </row>
    <row r="10715" spans="1:14" hidden="1" outlineLevel="1" x14ac:dyDescent="0.2">
      <c r="A10715" s="23" t="str">
        <f>HYPERLINK("https://www.spark-marketing.ru/Card/Person/1762639", "МБОУ СОШ С.УРГАЛА")</f>
        <v>МБОУ СОШ С.УРГАЛА</v>
      </c>
      <c r="B10715" s="24" t="s">
        <v>15112</v>
      </c>
      <c r="C10715" s="25">
        <v>652119.81000000006</v>
      </c>
      <c r="D10715" s="22" t="s">
        <v>15096</v>
      </c>
      <c r="E10715" s="22" t="s">
        <v>48</v>
      </c>
      <c r="F10715" s="23" t="str">
        <f t="shared" si="279"/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15" s="22" t="s">
        <v>15113</v>
      </c>
      <c r="H10715" s="22" t="s">
        <v>15114</v>
      </c>
      <c r="I10715" s="26">
        <v>43671.675000000003</v>
      </c>
      <c r="J10715" s="23" t="str">
        <f t="shared" si="280"/>
        <v>ООО "ОПТТОРГ"</v>
      </c>
      <c r="K10715" s="24" t="s">
        <v>15097</v>
      </c>
      <c r="L10715" s="28" t="s">
        <v>51</v>
      </c>
      <c r="M10715" s="28" t="s">
        <v>51</v>
      </c>
      <c r="N10715" s="27">
        <v>0</v>
      </c>
    </row>
    <row r="10716" spans="1:14" hidden="1" outlineLevel="1" x14ac:dyDescent="0.2">
      <c r="A10716" s="23" t="str">
        <f>HYPERLINK("https://www.spark-marketing.ru/Card/Person/1762641", "МБОУ СОШ С. КАРЛЫХАНОВО")</f>
        <v>МБОУ СОШ С. КАРЛЫХАНОВО</v>
      </c>
      <c r="B10716" s="24" t="s">
        <v>15115</v>
      </c>
      <c r="C10716" s="25">
        <v>637070.97</v>
      </c>
      <c r="D10716" s="22" t="s">
        <v>15096</v>
      </c>
      <c r="E10716" s="22" t="s">
        <v>48</v>
      </c>
      <c r="F10716" s="23" t="str">
        <f t="shared" si="279"/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16" s="22" t="s">
        <v>15104</v>
      </c>
      <c r="H10716" s="22" t="s">
        <v>15105</v>
      </c>
      <c r="I10716" s="26">
        <v>43671.675000000003</v>
      </c>
      <c r="J10716" s="23" t="str">
        <f t="shared" si="280"/>
        <v>ООО "ОПТТОРГ"</v>
      </c>
      <c r="K10716" s="24" t="s">
        <v>15097</v>
      </c>
      <c r="L10716" s="28" t="s">
        <v>51</v>
      </c>
      <c r="M10716" s="28" t="s">
        <v>51</v>
      </c>
      <c r="N10716" s="27">
        <v>0</v>
      </c>
    </row>
    <row r="10717" spans="1:14" hidden="1" outlineLevel="1" x14ac:dyDescent="0.2">
      <c r="A10717" s="23" t="str">
        <f>HYPERLINK("https://www.spark-marketing.ru/Card/Person/1762654", "МБОУ СОШ С.БЕЛЯНКА")</f>
        <v>МБОУ СОШ С.БЕЛЯНКА</v>
      </c>
      <c r="B10717" s="24" t="s">
        <v>15116</v>
      </c>
      <c r="C10717" s="25">
        <v>651051.18000000005</v>
      </c>
      <c r="D10717" s="22" t="s">
        <v>15096</v>
      </c>
      <c r="E10717" s="22" t="s">
        <v>48</v>
      </c>
      <c r="F10717" s="23" t="str">
        <f t="shared" si="279"/>
        <v>Оказание услуг по организации горячего питания в общеобразовательных учреждениях муниципального района Белокатайский район Республики Башкортостан</v>
      </c>
      <c r="G10717" s="22" t="s">
        <v>15117</v>
      </c>
      <c r="H10717" s="22" t="s">
        <v>15118</v>
      </c>
      <c r="I10717" s="26">
        <v>43671.675000000003</v>
      </c>
      <c r="J10717" s="23" t="str">
        <f t="shared" si="280"/>
        <v>ООО "ОПТТОРГ"</v>
      </c>
      <c r="K10717" s="24" t="s">
        <v>15097</v>
      </c>
      <c r="L10717" s="28" t="s">
        <v>51</v>
      </c>
      <c r="M10717" s="28" t="s">
        <v>51</v>
      </c>
      <c r="N10717" s="27">
        <v>0</v>
      </c>
    </row>
    <row r="10718" spans="1:14" x14ac:dyDescent="0.15">
      <c r="A10718" s="23" t="str">
        <f>HYPERLINK("https://www.spark-marketing.ru/Card/Person/4348382", "ООО ""ГАЗПРОМ ПИТАНИЕ""")</f>
        <v>ООО "ГАЗПРОМ ПИТАНИЕ"</v>
      </c>
      <c r="B10718" s="24" t="s">
        <v>2869</v>
      </c>
      <c r="C10718" s="25">
        <v>80000</v>
      </c>
      <c r="D10718" s="22" t="s">
        <v>15119</v>
      </c>
      <c r="E10718" s="22" t="s">
        <v>52</v>
      </c>
      <c r="F10718" s="23" t="str">
        <f>HYPERLINK("https://www.spark-marketing.ru/Card/Lot/72346059", "Оказание услуг по востановлению, заправке картриджей для копировально-печатающего оборудования, техническому обслуживанию компьютерной и офисной техники для нужд филиала ""казанское уооп"" ооо ""газпром питание""")</f>
        <v>Оказание услуг по востановлению, заправке картриджей для копировально-печатающего оборудования, техническому обслуживанию компьютерной и офисной техники для нужд филиала "казанское уооп" ооо "газпром питание"</v>
      </c>
      <c r="G10718" s="22" t="s">
        <v>56</v>
      </c>
      <c r="H10718" s="22" t="s">
        <v>56</v>
      </c>
      <c r="I10718" s="26">
        <v>43671.679166666698</v>
      </c>
      <c r="J10718" s="28" t="s">
        <v>51</v>
      </c>
      <c r="K10718" s="28" t="s">
        <v>51</v>
      </c>
      <c r="L10718" s="28" t="s">
        <v>51</v>
      </c>
      <c r="M10718" s="28" t="s">
        <v>51</v>
      </c>
      <c r="N10718" s="28" t="s">
        <v>51</v>
      </c>
    </row>
    <row r="10719" spans="1:14" x14ac:dyDescent="0.2">
      <c r="A10719" s="23" t="str">
        <f>HYPERLINK("https://www.spark-marketing.ru/Card/Person/1072418", "МБДОУ Д/С № 17 ""РОМАШКА""")</f>
        <v>МБДОУ Д/С № 17 "РОМАШКА"</v>
      </c>
      <c r="B10719" s="24" t="s">
        <v>15120</v>
      </c>
      <c r="C10719" s="25">
        <v>9511448</v>
      </c>
      <c r="D10719" s="22" t="s">
        <v>15121</v>
      </c>
      <c r="E10719" s="22" t="s">
        <v>96</v>
      </c>
      <c r="F10719" s="23" t="str">
        <f>HYPERLINK("https://www.spark-marketing.ru/Card/Lot/72349602", "Оказание услуг по организации горячего питания")</f>
        <v>Оказание услуг по организации горячего питания</v>
      </c>
      <c r="G10719" s="22" t="s">
        <v>153</v>
      </c>
      <c r="H10719" s="22" t="s">
        <v>153</v>
      </c>
      <c r="I10719" s="26">
        <v>43671.668749999997</v>
      </c>
      <c r="J10719" s="23" t="str">
        <f>HYPERLINK("https://www.spark-marketing.ru/Card/Person/6141623", "ООО ""КОМБИНАТ ПИТАНИЯ""")</f>
        <v>ООО "КОМБИНАТ ПИТАНИЯ"</v>
      </c>
      <c r="K10719" s="24" t="s">
        <v>6012</v>
      </c>
      <c r="L10719" s="28" t="s">
        <v>51</v>
      </c>
      <c r="M10719" s="25">
        <v>9510448</v>
      </c>
      <c r="N10719" s="27">
        <v>1.0513646292341608E-4</v>
      </c>
    </row>
    <row r="10720" spans="1:14" x14ac:dyDescent="0.15">
      <c r="A10720" s="23" t="str">
        <f>HYPERLINK("https://www.spark-marketing.ru/Card/Person/22193", "УМВД РОССИИ ПО ТВЕРСКОЙ ОБЛАСТИ")</f>
        <v>УМВД РОССИИ ПО ТВЕРСКОЙ ОБЛАСТИ</v>
      </c>
      <c r="B10720" s="24" t="s">
        <v>15054</v>
      </c>
      <c r="C10720" s="25">
        <v>6730560</v>
      </c>
      <c r="D10720" s="22" t="s">
        <v>15122</v>
      </c>
      <c r="E10720" s="22" t="s">
        <v>48</v>
      </c>
      <c r="F10720" s="23" t="str">
        <f>HYPERLINK("https://www.spark-marketing.ru/Card/Lot/72362959", "Оказание услуг по организации питания иностранных граждан, содержащихся в ЦВСИГ УМВД России по Тверской области")</f>
        <v>Оказание услуг по организации питания иностранных граждан, содержащихся в ЦВСИГ УМВД России по Тверской области</v>
      </c>
      <c r="G10720" s="22" t="s">
        <v>137</v>
      </c>
      <c r="H10720" s="22" t="s">
        <v>138</v>
      </c>
      <c r="I10720" s="26">
        <v>43671.700706018499</v>
      </c>
      <c r="J10720" s="23" t="str">
        <f>HYPERLINK("https://www.spark-marketing.ru/Card/Person/137941", "Пушкина Светлана Александровна")</f>
        <v>Пушкина Светлана Александровна</v>
      </c>
      <c r="K10720" s="24" t="s">
        <v>3193</v>
      </c>
      <c r="L10720" s="22" t="s">
        <v>10</v>
      </c>
      <c r="M10720" s="28" t="s">
        <v>51</v>
      </c>
      <c r="N10720" s="28" t="s">
        <v>51</v>
      </c>
    </row>
    <row r="10721" spans="1:14" x14ac:dyDescent="0.15">
      <c r="A10721" s="23" t="str">
        <f>HYPERLINK("https://www.spark-marketing.ru/Card/Person/50743", "МП ""ДЕТСКОЕ ПИТАНИЕ""")</f>
        <v>МП "ДЕТСКОЕ ПИТАНИЕ"</v>
      </c>
      <c r="B10721" s="24" t="s">
        <v>1562</v>
      </c>
      <c r="C10721" s="25">
        <v>1033230</v>
      </c>
      <c r="D10721" s="22" t="s">
        <v>15058</v>
      </c>
      <c r="E10721" s="22" t="s">
        <v>3064</v>
      </c>
      <c r="F10721" s="23" t="str">
        <f>HYPERLINK("https://www.spark-marketing.ru/Card/Lot/72355922", "Лот №4 Поставка сушёных фруктов для оказания услуг по предоставлению питания школьникам.")</f>
        <v>Лот №4 Поставка сушёных фруктов для оказания услуг по предоставлению питания школьникам.</v>
      </c>
      <c r="G10721" s="22" t="s">
        <v>1522</v>
      </c>
      <c r="H10721" s="22" t="s">
        <v>1523</v>
      </c>
      <c r="I10721" s="26">
        <v>43671.705879629597</v>
      </c>
      <c r="J10721" s="28" t="s">
        <v>51</v>
      </c>
      <c r="K10721" s="28" t="s">
        <v>51</v>
      </c>
      <c r="L10721" s="28" t="s">
        <v>51</v>
      </c>
      <c r="M10721" s="28" t="s">
        <v>51</v>
      </c>
      <c r="N10721" s="28" t="s">
        <v>51</v>
      </c>
    </row>
    <row r="10722" spans="1:14" x14ac:dyDescent="0.15">
      <c r="A10722" s="23" t="str">
        <f>HYPERLINK("https://www.spark-marketing.ru/Card/Person/50743", "МП ""ДЕТСКОЕ ПИТАНИЕ""")</f>
        <v>МП "ДЕТСКОЕ ПИТАНИЕ"</v>
      </c>
      <c r="B10722" s="24" t="s">
        <v>1562</v>
      </c>
      <c r="C10722" s="25">
        <v>473880</v>
      </c>
      <c r="D10722" s="22" t="s">
        <v>15058</v>
      </c>
      <c r="E10722" s="22" t="s">
        <v>2265</v>
      </c>
      <c r="F10722" s="23" t="str">
        <f>HYPERLINK("https://www.spark-marketing.ru/Card/Lot/72355905", "Лот №2 Поставка Кисель ягодный концентрат для оказания услуг по предоставлению питания школьникам.")</f>
        <v>Лот №2 Поставка Кисель ягодный концентрат для оказания услуг по предоставлению питания школьникам.</v>
      </c>
      <c r="G10722" s="22" t="s">
        <v>1522</v>
      </c>
      <c r="H10722" s="22" t="s">
        <v>1523</v>
      </c>
      <c r="I10722" s="26">
        <v>43671.705879629597</v>
      </c>
      <c r="J10722" s="28" t="s">
        <v>51</v>
      </c>
      <c r="K10722" s="28" t="s">
        <v>51</v>
      </c>
      <c r="L10722" s="28" t="s">
        <v>51</v>
      </c>
      <c r="M10722" s="28" t="s">
        <v>51</v>
      </c>
      <c r="N10722" s="28" t="s">
        <v>51</v>
      </c>
    </row>
    <row r="10723" spans="1:14" x14ac:dyDescent="0.15">
      <c r="A10723" s="23" t="str">
        <f>HYPERLINK("https://www.spark-marketing.ru/Card/Person/32666", "ГБУ РС(Я) ""ЯРПНД""")</f>
        <v>ГБУ РС(Я) "ЯРПНД"</v>
      </c>
      <c r="B10723" s="24" t="s">
        <v>979</v>
      </c>
      <c r="C10723" s="25">
        <v>15985598.6</v>
      </c>
      <c r="D10723" s="22" t="s">
        <v>15123</v>
      </c>
      <c r="E10723" s="22" t="s">
        <v>48</v>
      </c>
      <c r="F10723" s="23" t="str">
        <f>HYPERLINK("https://www.spark-marketing.ru/Card/Lot/72343006", "Оказание услуг по обеспечению лечебным питанием пациентов ГБУ РС(Я) ""ЯРПНД""")</f>
        <v>Оказание услуг по обеспечению лечебным питанием пациентов ГБУ РС(Я) "ЯРПНД"</v>
      </c>
      <c r="G10723" s="22" t="s">
        <v>241</v>
      </c>
      <c r="H10723" s="22" t="s">
        <v>242</v>
      </c>
      <c r="I10723" s="26">
        <v>43671.6800462963</v>
      </c>
      <c r="J10723" s="28" t="s">
        <v>51</v>
      </c>
      <c r="K10723" s="28" t="s">
        <v>51</v>
      </c>
      <c r="L10723" s="28" t="s">
        <v>51</v>
      </c>
      <c r="M10723" s="28" t="s">
        <v>51</v>
      </c>
      <c r="N10723" s="28" t="s">
        <v>51</v>
      </c>
    </row>
    <row r="10724" spans="1:14" hidden="1" outlineLevel="1" x14ac:dyDescent="0.2">
      <c r="A10724" s="23" t="str">
        <f>HYPERLINK("https://www.spark-marketing.ru/Card/Person/32666", "ГБУ РС(Я) ""ЯРПНД""")</f>
        <v>ГБУ РС(Я) "ЯРПНД"</v>
      </c>
      <c r="B10724" s="24" t="s">
        <v>979</v>
      </c>
      <c r="C10724" s="25">
        <v>15985598.6</v>
      </c>
      <c r="D10724" s="22" t="s">
        <v>15123</v>
      </c>
      <c r="E10724" s="22" t="s">
        <v>48</v>
      </c>
      <c r="F10724" s="23" t="str">
        <f>HYPERLINK("https://www.spark-marketing.ru/Card/Lot/72343006", "Оказание услуг по обеспечению лечебным питанием пациентов ГБУ РС(Я) ""ЯРПНД""")</f>
        <v>Оказание услуг по обеспечению лечебным питанием пациентов ГБУ РС(Я) "ЯРПНД"</v>
      </c>
      <c r="G10724" s="22" t="s">
        <v>241</v>
      </c>
      <c r="H10724" s="22" t="s">
        <v>242</v>
      </c>
      <c r="I10724" s="26">
        <v>43671.6800462963</v>
      </c>
      <c r="J10724" s="23" t="str">
        <f>HYPERLINK("https://www.spark-marketing.ru/Card/Person/4766583", "ООО ""БЛАГО""")</f>
        <v>ООО "БЛАГО"</v>
      </c>
      <c r="K10724" s="24" t="s">
        <v>15124</v>
      </c>
      <c r="L10724" s="28" t="s">
        <v>51</v>
      </c>
      <c r="M10724" s="25">
        <v>8612150</v>
      </c>
      <c r="N10724" s="27">
        <v>0.46125570799707183</v>
      </c>
    </row>
    <row r="10725" spans="1:14" hidden="1" outlineLevel="1" x14ac:dyDescent="0.2">
      <c r="A10725" s="23" t="str">
        <f>HYPERLINK("https://www.spark-marketing.ru/Card/Person/32666", "ГБУ РС(Я) ""ЯРПНД""")</f>
        <v>ГБУ РС(Я) "ЯРПНД"</v>
      </c>
      <c r="B10725" s="24" t="s">
        <v>979</v>
      </c>
      <c r="C10725" s="25">
        <v>15985598.6</v>
      </c>
      <c r="D10725" s="22" t="s">
        <v>15123</v>
      </c>
      <c r="E10725" s="22" t="s">
        <v>48</v>
      </c>
      <c r="F10725" s="23" t="str">
        <f>HYPERLINK("https://www.spark-marketing.ru/Card/Lot/72343006", "Оказание услуг по обеспечению лечебным питанием пациентов ГБУ РС(Я) ""ЯРПНД""")</f>
        <v>Оказание услуг по обеспечению лечебным питанием пациентов ГБУ РС(Я) "ЯРПНД"</v>
      </c>
      <c r="G10725" s="22" t="s">
        <v>241</v>
      </c>
      <c r="H10725" s="22" t="s">
        <v>242</v>
      </c>
      <c r="I10725" s="26">
        <v>43671.6800462963</v>
      </c>
      <c r="J10725" s="23" t="str">
        <f>HYPERLINK("https://www.spark-marketing.ru/Card/Person/6147602", "ООО ""КП ""СЭРГЭЛЭЭХ""""")</f>
        <v>ООО "КП "СЭРГЭЛЭЭХ""</v>
      </c>
      <c r="K10725" s="24" t="s">
        <v>14754</v>
      </c>
      <c r="L10725" s="28" t="s">
        <v>51</v>
      </c>
      <c r="M10725" s="25">
        <v>11109990.67</v>
      </c>
      <c r="N10725" s="27">
        <v>0.30500002233260132</v>
      </c>
    </row>
    <row r="10726" spans="1:14" ht="12.75" hidden="1" outlineLevel="1" x14ac:dyDescent="0.2">
      <c r="A10726" s="23" t="str">
        <f>HYPERLINK("https://www.spark-marketing.ru/Card/Person/32666", "ГБУ РС(Я) ""ЯРПНД""")</f>
        <v>ГБУ РС(Я) "ЯРПНД"</v>
      </c>
      <c r="B10726" s="24" t="s">
        <v>979</v>
      </c>
      <c r="C10726" s="25">
        <v>15985598.6</v>
      </c>
      <c r="D10726" s="22" t="s">
        <v>15123</v>
      </c>
      <c r="E10726" s="22" t="s">
        <v>48</v>
      </c>
      <c r="F10726" s="23" t="str">
        <f>HYPERLINK("https://www.spark-marketing.ru/Card/Lot/72343006", "Оказание услуг по обеспечению лечебным питанием пациентов ГБУ РС(Я) ""ЯРПНД""")</f>
        <v>Оказание услуг по обеспечению лечебным питанием пациентов ГБУ РС(Я) "ЯРПНД"</v>
      </c>
      <c r="G10726" s="22" t="s">
        <v>241</v>
      </c>
      <c r="H10726" s="22" t="s">
        <v>242</v>
      </c>
      <c r="I10726" s="26">
        <v>43671.6800462963</v>
      </c>
      <c r="J10726" s="23" t="str">
        <f>HYPERLINK("https://www.spark-marketing.ru/Card/Person/63464", "Цхай Надежда Моисеевна")</f>
        <v>Цхай Надежда Моисеевна</v>
      </c>
      <c r="K10726" s="24" t="s">
        <v>7903</v>
      </c>
      <c r="L10726" s="22" t="s">
        <v>10</v>
      </c>
      <c r="M10726" s="25">
        <v>8532199</v>
      </c>
      <c r="N10726" s="27">
        <v>0.46625714723000738</v>
      </c>
    </row>
    <row r="10727" spans="1:14" hidden="1" outlineLevel="1" x14ac:dyDescent="0.2">
      <c r="A10727" s="23" t="str">
        <f>HYPERLINK("https://www.spark-marketing.ru/Card/Person/32666", "ГБУ РС(Я) ""ЯРПНД""")</f>
        <v>ГБУ РС(Я) "ЯРПНД"</v>
      </c>
      <c r="B10727" s="24" t="s">
        <v>979</v>
      </c>
      <c r="C10727" s="25">
        <v>15985598.6</v>
      </c>
      <c r="D10727" s="22" t="s">
        <v>15123</v>
      </c>
      <c r="E10727" s="22" t="s">
        <v>48</v>
      </c>
      <c r="F10727" s="23" t="str">
        <f>HYPERLINK("https://www.spark-marketing.ru/Card/Lot/72343006", "Оказание услуг по обеспечению лечебным питанием пациентов ГБУ РС(Я) ""ЯРПНД""")</f>
        <v>Оказание услуг по обеспечению лечебным питанием пациентов ГБУ РС(Я) "ЯРПНД"</v>
      </c>
      <c r="G10727" s="22" t="s">
        <v>241</v>
      </c>
      <c r="H10727" s="22" t="s">
        <v>242</v>
      </c>
      <c r="I10727" s="26">
        <v>43671.6800462963</v>
      </c>
      <c r="J10727" s="23" t="str">
        <f>HYPERLINK("https://www.spark-marketing.ru/Card/Person/6633295", "ООО ""КРИСТЕЛЬ""")</f>
        <v>ООО "КРИСТЕЛЬ"</v>
      </c>
      <c r="K10727" s="24" t="s">
        <v>2792</v>
      </c>
      <c r="L10727" s="28" t="s">
        <v>51</v>
      </c>
      <c r="M10727" s="25">
        <v>8772006</v>
      </c>
      <c r="N10727" s="27">
        <v>0.45125570712128354</v>
      </c>
    </row>
    <row r="10728" spans="1:14" x14ac:dyDescent="0.15">
      <c r="A10728" s="23" t="str">
        <f>HYPERLINK("https://www.spark-marketing.ru/Card/Person/37286", "ОТДЕЛ МВД РОССИИ ПО ТАШТАГОЛЬСКОМУ РАЙОНУ")</f>
        <v>ОТДЕЛ МВД РОССИИ ПО ТАШТАГОЛЬСКОМУ РАЙОНУ</v>
      </c>
      <c r="B10728" s="24" t="s">
        <v>15052</v>
      </c>
      <c r="C10728" s="25">
        <v>525000</v>
      </c>
      <c r="D10728" s="22" t="s">
        <v>15125</v>
      </c>
      <c r="E10728" s="22" t="s">
        <v>48</v>
      </c>
      <c r="F10728" s="23" t="str">
        <f>HYPERLINK("https://www.spark-marketing.ru/Card/Lot/72366195", "Оказание услуг по организации ежедневного комплекса горячего питания лиц, находящихся в изоляторе временного содержания.")</f>
        <v>Оказание услуг по организации ежедневного комплекса горячего питания лиц, находящихся в изоляторе временного содержания.</v>
      </c>
      <c r="G10728" s="22" t="s">
        <v>304</v>
      </c>
      <c r="H10728" s="22" t="s">
        <v>5840</v>
      </c>
      <c r="I10728" s="26">
        <v>43671.703587962998</v>
      </c>
      <c r="J10728" s="28" t="s">
        <v>51</v>
      </c>
      <c r="K10728" s="28" t="s">
        <v>51</v>
      </c>
      <c r="L10728" s="28" t="s">
        <v>51</v>
      </c>
      <c r="M10728" s="28" t="s">
        <v>51</v>
      </c>
      <c r="N10728" s="28" t="s">
        <v>51</v>
      </c>
    </row>
    <row r="10729" spans="1:14" x14ac:dyDescent="0.15">
      <c r="A10729" s="23" t="str">
        <f>HYPERLINK("https://www.spark-marketing.ru/Card/Person/28839", "УПРАВА РАЙОНА ЩУКИНО ГОРОДА МОСКВЫ")</f>
        <v>УПРАВА РАЙОНА ЩУКИНО ГОРОДА МОСКВЫ</v>
      </c>
      <c r="B10729" s="24" t="s">
        <v>15126</v>
      </c>
      <c r="C10729" s="25">
        <v>374998.33</v>
      </c>
      <c r="D10729" s="22" t="s">
        <v>15127</v>
      </c>
      <c r="E10729" s="22" t="s">
        <v>96</v>
      </c>
      <c r="F10729" s="23" t="str">
        <f>HYPERLINK("https://www.spark-marketing.ru/Card/Lot/72346390", "Оказание услуг по организации питания членов участковых избирательных комиссии (УИК) в рамках материально-технического обеспечения выборов")</f>
        <v>Оказание услуг по организации питания членов участковых избирательных комиссии (УИК) в рамках материально-технического обеспечения выборов</v>
      </c>
      <c r="G10729" s="22" t="s">
        <v>56</v>
      </c>
      <c r="H10729" s="22" t="s">
        <v>56</v>
      </c>
      <c r="I10729" s="26">
        <v>43671.6671180556</v>
      </c>
      <c r="J10729" s="28" t="s">
        <v>51</v>
      </c>
      <c r="K10729" s="28" t="s">
        <v>51</v>
      </c>
      <c r="L10729" s="28" t="s">
        <v>51</v>
      </c>
      <c r="M10729" s="28" t="s">
        <v>51</v>
      </c>
      <c r="N10729" s="28" t="s">
        <v>51</v>
      </c>
    </row>
    <row r="10730" spans="1:14" ht="12.75" hidden="1" outlineLevel="1" x14ac:dyDescent="0.2">
      <c r="A10730" s="23" t="str">
        <f>HYPERLINK("https://www.spark-marketing.ru/Card/Person/28839", "УПРАВА РАЙОНА ЩУКИНО ГОРОДА МОСКВЫ")</f>
        <v>УПРАВА РАЙОНА ЩУКИНО ГОРОДА МОСКВЫ</v>
      </c>
      <c r="B10730" s="24" t="s">
        <v>15126</v>
      </c>
      <c r="C10730" s="25">
        <v>374998.33</v>
      </c>
      <c r="D10730" s="22" t="s">
        <v>15127</v>
      </c>
      <c r="E10730" s="22" t="s">
        <v>96</v>
      </c>
      <c r="F10730" s="23" t="str">
        <f>HYPERLINK("https://www.spark-marketing.ru/Card/Lot/72346390", "Оказание услуг по организации питания членов участковых избирательных комиссии (УИК) в рамках материально-технического обеспечения выборов")</f>
        <v>Оказание услуг по организации питания членов участковых избирательных комиссии (УИК) в рамках материально-технического обеспечения выборов</v>
      </c>
      <c r="G10730" s="22" t="s">
        <v>56</v>
      </c>
      <c r="H10730" s="22" t="s">
        <v>56</v>
      </c>
      <c r="I10730" s="26">
        <v>43671.6671180556</v>
      </c>
      <c r="J10730" s="23" t="str">
        <f>HYPERLINK("https://www.spark-marketing.ru/Card/Person/6516523", "ООО ""ВИТА""")</f>
        <v>ООО "ВИТА"</v>
      </c>
      <c r="K10730" s="24" t="s">
        <v>7450</v>
      </c>
      <c r="L10730" s="22" t="s">
        <v>10</v>
      </c>
      <c r="M10730" s="25">
        <v>255125.01</v>
      </c>
      <c r="N10730" s="27">
        <v>0.31966361023527756</v>
      </c>
    </row>
    <row r="10731" spans="1:14" hidden="1" outlineLevel="1" x14ac:dyDescent="0.2">
      <c r="A10731" s="23" t="str">
        <f>HYPERLINK("https://www.spark-marketing.ru/Card/Person/28839", "УПРАВА РАЙОНА ЩУКИНО ГОРОДА МОСКВЫ")</f>
        <v>УПРАВА РАЙОНА ЩУКИНО ГОРОДА МОСКВЫ</v>
      </c>
      <c r="B10731" s="24" t="s">
        <v>15126</v>
      </c>
      <c r="C10731" s="25">
        <v>374998.33</v>
      </c>
      <c r="D10731" s="22" t="s">
        <v>15127</v>
      </c>
      <c r="E10731" s="22" t="s">
        <v>96</v>
      </c>
      <c r="F10731" s="23" t="str">
        <f>HYPERLINK("https://www.spark-marketing.ru/Card/Lot/72346390", "Оказание услуг по организации питания членов участковых избирательных комиссии (УИК) в рамках материально-технического обеспечения выборов")</f>
        <v>Оказание услуг по организации питания членов участковых избирательных комиссии (УИК) в рамках материально-технического обеспечения выборов</v>
      </c>
      <c r="G10731" s="22" t="s">
        <v>56</v>
      </c>
      <c r="H10731" s="22" t="s">
        <v>56</v>
      </c>
      <c r="I10731" s="26">
        <v>43671.6671180556</v>
      </c>
      <c r="J10731" s="23" t="str">
        <f>HYPERLINK("https://www.spark-marketing.ru/Card/Person/6633519", "ООО ""КОММЕРЦПРО""")</f>
        <v>ООО "КОММЕРЦПРО"</v>
      </c>
      <c r="K10731" s="24" t="s">
        <v>7403</v>
      </c>
      <c r="L10731" s="28" t="s">
        <v>51</v>
      </c>
      <c r="M10731" s="25">
        <v>257000</v>
      </c>
      <c r="N10731" s="27">
        <v>0.31466361463529718</v>
      </c>
    </row>
    <row r="10732" spans="1:14" hidden="1" outlineLevel="1" x14ac:dyDescent="0.2">
      <c r="A10732" s="23" t="str">
        <f>HYPERLINK("https://www.spark-marketing.ru/Card/Person/28839", "УПРАВА РАЙОНА ЩУКИНО ГОРОДА МОСКВЫ")</f>
        <v>УПРАВА РАЙОНА ЩУКИНО ГОРОДА МОСКВЫ</v>
      </c>
      <c r="B10732" s="24" t="s">
        <v>15126</v>
      </c>
      <c r="C10732" s="25">
        <v>374998.33</v>
      </c>
      <c r="D10732" s="22" t="s">
        <v>15127</v>
      </c>
      <c r="E10732" s="22" t="s">
        <v>96</v>
      </c>
      <c r="F10732" s="23" t="str">
        <f>HYPERLINK("https://www.spark-marketing.ru/Card/Lot/72346390", "Оказание услуг по организации питания членов участковых избирательных комиссии (УИК) в рамках материально-технического обеспечения выборов")</f>
        <v>Оказание услуг по организации питания членов участковых избирательных комиссии (УИК) в рамках материально-технического обеспечения выборов</v>
      </c>
      <c r="G10732" s="22" t="s">
        <v>56</v>
      </c>
      <c r="H10732" s="22" t="s">
        <v>56</v>
      </c>
      <c r="I10732" s="26">
        <v>43671.6671180556</v>
      </c>
      <c r="J10732" s="23" t="str">
        <f>HYPERLINK("https://www.spark-marketing.ru/Card/Person/2042423", "ООО ""ТФ ПРОДЖЕКТ""")</f>
        <v>ООО "ТФ ПРОДЖЕКТ"</v>
      </c>
      <c r="K10732" s="24" t="s">
        <v>9610</v>
      </c>
      <c r="L10732" s="28" t="s">
        <v>51</v>
      </c>
      <c r="M10732" s="25">
        <v>261250.18</v>
      </c>
      <c r="N10732" s="27">
        <v>0.30332975082849034</v>
      </c>
    </row>
    <row r="10733" spans="1:14" x14ac:dyDescent="0.15">
      <c r="A10733" s="23" t="str">
        <f>HYPERLINK("https://www.spark-marketing.ru/Card/Person/1045337", "МАУ ЦЕНТР ""ЗАРЯ"" Г.О. САМАРА")</f>
        <v>МАУ ЦЕНТР "ЗАРЯ" Г.О. САМАРА</v>
      </c>
      <c r="B10733" s="24" t="s">
        <v>15128</v>
      </c>
      <c r="C10733" s="25">
        <v>852880</v>
      </c>
      <c r="D10733" s="22" t="s">
        <v>15129</v>
      </c>
      <c r="E10733" s="22" t="s">
        <v>362</v>
      </c>
      <c r="F10733" s="23" t="str">
        <f>HYPERLINK("https://www.spark-marketing.ru/Card/Lot/72354512", "услуги по организации горячего питания детей и сотрудников")</f>
        <v>услуги по организации горячего питания детей и сотрудников</v>
      </c>
      <c r="G10733" s="22" t="s">
        <v>128</v>
      </c>
      <c r="H10733" s="22" t="s">
        <v>128</v>
      </c>
      <c r="I10733" s="26">
        <v>43671.6252662037</v>
      </c>
      <c r="J10733" s="28" t="s">
        <v>51</v>
      </c>
      <c r="K10733" s="28" t="s">
        <v>51</v>
      </c>
      <c r="L10733" s="28" t="s">
        <v>51</v>
      </c>
      <c r="M10733" s="28" t="s">
        <v>51</v>
      </c>
      <c r="N10733" s="28" t="s">
        <v>51</v>
      </c>
    </row>
    <row r="10734" spans="1:14" x14ac:dyDescent="0.15">
      <c r="A10734" s="23" t="str">
        <f>HYPERLINK("https://www.spark-marketing.ru/Card/Person/21880", "ГУ МВД РОССИИ ПО ИРКУТСКОЙ ОБЛАСТИ")</f>
        <v>ГУ МВД РОССИИ ПО ИРКУТСКОЙ ОБЛАСТИ</v>
      </c>
      <c r="B10734" s="24" t="s">
        <v>9508</v>
      </c>
      <c r="C10734" s="25">
        <v>9085000</v>
      </c>
      <c r="D10734" s="22" t="s">
        <v>15130</v>
      </c>
      <c r="E10734" s="22" t="s">
        <v>48</v>
      </c>
      <c r="F10734" s="23" t="str">
        <f>HYPERLINK("https://www.spark-marketing.ru/Card/Lot/72342994", "Прочая закупка товаров, работ и услуг (Оказание услуг по обеспечению ежедневным трехразовым питанием иностранных граждан и лиц без гражданства)")</f>
        <v>Прочая закупка товаров, работ и услуг (Оказание услуг по обеспечению ежедневным трехразовым питанием иностранных граждан и лиц без гражданства)</v>
      </c>
      <c r="G10734" s="22" t="s">
        <v>263</v>
      </c>
      <c r="H10734" s="22" t="s">
        <v>540</v>
      </c>
      <c r="I10734" s="26">
        <v>43671.650891203702</v>
      </c>
      <c r="J10734" s="23" t="str">
        <f>HYPERLINK("https://www.spark-marketing.ru/Card/Person/63319", "ООО СЕРВИСНАЯ КОМПАНИЯ ""СИБЭКОСЕРВИС""")</f>
        <v>ООО СЕРВИСНАЯ КОМПАНИЯ "СИБЭКОСЕРВИС"</v>
      </c>
      <c r="K10734" s="24" t="s">
        <v>9510</v>
      </c>
      <c r="L10734" s="22" t="s">
        <v>10</v>
      </c>
      <c r="M10734" s="28" t="s">
        <v>51</v>
      </c>
      <c r="N10734" s="28" t="s">
        <v>51</v>
      </c>
    </row>
    <row r="10735" spans="1:14" x14ac:dyDescent="0.15">
      <c r="A10735" s="23" t="str">
        <f>HYPERLINK("https://www.spark-marketing.ru/Card/Person/4347338", "МКУ ""УПРАВЛЕНИЕ ОБРАЗОВАНИЯ ГО ЗАРЕЧНЫЙ""")</f>
        <v>МКУ "УПРАВЛЕНИЕ ОБРАЗОВАНИЯ ГО ЗАРЕЧНЫЙ"</v>
      </c>
      <c r="B10735" s="24" t="s">
        <v>15131</v>
      </c>
      <c r="C10735" s="25">
        <v>26774446</v>
      </c>
      <c r="D10735" s="22" t="s">
        <v>15132</v>
      </c>
      <c r="E10735" s="22" t="s">
        <v>48</v>
      </c>
      <c r="F10735" s="23" t="str">
        <f>HYPERLINK("https://www.spark-marketing.ru/Card/Lot/72342741", "Оказание услуг по организации питания детей в общеобразовательных организациях городского округа Заречный на учебный период 01.09.2019-28.02.2020")</f>
        <v>Оказание услуг по организации питания детей в общеобразовательных организациях городского округа Заречный на учебный период 01.09.2019-28.02.2020</v>
      </c>
      <c r="G10735" s="22" t="s">
        <v>174</v>
      </c>
      <c r="H10735" s="22" t="s">
        <v>8413</v>
      </c>
      <c r="I10735" s="26">
        <v>43671.632638888899</v>
      </c>
      <c r="J10735" s="28" t="s">
        <v>51</v>
      </c>
      <c r="K10735" s="28" t="s">
        <v>51</v>
      </c>
      <c r="L10735" s="28" t="s">
        <v>51</v>
      </c>
      <c r="M10735" s="28" t="s">
        <v>51</v>
      </c>
      <c r="N10735" s="28" t="s">
        <v>51</v>
      </c>
    </row>
    <row r="10736" spans="1:14" hidden="1" outlineLevel="1" x14ac:dyDescent="0.2">
      <c r="A10736" s="23" t="str">
        <f>HYPERLINK("https://www.spark-marketing.ru/Card/Person/4347338", "МКУ ""УПРАВЛЕНИЕ ОБРАЗОВАНИЯ ГО ЗАРЕЧНЫЙ""")</f>
        <v>МКУ "УПРАВЛЕНИЕ ОБРАЗОВАНИЯ ГО ЗАРЕЧНЫЙ"</v>
      </c>
      <c r="B10736" s="24" t="s">
        <v>15131</v>
      </c>
      <c r="C10736" s="25">
        <v>26774446</v>
      </c>
      <c r="D10736" s="22" t="s">
        <v>15132</v>
      </c>
      <c r="E10736" s="22" t="s">
        <v>48</v>
      </c>
      <c r="F10736" s="23" t="str">
        <f>HYPERLINK("https://www.spark-marketing.ru/Card/Lot/72342741", "Оказание услуг по организации питания детей в общеобразовательных организациях городского округа Заречный на учебный период 01.09.2019-28.02.2020")</f>
        <v>Оказание услуг по организации питания детей в общеобразовательных организациях городского округа Заречный на учебный период 01.09.2019-28.02.2020</v>
      </c>
      <c r="G10736" s="22" t="s">
        <v>174</v>
      </c>
      <c r="H10736" s="22" t="s">
        <v>8413</v>
      </c>
      <c r="I10736" s="26">
        <v>43671.632638888899</v>
      </c>
      <c r="J10736" s="23" t="str">
        <f>HYPERLINK("https://www.spark-marketing.ru/Card/Person/4952099", "ООО ""ТОП""")</f>
        <v>ООО "ТОП"</v>
      </c>
      <c r="K10736" s="24" t="s">
        <v>15133</v>
      </c>
      <c r="L10736" s="28" t="s">
        <v>51</v>
      </c>
      <c r="M10736" s="25">
        <v>25435723</v>
      </c>
      <c r="N10736" s="27">
        <v>5.0000026144331799E-2</v>
      </c>
    </row>
    <row r="10737" spans="1:14" ht="12.75" hidden="1" outlineLevel="1" x14ac:dyDescent="0.2">
      <c r="A10737" s="23" t="str">
        <f>HYPERLINK("https://www.spark-marketing.ru/Card/Person/4347338", "МКУ ""УПРАВЛЕНИЕ ОБРАЗОВАНИЯ ГО ЗАРЕЧНЫЙ""")</f>
        <v>МКУ "УПРАВЛЕНИЕ ОБРАЗОВАНИЯ ГО ЗАРЕЧНЫЙ"</v>
      </c>
      <c r="B10737" s="24" t="s">
        <v>15131</v>
      </c>
      <c r="C10737" s="25">
        <v>26774446</v>
      </c>
      <c r="D10737" s="22" t="s">
        <v>15132</v>
      </c>
      <c r="E10737" s="22" t="s">
        <v>48</v>
      </c>
      <c r="F10737" s="23" t="str">
        <f>HYPERLINK("https://www.spark-marketing.ru/Card/Lot/72342741", "Оказание услуг по организации питания детей в общеобразовательных организациях городского округа Заречный на учебный период 01.09.2019-28.02.2020")</f>
        <v>Оказание услуг по организации питания детей в общеобразовательных организациях городского округа Заречный на учебный период 01.09.2019-28.02.2020</v>
      </c>
      <c r="G10737" s="22" t="s">
        <v>174</v>
      </c>
      <c r="H10737" s="22" t="s">
        <v>8413</v>
      </c>
      <c r="I10737" s="26">
        <v>43671.632638888899</v>
      </c>
      <c r="J10737" s="23" t="str">
        <f>HYPERLINK("https://www.spark-marketing.ru/Card/Person/55369", "ООО ""КОМБИНАТ ОБЩЕСТВЕННОГО ПИТАНИЯ""")</f>
        <v>ООО "КОМБИНАТ ОБЩЕСТВЕННОГО ПИТАНИЯ"</v>
      </c>
      <c r="K10737" s="24" t="s">
        <v>1516</v>
      </c>
      <c r="L10737" s="22" t="s">
        <v>10</v>
      </c>
      <c r="M10737" s="25">
        <v>26774446</v>
      </c>
      <c r="N10737" s="27">
        <v>0</v>
      </c>
    </row>
    <row r="10738" spans="1:14" x14ac:dyDescent="0.15">
      <c r="A10738" s="23" t="str">
        <f>HYPERLINK("https://www.spark-marketing.ru/Card/Person/82508", "ООО ""ГАЗПРОМ ГАЗОРАСПРЕДЕЛЕНИЕ ТОМСК""")</f>
        <v>ООО "ГАЗПРОМ ГАЗОРАСПРЕДЕЛЕНИЕ ТОМСК"</v>
      </c>
      <c r="B10738" s="24" t="s">
        <v>11229</v>
      </c>
      <c r="C10738" s="25">
        <v>441031.8</v>
      </c>
      <c r="D10738" s="22" t="s">
        <v>15134</v>
      </c>
      <c r="E10738" s="22" t="s">
        <v>2273</v>
      </c>
      <c r="F10738" s="23" t="str">
        <f>HYPERLINK("https://www.spark-marketing.ru/Card/Lot/72357005", "Оказание услуг по организации питания и обслуживанию при проведении торжественного мероприятия, посвященного празднованию коллективом ООО «Газпром газораспределение Томск» Дня работников нефтяной и газовой промышленности")</f>
        <v>Оказание услуг по организации питания и обслуживанию при проведении торжественного мероприятия, посвященного празднованию коллективом ООО «Газпром газораспределение Томск» Дня работников нефтяной и газовой промышленности</v>
      </c>
      <c r="G10738" s="22" t="s">
        <v>149</v>
      </c>
      <c r="H10738" s="22" t="s">
        <v>496</v>
      </c>
      <c r="I10738" s="26">
        <v>43671.6584953704</v>
      </c>
      <c r="J10738" s="28" t="s">
        <v>51</v>
      </c>
      <c r="K10738" s="28" t="s">
        <v>51</v>
      </c>
      <c r="L10738" s="28" t="s">
        <v>51</v>
      </c>
      <c r="M10738" s="28" t="s">
        <v>51</v>
      </c>
      <c r="N10738" s="28" t="s">
        <v>51</v>
      </c>
    </row>
    <row r="10739" spans="1:14" x14ac:dyDescent="0.15">
      <c r="A10739" s="23" t="str">
        <f>HYPERLINK("https://www.spark-marketing.ru/Card/Person/29292", "ГУ-ЛЕНИНГРАДСКОЕ РО ФОНДА СОЦИАЛЬНОГО СТРАХОВАНИЯ РОССИЙСКОЙ ФЕДЕРАЦИИ")</f>
        <v>ГУ-ЛЕНИНГРАДСКОЕ РО ФОНДА СОЦИАЛЬНОГО СТРАХОВАНИЯ РОССИЙСКОЙ ФЕДЕРАЦИИ</v>
      </c>
      <c r="B10739" s="24" t="s">
        <v>1653</v>
      </c>
      <c r="C10739" s="25">
        <v>1572102</v>
      </c>
      <c r="D10739" s="22" t="s">
        <v>15135</v>
      </c>
      <c r="E10739" s="22" t="s">
        <v>86</v>
      </c>
      <c r="F10739" s="23" t="str">
        <f>HYPERLINK("https://www.spark-marketing.ru/Card/Lot/72348892", "Санаторно-курортное лечение граждан-получателей набора социальных услуг")</f>
        <v>Санаторно-курортное лечение граждан-получателей набора социальных услуг</v>
      </c>
      <c r="G10739" s="22" t="s">
        <v>117</v>
      </c>
      <c r="H10739" s="22" t="s">
        <v>117</v>
      </c>
      <c r="I10739" s="26">
        <v>43671.627916666701</v>
      </c>
      <c r="J10739" s="23" t="str">
        <f>HYPERLINK("https://www.spark-marketing.ru/Card/Person/52911", "ООО "" САНАТОРИЙ "" ПАРУС """)</f>
        <v>ООО " САНАТОРИЙ " ПАРУС "</v>
      </c>
      <c r="K10739" s="24" t="s">
        <v>3010</v>
      </c>
      <c r="L10739" s="28" t="s">
        <v>51</v>
      </c>
      <c r="M10739" s="28" t="s">
        <v>51</v>
      </c>
      <c r="N10739" s="28" t="s">
        <v>51</v>
      </c>
    </row>
    <row r="10740" spans="1:14" ht="12.75" hidden="1" outlineLevel="1" x14ac:dyDescent="0.2">
      <c r="A10740" s="23" t="str">
        <f>HYPERLINK("https://www.spark-marketing.ru/Card/Person/29292", "ГУ-ЛЕНИНГРАДСКОЕ РО ФОНДА СОЦИАЛЬНОГО СТРАХОВАНИЯ РОССИЙСКОЙ ФЕДЕРАЦИИ")</f>
        <v>ГУ-ЛЕНИНГРАДСКОЕ РО ФОНДА СОЦИАЛЬНОГО СТРАХОВАНИЯ РОССИЙСКОЙ ФЕДЕРАЦИИ</v>
      </c>
      <c r="B10740" s="24" t="s">
        <v>1653</v>
      </c>
      <c r="C10740" s="25">
        <v>1572102</v>
      </c>
      <c r="D10740" s="22" t="s">
        <v>15135</v>
      </c>
      <c r="E10740" s="22" t="s">
        <v>86</v>
      </c>
      <c r="F10740" s="23" t="str">
        <f>HYPERLINK("https://www.spark-marketing.ru/Card/Lot/72348892", "Санаторно-курортное лечение граждан-получателей набора социальных услуг")</f>
        <v>Санаторно-курортное лечение граждан-получателей набора социальных услуг</v>
      </c>
      <c r="G10740" s="22" t="s">
        <v>117</v>
      </c>
      <c r="H10740" s="22" t="s">
        <v>117</v>
      </c>
      <c r="I10740" s="26">
        <v>43671.627916666701</v>
      </c>
      <c r="J10740" s="23" t="str">
        <f>HYPERLINK("https://www.spark-marketing.ru/Card/Person/52911", "ООО "" САНАТОРИЙ "" ПАРУС """)</f>
        <v>ООО " САНАТОРИЙ " ПАРУС "</v>
      </c>
      <c r="K10740" s="24" t="s">
        <v>3010</v>
      </c>
      <c r="L10740" s="22" t="s">
        <v>10</v>
      </c>
      <c r="M10740" s="25">
        <v>1564241.49</v>
      </c>
      <c r="N10740" s="27">
        <v>5.0000000000000001E-3</v>
      </c>
    </row>
    <row r="10741" spans="1:14" x14ac:dyDescent="0.15">
      <c r="A10741" s="23" t="str">
        <f>HYPERLINK("https://www.spark-marketing.ru/Card/Person/291413", "ОТДЕЛ МВД РОССИИ ПО ГРИБАНОВСКОМУ РАЙОНУ")</f>
        <v>ОТДЕЛ МВД РОССИИ ПО ГРИБАНОВСКОМУ РАЙОНУ</v>
      </c>
      <c r="B10741" s="24" t="s">
        <v>5359</v>
      </c>
      <c r="C10741" s="25">
        <v>92310</v>
      </c>
      <c r="D10741" s="22" t="s">
        <v>15136</v>
      </c>
      <c r="E10741" s="22" t="s">
        <v>48</v>
      </c>
      <c r="F10741" s="23" t="str">
        <f>HYPERLINK("https://www.spark-marketing.ru/Card/Lot/72340630",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741" s="22" t="s">
        <v>82</v>
      </c>
      <c r="H10741" s="22" t="s">
        <v>5361</v>
      </c>
      <c r="I10741" s="26">
        <v>43671.6273842593</v>
      </c>
      <c r="J10741" s="28" t="s">
        <v>51</v>
      </c>
      <c r="K10741" s="28" t="s">
        <v>51</v>
      </c>
      <c r="L10741" s="28" t="s">
        <v>51</v>
      </c>
      <c r="M10741" s="28" t="s">
        <v>51</v>
      </c>
      <c r="N10741" s="28" t="s">
        <v>51</v>
      </c>
    </row>
    <row r="10742" spans="1:14" x14ac:dyDescent="0.2">
      <c r="A10742" s="23" t="str">
        <f>HYPERLINK("https://www.spark-marketing.ru/Card/Person/1758445", "МАНОУ ""ШУХОВСКИЙ ЛИЦЕЙ""")</f>
        <v>МАНОУ "ШУХОВСКИЙ ЛИЦЕЙ"</v>
      </c>
      <c r="B10742" s="24" t="s">
        <v>2970</v>
      </c>
      <c r="C10742" s="25">
        <v>1197000</v>
      </c>
      <c r="D10742" s="22" t="s">
        <v>15137</v>
      </c>
      <c r="E10742" s="22" t="s">
        <v>362</v>
      </c>
      <c r="F10742" s="23" t="str">
        <f>HYPERLINK("https://www.spark-marketing.ru/Card/Lot/72353324", "Оказание услуг по организации питания учащихся")</f>
        <v>Оказание услуг по организации питания учащихся</v>
      </c>
      <c r="G10742" s="22" t="s">
        <v>696</v>
      </c>
      <c r="H10742" s="22" t="s">
        <v>696</v>
      </c>
      <c r="I10742" s="26">
        <v>43671.664305555598</v>
      </c>
      <c r="J10742" s="28" t="s">
        <v>51</v>
      </c>
      <c r="K10742" s="28" t="s">
        <v>51</v>
      </c>
      <c r="L10742" s="22" t="s">
        <v>10</v>
      </c>
      <c r="M10742" s="25">
        <v>1197000</v>
      </c>
      <c r="N10742" s="27">
        <v>0</v>
      </c>
    </row>
    <row r="10743" spans="1:14" x14ac:dyDescent="0.15">
      <c r="A10743" s="23" t="str">
        <f>HYPERLINK("https://www.spark-marketing.ru/Card/Person/125017", "ФГАОУ ВО ""СЕВЕРО-ВОСТОЧНЫЙ ФЕДЕРАЛЬНЫЙ УНИВЕРСИТЕТ ИМ. М.К. АММОСОВА"" СЕВЕРО-ВОСТОЧНЫЙ ФЕДЕРАЛЬНЫЙ УНИВЕРСИТЕТ СВФУ")</f>
        <v>ФГАОУ ВО "СЕВЕРО-ВОСТОЧНЫЙ ФЕДЕРАЛЬНЫЙ УНИВЕРСИТЕТ ИМ. М.К. АММОСОВА" СЕВЕРО-ВОСТОЧНЫЙ ФЕДЕРАЛЬНЫЙ УНИВЕРСИТЕТ СВФУ</v>
      </c>
      <c r="B10743" s="24" t="s">
        <v>15138</v>
      </c>
      <c r="C10743" s="25">
        <v>327500</v>
      </c>
      <c r="D10743" s="22" t="s">
        <v>15139</v>
      </c>
      <c r="E10743" s="22" t="s">
        <v>580</v>
      </c>
      <c r="F10743" s="23" t="str">
        <f>HYPERLINK("https://www.spark-marketing.ru/Card/Lot/72355696", "Оказания услуг по организации питания для участников мероприятий на 2019 год")</f>
        <v>Оказания услуг по организации питания для участников мероприятий на 2019 год</v>
      </c>
      <c r="G10743" s="22" t="s">
        <v>241</v>
      </c>
      <c r="H10743" s="22" t="s">
        <v>241</v>
      </c>
      <c r="I10743" s="26">
        <v>43671.615891203699</v>
      </c>
      <c r="J10743" s="28" t="s">
        <v>51</v>
      </c>
      <c r="K10743" s="28" t="s">
        <v>51</v>
      </c>
      <c r="L10743" s="28" t="s">
        <v>51</v>
      </c>
      <c r="M10743" s="28" t="s">
        <v>51</v>
      </c>
      <c r="N10743" s="28" t="s">
        <v>51</v>
      </c>
    </row>
    <row r="10744" spans="1:14" x14ac:dyDescent="0.2">
      <c r="A10744" s="23" t="str">
        <f>HYPERLINK("https://www.spark-marketing.ru/Card/Person/1760460", "МАДОУ ""ДЕТСКИЙ САД №11"" Г.ПЕРМИ")</f>
        <v>МАДОУ "ДЕТСКИЙ САД №11" Г.ПЕРМИ</v>
      </c>
      <c r="B10744" s="24" t="s">
        <v>15140</v>
      </c>
      <c r="C10744" s="25">
        <v>20161745.469999999</v>
      </c>
      <c r="D10744" s="22" t="s">
        <v>15141</v>
      </c>
      <c r="E10744" s="22" t="s">
        <v>362</v>
      </c>
      <c r="F10744" s="23" t="str">
        <f>HYPERLINK("https://www.spark-marketing.ru/Card/Lot/72353157", "оказание услуги по организации питания воспитанников")</f>
        <v>оказание услуги по организации питания воспитанников</v>
      </c>
      <c r="G10744" s="22" t="s">
        <v>153</v>
      </c>
      <c r="H10744" s="22" t="s">
        <v>153</v>
      </c>
      <c r="I10744" s="26">
        <v>43671.617511574099</v>
      </c>
      <c r="J10744" s="28" t="s">
        <v>51</v>
      </c>
      <c r="K10744" s="28" t="s">
        <v>51</v>
      </c>
      <c r="L10744" s="22" t="s">
        <v>10</v>
      </c>
      <c r="M10744" s="25">
        <v>20160138.600000001</v>
      </c>
      <c r="N10744" s="27">
        <v>7.9698952771275119E-5</v>
      </c>
    </row>
    <row r="10745" spans="1:14" x14ac:dyDescent="0.15">
      <c r="A10745" s="23" t="str">
        <f>HYPERLINK("https://www.spark-marketing.ru/Card/Person/1359694", "МАОУ СОШ № 53 Г. ТОМСКА")</f>
        <v>МАОУ СОШ № 53 Г. ТОМСКА</v>
      </c>
      <c r="B10745" s="24" t="s">
        <v>15142</v>
      </c>
      <c r="C10745" s="25">
        <v>2657655</v>
      </c>
      <c r="D10745" s="22" t="s">
        <v>15143</v>
      </c>
      <c r="E10745" s="22" t="s">
        <v>362</v>
      </c>
      <c r="F10745" s="23" t="str">
        <f>HYPERLINK("https://www.spark-marketing.ru/Card/Lot/72356921", "Оказание услуг по обеспечению питанием отдельных категорий обучающихся и обучающихся с ограниченными возможностями здоровья МАОУ СОШ №53 г. Томска")</f>
        <v>Оказание услуг по обеспечению питанием отдельных категорий обучающихся и обучающихся с ограниченными возможностями здоровья МАОУ СОШ №53 г. Томска</v>
      </c>
      <c r="G10745" s="22" t="s">
        <v>149</v>
      </c>
      <c r="H10745" s="22" t="s">
        <v>149</v>
      </c>
      <c r="I10745" s="26">
        <v>43671.618969907402</v>
      </c>
      <c r="J10745" s="28" t="s">
        <v>51</v>
      </c>
      <c r="K10745" s="28" t="s">
        <v>51</v>
      </c>
      <c r="L10745" s="28" t="s">
        <v>51</v>
      </c>
      <c r="M10745" s="28" t="s">
        <v>51</v>
      </c>
      <c r="N10745" s="28" t="s">
        <v>51</v>
      </c>
    </row>
    <row r="10746" spans="1:14" x14ac:dyDescent="0.15">
      <c r="A10746" s="23" t="str">
        <f>HYPERLINK("https://www.spark-marketing.ru/Card/Person/14913", "ГБУЗ ""КОНДОПОЖСКАЯ ЦРБ""")</f>
        <v>ГБУЗ "КОНДОПОЖСКАЯ ЦРБ"</v>
      </c>
      <c r="B10746" s="24" t="s">
        <v>15144</v>
      </c>
      <c r="C10746" s="25">
        <v>200000</v>
      </c>
      <c r="D10746" s="22" t="s">
        <v>15145</v>
      </c>
      <c r="E10746" s="22" t="s">
        <v>91</v>
      </c>
      <c r="F10746" s="23" t="str">
        <f>HYPERLINK("https://www.spark-marketing.ru/Card/Lot/72345598", "Выполнение работ по заправке и восстановлению картриджей, техническому обслуживанию и ремонту принтеров")</f>
        <v>Выполнение работ по заправке и восстановлению картриджей, техническому обслуживанию и ремонту принтеров</v>
      </c>
      <c r="G10746" s="22" t="s">
        <v>59</v>
      </c>
      <c r="H10746" s="22" t="s">
        <v>59</v>
      </c>
      <c r="I10746" s="26">
        <v>43671.623541666697</v>
      </c>
      <c r="J10746" s="28" t="s">
        <v>51</v>
      </c>
      <c r="K10746" s="28" t="s">
        <v>51</v>
      </c>
      <c r="L10746" s="28" t="s">
        <v>51</v>
      </c>
      <c r="M10746" s="28" t="s">
        <v>51</v>
      </c>
      <c r="N10746" s="28" t="s">
        <v>51</v>
      </c>
    </row>
    <row r="10747" spans="1:14" ht="12.75" hidden="1" outlineLevel="1" x14ac:dyDescent="0.2">
      <c r="A10747" s="23" t="str">
        <f>HYPERLINK("https://www.spark-marketing.ru/Card/Person/14913", "ГБУЗ ""КОНДОПОЖСКАЯ ЦРБ""")</f>
        <v>ГБУЗ "КОНДОПОЖСКАЯ ЦРБ"</v>
      </c>
      <c r="B10747" s="24" t="s">
        <v>15144</v>
      </c>
      <c r="C10747" s="25">
        <v>200000</v>
      </c>
      <c r="D10747" s="22" t="s">
        <v>15145</v>
      </c>
      <c r="E10747" s="22" t="s">
        <v>91</v>
      </c>
      <c r="F10747" s="23" t="str">
        <f>HYPERLINK("https://www.spark-marketing.ru/Card/Lot/72345598", "Выполнение работ по заправке и восстановлению картриджей, техническому обслуживанию и ремонту принтеров")</f>
        <v>Выполнение работ по заправке и восстановлению картриджей, техническому обслуживанию и ремонту принтеров</v>
      </c>
      <c r="G10747" s="22" t="s">
        <v>59</v>
      </c>
      <c r="H10747" s="22" t="s">
        <v>59</v>
      </c>
      <c r="I10747" s="26">
        <v>43671.623541666697</v>
      </c>
      <c r="J10747" s="23" t="str">
        <f>HYPERLINK("https://www.spark-marketing.ru/Card/Person/192079", "ООО ""ПРИНТКОМ-СЕРВИС""")</f>
        <v>ООО "ПРИНТКОМ-СЕРВИС"</v>
      </c>
      <c r="K10747" s="24" t="s">
        <v>15146</v>
      </c>
      <c r="L10747" s="22" t="s">
        <v>10</v>
      </c>
      <c r="M10747" s="25">
        <v>64848.68</v>
      </c>
      <c r="N10747" s="27">
        <v>0.67575660000000004</v>
      </c>
    </row>
    <row r="10748" spans="1:14" hidden="1" outlineLevel="1" x14ac:dyDescent="0.2">
      <c r="A10748" s="23" t="str">
        <f>HYPERLINK("https://www.spark-marketing.ru/Card/Person/14913", "ГБУЗ ""КОНДОПОЖСКАЯ ЦРБ""")</f>
        <v>ГБУЗ "КОНДОПОЖСКАЯ ЦРБ"</v>
      </c>
      <c r="B10748" s="24" t="s">
        <v>15144</v>
      </c>
      <c r="C10748" s="25">
        <v>200000</v>
      </c>
      <c r="D10748" s="22" t="s">
        <v>15145</v>
      </c>
      <c r="E10748" s="22" t="s">
        <v>91</v>
      </c>
      <c r="F10748" s="23" t="str">
        <f>HYPERLINK("https://www.spark-marketing.ru/Card/Lot/72345598", "Выполнение работ по заправке и восстановлению картриджей, техническому обслуживанию и ремонту принтеров")</f>
        <v>Выполнение работ по заправке и восстановлению картриджей, техническому обслуживанию и ремонту принтеров</v>
      </c>
      <c r="G10748" s="22" t="s">
        <v>59</v>
      </c>
      <c r="H10748" s="22" t="s">
        <v>59</v>
      </c>
      <c r="I10748" s="26">
        <v>43671.623541666697</v>
      </c>
      <c r="J10748" s="23" t="str">
        <f>HYPERLINK("https://www.spark-marketing.ru/Card/Person/6483197", "ООО ""АЛЛВИ СПБ""")</f>
        <v>ООО "АЛЛВИ СПБ"</v>
      </c>
      <c r="K10748" s="24" t="s">
        <v>15147</v>
      </c>
      <c r="L10748" s="28" t="s">
        <v>51</v>
      </c>
      <c r="M10748" s="25">
        <v>65000</v>
      </c>
      <c r="N10748" s="27">
        <v>0.67500000000000004</v>
      </c>
    </row>
    <row r="10749" spans="1:14" hidden="1" outlineLevel="1" x14ac:dyDescent="0.2">
      <c r="A10749" s="23" t="str">
        <f>HYPERLINK("https://www.spark-marketing.ru/Card/Person/14913", "ГБУЗ ""КОНДОПОЖСКАЯ ЦРБ""")</f>
        <v>ГБУЗ "КОНДОПОЖСКАЯ ЦРБ"</v>
      </c>
      <c r="B10749" s="24" t="s">
        <v>15144</v>
      </c>
      <c r="C10749" s="25">
        <v>200000</v>
      </c>
      <c r="D10749" s="22" t="s">
        <v>15145</v>
      </c>
      <c r="E10749" s="22" t="s">
        <v>91</v>
      </c>
      <c r="F10749" s="23" t="str">
        <f>HYPERLINK("https://www.spark-marketing.ru/Card/Lot/72345598", "Выполнение работ по заправке и восстановлению картриджей, техническому обслуживанию и ремонту принтеров")</f>
        <v>Выполнение работ по заправке и восстановлению картриджей, техническому обслуживанию и ремонту принтеров</v>
      </c>
      <c r="G10749" s="22" t="s">
        <v>59</v>
      </c>
      <c r="H10749" s="22" t="s">
        <v>59</v>
      </c>
      <c r="I10749" s="26">
        <v>43671.623541666697</v>
      </c>
      <c r="J10749" s="23" t="str">
        <f>HYPERLINK("https://www.spark-marketing.ru/Card/Person/188237", "ООО ""ЦЕНТР КАНОН""")</f>
        <v>ООО "ЦЕНТР КАНОН"</v>
      </c>
      <c r="K10749" s="24" t="s">
        <v>15148</v>
      </c>
      <c r="L10749" s="28" t="s">
        <v>51</v>
      </c>
      <c r="M10749" s="25">
        <v>97607.14</v>
      </c>
      <c r="N10749" s="27">
        <v>0.51196430000000004</v>
      </c>
    </row>
    <row r="10750" spans="1:14" x14ac:dyDescent="0.15">
      <c r="A10750" s="23" t="str">
        <f>HYPERLINK("https://www.spark-marketing.ru/Card/Person/125167", "МАОУ ГИМНАЗИЯ № 2 Г. ЮЖНО-САХАЛИНСКА")</f>
        <v>МАОУ ГИМНАЗИЯ № 2 Г. ЮЖНО-САХАЛИНСКА</v>
      </c>
      <c r="B10750" s="24" t="s">
        <v>10620</v>
      </c>
      <c r="C10750" s="25">
        <v>410760</v>
      </c>
      <c r="D10750" s="22" t="s">
        <v>15149</v>
      </c>
      <c r="E10750" s="22" t="s">
        <v>362</v>
      </c>
      <c r="F10750" s="23" t="str">
        <f>HYPERLINK("https://www.spark-marketing.ru/Card/Lot/72352476", "Оказание услуг МАОУ Гимназия № 2 г. Южно-Сахалинска по организации питания учащихся, находящихся в оздоровительных лагерях с дневным пребыванием, профильных лагерях в период летних каникул в 2019 году")</f>
        <v>Оказание услуг МАОУ Гимназия № 2 г. Южно-Сахалинска по организации питания учащихся, находящихся в оздоровительных лагерях с дневным пребыванием, профильных лагерях в период летних каникул в 2019 году</v>
      </c>
      <c r="G10750" s="22" t="s">
        <v>260</v>
      </c>
      <c r="H10750" s="22" t="s">
        <v>260</v>
      </c>
      <c r="I10750" s="26">
        <v>43671.583796296298</v>
      </c>
      <c r="J10750" s="28" t="s">
        <v>51</v>
      </c>
      <c r="K10750" s="28" t="s">
        <v>51</v>
      </c>
      <c r="L10750" s="28" t="s">
        <v>51</v>
      </c>
      <c r="M10750" s="28" t="s">
        <v>51</v>
      </c>
      <c r="N10750" s="28" t="s">
        <v>51</v>
      </c>
    </row>
    <row r="10751" spans="1:14" x14ac:dyDescent="0.15">
      <c r="A10751" s="23" t="str">
        <f>HYPERLINK("https://www.spark-marketing.ru/Card/Person/10421", "СПБ ГБУ СШОР ""ШВСМ ПО ВВС""")</f>
        <v>СПБ ГБУ СШОР "ШВСМ ПО ВВС"</v>
      </c>
      <c r="B10751" s="24" t="s">
        <v>379</v>
      </c>
      <c r="C10751" s="25">
        <v>1884750</v>
      </c>
      <c r="D10751" s="22" t="s">
        <v>15150</v>
      </c>
      <c r="E10751" s="22" t="s">
        <v>381</v>
      </c>
      <c r="F10751" s="23" t="str">
        <f>HYPERLINK("https://www.spark-marketing.ru/Card/Lot/72349349", "Оказание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предоставле...")</f>
        <v>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</v>
      </c>
      <c r="G10751" s="22" t="s">
        <v>117</v>
      </c>
      <c r="H10751" s="22" t="s">
        <v>117</v>
      </c>
      <c r="I10751" s="26">
        <v>43671.618217592601</v>
      </c>
      <c r="J10751" s="28" t="s">
        <v>51</v>
      </c>
      <c r="K10751" s="28" t="s">
        <v>51</v>
      </c>
      <c r="L10751" s="28" t="s">
        <v>51</v>
      </c>
      <c r="M10751" s="28" t="s">
        <v>51</v>
      </c>
      <c r="N10751" s="28" t="s">
        <v>51</v>
      </c>
    </row>
    <row r="10752" spans="1:14" ht="12.75" hidden="1" outlineLevel="1" x14ac:dyDescent="0.2">
      <c r="A10752" s="23" t="str">
        <f>HYPERLINK("https://www.spark-marketing.ru/Card/Person/10421", "СПБ ГБУ СШОР ""ШВСМ ПО ВВС""")</f>
        <v>СПБ ГБУ СШОР "ШВСМ ПО ВВС"</v>
      </c>
      <c r="B10752" s="24" t="s">
        <v>379</v>
      </c>
      <c r="C10752" s="25">
        <v>1884750</v>
      </c>
      <c r="D10752" s="22" t="s">
        <v>15150</v>
      </c>
      <c r="E10752" s="22" t="s">
        <v>381</v>
      </c>
      <c r="F10752" s="23" t="str">
        <f>HYPERLINK("https://www.spark-marketing.ru/Card/Lot/72349349", "Оказание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предоставле...")</f>
        <v>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</v>
      </c>
      <c r="G10752" s="22" t="s">
        <v>117</v>
      </c>
      <c r="H10752" s="22" t="s">
        <v>117</v>
      </c>
      <c r="I10752" s="26">
        <v>43671.618217592601</v>
      </c>
      <c r="J10752" s="23" t="str">
        <f>HYPERLINK("https://www.spark-marketing.ru/Card/Person/6574101", "ООО ""СПОРТИВНОЕ АГЕНТСТВО ""ЭРА""")</f>
        <v>ООО "СПОРТИВНОЕ АГЕНТСТВО "ЭРА"</v>
      </c>
      <c r="K10752" s="24" t="s">
        <v>4377</v>
      </c>
      <c r="L10752" s="22" t="s">
        <v>10</v>
      </c>
      <c r="M10752" s="25">
        <v>1385291.25</v>
      </c>
      <c r="N10752" s="27">
        <v>0.26500000000000001</v>
      </c>
    </row>
    <row r="10753" spans="1:14" hidden="1" outlineLevel="1" x14ac:dyDescent="0.2">
      <c r="A10753" s="23" t="str">
        <f>HYPERLINK("https://www.spark-marketing.ru/Card/Person/10421", "СПБ ГБУ СШОР ""ШВСМ ПО ВВС""")</f>
        <v>СПБ ГБУ СШОР "ШВСМ ПО ВВС"</v>
      </c>
      <c r="B10753" s="24" t="s">
        <v>379</v>
      </c>
      <c r="C10753" s="25">
        <v>1884750</v>
      </c>
      <c r="D10753" s="22" t="s">
        <v>15150</v>
      </c>
      <c r="E10753" s="22" t="s">
        <v>381</v>
      </c>
      <c r="F10753" s="23" t="str">
        <f>HYPERLINK("https://www.spark-marketing.ru/Card/Lot/72349349", "Оказание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предоставле...")</f>
        <v>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</v>
      </c>
      <c r="G10753" s="22" t="s">
        <v>117</v>
      </c>
      <c r="H10753" s="22" t="s">
        <v>117</v>
      </c>
      <c r="I10753" s="26">
        <v>43671.618217592601</v>
      </c>
      <c r="J10753" s="23" t="str">
        <f>HYPERLINK("https://www.spark-marketing.ru/Card/Person/6199231", "Полочанская Ольга Геннадьевна")</f>
        <v>Полочанская Ольга Геннадьевна</v>
      </c>
      <c r="K10753" s="24" t="s">
        <v>2484</v>
      </c>
      <c r="L10753" s="28" t="s">
        <v>51</v>
      </c>
      <c r="M10753" s="25">
        <v>1394715</v>
      </c>
      <c r="N10753" s="27">
        <v>0.26</v>
      </c>
    </row>
    <row r="10754" spans="1:14" hidden="1" outlineLevel="1" x14ac:dyDescent="0.2">
      <c r="A10754" s="23" t="str">
        <f>HYPERLINK("https://www.spark-marketing.ru/Card/Person/10421", "СПБ ГБУ СШОР ""ШВСМ ПО ВВС""")</f>
        <v>СПБ ГБУ СШОР "ШВСМ ПО ВВС"</v>
      </c>
      <c r="B10754" s="24" t="s">
        <v>379</v>
      </c>
      <c r="C10754" s="25">
        <v>1884750</v>
      </c>
      <c r="D10754" s="22" t="s">
        <v>15150</v>
      </c>
      <c r="E10754" s="22" t="s">
        <v>381</v>
      </c>
      <c r="F10754" s="23" t="str">
        <f>HYPERLINK("https://www.spark-marketing.ru/Card/Lot/72349349", "Оказание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предоставле...")</f>
        <v>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</v>
      </c>
      <c r="G10754" s="22" t="s">
        <v>117</v>
      </c>
      <c r="H10754" s="22" t="s">
        <v>117</v>
      </c>
      <c r="I10754" s="26">
        <v>43671.618217592601</v>
      </c>
      <c r="J10754" s="23" t="str">
        <f>HYPERLINK("https://www.spark-marketing.ru/Card/Person/139386", "ООО ""АВИАМИР""")</f>
        <v>ООО "АВИАМИР"</v>
      </c>
      <c r="K10754" s="24" t="s">
        <v>2326</v>
      </c>
      <c r="L10754" s="28" t="s">
        <v>51</v>
      </c>
      <c r="M10754" s="25">
        <v>1592613.75</v>
      </c>
      <c r="N10754" s="27">
        <v>0.155</v>
      </c>
    </row>
    <row r="10755" spans="1:14" x14ac:dyDescent="0.15">
      <c r="A10755" s="23" t="str">
        <f>HYPERLINK("https://www.spark-marketing.ru/Card/Person/1754519", "МАОУ ""ЛИЦЕЙ № 5""")</f>
        <v>МАОУ "ЛИЦЕЙ № 5"</v>
      </c>
      <c r="B10755" s="24" t="s">
        <v>13267</v>
      </c>
      <c r="C10755" s="25">
        <v>126000</v>
      </c>
      <c r="D10755" s="22" t="s">
        <v>15151</v>
      </c>
      <c r="E10755" s="22" t="s">
        <v>362</v>
      </c>
      <c r="F10755" s="23" t="str">
        <f>HYPERLINK("https://www.spark-marketing.ru/Card/Lot/72353112", "Оказание услуг по организации горячего питания детей с дневным пребыванием в летнем оздоровительном лагере Муниципального автономного общеобразовательного учреждения «Лицей № 5»")</f>
        <v>Оказание услуг по организации горячего питания детей с дневным пребыванием в летнем оздоровительном лагере Муниципального автономного общеобразовательного учреждения «Лицей № 5»</v>
      </c>
      <c r="G10755" s="22" t="s">
        <v>400</v>
      </c>
      <c r="H10755" s="22" t="s">
        <v>400</v>
      </c>
      <c r="I10755" s="26">
        <v>43671.587002314802</v>
      </c>
      <c r="J10755" s="28" t="s">
        <v>51</v>
      </c>
      <c r="K10755" s="28" t="s">
        <v>51</v>
      </c>
      <c r="L10755" s="28" t="s">
        <v>51</v>
      </c>
      <c r="M10755" s="28" t="s">
        <v>51</v>
      </c>
      <c r="N10755" s="28" t="s">
        <v>51</v>
      </c>
    </row>
    <row r="10756" spans="1:14" x14ac:dyDescent="0.15">
      <c r="A10756" s="23" t="str">
        <f>HYPERLINK("https://www.spark-marketing.ru/Card/Person/120809", "ОМВД РОССИИ ПО ГОРОДСКОМУ ОКРУГУ КЛИН")</f>
        <v>ОМВД РОССИИ ПО ГОРОДСКОМУ ОКРУГУ КЛИН</v>
      </c>
      <c r="B10756" s="24" t="s">
        <v>15152</v>
      </c>
      <c r="C10756" s="25">
        <v>990000</v>
      </c>
      <c r="D10756" s="22" t="s">
        <v>15153</v>
      </c>
      <c r="E10756" s="22" t="s">
        <v>48</v>
      </c>
      <c r="F10756" s="23" t="str">
        <f>HYPERLINK("https://www.spark-marketing.ru/Card/Lot/72349345", "Услуги по питанию лиц, содержащихся в ИВС")</f>
        <v>Услуги по питанию лиц, содержащихся в ИВС</v>
      </c>
      <c r="G10756" s="22" t="s">
        <v>49</v>
      </c>
      <c r="H10756" s="22" t="s">
        <v>49</v>
      </c>
      <c r="I10756" s="26">
        <v>43671.614999999998</v>
      </c>
      <c r="J10756" s="28" t="s">
        <v>51</v>
      </c>
      <c r="K10756" s="28" t="s">
        <v>51</v>
      </c>
      <c r="L10756" s="28" t="s">
        <v>51</v>
      </c>
      <c r="M10756" s="28" t="s">
        <v>51</v>
      </c>
      <c r="N10756" s="28" t="s">
        <v>51</v>
      </c>
    </row>
    <row r="10757" spans="1:14" ht="12.75" hidden="1" outlineLevel="1" x14ac:dyDescent="0.2">
      <c r="A10757" s="23" t="str">
        <f>HYPERLINK("https://www.spark-marketing.ru/Card/Person/120809", "ОМВД РОССИИ ПО ГОРОДСКОМУ ОКРУГУ КЛИН")</f>
        <v>ОМВД РОССИИ ПО ГОРОДСКОМУ ОКРУГУ КЛИН</v>
      </c>
      <c r="B10757" s="24" t="s">
        <v>15152</v>
      </c>
      <c r="C10757" s="25">
        <v>990000</v>
      </c>
      <c r="D10757" s="22" t="s">
        <v>15153</v>
      </c>
      <c r="E10757" s="22" t="s">
        <v>48</v>
      </c>
      <c r="F10757" s="23" t="str">
        <f>HYPERLINK("https://www.spark-marketing.ru/Card/Lot/72349345", "Услуги по питанию лиц, содержащихся в ИВС")</f>
        <v>Услуги по питанию лиц, содержащихся в ИВС</v>
      </c>
      <c r="G10757" s="22" t="s">
        <v>49</v>
      </c>
      <c r="H10757" s="22" t="s">
        <v>49</v>
      </c>
      <c r="I10757" s="26">
        <v>43671.614999999998</v>
      </c>
      <c r="J10757" s="23" t="str">
        <f>HYPERLINK("https://www.spark-marketing.ru/Card/Person/233370", "Кушнер Инна Владимировна")</f>
        <v>Кушнер Инна Владимировна</v>
      </c>
      <c r="K10757" s="24" t="s">
        <v>15154</v>
      </c>
      <c r="L10757" s="22" t="s">
        <v>10</v>
      </c>
      <c r="M10757" s="25">
        <v>816</v>
      </c>
      <c r="N10757" s="27">
        <v>0.99917575757575761</v>
      </c>
    </row>
    <row r="10758" spans="1:14" hidden="1" outlineLevel="1" x14ac:dyDescent="0.2">
      <c r="A10758" s="23" t="str">
        <f>HYPERLINK("https://www.spark-marketing.ru/Card/Person/120809", "ОМВД РОССИИ ПО ГОРОДСКОМУ ОКРУГУ КЛИН")</f>
        <v>ОМВД РОССИИ ПО ГОРОДСКОМУ ОКРУГУ КЛИН</v>
      </c>
      <c r="B10758" s="24" t="s">
        <v>15152</v>
      </c>
      <c r="C10758" s="25">
        <v>990000</v>
      </c>
      <c r="D10758" s="22" t="s">
        <v>15153</v>
      </c>
      <c r="E10758" s="22" t="s">
        <v>48</v>
      </c>
      <c r="F10758" s="23" t="str">
        <f>HYPERLINK("https://www.spark-marketing.ru/Card/Lot/72349345", "Услуги по питанию лиц, содержащихся в ИВС")</f>
        <v>Услуги по питанию лиц, содержащихся в ИВС</v>
      </c>
      <c r="G10758" s="22" t="s">
        <v>49</v>
      </c>
      <c r="H10758" s="22" t="s">
        <v>49</v>
      </c>
      <c r="I10758" s="26">
        <v>43671.614999999998</v>
      </c>
      <c r="J10758" s="23" t="str">
        <f>HYPERLINK("https://www.spark-marketing.ru/Card/Person/62576", "ООО ТК ""ТРЕЙД""")</f>
        <v>ООО ТК "ТРЕЙД"</v>
      </c>
      <c r="K10758" s="24" t="s">
        <v>15155</v>
      </c>
      <c r="L10758" s="28" t="s">
        <v>51</v>
      </c>
      <c r="M10758" s="25">
        <v>816</v>
      </c>
      <c r="N10758" s="27">
        <v>0.99917575757575761</v>
      </c>
    </row>
    <row r="10759" spans="1:14" x14ac:dyDescent="0.2">
      <c r="A10759" s="23" t="str">
        <f>HYPERLINK("https://www.spark-marketing.ru/Card/Person/188101", "ГАУК ""КРАЙДРАМТЕАТР ИМЕНИ М.ГОРЬКОГО""")</f>
        <v>ГАУК "КРАЙДРАМТЕАТР ИМЕНИ М.ГОРЬКОГО"</v>
      </c>
      <c r="B10759" s="24" t="s">
        <v>5134</v>
      </c>
      <c r="C10759" s="25">
        <v>1000000</v>
      </c>
      <c r="D10759" s="22" t="s">
        <v>15156</v>
      </c>
      <c r="E10759" s="22" t="s">
        <v>4431</v>
      </c>
      <c r="F10759" s="23" t="str">
        <f>HYPERLINK("https://www.spark-marketing.ru/Card/Lot/72352546", "В рамках подготовки и проведения МКФ стран АТР «Меридианы Тихого» 2019 года услуги по организации питания.")</f>
        <v>В рамках подготовки и проведения МКФ стран АТР «Меридианы Тихого» 2019 года услуги по организации питания.</v>
      </c>
      <c r="G10759" s="22" t="s">
        <v>543</v>
      </c>
      <c r="H10759" s="22" t="s">
        <v>543</v>
      </c>
      <c r="I10759" s="26">
        <v>43671.602881944404</v>
      </c>
      <c r="J10759" s="28" t="s">
        <v>51</v>
      </c>
      <c r="K10759" s="28" t="s">
        <v>51</v>
      </c>
      <c r="L10759" s="28" t="s">
        <v>51</v>
      </c>
      <c r="M10759" s="25">
        <v>1000000</v>
      </c>
      <c r="N10759" s="27">
        <v>0</v>
      </c>
    </row>
    <row r="10760" spans="1:14" x14ac:dyDescent="0.15">
      <c r="A10760" s="23" t="str">
        <f>HYPERLINK("https://www.spark-marketing.ru/Card/Person/2937", "УМВД РОССИИ ПО Г. НИЖНЕВАРТОВСКУ")</f>
        <v>УМВД РОССИИ ПО Г. НИЖНЕВАРТОВСКУ</v>
      </c>
      <c r="B10760" s="24" t="s">
        <v>759</v>
      </c>
      <c r="C10760" s="25">
        <v>169947</v>
      </c>
      <c r="D10760" s="22" t="s">
        <v>15157</v>
      </c>
      <c r="E10760" s="22" t="s">
        <v>96</v>
      </c>
      <c r="F10760" s="23" t="str">
        <f>HYPERLINK("https://www.spark-marketing.ru/Card/Lot/72336691",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0760" s="22" t="s">
        <v>97</v>
      </c>
      <c r="H10760" s="22" t="s">
        <v>366</v>
      </c>
      <c r="I10760" s="26">
        <v>43671.555613425902</v>
      </c>
      <c r="J10760" s="28" t="s">
        <v>51</v>
      </c>
      <c r="K10760" s="28" t="s">
        <v>51</v>
      </c>
      <c r="L10760" s="28" t="s">
        <v>51</v>
      </c>
      <c r="M10760" s="28" t="s">
        <v>51</v>
      </c>
      <c r="N10760" s="28" t="s">
        <v>51</v>
      </c>
    </row>
    <row r="10761" spans="1:14" x14ac:dyDescent="0.15">
      <c r="A10761" s="23" t="str">
        <f>HYPERLINK("https://www.spark-marketing.ru/Card/Person/67079", "ОМВД РОССИИ ПО ИЛАНСКОМУ РАЙОНУ")</f>
        <v>ОМВД РОССИИ ПО ИЛАНСКОМУ РАЙОНУ</v>
      </c>
      <c r="B10761" s="24" t="s">
        <v>15158</v>
      </c>
      <c r="C10761" s="25">
        <v>230000</v>
      </c>
      <c r="D10761" s="22" t="s">
        <v>15159</v>
      </c>
      <c r="E10761" s="22" t="s">
        <v>48</v>
      </c>
      <c r="F10761" s="23" t="str">
        <f>HYPERLINK("https://www.spark-marketing.ru/Card/Lot/72338402", "Услуги по организации горячего питания")</f>
        <v>Услуги по организации горячего питания</v>
      </c>
      <c r="G10761" s="22" t="s">
        <v>281</v>
      </c>
      <c r="H10761" s="22" t="s">
        <v>281</v>
      </c>
      <c r="I10761" s="26">
        <v>43671.549953703703</v>
      </c>
      <c r="J10761" s="23" t="str">
        <f>HYPERLINK("https://www.spark-marketing.ru/Card/Person/200493", "Федоров Юрий Васильевич")</f>
        <v>Федоров Юрий Васильевич</v>
      </c>
      <c r="K10761" s="24" t="s">
        <v>11695</v>
      </c>
      <c r="L10761" s="22" t="s">
        <v>10</v>
      </c>
      <c r="M10761" s="28" t="s">
        <v>51</v>
      </c>
      <c r="N10761" s="28" t="s">
        <v>51</v>
      </c>
    </row>
    <row r="10762" spans="1:14" x14ac:dyDescent="0.2">
      <c r="A10762" s="23" t="str">
        <f>HYPERLINK("https://www.spark-marketing.ru/Card/Person/46014", "ГБУЗ ""ЗКПЦ""")</f>
        <v>ГБУЗ "ЗКПЦ"</v>
      </c>
      <c r="B10762" s="24" t="s">
        <v>15160</v>
      </c>
      <c r="C10762" s="25">
        <v>199734.02</v>
      </c>
      <c r="D10762" s="22" t="s">
        <v>15161</v>
      </c>
      <c r="E10762" s="22" t="s">
        <v>362</v>
      </c>
      <c r="F10762" s="23" t="str">
        <f>HYPERLINK("https://www.spark-marketing.ru/Card/Lot/72357490", "Оказание услуг по организации лечебного питания")</f>
        <v>Оказание услуг по организации лечебного питания</v>
      </c>
      <c r="G10762" s="22" t="s">
        <v>228</v>
      </c>
      <c r="H10762" s="22" t="s">
        <v>228</v>
      </c>
      <c r="I10762" s="26">
        <v>43671.581087963001</v>
      </c>
      <c r="J10762" s="28" t="s">
        <v>51</v>
      </c>
      <c r="K10762" s="28" t="s">
        <v>51</v>
      </c>
      <c r="L10762" s="22" t="s">
        <v>10</v>
      </c>
      <c r="M10762" s="25">
        <v>199734.02</v>
      </c>
      <c r="N10762" s="27">
        <v>0</v>
      </c>
    </row>
    <row r="10763" spans="1:14" x14ac:dyDescent="0.15">
      <c r="A10763" s="23" t="s">
        <v>114</v>
      </c>
      <c r="B10763" s="28" t="s">
        <v>51</v>
      </c>
      <c r="C10763" s="25">
        <v>8533434</v>
      </c>
      <c r="D10763" s="22" t="s">
        <v>15162</v>
      </c>
      <c r="E10763" s="22" t="s">
        <v>48</v>
      </c>
      <c r="F10763" s="23" t="str">
        <f t="shared" ref="F10763:F10776" si="281">HYPERLINK("https://www.spark-marketing.ru/Card/Lot/72349697", "Оказание услуг по организации питания учащихся")</f>
        <v>Оказание услуг по организации питания учащихся</v>
      </c>
      <c r="G10763" s="22" t="s">
        <v>51</v>
      </c>
      <c r="H10763" s="22" t="s">
        <v>51</v>
      </c>
      <c r="I10763" s="26">
        <v>43671.553171296298</v>
      </c>
      <c r="J10763" s="23" t="str">
        <f t="shared" ref="J10763:J10776" si="282">HYPERLINK("https://www.spark-marketing.ru/Card/Person/4395395", "АО ""ФАРМАЦИЯ""")</f>
        <v>АО "ФАРМАЦИЯ"</v>
      </c>
      <c r="K10763" s="24" t="s">
        <v>13461</v>
      </c>
      <c r="L10763" s="28" t="s">
        <v>51</v>
      </c>
      <c r="M10763" s="28" t="s">
        <v>51</v>
      </c>
      <c r="N10763" s="28" t="s">
        <v>51</v>
      </c>
    </row>
    <row r="10764" spans="1:14" hidden="1" outlineLevel="1" x14ac:dyDescent="0.15">
      <c r="A10764" s="23" t="str">
        <f>HYPERLINK("https://www.spark-marketing.ru/Card/Person/138078", "МБОУ СОШ № 51 Г. БРЯНСКА")</f>
        <v>МБОУ СОШ № 51 Г. БРЯНСКА</v>
      </c>
      <c r="B10764" s="24" t="s">
        <v>15163</v>
      </c>
      <c r="C10764" s="25">
        <v>1158300</v>
      </c>
      <c r="D10764" s="22" t="s">
        <v>15162</v>
      </c>
      <c r="E10764" s="22" t="s">
        <v>48</v>
      </c>
      <c r="F10764" s="23" t="str">
        <f t="shared" si="281"/>
        <v>Оказание услуг по организации питания учащихся</v>
      </c>
      <c r="G10764" s="22" t="s">
        <v>475</v>
      </c>
      <c r="H10764" s="22" t="s">
        <v>475</v>
      </c>
      <c r="I10764" s="26">
        <v>43671.553171296298</v>
      </c>
      <c r="J10764" s="23" t="str">
        <f t="shared" si="282"/>
        <v>АО "ФАРМАЦИЯ"</v>
      </c>
      <c r="K10764" s="24" t="s">
        <v>13461</v>
      </c>
      <c r="L10764" s="28" t="s">
        <v>51</v>
      </c>
      <c r="M10764" s="28" t="s">
        <v>51</v>
      </c>
      <c r="N10764" s="28" t="s">
        <v>51</v>
      </c>
    </row>
    <row r="10765" spans="1:14" hidden="1" outlineLevel="1" x14ac:dyDescent="0.15">
      <c r="A10765" s="23" t="str">
        <f>HYPERLINK("https://www.spark-marketing.ru/Card/Person/1011533", "МБОУ СОШ № 28 Г.БРЯНСКА")</f>
        <v>МБОУ СОШ № 28 Г.БРЯНСКА</v>
      </c>
      <c r="B10765" s="24" t="s">
        <v>15164</v>
      </c>
      <c r="C10765" s="25">
        <v>1088880</v>
      </c>
      <c r="D10765" s="22" t="s">
        <v>15162</v>
      </c>
      <c r="E10765" s="22" t="s">
        <v>48</v>
      </c>
      <c r="F10765" s="23" t="str">
        <f t="shared" si="281"/>
        <v>Оказание услуг по организации питания учащихся</v>
      </c>
      <c r="G10765" s="22" t="s">
        <v>475</v>
      </c>
      <c r="H10765" s="22" t="s">
        <v>475</v>
      </c>
      <c r="I10765" s="26">
        <v>43671.553171296298</v>
      </c>
      <c r="J10765" s="23" t="str">
        <f t="shared" si="282"/>
        <v>АО "ФАРМАЦИЯ"</v>
      </c>
      <c r="K10765" s="24" t="s">
        <v>13461</v>
      </c>
      <c r="L10765" s="28" t="s">
        <v>51</v>
      </c>
      <c r="M10765" s="28" t="s">
        <v>51</v>
      </c>
      <c r="N10765" s="28" t="s">
        <v>51</v>
      </c>
    </row>
    <row r="10766" spans="1:14" hidden="1" outlineLevel="1" x14ac:dyDescent="0.15">
      <c r="A10766" s="23" t="str">
        <f>HYPERLINK("https://www.spark-marketing.ru/Card/Person/1031233", "МБОУ ""ЛИЦЕЙ №27 ИМ. ГЕРОЯ СОВЕТСКОГО СОЮЗА И.Е.КУСТОВА"" Г.БРЯНСКА")</f>
        <v>МБОУ "ЛИЦЕЙ №27 ИМ. ГЕРОЯ СОВЕТСКОГО СОЮЗА И.Е.КУСТОВА" Г.БРЯНСКА</v>
      </c>
      <c r="B10766" s="24" t="s">
        <v>15165</v>
      </c>
      <c r="C10766" s="25">
        <v>777348</v>
      </c>
      <c r="D10766" s="22" t="s">
        <v>15162</v>
      </c>
      <c r="E10766" s="22" t="s">
        <v>48</v>
      </c>
      <c r="F10766" s="23" t="str">
        <f t="shared" si="281"/>
        <v>Оказание услуг по организации питания учащихся</v>
      </c>
      <c r="G10766" s="22" t="s">
        <v>475</v>
      </c>
      <c r="H10766" s="22" t="s">
        <v>475</v>
      </c>
      <c r="I10766" s="26">
        <v>43671.553171296298</v>
      </c>
      <c r="J10766" s="23" t="str">
        <f t="shared" si="282"/>
        <v>АО "ФАРМАЦИЯ"</v>
      </c>
      <c r="K10766" s="24" t="s">
        <v>13461</v>
      </c>
      <c r="L10766" s="28" t="s">
        <v>51</v>
      </c>
      <c r="M10766" s="28" t="s">
        <v>51</v>
      </c>
      <c r="N10766" s="28" t="s">
        <v>51</v>
      </c>
    </row>
    <row r="10767" spans="1:14" hidden="1" outlineLevel="1" x14ac:dyDescent="0.15">
      <c r="A10767" s="23" t="str">
        <f>HYPERLINK("https://www.spark-marketing.ru/Card/Person/1038657", "МБОУ СОШ № 55 Г.БРЯНСКА")</f>
        <v>МБОУ СОШ № 55 Г.БРЯНСКА</v>
      </c>
      <c r="B10767" s="24" t="s">
        <v>15166</v>
      </c>
      <c r="C10767" s="25">
        <v>743964</v>
      </c>
      <c r="D10767" s="22" t="s">
        <v>15162</v>
      </c>
      <c r="E10767" s="22" t="s">
        <v>48</v>
      </c>
      <c r="F10767" s="23" t="str">
        <f t="shared" si="281"/>
        <v>Оказание услуг по организации питания учащихся</v>
      </c>
      <c r="G10767" s="22" t="s">
        <v>475</v>
      </c>
      <c r="H10767" s="22" t="s">
        <v>475</v>
      </c>
      <c r="I10767" s="26">
        <v>43671.553171296298</v>
      </c>
      <c r="J10767" s="23" t="str">
        <f t="shared" si="282"/>
        <v>АО "ФАРМАЦИЯ"</v>
      </c>
      <c r="K10767" s="24" t="s">
        <v>13461</v>
      </c>
      <c r="L10767" s="28" t="s">
        <v>51</v>
      </c>
      <c r="M10767" s="28" t="s">
        <v>51</v>
      </c>
      <c r="N10767" s="28" t="s">
        <v>51</v>
      </c>
    </row>
    <row r="10768" spans="1:14" hidden="1" outlineLevel="1" x14ac:dyDescent="0.15">
      <c r="A10768" s="23" t="str">
        <f>HYPERLINK("https://www.spark-marketing.ru/Card/Person/1039243", "МБОУ ""ШКОЛА КОРРЕКЦИИ И РАЗВИТИЯ VIII ВИДА №37"" Г. БРЯНСКА")</f>
        <v>МБОУ "ШКОЛА КОРРЕКЦИИ И РАЗВИТИЯ VIII ВИДА №37" Г. БРЯНСКА</v>
      </c>
      <c r="B10768" s="24" t="s">
        <v>15167</v>
      </c>
      <c r="C10768" s="25">
        <v>636792</v>
      </c>
      <c r="D10768" s="22" t="s">
        <v>15162</v>
      </c>
      <c r="E10768" s="22" t="s">
        <v>48</v>
      </c>
      <c r="F10768" s="23" t="str">
        <f t="shared" si="281"/>
        <v>Оказание услуг по организации питания учащихся</v>
      </c>
      <c r="G10768" s="22" t="s">
        <v>475</v>
      </c>
      <c r="H10768" s="22" t="s">
        <v>475</v>
      </c>
      <c r="I10768" s="26">
        <v>43671.553171296298</v>
      </c>
      <c r="J10768" s="23" t="str">
        <f t="shared" si="282"/>
        <v>АО "ФАРМАЦИЯ"</v>
      </c>
      <c r="K10768" s="24" t="s">
        <v>13461</v>
      </c>
      <c r="L10768" s="28" t="s">
        <v>51</v>
      </c>
      <c r="M10768" s="28" t="s">
        <v>51</v>
      </c>
      <c r="N10768" s="28" t="s">
        <v>51</v>
      </c>
    </row>
    <row r="10769" spans="1:14" hidden="1" outlineLevel="1" x14ac:dyDescent="0.15">
      <c r="A10769" s="23" t="str">
        <f>HYPERLINK("https://www.spark-marketing.ru/Card/Person/1039840", "МБОУ СОШ № 35 Г.БРЯНСКА")</f>
        <v>МБОУ СОШ № 35 Г.БРЯНСКА</v>
      </c>
      <c r="B10769" s="24" t="s">
        <v>15168</v>
      </c>
      <c r="C10769" s="25">
        <v>440700</v>
      </c>
      <c r="D10769" s="22" t="s">
        <v>15162</v>
      </c>
      <c r="E10769" s="22" t="s">
        <v>48</v>
      </c>
      <c r="F10769" s="23" t="str">
        <f t="shared" si="281"/>
        <v>Оказание услуг по организации питания учащихся</v>
      </c>
      <c r="G10769" s="22" t="s">
        <v>475</v>
      </c>
      <c r="H10769" s="22" t="s">
        <v>475</v>
      </c>
      <c r="I10769" s="26">
        <v>43671.553171296298</v>
      </c>
      <c r="J10769" s="23" t="str">
        <f t="shared" si="282"/>
        <v>АО "ФАРМАЦИЯ"</v>
      </c>
      <c r="K10769" s="24" t="s">
        <v>13461</v>
      </c>
      <c r="L10769" s="28" t="s">
        <v>51</v>
      </c>
      <c r="M10769" s="28" t="s">
        <v>51</v>
      </c>
      <c r="N10769" s="28" t="s">
        <v>51</v>
      </c>
    </row>
    <row r="10770" spans="1:14" hidden="1" outlineLevel="1" x14ac:dyDescent="0.15">
      <c r="A10770" s="23" t="str">
        <f>HYPERLINK("https://www.spark-marketing.ru/Card/Person/1039845", "МБОУ СОШ № 36 Г. БРЯНСКА")</f>
        <v>МБОУ СОШ № 36 Г. БРЯНСКА</v>
      </c>
      <c r="B10770" s="24" t="s">
        <v>15169</v>
      </c>
      <c r="C10770" s="25">
        <v>1068600</v>
      </c>
      <c r="D10770" s="22" t="s">
        <v>15162</v>
      </c>
      <c r="E10770" s="22" t="s">
        <v>48</v>
      </c>
      <c r="F10770" s="23" t="str">
        <f t="shared" si="281"/>
        <v>Оказание услуг по организации питания учащихся</v>
      </c>
      <c r="G10770" s="22" t="s">
        <v>475</v>
      </c>
      <c r="H10770" s="22" t="s">
        <v>475</v>
      </c>
      <c r="I10770" s="26">
        <v>43671.553171296298</v>
      </c>
      <c r="J10770" s="23" t="str">
        <f t="shared" si="282"/>
        <v>АО "ФАРМАЦИЯ"</v>
      </c>
      <c r="K10770" s="24" t="s">
        <v>13461</v>
      </c>
      <c r="L10770" s="28" t="s">
        <v>51</v>
      </c>
      <c r="M10770" s="28" t="s">
        <v>51</v>
      </c>
      <c r="N10770" s="28" t="s">
        <v>51</v>
      </c>
    </row>
    <row r="10771" spans="1:14" hidden="1" outlineLevel="1" x14ac:dyDescent="0.15">
      <c r="A10771" s="23" t="str">
        <f>HYPERLINK("https://www.spark-marketing.ru/Card/Person/1040066", "МБОУ СОШ № 57 Г. БРЯНСКА")</f>
        <v>МБОУ СОШ № 57 Г. БРЯНСКА</v>
      </c>
      <c r="B10771" s="24" t="s">
        <v>15170</v>
      </c>
      <c r="C10771" s="25">
        <v>348426</v>
      </c>
      <c r="D10771" s="22" t="s">
        <v>15162</v>
      </c>
      <c r="E10771" s="22" t="s">
        <v>48</v>
      </c>
      <c r="F10771" s="23" t="str">
        <f t="shared" si="281"/>
        <v>Оказание услуг по организации питания учащихся</v>
      </c>
      <c r="G10771" s="22" t="s">
        <v>475</v>
      </c>
      <c r="H10771" s="22" t="s">
        <v>475</v>
      </c>
      <c r="I10771" s="26">
        <v>43671.553171296298</v>
      </c>
      <c r="J10771" s="23" t="str">
        <f t="shared" si="282"/>
        <v>АО "ФАРМАЦИЯ"</v>
      </c>
      <c r="K10771" s="24" t="s">
        <v>13461</v>
      </c>
      <c r="L10771" s="28" t="s">
        <v>51</v>
      </c>
      <c r="M10771" s="28" t="s">
        <v>51</v>
      </c>
      <c r="N10771" s="28" t="s">
        <v>51</v>
      </c>
    </row>
    <row r="10772" spans="1:14" hidden="1" outlineLevel="1" x14ac:dyDescent="0.15">
      <c r="A10772" s="23" t="str">
        <f>HYPERLINK("https://www.spark-marketing.ru/Card/Person/1040229", "МБОУ СОШ №41 Г.БРЯНСКА")</f>
        <v>МБОУ СОШ №41 Г.БРЯНСКА</v>
      </c>
      <c r="B10772" s="24" t="s">
        <v>15171</v>
      </c>
      <c r="C10772" s="25">
        <v>704106</v>
      </c>
      <c r="D10772" s="22" t="s">
        <v>15162</v>
      </c>
      <c r="E10772" s="22" t="s">
        <v>48</v>
      </c>
      <c r="F10772" s="23" t="str">
        <f t="shared" si="281"/>
        <v>Оказание услуг по организации питания учащихся</v>
      </c>
      <c r="G10772" s="22" t="s">
        <v>475</v>
      </c>
      <c r="H10772" s="22" t="s">
        <v>475</v>
      </c>
      <c r="I10772" s="26">
        <v>43671.553171296298</v>
      </c>
      <c r="J10772" s="23" t="str">
        <f t="shared" si="282"/>
        <v>АО "ФАРМАЦИЯ"</v>
      </c>
      <c r="K10772" s="24" t="s">
        <v>13461</v>
      </c>
      <c r="L10772" s="28" t="s">
        <v>51</v>
      </c>
      <c r="M10772" s="28" t="s">
        <v>51</v>
      </c>
      <c r="N10772" s="28" t="s">
        <v>51</v>
      </c>
    </row>
    <row r="10773" spans="1:14" hidden="1" outlineLevel="1" x14ac:dyDescent="0.15">
      <c r="A10773" s="23" t="str">
        <f>HYPERLINK("https://www.spark-marketing.ru/Card/Person/1041289", "МБОУ СОШ № 30 Г. БРЯНСКА")</f>
        <v>МБОУ СОШ № 30 Г. БРЯНСКА</v>
      </c>
      <c r="B10773" s="24" t="s">
        <v>15172</v>
      </c>
      <c r="C10773" s="25">
        <v>507078</v>
      </c>
      <c r="D10773" s="22" t="s">
        <v>15162</v>
      </c>
      <c r="E10773" s="22" t="s">
        <v>48</v>
      </c>
      <c r="F10773" s="23" t="str">
        <f t="shared" si="281"/>
        <v>Оказание услуг по организации питания учащихся</v>
      </c>
      <c r="G10773" s="22" t="s">
        <v>475</v>
      </c>
      <c r="H10773" s="22" t="s">
        <v>475</v>
      </c>
      <c r="I10773" s="26">
        <v>43671.553171296298</v>
      </c>
      <c r="J10773" s="23" t="str">
        <f t="shared" si="282"/>
        <v>АО "ФАРМАЦИЯ"</v>
      </c>
      <c r="K10773" s="24" t="s">
        <v>13461</v>
      </c>
      <c r="L10773" s="28" t="s">
        <v>51</v>
      </c>
      <c r="M10773" s="28" t="s">
        <v>51</v>
      </c>
      <c r="N10773" s="28" t="s">
        <v>51</v>
      </c>
    </row>
    <row r="10774" spans="1:14" hidden="1" outlineLevel="1" x14ac:dyDescent="0.15">
      <c r="A10774" s="23" t="str">
        <f>HYPERLINK("https://www.spark-marketing.ru/Card/Person/1041331", "МБОУ СОШ №29 Г. БРЯНСКА")</f>
        <v>МБОУ СОШ №29 Г. БРЯНСКА</v>
      </c>
      <c r="B10774" s="24" t="s">
        <v>15173</v>
      </c>
      <c r="C10774" s="25">
        <v>632970</v>
      </c>
      <c r="D10774" s="22" t="s">
        <v>15162</v>
      </c>
      <c r="E10774" s="22" t="s">
        <v>48</v>
      </c>
      <c r="F10774" s="23" t="str">
        <f t="shared" si="281"/>
        <v>Оказание услуг по организации питания учащихся</v>
      </c>
      <c r="G10774" s="22" t="s">
        <v>475</v>
      </c>
      <c r="H10774" s="22" t="s">
        <v>475</v>
      </c>
      <c r="I10774" s="26">
        <v>43671.553171296298</v>
      </c>
      <c r="J10774" s="23" t="str">
        <f t="shared" si="282"/>
        <v>АО "ФАРМАЦИЯ"</v>
      </c>
      <c r="K10774" s="24" t="s">
        <v>13461</v>
      </c>
      <c r="L10774" s="28" t="s">
        <v>51</v>
      </c>
      <c r="M10774" s="28" t="s">
        <v>51</v>
      </c>
      <c r="N10774" s="28" t="s">
        <v>51</v>
      </c>
    </row>
    <row r="10775" spans="1:14" hidden="1" outlineLevel="1" x14ac:dyDescent="0.15">
      <c r="A10775" s="23" t="str">
        <f>HYPERLINK("https://www.spark-marketing.ru/Card/Person/4378537", "МБОУ ""СОШ № 40"" Г.БРЯНСКА")</f>
        <v>МБОУ "СОШ № 40" Г.БРЯНСКА</v>
      </c>
      <c r="B10775" s="24" t="s">
        <v>15174</v>
      </c>
      <c r="C10775" s="25">
        <v>426270</v>
      </c>
      <c r="D10775" s="22" t="s">
        <v>15162</v>
      </c>
      <c r="E10775" s="22" t="s">
        <v>48</v>
      </c>
      <c r="F10775" s="23" t="str">
        <f t="shared" si="281"/>
        <v>Оказание услуг по организации питания учащихся</v>
      </c>
      <c r="G10775" s="22" t="s">
        <v>475</v>
      </c>
      <c r="H10775" s="22" t="s">
        <v>475</v>
      </c>
      <c r="I10775" s="26">
        <v>43671.553171296298</v>
      </c>
      <c r="J10775" s="23" t="str">
        <f t="shared" si="282"/>
        <v>АО "ФАРМАЦИЯ"</v>
      </c>
      <c r="K10775" s="24" t="s">
        <v>13461</v>
      </c>
      <c r="L10775" s="28" t="s">
        <v>51</v>
      </c>
      <c r="M10775" s="28" t="s">
        <v>51</v>
      </c>
      <c r="N10775" s="28" t="s">
        <v>51</v>
      </c>
    </row>
    <row r="10776" spans="1:14" hidden="1" outlineLevel="1" x14ac:dyDescent="0.15">
      <c r="A10776" s="28" t="s">
        <v>51</v>
      </c>
      <c r="B10776" s="28" t="s">
        <v>51</v>
      </c>
      <c r="C10776" s="28" t="s">
        <v>51</v>
      </c>
      <c r="D10776" s="22" t="s">
        <v>15162</v>
      </c>
      <c r="E10776" s="22" t="s">
        <v>48</v>
      </c>
      <c r="F10776" s="23" t="str">
        <f t="shared" si="281"/>
        <v>Оказание услуг по организации питания учащихся</v>
      </c>
      <c r="G10776" s="22" t="s">
        <v>51</v>
      </c>
      <c r="H10776" s="22" t="s">
        <v>51</v>
      </c>
      <c r="I10776" s="26">
        <v>43671.553171296298</v>
      </c>
      <c r="J10776" s="23" t="str">
        <f t="shared" si="282"/>
        <v>АО "ФАРМАЦИЯ"</v>
      </c>
      <c r="K10776" s="24" t="s">
        <v>13461</v>
      </c>
      <c r="L10776" s="22" t="s">
        <v>10</v>
      </c>
      <c r="M10776" s="28" t="s">
        <v>51</v>
      </c>
      <c r="N10776" s="28" t="s">
        <v>51</v>
      </c>
    </row>
    <row r="10777" spans="1:14" x14ac:dyDescent="0.2">
      <c r="A10777" s="23" t="str">
        <f>HYPERLINK("https://www.spark-marketing.ru/Card/Person/9836", "КОГКБУЗ ""ЦЕНТР ТРАВМАТОЛОГИИ, ОРТОПЕДИИ И НЕЙРОХИРУРГИИ""")</f>
        <v>КОГКБУЗ "ЦЕНТР ТРАВМАТОЛОГИИ, ОРТОПЕДИИ И НЕЙРОХИРУРГИИ"</v>
      </c>
      <c r="B10777" s="24" t="s">
        <v>15175</v>
      </c>
      <c r="C10777" s="25">
        <v>93487500</v>
      </c>
      <c r="D10777" s="22" t="s">
        <v>15176</v>
      </c>
      <c r="E10777" s="22" t="s">
        <v>48</v>
      </c>
      <c r="F10777" s="23" t="str">
        <f>HYPERLINK("https://www.spark-marketing.ru/Card/Lot/72343236", "Оказание услуг по приготовлению и передаче ежедневного лечебного горячего питания")</f>
        <v>Оказание услуг по приготовлению и передаче ежедневного лечебного горячего питания</v>
      </c>
      <c r="G10777" s="22" t="s">
        <v>224</v>
      </c>
      <c r="H10777" s="22" t="s">
        <v>225</v>
      </c>
      <c r="I10777" s="26">
        <v>43671.504861111098</v>
      </c>
      <c r="J10777" s="23" t="str">
        <f>HYPERLINK("https://www.spark-marketing.ru/Card/Person/51950", "ООО ""ЗДОРОВОЕ ПИТАНИЕ""")</f>
        <v>ООО "ЗДОРОВОЕ ПИТАНИЕ"</v>
      </c>
      <c r="K10777" s="24" t="s">
        <v>2336</v>
      </c>
      <c r="L10777" s="28" t="s">
        <v>51</v>
      </c>
      <c r="M10777" s="25">
        <v>93487500</v>
      </c>
      <c r="N10777" s="27">
        <v>0</v>
      </c>
    </row>
    <row r="10778" spans="1:14" x14ac:dyDescent="0.15">
      <c r="A10778" s="23" t="str">
        <f>HYPERLINK("https://www.spark-marketing.ru/Card/Person/998297", "МБОУ ""СШ № 34""")</f>
        <v>МБОУ "СШ № 34"</v>
      </c>
      <c r="B10778" s="24" t="s">
        <v>15177</v>
      </c>
      <c r="C10778" s="25">
        <v>1552780</v>
      </c>
      <c r="D10778" s="22" t="s">
        <v>15178</v>
      </c>
      <c r="E10778" s="22" t="s">
        <v>48</v>
      </c>
      <c r="F10778" s="23" t="str">
        <f>HYPERLINK("https://www.spark-marketing.ru/Card/Lot/72341416", "Оказание услуг по организации горячего питания и обеспечению горячим питанием учащихся МБОУ ""СШ № 34""")</f>
        <v>Оказание услуг по организации горячего питания и обеспечению горячим питанием учащихся МБОУ "СШ № 34"</v>
      </c>
      <c r="G10778" s="22" t="s">
        <v>460</v>
      </c>
      <c r="H10778" s="22" t="s">
        <v>461</v>
      </c>
      <c r="I10778" s="26">
        <v>43671.5175578704</v>
      </c>
      <c r="J10778" s="23" t="str">
        <f>HYPERLINK("https://www.spark-marketing.ru/Card/Person/836702", "МУП ""КСП""")</f>
        <v>МУП "КСП"</v>
      </c>
      <c r="K10778" s="24" t="s">
        <v>6532</v>
      </c>
      <c r="L10778" s="22" t="s">
        <v>10</v>
      </c>
      <c r="M10778" s="28" t="s">
        <v>51</v>
      </c>
      <c r="N10778" s="28" t="s">
        <v>51</v>
      </c>
    </row>
    <row r="10779" spans="1:14" x14ac:dyDescent="0.15">
      <c r="A10779" s="23" t="str">
        <f>HYPERLINK("https://www.spark-marketing.ru/Card/Person/9471", "ФГБОУ ВО ПСПБГМУ ИМ. И.П. ПАВЛОВА МИНЗДРАВА РОССИИ")</f>
        <v>ФГБОУ ВО ПСПБГМУ ИМ. И.П. ПАВЛОВА МИНЗДРАВА РОССИИ</v>
      </c>
      <c r="B10779" s="24" t="s">
        <v>15179</v>
      </c>
      <c r="C10779" s="25">
        <v>856800</v>
      </c>
      <c r="D10779" s="22" t="s">
        <v>15180</v>
      </c>
      <c r="E10779" s="22" t="s">
        <v>355</v>
      </c>
      <c r="F10779" s="23" t="str">
        <f>HYPERLINK("https://www.spark-marketing.ru/Card/Lot/72341409", "Выполнение работ по техническому обслуживанию дизель-генераторных установок (ДГУ) и источников бесперебойного питания (ИБП)")</f>
        <v>Выполнение работ по техническому обслуживанию дизель-генераторных установок (ДГУ) и источников бесперебойного питания (ИБП)</v>
      </c>
      <c r="G10779" s="22" t="s">
        <v>117</v>
      </c>
      <c r="H10779" s="22" t="s">
        <v>117</v>
      </c>
      <c r="I10779" s="26">
        <v>43671.515069444402</v>
      </c>
      <c r="J10779" s="28" t="s">
        <v>51</v>
      </c>
      <c r="K10779" s="28" t="s">
        <v>51</v>
      </c>
      <c r="L10779" s="28" t="s">
        <v>51</v>
      </c>
      <c r="M10779" s="28" t="s">
        <v>51</v>
      </c>
      <c r="N10779" s="28" t="s">
        <v>51</v>
      </c>
    </row>
    <row r="10780" spans="1:14" hidden="1" outlineLevel="1" x14ac:dyDescent="0.2">
      <c r="A10780" s="23" t="str">
        <f>HYPERLINK("https://www.spark-marketing.ru/Card/Person/9471", "ФГБОУ ВО ПСПБГМУ ИМ. И.П. ПАВЛОВА МИНЗДРАВА РОССИИ")</f>
        <v>ФГБОУ ВО ПСПБГМУ ИМ. И.П. ПАВЛОВА МИНЗДРАВА РОССИИ</v>
      </c>
      <c r="B10780" s="24" t="s">
        <v>15179</v>
      </c>
      <c r="C10780" s="25">
        <v>856800</v>
      </c>
      <c r="D10780" s="22" t="s">
        <v>15180</v>
      </c>
      <c r="E10780" s="22" t="s">
        <v>355</v>
      </c>
      <c r="F10780" s="23" t="str">
        <f>HYPERLINK("https://www.spark-marketing.ru/Card/Lot/72341409", "Выполнение работ по техническому обслуживанию дизель-генераторных установок (ДГУ) и источников бесперебойного питания (ИБП)")</f>
        <v>Выполнение работ по техническому обслуживанию дизель-генераторных установок (ДГУ) и источников бесперебойного питания (ИБП)</v>
      </c>
      <c r="G10780" s="22" t="s">
        <v>117</v>
      </c>
      <c r="H10780" s="22" t="s">
        <v>117</v>
      </c>
      <c r="I10780" s="26">
        <v>43671.515069444402</v>
      </c>
      <c r="J10780" s="23" t="str">
        <f>HYPERLINK("https://www.spark-marketing.ru/Card/Person/4879310", "ООО ""СЕРВИС ИНЖИНИРИНГ""")</f>
        <v>ООО "СЕРВИС ИНЖИНИРИНГ"</v>
      </c>
      <c r="K10780" s="24" t="s">
        <v>15181</v>
      </c>
      <c r="L10780" s="28" t="s">
        <v>51</v>
      </c>
      <c r="M10780" s="25">
        <v>801108</v>
      </c>
      <c r="N10780" s="27">
        <v>6.5000000000000002E-2</v>
      </c>
    </row>
    <row r="10781" spans="1:14" ht="12.75" hidden="1" outlineLevel="1" x14ac:dyDescent="0.2">
      <c r="A10781" s="23" t="str">
        <f>HYPERLINK("https://www.spark-marketing.ru/Card/Person/9471", "ФГБОУ ВО ПСПБГМУ ИМ. И.П. ПАВЛОВА МИНЗДРАВА РОССИИ")</f>
        <v>ФГБОУ ВО ПСПБГМУ ИМ. И.П. ПАВЛОВА МИНЗДРАВА РОССИИ</v>
      </c>
      <c r="B10781" s="24" t="s">
        <v>15179</v>
      </c>
      <c r="C10781" s="25">
        <v>856800</v>
      </c>
      <c r="D10781" s="22" t="s">
        <v>15180</v>
      </c>
      <c r="E10781" s="22" t="s">
        <v>355</v>
      </c>
      <c r="F10781" s="23" t="str">
        <f>HYPERLINK("https://www.spark-marketing.ru/Card/Lot/72341409", "Выполнение работ по техническому обслуживанию дизель-генераторных установок (ДГУ) и источников бесперебойного питания (ИБП)")</f>
        <v>Выполнение работ по техническому обслуживанию дизель-генераторных установок (ДГУ) и источников бесперебойного питания (ИБП)</v>
      </c>
      <c r="G10781" s="22" t="s">
        <v>117</v>
      </c>
      <c r="H10781" s="22" t="s">
        <v>117</v>
      </c>
      <c r="I10781" s="26">
        <v>43671.515069444402</v>
      </c>
      <c r="J10781" s="23" t="str">
        <f>HYPERLINK("https://www.spark-marketing.ru/Card/Person/4508836", "ООО ""СНТ""")</f>
        <v>ООО "СНТ"</v>
      </c>
      <c r="K10781" s="24" t="s">
        <v>15182</v>
      </c>
      <c r="L10781" s="22" t="s">
        <v>10</v>
      </c>
      <c r="M10781" s="25">
        <v>796824</v>
      </c>
      <c r="N10781" s="27">
        <v>7.0000000000000007E-2</v>
      </c>
    </row>
    <row r="10782" spans="1:14" x14ac:dyDescent="0.15">
      <c r="A10782" s="23" t="str">
        <f>HYPERLINK("https://www.spark-marketing.ru/Card/Person/1324760", "МАОУ СОШ № 4")</f>
        <v>МАОУ СОШ № 4</v>
      </c>
      <c r="B10782" s="24" t="s">
        <v>15183</v>
      </c>
      <c r="C10782" s="25">
        <v>914480</v>
      </c>
      <c r="D10782" s="22" t="s">
        <v>15184</v>
      </c>
      <c r="E10782" s="22" t="s">
        <v>362</v>
      </c>
      <c r="F10782" s="23" t="str">
        <f>HYPERLINK("https://www.spark-marketing.ru/Card/Lot/72355245", "Оказание услуг по организации питания обучающихся МАОУ СОШ № 4")</f>
        <v>Оказание услуг по организации питания обучающихся МАОУ СОШ № 4</v>
      </c>
      <c r="G10782" s="22" t="s">
        <v>1370</v>
      </c>
      <c r="H10782" s="22" t="s">
        <v>1370</v>
      </c>
      <c r="I10782" s="26">
        <v>43671.512314814798</v>
      </c>
      <c r="J10782" s="28" t="s">
        <v>51</v>
      </c>
      <c r="K10782" s="28" t="s">
        <v>51</v>
      </c>
      <c r="L10782" s="28" t="s">
        <v>51</v>
      </c>
      <c r="M10782" s="28" t="s">
        <v>51</v>
      </c>
      <c r="N10782" s="28" t="s">
        <v>51</v>
      </c>
    </row>
    <row r="10783" spans="1:14" x14ac:dyDescent="0.15">
      <c r="A10783" s="23" t="str">
        <f>HYPERLINK("https://www.spark-marketing.ru/Card/Person/1074227", "ОМВД РОССИИ ПО АСКИЗСКОМУ РАЙОНУ")</f>
        <v>ОМВД РОССИИ ПО АСКИЗСКОМУ РАЙОНУ</v>
      </c>
      <c r="B10783" s="24" t="s">
        <v>15185</v>
      </c>
      <c r="C10783" s="25">
        <v>594000</v>
      </c>
      <c r="D10783" s="22" t="s">
        <v>15186</v>
      </c>
      <c r="E10783" s="22" t="s">
        <v>48</v>
      </c>
      <c r="F10783" s="23" t="str">
        <f>HYPERLINK("https://www.spark-marketing.ru/Card/Lot/72336496", "оказание услуг по обеспечению горячим трехразовым питанием лиц, подозреваемых и обвиняемых в совершении преступлений, арестованных за совершение административных правонарушений, содержащихся в изоляторе временного содержания подозреваемых и обвиняемы...")</f>
        <v>оказание услуг по обеспечению горячим трехразовым питанием лиц, подозреваемых и обвиняемых в совершении преступлений, арестованных за совершение административных правонарушений, содержащихся в изоляторе временного содержания подозреваемых и обвиняемы...</v>
      </c>
      <c r="G10783" s="22" t="s">
        <v>92</v>
      </c>
      <c r="H10783" s="22" t="s">
        <v>15187</v>
      </c>
      <c r="I10783" s="26">
        <v>43671.502824074101</v>
      </c>
      <c r="J10783" s="23" t="str">
        <f>HYPERLINK("https://www.spark-marketing.ru/Card/Person/656154", "ООО ""ЗЕВС""")</f>
        <v>ООО "ЗЕВС"</v>
      </c>
      <c r="K10783" s="24" t="s">
        <v>5981</v>
      </c>
      <c r="L10783" s="22" t="s">
        <v>10</v>
      </c>
      <c r="M10783" s="28" t="s">
        <v>51</v>
      </c>
      <c r="N10783" s="28" t="s">
        <v>51</v>
      </c>
    </row>
    <row r="10784" spans="1:14" x14ac:dyDescent="0.15">
      <c r="A10784" s="23" t="str">
        <f>HYPERLINK("https://www.spark-marketing.ru/Card/Person/19117", "БУ ""НЕФТЕЮГАНСКАЯ ОКРУЖНАЯ КЛИНИЧЕСКАЯ БОЛЬНИЦА ИМЕНИ В.И.ЯЦКИВ""")</f>
        <v>БУ "НЕФТЕЮГАНСКАЯ ОКРУЖНАЯ КЛИНИЧЕСКАЯ БОЛЬНИЦА ИМЕНИ В.И.ЯЦКИВ"</v>
      </c>
      <c r="B10784" s="24" t="s">
        <v>15188</v>
      </c>
      <c r="C10784" s="25">
        <v>26825000</v>
      </c>
      <c r="D10784" s="22" t="s">
        <v>15189</v>
      </c>
      <c r="E10784" s="22" t="s">
        <v>96</v>
      </c>
      <c r="F10784" s="23" t="str">
        <f>HYPERLINK("https://www.spark-marketing.ru/Card/Lot/72342916", "Оказание услуг по организации лечебного питания пациентов")</f>
        <v>Оказание услуг по организации лечебного питания пациентов</v>
      </c>
      <c r="G10784" s="22" t="s">
        <v>97</v>
      </c>
      <c r="H10784" s="22" t="s">
        <v>363</v>
      </c>
      <c r="I10784" s="26">
        <v>43671.533912036997</v>
      </c>
      <c r="J10784" s="23" t="str">
        <f>HYPERLINK("https://www.spark-marketing.ru/Card/Person/233465", "НГМУП ""ШКОЛЬНОЕ ПИТАНИЕ""")</f>
        <v>НГМУП "ШКОЛЬНОЕ ПИТАНИЕ"</v>
      </c>
      <c r="K10784" s="24" t="s">
        <v>5280</v>
      </c>
      <c r="L10784" s="22" t="s">
        <v>10</v>
      </c>
      <c r="M10784" s="28" t="s">
        <v>51</v>
      </c>
      <c r="N10784" s="28" t="s">
        <v>51</v>
      </c>
    </row>
    <row r="10785" spans="1:14" x14ac:dyDescent="0.2">
      <c r="A10785" s="23" t="str">
        <f>HYPERLINK("https://www.spark-marketing.ru/Card/Person/977079", "КГАУ ""СШОР ПО ВОЛЕЙБОЛУ ""ЕНИСЕЙ"" ИМЕНИ Э.А. НОСКОВА""")</f>
        <v>КГАУ "СШОР ПО ВОЛЕЙБОЛУ "ЕНИСЕЙ" ИМЕНИ Э.А. НОСКОВА"</v>
      </c>
      <c r="B10785" s="24" t="s">
        <v>14587</v>
      </c>
      <c r="C10785" s="25">
        <v>930000</v>
      </c>
      <c r="D10785" s="22" t="s">
        <v>15190</v>
      </c>
      <c r="E10785" s="22" t="s">
        <v>15191</v>
      </c>
      <c r="F10785" s="23" t="str">
        <f>HYPERLINK("https://www.spark-marketing.ru/Card/Lot/72352587", "Оказание услуг по организации питания/проживания участников тренировочных сборов в каникулярный период")</f>
        <v>Оказание услуг по организации питания/проживания участников тренировочных сборов в каникулярный период</v>
      </c>
      <c r="G10785" s="22" t="s">
        <v>304</v>
      </c>
      <c r="H10785" s="22" t="s">
        <v>304</v>
      </c>
      <c r="I10785" s="26">
        <v>43671.506990740701</v>
      </c>
      <c r="J10785" s="28" t="s">
        <v>51</v>
      </c>
      <c r="K10785" s="28" t="s">
        <v>51</v>
      </c>
      <c r="L10785" s="22" t="s">
        <v>10</v>
      </c>
      <c r="M10785" s="25">
        <v>930000</v>
      </c>
      <c r="N10785" s="27">
        <v>0</v>
      </c>
    </row>
    <row r="10786" spans="1:14" x14ac:dyDescent="0.15">
      <c r="A10786" s="23" t="str">
        <f>HYPERLINK("https://www.spark-marketing.ru/Card/Person/15348", "ГБУ ""УКС ОРЕНБУРГСКОЙ ОБЛАСТИ""")</f>
        <v>ГБУ "УКС ОРЕНБУРГСКОЙ ОБЛАСТИ"</v>
      </c>
      <c r="B10786" s="24" t="s">
        <v>2280</v>
      </c>
      <c r="C10786" s="25">
        <v>4024513.64</v>
      </c>
      <c r="D10786" s="22" t="s">
        <v>15192</v>
      </c>
      <c r="E10786" s="22" t="s">
        <v>2282</v>
      </c>
      <c r="F10786" s="23" t="str">
        <f>HYPERLINK("https://www.spark-marketing.ru/Card/Lot/72342437", "Поставка медицинских изделий (медицинского оборудования) для оснащения второго этапа объекта капитального строительства «Онкологический диспансер на 180 коек в г.Орске» технологическим оборудованием")</f>
        <v>Поставка медицинских изделий (медицинского оборудования) для оснащения второго этапа объекта капитального строительства «Онкологический диспансер на 180 коек в г.Орске» технологическим оборудованием</v>
      </c>
      <c r="G10786" s="22" t="s">
        <v>132</v>
      </c>
      <c r="H10786" s="22" t="s">
        <v>587</v>
      </c>
      <c r="I10786" s="26">
        <v>43671.528530092597</v>
      </c>
      <c r="J10786" s="28" t="s">
        <v>51</v>
      </c>
      <c r="K10786" s="28" t="s">
        <v>51</v>
      </c>
      <c r="L10786" s="28" t="s">
        <v>51</v>
      </c>
      <c r="M10786" s="28" t="s">
        <v>51</v>
      </c>
      <c r="N10786" s="28" t="s">
        <v>51</v>
      </c>
    </row>
    <row r="10787" spans="1:14" x14ac:dyDescent="0.15">
      <c r="A10787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10787" s="24" t="s">
        <v>13798</v>
      </c>
      <c r="C10787" s="25">
        <v>13630</v>
      </c>
      <c r="D10787" s="22" t="s">
        <v>15193</v>
      </c>
      <c r="E10787" s="22" t="s">
        <v>10059</v>
      </c>
      <c r="F10787" s="23" t="str">
        <f>HYPERLINK("https://www.spark-marketing.ru/Card/Lot/72335928",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0787" s="22" t="s">
        <v>63</v>
      </c>
      <c r="H10787" s="22" t="s">
        <v>177</v>
      </c>
      <c r="I10787" s="26">
        <v>43671.526388888902</v>
      </c>
      <c r="J10787" s="28" t="s">
        <v>51</v>
      </c>
      <c r="K10787" s="28" t="s">
        <v>51</v>
      </c>
      <c r="L10787" s="28" t="s">
        <v>51</v>
      </c>
      <c r="M10787" s="28" t="s">
        <v>51</v>
      </c>
      <c r="N10787" s="28" t="s">
        <v>51</v>
      </c>
    </row>
    <row r="10788" spans="1:14" x14ac:dyDescent="0.15">
      <c r="A10788" s="23" t="str">
        <f>HYPERLINK("https://www.spark-marketing.ru/Card/Person/15348", "ГБУ ""УКС ОРЕНБУРГСКОЙ ОБЛАСТИ""")</f>
        <v>ГБУ "УКС ОРЕНБУРГСКОЙ ОБЛАСТИ"</v>
      </c>
      <c r="B10788" s="24" t="s">
        <v>2280</v>
      </c>
      <c r="C10788" s="25">
        <v>19931067</v>
      </c>
      <c r="D10788" s="22" t="s">
        <v>15194</v>
      </c>
      <c r="E10788" s="22" t="s">
        <v>2282</v>
      </c>
      <c r="F10788" s="23" t="str">
        <f>HYPERLINK("https://www.spark-marketing.ru/Card/Lot/72350072", "Поставка медицинских изделий (медицинского оборудования) для оснащения второго этапа объекта капитального строительства «Онкологический диспансер на 180 коек в г.Орске» технологическим оборудованием")</f>
        <v>Поставка медицинских изделий (медицинского оборудования) для оснащения второго этапа объекта капитального строительства «Онкологический диспансер на 180 коек в г.Орске» технологическим оборудованием</v>
      </c>
      <c r="G10788" s="22" t="s">
        <v>132</v>
      </c>
      <c r="H10788" s="22" t="s">
        <v>587</v>
      </c>
      <c r="I10788" s="26">
        <v>43671.527094907397</v>
      </c>
      <c r="J10788" s="23" t="str">
        <f>HYPERLINK("https://www.spark-marketing.ru/Card/Person/121680", "ООО ""Л-КОР""")</f>
        <v>ООО "Л-КОР"</v>
      </c>
      <c r="K10788" s="24" t="s">
        <v>15195</v>
      </c>
      <c r="L10788" s="22" t="s">
        <v>10</v>
      </c>
      <c r="M10788" s="28" t="s">
        <v>51</v>
      </c>
      <c r="N10788" s="28" t="s">
        <v>51</v>
      </c>
    </row>
    <row r="10789" spans="1:14" x14ac:dyDescent="0.15">
      <c r="A10789" s="23" t="str">
        <f>HYPERLINK("https://www.spark-marketing.ru/Card/Person/1074227", "ОМВД РОССИИ ПО АСКИЗСКОМУ РАЙОНУ")</f>
        <v>ОМВД РОССИИ ПО АСКИЗСКОМУ РАЙОНУ</v>
      </c>
      <c r="B10789" s="24" t="s">
        <v>15185</v>
      </c>
      <c r="C10789" s="25">
        <v>594000</v>
      </c>
      <c r="D10789" s="22" t="s">
        <v>15196</v>
      </c>
      <c r="E10789" s="22" t="s">
        <v>48</v>
      </c>
      <c r="F10789" s="23" t="str">
        <f>HYPERLINK("https://www.spark-marketing.ru/Card/Lot/72336495", "оказание услуг по обеспечению горячим трехразовым питанием лиц, подозреваемых и обвиняемых в совершении преступлений, арестованных за совершение административных правонарушений, содержащихся в изоляторе временного содержания подозреваемых и обвиняемы...")</f>
        <v>оказание услуг по обеспечению горячим трехразовым питанием лиц, подозреваемых и обвиняемых в совершении преступлений, арестованных за совершение административных правонарушений, содержащихся в изоляторе временного содержания подозреваемых и обвиняемы...</v>
      </c>
      <c r="G10789" s="22" t="s">
        <v>92</v>
      </c>
      <c r="H10789" s="22" t="s">
        <v>15187</v>
      </c>
      <c r="I10789" s="26">
        <v>43671.501041666699</v>
      </c>
      <c r="J10789" s="23" t="str">
        <f>HYPERLINK("https://www.spark-marketing.ru/Card/Person/656154", "ООО ""ЗЕВС""")</f>
        <v>ООО "ЗЕВС"</v>
      </c>
      <c r="K10789" s="24" t="s">
        <v>5981</v>
      </c>
      <c r="L10789" s="22" t="s">
        <v>10</v>
      </c>
      <c r="M10789" s="28" t="s">
        <v>51</v>
      </c>
      <c r="N10789" s="28" t="s">
        <v>51</v>
      </c>
    </row>
    <row r="10790" spans="1:14" x14ac:dyDescent="0.15">
      <c r="A10790" s="23" t="s">
        <v>114</v>
      </c>
      <c r="B10790" s="28" t="s">
        <v>51</v>
      </c>
      <c r="C10790" s="25">
        <v>29859851</v>
      </c>
      <c r="D10790" s="22" t="s">
        <v>15197</v>
      </c>
      <c r="E10790" s="22" t="s">
        <v>96</v>
      </c>
      <c r="F10790" s="23" t="str">
        <f t="shared" ref="F10790:F10800" si="283">HYPERLINK("https://www.spark-marketing.ru/Card/Lot/72342742",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10790" s="22" t="s">
        <v>51</v>
      </c>
      <c r="H10790" s="22" t="s">
        <v>51</v>
      </c>
      <c r="I10790" s="26">
        <v>43671.509722222203</v>
      </c>
      <c r="J10790" s="28" t="s">
        <v>51</v>
      </c>
      <c r="K10790" s="28" t="s">
        <v>51</v>
      </c>
      <c r="L10790" s="28" t="s">
        <v>51</v>
      </c>
      <c r="M10790" s="28" t="s">
        <v>51</v>
      </c>
      <c r="N10790" s="28" t="s">
        <v>51</v>
      </c>
    </row>
    <row r="10791" spans="1:14" hidden="1" outlineLevel="1" x14ac:dyDescent="0.15">
      <c r="A10791" s="23" t="str">
        <f>HYPERLINK("https://www.spark-marketing.ru/Card/Person/89789", "МБОУ ГИМНАЗИЯ ""УВК № 1""")</f>
        <v>МБОУ ГИМНАЗИЯ "УВК № 1"</v>
      </c>
      <c r="B10791" s="24" t="s">
        <v>15198</v>
      </c>
      <c r="C10791" s="25">
        <v>6383160</v>
      </c>
      <c r="D10791" s="22" t="s">
        <v>15197</v>
      </c>
      <c r="E10791" s="22" t="s">
        <v>96</v>
      </c>
      <c r="F10791" s="23" t="str">
        <f t="shared" si="283"/>
        <v>Оказание услуг по организации горячего питания школьников на 2019-2020 учебный год</v>
      </c>
      <c r="G10791" s="22" t="s">
        <v>82</v>
      </c>
      <c r="H10791" s="22" t="s">
        <v>83</v>
      </c>
      <c r="I10791" s="26">
        <v>43671.509722222203</v>
      </c>
      <c r="J10791" s="28" t="s">
        <v>51</v>
      </c>
      <c r="K10791" s="28" t="s">
        <v>51</v>
      </c>
      <c r="L10791" s="28" t="s">
        <v>51</v>
      </c>
      <c r="M10791" s="28" t="s">
        <v>51</v>
      </c>
      <c r="N10791" s="28" t="s">
        <v>51</v>
      </c>
    </row>
    <row r="10792" spans="1:14" hidden="1" outlineLevel="1" x14ac:dyDescent="0.15">
      <c r="A10792" s="23" t="str">
        <f>HYPERLINK("https://www.spark-marketing.ru/Card/Person/90440", "МБОУ ЛИЦЕЙ №8")</f>
        <v>МБОУ ЛИЦЕЙ №8</v>
      </c>
      <c r="B10792" s="24" t="s">
        <v>15199</v>
      </c>
      <c r="C10792" s="25">
        <v>4056640</v>
      </c>
      <c r="D10792" s="22" t="s">
        <v>15197</v>
      </c>
      <c r="E10792" s="22" t="s">
        <v>96</v>
      </c>
      <c r="F10792" s="23" t="str">
        <f t="shared" si="283"/>
        <v>Оказание услуг по организации горячего питания школьников на 2019-2020 учебный год</v>
      </c>
      <c r="G10792" s="22" t="s">
        <v>82</v>
      </c>
      <c r="H10792" s="22" t="s">
        <v>83</v>
      </c>
      <c r="I10792" s="26">
        <v>43671.509722222203</v>
      </c>
      <c r="J10792" s="28" t="s">
        <v>51</v>
      </c>
      <c r="K10792" s="28" t="s">
        <v>51</v>
      </c>
      <c r="L10792" s="28" t="s">
        <v>51</v>
      </c>
      <c r="M10792" s="28" t="s">
        <v>51</v>
      </c>
      <c r="N10792" s="28" t="s">
        <v>51</v>
      </c>
    </row>
    <row r="10793" spans="1:14" hidden="1" outlineLevel="1" x14ac:dyDescent="0.15">
      <c r="A10793" s="23" t="str">
        <f>HYPERLINK("https://www.spark-marketing.ru/Card/Person/90443", "МБОУ ""ГИМНАЗИЯ ИМ. И.С.НИКИТИНА""")</f>
        <v>МБОУ "ГИМНАЗИЯ ИМ. И.С.НИКИТИНА"</v>
      </c>
      <c r="B10793" s="24" t="s">
        <v>15200</v>
      </c>
      <c r="C10793" s="25">
        <v>3084900</v>
      </c>
      <c r="D10793" s="22" t="s">
        <v>15197</v>
      </c>
      <c r="E10793" s="22" t="s">
        <v>96</v>
      </c>
      <c r="F10793" s="23" t="str">
        <f t="shared" si="283"/>
        <v>Оказание услуг по организации горячего питания школьников на 2019-2020 учебный год</v>
      </c>
      <c r="G10793" s="22" t="s">
        <v>82</v>
      </c>
      <c r="H10793" s="22" t="s">
        <v>83</v>
      </c>
      <c r="I10793" s="26">
        <v>43671.509722222203</v>
      </c>
      <c r="J10793" s="28" t="s">
        <v>51</v>
      </c>
      <c r="K10793" s="28" t="s">
        <v>51</v>
      </c>
      <c r="L10793" s="28" t="s">
        <v>51</v>
      </c>
      <c r="M10793" s="28" t="s">
        <v>51</v>
      </c>
      <c r="N10793" s="28" t="s">
        <v>51</v>
      </c>
    </row>
    <row r="10794" spans="1:14" hidden="1" outlineLevel="1" x14ac:dyDescent="0.15">
      <c r="A10794" s="23" t="str">
        <f>HYPERLINK("https://www.spark-marketing.ru/Card/Person/122139", "МБОУ ЛИЦЕЙ № 4")</f>
        <v>МБОУ ЛИЦЕЙ № 4</v>
      </c>
      <c r="B10794" s="24" t="s">
        <v>15201</v>
      </c>
      <c r="C10794" s="25">
        <v>4321380</v>
      </c>
      <c r="D10794" s="22" t="s">
        <v>15197</v>
      </c>
      <c r="E10794" s="22" t="s">
        <v>96</v>
      </c>
      <c r="F10794" s="23" t="str">
        <f t="shared" si="283"/>
        <v>Оказание услуг по организации горячего питания школьников на 2019-2020 учебный год</v>
      </c>
      <c r="G10794" s="22" t="s">
        <v>82</v>
      </c>
      <c r="H10794" s="22" t="s">
        <v>83</v>
      </c>
      <c r="I10794" s="26">
        <v>43671.509722222203</v>
      </c>
      <c r="J10794" s="28" t="s">
        <v>51</v>
      </c>
      <c r="K10794" s="28" t="s">
        <v>51</v>
      </c>
      <c r="L10794" s="28" t="s">
        <v>51</v>
      </c>
      <c r="M10794" s="28" t="s">
        <v>51</v>
      </c>
      <c r="N10794" s="28" t="s">
        <v>51</v>
      </c>
    </row>
    <row r="10795" spans="1:14" hidden="1" outlineLevel="1" x14ac:dyDescent="0.15">
      <c r="A10795" s="23" t="str">
        <f>HYPERLINK("https://www.spark-marketing.ru/Card/Person/122799", "МБОУ ГИМНАЗИЯ № 10")</f>
        <v>МБОУ ГИМНАЗИЯ № 10</v>
      </c>
      <c r="B10795" s="24" t="s">
        <v>15202</v>
      </c>
      <c r="C10795" s="25">
        <v>3173534</v>
      </c>
      <c r="D10795" s="22" t="s">
        <v>15197</v>
      </c>
      <c r="E10795" s="22" t="s">
        <v>96</v>
      </c>
      <c r="F10795" s="23" t="str">
        <f t="shared" si="283"/>
        <v>Оказание услуг по организации горячего питания школьников на 2019-2020 учебный год</v>
      </c>
      <c r="G10795" s="22" t="s">
        <v>82</v>
      </c>
      <c r="H10795" s="22" t="s">
        <v>83</v>
      </c>
      <c r="I10795" s="26">
        <v>43671.509722222203</v>
      </c>
      <c r="J10795" s="28" t="s">
        <v>51</v>
      </c>
      <c r="K10795" s="28" t="s">
        <v>51</v>
      </c>
      <c r="L10795" s="28" t="s">
        <v>51</v>
      </c>
      <c r="M10795" s="28" t="s">
        <v>51</v>
      </c>
      <c r="N10795" s="28" t="s">
        <v>51</v>
      </c>
    </row>
    <row r="10796" spans="1:14" hidden="1" outlineLevel="1" x14ac:dyDescent="0.15">
      <c r="A10796" s="23" t="str">
        <f>HYPERLINK("https://www.spark-marketing.ru/Card/Person/122903", "МБОУ ""ЛИЦЕЙ № 1""")</f>
        <v>МБОУ "ЛИЦЕЙ № 1"</v>
      </c>
      <c r="B10796" s="24" t="s">
        <v>15203</v>
      </c>
      <c r="C10796" s="25">
        <v>2627156</v>
      </c>
      <c r="D10796" s="22" t="s">
        <v>15197</v>
      </c>
      <c r="E10796" s="22" t="s">
        <v>96</v>
      </c>
      <c r="F10796" s="23" t="str">
        <f t="shared" si="283"/>
        <v>Оказание услуг по организации горячего питания школьников на 2019-2020 учебный год</v>
      </c>
      <c r="G10796" s="22" t="s">
        <v>82</v>
      </c>
      <c r="H10796" s="22" t="s">
        <v>83</v>
      </c>
      <c r="I10796" s="26">
        <v>43671.509722222203</v>
      </c>
      <c r="J10796" s="28" t="s">
        <v>51</v>
      </c>
      <c r="K10796" s="28" t="s">
        <v>51</v>
      </c>
      <c r="L10796" s="28" t="s">
        <v>51</v>
      </c>
      <c r="M10796" s="28" t="s">
        <v>51</v>
      </c>
      <c r="N10796" s="28" t="s">
        <v>51</v>
      </c>
    </row>
    <row r="10797" spans="1:14" hidden="1" outlineLevel="1" x14ac:dyDescent="0.15">
      <c r="A10797" s="23" t="str">
        <f>HYPERLINK("https://www.spark-marketing.ru/Card/Person/1083978", "МБОУ ""СОШ № 101""")</f>
        <v>МБОУ "СОШ № 101"</v>
      </c>
      <c r="B10797" s="24" t="s">
        <v>15204</v>
      </c>
      <c r="C10797" s="25">
        <v>6213081</v>
      </c>
      <c r="D10797" s="22" t="s">
        <v>15197</v>
      </c>
      <c r="E10797" s="22" t="s">
        <v>96</v>
      </c>
      <c r="F10797" s="23" t="str">
        <f t="shared" si="283"/>
        <v>Оказание услуг по организации горячего питания школьников на 2019-2020 учебный год</v>
      </c>
      <c r="G10797" s="22" t="s">
        <v>82</v>
      </c>
      <c r="H10797" s="22" t="s">
        <v>83</v>
      </c>
      <c r="I10797" s="26">
        <v>43671.509722222203</v>
      </c>
      <c r="J10797" s="28" t="s">
        <v>51</v>
      </c>
      <c r="K10797" s="28" t="s">
        <v>51</v>
      </c>
      <c r="L10797" s="28" t="s">
        <v>51</v>
      </c>
      <c r="M10797" s="28" t="s">
        <v>51</v>
      </c>
      <c r="N10797" s="28" t="s">
        <v>51</v>
      </c>
    </row>
    <row r="10798" spans="1:14" hidden="1" outlineLevel="1" x14ac:dyDescent="0.2">
      <c r="A10798" s="28" t="s">
        <v>51</v>
      </c>
      <c r="B10798" s="28" t="s">
        <v>51</v>
      </c>
      <c r="C10798" s="28" t="s">
        <v>51</v>
      </c>
      <c r="D10798" s="22" t="s">
        <v>15197</v>
      </c>
      <c r="E10798" s="22" t="s">
        <v>96</v>
      </c>
      <c r="F10798" s="23" t="str">
        <f t="shared" si="283"/>
        <v>Оказание услуг по организации горячего питания школьников на 2019-2020 учебный год</v>
      </c>
      <c r="G10798" s="22" t="s">
        <v>51</v>
      </c>
      <c r="H10798" s="22" t="s">
        <v>51</v>
      </c>
      <c r="I10798" s="26">
        <v>43671.509722222203</v>
      </c>
      <c r="J10798" s="23" t="str">
        <f>HYPERLINK("https://www.spark-marketing.ru/Card/Person/81010", "ООО ""ТД СПП""")</f>
        <v>ООО "ТД СПП"</v>
      </c>
      <c r="K10798" s="24" t="s">
        <v>7782</v>
      </c>
      <c r="L10798" s="28" t="s">
        <v>51</v>
      </c>
      <c r="M10798" s="25">
        <v>29859851</v>
      </c>
      <c r="N10798" s="27">
        <v>0</v>
      </c>
    </row>
    <row r="10799" spans="1:14" hidden="1" outlineLevel="1" x14ac:dyDescent="0.15">
      <c r="A10799" s="28" t="s">
        <v>51</v>
      </c>
      <c r="B10799" s="28" t="s">
        <v>51</v>
      </c>
      <c r="C10799" s="28" t="s">
        <v>51</v>
      </c>
      <c r="D10799" s="22" t="s">
        <v>15197</v>
      </c>
      <c r="E10799" s="22" t="s">
        <v>96</v>
      </c>
      <c r="F10799" s="23" t="str">
        <f t="shared" si="283"/>
        <v>Оказание услуг по организации горячего питания школьников на 2019-2020 учебный год</v>
      </c>
      <c r="G10799" s="22" t="s">
        <v>51</v>
      </c>
      <c r="H10799" s="22" t="s">
        <v>51</v>
      </c>
      <c r="I10799" s="26">
        <v>43671.509722222203</v>
      </c>
      <c r="J10799" s="23" t="str">
        <f>HYPERLINK("https://www.spark-marketing.ru/Card/Person/89737", "ООО ""ИНДИКАТ""")</f>
        <v>ООО "ИНДИКАТ"</v>
      </c>
      <c r="K10799" s="24" t="s">
        <v>7815</v>
      </c>
      <c r="L10799" s="28" t="s">
        <v>51</v>
      </c>
      <c r="M10799" s="28" t="s">
        <v>51</v>
      </c>
      <c r="N10799" s="28" t="s">
        <v>51</v>
      </c>
    </row>
    <row r="10800" spans="1:14" hidden="1" outlineLevel="1" x14ac:dyDescent="0.15">
      <c r="A10800" s="28" t="s">
        <v>51</v>
      </c>
      <c r="B10800" s="28" t="s">
        <v>51</v>
      </c>
      <c r="C10800" s="28" t="s">
        <v>51</v>
      </c>
      <c r="D10800" s="22" t="s">
        <v>15197</v>
      </c>
      <c r="E10800" s="22" t="s">
        <v>96</v>
      </c>
      <c r="F10800" s="23" t="str">
        <f t="shared" si="283"/>
        <v>Оказание услуг по организации горячего питания школьников на 2019-2020 учебный год</v>
      </c>
      <c r="G10800" s="22" t="s">
        <v>51</v>
      </c>
      <c r="H10800" s="22" t="s">
        <v>51</v>
      </c>
      <c r="I10800" s="26">
        <v>43671.509722222203</v>
      </c>
      <c r="J10800" s="23" t="str">
        <f>HYPERLINK("https://www.spark-marketing.ru/Card/Person/59814", "ООО КП ""СОЛНЕЧНЫЙ""")</f>
        <v>ООО КП "СОЛНЕЧНЫЙ"</v>
      </c>
      <c r="K10800" s="24" t="s">
        <v>7783</v>
      </c>
      <c r="L10800" s="28" t="s">
        <v>51</v>
      </c>
      <c r="M10800" s="28" t="s">
        <v>51</v>
      </c>
      <c r="N10800" s="28" t="s">
        <v>51</v>
      </c>
    </row>
    <row r="10801" spans="1:14" x14ac:dyDescent="0.15">
      <c r="A10801" s="23" t="str">
        <f>HYPERLINK("https://www.spark-marketing.ru/Card/Person/744458", "МОМВД РОССИИ ""ПРОХЛАДНЕНСКИЙ""")</f>
        <v>МОМВД РОССИИ "ПРОХЛАДНЕНСКИЙ"</v>
      </c>
      <c r="B10801" s="24" t="s">
        <v>15205</v>
      </c>
      <c r="C10801" s="25">
        <v>1943000</v>
      </c>
      <c r="D10801" s="22" t="s">
        <v>15206</v>
      </c>
      <c r="E10801" s="22" t="s">
        <v>48</v>
      </c>
      <c r="F10801" s="23" t="str">
        <f>HYPERLINK("https://www.spark-marketing.ru/Card/Lot/72349304", "питание ИВС")</f>
        <v>питание ИВС</v>
      </c>
      <c r="G10801" s="22" t="s">
        <v>986</v>
      </c>
      <c r="H10801" s="22" t="s">
        <v>14508</v>
      </c>
      <c r="I10801" s="26">
        <v>43671.541145833296</v>
      </c>
      <c r="J10801" s="28" t="s">
        <v>51</v>
      </c>
      <c r="K10801" s="28" t="s">
        <v>51</v>
      </c>
      <c r="L10801" s="28" t="s">
        <v>51</v>
      </c>
      <c r="M10801" s="28" t="s">
        <v>51</v>
      </c>
      <c r="N10801" s="28" t="s">
        <v>51</v>
      </c>
    </row>
    <row r="10802" spans="1:14" ht="12.75" hidden="1" outlineLevel="1" x14ac:dyDescent="0.2">
      <c r="A10802" s="23" t="str">
        <f>HYPERLINK("https://www.spark-marketing.ru/Card/Person/744458", "МОМВД РОССИИ ""ПРОХЛАДНЕНСКИЙ""")</f>
        <v>МОМВД РОССИИ "ПРОХЛАДНЕНСКИЙ"</v>
      </c>
      <c r="B10802" s="24" t="s">
        <v>15205</v>
      </c>
      <c r="C10802" s="25">
        <v>1943000</v>
      </c>
      <c r="D10802" s="22" t="s">
        <v>15206</v>
      </c>
      <c r="E10802" s="22" t="s">
        <v>48</v>
      </c>
      <c r="F10802" s="23" t="str">
        <f>HYPERLINK("https://www.spark-marketing.ru/Card/Lot/72349304", "питание ИВС")</f>
        <v>питание ИВС</v>
      </c>
      <c r="G10802" s="22" t="s">
        <v>986</v>
      </c>
      <c r="H10802" s="22" t="s">
        <v>14508</v>
      </c>
      <c r="I10802" s="26">
        <v>43671.541145833296</v>
      </c>
      <c r="J10802" s="23" t="str">
        <f>HYPERLINK("https://www.spark-marketing.ru/Card/Person/63214", "Семенов Анзор Валериевич")</f>
        <v>Семенов Анзор Валериевич</v>
      </c>
      <c r="K10802" s="24" t="s">
        <v>13527</v>
      </c>
      <c r="L10802" s="22" t="s">
        <v>10</v>
      </c>
      <c r="M10802" s="25">
        <v>1719555</v>
      </c>
      <c r="N10802" s="27">
        <v>0.115</v>
      </c>
    </row>
    <row r="10803" spans="1:14" hidden="1" outlineLevel="1" x14ac:dyDescent="0.2">
      <c r="A10803" s="23" t="str">
        <f>HYPERLINK("https://www.spark-marketing.ru/Card/Person/744458", "МОМВД РОССИИ ""ПРОХЛАДНЕНСКИЙ""")</f>
        <v>МОМВД РОССИИ "ПРОХЛАДНЕНСКИЙ"</v>
      </c>
      <c r="B10803" s="24" t="s">
        <v>15205</v>
      </c>
      <c r="C10803" s="25">
        <v>1943000</v>
      </c>
      <c r="D10803" s="22" t="s">
        <v>15206</v>
      </c>
      <c r="E10803" s="22" t="s">
        <v>48</v>
      </c>
      <c r="F10803" s="23" t="str">
        <f>HYPERLINK("https://www.spark-marketing.ru/Card/Lot/72349304", "питание ИВС")</f>
        <v>питание ИВС</v>
      </c>
      <c r="G10803" s="22" t="s">
        <v>986</v>
      </c>
      <c r="H10803" s="22" t="s">
        <v>14508</v>
      </c>
      <c r="I10803" s="26">
        <v>43671.541145833296</v>
      </c>
      <c r="J10803" s="23" t="str">
        <f>HYPERLINK("https://www.spark-marketing.ru/Card/Person/7020", "ООО ""УК ""ПАРТНЕР""")</f>
        <v>ООО "УК "ПАРТНЕР"</v>
      </c>
      <c r="K10803" s="24" t="s">
        <v>15207</v>
      </c>
      <c r="L10803" s="28" t="s">
        <v>51</v>
      </c>
      <c r="M10803" s="25">
        <v>1729270</v>
      </c>
      <c r="N10803" s="27">
        <v>0.11</v>
      </c>
    </row>
    <row r="10804" spans="1:14" x14ac:dyDescent="0.15">
      <c r="A10804" s="23" t="str">
        <f>HYPERLINK("https://www.spark-marketing.ru/Card/Person/1016733", "ОБУЗ ""ОКНБ""")</f>
        <v>ОБУЗ "ОКНБ"</v>
      </c>
      <c r="B10804" s="24" t="s">
        <v>15208</v>
      </c>
      <c r="C10804" s="25">
        <v>2287500</v>
      </c>
      <c r="D10804" s="22" t="s">
        <v>15209</v>
      </c>
      <c r="E10804" s="22" t="s">
        <v>48</v>
      </c>
      <c r="F10804" s="23" t="str">
        <f>HYPERLINK("https://www.spark-marketing.ru/Card/Lot/72342537", "Оказание услуг по ежедневному приготовлению и поставке питания для больных")</f>
        <v>Оказание услуг по ежедневному приготовлению и поставке питания для больных</v>
      </c>
      <c r="G10804" s="22" t="s">
        <v>1111</v>
      </c>
      <c r="H10804" s="22" t="s">
        <v>1111</v>
      </c>
      <c r="I10804" s="26">
        <v>43671.532361111102</v>
      </c>
      <c r="J10804" s="28" t="s">
        <v>51</v>
      </c>
      <c r="K10804" s="28" t="s">
        <v>51</v>
      </c>
      <c r="L10804" s="28" t="s">
        <v>51</v>
      </c>
      <c r="M10804" s="28" t="s">
        <v>51</v>
      </c>
      <c r="N10804" s="28" t="s">
        <v>51</v>
      </c>
    </row>
    <row r="10805" spans="1:14" ht="12.75" hidden="1" outlineLevel="1" x14ac:dyDescent="0.2">
      <c r="A10805" s="23" t="str">
        <f>HYPERLINK("https://www.spark-marketing.ru/Card/Person/1016733", "ОБУЗ ""ОКНБ""")</f>
        <v>ОБУЗ "ОКНБ"</v>
      </c>
      <c r="B10805" s="24" t="s">
        <v>15208</v>
      </c>
      <c r="C10805" s="25">
        <v>2287500</v>
      </c>
      <c r="D10805" s="22" t="s">
        <v>15209</v>
      </c>
      <c r="E10805" s="22" t="s">
        <v>48</v>
      </c>
      <c r="F10805" s="23" t="str">
        <f>HYPERLINK("https://www.spark-marketing.ru/Card/Lot/72342537", "Оказание услуг по ежедневному приготовлению и поставке питания для больных")</f>
        <v>Оказание услуг по ежедневному приготовлению и поставке питания для больных</v>
      </c>
      <c r="G10805" s="22" t="s">
        <v>1111</v>
      </c>
      <c r="H10805" s="22" t="s">
        <v>1111</v>
      </c>
      <c r="I10805" s="26">
        <v>43671.532361111102</v>
      </c>
      <c r="J10805" s="23" t="str">
        <f>HYPERLINK("https://www.spark-marketing.ru/Card/Person/671861", "ООО ""КОНГРЕСС""")</f>
        <v>ООО "КОНГРЕСС"</v>
      </c>
      <c r="K10805" s="24" t="s">
        <v>4512</v>
      </c>
      <c r="L10805" s="22" t="s">
        <v>10</v>
      </c>
      <c r="M10805" s="25">
        <v>2058384</v>
      </c>
      <c r="N10805" s="27">
        <v>0.10016</v>
      </c>
    </row>
    <row r="10806" spans="1:14" hidden="1" outlineLevel="1" x14ac:dyDescent="0.2">
      <c r="A10806" s="23" t="str">
        <f>HYPERLINK("https://www.spark-marketing.ru/Card/Person/1016733", "ОБУЗ ""ОКНБ""")</f>
        <v>ОБУЗ "ОКНБ"</v>
      </c>
      <c r="B10806" s="24" t="s">
        <v>15208</v>
      </c>
      <c r="C10806" s="25">
        <v>2287500</v>
      </c>
      <c r="D10806" s="22" t="s">
        <v>15209</v>
      </c>
      <c r="E10806" s="22" t="s">
        <v>48</v>
      </c>
      <c r="F10806" s="23" t="str">
        <f>HYPERLINK("https://www.spark-marketing.ru/Card/Lot/72342537", "Оказание услуг по ежедневному приготовлению и поставке питания для больных")</f>
        <v>Оказание услуг по ежедневному приготовлению и поставке питания для больных</v>
      </c>
      <c r="G10806" s="22" t="s">
        <v>1111</v>
      </c>
      <c r="H10806" s="22" t="s">
        <v>1111</v>
      </c>
      <c r="I10806" s="26">
        <v>43671.532361111102</v>
      </c>
      <c r="J10806" s="23" t="str">
        <f>HYPERLINK("https://www.spark-marketing.ru/Card/Person/1327617", "Ковынев Андрей Юрьевич")</f>
        <v>Ковынев Андрей Юрьевич</v>
      </c>
      <c r="K10806" s="24" t="s">
        <v>15210</v>
      </c>
      <c r="L10806" s="28" t="s">
        <v>51</v>
      </c>
      <c r="M10806" s="25">
        <v>2070000</v>
      </c>
      <c r="N10806" s="27">
        <v>9.5081967213114751E-2</v>
      </c>
    </row>
    <row r="10807" spans="1:14" hidden="1" outlineLevel="1" x14ac:dyDescent="0.2">
      <c r="A10807" s="23" t="str">
        <f>HYPERLINK("https://www.spark-marketing.ru/Card/Person/1016733", "ОБУЗ ""ОКНБ""")</f>
        <v>ОБУЗ "ОКНБ"</v>
      </c>
      <c r="B10807" s="24" t="s">
        <v>15208</v>
      </c>
      <c r="C10807" s="25">
        <v>2287500</v>
      </c>
      <c r="D10807" s="22" t="s">
        <v>15209</v>
      </c>
      <c r="E10807" s="22" t="s">
        <v>48</v>
      </c>
      <c r="F10807" s="23" t="str">
        <f>HYPERLINK("https://www.spark-marketing.ru/Card/Lot/72342537", "Оказание услуг по ежедневному приготовлению и поставке питания для больных")</f>
        <v>Оказание услуг по ежедневному приготовлению и поставке питания для больных</v>
      </c>
      <c r="G10807" s="22" t="s">
        <v>1111</v>
      </c>
      <c r="H10807" s="22" t="s">
        <v>1111</v>
      </c>
      <c r="I10807" s="26">
        <v>43671.532361111102</v>
      </c>
      <c r="J10807" s="23" t="str">
        <f>HYPERLINK("https://www.spark-marketing.ru/Card/Person/667973", "Евдокимов Олег Александрович")</f>
        <v>Евдокимов Олег Александрович</v>
      </c>
      <c r="K10807" s="24" t="s">
        <v>8930</v>
      </c>
      <c r="L10807" s="28" t="s">
        <v>51</v>
      </c>
      <c r="M10807" s="25">
        <v>2196000</v>
      </c>
      <c r="N10807" s="27">
        <v>0.04</v>
      </c>
    </row>
    <row r="10808" spans="1:14" x14ac:dyDescent="0.15">
      <c r="A10808" s="23" t="str">
        <f>HYPERLINK("https://www.spark-marketing.ru/Card/Person/67079", "ОМВД РОССИИ ПО ИЛАНСКОМУ РАЙОНУ")</f>
        <v>ОМВД РОССИИ ПО ИЛАНСКОМУ РАЙОНУ</v>
      </c>
      <c r="B10808" s="24" t="s">
        <v>15158</v>
      </c>
      <c r="C10808" s="25">
        <v>230000</v>
      </c>
      <c r="D10808" s="22" t="s">
        <v>15211</v>
      </c>
      <c r="E10808" s="22" t="s">
        <v>48</v>
      </c>
      <c r="F10808" s="23" t="str">
        <f>HYPERLINK("https://www.spark-marketing.ru/Card/Lot/72338326", "Услуги по организации горячего питания")</f>
        <v>Услуги по организации горячего питания</v>
      </c>
      <c r="G10808" s="22" t="s">
        <v>281</v>
      </c>
      <c r="H10808" s="22" t="s">
        <v>281</v>
      </c>
      <c r="I10808" s="26">
        <v>43671.530914351897</v>
      </c>
      <c r="J10808" s="23" t="str">
        <f>HYPERLINK("https://www.spark-marketing.ru/Card/Person/200493", "Федоров Юрий Васильевич")</f>
        <v>Федоров Юрий Васильевич</v>
      </c>
      <c r="K10808" s="24" t="s">
        <v>11695</v>
      </c>
      <c r="L10808" s="22" t="s">
        <v>10</v>
      </c>
      <c r="M10808" s="28" t="s">
        <v>51</v>
      </c>
      <c r="N10808" s="28" t="s">
        <v>51</v>
      </c>
    </row>
    <row r="10809" spans="1:14" x14ac:dyDescent="0.15">
      <c r="A10809" s="23" t="str">
        <f>HYPERLINK("https://www.spark-marketing.ru/Card/Person/92131", "УПРАВЛЕНИЕ МВД РОССИИ ПО Г.УЛАН-УДЭ")</f>
        <v>УПРАВЛЕНИЕ МВД РОССИИ ПО Г.УЛАН-УДЭ</v>
      </c>
      <c r="B10809" s="24" t="s">
        <v>9425</v>
      </c>
      <c r="C10809" s="25">
        <v>3131537.7</v>
      </c>
      <c r="D10809" s="22" t="s">
        <v>15212</v>
      </c>
      <c r="E10809" s="22" t="s">
        <v>48</v>
      </c>
      <c r="F10809" s="23" t="str">
        <f>HYPERLINK("https://www.spark-marketing.ru/Card/Lot/72329082", "оказание услуг по обеспечению ежедневным трехразовым горячим питанием лиц подозреваемых и обвиняемых в совершении преступлений и лиц, арестованных в административном порядке, содержащихся в изоляторе временного содержания и Дежурной части; оказание у...")</f>
        <v>оказание услуг по обеспечению ежедневным трехразовым горячим питанием лиц подозреваемых и обвиняемых в совершении преступлений и лиц, арестованных в административном порядке, содержащихся в изоляторе временного содержания и Дежурной части; оказание у...</v>
      </c>
      <c r="G10809" s="22" t="s">
        <v>433</v>
      </c>
      <c r="H10809" s="22" t="s">
        <v>974</v>
      </c>
      <c r="I10809" s="26">
        <v>43671.4933564815</v>
      </c>
      <c r="J10809" s="23" t="str">
        <f>HYPERLINK("https://www.spark-marketing.ru/Card/Person/92186", "Гамбулон Елена Цырен-Дашиевна")</f>
        <v>Гамбулон Елена Цырен-Дашиевна</v>
      </c>
      <c r="K10809" s="24" t="s">
        <v>9427</v>
      </c>
      <c r="L10809" s="22" t="s">
        <v>10</v>
      </c>
      <c r="M10809" s="28" t="s">
        <v>51</v>
      </c>
      <c r="N10809" s="28" t="s">
        <v>51</v>
      </c>
    </row>
    <row r="10810" spans="1:14" x14ac:dyDescent="0.15">
      <c r="A10810" s="23" t="str">
        <f>HYPERLINK("https://www.spark-marketing.ru/Card/Person/291413", "ОТДЕЛ МВД РОССИИ ПО ГРИБАНОВСКОМУ РАЙОНУ")</f>
        <v>ОТДЕЛ МВД РОССИИ ПО ГРИБАНОВСКОМУ РАЙОНУ</v>
      </c>
      <c r="B10810" s="24" t="s">
        <v>5359</v>
      </c>
      <c r="C10810" s="25">
        <v>92310</v>
      </c>
      <c r="D10810" s="22" t="s">
        <v>15213</v>
      </c>
      <c r="E10810" s="22" t="s">
        <v>48</v>
      </c>
      <c r="F10810" s="23" t="str">
        <f>HYPERLINK("https://www.spark-marketing.ru/Card/Lot/72333912",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810" s="22" t="s">
        <v>82</v>
      </c>
      <c r="H10810" s="22" t="s">
        <v>5361</v>
      </c>
      <c r="I10810" s="26">
        <v>43671.499340277798</v>
      </c>
      <c r="J10810" s="28" t="s">
        <v>51</v>
      </c>
      <c r="K10810" s="28" t="s">
        <v>51</v>
      </c>
      <c r="L10810" s="28" t="s">
        <v>51</v>
      </c>
      <c r="M10810" s="28" t="s">
        <v>51</v>
      </c>
      <c r="N10810" s="28" t="s">
        <v>51</v>
      </c>
    </row>
    <row r="10811" spans="1:14" x14ac:dyDescent="0.15">
      <c r="A10811" s="23" t="str">
        <f>HYPERLINK("https://www.spark-marketing.ru/Card/Person/1012554", "ГАУ ""РЦ ""ЛЮВЕНА"" КИРОВСКОГО РАЙОНА Г. ЕКАТЕРИНБУРГА""")</f>
        <v>ГАУ "РЦ "ЛЮВЕНА" КИРОВСКОГО РАЙОНА Г. ЕКАТЕРИНБУРГА"</v>
      </c>
      <c r="B10811" s="24" t="s">
        <v>12588</v>
      </c>
      <c r="C10811" s="25">
        <v>37740</v>
      </c>
      <c r="D10811" s="22" t="s">
        <v>15214</v>
      </c>
      <c r="E10811" s="22" t="s">
        <v>15215</v>
      </c>
      <c r="F10811" s="23" t="str">
        <f>HYPERLINK("https://www.spark-marketing.ru/Card/Lot/72354959", "Бесперебойный источник питания для компьютера, в целях оснащения государственных организаций социального обслуживания Свердловской области, осуществляющих социальную реабилитацию инвалидов, в том числе детей-инвалидов, реабилитационным и абилитационн...")</f>
        <v>Бесперебойный источник питания для компьютера, в целях оснащения государственных организаций социального обслуживания Свердловской области, осуществляющих социальную реабилитацию инвалидов, в том числе детей-инвалидов, реабилитационным и абилитационн...</v>
      </c>
      <c r="G10811" s="22" t="s">
        <v>174</v>
      </c>
      <c r="H10811" s="22" t="s">
        <v>174</v>
      </c>
      <c r="I10811" s="26">
        <v>43671.463275463</v>
      </c>
      <c r="J10811" s="28" t="s">
        <v>51</v>
      </c>
      <c r="K10811" s="28" t="s">
        <v>51</v>
      </c>
      <c r="L10811" s="28" t="s">
        <v>51</v>
      </c>
      <c r="M10811" s="28" t="s">
        <v>51</v>
      </c>
      <c r="N10811" s="28" t="s">
        <v>51</v>
      </c>
    </row>
    <row r="10812" spans="1:14" x14ac:dyDescent="0.15">
      <c r="A10812" s="23" t="str">
        <f>HYPERLINK("https://www.spark-marketing.ru/Card/Person/2937", "УМВД РОССИИ ПО Г. НИЖНЕВАРТОВСКУ")</f>
        <v>УМВД РОССИИ ПО Г. НИЖНЕВАРТОВСКУ</v>
      </c>
      <c r="B10812" s="24" t="s">
        <v>759</v>
      </c>
      <c r="C10812" s="25">
        <v>169947</v>
      </c>
      <c r="D10812" s="22" t="s">
        <v>15216</v>
      </c>
      <c r="E10812" s="22" t="s">
        <v>96</v>
      </c>
      <c r="F10812" s="23" t="str">
        <f>HYPERLINK("https://www.spark-marketing.ru/Card/Lot/72332246",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0812" s="22" t="s">
        <v>97</v>
      </c>
      <c r="H10812" s="22" t="s">
        <v>366</v>
      </c>
      <c r="I10812" s="26">
        <v>43671.463136574101</v>
      </c>
      <c r="J10812" s="28" t="s">
        <v>51</v>
      </c>
      <c r="K10812" s="28" t="s">
        <v>51</v>
      </c>
      <c r="L10812" s="28" t="s">
        <v>51</v>
      </c>
      <c r="M10812" s="28" t="s">
        <v>51</v>
      </c>
      <c r="N10812" s="28" t="s">
        <v>51</v>
      </c>
    </row>
    <row r="10813" spans="1:14" x14ac:dyDescent="0.15">
      <c r="A10813" s="23" t="s">
        <v>114</v>
      </c>
      <c r="B10813" s="28" t="s">
        <v>51</v>
      </c>
      <c r="C10813" s="25">
        <v>8146855</v>
      </c>
      <c r="D10813" s="22" t="s">
        <v>15217</v>
      </c>
      <c r="E10813" s="22" t="s">
        <v>48</v>
      </c>
      <c r="F10813" s="23" t="str">
        <f t="shared" ref="F10813:F10825" si="284">HYPERLINK("https://www.spark-marketing.ru/Card/Lot/72342901", "Оказание услуг по организации питания учащихся")</f>
        <v>Оказание услуг по организации питания учащихся</v>
      </c>
      <c r="G10813" s="22" t="s">
        <v>51</v>
      </c>
      <c r="H10813" s="22" t="s">
        <v>51</v>
      </c>
      <c r="I10813" s="26">
        <v>43671.471643518496</v>
      </c>
      <c r="J10813" s="28" t="s">
        <v>51</v>
      </c>
      <c r="K10813" s="28" t="s">
        <v>51</v>
      </c>
      <c r="L10813" s="28" t="s">
        <v>51</v>
      </c>
      <c r="M10813" s="28" t="s">
        <v>51</v>
      </c>
      <c r="N10813" s="28" t="s">
        <v>51</v>
      </c>
    </row>
    <row r="10814" spans="1:14" hidden="1" outlineLevel="1" x14ac:dyDescent="0.15">
      <c r="A10814" s="23" t="str">
        <f>HYPERLINK("https://www.spark-marketing.ru/Card/Person/4670", "МБОУ ""ГИМНАЗИЯ №4"" Г. БРЯНСКА")</f>
        <v>МБОУ "ГИМНАЗИЯ №4" Г. БРЯНСКА</v>
      </c>
      <c r="B10814" s="24" t="s">
        <v>15218</v>
      </c>
      <c r="C10814" s="25">
        <v>1088400</v>
      </c>
      <c r="D10814" s="22" t="s">
        <v>15217</v>
      </c>
      <c r="E10814" s="22" t="s">
        <v>48</v>
      </c>
      <c r="F10814" s="23" t="str">
        <f t="shared" si="284"/>
        <v>Оказание услуг по организации питания учащихся</v>
      </c>
      <c r="G10814" s="22" t="s">
        <v>475</v>
      </c>
      <c r="H10814" s="22" t="s">
        <v>475</v>
      </c>
      <c r="I10814" s="26">
        <v>43671.471643518496</v>
      </c>
      <c r="J10814" s="28" t="s">
        <v>51</v>
      </c>
      <c r="K10814" s="28" t="s">
        <v>51</v>
      </c>
      <c r="L10814" s="28" t="s">
        <v>51</v>
      </c>
      <c r="M10814" s="28" t="s">
        <v>51</v>
      </c>
      <c r="N10814" s="28" t="s">
        <v>51</v>
      </c>
    </row>
    <row r="10815" spans="1:14" hidden="1" outlineLevel="1" x14ac:dyDescent="0.15">
      <c r="A10815" s="23" t="str">
        <f>HYPERLINK("https://www.spark-marketing.ru/Card/Person/6832", "МБОУ СОШ № 64 Г. БРЯНСКА")</f>
        <v>МБОУ СОШ № 64 Г. БРЯНСКА</v>
      </c>
      <c r="B10815" s="24" t="s">
        <v>15219</v>
      </c>
      <c r="C10815" s="25">
        <v>1252295</v>
      </c>
      <c r="D10815" s="22" t="s">
        <v>15217</v>
      </c>
      <c r="E10815" s="22" t="s">
        <v>48</v>
      </c>
      <c r="F10815" s="23" t="str">
        <f t="shared" si="284"/>
        <v>Оказание услуг по организации питания учащихся</v>
      </c>
      <c r="G10815" s="22" t="s">
        <v>475</v>
      </c>
      <c r="H10815" s="22" t="s">
        <v>475</v>
      </c>
      <c r="I10815" s="26">
        <v>43671.471643518496</v>
      </c>
      <c r="J10815" s="28" t="s">
        <v>51</v>
      </c>
      <c r="K10815" s="28" t="s">
        <v>51</v>
      </c>
      <c r="L10815" s="28" t="s">
        <v>51</v>
      </c>
      <c r="M10815" s="28" t="s">
        <v>51</v>
      </c>
      <c r="N10815" s="28" t="s">
        <v>51</v>
      </c>
    </row>
    <row r="10816" spans="1:14" hidden="1" outlineLevel="1" x14ac:dyDescent="0.15">
      <c r="A10816" s="23" t="str">
        <f>HYPERLINK("https://www.spark-marketing.ru/Card/Person/69966", "МБОУ "" СОШ № 46"" Г.БРЯНСКА")</f>
        <v>МБОУ " СОШ № 46" Г.БРЯНСКА</v>
      </c>
      <c r="B10816" s="24" t="s">
        <v>15220</v>
      </c>
      <c r="C10816" s="25">
        <v>1270240</v>
      </c>
      <c r="D10816" s="22" t="s">
        <v>15217</v>
      </c>
      <c r="E10816" s="22" t="s">
        <v>48</v>
      </c>
      <c r="F10816" s="23" t="str">
        <f t="shared" si="284"/>
        <v>Оказание услуг по организации питания учащихся</v>
      </c>
      <c r="G10816" s="22" t="s">
        <v>475</v>
      </c>
      <c r="H10816" s="22" t="s">
        <v>475</v>
      </c>
      <c r="I10816" s="26">
        <v>43671.471643518496</v>
      </c>
      <c r="J10816" s="28" t="s">
        <v>51</v>
      </c>
      <c r="K10816" s="28" t="s">
        <v>51</v>
      </c>
      <c r="L10816" s="28" t="s">
        <v>51</v>
      </c>
      <c r="M10816" s="28" t="s">
        <v>51</v>
      </c>
      <c r="N10816" s="28" t="s">
        <v>51</v>
      </c>
    </row>
    <row r="10817" spans="1:14" hidden="1" outlineLevel="1" x14ac:dyDescent="0.15">
      <c r="A10817" s="23" t="str">
        <f>HYPERLINK("https://www.spark-marketing.ru/Card/Person/1020613", "МБОУ СОШ № 58 Г. БРЯНСКА")</f>
        <v>МБОУ СОШ № 58 Г. БРЯНСКА</v>
      </c>
      <c r="B10817" s="24" t="s">
        <v>15221</v>
      </c>
      <c r="C10817" s="25">
        <v>1000000</v>
      </c>
      <c r="D10817" s="22" t="s">
        <v>15217</v>
      </c>
      <c r="E10817" s="22" t="s">
        <v>48</v>
      </c>
      <c r="F10817" s="23" t="str">
        <f t="shared" si="284"/>
        <v>Оказание услуг по организации питания учащихся</v>
      </c>
      <c r="G10817" s="22" t="s">
        <v>475</v>
      </c>
      <c r="H10817" s="22" t="s">
        <v>475</v>
      </c>
      <c r="I10817" s="26">
        <v>43671.471643518496</v>
      </c>
      <c r="J10817" s="28" t="s">
        <v>51</v>
      </c>
      <c r="K10817" s="28" t="s">
        <v>51</v>
      </c>
      <c r="L10817" s="28" t="s">
        <v>51</v>
      </c>
      <c r="M10817" s="28" t="s">
        <v>51</v>
      </c>
      <c r="N10817" s="28" t="s">
        <v>51</v>
      </c>
    </row>
    <row r="10818" spans="1:14" hidden="1" outlineLevel="1" x14ac:dyDescent="0.15">
      <c r="A10818" s="23" t="str">
        <f>HYPERLINK("https://www.spark-marketing.ru/Card/Person/1035981", "МБОУ СОШ №26 ИМЕНИ В.И. КУГАЕВА Г.БРЯНСКА")</f>
        <v>МБОУ СОШ №26 ИМЕНИ В.И. КУГАЕВА Г.БРЯНСКА</v>
      </c>
      <c r="B10818" s="24" t="s">
        <v>15222</v>
      </c>
      <c r="C10818" s="25">
        <v>1006400</v>
      </c>
      <c r="D10818" s="22" t="s">
        <v>15217</v>
      </c>
      <c r="E10818" s="22" t="s">
        <v>48</v>
      </c>
      <c r="F10818" s="23" t="str">
        <f t="shared" si="284"/>
        <v>Оказание услуг по организации питания учащихся</v>
      </c>
      <c r="G10818" s="22" t="s">
        <v>475</v>
      </c>
      <c r="H10818" s="22" t="s">
        <v>475</v>
      </c>
      <c r="I10818" s="26">
        <v>43671.471643518496</v>
      </c>
      <c r="J10818" s="28" t="s">
        <v>51</v>
      </c>
      <c r="K10818" s="28" t="s">
        <v>51</v>
      </c>
      <c r="L10818" s="28" t="s">
        <v>51</v>
      </c>
      <c r="M10818" s="28" t="s">
        <v>51</v>
      </c>
      <c r="N10818" s="28" t="s">
        <v>51</v>
      </c>
    </row>
    <row r="10819" spans="1:14" hidden="1" outlineLevel="1" x14ac:dyDescent="0.15">
      <c r="A10819" s="23" t="str">
        <f>HYPERLINK("https://www.spark-marketing.ru/Card/Person/1036091", "МБОУ ""СОШ № 34"" Г. БРЯНСКА")</f>
        <v>МБОУ "СОШ № 34" Г. БРЯНСКА</v>
      </c>
      <c r="B10819" s="24" t="s">
        <v>15223</v>
      </c>
      <c r="C10819" s="25">
        <v>350640</v>
      </c>
      <c r="D10819" s="22" t="s">
        <v>15217</v>
      </c>
      <c r="E10819" s="22" t="s">
        <v>48</v>
      </c>
      <c r="F10819" s="23" t="str">
        <f t="shared" si="284"/>
        <v>Оказание услуг по организации питания учащихся</v>
      </c>
      <c r="G10819" s="22" t="s">
        <v>475</v>
      </c>
      <c r="H10819" s="22" t="s">
        <v>475</v>
      </c>
      <c r="I10819" s="26">
        <v>43671.471643518496</v>
      </c>
      <c r="J10819" s="28" t="s">
        <v>51</v>
      </c>
      <c r="K10819" s="28" t="s">
        <v>51</v>
      </c>
      <c r="L10819" s="28" t="s">
        <v>51</v>
      </c>
      <c r="M10819" s="28" t="s">
        <v>51</v>
      </c>
      <c r="N10819" s="28" t="s">
        <v>51</v>
      </c>
    </row>
    <row r="10820" spans="1:14" hidden="1" outlineLevel="1" x14ac:dyDescent="0.15">
      <c r="A10820" s="23" t="str">
        <f>HYPERLINK("https://www.spark-marketing.ru/Card/Person/1036180", "МБОУ СОШ № 25 Г. БРЯНСКА")</f>
        <v>МБОУ СОШ № 25 Г. БРЯНСКА</v>
      </c>
      <c r="B10820" s="24" t="s">
        <v>15224</v>
      </c>
      <c r="C10820" s="25">
        <v>863760</v>
      </c>
      <c r="D10820" s="22" t="s">
        <v>15217</v>
      </c>
      <c r="E10820" s="22" t="s">
        <v>48</v>
      </c>
      <c r="F10820" s="23" t="str">
        <f t="shared" si="284"/>
        <v>Оказание услуг по организации питания учащихся</v>
      </c>
      <c r="G10820" s="22" t="s">
        <v>475</v>
      </c>
      <c r="H10820" s="22" t="s">
        <v>475</v>
      </c>
      <c r="I10820" s="26">
        <v>43671.471643518496</v>
      </c>
      <c r="J10820" s="28" t="s">
        <v>51</v>
      </c>
      <c r="K10820" s="28" t="s">
        <v>51</v>
      </c>
      <c r="L10820" s="28" t="s">
        <v>51</v>
      </c>
      <c r="M10820" s="28" t="s">
        <v>51</v>
      </c>
      <c r="N10820" s="28" t="s">
        <v>51</v>
      </c>
    </row>
    <row r="10821" spans="1:14" hidden="1" outlineLevel="1" x14ac:dyDescent="0.15">
      <c r="A10821" s="23" t="str">
        <f>HYPERLINK("https://www.spark-marketing.ru/Card/Person/1036218", "МБОУ ""СОШ № 49"" Г. БРЯНСКА")</f>
        <v>МБОУ "СОШ № 49" Г. БРЯНСКА</v>
      </c>
      <c r="B10821" s="24" t="s">
        <v>15225</v>
      </c>
      <c r="C10821" s="25">
        <v>388240</v>
      </c>
      <c r="D10821" s="22" t="s">
        <v>15217</v>
      </c>
      <c r="E10821" s="22" t="s">
        <v>48</v>
      </c>
      <c r="F10821" s="23" t="str">
        <f t="shared" si="284"/>
        <v>Оказание услуг по организации питания учащихся</v>
      </c>
      <c r="G10821" s="22" t="s">
        <v>475</v>
      </c>
      <c r="H10821" s="22" t="s">
        <v>475</v>
      </c>
      <c r="I10821" s="26">
        <v>43671.471643518496</v>
      </c>
      <c r="J10821" s="28" t="s">
        <v>51</v>
      </c>
      <c r="K10821" s="28" t="s">
        <v>51</v>
      </c>
      <c r="L10821" s="28" t="s">
        <v>51</v>
      </c>
      <c r="M10821" s="28" t="s">
        <v>51</v>
      </c>
      <c r="N10821" s="28" t="s">
        <v>51</v>
      </c>
    </row>
    <row r="10822" spans="1:14" hidden="1" outlineLevel="1" x14ac:dyDescent="0.15">
      <c r="A10822" s="23" t="str">
        <f>HYPERLINK("https://www.spark-marketing.ru/Card/Person/1036227", "МБОУ ""СОШ №33 ИМЕНИ М.А. ТИТОВОЙ"" Г.БРЯНСКА")</f>
        <v>МБОУ "СОШ №33 ИМЕНИ М.А. ТИТОВОЙ" Г.БРЯНСКА</v>
      </c>
      <c r="B10822" s="24" t="s">
        <v>15226</v>
      </c>
      <c r="C10822" s="25">
        <v>419360</v>
      </c>
      <c r="D10822" s="22" t="s">
        <v>15217</v>
      </c>
      <c r="E10822" s="22" t="s">
        <v>48</v>
      </c>
      <c r="F10822" s="23" t="str">
        <f t="shared" si="284"/>
        <v>Оказание услуг по организации питания учащихся</v>
      </c>
      <c r="G10822" s="22" t="s">
        <v>475</v>
      </c>
      <c r="H10822" s="22" t="s">
        <v>475</v>
      </c>
      <c r="I10822" s="26">
        <v>43671.471643518496</v>
      </c>
      <c r="J10822" s="28" t="s">
        <v>51</v>
      </c>
      <c r="K10822" s="28" t="s">
        <v>51</v>
      </c>
      <c r="L10822" s="28" t="s">
        <v>51</v>
      </c>
      <c r="M10822" s="28" t="s">
        <v>51</v>
      </c>
      <c r="N10822" s="28" t="s">
        <v>51</v>
      </c>
    </row>
    <row r="10823" spans="1:14" hidden="1" outlineLevel="1" x14ac:dyDescent="0.15">
      <c r="A10823" s="23" t="str">
        <f>HYPERLINK("https://www.spark-marketing.ru/Card/Person/1036362", "МБОУ ""ШКОЛА КОРРЕКЦИИ И РАЗВИТИЯ VIII ВИДА №50""Г.БРЯНСКА")</f>
        <v>МБОУ "ШКОЛА КОРРЕКЦИИ И РАЗВИТИЯ VIII ВИДА №50"Г.БРЯНСКА</v>
      </c>
      <c r="B10823" s="24" t="s">
        <v>15227</v>
      </c>
      <c r="C10823" s="25">
        <v>507520</v>
      </c>
      <c r="D10823" s="22" t="s">
        <v>15217</v>
      </c>
      <c r="E10823" s="22" t="s">
        <v>48</v>
      </c>
      <c r="F10823" s="23" t="str">
        <f t="shared" si="284"/>
        <v>Оказание услуг по организации питания учащихся</v>
      </c>
      <c r="G10823" s="22" t="s">
        <v>475</v>
      </c>
      <c r="H10823" s="22" t="s">
        <v>475</v>
      </c>
      <c r="I10823" s="26">
        <v>43671.471643518496</v>
      </c>
      <c r="J10823" s="28" t="s">
        <v>51</v>
      </c>
      <c r="K10823" s="28" t="s">
        <v>51</v>
      </c>
      <c r="L10823" s="28" t="s">
        <v>51</v>
      </c>
      <c r="M10823" s="28" t="s">
        <v>51</v>
      </c>
      <c r="N10823" s="28" t="s">
        <v>51</v>
      </c>
    </row>
    <row r="10824" spans="1:14" hidden="1" outlineLevel="1" x14ac:dyDescent="0.2">
      <c r="A10824" s="28" t="s">
        <v>51</v>
      </c>
      <c r="B10824" s="28" t="s">
        <v>51</v>
      </c>
      <c r="C10824" s="28" t="s">
        <v>51</v>
      </c>
      <c r="D10824" s="22" t="s">
        <v>15217</v>
      </c>
      <c r="E10824" s="22" t="s">
        <v>48</v>
      </c>
      <c r="F10824" s="23" t="str">
        <f t="shared" si="284"/>
        <v>Оказание услуг по организации питания учащихся</v>
      </c>
      <c r="G10824" s="22" t="s">
        <v>51</v>
      </c>
      <c r="H10824" s="22" t="s">
        <v>51</v>
      </c>
      <c r="I10824" s="26">
        <v>43671.471643518496</v>
      </c>
      <c r="J10824" s="23" t="str">
        <f>HYPERLINK("https://www.spark-marketing.ru/Card/Person/4395395", "АО ""ФАРМАЦИЯ""")</f>
        <v>АО "ФАРМАЦИЯ"</v>
      </c>
      <c r="K10824" s="24" t="s">
        <v>13461</v>
      </c>
      <c r="L10824" s="28" t="s">
        <v>51</v>
      </c>
      <c r="M10824" s="25">
        <v>8065386.4400000004</v>
      </c>
      <c r="N10824" s="27">
        <v>1.0000001227467532E-2</v>
      </c>
    </row>
    <row r="10825" spans="1:14" hidden="1" outlineLevel="1" x14ac:dyDescent="0.2">
      <c r="A10825" s="28" t="s">
        <v>51</v>
      </c>
      <c r="B10825" s="28" t="s">
        <v>51</v>
      </c>
      <c r="C10825" s="28" t="s">
        <v>51</v>
      </c>
      <c r="D10825" s="22" t="s">
        <v>15217</v>
      </c>
      <c r="E10825" s="22" t="s">
        <v>48</v>
      </c>
      <c r="F10825" s="23" t="str">
        <f t="shared" si="284"/>
        <v>Оказание услуг по организации питания учащихся</v>
      </c>
      <c r="G10825" s="22" t="s">
        <v>51</v>
      </c>
      <c r="H10825" s="22" t="s">
        <v>51</v>
      </c>
      <c r="I10825" s="26">
        <v>43671.471643518496</v>
      </c>
      <c r="J10825" s="23" t="str">
        <f>HYPERLINK("https://www.spark-marketing.ru/Card/Person/4923070", "ООО ""КФ КАПИТАН""")</f>
        <v>ООО "КФ КАПИТАН"</v>
      </c>
      <c r="K10825" s="24" t="s">
        <v>12784</v>
      </c>
      <c r="L10825" s="22" t="s">
        <v>10</v>
      </c>
      <c r="M10825" s="25">
        <v>8024652.1600000001</v>
      </c>
      <c r="N10825" s="27">
        <v>1.5000001841201299E-2</v>
      </c>
    </row>
    <row r="10826" spans="1:14" x14ac:dyDescent="0.15">
      <c r="A10826" s="23" t="str">
        <f>HYPERLINK("https://www.spark-marketing.ru/Card/Person/1765686", "МАОУ ""СОШ № 2 С УГЛУБЛЕННЫМ ИЗУЧЕНИЕМ АНГЛИЙСКОГО ЯЗЫКА""")</f>
        <v>МАОУ "СОШ № 2 С УГЛУБЛЕННЫМ ИЗУЧЕНИЕМ АНГЛИЙСКОГО ЯЗЫКА"</v>
      </c>
      <c r="B10826" s="24" t="s">
        <v>15228</v>
      </c>
      <c r="C10826" s="25">
        <v>361237.8</v>
      </c>
      <c r="D10826" s="22" t="s">
        <v>15229</v>
      </c>
      <c r="E10826" s="22" t="s">
        <v>362</v>
      </c>
      <c r="F10826" s="23" t="str">
        <f>HYPERLINK("https://www.spark-marketing.ru/Card/Lot/72352455", "Оказание услуг по аутсорсингу питания в пришкольном лагере ""МАОУ ""СОШ № 2 с углубленным изучением английского языка""")</f>
        <v>Оказание услуг по аутсорсингу питания в пришкольном лагере "МАОУ "СОШ № 2 с углубленным изучением английского языка"</v>
      </c>
      <c r="G10826" s="22" t="s">
        <v>849</v>
      </c>
      <c r="H10826" s="22" t="s">
        <v>849</v>
      </c>
      <c r="I10826" s="26">
        <v>43671.481458333299</v>
      </c>
      <c r="J10826" s="28" t="s">
        <v>51</v>
      </c>
      <c r="K10826" s="28" t="s">
        <v>51</v>
      </c>
      <c r="L10826" s="28" t="s">
        <v>51</v>
      </c>
      <c r="M10826" s="28" t="s">
        <v>51</v>
      </c>
      <c r="N10826" s="28" t="s">
        <v>51</v>
      </c>
    </row>
    <row r="10827" spans="1:14" x14ac:dyDescent="0.2">
      <c r="A10827" s="23" t="str">
        <f>HYPERLINK("https://www.spark-marketing.ru/Card/Person/6469981", "МДОБУ ""МУРИНСКИЙ ДСКВ № 4""")</f>
        <v>МДОБУ "МУРИНСКИЙ ДСКВ № 4"</v>
      </c>
      <c r="B10827" s="24" t="s">
        <v>15230</v>
      </c>
      <c r="C10827" s="25">
        <v>2034760</v>
      </c>
      <c r="D10827" s="22" t="s">
        <v>15231</v>
      </c>
      <c r="E10827" s="22" t="s">
        <v>48</v>
      </c>
      <c r="F10827" s="23" t="str">
        <f>HYPERLINK("https://www.spark-marketing.ru/Card/Lot/72341302", "Оказание услуг по организации питания обучающихся в МДОБУ ""Муринский ДСКВ №4""")</f>
        <v>Оказание услуг по организации питания обучающихся в МДОБУ "Муринский ДСКВ №4"</v>
      </c>
      <c r="G10827" s="22" t="s">
        <v>162</v>
      </c>
      <c r="H10827" s="22" t="s">
        <v>163</v>
      </c>
      <c r="I10827" s="26">
        <v>43671.499305555597</v>
      </c>
      <c r="J10827" s="23" t="str">
        <f>HYPERLINK("https://www.spark-marketing.ru/Card/Person/133962", "ООО ""НОВЫЙ ВЕК""")</f>
        <v>ООО "НОВЫЙ ВЕК"</v>
      </c>
      <c r="K10827" s="24" t="s">
        <v>3583</v>
      </c>
      <c r="L10827" s="28" t="s">
        <v>51</v>
      </c>
      <c r="M10827" s="25">
        <v>2034760</v>
      </c>
      <c r="N10827" s="27">
        <v>0</v>
      </c>
    </row>
    <row r="10828" spans="1:14" x14ac:dyDescent="0.15">
      <c r="A10828" s="23" t="str">
        <f>HYPERLINK("https://www.spark-marketing.ru/Card/Person/30385", "ГБУЗ ЛОКБ")</f>
        <v>ГБУЗ ЛОКБ</v>
      </c>
      <c r="B10828" s="24" t="s">
        <v>4927</v>
      </c>
      <c r="C10828" s="25">
        <v>460580</v>
      </c>
      <c r="D10828" s="22" t="s">
        <v>15232</v>
      </c>
      <c r="E10828" s="22" t="s">
        <v>355</v>
      </c>
      <c r="F10828" s="23" t="str">
        <f>HYPERLINK("https://www.spark-marketing.ru/Card/Lot/72338814", "Оказание услуг по замене аккумуляторных батарей к источникам бесперебойного питания")</f>
        <v>Оказание услуг по замене аккумуляторных батарей к источникам бесперебойного питания</v>
      </c>
      <c r="G10828" s="22" t="s">
        <v>117</v>
      </c>
      <c r="H10828" s="22" t="s">
        <v>117</v>
      </c>
      <c r="I10828" s="26">
        <v>43671.481284722198</v>
      </c>
      <c r="J10828" s="28" t="s">
        <v>51</v>
      </c>
      <c r="K10828" s="28" t="s">
        <v>51</v>
      </c>
      <c r="L10828" s="28" t="s">
        <v>51</v>
      </c>
      <c r="M10828" s="28" t="s">
        <v>51</v>
      </c>
      <c r="N10828" s="28" t="s">
        <v>51</v>
      </c>
    </row>
    <row r="10829" spans="1:14" hidden="1" outlineLevel="1" x14ac:dyDescent="0.2">
      <c r="A10829" s="23" t="str">
        <f>HYPERLINK("https://www.spark-marketing.ru/Card/Person/30385", "ГБУЗ ЛОКБ")</f>
        <v>ГБУЗ ЛОКБ</v>
      </c>
      <c r="B10829" s="24" t="s">
        <v>4927</v>
      </c>
      <c r="C10829" s="25">
        <v>460580</v>
      </c>
      <c r="D10829" s="22" t="s">
        <v>15232</v>
      </c>
      <c r="E10829" s="22" t="s">
        <v>355</v>
      </c>
      <c r="F10829" s="23" t="str">
        <f>HYPERLINK("https://www.spark-marketing.ru/Card/Lot/72338814", "Оказание услуг по замене аккумуляторных батарей к источникам бесперебойного питания")</f>
        <v>Оказание услуг по замене аккумуляторных батарей к источникам бесперебойного питания</v>
      </c>
      <c r="G10829" s="22" t="s">
        <v>117</v>
      </c>
      <c r="H10829" s="22" t="s">
        <v>117</v>
      </c>
      <c r="I10829" s="26">
        <v>43671.481284722198</v>
      </c>
      <c r="J10829" s="23" t="str">
        <f>HYPERLINK("https://www.spark-marketing.ru/Card/Person/140775", "ООО ""АЛЬФА-ЭНЕРГО""")</f>
        <v>ООО "АЛЬФА-ЭНЕРГО"</v>
      </c>
      <c r="K10829" s="24" t="s">
        <v>3030</v>
      </c>
      <c r="L10829" s="28" t="s">
        <v>51</v>
      </c>
      <c r="M10829" s="25">
        <v>342394.2</v>
      </c>
      <c r="N10829" s="27">
        <v>0.25660211038256114</v>
      </c>
    </row>
    <row r="10830" spans="1:14" hidden="1" outlineLevel="1" x14ac:dyDescent="0.2">
      <c r="A10830" s="23" t="str">
        <f>HYPERLINK("https://www.spark-marketing.ru/Card/Person/30385", "ГБУЗ ЛОКБ")</f>
        <v>ГБУЗ ЛОКБ</v>
      </c>
      <c r="B10830" s="24" t="s">
        <v>4927</v>
      </c>
      <c r="C10830" s="25">
        <v>460580</v>
      </c>
      <c r="D10830" s="22" t="s">
        <v>15232</v>
      </c>
      <c r="E10830" s="22" t="s">
        <v>355</v>
      </c>
      <c r="F10830" s="23" t="str">
        <f>HYPERLINK("https://www.spark-marketing.ru/Card/Lot/72338814", "Оказание услуг по замене аккумуляторных батарей к источникам бесперебойного питания")</f>
        <v>Оказание услуг по замене аккумуляторных батарей к источникам бесперебойного питания</v>
      </c>
      <c r="G10830" s="22" t="s">
        <v>117</v>
      </c>
      <c r="H10830" s="22" t="s">
        <v>117</v>
      </c>
      <c r="I10830" s="26">
        <v>43671.481284722198</v>
      </c>
      <c r="J10830" s="23" t="str">
        <f>HYPERLINK("https://www.spark-marketing.ru/Card/Person/6675467", "ООО ""АСП ЭЛЕКТРОТЕХНИКА""")</f>
        <v>ООО "АСП ЭЛЕКТРОТЕХНИКА"</v>
      </c>
      <c r="K10830" s="24" t="s">
        <v>15233</v>
      </c>
      <c r="L10830" s="28" t="s">
        <v>51</v>
      </c>
      <c r="M10830" s="25">
        <v>347000</v>
      </c>
      <c r="N10830" s="27">
        <v>0.24660211038256111</v>
      </c>
    </row>
    <row r="10831" spans="1:14" ht="12.75" hidden="1" outlineLevel="1" x14ac:dyDescent="0.2">
      <c r="A10831" s="23" t="str">
        <f>HYPERLINK("https://www.spark-marketing.ru/Card/Person/30385", "ГБУЗ ЛОКБ")</f>
        <v>ГБУЗ ЛОКБ</v>
      </c>
      <c r="B10831" s="24" t="s">
        <v>4927</v>
      </c>
      <c r="C10831" s="25">
        <v>460580</v>
      </c>
      <c r="D10831" s="22" t="s">
        <v>15232</v>
      </c>
      <c r="E10831" s="22" t="s">
        <v>355</v>
      </c>
      <c r="F10831" s="23" t="str">
        <f>HYPERLINK("https://www.spark-marketing.ru/Card/Lot/72338814", "Оказание услуг по замене аккумуляторных батарей к источникам бесперебойного питания")</f>
        <v>Оказание услуг по замене аккумуляторных батарей к источникам бесперебойного питания</v>
      </c>
      <c r="G10831" s="22" t="s">
        <v>117</v>
      </c>
      <c r="H10831" s="22" t="s">
        <v>117</v>
      </c>
      <c r="I10831" s="26">
        <v>43671.481284722198</v>
      </c>
      <c r="J10831" s="23" t="str">
        <f>HYPERLINK("https://www.spark-marketing.ru/Card/Person/4355078", "ООО ""ПАУЭРКОНЦЕПТ""")</f>
        <v>ООО "ПАУЭРКОНЦЕПТ"</v>
      </c>
      <c r="K10831" s="24" t="s">
        <v>15234</v>
      </c>
      <c r="L10831" s="22" t="s">
        <v>10</v>
      </c>
      <c r="M10831" s="25">
        <v>340091.3</v>
      </c>
      <c r="N10831" s="27">
        <v>0.26160211038256109</v>
      </c>
    </row>
    <row r="10832" spans="1:14" x14ac:dyDescent="0.15">
      <c r="A10832" s="23" t="str">
        <f>HYPERLINK("https://www.spark-marketing.ru/Card/Person/4910", "КУ Г.О. САРАНСК ""ДИРЕКЦИЯ КОММУНАЛЬНОГО ХОЗЯЙСТВА И БЛАГОУСТРОЙСТВА""")</f>
        <v>КУ Г.О. САРАНСК "ДИРЕКЦИЯ КОММУНАЛЬНОГО ХОЗЯЙСТВА И БЛАГОУСТРОЙСТВА"</v>
      </c>
      <c r="B10832" s="24" t="s">
        <v>15235</v>
      </c>
      <c r="C10832" s="25">
        <v>18160.2</v>
      </c>
      <c r="D10832" s="22" t="s">
        <v>15236</v>
      </c>
      <c r="E10832" s="22" t="s">
        <v>15237</v>
      </c>
      <c r="F10832" s="23" t="str">
        <f>HYPERLINK("https://www.spark-marketing.ru/Card/Lot/72335496", "Оказание услуг по технологическому присоединению энергопринимающих устройств  пункта питания наружного освещения от РУ-0.4 кВ ТП-246, г. Саранск, бульвар братьев Веденяпиных.")</f>
        <v>Оказание услуг по технологическому присоединению энергопринимающих устройств  пункта питания наружного освещения от РУ-0.4 кВ ТП-246, г. Саранск, бульвар братьев Веденяпиных.</v>
      </c>
      <c r="G10832" s="22" t="s">
        <v>277</v>
      </c>
      <c r="H10832" s="22" t="s">
        <v>277</v>
      </c>
      <c r="I10832" s="26">
        <v>43671.465289351901</v>
      </c>
      <c r="J10832" s="28" t="s">
        <v>51</v>
      </c>
      <c r="K10832" s="28" t="s">
        <v>51</v>
      </c>
      <c r="L10832" s="28" t="s">
        <v>51</v>
      </c>
      <c r="M10832" s="28" t="s">
        <v>51</v>
      </c>
      <c r="N10832" s="28" t="s">
        <v>51</v>
      </c>
    </row>
    <row r="10833" spans="1:14" x14ac:dyDescent="0.2">
      <c r="A10833" s="23" t="str">
        <f>HYPERLINK("https://www.spark-marketing.ru/Card/Person/31734", "МКОУ СОШ ИМ. А. А. ФАДЕЕВА С. ЧУГУЕВКА")</f>
        <v>МКОУ СОШ ИМ. А. А. ФАДЕЕВА С. ЧУГУЕВКА</v>
      </c>
      <c r="B10833" s="24" t="s">
        <v>15238</v>
      </c>
      <c r="C10833" s="25">
        <v>1580347.6</v>
      </c>
      <c r="D10833" s="22" t="s">
        <v>15239</v>
      </c>
      <c r="E10833" s="22" t="s">
        <v>48</v>
      </c>
      <c r="F10833" s="23" t="str">
        <f>HYPERLINK("https://www.spark-marketing.ru/Card/Lot/72339808", "Оказание услуг по организации бесплатного питания  обучающихся на II полугодие 2019 года")</f>
        <v>Оказание услуг по организации бесплатного питания  обучающихся на II полугодие 2019 года</v>
      </c>
      <c r="G10833" s="22" t="s">
        <v>543</v>
      </c>
      <c r="H10833" s="22" t="s">
        <v>11991</v>
      </c>
      <c r="I10833" s="26">
        <v>43671.720138888901</v>
      </c>
      <c r="J10833" s="23" t="str">
        <f>HYPERLINK("https://www.spark-marketing.ru/Card/Person/6692226", "Булатова Галина Михайловна")</f>
        <v>Булатова Галина Михайловна</v>
      </c>
      <c r="K10833" s="24" t="s">
        <v>15240</v>
      </c>
      <c r="L10833" s="28" t="s">
        <v>51</v>
      </c>
      <c r="M10833" s="25">
        <v>1580347.6</v>
      </c>
      <c r="N10833" s="27">
        <v>0</v>
      </c>
    </row>
    <row r="10834" spans="1:14" x14ac:dyDescent="0.15">
      <c r="A10834" s="23" t="str">
        <f>HYPERLINK("https://www.spark-marketing.ru/Card/Person/536388", "ОМВД РОССИИ ПО АРТИНСКОМУ РАЙОНУ")</f>
        <v>ОМВД РОССИИ ПО АРТИНСКОМУ РАЙОНУ</v>
      </c>
      <c r="B10834" s="24" t="s">
        <v>6007</v>
      </c>
      <c r="C10834" s="25">
        <v>304320</v>
      </c>
      <c r="D10834" s="22" t="s">
        <v>15241</v>
      </c>
      <c r="E10834" s="22" t="s">
        <v>48</v>
      </c>
      <c r="F10834" s="23" t="str">
        <f>HYPERLINK("https://www.spark-marketing.ru/Card/Lot/72335783", "Обеспечение горячим питанием лиц содержащихся в ИВС")</f>
        <v>Обеспечение горячим питанием лиц содержащихся в ИВС</v>
      </c>
      <c r="G10834" s="22" t="s">
        <v>174</v>
      </c>
      <c r="H10834" s="22" t="s">
        <v>6009</v>
      </c>
      <c r="I10834" s="26">
        <v>43671.4307638889</v>
      </c>
      <c r="J10834" s="28" t="s">
        <v>51</v>
      </c>
      <c r="K10834" s="28" t="s">
        <v>51</v>
      </c>
      <c r="L10834" s="28" t="s">
        <v>51</v>
      </c>
      <c r="M10834" s="28" t="s">
        <v>51</v>
      </c>
      <c r="N10834" s="28" t="s">
        <v>51</v>
      </c>
    </row>
    <row r="10835" spans="1:14" x14ac:dyDescent="0.2">
      <c r="A10835" s="23" t="str">
        <f>HYPERLINK("https://www.spark-marketing.ru/Card/Person/1311817", "МАОУ ""ЛИЦЕЙ № 11""")</f>
        <v>МАОУ "ЛИЦЕЙ № 11"</v>
      </c>
      <c r="B10835" s="24" t="s">
        <v>15242</v>
      </c>
      <c r="C10835" s="25">
        <v>3699072</v>
      </c>
      <c r="D10835" s="22" t="s">
        <v>15243</v>
      </c>
      <c r="E10835" s="22" t="s">
        <v>362</v>
      </c>
      <c r="F10835" s="23" t="str">
        <f>HYPERLINK("https://www.spark-marketing.ru/Card/Lot/72354328", "Оказание услуг общественного питания детей с 03.09.2019 года 27.12.2019 года")</f>
        <v>Оказание услуг общественного питания детей с 03.09.2019 года 27.12.2019 года</v>
      </c>
      <c r="G10835" s="22" t="s">
        <v>415</v>
      </c>
      <c r="H10835" s="22" t="s">
        <v>415</v>
      </c>
      <c r="I10835" s="26">
        <v>43671.4294212963</v>
      </c>
      <c r="J10835" s="28" t="s">
        <v>51</v>
      </c>
      <c r="K10835" s="28" t="s">
        <v>51</v>
      </c>
      <c r="L10835" s="22" t="s">
        <v>10</v>
      </c>
      <c r="M10835" s="25">
        <v>3699072</v>
      </c>
      <c r="N10835" s="27">
        <v>0</v>
      </c>
    </row>
    <row r="10836" spans="1:14" x14ac:dyDescent="0.15">
      <c r="A10836" s="23" t="str">
        <f>HYPERLINK("https://www.spark-marketing.ru/Card/Person/12500", "МКУ АХУ")</f>
        <v>МКУ АХУ</v>
      </c>
      <c r="B10836" s="24" t="s">
        <v>15244</v>
      </c>
      <c r="C10836" s="25">
        <v>40670</v>
      </c>
      <c r="D10836" s="22" t="s">
        <v>15245</v>
      </c>
      <c r="E10836" s="22" t="s">
        <v>1807</v>
      </c>
      <c r="F10836" s="23" t="str">
        <f>HYPERLINK("https://www.spark-marketing.ru/Card/Lot/72330473", "АЭ-0651/19 Оказание услуг по изготовлению полиграфической продукции")</f>
        <v>АЭ-0651/19 Оказание услуг по изготовлению полиграфической продукции</v>
      </c>
      <c r="G10836" s="22" t="s">
        <v>766</v>
      </c>
      <c r="H10836" s="22" t="s">
        <v>1028</v>
      </c>
      <c r="I10836" s="26">
        <v>43671.418993055602</v>
      </c>
      <c r="J10836" s="28" t="s">
        <v>51</v>
      </c>
      <c r="K10836" s="28" t="s">
        <v>51</v>
      </c>
      <c r="L10836" s="28" t="s">
        <v>51</v>
      </c>
      <c r="M10836" s="28" t="s">
        <v>51</v>
      </c>
      <c r="N10836" s="28" t="s">
        <v>51</v>
      </c>
    </row>
    <row r="10837" spans="1:14" hidden="1" outlineLevel="1" x14ac:dyDescent="0.2">
      <c r="A10837" s="23" t="str">
        <f>HYPERLINK("https://www.spark-marketing.ru/Card/Person/12500", "МКУ АХУ")</f>
        <v>МКУ АХУ</v>
      </c>
      <c r="B10837" s="24" t="s">
        <v>15244</v>
      </c>
      <c r="C10837" s="25">
        <v>40670</v>
      </c>
      <c r="D10837" s="22" t="s">
        <v>15245</v>
      </c>
      <c r="E10837" s="22" t="s">
        <v>1807</v>
      </c>
      <c r="F10837" s="23" t="str">
        <f>HYPERLINK("https://www.spark-marketing.ru/Card/Lot/72330473", "АЭ-0651/19 Оказание услуг по изготовлению полиграфической продукции")</f>
        <v>АЭ-0651/19 Оказание услуг по изготовлению полиграфической продукции</v>
      </c>
      <c r="G10837" s="22" t="s">
        <v>766</v>
      </c>
      <c r="H10837" s="22" t="s">
        <v>1028</v>
      </c>
      <c r="I10837" s="26">
        <v>43671.418993055602</v>
      </c>
      <c r="J10837" s="23" t="str">
        <f>HYPERLINK("https://www.spark-marketing.ru/Card/Person/282131", "ООО ""ИПЦ ""ЭКСПРЕСС""")</f>
        <v>ООО "ИПЦ "ЭКСПРЕСС"</v>
      </c>
      <c r="K10837" s="24" t="s">
        <v>15246</v>
      </c>
      <c r="L10837" s="28" t="s">
        <v>51</v>
      </c>
      <c r="M10837" s="25">
        <v>35000</v>
      </c>
      <c r="N10837" s="27">
        <v>0.13941480206540446</v>
      </c>
    </row>
    <row r="10838" spans="1:14" hidden="1" outlineLevel="1" x14ac:dyDescent="0.2">
      <c r="A10838" s="23" t="str">
        <f>HYPERLINK("https://www.spark-marketing.ru/Card/Person/12500", "МКУ АХУ")</f>
        <v>МКУ АХУ</v>
      </c>
      <c r="B10838" s="24" t="s">
        <v>15244</v>
      </c>
      <c r="C10838" s="25">
        <v>40670</v>
      </c>
      <c r="D10838" s="22" t="s">
        <v>15245</v>
      </c>
      <c r="E10838" s="22" t="s">
        <v>1807</v>
      </c>
      <c r="F10838" s="23" t="str">
        <f>HYPERLINK("https://www.spark-marketing.ru/Card/Lot/72330473", "АЭ-0651/19 Оказание услуг по изготовлению полиграфической продукции")</f>
        <v>АЭ-0651/19 Оказание услуг по изготовлению полиграфической продукции</v>
      </c>
      <c r="G10838" s="22" t="s">
        <v>766</v>
      </c>
      <c r="H10838" s="22" t="s">
        <v>1028</v>
      </c>
      <c r="I10838" s="26">
        <v>43671.418993055602</v>
      </c>
      <c r="J10838" s="23" t="str">
        <f>HYPERLINK("https://www.spark-marketing.ru/Card/Person/6438747", "Зобнина Юлия Викторовна")</f>
        <v>Зобнина Юлия Викторовна</v>
      </c>
      <c r="K10838" s="24" t="s">
        <v>15247</v>
      </c>
      <c r="L10838" s="28" t="s">
        <v>51</v>
      </c>
      <c r="M10838" s="25">
        <v>32796.65</v>
      </c>
      <c r="N10838" s="27">
        <v>0.1935910990902385</v>
      </c>
    </row>
    <row r="10839" spans="1:14" hidden="1" outlineLevel="1" x14ac:dyDescent="0.2">
      <c r="A10839" s="23" t="str">
        <f>HYPERLINK("https://www.spark-marketing.ru/Card/Person/12500", "МКУ АХУ")</f>
        <v>МКУ АХУ</v>
      </c>
      <c r="B10839" s="24" t="s">
        <v>15244</v>
      </c>
      <c r="C10839" s="25">
        <v>40670</v>
      </c>
      <c r="D10839" s="22" t="s">
        <v>15245</v>
      </c>
      <c r="E10839" s="22" t="s">
        <v>1807</v>
      </c>
      <c r="F10839" s="23" t="str">
        <f>HYPERLINK("https://www.spark-marketing.ru/Card/Lot/72330473", "АЭ-0651/19 Оказание услуг по изготовлению полиграфической продукции")</f>
        <v>АЭ-0651/19 Оказание услуг по изготовлению полиграфической продукции</v>
      </c>
      <c r="G10839" s="22" t="s">
        <v>766</v>
      </c>
      <c r="H10839" s="22" t="s">
        <v>1028</v>
      </c>
      <c r="I10839" s="26">
        <v>43671.418993055602</v>
      </c>
      <c r="J10839" s="23" t="str">
        <f>HYPERLINK("https://www.spark-marketing.ru/Card/Person/6170094", "Васильев Игорь Альбертович")</f>
        <v>Васильев Игорь Альбертович</v>
      </c>
      <c r="K10839" s="24" t="s">
        <v>15248</v>
      </c>
      <c r="L10839" s="28" t="s">
        <v>51</v>
      </c>
      <c r="M10839" s="25">
        <v>29386</v>
      </c>
      <c r="N10839" s="27">
        <v>0.2774526678141136</v>
      </c>
    </row>
    <row r="10840" spans="1:14" ht="12.75" hidden="1" outlineLevel="1" x14ac:dyDescent="0.2">
      <c r="A10840" s="23" t="str">
        <f>HYPERLINK("https://www.spark-marketing.ru/Card/Person/12500", "МКУ АХУ")</f>
        <v>МКУ АХУ</v>
      </c>
      <c r="B10840" s="24" t="s">
        <v>15244</v>
      </c>
      <c r="C10840" s="25">
        <v>40670</v>
      </c>
      <c r="D10840" s="22" t="s">
        <v>15245</v>
      </c>
      <c r="E10840" s="22" t="s">
        <v>1807</v>
      </c>
      <c r="F10840" s="23" t="str">
        <f>HYPERLINK("https://www.spark-marketing.ru/Card/Lot/72330473", "АЭ-0651/19 Оказание услуг по изготовлению полиграфической продукции")</f>
        <v>АЭ-0651/19 Оказание услуг по изготовлению полиграфической продукции</v>
      </c>
      <c r="G10840" s="22" t="s">
        <v>766</v>
      </c>
      <c r="H10840" s="22" t="s">
        <v>1028</v>
      </c>
      <c r="I10840" s="26">
        <v>43671.418993055602</v>
      </c>
      <c r="J10840" s="23" t="str">
        <f>HYPERLINK("https://www.spark-marketing.ru/Card/Person/361051", "ООО ""ТИПОГРАФИЯ ДАММИ""")</f>
        <v>ООО "ТИПОГРАФИЯ ДАММИ"</v>
      </c>
      <c r="K10840" s="24" t="s">
        <v>15249</v>
      </c>
      <c r="L10840" s="22" t="s">
        <v>10</v>
      </c>
      <c r="M10840" s="25">
        <v>29386</v>
      </c>
      <c r="N10840" s="27">
        <v>0.2774526678141136</v>
      </c>
    </row>
    <row r="10841" spans="1:14" x14ac:dyDescent="0.15">
      <c r="A10841" s="23" t="str">
        <f>HYPERLINK("https://www.spark-marketing.ru/Card/Person/16469", "ГБУЗ СО ""ПТД""")</f>
        <v>ГБУЗ СО "ПТД"</v>
      </c>
      <c r="B10841" s="24" t="s">
        <v>2531</v>
      </c>
      <c r="C10841" s="25">
        <v>524934.6</v>
      </c>
      <c r="D10841" s="22" t="s">
        <v>15250</v>
      </c>
      <c r="E10841" s="22" t="s">
        <v>96</v>
      </c>
      <c r="F10841" s="23" t="str">
        <f>HYPERLINK("https://www.spark-marketing.ru/Card/Lot/72363610", "Оказание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(сентябрь).")</f>
        <v>Оказание услуг по приготовлению диетических блюд (горячего питания) для пациентов Противотуберкулезного диспансера г. Екатеринбург, ул. Славянская,45 в 2019 г. (сентябрь).</v>
      </c>
      <c r="G10841" s="22" t="s">
        <v>174</v>
      </c>
      <c r="H10841" s="22" t="s">
        <v>530</v>
      </c>
      <c r="I10841" s="26">
        <v>43671.433090277802</v>
      </c>
      <c r="J10841" s="23" t="str">
        <f>HYPERLINK("https://www.spark-marketing.ru/Card/Person/4868934", "ООО ""АЗБУКА ПИТАНИЯ""")</f>
        <v>ООО "АЗБУКА ПИТАНИЯ"</v>
      </c>
      <c r="K10841" s="24" t="s">
        <v>2534</v>
      </c>
      <c r="L10841" s="22" t="s">
        <v>10</v>
      </c>
      <c r="M10841" s="28" t="s">
        <v>51</v>
      </c>
      <c r="N10841" s="28" t="s">
        <v>51</v>
      </c>
    </row>
    <row r="10842" spans="1:14" x14ac:dyDescent="0.15">
      <c r="A10842" s="23" t="str">
        <f>HYPERLINK("https://www.spark-marketing.ru/Card/Person/1051945", "МБОУ ""О(С)Ш № 2""")</f>
        <v>МБОУ "О(С)Ш № 2"</v>
      </c>
      <c r="B10842" s="24" t="s">
        <v>15251</v>
      </c>
      <c r="C10842" s="25">
        <v>6080</v>
      </c>
      <c r="D10842" s="22" t="s">
        <v>15252</v>
      </c>
      <c r="E10842" s="22" t="s">
        <v>48</v>
      </c>
      <c r="F10842" s="23" t="str">
        <f>HYPERLINK("https://www.spark-marketing.ru/Card/Lot/72335089", "Оказание услуг по организации горячего питания и обеспечению горячим питанием учащихся МБОУ ""О(с)Ш № 2""")</f>
        <v>Оказание услуг по организации горячего питания и обеспечению горячим питанием учащихся МБОУ "О(с)Ш № 2"</v>
      </c>
      <c r="G10842" s="22" t="s">
        <v>460</v>
      </c>
      <c r="H10842" s="22" t="s">
        <v>461</v>
      </c>
      <c r="I10842" s="26">
        <v>43671.436168981498</v>
      </c>
      <c r="J10842" s="23" t="str">
        <f>HYPERLINK("https://www.spark-marketing.ru/Card/Person/836702", "МУП ""КСП""")</f>
        <v>МУП "КСП"</v>
      </c>
      <c r="K10842" s="24" t="s">
        <v>6532</v>
      </c>
      <c r="L10842" s="22" t="s">
        <v>10</v>
      </c>
      <c r="M10842" s="28" t="s">
        <v>51</v>
      </c>
      <c r="N10842" s="28" t="s">
        <v>51</v>
      </c>
    </row>
    <row r="10843" spans="1:14" x14ac:dyDescent="0.15">
      <c r="A10843" s="23" t="str">
        <f>HYPERLINK("https://www.spark-marketing.ru/Card/Person/57540", "ГОБПОУ ""ЛТСИД""")</f>
        <v>ГОБПОУ "ЛТСИД"</v>
      </c>
      <c r="B10843" s="24" t="s">
        <v>15253</v>
      </c>
      <c r="C10843" s="25">
        <v>835920</v>
      </c>
      <c r="D10843" s="22" t="s">
        <v>15254</v>
      </c>
      <c r="E10843" s="22" t="s">
        <v>48</v>
      </c>
      <c r="F10843" s="23" t="str">
        <f>HYPERLINK("https://www.spark-marketing.ru/Card/Lot/72346054", "Услуги по обеспечению горячим питанием учащихся")</f>
        <v>Услуги по обеспечению горячим питанием учащихся</v>
      </c>
      <c r="G10843" s="22" t="s">
        <v>101</v>
      </c>
      <c r="H10843" s="22" t="s">
        <v>728</v>
      </c>
      <c r="I10843" s="26">
        <v>43671.438379629602</v>
      </c>
      <c r="J10843" s="28" t="s">
        <v>51</v>
      </c>
      <c r="K10843" s="28" t="s">
        <v>51</v>
      </c>
      <c r="L10843" s="28" t="s">
        <v>51</v>
      </c>
      <c r="M10843" s="28" t="s">
        <v>51</v>
      </c>
      <c r="N10843" s="28" t="s">
        <v>51</v>
      </c>
    </row>
    <row r="10844" spans="1:14" ht="12.75" hidden="1" outlineLevel="1" x14ac:dyDescent="0.2">
      <c r="A10844" s="23" t="str">
        <f>HYPERLINK("https://www.spark-marketing.ru/Card/Person/57540", "ГОБПОУ ""ЛТСИД""")</f>
        <v>ГОБПОУ "ЛТСИД"</v>
      </c>
      <c r="B10844" s="24" t="s">
        <v>15253</v>
      </c>
      <c r="C10844" s="25">
        <v>835920</v>
      </c>
      <c r="D10844" s="22" t="s">
        <v>15254</v>
      </c>
      <c r="E10844" s="22" t="s">
        <v>48</v>
      </c>
      <c r="F10844" s="23" t="str">
        <f>HYPERLINK("https://www.spark-marketing.ru/Card/Lot/72346054", "Услуги по обеспечению горячим питанием учащихся")</f>
        <v>Услуги по обеспечению горячим питанием учащихся</v>
      </c>
      <c r="G10844" s="22" t="s">
        <v>101</v>
      </c>
      <c r="H10844" s="22" t="s">
        <v>728</v>
      </c>
      <c r="I10844" s="26">
        <v>43671.438379629602</v>
      </c>
      <c r="J10844" s="23" t="str">
        <f>HYPERLINK("https://www.spark-marketing.ru/Card/Person/1353752", "Кушнаренко Александр Борисович")</f>
        <v>Кушнаренко Александр Борисович</v>
      </c>
      <c r="K10844" s="24" t="s">
        <v>15255</v>
      </c>
      <c r="L10844" s="22" t="s">
        <v>10</v>
      </c>
      <c r="M10844" s="25">
        <v>831740.4</v>
      </c>
      <c r="N10844" s="27">
        <v>5.0000000000000001E-3</v>
      </c>
    </row>
    <row r="10845" spans="1:14" hidden="1" outlineLevel="1" x14ac:dyDescent="0.2">
      <c r="A10845" s="23" t="str">
        <f>HYPERLINK("https://www.spark-marketing.ru/Card/Person/57540", "ГОБПОУ ""ЛТСИД""")</f>
        <v>ГОБПОУ "ЛТСИД"</v>
      </c>
      <c r="B10845" s="24" t="s">
        <v>15253</v>
      </c>
      <c r="C10845" s="25">
        <v>835920</v>
      </c>
      <c r="D10845" s="22" t="s">
        <v>15254</v>
      </c>
      <c r="E10845" s="22" t="s">
        <v>48</v>
      </c>
      <c r="F10845" s="23" t="str">
        <f>HYPERLINK("https://www.spark-marketing.ru/Card/Lot/72346054", "Услуги по обеспечению горячим питанием учащихся")</f>
        <v>Услуги по обеспечению горячим питанием учащихся</v>
      </c>
      <c r="G10845" s="22" t="s">
        <v>101</v>
      </c>
      <c r="H10845" s="22" t="s">
        <v>728</v>
      </c>
      <c r="I10845" s="26">
        <v>43671.438379629602</v>
      </c>
      <c r="J10845" s="23" t="str">
        <f>HYPERLINK("https://www.spark-marketing.ru/Card/Person/399886", "ЧУ ДПО ""БИЗНЕС-РАЗВИТИЕ""")</f>
        <v>ЧУ ДПО "БИЗНЕС-РАЗВИТИЕ"</v>
      </c>
      <c r="K10845" s="24" t="s">
        <v>15256</v>
      </c>
      <c r="L10845" s="28" t="s">
        <v>51</v>
      </c>
      <c r="M10845" s="25">
        <v>831740.4</v>
      </c>
      <c r="N10845" s="27">
        <v>5.0000000000000001E-3</v>
      </c>
    </row>
    <row r="10846" spans="1:14" x14ac:dyDescent="0.15">
      <c r="A10846" s="23" t="str">
        <f>HYPERLINK("https://www.spark-marketing.ru/Card/Person/83856", "УМВД РОССИИ ПО НАРО-ФОМИНСКОМУ ГОРОДСКОМУ ОКРУГУ")</f>
        <v>УМВД РОССИИ ПО НАРО-ФОМИНСКОМУ ГОРОДСКОМУ ОКРУГУ</v>
      </c>
      <c r="B10846" s="24" t="s">
        <v>14235</v>
      </c>
      <c r="C10846" s="25">
        <v>970146.12</v>
      </c>
      <c r="D10846" s="22" t="s">
        <v>15257</v>
      </c>
      <c r="E10846" s="22" t="s">
        <v>48</v>
      </c>
      <c r="F10846" s="23" t="str">
        <f>HYPERLINK("https://www.spark-marketing.ru/Card/Lot/72339539", "Оказание услуг по питанию граждан")</f>
        <v>Оказание услуг по питанию граждан</v>
      </c>
      <c r="G10846" s="22" t="s">
        <v>49</v>
      </c>
      <c r="H10846" s="22" t="s">
        <v>49</v>
      </c>
      <c r="I10846" s="26">
        <v>43671.455127314803</v>
      </c>
      <c r="J10846" s="23" t="str">
        <f>HYPERLINK("https://www.spark-marketing.ru/Card/Person/6443793", "ООО ""ВЕРОНА""")</f>
        <v>ООО "ВЕРОНА"</v>
      </c>
      <c r="K10846" s="24" t="s">
        <v>14237</v>
      </c>
      <c r="L10846" s="22" t="s">
        <v>10</v>
      </c>
      <c r="M10846" s="28" t="s">
        <v>51</v>
      </c>
      <c r="N10846" s="28" t="s">
        <v>51</v>
      </c>
    </row>
    <row r="10847" spans="1:14" x14ac:dyDescent="0.2">
      <c r="A10847" s="23" t="str">
        <f>HYPERLINK("https://www.spark-marketing.ru/Card/Person/1324700", "МАОУ СОШ № 33")</f>
        <v>МАОУ СОШ № 33</v>
      </c>
      <c r="B10847" s="24" t="s">
        <v>15258</v>
      </c>
      <c r="C10847" s="25">
        <v>1332940</v>
      </c>
      <c r="D10847" s="22" t="s">
        <v>15259</v>
      </c>
      <c r="E10847" s="22" t="s">
        <v>362</v>
      </c>
      <c r="F10847" s="23" t="str">
        <f>HYPERLINK("https://www.spark-marketing.ru/Card/Lot/72354911", "оказание услуг по организации питания обучающихся в муниципальном автономном общеобразовательном учреждении «Средняя общеобразовательная школа № 33»")</f>
        <v>оказание услуг по организации питания обучающихся в муниципальном автономном общеобразовательном учреждении «Средняя общеобразовательная школа № 33»</v>
      </c>
      <c r="G10847" s="22" t="s">
        <v>1370</v>
      </c>
      <c r="H10847" s="22" t="s">
        <v>1370</v>
      </c>
      <c r="I10847" s="26">
        <v>43671.457222222198</v>
      </c>
      <c r="J10847" s="28" t="s">
        <v>51</v>
      </c>
      <c r="K10847" s="28" t="s">
        <v>51</v>
      </c>
      <c r="L10847" s="28" t="s">
        <v>51</v>
      </c>
      <c r="M10847" s="25">
        <v>1332940</v>
      </c>
      <c r="N10847" s="27">
        <v>0</v>
      </c>
    </row>
    <row r="10848" spans="1:14" x14ac:dyDescent="0.2">
      <c r="A10848" s="23" t="str">
        <f>HYPERLINK("https://www.spark-marketing.ru/Card/Person/4374934", "МАОУ СОШ № 15")</f>
        <v>МАОУ СОШ № 15</v>
      </c>
      <c r="B10848" s="24" t="s">
        <v>15260</v>
      </c>
      <c r="C10848" s="25">
        <v>2002250.13</v>
      </c>
      <c r="D10848" s="22" t="s">
        <v>15261</v>
      </c>
      <c r="E10848" s="22" t="s">
        <v>362</v>
      </c>
      <c r="F10848" s="23" t="str">
        <f>HYPERLINK("https://www.spark-marketing.ru/Card/Lot/72353851", "оказание услуг по организации и обеспечению горячим питанием обучающихся")</f>
        <v>оказание услуг по организации и обеспечению горячим питанием обучающихся</v>
      </c>
      <c r="G10848" s="22" t="s">
        <v>174</v>
      </c>
      <c r="H10848" s="22" t="s">
        <v>174</v>
      </c>
      <c r="I10848" s="26">
        <v>43671.3913888889</v>
      </c>
      <c r="J10848" s="28" t="s">
        <v>51</v>
      </c>
      <c r="K10848" s="28" t="s">
        <v>51</v>
      </c>
      <c r="L10848" s="22" t="s">
        <v>10</v>
      </c>
      <c r="M10848" s="25">
        <v>2002250.13</v>
      </c>
      <c r="N10848" s="27">
        <v>0</v>
      </c>
    </row>
    <row r="10849" spans="1:14" x14ac:dyDescent="0.15">
      <c r="A10849" s="23" t="str">
        <f t="shared" ref="A10849:A10854" si="285">HYPERLINK("https://www.spark-marketing.ru/Card/Person/70368", "УПРАВА РАЙОНА МИТИНО ГОРОДА МОСКВЫ")</f>
        <v>УПРАВА РАЙОНА МИТИНО ГОРОДА МОСКВЫ</v>
      </c>
      <c r="B10849" s="24" t="s">
        <v>15262</v>
      </c>
      <c r="C10849" s="25">
        <v>446990.22</v>
      </c>
      <c r="D10849" s="22" t="s">
        <v>15263</v>
      </c>
      <c r="E10849" s="22" t="s">
        <v>96</v>
      </c>
      <c r="F10849" s="23" t="str">
        <f t="shared" ref="F10849:F10854" si="286">HYPERLINK("https://www.spark-marketing.ru/Card/Lot/72336011", "Оказание услуг по организации питания членов избирательных комиссий (ТИК и УИК) в рамках материально-технического обеспечения выборов в районе Митино")</f>
        <v>Оказание услуг по организации питания членов избирательных комиссий (ТИК и УИК) в рамках материально-технического обеспечения выборов в районе Митино</v>
      </c>
      <c r="G10849" s="22" t="s">
        <v>56</v>
      </c>
      <c r="H10849" s="22" t="s">
        <v>56</v>
      </c>
      <c r="I10849" s="26">
        <v>43671.377326388902</v>
      </c>
      <c r="J10849" s="28" t="s">
        <v>51</v>
      </c>
      <c r="K10849" s="28" t="s">
        <v>51</v>
      </c>
      <c r="L10849" s="28" t="s">
        <v>51</v>
      </c>
      <c r="M10849" s="28" t="s">
        <v>51</v>
      </c>
      <c r="N10849" s="28" t="s">
        <v>51</v>
      </c>
    </row>
    <row r="10850" spans="1:14" hidden="1" outlineLevel="1" x14ac:dyDescent="0.2">
      <c r="A10850" s="23" t="str">
        <f t="shared" si="285"/>
        <v>УПРАВА РАЙОНА МИТИНО ГОРОДА МОСКВЫ</v>
      </c>
      <c r="B10850" s="24" t="s">
        <v>15262</v>
      </c>
      <c r="C10850" s="25">
        <v>446990.22</v>
      </c>
      <c r="D10850" s="22" t="s">
        <v>15263</v>
      </c>
      <c r="E10850" s="22" t="s">
        <v>96</v>
      </c>
      <c r="F10850" s="23" t="str">
        <f t="shared" si="286"/>
        <v>Оказание услуг по организации питания членов избирательных комиссий (ТИК и УИК) в рамках материально-технического обеспечения выборов в районе Митино</v>
      </c>
      <c r="G10850" s="22" t="s">
        <v>56</v>
      </c>
      <c r="H10850" s="22" t="s">
        <v>56</v>
      </c>
      <c r="I10850" s="26">
        <v>43671.377326388902</v>
      </c>
      <c r="J10850" s="23" t="str">
        <f>HYPERLINK("https://www.spark-marketing.ru/Card/Person/6516523", "ООО ""ВИТА""")</f>
        <v>ООО "ВИТА"</v>
      </c>
      <c r="K10850" s="24" t="s">
        <v>7450</v>
      </c>
      <c r="L10850" s="28" t="s">
        <v>51</v>
      </c>
      <c r="M10850" s="25">
        <v>292778.63</v>
      </c>
      <c r="N10850" s="27">
        <v>0.34499991968504368</v>
      </c>
    </row>
    <row r="10851" spans="1:14" hidden="1" outlineLevel="1" x14ac:dyDescent="0.2">
      <c r="A10851" s="23" t="str">
        <f t="shared" si="285"/>
        <v>УПРАВА РАЙОНА МИТИНО ГОРОДА МОСКВЫ</v>
      </c>
      <c r="B10851" s="24" t="s">
        <v>15262</v>
      </c>
      <c r="C10851" s="25">
        <v>446990.22</v>
      </c>
      <c r="D10851" s="22" t="s">
        <v>15263</v>
      </c>
      <c r="E10851" s="22" t="s">
        <v>96</v>
      </c>
      <c r="F10851" s="23" t="str">
        <f t="shared" si="286"/>
        <v>Оказание услуг по организации питания членов избирательных комиссий (ТИК и УИК) в рамках материально-технического обеспечения выборов в районе Митино</v>
      </c>
      <c r="G10851" s="22" t="s">
        <v>56</v>
      </c>
      <c r="H10851" s="22" t="s">
        <v>56</v>
      </c>
      <c r="I10851" s="26">
        <v>43671.377326388902</v>
      </c>
      <c r="J10851" s="23" t="str">
        <f>HYPERLINK("https://www.spark-marketing.ru/Card/Person/6623964", "Даскал Александр Степанович")</f>
        <v>Даскал Александр Степанович</v>
      </c>
      <c r="K10851" s="24" t="s">
        <v>15049</v>
      </c>
      <c r="L10851" s="28" t="s">
        <v>51</v>
      </c>
      <c r="M10851" s="25">
        <v>400056.26</v>
      </c>
      <c r="N10851" s="27">
        <v>0.10499997069287109</v>
      </c>
    </row>
    <row r="10852" spans="1:14" hidden="1" outlineLevel="1" x14ac:dyDescent="0.2">
      <c r="A10852" s="23" t="str">
        <f t="shared" si="285"/>
        <v>УПРАВА РАЙОНА МИТИНО ГОРОДА МОСКВЫ</v>
      </c>
      <c r="B10852" s="24" t="s">
        <v>15262</v>
      </c>
      <c r="C10852" s="25">
        <v>446990.22</v>
      </c>
      <c r="D10852" s="22" t="s">
        <v>15263</v>
      </c>
      <c r="E10852" s="22" t="s">
        <v>96</v>
      </c>
      <c r="F10852" s="23" t="str">
        <f t="shared" si="286"/>
        <v>Оказание услуг по организации питания членов избирательных комиссий (ТИК и УИК) в рамках материально-технического обеспечения выборов в районе Митино</v>
      </c>
      <c r="G10852" s="22" t="s">
        <v>56</v>
      </c>
      <c r="H10852" s="22" t="s">
        <v>56</v>
      </c>
      <c r="I10852" s="26">
        <v>43671.377326388902</v>
      </c>
      <c r="J10852" s="23" t="str">
        <f>HYPERLINK("https://www.spark-marketing.ru/Card/Person/162438", "ООО ""ТЕХНО-КЛАССИК+""")</f>
        <v>ООО "ТЕХНО-КЛАССИК+"</v>
      </c>
      <c r="K10852" s="24" t="s">
        <v>13857</v>
      </c>
      <c r="L10852" s="28" t="s">
        <v>51</v>
      </c>
      <c r="M10852" s="25">
        <v>393351.4</v>
      </c>
      <c r="N10852" s="27">
        <v>0.11999998568201335</v>
      </c>
    </row>
    <row r="10853" spans="1:14" ht="12.75" hidden="1" outlineLevel="1" x14ac:dyDescent="0.2">
      <c r="A10853" s="23" t="str">
        <f t="shared" si="285"/>
        <v>УПРАВА РАЙОНА МИТИНО ГОРОДА МОСКВЫ</v>
      </c>
      <c r="B10853" s="24" t="s">
        <v>15262</v>
      </c>
      <c r="C10853" s="25">
        <v>446990.22</v>
      </c>
      <c r="D10853" s="22" t="s">
        <v>15263</v>
      </c>
      <c r="E10853" s="22" t="s">
        <v>96</v>
      </c>
      <c r="F10853" s="23" t="str">
        <f t="shared" si="286"/>
        <v>Оказание услуг по организации питания членов избирательных комиссий (ТИК и УИК) в рамках материально-технического обеспечения выборов в районе Митино</v>
      </c>
      <c r="G10853" s="22" t="s">
        <v>56</v>
      </c>
      <c r="H10853" s="22" t="s">
        <v>56</v>
      </c>
      <c r="I10853" s="26">
        <v>43671.377326388902</v>
      </c>
      <c r="J10853" s="23" t="str">
        <f>HYPERLINK("https://www.spark-marketing.ru/Card/Person/84484", "ООО ""ДЕЛЬФИН-СЕРВИС СБ""")</f>
        <v>ООО "ДЕЛЬФИН-СЕРВИС СБ"</v>
      </c>
      <c r="K10853" s="24" t="s">
        <v>15264</v>
      </c>
      <c r="L10853" s="22" t="s">
        <v>10</v>
      </c>
      <c r="M10853" s="25">
        <v>295013.58</v>
      </c>
      <c r="N10853" s="27">
        <v>0.3399999221459476</v>
      </c>
    </row>
    <row r="10854" spans="1:14" hidden="1" outlineLevel="1" x14ac:dyDescent="0.2">
      <c r="A10854" s="23" t="str">
        <f t="shared" si="285"/>
        <v>УПРАВА РАЙОНА МИТИНО ГОРОДА МОСКВЫ</v>
      </c>
      <c r="B10854" s="24" t="s">
        <v>15262</v>
      </c>
      <c r="C10854" s="25">
        <v>446990.22</v>
      </c>
      <c r="D10854" s="22" t="s">
        <v>15263</v>
      </c>
      <c r="E10854" s="22" t="s">
        <v>96</v>
      </c>
      <c r="F10854" s="23" t="str">
        <f t="shared" si="286"/>
        <v>Оказание услуг по организации питания членов избирательных комиссий (ТИК и УИК) в рамках материально-технического обеспечения выборов в районе Митино</v>
      </c>
      <c r="G10854" s="22" t="s">
        <v>56</v>
      </c>
      <c r="H10854" s="22" t="s">
        <v>56</v>
      </c>
      <c r="I10854" s="26">
        <v>43671.377326388902</v>
      </c>
      <c r="J10854" s="23" t="str">
        <f>HYPERLINK("https://www.spark-marketing.ru/Card/Person/2042423", "ООО ""ТФ ПРОДЖЕКТ""")</f>
        <v>ООО "ТФ ПРОДЖЕКТ"</v>
      </c>
      <c r="K10854" s="24" t="s">
        <v>9610</v>
      </c>
      <c r="L10854" s="28" t="s">
        <v>51</v>
      </c>
      <c r="M10854" s="25">
        <v>310658.23</v>
      </c>
      <c r="N10854" s="27">
        <v>0.30499993937227532</v>
      </c>
    </row>
    <row r="10855" spans="1:14" x14ac:dyDescent="0.15">
      <c r="A10855" s="23" t="str">
        <f>HYPERLINK("https://www.spark-marketing.ru/Card/Person/639159", "ОТДЕЛ МВД РОССИИ ПО МЕЛЕУЗОВСКОМУ РАЙОНУ")</f>
        <v>ОТДЕЛ МВД РОССИИ ПО МЕЛЕУЗОВСКОМУ РАЙОНУ</v>
      </c>
      <c r="B10855" s="24" t="s">
        <v>9041</v>
      </c>
      <c r="C10855" s="25">
        <v>300000</v>
      </c>
      <c r="D10855" s="22" t="s">
        <v>15265</v>
      </c>
      <c r="E10855" s="22" t="s">
        <v>48</v>
      </c>
      <c r="F10855" s="23" t="str">
        <f>HYPERLINK("https://www.spark-marketing.ru/Card/Lot/72329032", "Оказание услуг по организации питания следственно - арестованных и административно - арестованных лиц, содержащихся в ИВС")</f>
        <v>Оказание услуг по организации питания следственно - арестованных и административно - арестованных лиц, содержащихся в ИВС</v>
      </c>
      <c r="G10855" s="22" t="s">
        <v>145</v>
      </c>
      <c r="H10855" s="22" t="s">
        <v>9043</v>
      </c>
      <c r="I10855" s="26">
        <v>43671.387418981503</v>
      </c>
      <c r="J10855" s="28" t="s">
        <v>51</v>
      </c>
      <c r="K10855" s="28" t="s">
        <v>51</v>
      </c>
      <c r="L10855" s="28" t="s">
        <v>51</v>
      </c>
      <c r="M10855" s="28" t="s">
        <v>51</v>
      </c>
      <c r="N10855" s="28" t="s">
        <v>51</v>
      </c>
    </row>
    <row r="10856" spans="1:14" x14ac:dyDescent="0.15">
      <c r="A10856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10856" s="24" t="s">
        <v>6728</v>
      </c>
      <c r="C10856" s="25">
        <v>680000</v>
      </c>
      <c r="D10856" s="22" t="s">
        <v>15266</v>
      </c>
      <c r="E10856" s="22" t="s">
        <v>48</v>
      </c>
      <c r="F10856" s="23" t="str">
        <f>HYPERLINK("https://www.spark-marketing.ru/Card/Lot/72341266", "Услуги по обеспечению питанием, осуществляемые по договору, прочие (услуги по обеспечению 3-х разовым ежедневным горячим питанием лиц, содержащихся в изоляторе временного содержания подозреваемых и обвиняемых, и административно задержанных отдела МВД...")</f>
        <v>Услуги по обеспечению питанием, осуществляемые по договору, прочие (услуги по обеспечению 3-х разовым ежедневным горячим питанием лиц, содержащихся в изоляторе временного содержания подозреваемых и обвиняемых, и административно задержанных отдела МВД...</v>
      </c>
      <c r="G10856" s="22" t="s">
        <v>469</v>
      </c>
      <c r="H10856" s="22" t="s">
        <v>6730</v>
      </c>
      <c r="I10856" s="26">
        <v>43671.384016203701</v>
      </c>
      <c r="J10856" s="28" t="s">
        <v>51</v>
      </c>
      <c r="K10856" s="28" t="s">
        <v>51</v>
      </c>
      <c r="L10856" s="28" t="s">
        <v>51</v>
      </c>
      <c r="M10856" s="28" t="s">
        <v>51</v>
      </c>
      <c r="N10856" s="28" t="s">
        <v>51</v>
      </c>
    </row>
    <row r="10857" spans="1:14" x14ac:dyDescent="0.15">
      <c r="A10857" s="23" t="str">
        <f>HYPERLINK("https://www.spark-marketing.ru/Card/Person/16510", "ФГБОУ ВО СЗГМУ ИМ. И.И. МЕЧНИКОВА МИНЗДРАВА РОССИИ")</f>
        <v>ФГБОУ ВО СЗГМУ ИМ. И.И. МЕЧНИКОВА МИНЗДРАВА РОССИИ</v>
      </c>
      <c r="B10857" s="24" t="s">
        <v>9564</v>
      </c>
      <c r="C10857" s="25">
        <v>285409.06</v>
      </c>
      <c r="D10857" s="22" t="s">
        <v>15267</v>
      </c>
      <c r="E10857" s="22" t="s">
        <v>15268</v>
      </c>
      <c r="F10857" s="23" t="str">
        <f>HYPERLINK("https://www.spark-marketing.ru/Card/Lot/72338808", "Оказание услуг по подписке и доставке периодических изданий на 2-е полугодие 2019 г. для нужд  ФГБОУ ВО СЗГМУ им. И.И. Мечникова Минздрава России")</f>
        <v>Оказание услуг по подписке и доставке периодических изданий на 2-е полугодие 2019 г. для нужд  ФГБОУ ВО СЗГМУ им. И.И. Мечникова Минздрава России</v>
      </c>
      <c r="G10857" s="22" t="s">
        <v>117</v>
      </c>
      <c r="H10857" s="22" t="s">
        <v>117</v>
      </c>
      <c r="I10857" s="26">
        <v>43671.416261574101</v>
      </c>
      <c r="J10857" s="23" t="str">
        <f>HYPERLINK("https://www.spark-marketing.ru/Card/Person/54233", "ООО ""УРАЛ-ПРЕСС ЗАПАД""")</f>
        <v>ООО "УРАЛ-ПРЕСС ЗАПАД"</v>
      </c>
      <c r="K10857" s="24" t="s">
        <v>15269</v>
      </c>
      <c r="L10857" s="22" t="s">
        <v>10</v>
      </c>
      <c r="M10857" s="28" t="s">
        <v>51</v>
      </c>
      <c r="N10857" s="28" t="s">
        <v>51</v>
      </c>
    </row>
    <row r="10858" spans="1:14" x14ac:dyDescent="0.15">
      <c r="A10858" s="23" t="str">
        <f>HYPERLINK("https://www.spark-marketing.ru/Card/Person/262237", "ОМВД РОССИИ ПО Г. ГУБКИНУ")</f>
        <v>ОМВД РОССИИ ПО Г. ГУБКИНУ</v>
      </c>
      <c r="B10858" s="24" t="s">
        <v>15270</v>
      </c>
      <c r="C10858" s="25">
        <v>1178991</v>
      </c>
      <c r="D10858" s="22" t="s">
        <v>15271</v>
      </c>
      <c r="E10858" s="22" t="s">
        <v>96</v>
      </c>
      <c r="F10858" s="23" t="str">
        <f>HYPERLINK("https://www.spark-marketing.ru/Card/Lot/72339482", "Оказание услуг по питанию лиц содержащихся в ИВС и КАЗ ОМВД России по г. Губкину")</f>
        <v>Оказание услуг по питанию лиц содержащихся в ИВС и КАЗ ОМВД России по г. Губкину</v>
      </c>
      <c r="G10858" s="22" t="s">
        <v>696</v>
      </c>
      <c r="H10858" s="22" t="s">
        <v>10796</v>
      </c>
      <c r="I10858" s="26">
        <v>43671.414687500001</v>
      </c>
      <c r="J10858" s="23" t="str">
        <f>HYPERLINK("https://www.spark-marketing.ru/Card/Person/328989", "ООО ""ОБЩЕПИТ""")</f>
        <v>ООО "ОБЩЕПИТ"</v>
      </c>
      <c r="K10858" s="24" t="s">
        <v>15272</v>
      </c>
      <c r="L10858" s="22" t="s">
        <v>10</v>
      </c>
      <c r="M10858" s="28" t="s">
        <v>51</v>
      </c>
      <c r="N10858" s="28" t="s">
        <v>51</v>
      </c>
    </row>
    <row r="10859" spans="1:14" x14ac:dyDescent="0.2">
      <c r="A10859" s="23" t="str">
        <f>HYPERLINK("https://www.spark-marketing.ru/Card/Person/5316", "КОГБУЗ ""КИРОВСКИЙ ОБЛАСТНОЙ КЛИНИЧЕСКИЙ КОЖНО-ВЕНЕРОЛОГИЧЕСКИЙ ДИСПАНСЕР""")</f>
        <v>КОГБУЗ "КИРОВСКИЙ ОБЛАСТНОЙ КЛИНИЧЕСКИЙ КОЖНО-ВЕНЕРОЛОГИЧЕСКИЙ ДИСПАНСЕР"</v>
      </c>
      <c r="B10859" s="24" t="s">
        <v>15273</v>
      </c>
      <c r="C10859" s="25">
        <v>10976000</v>
      </c>
      <c r="D10859" s="22" t="s">
        <v>15274</v>
      </c>
      <c r="E10859" s="22" t="s">
        <v>96</v>
      </c>
      <c r="F10859" s="23" t="str">
        <f>HYPERLINK("https://www.spark-marketing.ru/Card/Lot/72342730", "Оказание услуг по приготовлению и передаче ежедневного лечебного горячего питания в 2020 г., 2021 г.")</f>
        <v>Оказание услуг по приготовлению и передаче ежедневного лечебного горячего питания в 2020 г., 2021 г.</v>
      </c>
      <c r="G10859" s="22" t="s">
        <v>224</v>
      </c>
      <c r="H10859" s="22" t="s">
        <v>225</v>
      </c>
      <c r="I10859" s="26">
        <v>43671.409722222197</v>
      </c>
      <c r="J10859" s="23" t="str">
        <f>HYPERLINK("https://www.spark-marketing.ru/Card/Person/51950", "ООО ""ЗДОРОВОЕ ПИТАНИЕ""")</f>
        <v>ООО "ЗДОРОВОЕ ПИТАНИЕ"</v>
      </c>
      <c r="K10859" s="24" t="s">
        <v>2336</v>
      </c>
      <c r="L10859" s="28" t="s">
        <v>51</v>
      </c>
      <c r="M10859" s="25">
        <v>10976000</v>
      </c>
      <c r="N10859" s="27">
        <v>0</v>
      </c>
    </row>
    <row r="10860" spans="1:14" x14ac:dyDescent="0.15">
      <c r="A10860" s="23" t="str">
        <f>HYPERLINK("https://www.spark-marketing.ru/Card/Person/1013934", "ОМВД РОССИИ ПО Г. ЮГОРСКУ")</f>
        <v>ОМВД РОССИИ ПО Г. ЮГОРСКУ</v>
      </c>
      <c r="B10860" s="24" t="s">
        <v>3461</v>
      </c>
      <c r="C10860" s="25">
        <v>47200</v>
      </c>
      <c r="D10860" s="22" t="s">
        <v>15275</v>
      </c>
      <c r="E10860" s="22" t="s">
        <v>48</v>
      </c>
      <c r="F10860" s="23" t="str">
        <f>HYPERLINK("https://www.spark-marketing.ru/Card/Lot/72329397",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860" s="22" t="s">
        <v>97</v>
      </c>
      <c r="H10860" s="22" t="s">
        <v>3463</v>
      </c>
      <c r="I10860" s="26">
        <v>43671.377812500003</v>
      </c>
      <c r="J10860" s="28" t="s">
        <v>51</v>
      </c>
      <c r="K10860" s="28" t="s">
        <v>51</v>
      </c>
      <c r="L10860" s="28" t="s">
        <v>51</v>
      </c>
      <c r="M10860" s="28" t="s">
        <v>51</v>
      </c>
      <c r="N10860" s="28" t="s">
        <v>51</v>
      </c>
    </row>
    <row r="10861" spans="1:14" x14ac:dyDescent="0.15">
      <c r="A10861" s="23" t="str">
        <f>HYPERLINK("https://www.spark-marketing.ru/Card/Person/82722", "МСК ""ГУЧКОВО""")</f>
        <v>МСК "ГУЧКОВО"</v>
      </c>
      <c r="B10861" s="24" t="s">
        <v>15276</v>
      </c>
      <c r="C10861" s="25">
        <v>349980</v>
      </c>
      <c r="D10861" s="22" t="s">
        <v>15277</v>
      </c>
      <c r="E10861" s="22" t="s">
        <v>48</v>
      </c>
      <c r="F10861" s="23" t="str">
        <f>HYPERLINK("https://www.spark-marketing.ru/Card/Lot/72331892", "Услуги по организации питания на спортивно массовом мероприятии, посвященном «Дню Физкультурника»")</f>
        <v>Услуги по организации питания на спортивно массовом мероприятии, посвященном «Дню Физкультурника»</v>
      </c>
      <c r="G10861" s="22" t="s">
        <v>49</v>
      </c>
      <c r="H10861" s="22" t="s">
        <v>15278</v>
      </c>
      <c r="I10861" s="26">
        <v>43671.389120370397</v>
      </c>
      <c r="J10861" s="28" t="s">
        <v>51</v>
      </c>
      <c r="K10861" s="28" t="s">
        <v>51</v>
      </c>
      <c r="L10861" s="28" t="s">
        <v>51</v>
      </c>
      <c r="M10861" s="28" t="s">
        <v>51</v>
      </c>
      <c r="N10861" s="28" t="s">
        <v>51</v>
      </c>
    </row>
    <row r="10862" spans="1:14" x14ac:dyDescent="0.15">
      <c r="A10862" s="23" t="str">
        <f>HYPERLINK("https://www.spark-marketing.ru/Card/Person/1013934", "ОМВД РОССИИ ПО Г. ЮГОРСКУ")</f>
        <v>ОМВД РОССИИ ПО Г. ЮГОРСКУ</v>
      </c>
      <c r="B10862" s="24" t="s">
        <v>3461</v>
      </c>
      <c r="C10862" s="25">
        <v>47200</v>
      </c>
      <c r="D10862" s="22" t="s">
        <v>15279</v>
      </c>
      <c r="E10862" s="22" t="s">
        <v>48</v>
      </c>
      <c r="F10862" s="23" t="str">
        <f>HYPERLINK("https://www.spark-marketing.ru/Card/Lot/72330306",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862" s="22" t="s">
        <v>97</v>
      </c>
      <c r="H10862" s="22" t="s">
        <v>3463</v>
      </c>
      <c r="I10862" s="26">
        <v>43671.386863425898</v>
      </c>
      <c r="J10862" s="28" t="s">
        <v>51</v>
      </c>
      <c r="K10862" s="28" t="s">
        <v>51</v>
      </c>
      <c r="L10862" s="28" t="s">
        <v>51</v>
      </c>
      <c r="M10862" s="28" t="s">
        <v>51</v>
      </c>
      <c r="N10862" s="28" t="s">
        <v>51</v>
      </c>
    </row>
    <row r="10863" spans="1:14" x14ac:dyDescent="0.15">
      <c r="A10863" s="23" t="str">
        <f>HYPERLINK("https://www.spark-marketing.ru/Card/Person/639159", "ОТДЕЛ МВД РОССИИ ПО МЕЛЕУЗОВСКОМУ РАЙОНУ")</f>
        <v>ОТДЕЛ МВД РОССИИ ПО МЕЛЕУЗОВСКОМУ РАЙОНУ</v>
      </c>
      <c r="B10863" s="24" t="s">
        <v>9041</v>
      </c>
      <c r="C10863" s="25">
        <v>300000</v>
      </c>
      <c r="D10863" s="22" t="s">
        <v>15280</v>
      </c>
      <c r="E10863" s="22" t="s">
        <v>48</v>
      </c>
      <c r="F10863" s="23" t="str">
        <f>HYPERLINK("https://www.spark-marketing.ru/Card/Lot/72330722", "Оказание услуг по организации питания следственно - арестованных и административно - арестованных лиц, содержащихся в ИВС")</f>
        <v>Оказание услуг по организации питания следственно - арестованных и административно - арестованных лиц, содержащихся в ИВС</v>
      </c>
      <c r="G10863" s="22" t="s">
        <v>145</v>
      </c>
      <c r="H10863" s="22" t="s">
        <v>9043</v>
      </c>
      <c r="I10863" s="26">
        <v>43671.376134259299</v>
      </c>
      <c r="J10863" s="23" t="str">
        <f>HYPERLINK("https://www.spark-marketing.ru/Card/Person/6426332", "Пригарина Олеся Дамировна")</f>
        <v>Пригарина Олеся Дамировна</v>
      </c>
      <c r="K10863" s="24" t="s">
        <v>9044</v>
      </c>
      <c r="L10863" s="22" t="s">
        <v>10</v>
      </c>
      <c r="M10863" s="28" t="s">
        <v>51</v>
      </c>
      <c r="N10863" s="28" t="s">
        <v>51</v>
      </c>
    </row>
    <row r="10864" spans="1:14" x14ac:dyDescent="0.15">
      <c r="A10864" s="23" t="str">
        <f>HYPERLINK("https://www.spark-marketing.ru/Card/Person/1013934", "ОМВД РОССИИ ПО Г. ЮГОРСКУ")</f>
        <v>ОМВД РОССИИ ПО Г. ЮГОРСКУ</v>
      </c>
      <c r="B10864" s="24" t="s">
        <v>3461</v>
      </c>
      <c r="C10864" s="25">
        <v>47200</v>
      </c>
      <c r="D10864" s="22" t="s">
        <v>15281</v>
      </c>
      <c r="E10864" s="22" t="s">
        <v>48</v>
      </c>
      <c r="F10864" s="23" t="str">
        <f>HYPERLINK("https://www.spark-marketing.ru/Card/Lot/72329584",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0864" s="22" t="s">
        <v>97</v>
      </c>
      <c r="H10864" s="22" t="s">
        <v>3463</v>
      </c>
      <c r="I10864" s="26">
        <v>43671.380474537</v>
      </c>
      <c r="J10864" s="28" t="s">
        <v>51</v>
      </c>
      <c r="K10864" s="28" t="s">
        <v>51</v>
      </c>
      <c r="L10864" s="28" t="s">
        <v>51</v>
      </c>
      <c r="M10864" s="28" t="s">
        <v>51</v>
      </c>
      <c r="N10864" s="28" t="s">
        <v>51</v>
      </c>
    </row>
    <row r="10865" spans="1:14" x14ac:dyDescent="0.15">
      <c r="A10865" s="23" t="str">
        <f>HYPERLINK("https://www.spark-marketing.ru/Card/Person/7291", "АДМИНИСТРАЦИЯ ЛЕНИНСКОГО РАЙОНА МОСКОВСКОЙ ОБЛАСТИ")</f>
        <v>АДМИНИСТРАЦИЯ ЛЕНИНСКОГО РАЙОНА МОСКОВСКОЙ ОБЛАСТИ</v>
      </c>
      <c r="B10865" s="24" t="s">
        <v>15282</v>
      </c>
      <c r="C10865" s="25">
        <v>239542</v>
      </c>
      <c r="D10865" s="22" t="s">
        <v>15283</v>
      </c>
      <c r="E10865" s="22" t="s">
        <v>48</v>
      </c>
      <c r="F10865" s="23" t="str">
        <f>HYPERLINK("https://www.spark-marketing.ru/Card/Lot/72334717", "Оказание услуг по организации питания участников мероприятий, проводимых в сельском поселении Развилковское")</f>
        <v>Оказание услуг по организации питания участников мероприятий, проводимых в сельском поселении Развилковское</v>
      </c>
      <c r="G10865" s="22" t="s">
        <v>49</v>
      </c>
      <c r="H10865" s="22" t="s">
        <v>654</v>
      </c>
      <c r="I10865" s="26">
        <v>43671.380763888897</v>
      </c>
      <c r="J10865" s="28" t="s">
        <v>51</v>
      </c>
      <c r="K10865" s="28" t="s">
        <v>51</v>
      </c>
      <c r="L10865" s="28" t="s">
        <v>51</v>
      </c>
      <c r="M10865" s="28" t="s">
        <v>51</v>
      </c>
      <c r="N10865" s="28" t="s">
        <v>51</v>
      </c>
    </row>
    <row r="10866" spans="1:14" ht="12.75" hidden="1" outlineLevel="1" x14ac:dyDescent="0.2">
      <c r="A10866" s="23" t="str">
        <f>HYPERLINK("https://www.spark-marketing.ru/Card/Person/7291", "АДМИНИСТРАЦИЯ ЛЕНИНСКОГО РАЙОНА МОСКОВСКОЙ ОБЛАСТИ")</f>
        <v>АДМИНИСТРАЦИЯ ЛЕНИНСКОГО РАЙОНА МОСКОВСКОЙ ОБЛАСТИ</v>
      </c>
      <c r="B10866" s="24" t="s">
        <v>15282</v>
      </c>
      <c r="C10866" s="25">
        <v>239542</v>
      </c>
      <c r="D10866" s="22" t="s">
        <v>15283</v>
      </c>
      <c r="E10866" s="22" t="s">
        <v>48</v>
      </c>
      <c r="F10866" s="23" t="str">
        <f>HYPERLINK("https://www.spark-marketing.ru/Card/Lot/72334717", "Оказание услуг по организации питания участников мероприятий, проводимых в сельском поселении Развилковское")</f>
        <v>Оказание услуг по организации питания участников мероприятий, проводимых в сельском поселении Развилковское</v>
      </c>
      <c r="G10866" s="22" t="s">
        <v>49</v>
      </c>
      <c r="H10866" s="22" t="s">
        <v>654</v>
      </c>
      <c r="I10866" s="26">
        <v>43671.380763888897</v>
      </c>
      <c r="J10866" s="23" t="str">
        <f>HYPERLINK("https://www.spark-marketing.ru/Card/Person/4012920", "ООО ""КОНДИСТОРЕ""")</f>
        <v>ООО "КОНДИСТОРЕ"</v>
      </c>
      <c r="K10866" s="24" t="s">
        <v>12451</v>
      </c>
      <c r="L10866" s="22" t="s">
        <v>10</v>
      </c>
      <c r="M10866" s="25">
        <v>200000</v>
      </c>
      <c r="N10866" s="27">
        <v>0.16507334830635129</v>
      </c>
    </row>
    <row r="10867" spans="1:14" hidden="1" outlineLevel="1" x14ac:dyDescent="0.2">
      <c r="A10867" s="23" t="str">
        <f>HYPERLINK("https://www.spark-marketing.ru/Card/Person/7291", "АДМИНИСТРАЦИЯ ЛЕНИНСКОГО РАЙОНА МОСКОВСКОЙ ОБЛАСТИ")</f>
        <v>АДМИНИСТРАЦИЯ ЛЕНИНСКОГО РАЙОНА МОСКОВСКОЙ ОБЛАСТИ</v>
      </c>
      <c r="B10867" s="24" t="s">
        <v>15282</v>
      </c>
      <c r="C10867" s="25">
        <v>239542</v>
      </c>
      <c r="D10867" s="22" t="s">
        <v>15283</v>
      </c>
      <c r="E10867" s="22" t="s">
        <v>48</v>
      </c>
      <c r="F10867" s="23" t="str">
        <f>HYPERLINK("https://www.spark-marketing.ru/Card/Lot/72334717", "Оказание услуг по организации питания участников мероприятий, проводимых в сельском поселении Развилковское")</f>
        <v>Оказание услуг по организации питания участников мероприятий, проводимых в сельском поселении Развилковское</v>
      </c>
      <c r="G10867" s="22" t="s">
        <v>49</v>
      </c>
      <c r="H10867" s="22" t="s">
        <v>654</v>
      </c>
      <c r="I10867" s="26">
        <v>43671.380763888897</v>
      </c>
      <c r="J10867" s="23" t="str">
        <f>HYPERLINK("https://www.spark-marketing.ru/Card/Person/6366619", "Шведова Олеся Александровна")</f>
        <v>Шведова Олеся Александровна</v>
      </c>
      <c r="K10867" s="24" t="s">
        <v>15284</v>
      </c>
      <c r="L10867" s="28" t="s">
        <v>51</v>
      </c>
      <c r="M10867" s="25">
        <v>239537</v>
      </c>
      <c r="N10867" s="27">
        <v>2.0873166292341217E-5</v>
      </c>
    </row>
    <row r="10868" spans="1:14" hidden="1" outlineLevel="1" x14ac:dyDescent="0.2">
      <c r="A10868" s="23" t="str">
        <f>HYPERLINK("https://www.spark-marketing.ru/Card/Person/7291", "АДМИНИСТРАЦИЯ ЛЕНИНСКОГО РАЙОНА МОСКОВСКОЙ ОБЛАСТИ")</f>
        <v>АДМИНИСТРАЦИЯ ЛЕНИНСКОГО РАЙОНА МОСКОВСКОЙ ОБЛАСТИ</v>
      </c>
      <c r="B10868" s="24" t="s">
        <v>15282</v>
      </c>
      <c r="C10868" s="25">
        <v>239542</v>
      </c>
      <c r="D10868" s="22" t="s">
        <v>15283</v>
      </c>
      <c r="E10868" s="22" t="s">
        <v>48</v>
      </c>
      <c r="F10868" s="23" t="str">
        <f>HYPERLINK("https://www.spark-marketing.ru/Card/Lot/72334717", "Оказание услуг по организации питания участников мероприятий, проводимых в сельском поселении Развилковское")</f>
        <v>Оказание услуг по организации питания участников мероприятий, проводимых в сельском поселении Развилковское</v>
      </c>
      <c r="G10868" s="22" t="s">
        <v>49</v>
      </c>
      <c r="H10868" s="22" t="s">
        <v>654</v>
      </c>
      <c r="I10868" s="26">
        <v>43671.380763888897</v>
      </c>
      <c r="J10868" s="23" t="str">
        <f>HYPERLINK("https://www.spark-marketing.ru/Card/Person/2535404", "ООО ""ДЮЛА - Т""")</f>
        <v>ООО "ДЮЛА - Т"</v>
      </c>
      <c r="K10868" s="24" t="s">
        <v>15285</v>
      </c>
      <c r="L10868" s="28" t="s">
        <v>51</v>
      </c>
      <c r="M10868" s="25">
        <v>239542</v>
      </c>
      <c r="N10868" s="27">
        <v>0</v>
      </c>
    </row>
    <row r="10869" spans="1:14" x14ac:dyDescent="0.2">
      <c r="A10869" s="23" t="str">
        <f>HYPERLINK("https://www.spark-marketing.ru/Card/Person/6440978", "КОГКБУЗ ""ЦЕНТР КАРДИОЛОГИИ И НЕВРОЛОГИИ""; КОГКБУЗ ""ЦКИН""")</f>
        <v>КОГКБУЗ "ЦЕНТР КАРДИОЛОГИИ И НЕВРОЛОГИИ"; КОГКБУЗ "ЦКИН"</v>
      </c>
      <c r="B10869" s="24" t="s">
        <v>15286</v>
      </c>
      <c r="C10869" s="25">
        <v>56196030</v>
      </c>
      <c r="D10869" s="22" t="s">
        <v>15287</v>
      </c>
      <c r="E10869" s="22" t="s">
        <v>96</v>
      </c>
      <c r="F10869" s="23" t="str">
        <f>HYPERLINK("https://www.spark-marketing.ru/Card/Lot/72343235", "Оказание услуг по приготовлению и передаче ежедневного лечебного горячего питания для снабжения больных стационара")</f>
        <v>Оказание услуг по приготовлению и передаче ежедневного лечебного горячего питания для снабжения больных стационара</v>
      </c>
      <c r="G10869" s="22" t="s">
        <v>224</v>
      </c>
      <c r="H10869" s="22" t="s">
        <v>225</v>
      </c>
      <c r="I10869" s="26">
        <v>43671.377777777801</v>
      </c>
      <c r="J10869" s="23" t="str">
        <f>HYPERLINK("https://www.spark-marketing.ru/Card/Person/91376", "ООО ""СТОЛОВАЯ № 1""")</f>
        <v>ООО "СТОЛОВАЯ № 1"</v>
      </c>
      <c r="K10869" s="24" t="s">
        <v>15288</v>
      </c>
      <c r="L10869" s="28" t="s">
        <v>51</v>
      </c>
      <c r="M10869" s="25">
        <v>56196030</v>
      </c>
      <c r="N10869" s="27">
        <v>0</v>
      </c>
    </row>
    <row r="10870" spans="1:14" x14ac:dyDescent="0.15">
      <c r="A10870" s="23" t="str">
        <f>HYPERLINK("https://www.spark-marketing.ru/Card/Person/1083318", "МБОУ ""КСОШ № 1""")</f>
        <v>МБОУ "КСОШ № 1"</v>
      </c>
      <c r="B10870" s="24" t="s">
        <v>15289</v>
      </c>
      <c r="C10870" s="25">
        <v>1381920</v>
      </c>
      <c r="D10870" s="22" t="s">
        <v>15290</v>
      </c>
      <c r="E10870" s="22" t="s">
        <v>48</v>
      </c>
      <c r="F10870" s="23" t="str">
        <f>HYPERLINK("https://www.spark-marketing.ru/Card/Lot/72348768", "услуги по организации питания на бесплатной основе( с частичной компенсацией его стоимости) обучающихся")</f>
        <v>услуги по организации питания на бесплатной основе( с частичной компенсацией его стоимости) обучающихся</v>
      </c>
      <c r="G10870" s="22" t="s">
        <v>162</v>
      </c>
      <c r="H10870" s="22" t="s">
        <v>9340</v>
      </c>
      <c r="I10870" s="26">
        <v>43671.399976851899</v>
      </c>
      <c r="J10870" s="23" t="str">
        <f>HYPERLINK("https://www.spark-marketing.ru/Card/Person/4957274", "Кошевой Алексей Геннадьевич")</f>
        <v>Кошевой Алексей Геннадьевич</v>
      </c>
      <c r="K10870" s="24" t="s">
        <v>9341</v>
      </c>
      <c r="L10870" s="22" t="s">
        <v>10</v>
      </c>
      <c r="M10870" s="28" t="s">
        <v>51</v>
      </c>
      <c r="N10870" s="28" t="s">
        <v>51</v>
      </c>
    </row>
    <row r="10871" spans="1:14" x14ac:dyDescent="0.15">
      <c r="A10871" s="23" t="str">
        <f>HYPERLINK("https://www.spark-marketing.ru/Card/Person/1036054", """ВНОШ №6""")</f>
        <v>"ВНОШ №6"</v>
      </c>
      <c r="B10871" s="24" t="s">
        <v>15291</v>
      </c>
      <c r="C10871" s="25">
        <v>166600</v>
      </c>
      <c r="D10871" s="22" t="s">
        <v>15292</v>
      </c>
      <c r="E10871" s="22" t="s">
        <v>48</v>
      </c>
      <c r="F10871" s="23" t="str">
        <f>HYPERLINK("https://www.spark-marketing.ru/Card/Lot/72334715", "Оказание услуг по организации питания детей")</f>
        <v>Оказание услуг по организации питания детей</v>
      </c>
      <c r="G10871" s="22" t="s">
        <v>49</v>
      </c>
      <c r="H10871" s="22" t="s">
        <v>15293</v>
      </c>
      <c r="I10871" s="26">
        <v>43671.380208333299</v>
      </c>
      <c r="J10871" s="28" t="s">
        <v>51</v>
      </c>
      <c r="K10871" s="28" t="s">
        <v>51</v>
      </c>
      <c r="L10871" s="28" t="s">
        <v>51</v>
      </c>
      <c r="M10871" s="28" t="s">
        <v>51</v>
      </c>
      <c r="N10871" s="28" t="s">
        <v>51</v>
      </c>
    </row>
    <row r="10872" spans="1:14" ht="12.75" hidden="1" outlineLevel="1" x14ac:dyDescent="0.2">
      <c r="A10872" s="23" t="str">
        <f>HYPERLINK("https://www.spark-marketing.ru/Card/Person/1036054", """ВНОШ №6""")</f>
        <v>"ВНОШ №6"</v>
      </c>
      <c r="B10872" s="24" t="s">
        <v>15291</v>
      </c>
      <c r="C10872" s="25">
        <v>166600</v>
      </c>
      <c r="D10872" s="22" t="s">
        <v>15292</v>
      </c>
      <c r="E10872" s="22" t="s">
        <v>48</v>
      </c>
      <c r="F10872" s="23" t="str">
        <f>HYPERLINK("https://www.spark-marketing.ru/Card/Lot/72334715", "Оказание услуг по организации питания детей")</f>
        <v>Оказание услуг по организации питания детей</v>
      </c>
      <c r="G10872" s="22" t="s">
        <v>49</v>
      </c>
      <c r="H10872" s="22" t="s">
        <v>15293</v>
      </c>
      <c r="I10872" s="26">
        <v>43671.380208333299</v>
      </c>
      <c r="J10872" s="23" t="str">
        <f>HYPERLINK("https://www.spark-marketing.ru/Card/Person/233370", "Кушнер Инна Владимировна")</f>
        <v>Кушнер Инна Владимировна</v>
      </c>
      <c r="K10872" s="24" t="s">
        <v>15154</v>
      </c>
      <c r="L10872" s="22" t="s">
        <v>10</v>
      </c>
      <c r="M10872" s="25">
        <v>166600</v>
      </c>
      <c r="N10872" s="27">
        <v>0</v>
      </c>
    </row>
    <row r="10873" spans="1:14" hidden="1" outlineLevel="1" x14ac:dyDescent="0.2">
      <c r="A10873" s="23" t="str">
        <f>HYPERLINK("https://www.spark-marketing.ru/Card/Person/1036054", """ВНОШ №6""")</f>
        <v>"ВНОШ №6"</v>
      </c>
      <c r="B10873" s="24" t="s">
        <v>15291</v>
      </c>
      <c r="C10873" s="25">
        <v>166600</v>
      </c>
      <c r="D10873" s="22" t="s">
        <v>15292</v>
      </c>
      <c r="E10873" s="22" t="s">
        <v>48</v>
      </c>
      <c r="F10873" s="23" t="str">
        <f>HYPERLINK("https://www.spark-marketing.ru/Card/Lot/72334715", "Оказание услуг по организации питания детей")</f>
        <v>Оказание услуг по организации питания детей</v>
      </c>
      <c r="G10873" s="22" t="s">
        <v>49</v>
      </c>
      <c r="H10873" s="22" t="s">
        <v>15293</v>
      </c>
      <c r="I10873" s="26">
        <v>43671.380208333299</v>
      </c>
      <c r="J10873" s="23" t="str">
        <f>HYPERLINK("https://www.spark-marketing.ru/Card/Person/62576", "ООО ТК ""ТРЕЙД""")</f>
        <v>ООО ТК "ТРЕЙД"</v>
      </c>
      <c r="K10873" s="24" t="s">
        <v>15155</v>
      </c>
      <c r="L10873" s="28" t="s">
        <v>51</v>
      </c>
      <c r="M10873" s="25">
        <v>166600</v>
      </c>
      <c r="N10873" s="27">
        <v>0</v>
      </c>
    </row>
    <row r="10874" spans="1:14" x14ac:dyDescent="0.15">
      <c r="A10874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10874" s="24" t="s">
        <v>6728</v>
      </c>
      <c r="C10874" s="25">
        <v>680000</v>
      </c>
      <c r="D10874" s="22" t="s">
        <v>15294</v>
      </c>
      <c r="E10874" s="22" t="s">
        <v>48</v>
      </c>
      <c r="F10874" s="23" t="str">
        <f>HYPERLINK("https://www.spark-marketing.ru/Card/Lot/72341268", "оказание услуг по обеспечению 3-х разовым ежедневным горячим питанием лиц, содержащихся в изоляторе временного содержания подозреваемых и обвиняемых, а также административно арестованных  Отдела Министерства внутренних дел Российской Федерации по Ема...")</f>
        <v>оказание услуг по обеспечению 3-х разовым ежедневным горячим питанием лиц, содержащихся в изоляторе временного содержания подозреваемых и обвиняемых, а также административно арестованных  Отдела Министерства внутренних дел Российской Федерации по Ема...</v>
      </c>
      <c r="G10874" s="22" t="s">
        <v>469</v>
      </c>
      <c r="H10874" s="22" t="s">
        <v>6730</v>
      </c>
      <c r="I10874" s="26">
        <v>43671.3883796296</v>
      </c>
      <c r="J10874" s="28" t="s">
        <v>51</v>
      </c>
      <c r="K10874" s="28" t="s">
        <v>51</v>
      </c>
      <c r="L10874" s="28" t="s">
        <v>51</v>
      </c>
      <c r="M10874" s="28" t="s">
        <v>51</v>
      </c>
      <c r="N10874" s="28" t="s">
        <v>51</v>
      </c>
    </row>
    <row r="10875" spans="1:14" x14ac:dyDescent="0.15">
      <c r="A10875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10875" s="24" t="s">
        <v>13798</v>
      </c>
      <c r="C10875" s="25">
        <v>100204.71</v>
      </c>
      <c r="D10875" s="22" t="s">
        <v>15295</v>
      </c>
      <c r="E10875" s="22" t="s">
        <v>15296</v>
      </c>
      <c r="F10875" s="23" t="str">
        <f>HYPERLINK("https://www.spark-marketing.ru/Card/Lot/72327727",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0875" s="22" t="s">
        <v>63</v>
      </c>
      <c r="H10875" s="22" t="s">
        <v>177</v>
      </c>
      <c r="I10875" s="26">
        <v>43671.273611111101</v>
      </c>
      <c r="J10875" s="28" t="s">
        <v>51</v>
      </c>
      <c r="K10875" s="28" t="s">
        <v>51</v>
      </c>
      <c r="L10875" s="28" t="s">
        <v>51</v>
      </c>
      <c r="M10875" s="28" t="s">
        <v>51</v>
      </c>
      <c r="N10875" s="28" t="s">
        <v>51</v>
      </c>
    </row>
    <row r="10876" spans="1:14" x14ac:dyDescent="0.15">
      <c r="A10876" s="23" t="str">
        <f>HYPERLINK("https://www.spark-marketing.ru/Card/Person/4343663", "МИНЗДРАВ АЛТАЙСКОГО КРАЯ")</f>
        <v>МИНЗДРАВ АЛТАЙСКОГО КРАЯ</v>
      </c>
      <c r="B10876" s="24" t="s">
        <v>9429</v>
      </c>
      <c r="C10876" s="25">
        <v>67500</v>
      </c>
      <c r="D10876" s="22" t="s">
        <v>15297</v>
      </c>
      <c r="E10876" s="22" t="s">
        <v>336</v>
      </c>
      <c r="F10876" s="23" t="str">
        <f>HYPERLINK("https://www.spark-marketing.ru/Card/Lot/72327728",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0876" s="22" t="s">
        <v>63</v>
      </c>
      <c r="H10876" s="22" t="s">
        <v>177</v>
      </c>
      <c r="I10876" s="26">
        <v>43671.273611111101</v>
      </c>
      <c r="J10876" s="28" t="s">
        <v>51</v>
      </c>
      <c r="K10876" s="28" t="s">
        <v>51</v>
      </c>
      <c r="L10876" s="28" t="s">
        <v>51</v>
      </c>
      <c r="M10876" s="28" t="s">
        <v>51</v>
      </c>
      <c r="N10876" s="28" t="s">
        <v>51</v>
      </c>
    </row>
    <row r="10877" spans="1:14" x14ac:dyDescent="0.15">
      <c r="A10877" s="23" t="str">
        <f>HYPERLINK("https://www.spark-marketing.ru/Card/Person/4379868", "МБОУ СОШ № 56")</f>
        <v>МБОУ СОШ № 56</v>
      </c>
      <c r="B10877" s="24" t="s">
        <v>15298</v>
      </c>
      <c r="C10877" s="25">
        <v>54000</v>
      </c>
      <c r="D10877" s="22" t="s">
        <v>15299</v>
      </c>
      <c r="E10877" s="22" t="s">
        <v>48</v>
      </c>
      <c r="F10877" s="23" t="str">
        <f>HYPERLINK("https://www.spark-marketing.ru/Card/Lot/72327478", "Оказание услуг по организации горячего питания детей и подростков в ЛДП при МБОУ СОШ № 56")</f>
        <v>Оказание услуг по организации горячего питания детей и подростков в ЛДП при МБОУ СОШ № 56</v>
      </c>
      <c r="G10877" s="22" t="s">
        <v>195</v>
      </c>
      <c r="H10877" s="22" t="s">
        <v>196</v>
      </c>
      <c r="I10877" s="26">
        <v>43671.247916666704</v>
      </c>
      <c r="J10877" s="28" t="s">
        <v>51</v>
      </c>
      <c r="K10877" s="28" t="s">
        <v>51</v>
      </c>
      <c r="L10877" s="28" t="s">
        <v>51</v>
      </c>
      <c r="M10877" s="28" t="s">
        <v>51</v>
      </c>
      <c r="N10877" s="28" t="s">
        <v>51</v>
      </c>
    </row>
    <row r="10878" spans="1:14" x14ac:dyDescent="0.15">
      <c r="A10878" s="23" t="str">
        <f>HYPERLINK("https://www.spark-marketing.ru/Card/Person/4379868", "МБОУ СОШ № 56")</f>
        <v>МБОУ СОШ № 56</v>
      </c>
      <c r="B10878" s="24" t="s">
        <v>15298</v>
      </c>
      <c r="C10878" s="25">
        <v>124800</v>
      </c>
      <c r="D10878" s="22" t="s">
        <v>15300</v>
      </c>
      <c r="E10878" s="22" t="s">
        <v>48</v>
      </c>
      <c r="F10878" s="23" t="str">
        <f>HYPERLINK("https://www.spark-marketing.ru/Card/Lot/72327472", "Оказание услуг по организации горячего питания для детей дошкольного возраста МБОУ СОШ № 56")</f>
        <v>Оказание услуг по организации горячего питания для детей дошкольного возраста МБОУ СОШ № 56</v>
      </c>
      <c r="G10878" s="22" t="s">
        <v>195</v>
      </c>
      <c r="H10878" s="22" t="s">
        <v>196</v>
      </c>
      <c r="I10878" s="26">
        <v>43671.244444444397</v>
      </c>
      <c r="J10878" s="28" t="s">
        <v>51</v>
      </c>
      <c r="K10878" s="28" t="s">
        <v>51</v>
      </c>
      <c r="L10878" s="28" t="s">
        <v>51</v>
      </c>
      <c r="M10878" s="28" t="s">
        <v>51</v>
      </c>
      <c r="N10878" s="28" t="s">
        <v>51</v>
      </c>
    </row>
    <row r="10879" spans="1:14" x14ac:dyDescent="0.15">
      <c r="A10879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10879" s="24" t="s">
        <v>13798</v>
      </c>
      <c r="C10879" s="25">
        <v>11946.45</v>
      </c>
      <c r="D10879" s="22" t="s">
        <v>15301</v>
      </c>
      <c r="E10879" s="22" t="s">
        <v>10075</v>
      </c>
      <c r="F10879" s="23" t="str">
        <f>HYPERLINK("https://www.spark-marketing.ru/Card/Lot/72325202",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0879" s="22" t="s">
        <v>63</v>
      </c>
      <c r="H10879" s="22" t="s">
        <v>177</v>
      </c>
      <c r="I10879" s="26">
        <v>43671.199305555601</v>
      </c>
      <c r="J10879" s="28" t="s">
        <v>51</v>
      </c>
      <c r="K10879" s="28" t="s">
        <v>51</v>
      </c>
      <c r="L10879" s="28" t="s">
        <v>51</v>
      </c>
      <c r="M10879" s="28" t="s">
        <v>51</v>
      </c>
      <c r="N10879" s="28" t="s">
        <v>51</v>
      </c>
    </row>
    <row r="10880" spans="1:14" x14ac:dyDescent="0.15">
      <c r="A10880" s="23" t="str">
        <f>HYPERLINK("https://www.spark-marketing.ru/Card/Person/6494282", "УПРАВЛЕНИЕ РОСГВАРДИИ ПО КАМЧАТСКОМУ КРАЮ")</f>
        <v>УПРАВЛЕНИЕ РОСГВАРДИИ ПО КАМЧАТСКОМУ КРАЮ</v>
      </c>
      <c r="B10880" s="24" t="s">
        <v>12664</v>
      </c>
      <c r="C10880" s="25">
        <v>109040</v>
      </c>
      <c r="D10880" s="22" t="s">
        <v>15302</v>
      </c>
      <c r="E10880" s="22" t="s">
        <v>48</v>
      </c>
      <c r="F10880" s="23" t="str">
        <f>HYPERLINK("https://www.spark-marketing.ru/Card/Lot/72325043", "Услуги по обеспечению питанием, осуществляемые по договору, 116 усл. ед")</f>
        <v>Услуги по обеспечению питанием, осуществляемые по договору, 116 усл. ед</v>
      </c>
      <c r="G10880" s="22" t="s">
        <v>246</v>
      </c>
      <c r="H10880" s="22" t="s">
        <v>247</v>
      </c>
      <c r="I10880" s="26">
        <v>43671.123761574097</v>
      </c>
      <c r="J10880" s="28" t="s">
        <v>51</v>
      </c>
      <c r="K10880" s="28" t="s">
        <v>51</v>
      </c>
      <c r="L10880" s="28" t="s">
        <v>51</v>
      </c>
      <c r="M10880" s="28" t="s">
        <v>51</v>
      </c>
      <c r="N10880" s="28" t="s">
        <v>51</v>
      </c>
    </row>
    <row r="10881" spans="1:14" x14ac:dyDescent="0.2">
      <c r="A10881" s="23" t="str">
        <f>HYPERLINK("https://www.spark-marketing.ru/Card/Person/1002463", "МОУ ""ШКОЛА НОВОГО ВЕКА""")</f>
        <v>МОУ "ШКОЛА НОВОГО ВЕКА"</v>
      </c>
      <c r="B10881" s="24" t="s">
        <v>15303</v>
      </c>
      <c r="C10881" s="25">
        <v>169680</v>
      </c>
      <c r="D10881" s="22" t="s">
        <v>15304</v>
      </c>
      <c r="E10881" s="22" t="s">
        <v>362</v>
      </c>
      <c r="F10881" s="23" t="str">
        <f>HYPERLINK("https://www.spark-marketing.ru/Card/Lot/72320000", "оказание услуг по организации питания детей, находящихся в летнем оздоровительном лагере с дневным пребыванием при школе с 3-х разовым питанием")</f>
        <v>оказание услуг по организации питания детей, находящихся в летнем оздоровительном лагере с дневным пребыванием при школе с 3-х разовым питанием</v>
      </c>
      <c r="G10881" s="22" t="s">
        <v>351</v>
      </c>
      <c r="H10881" s="22" t="s">
        <v>351</v>
      </c>
      <c r="I10881" s="26">
        <v>43670.923506944397</v>
      </c>
      <c r="J10881" s="28" t="s">
        <v>51</v>
      </c>
      <c r="K10881" s="28" t="s">
        <v>51</v>
      </c>
      <c r="L10881" s="22" t="s">
        <v>10</v>
      </c>
      <c r="M10881" s="25">
        <v>169680</v>
      </c>
      <c r="N10881" s="27">
        <v>0</v>
      </c>
    </row>
    <row r="10882" spans="1:14" x14ac:dyDescent="0.2">
      <c r="A10882" s="23" t="str">
        <f>HYPERLINK("https://www.spark-marketing.ru/Card/Person/1002463", "МОУ ""ШКОЛА НОВОГО ВЕКА""")</f>
        <v>МОУ "ШКОЛА НОВОГО ВЕКА"</v>
      </c>
      <c r="B10882" s="24" t="s">
        <v>15303</v>
      </c>
      <c r="C10882" s="25">
        <v>197316</v>
      </c>
      <c r="D10882" s="22" t="s">
        <v>15305</v>
      </c>
      <c r="E10882" s="22" t="s">
        <v>362</v>
      </c>
      <c r="F10882" s="23" t="str">
        <f>HYPERLINK("https://www.spark-marketing.ru/Card/Lot/72319803", "оказание услуг по организации питания детей, находящихся в летнем оздоровительном лагере с дневным пребыванием при школе с 2-х разовым питанием")</f>
        <v>оказание услуг по организации питания детей, находящихся в летнем оздоровительном лагере с дневным пребыванием при школе с 2-х разовым питанием</v>
      </c>
      <c r="G10882" s="22" t="s">
        <v>351</v>
      </c>
      <c r="H10882" s="22" t="s">
        <v>351</v>
      </c>
      <c r="I10882" s="26">
        <v>43670.9213310185</v>
      </c>
      <c r="J10882" s="28" t="s">
        <v>51</v>
      </c>
      <c r="K10882" s="28" t="s">
        <v>51</v>
      </c>
      <c r="L10882" s="22" t="s">
        <v>10</v>
      </c>
      <c r="M10882" s="25">
        <v>197316</v>
      </c>
      <c r="N10882" s="27">
        <v>0</v>
      </c>
    </row>
    <row r="10883" spans="1:14" x14ac:dyDescent="0.15">
      <c r="A10883" s="23" t="str">
        <f>HYPERLINK("https://www.spark-marketing.ru/Card/Person/21334", "ГБУЗ СО ""ПОЛЕВСКАЯ ЦГБ""")</f>
        <v>ГБУЗ СО "ПОЛЕВСКАЯ ЦГБ"</v>
      </c>
      <c r="B10883" s="24" t="s">
        <v>15306</v>
      </c>
      <c r="C10883" s="25">
        <v>27729780</v>
      </c>
      <c r="D10883" s="22" t="s">
        <v>15307</v>
      </c>
      <c r="E10883" s="22" t="s">
        <v>48</v>
      </c>
      <c r="F10883" s="23" t="str">
        <f>HYPERLINK("https://www.spark-marketing.ru/Card/Lot/72318059", "Оказание услуг по организации питания пациентов, находящихся на лечении в круглосуточных стационарах и лиц, находящихся на койках по уходу за больным ребенком в стационарах ГБУЗ СО ""Полевская ЦГБ""")</f>
        <v>Оказание услуг по организации питания пациентов, находящихся на лечении в круглосуточных стационарах и лиц, находящихся на койках по уходу за больным ребенком в стационарах ГБУЗ СО "Полевская ЦГБ"</v>
      </c>
      <c r="G10883" s="22" t="s">
        <v>174</v>
      </c>
      <c r="H10883" s="22" t="s">
        <v>15308</v>
      </c>
      <c r="I10883" s="26">
        <v>43670.884722222203</v>
      </c>
      <c r="J10883" s="28" t="s">
        <v>51</v>
      </c>
      <c r="K10883" s="28" t="s">
        <v>51</v>
      </c>
      <c r="L10883" s="28" t="s">
        <v>51</v>
      </c>
      <c r="M10883" s="28" t="s">
        <v>51</v>
      </c>
      <c r="N10883" s="28" t="s">
        <v>51</v>
      </c>
    </row>
    <row r="10884" spans="1:14" ht="12.75" hidden="1" outlineLevel="1" x14ac:dyDescent="0.2">
      <c r="A10884" s="23" t="str">
        <f>HYPERLINK("https://www.spark-marketing.ru/Card/Person/21334", "ГБУЗ СО ""ПОЛЕВСКАЯ ЦГБ""")</f>
        <v>ГБУЗ СО "ПОЛЕВСКАЯ ЦГБ"</v>
      </c>
      <c r="B10884" s="24" t="s">
        <v>15306</v>
      </c>
      <c r="C10884" s="25">
        <v>27729780</v>
      </c>
      <c r="D10884" s="22" t="s">
        <v>15307</v>
      </c>
      <c r="E10884" s="22" t="s">
        <v>48</v>
      </c>
      <c r="F10884" s="23" t="str">
        <f>HYPERLINK("https://www.spark-marketing.ru/Card/Lot/72318059", "Оказание услуг по организации питания пациентов, находящихся на лечении в круглосуточных стационарах и лиц, находящихся на койках по уходу за больным ребенком в стационарах ГБУЗ СО ""Полевская ЦГБ""")</f>
        <v>Оказание услуг по организации питания пациентов, находящихся на лечении в круглосуточных стационарах и лиц, находящихся на койках по уходу за больным ребенком в стационарах ГБУЗ СО "Полевская ЦГБ"</v>
      </c>
      <c r="G10884" s="22" t="s">
        <v>174</v>
      </c>
      <c r="H10884" s="22" t="s">
        <v>15308</v>
      </c>
      <c r="I10884" s="26">
        <v>43670.884722222203</v>
      </c>
      <c r="J10884" s="23" t="str">
        <f>HYPERLINK("https://www.spark-marketing.ru/Card/Person/142277", "ООО ""ОКЕЙТЕРИНГ""")</f>
        <v>ООО "ОКЕЙТЕРИНГ"</v>
      </c>
      <c r="K10884" s="24" t="s">
        <v>2533</v>
      </c>
      <c r="L10884" s="22" t="s">
        <v>10</v>
      </c>
      <c r="M10884" s="25">
        <v>24954802</v>
      </c>
      <c r="N10884" s="27">
        <v>0.10007212462558304</v>
      </c>
    </row>
    <row r="10885" spans="1:14" hidden="1" outlineLevel="1" x14ac:dyDescent="0.2">
      <c r="A10885" s="23" t="str">
        <f>HYPERLINK("https://www.spark-marketing.ru/Card/Person/21334", "ГБУЗ СО ""ПОЛЕВСКАЯ ЦГБ""")</f>
        <v>ГБУЗ СО "ПОЛЕВСКАЯ ЦГБ"</v>
      </c>
      <c r="B10885" s="24" t="s">
        <v>15306</v>
      </c>
      <c r="C10885" s="25">
        <v>27729780</v>
      </c>
      <c r="D10885" s="22" t="s">
        <v>15307</v>
      </c>
      <c r="E10885" s="22" t="s">
        <v>48</v>
      </c>
      <c r="F10885" s="23" t="str">
        <f>HYPERLINK("https://www.spark-marketing.ru/Card/Lot/72318059", "Оказание услуг по организации питания пациентов, находящихся на лечении в круглосуточных стационарах и лиц, находящихся на койках по уходу за больным ребенком в стационарах ГБУЗ СО ""Полевская ЦГБ""")</f>
        <v>Оказание услуг по организации питания пациентов, находящихся на лечении в круглосуточных стационарах и лиц, находящихся на койках по уходу за больным ребенком в стационарах ГБУЗ СО "Полевская ЦГБ"</v>
      </c>
      <c r="G10885" s="22" t="s">
        <v>174</v>
      </c>
      <c r="H10885" s="22" t="s">
        <v>15308</v>
      </c>
      <c r="I10885" s="26">
        <v>43670.884722222203</v>
      </c>
      <c r="J10885" s="23" t="str">
        <f>HYPERLINK("https://www.spark-marketing.ru/Card/Person/4868934", "ООО ""АЗБУКА ПИТАНИЯ""")</f>
        <v>ООО "АЗБУКА ПИТАНИЯ"</v>
      </c>
      <c r="K10885" s="24" t="s">
        <v>2534</v>
      </c>
      <c r="L10885" s="28" t="s">
        <v>51</v>
      </c>
      <c r="M10885" s="25">
        <v>22000000</v>
      </c>
      <c r="N10885" s="27">
        <v>0.20662911858658814</v>
      </c>
    </row>
    <row r="10886" spans="1:14" x14ac:dyDescent="0.15">
      <c r="A10886" s="23" t="str">
        <f>HYPERLINK("https://www.spark-marketing.ru/Card/Person/337294", "ФГБОУ ВО ""НИУ ""МЭИ""")</f>
        <v>ФГБОУ ВО "НИУ "МЭИ"</v>
      </c>
      <c r="B10886" s="24" t="s">
        <v>15309</v>
      </c>
      <c r="C10886" s="25">
        <v>7600000</v>
      </c>
      <c r="D10886" s="22" t="s">
        <v>15310</v>
      </c>
      <c r="E10886" s="22" t="s">
        <v>362</v>
      </c>
      <c r="F10886" s="23" t="str">
        <f>HYPERLINK("https://www.spark-marketing.ru/Card/Lot/72323306", "Оказание услуг по организации питания лиц, пребывающих в студенческом оздоровительно-спортивном лагере")</f>
        <v>Оказание услуг по организации питания лиц, пребывающих в студенческом оздоровительно-спортивном лагере</v>
      </c>
      <c r="G10886" s="22" t="s">
        <v>56</v>
      </c>
      <c r="H10886" s="22" t="s">
        <v>56</v>
      </c>
      <c r="I10886" s="26">
        <v>43670.769791666702</v>
      </c>
      <c r="J10886" s="28" t="s">
        <v>51</v>
      </c>
      <c r="K10886" s="28" t="s">
        <v>51</v>
      </c>
      <c r="L10886" s="28" t="s">
        <v>51</v>
      </c>
      <c r="M10886" s="28" t="s">
        <v>51</v>
      </c>
      <c r="N10886" s="28" t="s">
        <v>51</v>
      </c>
    </row>
    <row r="10887" spans="1:14" x14ac:dyDescent="0.15">
      <c r="A10887" s="23" t="str">
        <f>HYPERLINK("https://www.spark-marketing.ru/Card/Person/4856439", "ГУ-ВОРОНЕЖСКОЕ РО ФОНДА СОЦИАЛЬНОГО СТРАХОВАНИЯ РОССИЙСКОЙ ФЕДЕРАЦИИ")</f>
        <v>ГУ-ВОРОНЕЖСКОЕ РО ФОНДА СОЦИАЛЬНОГО СТРАХОВАНИЯ РОССИЙСКОЙ ФЕДЕРАЦИИ</v>
      </c>
      <c r="B10887" s="24" t="s">
        <v>3625</v>
      </c>
      <c r="C10887" s="25">
        <v>1351098</v>
      </c>
      <c r="D10887" s="22" t="s">
        <v>15311</v>
      </c>
      <c r="E10887" s="22" t="s">
        <v>86</v>
      </c>
      <c r="F10887" s="23" t="str">
        <f>HYPERLINK("https://www.spark-marketing.ru/Card/Lot/72317988", "Оказание услуг по осуществлению в 2019 году санаторно-курортного лечения застрахованных лиц, пострадавших вследствие несчастных случаев на производстве и профессиональных заболеваний, в организациях, оказывающих санаторно-курортные услуги, по профилю...")</f>
        <v>Оказание услуг по осуществлению в 2019 году санаторно-курортного лечения застрахованных лиц, пострадавших вследствие несчастных случаев на производстве и профессиональных заболеваний, в организациях, оказывающих санаторно-курортные услуги, по профилю...</v>
      </c>
      <c r="G10887" s="22" t="s">
        <v>82</v>
      </c>
      <c r="H10887" s="22" t="s">
        <v>82</v>
      </c>
      <c r="I10887" s="26">
        <v>43670.753101851798</v>
      </c>
      <c r="J10887" s="23" t="str">
        <f>HYPERLINK("https://www.spark-marketing.ru/Card/Person/52176", "ООО ""САНАТОРИЙ ИМ. Ф.Э. ДЗЕРЖИНСКОГО""")</f>
        <v>ООО "САНАТОРИЙ ИМ. Ф.Э. ДЗЕРЖИНСКОГО"</v>
      </c>
      <c r="K10887" s="24" t="s">
        <v>15312</v>
      </c>
      <c r="L10887" s="22" t="s">
        <v>10</v>
      </c>
      <c r="M10887" s="28" t="s">
        <v>51</v>
      </c>
      <c r="N10887" s="28" t="s">
        <v>51</v>
      </c>
    </row>
    <row r="10888" spans="1:14" x14ac:dyDescent="0.15">
      <c r="A10888" s="23" t="str">
        <f>HYPERLINK("https://www.spark-marketing.ru/Card/Person/119954", """УМВД РОССИИ ПО Г. БРЯНСКУ""")</f>
        <v>"УМВД РОССИИ ПО Г. БРЯНСКУ"</v>
      </c>
      <c r="B10888" s="24" t="s">
        <v>15313</v>
      </c>
      <c r="C10888" s="25">
        <v>2699250</v>
      </c>
      <c r="D10888" s="22" t="s">
        <v>15314</v>
      </c>
      <c r="E10888" s="22" t="s">
        <v>48</v>
      </c>
      <c r="F10888" s="23" t="str">
        <f>HYPERLINK("https://www.spark-marketing.ru/Card/Lot/72329789", "Оказание услуг по ежедневному трехразовому приготовлению горячего питания, в том числе в выходные и праздничные дни для лиц, содержащихся в специальном приёмнике для содержания лиц подвергнутым административному аресту")</f>
        <v>Оказание услуг по ежедневному трехразовому приготовлению горячего питания, в том числе в выходные и праздничные дни для лиц, содержащихся в специальном приёмнике для содержания лиц подвергнутым административному аресту</v>
      </c>
      <c r="G10888" s="22" t="s">
        <v>475</v>
      </c>
      <c r="H10888" s="22" t="s">
        <v>475</v>
      </c>
      <c r="I10888" s="26">
        <v>43670.7504976852</v>
      </c>
      <c r="J10888" s="28" t="s">
        <v>51</v>
      </c>
      <c r="K10888" s="28" t="s">
        <v>51</v>
      </c>
      <c r="L10888" s="28" t="s">
        <v>51</v>
      </c>
      <c r="M10888" s="28" t="s">
        <v>51</v>
      </c>
      <c r="N10888" s="28" t="s">
        <v>51</v>
      </c>
    </row>
    <row r="10889" spans="1:14" hidden="1" outlineLevel="1" x14ac:dyDescent="0.2">
      <c r="A10889" s="23" t="str">
        <f>HYPERLINK("https://www.spark-marketing.ru/Card/Person/119954", """УМВД РОССИИ ПО Г. БРЯНСКУ""")</f>
        <v>"УМВД РОССИИ ПО Г. БРЯНСКУ"</v>
      </c>
      <c r="B10889" s="24" t="s">
        <v>15313</v>
      </c>
      <c r="C10889" s="25">
        <v>2699250</v>
      </c>
      <c r="D10889" s="22" t="s">
        <v>15314</v>
      </c>
      <c r="E10889" s="22" t="s">
        <v>48</v>
      </c>
      <c r="F10889" s="23" t="str">
        <f>HYPERLINK("https://www.spark-marketing.ru/Card/Lot/72329789", "Оказание услуг по ежедневному трехразовому приготовлению горячего питания, в том числе в выходные и праздничные дни для лиц, содержащихся в специальном приёмнике для содержания лиц подвергнутым административному аресту")</f>
        <v>Оказание услуг по ежедневному трехразовому приготовлению горячего питания, в том числе в выходные и праздничные дни для лиц, содержащихся в специальном приёмнике для содержания лиц подвергнутым административному аресту</v>
      </c>
      <c r="G10889" s="22" t="s">
        <v>475</v>
      </c>
      <c r="H10889" s="22" t="s">
        <v>475</v>
      </c>
      <c r="I10889" s="26">
        <v>43670.7504976852</v>
      </c>
      <c r="J10889" s="23" t="str">
        <f>HYPERLINK("https://www.spark-marketing.ru/Card/Person/266373", "Губырина Светлана Александровна")</f>
        <v>Губырина Светлана Александровна</v>
      </c>
      <c r="K10889" s="24" t="s">
        <v>15315</v>
      </c>
      <c r="L10889" s="28" t="s">
        <v>51</v>
      </c>
      <c r="M10889" s="25">
        <v>1588440</v>
      </c>
      <c r="N10889" s="27">
        <v>0.41152542372881357</v>
      </c>
    </row>
    <row r="10890" spans="1:14" ht="12.75" hidden="1" outlineLevel="1" x14ac:dyDescent="0.2">
      <c r="A10890" s="23" t="str">
        <f>HYPERLINK("https://www.spark-marketing.ru/Card/Person/119954", """УМВД РОССИИ ПО Г. БРЯНСКУ""")</f>
        <v>"УМВД РОССИИ ПО Г. БРЯНСКУ"</v>
      </c>
      <c r="B10890" s="24" t="s">
        <v>15313</v>
      </c>
      <c r="C10890" s="25">
        <v>2699250</v>
      </c>
      <c r="D10890" s="22" t="s">
        <v>15314</v>
      </c>
      <c r="E10890" s="22" t="s">
        <v>48</v>
      </c>
      <c r="F10890" s="23" t="str">
        <f>HYPERLINK("https://www.spark-marketing.ru/Card/Lot/72329789", "Оказание услуг по ежедневному трехразовому приготовлению горячего питания, в том числе в выходные и праздничные дни для лиц, содержащихся в специальном приёмнике для содержания лиц подвергнутым административному аресту")</f>
        <v>Оказание услуг по ежедневному трехразовому приготовлению горячего питания, в том числе в выходные и праздничные дни для лиц, содержащихся в специальном приёмнике для содержания лиц подвергнутым административному аресту</v>
      </c>
      <c r="G10890" s="22" t="s">
        <v>475</v>
      </c>
      <c r="H10890" s="22" t="s">
        <v>475</v>
      </c>
      <c r="I10890" s="26">
        <v>43670.7504976852</v>
      </c>
      <c r="J10890" s="23" t="str">
        <f>HYPERLINK("https://www.spark-marketing.ru/Card/Person/1257360", "ООО ""ГОСТИНЫЙ ДОМ БРЯНСК""")</f>
        <v>ООО "ГОСТИНЫЙ ДОМ БРЯНСК"</v>
      </c>
      <c r="K10890" s="24" t="s">
        <v>15316</v>
      </c>
      <c r="L10890" s="22" t="s">
        <v>10</v>
      </c>
      <c r="M10890" s="25">
        <v>1574943.75</v>
      </c>
      <c r="N10890" s="27">
        <v>0.41652542372881357</v>
      </c>
    </row>
    <row r="10891" spans="1:14" x14ac:dyDescent="0.15">
      <c r="A10891" s="23" t="str">
        <f>HYPERLINK("https://www.spark-marketing.ru/Card/Person/4856439", "ГУ-ВОРОНЕЖСКОЕ РО ФОНДА СОЦИАЛЬНОГО СТРАХОВАНИЯ РОССИЙСКОЙ ФЕДЕРАЦИИ")</f>
        <v>ГУ-ВОРОНЕЖСКОЕ РО ФОНДА СОЦИАЛЬНОГО СТРАХОВАНИЯ РОССИЙСКОЙ ФЕДЕРАЦИИ</v>
      </c>
      <c r="B10891" s="24" t="s">
        <v>3625</v>
      </c>
      <c r="C10891" s="25">
        <v>1385271.3</v>
      </c>
      <c r="D10891" s="22" t="s">
        <v>15317</v>
      </c>
      <c r="E10891" s="22" t="s">
        <v>86</v>
      </c>
      <c r="F10891" s="23" t="str">
        <f>HYPERLINK("https://www.spark-marketing.ru/Card/Lot/72316944", "Оказание услуг по осуществлению в 2019 году санаторно-курортного лечения застрахованных лиц, пострадавших вследствие несчастных случаев на производстве и профессиональных заболеваний, в организациях, оказывающих санаторно-курортные услуги, по профилю...")</f>
        <v>Оказание услуг по осуществлению в 2019 году санаторно-курортного лечения застрахованных лиц, пострадавших вследствие несчастных случаев на производстве и профессиональных заболеваний, в организациях, оказывающих санаторно-курортные услуги, по профилю...</v>
      </c>
      <c r="G10891" s="22" t="s">
        <v>82</v>
      </c>
      <c r="H10891" s="22" t="s">
        <v>82</v>
      </c>
      <c r="I10891" s="26">
        <v>43670.751458333303</v>
      </c>
      <c r="J10891" s="23" t="str">
        <f>HYPERLINK("https://www.spark-marketing.ru/Card/Person/119326", "ООО ""САНАТОРИЙ ИМ.ЦЮРУПЫ""")</f>
        <v>ООО "САНАТОРИЙ ИМ.ЦЮРУПЫ"</v>
      </c>
      <c r="K10891" s="24" t="s">
        <v>3627</v>
      </c>
      <c r="L10891" s="22" t="s">
        <v>10</v>
      </c>
      <c r="M10891" s="28" t="s">
        <v>51</v>
      </c>
      <c r="N10891" s="28" t="s">
        <v>51</v>
      </c>
    </row>
    <row r="10892" spans="1:14" x14ac:dyDescent="0.15">
      <c r="A10892" s="23" t="str">
        <f>HYPERLINK("https://www.spark-marketing.ru/Card/Person/816933", "ОТДЕЛ МВД РОССИИ ПО ЛЕНИНОГОРСКОМУ РАЙОНУ")</f>
        <v>ОТДЕЛ МВД РОССИИ ПО ЛЕНИНОГОРСКОМУ РАЙОНУ</v>
      </c>
      <c r="B10892" s="24" t="s">
        <v>15318</v>
      </c>
      <c r="C10892" s="25">
        <v>1200000</v>
      </c>
      <c r="D10892" s="22" t="s">
        <v>15319</v>
      </c>
      <c r="E10892" s="22" t="s">
        <v>48</v>
      </c>
      <c r="F10892" s="23" t="str">
        <f>HYPERLINK("https://www.spark-marketing.ru/Card/Lot/72316648", "Питание лиц содержащихся в ИВС и СП")</f>
        <v>Питание лиц содержащихся в ИВС и СП</v>
      </c>
      <c r="G10892" s="22" t="s">
        <v>217</v>
      </c>
      <c r="H10892" s="22" t="s">
        <v>217</v>
      </c>
      <c r="I10892" s="26">
        <v>43670.743946759299</v>
      </c>
      <c r="J10892" s="28" t="s">
        <v>51</v>
      </c>
      <c r="K10892" s="28" t="s">
        <v>51</v>
      </c>
      <c r="L10892" s="28" t="s">
        <v>51</v>
      </c>
      <c r="M10892" s="28" t="s">
        <v>51</v>
      </c>
      <c r="N10892" s="28" t="s">
        <v>51</v>
      </c>
    </row>
    <row r="10893" spans="1:14" ht="12.75" hidden="1" outlineLevel="1" x14ac:dyDescent="0.2">
      <c r="A10893" s="23" t="str">
        <f>HYPERLINK("https://www.spark-marketing.ru/Card/Person/816933", "ОТДЕЛ МВД РОССИИ ПО ЛЕНИНОГОРСКОМУ РАЙОНУ")</f>
        <v>ОТДЕЛ МВД РОССИИ ПО ЛЕНИНОГОРСКОМУ РАЙОНУ</v>
      </c>
      <c r="B10893" s="24" t="s">
        <v>15318</v>
      </c>
      <c r="C10893" s="25">
        <v>1200000</v>
      </c>
      <c r="D10893" s="22" t="s">
        <v>15319</v>
      </c>
      <c r="E10893" s="22" t="s">
        <v>48</v>
      </c>
      <c r="F10893" s="23" t="str">
        <f>HYPERLINK("https://www.spark-marketing.ru/Card/Lot/72316648", "Питание лиц содержащихся в ИВС и СП")</f>
        <v>Питание лиц содержащихся в ИВС и СП</v>
      </c>
      <c r="G10893" s="22" t="s">
        <v>217</v>
      </c>
      <c r="H10893" s="22" t="s">
        <v>217</v>
      </c>
      <c r="I10893" s="26">
        <v>43670.743946759299</v>
      </c>
      <c r="J10893" s="23" t="str">
        <f>HYPERLINK("https://www.spark-marketing.ru/Card/Person/6084653", "ООО ""ВИТАРА""")</f>
        <v>ООО "ВИТАРА"</v>
      </c>
      <c r="K10893" s="24" t="s">
        <v>2437</v>
      </c>
      <c r="L10893" s="22" t="s">
        <v>10</v>
      </c>
      <c r="M10893" s="25">
        <v>1200000</v>
      </c>
      <c r="N10893" s="27">
        <v>0</v>
      </c>
    </row>
    <row r="10894" spans="1:14" hidden="1" outlineLevel="1" x14ac:dyDescent="0.2">
      <c r="A10894" s="23" t="str">
        <f>HYPERLINK("https://www.spark-marketing.ru/Card/Person/816933", "ОТДЕЛ МВД РОССИИ ПО ЛЕНИНОГОРСКОМУ РАЙОНУ")</f>
        <v>ОТДЕЛ МВД РОССИИ ПО ЛЕНИНОГОРСКОМУ РАЙОНУ</v>
      </c>
      <c r="B10894" s="24" t="s">
        <v>15318</v>
      </c>
      <c r="C10894" s="25">
        <v>1200000</v>
      </c>
      <c r="D10894" s="22" t="s">
        <v>15319</v>
      </c>
      <c r="E10894" s="22" t="s">
        <v>48</v>
      </c>
      <c r="F10894" s="23" t="str">
        <f>HYPERLINK("https://www.spark-marketing.ru/Card/Lot/72316648", "Питание лиц содержащихся в ИВС и СП")</f>
        <v>Питание лиц содержащихся в ИВС и СП</v>
      </c>
      <c r="G10894" s="22" t="s">
        <v>217</v>
      </c>
      <c r="H10894" s="22" t="s">
        <v>217</v>
      </c>
      <c r="I10894" s="26">
        <v>43670.743946759299</v>
      </c>
      <c r="J10894" s="23" t="str">
        <f>HYPERLINK("https://www.spark-marketing.ru/Card/Person/6075772", "ООО ""ЭТАЛОН+""")</f>
        <v>ООО "ЭТАЛОН+"</v>
      </c>
      <c r="K10894" s="24" t="s">
        <v>5846</v>
      </c>
      <c r="L10894" s="28" t="s">
        <v>51</v>
      </c>
      <c r="M10894" s="25">
        <v>1200000</v>
      </c>
      <c r="N10894" s="27">
        <v>0</v>
      </c>
    </row>
    <row r="10895" spans="1:14" x14ac:dyDescent="0.15">
      <c r="A10895" s="23" t="str">
        <f>HYPERLINK("https://www.spark-marketing.ru/Card/Person/948259", "МБОУ ""СОШ №6""")</f>
        <v>МБОУ "СОШ №6"</v>
      </c>
      <c r="B10895" s="24" t="s">
        <v>15320</v>
      </c>
      <c r="C10895" s="25">
        <v>1920807.15</v>
      </c>
      <c r="D10895" s="22" t="s">
        <v>15321</v>
      </c>
      <c r="E10895" s="22" t="s">
        <v>48</v>
      </c>
      <c r="F10895" s="23" t="str">
        <f>HYPERLINK("https://www.spark-marketing.ru/Card/Lot/72308136", "оказание услуг по организации горячего питания")</f>
        <v>оказание услуг по организации горячего питания</v>
      </c>
      <c r="G10895" s="22" t="s">
        <v>281</v>
      </c>
      <c r="H10895" s="22" t="s">
        <v>281</v>
      </c>
      <c r="I10895" s="26">
        <v>43670.713194444397</v>
      </c>
      <c r="J10895" s="28" t="s">
        <v>51</v>
      </c>
      <c r="K10895" s="28" t="s">
        <v>51</v>
      </c>
      <c r="L10895" s="28" t="s">
        <v>51</v>
      </c>
      <c r="M10895" s="28" t="s">
        <v>51</v>
      </c>
      <c r="N10895" s="28" t="s">
        <v>51</v>
      </c>
    </row>
    <row r="10896" spans="1:14" ht="12.75" hidden="1" outlineLevel="1" x14ac:dyDescent="0.2">
      <c r="A10896" s="23" t="str">
        <f>HYPERLINK("https://www.spark-marketing.ru/Card/Person/948259", "МБОУ ""СОШ №6""")</f>
        <v>МБОУ "СОШ №6"</v>
      </c>
      <c r="B10896" s="24" t="s">
        <v>15320</v>
      </c>
      <c r="C10896" s="25">
        <v>1920807.15</v>
      </c>
      <c r="D10896" s="22" t="s">
        <v>15321</v>
      </c>
      <c r="E10896" s="22" t="s">
        <v>48</v>
      </c>
      <c r="F10896" s="23" t="str">
        <f>HYPERLINK("https://www.spark-marketing.ru/Card/Lot/72308136", "оказание услуг по организации горячего питания")</f>
        <v>оказание услуг по организации горячего питания</v>
      </c>
      <c r="G10896" s="22" t="s">
        <v>281</v>
      </c>
      <c r="H10896" s="22" t="s">
        <v>281</v>
      </c>
      <c r="I10896" s="26">
        <v>43670.713194444397</v>
      </c>
      <c r="J10896" s="23" t="str">
        <f>HYPERLINK("https://www.spark-marketing.ru/Card/Person/969761", "Заплатина Людмила Альфредовна")</f>
        <v>Заплатина Людмила Альфредовна</v>
      </c>
      <c r="K10896" s="24" t="s">
        <v>7793</v>
      </c>
      <c r="L10896" s="22" t="s">
        <v>10</v>
      </c>
      <c r="M10896" s="25">
        <v>1820807.15</v>
      </c>
      <c r="N10896" s="27">
        <v>5.2061447189011144E-2</v>
      </c>
    </row>
    <row r="10897" spans="1:14" hidden="1" outlineLevel="1" x14ac:dyDescent="0.2">
      <c r="A10897" s="23" t="str">
        <f>HYPERLINK("https://www.spark-marketing.ru/Card/Person/948259", "МБОУ ""СОШ №6""")</f>
        <v>МБОУ "СОШ №6"</v>
      </c>
      <c r="B10897" s="24" t="s">
        <v>15320</v>
      </c>
      <c r="C10897" s="25">
        <v>1920807.15</v>
      </c>
      <c r="D10897" s="22" t="s">
        <v>15321</v>
      </c>
      <c r="E10897" s="22" t="s">
        <v>48</v>
      </c>
      <c r="F10897" s="23" t="str">
        <f>HYPERLINK("https://www.spark-marketing.ru/Card/Lot/72308136", "оказание услуг по организации горячего питания")</f>
        <v>оказание услуг по организации горячего питания</v>
      </c>
      <c r="G10897" s="22" t="s">
        <v>281</v>
      </c>
      <c r="H10897" s="22" t="s">
        <v>281</v>
      </c>
      <c r="I10897" s="26">
        <v>43670.713194444397</v>
      </c>
      <c r="J10897" s="23" t="str">
        <f>HYPERLINK("https://www.spark-marketing.ru/Card/Person/469478", "Матигулина Людмила Всеволодовна")</f>
        <v>Матигулина Людмила Всеволодовна</v>
      </c>
      <c r="K10897" s="24" t="s">
        <v>15322</v>
      </c>
      <c r="L10897" s="28" t="s">
        <v>51</v>
      </c>
      <c r="M10897" s="25">
        <v>1671102.22</v>
      </c>
      <c r="N10897" s="27">
        <v>0.13000000026030722</v>
      </c>
    </row>
    <row r="10898" spans="1:14" hidden="1" outlineLevel="1" x14ac:dyDescent="0.2">
      <c r="A10898" s="23" t="str">
        <f>HYPERLINK("https://www.spark-marketing.ru/Card/Person/948259", "МБОУ ""СОШ №6""")</f>
        <v>МБОУ "СОШ №6"</v>
      </c>
      <c r="B10898" s="24" t="s">
        <v>15320</v>
      </c>
      <c r="C10898" s="25">
        <v>1920807.15</v>
      </c>
      <c r="D10898" s="22" t="s">
        <v>15321</v>
      </c>
      <c r="E10898" s="22" t="s">
        <v>48</v>
      </c>
      <c r="F10898" s="23" t="str">
        <f>HYPERLINK("https://www.spark-marketing.ru/Card/Lot/72308136", "оказание услуг по организации горячего питания")</f>
        <v>оказание услуг по организации горячего питания</v>
      </c>
      <c r="G10898" s="22" t="s">
        <v>281</v>
      </c>
      <c r="H10898" s="22" t="s">
        <v>281</v>
      </c>
      <c r="I10898" s="26">
        <v>43670.713194444397</v>
      </c>
      <c r="J10898" s="23" t="str">
        <f>HYPERLINK("https://www.spark-marketing.ru/Card/Person/6168060", "ООО ""ВИКТОРИЯ""")</f>
        <v>ООО "ВИКТОРИЯ"</v>
      </c>
      <c r="K10898" s="24" t="s">
        <v>15323</v>
      </c>
      <c r="L10898" s="28" t="s">
        <v>51</v>
      </c>
      <c r="M10898" s="25">
        <v>1402189.22</v>
      </c>
      <c r="N10898" s="27">
        <v>0.26999999973969274</v>
      </c>
    </row>
    <row r="10899" spans="1:14" x14ac:dyDescent="0.15">
      <c r="A10899" s="23" t="str">
        <f>HYPERLINK("https://www.spark-marketing.ru/Card/Person/158376", "ОМВД РОССИИ ПО Г. НОВОЧЕБОКСАРСК")</f>
        <v>ОМВД РОССИИ ПО Г. НОВОЧЕБОКСАРСК</v>
      </c>
      <c r="B10899" s="24" t="s">
        <v>7410</v>
      </c>
      <c r="C10899" s="25">
        <v>109494.06</v>
      </c>
      <c r="D10899" s="22" t="s">
        <v>15324</v>
      </c>
      <c r="E10899" s="22" t="s">
        <v>62</v>
      </c>
      <c r="F10899" s="23" t="str">
        <f>HYPERLINK("https://www.spark-marketing.ru/Card/Lot/72316219", "Приобретение бланков и журналов изготовленных типографским способом")</f>
        <v>Приобретение бланков и журналов изготовленных типографским способом</v>
      </c>
      <c r="G10899" s="22" t="s">
        <v>618</v>
      </c>
      <c r="H10899" s="22" t="s">
        <v>7412</v>
      </c>
      <c r="I10899" s="26">
        <v>43670.7118402778</v>
      </c>
      <c r="J10899" s="28" t="s">
        <v>51</v>
      </c>
      <c r="K10899" s="28" t="s">
        <v>51</v>
      </c>
      <c r="L10899" s="28" t="s">
        <v>51</v>
      </c>
      <c r="M10899" s="28" t="s">
        <v>51</v>
      </c>
      <c r="N10899" s="28" t="s">
        <v>51</v>
      </c>
    </row>
    <row r="10900" spans="1:14" ht="12.75" hidden="1" outlineLevel="1" x14ac:dyDescent="0.2">
      <c r="A10900" s="23" t="str">
        <f>HYPERLINK("https://www.spark-marketing.ru/Card/Person/158376", "ОМВД РОССИИ ПО Г. НОВОЧЕБОКСАРСК")</f>
        <v>ОМВД РОССИИ ПО Г. НОВОЧЕБОКСАРСК</v>
      </c>
      <c r="B10900" s="24" t="s">
        <v>7410</v>
      </c>
      <c r="C10900" s="25">
        <v>109494.06</v>
      </c>
      <c r="D10900" s="22" t="s">
        <v>15324</v>
      </c>
      <c r="E10900" s="22" t="s">
        <v>62</v>
      </c>
      <c r="F10900" s="23" t="str">
        <f>HYPERLINK("https://www.spark-marketing.ru/Card/Lot/72316219", "Приобретение бланков и журналов изготовленных типографским способом")</f>
        <v>Приобретение бланков и журналов изготовленных типографским способом</v>
      </c>
      <c r="G10900" s="22" t="s">
        <v>618</v>
      </c>
      <c r="H10900" s="22" t="s">
        <v>7412</v>
      </c>
      <c r="I10900" s="26">
        <v>43670.7118402778</v>
      </c>
      <c r="J10900" s="23" t="str">
        <f>HYPERLINK("https://www.spark-marketing.ru/Card/Person/200949", "АО ""ТИПОГРАФИЯ МВ""")</f>
        <v>АО "ТИПОГРАФИЯ МВ"</v>
      </c>
      <c r="K10900" s="24" t="s">
        <v>15325</v>
      </c>
      <c r="L10900" s="22" t="s">
        <v>10</v>
      </c>
      <c r="M10900" s="25">
        <v>89035</v>
      </c>
      <c r="N10900" s="27">
        <v>0.18685086661322084</v>
      </c>
    </row>
    <row r="10901" spans="1:14" hidden="1" outlineLevel="1" x14ac:dyDescent="0.2">
      <c r="A10901" s="23" t="str">
        <f>HYPERLINK("https://www.spark-marketing.ru/Card/Person/158376", "ОМВД РОССИИ ПО Г. НОВОЧЕБОКСАРСК")</f>
        <v>ОМВД РОССИИ ПО Г. НОВОЧЕБОКСАРСК</v>
      </c>
      <c r="B10901" s="24" t="s">
        <v>7410</v>
      </c>
      <c r="C10901" s="25">
        <v>109494.06</v>
      </c>
      <c r="D10901" s="22" t="s">
        <v>15324</v>
      </c>
      <c r="E10901" s="22" t="s">
        <v>62</v>
      </c>
      <c r="F10901" s="23" t="str">
        <f>HYPERLINK("https://www.spark-marketing.ru/Card/Lot/72316219", "Приобретение бланков и журналов изготовленных типографским способом")</f>
        <v>Приобретение бланков и журналов изготовленных типографским способом</v>
      </c>
      <c r="G10901" s="22" t="s">
        <v>618</v>
      </c>
      <c r="H10901" s="22" t="s">
        <v>7412</v>
      </c>
      <c r="I10901" s="26">
        <v>43670.7118402778</v>
      </c>
      <c r="J10901" s="23" t="str">
        <f>HYPERLINK("https://www.spark-marketing.ru/Card/Person/373705", "ЗАО ""КАНАШСКИЙ ИЗДАТЕЛЬСКИЙ ДОМ""")</f>
        <v>ЗАО "КАНАШСКИЙ ИЗДАТЕЛЬСКИЙ ДОМ"</v>
      </c>
      <c r="K10901" s="24" t="s">
        <v>15326</v>
      </c>
      <c r="L10901" s="28" t="s">
        <v>51</v>
      </c>
      <c r="M10901" s="25">
        <v>103471.89</v>
      </c>
      <c r="N10901" s="27">
        <v>5.4999969861378784E-2</v>
      </c>
    </row>
    <row r="10902" spans="1:14" hidden="1" outlineLevel="1" x14ac:dyDescent="0.2">
      <c r="A10902" s="23" t="str">
        <f>HYPERLINK("https://www.spark-marketing.ru/Card/Person/158376", "ОМВД РОССИИ ПО Г. НОВОЧЕБОКСАРСК")</f>
        <v>ОМВД РОССИИ ПО Г. НОВОЧЕБОКСАРСК</v>
      </c>
      <c r="B10902" s="24" t="s">
        <v>7410</v>
      </c>
      <c r="C10902" s="25">
        <v>109494.06</v>
      </c>
      <c r="D10902" s="22" t="s">
        <v>15324</v>
      </c>
      <c r="E10902" s="22" t="s">
        <v>62</v>
      </c>
      <c r="F10902" s="23" t="str">
        <f>HYPERLINK("https://www.spark-marketing.ru/Card/Lot/72316219", "Приобретение бланков и журналов изготовленных типографским способом")</f>
        <v>Приобретение бланков и журналов изготовленных типографским способом</v>
      </c>
      <c r="G10902" s="22" t="s">
        <v>618</v>
      </c>
      <c r="H10902" s="22" t="s">
        <v>7412</v>
      </c>
      <c r="I10902" s="26">
        <v>43670.7118402778</v>
      </c>
      <c r="J10902" s="23" t="str">
        <f>HYPERLINK("https://www.spark-marketing.ru/Card/Person/6676264", "ООО ""ТИП-ЯН""")</f>
        <v>ООО "ТИП-ЯН"</v>
      </c>
      <c r="K10902" s="24" t="s">
        <v>15327</v>
      </c>
      <c r="L10902" s="28" t="s">
        <v>51</v>
      </c>
      <c r="M10902" s="25">
        <v>108946.59</v>
      </c>
      <c r="N10902" s="27">
        <v>4.999997260125344E-3</v>
      </c>
    </row>
    <row r="10903" spans="1:14" hidden="1" outlineLevel="1" x14ac:dyDescent="0.2">
      <c r="A10903" s="23" t="str">
        <f>HYPERLINK("https://www.spark-marketing.ru/Card/Person/158376", "ОМВД РОССИИ ПО Г. НОВОЧЕБОКСАРСК")</f>
        <v>ОМВД РОССИИ ПО Г. НОВОЧЕБОКСАРСК</v>
      </c>
      <c r="B10903" s="24" t="s">
        <v>7410</v>
      </c>
      <c r="C10903" s="25">
        <v>109494.06</v>
      </c>
      <c r="D10903" s="22" t="s">
        <v>15324</v>
      </c>
      <c r="E10903" s="22" t="s">
        <v>62</v>
      </c>
      <c r="F10903" s="23" t="str">
        <f>HYPERLINK("https://www.spark-marketing.ru/Card/Lot/72316219", "Приобретение бланков и журналов изготовленных типографским способом")</f>
        <v>Приобретение бланков и журналов изготовленных типографским способом</v>
      </c>
      <c r="G10903" s="22" t="s">
        <v>618</v>
      </c>
      <c r="H10903" s="22" t="s">
        <v>7412</v>
      </c>
      <c r="I10903" s="26">
        <v>43670.7118402778</v>
      </c>
      <c r="J10903" s="23" t="str">
        <f>HYPERLINK("https://www.spark-marketing.ru/Card/Person/444680", "Шпильков Валерий Владимирович")</f>
        <v>Шпильков Валерий Владимирович</v>
      </c>
      <c r="K10903" s="24" t="s">
        <v>15328</v>
      </c>
      <c r="L10903" s="28" t="s">
        <v>51</v>
      </c>
      <c r="M10903" s="25">
        <v>89582.53</v>
      </c>
      <c r="N10903" s="27">
        <v>0.18185032137816426</v>
      </c>
    </row>
    <row r="10904" spans="1:14" x14ac:dyDescent="0.2">
      <c r="A10904" s="23" t="s">
        <v>114</v>
      </c>
      <c r="B10904" s="28" t="s">
        <v>51</v>
      </c>
      <c r="C10904" s="25">
        <v>19163706.210000001</v>
      </c>
      <c r="D10904" s="22" t="s">
        <v>15329</v>
      </c>
      <c r="E10904" s="22" t="s">
        <v>48</v>
      </c>
      <c r="F10904" s="23" t="str">
        <f>HYPERLINK("https://www.spark-marketing.ru/Card/Lot/72314891", "Оказание услуг по обеспечению питанием")</f>
        <v>Оказание услуг по обеспечению питанием</v>
      </c>
      <c r="G10904" s="22" t="s">
        <v>51</v>
      </c>
      <c r="H10904" s="22" t="s">
        <v>51</v>
      </c>
      <c r="I10904" s="26">
        <v>43670.716666666704</v>
      </c>
      <c r="J10904" s="23" t="str">
        <f>HYPERLINK("https://www.spark-marketing.ru/Card/Person/6558293", "ООО ""ВИВО МАРКЕТ""")</f>
        <v>ООО "ВИВО МАРКЕТ"</v>
      </c>
      <c r="K10904" s="24" t="s">
        <v>14440</v>
      </c>
      <c r="L10904" s="28" t="s">
        <v>51</v>
      </c>
      <c r="M10904" s="25">
        <v>19163706.210000001</v>
      </c>
      <c r="N10904" s="27">
        <v>0</v>
      </c>
    </row>
    <row r="10905" spans="1:14" hidden="1" outlineLevel="1" x14ac:dyDescent="0.2">
      <c r="A10905" s="23" t="str">
        <f>HYPERLINK("https://www.spark-marketing.ru/Card/Person/83165", "ГБОУ ""СОЗВЕЗДИЕ""")</f>
        <v>ГБОУ "СОЗВЕЗДИЕ"</v>
      </c>
      <c r="B10905" s="24" t="s">
        <v>15330</v>
      </c>
      <c r="C10905" s="25">
        <v>8171357.5999999996</v>
      </c>
      <c r="D10905" s="22" t="s">
        <v>15329</v>
      </c>
      <c r="E10905" s="22" t="s">
        <v>48</v>
      </c>
      <c r="F10905" s="23" t="str">
        <f>HYPERLINK("https://www.spark-marketing.ru/Card/Lot/72314891", "Оказание услуг по обеспечению питанием")</f>
        <v>Оказание услуг по обеспечению питанием</v>
      </c>
      <c r="G10905" s="22" t="s">
        <v>158</v>
      </c>
      <c r="H10905" s="22" t="s">
        <v>171</v>
      </c>
      <c r="I10905" s="26">
        <v>43670.716666666704</v>
      </c>
      <c r="J10905" s="23" t="str">
        <f>HYPERLINK("https://www.spark-marketing.ru/Card/Person/6558293", "ООО ""ВИВО МАРКЕТ""")</f>
        <v>ООО "ВИВО МАРКЕТ"</v>
      </c>
      <c r="K10905" s="24" t="s">
        <v>14440</v>
      </c>
      <c r="L10905" s="28" t="s">
        <v>51</v>
      </c>
      <c r="M10905" s="28" t="s">
        <v>51</v>
      </c>
      <c r="N10905" s="27">
        <v>0</v>
      </c>
    </row>
    <row r="10906" spans="1:14" hidden="1" outlineLevel="1" x14ac:dyDescent="0.2">
      <c r="A10906" s="23" t="str">
        <f>HYPERLINK("https://www.spark-marketing.ru/Card/Person/91402", "ГКОУ ""ВОЛГОГРАДСКАЯ ШКОЛА-ИНТЕРНАТ №3""")</f>
        <v>ГКОУ "ВОЛГОГРАДСКАЯ ШКОЛА-ИНТЕРНАТ №3"</v>
      </c>
      <c r="B10906" s="24" t="s">
        <v>15331</v>
      </c>
      <c r="C10906" s="25">
        <v>3782420.55</v>
      </c>
      <c r="D10906" s="22" t="s">
        <v>15329</v>
      </c>
      <c r="E10906" s="22" t="s">
        <v>48</v>
      </c>
      <c r="F10906" s="23" t="str">
        <f>HYPERLINK("https://www.spark-marketing.ru/Card/Lot/72314891", "Оказание услуг по обеспечению питанием")</f>
        <v>Оказание услуг по обеспечению питанием</v>
      </c>
      <c r="G10906" s="22" t="s">
        <v>158</v>
      </c>
      <c r="H10906" s="22" t="s">
        <v>171</v>
      </c>
      <c r="I10906" s="26">
        <v>43670.716666666704</v>
      </c>
      <c r="J10906" s="23" t="str">
        <f>HYPERLINK("https://www.spark-marketing.ru/Card/Person/6558293", "ООО ""ВИВО МАРКЕТ""")</f>
        <v>ООО "ВИВО МАРКЕТ"</v>
      </c>
      <c r="K10906" s="24" t="s">
        <v>14440</v>
      </c>
      <c r="L10906" s="28" t="s">
        <v>51</v>
      </c>
      <c r="M10906" s="28" t="s">
        <v>51</v>
      </c>
      <c r="N10906" s="27">
        <v>0</v>
      </c>
    </row>
    <row r="10907" spans="1:14" hidden="1" outlineLevel="1" x14ac:dyDescent="0.2">
      <c r="A10907" s="23" t="str">
        <f>HYPERLINK("https://www.spark-marketing.ru/Card/Person/1069049", "ГКОУ ""КАЗАЧИЙ КАДЕТСКИЙ КОРПУС ИМЕНИ К.И.НЕДОРУБОВА""")</f>
        <v>ГКОУ "КАЗАЧИЙ КАДЕТСКИЙ КОРПУС ИМЕНИ К.И.НЕДОРУБОВА"</v>
      </c>
      <c r="B10907" s="24" t="s">
        <v>15332</v>
      </c>
      <c r="C10907" s="25">
        <v>7209928.0599999996</v>
      </c>
      <c r="D10907" s="22" t="s">
        <v>15329</v>
      </c>
      <c r="E10907" s="22" t="s">
        <v>48</v>
      </c>
      <c r="F10907" s="23" t="str">
        <f>HYPERLINK("https://www.spark-marketing.ru/Card/Lot/72314891", "Оказание услуг по обеспечению питанием")</f>
        <v>Оказание услуг по обеспечению питанием</v>
      </c>
      <c r="G10907" s="22" t="s">
        <v>158</v>
      </c>
      <c r="H10907" s="22" t="s">
        <v>171</v>
      </c>
      <c r="I10907" s="26">
        <v>43670.716666666704</v>
      </c>
      <c r="J10907" s="23" t="str">
        <f>HYPERLINK("https://www.spark-marketing.ru/Card/Person/6558293", "ООО ""ВИВО МАРКЕТ""")</f>
        <v>ООО "ВИВО МАРКЕТ"</v>
      </c>
      <c r="K10907" s="24" t="s">
        <v>14440</v>
      </c>
      <c r="L10907" s="28" t="s">
        <v>51</v>
      </c>
      <c r="M10907" s="28" t="s">
        <v>51</v>
      </c>
      <c r="N10907" s="27">
        <v>0</v>
      </c>
    </row>
    <row r="10908" spans="1:14" x14ac:dyDescent="0.15">
      <c r="A10908" s="23" t="str">
        <f>HYPERLINK("https://www.spark-marketing.ru/Card/Person/25413", "ФГКУ ""СЗРПСО МЧС РОССИИ""")</f>
        <v>ФГКУ "СЗРПСО МЧС РОССИИ"</v>
      </c>
      <c r="B10908" s="24" t="s">
        <v>10257</v>
      </c>
      <c r="C10908" s="25">
        <v>373331</v>
      </c>
      <c r="D10908" s="22" t="s">
        <v>15333</v>
      </c>
      <c r="E10908" s="22" t="s">
        <v>48</v>
      </c>
      <c r="F10908" s="23" t="str">
        <f>HYPERLINK("https://www.spark-marketing.ru/Card/Lot/72335660", "Оказание услуг по организации горячего питания работников, несущих дежурство в Вологодском ПСО МЧС России (ПСП Шексна)")</f>
        <v>Оказание услуг по организации горячего питания работников, несущих дежурство в Вологодском ПСО МЧС России (ПСП Шексна)</v>
      </c>
      <c r="G10908" s="22" t="s">
        <v>503</v>
      </c>
      <c r="H10908" s="22" t="s">
        <v>503</v>
      </c>
      <c r="I10908" s="26">
        <v>43670.726168981499</v>
      </c>
      <c r="J10908" s="23" t="str">
        <f>HYPERLINK("https://www.spark-marketing.ru/Card/Person/291774", "Зачесова Наталья Николаевна")</f>
        <v>Зачесова Наталья Николаевна</v>
      </c>
      <c r="K10908" s="24" t="s">
        <v>15334</v>
      </c>
      <c r="L10908" s="22" t="s">
        <v>10</v>
      </c>
      <c r="M10908" s="28" t="s">
        <v>51</v>
      </c>
      <c r="N10908" s="28" t="s">
        <v>51</v>
      </c>
    </row>
    <row r="10909" spans="1:14" x14ac:dyDescent="0.15">
      <c r="A10909" s="23" t="str">
        <f>HYPERLINK("https://www.spark-marketing.ru/Card/Person/9849", "ГБУ ""ХОЗУ""")</f>
        <v>ГБУ "ХОЗУ"</v>
      </c>
      <c r="B10909" s="24" t="s">
        <v>1532</v>
      </c>
      <c r="C10909" s="25">
        <v>1500000</v>
      </c>
      <c r="D10909" s="22" t="s">
        <v>15335</v>
      </c>
      <c r="E10909" s="22" t="s">
        <v>51</v>
      </c>
      <c r="F10909" s="23" t="str">
        <f>HYPERLINK("https://www.spark-marketing.ru/Card/Lot/72330580", "Оказание услуг по организации питания и обслуживанию мероприятий")</f>
        <v>Оказание услуг по организации питания и обслуживанию мероприятий</v>
      </c>
      <c r="G10909" s="22" t="s">
        <v>543</v>
      </c>
      <c r="H10909" s="22" t="s">
        <v>543</v>
      </c>
      <c r="I10909" s="26">
        <v>43670.727800925903</v>
      </c>
      <c r="J10909" s="23" t="str">
        <f>HYPERLINK("https://www.spark-marketing.ru/Card/Person/2548612", "ООО ""ШОКОЛАД""")</f>
        <v>ООО "ШОКОЛАД"</v>
      </c>
      <c r="K10909" s="24" t="s">
        <v>5434</v>
      </c>
      <c r="L10909" s="22" t="s">
        <v>10</v>
      </c>
      <c r="M10909" s="28" t="s">
        <v>51</v>
      </c>
      <c r="N10909" s="28" t="s">
        <v>51</v>
      </c>
    </row>
    <row r="10910" spans="1:14" x14ac:dyDescent="0.15">
      <c r="A10910" s="23" t="str">
        <f>HYPERLINK("https://www.spark-marketing.ru/Card/Person/27035", "ГБУ МО ""СШОР ""ИСТИНА""")</f>
        <v>ГБУ МО "СШОР "ИСТИНА"</v>
      </c>
      <c r="B10910" s="24" t="s">
        <v>6108</v>
      </c>
      <c r="C10910" s="25">
        <v>288000</v>
      </c>
      <c r="D10910" s="22" t="s">
        <v>15336</v>
      </c>
      <c r="E10910" s="22" t="s">
        <v>48</v>
      </c>
      <c r="F10910" s="23" t="str">
        <f>HYPERLINK("https://www.spark-marketing.ru/Card/Lot/72315701", "Оказание услуг по организации питания на тренировочном сборе (2-13.08.2019)")</f>
        <v>Оказание услуг по организации питания на тренировочном сборе (2-13.08.2019)</v>
      </c>
      <c r="G10910" s="22" t="s">
        <v>49</v>
      </c>
      <c r="H10910" s="22" t="s">
        <v>4820</v>
      </c>
      <c r="I10910" s="26">
        <v>43670.7324884259</v>
      </c>
      <c r="J10910" s="28" t="s">
        <v>51</v>
      </c>
      <c r="K10910" s="28" t="s">
        <v>51</v>
      </c>
      <c r="L10910" s="28" t="s">
        <v>51</v>
      </c>
      <c r="M10910" s="28" t="s">
        <v>51</v>
      </c>
      <c r="N10910" s="28" t="s">
        <v>51</v>
      </c>
    </row>
    <row r="10911" spans="1:14" x14ac:dyDescent="0.2">
      <c r="A10911" s="23" t="str">
        <f>HYPERLINK("https://www.spark-marketing.ru/Card/Person/4365810", "АО ""ТВ ЦЕНТР""")</f>
        <v>АО "ТВ ЦЕНТР"</v>
      </c>
      <c r="B10911" s="24" t="s">
        <v>2622</v>
      </c>
      <c r="C10911" s="25">
        <v>2337649.98</v>
      </c>
      <c r="D10911" s="22" t="s">
        <v>15337</v>
      </c>
      <c r="E10911" s="22" t="s">
        <v>1403</v>
      </c>
      <c r="F10911" s="23" t="str">
        <f>HYPERLINK("https://www.spark-marketing.ru/Card/Lot/72323449", "Оказание услуг по замене трёх источников бесперебойного питания на ПТС")</f>
        <v>Оказание услуг по замене трёх источников бесперебойного питания на ПТС</v>
      </c>
      <c r="G10911" s="22" t="s">
        <v>56</v>
      </c>
      <c r="H10911" s="22" t="s">
        <v>56</v>
      </c>
      <c r="I10911" s="26">
        <v>43670.739652777796</v>
      </c>
      <c r="J10911" s="28" t="s">
        <v>51</v>
      </c>
      <c r="K10911" s="28" t="s">
        <v>51</v>
      </c>
      <c r="L10911" s="22" t="s">
        <v>10</v>
      </c>
      <c r="M10911" s="25">
        <v>1788524</v>
      </c>
      <c r="N10911" s="27">
        <v>0.23490513323128043</v>
      </c>
    </row>
    <row r="10912" spans="1:14" x14ac:dyDescent="0.2">
      <c r="A10912" s="23" t="s">
        <v>114</v>
      </c>
      <c r="B10912" s="28" t="s">
        <v>51</v>
      </c>
      <c r="C10912" s="25">
        <v>44173120</v>
      </c>
      <c r="D10912" s="22" t="s">
        <v>15338</v>
      </c>
      <c r="E10912" s="22" t="s">
        <v>48</v>
      </c>
      <c r="F10912" s="23" t="str">
        <f t="shared" ref="F10912:F10920" si="287">HYPERLINK("https://www.spark-marketing.ru/Card/Lot/72312186", "Оказание услуг по организации питания учащихся")</f>
        <v>Оказание услуг по организации питания учащихся</v>
      </c>
      <c r="G10912" s="22" t="s">
        <v>51</v>
      </c>
      <c r="H10912" s="22" t="s">
        <v>51</v>
      </c>
      <c r="I10912" s="26">
        <v>43670.71875</v>
      </c>
      <c r="J10912" s="23" t="str">
        <f t="shared" ref="J10912:J10920" si="288">HYPERLINK("https://www.spark-marketing.ru/Card/Person/233465", "НГМУП ""ШКОЛЬНОЕ ПИТАНИЕ""")</f>
        <v>НГМУП "ШКОЛЬНОЕ ПИТАНИЕ"</v>
      </c>
      <c r="K10912" s="24" t="s">
        <v>5280</v>
      </c>
      <c r="L10912" s="28" t="s">
        <v>51</v>
      </c>
      <c r="M10912" s="25">
        <v>253.6</v>
      </c>
      <c r="N10912" s="27">
        <v>0.99999425895205052</v>
      </c>
    </row>
    <row r="10913" spans="1:14" hidden="1" outlineLevel="1" x14ac:dyDescent="0.2">
      <c r="A10913" s="23" t="str">
        <f>HYPERLINK("https://www.spark-marketing.ru/Card/Person/32263", "МБОУ ""СОШ № 13""")</f>
        <v>МБОУ "СОШ № 13"</v>
      </c>
      <c r="B10913" s="24" t="s">
        <v>15339</v>
      </c>
      <c r="C10913" s="25">
        <v>6974848</v>
      </c>
      <c r="D10913" s="22" t="s">
        <v>15338</v>
      </c>
      <c r="E10913" s="22" t="s">
        <v>48</v>
      </c>
      <c r="F10913" s="23" t="str">
        <f t="shared" si="287"/>
        <v>Оказание услуг по организации питания учащихся</v>
      </c>
      <c r="G10913" s="22" t="s">
        <v>97</v>
      </c>
      <c r="H10913" s="22" t="s">
        <v>97</v>
      </c>
      <c r="I10913" s="26">
        <v>43670.71875</v>
      </c>
      <c r="J10913" s="23" t="str">
        <f t="shared" si="288"/>
        <v>НГМУП "ШКОЛЬНОЕ ПИТАНИЕ"</v>
      </c>
      <c r="K10913" s="24" t="s">
        <v>5280</v>
      </c>
      <c r="L10913" s="28" t="s">
        <v>51</v>
      </c>
      <c r="M10913" s="28" t="s">
        <v>51</v>
      </c>
      <c r="N10913" s="27">
        <v>0.99999425895205052</v>
      </c>
    </row>
    <row r="10914" spans="1:14" hidden="1" outlineLevel="1" x14ac:dyDescent="0.2">
      <c r="A10914" s="23" t="str">
        <f>HYPERLINK("https://www.spark-marketing.ru/Card/Person/32481", "МБОУ ""СОКШ № 4""")</f>
        <v>МБОУ "СОКШ № 4"</v>
      </c>
      <c r="B10914" s="24" t="s">
        <v>15340</v>
      </c>
      <c r="C10914" s="25">
        <v>6091392</v>
      </c>
      <c r="D10914" s="22" t="s">
        <v>15338</v>
      </c>
      <c r="E10914" s="22" t="s">
        <v>48</v>
      </c>
      <c r="F10914" s="23" t="str">
        <f t="shared" si="287"/>
        <v>Оказание услуг по организации питания учащихся</v>
      </c>
      <c r="G10914" s="22" t="s">
        <v>97</v>
      </c>
      <c r="H10914" s="22" t="s">
        <v>97</v>
      </c>
      <c r="I10914" s="26">
        <v>43670.71875</v>
      </c>
      <c r="J10914" s="23" t="str">
        <f t="shared" si="288"/>
        <v>НГМУП "ШКОЛЬНОЕ ПИТАНИЕ"</v>
      </c>
      <c r="K10914" s="24" t="s">
        <v>5280</v>
      </c>
      <c r="L10914" s="28" t="s">
        <v>51</v>
      </c>
      <c r="M10914" s="28" t="s">
        <v>51</v>
      </c>
      <c r="N10914" s="27">
        <v>0.99999425895205052</v>
      </c>
    </row>
    <row r="10915" spans="1:14" hidden="1" outlineLevel="1" x14ac:dyDescent="0.2">
      <c r="A10915" s="23" t="str">
        <f>HYPERLINK("https://www.spark-marketing.ru/Card/Person/33517", "МБОУ «СОШ № 2 ИМ.А.И.ИСАЕВОЙ»")</f>
        <v>МБОУ «СОШ № 2 ИМ.А.И.ИСАЕВОЙ»</v>
      </c>
      <c r="B10915" s="24" t="s">
        <v>15341</v>
      </c>
      <c r="C10915" s="25">
        <v>5564736</v>
      </c>
      <c r="D10915" s="22" t="s">
        <v>15338</v>
      </c>
      <c r="E10915" s="22" t="s">
        <v>48</v>
      </c>
      <c r="F10915" s="23" t="str">
        <f t="shared" si="287"/>
        <v>Оказание услуг по организации питания учащихся</v>
      </c>
      <c r="G10915" s="22" t="s">
        <v>97</v>
      </c>
      <c r="H10915" s="22" t="s">
        <v>97</v>
      </c>
      <c r="I10915" s="26">
        <v>43670.71875</v>
      </c>
      <c r="J10915" s="23" t="str">
        <f t="shared" si="288"/>
        <v>НГМУП "ШКОЛЬНОЕ ПИТАНИЕ"</v>
      </c>
      <c r="K10915" s="24" t="s">
        <v>5280</v>
      </c>
      <c r="L10915" s="28" t="s">
        <v>51</v>
      </c>
      <c r="M10915" s="28" t="s">
        <v>51</v>
      </c>
      <c r="N10915" s="27">
        <v>0.99999425895205052</v>
      </c>
    </row>
    <row r="10916" spans="1:14" hidden="1" outlineLevel="1" x14ac:dyDescent="0.2">
      <c r="A10916" s="23" t="str">
        <f>HYPERLINK("https://www.spark-marketing.ru/Card/Person/33575", "МБОУ ""СОШ № 14""")</f>
        <v>МБОУ "СОШ № 14"</v>
      </c>
      <c r="B10916" s="24" t="s">
        <v>15342</v>
      </c>
      <c r="C10916" s="25">
        <v>5744384</v>
      </c>
      <c r="D10916" s="22" t="s">
        <v>15338</v>
      </c>
      <c r="E10916" s="22" t="s">
        <v>48</v>
      </c>
      <c r="F10916" s="23" t="str">
        <f t="shared" si="287"/>
        <v>Оказание услуг по организации питания учащихся</v>
      </c>
      <c r="G10916" s="22" t="s">
        <v>97</v>
      </c>
      <c r="H10916" s="22" t="s">
        <v>97</v>
      </c>
      <c r="I10916" s="26">
        <v>43670.71875</v>
      </c>
      <c r="J10916" s="23" t="str">
        <f t="shared" si="288"/>
        <v>НГМУП "ШКОЛЬНОЕ ПИТАНИЕ"</v>
      </c>
      <c r="K10916" s="24" t="s">
        <v>5280</v>
      </c>
      <c r="L10916" s="28" t="s">
        <v>51</v>
      </c>
      <c r="M10916" s="28" t="s">
        <v>51</v>
      </c>
      <c r="N10916" s="27">
        <v>0.99999425895205052</v>
      </c>
    </row>
    <row r="10917" spans="1:14" hidden="1" outlineLevel="1" x14ac:dyDescent="0.2">
      <c r="A10917" s="23" t="str">
        <f>HYPERLINK("https://www.spark-marketing.ru/Card/Person/88363", "МБОУ ""СОШ № 9""")</f>
        <v>МБОУ "СОШ № 9"</v>
      </c>
      <c r="B10917" s="24" t="s">
        <v>15343</v>
      </c>
      <c r="C10917" s="25">
        <v>7510720</v>
      </c>
      <c r="D10917" s="22" t="s">
        <v>15338</v>
      </c>
      <c r="E10917" s="22" t="s">
        <v>48</v>
      </c>
      <c r="F10917" s="23" t="str">
        <f t="shared" si="287"/>
        <v>Оказание услуг по организации питания учащихся</v>
      </c>
      <c r="G10917" s="22" t="s">
        <v>97</v>
      </c>
      <c r="H10917" s="22" t="s">
        <v>97</v>
      </c>
      <c r="I10917" s="26">
        <v>43670.71875</v>
      </c>
      <c r="J10917" s="23" t="str">
        <f t="shared" si="288"/>
        <v>НГМУП "ШКОЛЬНОЕ ПИТАНИЕ"</v>
      </c>
      <c r="K10917" s="24" t="s">
        <v>5280</v>
      </c>
      <c r="L10917" s="28" t="s">
        <v>51</v>
      </c>
      <c r="M10917" s="28" t="s">
        <v>51</v>
      </c>
      <c r="N10917" s="27">
        <v>0.99999425895205052</v>
      </c>
    </row>
    <row r="10918" spans="1:14" hidden="1" outlineLevel="1" x14ac:dyDescent="0.2">
      <c r="A10918" s="23" t="str">
        <f>HYPERLINK("https://www.spark-marketing.ru/Card/Person/236630", "МБОУ ""СОШ № 8""")</f>
        <v>МБОУ "СОШ № 8"</v>
      </c>
      <c r="B10918" s="24" t="s">
        <v>15344</v>
      </c>
      <c r="C10918" s="25">
        <v>4681728</v>
      </c>
      <c r="D10918" s="22" t="s">
        <v>15338</v>
      </c>
      <c r="E10918" s="22" t="s">
        <v>48</v>
      </c>
      <c r="F10918" s="23" t="str">
        <f t="shared" si="287"/>
        <v>Оказание услуг по организации питания учащихся</v>
      </c>
      <c r="G10918" s="22" t="s">
        <v>97</v>
      </c>
      <c r="H10918" s="22" t="s">
        <v>97</v>
      </c>
      <c r="I10918" s="26">
        <v>43670.71875</v>
      </c>
      <c r="J10918" s="23" t="str">
        <f t="shared" si="288"/>
        <v>НГМУП "ШКОЛЬНОЕ ПИТАНИЕ"</v>
      </c>
      <c r="K10918" s="24" t="s">
        <v>5280</v>
      </c>
      <c r="L10918" s="28" t="s">
        <v>51</v>
      </c>
      <c r="M10918" s="28" t="s">
        <v>51</v>
      </c>
      <c r="N10918" s="27">
        <v>0.99999425895205052</v>
      </c>
    </row>
    <row r="10919" spans="1:14" hidden="1" outlineLevel="1" x14ac:dyDescent="0.2">
      <c r="A10919" s="23" t="str">
        <f>HYPERLINK("https://www.spark-marketing.ru/Card/Person/236743", "МБОУ ""ЛИЦЕЙ № 1""")</f>
        <v>МБОУ "ЛИЦЕЙ № 1"</v>
      </c>
      <c r="B10919" s="24" t="s">
        <v>15345</v>
      </c>
      <c r="C10919" s="25">
        <v>3488832</v>
      </c>
      <c r="D10919" s="22" t="s">
        <v>15338</v>
      </c>
      <c r="E10919" s="22" t="s">
        <v>48</v>
      </c>
      <c r="F10919" s="23" t="str">
        <f t="shared" si="287"/>
        <v>Оказание услуг по организации питания учащихся</v>
      </c>
      <c r="G10919" s="22" t="s">
        <v>97</v>
      </c>
      <c r="H10919" s="22" t="s">
        <v>97</v>
      </c>
      <c r="I10919" s="26">
        <v>43670.71875</v>
      </c>
      <c r="J10919" s="23" t="str">
        <f t="shared" si="288"/>
        <v>НГМУП "ШКОЛЬНОЕ ПИТАНИЕ"</v>
      </c>
      <c r="K10919" s="24" t="s">
        <v>5280</v>
      </c>
      <c r="L10919" s="28" t="s">
        <v>51</v>
      </c>
      <c r="M10919" s="28" t="s">
        <v>51</v>
      </c>
      <c r="N10919" s="27">
        <v>0.99999425895205052</v>
      </c>
    </row>
    <row r="10920" spans="1:14" hidden="1" outlineLevel="1" x14ac:dyDescent="0.2">
      <c r="A10920" s="23" t="str">
        <f>HYPERLINK("https://www.spark-marketing.ru/Card/Person/236784", "МБОУ ""СОШ № 1""")</f>
        <v>МБОУ "СОШ № 1"</v>
      </c>
      <c r="B10920" s="24" t="s">
        <v>15346</v>
      </c>
      <c r="C10920" s="25">
        <v>4116480</v>
      </c>
      <c r="D10920" s="22" t="s">
        <v>15338</v>
      </c>
      <c r="E10920" s="22" t="s">
        <v>48</v>
      </c>
      <c r="F10920" s="23" t="str">
        <f t="shared" si="287"/>
        <v>Оказание услуг по организации питания учащихся</v>
      </c>
      <c r="G10920" s="22" t="s">
        <v>97</v>
      </c>
      <c r="H10920" s="22" t="s">
        <v>97</v>
      </c>
      <c r="I10920" s="26">
        <v>43670.71875</v>
      </c>
      <c r="J10920" s="23" t="str">
        <f t="shared" si="288"/>
        <v>НГМУП "ШКОЛЬНОЕ ПИТАНИЕ"</v>
      </c>
      <c r="K10920" s="24" t="s">
        <v>5280</v>
      </c>
      <c r="L10920" s="28" t="s">
        <v>51</v>
      </c>
      <c r="M10920" s="28" t="s">
        <v>51</v>
      </c>
      <c r="N10920" s="27">
        <v>0.99999425895205052</v>
      </c>
    </row>
    <row r="10921" spans="1:14" x14ac:dyDescent="0.15">
      <c r="A10921" s="23" t="str">
        <f>HYPERLINK("https://www.spark-marketing.ru/Card/Person/4346002", "МИНИСТЕРСТВО ЗДРАВООХРАНЕНИЯ КРАСНОЯРСКОГО КРАЯ")</f>
        <v>МИНИСТЕРСТВО ЗДРАВООХРАНЕНИЯ КРАСНОЯРСКОГО КРАЯ</v>
      </c>
      <c r="B10921" s="24" t="s">
        <v>3857</v>
      </c>
      <c r="C10921" s="25">
        <v>205000000</v>
      </c>
      <c r="D10921" s="22" t="s">
        <v>15347</v>
      </c>
      <c r="E10921" s="22" t="s">
        <v>86</v>
      </c>
      <c r="F10921" s="23" t="str">
        <f>HYPERLINK("https://www.spark-marketing.ru/Card/Lot/72309463", "№ ЭА 44850-19 ""Услуги в области медицины прочие, не включенные в другие группировки (Оказание услуг уполномоченного медицинского склада (УМС) (склада Исполнителя) (услуг по обеспечению граждан, включенных в Федеральный регистр лиц, имеющих право на ...")</f>
        <v>№ ЭА 44850-19 "Услуги в области медицины прочие, не включенные в другие группировки (Оказание услуг уполномоченного медицинского склада (УМС) (склада Исполнителя) (услуг по обеспечению граждан, включенных в Федеральный регистр лиц, имеющих право на ...</v>
      </c>
      <c r="G10921" s="22" t="s">
        <v>281</v>
      </c>
      <c r="H10921" s="22" t="s">
        <v>1036</v>
      </c>
      <c r="I10921" s="26">
        <v>43670.708900463003</v>
      </c>
      <c r="J10921" s="23" t="str">
        <f>HYPERLINK("https://www.spark-marketing.ru/Card/Person/24386", "АО ""ГУБЕРНСКИЕ АПТЕКИ""")</f>
        <v>АО "ГУБЕРНСКИЕ АПТЕКИ"</v>
      </c>
      <c r="K10921" s="24" t="s">
        <v>3859</v>
      </c>
      <c r="L10921" s="22" t="s">
        <v>10</v>
      </c>
      <c r="M10921" s="28" t="s">
        <v>51</v>
      </c>
      <c r="N10921" s="28" t="s">
        <v>51</v>
      </c>
    </row>
    <row r="10922" spans="1:14" x14ac:dyDescent="0.15">
      <c r="A10922" s="23" t="str">
        <f>HYPERLINK("https://www.spark-marketing.ru/Card/Person/27035", "ГБУ МО ""СШОР ""ИСТИНА""")</f>
        <v>ГБУ МО "СШОР "ИСТИНА"</v>
      </c>
      <c r="B10922" s="24" t="s">
        <v>6108</v>
      </c>
      <c r="C10922" s="25">
        <v>288000</v>
      </c>
      <c r="D10922" s="22" t="s">
        <v>15348</v>
      </c>
      <c r="E10922" s="22" t="s">
        <v>48</v>
      </c>
      <c r="F10922" s="23" t="str">
        <f>HYPERLINK("https://www.spark-marketing.ru/Card/Lot/72315700", "Оказание услуг по организации питания на тренировочном сборе (16-27.08.2019)")</f>
        <v>Оказание услуг по организации питания на тренировочном сборе (16-27.08.2019)</v>
      </c>
      <c r="G10922" s="22" t="s">
        <v>49</v>
      </c>
      <c r="H10922" s="22" t="s">
        <v>4820</v>
      </c>
      <c r="I10922" s="26">
        <v>43670.732418981497</v>
      </c>
      <c r="J10922" s="28" t="s">
        <v>51</v>
      </c>
      <c r="K10922" s="28" t="s">
        <v>51</v>
      </c>
      <c r="L10922" s="28" t="s">
        <v>51</v>
      </c>
      <c r="M10922" s="28" t="s">
        <v>51</v>
      </c>
      <c r="N10922" s="28" t="s">
        <v>51</v>
      </c>
    </row>
    <row r="10923" spans="1:14" x14ac:dyDescent="0.15">
      <c r="A10923" s="23" t="str">
        <f>HYPERLINK("https://www.spark-marketing.ru/Card/Person/816933", "ОТДЕЛ МВД РОССИИ ПО ЛЕНИНОГОРСКОМУ РАЙОНУ")</f>
        <v>ОТДЕЛ МВД РОССИИ ПО ЛЕНИНОГОРСКОМУ РАЙОНУ</v>
      </c>
      <c r="B10923" s="24" t="s">
        <v>15318</v>
      </c>
      <c r="C10923" s="25">
        <v>1200000</v>
      </c>
      <c r="D10923" s="22" t="s">
        <v>15349</v>
      </c>
      <c r="E10923" s="22" t="s">
        <v>48</v>
      </c>
      <c r="F10923" s="23" t="str">
        <f>HYPERLINK("https://www.spark-marketing.ru/Card/Lot/72316601", "Питание лиц содержащихся в ИВС и СП")</f>
        <v>Питание лиц содержащихся в ИВС и СП</v>
      </c>
      <c r="G10923" s="22" t="s">
        <v>217</v>
      </c>
      <c r="H10923" s="22" t="s">
        <v>217</v>
      </c>
      <c r="I10923" s="26">
        <v>43670.741296296299</v>
      </c>
      <c r="J10923" s="28" t="s">
        <v>51</v>
      </c>
      <c r="K10923" s="28" t="s">
        <v>51</v>
      </c>
      <c r="L10923" s="28" t="s">
        <v>51</v>
      </c>
      <c r="M10923" s="28" t="s">
        <v>51</v>
      </c>
      <c r="N10923" s="28" t="s">
        <v>51</v>
      </c>
    </row>
    <row r="10924" spans="1:14" ht="12.75" hidden="1" outlineLevel="1" x14ac:dyDescent="0.2">
      <c r="A10924" s="23" t="str">
        <f>HYPERLINK("https://www.spark-marketing.ru/Card/Person/816933", "ОТДЕЛ МВД РОССИИ ПО ЛЕНИНОГОРСКОМУ РАЙОНУ")</f>
        <v>ОТДЕЛ МВД РОССИИ ПО ЛЕНИНОГОРСКОМУ РАЙОНУ</v>
      </c>
      <c r="B10924" s="24" t="s">
        <v>15318</v>
      </c>
      <c r="C10924" s="25">
        <v>1200000</v>
      </c>
      <c r="D10924" s="22" t="s">
        <v>15349</v>
      </c>
      <c r="E10924" s="22" t="s">
        <v>48</v>
      </c>
      <c r="F10924" s="23" t="str">
        <f>HYPERLINK("https://www.spark-marketing.ru/Card/Lot/72316601", "Питание лиц содержащихся в ИВС и СП")</f>
        <v>Питание лиц содержащихся в ИВС и СП</v>
      </c>
      <c r="G10924" s="22" t="s">
        <v>217</v>
      </c>
      <c r="H10924" s="22" t="s">
        <v>217</v>
      </c>
      <c r="I10924" s="26">
        <v>43670.741296296299</v>
      </c>
      <c r="J10924" s="23" t="str">
        <f>HYPERLINK("https://www.spark-marketing.ru/Card/Person/6084653", "ООО ""ВИТАРА""")</f>
        <v>ООО "ВИТАРА"</v>
      </c>
      <c r="K10924" s="24" t="s">
        <v>2437</v>
      </c>
      <c r="L10924" s="22" t="s">
        <v>10</v>
      </c>
      <c r="M10924" s="25">
        <v>1200000</v>
      </c>
      <c r="N10924" s="27">
        <v>0</v>
      </c>
    </row>
    <row r="10925" spans="1:14" hidden="1" outlineLevel="1" x14ac:dyDescent="0.2">
      <c r="A10925" s="23" t="str">
        <f>HYPERLINK("https://www.spark-marketing.ru/Card/Person/816933", "ОТДЕЛ МВД РОССИИ ПО ЛЕНИНОГОРСКОМУ РАЙОНУ")</f>
        <v>ОТДЕЛ МВД РОССИИ ПО ЛЕНИНОГОРСКОМУ РАЙОНУ</v>
      </c>
      <c r="B10925" s="24" t="s">
        <v>15318</v>
      </c>
      <c r="C10925" s="25">
        <v>1200000</v>
      </c>
      <c r="D10925" s="22" t="s">
        <v>15349</v>
      </c>
      <c r="E10925" s="22" t="s">
        <v>48</v>
      </c>
      <c r="F10925" s="23" t="str">
        <f>HYPERLINK("https://www.spark-marketing.ru/Card/Lot/72316601", "Питание лиц содержащихся в ИВС и СП")</f>
        <v>Питание лиц содержащихся в ИВС и СП</v>
      </c>
      <c r="G10925" s="22" t="s">
        <v>217</v>
      </c>
      <c r="H10925" s="22" t="s">
        <v>217</v>
      </c>
      <c r="I10925" s="26">
        <v>43670.741296296299</v>
      </c>
      <c r="J10925" s="23" t="str">
        <f>HYPERLINK("https://www.spark-marketing.ru/Card/Person/6075772", "ООО ""ЭТАЛОН+""")</f>
        <v>ООО "ЭТАЛОН+"</v>
      </c>
      <c r="K10925" s="24" t="s">
        <v>5846</v>
      </c>
      <c r="L10925" s="28" t="s">
        <v>51</v>
      </c>
      <c r="M10925" s="25">
        <v>1200000</v>
      </c>
      <c r="N10925" s="27">
        <v>0</v>
      </c>
    </row>
    <row r="10926" spans="1:14" x14ac:dyDescent="0.15">
      <c r="A10926" s="23" t="str">
        <f>HYPERLINK("https://www.spark-marketing.ru/Card/Person/998283", "МБОУ ""СОШ №2""")</f>
        <v>МБОУ "СОШ №2"</v>
      </c>
      <c r="B10926" s="24" t="s">
        <v>15350</v>
      </c>
      <c r="C10926" s="25">
        <v>41925</v>
      </c>
      <c r="D10926" s="22" t="s">
        <v>15351</v>
      </c>
      <c r="E10926" s="22" t="s">
        <v>15352</v>
      </c>
      <c r="F10926" s="23" t="str">
        <f>HYPERLINK("https://www.spark-marketing.ru/Card/Lot/72316349", "поставка и монтаж запасных частей для видеонаблюдения")</f>
        <v>поставка и монтаж запасных частей для видеонаблюдения</v>
      </c>
      <c r="G10926" s="22" t="s">
        <v>696</v>
      </c>
      <c r="H10926" s="22" t="s">
        <v>4750</v>
      </c>
      <c r="I10926" s="26">
        <v>43670.713888888902</v>
      </c>
      <c r="J10926" s="28" t="s">
        <v>51</v>
      </c>
      <c r="K10926" s="28" t="s">
        <v>51</v>
      </c>
      <c r="L10926" s="28" t="s">
        <v>51</v>
      </c>
      <c r="M10926" s="28" t="s">
        <v>51</v>
      </c>
      <c r="N10926" s="28" t="s">
        <v>51</v>
      </c>
    </row>
    <row r="10927" spans="1:14" x14ac:dyDescent="0.15">
      <c r="A10927" s="23" t="str">
        <f>HYPERLINK("https://www.spark-marketing.ru/Card/Person/1133378", "АУ ФКИС ВО ""ЦСП""")</f>
        <v>АУ ФКИС ВО "ЦСП"</v>
      </c>
      <c r="B10927" s="24" t="s">
        <v>15353</v>
      </c>
      <c r="C10927" s="25">
        <v>257600</v>
      </c>
      <c r="D10927" s="22" t="s">
        <v>15354</v>
      </c>
      <c r="E10927" s="22" t="s">
        <v>2682</v>
      </c>
      <c r="F10927" s="23" t="str">
        <f>HYPERLINK("https://www.spark-marketing.ru/Card/Lot/72324618", "Услуги по питанию участников спартакиады учащихся России 2019 (финальные спортивные соревнования по каратэ)")</f>
        <v>Услуги по питанию участников спартакиады учащихся России 2019 (финальные спортивные соревнования по каратэ)</v>
      </c>
      <c r="G10927" s="22" t="s">
        <v>503</v>
      </c>
      <c r="H10927" s="22" t="s">
        <v>503</v>
      </c>
      <c r="I10927" s="26">
        <v>43670.679398148102</v>
      </c>
      <c r="J10927" s="28" t="s">
        <v>51</v>
      </c>
      <c r="K10927" s="28" t="s">
        <v>51</v>
      </c>
      <c r="L10927" s="28" t="s">
        <v>51</v>
      </c>
      <c r="M10927" s="28" t="s">
        <v>51</v>
      </c>
      <c r="N10927" s="28" t="s">
        <v>51</v>
      </c>
    </row>
    <row r="10928" spans="1:14" collapsed="1" x14ac:dyDescent="0.15">
      <c r="A10928" s="23" t="str">
        <f t="shared" ref="A10928:A10933" si="289">HYPERLINK("https://www.spark-marketing.ru/Card/Person/1759012", "ГУ МВД РОССИИ ПО Г. МОСКВЕ")</f>
        <v>ГУ МВД РОССИИ ПО Г. МОСКВЕ</v>
      </c>
      <c r="B10928" s="24" t="s">
        <v>13730</v>
      </c>
      <c r="C10928" s="25">
        <v>13585110.630000001</v>
      </c>
      <c r="D10928" s="22" t="s">
        <v>15355</v>
      </c>
      <c r="E10928" s="22" t="s">
        <v>48</v>
      </c>
      <c r="F10928" s="23" t="str">
        <f t="shared" ref="F10928:F10933" si="290">HYPERLINK("https://www.spark-marketing.ru/Card/Lot/72349573", "Оказание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Москве")</f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28" s="22" t="s">
        <v>56</v>
      </c>
      <c r="H10928" s="22" t="s">
        <v>56</v>
      </c>
      <c r="I10928" s="26">
        <v>43670.6727777778</v>
      </c>
      <c r="J10928" s="28" t="s">
        <v>51</v>
      </c>
      <c r="K10928" s="28" t="s">
        <v>51</v>
      </c>
      <c r="L10928" s="28" t="s">
        <v>51</v>
      </c>
      <c r="M10928" s="28" t="s">
        <v>51</v>
      </c>
      <c r="N10928" s="28" t="s">
        <v>51</v>
      </c>
    </row>
    <row r="10929" spans="1:14" hidden="1" outlineLevel="1" x14ac:dyDescent="0.2">
      <c r="A10929" s="23" t="str">
        <f t="shared" si="289"/>
        <v>ГУ МВД РОССИИ ПО Г. МОСКВЕ</v>
      </c>
      <c r="B10929" s="24" t="s">
        <v>13730</v>
      </c>
      <c r="C10929" s="25">
        <v>13585110.630000001</v>
      </c>
      <c r="D10929" s="22" t="s">
        <v>15355</v>
      </c>
      <c r="E10929" s="22" t="s">
        <v>48</v>
      </c>
      <c r="F10929" s="23" t="str">
        <f t="shared" si="290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29" s="22" t="s">
        <v>56</v>
      </c>
      <c r="H10929" s="22" t="s">
        <v>56</v>
      </c>
      <c r="I10929" s="26">
        <v>43670.6727777778</v>
      </c>
      <c r="J10929" s="23" t="str">
        <f>HYPERLINK("https://www.spark-marketing.ru/Card/Person/4355070", "ООО ""КОМБИНАТ ПИТАНИЯ ""ПРОДТОРГСЕРВИС""")</f>
        <v>ООО "КОМБИНАТ ПИТАНИЯ "ПРОДТОРГСЕРВИС"</v>
      </c>
      <c r="K10929" s="24" t="s">
        <v>15356</v>
      </c>
      <c r="L10929" s="28" t="s">
        <v>51</v>
      </c>
      <c r="M10929" s="25">
        <v>694.5</v>
      </c>
      <c r="N10929" s="27">
        <v>0.99994887785466635</v>
      </c>
    </row>
    <row r="10930" spans="1:14" hidden="1" outlineLevel="1" x14ac:dyDescent="0.2">
      <c r="A10930" s="23" t="str">
        <f t="shared" si="289"/>
        <v>ГУ МВД РОССИИ ПО Г. МОСКВЕ</v>
      </c>
      <c r="B10930" s="24" t="s">
        <v>13730</v>
      </c>
      <c r="C10930" s="25">
        <v>13585110.630000001</v>
      </c>
      <c r="D10930" s="22" t="s">
        <v>15355</v>
      </c>
      <c r="E10930" s="22" t="s">
        <v>48</v>
      </c>
      <c r="F10930" s="23" t="str">
        <f t="shared" si="290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30" s="22" t="s">
        <v>56</v>
      </c>
      <c r="H10930" s="22" t="s">
        <v>56</v>
      </c>
      <c r="I10930" s="26">
        <v>43670.6727777778</v>
      </c>
      <c r="J10930" s="23" t="str">
        <f>HYPERLINK("https://www.spark-marketing.ru/Card/Person/4684100", "ООО ""ТЕХНОЛОГИИ ВКУСА""")</f>
        <v>ООО "ТЕХНОЛОГИИ ВКУСА"</v>
      </c>
      <c r="K10930" s="24" t="s">
        <v>9609</v>
      </c>
      <c r="L10930" s="28" t="s">
        <v>51</v>
      </c>
      <c r="M10930" s="25">
        <v>881.1</v>
      </c>
      <c r="N10930" s="27">
        <v>0.99993514222857671</v>
      </c>
    </row>
    <row r="10931" spans="1:14" ht="12.75" hidden="1" outlineLevel="1" x14ac:dyDescent="0.2">
      <c r="A10931" s="23" t="str">
        <f t="shared" si="289"/>
        <v>ГУ МВД РОССИИ ПО Г. МОСКВЕ</v>
      </c>
      <c r="B10931" s="24" t="s">
        <v>13730</v>
      </c>
      <c r="C10931" s="25">
        <v>13585110.630000001</v>
      </c>
      <c r="D10931" s="22" t="s">
        <v>15355</v>
      </c>
      <c r="E10931" s="22" t="s">
        <v>48</v>
      </c>
      <c r="F10931" s="23" t="str">
        <f t="shared" si="290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31" s="22" t="s">
        <v>56</v>
      </c>
      <c r="H10931" s="22" t="s">
        <v>56</v>
      </c>
      <c r="I10931" s="26">
        <v>43670.6727777778</v>
      </c>
      <c r="J10931" s="23" t="str">
        <f>HYPERLINK("https://www.spark-marketing.ru/Card/Person/6617658", "ООО ""АЛЬБА""")</f>
        <v>ООО "АЛЬБА"</v>
      </c>
      <c r="K10931" s="24" t="s">
        <v>13028</v>
      </c>
      <c r="L10931" s="22" t="s">
        <v>10</v>
      </c>
      <c r="M10931" s="25">
        <v>687.39</v>
      </c>
      <c r="N10931" s="27">
        <v>0.99994940122176978</v>
      </c>
    </row>
    <row r="10932" spans="1:14" hidden="1" outlineLevel="1" x14ac:dyDescent="0.2">
      <c r="A10932" s="23" t="str">
        <f t="shared" si="289"/>
        <v>ГУ МВД РОССИИ ПО Г. МОСКВЕ</v>
      </c>
      <c r="B10932" s="24" t="s">
        <v>13730</v>
      </c>
      <c r="C10932" s="25">
        <v>13585110.630000001</v>
      </c>
      <c r="D10932" s="22" t="s">
        <v>15355</v>
      </c>
      <c r="E10932" s="22" t="s">
        <v>48</v>
      </c>
      <c r="F10932" s="23" t="str">
        <f t="shared" si="290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32" s="22" t="s">
        <v>56</v>
      </c>
      <c r="H10932" s="22" t="s">
        <v>56</v>
      </c>
      <c r="I10932" s="26">
        <v>43670.6727777778</v>
      </c>
      <c r="J10932" s="23" t="str">
        <f>HYPERLINK("https://www.spark-marketing.ru/Card/Person/6578901", "ООО ""ДОРОГА""")</f>
        <v>ООО "ДОРОГА"</v>
      </c>
      <c r="K10932" s="24" t="s">
        <v>3102</v>
      </c>
      <c r="L10932" s="28" t="s">
        <v>51</v>
      </c>
      <c r="M10932" s="25">
        <v>888.21</v>
      </c>
      <c r="N10932" s="27">
        <v>0.99993461886147339</v>
      </c>
    </row>
    <row r="10933" spans="1:14" hidden="1" outlineLevel="1" x14ac:dyDescent="0.2">
      <c r="A10933" s="23" t="str">
        <f t="shared" si="289"/>
        <v>ГУ МВД РОССИИ ПО Г. МОСКВЕ</v>
      </c>
      <c r="B10933" s="24" t="s">
        <v>13730</v>
      </c>
      <c r="C10933" s="25">
        <v>13585110.630000001</v>
      </c>
      <c r="D10933" s="22" t="s">
        <v>15355</v>
      </c>
      <c r="E10933" s="22" t="s">
        <v>48</v>
      </c>
      <c r="F10933" s="23" t="str">
        <f t="shared" si="290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33" s="22" t="s">
        <v>56</v>
      </c>
      <c r="H10933" s="22" t="s">
        <v>56</v>
      </c>
      <c r="I10933" s="26">
        <v>43670.6727777778</v>
      </c>
      <c r="J10933" s="23" t="str">
        <f>HYPERLINK("https://www.spark-marketing.ru/Card/Person/138389", "Субботина Юлия Валерьевна")</f>
        <v>Субботина Юлия Валерьевна</v>
      </c>
      <c r="K10933" s="24" t="s">
        <v>13732</v>
      </c>
      <c r="L10933" s="28" t="s">
        <v>51</v>
      </c>
      <c r="M10933" s="25">
        <v>898</v>
      </c>
      <c r="N10933" s="27">
        <v>0.99993389821956868</v>
      </c>
    </row>
    <row r="10934" spans="1:14" x14ac:dyDescent="0.2">
      <c r="A10934" s="23" t="str">
        <f>HYPERLINK("https://www.spark-marketing.ru/Card/Person/68459", "НИЯУ МИФИ")</f>
        <v>НИЯУ МИФИ</v>
      </c>
      <c r="B10934" s="24" t="s">
        <v>8968</v>
      </c>
      <c r="C10934" s="25">
        <v>2943523.7</v>
      </c>
      <c r="D10934" s="22" t="s">
        <v>15357</v>
      </c>
      <c r="E10934" s="22" t="s">
        <v>362</v>
      </c>
      <c r="F10934" s="23" t="str">
        <f>HYPERLINK("https://www.spark-marketing.ru/Card/Lot/72324109", "Оказание услуг по организации горячего питания учащихся Университетского лицея № 1511 Предуниверситария НИЯУ МИФИ")</f>
        <v>Оказание услуг по организации горячего питания учащихся Университетского лицея № 1511 Предуниверситария НИЯУ МИФИ</v>
      </c>
      <c r="G10934" s="22" t="s">
        <v>56</v>
      </c>
      <c r="H10934" s="22" t="s">
        <v>56</v>
      </c>
      <c r="I10934" s="26">
        <v>43670.695057870398</v>
      </c>
      <c r="J10934" s="28" t="s">
        <v>51</v>
      </c>
      <c r="K10934" s="28" t="s">
        <v>51</v>
      </c>
      <c r="L10934" s="22" t="s">
        <v>10</v>
      </c>
      <c r="M10934" s="25">
        <v>2943523.7</v>
      </c>
      <c r="N10934" s="27">
        <v>0</v>
      </c>
    </row>
    <row r="10935" spans="1:14" collapsed="1" x14ac:dyDescent="0.2">
      <c r="A10935" s="23" t="s">
        <v>114</v>
      </c>
      <c r="B10935" s="28" t="s">
        <v>51</v>
      </c>
      <c r="C10935" s="25">
        <v>59297664</v>
      </c>
      <c r="D10935" s="22" t="s">
        <v>15358</v>
      </c>
      <c r="E10935" s="22" t="s">
        <v>48</v>
      </c>
      <c r="F10935" s="23" t="str">
        <f t="shared" ref="F10935:F10942" si="291">HYPERLINK("https://www.spark-marketing.ru/Card/Lot/72310468", "Оказание услуг по организации питания учащихся и воспитанников")</f>
        <v>Оказание услуг по организации питания учащихся и воспитанников</v>
      </c>
      <c r="G10935" s="22" t="s">
        <v>51</v>
      </c>
      <c r="H10935" s="22" t="s">
        <v>51</v>
      </c>
      <c r="I10935" s="26">
        <v>43670.671527777798</v>
      </c>
      <c r="J10935" s="23" t="str">
        <f t="shared" ref="J10935:J10942" si="292">HYPERLINK("https://www.spark-marketing.ru/Card/Person/233465", "НГМУП ""ШКОЛЬНОЕ ПИТАНИЕ""")</f>
        <v>НГМУП "ШКОЛЬНОЕ ПИТАНИЕ"</v>
      </c>
      <c r="K10935" s="24" t="s">
        <v>5280</v>
      </c>
      <c r="L10935" s="28" t="s">
        <v>51</v>
      </c>
      <c r="M10935" s="25">
        <v>433.6</v>
      </c>
      <c r="N10935" s="27">
        <v>0.99999268773893013</v>
      </c>
    </row>
    <row r="10936" spans="1:14" hidden="1" outlineLevel="1" x14ac:dyDescent="0.2">
      <c r="A10936" s="23" t="str">
        <f>HYPERLINK("https://www.spark-marketing.ru/Card/Person/32231", "МБОУ ""СОШ № 10""")</f>
        <v>МБОУ "СОШ № 10"</v>
      </c>
      <c r="B10936" s="24" t="s">
        <v>15359</v>
      </c>
      <c r="C10936" s="25">
        <v>10992032</v>
      </c>
      <c r="D10936" s="22" t="s">
        <v>15358</v>
      </c>
      <c r="E10936" s="22" t="s">
        <v>48</v>
      </c>
      <c r="F10936" s="23" t="str">
        <f t="shared" si="291"/>
        <v>Оказание услуг по организации питания учащихся и воспитанников</v>
      </c>
      <c r="G10936" s="22" t="s">
        <v>97</v>
      </c>
      <c r="H10936" s="22" t="s">
        <v>97</v>
      </c>
      <c r="I10936" s="26">
        <v>43670.671527777798</v>
      </c>
      <c r="J10936" s="23" t="str">
        <f t="shared" si="292"/>
        <v>НГМУП "ШКОЛЬНОЕ ПИТАНИЕ"</v>
      </c>
      <c r="K10936" s="24" t="s">
        <v>5280</v>
      </c>
      <c r="L10936" s="28" t="s">
        <v>51</v>
      </c>
      <c r="M10936" s="28" t="s">
        <v>51</v>
      </c>
      <c r="N10936" s="27">
        <v>0.99999268773893013</v>
      </c>
    </row>
    <row r="10937" spans="1:14" hidden="1" outlineLevel="1" x14ac:dyDescent="0.2">
      <c r="A10937" s="23" t="str">
        <f>HYPERLINK("https://www.spark-marketing.ru/Card/Person/32242", "МБОУ ""СОШ № 7""")</f>
        <v>МБОУ "СОШ № 7"</v>
      </c>
      <c r="B10937" s="24" t="s">
        <v>15360</v>
      </c>
      <c r="C10937" s="25">
        <v>7078112</v>
      </c>
      <c r="D10937" s="22" t="s">
        <v>15358</v>
      </c>
      <c r="E10937" s="22" t="s">
        <v>48</v>
      </c>
      <c r="F10937" s="23" t="str">
        <f t="shared" si="291"/>
        <v>Оказание услуг по организации питания учащихся и воспитанников</v>
      </c>
      <c r="G10937" s="22" t="s">
        <v>97</v>
      </c>
      <c r="H10937" s="22" t="s">
        <v>97</v>
      </c>
      <c r="I10937" s="26">
        <v>43670.671527777798</v>
      </c>
      <c r="J10937" s="23" t="str">
        <f t="shared" si="292"/>
        <v>НГМУП "ШКОЛЬНОЕ ПИТАНИЕ"</v>
      </c>
      <c r="K10937" s="24" t="s">
        <v>5280</v>
      </c>
      <c r="L10937" s="28" t="s">
        <v>51</v>
      </c>
      <c r="M10937" s="28" t="s">
        <v>51</v>
      </c>
      <c r="N10937" s="27">
        <v>0.99999268773893013</v>
      </c>
    </row>
    <row r="10938" spans="1:14" hidden="1" outlineLevel="1" x14ac:dyDescent="0.2">
      <c r="A10938" s="23" t="str">
        <f>HYPERLINK("https://www.spark-marketing.ru/Card/Person/32424", "МБОУ ""НАЧАЛЬНАЯ ШКОЛА № 15""")</f>
        <v>МБОУ "НАЧАЛЬНАЯ ШКОЛА № 15"</v>
      </c>
      <c r="B10938" s="24" t="s">
        <v>15361</v>
      </c>
      <c r="C10938" s="25">
        <v>4671696</v>
      </c>
      <c r="D10938" s="22" t="s">
        <v>15358</v>
      </c>
      <c r="E10938" s="22" t="s">
        <v>48</v>
      </c>
      <c r="F10938" s="23" t="str">
        <f t="shared" si="291"/>
        <v>Оказание услуг по организации питания учащихся и воспитанников</v>
      </c>
      <c r="G10938" s="22" t="s">
        <v>97</v>
      </c>
      <c r="H10938" s="22" t="s">
        <v>97</v>
      </c>
      <c r="I10938" s="26">
        <v>43670.671527777798</v>
      </c>
      <c r="J10938" s="23" t="str">
        <f t="shared" si="292"/>
        <v>НГМУП "ШКОЛЬНОЕ ПИТАНИЕ"</v>
      </c>
      <c r="K10938" s="24" t="s">
        <v>5280</v>
      </c>
      <c r="L10938" s="28" t="s">
        <v>51</v>
      </c>
      <c r="M10938" s="28" t="s">
        <v>51</v>
      </c>
      <c r="N10938" s="27">
        <v>0.99999268773893013</v>
      </c>
    </row>
    <row r="10939" spans="1:14" hidden="1" outlineLevel="1" x14ac:dyDescent="0.2">
      <c r="A10939" s="23" t="str">
        <f>HYPERLINK("https://www.spark-marketing.ru/Card/Person/32741", "МБОУ ""ШКОЛА РАЗВИТИЯ № 24""")</f>
        <v>МБОУ "ШКОЛА РАЗВИТИЯ № 24"</v>
      </c>
      <c r="B10939" s="24" t="s">
        <v>15362</v>
      </c>
      <c r="C10939" s="25">
        <v>6725572</v>
      </c>
      <c r="D10939" s="22" t="s">
        <v>15358</v>
      </c>
      <c r="E10939" s="22" t="s">
        <v>48</v>
      </c>
      <c r="F10939" s="23" t="str">
        <f t="shared" si="291"/>
        <v>Оказание услуг по организации питания учащихся и воспитанников</v>
      </c>
      <c r="G10939" s="22" t="s">
        <v>97</v>
      </c>
      <c r="H10939" s="22" t="s">
        <v>97</v>
      </c>
      <c r="I10939" s="26">
        <v>43670.671527777798</v>
      </c>
      <c r="J10939" s="23" t="str">
        <f t="shared" si="292"/>
        <v>НГМУП "ШКОЛЬНОЕ ПИТАНИЕ"</v>
      </c>
      <c r="K10939" s="24" t="s">
        <v>5280</v>
      </c>
      <c r="L10939" s="28" t="s">
        <v>51</v>
      </c>
      <c r="M10939" s="28" t="s">
        <v>51</v>
      </c>
      <c r="N10939" s="27">
        <v>0.99999268773893013</v>
      </c>
    </row>
    <row r="10940" spans="1:14" hidden="1" outlineLevel="1" x14ac:dyDescent="0.2">
      <c r="A10940" s="23" t="str">
        <f>HYPERLINK("https://www.spark-marketing.ru/Card/Person/88381", "МБОУ ""СОШ № 5""")</f>
        <v>МБОУ "СОШ № 5"</v>
      </c>
      <c r="B10940" s="24" t="s">
        <v>10077</v>
      </c>
      <c r="C10940" s="25">
        <v>11206240</v>
      </c>
      <c r="D10940" s="22" t="s">
        <v>15358</v>
      </c>
      <c r="E10940" s="22" t="s">
        <v>48</v>
      </c>
      <c r="F10940" s="23" t="str">
        <f t="shared" si="291"/>
        <v>Оказание услуг по организации питания учащихся и воспитанников</v>
      </c>
      <c r="G10940" s="22" t="s">
        <v>97</v>
      </c>
      <c r="H10940" s="22" t="s">
        <v>97</v>
      </c>
      <c r="I10940" s="26">
        <v>43670.671527777798</v>
      </c>
      <c r="J10940" s="23" t="str">
        <f t="shared" si="292"/>
        <v>НГМУП "ШКОЛЬНОЕ ПИТАНИЕ"</v>
      </c>
      <c r="K10940" s="24" t="s">
        <v>5280</v>
      </c>
      <c r="L10940" s="28" t="s">
        <v>51</v>
      </c>
      <c r="M10940" s="28" t="s">
        <v>51</v>
      </c>
      <c r="N10940" s="27">
        <v>0.99999268773893013</v>
      </c>
    </row>
    <row r="10941" spans="1:14" hidden="1" outlineLevel="1" x14ac:dyDescent="0.2">
      <c r="A10941" s="23" t="str">
        <f>HYPERLINK("https://www.spark-marketing.ru/Card/Person/92116", "МБОУ ""СОШ № 6""")</f>
        <v>МБОУ "СОШ № 6"</v>
      </c>
      <c r="B10941" s="24" t="s">
        <v>15363</v>
      </c>
      <c r="C10941" s="25">
        <v>7871696</v>
      </c>
      <c r="D10941" s="22" t="s">
        <v>15358</v>
      </c>
      <c r="E10941" s="22" t="s">
        <v>48</v>
      </c>
      <c r="F10941" s="23" t="str">
        <f t="shared" si="291"/>
        <v>Оказание услуг по организации питания учащихся и воспитанников</v>
      </c>
      <c r="G10941" s="22" t="s">
        <v>97</v>
      </c>
      <c r="H10941" s="22" t="s">
        <v>97</v>
      </c>
      <c r="I10941" s="26">
        <v>43670.671527777798</v>
      </c>
      <c r="J10941" s="23" t="str">
        <f t="shared" si="292"/>
        <v>НГМУП "ШКОЛЬНОЕ ПИТАНИЕ"</v>
      </c>
      <c r="K10941" s="24" t="s">
        <v>5280</v>
      </c>
      <c r="L10941" s="28" t="s">
        <v>51</v>
      </c>
      <c r="M10941" s="28" t="s">
        <v>51</v>
      </c>
      <c r="N10941" s="27">
        <v>0.99999268773893013</v>
      </c>
    </row>
    <row r="10942" spans="1:14" hidden="1" outlineLevel="1" x14ac:dyDescent="0.2">
      <c r="A10942" s="23" t="str">
        <f>HYPERLINK("https://www.spark-marketing.ru/Card/Person/233478", "МБОУ ""СОШ № 3 ИМ. А.А. ИВАСЕНКО""")</f>
        <v>МБОУ "СОШ № 3 ИМ. А.А. ИВАСЕНКО"</v>
      </c>
      <c r="B10942" s="24" t="s">
        <v>15364</v>
      </c>
      <c r="C10942" s="25">
        <v>10752316</v>
      </c>
      <c r="D10942" s="22" t="s">
        <v>15358</v>
      </c>
      <c r="E10942" s="22" t="s">
        <v>48</v>
      </c>
      <c r="F10942" s="23" t="str">
        <f t="shared" si="291"/>
        <v>Оказание услуг по организации питания учащихся и воспитанников</v>
      </c>
      <c r="G10942" s="22" t="s">
        <v>97</v>
      </c>
      <c r="H10942" s="22" t="s">
        <v>97</v>
      </c>
      <c r="I10942" s="26">
        <v>43670.671527777798</v>
      </c>
      <c r="J10942" s="23" t="str">
        <f t="shared" si="292"/>
        <v>НГМУП "ШКОЛЬНОЕ ПИТАНИЕ"</v>
      </c>
      <c r="K10942" s="24" t="s">
        <v>5280</v>
      </c>
      <c r="L10942" s="28" t="s">
        <v>51</v>
      </c>
      <c r="M10942" s="28" t="s">
        <v>51</v>
      </c>
      <c r="N10942" s="27">
        <v>0.99999268773893013</v>
      </c>
    </row>
    <row r="10943" spans="1:14" x14ac:dyDescent="0.15">
      <c r="A10943" s="23" t="str">
        <f>HYPERLINK("https://www.spark-marketing.ru/Card/Person/1009940", "ОМВД РОССИИ ПО КОЛЬЧУГИНСКОМУ РАЙОНУ")</f>
        <v>ОМВД РОССИИ ПО КОЛЬЧУГИНСКОМУ РАЙОНУ</v>
      </c>
      <c r="B10943" s="24" t="s">
        <v>6553</v>
      </c>
      <c r="C10943" s="25">
        <v>1158000</v>
      </c>
      <c r="D10943" s="22" t="s">
        <v>15365</v>
      </c>
      <c r="E10943" s="22" t="s">
        <v>48</v>
      </c>
      <c r="F10943" s="23" t="str">
        <f>HYPERLINK("https://www.spark-marketing.ru/Card/Lot/72330611", "Питание ИВС")</f>
        <v>Питание ИВС</v>
      </c>
      <c r="G10943" s="22" t="s">
        <v>663</v>
      </c>
      <c r="H10943" s="22" t="s">
        <v>663</v>
      </c>
      <c r="I10943" s="26">
        <v>43670.704502314802</v>
      </c>
      <c r="J10943" s="23" t="str">
        <f>HYPERLINK("https://www.spark-marketing.ru/Card/Person/4401310", "Макарова Елена Александровна")</f>
        <v>Макарова Елена Александровна</v>
      </c>
      <c r="K10943" s="24" t="s">
        <v>6555</v>
      </c>
      <c r="L10943" s="22" t="s">
        <v>10</v>
      </c>
      <c r="M10943" s="28" t="s">
        <v>51</v>
      </c>
      <c r="N10943" s="28" t="s">
        <v>51</v>
      </c>
    </row>
    <row r="10944" spans="1:14" x14ac:dyDescent="0.15">
      <c r="A10944" s="23" t="str">
        <f>HYPERLINK("https://www.spark-marketing.ru/Card/Person/1041159", "ГБУ ВО ""ЦМП""")</f>
        <v>ГБУ ВО "ЦМП"</v>
      </c>
      <c r="B10944" s="24" t="s">
        <v>15366</v>
      </c>
      <c r="C10944" s="25">
        <v>841500</v>
      </c>
      <c r="D10944" s="22" t="s">
        <v>15367</v>
      </c>
      <c r="E10944" s="22" t="s">
        <v>1492</v>
      </c>
      <c r="F10944" s="23" t="str">
        <f>HYPERLINK("https://www.spark-marketing.ru/Card/Lot/72314027", "Оказание услуг по питанию и проживанию участников и организаторов регионального молодежного образовательного форума ""Волга""")</f>
        <v>Оказание услуг по питанию и проживанию участников и организаторов регионального молодежного образовательного форума "Волга"</v>
      </c>
      <c r="G10944" s="22" t="s">
        <v>158</v>
      </c>
      <c r="H10944" s="22" t="s">
        <v>171</v>
      </c>
      <c r="I10944" s="26">
        <v>43670.6879976852</v>
      </c>
      <c r="J10944" s="23" t="str">
        <f>HYPERLINK("https://www.spark-marketing.ru/Card/Person/508517", "ООО ""ЦДЗО ""ОРЛЕНОК НА АХТУБЕ""")</f>
        <v>ООО "ЦДЗО "ОРЛЕНОК НА АХТУБЕ"</v>
      </c>
      <c r="K10944" s="24" t="s">
        <v>12927</v>
      </c>
      <c r="L10944" s="22" t="s">
        <v>10</v>
      </c>
      <c r="M10944" s="28" t="s">
        <v>51</v>
      </c>
      <c r="N10944" s="28" t="s">
        <v>51</v>
      </c>
    </row>
    <row r="10945" spans="1:14" x14ac:dyDescent="0.15">
      <c r="A10945" s="23" t="str">
        <f>HYPERLINK("https://www.spark-marketing.ru/Card/Person/4348359", "АО ""СВЯЗЬТРАНСНЕФТЬ""")</f>
        <v>АО "СВЯЗЬТРАНСНЕФТЬ"</v>
      </c>
      <c r="B10945" s="24" t="s">
        <v>11200</v>
      </c>
      <c r="C10945" s="25">
        <v>3794067.02</v>
      </c>
      <c r="D10945" s="22" t="s">
        <v>15368</v>
      </c>
      <c r="E10945" s="22" t="s">
        <v>1403</v>
      </c>
      <c r="F10945" s="23" t="str">
        <f>HYPERLINK("https://www.spark-marketing.ru/Card/Lot/72322356", "173-29/ОЭЗ-07.2019 Оказание услуг по техническому обслуживанию и ремонту источников бесперебойного питания зданий АУП АО ""Связьтранснефть"" по адресу: ул. Наметкина, д. 12, ул. Люблинская, д. 6")</f>
        <v>173-29/ОЭЗ-07.2019 Оказание услуг по техническому обслуживанию и ремонту источников бесперебойного питания зданий АУП АО "Связьтранснефть" по адресу: ул. Наметкина, д. 12, ул. Люблинская, д. 6</v>
      </c>
      <c r="G10945" s="22" t="s">
        <v>56</v>
      </c>
      <c r="H10945" s="22" t="s">
        <v>56</v>
      </c>
      <c r="I10945" s="26">
        <v>43670.669317129599</v>
      </c>
      <c r="J10945" s="28" t="s">
        <v>51</v>
      </c>
      <c r="K10945" s="28" t="s">
        <v>51</v>
      </c>
      <c r="L10945" s="28" t="s">
        <v>51</v>
      </c>
      <c r="M10945" s="28" t="s">
        <v>51</v>
      </c>
      <c r="N10945" s="28" t="s">
        <v>51</v>
      </c>
    </row>
    <row r="10946" spans="1:14" x14ac:dyDescent="0.2">
      <c r="A10946" s="23" t="str">
        <f>HYPERLINK("https://www.spark-marketing.ru/Card/Person/639589", "АО ""НПП ""ЭЛТОМ""")</f>
        <v>АО "НПП "ЭЛТОМ"</v>
      </c>
      <c r="B10946" s="24" t="s">
        <v>15369</v>
      </c>
      <c r="C10946" s="25">
        <v>13791756.4</v>
      </c>
      <c r="D10946" s="22" t="s">
        <v>15370</v>
      </c>
      <c r="E10946" s="22" t="s">
        <v>15371</v>
      </c>
      <c r="F10946" s="23" t="str">
        <f>HYPERLINK("https://www.spark-marketing.ru/Card/Lot/72322357", "1438-2019-00002. Оказание услуг по сборке электромагнитных элементов для вторичных источников питания.")</f>
        <v>1438-2019-00002. Оказание услуг по сборке электромагнитных элементов для вторичных источников питания.</v>
      </c>
      <c r="G10946" s="22" t="s">
        <v>49</v>
      </c>
      <c r="H10946" s="22" t="s">
        <v>7346</v>
      </c>
      <c r="I10946" s="26">
        <v>43670.669374999998</v>
      </c>
      <c r="J10946" s="28" t="s">
        <v>51</v>
      </c>
      <c r="K10946" s="28" t="s">
        <v>51</v>
      </c>
      <c r="L10946" s="22" t="s">
        <v>10</v>
      </c>
      <c r="M10946" s="25">
        <v>12058301</v>
      </c>
      <c r="N10946" s="27">
        <v>0.12568779129538571</v>
      </c>
    </row>
    <row r="10947" spans="1:14" collapsed="1" x14ac:dyDescent="0.15">
      <c r="A10947" s="23" t="s">
        <v>114</v>
      </c>
      <c r="B10947" s="28" t="s">
        <v>51</v>
      </c>
      <c r="C10947" s="25">
        <v>32098013.469999999</v>
      </c>
      <c r="D10947" s="22" t="s">
        <v>15372</v>
      </c>
      <c r="E10947" s="22" t="s">
        <v>48</v>
      </c>
      <c r="F10947" s="23" t="str">
        <f t="shared" ref="F10947:F10954" si="293">HYPERLINK("https://www.spark-marketing.ru/Card/Lot/72314895", "Оказание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торги)")</f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47" s="22" t="s">
        <v>51</v>
      </c>
      <c r="H10947" s="22" t="s">
        <v>51</v>
      </c>
      <c r="I10947" s="26">
        <v>43670.658333333296</v>
      </c>
      <c r="J10947" s="28" t="s">
        <v>51</v>
      </c>
      <c r="K10947" s="28" t="s">
        <v>51</v>
      </c>
      <c r="L10947" s="28" t="s">
        <v>51</v>
      </c>
      <c r="M10947" s="28" t="s">
        <v>51</v>
      </c>
      <c r="N10947" s="28" t="s">
        <v>51</v>
      </c>
    </row>
    <row r="10948" spans="1:14" hidden="1" outlineLevel="1" x14ac:dyDescent="0.15">
      <c r="A10948" s="23" t="str">
        <f>HYPERLINK("https://www.spark-marketing.ru/Card/Person/56695", "ГБОУ ШКОЛА № 425 КРОНШТАДТСКОГО РАЙОНА САНКТ-ПЕТЕРБУРГА")</f>
        <v>ГБОУ ШКОЛА № 425 КРОНШТАДТСКОГО РАЙОНА САНКТ-ПЕТЕРБУРГА</v>
      </c>
      <c r="B10948" s="24" t="s">
        <v>15373</v>
      </c>
      <c r="C10948" s="25">
        <v>17935188.960000001</v>
      </c>
      <c r="D10948" s="22" t="s">
        <v>15372</v>
      </c>
      <c r="E10948" s="22" t="s">
        <v>48</v>
      </c>
      <c r="F10948" s="23" t="str">
        <f t="shared" si="293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48" s="22" t="s">
        <v>117</v>
      </c>
      <c r="H10948" s="22" t="s">
        <v>117</v>
      </c>
      <c r="I10948" s="26">
        <v>43670.658333333296</v>
      </c>
      <c r="J10948" s="28" t="s">
        <v>51</v>
      </c>
      <c r="K10948" s="28" t="s">
        <v>51</v>
      </c>
      <c r="L10948" s="28" t="s">
        <v>51</v>
      </c>
      <c r="M10948" s="28" t="s">
        <v>51</v>
      </c>
      <c r="N10948" s="28" t="s">
        <v>51</v>
      </c>
    </row>
    <row r="10949" spans="1:14" hidden="1" outlineLevel="1" x14ac:dyDescent="0.15">
      <c r="A10949" s="23" t="str">
        <f>HYPERLINK("https://www.spark-marketing.ru/Card/Person/114000", "ГБОУ ШКОЛА № 423 КРОНШТАДТСКОГО РАЙОНА САНКТ-ПЕТЕРБУРГА")</f>
        <v>ГБОУ ШКОЛА № 423 КРОНШТАДТСКОГО РАЙОНА САНКТ-ПЕТЕРБУРГА</v>
      </c>
      <c r="B10949" s="24" t="s">
        <v>15374</v>
      </c>
      <c r="C10949" s="25">
        <v>7677566.8300000001</v>
      </c>
      <c r="D10949" s="22" t="s">
        <v>15372</v>
      </c>
      <c r="E10949" s="22" t="s">
        <v>48</v>
      </c>
      <c r="F10949" s="23" t="str">
        <f t="shared" si="293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49" s="22" t="s">
        <v>117</v>
      </c>
      <c r="H10949" s="22" t="s">
        <v>117</v>
      </c>
      <c r="I10949" s="26">
        <v>43670.658333333296</v>
      </c>
      <c r="J10949" s="28" t="s">
        <v>51</v>
      </c>
      <c r="K10949" s="28" t="s">
        <v>51</v>
      </c>
      <c r="L10949" s="28" t="s">
        <v>51</v>
      </c>
      <c r="M10949" s="28" t="s">
        <v>51</v>
      </c>
      <c r="N10949" s="28" t="s">
        <v>51</v>
      </c>
    </row>
    <row r="10950" spans="1:14" hidden="1" outlineLevel="1" x14ac:dyDescent="0.15">
      <c r="A10950" s="23" t="str">
        <f>HYPERLINK("https://www.spark-marketing.ru/Card/Person/119143", "ГБОУ ШКОЛА № 676 КРОНШТАДТСКОГО РАЙОНА САНКТ-ПЕТЕРБУРГА")</f>
        <v>ГБОУ ШКОЛА № 676 КРОНШТАДТСКОГО РАЙОНА САНКТ-ПЕТЕРБУРГА</v>
      </c>
      <c r="B10950" s="24" t="s">
        <v>15375</v>
      </c>
      <c r="C10950" s="25">
        <v>6485257.6799999997</v>
      </c>
      <c r="D10950" s="22" t="s">
        <v>15372</v>
      </c>
      <c r="E10950" s="22" t="s">
        <v>48</v>
      </c>
      <c r="F10950" s="23" t="str">
        <f t="shared" si="293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50" s="22" t="s">
        <v>117</v>
      </c>
      <c r="H10950" s="22" t="s">
        <v>117</v>
      </c>
      <c r="I10950" s="26">
        <v>43670.658333333296</v>
      </c>
      <c r="J10950" s="28" t="s">
        <v>51</v>
      </c>
      <c r="K10950" s="28" t="s">
        <v>51</v>
      </c>
      <c r="L10950" s="28" t="s">
        <v>51</v>
      </c>
      <c r="M10950" s="28" t="s">
        <v>51</v>
      </c>
      <c r="N10950" s="28" t="s">
        <v>51</v>
      </c>
    </row>
    <row r="10951" spans="1:14" hidden="1" outlineLevel="1" x14ac:dyDescent="0.15">
      <c r="A10951" s="28" t="s">
        <v>51</v>
      </c>
      <c r="B10951" s="28" t="s">
        <v>51</v>
      </c>
      <c r="C10951" s="28" t="s">
        <v>51</v>
      </c>
      <c r="D10951" s="22" t="s">
        <v>15372</v>
      </c>
      <c r="E10951" s="22" t="s">
        <v>48</v>
      </c>
      <c r="F10951" s="23" t="str">
        <f t="shared" si="293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51" s="22" t="s">
        <v>51</v>
      </c>
      <c r="H10951" s="22" t="s">
        <v>51</v>
      </c>
      <c r="I10951" s="26">
        <v>43670.658333333296</v>
      </c>
      <c r="J10951" s="23" t="str">
        <f>HYPERLINK("https://www.spark-marketing.ru/Card/Person/243197", "АО ""КСП ""ЮНОСТЬ""")</f>
        <v>АО "КСП "ЮНОСТЬ"</v>
      </c>
      <c r="K10951" s="24" t="s">
        <v>15376</v>
      </c>
      <c r="L10951" s="28" t="s">
        <v>51</v>
      </c>
      <c r="M10951" s="28" t="s">
        <v>51</v>
      </c>
      <c r="N10951" s="28" t="s">
        <v>51</v>
      </c>
    </row>
    <row r="10952" spans="1:14" hidden="1" outlineLevel="1" x14ac:dyDescent="0.15">
      <c r="A10952" s="28" t="s">
        <v>51</v>
      </c>
      <c r="B10952" s="28" t="s">
        <v>51</v>
      </c>
      <c r="C10952" s="28" t="s">
        <v>51</v>
      </c>
      <c r="D10952" s="22" t="s">
        <v>15372</v>
      </c>
      <c r="E10952" s="22" t="s">
        <v>48</v>
      </c>
      <c r="F10952" s="23" t="str">
        <f t="shared" si="293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52" s="22" t="s">
        <v>51</v>
      </c>
      <c r="H10952" s="22" t="s">
        <v>51</v>
      </c>
      <c r="I10952" s="26">
        <v>43670.658333333296</v>
      </c>
      <c r="J10952" s="23" t="str">
        <f>HYPERLINK("https://www.spark-marketing.ru/Card/Person/90783", "АО ""КСП ПУШКИНСКОГО РАЙОНА""")</f>
        <v>АО "КСП ПУШКИНСКОГО РАЙОНА"</v>
      </c>
      <c r="K10952" s="24" t="s">
        <v>955</v>
      </c>
      <c r="L10952" s="28" t="s">
        <v>51</v>
      </c>
      <c r="M10952" s="28" t="s">
        <v>51</v>
      </c>
      <c r="N10952" s="28" t="s">
        <v>51</v>
      </c>
    </row>
    <row r="10953" spans="1:14" hidden="1" outlineLevel="1" x14ac:dyDescent="0.2">
      <c r="A10953" s="28" t="s">
        <v>51</v>
      </c>
      <c r="B10953" s="28" t="s">
        <v>51</v>
      </c>
      <c r="C10953" s="28" t="s">
        <v>51</v>
      </c>
      <c r="D10953" s="22" t="s">
        <v>15372</v>
      </c>
      <c r="E10953" s="22" t="s">
        <v>48</v>
      </c>
      <c r="F10953" s="23" t="str">
        <f t="shared" si="293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53" s="22" t="s">
        <v>51</v>
      </c>
      <c r="H10953" s="22" t="s">
        <v>51</v>
      </c>
      <c r="I10953" s="26">
        <v>43670.658333333296</v>
      </c>
      <c r="J10953" s="23" t="str">
        <f>HYPERLINK("https://www.spark-marketing.ru/Card/Person/64663", "ООО ""СТК""")</f>
        <v>ООО "СТК"</v>
      </c>
      <c r="K10953" s="24" t="s">
        <v>10923</v>
      </c>
      <c r="L10953" s="28" t="s">
        <v>51</v>
      </c>
      <c r="M10953" s="25">
        <v>32098013.469999999</v>
      </c>
      <c r="N10953" s="27">
        <v>0</v>
      </c>
    </row>
    <row r="10954" spans="1:14" hidden="1" outlineLevel="1" x14ac:dyDescent="0.2">
      <c r="A10954" s="28" t="s">
        <v>51</v>
      </c>
      <c r="B10954" s="28" t="s">
        <v>51</v>
      </c>
      <c r="C10954" s="28" t="s">
        <v>51</v>
      </c>
      <c r="D10954" s="22" t="s">
        <v>15372</v>
      </c>
      <c r="E10954" s="22" t="s">
        <v>48</v>
      </c>
      <c r="F10954" s="23" t="str">
        <f t="shared" si="293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54" s="22" t="s">
        <v>51</v>
      </c>
      <c r="H10954" s="22" t="s">
        <v>51</v>
      </c>
      <c r="I10954" s="26">
        <v>43670.658333333296</v>
      </c>
      <c r="J10954" s="23" t="str">
        <f>HYPERLINK("https://www.spark-marketing.ru/Card/Person/6489440", "ООО ""ТД ""ПРОФПИТ""")</f>
        <v>ООО "ТД "ПРОФПИТ"</v>
      </c>
      <c r="K10954" s="24" t="s">
        <v>15377</v>
      </c>
      <c r="L10954" s="22" t="s">
        <v>10</v>
      </c>
      <c r="M10954" s="25">
        <v>31905425</v>
      </c>
      <c r="N10954" s="27">
        <v>6.0000121247378866E-3</v>
      </c>
    </row>
    <row r="10955" spans="1:14" x14ac:dyDescent="0.15">
      <c r="A10955" s="23" t="str">
        <f>HYPERLINK("https://www.spark-marketing.ru/Card/Person/72075", "МБОУ СОШ №1")</f>
        <v>МБОУ СОШ №1</v>
      </c>
      <c r="B10955" s="24" t="s">
        <v>15378</v>
      </c>
      <c r="C10955" s="25">
        <v>3398760</v>
      </c>
      <c r="D10955" s="22" t="s">
        <v>15379</v>
      </c>
      <c r="E10955" s="22" t="s">
        <v>48</v>
      </c>
      <c r="F10955" s="23" t="str">
        <f>HYPERLINK("https://www.spark-marketing.ru/Card/Lot/72315074", "Услуги по обеспечению горячим питанием учащихся")</f>
        <v>Услуги по обеспечению горячим питанием учащихся</v>
      </c>
      <c r="G10955" s="22" t="s">
        <v>101</v>
      </c>
      <c r="H10955" s="22" t="s">
        <v>101</v>
      </c>
      <c r="I10955" s="26">
        <v>43670.638206018499</v>
      </c>
      <c r="J10955" s="23" t="str">
        <f>HYPERLINK("https://www.spark-marketing.ru/Card/Person/403950", "ООО ""ГОРИЗОНТ""")</f>
        <v>ООО "ГОРИЗОНТ"</v>
      </c>
      <c r="K10955" s="24" t="s">
        <v>15380</v>
      </c>
      <c r="L10955" s="22" t="s">
        <v>10</v>
      </c>
      <c r="M10955" s="28" t="s">
        <v>51</v>
      </c>
      <c r="N10955" s="28" t="s">
        <v>51</v>
      </c>
    </row>
    <row r="10956" spans="1:14" collapsed="1" x14ac:dyDescent="0.15">
      <c r="A10956" s="23" t="str">
        <f t="shared" ref="A10956:A10967" si="294">HYPERLINK("https://www.spark-marketing.ru/Card/Person/1759012", "ГУ МВД РОССИИ ПО Г. МОСКВЕ")</f>
        <v>ГУ МВД РОССИИ ПО Г. МОСКВЕ</v>
      </c>
      <c r="B10956" s="24" t="s">
        <v>13730</v>
      </c>
      <c r="C10956" s="25">
        <v>12536250.300000001</v>
      </c>
      <c r="D10956" s="22" t="s">
        <v>15381</v>
      </c>
      <c r="E10956" s="22" t="s">
        <v>48</v>
      </c>
      <c r="F10956" s="23" t="str">
        <f t="shared" ref="F10956:F10961" si="295">HYPERLINK("https://www.spark-marketing.ru/Card/Lot/72349565", "Оказание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Москве")</f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56" s="22" t="s">
        <v>56</v>
      </c>
      <c r="H10956" s="22" t="s">
        <v>56</v>
      </c>
      <c r="I10956" s="26">
        <v>43670.642002314802</v>
      </c>
      <c r="J10956" s="28" t="s">
        <v>51</v>
      </c>
      <c r="K10956" s="28" t="s">
        <v>51</v>
      </c>
      <c r="L10956" s="28" t="s">
        <v>51</v>
      </c>
      <c r="M10956" s="28" t="s">
        <v>51</v>
      </c>
      <c r="N10956" s="28" t="s">
        <v>51</v>
      </c>
    </row>
    <row r="10957" spans="1:14" hidden="1" outlineLevel="1" x14ac:dyDescent="0.2">
      <c r="A10957" s="23" t="str">
        <f t="shared" si="294"/>
        <v>ГУ МВД РОССИИ ПО Г. МОСКВЕ</v>
      </c>
      <c r="B10957" s="24" t="s">
        <v>13730</v>
      </c>
      <c r="C10957" s="25">
        <v>12536250.300000001</v>
      </c>
      <c r="D10957" s="22" t="s">
        <v>15381</v>
      </c>
      <c r="E10957" s="22" t="s">
        <v>48</v>
      </c>
      <c r="F10957" s="23" t="str">
        <f t="shared" si="295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57" s="22" t="s">
        <v>56</v>
      </c>
      <c r="H10957" s="22" t="s">
        <v>56</v>
      </c>
      <c r="I10957" s="26">
        <v>43670.642002314802</v>
      </c>
      <c r="J10957" s="23" t="str">
        <f>HYPERLINK("https://www.spark-marketing.ru/Card/Person/138389", "Субботина Юлия Валерьевна")</f>
        <v>Субботина Юлия Валерьевна</v>
      </c>
      <c r="K10957" s="24" t="s">
        <v>13732</v>
      </c>
      <c r="L10957" s="28" t="s">
        <v>51</v>
      </c>
      <c r="M10957" s="25">
        <v>898.17</v>
      </c>
      <c r="N10957" s="27">
        <v>0.99992835417461312</v>
      </c>
    </row>
    <row r="10958" spans="1:14" hidden="1" outlineLevel="1" x14ac:dyDescent="0.2">
      <c r="A10958" s="23" t="str">
        <f t="shared" si="294"/>
        <v>ГУ МВД РОССИИ ПО Г. МОСКВЕ</v>
      </c>
      <c r="B10958" s="24" t="s">
        <v>13730</v>
      </c>
      <c r="C10958" s="25">
        <v>12536250.300000001</v>
      </c>
      <c r="D10958" s="22" t="s">
        <v>15381</v>
      </c>
      <c r="E10958" s="22" t="s">
        <v>48</v>
      </c>
      <c r="F10958" s="23" t="str">
        <f t="shared" si="295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58" s="22" t="s">
        <v>56</v>
      </c>
      <c r="H10958" s="22" t="s">
        <v>56</v>
      </c>
      <c r="I10958" s="26">
        <v>43670.642002314802</v>
      </c>
      <c r="J10958" s="23" t="str">
        <f>HYPERLINK("https://www.spark-marketing.ru/Card/Person/4355070", "ООО ""КОМБИНАТ ПИТАНИЯ ""ПРОДТОРГСЕРВИС""")</f>
        <v>ООО "КОМБИНАТ ПИТАНИЯ "ПРОДТОРГСЕРВИС"</v>
      </c>
      <c r="K10958" s="24" t="s">
        <v>15356</v>
      </c>
      <c r="L10958" s="28" t="s">
        <v>51</v>
      </c>
      <c r="M10958" s="25">
        <v>694.5</v>
      </c>
      <c r="N10958" s="27">
        <v>0.99994460065941726</v>
      </c>
    </row>
    <row r="10959" spans="1:14" hidden="1" outlineLevel="1" x14ac:dyDescent="0.2">
      <c r="A10959" s="23" t="str">
        <f t="shared" si="294"/>
        <v>ГУ МВД РОССИИ ПО Г. МОСКВЕ</v>
      </c>
      <c r="B10959" s="24" t="s">
        <v>13730</v>
      </c>
      <c r="C10959" s="25">
        <v>12536250.300000001</v>
      </c>
      <c r="D10959" s="22" t="s">
        <v>15381</v>
      </c>
      <c r="E10959" s="22" t="s">
        <v>48</v>
      </c>
      <c r="F10959" s="23" t="str">
        <f t="shared" si="295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59" s="22" t="s">
        <v>56</v>
      </c>
      <c r="H10959" s="22" t="s">
        <v>56</v>
      </c>
      <c r="I10959" s="26">
        <v>43670.642002314802</v>
      </c>
      <c r="J10959" s="23" t="str">
        <f>HYPERLINK("https://www.spark-marketing.ru/Card/Person/4684100", "ООО ""ТЕХНОЛОГИИ ВКУСА""")</f>
        <v>ООО "ТЕХНОЛОГИИ ВКУСА"</v>
      </c>
      <c r="K10959" s="24" t="s">
        <v>9609</v>
      </c>
      <c r="L10959" s="28" t="s">
        <v>51</v>
      </c>
      <c r="M10959" s="25">
        <v>881.1</v>
      </c>
      <c r="N10959" s="27">
        <v>0.99992971582579204</v>
      </c>
    </row>
    <row r="10960" spans="1:14" ht="12.75" hidden="1" outlineLevel="1" x14ac:dyDescent="0.2">
      <c r="A10960" s="23" t="str">
        <f t="shared" si="294"/>
        <v>ГУ МВД РОССИИ ПО Г. МОСКВЕ</v>
      </c>
      <c r="B10960" s="24" t="s">
        <v>13730</v>
      </c>
      <c r="C10960" s="25">
        <v>12536250.300000001</v>
      </c>
      <c r="D10960" s="22" t="s">
        <v>15381</v>
      </c>
      <c r="E10960" s="22" t="s">
        <v>48</v>
      </c>
      <c r="F10960" s="23" t="str">
        <f t="shared" si="295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60" s="22" t="s">
        <v>56</v>
      </c>
      <c r="H10960" s="22" t="s">
        <v>56</v>
      </c>
      <c r="I10960" s="26">
        <v>43670.642002314802</v>
      </c>
      <c r="J10960" s="23" t="str">
        <f>HYPERLINK("https://www.spark-marketing.ru/Card/Person/6617658", "ООО ""АЛЬБА""")</f>
        <v>ООО "АЛЬБА"</v>
      </c>
      <c r="K10960" s="24" t="s">
        <v>13028</v>
      </c>
      <c r="L10960" s="22" t="s">
        <v>10</v>
      </c>
      <c r="M10960" s="25">
        <v>687.39</v>
      </c>
      <c r="N10960" s="27">
        <v>0.99994516781465348</v>
      </c>
    </row>
    <row r="10961" spans="1:14" hidden="1" outlineLevel="1" x14ac:dyDescent="0.2">
      <c r="A10961" s="23" t="str">
        <f t="shared" si="294"/>
        <v>ГУ МВД РОССИИ ПО Г. МОСКВЕ</v>
      </c>
      <c r="B10961" s="24" t="s">
        <v>13730</v>
      </c>
      <c r="C10961" s="25">
        <v>12536250.300000001</v>
      </c>
      <c r="D10961" s="22" t="s">
        <v>15381</v>
      </c>
      <c r="E10961" s="22" t="s">
        <v>48</v>
      </c>
      <c r="F10961" s="23" t="str">
        <f t="shared" si="295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61" s="22" t="s">
        <v>56</v>
      </c>
      <c r="H10961" s="22" t="s">
        <v>56</v>
      </c>
      <c r="I10961" s="26">
        <v>43670.642002314802</v>
      </c>
      <c r="J10961" s="23" t="str">
        <f>HYPERLINK("https://www.spark-marketing.ru/Card/Person/6578901", "ООО ""ДОРОГА""")</f>
        <v>ООО "ДОРОГА"</v>
      </c>
      <c r="K10961" s="24" t="s">
        <v>3102</v>
      </c>
      <c r="L10961" s="28" t="s">
        <v>51</v>
      </c>
      <c r="M10961" s="25">
        <v>888.21</v>
      </c>
      <c r="N10961" s="27">
        <v>0.99992914867055582</v>
      </c>
    </row>
    <row r="10962" spans="1:14" collapsed="1" x14ac:dyDescent="0.15">
      <c r="A10962" s="23" t="str">
        <f t="shared" si="294"/>
        <v>ГУ МВД РОССИИ ПО Г. МОСКВЕ</v>
      </c>
      <c r="B10962" s="24" t="s">
        <v>13730</v>
      </c>
      <c r="C10962" s="25">
        <v>12447083.74</v>
      </c>
      <c r="D10962" s="22" t="s">
        <v>15382</v>
      </c>
      <c r="E10962" s="22" t="s">
        <v>48</v>
      </c>
      <c r="F10962" s="23" t="str">
        <f t="shared" ref="F10962:F10967" si="296">HYPERLINK("https://www.spark-marketing.ru/Card/Lot/72349568", "Оказание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Москве")</f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62" s="22" t="s">
        <v>56</v>
      </c>
      <c r="H10962" s="22" t="s">
        <v>56</v>
      </c>
      <c r="I10962" s="26">
        <v>43670.652812499997</v>
      </c>
      <c r="J10962" s="28" t="s">
        <v>51</v>
      </c>
      <c r="K10962" s="28" t="s">
        <v>51</v>
      </c>
      <c r="L10962" s="28" t="s">
        <v>51</v>
      </c>
      <c r="M10962" s="28" t="s">
        <v>51</v>
      </c>
      <c r="N10962" s="28" t="s">
        <v>51</v>
      </c>
    </row>
    <row r="10963" spans="1:14" hidden="1" outlineLevel="1" x14ac:dyDescent="0.2">
      <c r="A10963" s="23" t="str">
        <f t="shared" si="294"/>
        <v>ГУ МВД РОССИИ ПО Г. МОСКВЕ</v>
      </c>
      <c r="B10963" s="24" t="s">
        <v>13730</v>
      </c>
      <c r="C10963" s="25">
        <v>12447083.74</v>
      </c>
      <c r="D10963" s="22" t="s">
        <v>15382</v>
      </c>
      <c r="E10963" s="22" t="s">
        <v>48</v>
      </c>
      <c r="F10963" s="23" t="str">
        <f t="shared" si="296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63" s="22" t="s">
        <v>56</v>
      </c>
      <c r="H10963" s="22" t="s">
        <v>56</v>
      </c>
      <c r="I10963" s="26">
        <v>43670.652812499997</v>
      </c>
      <c r="J10963" s="23" t="str">
        <f>HYPERLINK("https://www.spark-marketing.ru/Card/Person/4684100", "ООО ""ТЕХНОЛОГИИ ВКУСА""")</f>
        <v>ООО "ТЕХНОЛОГИИ ВКУСА"</v>
      </c>
      <c r="K10963" s="24" t="s">
        <v>9609</v>
      </c>
      <c r="L10963" s="28" t="s">
        <v>51</v>
      </c>
      <c r="M10963" s="25">
        <v>1367.19</v>
      </c>
      <c r="N10963" s="27">
        <v>0.99989015981345042</v>
      </c>
    </row>
    <row r="10964" spans="1:14" hidden="1" outlineLevel="1" x14ac:dyDescent="0.2">
      <c r="A10964" s="23" t="str">
        <f t="shared" si="294"/>
        <v>ГУ МВД РОССИИ ПО Г. МОСКВЕ</v>
      </c>
      <c r="B10964" s="24" t="s">
        <v>13730</v>
      </c>
      <c r="C10964" s="25">
        <v>12447083.74</v>
      </c>
      <c r="D10964" s="22" t="s">
        <v>15382</v>
      </c>
      <c r="E10964" s="22" t="s">
        <v>48</v>
      </c>
      <c r="F10964" s="23" t="str">
        <f t="shared" si="296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64" s="22" t="s">
        <v>56</v>
      </c>
      <c r="H10964" s="22" t="s">
        <v>56</v>
      </c>
      <c r="I10964" s="26">
        <v>43670.652812499997</v>
      </c>
      <c r="J10964" s="23" t="str">
        <f>HYPERLINK("https://www.spark-marketing.ru/Card/Person/6680376", "ООО ""ТОРГ-ЭКСПЕРТ""")</f>
        <v>ООО "ТОРГ-ЭКСПЕРТ"</v>
      </c>
      <c r="K10964" s="24" t="s">
        <v>15383</v>
      </c>
      <c r="L10964" s="28" t="s">
        <v>51</v>
      </c>
      <c r="M10964" s="25">
        <v>636.12</v>
      </c>
      <c r="N10964" s="27">
        <v>0.99994889405315435</v>
      </c>
    </row>
    <row r="10965" spans="1:14" ht="12.75" hidden="1" outlineLevel="1" x14ac:dyDescent="0.2">
      <c r="A10965" s="23" t="str">
        <f t="shared" si="294"/>
        <v>ГУ МВД РОССИИ ПО Г. МОСКВЕ</v>
      </c>
      <c r="B10965" s="24" t="s">
        <v>13730</v>
      </c>
      <c r="C10965" s="25">
        <v>12447083.74</v>
      </c>
      <c r="D10965" s="22" t="s">
        <v>15382</v>
      </c>
      <c r="E10965" s="22" t="s">
        <v>48</v>
      </c>
      <c r="F10965" s="23" t="str">
        <f t="shared" si="296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65" s="22" t="s">
        <v>56</v>
      </c>
      <c r="H10965" s="22" t="s">
        <v>56</v>
      </c>
      <c r="I10965" s="26">
        <v>43670.652812499997</v>
      </c>
      <c r="J10965" s="23" t="str">
        <f>HYPERLINK("https://www.spark-marketing.ru/Card/Person/6617658", "ООО ""АЛЬБА""")</f>
        <v>ООО "АЛЬБА"</v>
      </c>
      <c r="K10965" s="24" t="s">
        <v>13028</v>
      </c>
      <c r="L10965" s="22" t="s">
        <v>10</v>
      </c>
      <c r="M10965" s="25">
        <v>629.17999999999995</v>
      </c>
      <c r="N10965" s="27">
        <v>0.99994945161347493</v>
      </c>
    </row>
    <row r="10966" spans="1:14" hidden="1" outlineLevel="1" x14ac:dyDescent="0.2">
      <c r="A10966" s="23" t="str">
        <f t="shared" si="294"/>
        <v>ГУ МВД РОССИИ ПО Г. МОСКВЕ</v>
      </c>
      <c r="B10966" s="24" t="s">
        <v>13730</v>
      </c>
      <c r="C10966" s="25">
        <v>12447083.74</v>
      </c>
      <c r="D10966" s="22" t="s">
        <v>15382</v>
      </c>
      <c r="E10966" s="22" t="s">
        <v>48</v>
      </c>
      <c r="F10966" s="23" t="str">
        <f t="shared" si="296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66" s="22" t="s">
        <v>56</v>
      </c>
      <c r="H10966" s="22" t="s">
        <v>56</v>
      </c>
      <c r="I10966" s="26">
        <v>43670.652812499997</v>
      </c>
      <c r="J10966" s="23" t="str">
        <f>HYPERLINK("https://www.spark-marketing.ru/Card/Person/6578901", "ООО ""ДОРОГА""")</f>
        <v>ООО "ДОРОГА"</v>
      </c>
      <c r="K10966" s="24" t="s">
        <v>3102</v>
      </c>
      <c r="L10966" s="28" t="s">
        <v>51</v>
      </c>
      <c r="M10966" s="25">
        <v>635</v>
      </c>
      <c r="N10966" s="27">
        <v>0.99994898403407062</v>
      </c>
    </row>
    <row r="10967" spans="1:14" hidden="1" outlineLevel="1" x14ac:dyDescent="0.2">
      <c r="A10967" s="23" t="str">
        <f t="shared" si="294"/>
        <v>ГУ МВД РОССИИ ПО Г. МОСКВЕ</v>
      </c>
      <c r="B10967" s="24" t="s">
        <v>13730</v>
      </c>
      <c r="C10967" s="25">
        <v>12447083.74</v>
      </c>
      <c r="D10967" s="22" t="s">
        <v>15382</v>
      </c>
      <c r="E10967" s="22" t="s">
        <v>48</v>
      </c>
      <c r="F10967" s="23" t="str">
        <f t="shared" si="296"/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67" s="22" t="s">
        <v>56</v>
      </c>
      <c r="H10967" s="22" t="s">
        <v>56</v>
      </c>
      <c r="I10967" s="26">
        <v>43670.652812499997</v>
      </c>
      <c r="J10967" s="23" t="str">
        <f>HYPERLINK("https://www.spark-marketing.ru/Card/Person/138389", "Субботина Юлия Валерьевна")</f>
        <v>Субботина Юлия Валерьевна</v>
      </c>
      <c r="K10967" s="24" t="s">
        <v>13732</v>
      </c>
      <c r="L10967" s="28" t="s">
        <v>51</v>
      </c>
      <c r="M10967" s="25">
        <v>639</v>
      </c>
      <c r="N10967" s="27">
        <v>0.99994866267365534</v>
      </c>
    </row>
    <row r="10968" spans="1:14" x14ac:dyDescent="0.15">
      <c r="A10968" s="23" t="str">
        <f>HYPERLINK("https://www.spark-marketing.ru/Card/Person/1051391", "МБОУ ""СШ № 8""")</f>
        <v>МБОУ "СШ № 8"</v>
      </c>
      <c r="B10968" s="24" t="s">
        <v>15384</v>
      </c>
      <c r="C10968" s="25">
        <v>761260</v>
      </c>
      <c r="D10968" s="22" t="s">
        <v>15385</v>
      </c>
      <c r="E10968" s="22" t="s">
        <v>48</v>
      </c>
      <c r="F10968" s="23" t="str">
        <f>HYPERLINK("https://www.spark-marketing.ru/Card/Lot/72314828", "Оказание услуг по организации горячего питания и обеспечению горячим питанием учащихся МБОУ «СШ № 8»")</f>
        <v>Оказание услуг по организации горячего питания и обеспечению горячим питанием учащихся МБОУ «СШ № 8»</v>
      </c>
      <c r="G10968" s="22" t="s">
        <v>460</v>
      </c>
      <c r="H10968" s="22" t="s">
        <v>461</v>
      </c>
      <c r="I10968" s="26">
        <v>43670.653425925899</v>
      </c>
      <c r="J10968" s="23" t="str">
        <f>HYPERLINK("https://www.spark-marketing.ru/Card/Person/836702", "МУП ""КСП""")</f>
        <v>МУП "КСП"</v>
      </c>
      <c r="K10968" s="24" t="s">
        <v>6532</v>
      </c>
      <c r="L10968" s="22" t="s">
        <v>10</v>
      </c>
      <c r="M10968" s="28" t="s">
        <v>51</v>
      </c>
      <c r="N10968" s="28" t="s">
        <v>51</v>
      </c>
    </row>
    <row r="10969" spans="1:14" collapsed="1" x14ac:dyDescent="0.15">
      <c r="A10969" s="23" t="str">
        <f>HYPERLINK("https://www.spark-marketing.ru/Card/Person/1759012", "ГУ МВД РОССИИ ПО Г. МОСКВЕ")</f>
        <v>ГУ МВД РОССИИ ПО Г. МОСКВЕ</v>
      </c>
      <c r="B10969" s="24" t="s">
        <v>13730</v>
      </c>
      <c r="C10969" s="25">
        <v>13340403.439999999</v>
      </c>
      <c r="D10969" s="22" t="s">
        <v>15386</v>
      </c>
      <c r="E10969" s="22" t="s">
        <v>48</v>
      </c>
      <c r="F10969" s="23" t="str">
        <f>HYPERLINK("https://www.spark-marketing.ru/Card/Lot/72349567", "Оказание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Москве")</f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69" s="22" t="s">
        <v>56</v>
      </c>
      <c r="H10969" s="22" t="s">
        <v>56</v>
      </c>
      <c r="I10969" s="26">
        <v>43670.651886574102</v>
      </c>
      <c r="J10969" s="28" t="s">
        <v>51</v>
      </c>
      <c r="K10969" s="28" t="s">
        <v>51</v>
      </c>
      <c r="L10969" s="28" t="s">
        <v>51</v>
      </c>
      <c r="M10969" s="28" t="s">
        <v>51</v>
      </c>
      <c r="N10969" s="28" t="s">
        <v>51</v>
      </c>
    </row>
    <row r="10970" spans="1:14" hidden="1" outlineLevel="1" x14ac:dyDescent="0.2">
      <c r="A10970" s="23" t="str">
        <f>HYPERLINK("https://www.spark-marketing.ru/Card/Person/1759012", "ГУ МВД РОССИИ ПО Г. МОСКВЕ")</f>
        <v>ГУ МВД РОССИИ ПО Г. МОСКВЕ</v>
      </c>
      <c r="B10970" s="24" t="s">
        <v>13730</v>
      </c>
      <c r="C10970" s="25">
        <v>13340403.439999999</v>
      </c>
      <c r="D10970" s="22" t="s">
        <v>15386</v>
      </c>
      <c r="E10970" s="22" t="s">
        <v>48</v>
      </c>
      <c r="F10970" s="23" t="str">
        <f>HYPERLINK("https://www.spark-marketing.ru/Card/Lot/72349567", "Оказание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Москве")</f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70" s="22" t="s">
        <v>56</v>
      </c>
      <c r="H10970" s="22" t="s">
        <v>56</v>
      </c>
      <c r="I10970" s="26">
        <v>43670.651886574102</v>
      </c>
      <c r="J10970" s="23" t="str">
        <f>HYPERLINK("https://www.spark-marketing.ru/Card/Person/138389", "Субботина Юлия Валерьевна")</f>
        <v>Субботина Юлия Валерьевна</v>
      </c>
      <c r="K10970" s="24" t="s">
        <v>13732</v>
      </c>
      <c r="L10970" s="28" t="s">
        <v>51</v>
      </c>
      <c r="M10970" s="25">
        <v>874.45</v>
      </c>
      <c r="N10970" s="27">
        <v>0.99993445100787748</v>
      </c>
    </row>
    <row r="10971" spans="1:14" ht="12.75" hidden="1" outlineLevel="1" x14ac:dyDescent="0.2">
      <c r="A10971" s="23" t="str">
        <f>HYPERLINK("https://www.spark-marketing.ru/Card/Person/1759012", "ГУ МВД РОССИИ ПО Г. МОСКВЕ")</f>
        <v>ГУ МВД РОССИИ ПО Г. МОСКВЕ</v>
      </c>
      <c r="B10971" s="24" t="s">
        <v>13730</v>
      </c>
      <c r="C10971" s="25">
        <v>13340403.439999999</v>
      </c>
      <c r="D10971" s="22" t="s">
        <v>15386</v>
      </c>
      <c r="E10971" s="22" t="s">
        <v>48</v>
      </c>
      <c r="F10971" s="23" t="str">
        <f>HYPERLINK("https://www.spark-marketing.ru/Card/Lot/72349567", "Оказание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Москве")</f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71" s="22" t="s">
        <v>56</v>
      </c>
      <c r="H10971" s="22" t="s">
        <v>56</v>
      </c>
      <c r="I10971" s="26">
        <v>43670.651886574102</v>
      </c>
      <c r="J10971" s="23" t="str">
        <f>HYPERLINK("https://www.spark-marketing.ru/Card/Person/6617658", "ООО ""АЛЬБА""")</f>
        <v>ООО "АЛЬБА"</v>
      </c>
      <c r="K10971" s="24" t="s">
        <v>13028</v>
      </c>
      <c r="L10971" s="22" t="s">
        <v>10</v>
      </c>
      <c r="M10971" s="25">
        <v>617.66999999999996</v>
      </c>
      <c r="N10971" s="27">
        <v>0.99995369930131583</v>
      </c>
    </row>
    <row r="10972" spans="1:14" hidden="1" outlineLevel="1" x14ac:dyDescent="0.2">
      <c r="A10972" s="23" t="str">
        <f>HYPERLINK("https://www.spark-marketing.ru/Card/Person/1759012", "ГУ МВД РОССИИ ПО Г. МОСКВЕ")</f>
        <v>ГУ МВД РОССИИ ПО Г. МОСКВЕ</v>
      </c>
      <c r="B10972" s="24" t="s">
        <v>13730</v>
      </c>
      <c r="C10972" s="25">
        <v>13340403.439999999</v>
      </c>
      <c r="D10972" s="22" t="s">
        <v>15386</v>
      </c>
      <c r="E10972" s="22" t="s">
        <v>48</v>
      </c>
      <c r="F10972" s="23" t="str">
        <f>HYPERLINK("https://www.spark-marketing.ru/Card/Lot/72349567", "Оказание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Москве")</f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72" s="22" t="s">
        <v>56</v>
      </c>
      <c r="H10972" s="22" t="s">
        <v>56</v>
      </c>
      <c r="I10972" s="26">
        <v>43670.651886574102</v>
      </c>
      <c r="J10972" s="23" t="str">
        <f>HYPERLINK("https://www.spark-marketing.ru/Card/Person/6578901", "ООО ""ДОРОГА""")</f>
        <v>ООО "ДОРОГА"</v>
      </c>
      <c r="K10972" s="24" t="s">
        <v>3102</v>
      </c>
      <c r="L10972" s="28" t="s">
        <v>51</v>
      </c>
      <c r="M10972" s="25">
        <v>624</v>
      </c>
      <c r="N10972" s="27">
        <v>0.99995322480292248</v>
      </c>
    </row>
    <row r="10973" spans="1:14" hidden="1" outlineLevel="1" x14ac:dyDescent="0.2">
      <c r="A10973" s="23" t="str">
        <f>HYPERLINK("https://www.spark-marketing.ru/Card/Person/1759012", "ГУ МВД РОССИИ ПО Г. МОСКВЕ")</f>
        <v>ГУ МВД РОССИИ ПО Г. МОСКВЕ</v>
      </c>
      <c r="B10973" s="24" t="s">
        <v>13730</v>
      </c>
      <c r="C10973" s="25">
        <v>13340403.439999999</v>
      </c>
      <c r="D10973" s="22" t="s">
        <v>15386</v>
      </c>
      <c r="E10973" s="22" t="s">
        <v>48</v>
      </c>
      <c r="F10973" s="23" t="str">
        <f>HYPERLINK("https://www.spark-marketing.ru/Card/Lot/72349567", "Оказание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Москве")</f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0973" s="22" t="s">
        <v>56</v>
      </c>
      <c r="H10973" s="22" t="s">
        <v>56</v>
      </c>
      <c r="I10973" s="26">
        <v>43670.651886574102</v>
      </c>
      <c r="J10973" s="23" t="str">
        <f>HYPERLINK("https://www.spark-marketing.ru/Card/Person/6680376", "ООО ""ТОРГ-ЭКСПЕРТ""")</f>
        <v>ООО "ТОРГ-ЭКСПЕРТ"</v>
      </c>
      <c r="K10973" s="24" t="s">
        <v>15383</v>
      </c>
      <c r="L10973" s="28" t="s">
        <v>51</v>
      </c>
      <c r="M10973" s="25">
        <v>624.61</v>
      </c>
      <c r="N10973" s="27">
        <v>0.99995317907716885</v>
      </c>
    </row>
    <row r="10974" spans="1:14" collapsed="1" x14ac:dyDescent="0.15">
      <c r="A10974" s="23" t="str">
        <f>HYPERLINK("https://www.spark-marketing.ru/Card/Person/94310", "УПРАВА РАЙОНА КАПОТНЯ ГОРОДА МОСКВЫ")</f>
        <v>УПРАВА РАЙОНА КАПОТНЯ ГОРОДА МОСКВЫ</v>
      </c>
      <c r="B10974" s="24" t="s">
        <v>15387</v>
      </c>
      <c r="C10974" s="25">
        <v>136500</v>
      </c>
      <c r="D10974" s="22" t="s">
        <v>15388</v>
      </c>
      <c r="E10974" s="22" t="s">
        <v>96</v>
      </c>
      <c r="F10974" s="23" t="str">
        <f>HYPERLINK("https://www.spark-marketing.ru/Card/Lot/72312331", "Оказание услуг по организации питания избирательных комиссий района Капотня при подготовке и проведении выборов (среди СМП)")</f>
        <v>Оказание услуг по организации питания избирательных комиссий района Капотня при подготовке и проведении выборов (среди СМП)</v>
      </c>
      <c r="G10974" s="22" t="s">
        <v>56</v>
      </c>
      <c r="H10974" s="22" t="s">
        <v>56</v>
      </c>
      <c r="I10974" s="26">
        <v>43670.646377314799</v>
      </c>
      <c r="J10974" s="28" t="s">
        <v>51</v>
      </c>
      <c r="K10974" s="28" t="s">
        <v>51</v>
      </c>
      <c r="L10974" s="28" t="s">
        <v>51</v>
      </c>
      <c r="M10974" s="28" t="s">
        <v>51</v>
      </c>
      <c r="N10974" s="28" t="s">
        <v>51</v>
      </c>
    </row>
    <row r="10975" spans="1:14" ht="12.75" hidden="1" outlineLevel="1" x14ac:dyDescent="0.2">
      <c r="A10975" s="23" t="str">
        <f>HYPERLINK("https://www.spark-marketing.ru/Card/Person/94310", "УПРАВА РАЙОНА КАПОТНЯ ГОРОДА МОСКВЫ")</f>
        <v>УПРАВА РАЙОНА КАПОТНЯ ГОРОДА МОСКВЫ</v>
      </c>
      <c r="B10975" s="24" t="s">
        <v>15387</v>
      </c>
      <c r="C10975" s="25">
        <v>136500</v>
      </c>
      <c r="D10975" s="22" t="s">
        <v>15388</v>
      </c>
      <c r="E10975" s="22" t="s">
        <v>96</v>
      </c>
      <c r="F10975" s="23" t="str">
        <f>HYPERLINK("https://www.spark-marketing.ru/Card/Lot/72312331", "Оказание услуг по организации питания избирательных комиссий района Капотня при подготовке и проведении выборов (среди СМП)")</f>
        <v>Оказание услуг по организации питания избирательных комиссий района Капотня при подготовке и проведении выборов (среди СМП)</v>
      </c>
      <c r="G10975" s="22" t="s">
        <v>56</v>
      </c>
      <c r="H10975" s="22" t="s">
        <v>56</v>
      </c>
      <c r="I10975" s="26">
        <v>43670.646377314799</v>
      </c>
      <c r="J10975" s="23" t="str">
        <f>HYPERLINK("https://www.spark-marketing.ru/Card/Person/4854", "ООО ""САНСТРОЙ""")</f>
        <v>ООО "САНСТРОЙ"</v>
      </c>
      <c r="K10975" s="24" t="s">
        <v>15389</v>
      </c>
      <c r="L10975" s="22" t="s">
        <v>10</v>
      </c>
      <c r="M10975" s="25">
        <v>97517.5</v>
      </c>
      <c r="N10975" s="27">
        <v>0.28558608058608059</v>
      </c>
    </row>
    <row r="10976" spans="1:14" hidden="1" outlineLevel="1" x14ac:dyDescent="0.2">
      <c r="A10976" s="23" t="str">
        <f>HYPERLINK("https://www.spark-marketing.ru/Card/Person/94310", "УПРАВА РАЙОНА КАПОТНЯ ГОРОДА МОСКВЫ")</f>
        <v>УПРАВА РАЙОНА КАПОТНЯ ГОРОДА МОСКВЫ</v>
      </c>
      <c r="B10976" s="24" t="s">
        <v>15387</v>
      </c>
      <c r="C10976" s="25">
        <v>136500</v>
      </c>
      <c r="D10976" s="22" t="s">
        <v>15388</v>
      </c>
      <c r="E10976" s="22" t="s">
        <v>96</v>
      </c>
      <c r="F10976" s="23" t="str">
        <f>HYPERLINK("https://www.spark-marketing.ru/Card/Lot/72312331", "Оказание услуг по организации питания избирательных комиссий района Капотня при подготовке и проведении выборов (среди СМП)")</f>
        <v>Оказание услуг по организации питания избирательных комиссий района Капотня при подготовке и проведении выборов (среди СМП)</v>
      </c>
      <c r="G10976" s="22" t="s">
        <v>56</v>
      </c>
      <c r="H10976" s="22" t="s">
        <v>56</v>
      </c>
      <c r="I10976" s="26">
        <v>43670.646377314799</v>
      </c>
      <c r="J10976" s="23" t="str">
        <f>HYPERLINK("https://www.spark-marketing.ru/Card/Person/6633519", "ООО ""КОММЕРЦПРО""")</f>
        <v>ООО "КОММЕРЦПРО"</v>
      </c>
      <c r="K10976" s="24" t="s">
        <v>7403</v>
      </c>
      <c r="L10976" s="28" t="s">
        <v>51</v>
      </c>
      <c r="M10976" s="25">
        <v>98200</v>
      </c>
      <c r="N10976" s="27">
        <v>0.28058608058608059</v>
      </c>
    </row>
    <row r="10977" spans="1:14" x14ac:dyDescent="0.15">
      <c r="A10977" s="23" t="str">
        <f>HYPERLINK("https://www.spark-marketing.ru/Card/Person/4349211", "ГБУ РК «МНОГОФУНКЦИОНАЛЬНЫЙ ЦЕНТР ПРЕДОСТАВЛЕНИЯ ГОСУДАРСТВЕННЫХ И МУНИЦИПАЛЬНЫХ УСЛУГ»")</f>
        <v>ГБУ РК «МНОГОФУНКЦИОНАЛЬНЫЙ ЦЕНТР ПРЕДОСТАВЛЕНИЯ ГОСУДАРСТВЕННЫХ И МУНИЦИПАЛЬНЫХ УСЛУГ»</v>
      </c>
      <c r="B10977" s="24" t="s">
        <v>10262</v>
      </c>
      <c r="C10977" s="25">
        <v>108598.17</v>
      </c>
      <c r="D10977" s="22" t="s">
        <v>15390</v>
      </c>
      <c r="E10977" s="22" t="s">
        <v>7386</v>
      </c>
      <c r="F10977" s="23" t="str">
        <f>HYPERLINK("https://www.spark-marketing.ru/Card/Lot/72312330", "Поставка аккумуляторов для источников бесперебойного питания для нужд ГБУ РК ""Многофункциональный центр предоставления государственных и муниципальных услуг""")</f>
        <v>Поставка аккумуляторов для источников бесперебойного питания для нужд ГБУ РК "Многофункциональный центр предоставления государственных и муниципальных услуг"</v>
      </c>
      <c r="G10977" s="22" t="s">
        <v>108</v>
      </c>
      <c r="H10977" s="22" t="s">
        <v>108</v>
      </c>
      <c r="I10977" s="26">
        <v>43670.645335648202</v>
      </c>
      <c r="J10977" s="28" t="s">
        <v>51</v>
      </c>
      <c r="K10977" s="28" t="s">
        <v>51</v>
      </c>
      <c r="L10977" s="28" t="s">
        <v>51</v>
      </c>
      <c r="M10977" s="28" t="s">
        <v>51</v>
      </c>
      <c r="N10977" s="28" t="s">
        <v>51</v>
      </c>
    </row>
    <row r="10978" spans="1:14" collapsed="1" x14ac:dyDescent="0.15">
      <c r="A10978" s="23" t="str">
        <f>HYPERLINK("https://www.spark-marketing.ru/Card/Person/64680", "БУЗ РА ""КОШ-АГАЧСКАЯ РБ""")</f>
        <v>БУЗ РА "КОШ-АГАЧСКАЯ РБ"</v>
      </c>
      <c r="B10978" s="24" t="s">
        <v>15391</v>
      </c>
      <c r="C10978" s="25">
        <v>892297.07</v>
      </c>
      <c r="D10978" s="22" t="s">
        <v>15392</v>
      </c>
      <c r="E10978" s="22" t="s">
        <v>355</v>
      </c>
      <c r="F10978" s="23" t="str">
        <f>HYPERLINK("https://www.spark-marketing.ru/Card/Lot/72306778", "Оказание услуг по проведению ремонтно-восстановительных работ источников бесперебойного питания БУЗ РА «Кош-Агачская районная больница»")</f>
        <v>Оказание услуг по проведению ремонтно-восстановительных работ источников бесперебойного питания БУЗ РА «Кош-Агачская районная больница»</v>
      </c>
      <c r="G10978" s="22" t="s">
        <v>1141</v>
      </c>
      <c r="H10978" s="22" t="s">
        <v>14241</v>
      </c>
      <c r="I10978" s="26">
        <v>43670.634664351899</v>
      </c>
      <c r="J10978" s="28" t="s">
        <v>51</v>
      </c>
      <c r="K10978" s="28" t="s">
        <v>51</v>
      </c>
      <c r="L10978" s="28" t="s">
        <v>51</v>
      </c>
      <c r="M10978" s="28" t="s">
        <v>51</v>
      </c>
      <c r="N10978" s="28" t="s">
        <v>51</v>
      </c>
    </row>
    <row r="10979" spans="1:14" hidden="1" outlineLevel="1" x14ac:dyDescent="0.2">
      <c r="A10979" s="23" t="str">
        <f>HYPERLINK("https://www.spark-marketing.ru/Card/Person/64680", "БУЗ РА ""КОШ-АГАЧСКАЯ РБ""")</f>
        <v>БУЗ РА "КОШ-АГАЧСКАЯ РБ"</v>
      </c>
      <c r="B10979" s="24" t="s">
        <v>15391</v>
      </c>
      <c r="C10979" s="25">
        <v>892297.07</v>
      </c>
      <c r="D10979" s="22" t="s">
        <v>15392</v>
      </c>
      <c r="E10979" s="22" t="s">
        <v>355</v>
      </c>
      <c r="F10979" s="23" t="str">
        <f>HYPERLINK("https://www.spark-marketing.ru/Card/Lot/72306778", "Оказание услуг по проведению ремонтно-восстановительных работ источников бесперебойного питания БУЗ РА «Кош-Агачская районная больница»")</f>
        <v>Оказание услуг по проведению ремонтно-восстановительных работ источников бесперебойного питания БУЗ РА «Кош-Агачская районная больница»</v>
      </c>
      <c r="G10979" s="22" t="s">
        <v>1141</v>
      </c>
      <c r="H10979" s="22" t="s">
        <v>14241</v>
      </c>
      <c r="I10979" s="26">
        <v>43670.634664351899</v>
      </c>
      <c r="J10979" s="23" t="str">
        <f>HYPERLINK("https://www.spark-marketing.ru/Card/Person/4877894", "ООО ""ГАЛЭКС СЕРВИС""")</f>
        <v>ООО "ГАЛЭКС СЕРВИС"</v>
      </c>
      <c r="K10979" s="24" t="s">
        <v>2595</v>
      </c>
      <c r="L10979" s="28" t="s">
        <v>51</v>
      </c>
      <c r="M10979" s="25">
        <v>776291.7</v>
      </c>
      <c r="N10979" s="27">
        <v>0.13000756575385819</v>
      </c>
    </row>
    <row r="10980" spans="1:14" ht="12.75" hidden="1" outlineLevel="1" x14ac:dyDescent="0.2">
      <c r="A10980" s="23" t="str">
        <f>HYPERLINK("https://www.spark-marketing.ru/Card/Person/64680", "БУЗ РА ""КОШ-АГАЧСКАЯ РБ""")</f>
        <v>БУЗ РА "КОШ-АГАЧСКАЯ РБ"</v>
      </c>
      <c r="B10980" s="24" t="s">
        <v>15391</v>
      </c>
      <c r="C10980" s="25">
        <v>892297.07</v>
      </c>
      <c r="D10980" s="22" t="s">
        <v>15392</v>
      </c>
      <c r="E10980" s="22" t="s">
        <v>355</v>
      </c>
      <c r="F10980" s="23" t="str">
        <f>HYPERLINK("https://www.spark-marketing.ru/Card/Lot/72306778", "Оказание услуг по проведению ремонтно-восстановительных работ источников бесперебойного питания БУЗ РА «Кош-Агачская районная больница»")</f>
        <v>Оказание услуг по проведению ремонтно-восстановительных работ источников бесперебойного питания БУЗ РА «Кош-Агачская районная больница»</v>
      </c>
      <c r="G10980" s="22" t="s">
        <v>1141</v>
      </c>
      <c r="H10980" s="22" t="s">
        <v>14241</v>
      </c>
      <c r="I10980" s="26">
        <v>43670.634664351899</v>
      </c>
      <c r="J10980" s="23" t="str">
        <f>HYPERLINK("https://www.spark-marketing.ru/Card/Person/6576242", "ООО ""ТЕПЛОРЕСУРС""")</f>
        <v>ООО "ТЕПЛОРЕСУРС"</v>
      </c>
      <c r="K10980" s="24" t="s">
        <v>15393</v>
      </c>
      <c r="L10980" s="22" t="s">
        <v>10</v>
      </c>
      <c r="M10980" s="25">
        <v>771829.7</v>
      </c>
      <c r="N10980" s="27">
        <v>0.13500814252365526</v>
      </c>
    </row>
    <row r="10981" spans="1:14" collapsed="1" x14ac:dyDescent="0.15">
      <c r="A10981" s="23" t="s">
        <v>114</v>
      </c>
      <c r="B10981" s="28" t="s">
        <v>51</v>
      </c>
      <c r="C10981" s="25">
        <v>30327936.879999999</v>
      </c>
      <c r="D10981" s="22" t="s">
        <v>15394</v>
      </c>
      <c r="E10981" s="22" t="s">
        <v>48</v>
      </c>
      <c r="F10981" s="23" t="str">
        <f t="shared" ref="F10981:F10988" si="297">HYPERLINK("https://www.spark-marketing.ru/Card/Lot/72314894", "Оказание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торги)")</f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81" s="22" t="s">
        <v>51</v>
      </c>
      <c r="H10981" s="22" t="s">
        <v>51</v>
      </c>
      <c r="I10981" s="26">
        <v>43670.659027777801</v>
      </c>
      <c r="J10981" s="28" t="s">
        <v>51</v>
      </c>
      <c r="K10981" s="28" t="s">
        <v>51</v>
      </c>
      <c r="L10981" s="28" t="s">
        <v>51</v>
      </c>
      <c r="M10981" s="28" t="s">
        <v>51</v>
      </c>
      <c r="N10981" s="28" t="s">
        <v>51</v>
      </c>
    </row>
    <row r="10982" spans="1:14" hidden="1" outlineLevel="1" x14ac:dyDescent="0.15">
      <c r="A10982" s="23" t="str">
        <f>HYPERLINK("https://www.spark-marketing.ru/Card/Person/111131", "ГБОУ СОШ № 422 КРОНШТАДТСКОГО РАЙОНА САНКТ-ПЕТЕРБУРГА")</f>
        <v>ГБОУ СОШ № 422 КРОНШТАДТСКОГО РАЙОНА САНКТ-ПЕТЕРБУРГА</v>
      </c>
      <c r="B10982" s="24" t="s">
        <v>15395</v>
      </c>
      <c r="C10982" s="25">
        <v>11795321.960000001</v>
      </c>
      <c r="D10982" s="22" t="s">
        <v>15394</v>
      </c>
      <c r="E10982" s="22" t="s">
        <v>48</v>
      </c>
      <c r="F10982" s="23" t="str">
        <f t="shared" si="297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82" s="22" t="s">
        <v>117</v>
      </c>
      <c r="H10982" s="22" t="s">
        <v>117</v>
      </c>
      <c r="I10982" s="26">
        <v>43670.659027777801</v>
      </c>
      <c r="J10982" s="28" t="s">
        <v>51</v>
      </c>
      <c r="K10982" s="28" t="s">
        <v>51</v>
      </c>
      <c r="L10982" s="28" t="s">
        <v>51</v>
      </c>
      <c r="M10982" s="28" t="s">
        <v>51</v>
      </c>
      <c r="N10982" s="28" t="s">
        <v>51</v>
      </c>
    </row>
    <row r="10983" spans="1:14" hidden="1" outlineLevel="1" x14ac:dyDescent="0.15">
      <c r="A10983" s="23" t="str">
        <f>HYPERLINK("https://www.spark-marketing.ru/Card/Person/118875", "ГБОУ СОШ № 418 КРОНШТАДТСКОГО РАЙОНА САНКТ-ПЕТЕРБУРГА")</f>
        <v>ГБОУ СОШ № 418 КРОНШТАДТСКОГО РАЙОНА САНКТ-ПЕТЕРБУРГА</v>
      </c>
      <c r="B10983" s="24" t="s">
        <v>15396</v>
      </c>
      <c r="C10983" s="25">
        <v>10474318.4</v>
      </c>
      <c r="D10983" s="22" t="s">
        <v>15394</v>
      </c>
      <c r="E10983" s="22" t="s">
        <v>48</v>
      </c>
      <c r="F10983" s="23" t="str">
        <f t="shared" si="297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83" s="22" t="s">
        <v>117</v>
      </c>
      <c r="H10983" s="22" t="s">
        <v>117</v>
      </c>
      <c r="I10983" s="26">
        <v>43670.659027777801</v>
      </c>
      <c r="J10983" s="28" t="s">
        <v>51</v>
      </c>
      <c r="K10983" s="28" t="s">
        <v>51</v>
      </c>
      <c r="L10983" s="28" t="s">
        <v>51</v>
      </c>
      <c r="M10983" s="28" t="s">
        <v>51</v>
      </c>
      <c r="N10983" s="28" t="s">
        <v>51</v>
      </c>
    </row>
    <row r="10984" spans="1:14" hidden="1" outlineLevel="1" x14ac:dyDescent="0.15">
      <c r="A10984" s="23" t="str">
        <f>HYPERLINK("https://www.spark-marketing.ru/Card/Person/123512", "ГБОУ СОШ № 427 КРОНШТАДТСКОГО РАЙОНА САНКТ-ПЕТЕРБУРГА")</f>
        <v>ГБОУ СОШ № 427 КРОНШТАДТСКОГО РАЙОНА САНКТ-ПЕТЕРБУРГА</v>
      </c>
      <c r="B10984" s="24" t="s">
        <v>15397</v>
      </c>
      <c r="C10984" s="25">
        <v>8058296.5199999996</v>
      </c>
      <c r="D10984" s="22" t="s">
        <v>15394</v>
      </c>
      <c r="E10984" s="22" t="s">
        <v>48</v>
      </c>
      <c r="F10984" s="23" t="str">
        <f t="shared" si="297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84" s="22" t="s">
        <v>117</v>
      </c>
      <c r="H10984" s="22" t="s">
        <v>117</v>
      </c>
      <c r="I10984" s="26">
        <v>43670.659027777801</v>
      </c>
      <c r="J10984" s="28" t="s">
        <v>51</v>
      </c>
      <c r="K10984" s="28" t="s">
        <v>51</v>
      </c>
      <c r="L10984" s="28" t="s">
        <v>51</v>
      </c>
      <c r="M10984" s="28" t="s">
        <v>51</v>
      </c>
      <c r="N10984" s="28" t="s">
        <v>51</v>
      </c>
    </row>
    <row r="10985" spans="1:14" hidden="1" outlineLevel="1" x14ac:dyDescent="0.15">
      <c r="A10985" s="28" t="s">
        <v>51</v>
      </c>
      <c r="B10985" s="28" t="s">
        <v>51</v>
      </c>
      <c r="C10985" s="28" t="s">
        <v>51</v>
      </c>
      <c r="D10985" s="22" t="s">
        <v>15394</v>
      </c>
      <c r="E10985" s="22" t="s">
        <v>48</v>
      </c>
      <c r="F10985" s="23" t="str">
        <f t="shared" si="297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85" s="22" t="s">
        <v>51</v>
      </c>
      <c r="H10985" s="22" t="s">
        <v>51</v>
      </c>
      <c r="I10985" s="26">
        <v>43670.659027777801</v>
      </c>
      <c r="J10985" s="23" t="str">
        <f>HYPERLINK("https://www.spark-marketing.ru/Card/Person/243197", "АО ""КСП ""ЮНОСТЬ""")</f>
        <v>АО "КСП "ЮНОСТЬ"</v>
      </c>
      <c r="K10985" s="24" t="s">
        <v>15376</v>
      </c>
      <c r="L10985" s="28" t="s">
        <v>51</v>
      </c>
      <c r="M10985" s="28" t="s">
        <v>51</v>
      </c>
      <c r="N10985" s="28" t="s">
        <v>51</v>
      </c>
    </row>
    <row r="10986" spans="1:14" hidden="1" outlineLevel="1" x14ac:dyDescent="0.15">
      <c r="A10986" s="28" t="s">
        <v>51</v>
      </c>
      <c r="B10986" s="28" t="s">
        <v>51</v>
      </c>
      <c r="C10986" s="28" t="s">
        <v>51</v>
      </c>
      <c r="D10986" s="22" t="s">
        <v>15394</v>
      </c>
      <c r="E10986" s="22" t="s">
        <v>48</v>
      </c>
      <c r="F10986" s="23" t="str">
        <f t="shared" si="297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86" s="22" t="s">
        <v>51</v>
      </c>
      <c r="H10986" s="22" t="s">
        <v>51</v>
      </c>
      <c r="I10986" s="26">
        <v>43670.659027777801</v>
      </c>
      <c r="J10986" s="23" t="str">
        <f>HYPERLINK("https://www.spark-marketing.ru/Card/Person/90783", "АО ""КСП ПУШКИНСКОГО РАЙОНА""")</f>
        <v>АО "КСП ПУШКИНСКОГО РАЙОНА"</v>
      </c>
      <c r="K10986" s="24" t="s">
        <v>955</v>
      </c>
      <c r="L10986" s="28" t="s">
        <v>51</v>
      </c>
      <c r="M10986" s="28" t="s">
        <v>51</v>
      </c>
      <c r="N10986" s="28" t="s">
        <v>51</v>
      </c>
    </row>
    <row r="10987" spans="1:14" hidden="1" outlineLevel="1" x14ac:dyDescent="0.2">
      <c r="A10987" s="28" t="s">
        <v>51</v>
      </c>
      <c r="B10987" s="28" t="s">
        <v>51</v>
      </c>
      <c r="C10987" s="28" t="s">
        <v>51</v>
      </c>
      <c r="D10987" s="22" t="s">
        <v>15394</v>
      </c>
      <c r="E10987" s="22" t="s">
        <v>48</v>
      </c>
      <c r="F10987" s="23" t="str">
        <f t="shared" si="297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87" s="22" t="s">
        <v>51</v>
      </c>
      <c r="H10987" s="22" t="s">
        <v>51</v>
      </c>
      <c r="I10987" s="26">
        <v>43670.659027777801</v>
      </c>
      <c r="J10987" s="23" t="str">
        <f>HYPERLINK("https://www.spark-marketing.ru/Card/Person/64663", "ООО ""СТК""")</f>
        <v>ООО "СТК"</v>
      </c>
      <c r="K10987" s="24" t="s">
        <v>10923</v>
      </c>
      <c r="L10987" s="28" t="s">
        <v>51</v>
      </c>
      <c r="M10987" s="25">
        <v>30327936.879999999</v>
      </c>
      <c r="N10987" s="27">
        <v>0</v>
      </c>
    </row>
    <row r="10988" spans="1:14" hidden="1" outlineLevel="1" x14ac:dyDescent="0.2">
      <c r="A10988" s="28" t="s">
        <v>51</v>
      </c>
      <c r="B10988" s="28" t="s">
        <v>51</v>
      </c>
      <c r="C10988" s="28" t="s">
        <v>51</v>
      </c>
      <c r="D10988" s="22" t="s">
        <v>15394</v>
      </c>
      <c r="E10988" s="22" t="s">
        <v>48</v>
      </c>
      <c r="F10988" s="23" t="str">
        <f t="shared" si="297"/>
        <v>Оказание услуг по организации питания в государственных бюджетных образовательных учреждениях, подведомственных администрации Кронштадтского района Санкт-Петербурга в период 2019-2021 год (совместные торги)</v>
      </c>
      <c r="G10988" s="22" t="s">
        <v>51</v>
      </c>
      <c r="H10988" s="22" t="s">
        <v>51</v>
      </c>
      <c r="I10988" s="26">
        <v>43670.659027777801</v>
      </c>
      <c r="J10988" s="23" t="str">
        <f>HYPERLINK("https://www.spark-marketing.ru/Card/Person/6489440", "ООО ""ТД ""ПРОФПИТ""")</f>
        <v>ООО "ТД "ПРОФПИТ"</v>
      </c>
      <c r="K10988" s="24" t="s">
        <v>15377</v>
      </c>
      <c r="L10988" s="22" t="s">
        <v>10</v>
      </c>
      <c r="M10988" s="25">
        <v>30145969</v>
      </c>
      <c r="N10988" s="27">
        <v>6.0000085307484324E-3</v>
      </c>
    </row>
    <row r="10989" spans="1:14" collapsed="1" x14ac:dyDescent="0.15">
      <c r="A10989" s="23" t="str">
        <f>HYPERLINK("https://www.spark-marketing.ru/Card/Person/109168", "ГБУСО ПСКОВСКОЙ ОБЛАСТИ ""РЕАБИЛИТАЦИОННЫЙ ЦЕНТР ДЛЯ ДЕТЕЙ И ПОДРОСТКОВ С ОГРАНИЧЕННЫМИ ВОЗМОЖНОСТЯМИ""")</f>
        <v>ГБУСО ПСКОВСКОЙ ОБЛАСТИ "РЕАБИЛИТАЦИОННЫЙ ЦЕНТР ДЛЯ ДЕТЕЙ И ПОДРОСТКОВ С ОГРАНИЧЕННЫМИ ВОЗМОЖНОСТЯМИ"</v>
      </c>
      <c r="B10989" s="24" t="s">
        <v>15398</v>
      </c>
      <c r="C10989" s="25">
        <v>688000</v>
      </c>
      <c r="D10989" s="22" t="s">
        <v>15399</v>
      </c>
      <c r="E10989" s="22" t="s">
        <v>48</v>
      </c>
      <c r="F10989" s="23" t="str">
        <f>HYPERLINK("https://www.spark-marketing.ru/Card/Lot/72314682", "Оказание услуг по обеспечению горячим питанием получателей социальных услуг в отделении дневного пребывания ГБУСО ПО ""Реабилитационный центр для детей и подростков с ограниченными возможностями"" во втором полугодии 2019 года (идентификационный номе...")</f>
        <v>Оказание услуг по обеспечению горячим питанием получателей социальных услуг в отделении дневного пребывания ГБУСО ПО "Реабилитационный центр для детей и подростков с ограниченными возможностями" во втором полугодии 2019 года (идентификационный номе...</v>
      </c>
      <c r="G10989" s="22" t="s">
        <v>415</v>
      </c>
      <c r="H10989" s="22" t="s">
        <v>3840</v>
      </c>
      <c r="I10989" s="26">
        <v>43670.6425578704</v>
      </c>
      <c r="J10989" s="28" t="s">
        <v>51</v>
      </c>
      <c r="K10989" s="28" t="s">
        <v>51</v>
      </c>
      <c r="L10989" s="28" t="s">
        <v>51</v>
      </c>
      <c r="M10989" s="28" t="s">
        <v>51</v>
      </c>
      <c r="N10989" s="28" t="s">
        <v>51</v>
      </c>
    </row>
    <row r="10990" spans="1:14" hidden="1" outlineLevel="1" x14ac:dyDescent="0.2">
      <c r="A10990" s="23" t="str">
        <f>HYPERLINK("https://www.spark-marketing.ru/Card/Person/109168", "ГБУСО ПСКОВСКОЙ ОБЛАСТИ ""РЕАБИЛИТАЦИОННЫЙ ЦЕНТР ДЛЯ ДЕТЕЙ И ПОДРОСТКОВ С ОГРАНИЧЕННЫМИ ВОЗМОЖНОСТЯМИ""")</f>
        <v>ГБУСО ПСКОВСКОЙ ОБЛАСТИ "РЕАБИЛИТАЦИОННЫЙ ЦЕНТР ДЛЯ ДЕТЕЙ И ПОДРОСТКОВ С ОГРАНИЧЕННЫМИ ВОЗМОЖНОСТЯМИ"</v>
      </c>
      <c r="B10990" s="24" t="s">
        <v>15398</v>
      </c>
      <c r="C10990" s="25">
        <v>688000</v>
      </c>
      <c r="D10990" s="22" t="s">
        <v>15399</v>
      </c>
      <c r="E10990" s="22" t="s">
        <v>48</v>
      </c>
      <c r="F10990" s="23" t="str">
        <f>HYPERLINK("https://www.spark-marketing.ru/Card/Lot/72314682", "Оказание услуг по обеспечению горячим питанием получателей социальных услуг в отделении дневного пребывания ГБУСО ПО ""Реабилитационный центр для детей и подростков с ограниченными возможностями"" во втором полугодии 2019 года (идентификационный номе...")</f>
        <v>Оказание услуг по обеспечению горячим питанием получателей социальных услуг в отделении дневного пребывания ГБУСО ПО "Реабилитационный центр для детей и подростков с ограниченными возможностями" во втором полугодии 2019 года (идентификационный номе...</v>
      </c>
      <c r="G10990" s="22" t="s">
        <v>415</v>
      </c>
      <c r="H10990" s="22" t="s">
        <v>3840</v>
      </c>
      <c r="I10990" s="26">
        <v>43670.6425578704</v>
      </c>
      <c r="J10990" s="23" t="str">
        <f>HYPERLINK("https://www.spark-marketing.ru/Card/Person/6457099", "Веркеенко Наталия Николаевна")</f>
        <v>Веркеенко Наталия Николаевна</v>
      </c>
      <c r="K10990" s="24" t="s">
        <v>3841</v>
      </c>
      <c r="L10990" s="28" t="s">
        <v>51</v>
      </c>
      <c r="M10990" s="25">
        <v>161.51</v>
      </c>
      <c r="N10990" s="27">
        <v>0.99976524709302328</v>
      </c>
    </row>
    <row r="10991" spans="1:14" ht="12.75" hidden="1" outlineLevel="1" x14ac:dyDescent="0.2">
      <c r="A10991" s="23" t="str">
        <f>HYPERLINK("https://www.spark-marketing.ru/Card/Person/109168", "ГБУСО ПСКОВСКОЙ ОБЛАСТИ ""РЕАБИЛИТАЦИОННЫЙ ЦЕНТР ДЛЯ ДЕТЕЙ И ПОДРОСТКОВ С ОГРАНИЧЕННЫМИ ВОЗМОЖНОСТЯМИ""")</f>
        <v>ГБУСО ПСКОВСКОЙ ОБЛАСТИ "РЕАБИЛИТАЦИОННЫЙ ЦЕНТР ДЛЯ ДЕТЕЙ И ПОДРОСТКОВ С ОГРАНИЧЕННЫМИ ВОЗМОЖНОСТЯМИ"</v>
      </c>
      <c r="B10991" s="24" t="s">
        <v>15398</v>
      </c>
      <c r="C10991" s="25">
        <v>688000</v>
      </c>
      <c r="D10991" s="22" t="s">
        <v>15399</v>
      </c>
      <c r="E10991" s="22" t="s">
        <v>48</v>
      </c>
      <c r="F10991" s="23" t="str">
        <f>HYPERLINK("https://www.spark-marketing.ru/Card/Lot/72314682", "Оказание услуг по обеспечению горячим питанием получателей социальных услуг в отделении дневного пребывания ГБУСО ПО ""Реабилитационный центр для детей и подростков с ограниченными возможностями"" во втором полугодии 2019 года (идентификационный номе...")</f>
        <v>Оказание услуг по обеспечению горячим питанием получателей социальных услуг в отделении дневного пребывания ГБУСО ПО "Реабилитационный центр для детей и подростков с ограниченными возможностями" во втором полугодии 2019 года (идентификационный номе...</v>
      </c>
      <c r="G10991" s="22" t="s">
        <v>415</v>
      </c>
      <c r="H10991" s="22" t="s">
        <v>3840</v>
      </c>
      <c r="I10991" s="26">
        <v>43670.6425578704</v>
      </c>
      <c r="J10991" s="23" t="str">
        <f>HYPERLINK("https://www.spark-marketing.ru/Card/Person/6081915", "Воробьёва Анастасия Сергеевна")</f>
        <v>Воробьёва Анастасия Сергеевна</v>
      </c>
      <c r="K10991" s="24" t="s">
        <v>15400</v>
      </c>
      <c r="L10991" s="22" t="s">
        <v>10</v>
      </c>
      <c r="M10991" s="25">
        <v>159.91</v>
      </c>
      <c r="N10991" s="27">
        <v>0.99976757267441863</v>
      </c>
    </row>
    <row r="10992" spans="1:14" x14ac:dyDescent="0.2">
      <c r="A10992" s="23" t="str">
        <f>HYPERLINK("https://www.spark-marketing.ru/Card/Person/171890", "АО ""ГОСТИНИЧНЫЙ КОМПЛЕКС ""СЛАВЯНКА""")</f>
        <v>АО "ГОСТИНИЧНЫЙ КОМПЛЕКС "СЛАВЯНКА"</v>
      </c>
      <c r="B10992" s="24" t="s">
        <v>2064</v>
      </c>
      <c r="C10992" s="25">
        <v>12832220</v>
      </c>
      <c r="D10992" s="22" t="s">
        <v>15401</v>
      </c>
      <c r="E10992" s="22" t="s">
        <v>573</v>
      </c>
      <c r="F10992" s="23" t="str">
        <f>HYPERLINK("https://www.spark-marketing.ru/Card/Lot/72323047", "Оказание комплекса услуг по организации питания для нужд «Гостиница «Cокол» - филиал открытого акционерного общества «Гостиничный комплекс «Славянка»")</f>
        <v>Оказание комплекса услуг по организации питания для нужд «Гостиница «Cокол» - филиал открытого акционерного общества «Гостиничный комплекс «Славянка»</v>
      </c>
      <c r="G10992" s="22" t="s">
        <v>56</v>
      </c>
      <c r="H10992" s="22" t="s">
        <v>56</v>
      </c>
      <c r="I10992" s="26">
        <v>43670.618101851898</v>
      </c>
      <c r="J10992" s="28" t="s">
        <v>51</v>
      </c>
      <c r="K10992" s="28" t="s">
        <v>51</v>
      </c>
      <c r="L10992" s="22" t="s">
        <v>10</v>
      </c>
      <c r="M10992" s="25">
        <v>12832220</v>
      </c>
      <c r="N10992" s="27">
        <v>0</v>
      </c>
    </row>
    <row r="10993" spans="1:14" x14ac:dyDescent="0.15">
      <c r="A10993" s="23" t="str">
        <f>HYPERLINK("https://www.spark-marketing.ru/Card/Person/330031", "ДИРЕКЦИЯ СТРОЯЩИХСЯ ПАТЭС")</f>
        <v>ДИРЕКЦИЯ СТРОЯЩИХСЯ ПАТЭС</v>
      </c>
      <c r="B10993" s="24" t="s">
        <v>908</v>
      </c>
      <c r="C10993" s="28" t="s">
        <v>51</v>
      </c>
      <c r="D10993" s="22" t="s">
        <v>15402</v>
      </c>
      <c r="E10993" s="22" t="s">
        <v>48</v>
      </c>
      <c r="F10993" s="23" t="str">
        <f>HYPERLINK("https://www.spark-marketing.ru/Card/Lot/72312012", "Оказание услуг по организации питания для нужд ПАТЭС в г. Певеке Чукотского автономного округа")</f>
        <v>Оказание услуг по организации питания для нужд ПАТЭС в г. Певеке Чукотского автономного округа</v>
      </c>
      <c r="G10993" s="22" t="s">
        <v>56</v>
      </c>
      <c r="H10993" s="22" t="s">
        <v>56</v>
      </c>
      <c r="I10993" s="26">
        <v>43670.595706018503</v>
      </c>
      <c r="J10993" s="28" t="s">
        <v>51</v>
      </c>
      <c r="K10993" s="28" t="s">
        <v>51</v>
      </c>
      <c r="L10993" s="28" t="s">
        <v>51</v>
      </c>
      <c r="M10993" s="28" t="s">
        <v>51</v>
      </c>
      <c r="N10993" s="28" t="s">
        <v>51</v>
      </c>
    </row>
    <row r="10994" spans="1:14" x14ac:dyDescent="0.15">
      <c r="A10994" s="23" t="str">
        <f>HYPERLINK("https://www.spark-marketing.ru/Card/Person/133569", "МО МВД РОССИИ ""УСТЬ-КУТСКИЙ""")</f>
        <v>МО МВД РОССИИ "УСТЬ-КУТСКИЙ"</v>
      </c>
      <c r="B10994" s="24" t="s">
        <v>3540</v>
      </c>
      <c r="C10994" s="25">
        <v>1000000</v>
      </c>
      <c r="D10994" s="22" t="s">
        <v>15403</v>
      </c>
      <c r="E10994" s="22" t="s">
        <v>48</v>
      </c>
      <c r="F10994" s="23" t="str">
        <f>HYPERLINK("https://www.spark-marketing.ru/Card/Lot/72327910", "Оказание услуг по доставке и организации ежедневного трехразового питания лиц подозреваемых и обвиняемых, административно-арестованных лиц, содержащихся в ИВС МО МВД России ""Усть-Кутский""")</f>
        <v>Оказание услуг по доставке и организации ежедневного трехразового питания лиц подозреваемых и обвиняемых, административно-арестованных лиц, содержащихся в ИВС МО МВД России "Усть-Кутский"</v>
      </c>
      <c r="G10994" s="22" t="s">
        <v>263</v>
      </c>
      <c r="H10994" s="22" t="s">
        <v>3542</v>
      </c>
      <c r="I10994" s="26">
        <v>43670.616851851897</v>
      </c>
      <c r="J10994" s="23" t="str">
        <f>HYPERLINK("https://www.spark-marketing.ru/Card/Person/588111", "ООО ""КУЛИНАР""")</f>
        <v>ООО "КУЛИНАР"</v>
      </c>
      <c r="K10994" s="24" t="s">
        <v>15404</v>
      </c>
      <c r="L10994" s="22" t="s">
        <v>10</v>
      </c>
      <c r="M10994" s="28" t="s">
        <v>51</v>
      </c>
      <c r="N10994" s="28" t="s">
        <v>51</v>
      </c>
    </row>
    <row r="10995" spans="1:14" collapsed="1" x14ac:dyDescent="0.15">
      <c r="A10995" s="23" t="str">
        <f>HYPERLINK("https://www.spark-marketing.ru/Card/Person/1077432", "МДОУ №4 Г. МОЖАЙСКА")</f>
        <v>МДОУ №4 Г. МОЖАЙСКА</v>
      </c>
      <c r="B10995" s="24" t="s">
        <v>15405</v>
      </c>
      <c r="C10995" s="25">
        <v>3495728</v>
      </c>
      <c r="D10995" s="22" t="s">
        <v>15406</v>
      </c>
      <c r="E10995" s="22" t="s">
        <v>48</v>
      </c>
      <c r="F10995" s="23" t="str">
        <f>HYPERLINK("https://www.spark-marketing.ru/Card/Lot/72310967", "На оказание услуг по организации питания воспитанников на 2-е полугодие 2019г.")</f>
        <v>На оказание услуг по организации питания воспитанников на 2-е полугодие 2019г.</v>
      </c>
      <c r="G10995" s="22" t="s">
        <v>49</v>
      </c>
      <c r="H10995" s="22" t="s">
        <v>3718</v>
      </c>
      <c r="I10995" s="26">
        <v>43670.590972222199</v>
      </c>
      <c r="J10995" s="28" t="s">
        <v>51</v>
      </c>
      <c r="K10995" s="28" t="s">
        <v>51</v>
      </c>
      <c r="L10995" s="28" t="s">
        <v>51</v>
      </c>
      <c r="M10995" s="28" t="s">
        <v>51</v>
      </c>
      <c r="N10995" s="28" t="s">
        <v>51</v>
      </c>
    </row>
    <row r="10996" spans="1:14" ht="12.75" hidden="1" outlineLevel="1" x14ac:dyDescent="0.2">
      <c r="A10996" s="23" t="str">
        <f>HYPERLINK("https://www.spark-marketing.ru/Card/Person/1077432", "МДОУ №4 Г. МОЖАЙСКА")</f>
        <v>МДОУ №4 Г. МОЖАЙСКА</v>
      </c>
      <c r="B10996" s="24" t="s">
        <v>15405</v>
      </c>
      <c r="C10996" s="25">
        <v>3495728</v>
      </c>
      <c r="D10996" s="22" t="s">
        <v>15406</v>
      </c>
      <c r="E10996" s="22" t="s">
        <v>48</v>
      </c>
      <c r="F10996" s="23" t="str">
        <f>HYPERLINK("https://www.spark-marketing.ru/Card/Lot/72310967", "На оказание услуг по организации питания воспитанников на 2-е полугодие 2019г.")</f>
        <v>На оказание услуг по организации питания воспитанников на 2-е полугодие 2019г.</v>
      </c>
      <c r="G10996" s="22" t="s">
        <v>49</v>
      </c>
      <c r="H10996" s="22" t="s">
        <v>3718</v>
      </c>
      <c r="I10996" s="26">
        <v>43670.590972222199</v>
      </c>
      <c r="J10996" s="23" t="str">
        <f>HYPERLINK("https://www.spark-marketing.ru/Card/Person/721759", "ООО ""КАРАВЕЛЛА""")</f>
        <v>ООО "КАРАВЕЛЛА"</v>
      </c>
      <c r="K10996" s="24" t="s">
        <v>15407</v>
      </c>
      <c r="L10996" s="22" t="s">
        <v>10</v>
      </c>
      <c r="M10996" s="25">
        <v>3495728</v>
      </c>
      <c r="N10996" s="27">
        <v>0</v>
      </c>
    </row>
    <row r="10997" spans="1:14" hidden="1" outlineLevel="1" x14ac:dyDescent="0.15">
      <c r="A10997" s="23" t="str">
        <f>HYPERLINK("https://www.spark-marketing.ru/Card/Person/1077432", "МДОУ №4 Г. МОЖАЙСКА")</f>
        <v>МДОУ №4 Г. МОЖАЙСКА</v>
      </c>
      <c r="B10997" s="24" t="s">
        <v>15405</v>
      </c>
      <c r="C10997" s="25">
        <v>3495728</v>
      </c>
      <c r="D10997" s="22" t="s">
        <v>15406</v>
      </c>
      <c r="E10997" s="22" t="s">
        <v>48</v>
      </c>
      <c r="F10997" s="23" t="str">
        <f>HYPERLINK("https://www.spark-marketing.ru/Card/Lot/72310967", "На оказание услуг по организации питания воспитанников на 2-е полугодие 2019г.")</f>
        <v>На оказание услуг по организации питания воспитанников на 2-е полугодие 2019г.</v>
      </c>
      <c r="G10997" s="22" t="s">
        <v>49</v>
      </c>
      <c r="H10997" s="22" t="s">
        <v>3718</v>
      </c>
      <c r="I10997" s="26">
        <v>43670.590972222199</v>
      </c>
      <c r="J10997" s="23" t="str">
        <f>HYPERLINK("https://www.spark-marketing.ru/Card/Person/101936", "ООО ""ИНВЕСТ ГАРАНТ""")</f>
        <v>ООО "ИНВЕСТ ГАРАНТ"</v>
      </c>
      <c r="K10997" s="24" t="s">
        <v>15408</v>
      </c>
      <c r="L10997" s="28" t="s">
        <v>51</v>
      </c>
      <c r="M10997" s="28" t="s">
        <v>51</v>
      </c>
      <c r="N10997" s="28" t="s">
        <v>51</v>
      </c>
    </row>
    <row r="10998" spans="1:14" hidden="1" outlineLevel="1" x14ac:dyDescent="0.2">
      <c r="A10998" s="23" t="str">
        <f>HYPERLINK("https://www.spark-marketing.ru/Card/Person/1077432", "МДОУ №4 Г. МОЖАЙСКА")</f>
        <v>МДОУ №4 Г. МОЖАЙСКА</v>
      </c>
      <c r="B10998" s="24" t="s">
        <v>15405</v>
      </c>
      <c r="C10998" s="25">
        <v>3495728</v>
      </c>
      <c r="D10998" s="22" t="s">
        <v>15406</v>
      </c>
      <c r="E10998" s="22" t="s">
        <v>48</v>
      </c>
      <c r="F10998" s="23" t="str">
        <f>HYPERLINK("https://www.spark-marketing.ru/Card/Lot/72310967", "На оказание услуг по организации питания воспитанников на 2-е полугодие 2019г.")</f>
        <v>На оказание услуг по организации питания воспитанников на 2-е полугодие 2019г.</v>
      </c>
      <c r="G10998" s="22" t="s">
        <v>49</v>
      </c>
      <c r="H10998" s="22" t="s">
        <v>3718</v>
      </c>
      <c r="I10998" s="26">
        <v>43670.590972222199</v>
      </c>
      <c r="J10998" s="23" t="str">
        <f>HYPERLINK("https://www.spark-marketing.ru/Card/Person/6290196", "ООО ""РАМКЕЙТ""")</f>
        <v>ООО "РАМКЕЙТ"</v>
      </c>
      <c r="K10998" s="24" t="s">
        <v>5037</v>
      </c>
      <c r="L10998" s="28" t="s">
        <v>51</v>
      </c>
      <c r="M10998" s="25">
        <v>2971368.8</v>
      </c>
      <c r="N10998" s="27">
        <v>0.15</v>
      </c>
    </row>
    <row r="10999" spans="1:14" x14ac:dyDescent="0.15">
      <c r="A10999" s="23" t="str">
        <f>HYPERLINK("https://www.spark-marketing.ru/Card/Person/21113", "ГБУЗ ПК ""ГОРНОЗАВОДСКАЯ РБ""")</f>
        <v>ГБУЗ ПК "ГОРНОЗАВОДСКАЯ РБ"</v>
      </c>
      <c r="B10999" s="24" t="s">
        <v>11472</v>
      </c>
      <c r="C10999" s="25">
        <v>2800000</v>
      </c>
      <c r="D10999" s="22" t="s">
        <v>15409</v>
      </c>
      <c r="E10999" s="22" t="s">
        <v>96</v>
      </c>
      <c r="F10999" s="23" t="str">
        <f>HYPERLINK("https://www.spark-marketing.ru/Card/Lot/72328930", "Право заключения гражданско-правового договора на оказание услуг по организации питания для пациентов Государственного бюджетного учреждения здравоохранения Пермского края «Горнозаводская районная больница», находящихся на стационарном лечении")</f>
        <v>Право заключения гражданско-правового договора на оказание услуг по организации питания для пациентов Государственного бюджетного учреждения здравоохранения Пермского края «Горнозаводская районная больница», находящихся на стационарном лечении</v>
      </c>
      <c r="G10999" s="22" t="s">
        <v>153</v>
      </c>
      <c r="H10999" s="22" t="s">
        <v>153</v>
      </c>
      <c r="I10999" s="26">
        <v>43670.6158796296</v>
      </c>
      <c r="J10999" s="28" t="s">
        <v>51</v>
      </c>
      <c r="K10999" s="28" t="s">
        <v>51</v>
      </c>
      <c r="L10999" s="28" t="s">
        <v>51</v>
      </c>
      <c r="M10999" s="28" t="s">
        <v>51</v>
      </c>
      <c r="N10999" s="28" t="s">
        <v>51</v>
      </c>
    </row>
    <row r="11000" spans="1:14" x14ac:dyDescent="0.15">
      <c r="A11000" s="23" t="str">
        <f>HYPERLINK("https://www.spark-marketing.ru/Card/Person/5890783", "ФЛ АО КОНЦЕРН РОСЭНЕРГОАТОМ ДИРЕКЦИЯ ПО СООРУЖЕНИЮ И ЭКСПЛУАТАЦИИ ПЛАВУЧИХ АТОМНЫХ ТЕПЛОЭЛЕКТРОСТАНЦИЙ")</f>
        <v>ФЛ АО КОНЦЕРН РОСЭНЕРГОАТОМ ДИРЕКЦИЯ ПО СООРУЖЕНИЮ И ЭКСПЛУАТАЦИИ ПЛАВУЧИХ АТОМНЫХ ТЕПЛОЭЛЕКТРОСТАНЦИЙ</v>
      </c>
      <c r="B11000" s="28" t="s">
        <v>51</v>
      </c>
      <c r="C11000" s="25">
        <v>0</v>
      </c>
      <c r="D11000" s="22" t="s">
        <v>15410</v>
      </c>
      <c r="E11000" s="22" t="s">
        <v>52</v>
      </c>
      <c r="F11000" s="23" t="str">
        <f>HYPERLINK("https://www.spark-marketing.ru/Card/Lot/72319247", "мониторинг цен в электронной форме на Оказание услуг по организации питания для нужд ПАТЭС в г. Певеке Чукотского автономного округа")</f>
        <v>мониторинг цен в электронной форме на Оказание услуг по организации питания для нужд ПАТЭС в г. Певеке Чукотского автономного округа</v>
      </c>
      <c r="G11000" s="22" t="s">
        <v>51</v>
      </c>
      <c r="H11000" s="22" t="s">
        <v>51</v>
      </c>
      <c r="I11000" s="26">
        <v>43670.596006944397</v>
      </c>
      <c r="J11000" s="28" t="s">
        <v>51</v>
      </c>
      <c r="K11000" s="28" t="s">
        <v>51</v>
      </c>
      <c r="L11000" s="28" t="s">
        <v>51</v>
      </c>
      <c r="M11000" s="28" t="s">
        <v>51</v>
      </c>
      <c r="N11000" s="28" t="s">
        <v>51</v>
      </c>
    </row>
    <row r="11001" spans="1:14" x14ac:dyDescent="0.15">
      <c r="A11001" s="23" t="str">
        <f>HYPERLINK("https://www.spark-marketing.ru/Card/Person/2324", "ГУ МВД РОССИИ ПО ЧЕЛЯБИНСКОЙ ОБЛАСТИ")</f>
        <v>ГУ МВД РОССИИ ПО ЧЕЛЯБИНСКОЙ ОБЛАСТИ</v>
      </c>
      <c r="B11001" s="24" t="s">
        <v>15411</v>
      </c>
      <c r="C11001" s="25">
        <v>6570000</v>
      </c>
      <c r="D11001" s="22" t="s">
        <v>15412</v>
      </c>
      <c r="E11001" s="22" t="s">
        <v>48</v>
      </c>
      <c r="F11001" s="23" t="str">
        <f>HYPERLINK("https://www.spark-marketing.ru/Card/Lot/72307111", "Оказание услуг по организации ежедневного трехразового горячего питания иностранных граждан и лиц без гражданства, содержащихся в Центре временного содержания иностранных граждан ГУ МВД России по Челябинской области")</f>
        <v>Оказание услуг по организации ежедневного трехразового горячего питания иностранных граждан и лиц без гражданства, содержащихся в Центре временного содержания иностранных граждан ГУ МВД России по Челябинской области</v>
      </c>
      <c r="G11001" s="22" t="s">
        <v>469</v>
      </c>
      <c r="H11001" s="22" t="s">
        <v>469</v>
      </c>
      <c r="I11001" s="26">
        <v>43670.592349537001</v>
      </c>
      <c r="J11001" s="23" t="str">
        <f>HYPERLINK("https://www.spark-marketing.ru/Card/Person/90569", "Галицына Наталья Александровна")</f>
        <v>Галицына Наталья Александровна</v>
      </c>
      <c r="K11001" s="24" t="s">
        <v>15413</v>
      </c>
      <c r="L11001" s="22" t="s">
        <v>10</v>
      </c>
      <c r="M11001" s="28" t="s">
        <v>51</v>
      </c>
      <c r="N11001" s="28" t="s">
        <v>51</v>
      </c>
    </row>
    <row r="11002" spans="1:14" x14ac:dyDescent="0.15">
      <c r="A11002" s="23" t="str">
        <f>HYPERLINK("https://www.spark-marketing.ru/Card/Person/4369400", "ООО АВИАПРЕДПРИЯТИЕ ""ГАЗПРОМ АВИА""")</f>
        <v>ООО АВИАПРЕДПРИЯТИЕ "ГАЗПРОМ АВИА"</v>
      </c>
      <c r="B11002" s="24" t="s">
        <v>1724</v>
      </c>
      <c r="C11002" s="25">
        <v>3254237.29</v>
      </c>
      <c r="D11002" s="22" t="s">
        <v>15414</v>
      </c>
      <c r="E11002" s="22" t="s">
        <v>362</v>
      </c>
      <c r="F11002" s="23" t="str">
        <f>HYPERLINK("https://www.spark-marketing.ru/Card/Lot/72323352", "оказание услуг по обеспечению пассажиров и экипажей воздушных судов бортовым питанием в а/п г. Сургут")</f>
        <v>оказание услуг по обеспечению пассажиров и экипажей воздушных судов бортовым питанием в а/п г. Сургут</v>
      </c>
      <c r="G11002" s="22" t="s">
        <v>56</v>
      </c>
      <c r="H11002" s="22" t="s">
        <v>56</v>
      </c>
      <c r="I11002" s="26">
        <v>43670.579953703702</v>
      </c>
      <c r="J11002" s="28" t="s">
        <v>51</v>
      </c>
      <c r="K11002" s="28" t="s">
        <v>51</v>
      </c>
      <c r="L11002" s="28" t="s">
        <v>51</v>
      </c>
      <c r="M11002" s="28" t="s">
        <v>51</v>
      </c>
      <c r="N11002" s="28" t="s">
        <v>51</v>
      </c>
    </row>
    <row r="11003" spans="1:14" x14ac:dyDescent="0.15">
      <c r="A11003" s="23" t="str">
        <f>HYPERLINK("https://www.spark-marketing.ru/Card/Person/25144", "ТУВИНСКИЙ ГОСУДАРСТВЕННЫЙ УНИВЕРСИТЕТ, ТУВГУ")</f>
        <v>ТУВИНСКИЙ ГОСУДАРСТВЕННЫЙ УНИВЕРСИТЕТ, ТУВГУ</v>
      </c>
      <c r="B11003" s="24" t="s">
        <v>2239</v>
      </c>
      <c r="C11003" s="25">
        <v>364066.66</v>
      </c>
      <c r="D11003" s="22" t="s">
        <v>15415</v>
      </c>
      <c r="E11003" s="22" t="s">
        <v>362</v>
      </c>
      <c r="F11003" s="23" t="str">
        <f>HYPERLINK("https://www.spark-marketing.ru/Card/Lot/72324481", "Оказание услуг по организации питания в Центре раннего развития")</f>
        <v>Оказание услуг по организации питания в Центре раннего развития</v>
      </c>
      <c r="G11003" s="22" t="s">
        <v>327</v>
      </c>
      <c r="H11003" s="22" t="s">
        <v>327</v>
      </c>
      <c r="I11003" s="26">
        <v>43670.552453703698</v>
      </c>
      <c r="J11003" s="28" t="s">
        <v>51</v>
      </c>
      <c r="K11003" s="28" t="s">
        <v>51</v>
      </c>
      <c r="L11003" s="28" t="s">
        <v>51</v>
      </c>
      <c r="M11003" s="28" t="s">
        <v>51</v>
      </c>
      <c r="N11003" s="28" t="s">
        <v>51</v>
      </c>
    </row>
    <row r="11004" spans="1:14" x14ac:dyDescent="0.15">
      <c r="A11004" s="23" t="str">
        <f>HYPERLINK("https://www.spark-marketing.ru/Card/Person/2324", "ГУ МВД РОССИИ ПО ЧЕЛЯБИНСКОЙ ОБЛАСТИ")</f>
        <v>ГУ МВД РОССИИ ПО ЧЕЛЯБИНСКОЙ ОБЛАСТИ</v>
      </c>
      <c r="B11004" s="24" t="s">
        <v>15411</v>
      </c>
      <c r="C11004" s="25">
        <v>6570000</v>
      </c>
      <c r="D11004" s="22" t="s">
        <v>15416</v>
      </c>
      <c r="E11004" s="22" t="s">
        <v>48</v>
      </c>
      <c r="F11004" s="23" t="str">
        <f>HYPERLINK("https://www.spark-marketing.ru/Card/Lot/72307104", "Оказание услуг по организации ежедневного трехразового горячего питания иностранных граждан и лиц без гражданства, содержащихся в Центре временного содержания иностранных граждан ГУ МВД России по Челябинской области")</f>
        <v>Оказание услуг по организации ежедневного трехразового горячего питания иностранных граждан и лиц без гражданства, содержащихся в Центре временного содержания иностранных граждан ГУ МВД России по Челябинской области</v>
      </c>
      <c r="G11004" s="22" t="s">
        <v>469</v>
      </c>
      <c r="H11004" s="22" t="s">
        <v>469</v>
      </c>
      <c r="I11004" s="26">
        <v>43670.582743055602</v>
      </c>
      <c r="J11004" s="23" t="str">
        <f>HYPERLINK("https://www.spark-marketing.ru/Card/Person/90569", "Галицына Наталья Александровна")</f>
        <v>Галицына Наталья Александровна</v>
      </c>
      <c r="K11004" s="24" t="s">
        <v>15413</v>
      </c>
      <c r="L11004" s="22" t="s">
        <v>10</v>
      </c>
      <c r="M11004" s="28" t="s">
        <v>51</v>
      </c>
      <c r="N11004" s="28" t="s">
        <v>51</v>
      </c>
    </row>
    <row r="11005" spans="1:14" x14ac:dyDescent="0.15">
      <c r="A11005" s="23" t="str">
        <f>HYPERLINK("https://www.spark-marketing.ru/Card/Person/10194", "ФГБУ ""ФЦССХ"" МИНЗДРАВА РОССИИ (Г. ХАБАРОВСК)")</f>
        <v>ФГБУ "ФЦССХ" МИНЗДРАВА РОССИИ (Г. ХАБАРОВСК)</v>
      </c>
      <c r="B11005" s="24" t="s">
        <v>1094</v>
      </c>
      <c r="C11005" s="25">
        <v>1210569.75</v>
      </c>
      <c r="D11005" s="22" t="s">
        <v>15417</v>
      </c>
      <c r="E11005" s="22" t="s">
        <v>603</v>
      </c>
      <c r="F11005" s="23" t="str">
        <f>HYPERLINK("https://www.spark-marketing.ru/Card/Lot/72297441", "Оказание метрологических услуг по поверке средств измерений")</f>
        <v>Оказание метрологических услуг по поверке средств измерений</v>
      </c>
      <c r="G11005" s="22" t="s">
        <v>1096</v>
      </c>
      <c r="H11005" s="22" t="s">
        <v>1097</v>
      </c>
      <c r="I11005" s="26">
        <v>43670.565636574102</v>
      </c>
      <c r="J11005" s="23" t="str">
        <f>HYPERLINK("https://www.spark-marketing.ru/Card/Person/170738", "ФБУ ""ХАБАРОВСКИЙ ЦСМ""")</f>
        <v>ФБУ "ХАБАРОВСКИЙ ЦСМ"</v>
      </c>
      <c r="K11005" s="24" t="s">
        <v>13406</v>
      </c>
      <c r="L11005" s="22" t="s">
        <v>10</v>
      </c>
      <c r="M11005" s="28" t="s">
        <v>51</v>
      </c>
      <c r="N11005" s="28" t="s">
        <v>51</v>
      </c>
    </row>
    <row r="11006" spans="1:14" collapsed="1" x14ac:dyDescent="0.15">
      <c r="A11006" s="23" t="str">
        <f>HYPERLINK("https://www.spark-marketing.ru/Card/Person/1010014", "МОБУ ""СОШ № 1""")</f>
        <v>МОБУ "СОШ № 1"</v>
      </c>
      <c r="B11006" s="24" t="s">
        <v>1961</v>
      </c>
      <c r="C11006" s="25">
        <v>7546389.7999999998</v>
      </c>
      <c r="D11006" s="22" t="s">
        <v>15418</v>
      </c>
      <c r="E11006" s="22" t="s">
        <v>96</v>
      </c>
      <c r="F11006" s="23" t="str">
        <f>HYPERLINK("https://www.spark-marketing.ru/Card/Lot/72307100", "ОКАЗАНИЕ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""СРЕДНЯЯ ОБЩЕОБРАЗОВАТЕЛЬНАЯ ШКОЛА № 1"" Г. КУДЫМКАРА НА БАЗЕ ШКОЛ...")</f>
        <v>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"СРЕДНЯЯ ОБЩЕОБРАЗОВАТЕЛЬНАЯ ШКОЛА № 1" Г. КУДЫМКАРА НА БАЗЕ ШКОЛ...</v>
      </c>
      <c r="G11006" s="22" t="s">
        <v>153</v>
      </c>
      <c r="H11006" s="22" t="s">
        <v>153</v>
      </c>
      <c r="I11006" s="26">
        <v>43670.576620370397</v>
      </c>
      <c r="J11006" s="28" t="s">
        <v>51</v>
      </c>
      <c r="K11006" s="28" t="s">
        <v>51</v>
      </c>
      <c r="L11006" s="28" t="s">
        <v>51</v>
      </c>
      <c r="M11006" s="28" t="s">
        <v>51</v>
      </c>
      <c r="N11006" s="28" t="s">
        <v>51</v>
      </c>
    </row>
    <row r="11007" spans="1:14" ht="12.75" hidden="1" outlineLevel="1" x14ac:dyDescent="0.2">
      <c r="A11007" s="23" t="str">
        <f>HYPERLINK("https://www.spark-marketing.ru/Card/Person/1010014", "МОБУ ""СОШ № 1""")</f>
        <v>МОБУ "СОШ № 1"</v>
      </c>
      <c r="B11007" s="24" t="s">
        <v>1961</v>
      </c>
      <c r="C11007" s="25">
        <v>7546389.7999999998</v>
      </c>
      <c r="D11007" s="22" t="s">
        <v>15418</v>
      </c>
      <c r="E11007" s="22" t="s">
        <v>96</v>
      </c>
      <c r="F11007" s="23" t="str">
        <f>HYPERLINK("https://www.spark-marketing.ru/Card/Lot/72307100", "ОКАЗАНИЕ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""СРЕДНЯЯ ОБЩЕОБРАЗОВАТЕЛЬНАЯ ШКОЛА № 1"" Г. КУДЫМКАРА НА БАЗЕ ШКОЛ...")</f>
        <v>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"СРЕДНЯЯ ОБЩЕОБРАЗОВАТЕЛЬНАЯ ШКОЛА № 1" Г. КУДЫМКАРА НА БАЗЕ ШКОЛ...</v>
      </c>
      <c r="G11007" s="22" t="s">
        <v>153</v>
      </c>
      <c r="H11007" s="22" t="s">
        <v>153</v>
      </c>
      <c r="I11007" s="26">
        <v>43670.576620370397</v>
      </c>
      <c r="J11007" s="23" t="str">
        <f>HYPERLINK("https://www.spark-marketing.ru/Card/Person/61115", "Петрова Ирина Алексеевна")</f>
        <v>Петрова Ирина Алексеевна</v>
      </c>
      <c r="K11007" s="24" t="s">
        <v>1963</v>
      </c>
      <c r="L11007" s="22" t="s">
        <v>10</v>
      </c>
      <c r="M11007" s="25">
        <v>3839728.03</v>
      </c>
      <c r="N11007" s="27">
        <v>0.49118344907123668</v>
      </c>
    </row>
    <row r="11008" spans="1:14" hidden="1" outlineLevel="1" x14ac:dyDescent="0.2">
      <c r="A11008" s="23" t="str">
        <f>HYPERLINK("https://www.spark-marketing.ru/Card/Person/1010014", "МОБУ ""СОШ № 1""")</f>
        <v>МОБУ "СОШ № 1"</v>
      </c>
      <c r="B11008" s="24" t="s">
        <v>1961</v>
      </c>
      <c r="C11008" s="25">
        <v>7546389.7999999998</v>
      </c>
      <c r="D11008" s="22" t="s">
        <v>15418</v>
      </c>
      <c r="E11008" s="22" t="s">
        <v>96</v>
      </c>
      <c r="F11008" s="23" t="str">
        <f>HYPERLINK("https://www.spark-marketing.ru/Card/Lot/72307100", "ОКАЗАНИЕ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""СРЕДНЯЯ ОБЩЕОБРАЗОВАТЕЛЬНАЯ ШКОЛА № 1"" Г. КУДЫМКАРА НА БАЗЕ ШКОЛ...")</f>
        <v>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"СРЕДНЯЯ ОБЩЕОБРАЗОВАТЕЛЬНАЯ ШКОЛА № 1" Г. КУДЫМКАРА НА БАЗЕ ШКОЛ...</v>
      </c>
      <c r="G11008" s="22" t="s">
        <v>153</v>
      </c>
      <c r="H11008" s="22" t="s">
        <v>153</v>
      </c>
      <c r="I11008" s="26">
        <v>43670.576620370397</v>
      </c>
      <c r="J11008" s="23" t="str">
        <f>HYPERLINK("https://www.spark-marketing.ru/Card/Person/2025480", "Четин Анатолий Николаевич")</f>
        <v>Четин Анатолий Николаевич</v>
      </c>
      <c r="K11008" s="24" t="s">
        <v>1964</v>
      </c>
      <c r="L11008" s="28" t="s">
        <v>51</v>
      </c>
      <c r="M11008" s="25">
        <v>4223745.51</v>
      </c>
      <c r="N11008" s="27">
        <v>0.44029587366398698</v>
      </c>
    </row>
    <row r="11009" spans="1:14" hidden="1" outlineLevel="1" x14ac:dyDescent="0.2">
      <c r="A11009" s="23" t="str">
        <f>HYPERLINK("https://www.spark-marketing.ru/Card/Person/1010014", "МОБУ ""СОШ № 1""")</f>
        <v>МОБУ "СОШ № 1"</v>
      </c>
      <c r="B11009" s="24" t="s">
        <v>1961</v>
      </c>
      <c r="C11009" s="25">
        <v>7546389.7999999998</v>
      </c>
      <c r="D11009" s="22" t="s">
        <v>15418</v>
      </c>
      <c r="E11009" s="22" t="s">
        <v>96</v>
      </c>
      <c r="F11009" s="23" t="str">
        <f>HYPERLINK("https://www.spark-marketing.ru/Card/Lot/72307100", "ОКАЗАНИЕ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""СРЕДНЯЯ ОБЩЕОБРАЗОВАТЕЛЬНАЯ ШКОЛА № 1"" Г. КУДЫМКАРА НА БАЗЕ ШКОЛ...")</f>
        <v>ОКАЗАНИЕ УСЛУГ ПО ОРГАНИЗАЦИИ ГОРЯЧЕГО ПИТАНИЯ ДЕТЕЙ ИЗ МАЛОИМУЩИХ СЕМЕЙ И ДЕТЕЙ ИЗ МНОГОДЕТНЫХ МАЛОИМУЩИХ СЕМЕЙ, ОБУЧАЮЩИХСЯ В МУНИЦИПАЛЬНОМ ОБЩЕОБРАЗОВАТЕЛЬНОМ БЮДЖЕТНОМ УЧРЕЖДЕНИИ "СРЕДНЯЯ ОБЩЕОБРАЗОВАТЕЛЬНАЯ ШКОЛА № 1" Г. КУДЫМКАРА НА БАЗЕ ШКОЛ...</v>
      </c>
      <c r="G11009" s="22" t="s">
        <v>153</v>
      </c>
      <c r="H11009" s="22" t="s">
        <v>153</v>
      </c>
      <c r="I11009" s="26">
        <v>43670.576620370397</v>
      </c>
      <c r="J11009" s="23" t="str">
        <f>HYPERLINK("https://www.spark-marketing.ru/Card/Person/6633295", "ООО ""КРИСТЕЛЬ""")</f>
        <v>ООО "КРИСТЕЛЬ"</v>
      </c>
      <c r="K11009" s="24" t="s">
        <v>2792</v>
      </c>
      <c r="L11009" s="28" t="s">
        <v>51</v>
      </c>
      <c r="M11009" s="25">
        <v>3877459.98</v>
      </c>
      <c r="N11009" s="27">
        <v>0.48618344893872301</v>
      </c>
    </row>
    <row r="11010" spans="1:14" collapsed="1" x14ac:dyDescent="0.15">
      <c r="A11010" s="23" t="str">
        <f>HYPERLINK("https://www.spark-marketing.ru/Card/Person/2493", "ПРИВОЛЖСКОЕ ТАМОЖЕННОЕ УПРАВЛЕНИЕ")</f>
        <v>ПРИВОЛЖСКОЕ ТАМОЖЕННОЕ УПРАВЛЕНИЕ</v>
      </c>
      <c r="B11010" s="24" t="s">
        <v>15419</v>
      </c>
      <c r="C11010" s="25">
        <v>315666.69</v>
      </c>
      <c r="D11010" s="22" t="s">
        <v>15420</v>
      </c>
      <c r="E11010" s="22" t="s">
        <v>355</v>
      </c>
      <c r="F11010" s="23" t="str">
        <f>HYPERLINK("https://www.spark-marketing.ru/Card/Lot/72310237", "Оказание услуг по техническому обслуживанию и ремонту источников бесперебойного питания Приволжского таможенного управления")</f>
        <v>Оказание услуг по техническому обслуживанию и ремонту источников бесперебойного питания Приволжского таможенного управления</v>
      </c>
      <c r="G11010" s="22" t="s">
        <v>76</v>
      </c>
      <c r="H11010" s="22" t="s">
        <v>940</v>
      </c>
      <c r="I11010" s="26">
        <v>43670.5633101852</v>
      </c>
      <c r="J11010" s="28" t="s">
        <v>51</v>
      </c>
      <c r="K11010" s="28" t="s">
        <v>51</v>
      </c>
      <c r="L11010" s="28" t="s">
        <v>51</v>
      </c>
      <c r="M11010" s="28" t="s">
        <v>51</v>
      </c>
      <c r="N11010" s="28" t="s">
        <v>51</v>
      </c>
    </row>
    <row r="11011" spans="1:14" ht="12.75" hidden="1" outlineLevel="1" x14ac:dyDescent="0.2">
      <c r="A11011" s="23" t="str">
        <f>HYPERLINK("https://www.spark-marketing.ru/Card/Person/2493", "ПРИВОЛЖСКОЕ ТАМОЖЕННОЕ УПРАВЛЕНИЕ")</f>
        <v>ПРИВОЛЖСКОЕ ТАМОЖЕННОЕ УПРАВЛЕНИЕ</v>
      </c>
      <c r="B11011" s="24" t="s">
        <v>15419</v>
      </c>
      <c r="C11011" s="25">
        <v>315666.69</v>
      </c>
      <c r="D11011" s="22" t="s">
        <v>15420</v>
      </c>
      <c r="E11011" s="22" t="s">
        <v>355</v>
      </c>
      <c r="F11011" s="23" t="str">
        <f>HYPERLINK("https://www.spark-marketing.ru/Card/Lot/72310237", "Оказание услуг по техническому обслуживанию и ремонту источников бесперебойного питания Приволжского таможенного управления")</f>
        <v>Оказание услуг по техническому обслуживанию и ремонту источников бесперебойного питания Приволжского таможенного управления</v>
      </c>
      <c r="G11011" s="22" t="s">
        <v>76</v>
      </c>
      <c r="H11011" s="22" t="s">
        <v>940</v>
      </c>
      <c r="I11011" s="26">
        <v>43670.5633101852</v>
      </c>
      <c r="J11011" s="23" t="str">
        <f>HYPERLINK("https://www.spark-marketing.ru/Card/Person/4743555", "ООО ""ПРОМИНВЕСТ""")</f>
        <v>ООО "ПРОМИНВЕСТ"</v>
      </c>
      <c r="K11011" s="24" t="s">
        <v>15421</v>
      </c>
      <c r="L11011" s="22" t="s">
        <v>10</v>
      </c>
      <c r="M11011" s="25">
        <v>94800</v>
      </c>
      <c r="N11011" s="27">
        <v>0.69968323233598073</v>
      </c>
    </row>
    <row r="11012" spans="1:14" hidden="1" outlineLevel="1" x14ac:dyDescent="0.2">
      <c r="A11012" s="23" t="str">
        <f>HYPERLINK("https://www.spark-marketing.ru/Card/Person/2493", "ПРИВОЛЖСКОЕ ТАМОЖЕННОЕ УПРАВЛЕНИЕ")</f>
        <v>ПРИВОЛЖСКОЕ ТАМОЖЕННОЕ УПРАВЛЕНИЕ</v>
      </c>
      <c r="B11012" s="24" t="s">
        <v>15419</v>
      </c>
      <c r="C11012" s="25">
        <v>315666.69</v>
      </c>
      <c r="D11012" s="22" t="s">
        <v>15420</v>
      </c>
      <c r="E11012" s="22" t="s">
        <v>355</v>
      </c>
      <c r="F11012" s="23" t="str">
        <f>HYPERLINK("https://www.spark-marketing.ru/Card/Lot/72310237", "Оказание услуг по техническому обслуживанию и ремонту источников бесперебойного питания Приволжского таможенного управления")</f>
        <v>Оказание услуг по техническому обслуживанию и ремонту источников бесперебойного питания Приволжского таможенного управления</v>
      </c>
      <c r="G11012" s="22" t="s">
        <v>76</v>
      </c>
      <c r="H11012" s="22" t="s">
        <v>940</v>
      </c>
      <c r="I11012" s="26">
        <v>43670.5633101852</v>
      </c>
      <c r="J11012" s="23" t="str">
        <f>HYPERLINK("https://www.spark-marketing.ru/Card/Person/4853436", "ООО ""АЙСБЕРГ-ТЕХНОСЕРВИС""")</f>
        <v>ООО "АЙСБЕРГ-ТЕХНОСЕРВИС"</v>
      </c>
      <c r="K11012" s="24" t="s">
        <v>15422</v>
      </c>
      <c r="L11012" s="28" t="s">
        <v>51</v>
      </c>
      <c r="M11012" s="25">
        <v>170000</v>
      </c>
      <c r="N11012" s="27">
        <v>0.46145727317633672</v>
      </c>
    </row>
    <row r="11013" spans="1:14" hidden="1" outlineLevel="1" x14ac:dyDescent="0.2">
      <c r="A11013" s="23" t="str">
        <f>HYPERLINK("https://www.spark-marketing.ru/Card/Person/2493", "ПРИВОЛЖСКОЕ ТАМОЖЕННОЕ УПРАВЛЕНИЕ")</f>
        <v>ПРИВОЛЖСКОЕ ТАМОЖЕННОЕ УПРАВЛЕНИЕ</v>
      </c>
      <c r="B11013" s="24" t="s">
        <v>15419</v>
      </c>
      <c r="C11013" s="25">
        <v>315666.69</v>
      </c>
      <c r="D11013" s="22" t="s">
        <v>15420</v>
      </c>
      <c r="E11013" s="22" t="s">
        <v>355</v>
      </c>
      <c r="F11013" s="23" t="str">
        <f>HYPERLINK("https://www.spark-marketing.ru/Card/Lot/72310237", "Оказание услуг по техническому обслуживанию и ремонту источников бесперебойного питания Приволжского таможенного управления")</f>
        <v>Оказание услуг по техническому обслуживанию и ремонту источников бесперебойного питания Приволжского таможенного управления</v>
      </c>
      <c r="G11013" s="22" t="s">
        <v>76</v>
      </c>
      <c r="H11013" s="22" t="s">
        <v>940</v>
      </c>
      <c r="I11013" s="26">
        <v>43670.5633101852</v>
      </c>
      <c r="J11013" s="23" t="str">
        <f>HYPERLINK("https://www.spark-marketing.ru/Card/Person/798410", "ООО ""ЛАНИТ-НН""")</f>
        <v>ООО "ЛАНИТ-НН"</v>
      </c>
      <c r="K11013" s="24" t="s">
        <v>15423</v>
      </c>
      <c r="L11013" s="28" t="s">
        <v>51</v>
      </c>
      <c r="M11013" s="25">
        <v>96421.67</v>
      </c>
      <c r="N11013" s="27">
        <v>0.69454594654887403</v>
      </c>
    </row>
    <row r="11014" spans="1:14" x14ac:dyDescent="0.15">
      <c r="A11014" s="23" t="str">
        <f>HYPERLINK("https://www.spark-marketing.ru/Card/Person/1022690", "МОУ НАЧАЛЬНАЯ ШКОЛА - ДЕТСКИЙ САД №58")</f>
        <v>МОУ НАЧАЛЬНАЯ ШКОЛА - ДЕТСКИЙ САД №58</v>
      </c>
      <c r="B11014" s="24" t="s">
        <v>15424</v>
      </c>
      <c r="C11014" s="25">
        <v>204321</v>
      </c>
      <c r="D11014" s="22" t="s">
        <v>15425</v>
      </c>
      <c r="E11014" s="22" t="s">
        <v>48</v>
      </c>
      <c r="F11014" s="23" t="str">
        <f>HYPERLINK("https://www.spark-marketing.ru/Card/Lot/72305662",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11014" s="22" t="s">
        <v>49</v>
      </c>
      <c r="H11014" s="22" t="s">
        <v>50</v>
      </c>
      <c r="I11014" s="26">
        <v>43670.524166666699</v>
      </c>
      <c r="J11014" s="28" t="s">
        <v>51</v>
      </c>
      <c r="K11014" s="28" t="s">
        <v>51</v>
      </c>
      <c r="L11014" s="28" t="s">
        <v>51</v>
      </c>
      <c r="M11014" s="28" t="s">
        <v>51</v>
      </c>
      <c r="N11014" s="28" t="s">
        <v>51</v>
      </c>
    </row>
    <row r="11015" spans="1:14" x14ac:dyDescent="0.15">
      <c r="A11015" s="23" t="str">
        <f>HYPERLINK("https://www.spark-marketing.ru/Card/Person/103356", "ФГБУ ""ЮЖНЫЙ АСЦ МЧС РОССИИ""")</f>
        <v>ФГБУ "ЮЖНЫЙ АСЦ МЧС РОССИИ"</v>
      </c>
      <c r="B11015" s="24" t="s">
        <v>15426</v>
      </c>
      <c r="C11015" s="25">
        <v>984000</v>
      </c>
      <c r="D11015" s="22" t="s">
        <v>15427</v>
      </c>
      <c r="E11015" s="22" t="s">
        <v>48</v>
      </c>
      <c r="F11015" s="23" t="str">
        <f>HYPERLINK("https://www.spark-marketing.ru/Card/Lot/72315577", "Оказание услуг по организации питания личного состава (в г. Адлер, с. Солох-Аул, в/п Навагинка)")</f>
        <v>Оказание услуг по организации питания личного состава (в г. Адлер, с. Солох-Аул, в/п Навагинка)</v>
      </c>
      <c r="G11015" s="22" t="s">
        <v>104</v>
      </c>
      <c r="H11015" s="22" t="s">
        <v>104</v>
      </c>
      <c r="I11015" s="26">
        <v>43670.526400463001</v>
      </c>
      <c r="J11015" s="23" t="str">
        <f>HYPERLINK("https://www.spark-marketing.ru/Card/Person/1211793", "ООО ""ГОРОД Н""")</f>
        <v>ООО "ГОРОД Н"</v>
      </c>
      <c r="K11015" s="24" t="s">
        <v>15428</v>
      </c>
      <c r="L11015" s="22" t="s">
        <v>10</v>
      </c>
      <c r="M11015" s="28" t="s">
        <v>51</v>
      </c>
      <c r="N11015" s="28" t="s">
        <v>51</v>
      </c>
    </row>
    <row r="11016" spans="1:14" x14ac:dyDescent="0.15">
      <c r="A11016" s="23" t="str">
        <f>HYPERLINK("https://www.spark-marketing.ru/Card/Person/13214", "ФГБУ ""НМИЦ ТО ИМ. Н.Н. ПРИОРОВА"" МИНЗДРАВА РОССИИ")</f>
        <v>ФГБУ "НМИЦ ТО ИМ. Н.Н. ПРИОРОВА" МИНЗДРАВА РОССИИ</v>
      </c>
      <c r="B11016" s="24" t="s">
        <v>15429</v>
      </c>
      <c r="C11016" s="25">
        <v>4966798</v>
      </c>
      <c r="D11016" s="22" t="s">
        <v>15430</v>
      </c>
      <c r="E11016" s="22" t="s">
        <v>152</v>
      </c>
      <c r="F11016" s="23" t="str">
        <f>HYPERLINK("https://www.spark-marketing.ru/Card/Lot/72349608", "Предоставление услуг по ремонту источников бесперебойного питания медицинской техники.")</f>
        <v>Предоставление услуг по ремонту источников бесперебойного питания медицинской техники.</v>
      </c>
      <c r="G11016" s="22" t="s">
        <v>56</v>
      </c>
      <c r="H11016" s="22" t="s">
        <v>56</v>
      </c>
      <c r="I11016" s="26">
        <v>43670.504965277803</v>
      </c>
      <c r="J11016" s="23" t="str">
        <f>HYPERLINK("https://www.spark-marketing.ru/Card/Person/6444706", "ООО ""НЬЮТОН-МТ""")</f>
        <v>ООО "НЬЮТОН-МТ"</v>
      </c>
      <c r="K11016" s="24" t="s">
        <v>15431</v>
      </c>
      <c r="L11016" s="22" t="s">
        <v>10</v>
      </c>
      <c r="M11016" s="28" t="s">
        <v>51</v>
      </c>
      <c r="N11016" s="28" t="s">
        <v>51</v>
      </c>
    </row>
    <row r="11017" spans="1:14" x14ac:dyDescent="0.15">
      <c r="A11017" s="23" t="str">
        <f>HYPERLINK("https://www.spark-marketing.ru/Card/Person/29335", "УМВД РОССИИ ПО ПСКОВСКОЙ ОБЛАСТИ")</f>
        <v>УМВД РОССИИ ПО ПСКОВСКОЙ ОБЛАСТИ</v>
      </c>
      <c r="B11017" s="24" t="s">
        <v>4993</v>
      </c>
      <c r="C11017" s="25">
        <v>99889.2</v>
      </c>
      <c r="D11017" s="22" t="s">
        <v>15432</v>
      </c>
      <c r="E11017" s="22" t="s">
        <v>48</v>
      </c>
      <c r="F11017" s="23" t="str">
        <f>HYPERLINK("https://www.spark-marketing.ru/Card/Lot/72312916", "Обеспечение пяти разовым горячим питанием несовершеннолетних правонарушителей")</f>
        <v>Обеспечение пяти разовым горячим питанием несовершеннолетних правонарушителей</v>
      </c>
      <c r="G11017" s="22" t="s">
        <v>415</v>
      </c>
      <c r="H11017" s="22" t="s">
        <v>415</v>
      </c>
      <c r="I11017" s="26">
        <v>43670.506527777798</v>
      </c>
      <c r="J11017" s="23" t="str">
        <f>HYPERLINK("https://www.spark-marketing.ru/Card/Person/4893587", "ООО ""ПАТРИЯ""")</f>
        <v>ООО "ПАТРИЯ"</v>
      </c>
      <c r="K11017" s="24" t="s">
        <v>11315</v>
      </c>
      <c r="L11017" s="22" t="s">
        <v>10</v>
      </c>
      <c r="M11017" s="28" t="s">
        <v>51</v>
      </c>
      <c r="N11017" s="28" t="s">
        <v>51</v>
      </c>
    </row>
    <row r="11018" spans="1:14" x14ac:dyDescent="0.15">
      <c r="A11018" s="23" t="str">
        <f>HYPERLINK("https://www.spark-marketing.ru/Card/Person/223418", "ФКУ КП-3 УФСИН РОССИИ ПО РЕСПУБЛИКЕ БУРЯТИЯ")</f>
        <v>ФКУ КП-3 УФСИН РОССИИ ПО РЕСПУБЛИКЕ БУРЯТИЯ</v>
      </c>
      <c r="B11018" s="24" t="s">
        <v>15433</v>
      </c>
      <c r="C11018" s="25">
        <v>5200</v>
      </c>
      <c r="D11018" s="22" t="s">
        <v>15434</v>
      </c>
      <c r="E11018" s="22" t="s">
        <v>437</v>
      </c>
      <c r="F11018" s="23" t="str">
        <f>HYPERLINK("https://www.spark-marketing.ru/Card/Lot/72303224", "Оказание услуг по проведению ветеринарно-санитарной экспертизы яйца куриного, мяса птицы собственного производства")</f>
        <v>Оказание услуг по проведению ветеринарно-санитарной экспертизы яйца куриного, мяса птицы собственного производства</v>
      </c>
      <c r="G11018" s="22" t="s">
        <v>433</v>
      </c>
      <c r="H11018" s="22" t="s">
        <v>433</v>
      </c>
      <c r="I11018" s="26">
        <v>43670.535983796297</v>
      </c>
      <c r="J11018" s="28" t="s">
        <v>51</v>
      </c>
      <c r="K11018" s="28" t="s">
        <v>51</v>
      </c>
      <c r="L11018" s="28" t="s">
        <v>51</v>
      </c>
      <c r="M11018" s="28" t="s">
        <v>51</v>
      </c>
      <c r="N11018" s="28" t="s">
        <v>51</v>
      </c>
    </row>
    <row r="11019" spans="1:14" x14ac:dyDescent="0.15">
      <c r="A11019" s="23" t="str">
        <f>HYPERLINK("https://www.spark-marketing.ru/Card/Person/1007198", "ГБПОУ РО ""БКТТ""")</f>
        <v>ГБПОУ РО "БКТТ"</v>
      </c>
      <c r="B11019" s="24" t="s">
        <v>15435</v>
      </c>
      <c r="C11019" s="25">
        <v>531200</v>
      </c>
      <c r="D11019" s="22" t="s">
        <v>15436</v>
      </c>
      <c r="E11019" s="22" t="s">
        <v>716</v>
      </c>
      <c r="F11019" s="23" t="str">
        <f>HYPERLINK("https://www.spark-marketing.ru/Card/Lot/72308679", "Поставка учебной литературы")</f>
        <v>Поставка учебной литературы</v>
      </c>
      <c r="G11019" s="22" t="s">
        <v>267</v>
      </c>
      <c r="H11019" s="22" t="s">
        <v>15437</v>
      </c>
      <c r="I11019" s="26">
        <v>43670.533576388902</v>
      </c>
      <c r="J11019" s="28" t="s">
        <v>51</v>
      </c>
      <c r="K11019" s="28" t="s">
        <v>51</v>
      </c>
      <c r="L11019" s="28" t="s">
        <v>51</v>
      </c>
      <c r="M11019" s="28" t="s">
        <v>51</v>
      </c>
      <c r="N11019" s="28" t="s">
        <v>51</v>
      </c>
    </row>
    <row r="11020" spans="1:14" ht="12.75" hidden="1" outlineLevel="1" x14ac:dyDescent="0.2">
      <c r="A11020" s="23" t="str">
        <f>HYPERLINK("https://www.spark-marketing.ru/Card/Person/1007198", "ГБПОУ РО ""БКТТ""")</f>
        <v>ГБПОУ РО "БКТТ"</v>
      </c>
      <c r="B11020" s="24" t="s">
        <v>15435</v>
      </c>
      <c r="C11020" s="25">
        <v>531200</v>
      </c>
      <c r="D11020" s="22" t="s">
        <v>15436</v>
      </c>
      <c r="E11020" s="22" t="s">
        <v>716</v>
      </c>
      <c r="F11020" s="23" t="str">
        <f>HYPERLINK("https://www.spark-marketing.ru/Card/Lot/72308679", "Поставка учебной литературы")</f>
        <v>Поставка учебной литературы</v>
      </c>
      <c r="G11020" s="22" t="s">
        <v>267</v>
      </c>
      <c r="H11020" s="22" t="s">
        <v>15437</v>
      </c>
      <c r="I11020" s="26">
        <v>43670.533576388902</v>
      </c>
      <c r="J11020" s="23" t="str">
        <f>HYPERLINK("https://www.spark-marketing.ru/Card/Person/5898875", "Витченко Вера Семеновна")</f>
        <v>Витченко Вера Семеновна</v>
      </c>
      <c r="K11020" s="24" t="s">
        <v>15438</v>
      </c>
      <c r="L11020" s="22" t="s">
        <v>10</v>
      </c>
      <c r="M11020" s="25">
        <v>499328</v>
      </c>
      <c r="N11020" s="27">
        <v>0.06</v>
      </c>
    </row>
    <row r="11021" spans="1:14" hidden="1" outlineLevel="1" x14ac:dyDescent="0.2">
      <c r="A11021" s="23" t="str">
        <f>HYPERLINK("https://www.spark-marketing.ru/Card/Person/1007198", "ГБПОУ РО ""БКТТ""")</f>
        <v>ГБПОУ РО "БКТТ"</v>
      </c>
      <c r="B11021" s="24" t="s">
        <v>15435</v>
      </c>
      <c r="C11021" s="25">
        <v>531200</v>
      </c>
      <c r="D11021" s="22" t="s">
        <v>15436</v>
      </c>
      <c r="E11021" s="22" t="s">
        <v>716</v>
      </c>
      <c r="F11021" s="23" t="str">
        <f>HYPERLINK("https://www.spark-marketing.ru/Card/Lot/72308679", "Поставка учебной литературы")</f>
        <v>Поставка учебной литературы</v>
      </c>
      <c r="G11021" s="22" t="s">
        <v>267</v>
      </c>
      <c r="H11021" s="22" t="s">
        <v>15437</v>
      </c>
      <c r="I11021" s="26">
        <v>43670.533576388902</v>
      </c>
      <c r="J11021" s="23" t="str">
        <f>HYPERLINK("https://www.spark-marketing.ru/Card/Person/447267", "Вороная Ирина Петровна")</f>
        <v>Вороная Ирина Петровна</v>
      </c>
      <c r="K11021" s="24" t="s">
        <v>15439</v>
      </c>
      <c r="L11021" s="28" t="s">
        <v>51</v>
      </c>
      <c r="M11021" s="25">
        <v>501984</v>
      </c>
      <c r="N11021" s="27">
        <v>5.5E-2</v>
      </c>
    </row>
    <row r="11022" spans="1:14" x14ac:dyDescent="0.15">
      <c r="A11022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11022" s="24" t="s">
        <v>13798</v>
      </c>
      <c r="C11022" s="25">
        <v>48162.31</v>
      </c>
      <c r="D11022" s="22" t="s">
        <v>15440</v>
      </c>
      <c r="E11022" s="22" t="s">
        <v>15441</v>
      </c>
      <c r="F11022" s="23" t="str">
        <f>HYPERLINK("https://www.spark-marketing.ru/Card/Lot/72304124",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1022" s="22" t="s">
        <v>63</v>
      </c>
      <c r="H11022" s="22" t="s">
        <v>177</v>
      </c>
      <c r="I11022" s="26">
        <v>43670.506944444402</v>
      </c>
      <c r="J11022" s="28" t="s">
        <v>51</v>
      </c>
      <c r="K11022" s="28" t="s">
        <v>51</v>
      </c>
      <c r="L11022" s="28" t="s">
        <v>51</v>
      </c>
      <c r="M11022" s="28" t="s">
        <v>51</v>
      </c>
      <c r="N11022" s="28" t="s">
        <v>51</v>
      </c>
    </row>
    <row r="11023" spans="1:14" x14ac:dyDescent="0.2">
      <c r="A11023" s="23" t="str">
        <f>HYPERLINK("https://www.spark-marketing.ru/Card/Person/68459", "НИЯУ МИФИ")</f>
        <v>НИЯУ МИФИ</v>
      </c>
      <c r="B11023" s="24" t="s">
        <v>8968</v>
      </c>
      <c r="C11023" s="25">
        <v>3358212</v>
      </c>
      <c r="D11023" s="22" t="s">
        <v>15442</v>
      </c>
      <c r="E11023" s="22" t="s">
        <v>362</v>
      </c>
      <c r="F11023" s="23" t="str">
        <f>HYPERLINK("https://www.spark-marketing.ru/Card/Lot/72322794", "Оказание услуг по организации горячего питания учащихся Университетского лицея № 1523 Предуниверситария НИЯУ МИФИ")</f>
        <v>Оказание услуг по организации горячего питания учащихся Университетского лицея № 1523 Предуниверситария НИЯУ МИФИ</v>
      </c>
      <c r="G11023" s="22" t="s">
        <v>56</v>
      </c>
      <c r="H11023" s="22" t="s">
        <v>56</v>
      </c>
      <c r="I11023" s="26">
        <v>43670.5242013889</v>
      </c>
      <c r="J11023" s="28" t="s">
        <v>51</v>
      </c>
      <c r="K11023" s="28" t="s">
        <v>51</v>
      </c>
      <c r="L11023" s="22" t="s">
        <v>10</v>
      </c>
      <c r="M11023" s="25">
        <v>3358212</v>
      </c>
      <c r="N11023" s="27">
        <v>0</v>
      </c>
    </row>
    <row r="11024" spans="1:14" x14ac:dyDescent="0.15">
      <c r="A11024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11024" s="24" t="s">
        <v>13798</v>
      </c>
      <c r="C11024" s="25">
        <v>6480</v>
      </c>
      <c r="D11024" s="22" t="s">
        <v>15443</v>
      </c>
      <c r="E11024" s="22" t="s">
        <v>10059</v>
      </c>
      <c r="F11024" s="23" t="str">
        <f>HYPERLINK("https://www.spark-marketing.ru/Card/Lot/72304152",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1024" s="22" t="s">
        <v>63</v>
      </c>
      <c r="H11024" s="22" t="s">
        <v>177</v>
      </c>
      <c r="I11024" s="26">
        <v>43670.509722222203</v>
      </c>
      <c r="J11024" s="28" t="s">
        <v>51</v>
      </c>
      <c r="K11024" s="28" t="s">
        <v>51</v>
      </c>
      <c r="L11024" s="28" t="s">
        <v>51</v>
      </c>
      <c r="M11024" s="28" t="s">
        <v>51</v>
      </c>
      <c r="N11024" s="28" t="s">
        <v>51</v>
      </c>
    </row>
    <row r="11025" spans="1:14" x14ac:dyDescent="0.15">
      <c r="A11025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11025" s="24" t="s">
        <v>13798</v>
      </c>
      <c r="C11025" s="25">
        <v>87113.68</v>
      </c>
      <c r="D11025" s="22" t="s">
        <v>15444</v>
      </c>
      <c r="E11025" s="22" t="s">
        <v>15445</v>
      </c>
      <c r="F11025" s="23" t="str">
        <f>HYPERLINK("https://www.spark-marketing.ru/Card/Lot/72304091",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1025" s="22" t="s">
        <v>63</v>
      </c>
      <c r="H11025" s="22" t="s">
        <v>177</v>
      </c>
      <c r="I11025" s="26">
        <v>43670.505555555603</v>
      </c>
      <c r="J11025" s="28" t="s">
        <v>51</v>
      </c>
      <c r="K11025" s="28" t="s">
        <v>51</v>
      </c>
      <c r="L11025" s="28" t="s">
        <v>51</v>
      </c>
      <c r="M11025" s="28" t="s">
        <v>51</v>
      </c>
      <c r="N11025" s="28" t="s">
        <v>51</v>
      </c>
    </row>
    <row r="11026" spans="1:14" x14ac:dyDescent="0.15">
      <c r="A11026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11026" s="24" t="s">
        <v>13798</v>
      </c>
      <c r="C11026" s="25">
        <v>15324</v>
      </c>
      <c r="D11026" s="22" t="s">
        <v>15446</v>
      </c>
      <c r="E11026" s="22" t="s">
        <v>14922</v>
      </c>
      <c r="F11026" s="23" t="str">
        <f>HYPERLINK("https://www.spark-marketing.ru/Card/Lot/72303791",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1026" s="22" t="s">
        <v>63</v>
      </c>
      <c r="H11026" s="22" t="s">
        <v>177</v>
      </c>
      <c r="I11026" s="26">
        <v>43670.5180555556</v>
      </c>
      <c r="J11026" s="28" t="s">
        <v>51</v>
      </c>
      <c r="K11026" s="28" t="s">
        <v>51</v>
      </c>
      <c r="L11026" s="28" t="s">
        <v>51</v>
      </c>
      <c r="M11026" s="28" t="s">
        <v>51</v>
      </c>
      <c r="N11026" s="28" t="s">
        <v>51</v>
      </c>
    </row>
    <row r="11027" spans="1:14" x14ac:dyDescent="0.15">
      <c r="A11027" s="23" t="str">
        <f>HYPERLINK("https://www.spark-marketing.ru/Card/Person/133569", "МО МВД РОССИИ ""УСТЬ-КУТСКИЙ""")</f>
        <v>МО МВД РОССИИ "УСТЬ-КУТСКИЙ"</v>
      </c>
      <c r="B11027" s="24" t="s">
        <v>3540</v>
      </c>
      <c r="C11027" s="25">
        <v>1000000</v>
      </c>
      <c r="D11027" s="22" t="s">
        <v>15447</v>
      </c>
      <c r="E11027" s="22" t="s">
        <v>48</v>
      </c>
      <c r="F11027" s="23" t="str">
        <f>HYPERLINK("https://www.spark-marketing.ru/Card/Lot/72327869", "Оказание услуг по доставке и организации ежедневного трехразового питания лиц подозреваемых и обвиняемых, административно-арестованных лиц, содержащихся в ИВС МО МВД России ""Усть-Кутский""")</f>
        <v>Оказание услуг по доставке и организации ежедневного трехразового питания лиц подозреваемых и обвиняемых, административно-арестованных лиц, содержащихся в ИВС МО МВД России "Усть-Кутский"</v>
      </c>
      <c r="G11027" s="22" t="s">
        <v>263</v>
      </c>
      <c r="H11027" s="22" t="s">
        <v>3542</v>
      </c>
      <c r="I11027" s="26">
        <v>43670.515069444402</v>
      </c>
      <c r="J11027" s="23" t="str">
        <f>HYPERLINK("https://www.spark-marketing.ru/Card/Person/588111", "ООО ""КУЛИНАР""")</f>
        <v>ООО "КУЛИНАР"</v>
      </c>
      <c r="K11027" s="24" t="s">
        <v>15404</v>
      </c>
      <c r="L11027" s="22" t="s">
        <v>10</v>
      </c>
      <c r="M11027" s="28" t="s">
        <v>51</v>
      </c>
      <c r="N11027" s="28" t="s">
        <v>51</v>
      </c>
    </row>
    <row r="11028" spans="1:14" x14ac:dyDescent="0.15">
      <c r="A11028" s="23" t="str">
        <f>HYPERLINK("https://www.spark-marketing.ru/Card/Person/29335", "УМВД РОССИИ ПО ПСКОВСКОЙ ОБЛАСТИ")</f>
        <v>УМВД РОССИИ ПО ПСКОВСКОЙ ОБЛАСТИ</v>
      </c>
      <c r="B11028" s="24" t="s">
        <v>4993</v>
      </c>
      <c r="C11028" s="25">
        <v>99840.06</v>
      </c>
      <c r="D11028" s="22" t="s">
        <v>15448</v>
      </c>
      <c r="E11028" s="22" t="s">
        <v>48</v>
      </c>
      <c r="F11028" s="23" t="str">
        <f>HYPERLINK("https://www.spark-marketing.ru/Card/Lot/72312917", "Обеспечение пяти разовым горячим питанием несовершеннолетних правонарушителей")</f>
        <v>Обеспечение пяти разовым горячим питанием несовершеннолетних правонарушителей</v>
      </c>
      <c r="G11028" s="22" t="s">
        <v>415</v>
      </c>
      <c r="H11028" s="22" t="s">
        <v>415</v>
      </c>
      <c r="I11028" s="26">
        <v>43670.506944444402</v>
      </c>
      <c r="J11028" s="23" t="str">
        <f>HYPERLINK("https://www.spark-marketing.ru/Card/Person/4893587", "ООО ""ПАТРИЯ""")</f>
        <v>ООО "ПАТРИЯ"</v>
      </c>
      <c r="K11028" s="24" t="s">
        <v>11315</v>
      </c>
      <c r="L11028" s="22" t="s">
        <v>10</v>
      </c>
      <c r="M11028" s="28" t="s">
        <v>51</v>
      </c>
      <c r="N11028" s="28" t="s">
        <v>51</v>
      </c>
    </row>
    <row r="11029" spans="1:14" x14ac:dyDescent="0.15">
      <c r="A11029" s="23" t="str">
        <f>HYPERLINK("https://www.spark-marketing.ru/Card/Person/102361", "ФКУ ""ЦУКС ГУ МЧС РОССИИ ПО ЧЕЛЯБИНСКОЙ ОБЛАСТИ""")</f>
        <v>ФКУ "ЦУКС ГУ МЧС РОССИИ ПО ЧЕЛЯБИНСКОЙ ОБЛАСТИ"</v>
      </c>
      <c r="B11029" s="24" t="s">
        <v>11339</v>
      </c>
      <c r="C11029" s="25">
        <v>547400</v>
      </c>
      <c r="D11029" s="22" t="s">
        <v>15449</v>
      </c>
      <c r="E11029" s="22" t="s">
        <v>48</v>
      </c>
      <c r="F11029" s="23" t="str">
        <f>HYPERLINK("https://www.spark-marketing.ru/Card/Lot/72308634", "Услуги по организации питания дежурных смен")</f>
        <v>Услуги по организации питания дежурных смен</v>
      </c>
      <c r="G11029" s="22" t="s">
        <v>469</v>
      </c>
      <c r="H11029" s="22" t="s">
        <v>491</v>
      </c>
      <c r="I11029" s="26">
        <v>43670.513449074097</v>
      </c>
      <c r="J11029" s="28" t="s">
        <v>51</v>
      </c>
      <c r="K11029" s="28" t="s">
        <v>51</v>
      </c>
      <c r="L11029" s="28" t="s">
        <v>51</v>
      </c>
      <c r="M11029" s="28" t="s">
        <v>51</v>
      </c>
      <c r="N11029" s="28" t="s">
        <v>51</v>
      </c>
    </row>
    <row r="11030" spans="1:14" x14ac:dyDescent="0.15">
      <c r="A11030" s="23" t="str">
        <f>HYPERLINK("https://www.spark-marketing.ru/Card/Person/4376530", "КГБУ ДО ""АЛТАЙСКИЙ КРАЕВОЙ ЦЕНТР ДЕТСКОГО ОТДЫХА, ТУРИЗМА И КРАЕВЕДЕНИЯ ""АЛТАЙ""")</f>
        <v>КГБУ ДО "АЛТАЙСКИЙ КРАЕВОЙ ЦЕНТР ДЕТСКОГО ОТДЫХА, ТУРИЗМА И КРАЕВЕДЕНИЯ "АЛТАЙ"</v>
      </c>
      <c r="B11030" s="24" t="s">
        <v>13798</v>
      </c>
      <c r="C11030" s="25">
        <v>6104.85</v>
      </c>
      <c r="D11030" s="22" t="s">
        <v>15450</v>
      </c>
      <c r="E11030" s="22" t="s">
        <v>10075</v>
      </c>
      <c r="F11030" s="23" t="str">
        <f>HYPERLINK("https://www.spark-marketing.ru/Card/Lot/72304117",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1030" s="22" t="s">
        <v>63</v>
      </c>
      <c r="H11030" s="22" t="s">
        <v>177</v>
      </c>
      <c r="I11030" s="26">
        <v>43670.506249999999</v>
      </c>
      <c r="J11030" s="28" t="s">
        <v>51</v>
      </c>
      <c r="K11030" s="28" t="s">
        <v>51</v>
      </c>
      <c r="L11030" s="28" t="s">
        <v>51</v>
      </c>
      <c r="M11030" s="28" t="s">
        <v>51</v>
      </c>
      <c r="N11030" s="28" t="s">
        <v>51</v>
      </c>
    </row>
    <row r="11031" spans="1:14" x14ac:dyDescent="0.15">
      <c r="A11031" s="23" t="str">
        <f>HYPERLINK("https://www.spark-marketing.ru/Card/Person/541412", "ОМВД РОССИИ ПО ИНЖАВИНСКОМУ РАЙОНУ")</f>
        <v>ОМВД РОССИИ ПО ИНЖАВИНСКОМУ РАЙОНУ</v>
      </c>
      <c r="B11031" s="24" t="s">
        <v>1368</v>
      </c>
      <c r="C11031" s="25">
        <v>40250</v>
      </c>
      <c r="D11031" s="22" t="s">
        <v>15451</v>
      </c>
      <c r="E11031" s="22" t="s">
        <v>48</v>
      </c>
      <c r="F11031" s="23" t="str">
        <f>HYPERLINK("https://www.spark-marketing.ru/Card/Lot/72301225", "Услуги по обеспечению питанием, осуществляемые по договору, 175 усл. ед")</f>
        <v>Услуги по обеспечению питанием, осуществляемые по договору, 175 усл. ед</v>
      </c>
      <c r="G11031" s="22" t="s">
        <v>1370</v>
      </c>
      <c r="H11031" s="22" t="s">
        <v>1371</v>
      </c>
      <c r="I11031" s="26">
        <v>43670.464409722197</v>
      </c>
      <c r="J11031" s="28" t="s">
        <v>51</v>
      </c>
      <c r="K11031" s="28" t="s">
        <v>51</v>
      </c>
      <c r="L11031" s="28" t="s">
        <v>51</v>
      </c>
      <c r="M11031" s="28" t="s">
        <v>51</v>
      </c>
      <c r="N11031" s="28" t="s">
        <v>51</v>
      </c>
    </row>
    <row r="11032" spans="1:14" x14ac:dyDescent="0.15">
      <c r="A11032" s="23" t="str">
        <f t="shared" ref="A11032:A11039" si="298">HYPERLINK("https://www.spark-marketing.ru/Card/Person/24761", "УПРАВА РАЙОНА НОВОГИРЕЕВО ГОРОДА МОСКВЫ")</f>
        <v>УПРАВА РАЙОНА НОВОГИРЕЕВО ГОРОДА МОСКВЫ</v>
      </c>
      <c r="B11032" s="24" t="s">
        <v>15452</v>
      </c>
      <c r="C11032" s="25">
        <v>434000</v>
      </c>
      <c r="D11032" s="22" t="s">
        <v>15453</v>
      </c>
      <c r="E11032" s="22" t="s">
        <v>96</v>
      </c>
      <c r="F11032" s="23" t="str">
        <f t="shared" ref="F11032:F11039" si="299">HYPERLINK("https://www.spark-marketing.ru/Card/Lot/72306289", "Оказание услуг по организации питания членов территориальной и участковых избирательных комиссий района Новогиреево в рамках материально-технического обеспечения выборов депутатов Московской городской Думы 7 Созыва")</f>
        <v>Оказание услуг по организации питания членов территориальной и участковых избирательных комиссий района Новогиреево в рамках материально-технического обеспечения выборов депутатов Московской городской Думы 7 Созыва</v>
      </c>
      <c r="G11032" s="22" t="s">
        <v>56</v>
      </c>
      <c r="H11032" s="22" t="s">
        <v>56</v>
      </c>
      <c r="I11032" s="26">
        <v>43670.483229166697</v>
      </c>
      <c r="J11032" s="28" t="s">
        <v>51</v>
      </c>
      <c r="K11032" s="28" t="s">
        <v>51</v>
      </c>
      <c r="L11032" s="28" t="s">
        <v>51</v>
      </c>
      <c r="M11032" s="28" t="s">
        <v>51</v>
      </c>
      <c r="N11032" s="28" t="s">
        <v>51</v>
      </c>
    </row>
    <row r="11033" spans="1:14" ht="12.75" hidden="1" outlineLevel="1" x14ac:dyDescent="0.2">
      <c r="A11033" s="23" t="str">
        <f t="shared" si="298"/>
        <v>УПРАВА РАЙОНА НОВОГИРЕЕВО ГОРОДА МОСКВЫ</v>
      </c>
      <c r="B11033" s="24" t="s">
        <v>15452</v>
      </c>
      <c r="C11033" s="25">
        <v>434000</v>
      </c>
      <c r="D11033" s="22" t="s">
        <v>15453</v>
      </c>
      <c r="E11033" s="22" t="s">
        <v>96</v>
      </c>
      <c r="F11033" s="23" t="str">
        <f t="shared" si="299"/>
        <v>Оказание услуг по организации питания членов территориальной и участковых избирательных комиссий района Новогиреево в рамках материально-технического обеспечения выборов депутатов Московской городской Думы 7 Созыва</v>
      </c>
      <c r="G11033" s="22" t="s">
        <v>56</v>
      </c>
      <c r="H11033" s="22" t="s">
        <v>56</v>
      </c>
      <c r="I11033" s="26">
        <v>43670.483229166697</v>
      </c>
      <c r="J11033" s="23" t="str">
        <f>HYPERLINK("https://www.spark-marketing.ru/Card/Person/6249615", "ООО ""АЛЬЯНС ПИТАНИЯ""")</f>
        <v>ООО "АЛЬЯНС ПИТАНИЯ"</v>
      </c>
      <c r="K11033" s="24" t="s">
        <v>9696</v>
      </c>
      <c r="L11033" s="22" t="s">
        <v>10</v>
      </c>
      <c r="M11033" s="25">
        <v>292950</v>
      </c>
      <c r="N11033" s="27">
        <v>0.32500000000000001</v>
      </c>
    </row>
    <row r="11034" spans="1:14" hidden="1" outlineLevel="1" x14ac:dyDescent="0.2">
      <c r="A11034" s="23" t="str">
        <f t="shared" si="298"/>
        <v>УПРАВА РАЙОНА НОВОГИРЕЕВО ГОРОДА МОСКВЫ</v>
      </c>
      <c r="B11034" s="24" t="s">
        <v>15452</v>
      </c>
      <c r="C11034" s="25">
        <v>434000</v>
      </c>
      <c r="D11034" s="22" t="s">
        <v>15453</v>
      </c>
      <c r="E11034" s="22" t="s">
        <v>96</v>
      </c>
      <c r="F11034" s="23" t="str">
        <f t="shared" si="299"/>
        <v>Оказание услуг по организации питания членов территориальной и участковых избирательных комиссий района Новогиреево в рамках материально-технического обеспечения выборов депутатов Московской городской Думы 7 Созыва</v>
      </c>
      <c r="G11034" s="22" t="s">
        <v>56</v>
      </c>
      <c r="H11034" s="22" t="s">
        <v>56</v>
      </c>
      <c r="I11034" s="26">
        <v>43670.483229166697</v>
      </c>
      <c r="J11034" s="23" t="str">
        <f>HYPERLINK("https://www.spark-marketing.ru/Card/Person/6604981", "ООО ""ПЕРСПЕКТИВА""")</f>
        <v>ООО "ПЕРСПЕКТИВА"</v>
      </c>
      <c r="K11034" s="24" t="s">
        <v>13150</v>
      </c>
      <c r="L11034" s="28" t="s">
        <v>51</v>
      </c>
      <c r="M11034" s="25">
        <v>310310</v>
      </c>
      <c r="N11034" s="27">
        <v>0.28499999999999998</v>
      </c>
    </row>
    <row r="11035" spans="1:14" hidden="1" outlineLevel="1" x14ac:dyDescent="0.2">
      <c r="A11035" s="23" t="str">
        <f t="shared" si="298"/>
        <v>УПРАВА РАЙОНА НОВОГИРЕЕВО ГОРОДА МОСКВЫ</v>
      </c>
      <c r="B11035" s="24" t="s">
        <v>15452</v>
      </c>
      <c r="C11035" s="25">
        <v>434000</v>
      </c>
      <c r="D11035" s="22" t="s">
        <v>15453</v>
      </c>
      <c r="E11035" s="22" t="s">
        <v>96</v>
      </c>
      <c r="F11035" s="23" t="str">
        <f t="shared" si="299"/>
        <v>Оказание услуг по организации питания членов территориальной и участковых избирательных комиссий района Новогиреево в рамках материально-технического обеспечения выборов депутатов Московской городской Думы 7 Созыва</v>
      </c>
      <c r="G11035" s="22" t="s">
        <v>56</v>
      </c>
      <c r="H11035" s="22" t="s">
        <v>56</v>
      </c>
      <c r="I11035" s="26">
        <v>43670.483229166697</v>
      </c>
      <c r="J11035" s="23" t="str">
        <f>HYPERLINK("https://www.spark-marketing.ru/Card/Person/4012920", "ООО ""КОНДИСТОРЕ""")</f>
        <v>ООО "КОНДИСТОРЕ"</v>
      </c>
      <c r="K11035" s="24" t="s">
        <v>12451</v>
      </c>
      <c r="L11035" s="28" t="s">
        <v>51</v>
      </c>
      <c r="M11035" s="25">
        <v>400000</v>
      </c>
      <c r="N11035" s="27">
        <v>7.8341013824884786E-2</v>
      </c>
    </row>
    <row r="11036" spans="1:14" hidden="1" outlineLevel="1" x14ac:dyDescent="0.2">
      <c r="A11036" s="23" t="str">
        <f t="shared" si="298"/>
        <v>УПРАВА РАЙОНА НОВОГИРЕЕВО ГОРОДА МОСКВЫ</v>
      </c>
      <c r="B11036" s="24" t="s">
        <v>15452</v>
      </c>
      <c r="C11036" s="25">
        <v>434000</v>
      </c>
      <c r="D11036" s="22" t="s">
        <v>15453</v>
      </c>
      <c r="E11036" s="22" t="s">
        <v>96</v>
      </c>
      <c r="F11036" s="23" t="str">
        <f t="shared" si="299"/>
        <v>Оказание услуг по организации питания членов территориальной и участковых избирательных комиссий района Новогиреево в рамках материально-технического обеспечения выборов депутатов Московской городской Думы 7 Созыва</v>
      </c>
      <c r="G11036" s="22" t="s">
        <v>56</v>
      </c>
      <c r="H11036" s="22" t="s">
        <v>56</v>
      </c>
      <c r="I11036" s="26">
        <v>43670.483229166697</v>
      </c>
      <c r="J11036" s="23" t="str">
        <f>HYPERLINK("https://www.spark-marketing.ru/Card/Person/6616233", "ООО ""МСМ""")</f>
        <v>ООО "МСМ"</v>
      </c>
      <c r="K11036" s="24" t="s">
        <v>15454</v>
      </c>
      <c r="L11036" s="28" t="s">
        <v>51</v>
      </c>
      <c r="M11036" s="25">
        <v>299460</v>
      </c>
      <c r="N11036" s="27">
        <v>0.31</v>
      </c>
    </row>
    <row r="11037" spans="1:14" hidden="1" outlineLevel="1" x14ac:dyDescent="0.2">
      <c r="A11037" s="23" t="str">
        <f t="shared" si="298"/>
        <v>УПРАВА РАЙОНА НОВОГИРЕЕВО ГОРОДА МОСКВЫ</v>
      </c>
      <c r="B11037" s="24" t="s">
        <v>15452</v>
      </c>
      <c r="C11037" s="25">
        <v>434000</v>
      </c>
      <c r="D11037" s="22" t="s">
        <v>15453</v>
      </c>
      <c r="E11037" s="22" t="s">
        <v>96</v>
      </c>
      <c r="F11037" s="23" t="str">
        <f t="shared" si="299"/>
        <v>Оказание услуг по организации питания членов территориальной и участковых избирательных комиссий района Новогиреево в рамках материально-технического обеспечения выборов депутатов Московской городской Думы 7 Созыва</v>
      </c>
      <c r="G11037" s="22" t="s">
        <v>56</v>
      </c>
      <c r="H11037" s="22" t="s">
        <v>56</v>
      </c>
      <c r="I11037" s="26">
        <v>43670.483229166697</v>
      </c>
      <c r="J11037" s="23" t="str">
        <f>HYPERLINK("https://www.spark-marketing.ru/Card/Person/6650209", "Кишенина Ксения Владимировна")</f>
        <v>Кишенина Ксения Владимировна</v>
      </c>
      <c r="K11037" s="24" t="s">
        <v>11401</v>
      </c>
      <c r="L11037" s="28" t="s">
        <v>51</v>
      </c>
      <c r="M11037" s="25">
        <v>407960</v>
      </c>
      <c r="N11037" s="27">
        <v>0.06</v>
      </c>
    </row>
    <row r="11038" spans="1:14" hidden="1" outlineLevel="1" x14ac:dyDescent="0.2">
      <c r="A11038" s="23" t="str">
        <f t="shared" si="298"/>
        <v>УПРАВА РАЙОНА НОВОГИРЕЕВО ГОРОДА МОСКВЫ</v>
      </c>
      <c r="B11038" s="24" t="s">
        <v>15452</v>
      </c>
      <c r="C11038" s="25">
        <v>434000</v>
      </c>
      <c r="D11038" s="22" t="s">
        <v>15453</v>
      </c>
      <c r="E11038" s="22" t="s">
        <v>96</v>
      </c>
      <c r="F11038" s="23" t="str">
        <f t="shared" si="299"/>
        <v>Оказание услуг по организации питания членов территориальной и участковых избирательных комиссий района Новогиреево в рамках материально-технического обеспечения выборов депутатов Московской городской Думы 7 Созыва</v>
      </c>
      <c r="G11038" s="22" t="s">
        <v>56</v>
      </c>
      <c r="H11038" s="22" t="s">
        <v>56</v>
      </c>
      <c r="I11038" s="26">
        <v>43670.483229166697</v>
      </c>
      <c r="J11038" s="23" t="str">
        <f>HYPERLINK("https://www.spark-marketing.ru/Card/Person/2042423", "ООО ""ТФ ПРОДЖЕКТ""")</f>
        <v>ООО "ТФ ПРОДЖЕКТ"</v>
      </c>
      <c r="K11038" s="24" t="s">
        <v>9610</v>
      </c>
      <c r="L11038" s="28" t="s">
        <v>51</v>
      </c>
      <c r="M11038" s="25">
        <v>295120</v>
      </c>
      <c r="N11038" s="27">
        <v>0.32</v>
      </c>
    </row>
    <row r="11039" spans="1:14" hidden="1" outlineLevel="1" x14ac:dyDescent="0.2">
      <c r="A11039" s="23" t="str">
        <f t="shared" si="298"/>
        <v>УПРАВА РАЙОНА НОВОГИРЕЕВО ГОРОДА МОСКВЫ</v>
      </c>
      <c r="B11039" s="24" t="s">
        <v>15452</v>
      </c>
      <c r="C11039" s="25">
        <v>434000</v>
      </c>
      <c r="D11039" s="22" t="s">
        <v>15453</v>
      </c>
      <c r="E11039" s="22" t="s">
        <v>96</v>
      </c>
      <c r="F11039" s="23" t="str">
        <f t="shared" si="299"/>
        <v>Оказание услуг по организации питания членов территориальной и участковых избирательных комиссий района Новогиреево в рамках материально-технического обеспечения выборов депутатов Московской городской Думы 7 Созыва</v>
      </c>
      <c r="G11039" s="22" t="s">
        <v>56</v>
      </c>
      <c r="H11039" s="22" t="s">
        <v>56</v>
      </c>
      <c r="I11039" s="26">
        <v>43670.483229166697</v>
      </c>
      <c r="J11039" s="23" t="str">
        <f>HYPERLINK("https://www.spark-marketing.ru/Card/Person/162438", "ООО ""ТЕХНО-КЛАССИК+""")</f>
        <v>ООО "ТЕХНО-КЛАССИК+"</v>
      </c>
      <c r="K11039" s="24" t="s">
        <v>13857</v>
      </c>
      <c r="L11039" s="28" t="s">
        <v>51</v>
      </c>
      <c r="M11039" s="25">
        <v>368900</v>
      </c>
      <c r="N11039" s="27">
        <v>0.15</v>
      </c>
    </row>
    <row r="11040" spans="1:14" x14ac:dyDescent="0.15">
      <c r="A11040" s="23" t="str">
        <f>HYPERLINK("https://www.spark-marketing.ru/Card/Person/50339", "МБУ ""СШ - ЦЕНТР СПОРТА ""МЕТЕОР""")</f>
        <v>МБУ "СШ - ЦЕНТР СПОРТА "МЕТЕОР"</v>
      </c>
      <c r="B11040" s="24" t="s">
        <v>15455</v>
      </c>
      <c r="C11040" s="25">
        <v>6300</v>
      </c>
      <c r="D11040" s="22" t="s">
        <v>15456</v>
      </c>
      <c r="E11040" s="22" t="s">
        <v>355</v>
      </c>
      <c r="F11040" s="23" t="str">
        <f>HYPERLINK("https://www.spark-marketing.ru/Card/Lot/72301896", "на оказание услуг по замене элемента питания в узле учета тепловой энергии")</f>
        <v>на оказание услуг по замене элемента питания в узле учета тепловой энергии</v>
      </c>
      <c r="G11040" s="22" t="s">
        <v>49</v>
      </c>
      <c r="H11040" s="22" t="s">
        <v>207</v>
      </c>
      <c r="I11040" s="26">
        <v>43670.461412037002</v>
      </c>
      <c r="J11040" s="28" t="s">
        <v>51</v>
      </c>
      <c r="K11040" s="28" t="s">
        <v>51</v>
      </c>
      <c r="L11040" s="28" t="s">
        <v>51</v>
      </c>
      <c r="M11040" s="28" t="s">
        <v>51</v>
      </c>
      <c r="N11040" s="28" t="s">
        <v>51</v>
      </c>
    </row>
    <row r="11041" spans="1:14" x14ac:dyDescent="0.15">
      <c r="A11041" s="23" t="str">
        <f>HYPERLINK("https://www.spark-marketing.ru/Card/Person/4347256", "ГБУЗ КК БЫСТРИНСКАЯ РБ")</f>
        <v>ГБУЗ КК БЫСТРИНСКАЯ РБ</v>
      </c>
      <c r="B11041" s="24" t="s">
        <v>14657</v>
      </c>
      <c r="C11041" s="25">
        <v>1105800</v>
      </c>
      <c r="D11041" s="22" t="s">
        <v>15457</v>
      </c>
      <c r="E11041" s="22" t="s">
        <v>48</v>
      </c>
      <c r="F11041" s="23" t="str">
        <f>HYPERLINK("https://www.spark-marketing.ru/Card/Lot/72295023", "Оказание услуг по организации лечебного питания")</f>
        <v>Оказание услуг по организации лечебного питания</v>
      </c>
      <c r="G11041" s="22" t="s">
        <v>246</v>
      </c>
      <c r="H11041" s="22" t="s">
        <v>14659</v>
      </c>
      <c r="I11041" s="26">
        <v>43670.465231481503</v>
      </c>
      <c r="J11041" s="28" t="s">
        <v>51</v>
      </c>
      <c r="K11041" s="28" t="s">
        <v>51</v>
      </c>
      <c r="L11041" s="28" t="s">
        <v>51</v>
      </c>
      <c r="M11041" s="28" t="s">
        <v>51</v>
      </c>
      <c r="N11041" s="28" t="s">
        <v>51</v>
      </c>
    </row>
    <row r="11042" spans="1:14" x14ac:dyDescent="0.15">
      <c r="A11042" s="23" t="str">
        <f>HYPERLINK("https://www.spark-marketing.ru/Card/Person/4365627", "ООО ""РН-БУРЕНИЕ""")</f>
        <v>ООО "РН-БУРЕНИЕ"</v>
      </c>
      <c r="B11042" s="24" t="s">
        <v>7087</v>
      </c>
      <c r="C11042" s="25">
        <v>4701660.7699999996</v>
      </c>
      <c r="D11042" s="22" t="s">
        <v>15458</v>
      </c>
      <c r="E11042" s="22" t="s">
        <v>362</v>
      </c>
      <c r="F11042" s="23" t="str">
        <f>HYPERLINK("https://www.spark-marketing.ru/Card/Lot/72305428", "Услуги по организации питания БПО для Губкинского филиала ООО ""РН-Бурение"".")</f>
        <v>Услуги по организации питания БПО для Губкинского филиала ООО "РН-Бурение".</v>
      </c>
      <c r="G11042" s="22" t="s">
        <v>56</v>
      </c>
      <c r="H11042" s="22" t="s">
        <v>56</v>
      </c>
      <c r="I11042" s="26">
        <v>43670.494444444397</v>
      </c>
      <c r="J11042" s="28" t="s">
        <v>51</v>
      </c>
      <c r="K11042" s="28" t="s">
        <v>51</v>
      </c>
      <c r="L11042" s="28" t="s">
        <v>51</v>
      </c>
      <c r="M11042" s="28" t="s">
        <v>51</v>
      </c>
      <c r="N11042" s="28" t="s">
        <v>51</v>
      </c>
    </row>
    <row r="11043" spans="1:14" x14ac:dyDescent="0.15">
      <c r="A11043" s="23" t="str">
        <f>HYPERLINK("https://www.spark-marketing.ru/Card/Person/25413", "ФГКУ ""СЗРПСО МЧС РОССИИ""")</f>
        <v>ФГКУ "СЗРПСО МЧС РОССИИ"</v>
      </c>
      <c r="B11043" s="24" t="s">
        <v>10257</v>
      </c>
      <c r="C11043" s="25">
        <v>613336.4</v>
      </c>
      <c r="D11043" s="22" t="s">
        <v>15459</v>
      </c>
      <c r="E11043" s="22" t="s">
        <v>48</v>
      </c>
      <c r="F11043" s="23" t="str">
        <f>HYPERLINK("https://www.spark-marketing.ru/Card/Lot/72306331", "Оказание услуг по организации горячего питания работников, несущих дежурство в Санкт-Петербургском ПСО ПСП Берег - филиал ФГКУ ""СЗРПСО МЧС России""")</f>
        <v>Оказание услуг по организации горячего питания работников, несущих дежурство в Санкт-Петербургском ПСО ПСП Берег - филиал ФГКУ "СЗРПСО МЧС России"</v>
      </c>
      <c r="G11043" s="22" t="s">
        <v>117</v>
      </c>
      <c r="H11043" s="22" t="s">
        <v>117</v>
      </c>
      <c r="I11043" s="26">
        <v>43670.488449074102</v>
      </c>
      <c r="J11043" s="23" t="str">
        <f>HYPERLINK("https://www.spark-marketing.ru/Card/Person/4934825", "Разыграева Наталья Александровна")</f>
        <v>Разыграева Наталья Александровна</v>
      </c>
      <c r="K11043" s="24" t="s">
        <v>10259</v>
      </c>
      <c r="L11043" s="22" t="s">
        <v>10</v>
      </c>
      <c r="M11043" s="28" t="s">
        <v>51</v>
      </c>
      <c r="N11043" s="28" t="s">
        <v>51</v>
      </c>
    </row>
    <row r="11044" spans="1:14" x14ac:dyDescent="0.15">
      <c r="A11044" s="23" t="str">
        <f>HYPERLINK("https://www.spark-marketing.ru/Card/Person/1011461", "ГОУ ЯО ""РЫБИНСКАЯ ШКОЛА № 13""")</f>
        <v>ГОУ ЯО "РЫБИНСКАЯ ШКОЛА № 13"</v>
      </c>
      <c r="B11044" s="24" t="s">
        <v>15460</v>
      </c>
      <c r="C11044" s="25">
        <v>3194400</v>
      </c>
      <c r="D11044" s="22" t="s">
        <v>15461</v>
      </c>
      <c r="E11044" s="22" t="s">
        <v>48</v>
      </c>
      <c r="F11044" s="23" t="str">
        <f>HYPERLINK("https://www.spark-marketing.ru/Card/Lot/72307048", "Обеспечение бесплатным питанием")</f>
        <v>Обеспечение бесплатным питанием</v>
      </c>
      <c r="G11044" s="22" t="s">
        <v>185</v>
      </c>
      <c r="H11044" s="22" t="s">
        <v>9142</v>
      </c>
      <c r="I11044" s="26">
        <v>43670.488900463002</v>
      </c>
      <c r="J11044" s="23" t="str">
        <f>HYPERLINK("https://www.spark-marketing.ru/Card/Person/553765", "МУП ""ТД ""НА СЕННОЙ""")</f>
        <v>МУП "ТД "НА СЕННОЙ"</v>
      </c>
      <c r="K11044" s="24" t="s">
        <v>15462</v>
      </c>
      <c r="L11044" s="22" t="s">
        <v>10</v>
      </c>
      <c r="M11044" s="28" t="s">
        <v>51</v>
      </c>
      <c r="N11044" s="28" t="s">
        <v>51</v>
      </c>
    </row>
    <row r="11045" spans="1:14" x14ac:dyDescent="0.15">
      <c r="A11045" s="23" t="str">
        <f>HYPERLINK("https://www.spark-marketing.ru/Card/Person/25413", "ФГКУ ""СЗРПСО МЧС РОССИИ""")</f>
        <v>ФГКУ "СЗРПСО МЧС РОССИИ"</v>
      </c>
      <c r="B11045" s="24" t="s">
        <v>10257</v>
      </c>
      <c r="C11045" s="25">
        <v>453863.6</v>
      </c>
      <c r="D11045" s="22" t="s">
        <v>15463</v>
      </c>
      <c r="E11045" s="22" t="s">
        <v>48</v>
      </c>
      <c r="F11045" s="23" t="str">
        <f>HYPERLINK("https://www.spark-marketing.ru/Card/Lot/72306577", "Оказание услуг по организации горячего питания работников , несущих дежурство в Санкт-Петербургском ПСО ПСП Восточный Кроншпиц - филиал ФГКУ ""СЗРПСО МЧС России""")</f>
        <v>Оказание услуг по организации горячего питания работников , несущих дежурство в Санкт-Петербургском ПСО ПСП Восточный Кроншпиц - филиал ФГКУ "СЗРПСО МЧС России"</v>
      </c>
      <c r="G11045" s="22" t="s">
        <v>117</v>
      </c>
      <c r="H11045" s="22" t="s">
        <v>117</v>
      </c>
      <c r="I11045" s="26">
        <v>43670.481527777803</v>
      </c>
      <c r="J11045" s="23" t="str">
        <f>HYPERLINK("https://www.spark-marketing.ru/Card/Person/5907605", "ООО ""ПИТКА""")</f>
        <v>ООО "ПИТКА"</v>
      </c>
      <c r="K11045" s="24" t="s">
        <v>15464</v>
      </c>
      <c r="L11045" s="22" t="s">
        <v>10</v>
      </c>
      <c r="M11045" s="28" t="s">
        <v>51</v>
      </c>
      <c r="N11045" s="28" t="s">
        <v>51</v>
      </c>
    </row>
    <row r="11046" spans="1:14" x14ac:dyDescent="0.15">
      <c r="A11046" s="23" t="str">
        <f>HYPERLINK("https://www.spark-marketing.ru/Card/Person/4347498", "МБОУ ""ДАЧНОВСКАЯ СРЕДНЯЯ ОБЩЕОБРАЗОВАТЕЛЬНАЯ ШКОЛА"" ГОРОДСКОГО ОКРУГА СУДАК")</f>
        <v>МБОУ "ДАЧНОВСКАЯ СРЕДНЯЯ ОБЩЕОБРАЗОВАТЕЛЬНАЯ ШКОЛА" ГОРОДСКОГО ОКРУГА СУДАК</v>
      </c>
      <c r="B11046" s="24" t="s">
        <v>15465</v>
      </c>
      <c r="C11046" s="25">
        <v>4141000</v>
      </c>
      <c r="D11046" s="22" t="s">
        <v>15466</v>
      </c>
      <c r="E11046" s="22" t="s">
        <v>48</v>
      </c>
      <c r="F11046" s="23" t="str">
        <f>HYPERLINK("https://www.spark-marketing.ru/Card/Lot/72305471", "Услуга по организации питания для учащихся")</f>
        <v>Услуга по организации питания для учащихся</v>
      </c>
      <c r="G11046" s="22" t="s">
        <v>108</v>
      </c>
      <c r="H11046" s="22" t="s">
        <v>4593</v>
      </c>
      <c r="I11046" s="26">
        <v>43670.4868055556</v>
      </c>
      <c r="J11046" s="28" t="s">
        <v>51</v>
      </c>
      <c r="K11046" s="28" t="s">
        <v>51</v>
      </c>
      <c r="L11046" s="28" t="s">
        <v>51</v>
      </c>
      <c r="M11046" s="28" t="s">
        <v>51</v>
      </c>
      <c r="N11046" s="28" t="s">
        <v>51</v>
      </c>
    </row>
    <row r="11047" spans="1:14" hidden="1" outlineLevel="1" x14ac:dyDescent="0.2">
      <c r="A11047" s="23" t="str">
        <f>HYPERLINK("https://www.spark-marketing.ru/Card/Person/4347498", "МБОУ ""ДАЧНОВСКАЯ СРЕДНЯЯ ОБЩЕОБРАЗОВАТЕЛЬНАЯ ШКОЛА"" ГОРОДСКОГО ОКРУГА СУДАК")</f>
        <v>МБОУ "ДАЧНОВСКАЯ СРЕДНЯЯ ОБЩЕОБРАЗОВАТЕЛЬНАЯ ШКОЛА" ГОРОДСКОГО ОКРУГА СУДАК</v>
      </c>
      <c r="B11047" s="24" t="s">
        <v>15465</v>
      </c>
      <c r="C11047" s="25">
        <v>4141000</v>
      </c>
      <c r="D11047" s="22" t="s">
        <v>15466</v>
      </c>
      <c r="E11047" s="22" t="s">
        <v>48</v>
      </c>
      <c r="F11047" s="23" t="str">
        <f>HYPERLINK("https://www.spark-marketing.ru/Card/Lot/72305471", "Услуга по организации питания для учащихся")</f>
        <v>Услуга по организации питания для учащихся</v>
      </c>
      <c r="G11047" s="22" t="s">
        <v>108</v>
      </c>
      <c r="H11047" s="22" t="s">
        <v>4593</v>
      </c>
      <c r="I11047" s="26">
        <v>43670.4868055556</v>
      </c>
      <c r="J11047" s="23" t="str">
        <f>HYPERLINK("https://www.spark-marketing.ru/Card/Person/4856360", "ООО ""МЕЛИССА""")</f>
        <v>ООО "МЕЛИССА"</v>
      </c>
      <c r="K11047" s="24" t="s">
        <v>4595</v>
      </c>
      <c r="L11047" s="28" t="s">
        <v>51</v>
      </c>
      <c r="M11047" s="25">
        <v>4141000</v>
      </c>
      <c r="N11047" s="27">
        <v>0</v>
      </c>
    </row>
    <row r="11048" spans="1:14" ht="12.75" hidden="1" outlineLevel="1" x14ac:dyDescent="0.2">
      <c r="A11048" s="23" t="str">
        <f>HYPERLINK("https://www.spark-marketing.ru/Card/Person/4347498", "МБОУ ""ДАЧНОВСКАЯ СРЕДНЯЯ ОБЩЕОБРАЗОВАТЕЛЬНАЯ ШКОЛА"" ГОРОДСКОГО ОКРУГА СУДАК")</f>
        <v>МБОУ "ДАЧНОВСКАЯ СРЕДНЯЯ ОБЩЕОБРАЗОВАТЕЛЬНАЯ ШКОЛА" ГОРОДСКОГО ОКРУГА СУДАК</v>
      </c>
      <c r="B11048" s="24" t="s">
        <v>15465</v>
      </c>
      <c r="C11048" s="25">
        <v>4141000</v>
      </c>
      <c r="D11048" s="22" t="s">
        <v>15466</v>
      </c>
      <c r="E11048" s="22" t="s">
        <v>48</v>
      </c>
      <c r="F11048" s="23" t="str">
        <f>HYPERLINK("https://www.spark-marketing.ru/Card/Lot/72305471", "Услуга по организации питания для учащихся")</f>
        <v>Услуга по организации питания для учащихся</v>
      </c>
      <c r="G11048" s="22" t="s">
        <v>108</v>
      </c>
      <c r="H11048" s="22" t="s">
        <v>4593</v>
      </c>
      <c r="I11048" s="26">
        <v>43670.4868055556</v>
      </c>
      <c r="J11048" s="23" t="str">
        <f>HYPERLINK("https://www.spark-marketing.ru/Card/Person/5789450", "Шмакова Наталия Владимировна")</f>
        <v>Шмакова Наталия Владимировна</v>
      </c>
      <c r="K11048" s="24" t="s">
        <v>4594</v>
      </c>
      <c r="L11048" s="22" t="s">
        <v>10</v>
      </c>
      <c r="M11048" s="25">
        <v>3726900</v>
      </c>
      <c r="N11048" s="27">
        <v>0.1</v>
      </c>
    </row>
    <row r="11049" spans="1:14" x14ac:dyDescent="0.15">
      <c r="A11049" s="23" t="str">
        <f>HYPERLINK("https://www.spark-marketing.ru/Card/Person/48248", "ГУП ""МОСГОРТРАНС""")</f>
        <v>ГУП "МОСГОРТРАНС"</v>
      </c>
      <c r="B11049" s="24" t="s">
        <v>15467</v>
      </c>
      <c r="C11049" s="25">
        <v>129200</v>
      </c>
      <c r="D11049" s="22" t="s">
        <v>15468</v>
      </c>
      <c r="E11049" s="22" t="s">
        <v>355</v>
      </c>
      <c r="F11049" s="23" t="str">
        <f>HYPERLINK("https://www.spark-marketing.ru/Card/Lot/72304129", "Оказание услуг по техническому обслуживанию источников бесперебойного питания для нужд филиала Специализированная автобаза ГУП ""Мосгортранс""")</f>
        <v>Оказание услуг по техническому обслуживанию источников бесперебойного питания для нужд филиала Специализированная автобаза ГУП "Мосгортранс"</v>
      </c>
      <c r="G11049" s="22" t="s">
        <v>56</v>
      </c>
      <c r="H11049" s="22" t="s">
        <v>56</v>
      </c>
      <c r="I11049" s="26">
        <v>43670.424733796302</v>
      </c>
      <c r="J11049" s="28" t="s">
        <v>51</v>
      </c>
      <c r="K11049" s="28" t="s">
        <v>51</v>
      </c>
      <c r="L11049" s="28" t="s">
        <v>51</v>
      </c>
      <c r="M11049" s="28" t="s">
        <v>51</v>
      </c>
      <c r="N11049" s="28" t="s">
        <v>51</v>
      </c>
    </row>
    <row r="11050" spans="1:14" x14ac:dyDescent="0.15">
      <c r="A11050" s="23" t="str">
        <f>HYPERLINK("https://www.spark-marketing.ru/Card/Person/72218", "ПФИЦ УРО РАН")</f>
        <v>ПФИЦ УРО РАН</v>
      </c>
      <c r="B11050" s="24" t="s">
        <v>15469</v>
      </c>
      <c r="C11050" s="25">
        <v>1280000</v>
      </c>
      <c r="D11050" s="22" t="s">
        <v>15470</v>
      </c>
      <c r="E11050" s="22" t="s">
        <v>362</v>
      </c>
      <c r="F11050" s="23" t="str">
        <f>HYPERLINK("https://www.spark-marketing.ru/Card/Lot/72320339", "Оказание услуг по организации питания сотрудников ""ГИ УрО РАН""")</f>
        <v>Оказание услуг по организации питания сотрудников "ГИ УрО РАН"</v>
      </c>
      <c r="G11050" s="22" t="s">
        <v>153</v>
      </c>
      <c r="H11050" s="22" t="s">
        <v>153</v>
      </c>
      <c r="I11050" s="26">
        <v>43670.453206018501</v>
      </c>
      <c r="J11050" s="28" t="s">
        <v>51</v>
      </c>
      <c r="K11050" s="28" t="s">
        <v>51</v>
      </c>
      <c r="L11050" s="28" t="s">
        <v>51</v>
      </c>
      <c r="M11050" s="28" t="s">
        <v>51</v>
      </c>
      <c r="N11050" s="28" t="s">
        <v>51</v>
      </c>
    </row>
    <row r="11051" spans="1:14" x14ac:dyDescent="0.15">
      <c r="A11051" s="23" t="str">
        <f>HYPERLINK("https://www.spark-marketing.ru/Card/Person/6692", "КГБУЗ ""АКОД""")</f>
        <v>КГБУЗ "АКОД"</v>
      </c>
      <c r="B11051" s="24" t="s">
        <v>4173</v>
      </c>
      <c r="C11051" s="25">
        <v>196125</v>
      </c>
      <c r="D11051" s="22" t="s">
        <v>15471</v>
      </c>
      <c r="E11051" s="22" t="s">
        <v>10347</v>
      </c>
      <c r="F11051" s="23" t="str">
        <f>HYPERLINK("https://www.spark-marketing.ru/Card/Lot/72300982", "Товары, работы или услуги на сумму, не превышающую 300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300 тыс. рублей (в случае заключения заказчиком контракта в соответствии с пунктом 4 части 1 статьи 93 Федерального закона)</v>
      </c>
      <c r="G11051" s="22" t="s">
        <v>63</v>
      </c>
      <c r="H11051" s="22" t="s">
        <v>177</v>
      </c>
      <c r="I11051" s="26">
        <v>43670.453472222202</v>
      </c>
      <c r="J11051" s="28" t="s">
        <v>51</v>
      </c>
      <c r="K11051" s="28" t="s">
        <v>51</v>
      </c>
      <c r="L11051" s="28" t="s">
        <v>51</v>
      </c>
      <c r="M11051" s="28" t="s">
        <v>51</v>
      </c>
      <c r="N11051" s="28" t="s">
        <v>51</v>
      </c>
    </row>
    <row r="11052" spans="1:14" x14ac:dyDescent="0.15">
      <c r="A11052" s="23" t="str">
        <f>HYPERLINK("https://www.spark-marketing.ru/Card/Person/151785", "МБОУ ""СОШ № 26""")</f>
        <v>МБОУ "СОШ № 26"</v>
      </c>
      <c r="B11052" s="24" t="s">
        <v>15472</v>
      </c>
      <c r="C11052" s="25">
        <v>165048</v>
      </c>
      <c r="D11052" s="22" t="s">
        <v>15473</v>
      </c>
      <c r="E11052" s="22" t="s">
        <v>51</v>
      </c>
      <c r="F11052" s="23" t="str">
        <f>HYPERLINK("https://www.spark-marketing.ru/Card/Lot/72297766", "Услуги по обеспечению питанием, осуществляемые по договору")</f>
        <v>Услуги по обеспечению питанием, осуществляемые по договору</v>
      </c>
      <c r="G11052" s="22" t="s">
        <v>92</v>
      </c>
      <c r="H11052" s="22" t="s">
        <v>93</v>
      </c>
      <c r="I11052" s="26">
        <v>43670.456238425897</v>
      </c>
      <c r="J11052" s="23" t="str">
        <f>HYPERLINK("https://www.spark-marketing.ru/Card/Person/65713", "Богданова Рената Ингилабовна")</f>
        <v>Богданова Рената Ингилабовна</v>
      </c>
      <c r="K11052" s="24" t="s">
        <v>15474</v>
      </c>
      <c r="L11052" s="22" t="s">
        <v>10</v>
      </c>
      <c r="M11052" s="28" t="s">
        <v>51</v>
      </c>
      <c r="N11052" s="28" t="s">
        <v>51</v>
      </c>
    </row>
    <row r="11053" spans="1:14" x14ac:dyDescent="0.15">
      <c r="A11053" s="23" t="str">
        <f t="shared" ref="A11053:A11065" si="300">HYPERLINK("https://www.spark-marketing.ru/Card/Person/62688", "МУП ""ДОМОДЕДОВСКИЙ КОМБИНАТ ПИТАНИЯ""")</f>
        <v>МУП "ДОМОДЕДОВСКИЙ КОМБИНАТ ПИТАНИЯ"</v>
      </c>
      <c r="B11053" s="24" t="s">
        <v>3955</v>
      </c>
      <c r="C11053" s="25">
        <v>400886.67</v>
      </c>
      <c r="D11053" s="22" t="s">
        <v>15475</v>
      </c>
      <c r="E11053" s="22" t="s">
        <v>13640</v>
      </c>
      <c r="F11053" s="23" t="str">
        <f t="shared" ref="F11053:F11065" si="301">HYPERLINK("https://www.spark-marketing.ru/Card/Lot/72303644", "Оказание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питан...")</f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53" s="22" t="s">
        <v>49</v>
      </c>
      <c r="H11053" s="22" t="s">
        <v>5231</v>
      </c>
      <c r="I11053" s="26">
        <v>43670.452777777798</v>
      </c>
      <c r="J11053" s="28" t="s">
        <v>51</v>
      </c>
      <c r="K11053" s="28" t="s">
        <v>51</v>
      </c>
      <c r="L11053" s="28" t="s">
        <v>51</v>
      </c>
      <c r="M11053" s="28" t="s">
        <v>51</v>
      </c>
      <c r="N11053" s="28" t="s">
        <v>51</v>
      </c>
    </row>
    <row r="11054" spans="1:14" hidden="1" outlineLevel="1" x14ac:dyDescent="0.2">
      <c r="A11054" s="23" t="str">
        <f t="shared" si="300"/>
        <v>МУП "ДОМОДЕДОВСКИЙ КОМБИНАТ ПИТАНИЯ"</v>
      </c>
      <c r="B11054" s="24" t="s">
        <v>3955</v>
      </c>
      <c r="C11054" s="25">
        <v>400886.67</v>
      </c>
      <c r="D11054" s="22" t="s">
        <v>15475</v>
      </c>
      <c r="E11054" s="22" t="s">
        <v>13640</v>
      </c>
      <c r="F11054" s="23" t="str">
        <f t="shared" si="301"/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54" s="22" t="s">
        <v>49</v>
      </c>
      <c r="H11054" s="22" t="s">
        <v>5231</v>
      </c>
      <c r="I11054" s="26">
        <v>43670.452777777798</v>
      </c>
      <c r="J11054" s="23" t="str">
        <f>HYPERLINK("https://www.spark-marketing.ru/Card/Person/54216", "АО АК ""АРТ-АУДИТ""")</f>
        <v>АО АК "АРТ-АУДИТ"</v>
      </c>
      <c r="K11054" s="24" t="s">
        <v>15476</v>
      </c>
      <c r="L11054" s="28" t="s">
        <v>51</v>
      </c>
      <c r="M11054" s="25">
        <v>98000</v>
      </c>
      <c r="N11054" s="27">
        <v>0.7555418841938546</v>
      </c>
    </row>
    <row r="11055" spans="1:14" hidden="1" outlineLevel="1" x14ac:dyDescent="0.2">
      <c r="A11055" s="23" t="str">
        <f t="shared" si="300"/>
        <v>МУП "ДОМОДЕДОВСКИЙ КОМБИНАТ ПИТАНИЯ"</v>
      </c>
      <c r="B11055" s="24" t="s">
        <v>3955</v>
      </c>
      <c r="C11055" s="25">
        <v>400886.67</v>
      </c>
      <c r="D11055" s="22" t="s">
        <v>15475</v>
      </c>
      <c r="E11055" s="22" t="s">
        <v>13640</v>
      </c>
      <c r="F11055" s="23" t="str">
        <f t="shared" si="301"/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55" s="22" t="s">
        <v>49</v>
      </c>
      <c r="H11055" s="22" t="s">
        <v>5231</v>
      </c>
      <c r="I11055" s="26">
        <v>43670.452777777798</v>
      </c>
      <c r="J11055" s="23" t="str">
        <f>HYPERLINK("https://www.spark-marketing.ru/Card/Person/67427", "ООО ""ГФ""")</f>
        <v>ООО "ГФ"</v>
      </c>
      <c r="K11055" s="24" t="s">
        <v>15477</v>
      </c>
      <c r="L11055" s="28" t="s">
        <v>51</v>
      </c>
      <c r="M11055" s="25">
        <v>180000</v>
      </c>
      <c r="N11055" s="27">
        <v>0.55099529749891663</v>
      </c>
    </row>
    <row r="11056" spans="1:14" ht="12.75" hidden="1" outlineLevel="1" x14ac:dyDescent="0.2">
      <c r="A11056" s="23" t="str">
        <f t="shared" si="300"/>
        <v>МУП "ДОМОДЕДОВСКИЙ КОМБИНАТ ПИТАНИЯ"</v>
      </c>
      <c r="B11056" s="24" t="s">
        <v>3955</v>
      </c>
      <c r="C11056" s="25">
        <v>400886.67</v>
      </c>
      <c r="D11056" s="22" t="s">
        <v>15475</v>
      </c>
      <c r="E11056" s="22" t="s">
        <v>13640</v>
      </c>
      <c r="F11056" s="23" t="str">
        <f t="shared" si="301"/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56" s="22" t="s">
        <v>49</v>
      </c>
      <c r="H11056" s="22" t="s">
        <v>5231</v>
      </c>
      <c r="I11056" s="26">
        <v>43670.452777777798</v>
      </c>
      <c r="J11056" s="23" t="str">
        <f>HYPERLINK("https://www.spark-marketing.ru/Card/Person/52754", "ООО ""ИНТЕРКОМ-АУДИТ""")</f>
        <v>ООО "ИНТЕРКОМ-АУДИТ"</v>
      </c>
      <c r="K11056" s="24" t="s">
        <v>15478</v>
      </c>
      <c r="L11056" s="22" t="s">
        <v>10</v>
      </c>
      <c r="M11056" s="25">
        <v>174600</v>
      </c>
      <c r="N11056" s="27">
        <v>0.56446543857394904</v>
      </c>
    </row>
    <row r="11057" spans="1:14" hidden="1" outlineLevel="1" x14ac:dyDescent="0.2">
      <c r="A11057" s="23" t="str">
        <f t="shared" si="300"/>
        <v>МУП "ДОМОДЕДОВСКИЙ КОМБИНАТ ПИТАНИЯ"</v>
      </c>
      <c r="B11057" s="24" t="s">
        <v>3955</v>
      </c>
      <c r="C11057" s="25">
        <v>400886.67</v>
      </c>
      <c r="D11057" s="22" t="s">
        <v>15475</v>
      </c>
      <c r="E11057" s="22" t="s">
        <v>13640</v>
      </c>
      <c r="F11057" s="23" t="str">
        <f t="shared" si="301"/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57" s="22" t="s">
        <v>49</v>
      </c>
      <c r="H11057" s="22" t="s">
        <v>5231</v>
      </c>
      <c r="I11057" s="26">
        <v>43670.452777777798</v>
      </c>
      <c r="J11057" s="23" t="str">
        <f>HYPERLINK("https://www.spark-marketing.ru/Card/Person/171918", "ООО ""АУДИТ - ДАНКО""")</f>
        <v>ООО "АУДИТ - ДАНКО"</v>
      </c>
      <c r="K11057" s="24" t="s">
        <v>13641</v>
      </c>
      <c r="L11057" s="28" t="s">
        <v>51</v>
      </c>
      <c r="M11057" s="25">
        <v>50000</v>
      </c>
      <c r="N11057" s="27">
        <v>0.87527647152747678</v>
      </c>
    </row>
    <row r="11058" spans="1:14" hidden="1" outlineLevel="1" x14ac:dyDescent="0.2">
      <c r="A11058" s="23" t="str">
        <f t="shared" si="300"/>
        <v>МУП "ДОМОДЕДОВСКИЙ КОМБИНАТ ПИТАНИЯ"</v>
      </c>
      <c r="B11058" s="24" t="s">
        <v>3955</v>
      </c>
      <c r="C11058" s="25">
        <v>400886.67</v>
      </c>
      <c r="D11058" s="22" t="s">
        <v>15475</v>
      </c>
      <c r="E11058" s="22" t="s">
        <v>13640</v>
      </c>
      <c r="F11058" s="23" t="str">
        <f t="shared" si="301"/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58" s="22" t="s">
        <v>49</v>
      </c>
      <c r="H11058" s="22" t="s">
        <v>5231</v>
      </c>
      <c r="I11058" s="26">
        <v>43670.452777777798</v>
      </c>
      <c r="J11058" s="23" t="str">
        <f>HYPERLINK("https://www.spark-marketing.ru/Card/Person/700608", "ООО ""АУДИТ ХАУС""")</f>
        <v>ООО "АУДИТ ХАУС"</v>
      </c>
      <c r="K11058" s="24" t="s">
        <v>15479</v>
      </c>
      <c r="L11058" s="28" t="s">
        <v>51</v>
      </c>
      <c r="M11058" s="25">
        <v>119000</v>
      </c>
      <c r="N11058" s="27">
        <v>0.70315800223539482</v>
      </c>
    </row>
    <row r="11059" spans="1:14" hidden="1" outlineLevel="1" x14ac:dyDescent="0.2">
      <c r="A11059" s="23" t="str">
        <f t="shared" si="300"/>
        <v>МУП "ДОМОДЕДОВСКИЙ КОМБИНАТ ПИТАНИЯ"</v>
      </c>
      <c r="B11059" s="24" t="s">
        <v>3955</v>
      </c>
      <c r="C11059" s="25">
        <v>400886.67</v>
      </c>
      <c r="D11059" s="22" t="s">
        <v>15475</v>
      </c>
      <c r="E11059" s="22" t="s">
        <v>13640</v>
      </c>
      <c r="F11059" s="23" t="str">
        <f t="shared" si="301"/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59" s="22" t="s">
        <v>49</v>
      </c>
      <c r="H11059" s="22" t="s">
        <v>5231</v>
      </c>
      <c r="I11059" s="26">
        <v>43670.452777777798</v>
      </c>
      <c r="J11059" s="23" t="str">
        <f>HYPERLINK("https://www.spark-marketing.ru/Card/Person/30467", "ООО АФ ""СТАНДАРТ-АУДИТ""")</f>
        <v>ООО АФ "СТАНДАРТ-АУДИТ"</v>
      </c>
      <c r="K11059" s="24" t="s">
        <v>15480</v>
      </c>
      <c r="L11059" s="28" t="s">
        <v>51</v>
      </c>
      <c r="M11059" s="25">
        <v>50000</v>
      </c>
      <c r="N11059" s="27">
        <v>0.87527647152747678</v>
      </c>
    </row>
    <row r="11060" spans="1:14" hidden="1" outlineLevel="1" x14ac:dyDescent="0.2">
      <c r="A11060" s="23" t="str">
        <f t="shared" si="300"/>
        <v>МУП "ДОМОДЕДОВСКИЙ КОМБИНАТ ПИТАНИЯ"</v>
      </c>
      <c r="B11060" s="24" t="s">
        <v>3955</v>
      </c>
      <c r="C11060" s="25">
        <v>400886.67</v>
      </c>
      <c r="D11060" s="22" t="s">
        <v>15475</v>
      </c>
      <c r="E11060" s="22" t="s">
        <v>13640</v>
      </c>
      <c r="F11060" s="23" t="str">
        <f t="shared" si="301"/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60" s="22" t="s">
        <v>49</v>
      </c>
      <c r="H11060" s="22" t="s">
        <v>5231</v>
      </c>
      <c r="I11060" s="26">
        <v>43670.452777777798</v>
      </c>
      <c r="J11060" s="23" t="str">
        <f>HYPERLINK("https://www.spark-marketing.ru/Card/Person/37237", "АО ""АУДИТОРСКАЯ ФИРМА ""УРАЛЬСКИЙ СОЮЗ""")</f>
        <v>АО "АУДИТОРСКАЯ ФИРМА "УРАЛЬСКИЙ СОЮЗ"</v>
      </c>
      <c r="K11060" s="24" t="s">
        <v>15481</v>
      </c>
      <c r="L11060" s="28" t="s">
        <v>51</v>
      </c>
      <c r="M11060" s="25">
        <v>80000</v>
      </c>
      <c r="N11060" s="27">
        <v>0.80044235444396294</v>
      </c>
    </row>
    <row r="11061" spans="1:14" hidden="1" outlineLevel="1" x14ac:dyDescent="0.2">
      <c r="A11061" s="23" t="str">
        <f t="shared" si="300"/>
        <v>МУП "ДОМОДЕДОВСКИЙ КОМБИНАТ ПИТАНИЯ"</v>
      </c>
      <c r="B11061" s="24" t="s">
        <v>3955</v>
      </c>
      <c r="C11061" s="25">
        <v>400886.67</v>
      </c>
      <c r="D11061" s="22" t="s">
        <v>15475</v>
      </c>
      <c r="E11061" s="22" t="s">
        <v>13640</v>
      </c>
      <c r="F11061" s="23" t="str">
        <f t="shared" si="301"/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61" s="22" t="s">
        <v>49</v>
      </c>
      <c r="H11061" s="22" t="s">
        <v>5231</v>
      </c>
      <c r="I11061" s="26">
        <v>43670.452777777798</v>
      </c>
      <c r="J11061" s="23" t="str">
        <f>HYPERLINK("https://www.spark-marketing.ru/Card/Person/4412232", "ООО АИКЦ ЭКСПЕРТ-АУДИТОР")</f>
        <v>ООО АИКЦ ЭКСПЕРТ-АУДИТОР</v>
      </c>
      <c r="K11061" s="24" t="s">
        <v>13644</v>
      </c>
      <c r="L11061" s="28" t="s">
        <v>51</v>
      </c>
      <c r="M11061" s="25">
        <v>120000</v>
      </c>
      <c r="N11061" s="27">
        <v>0.70066353166594442</v>
      </c>
    </row>
    <row r="11062" spans="1:14" hidden="1" outlineLevel="1" x14ac:dyDescent="0.2">
      <c r="A11062" s="23" t="str">
        <f t="shared" si="300"/>
        <v>МУП "ДОМОДЕДОВСКИЙ КОМБИНАТ ПИТАНИЯ"</v>
      </c>
      <c r="B11062" s="24" t="s">
        <v>3955</v>
      </c>
      <c r="C11062" s="25">
        <v>400886.67</v>
      </c>
      <c r="D11062" s="22" t="s">
        <v>15475</v>
      </c>
      <c r="E11062" s="22" t="s">
        <v>13640</v>
      </c>
      <c r="F11062" s="23" t="str">
        <f t="shared" si="301"/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62" s="22" t="s">
        <v>49</v>
      </c>
      <c r="H11062" s="22" t="s">
        <v>5231</v>
      </c>
      <c r="I11062" s="26">
        <v>43670.452777777798</v>
      </c>
      <c r="J11062" s="23" t="str">
        <f>HYPERLINK("https://www.spark-marketing.ru/Card/Person/1675277", "ООО ""МАГНЕТАР-АУДИТ""")</f>
        <v>ООО "МАГНЕТАР-АУДИТ"</v>
      </c>
      <c r="K11062" s="24" t="s">
        <v>15482</v>
      </c>
      <c r="L11062" s="28" t="s">
        <v>51</v>
      </c>
      <c r="M11062" s="25">
        <v>250000</v>
      </c>
      <c r="N11062" s="27">
        <v>0.37638235763738415</v>
      </c>
    </row>
    <row r="11063" spans="1:14" hidden="1" outlineLevel="1" x14ac:dyDescent="0.2">
      <c r="A11063" s="23" t="str">
        <f t="shared" si="300"/>
        <v>МУП "ДОМОДЕДОВСКИЙ КОМБИНАТ ПИТАНИЯ"</v>
      </c>
      <c r="B11063" s="24" t="s">
        <v>3955</v>
      </c>
      <c r="C11063" s="25">
        <v>400886.67</v>
      </c>
      <c r="D11063" s="22" t="s">
        <v>15475</v>
      </c>
      <c r="E11063" s="22" t="s">
        <v>13640</v>
      </c>
      <c r="F11063" s="23" t="str">
        <f t="shared" si="301"/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63" s="22" t="s">
        <v>49</v>
      </c>
      <c r="H11063" s="22" t="s">
        <v>5231</v>
      </c>
      <c r="I11063" s="26">
        <v>43670.452777777798</v>
      </c>
      <c r="J11063" s="23" t="str">
        <f>HYPERLINK("https://www.spark-marketing.ru/Card/Person/1681606", "ООО ""АФ ""СЕВЕРНАЯ СТОЛИЦА""")</f>
        <v>ООО "АФ "СЕВЕРНАЯ СТОЛИЦА"</v>
      </c>
      <c r="K11063" s="24" t="s">
        <v>15483</v>
      </c>
      <c r="L11063" s="28" t="s">
        <v>51</v>
      </c>
      <c r="M11063" s="25">
        <v>400000</v>
      </c>
      <c r="N11063" s="27">
        <v>2.2117722198146425E-3</v>
      </c>
    </row>
    <row r="11064" spans="1:14" hidden="1" outlineLevel="1" x14ac:dyDescent="0.2">
      <c r="A11064" s="23" t="str">
        <f t="shared" si="300"/>
        <v>МУП "ДОМОДЕДОВСКИЙ КОМБИНАТ ПИТАНИЯ"</v>
      </c>
      <c r="B11064" s="24" t="s">
        <v>3955</v>
      </c>
      <c r="C11064" s="25">
        <v>400886.67</v>
      </c>
      <c r="D11064" s="22" t="s">
        <v>15475</v>
      </c>
      <c r="E11064" s="22" t="s">
        <v>13640</v>
      </c>
      <c r="F11064" s="23" t="str">
        <f t="shared" si="301"/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64" s="22" t="s">
        <v>49</v>
      </c>
      <c r="H11064" s="22" t="s">
        <v>5231</v>
      </c>
      <c r="I11064" s="26">
        <v>43670.452777777798</v>
      </c>
      <c r="J11064" s="23" t="str">
        <f>HYPERLINK("https://www.spark-marketing.ru/Card/Person/626066", "ООО ""АФ ""ГНК""")</f>
        <v>ООО "АФ "ГНК"</v>
      </c>
      <c r="K11064" s="24" t="s">
        <v>15484</v>
      </c>
      <c r="L11064" s="28" t="s">
        <v>51</v>
      </c>
      <c r="M11064" s="25">
        <v>89000</v>
      </c>
      <c r="N11064" s="27">
        <v>0.77799211931890877</v>
      </c>
    </row>
    <row r="11065" spans="1:14" hidden="1" outlineLevel="1" x14ac:dyDescent="0.2">
      <c r="A11065" s="23" t="str">
        <f t="shared" si="300"/>
        <v>МУП "ДОМОДЕДОВСКИЙ КОМБИНАТ ПИТАНИЯ"</v>
      </c>
      <c r="B11065" s="24" t="s">
        <v>3955</v>
      </c>
      <c r="C11065" s="25">
        <v>400886.67</v>
      </c>
      <c r="D11065" s="22" t="s">
        <v>15475</v>
      </c>
      <c r="E11065" s="22" t="s">
        <v>13640</v>
      </c>
      <c r="F11065" s="23" t="str">
        <f t="shared" si="301"/>
        <v>Оказание аудиторских и прочих связанных с аудиторской деятельностью услуг в отношении результатов производственно-хозяйственной и финансовой деятельности Муниципального унитарного предприятия городского округа Домодедово «Домодедовский комбинат питан...</v>
      </c>
      <c r="G11065" s="22" t="s">
        <v>49</v>
      </c>
      <c r="H11065" s="22" t="s">
        <v>5231</v>
      </c>
      <c r="I11065" s="26">
        <v>43670.452777777798</v>
      </c>
      <c r="J11065" s="23" t="str">
        <f>HYPERLINK("https://www.spark-marketing.ru/Card/Person/1674945", "ЗАО ""РОСКОНСАЛТИНГ""")</f>
        <v>ЗАО "РОСКОНСАЛТИНГ"</v>
      </c>
      <c r="K11065" s="24" t="s">
        <v>15485</v>
      </c>
      <c r="L11065" s="28" t="s">
        <v>51</v>
      </c>
      <c r="M11065" s="25">
        <v>69999</v>
      </c>
      <c r="N11065" s="27">
        <v>0.82538955460903707</v>
      </c>
    </row>
    <row r="11066" spans="1:14" x14ac:dyDescent="0.15">
      <c r="A11066" s="23" t="str">
        <f>HYPERLINK("https://www.spark-marketing.ru/Card/Person/25413", "ФГКУ ""СЗРПСО МЧС РОССИИ""")</f>
        <v>ФГКУ "СЗРПСО МЧС РОССИИ"</v>
      </c>
      <c r="B11066" s="24" t="s">
        <v>10257</v>
      </c>
      <c r="C11066" s="25">
        <v>759500</v>
      </c>
      <c r="D11066" s="22" t="s">
        <v>15486</v>
      </c>
      <c r="E11066" s="22" t="s">
        <v>48</v>
      </c>
      <c r="F11066" s="23" t="str">
        <f>HYPERLINK("https://www.spark-marketing.ru/Card/Lot/72305095", "Оказание услуг по организации питания работников , несущих дежурство в ПСО МЧС России по Калининградской области (ПСП г. Калининград, ПСП г. Балтийск)")</f>
        <v>Оказание услуг по организации питания работников , несущих дежурство в ПСО МЧС России по Калининградской области (ПСП г. Калининград, ПСП г. Балтийск)</v>
      </c>
      <c r="G11066" s="22" t="s">
        <v>400</v>
      </c>
      <c r="H11066" s="22" t="s">
        <v>400</v>
      </c>
      <c r="I11066" s="26">
        <v>43670.440011574101</v>
      </c>
      <c r="J11066" s="23" t="str">
        <f>HYPERLINK("https://www.spark-marketing.ru/Card/Person/5971188", "ООО ""ТАВРИДА КЕЙТЕРИНГ""")</f>
        <v>ООО "ТАВРИДА КЕЙТЕРИНГ"</v>
      </c>
      <c r="K11066" s="24" t="s">
        <v>15487</v>
      </c>
      <c r="L11066" s="22" t="s">
        <v>10</v>
      </c>
      <c r="M11066" s="28" t="s">
        <v>51</v>
      </c>
      <c r="N11066" s="28" t="s">
        <v>51</v>
      </c>
    </row>
    <row r="11067" spans="1:14" x14ac:dyDescent="0.2">
      <c r="A11067" s="23" t="str">
        <f>HYPERLINK("https://www.spark-marketing.ru/Card/Person/1045814", "ГКОУ ""ЛЕНИНСКАЯ ШКОЛА-ИНТЕРНАТ""")</f>
        <v>ГКОУ "ЛЕНИНСКАЯ ШКОЛА-ИНТЕРНАТ"</v>
      </c>
      <c r="B11067" s="24" t="s">
        <v>15488</v>
      </c>
      <c r="C11067" s="25">
        <v>13554968.640000001</v>
      </c>
      <c r="D11067" s="22" t="s">
        <v>15489</v>
      </c>
      <c r="E11067" s="22" t="s">
        <v>48</v>
      </c>
      <c r="F11067" s="23" t="str">
        <f>HYPERLINK("https://www.spark-marketing.ru/Card/Lot/72302651", "Оказание услуг по обеспечению питанием")</f>
        <v>Оказание услуг по обеспечению питанием</v>
      </c>
      <c r="G11067" s="22" t="s">
        <v>158</v>
      </c>
      <c r="H11067" s="22" t="s">
        <v>654</v>
      </c>
      <c r="I11067" s="26">
        <v>43670.454166666699</v>
      </c>
      <c r="J11067" s="23" t="str">
        <f>HYPERLINK("https://www.spark-marketing.ru/Card/Person/6558293", "ООО ""ВИВО МАРКЕТ""")</f>
        <v>ООО "ВИВО МАРКЕТ"</v>
      </c>
      <c r="K11067" s="24" t="s">
        <v>14440</v>
      </c>
      <c r="L11067" s="28" t="s">
        <v>51</v>
      </c>
      <c r="M11067" s="25">
        <v>13554968.640000001</v>
      </c>
      <c r="N11067" s="27">
        <v>0</v>
      </c>
    </row>
    <row r="11068" spans="1:14" x14ac:dyDescent="0.15">
      <c r="A11068" s="23" t="str">
        <f>HYPERLINK("https://www.spark-marketing.ru/Card/Person/25413", "ФГКУ ""СЗРПСО МЧС РОССИИ""")</f>
        <v>ФГКУ "СЗРПСО МЧС РОССИИ"</v>
      </c>
      <c r="B11068" s="24" t="s">
        <v>10257</v>
      </c>
      <c r="C11068" s="25">
        <v>372400</v>
      </c>
      <c r="D11068" s="22" t="s">
        <v>15490</v>
      </c>
      <c r="E11068" s="22" t="s">
        <v>48</v>
      </c>
      <c r="F11068" s="23" t="str">
        <f>HYPERLINK("https://www.spark-marketing.ru/Card/Lot/72303805", "Оказание услуг по организации питания работников , несущих дежурство в ПСО МЧС России по Калининградской области (ПСП г. Советск, ПСП г. Полесск)")</f>
        <v>Оказание услуг по организации питания работников , несущих дежурство в ПСО МЧС России по Калининградской области (ПСП г. Советск, ПСП г. Полесск)</v>
      </c>
      <c r="G11068" s="22" t="s">
        <v>400</v>
      </c>
      <c r="H11068" s="22" t="s">
        <v>400</v>
      </c>
      <c r="I11068" s="26">
        <v>43670.430532407401</v>
      </c>
      <c r="J11068" s="23" t="str">
        <f>HYPERLINK("https://www.spark-marketing.ru/Card/Person/5971188", "ООО ""ТАВРИДА КЕЙТЕРИНГ""")</f>
        <v>ООО "ТАВРИДА КЕЙТЕРИНГ"</v>
      </c>
      <c r="K11068" s="24" t="s">
        <v>15487</v>
      </c>
      <c r="L11068" s="22" t="s">
        <v>10</v>
      </c>
      <c r="M11068" s="28" t="s">
        <v>51</v>
      </c>
      <c r="N11068" s="28" t="s">
        <v>51</v>
      </c>
    </row>
    <row r="11069" spans="1:14" x14ac:dyDescent="0.15">
      <c r="A11069" s="23" t="str">
        <f>HYPERLINK("https://www.spark-marketing.ru/Card/Person/119777", "МЕЖМУНИЦИПАЛЬНЫЙ ОТДЕЛ МВД РОССИИ ""ЮЖНОУРАЛЬСКИЙ"" ЧЕЛЯБИНСКОЙ ОБЛАСТИ")</f>
        <v>МЕЖМУНИЦИПАЛЬНЫЙ ОТДЕЛ МВД РОССИИ "ЮЖНОУРАЛЬСКИЙ" ЧЕЛЯБИНСКОЙ ОБЛАСТИ</v>
      </c>
      <c r="B11069" s="24" t="s">
        <v>15491</v>
      </c>
      <c r="C11069" s="25">
        <v>3439600</v>
      </c>
      <c r="D11069" s="22" t="s">
        <v>15492</v>
      </c>
      <c r="E11069" s="22" t="s">
        <v>48</v>
      </c>
      <c r="F11069" s="23" t="str">
        <f>HYPERLINK("https://www.spark-marketing.ru/Card/Lot/72298572", "Оказание услуг по обеспечению ежедневным трехразовым питанием лиц, содержащихся в ИВС, лиц, содержащихся в специальном приемнике для содержания лиц, подвергнутых административному аресту и лиц содержащихся в комнатах для задержанных дежурных частей б...")</f>
        <v>Оказание услуг по обеспечению ежедневным трехразовым питанием лиц, содержащихся в ИВС, лиц, содержащихся в специальном приемнике для содержания лиц, подвергнутых административному аресту и лиц содержащихся в комнатах для задержанных дежурных частей б...</v>
      </c>
      <c r="G11069" s="22" t="s">
        <v>469</v>
      </c>
      <c r="H11069" s="22" t="s">
        <v>15493</v>
      </c>
      <c r="I11069" s="26">
        <v>43670.423344907402</v>
      </c>
      <c r="J11069" s="23" t="str">
        <f>HYPERLINK("https://www.spark-marketing.ru/Card/Person/133590", "Бабурина Мария Ивановна")</f>
        <v>Бабурина Мария Ивановна</v>
      </c>
      <c r="K11069" s="24" t="s">
        <v>15494</v>
      </c>
      <c r="L11069" s="22" t="s">
        <v>10</v>
      </c>
      <c r="M11069" s="28" t="s">
        <v>51</v>
      </c>
      <c r="N11069" s="28" t="s">
        <v>51</v>
      </c>
    </row>
    <row r="11070" spans="1:14" x14ac:dyDescent="0.15">
      <c r="A11070" s="23" t="str">
        <f>HYPERLINK("https://www.spark-marketing.ru/Card/Person/3792", "ГБУК Г. МОСКВЫ ""МОСКОВСКИЙ ТЕАТР ""ЕТС""")</f>
        <v>ГБУК Г. МОСКВЫ "МОСКОВСКИЙ ТЕАТР "ЕТС"</v>
      </c>
      <c r="B11070" s="24" t="s">
        <v>15495</v>
      </c>
      <c r="C11070" s="25">
        <v>392635</v>
      </c>
      <c r="D11070" s="22" t="s">
        <v>15496</v>
      </c>
      <c r="E11070" s="22" t="s">
        <v>1377</v>
      </c>
      <c r="F11070" s="23" t="str">
        <f>HYPERLINK("https://www.spark-marketing.ru/Card/Lot/72319899", "ОКАЗАНИЕ УСЛУГ ПО УБОРКЕ и ПОДДЕРЖАНИЮ ЧИСТОТЫ на ОБЪЕКТАХ ПИТАНИЯ и ВСПОМОГАТЕЛЬНЫХ ПОМЕЩЕНИЯХ ЗДАНИЯ ГБУК г. Москвы МОСКОВСКИЙ ТЕАТР «ET CETERA» по руководством А.А. Калягина")</f>
        <v>ОКАЗАНИЕ УСЛУГ ПО УБОРКЕ и ПОДДЕРЖАНИЮ ЧИСТОТЫ на ОБЪЕКТАХ ПИТАНИЯ и ВСПОМОГАТЕЛЬНЫХ ПОМЕЩЕНИЯХ ЗДАНИЯ ГБУК г. Москвы МОСКОВСКИЙ ТЕАТР «ET CETERA» по руководством А.А. Калягина</v>
      </c>
      <c r="G11070" s="22" t="s">
        <v>56</v>
      </c>
      <c r="H11070" s="22" t="s">
        <v>56</v>
      </c>
      <c r="I11070" s="26">
        <v>43670.446967592601</v>
      </c>
      <c r="J11070" s="28" t="s">
        <v>51</v>
      </c>
      <c r="K11070" s="28" t="s">
        <v>51</v>
      </c>
      <c r="L11070" s="28" t="s">
        <v>51</v>
      </c>
      <c r="M11070" s="28" t="s">
        <v>51</v>
      </c>
      <c r="N11070" s="28" t="s">
        <v>51</v>
      </c>
    </row>
    <row r="11071" spans="1:14" x14ac:dyDescent="0.15">
      <c r="A11071" s="23" t="str">
        <f>HYPERLINK("https://www.spark-marketing.ru/Card/Person/1343921", """ВДАЭР"" - ФИЛИАЛ АО ""АТОМЭНЕРГОРЕМОНТ""")</f>
        <v>"ВДАЭР" - ФИЛИАЛ АО "АТОМЭНЕРГОРЕМОНТ"</v>
      </c>
      <c r="B11071" s="24" t="s">
        <v>14448</v>
      </c>
      <c r="C11071" s="28" t="s">
        <v>51</v>
      </c>
      <c r="D11071" s="22" t="s">
        <v>15497</v>
      </c>
      <c r="E11071" s="22" t="s">
        <v>91</v>
      </c>
      <c r="F11071" s="23" t="str">
        <f>HYPERLINK("https://www.spark-marketing.ru/Card/Lot/72319320", "Услуги по ремонту оргтехники.")</f>
        <v>Услуги по ремонту оргтехники.</v>
      </c>
      <c r="G11071" s="22" t="s">
        <v>56</v>
      </c>
      <c r="H11071" s="22" t="s">
        <v>56</v>
      </c>
      <c r="I11071" s="26">
        <v>43670.417800925898</v>
      </c>
      <c r="J11071" s="28" t="s">
        <v>51</v>
      </c>
      <c r="K11071" s="28" t="s">
        <v>51</v>
      </c>
      <c r="L11071" s="28" t="s">
        <v>51</v>
      </c>
      <c r="M11071" s="28" t="s">
        <v>51</v>
      </c>
      <c r="N11071" s="28" t="s">
        <v>51</v>
      </c>
    </row>
    <row r="11072" spans="1:14" x14ac:dyDescent="0.15">
      <c r="A11072" s="23" t="str">
        <f>HYPERLINK("https://www.spark-marketing.ru/Card/Person/1014693", "НРМОБУ ""ЧЕУСКИНСКАЯ СОШ""")</f>
        <v>НРМОБУ "ЧЕУСКИНСКАЯ СОШ"</v>
      </c>
      <c r="B11072" s="24" t="s">
        <v>698</v>
      </c>
      <c r="C11072" s="25">
        <v>879548</v>
      </c>
      <c r="D11072" s="22" t="s">
        <v>15498</v>
      </c>
      <c r="E11072" s="22" t="s">
        <v>48</v>
      </c>
      <c r="F11072" s="23" t="str">
        <f>HYPERLINK("https://www.spark-marketing.ru/Card/Lot/72300477", "Оказание услуг по организации питания учащихся в столовой НРМОБУ «Чеускинская СОШ»")</f>
        <v>Оказание услуг по организации питания учащихся в столовой НРМОБУ «Чеускинская СОШ»</v>
      </c>
      <c r="G11072" s="22" t="s">
        <v>97</v>
      </c>
      <c r="H11072" s="22" t="s">
        <v>97</v>
      </c>
      <c r="I11072" s="26">
        <v>43670.450046296297</v>
      </c>
      <c r="J11072" s="23" t="str">
        <f>HYPERLINK("https://www.spark-marketing.ru/Card/Person/233465", "НГМУП ""ШКОЛЬНОЕ ПИТАНИЕ""")</f>
        <v>НГМУП "ШКОЛЬНОЕ ПИТАНИЕ"</v>
      </c>
      <c r="K11072" s="24" t="s">
        <v>5280</v>
      </c>
      <c r="L11072" s="22" t="s">
        <v>10</v>
      </c>
      <c r="M11072" s="28" t="s">
        <v>51</v>
      </c>
      <c r="N11072" s="28" t="s">
        <v>51</v>
      </c>
    </row>
    <row r="11073" spans="1:14" x14ac:dyDescent="0.15">
      <c r="A11073" s="23" t="str">
        <f>HYPERLINK("https://www.spark-marketing.ru/Card/Person/253228", "ОМВД РОССИИ ПО ПУДОЖСКОМУ РАЙОНУ")</f>
        <v>ОМВД РОССИИ ПО ПУДОЖСКОМУ РАЙОНУ</v>
      </c>
      <c r="B11073" s="24" t="s">
        <v>14689</v>
      </c>
      <c r="C11073" s="25">
        <v>1000000</v>
      </c>
      <c r="D11073" s="22" t="s">
        <v>15499</v>
      </c>
      <c r="E11073" s="22" t="s">
        <v>48</v>
      </c>
      <c r="F11073" s="23" t="str">
        <f>HYPERLINK("https://www.spark-marketing.ru/Card/Lot/72305055", "Услуги по организации питания для лиц, содержащихся в СП СЗЛ")</f>
        <v>Услуги по организации питания для лиц, содержащихся в СП СЗЛ</v>
      </c>
      <c r="G11073" s="22" t="s">
        <v>59</v>
      </c>
      <c r="H11073" s="22" t="s">
        <v>14691</v>
      </c>
      <c r="I11073" s="26">
        <v>43670.4468402778</v>
      </c>
      <c r="J11073" s="23" t="str">
        <f>HYPERLINK("https://www.spark-marketing.ru/Card/Person/1117685", "ООО ""ОНЕГО""")</f>
        <v>ООО "ОНЕГО"</v>
      </c>
      <c r="K11073" s="24" t="s">
        <v>14692</v>
      </c>
      <c r="L11073" s="22" t="s">
        <v>10</v>
      </c>
      <c r="M11073" s="28" t="s">
        <v>51</v>
      </c>
      <c r="N11073" s="28" t="s">
        <v>51</v>
      </c>
    </row>
    <row r="11074" spans="1:14" x14ac:dyDescent="0.15">
      <c r="A11074" s="23" t="str">
        <f>HYPERLINK("https://www.spark-marketing.ru/Card/Person/4347115", "МИНСОЦЗАЩИТЫ КРАЯ")</f>
        <v>МИНСОЦЗАЩИТЫ КРАЯ</v>
      </c>
      <c r="B11074" s="24" t="s">
        <v>15500</v>
      </c>
      <c r="C11074" s="25">
        <v>1198260</v>
      </c>
      <c r="D11074" s="22" t="s">
        <v>15501</v>
      </c>
      <c r="E11074" s="22" t="s">
        <v>355</v>
      </c>
      <c r="F11074" s="23" t="str">
        <f>HYPERLINK("https://www.spark-marketing.ru/Card/Lot/72305013", "Оказание услуг по модернизации и техническому обслуживанию систем бесперебойного питания министерства труда и социальной защиты населения Ставропольского края")</f>
        <v>Оказание услуг по модернизации и техническому обслуживанию систем бесперебойного питания министерства труда и социальной защиты населения Ставропольского края</v>
      </c>
      <c r="G11074" s="22" t="s">
        <v>87</v>
      </c>
      <c r="H11074" s="22" t="s">
        <v>686</v>
      </c>
      <c r="I11074" s="26">
        <v>43670.4307638889</v>
      </c>
      <c r="J11074" s="23" t="str">
        <f>HYPERLINK("https://www.spark-marketing.ru/Card/Person/456159", "ООО ""СИТИЛИНК ЮГ""")</f>
        <v>ООО "СИТИЛИНК ЮГ"</v>
      </c>
      <c r="K11074" s="24" t="s">
        <v>15502</v>
      </c>
      <c r="L11074" s="22" t="s">
        <v>10</v>
      </c>
      <c r="M11074" s="28" t="s">
        <v>51</v>
      </c>
      <c r="N11074" s="28" t="s">
        <v>51</v>
      </c>
    </row>
    <row r="11075" spans="1:14" x14ac:dyDescent="0.15">
      <c r="A11075" s="23" t="str">
        <f>HYPERLINK("https://www.spark-marketing.ru/Card/Person/6225059", "УПРАВЛЕНИЕ СОЦИАЛЬНЫХ КОММУНИКАЦИЙ")</f>
        <v>УПРАВЛЕНИЕ СОЦИАЛЬНЫХ КОММУНИКАЦИЙ</v>
      </c>
      <c r="B11075" s="24" t="s">
        <v>13868</v>
      </c>
      <c r="C11075" s="25">
        <v>482040</v>
      </c>
      <c r="D11075" s="22" t="s">
        <v>15503</v>
      </c>
      <c r="E11075" s="22" t="s">
        <v>11142</v>
      </c>
      <c r="F11075" s="23" t="str">
        <f>HYPERLINK("https://www.spark-marketing.ru/Card/Lot/72306256", "Оказание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 году")</f>
        <v>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 году</v>
      </c>
      <c r="G11075" s="22" t="s">
        <v>49</v>
      </c>
      <c r="H11075" s="22" t="s">
        <v>631</v>
      </c>
      <c r="I11075" s="26">
        <v>43670.402210648099</v>
      </c>
      <c r="J11075" s="28" t="s">
        <v>51</v>
      </c>
      <c r="K11075" s="28" t="s">
        <v>51</v>
      </c>
      <c r="L11075" s="28" t="s">
        <v>51</v>
      </c>
      <c r="M11075" s="28" t="s">
        <v>51</v>
      </c>
      <c r="N11075" s="28" t="s">
        <v>51</v>
      </c>
    </row>
    <row r="11076" spans="1:14" ht="12.75" hidden="1" outlineLevel="1" x14ac:dyDescent="0.2">
      <c r="A11076" s="23" t="str">
        <f>HYPERLINK("https://www.spark-marketing.ru/Card/Person/6225059", "УПРАВЛЕНИЕ СОЦИАЛЬНЫХ КОММУНИКАЦИЙ")</f>
        <v>УПРАВЛЕНИЕ СОЦИАЛЬНЫХ КОММУНИКАЦИЙ</v>
      </c>
      <c r="B11076" s="24" t="s">
        <v>13868</v>
      </c>
      <c r="C11076" s="25">
        <v>482040</v>
      </c>
      <c r="D11076" s="22" t="s">
        <v>15503</v>
      </c>
      <c r="E11076" s="22" t="s">
        <v>11142</v>
      </c>
      <c r="F11076" s="23" t="str">
        <f>HYPERLINK("https://www.spark-marketing.ru/Card/Lot/72306256", "Оказание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 году")</f>
        <v>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 году</v>
      </c>
      <c r="G11076" s="22" t="s">
        <v>49</v>
      </c>
      <c r="H11076" s="22" t="s">
        <v>631</v>
      </c>
      <c r="I11076" s="26">
        <v>43670.402210648099</v>
      </c>
      <c r="J11076" s="23" t="str">
        <f>HYPERLINK("https://www.spark-marketing.ru/Card/Person/4954112", "Полагутина Оксана Валерьевна")</f>
        <v>Полагутина Оксана Валерьевна</v>
      </c>
      <c r="K11076" s="24" t="s">
        <v>15504</v>
      </c>
      <c r="L11076" s="22" t="s">
        <v>10</v>
      </c>
      <c r="M11076" s="25">
        <v>358800</v>
      </c>
      <c r="N11076" s="27">
        <v>0.25566343042071199</v>
      </c>
    </row>
    <row r="11077" spans="1:14" hidden="1" outlineLevel="1" x14ac:dyDescent="0.2">
      <c r="A11077" s="23" t="str">
        <f>HYPERLINK("https://www.spark-marketing.ru/Card/Person/6225059", "УПРАВЛЕНИЕ СОЦИАЛЬНЫХ КОММУНИКАЦИЙ")</f>
        <v>УПРАВЛЕНИЕ СОЦИАЛЬНЫХ КОММУНИКАЦИЙ</v>
      </c>
      <c r="B11077" s="24" t="s">
        <v>13868</v>
      </c>
      <c r="C11077" s="25">
        <v>482040</v>
      </c>
      <c r="D11077" s="22" t="s">
        <v>15503</v>
      </c>
      <c r="E11077" s="22" t="s">
        <v>11142</v>
      </c>
      <c r="F11077" s="23" t="str">
        <f>HYPERLINK("https://www.spark-marketing.ru/Card/Lot/72306256", "Оказание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 году")</f>
        <v>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 году</v>
      </c>
      <c r="G11077" s="22" t="s">
        <v>49</v>
      </c>
      <c r="H11077" s="22" t="s">
        <v>631</v>
      </c>
      <c r="I11077" s="26">
        <v>43670.402210648099</v>
      </c>
      <c r="J11077" s="23" t="str">
        <f>HYPERLINK("https://www.spark-marketing.ru/Card/Person/4667653", "ООО ""МОСОБЛТРАНС-1""")</f>
        <v>ООО "МОСОБЛТРАНС-1"</v>
      </c>
      <c r="K11077" s="24" t="s">
        <v>15505</v>
      </c>
      <c r="L11077" s="28" t="s">
        <v>51</v>
      </c>
      <c r="M11077" s="25">
        <v>480480</v>
      </c>
      <c r="N11077" s="27">
        <v>3.2362459546925568E-3</v>
      </c>
    </row>
    <row r="11078" spans="1:14" hidden="1" outlineLevel="1" x14ac:dyDescent="0.2">
      <c r="A11078" s="23" t="str">
        <f>HYPERLINK("https://www.spark-marketing.ru/Card/Person/6225059", "УПРАВЛЕНИЕ СОЦИАЛЬНЫХ КОММУНИКАЦИЙ")</f>
        <v>УПРАВЛЕНИЕ СОЦИАЛЬНЫХ КОММУНИКАЦИЙ</v>
      </c>
      <c r="B11078" s="24" t="s">
        <v>13868</v>
      </c>
      <c r="C11078" s="25">
        <v>482040</v>
      </c>
      <c r="D11078" s="22" t="s">
        <v>15503</v>
      </c>
      <c r="E11078" s="22" t="s">
        <v>11142</v>
      </c>
      <c r="F11078" s="23" t="str">
        <f>HYPERLINK("https://www.spark-marketing.ru/Card/Lot/72306256", "Оказание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 году")</f>
        <v>Оказание услуг автобуса (с водителем), с предоставлением питания для оказания услуг по организации и проведению автобусных тематических экскурсий для жителей городского округа Химки Московской области в 2019 году</v>
      </c>
      <c r="G11078" s="22" t="s">
        <v>49</v>
      </c>
      <c r="H11078" s="22" t="s">
        <v>631</v>
      </c>
      <c r="I11078" s="26">
        <v>43670.402210648099</v>
      </c>
      <c r="J11078" s="23" t="str">
        <f>HYPERLINK("https://www.spark-marketing.ru/Card/Person/704827", "ООО ""ТРАНСФОРТЕ""")</f>
        <v>ООО "ТРАНСФОРТЕ"</v>
      </c>
      <c r="K11078" s="24" t="s">
        <v>15506</v>
      </c>
      <c r="L11078" s="28" t="s">
        <v>51</v>
      </c>
      <c r="M11078" s="25">
        <v>482040</v>
      </c>
      <c r="N11078" s="27">
        <v>0</v>
      </c>
    </row>
    <row r="11079" spans="1:14" x14ac:dyDescent="0.15">
      <c r="A11079" s="23" t="str">
        <f>HYPERLINK("https://www.spark-marketing.ru/Card/Person/1047384", "ОТДЕЛ МВД РОССИИ ПО БРЕДИНСКОМУ РАЙОНУ ЧЕЛЯБИНСКОЙ ОБЛАСТИ")</f>
        <v>ОТДЕЛ МВД РОССИИ ПО БРЕДИНСКОМУ РАЙОНУ ЧЕЛЯБИНСКОЙ ОБЛАСТИ</v>
      </c>
      <c r="B11079" s="24" t="s">
        <v>15507</v>
      </c>
      <c r="C11079" s="25">
        <v>1600000</v>
      </c>
      <c r="D11079" s="22" t="s">
        <v>15508</v>
      </c>
      <c r="E11079" s="22" t="s">
        <v>96</v>
      </c>
      <c r="F11079" s="23" t="str">
        <f>HYPERLINK("https://www.spark-marketing.ru/Card/Lot/72306965", "оказание услуг по организации ежедневного трехразового горячего питания для лиц, задержанных на срок более 3-х часов и помещенных в специальные помещения задержанных лиц дежурной части, лиц, содержащихся в комнате содержания административно-арестован...")</f>
        <v>оказание услуг по организации ежедневного трехразового горячего питания для лиц, задержанных на срок более 3-х часов и помещенных в специальные помещения задержанных лиц дежурной части, лиц, содержащихся в комнате содержания административно-арестован...</v>
      </c>
      <c r="G11079" s="22" t="s">
        <v>469</v>
      </c>
      <c r="H11079" s="22" t="s">
        <v>2180</v>
      </c>
      <c r="I11079" s="26">
        <v>43670.3927430556</v>
      </c>
      <c r="J11079" s="23" t="str">
        <f>HYPERLINK("https://www.spark-marketing.ru/Card/Person/4945904", "Грязева Наталья Викторовна")</f>
        <v>Грязева Наталья Викторовна</v>
      </c>
      <c r="K11079" s="24" t="s">
        <v>2181</v>
      </c>
      <c r="L11079" s="22" t="s">
        <v>10</v>
      </c>
      <c r="M11079" s="28" t="s">
        <v>51</v>
      </c>
      <c r="N11079" s="28" t="s">
        <v>51</v>
      </c>
    </row>
    <row r="11080" spans="1:14" x14ac:dyDescent="0.15">
      <c r="A11080" s="23" t="str">
        <f>HYPERLINK("https://www.spark-marketing.ru/Card/Person/1005616", "МБДОУ ""ДЕТСКИЙ САД № 13""")</f>
        <v>МБДОУ "ДЕТСКИЙ САД № 13"</v>
      </c>
      <c r="B11080" s="24" t="s">
        <v>15509</v>
      </c>
      <c r="C11080" s="25">
        <v>2908724.7</v>
      </c>
      <c r="D11080" s="22" t="s">
        <v>15510</v>
      </c>
      <c r="E11080" s="22" t="s">
        <v>96</v>
      </c>
      <c r="F11080" s="23" t="str">
        <f>HYPERLINK("https://www.spark-marketing.ru/Card/Lot/72297659", "Оказание услуг по организации горячего питания воспитанников МБДОУ ""Детский сад № 13""")</f>
        <v>Оказание услуг по организации горячего питания воспитанников МБДОУ "Детский сад № 13"</v>
      </c>
      <c r="G11080" s="22" t="s">
        <v>153</v>
      </c>
      <c r="H11080" s="22" t="s">
        <v>153</v>
      </c>
      <c r="I11080" s="26">
        <v>43670.404861111099</v>
      </c>
      <c r="J11080" s="28" t="s">
        <v>51</v>
      </c>
      <c r="K11080" s="28" t="s">
        <v>51</v>
      </c>
      <c r="L11080" s="28" t="s">
        <v>51</v>
      </c>
      <c r="M11080" s="28" t="s">
        <v>51</v>
      </c>
      <c r="N11080" s="28" t="s">
        <v>51</v>
      </c>
    </row>
    <row r="11081" spans="1:14" hidden="1" outlineLevel="1" x14ac:dyDescent="0.2">
      <c r="A11081" s="23" t="str">
        <f>HYPERLINK("https://www.spark-marketing.ru/Card/Person/1005616", "МБДОУ ""ДЕТСКИЙ САД № 13""")</f>
        <v>МБДОУ "ДЕТСКИЙ САД № 13"</v>
      </c>
      <c r="B11081" s="24" t="s">
        <v>15509</v>
      </c>
      <c r="C11081" s="25">
        <v>2908724.7</v>
      </c>
      <c r="D11081" s="22" t="s">
        <v>15510</v>
      </c>
      <c r="E11081" s="22" t="s">
        <v>96</v>
      </c>
      <c r="F11081" s="23" t="str">
        <f>HYPERLINK("https://www.spark-marketing.ru/Card/Lot/72297659", "Оказание услуг по организации горячего питания воспитанников МБДОУ ""Детский сад № 13""")</f>
        <v>Оказание услуг по организации горячего питания воспитанников МБДОУ "Детский сад № 13"</v>
      </c>
      <c r="G11081" s="22" t="s">
        <v>153</v>
      </c>
      <c r="H11081" s="22" t="s">
        <v>153</v>
      </c>
      <c r="I11081" s="26">
        <v>43670.404861111099</v>
      </c>
      <c r="J11081" s="23" t="str">
        <f>HYPERLINK("https://www.spark-marketing.ru/Card/Person/1016854", "МБУ ""КОМБИНАТ ПИТАНИЯ""")</f>
        <v>МБУ "КОМБИНАТ ПИТАНИЯ"</v>
      </c>
      <c r="K11081" s="24" t="s">
        <v>6224</v>
      </c>
      <c r="L11081" s="28" t="s">
        <v>51</v>
      </c>
      <c r="M11081" s="25">
        <v>2882740</v>
      </c>
      <c r="N11081" s="27">
        <v>8.9333651960943564E-3</v>
      </c>
    </row>
    <row r="11082" spans="1:14" ht="12.75" hidden="1" outlineLevel="1" x14ac:dyDescent="0.2">
      <c r="A11082" s="23" t="str">
        <f>HYPERLINK("https://www.spark-marketing.ru/Card/Person/1005616", "МБДОУ ""ДЕТСКИЙ САД № 13""")</f>
        <v>МБДОУ "ДЕТСКИЙ САД № 13"</v>
      </c>
      <c r="B11082" s="24" t="s">
        <v>15509</v>
      </c>
      <c r="C11082" s="25">
        <v>2908724.7</v>
      </c>
      <c r="D11082" s="22" t="s">
        <v>15510</v>
      </c>
      <c r="E11082" s="22" t="s">
        <v>96</v>
      </c>
      <c r="F11082" s="23" t="str">
        <f>HYPERLINK("https://www.spark-marketing.ru/Card/Lot/72297659", "Оказание услуг по организации горячего питания воспитанников МБДОУ ""Детский сад № 13""")</f>
        <v>Оказание услуг по организации горячего питания воспитанников МБДОУ "Детский сад № 13"</v>
      </c>
      <c r="G11082" s="22" t="s">
        <v>153</v>
      </c>
      <c r="H11082" s="22" t="s">
        <v>153</v>
      </c>
      <c r="I11082" s="26">
        <v>43670.404861111099</v>
      </c>
      <c r="J11082" s="23" t="str">
        <f>HYPERLINK("https://www.spark-marketing.ru/Card/Person/788397", "Меньшатов Станислав Николаевич")</f>
        <v>Меньшатов Станислав Николаевич</v>
      </c>
      <c r="K11082" s="24" t="s">
        <v>6223</v>
      </c>
      <c r="L11082" s="22" t="s">
        <v>10</v>
      </c>
      <c r="M11082" s="25">
        <v>2836006.58</v>
      </c>
      <c r="N11082" s="27">
        <v>2.5000000859483194E-2</v>
      </c>
    </row>
    <row r="11083" spans="1:14" x14ac:dyDescent="0.15">
      <c r="A11083" s="23" t="str">
        <f>HYPERLINK("https://www.spark-marketing.ru/Card/Person/1070848", "ОТДЕЛ МВД РОССИИ ПО КОРКИНСКОМУ РАЙОНУ ЧЕЛЯБИНСКОЙ ОБЛАСТИ")</f>
        <v>ОТДЕЛ МВД РОССИИ ПО КОРКИНСКОМУ РАЙОНУ ЧЕЛЯБИНСКОЙ ОБЛАСТИ</v>
      </c>
      <c r="B11083" s="24" t="s">
        <v>15511</v>
      </c>
      <c r="C11083" s="25">
        <v>500000</v>
      </c>
      <c r="D11083" s="22" t="s">
        <v>15512</v>
      </c>
      <c r="E11083" s="22" t="s">
        <v>48</v>
      </c>
      <c r="F11083" s="23" t="str">
        <f>HYPERLINK("https://www.spark-marketing.ru/Card/Lot/72297738", "Оказание услуг по обеспечению ежедневным трехразовым горячим питанием подозреваемых, обвиняемых и лиц, подвергнутых административному аресту, содержащихся в ИВС Отдела МВД России по Коркинскому району Челябинской области")</f>
        <v>Оказание услуг по обеспечению ежедневным трехразовым горячим питанием подозреваемых, обвиняемых и лиц, подвергнутых административному аресту, содержащихся в ИВС Отдела МВД России по Коркинскому району Челябинской области</v>
      </c>
      <c r="G11083" s="22" t="s">
        <v>469</v>
      </c>
      <c r="H11083" s="22" t="s">
        <v>469</v>
      </c>
      <c r="I11083" s="26">
        <v>43670.376342592601</v>
      </c>
      <c r="J11083" s="23" t="str">
        <f>HYPERLINK("https://www.spark-marketing.ru/Card/Person/5846524", "ООО ""УРАЛОПТТОРГ""")</f>
        <v>ООО "УРАЛОПТТОРГ"</v>
      </c>
      <c r="K11083" s="24" t="s">
        <v>15513</v>
      </c>
      <c r="L11083" s="22" t="s">
        <v>10</v>
      </c>
      <c r="M11083" s="28" t="s">
        <v>51</v>
      </c>
      <c r="N11083" s="28" t="s">
        <v>51</v>
      </c>
    </row>
    <row r="11084" spans="1:14" x14ac:dyDescent="0.15">
      <c r="A11084" s="23" t="str">
        <f>HYPERLINK("https://www.spark-marketing.ru/Card/Person/55258", "ГЛАВНОЕ УПРАВЛЕНИЕ МЧС РОССИИ ПО ВОЛГОГРАДСКОЙ ОБЛАСТИ")</f>
        <v>ГЛАВНОЕ УПРАВЛЕНИЕ МЧС РОССИИ ПО ВОЛГОГРАДСКОЙ ОБЛАСТИ</v>
      </c>
      <c r="B11084" s="24" t="s">
        <v>6151</v>
      </c>
      <c r="C11084" s="25">
        <v>1000000</v>
      </c>
      <c r="D11084" s="22" t="s">
        <v>15514</v>
      </c>
      <c r="E11084" s="22" t="s">
        <v>48</v>
      </c>
      <c r="F11084" s="23" t="str">
        <f>HYPERLINK("https://www.spark-marketing.ru/Card/Lot/72300452", "Услуги общественного питания")</f>
        <v>Услуги общественного питания</v>
      </c>
      <c r="G11084" s="22" t="s">
        <v>158</v>
      </c>
      <c r="H11084" s="22" t="s">
        <v>158</v>
      </c>
      <c r="I11084" s="26">
        <v>43670.393530092602</v>
      </c>
      <c r="J11084" s="28" t="s">
        <v>51</v>
      </c>
      <c r="K11084" s="28" t="s">
        <v>51</v>
      </c>
      <c r="L11084" s="28" t="s">
        <v>51</v>
      </c>
      <c r="M11084" s="28" t="s">
        <v>51</v>
      </c>
      <c r="N11084" s="28" t="s">
        <v>51</v>
      </c>
    </row>
    <row r="11085" spans="1:14" x14ac:dyDescent="0.15">
      <c r="A11085" s="23" t="str">
        <f>HYPERLINK("https://www.spark-marketing.ru/Card/Person/4358567", "АО ""ТОМСКНИПИНЕФТЬ""")</f>
        <v>АО "ТОМСКНИПИНЕФТЬ"</v>
      </c>
      <c r="B11085" s="24" t="s">
        <v>4357</v>
      </c>
      <c r="C11085" s="28" t="s">
        <v>51</v>
      </c>
      <c r="D11085" s="22" t="s">
        <v>15515</v>
      </c>
      <c r="E11085" s="22" t="s">
        <v>362</v>
      </c>
      <c r="F11085" s="23" t="str">
        <f>HYPERLINK("https://www.spark-marketing.ru/Card/Lot/74002827", "Услуги по организации и проведению питания на Научно-технической конференции «Технологии обустройства нефтяных, газовых и газоконденсатных месторождений»")</f>
        <v>Услуги по организации и проведению питания на Научно-технической конференции «Технологии обустройства нефтяных, газовых и газоконденсатных месторождений»</v>
      </c>
      <c r="G11085" s="22" t="s">
        <v>149</v>
      </c>
      <c r="H11085" s="22" t="s">
        <v>496</v>
      </c>
      <c r="I11085" s="26">
        <v>43670.404861111099</v>
      </c>
      <c r="J11085" s="28" t="s">
        <v>51</v>
      </c>
      <c r="K11085" s="28" t="s">
        <v>51</v>
      </c>
      <c r="L11085" s="28" t="s">
        <v>51</v>
      </c>
      <c r="M11085" s="28" t="s">
        <v>51</v>
      </c>
      <c r="N11085" s="28" t="s">
        <v>51</v>
      </c>
    </row>
    <row r="11086" spans="1:14" x14ac:dyDescent="0.15">
      <c r="A11086" s="23" t="str">
        <f>HYPERLINK("https://www.spark-marketing.ru/Card/Person/69145", "ГБУ РО ""САСОВСКИЙ ММЦ""")</f>
        <v>ГБУ РО "САСОВСКИЙ ММЦ"</v>
      </c>
      <c r="B11086" s="24" t="s">
        <v>15516</v>
      </c>
      <c r="C11086" s="25">
        <v>3869200</v>
      </c>
      <c r="D11086" s="22" t="s">
        <v>15517</v>
      </c>
      <c r="E11086" s="22" t="s">
        <v>48</v>
      </c>
      <c r="F11086" s="23" t="str">
        <f>HYPERLINK("https://www.spark-marketing.ru/Card/Lot/72306974", "Оказание услуг по приготовлению и поставке лечебно-диетического питания пациентам, находящимся на круглосуточном стационарном лечении в Государственном бюджетном учреждении Рязанской области «Сасовский межрайонный медицинский центр»")</f>
        <v>Оказание услуг по приготовлению и поставке лечебно-диетического питания пациентам, находящимся на круглосуточном стационарном лечении в Государственном бюджетном учреждении Рязанской области «Сасовский межрайонный медицинский центр»</v>
      </c>
      <c r="G11086" s="22" t="s">
        <v>1522</v>
      </c>
      <c r="H11086" s="22" t="s">
        <v>10716</v>
      </c>
      <c r="I11086" s="26">
        <v>43670.400879629597</v>
      </c>
      <c r="J11086" s="23" t="str">
        <f>HYPERLINK("https://www.spark-marketing.ru/Card/Person/6465451", "Стеклянников Сергей Сергеевич")</f>
        <v>Стеклянников Сергей Сергеевич</v>
      </c>
      <c r="K11086" s="24" t="s">
        <v>15518</v>
      </c>
      <c r="L11086" s="22" t="s">
        <v>10</v>
      </c>
      <c r="M11086" s="28" t="s">
        <v>51</v>
      </c>
      <c r="N11086" s="28" t="s">
        <v>51</v>
      </c>
    </row>
    <row r="11087" spans="1:14" x14ac:dyDescent="0.15">
      <c r="A11087" s="23" t="str">
        <f>HYPERLINK("https://www.spark-marketing.ru/Card/Person/103054", "МВД ПО РЕСПУБЛИКЕ МАРИЙ ЭЛ")</f>
        <v>МВД ПО РЕСПУБЛИКЕ МАРИЙ ЭЛ</v>
      </c>
      <c r="B11087" s="24" t="s">
        <v>3247</v>
      </c>
      <c r="C11087" s="25">
        <v>50000</v>
      </c>
      <c r="D11087" s="22" t="s">
        <v>15519</v>
      </c>
      <c r="E11087" s="22" t="s">
        <v>96</v>
      </c>
      <c r="F11087" s="23" t="str">
        <f>HYPERLINK("https://www.spark-marketing.ru/Card/Lot/72298161",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1087" s="22" t="s">
        <v>3249</v>
      </c>
      <c r="H11087" s="22" t="s">
        <v>3250</v>
      </c>
      <c r="I11087" s="26">
        <v>43670.359814814801</v>
      </c>
      <c r="J11087" s="28" t="s">
        <v>51</v>
      </c>
      <c r="K11087" s="28" t="s">
        <v>51</v>
      </c>
      <c r="L11087" s="28" t="s">
        <v>51</v>
      </c>
      <c r="M11087" s="28" t="s">
        <v>51</v>
      </c>
      <c r="N11087" s="28" t="s">
        <v>51</v>
      </c>
    </row>
    <row r="11088" spans="1:14" x14ac:dyDescent="0.15">
      <c r="A11088" s="23" t="str">
        <f>HYPERLINK("https://www.spark-marketing.ru/Card/Person/738656", "О МВД РОССИИ ПО БИЧУРСКОМУ РАЙОНУ")</f>
        <v>О МВД РОССИИ ПО БИЧУРСКОМУ РАЙОНУ</v>
      </c>
      <c r="B11088" s="24" t="s">
        <v>15520</v>
      </c>
      <c r="C11088" s="25">
        <v>740520</v>
      </c>
      <c r="D11088" s="22" t="s">
        <v>15521</v>
      </c>
      <c r="E11088" s="22" t="s">
        <v>96</v>
      </c>
      <c r="F11088" s="23" t="str">
        <f>HYPERLINK("https://www.spark-marketing.ru/Card/Lot/72295334", "услуги по организации и доставке ежедневного горячего трехразового питания для лиц, содержащихся в ИВС и дежурной части ОМВД России по Бичурскому району более 3 часов")</f>
        <v>услуги по организации и доставке ежедневного горячего трехразового питания для лиц, содержащихся в ИВС и дежурной части ОМВД России по Бичурскому району более 3 часов</v>
      </c>
      <c r="G11088" s="22" t="s">
        <v>433</v>
      </c>
      <c r="H11088" s="22" t="s">
        <v>15522</v>
      </c>
      <c r="I11088" s="26">
        <v>43670.358483796299</v>
      </c>
      <c r="J11088" s="23" t="str">
        <f>HYPERLINK("https://www.spark-marketing.ru/Card/Person/765541", "АУСО РБ ""БИЧУРСКИЙ ДИ""")</f>
        <v>АУСО РБ "БИЧУРСКИЙ ДИ"</v>
      </c>
      <c r="K11088" s="24" t="s">
        <v>15523</v>
      </c>
      <c r="L11088" s="22" t="s">
        <v>10</v>
      </c>
      <c r="M11088" s="28" t="s">
        <v>51</v>
      </c>
      <c r="N11088" s="28" t="s">
        <v>51</v>
      </c>
    </row>
    <row r="11089" spans="1:14" x14ac:dyDescent="0.15">
      <c r="A11089" s="23" t="str">
        <f>HYPERLINK("https://www.spark-marketing.ru/Card/Person/12761", "АДМИНИСТРАЦИЯ РГО МО")</f>
        <v>АДМИНИСТРАЦИЯ РГО МО</v>
      </c>
      <c r="B11089" s="24" t="s">
        <v>15524</v>
      </c>
      <c r="C11089" s="25">
        <v>420000</v>
      </c>
      <c r="D11089" s="22" t="s">
        <v>15525</v>
      </c>
      <c r="E11089" s="22" t="s">
        <v>48</v>
      </c>
      <c r="F11089" s="23" t="str">
        <f>HYPERLINK("https://www.spark-marketing.ru/Card/Lot/72300879", "Оказание услуг по организации питания участников торжественных мероприятий")</f>
        <v>Оказание услуг по организации питания участников торжественных мероприятий</v>
      </c>
      <c r="G11089" s="22" t="s">
        <v>49</v>
      </c>
      <c r="H11089" s="22" t="s">
        <v>2874</v>
      </c>
      <c r="I11089" s="26">
        <v>43670.372939814799</v>
      </c>
      <c r="J11089" s="28" t="s">
        <v>51</v>
      </c>
      <c r="K11089" s="28" t="s">
        <v>51</v>
      </c>
      <c r="L11089" s="28" t="s">
        <v>51</v>
      </c>
      <c r="M11089" s="28" t="s">
        <v>51</v>
      </c>
      <c r="N11089" s="28" t="s">
        <v>51</v>
      </c>
    </row>
    <row r="11090" spans="1:14" ht="12.75" hidden="1" outlineLevel="1" x14ac:dyDescent="0.2">
      <c r="A11090" s="23" t="str">
        <f>HYPERLINK("https://www.spark-marketing.ru/Card/Person/12761", "АДМИНИСТРАЦИЯ РГО МО")</f>
        <v>АДМИНИСТРАЦИЯ РГО МО</v>
      </c>
      <c r="B11090" s="24" t="s">
        <v>15524</v>
      </c>
      <c r="C11090" s="25">
        <v>420000</v>
      </c>
      <c r="D11090" s="22" t="s">
        <v>15525</v>
      </c>
      <c r="E11090" s="22" t="s">
        <v>48</v>
      </c>
      <c r="F11090" s="23" t="str">
        <f>HYPERLINK("https://www.spark-marketing.ru/Card/Lot/72300879", "Оказание услуг по организации питания участников торжественных мероприятий")</f>
        <v>Оказание услуг по организации питания участников торжественных мероприятий</v>
      </c>
      <c r="G11090" s="22" t="s">
        <v>49</v>
      </c>
      <c r="H11090" s="22" t="s">
        <v>2874</v>
      </c>
      <c r="I11090" s="26">
        <v>43670.372939814799</v>
      </c>
      <c r="J11090" s="23" t="str">
        <f>HYPERLINK("https://www.spark-marketing.ru/Card/Person/6359390", "ООО ""ДЕЛОВОЙ МИР""")</f>
        <v>ООО "ДЕЛОВОЙ МИР"</v>
      </c>
      <c r="K11090" s="24" t="s">
        <v>15526</v>
      </c>
      <c r="L11090" s="22" t="s">
        <v>10</v>
      </c>
      <c r="M11090" s="25">
        <v>401100</v>
      </c>
      <c r="N11090" s="27">
        <v>4.4999999999999998E-2</v>
      </c>
    </row>
    <row r="11091" spans="1:14" hidden="1" outlineLevel="1" x14ac:dyDescent="0.2">
      <c r="A11091" s="23" t="str">
        <f>HYPERLINK("https://www.spark-marketing.ru/Card/Person/12761", "АДМИНИСТРАЦИЯ РГО МО")</f>
        <v>АДМИНИСТРАЦИЯ РГО МО</v>
      </c>
      <c r="B11091" s="24" t="s">
        <v>15524</v>
      </c>
      <c r="C11091" s="25">
        <v>420000</v>
      </c>
      <c r="D11091" s="22" t="s">
        <v>15525</v>
      </c>
      <c r="E11091" s="22" t="s">
        <v>48</v>
      </c>
      <c r="F11091" s="23" t="str">
        <f>HYPERLINK("https://www.spark-marketing.ru/Card/Lot/72300879", "Оказание услуг по организации питания участников торжественных мероприятий")</f>
        <v>Оказание услуг по организации питания участников торжественных мероприятий</v>
      </c>
      <c r="G11091" s="22" t="s">
        <v>49</v>
      </c>
      <c r="H11091" s="22" t="s">
        <v>2874</v>
      </c>
      <c r="I11091" s="26">
        <v>43670.372939814799</v>
      </c>
      <c r="J11091" s="23" t="str">
        <f>HYPERLINK("https://www.spark-marketing.ru/Card/Person/6494443", "ООО ""ФУД СЕРВИС""")</f>
        <v>ООО "ФУД СЕРВИС"</v>
      </c>
      <c r="K11091" s="24" t="s">
        <v>9697</v>
      </c>
      <c r="L11091" s="28" t="s">
        <v>51</v>
      </c>
      <c r="M11091" s="25">
        <v>403200</v>
      </c>
      <c r="N11091" s="27">
        <v>0.04</v>
      </c>
    </row>
    <row r="11092" spans="1:14" x14ac:dyDescent="0.15">
      <c r="A11092" s="23" t="str">
        <f>HYPERLINK("https://www.spark-marketing.ru/Card/Person/4856154", "КГБУЗ ""АККПЦ""")</f>
        <v>КГБУЗ "АККПЦ"</v>
      </c>
      <c r="B11092" s="24" t="s">
        <v>175</v>
      </c>
      <c r="C11092" s="25">
        <v>28978</v>
      </c>
      <c r="D11092" s="22" t="s">
        <v>15527</v>
      </c>
      <c r="E11092" s="22" t="s">
        <v>15528</v>
      </c>
      <c r="F11092" s="23" t="str">
        <f>HYPERLINK("https://www.spark-marketing.ru/Card/Lot/72297877", "Товары, работы или услуги на сумму, не превышающую 100 тыс. рублей")</f>
        <v>Товары, работы или услуги на сумму, не превышающую 100 тыс. рублей</v>
      </c>
      <c r="G11092" s="22" t="s">
        <v>63</v>
      </c>
      <c r="H11092" s="22" t="s">
        <v>177</v>
      </c>
      <c r="I11092" s="26">
        <v>43670.344444444403</v>
      </c>
      <c r="J11092" s="28" t="s">
        <v>51</v>
      </c>
      <c r="K11092" s="28" t="s">
        <v>51</v>
      </c>
      <c r="L11092" s="28" t="s">
        <v>51</v>
      </c>
      <c r="M11092" s="28" t="s">
        <v>51</v>
      </c>
      <c r="N11092" s="28" t="s">
        <v>51</v>
      </c>
    </row>
    <row r="11093" spans="1:14" x14ac:dyDescent="0.15">
      <c r="A11093" s="23" t="str">
        <f>HYPERLINK("https://www.spark-marketing.ru/Card/Person/6450322", "ЗАКАЗЧИК РП БЕЛАРУСЬ")</f>
        <v>ЗАКАЗЧИК РП БЕЛАРУСЬ</v>
      </c>
      <c r="B11093" s="28" t="s">
        <v>51</v>
      </c>
      <c r="C11093" s="28" t="s">
        <v>51</v>
      </c>
      <c r="D11093" s="22" t="s">
        <v>15529</v>
      </c>
      <c r="E11093" s="22" t="s">
        <v>52</v>
      </c>
      <c r="F11093" s="23" t="str">
        <f>HYPERLINK("https://www.spark-marketing.ru/Card/Lot/72313280", "Диагностика и ремонт система питания ПС 60/48: Flatpack 2 -11шт. Flatpack 1500 -1шт. Minipack48/800 -8шт. Flatpack MCU -2шт.")</f>
        <v>Диагностика и ремонт система питания ПС 60/48: Flatpack 2 -11шт. Flatpack 1500 -1шт. Minipack48/800 -8шт. Flatpack MCU -2шт.</v>
      </c>
      <c r="G11093" s="22" t="s">
        <v>51</v>
      </c>
      <c r="H11093" s="22" t="s">
        <v>51</v>
      </c>
      <c r="I11093" s="26">
        <v>43670</v>
      </c>
      <c r="J11093" s="28" t="s">
        <v>51</v>
      </c>
      <c r="K11093" s="28" t="s">
        <v>51</v>
      </c>
      <c r="L11093" s="28" t="s">
        <v>51</v>
      </c>
      <c r="M11093" s="28" t="s">
        <v>51</v>
      </c>
      <c r="N11093" s="28" t="s">
        <v>51</v>
      </c>
    </row>
    <row r="11094" spans="1:14" x14ac:dyDescent="0.15">
      <c r="A11094" s="23" t="str">
        <f>HYPERLINK("https://www.spark-marketing.ru/Card/Person/1133378", "АУ ФКИС ВО ""ЦСП""")</f>
        <v>АУ ФКИС ВО "ЦСП"</v>
      </c>
      <c r="B11094" s="24" t="s">
        <v>15353</v>
      </c>
      <c r="C11094" s="25">
        <v>182000</v>
      </c>
      <c r="D11094" s="22" t="s">
        <v>15530</v>
      </c>
      <c r="E11094" s="22" t="s">
        <v>2682</v>
      </c>
      <c r="F11094" s="23" t="str">
        <f>HYPERLINK("https://www.spark-marketing.ru/Card/Lot/72323992", "Услуги по питанию участников спартакиады учащихся России 2019 (финальные спортивные соревнования по пляжному волейболу)")</f>
        <v>Услуги по питанию участников спартакиады учащихся России 2019 (финальные спортивные соревнования по пляжному волейболу)</v>
      </c>
      <c r="G11094" s="22" t="s">
        <v>503</v>
      </c>
      <c r="H11094" s="22" t="s">
        <v>503</v>
      </c>
      <c r="I11094" s="26">
        <v>43670.000381944403</v>
      </c>
      <c r="J11094" s="28" t="s">
        <v>51</v>
      </c>
      <c r="K11094" s="28" t="s">
        <v>51</v>
      </c>
      <c r="L11094" s="28" t="s">
        <v>51</v>
      </c>
      <c r="M11094" s="28" t="s">
        <v>51</v>
      </c>
      <c r="N11094" s="28" t="s">
        <v>51</v>
      </c>
    </row>
    <row r="11095" spans="1:14" x14ac:dyDescent="0.15">
      <c r="A11095" s="23" t="str">
        <f>HYPERLINK("https://www.spark-marketing.ru/Card/Person/1133378", "АУ ФКИС ВО ""ЦСП""")</f>
        <v>АУ ФКИС ВО "ЦСП"</v>
      </c>
      <c r="B11095" s="24" t="s">
        <v>15353</v>
      </c>
      <c r="C11095" s="25">
        <v>238000</v>
      </c>
      <c r="D11095" s="22" t="s">
        <v>15531</v>
      </c>
      <c r="E11095" s="22" t="s">
        <v>2682</v>
      </c>
      <c r="F11095" s="23" t="str">
        <f>HYPERLINK("https://www.spark-marketing.ru/Card/Lot/72294625", "Услуги по питанию участников спартакиады учащихся России 2019 (финальные спортивные соревнования по пляжному волейболу)")</f>
        <v>Услуги по питанию участников спартакиады учащихся России 2019 (финальные спортивные соревнования по пляжному волейболу)</v>
      </c>
      <c r="G11095" s="22" t="s">
        <v>503</v>
      </c>
      <c r="H11095" s="22" t="s">
        <v>503</v>
      </c>
      <c r="I11095" s="26">
        <v>43669.9972569444</v>
      </c>
      <c r="J11095" s="28" t="s">
        <v>51</v>
      </c>
      <c r="K11095" s="28" t="s">
        <v>51</v>
      </c>
      <c r="L11095" s="28" t="s">
        <v>51</v>
      </c>
      <c r="M11095" s="28" t="s">
        <v>51</v>
      </c>
      <c r="N11095" s="28" t="s">
        <v>51</v>
      </c>
    </row>
    <row r="11096" spans="1:14" x14ac:dyDescent="0.15">
      <c r="A11096" s="23" t="str">
        <f>HYPERLINK("https://www.spark-marketing.ru/Card/Person/144233", "МОУ ""МИКУЛИНСКАЯ ГИМНАЗИЯ""")</f>
        <v>МОУ "МИКУЛИНСКАЯ ГИМНАЗИЯ"</v>
      </c>
      <c r="B11096" s="24" t="s">
        <v>15532</v>
      </c>
      <c r="C11096" s="25">
        <v>12000</v>
      </c>
      <c r="D11096" s="22" t="s">
        <v>15533</v>
      </c>
      <c r="E11096" s="22" t="s">
        <v>437</v>
      </c>
      <c r="F11096" s="23" t="str">
        <f>HYPERLINK("https://www.spark-marketing.ru/Card/Lot/72289383", "Услуги по организации питания")</f>
        <v>Услуги по организации питания</v>
      </c>
      <c r="G11096" s="22" t="s">
        <v>49</v>
      </c>
      <c r="H11096" s="22" t="s">
        <v>15534</v>
      </c>
      <c r="I11096" s="26">
        <v>43669.909166666701</v>
      </c>
      <c r="J11096" s="28" t="s">
        <v>51</v>
      </c>
      <c r="K11096" s="28" t="s">
        <v>51</v>
      </c>
      <c r="L11096" s="28" t="s">
        <v>51</v>
      </c>
      <c r="M11096" s="28" t="s">
        <v>51</v>
      </c>
      <c r="N11096" s="28" t="s">
        <v>51</v>
      </c>
    </row>
    <row r="11097" spans="1:14" x14ac:dyDescent="0.15">
      <c r="A11097" s="23" t="str">
        <f>HYPERLINK("https://www.spark-marketing.ru/Card/Person/6050925", "ОГАОУ ОК ""АЛГОРИТМ УСПЕХА""")</f>
        <v>ОГАОУ ОК "АЛГОРИТМ УСПЕХА"</v>
      </c>
      <c r="B11097" s="24" t="s">
        <v>15535</v>
      </c>
      <c r="C11097" s="25">
        <v>7666671.4000000004</v>
      </c>
      <c r="D11097" s="22" t="s">
        <v>15536</v>
      </c>
      <c r="E11097" s="22" t="s">
        <v>362</v>
      </c>
      <c r="F11097" s="23" t="str">
        <f>HYPERLINK("https://www.spark-marketing.ru/Card/Lot/72291761", "Оказание услуг по организации питания обучающихся")</f>
        <v>Оказание услуг по организации питания обучающихся</v>
      </c>
      <c r="G11097" s="22" t="s">
        <v>696</v>
      </c>
      <c r="H11097" s="22" t="s">
        <v>696</v>
      </c>
      <c r="I11097" s="26">
        <v>43669.898379629602</v>
      </c>
      <c r="J11097" s="28" t="s">
        <v>51</v>
      </c>
      <c r="K11097" s="28" t="s">
        <v>51</v>
      </c>
      <c r="L11097" s="28" t="s">
        <v>51</v>
      </c>
      <c r="M11097" s="28" t="s">
        <v>51</v>
      </c>
      <c r="N11097" s="28" t="s">
        <v>51</v>
      </c>
    </row>
    <row r="11098" spans="1:14" x14ac:dyDescent="0.15">
      <c r="A11098" s="23" t="str">
        <f>HYPERLINK("https://www.spark-marketing.ru/Card/Person/16433", "ТОГБУЗ ""СОСНОВСКАЯ ЦРБ""")</f>
        <v>ТОГБУЗ "СОСНОВСКАЯ ЦРБ"</v>
      </c>
      <c r="B11098" s="24" t="s">
        <v>15537</v>
      </c>
      <c r="C11098" s="25">
        <v>15435.73</v>
      </c>
      <c r="D11098" s="22" t="s">
        <v>15538</v>
      </c>
      <c r="E11098" s="22" t="s">
        <v>170</v>
      </c>
      <c r="F11098" s="23" t="str">
        <f>HYPERLINK("https://www.spark-marketing.ru/Card/Lot/72299004", "Оказание услуги по отпуску специализированного питания согласно Постановлению администрации Тамбовской области от 13.05.2015 № 460 «Об утверждении порядка обеспечения полноценным питанием беременных женщин, кормящих матерей, а так же детей до 3-х лет...")</f>
        <v>Оказание услуги по отпуску специализированного питания согласно Постановлению администрации Тамбовской области от 13.05.2015 № 460 «Об утверждении порядка обеспечения полноценным питанием беременных женщин, кормящих матерей, а так же детей до 3-х лет...</v>
      </c>
      <c r="G11098" s="22" t="s">
        <v>1370</v>
      </c>
      <c r="H11098" s="22" t="s">
        <v>15539</v>
      </c>
      <c r="I11098" s="26">
        <v>43669.776226851798</v>
      </c>
      <c r="J11098" s="23" t="str">
        <f>HYPERLINK("https://www.spark-marketing.ru/Card/Person/104769", "ООО ""ЦЕНТР МАТЕРИ И РЕБЕНКА""")</f>
        <v>ООО "ЦЕНТР МАТЕРИ И РЕБЕНКА"</v>
      </c>
      <c r="K11098" s="24" t="s">
        <v>15540</v>
      </c>
      <c r="L11098" s="22" t="s">
        <v>10</v>
      </c>
      <c r="M11098" s="28" t="s">
        <v>51</v>
      </c>
      <c r="N11098" s="28" t="s">
        <v>51</v>
      </c>
    </row>
    <row r="11099" spans="1:14" x14ac:dyDescent="0.15">
      <c r="A11099" s="23" t="str">
        <f>HYPERLINK("https://www.spark-marketing.ru/Card/Person/4346063", "ГБОУ ДПО ЦПВШС")</f>
        <v>ГБОУ ДПО ЦПВШС</v>
      </c>
      <c r="B11099" s="24" t="s">
        <v>1092</v>
      </c>
      <c r="C11099" s="25">
        <v>717200.4</v>
      </c>
      <c r="D11099" s="22" t="s">
        <v>15541</v>
      </c>
      <c r="E11099" s="22" t="s">
        <v>86</v>
      </c>
      <c r="F11099" s="23" t="str">
        <f>HYPERLINK("https://www.spark-marketing.ru/Card/Lot/72288156", "Оказание услуг по проведению санитарно-эпидемиологической экспертизы продуктов питания и бутилированной питьевой воды.")</f>
        <v>Оказание услуг по проведению санитарно-эпидемиологической экспертизы продуктов питания и бутилированной питьевой воды.</v>
      </c>
      <c r="G11099" s="22" t="s">
        <v>56</v>
      </c>
      <c r="H11099" s="22" t="s">
        <v>56</v>
      </c>
      <c r="I11099" s="26">
        <v>43669.766458333303</v>
      </c>
      <c r="J11099" s="28" t="s">
        <v>51</v>
      </c>
      <c r="K11099" s="28" t="s">
        <v>51</v>
      </c>
      <c r="L11099" s="28" t="s">
        <v>51</v>
      </c>
      <c r="M11099" s="28" t="s">
        <v>51</v>
      </c>
      <c r="N11099" s="28" t="s">
        <v>51</v>
      </c>
    </row>
    <row r="11100" spans="1:14" x14ac:dyDescent="0.15">
      <c r="A11100" s="23" t="str">
        <f>HYPERLINK("https://www.spark-marketing.ru/Card/Person/148070", "МБДОУ ЦРР №7 ""БЕРЕЖОК""")</f>
        <v>МБДОУ ЦРР №7 "БЕРЕЖОК"</v>
      </c>
      <c r="B11100" s="24" t="s">
        <v>15542</v>
      </c>
      <c r="C11100" s="25">
        <v>36564</v>
      </c>
      <c r="D11100" s="22" t="s">
        <v>15543</v>
      </c>
      <c r="E11100" s="22" t="s">
        <v>15268</v>
      </c>
      <c r="F11100" s="23" t="str">
        <f>HYPERLINK("https://www.spark-marketing.ru/Card/Lot/72287865", "Оказание услуг по доступу к электронным журналам для нужд МБДОУ ЦРР №7 «Бережок»")</f>
        <v>Оказание услуг по доступу к электронным журналам для нужд МБДОУ ЦРР №7 «Бережок»</v>
      </c>
      <c r="G11100" s="22" t="s">
        <v>49</v>
      </c>
      <c r="H11100" s="22" t="s">
        <v>14932</v>
      </c>
      <c r="I11100" s="26">
        <v>43669.784409722197</v>
      </c>
      <c r="J11100" s="28" t="s">
        <v>51</v>
      </c>
      <c r="K11100" s="28" t="s">
        <v>51</v>
      </c>
      <c r="L11100" s="28" t="s">
        <v>51</v>
      </c>
      <c r="M11100" s="28" t="s">
        <v>51</v>
      </c>
      <c r="N11100" s="28" t="s">
        <v>51</v>
      </c>
    </row>
    <row r="11101" spans="1:14" x14ac:dyDescent="0.15">
      <c r="A11101" s="23" t="str">
        <f>HYPERLINK("https://www.spark-marketing.ru/Card/Person/1044463", "МАОУ ЛИЦЕЙ Г.О. БРОННИЦЫ")</f>
        <v>МАОУ ЛИЦЕЙ Г.О. БРОННИЦЫ</v>
      </c>
      <c r="B11101" s="24" t="s">
        <v>9913</v>
      </c>
      <c r="C11101" s="25">
        <v>991340</v>
      </c>
      <c r="D11101" s="22" t="s">
        <v>15544</v>
      </c>
      <c r="E11101" s="22" t="s">
        <v>48</v>
      </c>
      <c r="F11101" s="23" t="str">
        <f>HYPERLINK("https://www.spark-marketing.ru/Card/Lot/72287825", "Оказание услуги по организации питания обучающихся МАОУ ""Лицей"" г.о. Бронницы")</f>
        <v>Оказание услуги по организации питания обучающихся МАОУ "Лицей" г.о. Бронницы</v>
      </c>
      <c r="G11101" s="22" t="s">
        <v>49</v>
      </c>
      <c r="H11101" s="22" t="s">
        <v>1773</v>
      </c>
      <c r="I11101" s="26">
        <v>43669.745138888902</v>
      </c>
      <c r="J11101" s="28" t="s">
        <v>51</v>
      </c>
      <c r="K11101" s="28" t="s">
        <v>51</v>
      </c>
      <c r="L11101" s="28" t="s">
        <v>51</v>
      </c>
      <c r="M11101" s="28" t="s">
        <v>51</v>
      </c>
      <c r="N11101" s="28" t="s">
        <v>51</v>
      </c>
    </row>
    <row r="11102" spans="1:14" x14ac:dyDescent="0.2">
      <c r="A11102" s="23" t="s">
        <v>114</v>
      </c>
      <c r="B11102" s="28" t="s">
        <v>51</v>
      </c>
      <c r="C11102" s="25">
        <v>1799923.56</v>
      </c>
      <c r="D11102" s="22" t="s">
        <v>15545</v>
      </c>
      <c r="E11102" s="22" t="s">
        <v>48</v>
      </c>
      <c r="F11102" s="23" t="str">
        <f t="shared" ref="F11102:F11111" si="302">HYPERLINK("https://www.spark-marketing.ru/Card/Lot/72283763", "Оказание услуг по организации горячего питания в дошкольных образовательных учреждениях муниципального района Белокатайский район Республики Башкортостан")</f>
        <v>Оказание услуг по организации горячего питания в дошкольных образовательных учреждениях муниципального района Белокатайский район Республики Башкортостан</v>
      </c>
      <c r="G11102" s="22" t="s">
        <v>51</v>
      </c>
      <c r="H11102" s="22" t="s">
        <v>51</v>
      </c>
      <c r="I11102" s="26">
        <v>43669.712500000001</v>
      </c>
      <c r="J11102" s="23" t="str">
        <f t="shared" ref="J11102:J11111" si="303">HYPERLINK("https://www.spark-marketing.ru/Card/Person/774765", "ООО ""ОПТТОРГ""")</f>
        <v>ООО "ОПТТОРГ"</v>
      </c>
      <c r="K11102" s="24" t="s">
        <v>15097</v>
      </c>
      <c r="L11102" s="28" t="s">
        <v>51</v>
      </c>
      <c r="M11102" s="25">
        <v>1799923.56</v>
      </c>
      <c r="N11102" s="27">
        <v>0</v>
      </c>
    </row>
    <row r="11103" spans="1:14" hidden="1" outlineLevel="1" x14ac:dyDescent="0.2">
      <c r="A11103" s="23" t="str">
        <f>HYPERLINK("https://www.spark-marketing.ru/Card/Person/733426", "МБОУ СОШ №2 С.НОВОБЕЛОКАТАЙ")</f>
        <v>МБОУ СОШ №2 С.НОВОБЕЛОКАТАЙ</v>
      </c>
      <c r="B11103" s="24" t="s">
        <v>15100</v>
      </c>
      <c r="C11103" s="25">
        <v>261958.16</v>
      </c>
      <c r="D11103" s="22" t="s">
        <v>15545</v>
      </c>
      <c r="E11103" s="22" t="s">
        <v>48</v>
      </c>
      <c r="F11103" s="23" t="str">
        <f t="shared" si="302"/>
        <v>Оказание услуг по организации горячего питания в дошкольных образовательных учреждениях муниципального района Белокатайский район Республики Башкортостан</v>
      </c>
      <c r="G11103" s="22" t="s">
        <v>145</v>
      </c>
      <c r="H11103" s="22" t="s">
        <v>15099</v>
      </c>
      <c r="I11103" s="26">
        <v>43669.712500000001</v>
      </c>
      <c r="J11103" s="23" t="str">
        <f t="shared" si="303"/>
        <v>ООО "ОПТТОРГ"</v>
      </c>
      <c r="K11103" s="24" t="s">
        <v>15097</v>
      </c>
      <c r="L11103" s="28" t="s">
        <v>51</v>
      </c>
      <c r="M11103" s="28" t="s">
        <v>51</v>
      </c>
      <c r="N11103" s="27">
        <v>0</v>
      </c>
    </row>
    <row r="11104" spans="1:14" hidden="1" outlineLevel="1" x14ac:dyDescent="0.2">
      <c r="A11104" s="23" t="str">
        <f>HYPERLINK("https://www.spark-marketing.ru/Card/Person/736256", "МБОУ СОШ С. ЯНЫБАЕВО")</f>
        <v>МБОУ СОШ С. ЯНЫБАЕВО</v>
      </c>
      <c r="B11104" s="24" t="s">
        <v>15103</v>
      </c>
      <c r="C11104" s="25">
        <v>252194.96</v>
      </c>
      <c r="D11104" s="22" t="s">
        <v>15545</v>
      </c>
      <c r="E11104" s="22" t="s">
        <v>48</v>
      </c>
      <c r="F11104" s="23" t="str">
        <f t="shared" si="302"/>
        <v>Оказание услуг по организации горячего питания в дошкольных образовательных учреждениях муниципального района Белокатайский район Республики Башкортостан</v>
      </c>
      <c r="G11104" s="22" t="s">
        <v>145</v>
      </c>
      <c r="H11104" s="22" t="s">
        <v>15099</v>
      </c>
      <c r="I11104" s="26">
        <v>43669.712500000001</v>
      </c>
      <c r="J11104" s="23" t="str">
        <f t="shared" si="303"/>
        <v>ООО "ОПТТОРГ"</v>
      </c>
      <c r="K11104" s="24" t="s">
        <v>15097</v>
      </c>
      <c r="L11104" s="28" t="s">
        <v>51</v>
      </c>
      <c r="M11104" s="28" t="s">
        <v>51</v>
      </c>
      <c r="N11104" s="27">
        <v>0</v>
      </c>
    </row>
    <row r="11105" spans="1:14" hidden="1" outlineLevel="1" x14ac:dyDescent="0.2">
      <c r="A11105" s="23" t="str">
        <f>HYPERLINK("https://www.spark-marketing.ru/Card/Person/748249", "МБДОУ Д/С ""ЧЕБУРАШКА"" С.ШАКАРЛА")</f>
        <v>МБДОУ Д/С "ЧЕБУРАШКА" С.ШАКАРЛА</v>
      </c>
      <c r="B11105" s="24" t="s">
        <v>15546</v>
      </c>
      <c r="C11105" s="25">
        <v>103979.08</v>
      </c>
      <c r="D11105" s="22" t="s">
        <v>15545</v>
      </c>
      <c r="E11105" s="22" t="s">
        <v>48</v>
      </c>
      <c r="F11105" s="23" t="str">
        <f t="shared" si="302"/>
        <v>Оказание услуг по организации горячего питания в дошкольных образовательных учреждениях муниципального района Белокатайский район Республики Башкортостан</v>
      </c>
      <c r="G11105" s="22" t="s">
        <v>145</v>
      </c>
      <c r="H11105" s="22" t="s">
        <v>15099</v>
      </c>
      <c r="I11105" s="26">
        <v>43669.712500000001</v>
      </c>
      <c r="J11105" s="23" t="str">
        <f t="shared" si="303"/>
        <v>ООО "ОПТТОРГ"</v>
      </c>
      <c r="K11105" s="24" t="s">
        <v>15097</v>
      </c>
      <c r="L11105" s="28" t="s">
        <v>51</v>
      </c>
      <c r="M11105" s="28" t="s">
        <v>51</v>
      </c>
      <c r="N11105" s="27">
        <v>0</v>
      </c>
    </row>
    <row r="11106" spans="1:14" hidden="1" outlineLevel="1" x14ac:dyDescent="0.2">
      <c r="A11106" s="23" t="str">
        <f>HYPERLINK("https://www.spark-marketing.ru/Card/Person/1762623", "МБОУ СОШ С МАЙГАЗА")</f>
        <v>МБОУ СОШ С МАЙГАЗА</v>
      </c>
      <c r="B11106" s="24" t="s">
        <v>15108</v>
      </c>
      <c r="C11106" s="25">
        <v>221746.96</v>
      </c>
      <c r="D11106" s="22" t="s">
        <v>15545</v>
      </c>
      <c r="E11106" s="22" t="s">
        <v>48</v>
      </c>
      <c r="F11106" s="23" t="str">
        <f t="shared" si="302"/>
        <v>Оказание услуг по организации горячего питания в дошкольных образовательных учреждениях муниципального района Белокатайский район Республики Башкортостан</v>
      </c>
      <c r="G11106" s="22" t="s">
        <v>145</v>
      </c>
      <c r="H11106" s="22" t="s">
        <v>15099</v>
      </c>
      <c r="I11106" s="26">
        <v>43669.712500000001</v>
      </c>
      <c r="J11106" s="23" t="str">
        <f t="shared" si="303"/>
        <v>ООО "ОПТТОРГ"</v>
      </c>
      <c r="K11106" s="24" t="s">
        <v>15097</v>
      </c>
      <c r="L11106" s="28" t="s">
        <v>51</v>
      </c>
      <c r="M11106" s="28" t="s">
        <v>51</v>
      </c>
      <c r="N11106" s="27">
        <v>0</v>
      </c>
    </row>
    <row r="11107" spans="1:14" hidden="1" outlineLevel="1" x14ac:dyDescent="0.2">
      <c r="A11107" s="23" t="str">
        <f>HYPERLINK("https://www.spark-marketing.ru/Card/Person/1762636", "МКОУ СОШ Д. ЛЕВАЛИ")</f>
        <v>МКОУ СОШ Д. ЛЕВАЛИ</v>
      </c>
      <c r="B11107" s="24" t="s">
        <v>15110</v>
      </c>
      <c r="C11107" s="25">
        <v>130666.96</v>
      </c>
      <c r="D11107" s="22" t="s">
        <v>15545</v>
      </c>
      <c r="E11107" s="22" t="s">
        <v>48</v>
      </c>
      <c r="F11107" s="23" t="str">
        <f t="shared" si="302"/>
        <v>Оказание услуг по организации горячего питания в дошкольных образовательных учреждениях муниципального района Белокатайский район Республики Башкортостан</v>
      </c>
      <c r="G11107" s="22" t="s">
        <v>145</v>
      </c>
      <c r="H11107" s="22" t="s">
        <v>15099</v>
      </c>
      <c r="I11107" s="26">
        <v>43669.712500000001</v>
      </c>
      <c r="J11107" s="23" t="str">
        <f t="shared" si="303"/>
        <v>ООО "ОПТТОРГ"</v>
      </c>
      <c r="K11107" s="24" t="s">
        <v>15097</v>
      </c>
      <c r="L11107" s="28" t="s">
        <v>51</v>
      </c>
      <c r="M11107" s="28" t="s">
        <v>51</v>
      </c>
      <c r="N11107" s="27">
        <v>0</v>
      </c>
    </row>
    <row r="11108" spans="1:14" hidden="1" outlineLevel="1" x14ac:dyDescent="0.2">
      <c r="A11108" s="23" t="str">
        <f>HYPERLINK("https://www.spark-marketing.ru/Card/Person/1762637", "МБОУ СОШ №1 С.НОВОБЕЛОКАТАЙ")</f>
        <v>МБОУ СОШ №1 С.НОВОБЕЛОКАТАЙ</v>
      </c>
      <c r="B11108" s="24" t="s">
        <v>15111</v>
      </c>
      <c r="C11108" s="25">
        <v>245758.16</v>
      </c>
      <c r="D11108" s="22" t="s">
        <v>15545</v>
      </c>
      <c r="E11108" s="22" t="s">
        <v>48</v>
      </c>
      <c r="F11108" s="23" t="str">
        <f t="shared" si="302"/>
        <v>Оказание услуг по организации горячего питания в дошкольных образовательных учреждениях муниципального района Белокатайский район Республики Башкортостан</v>
      </c>
      <c r="G11108" s="22" t="s">
        <v>145</v>
      </c>
      <c r="H11108" s="22" t="s">
        <v>15099</v>
      </c>
      <c r="I11108" s="26">
        <v>43669.712500000001</v>
      </c>
      <c r="J11108" s="23" t="str">
        <f t="shared" si="303"/>
        <v>ООО "ОПТТОРГ"</v>
      </c>
      <c r="K11108" s="24" t="s">
        <v>15097</v>
      </c>
      <c r="L11108" s="28" t="s">
        <v>51</v>
      </c>
      <c r="M11108" s="28" t="s">
        <v>51</v>
      </c>
      <c r="N11108" s="27">
        <v>0</v>
      </c>
    </row>
    <row r="11109" spans="1:14" hidden="1" outlineLevel="1" x14ac:dyDescent="0.2">
      <c r="A11109" s="23" t="str">
        <f>HYPERLINK("https://www.spark-marketing.ru/Card/Person/1762639", "МБОУ СОШ С.УРГАЛА")</f>
        <v>МБОУ СОШ С.УРГАЛА</v>
      </c>
      <c r="B11109" s="24" t="s">
        <v>15112</v>
      </c>
      <c r="C11109" s="25">
        <v>173102.96</v>
      </c>
      <c r="D11109" s="22" t="s">
        <v>15545</v>
      </c>
      <c r="E11109" s="22" t="s">
        <v>48</v>
      </c>
      <c r="F11109" s="23" t="str">
        <f t="shared" si="302"/>
        <v>Оказание услуг по организации горячего питания в дошкольных образовательных учреждениях муниципального района Белокатайский район Республики Башкортостан</v>
      </c>
      <c r="G11109" s="22" t="s">
        <v>145</v>
      </c>
      <c r="H11109" s="22" t="s">
        <v>15099</v>
      </c>
      <c r="I11109" s="26">
        <v>43669.712500000001</v>
      </c>
      <c r="J11109" s="23" t="str">
        <f t="shared" si="303"/>
        <v>ООО "ОПТТОРГ"</v>
      </c>
      <c r="K11109" s="24" t="s">
        <v>15097</v>
      </c>
      <c r="L11109" s="28" t="s">
        <v>51</v>
      </c>
      <c r="M11109" s="28" t="s">
        <v>51</v>
      </c>
      <c r="N11109" s="27">
        <v>0</v>
      </c>
    </row>
    <row r="11110" spans="1:14" hidden="1" outlineLevel="1" x14ac:dyDescent="0.2">
      <c r="A11110" s="23" t="str">
        <f>HYPERLINK("https://www.spark-marketing.ru/Card/Person/1762641", "МБОУ СОШ С. КАРЛЫХАНОВО")</f>
        <v>МБОУ СОШ С. КАРЛЫХАНОВО</v>
      </c>
      <c r="B11110" s="24" t="s">
        <v>15115</v>
      </c>
      <c r="C11110" s="25">
        <v>202558.16</v>
      </c>
      <c r="D11110" s="22" t="s">
        <v>15545</v>
      </c>
      <c r="E11110" s="22" t="s">
        <v>48</v>
      </c>
      <c r="F11110" s="23" t="str">
        <f t="shared" si="302"/>
        <v>Оказание услуг по организации горячего питания в дошкольных образовательных учреждениях муниципального района Белокатайский район Республики Башкортостан</v>
      </c>
      <c r="G11110" s="22" t="s">
        <v>145</v>
      </c>
      <c r="H11110" s="22" t="s">
        <v>15099</v>
      </c>
      <c r="I11110" s="26">
        <v>43669.712500000001</v>
      </c>
      <c r="J11110" s="23" t="str">
        <f t="shared" si="303"/>
        <v>ООО "ОПТТОРГ"</v>
      </c>
      <c r="K11110" s="24" t="s">
        <v>15097</v>
      </c>
      <c r="L11110" s="28" t="s">
        <v>51</v>
      </c>
      <c r="M11110" s="28" t="s">
        <v>51</v>
      </c>
      <c r="N11110" s="27">
        <v>0</v>
      </c>
    </row>
    <row r="11111" spans="1:14" hidden="1" outlineLevel="1" x14ac:dyDescent="0.2">
      <c r="A11111" s="23" t="str">
        <f>HYPERLINK("https://www.spark-marketing.ru/Card/Person/1762654", "МБОУ СОШ С.БЕЛЯНКА")</f>
        <v>МБОУ СОШ С.БЕЛЯНКА</v>
      </c>
      <c r="B11111" s="24" t="s">
        <v>15116</v>
      </c>
      <c r="C11111" s="25">
        <v>207958.16</v>
      </c>
      <c r="D11111" s="22" t="s">
        <v>15545</v>
      </c>
      <c r="E11111" s="22" t="s">
        <v>48</v>
      </c>
      <c r="F11111" s="23" t="str">
        <f t="shared" si="302"/>
        <v>Оказание услуг по организации горячего питания в дошкольных образовательных учреждениях муниципального района Белокатайский район Республики Башкортостан</v>
      </c>
      <c r="G11111" s="22" t="s">
        <v>145</v>
      </c>
      <c r="H11111" s="22" t="s">
        <v>15099</v>
      </c>
      <c r="I11111" s="26">
        <v>43669.712500000001</v>
      </c>
      <c r="J11111" s="23" t="str">
        <f t="shared" si="303"/>
        <v>ООО "ОПТТОРГ"</v>
      </c>
      <c r="K11111" s="24" t="s">
        <v>15097</v>
      </c>
      <c r="L11111" s="28" t="s">
        <v>51</v>
      </c>
      <c r="M11111" s="28" t="s">
        <v>51</v>
      </c>
      <c r="N11111" s="27">
        <v>0</v>
      </c>
    </row>
    <row r="11112" spans="1:14" x14ac:dyDescent="0.2">
      <c r="A11112" s="23" t="str">
        <f>HYPERLINK("https://www.spark-marketing.ru/Card/Person/1060335", "МБОУ СОШ №15")</f>
        <v>МБОУ СОШ №15</v>
      </c>
      <c r="B11112" s="24" t="s">
        <v>15547</v>
      </c>
      <c r="C11112" s="25">
        <v>1923190</v>
      </c>
      <c r="D11112" s="22" t="s">
        <v>15548</v>
      </c>
      <c r="E11112" s="22" t="s">
        <v>48</v>
      </c>
      <c r="F11112" s="23" t="str">
        <f>HYPERLINK("https://www.spark-marketing.ru/Card/Lot/72287514", "Услуги по организации горячего питания обучающихся")</f>
        <v>Услуги по организации горячего питания обучающихся</v>
      </c>
      <c r="G11112" s="22" t="s">
        <v>1370</v>
      </c>
      <c r="H11112" s="22" t="s">
        <v>9079</v>
      </c>
      <c r="I11112" s="26">
        <v>43669.727083333302</v>
      </c>
      <c r="J11112" s="23" t="str">
        <f>HYPERLINK("https://www.spark-marketing.ru/Card/Person/847488", "ООО ""НОВАЯ СИСТЕМА УСЛУГ""")</f>
        <v>ООО "НОВАЯ СИСТЕМА УСЛУГ"</v>
      </c>
      <c r="K11112" s="24" t="s">
        <v>15549</v>
      </c>
      <c r="L11112" s="28" t="s">
        <v>51</v>
      </c>
      <c r="M11112" s="25">
        <v>1923190</v>
      </c>
      <c r="N11112" s="27">
        <v>0</v>
      </c>
    </row>
    <row r="11113" spans="1:14" x14ac:dyDescent="0.15">
      <c r="A11113" s="23" t="str">
        <f>HYPERLINK("https://www.spark-marketing.ru/Card/Person/1020345", "МБОУ ""СОШ №8""")</f>
        <v>МБОУ "СОШ №8"</v>
      </c>
      <c r="B11113" s="24" t="s">
        <v>15550</v>
      </c>
      <c r="C11113" s="25">
        <v>5858034</v>
      </c>
      <c r="D11113" s="22" t="s">
        <v>15551</v>
      </c>
      <c r="E11113" s="22" t="s">
        <v>96</v>
      </c>
      <c r="F11113" s="23" t="str">
        <f>HYPERLINK("https://www.spark-marketing.ru/Card/Lot/72297634", "Оказание услуг по организации горячего питания детей из малоимущих и детей из многодетных малоимущих семей обучающихся в МБОУ «СОШ №8»")</f>
        <v>Оказание услуг по организации горячего питания детей из малоимущих и детей из многодетных малоимущих семей обучающихся в МБОУ «СОШ №8»</v>
      </c>
      <c r="G11113" s="22" t="s">
        <v>153</v>
      </c>
      <c r="H11113" s="22" t="s">
        <v>153</v>
      </c>
      <c r="I11113" s="26">
        <v>43669.745671296303</v>
      </c>
      <c r="J11113" s="28" t="s">
        <v>51</v>
      </c>
      <c r="K11113" s="28" t="s">
        <v>51</v>
      </c>
      <c r="L11113" s="28" t="s">
        <v>51</v>
      </c>
      <c r="M11113" s="28" t="s">
        <v>51</v>
      </c>
      <c r="N11113" s="28" t="s">
        <v>51</v>
      </c>
    </row>
    <row r="11114" spans="1:14" ht="12.75" hidden="1" outlineLevel="1" x14ac:dyDescent="0.2">
      <c r="A11114" s="23" t="str">
        <f>HYPERLINK("https://www.spark-marketing.ru/Card/Person/1020345", "МБОУ ""СОШ №8""")</f>
        <v>МБОУ "СОШ №8"</v>
      </c>
      <c r="B11114" s="24" t="s">
        <v>15550</v>
      </c>
      <c r="C11114" s="25">
        <v>5858034</v>
      </c>
      <c r="D11114" s="22" t="s">
        <v>15551</v>
      </c>
      <c r="E11114" s="22" t="s">
        <v>96</v>
      </c>
      <c r="F11114" s="23" t="str">
        <f>HYPERLINK("https://www.spark-marketing.ru/Card/Lot/72297634", "Оказание услуг по организации горячего питания детей из малоимущих и детей из многодетных малоимущих семей обучающихся в МБОУ «СОШ №8»")</f>
        <v>Оказание услуг по организации горячего питания детей из малоимущих и детей из многодетных малоимущих семей обучающихся в МБОУ «СОШ №8»</v>
      </c>
      <c r="G11114" s="22" t="s">
        <v>153</v>
      </c>
      <c r="H11114" s="22" t="s">
        <v>153</v>
      </c>
      <c r="I11114" s="26">
        <v>43669.745671296303</v>
      </c>
      <c r="J11114" s="23" t="str">
        <f>HYPERLINK("https://www.spark-marketing.ru/Card/Person/61115", "Петрова Ирина Алексеевна")</f>
        <v>Петрова Ирина Алексеевна</v>
      </c>
      <c r="K11114" s="24" t="s">
        <v>1963</v>
      </c>
      <c r="L11114" s="22" t="s">
        <v>10</v>
      </c>
      <c r="M11114" s="25">
        <v>3354851.01</v>
      </c>
      <c r="N11114" s="27">
        <v>0.42730769230769233</v>
      </c>
    </row>
    <row r="11115" spans="1:14" hidden="1" outlineLevel="1" x14ac:dyDescent="0.2">
      <c r="A11115" s="23" t="str">
        <f>HYPERLINK("https://www.spark-marketing.ru/Card/Person/1020345", "МБОУ ""СОШ №8""")</f>
        <v>МБОУ "СОШ №8"</v>
      </c>
      <c r="B11115" s="24" t="s">
        <v>15550</v>
      </c>
      <c r="C11115" s="25">
        <v>5858034</v>
      </c>
      <c r="D11115" s="22" t="s">
        <v>15551</v>
      </c>
      <c r="E11115" s="22" t="s">
        <v>96</v>
      </c>
      <c r="F11115" s="23" t="str">
        <f>HYPERLINK("https://www.spark-marketing.ru/Card/Lot/72297634", "Оказание услуг по организации горячего питания детей из малоимущих и детей из многодетных малоимущих семей обучающихся в МБОУ «СОШ №8»")</f>
        <v>Оказание услуг по организации горячего питания детей из малоимущих и детей из многодетных малоимущих семей обучающихся в МБОУ «СОШ №8»</v>
      </c>
      <c r="G11115" s="22" t="s">
        <v>153</v>
      </c>
      <c r="H11115" s="22" t="s">
        <v>153</v>
      </c>
      <c r="I11115" s="26">
        <v>43669.745671296303</v>
      </c>
      <c r="J11115" s="23" t="str">
        <f>HYPERLINK("https://www.spark-marketing.ru/Card/Person/6678796", "ООО ""ВЕРТИКАЛЬ""")</f>
        <v>ООО "ВЕРТИКАЛЬ"</v>
      </c>
      <c r="K11115" s="24" t="s">
        <v>15552</v>
      </c>
      <c r="L11115" s="28" t="s">
        <v>51</v>
      </c>
      <c r="M11115" s="25">
        <v>3384141.18</v>
      </c>
      <c r="N11115" s="27">
        <v>0.42230769230769233</v>
      </c>
    </row>
    <row r="11116" spans="1:14" x14ac:dyDescent="0.15">
      <c r="A11116" s="23" t="str">
        <f>HYPERLINK("https://www.spark-marketing.ru/Card/Person/763", "ФГБОУ ВО РНИМУ ИМ. Н.И. ПИРОГОВА МИНЗДРАВА РОССИИ")</f>
        <v>ФГБОУ ВО РНИМУ ИМ. Н.И. ПИРОГОВА МИНЗДРАВА РОССИИ</v>
      </c>
      <c r="B11116" s="24" t="s">
        <v>1375</v>
      </c>
      <c r="C11116" s="25">
        <v>1259000</v>
      </c>
      <c r="D11116" s="22" t="s">
        <v>15553</v>
      </c>
      <c r="E11116" s="22" t="s">
        <v>1807</v>
      </c>
      <c r="F11116" s="23" t="str">
        <f>HYPERLINK("https://www.spark-marketing.ru/Card/Lot/72313557", "Оказание издательских услуг для нужд ОСП Российского геронтологического научно-клинического центра ФГБОУ ВО РНИМУ им. Н.И.Пирогова Минздрава России в 2019 году")</f>
        <v>Оказание издательских услуг для нужд ОСП Российского геронтологического научно-клинического центра ФГБОУ ВО РНИМУ им. Н.И.Пирогова Минздрава России в 2019 году</v>
      </c>
      <c r="G11116" s="22" t="s">
        <v>56</v>
      </c>
      <c r="H11116" s="22" t="s">
        <v>56</v>
      </c>
      <c r="I11116" s="26">
        <v>43669.727581018502</v>
      </c>
      <c r="J11116" s="28" t="s">
        <v>51</v>
      </c>
      <c r="K11116" s="28" t="s">
        <v>51</v>
      </c>
      <c r="L11116" s="28" t="s">
        <v>51</v>
      </c>
      <c r="M11116" s="28" t="s">
        <v>51</v>
      </c>
      <c r="N11116" s="28" t="s">
        <v>51</v>
      </c>
    </row>
    <row r="11117" spans="1:14" ht="12.75" hidden="1" outlineLevel="1" x14ac:dyDescent="0.2">
      <c r="A11117" s="23" t="str">
        <f>HYPERLINK("https://www.spark-marketing.ru/Card/Person/763", "ФГБОУ ВО РНИМУ ИМ. Н.И. ПИРОГОВА МИНЗДРАВА РОССИИ")</f>
        <v>ФГБОУ ВО РНИМУ ИМ. Н.И. ПИРОГОВА МИНЗДРАВА РОССИИ</v>
      </c>
      <c r="B11117" s="24" t="s">
        <v>1375</v>
      </c>
      <c r="C11117" s="25">
        <v>1259000</v>
      </c>
      <c r="D11117" s="22" t="s">
        <v>15553</v>
      </c>
      <c r="E11117" s="22" t="s">
        <v>1807</v>
      </c>
      <c r="F11117" s="23" t="str">
        <f>HYPERLINK("https://www.spark-marketing.ru/Card/Lot/72313557", "Оказание издательских услуг для нужд ОСП Российского геронтологического научно-клинического центра ФГБОУ ВО РНИМУ им. Н.И.Пирогова Минздрава России в 2019 году")</f>
        <v>Оказание издательских услуг для нужд ОСП Российского геронтологического научно-клинического центра ФГБОУ ВО РНИМУ им. Н.И.Пирогова Минздрава России в 2019 году</v>
      </c>
      <c r="G11117" s="22" t="s">
        <v>56</v>
      </c>
      <c r="H11117" s="22" t="s">
        <v>56</v>
      </c>
      <c r="I11117" s="26">
        <v>43669.727581018502</v>
      </c>
      <c r="J11117" s="23" t="str">
        <f>HYPERLINK("https://www.spark-marketing.ru/Card/Person/1154681", "ООО ""ПРОМЕТЕЙ""")</f>
        <v>ООО "ПРОМЕТЕЙ"</v>
      </c>
      <c r="K11117" s="24" t="s">
        <v>15554</v>
      </c>
      <c r="L11117" s="22" t="s">
        <v>10</v>
      </c>
      <c r="M11117" s="25">
        <v>484715</v>
      </c>
      <c r="N11117" s="27">
        <v>0.61499999999999999</v>
      </c>
    </row>
    <row r="11118" spans="1:14" hidden="1" outlineLevel="1" x14ac:dyDescent="0.2">
      <c r="A11118" s="23" t="str">
        <f>HYPERLINK("https://www.spark-marketing.ru/Card/Person/763", "ФГБОУ ВО РНИМУ ИМ. Н.И. ПИРОГОВА МИНЗДРАВА РОССИИ")</f>
        <v>ФГБОУ ВО РНИМУ ИМ. Н.И. ПИРОГОВА МИНЗДРАВА РОССИИ</v>
      </c>
      <c r="B11118" s="24" t="s">
        <v>1375</v>
      </c>
      <c r="C11118" s="25">
        <v>1259000</v>
      </c>
      <c r="D11118" s="22" t="s">
        <v>15553</v>
      </c>
      <c r="E11118" s="22" t="s">
        <v>1807</v>
      </c>
      <c r="F11118" s="23" t="str">
        <f>HYPERLINK("https://www.spark-marketing.ru/Card/Lot/72313557", "Оказание издательских услуг для нужд ОСП Российского геронтологического научно-клинического центра ФГБОУ ВО РНИМУ им. Н.И.Пирогова Минздрава России в 2019 году")</f>
        <v>Оказание издательских услуг для нужд ОСП Российского геронтологического научно-клинического центра ФГБОУ ВО РНИМУ им. Н.И.Пирогова Минздрава России в 2019 году</v>
      </c>
      <c r="G11118" s="22" t="s">
        <v>56</v>
      </c>
      <c r="H11118" s="22" t="s">
        <v>56</v>
      </c>
      <c r="I11118" s="26">
        <v>43669.727581018502</v>
      </c>
      <c r="J11118" s="23" t="str">
        <f>HYPERLINK("https://www.spark-marketing.ru/Card/Person/148311", "ООО ""АЛЕКС ПРИНТ""")</f>
        <v>ООО "АЛЕКС ПРИНТ"</v>
      </c>
      <c r="K11118" s="24" t="s">
        <v>15555</v>
      </c>
      <c r="L11118" s="28" t="s">
        <v>51</v>
      </c>
      <c r="M11118" s="25">
        <v>547665</v>
      </c>
      <c r="N11118" s="27">
        <v>0.56499999999999995</v>
      </c>
    </row>
    <row r="11119" spans="1:14" x14ac:dyDescent="0.15">
      <c r="A11119" s="23" t="str">
        <f>HYPERLINK("https://www.spark-marketing.ru/Card/Person/170788", "ОТДЕЛЕНИЕ МВД РОССИИ ПО МОТЫГИНСКОМУ РАЙОНУ")</f>
        <v>ОТДЕЛЕНИЕ МВД РОССИИ ПО МОТЫГИНСКОМУ РАЙОНУ</v>
      </c>
      <c r="B11119" s="24" t="s">
        <v>421</v>
      </c>
      <c r="C11119" s="25">
        <v>510000</v>
      </c>
      <c r="D11119" s="22" t="s">
        <v>15556</v>
      </c>
      <c r="E11119" s="22" t="s">
        <v>96</v>
      </c>
      <c r="F11119" s="23" t="str">
        <f>HYPERLINK("https://www.spark-marketing.ru/Card/Lot/72279304", "Услуги по организации горячего питания")</f>
        <v>Услуги по организации горячего питания</v>
      </c>
      <c r="G11119" s="22" t="s">
        <v>281</v>
      </c>
      <c r="H11119" s="22" t="s">
        <v>423</v>
      </c>
      <c r="I11119" s="26">
        <v>43669.7209953704</v>
      </c>
      <c r="J11119" s="23" t="str">
        <f>HYPERLINK("https://www.spark-marketing.ru/Card/Person/225490", "Забиров Александр Валентинович")</f>
        <v>Забиров Александр Валентинович</v>
      </c>
      <c r="K11119" s="24" t="s">
        <v>15557</v>
      </c>
      <c r="L11119" s="22" t="s">
        <v>10</v>
      </c>
      <c r="M11119" s="28" t="s">
        <v>51</v>
      </c>
      <c r="N11119" s="28" t="s">
        <v>51</v>
      </c>
    </row>
    <row r="11120" spans="1:14" x14ac:dyDescent="0.15">
      <c r="A11120" s="23" t="str">
        <f>HYPERLINK("https://www.spark-marketing.ru/Card/Person/18481", "ФГУП ""РОСРАО""")</f>
        <v>ФГУП "РОСРАО"</v>
      </c>
      <c r="B11120" s="24" t="s">
        <v>2882</v>
      </c>
      <c r="C11120" s="25">
        <v>90000</v>
      </c>
      <c r="D11120" s="22" t="s">
        <v>15558</v>
      </c>
      <c r="E11120" s="22" t="s">
        <v>91</v>
      </c>
      <c r="F11120" s="23" t="str">
        <f>HYPERLINK("https://www.spark-marketing.ru/Card/Lot/72287457", "оказание услуг по техническому обслуживанию и ремонту компьютерного и периферийного оборудования Казанского отделения филиала «Приволжский территориальный округ» ФГУП «РосРАО»")</f>
        <v>оказание услуг по техническому обслуживанию и ремонту компьютерного и периферийного оборудования Казанского отделения филиала «Приволжский территориальный округ» ФГУП «РосРАО»</v>
      </c>
      <c r="G11120" s="22" t="s">
        <v>56</v>
      </c>
      <c r="H11120" s="22" t="s">
        <v>56</v>
      </c>
      <c r="I11120" s="26">
        <v>43669.719259259298</v>
      </c>
      <c r="J11120" s="28" t="s">
        <v>51</v>
      </c>
      <c r="K11120" s="28" t="s">
        <v>51</v>
      </c>
      <c r="L11120" s="28" t="s">
        <v>51</v>
      </c>
      <c r="M11120" s="28" t="s">
        <v>51</v>
      </c>
      <c r="N11120" s="28" t="s">
        <v>51</v>
      </c>
    </row>
    <row r="11121" spans="1:14" x14ac:dyDescent="0.2">
      <c r="A11121" s="23" t="str">
        <f>HYPERLINK("https://www.spark-marketing.ru/Card/Person/1777582", "МАУ ДО ДЮСШ №3 ГОРОДА ТЮМЕНИ")</f>
        <v>МАУ ДО ДЮСШ №3 ГОРОДА ТЮМЕНИ</v>
      </c>
      <c r="B11121" s="24" t="s">
        <v>15559</v>
      </c>
      <c r="C11121" s="25">
        <v>272000</v>
      </c>
      <c r="D11121" s="22" t="s">
        <v>15560</v>
      </c>
      <c r="E11121" s="22" t="s">
        <v>4218</v>
      </c>
      <c r="F11121" s="23" t="str">
        <f>HYPERLINK("https://www.spark-marketing.ru/Card/Lot/72292213", "Услуги проживания и питания в гостинице города Анапа")</f>
        <v>Услуги проживания и питания в гостинице города Анапа</v>
      </c>
      <c r="G11121" s="22" t="s">
        <v>104</v>
      </c>
      <c r="H11121" s="22" t="s">
        <v>104</v>
      </c>
      <c r="I11121" s="26">
        <v>43669.727974537003</v>
      </c>
      <c r="J11121" s="28" t="s">
        <v>51</v>
      </c>
      <c r="K11121" s="28" t="s">
        <v>51</v>
      </c>
      <c r="L11121" s="22" t="s">
        <v>10</v>
      </c>
      <c r="M11121" s="25">
        <v>272000</v>
      </c>
      <c r="N11121" s="27">
        <v>0</v>
      </c>
    </row>
    <row r="11122" spans="1:14" x14ac:dyDescent="0.15">
      <c r="A11122" s="23" t="str">
        <f>HYPERLINK("https://www.spark-marketing.ru/Card/Person/641866", "ОМВД РОССИИ ПО УЛЕТОВСКОМУ РАЙОНУ")</f>
        <v>ОМВД РОССИИ ПО УЛЕТОВСКОМУ РАЙОНУ</v>
      </c>
      <c r="B11122" s="24" t="s">
        <v>15561</v>
      </c>
      <c r="C11122" s="25">
        <v>1789873.47</v>
      </c>
      <c r="D11122" s="22" t="s">
        <v>15562</v>
      </c>
      <c r="E11122" s="22" t="s">
        <v>96</v>
      </c>
      <c r="F11122" s="23" t="str">
        <f>HYPERLINK("https://www.spark-marketing.ru/Card/Lot/72294981", "питание ИВС")</f>
        <v>питание ИВС</v>
      </c>
      <c r="G11122" s="22" t="s">
        <v>228</v>
      </c>
      <c r="H11122" s="22" t="s">
        <v>15563</v>
      </c>
      <c r="I11122" s="26">
        <v>43669.710243055597</v>
      </c>
      <c r="J11122" s="23" t="str">
        <f>HYPERLINK("https://www.spark-marketing.ru/Card/Person/4951603", "Щербакова Лидия Владимировна")</f>
        <v>Щербакова Лидия Владимировна</v>
      </c>
      <c r="K11122" s="24" t="s">
        <v>15564</v>
      </c>
      <c r="L11122" s="22" t="s">
        <v>10</v>
      </c>
      <c r="M11122" s="28" t="s">
        <v>51</v>
      </c>
      <c r="N11122" s="28" t="s">
        <v>51</v>
      </c>
    </row>
    <row r="11123" spans="1:14" x14ac:dyDescent="0.15">
      <c r="A11123" s="23" t="s">
        <v>114</v>
      </c>
      <c r="B11123" s="28" t="s">
        <v>51</v>
      </c>
      <c r="C11123" s="25">
        <v>44173120</v>
      </c>
      <c r="D11123" s="22" t="s">
        <v>15565</v>
      </c>
      <c r="E11123" s="22" t="s">
        <v>48</v>
      </c>
      <c r="F11123" s="23" t="str">
        <f t="shared" ref="F11123:F11131" si="304">HYPERLINK("https://www.spark-marketing.ru/Card/Lot/72283757", "Оказание услуг по организации питания учащихся")</f>
        <v>Оказание услуг по организации питания учащихся</v>
      </c>
      <c r="G11123" s="22" t="s">
        <v>51</v>
      </c>
      <c r="H11123" s="22" t="s">
        <v>51</v>
      </c>
      <c r="I11123" s="26">
        <v>43669.728472222203</v>
      </c>
      <c r="J11123" s="28" t="s">
        <v>51</v>
      </c>
      <c r="K11123" s="28" t="s">
        <v>51</v>
      </c>
      <c r="L11123" s="28" t="s">
        <v>51</v>
      </c>
      <c r="M11123" s="28" t="s">
        <v>51</v>
      </c>
      <c r="N11123" s="28" t="s">
        <v>51</v>
      </c>
    </row>
    <row r="11124" spans="1:14" hidden="1" outlineLevel="1" x14ac:dyDescent="0.15">
      <c r="A11124" s="23" t="str">
        <f>HYPERLINK("https://www.spark-marketing.ru/Card/Person/32263", "МБОУ ""СОШ № 13""")</f>
        <v>МБОУ "СОШ № 13"</v>
      </c>
      <c r="B11124" s="24" t="s">
        <v>15339</v>
      </c>
      <c r="C11124" s="25">
        <v>6974848</v>
      </c>
      <c r="D11124" s="22" t="s">
        <v>15565</v>
      </c>
      <c r="E11124" s="22" t="s">
        <v>48</v>
      </c>
      <c r="F11124" s="23" t="str">
        <f t="shared" si="304"/>
        <v>Оказание услуг по организации питания учащихся</v>
      </c>
      <c r="G11124" s="22" t="s">
        <v>97</v>
      </c>
      <c r="H11124" s="22" t="s">
        <v>97</v>
      </c>
      <c r="I11124" s="26">
        <v>43669.728472222203</v>
      </c>
      <c r="J11124" s="28" t="s">
        <v>51</v>
      </c>
      <c r="K11124" s="28" t="s">
        <v>51</v>
      </c>
      <c r="L11124" s="28" t="s">
        <v>51</v>
      </c>
      <c r="M11124" s="28" t="s">
        <v>51</v>
      </c>
      <c r="N11124" s="28" t="s">
        <v>51</v>
      </c>
    </row>
    <row r="11125" spans="1:14" hidden="1" outlineLevel="1" x14ac:dyDescent="0.15">
      <c r="A11125" s="23" t="str">
        <f>HYPERLINK("https://www.spark-marketing.ru/Card/Person/32481", "МБОУ ""СОКШ № 4""")</f>
        <v>МБОУ "СОКШ № 4"</v>
      </c>
      <c r="B11125" s="24" t="s">
        <v>15340</v>
      </c>
      <c r="C11125" s="25">
        <v>6091392</v>
      </c>
      <c r="D11125" s="22" t="s">
        <v>15565</v>
      </c>
      <c r="E11125" s="22" t="s">
        <v>48</v>
      </c>
      <c r="F11125" s="23" t="str">
        <f t="shared" si="304"/>
        <v>Оказание услуг по организации питания учащихся</v>
      </c>
      <c r="G11125" s="22" t="s">
        <v>97</v>
      </c>
      <c r="H11125" s="22" t="s">
        <v>97</v>
      </c>
      <c r="I11125" s="26">
        <v>43669.728472222203</v>
      </c>
      <c r="J11125" s="28" t="s">
        <v>51</v>
      </c>
      <c r="K11125" s="28" t="s">
        <v>51</v>
      </c>
      <c r="L11125" s="28" t="s">
        <v>51</v>
      </c>
      <c r="M11125" s="28" t="s">
        <v>51</v>
      </c>
      <c r="N11125" s="28" t="s">
        <v>51</v>
      </c>
    </row>
    <row r="11126" spans="1:14" hidden="1" outlineLevel="1" x14ac:dyDescent="0.15">
      <c r="A11126" s="23" t="str">
        <f>HYPERLINK("https://www.spark-marketing.ru/Card/Person/33517", "МБОУ «СОШ № 2 ИМ.А.И.ИСАЕВОЙ»")</f>
        <v>МБОУ «СОШ № 2 ИМ.А.И.ИСАЕВОЙ»</v>
      </c>
      <c r="B11126" s="24" t="s">
        <v>15341</v>
      </c>
      <c r="C11126" s="25">
        <v>5564736</v>
      </c>
      <c r="D11126" s="22" t="s">
        <v>15565</v>
      </c>
      <c r="E11126" s="22" t="s">
        <v>48</v>
      </c>
      <c r="F11126" s="23" t="str">
        <f t="shared" si="304"/>
        <v>Оказание услуг по организации питания учащихся</v>
      </c>
      <c r="G11126" s="22" t="s">
        <v>97</v>
      </c>
      <c r="H11126" s="22" t="s">
        <v>97</v>
      </c>
      <c r="I11126" s="26">
        <v>43669.728472222203</v>
      </c>
      <c r="J11126" s="28" t="s">
        <v>51</v>
      </c>
      <c r="K11126" s="28" t="s">
        <v>51</v>
      </c>
      <c r="L11126" s="28" t="s">
        <v>51</v>
      </c>
      <c r="M11126" s="28" t="s">
        <v>51</v>
      </c>
      <c r="N11126" s="28" t="s">
        <v>51</v>
      </c>
    </row>
    <row r="11127" spans="1:14" hidden="1" outlineLevel="1" x14ac:dyDescent="0.15">
      <c r="A11127" s="23" t="str">
        <f>HYPERLINK("https://www.spark-marketing.ru/Card/Person/33575", "МБОУ ""СОШ № 14""")</f>
        <v>МБОУ "СОШ № 14"</v>
      </c>
      <c r="B11127" s="24" t="s">
        <v>15342</v>
      </c>
      <c r="C11127" s="25">
        <v>5744384</v>
      </c>
      <c r="D11127" s="22" t="s">
        <v>15565</v>
      </c>
      <c r="E11127" s="22" t="s">
        <v>48</v>
      </c>
      <c r="F11127" s="23" t="str">
        <f t="shared" si="304"/>
        <v>Оказание услуг по организации питания учащихся</v>
      </c>
      <c r="G11127" s="22" t="s">
        <v>97</v>
      </c>
      <c r="H11127" s="22" t="s">
        <v>97</v>
      </c>
      <c r="I11127" s="26">
        <v>43669.728472222203</v>
      </c>
      <c r="J11127" s="28" t="s">
        <v>51</v>
      </c>
      <c r="K11127" s="28" t="s">
        <v>51</v>
      </c>
      <c r="L11127" s="28" t="s">
        <v>51</v>
      </c>
      <c r="M11127" s="28" t="s">
        <v>51</v>
      </c>
      <c r="N11127" s="28" t="s">
        <v>51</v>
      </c>
    </row>
    <row r="11128" spans="1:14" hidden="1" outlineLevel="1" x14ac:dyDescent="0.15">
      <c r="A11128" s="23" t="str">
        <f>HYPERLINK("https://www.spark-marketing.ru/Card/Person/88363", "МБОУ ""СОШ № 9""")</f>
        <v>МБОУ "СОШ № 9"</v>
      </c>
      <c r="B11128" s="24" t="s">
        <v>15343</v>
      </c>
      <c r="C11128" s="25">
        <v>7510720</v>
      </c>
      <c r="D11128" s="22" t="s">
        <v>15565</v>
      </c>
      <c r="E11128" s="22" t="s">
        <v>48</v>
      </c>
      <c r="F11128" s="23" t="str">
        <f t="shared" si="304"/>
        <v>Оказание услуг по организации питания учащихся</v>
      </c>
      <c r="G11128" s="22" t="s">
        <v>97</v>
      </c>
      <c r="H11128" s="22" t="s">
        <v>97</v>
      </c>
      <c r="I11128" s="26">
        <v>43669.728472222203</v>
      </c>
      <c r="J11128" s="28" t="s">
        <v>51</v>
      </c>
      <c r="K11128" s="28" t="s">
        <v>51</v>
      </c>
      <c r="L11128" s="28" t="s">
        <v>51</v>
      </c>
      <c r="M11128" s="28" t="s">
        <v>51</v>
      </c>
      <c r="N11128" s="28" t="s">
        <v>51</v>
      </c>
    </row>
    <row r="11129" spans="1:14" hidden="1" outlineLevel="1" x14ac:dyDescent="0.15">
      <c r="A11129" s="23" t="str">
        <f>HYPERLINK("https://www.spark-marketing.ru/Card/Person/236630", "МБОУ ""СОШ № 8""")</f>
        <v>МБОУ "СОШ № 8"</v>
      </c>
      <c r="B11129" s="24" t="s">
        <v>15344</v>
      </c>
      <c r="C11129" s="25">
        <v>4681728</v>
      </c>
      <c r="D11129" s="22" t="s">
        <v>15565</v>
      </c>
      <c r="E11129" s="22" t="s">
        <v>48</v>
      </c>
      <c r="F11129" s="23" t="str">
        <f t="shared" si="304"/>
        <v>Оказание услуг по организации питания учащихся</v>
      </c>
      <c r="G11129" s="22" t="s">
        <v>97</v>
      </c>
      <c r="H11129" s="22" t="s">
        <v>97</v>
      </c>
      <c r="I11129" s="26">
        <v>43669.728472222203</v>
      </c>
      <c r="J11129" s="28" t="s">
        <v>51</v>
      </c>
      <c r="K11129" s="28" t="s">
        <v>51</v>
      </c>
      <c r="L11129" s="28" t="s">
        <v>51</v>
      </c>
      <c r="M11129" s="28" t="s">
        <v>51</v>
      </c>
      <c r="N11129" s="28" t="s">
        <v>51</v>
      </c>
    </row>
    <row r="11130" spans="1:14" hidden="1" outlineLevel="1" x14ac:dyDescent="0.15">
      <c r="A11130" s="23" t="str">
        <f>HYPERLINK("https://www.spark-marketing.ru/Card/Person/236743", "МБОУ ""ЛИЦЕЙ № 1""")</f>
        <v>МБОУ "ЛИЦЕЙ № 1"</v>
      </c>
      <c r="B11130" s="24" t="s">
        <v>15345</v>
      </c>
      <c r="C11130" s="25">
        <v>3488832</v>
      </c>
      <c r="D11130" s="22" t="s">
        <v>15565</v>
      </c>
      <c r="E11130" s="22" t="s">
        <v>48</v>
      </c>
      <c r="F11130" s="23" t="str">
        <f t="shared" si="304"/>
        <v>Оказание услуг по организации питания учащихся</v>
      </c>
      <c r="G11130" s="22" t="s">
        <v>97</v>
      </c>
      <c r="H11130" s="22" t="s">
        <v>97</v>
      </c>
      <c r="I11130" s="26">
        <v>43669.728472222203</v>
      </c>
      <c r="J11130" s="28" t="s">
        <v>51</v>
      </c>
      <c r="K11130" s="28" t="s">
        <v>51</v>
      </c>
      <c r="L11130" s="28" t="s">
        <v>51</v>
      </c>
      <c r="M11130" s="28" t="s">
        <v>51</v>
      </c>
      <c r="N11130" s="28" t="s">
        <v>51</v>
      </c>
    </row>
    <row r="11131" spans="1:14" hidden="1" outlineLevel="1" x14ac:dyDescent="0.15">
      <c r="A11131" s="23" t="str">
        <f>HYPERLINK("https://www.spark-marketing.ru/Card/Person/236784", "МБОУ ""СОШ № 1""")</f>
        <v>МБОУ "СОШ № 1"</v>
      </c>
      <c r="B11131" s="24" t="s">
        <v>15346</v>
      </c>
      <c r="C11131" s="25">
        <v>4116480</v>
      </c>
      <c r="D11131" s="22" t="s">
        <v>15565</v>
      </c>
      <c r="E11131" s="22" t="s">
        <v>48</v>
      </c>
      <c r="F11131" s="23" t="str">
        <f t="shared" si="304"/>
        <v>Оказание услуг по организации питания учащихся</v>
      </c>
      <c r="G11131" s="22" t="s">
        <v>97</v>
      </c>
      <c r="H11131" s="22" t="s">
        <v>97</v>
      </c>
      <c r="I11131" s="26">
        <v>43669.728472222203</v>
      </c>
      <c r="J11131" s="28" t="s">
        <v>51</v>
      </c>
      <c r="K11131" s="28" t="s">
        <v>51</v>
      </c>
      <c r="L11131" s="28" t="s">
        <v>51</v>
      </c>
      <c r="M11131" s="28" t="s">
        <v>51</v>
      </c>
      <c r="N11131" s="28" t="s">
        <v>51</v>
      </c>
    </row>
    <row r="11132" spans="1:14" x14ac:dyDescent="0.15">
      <c r="A11132" s="23" t="str">
        <f>HYPERLINK("https://www.spark-marketing.ru/Card/Person/25413", "ФГКУ ""СЗРПСО МЧС РОССИИ""")</f>
        <v>ФГКУ "СЗРПСО МЧС РОССИИ"</v>
      </c>
      <c r="B11132" s="24" t="s">
        <v>10257</v>
      </c>
      <c r="C11132" s="25">
        <v>199520</v>
      </c>
      <c r="D11132" s="22" t="s">
        <v>15566</v>
      </c>
      <c r="E11132" s="22" t="s">
        <v>48</v>
      </c>
      <c r="F11132" s="23" t="str">
        <f>HYPERLINK("https://www.spark-marketing.ru/Card/Lot/72288806", "Оказание услуг по организации горячего питания для спасателей дежурной смены ПСП Мурманск Мурманского АКАСЦ МЧС России - филиал ФГКУ ""СЗРПСО МЧС России""")</f>
        <v>Оказание услуг по организации горячего питания для спасателей дежурной смены ПСП Мурманск Мурманского АКАСЦ МЧС России - филиал ФГКУ "СЗРПСО МЧС России"</v>
      </c>
      <c r="G11132" s="22" t="s">
        <v>340</v>
      </c>
      <c r="H11132" s="22" t="s">
        <v>340</v>
      </c>
      <c r="I11132" s="26">
        <v>43669.742812500001</v>
      </c>
      <c r="J11132" s="23" t="str">
        <f>HYPERLINK("https://www.spark-marketing.ru/Card/Person/718805", "ООО ""СМАК""")</f>
        <v>ООО "СМАК"</v>
      </c>
      <c r="K11132" s="24" t="s">
        <v>2393</v>
      </c>
      <c r="L11132" s="22" t="s">
        <v>10</v>
      </c>
      <c r="M11132" s="28" t="s">
        <v>51</v>
      </c>
      <c r="N11132" s="28" t="s">
        <v>51</v>
      </c>
    </row>
    <row r="11133" spans="1:14" x14ac:dyDescent="0.15">
      <c r="A11133" s="23" t="str">
        <f>HYPERLINK("https://www.spark-marketing.ru/Card/Person/10607", "ГБУ ДСЗМ")</f>
        <v>ГБУ ДСЗМ</v>
      </c>
      <c r="B11133" s="24" t="s">
        <v>3052</v>
      </c>
      <c r="C11133" s="25">
        <v>1280000</v>
      </c>
      <c r="D11133" s="22" t="s">
        <v>15567</v>
      </c>
      <c r="E11133" s="22" t="s">
        <v>96</v>
      </c>
      <c r="F11133" s="23" t="str">
        <f>HYPERLINK("https://www.spark-marketing.ru/Card/Lot/72287522", "Услуги по организации питания и ресторанного обслуживания для подготовки и проведения Финала Кубка мира по стрельбе из лука")</f>
        <v>Услуги по организации питания и ресторанного обслуживания для подготовки и проведения Финала Кубка мира по стрельбе из лука</v>
      </c>
      <c r="G11133" s="22" t="s">
        <v>56</v>
      </c>
      <c r="H11133" s="22" t="s">
        <v>56</v>
      </c>
      <c r="I11133" s="26">
        <v>43669.714583333298</v>
      </c>
      <c r="J11133" s="28" t="s">
        <v>51</v>
      </c>
      <c r="K11133" s="28" t="s">
        <v>51</v>
      </c>
      <c r="L11133" s="28" t="s">
        <v>51</v>
      </c>
      <c r="M11133" s="28" t="s">
        <v>51</v>
      </c>
      <c r="N11133" s="28" t="s">
        <v>51</v>
      </c>
    </row>
    <row r="11134" spans="1:14" ht="12.75" hidden="1" outlineLevel="1" x14ac:dyDescent="0.2">
      <c r="A11134" s="23" t="str">
        <f>HYPERLINK("https://www.spark-marketing.ru/Card/Person/10607", "ГБУ ДСЗМ")</f>
        <v>ГБУ ДСЗМ</v>
      </c>
      <c r="B11134" s="24" t="s">
        <v>3052</v>
      </c>
      <c r="C11134" s="25">
        <v>1280000</v>
      </c>
      <c r="D11134" s="22" t="s">
        <v>15567</v>
      </c>
      <c r="E11134" s="22" t="s">
        <v>96</v>
      </c>
      <c r="F11134" s="23" t="str">
        <f>HYPERLINK("https://www.spark-marketing.ru/Card/Lot/72287522", "Услуги по организации питания и ресторанного обслуживания для подготовки и проведения Финала Кубка мира по стрельбе из лука")</f>
        <v>Услуги по организации питания и ресторанного обслуживания для подготовки и проведения Финала Кубка мира по стрельбе из лука</v>
      </c>
      <c r="G11134" s="22" t="s">
        <v>56</v>
      </c>
      <c r="H11134" s="22" t="s">
        <v>56</v>
      </c>
      <c r="I11134" s="26">
        <v>43669.714583333298</v>
      </c>
      <c r="J11134" s="23" t="str">
        <f>HYPERLINK("https://www.spark-marketing.ru/Card/Person/5903989", "ООО ""ВОСТОК""")</f>
        <v>ООО "ВОСТОК"</v>
      </c>
      <c r="K11134" s="24" t="s">
        <v>5855</v>
      </c>
      <c r="L11134" s="22" t="s">
        <v>10</v>
      </c>
      <c r="M11134" s="25">
        <v>972800</v>
      </c>
      <c r="N11134" s="27">
        <v>0.24</v>
      </c>
    </row>
    <row r="11135" spans="1:14" hidden="1" outlineLevel="1" x14ac:dyDescent="0.2">
      <c r="A11135" s="23" t="str">
        <f>HYPERLINK("https://www.spark-marketing.ru/Card/Person/10607", "ГБУ ДСЗМ")</f>
        <v>ГБУ ДСЗМ</v>
      </c>
      <c r="B11135" s="24" t="s">
        <v>3052</v>
      </c>
      <c r="C11135" s="25">
        <v>1280000</v>
      </c>
      <c r="D11135" s="22" t="s">
        <v>15567</v>
      </c>
      <c r="E11135" s="22" t="s">
        <v>96</v>
      </c>
      <c r="F11135" s="23" t="str">
        <f>HYPERLINK("https://www.spark-marketing.ru/Card/Lot/72287522", "Услуги по организации питания и ресторанного обслуживания для подготовки и проведения Финала Кубка мира по стрельбе из лука")</f>
        <v>Услуги по организации питания и ресторанного обслуживания для подготовки и проведения Финала Кубка мира по стрельбе из лука</v>
      </c>
      <c r="G11135" s="22" t="s">
        <v>56</v>
      </c>
      <c r="H11135" s="22" t="s">
        <v>56</v>
      </c>
      <c r="I11135" s="26">
        <v>43669.714583333298</v>
      </c>
      <c r="J11135" s="23" t="str">
        <f>HYPERLINK("https://www.spark-marketing.ru/Card/Person/2511604", "ООО ""РЕСТОРАЦИЯ БОСКО""")</f>
        <v>ООО "РЕСТОРАЦИЯ БОСКО"</v>
      </c>
      <c r="K11135" s="24" t="s">
        <v>15568</v>
      </c>
      <c r="L11135" s="28" t="s">
        <v>51</v>
      </c>
      <c r="M11135" s="25">
        <v>1020000</v>
      </c>
      <c r="N11135" s="27">
        <v>0.203125</v>
      </c>
    </row>
    <row r="11136" spans="1:14" hidden="1" outlineLevel="1" x14ac:dyDescent="0.2">
      <c r="A11136" s="23" t="str">
        <f>HYPERLINK("https://www.spark-marketing.ru/Card/Person/10607", "ГБУ ДСЗМ")</f>
        <v>ГБУ ДСЗМ</v>
      </c>
      <c r="B11136" s="24" t="s">
        <v>3052</v>
      </c>
      <c r="C11136" s="25">
        <v>1280000</v>
      </c>
      <c r="D11136" s="22" t="s">
        <v>15567</v>
      </c>
      <c r="E11136" s="22" t="s">
        <v>96</v>
      </c>
      <c r="F11136" s="23" t="str">
        <f>HYPERLINK("https://www.spark-marketing.ru/Card/Lot/72287522", "Услуги по организации питания и ресторанного обслуживания для подготовки и проведения Финала Кубка мира по стрельбе из лука")</f>
        <v>Услуги по организации питания и ресторанного обслуживания для подготовки и проведения Финала Кубка мира по стрельбе из лука</v>
      </c>
      <c r="G11136" s="22" t="s">
        <v>56</v>
      </c>
      <c r="H11136" s="22" t="s">
        <v>56</v>
      </c>
      <c r="I11136" s="26">
        <v>43669.714583333298</v>
      </c>
      <c r="J11136" s="23" t="str">
        <f>HYPERLINK("https://www.spark-marketing.ru/Card/Person/6391853", "ООО ""АЛЬДЖЕНСА""")</f>
        <v>ООО "АЛЬДЖЕНСА"</v>
      </c>
      <c r="K11136" s="24" t="s">
        <v>2499</v>
      </c>
      <c r="L11136" s="28" t="s">
        <v>51</v>
      </c>
      <c r="M11136" s="25">
        <v>900000</v>
      </c>
      <c r="N11136" s="27">
        <v>0.296875</v>
      </c>
    </row>
    <row r="11137" spans="1:14" hidden="1" outlineLevel="1" x14ac:dyDescent="0.2">
      <c r="A11137" s="23" t="str">
        <f>HYPERLINK("https://www.spark-marketing.ru/Card/Person/10607", "ГБУ ДСЗМ")</f>
        <v>ГБУ ДСЗМ</v>
      </c>
      <c r="B11137" s="24" t="s">
        <v>3052</v>
      </c>
      <c r="C11137" s="25">
        <v>1280000</v>
      </c>
      <c r="D11137" s="22" t="s">
        <v>15567</v>
      </c>
      <c r="E11137" s="22" t="s">
        <v>96</v>
      </c>
      <c r="F11137" s="23" t="str">
        <f>HYPERLINK("https://www.spark-marketing.ru/Card/Lot/72287522", "Услуги по организации питания и ресторанного обслуживания для подготовки и проведения Финала Кубка мира по стрельбе из лука")</f>
        <v>Услуги по организации питания и ресторанного обслуживания для подготовки и проведения Финала Кубка мира по стрельбе из лука</v>
      </c>
      <c r="G11137" s="22" t="s">
        <v>56</v>
      </c>
      <c r="H11137" s="22" t="s">
        <v>56</v>
      </c>
      <c r="I11137" s="26">
        <v>43669.714583333298</v>
      </c>
      <c r="J11137" s="23" t="str">
        <f>HYPERLINK("https://www.spark-marketing.ru/Card/Person/5970918", "ООО ""ПРОФИ КЕЙТЕРИНГ""")</f>
        <v>ООО "ПРОФИ КЕЙТЕРИНГ"</v>
      </c>
      <c r="K11137" s="24" t="s">
        <v>11841</v>
      </c>
      <c r="L11137" s="28" t="s">
        <v>51</v>
      </c>
      <c r="M11137" s="25">
        <v>1200000</v>
      </c>
      <c r="N11137" s="27">
        <v>6.25E-2</v>
      </c>
    </row>
    <row r="11138" spans="1:14" x14ac:dyDescent="0.15">
      <c r="A11138" s="23" t="str">
        <f>HYPERLINK("https://www.spark-marketing.ru/Card/Person/1054884", "МБОУ ""СШ № 26 ИМ. А.С. ПУШКИНА""")</f>
        <v>МБОУ "СШ № 26 ИМ. А.С. ПУШКИНА"</v>
      </c>
      <c r="B11138" s="24" t="s">
        <v>15569</v>
      </c>
      <c r="C11138" s="25">
        <v>1121304</v>
      </c>
      <c r="D11138" s="22" t="s">
        <v>15570</v>
      </c>
      <c r="E11138" s="22" t="s">
        <v>48</v>
      </c>
      <c r="F11138" s="23" t="str">
        <f>HYPERLINK("https://www.spark-marketing.ru/Card/Lot/72287723", "Оказание услуг по организации горячего питания и обеспечению горячим питанием учащихся МБОУ ""СШ № 26 им. А.С.Пушкина""")</f>
        <v>Оказание услуг по организации горячего питания и обеспечению горячим питанием учащихся МБОУ "СШ № 26 им. А.С.Пушкина"</v>
      </c>
      <c r="G11138" s="22" t="s">
        <v>460</v>
      </c>
      <c r="H11138" s="22" t="s">
        <v>461</v>
      </c>
      <c r="I11138" s="26">
        <v>43669.735289351898</v>
      </c>
      <c r="J11138" s="23" t="str">
        <f>HYPERLINK("https://www.spark-marketing.ru/Card/Person/836702", "МУП ""КСП""")</f>
        <v>МУП "КСП"</v>
      </c>
      <c r="K11138" s="24" t="s">
        <v>6532</v>
      </c>
      <c r="L11138" s="22" t="s">
        <v>10</v>
      </c>
      <c r="M11138" s="28" t="s">
        <v>51</v>
      </c>
      <c r="N11138" s="28" t="s">
        <v>51</v>
      </c>
    </row>
    <row r="11139" spans="1:14" x14ac:dyDescent="0.15">
      <c r="A11139" s="23" t="str">
        <f>HYPERLINK("https://www.spark-marketing.ru/Card/Person/170788", "ОТДЕЛЕНИЕ МВД РОССИИ ПО МОТЫГИНСКОМУ РАЙОНУ")</f>
        <v>ОТДЕЛЕНИЕ МВД РОССИИ ПО МОТЫГИНСКОМУ РАЙОНУ</v>
      </c>
      <c r="B11139" s="24" t="s">
        <v>421</v>
      </c>
      <c r="C11139" s="25">
        <v>510000</v>
      </c>
      <c r="D11139" s="22" t="s">
        <v>15571</v>
      </c>
      <c r="E11139" s="22" t="s">
        <v>96</v>
      </c>
      <c r="F11139" s="23" t="str">
        <f>HYPERLINK("https://www.spark-marketing.ru/Card/Lot/72279298", "Услуги по организации горячего питания")</f>
        <v>Услуги по организации горячего питания</v>
      </c>
      <c r="G11139" s="22" t="s">
        <v>281</v>
      </c>
      <c r="H11139" s="22" t="s">
        <v>423</v>
      </c>
      <c r="I11139" s="26">
        <v>43669.711585648103</v>
      </c>
      <c r="J11139" s="23" t="str">
        <f>HYPERLINK("https://www.spark-marketing.ru/Card/Person/225490", "Забиров Александр Валентинович")</f>
        <v>Забиров Александр Валентинович</v>
      </c>
      <c r="K11139" s="24" t="s">
        <v>15557</v>
      </c>
      <c r="L11139" s="22" t="s">
        <v>10</v>
      </c>
      <c r="M11139" s="28" t="s">
        <v>51</v>
      </c>
      <c r="N11139" s="28" t="s">
        <v>51</v>
      </c>
    </row>
    <row r="11140" spans="1:14" x14ac:dyDescent="0.15">
      <c r="A11140" s="23" t="str">
        <f>HYPERLINK("https://www.spark-marketing.ru/Card/Person/107318", "МБОУ ЦЕНТР ОБРАЗОВАНИЯ")</f>
        <v>МБОУ ЦЕНТР ОБРАЗОВАНИЯ</v>
      </c>
      <c r="B11140" s="24" t="s">
        <v>15572</v>
      </c>
      <c r="C11140" s="25">
        <v>363792</v>
      </c>
      <c r="D11140" s="22" t="s">
        <v>15573</v>
      </c>
      <c r="E11140" s="22" t="s">
        <v>48</v>
      </c>
      <c r="F11140" s="23" t="str">
        <f>HYPERLINK("https://www.spark-marketing.ru/Card/Lot/72297272", "Оказание услуг по организации питания учащихся (идентификационный номер: 189-А-МЗ-02)")</f>
        <v>Оказание услуг по организации питания учащихся (идентификационный номер: 189-А-МЗ-02)</v>
      </c>
      <c r="G11140" s="22" t="s">
        <v>415</v>
      </c>
      <c r="H11140" s="22" t="s">
        <v>3840</v>
      </c>
      <c r="I11140" s="26">
        <v>43669.723958333299</v>
      </c>
      <c r="J11140" s="23" t="str">
        <f>HYPERLINK("https://www.spark-marketing.ru/Card/Person/138980", "МУП ""ШКОЛЬНОЕ ПИТАНИЕ Г. ВЕЛИКИЕ ЛУКИ""")</f>
        <v>МУП "ШКОЛЬНОЕ ПИТАНИЕ Г. ВЕЛИКИЕ ЛУКИ"</v>
      </c>
      <c r="K11140" s="24" t="s">
        <v>13835</v>
      </c>
      <c r="L11140" s="22" t="s">
        <v>10</v>
      </c>
      <c r="M11140" s="28" t="s">
        <v>51</v>
      </c>
      <c r="N11140" s="28" t="s">
        <v>51</v>
      </c>
    </row>
    <row r="11141" spans="1:14" x14ac:dyDescent="0.15">
      <c r="A11141" s="23" t="str">
        <f>HYPERLINK("https://www.spark-marketing.ru/Card/Person/25413", "ФГКУ ""СЗРПСО МЧС РОССИИ""")</f>
        <v>ФГКУ "СЗРПСО МЧС РОССИИ"</v>
      </c>
      <c r="B11141" s="24" t="s">
        <v>10257</v>
      </c>
      <c r="C11141" s="25">
        <v>126000</v>
      </c>
      <c r="D11141" s="22" t="s">
        <v>15574</v>
      </c>
      <c r="E11141" s="22" t="s">
        <v>48</v>
      </c>
      <c r="F11141" s="23" t="str">
        <f>HYPERLINK("https://www.spark-marketing.ru/Card/Lot/72288803", "Оказание услуг по организации горячего питания для спасателей дежурной смены ПСП Кировск Мурманского АКАСЦ МЧС России - филиал ФГКУ ""СЗРПСО МЧС России""")</f>
        <v>Оказание услуг по организации горячего питания для спасателей дежурной смены ПСП Кировск Мурманского АКАСЦ МЧС России - филиал ФГКУ "СЗРПСО МЧС России"</v>
      </c>
      <c r="G11141" s="22" t="s">
        <v>340</v>
      </c>
      <c r="H11141" s="22" t="s">
        <v>340</v>
      </c>
      <c r="I11141" s="26">
        <v>43669.731481481504</v>
      </c>
      <c r="J11141" s="23" t="str">
        <f>HYPERLINK("https://www.spark-marketing.ru/Card/Person/4316510", "Семушина Эльвира Александровна")</f>
        <v>Семушина Эльвира Александровна</v>
      </c>
      <c r="K11141" s="24" t="s">
        <v>15575</v>
      </c>
      <c r="L11141" s="22" t="s">
        <v>10</v>
      </c>
      <c r="M11141" s="28" t="s">
        <v>51</v>
      </c>
      <c r="N11141" s="28" t="s">
        <v>51</v>
      </c>
    </row>
    <row r="11142" spans="1:14" x14ac:dyDescent="0.15">
      <c r="A11142" s="23" t="str">
        <f>HYPERLINK("https://www.spark-marketing.ru/Card/Person/1060494", "МБОУ СОШ №19")</f>
        <v>МБОУ СОШ №19</v>
      </c>
      <c r="B11142" s="24" t="s">
        <v>15576</v>
      </c>
      <c r="C11142" s="25">
        <v>1430400</v>
      </c>
      <c r="D11142" s="22" t="s">
        <v>15577</v>
      </c>
      <c r="E11142" s="22" t="s">
        <v>48</v>
      </c>
      <c r="F11142" s="23" t="str">
        <f>HYPERLINK("https://www.spark-marketing.ru/Card/Lot/72287484", "Услуги по организации горячего питания обучающихся")</f>
        <v>Услуги по организации горячего питания обучающихся</v>
      </c>
      <c r="G11142" s="22" t="s">
        <v>1370</v>
      </c>
      <c r="H11142" s="22" t="s">
        <v>9079</v>
      </c>
      <c r="I11142" s="26">
        <v>43669.729166666701</v>
      </c>
      <c r="J11142" s="28" t="s">
        <v>51</v>
      </c>
      <c r="K11142" s="28" t="s">
        <v>51</v>
      </c>
      <c r="L11142" s="28" t="s">
        <v>51</v>
      </c>
      <c r="M11142" s="28" t="s">
        <v>51</v>
      </c>
      <c r="N11142" s="28" t="s">
        <v>51</v>
      </c>
    </row>
    <row r="11143" spans="1:14" x14ac:dyDescent="0.15">
      <c r="A11143" s="23" t="str">
        <f>HYPERLINK("https://www.spark-marketing.ru/Card/Person/1057882", "МО МВД РОССИИ ""РАЙЧИХИНСКОЕ""")</f>
        <v>МО МВД РОССИИ "РАЙЧИХИНСКОЕ"</v>
      </c>
      <c r="B11143" s="24" t="s">
        <v>13162</v>
      </c>
      <c r="C11143" s="25">
        <v>1450000</v>
      </c>
      <c r="D11143" s="22" t="s">
        <v>15578</v>
      </c>
      <c r="E11143" s="22" t="s">
        <v>96</v>
      </c>
      <c r="F11143" s="23" t="str">
        <f>HYPERLINK("https://www.spark-marketing.ru/Card/Lot/72294983", "услуги по организации трехразового горячего питания для лиц, следственно-арестованных, содержащихся в ИВС МО МВД России ""Райчихинское"" в 2020 году")</f>
        <v>услуги по организации трехразового горячего питания для лиц, следственно-арестованных, содержащихся в ИВС МО МВД России "Райчихинское" в 2020 году</v>
      </c>
      <c r="G11143" s="22" t="s">
        <v>210</v>
      </c>
      <c r="H11143" s="22" t="s">
        <v>13164</v>
      </c>
      <c r="I11143" s="26">
        <v>43669.727997685201</v>
      </c>
      <c r="J11143" s="28" t="s">
        <v>51</v>
      </c>
      <c r="K11143" s="28" t="s">
        <v>51</v>
      </c>
      <c r="L11143" s="28" t="s">
        <v>51</v>
      </c>
      <c r="M11143" s="28" t="s">
        <v>51</v>
      </c>
      <c r="N11143" s="28" t="s">
        <v>51</v>
      </c>
    </row>
    <row r="11144" spans="1:14" x14ac:dyDescent="0.15">
      <c r="A11144" s="23" t="str">
        <f>HYPERLINK("https://www.spark-marketing.ru/Card/Person/49365", "ГБУ СШ КРАСНОГВАРДЕЙСКОГО РАЙОНА")</f>
        <v>ГБУ СШ КРАСНОГВАРДЕЙСКОГО РАЙОНА</v>
      </c>
      <c r="B11144" s="24" t="s">
        <v>15579</v>
      </c>
      <c r="C11144" s="25">
        <v>480788</v>
      </c>
      <c r="D11144" s="22" t="s">
        <v>15580</v>
      </c>
      <c r="E11144" s="22" t="s">
        <v>374</v>
      </c>
      <c r="F11144" s="23" t="str">
        <f>HYPERLINK("https://www.spark-marketing.ru/Card/Lot/72287384",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питание, проживание и предоставление спортивного сооружения 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питание, проживание и предоставление спортивного сооружения ...</v>
      </c>
      <c r="G11144" s="22" t="s">
        <v>117</v>
      </c>
      <c r="H11144" s="22" t="s">
        <v>117</v>
      </c>
      <c r="I11144" s="26">
        <v>43669.711087962998</v>
      </c>
      <c r="J11144" s="28" t="s">
        <v>51</v>
      </c>
      <c r="K11144" s="28" t="s">
        <v>51</v>
      </c>
      <c r="L11144" s="28" t="s">
        <v>51</v>
      </c>
      <c r="M11144" s="28" t="s">
        <v>51</v>
      </c>
      <c r="N11144" s="28" t="s">
        <v>51</v>
      </c>
    </row>
    <row r="11145" spans="1:14" x14ac:dyDescent="0.15">
      <c r="A11145" s="23" t="str">
        <f>HYPERLINK("https://www.spark-marketing.ru/Card/Person/948546", "МБОУ ""ООШ №5""")</f>
        <v>МБОУ "ООШ №5"</v>
      </c>
      <c r="B11145" s="24" t="s">
        <v>15581</v>
      </c>
      <c r="C11145" s="25">
        <v>746834.04</v>
      </c>
      <c r="D11145" s="22" t="s">
        <v>15582</v>
      </c>
      <c r="E11145" s="22" t="s">
        <v>48</v>
      </c>
      <c r="F11145" s="23" t="str">
        <f>HYPERLINK("https://www.spark-marketing.ru/Card/Lot/72279737", "оказание услуг по организации горячего питания")</f>
        <v>оказание услуг по организации горячего питания</v>
      </c>
      <c r="G11145" s="22" t="s">
        <v>281</v>
      </c>
      <c r="H11145" s="22" t="s">
        <v>281</v>
      </c>
      <c r="I11145" s="26">
        <v>43669.689583333296</v>
      </c>
      <c r="J11145" s="28" t="s">
        <v>51</v>
      </c>
      <c r="K11145" s="28" t="s">
        <v>51</v>
      </c>
      <c r="L11145" s="28" t="s">
        <v>51</v>
      </c>
      <c r="M11145" s="28" t="s">
        <v>51</v>
      </c>
      <c r="N11145" s="28" t="s">
        <v>51</v>
      </c>
    </row>
    <row r="11146" spans="1:14" hidden="1" outlineLevel="1" x14ac:dyDescent="0.2">
      <c r="A11146" s="23" t="str">
        <f>HYPERLINK("https://www.spark-marketing.ru/Card/Person/948546", "МБОУ ""ООШ №5""")</f>
        <v>МБОУ "ООШ №5"</v>
      </c>
      <c r="B11146" s="24" t="s">
        <v>15581</v>
      </c>
      <c r="C11146" s="25">
        <v>746834.04</v>
      </c>
      <c r="D11146" s="22" t="s">
        <v>15582</v>
      </c>
      <c r="E11146" s="22" t="s">
        <v>48</v>
      </c>
      <c r="F11146" s="23" t="str">
        <f>HYPERLINK("https://www.spark-marketing.ru/Card/Lot/72279737", "оказание услуг по организации горячего питания")</f>
        <v>оказание услуг по организации горячего питания</v>
      </c>
      <c r="G11146" s="22" t="s">
        <v>281</v>
      </c>
      <c r="H11146" s="22" t="s">
        <v>281</v>
      </c>
      <c r="I11146" s="26">
        <v>43669.689583333296</v>
      </c>
      <c r="J11146" s="23" t="str">
        <f>HYPERLINK("https://www.spark-marketing.ru/Card/Person/969761", "Заплатина Людмила Альфредовна")</f>
        <v>Заплатина Людмила Альфредовна</v>
      </c>
      <c r="K11146" s="24" t="s">
        <v>7793</v>
      </c>
      <c r="L11146" s="28" t="s">
        <v>51</v>
      </c>
      <c r="M11146" s="25">
        <v>746834.04</v>
      </c>
      <c r="N11146" s="27">
        <v>0</v>
      </c>
    </row>
    <row r="11147" spans="1:14" ht="12.75" hidden="1" outlineLevel="1" x14ac:dyDescent="0.2">
      <c r="A11147" s="23" t="str">
        <f>HYPERLINK("https://www.spark-marketing.ru/Card/Person/948546", "МБОУ ""ООШ №5""")</f>
        <v>МБОУ "ООШ №5"</v>
      </c>
      <c r="B11147" s="24" t="s">
        <v>15581</v>
      </c>
      <c r="C11147" s="25">
        <v>746834.04</v>
      </c>
      <c r="D11147" s="22" t="s">
        <v>15582</v>
      </c>
      <c r="E11147" s="22" t="s">
        <v>48</v>
      </c>
      <c r="F11147" s="23" t="str">
        <f>HYPERLINK("https://www.spark-marketing.ru/Card/Lot/72279737", "оказание услуг по организации горячего питания")</f>
        <v>оказание услуг по организации горячего питания</v>
      </c>
      <c r="G11147" s="22" t="s">
        <v>281</v>
      </c>
      <c r="H11147" s="22" t="s">
        <v>281</v>
      </c>
      <c r="I11147" s="26">
        <v>43669.689583333296</v>
      </c>
      <c r="J11147" s="23" t="str">
        <f>HYPERLINK("https://www.spark-marketing.ru/Card/Person/218344", "ООО ""ПОЛЕКС""")</f>
        <v>ООО "ПОЛЕКС"</v>
      </c>
      <c r="K11147" s="24" t="s">
        <v>1449</v>
      </c>
      <c r="L11147" s="22" t="s">
        <v>10</v>
      </c>
      <c r="M11147" s="25">
        <v>597470</v>
      </c>
      <c r="N11147" s="27">
        <v>0.19999629368795241</v>
      </c>
    </row>
    <row r="11148" spans="1:14" hidden="1" outlineLevel="1" x14ac:dyDescent="0.2">
      <c r="A11148" s="23" t="str">
        <f>HYPERLINK("https://www.spark-marketing.ru/Card/Person/948546", "МБОУ ""ООШ №5""")</f>
        <v>МБОУ "ООШ №5"</v>
      </c>
      <c r="B11148" s="24" t="s">
        <v>15581</v>
      </c>
      <c r="C11148" s="25">
        <v>746834.04</v>
      </c>
      <c r="D11148" s="22" t="s">
        <v>15582</v>
      </c>
      <c r="E11148" s="22" t="s">
        <v>48</v>
      </c>
      <c r="F11148" s="23" t="str">
        <f>HYPERLINK("https://www.spark-marketing.ru/Card/Lot/72279737", "оказание услуг по организации горячего питания")</f>
        <v>оказание услуг по организации горячего питания</v>
      </c>
      <c r="G11148" s="22" t="s">
        <v>281</v>
      </c>
      <c r="H11148" s="22" t="s">
        <v>281</v>
      </c>
      <c r="I11148" s="26">
        <v>43669.689583333296</v>
      </c>
      <c r="J11148" s="23" t="str">
        <f>HYPERLINK("https://www.spark-marketing.ru/Card/Person/6168060", "ООО ""ВИКТОРИЯ""")</f>
        <v>ООО "ВИКТОРИЯ"</v>
      </c>
      <c r="K11148" s="24" t="s">
        <v>15323</v>
      </c>
      <c r="L11148" s="28" t="s">
        <v>51</v>
      </c>
      <c r="M11148" s="25">
        <v>649745.61</v>
      </c>
      <c r="N11148" s="27">
        <v>0.13000000642713072</v>
      </c>
    </row>
    <row r="11149" spans="1:14" x14ac:dyDescent="0.15">
      <c r="A11149" s="23" t="str">
        <f>HYPERLINK("https://www.spark-marketing.ru/Card/Person/1390375", "ФГАУ ""УПРАВЛЕНИЕ СПОРТМЕРОПРИЯТИЙ""")</f>
        <v>ФГАУ "УПРАВЛЕНИЕ СПОРТМЕРОПРИЯТИЙ"</v>
      </c>
      <c r="B11149" s="24" t="s">
        <v>2632</v>
      </c>
      <c r="C11149" s="25">
        <v>13020000</v>
      </c>
      <c r="D11149" s="22" t="s">
        <v>15583</v>
      </c>
      <c r="E11149" s="22" t="s">
        <v>769</v>
      </c>
      <c r="F11149" s="23" t="str">
        <f>HYPERLINK("https://www.spark-marketing.ru/Card/Lot/72294127", "Оказание услуг по организации проживания и питания участников Всероссийских соревнований по футболу ""Кожаный мяч"" - финальные соревнования среди мальчиков 2006-2007 г.р.")</f>
        <v>Оказание услуг по организации проживания и питания участников Всероссийских соревнований по футболу "Кожаный мяч" - финальные соревнования среди мальчиков 2006-2007 г.р.</v>
      </c>
      <c r="G11149" s="22" t="s">
        <v>460</v>
      </c>
      <c r="H11149" s="22" t="s">
        <v>460</v>
      </c>
      <c r="I11149" s="26">
        <v>43669.676365740699</v>
      </c>
      <c r="J11149" s="28" t="s">
        <v>51</v>
      </c>
      <c r="K11149" s="28" t="s">
        <v>51</v>
      </c>
      <c r="L11149" s="28" t="s">
        <v>51</v>
      </c>
      <c r="M11149" s="28" t="s">
        <v>51</v>
      </c>
      <c r="N11149" s="28" t="s">
        <v>51</v>
      </c>
    </row>
    <row r="11150" spans="1:14" x14ac:dyDescent="0.15">
      <c r="A11150" s="23" t="str">
        <f>HYPERLINK("https://www.spark-marketing.ru/Card/Person/13486", "ГБУЗ НСО НОККД")</f>
        <v>ГБУЗ НСО НОККД</v>
      </c>
      <c r="B11150" s="24" t="s">
        <v>15584</v>
      </c>
      <c r="C11150" s="25">
        <v>2970460</v>
      </c>
      <c r="D11150" s="22" t="s">
        <v>15585</v>
      </c>
      <c r="E11150" s="22" t="s">
        <v>48</v>
      </c>
      <c r="F11150" s="23" t="str">
        <f>HYPERLINK("https://www.spark-marketing.ru/Card/Lot/72279600", "оказание услуг по организации лечебного диетического питания")</f>
        <v>оказание услуг по организации лечебного диетического питания</v>
      </c>
      <c r="G11150" s="22" t="s">
        <v>195</v>
      </c>
      <c r="H11150" s="22" t="s">
        <v>196</v>
      </c>
      <c r="I11150" s="26">
        <v>43669.668344907397</v>
      </c>
      <c r="J11150" s="23" t="str">
        <f>HYPERLINK("https://www.spark-marketing.ru/Card/Person/6677684", "ООО ""СМАК""")</f>
        <v>ООО "СМАК"</v>
      </c>
      <c r="K11150" s="24" t="s">
        <v>15586</v>
      </c>
      <c r="L11150" s="28" t="s">
        <v>51</v>
      </c>
      <c r="M11150" s="28" t="s">
        <v>51</v>
      </c>
      <c r="N11150" s="28" t="s">
        <v>51</v>
      </c>
    </row>
    <row r="11151" spans="1:14" ht="12.75" hidden="1" outlineLevel="1" x14ac:dyDescent="0.2">
      <c r="A11151" s="23" t="str">
        <f>HYPERLINK("https://www.spark-marketing.ru/Card/Person/13486", "ГБУЗ НСО НОККД")</f>
        <v>ГБУЗ НСО НОККД</v>
      </c>
      <c r="B11151" s="24" t="s">
        <v>15584</v>
      </c>
      <c r="C11151" s="25">
        <v>2970460</v>
      </c>
      <c r="D11151" s="22" t="s">
        <v>15585</v>
      </c>
      <c r="E11151" s="22" t="s">
        <v>48</v>
      </c>
      <c r="F11151" s="23" t="str">
        <f>HYPERLINK("https://www.spark-marketing.ru/Card/Lot/72279600", "оказание услуг по организации лечебного диетического питания")</f>
        <v>оказание услуг по организации лечебного диетического питания</v>
      </c>
      <c r="G11151" s="22" t="s">
        <v>195</v>
      </c>
      <c r="H11151" s="22" t="s">
        <v>196</v>
      </c>
      <c r="I11151" s="26">
        <v>43669.668344907397</v>
      </c>
      <c r="J11151" s="23" t="str">
        <f>HYPERLINK("https://www.spark-marketing.ru/Card/Person/6677684", "ООО ""СМАК""")</f>
        <v>ООО "СМАК"</v>
      </c>
      <c r="K11151" s="24" t="s">
        <v>15586</v>
      </c>
      <c r="L11151" s="22" t="s">
        <v>10</v>
      </c>
      <c r="M11151" s="25">
        <v>2955607.7</v>
      </c>
      <c r="N11151" s="27">
        <v>5.0000000000000001E-3</v>
      </c>
    </row>
    <row r="11152" spans="1:14" x14ac:dyDescent="0.15">
      <c r="A11152" s="23" t="str">
        <f>HYPERLINK("https://www.spark-marketing.ru/Card/Person/131104", "СПБ ГБПОУ ""МК № 2""")</f>
        <v>СПБ ГБПОУ "МК № 2"</v>
      </c>
      <c r="B11152" s="24" t="s">
        <v>15587</v>
      </c>
      <c r="C11152" s="25">
        <v>3496428</v>
      </c>
      <c r="D11152" s="22" t="s">
        <v>15588</v>
      </c>
      <c r="E11152" s="22" t="s">
        <v>48</v>
      </c>
      <c r="F11152" s="23" t="str">
        <f>HYPERLINK("https://www.spark-marketing.ru/Card/Lot/72286533", "Оказание услуг по организации социального питания в СПб ГБПОУ ""МК № 2""")</f>
        <v>Оказание услуг по организации социального питания в СПб ГБПОУ "МК № 2"</v>
      </c>
      <c r="G11152" s="22" t="s">
        <v>117</v>
      </c>
      <c r="H11152" s="22" t="s">
        <v>117</v>
      </c>
      <c r="I11152" s="26">
        <v>43669.668055555601</v>
      </c>
      <c r="J11152" s="28" t="s">
        <v>51</v>
      </c>
      <c r="K11152" s="28" t="s">
        <v>51</v>
      </c>
      <c r="L11152" s="28" t="s">
        <v>51</v>
      </c>
      <c r="M11152" s="28" t="s">
        <v>51</v>
      </c>
      <c r="N11152" s="28" t="s">
        <v>51</v>
      </c>
    </row>
    <row r="11153" spans="1:14" hidden="1" outlineLevel="1" x14ac:dyDescent="0.2">
      <c r="A11153" s="23" t="str">
        <f>HYPERLINK("https://www.spark-marketing.ru/Card/Person/131104", "СПБ ГБПОУ ""МК № 2""")</f>
        <v>СПБ ГБПОУ "МК № 2"</v>
      </c>
      <c r="B11153" s="24" t="s">
        <v>15587</v>
      </c>
      <c r="C11153" s="25">
        <v>3496428</v>
      </c>
      <c r="D11153" s="22" t="s">
        <v>15588</v>
      </c>
      <c r="E11153" s="22" t="s">
        <v>48</v>
      </c>
      <c r="F11153" s="23" t="str">
        <f>HYPERLINK("https://www.spark-marketing.ru/Card/Lot/72286533", "Оказание услуг по организации социального питания в СПб ГБПОУ ""МК № 2""")</f>
        <v>Оказание услуг по организации социального питания в СПб ГБПОУ "МК № 2"</v>
      </c>
      <c r="G11153" s="22" t="s">
        <v>117</v>
      </c>
      <c r="H11153" s="22" t="s">
        <v>117</v>
      </c>
      <c r="I11153" s="26">
        <v>43669.668055555601</v>
      </c>
      <c r="J11153" s="23" t="str">
        <f>HYPERLINK("https://www.spark-marketing.ru/Card/Person/1842508", "ООО ""БЛЕСК ПЛЮС""")</f>
        <v>ООО "БЛЕСК ПЛЮС"</v>
      </c>
      <c r="K11153" s="24" t="s">
        <v>7445</v>
      </c>
      <c r="L11153" s="28" t="s">
        <v>51</v>
      </c>
      <c r="M11153" s="25">
        <v>152.15</v>
      </c>
      <c r="N11153" s="27">
        <v>0.99995648416040595</v>
      </c>
    </row>
    <row r="11154" spans="1:14" ht="12.75" hidden="1" outlineLevel="1" x14ac:dyDescent="0.2">
      <c r="A11154" s="23" t="str">
        <f>HYPERLINK("https://www.spark-marketing.ru/Card/Person/131104", "СПБ ГБПОУ ""МК № 2""")</f>
        <v>СПБ ГБПОУ "МК № 2"</v>
      </c>
      <c r="B11154" s="24" t="s">
        <v>15587</v>
      </c>
      <c r="C11154" s="25">
        <v>3496428</v>
      </c>
      <c r="D11154" s="22" t="s">
        <v>15588</v>
      </c>
      <c r="E11154" s="22" t="s">
        <v>48</v>
      </c>
      <c r="F11154" s="23" t="str">
        <f>HYPERLINK("https://www.spark-marketing.ru/Card/Lot/72286533", "Оказание услуг по организации социального питания в СПб ГБПОУ ""МК № 2""")</f>
        <v>Оказание услуг по организации социального питания в СПб ГБПОУ "МК № 2"</v>
      </c>
      <c r="G11154" s="22" t="s">
        <v>117</v>
      </c>
      <c r="H11154" s="22" t="s">
        <v>117</v>
      </c>
      <c r="I11154" s="26">
        <v>43669.668055555601</v>
      </c>
      <c r="J11154" s="23" t="str">
        <f>HYPERLINK("https://www.spark-marketing.ru/Card/Person/138742", "ООО ""ФУД-СЕРВИС""")</f>
        <v>ООО "ФУД-СЕРВИС"</v>
      </c>
      <c r="K11154" s="24" t="s">
        <v>15589</v>
      </c>
      <c r="L11154" s="22" t="s">
        <v>10</v>
      </c>
      <c r="M11154" s="25">
        <v>149</v>
      </c>
      <c r="N11154" s="27">
        <v>0.99995738507985865</v>
      </c>
    </row>
    <row r="11155" spans="1:14" x14ac:dyDescent="0.15">
      <c r="A11155" s="23" t="str">
        <f>HYPERLINK("https://www.spark-marketing.ru/Card/Person/1007935", "МУ СШОР АЛЬБЕРТА ДЕМЧЕНКО")</f>
        <v>МУ СШОР АЛЬБЕРТА ДЕМЧЕНКО</v>
      </c>
      <c r="B11155" s="24" t="s">
        <v>15590</v>
      </c>
      <c r="C11155" s="25">
        <v>221760</v>
      </c>
      <c r="D11155" s="22" t="s">
        <v>15591</v>
      </c>
      <c r="E11155" s="22" t="s">
        <v>48</v>
      </c>
      <c r="F11155" s="23" t="str">
        <f>HYPERLINK("https://www.spark-marketing.ru/Card/Lot/72284595", "Услуги по организации питания участников спортивно-массового мероприятия (спортивных сборов на период с 01.08.2019-24.08.2019 г.)")</f>
        <v>Услуги по организации питания участников спортивно-массового мероприятия (спортивных сборов на период с 01.08.2019-24.08.2019 г.)</v>
      </c>
      <c r="G11155" s="22" t="s">
        <v>49</v>
      </c>
      <c r="H11155" s="22" t="s">
        <v>721</v>
      </c>
      <c r="I11155" s="26">
        <v>43669.670081018499</v>
      </c>
      <c r="J11155" s="28" t="s">
        <v>51</v>
      </c>
      <c r="K11155" s="28" t="s">
        <v>51</v>
      </c>
      <c r="L11155" s="28" t="s">
        <v>51</v>
      </c>
      <c r="M11155" s="28" t="s">
        <v>51</v>
      </c>
      <c r="N11155" s="28" t="s">
        <v>51</v>
      </c>
    </row>
    <row r="11156" spans="1:14" x14ac:dyDescent="0.15">
      <c r="A11156" s="23" t="str">
        <f>HYPERLINK("https://www.spark-marketing.ru/Card/Person/239252", "ГБУ КК ""ЦОП ПО ФИГУРНОМУ КАТАНИЮ НА КОНЬКАХ""""")</f>
        <v>ГБУ КК "ЦОП ПО ФИГУРНОМУ КАТАНИЮ НА КОНЬКАХ""</v>
      </c>
      <c r="B11156" s="24" t="s">
        <v>15592</v>
      </c>
      <c r="C11156" s="25">
        <v>444400</v>
      </c>
      <c r="D11156" s="22" t="s">
        <v>15593</v>
      </c>
      <c r="E11156" s="22" t="s">
        <v>15594</v>
      </c>
      <c r="F11156" s="23" t="str">
        <f>HYPERLINK("https://www.spark-marketing.ru/Card/Lot/72304449", "Оказание услуг по организации участия во всероссийских спортивных мероприятиях в 2019 году")</f>
        <v>Оказание услуг по организации участия во всероссийских спортивных мероприятиях в 2019 году</v>
      </c>
      <c r="G11156" s="22" t="s">
        <v>104</v>
      </c>
      <c r="H11156" s="22" t="s">
        <v>969</v>
      </c>
      <c r="I11156" s="26">
        <v>43669.695231481499</v>
      </c>
      <c r="J11156" s="28" t="s">
        <v>51</v>
      </c>
      <c r="K11156" s="28" t="s">
        <v>51</v>
      </c>
      <c r="L11156" s="28" t="s">
        <v>51</v>
      </c>
      <c r="M11156" s="28" t="s">
        <v>51</v>
      </c>
      <c r="N11156" s="28" t="s">
        <v>51</v>
      </c>
    </row>
    <row r="11157" spans="1:14" hidden="1" outlineLevel="1" x14ac:dyDescent="0.2">
      <c r="A11157" s="23" t="str">
        <f>HYPERLINK("https://www.spark-marketing.ru/Card/Person/239252", "ГБУ КК ""ЦОП ПО ФИГУРНОМУ КАТАНИЮ НА КОНЬКАХ""""")</f>
        <v>ГБУ КК "ЦОП ПО ФИГУРНОМУ КАТАНИЮ НА КОНЬКАХ""</v>
      </c>
      <c r="B11157" s="24" t="s">
        <v>15592</v>
      </c>
      <c r="C11157" s="25">
        <v>444400</v>
      </c>
      <c r="D11157" s="22" t="s">
        <v>15593</v>
      </c>
      <c r="E11157" s="22" t="s">
        <v>15594</v>
      </c>
      <c r="F11157" s="23" t="str">
        <f>HYPERLINK("https://www.spark-marketing.ru/Card/Lot/72304449", "Оказание услуг по организации участия во всероссийских спортивных мероприятиях в 2019 году")</f>
        <v>Оказание услуг по организации участия во всероссийских спортивных мероприятиях в 2019 году</v>
      </c>
      <c r="G11157" s="22" t="s">
        <v>104</v>
      </c>
      <c r="H11157" s="22" t="s">
        <v>969</v>
      </c>
      <c r="I11157" s="26">
        <v>43669.695231481499</v>
      </c>
      <c r="J11157" s="23" t="str">
        <f>HYPERLINK("https://www.spark-marketing.ru/Card/Person/6633519", "ООО ""КОММЕРЦПРО""")</f>
        <v>ООО "КОММЕРЦПРО"</v>
      </c>
      <c r="K11157" s="24" t="s">
        <v>7403</v>
      </c>
      <c r="L11157" s="28" t="s">
        <v>51</v>
      </c>
      <c r="M11157" s="25">
        <v>2266</v>
      </c>
      <c r="N11157" s="27">
        <v>0.9949009900990099</v>
      </c>
    </row>
    <row r="11158" spans="1:14" ht="12.75" hidden="1" outlineLevel="1" x14ac:dyDescent="0.2">
      <c r="A11158" s="23" t="str">
        <f>HYPERLINK("https://www.spark-marketing.ru/Card/Person/239252", "ГБУ КК ""ЦОП ПО ФИГУРНОМУ КАТАНИЮ НА КОНЬКАХ""""")</f>
        <v>ГБУ КК "ЦОП ПО ФИГУРНОМУ КАТАНИЮ НА КОНЬКАХ""</v>
      </c>
      <c r="B11158" s="24" t="s">
        <v>15592</v>
      </c>
      <c r="C11158" s="25">
        <v>444400</v>
      </c>
      <c r="D11158" s="22" t="s">
        <v>15593</v>
      </c>
      <c r="E11158" s="22" t="s">
        <v>15594</v>
      </c>
      <c r="F11158" s="23" t="str">
        <f>HYPERLINK("https://www.spark-marketing.ru/Card/Lot/72304449", "Оказание услуг по организации участия во всероссийских спортивных мероприятиях в 2019 году")</f>
        <v>Оказание услуг по организации участия во всероссийских спортивных мероприятиях в 2019 году</v>
      </c>
      <c r="G11158" s="22" t="s">
        <v>104</v>
      </c>
      <c r="H11158" s="22" t="s">
        <v>969</v>
      </c>
      <c r="I11158" s="26">
        <v>43669.695231481499</v>
      </c>
      <c r="J11158" s="23" t="str">
        <f>HYPERLINK("https://www.spark-marketing.ru/Card/Person/6501154", "ООО ""ГИГАНТ""")</f>
        <v>ООО "ГИГАНТ"</v>
      </c>
      <c r="K11158" s="24" t="s">
        <v>9887</v>
      </c>
      <c r="L11158" s="22" t="s">
        <v>10</v>
      </c>
      <c r="M11158" s="25">
        <v>2252.75</v>
      </c>
      <c r="N11158" s="27">
        <v>0.99493080558055802</v>
      </c>
    </row>
    <row r="11159" spans="1:14" hidden="1" outlineLevel="1" x14ac:dyDescent="0.2">
      <c r="A11159" s="23" t="str">
        <f>HYPERLINK("https://www.spark-marketing.ru/Card/Person/239252", "ГБУ КК ""ЦОП ПО ФИГУРНОМУ КАТАНИЮ НА КОНЬКАХ""""")</f>
        <v>ГБУ КК "ЦОП ПО ФИГУРНОМУ КАТАНИЮ НА КОНЬКАХ""</v>
      </c>
      <c r="B11159" s="24" t="s">
        <v>15592</v>
      </c>
      <c r="C11159" s="25">
        <v>444400</v>
      </c>
      <c r="D11159" s="22" t="s">
        <v>15593</v>
      </c>
      <c r="E11159" s="22" t="s">
        <v>15594</v>
      </c>
      <c r="F11159" s="23" t="str">
        <f>HYPERLINK("https://www.spark-marketing.ru/Card/Lot/72304449", "Оказание услуг по организации участия во всероссийских спортивных мероприятиях в 2019 году")</f>
        <v>Оказание услуг по организации участия во всероссийских спортивных мероприятиях в 2019 году</v>
      </c>
      <c r="G11159" s="22" t="s">
        <v>104</v>
      </c>
      <c r="H11159" s="22" t="s">
        <v>969</v>
      </c>
      <c r="I11159" s="26">
        <v>43669.695231481499</v>
      </c>
      <c r="J11159" s="23" t="str">
        <f>HYPERLINK("https://www.spark-marketing.ru/Card/Person/6199231", "Полочанская Ольга Геннадьевна")</f>
        <v>Полочанская Ольга Геннадьевна</v>
      </c>
      <c r="K11159" s="24" t="s">
        <v>2484</v>
      </c>
      <c r="L11159" s="28" t="s">
        <v>51</v>
      </c>
      <c r="M11159" s="25">
        <v>2360</v>
      </c>
      <c r="N11159" s="27">
        <v>0.99468946894689469</v>
      </c>
    </row>
    <row r="11160" spans="1:14" x14ac:dyDescent="0.15">
      <c r="A11160" s="23" t="s">
        <v>114</v>
      </c>
      <c r="B11160" s="28" t="s">
        <v>51</v>
      </c>
      <c r="C11160" s="25">
        <v>5973111</v>
      </c>
      <c r="D11160" s="22" t="s">
        <v>15595</v>
      </c>
      <c r="E11160" s="22" t="s">
        <v>48</v>
      </c>
      <c r="F11160" s="23" t="str">
        <f t="shared" ref="F11160:F11168" si="305">HYPERLINK("https://www.spark-marketing.ru/Card/Lot/72286513", "Оказание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классов")</f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60" s="22" t="s">
        <v>51</v>
      </c>
      <c r="H11160" s="22" t="s">
        <v>51</v>
      </c>
      <c r="I11160" s="26">
        <v>43669.690277777801</v>
      </c>
      <c r="J11160" s="28" t="s">
        <v>51</v>
      </c>
      <c r="K11160" s="28" t="s">
        <v>51</v>
      </c>
      <c r="L11160" s="28" t="s">
        <v>51</v>
      </c>
      <c r="M11160" s="28" t="s">
        <v>51</v>
      </c>
      <c r="N11160" s="28" t="s">
        <v>51</v>
      </c>
    </row>
    <row r="11161" spans="1:14" hidden="1" outlineLevel="1" x14ac:dyDescent="0.15">
      <c r="A11161" s="23" t="str">
        <f>HYPERLINK("https://www.spark-marketing.ru/Card/Person/4352792", "МБОУ ШКОЛА № 14")</f>
        <v>МБОУ ШКОЛА № 14</v>
      </c>
      <c r="B11161" s="24" t="s">
        <v>15596</v>
      </c>
      <c r="C11161" s="25">
        <v>907710</v>
      </c>
      <c r="D11161" s="22" t="s">
        <v>15595</v>
      </c>
      <c r="E11161" s="22" t="s">
        <v>48</v>
      </c>
      <c r="F11161" s="23" t="str">
        <f t="shared" si="305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61" s="22" t="s">
        <v>108</v>
      </c>
      <c r="H11161" s="22" t="s">
        <v>287</v>
      </c>
      <c r="I11161" s="26">
        <v>43669.690277777801</v>
      </c>
      <c r="J11161" s="28" t="s">
        <v>51</v>
      </c>
      <c r="K11161" s="28" t="s">
        <v>51</v>
      </c>
      <c r="L11161" s="28" t="s">
        <v>51</v>
      </c>
      <c r="M11161" s="28" t="s">
        <v>51</v>
      </c>
      <c r="N11161" s="28" t="s">
        <v>51</v>
      </c>
    </row>
    <row r="11162" spans="1:14" hidden="1" outlineLevel="1" x14ac:dyDescent="0.15">
      <c r="A11162" s="23" t="str">
        <f>HYPERLINK("https://www.spark-marketing.ru/Card/Person/4372146", "МБОУ КОКТЕБЕЛЬСКАЯ ШКОЛА ИМ. И.И. БЕРЕЗНЮКА")</f>
        <v>МБОУ КОКТЕБЕЛЬСКАЯ ШКОЛА ИМ. И.И. БЕРЕЗНЮКА</v>
      </c>
      <c r="B11162" s="24" t="s">
        <v>15597</v>
      </c>
      <c r="C11162" s="25">
        <v>694647</v>
      </c>
      <c r="D11162" s="22" t="s">
        <v>15595</v>
      </c>
      <c r="E11162" s="22" t="s">
        <v>48</v>
      </c>
      <c r="F11162" s="23" t="str">
        <f t="shared" si="305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62" s="22" t="s">
        <v>108</v>
      </c>
      <c r="H11162" s="22" t="s">
        <v>287</v>
      </c>
      <c r="I11162" s="26">
        <v>43669.690277777801</v>
      </c>
      <c r="J11162" s="28" t="s">
        <v>51</v>
      </c>
      <c r="K11162" s="28" t="s">
        <v>51</v>
      </c>
      <c r="L11162" s="28" t="s">
        <v>51</v>
      </c>
      <c r="M11162" s="28" t="s">
        <v>51</v>
      </c>
      <c r="N11162" s="28" t="s">
        <v>51</v>
      </c>
    </row>
    <row r="11163" spans="1:14" hidden="1" outlineLevel="1" x14ac:dyDescent="0.15">
      <c r="A11163" s="23" t="str">
        <f>HYPERLINK("https://www.spark-marketing.ru/Card/Person/4372214", "МБОУ ШКОЛА № 3")</f>
        <v>МБОУ ШКОЛА № 3</v>
      </c>
      <c r="B11163" s="24" t="s">
        <v>15598</v>
      </c>
      <c r="C11163" s="25">
        <v>1271268</v>
      </c>
      <c r="D11163" s="22" t="s">
        <v>15595</v>
      </c>
      <c r="E11163" s="22" t="s">
        <v>48</v>
      </c>
      <c r="F11163" s="23" t="str">
        <f t="shared" si="305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63" s="22" t="s">
        <v>108</v>
      </c>
      <c r="H11163" s="22" t="s">
        <v>287</v>
      </c>
      <c r="I11163" s="26">
        <v>43669.690277777801</v>
      </c>
      <c r="J11163" s="28" t="s">
        <v>51</v>
      </c>
      <c r="K11163" s="28" t="s">
        <v>51</v>
      </c>
      <c r="L11163" s="28" t="s">
        <v>51</v>
      </c>
      <c r="M11163" s="28" t="s">
        <v>51</v>
      </c>
      <c r="N11163" s="28" t="s">
        <v>51</v>
      </c>
    </row>
    <row r="11164" spans="1:14" hidden="1" outlineLevel="1" x14ac:dyDescent="0.15">
      <c r="A11164" s="23" t="str">
        <f>HYPERLINK("https://www.spark-marketing.ru/Card/Person/4372552", "МБОУ ШКОЛА № 16")</f>
        <v>МБОУ ШКОЛА № 16</v>
      </c>
      <c r="B11164" s="24" t="s">
        <v>15599</v>
      </c>
      <c r="C11164" s="25">
        <v>395079</v>
      </c>
      <c r="D11164" s="22" t="s">
        <v>15595</v>
      </c>
      <c r="E11164" s="22" t="s">
        <v>48</v>
      </c>
      <c r="F11164" s="23" t="str">
        <f t="shared" si="305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64" s="22" t="s">
        <v>108</v>
      </c>
      <c r="H11164" s="22" t="s">
        <v>287</v>
      </c>
      <c r="I11164" s="26">
        <v>43669.690277777801</v>
      </c>
      <c r="J11164" s="28" t="s">
        <v>51</v>
      </c>
      <c r="K11164" s="28" t="s">
        <v>51</v>
      </c>
      <c r="L11164" s="28" t="s">
        <v>51</v>
      </c>
      <c r="M11164" s="28" t="s">
        <v>51</v>
      </c>
      <c r="N11164" s="28" t="s">
        <v>51</v>
      </c>
    </row>
    <row r="11165" spans="1:14" hidden="1" outlineLevel="1" x14ac:dyDescent="0.15">
      <c r="A11165" s="23" t="str">
        <f>HYPERLINK("https://www.spark-marketing.ru/Card/Person/4373171", "МБОУ ШКОЛА №9")</f>
        <v>МБОУ ШКОЛА №9</v>
      </c>
      <c r="B11165" s="24" t="s">
        <v>15600</v>
      </c>
      <c r="C11165" s="25">
        <v>1766361</v>
      </c>
      <c r="D11165" s="22" t="s">
        <v>15595</v>
      </c>
      <c r="E11165" s="22" t="s">
        <v>48</v>
      </c>
      <c r="F11165" s="23" t="str">
        <f t="shared" si="305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65" s="22" t="s">
        <v>108</v>
      </c>
      <c r="H11165" s="22" t="s">
        <v>287</v>
      </c>
      <c r="I11165" s="26">
        <v>43669.690277777801</v>
      </c>
      <c r="J11165" s="28" t="s">
        <v>51</v>
      </c>
      <c r="K11165" s="28" t="s">
        <v>51</v>
      </c>
      <c r="L11165" s="28" t="s">
        <v>51</v>
      </c>
      <c r="M11165" s="28" t="s">
        <v>51</v>
      </c>
      <c r="N11165" s="28" t="s">
        <v>51</v>
      </c>
    </row>
    <row r="11166" spans="1:14" hidden="1" outlineLevel="1" x14ac:dyDescent="0.15">
      <c r="A11166" s="23" t="str">
        <f>HYPERLINK("https://www.spark-marketing.ru/Card/Person/4378834", "МБОУ ШКОЛА № 19")</f>
        <v>МБОУ ШКОЛА № 19</v>
      </c>
      <c r="B11166" s="24" t="s">
        <v>15601</v>
      </c>
      <c r="C11166" s="25">
        <v>938046</v>
      </c>
      <c r="D11166" s="22" t="s">
        <v>15595</v>
      </c>
      <c r="E11166" s="22" t="s">
        <v>48</v>
      </c>
      <c r="F11166" s="23" t="str">
        <f t="shared" si="305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66" s="22" t="s">
        <v>108</v>
      </c>
      <c r="H11166" s="22" t="s">
        <v>287</v>
      </c>
      <c r="I11166" s="26">
        <v>43669.690277777801</v>
      </c>
      <c r="J11166" s="28" t="s">
        <v>51</v>
      </c>
      <c r="K11166" s="28" t="s">
        <v>51</v>
      </c>
      <c r="L11166" s="28" t="s">
        <v>51</v>
      </c>
      <c r="M11166" s="28" t="s">
        <v>51</v>
      </c>
      <c r="N11166" s="28" t="s">
        <v>51</v>
      </c>
    </row>
    <row r="11167" spans="1:14" hidden="1" outlineLevel="1" x14ac:dyDescent="0.2">
      <c r="A11167" s="28" t="s">
        <v>51</v>
      </c>
      <c r="B11167" s="28" t="s">
        <v>51</v>
      </c>
      <c r="C11167" s="28" t="s">
        <v>51</v>
      </c>
      <c r="D11167" s="22" t="s">
        <v>15595</v>
      </c>
      <c r="E11167" s="22" t="s">
        <v>48</v>
      </c>
      <c r="F11167" s="23" t="str">
        <f t="shared" si="305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67" s="22" t="s">
        <v>51</v>
      </c>
      <c r="H11167" s="22" t="s">
        <v>51</v>
      </c>
      <c r="I11167" s="26">
        <v>43669.690277777801</v>
      </c>
      <c r="J11167" s="23" t="str">
        <f>HYPERLINK("https://www.spark-marketing.ru/Card/Person/4856360", "ООО ""МЕЛИССА""")</f>
        <v>ООО "МЕЛИССА"</v>
      </c>
      <c r="K11167" s="24" t="s">
        <v>4595</v>
      </c>
      <c r="L11167" s="28" t="s">
        <v>51</v>
      </c>
      <c r="M11167" s="25">
        <v>4479833.25</v>
      </c>
      <c r="N11167" s="27">
        <v>0.25</v>
      </c>
    </row>
    <row r="11168" spans="1:14" hidden="1" outlineLevel="1" x14ac:dyDescent="0.2">
      <c r="A11168" s="28" t="s">
        <v>51</v>
      </c>
      <c r="B11168" s="28" t="s">
        <v>51</v>
      </c>
      <c r="C11168" s="28" t="s">
        <v>51</v>
      </c>
      <c r="D11168" s="22" t="s">
        <v>15595</v>
      </c>
      <c r="E11168" s="22" t="s">
        <v>48</v>
      </c>
      <c r="F11168" s="23" t="str">
        <f t="shared" si="305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68" s="22" t="s">
        <v>51</v>
      </c>
      <c r="H11168" s="22" t="s">
        <v>51</v>
      </c>
      <c r="I11168" s="26">
        <v>43669.690277777801</v>
      </c>
      <c r="J11168" s="23" t="str">
        <f>HYPERLINK("https://www.spark-marketing.ru/Card/Person/1763042", "МУП ""ШКОЛЬНЫЙ КОМБИНАТ""")</f>
        <v>МУП "ШКОЛЬНЫЙ КОМБИНАТ"</v>
      </c>
      <c r="K11168" s="24" t="s">
        <v>15602</v>
      </c>
      <c r="L11168" s="22" t="s">
        <v>10</v>
      </c>
      <c r="M11168" s="25">
        <v>3404673</v>
      </c>
      <c r="N11168" s="27">
        <v>0.43000004520257534</v>
      </c>
    </row>
    <row r="11169" spans="1:14" x14ac:dyDescent="0.15">
      <c r="A11169" s="23" t="str">
        <f>HYPERLINK("https://www.spark-marketing.ru/Card/Person/1007935", "МУ СШОР АЛЬБЕРТА ДЕМЧЕНКО")</f>
        <v>МУ СШОР АЛЬБЕРТА ДЕМЧЕНКО</v>
      </c>
      <c r="B11169" s="24" t="s">
        <v>15590</v>
      </c>
      <c r="C11169" s="25">
        <v>277200</v>
      </c>
      <c r="D11169" s="22" t="s">
        <v>15603</v>
      </c>
      <c r="E11169" s="22" t="s">
        <v>48</v>
      </c>
      <c r="F11169" s="23" t="str">
        <f>HYPERLINK("https://www.spark-marketing.ru/Card/Lot/72284589", "Услуги по организации питания участников спортивно-массового мероприятия")</f>
        <v>Услуги по организации питания участников спортивно-массового мероприятия</v>
      </c>
      <c r="G11169" s="22" t="s">
        <v>49</v>
      </c>
      <c r="H11169" s="22" t="s">
        <v>721</v>
      </c>
      <c r="I11169" s="26">
        <v>43669.669976851903</v>
      </c>
      <c r="J11169" s="28" t="s">
        <v>51</v>
      </c>
      <c r="K11169" s="28" t="s">
        <v>51</v>
      </c>
      <c r="L11169" s="28" t="s">
        <v>51</v>
      </c>
      <c r="M11169" s="28" t="s">
        <v>51</v>
      </c>
      <c r="N11169" s="28" t="s">
        <v>51</v>
      </c>
    </row>
    <row r="11170" spans="1:14" x14ac:dyDescent="0.15">
      <c r="A11170" s="23" t="str">
        <f>HYPERLINK("https://www.spark-marketing.ru/Card/Person/102694", "МУ МВД РОССИИ ""ИРКУТСКОЕ""")</f>
        <v>МУ МВД РОССИИ "ИРКУТСКОЕ"</v>
      </c>
      <c r="B11170" s="24" t="s">
        <v>2766</v>
      </c>
      <c r="C11170" s="25">
        <v>320000</v>
      </c>
      <c r="D11170" s="22" t="s">
        <v>15604</v>
      </c>
      <c r="E11170" s="22" t="s">
        <v>48</v>
      </c>
      <c r="F11170" s="23" t="str">
        <f>HYPERLINK("https://www.spark-marketing.ru/Card/Lot/72275736", "Прочая закупка товаров, работ и услуг (оказание услуг по организации комплексного питания для лиц, содержащихся в изоляторе временного содержания подозреваемых и обвиняемых МУ МВД России «Иркутское»)")</f>
        <v>Прочая закупка товаров, работ и услуг (оказание услуг по организации комплексного питания для лиц, содержащихся в изоляторе временного содержания подозреваемых и обвиняемых МУ МВД России «Иркутское»)</v>
      </c>
      <c r="G11170" s="22" t="s">
        <v>263</v>
      </c>
      <c r="H11170" s="22" t="s">
        <v>2768</v>
      </c>
      <c r="I11170" s="26">
        <v>43669.699594907397</v>
      </c>
      <c r="J11170" s="23" t="str">
        <f>HYPERLINK("https://www.spark-marketing.ru/Card/Person/6676603", "Филус Тамара Ивановна")</f>
        <v>Филус Тамара Ивановна</v>
      </c>
      <c r="K11170" s="24" t="s">
        <v>15605</v>
      </c>
      <c r="L11170" s="22" t="s">
        <v>10</v>
      </c>
      <c r="M11170" s="28" t="s">
        <v>51</v>
      </c>
      <c r="N11170" s="28" t="s">
        <v>51</v>
      </c>
    </row>
    <row r="11171" spans="1:14" x14ac:dyDescent="0.15">
      <c r="A11171" s="23" t="str">
        <f>HYPERLINK("https://www.spark-marketing.ru/Card/Person/1778207", "МАУДО «ЦТДТ»")</f>
        <v>МАУДО «ЦТДТ»</v>
      </c>
      <c r="B11171" s="24" t="s">
        <v>15606</v>
      </c>
      <c r="C11171" s="25">
        <v>336000</v>
      </c>
      <c r="D11171" s="22" t="s">
        <v>15607</v>
      </c>
      <c r="E11171" s="22" t="s">
        <v>362</v>
      </c>
      <c r="F11171" s="23" t="str">
        <f>HYPERLINK("https://www.spark-marketing.ru/Card/Lot/72293050", "Организация питания детей в загородном лагере 3 смена")</f>
        <v>Организация питания детей в загородном лагере 3 смена</v>
      </c>
      <c r="G11171" s="22" t="s">
        <v>766</v>
      </c>
      <c r="H11171" s="22" t="s">
        <v>766</v>
      </c>
      <c r="I11171" s="26">
        <v>43669.694224537001</v>
      </c>
      <c r="J11171" s="28" t="s">
        <v>51</v>
      </c>
      <c r="K11171" s="28" t="s">
        <v>51</v>
      </c>
      <c r="L11171" s="28" t="s">
        <v>51</v>
      </c>
      <c r="M11171" s="28" t="s">
        <v>51</v>
      </c>
      <c r="N11171" s="28" t="s">
        <v>51</v>
      </c>
    </row>
    <row r="11172" spans="1:14" x14ac:dyDescent="0.15">
      <c r="A11172" s="23" t="str">
        <f>HYPERLINK("https://www.spark-marketing.ru/Card/Person/1007935", "МУ СШОР АЛЬБЕРТА ДЕМЧЕНКО")</f>
        <v>МУ СШОР АЛЬБЕРТА ДЕМЧЕНКО</v>
      </c>
      <c r="B11172" s="24" t="s">
        <v>15590</v>
      </c>
      <c r="C11172" s="25">
        <v>388080</v>
      </c>
      <c r="D11172" s="22" t="s">
        <v>15608</v>
      </c>
      <c r="E11172" s="22" t="s">
        <v>48</v>
      </c>
      <c r="F11172" s="23" t="str">
        <f>HYPERLINK("https://www.spark-marketing.ru/Card/Lot/72284594", "Оказание услуг по организации питания в лагере с дневным пребыванием детей с двухразовым питанием при МУ СШОР Альберта Демченко")</f>
        <v>Оказание услуг по организации питания в лагере с дневным пребыванием детей с двухразовым питанием при МУ СШОР Альберта Демченко</v>
      </c>
      <c r="G11172" s="22" t="s">
        <v>49</v>
      </c>
      <c r="H11172" s="22" t="s">
        <v>721</v>
      </c>
      <c r="I11172" s="26">
        <v>43669.670081018499</v>
      </c>
      <c r="J11172" s="28" t="s">
        <v>51</v>
      </c>
      <c r="K11172" s="28" t="s">
        <v>51</v>
      </c>
      <c r="L11172" s="28" t="s">
        <v>51</v>
      </c>
      <c r="M11172" s="28" t="s">
        <v>51</v>
      </c>
      <c r="N11172" s="28" t="s">
        <v>51</v>
      </c>
    </row>
    <row r="11173" spans="1:14" x14ac:dyDescent="0.15">
      <c r="A11173" s="23" t="s">
        <v>114</v>
      </c>
      <c r="B11173" s="28" t="s">
        <v>51</v>
      </c>
      <c r="C11173" s="25">
        <v>5182005</v>
      </c>
      <c r="D11173" s="22" t="s">
        <v>15609</v>
      </c>
      <c r="E11173" s="22" t="s">
        <v>48</v>
      </c>
      <c r="F11173" s="23" t="str">
        <f t="shared" ref="F11173:F11182" si="306">HYPERLINK("https://www.spark-marketing.ru/Card/Lot/72284712", "Оказание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классов")</f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73" s="22" t="s">
        <v>51</v>
      </c>
      <c r="H11173" s="22" t="s">
        <v>51</v>
      </c>
      <c r="I11173" s="26">
        <v>43669.681250000001</v>
      </c>
      <c r="J11173" s="28" t="s">
        <v>51</v>
      </c>
      <c r="K11173" s="28" t="s">
        <v>51</v>
      </c>
      <c r="L11173" s="28" t="s">
        <v>51</v>
      </c>
      <c r="M11173" s="28" t="s">
        <v>51</v>
      </c>
      <c r="N11173" s="28" t="s">
        <v>51</v>
      </c>
    </row>
    <row r="11174" spans="1:14" hidden="1" outlineLevel="1" x14ac:dyDescent="0.15">
      <c r="A11174" s="23" t="str">
        <f>HYPERLINK("https://www.spark-marketing.ru/Card/Person/4372227", "МБОУ ШКОЛА №18")</f>
        <v>МБОУ ШКОЛА №18</v>
      </c>
      <c r="B11174" s="24" t="s">
        <v>15610</v>
      </c>
      <c r="C11174" s="25">
        <v>310707</v>
      </c>
      <c r="D11174" s="22" t="s">
        <v>15609</v>
      </c>
      <c r="E11174" s="22" t="s">
        <v>48</v>
      </c>
      <c r="F11174" s="23" t="str">
        <f t="shared" si="306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74" s="22" t="s">
        <v>108</v>
      </c>
      <c r="H11174" s="22" t="s">
        <v>287</v>
      </c>
      <c r="I11174" s="26">
        <v>43669.681250000001</v>
      </c>
      <c r="J11174" s="28" t="s">
        <v>51</v>
      </c>
      <c r="K11174" s="28" t="s">
        <v>51</v>
      </c>
      <c r="L11174" s="28" t="s">
        <v>51</v>
      </c>
      <c r="M11174" s="28" t="s">
        <v>51</v>
      </c>
      <c r="N11174" s="28" t="s">
        <v>51</v>
      </c>
    </row>
    <row r="11175" spans="1:14" hidden="1" outlineLevel="1" x14ac:dyDescent="0.15">
      <c r="A11175" s="23" t="str">
        <f>HYPERLINK("https://www.spark-marketing.ru/Card/Person/4372540", "МБОУ ШКОЛА № 15")</f>
        <v>МБОУ ШКОЛА № 15</v>
      </c>
      <c r="B11175" s="24" t="s">
        <v>15611</v>
      </c>
      <c r="C11175" s="25">
        <v>1499262</v>
      </c>
      <c r="D11175" s="22" t="s">
        <v>15609</v>
      </c>
      <c r="E11175" s="22" t="s">
        <v>48</v>
      </c>
      <c r="F11175" s="23" t="str">
        <f t="shared" si="306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75" s="22" t="s">
        <v>108</v>
      </c>
      <c r="H11175" s="22" t="s">
        <v>108</v>
      </c>
      <c r="I11175" s="26">
        <v>43669.681250000001</v>
      </c>
      <c r="J11175" s="28" t="s">
        <v>51</v>
      </c>
      <c r="K11175" s="28" t="s">
        <v>51</v>
      </c>
      <c r="L11175" s="28" t="s">
        <v>51</v>
      </c>
      <c r="M11175" s="28" t="s">
        <v>51</v>
      </c>
      <c r="N11175" s="28" t="s">
        <v>51</v>
      </c>
    </row>
    <row r="11176" spans="1:14" hidden="1" outlineLevel="1" x14ac:dyDescent="0.15">
      <c r="A11176" s="23" t="str">
        <f>HYPERLINK("https://www.spark-marketing.ru/Card/Person/4372853", "МБОУ ШКОЛА № 4")</f>
        <v>МБОУ ШКОЛА № 4</v>
      </c>
      <c r="B11176" s="24" t="s">
        <v>15612</v>
      </c>
      <c r="C11176" s="25">
        <v>686826</v>
      </c>
      <c r="D11176" s="22" t="s">
        <v>15609</v>
      </c>
      <c r="E11176" s="22" t="s">
        <v>48</v>
      </c>
      <c r="F11176" s="23" t="str">
        <f t="shared" si="306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76" s="22" t="s">
        <v>108</v>
      </c>
      <c r="H11176" s="22" t="s">
        <v>287</v>
      </c>
      <c r="I11176" s="26">
        <v>43669.681250000001</v>
      </c>
      <c r="J11176" s="28" t="s">
        <v>51</v>
      </c>
      <c r="K11176" s="28" t="s">
        <v>51</v>
      </c>
      <c r="L11176" s="28" t="s">
        <v>51</v>
      </c>
      <c r="M11176" s="28" t="s">
        <v>51</v>
      </c>
      <c r="N11176" s="28" t="s">
        <v>51</v>
      </c>
    </row>
    <row r="11177" spans="1:14" hidden="1" outlineLevel="1" x14ac:dyDescent="0.15">
      <c r="A11177" s="23" t="str">
        <f>HYPERLINK("https://www.spark-marketing.ru/Card/Person/4373172", "МБОУ- ГИМНАЗИЯ № 5")</f>
        <v>МБОУ- ГИМНАЗИЯ № 5</v>
      </c>
      <c r="B11177" s="24" t="s">
        <v>15613</v>
      </c>
      <c r="C11177" s="25">
        <v>1008198</v>
      </c>
      <c r="D11177" s="22" t="s">
        <v>15609</v>
      </c>
      <c r="E11177" s="22" t="s">
        <v>48</v>
      </c>
      <c r="F11177" s="23" t="str">
        <f t="shared" si="306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77" s="22" t="s">
        <v>108</v>
      </c>
      <c r="H11177" s="22" t="s">
        <v>287</v>
      </c>
      <c r="I11177" s="26">
        <v>43669.681250000001</v>
      </c>
      <c r="J11177" s="28" t="s">
        <v>51</v>
      </c>
      <c r="K11177" s="28" t="s">
        <v>51</v>
      </c>
      <c r="L11177" s="28" t="s">
        <v>51</v>
      </c>
      <c r="M11177" s="28" t="s">
        <v>51</v>
      </c>
      <c r="N11177" s="28" t="s">
        <v>51</v>
      </c>
    </row>
    <row r="11178" spans="1:14" hidden="1" outlineLevel="1" x14ac:dyDescent="0.15">
      <c r="A11178" s="23" t="str">
        <f>HYPERLINK("https://www.spark-marketing.ru/Card/Person/4373179", "МБОУ ШКОЛА № 6")</f>
        <v>МБОУ ШКОЛА № 6</v>
      </c>
      <c r="B11178" s="24" t="s">
        <v>15614</v>
      </c>
      <c r="C11178" s="25">
        <v>475896</v>
      </c>
      <c r="D11178" s="22" t="s">
        <v>15609</v>
      </c>
      <c r="E11178" s="22" t="s">
        <v>48</v>
      </c>
      <c r="F11178" s="23" t="str">
        <f t="shared" si="306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78" s="22" t="s">
        <v>108</v>
      </c>
      <c r="H11178" s="22" t="s">
        <v>287</v>
      </c>
      <c r="I11178" s="26">
        <v>43669.681250000001</v>
      </c>
      <c r="J11178" s="28" t="s">
        <v>51</v>
      </c>
      <c r="K11178" s="28" t="s">
        <v>51</v>
      </c>
      <c r="L11178" s="28" t="s">
        <v>51</v>
      </c>
      <c r="M11178" s="28" t="s">
        <v>51</v>
      </c>
      <c r="N11178" s="28" t="s">
        <v>51</v>
      </c>
    </row>
    <row r="11179" spans="1:14" hidden="1" outlineLevel="1" x14ac:dyDescent="0.15">
      <c r="A11179" s="23" t="str">
        <f>HYPERLINK("https://www.spark-marketing.ru/Card/Person/4373588", "МБОУ ЩЕБЕТОВСКАЯ ШКОЛА ИМ. М.А. МАКЕДОНСКОГО")</f>
        <v>МБОУ ЩЕБЕТОВСКАЯ ШКОЛА ИМ. М.А. МАКЕДОНСКОГО</v>
      </c>
      <c r="B11179" s="24" t="s">
        <v>15615</v>
      </c>
      <c r="C11179" s="25">
        <v>801534</v>
      </c>
      <c r="D11179" s="22" t="s">
        <v>15609</v>
      </c>
      <c r="E11179" s="22" t="s">
        <v>48</v>
      </c>
      <c r="F11179" s="23" t="str">
        <f t="shared" si="306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79" s="22" t="s">
        <v>108</v>
      </c>
      <c r="H11179" s="22" t="s">
        <v>287</v>
      </c>
      <c r="I11179" s="26">
        <v>43669.681250000001</v>
      </c>
      <c r="J11179" s="28" t="s">
        <v>51</v>
      </c>
      <c r="K11179" s="28" t="s">
        <v>51</v>
      </c>
      <c r="L11179" s="28" t="s">
        <v>51</v>
      </c>
      <c r="M11179" s="28" t="s">
        <v>51</v>
      </c>
      <c r="N11179" s="28" t="s">
        <v>51</v>
      </c>
    </row>
    <row r="11180" spans="1:14" hidden="1" outlineLevel="1" x14ac:dyDescent="0.15">
      <c r="A11180" s="23" t="str">
        <f>HYPERLINK("https://www.spark-marketing.ru/Card/Person/4373734", "МБОУ ШКОЛА № 8")</f>
        <v>МБОУ ШКОЛА № 8</v>
      </c>
      <c r="B11180" s="24" t="s">
        <v>15616</v>
      </c>
      <c r="C11180" s="25">
        <v>399582</v>
      </c>
      <c r="D11180" s="22" t="s">
        <v>15609</v>
      </c>
      <c r="E11180" s="22" t="s">
        <v>48</v>
      </c>
      <c r="F11180" s="23" t="str">
        <f t="shared" si="306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80" s="22" t="s">
        <v>108</v>
      </c>
      <c r="H11180" s="22" t="s">
        <v>287</v>
      </c>
      <c r="I11180" s="26">
        <v>43669.681250000001</v>
      </c>
      <c r="J11180" s="28" t="s">
        <v>51</v>
      </c>
      <c r="K11180" s="28" t="s">
        <v>51</v>
      </c>
      <c r="L11180" s="28" t="s">
        <v>51</v>
      </c>
      <c r="M11180" s="28" t="s">
        <v>51</v>
      </c>
      <c r="N11180" s="28" t="s">
        <v>51</v>
      </c>
    </row>
    <row r="11181" spans="1:14" hidden="1" outlineLevel="1" x14ac:dyDescent="0.2">
      <c r="A11181" s="28" t="s">
        <v>51</v>
      </c>
      <c r="B11181" s="28" t="s">
        <v>51</v>
      </c>
      <c r="C11181" s="28" t="s">
        <v>51</v>
      </c>
      <c r="D11181" s="22" t="s">
        <v>15609</v>
      </c>
      <c r="E11181" s="22" t="s">
        <v>48</v>
      </c>
      <c r="F11181" s="23" t="str">
        <f t="shared" si="306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81" s="22" t="s">
        <v>51</v>
      </c>
      <c r="H11181" s="22" t="s">
        <v>51</v>
      </c>
      <c r="I11181" s="26">
        <v>43669.681250000001</v>
      </c>
      <c r="J11181" s="23" t="str">
        <f>HYPERLINK("https://www.spark-marketing.ru/Card/Person/4856360", "ООО ""МЕЛИССА""")</f>
        <v>ООО "МЕЛИССА"</v>
      </c>
      <c r="K11181" s="24" t="s">
        <v>4595</v>
      </c>
      <c r="L11181" s="28" t="s">
        <v>51</v>
      </c>
      <c r="M11181" s="25">
        <v>3886503.75</v>
      </c>
      <c r="N11181" s="27">
        <v>0.25</v>
      </c>
    </row>
    <row r="11182" spans="1:14" hidden="1" outlineLevel="1" x14ac:dyDescent="0.2">
      <c r="A11182" s="28" t="s">
        <v>51</v>
      </c>
      <c r="B11182" s="28" t="s">
        <v>51</v>
      </c>
      <c r="C11182" s="28" t="s">
        <v>51</v>
      </c>
      <c r="D11182" s="22" t="s">
        <v>15609</v>
      </c>
      <c r="E11182" s="22" t="s">
        <v>48</v>
      </c>
      <c r="F11182" s="23" t="str">
        <f t="shared" si="306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182" s="22" t="s">
        <v>51</v>
      </c>
      <c r="H11182" s="22" t="s">
        <v>51</v>
      </c>
      <c r="I11182" s="26">
        <v>43669.681250000001</v>
      </c>
      <c r="J11182" s="23" t="str">
        <f>HYPERLINK("https://www.spark-marketing.ru/Card/Person/1763042", "МУП ""ШКОЛЬНЫЙ КОМБИНАТ""")</f>
        <v>МУП "ШКОЛЬНЫЙ КОМБИНАТ"</v>
      </c>
      <c r="K11182" s="24" t="s">
        <v>15602</v>
      </c>
      <c r="L11182" s="22" t="s">
        <v>10</v>
      </c>
      <c r="M11182" s="25">
        <v>3368303</v>
      </c>
      <c r="N11182" s="27">
        <v>0.35000004824387471</v>
      </c>
    </row>
    <row r="11183" spans="1:14" x14ac:dyDescent="0.15">
      <c r="A11183" s="23" t="str">
        <f>HYPERLINK("https://www.spark-marketing.ru/Card/Person/1616713", "ПАО ""ТМ""")</f>
        <v>ПАО "ТМ"</v>
      </c>
      <c r="B11183" s="24" t="s">
        <v>14364</v>
      </c>
      <c r="C11183" s="25">
        <v>490000</v>
      </c>
      <c r="D11183" s="22" t="s">
        <v>15617</v>
      </c>
      <c r="E11183" s="22" t="s">
        <v>362</v>
      </c>
      <c r="F11183" s="23" t="str">
        <f>HYPERLINK("https://www.spark-marketing.ru/Card/Lot/72293014", "Оказание услуг по организации питания клиентов обособленного подразделения Яхт-клуб ""Рубин"" для нужд ПАО «ТМ»")</f>
        <v>Оказание услуг по организации питания клиентов обособленного подразделения Яхт-клуб "Рубин" для нужд ПАО «ТМ»</v>
      </c>
      <c r="G11183" s="22" t="s">
        <v>766</v>
      </c>
      <c r="H11183" s="22" t="s">
        <v>766</v>
      </c>
      <c r="I11183" s="26">
        <v>43669.706296296303</v>
      </c>
      <c r="J11183" s="28" t="s">
        <v>51</v>
      </c>
      <c r="K11183" s="28" t="s">
        <v>51</v>
      </c>
      <c r="L11183" s="22" t="s">
        <v>10</v>
      </c>
      <c r="M11183" s="28" t="s">
        <v>51</v>
      </c>
      <c r="N11183" s="28" t="s">
        <v>51</v>
      </c>
    </row>
    <row r="11184" spans="1:14" x14ac:dyDescent="0.15">
      <c r="A11184" s="23" t="str">
        <f>HYPERLINK("https://www.spark-marketing.ru/Card/Person/59719", "ГБУЗ ""ПОКОД""")</f>
        <v>ГБУЗ "ПОКОД"</v>
      </c>
      <c r="B11184" s="24" t="s">
        <v>15618</v>
      </c>
      <c r="C11184" s="25">
        <v>1300000</v>
      </c>
      <c r="D11184" s="22" t="s">
        <v>15619</v>
      </c>
      <c r="E11184" s="22" t="s">
        <v>583</v>
      </c>
      <c r="F11184" s="23" t="str">
        <f>HYPERLINK("https://www.spark-marketing.ru/Card/Lot/72287632", "Услуги по ремонту блока питания и оси градиентного усилителя магнитно-резонансного томографа (идентификационный номер: 716-А-ГЗ)")</f>
        <v>Услуги по ремонту блока питания и оси градиентного усилителя магнитно-резонансного томографа (идентификационный номер: 716-А-ГЗ)</v>
      </c>
      <c r="G11184" s="22" t="s">
        <v>415</v>
      </c>
      <c r="H11184" s="22" t="s">
        <v>4542</v>
      </c>
      <c r="I11184" s="26">
        <v>43669.677361111098</v>
      </c>
      <c r="J11184" s="28" t="s">
        <v>51</v>
      </c>
      <c r="K11184" s="28" t="s">
        <v>51</v>
      </c>
      <c r="L11184" s="28" t="s">
        <v>51</v>
      </c>
      <c r="M11184" s="28" t="s">
        <v>51</v>
      </c>
      <c r="N11184" s="28" t="s">
        <v>51</v>
      </c>
    </row>
    <row r="11185" spans="1:14" hidden="1" outlineLevel="1" x14ac:dyDescent="0.2">
      <c r="A11185" s="23" t="str">
        <f>HYPERLINK("https://www.spark-marketing.ru/Card/Person/59719", "ГБУЗ ""ПОКОД""")</f>
        <v>ГБУЗ "ПОКОД"</v>
      </c>
      <c r="B11185" s="24" t="s">
        <v>15618</v>
      </c>
      <c r="C11185" s="25">
        <v>1300000</v>
      </c>
      <c r="D11185" s="22" t="s">
        <v>15619</v>
      </c>
      <c r="E11185" s="22" t="s">
        <v>583</v>
      </c>
      <c r="F11185" s="23" t="str">
        <f>HYPERLINK("https://www.spark-marketing.ru/Card/Lot/72287632", "Услуги по ремонту блока питания и оси градиентного усилителя магнитно-резонансного томографа (идентификационный номер: 716-А-ГЗ)")</f>
        <v>Услуги по ремонту блока питания и оси градиентного усилителя магнитно-резонансного томографа (идентификационный номер: 716-А-ГЗ)</v>
      </c>
      <c r="G11185" s="22" t="s">
        <v>415</v>
      </c>
      <c r="H11185" s="22" t="s">
        <v>4542</v>
      </c>
      <c r="I11185" s="26">
        <v>43669.677361111098</v>
      </c>
      <c r="J11185" s="23" t="str">
        <f>HYPERLINK("https://www.spark-marketing.ru/Card/Person/2568638", "ООО ""РУСТОМОГРАФ""")</f>
        <v>ООО "РУСТОМОГРАФ"</v>
      </c>
      <c r="K11185" s="24" t="s">
        <v>15620</v>
      </c>
      <c r="L11185" s="28" t="s">
        <v>51</v>
      </c>
      <c r="M11185" s="25">
        <v>1235000</v>
      </c>
      <c r="N11185" s="27">
        <v>0.05</v>
      </c>
    </row>
    <row r="11186" spans="1:14" ht="12.75" hidden="1" outlineLevel="1" x14ac:dyDescent="0.2">
      <c r="A11186" s="23" t="str">
        <f>HYPERLINK("https://www.spark-marketing.ru/Card/Person/59719", "ГБУЗ ""ПОКОД""")</f>
        <v>ГБУЗ "ПОКОД"</v>
      </c>
      <c r="B11186" s="24" t="s">
        <v>15618</v>
      </c>
      <c r="C11186" s="25">
        <v>1300000</v>
      </c>
      <c r="D11186" s="22" t="s">
        <v>15619</v>
      </c>
      <c r="E11186" s="22" t="s">
        <v>583</v>
      </c>
      <c r="F11186" s="23" t="str">
        <f>HYPERLINK("https://www.spark-marketing.ru/Card/Lot/72287632", "Услуги по ремонту блока питания и оси градиентного усилителя магнитно-резонансного томографа (идентификационный номер: 716-А-ГЗ)")</f>
        <v>Услуги по ремонту блока питания и оси градиентного усилителя магнитно-резонансного томографа (идентификационный номер: 716-А-ГЗ)</v>
      </c>
      <c r="G11186" s="22" t="s">
        <v>415</v>
      </c>
      <c r="H11186" s="22" t="s">
        <v>4542</v>
      </c>
      <c r="I11186" s="26">
        <v>43669.677361111098</v>
      </c>
      <c r="J11186" s="23" t="str">
        <f>HYPERLINK("https://www.spark-marketing.ru/Card/Person/125391", "ООО ""ЮНИТЕХ-М""")</f>
        <v>ООО "ЮНИТЕХ-М"</v>
      </c>
      <c r="K11186" s="24" t="s">
        <v>15621</v>
      </c>
      <c r="L11186" s="22" t="s">
        <v>10</v>
      </c>
      <c r="M11186" s="25">
        <v>1235000</v>
      </c>
      <c r="N11186" s="27">
        <v>0.05</v>
      </c>
    </row>
    <row r="11187" spans="1:14" x14ac:dyDescent="0.15">
      <c r="A11187" s="23" t="str">
        <f>HYPERLINK("https://www.spark-marketing.ru/Card/Person/32225", "ФГБУН ""ФИЦ ПИТАНИЯ И БИОТЕХНОЛОГИИ""")</f>
        <v>ФГБУН "ФИЦ ПИТАНИЯ И БИОТЕХНОЛОГИИ"</v>
      </c>
      <c r="B11187" s="24" t="s">
        <v>15622</v>
      </c>
      <c r="C11187" s="25">
        <v>9108000</v>
      </c>
      <c r="D11187" s="22" t="s">
        <v>15623</v>
      </c>
      <c r="E11187" s="22" t="s">
        <v>9928</v>
      </c>
      <c r="F11187" s="23" t="str">
        <f>HYPERLINK("https://www.spark-marketing.ru/Card/Lot/72313624", "Оказание услуг по охране зданий, сооружений и территорий ФГБУН «ФИЦ питания и биотехнологии»")</f>
        <v>Оказание услуг по охране зданий, сооружений и территорий ФГБУН «ФИЦ питания и биотехнологии»</v>
      </c>
      <c r="G11187" s="22" t="s">
        <v>56</v>
      </c>
      <c r="H11187" s="22" t="s">
        <v>56</v>
      </c>
      <c r="I11187" s="26">
        <v>43669.678715277798</v>
      </c>
      <c r="J11187" s="28" t="s">
        <v>51</v>
      </c>
      <c r="K11187" s="28" t="s">
        <v>51</v>
      </c>
      <c r="L11187" s="28" t="s">
        <v>51</v>
      </c>
      <c r="M11187" s="28" t="s">
        <v>51</v>
      </c>
      <c r="N11187" s="28" t="s">
        <v>51</v>
      </c>
    </row>
    <row r="11188" spans="1:14" hidden="1" outlineLevel="1" x14ac:dyDescent="0.2">
      <c r="A11188" s="23" t="str">
        <f>HYPERLINK("https://www.spark-marketing.ru/Card/Person/32225", "ФГБУН ""ФИЦ ПИТАНИЯ И БИОТЕХНОЛОГИИ""")</f>
        <v>ФГБУН "ФИЦ ПИТАНИЯ И БИОТЕХНОЛОГИИ"</v>
      </c>
      <c r="B11188" s="24" t="s">
        <v>15622</v>
      </c>
      <c r="C11188" s="25">
        <v>9108000</v>
      </c>
      <c r="D11188" s="22" t="s">
        <v>15623</v>
      </c>
      <c r="E11188" s="22" t="s">
        <v>9928</v>
      </c>
      <c r="F11188" s="23" t="str">
        <f>HYPERLINK("https://www.spark-marketing.ru/Card/Lot/72313624", "Оказание услуг по охране зданий, сооружений и территорий ФГБУН «ФИЦ питания и биотехнологии»")</f>
        <v>Оказание услуг по охране зданий, сооружений и территорий ФГБУН «ФИЦ питания и биотехнологии»</v>
      </c>
      <c r="G11188" s="22" t="s">
        <v>56</v>
      </c>
      <c r="H11188" s="22" t="s">
        <v>56</v>
      </c>
      <c r="I11188" s="26">
        <v>43669.678715277798</v>
      </c>
      <c r="J11188" s="23" t="str">
        <f>HYPERLINK("https://www.spark-marketing.ru/Card/Person/1364", "ООО ЧОО ""АЛЬФА-ЩИТ""")</f>
        <v>ООО ЧОО "АЛЬФА-ЩИТ"</v>
      </c>
      <c r="K11188" s="24" t="s">
        <v>15624</v>
      </c>
      <c r="L11188" s="28" t="s">
        <v>51</v>
      </c>
      <c r="M11188" s="25">
        <v>5950140</v>
      </c>
      <c r="N11188" s="27">
        <v>0.34671277997364952</v>
      </c>
    </row>
    <row r="11189" spans="1:14" hidden="1" outlineLevel="1" x14ac:dyDescent="0.2">
      <c r="A11189" s="23" t="str">
        <f>HYPERLINK("https://www.spark-marketing.ru/Card/Person/32225", "ФГБУН ""ФИЦ ПИТАНИЯ И БИОТЕХНОЛОГИИ""")</f>
        <v>ФГБУН "ФИЦ ПИТАНИЯ И БИОТЕХНОЛОГИИ"</v>
      </c>
      <c r="B11189" s="24" t="s">
        <v>15622</v>
      </c>
      <c r="C11189" s="25">
        <v>9108000</v>
      </c>
      <c r="D11189" s="22" t="s">
        <v>15623</v>
      </c>
      <c r="E11189" s="22" t="s">
        <v>9928</v>
      </c>
      <c r="F11189" s="23" t="str">
        <f>HYPERLINK("https://www.spark-marketing.ru/Card/Lot/72313624", "Оказание услуг по охране зданий, сооружений и территорий ФГБУН «ФИЦ питания и биотехнологии»")</f>
        <v>Оказание услуг по охране зданий, сооружений и территорий ФГБУН «ФИЦ питания и биотехнологии»</v>
      </c>
      <c r="G11189" s="22" t="s">
        <v>56</v>
      </c>
      <c r="H11189" s="22" t="s">
        <v>56</v>
      </c>
      <c r="I11189" s="26">
        <v>43669.678715277798</v>
      </c>
      <c r="J11189" s="23" t="str">
        <f>HYPERLINK("https://www.spark-marketing.ru/Card/Person/710421", "ООО ""ЧОП ""ТУЛЕ-М""")</f>
        <v>ООО "ЧОП "ТУЛЕ-М"</v>
      </c>
      <c r="K11189" s="24" t="s">
        <v>15625</v>
      </c>
      <c r="L11189" s="28" t="s">
        <v>51</v>
      </c>
      <c r="M11189" s="25">
        <v>7741800</v>
      </c>
      <c r="N11189" s="27">
        <v>0.15</v>
      </c>
    </row>
    <row r="11190" spans="1:14" ht="12.75" hidden="1" outlineLevel="1" x14ac:dyDescent="0.2">
      <c r="A11190" s="23" t="str">
        <f>HYPERLINK("https://www.spark-marketing.ru/Card/Person/32225", "ФГБУН ""ФИЦ ПИТАНИЯ И БИОТЕХНОЛОГИИ""")</f>
        <v>ФГБУН "ФИЦ ПИТАНИЯ И БИОТЕХНОЛОГИИ"</v>
      </c>
      <c r="B11190" s="24" t="s">
        <v>15622</v>
      </c>
      <c r="C11190" s="25">
        <v>9108000</v>
      </c>
      <c r="D11190" s="22" t="s">
        <v>15623</v>
      </c>
      <c r="E11190" s="22" t="s">
        <v>9928</v>
      </c>
      <c r="F11190" s="23" t="str">
        <f>HYPERLINK("https://www.spark-marketing.ru/Card/Lot/72313624", "Оказание услуг по охране зданий, сооружений и территорий ФГБУН «ФИЦ питания и биотехнологии»")</f>
        <v>Оказание услуг по охране зданий, сооружений и территорий ФГБУН «ФИЦ питания и биотехнологии»</v>
      </c>
      <c r="G11190" s="22" t="s">
        <v>56</v>
      </c>
      <c r="H11190" s="22" t="s">
        <v>56</v>
      </c>
      <c r="I11190" s="26">
        <v>43669.678715277798</v>
      </c>
      <c r="J11190" s="23" t="str">
        <f>HYPERLINK("https://www.spark-marketing.ru/Card/Person/74474", "ООО ЧОО ""ОЛИМП""")</f>
        <v>ООО ЧОО "ОЛИМП"</v>
      </c>
      <c r="K11190" s="24" t="s">
        <v>15626</v>
      </c>
      <c r="L11190" s="22" t="s">
        <v>10</v>
      </c>
      <c r="M11190" s="25">
        <v>5950140</v>
      </c>
      <c r="N11190" s="27">
        <v>0.34671277997364952</v>
      </c>
    </row>
    <row r="11191" spans="1:14" hidden="1" outlineLevel="1" x14ac:dyDescent="0.2">
      <c r="A11191" s="23" t="str">
        <f>HYPERLINK("https://www.spark-marketing.ru/Card/Person/32225", "ФГБУН ""ФИЦ ПИТАНИЯ И БИОТЕХНОЛОГИИ""")</f>
        <v>ФГБУН "ФИЦ ПИТАНИЯ И БИОТЕХНОЛОГИИ"</v>
      </c>
      <c r="B11191" s="24" t="s">
        <v>15622</v>
      </c>
      <c r="C11191" s="25">
        <v>9108000</v>
      </c>
      <c r="D11191" s="22" t="s">
        <v>15623</v>
      </c>
      <c r="E11191" s="22" t="s">
        <v>9928</v>
      </c>
      <c r="F11191" s="23" t="str">
        <f>HYPERLINK("https://www.spark-marketing.ru/Card/Lot/72313624", "Оказание услуг по охране зданий, сооружений и территорий ФГБУН «ФИЦ питания и биотехнологии»")</f>
        <v>Оказание услуг по охране зданий, сооружений и территорий ФГБУН «ФИЦ питания и биотехнологии»</v>
      </c>
      <c r="G11191" s="22" t="s">
        <v>56</v>
      </c>
      <c r="H11191" s="22" t="s">
        <v>56</v>
      </c>
      <c r="I11191" s="26">
        <v>43669.678715277798</v>
      </c>
      <c r="J11191" s="23" t="str">
        <f>HYPERLINK("https://www.spark-marketing.ru/Card/Person/2332337", "ООО ЧОП ""КОБРА""")</f>
        <v>ООО ЧОП "КОБРА"</v>
      </c>
      <c r="K11191" s="24" t="s">
        <v>15627</v>
      </c>
      <c r="L11191" s="28" t="s">
        <v>51</v>
      </c>
      <c r="M11191" s="25">
        <v>6360000</v>
      </c>
      <c r="N11191" s="27">
        <v>0.30171277997364954</v>
      </c>
    </row>
    <row r="11192" spans="1:14" x14ac:dyDescent="0.15">
      <c r="A11192" s="23" t="str">
        <f>HYPERLINK("https://www.spark-marketing.ru/Card/Person/102694", "МУ МВД РОССИИ ""ИРКУТСКОЕ""")</f>
        <v>МУ МВД РОССИИ "ИРКУТСКОЕ"</v>
      </c>
      <c r="B11192" s="24" t="s">
        <v>2766</v>
      </c>
      <c r="C11192" s="25">
        <v>900000</v>
      </c>
      <c r="D11192" s="22" t="s">
        <v>15628</v>
      </c>
      <c r="E11192" s="22" t="s">
        <v>48</v>
      </c>
      <c r="F11192" s="23" t="str">
        <f>HYPERLINK("https://www.spark-marketing.ru/Card/Lot/72274939", "Прочая закупка товаров, работ и услуг (оказание услуг по организации комплексного питания для лиц, содержащихся в специальном приемнике для содержания лиц, подвергнутых административному аресту МУ МВД России «Иркутское»)")</f>
        <v>Прочая закупка товаров, работ и услуг (оказание услуг по организации комплексного питания для лиц, содержащихся в специальном приемнике для содержания лиц, подвергнутых административному аресту МУ МВД России «Иркутское»)</v>
      </c>
      <c r="G11192" s="22" t="s">
        <v>263</v>
      </c>
      <c r="H11192" s="22" t="s">
        <v>2768</v>
      </c>
      <c r="I11192" s="26">
        <v>43669.685393518499</v>
      </c>
      <c r="J11192" s="23" t="str">
        <f>HYPERLINK("https://www.spark-marketing.ru/Card/Person/6676603", "Филус Тамара Ивановна")</f>
        <v>Филус Тамара Ивановна</v>
      </c>
      <c r="K11192" s="24" t="s">
        <v>15605</v>
      </c>
      <c r="L11192" s="22" t="s">
        <v>10</v>
      </c>
      <c r="M11192" s="28" t="s">
        <v>51</v>
      </c>
      <c r="N11192" s="28" t="s">
        <v>51</v>
      </c>
    </row>
    <row r="11193" spans="1:14" x14ac:dyDescent="0.2">
      <c r="A11193" s="23" t="s">
        <v>114</v>
      </c>
      <c r="B11193" s="28" t="s">
        <v>51</v>
      </c>
      <c r="C11193" s="25">
        <v>3696151.35</v>
      </c>
      <c r="D11193" s="22" t="s">
        <v>15629</v>
      </c>
      <c r="E11193" s="22" t="s">
        <v>48</v>
      </c>
      <c r="F11193" s="23" t="str">
        <f>HYPERLINK("https://www.spark-marketing.ru/Card/Lot/72287922", "На право заключения контракта на оказание услуг по организации питания обучающихся из малообеспеченных семей")</f>
        <v>На право заключения контракта на оказание услуг по организации питания обучающихся из малообеспеченных семей</v>
      </c>
      <c r="G11193" s="22" t="s">
        <v>51</v>
      </c>
      <c r="H11193" s="22" t="s">
        <v>51</v>
      </c>
      <c r="I11193" s="26">
        <v>43669.675694444399</v>
      </c>
      <c r="J11193" s="23" t="str">
        <f>HYPERLINK("https://www.spark-marketing.ru/Card/Person/4478517", "ООО ""ЛАНЧ""")</f>
        <v>ООО "ЛАНЧ"</v>
      </c>
      <c r="K11193" s="24" t="s">
        <v>15630</v>
      </c>
      <c r="L11193" s="28" t="s">
        <v>51</v>
      </c>
      <c r="M11193" s="25">
        <v>3696151.35</v>
      </c>
      <c r="N11193" s="27">
        <v>0</v>
      </c>
    </row>
    <row r="11194" spans="1:14" hidden="1" outlineLevel="1" x14ac:dyDescent="0.2">
      <c r="A11194" s="23" t="str">
        <f>HYPERLINK("https://www.spark-marketing.ru/Card/Person/147842", "МБОУ ""СЛАВСКАЯ СОШ""")</f>
        <v>МБОУ "СЛАВСКАЯ СОШ"</v>
      </c>
      <c r="B11194" s="24" t="s">
        <v>15631</v>
      </c>
      <c r="C11194" s="25">
        <v>1527456</v>
      </c>
      <c r="D11194" s="22" t="s">
        <v>15629</v>
      </c>
      <c r="E11194" s="22" t="s">
        <v>48</v>
      </c>
      <c r="F11194" s="23" t="str">
        <f>HYPERLINK("https://www.spark-marketing.ru/Card/Lot/72287922", "На право заключения контракта на оказание услуг по организации питания обучающихся из малообеспеченных семей")</f>
        <v>На право заключения контракта на оказание услуг по организации питания обучающихся из малообеспеченных семей</v>
      </c>
      <c r="G11194" s="22" t="s">
        <v>400</v>
      </c>
      <c r="H11194" s="22" t="s">
        <v>15632</v>
      </c>
      <c r="I11194" s="26">
        <v>43669.675694444399</v>
      </c>
      <c r="J11194" s="23" t="str">
        <f>HYPERLINK("https://www.spark-marketing.ru/Card/Person/4478517", "ООО ""ЛАНЧ""")</f>
        <v>ООО "ЛАНЧ"</v>
      </c>
      <c r="K11194" s="24" t="s">
        <v>15630</v>
      </c>
      <c r="L11194" s="28" t="s">
        <v>51</v>
      </c>
      <c r="M11194" s="28" t="s">
        <v>51</v>
      </c>
      <c r="N11194" s="27">
        <v>0</v>
      </c>
    </row>
    <row r="11195" spans="1:14" hidden="1" outlineLevel="1" x14ac:dyDescent="0.2">
      <c r="A11195" s="23" t="str">
        <f>HYPERLINK("https://www.spark-marketing.ru/Card/Person/148837", "МБОУ ""БОЛЬШАКОВСКАЯ СОШ""")</f>
        <v>МБОУ "БОЛЬШАКОВСКАЯ СОШ"</v>
      </c>
      <c r="B11195" s="24" t="s">
        <v>15633</v>
      </c>
      <c r="C11195" s="25">
        <v>891016</v>
      </c>
      <c r="D11195" s="22" t="s">
        <v>15629</v>
      </c>
      <c r="E11195" s="22" t="s">
        <v>48</v>
      </c>
      <c r="F11195" s="23" t="str">
        <f>HYPERLINK("https://www.spark-marketing.ru/Card/Lot/72287922", "На право заключения контракта на оказание услуг по организации питания обучающихся из малообеспеченных семей")</f>
        <v>На право заключения контракта на оказание услуг по организации питания обучающихся из малообеспеченных семей</v>
      </c>
      <c r="G11195" s="22" t="s">
        <v>400</v>
      </c>
      <c r="H11195" s="22" t="s">
        <v>15632</v>
      </c>
      <c r="I11195" s="26">
        <v>43669.675694444399</v>
      </c>
      <c r="J11195" s="23" t="str">
        <f>HYPERLINK("https://www.spark-marketing.ru/Card/Person/4478517", "ООО ""ЛАНЧ""")</f>
        <v>ООО "ЛАНЧ"</v>
      </c>
      <c r="K11195" s="24" t="s">
        <v>15630</v>
      </c>
      <c r="L11195" s="28" t="s">
        <v>51</v>
      </c>
      <c r="M11195" s="28" t="s">
        <v>51</v>
      </c>
      <c r="N11195" s="27">
        <v>0</v>
      </c>
    </row>
    <row r="11196" spans="1:14" hidden="1" outlineLevel="1" x14ac:dyDescent="0.2">
      <c r="A11196" s="23" t="str">
        <f>HYPERLINK("https://www.spark-marketing.ru/Card/Person/1022529", "МБОУ ""ЯСНОВСКАЯ СОШ""")</f>
        <v>МБОУ "ЯСНОВСКАЯ СОШ"</v>
      </c>
      <c r="B11196" s="24" t="s">
        <v>15634</v>
      </c>
      <c r="C11196" s="25">
        <v>532839.80000000005</v>
      </c>
      <c r="D11196" s="22" t="s">
        <v>15629</v>
      </c>
      <c r="E11196" s="22" t="s">
        <v>48</v>
      </c>
      <c r="F11196" s="23" t="str">
        <f>HYPERLINK("https://www.spark-marketing.ru/Card/Lot/72287922", "На право заключения контракта на оказание услуг по организации питания обучающихся из малообеспеченных семей")</f>
        <v>На право заключения контракта на оказание услуг по организации питания обучающихся из малообеспеченных семей</v>
      </c>
      <c r="G11196" s="22" t="s">
        <v>400</v>
      </c>
      <c r="H11196" s="22" t="s">
        <v>15632</v>
      </c>
      <c r="I11196" s="26">
        <v>43669.675694444399</v>
      </c>
      <c r="J11196" s="23" t="str">
        <f>HYPERLINK("https://www.spark-marketing.ru/Card/Person/4478517", "ООО ""ЛАНЧ""")</f>
        <v>ООО "ЛАНЧ"</v>
      </c>
      <c r="K11196" s="24" t="s">
        <v>15630</v>
      </c>
      <c r="L11196" s="28" t="s">
        <v>51</v>
      </c>
      <c r="M11196" s="28" t="s">
        <v>51</v>
      </c>
      <c r="N11196" s="27">
        <v>0</v>
      </c>
    </row>
    <row r="11197" spans="1:14" hidden="1" outlineLevel="1" x14ac:dyDescent="0.2">
      <c r="A11197" s="23" t="str">
        <f>HYPERLINK("https://www.spark-marketing.ru/Card/Person/1030994", "МБОУ ""ТИМИРЯЗЕВСКАЯ СОШ""")</f>
        <v>МБОУ "ТИМИРЯЗЕВСКАЯ СОШ"</v>
      </c>
      <c r="B11197" s="24" t="s">
        <v>15635</v>
      </c>
      <c r="C11197" s="25">
        <v>744839.55</v>
      </c>
      <c r="D11197" s="22" t="s">
        <v>15629</v>
      </c>
      <c r="E11197" s="22" t="s">
        <v>48</v>
      </c>
      <c r="F11197" s="23" t="str">
        <f>HYPERLINK("https://www.spark-marketing.ru/Card/Lot/72287922", "На право заключения контракта на оказание услуг по организации питания обучающихся из малообеспеченных семей")</f>
        <v>На право заключения контракта на оказание услуг по организации питания обучающихся из малообеспеченных семей</v>
      </c>
      <c r="G11197" s="22" t="s">
        <v>400</v>
      </c>
      <c r="H11197" s="22" t="s">
        <v>15632</v>
      </c>
      <c r="I11197" s="26">
        <v>43669.675694444399</v>
      </c>
      <c r="J11197" s="23" t="str">
        <f>HYPERLINK("https://www.spark-marketing.ru/Card/Person/4478517", "ООО ""ЛАНЧ""")</f>
        <v>ООО "ЛАНЧ"</v>
      </c>
      <c r="K11197" s="24" t="s">
        <v>15630</v>
      </c>
      <c r="L11197" s="28" t="s">
        <v>51</v>
      </c>
      <c r="M11197" s="28" t="s">
        <v>51</v>
      </c>
      <c r="N11197" s="27">
        <v>0</v>
      </c>
    </row>
    <row r="11198" spans="1:14" x14ac:dyDescent="0.15">
      <c r="A11198" s="23" t="str">
        <f>HYPERLINK("https://www.spark-marketing.ru/Card/Person/124968", "ОМВД РОССИИ ПО СУЗДАЛЬСКОМУ РАЙОНУ")</f>
        <v>ОМВД РОССИИ ПО СУЗДАЛЬСКОМУ РАЙОНУ</v>
      </c>
      <c r="B11198" s="24" t="s">
        <v>8896</v>
      </c>
      <c r="C11198" s="25">
        <v>806284</v>
      </c>
      <c r="D11198" s="22" t="s">
        <v>15636</v>
      </c>
      <c r="E11198" s="22" t="s">
        <v>51</v>
      </c>
      <c r="F11198" s="23" t="str">
        <f>HYPERLINK("https://www.spark-marketing.ru/Card/Lot/72287246", "закупка услуг по организации трехразового горячего питания лиц содержащихся в изоляторе временного содержания и камере административного содержания ОМВД России по Суздальскому району")</f>
        <v>закупка услуг по организации трехразового горячего питания лиц содержащихся в изоляторе временного содержания и камере административного содержания ОМВД России по Суздальскому району</v>
      </c>
      <c r="G11198" s="22" t="s">
        <v>663</v>
      </c>
      <c r="H11198" s="22" t="s">
        <v>8898</v>
      </c>
      <c r="I11198" s="26">
        <v>43669.669421296298</v>
      </c>
      <c r="J11198" s="28" t="s">
        <v>51</v>
      </c>
      <c r="K11198" s="28" t="s">
        <v>51</v>
      </c>
      <c r="L11198" s="28" t="s">
        <v>51</v>
      </c>
      <c r="M11198" s="28" t="s">
        <v>51</v>
      </c>
      <c r="N11198" s="28" t="s">
        <v>51</v>
      </c>
    </row>
    <row r="11199" spans="1:14" x14ac:dyDescent="0.15">
      <c r="A11199" s="23" t="str">
        <f>HYPERLINK("https://www.spark-marketing.ru/Card/Person/4352324", "ЧЕБОКСАРСКИЙ ЭКОНОМИКО-ТЕХНОЛОГИЧЕСКИЙ КОЛЛЕДЖ МИНОБРАЗОВАНИЯ ЧУВАШИИ")</f>
        <v>ЧЕБОКСАРСКИЙ ЭКОНОМИКО-ТЕХНОЛОГИЧЕСКИЙ КОЛЛЕДЖ МИНОБРАЗОВАНИЯ ЧУВАШИИ</v>
      </c>
      <c r="B11199" s="24" t="s">
        <v>9842</v>
      </c>
      <c r="C11199" s="25">
        <v>12003961.199999999</v>
      </c>
      <c r="D11199" s="22" t="s">
        <v>15637</v>
      </c>
      <c r="E11199" s="22" t="s">
        <v>362</v>
      </c>
      <c r="F11199" s="23" t="str">
        <f>HYPERLINK("https://www.spark-marketing.ru/Card/Lot/72291861", "Оказание услуг по организации питания обучающихся")</f>
        <v>Оказание услуг по организации питания обучающихся</v>
      </c>
      <c r="G11199" s="22" t="s">
        <v>618</v>
      </c>
      <c r="H11199" s="22" t="s">
        <v>2842</v>
      </c>
      <c r="I11199" s="26">
        <v>43669.692685185197</v>
      </c>
      <c r="J11199" s="28" t="s">
        <v>51</v>
      </c>
      <c r="K11199" s="28" t="s">
        <v>51</v>
      </c>
      <c r="L11199" s="28" t="s">
        <v>51</v>
      </c>
      <c r="M11199" s="28" t="s">
        <v>51</v>
      </c>
      <c r="N11199" s="28" t="s">
        <v>51</v>
      </c>
    </row>
    <row r="11200" spans="1:14" x14ac:dyDescent="0.15">
      <c r="A11200" s="23" t="s">
        <v>114</v>
      </c>
      <c r="B11200" s="28" t="s">
        <v>51</v>
      </c>
      <c r="C11200" s="25">
        <v>59297664</v>
      </c>
      <c r="D11200" s="22" t="s">
        <v>15638</v>
      </c>
      <c r="E11200" s="22" t="s">
        <v>48</v>
      </c>
      <c r="F11200" s="23" t="str">
        <f t="shared" ref="F11200:F11207" si="307">HYPERLINK("https://www.spark-marketing.ru/Card/Lot/72282512", "Оказание услуг по организации питания учащихся и воспитанников")</f>
        <v>Оказание услуг по организации питания учащихся и воспитанников</v>
      </c>
      <c r="G11200" s="22" t="s">
        <v>51</v>
      </c>
      <c r="H11200" s="22" t="s">
        <v>51</v>
      </c>
      <c r="I11200" s="26">
        <v>43669.662499999999</v>
      </c>
      <c r="J11200" s="28" t="s">
        <v>51</v>
      </c>
      <c r="K11200" s="28" t="s">
        <v>51</v>
      </c>
      <c r="L11200" s="28" t="s">
        <v>51</v>
      </c>
      <c r="M11200" s="28" t="s">
        <v>51</v>
      </c>
      <c r="N11200" s="28" t="s">
        <v>51</v>
      </c>
    </row>
    <row r="11201" spans="1:14" hidden="1" outlineLevel="1" x14ac:dyDescent="0.15">
      <c r="A11201" s="23" t="str">
        <f>HYPERLINK("https://www.spark-marketing.ru/Card/Person/32231", "МБОУ ""СОШ № 10""")</f>
        <v>МБОУ "СОШ № 10"</v>
      </c>
      <c r="B11201" s="24" t="s">
        <v>15359</v>
      </c>
      <c r="C11201" s="25">
        <v>10992032</v>
      </c>
      <c r="D11201" s="22" t="s">
        <v>15638</v>
      </c>
      <c r="E11201" s="22" t="s">
        <v>48</v>
      </c>
      <c r="F11201" s="23" t="str">
        <f t="shared" si="307"/>
        <v>Оказание услуг по организации питания учащихся и воспитанников</v>
      </c>
      <c r="G11201" s="22" t="s">
        <v>97</v>
      </c>
      <c r="H11201" s="22" t="s">
        <v>97</v>
      </c>
      <c r="I11201" s="26">
        <v>43669.662499999999</v>
      </c>
      <c r="J11201" s="28" t="s">
        <v>51</v>
      </c>
      <c r="K11201" s="28" t="s">
        <v>51</v>
      </c>
      <c r="L11201" s="28" t="s">
        <v>51</v>
      </c>
      <c r="M11201" s="28" t="s">
        <v>51</v>
      </c>
      <c r="N11201" s="28" t="s">
        <v>51</v>
      </c>
    </row>
    <row r="11202" spans="1:14" hidden="1" outlineLevel="1" x14ac:dyDescent="0.15">
      <c r="A11202" s="23" t="str">
        <f>HYPERLINK("https://www.spark-marketing.ru/Card/Person/32242", "МБОУ ""СОШ № 7""")</f>
        <v>МБОУ "СОШ № 7"</v>
      </c>
      <c r="B11202" s="24" t="s">
        <v>15360</v>
      </c>
      <c r="C11202" s="25">
        <v>7078112</v>
      </c>
      <c r="D11202" s="22" t="s">
        <v>15638</v>
      </c>
      <c r="E11202" s="22" t="s">
        <v>48</v>
      </c>
      <c r="F11202" s="23" t="str">
        <f t="shared" si="307"/>
        <v>Оказание услуг по организации питания учащихся и воспитанников</v>
      </c>
      <c r="G11202" s="22" t="s">
        <v>97</v>
      </c>
      <c r="H11202" s="22" t="s">
        <v>97</v>
      </c>
      <c r="I11202" s="26">
        <v>43669.662499999999</v>
      </c>
      <c r="J11202" s="28" t="s">
        <v>51</v>
      </c>
      <c r="K11202" s="28" t="s">
        <v>51</v>
      </c>
      <c r="L11202" s="28" t="s">
        <v>51</v>
      </c>
      <c r="M11202" s="28" t="s">
        <v>51</v>
      </c>
      <c r="N11202" s="28" t="s">
        <v>51</v>
      </c>
    </row>
    <row r="11203" spans="1:14" hidden="1" outlineLevel="1" x14ac:dyDescent="0.15">
      <c r="A11203" s="23" t="str">
        <f>HYPERLINK("https://www.spark-marketing.ru/Card/Person/32424", "МБОУ ""НАЧАЛЬНАЯ ШКОЛА № 15""")</f>
        <v>МБОУ "НАЧАЛЬНАЯ ШКОЛА № 15"</v>
      </c>
      <c r="B11203" s="24" t="s">
        <v>15361</v>
      </c>
      <c r="C11203" s="25">
        <v>4671696</v>
      </c>
      <c r="D11203" s="22" t="s">
        <v>15638</v>
      </c>
      <c r="E11203" s="22" t="s">
        <v>48</v>
      </c>
      <c r="F11203" s="23" t="str">
        <f t="shared" si="307"/>
        <v>Оказание услуг по организации питания учащихся и воспитанников</v>
      </c>
      <c r="G11203" s="22" t="s">
        <v>97</v>
      </c>
      <c r="H11203" s="22" t="s">
        <v>97</v>
      </c>
      <c r="I11203" s="26">
        <v>43669.662499999999</v>
      </c>
      <c r="J11203" s="28" t="s">
        <v>51</v>
      </c>
      <c r="K11203" s="28" t="s">
        <v>51</v>
      </c>
      <c r="L11203" s="28" t="s">
        <v>51</v>
      </c>
      <c r="M11203" s="28" t="s">
        <v>51</v>
      </c>
      <c r="N11203" s="28" t="s">
        <v>51</v>
      </c>
    </row>
    <row r="11204" spans="1:14" hidden="1" outlineLevel="1" x14ac:dyDescent="0.15">
      <c r="A11204" s="23" t="str">
        <f>HYPERLINK("https://www.spark-marketing.ru/Card/Person/32741", "МБОУ ""ШКОЛА РАЗВИТИЯ № 24""")</f>
        <v>МБОУ "ШКОЛА РАЗВИТИЯ № 24"</v>
      </c>
      <c r="B11204" s="24" t="s">
        <v>15362</v>
      </c>
      <c r="C11204" s="25">
        <v>6725572</v>
      </c>
      <c r="D11204" s="22" t="s">
        <v>15638</v>
      </c>
      <c r="E11204" s="22" t="s">
        <v>48</v>
      </c>
      <c r="F11204" s="23" t="str">
        <f t="shared" si="307"/>
        <v>Оказание услуг по организации питания учащихся и воспитанников</v>
      </c>
      <c r="G11204" s="22" t="s">
        <v>97</v>
      </c>
      <c r="H11204" s="22" t="s">
        <v>97</v>
      </c>
      <c r="I11204" s="26">
        <v>43669.662499999999</v>
      </c>
      <c r="J11204" s="28" t="s">
        <v>51</v>
      </c>
      <c r="K11204" s="28" t="s">
        <v>51</v>
      </c>
      <c r="L11204" s="28" t="s">
        <v>51</v>
      </c>
      <c r="M11204" s="28" t="s">
        <v>51</v>
      </c>
      <c r="N11204" s="28" t="s">
        <v>51</v>
      </c>
    </row>
    <row r="11205" spans="1:14" hidden="1" outlineLevel="1" x14ac:dyDescent="0.15">
      <c r="A11205" s="23" t="str">
        <f>HYPERLINK("https://www.spark-marketing.ru/Card/Person/88381", "МБОУ ""СОШ № 5""")</f>
        <v>МБОУ "СОШ № 5"</v>
      </c>
      <c r="B11205" s="24" t="s">
        <v>10077</v>
      </c>
      <c r="C11205" s="25">
        <v>11206240</v>
      </c>
      <c r="D11205" s="22" t="s">
        <v>15638</v>
      </c>
      <c r="E11205" s="22" t="s">
        <v>48</v>
      </c>
      <c r="F11205" s="23" t="str">
        <f t="shared" si="307"/>
        <v>Оказание услуг по организации питания учащихся и воспитанников</v>
      </c>
      <c r="G11205" s="22" t="s">
        <v>97</v>
      </c>
      <c r="H11205" s="22" t="s">
        <v>97</v>
      </c>
      <c r="I11205" s="26">
        <v>43669.662499999999</v>
      </c>
      <c r="J11205" s="28" t="s">
        <v>51</v>
      </c>
      <c r="K11205" s="28" t="s">
        <v>51</v>
      </c>
      <c r="L11205" s="28" t="s">
        <v>51</v>
      </c>
      <c r="M11205" s="28" t="s">
        <v>51</v>
      </c>
      <c r="N11205" s="28" t="s">
        <v>51</v>
      </c>
    </row>
    <row r="11206" spans="1:14" hidden="1" outlineLevel="1" x14ac:dyDescent="0.15">
      <c r="A11206" s="23" t="str">
        <f>HYPERLINK("https://www.spark-marketing.ru/Card/Person/92116", "МБОУ ""СОШ № 6""")</f>
        <v>МБОУ "СОШ № 6"</v>
      </c>
      <c r="B11206" s="24" t="s">
        <v>15363</v>
      </c>
      <c r="C11206" s="25">
        <v>7871696</v>
      </c>
      <c r="D11206" s="22" t="s">
        <v>15638</v>
      </c>
      <c r="E11206" s="22" t="s">
        <v>48</v>
      </c>
      <c r="F11206" s="23" t="str">
        <f t="shared" si="307"/>
        <v>Оказание услуг по организации питания учащихся и воспитанников</v>
      </c>
      <c r="G11206" s="22" t="s">
        <v>97</v>
      </c>
      <c r="H11206" s="22" t="s">
        <v>97</v>
      </c>
      <c r="I11206" s="26">
        <v>43669.662499999999</v>
      </c>
      <c r="J11206" s="28" t="s">
        <v>51</v>
      </c>
      <c r="K11206" s="28" t="s">
        <v>51</v>
      </c>
      <c r="L11206" s="28" t="s">
        <v>51</v>
      </c>
      <c r="M11206" s="28" t="s">
        <v>51</v>
      </c>
      <c r="N11206" s="28" t="s">
        <v>51</v>
      </c>
    </row>
    <row r="11207" spans="1:14" hidden="1" outlineLevel="1" x14ac:dyDescent="0.15">
      <c r="A11207" s="23" t="str">
        <f>HYPERLINK("https://www.spark-marketing.ru/Card/Person/233478", "МБОУ ""СОШ № 3 ИМ. А.А. ИВАСЕНКО""")</f>
        <v>МБОУ "СОШ № 3 ИМ. А.А. ИВАСЕНКО"</v>
      </c>
      <c r="B11207" s="24" t="s">
        <v>15364</v>
      </c>
      <c r="C11207" s="25">
        <v>10752316</v>
      </c>
      <c r="D11207" s="22" t="s">
        <v>15638</v>
      </c>
      <c r="E11207" s="22" t="s">
        <v>48</v>
      </c>
      <c r="F11207" s="23" t="str">
        <f t="shared" si="307"/>
        <v>Оказание услуг по организации питания учащихся и воспитанников</v>
      </c>
      <c r="G11207" s="22" t="s">
        <v>97</v>
      </c>
      <c r="H11207" s="22" t="s">
        <v>97</v>
      </c>
      <c r="I11207" s="26">
        <v>43669.662499999999</v>
      </c>
      <c r="J11207" s="28" t="s">
        <v>51</v>
      </c>
      <c r="K11207" s="28" t="s">
        <v>51</v>
      </c>
      <c r="L11207" s="28" t="s">
        <v>51</v>
      </c>
      <c r="M11207" s="28" t="s">
        <v>51</v>
      </c>
      <c r="N11207" s="28" t="s">
        <v>51</v>
      </c>
    </row>
    <row r="11208" spans="1:14" x14ac:dyDescent="0.15">
      <c r="A11208" s="23" t="str">
        <f>HYPERLINK("https://www.spark-marketing.ru/Card/Person/29335", "УМВД РОССИИ ПО ПСКОВСКОЙ ОБЛАСТИ")</f>
        <v>УМВД РОССИИ ПО ПСКОВСКОЙ ОБЛАСТИ</v>
      </c>
      <c r="B11208" s="24" t="s">
        <v>4993</v>
      </c>
      <c r="C11208" s="25">
        <v>3579765</v>
      </c>
      <c r="D11208" s="22" t="s">
        <v>15639</v>
      </c>
      <c r="E11208" s="22" t="s">
        <v>48</v>
      </c>
      <c r="F11208" s="23" t="str">
        <f>HYPERLINK("https://www.spark-marketing.ru/Card/Lot/72286699", "Питание слушателей ЦПП")</f>
        <v>Питание слушателей ЦПП</v>
      </c>
      <c r="G11208" s="22" t="s">
        <v>415</v>
      </c>
      <c r="H11208" s="22" t="s">
        <v>415</v>
      </c>
      <c r="I11208" s="26">
        <v>43669.649189814802</v>
      </c>
      <c r="J11208" s="23" t="str">
        <f>HYPERLINK("https://www.spark-marketing.ru/Card/Person/4893587", "ООО ""ПАТРИЯ""")</f>
        <v>ООО "ПАТРИЯ"</v>
      </c>
      <c r="K11208" s="24" t="s">
        <v>11315</v>
      </c>
      <c r="L11208" s="22" t="s">
        <v>10</v>
      </c>
      <c r="M11208" s="28" t="s">
        <v>51</v>
      </c>
      <c r="N11208" s="28" t="s">
        <v>51</v>
      </c>
    </row>
    <row r="11209" spans="1:14" x14ac:dyDescent="0.15">
      <c r="A11209" s="23" t="str">
        <f>HYPERLINK("https://www.spark-marketing.ru/Card/Person/5299", "УПРАВА РЯЗАНСКОГО РАЙОНА ГОРОДА МОСКВЫ")</f>
        <v>УПРАВА РЯЗАНСКОГО РАЙОНА ГОРОДА МОСКВЫ</v>
      </c>
      <c r="B11209" s="24" t="s">
        <v>15640</v>
      </c>
      <c r="C11209" s="25">
        <v>442950.75</v>
      </c>
      <c r="D11209" s="22" t="s">
        <v>15641</v>
      </c>
      <c r="E11209" s="22" t="s">
        <v>96</v>
      </c>
      <c r="F11209" s="23" t="str">
        <f>HYPERLINK("https://www.spark-marketing.ru/Card/Lot/72283493", "Оказание услуг по организации и предоставлению питания членам участковых избирательных комиссий Рязанского района города Москвы при проведении выборов в Московскую городскую Думу седьмого созыва 8 сентября 2019 года (среди СМП)")</f>
        <v>Оказание услуг по организации и предоставлению питания членам участковых избирательных комиссий Рязанского района города Москвы при проведении выборов в Московскую городскую Думу седьмого созыва 8 сентября 2019 года (среди СМП)</v>
      </c>
      <c r="G11209" s="22" t="s">
        <v>56</v>
      </c>
      <c r="H11209" s="22" t="s">
        <v>56</v>
      </c>
      <c r="I11209" s="26">
        <v>43669.635821759301</v>
      </c>
      <c r="J11209" s="28" t="s">
        <v>51</v>
      </c>
      <c r="K11209" s="28" t="s">
        <v>51</v>
      </c>
      <c r="L11209" s="28" t="s">
        <v>51</v>
      </c>
      <c r="M11209" s="28" t="s">
        <v>51</v>
      </c>
      <c r="N11209" s="28" t="s">
        <v>51</v>
      </c>
    </row>
    <row r="11210" spans="1:14" hidden="1" outlineLevel="1" x14ac:dyDescent="0.2">
      <c r="A11210" s="23" t="str">
        <f>HYPERLINK("https://www.spark-marketing.ru/Card/Person/5299", "УПРАВА РЯЗАНСКОГО РАЙОНА ГОРОДА МОСКВЫ")</f>
        <v>УПРАВА РЯЗАНСКОГО РАЙОНА ГОРОДА МОСКВЫ</v>
      </c>
      <c r="B11210" s="24" t="s">
        <v>15640</v>
      </c>
      <c r="C11210" s="25">
        <v>442950.75</v>
      </c>
      <c r="D11210" s="22" t="s">
        <v>15641</v>
      </c>
      <c r="E11210" s="22" t="s">
        <v>96</v>
      </c>
      <c r="F11210" s="23" t="str">
        <f>HYPERLINK("https://www.spark-marketing.ru/Card/Lot/72283493", "Оказание услуг по организации и предоставлению питания членам участковых избирательных комиссий Рязанского района города Москвы при проведении выборов в Московскую городскую Думу седьмого созыва 8 сентября 2019 года (среди СМП)")</f>
        <v>Оказание услуг по организации и предоставлению питания членам участковых избирательных комиссий Рязанского района города Москвы при проведении выборов в Московскую городскую Думу седьмого созыва 8 сентября 2019 года (среди СМП)</v>
      </c>
      <c r="G11210" s="22" t="s">
        <v>56</v>
      </c>
      <c r="H11210" s="22" t="s">
        <v>56</v>
      </c>
      <c r="I11210" s="26">
        <v>43669.635821759301</v>
      </c>
      <c r="J11210" s="23" t="str">
        <f>HYPERLINK("https://www.spark-marketing.ru/Card/Person/6516523", "ООО ""ВИТА""")</f>
        <v>ООО "ВИТА"</v>
      </c>
      <c r="K11210" s="24" t="s">
        <v>7450</v>
      </c>
      <c r="L11210" s="28" t="s">
        <v>51</v>
      </c>
      <c r="M11210" s="25">
        <v>321139.5</v>
      </c>
      <c r="N11210" s="27">
        <v>0.27499953437261365</v>
      </c>
    </row>
    <row r="11211" spans="1:14" ht="12.75" hidden="1" outlineLevel="1" x14ac:dyDescent="0.2">
      <c r="A11211" s="23" t="str">
        <f>HYPERLINK("https://www.spark-marketing.ru/Card/Person/5299", "УПРАВА РЯЗАНСКОГО РАЙОНА ГОРОДА МОСКВЫ")</f>
        <v>УПРАВА РЯЗАНСКОГО РАЙОНА ГОРОДА МОСКВЫ</v>
      </c>
      <c r="B11211" s="24" t="s">
        <v>15640</v>
      </c>
      <c r="C11211" s="25">
        <v>442950.75</v>
      </c>
      <c r="D11211" s="22" t="s">
        <v>15641</v>
      </c>
      <c r="E11211" s="22" t="s">
        <v>96</v>
      </c>
      <c r="F11211" s="23" t="str">
        <f>HYPERLINK("https://www.spark-marketing.ru/Card/Lot/72283493", "Оказание услуг по организации и предоставлению питания членам участковых избирательных комиссий Рязанского района города Москвы при проведении выборов в Московскую городскую Думу седьмого созыва 8 сентября 2019 года (среди СМП)")</f>
        <v>Оказание услуг по организации и предоставлению питания членам участковых избирательных комиссий Рязанского района города Москвы при проведении выборов в Московскую городскую Думу седьмого созыва 8 сентября 2019 года (среди СМП)</v>
      </c>
      <c r="G11211" s="22" t="s">
        <v>56</v>
      </c>
      <c r="H11211" s="22" t="s">
        <v>56</v>
      </c>
      <c r="I11211" s="26">
        <v>43669.635821759301</v>
      </c>
      <c r="J11211" s="23" t="str">
        <f>HYPERLINK("https://www.spark-marketing.ru/Card/Person/2523959", "ООО ""КРУИЗ-ТУР""")</f>
        <v>ООО "КРУИЗ-ТУР"</v>
      </c>
      <c r="K11211" s="24" t="s">
        <v>13149</v>
      </c>
      <c r="L11211" s="22" t="s">
        <v>10</v>
      </c>
      <c r="M11211" s="25">
        <v>318924.75</v>
      </c>
      <c r="N11211" s="27">
        <v>0.27999952590666116</v>
      </c>
    </row>
    <row r="11212" spans="1:14" hidden="1" outlineLevel="1" x14ac:dyDescent="0.2">
      <c r="A11212" s="23" t="str">
        <f>HYPERLINK("https://www.spark-marketing.ru/Card/Person/5299", "УПРАВА РЯЗАНСКОГО РАЙОНА ГОРОДА МОСКВЫ")</f>
        <v>УПРАВА РЯЗАНСКОГО РАЙОНА ГОРОДА МОСКВЫ</v>
      </c>
      <c r="B11212" s="24" t="s">
        <v>15640</v>
      </c>
      <c r="C11212" s="25">
        <v>442950.75</v>
      </c>
      <c r="D11212" s="22" t="s">
        <v>15641</v>
      </c>
      <c r="E11212" s="22" t="s">
        <v>96</v>
      </c>
      <c r="F11212" s="23" t="str">
        <f>HYPERLINK("https://www.spark-marketing.ru/Card/Lot/72283493", "Оказание услуг по организации и предоставлению питания членам участковых избирательных комиссий Рязанского района города Москвы при проведении выборов в Московскую городскую Думу седьмого созыва 8 сентября 2019 года (среди СМП)")</f>
        <v>Оказание услуг по организации и предоставлению питания членам участковых избирательных комиссий Рязанского района города Москвы при проведении выборов в Московскую городскую Думу седьмого созыва 8 сентября 2019 года (среди СМП)</v>
      </c>
      <c r="G11212" s="22" t="s">
        <v>56</v>
      </c>
      <c r="H11212" s="22" t="s">
        <v>56</v>
      </c>
      <c r="I11212" s="26">
        <v>43669.635821759301</v>
      </c>
      <c r="J11212" s="23" t="str">
        <f>HYPERLINK("https://www.spark-marketing.ru/Card/Person/6635200", "Сушкова Елена Владимировна")</f>
        <v>Сушкова Елена Владимировна</v>
      </c>
      <c r="K11212" s="24" t="s">
        <v>12452</v>
      </c>
      <c r="L11212" s="28" t="s">
        <v>51</v>
      </c>
      <c r="M11212" s="25">
        <v>334428</v>
      </c>
      <c r="N11212" s="27">
        <v>0.24499958516832854</v>
      </c>
    </row>
    <row r="11213" spans="1:14" hidden="1" outlineLevel="1" x14ac:dyDescent="0.2">
      <c r="A11213" s="23" t="str">
        <f>HYPERLINK("https://www.spark-marketing.ru/Card/Person/5299", "УПРАВА РЯЗАНСКОГО РАЙОНА ГОРОДА МОСКВЫ")</f>
        <v>УПРАВА РЯЗАНСКОГО РАЙОНА ГОРОДА МОСКВЫ</v>
      </c>
      <c r="B11213" s="24" t="s">
        <v>15640</v>
      </c>
      <c r="C11213" s="25">
        <v>442950.75</v>
      </c>
      <c r="D11213" s="22" t="s">
        <v>15641</v>
      </c>
      <c r="E11213" s="22" t="s">
        <v>96</v>
      </c>
      <c r="F11213" s="23" t="str">
        <f>HYPERLINK("https://www.spark-marketing.ru/Card/Lot/72283493", "Оказание услуг по организации и предоставлению питания членам участковых избирательных комиссий Рязанского района города Москвы при проведении выборов в Московскую городскую Думу седьмого созыва 8 сентября 2019 года (среди СМП)")</f>
        <v>Оказание услуг по организации и предоставлению питания членам участковых избирательных комиссий Рязанского района города Москвы при проведении выборов в Московскую городскую Думу седьмого созыва 8 сентября 2019 года (среди СМП)</v>
      </c>
      <c r="G11213" s="22" t="s">
        <v>56</v>
      </c>
      <c r="H11213" s="22" t="s">
        <v>56</v>
      </c>
      <c r="I11213" s="26">
        <v>43669.635821759301</v>
      </c>
      <c r="J11213" s="23" t="str">
        <f>HYPERLINK("https://www.spark-marketing.ru/Card/Person/6650209", "Кишенина Ксения Владимировна")</f>
        <v>Кишенина Ксения Владимировна</v>
      </c>
      <c r="K11213" s="24" t="s">
        <v>11401</v>
      </c>
      <c r="L11213" s="28" t="s">
        <v>51</v>
      </c>
      <c r="M11213" s="25">
        <v>349931.25</v>
      </c>
      <c r="N11213" s="27">
        <v>0.20999964442999589</v>
      </c>
    </row>
    <row r="11214" spans="1:14" x14ac:dyDescent="0.15">
      <c r="A11214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1214" s="24" t="s">
        <v>4297</v>
      </c>
      <c r="C11214" s="25">
        <v>19400</v>
      </c>
      <c r="D11214" s="22" t="s">
        <v>15642</v>
      </c>
      <c r="E11214" s="22" t="s">
        <v>48</v>
      </c>
      <c r="F11214" s="23" t="str">
        <f>HYPERLINK("https://www.spark-marketing.ru/Card/Lot/72273874",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1214" s="22" t="s">
        <v>1096</v>
      </c>
      <c r="H11214" s="22" t="s">
        <v>4299</v>
      </c>
      <c r="I11214" s="26">
        <v>43669.6663078704</v>
      </c>
      <c r="J11214" s="23" t="str">
        <f>HYPERLINK("https://www.spark-marketing.ru/Card/Person/1014741", "МОУ СОШ С УГЛУБЛЕННЫМ ИЗУЧЕНИЕМ ПРЕДМЕТОВ ХУДОЖЕСТВЕННО-ЭСТЕТИЧЕСКОГО ЦИКЛА № 23")</f>
        <v>МОУ СОШ С УГЛУБЛЕННЫМ ИЗУЧЕНИЕМ ПРЕДМЕТОВ ХУДОЖЕСТВЕННО-ЭСТЕТИЧЕСКОГО ЦИКЛА № 23</v>
      </c>
      <c r="K11214" s="24" t="s">
        <v>12445</v>
      </c>
      <c r="L11214" s="28" t="s">
        <v>51</v>
      </c>
      <c r="M11214" s="28" t="s">
        <v>51</v>
      </c>
      <c r="N11214" s="28" t="s">
        <v>51</v>
      </c>
    </row>
    <row r="11215" spans="1:14" collapsed="1" x14ac:dyDescent="0.15">
      <c r="A11215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1215" s="24" t="s">
        <v>3255</v>
      </c>
      <c r="C11215" s="25">
        <v>1071820.5</v>
      </c>
      <c r="D11215" s="22" t="s">
        <v>15643</v>
      </c>
      <c r="E11215" s="22" t="s">
        <v>52</v>
      </c>
      <c r="F11215" s="23" t="str">
        <f>HYPERLINK("https://www.spark-marketing.ru/Card/Lot/72271608", "Поставка лекарственного препарата для медицинского применения ""Периндоприл""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"Периндоприл"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1215" s="22" t="s">
        <v>210</v>
      </c>
      <c r="H11215" s="22" t="s">
        <v>3257</v>
      </c>
      <c r="I11215" s="26">
        <v>43669.664490740703</v>
      </c>
      <c r="J11215" s="28" t="s">
        <v>51</v>
      </c>
      <c r="K11215" s="28" t="s">
        <v>51</v>
      </c>
      <c r="L11215" s="28" t="s">
        <v>51</v>
      </c>
      <c r="M11215" s="28" t="s">
        <v>51</v>
      </c>
      <c r="N11215" s="28" t="s">
        <v>51</v>
      </c>
    </row>
    <row r="11216" spans="1:14" hidden="1" outlineLevel="1" x14ac:dyDescent="0.2">
      <c r="A11216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1216" s="24" t="s">
        <v>3255</v>
      </c>
      <c r="C11216" s="25">
        <v>1071820.5</v>
      </c>
      <c r="D11216" s="22" t="s">
        <v>15643</v>
      </c>
      <c r="E11216" s="22" t="s">
        <v>52</v>
      </c>
      <c r="F11216" s="23" t="str">
        <f>HYPERLINK("https://www.spark-marketing.ru/Card/Lot/72271608", "Поставка лекарственного препарата для медицинского применения ""Периндоприл""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"Периндоприл"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1216" s="22" t="s">
        <v>210</v>
      </c>
      <c r="H11216" s="22" t="s">
        <v>3257</v>
      </c>
      <c r="I11216" s="26">
        <v>43669.664490740703</v>
      </c>
      <c r="J11216" s="23" t="str">
        <f>HYPERLINK("https://www.spark-marketing.ru/Card/Person/4354560", "ООО ""НАДЕЖДА-ФАРМ""")</f>
        <v>ООО "НАДЕЖДА-ФАРМ"</v>
      </c>
      <c r="K11216" s="24" t="s">
        <v>15644</v>
      </c>
      <c r="L11216" s="28" t="s">
        <v>51</v>
      </c>
      <c r="M11216" s="25">
        <v>562705.76</v>
      </c>
      <c r="N11216" s="27">
        <v>0.47500000233248013</v>
      </c>
    </row>
    <row r="11217" spans="1:14" ht="12.75" hidden="1" outlineLevel="1" x14ac:dyDescent="0.2">
      <c r="A11217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1217" s="24" t="s">
        <v>3255</v>
      </c>
      <c r="C11217" s="25">
        <v>1071820.5</v>
      </c>
      <c r="D11217" s="22" t="s">
        <v>15643</v>
      </c>
      <c r="E11217" s="22" t="s">
        <v>52</v>
      </c>
      <c r="F11217" s="23" t="str">
        <f>HYPERLINK("https://www.spark-marketing.ru/Card/Lot/72271608", "Поставка лекарственного препарата для медицинского применения ""Периндоприл""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"Периндоприл"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1217" s="22" t="s">
        <v>210</v>
      </c>
      <c r="H11217" s="22" t="s">
        <v>3257</v>
      </c>
      <c r="I11217" s="26">
        <v>43669.664490740703</v>
      </c>
      <c r="J11217" s="23" t="str">
        <f>HYPERLINK("https://www.spark-marketing.ru/Card/Person/6231467", "ООО ""ОБЛФАРМ АЛЬЯНС""")</f>
        <v>ООО "ОБЛФАРМ АЛЬЯНС"</v>
      </c>
      <c r="K11217" s="24" t="s">
        <v>2175</v>
      </c>
      <c r="L11217" s="22" t="s">
        <v>10</v>
      </c>
      <c r="M11217" s="25">
        <v>562705.05000000005</v>
      </c>
      <c r="N11217" s="27">
        <v>0.47500066475683195</v>
      </c>
    </row>
    <row r="11218" spans="1:14" x14ac:dyDescent="0.15">
      <c r="A11218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1218" s="24" t="s">
        <v>4297</v>
      </c>
      <c r="C11218" s="25">
        <v>53350</v>
      </c>
      <c r="D11218" s="22" t="s">
        <v>15645</v>
      </c>
      <c r="E11218" s="22" t="s">
        <v>48</v>
      </c>
      <c r="F11218" s="23" t="str">
        <f>HYPERLINK("https://www.spark-marketing.ru/Card/Lot/72272894",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1218" s="22" t="s">
        <v>1096</v>
      </c>
      <c r="H11218" s="22" t="s">
        <v>4299</v>
      </c>
      <c r="I11218" s="26">
        <v>43669.664641203701</v>
      </c>
      <c r="J11218" s="23" t="str">
        <f>HYPERLINK("https://www.spark-marketing.ru/Card/Person/1038864", "МОУ ГИМНАЗИЯ № 9")</f>
        <v>МОУ ГИМНАЗИЯ № 9</v>
      </c>
      <c r="K11218" s="24" t="s">
        <v>15646</v>
      </c>
      <c r="L11218" s="22" t="s">
        <v>10</v>
      </c>
      <c r="M11218" s="28" t="s">
        <v>51</v>
      </c>
      <c r="N11218" s="28" t="s">
        <v>51</v>
      </c>
    </row>
    <row r="11219" spans="1:14" collapsed="1" x14ac:dyDescent="0.15">
      <c r="A11219" s="23" t="str">
        <f>HYPERLINK("https://www.spark-marketing.ru/Card/Person/25454", "ФГКУ ""ПРПСО МЧС РОССИИ""")</f>
        <v>ФГКУ "ПРПСО МЧС РОССИИ"</v>
      </c>
      <c r="B11219" s="24" t="s">
        <v>15647</v>
      </c>
      <c r="C11219" s="25">
        <v>100000</v>
      </c>
      <c r="D11219" s="22" t="s">
        <v>15648</v>
      </c>
      <c r="E11219" s="22" t="s">
        <v>437</v>
      </c>
      <c r="F11219" s="23" t="str">
        <f>HYPERLINK("https://www.spark-marketing.ru/Card/Lot/72299227", "Оказание услуг по проведению экспертизы сухого полнорационного корма для служебных собак Казанского поисково-спасательного отряда (филиала ФГКУ ""Приволжский региональный поисково-спасательный отряд МЧС России»)")</f>
        <v>Оказание услуг по проведению экспертизы сухого полнорационного корма для служебных собак Казанского поисково-спасательного отряда (филиала ФГКУ "Приволжский региональный поисково-спасательный отряд МЧС России»)</v>
      </c>
      <c r="G11219" s="22" t="s">
        <v>217</v>
      </c>
      <c r="H11219" s="22" t="s">
        <v>937</v>
      </c>
      <c r="I11219" s="26">
        <v>43669.654699074097</v>
      </c>
      <c r="J11219" s="28" t="s">
        <v>51</v>
      </c>
      <c r="K11219" s="28" t="s">
        <v>51</v>
      </c>
      <c r="L11219" s="28" t="s">
        <v>51</v>
      </c>
      <c r="M11219" s="28" t="s">
        <v>51</v>
      </c>
      <c r="N11219" s="28" t="s">
        <v>51</v>
      </c>
    </row>
    <row r="11220" spans="1:14" hidden="1" outlineLevel="1" x14ac:dyDescent="0.2">
      <c r="A11220" s="23" t="str">
        <f>HYPERLINK("https://www.spark-marketing.ru/Card/Person/25454", "ФГКУ ""ПРПСО МЧС РОССИИ""")</f>
        <v>ФГКУ "ПРПСО МЧС РОССИИ"</v>
      </c>
      <c r="B11220" s="24" t="s">
        <v>15647</v>
      </c>
      <c r="C11220" s="25">
        <v>100000</v>
      </c>
      <c r="D11220" s="22" t="s">
        <v>15648</v>
      </c>
      <c r="E11220" s="22" t="s">
        <v>437</v>
      </c>
      <c r="F11220" s="23" t="str">
        <f>HYPERLINK("https://www.spark-marketing.ru/Card/Lot/72299227", "Оказание услуг по проведению экспертизы сухого полнорационного корма для служебных собак Казанского поисково-спасательного отряда (филиала ФГКУ ""Приволжский региональный поисково-спасательный отряд МЧС России»)")</f>
        <v>Оказание услуг по проведению экспертизы сухого полнорационного корма для служебных собак Казанского поисково-спасательного отряда (филиала ФГКУ "Приволжский региональный поисково-спасательный отряд МЧС России»)</v>
      </c>
      <c r="G11220" s="22" t="s">
        <v>217</v>
      </c>
      <c r="H11220" s="22" t="s">
        <v>937</v>
      </c>
      <c r="I11220" s="26">
        <v>43669.654699074097</v>
      </c>
      <c r="J11220" s="23" t="str">
        <f>HYPERLINK("https://www.spark-marketing.ru/Card/Person/387383", "ООО ""ЭКСПЕРТ""")</f>
        <v>ООО "ЭКСПЕРТ"</v>
      </c>
      <c r="K11220" s="24" t="s">
        <v>15649</v>
      </c>
      <c r="L11220" s="28" t="s">
        <v>51</v>
      </c>
      <c r="M11220" s="25">
        <v>65386.98</v>
      </c>
      <c r="N11220" s="27">
        <v>0.3461302</v>
      </c>
    </row>
    <row r="11221" spans="1:14" ht="12.75" hidden="1" outlineLevel="1" x14ac:dyDescent="0.2">
      <c r="A11221" s="23" t="str">
        <f>HYPERLINK("https://www.spark-marketing.ru/Card/Person/25454", "ФГКУ ""ПРПСО МЧС РОССИИ""")</f>
        <v>ФГКУ "ПРПСО МЧС РОССИИ"</v>
      </c>
      <c r="B11221" s="24" t="s">
        <v>15647</v>
      </c>
      <c r="C11221" s="25">
        <v>100000</v>
      </c>
      <c r="D11221" s="22" t="s">
        <v>15648</v>
      </c>
      <c r="E11221" s="22" t="s">
        <v>437</v>
      </c>
      <c r="F11221" s="23" t="str">
        <f>HYPERLINK("https://www.spark-marketing.ru/Card/Lot/72299227", "Оказание услуг по проведению экспертизы сухого полнорационного корма для служебных собак Казанского поисково-спасательного отряда (филиала ФГКУ ""Приволжский региональный поисково-спасательный отряд МЧС России»)")</f>
        <v>Оказание услуг по проведению экспертизы сухого полнорационного корма для служебных собак Казанского поисково-спасательного отряда (филиала ФГКУ "Приволжский региональный поисково-спасательный отряд МЧС России»)</v>
      </c>
      <c r="G11221" s="22" t="s">
        <v>217</v>
      </c>
      <c r="H11221" s="22" t="s">
        <v>937</v>
      </c>
      <c r="I11221" s="26">
        <v>43669.654699074097</v>
      </c>
      <c r="J11221" s="23" t="str">
        <f>HYPERLINK("https://www.spark-marketing.ru/Card/Person/4869608", "ООО ""ЦЕНТРЭКСПЕРТИЗА""")</f>
        <v>ООО "ЦЕНТРЭКСПЕРТИЗА"</v>
      </c>
      <c r="K11221" s="24" t="s">
        <v>15650</v>
      </c>
      <c r="L11221" s="22" t="s">
        <v>10</v>
      </c>
      <c r="M11221" s="25">
        <v>60386.98</v>
      </c>
      <c r="N11221" s="27">
        <v>0.39613019999999999</v>
      </c>
    </row>
    <row r="11222" spans="1:14" collapsed="1" x14ac:dyDescent="0.15">
      <c r="A11222" s="23" t="str">
        <f>HYPERLINK("https://www.spark-marketing.ru/Card/Person/947929", "МБОУ ""СОШ №1""")</f>
        <v>МБОУ "СОШ №1"</v>
      </c>
      <c r="B11222" s="24" t="s">
        <v>15651</v>
      </c>
      <c r="C11222" s="25">
        <v>509502.76</v>
      </c>
      <c r="D11222" s="22" t="s">
        <v>15652</v>
      </c>
      <c r="E11222" s="22" t="s">
        <v>48</v>
      </c>
      <c r="F11222" s="23" t="str">
        <f>HYPERLINK("https://www.spark-marketing.ru/Card/Lot/72274848", "Оказание услуг по организации горячего питания")</f>
        <v>Оказание услуг по организации горячего питания</v>
      </c>
      <c r="G11222" s="22" t="s">
        <v>281</v>
      </c>
      <c r="H11222" s="22" t="s">
        <v>281</v>
      </c>
      <c r="I11222" s="26">
        <v>43669.655555555597</v>
      </c>
      <c r="J11222" s="28" t="s">
        <v>51</v>
      </c>
      <c r="K11222" s="28" t="s">
        <v>51</v>
      </c>
      <c r="L11222" s="28" t="s">
        <v>51</v>
      </c>
      <c r="M11222" s="28" t="s">
        <v>51</v>
      </c>
      <c r="N11222" s="28" t="s">
        <v>51</v>
      </c>
    </row>
    <row r="11223" spans="1:14" ht="12.75" hidden="1" outlineLevel="1" x14ac:dyDescent="0.2">
      <c r="A11223" s="23" t="str">
        <f>HYPERLINK("https://www.spark-marketing.ru/Card/Person/947929", "МБОУ ""СОШ №1""")</f>
        <v>МБОУ "СОШ №1"</v>
      </c>
      <c r="B11223" s="24" t="s">
        <v>15651</v>
      </c>
      <c r="C11223" s="25">
        <v>509502.76</v>
      </c>
      <c r="D11223" s="22" t="s">
        <v>15652</v>
      </c>
      <c r="E11223" s="22" t="s">
        <v>48</v>
      </c>
      <c r="F11223" s="23" t="str">
        <f>HYPERLINK("https://www.spark-marketing.ru/Card/Lot/72274848", "Оказание услуг по организации горячего питания")</f>
        <v>Оказание услуг по организации горячего питания</v>
      </c>
      <c r="G11223" s="22" t="s">
        <v>281</v>
      </c>
      <c r="H11223" s="22" t="s">
        <v>281</v>
      </c>
      <c r="I11223" s="26">
        <v>43669.655555555597</v>
      </c>
      <c r="J11223" s="23" t="str">
        <f>HYPERLINK("https://www.spark-marketing.ru/Card/Person/969761", "Заплатина Людмила Альфредовна")</f>
        <v>Заплатина Людмила Альфредовна</v>
      </c>
      <c r="K11223" s="24" t="s">
        <v>7793</v>
      </c>
      <c r="L11223" s="22" t="s">
        <v>10</v>
      </c>
      <c r="M11223" s="25">
        <v>509502.76</v>
      </c>
      <c r="N11223" s="27">
        <v>0</v>
      </c>
    </row>
    <row r="11224" spans="1:14" hidden="1" outlineLevel="1" x14ac:dyDescent="0.2">
      <c r="A11224" s="23" t="str">
        <f>HYPERLINK("https://www.spark-marketing.ru/Card/Person/947929", "МБОУ ""СОШ №1""")</f>
        <v>МБОУ "СОШ №1"</v>
      </c>
      <c r="B11224" s="24" t="s">
        <v>15651</v>
      </c>
      <c r="C11224" s="25">
        <v>509502.76</v>
      </c>
      <c r="D11224" s="22" t="s">
        <v>15652</v>
      </c>
      <c r="E11224" s="22" t="s">
        <v>48</v>
      </c>
      <c r="F11224" s="23" t="str">
        <f>HYPERLINK("https://www.spark-marketing.ru/Card/Lot/72274848", "Оказание услуг по организации горячего питания")</f>
        <v>Оказание услуг по организации горячего питания</v>
      </c>
      <c r="G11224" s="22" t="s">
        <v>281</v>
      </c>
      <c r="H11224" s="22" t="s">
        <v>281</v>
      </c>
      <c r="I11224" s="26">
        <v>43669.655555555597</v>
      </c>
      <c r="J11224" s="23" t="str">
        <f>HYPERLINK("https://www.spark-marketing.ru/Card/Person/6168060", "ООО ""ВИКТОРИЯ""")</f>
        <v>ООО "ВИКТОРИЯ"</v>
      </c>
      <c r="K11224" s="24" t="s">
        <v>15323</v>
      </c>
      <c r="L11224" s="28" t="s">
        <v>51</v>
      </c>
      <c r="M11224" s="25">
        <v>382127.07</v>
      </c>
      <c r="N11224" s="27">
        <v>0.25</v>
      </c>
    </row>
    <row r="11225" spans="1:14" hidden="1" outlineLevel="1" x14ac:dyDescent="0.2">
      <c r="A11225" s="23" t="str">
        <f>HYPERLINK("https://www.spark-marketing.ru/Card/Person/947929", "МБОУ ""СОШ №1""")</f>
        <v>МБОУ "СОШ №1"</v>
      </c>
      <c r="B11225" s="24" t="s">
        <v>15651</v>
      </c>
      <c r="C11225" s="25">
        <v>509502.76</v>
      </c>
      <c r="D11225" s="22" t="s">
        <v>15652</v>
      </c>
      <c r="E11225" s="22" t="s">
        <v>48</v>
      </c>
      <c r="F11225" s="23" t="str">
        <f>HYPERLINK("https://www.spark-marketing.ru/Card/Lot/72274848", "Оказание услуг по организации горячего питания")</f>
        <v>Оказание услуг по организации горячего питания</v>
      </c>
      <c r="G11225" s="22" t="s">
        <v>281</v>
      </c>
      <c r="H11225" s="22" t="s">
        <v>281</v>
      </c>
      <c r="I11225" s="26">
        <v>43669.655555555597</v>
      </c>
      <c r="J11225" s="23" t="str">
        <f>HYPERLINK("https://www.spark-marketing.ru/Card/Person/218344", "ООО ""ПОЛЕКС""")</f>
        <v>ООО "ПОЛЕКС"</v>
      </c>
      <c r="K11225" s="24" t="s">
        <v>1449</v>
      </c>
      <c r="L11225" s="28" t="s">
        <v>51</v>
      </c>
      <c r="M11225" s="25">
        <v>509502.76</v>
      </c>
      <c r="N11225" s="27">
        <v>0</v>
      </c>
    </row>
    <row r="11226" spans="1:14" x14ac:dyDescent="0.15">
      <c r="A11226" s="23" t="str">
        <f>HYPERLINK("https://www.spark-marketing.ru/Card/Person/37108", "КГАУ ""СШОР ПО ХОККЕЮ С МЯЧОМ ""ЕНИСЕЙ""")</f>
        <v>КГАУ "СШОР ПО ХОККЕЮ С МЯЧОМ "ЕНИСЕЙ"</v>
      </c>
      <c r="B11226" s="24" t="s">
        <v>4625</v>
      </c>
      <c r="C11226" s="25">
        <v>743242.5</v>
      </c>
      <c r="D11226" s="22" t="s">
        <v>15653</v>
      </c>
      <c r="E11226" s="22" t="s">
        <v>769</v>
      </c>
      <c r="F11226" s="23" t="str">
        <f>HYPERLINK("https://www.spark-marketing.ru/Card/Lot/72290136", "Оказание услуг по проживанию и питанию спортсменов 2004 и 2009 г.р. на период проведения тренировочных мероприятий")</f>
        <v>Оказание услуг по проживанию и питанию спортсменов 2004 и 2009 г.р. на период проведения тренировочных мероприятий</v>
      </c>
      <c r="G11226" s="22" t="s">
        <v>281</v>
      </c>
      <c r="H11226" s="22" t="s">
        <v>281</v>
      </c>
      <c r="I11226" s="26">
        <v>43669.646435185197</v>
      </c>
      <c r="J11226" s="28" t="s">
        <v>51</v>
      </c>
      <c r="K11226" s="28" t="s">
        <v>51</v>
      </c>
      <c r="L11226" s="28" t="s">
        <v>51</v>
      </c>
      <c r="M11226" s="28" t="s">
        <v>51</v>
      </c>
      <c r="N11226" s="28" t="s">
        <v>51</v>
      </c>
    </row>
    <row r="11227" spans="1:14" x14ac:dyDescent="0.15">
      <c r="A11227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1227" s="24" t="s">
        <v>4297</v>
      </c>
      <c r="C11227" s="25">
        <v>19400</v>
      </c>
      <c r="D11227" s="22" t="s">
        <v>15654</v>
      </c>
      <c r="E11227" s="22" t="s">
        <v>48</v>
      </c>
      <c r="F11227" s="23" t="str">
        <f>HYPERLINK("https://www.spark-marketing.ru/Card/Lot/72273873",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1227" s="22" t="s">
        <v>1096</v>
      </c>
      <c r="H11227" s="22" t="s">
        <v>4299</v>
      </c>
      <c r="I11227" s="26">
        <v>43669.665509259299</v>
      </c>
      <c r="J11227" s="23" t="str">
        <f>HYPERLINK("https://www.spark-marketing.ru/Card/Person/116484", "МОУ СОШ № 14")</f>
        <v>МОУ СОШ № 14</v>
      </c>
      <c r="K11227" s="24" t="s">
        <v>15655</v>
      </c>
      <c r="L11227" s="22" t="s">
        <v>10</v>
      </c>
      <c r="M11227" s="28" t="s">
        <v>51</v>
      </c>
      <c r="N11227" s="28" t="s">
        <v>51</v>
      </c>
    </row>
    <row r="11228" spans="1:14" x14ac:dyDescent="0.15">
      <c r="A11228" s="23" t="str">
        <f>HYPERLINK("https://www.spark-marketing.ru/Card/Person/29335", "УМВД РОССИИ ПО ПСКОВСКОЙ ОБЛАСТИ")</f>
        <v>УМВД РОССИИ ПО ПСКОВСКОЙ ОБЛАСТИ</v>
      </c>
      <c r="B11228" s="24" t="s">
        <v>4993</v>
      </c>
      <c r="C11228" s="25">
        <v>3579587</v>
      </c>
      <c r="D11228" s="22" t="s">
        <v>15656</v>
      </c>
      <c r="E11228" s="22" t="s">
        <v>48</v>
      </c>
      <c r="F11228" s="23" t="str">
        <f>HYPERLINK("https://www.spark-marketing.ru/Card/Lot/72286702", "Оказание услуг по трехразовому горячему питанию слушателей ЦПП УМВД России по Псковской области")</f>
        <v>Оказание услуг по трехразовому горячему питанию слушателей ЦПП УМВД России по Псковской области</v>
      </c>
      <c r="G11228" s="22" t="s">
        <v>415</v>
      </c>
      <c r="H11228" s="22" t="s">
        <v>415</v>
      </c>
      <c r="I11228" s="26">
        <v>43669.649641203701</v>
      </c>
      <c r="J11228" s="23" t="str">
        <f>HYPERLINK("https://www.spark-marketing.ru/Card/Person/4893587", "ООО ""ПАТРИЯ""")</f>
        <v>ООО "ПАТРИЯ"</v>
      </c>
      <c r="K11228" s="24" t="s">
        <v>11315</v>
      </c>
      <c r="L11228" s="22" t="s">
        <v>10</v>
      </c>
      <c r="M11228" s="28" t="s">
        <v>51</v>
      </c>
      <c r="N11228" s="28" t="s">
        <v>51</v>
      </c>
    </row>
    <row r="11229" spans="1:14" x14ac:dyDescent="0.15">
      <c r="A11229" s="23" t="str">
        <f>HYPERLINK("https://www.spark-marketing.ru/Card/Person/37108", "КГАУ ""СШОР ПО ХОККЕЮ С МЯЧОМ ""ЕНИСЕЙ""")</f>
        <v>КГАУ "СШОР ПО ХОККЕЮ С МЯЧОМ "ЕНИСЕЙ"</v>
      </c>
      <c r="B11229" s="24" t="s">
        <v>4625</v>
      </c>
      <c r="C11229" s="25">
        <v>450450</v>
      </c>
      <c r="D11229" s="22" t="s">
        <v>15657</v>
      </c>
      <c r="E11229" s="22" t="s">
        <v>769</v>
      </c>
      <c r="F11229" s="23" t="str">
        <f>HYPERLINK("https://www.spark-marketing.ru/Card/Lot/72290097", "Оказание услуг по проживанию и питанию спортсменов 2004 г.р. на период проведения тренировочных мероприятий")</f>
        <v>Оказание услуг по проживанию и питанию спортсменов 2004 г.р. на период проведения тренировочных мероприятий</v>
      </c>
      <c r="G11229" s="22" t="s">
        <v>281</v>
      </c>
      <c r="H11229" s="22" t="s">
        <v>281</v>
      </c>
      <c r="I11229" s="26">
        <v>43669.616712962998</v>
      </c>
      <c r="J11229" s="28" t="s">
        <v>51</v>
      </c>
      <c r="K11229" s="28" t="s">
        <v>51</v>
      </c>
      <c r="L11229" s="28" t="s">
        <v>51</v>
      </c>
      <c r="M11229" s="28" t="s">
        <v>51</v>
      </c>
      <c r="N11229" s="28" t="s">
        <v>51</v>
      </c>
    </row>
    <row r="11230" spans="1:14" collapsed="1" x14ac:dyDescent="0.15">
      <c r="A11230" s="23" t="s">
        <v>114</v>
      </c>
      <c r="B11230" s="28" t="s">
        <v>51</v>
      </c>
      <c r="C11230" s="25">
        <v>10495205</v>
      </c>
      <c r="D11230" s="22" t="s">
        <v>15658</v>
      </c>
      <c r="E11230" s="22" t="s">
        <v>48</v>
      </c>
      <c r="F11230" s="23" t="str">
        <f t="shared" ref="F11230:F11239" si="308">HYPERLINK("https://www.spark-marketing.ru/Card/Lot/72279283", "Оказание услуг по организации обеспечения питанием учащихся")</f>
        <v>Оказание услуг по организации обеспечения питанием учащихся</v>
      </c>
      <c r="G11230" s="22" t="s">
        <v>51</v>
      </c>
      <c r="H11230" s="22" t="s">
        <v>51</v>
      </c>
      <c r="I11230" s="26">
        <v>43669.614583333299</v>
      </c>
      <c r="J11230" s="28" t="s">
        <v>51</v>
      </c>
      <c r="K11230" s="28" t="s">
        <v>51</v>
      </c>
      <c r="L11230" s="28" t="s">
        <v>51</v>
      </c>
      <c r="M11230" s="28" t="s">
        <v>51</v>
      </c>
      <c r="N11230" s="28" t="s">
        <v>51</v>
      </c>
    </row>
    <row r="11231" spans="1:14" hidden="1" outlineLevel="1" x14ac:dyDescent="0.15">
      <c r="A11231" s="23" t="str">
        <f>HYPERLINK("https://www.spark-marketing.ru/Card/Person/55406", "МБОУ СОШ № 6")</f>
        <v>МБОУ СОШ № 6</v>
      </c>
      <c r="B11231" s="24" t="s">
        <v>15659</v>
      </c>
      <c r="C11231" s="25">
        <v>2583609</v>
      </c>
      <c r="D11231" s="22" t="s">
        <v>15658</v>
      </c>
      <c r="E11231" s="22" t="s">
        <v>48</v>
      </c>
      <c r="F11231" s="23" t="str">
        <f t="shared" si="308"/>
        <v>Оказание услуг по организации обеспечения питанием учащихся</v>
      </c>
      <c r="G11231" s="22" t="s">
        <v>174</v>
      </c>
      <c r="H11231" s="22" t="s">
        <v>15660</v>
      </c>
      <c r="I11231" s="26">
        <v>43669.614583333299</v>
      </c>
      <c r="J11231" s="28" t="s">
        <v>51</v>
      </c>
      <c r="K11231" s="28" t="s">
        <v>51</v>
      </c>
      <c r="L11231" s="28" t="s">
        <v>51</v>
      </c>
      <c r="M11231" s="28" t="s">
        <v>51</v>
      </c>
      <c r="N11231" s="28" t="s">
        <v>51</v>
      </c>
    </row>
    <row r="11232" spans="1:14" hidden="1" outlineLevel="1" x14ac:dyDescent="0.15">
      <c r="A11232" s="23" t="str">
        <f>HYPERLINK("https://www.spark-marketing.ru/Card/Person/87460", "МБОУ ""СОШ № 3""")</f>
        <v>МБОУ "СОШ № 3"</v>
      </c>
      <c r="B11232" s="24" t="s">
        <v>15661</v>
      </c>
      <c r="C11232" s="25">
        <v>2280177</v>
      </c>
      <c r="D11232" s="22" t="s">
        <v>15658</v>
      </c>
      <c r="E11232" s="22" t="s">
        <v>48</v>
      </c>
      <c r="F11232" s="23" t="str">
        <f t="shared" si="308"/>
        <v>Оказание услуг по организации обеспечения питанием учащихся</v>
      </c>
      <c r="G11232" s="22" t="s">
        <v>174</v>
      </c>
      <c r="H11232" s="22" t="s">
        <v>15660</v>
      </c>
      <c r="I11232" s="26">
        <v>43669.614583333299</v>
      </c>
      <c r="J11232" s="28" t="s">
        <v>51</v>
      </c>
      <c r="K11232" s="28" t="s">
        <v>51</v>
      </c>
      <c r="L11232" s="28" t="s">
        <v>51</v>
      </c>
      <c r="M11232" s="28" t="s">
        <v>51</v>
      </c>
      <c r="N11232" s="28" t="s">
        <v>51</v>
      </c>
    </row>
    <row r="11233" spans="1:14" hidden="1" outlineLevel="1" x14ac:dyDescent="0.15">
      <c r="A11233" s="23" t="str">
        <f>HYPERLINK("https://www.spark-marketing.ru/Card/Person/1012572", "МКОУ СОШ № 12")</f>
        <v>МКОУ СОШ № 12</v>
      </c>
      <c r="B11233" s="24" t="s">
        <v>15662</v>
      </c>
      <c r="C11233" s="25">
        <v>430471</v>
      </c>
      <c r="D11233" s="22" t="s">
        <v>15658</v>
      </c>
      <c r="E11233" s="22" t="s">
        <v>48</v>
      </c>
      <c r="F11233" s="23" t="str">
        <f t="shared" si="308"/>
        <v>Оказание услуг по организации обеспечения питанием учащихся</v>
      </c>
      <c r="G11233" s="22" t="s">
        <v>174</v>
      </c>
      <c r="H11233" s="22" t="s">
        <v>15660</v>
      </c>
      <c r="I11233" s="26">
        <v>43669.614583333299</v>
      </c>
      <c r="J11233" s="28" t="s">
        <v>51</v>
      </c>
      <c r="K11233" s="28" t="s">
        <v>51</v>
      </c>
      <c r="L11233" s="28" t="s">
        <v>51</v>
      </c>
      <c r="M11233" s="28" t="s">
        <v>51</v>
      </c>
      <c r="N11233" s="28" t="s">
        <v>51</v>
      </c>
    </row>
    <row r="11234" spans="1:14" hidden="1" outlineLevel="1" x14ac:dyDescent="0.15">
      <c r="A11234" s="23" t="str">
        <f>HYPERLINK("https://www.spark-marketing.ru/Card/Person/1013608", "МКОУ ООШ Д.НЕЛОБА")</f>
        <v>МКОУ ООШ Д.НЕЛОБА</v>
      </c>
      <c r="B11234" s="24" t="s">
        <v>15663</v>
      </c>
      <c r="C11234" s="25">
        <v>95748</v>
      </c>
      <c r="D11234" s="22" t="s">
        <v>15658</v>
      </c>
      <c r="E11234" s="22" t="s">
        <v>48</v>
      </c>
      <c r="F11234" s="23" t="str">
        <f t="shared" si="308"/>
        <v>Оказание услуг по организации обеспечения питанием учащихся</v>
      </c>
      <c r="G11234" s="22" t="s">
        <v>174</v>
      </c>
      <c r="H11234" s="22" t="s">
        <v>15660</v>
      </c>
      <c r="I11234" s="26">
        <v>43669.614583333299</v>
      </c>
      <c r="J11234" s="28" t="s">
        <v>51</v>
      </c>
      <c r="K11234" s="28" t="s">
        <v>51</v>
      </c>
      <c r="L11234" s="28" t="s">
        <v>51</v>
      </c>
      <c r="M11234" s="28" t="s">
        <v>51</v>
      </c>
      <c r="N11234" s="28" t="s">
        <v>51</v>
      </c>
    </row>
    <row r="11235" spans="1:14" hidden="1" outlineLevel="1" x14ac:dyDescent="0.15">
      <c r="A11235" s="23" t="str">
        <f>HYPERLINK("https://www.spark-marketing.ru/Card/Person/1025599", "МКОУ НСОШ")</f>
        <v>МКОУ НСОШ</v>
      </c>
      <c r="B11235" s="24" t="s">
        <v>15664</v>
      </c>
      <c r="C11235" s="25">
        <v>443585</v>
      </c>
      <c r="D11235" s="22" t="s">
        <v>15658</v>
      </c>
      <c r="E11235" s="22" t="s">
        <v>48</v>
      </c>
      <c r="F11235" s="23" t="str">
        <f t="shared" si="308"/>
        <v>Оказание услуг по организации обеспечения питанием учащихся</v>
      </c>
      <c r="G11235" s="22" t="s">
        <v>174</v>
      </c>
      <c r="H11235" s="22" t="s">
        <v>15660</v>
      </c>
      <c r="I11235" s="26">
        <v>43669.614583333299</v>
      </c>
      <c r="J11235" s="28" t="s">
        <v>51</v>
      </c>
      <c r="K11235" s="28" t="s">
        <v>51</v>
      </c>
      <c r="L11235" s="28" t="s">
        <v>51</v>
      </c>
      <c r="M11235" s="28" t="s">
        <v>51</v>
      </c>
      <c r="N11235" s="28" t="s">
        <v>51</v>
      </c>
    </row>
    <row r="11236" spans="1:14" hidden="1" outlineLevel="1" x14ac:dyDescent="0.15">
      <c r="A11236" s="23" t="str">
        <f>HYPERLINK("https://www.spark-marketing.ru/Card/Person/2260736", "МБОУ ""ШКОЛА-ИНТЕРНАТ №9""")</f>
        <v>МБОУ "ШКОЛА-ИНТЕРНАТ №9"</v>
      </c>
      <c r="B11236" s="24" t="s">
        <v>15665</v>
      </c>
      <c r="C11236" s="25">
        <v>1856273</v>
      </c>
      <c r="D11236" s="22" t="s">
        <v>15658</v>
      </c>
      <c r="E11236" s="22" t="s">
        <v>48</v>
      </c>
      <c r="F11236" s="23" t="str">
        <f t="shared" si="308"/>
        <v>Оказание услуг по организации обеспечения питанием учащихся</v>
      </c>
      <c r="G11236" s="22" t="s">
        <v>174</v>
      </c>
      <c r="H11236" s="22" t="s">
        <v>15660</v>
      </c>
      <c r="I11236" s="26">
        <v>43669.614583333299</v>
      </c>
      <c r="J11236" s="28" t="s">
        <v>51</v>
      </c>
      <c r="K11236" s="28" t="s">
        <v>51</v>
      </c>
      <c r="L11236" s="28" t="s">
        <v>51</v>
      </c>
      <c r="M11236" s="28" t="s">
        <v>51</v>
      </c>
      <c r="N11236" s="28" t="s">
        <v>51</v>
      </c>
    </row>
    <row r="11237" spans="1:14" hidden="1" outlineLevel="1" x14ac:dyDescent="0.15">
      <c r="A11237" s="23" t="str">
        <f>HYPERLINK("https://www.spark-marketing.ru/Card/Person/4349145", "СРЕДНЯЯ ШКОЛА-ИНТЕРНАТ №17")</f>
        <v>СРЕДНЯЯ ШКОЛА-ИНТЕРНАТ №17</v>
      </c>
      <c r="B11237" s="24" t="s">
        <v>15666</v>
      </c>
      <c r="C11237" s="25">
        <v>2805342</v>
      </c>
      <c r="D11237" s="22" t="s">
        <v>15658</v>
      </c>
      <c r="E11237" s="22" t="s">
        <v>48</v>
      </c>
      <c r="F11237" s="23" t="str">
        <f t="shared" si="308"/>
        <v>Оказание услуг по организации обеспечения питанием учащихся</v>
      </c>
      <c r="G11237" s="22" t="s">
        <v>174</v>
      </c>
      <c r="H11237" s="22" t="s">
        <v>15660</v>
      </c>
      <c r="I11237" s="26">
        <v>43669.614583333299</v>
      </c>
      <c r="J11237" s="28" t="s">
        <v>51</v>
      </c>
      <c r="K11237" s="28" t="s">
        <v>51</v>
      </c>
      <c r="L11237" s="28" t="s">
        <v>51</v>
      </c>
      <c r="M11237" s="28" t="s">
        <v>51</v>
      </c>
      <c r="N11237" s="28" t="s">
        <v>51</v>
      </c>
    </row>
    <row r="11238" spans="1:14" hidden="1" outlineLevel="1" x14ac:dyDescent="0.2">
      <c r="A11238" s="28" t="s">
        <v>51</v>
      </c>
      <c r="B11238" s="28" t="s">
        <v>51</v>
      </c>
      <c r="C11238" s="28" t="s">
        <v>51</v>
      </c>
      <c r="D11238" s="22" t="s">
        <v>15658</v>
      </c>
      <c r="E11238" s="22" t="s">
        <v>48</v>
      </c>
      <c r="F11238" s="23" t="str">
        <f t="shared" si="308"/>
        <v>Оказание услуг по организации обеспечения питанием учащихся</v>
      </c>
      <c r="G11238" s="22" t="s">
        <v>51</v>
      </c>
      <c r="H11238" s="22" t="s">
        <v>51</v>
      </c>
      <c r="I11238" s="26">
        <v>43669.614583333299</v>
      </c>
      <c r="J11238" s="23" t="str">
        <f>HYPERLINK("https://www.spark-marketing.ru/Card/Person/4952099", "ООО ""ТОП""")</f>
        <v>ООО "ТОП"</v>
      </c>
      <c r="K11238" s="24" t="s">
        <v>15133</v>
      </c>
      <c r="L11238" s="22" t="s">
        <v>10</v>
      </c>
      <c r="M11238" s="25">
        <v>9760540</v>
      </c>
      <c r="N11238" s="27">
        <v>7.0000061933044658E-2</v>
      </c>
    </row>
    <row r="11239" spans="1:14" hidden="1" outlineLevel="1" x14ac:dyDescent="0.2">
      <c r="A11239" s="28" t="s">
        <v>51</v>
      </c>
      <c r="B11239" s="28" t="s">
        <v>51</v>
      </c>
      <c r="C11239" s="28" t="s">
        <v>51</v>
      </c>
      <c r="D11239" s="22" t="s">
        <v>15658</v>
      </c>
      <c r="E11239" s="22" t="s">
        <v>48</v>
      </c>
      <c r="F11239" s="23" t="str">
        <f t="shared" si="308"/>
        <v>Оказание услуг по организации обеспечения питанием учащихся</v>
      </c>
      <c r="G11239" s="22" t="s">
        <v>51</v>
      </c>
      <c r="H11239" s="22" t="s">
        <v>51</v>
      </c>
      <c r="I11239" s="26">
        <v>43669.614583333299</v>
      </c>
      <c r="J11239" s="23" t="str">
        <f>HYPERLINK("https://www.spark-marketing.ru/Card/Person/63499", "ООО ""СОЦИАЛЬНОЕ ПИТАНИЕ""")</f>
        <v>ООО "СОЦИАЛЬНОЕ ПИТАНИЕ"</v>
      </c>
      <c r="K11239" s="24" t="s">
        <v>13783</v>
      </c>
      <c r="L11239" s="28" t="s">
        <v>51</v>
      </c>
      <c r="M11239" s="25">
        <v>9865493</v>
      </c>
      <c r="N11239" s="27">
        <v>5.9999971415517848E-2</v>
      </c>
    </row>
    <row r="11240" spans="1:14" collapsed="1" x14ac:dyDescent="0.15">
      <c r="A11240" s="23" t="str">
        <f>HYPERLINK("https://www.spark-marketing.ru/Card/Person/4379776", "МОУ ""СЛАНЦЕВСКАЯ СОШ № 2 """)</f>
        <v>МОУ "СЛАНЦЕВСКАЯ СОШ № 2 "</v>
      </c>
      <c r="B11240" s="24" t="s">
        <v>15667</v>
      </c>
      <c r="C11240" s="25">
        <v>2039500</v>
      </c>
      <c r="D11240" s="22" t="s">
        <v>15668</v>
      </c>
      <c r="E11240" s="22" t="s">
        <v>48</v>
      </c>
      <c r="F11240" s="23" t="str">
        <f>HYPERLINK("https://www.spark-marketing.ru/Card/Lot/72281865", "Организация горячего питания для льготных категорий обучающихся, обеспечения молоком и кисломолочными продуктами обучающихся 1-4 классов")</f>
        <v>Организация горячего питания для льготных категорий обучающихся, обеспечения молоком и кисломолочными продуктами обучающихся 1-4 классов</v>
      </c>
      <c r="G11240" s="22" t="s">
        <v>162</v>
      </c>
      <c r="H11240" s="22" t="s">
        <v>15669</v>
      </c>
      <c r="I11240" s="26">
        <v>43669.618750000001</v>
      </c>
      <c r="J11240" s="28" t="s">
        <v>51</v>
      </c>
      <c r="K11240" s="28" t="s">
        <v>51</v>
      </c>
      <c r="L11240" s="28" t="s">
        <v>51</v>
      </c>
      <c r="M11240" s="28" t="s">
        <v>51</v>
      </c>
      <c r="N11240" s="28" t="s">
        <v>51</v>
      </c>
    </row>
    <row r="11241" spans="1:14" ht="12.75" hidden="1" outlineLevel="1" x14ac:dyDescent="0.2">
      <c r="A11241" s="23" t="str">
        <f>HYPERLINK("https://www.spark-marketing.ru/Card/Person/4379776", "МОУ ""СЛАНЦЕВСКАЯ СОШ № 2 """)</f>
        <v>МОУ "СЛАНЦЕВСКАЯ СОШ № 2 "</v>
      </c>
      <c r="B11241" s="24" t="s">
        <v>15667</v>
      </c>
      <c r="C11241" s="25">
        <v>2039500</v>
      </c>
      <c r="D11241" s="22" t="s">
        <v>15668</v>
      </c>
      <c r="E11241" s="22" t="s">
        <v>48</v>
      </c>
      <c r="F11241" s="23" t="str">
        <f>HYPERLINK("https://www.spark-marketing.ru/Card/Lot/72281865", "Организация горячего питания для льготных категорий обучающихся, обеспечения молоком и кисломолочными продуктами обучающихся 1-4 классов")</f>
        <v>Организация горячего питания для льготных категорий обучающихся, обеспечения молоком и кисломолочными продуктами обучающихся 1-4 классов</v>
      </c>
      <c r="G11241" s="22" t="s">
        <v>162</v>
      </c>
      <c r="H11241" s="22" t="s">
        <v>15669</v>
      </c>
      <c r="I11241" s="26">
        <v>43669.618750000001</v>
      </c>
      <c r="J11241" s="23" t="str">
        <f>HYPERLINK("https://www.spark-marketing.ru/Card/Person/672838", "Морысева Лилия Александровна")</f>
        <v>Морысева Лилия Александровна</v>
      </c>
      <c r="K11241" s="24" t="s">
        <v>15670</v>
      </c>
      <c r="L11241" s="22" t="s">
        <v>10</v>
      </c>
      <c r="M11241" s="25">
        <v>2039500</v>
      </c>
      <c r="N11241" s="27">
        <v>0</v>
      </c>
    </row>
    <row r="11242" spans="1:14" hidden="1" outlineLevel="1" x14ac:dyDescent="0.2">
      <c r="A11242" s="23" t="str">
        <f>HYPERLINK("https://www.spark-marketing.ru/Card/Person/4379776", "МОУ ""СЛАНЦЕВСКАЯ СОШ № 2 """)</f>
        <v>МОУ "СЛАНЦЕВСКАЯ СОШ № 2 "</v>
      </c>
      <c r="B11242" s="24" t="s">
        <v>15667</v>
      </c>
      <c r="C11242" s="25">
        <v>2039500</v>
      </c>
      <c r="D11242" s="22" t="s">
        <v>15668</v>
      </c>
      <c r="E11242" s="22" t="s">
        <v>48</v>
      </c>
      <c r="F11242" s="23" t="str">
        <f>HYPERLINK("https://www.spark-marketing.ru/Card/Lot/72281865", "Организация горячего питания для льготных категорий обучающихся, обеспечения молоком и кисломолочными продуктами обучающихся 1-4 классов")</f>
        <v>Организация горячего питания для льготных категорий обучающихся, обеспечения молоком и кисломолочными продуктами обучающихся 1-4 классов</v>
      </c>
      <c r="G11242" s="22" t="s">
        <v>162</v>
      </c>
      <c r="H11242" s="22" t="s">
        <v>15669</v>
      </c>
      <c r="I11242" s="26">
        <v>43669.618750000001</v>
      </c>
      <c r="J11242" s="23" t="str">
        <f>HYPERLINK("https://www.spark-marketing.ru/Card/Person/668617", "Колесников Дмитрий Юрьевич")</f>
        <v>Колесников Дмитрий Юрьевич</v>
      </c>
      <c r="K11242" s="24" t="s">
        <v>15671</v>
      </c>
      <c r="L11242" s="28" t="s">
        <v>51</v>
      </c>
      <c r="M11242" s="25">
        <v>2039500</v>
      </c>
      <c r="N11242" s="27">
        <v>0</v>
      </c>
    </row>
    <row r="11243" spans="1:14" collapsed="1" x14ac:dyDescent="0.15">
      <c r="A11243" s="23" t="s">
        <v>114</v>
      </c>
      <c r="B11243" s="28" t="s">
        <v>51</v>
      </c>
      <c r="C11243" s="25">
        <v>24463880</v>
      </c>
      <c r="D11243" s="22" t="s">
        <v>15672</v>
      </c>
      <c r="E11243" s="22" t="s">
        <v>96</v>
      </c>
      <c r="F11243" s="23" t="str">
        <f t="shared" ref="F11243:F11252" si="309">HYPERLINK("https://www.spark-marketing.ru/Card/Lot/72282509",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11243" s="22" t="s">
        <v>51</v>
      </c>
      <c r="H11243" s="22" t="s">
        <v>51</v>
      </c>
      <c r="I11243" s="26">
        <v>43669.599305555603</v>
      </c>
      <c r="J11243" s="28" t="s">
        <v>51</v>
      </c>
      <c r="K11243" s="28" t="s">
        <v>51</v>
      </c>
      <c r="L11243" s="28" t="s">
        <v>51</v>
      </c>
      <c r="M11243" s="28" t="s">
        <v>51</v>
      </c>
      <c r="N11243" s="28" t="s">
        <v>51</v>
      </c>
    </row>
    <row r="11244" spans="1:14" hidden="1" outlineLevel="1" x14ac:dyDescent="0.15">
      <c r="A11244" s="23" t="str">
        <f>HYPERLINK("https://www.spark-marketing.ru/Card/Person/72593", "МБОУ СОШ № 94 ИМЕНИ ГЕНЕРАЛА ЛИЗЮКОВА А.И.")</f>
        <v>МБОУ СОШ № 94 ИМЕНИ ГЕНЕРАЛА ЛИЗЮКОВА А.И.</v>
      </c>
      <c r="B11244" s="24" t="s">
        <v>15673</v>
      </c>
      <c r="C11244" s="25">
        <v>3771180</v>
      </c>
      <c r="D11244" s="22" t="s">
        <v>15672</v>
      </c>
      <c r="E11244" s="22" t="s">
        <v>96</v>
      </c>
      <c r="F11244" s="23" t="str">
        <f t="shared" si="309"/>
        <v>Оказание услуг по организации горячего питания школьников на 2019-2020 учебный год</v>
      </c>
      <c r="G11244" s="22" t="s">
        <v>82</v>
      </c>
      <c r="H11244" s="22" t="s">
        <v>83</v>
      </c>
      <c r="I11244" s="26">
        <v>43669.599305555603</v>
      </c>
      <c r="J11244" s="28" t="s">
        <v>51</v>
      </c>
      <c r="K11244" s="28" t="s">
        <v>51</v>
      </c>
      <c r="L11244" s="28" t="s">
        <v>51</v>
      </c>
      <c r="M11244" s="28" t="s">
        <v>51</v>
      </c>
      <c r="N11244" s="28" t="s">
        <v>51</v>
      </c>
    </row>
    <row r="11245" spans="1:14" hidden="1" outlineLevel="1" x14ac:dyDescent="0.15">
      <c r="A11245" s="23" t="str">
        <f>HYPERLINK("https://www.spark-marketing.ru/Card/Person/90016", "МБОУ СОШ № 98")</f>
        <v>МБОУ СОШ № 98</v>
      </c>
      <c r="B11245" s="24" t="s">
        <v>15674</v>
      </c>
      <c r="C11245" s="25">
        <v>5680059</v>
      </c>
      <c r="D11245" s="22" t="s">
        <v>15672</v>
      </c>
      <c r="E11245" s="22" t="s">
        <v>96</v>
      </c>
      <c r="F11245" s="23" t="str">
        <f t="shared" si="309"/>
        <v>Оказание услуг по организации горячего питания школьников на 2019-2020 учебный год</v>
      </c>
      <c r="G11245" s="22" t="s">
        <v>82</v>
      </c>
      <c r="H11245" s="22" t="s">
        <v>83</v>
      </c>
      <c r="I11245" s="26">
        <v>43669.599305555603</v>
      </c>
      <c r="J11245" s="28" t="s">
        <v>51</v>
      </c>
      <c r="K11245" s="28" t="s">
        <v>51</v>
      </c>
      <c r="L11245" s="28" t="s">
        <v>51</v>
      </c>
      <c r="M11245" s="28" t="s">
        <v>51</v>
      </c>
      <c r="N11245" s="28" t="s">
        <v>51</v>
      </c>
    </row>
    <row r="11246" spans="1:14" hidden="1" outlineLevel="1" x14ac:dyDescent="0.15">
      <c r="A11246" s="23" t="str">
        <f>HYPERLINK("https://www.spark-marketing.ru/Card/Person/90313", "МБОУ СОШ № 88 С УИОП")</f>
        <v>МБОУ СОШ № 88 С УИОП</v>
      </c>
      <c r="B11246" s="24" t="s">
        <v>15675</v>
      </c>
      <c r="C11246" s="25">
        <v>4394320</v>
      </c>
      <c r="D11246" s="22" t="s">
        <v>15672</v>
      </c>
      <c r="E11246" s="22" t="s">
        <v>96</v>
      </c>
      <c r="F11246" s="23" t="str">
        <f t="shared" si="309"/>
        <v>Оказание услуг по организации горячего питания школьников на 2019-2020 учебный год</v>
      </c>
      <c r="G11246" s="22" t="s">
        <v>82</v>
      </c>
      <c r="H11246" s="22" t="s">
        <v>83</v>
      </c>
      <c r="I11246" s="26">
        <v>43669.599305555603</v>
      </c>
      <c r="J11246" s="28" t="s">
        <v>51</v>
      </c>
      <c r="K11246" s="28" t="s">
        <v>51</v>
      </c>
      <c r="L11246" s="28" t="s">
        <v>51</v>
      </c>
      <c r="M11246" s="28" t="s">
        <v>51</v>
      </c>
      <c r="N11246" s="28" t="s">
        <v>51</v>
      </c>
    </row>
    <row r="11247" spans="1:14" hidden="1" outlineLevel="1" x14ac:dyDescent="0.15">
      <c r="A11247" s="23" t="str">
        <f>HYPERLINK("https://www.spark-marketing.ru/Card/Person/106234", "МБОУ СОШ № 87")</f>
        <v>МБОУ СОШ № 87</v>
      </c>
      <c r="B11247" s="24" t="s">
        <v>15676</v>
      </c>
      <c r="C11247" s="25">
        <v>3908926</v>
      </c>
      <c r="D11247" s="22" t="s">
        <v>15672</v>
      </c>
      <c r="E11247" s="22" t="s">
        <v>96</v>
      </c>
      <c r="F11247" s="23" t="str">
        <f t="shared" si="309"/>
        <v>Оказание услуг по организации горячего питания школьников на 2019-2020 учебный год</v>
      </c>
      <c r="G11247" s="22" t="s">
        <v>82</v>
      </c>
      <c r="H11247" s="22" t="s">
        <v>83</v>
      </c>
      <c r="I11247" s="26">
        <v>43669.599305555603</v>
      </c>
      <c r="J11247" s="28" t="s">
        <v>51</v>
      </c>
      <c r="K11247" s="28" t="s">
        <v>51</v>
      </c>
      <c r="L11247" s="28" t="s">
        <v>51</v>
      </c>
      <c r="M11247" s="28" t="s">
        <v>51</v>
      </c>
      <c r="N11247" s="28" t="s">
        <v>51</v>
      </c>
    </row>
    <row r="11248" spans="1:14" hidden="1" outlineLevel="1" x14ac:dyDescent="0.15">
      <c r="A11248" s="23" t="str">
        <f>HYPERLINK("https://www.spark-marketing.ru/Card/Person/122137", "МБОУ СОШ № 99")</f>
        <v>МБОУ СОШ № 99</v>
      </c>
      <c r="B11248" s="24" t="s">
        <v>15677</v>
      </c>
      <c r="C11248" s="25">
        <v>3434291</v>
      </c>
      <c r="D11248" s="22" t="s">
        <v>15672</v>
      </c>
      <c r="E11248" s="22" t="s">
        <v>96</v>
      </c>
      <c r="F11248" s="23" t="str">
        <f t="shared" si="309"/>
        <v>Оказание услуг по организации горячего питания школьников на 2019-2020 учебный год</v>
      </c>
      <c r="G11248" s="22" t="s">
        <v>82</v>
      </c>
      <c r="H11248" s="22" t="s">
        <v>83</v>
      </c>
      <c r="I11248" s="26">
        <v>43669.599305555603</v>
      </c>
      <c r="J11248" s="28" t="s">
        <v>51</v>
      </c>
      <c r="K11248" s="28" t="s">
        <v>51</v>
      </c>
      <c r="L11248" s="28" t="s">
        <v>51</v>
      </c>
      <c r="M11248" s="28" t="s">
        <v>51</v>
      </c>
      <c r="N11248" s="28" t="s">
        <v>51</v>
      </c>
    </row>
    <row r="11249" spans="1:14" hidden="1" outlineLevel="1" x14ac:dyDescent="0.15">
      <c r="A11249" s="23" t="str">
        <f>HYPERLINK("https://www.spark-marketing.ru/Card/Person/122998", "МБОУ СОШ № 93")</f>
        <v>МБОУ СОШ № 93</v>
      </c>
      <c r="B11249" s="24" t="s">
        <v>15678</v>
      </c>
      <c r="C11249" s="25">
        <v>3275104</v>
      </c>
      <c r="D11249" s="22" t="s">
        <v>15672</v>
      </c>
      <c r="E11249" s="22" t="s">
        <v>96</v>
      </c>
      <c r="F11249" s="23" t="str">
        <f t="shared" si="309"/>
        <v>Оказание услуг по организации горячего питания школьников на 2019-2020 учебный год</v>
      </c>
      <c r="G11249" s="22" t="s">
        <v>82</v>
      </c>
      <c r="H11249" s="22" t="s">
        <v>83</v>
      </c>
      <c r="I11249" s="26">
        <v>43669.599305555603</v>
      </c>
      <c r="J11249" s="28" t="s">
        <v>51</v>
      </c>
      <c r="K11249" s="28" t="s">
        <v>51</v>
      </c>
      <c r="L11249" s="28" t="s">
        <v>51</v>
      </c>
      <c r="M11249" s="28" t="s">
        <v>51</v>
      </c>
      <c r="N11249" s="28" t="s">
        <v>51</v>
      </c>
    </row>
    <row r="11250" spans="1:14" hidden="1" outlineLevel="1" x14ac:dyDescent="0.2">
      <c r="A11250" s="28" t="s">
        <v>51</v>
      </c>
      <c r="B11250" s="28" t="s">
        <v>51</v>
      </c>
      <c r="C11250" s="28" t="s">
        <v>51</v>
      </c>
      <c r="D11250" s="22" t="s">
        <v>15672</v>
      </c>
      <c r="E11250" s="22" t="s">
        <v>96</v>
      </c>
      <c r="F11250" s="23" t="str">
        <f t="shared" si="309"/>
        <v>Оказание услуг по организации горячего питания школьников на 2019-2020 учебный год</v>
      </c>
      <c r="G11250" s="22" t="s">
        <v>51</v>
      </c>
      <c r="H11250" s="22" t="s">
        <v>51</v>
      </c>
      <c r="I11250" s="26">
        <v>43669.599305555603</v>
      </c>
      <c r="J11250" s="23" t="str">
        <f>HYPERLINK("https://www.spark-marketing.ru/Card/Person/89737", "ООО ""ИНДИКАТ""")</f>
        <v>ООО "ИНДИКАТ"</v>
      </c>
      <c r="K11250" s="24" t="s">
        <v>7815</v>
      </c>
      <c r="L11250" s="28" t="s">
        <v>51</v>
      </c>
      <c r="M11250" s="25">
        <v>22015000</v>
      </c>
      <c r="N11250" s="27">
        <v>0.10010186446303694</v>
      </c>
    </row>
    <row r="11251" spans="1:14" hidden="1" outlineLevel="1" x14ac:dyDescent="0.2">
      <c r="A11251" s="28" t="s">
        <v>51</v>
      </c>
      <c r="B11251" s="28" t="s">
        <v>51</v>
      </c>
      <c r="C11251" s="28" t="s">
        <v>51</v>
      </c>
      <c r="D11251" s="22" t="s">
        <v>15672</v>
      </c>
      <c r="E11251" s="22" t="s">
        <v>96</v>
      </c>
      <c r="F11251" s="23" t="str">
        <f t="shared" si="309"/>
        <v>Оказание услуг по организации горячего питания школьников на 2019-2020 учебный год</v>
      </c>
      <c r="G11251" s="22" t="s">
        <v>51</v>
      </c>
      <c r="H11251" s="22" t="s">
        <v>51</v>
      </c>
      <c r="I11251" s="26">
        <v>43669.599305555603</v>
      </c>
      <c r="J11251" s="23" t="str">
        <f>HYPERLINK("https://www.spark-marketing.ru/Card/Person/59814", "ООО КП ""СОЛНЕЧНЫЙ""")</f>
        <v>ООО КП "СОЛНЕЧНЫЙ"</v>
      </c>
      <c r="K11251" s="24" t="s">
        <v>7783</v>
      </c>
      <c r="L11251" s="28" t="s">
        <v>51</v>
      </c>
      <c r="M11251" s="25">
        <v>18592549</v>
      </c>
      <c r="N11251" s="27">
        <v>0.23999999182468193</v>
      </c>
    </row>
    <row r="11252" spans="1:14" hidden="1" outlineLevel="1" x14ac:dyDescent="0.2">
      <c r="A11252" s="28" t="s">
        <v>51</v>
      </c>
      <c r="B11252" s="28" t="s">
        <v>51</v>
      </c>
      <c r="C11252" s="28" t="s">
        <v>51</v>
      </c>
      <c r="D11252" s="22" t="s">
        <v>15672</v>
      </c>
      <c r="E11252" s="22" t="s">
        <v>96</v>
      </c>
      <c r="F11252" s="23" t="str">
        <f t="shared" si="309"/>
        <v>Оказание услуг по организации горячего питания школьников на 2019-2020 учебный год</v>
      </c>
      <c r="G11252" s="22" t="s">
        <v>51</v>
      </c>
      <c r="H11252" s="22" t="s">
        <v>51</v>
      </c>
      <c r="I11252" s="26">
        <v>43669.599305555603</v>
      </c>
      <c r="J11252" s="23" t="str">
        <f>HYPERLINK("https://www.spark-marketing.ru/Card/Person/81010", "ООО ""ТД СПП""")</f>
        <v>ООО "ТД СПП"</v>
      </c>
      <c r="K11252" s="24" t="s">
        <v>7782</v>
      </c>
      <c r="L11252" s="22" t="s">
        <v>10</v>
      </c>
      <c r="M11252" s="25">
        <v>24463880</v>
      </c>
      <c r="N11252" s="27">
        <v>0</v>
      </c>
    </row>
    <row r="11253" spans="1:14" collapsed="1" x14ac:dyDescent="0.15">
      <c r="A11253" s="23" t="str">
        <f>HYPERLINK("https://www.spark-marketing.ru/Card/Person/125357", "БУЗ УР ""ГЛАЗОВСКИЙ МПНД МЗ УР""")</f>
        <v>БУЗ УР "ГЛАЗОВСКИЙ МПНД МЗ УР"</v>
      </c>
      <c r="B11253" s="24" t="s">
        <v>15679</v>
      </c>
      <c r="C11253" s="25">
        <v>823125</v>
      </c>
      <c r="D11253" s="22" t="s">
        <v>15680</v>
      </c>
      <c r="E11253" s="22" t="s">
        <v>48</v>
      </c>
      <c r="F11253" s="23" t="str">
        <f>HYPERLINK("https://www.spark-marketing.ru/Card/Lot/72279801", "№ зз-25186-19 услуги по организации питания больных круглосуточного стационара и отделения дневного пребывания")</f>
        <v>№ зз-25186-19 услуги по организации питания больных круглосуточного стационара и отделения дневного пребывания</v>
      </c>
      <c r="G11253" s="22" t="s">
        <v>852</v>
      </c>
      <c r="H11253" s="22" t="s">
        <v>992</v>
      </c>
      <c r="I11253" s="26">
        <v>43669.614768518499</v>
      </c>
      <c r="J11253" s="28" t="s">
        <v>51</v>
      </c>
      <c r="K11253" s="28" t="s">
        <v>51</v>
      </c>
      <c r="L11253" s="28" t="s">
        <v>51</v>
      </c>
      <c r="M11253" s="28" t="s">
        <v>51</v>
      </c>
      <c r="N11253" s="28" t="s">
        <v>51</v>
      </c>
    </row>
    <row r="11254" spans="1:14" ht="12.75" hidden="1" outlineLevel="1" x14ac:dyDescent="0.2">
      <c r="A11254" s="23" t="str">
        <f>HYPERLINK("https://www.spark-marketing.ru/Card/Person/125357", "БУЗ УР ""ГЛАЗОВСКИЙ МПНД МЗ УР""")</f>
        <v>БУЗ УР "ГЛАЗОВСКИЙ МПНД МЗ УР"</v>
      </c>
      <c r="B11254" s="24" t="s">
        <v>15679</v>
      </c>
      <c r="C11254" s="25">
        <v>823125</v>
      </c>
      <c r="D11254" s="22" t="s">
        <v>15680</v>
      </c>
      <c r="E11254" s="22" t="s">
        <v>48</v>
      </c>
      <c r="F11254" s="23" t="str">
        <f>HYPERLINK("https://www.spark-marketing.ru/Card/Lot/72279801", "№ зз-25186-19 услуги по организации питания больных круглосуточного стационара и отделения дневного пребывания")</f>
        <v>№ зз-25186-19 услуги по организации питания больных круглосуточного стационара и отделения дневного пребывания</v>
      </c>
      <c r="G11254" s="22" t="s">
        <v>852</v>
      </c>
      <c r="H11254" s="22" t="s">
        <v>992</v>
      </c>
      <c r="I11254" s="26">
        <v>43669.614768518499</v>
      </c>
      <c r="J11254" s="23" t="str">
        <f>HYPERLINK("https://www.spark-marketing.ru/Card/Person/155388", "ООО ""ЦЕНТР-СЕРВИС""")</f>
        <v>ООО "ЦЕНТР-СЕРВИС"</v>
      </c>
      <c r="K11254" s="24" t="s">
        <v>8545</v>
      </c>
      <c r="L11254" s="22" t="s">
        <v>10</v>
      </c>
      <c r="M11254" s="25">
        <v>810778.11</v>
      </c>
      <c r="N11254" s="27">
        <v>1.5000018223234624E-2</v>
      </c>
    </row>
    <row r="11255" spans="1:14" hidden="1" outlineLevel="1" x14ac:dyDescent="0.2">
      <c r="A11255" s="23" t="str">
        <f>HYPERLINK("https://www.spark-marketing.ru/Card/Person/125357", "БУЗ УР ""ГЛАЗОВСКИЙ МПНД МЗ УР""")</f>
        <v>БУЗ УР "ГЛАЗОВСКИЙ МПНД МЗ УР"</v>
      </c>
      <c r="B11255" s="24" t="s">
        <v>15679</v>
      </c>
      <c r="C11255" s="25">
        <v>823125</v>
      </c>
      <c r="D11255" s="22" t="s">
        <v>15680</v>
      </c>
      <c r="E11255" s="22" t="s">
        <v>48</v>
      </c>
      <c r="F11255" s="23" t="str">
        <f>HYPERLINK("https://www.spark-marketing.ru/Card/Lot/72279801", "№ зз-25186-19 услуги по организации питания больных круглосуточного стационара и отделения дневного пребывания")</f>
        <v>№ зз-25186-19 услуги по организации питания больных круглосуточного стационара и отделения дневного пребывания</v>
      </c>
      <c r="G11255" s="22" t="s">
        <v>852</v>
      </c>
      <c r="H11255" s="22" t="s">
        <v>992</v>
      </c>
      <c r="I11255" s="26">
        <v>43669.614768518499</v>
      </c>
      <c r="J11255" s="23" t="str">
        <f>HYPERLINK("https://www.spark-marketing.ru/Card/Person/44655", "МАУ ""ЗДОРОВОЕ ПИТАНИЕ""")</f>
        <v>МАУ "ЗДОРОВОЕ ПИТАНИЕ"</v>
      </c>
      <c r="K11255" s="24" t="s">
        <v>11857</v>
      </c>
      <c r="L11255" s="28" t="s">
        <v>51</v>
      </c>
      <c r="M11255" s="25">
        <v>814893.74</v>
      </c>
      <c r="N11255" s="27">
        <v>1.0000012148823083E-2</v>
      </c>
    </row>
    <row r="11256" spans="1:14" collapsed="1" x14ac:dyDescent="0.15">
      <c r="A11256" s="23" t="str">
        <f>HYPERLINK("https://www.spark-marketing.ru/Card/Person/68849", "ФКУ БМТИВС ГУФСИН РОССИИ ПО ИРКУТСКОЙ ОБЛАСТИ")</f>
        <v>ФКУ БМТИВС ГУФСИН РОССИИ ПО ИРКУТСКОЙ ОБЛАСТИ</v>
      </c>
      <c r="B11256" s="24" t="s">
        <v>9171</v>
      </c>
      <c r="C11256" s="25">
        <v>118836.8</v>
      </c>
      <c r="D11256" s="22" t="s">
        <v>15681</v>
      </c>
      <c r="E11256" s="22" t="s">
        <v>15682</v>
      </c>
      <c r="F11256" s="23" t="str">
        <f>HYPERLINK("https://www.spark-marketing.ru/Card/Lot/72295187", "Прочая закупка товаров, работ и услуг для обеспечения государственных нужд (продукты питания консервы)")</f>
        <v>Прочая закупка товаров, работ и услуг для обеспечения государственных нужд (продукты питания консервы)</v>
      </c>
      <c r="G11256" s="22" t="s">
        <v>263</v>
      </c>
      <c r="H11256" s="22" t="s">
        <v>2768</v>
      </c>
      <c r="I11256" s="26">
        <v>43669.588576388902</v>
      </c>
      <c r="J11256" s="28" t="s">
        <v>51</v>
      </c>
      <c r="K11256" s="28" t="s">
        <v>51</v>
      </c>
      <c r="L11256" s="28" t="s">
        <v>51</v>
      </c>
      <c r="M11256" s="28" t="s">
        <v>51</v>
      </c>
      <c r="N11256" s="28" t="s">
        <v>51</v>
      </c>
    </row>
    <row r="11257" spans="1:14" ht="12.75" hidden="1" outlineLevel="1" x14ac:dyDescent="0.2">
      <c r="A11257" s="23" t="str">
        <f>HYPERLINK("https://www.spark-marketing.ru/Card/Person/68849", "ФКУ БМТИВС ГУФСИН РОССИИ ПО ИРКУТСКОЙ ОБЛАСТИ")</f>
        <v>ФКУ БМТИВС ГУФСИН РОССИИ ПО ИРКУТСКОЙ ОБЛАСТИ</v>
      </c>
      <c r="B11257" s="24" t="s">
        <v>9171</v>
      </c>
      <c r="C11257" s="25">
        <v>118836.8</v>
      </c>
      <c r="D11257" s="22" t="s">
        <v>15681</v>
      </c>
      <c r="E11257" s="22" t="s">
        <v>15682</v>
      </c>
      <c r="F11257" s="23" t="str">
        <f>HYPERLINK("https://www.spark-marketing.ru/Card/Lot/72295187", "Прочая закупка товаров, работ и услуг для обеспечения государственных нужд (продукты питания консервы)")</f>
        <v>Прочая закупка товаров, работ и услуг для обеспечения государственных нужд (продукты питания консервы)</v>
      </c>
      <c r="G11257" s="22" t="s">
        <v>263</v>
      </c>
      <c r="H11257" s="22" t="s">
        <v>2768</v>
      </c>
      <c r="I11257" s="26">
        <v>43669.588576388902</v>
      </c>
      <c r="J11257" s="23" t="str">
        <f>HYPERLINK("https://www.spark-marketing.ru/Card/Person/586175", "ООО ""ТОРГОВАЯ КОМПАНИЯ""")</f>
        <v>ООО "ТОРГОВАЯ КОМПАНИЯ"</v>
      </c>
      <c r="K11257" s="24" t="s">
        <v>9174</v>
      </c>
      <c r="L11257" s="22" t="s">
        <v>10</v>
      </c>
      <c r="M11257" s="25">
        <v>87936.320000000007</v>
      </c>
      <c r="N11257" s="27">
        <v>0.26002450419398704</v>
      </c>
    </row>
    <row r="11258" spans="1:14" hidden="1" outlineLevel="1" x14ac:dyDescent="0.2">
      <c r="A11258" s="23" t="str">
        <f>HYPERLINK("https://www.spark-marketing.ru/Card/Person/68849", "ФКУ БМТИВС ГУФСИН РОССИИ ПО ИРКУТСКОЙ ОБЛАСТИ")</f>
        <v>ФКУ БМТИВС ГУФСИН РОССИИ ПО ИРКУТСКОЙ ОБЛАСТИ</v>
      </c>
      <c r="B11258" s="24" t="s">
        <v>9171</v>
      </c>
      <c r="C11258" s="25">
        <v>118836.8</v>
      </c>
      <c r="D11258" s="22" t="s">
        <v>15681</v>
      </c>
      <c r="E11258" s="22" t="s">
        <v>15682</v>
      </c>
      <c r="F11258" s="23" t="str">
        <f>HYPERLINK("https://www.spark-marketing.ru/Card/Lot/72295187", "Прочая закупка товаров, работ и услуг для обеспечения государственных нужд (продукты питания консервы)")</f>
        <v>Прочая закупка товаров, работ и услуг для обеспечения государственных нужд (продукты питания консервы)</v>
      </c>
      <c r="G11258" s="22" t="s">
        <v>263</v>
      </c>
      <c r="H11258" s="22" t="s">
        <v>2768</v>
      </c>
      <c r="I11258" s="26">
        <v>43669.588576388902</v>
      </c>
      <c r="J11258" s="23" t="str">
        <f>HYPERLINK("https://www.spark-marketing.ru/Card/Person/2135167", "Гордт Эдуард Альбертович")</f>
        <v>Гордт Эдуард Альбертович</v>
      </c>
      <c r="K11258" s="24" t="s">
        <v>5272</v>
      </c>
      <c r="L11258" s="28" t="s">
        <v>51</v>
      </c>
      <c r="M11258" s="25">
        <v>88530.5</v>
      </c>
      <c r="N11258" s="27">
        <v>0.25502453785359419</v>
      </c>
    </row>
    <row r="11259" spans="1:14" x14ac:dyDescent="0.2">
      <c r="A11259" s="23" t="str">
        <f>HYPERLINK("https://www.spark-marketing.ru/Card/Person/643562", "АУ ""ОКРУЖНОЙ ДОМ НАРОДНОГО ТВОРЧЕСТВА""")</f>
        <v>АУ "ОКРУЖНОЙ ДОМ НАРОДНОГО ТВОРЧЕСТВА"</v>
      </c>
      <c r="B11259" s="24" t="s">
        <v>5905</v>
      </c>
      <c r="C11259" s="25">
        <v>302400</v>
      </c>
      <c r="D11259" s="22" t="s">
        <v>15683</v>
      </c>
      <c r="E11259" s="22" t="s">
        <v>580</v>
      </c>
      <c r="F11259" s="23" t="str">
        <f>HYPERLINK("https://www.spark-marketing.ru/Card/Lot/72291887", "Оказание услуг по питанию участников фестиваля, приглашенных специалистов на конференцию и получателей премии")</f>
        <v>Оказание услуг по питанию участников фестиваля, приглашенных специалистов на конференцию и получателей премии</v>
      </c>
      <c r="G11259" s="22" t="s">
        <v>97</v>
      </c>
      <c r="H11259" s="22" t="s">
        <v>98</v>
      </c>
      <c r="I11259" s="26">
        <v>43669.589641203696</v>
      </c>
      <c r="J11259" s="28" t="s">
        <v>51</v>
      </c>
      <c r="K11259" s="28" t="s">
        <v>51</v>
      </c>
      <c r="L11259" s="22" t="s">
        <v>10</v>
      </c>
      <c r="M11259" s="25">
        <v>302400</v>
      </c>
      <c r="N11259" s="27">
        <v>0</v>
      </c>
    </row>
    <row r="11260" spans="1:14" collapsed="1" x14ac:dyDescent="0.15">
      <c r="A11260" s="23" t="s">
        <v>114</v>
      </c>
      <c r="B11260" s="28" t="s">
        <v>51</v>
      </c>
      <c r="C11260" s="25">
        <v>23688700</v>
      </c>
      <c r="D11260" s="22" t="s">
        <v>15684</v>
      </c>
      <c r="E11260" s="22" t="s">
        <v>96</v>
      </c>
      <c r="F11260" s="23" t="str">
        <f t="shared" ref="F11260:F11267" si="310">HYPERLINK("https://www.spark-marketing.ru/Card/Lot/72282508",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11260" s="22" t="s">
        <v>51</v>
      </c>
      <c r="H11260" s="22" t="s">
        <v>51</v>
      </c>
      <c r="I11260" s="26">
        <v>43669.615277777797</v>
      </c>
      <c r="J11260" s="28" t="s">
        <v>51</v>
      </c>
      <c r="K11260" s="28" t="s">
        <v>51</v>
      </c>
      <c r="L11260" s="28" t="s">
        <v>51</v>
      </c>
      <c r="M11260" s="28" t="s">
        <v>51</v>
      </c>
      <c r="N11260" s="28" t="s">
        <v>51</v>
      </c>
    </row>
    <row r="11261" spans="1:14" hidden="1" outlineLevel="1" x14ac:dyDescent="0.15">
      <c r="A11261" s="23" t="str">
        <f>HYPERLINK("https://www.spark-marketing.ru/Card/Person/80103", "МБОУ СОШ № 95")</f>
        <v>МБОУ СОШ № 95</v>
      </c>
      <c r="B11261" s="24" t="s">
        <v>15685</v>
      </c>
      <c r="C11261" s="25">
        <v>5311460</v>
      </c>
      <c r="D11261" s="22" t="s">
        <v>15684</v>
      </c>
      <c r="E11261" s="22" t="s">
        <v>96</v>
      </c>
      <c r="F11261" s="23" t="str">
        <f t="shared" si="310"/>
        <v>Оказание услуг по организации горячего питания школьников на 2019-2020 учебный год</v>
      </c>
      <c r="G11261" s="22" t="s">
        <v>82</v>
      </c>
      <c r="H11261" s="22" t="s">
        <v>83</v>
      </c>
      <c r="I11261" s="26">
        <v>43669.615277777797</v>
      </c>
      <c r="J11261" s="28" t="s">
        <v>51</v>
      </c>
      <c r="K11261" s="28" t="s">
        <v>51</v>
      </c>
      <c r="L11261" s="28" t="s">
        <v>51</v>
      </c>
      <c r="M11261" s="28" t="s">
        <v>51</v>
      </c>
      <c r="N11261" s="28" t="s">
        <v>51</v>
      </c>
    </row>
    <row r="11262" spans="1:14" hidden="1" outlineLevel="1" x14ac:dyDescent="0.15">
      <c r="A11262" s="23" t="str">
        <f>HYPERLINK("https://www.spark-marketing.ru/Card/Person/89689", "МБОУ СОШ № 1 С УИОП")</f>
        <v>МБОУ СОШ № 1 С УИОП</v>
      </c>
      <c r="B11262" s="24" t="s">
        <v>15686</v>
      </c>
      <c r="C11262" s="25">
        <v>5374600</v>
      </c>
      <c r="D11262" s="22" t="s">
        <v>15684</v>
      </c>
      <c r="E11262" s="22" t="s">
        <v>96</v>
      </c>
      <c r="F11262" s="23" t="str">
        <f t="shared" si="310"/>
        <v>Оказание услуг по организации горячего питания школьников на 2019-2020 учебный год</v>
      </c>
      <c r="G11262" s="22" t="s">
        <v>82</v>
      </c>
      <c r="H11262" s="22" t="s">
        <v>83</v>
      </c>
      <c r="I11262" s="26">
        <v>43669.615277777797</v>
      </c>
      <c r="J11262" s="28" t="s">
        <v>51</v>
      </c>
      <c r="K11262" s="28" t="s">
        <v>51</v>
      </c>
      <c r="L11262" s="28" t="s">
        <v>51</v>
      </c>
      <c r="M11262" s="28" t="s">
        <v>51</v>
      </c>
      <c r="N11262" s="28" t="s">
        <v>51</v>
      </c>
    </row>
    <row r="11263" spans="1:14" hidden="1" outlineLevel="1" x14ac:dyDescent="0.15">
      <c r="A11263" s="23" t="str">
        <f>HYPERLINK("https://www.spark-marketing.ru/Card/Person/90540", "МБОУ ""ГИМНАЗИЯ № 1""")</f>
        <v>МБОУ "ГИМНАЗИЯ № 1"</v>
      </c>
      <c r="B11263" s="24" t="s">
        <v>15687</v>
      </c>
      <c r="C11263" s="25">
        <v>4024020</v>
      </c>
      <c r="D11263" s="22" t="s">
        <v>15684</v>
      </c>
      <c r="E11263" s="22" t="s">
        <v>96</v>
      </c>
      <c r="F11263" s="23" t="str">
        <f t="shared" si="310"/>
        <v>Оказание услуг по организации горячего питания школьников на 2019-2020 учебный год</v>
      </c>
      <c r="G11263" s="22" t="s">
        <v>82</v>
      </c>
      <c r="H11263" s="22" t="s">
        <v>83</v>
      </c>
      <c r="I11263" s="26">
        <v>43669.615277777797</v>
      </c>
      <c r="J11263" s="28" t="s">
        <v>51</v>
      </c>
      <c r="K11263" s="28" t="s">
        <v>51</v>
      </c>
      <c r="L11263" s="28" t="s">
        <v>51</v>
      </c>
      <c r="M11263" s="28" t="s">
        <v>51</v>
      </c>
      <c r="N11263" s="28" t="s">
        <v>51</v>
      </c>
    </row>
    <row r="11264" spans="1:14" hidden="1" outlineLevel="1" x14ac:dyDescent="0.15">
      <c r="A11264" s="23" t="str">
        <f>HYPERLINK("https://www.spark-marketing.ru/Card/Person/122685", "МБОУ ГИМНАЗИЯ №2")</f>
        <v>МБОУ ГИМНАЗИЯ №2</v>
      </c>
      <c r="B11264" s="24" t="s">
        <v>15688</v>
      </c>
      <c r="C11264" s="25">
        <v>4493160</v>
      </c>
      <c r="D11264" s="22" t="s">
        <v>15684</v>
      </c>
      <c r="E11264" s="22" t="s">
        <v>96</v>
      </c>
      <c r="F11264" s="23" t="str">
        <f t="shared" si="310"/>
        <v>Оказание услуг по организации горячего питания школьников на 2019-2020 учебный год</v>
      </c>
      <c r="G11264" s="22" t="s">
        <v>82</v>
      </c>
      <c r="H11264" s="22" t="s">
        <v>83</v>
      </c>
      <c r="I11264" s="26">
        <v>43669.615277777797</v>
      </c>
      <c r="J11264" s="28" t="s">
        <v>51</v>
      </c>
      <c r="K11264" s="28" t="s">
        <v>51</v>
      </c>
      <c r="L11264" s="28" t="s">
        <v>51</v>
      </c>
      <c r="M11264" s="28" t="s">
        <v>51</v>
      </c>
      <c r="N11264" s="28" t="s">
        <v>51</v>
      </c>
    </row>
    <row r="11265" spans="1:14" hidden="1" outlineLevel="1" x14ac:dyDescent="0.15">
      <c r="A11265" s="23" t="str">
        <f>HYPERLINK("https://www.spark-marketing.ru/Card/Person/122686", "МБОУ СОШ № 47")</f>
        <v>МБОУ СОШ № 47</v>
      </c>
      <c r="B11265" s="24" t="s">
        <v>15689</v>
      </c>
      <c r="C11265" s="25">
        <v>4485460</v>
      </c>
      <c r="D11265" s="22" t="s">
        <v>15684</v>
      </c>
      <c r="E11265" s="22" t="s">
        <v>96</v>
      </c>
      <c r="F11265" s="23" t="str">
        <f t="shared" si="310"/>
        <v>Оказание услуг по организации горячего питания школьников на 2019-2020 учебный год</v>
      </c>
      <c r="G11265" s="22" t="s">
        <v>82</v>
      </c>
      <c r="H11265" s="22" t="s">
        <v>83</v>
      </c>
      <c r="I11265" s="26">
        <v>43669.615277777797</v>
      </c>
      <c r="J11265" s="28" t="s">
        <v>51</v>
      </c>
      <c r="K11265" s="28" t="s">
        <v>51</v>
      </c>
      <c r="L11265" s="28" t="s">
        <v>51</v>
      </c>
      <c r="M11265" s="28" t="s">
        <v>51</v>
      </c>
      <c r="N11265" s="28" t="s">
        <v>51</v>
      </c>
    </row>
    <row r="11266" spans="1:14" hidden="1" outlineLevel="1" x14ac:dyDescent="0.2">
      <c r="A11266" s="28" t="s">
        <v>51</v>
      </c>
      <c r="B11266" s="28" t="s">
        <v>51</v>
      </c>
      <c r="C11266" s="28" t="s">
        <v>51</v>
      </c>
      <c r="D11266" s="22" t="s">
        <v>15684</v>
      </c>
      <c r="E11266" s="22" t="s">
        <v>96</v>
      </c>
      <c r="F11266" s="23" t="str">
        <f t="shared" si="310"/>
        <v>Оказание услуг по организации горячего питания школьников на 2019-2020 учебный год</v>
      </c>
      <c r="G11266" s="22" t="s">
        <v>51</v>
      </c>
      <c r="H11266" s="22" t="s">
        <v>51</v>
      </c>
      <c r="I11266" s="26">
        <v>43669.615277777797</v>
      </c>
      <c r="J11266" s="23" t="str">
        <f>HYPERLINK("https://www.spark-marketing.ru/Card/Person/59814", "ООО КП ""СОЛНЕЧНЫЙ""")</f>
        <v>ООО КП "СОЛНЕЧНЫЙ"</v>
      </c>
      <c r="K11266" s="24" t="s">
        <v>7783</v>
      </c>
      <c r="L11266" s="28" t="s">
        <v>51</v>
      </c>
      <c r="M11266" s="25">
        <v>23688700</v>
      </c>
      <c r="N11266" s="27">
        <v>0</v>
      </c>
    </row>
    <row r="11267" spans="1:14" hidden="1" outlineLevel="1" x14ac:dyDescent="0.2">
      <c r="A11267" s="28" t="s">
        <v>51</v>
      </c>
      <c r="B11267" s="28" t="s">
        <v>51</v>
      </c>
      <c r="C11267" s="28" t="s">
        <v>51</v>
      </c>
      <c r="D11267" s="22" t="s">
        <v>15684</v>
      </c>
      <c r="E11267" s="22" t="s">
        <v>96</v>
      </c>
      <c r="F11267" s="23" t="str">
        <f t="shared" si="310"/>
        <v>Оказание услуг по организации горячего питания школьников на 2019-2020 учебный год</v>
      </c>
      <c r="G11267" s="22" t="s">
        <v>51</v>
      </c>
      <c r="H11267" s="22" t="s">
        <v>51</v>
      </c>
      <c r="I11267" s="26">
        <v>43669.615277777797</v>
      </c>
      <c r="J11267" s="23" t="str">
        <f>HYPERLINK("https://www.spark-marketing.ru/Card/Person/89737", "ООО ""ИНДИКАТ""")</f>
        <v>ООО "ИНДИКАТ"</v>
      </c>
      <c r="K11267" s="24" t="s">
        <v>7815</v>
      </c>
      <c r="L11267" s="22" t="s">
        <v>10</v>
      </c>
      <c r="M11267" s="25">
        <v>21317000</v>
      </c>
      <c r="N11267" s="27">
        <v>0.10011946624339875</v>
      </c>
    </row>
    <row r="11268" spans="1:14" x14ac:dyDescent="0.15">
      <c r="A11268" s="23" t="str">
        <f>HYPERLINK("https://www.spark-marketing.ru/Card/Person/6665", "УЛГТУ, УЛЬЯНОВСКИЙ ГОСУДАРСТВЕННЫЙ ТЕХНИЧЕСКИЙ УНИВЕРСИТЕТ")</f>
        <v>УЛГТУ, УЛЬЯНОВСКИЙ ГОСУДАРСТВЕННЫЙ ТЕХНИЧЕСКИЙ УНИВЕРСИТЕТ</v>
      </c>
      <c r="B11268" s="24" t="s">
        <v>1916</v>
      </c>
      <c r="C11268" s="25">
        <v>880740</v>
      </c>
      <c r="D11268" s="22" t="s">
        <v>15690</v>
      </c>
      <c r="E11268" s="22" t="s">
        <v>362</v>
      </c>
      <c r="F11268" s="23" t="str">
        <f>HYPERLINK("https://www.spark-marketing.ru/Card/Lot/72294290", "Оказание услуги по организации питания в СОЛ «Садовка»")</f>
        <v>Оказание услуги по организации питания в СОЛ «Садовка»</v>
      </c>
      <c r="G11268" s="22" t="s">
        <v>1918</v>
      </c>
      <c r="H11268" s="22" t="s">
        <v>1918</v>
      </c>
      <c r="I11268" s="26">
        <v>43669.602395833303</v>
      </c>
      <c r="J11268" s="28" t="s">
        <v>51</v>
      </c>
      <c r="K11268" s="28" t="s">
        <v>51</v>
      </c>
      <c r="L11268" s="28" t="s">
        <v>51</v>
      </c>
      <c r="M11268" s="28" t="s">
        <v>51</v>
      </c>
      <c r="N11268" s="28" t="s">
        <v>51</v>
      </c>
    </row>
    <row r="11269" spans="1:14" x14ac:dyDescent="0.15">
      <c r="A11269" s="23" t="str">
        <f>HYPERLINK("https://www.spark-marketing.ru/Card/Person/233843", "ОТДЕЛ МВД РОССИИ ПО КРАСНОКАМСКОМУ РАЙОНУ")</f>
        <v>ОТДЕЛ МВД РОССИИ ПО КРАСНОКАМСКОМУ РАЙОНУ</v>
      </c>
      <c r="B11269" s="24" t="s">
        <v>15691</v>
      </c>
      <c r="C11269" s="25">
        <v>7000</v>
      </c>
      <c r="D11269" s="22" t="s">
        <v>15692</v>
      </c>
      <c r="E11269" s="22" t="s">
        <v>48</v>
      </c>
      <c r="F11269" s="23" t="str">
        <f>HYPERLINK("https://www.spark-marketing.ru/Card/Lot/72277698",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1269" s="22" t="s">
        <v>145</v>
      </c>
      <c r="H11269" s="22" t="s">
        <v>15693</v>
      </c>
      <c r="I11269" s="26">
        <v>43669.571423611102</v>
      </c>
      <c r="J11269" s="28" t="s">
        <v>51</v>
      </c>
      <c r="K11269" s="28" t="s">
        <v>51</v>
      </c>
      <c r="L11269" s="28" t="s">
        <v>51</v>
      </c>
      <c r="M11269" s="28" t="s">
        <v>51</v>
      </c>
      <c r="N11269" s="28" t="s">
        <v>51</v>
      </c>
    </row>
    <row r="11270" spans="1:14" x14ac:dyDescent="0.2">
      <c r="A11270" s="23" t="str">
        <f>HYPERLINK("https://www.spark-marketing.ru/Card/Person/106524", "МАУ ""ЗДОЛ ""ЗОЛОТОЙ ЛУГ""")</f>
        <v>МАУ "ЗДОЛ "ЗОЛОТОЙ ЛУГ"</v>
      </c>
      <c r="B11270" s="24" t="s">
        <v>9277</v>
      </c>
      <c r="C11270" s="25">
        <v>988040</v>
      </c>
      <c r="D11270" s="22" t="s">
        <v>15694</v>
      </c>
      <c r="E11270" s="22" t="s">
        <v>362</v>
      </c>
      <c r="F11270" s="23" t="str">
        <f>HYPERLINK("https://www.spark-marketing.ru/Card/Lot/72292406", "Оказание услуг по организации питания детей в загородном оздоровительном лагере МАУ «ЗДОЛ «Золотой луг» в период летних каникул 2019 года.")</f>
        <v>Оказание услуг по организации питания детей в загородном оздоровительном лагере МАУ «ЗДОЛ «Золотой луг» в период летних каникул 2019 года.</v>
      </c>
      <c r="G11270" s="22" t="s">
        <v>174</v>
      </c>
      <c r="H11270" s="22" t="s">
        <v>174</v>
      </c>
      <c r="I11270" s="26">
        <v>43669.558182870402</v>
      </c>
      <c r="J11270" s="28" t="s">
        <v>51</v>
      </c>
      <c r="K11270" s="28" t="s">
        <v>51</v>
      </c>
      <c r="L11270" s="22" t="s">
        <v>10</v>
      </c>
      <c r="M11270" s="25">
        <v>988040</v>
      </c>
      <c r="N11270" s="27">
        <v>0</v>
      </c>
    </row>
    <row r="11271" spans="1:14" x14ac:dyDescent="0.15">
      <c r="A11271" s="23" t="str">
        <f>HYPERLINK("https://www.spark-marketing.ru/Card/Person/1004058", "МБОУ МАНЫЧСКАЯ СОШ")</f>
        <v>МБОУ МАНЫЧСКАЯ СОШ</v>
      </c>
      <c r="B11271" s="24" t="s">
        <v>15695</v>
      </c>
      <c r="C11271" s="25">
        <v>91260</v>
      </c>
      <c r="D11271" s="22" t="s">
        <v>15696</v>
      </c>
      <c r="E11271" s="22" t="s">
        <v>48</v>
      </c>
      <c r="F11271" s="23" t="str">
        <f>HYPERLINK("https://www.spark-marketing.ru/Card/Lot/72276353", "оказание услуг по организации горячего питания")</f>
        <v>оказание услуг по организации горячего питания</v>
      </c>
      <c r="G11271" s="22" t="s">
        <v>267</v>
      </c>
      <c r="H11271" s="22" t="s">
        <v>11331</v>
      </c>
      <c r="I11271" s="26">
        <v>43669.542361111096</v>
      </c>
      <c r="J11271" s="28" t="s">
        <v>51</v>
      </c>
      <c r="K11271" s="28" t="s">
        <v>51</v>
      </c>
      <c r="L11271" s="28" t="s">
        <v>51</v>
      </c>
      <c r="M11271" s="28" t="s">
        <v>51</v>
      </c>
      <c r="N11271" s="28" t="s">
        <v>51</v>
      </c>
    </row>
    <row r="11272" spans="1:14" x14ac:dyDescent="0.15">
      <c r="A11272" s="23" t="str">
        <f>HYPERLINK("https://www.spark-marketing.ru/Card/Person/24963", "УРГЮУ, ФГБОУ ВО ""УРАЛЬСКИЙ ГОСУДАРСТВЕННЫЙ ЮРИДИЧЕСКИЙ УНИВЕРСИТЕТ"", УРАЛЬСКИЙ ГОСУДАРСТВЕННЫЙ ЮРИДИЧЕСКИЙ УНИВЕРСИТЕТ, ФГБОУ ВО ""УРГЮУ""")</f>
        <v>УРГЮУ, ФГБОУ ВО "УРАЛЬСКИЙ ГОСУДАРСТВЕННЫЙ ЮРИДИЧЕСКИЙ УНИВЕРСИТЕТ", УРАЛЬСКИЙ ГОСУДАРСТВЕННЫЙ ЮРИДИЧЕСКИЙ УНИВЕРСИТЕТ, ФГБОУ ВО "УРГЮУ"</v>
      </c>
      <c r="B11272" s="24" t="s">
        <v>13954</v>
      </c>
      <c r="C11272" s="25">
        <v>189000</v>
      </c>
      <c r="D11272" s="22" t="s">
        <v>15697</v>
      </c>
      <c r="E11272" s="22" t="s">
        <v>15698</v>
      </c>
      <c r="F11272" s="23" t="str">
        <f>HYPERLINK("https://www.spark-marketing.ru/Card/Lot/72292341", "Оказание услуг по техническому обследованию строительной части лифтовой шахты и разработке проектно-сметной документации на замену двух грузовых лифтов по адресу: г. Екатеринбург, ул. Колмогорова, 54 (комбинат питания) в соответствии с прикрепленным ...")</f>
        <v>Оказание услуг по техническому обследованию строительной части лифтовой шахты и разработке проектно-сметной документации на замену двух грузовых лифтов по адресу: г. Екатеринбург, ул. Колмогорова, 54 (комбинат питания) в соответствии с прикрепленным ...</v>
      </c>
      <c r="G11272" s="22" t="s">
        <v>174</v>
      </c>
      <c r="H11272" s="22" t="s">
        <v>530</v>
      </c>
      <c r="I11272" s="26">
        <v>43669.541527777801</v>
      </c>
      <c r="J11272" s="28" t="s">
        <v>51</v>
      </c>
      <c r="K11272" s="28" t="s">
        <v>51</v>
      </c>
      <c r="L11272" s="28" t="s">
        <v>51</v>
      </c>
      <c r="M11272" s="28" t="s">
        <v>51</v>
      </c>
      <c r="N11272" s="28" t="s">
        <v>51</v>
      </c>
    </row>
    <row r="11273" spans="1:14" collapsed="1" x14ac:dyDescent="0.15">
      <c r="A11273" s="23" t="s">
        <v>114</v>
      </c>
      <c r="B11273" s="28" t="s">
        <v>51</v>
      </c>
      <c r="C11273" s="25">
        <v>3852580</v>
      </c>
      <c r="D11273" s="22" t="s">
        <v>15699</v>
      </c>
      <c r="E11273" s="22" t="s">
        <v>48</v>
      </c>
      <c r="F11273" s="23" t="str">
        <f t="shared" ref="F11273:F11282" si="311">HYPERLINK("https://www.spark-marketing.ru/Card/Lot/72279280", "Услуги по организации рационального питания обучающихся")</f>
        <v>Услуги по организации рационального питания обучающихся</v>
      </c>
      <c r="G11273" s="22" t="s">
        <v>51</v>
      </c>
      <c r="H11273" s="22" t="s">
        <v>51</v>
      </c>
      <c r="I11273" s="26">
        <v>43669.523611111101</v>
      </c>
      <c r="J11273" s="28" t="s">
        <v>51</v>
      </c>
      <c r="K11273" s="28" t="s">
        <v>51</v>
      </c>
      <c r="L11273" s="28" t="s">
        <v>51</v>
      </c>
      <c r="M11273" s="28" t="s">
        <v>51</v>
      </c>
      <c r="N11273" s="28" t="s">
        <v>51</v>
      </c>
    </row>
    <row r="11274" spans="1:14" hidden="1" outlineLevel="1" x14ac:dyDescent="0.15">
      <c r="A11274" s="23" t="str">
        <f>HYPERLINK("https://www.spark-marketing.ru/Card/Person/46515", "МБОУ НАЗАРЬЕВСКАЯ СОШ")</f>
        <v>МБОУ НАЗАРЬЕВСКАЯ СОШ</v>
      </c>
      <c r="B11274" s="24" t="s">
        <v>15700</v>
      </c>
      <c r="C11274" s="25">
        <v>593560</v>
      </c>
      <c r="D11274" s="22" t="s">
        <v>15699</v>
      </c>
      <c r="E11274" s="22" t="s">
        <v>48</v>
      </c>
      <c r="F11274" s="23" t="str">
        <f t="shared" si="311"/>
        <v>Услуги по организации рационального питания обучающихся</v>
      </c>
      <c r="G11274" s="22" t="s">
        <v>49</v>
      </c>
      <c r="H11274" s="22" t="s">
        <v>15701</v>
      </c>
      <c r="I11274" s="26">
        <v>43669.523611111101</v>
      </c>
      <c r="J11274" s="28" t="s">
        <v>51</v>
      </c>
      <c r="K11274" s="28" t="s">
        <v>51</v>
      </c>
      <c r="L11274" s="28" t="s">
        <v>51</v>
      </c>
      <c r="M11274" s="28" t="s">
        <v>51</v>
      </c>
      <c r="N11274" s="28" t="s">
        <v>51</v>
      </c>
    </row>
    <row r="11275" spans="1:14" hidden="1" outlineLevel="1" x14ac:dyDescent="0.15">
      <c r="A11275" s="23" t="str">
        <f>HYPERLINK("https://www.spark-marketing.ru/Card/Person/87734", "МБОУ ТАТИЩЕВСКАЯ СОШ")</f>
        <v>МБОУ ТАТИЩЕВСКАЯ СОШ</v>
      </c>
      <c r="B11275" s="24" t="s">
        <v>15702</v>
      </c>
      <c r="C11275" s="25">
        <v>182885</v>
      </c>
      <c r="D11275" s="22" t="s">
        <v>15699</v>
      </c>
      <c r="E11275" s="22" t="s">
        <v>48</v>
      </c>
      <c r="F11275" s="23" t="str">
        <f t="shared" si="311"/>
        <v>Услуги по организации рационального питания обучающихся</v>
      </c>
      <c r="G11275" s="22" t="s">
        <v>49</v>
      </c>
      <c r="H11275" s="22" t="s">
        <v>15701</v>
      </c>
      <c r="I11275" s="26">
        <v>43669.523611111101</v>
      </c>
      <c r="J11275" s="28" t="s">
        <v>51</v>
      </c>
      <c r="K11275" s="28" t="s">
        <v>51</v>
      </c>
      <c r="L11275" s="28" t="s">
        <v>51</v>
      </c>
      <c r="M11275" s="28" t="s">
        <v>51</v>
      </c>
      <c r="N11275" s="28" t="s">
        <v>51</v>
      </c>
    </row>
    <row r="11276" spans="1:14" hidden="1" outlineLevel="1" x14ac:dyDescent="0.15">
      <c r="A11276" s="23" t="str">
        <f>HYPERLINK("https://www.spark-marketing.ru/Card/Person/997864", "МБОУ ВЕСЕЛЁВСКАЯ СОШ")</f>
        <v>МБОУ ВЕСЕЛЁВСКАЯ СОШ</v>
      </c>
      <c r="B11276" s="24" t="s">
        <v>15703</v>
      </c>
      <c r="C11276" s="25">
        <v>505205</v>
      </c>
      <c r="D11276" s="22" t="s">
        <v>15699</v>
      </c>
      <c r="E11276" s="22" t="s">
        <v>48</v>
      </c>
      <c r="F11276" s="23" t="str">
        <f t="shared" si="311"/>
        <v>Услуги по организации рационального питания обучающихся</v>
      </c>
      <c r="G11276" s="22" t="s">
        <v>49</v>
      </c>
      <c r="H11276" s="22" t="s">
        <v>15701</v>
      </c>
      <c r="I11276" s="26">
        <v>43669.523611111101</v>
      </c>
      <c r="J11276" s="28" t="s">
        <v>51</v>
      </c>
      <c r="K11276" s="28" t="s">
        <v>51</v>
      </c>
      <c r="L11276" s="28" t="s">
        <v>51</v>
      </c>
      <c r="M11276" s="28" t="s">
        <v>51</v>
      </c>
      <c r="N11276" s="28" t="s">
        <v>51</v>
      </c>
    </row>
    <row r="11277" spans="1:14" hidden="1" outlineLevel="1" x14ac:dyDescent="0.15">
      <c r="A11277" s="23" t="str">
        <f>HYPERLINK("https://www.spark-marketing.ru/Card/Person/998471", "МБОУ ВЕРЕЙСКАЯ СОШ №1, МБОУ ВЕРЕЙСКАЯ СРЕДНЯЯ ОБЩЕОБРАЗОВАТЕЛЬНАЯ ШКОЛА №1")</f>
        <v>МБОУ ВЕРЕЙСКАЯ СОШ №1, МБОУ ВЕРЕЙСКАЯ СРЕДНЯЯ ОБЩЕОБРАЗОВАТЕЛЬНАЯ ШКОЛА №1</v>
      </c>
      <c r="B11277" s="24" t="s">
        <v>15704</v>
      </c>
      <c r="C11277" s="25">
        <v>1705080</v>
      </c>
      <c r="D11277" s="22" t="s">
        <v>15699</v>
      </c>
      <c r="E11277" s="22" t="s">
        <v>48</v>
      </c>
      <c r="F11277" s="23" t="str">
        <f t="shared" si="311"/>
        <v>Услуги по организации рационального питания обучающихся</v>
      </c>
      <c r="G11277" s="22" t="s">
        <v>49</v>
      </c>
      <c r="H11277" s="22" t="s">
        <v>15701</v>
      </c>
      <c r="I11277" s="26">
        <v>43669.523611111101</v>
      </c>
      <c r="J11277" s="28" t="s">
        <v>51</v>
      </c>
      <c r="K11277" s="28" t="s">
        <v>51</v>
      </c>
      <c r="L11277" s="28" t="s">
        <v>51</v>
      </c>
      <c r="M11277" s="28" t="s">
        <v>51</v>
      </c>
      <c r="N11277" s="28" t="s">
        <v>51</v>
      </c>
    </row>
    <row r="11278" spans="1:14" hidden="1" outlineLevel="1" x14ac:dyDescent="0.15">
      <c r="A11278" s="23" t="str">
        <f>HYPERLINK("https://www.spark-marketing.ru/Card/Person/998579", "МБОУ ВАСИЛЬЧИНОВСКАЯ СОШ")</f>
        <v>МБОУ ВАСИЛЬЧИНОВСКАЯ СОШ</v>
      </c>
      <c r="B11278" s="24" t="s">
        <v>15705</v>
      </c>
      <c r="C11278" s="25">
        <v>611065</v>
      </c>
      <c r="D11278" s="22" t="s">
        <v>15699</v>
      </c>
      <c r="E11278" s="22" t="s">
        <v>48</v>
      </c>
      <c r="F11278" s="23" t="str">
        <f t="shared" si="311"/>
        <v>Услуги по организации рационального питания обучающихся</v>
      </c>
      <c r="G11278" s="22" t="s">
        <v>49</v>
      </c>
      <c r="H11278" s="22" t="s">
        <v>15701</v>
      </c>
      <c r="I11278" s="26">
        <v>43669.523611111101</v>
      </c>
      <c r="J11278" s="28" t="s">
        <v>51</v>
      </c>
      <c r="K11278" s="28" t="s">
        <v>51</v>
      </c>
      <c r="L11278" s="28" t="s">
        <v>51</v>
      </c>
      <c r="M11278" s="28" t="s">
        <v>51</v>
      </c>
      <c r="N11278" s="28" t="s">
        <v>51</v>
      </c>
    </row>
    <row r="11279" spans="1:14" hidden="1" outlineLevel="1" x14ac:dyDescent="0.15">
      <c r="A11279" s="23" t="str">
        <f>HYPERLINK("https://www.spark-marketing.ru/Card/Person/1005086", "МБОУ ШУСТИКОВСКАЯ СОШ")</f>
        <v>МБОУ ШУСТИКОВСКАЯ СОШ</v>
      </c>
      <c r="B11279" s="24" t="s">
        <v>15706</v>
      </c>
      <c r="C11279" s="25">
        <v>109820</v>
      </c>
      <c r="D11279" s="22" t="s">
        <v>15699</v>
      </c>
      <c r="E11279" s="22" t="s">
        <v>48</v>
      </c>
      <c r="F11279" s="23" t="str">
        <f t="shared" si="311"/>
        <v>Услуги по организации рационального питания обучающихся</v>
      </c>
      <c r="G11279" s="22" t="s">
        <v>49</v>
      </c>
      <c r="H11279" s="22" t="s">
        <v>15701</v>
      </c>
      <c r="I11279" s="26">
        <v>43669.523611111101</v>
      </c>
      <c r="J11279" s="28" t="s">
        <v>51</v>
      </c>
      <c r="K11279" s="28" t="s">
        <v>51</v>
      </c>
      <c r="L11279" s="28" t="s">
        <v>51</v>
      </c>
      <c r="M11279" s="28" t="s">
        <v>51</v>
      </c>
      <c r="N11279" s="28" t="s">
        <v>51</v>
      </c>
    </row>
    <row r="11280" spans="1:14" hidden="1" outlineLevel="1" x14ac:dyDescent="0.15">
      <c r="A11280" s="23" t="str">
        <f>HYPERLINK("https://www.spark-marketing.ru/Card/Person/1030608", "МБОУ ВОЛЧЕНКОВСКАЯ СОШ")</f>
        <v>МБОУ ВОЛЧЕНКОВСКАЯ СОШ</v>
      </c>
      <c r="B11280" s="24" t="s">
        <v>15707</v>
      </c>
      <c r="C11280" s="25">
        <v>144965</v>
      </c>
      <c r="D11280" s="22" t="s">
        <v>15699</v>
      </c>
      <c r="E11280" s="22" t="s">
        <v>48</v>
      </c>
      <c r="F11280" s="23" t="str">
        <f t="shared" si="311"/>
        <v>Услуги по организации рационального питания обучающихся</v>
      </c>
      <c r="G11280" s="22" t="s">
        <v>49</v>
      </c>
      <c r="H11280" s="22" t="s">
        <v>15701</v>
      </c>
      <c r="I11280" s="26">
        <v>43669.523611111101</v>
      </c>
      <c r="J11280" s="28" t="s">
        <v>51</v>
      </c>
      <c r="K11280" s="28" t="s">
        <v>51</v>
      </c>
      <c r="L11280" s="28" t="s">
        <v>51</v>
      </c>
      <c r="M11280" s="28" t="s">
        <v>51</v>
      </c>
      <c r="N11280" s="28" t="s">
        <v>51</v>
      </c>
    </row>
    <row r="11281" spans="1:14" hidden="1" outlineLevel="1" x14ac:dyDescent="0.2">
      <c r="A11281" s="28" t="s">
        <v>51</v>
      </c>
      <c r="B11281" s="28" t="s">
        <v>51</v>
      </c>
      <c r="C11281" s="28" t="s">
        <v>51</v>
      </c>
      <c r="D11281" s="22" t="s">
        <v>15699</v>
      </c>
      <c r="E11281" s="22" t="s">
        <v>48</v>
      </c>
      <c r="F11281" s="23" t="str">
        <f t="shared" si="311"/>
        <v>Услуги по организации рационального питания обучающихся</v>
      </c>
      <c r="G11281" s="22" t="s">
        <v>51</v>
      </c>
      <c r="H11281" s="22" t="s">
        <v>51</v>
      </c>
      <c r="I11281" s="26">
        <v>43669.523611111101</v>
      </c>
      <c r="J11281" s="23" t="str">
        <f>HYPERLINK("https://www.spark-marketing.ru/Card/Person/60153", "ООО МОЛОЧНЫЙ ЗАВОД ""НАРО-ФОМИНСКИЙ""")</f>
        <v>ООО МОЛОЧНЫЙ ЗАВОД "НАРО-ФОМИНСКИЙ"</v>
      </c>
      <c r="K11281" s="24" t="s">
        <v>5326</v>
      </c>
      <c r="L11281" s="22" t="s">
        <v>10</v>
      </c>
      <c r="M11281" s="25">
        <v>3846828.4</v>
      </c>
      <c r="N11281" s="27">
        <v>1.4929216265463664E-3</v>
      </c>
    </row>
    <row r="11282" spans="1:14" hidden="1" outlineLevel="1" x14ac:dyDescent="0.2">
      <c r="A11282" s="28" t="s">
        <v>51</v>
      </c>
      <c r="B11282" s="28" t="s">
        <v>51</v>
      </c>
      <c r="C11282" s="28" t="s">
        <v>51</v>
      </c>
      <c r="D11282" s="22" t="s">
        <v>15699</v>
      </c>
      <c r="E11282" s="22" t="s">
        <v>48</v>
      </c>
      <c r="F11282" s="23" t="str">
        <f t="shared" si="311"/>
        <v>Услуги по организации рационального питания обучающихся</v>
      </c>
      <c r="G11282" s="22" t="s">
        <v>51</v>
      </c>
      <c r="H11282" s="22" t="s">
        <v>51</v>
      </c>
      <c r="I11282" s="26">
        <v>43669.523611111101</v>
      </c>
      <c r="J11282" s="23" t="str">
        <f>HYPERLINK("https://www.spark-marketing.ru/Card/Person/59173", "ООО ""ВЕКТОР""")</f>
        <v>ООО "ВЕКТОР"</v>
      </c>
      <c r="K11282" s="24" t="s">
        <v>15708</v>
      </c>
      <c r="L11282" s="28" t="s">
        <v>51</v>
      </c>
      <c r="M11282" s="25">
        <v>3467322</v>
      </c>
      <c r="N11282" s="27">
        <v>0.1</v>
      </c>
    </row>
    <row r="11283" spans="1:14" x14ac:dyDescent="0.15">
      <c r="A11283" s="23" t="str">
        <f>HYPERLINK("https://www.spark-marketing.ru/Card/Person/82705", "ГАУ ""КЦСОН ЛЕНИНСКОГО РАЙОНА Г. НИЖНИЙ ТАГИЛ""")</f>
        <v>ГАУ "КЦСОН ЛЕНИНСКОГО РАЙОНА Г. НИЖНИЙ ТАГИЛ"</v>
      </c>
      <c r="B11283" s="24" t="s">
        <v>15709</v>
      </c>
      <c r="C11283" s="25">
        <v>365490</v>
      </c>
      <c r="D11283" s="22" t="s">
        <v>15710</v>
      </c>
      <c r="E11283" s="22" t="s">
        <v>362</v>
      </c>
      <c r="F11283" s="23" t="str">
        <f>HYPERLINK("https://www.spark-marketing.ru/Card/Lot/72292291", "Оказание услуг по организации и обеспечению ежедневным горячим питанием отдыхающих граждан пожилого возраста и инвалидов , обслуживаемых в отделении дневного пребывания ГАУ ""КЦСОН Ленинского района г. Нижний Тагил""")</f>
        <v>Оказание услуг по организации и обеспечению ежедневным горячим питанием отдыхающих граждан пожилого возраста и инвалидов , обслуживаемых в отделении дневного пребывания ГАУ "КЦСОН Ленинского района г. Нижний Тагил"</v>
      </c>
      <c r="G11283" s="22" t="s">
        <v>174</v>
      </c>
      <c r="H11283" s="22" t="s">
        <v>841</v>
      </c>
      <c r="I11283" s="26">
        <v>43669.518356481502</v>
      </c>
      <c r="J11283" s="28" t="s">
        <v>51</v>
      </c>
      <c r="K11283" s="28" t="s">
        <v>51</v>
      </c>
      <c r="L11283" s="28" t="s">
        <v>51</v>
      </c>
      <c r="M11283" s="28" t="s">
        <v>51</v>
      </c>
      <c r="N11283" s="28" t="s">
        <v>51</v>
      </c>
    </row>
    <row r="11284" spans="1:14" x14ac:dyDescent="0.15">
      <c r="A11284" s="23" t="str">
        <f>HYPERLINK("https://www.spark-marketing.ru/Card/Person/131670", "ФГУП ""ПРЕЗИДЕНТ-СЕРВИС""")</f>
        <v>ФГУП "ПРЕЗИДЕНТ-СЕРВИС"</v>
      </c>
      <c r="B11284" s="24" t="s">
        <v>560</v>
      </c>
      <c r="C11284" s="25">
        <v>273200</v>
      </c>
      <c r="D11284" s="22" t="s">
        <v>15711</v>
      </c>
      <c r="E11284" s="22" t="s">
        <v>769</v>
      </c>
      <c r="F11284" s="23" t="str">
        <f>HYPERLINK("https://www.spark-marketing.ru/Card/Lot/72290331", "Оказание услуг по размещению, питанию и предоставлению сопутствующих услуг в гостинице «Воронеж Марриотт Отель», находящейся по адресу: г. Воронеж, Проспект Революции, д.38")</f>
        <v>Оказание услуг по размещению, питанию и предоставлению сопутствующих услуг в гостинице «Воронеж Марриотт Отель», находящейся по адресу: г. Воронеж, Проспект Революции, д.38</v>
      </c>
      <c r="G11284" s="22" t="s">
        <v>82</v>
      </c>
      <c r="H11284" s="22" t="s">
        <v>82</v>
      </c>
      <c r="I11284" s="26">
        <v>43669.531724537002</v>
      </c>
      <c r="J11284" s="28" t="s">
        <v>51</v>
      </c>
      <c r="K11284" s="28" t="s">
        <v>51</v>
      </c>
      <c r="L11284" s="28" t="s">
        <v>51</v>
      </c>
      <c r="M11284" s="28" t="s">
        <v>51</v>
      </c>
      <c r="N11284" s="28" t="s">
        <v>51</v>
      </c>
    </row>
    <row r="11285" spans="1:14" x14ac:dyDescent="0.15">
      <c r="A11285" s="23" t="str">
        <f>HYPERLINK("https://www.spark-marketing.ru/Card/Person/92001", "ГКУ ""ЦЕНТР МТО"" ЗАБАЙКАЛЬСКОГО КРАЯ")</f>
        <v>ГКУ "ЦЕНТР МТО" ЗАБАЙКАЛЬСКОГО КРАЯ</v>
      </c>
      <c r="B11285" s="24" t="s">
        <v>15712</v>
      </c>
      <c r="C11285" s="25">
        <v>19892</v>
      </c>
      <c r="D11285" s="22" t="s">
        <v>15713</v>
      </c>
      <c r="E11285" s="22" t="s">
        <v>96</v>
      </c>
      <c r="F11285" s="23" t="str">
        <f>HYPERLINK("https://www.spark-marketing.ru/Card/Lot/72275010", "Товары, работы или услуги на сумму, не превышающие 100 тыс. руб. (п.4 ч.1 ст.93 44-ФЗ)")</f>
        <v>Товары, работы или услуги на сумму, не превышающие 100 тыс. руб. (п.4 ч.1 ст.93 44-ФЗ)</v>
      </c>
      <c r="G11285" s="22" t="s">
        <v>228</v>
      </c>
      <c r="H11285" s="22" t="s">
        <v>394</v>
      </c>
      <c r="I11285" s="26">
        <v>43669.509722222203</v>
      </c>
      <c r="J11285" s="28" t="s">
        <v>51</v>
      </c>
      <c r="K11285" s="28" t="s">
        <v>51</v>
      </c>
      <c r="L11285" s="28" t="s">
        <v>51</v>
      </c>
      <c r="M11285" s="28" t="s">
        <v>51</v>
      </c>
      <c r="N11285" s="28" t="s">
        <v>51</v>
      </c>
    </row>
    <row r="11286" spans="1:14" x14ac:dyDescent="0.15">
      <c r="A11286" s="23" t="str">
        <f>HYPERLINK("https://www.spark-marketing.ru/Card/Person/125736", "МО МВД РОССИИ ""ПОЧЕПСКИЙ""")</f>
        <v>МО МВД РОССИИ "ПОЧЕПСКИЙ"</v>
      </c>
      <c r="B11286" s="24" t="s">
        <v>8829</v>
      </c>
      <c r="C11286" s="25">
        <v>3517500</v>
      </c>
      <c r="D11286" s="22" t="s">
        <v>15714</v>
      </c>
      <c r="E11286" s="22" t="s">
        <v>48</v>
      </c>
      <c r="F11286" s="23" t="str">
        <f>HYPERLINK("https://www.spark-marketing.ru/Card/Lot/72279369", "Услуги по приготовлению комплексного горячего питания")</f>
        <v>Услуги по приготовлению комплексного горячего питания</v>
      </c>
      <c r="G11286" s="22" t="s">
        <v>475</v>
      </c>
      <c r="H11286" s="22" t="s">
        <v>8831</v>
      </c>
      <c r="I11286" s="26">
        <v>43669.5148611111</v>
      </c>
      <c r="J11286" s="23" t="str">
        <f>HYPERLINK("https://www.spark-marketing.ru/Card/Person/5877695", "Цесарь Евгений Иванович")</f>
        <v>Цесарь Евгений Иванович</v>
      </c>
      <c r="K11286" s="24" t="s">
        <v>12546</v>
      </c>
      <c r="L11286" s="22" t="s">
        <v>10</v>
      </c>
      <c r="M11286" s="28" t="s">
        <v>51</v>
      </c>
      <c r="N11286" s="28" t="s">
        <v>51</v>
      </c>
    </row>
    <row r="11287" spans="1:14" collapsed="1" x14ac:dyDescent="0.15">
      <c r="A11287" s="23" t="str">
        <f>HYPERLINK("https://www.spark-marketing.ru/Card/Person/4373521", "ГОБУ ДПО ""УМЦ ПО ОБРАЗОВАНИЮ И ПОВЫШЕНИЮ КВАЛИФИКАЦИИ""")</f>
        <v>ГОБУ ДПО "УМЦ ПО ОБРАЗОВАНИЮ И ПОВЫШЕНИЮ КВАЛИФИКАЦИИ"</v>
      </c>
      <c r="B11287" s="24" t="s">
        <v>15715</v>
      </c>
      <c r="C11287" s="25">
        <v>157066.67000000001</v>
      </c>
      <c r="D11287" s="22" t="s">
        <v>15716</v>
      </c>
      <c r="E11287" s="22" t="s">
        <v>81</v>
      </c>
      <c r="F11287" s="23" t="str">
        <f>HYPERLINK("https://www.spark-marketing.ru/Card/Lot/72278087", "Оказание услуг по организации проживания и питания участников XVI пленэра для художественных школ, детских школ искусств Липецкой области")</f>
        <v>Оказание услуг по организации проживания и питания участников XVI пленэра для художественных школ, детских школ искусств Липецкой области</v>
      </c>
      <c r="G11287" s="22" t="s">
        <v>101</v>
      </c>
      <c r="H11287" s="22" t="s">
        <v>101</v>
      </c>
      <c r="I11287" s="26">
        <v>43669.4789930556</v>
      </c>
      <c r="J11287" s="28" t="s">
        <v>51</v>
      </c>
      <c r="K11287" s="28" t="s">
        <v>51</v>
      </c>
      <c r="L11287" s="28" t="s">
        <v>51</v>
      </c>
      <c r="M11287" s="28" t="s">
        <v>51</v>
      </c>
      <c r="N11287" s="28" t="s">
        <v>51</v>
      </c>
    </row>
    <row r="11288" spans="1:14" hidden="1" outlineLevel="1" x14ac:dyDescent="0.2">
      <c r="A11288" s="23" t="str">
        <f>HYPERLINK("https://www.spark-marketing.ru/Card/Person/4373521", "ГОБУ ДПО ""УМЦ ПО ОБРАЗОВАНИЮ И ПОВЫШЕНИЮ КВАЛИФИКАЦИИ""")</f>
        <v>ГОБУ ДПО "УМЦ ПО ОБРАЗОВАНИЮ И ПОВЫШЕНИЮ КВАЛИФИКАЦИИ"</v>
      </c>
      <c r="B11288" s="24" t="s">
        <v>15715</v>
      </c>
      <c r="C11288" s="25">
        <v>157066.67000000001</v>
      </c>
      <c r="D11288" s="22" t="s">
        <v>15716</v>
      </c>
      <c r="E11288" s="22" t="s">
        <v>81</v>
      </c>
      <c r="F11288" s="23" t="str">
        <f>HYPERLINK("https://www.spark-marketing.ru/Card/Lot/72278087", "Оказание услуг по организации проживания и питания участников XVI пленэра для художественных школ, детских школ искусств Липецкой области")</f>
        <v>Оказание услуг по организации проживания и питания участников XVI пленэра для художественных школ, детских школ искусств Липецкой области</v>
      </c>
      <c r="G11288" s="22" t="s">
        <v>101</v>
      </c>
      <c r="H11288" s="22" t="s">
        <v>101</v>
      </c>
      <c r="I11288" s="26">
        <v>43669.4789930556</v>
      </c>
      <c r="J11288" s="23" t="str">
        <f>HYPERLINK("https://www.spark-marketing.ru/Card/Person/370476", "Захаренко Константин Владимирович")</f>
        <v>Захаренко Константин Владимирович</v>
      </c>
      <c r="K11288" s="24" t="s">
        <v>15717</v>
      </c>
      <c r="L11288" s="28" t="s">
        <v>51</v>
      </c>
      <c r="M11288" s="25">
        <v>156281.34</v>
      </c>
      <c r="N11288" s="27">
        <v>4.9999786714775328E-3</v>
      </c>
    </row>
    <row r="11289" spans="1:14" ht="12.75" hidden="1" outlineLevel="1" x14ac:dyDescent="0.2">
      <c r="A11289" s="23" t="str">
        <f>HYPERLINK("https://www.spark-marketing.ru/Card/Person/4373521", "ГОБУ ДПО ""УМЦ ПО ОБРАЗОВАНИЮ И ПОВЫШЕНИЮ КВАЛИФИКАЦИИ""")</f>
        <v>ГОБУ ДПО "УМЦ ПО ОБРАЗОВАНИЮ И ПОВЫШЕНИЮ КВАЛИФИКАЦИИ"</v>
      </c>
      <c r="B11289" s="24" t="s">
        <v>15715</v>
      </c>
      <c r="C11289" s="25">
        <v>157066.67000000001</v>
      </c>
      <c r="D11289" s="22" t="s">
        <v>15716</v>
      </c>
      <c r="E11289" s="22" t="s">
        <v>81</v>
      </c>
      <c r="F11289" s="23" t="str">
        <f>HYPERLINK("https://www.spark-marketing.ru/Card/Lot/72278087", "Оказание услуг по организации проживания и питания участников XVI пленэра для художественных школ, детских школ искусств Липецкой области")</f>
        <v>Оказание услуг по организации проживания и питания участников XVI пленэра для художественных школ, детских школ искусств Липецкой области</v>
      </c>
      <c r="G11289" s="22" t="s">
        <v>101</v>
      </c>
      <c r="H11289" s="22" t="s">
        <v>101</v>
      </c>
      <c r="I11289" s="26">
        <v>43669.4789930556</v>
      </c>
      <c r="J11289" s="23" t="str">
        <f>HYPERLINK("https://www.spark-marketing.ru/Card/Person/386228", "ОАУК ""КРЦ ""СПАРТАК""")</f>
        <v>ОАУК "КРЦ "СПАРТАК"</v>
      </c>
      <c r="K11289" s="24" t="s">
        <v>15718</v>
      </c>
      <c r="L11289" s="22" t="s">
        <v>10</v>
      </c>
      <c r="M11289" s="25">
        <v>155496.01</v>
      </c>
      <c r="N11289" s="27">
        <v>9.9999573429550657E-3</v>
      </c>
    </row>
    <row r="11290" spans="1:14" x14ac:dyDescent="0.15">
      <c r="A11290" s="23" t="str">
        <f>HYPERLINK("https://www.spark-marketing.ru/Card/Person/1029152", "МБОУ БСОШ № 2")</f>
        <v>МБОУ БСОШ № 2</v>
      </c>
      <c r="B11290" s="24" t="s">
        <v>15719</v>
      </c>
      <c r="C11290" s="25">
        <v>326400</v>
      </c>
      <c r="D11290" s="22" t="s">
        <v>15720</v>
      </c>
      <c r="E11290" s="22" t="s">
        <v>48</v>
      </c>
      <c r="F11290" s="23" t="str">
        <f>HYPERLINK("https://www.spark-marketing.ru/Card/Lot/72273475", "оказание услуг по организации питания учащихся")</f>
        <v>оказание услуг по организации питания учащихся</v>
      </c>
      <c r="G11290" s="22" t="s">
        <v>267</v>
      </c>
      <c r="H11290" s="22" t="s">
        <v>11331</v>
      </c>
      <c r="I11290" s="26">
        <v>43669.485416666699</v>
      </c>
      <c r="J11290" s="28" t="s">
        <v>51</v>
      </c>
      <c r="K11290" s="28" t="s">
        <v>51</v>
      </c>
      <c r="L11290" s="28" t="s">
        <v>51</v>
      </c>
      <c r="M11290" s="28" t="s">
        <v>51</v>
      </c>
      <c r="N11290" s="28" t="s">
        <v>51</v>
      </c>
    </row>
    <row r="11291" spans="1:14" x14ac:dyDescent="0.15">
      <c r="A11291" s="23" t="str">
        <f>HYPERLINK("https://www.spark-marketing.ru/Card/Person/63001", "ГБУЗ ""СУОЯРВСКАЯ ЦРБ""")</f>
        <v>ГБУЗ "СУОЯРВСКАЯ ЦРБ"</v>
      </c>
      <c r="B11291" s="24" t="s">
        <v>15721</v>
      </c>
      <c r="C11291" s="25">
        <v>2840974.9</v>
      </c>
      <c r="D11291" s="22" t="s">
        <v>15722</v>
      </c>
      <c r="E11291" s="22" t="s">
        <v>48</v>
      </c>
      <c r="F11291" s="23" t="str">
        <f>HYPERLINK("https://www.spark-marketing.ru/Card/Lot/72279333", "Оказание услуг по приготовлению лечебного питания для больных, находящихся на лечении в ГБУЗ «Суоярвская центральная районная больница»")</f>
        <v>Оказание услуг по приготовлению лечебного питания для больных, находящихся на лечении в ГБУЗ «Суоярвская центральная районная больница»</v>
      </c>
      <c r="G11291" s="22" t="s">
        <v>59</v>
      </c>
      <c r="H11291" s="22" t="s">
        <v>15723</v>
      </c>
      <c r="I11291" s="26">
        <v>43669.491886574098</v>
      </c>
      <c r="J11291" s="23" t="str">
        <f>HYPERLINK("https://www.spark-marketing.ru/Card/Person/4450332", "ООО ""ТОЛВОЯРВИ""")</f>
        <v>ООО "ТОЛВОЯРВИ"</v>
      </c>
      <c r="K11291" s="24" t="s">
        <v>15724</v>
      </c>
      <c r="L11291" s="22" t="s">
        <v>10</v>
      </c>
      <c r="M11291" s="28" t="s">
        <v>51</v>
      </c>
      <c r="N11291" s="28" t="s">
        <v>51</v>
      </c>
    </row>
    <row r="11292" spans="1:14" x14ac:dyDescent="0.15">
      <c r="A11292" s="23" t="str">
        <f>HYPERLINK("https://www.spark-marketing.ru/Card/Person/144459", "КГБУ ""ЯРОВСКОЙ ЦЕНТР ПОМОЩИ ДЕТЯМ, ОСТАВШИМСЯ БЕЗ ПОПЕЧЕНИЯ РОДИТЕЛЕЙ""")</f>
        <v>КГБУ "ЯРОВСКОЙ ЦЕНТР ПОМОЩИ ДЕТЯМ, ОСТАВШИМСЯ БЕЗ ПОПЕЧЕНИЯ РОДИТЕЛЕЙ"</v>
      </c>
      <c r="B11292" s="24" t="s">
        <v>15725</v>
      </c>
      <c r="C11292" s="25">
        <v>21318.7</v>
      </c>
      <c r="D11292" s="22" t="s">
        <v>15726</v>
      </c>
      <c r="E11292" s="22" t="s">
        <v>15727</v>
      </c>
      <c r="F11292" s="23" t="str">
        <f>HYPERLINK("https://www.spark-marketing.ru/Card/Lot/72273481", "(000)Товары, работы или услуги на сумму, не превышающую 300 тыс. руб. (п. 4 ч. 1 ст. 93 Федерального закона № 44-ФЗ)")</f>
        <v>(000)Товары, работы или услуги на сумму, не превышающую 300 тыс. руб. (п. 4 ч. 1 ст. 93 Федерального закона № 44-ФЗ)</v>
      </c>
      <c r="G11292" s="22" t="s">
        <v>63</v>
      </c>
      <c r="H11292" s="22" t="s">
        <v>15728</v>
      </c>
      <c r="I11292" s="26">
        <v>43669.486111111102</v>
      </c>
      <c r="J11292" s="28" t="s">
        <v>51</v>
      </c>
      <c r="K11292" s="28" t="s">
        <v>51</v>
      </c>
      <c r="L11292" s="28" t="s">
        <v>51</v>
      </c>
      <c r="M11292" s="28" t="s">
        <v>51</v>
      </c>
      <c r="N11292" s="28" t="s">
        <v>51</v>
      </c>
    </row>
    <row r="11293" spans="1:14" collapsed="1" x14ac:dyDescent="0.15">
      <c r="A11293" s="23" t="str">
        <f>HYPERLINK("https://www.spark-marketing.ru/Card/Person/55640", "ОТДЕЛ МВД РОССИИ ПО АЛЬМЕТЬЕВСКОМУ РАЙОНУ")</f>
        <v>ОТДЕЛ МВД РОССИИ ПО АЛЬМЕТЬЕВСКОМУ РАЙОНУ</v>
      </c>
      <c r="B11293" s="24" t="s">
        <v>15729</v>
      </c>
      <c r="C11293" s="25">
        <v>2200000</v>
      </c>
      <c r="D11293" s="22" t="s">
        <v>15730</v>
      </c>
      <c r="E11293" s="22" t="s">
        <v>48</v>
      </c>
      <c r="F11293" s="23" t="str">
        <f>HYPERLINK("https://www.spark-marketing.ru/Card/Lot/72281811", "Оказание услуг по организации питания для лиц содержащихся в ИВС, специальном приемнике и комнате содержания задержанных лиц отдела МВД России по Альметьевскому району.")</f>
        <v>Оказание услуг по организации питания для лиц содержащихся в ИВС, специальном приемнике и комнате содержания задержанных лиц отдела МВД России по Альметьевскому району.</v>
      </c>
      <c r="G11293" s="22" t="s">
        <v>217</v>
      </c>
      <c r="H11293" s="22" t="s">
        <v>9294</v>
      </c>
      <c r="I11293" s="26">
        <v>43669.454907407402</v>
      </c>
      <c r="J11293" s="28" t="s">
        <v>51</v>
      </c>
      <c r="K11293" s="28" t="s">
        <v>51</v>
      </c>
      <c r="L11293" s="28" t="s">
        <v>51</v>
      </c>
      <c r="M11293" s="28" t="s">
        <v>51</v>
      </c>
      <c r="N11293" s="28" t="s">
        <v>51</v>
      </c>
    </row>
    <row r="11294" spans="1:14" ht="12.75" hidden="1" outlineLevel="1" x14ac:dyDescent="0.2">
      <c r="A11294" s="23" t="str">
        <f>HYPERLINK("https://www.spark-marketing.ru/Card/Person/55640", "ОТДЕЛ МВД РОССИИ ПО АЛЬМЕТЬЕВСКОМУ РАЙОНУ")</f>
        <v>ОТДЕЛ МВД РОССИИ ПО АЛЬМЕТЬЕВСКОМУ РАЙОНУ</v>
      </c>
      <c r="B11294" s="24" t="s">
        <v>15729</v>
      </c>
      <c r="C11294" s="25">
        <v>2200000</v>
      </c>
      <c r="D11294" s="22" t="s">
        <v>15730</v>
      </c>
      <c r="E11294" s="22" t="s">
        <v>48</v>
      </c>
      <c r="F11294" s="23" t="str">
        <f>HYPERLINK("https://www.spark-marketing.ru/Card/Lot/72281811", "Оказание услуг по организации питания для лиц содержащихся в ИВС, специальном приемнике и комнате содержания задержанных лиц отдела МВД России по Альметьевскому району.")</f>
        <v>Оказание услуг по организации питания для лиц содержащихся в ИВС, специальном приемнике и комнате содержания задержанных лиц отдела МВД России по Альметьевскому району.</v>
      </c>
      <c r="G11294" s="22" t="s">
        <v>217</v>
      </c>
      <c r="H11294" s="22" t="s">
        <v>9294</v>
      </c>
      <c r="I11294" s="26">
        <v>43669.454907407402</v>
      </c>
      <c r="J11294" s="23" t="str">
        <f>HYPERLINK("https://www.spark-marketing.ru/Card/Person/6084653", "ООО ""ВИТАРА""")</f>
        <v>ООО "ВИТАРА"</v>
      </c>
      <c r="K11294" s="24" t="s">
        <v>2437</v>
      </c>
      <c r="L11294" s="22" t="s">
        <v>10</v>
      </c>
      <c r="M11294" s="25">
        <v>2200000</v>
      </c>
      <c r="N11294" s="27">
        <v>0</v>
      </c>
    </row>
    <row r="11295" spans="1:14" hidden="1" outlineLevel="1" x14ac:dyDescent="0.2">
      <c r="A11295" s="23" t="str">
        <f>HYPERLINK("https://www.spark-marketing.ru/Card/Person/55640", "ОТДЕЛ МВД РОССИИ ПО АЛЬМЕТЬЕВСКОМУ РАЙОНУ")</f>
        <v>ОТДЕЛ МВД РОССИИ ПО АЛЬМЕТЬЕВСКОМУ РАЙОНУ</v>
      </c>
      <c r="B11295" s="24" t="s">
        <v>15729</v>
      </c>
      <c r="C11295" s="25">
        <v>2200000</v>
      </c>
      <c r="D11295" s="22" t="s">
        <v>15730</v>
      </c>
      <c r="E11295" s="22" t="s">
        <v>48</v>
      </c>
      <c r="F11295" s="23" t="str">
        <f>HYPERLINK("https://www.spark-marketing.ru/Card/Lot/72281811", "Оказание услуг по организации питания для лиц содержащихся в ИВС, специальном приемнике и комнате содержания задержанных лиц отдела МВД России по Альметьевскому району.")</f>
        <v>Оказание услуг по организации питания для лиц содержащихся в ИВС, специальном приемнике и комнате содержания задержанных лиц отдела МВД России по Альметьевскому району.</v>
      </c>
      <c r="G11295" s="22" t="s">
        <v>217</v>
      </c>
      <c r="H11295" s="22" t="s">
        <v>9294</v>
      </c>
      <c r="I11295" s="26">
        <v>43669.454907407402</v>
      </c>
      <c r="J11295" s="23" t="str">
        <f>HYPERLINK("https://www.spark-marketing.ru/Card/Person/6075772", "ООО ""ЭТАЛОН+""")</f>
        <v>ООО "ЭТАЛОН+"</v>
      </c>
      <c r="K11295" s="24" t="s">
        <v>5846</v>
      </c>
      <c r="L11295" s="28" t="s">
        <v>51</v>
      </c>
      <c r="M11295" s="25">
        <v>2200000</v>
      </c>
      <c r="N11295" s="27">
        <v>0</v>
      </c>
    </row>
    <row r="11296" spans="1:14" x14ac:dyDescent="0.15">
      <c r="A11296" s="23" t="str">
        <f>HYPERLINK("https://www.spark-marketing.ru/Card/Person/8106", "КГБУЗ КРАЕВАЯ КЛИНИЧЕСКАЯ БОЛЬНИЦА")</f>
        <v>КГБУЗ КРАЕВАЯ КЛИНИЧЕСКАЯ БОЛЬНИЦА</v>
      </c>
      <c r="B11296" s="24" t="s">
        <v>12206</v>
      </c>
      <c r="C11296" s="25">
        <v>28845</v>
      </c>
      <c r="D11296" s="22" t="s">
        <v>15731</v>
      </c>
      <c r="E11296" s="22" t="s">
        <v>7386</v>
      </c>
      <c r="F11296" s="23" t="str">
        <f>HYPERLINK("https://www.spark-marketing.ru/Card/Lot/72270493",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1296" s="22" t="s">
        <v>63</v>
      </c>
      <c r="H11296" s="22" t="s">
        <v>177</v>
      </c>
      <c r="I11296" s="26">
        <v>43669.444444444402</v>
      </c>
      <c r="J11296" s="28" t="s">
        <v>51</v>
      </c>
      <c r="K11296" s="28" t="s">
        <v>51</v>
      </c>
      <c r="L11296" s="28" t="s">
        <v>51</v>
      </c>
      <c r="M11296" s="28" t="s">
        <v>51</v>
      </c>
      <c r="N11296" s="28" t="s">
        <v>51</v>
      </c>
    </row>
    <row r="11297" spans="1:14" x14ac:dyDescent="0.15">
      <c r="A11297" s="23" t="str">
        <f>HYPERLINK("https://www.spark-marketing.ru/Card/Person/1956253", "ООО ""РН-СНАБЖЕНИЕ""")</f>
        <v>ООО "РН-СНАБЖЕНИЕ"</v>
      </c>
      <c r="B11297" s="24" t="s">
        <v>1072</v>
      </c>
      <c r="C11297" s="28" t="s">
        <v>51</v>
      </c>
      <c r="D11297" s="22" t="s">
        <v>15732</v>
      </c>
      <c r="E11297" s="22" t="s">
        <v>362</v>
      </c>
      <c r="F11297" s="23" t="str">
        <f>HYPERLINK("https://www.spark-marketing.ru/Card/Lot/72271193", "Оказание услуг по организации питания")</f>
        <v>Оказание услуг по организации питания</v>
      </c>
      <c r="G11297" s="22" t="s">
        <v>97</v>
      </c>
      <c r="H11297" s="22" t="s">
        <v>366</v>
      </c>
      <c r="I11297" s="26">
        <v>43669.434722222199</v>
      </c>
      <c r="J11297" s="28" t="s">
        <v>51</v>
      </c>
      <c r="K11297" s="28" t="s">
        <v>51</v>
      </c>
      <c r="L11297" s="28" t="s">
        <v>51</v>
      </c>
      <c r="M11297" s="28" t="s">
        <v>51</v>
      </c>
      <c r="N11297" s="28" t="s">
        <v>51</v>
      </c>
    </row>
    <row r="11298" spans="1:14" x14ac:dyDescent="0.15">
      <c r="A11298" s="23" t="str">
        <f>HYPERLINK("https://www.spark-marketing.ru/Card/Person/1956253", "ООО ""РН-СНАБЖЕНИЕ""")</f>
        <v>ООО "РН-СНАБЖЕНИЕ"</v>
      </c>
      <c r="B11298" s="24" t="s">
        <v>1072</v>
      </c>
      <c r="C11298" s="28" t="s">
        <v>51</v>
      </c>
      <c r="D11298" s="22" t="s">
        <v>15733</v>
      </c>
      <c r="E11298" s="22" t="s">
        <v>362</v>
      </c>
      <c r="F11298" s="23" t="str">
        <f>HYPERLINK("https://www.spark-marketing.ru/Card/Lot/72274100", "Оказание услуг по организации питания")</f>
        <v>Оказание услуг по организации питания</v>
      </c>
      <c r="G11298" s="22" t="s">
        <v>97</v>
      </c>
      <c r="H11298" s="22" t="s">
        <v>366</v>
      </c>
      <c r="I11298" s="26">
        <v>43669.452083333301</v>
      </c>
      <c r="J11298" s="28" t="s">
        <v>51</v>
      </c>
      <c r="K11298" s="28" t="s">
        <v>51</v>
      </c>
      <c r="L11298" s="28" t="s">
        <v>51</v>
      </c>
      <c r="M11298" s="28" t="s">
        <v>51</v>
      </c>
      <c r="N11298" s="28" t="s">
        <v>51</v>
      </c>
    </row>
    <row r="11299" spans="1:14" collapsed="1" x14ac:dyDescent="0.15">
      <c r="A11299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1299" s="24" t="s">
        <v>3991</v>
      </c>
      <c r="C11299" s="25">
        <v>293500</v>
      </c>
      <c r="D11299" s="22" t="s">
        <v>15734</v>
      </c>
      <c r="E11299" s="22" t="s">
        <v>48</v>
      </c>
      <c r="F11299" s="23" t="str">
        <f>HYPERLINK("https://www.spark-marketing.ru/Card/Lot/72266306", "Оказание услуг по организации готового 3-х разового горячего питания лиц, содержащихся в ИВС МО МВД России ""Назаровский""")</f>
        <v>Оказание услуг по организации готового 3-х разового горячего питания лиц, содержащихся в ИВС МО МВД России "Назаровский"</v>
      </c>
      <c r="G11299" s="22" t="s">
        <v>281</v>
      </c>
      <c r="H11299" s="22" t="s">
        <v>1643</v>
      </c>
      <c r="I11299" s="26">
        <v>43669.427245370403</v>
      </c>
      <c r="J11299" s="28" t="s">
        <v>51</v>
      </c>
      <c r="K11299" s="28" t="s">
        <v>51</v>
      </c>
      <c r="L11299" s="28" t="s">
        <v>51</v>
      </c>
      <c r="M11299" s="28" t="s">
        <v>51</v>
      </c>
      <c r="N11299" s="28" t="s">
        <v>51</v>
      </c>
    </row>
    <row r="11300" spans="1:14" hidden="1" outlineLevel="1" x14ac:dyDescent="0.2">
      <c r="A11300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1300" s="24" t="s">
        <v>3991</v>
      </c>
      <c r="C11300" s="25">
        <v>293500</v>
      </c>
      <c r="D11300" s="22" t="s">
        <v>15734</v>
      </c>
      <c r="E11300" s="22" t="s">
        <v>48</v>
      </c>
      <c r="F11300" s="23" t="str">
        <f>HYPERLINK("https://www.spark-marketing.ru/Card/Lot/72266306", "Оказание услуг по организации готового 3-х разового горячего питания лиц, содержащихся в ИВС МО МВД России ""Назаровский""")</f>
        <v>Оказание услуг по организации готового 3-х разового горячего питания лиц, содержащихся в ИВС МО МВД России "Назаровский"</v>
      </c>
      <c r="G11300" s="22" t="s">
        <v>281</v>
      </c>
      <c r="H11300" s="22" t="s">
        <v>1643</v>
      </c>
      <c r="I11300" s="26">
        <v>43669.427245370403</v>
      </c>
      <c r="J11300" s="23" t="str">
        <f>HYPERLINK("https://www.spark-marketing.ru/Card/Person/455087", "Шадрина Ирина Степановна")</f>
        <v>Шадрина Ирина Степановна</v>
      </c>
      <c r="K11300" s="24" t="s">
        <v>15735</v>
      </c>
      <c r="L11300" s="28" t="s">
        <v>51</v>
      </c>
      <c r="M11300" s="25">
        <v>252.63</v>
      </c>
      <c r="N11300" s="27">
        <v>0.99913925042589435</v>
      </c>
    </row>
    <row r="11301" spans="1:14" ht="12.75" hidden="1" outlineLevel="1" x14ac:dyDescent="0.2">
      <c r="A11301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1301" s="24" t="s">
        <v>3991</v>
      </c>
      <c r="C11301" s="25">
        <v>293500</v>
      </c>
      <c r="D11301" s="22" t="s">
        <v>15734</v>
      </c>
      <c r="E11301" s="22" t="s">
        <v>48</v>
      </c>
      <c r="F11301" s="23" t="str">
        <f>HYPERLINK("https://www.spark-marketing.ru/Card/Lot/72266306", "Оказание услуг по организации готового 3-х разового горячего питания лиц, содержащихся в ИВС МО МВД России ""Назаровский""")</f>
        <v>Оказание услуг по организации готового 3-х разового горячего питания лиц, содержащихся в ИВС МО МВД России "Назаровский"</v>
      </c>
      <c r="G11301" s="22" t="s">
        <v>281</v>
      </c>
      <c r="H11301" s="22" t="s">
        <v>1643</v>
      </c>
      <c r="I11301" s="26">
        <v>43669.427245370403</v>
      </c>
      <c r="J11301" s="23" t="str">
        <f>HYPERLINK("https://www.spark-marketing.ru/Card/Person/6624359", "Соболев Дмитрий Юрьевич")</f>
        <v>Соболев Дмитрий Юрьевич</v>
      </c>
      <c r="K11301" s="24" t="s">
        <v>15736</v>
      </c>
      <c r="L11301" s="22" t="s">
        <v>10</v>
      </c>
      <c r="M11301" s="25">
        <v>250</v>
      </c>
      <c r="N11301" s="27">
        <v>0.99914821124361164</v>
      </c>
    </row>
    <row r="11302" spans="1:14" x14ac:dyDescent="0.15">
      <c r="A11302" s="23" t="str">
        <f>HYPERLINK("https://www.spark-marketing.ru/Card/Person/1068380", "ОТДЕЛ МВД РОССИИ ПО РОДИОНОВО-НЕСВЕТАЙСКОМУ РАЙОНУ")</f>
        <v>ОТДЕЛ МВД РОССИИ ПО РОДИОНОВО-НЕСВЕТАЙСКОМУ РАЙОНУ</v>
      </c>
      <c r="B11302" s="24" t="s">
        <v>10407</v>
      </c>
      <c r="C11302" s="25">
        <v>13500</v>
      </c>
      <c r="D11302" s="22" t="s">
        <v>15737</v>
      </c>
      <c r="E11302" s="22" t="s">
        <v>96</v>
      </c>
      <c r="F11302" s="23" t="str">
        <f>HYPERLINK("https://www.spark-marketing.ru/Card/Lot/72270635", "Оказание услуг по организации питания (приготовлению и доставке), 45 шт")</f>
        <v>Оказание услуг по организации питания (приготовлению и доставке), 45 шт</v>
      </c>
      <c r="G11302" s="22" t="s">
        <v>267</v>
      </c>
      <c r="H11302" s="22" t="s">
        <v>10409</v>
      </c>
      <c r="I11302" s="26">
        <v>43669.450162036999</v>
      </c>
      <c r="J11302" s="28" t="s">
        <v>51</v>
      </c>
      <c r="K11302" s="28" t="s">
        <v>51</v>
      </c>
      <c r="L11302" s="28" t="s">
        <v>51</v>
      </c>
      <c r="M11302" s="28" t="s">
        <v>51</v>
      </c>
      <c r="N11302" s="28" t="s">
        <v>51</v>
      </c>
    </row>
    <row r="11303" spans="1:14" collapsed="1" x14ac:dyDescent="0.15">
      <c r="A11303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1303" s="24" t="s">
        <v>3991</v>
      </c>
      <c r="C11303" s="25">
        <v>293500</v>
      </c>
      <c r="D11303" s="22" t="s">
        <v>15738</v>
      </c>
      <c r="E11303" s="22" t="s">
        <v>48</v>
      </c>
      <c r="F11303" s="23" t="str">
        <f>HYPERLINK("https://www.spark-marketing.ru/Card/Lot/72266726", "Оказание услуг по организации готового 3-х разового горячего питания лиц, содержащихся в ИВС МО МВД России ""Назаровский""")</f>
        <v>Оказание услуг по организации готового 3-х разового горячего питания лиц, содержащихся в ИВС МО МВД России "Назаровский"</v>
      </c>
      <c r="G11303" s="22" t="s">
        <v>281</v>
      </c>
      <c r="H11303" s="22" t="s">
        <v>1643</v>
      </c>
      <c r="I11303" s="26">
        <v>43669.431284722203</v>
      </c>
      <c r="J11303" s="28" t="s">
        <v>51</v>
      </c>
      <c r="K11303" s="28" t="s">
        <v>51</v>
      </c>
      <c r="L11303" s="28" t="s">
        <v>51</v>
      </c>
      <c r="M11303" s="28" t="s">
        <v>51</v>
      </c>
      <c r="N11303" s="28" t="s">
        <v>51</v>
      </c>
    </row>
    <row r="11304" spans="1:14" hidden="1" outlineLevel="1" x14ac:dyDescent="0.2">
      <c r="A11304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1304" s="24" t="s">
        <v>3991</v>
      </c>
      <c r="C11304" s="25">
        <v>293500</v>
      </c>
      <c r="D11304" s="22" t="s">
        <v>15738</v>
      </c>
      <c r="E11304" s="22" t="s">
        <v>48</v>
      </c>
      <c r="F11304" s="23" t="str">
        <f>HYPERLINK("https://www.spark-marketing.ru/Card/Lot/72266726", "Оказание услуг по организации готового 3-х разового горячего питания лиц, содержащихся в ИВС МО МВД России ""Назаровский""")</f>
        <v>Оказание услуг по организации готового 3-х разового горячего питания лиц, содержащихся в ИВС МО МВД России "Назаровский"</v>
      </c>
      <c r="G11304" s="22" t="s">
        <v>281</v>
      </c>
      <c r="H11304" s="22" t="s">
        <v>1643</v>
      </c>
      <c r="I11304" s="26">
        <v>43669.431284722203</v>
      </c>
      <c r="J11304" s="23" t="str">
        <f>HYPERLINK("https://www.spark-marketing.ru/Card/Person/455087", "Шадрина Ирина Степановна")</f>
        <v>Шадрина Ирина Степановна</v>
      </c>
      <c r="K11304" s="24" t="s">
        <v>15735</v>
      </c>
      <c r="L11304" s="28" t="s">
        <v>51</v>
      </c>
      <c r="M11304" s="25">
        <v>255.85</v>
      </c>
      <c r="N11304" s="27">
        <v>0.99912827938671211</v>
      </c>
    </row>
    <row r="11305" spans="1:14" ht="12.75" hidden="1" outlineLevel="1" x14ac:dyDescent="0.2">
      <c r="A11305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1305" s="24" t="s">
        <v>3991</v>
      </c>
      <c r="C11305" s="25">
        <v>293500</v>
      </c>
      <c r="D11305" s="22" t="s">
        <v>15738</v>
      </c>
      <c r="E11305" s="22" t="s">
        <v>48</v>
      </c>
      <c r="F11305" s="23" t="str">
        <f>HYPERLINK("https://www.spark-marketing.ru/Card/Lot/72266726", "Оказание услуг по организации готового 3-х разового горячего питания лиц, содержащихся в ИВС МО МВД России ""Назаровский""")</f>
        <v>Оказание услуг по организации готового 3-х разового горячего питания лиц, содержащихся в ИВС МО МВД России "Назаровский"</v>
      </c>
      <c r="G11305" s="22" t="s">
        <v>281</v>
      </c>
      <c r="H11305" s="22" t="s">
        <v>1643</v>
      </c>
      <c r="I11305" s="26">
        <v>43669.431284722203</v>
      </c>
      <c r="J11305" s="23" t="str">
        <f>HYPERLINK("https://www.spark-marketing.ru/Card/Person/6624359", "Соболев Дмитрий Юрьевич")</f>
        <v>Соболев Дмитрий Юрьевич</v>
      </c>
      <c r="K11305" s="24" t="s">
        <v>15736</v>
      </c>
      <c r="L11305" s="22" t="s">
        <v>10</v>
      </c>
      <c r="M11305" s="25">
        <v>254.24</v>
      </c>
      <c r="N11305" s="27">
        <v>0.99913376490630323</v>
      </c>
    </row>
    <row r="11306" spans="1:14" x14ac:dyDescent="0.15">
      <c r="A11306" s="23" t="str">
        <f>HYPERLINK("https://www.spark-marketing.ru/Card/Person/1048725", "МБОУ ""СШ № 2""")</f>
        <v>МБОУ "СШ № 2"</v>
      </c>
      <c r="B11306" s="24" t="s">
        <v>15739</v>
      </c>
      <c r="C11306" s="25">
        <v>1262816</v>
      </c>
      <c r="D11306" s="22" t="s">
        <v>15740</v>
      </c>
      <c r="E11306" s="22" t="s">
        <v>48</v>
      </c>
      <c r="F11306" s="23" t="str">
        <f>HYPERLINK("https://www.spark-marketing.ru/Card/Lot/72270868", "Оказание услуг по организации горячего питания и обеспечению горячим питанием учащихся МБОУ ""СШ № 2""")</f>
        <v>Оказание услуг по организации горячего питания и обеспечению горячим питанием учащихся МБОУ "СШ № 2"</v>
      </c>
      <c r="G11306" s="22" t="s">
        <v>460</v>
      </c>
      <c r="H11306" s="22" t="s">
        <v>461</v>
      </c>
      <c r="I11306" s="26">
        <v>43669.391875000001</v>
      </c>
      <c r="J11306" s="23" t="str">
        <f>HYPERLINK("https://www.spark-marketing.ru/Card/Person/836702", "МУП ""КСП""")</f>
        <v>МУП "КСП"</v>
      </c>
      <c r="K11306" s="24" t="s">
        <v>6532</v>
      </c>
      <c r="L11306" s="22" t="s">
        <v>10</v>
      </c>
      <c r="M11306" s="28" t="s">
        <v>51</v>
      </c>
      <c r="N11306" s="28" t="s">
        <v>51</v>
      </c>
    </row>
    <row r="11307" spans="1:14" x14ac:dyDescent="0.15">
      <c r="A11307" s="23" t="str">
        <f>HYPERLINK("https://www.spark-marketing.ru/Card/Person/281977", "ФКУ КП-3 УФСИН РОССИИ ПО ВОЛГОГРАДСКОЙ ОБЛАСТИ")</f>
        <v>ФКУ КП-3 УФСИН РОССИИ ПО ВОЛГОГРАДСКОЙ ОБЛАСТИ</v>
      </c>
      <c r="B11307" s="24" t="s">
        <v>15741</v>
      </c>
      <c r="C11307" s="25">
        <v>40800</v>
      </c>
      <c r="D11307" s="22" t="s">
        <v>15742</v>
      </c>
      <c r="E11307" s="22" t="s">
        <v>437</v>
      </c>
      <c r="F11307" s="23" t="str">
        <f>HYPERLINK("https://www.spark-marketing.ru/Card/Lot/72268930", "оказание услуг на проведение лабораторных исследований готовой продукции")</f>
        <v>оказание услуг на проведение лабораторных исследований готовой продукции</v>
      </c>
      <c r="G11307" s="22" t="s">
        <v>158</v>
      </c>
      <c r="H11307" s="22" t="s">
        <v>171</v>
      </c>
      <c r="I11307" s="26">
        <v>43669.406782407401</v>
      </c>
      <c r="J11307" s="28" t="s">
        <v>51</v>
      </c>
      <c r="K11307" s="28" t="s">
        <v>51</v>
      </c>
      <c r="L11307" s="28" t="s">
        <v>51</v>
      </c>
      <c r="M11307" s="28" t="s">
        <v>51</v>
      </c>
      <c r="N11307" s="28" t="s">
        <v>51</v>
      </c>
    </row>
    <row r="11308" spans="1:14" x14ac:dyDescent="0.15">
      <c r="A11308" s="23" t="str">
        <f>HYPERLINK("https://www.spark-marketing.ru/Card/Person/2097942", "АО ""КОНЦЕРН РОСЭНЕРГОАТОМ""")</f>
        <v>АО "КОНЦЕРН РОСЭНЕРГОАТОМ"</v>
      </c>
      <c r="B11308" s="24" t="s">
        <v>908</v>
      </c>
      <c r="C11308" s="28" t="s">
        <v>51</v>
      </c>
      <c r="D11308" s="22" t="s">
        <v>15743</v>
      </c>
      <c r="E11308" s="22" t="s">
        <v>48</v>
      </c>
      <c r="F11308" s="23" t="str">
        <f>HYPERLINK("https://www.spark-marketing.ru/Card/Lot/72274543", "«Оказание услуг спасательной службой продовольственного снабжения по обеспечению питанием и продовольствием формирований АС и производственного персонала АС, участвующих в ликвидации чрезвычайных ситуации, возникающих при ведении военных действий или...")</f>
        <v>«Оказание услуг спасательной службой продовольственного снабжения по обеспечению питанием и продовольствием формирований АС и производственного персонала АС, участвующих в ликвидации чрезвычайных ситуации, возникающих при ведении военных действий или...</v>
      </c>
      <c r="G11308" s="22" t="s">
        <v>56</v>
      </c>
      <c r="H11308" s="22" t="s">
        <v>56</v>
      </c>
      <c r="I11308" s="26">
        <v>43669.376840277801</v>
      </c>
      <c r="J11308" s="28" t="s">
        <v>51</v>
      </c>
      <c r="K11308" s="28" t="s">
        <v>51</v>
      </c>
      <c r="L11308" s="28" t="s">
        <v>51</v>
      </c>
      <c r="M11308" s="28" t="s">
        <v>51</v>
      </c>
      <c r="N11308" s="28" t="s">
        <v>51</v>
      </c>
    </row>
    <row r="11309" spans="1:14" x14ac:dyDescent="0.2">
      <c r="A11309" s="23" t="str">
        <f>HYPERLINK("https://www.spark-marketing.ru/Card/Person/1022921", "МАДОУ ""ДЕТСКИЙ САД №14""")</f>
        <v>МАДОУ "ДЕТСКИЙ САД №14"</v>
      </c>
      <c r="B11309" s="24" t="s">
        <v>15744</v>
      </c>
      <c r="C11309" s="25">
        <v>1101670.8</v>
      </c>
      <c r="D11309" s="22" t="s">
        <v>15745</v>
      </c>
      <c r="E11309" s="22" t="s">
        <v>362</v>
      </c>
      <c r="F11309" s="23" t="str">
        <f>HYPERLINK("https://www.spark-marketing.ru/Card/Lot/72291361", "Услуги по организации питания воспитанников, осваивающих образовательные программы дошкольного образования")</f>
        <v>Услуги по организации питания воспитанников, осваивающих образовательные программы дошкольного образования</v>
      </c>
      <c r="G11309" s="22" t="s">
        <v>1111</v>
      </c>
      <c r="H11309" s="22" t="s">
        <v>1111</v>
      </c>
      <c r="I11309" s="26">
        <v>43669.383043981499</v>
      </c>
      <c r="J11309" s="28" t="s">
        <v>51</v>
      </c>
      <c r="K11309" s="28" t="s">
        <v>51</v>
      </c>
      <c r="L11309" s="28" t="s">
        <v>51</v>
      </c>
      <c r="M11309" s="25">
        <v>1101670.8</v>
      </c>
      <c r="N11309" s="27">
        <v>0</v>
      </c>
    </row>
    <row r="11310" spans="1:14" x14ac:dyDescent="0.15">
      <c r="A11310" s="23" t="str">
        <f>HYPERLINK("https://www.spark-marketing.ru/Card/Person/6654376", "ДИРЕКЦИЯ СОЦИАЛЬНОЙ СФЕРЫ СТРУКТУРНОЕ ПОДРАЗДЕЛЕНИЕ ЗАБАЙКАЛЬСКОЙ ЖЕЛЕЗНОЙ ДОРОГИ ФЛ ОАО РЖД")</f>
        <v>ДИРЕКЦИЯ СОЦИАЛЬНОЙ СФЕРЫ СТРУКТУРНОЕ ПОДРАЗДЕЛЕНИЕ ЗАБАЙКАЛЬСКОЙ ЖЕЛЕЗНОЙ ДОРОГИ ФЛ ОАО РЖД</v>
      </c>
      <c r="B11310" s="24" t="s">
        <v>330</v>
      </c>
      <c r="C11310" s="25">
        <v>206987</v>
      </c>
      <c r="D11310" s="28" t="s">
        <v>51</v>
      </c>
      <c r="E11310" s="22" t="s">
        <v>96</v>
      </c>
      <c r="F11310" s="23" t="str">
        <f>HYPERLINK("https://www.spark-marketing.ru/Card/Lot/72429262", "№22265 Оказание услуг по организации питания детей и сопровождающих во время пребывания в г.Чите")</f>
        <v>№22265 Оказание услуг по организации питания детей и сопровождающих во время пребывания в г.Чите</v>
      </c>
      <c r="G11310" s="22" t="s">
        <v>51</v>
      </c>
      <c r="H11310" s="22" t="s">
        <v>51</v>
      </c>
      <c r="I11310" s="26">
        <v>43669.413078703699</v>
      </c>
      <c r="J11310" s="28" t="s">
        <v>51</v>
      </c>
      <c r="K11310" s="28" t="s">
        <v>51</v>
      </c>
      <c r="L11310" s="28" t="s">
        <v>51</v>
      </c>
      <c r="M11310" s="28" t="s">
        <v>51</v>
      </c>
      <c r="N11310" s="28" t="s">
        <v>51</v>
      </c>
    </row>
    <row r="11311" spans="1:14" x14ac:dyDescent="0.15">
      <c r="A11311" s="23" t="str">
        <f>HYPERLINK("https://www.spark-marketing.ru/Card/Person/253243", "ОТДЕЛЕНИЕ МВД РОССИИ ПО КАЙБИЦКОМУ РАЙОНУ")</f>
        <v>ОТДЕЛЕНИЕ МВД РОССИИ ПО КАЙБИЦКОМУ РАЙОНУ</v>
      </c>
      <c r="B11311" s="24" t="s">
        <v>15746</v>
      </c>
      <c r="C11311" s="25">
        <v>24000</v>
      </c>
      <c r="D11311" s="22" t="s">
        <v>15747</v>
      </c>
      <c r="E11311" s="22" t="s">
        <v>48</v>
      </c>
      <c r="F11311" s="23" t="str">
        <f>HYPERLINK("https://www.spark-marketing.ru/Card/Lot/72268396", "Услуги по обеспечению питания лиц содержащихся в спец. помещениях задержанных лиц, 2 усл. ед")</f>
        <v>Услуги по обеспечению питания лиц содержащихся в спец. помещениях задержанных лиц, 2 усл. ед</v>
      </c>
      <c r="G11311" s="22" t="s">
        <v>217</v>
      </c>
      <c r="H11311" s="22" t="s">
        <v>15748</v>
      </c>
      <c r="I11311" s="26">
        <v>43669.403888888897</v>
      </c>
      <c r="J11311" s="28" t="s">
        <v>51</v>
      </c>
      <c r="K11311" s="28" t="s">
        <v>51</v>
      </c>
      <c r="L11311" s="28" t="s">
        <v>51</v>
      </c>
      <c r="M11311" s="28" t="s">
        <v>51</v>
      </c>
      <c r="N11311" s="28" t="s">
        <v>51</v>
      </c>
    </row>
    <row r="11312" spans="1:14" x14ac:dyDescent="0.15">
      <c r="A11312" s="23" t="str">
        <f>HYPERLINK("https://www.spark-marketing.ru/Card/Person/245769", "МО МВД РОССИИ ""АРКАДАКСКИЙ"" САРАТОВСКОЙ ОБЛАСТИ")</f>
        <v>МО МВД РОССИИ "АРКАДАКСКИЙ" САРАТОВСКОЙ ОБЛАСТИ</v>
      </c>
      <c r="B11312" s="24" t="s">
        <v>15749</v>
      </c>
      <c r="C11312" s="25">
        <v>281540</v>
      </c>
      <c r="D11312" s="22" t="s">
        <v>15750</v>
      </c>
      <c r="E11312" s="22" t="s">
        <v>96</v>
      </c>
      <c r="F11312" s="23" t="str">
        <f>HYPERLINK("https://www.spark-marketing.ru/Card/Lot/72268279",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1312" s="22" t="s">
        <v>351</v>
      </c>
      <c r="H11312" s="22" t="s">
        <v>15751</v>
      </c>
      <c r="I11312" s="26">
        <v>43669.388159722199</v>
      </c>
      <c r="J11312" s="28" t="s">
        <v>51</v>
      </c>
      <c r="K11312" s="28" t="s">
        <v>51</v>
      </c>
      <c r="L11312" s="28" t="s">
        <v>51</v>
      </c>
      <c r="M11312" s="28" t="s">
        <v>51</v>
      </c>
      <c r="N11312" s="28" t="s">
        <v>51</v>
      </c>
    </row>
    <row r="11313" spans="1:14" x14ac:dyDescent="0.15">
      <c r="A11313" s="23" t="str">
        <f>HYPERLINK("https://www.spark-marketing.ru/Card/Person/245769", "МО МВД РОССИИ ""АРКАДАКСКИЙ"" САРАТОВСКОЙ ОБЛАСТИ")</f>
        <v>МО МВД РОССИИ "АРКАДАКСКИЙ" САРАТОВСКОЙ ОБЛАСТИ</v>
      </c>
      <c r="B11313" s="24" t="s">
        <v>15749</v>
      </c>
      <c r="C11313" s="25">
        <v>281540</v>
      </c>
      <c r="D11313" s="22" t="s">
        <v>15752</v>
      </c>
      <c r="E11313" s="22" t="s">
        <v>96</v>
      </c>
      <c r="F11313" s="23" t="str">
        <f>HYPERLINK("https://www.spark-marketing.ru/Card/Lot/72268296",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1313" s="22" t="s">
        <v>351</v>
      </c>
      <c r="H11313" s="22" t="s">
        <v>15751</v>
      </c>
      <c r="I11313" s="26">
        <v>43669.3913888889</v>
      </c>
      <c r="J11313" s="28" t="s">
        <v>51</v>
      </c>
      <c r="K11313" s="28" t="s">
        <v>51</v>
      </c>
      <c r="L11313" s="28" t="s">
        <v>51</v>
      </c>
      <c r="M11313" s="28" t="s">
        <v>51</v>
      </c>
      <c r="N11313" s="28" t="s">
        <v>51</v>
      </c>
    </row>
    <row r="11314" spans="1:14" x14ac:dyDescent="0.15">
      <c r="A11314" s="23" t="str">
        <f>HYPERLINK("https://www.spark-marketing.ru/Card/Person/33250", "ФГБОУ ВО ""ВГУ""")</f>
        <v>ФГБОУ ВО "ВГУ"</v>
      </c>
      <c r="B11314" s="24" t="s">
        <v>3566</v>
      </c>
      <c r="C11314" s="25">
        <v>500000</v>
      </c>
      <c r="D11314" s="22" t="s">
        <v>15753</v>
      </c>
      <c r="E11314" s="22" t="s">
        <v>362</v>
      </c>
      <c r="F11314" s="23" t="str">
        <f>HYPERLINK("https://www.spark-marketing.ru/Card/Lot/72294693", "Оказание услуг по организации питания")</f>
        <v>Оказание услуг по организации питания</v>
      </c>
      <c r="G11314" s="22" t="s">
        <v>82</v>
      </c>
      <c r="H11314" s="22" t="s">
        <v>83</v>
      </c>
      <c r="I11314" s="26">
        <v>43669.390636574099</v>
      </c>
      <c r="J11314" s="28" t="s">
        <v>51</v>
      </c>
      <c r="K11314" s="28" t="s">
        <v>51</v>
      </c>
      <c r="L11314" s="28" t="s">
        <v>51</v>
      </c>
      <c r="M11314" s="28" t="s">
        <v>51</v>
      </c>
      <c r="N11314" s="28" t="s">
        <v>51</v>
      </c>
    </row>
    <row r="11315" spans="1:14" x14ac:dyDescent="0.15">
      <c r="A11315" s="23" t="str">
        <f>HYPERLINK("https://www.spark-marketing.ru/Card/Person/253243", "ОТДЕЛЕНИЕ МВД РОССИИ ПО КАЙБИЦКОМУ РАЙОНУ")</f>
        <v>ОТДЕЛЕНИЕ МВД РОССИИ ПО КАЙБИЦКОМУ РАЙОНУ</v>
      </c>
      <c r="B11315" s="24" t="s">
        <v>15746</v>
      </c>
      <c r="C11315" s="25">
        <v>24000</v>
      </c>
      <c r="D11315" s="22" t="s">
        <v>15754</v>
      </c>
      <c r="E11315" s="22" t="s">
        <v>48</v>
      </c>
      <c r="F11315" s="23" t="str">
        <f>HYPERLINK("https://www.spark-marketing.ru/Card/Lot/72268747", "Услуги по обеспечению питания лиц содержащихся в спец. помещениях задержанных лиц, 2 усл. ед")</f>
        <v>Услуги по обеспечению питания лиц содержащихся в спец. помещениях задержанных лиц, 2 усл. ед</v>
      </c>
      <c r="G11315" s="22" t="s">
        <v>217</v>
      </c>
      <c r="H11315" s="22" t="s">
        <v>15748</v>
      </c>
      <c r="I11315" s="26">
        <v>43669.406770833302</v>
      </c>
      <c r="J11315" s="28" t="s">
        <v>51</v>
      </c>
      <c r="K11315" s="28" t="s">
        <v>51</v>
      </c>
      <c r="L11315" s="28" t="s">
        <v>51</v>
      </c>
      <c r="M11315" s="28" t="s">
        <v>51</v>
      </c>
      <c r="N11315" s="28" t="s">
        <v>51</v>
      </c>
    </row>
    <row r="11316" spans="1:14" collapsed="1" x14ac:dyDescent="0.15">
      <c r="A11316" s="23" t="str">
        <f>HYPERLINK("https://www.spark-marketing.ru/Card/Person/111288", "МУСЛЮМОВСКАЯ ЦРБ")</f>
        <v>МУСЛЮМОВСКАЯ ЦРБ</v>
      </c>
      <c r="B11316" s="24" t="s">
        <v>15755</v>
      </c>
      <c r="C11316" s="25">
        <v>1499940</v>
      </c>
      <c r="D11316" s="22" t="s">
        <v>15756</v>
      </c>
      <c r="E11316" s="22" t="s">
        <v>48</v>
      </c>
      <c r="F11316" s="23" t="str">
        <f>HYPERLINK("https://www.spark-marketing.ru/Card/Lot/72269498", "Услуги по организации готового лечебного питания для стационарных больных ГАУЗ «Муслюмовская ЦРБ»")</f>
        <v>Услуги по организации готового лечебного питания для стационарных больных ГАУЗ «Муслюмовская ЦРБ»</v>
      </c>
      <c r="G11316" s="22" t="s">
        <v>217</v>
      </c>
      <c r="H11316" s="22" t="s">
        <v>15757</v>
      </c>
      <c r="I11316" s="26">
        <v>43669.366875</v>
      </c>
      <c r="J11316" s="28" t="s">
        <v>51</v>
      </c>
      <c r="K11316" s="28" t="s">
        <v>51</v>
      </c>
      <c r="L11316" s="28" t="s">
        <v>51</v>
      </c>
      <c r="M11316" s="28" t="s">
        <v>51</v>
      </c>
      <c r="N11316" s="28" t="s">
        <v>51</v>
      </c>
    </row>
    <row r="11317" spans="1:14" ht="12.75" hidden="1" outlineLevel="1" x14ac:dyDescent="0.2">
      <c r="A11317" s="23" t="str">
        <f>HYPERLINK("https://www.spark-marketing.ru/Card/Person/111288", "МУСЛЮМОВСКАЯ ЦРБ")</f>
        <v>МУСЛЮМОВСКАЯ ЦРБ</v>
      </c>
      <c r="B11317" s="24" t="s">
        <v>15755</v>
      </c>
      <c r="C11317" s="25">
        <v>1499940</v>
      </c>
      <c r="D11317" s="22" t="s">
        <v>15756</v>
      </c>
      <c r="E11317" s="22" t="s">
        <v>48</v>
      </c>
      <c r="F11317" s="23" t="str">
        <f>HYPERLINK("https://www.spark-marketing.ru/Card/Lot/72269498", "Услуги по организации готового лечебного питания для стационарных больных ГАУЗ «Муслюмовская ЦРБ»")</f>
        <v>Услуги по организации готового лечебного питания для стационарных больных ГАУЗ «Муслюмовская ЦРБ»</v>
      </c>
      <c r="G11317" s="22" t="s">
        <v>217</v>
      </c>
      <c r="H11317" s="22" t="s">
        <v>15757</v>
      </c>
      <c r="I11317" s="26">
        <v>43669.366875</v>
      </c>
      <c r="J11317" s="23" t="str">
        <f>HYPERLINK("https://www.spark-marketing.ru/Card/Person/6084653", "ООО ""ВИТАРА""")</f>
        <v>ООО "ВИТАРА"</v>
      </c>
      <c r="K11317" s="24" t="s">
        <v>2437</v>
      </c>
      <c r="L11317" s="22" t="s">
        <v>10</v>
      </c>
      <c r="M11317" s="25">
        <v>1499940</v>
      </c>
      <c r="N11317" s="27">
        <v>0</v>
      </c>
    </row>
    <row r="11318" spans="1:14" hidden="1" outlineLevel="1" x14ac:dyDescent="0.2">
      <c r="A11318" s="23" t="str">
        <f>HYPERLINK("https://www.spark-marketing.ru/Card/Person/111288", "МУСЛЮМОВСКАЯ ЦРБ")</f>
        <v>МУСЛЮМОВСКАЯ ЦРБ</v>
      </c>
      <c r="B11318" s="24" t="s">
        <v>15755</v>
      </c>
      <c r="C11318" s="25">
        <v>1499940</v>
      </c>
      <c r="D11318" s="22" t="s">
        <v>15756</v>
      </c>
      <c r="E11318" s="22" t="s">
        <v>48</v>
      </c>
      <c r="F11318" s="23" t="str">
        <f>HYPERLINK("https://www.spark-marketing.ru/Card/Lot/72269498", "Услуги по организации готового лечебного питания для стационарных больных ГАУЗ «Муслюмовская ЦРБ»")</f>
        <v>Услуги по организации готового лечебного питания для стационарных больных ГАУЗ «Муслюмовская ЦРБ»</v>
      </c>
      <c r="G11318" s="22" t="s">
        <v>217</v>
      </c>
      <c r="H11318" s="22" t="s">
        <v>15757</v>
      </c>
      <c r="I11318" s="26">
        <v>43669.366875</v>
      </c>
      <c r="J11318" s="23" t="str">
        <f>HYPERLINK("https://www.spark-marketing.ru/Card/Person/6075772", "ООО ""ЭТАЛОН+""")</f>
        <v>ООО "ЭТАЛОН+"</v>
      </c>
      <c r="K11318" s="24" t="s">
        <v>5846</v>
      </c>
      <c r="L11318" s="28" t="s">
        <v>51</v>
      </c>
      <c r="M11318" s="25">
        <v>1499940</v>
      </c>
      <c r="N11318" s="27">
        <v>0</v>
      </c>
    </row>
    <row r="11319" spans="1:14" x14ac:dyDescent="0.15">
      <c r="A11319" s="23" t="str">
        <f>HYPERLINK("https://www.spark-marketing.ru/Card/Person/81043", "АДМИНИСТРАЦИЯ КАРАСУКСКОГО РАЙОНА НОВОСИБИРСКОЙ ОБЛАСТИ")</f>
        <v>АДМИНИСТРАЦИЯ КАРАСУКСКОГО РАЙОНА НОВОСИБИРСКОЙ ОБЛАСТИ</v>
      </c>
      <c r="B11319" s="24" t="s">
        <v>15758</v>
      </c>
      <c r="C11319" s="25">
        <v>30000</v>
      </c>
      <c r="D11319" s="22" t="s">
        <v>15759</v>
      </c>
      <c r="E11319" s="22" t="s">
        <v>15760</v>
      </c>
      <c r="F11319" s="23" t="str">
        <f>HYPERLINK("https://www.spark-marketing.ru/Card/Lot/72267322", "Работы на подготовку проектно-сметной документации по установке резервных источников питания в котельных Карасукского района Новосибирской области")</f>
        <v>Работы на подготовку проектно-сметной документации по установке резервных источников питания в котельных Карасукского района Новосибирской области</v>
      </c>
      <c r="G11319" s="22" t="s">
        <v>195</v>
      </c>
      <c r="H11319" s="22" t="s">
        <v>15761</v>
      </c>
      <c r="I11319" s="26">
        <v>43669.370138888902</v>
      </c>
      <c r="J11319" s="28" t="s">
        <v>51</v>
      </c>
      <c r="K11319" s="28" t="s">
        <v>51</v>
      </c>
      <c r="L11319" s="28" t="s">
        <v>51</v>
      </c>
      <c r="M11319" s="28" t="s">
        <v>51</v>
      </c>
      <c r="N11319" s="28" t="s">
        <v>51</v>
      </c>
    </row>
    <row r="11320" spans="1:14" x14ac:dyDescent="0.15">
      <c r="A11320" s="23" t="str">
        <f>HYPERLINK("https://www.spark-marketing.ru/Card/Person/102286", "КГБУ СП ""СШОР ПО ВОЛЕЙБОЛУ ""ЗАРЯ АЛТАЯ""")</f>
        <v>КГБУ СП "СШОР ПО ВОЛЕЙБОЛУ "ЗАРЯ АЛТАЯ"</v>
      </c>
      <c r="B11320" s="24" t="s">
        <v>15762</v>
      </c>
      <c r="C11320" s="25">
        <v>2800</v>
      </c>
      <c r="D11320" s="22" t="s">
        <v>15763</v>
      </c>
      <c r="E11320" s="22" t="s">
        <v>152</v>
      </c>
      <c r="F11320" s="23" t="str">
        <f>HYPERLINK("https://www.spark-marketing.ru/Card/Lot/72267412", "Товары,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</v>
      </c>
      <c r="G11320" s="22" t="s">
        <v>63</v>
      </c>
      <c r="H11320" s="22" t="s">
        <v>177</v>
      </c>
      <c r="I11320" s="26">
        <v>43669.361111111102</v>
      </c>
      <c r="J11320" s="28" t="s">
        <v>51</v>
      </c>
      <c r="K11320" s="28" t="s">
        <v>51</v>
      </c>
      <c r="L11320" s="28" t="s">
        <v>51</v>
      </c>
      <c r="M11320" s="28" t="s">
        <v>51</v>
      </c>
      <c r="N11320" s="28" t="s">
        <v>51</v>
      </c>
    </row>
    <row r="11321" spans="1:14" x14ac:dyDescent="0.15">
      <c r="A11321" s="23" t="str">
        <f>HYPERLINK("https://www.spark-marketing.ru/Card/Person/132128", "МБОУ РЕДЬКИНСКАЯ СОШ")</f>
        <v>МБОУ РЕДЬКИНСКАЯ СОШ</v>
      </c>
      <c r="B11321" s="24" t="s">
        <v>15764</v>
      </c>
      <c r="C11321" s="25">
        <v>403180.79999999999</v>
      </c>
      <c r="D11321" s="22" t="s">
        <v>15765</v>
      </c>
      <c r="E11321" s="22" t="s">
        <v>48</v>
      </c>
      <c r="F11321" s="23" t="str">
        <f>HYPERLINK("https://www.spark-marketing.ru/Card/Lot/72269946", "Оказание услуг по организации готового горячего питания обучающихся в 2019-2020 гг.")</f>
        <v>Оказание услуг по организации готового горячего питания обучающихся в 2019-2020 гг.</v>
      </c>
      <c r="G11321" s="22" t="s">
        <v>49</v>
      </c>
      <c r="H11321" s="22" t="s">
        <v>15766</v>
      </c>
      <c r="I11321" s="26">
        <v>43669.362361111103</v>
      </c>
      <c r="J11321" s="23" t="str">
        <f>HYPERLINK("https://www.spark-marketing.ru/Card/Person/6290196", "ООО ""РАМКЕЙТ""")</f>
        <v>ООО "РАМКЕЙТ"</v>
      </c>
      <c r="K11321" s="24" t="s">
        <v>5037</v>
      </c>
      <c r="L11321" s="22" t="s">
        <v>10</v>
      </c>
      <c r="M11321" s="28" t="s">
        <v>51</v>
      </c>
      <c r="N11321" s="28" t="s">
        <v>51</v>
      </c>
    </row>
    <row r="11322" spans="1:14" collapsed="1" x14ac:dyDescent="0.15">
      <c r="A11322" s="23" t="str">
        <f>HYPERLINK("https://www.spark-marketing.ru/Card/Person/7291", "АДМИНИСТРАЦИЯ ЛЕНИНСКОГО РАЙОНА МОСКОВСКОЙ ОБЛАСТИ")</f>
        <v>АДМИНИСТРАЦИЯ ЛЕНИНСКОГО РАЙОНА МОСКОВСКОЙ ОБЛАСТИ</v>
      </c>
      <c r="B11322" s="24" t="s">
        <v>15282</v>
      </c>
      <c r="C11322" s="25">
        <v>399870</v>
      </c>
      <c r="D11322" s="22" t="s">
        <v>15767</v>
      </c>
      <c r="E11322" s="22" t="s">
        <v>48</v>
      </c>
      <c r="F11322" s="23" t="str">
        <f>HYPERLINK("https://www.spark-marketing.ru/Card/Lot/72269942", "Оказание услуг по организации питания участников мероприятий, проводимых в городском поселении Видное")</f>
        <v>Оказание услуг по организации питания участников мероприятий, проводимых в городском поселении Видное</v>
      </c>
      <c r="G11322" s="22" t="s">
        <v>49</v>
      </c>
      <c r="H11322" s="22" t="s">
        <v>654</v>
      </c>
      <c r="I11322" s="26">
        <v>43669.357604166697</v>
      </c>
      <c r="J11322" s="28" t="s">
        <v>51</v>
      </c>
      <c r="K11322" s="28" t="s">
        <v>51</v>
      </c>
      <c r="L11322" s="28" t="s">
        <v>51</v>
      </c>
      <c r="M11322" s="28" t="s">
        <v>51</v>
      </c>
      <c r="N11322" s="28" t="s">
        <v>51</v>
      </c>
    </row>
    <row r="11323" spans="1:14" ht="12.75" hidden="1" outlineLevel="1" x14ac:dyDescent="0.2">
      <c r="A11323" s="23" t="str">
        <f>HYPERLINK("https://www.spark-marketing.ru/Card/Person/7291", "АДМИНИСТРАЦИЯ ЛЕНИНСКОГО РАЙОНА МОСКОВСКОЙ ОБЛАСТИ")</f>
        <v>АДМИНИСТРАЦИЯ ЛЕНИНСКОГО РАЙОНА МОСКОВСКОЙ ОБЛАСТИ</v>
      </c>
      <c r="B11323" s="24" t="s">
        <v>15282</v>
      </c>
      <c r="C11323" s="25">
        <v>399870</v>
      </c>
      <c r="D11323" s="22" t="s">
        <v>15767</v>
      </c>
      <c r="E11323" s="22" t="s">
        <v>48</v>
      </c>
      <c r="F11323" s="23" t="str">
        <f>HYPERLINK("https://www.spark-marketing.ru/Card/Lot/72269942", "Оказание услуг по организации питания участников мероприятий, проводимых в городском поселении Видное")</f>
        <v>Оказание услуг по организации питания участников мероприятий, проводимых в городском поселении Видное</v>
      </c>
      <c r="G11323" s="22" t="s">
        <v>49</v>
      </c>
      <c r="H11323" s="22" t="s">
        <v>654</v>
      </c>
      <c r="I11323" s="26">
        <v>43669.357604166697</v>
      </c>
      <c r="J11323" s="23" t="str">
        <f>HYPERLINK("https://www.spark-marketing.ru/Card/Person/361924", "ООО ""ПИРАМИДА""")</f>
        <v>ООО "ПИРАМИДА"</v>
      </c>
      <c r="K11323" s="24" t="s">
        <v>15768</v>
      </c>
      <c r="L11323" s="22" t="s">
        <v>10</v>
      </c>
      <c r="M11323" s="25">
        <v>381360</v>
      </c>
      <c r="N11323" s="27">
        <v>4.6290044264385925E-2</v>
      </c>
    </row>
    <row r="11324" spans="1:14" hidden="1" outlineLevel="1" x14ac:dyDescent="0.2">
      <c r="A11324" s="23" t="str">
        <f>HYPERLINK("https://www.spark-marketing.ru/Card/Person/7291", "АДМИНИСТРАЦИЯ ЛЕНИНСКОГО РАЙОНА МОСКОВСКОЙ ОБЛАСТИ")</f>
        <v>АДМИНИСТРАЦИЯ ЛЕНИНСКОГО РАЙОНА МОСКОВСКОЙ ОБЛАСТИ</v>
      </c>
      <c r="B11324" s="24" t="s">
        <v>15282</v>
      </c>
      <c r="C11324" s="25">
        <v>399870</v>
      </c>
      <c r="D11324" s="22" t="s">
        <v>15767</v>
      </c>
      <c r="E11324" s="22" t="s">
        <v>48</v>
      </c>
      <c r="F11324" s="23" t="str">
        <f>HYPERLINK("https://www.spark-marketing.ru/Card/Lot/72269942", "Оказание услуг по организации питания участников мероприятий, проводимых в городском поселении Видное")</f>
        <v>Оказание услуг по организации питания участников мероприятий, проводимых в городском поселении Видное</v>
      </c>
      <c r="G11324" s="22" t="s">
        <v>49</v>
      </c>
      <c r="H11324" s="22" t="s">
        <v>654</v>
      </c>
      <c r="I11324" s="26">
        <v>43669.357604166697</v>
      </c>
      <c r="J11324" s="23" t="str">
        <f>HYPERLINK("https://www.spark-marketing.ru/Card/Person/6676600", "ООО ""ВИДНОФФ""")</f>
        <v>ООО "ВИДНОФФ"</v>
      </c>
      <c r="K11324" s="24" t="s">
        <v>15769</v>
      </c>
      <c r="L11324" s="28" t="s">
        <v>51</v>
      </c>
      <c r="M11324" s="25">
        <v>395000</v>
      </c>
      <c r="N11324" s="27">
        <v>1.2178958161402456E-2</v>
      </c>
    </row>
    <row r="11325" spans="1:14" x14ac:dyDescent="0.15">
      <c r="A11325" s="23" t="str">
        <f>HYPERLINK("https://www.spark-marketing.ru/Card/Person/4445343", "АО ""БНП""")</f>
        <v>АО "БНП"</v>
      </c>
      <c r="B11325" s="24" t="s">
        <v>11490</v>
      </c>
      <c r="C11325" s="28" t="s">
        <v>51</v>
      </c>
      <c r="D11325" s="22" t="s">
        <v>15770</v>
      </c>
      <c r="E11325" s="22" t="s">
        <v>362</v>
      </c>
      <c r="F11325" s="23" t="str">
        <f>HYPERLINK("https://www.spark-marketing.ru/Card/Lot/74004571", "Услуги по проведению мероприятия посвященного профессиональному празднику ""День работников нефтяной и газовой промышленности""")</f>
        <v>Услуги по проведению мероприятия посвященного профессиональному празднику "День работников нефтяной и газовой промышленности"</v>
      </c>
      <c r="G11325" s="22" t="s">
        <v>433</v>
      </c>
      <c r="H11325" s="22" t="s">
        <v>974</v>
      </c>
      <c r="I11325" s="26">
        <v>43669.3618055556</v>
      </c>
      <c r="J11325" s="28" t="s">
        <v>51</v>
      </c>
      <c r="K11325" s="28" t="s">
        <v>51</v>
      </c>
      <c r="L11325" s="28" t="s">
        <v>51</v>
      </c>
      <c r="M11325" s="28" t="s">
        <v>51</v>
      </c>
      <c r="N11325" s="28" t="s">
        <v>51</v>
      </c>
    </row>
    <row r="11326" spans="1:14" collapsed="1" x14ac:dyDescent="0.2">
      <c r="A11326" s="23" t="s">
        <v>114</v>
      </c>
      <c r="B11326" s="28" t="s">
        <v>51</v>
      </c>
      <c r="C11326" s="25">
        <v>4765593</v>
      </c>
      <c r="D11326" s="22" t="s">
        <v>15771</v>
      </c>
      <c r="E11326" s="22" t="s">
        <v>48</v>
      </c>
      <c r="F11326" s="23" t="str">
        <f t="shared" ref="F11326:F11336" si="312">HYPERLINK("https://www.spark-marketing.ru/Card/Lot/72267197", "Оказание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конкурс)")</f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26" s="22" t="s">
        <v>51</v>
      </c>
      <c r="H11326" s="22" t="s">
        <v>51</v>
      </c>
      <c r="I11326" s="26">
        <v>43669.331944444399</v>
      </c>
      <c r="J11326" s="23" t="str">
        <f t="shared" ref="J11326:J11336" si="313">HYPERLINK("https://www.spark-marketing.ru/Card/Person/193128", "ООО ""ФЕНИКС ГРУПП""")</f>
        <v>ООО "ФЕНИКС ГРУПП"</v>
      </c>
      <c r="K11326" s="24" t="s">
        <v>15772</v>
      </c>
      <c r="L11326" s="28" t="s">
        <v>51</v>
      </c>
      <c r="M11326" s="25">
        <v>4765593</v>
      </c>
      <c r="N11326" s="27">
        <v>0</v>
      </c>
    </row>
    <row r="11327" spans="1:14" hidden="1" outlineLevel="1" x14ac:dyDescent="0.2">
      <c r="A11327" s="23" t="str">
        <f>HYPERLINK("https://www.spark-marketing.ru/Card/Person/70174", "МОУ ""СРЕДНЯЯ ШКОЛА № 38""")</f>
        <v>МОУ "СРЕДНЯЯ ШКОЛА № 38"</v>
      </c>
      <c r="B11327" s="24" t="s">
        <v>15773</v>
      </c>
      <c r="C11327" s="25">
        <v>594150</v>
      </c>
      <c r="D11327" s="22" t="s">
        <v>15771</v>
      </c>
      <c r="E11327" s="22" t="s">
        <v>48</v>
      </c>
      <c r="F11327" s="23" t="str">
        <f t="shared" si="312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27" s="22" t="s">
        <v>277</v>
      </c>
      <c r="H11327" s="22" t="s">
        <v>278</v>
      </c>
      <c r="I11327" s="26">
        <v>43669.331944444399</v>
      </c>
      <c r="J11327" s="23" t="str">
        <f t="shared" si="313"/>
        <v>ООО "ФЕНИКС ГРУПП"</v>
      </c>
      <c r="K11327" s="24" t="s">
        <v>15772</v>
      </c>
      <c r="L11327" s="28" t="s">
        <v>51</v>
      </c>
      <c r="M11327" s="28" t="s">
        <v>51</v>
      </c>
      <c r="N11327" s="27">
        <v>0</v>
      </c>
    </row>
    <row r="11328" spans="1:14" hidden="1" outlineLevel="1" x14ac:dyDescent="0.2">
      <c r="A11328" s="23" t="str">
        <f>HYPERLINK("https://www.spark-marketing.ru/Card/Person/106144", "МОУ ""СРЕДНЯЯ ШКОЛА № 1""")</f>
        <v>МОУ "СРЕДНЯЯ ШКОЛА № 1"</v>
      </c>
      <c r="B11328" s="24" t="s">
        <v>15774</v>
      </c>
      <c r="C11328" s="25">
        <v>384897</v>
      </c>
      <c r="D11328" s="22" t="s">
        <v>15771</v>
      </c>
      <c r="E11328" s="22" t="s">
        <v>48</v>
      </c>
      <c r="F11328" s="23" t="str">
        <f t="shared" si="312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28" s="22" t="s">
        <v>277</v>
      </c>
      <c r="H11328" s="22" t="s">
        <v>278</v>
      </c>
      <c r="I11328" s="26">
        <v>43669.331944444399</v>
      </c>
      <c r="J11328" s="23" t="str">
        <f t="shared" si="313"/>
        <v>ООО "ФЕНИКС ГРУПП"</v>
      </c>
      <c r="K11328" s="24" t="s">
        <v>15772</v>
      </c>
      <c r="L11328" s="28" t="s">
        <v>51</v>
      </c>
      <c r="M11328" s="28" t="s">
        <v>51</v>
      </c>
      <c r="N11328" s="27">
        <v>0</v>
      </c>
    </row>
    <row r="11329" spans="1:14" hidden="1" outlineLevel="1" x14ac:dyDescent="0.2">
      <c r="A11329" s="23" t="str">
        <f>HYPERLINK("https://www.spark-marketing.ru/Card/Person/119366", "МОУ ""СРЕДНЯЯ ШКОЛА № 41""")</f>
        <v>МОУ "СРЕДНЯЯ ШКОЛА № 41"</v>
      </c>
      <c r="B11329" s="24" t="s">
        <v>15775</v>
      </c>
      <c r="C11329" s="25">
        <v>395046</v>
      </c>
      <c r="D11329" s="22" t="s">
        <v>15771</v>
      </c>
      <c r="E11329" s="22" t="s">
        <v>48</v>
      </c>
      <c r="F11329" s="23" t="str">
        <f t="shared" si="312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29" s="22" t="s">
        <v>277</v>
      </c>
      <c r="H11329" s="22" t="s">
        <v>278</v>
      </c>
      <c r="I11329" s="26">
        <v>43669.331944444399</v>
      </c>
      <c r="J11329" s="23" t="str">
        <f t="shared" si="313"/>
        <v>ООО "ФЕНИКС ГРУПП"</v>
      </c>
      <c r="K11329" s="24" t="s">
        <v>15772</v>
      </c>
      <c r="L11329" s="28" t="s">
        <v>51</v>
      </c>
      <c r="M11329" s="28" t="s">
        <v>51</v>
      </c>
      <c r="N11329" s="27">
        <v>0</v>
      </c>
    </row>
    <row r="11330" spans="1:14" hidden="1" outlineLevel="1" x14ac:dyDescent="0.2">
      <c r="A11330" s="23" t="str">
        <f>HYPERLINK("https://www.spark-marketing.ru/Card/Person/121570", "МОУ ""ГИМНАЗИЯ №29""")</f>
        <v>МОУ "ГИМНАЗИЯ №29"</v>
      </c>
      <c r="B11330" s="24" t="s">
        <v>15776</v>
      </c>
      <c r="C11330" s="25">
        <v>407745</v>
      </c>
      <c r="D11330" s="22" t="s">
        <v>15771</v>
      </c>
      <c r="E11330" s="22" t="s">
        <v>48</v>
      </c>
      <c r="F11330" s="23" t="str">
        <f t="shared" si="312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30" s="22" t="s">
        <v>277</v>
      </c>
      <c r="H11330" s="22" t="s">
        <v>278</v>
      </c>
      <c r="I11330" s="26">
        <v>43669.331944444399</v>
      </c>
      <c r="J11330" s="23" t="str">
        <f t="shared" si="313"/>
        <v>ООО "ФЕНИКС ГРУПП"</v>
      </c>
      <c r="K11330" s="24" t="s">
        <v>15772</v>
      </c>
      <c r="L11330" s="28" t="s">
        <v>51</v>
      </c>
      <c r="M11330" s="28" t="s">
        <v>51</v>
      </c>
      <c r="N11330" s="27">
        <v>0</v>
      </c>
    </row>
    <row r="11331" spans="1:14" hidden="1" outlineLevel="1" x14ac:dyDescent="0.2">
      <c r="A11331" s="23" t="str">
        <f>HYPERLINK("https://www.spark-marketing.ru/Card/Person/122071", "МОУ ""СРЕДНЯЯ ШКОЛА №35""")</f>
        <v>МОУ "СРЕДНЯЯ ШКОЛА №35"</v>
      </c>
      <c r="B11331" s="24" t="s">
        <v>15777</v>
      </c>
      <c r="C11331" s="25">
        <v>741795</v>
      </c>
      <c r="D11331" s="22" t="s">
        <v>15771</v>
      </c>
      <c r="E11331" s="22" t="s">
        <v>48</v>
      </c>
      <c r="F11331" s="23" t="str">
        <f t="shared" si="312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31" s="22" t="s">
        <v>277</v>
      </c>
      <c r="H11331" s="22" t="s">
        <v>278</v>
      </c>
      <c r="I11331" s="26">
        <v>43669.331944444399</v>
      </c>
      <c r="J11331" s="23" t="str">
        <f t="shared" si="313"/>
        <v>ООО "ФЕНИКС ГРУПП"</v>
      </c>
      <c r="K11331" s="24" t="s">
        <v>15772</v>
      </c>
      <c r="L11331" s="28" t="s">
        <v>51</v>
      </c>
      <c r="M11331" s="28" t="s">
        <v>51</v>
      </c>
      <c r="N11331" s="27">
        <v>0</v>
      </c>
    </row>
    <row r="11332" spans="1:14" hidden="1" outlineLevel="1" x14ac:dyDescent="0.2">
      <c r="A11332" s="23" t="str">
        <f>HYPERLINK("https://www.spark-marketing.ru/Card/Person/253620", "МОУ ""СРЕДНЯЯ ШКОЛА № 25""")</f>
        <v>МОУ "СРЕДНЯЯ ШКОЛА № 25"</v>
      </c>
      <c r="B11332" s="24" t="s">
        <v>15778</v>
      </c>
      <c r="C11332" s="25">
        <v>557175</v>
      </c>
      <c r="D11332" s="22" t="s">
        <v>15771</v>
      </c>
      <c r="E11332" s="22" t="s">
        <v>48</v>
      </c>
      <c r="F11332" s="23" t="str">
        <f t="shared" si="312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32" s="22" t="s">
        <v>277</v>
      </c>
      <c r="H11332" s="22" t="s">
        <v>278</v>
      </c>
      <c r="I11332" s="26">
        <v>43669.331944444399</v>
      </c>
      <c r="J11332" s="23" t="str">
        <f t="shared" si="313"/>
        <v>ООО "ФЕНИКС ГРУПП"</v>
      </c>
      <c r="K11332" s="24" t="s">
        <v>15772</v>
      </c>
      <c r="L11332" s="28" t="s">
        <v>51</v>
      </c>
      <c r="M11332" s="28" t="s">
        <v>51</v>
      </c>
      <c r="N11332" s="27">
        <v>0</v>
      </c>
    </row>
    <row r="11333" spans="1:14" hidden="1" outlineLevel="1" x14ac:dyDescent="0.2">
      <c r="A11333" s="23" t="str">
        <f>HYPERLINK("https://www.spark-marketing.ru/Card/Person/254313", "МОУ ""СРЕДНЯЯ ШКОЛА №37""")</f>
        <v>МОУ "СРЕДНЯЯ ШКОЛА №37"</v>
      </c>
      <c r="B11333" s="24" t="s">
        <v>15779</v>
      </c>
      <c r="C11333" s="25">
        <v>437070</v>
      </c>
      <c r="D11333" s="22" t="s">
        <v>15771</v>
      </c>
      <c r="E11333" s="22" t="s">
        <v>48</v>
      </c>
      <c r="F11333" s="23" t="str">
        <f t="shared" si="312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33" s="22" t="s">
        <v>277</v>
      </c>
      <c r="H11333" s="22" t="s">
        <v>278</v>
      </c>
      <c r="I11333" s="26">
        <v>43669.331944444399</v>
      </c>
      <c r="J11333" s="23" t="str">
        <f t="shared" si="313"/>
        <v>ООО "ФЕНИКС ГРУПП"</v>
      </c>
      <c r="K11333" s="24" t="s">
        <v>15772</v>
      </c>
      <c r="L11333" s="28" t="s">
        <v>51</v>
      </c>
      <c r="M11333" s="28" t="s">
        <v>51</v>
      </c>
      <c r="N11333" s="27">
        <v>0</v>
      </c>
    </row>
    <row r="11334" spans="1:14" hidden="1" outlineLevel="1" x14ac:dyDescent="0.2">
      <c r="A11334" s="23" t="str">
        <f>HYPERLINK("https://www.spark-marketing.ru/Card/Person/254335", "МОУ ""СРЕДНЯЯ ШКОЛА № 27""")</f>
        <v>МОУ "СРЕДНЯЯ ШКОЛА № 27"</v>
      </c>
      <c r="B11334" s="24" t="s">
        <v>15780</v>
      </c>
      <c r="C11334" s="25">
        <v>452880</v>
      </c>
      <c r="D11334" s="22" t="s">
        <v>15771</v>
      </c>
      <c r="E11334" s="22" t="s">
        <v>48</v>
      </c>
      <c r="F11334" s="23" t="str">
        <f t="shared" si="312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34" s="22" t="s">
        <v>277</v>
      </c>
      <c r="H11334" s="22" t="s">
        <v>278</v>
      </c>
      <c r="I11334" s="26">
        <v>43669.331944444399</v>
      </c>
      <c r="J11334" s="23" t="str">
        <f t="shared" si="313"/>
        <v>ООО "ФЕНИКС ГРУПП"</v>
      </c>
      <c r="K11334" s="24" t="s">
        <v>15772</v>
      </c>
      <c r="L11334" s="28" t="s">
        <v>51</v>
      </c>
      <c r="M11334" s="28" t="s">
        <v>51</v>
      </c>
      <c r="N11334" s="27">
        <v>0</v>
      </c>
    </row>
    <row r="11335" spans="1:14" hidden="1" outlineLevel="1" x14ac:dyDescent="0.2">
      <c r="A11335" s="23" t="str">
        <f>HYPERLINK("https://www.spark-marketing.ru/Card/Person/254373", "МОУ ""СРЕДНЯЯ ШКОЛА №5""")</f>
        <v>МОУ "СРЕДНЯЯ ШКОЛА №5"</v>
      </c>
      <c r="B11335" s="24" t="s">
        <v>15781</v>
      </c>
      <c r="C11335" s="25">
        <v>365415</v>
      </c>
      <c r="D11335" s="22" t="s">
        <v>15771</v>
      </c>
      <c r="E11335" s="22" t="s">
        <v>48</v>
      </c>
      <c r="F11335" s="23" t="str">
        <f t="shared" si="312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35" s="22" t="s">
        <v>277</v>
      </c>
      <c r="H11335" s="22" t="s">
        <v>278</v>
      </c>
      <c r="I11335" s="26">
        <v>43669.331944444399</v>
      </c>
      <c r="J11335" s="23" t="str">
        <f t="shared" si="313"/>
        <v>ООО "ФЕНИКС ГРУПП"</v>
      </c>
      <c r="K11335" s="24" t="s">
        <v>15772</v>
      </c>
      <c r="L11335" s="28" t="s">
        <v>51</v>
      </c>
      <c r="M11335" s="28" t="s">
        <v>51</v>
      </c>
      <c r="N11335" s="27">
        <v>0</v>
      </c>
    </row>
    <row r="11336" spans="1:14" hidden="1" outlineLevel="1" x14ac:dyDescent="0.2">
      <c r="A11336" s="23" t="str">
        <f>HYPERLINK("https://www.spark-marketing.ru/Card/Person/254375", "МОУ ""ЛИЦЕЙ №31""")</f>
        <v>МОУ "ЛИЦЕЙ №31"</v>
      </c>
      <c r="B11336" s="24" t="s">
        <v>15782</v>
      </c>
      <c r="C11336" s="25">
        <v>429420</v>
      </c>
      <c r="D11336" s="22" t="s">
        <v>15771</v>
      </c>
      <c r="E11336" s="22" t="s">
        <v>48</v>
      </c>
      <c r="F11336" s="23" t="str">
        <f t="shared" si="312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36" s="22" t="s">
        <v>277</v>
      </c>
      <c r="H11336" s="22" t="s">
        <v>278</v>
      </c>
      <c r="I11336" s="26">
        <v>43669.331944444399</v>
      </c>
      <c r="J11336" s="23" t="str">
        <f t="shared" si="313"/>
        <v>ООО "ФЕНИКС ГРУПП"</v>
      </c>
      <c r="K11336" s="24" t="s">
        <v>15772</v>
      </c>
      <c r="L11336" s="28" t="s">
        <v>51</v>
      </c>
      <c r="M11336" s="28" t="s">
        <v>51</v>
      </c>
      <c r="N11336" s="27">
        <v>0</v>
      </c>
    </row>
    <row r="11337" spans="1:14" x14ac:dyDescent="0.2">
      <c r="A11337" s="23" t="s">
        <v>114</v>
      </c>
      <c r="B11337" s="28" t="s">
        <v>51</v>
      </c>
      <c r="C11337" s="25">
        <v>9242832</v>
      </c>
      <c r="D11337" s="22" t="s">
        <v>15783</v>
      </c>
      <c r="E11337" s="22" t="s">
        <v>48</v>
      </c>
      <c r="F11337" s="23" t="str">
        <f t="shared" ref="F11337:F11357" si="314">HYPERLINK("https://www.spark-marketing.ru/Card/Lot/72267196", "Оказание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конкурс)")</f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37" s="22" t="s">
        <v>51</v>
      </c>
      <c r="H11337" s="22" t="s">
        <v>51</v>
      </c>
      <c r="I11337" s="26">
        <v>43669.331944444399</v>
      </c>
      <c r="J11337" s="23" t="str">
        <f t="shared" ref="J11337:J11372" si="315">HYPERLINK("https://www.spark-marketing.ru/Card/Person/88413", "ООО ""МКК""")</f>
        <v>ООО "МКК"</v>
      </c>
      <c r="K11337" s="24" t="s">
        <v>15784</v>
      </c>
      <c r="L11337" s="28" t="s">
        <v>51</v>
      </c>
      <c r="M11337" s="25">
        <v>9242832</v>
      </c>
      <c r="N11337" s="27">
        <v>0</v>
      </c>
    </row>
    <row r="11338" spans="1:14" hidden="1" outlineLevel="1" x14ac:dyDescent="0.2">
      <c r="A11338" s="23" t="str">
        <f>HYPERLINK("https://www.spark-marketing.ru/Card/Person/8374", "МОУ ""МОНАСТЫРСКАЯ ОСНОВНАЯ ОБЩЕОБРАЗОВАТЕЛЬНАЯ ШКОЛА""")</f>
        <v>МОУ "МОНАСТЫРСКАЯ ОСНОВНАЯ ОБЩЕОБРАЗОВАТЕЛЬНАЯ ШКОЛА"</v>
      </c>
      <c r="B11338" s="24" t="s">
        <v>15785</v>
      </c>
      <c r="C11338" s="25">
        <v>97818</v>
      </c>
      <c r="D11338" s="22" t="s">
        <v>15783</v>
      </c>
      <c r="E11338" s="22" t="s">
        <v>48</v>
      </c>
      <c r="F11338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38" s="22" t="s">
        <v>277</v>
      </c>
      <c r="H11338" s="22" t="s">
        <v>278</v>
      </c>
      <c r="I11338" s="26">
        <v>43669.331944444399</v>
      </c>
      <c r="J11338" s="23" t="str">
        <f t="shared" si="315"/>
        <v>ООО "МКК"</v>
      </c>
      <c r="K11338" s="24" t="s">
        <v>15784</v>
      </c>
      <c r="L11338" s="28" t="s">
        <v>51</v>
      </c>
      <c r="M11338" s="28" t="s">
        <v>51</v>
      </c>
      <c r="N11338" s="27">
        <v>0</v>
      </c>
    </row>
    <row r="11339" spans="1:14" hidden="1" outlineLevel="1" x14ac:dyDescent="0.2">
      <c r="A11339" s="23" t="str">
        <f>HYPERLINK("https://www.spark-marketing.ru/Card/Person/82514", "МОУ ""СРЕДНЯЯ ШКОЛА № 36""")</f>
        <v>МОУ "СРЕДНЯЯ ШКОЛА № 36"</v>
      </c>
      <c r="B11339" s="24" t="s">
        <v>15786</v>
      </c>
      <c r="C11339" s="25">
        <v>624189</v>
      </c>
      <c r="D11339" s="22" t="s">
        <v>15783</v>
      </c>
      <c r="E11339" s="22" t="s">
        <v>48</v>
      </c>
      <c r="F11339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39" s="22" t="s">
        <v>277</v>
      </c>
      <c r="H11339" s="22" t="s">
        <v>278</v>
      </c>
      <c r="I11339" s="26">
        <v>43669.331944444399</v>
      </c>
      <c r="J11339" s="23" t="str">
        <f t="shared" si="315"/>
        <v>ООО "МКК"</v>
      </c>
      <c r="K11339" s="24" t="s">
        <v>15784</v>
      </c>
      <c r="L11339" s="28" t="s">
        <v>51</v>
      </c>
      <c r="M11339" s="28" t="s">
        <v>51</v>
      </c>
      <c r="N11339" s="27">
        <v>0</v>
      </c>
    </row>
    <row r="11340" spans="1:14" hidden="1" outlineLevel="1" x14ac:dyDescent="0.2">
      <c r="A11340" s="23" t="str">
        <f>HYPERLINK("https://www.spark-marketing.ru/Card/Person/117565", "МОУ ""НИКОЛАЕВСКАЯ СРЕДНЯЯ ШКОЛА""")</f>
        <v>МОУ "НИКОЛАЕВСКАЯ СРЕДНЯЯ ШКОЛА"</v>
      </c>
      <c r="B11340" s="24" t="s">
        <v>15787</v>
      </c>
      <c r="C11340" s="25">
        <v>540855</v>
      </c>
      <c r="D11340" s="22" t="s">
        <v>15783</v>
      </c>
      <c r="E11340" s="22" t="s">
        <v>48</v>
      </c>
      <c r="F11340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40" s="22" t="s">
        <v>277</v>
      </c>
      <c r="H11340" s="22" t="s">
        <v>278</v>
      </c>
      <c r="I11340" s="26">
        <v>43669.331944444399</v>
      </c>
      <c r="J11340" s="23" t="str">
        <f t="shared" si="315"/>
        <v>ООО "МКК"</v>
      </c>
      <c r="K11340" s="24" t="s">
        <v>15784</v>
      </c>
      <c r="L11340" s="28" t="s">
        <v>51</v>
      </c>
      <c r="M11340" s="28" t="s">
        <v>51</v>
      </c>
      <c r="N11340" s="27">
        <v>0</v>
      </c>
    </row>
    <row r="11341" spans="1:14" hidden="1" outlineLevel="1" x14ac:dyDescent="0.2">
      <c r="A11341" s="23" t="str">
        <f>HYPERLINK("https://www.spark-marketing.ru/Card/Person/118801", "МОУ ""СРЕДНЯЯ ШКОЛА № 30""")</f>
        <v>МОУ "СРЕДНЯЯ ШКОЛА № 30"</v>
      </c>
      <c r="B11341" s="24" t="s">
        <v>15788</v>
      </c>
      <c r="C11341" s="25">
        <v>495210</v>
      </c>
      <c r="D11341" s="22" t="s">
        <v>15783</v>
      </c>
      <c r="E11341" s="22" t="s">
        <v>48</v>
      </c>
      <c r="F11341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41" s="22" t="s">
        <v>277</v>
      </c>
      <c r="H11341" s="22" t="s">
        <v>278</v>
      </c>
      <c r="I11341" s="26">
        <v>43669.331944444399</v>
      </c>
      <c r="J11341" s="23" t="str">
        <f t="shared" si="315"/>
        <v>ООО "МКК"</v>
      </c>
      <c r="K11341" s="24" t="s">
        <v>15784</v>
      </c>
      <c r="L11341" s="28" t="s">
        <v>51</v>
      </c>
      <c r="M11341" s="28" t="s">
        <v>51</v>
      </c>
      <c r="N11341" s="27">
        <v>0</v>
      </c>
    </row>
    <row r="11342" spans="1:14" hidden="1" outlineLevel="1" x14ac:dyDescent="0.2">
      <c r="A11342" s="23" t="str">
        <f>HYPERLINK("https://www.spark-marketing.ru/Card/Person/120168", "МОУ ""СРЕДНЯЯ ШКОЛА № 13""")</f>
        <v>МОУ "СРЕДНЯЯ ШКОЛА № 13"</v>
      </c>
      <c r="B11342" s="24" t="s">
        <v>15789</v>
      </c>
      <c r="C11342" s="25">
        <v>535755</v>
      </c>
      <c r="D11342" s="22" t="s">
        <v>15783</v>
      </c>
      <c r="E11342" s="22" t="s">
        <v>48</v>
      </c>
      <c r="F11342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42" s="22" t="s">
        <v>277</v>
      </c>
      <c r="H11342" s="22" t="s">
        <v>278</v>
      </c>
      <c r="I11342" s="26">
        <v>43669.331944444399</v>
      </c>
      <c r="J11342" s="23" t="str">
        <f t="shared" si="315"/>
        <v>ООО "МКК"</v>
      </c>
      <c r="K11342" s="24" t="s">
        <v>15784</v>
      </c>
      <c r="L11342" s="28" t="s">
        <v>51</v>
      </c>
      <c r="M11342" s="28" t="s">
        <v>51</v>
      </c>
      <c r="N11342" s="27">
        <v>0</v>
      </c>
    </row>
    <row r="11343" spans="1:14" hidden="1" outlineLevel="1" x14ac:dyDescent="0.2">
      <c r="A11343" s="23" t="str">
        <f>HYPERLINK("https://www.spark-marketing.ru/Card/Person/120875", "МОУ ""СРЕДНЯЯ ШКОЛА № 40""")</f>
        <v>МОУ "СРЕДНЯЯ ШКОЛА № 40"</v>
      </c>
      <c r="B11343" s="24" t="s">
        <v>15790</v>
      </c>
      <c r="C11343" s="25">
        <v>477309</v>
      </c>
      <c r="D11343" s="22" t="s">
        <v>15783</v>
      </c>
      <c r="E11343" s="22" t="s">
        <v>48</v>
      </c>
      <c r="F11343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43" s="22" t="s">
        <v>277</v>
      </c>
      <c r="H11343" s="22" t="s">
        <v>278</v>
      </c>
      <c r="I11343" s="26">
        <v>43669.331944444399</v>
      </c>
      <c r="J11343" s="23" t="str">
        <f t="shared" si="315"/>
        <v>ООО "МКК"</v>
      </c>
      <c r="K11343" s="24" t="s">
        <v>15784</v>
      </c>
      <c r="L11343" s="28" t="s">
        <v>51</v>
      </c>
      <c r="M11343" s="28" t="s">
        <v>51</v>
      </c>
      <c r="N11343" s="27">
        <v>0</v>
      </c>
    </row>
    <row r="11344" spans="1:14" hidden="1" outlineLevel="1" x14ac:dyDescent="0.2">
      <c r="A11344" s="23" t="str">
        <f>HYPERLINK("https://www.spark-marketing.ru/Card/Person/121080", "МОУ ""ЛУХОВСКИЙ ЛИЦЕЙ""")</f>
        <v>МОУ "ЛУХОВСКИЙ ЛИЦЕЙ"</v>
      </c>
      <c r="B11344" s="24" t="s">
        <v>15791</v>
      </c>
      <c r="C11344" s="25">
        <v>822885</v>
      </c>
      <c r="D11344" s="22" t="s">
        <v>15783</v>
      </c>
      <c r="E11344" s="22" t="s">
        <v>48</v>
      </c>
      <c r="F11344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44" s="22" t="s">
        <v>277</v>
      </c>
      <c r="H11344" s="22" t="s">
        <v>278</v>
      </c>
      <c r="I11344" s="26">
        <v>43669.331944444399</v>
      </c>
      <c r="J11344" s="23" t="str">
        <f t="shared" si="315"/>
        <v>ООО "МКК"</v>
      </c>
      <c r="K11344" s="24" t="s">
        <v>15784</v>
      </c>
      <c r="L11344" s="28" t="s">
        <v>51</v>
      </c>
      <c r="M11344" s="28" t="s">
        <v>51</v>
      </c>
      <c r="N11344" s="27">
        <v>0</v>
      </c>
    </row>
    <row r="11345" spans="1:14" hidden="1" outlineLevel="1" x14ac:dyDescent="0.2">
      <c r="A11345" s="23" t="str">
        <f>HYPERLINK("https://www.spark-marketing.ru/Card/Person/121408", "МОУ ""СРЕДНЯЯ ШКОЛА № 11""")</f>
        <v>МОУ "СРЕДНЯЯ ШКОЛА № 11"</v>
      </c>
      <c r="B11345" s="24" t="s">
        <v>15792</v>
      </c>
      <c r="C11345" s="25">
        <v>690285</v>
      </c>
      <c r="D11345" s="22" t="s">
        <v>15783</v>
      </c>
      <c r="E11345" s="22" t="s">
        <v>48</v>
      </c>
      <c r="F11345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45" s="22" t="s">
        <v>277</v>
      </c>
      <c r="H11345" s="22" t="s">
        <v>278</v>
      </c>
      <c r="I11345" s="26">
        <v>43669.331944444399</v>
      </c>
      <c r="J11345" s="23" t="str">
        <f t="shared" si="315"/>
        <v>ООО "МКК"</v>
      </c>
      <c r="K11345" s="24" t="s">
        <v>15784</v>
      </c>
      <c r="L11345" s="28" t="s">
        <v>51</v>
      </c>
      <c r="M11345" s="28" t="s">
        <v>51</v>
      </c>
      <c r="N11345" s="27">
        <v>0</v>
      </c>
    </row>
    <row r="11346" spans="1:14" hidden="1" outlineLevel="1" x14ac:dyDescent="0.2">
      <c r="A11346" s="23" t="str">
        <f>HYPERLINK("https://www.spark-marketing.ru/Card/Person/121505", "МОУ ""ЯЛГИНСКАЯ СРЕДНЯЯ ОБЩЕОБРАЗОВАТЕЛЬНАЯ ШКОЛА""")</f>
        <v>МОУ "ЯЛГИНСКАЯ СРЕДНЯЯ ОБЩЕОБРАЗОВАТЕЛЬНАЯ ШКОЛА"</v>
      </c>
      <c r="B11346" s="24" t="s">
        <v>15793</v>
      </c>
      <c r="C11346" s="25">
        <v>398820</v>
      </c>
      <c r="D11346" s="22" t="s">
        <v>15783</v>
      </c>
      <c r="E11346" s="22" t="s">
        <v>48</v>
      </c>
      <c r="F11346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46" s="22" t="s">
        <v>277</v>
      </c>
      <c r="H11346" s="22" t="s">
        <v>278</v>
      </c>
      <c r="I11346" s="26">
        <v>43669.331944444399</v>
      </c>
      <c r="J11346" s="23" t="str">
        <f t="shared" si="315"/>
        <v>ООО "МКК"</v>
      </c>
      <c r="K11346" s="24" t="s">
        <v>15784</v>
      </c>
      <c r="L11346" s="28" t="s">
        <v>51</v>
      </c>
      <c r="M11346" s="28" t="s">
        <v>51</v>
      </c>
      <c r="N11346" s="27">
        <v>0</v>
      </c>
    </row>
    <row r="11347" spans="1:14" hidden="1" outlineLevel="1" x14ac:dyDescent="0.2">
      <c r="A11347" s="23" t="str">
        <f>HYPERLINK("https://www.spark-marketing.ru/Card/Person/121614", "МОУ ""СРЕДНЯЯ ШКОЛА №32""")</f>
        <v>МОУ "СРЕДНЯЯ ШКОЛА №32"</v>
      </c>
      <c r="B11347" s="24" t="s">
        <v>15794</v>
      </c>
      <c r="C11347" s="25">
        <v>567834</v>
      </c>
      <c r="D11347" s="22" t="s">
        <v>15783</v>
      </c>
      <c r="E11347" s="22" t="s">
        <v>48</v>
      </c>
      <c r="F11347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47" s="22" t="s">
        <v>277</v>
      </c>
      <c r="H11347" s="22" t="s">
        <v>278</v>
      </c>
      <c r="I11347" s="26">
        <v>43669.331944444399</v>
      </c>
      <c r="J11347" s="23" t="str">
        <f t="shared" si="315"/>
        <v>ООО "МКК"</v>
      </c>
      <c r="K11347" s="24" t="s">
        <v>15784</v>
      </c>
      <c r="L11347" s="28" t="s">
        <v>51</v>
      </c>
      <c r="M11347" s="28" t="s">
        <v>51</v>
      </c>
      <c r="N11347" s="27">
        <v>0</v>
      </c>
    </row>
    <row r="11348" spans="1:14" hidden="1" outlineLevel="1" x14ac:dyDescent="0.2">
      <c r="A11348" s="23" t="str">
        <f>HYPERLINK("https://www.spark-marketing.ru/Card/Person/121617", "МОУ ""СРЕДНЯЯ ШКОЛА №28""")</f>
        <v>МОУ "СРЕДНЯЯ ШКОЛА №28"</v>
      </c>
      <c r="B11348" s="24" t="s">
        <v>15795</v>
      </c>
      <c r="C11348" s="25">
        <v>417588</v>
      </c>
      <c r="D11348" s="22" t="s">
        <v>15783</v>
      </c>
      <c r="E11348" s="22" t="s">
        <v>48</v>
      </c>
      <c r="F11348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48" s="22" t="s">
        <v>277</v>
      </c>
      <c r="H11348" s="22" t="s">
        <v>278</v>
      </c>
      <c r="I11348" s="26">
        <v>43669.331944444399</v>
      </c>
      <c r="J11348" s="23" t="str">
        <f t="shared" si="315"/>
        <v>ООО "МКК"</v>
      </c>
      <c r="K11348" s="24" t="s">
        <v>15784</v>
      </c>
      <c r="L11348" s="28" t="s">
        <v>51</v>
      </c>
      <c r="M11348" s="28" t="s">
        <v>51</v>
      </c>
      <c r="N11348" s="27">
        <v>0</v>
      </c>
    </row>
    <row r="11349" spans="1:14" hidden="1" outlineLevel="1" x14ac:dyDescent="0.2">
      <c r="A11349" s="23" t="str">
        <f>HYPERLINK("https://www.spark-marketing.ru/Card/Person/138610", "МОУ ""ЛИЦЕЙ № 7""")</f>
        <v>МОУ "ЛИЦЕЙ № 7"</v>
      </c>
      <c r="B11349" s="24" t="s">
        <v>15796</v>
      </c>
      <c r="C11349" s="25">
        <v>521985</v>
      </c>
      <c r="D11349" s="22" t="s">
        <v>15783</v>
      </c>
      <c r="E11349" s="22" t="s">
        <v>48</v>
      </c>
      <c r="F11349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49" s="22" t="s">
        <v>277</v>
      </c>
      <c r="H11349" s="22" t="s">
        <v>278</v>
      </c>
      <c r="I11349" s="26">
        <v>43669.331944444399</v>
      </c>
      <c r="J11349" s="23" t="str">
        <f t="shared" si="315"/>
        <v>ООО "МКК"</v>
      </c>
      <c r="K11349" s="24" t="s">
        <v>15784</v>
      </c>
      <c r="L11349" s="28" t="s">
        <v>51</v>
      </c>
      <c r="M11349" s="28" t="s">
        <v>51</v>
      </c>
      <c r="N11349" s="27">
        <v>0</v>
      </c>
    </row>
    <row r="11350" spans="1:14" hidden="1" outlineLevel="1" x14ac:dyDescent="0.2">
      <c r="A11350" s="23" t="str">
        <f>HYPERLINK("https://www.spark-marketing.ru/Card/Person/138627", "МОУ ""СРЕДНЯЯ ШКОЛА № 22""")</f>
        <v>МОУ "СРЕДНЯЯ ШКОЛА № 22"</v>
      </c>
      <c r="B11350" s="24" t="s">
        <v>15797</v>
      </c>
      <c r="C11350" s="25">
        <v>375207</v>
      </c>
      <c r="D11350" s="22" t="s">
        <v>15783</v>
      </c>
      <c r="E11350" s="22" t="s">
        <v>48</v>
      </c>
      <c r="F11350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50" s="22" t="s">
        <v>277</v>
      </c>
      <c r="H11350" s="22" t="s">
        <v>278</v>
      </c>
      <c r="I11350" s="26">
        <v>43669.331944444399</v>
      </c>
      <c r="J11350" s="23" t="str">
        <f t="shared" si="315"/>
        <v>ООО "МКК"</v>
      </c>
      <c r="K11350" s="24" t="s">
        <v>15784</v>
      </c>
      <c r="L11350" s="28" t="s">
        <v>51</v>
      </c>
      <c r="M11350" s="28" t="s">
        <v>51</v>
      </c>
      <c r="N11350" s="27">
        <v>0</v>
      </c>
    </row>
    <row r="11351" spans="1:14" hidden="1" outlineLevel="1" x14ac:dyDescent="0.2">
      <c r="A11351" s="23" t="str">
        <f>HYPERLINK("https://www.spark-marketing.ru/Card/Person/138673", "МОУ ""СРЕДНЯЯ ШКОЛА №6""")</f>
        <v>МОУ "СРЕДНЯЯ ШКОЛА №6"</v>
      </c>
      <c r="B11351" s="24" t="s">
        <v>15798</v>
      </c>
      <c r="C11351" s="25">
        <v>289680</v>
      </c>
      <c r="D11351" s="22" t="s">
        <v>15783</v>
      </c>
      <c r="E11351" s="22" t="s">
        <v>48</v>
      </c>
      <c r="F11351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51" s="22" t="s">
        <v>277</v>
      </c>
      <c r="H11351" s="22" t="s">
        <v>278</v>
      </c>
      <c r="I11351" s="26">
        <v>43669.331944444399</v>
      </c>
      <c r="J11351" s="23" t="str">
        <f t="shared" si="315"/>
        <v>ООО "МКК"</v>
      </c>
      <c r="K11351" s="24" t="s">
        <v>15784</v>
      </c>
      <c r="L11351" s="28" t="s">
        <v>51</v>
      </c>
      <c r="M11351" s="28" t="s">
        <v>51</v>
      </c>
      <c r="N11351" s="27">
        <v>0</v>
      </c>
    </row>
    <row r="11352" spans="1:14" hidden="1" outlineLevel="1" x14ac:dyDescent="0.2">
      <c r="A11352" s="23" t="str">
        <f>HYPERLINK("https://www.spark-marketing.ru/Card/Person/138982", "МОУ ""ОЗЕРНАЯ ОСНОВНАЯ ОБЩЕОБРАЗОВАТЕЛЬНАЯ ШКОЛА""")</f>
        <v>МОУ "ОЗЕРНАЯ ОСНОВНАЯ ОБЩЕОБРАЗОВАТЕЛЬНАЯ ШКОЛА"</v>
      </c>
      <c r="B11352" s="24" t="s">
        <v>15799</v>
      </c>
      <c r="C11352" s="25">
        <v>111129</v>
      </c>
      <c r="D11352" s="22" t="s">
        <v>15783</v>
      </c>
      <c r="E11352" s="22" t="s">
        <v>48</v>
      </c>
      <c r="F11352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52" s="22" t="s">
        <v>277</v>
      </c>
      <c r="H11352" s="22" t="s">
        <v>278</v>
      </c>
      <c r="I11352" s="26">
        <v>43669.331944444399</v>
      </c>
      <c r="J11352" s="23" t="str">
        <f t="shared" si="315"/>
        <v>ООО "МКК"</v>
      </c>
      <c r="K11352" s="24" t="s">
        <v>15784</v>
      </c>
      <c r="L11352" s="28" t="s">
        <v>51</v>
      </c>
      <c r="M11352" s="28" t="s">
        <v>51</v>
      </c>
      <c r="N11352" s="27">
        <v>0</v>
      </c>
    </row>
    <row r="11353" spans="1:14" hidden="1" outlineLevel="1" x14ac:dyDescent="0.2">
      <c r="A11353" s="23" t="str">
        <f>HYPERLINK("https://www.spark-marketing.ru/Card/Person/139037", "МОУ ""ЗЫКОВСКАЯ СРЕДНЯЯ ШКОЛА""")</f>
        <v>МОУ "ЗЫКОВСКАЯ СРЕДНЯЯ ШКОЛА"</v>
      </c>
      <c r="B11353" s="24" t="s">
        <v>15800</v>
      </c>
      <c r="C11353" s="25">
        <v>156060</v>
      </c>
      <c r="D11353" s="22" t="s">
        <v>15783</v>
      </c>
      <c r="E11353" s="22" t="s">
        <v>48</v>
      </c>
      <c r="F11353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53" s="22" t="s">
        <v>277</v>
      </c>
      <c r="H11353" s="22" t="s">
        <v>278</v>
      </c>
      <c r="I11353" s="26">
        <v>43669.331944444399</v>
      </c>
      <c r="J11353" s="23" t="str">
        <f t="shared" si="315"/>
        <v>ООО "МКК"</v>
      </c>
      <c r="K11353" s="24" t="s">
        <v>15784</v>
      </c>
      <c r="L11353" s="28" t="s">
        <v>51</v>
      </c>
      <c r="M11353" s="28" t="s">
        <v>51</v>
      </c>
      <c r="N11353" s="27">
        <v>0</v>
      </c>
    </row>
    <row r="11354" spans="1:14" hidden="1" outlineLevel="1" x14ac:dyDescent="0.2">
      <c r="A11354" s="23" t="str">
        <f>HYPERLINK("https://www.spark-marketing.ru/Card/Person/139064", "МОУ ""ГОРЯЙНОВСКАЯ ОСНОВНАЯ ШКОЛА""")</f>
        <v>МОУ "ГОРЯЙНОВСКАЯ ОСНОВНАЯ ШКОЛА"</v>
      </c>
      <c r="B11354" s="24" t="s">
        <v>15801</v>
      </c>
      <c r="C11354" s="25">
        <v>135150</v>
      </c>
      <c r="D11354" s="22" t="s">
        <v>15783</v>
      </c>
      <c r="E11354" s="22" t="s">
        <v>48</v>
      </c>
      <c r="F11354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54" s="22" t="s">
        <v>277</v>
      </c>
      <c r="H11354" s="22" t="s">
        <v>278</v>
      </c>
      <c r="I11354" s="26">
        <v>43669.331944444399</v>
      </c>
      <c r="J11354" s="23" t="str">
        <f t="shared" si="315"/>
        <v>ООО "МКК"</v>
      </c>
      <c r="K11354" s="24" t="s">
        <v>15784</v>
      </c>
      <c r="L11354" s="28" t="s">
        <v>51</v>
      </c>
      <c r="M11354" s="28" t="s">
        <v>51</v>
      </c>
      <c r="N11354" s="27">
        <v>0</v>
      </c>
    </row>
    <row r="11355" spans="1:14" hidden="1" outlineLevel="1" x14ac:dyDescent="0.2">
      <c r="A11355" s="23" t="str">
        <f>HYPERLINK("https://www.spark-marketing.ru/Card/Person/253634", "МОУ ""СРЕДНЯЯ ШКОЛА №3""")</f>
        <v>МОУ "СРЕДНЯЯ ШКОЛА №3"</v>
      </c>
      <c r="B11355" s="24" t="s">
        <v>15802</v>
      </c>
      <c r="C11355" s="25">
        <v>477309</v>
      </c>
      <c r="D11355" s="22" t="s">
        <v>15783</v>
      </c>
      <c r="E11355" s="22" t="s">
        <v>48</v>
      </c>
      <c r="F11355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55" s="22" t="s">
        <v>277</v>
      </c>
      <c r="H11355" s="22" t="s">
        <v>278</v>
      </c>
      <c r="I11355" s="26">
        <v>43669.331944444399</v>
      </c>
      <c r="J11355" s="23" t="str">
        <f t="shared" si="315"/>
        <v>ООО "МКК"</v>
      </c>
      <c r="K11355" s="24" t="s">
        <v>15784</v>
      </c>
      <c r="L11355" s="28" t="s">
        <v>51</v>
      </c>
      <c r="M11355" s="28" t="s">
        <v>51</v>
      </c>
      <c r="N11355" s="27">
        <v>0</v>
      </c>
    </row>
    <row r="11356" spans="1:14" hidden="1" outlineLevel="1" x14ac:dyDescent="0.2">
      <c r="A11356" s="23" t="str">
        <f>HYPERLINK("https://www.spark-marketing.ru/Card/Person/254309", "МОУ ""СРЕДНЯЯ ШКОЛА № 2 ИМ. ГЕРОЯ СОВЕТСКОГО СОЮЗА П.И. ОРЛОВА""")</f>
        <v>МОУ "СРЕДНЯЯ ШКОЛА № 2 ИМ. ГЕРОЯ СОВЕТСКОГО СОЮЗА П.И. ОРЛОВА"</v>
      </c>
      <c r="B11356" s="24" t="s">
        <v>15803</v>
      </c>
      <c r="C11356" s="25">
        <v>390150</v>
      </c>
      <c r="D11356" s="22" t="s">
        <v>15783</v>
      </c>
      <c r="E11356" s="22" t="s">
        <v>48</v>
      </c>
      <c r="F11356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56" s="22" t="s">
        <v>277</v>
      </c>
      <c r="H11356" s="22" t="s">
        <v>278</v>
      </c>
      <c r="I11356" s="26">
        <v>43669.331944444399</v>
      </c>
      <c r="J11356" s="23" t="str">
        <f t="shared" si="315"/>
        <v>ООО "МКК"</v>
      </c>
      <c r="K11356" s="24" t="s">
        <v>15784</v>
      </c>
      <c r="L11356" s="28" t="s">
        <v>51</v>
      </c>
      <c r="M11356" s="28" t="s">
        <v>51</v>
      </c>
      <c r="N11356" s="27">
        <v>0</v>
      </c>
    </row>
    <row r="11357" spans="1:14" hidden="1" outlineLevel="1" x14ac:dyDescent="0.2">
      <c r="A11357" s="23" t="str">
        <f>HYPERLINK("https://www.spark-marketing.ru/Card/Person/5886759", "МОУ Г.О. САРАНСК ""ЦЕНТР ОБРАЗОВАНИЯ ""ТАВЛА"" - СРЕДНЯЯ ОБЩЕОБРАЗОВАТЕЛЬНАЯ ШКОЛА №17""")</f>
        <v>МОУ Г.О. САРАНСК "ЦЕНТР ОБРАЗОВАНИЯ "ТАВЛА" - СРЕДНЯЯ ОБЩЕОБРАЗОВАТЕЛЬНАЯ ШКОЛА №17"</v>
      </c>
      <c r="B11357" s="24" t="s">
        <v>15804</v>
      </c>
      <c r="C11357" s="25">
        <v>1117614</v>
      </c>
      <c r="D11357" s="22" t="s">
        <v>15783</v>
      </c>
      <c r="E11357" s="22" t="s">
        <v>48</v>
      </c>
      <c r="F11357" s="23" t="str">
        <f t="shared" si="314"/>
        <v>Оказание услуг по организации питания обучающихся школьного возраста в муниципальных общеобразовательных учреждениях  г.о. Саранск (Совместный конкурс)</v>
      </c>
      <c r="G11357" s="22" t="s">
        <v>277</v>
      </c>
      <c r="H11357" s="22" t="s">
        <v>278</v>
      </c>
      <c r="I11357" s="26">
        <v>43669.331944444399</v>
      </c>
      <c r="J11357" s="23" t="str">
        <f t="shared" si="315"/>
        <v>ООО "МКК"</v>
      </c>
      <c r="K11357" s="24" t="s">
        <v>15784</v>
      </c>
      <c r="L11357" s="28" t="s">
        <v>51</v>
      </c>
      <c r="M11357" s="28" t="s">
        <v>51</v>
      </c>
      <c r="N11357" s="27">
        <v>0</v>
      </c>
    </row>
    <row r="11358" spans="1:14" x14ac:dyDescent="0.2">
      <c r="A11358" s="23" t="s">
        <v>114</v>
      </c>
      <c r="B11358" s="28" t="s">
        <v>51</v>
      </c>
      <c r="C11358" s="25">
        <v>4838115</v>
      </c>
      <c r="D11358" s="22" t="s">
        <v>15805</v>
      </c>
      <c r="E11358" s="22" t="s">
        <v>48</v>
      </c>
      <c r="F11358" s="23" t="str">
        <f t="shared" ref="F11358:F11372" si="316">HYPERLINK("https://www.spark-marketing.ru/Card/Lot/72267198", "Оказание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конкурс)")</f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58" s="22" t="s">
        <v>51</v>
      </c>
      <c r="H11358" s="22" t="s">
        <v>51</v>
      </c>
      <c r="I11358" s="26">
        <v>43669.331944444399</v>
      </c>
      <c r="J11358" s="23" t="str">
        <f t="shared" si="315"/>
        <v>ООО "МКК"</v>
      </c>
      <c r="K11358" s="24" t="s">
        <v>15784</v>
      </c>
      <c r="L11358" s="28" t="s">
        <v>51</v>
      </c>
      <c r="M11358" s="25">
        <v>4838115</v>
      </c>
      <c r="N11358" s="27">
        <v>0</v>
      </c>
    </row>
    <row r="11359" spans="1:14" hidden="1" outlineLevel="1" x14ac:dyDescent="0.2">
      <c r="A11359" s="23" t="str">
        <f>HYPERLINK("https://www.spark-marketing.ru/Card/Person/72683", "МОУ ""СРЕДНЯЯ ШКОЛА № 33""")</f>
        <v>МОУ "СРЕДНЯЯ ШКОЛА № 33"</v>
      </c>
      <c r="B11359" s="24" t="s">
        <v>15806</v>
      </c>
      <c r="C11359" s="25">
        <v>383775</v>
      </c>
      <c r="D11359" s="22" t="s">
        <v>15805</v>
      </c>
      <c r="E11359" s="22" t="s">
        <v>48</v>
      </c>
      <c r="F11359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59" s="22" t="s">
        <v>277</v>
      </c>
      <c r="H11359" s="22" t="s">
        <v>278</v>
      </c>
      <c r="I11359" s="26">
        <v>43669.331944444399</v>
      </c>
      <c r="J11359" s="23" t="str">
        <f t="shared" si="315"/>
        <v>ООО "МКК"</v>
      </c>
      <c r="K11359" s="24" t="s">
        <v>15784</v>
      </c>
      <c r="L11359" s="28" t="s">
        <v>51</v>
      </c>
      <c r="M11359" s="28" t="s">
        <v>51</v>
      </c>
      <c r="N11359" s="27">
        <v>0</v>
      </c>
    </row>
    <row r="11360" spans="1:14" hidden="1" outlineLevel="1" x14ac:dyDescent="0.2">
      <c r="A11360" s="23" t="str">
        <f>HYPERLINK("https://www.spark-marketing.ru/Card/Person/100887", "МОУ ""СРЕДНЯЯ ШКОЛА № 8""")</f>
        <v>МОУ "СРЕДНЯЯ ШКОЛА № 8"</v>
      </c>
      <c r="B11360" s="24" t="s">
        <v>15807</v>
      </c>
      <c r="C11360" s="25">
        <v>631890</v>
      </c>
      <c r="D11360" s="22" t="s">
        <v>15805</v>
      </c>
      <c r="E11360" s="22" t="s">
        <v>48</v>
      </c>
      <c r="F11360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60" s="22" t="s">
        <v>277</v>
      </c>
      <c r="H11360" s="22" t="s">
        <v>278</v>
      </c>
      <c r="I11360" s="26">
        <v>43669.331944444399</v>
      </c>
      <c r="J11360" s="23" t="str">
        <f t="shared" si="315"/>
        <v>ООО "МКК"</v>
      </c>
      <c r="K11360" s="24" t="s">
        <v>15784</v>
      </c>
      <c r="L11360" s="28" t="s">
        <v>51</v>
      </c>
      <c r="M11360" s="28" t="s">
        <v>51</v>
      </c>
      <c r="N11360" s="27">
        <v>0</v>
      </c>
    </row>
    <row r="11361" spans="1:14" hidden="1" outlineLevel="1" x14ac:dyDescent="0.2">
      <c r="A11361" s="23" t="str">
        <f>HYPERLINK("https://www.spark-marketing.ru/Card/Person/119205", "МОУ ""ЛИЦЕЙ № 4""")</f>
        <v>МОУ "ЛИЦЕЙ № 4"</v>
      </c>
      <c r="B11361" s="24" t="s">
        <v>15808</v>
      </c>
      <c r="C11361" s="25">
        <v>154938</v>
      </c>
      <c r="D11361" s="22" t="s">
        <v>15805</v>
      </c>
      <c r="E11361" s="22" t="s">
        <v>48</v>
      </c>
      <c r="F11361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61" s="22" t="s">
        <v>277</v>
      </c>
      <c r="H11361" s="22" t="s">
        <v>278</v>
      </c>
      <c r="I11361" s="26">
        <v>43669.331944444399</v>
      </c>
      <c r="J11361" s="23" t="str">
        <f t="shared" si="315"/>
        <v>ООО "МКК"</v>
      </c>
      <c r="K11361" s="24" t="s">
        <v>15784</v>
      </c>
      <c r="L11361" s="28" t="s">
        <v>51</v>
      </c>
      <c r="M11361" s="28" t="s">
        <v>51</v>
      </c>
      <c r="N11361" s="27">
        <v>0</v>
      </c>
    </row>
    <row r="11362" spans="1:14" hidden="1" outlineLevel="1" x14ac:dyDescent="0.2">
      <c r="A11362" s="23" t="str">
        <f>HYPERLINK("https://www.spark-marketing.ru/Card/Person/129316", "МОУ ""ГИМНАЗИЯ №23""")</f>
        <v>МОУ "ГИМНАЗИЯ №23"</v>
      </c>
      <c r="B11362" s="24" t="s">
        <v>15809</v>
      </c>
      <c r="C11362" s="25">
        <v>500004</v>
      </c>
      <c r="D11362" s="22" t="s">
        <v>15805</v>
      </c>
      <c r="E11362" s="22" t="s">
        <v>48</v>
      </c>
      <c r="F11362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62" s="22" t="s">
        <v>277</v>
      </c>
      <c r="H11362" s="22" t="s">
        <v>278</v>
      </c>
      <c r="I11362" s="26">
        <v>43669.331944444399</v>
      </c>
      <c r="J11362" s="23" t="str">
        <f t="shared" si="315"/>
        <v>ООО "МКК"</v>
      </c>
      <c r="K11362" s="24" t="s">
        <v>15784</v>
      </c>
      <c r="L11362" s="28" t="s">
        <v>51</v>
      </c>
      <c r="M11362" s="28" t="s">
        <v>51</v>
      </c>
      <c r="N11362" s="27">
        <v>0</v>
      </c>
    </row>
    <row r="11363" spans="1:14" hidden="1" outlineLevel="1" x14ac:dyDescent="0.2">
      <c r="A11363" s="23" t="str">
        <f>HYPERLINK("https://www.spark-marketing.ru/Card/Person/129719", "МОУ ""ЛИЦЕЙ № 26""")</f>
        <v>МОУ "ЛИЦЕЙ № 26"</v>
      </c>
      <c r="B11363" s="24" t="s">
        <v>15810</v>
      </c>
      <c r="C11363" s="25">
        <v>493527</v>
      </c>
      <c r="D11363" s="22" t="s">
        <v>15805</v>
      </c>
      <c r="E11363" s="22" t="s">
        <v>48</v>
      </c>
      <c r="F11363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63" s="22" t="s">
        <v>277</v>
      </c>
      <c r="H11363" s="22" t="s">
        <v>278</v>
      </c>
      <c r="I11363" s="26">
        <v>43669.331944444399</v>
      </c>
      <c r="J11363" s="23" t="str">
        <f t="shared" si="315"/>
        <v>ООО "МКК"</v>
      </c>
      <c r="K11363" s="24" t="s">
        <v>15784</v>
      </c>
      <c r="L11363" s="28" t="s">
        <v>51</v>
      </c>
      <c r="M11363" s="28" t="s">
        <v>51</v>
      </c>
      <c r="N11363" s="27">
        <v>0</v>
      </c>
    </row>
    <row r="11364" spans="1:14" hidden="1" outlineLevel="1" x14ac:dyDescent="0.2">
      <c r="A11364" s="23" t="str">
        <f>HYPERLINK("https://www.spark-marketing.ru/Card/Person/138449", "МОУ ""СРЕДНЯЯ ОБЩЕОБРАЗОВАТЕЛЬНАЯ ШКОЛА №18""")</f>
        <v>МОУ "СРЕДНЯЯ ОБЩЕОБРАЗОВАТЕЛЬНАЯ ШКОЛА №18"</v>
      </c>
      <c r="B11364" s="24" t="s">
        <v>15811</v>
      </c>
      <c r="C11364" s="25">
        <v>296310</v>
      </c>
      <c r="D11364" s="22" t="s">
        <v>15805</v>
      </c>
      <c r="E11364" s="22" t="s">
        <v>48</v>
      </c>
      <c r="F11364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64" s="22" t="s">
        <v>277</v>
      </c>
      <c r="H11364" s="22" t="s">
        <v>278</v>
      </c>
      <c r="I11364" s="26">
        <v>43669.331944444399</v>
      </c>
      <c r="J11364" s="23" t="str">
        <f t="shared" si="315"/>
        <v>ООО "МКК"</v>
      </c>
      <c r="K11364" s="24" t="s">
        <v>15784</v>
      </c>
      <c r="L11364" s="28" t="s">
        <v>51</v>
      </c>
      <c r="M11364" s="28" t="s">
        <v>51</v>
      </c>
      <c r="N11364" s="27">
        <v>0</v>
      </c>
    </row>
    <row r="11365" spans="1:14" hidden="1" outlineLevel="1" x14ac:dyDescent="0.2">
      <c r="A11365" s="23" t="str">
        <f>HYPERLINK("https://www.spark-marketing.ru/Card/Person/138450", "МОУ ""ГИМНАЗИЯ № 20 ИМЕНИ ГЕРОЯ СОВЕТСКОГО СОЮЗА В.Б. МИРОНОВА""")</f>
        <v>МОУ "ГИМНАЗИЯ № 20 ИМЕНИ ГЕРОЯ СОВЕТСКОГО СОЮЗА В.Б. МИРОНОВА"</v>
      </c>
      <c r="B11365" s="24" t="s">
        <v>15812</v>
      </c>
      <c r="C11365" s="25">
        <v>315129</v>
      </c>
      <c r="D11365" s="22" t="s">
        <v>15805</v>
      </c>
      <c r="E11365" s="22" t="s">
        <v>48</v>
      </c>
      <c r="F11365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65" s="22" t="s">
        <v>277</v>
      </c>
      <c r="H11365" s="22" t="s">
        <v>278</v>
      </c>
      <c r="I11365" s="26">
        <v>43669.331944444399</v>
      </c>
      <c r="J11365" s="23" t="str">
        <f t="shared" si="315"/>
        <v>ООО "МКК"</v>
      </c>
      <c r="K11365" s="24" t="s">
        <v>15784</v>
      </c>
      <c r="L11365" s="28" t="s">
        <v>51</v>
      </c>
      <c r="M11365" s="28" t="s">
        <v>51</v>
      </c>
      <c r="N11365" s="27">
        <v>0</v>
      </c>
    </row>
    <row r="11366" spans="1:14" hidden="1" outlineLevel="1" x14ac:dyDescent="0.2">
      <c r="A11366" s="23" t="str">
        <f>HYPERLINK("https://www.spark-marketing.ru/Card/Person/138632", "МОУ ""ГИМНАЗИЯ № 12""")</f>
        <v>МОУ "ГИМНАЗИЯ № 12"</v>
      </c>
      <c r="B11366" s="24" t="s">
        <v>15813</v>
      </c>
      <c r="C11366" s="25">
        <v>328644</v>
      </c>
      <c r="D11366" s="22" t="s">
        <v>15805</v>
      </c>
      <c r="E11366" s="22" t="s">
        <v>48</v>
      </c>
      <c r="F11366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66" s="22" t="s">
        <v>277</v>
      </c>
      <c r="H11366" s="22" t="s">
        <v>278</v>
      </c>
      <c r="I11366" s="26">
        <v>43669.331944444399</v>
      </c>
      <c r="J11366" s="23" t="str">
        <f t="shared" si="315"/>
        <v>ООО "МКК"</v>
      </c>
      <c r="K11366" s="24" t="s">
        <v>15784</v>
      </c>
      <c r="L11366" s="28" t="s">
        <v>51</v>
      </c>
      <c r="M11366" s="28" t="s">
        <v>51</v>
      </c>
      <c r="N11366" s="27">
        <v>0</v>
      </c>
    </row>
    <row r="11367" spans="1:14" hidden="1" outlineLevel="1" x14ac:dyDescent="0.2">
      <c r="A11367" s="23" t="str">
        <f>HYPERLINK("https://www.spark-marketing.ru/Card/Person/138633", "МОУ ""СРЕДНЯЯ ШКОЛА № 39""")</f>
        <v>МОУ "СРЕДНЯЯ ШКОЛА № 39"</v>
      </c>
      <c r="B11367" s="24" t="s">
        <v>15814</v>
      </c>
      <c r="C11367" s="25">
        <v>398565</v>
      </c>
      <c r="D11367" s="22" t="s">
        <v>15805</v>
      </c>
      <c r="E11367" s="22" t="s">
        <v>48</v>
      </c>
      <c r="F11367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67" s="22" t="s">
        <v>277</v>
      </c>
      <c r="H11367" s="22" t="s">
        <v>278</v>
      </c>
      <c r="I11367" s="26">
        <v>43669.331944444399</v>
      </c>
      <c r="J11367" s="23" t="str">
        <f t="shared" si="315"/>
        <v>ООО "МКК"</v>
      </c>
      <c r="K11367" s="24" t="s">
        <v>15784</v>
      </c>
      <c r="L11367" s="28" t="s">
        <v>51</v>
      </c>
      <c r="M11367" s="28" t="s">
        <v>51</v>
      </c>
      <c r="N11367" s="27">
        <v>0</v>
      </c>
    </row>
    <row r="11368" spans="1:14" hidden="1" outlineLevel="1" x14ac:dyDescent="0.2">
      <c r="A11368" s="23" t="str">
        <f>HYPERLINK("https://www.spark-marketing.ru/Card/Person/138634", "МОУ ""ЛИЦЕЙ №43""")</f>
        <v>МОУ "ЛИЦЕЙ №43"</v>
      </c>
      <c r="B11368" s="24" t="s">
        <v>15815</v>
      </c>
      <c r="C11368" s="25">
        <v>195381</v>
      </c>
      <c r="D11368" s="22" t="s">
        <v>15805</v>
      </c>
      <c r="E11368" s="22" t="s">
        <v>48</v>
      </c>
      <c r="F11368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68" s="22" t="s">
        <v>277</v>
      </c>
      <c r="H11368" s="22" t="s">
        <v>278</v>
      </c>
      <c r="I11368" s="26">
        <v>43669.331944444399</v>
      </c>
      <c r="J11368" s="23" t="str">
        <f t="shared" si="315"/>
        <v>ООО "МКК"</v>
      </c>
      <c r="K11368" s="24" t="s">
        <v>15784</v>
      </c>
      <c r="L11368" s="28" t="s">
        <v>51</v>
      </c>
      <c r="M11368" s="28" t="s">
        <v>51</v>
      </c>
      <c r="N11368" s="27">
        <v>0</v>
      </c>
    </row>
    <row r="11369" spans="1:14" hidden="1" outlineLevel="1" x14ac:dyDescent="0.2">
      <c r="A11369" s="23" t="str">
        <f>HYPERLINK("https://www.spark-marketing.ru/Card/Person/138680", "МОУ ""СРЕДНЯЯ ШКОЛА № 24""")</f>
        <v>МОУ "СРЕДНЯЯ ШКОЛА № 24"</v>
      </c>
      <c r="B11369" s="24" t="s">
        <v>15816</v>
      </c>
      <c r="C11369" s="25">
        <v>313854</v>
      </c>
      <c r="D11369" s="22" t="s">
        <v>15805</v>
      </c>
      <c r="E11369" s="22" t="s">
        <v>48</v>
      </c>
      <c r="F11369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69" s="22" t="s">
        <v>277</v>
      </c>
      <c r="H11369" s="22" t="s">
        <v>278</v>
      </c>
      <c r="I11369" s="26">
        <v>43669.331944444399</v>
      </c>
      <c r="J11369" s="23" t="str">
        <f t="shared" si="315"/>
        <v>ООО "МКК"</v>
      </c>
      <c r="K11369" s="24" t="s">
        <v>15784</v>
      </c>
      <c r="L11369" s="28" t="s">
        <v>51</v>
      </c>
      <c r="M11369" s="28" t="s">
        <v>51</v>
      </c>
      <c r="N11369" s="27">
        <v>0</v>
      </c>
    </row>
    <row r="11370" spans="1:14" hidden="1" outlineLevel="1" x14ac:dyDescent="0.2">
      <c r="A11370" s="23" t="str">
        <f>HYPERLINK("https://www.spark-marketing.ru/Card/Person/138682", "МОУ ""СРЕДНЯЯ ШКОЛА № 9""")</f>
        <v>МОУ "СРЕДНЯЯ ШКОЛА № 9"</v>
      </c>
      <c r="B11370" s="24" t="s">
        <v>15817</v>
      </c>
      <c r="C11370" s="25">
        <v>339099</v>
      </c>
      <c r="D11370" s="22" t="s">
        <v>15805</v>
      </c>
      <c r="E11370" s="22" t="s">
        <v>48</v>
      </c>
      <c r="F11370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70" s="22" t="s">
        <v>277</v>
      </c>
      <c r="H11370" s="22" t="s">
        <v>278</v>
      </c>
      <c r="I11370" s="26">
        <v>43669.331944444399</v>
      </c>
      <c r="J11370" s="23" t="str">
        <f t="shared" si="315"/>
        <v>ООО "МКК"</v>
      </c>
      <c r="K11370" s="24" t="s">
        <v>15784</v>
      </c>
      <c r="L11370" s="28" t="s">
        <v>51</v>
      </c>
      <c r="M11370" s="28" t="s">
        <v>51</v>
      </c>
      <c r="N11370" s="27">
        <v>0</v>
      </c>
    </row>
    <row r="11371" spans="1:14" hidden="1" outlineLevel="1" x14ac:dyDescent="0.2">
      <c r="A11371" s="23" t="str">
        <f>HYPERLINK("https://www.spark-marketing.ru/Card/Person/139004", "МОУ ""СРЕДНЯЯ ШКОЛА №16""")</f>
        <v>МОУ "СРЕДНЯЯ ШКОЛА №16"</v>
      </c>
      <c r="B11371" s="24" t="s">
        <v>15818</v>
      </c>
      <c r="C11371" s="25">
        <v>362355</v>
      </c>
      <c r="D11371" s="22" t="s">
        <v>15805</v>
      </c>
      <c r="E11371" s="22" t="s">
        <v>48</v>
      </c>
      <c r="F11371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71" s="22" t="s">
        <v>277</v>
      </c>
      <c r="H11371" s="22" t="s">
        <v>278</v>
      </c>
      <c r="I11371" s="26">
        <v>43669.331944444399</v>
      </c>
      <c r="J11371" s="23" t="str">
        <f t="shared" si="315"/>
        <v>ООО "МКК"</v>
      </c>
      <c r="K11371" s="24" t="s">
        <v>15784</v>
      </c>
      <c r="L11371" s="28" t="s">
        <v>51</v>
      </c>
      <c r="M11371" s="28" t="s">
        <v>51</v>
      </c>
      <c r="N11371" s="27">
        <v>0</v>
      </c>
    </row>
    <row r="11372" spans="1:14" hidden="1" outlineLevel="1" x14ac:dyDescent="0.2">
      <c r="A11372" s="23" t="str">
        <f>HYPERLINK("https://www.spark-marketing.ru/Card/Person/139015", "МОУ ""ГИМНАЗИЯ № 19""")</f>
        <v>МОУ "ГИМНАЗИЯ № 19"</v>
      </c>
      <c r="B11372" s="24" t="s">
        <v>15819</v>
      </c>
      <c r="C11372" s="25">
        <v>124644</v>
      </c>
      <c r="D11372" s="22" t="s">
        <v>15805</v>
      </c>
      <c r="E11372" s="22" t="s">
        <v>48</v>
      </c>
      <c r="F11372" s="23" t="str">
        <f t="shared" si="316"/>
        <v>Оказание услуг по организации питания обучающихся школьного возраста в муниципальных общеобразовательных учреждениях г.о. Саранск (Совместный конкурс)</v>
      </c>
      <c r="G11372" s="22" t="s">
        <v>277</v>
      </c>
      <c r="H11372" s="22" t="s">
        <v>278</v>
      </c>
      <c r="I11372" s="26">
        <v>43669.331944444399</v>
      </c>
      <c r="J11372" s="23" t="str">
        <f t="shared" si="315"/>
        <v>ООО "МКК"</v>
      </c>
      <c r="K11372" s="24" t="s">
        <v>15784</v>
      </c>
      <c r="L11372" s="28" t="s">
        <v>51</v>
      </c>
      <c r="M11372" s="28" t="s">
        <v>51</v>
      </c>
      <c r="N11372" s="27">
        <v>0</v>
      </c>
    </row>
    <row r="11373" spans="1:14" x14ac:dyDescent="0.2">
      <c r="A11373" s="23" t="str">
        <f>HYPERLINK("https://www.spark-marketing.ru/Card/Person/4348376", "АО ""ЖТК""")</f>
        <v>АО "ЖТК"</v>
      </c>
      <c r="B11373" s="24" t="s">
        <v>2312</v>
      </c>
      <c r="C11373" s="25">
        <v>1042170.5</v>
      </c>
      <c r="D11373" s="22" t="s">
        <v>15820</v>
      </c>
      <c r="E11373" s="22" t="s">
        <v>2314</v>
      </c>
      <c r="F11373" s="23" t="str">
        <f>HYPERLINK("https://www.spark-marketing.ru/Card/Lot/72290148", "Поставка бакалейной продукции для предприятий общественного питания Свободненского ТПО, оказывающих услуги питания работникам ОАО ""РЖД""")</f>
        <v>Поставка бакалейной продукции для предприятий общественного питания Свободненского ТПО, оказывающих услуги питания работникам ОАО "РЖД"</v>
      </c>
      <c r="G11373" s="22" t="s">
        <v>210</v>
      </c>
      <c r="H11373" s="22" t="s">
        <v>210</v>
      </c>
      <c r="I11373" s="26">
        <v>43669.229884259301</v>
      </c>
      <c r="J11373" s="28" t="s">
        <v>51</v>
      </c>
      <c r="K11373" s="28" t="s">
        <v>51</v>
      </c>
      <c r="L11373" s="22" t="s">
        <v>10</v>
      </c>
      <c r="M11373" s="25">
        <v>1042170.5</v>
      </c>
      <c r="N11373" s="27">
        <v>0</v>
      </c>
    </row>
    <row r="11374" spans="1:14" x14ac:dyDescent="0.15">
      <c r="A11374" s="23" t="str">
        <f>HYPERLINK("https://www.spark-marketing.ru/Card/Person/43315", "КГБУЗ ""ЦЕНТРАЛЬНАЯ ГОРОДСКАЯ БОЛЬНИЦА, Г. БИЙСК""")</f>
        <v>КГБУЗ "ЦЕНТРАЛЬНАЯ ГОРОДСКАЯ БОЛЬНИЦА, Г. БИЙСК"</v>
      </c>
      <c r="B11374" s="24" t="s">
        <v>15821</v>
      </c>
      <c r="C11374" s="25">
        <v>12884.52</v>
      </c>
      <c r="D11374" s="22" t="s">
        <v>15822</v>
      </c>
      <c r="E11374" s="22" t="s">
        <v>9540</v>
      </c>
      <c r="F11374" s="23" t="str">
        <f>HYPERLINK("https://www.spark-marketing.ru/Card/Lot/72265494", "(000)Товары, работы или услуги на сумму, не превышающую 100 тыс. руб. (п.4 ч.1 ст.93 Федерального закона №44-ФЗ)")</f>
        <v>(000)Товары, работы или услуги на сумму, не превышающую 100 тыс. руб. (п.4 ч.1 ст.93 Федерального закона №44-ФЗ)</v>
      </c>
      <c r="G11374" s="22" t="s">
        <v>63</v>
      </c>
      <c r="H11374" s="22" t="s">
        <v>1294</v>
      </c>
      <c r="I11374" s="26">
        <v>43669.220833333296</v>
      </c>
      <c r="J11374" s="28" t="s">
        <v>51</v>
      </c>
      <c r="K11374" s="28" t="s">
        <v>51</v>
      </c>
      <c r="L11374" s="28" t="s">
        <v>51</v>
      </c>
      <c r="M11374" s="28" t="s">
        <v>51</v>
      </c>
      <c r="N11374" s="28" t="s">
        <v>51</v>
      </c>
    </row>
    <row r="11375" spans="1:14" x14ac:dyDescent="0.15">
      <c r="A11375" s="23" t="str">
        <f>HYPERLINK("https://www.spark-marketing.ru/Card/Person/257793", "МБДОУ ""Д/С ""РЯБИНКА"" ПОС. Ж/Д СТ.КАЛЕЙКИНО""")</f>
        <v>МБДОУ "Д/С "РЯБИНКА" ПОС. Ж/Д СТ.КАЛЕЙКИНО"</v>
      </c>
      <c r="B11375" s="24" t="s">
        <v>14073</v>
      </c>
      <c r="C11375" s="25">
        <v>6650.55</v>
      </c>
      <c r="D11375" s="22" t="s">
        <v>15823</v>
      </c>
      <c r="E11375" s="22" t="s">
        <v>52</v>
      </c>
      <c r="F11375" s="23" t="str">
        <f>HYPERLINK("https://www.spark-marketing.ru/Card/Lot/73773387", "Услуги по организации питания")</f>
        <v>Услуги по организации питания</v>
      </c>
      <c r="G11375" s="22" t="s">
        <v>217</v>
      </c>
      <c r="H11375" s="22" t="s">
        <v>9294</v>
      </c>
      <c r="I11375" s="26">
        <v>43669.6159722222</v>
      </c>
      <c r="J11375" s="28" t="s">
        <v>51</v>
      </c>
      <c r="K11375" s="28" t="s">
        <v>51</v>
      </c>
      <c r="L11375" s="28" t="s">
        <v>51</v>
      </c>
      <c r="M11375" s="28" t="s">
        <v>51</v>
      </c>
      <c r="N11375" s="28" t="s">
        <v>51</v>
      </c>
    </row>
    <row r="11376" spans="1:14" x14ac:dyDescent="0.15">
      <c r="A11376" s="23" t="str">
        <f>HYPERLINK("https://www.spark-marketing.ru/Card/Person/257934", "МБДОУ ""Д/С ""СОЛНЫШКО"" ПОС. Ж/Д СТ.КАЛЕЙКИНО""")</f>
        <v>МБДОУ "Д/С "СОЛНЫШКО" ПОС. Ж/Д СТ.КАЛЕЙКИНО"</v>
      </c>
      <c r="B11376" s="24" t="s">
        <v>14079</v>
      </c>
      <c r="C11376" s="25">
        <v>17741.189999999999</v>
      </c>
      <c r="D11376" s="22" t="s">
        <v>15824</v>
      </c>
      <c r="E11376" s="22" t="s">
        <v>52</v>
      </c>
      <c r="F11376" s="23" t="str">
        <f>HYPERLINK("https://www.spark-marketing.ru/Card/Lot/73772920", "Услуги по организации питания")</f>
        <v>Услуги по организации питания</v>
      </c>
      <c r="G11376" s="22" t="s">
        <v>217</v>
      </c>
      <c r="H11376" s="22" t="s">
        <v>9294</v>
      </c>
      <c r="I11376" s="26">
        <v>43669.628472222197</v>
      </c>
      <c r="J11376" s="28" t="s">
        <v>51</v>
      </c>
      <c r="K11376" s="28" t="s">
        <v>51</v>
      </c>
      <c r="L11376" s="28" t="s">
        <v>51</v>
      </c>
      <c r="M11376" s="28" t="s">
        <v>51</v>
      </c>
      <c r="N11376" s="28" t="s">
        <v>51</v>
      </c>
    </row>
    <row r="11377" spans="1:14" x14ac:dyDescent="0.15">
      <c r="A11377" s="23" t="str">
        <f>HYPERLINK("https://www.spark-marketing.ru/Card/Person/6450322", "ЗАКАЗЧИК РП БЕЛАРУСЬ")</f>
        <v>ЗАКАЗЧИК РП БЕЛАРУСЬ</v>
      </c>
      <c r="B11377" s="28" t="s">
        <v>51</v>
      </c>
      <c r="C11377" s="25">
        <v>198384.3</v>
      </c>
      <c r="D11377" s="22" t="s">
        <v>15825</v>
      </c>
      <c r="E11377" s="22" t="s">
        <v>52</v>
      </c>
      <c r="F11377" s="23" t="str">
        <f>HYPERLINK("https://www.spark-marketing.ru/Card/Lot/72280016", "Услуги по организации проведения мероприятия (проживание, аренда конференц-зала, питание)")</f>
        <v>Услуги по организации проведения мероприятия (проживание, аренда конференц-зала, питание)</v>
      </c>
      <c r="G11377" s="22" t="s">
        <v>51</v>
      </c>
      <c r="H11377" s="22" t="s">
        <v>51</v>
      </c>
      <c r="I11377" s="26">
        <v>43669</v>
      </c>
      <c r="J11377" s="28" t="s">
        <v>51</v>
      </c>
      <c r="K11377" s="28" t="s">
        <v>51</v>
      </c>
      <c r="L11377" s="28" t="s">
        <v>51</v>
      </c>
      <c r="M11377" s="28" t="s">
        <v>51</v>
      </c>
      <c r="N11377" s="28" t="s">
        <v>51</v>
      </c>
    </row>
    <row r="11378" spans="1:14" x14ac:dyDescent="0.15">
      <c r="A11378" s="23" t="str">
        <f>HYPERLINK("https://www.spark-marketing.ru/Card/Person/4379091", "МАОУ СОШ № 3")</f>
        <v>МАОУ СОШ № 3</v>
      </c>
      <c r="B11378" s="24" t="s">
        <v>15826</v>
      </c>
      <c r="C11378" s="25">
        <v>2173602.6</v>
      </c>
      <c r="D11378" s="22" t="s">
        <v>15827</v>
      </c>
      <c r="E11378" s="22" t="s">
        <v>48</v>
      </c>
      <c r="F11378" s="23" t="str">
        <f>HYPERLINK("https://www.spark-marketing.ru/Card/Lot/72258970", "Организация питания обучающихся")</f>
        <v>Организация питания обучающихся</v>
      </c>
      <c r="G11378" s="22" t="s">
        <v>174</v>
      </c>
      <c r="H11378" s="22" t="s">
        <v>1526</v>
      </c>
      <c r="I11378" s="26">
        <v>43668.906944444403</v>
      </c>
      <c r="J11378" s="28" t="s">
        <v>51</v>
      </c>
      <c r="K11378" s="28" t="s">
        <v>51</v>
      </c>
      <c r="L11378" s="28" t="s">
        <v>51</v>
      </c>
      <c r="M11378" s="28" t="s">
        <v>51</v>
      </c>
      <c r="N11378" s="28" t="s">
        <v>51</v>
      </c>
    </row>
    <row r="11379" spans="1:14" ht="12.75" hidden="1" outlineLevel="1" x14ac:dyDescent="0.2">
      <c r="A11379" s="23" t="str">
        <f>HYPERLINK("https://www.spark-marketing.ru/Card/Person/4379091", "МАОУ СОШ № 3")</f>
        <v>МАОУ СОШ № 3</v>
      </c>
      <c r="B11379" s="24" t="s">
        <v>15826</v>
      </c>
      <c r="C11379" s="25">
        <v>2173602.6</v>
      </c>
      <c r="D11379" s="22" t="s">
        <v>15827</v>
      </c>
      <c r="E11379" s="22" t="s">
        <v>48</v>
      </c>
      <c r="F11379" s="23" t="str">
        <f>HYPERLINK("https://www.spark-marketing.ru/Card/Lot/72258970", "Организация питания обучающихся")</f>
        <v>Организация питания обучающихся</v>
      </c>
      <c r="G11379" s="22" t="s">
        <v>174</v>
      </c>
      <c r="H11379" s="22" t="s">
        <v>1526</v>
      </c>
      <c r="I11379" s="26">
        <v>43668.906944444403</v>
      </c>
      <c r="J11379" s="23" t="str">
        <f>HYPERLINK("https://www.spark-marketing.ru/Card/Person/4952099", "ООО ""ТОП""")</f>
        <v>ООО "ТОП"</v>
      </c>
      <c r="K11379" s="24" t="s">
        <v>15133</v>
      </c>
      <c r="L11379" s="22" t="s">
        <v>10</v>
      </c>
      <c r="M11379" s="25">
        <v>2173602.6</v>
      </c>
      <c r="N11379" s="27">
        <v>0</v>
      </c>
    </row>
    <row r="11380" spans="1:14" hidden="1" outlineLevel="1" x14ac:dyDescent="0.2">
      <c r="A11380" s="23" t="str">
        <f>HYPERLINK("https://www.spark-marketing.ru/Card/Person/4379091", "МАОУ СОШ № 3")</f>
        <v>МАОУ СОШ № 3</v>
      </c>
      <c r="B11380" s="24" t="s">
        <v>15826</v>
      </c>
      <c r="C11380" s="25">
        <v>2173602.6</v>
      </c>
      <c r="D11380" s="22" t="s">
        <v>15827</v>
      </c>
      <c r="E11380" s="22" t="s">
        <v>48</v>
      </c>
      <c r="F11380" s="23" t="str">
        <f>HYPERLINK("https://www.spark-marketing.ru/Card/Lot/72258970", "Организация питания обучающихся")</f>
        <v>Организация питания обучающихся</v>
      </c>
      <c r="G11380" s="22" t="s">
        <v>174</v>
      </c>
      <c r="H11380" s="22" t="s">
        <v>1526</v>
      </c>
      <c r="I11380" s="26">
        <v>43668.906944444403</v>
      </c>
      <c r="J11380" s="23" t="str">
        <f>HYPERLINK("https://www.spark-marketing.ru/Card/Person/4353943", "МАУ СОЦ ""СОЛНЕЧНЫЙ""")</f>
        <v>МАУ СОЦ "СОЛНЕЧНЫЙ"</v>
      </c>
      <c r="K11380" s="24" t="s">
        <v>15828</v>
      </c>
      <c r="L11380" s="28" t="s">
        <v>51</v>
      </c>
      <c r="M11380" s="25">
        <v>2173602.6</v>
      </c>
      <c r="N11380" s="27">
        <v>0</v>
      </c>
    </row>
    <row r="11381" spans="1:14" x14ac:dyDescent="0.15">
      <c r="A11381" s="23" t="str">
        <f>HYPERLINK("https://www.spark-marketing.ru/Card/Person/615426", "ГАУ КО СШОР ""ОРЛЕНОК""")</f>
        <v>ГАУ КО СШОР "ОРЛЕНОК"</v>
      </c>
      <c r="B11381" s="24" t="s">
        <v>10598</v>
      </c>
      <c r="C11381" s="25">
        <v>495000</v>
      </c>
      <c r="D11381" s="22" t="s">
        <v>15829</v>
      </c>
      <c r="E11381" s="22" t="s">
        <v>362</v>
      </c>
      <c r="F11381" s="23" t="str">
        <f>HYPERLINK("https://www.spark-marketing.ru/Card/Lot/72262209", "Предоставление услуг по обеспечению горячим питанием (завтрак (в том числе свежий фрукт), обед, полдник, ужин, ужин-2) проживающих в ГАУ КО СШОР «Орленок» (в т.ч. детей)")</f>
        <v>Предоставление услуг по обеспечению горячим питанием (завтрак (в том числе свежий фрукт), обед, полдник, ужин, ужин-2) проживающих в ГАУ КО СШОР «Орленок» (в т.ч. детей)</v>
      </c>
      <c r="G11381" s="22" t="s">
        <v>112</v>
      </c>
      <c r="H11381" s="22" t="s">
        <v>112</v>
      </c>
      <c r="I11381" s="26">
        <v>43668.900694444397</v>
      </c>
      <c r="J11381" s="28" t="s">
        <v>51</v>
      </c>
      <c r="K11381" s="28" t="s">
        <v>51</v>
      </c>
      <c r="L11381" s="28" t="s">
        <v>51</v>
      </c>
      <c r="M11381" s="28" t="s">
        <v>51</v>
      </c>
      <c r="N11381" s="28" t="s">
        <v>51</v>
      </c>
    </row>
    <row r="11382" spans="1:14" x14ac:dyDescent="0.15">
      <c r="A11382" s="23" t="str">
        <f>HYPERLINK("https://www.spark-marketing.ru/Card/Person/20411", "УМВД РОССИИ ПО ТЮМЕНСКОЙ ОБЛАСТИ")</f>
        <v>УМВД РОССИИ ПО ТЮМЕНСКОЙ ОБЛАСТИ</v>
      </c>
      <c r="B11382" s="24" t="s">
        <v>3385</v>
      </c>
      <c r="C11382" s="25">
        <v>9495000</v>
      </c>
      <c r="D11382" s="22" t="s">
        <v>15830</v>
      </c>
      <c r="E11382" s="22" t="s">
        <v>48</v>
      </c>
      <c r="F11382" s="23" t="str">
        <f>HYPERLINK("https://www.spark-marketing.ru/Card/Lot/72266270", "Оказание услуг по обеспечению ежедневным горячим питанием для нужд ЦВСИГ УМВД России по Тюменской области")</f>
        <v>Оказание услуг по обеспечению ежедневным горячим питанием для нужд ЦВСИГ УМВД России по Тюменской области</v>
      </c>
      <c r="G11382" s="22" t="s">
        <v>766</v>
      </c>
      <c r="H11382" s="22" t="s">
        <v>1028</v>
      </c>
      <c r="I11382" s="26">
        <v>43668.782951388901</v>
      </c>
      <c r="J11382" s="28" t="s">
        <v>51</v>
      </c>
      <c r="K11382" s="28" t="s">
        <v>51</v>
      </c>
      <c r="L11382" s="28" t="s">
        <v>51</v>
      </c>
      <c r="M11382" s="28" t="s">
        <v>51</v>
      </c>
      <c r="N11382" s="28" t="s">
        <v>51</v>
      </c>
    </row>
    <row r="11383" spans="1:14" ht="12.75" hidden="1" outlineLevel="1" x14ac:dyDescent="0.2">
      <c r="A11383" s="23" t="str">
        <f>HYPERLINK("https://www.spark-marketing.ru/Card/Person/20411", "УМВД РОССИИ ПО ТЮМЕНСКОЙ ОБЛАСТИ")</f>
        <v>УМВД РОССИИ ПО ТЮМЕНСКОЙ ОБЛАСТИ</v>
      </c>
      <c r="B11383" s="24" t="s">
        <v>3385</v>
      </c>
      <c r="C11383" s="25">
        <v>9495000</v>
      </c>
      <c r="D11383" s="22" t="s">
        <v>15830</v>
      </c>
      <c r="E11383" s="22" t="s">
        <v>48</v>
      </c>
      <c r="F11383" s="23" t="str">
        <f>HYPERLINK("https://www.spark-marketing.ru/Card/Lot/72266270", "Оказание услуг по обеспечению ежедневным горячим питанием для нужд ЦВСИГ УМВД России по Тюменской области")</f>
        <v>Оказание услуг по обеспечению ежедневным горячим питанием для нужд ЦВСИГ УМВД России по Тюменской области</v>
      </c>
      <c r="G11383" s="22" t="s">
        <v>766</v>
      </c>
      <c r="H11383" s="22" t="s">
        <v>1028</v>
      </c>
      <c r="I11383" s="26">
        <v>43668.782951388901</v>
      </c>
      <c r="J11383" s="23" t="str">
        <f>HYPERLINK("https://www.spark-marketing.ru/Card/Person/245022", "ООО ""ВИСТЕРИЯ""")</f>
        <v>ООО "ВИСТЕРИЯ"</v>
      </c>
      <c r="K11383" s="24" t="s">
        <v>3387</v>
      </c>
      <c r="L11383" s="22" t="s">
        <v>10</v>
      </c>
      <c r="M11383" s="25">
        <v>1416.77</v>
      </c>
      <c r="N11383" s="27">
        <v>0.9998507877830437</v>
      </c>
    </row>
    <row r="11384" spans="1:14" hidden="1" outlineLevel="1" x14ac:dyDescent="0.2">
      <c r="A11384" s="23" t="str">
        <f>HYPERLINK("https://www.spark-marketing.ru/Card/Person/20411", "УМВД РОССИИ ПО ТЮМЕНСКОЙ ОБЛАСТИ")</f>
        <v>УМВД РОССИИ ПО ТЮМЕНСКОЙ ОБЛАСТИ</v>
      </c>
      <c r="B11384" s="24" t="s">
        <v>3385</v>
      </c>
      <c r="C11384" s="25">
        <v>9495000</v>
      </c>
      <c r="D11384" s="22" t="s">
        <v>15830</v>
      </c>
      <c r="E11384" s="22" t="s">
        <v>48</v>
      </c>
      <c r="F11384" s="23" t="str">
        <f>HYPERLINK("https://www.spark-marketing.ru/Card/Lot/72266270", "Оказание услуг по обеспечению ежедневным горячим питанием для нужд ЦВСИГ УМВД России по Тюменской области")</f>
        <v>Оказание услуг по обеспечению ежедневным горячим питанием для нужд ЦВСИГ УМВД России по Тюменской области</v>
      </c>
      <c r="G11384" s="22" t="s">
        <v>766</v>
      </c>
      <c r="H11384" s="22" t="s">
        <v>1028</v>
      </c>
      <c r="I11384" s="26">
        <v>43668.782951388901</v>
      </c>
      <c r="J11384" s="23" t="str">
        <f>HYPERLINK("https://www.spark-marketing.ru/Card/Person/6472998", "ООО ""СПЕКТР""")</f>
        <v>ООО "СПЕКТР"</v>
      </c>
      <c r="K11384" s="24" t="s">
        <v>3388</v>
      </c>
      <c r="L11384" s="28" t="s">
        <v>51</v>
      </c>
      <c r="M11384" s="25">
        <v>1429.77</v>
      </c>
      <c r="N11384" s="27">
        <v>0.99984941864139021</v>
      </c>
    </row>
    <row r="11385" spans="1:14" x14ac:dyDescent="0.2">
      <c r="A11385" s="23" t="str">
        <f>HYPERLINK("https://www.spark-marketing.ru/Card/Person/207270", "ГОАУ ДОД ""ДЮЦ ПРИМОРСКОГО КРАЯ""")</f>
        <v>ГОАУ ДОД "ДЮЦ ПРИМОРСКОГО КРАЯ"</v>
      </c>
      <c r="B11385" s="24" t="s">
        <v>15831</v>
      </c>
      <c r="C11385" s="25">
        <v>774450</v>
      </c>
      <c r="D11385" s="22" t="s">
        <v>15832</v>
      </c>
      <c r="E11385" s="22" t="s">
        <v>362</v>
      </c>
      <c r="F11385" s="23" t="str">
        <f>HYPERLINK("https://www.spark-marketing.ru/Card/Lot/72263836", "Услуги по организации питания участников мероприятия в период с 23.07.2019 по 06.08.2019 на основании п. 3.1 Летняя Тихоокеанская школа по математике и программированию, п. 3.3 Летняя Тихоокеанская лингвистическая школа (по китайскому и английскому я...")</f>
        <v>Услуги по организации питания участников мероприятия в период с 23.07.2019 по 06.08.2019 на основании п. 3.1 Летняя Тихоокеанская школа по математике и программированию, п. 3.3 Летняя Тихоокеанская лингвистическая школа (по китайскому и английскому я...</v>
      </c>
      <c r="G11385" s="22" t="s">
        <v>543</v>
      </c>
      <c r="H11385" s="22" t="s">
        <v>543</v>
      </c>
      <c r="I11385" s="26">
        <v>43668.770451388897</v>
      </c>
      <c r="J11385" s="28" t="s">
        <v>51</v>
      </c>
      <c r="K11385" s="28" t="s">
        <v>51</v>
      </c>
      <c r="L11385" s="22" t="s">
        <v>10</v>
      </c>
      <c r="M11385" s="25">
        <v>774450</v>
      </c>
      <c r="N11385" s="27">
        <v>0</v>
      </c>
    </row>
    <row r="11386" spans="1:14" x14ac:dyDescent="0.15">
      <c r="A11386" s="23" t="str">
        <f>HYPERLINK("https://www.spark-marketing.ru/Card/Person/239252", "ГБУ КК ""ЦОП ПО ФИГУРНОМУ КАТАНИЮ НА КОНЬКАХ""""")</f>
        <v>ГБУ КК "ЦОП ПО ФИГУРНОМУ КАТАНИЮ НА КОНЬКАХ""</v>
      </c>
      <c r="B11386" s="24" t="s">
        <v>15592</v>
      </c>
      <c r="C11386" s="25">
        <v>264420</v>
      </c>
      <c r="D11386" s="22" t="s">
        <v>15833</v>
      </c>
      <c r="E11386" s="22" t="s">
        <v>15594</v>
      </c>
      <c r="F11386" s="23" t="str">
        <f>HYPERLINK("https://www.spark-marketing.ru/Card/Lot/72271253", "Оказание услуг по организации участия в краевых спортивных мероприятиях в 2019 году")</f>
        <v>Оказание услуг по организации участия в краевых спортивных мероприятиях в 2019 году</v>
      </c>
      <c r="G11386" s="22" t="s">
        <v>104</v>
      </c>
      <c r="H11386" s="22" t="s">
        <v>969</v>
      </c>
      <c r="I11386" s="26">
        <v>43668.7641435185</v>
      </c>
      <c r="J11386" s="23" t="str">
        <f>HYPERLINK("https://www.spark-marketing.ru/Card/Person/6501154", "ООО ""ГИГАНТ""")</f>
        <v>ООО "ГИГАНТ"</v>
      </c>
      <c r="K11386" s="24" t="s">
        <v>9887</v>
      </c>
      <c r="L11386" s="22" t="s">
        <v>10</v>
      </c>
      <c r="M11386" s="28" t="s">
        <v>51</v>
      </c>
      <c r="N11386" s="28" t="s">
        <v>51</v>
      </c>
    </row>
    <row r="11387" spans="1:14" x14ac:dyDescent="0.2">
      <c r="A11387" s="23" t="str">
        <f>HYPERLINK("https://www.spark-marketing.ru/Card/Person/1781578", "ГБПОУ ""ПУ №47""")</f>
        <v>ГБПОУ "ПУ №47"</v>
      </c>
      <c r="B11387" s="24" t="s">
        <v>15834</v>
      </c>
      <c r="C11387" s="25">
        <v>10316512.6</v>
      </c>
      <c r="D11387" s="22" t="s">
        <v>15835</v>
      </c>
      <c r="E11387" s="22" t="s">
        <v>48</v>
      </c>
      <c r="F11387" s="23" t="str">
        <f>HYPERLINK("https://www.spark-marketing.ru/Card/Lot/72257036", "Оказание услуг по обеспечению питанием")</f>
        <v>Оказание услуг по обеспечению питанием</v>
      </c>
      <c r="G11387" s="22" t="s">
        <v>158</v>
      </c>
      <c r="H11387" s="22" t="s">
        <v>654</v>
      </c>
      <c r="I11387" s="26">
        <v>43668.731249999997</v>
      </c>
      <c r="J11387" s="23" t="str">
        <f>HYPERLINK("https://www.spark-marketing.ru/Card/Person/6558293", "ООО ""ВИВО МАРКЕТ""")</f>
        <v>ООО "ВИВО МАРКЕТ"</v>
      </c>
      <c r="K11387" s="24" t="s">
        <v>14440</v>
      </c>
      <c r="L11387" s="28" t="s">
        <v>51</v>
      </c>
      <c r="M11387" s="25">
        <v>10316512.6</v>
      </c>
      <c r="N11387" s="27">
        <v>0</v>
      </c>
    </row>
    <row r="11388" spans="1:14" x14ac:dyDescent="0.15">
      <c r="A11388" s="23" t="str">
        <f>HYPERLINK("https://www.spark-marketing.ru/Card/Person/998232", "МБОУ ""СШ № 32 ИМ. С.А. ЛАВОЧКИНА""")</f>
        <v>МБОУ "СШ № 32 ИМ. С.А. ЛАВОЧКИНА"</v>
      </c>
      <c r="B11388" s="24" t="s">
        <v>15836</v>
      </c>
      <c r="C11388" s="25">
        <v>715890</v>
      </c>
      <c r="D11388" s="22" t="s">
        <v>15837</v>
      </c>
      <c r="E11388" s="22" t="s">
        <v>48</v>
      </c>
      <c r="F11388" s="23" t="str">
        <f>HYPERLINK("https://www.spark-marketing.ru/Card/Lot/72257801", "Оказание услуг по организации горячего питания и обеспечению горячим питанием учащихся МБОУ «СШ № 32 им. СА. Лавочкина»")</f>
        <v>Оказание услуг по организации горячего питания и обеспечению горячим питанием учащихся МБОУ «СШ № 32 им. СА. Лавочкина»</v>
      </c>
      <c r="G11388" s="22" t="s">
        <v>460</v>
      </c>
      <c r="H11388" s="22" t="s">
        <v>461</v>
      </c>
      <c r="I11388" s="26">
        <v>43668.725636574098</v>
      </c>
      <c r="J11388" s="23" t="str">
        <f>HYPERLINK("https://www.spark-marketing.ru/Card/Person/836702", "МУП ""КСП""")</f>
        <v>МУП "КСП"</v>
      </c>
      <c r="K11388" s="24" t="s">
        <v>6532</v>
      </c>
      <c r="L11388" s="22" t="s">
        <v>10</v>
      </c>
      <c r="M11388" s="28" t="s">
        <v>51</v>
      </c>
      <c r="N11388" s="28" t="s">
        <v>51</v>
      </c>
    </row>
    <row r="11389" spans="1:14" x14ac:dyDescent="0.2">
      <c r="A11389" s="23" t="str">
        <f>HYPERLINK("https://www.spark-marketing.ru/Card/Person/137653", "ГКОУ ""ВОЛГОГРАДСКАЯ ШКОЛА-ИНТЕРНАТ № 4""")</f>
        <v>ГКОУ "ВОЛГОГРАДСКАЯ ШКОЛА-ИНТЕРНАТ № 4"</v>
      </c>
      <c r="B11389" s="24" t="s">
        <v>15838</v>
      </c>
      <c r="C11389" s="25">
        <v>20710834.649999999</v>
      </c>
      <c r="D11389" s="22" t="s">
        <v>15839</v>
      </c>
      <c r="E11389" s="22" t="s">
        <v>48</v>
      </c>
      <c r="F11389" s="23" t="str">
        <f>HYPERLINK("https://www.spark-marketing.ru/Card/Lot/72257044", "Оказание услуг по обеспечению питанием")</f>
        <v>Оказание услуг по обеспечению питанием</v>
      </c>
      <c r="G11389" s="22" t="s">
        <v>158</v>
      </c>
      <c r="H11389" s="22" t="s">
        <v>171</v>
      </c>
      <c r="I11389" s="26">
        <v>43668.725694444402</v>
      </c>
      <c r="J11389" s="23" t="str">
        <f>HYPERLINK("https://www.spark-marketing.ru/Card/Person/89292", "ООО ""СЛАВИА""")</f>
        <v>ООО "СЛАВИА"</v>
      </c>
      <c r="K11389" s="24" t="s">
        <v>13822</v>
      </c>
      <c r="L11389" s="28" t="s">
        <v>51</v>
      </c>
      <c r="M11389" s="25">
        <v>20710834.649999999</v>
      </c>
      <c r="N11389" s="27">
        <v>0</v>
      </c>
    </row>
    <row r="11390" spans="1:14" x14ac:dyDescent="0.15">
      <c r="A11390" s="23" t="str">
        <f>HYPERLINK("https://www.spark-marketing.ru/Card/Person/25413", "ФГКУ ""СЗРПСО МЧС РОССИИ""")</f>
        <v>ФГКУ "СЗРПСО МЧС РОССИИ"</v>
      </c>
      <c r="B11390" s="24" t="s">
        <v>10257</v>
      </c>
      <c r="C11390" s="25">
        <v>554040</v>
      </c>
      <c r="D11390" s="22" t="s">
        <v>15840</v>
      </c>
      <c r="E11390" s="22" t="s">
        <v>48</v>
      </c>
      <c r="F11390" s="23" t="str">
        <f>HYPERLINK("https://www.spark-marketing.ru/Card/Lot/72257493", "Оказание услуг по организации горячего питания сотрудников Архангельского АКАСЦ")</f>
        <v>Оказание услуг по организации горячего питания сотрудников Архангельского АКАСЦ</v>
      </c>
      <c r="G11390" s="22" t="s">
        <v>214</v>
      </c>
      <c r="H11390" s="22" t="s">
        <v>214</v>
      </c>
      <c r="I11390" s="26">
        <v>43668.710335648102</v>
      </c>
      <c r="J11390" s="23" t="str">
        <f>HYPERLINK("https://www.spark-marketing.ru/Card/Person/6512169", "ООО ""ФАБРИКА ВКУСНОЙ ЕДЫ""")</f>
        <v>ООО "ФАБРИКА ВКУСНОЙ ЕДЫ"</v>
      </c>
      <c r="K11390" s="24" t="s">
        <v>15841</v>
      </c>
      <c r="L11390" s="22" t="s">
        <v>10</v>
      </c>
      <c r="M11390" s="28" t="s">
        <v>51</v>
      </c>
      <c r="N11390" s="28" t="s">
        <v>51</v>
      </c>
    </row>
    <row r="11391" spans="1:14" x14ac:dyDescent="0.15">
      <c r="A11391" s="23" t="str">
        <f>HYPERLINK("https://www.spark-marketing.ru/Card/Person/108009", "ГОСУДАРСТВЕННАЯ ЖИЛИЩНАЯ ИНСПЕКЦИЯ ПО ОРЕНБУРГСКОЙ ОБЛАСТИ")</f>
        <v>ГОСУДАРСТВЕННАЯ ЖИЛИЩНАЯ ИНСПЕКЦИЯ ПО ОРЕНБУРГСКОЙ ОБЛАСТИ</v>
      </c>
      <c r="B11391" s="24" t="s">
        <v>13111</v>
      </c>
      <c r="C11391" s="25">
        <v>603300</v>
      </c>
      <c r="D11391" s="22" t="s">
        <v>15842</v>
      </c>
      <c r="E11391" s="22" t="s">
        <v>809</v>
      </c>
      <c r="F11391" s="23" t="str">
        <f>HYPERLINK("https://www.spark-marketing.ru/Card/Lot/72253822", "на поставку оргтехники")</f>
        <v>на поставку оргтехники</v>
      </c>
      <c r="G11391" s="22" t="s">
        <v>132</v>
      </c>
      <c r="H11391" s="22" t="s">
        <v>587</v>
      </c>
      <c r="I11391" s="26">
        <v>43668.728587963</v>
      </c>
      <c r="J11391" s="28" t="s">
        <v>51</v>
      </c>
      <c r="K11391" s="28" t="s">
        <v>51</v>
      </c>
      <c r="L11391" s="28" t="s">
        <v>51</v>
      </c>
      <c r="M11391" s="28" t="s">
        <v>51</v>
      </c>
      <c r="N11391" s="28" t="s">
        <v>51</v>
      </c>
    </row>
    <row r="11392" spans="1:14" hidden="1" outlineLevel="1" x14ac:dyDescent="0.2">
      <c r="A11392" s="23" t="str">
        <f>HYPERLINK("https://www.spark-marketing.ru/Card/Person/108009", "ГОСУДАРСТВЕННАЯ ЖИЛИЩНАЯ ИНСПЕКЦИЯ ПО ОРЕНБУРГСКОЙ ОБЛАСТИ")</f>
        <v>ГОСУДАРСТВЕННАЯ ЖИЛИЩНАЯ ИНСПЕКЦИЯ ПО ОРЕНБУРГСКОЙ ОБЛАСТИ</v>
      </c>
      <c r="B11392" s="24" t="s">
        <v>13111</v>
      </c>
      <c r="C11392" s="25">
        <v>603300</v>
      </c>
      <c r="D11392" s="22" t="s">
        <v>15842</v>
      </c>
      <c r="E11392" s="22" t="s">
        <v>809</v>
      </c>
      <c r="F11392" s="23" t="str">
        <f>HYPERLINK("https://www.spark-marketing.ru/Card/Lot/72253822", "на поставку оргтехники")</f>
        <v>на поставку оргтехники</v>
      </c>
      <c r="G11392" s="22" t="s">
        <v>132</v>
      </c>
      <c r="H11392" s="22" t="s">
        <v>587</v>
      </c>
      <c r="I11392" s="26">
        <v>43668.728587963</v>
      </c>
      <c r="J11392" s="23" t="str">
        <f>HYPERLINK("https://www.spark-marketing.ru/Card/Person/274165", "ООО ""ЭКСТРА ГРУПП""")</f>
        <v>ООО "ЭКСТРА ГРУПП"</v>
      </c>
      <c r="K11392" s="24" t="s">
        <v>7387</v>
      </c>
      <c r="L11392" s="28" t="s">
        <v>51</v>
      </c>
      <c r="M11392" s="25">
        <v>521417</v>
      </c>
      <c r="N11392" s="27">
        <v>0.13572517818664015</v>
      </c>
    </row>
    <row r="11393" spans="1:14" ht="12.75" hidden="1" outlineLevel="1" x14ac:dyDescent="0.2">
      <c r="A11393" s="23" t="str">
        <f>HYPERLINK("https://www.spark-marketing.ru/Card/Person/108009", "ГОСУДАРСТВЕННАЯ ЖИЛИЩНАЯ ИНСПЕКЦИЯ ПО ОРЕНБУРГСКОЙ ОБЛАСТИ")</f>
        <v>ГОСУДАРСТВЕННАЯ ЖИЛИЩНАЯ ИНСПЕКЦИЯ ПО ОРЕНБУРГСКОЙ ОБЛАСТИ</v>
      </c>
      <c r="B11393" s="24" t="s">
        <v>13111</v>
      </c>
      <c r="C11393" s="25">
        <v>603300</v>
      </c>
      <c r="D11393" s="22" t="s">
        <v>15842</v>
      </c>
      <c r="E11393" s="22" t="s">
        <v>809</v>
      </c>
      <c r="F11393" s="23" t="str">
        <f>HYPERLINK("https://www.spark-marketing.ru/Card/Lot/72253822", "на поставку оргтехники")</f>
        <v>на поставку оргтехники</v>
      </c>
      <c r="G11393" s="22" t="s">
        <v>132</v>
      </c>
      <c r="H11393" s="22" t="s">
        <v>587</v>
      </c>
      <c r="I11393" s="26">
        <v>43668.728587963</v>
      </c>
      <c r="J11393" s="23" t="str">
        <f>HYPERLINK("https://www.spark-marketing.ru/Card/Person/6678749", "ООО ""СТАЙЛ-МАРКЕТ""")</f>
        <v>ООО "СТАЙЛ-МАРКЕТ"</v>
      </c>
      <c r="K11393" s="24" t="s">
        <v>15843</v>
      </c>
      <c r="L11393" s="22" t="s">
        <v>10</v>
      </c>
      <c r="M11393" s="25">
        <v>518400</v>
      </c>
      <c r="N11393" s="27">
        <v>0.14072600696171059</v>
      </c>
    </row>
    <row r="11394" spans="1:14" hidden="1" outlineLevel="1" x14ac:dyDescent="0.2">
      <c r="A11394" s="23" t="str">
        <f>HYPERLINK("https://www.spark-marketing.ru/Card/Person/108009", "ГОСУДАРСТВЕННАЯ ЖИЛИЩНАЯ ИНСПЕКЦИЯ ПО ОРЕНБУРГСКОЙ ОБЛАСТИ")</f>
        <v>ГОСУДАРСТВЕННАЯ ЖИЛИЩНАЯ ИНСПЕКЦИЯ ПО ОРЕНБУРГСКОЙ ОБЛАСТИ</v>
      </c>
      <c r="B11394" s="24" t="s">
        <v>13111</v>
      </c>
      <c r="C11394" s="25">
        <v>603300</v>
      </c>
      <c r="D11394" s="22" t="s">
        <v>15842</v>
      </c>
      <c r="E11394" s="22" t="s">
        <v>809</v>
      </c>
      <c r="F11394" s="23" t="str">
        <f>HYPERLINK("https://www.spark-marketing.ru/Card/Lot/72253822", "на поставку оргтехники")</f>
        <v>на поставку оргтехники</v>
      </c>
      <c r="G11394" s="22" t="s">
        <v>132</v>
      </c>
      <c r="H11394" s="22" t="s">
        <v>587</v>
      </c>
      <c r="I11394" s="26">
        <v>43668.728587963</v>
      </c>
      <c r="J11394" s="23" t="str">
        <f>HYPERLINK("https://www.spark-marketing.ru/Card/Person/117844", "ООО ""БСГ""")</f>
        <v>ООО "БСГ"</v>
      </c>
      <c r="K11394" s="24" t="s">
        <v>4855</v>
      </c>
      <c r="L11394" s="28" t="s">
        <v>51</v>
      </c>
      <c r="M11394" s="25">
        <v>530467.5</v>
      </c>
      <c r="N11394" s="27">
        <v>0.12072352063649926</v>
      </c>
    </row>
    <row r="11395" spans="1:14" x14ac:dyDescent="0.15">
      <c r="A11395" s="23" t="s">
        <v>114</v>
      </c>
      <c r="B11395" s="28" t="s">
        <v>51</v>
      </c>
      <c r="C11395" s="25">
        <v>6846855</v>
      </c>
      <c r="D11395" s="22" t="s">
        <v>15844</v>
      </c>
      <c r="E11395" s="22" t="s">
        <v>48</v>
      </c>
      <c r="F11395" s="23" t="str">
        <f>HYPERLINK("https://www.spark-marketing.ru/Card/Lot/72265363",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1395" s="22" t="s">
        <v>51</v>
      </c>
      <c r="H11395" s="22" t="s">
        <v>51</v>
      </c>
      <c r="I11395" s="26">
        <v>43668.743969907402</v>
      </c>
      <c r="J11395" s="23" t="str">
        <f>HYPERLINK("https://www.spark-marketing.ru/Card/Person/6675587", "Сотрудников Иван Спартакович")</f>
        <v>Сотрудников Иван Спартакович</v>
      </c>
      <c r="K11395" s="24" t="s">
        <v>4481</v>
      </c>
      <c r="L11395" s="22" t="s">
        <v>10</v>
      </c>
      <c r="M11395" s="28" t="s">
        <v>51</v>
      </c>
      <c r="N11395" s="28" t="s">
        <v>51</v>
      </c>
    </row>
    <row r="11396" spans="1:14" hidden="1" outlineLevel="1" x14ac:dyDescent="0.15">
      <c r="A11396" s="23" t="str">
        <f>HYPERLINK("https://www.spark-marketing.ru/Card/Person/816790", "МБДОУ ""ДЕТСКИЙ САД №3 ""ГЕОЛОГ""")</f>
        <v>МБДОУ "ДЕТСКИЙ САД №3 "ГЕОЛОГ"</v>
      </c>
      <c r="B11396" s="24" t="s">
        <v>15845</v>
      </c>
      <c r="C11396" s="25">
        <v>1283222.8899999999</v>
      </c>
      <c r="D11396" s="22" t="s">
        <v>15844</v>
      </c>
      <c r="E11396" s="22" t="s">
        <v>48</v>
      </c>
      <c r="F11396" s="23" t="str">
        <f>HYPERLINK("https://www.spark-marketing.ru/Card/Lot/72265363",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1396" s="22" t="s">
        <v>241</v>
      </c>
      <c r="H11396" s="22" t="s">
        <v>4480</v>
      </c>
      <c r="I11396" s="26">
        <v>43668.743969907402</v>
      </c>
      <c r="J11396" s="23" t="str">
        <f>HYPERLINK("https://www.spark-marketing.ru/Card/Person/6675587", "Сотрудников Иван Спартакович")</f>
        <v>Сотрудников Иван Спартакович</v>
      </c>
      <c r="K11396" s="24" t="s">
        <v>4481</v>
      </c>
      <c r="L11396" s="22" t="s">
        <v>10</v>
      </c>
      <c r="M11396" s="28" t="s">
        <v>51</v>
      </c>
      <c r="N11396" s="28" t="s">
        <v>51</v>
      </c>
    </row>
    <row r="11397" spans="1:14" hidden="1" outlineLevel="1" x14ac:dyDescent="0.15">
      <c r="A11397" s="23" t="str">
        <f>HYPERLINK("https://www.spark-marketing.ru/Card/Person/830694", "МБДОУ ""ДЕТСКИЙ САД № 1 ""СКАЗКА""")</f>
        <v>МБДОУ "ДЕТСКИЙ САД № 1 "СКАЗКА"</v>
      </c>
      <c r="B11397" s="24" t="s">
        <v>15846</v>
      </c>
      <c r="C11397" s="25">
        <v>2400868.63</v>
      </c>
      <c r="D11397" s="22" t="s">
        <v>15844</v>
      </c>
      <c r="E11397" s="22" t="s">
        <v>48</v>
      </c>
      <c r="F11397" s="23" t="str">
        <f>HYPERLINK("https://www.spark-marketing.ru/Card/Lot/72265363",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1397" s="22" t="s">
        <v>241</v>
      </c>
      <c r="H11397" s="22" t="s">
        <v>4480</v>
      </c>
      <c r="I11397" s="26">
        <v>43668.743969907402</v>
      </c>
      <c r="J11397" s="23" t="str">
        <f>HYPERLINK("https://www.spark-marketing.ru/Card/Person/6675587", "Сотрудников Иван Спартакович")</f>
        <v>Сотрудников Иван Спартакович</v>
      </c>
      <c r="K11397" s="24" t="s">
        <v>4481</v>
      </c>
      <c r="L11397" s="22" t="s">
        <v>10</v>
      </c>
      <c r="M11397" s="28" t="s">
        <v>51</v>
      </c>
      <c r="N11397" s="28" t="s">
        <v>51</v>
      </c>
    </row>
    <row r="11398" spans="1:14" hidden="1" outlineLevel="1" x14ac:dyDescent="0.15">
      <c r="A11398" s="23" t="str">
        <f>HYPERLINK("https://www.spark-marketing.ru/Card/Person/832449", "МБДОУ ""ДЕТСКИЙ САД №2 ""СВЕТЛЯЧОК""")</f>
        <v>МБДОУ "ДЕТСКИЙ САД №2 "СВЕТЛЯЧОК"</v>
      </c>
      <c r="B11398" s="24" t="s">
        <v>15847</v>
      </c>
      <c r="C11398" s="25">
        <v>1986925.77</v>
      </c>
      <c r="D11398" s="22" t="s">
        <v>15844</v>
      </c>
      <c r="E11398" s="22" t="s">
        <v>48</v>
      </c>
      <c r="F11398" s="23" t="str">
        <f>HYPERLINK("https://www.spark-marketing.ru/Card/Lot/72265363",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1398" s="22" t="s">
        <v>241</v>
      </c>
      <c r="H11398" s="22" t="s">
        <v>4480</v>
      </c>
      <c r="I11398" s="26">
        <v>43668.743969907402</v>
      </c>
      <c r="J11398" s="23" t="str">
        <f>HYPERLINK("https://www.spark-marketing.ru/Card/Person/6675587", "Сотрудников Иван Спартакович")</f>
        <v>Сотрудников Иван Спартакович</v>
      </c>
      <c r="K11398" s="24" t="s">
        <v>4481</v>
      </c>
      <c r="L11398" s="22" t="s">
        <v>10</v>
      </c>
      <c r="M11398" s="28" t="s">
        <v>51</v>
      </c>
      <c r="N11398" s="28" t="s">
        <v>51</v>
      </c>
    </row>
    <row r="11399" spans="1:14" hidden="1" outlineLevel="1" x14ac:dyDescent="0.15">
      <c r="A11399" s="23" t="str">
        <f>HYPERLINK("https://www.spark-marketing.ru/Card/Person/834049", "МБДОУ ""ДЕТСКИЙ САД №4 ""ЧЕРЕМУШКИ""")</f>
        <v>МБДОУ "ДЕТСКИЙ САД №4 "ЧЕРЕМУШКИ"</v>
      </c>
      <c r="B11399" s="24" t="s">
        <v>4478</v>
      </c>
      <c r="C11399" s="25">
        <v>1175837.71</v>
      </c>
      <c r="D11399" s="22" t="s">
        <v>15844</v>
      </c>
      <c r="E11399" s="22" t="s">
        <v>48</v>
      </c>
      <c r="F11399" s="23" t="str">
        <f>HYPERLINK("https://www.spark-marketing.ru/Card/Lot/72265363",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1399" s="22" t="s">
        <v>241</v>
      </c>
      <c r="H11399" s="22" t="s">
        <v>4480</v>
      </c>
      <c r="I11399" s="26">
        <v>43668.743969907402</v>
      </c>
      <c r="J11399" s="23" t="str">
        <f>HYPERLINK("https://www.spark-marketing.ru/Card/Person/6675587", "Сотрудников Иван Спартакович")</f>
        <v>Сотрудников Иван Спартакович</v>
      </c>
      <c r="K11399" s="24" t="s">
        <v>4481</v>
      </c>
      <c r="L11399" s="22" t="s">
        <v>10</v>
      </c>
      <c r="M11399" s="28" t="s">
        <v>51</v>
      </c>
      <c r="N11399" s="28" t="s">
        <v>51</v>
      </c>
    </row>
    <row r="11400" spans="1:14" x14ac:dyDescent="0.2">
      <c r="A11400" s="23" t="str">
        <f>HYPERLINK("https://www.spark-marketing.ru/Card/Person/995807", "ГКОУ ""ВОЛЖСКАЯ ШКОЛА № 2""")</f>
        <v>ГКОУ "ВОЛЖСКАЯ ШКОЛА № 2"</v>
      </c>
      <c r="B11400" s="24" t="s">
        <v>15848</v>
      </c>
      <c r="C11400" s="25">
        <v>7989648.5499999998</v>
      </c>
      <c r="D11400" s="22" t="s">
        <v>15849</v>
      </c>
      <c r="E11400" s="22" t="s">
        <v>48</v>
      </c>
      <c r="F11400" s="23" t="str">
        <f>HYPERLINK("https://www.spark-marketing.ru/Card/Lot/72257032", "Оказание услуг по обеспечению питанием")</f>
        <v>Оказание услуг по обеспечению питанием</v>
      </c>
      <c r="G11400" s="22" t="s">
        <v>158</v>
      </c>
      <c r="H11400" s="22" t="s">
        <v>1380</v>
      </c>
      <c r="I11400" s="26">
        <v>43668.723611111098</v>
      </c>
      <c r="J11400" s="23" t="str">
        <f>HYPERLINK("https://www.spark-marketing.ru/Card/Person/6558293", "ООО ""ВИВО МАРКЕТ""")</f>
        <v>ООО "ВИВО МАРКЕТ"</v>
      </c>
      <c r="K11400" s="24" t="s">
        <v>14440</v>
      </c>
      <c r="L11400" s="28" t="s">
        <v>51</v>
      </c>
      <c r="M11400" s="25">
        <v>7989648.5499999998</v>
      </c>
      <c r="N11400" s="27">
        <v>0</v>
      </c>
    </row>
    <row r="11401" spans="1:14" x14ac:dyDescent="0.15">
      <c r="A11401" s="23" t="str">
        <f>HYPERLINK("https://www.spark-marketing.ru/Card/Person/78626", "ГБУЗ ""ЮЖНО-САХАЛИНСКАЯ ДГП""")</f>
        <v>ГБУЗ "ЮЖНО-САХАЛИНСКАЯ ДГП"</v>
      </c>
      <c r="B11401" s="24" t="s">
        <v>12797</v>
      </c>
      <c r="C11401" s="25">
        <v>201546.91</v>
      </c>
      <c r="D11401" s="22" t="s">
        <v>15850</v>
      </c>
      <c r="E11401" s="22" t="s">
        <v>603</v>
      </c>
      <c r="F11401" s="23" t="str">
        <f>HYPERLINK("https://www.spark-marketing.ru/Card/Lot/72240801", "Оказание услуг по поверке средств измерения медицинского назначения")</f>
        <v>Оказание услуг по поверке средств измерения медицинского назначения</v>
      </c>
      <c r="G11401" s="22" t="s">
        <v>260</v>
      </c>
      <c r="H11401" s="22" t="s">
        <v>804</v>
      </c>
      <c r="I11401" s="26">
        <v>43668.713136574101</v>
      </c>
      <c r="J11401" s="28" t="s">
        <v>51</v>
      </c>
      <c r="K11401" s="28" t="s">
        <v>51</v>
      </c>
      <c r="L11401" s="28" t="s">
        <v>51</v>
      </c>
      <c r="M11401" s="28" t="s">
        <v>51</v>
      </c>
      <c r="N11401" s="28" t="s">
        <v>51</v>
      </c>
    </row>
    <row r="11402" spans="1:14" x14ac:dyDescent="0.15">
      <c r="A11402" s="23" t="str">
        <f>HYPERLINK("https://www.spark-marketing.ru/Card/Person/744", "МИНЗДРАВ ОРЕНБУРГСКОЙ ОБЛАСТИ")</f>
        <v>МИНЗДРАВ ОРЕНБУРГСКОЙ ОБЛАСТИ</v>
      </c>
      <c r="B11402" s="24" t="s">
        <v>15851</v>
      </c>
      <c r="C11402" s="25">
        <v>468608.5</v>
      </c>
      <c r="D11402" s="22" t="s">
        <v>15852</v>
      </c>
      <c r="E11402" s="22" t="s">
        <v>809</v>
      </c>
      <c r="F11402" s="23" t="str">
        <f>HYPERLINK("https://www.spark-marketing.ru/Card/Lot/72266258", "на поставку автоматизированного рабочего места")</f>
        <v>на поставку автоматизированного рабочего места</v>
      </c>
      <c r="G11402" s="22" t="s">
        <v>132</v>
      </c>
      <c r="H11402" s="22" t="s">
        <v>587</v>
      </c>
      <c r="I11402" s="26">
        <v>43668.737777777802</v>
      </c>
      <c r="J11402" s="28" t="s">
        <v>51</v>
      </c>
      <c r="K11402" s="28" t="s">
        <v>51</v>
      </c>
      <c r="L11402" s="28" t="s">
        <v>51</v>
      </c>
      <c r="M11402" s="28" t="s">
        <v>51</v>
      </c>
      <c r="N11402" s="28" t="s">
        <v>51</v>
      </c>
    </row>
    <row r="11403" spans="1:14" ht="12.75" hidden="1" outlineLevel="1" x14ac:dyDescent="0.2">
      <c r="A11403" s="23" t="str">
        <f>HYPERLINK("https://www.spark-marketing.ru/Card/Person/744", "МИНЗДРАВ ОРЕНБУРГСКОЙ ОБЛАСТИ")</f>
        <v>МИНЗДРАВ ОРЕНБУРГСКОЙ ОБЛАСТИ</v>
      </c>
      <c r="B11403" s="24" t="s">
        <v>15851</v>
      </c>
      <c r="C11403" s="25">
        <v>468608.5</v>
      </c>
      <c r="D11403" s="22" t="s">
        <v>15852</v>
      </c>
      <c r="E11403" s="22" t="s">
        <v>809</v>
      </c>
      <c r="F11403" s="23" t="str">
        <f>HYPERLINK("https://www.spark-marketing.ru/Card/Lot/72266258", "на поставку автоматизированного рабочего места")</f>
        <v>на поставку автоматизированного рабочего места</v>
      </c>
      <c r="G11403" s="22" t="s">
        <v>132</v>
      </c>
      <c r="H11403" s="22" t="s">
        <v>587</v>
      </c>
      <c r="I11403" s="26">
        <v>43668.737777777802</v>
      </c>
      <c r="J11403" s="23" t="str">
        <f>HYPERLINK("https://www.spark-marketing.ru/Card/Person/4879297", "ООО ""СТРУКТУРА МОМЕНТА""")</f>
        <v>ООО "СТРУКТУРА МОМЕНТА"</v>
      </c>
      <c r="K11403" s="24" t="s">
        <v>1783</v>
      </c>
      <c r="L11403" s="22" t="s">
        <v>10</v>
      </c>
      <c r="M11403" s="25">
        <v>381899.96</v>
      </c>
      <c r="N11403" s="27">
        <v>0.18503407428589111</v>
      </c>
    </row>
    <row r="11404" spans="1:14" hidden="1" outlineLevel="1" x14ac:dyDescent="0.2">
      <c r="A11404" s="23" t="str">
        <f>HYPERLINK("https://www.spark-marketing.ru/Card/Person/744", "МИНЗДРАВ ОРЕНБУРГСКОЙ ОБЛАСТИ")</f>
        <v>МИНЗДРАВ ОРЕНБУРГСКОЙ ОБЛАСТИ</v>
      </c>
      <c r="B11404" s="24" t="s">
        <v>15851</v>
      </c>
      <c r="C11404" s="25">
        <v>468608.5</v>
      </c>
      <c r="D11404" s="22" t="s">
        <v>15852</v>
      </c>
      <c r="E11404" s="22" t="s">
        <v>809</v>
      </c>
      <c r="F11404" s="23" t="str">
        <f>HYPERLINK("https://www.spark-marketing.ru/Card/Lot/72266258", "на поставку автоматизированного рабочего места")</f>
        <v>на поставку автоматизированного рабочего места</v>
      </c>
      <c r="G11404" s="22" t="s">
        <v>132</v>
      </c>
      <c r="H11404" s="22" t="s">
        <v>587</v>
      </c>
      <c r="I11404" s="26">
        <v>43668.737777777802</v>
      </c>
      <c r="J11404" s="23" t="str">
        <f>HYPERLINK("https://www.spark-marketing.ru/Card/Person/390597", "ООО ""КОМПЛЕКС-СНАСТ""")</f>
        <v>ООО "КОМПЛЕКС-СНАСТ"</v>
      </c>
      <c r="K11404" s="24" t="s">
        <v>10667</v>
      </c>
      <c r="L11404" s="28" t="s">
        <v>51</v>
      </c>
      <c r="M11404" s="25">
        <v>384243</v>
      </c>
      <c r="N11404" s="27">
        <v>0.18003407962083487</v>
      </c>
    </row>
    <row r="11405" spans="1:14" x14ac:dyDescent="0.15">
      <c r="A11405" s="23" t="str">
        <f>HYPERLINK("https://www.spark-marketing.ru/Card/Person/254778", "ГОУ РК ""С(К)Ш № 40"" Г. СЫКТЫВКАРА")</f>
        <v>ГОУ РК "С(К)Ш № 40" Г. СЫКТЫВКАРА</v>
      </c>
      <c r="B11405" s="24" t="s">
        <v>15853</v>
      </c>
      <c r="C11405" s="25">
        <v>1929408</v>
      </c>
      <c r="D11405" s="22" t="s">
        <v>15854</v>
      </c>
      <c r="E11405" s="22" t="s">
        <v>48</v>
      </c>
      <c r="F11405" s="23" t="str">
        <f>HYPERLINK("https://www.spark-marketing.ru/Card/Lot/72257852", "Оказание услуг по организации питания обучающихся государственного общеобразовательного учреждения Республики Коми «Специальная (коррекционная) школа № 40» г. Сыктывкара в течение III, IV  квартала 2019 года.")</f>
        <v>Оказание услуг по организации питания обучающихся государственного общеобразовательного учреждения Республики Коми «Специальная (коррекционная) школа № 40» г. Сыктывкара в течение III, IV  квартала 2019 года.</v>
      </c>
      <c r="G11405" s="22" t="s">
        <v>271</v>
      </c>
      <c r="H11405" s="22" t="s">
        <v>271</v>
      </c>
      <c r="I11405" s="26">
        <v>43668.741030092599</v>
      </c>
      <c r="J11405" s="23" t="str">
        <f>HYPERLINK("https://www.spark-marketing.ru/Card/Person/277429", "ООО "" ОБЩЕПИТ - К """)</f>
        <v>ООО " ОБЩЕПИТ - К "</v>
      </c>
      <c r="K11405" s="24" t="s">
        <v>13189</v>
      </c>
      <c r="L11405" s="22" t="s">
        <v>10</v>
      </c>
      <c r="M11405" s="28" t="s">
        <v>51</v>
      </c>
      <c r="N11405" s="28" t="s">
        <v>51</v>
      </c>
    </row>
    <row r="11406" spans="1:14" x14ac:dyDescent="0.15">
      <c r="A11406" s="23" t="str">
        <f>HYPERLINK("https://www.spark-marketing.ru/Card/Person/6218321", "ГБУЗ КО ОККВД")</f>
        <v>ГБУЗ КО ОККВД</v>
      </c>
      <c r="B11406" s="24" t="s">
        <v>3874</v>
      </c>
      <c r="C11406" s="25">
        <v>348000</v>
      </c>
      <c r="D11406" s="22" t="s">
        <v>15855</v>
      </c>
      <c r="E11406" s="22" t="s">
        <v>48</v>
      </c>
      <c r="F11406" s="23" t="str">
        <f>HYPERLINK("https://www.spark-marketing.ru/Card/Lot/72265649", "Оказание услуг по обеспечению готовым горячим питанием ГБУЗ КО ОККВД")</f>
        <v>Оказание услуг по обеспечению готовым горячим питанием ГБУЗ КО ОККВД</v>
      </c>
      <c r="G11406" s="22" t="s">
        <v>304</v>
      </c>
      <c r="H11406" s="22" t="s">
        <v>1154</v>
      </c>
      <c r="I11406" s="26">
        <v>43668.746412036999</v>
      </c>
      <c r="J11406" s="28" t="s">
        <v>51</v>
      </c>
      <c r="K11406" s="28" t="s">
        <v>51</v>
      </c>
      <c r="L11406" s="28" t="s">
        <v>51</v>
      </c>
      <c r="M11406" s="28" t="s">
        <v>51</v>
      </c>
      <c r="N11406" s="28" t="s">
        <v>51</v>
      </c>
    </row>
    <row r="11407" spans="1:14" ht="12.75" hidden="1" outlineLevel="1" x14ac:dyDescent="0.2">
      <c r="A11407" s="23" t="str">
        <f>HYPERLINK("https://www.spark-marketing.ru/Card/Person/6218321", "ГБУЗ КО ОККВД")</f>
        <v>ГБУЗ КО ОККВД</v>
      </c>
      <c r="B11407" s="24" t="s">
        <v>3874</v>
      </c>
      <c r="C11407" s="25">
        <v>348000</v>
      </c>
      <c r="D11407" s="22" t="s">
        <v>15855</v>
      </c>
      <c r="E11407" s="22" t="s">
        <v>48</v>
      </c>
      <c r="F11407" s="23" t="str">
        <f>HYPERLINK("https://www.spark-marketing.ru/Card/Lot/72265649", "Оказание услуг по обеспечению готовым горячим питанием ГБУЗ КО ОККВД")</f>
        <v>Оказание услуг по обеспечению готовым горячим питанием ГБУЗ КО ОККВД</v>
      </c>
      <c r="G11407" s="22" t="s">
        <v>304</v>
      </c>
      <c r="H11407" s="22" t="s">
        <v>1154</v>
      </c>
      <c r="I11407" s="26">
        <v>43668.746412036999</v>
      </c>
      <c r="J11407" s="23" t="str">
        <f>HYPERLINK("https://www.spark-marketing.ru/Card/Person/6679154", "Шаина Людмила Васильевна")</f>
        <v>Шаина Людмила Васильевна</v>
      </c>
      <c r="K11407" s="24" t="s">
        <v>15856</v>
      </c>
      <c r="L11407" s="22" t="s">
        <v>10</v>
      </c>
      <c r="M11407" s="25">
        <v>342780</v>
      </c>
      <c r="N11407" s="27">
        <v>1.4999999999999999E-2</v>
      </c>
    </row>
    <row r="11408" spans="1:14" hidden="1" outlineLevel="1" x14ac:dyDescent="0.2">
      <c r="A11408" s="23" t="str">
        <f>HYPERLINK("https://www.spark-marketing.ru/Card/Person/6218321", "ГБУЗ КО ОККВД")</f>
        <v>ГБУЗ КО ОККВД</v>
      </c>
      <c r="B11408" s="24" t="s">
        <v>3874</v>
      </c>
      <c r="C11408" s="25">
        <v>348000</v>
      </c>
      <c r="D11408" s="22" t="s">
        <v>15855</v>
      </c>
      <c r="E11408" s="22" t="s">
        <v>48</v>
      </c>
      <c r="F11408" s="23" t="str">
        <f>HYPERLINK("https://www.spark-marketing.ru/Card/Lot/72265649", "Оказание услуг по обеспечению готовым горячим питанием ГБУЗ КО ОККВД")</f>
        <v>Оказание услуг по обеспечению готовым горячим питанием ГБУЗ КО ОККВД</v>
      </c>
      <c r="G11408" s="22" t="s">
        <v>304</v>
      </c>
      <c r="H11408" s="22" t="s">
        <v>1154</v>
      </c>
      <c r="I11408" s="26">
        <v>43668.746412036999</v>
      </c>
      <c r="J11408" s="23" t="str">
        <f>HYPERLINK("https://www.spark-marketing.ru/Card/Person/64907", "ГБУЗ КО ЮРБ")</f>
        <v>ГБУЗ КО ЮРБ</v>
      </c>
      <c r="K11408" s="24" t="s">
        <v>3898</v>
      </c>
      <c r="L11408" s="28" t="s">
        <v>51</v>
      </c>
      <c r="M11408" s="25">
        <v>342780</v>
      </c>
      <c r="N11408" s="27">
        <v>1.4999999999999999E-2</v>
      </c>
    </row>
    <row r="11409" spans="1:14" x14ac:dyDescent="0.15">
      <c r="A11409" s="23" t="str">
        <f>HYPERLINK("https://www.spark-marketing.ru/Card/Person/15484", "КГБУСО ""АРТЕМОВСКИЙ ДИПИ""")</f>
        <v>КГБУСО "АРТЕМОВСКИЙ ДИПИ"</v>
      </c>
      <c r="B11409" s="24" t="s">
        <v>15857</v>
      </c>
      <c r="C11409" s="25">
        <v>2972875.5</v>
      </c>
      <c r="D11409" s="22" t="s">
        <v>15858</v>
      </c>
      <c r="E11409" s="22" t="s">
        <v>48</v>
      </c>
      <c r="F11409" s="23" t="str">
        <f>HYPERLINK("https://www.spark-marketing.ru/Card/Lot/72265356", "Оказание услуги по организации  питания получателей социальных услуг (далее - услуги) в отделении КГБУСО «Артемовский ДИПИ» по адресу г. Находка, ул. Малиновского, 22")</f>
        <v>Оказание услуги по организации  питания получателей социальных услуг (далее - услуги) в отделении КГБУСО «Артемовский ДИПИ» по адресу г. Находка, ул. Малиновского, 22</v>
      </c>
      <c r="G11409" s="22" t="s">
        <v>543</v>
      </c>
      <c r="H11409" s="22" t="s">
        <v>8888</v>
      </c>
      <c r="I11409" s="26">
        <v>43668.7192013889</v>
      </c>
      <c r="J11409" s="23" t="str">
        <f>HYPERLINK("https://www.spark-marketing.ru/Card/Person/4721513", "ООО ""ТОМЭЙ""")</f>
        <v>ООО "ТОМЭЙ"</v>
      </c>
      <c r="K11409" s="24" t="s">
        <v>15859</v>
      </c>
      <c r="L11409" s="22" t="s">
        <v>10</v>
      </c>
      <c r="M11409" s="28" t="s">
        <v>51</v>
      </c>
      <c r="N11409" s="28" t="s">
        <v>51</v>
      </c>
    </row>
    <row r="11410" spans="1:14" x14ac:dyDescent="0.15">
      <c r="A11410" s="23" t="str">
        <f>HYPERLINK("https://www.spark-marketing.ru/Card/Person/4377070", "МКОУ ""ЯНЕГСКАЯ ШКОЛА""")</f>
        <v>МКОУ "ЯНЕГСКАЯ ШКОЛА"</v>
      </c>
      <c r="B11410" s="24" t="s">
        <v>15860</v>
      </c>
      <c r="C11410" s="25">
        <v>1165464.1299999999</v>
      </c>
      <c r="D11410" s="22" t="s">
        <v>15861</v>
      </c>
      <c r="E11410" s="22" t="s">
        <v>48</v>
      </c>
      <c r="F11410" s="23" t="str">
        <f>HYPERLINK("https://www.spark-marketing.ru/Card/Lot/72258231", "Оказание услуг по организации горячего питания обучающихся в МКОУ ""Янегская школа""")</f>
        <v>Оказание услуг по организации горячего питания обучающихся в МКОУ "Янегская школа"</v>
      </c>
      <c r="G11410" s="22" t="s">
        <v>162</v>
      </c>
      <c r="H11410" s="22" t="s">
        <v>8636</v>
      </c>
      <c r="I11410" s="26">
        <v>43668.723495370403</v>
      </c>
      <c r="J11410" s="23" t="str">
        <f>HYPERLINK("https://www.spark-marketing.ru/Card/Person/66983", "ООО ""ТД МАРС""")</f>
        <v>ООО "ТД МАРС"</v>
      </c>
      <c r="K11410" s="24" t="s">
        <v>8637</v>
      </c>
      <c r="L11410" s="28" t="s">
        <v>51</v>
      </c>
      <c r="M11410" s="28" t="s">
        <v>51</v>
      </c>
      <c r="N11410" s="28" t="s">
        <v>51</v>
      </c>
    </row>
    <row r="11411" spans="1:14" ht="12.75" hidden="1" outlineLevel="1" x14ac:dyDescent="0.2">
      <c r="A11411" s="23" t="str">
        <f>HYPERLINK("https://www.spark-marketing.ru/Card/Person/4377070", "МКОУ ""ЯНЕГСКАЯ ШКОЛА""")</f>
        <v>МКОУ "ЯНЕГСКАЯ ШКОЛА"</v>
      </c>
      <c r="B11411" s="24" t="s">
        <v>15860</v>
      </c>
      <c r="C11411" s="25">
        <v>1165464.1299999999</v>
      </c>
      <c r="D11411" s="22" t="s">
        <v>15861</v>
      </c>
      <c r="E11411" s="22" t="s">
        <v>48</v>
      </c>
      <c r="F11411" s="23" t="str">
        <f>HYPERLINK("https://www.spark-marketing.ru/Card/Lot/72258231", "Оказание услуг по организации горячего питания обучающихся в МКОУ ""Янегская школа""")</f>
        <v>Оказание услуг по организации горячего питания обучающихся в МКОУ "Янегская школа"</v>
      </c>
      <c r="G11411" s="22" t="s">
        <v>162</v>
      </c>
      <c r="H11411" s="22" t="s">
        <v>8636</v>
      </c>
      <c r="I11411" s="26">
        <v>43668.723495370403</v>
      </c>
      <c r="J11411" s="23" t="str">
        <f>HYPERLINK("https://www.spark-marketing.ru/Card/Person/66983", "ООО ""ТД МАРС""")</f>
        <v>ООО "ТД МАРС"</v>
      </c>
      <c r="K11411" s="24" t="s">
        <v>8637</v>
      </c>
      <c r="L11411" s="22" t="s">
        <v>10</v>
      </c>
      <c r="M11411" s="25">
        <v>1159636</v>
      </c>
      <c r="N11411" s="27">
        <v>5.0006944443669833E-3</v>
      </c>
    </row>
    <row r="11412" spans="1:14" x14ac:dyDescent="0.15">
      <c r="A11412" s="23" t="str">
        <f>HYPERLINK("https://www.spark-marketing.ru/Card/Person/149739", "ОТДЕЛ МВД РФ ПО ЗАКАМЕНСКОМУ РАЙОНУ")</f>
        <v>ОТДЕЛ МВД РФ ПО ЗАКАМЕНСКОМУ РАЙОНУ</v>
      </c>
      <c r="B11412" s="24" t="s">
        <v>11387</v>
      </c>
      <c r="C11412" s="25">
        <v>600000</v>
      </c>
      <c r="D11412" s="22" t="s">
        <v>15862</v>
      </c>
      <c r="E11412" s="22" t="s">
        <v>48</v>
      </c>
      <c r="F11412" s="23" t="str">
        <f>HYPERLINK("https://www.spark-marketing.ru/Card/Lot/72265359", "Обеспечение питанием лиц, содержащихся в ИВС")</f>
        <v>Обеспечение питанием лиц, содержащихся в ИВС</v>
      </c>
      <c r="G11412" s="22" t="s">
        <v>433</v>
      </c>
      <c r="H11412" s="22" t="s">
        <v>5082</v>
      </c>
      <c r="I11412" s="26">
        <v>43668.724861111099</v>
      </c>
      <c r="J11412" s="28" t="s">
        <v>51</v>
      </c>
      <c r="K11412" s="28" t="s">
        <v>51</v>
      </c>
      <c r="L11412" s="28" t="s">
        <v>51</v>
      </c>
      <c r="M11412" s="28" t="s">
        <v>51</v>
      </c>
      <c r="N11412" s="28" t="s">
        <v>51</v>
      </c>
    </row>
    <row r="11413" spans="1:14" x14ac:dyDescent="0.15">
      <c r="A11413" s="23" t="str">
        <f>HYPERLINK("https://www.spark-marketing.ru/Card/Person/71047", "ФГБОУ ВО ""ВГУЭС"", ВГУЭС, ВЛАДИВОСТОКСКИЙ ГОСУДАРСТВЕННЫЙ УНИВЕРСИТЕТ ЭКОНОМИКИ И СЕРВИСА, ФГБОУ ВО ""ВЛАДИВОСТОКСКИЙ ГОСУДАРСТВЕННЫЙ УНИВЕРСИТЕТ ЭКОНОМИКИ И СЕРВИСА""")</f>
        <v>ФГБОУ ВО "ВГУЭС", ВГУЭС, ВЛАДИВОСТОКСКИЙ ГОСУДАРСТВЕННЫЙ УНИВЕРСИТЕТ ЭКОНОМИКИ И СЕРВИСА, ФГБОУ ВО "ВЛАДИВОСТОКСКИЙ ГОСУДАРСТВЕННЫЙ УНИВЕРСИТЕТ ЭКОНОМИКИ И СЕРВИСА"</v>
      </c>
      <c r="B11413" s="24" t="s">
        <v>14720</v>
      </c>
      <c r="C11413" s="25">
        <v>91800</v>
      </c>
      <c r="D11413" s="22" t="s">
        <v>15863</v>
      </c>
      <c r="E11413" s="22" t="s">
        <v>362</v>
      </c>
      <c r="F11413" s="23" t="str">
        <f>HYPERLINK("https://www.spark-marketing.ru/Card/Lot/72262390", "Оказание услуг по организации детского питания")</f>
        <v>Оказание услуг по организации детского питания</v>
      </c>
      <c r="G11413" s="22" t="s">
        <v>543</v>
      </c>
      <c r="H11413" s="22" t="s">
        <v>543</v>
      </c>
      <c r="I11413" s="26">
        <v>43668.703587962998</v>
      </c>
      <c r="J11413" s="28" t="s">
        <v>51</v>
      </c>
      <c r="K11413" s="28" t="s">
        <v>51</v>
      </c>
      <c r="L11413" s="28" t="s">
        <v>51</v>
      </c>
      <c r="M11413" s="28" t="s">
        <v>51</v>
      </c>
      <c r="N11413" s="28" t="s">
        <v>51</v>
      </c>
    </row>
    <row r="11414" spans="1:14" x14ac:dyDescent="0.2">
      <c r="A11414" s="23" t="str">
        <f>HYPERLINK("https://www.spark-marketing.ru/Card/Person/4351104", "ГБПОУ ""ВКУИНТ ИМ. Ю. ГАГАРИНА""")</f>
        <v>ГБПОУ "ВКУИНТ ИМ. Ю. ГАГАРИНА"</v>
      </c>
      <c r="B11414" s="24" t="s">
        <v>15864</v>
      </c>
      <c r="C11414" s="25">
        <v>13811815.43</v>
      </c>
      <c r="D11414" s="22" t="s">
        <v>15865</v>
      </c>
      <c r="E11414" s="22" t="s">
        <v>48</v>
      </c>
      <c r="F11414" s="23" t="str">
        <f>HYPERLINK("https://www.spark-marketing.ru/Card/Lot/72255489", "оказание услуг по обеспечению питанием, комплектации и выдачи сухих пайков обучающимся льготной категории")</f>
        <v>оказание услуг по обеспечению питанием, комплектации и выдачи сухих пайков обучающимся льготной категории</v>
      </c>
      <c r="G11414" s="22" t="s">
        <v>158</v>
      </c>
      <c r="H11414" s="22" t="s">
        <v>171</v>
      </c>
      <c r="I11414" s="26">
        <v>43668.704861111102</v>
      </c>
      <c r="J11414" s="23" t="str">
        <f>HYPERLINK("https://www.spark-marketing.ru/Card/Person/89292", "ООО ""СЛАВИА""")</f>
        <v>ООО "СЛАВИА"</v>
      </c>
      <c r="K11414" s="24" t="s">
        <v>13822</v>
      </c>
      <c r="L11414" s="28" t="s">
        <v>51</v>
      </c>
      <c r="M11414" s="25">
        <v>13811815.43</v>
      </c>
      <c r="N11414" s="27">
        <v>0</v>
      </c>
    </row>
    <row r="11415" spans="1:14" x14ac:dyDescent="0.15">
      <c r="A11415" s="23" t="str">
        <f>HYPERLINK("https://www.spark-marketing.ru/Card/Person/4348382", "ООО ""ГАЗПРОМ ПИТАНИЕ""")</f>
        <v>ООО "ГАЗПРОМ ПИТАНИЕ"</v>
      </c>
      <c r="B11415" s="24" t="s">
        <v>2869</v>
      </c>
      <c r="C11415" s="25">
        <v>48749</v>
      </c>
      <c r="D11415" s="22" t="s">
        <v>15866</v>
      </c>
      <c r="E11415" s="22" t="s">
        <v>52</v>
      </c>
      <c r="F11415" s="23" t="str">
        <f>HYPERLINK("https://www.spark-marketing.ru/Card/Lot/72254782", "Оказание услуг по сопровождению программного обеспечения бсс ""система главбух"" для нужд филиала казанское уооп ооо «газпром питание»")</f>
        <v>Оказание услуг по сопровождению программного обеспечения бсс "система главбух" для нужд филиала казанское уооп ооо «газпром питание»</v>
      </c>
      <c r="G11415" s="22" t="s">
        <v>56</v>
      </c>
      <c r="H11415" s="22" t="s">
        <v>56</v>
      </c>
      <c r="I11415" s="26">
        <v>43668.695833333302</v>
      </c>
      <c r="J11415" s="28" t="s">
        <v>51</v>
      </c>
      <c r="K11415" s="28" t="s">
        <v>51</v>
      </c>
      <c r="L11415" s="28" t="s">
        <v>51</v>
      </c>
      <c r="M11415" s="28" t="s">
        <v>51</v>
      </c>
      <c r="N11415" s="28" t="s">
        <v>51</v>
      </c>
    </row>
    <row r="11416" spans="1:14" x14ac:dyDescent="0.15">
      <c r="A11416" s="23" t="str">
        <f>HYPERLINK("https://www.spark-marketing.ru/Card/Person/950220", "МБОУ ШКОЛА С. НОВОГОРДЕЕВКА")</f>
        <v>МБОУ ШКОЛА С. НОВОГОРДЕЕВКА</v>
      </c>
      <c r="B11416" s="24" t="s">
        <v>15867</v>
      </c>
      <c r="C11416" s="25">
        <v>389185.6</v>
      </c>
      <c r="D11416" s="22" t="s">
        <v>15868</v>
      </c>
      <c r="E11416" s="22" t="s">
        <v>48</v>
      </c>
      <c r="F11416" s="23" t="str">
        <f>HYPERLINK("https://www.spark-marketing.ru/Card/Lot/72275553", "оказание услуг по организации питания обучающихся")</f>
        <v>оказание услуг по организации питания обучающихся</v>
      </c>
      <c r="G11416" s="22" t="s">
        <v>543</v>
      </c>
      <c r="H11416" s="22" t="s">
        <v>15869</v>
      </c>
      <c r="I11416" s="26">
        <v>43668.690381944398</v>
      </c>
      <c r="J11416" s="23" t="str">
        <f>HYPERLINK("https://www.spark-marketing.ru/Card/Person/218799", "АУ ""ЦЕНТР ПИТАНИЯ""")</f>
        <v>АУ "ЦЕНТР ПИТАНИЯ"</v>
      </c>
      <c r="K11416" s="24" t="s">
        <v>15870</v>
      </c>
      <c r="L11416" s="22" t="s">
        <v>10</v>
      </c>
      <c r="M11416" s="28" t="s">
        <v>51</v>
      </c>
      <c r="N11416" s="28" t="s">
        <v>51</v>
      </c>
    </row>
    <row r="11417" spans="1:14" x14ac:dyDescent="0.2">
      <c r="A11417" s="23" t="str">
        <f>HYPERLINK("https://www.spark-marketing.ru/Card/Person/1046396", "ГКОУ ""УРЮПИНСКАЯ КАДЕТСКАЯ ШКОЛА ИМЕНИ ГЕНЕРАЛ-ЛЕЙТЕНАНТА С.И.ГОРШКОВА""")</f>
        <v>ГКОУ "УРЮПИНСКАЯ КАДЕТСКАЯ ШКОЛА ИМЕНИ ГЕНЕРАЛ-ЛЕЙТЕНАНТА С.И.ГОРШКОВА"</v>
      </c>
      <c r="B11417" s="24" t="s">
        <v>15871</v>
      </c>
      <c r="C11417" s="25">
        <v>17365736.18</v>
      </c>
      <c r="D11417" s="22" t="s">
        <v>15872</v>
      </c>
      <c r="E11417" s="22" t="s">
        <v>48</v>
      </c>
      <c r="F11417" s="23" t="str">
        <f>HYPERLINK("https://www.spark-marketing.ru/Card/Lot/72255492", "Оказание услуг по обеспечению питанием")</f>
        <v>Оказание услуг по обеспечению питанием</v>
      </c>
      <c r="G11417" s="22" t="s">
        <v>158</v>
      </c>
      <c r="H11417" s="22" t="s">
        <v>159</v>
      </c>
      <c r="I11417" s="26">
        <v>43668.704166666699</v>
      </c>
      <c r="J11417" s="23" t="str">
        <f>HYPERLINK("https://www.spark-marketing.ru/Card/Person/6558293", "ООО ""ВИВО МАРКЕТ""")</f>
        <v>ООО "ВИВО МАРКЕТ"</v>
      </c>
      <c r="K11417" s="24" t="s">
        <v>14440</v>
      </c>
      <c r="L11417" s="28" t="s">
        <v>51</v>
      </c>
      <c r="M11417" s="25">
        <v>17365736.18</v>
      </c>
      <c r="N11417" s="27">
        <v>0</v>
      </c>
    </row>
    <row r="11418" spans="1:14" x14ac:dyDescent="0.15">
      <c r="A11418" s="23" t="str">
        <f>HYPERLINK("https://www.spark-marketing.ru/Card/Person/6633832", "ЮГО–ВОСТОЧНАЯ РЕГИОНАЛЬНАЯ ДИРЕКЦИЯ ЖЕЛЕЗНОДОРОЖНЫХ ВОКЗАЛОВ – СТРУКТУРНОЕ ПОДРАЗДЕЛЕНИЕ ДИРЕКЦИИ ЖЛЕЗНОДОРОЖНЫХ ВОКЗАЛОВ – ФЛ ОАО РЖД")</f>
        <v>ЮГО–ВОСТОЧНАЯ РЕГИОНАЛЬНАЯ ДИРЕКЦИЯ ЖЕЛЕЗНОДОРОЖНЫХ ВОКЗАЛОВ – СТРУКТУРНОЕ ПОДРАЗДЕЛЕНИЕ ДИРЕКЦИИ ЖЛЕЗНОДОРОЖНЫХ ВОКЗАЛОВ – ФЛ ОАО РЖД</v>
      </c>
      <c r="B11418" s="24" t="s">
        <v>330</v>
      </c>
      <c r="C11418" s="25">
        <v>370500</v>
      </c>
      <c r="D11418" s="28" t="s">
        <v>51</v>
      </c>
      <c r="E11418" s="22" t="s">
        <v>355</v>
      </c>
      <c r="F11418" s="23" t="str">
        <f>HYPERLINK("https://www.spark-marketing.ru/Card/Lot/72254527", "№22167 Оказание услуг по техническому обслуживанию информационно-справочного оборудования, находящегося на балансовом учете Юго-Восточной региональной дирекции железнодорожных вокзалов(вокзалы Белгород,Валуйки, Старый Оскол)")</f>
        <v>№22167 Оказание услуг по техническому обслуживанию информационно-справочного оборудования, находящегося на балансовом учете Юго-Восточной региональной дирекции железнодорожных вокзалов(вокзалы Белгород,Валуйки, Старый Оскол)</v>
      </c>
      <c r="G11418" s="22" t="s">
        <v>51</v>
      </c>
      <c r="H11418" s="22" t="s">
        <v>51</v>
      </c>
      <c r="I11418" s="26">
        <v>43668.684537036999</v>
      </c>
      <c r="J11418" s="28" t="s">
        <v>51</v>
      </c>
      <c r="K11418" s="28" t="s">
        <v>51</v>
      </c>
      <c r="L11418" s="28" t="s">
        <v>51</v>
      </c>
      <c r="M11418" s="28" t="s">
        <v>51</v>
      </c>
      <c r="N11418" s="28" t="s">
        <v>51</v>
      </c>
    </row>
    <row r="11419" spans="1:14" x14ac:dyDescent="0.15">
      <c r="A11419" s="23" t="str">
        <f>HYPERLINK("https://www.spark-marketing.ru/Card/Person/141004", "МБОУ ШКОЛА С. АНУЧИНО")</f>
        <v>МБОУ ШКОЛА С. АНУЧИНО</v>
      </c>
      <c r="B11419" s="24" t="s">
        <v>15873</v>
      </c>
      <c r="C11419" s="25">
        <v>649190.40000000002</v>
      </c>
      <c r="D11419" s="22" t="s">
        <v>15874</v>
      </c>
      <c r="E11419" s="22" t="s">
        <v>48</v>
      </c>
      <c r="F11419" s="23" t="str">
        <f>HYPERLINK("https://www.spark-marketing.ru/Card/Lot/72274794", "Оказание услуг по организации питания обучающихся в филиалах муниципального бюджетного общеобразовательного учреждения «Средняя школа с. Анучино Анучинского района Приморского края»")</f>
        <v>Оказание услуг по организации питания обучающихся в филиалах муниципального бюджетного общеобразовательного учреждения «Средняя школа с. Анучино Анучинского района Приморского края»</v>
      </c>
      <c r="G11419" s="22" t="s">
        <v>543</v>
      </c>
      <c r="H11419" s="22" t="s">
        <v>15869</v>
      </c>
      <c r="I11419" s="26">
        <v>43668.667233796303</v>
      </c>
      <c r="J11419" s="23" t="str">
        <f>HYPERLINK("https://www.spark-marketing.ru/Card/Person/218799", "АУ ""ЦЕНТР ПИТАНИЯ""")</f>
        <v>АУ "ЦЕНТР ПИТАНИЯ"</v>
      </c>
      <c r="K11419" s="24" t="s">
        <v>15870</v>
      </c>
      <c r="L11419" s="22" t="s">
        <v>10</v>
      </c>
      <c r="M11419" s="28" t="s">
        <v>51</v>
      </c>
      <c r="N11419" s="28" t="s">
        <v>51</v>
      </c>
    </row>
    <row r="11420" spans="1:14" x14ac:dyDescent="0.2">
      <c r="A11420" s="23" t="str">
        <f>HYPERLINK("https://www.spark-marketing.ru/Card/Person/1020295", "ГКОУ ""МИХАЙЛОВСКАЯ ШКОЛА-ИНТЕРНАТ""")</f>
        <v>ГКОУ "МИХАЙЛОВСКАЯ ШКОЛА-ИНТЕРНАТ"</v>
      </c>
      <c r="B11420" s="24" t="s">
        <v>15875</v>
      </c>
      <c r="C11420" s="25">
        <v>16011124.82</v>
      </c>
      <c r="D11420" s="22" t="s">
        <v>15876</v>
      </c>
      <c r="E11420" s="22" t="s">
        <v>48</v>
      </c>
      <c r="F11420" s="23" t="str">
        <f>HYPERLINK("https://www.spark-marketing.ru/Card/Lot/72255491", "Оказание услуг по обеспечению питанием.")</f>
        <v>Оказание услуг по обеспечению питанием.</v>
      </c>
      <c r="G11420" s="22" t="s">
        <v>158</v>
      </c>
      <c r="H11420" s="22" t="s">
        <v>10031</v>
      </c>
      <c r="I11420" s="26">
        <v>43668.681944444397</v>
      </c>
      <c r="J11420" s="23" t="str">
        <f>HYPERLINK("https://www.spark-marketing.ru/Card/Person/6558293", "ООО ""ВИВО МАРКЕТ""")</f>
        <v>ООО "ВИВО МАРКЕТ"</v>
      </c>
      <c r="K11420" s="24" t="s">
        <v>14440</v>
      </c>
      <c r="L11420" s="28" t="s">
        <v>51</v>
      </c>
      <c r="M11420" s="25">
        <v>16011124.82</v>
      </c>
      <c r="N11420" s="27">
        <v>0</v>
      </c>
    </row>
    <row r="11421" spans="1:14" x14ac:dyDescent="0.15">
      <c r="A11421" s="23" t="str">
        <f>HYPERLINK("https://www.spark-marketing.ru/Card/Person/95243", "МБОУ ШКОЛА С. ЧЕРНЫШЕВКА")</f>
        <v>МБОУ ШКОЛА С. ЧЕРНЫШЕВКА</v>
      </c>
      <c r="B11421" s="24" t="s">
        <v>15877</v>
      </c>
      <c r="C11421" s="25">
        <v>1366542</v>
      </c>
      <c r="D11421" s="22" t="s">
        <v>15878</v>
      </c>
      <c r="E11421" s="22" t="s">
        <v>48</v>
      </c>
      <c r="F11421" s="23" t="str">
        <f>HYPERLINK("https://www.spark-marketing.ru/Card/Lot/72274144", "Оказание услуг по организации питания обучающихся")</f>
        <v>Оказание услуг по организации питания обучающихся</v>
      </c>
      <c r="G11421" s="22" t="s">
        <v>543</v>
      </c>
      <c r="H11421" s="22" t="s">
        <v>15869</v>
      </c>
      <c r="I11421" s="26">
        <v>43668.682638888902</v>
      </c>
      <c r="J11421" s="23" t="str">
        <f>HYPERLINK("https://www.spark-marketing.ru/Card/Person/218799", "АУ ""ЦЕНТР ПИТАНИЯ""")</f>
        <v>АУ "ЦЕНТР ПИТАНИЯ"</v>
      </c>
      <c r="K11421" s="24" t="s">
        <v>15870</v>
      </c>
      <c r="L11421" s="22" t="s">
        <v>10</v>
      </c>
      <c r="M11421" s="28" t="s">
        <v>51</v>
      </c>
      <c r="N11421" s="28" t="s">
        <v>51</v>
      </c>
    </row>
    <row r="11422" spans="1:14" x14ac:dyDescent="0.2">
      <c r="A11422" s="23" t="str">
        <f>HYPERLINK("https://www.spark-marketing.ru/Card/Person/995884", "ГКОУ ""ВОЛГОГРАДСКАЯ ШКОЛА-ИНТЕРНАТ №1""")</f>
        <v>ГКОУ "ВОЛГОГРАДСКАЯ ШКОЛА-ИНТЕРНАТ №1"</v>
      </c>
      <c r="B11422" s="24" t="s">
        <v>15879</v>
      </c>
      <c r="C11422" s="25">
        <v>8664341.9700000007</v>
      </c>
      <c r="D11422" s="22" t="s">
        <v>15880</v>
      </c>
      <c r="E11422" s="22" t="s">
        <v>48</v>
      </c>
      <c r="F11422" s="23" t="str">
        <f>HYPERLINK("https://www.spark-marketing.ru/Card/Lot/72253328", "оказание услуг по обеспечению питанием")</f>
        <v>оказание услуг по обеспечению питанием</v>
      </c>
      <c r="G11422" s="22" t="s">
        <v>158</v>
      </c>
      <c r="H11422" s="22" t="s">
        <v>171</v>
      </c>
      <c r="I11422" s="26">
        <v>43668.670138888898</v>
      </c>
      <c r="J11422" s="23" t="str">
        <f>HYPERLINK("https://www.spark-marketing.ru/Card/Person/89292", "ООО ""СЛАВИА""")</f>
        <v>ООО "СЛАВИА"</v>
      </c>
      <c r="K11422" s="24" t="s">
        <v>13822</v>
      </c>
      <c r="L11422" s="28" t="s">
        <v>51</v>
      </c>
      <c r="M11422" s="25">
        <v>8664341.9700000007</v>
      </c>
      <c r="N11422" s="27">
        <v>0</v>
      </c>
    </row>
    <row r="11423" spans="1:14" x14ac:dyDescent="0.15">
      <c r="A11423" s="23" t="str">
        <f>HYPERLINK("https://www.spark-marketing.ru/Card/Person/6633832", "ЮГО–ВОСТОЧНАЯ РЕГИОНАЛЬНАЯ ДИРЕКЦИЯ ЖЕЛЕЗНОДОРОЖНЫХ ВОКЗАЛОВ – СТРУКТУРНОЕ ПОДРАЗДЕЛЕНИЕ ДИРЕКЦИИ ЖЛЕЗНОДОРОЖНЫХ ВОКЗАЛОВ – ФЛ ОАО РЖД")</f>
        <v>ЮГО–ВОСТОЧНАЯ РЕГИОНАЛЬНАЯ ДИРЕКЦИЯ ЖЕЛЕЗНОДОРОЖНЫХ ВОКЗАЛОВ – СТРУКТУРНОЕ ПОДРАЗДЕЛЕНИЕ ДИРЕКЦИИ ЖЛЕЗНОДОРОЖНЫХ ВОКЗАЛОВ – ФЛ ОАО РЖД</v>
      </c>
      <c r="B11423" s="24" t="s">
        <v>330</v>
      </c>
      <c r="C11423" s="25">
        <v>188900</v>
      </c>
      <c r="D11423" s="28" t="s">
        <v>51</v>
      </c>
      <c r="E11423" s="22" t="s">
        <v>355</v>
      </c>
      <c r="F11423" s="23" t="str">
        <f>HYPERLINK("https://www.spark-marketing.ru/Card/Lot/72254529", "№22195 Оказание услуг по техническому обслуживанию информационно-справочного оборудования, находящегося на балансовом учете Юго-Восточной региональной дирекции железнодорожных вокзалов(вокзалы Ртищево, Балашов, Сердобск)")</f>
        <v>№22195 Оказание услуг по техническому обслуживанию информационно-справочного оборудования, находящегося на балансовом учете Юго-Восточной региональной дирекции железнодорожных вокзалов(вокзалы Ртищево, Балашов, Сердобск)</v>
      </c>
      <c r="G11423" s="22" t="s">
        <v>51</v>
      </c>
      <c r="H11423" s="22" t="s">
        <v>51</v>
      </c>
      <c r="I11423" s="26">
        <v>43668.6983680556</v>
      </c>
      <c r="J11423" s="28" t="s">
        <v>51</v>
      </c>
      <c r="K11423" s="28" t="s">
        <v>51</v>
      </c>
      <c r="L11423" s="28" t="s">
        <v>51</v>
      </c>
      <c r="M11423" s="28" t="s">
        <v>51</v>
      </c>
      <c r="N11423" s="28" t="s">
        <v>51</v>
      </c>
    </row>
    <row r="11424" spans="1:14" x14ac:dyDescent="0.15">
      <c r="A11424" s="23" t="str">
        <f>HYPERLINK("https://www.spark-marketing.ru/Card/Person/141004", "МБОУ ШКОЛА С. АНУЧИНО")</f>
        <v>МБОУ ШКОЛА С. АНУЧИНО</v>
      </c>
      <c r="B11424" s="24" t="s">
        <v>15873</v>
      </c>
      <c r="C11424" s="25">
        <v>1913601.2</v>
      </c>
      <c r="D11424" s="22" t="s">
        <v>15881</v>
      </c>
      <c r="E11424" s="22" t="s">
        <v>48</v>
      </c>
      <c r="F11424" s="23" t="str">
        <f>HYPERLINK("https://www.spark-marketing.ru/Card/Lot/72274143", "Оказание услуг по организации питания обучающихся  муниципального бюджетного общеобразовательного учреждения «Средняя школа с. Анучино Анучинского района Приморского края»")</f>
        <v>Оказание услуг по организации питания обучающихся  муниципального бюджетного общеобразовательного учреждения «Средняя школа с. Анучино Анучинского района Приморского края»</v>
      </c>
      <c r="G11424" s="22" t="s">
        <v>543</v>
      </c>
      <c r="H11424" s="22" t="s">
        <v>15869</v>
      </c>
      <c r="I11424" s="26">
        <v>43668.6733564815</v>
      </c>
      <c r="J11424" s="23" t="str">
        <f>HYPERLINK("https://www.spark-marketing.ru/Card/Person/948993", "Нороян Лусине Эдиковна")</f>
        <v>Нороян Лусине Эдиковна</v>
      </c>
      <c r="K11424" s="24" t="s">
        <v>15882</v>
      </c>
      <c r="L11424" s="22" t="s">
        <v>10</v>
      </c>
      <c r="M11424" s="28" t="s">
        <v>51</v>
      </c>
      <c r="N11424" s="28" t="s">
        <v>51</v>
      </c>
    </row>
    <row r="11425" spans="1:14" x14ac:dyDescent="0.2">
      <c r="A11425" s="23" t="str">
        <f>HYPERLINK("https://www.spark-marketing.ru/Card/Person/1045790", "ГБОУ ""ВОЛГОГРАДСКИЙ ЛИЦЕЙ-ИНТЕРНАТ ""ЛИДЕР""")</f>
        <v>ГБОУ "ВОЛГОГРАДСКИЙ ЛИЦЕЙ-ИНТЕРНАТ "ЛИДЕР"</v>
      </c>
      <c r="B11425" s="24" t="s">
        <v>15883</v>
      </c>
      <c r="C11425" s="25">
        <v>11744561</v>
      </c>
      <c r="D11425" s="22" t="s">
        <v>15884</v>
      </c>
      <c r="E11425" s="22" t="s">
        <v>48</v>
      </c>
      <c r="F11425" s="23" t="str">
        <f>HYPERLINK("https://www.spark-marketing.ru/Card/Lot/72255488", "Оказание услуг по обеспечению питанием")</f>
        <v>Оказание услуг по обеспечению питанием</v>
      </c>
      <c r="G11425" s="22" t="s">
        <v>158</v>
      </c>
      <c r="H11425" s="22" t="s">
        <v>171</v>
      </c>
      <c r="I11425" s="26">
        <v>43668.695138888899</v>
      </c>
      <c r="J11425" s="23" t="str">
        <f>HYPERLINK("https://www.spark-marketing.ru/Card/Person/89292", "ООО ""СЛАВИА""")</f>
        <v>ООО "СЛАВИА"</v>
      </c>
      <c r="K11425" s="24" t="s">
        <v>13822</v>
      </c>
      <c r="L11425" s="28" t="s">
        <v>51</v>
      </c>
      <c r="M11425" s="25">
        <v>11744561</v>
      </c>
      <c r="N11425" s="27">
        <v>0</v>
      </c>
    </row>
    <row r="11426" spans="1:14" x14ac:dyDescent="0.15">
      <c r="A11426" s="23" t="str">
        <f>HYPERLINK("https://www.spark-marketing.ru/Card/Person/6633832", "ЮГО–ВОСТОЧНАЯ РЕГИОНАЛЬНАЯ ДИРЕКЦИЯ ЖЕЛЕЗНОДОРОЖНЫХ ВОКЗАЛОВ – СТРУКТУРНОЕ ПОДРАЗДЕЛЕНИЕ ДИРЕКЦИИ ЖЛЕЗНОДОРОЖНЫХ ВОКЗАЛОВ – ФЛ ОАО РЖД")</f>
        <v>ЮГО–ВОСТОЧНАЯ РЕГИОНАЛЬНАЯ ДИРЕКЦИЯ ЖЕЛЕЗНОДОРОЖНЫХ ВОКЗАЛОВ – СТРУКТУРНОЕ ПОДРАЗДЕЛЕНИЕ ДИРЕКЦИИ ЖЛЕЗНОДОРОЖНЫХ ВОКЗАЛОВ – ФЛ ОАО РЖД</v>
      </c>
      <c r="B11426" s="24" t="s">
        <v>330</v>
      </c>
      <c r="C11426" s="25">
        <v>206300</v>
      </c>
      <c r="D11426" s="28" t="s">
        <v>51</v>
      </c>
      <c r="E11426" s="22" t="s">
        <v>355</v>
      </c>
      <c r="F11426" s="23" t="str">
        <f>HYPERLINK("https://www.spark-marketing.ru/Card/Lot/72254526", "№22084 Оказание услуг по техническому обслуживанию информационно-справочного оборудования, находящегося на балансовом учете Юго-Восточной региональной дирекции железнодорожных вокзалов(вокзалы Липецк, Грязи- Воронежские, Елец)")</f>
        <v>№22084 Оказание услуг по техническому обслуживанию информационно-справочного оборудования, находящегося на балансовом учете Юго-Восточной региональной дирекции железнодорожных вокзалов(вокзалы Липецк, Грязи- Воронежские, Елец)</v>
      </c>
      <c r="G11426" s="22" t="s">
        <v>51</v>
      </c>
      <c r="H11426" s="22" t="s">
        <v>51</v>
      </c>
      <c r="I11426" s="26">
        <v>43668.681319444397</v>
      </c>
      <c r="J11426" s="28" t="s">
        <v>51</v>
      </c>
      <c r="K11426" s="28" t="s">
        <v>51</v>
      </c>
      <c r="L11426" s="28" t="s">
        <v>51</v>
      </c>
      <c r="M11426" s="28" t="s">
        <v>51</v>
      </c>
      <c r="N11426" s="28" t="s">
        <v>51</v>
      </c>
    </row>
    <row r="11427" spans="1:14" x14ac:dyDescent="0.15">
      <c r="A11427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11427" s="24" t="s">
        <v>1406</v>
      </c>
      <c r="C11427" s="25">
        <v>500000</v>
      </c>
      <c r="D11427" s="22" t="s">
        <v>15885</v>
      </c>
      <c r="E11427" s="22" t="s">
        <v>15886</v>
      </c>
      <c r="F11427" s="23" t="str">
        <f>HYPERLINK("https://www.spark-marketing.ru/Card/Lot/72260864", "Оказание услуг по организации участия гостей и обучающихся НГУ в различных мероприятиях научно-образовательного, общекультурного, спортивного характера (конференции, семинары, олимпиады, школы, турниры, соревнования, региональные и общероссийские сту...")</f>
        <v>Оказание услуг по организации участия гостей и обучающихся НГУ в различных мероприятиях научно-образовательного, общекультурного, спортивного характера (конференции, семинары, олимпиады, школы, турниры, соревнования, региональные и общероссийские сту...</v>
      </c>
      <c r="G11427" s="22" t="s">
        <v>195</v>
      </c>
      <c r="H11427" s="22" t="s">
        <v>195</v>
      </c>
      <c r="I11427" s="26">
        <v>43668.669687499998</v>
      </c>
      <c r="J11427" s="28" t="s">
        <v>51</v>
      </c>
      <c r="K11427" s="28" t="s">
        <v>51</v>
      </c>
      <c r="L11427" s="28" t="s">
        <v>51</v>
      </c>
      <c r="M11427" s="28" t="s">
        <v>51</v>
      </c>
      <c r="N11427" s="28" t="s">
        <v>51</v>
      </c>
    </row>
    <row r="11428" spans="1:14" x14ac:dyDescent="0.15">
      <c r="A11428" s="23" t="str">
        <f>HYPERLINK("https://www.spark-marketing.ru/Card/Person/6633832", "ЮГО–ВОСТОЧНАЯ РЕГИОНАЛЬНАЯ ДИРЕКЦИЯ ЖЕЛЕЗНОДОРОЖНЫХ ВОКЗАЛОВ – СТРУКТУРНОЕ ПОДРАЗДЕЛЕНИЕ ДИРЕКЦИИ ЖЛЕЗНОДОРОЖНЫХ ВОКЗАЛОВ – ФЛ ОАО РЖД")</f>
        <v>ЮГО–ВОСТОЧНАЯ РЕГИОНАЛЬНАЯ ДИРЕКЦИЯ ЖЕЛЕЗНОДОРОЖНЫХ ВОКЗАЛОВ – СТРУКТУРНОЕ ПОДРАЗДЕЛЕНИЕ ДИРЕКЦИИ ЖЛЕЗНОДОРОЖНЫХ ВОКЗАЛОВ – ФЛ ОАО РЖД</v>
      </c>
      <c r="B11428" s="24" t="s">
        <v>330</v>
      </c>
      <c r="C11428" s="25">
        <v>122350</v>
      </c>
      <c r="D11428" s="28" t="s">
        <v>51</v>
      </c>
      <c r="E11428" s="22" t="s">
        <v>355</v>
      </c>
      <c r="F11428" s="23" t="str">
        <f>HYPERLINK("https://www.spark-marketing.ru/Card/Lot/72254528", "№22196 Оказание услуг по техническому обслуживанию информационно-справочного оборудования, находящегося на балансовом учете Юго-Восточной региональной дирекции железнодорожных вокзалов(вокзалы Тамбов, Мичуринск-Уральский,Кирсанов,Богоявленск)")</f>
        <v>№22196 Оказание услуг по техническому обслуживанию информационно-справочного оборудования, находящегося на балансовом учете Юго-Восточной региональной дирекции железнодорожных вокзалов(вокзалы Тамбов, Мичуринск-Уральский,Кирсанов,Богоявленск)</v>
      </c>
      <c r="G11428" s="22" t="s">
        <v>51</v>
      </c>
      <c r="H11428" s="22" t="s">
        <v>51</v>
      </c>
      <c r="I11428" s="26">
        <v>43668.689270833303</v>
      </c>
      <c r="J11428" s="28" t="s">
        <v>51</v>
      </c>
      <c r="K11428" s="28" t="s">
        <v>51</v>
      </c>
      <c r="L11428" s="28" t="s">
        <v>51</v>
      </c>
      <c r="M11428" s="28" t="s">
        <v>51</v>
      </c>
      <c r="N11428" s="28" t="s">
        <v>51</v>
      </c>
    </row>
    <row r="11429" spans="1:14" x14ac:dyDescent="0.15">
      <c r="A11429" s="23" t="str">
        <f>HYPERLINK("https://www.spark-marketing.ru/Card/Person/493985", "МАОУДО ТАМБОВСКИЙ ЦДТ")</f>
        <v>МАОУДО ТАМБОВСКИЙ ЦДТ</v>
      </c>
      <c r="B11429" s="24" t="s">
        <v>15887</v>
      </c>
      <c r="C11429" s="25">
        <v>321300</v>
      </c>
      <c r="D11429" s="22" t="s">
        <v>15888</v>
      </c>
      <c r="E11429" s="22" t="s">
        <v>2265</v>
      </c>
      <c r="F11429" s="23" t="str">
        <f>HYPERLINK("https://www.spark-marketing.ru/Card/Lot/72262873", "Оказание услуг питания")</f>
        <v>Оказание услуг питания</v>
      </c>
      <c r="G11429" s="22" t="s">
        <v>210</v>
      </c>
      <c r="H11429" s="22" t="s">
        <v>210</v>
      </c>
      <c r="I11429" s="26">
        <v>43668.6785185185</v>
      </c>
      <c r="J11429" s="28" t="s">
        <v>51</v>
      </c>
      <c r="K11429" s="28" t="s">
        <v>51</v>
      </c>
      <c r="L11429" s="28" t="s">
        <v>51</v>
      </c>
      <c r="M11429" s="28" t="s">
        <v>51</v>
      </c>
      <c r="N11429" s="28" t="s">
        <v>51</v>
      </c>
    </row>
    <row r="11430" spans="1:14" x14ac:dyDescent="0.15">
      <c r="A11430" s="23" t="str">
        <f>HYPERLINK("https://www.spark-marketing.ru/Card/Person/4348382", "ООО ""ГАЗПРОМ ПИТАНИЕ""")</f>
        <v>ООО "ГАЗПРОМ ПИТАНИЕ"</v>
      </c>
      <c r="B11430" s="24" t="s">
        <v>2869</v>
      </c>
      <c r="C11430" s="25">
        <v>430000</v>
      </c>
      <c r="D11430" s="22" t="s">
        <v>15889</v>
      </c>
      <c r="E11430" s="22" t="s">
        <v>52</v>
      </c>
      <c r="F11430" s="23" t="str">
        <f>HYPERLINK("https://www.spark-marketing.ru/Card/Lot/72252797", "Поставка периодической печатной продукции для нужд филиала московское уооп ооо «газпром питание»")</f>
        <v>Поставка периодической печатной продукции для нужд филиала московское уооп ооо «газпром питание»</v>
      </c>
      <c r="G11430" s="22" t="s">
        <v>56</v>
      </c>
      <c r="H11430" s="22" t="s">
        <v>56</v>
      </c>
      <c r="I11430" s="26">
        <v>43668.664583333302</v>
      </c>
      <c r="J11430" s="28" t="s">
        <v>51</v>
      </c>
      <c r="K11430" s="28" t="s">
        <v>51</v>
      </c>
      <c r="L11430" s="28" t="s">
        <v>51</v>
      </c>
      <c r="M11430" s="28" t="s">
        <v>51</v>
      </c>
      <c r="N11430" s="28" t="s">
        <v>51</v>
      </c>
    </row>
    <row r="11431" spans="1:14" x14ac:dyDescent="0.15">
      <c r="A11431" s="23" t="str">
        <f>HYPERLINK("https://www.spark-marketing.ru/Card/Person/1759650", "МАУ ""ЦПСМ Г.ТОБОЛЬСКА""")</f>
        <v>МАУ "ЦПСМ Г.ТОБОЛЬСКА"</v>
      </c>
      <c r="B11431" s="24" t="s">
        <v>13313</v>
      </c>
      <c r="C11431" s="25">
        <v>201600</v>
      </c>
      <c r="D11431" s="22" t="s">
        <v>15890</v>
      </c>
      <c r="E11431" s="22" t="s">
        <v>362</v>
      </c>
      <c r="F11431" s="23" t="str">
        <f>HYPERLINK("https://www.spark-marketing.ru/Card/Lot/72262121", "на оказание услуг по обеспечению питания сборной команды города Тобольска по футболу во время проведения тренировочных мероприятий")</f>
        <v>на оказание услуг по обеспечению питания сборной команды города Тобольска по футболу во время проведения тренировочных мероприятий</v>
      </c>
      <c r="G11431" s="22" t="s">
        <v>766</v>
      </c>
      <c r="H11431" s="22" t="s">
        <v>766</v>
      </c>
      <c r="I11431" s="26">
        <v>43668.657581018502</v>
      </c>
      <c r="J11431" s="28" t="s">
        <v>51</v>
      </c>
      <c r="K11431" s="28" t="s">
        <v>51</v>
      </c>
      <c r="L11431" s="28" t="s">
        <v>51</v>
      </c>
      <c r="M11431" s="28" t="s">
        <v>51</v>
      </c>
      <c r="N11431" s="28" t="s">
        <v>51</v>
      </c>
    </row>
    <row r="11432" spans="1:14" x14ac:dyDescent="0.15">
      <c r="A11432" s="23" t="str">
        <f>HYPERLINK("https://www.spark-marketing.ru/Card/Person/1053249", "УПРАВЛЕНИЕ ГЗ")</f>
        <v>УПРАВЛЕНИЕ ГЗ</v>
      </c>
      <c r="B11432" s="24" t="s">
        <v>15891</v>
      </c>
      <c r="C11432" s="28" t="s">
        <v>51</v>
      </c>
      <c r="D11432" s="22" t="s">
        <v>15892</v>
      </c>
      <c r="E11432" s="22" t="s">
        <v>48</v>
      </c>
      <c r="F11432" s="23" t="str">
        <f>HYPERLINK("https://www.spark-marketing.ru/Card/Lot/72248634",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1432" s="22" t="s">
        <v>153</v>
      </c>
      <c r="H11432" s="22" t="s">
        <v>14351</v>
      </c>
      <c r="I11432" s="26">
        <v>43668.625</v>
      </c>
      <c r="J11432" s="28" t="s">
        <v>51</v>
      </c>
      <c r="K11432" s="28" t="s">
        <v>51</v>
      </c>
      <c r="L11432" s="28" t="s">
        <v>51</v>
      </c>
      <c r="M11432" s="28" t="s">
        <v>51</v>
      </c>
      <c r="N11432" s="28" t="s">
        <v>51</v>
      </c>
    </row>
    <row r="11433" spans="1:14" x14ac:dyDescent="0.15">
      <c r="A11433" s="23" t="str">
        <f>HYPERLINK("https://www.spark-marketing.ru/Card/Person/111693", "МКОУ СОШ № 105 КУПИНСКОГО РАЙОНА")</f>
        <v>МКОУ СОШ № 105 КУПИНСКОГО РАЙОНА</v>
      </c>
      <c r="B11433" s="24" t="s">
        <v>15893</v>
      </c>
      <c r="C11433" s="25">
        <v>2076320</v>
      </c>
      <c r="D11433" s="22" t="s">
        <v>15894</v>
      </c>
      <c r="E11433" s="22" t="s">
        <v>48</v>
      </c>
      <c r="F11433" s="23" t="str">
        <f>HYPERLINK("https://www.spark-marketing.ru/Card/Lot/72247100", "Оказание услуг по организации питания учащихся школы")</f>
        <v>Оказание услуг по организации питания учащихся школы</v>
      </c>
      <c r="G11433" s="22" t="s">
        <v>195</v>
      </c>
      <c r="H11433" s="22" t="s">
        <v>13070</v>
      </c>
      <c r="I11433" s="26">
        <v>43668.655277777798</v>
      </c>
      <c r="J11433" s="23" t="str">
        <f>HYPERLINK("https://www.spark-marketing.ru/Card/Person/728490", "КУПИНСКОЕ ПО ""КУЛИНАР""")</f>
        <v>КУПИНСКОЕ ПО "КУЛИНАР"</v>
      </c>
      <c r="K11433" s="24" t="s">
        <v>15895</v>
      </c>
      <c r="L11433" s="22" t="s">
        <v>10</v>
      </c>
      <c r="M11433" s="28" t="s">
        <v>51</v>
      </c>
      <c r="N11433" s="28" t="s">
        <v>51</v>
      </c>
    </row>
    <row r="11434" spans="1:14" x14ac:dyDescent="0.15">
      <c r="A11434" s="23" t="str">
        <f>HYPERLINK("https://www.spark-marketing.ru/Card/Person/1013618", "ГКОУ СО ""ЕКАТЕРИНБУРГСКАЯ ШКОЛА-ИНТЕРНАТ №6""")</f>
        <v>ГКОУ СО "ЕКАТЕРИНБУРГСКАЯ ШКОЛА-ИНТЕРНАТ №6"</v>
      </c>
      <c r="B11434" s="24" t="s">
        <v>528</v>
      </c>
      <c r="C11434" s="25">
        <v>950820</v>
      </c>
      <c r="D11434" s="22" t="s">
        <v>15896</v>
      </c>
      <c r="E11434" s="22" t="s">
        <v>48</v>
      </c>
      <c r="F11434" s="23" t="str">
        <f>HYPERLINK("https://www.spark-marketing.ru/Card/Lot/72254385", "Услуги по организации питания детей")</f>
        <v>Услуги по организации питания детей</v>
      </c>
      <c r="G11434" s="22" t="s">
        <v>174</v>
      </c>
      <c r="H11434" s="22" t="s">
        <v>530</v>
      </c>
      <c r="I11434" s="26">
        <v>43668.664953703701</v>
      </c>
      <c r="J11434" s="23" t="str">
        <f>HYPERLINK("https://www.spark-marketing.ru/Card/Person/4952099", "ООО ""ТОП""")</f>
        <v>ООО "ТОП"</v>
      </c>
      <c r="K11434" s="24" t="s">
        <v>15133</v>
      </c>
      <c r="L11434" s="22" t="s">
        <v>10</v>
      </c>
      <c r="M11434" s="28" t="s">
        <v>51</v>
      </c>
      <c r="N11434" s="28" t="s">
        <v>51</v>
      </c>
    </row>
    <row r="11435" spans="1:14" x14ac:dyDescent="0.2">
      <c r="A11435" s="23" t="str">
        <f>HYPERLINK("https://www.spark-marketing.ru/Card/Person/1041707", "ГКОУ ""ВОЛЖСКАЯ ШКОЛА № 1""")</f>
        <v>ГКОУ "ВОЛЖСКАЯ ШКОЛА № 1"</v>
      </c>
      <c r="B11435" s="24" t="s">
        <v>15897</v>
      </c>
      <c r="C11435" s="25">
        <v>13665246.26</v>
      </c>
      <c r="D11435" s="22" t="s">
        <v>15898</v>
      </c>
      <c r="E11435" s="22" t="s">
        <v>48</v>
      </c>
      <c r="F11435" s="23" t="str">
        <f>HYPERLINK("https://www.spark-marketing.ru/Card/Lot/72253329", "Оказание услуг по обеспечению питанием")</f>
        <v>Оказание услуг по обеспечению питанием</v>
      </c>
      <c r="G11435" s="22" t="s">
        <v>158</v>
      </c>
      <c r="H11435" s="22" t="s">
        <v>1380</v>
      </c>
      <c r="I11435" s="26">
        <v>43668.665972222203</v>
      </c>
      <c r="J11435" s="23" t="str">
        <f>HYPERLINK("https://www.spark-marketing.ru/Card/Person/6558293", "ООО ""ВИВО МАРКЕТ""")</f>
        <v>ООО "ВИВО МАРКЕТ"</v>
      </c>
      <c r="K11435" s="24" t="s">
        <v>14440</v>
      </c>
      <c r="L11435" s="28" t="s">
        <v>51</v>
      </c>
      <c r="M11435" s="25">
        <v>13665246.26</v>
      </c>
      <c r="N11435" s="27">
        <v>0</v>
      </c>
    </row>
    <row r="11436" spans="1:14" x14ac:dyDescent="0.15">
      <c r="A11436" s="23" t="str">
        <f>HYPERLINK("https://www.spark-marketing.ru/Card/Person/87023", "МБОУ СОШ № 9")</f>
        <v>МБОУ СОШ № 9</v>
      </c>
      <c r="B11436" s="24" t="s">
        <v>15899</v>
      </c>
      <c r="C11436" s="25">
        <v>1383250.13</v>
      </c>
      <c r="D11436" s="22" t="s">
        <v>15900</v>
      </c>
      <c r="E11436" s="22" t="s">
        <v>48</v>
      </c>
      <c r="F11436" s="23" t="str">
        <f>HYPERLINK("https://www.spark-marketing.ru/Card/Lot/72245675", "Оказание услуг по организации горячего питания для обучающихся муниципального бюджетного общеобразовательного учреждения средней общеобразовательной школы № 9 в соответствии со Спецификацией (приложение № 1), утвержденной Заказчиком и описанием объек...")</f>
        <v>Оказание услуг по организации горячего питания для обучающихся муниципального бюджетного общеобразовательного учреждения средней общеобразовательной школы № 9 в соответствии со Спецификацией (приложение № 1), утвержденной Заказчиком и описанием объек...</v>
      </c>
      <c r="G11436" s="22" t="s">
        <v>281</v>
      </c>
      <c r="H11436" s="22" t="s">
        <v>1436</v>
      </c>
      <c r="I11436" s="26">
        <v>43668.638356481497</v>
      </c>
      <c r="J11436" s="23" t="str">
        <f>HYPERLINK("https://www.spark-marketing.ru/Card/Person/227190", "ООО ""РИЧ""")</f>
        <v>ООО "РИЧ"</v>
      </c>
      <c r="K11436" s="24" t="s">
        <v>1437</v>
      </c>
      <c r="L11436" s="22" t="s">
        <v>10</v>
      </c>
      <c r="M11436" s="28" t="s">
        <v>51</v>
      </c>
      <c r="N11436" s="28" t="s">
        <v>51</v>
      </c>
    </row>
    <row r="11437" spans="1:14" ht="12.75" x14ac:dyDescent="0.2">
      <c r="A11437" s="23" t="str">
        <f>HYPERLINK("https://www.spark-marketing.ru/Card/Person/948695", "ОМВД РОССИИ ПО ПОЖАРСКОМУ РАЙОНУ")</f>
        <v>ОМВД РОССИИ ПО ПОЖАРСКОМУ РАЙОНУ</v>
      </c>
      <c r="B11437" s="24" t="s">
        <v>15901</v>
      </c>
      <c r="C11437" s="25">
        <v>247500</v>
      </c>
      <c r="D11437" s="22" t="s">
        <v>15902</v>
      </c>
      <c r="E11437" s="22" t="s">
        <v>48</v>
      </c>
      <c r="F11437" s="23" t="str">
        <f>HYPERLINK("https://www.spark-marketing.ru/Card/Lot/72241206", "Услуги по предоставлению питания для лиц, находящихся под стражей в ИВС")</f>
        <v>Услуги по предоставлению питания для лиц, находящихся под стражей в ИВС</v>
      </c>
      <c r="G11437" s="22" t="s">
        <v>543</v>
      </c>
      <c r="H11437" s="22" t="s">
        <v>15903</v>
      </c>
      <c r="I11437" s="26">
        <v>43668.629374999997</v>
      </c>
      <c r="J11437" s="23" t="str">
        <f>HYPERLINK("https://www.spark-marketing.ru/Card/Person/5893523", "ООО ""ДИАМАНТ""")</f>
        <v>ООО "ДИАМАНТ"</v>
      </c>
      <c r="K11437" s="24" t="s">
        <v>15904</v>
      </c>
      <c r="L11437" s="22" t="s">
        <v>10</v>
      </c>
      <c r="M11437" s="25">
        <v>247500</v>
      </c>
      <c r="N11437" s="27">
        <v>0</v>
      </c>
    </row>
    <row r="11438" spans="1:14" x14ac:dyDescent="0.2">
      <c r="A11438" s="23" t="str">
        <f>HYPERLINK("https://www.spark-marketing.ru/Card/Person/1008161", "МАОУ ""ШКОЛА № 13""")</f>
        <v>МАОУ "ШКОЛА № 13"</v>
      </c>
      <c r="B11438" s="24" t="s">
        <v>8170</v>
      </c>
      <c r="C11438" s="25">
        <v>489600</v>
      </c>
      <c r="D11438" s="22" t="s">
        <v>15905</v>
      </c>
      <c r="E11438" s="22" t="s">
        <v>1593</v>
      </c>
      <c r="F11438" s="23" t="str">
        <f>HYPERLINK("https://www.spark-marketing.ru/Card/Lot/72263613", "Оказание услуг по организации питания во время летнего лагеря с дневным пребыванием детей")</f>
        <v>Оказание услуг по организации питания во время летнего лагеря с дневным пребыванием детей</v>
      </c>
      <c r="G11438" s="22" t="s">
        <v>174</v>
      </c>
      <c r="H11438" s="22" t="s">
        <v>174</v>
      </c>
      <c r="I11438" s="26">
        <v>43668.648125</v>
      </c>
      <c r="J11438" s="28" t="s">
        <v>51</v>
      </c>
      <c r="K11438" s="28" t="s">
        <v>51</v>
      </c>
      <c r="L11438" s="22" t="s">
        <v>10</v>
      </c>
      <c r="M11438" s="25">
        <v>489600</v>
      </c>
      <c r="N11438" s="27">
        <v>0</v>
      </c>
    </row>
    <row r="11439" spans="1:14" x14ac:dyDescent="0.2">
      <c r="A11439" s="23" t="str">
        <f>HYPERLINK("https://www.spark-marketing.ru/Card/Person/184952", "ООО ""АЭРОПОРТ ЕМЕЛЬЯНОВО""")</f>
        <v>ООО "АЭРОПОРТ ЕМЕЛЬЯНОВО"</v>
      </c>
      <c r="B11439" s="24" t="s">
        <v>15906</v>
      </c>
      <c r="C11439" s="25">
        <v>2647183</v>
      </c>
      <c r="D11439" s="22" t="s">
        <v>15907</v>
      </c>
      <c r="E11439" s="22" t="s">
        <v>562</v>
      </c>
      <c r="F11439" s="23" t="str">
        <f>HYPERLINK("https://www.spark-marketing.ru/Card/Lot/72262731", "Услуги по организации питания на форумах Network и Network Cargo")</f>
        <v>Услуги по организации питания на форумах Network и Network Cargo</v>
      </c>
      <c r="G11439" s="22" t="s">
        <v>281</v>
      </c>
      <c r="H11439" s="22" t="s">
        <v>281</v>
      </c>
      <c r="I11439" s="26">
        <v>43668.660497685203</v>
      </c>
      <c r="J11439" s="28" t="s">
        <v>51</v>
      </c>
      <c r="K11439" s="28" t="s">
        <v>51</v>
      </c>
      <c r="L11439" s="22" t="s">
        <v>10</v>
      </c>
      <c r="M11439" s="25">
        <v>2647183</v>
      </c>
      <c r="N11439" s="27">
        <v>0</v>
      </c>
    </row>
    <row r="11440" spans="1:14" x14ac:dyDescent="0.15">
      <c r="A11440" s="23" t="str">
        <f>HYPERLINK("https://www.spark-marketing.ru/Card/Person/65776", "ГБУСО ""САНАТОРИЙ ""ПОВОЛЖЬЕ""")</f>
        <v>ГБУСО "САНАТОРИЙ "ПОВОЛЖЬЕ"</v>
      </c>
      <c r="B11440" s="24" t="s">
        <v>13607</v>
      </c>
      <c r="C11440" s="25">
        <v>5040000</v>
      </c>
      <c r="D11440" s="22" t="s">
        <v>15908</v>
      </c>
      <c r="E11440" s="22" t="s">
        <v>2273</v>
      </c>
      <c r="F11440" s="23" t="str">
        <f>HYPERLINK("https://www.spark-marketing.ru/Card/Lot/72263359", "Оказание услуг по приготовлению диетического лечебного питания для нужд Государственного бюджетного учреждения Самарской области ""Санаторий ""Поволжье""")</f>
        <v>Оказание услуг по приготовлению диетического лечебного питания для нужд Государственного бюджетного учреждения Самарской области "Санаторий "Поволжье"</v>
      </c>
      <c r="G11440" s="22" t="s">
        <v>128</v>
      </c>
      <c r="H11440" s="22" t="s">
        <v>129</v>
      </c>
      <c r="I11440" s="26">
        <v>43668.651192129597</v>
      </c>
      <c r="J11440" s="28" t="s">
        <v>51</v>
      </c>
      <c r="K11440" s="28" t="s">
        <v>51</v>
      </c>
      <c r="L11440" s="28" t="s">
        <v>51</v>
      </c>
      <c r="M11440" s="28" t="s">
        <v>51</v>
      </c>
      <c r="N11440" s="28" t="s">
        <v>51</v>
      </c>
    </row>
    <row r="11441" spans="1:14" x14ac:dyDescent="0.15">
      <c r="A11441" s="23" t="str">
        <f>HYPERLINK("https://www.spark-marketing.ru/Card/Person/66715", "ОАО ""ГАЗПРОМ ГАЗОРАСПРЕДЕЛЕНИЕ ВОРОНЕЖ""")</f>
        <v>ОАО "ГАЗПРОМ ГАЗОРАСПРЕДЕЛЕНИЕ ВОРОНЕЖ"</v>
      </c>
      <c r="B11441" s="24" t="s">
        <v>15909</v>
      </c>
      <c r="C11441" s="25">
        <v>550000</v>
      </c>
      <c r="D11441" s="22" t="s">
        <v>15910</v>
      </c>
      <c r="E11441" s="22" t="s">
        <v>1079</v>
      </c>
      <c r="F11441" s="23" t="str">
        <f>HYPERLINK("https://www.spark-marketing.ru/Card/Lot/72260336", "Услуги по организации культурно-массовых мероприятий")</f>
        <v>Услуги по организации культурно-массовых мероприятий</v>
      </c>
      <c r="G11441" s="22" t="s">
        <v>82</v>
      </c>
      <c r="H11441" s="22" t="s">
        <v>82</v>
      </c>
      <c r="I11441" s="26">
        <v>43668.665173611102</v>
      </c>
      <c r="J11441" s="28" t="s">
        <v>51</v>
      </c>
      <c r="K11441" s="28" t="s">
        <v>51</v>
      </c>
      <c r="L11441" s="28" t="s">
        <v>51</v>
      </c>
      <c r="M11441" s="28" t="s">
        <v>51</v>
      </c>
      <c r="N11441" s="28" t="s">
        <v>51</v>
      </c>
    </row>
    <row r="11442" spans="1:14" x14ac:dyDescent="0.15">
      <c r="A11442" s="23" t="str">
        <f>HYPERLINK("https://www.spark-marketing.ru/Card/Person/4350885", "ЗАКОНОДАТЕЛЬНОЕ СОБРАНИЕ ЛЕНИНГРАДСКОЙ ОБЛАСТИ")</f>
        <v>ЗАКОНОДАТЕЛЬНОЕ СОБРАНИЕ ЛЕНИНГРАДСКОЙ ОБЛАСТИ</v>
      </c>
      <c r="B11442" s="24" t="s">
        <v>4075</v>
      </c>
      <c r="C11442" s="25">
        <v>1056850</v>
      </c>
      <c r="D11442" s="22" t="s">
        <v>15911</v>
      </c>
      <c r="E11442" s="22" t="s">
        <v>15912</v>
      </c>
      <c r="F11442" s="23" t="str">
        <f>HYPERLINK("https://www.spark-marketing.ru/Card/Lot/72256582", "Оказание услуг на проведение четырнадцатого слета общественных организаций и политических партий Ленинградской области")</f>
        <v>Оказание услуг на проведение четырнадцатого слета общественных организаций и политических партий Ленинградской области</v>
      </c>
      <c r="G11442" s="22" t="s">
        <v>117</v>
      </c>
      <c r="H11442" s="22" t="s">
        <v>117</v>
      </c>
      <c r="I11442" s="26">
        <v>43668.643287036997</v>
      </c>
      <c r="J11442" s="23" t="str">
        <f>HYPERLINK("https://www.spark-marketing.ru/Card/Person/687867", "ООО ""ВИВАТ""")</f>
        <v>ООО "ВИВАТ"</v>
      </c>
      <c r="K11442" s="24" t="s">
        <v>15913</v>
      </c>
      <c r="L11442" s="22" t="s">
        <v>10</v>
      </c>
      <c r="M11442" s="28" t="s">
        <v>51</v>
      </c>
      <c r="N11442" s="28" t="s">
        <v>51</v>
      </c>
    </row>
    <row r="11443" spans="1:14" x14ac:dyDescent="0.15">
      <c r="A11443" s="23" t="str">
        <f>HYPERLINK("https://www.spark-marketing.ru/Card/Person/1013618", "ГКОУ СО ""ЕКАТЕРИНБУРГСКАЯ ШКОЛА-ИНТЕРНАТ №6""")</f>
        <v>ГКОУ СО "ЕКАТЕРИНБУРГСКАЯ ШКОЛА-ИНТЕРНАТ №6"</v>
      </c>
      <c r="B11443" s="24" t="s">
        <v>528</v>
      </c>
      <c r="C11443" s="25">
        <v>950820</v>
      </c>
      <c r="D11443" s="22" t="s">
        <v>15914</v>
      </c>
      <c r="E11443" s="22" t="s">
        <v>48</v>
      </c>
      <c r="F11443" s="23" t="str">
        <f>HYPERLINK("https://www.spark-marketing.ru/Card/Lot/72254274", "Услуги по организации питания детей")</f>
        <v>Услуги по организации питания детей</v>
      </c>
      <c r="G11443" s="22" t="s">
        <v>174</v>
      </c>
      <c r="H11443" s="22" t="s">
        <v>530</v>
      </c>
      <c r="I11443" s="26">
        <v>43668.636331018497</v>
      </c>
      <c r="J11443" s="28" t="s">
        <v>51</v>
      </c>
      <c r="K11443" s="28" t="s">
        <v>51</v>
      </c>
      <c r="L11443" s="28" t="s">
        <v>51</v>
      </c>
      <c r="M11443" s="28" t="s">
        <v>51</v>
      </c>
      <c r="N11443" s="28" t="s">
        <v>51</v>
      </c>
    </row>
    <row r="11444" spans="1:14" ht="12.75" hidden="1" outlineLevel="1" x14ac:dyDescent="0.2">
      <c r="A11444" s="23" t="str">
        <f>HYPERLINK("https://www.spark-marketing.ru/Card/Person/1013618", "ГКОУ СО ""ЕКАТЕРИНБУРГСКАЯ ШКОЛА-ИНТЕРНАТ №6""")</f>
        <v>ГКОУ СО "ЕКАТЕРИНБУРГСКАЯ ШКОЛА-ИНТЕРНАТ №6"</v>
      </c>
      <c r="B11444" s="24" t="s">
        <v>528</v>
      </c>
      <c r="C11444" s="25">
        <v>950820</v>
      </c>
      <c r="D11444" s="22" t="s">
        <v>15914</v>
      </c>
      <c r="E11444" s="22" t="s">
        <v>48</v>
      </c>
      <c r="F11444" s="23" t="str">
        <f>HYPERLINK("https://www.spark-marketing.ru/Card/Lot/72254274", "Услуги по организации питания детей")</f>
        <v>Услуги по организации питания детей</v>
      </c>
      <c r="G11444" s="22" t="s">
        <v>174</v>
      </c>
      <c r="H11444" s="22" t="s">
        <v>530</v>
      </c>
      <c r="I11444" s="26">
        <v>43668.636331018497</v>
      </c>
      <c r="J11444" s="23" t="str">
        <f>HYPERLINK("https://www.spark-marketing.ru/Card/Person/4952099", "ООО ""ТОП""")</f>
        <v>ООО "ТОП"</v>
      </c>
      <c r="K11444" s="24" t="s">
        <v>15133</v>
      </c>
      <c r="L11444" s="22" t="s">
        <v>10</v>
      </c>
      <c r="M11444" s="25">
        <v>936557.7</v>
      </c>
      <c r="N11444" s="27">
        <v>1.4999999999999999E-2</v>
      </c>
    </row>
    <row r="11445" spans="1:14" hidden="1" outlineLevel="1" x14ac:dyDescent="0.2">
      <c r="A11445" s="23" t="str">
        <f>HYPERLINK("https://www.spark-marketing.ru/Card/Person/1013618", "ГКОУ СО ""ЕКАТЕРИНБУРГСКАЯ ШКОЛА-ИНТЕРНАТ №6""")</f>
        <v>ГКОУ СО "ЕКАТЕРИНБУРГСКАЯ ШКОЛА-ИНТЕРНАТ №6"</v>
      </c>
      <c r="B11445" s="24" t="s">
        <v>528</v>
      </c>
      <c r="C11445" s="25">
        <v>950820</v>
      </c>
      <c r="D11445" s="22" t="s">
        <v>15914</v>
      </c>
      <c r="E11445" s="22" t="s">
        <v>48</v>
      </c>
      <c r="F11445" s="23" t="str">
        <f>HYPERLINK("https://www.spark-marketing.ru/Card/Lot/72254274", "Услуги по организации питания детей")</f>
        <v>Услуги по организации питания детей</v>
      </c>
      <c r="G11445" s="22" t="s">
        <v>174</v>
      </c>
      <c r="H11445" s="22" t="s">
        <v>530</v>
      </c>
      <c r="I11445" s="26">
        <v>43668.636331018497</v>
      </c>
      <c r="J11445" s="23" t="str">
        <f>HYPERLINK("https://www.spark-marketing.ru/Card/Person/4495821", "ООО ""ОЛЕС""")</f>
        <v>ООО "ОЛЕС"</v>
      </c>
      <c r="K11445" s="24" t="s">
        <v>15915</v>
      </c>
      <c r="L11445" s="28" t="s">
        <v>51</v>
      </c>
      <c r="M11445" s="25">
        <v>941311.8</v>
      </c>
      <c r="N11445" s="27">
        <v>0.01</v>
      </c>
    </row>
    <row r="11446" spans="1:14" x14ac:dyDescent="0.15">
      <c r="A11446" s="23" t="str">
        <f>HYPERLINK("https://www.spark-marketing.ru/Card/Person/379605", "ОТД МВД РОССИИ ПО КАСТОРЕНСКОМУ РАЙОНУ")</f>
        <v>ОТД МВД РОССИИ ПО КАСТОРЕНСКОМУ РАЙОНУ</v>
      </c>
      <c r="B11446" s="24" t="s">
        <v>15916</v>
      </c>
      <c r="C11446" s="25">
        <v>233800</v>
      </c>
      <c r="D11446" s="22" t="s">
        <v>15917</v>
      </c>
      <c r="E11446" s="22" t="s">
        <v>96</v>
      </c>
      <c r="F11446" s="23" t="str">
        <f>HYPERLINK("https://www.spark-marketing.ru/Card/Lot/72251564", "Оказание услуг по организации питания (приготовлению и доставке), 1558 шт")</f>
        <v>Оказание услуг по организации питания (приготовлению и доставке), 1558 шт</v>
      </c>
      <c r="G11446" s="22" t="s">
        <v>1111</v>
      </c>
      <c r="H11446" s="22" t="s">
        <v>15918</v>
      </c>
      <c r="I11446" s="26">
        <v>43668.6492476852</v>
      </c>
      <c r="J11446" s="28" t="s">
        <v>51</v>
      </c>
      <c r="K11446" s="28" t="s">
        <v>51</v>
      </c>
      <c r="L11446" s="28" t="s">
        <v>51</v>
      </c>
      <c r="M11446" s="28" t="s">
        <v>51</v>
      </c>
      <c r="N11446" s="28" t="s">
        <v>51</v>
      </c>
    </row>
    <row r="11447" spans="1:14" x14ac:dyDescent="0.2">
      <c r="A11447" s="23" t="str">
        <f>HYPERLINK("https://www.spark-marketing.ru/Card/Person/736213", "ГБПОУ ИПК")</f>
        <v>ГБПОУ ИПК</v>
      </c>
      <c r="B11447" s="24" t="s">
        <v>15919</v>
      </c>
      <c r="C11447" s="25">
        <v>1515315.7</v>
      </c>
      <c r="D11447" s="22" t="s">
        <v>15920</v>
      </c>
      <c r="E11447" s="22" t="s">
        <v>48</v>
      </c>
      <c r="F11447" s="23" t="str">
        <f>HYPERLINK("https://www.spark-marketing.ru/Card/Lot/72247581", "Предоставление услуги по организации горячего питания обучающихся ГБПОУ ИПК")</f>
        <v>Предоставление услуги по организации горячего питания обучающихся ГБПОУ ИПК</v>
      </c>
      <c r="G11447" s="22" t="s">
        <v>145</v>
      </c>
      <c r="H11447" s="22" t="s">
        <v>3456</v>
      </c>
      <c r="I11447" s="26">
        <v>43668.6027777778</v>
      </c>
      <c r="J11447" s="23" t="str">
        <f>HYPERLINK("https://www.spark-marketing.ru/Card/Person/5767676", "Янбердина Фируза Нарсовна")</f>
        <v>Янбердина Фируза Нарсовна</v>
      </c>
      <c r="K11447" s="24" t="s">
        <v>15921</v>
      </c>
      <c r="L11447" s="28" t="s">
        <v>51</v>
      </c>
      <c r="M11447" s="25">
        <v>1515315.7</v>
      </c>
      <c r="N11447" s="27">
        <v>0</v>
      </c>
    </row>
    <row r="11448" spans="1:14" x14ac:dyDescent="0.2">
      <c r="A11448" s="23" t="str">
        <f>HYPERLINK("https://www.spark-marketing.ru/Card/Person/1045740", "МБОУ ""СОШ №4 Г. ОСЫ""")</f>
        <v>МБОУ "СОШ №4 Г. ОСЫ"</v>
      </c>
      <c r="B11448" s="24" t="s">
        <v>15922</v>
      </c>
      <c r="C11448" s="25">
        <v>2344648.7999999998</v>
      </c>
      <c r="D11448" s="22" t="s">
        <v>15923</v>
      </c>
      <c r="E11448" s="22" t="s">
        <v>96</v>
      </c>
      <c r="F11448" s="23" t="str">
        <f>HYPERLINK("https://www.spark-marketing.ru/Card/Lot/72246881", "Оказание услуг по организации горячего питания для обучающихся из малоимущих и многодетных малоимущих семей, а так же для обучающихся с ограниченными возможностями здоровья в Муниципальном бюджетном общеобразовательном учреждении ""Средняя общеобразо...")</f>
        <v>Оказание услуг по организации горячего питания для обучающихся из малоимущих и многодетных малоимущих семей, а так же для обучающихся с ограниченными возможностями здоровья в Муниципальном бюджетном общеобразовательном учреждении "Средняя общеобразо...</v>
      </c>
      <c r="G11448" s="22" t="s">
        <v>153</v>
      </c>
      <c r="H11448" s="22" t="s">
        <v>153</v>
      </c>
      <c r="I11448" s="26">
        <v>43668.587500000001</v>
      </c>
      <c r="J11448" s="23" t="str">
        <f>HYPERLINK("https://www.spark-marketing.ru/Card/Person/45475", "ООО ""ТРАПЕЗА""")</f>
        <v>ООО "ТРАПЕЗА"</v>
      </c>
      <c r="K11448" s="24" t="s">
        <v>7880</v>
      </c>
      <c r="L11448" s="28" t="s">
        <v>51</v>
      </c>
      <c r="M11448" s="25">
        <v>2300000</v>
      </c>
      <c r="N11448" s="27">
        <v>1.9042851961453673E-2</v>
      </c>
    </row>
    <row r="11449" spans="1:14" x14ac:dyDescent="0.15">
      <c r="A11449" s="23" t="str">
        <f>HYPERLINK("https://www.spark-marketing.ru/Card/Person/104257", "МОУ СРЕДНЯЯ ОБЩЕОБРАЗОВАТЕЛЬНАЯ ШКОЛА № 2 Г. МАЛОЯРОСЛАВЦА ИМЕНИ А.Н. РАДИЩЕВА")</f>
        <v>МОУ СРЕДНЯЯ ОБЩЕОБРАЗОВАТЕЛЬНАЯ ШКОЛА № 2 Г. МАЛОЯРОСЛАВЦА ИМЕНИ А.Н. РАДИЩЕВА</v>
      </c>
      <c r="B11449" s="24" t="s">
        <v>15924</v>
      </c>
      <c r="C11449" s="25">
        <v>1294000</v>
      </c>
      <c r="D11449" s="22" t="s">
        <v>15925</v>
      </c>
      <c r="E11449" s="22" t="s">
        <v>48</v>
      </c>
      <c r="F11449" s="23" t="str">
        <f>HYPERLINK("https://www.spark-marketing.ru/Card/Lot/72256519", "Оказание услуг по организации горячего питания обучающихся школы №2 г.Малоярославца имени А.Н. Радищева (реестровый номер:1970 Э-10/19 сб)")</f>
        <v>Оказание услуг по организации горячего питания обучающихся школы №2 г.Малоярославца имени А.Н. Радищева (реестровый номер:1970 Э-10/19 сб)</v>
      </c>
      <c r="G11449" s="22" t="s">
        <v>112</v>
      </c>
      <c r="H11449" s="22" t="s">
        <v>112</v>
      </c>
      <c r="I11449" s="26">
        <v>43668.609131944402</v>
      </c>
      <c r="J11449" s="28" t="s">
        <v>51</v>
      </c>
      <c r="K11449" s="28" t="s">
        <v>51</v>
      </c>
      <c r="L11449" s="28" t="s">
        <v>51</v>
      </c>
      <c r="M11449" s="28" t="s">
        <v>51</v>
      </c>
      <c r="N11449" s="28" t="s">
        <v>51</v>
      </c>
    </row>
    <row r="11450" spans="1:14" ht="12.75" hidden="1" outlineLevel="1" x14ac:dyDescent="0.2">
      <c r="A11450" s="23" t="str">
        <f>HYPERLINK("https://www.spark-marketing.ru/Card/Person/104257", "МОУ СРЕДНЯЯ ОБЩЕОБРАЗОВАТЕЛЬНАЯ ШКОЛА № 2 Г. МАЛОЯРОСЛАВЦА ИМЕНИ А.Н. РАДИЩЕВА")</f>
        <v>МОУ СРЕДНЯЯ ОБЩЕОБРАЗОВАТЕЛЬНАЯ ШКОЛА № 2 Г. МАЛОЯРОСЛАВЦА ИМЕНИ А.Н. РАДИЩЕВА</v>
      </c>
      <c r="B11450" s="24" t="s">
        <v>15924</v>
      </c>
      <c r="C11450" s="25">
        <v>1294000</v>
      </c>
      <c r="D11450" s="22" t="s">
        <v>15925</v>
      </c>
      <c r="E11450" s="22" t="s">
        <v>48</v>
      </c>
      <c r="F11450" s="23" t="str">
        <f>HYPERLINK("https://www.spark-marketing.ru/Card/Lot/72256519", "Оказание услуг по организации горячего питания обучающихся школы №2 г.Малоярославца имени А.Н. Радищева (реестровый номер:1970 Э-10/19 сб)")</f>
        <v>Оказание услуг по организации горячего питания обучающихся школы №2 г.Малоярославца имени А.Н. Радищева (реестровый номер:1970 Э-10/19 сб)</v>
      </c>
      <c r="G11450" s="22" t="s">
        <v>112</v>
      </c>
      <c r="H11450" s="22" t="s">
        <v>112</v>
      </c>
      <c r="I11450" s="26">
        <v>43668.609131944402</v>
      </c>
      <c r="J11450" s="23" t="str">
        <f>HYPERLINK("https://www.spark-marketing.ru/Card/Person/138382", "Киржинова Родима Каншобиевна")</f>
        <v>Киржинова Родима Каншобиевна</v>
      </c>
      <c r="K11450" s="24" t="s">
        <v>14828</v>
      </c>
      <c r="L11450" s="22" t="s">
        <v>10</v>
      </c>
      <c r="M11450" s="25">
        <v>899330</v>
      </c>
      <c r="N11450" s="27">
        <v>0.30499999999999999</v>
      </c>
    </row>
    <row r="11451" spans="1:14" hidden="1" outlineLevel="1" x14ac:dyDescent="0.2">
      <c r="A11451" s="23" t="str">
        <f>HYPERLINK("https://www.spark-marketing.ru/Card/Person/104257", "МОУ СРЕДНЯЯ ОБЩЕОБРАЗОВАТЕЛЬНАЯ ШКОЛА № 2 Г. МАЛОЯРОСЛАВЦА ИМЕНИ А.Н. РАДИЩЕВА")</f>
        <v>МОУ СРЕДНЯЯ ОБЩЕОБРАЗОВАТЕЛЬНАЯ ШКОЛА № 2 Г. МАЛОЯРОСЛАВЦА ИМЕНИ А.Н. РАДИЩЕВА</v>
      </c>
      <c r="B11451" s="24" t="s">
        <v>15924</v>
      </c>
      <c r="C11451" s="25">
        <v>1294000</v>
      </c>
      <c r="D11451" s="22" t="s">
        <v>15925</v>
      </c>
      <c r="E11451" s="22" t="s">
        <v>48</v>
      </c>
      <c r="F11451" s="23" t="str">
        <f>HYPERLINK("https://www.spark-marketing.ru/Card/Lot/72256519", "Оказание услуг по организации горячего питания обучающихся школы №2 г.Малоярославца имени А.Н. Радищева (реестровый номер:1970 Э-10/19 сб)")</f>
        <v>Оказание услуг по организации горячего питания обучающихся школы №2 г.Малоярославца имени А.Н. Радищева (реестровый номер:1970 Э-10/19 сб)</v>
      </c>
      <c r="G11451" s="22" t="s">
        <v>112</v>
      </c>
      <c r="H11451" s="22" t="s">
        <v>112</v>
      </c>
      <c r="I11451" s="26">
        <v>43668.609131944402</v>
      </c>
      <c r="J11451" s="23" t="str">
        <f>HYPERLINK("https://www.spark-marketing.ru/Card/Person/54026", "ООО ""КПК""")</f>
        <v>ООО "КПК"</v>
      </c>
      <c r="K11451" s="24" t="s">
        <v>7348</v>
      </c>
      <c r="L11451" s="28" t="s">
        <v>51</v>
      </c>
      <c r="M11451" s="25">
        <v>905800</v>
      </c>
      <c r="N11451" s="27">
        <v>0.3</v>
      </c>
    </row>
    <row r="11452" spans="1:14" x14ac:dyDescent="0.15">
      <c r="A11452" s="23" t="str">
        <f>HYPERLINK("https://www.spark-marketing.ru/Card/Person/37769", "МКОУ ""СОШ С.СОЛЯНКА""")</f>
        <v>МКОУ "СОШ С.СОЛЯНКА"</v>
      </c>
      <c r="B11452" s="24" t="s">
        <v>15926</v>
      </c>
      <c r="C11452" s="25">
        <v>1014755</v>
      </c>
      <c r="D11452" s="22" t="s">
        <v>15927</v>
      </c>
      <c r="E11452" s="22" t="s">
        <v>48</v>
      </c>
      <c r="F11452" s="23" t="str">
        <f>HYPERLINK("https://www.spark-marketing.ru/Card/Lot/72252840", "Организация горячего питания (горячий завтрак) для обучающихся 1-4 классов, горячего питания (горячий обед) для обучающихся, доставляемых к месту учёбы из других населенных пунктов на базе школьной столовой МКОУ ""СОШ с. Солянка""")</f>
        <v>Организация горячего питания (горячий завтрак) для обучающихся 1-4 классов, горячего питания (горячий обед) для обучающихся, доставляемых к месту учёбы из других населенных пунктов на базе школьной столовой МКОУ "СОШ с. Солянка"</v>
      </c>
      <c r="G11452" s="22" t="s">
        <v>141</v>
      </c>
      <c r="H11452" s="22" t="s">
        <v>141</v>
      </c>
      <c r="I11452" s="26">
        <v>43668.587534722203</v>
      </c>
      <c r="J11452" s="23" t="str">
        <f>HYPERLINK("https://www.spark-marketing.ru/Card/Person/1104816", "Симбирцева Татьяна Игоревна")</f>
        <v>Симбирцева Татьяна Игоревна</v>
      </c>
      <c r="K11452" s="24" t="s">
        <v>12119</v>
      </c>
      <c r="L11452" s="22" t="s">
        <v>10</v>
      </c>
      <c r="M11452" s="28" t="s">
        <v>51</v>
      </c>
      <c r="N11452" s="28" t="s">
        <v>51</v>
      </c>
    </row>
    <row r="11453" spans="1:14" x14ac:dyDescent="0.15">
      <c r="A11453" s="23" t="str">
        <f>HYPERLINK("https://www.spark-marketing.ru/Card/Person/1071839", "ГБОУ АО ""ШЕНКУРСКАЯ СКОШИ""")</f>
        <v>ГБОУ АО "ШЕНКУРСКАЯ СКОШИ"</v>
      </c>
      <c r="B11453" s="24" t="s">
        <v>15928</v>
      </c>
      <c r="C11453" s="25">
        <v>1100000</v>
      </c>
      <c r="D11453" s="22" t="s">
        <v>15929</v>
      </c>
      <c r="E11453" s="22" t="s">
        <v>48</v>
      </c>
      <c r="F11453" s="23" t="str">
        <f>HYPERLINK("https://www.spark-marketing.ru/Card/Lot/72256549", "оказание услуг по организации питания учащихся")</f>
        <v>оказание услуг по организации питания учащихся</v>
      </c>
      <c r="G11453" s="22" t="s">
        <v>214</v>
      </c>
      <c r="H11453" s="22" t="s">
        <v>13390</v>
      </c>
      <c r="I11453" s="26">
        <v>43668.623634259297</v>
      </c>
      <c r="J11453" s="23" t="str">
        <f>HYPERLINK("https://www.spark-marketing.ru/Card/Person/1108688", "ПО ""ШЕНКУРСКОЕ""")</f>
        <v>ПО "ШЕНКУРСКОЕ"</v>
      </c>
      <c r="K11453" s="24" t="s">
        <v>13391</v>
      </c>
      <c r="L11453" s="22" t="s">
        <v>10</v>
      </c>
      <c r="M11453" s="28" t="s">
        <v>51</v>
      </c>
      <c r="N11453" s="28" t="s">
        <v>51</v>
      </c>
    </row>
    <row r="11454" spans="1:14" x14ac:dyDescent="0.2">
      <c r="A11454" s="23" t="str">
        <f>HYPERLINK("https://www.spark-marketing.ru/Card/Person/1061365", "МБДОУ ""ДЕТСКИЙ САД № 3""")</f>
        <v>МБДОУ "ДЕТСКИЙ САД № 3"</v>
      </c>
      <c r="B11454" s="24" t="s">
        <v>15930</v>
      </c>
      <c r="C11454" s="25">
        <v>711091</v>
      </c>
      <c r="D11454" s="22" t="s">
        <v>15931</v>
      </c>
      <c r="E11454" s="22" t="s">
        <v>48</v>
      </c>
      <c r="F11454" s="23" t="str">
        <f>HYPERLINK("https://www.spark-marketing.ru/Card/Lot/72252699", "Оказание полного комплекса услуг по организации питания")</f>
        <v>Оказание полного комплекса услуг по организации питания</v>
      </c>
      <c r="G11454" s="22" t="s">
        <v>663</v>
      </c>
      <c r="H11454" s="22" t="s">
        <v>663</v>
      </c>
      <c r="I11454" s="26">
        <v>43668.616666666698</v>
      </c>
      <c r="J11454" s="23" t="str">
        <f>HYPERLINK("https://www.spark-marketing.ru/Card/Person/335860", "МУП КП ""СУНГИРЬ""")</f>
        <v>МУП КП "СУНГИРЬ"</v>
      </c>
      <c r="K11454" s="24" t="s">
        <v>3282</v>
      </c>
      <c r="L11454" s="28" t="s">
        <v>51</v>
      </c>
      <c r="M11454" s="25">
        <v>711091</v>
      </c>
      <c r="N11454" s="27">
        <v>0</v>
      </c>
    </row>
    <row r="11455" spans="1:14" x14ac:dyDescent="0.15">
      <c r="A11455" s="23" t="str">
        <f>HYPERLINK("https://www.spark-marketing.ru/Card/Person/270031", "ОТДЕЛ МВД РОССИИ ПО КСТОВСКОМУ РАЙОНУ")</f>
        <v>ОТДЕЛ МВД РОССИИ ПО КСТОВСКОМУ РАЙОНУ</v>
      </c>
      <c r="B11455" s="24" t="s">
        <v>9724</v>
      </c>
      <c r="C11455" s="25">
        <v>1200000</v>
      </c>
      <c r="D11455" s="22" t="s">
        <v>15932</v>
      </c>
      <c r="E11455" s="22" t="s">
        <v>48</v>
      </c>
      <c r="F11455" s="23" t="str">
        <f>HYPERLINK("https://www.spark-marketing.ru/Card/Lot/72253014", "оказание услуги по организации питания лиц содержащихся в изоляторе временного содержания подозреваемых и обвиняемых, в специальном помещении для задержанных Отдела МВД России по Кстовскому району")</f>
        <v>оказание услуги по организации питания лиц содержащихся в изоляторе временного содержания подозреваемых и обвиняемых, в специальном помещении для задержанных Отдела МВД России по Кстовскому району</v>
      </c>
      <c r="G11455" s="22" t="s">
        <v>76</v>
      </c>
      <c r="H11455" s="22" t="s">
        <v>76</v>
      </c>
      <c r="I11455" s="26">
        <v>43668.611574074101</v>
      </c>
      <c r="J11455" s="28" t="s">
        <v>51</v>
      </c>
      <c r="K11455" s="28" t="s">
        <v>51</v>
      </c>
      <c r="L11455" s="28" t="s">
        <v>51</v>
      </c>
      <c r="M11455" s="28" t="s">
        <v>51</v>
      </c>
      <c r="N11455" s="28" t="s">
        <v>51</v>
      </c>
    </row>
    <row r="11456" spans="1:14" ht="12.75" hidden="1" outlineLevel="1" x14ac:dyDescent="0.2">
      <c r="A11456" s="23" t="str">
        <f>HYPERLINK("https://www.spark-marketing.ru/Card/Person/270031", "ОТДЕЛ МВД РОССИИ ПО КСТОВСКОМУ РАЙОНУ")</f>
        <v>ОТДЕЛ МВД РОССИИ ПО КСТОВСКОМУ РАЙОНУ</v>
      </c>
      <c r="B11456" s="24" t="s">
        <v>9724</v>
      </c>
      <c r="C11456" s="25">
        <v>1200000</v>
      </c>
      <c r="D11456" s="22" t="s">
        <v>15932</v>
      </c>
      <c r="E11456" s="22" t="s">
        <v>48</v>
      </c>
      <c r="F11456" s="23" t="str">
        <f>HYPERLINK("https://www.spark-marketing.ru/Card/Lot/72253014", "оказание услуги по организации питания лиц содержащихся в изоляторе временного содержания подозреваемых и обвиняемых, в специальном помещении для задержанных Отдела МВД России по Кстовскому району")</f>
        <v>оказание услуги по организации питания лиц содержащихся в изоляторе временного содержания подозреваемых и обвиняемых, в специальном помещении для задержанных Отдела МВД России по Кстовскому району</v>
      </c>
      <c r="G11456" s="22" t="s">
        <v>76</v>
      </c>
      <c r="H11456" s="22" t="s">
        <v>76</v>
      </c>
      <c r="I11456" s="26">
        <v>43668.611574074101</v>
      </c>
      <c r="J11456" s="23" t="str">
        <f>HYPERLINK("https://www.spark-marketing.ru/Card/Person/6677663", "ВЕДЕНЕЕВА ЮЛИЯ АНАТОЛЬЕВНА")</f>
        <v>ВЕДЕНЕЕВА ЮЛИЯ АНАТОЛЬЕВНА</v>
      </c>
      <c r="K11456" s="24" t="s">
        <v>15933</v>
      </c>
      <c r="L11456" s="22" t="s">
        <v>10</v>
      </c>
      <c r="M11456" s="25">
        <v>2342.86</v>
      </c>
      <c r="N11456" s="27">
        <v>0.99804761666666664</v>
      </c>
    </row>
    <row r="11457" spans="1:14" hidden="1" outlineLevel="1" x14ac:dyDescent="0.2">
      <c r="A11457" s="23" t="str">
        <f>HYPERLINK("https://www.spark-marketing.ru/Card/Person/270031", "ОТДЕЛ МВД РОССИИ ПО КСТОВСКОМУ РАЙОНУ")</f>
        <v>ОТДЕЛ МВД РОССИИ ПО КСТОВСКОМУ РАЙОНУ</v>
      </c>
      <c r="B11457" s="24" t="s">
        <v>9724</v>
      </c>
      <c r="C11457" s="25">
        <v>1200000</v>
      </c>
      <c r="D11457" s="22" t="s">
        <v>15932</v>
      </c>
      <c r="E11457" s="22" t="s">
        <v>48</v>
      </c>
      <c r="F11457" s="23" t="str">
        <f>HYPERLINK("https://www.spark-marketing.ru/Card/Lot/72253014", "оказание услуги по организации питания лиц содержащихся в изоляторе временного содержания подозреваемых и обвиняемых, в специальном помещении для задержанных Отдела МВД России по Кстовскому району")</f>
        <v>оказание услуги по организации питания лиц содержащихся в изоляторе временного содержания подозреваемых и обвиняемых, в специальном помещении для задержанных Отдела МВД России по Кстовскому району</v>
      </c>
      <c r="G11457" s="22" t="s">
        <v>76</v>
      </c>
      <c r="H11457" s="22" t="s">
        <v>76</v>
      </c>
      <c r="I11457" s="26">
        <v>43668.611574074101</v>
      </c>
      <c r="J11457" s="23" t="str">
        <f>HYPERLINK("https://www.spark-marketing.ru/Card/Person/6634118", "Матвеева Ольга Юрьевна")</f>
        <v>Матвеева Ольга Юрьевна</v>
      </c>
      <c r="K11457" s="24" t="s">
        <v>5786</v>
      </c>
      <c r="L11457" s="28" t="s">
        <v>51</v>
      </c>
      <c r="M11457" s="25">
        <v>2354.69</v>
      </c>
      <c r="N11457" s="27">
        <v>0.9980377583333333</v>
      </c>
    </row>
    <row r="11458" spans="1:14" x14ac:dyDescent="0.15">
      <c r="A11458" s="23" t="str">
        <f>HYPERLINK("https://www.spark-marketing.ru/Card/Person/256807", "КУЗ УР ""ВОТКИНСКИЙ МПТД МЗ УР""")</f>
        <v>КУЗ УР "ВОТКИНСКИЙ МПТД МЗ УР"</v>
      </c>
      <c r="B11458" s="24" t="s">
        <v>15934</v>
      </c>
      <c r="C11458" s="25">
        <v>449029</v>
      </c>
      <c r="D11458" s="22" t="s">
        <v>15935</v>
      </c>
      <c r="E11458" s="22" t="s">
        <v>51</v>
      </c>
      <c r="F11458" s="23" t="str">
        <f>HYPERLINK("https://www.spark-marketing.ru/Card/Lot/72249169", "№ зз-24017-19 Услуги по обеспечению питанием, осуществляемые по договору, прочие")</f>
        <v>№ зз-24017-19 Услуги по обеспечению питанием, осуществляемые по договору, прочие</v>
      </c>
      <c r="G11458" s="22" t="s">
        <v>852</v>
      </c>
      <c r="H11458" s="22" t="s">
        <v>4665</v>
      </c>
      <c r="I11458" s="26">
        <v>43668.603877314803</v>
      </c>
      <c r="J11458" s="23" t="str">
        <f>HYPERLINK("https://www.spark-marketing.ru/Card/Person/6599514", "ООО ""ПРОВАНС""")</f>
        <v>ООО "ПРОВАНС"</v>
      </c>
      <c r="K11458" s="24" t="s">
        <v>10709</v>
      </c>
      <c r="L11458" s="22" t="s">
        <v>10</v>
      </c>
      <c r="M11458" s="28" t="s">
        <v>51</v>
      </c>
      <c r="N11458" s="28" t="s">
        <v>51</v>
      </c>
    </row>
    <row r="11459" spans="1:14" x14ac:dyDescent="0.15">
      <c r="A11459" s="23" t="str">
        <f>HYPERLINK("https://www.spark-marketing.ru/Card/Person/27404", "ФКУ ""ЦХИСО МВД ПО РЕСПУБЛИКЕ МАРИЙ ЭЛ""")</f>
        <v>ФКУ "ЦХИСО МВД ПО РЕСПУБЛИКЕ МАРИЙ ЭЛ"</v>
      </c>
      <c r="B11459" s="24" t="s">
        <v>14697</v>
      </c>
      <c r="C11459" s="25">
        <v>1155000</v>
      </c>
      <c r="D11459" s="22" t="s">
        <v>15936</v>
      </c>
      <c r="E11459" s="22" t="s">
        <v>48</v>
      </c>
      <c r="F11459" s="23" t="str">
        <f>HYPERLINK("https://www.spark-marketing.ru/Card/Lot/72254188", "Оказание услуг по организации питания слушателей ЦПП МВД по Республике Марий Эл")</f>
        <v>Оказание услуг по организации питания слушателей ЦПП МВД по Республике Марий Эл</v>
      </c>
      <c r="G11459" s="22" t="s">
        <v>3249</v>
      </c>
      <c r="H11459" s="22" t="s">
        <v>3250</v>
      </c>
      <c r="I11459" s="26">
        <v>43668.604444444398</v>
      </c>
      <c r="J11459" s="23" t="str">
        <f>HYPERLINK("https://www.spark-marketing.ru/Card/Person/6682774", "Романов Владислав Сергеевич")</f>
        <v>Романов Владислав Сергеевич</v>
      </c>
      <c r="K11459" s="24" t="s">
        <v>15937</v>
      </c>
      <c r="L11459" s="28" t="s">
        <v>51</v>
      </c>
      <c r="M11459" s="28" t="s">
        <v>51</v>
      </c>
      <c r="N11459" s="28" t="s">
        <v>51</v>
      </c>
    </row>
    <row r="11460" spans="1:14" ht="12.75" hidden="1" outlineLevel="1" x14ac:dyDescent="0.2">
      <c r="A11460" s="23" t="str">
        <f>HYPERLINK("https://www.spark-marketing.ru/Card/Person/27404", "ФКУ ""ЦХИСО МВД ПО РЕСПУБЛИКЕ МАРИЙ ЭЛ""")</f>
        <v>ФКУ "ЦХИСО МВД ПО РЕСПУБЛИКЕ МАРИЙ ЭЛ"</v>
      </c>
      <c r="B11460" s="24" t="s">
        <v>14697</v>
      </c>
      <c r="C11460" s="25">
        <v>1155000</v>
      </c>
      <c r="D11460" s="22" t="s">
        <v>15936</v>
      </c>
      <c r="E11460" s="22" t="s">
        <v>48</v>
      </c>
      <c r="F11460" s="23" t="str">
        <f>HYPERLINK("https://www.spark-marketing.ru/Card/Lot/72254188", "Оказание услуг по организации питания слушателей ЦПП МВД по Республике Марий Эл")</f>
        <v>Оказание услуг по организации питания слушателей ЦПП МВД по Республике Марий Эл</v>
      </c>
      <c r="G11460" s="22" t="s">
        <v>3249</v>
      </c>
      <c r="H11460" s="22" t="s">
        <v>3250</v>
      </c>
      <c r="I11460" s="26">
        <v>43668.604444444398</v>
      </c>
      <c r="J11460" s="23" t="str">
        <f>HYPERLINK("https://www.spark-marketing.ru/Card/Person/6682774", "Романов Владислав Сергеевич")</f>
        <v>Романов Владислав Сергеевич</v>
      </c>
      <c r="K11460" s="24" t="s">
        <v>15937</v>
      </c>
      <c r="L11460" s="22" t="s">
        <v>10</v>
      </c>
      <c r="M11460" s="25">
        <v>785.75</v>
      </c>
      <c r="N11460" s="27">
        <v>0.99931969696969702</v>
      </c>
    </row>
    <row r="11461" spans="1:14" x14ac:dyDescent="0.15">
      <c r="A11461" s="23" t="str">
        <f>HYPERLINK("https://www.spark-marketing.ru/Card/Person/4346989", "У МВД РОССИИ ПО Г.ТОЛЬЯТТИ")</f>
        <v>У МВД РОССИИ ПО Г.ТОЛЬЯТТИ</v>
      </c>
      <c r="B11461" s="24" t="s">
        <v>15938</v>
      </c>
      <c r="C11461" s="25">
        <v>475417.42</v>
      </c>
      <c r="D11461" s="22" t="s">
        <v>15939</v>
      </c>
      <c r="E11461" s="22" t="s">
        <v>48</v>
      </c>
      <c r="F11461" s="23" t="str">
        <f>HYPERLINK("https://www.spark-marketing.ru/Card/Lot/72251773", "Оказание услуг по организации горячего питания в ИВС У МВД России по г. 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сод...")</f>
        <v>Оказание услуг по организации горячего питания в ИВС У МВД России по г. 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сод...</v>
      </c>
      <c r="G11461" s="22" t="s">
        <v>128</v>
      </c>
      <c r="H11461" s="22" t="s">
        <v>128</v>
      </c>
      <c r="I11461" s="26">
        <v>43668.609502314801</v>
      </c>
      <c r="J11461" s="28" t="s">
        <v>51</v>
      </c>
      <c r="K11461" s="28" t="s">
        <v>51</v>
      </c>
      <c r="L11461" s="28" t="s">
        <v>51</v>
      </c>
      <c r="M11461" s="28" t="s">
        <v>51</v>
      </c>
      <c r="N11461" s="28" t="s">
        <v>51</v>
      </c>
    </row>
    <row r="11462" spans="1:14" ht="12.75" hidden="1" outlineLevel="1" x14ac:dyDescent="0.2">
      <c r="A11462" s="23" t="str">
        <f>HYPERLINK("https://www.spark-marketing.ru/Card/Person/4346989", "У МВД РОССИИ ПО Г.ТОЛЬЯТТИ")</f>
        <v>У МВД РОССИИ ПО Г.ТОЛЬЯТТИ</v>
      </c>
      <c r="B11462" s="24" t="s">
        <v>15938</v>
      </c>
      <c r="C11462" s="25">
        <v>475417.42</v>
      </c>
      <c r="D11462" s="22" t="s">
        <v>15939</v>
      </c>
      <c r="E11462" s="22" t="s">
        <v>48</v>
      </c>
      <c r="F11462" s="23" t="str">
        <f>HYPERLINK("https://www.spark-marketing.ru/Card/Lot/72251773", "Оказание услуг по организации горячего питания в ИВС У МВД России по г. 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сод...")</f>
        <v>Оказание услуг по организации горячего питания в ИВС У МВД России по г. 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сод...</v>
      </c>
      <c r="G11462" s="22" t="s">
        <v>128</v>
      </c>
      <c r="H11462" s="22" t="s">
        <v>128</v>
      </c>
      <c r="I11462" s="26">
        <v>43668.609502314801</v>
      </c>
      <c r="J11462" s="23" t="str">
        <f>HYPERLINK("https://www.spark-marketing.ru/Card/Person/2395558", "ООО ""РЕСТОРИЯ""")</f>
        <v>ООО "РЕСТОРИЯ"</v>
      </c>
      <c r="K11462" s="24" t="s">
        <v>2093</v>
      </c>
      <c r="L11462" s="22" t="s">
        <v>10</v>
      </c>
      <c r="M11462" s="25">
        <v>432629.3</v>
      </c>
      <c r="N11462" s="27">
        <v>9.0001161505609106E-2</v>
      </c>
    </row>
    <row r="11463" spans="1:14" hidden="1" outlineLevel="1" x14ac:dyDescent="0.2">
      <c r="A11463" s="23" t="str">
        <f>HYPERLINK("https://www.spark-marketing.ru/Card/Person/4346989", "У МВД РОССИИ ПО Г.ТОЛЬЯТТИ")</f>
        <v>У МВД РОССИИ ПО Г.ТОЛЬЯТТИ</v>
      </c>
      <c r="B11463" s="24" t="s">
        <v>15938</v>
      </c>
      <c r="C11463" s="25">
        <v>475417.42</v>
      </c>
      <c r="D11463" s="22" t="s">
        <v>15939</v>
      </c>
      <c r="E11463" s="22" t="s">
        <v>48</v>
      </c>
      <c r="F11463" s="23" t="str">
        <f>HYPERLINK("https://www.spark-marketing.ru/Card/Lot/72251773", "Оказание услуг по организации горячего питания в ИВС У МВД России по г. 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сод...")</f>
        <v>Оказание услуг по организации горячего питания в ИВС У МВД России по г. 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сод...</v>
      </c>
      <c r="G11463" s="22" t="s">
        <v>128</v>
      </c>
      <c r="H11463" s="22" t="s">
        <v>128</v>
      </c>
      <c r="I11463" s="26">
        <v>43668.609502314801</v>
      </c>
      <c r="J11463" s="23" t="str">
        <f>HYPERLINK("https://www.spark-marketing.ru/Card/Person/6437703", "ООО ""ФЛАГМАН""")</f>
        <v>ООО "ФЛАГМАН"</v>
      </c>
      <c r="K11463" s="24" t="s">
        <v>14165</v>
      </c>
      <c r="L11463" s="28" t="s">
        <v>51</v>
      </c>
      <c r="M11463" s="25">
        <v>435006.39</v>
      </c>
      <c r="N11463" s="27">
        <v>8.5001155405706422E-2</v>
      </c>
    </row>
    <row r="11464" spans="1:14" x14ac:dyDescent="0.15">
      <c r="A11464" s="23" t="str">
        <f>HYPERLINK("https://www.spark-marketing.ru/Card/Person/1768864", "МАУ ""МЦКИМТ""")</f>
        <v>МАУ "МЦКИМТ"</v>
      </c>
      <c r="B11464" s="24" t="s">
        <v>15940</v>
      </c>
      <c r="C11464" s="25">
        <v>220000</v>
      </c>
      <c r="D11464" s="22" t="s">
        <v>15941</v>
      </c>
      <c r="E11464" s="22" t="s">
        <v>362</v>
      </c>
      <c r="F11464" s="23" t="str">
        <f>HYPERLINK("https://www.spark-marketing.ru/Card/Lot/72261841", "право заключения договора оказания услуг по организации питания участников проекта «Губернаторский молодежный трудовой отряд Ленинградской области"" с 01 по 09 сентября 2019 года")</f>
        <v>право заключения договора оказания услуг по организации питания участников проекта «Губернаторский молодежный трудовой отряд Ленинградской области" с 01 по 09 сентября 2019 года</v>
      </c>
      <c r="G11464" s="22" t="s">
        <v>162</v>
      </c>
      <c r="H11464" s="22" t="s">
        <v>162</v>
      </c>
      <c r="I11464" s="26">
        <v>43668.585231481498</v>
      </c>
      <c r="J11464" s="28" t="s">
        <v>51</v>
      </c>
      <c r="K11464" s="28" t="s">
        <v>51</v>
      </c>
      <c r="L11464" s="28" t="s">
        <v>51</v>
      </c>
      <c r="M11464" s="28" t="s">
        <v>51</v>
      </c>
      <c r="N11464" s="28" t="s">
        <v>51</v>
      </c>
    </row>
    <row r="11465" spans="1:14" x14ac:dyDescent="0.15">
      <c r="A11465" s="23" t="str">
        <f>HYPERLINK("https://www.spark-marketing.ru/Card/Person/539393", "ОМВД РОССИИ ПО ХОЛМСКОМУ ГОРОДСКОМУ ОКРУГУ")</f>
        <v>ОМВД РОССИИ ПО ХОЛМСКОМУ ГОРОДСКОМУ ОКРУГУ</v>
      </c>
      <c r="B11465" s="24" t="s">
        <v>2708</v>
      </c>
      <c r="C11465" s="25">
        <v>1836600</v>
      </c>
      <c r="D11465" s="22" t="s">
        <v>15942</v>
      </c>
      <c r="E11465" s="22" t="s">
        <v>48</v>
      </c>
      <c r="F11465" s="23" t="str">
        <f>HYPERLINK("https://www.spark-marketing.ru/Card/Lot/72236549", "Оказание услуг по организации трехразового горячего питания спецконтингента")</f>
        <v>Оказание услуг по организации трехразового горячего питания спецконтингента</v>
      </c>
      <c r="G11465" s="22" t="s">
        <v>260</v>
      </c>
      <c r="H11465" s="22" t="s">
        <v>2710</v>
      </c>
      <c r="I11465" s="26">
        <v>43668.585520833301</v>
      </c>
      <c r="J11465" s="23" t="str">
        <f>HYPERLINK("https://www.spark-marketing.ru/Card/Person/540001", "ООО ""ОБЩЕПИТ""")</f>
        <v>ООО "ОБЩЕПИТ"</v>
      </c>
      <c r="K11465" s="24" t="s">
        <v>2711</v>
      </c>
      <c r="L11465" s="22" t="s">
        <v>10</v>
      </c>
      <c r="M11465" s="28" t="s">
        <v>51</v>
      </c>
      <c r="N11465" s="28" t="s">
        <v>51</v>
      </c>
    </row>
    <row r="11466" spans="1:14" x14ac:dyDescent="0.15">
      <c r="A11466" s="23" t="str">
        <f>HYPERLINK("https://www.spark-marketing.ru/Card/Person/68393", "ГУ-РО ФОНДА СОЦИАЛЬНОГО СТРАХОВАНИЯ РОССИЙСКОЙ ФЕДЕРАЦИИ ПО ЕВРЕЙСКОЙ АО")</f>
        <v>ГУ-РО ФОНДА СОЦИАЛЬНОГО СТРАХОВАНИЯ РОССИЙСКОЙ ФЕДЕРАЦИИ ПО ЕВРЕЙСКОЙ АО</v>
      </c>
      <c r="B11466" s="24" t="s">
        <v>15943</v>
      </c>
      <c r="C11466" s="25">
        <v>242552.88</v>
      </c>
      <c r="D11466" s="22" t="s">
        <v>15944</v>
      </c>
      <c r="E11466" s="22" t="s">
        <v>86</v>
      </c>
      <c r="F11466" s="23" t="str">
        <f>HYPERLINK("https://www.spark-marketing.ru/Card/Lot/72236785", "Оказание услуг в 2019 году по организации санаторно-курортного лечения граждан-получателей государственной социальной помощи (кроме детей-инвалидов) по Классу XIII МКБ-10 ""Болезни костно-мышечной системы и соединительной ткани"", по Классу IV МКБ-10...")</f>
        <v>Оказание услуг в 2019 году по организации санаторно-курортного лечения граждан-получателей государственной социальной помощи (кроме детей-инвалидов) по Классу XIII МКБ-10 "Болезни костно-мышечной системы и соединительной ткани", по Классу IV МКБ-10...</v>
      </c>
      <c r="G11466" s="22" t="s">
        <v>4451</v>
      </c>
      <c r="H11466" s="22" t="s">
        <v>4452</v>
      </c>
      <c r="I11466" s="26">
        <v>43668.565509259301</v>
      </c>
      <c r="J11466" s="23" t="str">
        <f>HYPERLINK("https://www.spark-marketing.ru/Card/Person/162675", "ООО ""САНАТОРИЙ ""ИЗУМРУДНЫЙ""")</f>
        <v>ООО "САНАТОРИЙ "ИЗУМРУДНЫЙ"</v>
      </c>
      <c r="K11466" s="24" t="s">
        <v>15945</v>
      </c>
      <c r="L11466" s="22" t="s">
        <v>10</v>
      </c>
      <c r="M11466" s="28" t="s">
        <v>51</v>
      </c>
      <c r="N11466" s="28" t="s">
        <v>51</v>
      </c>
    </row>
    <row r="11467" spans="1:14" x14ac:dyDescent="0.15">
      <c r="A11467" s="23" t="str">
        <f>HYPERLINK("https://www.spark-marketing.ru/Card/Person/4889", "ГБУЗ ""ГКБ № 5"" Г. ОРЕНБУРГА")</f>
        <v>ГБУЗ "ГКБ № 5" Г. ОРЕНБУРГА</v>
      </c>
      <c r="B11467" s="24" t="s">
        <v>15946</v>
      </c>
      <c r="C11467" s="25">
        <v>6719300</v>
      </c>
      <c r="D11467" s="22" t="s">
        <v>15947</v>
      </c>
      <c r="E11467" s="22" t="s">
        <v>809</v>
      </c>
      <c r="F11467" s="23" t="str">
        <f>HYPERLINK("https://www.spark-marketing.ru/Card/Lot/72247050", "на поставку автоматизированных рабочих мест")</f>
        <v>на поставку автоматизированных рабочих мест</v>
      </c>
      <c r="G11467" s="22" t="s">
        <v>132</v>
      </c>
      <c r="H11467" s="22" t="s">
        <v>587</v>
      </c>
      <c r="I11467" s="26">
        <v>43668.550833333298</v>
      </c>
      <c r="J11467" s="23" t="str">
        <f>HYPERLINK("https://www.spark-marketing.ru/Card/Person/379343", "ООО ""СЕРВИС ПЛЮС""")</f>
        <v>ООО "СЕРВИС ПЛЮС"</v>
      </c>
      <c r="K11467" s="24" t="s">
        <v>7393</v>
      </c>
      <c r="L11467" s="28" t="s">
        <v>51</v>
      </c>
      <c r="M11467" s="28" t="s">
        <v>51</v>
      </c>
      <c r="N11467" s="28" t="s">
        <v>51</v>
      </c>
    </row>
    <row r="11468" spans="1:14" hidden="1" outlineLevel="1" x14ac:dyDescent="0.15">
      <c r="A11468" s="23" t="str">
        <f>HYPERLINK("https://www.spark-marketing.ru/Card/Person/4889", "ГБУЗ ""ГКБ № 5"" Г. ОРЕНБУРГА")</f>
        <v>ГБУЗ "ГКБ № 5" Г. ОРЕНБУРГА</v>
      </c>
      <c r="B11468" s="24" t="s">
        <v>15946</v>
      </c>
      <c r="C11468" s="25">
        <v>6719300</v>
      </c>
      <c r="D11468" s="22" t="s">
        <v>15947</v>
      </c>
      <c r="E11468" s="22" t="s">
        <v>809</v>
      </c>
      <c r="F11468" s="23" t="str">
        <f>HYPERLINK("https://www.spark-marketing.ru/Card/Lot/72247050", "на поставку автоматизированных рабочих мест")</f>
        <v>на поставку автоматизированных рабочих мест</v>
      </c>
      <c r="G11468" s="22" t="s">
        <v>132</v>
      </c>
      <c r="H11468" s="22" t="s">
        <v>587</v>
      </c>
      <c r="I11468" s="26">
        <v>43668.550833333298</v>
      </c>
      <c r="J11468" s="23" t="str">
        <f>HYPERLINK("https://www.spark-marketing.ru/Card/Person/379343", "ООО ""СЕРВИС ПЛЮС""")</f>
        <v>ООО "СЕРВИС ПЛЮС"</v>
      </c>
      <c r="K11468" s="24" t="s">
        <v>7393</v>
      </c>
      <c r="L11468" s="22" t="s">
        <v>10</v>
      </c>
      <c r="M11468" s="28" t="s">
        <v>51</v>
      </c>
      <c r="N11468" s="28" t="s">
        <v>51</v>
      </c>
    </row>
    <row r="11469" spans="1:14" x14ac:dyDescent="0.15">
      <c r="A11469" s="23" t="str">
        <f>HYPERLINK("https://www.spark-marketing.ru/Card/Person/95058", "МБОУ ШКОЛА С. ГРАЖДАНКА")</f>
        <v>МБОУ ШКОЛА С. ГРАЖДАНКА</v>
      </c>
      <c r="B11469" s="24" t="s">
        <v>15948</v>
      </c>
      <c r="C11469" s="25">
        <v>459527.2</v>
      </c>
      <c r="D11469" s="22" t="s">
        <v>15949</v>
      </c>
      <c r="E11469" s="22" t="s">
        <v>48</v>
      </c>
      <c r="F11469" s="23" t="str">
        <f>HYPERLINK("https://www.spark-marketing.ru/Card/Lot/72274138", "Оказание услуг по организации питания обучающихся  муниципального бюджетного общеобразовательного учреждения «Средняя школа с. Гражданка Анучинского района Приморского края»")</f>
        <v>Оказание услуг по организации питания обучающихся  муниципального бюджетного общеобразовательного учреждения «Средняя школа с. Гражданка Анучинского района Приморского края»</v>
      </c>
      <c r="G11469" s="22" t="s">
        <v>543</v>
      </c>
      <c r="H11469" s="22" t="s">
        <v>15869</v>
      </c>
      <c r="I11469" s="26">
        <v>43668.570648148103</v>
      </c>
      <c r="J11469" s="23" t="str">
        <f>HYPERLINK("https://www.spark-marketing.ru/Card/Person/218799", "АУ ""ЦЕНТР ПИТАНИЯ""")</f>
        <v>АУ "ЦЕНТР ПИТАНИЯ"</v>
      </c>
      <c r="K11469" s="24" t="s">
        <v>15870</v>
      </c>
      <c r="L11469" s="22" t="s">
        <v>10</v>
      </c>
      <c r="M11469" s="28" t="s">
        <v>51</v>
      </c>
      <c r="N11469" s="28" t="s">
        <v>51</v>
      </c>
    </row>
    <row r="11470" spans="1:14" x14ac:dyDescent="0.15">
      <c r="A11470" s="23" t="str">
        <f>HYPERLINK("https://www.spark-marketing.ru/Card/Person/1037424", "МДОУ ДЕТСКИЙ САД КОМБИНИРОВАННОГО ВИДА № 8 ""ТЕРЕМОК""")</f>
        <v>МДОУ ДЕТСКИЙ САД КОМБИНИРОВАННОГО ВИДА № 8 "ТЕРЕМОК"</v>
      </c>
      <c r="B11470" s="24" t="s">
        <v>1251</v>
      </c>
      <c r="C11470" s="25">
        <v>396495</v>
      </c>
      <c r="D11470" s="22" t="s">
        <v>15950</v>
      </c>
      <c r="E11470" s="22" t="s">
        <v>48</v>
      </c>
      <c r="F11470" s="23" t="str">
        <f>HYPERLINK("https://www.spark-marketing.ru/Card/Lot/72248395",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11470" s="22" t="s">
        <v>49</v>
      </c>
      <c r="H11470" s="22" t="s">
        <v>50</v>
      </c>
      <c r="I11470" s="26">
        <v>43668.565601851798</v>
      </c>
      <c r="J11470" s="28" t="s">
        <v>51</v>
      </c>
      <c r="K11470" s="28" t="s">
        <v>51</v>
      </c>
      <c r="L11470" s="28" t="s">
        <v>51</v>
      </c>
      <c r="M11470" s="28" t="s">
        <v>51</v>
      </c>
      <c r="N11470" s="28" t="s">
        <v>51</v>
      </c>
    </row>
    <row r="11471" spans="1:14" x14ac:dyDescent="0.15">
      <c r="A11471" s="23" t="str">
        <f>HYPERLINK("https://www.spark-marketing.ru/Card/Person/1053488", "МБОУ ""ЛЯМИНСКАЯ ООШ ИМ. ЗАЙЦЕВА Г.Н.""")</f>
        <v>МБОУ "ЛЯМИНСКАЯ ООШ ИМ. ЗАЙЦЕВА Г.Н."</v>
      </c>
      <c r="B11471" s="24" t="s">
        <v>15951</v>
      </c>
      <c r="C11471" s="25">
        <v>1380111.85</v>
      </c>
      <c r="D11471" s="22" t="s">
        <v>15952</v>
      </c>
      <c r="E11471" s="22" t="s">
        <v>96</v>
      </c>
      <c r="F11471" s="23" t="str">
        <f>HYPERLINK("https://www.spark-marketing.ru/Card/Lot/72246877", "Оказание услуг по организации питания для учащихся из многодетных малоимущих, малоимущих семей и учащихся с ограниченными возможностями здоровья")</f>
        <v>Оказание услуг по организации питания для учащихся из многодетных малоимущих, малоимущих семей и учащихся с ограниченными возможностями здоровья</v>
      </c>
      <c r="G11471" s="22" t="s">
        <v>153</v>
      </c>
      <c r="H11471" s="22" t="s">
        <v>153</v>
      </c>
      <c r="I11471" s="26">
        <v>43668.574999999997</v>
      </c>
      <c r="J11471" s="23" t="str">
        <f>HYPERLINK("https://www.spark-marketing.ru/Card/Person/752895", "ООО ""ОЛИМП""")</f>
        <v>ООО "ОЛИМП"</v>
      </c>
      <c r="K11471" s="24" t="s">
        <v>10532</v>
      </c>
      <c r="L11471" s="28" t="s">
        <v>51</v>
      </c>
      <c r="M11471" s="28" t="s">
        <v>51</v>
      </c>
      <c r="N11471" s="28" t="s">
        <v>51</v>
      </c>
    </row>
    <row r="11472" spans="1:14" hidden="1" outlineLevel="1" x14ac:dyDescent="0.15">
      <c r="A11472" s="23" t="str">
        <f>HYPERLINK("https://www.spark-marketing.ru/Card/Person/1053488", "МБОУ ""ЛЯМИНСКАЯ ООШ ИМ. ЗАЙЦЕВА Г.Н.""")</f>
        <v>МБОУ "ЛЯМИНСКАЯ ООШ ИМ. ЗАЙЦЕВА Г.Н."</v>
      </c>
      <c r="B11472" s="24" t="s">
        <v>15951</v>
      </c>
      <c r="C11472" s="25">
        <v>1380111.85</v>
      </c>
      <c r="D11472" s="22" t="s">
        <v>15952</v>
      </c>
      <c r="E11472" s="22" t="s">
        <v>96</v>
      </c>
      <c r="F11472" s="23" t="str">
        <f>HYPERLINK("https://www.spark-marketing.ru/Card/Lot/72246877", "Оказание услуг по организации питания для учащихся из многодетных малоимущих, малоимущих семей и учащихся с ограниченными возможностями здоровья")</f>
        <v>Оказание услуг по организации питания для учащихся из многодетных малоимущих, малоимущих семей и учащихся с ограниченными возможностями здоровья</v>
      </c>
      <c r="G11472" s="22" t="s">
        <v>153</v>
      </c>
      <c r="H11472" s="22" t="s">
        <v>153</v>
      </c>
      <c r="I11472" s="26">
        <v>43668.574999999997</v>
      </c>
      <c r="J11472" s="23" t="str">
        <f>HYPERLINK("https://www.spark-marketing.ru/Card/Person/752895", "ООО ""ОЛИМП""")</f>
        <v>ООО "ОЛИМП"</v>
      </c>
      <c r="K11472" s="24" t="s">
        <v>10532</v>
      </c>
      <c r="L11472" s="28" t="s">
        <v>51</v>
      </c>
      <c r="M11472" s="28" t="s">
        <v>51</v>
      </c>
      <c r="N11472" s="28" t="s">
        <v>51</v>
      </c>
    </row>
    <row r="11473" spans="1:14" x14ac:dyDescent="0.15">
      <c r="A11473" s="23" t="str">
        <f>HYPERLINK("https://www.spark-marketing.ru/Card/Person/778", "БУЗ ВО ""НИКОЛЬСКАЯ ЦРБ""")</f>
        <v>БУЗ ВО "НИКОЛЬСКАЯ ЦРБ"</v>
      </c>
      <c r="B11473" s="24" t="s">
        <v>13535</v>
      </c>
      <c r="C11473" s="25">
        <v>3630000</v>
      </c>
      <c r="D11473" s="22" t="s">
        <v>15953</v>
      </c>
      <c r="E11473" s="22" t="s">
        <v>48</v>
      </c>
      <c r="F11473" s="23" t="str">
        <f>HYPERLINK("https://www.spark-marketing.ru/Card/Lot/72251433", "Оказание услуг по организации лечебного питания пациентов для нужд БУЗ ВО «Никольская ЦРБ»")</f>
        <v>Оказание услуг по организации лечебного питания пациентов для нужд БУЗ ВО «Никольская ЦРБ»</v>
      </c>
      <c r="G11473" s="22" t="s">
        <v>503</v>
      </c>
      <c r="H11473" s="22" t="s">
        <v>188</v>
      </c>
      <c r="I11473" s="26">
        <v>43668.578472222202</v>
      </c>
      <c r="J11473" s="23" t="str">
        <f>HYPERLINK("https://www.spark-marketing.ru/Card/Person/522826", "ПО ""ОБЩЕПИТ""")</f>
        <v>ПО "ОБЩЕПИТ"</v>
      </c>
      <c r="K11473" s="24" t="s">
        <v>2022</v>
      </c>
      <c r="L11473" s="28" t="s">
        <v>51</v>
      </c>
      <c r="M11473" s="28" t="s">
        <v>51</v>
      </c>
      <c r="N11473" s="28" t="s">
        <v>51</v>
      </c>
    </row>
    <row r="11474" spans="1:14" ht="12.75" hidden="1" outlineLevel="1" x14ac:dyDescent="0.2">
      <c r="A11474" s="23" t="str">
        <f>HYPERLINK("https://www.spark-marketing.ru/Card/Person/778", "БУЗ ВО ""НИКОЛЬСКАЯ ЦРБ""")</f>
        <v>БУЗ ВО "НИКОЛЬСКАЯ ЦРБ"</v>
      </c>
      <c r="B11474" s="24" t="s">
        <v>13535</v>
      </c>
      <c r="C11474" s="25">
        <v>3630000</v>
      </c>
      <c r="D11474" s="22" t="s">
        <v>15953</v>
      </c>
      <c r="E11474" s="22" t="s">
        <v>48</v>
      </c>
      <c r="F11474" s="23" t="str">
        <f>HYPERLINK("https://www.spark-marketing.ru/Card/Lot/72251433", "Оказание услуг по организации лечебного питания пациентов для нужд БУЗ ВО «Никольская ЦРБ»")</f>
        <v>Оказание услуг по организации лечебного питания пациентов для нужд БУЗ ВО «Никольская ЦРБ»</v>
      </c>
      <c r="G11474" s="22" t="s">
        <v>503</v>
      </c>
      <c r="H11474" s="22" t="s">
        <v>188</v>
      </c>
      <c r="I11474" s="26">
        <v>43668.578472222202</v>
      </c>
      <c r="J11474" s="23" t="str">
        <f>HYPERLINK("https://www.spark-marketing.ru/Card/Person/522826", "ПО ""ОБЩЕПИТ""")</f>
        <v>ПО "ОБЩЕПИТ"</v>
      </c>
      <c r="K11474" s="24" t="s">
        <v>2022</v>
      </c>
      <c r="L11474" s="22" t="s">
        <v>10</v>
      </c>
      <c r="M11474" s="25">
        <v>3611850</v>
      </c>
      <c r="N11474" s="27">
        <v>5.0000000000000001E-3</v>
      </c>
    </row>
    <row r="11475" spans="1:14" x14ac:dyDescent="0.15">
      <c r="A11475" s="23" t="str">
        <f>HYPERLINK("https://www.spark-marketing.ru/Card/Person/25082", "ГБУЗ РК ""УСТЬ-КУЛОМСКАЯ ЦРБ""")</f>
        <v>ГБУЗ РК "УСТЬ-КУЛОМСКАЯ ЦРБ"</v>
      </c>
      <c r="B11475" s="24" t="s">
        <v>6000</v>
      </c>
      <c r="C11475" s="25">
        <v>990605</v>
      </c>
      <c r="D11475" s="22" t="s">
        <v>15954</v>
      </c>
      <c r="E11475" s="22" t="s">
        <v>48</v>
      </c>
      <c r="F11475" s="23" t="str">
        <f>HYPERLINK("https://www.spark-marketing.ru/Card/Lot/72250188", "Оказание услуг по организации питания пациентов ГБУЗ РК «Усть-Куломская центральная районная больница»")</f>
        <v>Оказание услуг по организации питания пациентов ГБУЗ РК «Усть-Куломская центральная районная больница»</v>
      </c>
      <c r="G11475" s="22" t="s">
        <v>271</v>
      </c>
      <c r="H11475" s="22" t="s">
        <v>6002</v>
      </c>
      <c r="I11475" s="26">
        <v>43668.571516203701</v>
      </c>
      <c r="J11475" s="23" t="str">
        <f>HYPERLINK("https://www.spark-marketing.ru/Card/Person/776948", "Першин Василий Степанович")</f>
        <v>Першин Василий Степанович</v>
      </c>
      <c r="K11475" s="24" t="s">
        <v>6003</v>
      </c>
      <c r="L11475" s="22" t="s">
        <v>10</v>
      </c>
      <c r="M11475" s="28" t="s">
        <v>51</v>
      </c>
      <c r="N11475" s="28" t="s">
        <v>51</v>
      </c>
    </row>
    <row r="11476" spans="1:14" x14ac:dyDescent="0.15">
      <c r="A11476" s="23" t="str">
        <f>HYPERLINK("https://www.spark-marketing.ru/Card/Person/5695", "ФКУЗ МСЧ-11 ФСИН РОССИИ")</f>
        <v>ФКУЗ МСЧ-11 ФСИН РОССИИ</v>
      </c>
      <c r="B11476" s="24" t="s">
        <v>15955</v>
      </c>
      <c r="C11476" s="25">
        <v>400236.05</v>
      </c>
      <c r="D11476" s="22" t="s">
        <v>15956</v>
      </c>
      <c r="E11476" s="22" t="s">
        <v>1807</v>
      </c>
      <c r="F11476" s="23" t="str">
        <f>HYPERLINK("https://www.spark-marketing.ru/Card/Lot/72249047", "Оказание услуг по изготовлению медицинских бланков (В)")</f>
        <v>Оказание услуг по изготовлению медицинских бланков (В)</v>
      </c>
      <c r="G11476" s="22" t="s">
        <v>271</v>
      </c>
      <c r="H11476" s="22" t="s">
        <v>1282</v>
      </c>
      <c r="I11476" s="26">
        <v>43668.528773148202</v>
      </c>
      <c r="J11476" s="28" t="s">
        <v>51</v>
      </c>
      <c r="K11476" s="28" t="s">
        <v>51</v>
      </c>
      <c r="L11476" s="28" t="s">
        <v>51</v>
      </c>
      <c r="M11476" s="28" t="s">
        <v>51</v>
      </c>
      <c r="N11476" s="28" t="s">
        <v>51</v>
      </c>
    </row>
    <row r="11477" spans="1:14" hidden="1" outlineLevel="1" x14ac:dyDescent="0.2">
      <c r="A11477" s="23" t="str">
        <f>HYPERLINK("https://www.spark-marketing.ru/Card/Person/5695", "ФКУЗ МСЧ-11 ФСИН РОССИИ")</f>
        <v>ФКУЗ МСЧ-11 ФСИН РОССИИ</v>
      </c>
      <c r="B11477" s="24" t="s">
        <v>15955</v>
      </c>
      <c r="C11477" s="25">
        <v>400236.05</v>
      </c>
      <c r="D11477" s="22" t="s">
        <v>15956</v>
      </c>
      <c r="E11477" s="22" t="s">
        <v>1807</v>
      </c>
      <c r="F11477" s="23" t="str">
        <f>HYPERLINK("https://www.spark-marketing.ru/Card/Lot/72249047", "Оказание услуг по изготовлению медицинских бланков (В)")</f>
        <v>Оказание услуг по изготовлению медицинских бланков (В)</v>
      </c>
      <c r="G11477" s="22" t="s">
        <v>271</v>
      </c>
      <c r="H11477" s="22" t="s">
        <v>1282</v>
      </c>
      <c r="I11477" s="26">
        <v>43668.528773148202</v>
      </c>
      <c r="J11477" s="23" t="str">
        <f>HYPERLINK("https://www.spark-marketing.ru/Card/Person/140365", "ООО ""ФИРМА ""ЛЕДА""")</f>
        <v>ООО "ФИРМА "ЛЕДА"</v>
      </c>
      <c r="K11477" s="24" t="s">
        <v>15957</v>
      </c>
      <c r="L11477" s="28" t="s">
        <v>51</v>
      </c>
      <c r="M11477" s="25">
        <v>352997.62</v>
      </c>
      <c r="N11477" s="27">
        <v>0.11802642465614979</v>
      </c>
    </row>
    <row r="11478" spans="1:14" hidden="1" outlineLevel="1" x14ac:dyDescent="0.2">
      <c r="A11478" s="23" t="str">
        <f>HYPERLINK("https://www.spark-marketing.ru/Card/Person/5695", "ФКУЗ МСЧ-11 ФСИН РОССИИ")</f>
        <v>ФКУЗ МСЧ-11 ФСИН РОССИИ</v>
      </c>
      <c r="B11478" s="24" t="s">
        <v>15955</v>
      </c>
      <c r="C11478" s="25">
        <v>400236.05</v>
      </c>
      <c r="D11478" s="22" t="s">
        <v>15956</v>
      </c>
      <c r="E11478" s="22" t="s">
        <v>1807</v>
      </c>
      <c r="F11478" s="23" t="str">
        <f>HYPERLINK("https://www.spark-marketing.ru/Card/Lot/72249047", "Оказание услуг по изготовлению медицинских бланков (В)")</f>
        <v>Оказание услуг по изготовлению медицинских бланков (В)</v>
      </c>
      <c r="G11478" s="22" t="s">
        <v>271</v>
      </c>
      <c r="H11478" s="22" t="s">
        <v>1282</v>
      </c>
      <c r="I11478" s="26">
        <v>43668.528773148202</v>
      </c>
      <c r="J11478" s="23" t="str">
        <f>HYPERLINK("https://www.spark-marketing.ru/Card/Person/303289", "ООО ""ОМЕГА""")</f>
        <v>ООО "ОМЕГА"</v>
      </c>
      <c r="K11478" s="24" t="s">
        <v>15958</v>
      </c>
      <c r="L11478" s="28" t="s">
        <v>51</v>
      </c>
      <c r="M11478" s="25">
        <v>250000</v>
      </c>
      <c r="N11478" s="27">
        <v>0.37536861059867044</v>
      </c>
    </row>
    <row r="11479" spans="1:14" ht="12.75" hidden="1" outlineLevel="1" x14ac:dyDescent="0.2">
      <c r="A11479" s="23" t="str">
        <f>HYPERLINK("https://www.spark-marketing.ru/Card/Person/5695", "ФКУЗ МСЧ-11 ФСИН РОССИИ")</f>
        <v>ФКУЗ МСЧ-11 ФСИН РОССИИ</v>
      </c>
      <c r="B11479" s="24" t="s">
        <v>15955</v>
      </c>
      <c r="C11479" s="25">
        <v>400236.05</v>
      </c>
      <c r="D11479" s="22" t="s">
        <v>15956</v>
      </c>
      <c r="E11479" s="22" t="s">
        <v>1807</v>
      </c>
      <c r="F11479" s="23" t="str">
        <f>HYPERLINK("https://www.spark-marketing.ru/Card/Lot/72249047", "Оказание услуг по изготовлению медицинских бланков (В)")</f>
        <v>Оказание услуг по изготовлению медицинских бланков (В)</v>
      </c>
      <c r="G11479" s="22" t="s">
        <v>271</v>
      </c>
      <c r="H11479" s="22" t="s">
        <v>1282</v>
      </c>
      <c r="I11479" s="26">
        <v>43668.528773148202</v>
      </c>
      <c r="J11479" s="23" t="str">
        <f>HYPERLINK("https://www.spark-marketing.ru/Card/Person/487512", "ООО ""РГ ""УСПЕШНАЯ""")</f>
        <v>ООО "РГ "УСПЕШНАЯ"</v>
      </c>
      <c r="K11479" s="24" t="s">
        <v>15959</v>
      </c>
      <c r="L11479" s="22" t="s">
        <v>10</v>
      </c>
      <c r="M11479" s="25">
        <v>250000</v>
      </c>
      <c r="N11479" s="27">
        <v>0.37536861059867044</v>
      </c>
    </row>
    <row r="11480" spans="1:14" x14ac:dyDescent="0.15">
      <c r="A11480" s="23" t="str">
        <f>HYPERLINK("https://www.spark-marketing.ru/Card/Person/996512", "МОУ ДЕТЧИНСКАЯ СРЕДНЯЯ ОБЩЕОБРАЗОВАТЕЛЬНАЯ ШКОЛА")</f>
        <v>МОУ ДЕТЧИНСКАЯ СРЕДНЯЯ ОБЩЕОБРАЗОВАТЕЛЬНАЯ ШКОЛА</v>
      </c>
      <c r="B11480" s="24" t="s">
        <v>15960</v>
      </c>
      <c r="C11480" s="25">
        <v>942800</v>
      </c>
      <c r="D11480" s="22" t="s">
        <v>15961</v>
      </c>
      <c r="E11480" s="22" t="s">
        <v>48</v>
      </c>
      <c r="F11480" s="23" t="str">
        <f>HYPERLINK("https://www.spark-marketing.ru/Card/Lot/72250137", "Оказание услуг по организации горячего питания учащихся  (реестровый номер: 1969 Э-10/19 сб)")</f>
        <v>Оказание услуг по организации горячего питания учащихся  (реестровый номер: 1969 Э-10/19 сб)</v>
      </c>
      <c r="G11480" s="22" t="s">
        <v>112</v>
      </c>
      <c r="H11480" s="22" t="s">
        <v>112</v>
      </c>
      <c r="I11480" s="26">
        <v>43668.534074074101</v>
      </c>
      <c r="J11480" s="28" t="s">
        <v>51</v>
      </c>
      <c r="K11480" s="28" t="s">
        <v>51</v>
      </c>
      <c r="L11480" s="28" t="s">
        <v>51</v>
      </c>
      <c r="M11480" s="28" t="s">
        <v>51</v>
      </c>
      <c r="N11480" s="28" t="s">
        <v>51</v>
      </c>
    </row>
    <row r="11481" spans="1:14" hidden="1" outlineLevel="1" x14ac:dyDescent="0.2">
      <c r="A11481" s="23" t="str">
        <f>HYPERLINK("https://www.spark-marketing.ru/Card/Person/996512", "МОУ ДЕТЧИНСКАЯ СРЕДНЯЯ ОБЩЕОБРАЗОВАТЕЛЬНАЯ ШКОЛА")</f>
        <v>МОУ ДЕТЧИНСКАЯ СРЕДНЯЯ ОБЩЕОБРАЗОВАТЕЛЬНАЯ ШКОЛА</v>
      </c>
      <c r="B11481" s="24" t="s">
        <v>15960</v>
      </c>
      <c r="C11481" s="25">
        <v>942800</v>
      </c>
      <c r="D11481" s="22" t="s">
        <v>15961</v>
      </c>
      <c r="E11481" s="22" t="s">
        <v>48</v>
      </c>
      <c r="F11481" s="23" t="str">
        <f>HYPERLINK("https://www.spark-marketing.ru/Card/Lot/72250137", "Оказание услуг по организации горячего питания учащихся  (реестровый номер: 1969 Э-10/19 сб)")</f>
        <v>Оказание услуг по организации горячего питания учащихся  (реестровый номер: 1969 Э-10/19 сб)</v>
      </c>
      <c r="G11481" s="22" t="s">
        <v>112</v>
      </c>
      <c r="H11481" s="22" t="s">
        <v>112</v>
      </c>
      <c r="I11481" s="26">
        <v>43668.534074074101</v>
      </c>
      <c r="J11481" s="23" t="str">
        <f>HYPERLINK("https://www.spark-marketing.ru/Card/Person/54026", "ООО ""КПК""")</f>
        <v>ООО "КПК"</v>
      </c>
      <c r="K11481" s="24" t="s">
        <v>7348</v>
      </c>
      <c r="L11481" s="28" t="s">
        <v>51</v>
      </c>
      <c r="M11481" s="25">
        <v>664673</v>
      </c>
      <c r="N11481" s="27">
        <v>0.29500106067034365</v>
      </c>
    </row>
    <row r="11482" spans="1:14" ht="12.75" hidden="1" outlineLevel="1" x14ac:dyDescent="0.2">
      <c r="A11482" s="23" t="str">
        <f>HYPERLINK("https://www.spark-marketing.ru/Card/Person/996512", "МОУ ДЕТЧИНСКАЯ СРЕДНЯЯ ОБЩЕОБРАЗОВАТЕЛЬНАЯ ШКОЛА")</f>
        <v>МОУ ДЕТЧИНСКАЯ СРЕДНЯЯ ОБЩЕОБРАЗОВАТЕЛЬНАЯ ШКОЛА</v>
      </c>
      <c r="B11482" s="24" t="s">
        <v>15960</v>
      </c>
      <c r="C11482" s="25">
        <v>942800</v>
      </c>
      <c r="D11482" s="22" t="s">
        <v>15961</v>
      </c>
      <c r="E11482" s="22" t="s">
        <v>48</v>
      </c>
      <c r="F11482" s="23" t="str">
        <f>HYPERLINK("https://www.spark-marketing.ru/Card/Lot/72250137", "Оказание услуг по организации горячего питания учащихся  (реестровый номер: 1969 Э-10/19 сб)")</f>
        <v>Оказание услуг по организации горячего питания учащихся  (реестровый номер: 1969 Э-10/19 сб)</v>
      </c>
      <c r="G11482" s="22" t="s">
        <v>112</v>
      </c>
      <c r="H11482" s="22" t="s">
        <v>112</v>
      </c>
      <c r="I11482" s="26">
        <v>43668.534074074101</v>
      </c>
      <c r="J11482" s="23" t="str">
        <f>HYPERLINK("https://www.spark-marketing.ru/Card/Person/138382", "Киржинова Родима Каншобиевна")</f>
        <v>Киржинова Родима Каншобиевна</v>
      </c>
      <c r="K11482" s="24" t="s">
        <v>14828</v>
      </c>
      <c r="L11482" s="22" t="s">
        <v>10</v>
      </c>
      <c r="M11482" s="25">
        <v>664673</v>
      </c>
      <c r="N11482" s="27">
        <v>0.29500106067034365</v>
      </c>
    </row>
    <row r="11483" spans="1:14" x14ac:dyDescent="0.15">
      <c r="A11483" s="23" t="str">
        <f>HYPERLINK("https://www.spark-marketing.ru/Card/Person/16453", "МУ МВД РОССИИ ""ПУШКИНСКОЕ""")</f>
        <v>МУ МВД РОССИИ "ПУШКИНСКОЕ"</v>
      </c>
      <c r="B11483" s="24" t="s">
        <v>15962</v>
      </c>
      <c r="C11483" s="25">
        <v>2544780</v>
      </c>
      <c r="D11483" s="22" t="s">
        <v>15963</v>
      </c>
      <c r="E11483" s="22" t="s">
        <v>48</v>
      </c>
      <c r="F11483" s="23" t="str">
        <f>HYPERLINK("https://www.spark-marketing.ru/Card/Lot/72271916", "оказание услуг по питанию ИВС МУ МВД России ""Пушкинское""")</f>
        <v>оказание услуг по питанию ИВС МУ МВД России "Пушкинское"</v>
      </c>
      <c r="G11483" s="22" t="s">
        <v>49</v>
      </c>
      <c r="H11483" s="22" t="s">
        <v>1263</v>
      </c>
      <c r="I11483" s="26">
        <v>43668.513310185197</v>
      </c>
      <c r="J11483" s="28" t="s">
        <v>51</v>
      </c>
      <c r="K11483" s="28" t="s">
        <v>51</v>
      </c>
      <c r="L11483" s="28" t="s">
        <v>51</v>
      </c>
      <c r="M11483" s="28" t="s">
        <v>51</v>
      </c>
      <c r="N11483" s="28" t="s">
        <v>51</v>
      </c>
    </row>
    <row r="11484" spans="1:14" ht="12.75" hidden="1" outlineLevel="1" x14ac:dyDescent="0.2">
      <c r="A11484" s="23" t="str">
        <f>HYPERLINK("https://www.spark-marketing.ru/Card/Person/16453", "МУ МВД РОССИИ ""ПУШКИНСКОЕ""")</f>
        <v>МУ МВД РОССИИ "ПУШКИНСКОЕ"</v>
      </c>
      <c r="B11484" s="24" t="s">
        <v>15962</v>
      </c>
      <c r="C11484" s="25">
        <v>2544780</v>
      </c>
      <c r="D11484" s="22" t="s">
        <v>15963</v>
      </c>
      <c r="E11484" s="22" t="s">
        <v>48</v>
      </c>
      <c r="F11484" s="23" t="str">
        <f>HYPERLINK("https://www.spark-marketing.ru/Card/Lot/72271916", "оказание услуг по питанию ИВС МУ МВД России ""Пушкинское""")</f>
        <v>оказание услуг по питанию ИВС МУ МВД России "Пушкинское"</v>
      </c>
      <c r="G11484" s="22" t="s">
        <v>49</v>
      </c>
      <c r="H11484" s="22" t="s">
        <v>1263</v>
      </c>
      <c r="I11484" s="26">
        <v>43668.513310185197</v>
      </c>
      <c r="J11484" s="23" t="str">
        <f>HYPERLINK("https://www.spark-marketing.ru/Card/Person/131113", "ООО ""НИКА""")</f>
        <v>ООО "НИКА"</v>
      </c>
      <c r="K11484" s="24" t="s">
        <v>6425</v>
      </c>
      <c r="L11484" s="22" t="s">
        <v>10</v>
      </c>
      <c r="M11484" s="25">
        <v>315.89999999999998</v>
      </c>
      <c r="N11484" s="27">
        <v>0.99987586353240754</v>
      </c>
    </row>
    <row r="11485" spans="1:14" hidden="1" outlineLevel="1" x14ac:dyDescent="0.2">
      <c r="A11485" s="23" t="str">
        <f>HYPERLINK("https://www.spark-marketing.ru/Card/Person/16453", "МУ МВД РОССИИ ""ПУШКИНСКОЕ""")</f>
        <v>МУ МВД РОССИИ "ПУШКИНСКОЕ"</v>
      </c>
      <c r="B11485" s="24" t="s">
        <v>15962</v>
      </c>
      <c r="C11485" s="25">
        <v>2544780</v>
      </c>
      <c r="D11485" s="22" t="s">
        <v>15963</v>
      </c>
      <c r="E11485" s="22" t="s">
        <v>48</v>
      </c>
      <c r="F11485" s="23" t="str">
        <f>HYPERLINK("https://www.spark-marketing.ru/Card/Lot/72271916", "оказание услуг по питанию ИВС МУ МВД России ""Пушкинское""")</f>
        <v>оказание услуг по питанию ИВС МУ МВД России "Пушкинское"</v>
      </c>
      <c r="G11485" s="22" t="s">
        <v>49</v>
      </c>
      <c r="H11485" s="22" t="s">
        <v>1263</v>
      </c>
      <c r="I11485" s="26">
        <v>43668.513310185197</v>
      </c>
      <c r="J11485" s="23" t="str">
        <f>HYPERLINK("https://www.spark-marketing.ru/Card/Person/6310318", "ООО ""ОТДЕЛ МАРКЕТИНГА""")</f>
        <v>ООО "ОТДЕЛ МАРКЕТИНГА"</v>
      </c>
      <c r="K11485" s="24" t="s">
        <v>6426</v>
      </c>
      <c r="L11485" s="28" t="s">
        <v>51</v>
      </c>
      <c r="M11485" s="25">
        <v>317.52</v>
      </c>
      <c r="N11485" s="27">
        <v>0.99987522693513786</v>
      </c>
    </row>
    <row r="11486" spans="1:14" x14ac:dyDescent="0.15">
      <c r="A11486" s="23" t="str">
        <f t="shared" ref="A11486:A11492" si="317">HYPERLINK("https://www.spark-marketing.ru/Card/Person/30607", "ГБУЗ ""ГБ"" Г. ГАЯ")</f>
        <v>ГБУЗ "ГБ" Г. ГАЯ</v>
      </c>
      <c r="B11486" s="24" t="s">
        <v>13985</v>
      </c>
      <c r="C11486" s="25">
        <v>1750200.3</v>
      </c>
      <c r="D11486" s="22" t="s">
        <v>15964</v>
      </c>
      <c r="E11486" s="22" t="s">
        <v>809</v>
      </c>
      <c r="F11486" s="23" t="str">
        <f t="shared" ref="F11486:F11492" si="318">HYPERLINK("https://www.spark-marketing.ru/Card/Lot/72253539", "На поставку Автоматизированного рабочего места")</f>
        <v>На поставку Автоматизированного рабочего места</v>
      </c>
      <c r="G11486" s="22" t="s">
        <v>132</v>
      </c>
      <c r="H11486" s="22" t="s">
        <v>2782</v>
      </c>
      <c r="I11486" s="26">
        <v>43668.515381944402</v>
      </c>
      <c r="J11486" s="28" t="s">
        <v>51</v>
      </c>
      <c r="K11486" s="28" t="s">
        <v>51</v>
      </c>
      <c r="L11486" s="28" t="s">
        <v>51</v>
      </c>
      <c r="M11486" s="28" t="s">
        <v>51</v>
      </c>
      <c r="N11486" s="28" t="s">
        <v>51</v>
      </c>
    </row>
    <row r="11487" spans="1:14" hidden="1" outlineLevel="1" x14ac:dyDescent="0.2">
      <c r="A11487" s="23" t="str">
        <f t="shared" si="317"/>
        <v>ГБУЗ "ГБ" Г. ГАЯ</v>
      </c>
      <c r="B11487" s="24" t="s">
        <v>13985</v>
      </c>
      <c r="C11487" s="25">
        <v>1750200.3</v>
      </c>
      <c r="D11487" s="22" t="s">
        <v>15964</v>
      </c>
      <c r="E11487" s="22" t="s">
        <v>809</v>
      </c>
      <c r="F11487" s="23" t="str">
        <f t="shared" si="318"/>
        <v>На поставку Автоматизированного рабочего места</v>
      </c>
      <c r="G11487" s="22" t="s">
        <v>132</v>
      </c>
      <c r="H11487" s="22" t="s">
        <v>2782</v>
      </c>
      <c r="I11487" s="26">
        <v>43668.515381944402</v>
      </c>
      <c r="J11487" s="23" t="str">
        <f>HYPERLINK("https://www.spark-marketing.ru/Card/Person/1434989", "ООО ""ЛЕДОВО""")</f>
        <v>ООО "ЛЕДОВО"</v>
      </c>
      <c r="K11487" s="24" t="s">
        <v>15965</v>
      </c>
      <c r="L11487" s="28" t="s">
        <v>51</v>
      </c>
      <c r="M11487" s="25">
        <v>1244713.3400000001</v>
      </c>
      <c r="N11487" s="27">
        <v>0.2888166343017996</v>
      </c>
    </row>
    <row r="11488" spans="1:14" hidden="1" outlineLevel="1" x14ac:dyDescent="0.2">
      <c r="A11488" s="23" t="str">
        <f t="shared" si="317"/>
        <v>ГБУЗ "ГБ" Г. ГАЯ</v>
      </c>
      <c r="B11488" s="24" t="s">
        <v>13985</v>
      </c>
      <c r="C11488" s="25">
        <v>1750200.3</v>
      </c>
      <c r="D11488" s="22" t="s">
        <v>15964</v>
      </c>
      <c r="E11488" s="22" t="s">
        <v>809</v>
      </c>
      <c r="F11488" s="23" t="str">
        <f t="shared" si="318"/>
        <v>На поставку Автоматизированного рабочего места</v>
      </c>
      <c r="G11488" s="22" t="s">
        <v>132</v>
      </c>
      <c r="H11488" s="22" t="s">
        <v>2782</v>
      </c>
      <c r="I11488" s="26">
        <v>43668.515381944402</v>
      </c>
      <c r="J11488" s="23" t="str">
        <f>HYPERLINK("https://www.spark-marketing.ru/Card/Person/4932372", "ООО ""КМ ИНЖЕНЕРНЫЕ СИСТЕМЫ""")</f>
        <v>ООО "КМ ИНЖЕНЕРНЫЕ СИСТЕМЫ"</v>
      </c>
      <c r="K11488" s="24" t="s">
        <v>15966</v>
      </c>
      <c r="L11488" s="28" t="s">
        <v>51</v>
      </c>
      <c r="M11488" s="25">
        <v>1166679.27</v>
      </c>
      <c r="N11488" s="27">
        <v>0.33340242828206579</v>
      </c>
    </row>
    <row r="11489" spans="1:14" hidden="1" outlineLevel="1" x14ac:dyDescent="0.2">
      <c r="A11489" s="23" t="str">
        <f t="shared" si="317"/>
        <v>ГБУЗ "ГБ" Г. ГАЯ</v>
      </c>
      <c r="B11489" s="24" t="s">
        <v>13985</v>
      </c>
      <c r="C11489" s="25">
        <v>1750200.3</v>
      </c>
      <c r="D11489" s="22" t="s">
        <v>15964</v>
      </c>
      <c r="E11489" s="22" t="s">
        <v>809</v>
      </c>
      <c r="F11489" s="23" t="str">
        <f t="shared" si="318"/>
        <v>На поставку Автоматизированного рабочего места</v>
      </c>
      <c r="G11489" s="22" t="s">
        <v>132</v>
      </c>
      <c r="H11489" s="22" t="s">
        <v>2782</v>
      </c>
      <c r="I11489" s="26">
        <v>43668.515381944402</v>
      </c>
      <c r="J11489" s="23" t="str">
        <f>HYPERLINK("https://www.spark-marketing.ru/Card/Person/390597", "ООО ""КОМПЛЕКС-СНАСТ""")</f>
        <v>ООО "КОМПЛЕКС-СНАСТ"</v>
      </c>
      <c r="K11489" s="24" t="s">
        <v>10667</v>
      </c>
      <c r="L11489" s="28" t="s">
        <v>51</v>
      </c>
      <c r="M11489" s="25">
        <v>1732698.3</v>
      </c>
      <c r="N11489" s="27">
        <v>9.9999982859104754E-3</v>
      </c>
    </row>
    <row r="11490" spans="1:14" hidden="1" outlineLevel="1" x14ac:dyDescent="0.2">
      <c r="A11490" s="23" t="str">
        <f t="shared" si="317"/>
        <v>ГБУЗ "ГБ" Г. ГАЯ</v>
      </c>
      <c r="B11490" s="24" t="s">
        <v>13985</v>
      </c>
      <c r="C11490" s="25">
        <v>1750200.3</v>
      </c>
      <c r="D11490" s="22" t="s">
        <v>15964</v>
      </c>
      <c r="E11490" s="22" t="s">
        <v>809</v>
      </c>
      <c r="F11490" s="23" t="str">
        <f t="shared" si="318"/>
        <v>На поставку Автоматизированного рабочего места</v>
      </c>
      <c r="G11490" s="22" t="s">
        <v>132</v>
      </c>
      <c r="H11490" s="22" t="s">
        <v>2782</v>
      </c>
      <c r="I11490" s="26">
        <v>43668.515381944402</v>
      </c>
      <c r="J11490" s="23" t="str">
        <f>HYPERLINK("https://www.spark-marketing.ru/Card/Person/6499259", "ООО ""АЙТИМ""")</f>
        <v>ООО "АЙТИМ"</v>
      </c>
      <c r="K11490" s="24" t="s">
        <v>12113</v>
      </c>
      <c r="L11490" s="28" t="s">
        <v>51</v>
      </c>
      <c r="M11490" s="25">
        <v>1244000</v>
      </c>
      <c r="N11490" s="27">
        <v>0.28922421050893432</v>
      </c>
    </row>
    <row r="11491" spans="1:14" ht="12.75" hidden="1" outlineLevel="1" x14ac:dyDescent="0.2">
      <c r="A11491" s="23" t="str">
        <f t="shared" si="317"/>
        <v>ГБУЗ "ГБ" Г. ГАЯ</v>
      </c>
      <c r="B11491" s="24" t="s">
        <v>13985</v>
      </c>
      <c r="C11491" s="25">
        <v>1750200.3</v>
      </c>
      <c r="D11491" s="22" t="s">
        <v>15964</v>
      </c>
      <c r="E11491" s="22" t="s">
        <v>809</v>
      </c>
      <c r="F11491" s="23" t="str">
        <f t="shared" si="318"/>
        <v>На поставку Автоматизированного рабочего места</v>
      </c>
      <c r="G11491" s="22" t="s">
        <v>132</v>
      </c>
      <c r="H11491" s="22" t="s">
        <v>2782</v>
      </c>
      <c r="I11491" s="26">
        <v>43668.515381944402</v>
      </c>
      <c r="J11491" s="23" t="str">
        <f>HYPERLINK("https://www.spark-marketing.ru/Card/Person/753981", "Сенник Дмитрий Константинович")</f>
        <v>Сенник Дмитрий Константинович</v>
      </c>
      <c r="K11491" s="24" t="s">
        <v>15967</v>
      </c>
      <c r="L11491" s="22" t="s">
        <v>10</v>
      </c>
      <c r="M11491" s="25">
        <v>1175430.27</v>
      </c>
      <c r="N11491" s="27">
        <v>0.32840242913911055</v>
      </c>
    </row>
    <row r="11492" spans="1:14" hidden="1" outlineLevel="1" x14ac:dyDescent="0.2">
      <c r="A11492" s="23" t="str">
        <f t="shared" si="317"/>
        <v>ГБУЗ "ГБ" Г. ГАЯ</v>
      </c>
      <c r="B11492" s="24" t="s">
        <v>13985</v>
      </c>
      <c r="C11492" s="25">
        <v>1750200.3</v>
      </c>
      <c r="D11492" s="22" t="s">
        <v>15964</v>
      </c>
      <c r="E11492" s="22" t="s">
        <v>809</v>
      </c>
      <c r="F11492" s="23" t="str">
        <f t="shared" si="318"/>
        <v>На поставку Автоматизированного рабочего места</v>
      </c>
      <c r="G11492" s="22" t="s">
        <v>132</v>
      </c>
      <c r="H11492" s="22" t="s">
        <v>2782</v>
      </c>
      <c r="I11492" s="26">
        <v>43668.515381944402</v>
      </c>
      <c r="J11492" s="23" t="str">
        <f>HYPERLINK("https://www.spark-marketing.ru/Card/Person/6494601", "ООО ""КОМПТЕХ НН""")</f>
        <v>ООО "КОМПТЕХ НН"</v>
      </c>
      <c r="K11492" s="24" t="s">
        <v>15968</v>
      </c>
      <c r="L11492" s="28" t="s">
        <v>51</v>
      </c>
      <c r="M11492" s="25">
        <v>1575180.1</v>
      </c>
      <c r="N11492" s="27">
        <v>0.10000009713173973</v>
      </c>
    </row>
    <row r="11493" spans="1:14" x14ac:dyDescent="0.15">
      <c r="A11493" s="23" t="str">
        <f>HYPERLINK("https://www.spark-marketing.ru/Card/Person/1041274", "МБУ ДО ""ДЮСШ БОКСА""")</f>
        <v>МБУ ДО "ДЮСШ БОКСА"</v>
      </c>
      <c r="B11493" s="24" t="s">
        <v>15969</v>
      </c>
      <c r="C11493" s="25">
        <v>101007</v>
      </c>
      <c r="D11493" s="22" t="s">
        <v>15970</v>
      </c>
      <c r="E11493" s="22" t="s">
        <v>15971</v>
      </c>
      <c r="F11493" s="23" t="str">
        <f>HYPERLINK("https://www.spark-marketing.ru/Card/Lot/72245338", "оказание услуг по приобретению и монтажу системы охранного видеонаблюдения и аудиоконтроля")</f>
        <v>оказание услуг по приобретению и монтажу системы охранного видеонаблюдения и аудиоконтроля</v>
      </c>
      <c r="G11493" s="22" t="s">
        <v>1111</v>
      </c>
      <c r="H11493" s="22" t="s">
        <v>1112</v>
      </c>
      <c r="I11493" s="26">
        <v>43668.5402777778</v>
      </c>
      <c r="J11493" s="28" t="s">
        <v>51</v>
      </c>
      <c r="K11493" s="28" t="s">
        <v>51</v>
      </c>
      <c r="L11493" s="28" t="s">
        <v>51</v>
      </c>
      <c r="M11493" s="28" t="s">
        <v>51</v>
      </c>
      <c r="N11493" s="28" t="s">
        <v>51</v>
      </c>
    </row>
    <row r="11494" spans="1:14" x14ac:dyDescent="0.15">
      <c r="A11494" s="23" t="str">
        <f>HYPERLINK("https://www.spark-marketing.ru/Card/Person/1026690", "СРЕДНЯЯ ШКОЛА С. СОКОЛЬНИКОВО")</f>
        <v>СРЕДНЯЯ ШКОЛА С. СОКОЛЬНИКОВО</v>
      </c>
      <c r="B11494" s="24" t="s">
        <v>6561</v>
      </c>
      <c r="C11494" s="25">
        <v>162435</v>
      </c>
      <c r="D11494" s="22" t="s">
        <v>15972</v>
      </c>
      <c r="E11494" s="22" t="s">
        <v>48</v>
      </c>
      <c r="F11494" s="23" t="str">
        <f>HYPERLINK("https://www.spark-marketing.ru/Card/Lot/72246076", "Оказание услуг по организации питания отдельным категориям обучающихся")</f>
        <v>Оказание услуг по организации питания отдельным категориям обучающихся</v>
      </c>
      <c r="G11494" s="22" t="s">
        <v>49</v>
      </c>
      <c r="H11494" s="22" t="s">
        <v>3718</v>
      </c>
      <c r="I11494" s="26">
        <v>43668.5143634259</v>
      </c>
      <c r="J11494" s="28" t="s">
        <v>51</v>
      </c>
      <c r="K11494" s="28" t="s">
        <v>51</v>
      </c>
      <c r="L11494" s="28" t="s">
        <v>51</v>
      </c>
      <c r="M11494" s="28" t="s">
        <v>51</v>
      </c>
      <c r="N11494" s="28" t="s">
        <v>51</v>
      </c>
    </row>
    <row r="11495" spans="1:14" x14ac:dyDescent="0.2">
      <c r="A11495" s="23" t="str">
        <f>HYPERLINK("https://www.spark-marketing.ru/Card/Person/950580", "МБОУ ""СОШ №4""")</f>
        <v>МБОУ "СОШ №4"</v>
      </c>
      <c r="B11495" s="24" t="s">
        <v>15973</v>
      </c>
      <c r="C11495" s="25">
        <v>1371074.36</v>
      </c>
      <c r="D11495" s="22" t="s">
        <v>15974</v>
      </c>
      <c r="E11495" s="22" t="s">
        <v>48</v>
      </c>
      <c r="F11495" s="23" t="str">
        <f>HYPERLINK("https://www.spark-marketing.ru/Card/Lot/72248599", "оказание услуг по организации горячего питания")</f>
        <v>оказание услуг по организации горячего питания</v>
      </c>
      <c r="G11495" s="22" t="s">
        <v>281</v>
      </c>
      <c r="H11495" s="22" t="s">
        <v>281</v>
      </c>
      <c r="I11495" s="26">
        <v>43668.703472222202</v>
      </c>
      <c r="J11495" s="23" t="str">
        <f>HYPERLINK("https://www.spark-marketing.ru/Card/Person/474785", "Кульбанова Людмила Николаевна")</f>
        <v>Кульбанова Людмила Николаевна</v>
      </c>
      <c r="K11495" s="24" t="s">
        <v>14775</v>
      </c>
      <c r="L11495" s="28" t="s">
        <v>51</v>
      </c>
      <c r="M11495" s="25">
        <v>1199690.06</v>
      </c>
      <c r="N11495" s="27">
        <v>0.12500000364677522</v>
      </c>
    </row>
    <row r="11496" spans="1:14" x14ac:dyDescent="0.15">
      <c r="A11496" s="23" t="str">
        <f>HYPERLINK("https://www.spark-marketing.ru/Card/Person/132751", "АО ""ДМНГ""")</f>
        <v>АО "ДМНГ"</v>
      </c>
      <c r="B11496" s="24" t="s">
        <v>15975</v>
      </c>
      <c r="C11496" s="25">
        <v>2286973.5</v>
      </c>
      <c r="D11496" s="22" t="s">
        <v>15976</v>
      </c>
      <c r="E11496" s="22" t="s">
        <v>15977</v>
      </c>
      <c r="F11496" s="23" t="str">
        <f>HYPERLINK("https://www.spark-marketing.ru/Card/Lot/72261544", "Оказание услуг по организации проживания, питания и иных связанных с расположением персонала ОАО «Дальморнефтегеофизика» услуг")</f>
        <v>Оказание услуг по организации проживания, питания и иных связанных с расположением персонала ОАО «Дальморнефтегеофизика» услуг</v>
      </c>
      <c r="G11496" s="22" t="s">
        <v>260</v>
      </c>
      <c r="H11496" s="22" t="s">
        <v>804</v>
      </c>
      <c r="I11496" s="26">
        <v>43668.519571759301</v>
      </c>
      <c r="J11496" s="28" t="s">
        <v>51</v>
      </c>
      <c r="K11496" s="28" t="s">
        <v>51</v>
      </c>
      <c r="L11496" s="28" t="s">
        <v>51</v>
      </c>
      <c r="M11496" s="28" t="s">
        <v>51</v>
      </c>
      <c r="N11496" s="28" t="s">
        <v>51</v>
      </c>
    </row>
    <row r="11497" spans="1:14" x14ac:dyDescent="0.15">
      <c r="A11497" s="23" t="str">
        <f>HYPERLINK("https://www.spark-marketing.ru/Card/Person/243144", "МБУК ""ЦГБ""")</f>
        <v>МБУК "ЦГБ"</v>
      </c>
      <c r="B11497" s="24" t="s">
        <v>15978</v>
      </c>
      <c r="C11497" s="25">
        <v>300000.06</v>
      </c>
      <c r="D11497" s="22" t="s">
        <v>15979</v>
      </c>
      <c r="E11497" s="22" t="s">
        <v>716</v>
      </c>
      <c r="F11497" s="23" t="str">
        <f>HYPERLINK("https://www.spark-marketing.ru/Card/Lot/72252764", "Поставка книжной продукции")</f>
        <v>Поставка книжной продукции</v>
      </c>
      <c r="G11497" s="22" t="s">
        <v>340</v>
      </c>
      <c r="H11497" s="22" t="s">
        <v>341</v>
      </c>
      <c r="I11497" s="26">
        <v>43668.538483796299</v>
      </c>
      <c r="J11497" s="28" t="s">
        <v>51</v>
      </c>
      <c r="K11497" s="28" t="s">
        <v>51</v>
      </c>
      <c r="L11497" s="28" t="s">
        <v>51</v>
      </c>
      <c r="M11497" s="28" t="s">
        <v>51</v>
      </c>
      <c r="N11497" s="28" t="s">
        <v>51</v>
      </c>
    </row>
    <row r="11498" spans="1:14" ht="12.75" hidden="1" outlineLevel="1" x14ac:dyDescent="0.2">
      <c r="A11498" s="23" t="str">
        <f>HYPERLINK("https://www.spark-marketing.ru/Card/Person/243144", "МБУК ""ЦГБ""")</f>
        <v>МБУК "ЦГБ"</v>
      </c>
      <c r="B11498" s="24" t="s">
        <v>15978</v>
      </c>
      <c r="C11498" s="25">
        <v>300000.06</v>
      </c>
      <c r="D11498" s="22" t="s">
        <v>15979</v>
      </c>
      <c r="E11498" s="22" t="s">
        <v>716</v>
      </c>
      <c r="F11498" s="23" t="str">
        <f>HYPERLINK("https://www.spark-marketing.ru/Card/Lot/72252764", "Поставка книжной продукции")</f>
        <v>Поставка книжной продукции</v>
      </c>
      <c r="G11498" s="22" t="s">
        <v>340</v>
      </c>
      <c r="H11498" s="22" t="s">
        <v>341</v>
      </c>
      <c r="I11498" s="26">
        <v>43668.538483796299</v>
      </c>
      <c r="J11498" s="23" t="str">
        <f>HYPERLINK("https://www.spark-marketing.ru/Card/Person/480776", "ООО ""МЕЖРЕГИОНАЛЬНЫЙ БИБЛИОТЕЧНЫЙ КОЛЛЕКТОР""")</f>
        <v>ООО "МЕЖРЕГИОНАЛЬНЫЙ БИБЛИОТЕЧНЫЙ КОЛЛЕКТОР"</v>
      </c>
      <c r="K11498" s="24" t="s">
        <v>4505</v>
      </c>
      <c r="L11498" s="22" t="s">
        <v>10</v>
      </c>
      <c r="M11498" s="25">
        <v>246000</v>
      </c>
      <c r="N11498" s="27">
        <v>0.18000016399996721</v>
      </c>
    </row>
    <row r="11499" spans="1:14" hidden="1" outlineLevel="1" x14ac:dyDescent="0.2">
      <c r="A11499" s="23" t="str">
        <f>HYPERLINK("https://www.spark-marketing.ru/Card/Person/243144", "МБУК ""ЦГБ""")</f>
        <v>МБУК "ЦГБ"</v>
      </c>
      <c r="B11499" s="24" t="s">
        <v>15978</v>
      </c>
      <c r="C11499" s="25">
        <v>300000.06</v>
      </c>
      <c r="D11499" s="22" t="s">
        <v>15979</v>
      </c>
      <c r="E11499" s="22" t="s">
        <v>716</v>
      </c>
      <c r="F11499" s="23" t="str">
        <f>HYPERLINK("https://www.spark-marketing.ru/Card/Lot/72252764", "Поставка книжной продукции")</f>
        <v>Поставка книжной продукции</v>
      </c>
      <c r="G11499" s="22" t="s">
        <v>340</v>
      </c>
      <c r="H11499" s="22" t="s">
        <v>341</v>
      </c>
      <c r="I11499" s="26">
        <v>43668.538483796299</v>
      </c>
      <c r="J11499" s="23" t="str">
        <f>HYPERLINK("https://www.spark-marketing.ru/Card/Person/69047", "ООО ""ЦКБ ""БИБКОМ""")</f>
        <v>ООО "ЦКБ "БИБКОМ"</v>
      </c>
      <c r="K11499" s="24" t="s">
        <v>14947</v>
      </c>
      <c r="L11499" s="28" t="s">
        <v>51</v>
      </c>
      <c r="M11499" s="25">
        <v>261000</v>
      </c>
      <c r="N11499" s="27">
        <v>0.13000017399996519</v>
      </c>
    </row>
    <row r="11500" spans="1:14" hidden="1" outlineLevel="1" x14ac:dyDescent="0.2">
      <c r="A11500" s="23" t="str">
        <f>HYPERLINK("https://www.spark-marketing.ru/Card/Person/243144", "МБУК ""ЦГБ""")</f>
        <v>МБУК "ЦГБ"</v>
      </c>
      <c r="B11500" s="24" t="s">
        <v>15978</v>
      </c>
      <c r="C11500" s="25">
        <v>300000.06</v>
      </c>
      <c r="D11500" s="22" t="s">
        <v>15979</v>
      </c>
      <c r="E11500" s="22" t="s">
        <v>716</v>
      </c>
      <c r="F11500" s="23" t="str">
        <f>HYPERLINK("https://www.spark-marketing.ru/Card/Lot/72252764", "Поставка книжной продукции")</f>
        <v>Поставка книжной продукции</v>
      </c>
      <c r="G11500" s="22" t="s">
        <v>340</v>
      </c>
      <c r="H11500" s="22" t="s">
        <v>341</v>
      </c>
      <c r="I11500" s="26">
        <v>43668.538483796299</v>
      </c>
      <c r="J11500" s="23" t="str">
        <f>HYPERLINK("https://www.spark-marketing.ru/Card/Person/4359157", "ООО ""ИЗДАТЕЛЬСКИЙ ДОМ ""ФОРУМ""")</f>
        <v>ООО "ИЗДАТЕЛЬСКИЙ ДОМ "ФОРУМ"</v>
      </c>
      <c r="K11500" s="24" t="s">
        <v>7129</v>
      </c>
      <c r="L11500" s="28" t="s">
        <v>51</v>
      </c>
      <c r="M11500" s="25">
        <v>246000</v>
      </c>
      <c r="N11500" s="27">
        <v>0.18000016399996721</v>
      </c>
    </row>
    <row r="11501" spans="1:14" hidden="1" outlineLevel="1" x14ac:dyDescent="0.2">
      <c r="A11501" s="23" t="str">
        <f>HYPERLINK("https://www.spark-marketing.ru/Card/Person/243144", "МБУК ""ЦГБ""")</f>
        <v>МБУК "ЦГБ"</v>
      </c>
      <c r="B11501" s="24" t="s">
        <v>15978</v>
      </c>
      <c r="C11501" s="25">
        <v>300000.06</v>
      </c>
      <c r="D11501" s="22" t="s">
        <v>15979</v>
      </c>
      <c r="E11501" s="22" t="s">
        <v>716</v>
      </c>
      <c r="F11501" s="23" t="str">
        <f>HYPERLINK("https://www.spark-marketing.ru/Card/Lot/72252764", "Поставка книжной продукции")</f>
        <v>Поставка книжной продукции</v>
      </c>
      <c r="G11501" s="22" t="s">
        <v>340</v>
      </c>
      <c r="H11501" s="22" t="s">
        <v>341</v>
      </c>
      <c r="I11501" s="26">
        <v>43668.538483796299</v>
      </c>
      <c r="J11501" s="23" t="str">
        <f>HYPERLINK("https://www.spark-marketing.ru/Card/Person/6273774", "ООО ""ГАЛИЛЕО""")</f>
        <v>ООО "ГАЛИЛЕО"</v>
      </c>
      <c r="K11501" s="24" t="s">
        <v>15980</v>
      </c>
      <c r="L11501" s="28" t="s">
        <v>51</v>
      </c>
      <c r="M11501" s="25">
        <v>262500</v>
      </c>
      <c r="N11501" s="27">
        <v>0.12500017499996499</v>
      </c>
    </row>
    <row r="11502" spans="1:14" x14ac:dyDescent="0.15">
      <c r="A11502" s="23" t="str">
        <f>HYPERLINK("https://www.spark-marketing.ru/Card/Person/16453", "МУ МВД РОССИИ ""ПУШКИНСКОЕ""")</f>
        <v>МУ МВД РОССИИ "ПУШКИНСКОЕ"</v>
      </c>
      <c r="B11502" s="24" t="s">
        <v>15962</v>
      </c>
      <c r="C11502" s="25">
        <v>2544780</v>
      </c>
      <c r="D11502" s="22" t="s">
        <v>15981</v>
      </c>
      <c r="E11502" s="22" t="s">
        <v>48</v>
      </c>
      <c r="F11502" s="23" t="str">
        <f>HYPERLINK("https://www.spark-marketing.ru/Card/Lot/72271917", "оказание услуг по питанию ИВС МУ МВД России ""Пушкинское""")</f>
        <v>оказание услуг по питанию ИВС МУ МВД России "Пушкинское"</v>
      </c>
      <c r="G11502" s="22" t="s">
        <v>49</v>
      </c>
      <c r="H11502" s="22" t="s">
        <v>1263</v>
      </c>
      <c r="I11502" s="26">
        <v>43668.519375000003</v>
      </c>
      <c r="J11502" s="28" t="s">
        <v>51</v>
      </c>
      <c r="K11502" s="28" t="s">
        <v>51</v>
      </c>
      <c r="L11502" s="28" t="s">
        <v>51</v>
      </c>
      <c r="M11502" s="28" t="s">
        <v>51</v>
      </c>
      <c r="N11502" s="28" t="s">
        <v>51</v>
      </c>
    </row>
    <row r="11503" spans="1:14" ht="12.75" hidden="1" outlineLevel="1" x14ac:dyDescent="0.2">
      <c r="A11503" s="23" t="str">
        <f>HYPERLINK("https://www.spark-marketing.ru/Card/Person/16453", "МУ МВД РОССИИ ""ПУШКИНСКОЕ""")</f>
        <v>МУ МВД РОССИИ "ПУШКИНСКОЕ"</v>
      </c>
      <c r="B11503" s="24" t="s">
        <v>15962</v>
      </c>
      <c r="C11503" s="25">
        <v>2544780</v>
      </c>
      <c r="D11503" s="22" t="s">
        <v>15981</v>
      </c>
      <c r="E11503" s="22" t="s">
        <v>48</v>
      </c>
      <c r="F11503" s="23" t="str">
        <f>HYPERLINK("https://www.spark-marketing.ru/Card/Lot/72271917", "оказание услуг по питанию ИВС МУ МВД России ""Пушкинское""")</f>
        <v>оказание услуг по питанию ИВС МУ МВД России "Пушкинское"</v>
      </c>
      <c r="G11503" s="22" t="s">
        <v>49</v>
      </c>
      <c r="H11503" s="22" t="s">
        <v>1263</v>
      </c>
      <c r="I11503" s="26">
        <v>43668.519375000003</v>
      </c>
      <c r="J11503" s="23" t="str">
        <f>HYPERLINK("https://www.spark-marketing.ru/Card/Person/131113", "ООО ""НИКА""")</f>
        <v>ООО "НИКА"</v>
      </c>
      <c r="K11503" s="24" t="s">
        <v>6425</v>
      </c>
      <c r="L11503" s="22" t="s">
        <v>10</v>
      </c>
      <c r="M11503" s="25">
        <v>302.8</v>
      </c>
      <c r="N11503" s="27">
        <v>0.99988101132514406</v>
      </c>
    </row>
    <row r="11504" spans="1:14" hidden="1" outlineLevel="1" x14ac:dyDescent="0.2">
      <c r="A11504" s="23" t="str">
        <f>HYPERLINK("https://www.spark-marketing.ru/Card/Person/16453", "МУ МВД РОССИИ ""ПУШКИНСКОЕ""")</f>
        <v>МУ МВД РОССИИ "ПУШКИНСКОЕ"</v>
      </c>
      <c r="B11504" s="24" t="s">
        <v>15962</v>
      </c>
      <c r="C11504" s="25">
        <v>2544780</v>
      </c>
      <c r="D11504" s="22" t="s">
        <v>15981</v>
      </c>
      <c r="E11504" s="22" t="s">
        <v>48</v>
      </c>
      <c r="F11504" s="23" t="str">
        <f>HYPERLINK("https://www.spark-marketing.ru/Card/Lot/72271917", "оказание услуг по питанию ИВС МУ МВД России ""Пушкинское""")</f>
        <v>оказание услуг по питанию ИВС МУ МВД России "Пушкинское"</v>
      </c>
      <c r="G11504" s="22" t="s">
        <v>49</v>
      </c>
      <c r="H11504" s="22" t="s">
        <v>1263</v>
      </c>
      <c r="I11504" s="26">
        <v>43668.519375000003</v>
      </c>
      <c r="J11504" s="23" t="str">
        <f>HYPERLINK("https://www.spark-marketing.ru/Card/Person/6310318", "ООО ""ОТДЕЛ МАРКЕТИНГА""")</f>
        <v>ООО "ОТДЕЛ МАРКЕТИНГА"</v>
      </c>
      <c r="K11504" s="24" t="s">
        <v>6426</v>
      </c>
      <c r="L11504" s="28" t="s">
        <v>51</v>
      </c>
      <c r="M11504" s="25">
        <v>304.35000000000002</v>
      </c>
      <c r="N11504" s="27">
        <v>0.99988040223516372</v>
      </c>
    </row>
    <row r="11505" spans="1:14" x14ac:dyDescent="0.15">
      <c r="A11505" s="23" t="str">
        <f>HYPERLINK("https://www.spark-marketing.ru/Card/Person/72068", "ОГБУСО ""СЕРГИНСКИЙ ПСИХОНЕВРОЛОГИЧЕСКИЙ ИНТЕРНАТ""")</f>
        <v>ОГБУСО "СЕРГИНСКИЙ ПСИХОНЕВРОЛОГИЧЕСКИЙ ИНТЕРНАТ"</v>
      </c>
      <c r="B11505" s="24" t="s">
        <v>3241</v>
      </c>
      <c r="C11505" s="25">
        <v>2972336</v>
      </c>
      <c r="D11505" s="22" t="s">
        <v>15982</v>
      </c>
      <c r="E11505" s="22" t="s">
        <v>48</v>
      </c>
      <c r="F11505" s="23" t="str">
        <f>HYPERLINK("https://www.spark-marketing.ru/Card/Lot/72237670", "Оказание услуг по обеспечению горячим питанием")</f>
        <v>Оказание услуг по обеспечению горячим питанием</v>
      </c>
      <c r="G11505" s="22" t="s">
        <v>263</v>
      </c>
      <c r="H11505" s="22" t="s">
        <v>3243</v>
      </c>
      <c r="I11505" s="26">
        <v>43668.494027777801</v>
      </c>
      <c r="J11505" s="23" t="str">
        <f>HYPERLINK("https://www.spark-marketing.ru/Card/Person/335980", "ООО ""ТАЕЖНЫЙ""")</f>
        <v>ООО "ТАЕЖНЫЙ"</v>
      </c>
      <c r="K11505" s="24" t="s">
        <v>3244</v>
      </c>
      <c r="L11505" s="22" t="s">
        <v>10</v>
      </c>
      <c r="M11505" s="28" t="s">
        <v>51</v>
      </c>
      <c r="N11505" s="28" t="s">
        <v>51</v>
      </c>
    </row>
    <row r="11506" spans="1:14" x14ac:dyDescent="0.15">
      <c r="A11506" s="23" t="str">
        <f>HYPERLINK("https://www.spark-marketing.ru/Card/Person/137910", "МОУ ""СОШ №2"" П. БАБЫНИНО")</f>
        <v>МОУ "СОШ №2" П. БАБЫНИНО</v>
      </c>
      <c r="B11506" s="24" t="s">
        <v>15983</v>
      </c>
      <c r="C11506" s="25">
        <v>631200</v>
      </c>
      <c r="D11506" s="22" t="s">
        <v>15984</v>
      </c>
      <c r="E11506" s="22" t="s">
        <v>48</v>
      </c>
      <c r="F11506" s="23" t="str">
        <f>HYPERLINK("https://www.spark-marketing.ru/Card/Lot/72247078", "Оказание услуг по организации питания обучающихся (реестровый номер: 1986 Э-15/19 сб)")</f>
        <v>Оказание услуг по организации питания обучающихся (реестровый номер: 1986 Э-15/19 сб)</v>
      </c>
      <c r="G11506" s="22" t="s">
        <v>112</v>
      </c>
      <c r="H11506" s="22" t="s">
        <v>112</v>
      </c>
      <c r="I11506" s="26">
        <v>43668.4938541667</v>
      </c>
      <c r="J11506" s="23" t="str">
        <f>HYPERLINK("https://www.spark-marketing.ru/Card/Person/91324", "ООО ""КАЛУЖСКИЙ КОМБИНАТ ШКОЛЬНОГО ПИТАНИЯ""")</f>
        <v>ООО "КАЛУЖСКИЙ КОМБИНАТ ШКОЛЬНОГО ПИТАНИЯ"</v>
      </c>
      <c r="K11506" s="24" t="s">
        <v>14829</v>
      </c>
      <c r="L11506" s="22" t="s">
        <v>10</v>
      </c>
      <c r="M11506" s="28" t="s">
        <v>51</v>
      </c>
      <c r="N11506" s="28" t="s">
        <v>51</v>
      </c>
    </row>
    <row r="11507" spans="1:14" x14ac:dyDescent="0.15">
      <c r="A11507" s="23" t="str">
        <f>HYPERLINK("https://www.spark-marketing.ru/Card/Person/1047384", "ОТДЕЛ МВД РОССИИ ПО БРЕДИНСКОМУ РАЙОНУ ЧЕЛЯБИНСКОЙ ОБЛАСТИ")</f>
        <v>ОТДЕЛ МВД РОССИИ ПО БРЕДИНСКОМУ РАЙОНУ ЧЕЛЯБИНСКОЙ ОБЛАСТИ</v>
      </c>
      <c r="B11507" s="24" t="s">
        <v>15507</v>
      </c>
      <c r="C11507" s="25">
        <v>1600000</v>
      </c>
      <c r="D11507" s="22" t="s">
        <v>15985</v>
      </c>
      <c r="E11507" s="22" t="s">
        <v>96</v>
      </c>
      <c r="F11507" s="23" t="str">
        <f>HYPERLINK("https://www.spark-marketing.ru/Card/Lot/72247644", "оказание услуг по организации ежедневного трехразового горячего питания для лиц, задержанных на срок более 3 часов и помещенных в специальные помещения задержанных лиц дежурной части, лиц, содержащихся в комнате содержания административно-задержанных...")</f>
        <v>оказание услуг по организации ежедневного трехразового горячего питания для лиц, задержанных на срок более 3 часов и помещенных в специальные помещения задержанных лиц дежурной части, лиц, содержащихся в комнате содержания административно-задержанных...</v>
      </c>
      <c r="G11507" s="22" t="s">
        <v>469</v>
      </c>
      <c r="H11507" s="22" t="s">
        <v>2180</v>
      </c>
      <c r="I11507" s="26">
        <v>43668.4593171296</v>
      </c>
      <c r="J11507" s="28" t="s">
        <v>51</v>
      </c>
      <c r="K11507" s="28" t="s">
        <v>51</v>
      </c>
      <c r="L11507" s="28" t="s">
        <v>51</v>
      </c>
      <c r="M11507" s="28" t="s">
        <v>51</v>
      </c>
      <c r="N11507" s="28" t="s">
        <v>51</v>
      </c>
    </row>
    <row r="11508" spans="1:14" x14ac:dyDescent="0.2">
      <c r="A11508" s="23" t="str">
        <f>HYPERLINK("https://www.spark-marketing.ru/Card/Person/947842", "МБОУ ""ГИМНАЗИЯ""")</f>
        <v>МБОУ "ГИМНАЗИЯ"</v>
      </c>
      <c r="B11508" s="24" t="s">
        <v>15986</v>
      </c>
      <c r="C11508" s="25">
        <v>1065479.04</v>
      </c>
      <c r="D11508" s="22" t="s">
        <v>15987</v>
      </c>
      <c r="E11508" s="22" t="s">
        <v>48</v>
      </c>
      <c r="F11508" s="23" t="str">
        <f>HYPERLINK("https://www.spark-marketing.ru/Card/Lot/72238280", "оказание услуг по организации горячего питания")</f>
        <v>оказание услуг по организации горячего питания</v>
      </c>
      <c r="G11508" s="22" t="s">
        <v>281</v>
      </c>
      <c r="H11508" s="22" t="s">
        <v>281</v>
      </c>
      <c r="I11508" s="26">
        <v>43668.495833333298</v>
      </c>
      <c r="J11508" s="23" t="str">
        <f>HYPERLINK("https://www.spark-marketing.ru/Card/Person/969761", "Заплатина Людмила Альфредовна")</f>
        <v>Заплатина Людмила Альфредовна</v>
      </c>
      <c r="K11508" s="24" t="s">
        <v>7793</v>
      </c>
      <c r="L11508" s="28" t="s">
        <v>51</v>
      </c>
      <c r="M11508" s="25">
        <v>1065479.04</v>
      </c>
      <c r="N11508" s="27">
        <v>0</v>
      </c>
    </row>
    <row r="11509" spans="1:14" x14ac:dyDescent="0.15">
      <c r="A11509" s="23" t="str">
        <f>HYPERLINK("https://www.spark-marketing.ru/Card/Person/4345970", "ФГУП ""ГХК""")</f>
        <v>ФГУП "ГХК"</v>
      </c>
      <c r="B11509" s="24" t="s">
        <v>5819</v>
      </c>
      <c r="C11509" s="28" t="s">
        <v>51</v>
      </c>
      <c r="D11509" s="22" t="s">
        <v>15988</v>
      </c>
      <c r="E11509" s="22" t="s">
        <v>96</v>
      </c>
      <c r="F11509" s="23" t="str">
        <f>HYPERLINK("https://www.spark-marketing.ru/Card/Lot/72244437", "Услуги по организации и предоставлению питания работникам предприятия, по организации и предоставлению питания членам делегаций, прибывшим на ФГУП ""ГХК""")</f>
        <v>Услуги по организации и предоставлению питания работникам предприятия, по организации и предоставлению питания членам делегаций, прибывшим на ФГУП "ГХК"</v>
      </c>
      <c r="G11509" s="22" t="s">
        <v>281</v>
      </c>
      <c r="H11509" s="22" t="s">
        <v>5821</v>
      </c>
      <c r="I11509" s="26">
        <v>43668.496840277803</v>
      </c>
      <c r="J11509" s="28" t="s">
        <v>51</v>
      </c>
      <c r="K11509" s="28" t="s">
        <v>51</v>
      </c>
      <c r="L11509" s="28" t="s">
        <v>51</v>
      </c>
      <c r="M11509" s="28" t="s">
        <v>51</v>
      </c>
      <c r="N11509" s="28" t="s">
        <v>51</v>
      </c>
    </row>
    <row r="11510" spans="1:14" x14ac:dyDescent="0.15">
      <c r="A11510" s="23" t="str">
        <f>HYPERLINK("https://www.spark-marketing.ru/Card/Person/259820", "МО МВД РОССИИ ""КРАСНОХОЛМСКИЙ""")</f>
        <v>МО МВД РОССИИ "КРАСНОХОЛМСКИЙ"</v>
      </c>
      <c r="B11510" s="24" t="s">
        <v>2722</v>
      </c>
      <c r="C11510" s="25">
        <v>432000</v>
      </c>
      <c r="D11510" s="22" t="s">
        <v>15989</v>
      </c>
      <c r="E11510" s="22" t="s">
        <v>96</v>
      </c>
      <c r="F11510" s="23" t="str">
        <f>HYPERLINK("https://www.spark-marketing.ru/Card/Lot/72247033", "Услуги по питанию в ИВС")</f>
        <v>Услуги по питанию в ИВС</v>
      </c>
      <c r="G11510" s="22" t="s">
        <v>137</v>
      </c>
      <c r="H11510" s="22" t="s">
        <v>137</v>
      </c>
      <c r="I11510" s="26">
        <v>43668.483680555597</v>
      </c>
      <c r="J11510" s="23" t="str">
        <f>HYPERLINK("https://www.spark-marketing.ru/Card/Person/4945962", "Алтунашвили Александр Александрович")</f>
        <v>Алтунашвили Александр Александрович</v>
      </c>
      <c r="K11510" s="24" t="s">
        <v>12621</v>
      </c>
      <c r="L11510" s="22" t="s">
        <v>10</v>
      </c>
      <c r="M11510" s="28" t="s">
        <v>51</v>
      </c>
      <c r="N11510" s="28" t="s">
        <v>51</v>
      </c>
    </row>
    <row r="11511" spans="1:14" x14ac:dyDescent="0.15">
      <c r="A11511" s="23" t="str">
        <f>HYPERLINK("https://www.spark-marketing.ru/Card/Person/59105", "АДМИНИСТРАЦИЯ ГОРОДА ВЕЛИКИЕ ЛУКИ")</f>
        <v>АДМИНИСТРАЦИЯ ГОРОДА ВЕЛИКИЕ ЛУКИ</v>
      </c>
      <c r="B11511" s="24" t="s">
        <v>8375</v>
      </c>
      <c r="C11511" s="25">
        <v>100000</v>
      </c>
      <c r="D11511" s="22" t="s">
        <v>15990</v>
      </c>
      <c r="E11511" s="22" t="s">
        <v>96</v>
      </c>
      <c r="F11511" s="23" t="str">
        <f>HYPERLINK("https://www.spark-marketing.ru/Card/Lot/72246027", "Оказание услуг общественного питания при приеме делегаций, приглашенных лиц")</f>
        <v>Оказание услуг общественного питания при приеме делегаций, приглашенных лиц</v>
      </c>
      <c r="G11511" s="22" t="s">
        <v>415</v>
      </c>
      <c r="H11511" s="22" t="s">
        <v>3840</v>
      </c>
      <c r="I11511" s="26">
        <v>43668.489004629599</v>
      </c>
      <c r="J11511" s="23" t="str">
        <f>HYPERLINK("https://www.spark-marketing.ru/Card/Person/428646", "ООО ""ГРК ""АМАРИС""")</f>
        <v>ООО "ГРК "АМАРИС"</v>
      </c>
      <c r="K11511" s="24" t="s">
        <v>8377</v>
      </c>
      <c r="L11511" s="28" t="s">
        <v>51</v>
      </c>
      <c r="M11511" s="28" t="s">
        <v>51</v>
      </c>
      <c r="N11511" s="28" t="s">
        <v>51</v>
      </c>
    </row>
    <row r="11512" spans="1:14" x14ac:dyDescent="0.15">
      <c r="A11512" s="23" t="str">
        <f>HYPERLINK("https://www.spark-marketing.ru/Card/Person/1053808", "МОБУ ""СОШ № 4"" ПГТ. ПОЙКОВСКИЙ")</f>
        <v>МОБУ "СОШ № 4" ПГТ. ПОЙКОВСКИЙ</v>
      </c>
      <c r="B11512" s="24" t="s">
        <v>15991</v>
      </c>
      <c r="C11512" s="25">
        <v>4374600</v>
      </c>
      <c r="D11512" s="22" t="s">
        <v>15992</v>
      </c>
      <c r="E11512" s="22" t="s">
        <v>48</v>
      </c>
      <c r="F11512" s="23" t="str">
        <f>HYPERLINK("https://www.spark-marketing.ru/Card/Lot/72243561", "Оказание услуг по организации питания.")</f>
        <v>Оказание услуг по организации питания.</v>
      </c>
      <c r="G11512" s="22" t="s">
        <v>97</v>
      </c>
      <c r="H11512" s="22" t="s">
        <v>97</v>
      </c>
      <c r="I11512" s="26">
        <v>43668.483506944402</v>
      </c>
      <c r="J11512" s="23" t="str">
        <f>HYPERLINK("https://www.spark-marketing.ru/Card/Person/930573", "ООО ""МЕГАЦЕНТР""")</f>
        <v>ООО "МЕГАЦЕНТР"</v>
      </c>
      <c r="K11512" s="24" t="s">
        <v>15993</v>
      </c>
      <c r="L11512" s="22" t="s">
        <v>10</v>
      </c>
      <c r="M11512" s="28" t="s">
        <v>51</v>
      </c>
      <c r="N11512" s="28" t="s">
        <v>51</v>
      </c>
    </row>
    <row r="11513" spans="1:14" x14ac:dyDescent="0.15">
      <c r="A11513" s="23" t="str">
        <f>HYPERLINK("https://www.spark-marketing.ru/Card/Person/145097", "О МВД РОССИИ ПО Г. НОВОКУЙБЫШЕВСКУ")</f>
        <v>О МВД РОССИИ ПО Г. НОВОКУЙБЫШЕВСКУ</v>
      </c>
      <c r="B11513" s="24" t="s">
        <v>15994</v>
      </c>
      <c r="C11513" s="25">
        <v>856895.9</v>
      </c>
      <c r="D11513" s="22" t="s">
        <v>15995</v>
      </c>
      <c r="E11513" s="22" t="s">
        <v>48</v>
      </c>
      <c r="F11513" s="23" t="str">
        <f>HYPERLINK("https://www.spark-marketing.ru/Card/Lot/72245602", "услуги по приготовлению и поставке трехразового горячего питания, поставки сахара и чая в сухом виде для лиц, содержащихся в специальном помещении для содержания задержанных лиц (СПЛЗЛ) и изоляторе временного содержания подозреваемых и обвиняемых в с...")</f>
        <v>услуги по приготовлению и поставке трехразового горячего питания, поставки сахара и чая в сухом виде для лиц, содержащихся в специальном помещении для содержания задержанных лиц (СПЛЗЛ) и изоляторе временного содержания подозреваемых и обвиняемых в с...</v>
      </c>
      <c r="G11513" s="22" t="s">
        <v>128</v>
      </c>
      <c r="H11513" s="22" t="s">
        <v>15996</v>
      </c>
      <c r="I11513" s="26">
        <v>43668.496898148202</v>
      </c>
      <c r="J11513" s="23" t="str">
        <f>HYPERLINK("https://www.spark-marketing.ru/Card/Person/2395558", "ООО ""РЕСТОРИЯ""")</f>
        <v>ООО "РЕСТОРИЯ"</v>
      </c>
      <c r="K11513" s="24" t="s">
        <v>2093</v>
      </c>
      <c r="L11513" s="22" t="s">
        <v>10</v>
      </c>
      <c r="M11513" s="28" t="s">
        <v>51</v>
      </c>
      <c r="N11513" s="28" t="s">
        <v>51</v>
      </c>
    </row>
    <row r="11514" spans="1:14" x14ac:dyDescent="0.15">
      <c r="A11514" s="23" t="str">
        <f>HYPERLINK("https://www.spark-marketing.ru/Card/Person/4349336", "ГБУЗ РК ""СИМФЕРОПОЛЬСКИЙ КРД №2""")</f>
        <v>ГБУЗ РК "СИМФЕРОПОЛЬСКИЙ КРД №2"</v>
      </c>
      <c r="B11514" s="24" t="s">
        <v>15997</v>
      </c>
      <c r="C11514" s="25">
        <v>7774800</v>
      </c>
      <c r="D11514" s="22" t="s">
        <v>15998</v>
      </c>
      <c r="E11514" s="22" t="s">
        <v>48</v>
      </c>
      <c r="F11514" s="23" t="str">
        <f>HYPERLINK("https://www.spark-marketing.ru/Card/Lot/72248675", "Оказание  услуги по обеспечению горячим питанием   (беременных, кормящих,гинекологических больных) в акушерском стационаре ГБУЗ РК ""Симферопольский КРД №2""")</f>
        <v>Оказание  услуги по обеспечению горячим питанием   (беременных, кормящих,гинекологических больных) в акушерском стационаре ГБУЗ РК "Симферопольский КРД №2"</v>
      </c>
      <c r="G11514" s="22" t="s">
        <v>108</v>
      </c>
      <c r="H11514" s="22" t="s">
        <v>1355</v>
      </c>
      <c r="I11514" s="26">
        <v>43668.478831018503</v>
      </c>
      <c r="J11514" s="23" t="str">
        <f>HYPERLINK("https://www.spark-marketing.ru/Card/Person/6367844", "Шевченко Тарас Николаевич")</f>
        <v>Шевченко Тарас Николаевич</v>
      </c>
      <c r="K11514" s="24" t="s">
        <v>8386</v>
      </c>
      <c r="L11514" s="22" t="s">
        <v>10</v>
      </c>
      <c r="M11514" s="28" t="s">
        <v>51</v>
      </c>
      <c r="N11514" s="28" t="s">
        <v>51</v>
      </c>
    </row>
    <row r="11515" spans="1:14" x14ac:dyDescent="0.2">
      <c r="A11515" s="23" t="str">
        <f>HYPERLINK("https://www.spark-marketing.ru/Card/Person/36427", "ГБУЗ ПК ""ПККПБ""")</f>
        <v>ГБУЗ ПК "ПККПБ"</v>
      </c>
      <c r="B11515" s="24" t="s">
        <v>15999</v>
      </c>
      <c r="C11515" s="25">
        <v>161325750</v>
      </c>
      <c r="D11515" s="22" t="s">
        <v>16000</v>
      </c>
      <c r="E11515" s="22" t="s">
        <v>96</v>
      </c>
      <c r="F11515" s="23" t="str">
        <f>HYPERLINK("https://www.spark-marketing.ru/Card/Lot/72238276", "Оказание услуг по организации питания")</f>
        <v>Оказание услуг по организации питания</v>
      </c>
      <c r="G11515" s="22" t="s">
        <v>153</v>
      </c>
      <c r="H11515" s="22" t="s">
        <v>153</v>
      </c>
      <c r="I11515" s="26">
        <v>43668.423611111102</v>
      </c>
      <c r="J11515" s="23" t="str">
        <f>HYPERLINK("https://www.spark-marketing.ru/Card/Person/47274", "ООО ""ЭЛИОНА""")</f>
        <v>ООО "ЭЛИОНА"</v>
      </c>
      <c r="K11515" s="24" t="s">
        <v>5443</v>
      </c>
      <c r="L11515" s="28" t="s">
        <v>51</v>
      </c>
      <c r="M11515" s="25">
        <v>161299360</v>
      </c>
      <c r="N11515" s="27">
        <v>1.6358206919850056E-4</v>
      </c>
    </row>
    <row r="11516" spans="1:14" x14ac:dyDescent="0.15">
      <c r="A11516" s="23" t="s">
        <v>114</v>
      </c>
      <c r="B11516" s="28" t="s">
        <v>51</v>
      </c>
      <c r="C11516" s="25">
        <v>743064.46</v>
      </c>
      <c r="D11516" s="22" t="s">
        <v>16001</v>
      </c>
      <c r="E11516" s="22" t="s">
        <v>62</v>
      </c>
      <c r="F11516" s="23" t="str">
        <f>HYPERLINK("https://www.spark-marketing.ru/Card/Lot/72243487", "закупка бланочной продукции")</f>
        <v>закупка бланочной продукции</v>
      </c>
      <c r="G11516" s="22" t="s">
        <v>51</v>
      </c>
      <c r="H11516" s="22" t="s">
        <v>51</v>
      </c>
      <c r="I11516" s="26">
        <v>43668.438935185201</v>
      </c>
      <c r="J11516" s="28" t="s">
        <v>51</v>
      </c>
      <c r="K11516" s="28" t="s">
        <v>51</v>
      </c>
      <c r="L11516" s="28" t="s">
        <v>51</v>
      </c>
      <c r="M11516" s="28" t="s">
        <v>51</v>
      </c>
      <c r="N11516" s="28" t="s">
        <v>51</v>
      </c>
    </row>
    <row r="11517" spans="1:14" hidden="1" outlineLevel="1" x14ac:dyDescent="0.15">
      <c r="A11517" s="23" t="str">
        <f>HYPERLINK("https://www.spark-marketing.ru/Card/Person/114154", "ГБУЗ РЕСПУБЛИКИ МОРДОВИЯ ""АТЯШЕВСКАЯ РБ""")</f>
        <v>ГБУЗ РЕСПУБЛИКИ МОРДОВИЯ "АТЯШЕВСКАЯ РБ"</v>
      </c>
      <c r="B11517" s="24" t="s">
        <v>12759</v>
      </c>
      <c r="C11517" s="25">
        <v>375728.56</v>
      </c>
      <c r="D11517" s="22" t="s">
        <v>16001</v>
      </c>
      <c r="E11517" s="22" t="s">
        <v>62</v>
      </c>
      <c r="F11517" s="23" t="str">
        <f>HYPERLINK("https://www.spark-marketing.ru/Card/Lot/72243487", "закупка бланочной продукции")</f>
        <v>закупка бланочной продукции</v>
      </c>
      <c r="G11517" s="22" t="s">
        <v>277</v>
      </c>
      <c r="H11517" s="22" t="s">
        <v>12760</v>
      </c>
      <c r="I11517" s="26">
        <v>43668.438935185201</v>
      </c>
      <c r="J11517" s="28" t="s">
        <v>51</v>
      </c>
      <c r="K11517" s="28" t="s">
        <v>51</v>
      </c>
      <c r="L11517" s="28" t="s">
        <v>51</v>
      </c>
      <c r="M11517" s="28" t="s">
        <v>51</v>
      </c>
      <c r="N11517" s="28" t="s">
        <v>51</v>
      </c>
    </row>
    <row r="11518" spans="1:14" hidden="1" outlineLevel="1" x14ac:dyDescent="0.15">
      <c r="A11518" s="23" t="str">
        <f>HYPERLINK("https://www.spark-marketing.ru/Card/Person/314621", "ГБУЗ РЕСПУБЛИКИ МОРДОВИЯ ""АРДАТОВСКАЯ РБ""")</f>
        <v>ГБУЗ РЕСПУБЛИКИ МОРДОВИЯ "АРДАТОВСКАЯ РБ"</v>
      </c>
      <c r="B11518" s="24" t="s">
        <v>12761</v>
      </c>
      <c r="C11518" s="25">
        <v>367335.9</v>
      </c>
      <c r="D11518" s="22" t="s">
        <v>16001</v>
      </c>
      <c r="E11518" s="22" t="s">
        <v>62</v>
      </c>
      <c r="F11518" s="23" t="str">
        <f>HYPERLINK("https://www.spark-marketing.ru/Card/Lot/72243487", "закупка бланочной продукции")</f>
        <v>закупка бланочной продукции</v>
      </c>
      <c r="G11518" s="22" t="s">
        <v>277</v>
      </c>
      <c r="H11518" s="22" t="s">
        <v>9501</v>
      </c>
      <c r="I11518" s="26">
        <v>43668.438935185201</v>
      </c>
      <c r="J11518" s="28" t="s">
        <v>51</v>
      </c>
      <c r="K11518" s="28" t="s">
        <v>51</v>
      </c>
      <c r="L11518" s="28" t="s">
        <v>51</v>
      </c>
      <c r="M11518" s="28" t="s">
        <v>51</v>
      </c>
      <c r="N11518" s="28" t="s">
        <v>51</v>
      </c>
    </row>
    <row r="11519" spans="1:14" x14ac:dyDescent="0.15">
      <c r="A11519" s="23" t="s">
        <v>114</v>
      </c>
      <c r="B11519" s="28" t="s">
        <v>51</v>
      </c>
      <c r="C11519" s="25">
        <v>7659440</v>
      </c>
      <c r="D11519" s="22" t="s">
        <v>16002</v>
      </c>
      <c r="E11519" s="22" t="s">
        <v>48</v>
      </c>
      <c r="F11519" s="23" t="str">
        <f t="shared" ref="F11519:F11529" si="319">HYPERLINK("https://www.spark-marketing.ru/Card/Lot/72243355", "Услуги по организации рационального питания обучающихся")</f>
        <v>Услуги по организации рационального питания обучающихся</v>
      </c>
      <c r="G11519" s="22" t="s">
        <v>51</v>
      </c>
      <c r="H11519" s="22" t="s">
        <v>51</v>
      </c>
      <c r="I11519" s="26">
        <v>43668.429166666698</v>
      </c>
      <c r="J11519" s="28" t="s">
        <v>51</v>
      </c>
      <c r="K11519" s="28" t="s">
        <v>51</v>
      </c>
      <c r="L11519" s="28" t="s">
        <v>51</v>
      </c>
      <c r="M11519" s="28" t="s">
        <v>51</v>
      </c>
      <c r="N11519" s="28" t="s">
        <v>51</v>
      </c>
    </row>
    <row r="11520" spans="1:14" hidden="1" outlineLevel="1" x14ac:dyDescent="0.15">
      <c r="A11520" s="23" t="str">
        <f>HYPERLINK("https://www.spark-marketing.ru/Card/Person/46593", "МБОУ СОФЬИНСКАЯ СОШ")</f>
        <v>МБОУ СОФЬИНСКАЯ СОШ</v>
      </c>
      <c r="B11520" s="24" t="s">
        <v>16003</v>
      </c>
      <c r="C11520" s="25">
        <v>895465</v>
      </c>
      <c r="D11520" s="22" t="s">
        <v>16002</v>
      </c>
      <c r="E11520" s="22" t="s">
        <v>48</v>
      </c>
      <c r="F11520" s="23" t="str">
        <f t="shared" si="319"/>
        <v>Услуги по организации рационального питания обучающихся</v>
      </c>
      <c r="G11520" s="22" t="s">
        <v>49</v>
      </c>
      <c r="H11520" s="22" t="s">
        <v>15701</v>
      </c>
      <c r="I11520" s="26">
        <v>43668.429166666698</v>
      </c>
      <c r="J11520" s="28" t="s">
        <v>51</v>
      </c>
      <c r="K11520" s="28" t="s">
        <v>51</v>
      </c>
      <c r="L11520" s="28" t="s">
        <v>51</v>
      </c>
      <c r="M11520" s="28" t="s">
        <v>51</v>
      </c>
      <c r="N11520" s="28" t="s">
        <v>51</v>
      </c>
    </row>
    <row r="11521" spans="1:14" hidden="1" outlineLevel="1" x14ac:dyDescent="0.15">
      <c r="A11521" s="23" t="str">
        <f>HYPERLINK("https://www.spark-marketing.ru/Card/Person/142646", "МБОУ НОВО-ОЛЬХОВСКАЯ СОШ")</f>
        <v>МБОУ НОВО-ОЛЬХОВСКАЯ СОШ</v>
      </c>
      <c r="B11521" s="24" t="s">
        <v>16004</v>
      </c>
      <c r="C11521" s="25">
        <v>829895</v>
      </c>
      <c r="D11521" s="22" t="s">
        <v>16002</v>
      </c>
      <c r="E11521" s="22" t="s">
        <v>48</v>
      </c>
      <c r="F11521" s="23" t="str">
        <f t="shared" si="319"/>
        <v>Услуги по организации рационального питания обучающихся</v>
      </c>
      <c r="G11521" s="22" t="s">
        <v>49</v>
      </c>
      <c r="H11521" s="22" t="s">
        <v>15701</v>
      </c>
      <c r="I11521" s="26">
        <v>43668.429166666698</v>
      </c>
      <c r="J11521" s="28" t="s">
        <v>51</v>
      </c>
      <c r="K11521" s="28" t="s">
        <v>51</v>
      </c>
      <c r="L11521" s="28" t="s">
        <v>51</v>
      </c>
      <c r="M11521" s="28" t="s">
        <v>51</v>
      </c>
      <c r="N11521" s="28" t="s">
        <v>51</v>
      </c>
    </row>
    <row r="11522" spans="1:14" hidden="1" outlineLevel="1" x14ac:dyDescent="0.15">
      <c r="A11522" s="23" t="str">
        <f>HYPERLINK("https://www.spark-marketing.ru/Card/Person/142647", "МБОУ НАРО-ФОМИНСКАЯ СОШ № 4 С УИОП")</f>
        <v>МБОУ НАРО-ФОМИНСКАЯ СОШ № 4 С УИОП</v>
      </c>
      <c r="B11522" s="24" t="s">
        <v>16005</v>
      </c>
      <c r="C11522" s="25">
        <v>2776480</v>
      </c>
      <c r="D11522" s="22" t="s">
        <v>16002</v>
      </c>
      <c r="E11522" s="22" t="s">
        <v>48</v>
      </c>
      <c r="F11522" s="23" t="str">
        <f t="shared" si="319"/>
        <v>Услуги по организации рационального питания обучающихся</v>
      </c>
      <c r="G11522" s="22" t="s">
        <v>49</v>
      </c>
      <c r="H11522" s="22" t="s">
        <v>15701</v>
      </c>
      <c r="I11522" s="26">
        <v>43668.429166666698</v>
      </c>
      <c r="J11522" s="28" t="s">
        <v>51</v>
      </c>
      <c r="K11522" s="28" t="s">
        <v>51</v>
      </c>
      <c r="L11522" s="28" t="s">
        <v>51</v>
      </c>
      <c r="M11522" s="28" t="s">
        <v>51</v>
      </c>
      <c r="N11522" s="28" t="s">
        <v>51</v>
      </c>
    </row>
    <row r="11523" spans="1:14" hidden="1" outlineLevel="1" x14ac:dyDescent="0.15">
      <c r="A11523" s="23" t="str">
        <f>HYPERLINK("https://www.spark-marketing.ru/Card/Person/997793", "МБОУ ТАШИРОВСКАЯ НОШ")</f>
        <v>МБОУ ТАШИРОВСКАЯ НОШ</v>
      </c>
      <c r="B11523" s="24" t="s">
        <v>16006</v>
      </c>
      <c r="C11523" s="25">
        <v>58890</v>
      </c>
      <c r="D11523" s="22" t="s">
        <v>16002</v>
      </c>
      <c r="E11523" s="22" t="s">
        <v>48</v>
      </c>
      <c r="F11523" s="23" t="str">
        <f t="shared" si="319"/>
        <v>Услуги по организации рационального питания обучающихся</v>
      </c>
      <c r="G11523" s="22" t="s">
        <v>49</v>
      </c>
      <c r="H11523" s="22" t="s">
        <v>15701</v>
      </c>
      <c r="I11523" s="26">
        <v>43668.429166666698</v>
      </c>
      <c r="J11523" s="28" t="s">
        <v>51</v>
      </c>
      <c r="K11523" s="28" t="s">
        <v>51</v>
      </c>
      <c r="L11523" s="28" t="s">
        <v>51</v>
      </c>
      <c r="M11523" s="28" t="s">
        <v>51</v>
      </c>
      <c r="N11523" s="28" t="s">
        <v>51</v>
      </c>
    </row>
    <row r="11524" spans="1:14" hidden="1" outlineLevel="1" x14ac:dyDescent="0.15">
      <c r="A11524" s="23" t="str">
        <f>HYPERLINK("https://www.spark-marketing.ru/Card/Person/998507", "МБОУ ПЕТРОВСКАЯ СРЕДНЯЯ ОБЩЕОБРАЗОВАТЕЛЬНАЯ ШКОЛА")</f>
        <v>МБОУ ПЕТРОВСКАЯ СРЕДНЯЯ ОБЩЕОБРАЗОВАТЕЛЬНАЯ ШКОЛА</v>
      </c>
      <c r="B11524" s="24" t="s">
        <v>16007</v>
      </c>
      <c r="C11524" s="25">
        <v>1218000</v>
      </c>
      <c r="D11524" s="22" t="s">
        <v>16002</v>
      </c>
      <c r="E11524" s="22" t="s">
        <v>48</v>
      </c>
      <c r="F11524" s="23" t="str">
        <f t="shared" si="319"/>
        <v>Услуги по организации рационального питания обучающихся</v>
      </c>
      <c r="G11524" s="22" t="s">
        <v>49</v>
      </c>
      <c r="H11524" s="22" t="s">
        <v>15701</v>
      </c>
      <c r="I11524" s="26">
        <v>43668.429166666698</v>
      </c>
      <c r="J11524" s="28" t="s">
        <v>51</v>
      </c>
      <c r="K11524" s="28" t="s">
        <v>51</v>
      </c>
      <c r="L11524" s="28" t="s">
        <v>51</v>
      </c>
      <c r="M11524" s="28" t="s">
        <v>51</v>
      </c>
      <c r="N11524" s="28" t="s">
        <v>51</v>
      </c>
    </row>
    <row r="11525" spans="1:14" hidden="1" outlineLevel="1" x14ac:dyDescent="0.15">
      <c r="A11525" s="23" t="str">
        <f>HYPERLINK("https://www.spark-marketing.ru/Card/Person/998560", "МБОУ АТЕПЦЕВСКАЯ СОШ")</f>
        <v>МБОУ АТЕПЦЕВСКАЯ СОШ</v>
      </c>
      <c r="B11525" s="24" t="s">
        <v>16008</v>
      </c>
      <c r="C11525" s="25">
        <v>1089650</v>
      </c>
      <c r="D11525" s="22" t="s">
        <v>16002</v>
      </c>
      <c r="E11525" s="22" t="s">
        <v>48</v>
      </c>
      <c r="F11525" s="23" t="str">
        <f t="shared" si="319"/>
        <v>Услуги по организации рационального питания обучающихся</v>
      </c>
      <c r="G11525" s="22" t="s">
        <v>49</v>
      </c>
      <c r="H11525" s="22" t="s">
        <v>15701</v>
      </c>
      <c r="I11525" s="26">
        <v>43668.429166666698</v>
      </c>
      <c r="J11525" s="28" t="s">
        <v>51</v>
      </c>
      <c r="K11525" s="28" t="s">
        <v>51</v>
      </c>
      <c r="L11525" s="28" t="s">
        <v>51</v>
      </c>
      <c r="M11525" s="28" t="s">
        <v>51</v>
      </c>
      <c r="N11525" s="28" t="s">
        <v>51</v>
      </c>
    </row>
    <row r="11526" spans="1:14" hidden="1" outlineLevel="1" x14ac:dyDescent="0.15">
      <c r="A11526" s="23" t="str">
        <f>HYPERLINK("https://www.spark-marketing.ru/Card/Person/1002145", "МБОУ КАМЕНСКАЯ СОШ")</f>
        <v>МБОУ КАМЕНСКАЯ СОШ</v>
      </c>
      <c r="B11526" s="24" t="s">
        <v>16009</v>
      </c>
      <c r="C11526" s="25">
        <v>438080</v>
      </c>
      <c r="D11526" s="22" t="s">
        <v>16002</v>
      </c>
      <c r="E11526" s="22" t="s">
        <v>48</v>
      </c>
      <c r="F11526" s="23" t="str">
        <f t="shared" si="319"/>
        <v>Услуги по организации рационального питания обучающихся</v>
      </c>
      <c r="G11526" s="22" t="s">
        <v>49</v>
      </c>
      <c r="H11526" s="22" t="s">
        <v>15701</v>
      </c>
      <c r="I11526" s="26">
        <v>43668.429166666698</v>
      </c>
      <c r="J11526" s="28" t="s">
        <v>51</v>
      </c>
      <c r="K11526" s="28" t="s">
        <v>51</v>
      </c>
      <c r="L11526" s="28" t="s">
        <v>51</v>
      </c>
      <c r="M11526" s="28" t="s">
        <v>51</v>
      </c>
      <c r="N11526" s="28" t="s">
        <v>51</v>
      </c>
    </row>
    <row r="11527" spans="1:14" hidden="1" outlineLevel="1" x14ac:dyDescent="0.15">
      <c r="A11527" s="23" t="str">
        <f>HYPERLINK("https://www.spark-marketing.ru/Card/Person/1030720", "МБОУ БЕКАСОВСКАЯ СОШ")</f>
        <v>МБОУ БЕКАСОВСКАЯ СОШ</v>
      </c>
      <c r="B11527" s="24" t="s">
        <v>16010</v>
      </c>
      <c r="C11527" s="25">
        <v>352980</v>
      </c>
      <c r="D11527" s="22" t="s">
        <v>16002</v>
      </c>
      <c r="E11527" s="22" t="s">
        <v>48</v>
      </c>
      <c r="F11527" s="23" t="str">
        <f t="shared" si="319"/>
        <v>Услуги по организации рационального питания обучающихся</v>
      </c>
      <c r="G11527" s="22" t="s">
        <v>49</v>
      </c>
      <c r="H11527" s="22" t="s">
        <v>15701</v>
      </c>
      <c r="I11527" s="26">
        <v>43668.429166666698</v>
      </c>
      <c r="J11527" s="28" t="s">
        <v>51</v>
      </c>
      <c r="K11527" s="28" t="s">
        <v>51</v>
      </c>
      <c r="L11527" s="28" t="s">
        <v>51</v>
      </c>
      <c r="M11527" s="28" t="s">
        <v>51</v>
      </c>
      <c r="N11527" s="28" t="s">
        <v>51</v>
      </c>
    </row>
    <row r="11528" spans="1:14" hidden="1" outlineLevel="1" x14ac:dyDescent="0.2">
      <c r="A11528" s="28" t="s">
        <v>51</v>
      </c>
      <c r="B11528" s="28" t="s">
        <v>51</v>
      </c>
      <c r="C11528" s="28" t="s">
        <v>51</v>
      </c>
      <c r="D11528" s="22" t="s">
        <v>16002</v>
      </c>
      <c r="E11528" s="22" t="s">
        <v>48</v>
      </c>
      <c r="F11528" s="23" t="str">
        <f t="shared" si="319"/>
        <v>Услуги по организации рационального питания обучающихся</v>
      </c>
      <c r="G11528" s="22" t="s">
        <v>51</v>
      </c>
      <c r="H11528" s="22" t="s">
        <v>51</v>
      </c>
      <c r="I11528" s="26">
        <v>43668.429166666698</v>
      </c>
      <c r="J11528" s="23" t="str">
        <f>HYPERLINK("https://www.spark-marketing.ru/Card/Person/60153", "ООО МОЛОЧНЫЙ ЗАВОД ""НАРО-ФОМИНСКИЙ""")</f>
        <v>ООО МОЛОЧНЫЙ ЗАВОД "НАРО-ФОМИНСКИЙ"</v>
      </c>
      <c r="K11528" s="24" t="s">
        <v>5326</v>
      </c>
      <c r="L11528" s="22" t="s">
        <v>10</v>
      </c>
      <c r="M11528" s="25">
        <v>7649288.7999999998</v>
      </c>
      <c r="N11528" s="27">
        <v>1.3253188222637686E-3</v>
      </c>
    </row>
    <row r="11529" spans="1:14" hidden="1" outlineLevel="1" x14ac:dyDescent="0.2">
      <c r="A11529" s="28" t="s">
        <v>51</v>
      </c>
      <c r="B11529" s="28" t="s">
        <v>51</v>
      </c>
      <c r="C11529" s="28" t="s">
        <v>51</v>
      </c>
      <c r="D11529" s="22" t="s">
        <v>16002</v>
      </c>
      <c r="E11529" s="22" t="s">
        <v>48</v>
      </c>
      <c r="F11529" s="23" t="str">
        <f t="shared" si="319"/>
        <v>Услуги по организации рационального питания обучающихся</v>
      </c>
      <c r="G11529" s="22" t="s">
        <v>51</v>
      </c>
      <c r="H11529" s="22" t="s">
        <v>51</v>
      </c>
      <c r="I11529" s="26">
        <v>43668.429166666698</v>
      </c>
      <c r="J11529" s="23" t="str">
        <f>HYPERLINK("https://www.spark-marketing.ru/Card/Person/59173", "ООО ""ВЕКТОР""")</f>
        <v>ООО "ВЕКТОР"</v>
      </c>
      <c r="K11529" s="24" t="s">
        <v>15708</v>
      </c>
      <c r="L11529" s="28" t="s">
        <v>51</v>
      </c>
      <c r="M11529" s="25">
        <v>6893496</v>
      </c>
      <c r="N11529" s="27">
        <v>0.1</v>
      </c>
    </row>
    <row r="11530" spans="1:14" x14ac:dyDescent="0.15">
      <c r="A11530" s="23" t="str">
        <f>HYPERLINK("https://www.spark-marketing.ru/Card/Person/1059005", "МБОУ ""СОШ № 196""")</f>
        <v>МБОУ "СОШ № 196"</v>
      </c>
      <c r="B11530" s="24" t="s">
        <v>16011</v>
      </c>
      <c r="C11530" s="25">
        <v>947580</v>
      </c>
      <c r="D11530" s="22" t="s">
        <v>16012</v>
      </c>
      <c r="E11530" s="22" t="s">
        <v>48</v>
      </c>
      <c r="F11530" s="23" t="str">
        <f>HYPERLINK("https://www.spark-marketing.ru/Card/Lot/72237227", "Оказание услуг по организации питания льготной категории обучающихся и обучающихся с ограниченными возможностями здоровья МБОУ «СОШ № 196»")</f>
        <v>Оказание услуг по организации питания льготной категории обучающихся и обучающихся с ограниченными возможностями здоровья МБОУ «СОШ № 196»</v>
      </c>
      <c r="G11530" s="22" t="s">
        <v>149</v>
      </c>
      <c r="H11530" s="22" t="s">
        <v>149</v>
      </c>
      <c r="I11530" s="26">
        <v>43668.427199074104</v>
      </c>
      <c r="J11530" s="23" t="str">
        <f>HYPERLINK("https://www.spark-marketing.ru/Card/Person/6673560", "ООО ""КШП""")</f>
        <v>ООО "КШП"</v>
      </c>
      <c r="K11530" s="24" t="s">
        <v>16013</v>
      </c>
      <c r="L11530" s="22" t="s">
        <v>10</v>
      </c>
      <c r="M11530" s="28" t="s">
        <v>51</v>
      </c>
      <c r="N11530" s="28" t="s">
        <v>51</v>
      </c>
    </row>
    <row r="11531" spans="1:14" x14ac:dyDescent="0.15">
      <c r="A11531" s="23" t="str">
        <f>HYPERLINK("https://www.spark-marketing.ru/Card/Person/1071096", "МКОУ КРАСНОЗЕРСКАЯ СОШ № 1")</f>
        <v>МКОУ КРАСНОЗЕРСКАЯ СОШ № 1</v>
      </c>
      <c r="B11531" s="24" t="s">
        <v>8194</v>
      </c>
      <c r="C11531" s="25">
        <v>966</v>
      </c>
      <c r="D11531" s="22" t="s">
        <v>16014</v>
      </c>
      <c r="E11531" s="22" t="s">
        <v>48</v>
      </c>
      <c r="F11531" s="23" t="str">
        <f>HYPERLINK("https://www.spark-marketing.ru/Card/Lot/72242234", "Услуги по организации питания участников группы волонтеров ""Снежный десант"", согласно Приложения №1")</f>
        <v>Услуги по организации питания участников группы волонтеров "Снежный десант", согласно Приложения №1</v>
      </c>
      <c r="G11531" s="22" t="s">
        <v>195</v>
      </c>
      <c r="H11531" s="22" t="s">
        <v>5098</v>
      </c>
      <c r="I11531" s="26">
        <v>43668.452777777798</v>
      </c>
      <c r="J11531" s="28" t="s">
        <v>51</v>
      </c>
      <c r="K11531" s="28" t="s">
        <v>51</v>
      </c>
      <c r="L11531" s="28" t="s">
        <v>51</v>
      </c>
      <c r="M11531" s="28" t="s">
        <v>51</v>
      </c>
      <c r="N11531" s="28" t="s">
        <v>51</v>
      </c>
    </row>
    <row r="11532" spans="1:14" x14ac:dyDescent="0.15">
      <c r="A11532" s="23" t="str">
        <f>HYPERLINK("https://www.spark-marketing.ru/Card/Person/32680", "ГБУК КО ""ТЕАТР ЭСТРАДЫ ""ЯНТАРЬ-ХОЛЛ""")</f>
        <v>ГБУК КО "ТЕАТР ЭСТРАДЫ "ЯНТАРЬ-ХОЛЛ"</v>
      </c>
      <c r="B11532" s="24" t="s">
        <v>10978</v>
      </c>
      <c r="C11532" s="25">
        <v>399100</v>
      </c>
      <c r="D11532" s="22" t="s">
        <v>16015</v>
      </c>
      <c r="E11532" s="22" t="s">
        <v>362</v>
      </c>
      <c r="F11532" s="23" t="str">
        <f>HYPERLINK("https://www.spark-marketing.ru/Card/Lot/72260355", "Услуги по организации питания участников мероприятия - «Прием Правительства Калининградской области от имени Губернатора, посвященный закрытию Музыкального фестиваля «Голосящий КиВиН - 2019»")</f>
        <v>Услуги по организации питания участников мероприятия - «Прием Правительства Калининградской области от имени Губернатора, посвященный закрытию Музыкального фестиваля «Голосящий КиВиН - 2019»</v>
      </c>
      <c r="G11532" s="22" t="s">
        <v>400</v>
      </c>
      <c r="H11532" s="22" t="s">
        <v>400</v>
      </c>
      <c r="I11532" s="26">
        <v>43668.430300925902</v>
      </c>
      <c r="J11532" s="28" t="s">
        <v>51</v>
      </c>
      <c r="K11532" s="28" t="s">
        <v>51</v>
      </c>
      <c r="L11532" s="28" t="s">
        <v>51</v>
      </c>
      <c r="M11532" s="28" t="s">
        <v>51</v>
      </c>
      <c r="N11532" s="28" t="s">
        <v>51</v>
      </c>
    </row>
    <row r="11533" spans="1:14" x14ac:dyDescent="0.15">
      <c r="A11533" s="23" t="str">
        <f>HYPERLINK("https://www.spark-marketing.ru/Card/Person/246974", "ОТДЕЛ МВД РОССИИ ПО ЯШКИНСКОМУ РАЙОНУ")</f>
        <v>ОТДЕЛ МВД РОССИИ ПО ЯШКИНСКОМУ РАЙОНУ</v>
      </c>
      <c r="B11533" s="24" t="s">
        <v>11961</v>
      </c>
      <c r="C11533" s="25">
        <v>510000</v>
      </c>
      <c r="D11533" s="22" t="s">
        <v>16016</v>
      </c>
      <c r="E11533" s="22" t="s">
        <v>48</v>
      </c>
      <c r="F11533" s="23" t="str">
        <f>HYPERLINK("https://www.spark-marketing.ru/Card/Lot/72238468", "услуги по организации ежедневного комплексного горячего питания лиц,находящихся в изоляторе временного содержания")</f>
        <v>услуги по организации ежедневного комплексного горячего питания лиц,находящихся в изоляторе временного содержания</v>
      </c>
      <c r="G11533" s="22" t="s">
        <v>304</v>
      </c>
      <c r="H11533" s="22" t="s">
        <v>11963</v>
      </c>
      <c r="I11533" s="26">
        <v>43668.438657407401</v>
      </c>
      <c r="J11533" s="28" t="s">
        <v>51</v>
      </c>
      <c r="K11533" s="28" t="s">
        <v>51</v>
      </c>
      <c r="L11533" s="28" t="s">
        <v>51</v>
      </c>
      <c r="M11533" s="28" t="s">
        <v>51</v>
      </c>
      <c r="N11533" s="28" t="s">
        <v>51</v>
      </c>
    </row>
    <row r="11534" spans="1:14" x14ac:dyDescent="0.15">
      <c r="A11534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1534" s="24" t="s">
        <v>16017</v>
      </c>
      <c r="C11534" s="25">
        <v>3568701.3</v>
      </c>
      <c r="D11534" s="22" t="s">
        <v>16018</v>
      </c>
      <c r="E11534" s="22" t="s">
        <v>48</v>
      </c>
      <c r="F11534" s="23" t="str">
        <f>HYPERLINK("https://www.spark-marketing.ru/Card/Lot/72254051", "Оказание услуг по организации ежедневного горячего питания для лиц, содержащихся в ЦВСИГ УМВД России по Калининградской области")</f>
        <v>Оказание услуг по организации ежедневного горячего питания для лиц, содержащихся в ЦВСИГ УМВД России по Калининградской области</v>
      </c>
      <c r="G11534" s="22" t="s">
        <v>400</v>
      </c>
      <c r="H11534" s="22" t="s">
        <v>400</v>
      </c>
      <c r="I11534" s="26">
        <v>43668.433078703703</v>
      </c>
      <c r="J11534" s="23" t="str">
        <f>HYPERLINK("https://www.spark-marketing.ru/Card/Person/1867344", "ООО ""ФАБРИКА ВКУСА""")</f>
        <v>ООО "ФАБРИКА ВКУСА"</v>
      </c>
      <c r="K11534" s="24" t="s">
        <v>16019</v>
      </c>
      <c r="L11534" s="22" t="s">
        <v>10</v>
      </c>
      <c r="M11534" s="28" t="s">
        <v>51</v>
      </c>
      <c r="N11534" s="28" t="s">
        <v>51</v>
      </c>
    </row>
    <row r="11535" spans="1:14" x14ac:dyDescent="0.15">
      <c r="A11535" s="23" t="str">
        <f>HYPERLINK("https://www.spark-marketing.ru/Card/Person/6387", "МБОУ ""СОШ № 4""")</f>
        <v>МБОУ "СОШ № 4"</v>
      </c>
      <c r="B11535" s="24" t="s">
        <v>16020</v>
      </c>
      <c r="C11535" s="25">
        <v>844740</v>
      </c>
      <c r="D11535" s="22" t="s">
        <v>16021</v>
      </c>
      <c r="E11535" s="22" t="s">
        <v>51</v>
      </c>
      <c r="F11535" s="23" t="str">
        <f>HYPERLINK("https://www.spark-marketing.ru/Card/Lot/72242215", "Услуги по обеспечению питанием, осуществляемые по договору")</f>
        <v>Услуги по обеспечению питанием, осуществляемые по договору</v>
      </c>
      <c r="G11535" s="22" t="s">
        <v>92</v>
      </c>
      <c r="H11535" s="22" t="s">
        <v>93</v>
      </c>
      <c r="I11535" s="26">
        <v>43668.4347569444</v>
      </c>
      <c r="J11535" s="23" t="str">
        <f>HYPERLINK("https://www.spark-marketing.ru/Card/Person/53841", "ООО ""КУЛИНАР""")</f>
        <v>ООО "КУЛИНАР"</v>
      </c>
      <c r="K11535" s="24" t="s">
        <v>16022</v>
      </c>
      <c r="L11535" s="22" t="s">
        <v>10</v>
      </c>
      <c r="M11535" s="28" t="s">
        <v>51</v>
      </c>
      <c r="N11535" s="28" t="s">
        <v>51</v>
      </c>
    </row>
    <row r="11536" spans="1:14" x14ac:dyDescent="0.15">
      <c r="A11536" s="23" t="str">
        <f>HYPERLINK("https://www.spark-marketing.ru/Card/Person/1055051", "НРМОБУ ""КАРКАТЕЕВСКАЯ СОШ""")</f>
        <v>НРМОБУ "КАРКАТЕЕВСКАЯ СОШ"</v>
      </c>
      <c r="B11536" s="24" t="s">
        <v>16023</v>
      </c>
      <c r="C11536" s="25">
        <v>1030992</v>
      </c>
      <c r="D11536" s="22" t="s">
        <v>16024</v>
      </c>
      <c r="E11536" s="22" t="s">
        <v>48</v>
      </c>
      <c r="F11536" s="23" t="str">
        <f>HYPERLINK("https://www.spark-marketing.ru/Card/Lot/72239055", "Оказание услуг по организации питания учащихся в столовой НРМОБУ «Каркатеевская СОШ» во втором полугодии 2019 года")</f>
        <v>Оказание услуг по организации питания учащихся в столовой НРМОБУ «Каркатеевская СОШ» во втором полугодии 2019 года</v>
      </c>
      <c r="G11536" s="22" t="s">
        <v>97</v>
      </c>
      <c r="H11536" s="22" t="s">
        <v>97</v>
      </c>
      <c r="I11536" s="26">
        <v>43668.430254629602</v>
      </c>
      <c r="J11536" s="23" t="str">
        <f>HYPERLINK("https://www.spark-marketing.ru/Card/Person/233465", "НГМУП ""ШКОЛЬНОЕ ПИТАНИЕ""")</f>
        <v>НГМУП "ШКОЛЬНОЕ ПИТАНИЕ"</v>
      </c>
      <c r="K11536" s="24" t="s">
        <v>5280</v>
      </c>
      <c r="L11536" s="22" t="s">
        <v>10</v>
      </c>
      <c r="M11536" s="28" t="s">
        <v>51</v>
      </c>
      <c r="N11536" s="28" t="s">
        <v>51</v>
      </c>
    </row>
    <row r="11537" spans="1:14" x14ac:dyDescent="0.15">
      <c r="A11537" s="23" t="str">
        <f>HYPERLINK("https://www.spark-marketing.ru/Card/Person/246974", "ОТДЕЛ МВД РОССИИ ПО ЯШКИНСКОМУ РАЙОНУ")</f>
        <v>ОТДЕЛ МВД РОССИИ ПО ЯШКИНСКОМУ РАЙОНУ</v>
      </c>
      <c r="B11537" s="24" t="s">
        <v>11961</v>
      </c>
      <c r="C11537" s="25">
        <v>510000</v>
      </c>
      <c r="D11537" s="22" t="s">
        <v>16025</v>
      </c>
      <c r="E11537" s="22" t="s">
        <v>48</v>
      </c>
      <c r="F11537" s="23" t="str">
        <f>HYPERLINK("https://www.spark-marketing.ru/Card/Lot/72238465", "услуги по организации ежедневного комплексного горячего питания лиц, находящихся в изоляторе временного содержания")</f>
        <v>услуги по организации ежедневного комплексного горячего питания лиц, находящихся в изоляторе временного содержания</v>
      </c>
      <c r="G11537" s="22" t="s">
        <v>304</v>
      </c>
      <c r="H11537" s="22" t="s">
        <v>11963</v>
      </c>
      <c r="I11537" s="26">
        <v>43668.428043981497</v>
      </c>
      <c r="J11537" s="28" t="s">
        <v>51</v>
      </c>
      <c r="K11537" s="28" t="s">
        <v>51</v>
      </c>
      <c r="L11537" s="28" t="s">
        <v>51</v>
      </c>
      <c r="M11537" s="28" t="s">
        <v>51</v>
      </c>
      <c r="N11537" s="28" t="s">
        <v>51</v>
      </c>
    </row>
    <row r="11538" spans="1:14" x14ac:dyDescent="0.15">
      <c r="A11538" s="23" t="str">
        <f>HYPERLINK("https://www.spark-marketing.ru/Card/Person/1077854", "МБОУ ""СОШ № 83""")</f>
        <v>МБОУ "СОШ № 83"</v>
      </c>
      <c r="B11538" s="24" t="s">
        <v>16026</v>
      </c>
      <c r="C11538" s="25">
        <v>1160895</v>
      </c>
      <c r="D11538" s="22" t="s">
        <v>16027</v>
      </c>
      <c r="E11538" s="22" t="s">
        <v>48</v>
      </c>
      <c r="F11538" s="23" t="str">
        <f>HYPERLINK("https://www.spark-marketing.ru/Card/Lot/72236754", "Оказание услуг по организации питания льготных категорий обучающихся и обучающихся с ограниченными возможностями здоровья МБОУ «СОШ № 83»")</f>
        <v>Оказание услуг по организации питания льготных категорий обучающихся и обучающихся с ограниченными возможностями здоровья МБОУ «СОШ № 83»</v>
      </c>
      <c r="G11538" s="22" t="s">
        <v>149</v>
      </c>
      <c r="H11538" s="22" t="s">
        <v>149</v>
      </c>
      <c r="I11538" s="26">
        <v>43668.419548611098</v>
      </c>
      <c r="J11538" s="28" t="s">
        <v>51</v>
      </c>
      <c r="K11538" s="28" t="s">
        <v>51</v>
      </c>
      <c r="L11538" s="28" t="s">
        <v>51</v>
      </c>
      <c r="M11538" s="28" t="s">
        <v>51</v>
      </c>
      <c r="N11538" s="28" t="s">
        <v>51</v>
      </c>
    </row>
    <row r="11539" spans="1:14" ht="12.75" hidden="1" outlineLevel="1" x14ac:dyDescent="0.2">
      <c r="A11539" s="23" t="str">
        <f>HYPERLINK("https://www.spark-marketing.ru/Card/Person/1077854", "МБОУ ""СОШ № 83""")</f>
        <v>МБОУ "СОШ № 83"</v>
      </c>
      <c r="B11539" s="24" t="s">
        <v>16026</v>
      </c>
      <c r="C11539" s="25">
        <v>1160895</v>
      </c>
      <c r="D11539" s="22" t="s">
        <v>16027</v>
      </c>
      <c r="E11539" s="22" t="s">
        <v>48</v>
      </c>
      <c r="F11539" s="23" t="str">
        <f>HYPERLINK("https://www.spark-marketing.ru/Card/Lot/72236754", "Оказание услуг по организации питания льготных категорий обучающихся и обучающихся с ограниченными возможностями здоровья МБОУ «СОШ № 83»")</f>
        <v>Оказание услуг по организации питания льготных категорий обучающихся и обучающихся с ограниченными возможностями здоровья МБОУ «СОШ № 83»</v>
      </c>
      <c r="G11539" s="22" t="s">
        <v>149</v>
      </c>
      <c r="H11539" s="22" t="s">
        <v>149</v>
      </c>
      <c r="I11539" s="26">
        <v>43668.419548611098</v>
      </c>
      <c r="J11539" s="23" t="str">
        <f>HYPERLINK("https://www.spark-marketing.ru/Card/Person/6673560", "ООО ""КШП""")</f>
        <v>ООО "КШП"</v>
      </c>
      <c r="K11539" s="24" t="s">
        <v>16013</v>
      </c>
      <c r="L11539" s="22" t="s">
        <v>10</v>
      </c>
      <c r="M11539" s="25">
        <v>638491.80000000005</v>
      </c>
      <c r="N11539" s="27">
        <v>0.45000038763195638</v>
      </c>
    </row>
    <row r="11540" spans="1:14" hidden="1" outlineLevel="1" x14ac:dyDescent="0.2">
      <c r="A11540" s="23" t="str">
        <f>HYPERLINK("https://www.spark-marketing.ru/Card/Person/1077854", "МБОУ ""СОШ № 83""")</f>
        <v>МБОУ "СОШ № 83"</v>
      </c>
      <c r="B11540" s="24" t="s">
        <v>16026</v>
      </c>
      <c r="C11540" s="25">
        <v>1160895</v>
      </c>
      <c r="D11540" s="22" t="s">
        <v>16027</v>
      </c>
      <c r="E11540" s="22" t="s">
        <v>48</v>
      </c>
      <c r="F11540" s="23" t="str">
        <f>HYPERLINK("https://www.spark-marketing.ru/Card/Lot/72236754", "Оказание услуг по организации питания льготных категорий обучающихся и обучающихся с ограниченными возможностями здоровья МБОУ «СОШ № 83»")</f>
        <v>Оказание услуг по организации питания льготных категорий обучающихся и обучающихся с ограниченными возможностями здоровья МБОУ «СОШ № 83»</v>
      </c>
      <c r="G11540" s="22" t="s">
        <v>149</v>
      </c>
      <c r="H11540" s="22" t="s">
        <v>149</v>
      </c>
      <c r="I11540" s="26">
        <v>43668.419548611098</v>
      </c>
      <c r="J11540" s="23" t="str">
        <f>HYPERLINK("https://www.spark-marketing.ru/Card/Person/851035", "ООО ""КОМБИНАТ ПИТАНИЯ""")</f>
        <v>ООО "КОМБИНАТ ПИТАНИЯ"</v>
      </c>
      <c r="K11540" s="24" t="s">
        <v>16028</v>
      </c>
      <c r="L11540" s="28" t="s">
        <v>51</v>
      </c>
      <c r="M11540" s="25">
        <v>644296.28</v>
      </c>
      <c r="N11540" s="27">
        <v>0.44500038332493463</v>
      </c>
    </row>
    <row r="11541" spans="1:14" x14ac:dyDescent="0.15">
      <c r="A11541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1541" s="24" t="s">
        <v>4297</v>
      </c>
      <c r="C11541" s="25">
        <v>72750</v>
      </c>
      <c r="D11541" s="22" t="s">
        <v>16029</v>
      </c>
      <c r="E11541" s="22" t="s">
        <v>48</v>
      </c>
      <c r="F11541" s="23" t="str">
        <f>HYPERLINK("https://www.spark-marketing.ru/Card/Lot/72236489",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1541" s="22" t="s">
        <v>1096</v>
      </c>
      <c r="H11541" s="22" t="s">
        <v>4299</v>
      </c>
      <c r="I11541" s="26">
        <v>43668.426817129599</v>
      </c>
      <c r="J11541" s="23" t="str">
        <f>HYPERLINK("https://www.spark-marketing.ru/Card/Person/1074614", "МОУ СОШ № 32")</f>
        <v>МОУ СОШ № 32</v>
      </c>
      <c r="K11541" s="24" t="s">
        <v>16030</v>
      </c>
      <c r="L11541" s="22" t="s">
        <v>10</v>
      </c>
      <c r="M11541" s="28" t="s">
        <v>51</v>
      </c>
      <c r="N11541" s="28" t="s">
        <v>51</v>
      </c>
    </row>
    <row r="11542" spans="1:14" x14ac:dyDescent="0.15">
      <c r="A11542" s="23" t="str">
        <f>HYPERLINK("https://www.spark-marketing.ru/Card/Person/4349872", "АО ""АВИАКОМПАНИЯ ""РОССИЯ""")</f>
        <v>АО "АВИАКОМПАНИЯ "РОССИЯ"</v>
      </c>
      <c r="B11542" s="24" t="s">
        <v>785</v>
      </c>
      <c r="C11542" s="25">
        <v>20923261.811999999</v>
      </c>
      <c r="D11542" s="22" t="s">
        <v>16031</v>
      </c>
      <c r="E11542" s="22" t="s">
        <v>769</v>
      </c>
      <c r="F11542" s="23" t="str">
        <f>HYPERLINK("https://www.spark-marketing.ru/Card/Lot/72261955", "Оказание услуг по размещению, питанию, трансферу экипажей и командировочных сотрудников (Самарканд)")</f>
        <v>Оказание услуг по размещению, питанию, трансферу экипажей и командировочных сотрудников (Самарканд)</v>
      </c>
      <c r="G11542" s="22" t="s">
        <v>217</v>
      </c>
      <c r="H11542" s="22" t="s">
        <v>217</v>
      </c>
      <c r="I11542" s="26">
        <v>43668.384965277801</v>
      </c>
      <c r="J11542" s="28" t="s">
        <v>51</v>
      </c>
      <c r="K11542" s="28" t="s">
        <v>51</v>
      </c>
      <c r="L11542" s="28" t="s">
        <v>51</v>
      </c>
      <c r="M11542" s="28" t="s">
        <v>51</v>
      </c>
      <c r="N11542" s="28" t="s">
        <v>51</v>
      </c>
    </row>
    <row r="11543" spans="1:14" x14ac:dyDescent="0.2">
      <c r="A11543" s="23" t="str">
        <f>HYPERLINK("https://www.spark-marketing.ru/Card/Person/15191", "Выборгский филиал СПбГУ ГА")</f>
        <v>Выборгский филиал СПбГУ ГА</v>
      </c>
      <c r="B11543" s="24" t="s">
        <v>16032</v>
      </c>
      <c r="C11543" s="25">
        <v>4795200</v>
      </c>
      <c r="D11543" s="22" t="s">
        <v>16033</v>
      </c>
      <c r="E11543" s="22" t="s">
        <v>48</v>
      </c>
      <c r="F11543" s="23" t="str">
        <f>HYPERLINK("https://www.spark-marketing.ru/Card/Lot/72241554", "Услуга по организации питания курсантов в 2019 году")</f>
        <v>Услуга по организации питания курсантов в 2019 году</v>
      </c>
      <c r="G11543" s="22" t="s">
        <v>162</v>
      </c>
      <c r="H11543" s="22" t="s">
        <v>162</v>
      </c>
      <c r="I11543" s="26">
        <v>43668.401388888902</v>
      </c>
      <c r="J11543" s="23" t="str">
        <f>HYPERLINK("https://www.spark-marketing.ru/Card/Person/42095", "ООО ""КОМБИНАТ СОЦИАЛЬНОГО ПИТАНИЯ""")</f>
        <v>ООО "КОМБИНАТ СОЦИАЛЬНОГО ПИТАНИЯ"</v>
      </c>
      <c r="K11543" s="24" t="s">
        <v>12318</v>
      </c>
      <c r="L11543" s="28" t="s">
        <v>51</v>
      </c>
      <c r="M11543" s="25">
        <v>4795200</v>
      </c>
      <c r="N11543" s="27">
        <v>0</v>
      </c>
    </row>
    <row r="11544" spans="1:14" x14ac:dyDescent="0.15">
      <c r="A11544" s="23" t="str">
        <f t="shared" ref="A11544:A11549" si="320">HYPERLINK("https://www.spark-marketing.ru/Card/Person/123228", "КГБПОУ ""ЗЕЛЕНОГОРСКИЙ ТЕХНИКУМ ПРОМЫШЛЕННЫХ ТЕХНОЛОГИЙ И СЕРВИСА""")</f>
        <v>КГБПОУ "ЗЕЛЕНОГОРСКИЙ ТЕХНИКУМ ПРОМЫШЛЕННЫХ ТЕХНОЛОГИЙ И СЕРВИСА"</v>
      </c>
      <c r="B11544" s="24" t="s">
        <v>16034</v>
      </c>
      <c r="C11544" s="25">
        <v>8279360.8300000001</v>
      </c>
      <c r="D11544" s="22" t="s">
        <v>16035</v>
      </c>
      <c r="E11544" s="22" t="s">
        <v>48</v>
      </c>
      <c r="F11544" s="23" t="str">
        <f t="shared" ref="F11544:F11549" si="321">HYPERLINK("https://www.spark-marketing.ru/Card/Lot/72245517", "№ ЭА 43883/19 Оказание услуг по организации готового горячего питания для обучающихся краевого государственного бюджетного профессионального образовательного учреждения ""Зеленогорский техникум промышленных технологий и сервиса"" на 2019-2020 учебный...")</f>
        <v>№ ЭА 43883/19 Оказание услуг по организации готового горячего питания для обучающихся краевого государственного бюджетного профессионального образовательного учреждения "Зеленогорский техникум промышленных технологий и сервиса" на 2019-2020 учебный...</v>
      </c>
      <c r="G11544" s="22" t="s">
        <v>281</v>
      </c>
      <c r="H11544" s="22" t="s">
        <v>8349</v>
      </c>
      <c r="I11544" s="26">
        <v>43668.411481481497</v>
      </c>
      <c r="J11544" s="28" t="s">
        <v>51</v>
      </c>
      <c r="K11544" s="28" t="s">
        <v>51</v>
      </c>
      <c r="L11544" s="28" t="s">
        <v>51</v>
      </c>
      <c r="M11544" s="28" t="s">
        <v>51</v>
      </c>
      <c r="N11544" s="28" t="s">
        <v>51</v>
      </c>
    </row>
    <row r="11545" spans="1:14" hidden="1" outlineLevel="1" x14ac:dyDescent="0.2">
      <c r="A11545" s="23" t="str">
        <f t="shared" si="320"/>
        <v>КГБПОУ "ЗЕЛЕНОГОРСКИЙ ТЕХНИКУМ ПРОМЫШЛЕННЫХ ТЕХНОЛОГИЙ И СЕРВИСА"</v>
      </c>
      <c r="B11545" s="24" t="s">
        <v>16034</v>
      </c>
      <c r="C11545" s="25">
        <v>8279360.8300000001</v>
      </c>
      <c r="D11545" s="22" t="s">
        <v>16035</v>
      </c>
      <c r="E11545" s="22" t="s">
        <v>48</v>
      </c>
      <c r="F11545" s="23" t="str">
        <f t="shared" si="321"/>
        <v>№ ЭА 43883/19 Оказание услуг по организации готового горячего питания для обучающихся краевого государственного бюджетного профессионального образовательного учреждения "Зеленогорский техникум промышленных технологий и сервиса" на 2019-2020 учебный...</v>
      </c>
      <c r="G11545" s="22" t="s">
        <v>281</v>
      </c>
      <c r="H11545" s="22" t="s">
        <v>8349</v>
      </c>
      <c r="I11545" s="26">
        <v>43668.411481481497</v>
      </c>
      <c r="J11545" s="23" t="str">
        <f>HYPERLINK("https://www.spark-marketing.ru/Card/Person/471436", "ООО КАФЕ ""ПАРУС""")</f>
        <v>ООО КАФЕ "ПАРУС"</v>
      </c>
      <c r="K11545" s="24" t="s">
        <v>16036</v>
      </c>
      <c r="L11545" s="28" t="s">
        <v>51</v>
      </c>
      <c r="M11545" s="25">
        <v>6280000</v>
      </c>
      <c r="N11545" s="27">
        <v>0.24148734075647238</v>
      </c>
    </row>
    <row r="11546" spans="1:14" hidden="1" outlineLevel="1" x14ac:dyDescent="0.2">
      <c r="A11546" s="23" t="str">
        <f t="shared" si="320"/>
        <v>КГБПОУ "ЗЕЛЕНОГОРСКИЙ ТЕХНИКУМ ПРОМЫШЛЕННЫХ ТЕХНОЛОГИЙ И СЕРВИСА"</v>
      </c>
      <c r="B11546" s="24" t="s">
        <v>16034</v>
      </c>
      <c r="C11546" s="25">
        <v>8279360.8300000001</v>
      </c>
      <c r="D11546" s="22" t="s">
        <v>16035</v>
      </c>
      <c r="E11546" s="22" t="s">
        <v>48</v>
      </c>
      <c r="F11546" s="23" t="str">
        <f t="shared" si="321"/>
        <v>№ ЭА 43883/19 Оказание услуг по организации готового горячего питания для обучающихся краевого государственного бюджетного профессионального образовательного учреждения "Зеленогорский техникум промышленных технологий и сервиса" на 2019-2020 учебный...</v>
      </c>
      <c r="G11546" s="22" t="s">
        <v>281</v>
      </c>
      <c r="H11546" s="22" t="s">
        <v>8349</v>
      </c>
      <c r="I11546" s="26">
        <v>43668.411481481497</v>
      </c>
      <c r="J11546" s="23" t="str">
        <f>HYPERLINK("https://www.spark-marketing.ru/Card/Person/6677616", "Михасев Юрий Петрович")</f>
        <v>Михасев Юрий Петрович</v>
      </c>
      <c r="K11546" s="24" t="s">
        <v>16037</v>
      </c>
      <c r="L11546" s="28" t="s">
        <v>51</v>
      </c>
      <c r="M11546" s="25">
        <v>5350000</v>
      </c>
      <c r="N11546" s="27">
        <v>0.35381485239603938</v>
      </c>
    </row>
    <row r="11547" spans="1:14" hidden="1" outlineLevel="1" x14ac:dyDescent="0.2">
      <c r="A11547" s="23" t="str">
        <f t="shared" si="320"/>
        <v>КГБПОУ "ЗЕЛЕНОГОРСКИЙ ТЕХНИКУМ ПРОМЫШЛЕННЫХ ТЕХНОЛОГИЙ И СЕРВИСА"</v>
      </c>
      <c r="B11547" s="24" t="s">
        <v>16034</v>
      </c>
      <c r="C11547" s="25">
        <v>8279360.8300000001</v>
      </c>
      <c r="D11547" s="22" t="s">
        <v>16035</v>
      </c>
      <c r="E11547" s="22" t="s">
        <v>48</v>
      </c>
      <c r="F11547" s="23" t="str">
        <f t="shared" si="321"/>
        <v>№ ЭА 43883/19 Оказание услуг по организации готового горячего питания для обучающихся краевого государственного бюджетного профессионального образовательного учреждения "Зеленогорский техникум промышленных технологий и сервиса" на 2019-2020 учебный...</v>
      </c>
      <c r="G11547" s="22" t="s">
        <v>281</v>
      </c>
      <c r="H11547" s="22" t="s">
        <v>8349</v>
      </c>
      <c r="I11547" s="26">
        <v>43668.411481481497</v>
      </c>
      <c r="J11547" s="23" t="str">
        <f>HYPERLINK("https://www.spark-marketing.ru/Card/Person/453270", "ООО ""МАСТЕРКЛАСС""")</f>
        <v>ООО "МАСТЕРКЛАСС"</v>
      </c>
      <c r="K11547" s="24" t="s">
        <v>16038</v>
      </c>
      <c r="L11547" s="28" t="s">
        <v>51</v>
      </c>
      <c r="M11547" s="25">
        <v>6790000</v>
      </c>
      <c r="N11547" s="27">
        <v>0.17988838276058081</v>
      </c>
    </row>
    <row r="11548" spans="1:14" ht="12.75" hidden="1" outlineLevel="1" x14ac:dyDescent="0.2">
      <c r="A11548" s="23" t="str">
        <f t="shared" si="320"/>
        <v>КГБПОУ "ЗЕЛЕНОГОРСКИЙ ТЕХНИКУМ ПРОМЫШЛЕННЫХ ТЕХНОЛОГИЙ И СЕРВИСА"</v>
      </c>
      <c r="B11548" s="24" t="s">
        <v>16034</v>
      </c>
      <c r="C11548" s="25">
        <v>8279360.8300000001</v>
      </c>
      <c r="D11548" s="22" t="s">
        <v>16035</v>
      </c>
      <c r="E11548" s="22" t="s">
        <v>48</v>
      </c>
      <c r="F11548" s="23" t="str">
        <f t="shared" si="321"/>
        <v>№ ЭА 43883/19 Оказание услуг по организации готового горячего питания для обучающихся краевого государственного бюджетного профессионального образовательного учреждения "Зеленогорский техникум промышленных технологий и сервиса" на 2019-2020 учебный...</v>
      </c>
      <c r="G11548" s="22" t="s">
        <v>281</v>
      </c>
      <c r="H11548" s="22" t="s">
        <v>8349</v>
      </c>
      <c r="I11548" s="26">
        <v>43668.411481481497</v>
      </c>
      <c r="J11548" s="23" t="str">
        <f>HYPERLINK("https://www.spark-marketing.ru/Card/Person/5910323", "Федорова Елена Владимировна")</f>
        <v>Федорова Елена Владимировна</v>
      </c>
      <c r="K11548" s="24" t="s">
        <v>2487</v>
      </c>
      <c r="L11548" s="22" t="s">
        <v>10</v>
      </c>
      <c r="M11548" s="25">
        <v>5308603.1900000004</v>
      </c>
      <c r="N11548" s="27">
        <v>0.35881485310261563</v>
      </c>
    </row>
    <row r="11549" spans="1:14" hidden="1" outlineLevel="1" x14ac:dyDescent="0.2">
      <c r="A11549" s="23" t="str">
        <f t="shared" si="320"/>
        <v>КГБПОУ "ЗЕЛЕНОГОРСКИЙ ТЕХНИКУМ ПРОМЫШЛЕННЫХ ТЕХНОЛОГИЙ И СЕРВИСА"</v>
      </c>
      <c r="B11549" s="24" t="s">
        <v>16034</v>
      </c>
      <c r="C11549" s="25">
        <v>8279360.8300000001</v>
      </c>
      <c r="D11549" s="22" t="s">
        <v>16035</v>
      </c>
      <c r="E11549" s="22" t="s">
        <v>48</v>
      </c>
      <c r="F11549" s="23" t="str">
        <f t="shared" si="321"/>
        <v>№ ЭА 43883/19 Оказание услуг по организации готового горячего питания для обучающихся краевого государственного бюджетного профессионального образовательного учреждения "Зеленогорский техникум промышленных технологий и сервиса" на 2019-2020 учебный...</v>
      </c>
      <c r="G11549" s="22" t="s">
        <v>281</v>
      </c>
      <c r="H11549" s="22" t="s">
        <v>8349</v>
      </c>
      <c r="I11549" s="26">
        <v>43668.411481481497</v>
      </c>
      <c r="J11549" s="23" t="str">
        <f>HYPERLINK("https://www.spark-marketing.ru/Card/Person/969761", "Заплатина Людмила Альфредовна")</f>
        <v>Заплатина Людмила Альфредовна</v>
      </c>
      <c r="K11549" s="24" t="s">
        <v>7793</v>
      </c>
      <c r="L11549" s="28" t="s">
        <v>51</v>
      </c>
      <c r="M11549" s="25">
        <v>6998000</v>
      </c>
      <c r="N11549" s="27">
        <v>0.15476567047990347</v>
      </c>
    </row>
    <row r="11550" spans="1:14" x14ac:dyDescent="0.15">
      <c r="A11550" s="23" t="str">
        <f>HYPERLINK("https://www.spark-marketing.ru/Card/Person/67068", "ОМВД РОССИИ ПО Г. ПЕЧОРЕ")</f>
        <v>ОМВД РОССИИ ПО Г. ПЕЧОРЕ</v>
      </c>
      <c r="B11550" s="24" t="s">
        <v>14519</v>
      </c>
      <c r="C11550" s="25">
        <v>1827000</v>
      </c>
      <c r="D11550" s="22" t="s">
        <v>16039</v>
      </c>
      <c r="E11550" s="22" t="s">
        <v>48</v>
      </c>
      <c r="F11550" s="23" t="str">
        <f>HYPERLINK("https://www.spark-marketing.ru/Card/Lot/72241012", "Услуги по организации питания для нужд ИВС и СП ОМВД России по г. Печоре")</f>
        <v>Услуги по организации питания для нужд ИВС и СП ОМВД России по г. Печоре</v>
      </c>
      <c r="G11550" s="22" t="s">
        <v>271</v>
      </c>
      <c r="H11550" s="22" t="s">
        <v>16040</v>
      </c>
      <c r="I11550" s="26">
        <v>43668.381527777798</v>
      </c>
      <c r="J11550" s="28" t="s">
        <v>51</v>
      </c>
      <c r="K11550" s="28" t="s">
        <v>51</v>
      </c>
      <c r="L11550" s="28" t="s">
        <v>51</v>
      </c>
      <c r="M11550" s="28" t="s">
        <v>51</v>
      </c>
      <c r="N11550" s="28" t="s">
        <v>51</v>
      </c>
    </row>
    <row r="11551" spans="1:14" ht="12.75" hidden="1" outlineLevel="1" x14ac:dyDescent="0.2">
      <c r="A11551" s="23" t="str">
        <f>HYPERLINK("https://www.spark-marketing.ru/Card/Person/67068", "ОМВД РОССИИ ПО Г. ПЕЧОРЕ")</f>
        <v>ОМВД РОССИИ ПО Г. ПЕЧОРЕ</v>
      </c>
      <c r="B11551" s="24" t="s">
        <v>14519</v>
      </c>
      <c r="C11551" s="25">
        <v>1827000</v>
      </c>
      <c r="D11551" s="22" t="s">
        <v>16039</v>
      </c>
      <c r="E11551" s="22" t="s">
        <v>48</v>
      </c>
      <c r="F11551" s="23" t="str">
        <f>HYPERLINK("https://www.spark-marketing.ru/Card/Lot/72241012", "Услуги по организации питания для нужд ИВС и СП ОМВД России по г. Печоре")</f>
        <v>Услуги по организации питания для нужд ИВС и СП ОМВД России по г. Печоре</v>
      </c>
      <c r="G11551" s="22" t="s">
        <v>271</v>
      </c>
      <c r="H11551" s="22" t="s">
        <v>16040</v>
      </c>
      <c r="I11551" s="26">
        <v>43668.381527777798</v>
      </c>
      <c r="J11551" s="23" t="str">
        <f>HYPERLINK("https://www.spark-marketing.ru/Card/Person/6676342", "Кургузова Галина Валентиновна")</f>
        <v>Кургузова Галина Валентиновна</v>
      </c>
      <c r="K11551" s="24" t="s">
        <v>14522</v>
      </c>
      <c r="L11551" s="22" t="s">
        <v>10</v>
      </c>
      <c r="M11551" s="25">
        <v>2923.41</v>
      </c>
      <c r="N11551" s="27">
        <v>0.99839988505747124</v>
      </c>
    </row>
    <row r="11552" spans="1:14" hidden="1" outlineLevel="1" x14ac:dyDescent="0.2">
      <c r="A11552" s="23" t="str">
        <f>HYPERLINK("https://www.spark-marketing.ru/Card/Person/67068", "ОМВД РОССИИ ПО Г. ПЕЧОРЕ")</f>
        <v>ОМВД РОССИИ ПО Г. ПЕЧОРЕ</v>
      </c>
      <c r="B11552" s="24" t="s">
        <v>14519</v>
      </c>
      <c r="C11552" s="25">
        <v>1827000</v>
      </c>
      <c r="D11552" s="22" t="s">
        <v>16039</v>
      </c>
      <c r="E11552" s="22" t="s">
        <v>48</v>
      </c>
      <c r="F11552" s="23" t="str">
        <f>HYPERLINK("https://www.spark-marketing.ru/Card/Lot/72241012", "Услуги по организации питания для нужд ИВС и СП ОМВД России по г. Печоре")</f>
        <v>Услуги по организации питания для нужд ИВС и СП ОМВД России по г. Печоре</v>
      </c>
      <c r="G11552" s="22" t="s">
        <v>271</v>
      </c>
      <c r="H11552" s="22" t="s">
        <v>16040</v>
      </c>
      <c r="I11552" s="26">
        <v>43668.381527777798</v>
      </c>
      <c r="J11552" s="23" t="str">
        <f>HYPERLINK("https://www.spark-marketing.ru/Card/Person/67026", "Рощина Екатерина Андриановна")</f>
        <v>Рощина Екатерина Андриановна</v>
      </c>
      <c r="K11552" s="24" t="s">
        <v>14521</v>
      </c>
      <c r="L11552" s="28" t="s">
        <v>51</v>
      </c>
      <c r="M11552" s="25">
        <v>2938.18</v>
      </c>
      <c r="N11552" s="27">
        <v>0.99839180076628353</v>
      </c>
    </row>
    <row r="11553" spans="1:14" x14ac:dyDescent="0.15">
      <c r="A11553" s="23" t="str">
        <f>HYPERLINK("https://www.spark-marketing.ru/Card/Person/119090", "СПБ ГБУ СШОР ""НЕВСКИЕ ЗВЕЗДЫ""")</f>
        <v>СПБ ГБУ СШОР "НЕВСКИЕ ЗВЕЗДЫ"</v>
      </c>
      <c r="B11553" s="24" t="s">
        <v>16041</v>
      </c>
      <c r="C11553" s="25">
        <v>999600</v>
      </c>
      <c r="D11553" s="22" t="s">
        <v>16042</v>
      </c>
      <c r="E11553" s="22" t="s">
        <v>16043</v>
      </c>
      <c r="F11553" s="23" t="str">
        <f>HYPERLINK("https://www.spark-marketing.ru/Card/Lot/72241629", "Оказание услуг по организации тренировочных мероприятий в Ленинградской области с учетом затрат на организацию питания, проживание и предоставление спортивного сооружения для спортсменов отделения тхэквондо СПб ГБУ СШОР ""Невские Звезды"" в период с ...")</f>
        <v>Оказание услуг по организации тренировочных мероприятий в Ленинградской области с учетом затрат на организацию питания, проживание и предоставление спортивного сооружения для спортсменов отделения тхэквондо СПб ГБУ СШОР "Невские Звезды" в период с ...</v>
      </c>
      <c r="G11553" s="22" t="s">
        <v>117</v>
      </c>
      <c r="H11553" s="22" t="s">
        <v>117</v>
      </c>
      <c r="I11553" s="26">
        <v>43668.378090277802</v>
      </c>
      <c r="J11553" s="28" t="s">
        <v>51</v>
      </c>
      <c r="K11553" s="28" t="s">
        <v>51</v>
      </c>
      <c r="L11553" s="28" t="s">
        <v>51</v>
      </c>
      <c r="M11553" s="28" t="s">
        <v>51</v>
      </c>
      <c r="N11553" s="28" t="s">
        <v>51</v>
      </c>
    </row>
    <row r="11554" spans="1:14" ht="12.75" hidden="1" outlineLevel="1" x14ac:dyDescent="0.2">
      <c r="A11554" s="23" t="str">
        <f>HYPERLINK("https://www.spark-marketing.ru/Card/Person/119090", "СПБ ГБУ СШОР ""НЕВСКИЕ ЗВЕЗДЫ""")</f>
        <v>СПБ ГБУ СШОР "НЕВСКИЕ ЗВЕЗДЫ"</v>
      </c>
      <c r="B11554" s="24" t="s">
        <v>16041</v>
      </c>
      <c r="C11554" s="25">
        <v>999600</v>
      </c>
      <c r="D11554" s="22" t="s">
        <v>16042</v>
      </c>
      <c r="E11554" s="22" t="s">
        <v>16043</v>
      </c>
      <c r="F11554" s="23" t="str">
        <f>HYPERLINK("https://www.spark-marketing.ru/Card/Lot/72241629", "Оказание услуг по организации тренировочных мероприятий в Ленинградской области с учетом затрат на организацию питания, проживание и предоставление спортивного сооружения для спортсменов отделения тхэквондо СПб ГБУ СШОР ""Невские Звезды"" в период с ...")</f>
        <v>Оказание услуг по организации тренировочных мероприятий в Ленинградской области с учетом затрат на организацию питания, проживание и предоставление спортивного сооружения для спортсменов отделения тхэквондо СПб ГБУ СШОР "Невские Звезды" в период с ...</v>
      </c>
      <c r="G11554" s="22" t="s">
        <v>117</v>
      </c>
      <c r="H11554" s="22" t="s">
        <v>117</v>
      </c>
      <c r="I11554" s="26">
        <v>43668.378090277802</v>
      </c>
      <c r="J11554" s="23" t="str">
        <f>HYPERLINK("https://www.spark-marketing.ru/Card/Person/1570926", "Рязанов Александр Владимирович")</f>
        <v>Рязанов Александр Владимирович</v>
      </c>
      <c r="K11554" s="24" t="s">
        <v>16044</v>
      </c>
      <c r="L11554" s="22" t="s">
        <v>10</v>
      </c>
      <c r="M11554" s="25">
        <v>999600</v>
      </c>
      <c r="N11554" s="27">
        <v>0</v>
      </c>
    </row>
    <row r="11555" spans="1:14" hidden="1" outlineLevel="1" x14ac:dyDescent="0.2">
      <c r="A11555" s="23" t="str">
        <f>HYPERLINK("https://www.spark-marketing.ru/Card/Person/119090", "СПБ ГБУ СШОР ""НЕВСКИЕ ЗВЕЗДЫ""")</f>
        <v>СПБ ГБУ СШОР "НЕВСКИЕ ЗВЕЗДЫ"</v>
      </c>
      <c r="B11555" s="24" t="s">
        <v>16041</v>
      </c>
      <c r="C11555" s="25">
        <v>999600</v>
      </c>
      <c r="D11555" s="22" t="s">
        <v>16042</v>
      </c>
      <c r="E11555" s="22" t="s">
        <v>16043</v>
      </c>
      <c r="F11555" s="23" t="str">
        <f>HYPERLINK("https://www.spark-marketing.ru/Card/Lot/72241629", "Оказание услуг по организации тренировочных мероприятий в Ленинградской области с учетом затрат на организацию питания, проживание и предоставление спортивного сооружения для спортсменов отделения тхэквондо СПб ГБУ СШОР ""Невские Звезды"" в период с ...")</f>
        <v>Оказание услуг по организации тренировочных мероприятий в Ленинградской области с учетом затрат на организацию питания, проживание и предоставление спортивного сооружения для спортсменов отделения тхэквондо СПб ГБУ СШОР "Невские Звезды" в период с ...</v>
      </c>
      <c r="G11555" s="22" t="s">
        <v>117</v>
      </c>
      <c r="H11555" s="22" t="s">
        <v>117</v>
      </c>
      <c r="I11555" s="26">
        <v>43668.378090277802</v>
      </c>
      <c r="J11555" s="23" t="str">
        <f>HYPERLINK("https://www.spark-marketing.ru/Card/Person/5858040", "ООО ""КАРЕЛЬСКАЯ БЕРЕЗКА""")</f>
        <v>ООО "КАРЕЛЬСКАЯ БЕРЕЗКА"</v>
      </c>
      <c r="K11555" s="24" t="s">
        <v>16045</v>
      </c>
      <c r="L11555" s="28" t="s">
        <v>51</v>
      </c>
      <c r="M11555" s="25">
        <v>999600</v>
      </c>
      <c r="N11555" s="27">
        <v>0</v>
      </c>
    </row>
    <row r="11556" spans="1:14" x14ac:dyDescent="0.15">
      <c r="A11556" s="23" t="str">
        <f>HYPERLINK("https://www.spark-marketing.ru/Card/Person/4348382", "ООО ""ГАЗПРОМ ПИТАНИЕ""")</f>
        <v>ООО "ГАЗПРОМ ПИТАНИЕ"</v>
      </c>
      <c r="B11556" s="24" t="s">
        <v>2869</v>
      </c>
      <c r="C11556" s="25">
        <v>49900</v>
      </c>
      <c r="D11556" s="22" t="s">
        <v>16046</v>
      </c>
      <c r="E11556" s="22" t="s">
        <v>52</v>
      </c>
      <c r="F11556" s="23" t="str">
        <f>HYPERLINK("https://www.spark-marketing.ru/Card/Lot/72240141", "Оказание услуг по стирке,сушке,глажению белья,химической чистке штор для нужд филиала ""уфимское управление по организации общественного питания"" ооо ""газпром питание""")</f>
        <v>Оказание услуг по стирке,сушке,глажению белья,химической чистке штор для нужд филиала "уфимское управление по организации общественного питания" ооо "газпром питание"</v>
      </c>
      <c r="G11556" s="22" t="s">
        <v>56</v>
      </c>
      <c r="H11556" s="22" t="s">
        <v>56</v>
      </c>
      <c r="I11556" s="26">
        <v>43668.380555555603</v>
      </c>
      <c r="J11556" s="28" t="s">
        <v>51</v>
      </c>
      <c r="K11556" s="28" t="s">
        <v>51</v>
      </c>
      <c r="L11556" s="28" t="s">
        <v>51</v>
      </c>
      <c r="M11556" s="28" t="s">
        <v>51</v>
      </c>
      <c r="N11556" s="28" t="s">
        <v>51</v>
      </c>
    </row>
    <row r="11557" spans="1:14" x14ac:dyDescent="0.15">
      <c r="A11557" s="23" t="str">
        <f>HYPERLINK("https://www.spark-marketing.ru/Card/Person/1070761", "ГКУДО НСО ""МАСЛЯНИНСКАЯ ДШИ""")</f>
        <v>ГКУДО НСО "МАСЛЯНИНСКАЯ ДШИ"</v>
      </c>
      <c r="B11557" s="24" t="s">
        <v>16047</v>
      </c>
      <c r="C11557" s="25">
        <v>2427</v>
      </c>
      <c r="D11557" s="22" t="s">
        <v>16048</v>
      </c>
      <c r="E11557" s="22" t="s">
        <v>583</v>
      </c>
      <c r="F11557" s="23" t="str">
        <f>HYPERLINK("https://www.spark-marketing.ru/Card/Lot/72237523", "Ремонт системы видеонаблюдения(замена блока бесперебойного питания ББП-20 ИБП12/2А")</f>
        <v>Ремонт системы видеонаблюдения(замена блока бесперебойного питания ББП-20 ИБП12/2А</v>
      </c>
      <c r="G11557" s="22" t="s">
        <v>195</v>
      </c>
      <c r="H11557" s="22" t="s">
        <v>16049</v>
      </c>
      <c r="I11557" s="26">
        <v>43668.342361111099</v>
      </c>
      <c r="J11557" s="28" t="s">
        <v>51</v>
      </c>
      <c r="K11557" s="28" t="s">
        <v>51</v>
      </c>
      <c r="L11557" s="28" t="s">
        <v>51</v>
      </c>
      <c r="M11557" s="28" t="s">
        <v>51</v>
      </c>
      <c r="N11557" s="28" t="s">
        <v>51</v>
      </c>
    </row>
    <row r="11558" spans="1:14" x14ac:dyDescent="0.15">
      <c r="A11558" s="23" t="str">
        <f t="shared" ref="A11558:A11563" si="322">HYPERLINK("https://www.spark-marketing.ru/Card/Person/87088", "ГАУЗ ""РНД МЗ РТ""")</f>
        <v>ГАУЗ "РНД МЗ РТ"</v>
      </c>
      <c r="B11558" s="24" t="s">
        <v>4682</v>
      </c>
      <c r="C11558" s="25">
        <v>907655.5</v>
      </c>
      <c r="D11558" s="22" t="s">
        <v>16050</v>
      </c>
      <c r="E11558" s="22" t="s">
        <v>62</v>
      </c>
      <c r="F11558" s="23" t="str">
        <f t="shared" ref="F11558:F11563" si="323">HYPERLINK("https://www.spark-marketing.ru/Card/Lot/72241587", "Изготовление и поставка бланков для нужд ГАУЗ «РНД МЗ РТ» с филиалами в 2019 г.")</f>
        <v>Изготовление и поставка бланков для нужд ГАУЗ «РНД МЗ РТ» с филиалами в 2019 г.</v>
      </c>
      <c r="G11558" s="22" t="s">
        <v>217</v>
      </c>
      <c r="H11558" s="22" t="s">
        <v>937</v>
      </c>
      <c r="I11558" s="26">
        <v>43668.363668981503</v>
      </c>
      <c r="J11558" s="28" t="s">
        <v>51</v>
      </c>
      <c r="K11558" s="28" t="s">
        <v>51</v>
      </c>
      <c r="L11558" s="28" t="s">
        <v>51</v>
      </c>
      <c r="M11558" s="28" t="s">
        <v>51</v>
      </c>
      <c r="N11558" s="28" t="s">
        <v>51</v>
      </c>
    </row>
    <row r="11559" spans="1:14" hidden="1" outlineLevel="1" x14ac:dyDescent="0.2">
      <c r="A11559" s="23" t="str">
        <f t="shared" si="322"/>
        <v>ГАУЗ "РНД МЗ РТ"</v>
      </c>
      <c r="B11559" s="24" t="s">
        <v>4682</v>
      </c>
      <c r="C11559" s="25">
        <v>907655.5</v>
      </c>
      <c r="D11559" s="22" t="s">
        <v>16050</v>
      </c>
      <c r="E11559" s="22" t="s">
        <v>62</v>
      </c>
      <c r="F11559" s="23" t="str">
        <f t="shared" si="323"/>
        <v>Изготовление и поставка бланков для нужд ГАУЗ «РНД МЗ РТ» с филиалами в 2019 г.</v>
      </c>
      <c r="G11559" s="22" t="s">
        <v>217</v>
      </c>
      <c r="H11559" s="22" t="s">
        <v>937</v>
      </c>
      <c r="I11559" s="26">
        <v>43668.363668981503</v>
      </c>
      <c r="J11559" s="23" t="str">
        <f>HYPERLINK("https://www.spark-marketing.ru/Card/Person/184360", "Нурмехаметов Рональд Вилевич")</f>
        <v>Нурмехаметов Рональд Вилевич</v>
      </c>
      <c r="K11559" s="24" t="s">
        <v>16051</v>
      </c>
      <c r="L11559" s="28" t="s">
        <v>51</v>
      </c>
      <c r="M11559" s="25">
        <v>470101</v>
      </c>
      <c r="N11559" s="27">
        <v>0.48207111618890647</v>
      </c>
    </row>
    <row r="11560" spans="1:14" hidden="1" outlineLevel="1" x14ac:dyDescent="0.2">
      <c r="A11560" s="23" t="str">
        <f t="shared" si="322"/>
        <v>ГАУЗ "РНД МЗ РТ"</v>
      </c>
      <c r="B11560" s="24" t="s">
        <v>4682</v>
      </c>
      <c r="C11560" s="25">
        <v>907655.5</v>
      </c>
      <c r="D11560" s="22" t="s">
        <v>16050</v>
      </c>
      <c r="E11560" s="22" t="s">
        <v>62</v>
      </c>
      <c r="F11560" s="23" t="str">
        <f t="shared" si="323"/>
        <v>Изготовление и поставка бланков для нужд ГАУЗ «РНД МЗ РТ» с филиалами в 2019 г.</v>
      </c>
      <c r="G11560" s="22" t="s">
        <v>217</v>
      </c>
      <c r="H11560" s="22" t="s">
        <v>937</v>
      </c>
      <c r="I11560" s="26">
        <v>43668.363668981503</v>
      </c>
      <c r="J11560" s="23" t="str">
        <f>HYPERLINK("https://www.spark-marketing.ru/Card/Person/6421268", "Головатый Александр Николаевич")</f>
        <v>Головатый Александр Николаевич</v>
      </c>
      <c r="K11560" s="24" t="s">
        <v>5206</v>
      </c>
      <c r="L11560" s="28" t="s">
        <v>51</v>
      </c>
      <c r="M11560" s="25">
        <v>740461</v>
      </c>
      <c r="N11560" s="27">
        <v>0.18420480016922719</v>
      </c>
    </row>
    <row r="11561" spans="1:14" hidden="1" outlineLevel="1" x14ac:dyDescent="0.2">
      <c r="A11561" s="23" t="str">
        <f t="shared" si="322"/>
        <v>ГАУЗ "РНД МЗ РТ"</v>
      </c>
      <c r="B11561" s="24" t="s">
        <v>4682</v>
      </c>
      <c r="C11561" s="25">
        <v>907655.5</v>
      </c>
      <c r="D11561" s="22" t="s">
        <v>16050</v>
      </c>
      <c r="E11561" s="22" t="s">
        <v>62</v>
      </c>
      <c r="F11561" s="23" t="str">
        <f t="shared" si="323"/>
        <v>Изготовление и поставка бланков для нужд ГАУЗ «РНД МЗ РТ» с филиалами в 2019 г.</v>
      </c>
      <c r="G11561" s="22" t="s">
        <v>217</v>
      </c>
      <c r="H11561" s="22" t="s">
        <v>937</v>
      </c>
      <c r="I11561" s="26">
        <v>43668.363668981503</v>
      </c>
      <c r="J11561" s="23" t="str">
        <f>HYPERLINK("https://www.spark-marketing.ru/Card/Person/159573", "ООО ""ПОЛИГРАФИЧЕСКИЕ РЕШЕНИЯ""")</f>
        <v>ООО "ПОЛИГРАФИЧЕСКИЕ РЕШЕНИЯ"</v>
      </c>
      <c r="K11561" s="24" t="s">
        <v>5208</v>
      </c>
      <c r="L11561" s="28" t="s">
        <v>51</v>
      </c>
      <c r="M11561" s="25">
        <v>551800</v>
      </c>
      <c r="N11561" s="27">
        <v>0.39206009328429126</v>
      </c>
    </row>
    <row r="11562" spans="1:14" hidden="1" outlineLevel="1" x14ac:dyDescent="0.2">
      <c r="A11562" s="23" t="str">
        <f t="shared" si="322"/>
        <v>ГАУЗ "РНД МЗ РТ"</v>
      </c>
      <c r="B11562" s="24" t="s">
        <v>4682</v>
      </c>
      <c r="C11562" s="25">
        <v>907655.5</v>
      </c>
      <c r="D11562" s="22" t="s">
        <v>16050</v>
      </c>
      <c r="E11562" s="22" t="s">
        <v>62</v>
      </c>
      <c r="F11562" s="23" t="str">
        <f t="shared" si="323"/>
        <v>Изготовление и поставка бланков для нужд ГАУЗ «РНД МЗ РТ» с филиалами в 2019 г.</v>
      </c>
      <c r="G11562" s="22" t="s">
        <v>217</v>
      </c>
      <c r="H11562" s="22" t="s">
        <v>937</v>
      </c>
      <c r="I11562" s="26">
        <v>43668.363668981503</v>
      </c>
      <c r="J11562" s="23" t="str">
        <f>HYPERLINK("https://www.spark-marketing.ru/Card/Person/6619124", "Ефремов Дмитрий Андреевич")</f>
        <v>Ефремов Дмитрий Андреевич</v>
      </c>
      <c r="K11562" s="24" t="s">
        <v>16052</v>
      </c>
      <c r="L11562" s="28" t="s">
        <v>51</v>
      </c>
      <c r="M11562" s="25">
        <v>451947.88</v>
      </c>
      <c r="N11562" s="27">
        <v>0.50207112720630243</v>
      </c>
    </row>
    <row r="11563" spans="1:14" ht="12.75" hidden="1" outlineLevel="1" x14ac:dyDescent="0.2">
      <c r="A11563" s="23" t="str">
        <f t="shared" si="322"/>
        <v>ГАУЗ "РНД МЗ РТ"</v>
      </c>
      <c r="B11563" s="24" t="s">
        <v>4682</v>
      </c>
      <c r="C11563" s="25">
        <v>907655.5</v>
      </c>
      <c r="D11563" s="22" t="s">
        <v>16050</v>
      </c>
      <c r="E11563" s="22" t="s">
        <v>62</v>
      </c>
      <c r="F11563" s="23" t="str">
        <f t="shared" si="323"/>
        <v>Изготовление и поставка бланков для нужд ГАУЗ «РНД МЗ РТ» с филиалами в 2019 г.</v>
      </c>
      <c r="G11563" s="22" t="s">
        <v>217</v>
      </c>
      <c r="H11563" s="22" t="s">
        <v>937</v>
      </c>
      <c r="I11563" s="26">
        <v>43668.363668981503</v>
      </c>
      <c r="J11563" s="23" t="str">
        <f>HYPERLINK("https://www.spark-marketing.ru/Card/Person/736165", "Степанов Эдуард Зиновьевич")</f>
        <v>Степанов Эдуард Зиновьевич</v>
      </c>
      <c r="K11563" s="24" t="s">
        <v>16053</v>
      </c>
      <c r="L11563" s="22" t="s">
        <v>10</v>
      </c>
      <c r="M11563" s="25">
        <v>447409.6</v>
      </c>
      <c r="N11563" s="27">
        <v>0.5070711299606514</v>
      </c>
    </row>
    <row r="11564" spans="1:14" x14ac:dyDescent="0.15">
      <c r="A11564" s="23" t="str">
        <f>HYPERLINK("https://www.spark-marketing.ru/Card/Person/1027794", "МОУ СОШ ГОРОДСКОГО ОКРУГА ВОСХОД МОСКОВСКОЙ ОБЛАСТИ")</f>
        <v>МОУ СОШ ГОРОДСКОГО ОКРУГА ВОСХОД МОСКОВСКОЙ ОБЛАСТИ</v>
      </c>
      <c r="B11564" s="24" t="s">
        <v>16054</v>
      </c>
      <c r="C11564" s="25">
        <v>936375</v>
      </c>
      <c r="D11564" s="22" t="s">
        <v>16055</v>
      </c>
      <c r="E11564" s="22" t="s">
        <v>48</v>
      </c>
      <c r="F11564" s="23" t="str">
        <f>HYPERLINK("https://www.spark-marketing.ru/Card/Lot/72238966", "Услуги по организации горячего питания школьников завтраками и обедами в МОУ СОШ городского округа Восход Московской области на сентябрь-декабрь 2019г.")</f>
        <v>Услуги по организации горячего питания школьников завтраками и обедами в МОУ СОШ городского округа Восход Московской области на сентябрь-декабрь 2019г.</v>
      </c>
      <c r="G11564" s="22" t="s">
        <v>49</v>
      </c>
      <c r="H11564" s="22" t="s">
        <v>16056</v>
      </c>
      <c r="I11564" s="26">
        <v>43668.360428240703</v>
      </c>
      <c r="J11564" s="23" t="str">
        <f>HYPERLINK("https://www.spark-marketing.ru/Card/Person/233370", "Кушнер Инна Владимировна")</f>
        <v>Кушнер Инна Владимировна</v>
      </c>
      <c r="K11564" s="24" t="s">
        <v>15154</v>
      </c>
      <c r="L11564" s="22" t="s">
        <v>10</v>
      </c>
      <c r="M11564" s="28" t="s">
        <v>51</v>
      </c>
      <c r="N11564" s="28" t="s">
        <v>51</v>
      </c>
    </row>
    <row r="11565" spans="1:14" x14ac:dyDescent="0.15">
      <c r="A11565" s="23" t="s">
        <v>114</v>
      </c>
      <c r="B11565" s="28" t="s">
        <v>51</v>
      </c>
      <c r="C11565" s="25">
        <v>4859101.5</v>
      </c>
      <c r="D11565" s="22" t="s">
        <v>16057</v>
      </c>
      <c r="E11565" s="22" t="s">
        <v>48</v>
      </c>
      <c r="F11565" s="23" t="str">
        <f t="shared" ref="F11565:F11572" si="324">HYPERLINK("https://www.spark-marketing.ru/Card/Lot/72238993", "оказание услуг по организации сбалансированного питания воспитанников для нужд муниципальных бюджетных дошкольных образовательных учреждений")</f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65" s="22" t="s">
        <v>51</v>
      </c>
      <c r="H11565" s="22" t="s">
        <v>51</v>
      </c>
      <c r="I11565" s="26">
        <v>43668.351388888899</v>
      </c>
      <c r="J11565" s="28" t="s">
        <v>51</v>
      </c>
      <c r="K11565" s="28" t="s">
        <v>51</v>
      </c>
      <c r="L11565" s="28" t="s">
        <v>51</v>
      </c>
      <c r="M11565" s="28" t="s">
        <v>51</v>
      </c>
      <c r="N11565" s="28" t="s">
        <v>51</v>
      </c>
    </row>
    <row r="11566" spans="1:14" hidden="1" outlineLevel="1" x14ac:dyDescent="0.15">
      <c r="A11566" s="23" t="str">
        <f>HYPERLINK("https://www.spark-marketing.ru/Card/Person/6624161", "МБДОУ ""ДЕТСКИЙ САД №122 ""АБВГДЕЙКА""")</f>
        <v>МБДОУ "ДЕТСКИЙ САД №122 "АБВГДЕЙКА"</v>
      </c>
      <c r="B11566" s="24" t="s">
        <v>16058</v>
      </c>
      <c r="C11566" s="25">
        <v>971820.3</v>
      </c>
      <c r="D11566" s="22" t="s">
        <v>16057</v>
      </c>
      <c r="E11566" s="22" t="s">
        <v>48</v>
      </c>
      <c r="F11566" s="23" t="str">
        <f t="shared" si="32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66" s="22" t="s">
        <v>217</v>
      </c>
      <c r="H11566" s="22" t="s">
        <v>217</v>
      </c>
      <c r="I11566" s="26">
        <v>43668.351388888899</v>
      </c>
      <c r="J11566" s="28" t="s">
        <v>51</v>
      </c>
      <c r="K11566" s="28" t="s">
        <v>51</v>
      </c>
      <c r="L11566" s="28" t="s">
        <v>51</v>
      </c>
      <c r="M11566" s="28" t="s">
        <v>51</v>
      </c>
      <c r="N11566" s="28" t="s">
        <v>51</v>
      </c>
    </row>
    <row r="11567" spans="1:14" hidden="1" outlineLevel="1" x14ac:dyDescent="0.15">
      <c r="A11567" s="23" t="str">
        <f>HYPERLINK("https://www.spark-marketing.ru/Card/Person/6624293", "МБДОУ ""ДЕТСКИЙ САД №125 ""СМЕШАРИКИ""")</f>
        <v>МБДОУ "ДЕТСКИЙ САД №125 "СМЕШАРИКИ"</v>
      </c>
      <c r="B11567" s="24" t="s">
        <v>16059</v>
      </c>
      <c r="C11567" s="25">
        <v>971820.3</v>
      </c>
      <c r="D11567" s="22" t="s">
        <v>16057</v>
      </c>
      <c r="E11567" s="22" t="s">
        <v>48</v>
      </c>
      <c r="F11567" s="23" t="str">
        <f t="shared" si="32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67" s="22" t="s">
        <v>217</v>
      </c>
      <c r="H11567" s="22" t="s">
        <v>217</v>
      </c>
      <c r="I11567" s="26">
        <v>43668.351388888899</v>
      </c>
      <c r="J11567" s="28" t="s">
        <v>51</v>
      </c>
      <c r="K11567" s="28" t="s">
        <v>51</v>
      </c>
      <c r="L11567" s="28" t="s">
        <v>51</v>
      </c>
      <c r="M11567" s="28" t="s">
        <v>51</v>
      </c>
      <c r="N11567" s="28" t="s">
        <v>51</v>
      </c>
    </row>
    <row r="11568" spans="1:14" hidden="1" outlineLevel="1" x14ac:dyDescent="0.15">
      <c r="A11568" s="23" t="str">
        <f>HYPERLINK("https://www.spark-marketing.ru/Card/Person/6624310", "МБДОУ ""ДЕТСКИЙ САД №126 ""БИСЕРИНКИ""")</f>
        <v>МБДОУ "ДЕТСКИЙ САД №126 "БИСЕРИНКИ"</v>
      </c>
      <c r="B11568" s="24" t="s">
        <v>16060</v>
      </c>
      <c r="C11568" s="25">
        <v>971820.3</v>
      </c>
      <c r="D11568" s="22" t="s">
        <v>16057</v>
      </c>
      <c r="E11568" s="22" t="s">
        <v>48</v>
      </c>
      <c r="F11568" s="23" t="str">
        <f t="shared" si="32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68" s="22" t="s">
        <v>217</v>
      </c>
      <c r="H11568" s="22" t="s">
        <v>217</v>
      </c>
      <c r="I11568" s="26">
        <v>43668.351388888899</v>
      </c>
      <c r="J11568" s="28" t="s">
        <v>51</v>
      </c>
      <c r="K11568" s="28" t="s">
        <v>51</v>
      </c>
      <c r="L11568" s="28" t="s">
        <v>51</v>
      </c>
      <c r="M11568" s="28" t="s">
        <v>51</v>
      </c>
      <c r="N11568" s="28" t="s">
        <v>51</v>
      </c>
    </row>
    <row r="11569" spans="1:14" hidden="1" outlineLevel="1" x14ac:dyDescent="0.15">
      <c r="A11569" s="23" t="str">
        <f>HYPERLINK("https://www.spark-marketing.ru/Card/Person/6626094", "МБДОУ ""ДЕТСКИЙ САД №124 ""КАПИТОШКА""")</f>
        <v>МБДОУ "ДЕТСКИЙ САД №124 "КАПИТОШКА"</v>
      </c>
      <c r="B11569" s="24" t="s">
        <v>16061</v>
      </c>
      <c r="C11569" s="25">
        <v>971820.3</v>
      </c>
      <c r="D11569" s="22" t="s">
        <v>16057</v>
      </c>
      <c r="E11569" s="22" t="s">
        <v>48</v>
      </c>
      <c r="F11569" s="23" t="str">
        <f t="shared" si="32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69" s="22" t="s">
        <v>217</v>
      </c>
      <c r="H11569" s="22" t="s">
        <v>217</v>
      </c>
      <c r="I11569" s="26">
        <v>43668.351388888899</v>
      </c>
      <c r="J11569" s="28" t="s">
        <v>51</v>
      </c>
      <c r="K11569" s="28" t="s">
        <v>51</v>
      </c>
      <c r="L11569" s="28" t="s">
        <v>51</v>
      </c>
      <c r="M11569" s="28" t="s">
        <v>51</v>
      </c>
      <c r="N11569" s="28" t="s">
        <v>51</v>
      </c>
    </row>
    <row r="11570" spans="1:14" hidden="1" outlineLevel="1" x14ac:dyDescent="0.15">
      <c r="A11570" s="23" t="str">
        <f>HYPERLINK("https://www.spark-marketing.ru/Card/Person/6626713", "МБДОУ ""ДЕТСКИЙ САД №123 ""АКЧАРЛАК""")</f>
        <v>МБДОУ "ДЕТСКИЙ САД №123 "АКЧАРЛАК"</v>
      </c>
      <c r="B11570" s="24" t="s">
        <v>16062</v>
      </c>
      <c r="C11570" s="25">
        <v>971820.3</v>
      </c>
      <c r="D11570" s="22" t="s">
        <v>16057</v>
      </c>
      <c r="E11570" s="22" t="s">
        <v>48</v>
      </c>
      <c r="F11570" s="23" t="str">
        <f t="shared" si="32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70" s="22" t="s">
        <v>217</v>
      </c>
      <c r="H11570" s="22" t="s">
        <v>217</v>
      </c>
      <c r="I11570" s="26">
        <v>43668.351388888899</v>
      </c>
      <c r="J11570" s="28" t="s">
        <v>51</v>
      </c>
      <c r="K11570" s="28" t="s">
        <v>51</v>
      </c>
      <c r="L11570" s="28" t="s">
        <v>51</v>
      </c>
      <c r="M11570" s="28" t="s">
        <v>51</v>
      </c>
      <c r="N11570" s="28" t="s">
        <v>51</v>
      </c>
    </row>
    <row r="11571" spans="1:14" hidden="1" outlineLevel="1" x14ac:dyDescent="0.2">
      <c r="A11571" s="28" t="s">
        <v>51</v>
      </c>
      <c r="B11571" s="28" t="s">
        <v>51</v>
      </c>
      <c r="C11571" s="28" t="s">
        <v>51</v>
      </c>
      <c r="D11571" s="22" t="s">
        <v>16057</v>
      </c>
      <c r="E11571" s="22" t="s">
        <v>48</v>
      </c>
      <c r="F11571" s="23" t="str">
        <f t="shared" si="32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71" s="22" t="s">
        <v>51</v>
      </c>
      <c r="H11571" s="22" t="s">
        <v>51</v>
      </c>
      <c r="I11571" s="26">
        <v>43668.351388888899</v>
      </c>
      <c r="J11571" s="23" t="str">
        <f>HYPERLINK("https://www.spark-marketing.ru/Card/Person/87385", "ООО ""ШКОЛЬНОЕ ПИТАНИЕ""")</f>
        <v>ООО "ШКОЛЬНОЕ ПИТАНИЕ"</v>
      </c>
      <c r="K11571" s="24" t="s">
        <v>6356</v>
      </c>
      <c r="L11571" s="22" t="s">
        <v>10</v>
      </c>
      <c r="M11571" s="25">
        <v>4859101.5</v>
      </c>
      <c r="N11571" s="27">
        <v>0</v>
      </c>
    </row>
    <row r="11572" spans="1:14" hidden="1" outlineLevel="1" x14ac:dyDescent="0.2">
      <c r="A11572" s="28" t="s">
        <v>51</v>
      </c>
      <c r="B11572" s="28" t="s">
        <v>51</v>
      </c>
      <c r="C11572" s="28" t="s">
        <v>51</v>
      </c>
      <c r="D11572" s="22" t="s">
        <v>16057</v>
      </c>
      <c r="E11572" s="22" t="s">
        <v>48</v>
      </c>
      <c r="F11572" s="23" t="str">
        <f t="shared" si="324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72" s="22" t="s">
        <v>51</v>
      </c>
      <c r="H11572" s="22" t="s">
        <v>51</v>
      </c>
      <c r="I11572" s="26">
        <v>43668.351388888899</v>
      </c>
      <c r="J11572" s="23" t="str">
        <f>HYPERLINK("https://www.spark-marketing.ru/Card/Person/300377", "ООО ""ТУЙМАЗЫ-ФРУКТ""")</f>
        <v>ООО "ТУЙМАЗЫ-ФРУКТ"</v>
      </c>
      <c r="K11572" s="24" t="s">
        <v>9052</v>
      </c>
      <c r="L11572" s="28" t="s">
        <v>51</v>
      </c>
      <c r="M11572" s="25">
        <v>4859101.5</v>
      </c>
      <c r="N11572" s="27">
        <v>0</v>
      </c>
    </row>
    <row r="11573" spans="1:14" x14ac:dyDescent="0.15">
      <c r="A11573" s="23" t="str">
        <f>HYPERLINK("https://www.spark-marketing.ru/Card/Person/128460", "ОГБУЗ ""ДИБ ИМ. Г.Е. СИБИРЦЕВА""")</f>
        <v>ОГБУЗ "ДИБ ИМ. Г.Е. СИБИРЦЕВА"</v>
      </c>
      <c r="B11573" s="24" t="s">
        <v>16063</v>
      </c>
      <c r="C11573" s="25">
        <v>172102.3</v>
      </c>
      <c r="D11573" s="22" t="s">
        <v>16064</v>
      </c>
      <c r="E11573" s="22" t="s">
        <v>48</v>
      </c>
      <c r="F11573" s="23" t="str">
        <f>HYPERLINK("https://www.spark-marketing.ru/Card/Lot/72237501", "Оказание услуг по организации питания пациентов ОГБУЗ «Детская инфекционная больница имени Г.Е.Сибирцева»")</f>
        <v>Оказание услуг по организации питания пациентов ОГБУЗ «Детская инфекционная больница имени Г.Е.Сибирцева»</v>
      </c>
      <c r="G11573" s="22" t="s">
        <v>149</v>
      </c>
      <c r="H11573" s="22" t="s">
        <v>496</v>
      </c>
      <c r="I11573" s="26">
        <v>43668.3347222222</v>
      </c>
      <c r="J11573" s="28" t="s">
        <v>51</v>
      </c>
      <c r="K11573" s="28" t="s">
        <v>51</v>
      </c>
      <c r="L11573" s="28" t="s">
        <v>51</v>
      </c>
      <c r="M11573" s="28" t="s">
        <v>51</v>
      </c>
      <c r="N11573" s="28" t="s">
        <v>51</v>
      </c>
    </row>
    <row r="11574" spans="1:14" x14ac:dyDescent="0.15">
      <c r="A11574" s="23" t="s">
        <v>114</v>
      </c>
      <c r="B11574" s="28" t="s">
        <v>51</v>
      </c>
      <c r="C11574" s="25">
        <v>4583540</v>
      </c>
      <c r="D11574" s="22" t="s">
        <v>16065</v>
      </c>
      <c r="E11574" s="22" t="s">
        <v>48</v>
      </c>
      <c r="F11574" s="23" t="str">
        <f t="shared" ref="F11574:F11581" si="325">HYPERLINK("https://www.spark-marketing.ru/Card/Lot/72238992", "оказание услуг по организации сбалансированного питания воспитанников для нужд муниципальных бюджетных дошкольных образовательных учреждений")</f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74" s="22" t="s">
        <v>51</v>
      </c>
      <c r="H11574" s="22" t="s">
        <v>51</v>
      </c>
      <c r="I11574" s="26">
        <v>43668.348611111098</v>
      </c>
      <c r="J11574" s="28" t="s">
        <v>51</v>
      </c>
      <c r="K11574" s="28" t="s">
        <v>51</v>
      </c>
      <c r="L11574" s="28" t="s">
        <v>51</v>
      </c>
      <c r="M11574" s="28" t="s">
        <v>51</v>
      </c>
      <c r="N11574" s="28" t="s">
        <v>51</v>
      </c>
    </row>
    <row r="11575" spans="1:14" hidden="1" outlineLevel="1" x14ac:dyDescent="0.15">
      <c r="A11575" s="23" t="str">
        <f>HYPERLINK("https://www.spark-marketing.ru/Card/Person/6624161", "МБДОУ ""ДЕТСКИЙ САД №122 ""АБВГДЕЙКА""")</f>
        <v>МБДОУ "ДЕТСКИЙ САД №122 "АБВГДЕЙКА"</v>
      </c>
      <c r="B11575" s="24" t="s">
        <v>16058</v>
      </c>
      <c r="C11575" s="25">
        <v>916708</v>
      </c>
      <c r="D11575" s="22" t="s">
        <v>16065</v>
      </c>
      <c r="E11575" s="22" t="s">
        <v>48</v>
      </c>
      <c r="F11575" s="23" t="str">
        <f t="shared" si="325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75" s="22" t="s">
        <v>217</v>
      </c>
      <c r="H11575" s="22" t="s">
        <v>217</v>
      </c>
      <c r="I11575" s="26">
        <v>43668.348611111098</v>
      </c>
      <c r="J11575" s="28" t="s">
        <v>51</v>
      </c>
      <c r="K11575" s="28" t="s">
        <v>51</v>
      </c>
      <c r="L11575" s="28" t="s">
        <v>51</v>
      </c>
      <c r="M11575" s="28" t="s">
        <v>51</v>
      </c>
      <c r="N11575" s="28" t="s">
        <v>51</v>
      </c>
    </row>
    <row r="11576" spans="1:14" hidden="1" outlineLevel="1" x14ac:dyDescent="0.15">
      <c r="A11576" s="23" t="str">
        <f>HYPERLINK("https://www.spark-marketing.ru/Card/Person/6624293", "МБДОУ ""ДЕТСКИЙ САД №125 ""СМЕШАРИКИ""")</f>
        <v>МБДОУ "ДЕТСКИЙ САД №125 "СМЕШАРИКИ"</v>
      </c>
      <c r="B11576" s="24" t="s">
        <v>16059</v>
      </c>
      <c r="C11576" s="25">
        <v>916708</v>
      </c>
      <c r="D11576" s="22" t="s">
        <v>16065</v>
      </c>
      <c r="E11576" s="22" t="s">
        <v>48</v>
      </c>
      <c r="F11576" s="23" t="str">
        <f t="shared" si="325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76" s="22" t="s">
        <v>217</v>
      </c>
      <c r="H11576" s="22" t="s">
        <v>217</v>
      </c>
      <c r="I11576" s="26">
        <v>43668.348611111098</v>
      </c>
      <c r="J11576" s="28" t="s">
        <v>51</v>
      </c>
      <c r="K11576" s="28" t="s">
        <v>51</v>
      </c>
      <c r="L11576" s="28" t="s">
        <v>51</v>
      </c>
      <c r="M11576" s="28" t="s">
        <v>51</v>
      </c>
      <c r="N11576" s="28" t="s">
        <v>51</v>
      </c>
    </row>
    <row r="11577" spans="1:14" hidden="1" outlineLevel="1" x14ac:dyDescent="0.15">
      <c r="A11577" s="23" t="str">
        <f>HYPERLINK("https://www.spark-marketing.ru/Card/Person/6624310", "МБДОУ ""ДЕТСКИЙ САД №126 ""БИСЕРИНКИ""")</f>
        <v>МБДОУ "ДЕТСКИЙ САД №126 "БИСЕРИНКИ"</v>
      </c>
      <c r="B11577" s="24" t="s">
        <v>16060</v>
      </c>
      <c r="C11577" s="25">
        <v>916708</v>
      </c>
      <c r="D11577" s="22" t="s">
        <v>16065</v>
      </c>
      <c r="E11577" s="22" t="s">
        <v>48</v>
      </c>
      <c r="F11577" s="23" t="str">
        <f t="shared" si="325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77" s="22" t="s">
        <v>217</v>
      </c>
      <c r="H11577" s="22" t="s">
        <v>217</v>
      </c>
      <c r="I11577" s="26">
        <v>43668.348611111098</v>
      </c>
      <c r="J11577" s="28" t="s">
        <v>51</v>
      </c>
      <c r="K11577" s="28" t="s">
        <v>51</v>
      </c>
      <c r="L11577" s="28" t="s">
        <v>51</v>
      </c>
      <c r="M11577" s="28" t="s">
        <v>51</v>
      </c>
      <c r="N11577" s="28" t="s">
        <v>51</v>
      </c>
    </row>
    <row r="11578" spans="1:14" hidden="1" outlineLevel="1" x14ac:dyDescent="0.15">
      <c r="A11578" s="23" t="str">
        <f>HYPERLINK("https://www.spark-marketing.ru/Card/Person/6626094", "МБДОУ ""ДЕТСКИЙ САД №124 ""КАПИТОШКА""")</f>
        <v>МБДОУ "ДЕТСКИЙ САД №124 "КАПИТОШКА"</v>
      </c>
      <c r="B11578" s="24" t="s">
        <v>16061</v>
      </c>
      <c r="C11578" s="25">
        <v>916708</v>
      </c>
      <c r="D11578" s="22" t="s">
        <v>16065</v>
      </c>
      <c r="E11578" s="22" t="s">
        <v>48</v>
      </c>
      <c r="F11578" s="23" t="str">
        <f t="shared" si="325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78" s="22" t="s">
        <v>217</v>
      </c>
      <c r="H11578" s="22" t="s">
        <v>217</v>
      </c>
      <c r="I11578" s="26">
        <v>43668.348611111098</v>
      </c>
      <c r="J11578" s="28" t="s">
        <v>51</v>
      </c>
      <c r="K11578" s="28" t="s">
        <v>51</v>
      </c>
      <c r="L11578" s="28" t="s">
        <v>51</v>
      </c>
      <c r="M11578" s="28" t="s">
        <v>51</v>
      </c>
      <c r="N11578" s="28" t="s">
        <v>51</v>
      </c>
    </row>
    <row r="11579" spans="1:14" hidden="1" outlineLevel="1" x14ac:dyDescent="0.15">
      <c r="A11579" s="23" t="str">
        <f>HYPERLINK("https://www.spark-marketing.ru/Card/Person/6626713", "МБДОУ ""ДЕТСКИЙ САД №123 ""АКЧАРЛАК""")</f>
        <v>МБДОУ "ДЕТСКИЙ САД №123 "АКЧАРЛАК"</v>
      </c>
      <c r="B11579" s="24" t="s">
        <v>16062</v>
      </c>
      <c r="C11579" s="25">
        <v>916708</v>
      </c>
      <c r="D11579" s="22" t="s">
        <v>16065</v>
      </c>
      <c r="E11579" s="22" t="s">
        <v>48</v>
      </c>
      <c r="F11579" s="23" t="str">
        <f t="shared" si="325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79" s="22" t="s">
        <v>217</v>
      </c>
      <c r="H11579" s="22" t="s">
        <v>217</v>
      </c>
      <c r="I11579" s="26">
        <v>43668.348611111098</v>
      </c>
      <c r="J11579" s="28" t="s">
        <v>51</v>
      </c>
      <c r="K11579" s="28" t="s">
        <v>51</v>
      </c>
      <c r="L11579" s="28" t="s">
        <v>51</v>
      </c>
      <c r="M11579" s="28" t="s">
        <v>51</v>
      </c>
      <c r="N11579" s="28" t="s">
        <v>51</v>
      </c>
    </row>
    <row r="11580" spans="1:14" hidden="1" outlineLevel="1" x14ac:dyDescent="0.2">
      <c r="A11580" s="28" t="s">
        <v>51</v>
      </c>
      <c r="B11580" s="28" t="s">
        <v>51</v>
      </c>
      <c r="C11580" s="28" t="s">
        <v>51</v>
      </c>
      <c r="D11580" s="22" t="s">
        <v>16065</v>
      </c>
      <c r="E11580" s="22" t="s">
        <v>48</v>
      </c>
      <c r="F11580" s="23" t="str">
        <f t="shared" si="325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80" s="22" t="s">
        <v>51</v>
      </c>
      <c r="H11580" s="22" t="s">
        <v>51</v>
      </c>
      <c r="I11580" s="26">
        <v>43668.348611111098</v>
      </c>
      <c r="J11580" s="23" t="str">
        <f>HYPERLINK("https://www.spark-marketing.ru/Card/Person/87385", "ООО ""ШКОЛЬНОЕ ПИТАНИЕ""")</f>
        <v>ООО "ШКОЛЬНОЕ ПИТАНИЕ"</v>
      </c>
      <c r="K11580" s="24" t="s">
        <v>6356</v>
      </c>
      <c r="L11580" s="22" t="s">
        <v>10</v>
      </c>
      <c r="M11580" s="25">
        <v>4583540</v>
      </c>
      <c r="N11580" s="27">
        <v>0</v>
      </c>
    </row>
    <row r="11581" spans="1:14" hidden="1" outlineLevel="1" x14ac:dyDescent="0.2">
      <c r="A11581" s="28" t="s">
        <v>51</v>
      </c>
      <c r="B11581" s="28" t="s">
        <v>51</v>
      </c>
      <c r="C11581" s="28" t="s">
        <v>51</v>
      </c>
      <c r="D11581" s="22" t="s">
        <v>16065</v>
      </c>
      <c r="E11581" s="22" t="s">
        <v>48</v>
      </c>
      <c r="F11581" s="23" t="str">
        <f t="shared" si="325"/>
        <v>оказание услуг по организации сбалансированного питания воспитанников для нужд муниципальных бюджетных дошкольных образовательных учреждений</v>
      </c>
      <c r="G11581" s="22" t="s">
        <v>51</v>
      </c>
      <c r="H11581" s="22" t="s">
        <v>51</v>
      </c>
      <c r="I11581" s="26">
        <v>43668.348611111098</v>
      </c>
      <c r="J11581" s="23" t="str">
        <f>HYPERLINK("https://www.spark-marketing.ru/Card/Person/300377", "ООО ""ТУЙМАЗЫ-ФРУКТ""")</f>
        <v>ООО "ТУЙМАЗЫ-ФРУКТ"</v>
      </c>
      <c r="K11581" s="24" t="s">
        <v>9052</v>
      </c>
      <c r="L11581" s="28" t="s">
        <v>51</v>
      </c>
      <c r="M11581" s="25">
        <v>4583540</v>
      </c>
      <c r="N11581" s="27">
        <v>0</v>
      </c>
    </row>
    <row r="11582" spans="1:14" x14ac:dyDescent="0.15">
      <c r="A11582" s="23" t="str">
        <f>HYPERLINK("https://www.spark-marketing.ru/Card/Person/4348397", "КГБПОУ ""НАЗАРОВСКИЙ ЭНЕРГОСТРОИТЕЛЬНЫЙ ТЕХНИКУМ""")</f>
        <v>КГБПОУ "НАЗАРОВСКИЙ ЭНЕРГОСТРОИТЕЛЬНЫЙ ТЕХНИКУМ"</v>
      </c>
      <c r="B11582" s="24" t="s">
        <v>1641</v>
      </c>
      <c r="C11582" s="25">
        <v>820528.96</v>
      </c>
      <c r="D11582" s="22" t="s">
        <v>16066</v>
      </c>
      <c r="E11582" s="22" t="s">
        <v>48</v>
      </c>
      <c r="F11582" s="23" t="str">
        <f>HYPERLINK("https://www.spark-marketing.ru/Card/Lot/72243970", "Оказание услуг по организации готового горячего питания")</f>
        <v>Оказание услуг по организации готового горячего питания</v>
      </c>
      <c r="G11582" s="22" t="s">
        <v>281</v>
      </c>
      <c r="H11582" s="22" t="s">
        <v>1643</v>
      </c>
      <c r="I11582" s="26">
        <v>43668.354189814803</v>
      </c>
      <c r="J11582" s="28" t="s">
        <v>51</v>
      </c>
      <c r="K11582" s="28" t="s">
        <v>51</v>
      </c>
      <c r="L11582" s="28" t="s">
        <v>51</v>
      </c>
      <c r="M11582" s="28" t="s">
        <v>51</v>
      </c>
      <c r="N11582" s="28" t="s">
        <v>51</v>
      </c>
    </row>
    <row r="11583" spans="1:14" x14ac:dyDescent="0.15">
      <c r="A11583" s="23" t="str">
        <f>HYPERLINK("https://www.spark-marketing.ru/Card/Person/140088", "МО МВД РОССИИ ""НОВОУЗЕНСКИЙ"" САРАТОВСКОЙ ОБЛАСТИ")</f>
        <v>МО МВД РОССИИ "НОВОУЗЕНСКИЙ" САРАТОВСКОЙ ОБЛАСТИ</v>
      </c>
      <c r="B11583" s="24" t="s">
        <v>349</v>
      </c>
      <c r="C11583" s="25">
        <v>237500</v>
      </c>
      <c r="D11583" s="22" t="s">
        <v>16067</v>
      </c>
      <c r="E11583" s="22" t="s">
        <v>48</v>
      </c>
      <c r="F11583" s="23" t="str">
        <f>HYPERLINK("https://www.spark-marketing.ru/Card/Lot/72240564", "Оказание услуг по организации питания лиц, находящихся в ИВС, СПСЗЛ ОП №2 МО МВД России ""Новоузенский"" Саратовской области")</f>
        <v>Оказание услуг по организации питания лиц, находящихся в ИВС, СПСЗЛ ОП №2 МО МВД России "Новоузенский" Саратовской области</v>
      </c>
      <c r="G11583" s="22" t="s">
        <v>351</v>
      </c>
      <c r="H11583" s="22" t="s">
        <v>14402</v>
      </c>
      <c r="I11583" s="26">
        <v>43668.334571759297</v>
      </c>
      <c r="J11583" s="23" t="str">
        <f>HYPERLINK("https://www.spark-marketing.ru/Card/Person/795313", "ООО ""АЛЬТЕРНАТИВА""")</f>
        <v>ООО "АЛЬТЕРНАТИВА"</v>
      </c>
      <c r="K11583" s="24" t="s">
        <v>14403</v>
      </c>
      <c r="L11583" s="22" t="s">
        <v>10</v>
      </c>
      <c r="M11583" s="28" t="s">
        <v>51</v>
      </c>
      <c r="N11583" s="28" t="s">
        <v>51</v>
      </c>
    </row>
    <row r="11584" spans="1:14" x14ac:dyDescent="0.2">
      <c r="A11584" s="23" t="s">
        <v>114</v>
      </c>
      <c r="B11584" s="28" t="s">
        <v>51</v>
      </c>
      <c r="C11584" s="25">
        <v>39456406</v>
      </c>
      <c r="D11584" s="22" t="s">
        <v>16068</v>
      </c>
      <c r="E11584" s="22" t="s">
        <v>48</v>
      </c>
      <c r="F11584" s="23" t="str">
        <f>HYPERLINK("https://www.spark-marketing.ru/Card/Lot/72240189", "Оказание услуг по организации питания учащихся в 2019-2021 гг.")</f>
        <v>Оказание услуг по организации питания учащихся в 2019-2021 гг.</v>
      </c>
      <c r="G11584" s="22" t="s">
        <v>51</v>
      </c>
      <c r="H11584" s="22" t="s">
        <v>51</v>
      </c>
      <c r="I11584" s="26">
        <v>43668.372222222199</v>
      </c>
      <c r="J11584" s="23" t="str">
        <f t="shared" ref="J11584:J11590" si="326">HYPERLINK("https://www.spark-marketing.ru/Card/Person/103647", "АО ""КСП ""ВОЛНА""")</f>
        <v>АО "КСП "ВОЛНА"</v>
      </c>
      <c r="K11584" s="24" t="s">
        <v>5446</v>
      </c>
      <c r="L11584" s="28" t="s">
        <v>51</v>
      </c>
      <c r="M11584" s="25">
        <v>39456406</v>
      </c>
      <c r="N11584" s="27">
        <v>0</v>
      </c>
    </row>
    <row r="11585" spans="1:14" hidden="1" outlineLevel="1" x14ac:dyDescent="0.2">
      <c r="A11585" s="23" t="str">
        <f>HYPERLINK("https://www.spark-marketing.ru/Card/Person/38891", "ГБОУ ШКОЛА №14 НЕВСКОГО РАЙОНА САНКТ-ПЕТЕРБУРГА")</f>
        <v>ГБОУ ШКОЛА №14 НЕВСКОГО РАЙОНА САНКТ-ПЕТЕРБУРГА</v>
      </c>
      <c r="B11585" s="24" t="s">
        <v>16069</v>
      </c>
      <c r="C11585" s="25">
        <v>9328528</v>
      </c>
      <c r="D11585" s="22" t="s">
        <v>16068</v>
      </c>
      <c r="E11585" s="22" t="s">
        <v>48</v>
      </c>
      <c r="F11585" s="23" t="str">
        <f>HYPERLINK("https://www.spark-marketing.ru/Card/Lot/72240189", "Оказание услуг по организации питания учащихся в 2019-2021 гг.")</f>
        <v>Оказание услуг по организации питания учащихся в 2019-2021 гг.</v>
      </c>
      <c r="G11585" s="22" t="s">
        <v>117</v>
      </c>
      <c r="H11585" s="22" t="s">
        <v>117</v>
      </c>
      <c r="I11585" s="26">
        <v>43668.372222222199</v>
      </c>
      <c r="J11585" s="23" t="str">
        <f t="shared" si="326"/>
        <v>АО "КСП "ВОЛНА"</v>
      </c>
      <c r="K11585" s="24" t="s">
        <v>5446</v>
      </c>
      <c r="L11585" s="28" t="s">
        <v>51</v>
      </c>
      <c r="M11585" s="28" t="s">
        <v>51</v>
      </c>
      <c r="N11585" s="27">
        <v>0</v>
      </c>
    </row>
    <row r="11586" spans="1:14" hidden="1" outlineLevel="1" x14ac:dyDescent="0.2">
      <c r="A11586" s="23" t="str">
        <f>HYPERLINK("https://www.spark-marketing.ru/Card/Person/80464", "ГБОУ ШКОЛА №570 НЕВСКОГО РАЙОНА САНКТ-ПЕТЕРБУРГА")</f>
        <v>ГБОУ ШКОЛА №570 НЕВСКОГО РАЙОНА САНКТ-ПЕТЕРБУРГА</v>
      </c>
      <c r="B11586" s="24" t="s">
        <v>16070</v>
      </c>
      <c r="C11586" s="25">
        <v>15078721</v>
      </c>
      <c r="D11586" s="22" t="s">
        <v>16068</v>
      </c>
      <c r="E11586" s="22" t="s">
        <v>48</v>
      </c>
      <c r="F11586" s="23" t="str">
        <f>HYPERLINK("https://www.spark-marketing.ru/Card/Lot/72240189", "Оказание услуг по организации питания учащихся в 2019-2021 гг.")</f>
        <v>Оказание услуг по организации питания учащихся в 2019-2021 гг.</v>
      </c>
      <c r="G11586" s="22" t="s">
        <v>117</v>
      </c>
      <c r="H11586" s="22" t="s">
        <v>117</v>
      </c>
      <c r="I11586" s="26">
        <v>43668.372222222199</v>
      </c>
      <c r="J11586" s="23" t="str">
        <f t="shared" si="326"/>
        <v>АО "КСП "ВОЛНА"</v>
      </c>
      <c r="K11586" s="24" t="s">
        <v>5446</v>
      </c>
      <c r="L11586" s="28" t="s">
        <v>51</v>
      </c>
      <c r="M11586" s="28" t="s">
        <v>51</v>
      </c>
      <c r="N11586" s="27">
        <v>0</v>
      </c>
    </row>
    <row r="11587" spans="1:14" hidden="1" outlineLevel="1" x14ac:dyDescent="0.2">
      <c r="A11587" s="23" t="str">
        <f>HYPERLINK("https://www.spark-marketing.ru/Card/Person/90971", "ГБОУ СОШ № 348 НЕВСКОГО РАЙОНА САНКТ-ПЕТЕРБУРГА")</f>
        <v>ГБОУ СОШ № 348 НЕВСКОГО РАЙОНА САНКТ-ПЕТЕРБУРГА</v>
      </c>
      <c r="B11587" s="24" t="s">
        <v>16071</v>
      </c>
      <c r="C11587" s="25">
        <v>15049157</v>
      </c>
      <c r="D11587" s="22" t="s">
        <v>16068</v>
      </c>
      <c r="E11587" s="22" t="s">
        <v>48</v>
      </c>
      <c r="F11587" s="23" t="str">
        <f>HYPERLINK("https://www.spark-marketing.ru/Card/Lot/72240189", "Оказание услуг по организации питания учащихся в 2019-2021 гг.")</f>
        <v>Оказание услуг по организации питания учащихся в 2019-2021 гг.</v>
      </c>
      <c r="G11587" s="22" t="s">
        <v>117</v>
      </c>
      <c r="H11587" s="22" t="s">
        <v>117</v>
      </c>
      <c r="I11587" s="26">
        <v>43668.372222222199</v>
      </c>
      <c r="J11587" s="23" t="str">
        <f t="shared" si="326"/>
        <v>АО "КСП "ВОЛНА"</v>
      </c>
      <c r="K11587" s="24" t="s">
        <v>5446</v>
      </c>
      <c r="L11587" s="28" t="s">
        <v>51</v>
      </c>
      <c r="M11587" s="28" t="s">
        <v>51</v>
      </c>
      <c r="N11587" s="27">
        <v>0</v>
      </c>
    </row>
    <row r="11588" spans="1:14" x14ac:dyDescent="0.2">
      <c r="A11588" s="23" t="s">
        <v>114</v>
      </c>
      <c r="B11588" s="28" t="s">
        <v>51</v>
      </c>
      <c r="C11588" s="25">
        <v>39984367</v>
      </c>
      <c r="D11588" s="22" t="s">
        <v>16072</v>
      </c>
      <c r="E11588" s="22" t="s">
        <v>48</v>
      </c>
      <c r="F11588" s="23" t="str">
        <f>HYPERLINK("https://www.spark-marketing.ru/Card/Lot/72240191", "Оказание услуг по организации питания учащихся в 2019-2021 гг.")</f>
        <v>Оказание услуг по организации питания учащихся в 2019-2021 гг.</v>
      </c>
      <c r="G11588" s="22" t="s">
        <v>51</v>
      </c>
      <c r="H11588" s="22" t="s">
        <v>51</v>
      </c>
      <c r="I11588" s="26">
        <v>43668.372916666704</v>
      </c>
      <c r="J11588" s="23" t="str">
        <f t="shared" si="326"/>
        <v>АО "КСП "ВОЛНА"</v>
      </c>
      <c r="K11588" s="24" t="s">
        <v>5446</v>
      </c>
      <c r="L11588" s="28" t="s">
        <v>51</v>
      </c>
      <c r="M11588" s="25">
        <v>39984367</v>
      </c>
      <c r="N11588" s="27">
        <v>0</v>
      </c>
    </row>
    <row r="11589" spans="1:14" hidden="1" outlineLevel="1" x14ac:dyDescent="0.2">
      <c r="A11589" s="23" t="str">
        <f>HYPERLINK("https://www.spark-marketing.ru/Card/Person/26302", "ГБОУ ШКОЛА № 333 НЕВСКОГО РАЙОНА САНКТ-ПЕТЕРБУРГА")</f>
        <v>ГБОУ ШКОЛА № 333 НЕВСКОГО РАЙОНА САНКТ-ПЕТЕРБУРГА</v>
      </c>
      <c r="B11589" s="24" t="s">
        <v>16073</v>
      </c>
      <c r="C11589" s="25">
        <v>29225963</v>
      </c>
      <c r="D11589" s="22" t="s">
        <v>16072</v>
      </c>
      <c r="E11589" s="22" t="s">
        <v>48</v>
      </c>
      <c r="F11589" s="23" t="str">
        <f>HYPERLINK("https://www.spark-marketing.ru/Card/Lot/72240191", "Оказание услуг по организации питания учащихся в 2019-2021 гг.")</f>
        <v>Оказание услуг по организации питания учащихся в 2019-2021 гг.</v>
      </c>
      <c r="G11589" s="22" t="s">
        <v>117</v>
      </c>
      <c r="H11589" s="22" t="s">
        <v>117</v>
      </c>
      <c r="I11589" s="26">
        <v>43668.372916666704</v>
      </c>
      <c r="J11589" s="23" t="str">
        <f t="shared" si="326"/>
        <v>АО "КСП "ВОЛНА"</v>
      </c>
      <c r="K11589" s="24" t="s">
        <v>5446</v>
      </c>
      <c r="L11589" s="28" t="s">
        <v>51</v>
      </c>
      <c r="M11589" s="28" t="s">
        <v>51</v>
      </c>
      <c r="N11589" s="27">
        <v>0</v>
      </c>
    </row>
    <row r="11590" spans="1:14" hidden="1" outlineLevel="1" x14ac:dyDescent="0.2">
      <c r="A11590" s="23" t="str">
        <f>HYPERLINK("https://www.spark-marketing.ru/Card/Person/46912", "ГБОУ ШКОЛА №328 С УГЛУБЛЕННЫМ ИЗУЧЕНИЕМ АНГЛИЙСКОГО ЯЗЫКА НЕВСКОГО РАЙОНА САНКТ-ПЕТЕРБУРГА")</f>
        <v>ГБОУ ШКОЛА №328 С УГЛУБЛЕННЫМ ИЗУЧЕНИЕМ АНГЛИЙСКОГО ЯЗЫКА НЕВСКОГО РАЙОНА САНКТ-ПЕТЕРБУРГА</v>
      </c>
      <c r="B11590" s="24" t="s">
        <v>16074</v>
      </c>
      <c r="C11590" s="25">
        <v>10758404</v>
      </c>
      <c r="D11590" s="22" t="s">
        <v>16072</v>
      </c>
      <c r="E11590" s="22" t="s">
        <v>48</v>
      </c>
      <c r="F11590" s="23" t="str">
        <f>HYPERLINK("https://www.spark-marketing.ru/Card/Lot/72240191", "Оказание услуг по организации питания учащихся в 2019-2021 гг.")</f>
        <v>Оказание услуг по организации питания учащихся в 2019-2021 гг.</v>
      </c>
      <c r="G11590" s="22" t="s">
        <v>117</v>
      </c>
      <c r="H11590" s="22" t="s">
        <v>117</v>
      </c>
      <c r="I11590" s="26">
        <v>43668.372916666704</v>
      </c>
      <c r="J11590" s="23" t="str">
        <f t="shared" si="326"/>
        <v>АО "КСП "ВОЛНА"</v>
      </c>
      <c r="K11590" s="24" t="s">
        <v>5446</v>
      </c>
      <c r="L11590" s="28" t="s">
        <v>51</v>
      </c>
      <c r="M11590" s="28" t="s">
        <v>51</v>
      </c>
      <c r="N11590" s="27">
        <v>0</v>
      </c>
    </row>
    <row r="11591" spans="1:14" x14ac:dyDescent="0.15">
      <c r="A11591" s="23" t="str">
        <f>HYPERLINK("https://www.spark-marketing.ru/Card/Person/4358738", "ООО ""РН-САХАЛИНМОРНЕФТЕГАЗ""")</f>
        <v>ООО "РН-САХАЛИНМОРНЕФТЕГАЗ"</v>
      </c>
      <c r="B11591" s="24" t="s">
        <v>3408</v>
      </c>
      <c r="C11591" s="28" t="s">
        <v>51</v>
      </c>
      <c r="D11591" s="22" t="s">
        <v>16075</v>
      </c>
      <c r="E11591" s="22" t="s">
        <v>362</v>
      </c>
      <c r="F11591" s="23" t="str">
        <f>HYPERLINK("https://www.spark-marketing.ru/Card/Lot/74003818", "Услуги по организации питания при проведении праздничных мероприятий, посвященных дню работников нефтяной и газовой промышленности")</f>
        <v>Услуги по организации питания при проведении праздничных мероприятий, посвященных дню работников нефтяной и газовой промышленности</v>
      </c>
      <c r="G11591" s="22" t="s">
        <v>260</v>
      </c>
      <c r="H11591" s="22" t="s">
        <v>804</v>
      </c>
      <c r="I11591" s="26">
        <v>43668.306944444397</v>
      </c>
      <c r="J11591" s="28" t="s">
        <v>51</v>
      </c>
      <c r="K11591" s="28" t="s">
        <v>51</v>
      </c>
      <c r="L11591" s="28" t="s">
        <v>51</v>
      </c>
      <c r="M11591" s="28" t="s">
        <v>51</v>
      </c>
      <c r="N11591" s="28" t="s">
        <v>51</v>
      </c>
    </row>
    <row r="11592" spans="1:14" x14ac:dyDescent="0.15">
      <c r="A11592" s="23" t="str">
        <f>HYPERLINK("https://www.spark-marketing.ru/Card/Person/6692", "КГБУЗ ""АКОД""")</f>
        <v>КГБУЗ "АКОД"</v>
      </c>
      <c r="B11592" s="24" t="s">
        <v>4173</v>
      </c>
      <c r="C11592" s="25">
        <v>116306</v>
      </c>
      <c r="D11592" s="22" t="s">
        <v>16076</v>
      </c>
      <c r="E11592" s="22" t="s">
        <v>16077</v>
      </c>
      <c r="F11592" s="23" t="str">
        <f>HYPERLINK("https://www.spark-marketing.ru/Card/Lot/72237392", "Товары, работы или услуги на сумму, не превышающую 300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300 тыс. рублей (в случае заключения заказчиком контракта в соответствии с пунктом 4 части 1 статьи 93 Федерального закона)</v>
      </c>
      <c r="G11592" s="22" t="s">
        <v>63</v>
      </c>
      <c r="H11592" s="22" t="s">
        <v>177</v>
      </c>
      <c r="I11592" s="26">
        <v>43668.2993055556</v>
      </c>
      <c r="J11592" s="28" t="s">
        <v>51</v>
      </c>
      <c r="K11592" s="28" t="s">
        <v>51</v>
      </c>
      <c r="L11592" s="28" t="s">
        <v>51</v>
      </c>
      <c r="M11592" s="28" t="s">
        <v>51</v>
      </c>
      <c r="N11592" s="28" t="s">
        <v>51</v>
      </c>
    </row>
    <row r="11593" spans="1:14" x14ac:dyDescent="0.15">
      <c r="A11593" s="23" t="str">
        <f>HYPERLINK("https://www.spark-marketing.ru/Card/Person/140088", "МО МВД РОССИИ ""НОВОУЗЕНСКИЙ"" САРАТОВСКОЙ ОБЛАСТИ")</f>
        <v>МО МВД РОССИИ "НОВОУЗЕНСКИЙ" САРАТОВСКОЙ ОБЛАСТИ</v>
      </c>
      <c r="B11593" s="24" t="s">
        <v>349</v>
      </c>
      <c r="C11593" s="25">
        <v>237500</v>
      </c>
      <c r="D11593" s="22" t="s">
        <v>16078</v>
      </c>
      <c r="E11593" s="22" t="s">
        <v>48</v>
      </c>
      <c r="F11593" s="23" t="str">
        <f>HYPERLINK("https://www.spark-marketing.ru/Card/Lot/72240563", "Оказание услуг по организации питания лиц, находящихся в ИВС, СПСЗЛ ОП №2 МО МВД России ""Новоузенский"" Саратовской области")</f>
        <v>Оказание услуг по организации питания лиц, находящихся в ИВС, СПСЗЛ ОП №2 МО МВД России "Новоузенский" Саратовской области</v>
      </c>
      <c r="G11593" s="22" t="s">
        <v>351</v>
      </c>
      <c r="H11593" s="22" t="s">
        <v>14402</v>
      </c>
      <c r="I11593" s="26">
        <v>43668.333020833299</v>
      </c>
      <c r="J11593" s="23" t="str">
        <f>HYPERLINK("https://www.spark-marketing.ru/Card/Person/795313", "ООО ""АЛЬТЕРНАТИВА""")</f>
        <v>ООО "АЛЬТЕРНАТИВА"</v>
      </c>
      <c r="K11593" s="24" t="s">
        <v>14403</v>
      </c>
      <c r="L11593" s="22" t="s">
        <v>10</v>
      </c>
      <c r="M11593" s="28" t="s">
        <v>51</v>
      </c>
      <c r="N11593" s="28" t="s">
        <v>51</v>
      </c>
    </row>
    <row r="11594" spans="1:14" x14ac:dyDescent="0.15">
      <c r="A11594" s="23" t="str">
        <f>HYPERLINK("https://www.spark-marketing.ru/Card/Person/2183355", "ГБУЗ МО ""МОКДЦД""")</f>
        <v>ГБУЗ МО "МОКДЦД"</v>
      </c>
      <c r="B11594" s="24" t="s">
        <v>3213</v>
      </c>
      <c r="C11594" s="25">
        <v>4900000</v>
      </c>
      <c r="D11594" s="22" t="s">
        <v>16079</v>
      </c>
      <c r="E11594" s="22" t="s">
        <v>48</v>
      </c>
      <c r="F11594" s="23" t="str">
        <f>HYPERLINK("https://www.spark-marketing.ru/Card/Lot/72248601", "Оказание услуг по аутсорсингу питания")</f>
        <v>Оказание услуг по аутсорсингу питания</v>
      </c>
      <c r="G11594" s="22" t="s">
        <v>56</v>
      </c>
      <c r="H11594" s="22" t="s">
        <v>56</v>
      </c>
      <c r="I11594" s="26">
        <v>43668.325798611098</v>
      </c>
      <c r="J11594" s="23" t="str">
        <f>HYPERLINK("https://www.spark-marketing.ru/Card/Person/5906366", "ООО ""МАСТЕР ЛАНЧ""")</f>
        <v>ООО "МАСТЕР ЛАНЧ"</v>
      </c>
      <c r="K11594" s="24" t="s">
        <v>3215</v>
      </c>
      <c r="L11594" s="22" t="s">
        <v>10</v>
      </c>
      <c r="M11594" s="28" t="s">
        <v>51</v>
      </c>
      <c r="N11594" s="28" t="s">
        <v>51</v>
      </c>
    </row>
    <row r="11595" spans="1:14" x14ac:dyDescent="0.15">
      <c r="A11595" s="23" t="str">
        <f>HYPERLINK("https://www.spark-marketing.ru/Card/Person/5878", "ГБУЗ НСО ""КУЙБЫШЕВСКАЯ ЦРБ""")</f>
        <v>ГБУЗ НСО "КУЙБЫШЕВСКАЯ ЦРБ"</v>
      </c>
      <c r="B11595" s="24" t="s">
        <v>16080</v>
      </c>
      <c r="C11595" s="25">
        <v>99300</v>
      </c>
      <c r="D11595" s="22" t="s">
        <v>16081</v>
      </c>
      <c r="E11595" s="22" t="s">
        <v>583</v>
      </c>
      <c r="F11595" s="23" t="str">
        <f>HYPERLINK("https://www.spark-marketing.ru/Card/Lot/72237397", "Оказание услуг по ремонту источника бесперебойного питания JOVYATLAS рентгеновского компьютерного томографа Siemens Somatom Emotion 16, заменой запасных частей.")</f>
        <v>Оказание услуг по ремонту источника бесперебойного питания JOVYATLAS рентгеновского компьютерного томографа Siemens Somatom Emotion 16, заменой запасных частей.</v>
      </c>
      <c r="G11595" s="22" t="s">
        <v>195</v>
      </c>
      <c r="H11595" s="22" t="s">
        <v>16082</v>
      </c>
      <c r="I11595" s="26">
        <v>43668.3034722222</v>
      </c>
      <c r="J11595" s="28" t="s">
        <v>51</v>
      </c>
      <c r="K11595" s="28" t="s">
        <v>51</v>
      </c>
      <c r="L11595" s="28" t="s">
        <v>51</v>
      </c>
      <c r="M11595" s="28" t="s">
        <v>51</v>
      </c>
      <c r="N11595" s="28" t="s">
        <v>51</v>
      </c>
    </row>
    <row r="11596" spans="1:14" x14ac:dyDescent="0.15">
      <c r="A11596" s="23" t="str">
        <f>HYPERLINK("https://www.spark-marketing.ru/Card/Person/736588", "ФКУ ""ЦУКС ГУ МЧС РОССИИ ПО РЕСПУБЛИКЕ БУРЯТИЯ""")</f>
        <v>ФКУ "ЦУКС ГУ МЧС РОССИИ ПО РЕСПУБЛИКЕ БУРЯТИЯ"</v>
      </c>
      <c r="B11596" s="24" t="s">
        <v>16083</v>
      </c>
      <c r="C11596" s="25">
        <v>13848.63</v>
      </c>
      <c r="D11596" s="22" t="s">
        <v>16084</v>
      </c>
      <c r="E11596" s="22" t="s">
        <v>48</v>
      </c>
      <c r="F11596" s="23" t="str">
        <f>HYPERLINK("https://www.spark-marketing.ru/Card/Lot/72235980", "Услуги по доставке горячего питания (завтрак, обед, ужин), 28 усл. ед")</f>
        <v>Услуги по доставке горячего питания (завтрак, обед, ужин), 28 усл. ед</v>
      </c>
      <c r="G11596" s="22" t="s">
        <v>433</v>
      </c>
      <c r="H11596" s="22" t="s">
        <v>974</v>
      </c>
      <c r="I11596" s="26">
        <v>43668.2364467593</v>
      </c>
      <c r="J11596" s="28" t="s">
        <v>51</v>
      </c>
      <c r="K11596" s="28" t="s">
        <v>51</v>
      </c>
      <c r="L11596" s="28" t="s">
        <v>51</v>
      </c>
      <c r="M11596" s="28" t="s">
        <v>51</v>
      </c>
      <c r="N11596" s="28" t="s">
        <v>51</v>
      </c>
    </row>
    <row r="11597" spans="1:14" x14ac:dyDescent="0.15">
      <c r="A11597" s="23" t="str">
        <f>HYPERLINK("https://www.spark-marketing.ru/Card/Person/4349872", "АО ""АВИАКОМПАНИЯ ""РОССИЯ""")</f>
        <v>АО "АВИАКОМПАНИЯ "РОССИЯ"</v>
      </c>
      <c r="B11597" s="24" t="s">
        <v>785</v>
      </c>
      <c r="C11597" s="25">
        <v>137900000</v>
      </c>
      <c r="D11597" s="22" t="s">
        <v>16085</v>
      </c>
      <c r="E11597" s="22" t="s">
        <v>769</v>
      </c>
      <c r="F11597" s="23" t="str">
        <f>HYPERLINK("https://www.spark-marketing.ru/Card/Lot/72261968", "Оказание услуг по размещению, питанию, трансферу экипажей, командировочных сотрудников (Санкт-Петербург)")</f>
        <v>Оказание услуг по размещению, питанию, трансферу экипажей, командировочных сотрудников (Санкт-Петербург)</v>
      </c>
      <c r="G11597" s="22" t="s">
        <v>117</v>
      </c>
      <c r="H11597" s="22" t="s">
        <v>117</v>
      </c>
      <c r="I11597" s="26">
        <v>43668.394664351901</v>
      </c>
      <c r="J11597" s="28" t="s">
        <v>51</v>
      </c>
      <c r="K11597" s="28" t="s">
        <v>51</v>
      </c>
      <c r="L11597" s="28" t="s">
        <v>51</v>
      </c>
      <c r="M11597" s="28" t="s">
        <v>51</v>
      </c>
      <c r="N11597" s="28" t="s">
        <v>51</v>
      </c>
    </row>
    <row r="11598" spans="1:14" x14ac:dyDescent="0.15">
      <c r="A11598" s="23" t="str">
        <f>HYPERLINK("https://www.spark-marketing.ru/Card/Person/126278", "ГБУЗ РТ ""СТАНЦИЯ ПЕРЕЛИВАНИЯ КРОВИ""")</f>
        <v>ГБУЗ РТ "СТАНЦИЯ ПЕРЕЛИВАНИЯ КРОВИ"</v>
      </c>
      <c r="B11598" s="24" t="s">
        <v>16086</v>
      </c>
      <c r="C11598" s="25">
        <v>700000</v>
      </c>
      <c r="D11598" s="22" t="s">
        <v>16087</v>
      </c>
      <c r="E11598" s="22" t="s">
        <v>48</v>
      </c>
      <c r="F11598" s="23" t="str">
        <f>HYPERLINK("https://www.spark-marketing.ru/Card/Lot/72242253", "Оказание услуг горячего питания для доноров ГБУЗ РТ ""Станция переливания крови""")</f>
        <v>Оказание услуг горячего питания для доноров ГБУЗ РТ "Станция переливания крови"</v>
      </c>
      <c r="G11598" s="22" t="s">
        <v>327</v>
      </c>
      <c r="H11598" s="22" t="s">
        <v>328</v>
      </c>
      <c r="I11598" s="26">
        <v>43666.634259259299</v>
      </c>
      <c r="J11598" s="23" t="str">
        <f>HYPERLINK("https://www.spark-marketing.ru/Card/Person/209885", "АО ""ГК ""ОДУГЕН""")</f>
        <v>АО "ГК "ОДУГЕН"</v>
      </c>
      <c r="K11598" s="24" t="s">
        <v>16088</v>
      </c>
      <c r="L11598" s="22" t="s">
        <v>10</v>
      </c>
      <c r="M11598" s="28" t="s">
        <v>51</v>
      </c>
      <c r="N11598" s="28" t="s">
        <v>51</v>
      </c>
    </row>
    <row r="11599" spans="1:14" x14ac:dyDescent="0.15">
      <c r="A11599" s="23" t="str">
        <f>HYPERLINK("https://www.spark-marketing.ru/Card/Person/639795", "ОТДЕЛ МВД РОССИИ ПО БАЙМАКСКОМУ РАЙОНУ")</f>
        <v>ОТДЕЛ МВД РОССИИ ПО БАЙМАКСКОМУ РАЙОНУ</v>
      </c>
      <c r="B11599" s="24" t="s">
        <v>16089</v>
      </c>
      <c r="C11599" s="25">
        <v>600000</v>
      </c>
      <c r="D11599" s="22" t="s">
        <v>16090</v>
      </c>
      <c r="E11599" s="22" t="s">
        <v>48</v>
      </c>
      <c r="F11599" s="23" t="str">
        <f>HYPERLINK("https://www.spark-marketing.ru/Card/Lot/72236877", "Питание в ИВС")</f>
        <v>Питание в ИВС</v>
      </c>
      <c r="G11599" s="22" t="s">
        <v>145</v>
      </c>
      <c r="H11599" s="22" t="s">
        <v>16091</v>
      </c>
      <c r="I11599" s="26">
        <v>43666.487627314797</v>
      </c>
      <c r="J11599" s="23" t="str">
        <f>HYPERLINK("https://www.spark-marketing.ru/Card/Person/666854", "ПО ""БАЙМАК""")</f>
        <v>ПО "БАЙМАК"</v>
      </c>
      <c r="K11599" s="24" t="s">
        <v>16092</v>
      </c>
      <c r="L11599" s="22" t="s">
        <v>10</v>
      </c>
      <c r="M11599" s="28" t="s">
        <v>51</v>
      </c>
      <c r="N11599" s="28" t="s">
        <v>51</v>
      </c>
    </row>
    <row r="11600" spans="1:14" x14ac:dyDescent="0.15">
      <c r="A11600" s="23" t="s">
        <v>114</v>
      </c>
      <c r="B11600" s="28" t="s">
        <v>51</v>
      </c>
      <c r="C11600" s="25">
        <v>40862283</v>
      </c>
      <c r="D11600" s="22" t="s">
        <v>16093</v>
      </c>
      <c r="E11600" s="22" t="s">
        <v>96</v>
      </c>
      <c r="F11600" s="23" t="str">
        <f t="shared" ref="F11600:F11616" si="327">HYPERLINK("https://www.spark-marketing.ru/Card/Lot/72226727",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11600" s="22" t="s">
        <v>51</v>
      </c>
      <c r="H11600" s="22" t="s">
        <v>51</v>
      </c>
      <c r="I11600" s="26">
        <v>43665.899305555598</v>
      </c>
      <c r="J11600" s="28" t="s">
        <v>51</v>
      </c>
      <c r="K11600" s="28" t="s">
        <v>51</v>
      </c>
      <c r="L11600" s="28" t="s">
        <v>51</v>
      </c>
      <c r="M11600" s="28" t="s">
        <v>51</v>
      </c>
      <c r="N11600" s="28" t="s">
        <v>51</v>
      </c>
    </row>
    <row r="11601" spans="1:14" hidden="1" outlineLevel="1" x14ac:dyDescent="0.15">
      <c r="A11601" s="23" t="str">
        <f>HYPERLINK("https://www.spark-marketing.ru/Card/Person/49349", "МБОУ ""СОШ № 24 ИМЕНИ В. Г. СТОЛЛЯ""")</f>
        <v>МБОУ "СОШ № 24 ИМЕНИ В. Г. СТОЛЛЯ"</v>
      </c>
      <c r="B11601" s="24" t="s">
        <v>16094</v>
      </c>
      <c r="C11601" s="25">
        <v>1793323</v>
      </c>
      <c r="D11601" s="22" t="s">
        <v>16093</v>
      </c>
      <c r="E11601" s="22" t="s">
        <v>96</v>
      </c>
      <c r="F11601" s="23" t="str">
        <f t="shared" si="327"/>
        <v>Оказание услуг по организации горячего питания школьников на 2019-2020 учебный год</v>
      </c>
      <c r="G11601" s="22" t="s">
        <v>82</v>
      </c>
      <c r="H11601" s="22" t="s">
        <v>83</v>
      </c>
      <c r="I11601" s="26">
        <v>43665.899305555598</v>
      </c>
      <c r="J11601" s="28" t="s">
        <v>51</v>
      </c>
      <c r="K11601" s="28" t="s">
        <v>51</v>
      </c>
      <c r="L11601" s="28" t="s">
        <v>51</v>
      </c>
      <c r="M11601" s="28" t="s">
        <v>51</v>
      </c>
      <c r="N11601" s="28" t="s">
        <v>51</v>
      </c>
    </row>
    <row r="11602" spans="1:14" hidden="1" outlineLevel="1" x14ac:dyDescent="0.15">
      <c r="A11602" s="23" t="str">
        <f>HYPERLINK("https://www.spark-marketing.ru/Card/Person/67403", "МБОУ СОШ № 52")</f>
        <v>МБОУ СОШ № 52</v>
      </c>
      <c r="B11602" s="24" t="s">
        <v>16095</v>
      </c>
      <c r="C11602" s="25">
        <v>4411400</v>
      </c>
      <c r="D11602" s="22" t="s">
        <v>16093</v>
      </c>
      <c r="E11602" s="22" t="s">
        <v>96</v>
      </c>
      <c r="F11602" s="23" t="str">
        <f t="shared" si="327"/>
        <v>Оказание услуг по организации горячего питания школьников на 2019-2020 учебный год</v>
      </c>
      <c r="G11602" s="22" t="s">
        <v>82</v>
      </c>
      <c r="H11602" s="22" t="s">
        <v>83</v>
      </c>
      <c r="I11602" s="26">
        <v>43665.899305555598</v>
      </c>
      <c r="J11602" s="28" t="s">
        <v>51</v>
      </c>
      <c r="K11602" s="28" t="s">
        <v>51</v>
      </c>
      <c r="L11602" s="28" t="s">
        <v>51</v>
      </c>
      <c r="M11602" s="28" t="s">
        <v>51</v>
      </c>
      <c r="N11602" s="28" t="s">
        <v>51</v>
      </c>
    </row>
    <row r="11603" spans="1:14" hidden="1" outlineLevel="1" x14ac:dyDescent="0.15">
      <c r="A11603" s="23" t="str">
        <f>HYPERLINK("https://www.spark-marketing.ru/Card/Person/90570", "МБОУ СОШ № 23")</f>
        <v>МБОУ СОШ № 23</v>
      </c>
      <c r="B11603" s="24" t="s">
        <v>16096</v>
      </c>
      <c r="C11603" s="25">
        <v>1350594</v>
      </c>
      <c r="D11603" s="22" t="s">
        <v>16093</v>
      </c>
      <c r="E11603" s="22" t="s">
        <v>96</v>
      </c>
      <c r="F11603" s="23" t="str">
        <f t="shared" si="327"/>
        <v>Оказание услуг по организации горячего питания школьников на 2019-2020 учебный год</v>
      </c>
      <c r="G11603" s="22" t="s">
        <v>82</v>
      </c>
      <c r="H11603" s="22" t="s">
        <v>83</v>
      </c>
      <c r="I11603" s="26">
        <v>43665.899305555598</v>
      </c>
      <c r="J11603" s="28" t="s">
        <v>51</v>
      </c>
      <c r="K11603" s="28" t="s">
        <v>51</v>
      </c>
      <c r="L11603" s="28" t="s">
        <v>51</v>
      </c>
      <c r="M11603" s="28" t="s">
        <v>51</v>
      </c>
      <c r="N11603" s="28" t="s">
        <v>51</v>
      </c>
    </row>
    <row r="11604" spans="1:14" hidden="1" outlineLevel="1" x14ac:dyDescent="0.15">
      <c r="A11604" s="23" t="str">
        <f>HYPERLINK("https://www.spark-marketing.ru/Card/Person/90598", "МБОУ СОШ № 68")</f>
        <v>МБОУ СОШ № 68</v>
      </c>
      <c r="B11604" s="24" t="s">
        <v>16097</v>
      </c>
      <c r="C11604" s="25">
        <v>3005520</v>
      </c>
      <c r="D11604" s="22" t="s">
        <v>16093</v>
      </c>
      <c r="E11604" s="22" t="s">
        <v>96</v>
      </c>
      <c r="F11604" s="23" t="str">
        <f t="shared" si="327"/>
        <v>Оказание услуг по организации горячего питания школьников на 2019-2020 учебный год</v>
      </c>
      <c r="G11604" s="22" t="s">
        <v>82</v>
      </c>
      <c r="H11604" s="22" t="s">
        <v>83</v>
      </c>
      <c r="I11604" s="26">
        <v>43665.899305555598</v>
      </c>
      <c r="J11604" s="28" t="s">
        <v>51</v>
      </c>
      <c r="K11604" s="28" t="s">
        <v>51</v>
      </c>
      <c r="L11604" s="28" t="s">
        <v>51</v>
      </c>
      <c r="M11604" s="28" t="s">
        <v>51</v>
      </c>
      <c r="N11604" s="28" t="s">
        <v>51</v>
      </c>
    </row>
    <row r="11605" spans="1:14" hidden="1" outlineLevel="1" x14ac:dyDescent="0.15">
      <c r="A11605" s="23" t="str">
        <f>HYPERLINK("https://www.spark-marketing.ru/Card/Person/90697", "МБОУ СОШ № 74")</f>
        <v>МБОУ СОШ № 74</v>
      </c>
      <c r="B11605" s="24" t="s">
        <v>16098</v>
      </c>
      <c r="C11605" s="25">
        <v>3652026</v>
      </c>
      <c r="D11605" s="22" t="s">
        <v>16093</v>
      </c>
      <c r="E11605" s="22" t="s">
        <v>96</v>
      </c>
      <c r="F11605" s="23" t="str">
        <f t="shared" si="327"/>
        <v>Оказание услуг по организации горячего питания школьников на 2019-2020 учебный год</v>
      </c>
      <c r="G11605" s="22" t="s">
        <v>82</v>
      </c>
      <c r="H11605" s="22" t="s">
        <v>83</v>
      </c>
      <c r="I11605" s="26">
        <v>43665.899305555598</v>
      </c>
      <c r="J11605" s="28" t="s">
        <v>51</v>
      </c>
      <c r="K11605" s="28" t="s">
        <v>51</v>
      </c>
      <c r="L11605" s="28" t="s">
        <v>51</v>
      </c>
      <c r="M11605" s="28" t="s">
        <v>51</v>
      </c>
      <c r="N11605" s="28" t="s">
        <v>51</v>
      </c>
    </row>
    <row r="11606" spans="1:14" hidden="1" outlineLevel="1" x14ac:dyDescent="0.15">
      <c r="A11606" s="23" t="str">
        <f>HYPERLINK("https://www.spark-marketing.ru/Card/Person/90725", "МБОУ СОШ №100")</f>
        <v>МБОУ СОШ №100</v>
      </c>
      <c r="B11606" s="24" t="s">
        <v>16099</v>
      </c>
      <c r="C11606" s="25">
        <v>3968601</v>
      </c>
      <c r="D11606" s="22" t="s">
        <v>16093</v>
      </c>
      <c r="E11606" s="22" t="s">
        <v>96</v>
      </c>
      <c r="F11606" s="23" t="str">
        <f t="shared" si="327"/>
        <v>Оказание услуг по организации горячего питания школьников на 2019-2020 учебный год</v>
      </c>
      <c r="G11606" s="22" t="s">
        <v>82</v>
      </c>
      <c r="H11606" s="22" t="s">
        <v>83</v>
      </c>
      <c r="I11606" s="26">
        <v>43665.899305555598</v>
      </c>
      <c r="J11606" s="28" t="s">
        <v>51</v>
      </c>
      <c r="K11606" s="28" t="s">
        <v>51</v>
      </c>
      <c r="L11606" s="28" t="s">
        <v>51</v>
      </c>
      <c r="M11606" s="28" t="s">
        <v>51</v>
      </c>
      <c r="N11606" s="28" t="s">
        <v>51</v>
      </c>
    </row>
    <row r="11607" spans="1:14" hidden="1" outlineLevel="1" x14ac:dyDescent="0.15">
      <c r="A11607" s="23" t="str">
        <f>HYPERLINK("https://www.spark-marketing.ru/Card/Person/90793", "МБОУ ГИМНАЗИЯ № 9")</f>
        <v>МБОУ ГИМНАЗИЯ № 9</v>
      </c>
      <c r="B11607" s="24" t="s">
        <v>16100</v>
      </c>
      <c r="C11607" s="25">
        <v>4406360</v>
      </c>
      <c r="D11607" s="22" t="s">
        <v>16093</v>
      </c>
      <c r="E11607" s="22" t="s">
        <v>96</v>
      </c>
      <c r="F11607" s="23" t="str">
        <f t="shared" si="327"/>
        <v>Оказание услуг по организации горячего питания школьников на 2019-2020 учебный год</v>
      </c>
      <c r="G11607" s="22" t="s">
        <v>82</v>
      </c>
      <c r="H11607" s="22" t="s">
        <v>83</v>
      </c>
      <c r="I11607" s="26">
        <v>43665.899305555598</v>
      </c>
      <c r="J11607" s="28" t="s">
        <v>51</v>
      </c>
      <c r="K11607" s="28" t="s">
        <v>51</v>
      </c>
      <c r="L11607" s="28" t="s">
        <v>51</v>
      </c>
      <c r="M11607" s="28" t="s">
        <v>51</v>
      </c>
      <c r="N11607" s="28" t="s">
        <v>51</v>
      </c>
    </row>
    <row r="11608" spans="1:14" hidden="1" outlineLevel="1" x14ac:dyDescent="0.15">
      <c r="A11608" s="23" t="str">
        <f>HYPERLINK("https://www.spark-marketing.ru/Card/Person/91515", "МБОУ СОШ № 71")</f>
        <v>МБОУ СОШ № 71</v>
      </c>
      <c r="B11608" s="24" t="s">
        <v>16101</v>
      </c>
      <c r="C11608" s="25">
        <v>2719640</v>
      </c>
      <c r="D11608" s="22" t="s">
        <v>16093</v>
      </c>
      <c r="E11608" s="22" t="s">
        <v>96</v>
      </c>
      <c r="F11608" s="23" t="str">
        <f t="shared" si="327"/>
        <v>Оказание услуг по организации горячего питания школьников на 2019-2020 учебный год</v>
      </c>
      <c r="G11608" s="22" t="s">
        <v>82</v>
      </c>
      <c r="H11608" s="22" t="s">
        <v>83</v>
      </c>
      <c r="I11608" s="26">
        <v>43665.899305555598</v>
      </c>
      <c r="J11608" s="28" t="s">
        <v>51</v>
      </c>
      <c r="K11608" s="28" t="s">
        <v>51</v>
      </c>
      <c r="L11608" s="28" t="s">
        <v>51</v>
      </c>
      <c r="M11608" s="28" t="s">
        <v>51</v>
      </c>
      <c r="N11608" s="28" t="s">
        <v>51</v>
      </c>
    </row>
    <row r="11609" spans="1:14" hidden="1" outlineLevel="1" x14ac:dyDescent="0.15">
      <c r="A11609" s="23" t="str">
        <f>HYPERLINK("https://www.spark-marketing.ru/Card/Person/91861", "МБОУ СОШ № 19")</f>
        <v>МБОУ СОШ № 19</v>
      </c>
      <c r="B11609" s="24" t="s">
        <v>16102</v>
      </c>
      <c r="C11609" s="25">
        <v>2673461</v>
      </c>
      <c r="D11609" s="22" t="s">
        <v>16093</v>
      </c>
      <c r="E11609" s="22" t="s">
        <v>96</v>
      </c>
      <c r="F11609" s="23" t="str">
        <f t="shared" si="327"/>
        <v>Оказание услуг по организации горячего питания школьников на 2019-2020 учебный год</v>
      </c>
      <c r="G11609" s="22" t="s">
        <v>82</v>
      </c>
      <c r="H11609" s="22" t="s">
        <v>83</v>
      </c>
      <c r="I11609" s="26">
        <v>43665.899305555598</v>
      </c>
      <c r="J11609" s="28" t="s">
        <v>51</v>
      </c>
      <c r="K11609" s="28" t="s">
        <v>51</v>
      </c>
      <c r="L11609" s="28" t="s">
        <v>51</v>
      </c>
      <c r="M11609" s="28" t="s">
        <v>51</v>
      </c>
      <c r="N11609" s="28" t="s">
        <v>51</v>
      </c>
    </row>
    <row r="11610" spans="1:14" hidden="1" outlineLevel="1" x14ac:dyDescent="0.15">
      <c r="A11610" s="23" t="str">
        <f>HYPERLINK("https://www.spark-marketing.ru/Card/Person/92029", "МБОУ СОШ № 36")</f>
        <v>МБОУ СОШ № 36</v>
      </c>
      <c r="B11610" s="24" t="s">
        <v>16103</v>
      </c>
      <c r="C11610" s="25">
        <v>2585940</v>
      </c>
      <c r="D11610" s="22" t="s">
        <v>16093</v>
      </c>
      <c r="E11610" s="22" t="s">
        <v>96</v>
      </c>
      <c r="F11610" s="23" t="str">
        <f t="shared" si="327"/>
        <v>Оказание услуг по организации горячего питания школьников на 2019-2020 учебный год</v>
      </c>
      <c r="G11610" s="22" t="s">
        <v>82</v>
      </c>
      <c r="H11610" s="22" t="s">
        <v>83</v>
      </c>
      <c r="I11610" s="26">
        <v>43665.899305555598</v>
      </c>
      <c r="J11610" s="28" t="s">
        <v>51</v>
      </c>
      <c r="K11610" s="28" t="s">
        <v>51</v>
      </c>
      <c r="L11610" s="28" t="s">
        <v>51</v>
      </c>
      <c r="M11610" s="28" t="s">
        <v>51</v>
      </c>
      <c r="N11610" s="28" t="s">
        <v>51</v>
      </c>
    </row>
    <row r="11611" spans="1:14" hidden="1" outlineLevel="1" x14ac:dyDescent="0.15">
      <c r="A11611" s="23" t="str">
        <f>HYPERLINK("https://www.spark-marketing.ru/Card/Person/122980", "МБОУ СОШ № 64")</f>
        <v>МБОУ СОШ № 64</v>
      </c>
      <c r="B11611" s="24" t="s">
        <v>16104</v>
      </c>
      <c r="C11611" s="25">
        <v>3937780</v>
      </c>
      <c r="D11611" s="22" t="s">
        <v>16093</v>
      </c>
      <c r="E11611" s="22" t="s">
        <v>96</v>
      </c>
      <c r="F11611" s="23" t="str">
        <f t="shared" si="327"/>
        <v>Оказание услуг по организации горячего питания школьников на 2019-2020 учебный год</v>
      </c>
      <c r="G11611" s="22" t="s">
        <v>82</v>
      </c>
      <c r="H11611" s="22" t="s">
        <v>83</v>
      </c>
      <c r="I11611" s="26">
        <v>43665.899305555598</v>
      </c>
      <c r="J11611" s="28" t="s">
        <v>51</v>
      </c>
      <c r="K11611" s="28" t="s">
        <v>51</v>
      </c>
      <c r="L11611" s="28" t="s">
        <v>51</v>
      </c>
      <c r="M11611" s="28" t="s">
        <v>51</v>
      </c>
      <c r="N11611" s="28" t="s">
        <v>51</v>
      </c>
    </row>
    <row r="11612" spans="1:14" hidden="1" outlineLevel="1" x14ac:dyDescent="0.15">
      <c r="A11612" s="23" t="str">
        <f>HYPERLINK("https://www.spark-marketing.ru/Card/Person/123091", "МБОУ СОШ № 21")</f>
        <v>МБОУ СОШ № 21</v>
      </c>
      <c r="B11612" s="24" t="s">
        <v>16105</v>
      </c>
      <c r="C11612" s="25">
        <v>1871058</v>
      </c>
      <c r="D11612" s="22" t="s">
        <v>16093</v>
      </c>
      <c r="E11612" s="22" t="s">
        <v>96</v>
      </c>
      <c r="F11612" s="23" t="str">
        <f t="shared" si="327"/>
        <v>Оказание услуг по организации горячего питания школьников на 2019-2020 учебный год</v>
      </c>
      <c r="G11612" s="22" t="s">
        <v>82</v>
      </c>
      <c r="H11612" s="22" t="s">
        <v>83</v>
      </c>
      <c r="I11612" s="26">
        <v>43665.899305555598</v>
      </c>
      <c r="J11612" s="28" t="s">
        <v>51</v>
      </c>
      <c r="K11612" s="28" t="s">
        <v>51</v>
      </c>
      <c r="L11612" s="28" t="s">
        <v>51</v>
      </c>
      <c r="M11612" s="28" t="s">
        <v>51</v>
      </c>
      <c r="N11612" s="28" t="s">
        <v>51</v>
      </c>
    </row>
    <row r="11613" spans="1:14" hidden="1" outlineLevel="1" x14ac:dyDescent="0.15">
      <c r="A11613" s="23" t="str">
        <f>HYPERLINK("https://www.spark-marketing.ru/Card/Person/123099", "МБОУ СОШ № 56")</f>
        <v>МБОУ СОШ № 56</v>
      </c>
      <c r="B11613" s="24" t="s">
        <v>16106</v>
      </c>
      <c r="C11613" s="25">
        <v>1727180</v>
      </c>
      <c r="D11613" s="22" t="s">
        <v>16093</v>
      </c>
      <c r="E11613" s="22" t="s">
        <v>96</v>
      </c>
      <c r="F11613" s="23" t="str">
        <f t="shared" si="327"/>
        <v>Оказание услуг по организации горячего питания школьников на 2019-2020 учебный год</v>
      </c>
      <c r="G11613" s="22" t="s">
        <v>82</v>
      </c>
      <c r="H11613" s="22" t="s">
        <v>83</v>
      </c>
      <c r="I11613" s="26">
        <v>43665.899305555598</v>
      </c>
      <c r="J11613" s="28" t="s">
        <v>51</v>
      </c>
      <c r="K11613" s="28" t="s">
        <v>51</v>
      </c>
      <c r="L11613" s="28" t="s">
        <v>51</v>
      </c>
      <c r="M11613" s="28" t="s">
        <v>51</v>
      </c>
      <c r="N11613" s="28" t="s">
        <v>51</v>
      </c>
    </row>
    <row r="11614" spans="1:14" hidden="1" outlineLevel="1" x14ac:dyDescent="0.15">
      <c r="A11614" s="23" t="str">
        <f>HYPERLINK("https://www.spark-marketing.ru/Card/Person/6578430", "МБОУ ""СОШ № 105""")</f>
        <v>МБОУ "СОШ № 105"</v>
      </c>
      <c r="B11614" s="24" t="s">
        <v>16107</v>
      </c>
      <c r="C11614" s="25">
        <v>2759400</v>
      </c>
      <c r="D11614" s="22" t="s">
        <v>16093</v>
      </c>
      <c r="E11614" s="22" t="s">
        <v>96</v>
      </c>
      <c r="F11614" s="23" t="str">
        <f t="shared" si="327"/>
        <v>Оказание услуг по организации горячего питания школьников на 2019-2020 учебный год</v>
      </c>
      <c r="G11614" s="22" t="s">
        <v>82</v>
      </c>
      <c r="H11614" s="22" t="s">
        <v>83</v>
      </c>
      <c r="I11614" s="26">
        <v>43665.899305555598</v>
      </c>
      <c r="J11614" s="28" t="s">
        <v>51</v>
      </c>
      <c r="K11614" s="28" t="s">
        <v>51</v>
      </c>
      <c r="L11614" s="28" t="s">
        <v>51</v>
      </c>
      <c r="M11614" s="28" t="s">
        <v>51</v>
      </c>
      <c r="N11614" s="28" t="s">
        <v>51</v>
      </c>
    </row>
    <row r="11615" spans="1:14" hidden="1" outlineLevel="1" x14ac:dyDescent="0.15">
      <c r="A11615" s="28" t="s">
        <v>51</v>
      </c>
      <c r="B11615" s="28" t="s">
        <v>51</v>
      </c>
      <c r="C11615" s="28" t="s">
        <v>51</v>
      </c>
      <c r="D11615" s="22" t="s">
        <v>16093</v>
      </c>
      <c r="E11615" s="22" t="s">
        <v>96</v>
      </c>
      <c r="F11615" s="23" t="str">
        <f t="shared" si="327"/>
        <v>Оказание услуг по организации горячего питания школьников на 2019-2020 учебный год</v>
      </c>
      <c r="G11615" s="22" t="s">
        <v>51</v>
      </c>
      <c r="H11615" s="22" t="s">
        <v>51</v>
      </c>
      <c r="I11615" s="26">
        <v>43665.899305555598</v>
      </c>
      <c r="J11615" s="23" t="str">
        <f>HYPERLINK("https://www.spark-marketing.ru/Card/Person/59814", "ООО КП ""СОЛНЕЧНЫЙ""")</f>
        <v>ООО КП "СОЛНЕЧНЫЙ"</v>
      </c>
      <c r="K11615" s="24" t="s">
        <v>7783</v>
      </c>
      <c r="L11615" s="28" t="s">
        <v>51</v>
      </c>
      <c r="M11615" s="28" t="s">
        <v>51</v>
      </c>
      <c r="N11615" s="28" t="s">
        <v>51</v>
      </c>
    </row>
    <row r="11616" spans="1:14" hidden="1" outlineLevel="1" x14ac:dyDescent="0.2">
      <c r="A11616" s="28" t="s">
        <v>51</v>
      </c>
      <c r="B11616" s="28" t="s">
        <v>51</v>
      </c>
      <c r="C11616" s="28" t="s">
        <v>51</v>
      </c>
      <c r="D11616" s="22" t="s">
        <v>16093</v>
      </c>
      <c r="E11616" s="22" t="s">
        <v>96</v>
      </c>
      <c r="F11616" s="23" t="str">
        <f t="shared" si="327"/>
        <v>Оказание услуг по организации горячего питания школьников на 2019-2020 учебный год</v>
      </c>
      <c r="G11616" s="22" t="s">
        <v>51</v>
      </c>
      <c r="H11616" s="22" t="s">
        <v>51</v>
      </c>
      <c r="I11616" s="26">
        <v>43665.899305555598</v>
      </c>
      <c r="J11616" s="23" t="str">
        <f>HYPERLINK("https://www.spark-marketing.ru/Card/Person/81010", "ООО ""ТД СПП""")</f>
        <v>ООО "ТД СПП"</v>
      </c>
      <c r="K11616" s="24" t="s">
        <v>7782</v>
      </c>
      <c r="L11616" s="28" t="s">
        <v>51</v>
      </c>
      <c r="M11616" s="25">
        <v>40862283</v>
      </c>
      <c r="N11616" s="27">
        <v>0</v>
      </c>
    </row>
    <row r="11617" spans="1:14" x14ac:dyDescent="0.15">
      <c r="A11617" s="23" t="str">
        <f t="shared" ref="A11617:A11623" si="328">HYPERLINK("https://www.spark-marketing.ru/Card/Person/2252", "УПРАВА РАЙОНА ГОЛЬЯНОВО ГОРОДА МОСКВЫ")</f>
        <v>УПРАВА РАЙОНА ГОЛЬЯНОВО ГОРОДА МОСКВЫ</v>
      </c>
      <c r="B11617" s="24" t="s">
        <v>16108</v>
      </c>
      <c r="C11617" s="25">
        <v>711900</v>
      </c>
      <c r="D11617" s="22" t="s">
        <v>16109</v>
      </c>
      <c r="E11617" s="22" t="s">
        <v>96</v>
      </c>
      <c r="F11617" s="23" t="str">
        <f t="shared" ref="F11617:F11623" si="329">HYPERLINK("https://www.spark-marketing.ru/Card/Lot/72226685", "Оказание услуг по организации питания членов избирательных комиссий района Гольяново города Москвы в рамках материально-технического обеспечения выборов")</f>
        <v>Оказание услуг по организации питания членов избирательных комиссий района Гольяново города Москвы в рамках материально-технического обеспечения выборов</v>
      </c>
      <c r="G11617" s="22" t="s">
        <v>56</v>
      </c>
      <c r="H11617" s="22" t="s">
        <v>56</v>
      </c>
      <c r="I11617" s="26">
        <v>43665.8907175926</v>
      </c>
      <c r="J11617" s="28" t="s">
        <v>51</v>
      </c>
      <c r="K11617" s="28" t="s">
        <v>51</v>
      </c>
      <c r="L11617" s="28" t="s">
        <v>51</v>
      </c>
      <c r="M11617" s="28" t="s">
        <v>51</v>
      </c>
      <c r="N11617" s="28" t="s">
        <v>51</v>
      </c>
    </row>
    <row r="11618" spans="1:14" hidden="1" outlineLevel="1" x14ac:dyDescent="0.2">
      <c r="A11618" s="23" t="str">
        <f t="shared" si="328"/>
        <v>УПРАВА РАЙОНА ГОЛЬЯНОВО ГОРОДА МОСКВЫ</v>
      </c>
      <c r="B11618" s="24" t="s">
        <v>16108</v>
      </c>
      <c r="C11618" s="25">
        <v>711900</v>
      </c>
      <c r="D11618" s="22" t="s">
        <v>16109</v>
      </c>
      <c r="E11618" s="22" t="s">
        <v>96</v>
      </c>
      <c r="F11618" s="23" t="str">
        <f t="shared" si="329"/>
        <v>Оказание услуг по организации питания членов избирательных комиссий района Гольяново города Москвы в рамках материально-технического обеспечения выборов</v>
      </c>
      <c r="G11618" s="22" t="s">
        <v>56</v>
      </c>
      <c r="H11618" s="22" t="s">
        <v>56</v>
      </c>
      <c r="I11618" s="26">
        <v>43665.8907175926</v>
      </c>
      <c r="J11618" s="23" t="str">
        <f>HYPERLINK("https://www.spark-marketing.ru/Card/Person/6604981", "ООО ""ПЕРСПЕКТИВА""")</f>
        <v>ООО "ПЕРСПЕКТИВА"</v>
      </c>
      <c r="K11618" s="24" t="s">
        <v>13150</v>
      </c>
      <c r="L11618" s="28" t="s">
        <v>51</v>
      </c>
      <c r="M11618" s="25">
        <v>494060.5</v>
      </c>
      <c r="N11618" s="27">
        <v>0.30599733108582666</v>
      </c>
    </row>
    <row r="11619" spans="1:14" hidden="1" outlineLevel="1" x14ac:dyDescent="0.2">
      <c r="A11619" s="23" t="str">
        <f t="shared" si="328"/>
        <v>УПРАВА РАЙОНА ГОЛЬЯНОВО ГОРОДА МОСКВЫ</v>
      </c>
      <c r="B11619" s="24" t="s">
        <v>16108</v>
      </c>
      <c r="C11619" s="25">
        <v>711900</v>
      </c>
      <c r="D11619" s="22" t="s">
        <v>16109</v>
      </c>
      <c r="E11619" s="22" t="s">
        <v>96</v>
      </c>
      <c r="F11619" s="23" t="str">
        <f t="shared" si="329"/>
        <v>Оказание услуг по организации питания членов избирательных комиссий района Гольяново города Москвы в рамках материально-технического обеспечения выборов</v>
      </c>
      <c r="G11619" s="22" t="s">
        <v>56</v>
      </c>
      <c r="H11619" s="22" t="s">
        <v>56</v>
      </c>
      <c r="I11619" s="26">
        <v>43665.8907175926</v>
      </c>
      <c r="J11619" s="23" t="str">
        <f>HYPERLINK("https://www.spark-marketing.ru/Card/Person/6635200", "Сушкова Елена Владимировна")</f>
        <v>Сушкова Елена Владимировна</v>
      </c>
      <c r="K11619" s="24" t="s">
        <v>12452</v>
      </c>
      <c r="L11619" s="28" t="s">
        <v>51</v>
      </c>
      <c r="M11619" s="25">
        <v>543893.5</v>
      </c>
      <c r="N11619" s="27">
        <v>0.23599733108582666</v>
      </c>
    </row>
    <row r="11620" spans="1:14" hidden="1" outlineLevel="1" x14ac:dyDescent="0.2">
      <c r="A11620" s="23" t="str">
        <f t="shared" si="328"/>
        <v>УПРАВА РАЙОНА ГОЛЬЯНОВО ГОРОДА МОСКВЫ</v>
      </c>
      <c r="B11620" s="24" t="s">
        <v>16108</v>
      </c>
      <c r="C11620" s="25">
        <v>711900</v>
      </c>
      <c r="D11620" s="22" t="s">
        <v>16109</v>
      </c>
      <c r="E11620" s="22" t="s">
        <v>96</v>
      </c>
      <c r="F11620" s="23" t="str">
        <f t="shared" si="329"/>
        <v>Оказание услуг по организации питания членов избирательных комиссий района Гольяново города Москвы в рамках материально-технического обеспечения выборов</v>
      </c>
      <c r="G11620" s="22" t="s">
        <v>56</v>
      </c>
      <c r="H11620" s="22" t="s">
        <v>56</v>
      </c>
      <c r="I11620" s="26">
        <v>43665.8907175926</v>
      </c>
      <c r="J11620" s="23" t="str">
        <f>HYPERLINK("https://www.spark-marketing.ru/Card/Person/6249615", "ООО ""АЛЬЯНС ПИТАНИЯ""")</f>
        <v>ООО "АЛЬЯНС ПИТАНИЯ"</v>
      </c>
      <c r="K11620" s="24" t="s">
        <v>9696</v>
      </c>
      <c r="L11620" s="28" t="s">
        <v>51</v>
      </c>
      <c r="M11620" s="25">
        <v>511857.99</v>
      </c>
      <c r="N11620" s="27">
        <v>0.28099734513274338</v>
      </c>
    </row>
    <row r="11621" spans="1:14" hidden="1" outlineLevel="1" x14ac:dyDescent="0.2">
      <c r="A11621" s="23" t="str">
        <f t="shared" si="328"/>
        <v>УПРАВА РАЙОНА ГОЛЬЯНОВО ГОРОДА МОСКВЫ</v>
      </c>
      <c r="B11621" s="24" t="s">
        <v>16108</v>
      </c>
      <c r="C11621" s="25">
        <v>711900</v>
      </c>
      <c r="D11621" s="22" t="s">
        <v>16109</v>
      </c>
      <c r="E11621" s="22" t="s">
        <v>96</v>
      </c>
      <c r="F11621" s="23" t="str">
        <f t="shared" si="329"/>
        <v>Оказание услуг по организации питания членов избирательных комиссий района Гольяново города Москвы в рамках материально-технического обеспечения выборов</v>
      </c>
      <c r="G11621" s="22" t="s">
        <v>56</v>
      </c>
      <c r="H11621" s="22" t="s">
        <v>56</v>
      </c>
      <c r="I11621" s="26">
        <v>43665.8907175926</v>
      </c>
      <c r="J11621" s="23" t="str">
        <f>HYPERLINK("https://www.spark-marketing.ru/Card/Person/162438", "ООО ""ТЕХНО-КЛАССИК+""")</f>
        <v>ООО "ТЕХНО-КЛАССИК+"</v>
      </c>
      <c r="K11621" s="24" t="s">
        <v>13857</v>
      </c>
      <c r="L11621" s="28" t="s">
        <v>51</v>
      </c>
      <c r="M11621" s="25">
        <v>662067</v>
      </c>
      <c r="N11621" s="27">
        <v>7.0000000000000007E-2</v>
      </c>
    </row>
    <row r="11622" spans="1:14" ht="12.75" hidden="1" outlineLevel="1" x14ac:dyDescent="0.2">
      <c r="A11622" s="23" t="str">
        <f t="shared" si="328"/>
        <v>УПРАВА РАЙОНА ГОЛЬЯНОВО ГОРОДА МОСКВЫ</v>
      </c>
      <c r="B11622" s="24" t="s">
        <v>16108</v>
      </c>
      <c r="C11622" s="25">
        <v>711900</v>
      </c>
      <c r="D11622" s="22" t="s">
        <v>16109</v>
      </c>
      <c r="E11622" s="22" t="s">
        <v>96</v>
      </c>
      <c r="F11622" s="23" t="str">
        <f t="shared" si="329"/>
        <v>Оказание услуг по организации питания членов избирательных комиссий района Гольяново города Москвы в рамках материально-технического обеспечения выборов</v>
      </c>
      <c r="G11622" s="22" t="s">
        <v>56</v>
      </c>
      <c r="H11622" s="22" t="s">
        <v>56</v>
      </c>
      <c r="I11622" s="26">
        <v>43665.8907175926</v>
      </c>
      <c r="J11622" s="23" t="str">
        <f>HYPERLINK("https://www.spark-marketing.ru/Card/Person/2522181", "ООО ""БАЗИС""")</f>
        <v>ООО "БАЗИС"</v>
      </c>
      <c r="K11622" s="24" t="s">
        <v>16110</v>
      </c>
      <c r="L11622" s="22" t="s">
        <v>10</v>
      </c>
      <c r="M11622" s="25">
        <v>490501</v>
      </c>
      <c r="N11622" s="27">
        <v>0.31099733108582667</v>
      </c>
    </row>
    <row r="11623" spans="1:14" hidden="1" outlineLevel="1" x14ac:dyDescent="0.2">
      <c r="A11623" s="23" t="str">
        <f t="shared" si="328"/>
        <v>УПРАВА РАЙОНА ГОЛЬЯНОВО ГОРОДА МОСКВЫ</v>
      </c>
      <c r="B11623" s="24" t="s">
        <v>16108</v>
      </c>
      <c r="C11623" s="25">
        <v>711900</v>
      </c>
      <c r="D11623" s="22" t="s">
        <v>16109</v>
      </c>
      <c r="E11623" s="22" t="s">
        <v>96</v>
      </c>
      <c r="F11623" s="23" t="str">
        <f t="shared" si="329"/>
        <v>Оказание услуг по организации питания членов избирательных комиссий района Гольяново города Москвы в рамках материально-технического обеспечения выборов</v>
      </c>
      <c r="G11623" s="22" t="s">
        <v>56</v>
      </c>
      <c r="H11623" s="22" t="s">
        <v>56</v>
      </c>
      <c r="I11623" s="26">
        <v>43665.8907175926</v>
      </c>
      <c r="J11623" s="23" t="str">
        <f>HYPERLINK("https://www.spark-marketing.ru/Card/Person/6616233", "ООО ""МСМ""")</f>
        <v>ООО "МСМ"</v>
      </c>
      <c r="K11623" s="24" t="s">
        <v>15454</v>
      </c>
      <c r="L11623" s="28" t="s">
        <v>51</v>
      </c>
      <c r="M11623" s="25">
        <v>615083.5</v>
      </c>
      <c r="N11623" s="27">
        <v>0.13599733108582665</v>
      </c>
    </row>
    <row r="11624" spans="1:14" x14ac:dyDescent="0.15">
      <c r="A11624" s="23" t="str">
        <f>HYPERLINK("https://www.spark-marketing.ru/Card/Person/34895", "УМВД РОССИИ ПО Г. АБАКАНУ")</f>
        <v>УМВД РОССИИ ПО Г. АБАКАНУ</v>
      </c>
      <c r="B11624" s="24" t="s">
        <v>5979</v>
      </c>
      <c r="C11624" s="25">
        <v>1764787.5</v>
      </c>
      <c r="D11624" s="22" t="s">
        <v>16111</v>
      </c>
      <c r="E11624" s="22" t="s">
        <v>48</v>
      </c>
      <c r="F11624" s="23" t="str">
        <f>HYPERLINK("https://www.spark-marketing.ru/Card/Lot/72235914", "Оказание  услуг по организации (приготовить из своих продуктов своими силами и средствами) и  доставке готового питания для, содержащихся в Центре временного содержания иностранных граждан УМВД России по г. Абакану».")</f>
        <v>Оказание  услуг по организации (приготовить из своих продуктов своими силами и средствами) и  доставке готового питания для, содержащихся в Центре временного содержания иностранных граждан УМВД России по г. Абакану».</v>
      </c>
      <c r="G11624" s="22" t="s">
        <v>92</v>
      </c>
      <c r="H11624" s="22" t="s">
        <v>93</v>
      </c>
      <c r="I11624" s="26">
        <v>43665.8381828704</v>
      </c>
      <c r="J11624" s="28" t="s">
        <v>51</v>
      </c>
      <c r="K11624" s="28" t="s">
        <v>51</v>
      </c>
      <c r="L11624" s="28" t="s">
        <v>51</v>
      </c>
      <c r="M11624" s="28" t="s">
        <v>51</v>
      </c>
      <c r="N11624" s="28" t="s">
        <v>51</v>
      </c>
    </row>
    <row r="11625" spans="1:14" x14ac:dyDescent="0.15">
      <c r="A11625" s="23" t="str">
        <f>HYPERLINK("https://www.spark-marketing.ru/Card/Person/10599", "МБУЗ ""ЦРБ"" СЕМИКАРАКОРСКОГО РАЙОНА")</f>
        <v>МБУЗ "ЦРБ" СЕМИКАРАКОРСКОГО РАЙОНА</v>
      </c>
      <c r="B11625" s="24" t="s">
        <v>16112</v>
      </c>
      <c r="C11625" s="25">
        <v>2200948.04</v>
      </c>
      <c r="D11625" s="22" t="s">
        <v>16113</v>
      </c>
      <c r="E11625" s="22" t="s">
        <v>48</v>
      </c>
      <c r="F11625" s="23" t="str">
        <f>HYPERLINK("https://www.spark-marketing.ru/Card/Lot/72238271", "Услуги по доставке и обеспечению готовыми блюдами горячего питания больных стационарных отделений МБУЗ «ЦРБ» Семикаракорского района")</f>
        <v>Услуги по доставке и обеспечению готовыми блюдами горячего питания больных стационарных отделений МБУЗ «ЦРБ» Семикаракорского района</v>
      </c>
      <c r="G11625" s="22" t="s">
        <v>267</v>
      </c>
      <c r="H11625" s="22" t="s">
        <v>267</v>
      </c>
      <c r="I11625" s="26">
        <v>43665.862638888902</v>
      </c>
      <c r="J11625" s="23" t="str">
        <f>HYPERLINK("https://www.spark-marketing.ru/Card/Person/6486474", "Зайцева Яна Сергеевна")</f>
        <v>Зайцева Яна Сергеевна</v>
      </c>
      <c r="K11625" s="24" t="s">
        <v>16114</v>
      </c>
      <c r="L11625" s="22" t="s">
        <v>10</v>
      </c>
      <c r="M11625" s="28" t="s">
        <v>51</v>
      </c>
      <c r="N11625" s="28" t="s">
        <v>51</v>
      </c>
    </row>
    <row r="11626" spans="1:14" x14ac:dyDescent="0.15">
      <c r="A11626" s="23" t="str">
        <f>HYPERLINK("https://www.spark-marketing.ru/Card/Person/34895", "УМВД РОССИИ ПО Г. АБАКАНУ")</f>
        <v>УМВД РОССИИ ПО Г. АБАКАНУ</v>
      </c>
      <c r="B11626" s="24" t="s">
        <v>5979</v>
      </c>
      <c r="C11626" s="25">
        <v>211854</v>
      </c>
      <c r="D11626" s="22" t="s">
        <v>16115</v>
      </c>
      <c r="E11626" s="22" t="s">
        <v>48</v>
      </c>
      <c r="F11626" s="23" t="str">
        <f>HYPERLINK("https://www.spark-marketing.ru/Card/Lot/72235916", "Оказание услуг  по организации готового питания для  задержанных лиц, находящихся в специальном помещении  (более 3-х часов) для нужд УМВД России по г. Абакану")</f>
        <v>Оказание услуг  по организации готового питания для  задержанных лиц, находящихся в специальном помещении  (более 3-х часов) для нужд УМВД России по г. Абакану</v>
      </c>
      <c r="G11626" s="22" t="s">
        <v>92</v>
      </c>
      <c r="H11626" s="22" t="s">
        <v>93</v>
      </c>
      <c r="I11626" s="26">
        <v>43665.856747685197</v>
      </c>
      <c r="J11626" s="28" t="s">
        <v>51</v>
      </c>
      <c r="K11626" s="28" t="s">
        <v>51</v>
      </c>
      <c r="L11626" s="28" t="s">
        <v>51</v>
      </c>
      <c r="M11626" s="28" t="s">
        <v>51</v>
      </c>
      <c r="N11626" s="28" t="s">
        <v>51</v>
      </c>
    </row>
    <row r="11627" spans="1:14" ht="12.75" hidden="1" outlineLevel="1" x14ac:dyDescent="0.2">
      <c r="A11627" s="23" t="str">
        <f>HYPERLINK("https://www.spark-marketing.ru/Card/Person/34895", "УМВД РОССИИ ПО Г. АБАКАНУ")</f>
        <v>УМВД РОССИИ ПО Г. АБАКАНУ</v>
      </c>
      <c r="B11627" s="24" t="s">
        <v>5979</v>
      </c>
      <c r="C11627" s="25">
        <v>211854</v>
      </c>
      <c r="D11627" s="22" t="s">
        <v>16115</v>
      </c>
      <c r="E11627" s="22" t="s">
        <v>48</v>
      </c>
      <c r="F11627" s="23" t="str">
        <f>HYPERLINK("https://www.spark-marketing.ru/Card/Lot/72235916", "Оказание услуг  по организации готового питания для  задержанных лиц, находящихся в специальном помещении  (более 3-х часов) для нужд УМВД России по г. Абакану")</f>
        <v>Оказание услуг  по организации готового питания для  задержанных лиц, находящихся в специальном помещении  (более 3-х часов) для нужд УМВД России по г. Абакану</v>
      </c>
      <c r="G11627" s="22" t="s">
        <v>92</v>
      </c>
      <c r="H11627" s="22" t="s">
        <v>93</v>
      </c>
      <c r="I11627" s="26">
        <v>43665.856747685197</v>
      </c>
      <c r="J11627" s="23" t="str">
        <f>HYPERLINK("https://www.spark-marketing.ru/Card/Person/4948502", "Будаева Ольга Борисовна")</f>
        <v>Будаева Ольга Борисовна</v>
      </c>
      <c r="K11627" s="24" t="s">
        <v>5983</v>
      </c>
      <c r="L11627" s="22" t="s">
        <v>10</v>
      </c>
      <c r="M11627" s="25">
        <v>194905.68</v>
      </c>
      <c r="N11627" s="27">
        <v>0.08</v>
      </c>
    </row>
    <row r="11628" spans="1:14" hidden="1" outlineLevel="1" x14ac:dyDescent="0.2">
      <c r="A11628" s="23" t="str">
        <f>HYPERLINK("https://www.spark-marketing.ru/Card/Person/34895", "УМВД РОССИИ ПО Г. АБАКАНУ")</f>
        <v>УМВД РОССИИ ПО Г. АБАКАНУ</v>
      </c>
      <c r="B11628" s="24" t="s">
        <v>5979</v>
      </c>
      <c r="C11628" s="25">
        <v>211854</v>
      </c>
      <c r="D11628" s="22" t="s">
        <v>16115</v>
      </c>
      <c r="E11628" s="22" t="s">
        <v>48</v>
      </c>
      <c r="F11628" s="23" t="str">
        <f>HYPERLINK("https://www.spark-marketing.ru/Card/Lot/72235916", "Оказание услуг  по организации готового питания для  задержанных лиц, находящихся в специальном помещении  (более 3-х часов) для нужд УМВД России по г. Абакану")</f>
        <v>Оказание услуг  по организации готового питания для  задержанных лиц, находящихся в специальном помещении  (более 3-х часов) для нужд УМВД России по г. Абакану</v>
      </c>
      <c r="G11628" s="22" t="s">
        <v>92</v>
      </c>
      <c r="H11628" s="22" t="s">
        <v>93</v>
      </c>
      <c r="I11628" s="26">
        <v>43665.856747685197</v>
      </c>
      <c r="J11628" s="23" t="str">
        <f>HYPERLINK("https://www.spark-marketing.ru/Card/Person/656154", "ООО ""ЗЕВС""")</f>
        <v>ООО "ЗЕВС"</v>
      </c>
      <c r="K11628" s="24" t="s">
        <v>5981</v>
      </c>
      <c r="L11628" s="28" t="s">
        <v>51</v>
      </c>
      <c r="M11628" s="25">
        <v>195964.95</v>
      </c>
      <c r="N11628" s="27">
        <v>7.4999999999999997E-2</v>
      </c>
    </row>
    <row r="11629" spans="1:14" x14ac:dyDescent="0.15">
      <c r="A11629" s="23" t="str">
        <f>HYPERLINK("https://www.spark-marketing.ru/Card/Person/1071647", "ОМВД РОССИИ ПО Г. ПЫТЬ-ЯХ")</f>
        <v>ОМВД РОССИИ ПО Г. ПЫТЬ-ЯХ</v>
      </c>
      <c r="B11629" s="24" t="s">
        <v>16116</v>
      </c>
      <c r="C11629" s="25">
        <v>1834900</v>
      </c>
      <c r="D11629" s="22" t="s">
        <v>16117</v>
      </c>
      <c r="E11629" s="22" t="s">
        <v>48</v>
      </c>
      <c r="F11629" s="23" t="str">
        <f>HYPERLINK("https://www.spark-marketing.ru/Card/Lot/72237204", "Оказание услуг по организации питания лиц, содержащихся в изоляторе временного содержания и помещениях для административно задержанных")</f>
        <v>Оказание услуг по организации питания лиц, содержащихся в изоляторе временного содержания и помещениях для административно задержанных</v>
      </c>
      <c r="G11629" s="22" t="s">
        <v>97</v>
      </c>
      <c r="H11629" s="22" t="s">
        <v>12638</v>
      </c>
      <c r="I11629" s="26">
        <v>43665.8277199074</v>
      </c>
      <c r="J11629" s="23" t="str">
        <f>HYPERLINK("https://www.spark-marketing.ru/Card/Person/238973", "МУП ""ПЫТЬ-ЯХТОРГСЕРВИС"" МО Г.ПЫТЬ-ЯХ")</f>
        <v>МУП "ПЫТЬ-ЯХТОРГСЕРВИС" МО Г.ПЫТЬ-ЯХ</v>
      </c>
      <c r="K11629" s="24" t="s">
        <v>12639</v>
      </c>
      <c r="L11629" s="22" t="s">
        <v>10</v>
      </c>
      <c r="M11629" s="28" t="s">
        <v>51</v>
      </c>
      <c r="N11629" s="28" t="s">
        <v>51</v>
      </c>
    </row>
    <row r="11630" spans="1:14" x14ac:dyDescent="0.15">
      <c r="A11630" s="23" t="str">
        <f>HYPERLINK("https://www.spark-marketing.ru/Card/Person/34895", "УМВД РОССИИ ПО Г. АБАКАНУ")</f>
        <v>УМВД РОССИИ ПО Г. АБАКАНУ</v>
      </c>
      <c r="B11630" s="24" t="s">
        <v>5979</v>
      </c>
      <c r="C11630" s="25">
        <v>1000000</v>
      </c>
      <c r="D11630" s="22" t="s">
        <v>16118</v>
      </c>
      <c r="E11630" s="22" t="s">
        <v>48</v>
      </c>
      <c r="F11630" s="23" t="str">
        <f>HYPERLINK("https://www.spark-marketing.ru/Card/Lot/72235911", "«Оказание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«Оказание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11630" s="22" t="s">
        <v>92</v>
      </c>
      <c r="H11630" s="22" t="s">
        <v>93</v>
      </c>
      <c r="I11630" s="26">
        <v>43665.7984490741</v>
      </c>
      <c r="J11630" s="28" t="s">
        <v>51</v>
      </c>
      <c r="K11630" s="28" t="s">
        <v>51</v>
      </c>
      <c r="L11630" s="28" t="s">
        <v>51</v>
      </c>
      <c r="M11630" s="28" t="s">
        <v>51</v>
      </c>
      <c r="N11630" s="28" t="s">
        <v>51</v>
      </c>
    </row>
    <row r="11631" spans="1:14" hidden="1" outlineLevel="1" x14ac:dyDescent="0.2">
      <c r="A11631" s="23" t="str">
        <f>HYPERLINK("https://www.spark-marketing.ru/Card/Person/34895", "УМВД РОССИИ ПО Г. АБАКАНУ")</f>
        <v>УМВД РОССИИ ПО Г. АБАКАНУ</v>
      </c>
      <c r="B11631" s="24" t="s">
        <v>5979</v>
      </c>
      <c r="C11631" s="25">
        <v>1000000</v>
      </c>
      <c r="D11631" s="22" t="s">
        <v>16118</v>
      </c>
      <c r="E11631" s="22" t="s">
        <v>48</v>
      </c>
      <c r="F11631" s="23" t="str">
        <f>HYPERLINK("https://www.spark-marketing.ru/Card/Lot/72235911", "«Оказание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«Оказание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11631" s="22" t="s">
        <v>92</v>
      </c>
      <c r="H11631" s="22" t="s">
        <v>93</v>
      </c>
      <c r="I11631" s="26">
        <v>43665.7984490741</v>
      </c>
      <c r="J11631" s="23" t="str">
        <f>HYPERLINK("https://www.spark-marketing.ru/Card/Person/932796", "Шаповаленко Николай Антонович")</f>
        <v>Шаповаленко Николай Антонович</v>
      </c>
      <c r="K11631" s="24" t="s">
        <v>5982</v>
      </c>
      <c r="L11631" s="28" t="s">
        <v>51</v>
      </c>
      <c r="M11631" s="25">
        <v>600000</v>
      </c>
      <c r="N11631" s="27">
        <v>0.4</v>
      </c>
    </row>
    <row r="11632" spans="1:14" hidden="1" outlineLevel="1" x14ac:dyDescent="0.2">
      <c r="A11632" s="23" t="str">
        <f>HYPERLINK("https://www.spark-marketing.ru/Card/Person/34895", "УМВД РОССИИ ПО Г. АБАКАНУ")</f>
        <v>УМВД РОССИИ ПО Г. АБАКАНУ</v>
      </c>
      <c r="B11632" s="24" t="s">
        <v>5979</v>
      </c>
      <c r="C11632" s="25">
        <v>1000000</v>
      </c>
      <c r="D11632" s="22" t="s">
        <v>16118</v>
      </c>
      <c r="E11632" s="22" t="s">
        <v>48</v>
      </c>
      <c r="F11632" s="23" t="str">
        <f>HYPERLINK("https://www.spark-marketing.ru/Card/Lot/72235911", "«Оказание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«Оказание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11632" s="22" t="s">
        <v>92</v>
      </c>
      <c r="H11632" s="22" t="s">
        <v>93</v>
      </c>
      <c r="I11632" s="26">
        <v>43665.7984490741</v>
      </c>
      <c r="J11632" s="23" t="str">
        <f>HYPERLINK("https://www.spark-marketing.ru/Card/Person/656154", "ООО ""ЗЕВС""")</f>
        <v>ООО "ЗЕВС"</v>
      </c>
      <c r="K11632" s="24" t="s">
        <v>5981</v>
      </c>
      <c r="L11632" s="28" t="s">
        <v>51</v>
      </c>
      <c r="M11632" s="25">
        <v>770000</v>
      </c>
      <c r="N11632" s="27">
        <v>0.23</v>
      </c>
    </row>
    <row r="11633" spans="1:14" ht="12.75" hidden="1" outlineLevel="1" x14ac:dyDescent="0.2">
      <c r="A11633" s="23" t="str">
        <f>HYPERLINK("https://www.spark-marketing.ru/Card/Person/34895", "УМВД РОССИИ ПО Г. АБАКАНУ")</f>
        <v>УМВД РОССИИ ПО Г. АБАКАНУ</v>
      </c>
      <c r="B11633" s="24" t="s">
        <v>5979</v>
      </c>
      <c r="C11633" s="25">
        <v>1000000</v>
      </c>
      <c r="D11633" s="22" t="s">
        <v>16118</v>
      </c>
      <c r="E11633" s="22" t="s">
        <v>48</v>
      </c>
      <c r="F11633" s="23" t="str">
        <f>HYPERLINK("https://www.spark-marketing.ru/Card/Lot/72235911", "«Оказание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Абакану")</f>
        <v>«Оказание  услуг по организации (приготовить из своих продуктов своими силами и средствами) и  доставке готового питания для лиц, содержащихся в Изоляторе временного содержания подозреваемых и обвиняемых УМВД России по г. Абакану</v>
      </c>
      <c r="G11633" s="22" t="s">
        <v>92</v>
      </c>
      <c r="H11633" s="22" t="s">
        <v>93</v>
      </c>
      <c r="I11633" s="26">
        <v>43665.7984490741</v>
      </c>
      <c r="J11633" s="23" t="str">
        <f>HYPERLINK("https://www.spark-marketing.ru/Card/Person/4948502", "Будаева Ольга Борисовна")</f>
        <v>Будаева Ольга Борисовна</v>
      </c>
      <c r="K11633" s="24" t="s">
        <v>5983</v>
      </c>
      <c r="L11633" s="22" t="s">
        <v>10</v>
      </c>
      <c r="M11633" s="25">
        <v>595000</v>
      </c>
      <c r="N11633" s="27">
        <v>0.40500000000000003</v>
      </c>
    </row>
    <row r="11634" spans="1:14" x14ac:dyDescent="0.15">
      <c r="A11634" s="23" t="str">
        <f>HYPERLINK("https://www.spark-marketing.ru/Card/Person/1071647", "ОМВД РОССИИ ПО Г. ПЫТЬ-ЯХ")</f>
        <v>ОМВД РОССИИ ПО Г. ПЫТЬ-ЯХ</v>
      </c>
      <c r="B11634" s="24" t="s">
        <v>16116</v>
      </c>
      <c r="C11634" s="25">
        <v>1834900</v>
      </c>
      <c r="D11634" s="22" t="s">
        <v>16119</v>
      </c>
      <c r="E11634" s="22" t="s">
        <v>48</v>
      </c>
      <c r="F11634" s="23" t="str">
        <f>HYPERLINK("https://www.spark-marketing.ru/Card/Lot/72237205", "Оказание услуг по организации питания лиц, содержащихся в изоляторе временного содержания и помещениях для административно задержанных")</f>
        <v>Оказание услуг по организации питания лиц, содержащихся в изоляторе временного содержания и помещениях для административно задержанных</v>
      </c>
      <c r="G11634" s="22" t="s">
        <v>97</v>
      </c>
      <c r="H11634" s="22" t="s">
        <v>12638</v>
      </c>
      <c r="I11634" s="26">
        <v>43665.831979166702</v>
      </c>
      <c r="J11634" s="28" t="s">
        <v>51</v>
      </c>
      <c r="K11634" s="28" t="s">
        <v>51</v>
      </c>
      <c r="L11634" s="28" t="s">
        <v>51</v>
      </c>
      <c r="M11634" s="28" t="s">
        <v>51</v>
      </c>
      <c r="N11634" s="28" t="s">
        <v>51</v>
      </c>
    </row>
    <row r="11635" spans="1:14" x14ac:dyDescent="0.2">
      <c r="A11635" s="23" t="str">
        <f>HYPERLINK("https://www.spark-marketing.ru/Card/Person/4346656", "ФГБУ ""ТЦСКР ""КРЫМСКИЙ""")</f>
        <v>ФГБУ "ТЦСКР "КРЫМСКИЙ"</v>
      </c>
      <c r="B11635" s="24" t="s">
        <v>2225</v>
      </c>
      <c r="C11635" s="25">
        <v>495000</v>
      </c>
      <c r="D11635" s="22" t="s">
        <v>16120</v>
      </c>
      <c r="E11635" s="22" t="s">
        <v>580</v>
      </c>
      <c r="F11635" s="23" t="str">
        <f>HYPERLINK("https://www.spark-marketing.ru/Card/Lot/72230631", "Оказание услуг питания")</f>
        <v>Оказание услуг питания</v>
      </c>
      <c r="G11635" s="22" t="s">
        <v>108</v>
      </c>
      <c r="H11635" s="22" t="s">
        <v>108</v>
      </c>
      <c r="I11635" s="26">
        <v>43665.774305555598</v>
      </c>
      <c r="J11635" s="28" t="s">
        <v>51</v>
      </c>
      <c r="K11635" s="28" t="s">
        <v>51</v>
      </c>
      <c r="L11635" s="28" t="s">
        <v>51</v>
      </c>
      <c r="M11635" s="25">
        <v>495000</v>
      </c>
      <c r="N11635" s="27">
        <v>0</v>
      </c>
    </row>
    <row r="11636" spans="1:14" x14ac:dyDescent="0.15">
      <c r="A11636" s="23" t="str">
        <f>HYPERLINK("https://www.spark-marketing.ru/Card/Person/6582564", "ГАУ РБ ""МОЛОЧНАЯ КУХНЯ""")</f>
        <v>ГАУ РБ "МОЛОЧНАЯ КУХНЯ"</v>
      </c>
      <c r="B11636" s="24" t="s">
        <v>16121</v>
      </c>
      <c r="C11636" s="25">
        <v>250000</v>
      </c>
      <c r="D11636" s="22" t="s">
        <v>16122</v>
      </c>
      <c r="E11636" s="22" t="s">
        <v>16123</v>
      </c>
      <c r="F11636" s="23" t="str">
        <f>HYPERLINK("https://www.spark-marketing.ru/Card/Lot/72230277", "Оказание услуг по разработке проектно-сметной документации объекта ""Молочная кухня детского питания"", г. Нефтекамск")</f>
        <v>Оказание услуг по разработке проектно-сметной документации объекта "Молочная кухня детского питания", г. Нефтекамск</v>
      </c>
      <c r="G11636" s="22" t="s">
        <v>145</v>
      </c>
      <c r="H11636" s="22" t="s">
        <v>145</v>
      </c>
      <c r="I11636" s="26">
        <v>43665.758275462998</v>
      </c>
      <c r="J11636" s="28" t="s">
        <v>51</v>
      </c>
      <c r="K11636" s="28" t="s">
        <v>51</v>
      </c>
      <c r="L11636" s="28" t="s">
        <v>51</v>
      </c>
      <c r="M11636" s="28" t="s">
        <v>51</v>
      </c>
      <c r="N11636" s="28" t="s">
        <v>51</v>
      </c>
    </row>
    <row r="11637" spans="1:14" x14ac:dyDescent="0.15">
      <c r="A11637" s="23" t="str">
        <f>HYPERLINK("https://www.spark-marketing.ru/Card/Person/6582564", "ГАУ РБ ""МОЛОЧНАЯ КУХНЯ""")</f>
        <v>ГАУ РБ "МОЛОЧНАЯ КУХНЯ"</v>
      </c>
      <c r="B11637" s="24" t="s">
        <v>16121</v>
      </c>
      <c r="C11637" s="25">
        <v>340000</v>
      </c>
      <c r="D11637" s="22" t="s">
        <v>16124</v>
      </c>
      <c r="E11637" s="22" t="s">
        <v>16123</v>
      </c>
      <c r="F11637" s="23" t="str">
        <f>HYPERLINK("https://www.spark-marketing.ru/Card/Lot/72230251", "Оказание услуг по разработке проектно-сметной документации объекта ""Молочная кухня детского питания"", г. Октябрьский")</f>
        <v>Оказание услуг по разработке проектно-сметной документации объекта "Молочная кухня детского питания", г. Октябрьский</v>
      </c>
      <c r="G11637" s="22" t="s">
        <v>145</v>
      </c>
      <c r="H11637" s="22" t="s">
        <v>145</v>
      </c>
      <c r="I11637" s="26">
        <v>43665.754837963003</v>
      </c>
      <c r="J11637" s="28" t="s">
        <v>51</v>
      </c>
      <c r="K11637" s="28" t="s">
        <v>51</v>
      </c>
      <c r="L11637" s="28" t="s">
        <v>51</v>
      </c>
      <c r="M11637" s="28" t="s">
        <v>51</v>
      </c>
      <c r="N11637" s="28" t="s">
        <v>51</v>
      </c>
    </row>
    <row r="11638" spans="1:14" x14ac:dyDescent="0.15">
      <c r="A11638" s="23" t="str">
        <f>HYPERLINK("https://www.spark-marketing.ru/Card/Person/5904504", "ГБУЗ ""ОДКБ""")</f>
        <v>ГБУЗ "ОДКБ"</v>
      </c>
      <c r="B11638" s="24" t="s">
        <v>2289</v>
      </c>
      <c r="C11638" s="25">
        <v>469297.8</v>
      </c>
      <c r="D11638" s="22" t="s">
        <v>16125</v>
      </c>
      <c r="E11638" s="22" t="s">
        <v>336</v>
      </c>
      <c r="F11638" s="23" t="str">
        <f>HYPERLINK("https://www.spark-marketing.ru/Card/Lot/72236779", "на поставку детского питания")</f>
        <v>на поставку детского питания</v>
      </c>
      <c r="G11638" s="22" t="s">
        <v>132</v>
      </c>
      <c r="H11638" s="22" t="s">
        <v>587</v>
      </c>
      <c r="I11638" s="26">
        <v>43665.764201388898</v>
      </c>
      <c r="J11638" s="28" t="s">
        <v>51</v>
      </c>
      <c r="K11638" s="28" t="s">
        <v>51</v>
      </c>
      <c r="L11638" s="28" t="s">
        <v>51</v>
      </c>
      <c r="M11638" s="28" t="s">
        <v>51</v>
      </c>
      <c r="N11638" s="28" t="s">
        <v>51</v>
      </c>
    </row>
    <row r="11639" spans="1:14" x14ac:dyDescent="0.2">
      <c r="A11639" s="23" t="str">
        <f>HYPERLINK("https://www.spark-marketing.ru/Card/Person/87590", "КГАУ СШ ХКЦРХ ""АМУР""")</f>
        <v>КГАУ СШ ХКЦРХ "АМУР"</v>
      </c>
      <c r="B11639" s="24" t="s">
        <v>16126</v>
      </c>
      <c r="C11639" s="25">
        <v>1286100</v>
      </c>
      <c r="D11639" s="22" t="s">
        <v>16127</v>
      </c>
      <c r="E11639" s="22" t="s">
        <v>769</v>
      </c>
      <c r="F11639" s="23" t="str">
        <f>HYPERLINK("https://www.spark-marketing.ru/Card/Lot/72231120", "Оказание услуг по размещению и питанию хоккейных команд ""Амур ЮХЛ, ""Амур 2003-2004"" (гостиничные услуги)")</f>
        <v>Оказание услуг по размещению и питанию хоккейных команд "Амур ЮХЛ, "Амур 2003-2004" (гостиничные услуги)</v>
      </c>
      <c r="G11639" s="22" t="s">
        <v>1096</v>
      </c>
      <c r="H11639" s="22" t="s">
        <v>1096</v>
      </c>
      <c r="I11639" s="26">
        <v>43665.763414351903</v>
      </c>
      <c r="J11639" s="28" t="s">
        <v>51</v>
      </c>
      <c r="K11639" s="28" t="s">
        <v>51</v>
      </c>
      <c r="L11639" s="28" t="s">
        <v>51</v>
      </c>
      <c r="M11639" s="25">
        <v>1286100</v>
      </c>
      <c r="N11639" s="27">
        <v>0</v>
      </c>
    </row>
    <row r="11640" spans="1:14" x14ac:dyDescent="0.15">
      <c r="A11640" s="23" t="str">
        <f>HYPERLINK("https://www.spark-marketing.ru/Card/Person/34720", "ФКУ ""ЦХИСО УМВД РОССИИ ПО ТВЕРСКОЙ ОБЛАСТИ""")</f>
        <v>ФКУ "ЦХИСО УМВД РОССИИ ПО ТВЕРСКОЙ ОБЛАСТИ"</v>
      </c>
      <c r="B11640" s="24" t="s">
        <v>16128</v>
      </c>
      <c r="C11640" s="25">
        <v>180000</v>
      </c>
      <c r="D11640" s="22" t="s">
        <v>16129</v>
      </c>
      <c r="E11640" s="22" t="s">
        <v>91</v>
      </c>
      <c r="F11640" s="23" t="str">
        <f>HYPERLINK("https://www.spark-marketing.ru/Card/Lot/72240573", "Оказание услуг по восстановлению работоспособности источников бесперебойного питания")</f>
        <v>Оказание услуг по восстановлению работоспособности источников бесперебойного питания</v>
      </c>
      <c r="G11640" s="22" t="s">
        <v>137</v>
      </c>
      <c r="H11640" s="22" t="s">
        <v>137</v>
      </c>
      <c r="I11640" s="26">
        <v>43665.7572685185</v>
      </c>
      <c r="J11640" s="28" t="s">
        <v>51</v>
      </c>
      <c r="K11640" s="28" t="s">
        <v>51</v>
      </c>
      <c r="L11640" s="28" t="s">
        <v>51</v>
      </c>
      <c r="M11640" s="28" t="s">
        <v>51</v>
      </c>
      <c r="N11640" s="28" t="s">
        <v>51</v>
      </c>
    </row>
    <row r="11641" spans="1:14" x14ac:dyDescent="0.15">
      <c r="A11641" s="23" t="str">
        <f>HYPERLINK("https://www.spark-marketing.ru/Card/Person/18785", "ОГБУЗ ""ОБЛАСТНАЯ БОЛЬНИЦА""")</f>
        <v>ОГБУЗ "ОБЛАСТНАЯ БОЛЬНИЦА"</v>
      </c>
      <c r="B11641" s="24" t="s">
        <v>9921</v>
      </c>
      <c r="C11641" s="25">
        <v>5000000</v>
      </c>
      <c r="D11641" s="22" t="s">
        <v>16130</v>
      </c>
      <c r="E11641" s="22" t="s">
        <v>86</v>
      </c>
      <c r="F11641" s="23" t="str">
        <f>HYPERLINK("https://www.spark-marketing.ru/Card/Lot/72212781", "Оказание услуг по обеспечению Заказчика лекарственными препаратами, медицинскими изделиями (за исключением оборудования и комплектующих к нему), специализированными продуктами лечебного питания")</f>
        <v>Оказание услуг по обеспечению Заказчика лекарственными препаратами, медицинскими изделиями (за исключением оборудования и комплектующих к нему), специализированными продуктами лечебного питания</v>
      </c>
      <c r="G11641" s="22" t="s">
        <v>4451</v>
      </c>
      <c r="H11641" s="22" t="s">
        <v>4452</v>
      </c>
      <c r="I11641" s="26">
        <v>43665.738900463002</v>
      </c>
      <c r="J11641" s="28" t="s">
        <v>51</v>
      </c>
      <c r="K11641" s="28" t="s">
        <v>51</v>
      </c>
      <c r="L11641" s="28" t="s">
        <v>51</v>
      </c>
      <c r="M11641" s="28" t="s">
        <v>51</v>
      </c>
      <c r="N11641" s="28" t="s">
        <v>51</v>
      </c>
    </row>
    <row r="11642" spans="1:14" x14ac:dyDescent="0.15">
      <c r="A11642" s="23" t="str">
        <f>HYPERLINK("https://www.spark-marketing.ru/Card/Person/1065155", "МБОУ СЛОБОДСКАЯ СОШ")</f>
        <v>МБОУ СЛОБОДСКАЯ СОШ</v>
      </c>
      <c r="B11642" s="24" t="s">
        <v>16131</v>
      </c>
      <c r="C11642" s="25">
        <v>29206.799999999999</v>
      </c>
      <c r="D11642" s="22" t="s">
        <v>16132</v>
      </c>
      <c r="E11642" s="22" t="s">
        <v>464</v>
      </c>
      <c r="F11642" s="23" t="str">
        <f>HYPERLINK("https://www.spark-marketing.ru/Card/Lot/72223434", "услуга по поставке молока (далее по тексту - Товар) для питания детей дошкольного и школьного возраста")</f>
        <v>услуга по поставке молока (далее по тексту - Товар) для питания детей дошкольного и школьного возраста</v>
      </c>
      <c r="G11642" s="22" t="s">
        <v>267</v>
      </c>
      <c r="H11642" s="22" t="s">
        <v>10641</v>
      </c>
      <c r="I11642" s="26">
        <v>43665.713888888902</v>
      </c>
      <c r="J11642" s="28" t="s">
        <v>51</v>
      </c>
      <c r="K11642" s="28" t="s">
        <v>51</v>
      </c>
      <c r="L11642" s="28" t="s">
        <v>51</v>
      </c>
      <c r="M11642" s="28" t="s">
        <v>51</v>
      </c>
      <c r="N11642" s="28" t="s">
        <v>51</v>
      </c>
    </row>
    <row r="11643" spans="1:14" x14ac:dyDescent="0.15">
      <c r="A11643" s="23" t="str">
        <f>HYPERLINK("https://www.spark-marketing.ru/Card/Person/18481", "ФГУП ""РОСРАО""")</f>
        <v>ФГУП "РОСРАО"</v>
      </c>
      <c r="B11643" s="24" t="s">
        <v>2882</v>
      </c>
      <c r="C11643" s="25">
        <v>768924</v>
      </c>
      <c r="D11643" s="22" t="s">
        <v>16133</v>
      </c>
      <c r="E11643" s="22" t="s">
        <v>48</v>
      </c>
      <c r="F11643" s="23" t="str">
        <f>HYPERLINK("https://www.spark-marketing.ru/Card/Lot/72225455", "оказание услуг по организации и обеспечению лечебно-профилактическим питанием работников занятых на работах с вредными условиями труда Казанского отделения филиала «Приволжский территориальный округ» ФГУП «РосРАО»")</f>
        <v>оказание услуг по организации и обеспечению лечебно-профилактическим питанием работников занятых на работах с вредными условиями труда Казанского отделения филиала «Приволжский территориальный округ» ФГУП «РосРАО»</v>
      </c>
      <c r="G11643" s="22" t="s">
        <v>217</v>
      </c>
      <c r="H11643" s="22" t="s">
        <v>937</v>
      </c>
      <c r="I11643" s="26">
        <v>43665.725335648101</v>
      </c>
      <c r="J11643" s="23" t="str">
        <f>HYPERLINK("https://www.spark-marketing.ru/Card/Person/2288929", "ООО ""ВЕРСАЛЪ""")</f>
        <v>ООО "ВЕРСАЛЪ"</v>
      </c>
      <c r="K11643" s="24" t="s">
        <v>2878</v>
      </c>
      <c r="L11643" s="22" t="s">
        <v>10</v>
      </c>
      <c r="M11643" s="28" t="s">
        <v>51</v>
      </c>
      <c r="N11643" s="28" t="s">
        <v>51</v>
      </c>
    </row>
    <row r="11644" spans="1:14" x14ac:dyDescent="0.2">
      <c r="A11644" s="23" t="s">
        <v>114</v>
      </c>
      <c r="B11644" s="28" t="s">
        <v>51</v>
      </c>
      <c r="C11644" s="25">
        <v>30671516</v>
      </c>
      <c r="D11644" s="22" t="s">
        <v>16134</v>
      </c>
      <c r="E11644" s="22" t="s">
        <v>48</v>
      </c>
      <c r="F11644" s="23" t="str">
        <f>HYPERLINK("https://www.spark-marketing.ru/Card/Lot/72224751", "Оказание услуг по организации питания учащихся в 2019-2021 гг.")</f>
        <v>Оказание услуг по организации питания учащихся в 2019-2021 гг.</v>
      </c>
      <c r="G11644" s="22" t="s">
        <v>51</v>
      </c>
      <c r="H11644" s="22" t="s">
        <v>51</v>
      </c>
      <c r="I11644" s="26">
        <v>43665.716666666704</v>
      </c>
      <c r="J11644" s="23" t="str">
        <f t="shared" ref="J11644:J11657" si="330">HYPERLINK("https://www.spark-marketing.ru/Card/Person/103647", "АО ""КСП ""ВОЛНА""")</f>
        <v>АО "КСП "ВОЛНА"</v>
      </c>
      <c r="K11644" s="24" t="s">
        <v>5446</v>
      </c>
      <c r="L11644" s="28" t="s">
        <v>51</v>
      </c>
      <c r="M11644" s="25">
        <v>30671516</v>
      </c>
      <c r="N11644" s="27">
        <v>0</v>
      </c>
    </row>
    <row r="11645" spans="1:14" hidden="1" outlineLevel="1" x14ac:dyDescent="0.2">
      <c r="A11645" s="23" t="str">
        <f>HYPERLINK("https://www.spark-marketing.ru/Card/Person/26195", "ГБОУ ГИМНАЗИЯ №513 НЕВСКОГО РАЙОНА САНКТ-ПЕТЕРБУРГА")</f>
        <v>ГБОУ ГИМНАЗИЯ №513 НЕВСКОГО РАЙОНА САНКТ-ПЕТЕРБУРГА</v>
      </c>
      <c r="B11645" s="24" t="s">
        <v>16135</v>
      </c>
      <c r="C11645" s="25">
        <v>15160840</v>
      </c>
      <c r="D11645" s="22" t="s">
        <v>16134</v>
      </c>
      <c r="E11645" s="22" t="s">
        <v>48</v>
      </c>
      <c r="F11645" s="23" t="str">
        <f>HYPERLINK("https://www.spark-marketing.ru/Card/Lot/72224751", "Оказание услуг по организации питания учащихся в 2019-2021 гг.")</f>
        <v>Оказание услуг по организации питания учащихся в 2019-2021 гг.</v>
      </c>
      <c r="G11645" s="22" t="s">
        <v>117</v>
      </c>
      <c r="H11645" s="22" t="s">
        <v>117</v>
      </c>
      <c r="I11645" s="26">
        <v>43665.716666666704</v>
      </c>
      <c r="J11645" s="23" t="str">
        <f t="shared" si="330"/>
        <v>АО "КСП "ВОЛНА"</v>
      </c>
      <c r="K11645" s="24" t="s">
        <v>5446</v>
      </c>
      <c r="L11645" s="28" t="s">
        <v>51</v>
      </c>
      <c r="M11645" s="28" t="s">
        <v>51</v>
      </c>
      <c r="N11645" s="27">
        <v>0</v>
      </c>
    </row>
    <row r="11646" spans="1:14" hidden="1" outlineLevel="1" x14ac:dyDescent="0.2">
      <c r="A11646" s="23" t="str">
        <f>HYPERLINK("https://www.spark-marketing.ru/Card/Person/93972", "ГБОУ ШКОЛА № 497 НЕВСКОГО РАЙОНА САНКТ-ПЕТЕРБУРГА")</f>
        <v>ГБОУ ШКОЛА № 497 НЕВСКОГО РАЙОНА САНКТ-ПЕТЕРБУРГА</v>
      </c>
      <c r="B11646" s="24" t="s">
        <v>16136</v>
      </c>
      <c r="C11646" s="25">
        <v>15510676</v>
      </c>
      <c r="D11646" s="22" t="s">
        <v>16134</v>
      </c>
      <c r="E11646" s="22" t="s">
        <v>48</v>
      </c>
      <c r="F11646" s="23" t="str">
        <f>HYPERLINK("https://www.spark-marketing.ru/Card/Lot/72224751", "Оказание услуг по организации питания учащихся в 2019-2021 гг.")</f>
        <v>Оказание услуг по организации питания учащихся в 2019-2021 гг.</v>
      </c>
      <c r="G11646" s="22" t="s">
        <v>117</v>
      </c>
      <c r="H11646" s="22" t="s">
        <v>117</v>
      </c>
      <c r="I11646" s="26">
        <v>43665.716666666704</v>
      </c>
      <c r="J11646" s="23" t="str">
        <f t="shared" si="330"/>
        <v>АО "КСП "ВОЛНА"</v>
      </c>
      <c r="K11646" s="24" t="s">
        <v>5446</v>
      </c>
      <c r="L11646" s="28" t="s">
        <v>51</v>
      </c>
      <c r="M11646" s="28" t="s">
        <v>51</v>
      </c>
      <c r="N11646" s="27">
        <v>0</v>
      </c>
    </row>
    <row r="11647" spans="1:14" x14ac:dyDescent="0.2">
      <c r="A11647" s="23" t="s">
        <v>114</v>
      </c>
      <c r="B11647" s="28" t="s">
        <v>51</v>
      </c>
      <c r="C11647" s="25">
        <v>39893372</v>
      </c>
      <c r="D11647" s="22" t="s">
        <v>16137</v>
      </c>
      <c r="E11647" s="22" t="s">
        <v>48</v>
      </c>
      <c r="F11647" s="23" t="str">
        <f>HYPERLINK("https://www.spark-marketing.ru/Card/Lot/72225158", "Оказание услуг по организации питания учащихся в 2019-2021 гг.")</f>
        <v>Оказание услуг по организации питания учащихся в 2019-2021 гг.</v>
      </c>
      <c r="G11647" s="22" t="s">
        <v>51</v>
      </c>
      <c r="H11647" s="22" t="s">
        <v>51</v>
      </c>
      <c r="I11647" s="26">
        <v>43665.717361111099</v>
      </c>
      <c r="J11647" s="23" t="str">
        <f t="shared" si="330"/>
        <v>АО "КСП "ВОЛНА"</v>
      </c>
      <c r="K11647" s="24" t="s">
        <v>5446</v>
      </c>
      <c r="L11647" s="28" t="s">
        <v>51</v>
      </c>
      <c r="M11647" s="25">
        <v>39893372</v>
      </c>
      <c r="N11647" s="27">
        <v>0</v>
      </c>
    </row>
    <row r="11648" spans="1:14" hidden="1" outlineLevel="1" x14ac:dyDescent="0.2">
      <c r="A11648" s="23" t="str">
        <f>HYPERLINK("https://www.spark-marketing.ru/Card/Person/88975", "ГБОУ ШКОЛА № 667 НЕВСКОГО РАЙОНА САНКТ-ПЕТЕРБУРГА")</f>
        <v>ГБОУ ШКОЛА № 667 НЕВСКОГО РАЙОНА САНКТ-ПЕТЕРБУРГА</v>
      </c>
      <c r="B11648" s="24" t="s">
        <v>16138</v>
      </c>
      <c r="C11648" s="25">
        <v>16871933</v>
      </c>
      <c r="D11648" s="22" t="s">
        <v>16137</v>
      </c>
      <c r="E11648" s="22" t="s">
        <v>48</v>
      </c>
      <c r="F11648" s="23" t="str">
        <f>HYPERLINK("https://www.spark-marketing.ru/Card/Lot/72225158", "Оказание услуг по организации питания учащихся в 2019-2021 гг.")</f>
        <v>Оказание услуг по организации питания учащихся в 2019-2021 гг.</v>
      </c>
      <c r="G11648" s="22" t="s">
        <v>117</v>
      </c>
      <c r="H11648" s="22" t="s">
        <v>117</v>
      </c>
      <c r="I11648" s="26">
        <v>43665.717361111099</v>
      </c>
      <c r="J11648" s="23" t="str">
        <f t="shared" si="330"/>
        <v>АО "КСП "ВОЛНА"</v>
      </c>
      <c r="K11648" s="24" t="s">
        <v>5446</v>
      </c>
      <c r="L11648" s="28" t="s">
        <v>51</v>
      </c>
      <c r="M11648" s="28" t="s">
        <v>51</v>
      </c>
      <c r="N11648" s="27">
        <v>0</v>
      </c>
    </row>
    <row r="11649" spans="1:14" hidden="1" outlineLevel="1" x14ac:dyDescent="0.2">
      <c r="A11649" s="23" t="str">
        <f>HYPERLINK("https://www.spark-marketing.ru/Card/Person/94023", "ГБОУ ГИМНАЗИЯ № 528 НЕВСКОГО РАЙОНА САНКТ-ПЕТЕРБУРГА")</f>
        <v>ГБОУ ГИМНАЗИЯ № 528 НЕВСКОГО РАЙОНА САНКТ-ПЕТЕРБУРГА</v>
      </c>
      <c r="B11649" s="24" t="s">
        <v>16139</v>
      </c>
      <c r="C11649" s="25">
        <v>23021439</v>
      </c>
      <c r="D11649" s="22" t="s">
        <v>16137</v>
      </c>
      <c r="E11649" s="22" t="s">
        <v>48</v>
      </c>
      <c r="F11649" s="23" t="str">
        <f>HYPERLINK("https://www.spark-marketing.ru/Card/Lot/72225158", "Оказание услуг по организации питания учащихся в 2019-2021 гг.")</f>
        <v>Оказание услуг по организации питания учащихся в 2019-2021 гг.</v>
      </c>
      <c r="G11649" s="22" t="s">
        <v>117</v>
      </c>
      <c r="H11649" s="22" t="s">
        <v>117</v>
      </c>
      <c r="I11649" s="26">
        <v>43665.717361111099</v>
      </c>
      <c r="J11649" s="23" t="str">
        <f t="shared" si="330"/>
        <v>АО "КСП "ВОЛНА"</v>
      </c>
      <c r="K11649" s="24" t="s">
        <v>5446</v>
      </c>
      <c r="L11649" s="28" t="s">
        <v>51</v>
      </c>
      <c r="M11649" s="28" t="s">
        <v>51</v>
      </c>
      <c r="N11649" s="27">
        <v>0</v>
      </c>
    </row>
    <row r="11650" spans="1:14" x14ac:dyDescent="0.2">
      <c r="A11650" s="23" t="s">
        <v>114</v>
      </c>
      <c r="B11650" s="28" t="s">
        <v>51</v>
      </c>
      <c r="C11650" s="25">
        <v>38061586</v>
      </c>
      <c r="D11650" s="22" t="s">
        <v>16140</v>
      </c>
      <c r="E11650" s="22" t="s">
        <v>48</v>
      </c>
      <c r="F11650" s="23" t="str">
        <f>HYPERLINK("https://www.spark-marketing.ru/Card/Lot/72224753", "Оказание услуг по организации питания учащихся в 2019-2021 гг.")</f>
        <v>Оказание услуг по организации питания учащихся в 2019-2021 гг.</v>
      </c>
      <c r="G11650" s="22" t="s">
        <v>51</v>
      </c>
      <c r="H11650" s="22" t="s">
        <v>51</v>
      </c>
      <c r="I11650" s="26">
        <v>43665.716666666704</v>
      </c>
      <c r="J11650" s="23" t="str">
        <f t="shared" si="330"/>
        <v>АО "КСП "ВОЛНА"</v>
      </c>
      <c r="K11650" s="24" t="s">
        <v>5446</v>
      </c>
      <c r="L11650" s="28" t="s">
        <v>51</v>
      </c>
      <c r="M11650" s="25">
        <v>38061586</v>
      </c>
      <c r="N11650" s="27">
        <v>0</v>
      </c>
    </row>
    <row r="11651" spans="1:14" hidden="1" outlineLevel="1" x14ac:dyDescent="0.2">
      <c r="A11651" s="23" t="str">
        <f>HYPERLINK("https://www.spark-marketing.ru/Card/Person/47030", "ГБОУ НАЧАЛЬНАЯ ШКОЛА № 689 НЕВСКОГО РАЙОНА САНКТ-ПЕТЕРБУРГА")</f>
        <v>ГБОУ НАЧАЛЬНАЯ ШКОЛА № 689 НЕВСКОГО РАЙОНА САНКТ-ПЕТЕРБУРГА</v>
      </c>
      <c r="B11651" s="24" t="s">
        <v>16141</v>
      </c>
      <c r="C11651" s="25">
        <v>5046112</v>
      </c>
      <c r="D11651" s="22" t="s">
        <v>16140</v>
      </c>
      <c r="E11651" s="22" t="s">
        <v>48</v>
      </c>
      <c r="F11651" s="23" t="str">
        <f>HYPERLINK("https://www.spark-marketing.ru/Card/Lot/72224753", "Оказание услуг по организации питания учащихся в 2019-2021 гг.")</f>
        <v>Оказание услуг по организации питания учащихся в 2019-2021 гг.</v>
      </c>
      <c r="G11651" s="22" t="s">
        <v>117</v>
      </c>
      <c r="H11651" s="22" t="s">
        <v>117</v>
      </c>
      <c r="I11651" s="26">
        <v>43665.716666666704</v>
      </c>
      <c r="J11651" s="23" t="str">
        <f t="shared" si="330"/>
        <v>АО "КСП "ВОЛНА"</v>
      </c>
      <c r="K11651" s="24" t="s">
        <v>5446</v>
      </c>
      <c r="L11651" s="28" t="s">
        <v>51</v>
      </c>
      <c r="M11651" s="28" t="s">
        <v>51</v>
      </c>
      <c r="N11651" s="27">
        <v>0</v>
      </c>
    </row>
    <row r="11652" spans="1:14" hidden="1" outlineLevel="1" x14ac:dyDescent="0.2">
      <c r="A11652" s="23" t="str">
        <f>HYPERLINK("https://www.spark-marketing.ru/Card/Person/101139", "ГБОУ ШКОЛА № 327 НЕВСКОГО РАЙОНА САНКТ-ПЕТЕРБУРГА")</f>
        <v>ГБОУ ШКОЛА № 327 НЕВСКОГО РАЙОНА САНКТ-ПЕТЕРБУРГА</v>
      </c>
      <c r="B11652" s="24" t="s">
        <v>16142</v>
      </c>
      <c r="C11652" s="25">
        <v>16504553</v>
      </c>
      <c r="D11652" s="22" t="s">
        <v>16140</v>
      </c>
      <c r="E11652" s="22" t="s">
        <v>48</v>
      </c>
      <c r="F11652" s="23" t="str">
        <f>HYPERLINK("https://www.spark-marketing.ru/Card/Lot/72224753", "Оказание услуг по организации питания учащихся в 2019-2021 гг.")</f>
        <v>Оказание услуг по организации питания учащихся в 2019-2021 гг.</v>
      </c>
      <c r="G11652" s="22" t="s">
        <v>117</v>
      </c>
      <c r="H11652" s="22" t="s">
        <v>117</v>
      </c>
      <c r="I11652" s="26">
        <v>43665.716666666704</v>
      </c>
      <c r="J11652" s="23" t="str">
        <f t="shared" si="330"/>
        <v>АО "КСП "ВОЛНА"</v>
      </c>
      <c r="K11652" s="24" t="s">
        <v>5446</v>
      </c>
      <c r="L11652" s="28" t="s">
        <v>51</v>
      </c>
      <c r="M11652" s="28" t="s">
        <v>51</v>
      </c>
      <c r="N11652" s="27">
        <v>0</v>
      </c>
    </row>
    <row r="11653" spans="1:14" hidden="1" outlineLevel="1" x14ac:dyDescent="0.2">
      <c r="A11653" s="23" t="str">
        <f>HYPERLINK("https://www.spark-marketing.ru/Card/Person/4855534", "ГБОУ ШКОЛА № 690 НЕВСКОГО РАЙОНА САНКТ-ПЕТЕРБУРГА")</f>
        <v>ГБОУ ШКОЛА № 690 НЕВСКОГО РАЙОНА САНКТ-ПЕТЕРБУРГА</v>
      </c>
      <c r="B11653" s="24" t="s">
        <v>16143</v>
      </c>
      <c r="C11653" s="25">
        <v>16510921</v>
      </c>
      <c r="D11653" s="22" t="s">
        <v>16140</v>
      </c>
      <c r="E11653" s="22" t="s">
        <v>48</v>
      </c>
      <c r="F11653" s="23" t="str">
        <f>HYPERLINK("https://www.spark-marketing.ru/Card/Lot/72224753", "Оказание услуг по организации питания учащихся в 2019-2021 гг.")</f>
        <v>Оказание услуг по организации питания учащихся в 2019-2021 гг.</v>
      </c>
      <c r="G11653" s="22" t="s">
        <v>117</v>
      </c>
      <c r="H11653" s="22" t="s">
        <v>117</v>
      </c>
      <c r="I11653" s="26">
        <v>43665.716666666704</v>
      </c>
      <c r="J11653" s="23" t="str">
        <f t="shared" si="330"/>
        <v>АО "КСП "ВОЛНА"</v>
      </c>
      <c r="K11653" s="24" t="s">
        <v>5446</v>
      </c>
      <c r="L11653" s="28" t="s">
        <v>51</v>
      </c>
      <c r="M11653" s="28" t="s">
        <v>51</v>
      </c>
      <c r="N11653" s="27">
        <v>0</v>
      </c>
    </row>
    <row r="11654" spans="1:14" x14ac:dyDescent="0.2">
      <c r="A11654" s="23" t="s">
        <v>114</v>
      </c>
      <c r="B11654" s="28" t="s">
        <v>51</v>
      </c>
      <c r="C11654" s="25">
        <v>39966334</v>
      </c>
      <c r="D11654" s="22" t="s">
        <v>16144</v>
      </c>
      <c r="E11654" s="22" t="s">
        <v>48</v>
      </c>
      <c r="F11654" s="23" t="str">
        <f>HYPERLINK("https://www.spark-marketing.ru/Card/Lot/72224762", "Оказание услуг по организации питания учащихся в 2019-2021 гг.")</f>
        <v>Оказание услуг по организации питания учащихся в 2019-2021 гг.</v>
      </c>
      <c r="G11654" s="22" t="s">
        <v>51</v>
      </c>
      <c r="H11654" s="22" t="s">
        <v>51</v>
      </c>
      <c r="I11654" s="26">
        <v>43665.715972222199</v>
      </c>
      <c r="J11654" s="23" t="str">
        <f t="shared" si="330"/>
        <v>АО "КСП "ВОЛНА"</v>
      </c>
      <c r="K11654" s="24" t="s">
        <v>5446</v>
      </c>
      <c r="L11654" s="28" t="s">
        <v>51</v>
      </c>
      <c r="M11654" s="25">
        <v>39966334</v>
      </c>
      <c r="N11654" s="27">
        <v>0</v>
      </c>
    </row>
    <row r="11655" spans="1:14" hidden="1" outlineLevel="1" x14ac:dyDescent="0.2">
      <c r="A11655" s="23" t="str">
        <f>HYPERLINK("https://www.spark-marketing.ru/Card/Person/38498", "ГБОУ СОШ № 458 С УГЛУБЛЕННЫМ ИЗУЧЕНИЕМ НЕМЕЦКОГО ЯЗЫКА НЕВСКОГО РАЙОНА САНКТ-ПЕТЕРБУРГА")</f>
        <v>ГБОУ СОШ № 458 С УГЛУБЛЕННЫМ ИЗУЧЕНИЕМ НЕМЕЦКОГО ЯЗЫКА НЕВСКОГО РАЙОНА САНКТ-ПЕТЕРБУРГА</v>
      </c>
      <c r="B11655" s="24" t="s">
        <v>16145</v>
      </c>
      <c r="C11655" s="25">
        <v>15138764</v>
      </c>
      <c r="D11655" s="22" t="s">
        <v>16144</v>
      </c>
      <c r="E11655" s="22" t="s">
        <v>48</v>
      </c>
      <c r="F11655" s="23" t="str">
        <f>HYPERLINK("https://www.spark-marketing.ru/Card/Lot/72224762", "Оказание услуг по организации питания учащихся в 2019-2021 гг.")</f>
        <v>Оказание услуг по организации питания учащихся в 2019-2021 гг.</v>
      </c>
      <c r="G11655" s="22" t="s">
        <v>117</v>
      </c>
      <c r="H11655" s="22" t="s">
        <v>117</v>
      </c>
      <c r="I11655" s="26">
        <v>43665.715972222199</v>
      </c>
      <c r="J11655" s="23" t="str">
        <f t="shared" si="330"/>
        <v>АО "КСП "ВОЛНА"</v>
      </c>
      <c r="K11655" s="24" t="s">
        <v>5446</v>
      </c>
      <c r="L11655" s="28" t="s">
        <v>51</v>
      </c>
      <c r="M11655" s="28" t="s">
        <v>51</v>
      </c>
      <c r="N11655" s="27">
        <v>0</v>
      </c>
    </row>
    <row r="11656" spans="1:14" hidden="1" outlineLevel="1" x14ac:dyDescent="0.2">
      <c r="A11656" s="23" t="str">
        <f>HYPERLINK("https://www.spark-marketing.ru/Card/Person/93607", "ГБОУ ШКОЛА № 34 НЕВСКОГО РАЙОНА САНКТ-ПЕТЕРБУРГА")</f>
        <v>ГБОУ ШКОЛА № 34 НЕВСКОГО РАЙОНА САНКТ-ПЕТЕРБУРГА</v>
      </c>
      <c r="B11656" s="24" t="s">
        <v>16146</v>
      </c>
      <c r="C11656" s="25">
        <v>15106280</v>
      </c>
      <c r="D11656" s="22" t="s">
        <v>16144</v>
      </c>
      <c r="E11656" s="22" t="s">
        <v>48</v>
      </c>
      <c r="F11656" s="23" t="str">
        <f>HYPERLINK("https://www.spark-marketing.ru/Card/Lot/72224762", "Оказание услуг по организации питания учащихся в 2019-2021 гг.")</f>
        <v>Оказание услуг по организации питания учащихся в 2019-2021 гг.</v>
      </c>
      <c r="G11656" s="22" t="s">
        <v>117</v>
      </c>
      <c r="H11656" s="22" t="s">
        <v>117</v>
      </c>
      <c r="I11656" s="26">
        <v>43665.715972222199</v>
      </c>
      <c r="J11656" s="23" t="str">
        <f t="shared" si="330"/>
        <v>АО "КСП "ВОЛНА"</v>
      </c>
      <c r="K11656" s="24" t="s">
        <v>5446</v>
      </c>
      <c r="L11656" s="28" t="s">
        <v>51</v>
      </c>
      <c r="M11656" s="28" t="s">
        <v>51</v>
      </c>
      <c r="N11656" s="27">
        <v>0</v>
      </c>
    </row>
    <row r="11657" spans="1:14" hidden="1" outlineLevel="1" x14ac:dyDescent="0.2">
      <c r="A11657" s="23" t="str">
        <f>HYPERLINK("https://www.spark-marketing.ru/Card/Person/93765", "ГБОУ ШКОЛА № 627 НЕВСКОГО РАЙОНА САНКТ-ПЕТЕРБУРГА")</f>
        <v>ГБОУ ШКОЛА № 627 НЕВСКОГО РАЙОНА САНКТ-ПЕТЕРБУРГА</v>
      </c>
      <c r="B11657" s="24" t="s">
        <v>16147</v>
      </c>
      <c r="C11657" s="25">
        <v>9721290</v>
      </c>
      <c r="D11657" s="22" t="s">
        <v>16144</v>
      </c>
      <c r="E11657" s="22" t="s">
        <v>48</v>
      </c>
      <c r="F11657" s="23" t="str">
        <f>HYPERLINK("https://www.spark-marketing.ru/Card/Lot/72224762", "Оказание услуг по организации питания учащихся в 2019-2021 гг.")</f>
        <v>Оказание услуг по организации питания учащихся в 2019-2021 гг.</v>
      </c>
      <c r="G11657" s="22" t="s">
        <v>117</v>
      </c>
      <c r="H11657" s="22" t="s">
        <v>117</v>
      </c>
      <c r="I11657" s="26">
        <v>43665.715972222199</v>
      </c>
      <c r="J11657" s="23" t="str">
        <f t="shared" si="330"/>
        <v>АО "КСП "ВОЛНА"</v>
      </c>
      <c r="K11657" s="24" t="s">
        <v>5446</v>
      </c>
      <c r="L11657" s="28" t="s">
        <v>51</v>
      </c>
      <c r="M11657" s="28" t="s">
        <v>51</v>
      </c>
      <c r="N11657" s="27">
        <v>0</v>
      </c>
    </row>
    <row r="11658" spans="1:14" x14ac:dyDescent="0.2">
      <c r="A11658" s="23" t="str">
        <f>HYPERLINK("https://www.spark-marketing.ru/Card/Person/1516729", "МАОУ АПРЕЛЕВСКАЯ СОШ №1")</f>
        <v>МАОУ АПРЕЛЕВСКАЯ СОШ №1</v>
      </c>
      <c r="B11658" s="24" t="s">
        <v>16148</v>
      </c>
      <c r="C11658" s="25">
        <v>3597000</v>
      </c>
      <c r="D11658" s="22" t="s">
        <v>16149</v>
      </c>
      <c r="E11658" s="22" t="s">
        <v>13935</v>
      </c>
      <c r="F11658" s="23" t="str">
        <f>HYPERLINK("https://www.spark-marketing.ru/Card/Lot/72228126", "Оказание услуг по организации рационального горячего питания")</f>
        <v>Оказание услуг по организации рационального горячего питания</v>
      </c>
      <c r="G11658" s="22" t="s">
        <v>49</v>
      </c>
      <c r="H11658" s="22" t="s">
        <v>49</v>
      </c>
      <c r="I11658" s="26">
        <v>43665.730243055601</v>
      </c>
      <c r="J11658" s="28" t="s">
        <v>51</v>
      </c>
      <c r="K11658" s="28" t="s">
        <v>51</v>
      </c>
      <c r="L11658" s="22" t="s">
        <v>10</v>
      </c>
      <c r="M11658" s="25">
        <v>3592725</v>
      </c>
      <c r="N11658" s="27">
        <v>1.188490408673895E-3</v>
      </c>
    </row>
    <row r="11659" spans="1:14" x14ac:dyDescent="0.15">
      <c r="A11659" s="23" t="str">
        <f>HYPERLINK("https://www.spark-marketing.ru/Card/Person/108727", "МБОУ ""ДСОШ № 5""")</f>
        <v>МБОУ "ДСОШ № 5"</v>
      </c>
      <c r="B11659" s="24" t="s">
        <v>16150</v>
      </c>
      <c r="C11659" s="25">
        <v>5531198.2000000002</v>
      </c>
      <c r="D11659" s="22" t="s">
        <v>16151</v>
      </c>
      <c r="E11659" s="22" t="s">
        <v>96</v>
      </c>
      <c r="F11659" s="23" t="str">
        <f>HYPERLINK("https://www.spark-marketing.ru/Card/Lot/72226673", "Услуга по организации питания детей из малоимущих семей, малоимущих многодетных семей, детей с ограниченными возможностями здоровья.")</f>
        <v>Услуга по организации питания детей из малоимущих семей, малоимущих многодетных семей, детей с ограниченными возможностями здоровья.</v>
      </c>
      <c r="G11659" s="22" t="s">
        <v>153</v>
      </c>
      <c r="H11659" s="22" t="s">
        <v>153</v>
      </c>
      <c r="I11659" s="26">
        <v>43665.668368055602</v>
      </c>
      <c r="J11659" s="23" t="str">
        <f>HYPERLINK("https://www.spark-marketing.ru/Card/Person/780799", "Сырчикова Любовь Герасимовна")</f>
        <v>Сырчикова Любовь Герасимовна</v>
      </c>
      <c r="K11659" s="24" t="s">
        <v>16152</v>
      </c>
      <c r="L11659" s="22" t="s">
        <v>10</v>
      </c>
      <c r="M11659" s="28" t="s">
        <v>51</v>
      </c>
      <c r="N11659" s="28" t="s">
        <v>51</v>
      </c>
    </row>
    <row r="11660" spans="1:14" x14ac:dyDescent="0.2">
      <c r="A11660" s="23" t="s">
        <v>114</v>
      </c>
      <c r="B11660" s="28" t="s">
        <v>51</v>
      </c>
      <c r="C11660" s="25">
        <v>39318932</v>
      </c>
      <c r="D11660" s="22" t="s">
        <v>16153</v>
      </c>
      <c r="E11660" s="22" t="s">
        <v>48</v>
      </c>
      <c r="F11660" s="23" t="str">
        <f>HYPERLINK("https://www.spark-marketing.ru/Card/Lot/72224756", "Оказание услуг по организации питания учащихся в 2019-2021 гг.")</f>
        <v>Оказание услуг по организации питания учащихся в 2019-2021 гг.</v>
      </c>
      <c r="G11660" s="22" t="s">
        <v>51</v>
      </c>
      <c r="H11660" s="22" t="s">
        <v>51</v>
      </c>
      <c r="I11660" s="26">
        <v>43665.702777777798</v>
      </c>
      <c r="J11660" s="23" t="str">
        <f t="shared" ref="J11660:J11675" si="331">HYPERLINK("https://www.spark-marketing.ru/Card/Person/103647", "АО ""КСП ""ВОЛНА""")</f>
        <v>АО "КСП "ВОЛНА"</v>
      </c>
      <c r="K11660" s="24" t="s">
        <v>5446</v>
      </c>
      <c r="L11660" s="28" t="s">
        <v>51</v>
      </c>
      <c r="M11660" s="25">
        <v>39318932</v>
      </c>
      <c r="N11660" s="27">
        <v>0</v>
      </c>
    </row>
    <row r="11661" spans="1:14" hidden="1" outlineLevel="1" x14ac:dyDescent="0.2">
      <c r="A11661" s="23" t="str">
        <f>HYPERLINK("https://www.spark-marketing.ru/Card/Person/27513", "ГБОУ ШКОЛА № 341 НЕВСКОГО РАЙОНА САНКТ-ПЕТЕРБУРГА")</f>
        <v>ГБОУ ШКОЛА № 341 НЕВСКОГО РАЙОНА САНКТ-ПЕТЕРБУРГА</v>
      </c>
      <c r="B11661" s="24" t="s">
        <v>16154</v>
      </c>
      <c r="C11661" s="25">
        <v>13033663</v>
      </c>
      <c r="D11661" s="22" t="s">
        <v>16153</v>
      </c>
      <c r="E11661" s="22" t="s">
        <v>48</v>
      </c>
      <c r="F11661" s="23" t="str">
        <f>HYPERLINK("https://www.spark-marketing.ru/Card/Lot/72224756", "Оказание услуг по организации питания учащихся в 2019-2021 гг.")</f>
        <v>Оказание услуг по организации питания учащихся в 2019-2021 гг.</v>
      </c>
      <c r="G11661" s="22" t="s">
        <v>117</v>
      </c>
      <c r="H11661" s="22" t="s">
        <v>117</v>
      </c>
      <c r="I11661" s="26">
        <v>43665.702777777798</v>
      </c>
      <c r="J11661" s="23" t="str">
        <f t="shared" si="331"/>
        <v>АО "КСП "ВОЛНА"</v>
      </c>
      <c r="K11661" s="24" t="s">
        <v>5446</v>
      </c>
      <c r="L11661" s="28" t="s">
        <v>51</v>
      </c>
      <c r="M11661" s="28" t="s">
        <v>51</v>
      </c>
      <c r="N11661" s="27">
        <v>0</v>
      </c>
    </row>
    <row r="11662" spans="1:14" hidden="1" outlineLevel="1" x14ac:dyDescent="0.2">
      <c r="A11662" s="23" t="str">
        <f>HYPERLINK("https://www.spark-marketing.ru/Card/Person/89175", "ГБОУ СОШ № 625 НЕВСКОГО РАЙОНА САНКТ-ПЕТЕРБУРГА")</f>
        <v>ГБОУ СОШ № 625 НЕВСКОГО РАЙОНА САНКТ-ПЕТЕРБУРГА</v>
      </c>
      <c r="B11662" s="24" t="s">
        <v>16155</v>
      </c>
      <c r="C11662" s="25">
        <v>13242187</v>
      </c>
      <c r="D11662" s="22" t="s">
        <v>16153</v>
      </c>
      <c r="E11662" s="22" t="s">
        <v>48</v>
      </c>
      <c r="F11662" s="23" t="str">
        <f>HYPERLINK("https://www.spark-marketing.ru/Card/Lot/72224756", "Оказание услуг по организации питания учащихся в 2019-2021 гг.")</f>
        <v>Оказание услуг по организации питания учащихся в 2019-2021 гг.</v>
      </c>
      <c r="G11662" s="22" t="s">
        <v>117</v>
      </c>
      <c r="H11662" s="22" t="s">
        <v>117</v>
      </c>
      <c r="I11662" s="26">
        <v>43665.702777777798</v>
      </c>
      <c r="J11662" s="23" t="str">
        <f t="shared" si="331"/>
        <v>АО "КСП "ВОЛНА"</v>
      </c>
      <c r="K11662" s="24" t="s">
        <v>5446</v>
      </c>
      <c r="L11662" s="28" t="s">
        <v>51</v>
      </c>
      <c r="M11662" s="28" t="s">
        <v>51</v>
      </c>
      <c r="N11662" s="27">
        <v>0</v>
      </c>
    </row>
    <row r="11663" spans="1:14" hidden="1" outlineLevel="1" x14ac:dyDescent="0.2">
      <c r="A11663" s="23" t="str">
        <f>HYPERLINK("https://www.spark-marketing.ru/Card/Person/136218", "ГБОУ СОШ № 323 НЕВСКОГО РАЙОНА САНКТ-ПЕТЕРБУРГА")</f>
        <v>ГБОУ СОШ № 323 НЕВСКОГО РАЙОНА САНКТ-ПЕТЕРБУРГА</v>
      </c>
      <c r="B11663" s="24" t="s">
        <v>16156</v>
      </c>
      <c r="C11663" s="25">
        <v>13043082</v>
      </c>
      <c r="D11663" s="22" t="s">
        <v>16153</v>
      </c>
      <c r="E11663" s="22" t="s">
        <v>48</v>
      </c>
      <c r="F11663" s="23" t="str">
        <f>HYPERLINK("https://www.spark-marketing.ru/Card/Lot/72224756", "Оказание услуг по организации питания учащихся в 2019-2021 гг.")</f>
        <v>Оказание услуг по организации питания учащихся в 2019-2021 гг.</v>
      </c>
      <c r="G11663" s="22" t="s">
        <v>117</v>
      </c>
      <c r="H11663" s="22" t="s">
        <v>117</v>
      </c>
      <c r="I11663" s="26">
        <v>43665.702777777798</v>
      </c>
      <c r="J11663" s="23" t="str">
        <f t="shared" si="331"/>
        <v>АО "КСП "ВОЛНА"</v>
      </c>
      <c r="K11663" s="24" t="s">
        <v>5446</v>
      </c>
      <c r="L11663" s="28" t="s">
        <v>51</v>
      </c>
      <c r="M11663" s="28" t="s">
        <v>51</v>
      </c>
      <c r="N11663" s="27">
        <v>0</v>
      </c>
    </row>
    <row r="11664" spans="1:14" x14ac:dyDescent="0.2">
      <c r="A11664" s="23" t="s">
        <v>114</v>
      </c>
      <c r="B11664" s="28" t="s">
        <v>51</v>
      </c>
      <c r="C11664" s="25">
        <v>39935599</v>
      </c>
      <c r="D11664" s="22" t="s">
        <v>16157</v>
      </c>
      <c r="E11664" s="22" t="s">
        <v>48</v>
      </c>
      <c r="F11664" s="23" t="str">
        <f>HYPERLINK("https://www.spark-marketing.ru/Card/Lot/72224761", "Оказание услуг по организации питания учащихся в 2019-2021 гг.")</f>
        <v>Оказание услуг по организации питания учащихся в 2019-2021 гг.</v>
      </c>
      <c r="G11664" s="22" t="s">
        <v>51</v>
      </c>
      <c r="H11664" s="22" t="s">
        <v>51</v>
      </c>
      <c r="I11664" s="26">
        <v>43665.704861111102</v>
      </c>
      <c r="J11664" s="23" t="str">
        <f t="shared" si="331"/>
        <v>АО "КСП "ВОЛНА"</v>
      </c>
      <c r="K11664" s="24" t="s">
        <v>5446</v>
      </c>
      <c r="L11664" s="28" t="s">
        <v>51</v>
      </c>
      <c r="M11664" s="25">
        <v>39935599</v>
      </c>
      <c r="N11664" s="27">
        <v>0</v>
      </c>
    </row>
    <row r="11665" spans="1:14" hidden="1" outlineLevel="1" x14ac:dyDescent="0.2">
      <c r="A11665" s="23" t="str">
        <f>HYPERLINK("https://www.spark-marketing.ru/Card/Person/22250", "ГБОУ СОШ №512 НЕВСКОГО РАЙОНА САНКТ-ПЕТЕРБУРГА")</f>
        <v>ГБОУ СОШ №512 НЕВСКОГО РАЙОНА САНКТ-ПЕТЕРБУРГА</v>
      </c>
      <c r="B11665" s="24" t="s">
        <v>16158</v>
      </c>
      <c r="C11665" s="25">
        <v>9912037</v>
      </c>
      <c r="D11665" s="22" t="s">
        <v>16157</v>
      </c>
      <c r="E11665" s="22" t="s">
        <v>48</v>
      </c>
      <c r="F11665" s="23" t="str">
        <f>HYPERLINK("https://www.spark-marketing.ru/Card/Lot/72224761", "Оказание услуг по организации питания учащихся в 2019-2021 гг.")</f>
        <v>Оказание услуг по организации питания учащихся в 2019-2021 гг.</v>
      </c>
      <c r="G11665" s="22" t="s">
        <v>117</v>
      </c>
      <c r="H11665" s="22" t="s">
        <v>117</v>
      </c>
      <c r="I11665" s="26">
        <v>43665.704861111102</v>
      </c>
      <c r="J11665" s="23" t="str">
        <f t="shared" si="331"/>
        <v>АО "КСП "ВОЛНА"</v>
      </c>
      <c r="K11665" s="24" t="s">
        <v>5446</v>
      </c>
      <c r="L11665" s="28" t="s">
        <v>51</v>
      </c>
      <c r="M11665" s="28" t="s">
        <v>51</v>
      </c>
      <c r="N11665" s="27">
        <v>0</v>
      </c>
    </row>
    <row r="11666" spans="1:14" hidden="1" outlineLevel="1" x14ac:dyDescent="0.2">
      <c r="A11666" s="23" t="str">
        <f>HYPERLINK("https://www.spark-marketing.ru/Card/Person/22493", "ГБОУ ШКОЛА №571 С УГЛУБЛЕННЫМ ИЗУЧЕНИЕМ АНГЛИЙСКОГО ЯЗЫКА НЕВСКОГО РАЙОНА САНКТ-ПЕТЕРБУРГА")</f>
        <v>ГБОУ ШКОЛА №571 С УГЛУБЛЕННЫМ ИЗУЧЕНИЕМ АНГЛИЙСКОГО ЯЗЫКА НЕВСКОГО РАЙОНА САНКТ-ПЕТЕРБУРГА</v>
      </c>
      <c r="B11666" s="24" t="s">
        <v>16159</v>
      </c>
      <c r="C11666" s="25">
        <v>11521594</v>
      </c>
      <c r="D11666" s="22" t="s">
        <v>16157</v>
      </c>
      <c r="E11666" s="22" t="s">
        <v>48</v>
      </c>
      <c r="F11666" s="23" t="str">
        <f>HYPERLINK("https://www.spark-marketing.ru/Card/Lot/72224761", "Оказание услуг по организации питания учащихся в 2019-2021 гг.")</f>
        <v>Оказание услуг по организации питания учащихся в 2019-2021 гг.</v>
      </c>
      <c r="G11666" s="22" t="s">
        <v>117</v>
      </c>
      <c r="H11666" s="22" t="s">
        <v>117</v>
      </c>
      <c r="I11666" s="26">
        <v>43665.704861111102</v>
      </c>
      <c r="J11666" s="23" t="str">
        <f t="shared" si="331"/>
        <v>АО "КСП "ВОЛНА"</v>
      </c>
      <c r="K11666" s="24" t="s">
        <v>5446</v>
      </c>
      <c r="L11666" s="28" t="s">
        <v>51</v>
      </c>
      <c r="M11666" s="28" t="s">
        <v>51</v>
      </c>
      <c r="N11666" s="27">
        <v>0</v>
      </c>
    </row>
    <row r="11667" spans="1:14" hidden="1" outlineLevel="1" x14ac:dyDescent="0.2">
      <c r="A11667" s="23" t="str">
        <f>HYPERLINK("https://www.spark-marketing.ru/Card/Person/88987", "ГБОУ ШКОЛА № 26 С УГЛУБЛЕННЫМ ИЗУЧЕНИЕМ ФРАНЦУЗСКОГО ЯЗЫКА НЕВСКОГО РАЙОНА САНКТ-ПЕТЕРБУРГА")</f>
        <v>ГБОУ ШКОЛА № 26 С УГЛУБЛЕННЫМ ИЗУЧЕНИЕМ ФРАНЦУЗСКОГО ЯЗЫКА НЕВСКОГО РАЙОНА САНКТ-ПЕТЕРБУРГА</v>
      </c>
      <c r="B11667" s="24" t="s">
        <v>16160</v>
      </c>
      <c r="C11667" s="25">
        <v>9962047</v>
      </c>
      <c r="D11667" s="22" t="s">
        <v>16157</v>
      </c>
      <c r="E11667" s="22" t="s">
        <v>48</v>
      </c>
      <c r="F11667" s="23" t="str">
        <f>HYPERLINK("https://www.spark-marketing.ru/Card/Lot/72224761", "Оказание услуг по организации питания учащихся в 2019-2021 гг.")</f>
        <v>Оказание услуг по организации питания учащихся в 2019-2021 гг.</v>
      </c>
      <c r="G11667" s="22" t="s">
        <v>117</v>
      </c>
      <c r="H11667" s="22" t="s">
        <v>117</v>
      </c>
      <c r="I11667" s="26">
        <v>43665.704861111102</v>
      </c>
      <c r="J11667" s="23" t="str">
        <f t="shared" si="331"/>
        <v>АО "КСП "ВОЛНА"</v>
      </c>
      <c r="K11667" s="24" t="s">
        <v>5446</v>
      </c>
      <c r="L11667" s="28" t="s">
        <v>51</v>
      </c>
      <c r="M11667" s="28" t="s">
        <v>51</v>
      </c>
      <c r="N11667" s="27">
        <v>0</v>
      </c>
    </row>
    <row r="11668" spans="1:14" hidden="1" outlineLevel="1" x14ac:dyDescent="0.2">
      <c r="A11668" s="23" t="str">
        <f>HYPERLINK("https://www.spark-marketing.ru/Card/Person/130104", "ГБОУ ШКОЛА №39 НЕВСКОГО РАЙОНА САНКТ-ПЕТЕРБУРГА")</f>
        <v>ГБОУ ШКОЛА №39 НЕВСКОГО РАЙОНА САНКТ-ПЕТЕРБУРГА</v>
      </c>
      <c r="B11668" s="24" t="s">
        <v>16161</v>
      </c>
      <c r="C11668" s="25">
        <v>8539921</v>
      </c>
      <c r="D11668" s="22" t="s">
        <v>16157</v>
      </c>
      <c r="E11668" s="22" t="s">
        <v>48</v>
      </c>
      <c r="F11668" s="23" t="str">
        <f>HYPERLINK("https://www.spark-marketing.ru/Card/Lot/72224761", "Оказание услуг по организации питания учащихся в 2019-2021 гг.")</f>
        <v>Оказание услуг по организации питания учащихся в 2019-2021 гг.</v>
      </c>
      <c r="G11668" s="22" t="s">
        <v>117</v>
      </c>
      <c r="H11668" s="22" t="s">
        <v>117</v>
      </c>
      <c r="I11668" s="26">
        <v>43665.704861111102</v>
      </c>
      <c r="J11668" s="23" t="str">
        <f t="shared" si="331"/>
        <v>АО "КСП "ВОЛНА"</v>
      </c>
      <c r="K11668" s="24" t="s">
        <v>5446</v>
      </c>
      <c r="L11668" s="28" t="s">
        <v>51</v>
      </c>
      <c r="M11668" s="28" t="s">
        <v>51</v>
      </c>
      <c r="N11668" s="27">
        <v>0</v>
      </c>
    </row>
    <row r="11669" spans="1:14" x14ac:dyDescent="0.2">
      <c r="A11669" s="23" t="s">
        <v>114</v>
      </c>
      <c r="B11669" s="28" t="s">
        <v>51</v>
      </c>
      <c r="C11669" s="25">
        <v>26059786</v>
      </c>
      <c r="D11669" s="22" t="s">
        <v>16162</v>
      </c>
      <c r="E11669" s="22" t="s">
        <v>48</v>
      </c>
      <c r="F11669" s="23" t="str">
        <f>HYPERLINK("https://www.spark-marketing.ru/Card/Lot/72224749", "Оказание услуг по организации питания учащихся в 2019-2021 гг.")</f>
        <v>Оказание услуг по организации питания учащихся в 2019-2021 гг.</v>
      </c>
      <c r="G11669" s="22" t="s">
        <v>51</v>
      </c>
      <c r="H11669" s="22" t="s">
        <v>51</v>
      </c>
      <c r="I11669" s="26">
        <v>43665.706944444399</v>
      </c>
      <c r="J11669" s="23" t="str">
        <f t="shared" si="331"/>
        <v>АО "КСП "ВОЛНА"</v>
      </c>
      <c r="K11669" s="24" t="s">
        <v>5446</v>
      </c>
      <c r="L11669" s="28" t="s">
        <v>51</v>
      </c>
      <c r="M11669" s="25">
        <v>26059786</v>
      </c>
      <c r="N11669" s="27">
        <v>0</v>
      </c>
    </row>
    <row r="11670" spans="1:14" hidden="1" outlineLevel="1" x14ac:dyDescent="0.2">
      <c r="A11670" s="23" t="str">
        <f>HYPERLINK("https://www.spark-marketing.ru/Card/Person/91000", "ГБОУ ШКОЛА №574 НЕВСКОГО РАЙОНА САНКТ-ПЕТЕРБУРГА")</f>
        <v>ГБОУ ШКОЛА №574 НЕВСКОГО РАЙОНА САНКТ-ПЕТЕРБУРГА</v>
      </c>
      <c r="B11670" s="24" t="s">
        <v>16163</v>
      </c>
      <c r="C11670" s="25">
        <v>13028324</v>
      </c>
      <c r="D11670" s="22" t="s">
        <v>16162</v>
      </c>
      <c r="E11670" s="22" t="s">
        <v>48</v>
      </c>
      <c r="F11670" s="23" t="str">
        <f>HYPERLINK("https://www.spark-marketing.ru/Card/Lot/72224749", "Оказание услуг по организации питания учащихся в 2019-2021 гг.")</f>
        <v>Оказание услуг по организации питания учащихся в 2019-2021 гг.</v>
      </c>
      <c r="G11670" s="22" t="s">
        <v>117</v>
      </c>
      <c r="H11670" s="22" t="s">
        <v>117</v>
      </c>
      <c r="I11670" s="26">
        <v>43665.706944444399</v>
      </c>
      <c r="J11670" s="23" t="str">
        <f t="shared" si="331"/>
        <v>АО "КСП "ВОЛНА"</v>
      </c>
      <c r="K11670" s="24" t="s">
        <v>5446</v>
      </c>
      <c r="L11670" s="28" t="s">
        <v>51</v>
      </c>
      <c r="M11670" s="28" t="s">
        <v>51</v>
      </c>
      <c r="N11670" s="27">
        <v>0</v>
      </c>
    </row>
    <row r="11671" spans="1:14" hidden="1" outlineLevel="1" x14ac:dyDescent="0.2">
      <c r="A11671" s="23" t="str">
        <f>HYPERLINK("https://www.spark-marketing.ru/Card/Person/119665", "ГБОУ ШКОЛА №569 НЕВСКОГО РАЙОНА САНКТ-ПЕТЕРБУРГА")</f>
        <v>ГБОУ ШКОЛА №569 НЕВСКОГО РАЙОНА САНКТ-ПЕТЕРБУРГА</v>
      </c>
      <c r="B11671" s="24" t="s">
        <v>16164</v>
      </c>
      <c r="C11671" s="25">
        <v>13031462</v>
      </c>
      <c r="D11671" s="22" t="s">
        <v>16162</v>
      </c>
      <c r="E11671" s="22" t="s">
        <v>48</v>
      </c>
      <c r="F11671" s="23" t="str">
        <f>HYPERLINK("https://www.spark-marketing.ru/Card/Lot/72224749", "Оказание услуг по организации питания учащихся в 2019-2021 гг.")</f>
        <v>Оказание услуг по организации питания учащихся в 2019-2021 гг.</v>
      </c>
      <c r="G11671" s="22" t="s">
        <v>117</v>
      </c>
      <c r="H11671" s="22" t="s">
        <v>117</v>
      </c>
      <c r="I11671" s="26">
        <v>43665.706944444399</v>
      </c>
      <c r="J11671" s="23" t="str">
        <f t="shared" si="331"/>
        <v>АО "КСП "ВОЛНА"</v>
      </c>
      <c r="K11671" s="24" t="s">
        <v>5446</v>
      </c>
      <c r="L11671" s="28" t="s">
        <v>51</v>
      </c>
      <c r="M11671" s="28" t="s">
        <v>51</v>
      </c>
      <c r="N11671" s="27">
        <v>0</v>
      </c>
    </row>
    <row r="11672" spans="1:14" x14ac:dyDescent="0.2">
      <c r="A11672" s="23" t="s">
        <v>114</v>
      </c>
      <c r="B11672" s="28" t="s">
        <v>51</v>
      </c>
      <c r="C11672" s="25">
        <v>39836361</v>
      </c>
      <c r="D11672" s="22" t="s">
        <v>16165</v>
      </c>
      <c r="E11672" s="22" t="s">
        <v>48</v>
      </c>
      <c r="F11672" s="23" t="str">
        <f>HYPERLINK("https://www.spark-marketing.ru/Card/Lot/72224758", "Оказание услуг по организации питания учащихся в 2019-2021 гг.")</f>
        <v>Оказание услуг по организации питания учащихся в 2019-2021 гг.</v>
      </c>
      <c r="G11672" s="22" t="s">
        <v>51</v>
      </c>
      <c r="H11672" s="22" t="s">
        <v>51</v>
      </c>
      <c r="I11672" s="26">
        <v>43665.7006944444</v>
      </c>
      <c r="J11672" s="23" t="str">
        <f t="shared" si="331"/>
        <v>АО "КСП "ВОЛНА"</v>
      </c>
      <c r="K11672" s="24" t="s">
        <v>5446</v>
      </c>
      <c r="L11672" s="28" t="s">
        <v>51</v>
      </c>
      <c r="M11672" s="25">
        <v>39836361</v>
      </c>
      <c r="N11672" s="27">
        <v>0</v>
      </c>
    </row>
    <row r="11673" spans="1:14" hidden="1" outlineLevel="1" x14ac:dyDescent="0.2">
      <c r="A11673" s="23" t="str">
        <f>HYPERLINK("https://www.spark-marketing.ru/Card/Person/51394", "ГБОУ ШКОЛА № 345 НЕВСКОГО РАЙОНА САНКТ-ПЕТЕРБУРГА")</f>
        <v>ГБОУ ШКОЛА № 345 НЕВСКОГО РАЙОНА САНКТ-ПЕТЕРБУРГА</v>
      </c>
      <c r="B11673" s="24" t="s">
        <v>16166</v>
      </c>
      <c r="C11673" s="25">
        <v>12180511</v>
      </c>
      <c r="D11673" s="22" t="s">
        <v>16165</v>
      </c>
      <c r="E11673" s="22" t="s">
        <v>48</v>
      </c>
      <c r="F11673" s="23" t="str">
        <f>HYPERLINK("https://www.spark-marketing.ru/Card/Lot/72224758", "Оказание услуг по организации питания учащихся в 2019-2021 гг.")</f>
        <v>Оказание услуг по организации питания учащихся в 2019-2021 гг.</v>
      </c>
      <c r="G11673" s="22" t="s">
        <v>117</v>
      </c>
      <c r="H11673" s="22" t="s">
        <v>117</v>
      </c>
      <c r="I11673" s="26">
        <v>43665.7006944444</v>
      </c>
      <c r="J11673" s="23" t="str">
        <f t="shared" si="331"/>
        <v>АО "КСП "ВОЛНА"</v>
      </c>
      <c r="K11673" s="24" t="s">
        <v>5446</v>
      </c>
      <c r="L11673" s="28" t="s">
        <v>51</v>
      </c>
      <c r="M11673" s="28" t="s">
        <v>51</v>
      </c>
      <c r="N11673" s="27">
        <v>0</v>
      </c>
    </row>
    <row r="11674" spans="1:14" hidden="1" outlineLevel="1" x14ac:dyDescent="0.2">
      <c r="A11674" s="23" t="str">
        <f>HYPERLINK("https://www.spark-marketing.ru/Card/Person/70648", "ГБОУ СОШ № 347 С УГЛУБЛЕННЫМ ИЗУЧЕНИЕМ АНГЛИЙСКОГО ЯЗЫКА НЕВСКОГО РАЙОНА САНКТ-ПЕТЕРБУРГА")</f>
        <v>ГБОУ СОШ № 347 С УГЛУБЛЕННЫМ ИЗУЧЕНИЕМ АНГЛИЙСКОГО ЯЗЫКА НЕВСКОГО РАЙОНА САНКТ-ПЕТЕРБУРГА</v>
      </c>
      <c r="B11674" s="24" t="s">
        <v>16167</v>
      </c>
      <c r="C11674" s="25">
        <v>13778545</v>
      </c>
      <c r="D11674" s="22" t="s">
        <v>16165</v>
      </c>
      <c r="E11674" s="22" t="s">
        <v>48</v>
      </c>
      <c r="F11674" s="23" t="str">
        <f>HYPERLINK("https://www.spark-marketing.ru/Card/Lot/72224758", "Оказание услуг по организации питания учащихся в 2019-2021 гг.")</f>
        <v>Оказание услуг по организации питания учащихся в 2019-2021 гг.</v>
      </c>
      <c r="G11674" s="22" t="s">
        <v>117</v>
      </c>
      <c r="H11674" s="22" t="s">
        <v>117</v>
      </c>
      <c r="I11674" s="26">
        <v>43665.7006944444</v>
      </c>
      <c r="J11674" s="23" t="str">
        <f t="shared" si="331"/>
        <v>АО "КСП "ВОЛНА"</v>
      </c>
      <c r="K11674" s="24" t="s">
        <v>5446</v>
      </c>
      <c r="L11674" s="28" t="s">
        <v>51</v>
      </c>
      <c r="M11674" s="28" t="s">
        <v>51</v>
      </c>
      <c r="N11674" s="27">
        <v>0</v>
      </c>
    </row>
    <row r="11675" spans="1:14" hidden="1" outlineLevel="1" x14ac:dyDescent="0.2">
      <c r="A11675" s="23" t="str">
        <f>HYPERLINK("https://www.spark-marketing.ru/Card/Person/80171", "ГБОУ ШКОЛА № 332 НЕВСКОГО РАЙОНА САНКТ-ПЕТЕРБУРГА")</f>
        <v>ГБОУ ШКОЛА № 332 НЕВСКОГО РАЙОНА САНКТ-ПЕТЕРБУРГА</v>
      </c>
      <c r="B11675" s="24" t="s">
        <v>16168</v>
      </c>
      <c r="C11675" s="25">
        <v>13877305</v>
      </c>
      <c r="D11675" s="22" t="s">
        <v>16165</v>
      </c>
      <c r="E11675" s="22" t="s">
        <v>48</v>
      </c>
      <c r="F11675" s="23" t="str">
        <f>HYPERLINK("https://www.spark-marketing.ru/Card/Lot/72224758", "Оказание услуг по организации питания учащихся в 2019-2021 гг.")</f>
        <v>Оказание услуг по организации питания учащихся в 2019-2021 гг.</v>
      </c>
      <c r="G11675" s="22" t="s">
        <v>117</v>
      </c>
      <c r="H11675" s="22" t="s">
        <v>117</v>
      </c>
      <c r="I11675" s="26">
        <v>43665.7006944444</v>
      </c>
      <c r="J11675" s="23" t="str">
        <f t="shared" si="331"/>
        <v>АО "КСП "ВОЛНА"</v>
      </c>
      <c r="K11675" s="24" t="s">
        <v>5446</v>
      </c>
      <c r="L11675" s="28" t="s">
        <v>51</v>
      </c>
      <c r="M11675" s="28" t="s">
        <v>51</v>
      </c>
      <c r="N11675" s="27">
        <v>0</v>
      </c>
    </row>
    <row r="11676" spans="1:14" x14ac:dyDescent="0.15">
      <c r="A11676" s="23" t="str">
        <f>HYPERLINK("https://www.spark-marketing.ru/Card/Person/102978", "УПРАВЛЕНИЕ АЛТАЙСКОГО КРАЯ ПО РАЗВИТИЮ ПРЕДПРИНИМАТЕЛЬСТВА И РЫНОЧНОЙ ИНФРАСТРУКТУРЫ")</f>
        <v>УПРАВЛЕНИЕ АЛТАЙСКОГО КРАЯ ПО РАЗВИТИЮ ПРЕДПРИНИМАТЕЛЬСТВА И РЫНОЧНОЙ ИНФРАСТРУКТУРЫ</v>
      </c>
      <c r="B11676" s="24" t="s">
        <v>16169</v>
      </c>
      <c r="C11676" s="25">
        <v>155000</v>
      </c>
      <c r="D11676" s="22" t="s">
        <v>16170</v>
      </c>
      <c r="E11676" s="22" t="s">
        <v>55</v>
      </c>
      <c r="F11676" s="23" t="str">
        <f>HYPERLINK("https://www.spark-marketing.ru/Card/Lot/72235877", "Оказание услуг по организации и проведению тренинга для специалистов сферы общественного питания")</f>
        <v>Оказание услуг по организации и проведению тренинга для специалистов сферы общественного питания</v>
      </c>
      <c r="G11676" s="22" t="s">
        <v>63</v>
      </c>
      <c r="H11676" s="22" t="s">
        <v>177</v>
      </c>
      <c r="I11676" s="26">
        <v>43665.688657407401</v>
      </c>
      <c r="J11676" s="28" t="s">
        <v>51</v>
      </c>
      <c r="K11676" s="28" t="s">
        <v>51</v>
      </c>
      <c r="L11676" s="28" t="s">
        <v>51</v>
      </c>
      <c r="M11676" s="28" t="s">
        <v>51</v>
      </c>
      <c r="N11676" s="28" t="s">
        <v>51</v>
      </c>
    </row>
    <row r="11677" spans="1:14" hidden="1" outlineLevel="1" x14ac:dyDescent="0.2">
      <c r="A11677" s="23" t="str">
        <f>HYPERLINK("https://www.spark-marketing.ru/Card/Person/102978", "УПРАВЛЕНИЕ АЛТАЙСКОГО КРАЯ ПО РАЗВИТИЮ ПРЕДПРИНИМАТЕЛЬСТВА И РЫНОЧНОЙ ИНФРАСТРУКТУРЫ")</f>
        <v>УПРАВЛЕНИЕ АЛТАЙСКОГО КРАЯ ПО РАЗВИТИЮ ПРЕДПРИНИМАТЕЛЬСТВА И РЫНОЧНОЙ ИНФРАСТРУКТУРЫ</v>
      </c>
      <c r="B11677" s="24" t="s">
        <v>16169</v>
      </c>
      <c r="C11677" s="25">
        <v>155000</v>
      </c>
      <c r="D11677" s="22" t="s">
        <v>16170</v>
      </c>
      <c r="E11677" s="22" t="s">
        <v>55</v>
      </c>
      <c r="F11677" s="23" t="str">
        <f>HYPERLINK("https://www.spark-marketing.ru/Card/Lot/72235877", "Оказание услуг по организации и проведению тренинга для специалистов сферы общественного питания")</f>
        <v>Оказание услуг по организации и проведению тренинга для специалистов сферы общественного питания</v>
      </c>
      <c r="G11677" s="22" t="s">
        <v>63</v>
      </c>
      <c r="H11677" s="22" t="s">
        <v>177</v>
      </c>
      <c r="I11677" s="26">
        <v>43665.688657407401</v>
      </c>
      <c r="J11677" s="23" t="str">
        <f>HYPERLINK("https://www.spark-marketing.ru/Card/Person/4902473", "ООО ""АСБ""")</f>
        <v>ООО "АСБ"</v>
      </c>
      <c r="K11677" s="24" t="s">
        <v>16171</v>
      </c>
      <c r="L11677" s="28" t="s">
        <v>51</v>
      </c>
      <c r="M11677" s="25">
        <v>155000</v>
      </c>
      <c r="N11677" s="27">
        <v>0</v>
      </c>
    </row>
    <row r="11678" spans="1:14" ht="12.75" hidden="1" outlineLevel="1" x14ac:dyDescent="0.2">
      <c r="A11678" s="23" t="str">
        <f>HYPERLINK("https://www.spark-marketing.ru/Card/Person/102978", "УПРАВЛЕНИЕ АЛТАЙСКОГО КРАЯ ПО РАЗВИТИЮ ПРЕДПРИНИМАТЕЛЬСТВА И РЫНОЧНОЙ ИНФРАСТРУКТУРЫ")</f>
        <v>УПРАВЛЕНИЕ АЛТАЙСКОГО КРАЯ ПО РАЗВИТИЮ ПРЕДПРИНИМАТЕЛЬСТВА И РЫНОЧНОЙ ИНФРАСТРУКТУРЫ</v>
      </c>
      <c r="B11678" s="24" t="s">
        <v>16169</v>
      </c>
      <c r="C11678" s="25">
        <v>155000</v>
      </c>
      <c r="D11678" s="22" t="s">
        <v>16170</v>
      </c>
      <c r="E11678" s="22" t="s">
        <v>55</v>
      </c>
      <c r="F11678" s="23" t="str">
        <f>HYPERLINK("https://www.spark-marketing.ru/Card/Lot/72235877", "Оказание услуг по организации и проведению тренинга для специалистов сферы общественного питания")</f>
        <v>Оказание услуг по организации и проведению тренинга для специалистов сферы общественного питания</v>
      </c>
      <c r="G11678" s="22" t="s">
        <v>63</v>
      </c>
      <c r="H11678" s="22" t="s">
        <v>177</v>
      </c>
      <c r="I11678" s="26">
        <v>43665.688657407401</v>
      </c>
      <c r="J11678" s="23" t="str">
        <f>HYPERLINK("https://www.spark-marketing.ru/Card/Person/6571746", "ООО ""БИЗНЕС ИНКУБАТОР""")</f>
        <v>ООО "БИЗНЕС ИНКУБАТОР"</v>
      </c>
      <c r="K11678" s="24" t="s">
        <v>16172</v>
      </c>
      <c r="L11678" s="22" t="s">
        <v>10</v>
      </c>
      <c r="M11678" s="25">
        <v>150000</v>
      </c>
      <c r="N11678" s="27">
        <v>3.2258064516129031E-2</v>
      </c>
    </row>
    <row r="11679" spans="1:14" x14ac:dyDescent="0.15">
      <c r="A11679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1679" s="24" t="s">
        <v>16017</v>
      </c>
      <c r="C11679" s="25">
        <v>1454893.44</v>
      </c>
      <c r="D11679" s="22" t="s">
        <v>16173</v>
      </c>
      <c r="E11679" s="22" t="s">
        <v>48</v>
      </c>
      <c r="F11679" s="23" t="str">
        <f>HYPERLINK("https://www.spark-marketing.ru/Card/Lot/72244683", "Оказание услуг по организации ежедневного горячего питания для лиц, содержащихся в ИВС, КСЗЛ УМВД России по Калининградской области")</f>
        <v>Оказание услуг по организации ежедневного горячего питания для лиц, содержащихся в ИВС, КСЗЛ УМВД России по Калининградской области</v>
      </c>
      <c r="G11679" s="22" t="s">
        <v>400</v>
      </c>
      <c r="H11679" s="22" t="s">
        <v>400</v>
      </c>
      <c r="I11679" s="26">
        <v>43665.675497685203</v>
      </c>
      <c r="J11679" s="28" t="s">
        <v>51</v>
      </c>
      <c r="K11679" s="28" t="s">
        <v>51</v>
      </c>
      <c r="L11679" s="28" t="s">
        <v>51</v>
      </c>
      <c r="M11679" s="28" t="s">
        <v>51</v>
      </c>
      <c r="N11679" s="28" t="s">
        <v>51</v>
      </c>
    </row>
    <row r="11680" spans="1:14" ht="12.75" hidden="1" outlineLevel="1" x14ac:dyDescent="0.2">
      <c r="A11680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1680" s="24" t="s">
        <v>16017</v>
      </c>
      <c r="C11680" s="25">
        <v>1454893.44</v>
      </c>
      <c r="D11680" s="22" t="s">
        <v>16173</v>
      </c>
      <c r="E11680" s="22" t="s">
        <v>48</v>
      </c>
      <c r="F11680" s="23" t="str">
        <f>HYPERLINK("https://www.spark-marketing.ru/Card/Lot/72244683", "Оказание услуг по организации ежедневного горячего питания для лиц, содержащихся в ИВС, КСЗЛ УМВД России по Калининградской области")</f>
        <v>Оказание услуг по организации ежедневного горячего питания для лиц, содержащихся в ИВС, КСЗЛ УМВД России по Калининградской области</v>
      </c>
      <c r="G11680" s="22" t="s">
        <v>400</v>
      </c>
      <c r="H11680" s="22" t="s">
        <v>400</v>
      </c>
      <c r="I11680" s="26">
        <v>43665.675497685203</v>
      </c>
      <c r="J11680" s="23" t="str">
        <f>HYPERLINK("https://www.spark-marketing.ru/Card/Person/1692026", "ООО ""КАРАВАЙ""")</f>
        <v>ООО "КАРАВАЙ"</v>
      </c>
      <c r="K11680" s="24" t="s">
        <v>16174</v>
      </c>
      <c r="L11680" s="22" t="s">
        <v>10</v>
      </c>
      <c r="M11680" s="25">
        <v>1454893.44</v>
      </c>
      <c r="N11680" s="27">
        <v>0</v>
      </c>
    </row>
    <row r="11681" spans="1:14" hidden="1" outlineLevel="1" x14ac:dyDescent="0.2">
      <c r="A11681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1681" s="24" t="s">
        <v>16017</v>
      </c>
      <c r="C11681" s="25">
        <v>1454893.44</v>
      </c>
      <c r="D11681" s="22" t="s">
        <v>16173</v>
      </c>
      <c r="E11681" s="22" t="s">
        <v>48</v>
      </c>
      <c r="F11681" s="23" t="str">
        <f>HYPERLINK("https://www.spark-marketing.ru/Card/Lot/72244683", "Оказание услуг по организации ежедневного горячего питания для лиц, содержащихся в ИВС, КСЗЛ УМВД России по Калининградской области")</f>
        <v>Оказание услуг по организации ежедневного горячего питания для лиц, содержащихся в ИВС, КСЗЛ УМВД России по Калининградской области</v>
      </c>
      <c r="G11681" s="22" t="s">
        <v>400</v>
      </c>
      <c r="H11681" s="22" t="s">
        <v>400</v>
      </c>
      <c r="I11681" s="26">
        <v>43665.675497685203</v>
      </c>
      <c r="J11681" s="23" t="str">
        <f>HYPERLINK("https://www.spark-marketing.ru/Card/Person/579207", "ООО ""ВИЛКАЛОЖКА""")</f>
        <v>ООО "ВИЛКАЛОЖКА"</v>
      </c>
      <c r="K11681" s="24" t="s">
        <v>16175</v>
      </c>
      <c r="L11681" s="28" t="s">
        <v>51</v>
      </c>
      <c r="M11681" s="25">
        <v>1454893.44</v>
      </c>
      <c r="N11681" s="27">
        <v>0</v>
      </c>
    </row>
    <row r="11682" spans="1:14" x14ac:dyDescent="0.15">
      <c r="A11682" s="23" t="str">
        <f>HYPERLINK("https://www.spark-marketing.ru/Card/Person/10607", "ГБУ ДСЗМ")</f>
        <v>ГБУ ДСЗМ</v>
      </c>
      <c r="B11682" s="24" t="s">
        <v>3052</v>
      </c>
      <c r="C11682" s="25">
        <v>1150000</v>
      </c>
      <c r="D11682" s="22" t="s">
        <v>16176</v>
      </c>
      <c r="E11682" s="22" t="s">
        <v>96</v>
      </c>
      <c r="F11682" s="23" t="str">
        <f>HYPERLINK("https://www.spark-marketing.ru/Card/Lot/72224238", "Услуги по организации питания и ресторанного обслуживания для подготовки и проведения Международных соревнований по гребле на байдарках и каноэ «Кубок Президента Российской Федерации»")</f>
        <v>Услуги по организации питания и ресторанного обслуживания для подготовки и проведения Международных соревнований по гребле на байдарках и каноэ «Кубок Президента Российской Федерации»</v>
      </c>
      <c r="G11682" s="22" t="s">
        <v>56</v>
      </c>
      <c r="H11682" s="22" t="s">
        <v>56</v>
      </c>
      <c r="I11682" s="26">
        <v>43665.690277777801</v>
      </c>
      <c r="J11682" s="28" t="s">
        <v>51</v>
      </c>
      <c r="K11682" s="28" t="s">
        <v>51</v>
      </c>
      <c r="L11682" s="28" t="s">
        <v>51</v>
      </c>
      <c r="M11682" s="28" t="s">
        <v>51</v>
      </c>
      <c r="N11682" s="28" t="s">
        <v>51</v>
      </c>
    </row>
    <row r="11683" spans="1:14" hidden="1" outlineLevel="1" x14ac:dyDescent="0.2">
      <c r="A11683" s="23" t="str">
        <f>HYPERLINK("https://www.spark-marketing.ru/Card/Person/10607", "ГБУ ДСЗМ")</f>
        <v>ГБУ ДСЗМ</v>
      </c>
      <c r="B11683" s="24" t="s">
        <v>3052</v>
      </c>
      <c r="C11683" s="25">
        <v>1150000</v>
      </c>
      <c r="D11683" s="22" t="s">
        <v>16176</v>
      </c>
      <c r="E11683" s="22" t="s">
        <v>96</v>
      </c>
      <c r="F11683" s="23" t="str">
        <f>HYPERLINK("https://www.spark-marketing.ru/Card/Lot/72224238", "Услуги по организации питания и ресторанного обслуживания для подготовки и проведения Международных соревнований по гребле на байдарках и каноэ «Кубок Президента Российской Федерации»")</f>
        <v>Услуги по организации питания и ресторанного обслуживания для подготовки и проведения Международных соревнований по гребле на байдарках и каноэ «Кубок Президента Российской Федерации»</v>
      </c>
      <c r="G11683" s="22" t="s">
        <v>56</v>
      </c>
      <c r="H11683" s="22" t="s">
        <v>56</v>
      </c>
      <c r="I11683" s="26">
        <v>43665.690277777801</v>
      </c>
      <c r="J11683" s="23" t="str">
        <f>HYPERLINK("https://www.spark-marketing.ru/Card/Person/6277745", "ООО ""МАКСКЕЙТЕРИНГ""")</f>
        <v>ООО "МАКСКЕЙТЕРИНГ"</v>
      </c>
      <c r="K11683" s="24" t="s">
        <v>16177</v>
      </c>
      <c r="L11683" s="28" t="s">
        <v>51</v>
      </c>
      <c r="M11683" s="25">
        <v>897000</v>
      </c>
      <c r="N11683" s="27">
        <v>0.22</v>
      </c>
    </row>
    <row r="11684" spans="1:14" ht="12.75" hidden="1" outlineLevel="1" x14ac:dyDescent="0.2">
      <c r="A11684" s="23" t="str">
        <f>HYPERLINK("https://www.spark-marketing.ru/Card/Person/10607", "ГБУ ДСЗМ")</f>
        <v>ГБУ ДСЗМ</v>
      </c>
      <c r="B11684" s="24" t="s">
        <v>3052</v>
      </c>
      <c r="C11684" s="25">
        <v>1150000</v>
      </c>
      <c r="D11684" s="22" t="s">
        <v>16176</v>
      </c>
      <c r="E11684" s="22" t="s">
        <v>96</v>
      </c>
      <c r="F11684" s="23" t="str">
        <f>HYPERLINK("https://www.spark-marketing.ru/Card/Lot/72224238", "Услуги по организации питания и ресторанного обслуживания для подготовки и проведения Международных соревнований по гребле на байдарках и каноэ «Кубок Президента Российской Федерации»")</f>
        <v>Услуги по организации питания и ресторанного обслуживания для подготовки и проведения Международных соревнований по гребле на байдарках и каноэ «Кубок Президента Российской Федерации»</v>
      </c>
      <c r="G11684" s="22" t="s">
        <v>56</v>
      </c>
      <c r="H11684" s="22" t="s">
        <v>56</v>
      </c>
      <c r="I11684" s="26">
        <v>43665.690277777801</v>
      </c>
      <c r="J11684" s="23" t="str">
        <f>HYPERLINK("https://www.spark-marketing.ru/Card/Person/5970918", "ООО ""ПРОФИ КЕЙТЕРИНГ""")</f>
        <v>ООО "ПРОФИ КЕЙТЕРИНГ"</v>
      </c>
      <c r="K11684" s="24" t="s">
        <v>11841</v>
      </c>
      <c r="L11684" s="22" t="s">
        <v>10</v>
      </c>
      <c r="M11684" s="25">
        <v>805000</v>
      </c>
      <c r="N11684" s="27">
        <v>0.3</v>
      </c>
    </row>
    <row r="11685" spans="1:14" hidden="1" outlineLevel="1" x14ac:dyDescent="0.2">
      <c r="A11685" s="23" t="str">
        <f>HYPERLINK("https://www.spark-marketing.ru/Card/Person/10607", "ГБУ ДСЗМ")</f>
        <v>ГБУ ДСЗМ</v>
      </c>
      <c r="B11685" s="24" t="s">
        <v>3052</v>
      </c>
      <c r="C11685" s="25">
        <v>1150000</v>
      </c>
      <c r="D11685" s="22" t="s">
        <v>16176</v>
      </c>
      <c r="E11685" s="22" t="s">
        <v>96</v>
      </c>
      <c r="F11685" s="23" t="str">
        <f>HYPERLINK("https://www.spark-marketing.ru/Card/Lot/72224238", "Услуги по организации питания и ресторанного обслуживания для подготовки и проведения Международных соревнований по гребле на байдарках и каноэ «Кубок Президента Российской Федерации»")</f>
        <v>Услуги по организации питания и ресторанного обслуживания для подготовки и проведения Международных соревнований по гребле на байдарках и каноэ «Кубок Президента Российской Федерации»</v>
      </c>
      <c r="G11685" s="22" t="s">
        <v>56</v>
      </c>
      <c r="H11685" s="22" t="s">
        <v>56</v>
      </c>
      <c r="I11685" s="26">
        <v>43665.690277777801</v>
      </c>
      <c r="J11685" s="23" t="str">
        <f>HYPERLINK("https://www.spark-marketing.ru/Card/Person/6391853", "ООО ""АЛЬДЖЕНСА""")</f>
        <v>ООО "АЛЬДЖЕНСА"</v>
      </c>
      <c r="K11685" s="24" t="s">
        <v>2499</v>
      </c>
      <c r="L11685" s="28" t="s">
        <v>51</v>
      </c>
      <c r="M11685" s="25">
        <v>850000</v>
      </c>
      <c r="N11685" s="27">
        <v>0.2608695652173913</v>
      </c>
    </row>
    <row r="11686" spans="1:14" x14ac:dyDescent="0.15">
      <c r="A11686" s="23" t="str">
        <f>HYPERLINK("https://www.spark-marketing.ru/Card/Person/1004294", "МБОУ ""СШ № 7""")</f>
        <v>МБОУ "СШ № 7"</v>
      </c>
      <c r="B11686" s="24" t="s">
        <v>12656</v>
      </c>
      <c r="C11686" s="25">
        <v>820648</v>
      </c>
      <c r="D11686" s="22" t="s">
        <v>16178</v>
      </c>
      <c r="E11686" s="22" t="s">
        <v>48</v>
      </c>
      <c r="F11686" s="23" t="str">
        <f>HYPERLINK("https://www.spark-marketing.ru/Card/Lot/72223328", "Оказание услуг по организации горячего питания и обеспечению горячим питанием учащихся МБОУ ""СШ № 7""")</f>
        <v>Оказание услуг по организации горячего питания и обеспечению горячим питанием учащихся МБОУ "СШ № 7"</v>
      </c>
      <c r="G11686" s="22" t="s">
        <v>460</v>
      </c>
      <c r="H11686" s="22" t="s">
        <v>461</v>
      </c>
      <c r="I11686" s="26">
        <v>43665.676666666703</v>
      </c>
      <c r="J11686" s="28" t="s">
        <v>51</v>
      </c>
      <c r="K11686" s="28" t="s">
        <v>51</v>
      </c>
      <c r="L11686" s="28" t="s">
        <v>51</v>
      </c>
      <c r="M11686" s="28" t="s">
        <v>51</v>
      </c>
      <c r="N11686" s="28" t="s">
        <v>51</v>
      </c>
    </row>
    <row r="11687" spans="1:14" x14ac:dyDescent="0.15">
      <c r="A11687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1687" s="24" t="s">
        <v>3255</v>
      </c>
      <c r="C11687" s="25">
        <v>113212.5</v>
      </c>
      <c r="D11687" s="22" t="s">
        <v>16179</v>
      </c>
      <c r="E11687" s="22" t="s">
        <v>52</v>
      </c>
      <c r="F11687" s="23" t="str">
        <f>HYPERLINK("https://www.spark-marketing.ru/Card/Lot/72211077", "Поставка лекарственного препарата для медицинского применения ""Железа [III] гидроксид сахарозный комплекс"" для оказания отдельным категориям граждан социальной услуги по обеспечению лекарственными препаратами для медицинского применения по рецептам...")</f>
        <v>Поставка лекарственного препарата для медицинского применения "Железа [III] гидроксид сахарозный комплекс" для оказания отдельным категориям граждан социальной услуги по обеспечению лекарственными препаратами для медицинского применения по рецептам...</v>
      </c>
      <c r="G11687" s="22" t="s">
        <v>210</v>
      </c>
      <c r="H11687" s="22" t="s">
        <v>3257</v>
      </c>
      <c r="I11687" s="26">
        <v>43665.670949074098</v>
      </c>
      <c r="J11687" s="28" t="s">
        <v>51</v>
      </c>
      <c r="K11687" s="28" t="s">
        <v>51</v>
      </c>
      <c r="L11687" s="28" t="s">
        <v>51</v>
      </c>
      <c r="M11687" s="28" t="s">
        <v>51</v>
      </c>
      <c r="N11687" s="28" t="s">
        <v>51</v>
      </c>
    </row>
    <row r="11688" spans="1:14" hidden="1" outlineLevel="1" x14ac:dyDescent="0.2">
      <c r="A11688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1688" s="24" t="s">
        <v>3255</v>
      </c>
      <c r="C11688" s="25">
        <v>113212.5</v>
      </c>
      <c r="D11688" s="22" t="s">
        <v>16179</v>
      </c>
      <c r="E11688" s="22" t="s">
        <v>52</v>
      </c>
      <c r="F11688" s="23" t="str">
        <f>HYPERLINK("https://www.spark-marketing.ru/Card/Lot/72211077", "Поставка лекарственного препарата для медицинского применения ""Железа [III] гидроксид сахарозный комплекс"" для оказания отдельным категориям граждан социальной услуги по обеспечению лекарственными препаратами для медицинского применения по рецептам...")</f>
        <v>Поставка лекарственного препарата для медицинского применения "Железа [III] гидроксид сахарозный комплекс" для оказания отдельным категориям граждан социальной услуги по обеспечению лекарственными препаратами для медицинского применения по рецептам...</v>
      </c>
      <c r="G11688" s="22" t="s">
        <v>210</v>
      </c>
      <c r="H11688" s="22" t="s">
        <v>3257</v>
      </c>
      <c r="I11688" s="26">
        <v>43665.670949074098</v>
      </c>
      <c r="J11688" s="23" t="str">
        <f>HYPERLINK("https://www.spark-marketing.ru/Card/Person/5887470", "ООО ""ВИТАЛОН""")</f>
        <v>ООО "ВИТАЛОН"</v>
      </c>
      <c r="K11688" s="24" t="s">
        <v>2129</v>
      </c>
      <c r="L11688" s="28" t="s">
        <v>51</v>
      </c>
      <c r="M11688" s="25">
        <v>111514.29</v>
      </c>
      <c r="N11688" s="27">
        <v>1.5000198741305069E-2</v>
      </c>
    </row>
    <row r="11689" spans="1:14" ht="12.75" hidden="1" outlineLevel="1" x14ac:dyDescent="0.2">
      <c r="A11689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1689" s="24" t="s">
        <v>3255</v>
      </c>
      <c r="C11689" s="25">
        <v>113212.5</v>
      </c>
      <c r="D11689" s="22" t="s">
        <v>16179</v>
      </c>
      <c r="E11689" s="22" t="s">
        <v>52</v>
      </c>
      <c r="F11689" s="23" t="str">
        <f>HYPERLINK("https://www.spark-marketing.ru/Card/Lot/72211077", "Поставка лекарственного препарата для медицинского применения ""Железа [III] гидроксид сахарозный комплекс"" для оказания отдельным категориям граждан социальной услуги по обеспечению лекарственными препаратами для медицинского применения по рецептам...")</f>
        <v>Поставка лекарственного препарата для медицинского применения "Железа [III] гидроксид сахарозный комплекс" для оказания отдельным категориям граждан социальной услуги по обеспечению лекарственными препаратами для медицинского применения по рецептам...</v>
      </c>
      <c r="G11689" s="22" t="s">
        <v>210</v>
      </c>
      <c r="H11689" s="22" t="s">
        <v>3257</v>
      </c>
      <c r="I11689" s="26">
        <v>43665.670949074098</v>
      </c>
      <c r="J11689" s="23" t="str">
        <f>HYPERLINK("https://www.spark-marketing.ru/Card/Person/34034", "ООО ""М-ТЕХФАРМ""")</f>
        <v>ООО "М-ТЕХФАРМ"</v>
      </c>
      <c r="K11689" s="24" t="s">
        <v>3861</v>
      </c>
      <c r="L11689" s="22" t="s">
        <v>10</v>
      </c>
      <c r="M11689" s="25">
        <v>112080.36</v>
      </c>
      <c r="N11689" s="27">
        <v>1.0000132494203378E-2</v>
      </c>
    </row>
    <row r="11690" spans="1:14" hidden="1" outlineLevel="1" x14ac:dyDescent="0.2">
      <c r="A11690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1690" s="24" t="s">
        <v>3255</v>
      </c>
      <c r="C11690" s="25">
        <v>113212.5</v>
      </c>
      <c r="D11690" s="22" t="s">
        <v>16179</v>
      </c>
      <c r="E11690" s="22" t="s">
        <v>52</v>
      </c>
      <c r="F11690" s="23" t="str">
        <f>HYPERLINK("https://www.spark-marketing.ru/Card/Lot/72211077", "Поставка лекарственного препарата для медицинского применения ""Железа [III] гидроксид сахарозный комплекс"" для оказания отдельным категориям граждан социальной услуги по обеспечению лекарственными препаратами для медицинского применения по рецептам...")</f>
        <v>Поставка лекарственного препарата для медицинского применения "Железа [III] гидроксид сахарозный комплекс" для оказания отдельным категориям граждан социальной услуги по обеспечению лекарственными препаратами для медицинского применения по рецептам...</v>
      </c>
      <c r="G11690" s="22" t="s">
        <v>210</v>
      </c>
      <c r="H11690" s="22" t="s">
        <v>3257</v>
      </c>
      <c r="I11690" s="26">
        <v>43665.670949074098</v>
      </c>
      <c r="J11690" s="23" t="str">
        <f>HYPERLINK("https://www.spark-marketing.ru/Card/Person/181863", "ООО ""ФАРМ-СТ""")</f>
        <v>ООО "ФАРМ-СТ"</v>
      </c>
      <c r="K11690" s="24" t="s">
        <v>16180</v>
      </c>
      <c r="L11690" s="28" t="s">
        <v>51</v>
      </c>
      <c r="M11690" s="25">
        <v>112646.43</v>
      </c>
      <c r="N11690" s="27">
        <v>5.000066247101689E-3</v>
      </c>
    </row>
    <row r="11691" spans="1:14" collapsed="1" x14ac:dyDescent="0.15">
      <c r="A11691" s="23" t="s">
        <v>114</v>
      </c>
      <c r="B11691" s="28" t="s">
        <v>51</v>
      </c>
      <c r="C11691" s="25">
        <v>28233982</v>
      </c>
      <c r="D11691" s="22" t="s">
        <v>16181</v>
      </c>
      <c r="E11691" s="22" t="s">
        <v>96</v>
      </c>
      <c r="F11691" s="23" t="str">
        <f t="shared" ref="F11691:F11701" si="332">HYPERLINK("https://www.spark-marketing.ru/Card/Lot/72224800",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11691" s="22" t="s">
        <v>51</v>
      </c>
      <c r="H11691" s="22" t="s">
        <v>51</v>
      </c>
      <c r="I11691" s="26">
        <v>43665.681250000001</v>
      </c>
      <c r="J11691" s="23" t="str">
        <f t="shared" ref="J11691:J11701" si="333">HYPERLINK("https://www.spark-marketing.ru/Card/Person/59814", "ООО КП ""СОЛНЕЧНЫЙ""")</f>
        <v>ООО КП "СОЛНЕЧНЫЙ"</v>
      </c>
      <c r="K11691" s="24" t="s">
        <v>7783</v>
      </c>
      <c r="L11691" s="28" t="s">
        <v>51</v>
      </c>
      <c r="M11691" s="28" t="s">
        <v>51</v>
      </c>
      <c r="N11691" s="28" t="s">
        <v>51</v>
      </c>
    </row>
    <row r="11692" spans="1:14" hidden="1" outlineLevel="1" x14ac:dyDescent="0.15">
      <c r="A11692" s="23" t="str">
        <f>HYPERLINK("https://www.spark-marketing.ru/Card/Person/3866", "МБОУ СОШ № 17")</f>
        <v>МБОУ СОШ № 17</v>
      </c>
      <c r="B11692" s="24" t="s">
        <v>7773</v>
      </c>
      <c r="C11692" s="25">
        <v>739620</v>
      </c>
      <c r="D11692" s="22" t="s">
        <v>16181</v>
      </c>
      <c r="E11692" s="22" t="s">
        <v>96</v>
      </c>
      <c r="F11692" s="23" t="str">
        <f t="shared" si="332"/>
        <v>Оказание услуг по организации горячего питания школьников на 2019-2020 учебный год</v>
      </c>
      <c r="G11692" s="22" t="s">
        <v>82</v>
      </c>
      <c r="H11692" s="22" t="s">
        <v>83</v>
      </c>
      <c r="I11692" s="26">
        <v>43665.681250000001</v>
      </c>
      <c r="J11692" s="23" t="str">
        <f t="shared" si="333"/>
        <v>ООО КП "СОЛНЕЧНЫЙ"</v>
      </c>
      <c r="K11692" s="24" t="s">
        <v>7783</v>
      </c>
      <c r="L11692" s="28" t="s">
        <v>51</v>
      </c>
      <c r="M11692" s="28" t="s">
        <v>51</v>
      </c>
      <c r="N11692" s="28" t="s">
        <v>51</v>
      </c>
    </row>
    <row r="11693" spans="1:14" hidden="1" outlineLevel="1" x14ac:dyDescent="0.15">
      <c r="A11693" s="23" t="str">
        <f>HYPERLINK("https://www.spark-marketing.ru/Card/Person/59732", "МБОУ СОШ № 84")</f>
        <v>МБОУ СОШ № 84</v>
      </c>
      <c r="B11693" s="24" t="s">
        <v>7774</v>
      </c>
      <c r="C11693" s="25">
        <v>5477626</v>
      </c>
      <c r="D11693" s="22" t="s">
        <v>16181</v>
      </c>
      <c r="E11693" s="22" t="s">
        <v>96</v>
      </c>
      <c r="F11693" s="23" t="str">
        <f t="shared" si="332"/>
        <v>Оказание услуг по организации горячего питания школьников на 2019-2020 учебный год</v>
      </c>
      <c r="G11693" s="22" t="s">
        <v>82</v>
      </c>
      <c r="H11693" s="22" t="s">
        <v>83</v>
      </c>
      <c r="I11693" s="26">
        <v>43665.681250000001</v>
      </c>
      <c r="J11693" s="23" t="str">
        <f t="shared" si="333"/>
        <v>ООО КП "СОЛНЕЧНЫЙ"</v>
      </c>
      <c r="K11693" s="24" t="s">
        <v>7783</v>
      </c>
      <c r="L11693" s="28" t="s">
        <v>51</v>
      </c>
      <c r="M11693" s="28" t="s">
        <v>51</v>
      </c>
      <c r="N11693" s="28" t="s">
        <v>51</v>
      </c>
    </row>
    <row r="11694" spans="1:14" hidden="1" outlineLevel="1" x14ac:dyDescent="0.15">
      <c r="A11694" s="23" t="str">
        <f>HYPERLINK("https://www.spark-marketing.ru/Card/Person/59744", "МБОУ СОШ №92")</f>
        <v>МБОУ СОШ №92</v>
      </c>
      <c r="B11694" s="24" t="s">
        <v>7775</v>
      </c>
      <c r="C11694" s="25">
        <v>3344040</v>
      </c>
      <c r="D11694" s="22" t="s">
        <v>16181</v>
      </c>
      <c r="E11694" s="22" t="s">
        <v>96</v>
      </c>
      <c r="F11694" s="23" t="str">
        <f t="shared" si="332"/>
        <v>Оказание услуг по организации горячего питания школьников на 2019-2020 учебный год</v>
      </c>
      <c r="G11694" s="22" t="s">
        <v>82</v>
      </c>
      <c r="H11694" s="22" t="s">
        <v>83</v>
      </c>
      <c r="I11694" s="26">
        <v>43665.681250000001</v>
      </c>
      <c r="J11694" s="23" t="str">
        <f t="shared" si="333"/>
        <v>ООО КП "СОЛНЕЧНЫЙ"</v>
      </c>
      <c r="K11694" s="24" t="s">
        <v>7783</v>
      </c>
      <c r="L11694" s="28" t="s">
        <v>51</v>
      </c>
      <c r="M11694" s="28" t="s">
        <v>51</v>
      </c>
      <c r="N11694" s="28" t="s">
        <v>51</v>
      </c>
    </row>
    <row r="11695" spans="1:14" hidden="1" outlineLevel="1" x14ac:dyDescent="0.15">
      <c r="A11695" s="23" t="str">
        <f>HYPERLINK("https://www.spark-marketing.ru/Card/Person/59863", "МБОУ СОШ № 72 ИМ. Ю.В. ЛУКЬЯНЧИКОВА")</f>
        <v>МБОУ СОШ № 72 ИМ. Ю.В. ЛУКЬЯНЧИКОВА</v>
      </c>
      <c r="B11695" s="24" t="s">
        <v>7776</v>
      </c>
      <c r="C11695" s="25">
        <v>3214120</v>
      </c>
      <c r="D11695" s="22" t="s">
        <v>16181</v>
      </c>
      <c r="E11695" s="22" t="s">
        <v>96</v>
      </c>
      <c r="F11695" s="23" t="str">
        <f t="shared" si="332"/>
        <v>Оказание услуг по организации горячего питания школьников на 2019-2020 учебный год</v>
      </c>
      <c r="G11695" s="22" t="s">
        <v>82</v>
      </c>
      <c r="H11695" s="22" t="s">
        <v>83</v>
      </c>
      <c r="I11695" s="26">
        <v>43665.681250000001</v>
      </c>
      <c r="J11695" s="23" t="str">
        <f t="shared" si="333"/>
        <v>ООО КП "СОЛНЕЧНЫЙ"</v>
      </c>
      <c r="K11695" s="24" t="s">
        <v>7783</v>
      </c>
      <c r="L11695" s="28" t="s">
        <v>51</v>
      </c>
      <c r="M11695" s="28" t="s">
        <v>51</v>
      </c>
      <c r="N11695" s="28" t="s">
        <v>51</v>
      </c>
    </row>
    <row r="11696" spans="1:14" hidden="1" outlineLevel="1" x14ac:dyDescent="0.15">
      <c r="A11696" s="23" t="str">
        <f>HYPERLINK("https://www.spark-marketing.ru/Card/Person/59865", "МБОУ ГИМНАЗИЯ № 6")</f>
        <v>МБОУ ГИМНАЗИЯ № 6</v>
      </c>
      <c r="B11696" s="24" t="s">
        <v>7777</v>
      </c>
      <c r="C11696" s="25">
        <v>2679600</v>
      </c>
      <c r="D11696" s="22" t="s">
        <v>16181</v>
      </c>
      <c r="E11696" s="22" t="s">
        <v>96</v>
      </c>
      <c r="F11696" s="23" t="str">
        <f t="shared" si="332"/>
        <v>Оказание услуг по организации горячего питания школьников на 2019-2020 учебный год</v>
      </c>
      <c r="G11696" s="22" t="s">
        <v>82</v>
      </c>
      <c r="H11696" s="22" t="s">
        <v>83</v>
      </c>
      <c r="I11696" s="26">
        <v>43665.681250000001</v>
      </c>
      <c r="J11696" s="23" t="str">
        <f t="shared" si="333"/>
        <v>ООО КП "СОЛНЕЧНЫЙ"</v>
      </c>
      <c r="K11696" s="24" t="s">
        <v>7783</v>
      </c>
      <c r="L11696" s="28" t="s">
        <v>51</v>
      </c>
      <c r="M11696" s="28" t="s">
        <v>51</v>
      </c>
      <c r="N11696" s="28" t="s">
        <v>51</v>
      </c>
    </row>
    <row r="11697" spans="1:14" hidden="1" outlineLevel="1" x14ac:dyDescent="0.15">
      <c r="A11697" s="23" t="str">
        <f>HYPERLINK("https://www.spark-marketing.ru/Card/Person/60437", "МБОУ СОШ № 75")</f>
        <v>МБОУ СОШ № 75</v>
      </c>
      <c r="B11697" s="24" t="s">
        <v>7778</v>
      </c>
      <c r="C11697" s="25">
        <v>2706760</v>
      </c>
      <c r="D11697" s="22" t="s">
        <v>16181</v>
      </c>
      <c r="E11697" s="22" t="s">
        <v>96</v>
      </c>
      <c r="F11697" s="23" t="str">
        <f t="shared" si="332"/>
        <v>Оказание услуг по организации горячего питания школьников на 2019-2020 учебный год</v>
      </c>
      <c r="G11697" s="22" t="s">
        <v>82</v>
      </c>
      <c r="H11697" s="22" t="s">
        <v>83</v>
      </c>
      <c r="I11697" s="26">
        <v>43665.681250000001</v>
      </c>
      <c r="J11697" s="23" t="str">
        <f t="shared" si="333"/>
        <v>ООО КП "СОЛНЕЧНЫЙ"</v>
      </c>
      <c r="K11697" s="24" t="s">
        <v>7783</v>
      </c>
      <c r="L11697" s="28" t="s">
        <v>51</v>
      </c>
      <c r="M11697" s="28" t="s">
        <v>51</v>
      </c>
      <c r="N11697" s="28" t="s">
        <v>51</v>
      </c>
    </row>
    <row r="11698" spans="1:14" hidden="1" outlineLevel="1" x14ac:dyDescent="0.15">
      <c r="A11698" s="23" t="str">
        <f>HYPERLINK("https://www.spark-marketing.ru/Card/Person/60493", "МБОУ СОШ № 70")</f>
        <v>МБОУ СОШ № 70</v>
      </c>
      <c r="B11698" s="24" t="s">
        <v>7779</v>
      </c>
      <c r="C11698" s="25">
        <v>3175060</v>
      </c>
      <c r="D11698" s="22" t="s">
        <v>16181</v>
      </c>
      <c r="E11698" s="22" t="s">
        <v>96</v>
      </c>
      <c r="F11698" s="23" t="str">
        <f t="shared" si="332"/>
        <v>Оказание услуг по организации горячего питания школьников на 2019-2020 учебный год</v>
      </c>
      <c r="G11698" s="22" t="s">
        <v>82</v>
      </c>
      <c r="H11698" s="22" t="s">
        <v>83</v>
      </c>
      <c r="I11698" s="26">
        <v>43665.681250000001</v>
      </c>
      <c r="J11698" s="23" t="str">
        <f t="shared" si="333"/>
        <v>ООО КП "СОЛНЕЧНЫЙ"</v>
      </c>
      <c r="K11698" s="24" t="s">
        <v>7783</v>
      </c>
      <c r="L11698" s="28" t="s">
        <v>51</v>
      </c>
      <c r="M11698" s="28" t="s">
        <v>51</v>
      </c>
      <c r="N11698" s="28" t="s">
        <v>51</v>
      </c>
    </row>
    <row r="11699" spans="1:14" hidden="1" outlineLevel="1" x14ac:dyDescent="0.15">
      <c r="A11699" s="23" t="str">
        <f>HYPERLINK("https://www.spark-marketing.ru/Card/Person/60499", "МБОУ СОШ № 4")</f>
        <v>МБОУ СОШ № 4</v>
      </c>
      <c r="B11699" s="24" t="s">
        <v>7780</v>
      </c>
      <c r="C11699" s="25">
        <v>2497600</v>
      </c>
      <c r="D11699" s="22" t="s">
        <v>16181</v>
      </c>
      <c r="E11699" s="22" t="s">
        <v>96</v>
      </c>
      <c r="F11699" s="23" t="str">
        <f t="shared" si="332"/>
        <v>Оказание услуг по организации горячего питания школьников на 2019-2020 учебный год</v>
      </c>
      <c r="G11699" s="22" t="s">
        <v>82</v>
      </c>
      <c r="H11699" s="22" t="s">
        <v>83</v>
      </c>
      <c r="I11699" s="26">
        <v>43665.681250000001</v>
      </c>
      <c r="J11699" s="23" t="str">
        <f t="shared" si="333"/>
        <v>ООО КП "СОЛНЕЧНЫЙ"</v>
      </c>
      <c r="K11699" s="24" t="s">
        <v>7783</v>
      </c>
      <c r="L11699" s="28" t="s">
        <v>51</v>
      </c>
      <c r="M11699" s="28" t="s">
        <v>51</v>
      </c>
      <c r="N11699" s="28" t="s">
        <v>51</v>
      </c>
    </row>
    <row r="11700" spans="1:14" hidden="1" outlineLevel="1" x14ac:dyDescent="0.15">
      <c r="A11700" s="23" t="str">
        <f>HYPERLINK("https://www.spark-marketing.ru/Card/Person/88063", "МБОУ СОШ № 25")</f>
        <v>МБОУ СОШ № 25</v>
      </c>
      <c r="B11700" s="24" t="s">
        <v>7781</v>
      </c>
      <c r="C11700" s="25">
        <v>934024</v>
      </c>
      <c r="D11700" s="22" t="s">
        <v>16181</v>
      </c>
      <c r="E11700" s="22" t="s">
        <v>96</v>
      </c>
      <c r="F11700" s="23" t="str">
        <f t="shared" si="332"/>
        <v>Оказание услуг по организации горячего питания школьников на 2019-2020 учебный год</v>
      </c>
      <c r="G11700" s="22" t="s">
        <v>82</v>
      </c>
      <c r="H11700" s="22" t="s">
        <v>83</v>
      </c>
      <c r="I11700" s="26">
        <v>43665.681250000001</v>
      </c>
      <c r="J11700" s="23" t="str">
        <f t="shared" si="333"/>
        <v>ООО КП "СОЛНЕЧНЫЙ"</v>
      </c>
      <c r="K11700" s="24" t="s">
        <v>7783</v>
      </c>
      <c r="L11700" s="28" t="s">
        <v>51</v>
      </c>
      <c r="M11700" s="28" t="s">
        <v>51</v>
      </c>
      <c r="N11700" s="28" t="s">
        <v>51</v>
      </c>
    </row>
    <row r="11701" spans="1:14" hidden="1" outlineLevel="1" x14ac:dyDescent="0.15">
      <c r="A11701" s="23" t="str">
        <f>HYPERLINK("https://www.spark-marketing.ru/Card/Person/999998", "МБОУ ""ЛИЦЕЙ № 65""")</f>
        <v>МБОУ "ЛИЦЕЙ № 65"</v>
      </c>
      <c r="B11701" s="24" t="s">
        <v>7894</v>
      </c>
      <c r="C11701" s="25">
        <v>3465532</v>
      </c>
      <c r="D11701" s="22" t="s">
        <v>16181</v>
      </c>
      <c r="E11701" s="22" t="s">
        <v>96</v>
      </c>
      <c r="F11701" s="23" t="str">
        <f t="shared" si="332"/>
        <v>Оказание услуг по организации горячего питания школьников на 2019-2020 учебный год</v>
      </c>
      <c r="G11701" s="22" t="s">
        <v>82</v>
      </c>
      <c r="H11701" s="22" t="s">
        <v>83</v>
      </c>
      <c r="I11701" s="26">
        <v>43665.681250000001</v>
      </c>
      <c r="J11701" s="23" t="str">
        <f t="shared" si="333"/>
        <v>ООО КП "СОЛНЕЧНЫЙ"</v>
      </c>
      <c r="K11701" s="24" t="s">
        <v>7783</v>
      </c>
      <c r="L11701" s="28" t="s">
        <v>51</v>
      </c>
      <c r="M11701" s="28" t="s">
        <v>51</v>
      </c>
      <c r="N11701" s="28" t="s">
        <v>51</v>
      </c>
    </row>
    <row r="11702" spans="1:14" collapsed="1" x14ac:dyDescent="0.2">
      <c r="A11702" s="23" t="s">
        <v>114</v>
      </c>
      <c r="B11702" s="28" t="s">
        <v>51</v>
      </c>
      <c r="C11702" s="25">
        <v>31711341</v>
      </c>
      <c r="D11702" s="22" t="s">
        <v>16182</v>
      </c>
      <c r="E11702" s="22" t="s">
        <v>48</v>
      </c>
      <c r="F11702" s="23" t="str">
        <f>HYPERLINK("https://www.spark-marketing.ru/Card/Lot/72224752", "Оказание услуг по организации питания учащихся в 2019-2021 гг.")</f>
        <v>Оказание услуг по организации питания учащихся в 2019-2021 гг.</v>
      </c>
      <c r="G11702" s="22" t="s">
        <v>51</v>
      </c>
      <c r="H11702" s="22" t="s">
        <v>51</v>
      </c>
      <c r="I11702" s="26">
        <v>43665.706250000003</v>
      </c>
      <c r="J11702" s="23" t="str">
        <f t="shared" ref="J11702:J11709" si="334">HYPERLINK("https://www.spark-marketing.ru/Card/Person/103647", "АО ""КСП ""ВОЛНА""")</f>
        <v>АО "КСП "ВОЛНА"</v>
      </c>
      <c r="K11702" s="24" t="s">
        <v>5446</v>
      </c>
      <c r="L11702" s="28" t="s">
        <v>51</v>
      </c>
      <c r="M11702" s="25">
        <v>31711341</v>
      </c>
      <c r="N11702" s="27">
        <v>0</v>
      </c>
    </row>
    <row r="11703" spans="1:14" hidden="1" outlineLevel="1" x14ac:dyDescent="0.2">
      <c r="A11703" s="23" t="str">
        <f>HYPERLINK("https://www.spark-marketing.ru/Card/Person/71077", "ГБОУ ШКОЛА № 23 С УГЛУБЛЕННЫМ ИЗУЧЕНИЕМ ФИНСКОГО ЯЗЫКА НЕВСКОГО РАЙОНА САНКТ-ПЕТЕРБУРГА")</f>
        <v>ГБОУ ШКОЛА № 23 С УГЛУБЛЕННЫМ ИЗУЧЕНИЕМ ФИНСКОГО ЯЗЫКА НЕВСКОГО РАЙОНА САНКТ-ПЕТЕРБУРГА</v>
      </c>
      <c r="B11703" s="24" t="s">
        <v>16183</v>
      </c>
      <c r="C11703" s="25">
        <v>10533943</v>
      </c>
      <c r="D11703" s="22" t="s">
        <v>16182</v>
      </c>
      <c r="E11703" s="22" t="s">
        <v>48</v>
      </c>
      <c r="F11703" s="23" t="str">
        <f>HYPERLINK("https://www.spark-marketing.ru/Card/Lot/72224752", "Оказание услуг по организации питания учащихся в 2019-2021 гг.")</f>
        <v>Оказание услуг по организации питания учащихся в 2019-2021 гг.</v>
      </c>
      <c r="G11703" s="22" t="s">
        <v>117</v>
      </c>
      <c r="H11703" s="22" t="s">
        <v>117</v>
      </c>
      <c r="I11703" s="26">
        <v>43665.706250000003</v>
      </c>
      <c r="J11703" s="23" t="str">
        <f t="shared" si="334"/>
        <v>АО "КСП "ВОЛНА"</v>
      </c>
      <c r="K11703" s="24" t="s">
        <v>5446</v>
      </c>
      <c r="L11703" s="28" t="s">
        <v>51</v>
      </c>
      <c r="M11703" s="28" t="s">
        <v>51</v>
      </c>
      <c r="N11703" s="27">
        <v>0</v>
      </c>
    </row>
    <row r="11704" spans="1:14" hidden="1" outlineLevel="1" x14ac:dyDescent="0.2">
      <c r="A11704" s="23" t="str">
        <f>HYPERLINK("https://www.spark-marketing.ru/Card/Person/74002", "ГБОУ ГИМНАЗИЯ № 343 НЕВСКОГО РАЙОНА САНКТ-ПЕТЕРБУРГА")</f>
        <v>ГБОУ ГИМНАЗИЯ № 343 НЕВСКОГО РАЙОНА САНКТ-ПЕТЕРБУРГА</v>
      </c>
      <c r="B11704" s="24" t="s">
        <v>16184</v>
      </c>
      <c r="C11704" s="25">
        <v>10074652</v>
      </c>
      <c r="D11704" s="22" t="s">
        <v>16182</v>
      </c>
      <c r="E11704" s="22" t="s">
        <v>48</v>
      </c>
      <c r="F11704" s="23" t="str">
        <f>HYPERLINK("https://www.spark-marketing.ru/Card/Lot/72224752", "Оказание услуг по организации питания учащихся в 2019-2021 гг.")</f>
        <v>Оказание услуг по организации питания учащихся в 2019-2021 гг.</v>
      </c>
      <c r="G11704" s="22" t="s">
        <v>117</v>
      </c>
      <c r="H11704" s="22" t="s">
        <v>117</v>
      </c>
      <c r="I11704" s="26">
        <v>43665.706250000003</v>
      </c>
      <c r="J11704" s="23" t="str">
        <f t="shared" si="334"/>
        <v>АО "КСП "ВОЛНА"</v>
      </c>
      <c r="K11704" s="24" t="s">
        <v>5446</v>
      </c>
      <c r="L11704" s="28" t="s">
        <v>51</v>
      </c>
      <c r="M11704" s="28" t="s">
        <v>51</v>
      </c>
      <c r="N11704" s="27">
        <v>0</v>
      </c>
    </row>
    <row r="11705" spans="1:14" hidden="1" outlineLevel="1" x14ac:dyDescent="0.2">
      <c r="A11705" s="23" t="str">
        <f>HYPERLINK("https://www.spark-marketing.ru/Card/Person/240222", "ГБОУ СОШ № 13 С УГЛУБЛЕННЫМ ИЗУЧЕНИЕМ АНГЛИЙСКОГО ЯЗЫКА НЕВСКОГО РАЙОНА САНКТ-ПЕТЕРБУРГА")</f>
        <v>ГБОУ СОШ № 13 С УГЛУБЛЕННЫМ ИЗУЧЕНИЕМ АНГЛИЙСКОГО ЯЗЫКА НЕВСКОГО РАЙОНА САНКТ-ПЕТЕРБУРГА</v>
      </c>
      <c r="B11705" s="24" t="s">
        <v>16185</v>
      </c>
      <c r="C11705" s="25">
        <v>11102746</v>
      </c>
      <c r="D11705" s="22" t="s">
        <v>16182</v>
      </c>
      <c r="E11705" s="22" t="s">
        <v>48</v>
      </c>
      <c r="F11705" s="23" t="str">
        <f>HYPERLINK("https://www.spark-marketing.ru/Card/Lot/72224752", "Оказание услуг по организации питания учащихся в 2019-2021 гг.")</f>
        <v>Оказание услуг по организации питания учащихся в 2019-2021 гг.</v>
      </c>
      <c r="G11705" s="22" t="s">
        <v>117</v>
      </c>
      <c r="H11705" s="22" t="s">
        <v>117</v>
      </c>
      <c r="I11705" s="26">
        <v>43665.706250000003</v>
      </c>
      <c r="J11705" s="23" t="str">
        <f t="shared" si="334"/>
        <v>АО "КСП "ВОЛНА"</v>
      </c>
      <c r="K11705" s="24" t="s">
        <v>5446</v>
      </c>
      <c r="L11705" s="28" t="s">
        <v>51</v>
      </c>
      <c r="M11705" s="28" t="s">
        <v>51</v>
      </c>
      <c r="N11705" s="27">
        <v>0</v>
      </c>
    </row>
    <row r="11706" spans="1:14" collapsed="1" x14ac:dyDescent="0.2">
      <c r="A11706" s="23" t="s">
        <v>114</v>
      </c>
      <c r="B11706" s="28" t="s">
        <v>51</v>
      </c>
      <c r="C11706" s="25">
        <v>39187713</v>
      </c>
      <c r="D11706" s="22" t="s">
        <v>16186</v>
      </c>
      <c r="E11706" s="22" t="s">
        <v>48</v>
      </c>
      <c r="F11706" s="23" t="str">
        <f>HYPERLINK("https://www.spark-marketing.ru/Card/Lot/72224755", "Оказание услуг по организации питания учащихся в 2019-2021 гг.")</f>
        <v>Оказание услуг по организации питания учащихся в 2019-2021 гг.</v>
      </c>
      <c r="G11706" s="22" t="s">
        <v>51</v>
      </c>
      <c r="H11706" s="22" t="s">
        <v>51</v>
      </c>
      <c r="I11706" s="26">
        <v>43665.699305555601</v>
      </c>
      <c r="J11706" s="23" t="str">
        <f t="shared" si="334"/>
        <v>АО "КСП "ВОЛНА"</v>
      </c>
      <c r="K11706" s="24" t="s">
        <v>5446</v>
      </c>
      <c r="L11706" s="28" t="s">
        <v>51</v>
      </c>
      <c r="M11706" s="25">
        <v>39187713</v>
      </c>
      <c r="N11706" s="27">
        <v>0</v>
      </c>
    </row>
    <row r="11707" spans="1:14" hidden="1" outlineLevel="1" x14ac:dyDescent="0.2">
      <c r="A11707" s="23" t="str">
        <f>HYPERLINK("https://www.spark-marketing.ru/Card/Person/25549", "ГБОУ ШКОЛА №331 НЕВСКОГО РАЙОНА САНКТ-ПЕТЕРБУРГА")</f>
        <v>ГБОУ ШКОЛА №331 НЕВСКОГО РАЙОНА САНКТ-ПЕТЕРБУРГА</v>
      </c>
      <c r="B11707" s="24" t="s">
        <v>16187</v>
      </c>
      <c r="C11707" s="25">
        <v>14140335</v>
      </c>
      <c r="D11707" s="22" t="s">
        <v>16186</v>
      </c>
      <c r="E11707" s="22" t="s">
        <v>48</v>
      </c>
      <c r="F11707" s="23" t="str">
        <f>HYPERLINK("https://www.spark-marketing.ru/Card/Lot/72224755", "Оказание услуг по организации питания учащихся в 2019-2021 гг.")</f>
        <v>Оказание услуг по организации питания учащихся в 2019-2021 гг.</v>
      </c>
      <c r="G11707" s="22" t="s">
        <v>117</v>
      </c>
      <c r="H11707" s="22" t="s">
        <v>117</v>
      </c>
      <c r="I11707" s="26">
        <v>43665.699305555601</v>
      </c>
      <c r="J11707" s="23" t="str">
        <f t="shared" si="334"/>
        <v>АО "КСП "ВОЛНА"</v>
      </c>
      <c r="K11707" s="24" t="s">
        <v>5446</v>
      </c>
      <c r="L11707" s="28" t="s">
        <v>51</v>
      </c>
      <c r="M11707" s="28" t="s">
        <v>51</v>
      </c>
      <c r="N11707" s="27">
        <v>0</v>
      </c>
    </row>
    <row r="11708" spans="1:14" hidden="1" outlineLevel="1" x14ac:dyDescent="0.2">
      <c r="A11708" s="23" t="str">
        <f>HYPERLINK("https://www.spark-marketing.ru/Card/Person/89010", "ГБОУ ЛИЦЕЙ № 572 НЕВСКОГО РАЙОНА САНКТ-ПЕТЕРБУРГА")</f>
        <v>ГБОУ ЛИЦЕЙ № 572 НЕВСКОГО РАЙОНА САНКТ-ПЕТЕРБУРГА</v>
      </c>
      <c r="B11708" s="24" t="s">
        <v>16188</v>
      </c>
      <c r="C11708" s="25">
        <v>14358179</v>
      </c>
      <c r="D11708" s="22" t="s">
        <v>16186</v>
      </c>
      <c r="E11708" s="22" t="s">
        <v>48</v>
      </c>
      <c r="F11708" s="23" t="str">
        <f>HYPERLINK("https://www.spark-marketing.ru/Card/Lot/72224755", "Оказание услуг по организации питания учащихся в 2019-2021 гг.")</f>
        <v>Оказание услуг по организации питания учащихся в 2019-2021 гг.</v>
      </c>
      <c r="G11708" s="22" t="s">
        <v>117</v>
      </c>
      <c r="H11708" s="22" t="s">
        <v>117</v>
      </c>
      <c r="I11708" s="26">
        <v>43665.699305555601</v>
      </c>
      <c r="J11708" s="23" t="str">
        <f t="shared" si="334"/>
        <v>АО "КСП "ВОЛНА"</v>
      </c>
      <c r="K11708" s="24" t="s">
        <v>5446</v>
      </c>
      <c r="L11708" s="28" t="s">
        <v>51</v>
      </c>
      <c r="M11708" s="28" t="s">
        <v>51</v>
      </c>
      <c r="N11708" s="27">
        <v>0</v>
      </c>
    </row>
    <row r="11709" spans="1:14" hidden="1" outlineLevel="1" x14ac:dyDescent="0.2">
      <c r="A11709" s="23" t="str">
        <f>HYPERLINK("https://www.spark-marketing.ru/Card/Person/90080", "ГБОУ СРЕДНЯЯ ШКОЛА № 527 НЕВСКОГО РАЙОНА САНКТ-ПЕТЕРБУРГА")</f>
        <v>ГБОУ СРЕДНЯЯ ШКОЛА № 527 НЕВСКОГО РАЙОНА САНКТ-ПЕТЕРБУРГА</v>
      </c>
      <c r="B11709" s="24" t="s">
        <v>16189</v>
      </c>
      <c r="C11709" s="25">
        <v>10689199</v>
      </c>
      <c r="D11709" s="22" t="s">
        <v>16186</v>
      </c>
      <c r="E11709" s="22" t="s">
        <v>48</v>
      </c>
      <c r="F11709" s="23" t="str">
        <f>HYPERLINK("https://www.spark-marketing.ru/Card/Lot/72224755", "Оказание услуг по организации питания учащихся в 2019-2021 гг.")</f>
        <v>Оказание услуг по организации питания учащихся в 2019-2021 гг.</v>
      </c>
      <c r="G11709" s="22" t="s">
        <v>117</v>
      </c>
      <c r="H11709" s="22" t="s">
        <v>117</v>
      </c>
      <c r="I11709" s="26">
        <v>43665.699305555601</v>
      </c>
      <c r="J11709" s="23" t="str">
        <f t="shared" si="334"/>
        <v>АО "КСП "ВОЛНА"</v>
      </c>
      <c r="K11709" s="24" t="s">
        <v>5446</v>
      </c>
      <c r="L11709" s="28" t="s">
        <v>51</v>
      </c>
      <c r="M11709" s="28" t="s">
        <v>51</v>
      </c>
      <c r="N11709" s="27">
        <v>0</v>
      </c>
    </row>
    <row r="11710" spans="1:14" collapsed="1" x14ac:dyDescent="0.15">
      <c r="A11710" s="23" t="str">
        <f>HYPERLINK("https://www.spark-marketing.ru/Card/Person/8972", "УПРАВЛЕНИЕ ДЕЛАМИ ПРАВИТЕЛЬСТВА ЛЕНИНГРАДСКОЙ ОБЛАСТИ")</f>
        <v>УПРАВЛЕНИЕ ДЕЛАМИ ПРАВИТЕЛЬСТВА ЛЕНИНГРАДСКОЙ ОБЛАСТИ</v>
      </c>
      <c r="B11710" s="24" t="s">
        <v>16190</v>
      </c>
      <c r="C11710" s="25">
        <v>500000</v>
      </c>
      <c r="D11710" s="22" t="s">
        <v>16191</v>
      </c>
      <c r="E11710" s="22" t="s">
        <v>67</v>
      </c>
      <c r="F11710" s="23" t="str">
        <f>HYPERLINK("https://www.spark-marketing.ru/Card/Lot/72224344", "Оказание услуг по организации питания для участников мероприятий, проводимых Администрацией Ленинградской области (кофе-брейки)")</f>
        <v>Оказание услуг по организации питания для участников мероприятий, проводимых Администрацией Ленинградской области (кофе-брейки)</v>
      </c>
      <c r="G11710" s="22" t="s">
        <v>117</v>
      </c>
      <c r="H11710" s="22" t="s">
        <v>117</v>
      </c>
      <c r="I11710" s="26">
        <v>43665.669166666703</v>
      </c>
      <c r="J11710" s="28" t="s">
        <v>51</v>
      </c>
      <c r="K11710" s="28" t="s">
        <v>51</v>
      </c>
      <c r="L11710" s="28" t="s">
        <v>51</v>
      </c>
      <c r="M11710" s="28" t="s">
        <v>51</v>
      </c>
      <c r="N11710" s="28" t="s">
        <v>51</v>
      </c>
    </row>
    <row r="11711" spans="1:14" hidden="1" outlineLevel="1" x14ac:dyDescent="0.2">
      <c r="A11711" s="23" t="str">
        <f>HYPERLINK("https://www.spark-marketing.ru/Card/Person/8972", "УПРАВЛЕНИЕ ДЕЛАМИ ПРАВИТЕЛЬСТВА ЛЕНИНГРАДСКОЙ ОБЛАСТИ")</f>
        <v>УПРАВЛЕНИЕ ДЕЛАМИ ПРАВИТЕЛЬСТВА ЛЕНИНГРАДСКОЙ ОБЛАСТИ</v>
      </c>
      <c r="B11711" s="24" t="s">
        <v>16190</v>
      </c>
      <c r="C11711" s="25">
        <v>500000</v>
      </c>
      <c r="D11711" s="22" t="s">
        <v>16191</v>
      </c>
      <c r="E11711" s="22" t="s">
        <v>67</v>
      </c>
      <c r="F11711" s="23" t="str">
        <f>HYPERLINK("https://www.spark-marketing.ru/Card/Lot/72224344", "Оказание услуг по организации питания для участников мероприятий, проводимых Администрацией Ленинградской области (кофе-брейки)")</f>
        <v>Оказание услуг по организации питания для участников мероприятий, проводимых Администрацией Ленинградской области (кофе-брейки)</v>
      </c>
      <c r="G11711" s="22" t="s">
        <v>117</v>
      </c>
      <c r="H11711" s="22" t="s">
        <v>117</v>
      </c>
      <c r="I11711" s="26">
        <v>43665.669166666703</v>
      </c>
      <c r="J11711" s="23" t="str">
        <f>HYPERLINK("https://www.spark-marketing.ru/Card/Person/2232828", "ООО ""АРПИНА""")</f>
        <v>ООО "АРПИНА"</v>
      </c>
      <c r="K11711" s="24" t="s">
        <v>3380</v>
      </c>
      <c r="L11711" s="28" t="s">
        <v>51</v>
      </c>
      <c r="M11711" s="25">
        <v>452000</v>
      </c>
      <c r="N11711" s="27">
        <v>9.6000000000000002E-2</v>
      </c>
    </row>
    <row r="11712" spans="1:14" ht="12.75" hidden="1" outlineLevel="1" x14ac:dyDescent="0.2">
      <c r="A11712" s="23" t="str">
        <f>HYPERLINK("https://www.spark-marketing.ru/Card/Person/8972", "УПРАВЛЕНИЕ ДЕЛАМИ ПРАВИТЕЛЬСТВА ЛЕНИНГРАДСКОЙ ОБЛАСТИ")</f>
        <v>УПРАВЛЕНИЕ ДЕЛАМИ ПРАВИТЕЛЬСТВА ЛЕНИНГРАДСКОЙ ОБЛАСТИ</v>
      </c>
      <c r="B11712" s="24" t="s">
        <v>16190</v>
      </c>
      <c r="C11712" s="25">
        <v>500000</v>
      </c>
      <c r="D11712" s="22" t="s">
        <v>16191</v>
      </c>
      <c r="E11712" s="22" t="s">
        <v>67</v>
      </c>
      <c r="F11712" s="23" t="str">
        <f>HYPERLINK("https://www.spark-marketing.ru/Card/Lot/72224344", "Оказание услуг по организации питания для участников мероприятий, проводимых Администрацией Ленинградской области (кофе-брейки)")</f>
        <v>Оказание услуг по организации питания для участников мероприятий, проводимых Администрацией Ленинградской области (кофе-брейки)</v>
      </c>
      <c r="G11712" s="22" t="s">
        <v>117</v>
      </c>
      <c r="H11712" s="22" t="s">
        <v>117</v>
      </c>
      <c r="I11712" s="26">
        <v>43665.669166666703</v>
      </c>
      <c r="J11712" s="23" t="str">
        <f>HYPERLINK("https://www.spark-marketing.ru/Card/Person/359699", "ЛО ГУП ""СТОЛОВАЯ ""СУВОРОВСКАЯ""")</f>
        <v>ЛО ГУП "СТОЛОВАЯ "СУВОРОВСКАЯ"</v>
      </c>
      <c r="K11712" s="24" t="s">
        <v>16192</v>
      </c>
      <c r="L11712" s="22" t="s">
        <v>10</v>
      </c>
      <c r="M11712" s="25">
        <v>410</v>
      </c>
      <c r="N11712" s="27">
        <v>0.99917999999999996</v>
      </c>
    </row>
    <row r="11713" spans="1:14" hidden="1" outlineLevel="1" x14ac:dyDescent="0.2">
      <c r="A11713" s="23" t="str">
        <f>HYPERLINK("https://www.spark-marketing.ru/Card/Person/8972", "УПРАВЛЕНИЕ ДЕЛАМИ ПРАВИТЕЛЬСТВА ЛЕНИНГРАДСКОЙ ОБЛАСТИ")</f>
        <v>УПРАВЛЕНИЕ ДЕЛАМИ ПРАВИТЕЛЬСТВА ЛЕНИНГРАДСКОЙ ОБЛАСТИ</v>
      </c>
      <c r="B11713" s="24" t="s">
        <v>16190</v>
      </c>
      <c r="C11713" s="25">
        <v>500000</v>
      </c>
      <c r="D11713" s="22" t="s">
        <v>16191</v>
      </c>
      <c r="E11713" s="22" t="s">
        <v>67</v>
      </c>
      <c r="F11713" s="23" t="str">
        <f>HYPERLINK("https://www.spark-marketing.ru/Card/Lot/72224344", "Оказание услуг по организации питания для участников мероприятий, проводимых Администрацией Ленинградской области (кофе-брейки)")</f>
        <v>Оказание услуг по организации питания для участников мероприятий, проводимых Администрацией Ленинградской области (кофе-брейки)</v>
      </c>
      <c r="G11713" s="22" t="s">
        <v>117</v>
      </c>
      <c r="H11713" s="22" t="s">
        <v>117</v>
      </c>
      <c r="I11713" s="26">
        <v>43665.669166666703</v>
      </c>
      <c r="J11713" s="23" t="str">
        <f>HYPERLINK("https://www.spark-marketing.ru/Card/Person/153271", "ООО ""ПЕСТЕР""")</f>
        <v>ООО "ПЕСТЕР"</v>
      </c>
      <c r="K11713" s="24" t="s">
        <v>16193</v>
      </c>
      <c r="L11713" s="28" t="s">
        <v>51</v>
      </c>
      <c r="M11713" s="25">
        <v>498000</v>
      </c>
      <c r="N11713" s="27">
        <v>4.0000000000000001E-3</v>
      </c>
    </row>
    <row r="11714" spans="1:14" collapsed="1" x14ac:dyDescent="0.2">
      <c r="A11714" s="23" t="s">
        <v>114</v>
      </c>
      <c r="B11714" s="28" t="s">
        <v>51</v>
      </c>
      <c r="C11714" s="25">
        <v>39997365</v>
      </c>
      <c r="D11714" s="22" t="s">
        <v>16194</v>
      </c>
      <c r="E11714" s="22" t="s">
        <v>48</v>
      </c>
      <c r="F11714" s="23" t="str">
        <f>HYPERLINK("https://www.spark-marketing.ru/Card/Lot/72224763", "Оказание услуг по организации питания учащихся в 2019-2021 гг.")</f>
        <v>Оказание услуг по организации питания учащихся в 2019-2021 гг.</v>
      </c>
      <c r="G11714" s="22" t="s">
        <v>51</v>
      </c>
      <c r="H11714" s="22" t="s">
        <v>51</v>
      </c>
      <c r="I11714" s="26">
        <v>43665.704166666699</v>
      </c>
      <c r="J11714" s="23" t="str">
        <f>HYPERLINK("https://www.spark-marketing.ru/Card/Person/103647", "АО ""КСП ""ВОЛНА""")</f>
        <v>АО "КСП "ВОЛНА"</v>
      </c>
      <c r="K11714" s="24" t="s">
        <v>5446</v>
      </c>
      <c r="L11714" s="28" t="s">
        <v>51</v>
      </c>
      <c r="M11714" s="25">
        <v>39997365</v>
      </c>
      <c r="N11714" s="27">
        <v>0</v>
      </c>
    </row>
    <row r="11715" spans="1:14" hidden="1" outlineLevel="1" x14ac:dyDescent="0.2">
      <c r="A11715" s="23" t="str">
        <f>HYPERLINK("https://www.spark-marketing.ru/Card/Person/26847", "ГБОУ ШКОЛА № 334 НЕВСКОГО РАЙОНА САНКТ-ПЕТЕРБУРГА")</f>
        <v>ГБОУ ШКОЛА № 334 НЕВСКОГО РАЙОНА САНКТ-ПЕТЕРБУРГА</v>
      </c>
      <c r="B11715" s="24" t="s">
        <v>16195</v>
      </c>
      <c r="C11715" s="25">
        <v>13655915</v>
      </c>
      <c r="D11715" s="22" t="s">
        <v>16194</v>
      </c>
      <c r="E11715" s="22" t="s">
        <v>48</v>
      </c>
      <c r="F11715" s="23" t="str">
        <f>HYPERLINK("https://www.spark-marketing.ru/Card/Lot/72224763", "Оказание услуг по организации питания учащихся в 2019-2021 гг.")</f>
        <v>Оказание услуг по организации питания учащихся в 2019-2021 гг.</v>
      </c>
      <c r="G11715" s="22" t="s">
        <v>117</v>
      </c>
      <c r="H11715" s="22" t="s">
        <v>117</v>
      </c>
      <c r="I11715" s="26">
        <v>43665.704166666699</v>
      </c>
      <c r="J11715" s="23" t="str">
        <f>HYPERLINK("https://www.spark-marketing.ru/Card/Person/103647", "АО ""КСП ""ВОЛНА""")</f>
        <v>АО "КСП "ВОЛНА"</v>
      </c>
      <c r="K11715" s="24" t="s">
        <v>5446</v>
      </c>
      <c r="L11715" s="28" t="s">
        <v>51</v>
      </c>
      <c r="M11715" s="28" t="s">
        <v>51</v>
      </c>
      <c r="N11715" s="27">
        <v>0</v>
      </c>
    </row>
    <row r="11716" spans="1:14" hidden="1" outlineLevel="1" x14ac:dyDescent="0.2">
      <c r="A11716" s="23" t="str">
        <f>HYPERLINK("https://www.spark-marketing.ru/Card/Person/29265", "ГБОУ СРЕДНЯЯ ШКОЛА № 339 НЕВСКОГО РАЙОНА САНКТ-ПЕТЕРБУРГА")</f>
        <v>ГБОУ СРЕДНЯЯ ШКОЛА № 339 НЕВСКОГО РАЙОНА САНКТ-ПЕТЕРБУРГА</v>
      </c>
      <c r="B11716" s="24" t="s">
        <v>16196</v>
      </c>
      <c r="C11716" s="25">
        <v>13703235</v>
      </c>
      <c r="D11716" s="22" t="s">
        <v>16194</v>
      </c>
      <c r="E11716" s="22" t="s">
        <v>48</v>
      </c>
      <c r="F11716" s="23" t="str">
        <f>HYPERLINK("https://www.spark-marketing.ru/Card/Lot/72224763", "Оказание услуг по организации питания учащихся в 2019-2021 гг.")</f>
        <v>Оказание услуг по организации питания учащихся в 2019-2021 гг.</v>
      </c>
      <c r="G11716" s="22" t="s">
        <v>117</v>
      </c>
      <c r="H11716" s="22" t="s">
        <v>117</v>
      </c>
      <c r="I11716" s="26">
        <v>43665.704166666699</v>
      </c>
      <c r="J11716" s="23" t="str">
        <f>HYPERLINK("https://www.spark-marketing.ru/Card/Person/103647", "АО ""КСП ""ВОЛНА""")</f>
        <v>АО "КСП "ВОЛНА"</v>
      </c>
      <c r="K11716" s="24" t="s">
        <v>5446</v>
      </c>
      <c r="L11716" s="28" t="s">
        <v>51</v>
      </c>
      <c r="M11716" s="28" t="s">
        <v>51</v>
      </c>
      <c r="N11716" s="27">
        <v>0</v>
      </c>
    </row>
    <row r="11717" spans="1:14" hidden="1" outlineLevel="1" x14ac:dyDescent="0.2">
      <c r="A11717" s="23" t="str">
        <f>HYPERLINK("https://www.spark-marketing.ru/Card/Person/4344198", "ГБОУ ШКОЛА № 337 НЕВСКОГО РАЙОНА САНКТ-ПЕТЕРБУРГА")</f>
        <v>ГБОУ ШКОЛА № 337 НЕВСКОГО РАЙОНА САНКТ-ПЕТЕРБУРГА</v>
      </c>
      <c r="B11717" s="24" t="s">
        <v>16197</v>
      </c>
      <c r="C11717" s="25">
        <v>12638215</v>
      </c>
      <c r="D11717" s="22" t="s">
        <v>16194</v>
      </c>
      <c r="E11717" s="22" t="s">
        <v>48</v>
      </c>
      <c r="F11717" s="23" t="str">
        <f>HYPERLINK("https://www.spark-marketing.ru/Card/Lot/72224763", "Оказание услуг по организации питания учащихся в 2019-2021 гг.")</f>
        <v>Оказание услуг по организации питания учащихся в 2019-2021 гг.</v>
      </c>
      <c r="G11717" s="22" t="s">
        <v>117</v>
      </c>
      <c r="H11717" s="22" t="s">
        <v>117</v>
      </c>
      <c r="I11717" s="26">
        <v>43665.704166666699</v>
      </c>
      <c r="J11717" s="23" t="str">
        <f>HYPERLINK("https://www.spark-marketing.ru/Card/Person/103647", "АО ""КСП ""ВОЛНА""")</f>
        <v>АО "КСП "ВОЛНА"</v>
      </c>
      <c r="K11717" s="24" t="s">
        <v>5446</v>
      </c>
      <c r="L11717" s="28" t="s">
        <v>51</v>
      </c>
      <c r="M11717" s="28" t="s">
        <v>51</v>
      </c>
      <c r="N11717" s="27">
        <v>0</v>
      </c>
    </row>
    <row r="11718" spans="1:14" x14ac:dyDescent="0.2">
      <c r="A11718" s="23" t="str">
        <f>HYPERLINK("https://www.spark-marketing.ru/Card/Person/1008776", "ГКОУ ""ВОЛЖСКАЯ ШКОЛА-ИНТЕРНАТ""")</f>
        <v>ГКОУ "ВОЛЖСКАЯ ШКОЛА-ИНТЕРНАТ"</v>
      </c>
      <c r="B11718" s="24" t="s">
        <v>16198</v>
      </c>
      <c r="C11718" s="25">
        <v>12035228.619999999</v>
      </c>
      <c r="D11718" s="22" t="s">
        <v>16199</v>
      </c>
      <c r="E11718" s="22" t="s">
        <v>48</v>
      </c>
      <c r="F11718" s="23" t="str">
        <f>HYPERLINK("https://www.spark-marketing.ru/Card/Lot/72224225", "Оказание услуг по обеспечению питанием")</f>
        <v>Оказание услуг по обеспечению питанием</v>
      </c>
      <c r="G11718" s="22" t="s">
        <v>158</v>
      </c>
      <c r="H11718" s="22" t="s">
        <v>1380</v>
      </c>
      <c r="I11718" s="26">
        <v>43665.706250000003</v>
      </c>
      <c r="J11718" s="23" t="str">
        <f>HYPERLINK("https://www.spark-marketing.ru/Card/Person/6558293", "ООО ""ВИВО МАРКЕТ""")</f>
        <v>ООО "ВИВО МАРКЕТ"</v>
      </c>
      <c r="K11718" s="24" t="s">
        <v>14440</v>
      </c>
      <c r="L11718" s="28" t="s">
        <v>51</v>
      </c>
      <c r="M11718" s="25">
        <v>12035228.619999999</v>
      </c>
      <c r="N11718" s="27">
        <v>0</v>
      </c>
    </row>
    <row r="11719" spans="1:14" collapsed="1" x14ac:dyDescent="0.2">
      <c r="A11719" s="23" t="s">
        <v>114</v>
      </c>
      <c r="B11719" s="28" t="s">
        <v>51</v>
      </c>
      <c r="C11719" s="25">
        <v>39923577</v>
      </c>
      <c r="D11719" s="22" t="s">
        <v>16200</v>
      </c>
      <c r="E11719" s="22" t="s">
        <v>48</v>
      </c>
      <c r="F11719" s="23" t="str">
        <f>HYPERLINK("https://www.spark-marketing.ru/Card/Lot/72224759", "Оказание услуг по организации питания учащихся в 2019-2021 гг.")</f>
        <v>Оказание услуг по организации питания учащихся в 2019-2021 гг.</v>
      </c>
      <c r="G11719" s="22" t="s">
        <v>51</v>
      </c>
      <c r="H11719" s="22" t="s">
        <v>51</v>
      </c>
      <c r="I11719" s="26">
        <v>43665.702083333301</v>
      </c>
      <c r="J11719" s="23" t="str">
        <f t="shared" ref="J11719:J11726" si="335">HYPERLINK("https://www.spark-marketing.ru/Card/Person/103647", "АО ""КСП ""ВОЛНА""")</f>
        <v>АО "КСП "ВОЛНА"</v>
      </c>
      <c r="K11719" s="24" t="s">
        <v>5446</v>
      </c>
      <c r="L11719" s="28" t="s">
        <v>51</v>
      </c>
      <c r="M11719" s="25">
        <v>39923577</v>
      </c>
      <c r="N11719" s="27">
        <v>0</v>
      </c>
    </row>
    <row r="11720" spans="1:14" hidden="1" outlineLevel="1" x14ac:dyDescent="0.2">
      <c r="A11720" s="23" t="str">
        <f>HYPERLINK("https://www.spark-marketing.ru/Card/Person/53904", "ГБОУ ШКОЛА №346 НЕВСКОГО РАЙОНА САНКТ-ПЕТЕРБУРГА")</f>
        <v>ГБОУ ШКОЛА №346 НЕВСКОГО РАЙОНА САНКТ-ПЕТЕРБУРГА</v>
      </c>
      <c r="B11720" s="24" t="s">
        <v>16201</v>
      </c>
      <c r="C11720" s="25">
        <v>23742152</v>
      </c>
      <c r="D11720" s="22" t="s">
        <v>16200</v>
      </c>
      <c r="E11720" s="22" t="s">
        <v>48</v>
      </c>
      <c r="F11720" s="23" t="str">
        <f>HYPERLINK("https://www.spark-marketing.ru/Card/Lot/72224759", "Оказание услуг по организации питания учащихся в 2019-2021 гг.")</f>
        <v>Оказание услуг по организации питания учащихся в 2019-2021 гг.</v>
      </c>
      <c r="G11720" s="22" t="s">
        <v>117</v>
      </c>
      <c r="H11720" s="22" t="s">
        <v>117</v>
      </c>
      <c r="I11720" s="26">
        <v>43665.702083333301</v>
      </c>
      <c r="J11720" s="23" t="str">
        <f t="shared" si="335"/>
        <v>АО "КСП "ВОЛНА"</v>
      </c>
      <c r="K11720" s="24" t="s">
        <v>5446</v>
      </c>
      <c r="L11720" s="28" t="s">
        <v>51</v>
      </c>
      <c r="M11720" s="28" t="s">
        <v>51</v>
      </c>
      <c r="N11720" s="27">
        <v>0</v>
      </c>
    </row>
    <row r="11721" spans="1:14" hidden="1" outlineLevel="1" x14ac:dyDescent="0.2">
      <c r="A11721" s="23" t="str">
        <f>HYPERLINK("https://www.spark-marketing.ru/Card/Person/135104", "ГБОУ ШКОЛА № 350 НЕВСКОГО РАЙОНА САНКТ-ПЕТЕРБУРГА")</f>
        <v>ГБОУ ШКОЛА № 350 НЕВСКОГО РАЙОНА САНКТ-ПЕТЕРБУРГА</v>
      </c>
      <c r="B11721" s="24" t="s">
        <v>16202</v>
      </c>
      <c r="C11721" s="25">
        <v>16181425</v>
      </c>
      <c r="D11721" s="22" t="s">
        <v>16200</v>
      </c>
      <c r="E11721" s="22" t="s">
        <v>48</v>
      </c>
      <c r="F11721" s="23" t="str">
        <f>HYPERLINK("https://www.spark-marketing.ru/Card/Lot/72224759", "Оказание услуг по организации питания учащихся в 2019-2021 гг.")</f>
        <v>Оказание услуг по организации питания учащихся в 2019-2021 гг.</v>
      </c>
      <c r="G11721" s="22" t="s">
        <v>117</v>
      </c>
      <c r="H11721" s="22" t="s">
        <v>117</v>
      </c>
      <c r="I11721" s="26">
        <v>43665.702083333301</v>
      </c>
      <c r="J11721" s="23" t="str">
        <f t="shared" si="335"/>
        <v>АО "КСП "ВОЛНА"</v>
      </c>
      <c r="K11721" s="24" t="s">
        <v>5446</v>
      </c>
      <c r="L11721" s="28" t="s">
        <v>51</v>
      </c>
      <c r="M11721" s="28" t="s">
        <v>51</v>
      </c>
      <c r="N11721" s="27">
        <v>0</v>
      </c>
    </row>
    <row r="11722" spans="1:14" collapsed="1" x14ac:dyDescent="0.2">
      <c r="A11722" s="23" t="s">
        <v>114</v>
      </c>
      <c r="B11722" s="28" t="s">
        <v>51</v>
      </c>
      <c r="C11722" s="25">
        <v>39033506</v>
      </c>
      <c r="D11722" s="22" t="s">
        <v>16203</v>
      </c>
      <c r="E11722" s="22" t="s">
        <v>48</v>
      </c>
      <c r="F11722" s="23" t="str">
        <f>HYPERLINK("https://www.spark-marketing.ru/Card/Lot/72224754", "Оказание услуг по организации питания учащихся в 2019-2021 гг.")</f>
        <v>Оказание услуг по организации питания учащихся в 2019-2021 гг.</v>
      </c>
      <c r="G11722" s="22" t="s">
        <v>51</v>
      </c>
      <c r="H11722" s="22" t="s">
        <v>51</v>
      </c>
      <c r="I11722" s="26">
        <v>43665.7055555556</v>
      </c>
      <c r="J11722" s="23" t="str">
        <f t="shared" si="335"/>
        <v>АО "КСП "ВОЛНА"</v>
      </c>
      <c r="K11722" s="24" t="s">
        <v>5446</v>
      </c>
      <c r="L11722" s="28" t="s">
        <v>51</v>
      </c>
      <c r="M11722" s="25">
        <v>39033506</v>
      </c>
      <c r="N11722" s="27">
        <v>0</v>
      </c>
    </row>
    <row r="11723" spans="1:14" hidden="1" outlineLevel="1" x14ac:dyDescent="0.2">
      <c r="A11723" s="23" t="str">
        <f>HYPERLINK("https://www.spark-marketing.ru/Card/Person/19490", "ГБОУ СОШ № 557 НЕВСКОГО РАЙОНА САНКТ-ПЕТЕРБУРГА")</f>
        <v>ГБОУ СОШ № 557 НЕВСКОГО РАЙОНА САНКТ-ПЕТЕРБУРГА</v>
      </c>
      <c r="B11723" s="24" t="s">
        <v>16204</v>
      </c>
      <c r="C11723" s="25">
        <v>12898162</v>
      </c>
      <c r="D11723" s="22" t="s">
        <v>16203</v>
      </c>
      <c r="E11723" s="22" t="s">
        <v>48</v>
      </c>
      <c r="F11723" s="23" t="str">
        <f>HYPERLINK("https://www.spark-marketing.ru/Card/Lot/72224754", "Оказание услуг по организации питания учащихся в 2019-2021 гг.")</f>
        <v>Оказание услуг по организации питания учащихся в 2019-2021 гг.</v>
      </c>
      <c r="G11723" s="22" t="s">
        <v>117</v>
      </c>
      <c r="H11723" s="22" t="s">
        <v>117</v>
      </c>
      <c r="I11723" s="26">
        <v>43665.7055555556</v>
      </c>
      <c r="J11723" s="23" t="str">
        <f t="shared" si="335"/>
        <v>АО "КСП "ВОЛНА"</v>
      </c>
      <c r="K11723" s="24" t="s">
        <v>5446</v>
      </c>
      <c r="L11723" s="28" t="s">
        <v>51</v>
      </c>
      <c r="M11723" s="28" t="s">
        <v>51</v>
      </c>
      <c r="N11723" s="27">
        <v>0</v>
      </c>
    </row>
    <row r="11724" spans="1:14" hidden="1" outlineLevel="1" x14ac:dyDescent="0.2">
      <c r="A11724" s="23" t="str">
        <f>HYPERLINK("https://www.spark-marketing.ru/Card/Person/90213", "ГБОУ ЛИЦЕЙ № 329 НЕВСКОГО РАЙОНА САНКТ-ПЕТЕРБУРГА")</f>
        <v>ГБОУ ЛИЦЕЙ № 329 НЕВСКОГО РАЙОНА САНКТ-ПЕТЕРБУРГА</v>
      </c>
      <c r="B11724" s="24" t="s">
        <v>16205</v>
      </c>
      <c r="C11724" s="25">
        <v>8710066</v>
      </c>
      <c r="D11724" s="22" t="s">
        <v>16203</v>
      </c>
      <c r="E11724" s="22" t="s">
        <v>48</v>
      </c>
      <c r="F11724" s="23" t="str">
        <f>HYPERLINK("https://www.spark-marketing.ru/Card/Lot/72224754", "Оказание услуг по организации питания учащихся в 2019-2021 гг.")</f>
        <v>Оказание услуг по организации питания учащихся в 2019-2021 гг.</v>
      </c>
      <c r="G11724" s="22" t="s">
        <v>117</v>
      </c>
      <c r="H11724" s="22" t="s">
        <v>117</v>
      </c>
      <c r="I11724" s="26">
        <v>43665.7055555556</v>
      </c>
      <c r="J11724" s="23" t="str">
        <f t="shared" si="335"/>
        <v>АО "КСП "ВОЛНА"</v>
      </c>
      <c r="K11724" s="24" t="s">
        <v>5446</v>
      </c>
      <c r="L11724" s="28" t="s">
        <v>51</v>
      </c>
      <c r="M11724" s="28" t="s">
        <v>51</v>
      </c>
      <c r="N11724" s="27">
        <v>0</v>
      </c>
    </row>
    <row r="11725" spans="1:14" hidden="1" outlineLevel="1" x14ac:dyDescent="0.2">
      <c r="A11725" s="23" t="str">
        <f>HYPERLINK("https://www.spark-marketing.ru/Card/Person/105208", "ГБОУ ШКОЛА № 326 НЕВСКОГО РАЙОНА САНКТ-ПЕТЕРБУРГА")</f>
        <v>ГБОУ ШКОЛА № 326 НЕВСКОГО РАЙОНА САНКТ-ПЕТЕРБУРГА</v>
      </c>
      <c r="B11725" s="24" t="s">
        <v>16206</v>
      </c>
      <c r="C11725" s="25">
        <v>8652204</v>
      </c>
      <c r="D11725" s="22" t="s">
        <v>16203</v>
      </c>
      <c r="E11725" s="22" t="s">
        <v>48</v>
      </c>
      <c r="F11725" s="23" t="str">
        <f>HYPERLINK("https://www.spark-marketing.ru/Card/Lot/72224754", "Оказание услуг по организации питания учащихся в 2019-2021 гг.")</f>
        <v>Оказание услуг по организации питания учащихся в 2019-2021 гг.</v>
      </c>
      <c r="G11725" s="22" t="s">
        <v>117</v>
      </c>
      <c r="H11725" s="22" t="s">
        <v>117</v>
      </c>
      <c r="I11725" s="26">
        <v>43665.7055555556</v>
      </c>
      <c r="J11725" s="23" t="str">
        <f t="shared" si="335"/>
        <v>АО "КСП "ВОЛНА"</v>
      </c>
      <c r="K11725" s="24" t="s">
        <v>5446</v>
      </c>
      <c r="L11725" s="28" t="s">
        <v>51</v>
      </c>
      <c r="M11725" s="28" t="s">
        <v>51</v>
      </c>
      <c r="N11725" s="27">
        <v>0</v>
      </c>
    </row>
    <row r="11726" spans="1:14" hidden="1" outlineLevel="1" x14ac:dyDescent="0.2">
      <c r="A11726" s="23" t="str">
        <f>HYPERLINK("https://www.spark-marketing.ru/Card/Person/108429", "ГБОУ ГИМНАЗИЯ № 330 НЕВСКОГО РАЙОНА САНКТ-ПЕТЕРБУРГА")</f>
        <v>ГБОУ ГИМНАЗИЯ № 330 НЕВСКОГО РАЙОНА САНКТ-ПЕТЕРБУРГА</v>
      </c>
      <c r="B11726" s="24" t="s">
        <v>16207</v>
      </c>
      <c r="C11726" s="25">
        <v>8773074</v>
      </c>
      <c r="D11726" s="22" t="s">
        <v>16203</v>
      </c>
      <c r="E11726" s="22" t="s">
        <v>48</v>
      </c>
      <c r="F11726" s="23" t="str">
        <f>HYPERLINK("https://www.spark-marketing.ru/Card/Lot/72224754", "Оказание услуг по организации питания учащихся в 2019-2021 гг.")</f>
        <v>Оказание услуг по организации питания учащихся в 2019-2021 гг.</v>
      </c>
      <c r="G11726" s="22" t="s">
        <v>117</v>
      </c>
      <c r="H11726" s="22" t="s">
        <v>117</v>
      </c>
      <c r="I11726" s="26">
        <v>43665.7055555556</v>
      </c>
      <c r="J11726" s="23" t="str">
        <f t="shared" si="335"/>
        <v>АО "КСП "ВОЛНА"</v>
      </c>
      <c r="K11726" s="24" t="s">
        <v>5446</v>
      </c>
      <c r="L11726" s="28" t="s">
        <v>51</v>
      </c>
      <c r="M11726" s="28" t="s">
        <v>51</v>
      </c>
      <c r="N11726" s="27">
        <v>0</v>
      </c>
    </row>
    <row r="11727" spans="1:14" collapsed="1" x14ac:dyDescent="0.15">
      <c r="A11727" s="23" t="s">
        <v>114</v>
      </c>
      <c r="B11727" s="28" t="s">
        <v>51</v>
      </c>
      <c r="C11727" s="25">
        <v>29235857</v>
      </c>
      <c r="D11727" s="22" t="s">
        <v>16208</v>
      </c>
      <c r="E11727" s="22" t="s">
        <v>96</v>
      </c>
      <c r="F11727" s="23" t="str">
        <f t="shared" ref="F11727:F11737" si="336">HYPERLINK("https://www.spark-marketing.ru/Card/Lot/72224801",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11727" s="22" t="s">
        <v>51</v>
      </c>
      <c r="H11727" s="22" t="s">
        <v>51</v>
      </c>
      <c r="I11727" s="26">
        <v>43665.691666666702</v>
      </c>
      <c r="J11727" s="23" t="str">
        <f t="shared" ref="J11727:J11737" si="337">HYPERLINK("https://www.spark-marketing.ru/Card/Person/59814", "ООО КП ""СОЛНЕЧНЫЙ""")</f>
        <v>ООО КП "СОЛНЕЧНЫЙ"</v>
      </c>
      <c r="K11727" s="24" t="s">
        <v>7783</v>
      </c>
      <c r="L11727" s="28" t="s">
        <v>51</v>
      </c>
      <c r="M11727" s="28" t="s">
        <v>51</v>
      </c>
      <c r="N11727" s="28" t="s">
        <v>51</v>
      </c>
    </row>
    <row r="11728" spans="1:14" hidden="1" outlineLevel="1" x14ac:dyDescent="0.15">
      <c r="A11728" s="23" t="str">
        <f>HYPERLINK("https://www.spark-marketing.ru/Card/Person/63240", "МБОУ ГИМНАЗИЯ ИМ. АКАДЕМИКА Н.Г.БАСОВА")</f>
        <v>МБОУ ГИМНАЗИЯ ИМ. АКАДЕМИКА Н.Г.БАСОВА</v>
      </c>
      <c r="B11728" s="24" t="s">
        <v>8221</v>
      </c>
      <c r="C11728" s="25">
        <v>3896760</v>
      </c>
      <c r="D11728" s="22" t="s">
        <v>16208</v>
      </c>
      <c r="E11728" s="22" t="s">
        <v>96</v>
      </c>
      <c r="F11728" s="23" t="str">
        <f t="shared" si="336"/>
        <v>Оказание услуг по организации горячего питания школьников на 2019-2020 учебный год</v>
      </c>
      <c r="G11728" s="22" t="s">
        <v>82</v>
      </c>
      <c r="H11728" s="22" t="s">
        <v>83</v>
      </c>
      <c r="I11728" s="26">
        <v>43665.691666666702</v>
      </c>
      <c r="J11728" s="23" t="str">
        <f t="shared" si="337"/>
        <v>ООО КП "СОЛНЕЧНЫЙ"</v>
      </c>
      <c r="K11728" s="24" t="s">
        <v>7783</v>
      </c>
      <c r="L11728" s="28" t="s">
        <v>51</v>
      </c>
      <c r="M11728" s="28" t="s">
        <v>51</v>
      </c>
      <c r="N11728" s="28" t="s">
        <v>51</v>
      </c>
    </row>
    <row r="11729" spans="1:14" hidden="1" outlineLevel="1" x14ac:dyDescent="0.15">
      <c r="A11729" s="23" t="str">
        <f>HYPERLINK("https://www.spark-marketing.ru/Card/Person/119038", "МБОУ СОШ № 37")</f>
        <v>МБОУ СОШ № 37</v>
      </c>
      <c r="B11729" s="24" t="s">
        <v>7806</v>
      </c>
      <c r="C11729" s="25">
        <v>2052120</v>
      </c>
      <c r="D11729" s="22" t="s">
        <v>16208</v>
      </c>
      <c r="E11729" s="22" t="s">
        <v>96</v>
      </c>
      <c r="F11729" s="23" t="str">
        <f t="shared" si="336"/>
        <v>Оказание услуг по организации горячего питания школьников на 2019-2020 учебный год</v>
      </c>
      <c r="G11729" s="22" t="s">
        <v>82</v>
      </c>
      <c r="H11729" s="22" t="s">
        <v>83</v>
      </c>
      <c r="I11729" s="26">
        <v>43665.691666666702</v>
      </c>
      <c r="J11729" s="23" t="str">
        <f t="shared" si="337"/>
        <v>ООО КП "СОЛНЕЧНЫЙ"</v>
      </c>
      <c r="K11729" s="24" t="s">
        <v>7783</v>
      </c>
      <c r="L11729" s="28" t="s">
        <v>51</v>
      </c>
      <c r="M11729" s="28" t="s">
        <v>51</v>
      </c>
      <c r="N11729" s="28" t="s">
        <v>51</v>
      </c>
    </row>
    <row r="11730" spans="1:14" hidden="1" outlineLevel="1" x14ac:dyDescent="0.15">
      <c r="A11730" s="23" t="str">
        <f>HYPERLINK("https://www.spark-marketing.ru/Card/Person/120237", "МБОУ СОШ № 62")</f>
        <v>МБОУ СОШ № 62</v>
      </c>
      <c r="B11730" s="24" t="s">
        <v>7808</v>
      </c>
      <c r="C11730" s="25">
        <v>1983660</v>
      </c>
      <c r="D11730" s="22" t="s">
        <v>16208</v>
      </c>
      <c r="E11730" s="22" t="s">
        <v>96</v>
      </c>
      <c r="F11730" s="23" t="str">
        <f t="shared" si="336"/>
        <v>Оказание услуг по организации горячего питания школьников на 2019-2020 учебный год</v>
      </c>
      <c r="G11730" s="22" t="s">
        <v>82</v>
      </c>
      <c r="H11730" s="22" t="s">
        <v>83</v>
      </c>
      <c r="I11730" s="26">
        <v>43665.691666666702</v>
      </c>
      <c r="J11730" s="23" t="str">
        <f t="shared" si="337"/>
        <v>ООО КП "СОЛНЕЧНЫЙ"</v>
      </c>
      <c r="K11730" s="24" t="s">
        <v>7783</v>
      </c>
      <c r="L11730" s="28" t="s">
        <v>51</v>
      </c>
      <c r="M11730" s="28" t="s">
        <v>51</v>
      </c>
      <c r="N11730" s="28" t="s">
        <v>51</v>
      </c>
    </row>
    <row r="11731" spans="1:14" hidden="1" outlineLevel="1" x14ac:dyDescent="0.15">
      <c r="A11731" s="23" t="str">
        <f>HYPERLINK("https://www.spark-marketing.ru/Card/Person/120296", "ШКОЛА № 28 ГОРОДА ВОРОНЕЖА")</f>
        <v>ШКОЛА № 28 ГОРОДА ВОРОНЕЖА</v>
      </c>
      <c r="B11731" s="24" t="s">
        <v>7809</v>
      </c>
      <c r="C11731" s="25">
        <v>2896320</v>
      </c>
      <c r="D11731" s="22" t="s">
        <v>16208</v>
      </c>
      <c r="E11731" s="22" t="s">
        <v>96</v>
      </c>
      <c r="F11731" s="23" t="str">
        <f t="shared" si="336"/>
        <v>Оказание услуг по организации горячего питания школьников на 2019-2020 учебный год</v>
      </c>
      <c r="G11731" s="22" t="s">
        <v>82</v>
      </c>
      <c r="H11731" s="22" t="s">
        <v>83</v>
      </c>
      <c r="I11731" s="26">
        <v>43665.691666666702</v>
      </c>
      <c r="J11731" s="23" t="str">
        <f t="shared" si="337"/>
        <v>ООО КП "СОЛНЕЧНЫЙ"</v>
      </c>
      <c r="K11731" s="24" t="s">
        <v>7783</v>
      </c>
      <c r="L11731" s="28" t="s">
        <v>51</v>
      </c>
      <c r="M11731" s="28" t="s">
        <v>51</v>
      </c>
      <c r="N11731" s="28" t="s">
        <v>51</v>
      </c>
    </row>
    <row r="11732" spans="1:14" hidden="1" outlineLevel="1" x14ac:dyDescent="0.15">
      <c r="A11732" s="23" t="str">
        <f>HYPERLINK("https://www.spark-marketing.ru/Card/Person/122250", "МБОУ ЛИЦЕЙ № 7")</f>
        <v>МБОУ ЛИЦЕЙ № 7</v>
      </c>
      <c r="B11732" s="24" t="s">
        <v>8222</v>
      </c>
      <c r="C11732" s="25">
        <v>3886862</v>
      </c>
      <c r="D11732" s="22" t="s">
        <v>16208</v>
      </c>
      <c r="E11732" s="22" t="s">
        <v>96</v>
      </c>
      <c r="F11732" s="23" t="str">
        <f t="shared" si="336"/>
        <v>Оказание услуг по организации горячего питания школьников на 2019-2020 учебный год</v>
      </c>
      <c r="G11732" s="22" t="s">
        <v>82</v>
      </c>
      <c r="H11732" s="22" t="s">
        <v>83</v>
      </c>
      <c r="I11732" s="26">
        <v>43665.691666666702</v>
      </c>
      <c r="J11732" s="23" t="str">
        <f t="shared" si="337"/>
        <v>ООО КП "СОЛНЕЧНЫЙ"</v>
      </c>
      <c r="K11732" s="24" t="s">
        <v>7783</v>
      </c>
      <c r="L11732" s="28" t="s">
        <v>51</v>
      </c>
      <c r="M11732" s="28" t="s">
        <v>51</v>
      </c>
      <c r="N11732" s="28" t="s">
        <v>51</v>
      </c>
    </row>
    <row r="11733" spans="1:14" hidden="1" outlineLevel="1" x14ac:dyDescent="0.15">
      <c r="A11733" s="23" t="str">
        <f>HYPERLINK("https://www.spark-marketing.ru/Card/Person/234871", "МБОУ СОШ № 5 ИМ.К.П. ФЕОКТИСТОВА")</f>
        <v>МБОУ СОШ № 5 ИМ.К.П. ФЕОКТИСТОВА</v>
      </c>
      <c r="B11733" s="24" t="s">
        <v>7810</v>
      </c>
      <c r="C11733" s="25">
        <v>2304484</v>
      </c>
      <c r="D11733" s="22" t="s">
        <v>16208</v>
      </c>
      <c r="E11733" s="22" t="s">
        <v>96</v>
      </c>
      <c r="F11733" s="23" t="str">
        <f t="shared" si="336"/>
        <v>Оказание услуг по организации горячего питания школьников на 2019-2020 учебный год</v>
      </c>
      <c r="G11733" s="22" t="s">
        <v>82</v>
      </c>
      <c r="H11733" s="22" t="s">
        <v>83</v>
      </c>
      <c r="I11733" s="26">
        <v>43665.691666666702</v>
      </c>
      <c r="J11733" s="23" t="str">
        <f t="shared" si="337"/>
        <v>ООО КП "СОЛНЕЧНЫЙ"</v>
      </c>
      <c r="K11733" s="24" t="s">
        <v>7783</v>
      </c>
      <c r="L11733" s="28" t="s">
        <v>51</v>
      </c>
      <c r="M11733" s="28" t="s">
        <v>51</v>
      </c>
      <c r="N11733" s="28" t="s">
        <v>51</v>
      </c>
    </row>
    <row r="11734" spans="1:14" hidden="1" outlineLevel="1" x14ac:dyDescent="0.15">
      <c r="A11734" s="23" t="str">
        <f>HYPERLINK("https://www.spark-marketing.ru/Card/Person/1026599", "МБОУ ГИМНАЗИЯ ИМ. А.В. КОЛЬЦОВА")</f>
        <v>МБОУ ГИМНАЗИЯ ИМ. А.В. КОЛЬЦОВА</v>
      </c>
      <c r="B11734" s="24" t="s">
        <v>8223</v>
      </c>
      <c r="C11734" s="25">
        <v>2639252</v>
      </c>
      <c r="D11734" s="22" t="s">
        <v>16208</v>
      </c>
      <c r="E11734" s="22" t="s">
        <v>96</v>
      </c>
      <c r="F11734" s="23" t="str">
        <f t="shared" si="336"/>
        <v>Оказание услуг по организации горячего питания школьников на 2019-2020 учебный год</v>
      </c>
      <c r="G11734" s="22" t="s">
        <v>82</v>
      </c>
      <c r="H11734" s="22" t="s">
        <v>83</v>
      </c>
      <c r="I11734" s="26">
        <v>43665.691666666702</v>
      </c>
      <c r="J11734" s="23" t="str">
        <f t="shared" si="337"/>
        <v>ООО КП "СОЛНЕЧНЫЙ"</v>
      </c>
      <c r="K11734" s="24" t="s">
        <v>7783</v>
      </c>
      <c r="L11734" s="28" t="s">
        <v>51</v>
      </c>
      <c r="M11734" s="28" t="s">
        <v>51</v>
      </c>
      <c r="N11734" s="28" t="s">
        <v>51</v>
      </c>
    </row>
    <row r="11735" spans="1:14" hidden="1" outlineLevel="1" x14ac:dyDescent="0.15">
      <c r="A11735" s="23" t="str">
        <f>HYPERLINK("https://www.spark-marketing.ru/Card/Person/1028903", "МБОУ ООШ № 42")</f>
        <v>МБОУ ООШ № 42</v>
      </c>
      <c r="B11735" s="24" t="s">
        <v>7814</v>
      </c>
      <c r="C11735" s="25">
        <v>781599</v>
      </c>
      <c r="D11735" s="22" t="s">
        <v>16208</v>
      </c>
      <c r="E11735" s="22" t="s">
        <v>96</v>
      </c>
      <c r="F11735" s="23" t="str">
        <f t="shared" si="336"/>
        <v>Оказание услуг по организации горячего питания школьников на 2019-2020 учебный год</v>
      </c>
      <c r="G11735" s="22" t="s">
        <v>82</v>
      </c>
      <c r="H11735" s="22" t="s">
        <v>83</v>
      </c>
      <c r="I11735" s="26">
        <v>43665.691666666702</v>
      </c>
      <c r="J11735" s="23" t="str">
        <f t="shared" si="337"/>
        <v>ООО КП "СОЛНЕЧНЫЙ"</v>
      </c>
      <c r="K11735" s="24" t="s">
        <v>7783</v>
      </c>
      <c r="L11735" s="28" t="s">
        <v>51</v>
      </c>
      <c r="M11735" s="28" t="s">
        <v>51</v>
      </c>
      <c r="N11735" s="28" t="s">
        <v>51</v>
      </c>
    </row>
    <row r="11736" spans="1:14" hidden="1" outlineLevel="1" x14ac:dyDescent="0.15">
      <c r="A11736" s="23" t="str">
        <f>HYPERLINK("https://www.spark-marketing.ru/Card/Person/5911216", "МБОУ ""СОШ № 102""")</f>
        <v>МБОУ "СОШ № 102"</v>
      </c>
      <c r="B11736" s="24" t="s">
        <v>8224</v>
      </c>
      <c r="C11736" s="25">
        <v>5262600</v>
      </c>
      <c r="D11736" s="22" t="s">
        <v>16208</v>
      </c>
      <c r="E11736" s="22" t="s">
        <v>96</v>
      </c>
      <c r="F11736" s="23" t="str">
        <f t="shared" si="336"/>
        <v>Оказание услуг по организации горячего питания школьников на 2019-2020 учебный год</v>
      </c>
      <c r="G11736" s="22" t="s">
        <v>82</v>
      </c>
      <c r="H11736" s="22" t="s">
        <v>83</v>
      </c>
      <c r="I11736" s="26">
        <v>43665.691666666702</v>
      </c>
      <c r="J11736" s="23" t="str">
        <f t="shared" si="337"/>
        <v>ООО КП "СОЛНЕЧНЫЙ"</v>
      </c>
      <c r="K11736" s="24" t="s">
        <v>7783</v>
      </c>
      <c r="L11736" s="28" t="s">
        <v>51</v>
      </c>
      <c r="M11736" s="28" t="s">
        <v>51</v>
      </c>
      <c r="N11736" s="28" t="s">
        <v>51</v>
      </c>
    </row>
    <row r="11737" spans="1:14" hidden="1" outlineLevel="1" x14ac:dyDescent="0.15">
      <c r="A11737" s="23" t="str">
        <f>HYPERLINK("https://www.spark-marketing.ru/Card/Person/6526853", "МБОУ ""СОШ № 106""")</f>
        <v>МБОУ "СОШ № 106"</v>
      </c>
      <c r="B11737" s="24" t="s">
        <v>8225</v>
      </c>
      <c r="C11737" s="25">
        <v>3532200</v>
      </c>
      <c r="D11737" s="22" t="s">
        <v>16208</v>
      </c>
      <c r="E11737" s="22" t="s">
        <v>96</v>
      </c>
      <c r="F11737" s="23" t="str">
        <f t="shared" si="336"/>
        <v>Оказание услуг по организации горячего питания школьников на 2019-2020 учебный год</v>
      </c>
      <c r="G11737" s="22" t="s">
        <v>82</v>
      </c>
      <c r="H11737" s="22" t="s">
        <v>83</v>
      </c>
      <c r="I11737" s="26">
        <v>43665.691666666702</v>
      </c>
      <c r="J11737" s="23" t="str">
        <f t="shared" si="337"/>
        <v>ООО КП "СОЛНЕЧНЫЙ"</v>
      </c>
      <c r="K11737" s="24" t="s">
        <v>7783</v>
      </c>
      <c r="L11737" s="28" t="s">
        <v>51</v>
      </c>
      <c r="M11737" s="28" t="s">
        <v>51</v>
      </c>
      <c r="N11737" s="28" t="s">
        <v>51</v>
      </c>
    </row>
    <row r="11738" spans="1:14" collapsed="1" x14ac:dyDescent="0.2">
      <c r="A11738" s="23" t="s">
        <v>114</v>
      </c>
      <c r="B11738" s="28" t="s">
        <v>51</v>
      </c>
      <c r="C11738" s="25">
        <v>39698934</v>
      </c>
      <c r="D11738" s="22" t="s">
        <v>16209</v>
      </c>
      <c r="E11738" s="22" t="s">
        <v>48</v>
      </c>
      <c r="F11738" s="23" t="str">
        <f>HYPERLINK("https://www.spark-marketing.ru/Card/Lot/72224757", "Оказание услуг по организации питания учащихся в 2019-2021 гг.")</f>
        <v>Оказание услуг по организации питания учащихся в 2019-2021 гг.</v>
      </c>
      <c r="G11738" s="22" t="s">
        <v>51</v>
      </c>
      <c r="H11738" s="22" t="s">
        <v>51</v>
      </c>
      <c r="I11738" s="26">
        <v>43665.704166666699</v>
      </c>
      <c r="J11738" s="23" t="str">
        <f t="shared" ref="J11738:J11745" si="338">HYPERLINK("https://www.spark-marketing.ru/Card/Person/103647", "АО ""КСП ""ВОЛНА""")</f>
        <v>АО "КСП "ВОЛНА"</v>
      </c>
      <c r="K11738" s="24" t="s">
        <v>5446</v>
      </c>
      <c r="L11738" s="28" t="s">
        <v>51</v>
      </c>
      <c r="M11738" s="25">
        <v>39698934</v>
      </c>
      <c r="N11738" s="27">
        <v>0</v>
      </c>
    </row>
    <row r="11739" spans="1:14" hidden="1" outlineLevel="1" x14ac:dyDescent="0.2">
      <c r="A11739" s="23" t="str">
        <f>HYPERLINK("https://www.spark-marketing.ru/Card/Person/27843", "ГБОУ ШКОЛА №593 С УГЛУБЛЕННЫМ ИЗУЧЕНИЕМ АНГЛИЙСКОГО ЯЗЫКА НЕВСКОГО РАЙОНА САНКТ-ПЕТЕРБУРГА")</f>
        <v>ГБОУ ШКОЛА №593 С УГЛУБЛЕННЫМ ИЗУЧЕНИЕМ АНГЛИЙСКОГО ЯЗЫКА НЕВСКОГО РАЙОНА САНКТ-ПЕТЕРБУРГА</v>
      </c>
      <c r="B11739" s="24" t="s">
        <v>16210</v>
      </c>
      <c r="C11739" s="25">
        <v>13899299</v>
      </c>
      <c r="D11739" s="22" t="s">
        <v>16209</v>
      </c>
      <c r="E11739" s="22" t="s">
        <v>48</v>
      </c>
      <c r="F11739" s="23" t="str">
        <f>HYPERLINK("https://www.spark-marketing.ru/Card/Lot/72224757", "Оказание услуг по организации питания учащихся в 2019-2021 гг.")</f>
        <v>Оказание услуг по организации питания учащихся в 2019-2021 гг.</v>
      </c>
      <c r="G11739" s="22" t="s">
        <v>117</v>
      </c>
      <c r="H11739" s="22" t="s">
        <v>117</v>
      </c>
      <c r="I11739" s="26">
        <v>43665.704166666699</v>
      </c>
      <c r="J11739" s="23" t="str">
        <f t="shared" si="338"/>
        <v>АО "КСП "ВОЛНА"</v>
      </c>
      <c r="K11739" s="24" t="s">
        <v>5446</v>
      </c>
      <c r="L11739" s="28" t="s">
        <v>51</v>
      </c>
      <c r="M11739" s="28" t="s">
        <v>51</v>
      </c>
      <c r="N11739" s="27">
        <v>0</v>
      </c>
    </row>
    <row r="11740" spans="1:14" hidden="1" outlineLevel="1" x14ac:dyDescent="0.2">
      <c r="A11740" s="23" t="str">
        <f>HYPERLINK("https://www.spark-marketing.ru/Card/Person/80206", "ГБОУ ГИМНАЗИЯ № 498 НЕВСКОГО РАЙОНА САНКТ-ПЕТЕРБУРГА")</f>
        <v>ГБОУ ГИМНАЗИЯ № 498 НЕВСКОГО РАЙОНА САНКТ-ПЕТЕРБУРГА</v>
      </c>
      <c r="B11740" s="24" t="s">
        <v>16211</v>
      </c>
      <c r="C11740" s="25">
        <v>11851204</v>
      </c>
      <c r="D11740" s="22" t="s">
        <v>16209</v>
      </c>
      <c r="E11740" s="22" t="s">
        <v>48</v>
      </c>
      <c r="F11740" s="23" t="str">
        <f>HYPERLINK("https://www.spark-marketing.ru/Card/Lot/72224757", "Оказание услуг по организации питания учащихся в 2019-2021 гг.")</f>
        <v>Оказание услуг по организации питания учащихся в 2019-2021 гг.</v>
      </c>
      <c r="G11740" s="22" t="s">
        <v>117</v>
      </c>
      <c r="H11740" s="22" t="s">
        <v>117</v>
      </c>
      <c r="I11740" s="26">
        <v>43665.704166666699</v>
      </c>
      <c r="J11740" s="23" t="str">
        <f t="shared" si="338"/>
        <v>АО "КСП "ВОЛНА"</v>
      </c>
      <c r="K11740" s="24" t="s">
        <v>5446</v>
      </c>
      <c r="L11740" s="28" t="s">
        <v>51</v>
      </c>
      <c r="M11740" s="28" t="s">
        <v>51</v>
      </c>
      <c r="N11740" s="27">
        <v>0</v>
      </c>
    </row>
    <row r="11741" spans="1:14" hidden="1" outlineLevel="1" x14ac:dyDescent="0.2">
      <c r="A11741" s="23" t="str">
        <f>HYPERLINK("https://www.spark-marketing.ru/Card/Person/102613", "ГБОУ ШКОЛА № 639 С УГЛУБЛЕННЫМ ИЗУЧЕНИЕМ ИНОСТРАННЫХ ЯЗЫКОВ НЕВСКОГО РАЙОНА САНКТ-ПЕТЕРБУРГА")</f>
        <v>ГБОУ ШКОЛА № 639 С УГЛУБЛЕННЫМ ИЗУЧЕНИЕМ ИНОСТРАННЫХ ЯЗЫКОВ НЕВСКОГО РАЙОНА САНКТ-ПЕТЕРБУРГА</v>
      </c>
      <c r="B11741" s="24" t="s">
        <v>16212</v>
      </c>
      <c r="C11741" s="25">
        <v>13948431</v>
      </c>
      <c r="D11741" s="22" t="s">
        <v>16209</v>
      </c>
      <c r="E11741" s="22" t="s">
        <v>48</v>
      </c>
      <c r="F11741" s="23" t="str">
        <f>HYPERLINK("https://www.spark-marketing.ru/Card/Lot/72224757", "Оказание услуг по организации питания учащихся в 2019-2021 гг.")</f>
        <v>Оказание услуг по организации питания учащихся в 2019-2021 гг.</v>
      </c>
      <c r="G11741" s="22" t="s">
        <v>117</v>
      </c>
      <c r="H11741" s="22" t="s">
        <v>117</v>
      </c>
      <c r="I11741" s="26">
        <v>43665.704166666699</v>
      </c>
      <c r="J11741" s="23" t="str">
        <f t="shared" si="338"/>
        <v>АО "КСП "ВОЛНА"</v>
      </c>
      <c r="K11741" s="24" t="s">
        <v>5446</v>
      </c>
      <c r="L11741" s="28" t="s">
        <v>51</v>
      </c>
      <c r="M11741" s="28" t="s">
        <v>51</v>
      </c>
      <c r="N11741" s="27">
        <v>0</v>
      </c>
    </row>
    <row r="11742" spans="1:14" collapsed="1" x14ac:dyDescent="0.2">
      <c r="A11742" s="23" t="s">
        <v>114</v>
      </c>
      <c r="B11742" s="28" t="s">
        <v>51</v>
      </c>
      <c r="C11742" s="25">
        <v>39934191</v>
      </c>
      <c r="D11742" s="22" t="s">
        <v>16213</v>
      </c>
      <c r="E11742" s="22" t="s">
        <v>48</v>
      </c>
      <c r="F11742" s="23" t="str">
        <f>HYPERLINK("https://www.spark-marketing.ru/Card/Lot/72224760", "Оказание услуг по организации питания учащихся в 2019-2021 гг.")</f>
        <v>Оказание услуг по организации питания учащихся в 2019-2021 гг.</v>
      </c>
      <c r="G11742" s="22" t="s">
        <v>51</v>
      </c>
      <c r="H11742" s="22" t="s">
        <v>51</v>
      </c>
      <c r="I11742" s="26">
        <v>43665.704166666699</v>
      </c>
      <c r="J11742" s="23" t="str">
        <f t="shared" si="338"/>
        <v>АО "КСП "ВОЛНА"</v>
      </c>
      <c r="K11742" s="24" t="s">
        <v>5446</v>
      </c>
      <c r="L11742" s="28" t="s">
        <v>51</v>
      </c>
      <c r="M11742" s="25">
        <v>39934191</v>
      </c>
      <c r="N11742" s="27">
        <v>0</v>
      </c>
    </row>
    <row r="11743" spans="1:14" hidden="1" outlineLevel="1" x14ac:dyDescent="0.2">
      <c r="A11743" s="23" t="str">
        <f>HYPERLINK("https://www.spark-marketing.ru/Card/Person/28348", "ГБОУ ЛИЦЕЙ №344 НЕВСКОГО РАЙОНА САНКТ-ПЕТЕРБУРГА")</f>
        <v>ГБОУ ЛИЦЕЙ №344 НЕВСКОГО РАЙОНА САНКТ-ПЕТЕРБУРГА</v>
      </c>
      <c r="B11743" s="24" t="s">
        <v>16214</v>
      </c>
      <c r="C11743" s="25">
        <v>14705213</v>
      </c>
      <c r="D11743" s="22" t="s">
        <v>16213</v>
      </c>
      <c r="E11743" s="22" t="s">
        <v>48</v>
      </c>
      <c r="F11743" s="23" t="str">
        <f>HYPERLINK("https://www.spark-marketing.ru/Card/Lot/72224760", "Оказание услуг по организации питания учащихся в 2019-2021 гг.")</f>
        <v>Оказание услуг по организации питания учащихся в 2019-2021 гг.</v>
      </c>
      <c r="G11743" s="22" t="s">
        <v>117</v>
      </c>
      <c r="H11743" s="22" t="s">
        <v>117</v>
      </c>
      <c r="I11743" s="26">
        <v>43665.704166666699</v>
      </c>
      <c r="J11743" s="23" t="str">
        <f t="shared" si="338"/>
        <v>АО "КСП "ВОЛНА"</v>
      </c>
      <c r="K11743" s="24" t="s">
        <v>5446</v>
      </c>
      <c r="L11743" s="28" t="s">
        <v>51</v>
      </c>
      <c r="M11743" s="28" t="s">
        <v>51</v>
      </c>
      <c r="N11743" s="27">
        <v>0</v>
      </c>
    </row>
    <row r="11744" spans="1:14" hidden="1" outlineLevel="1" x14ac:dyDescent="0.2">
      <c r="A11744" s="23" t="str">
        <f>HYPERLINK("https://www.spark-marketing.ru/Card/Person/111833", "ГБОУ ШКОЛА № 342 НЕВСКОГО РАЙОНА САНКТ-ПЕТЕРБУРГА")</f>
        <v>ГБОУ ШКОЛА № 342 НЕВСКОГО РАЙОНА САНКТ-ПЕТЕРБУРГА</v>
      </c>
      <c r="B11744" s="24" t="s">
        <v>16215</v>
      </c>
      <c r="C11744" s="25">
        <v>10365512</v>
      </c>
      <c r="D11744" s="22" t="s">
        <v>16213</v>
      </c>
      <c r="E11744" s="22" t="s">
        <v>48</v>
      </c>
      <c r="F11744" s="23" t="str">
        <f>HYPERLINK("https://www.spark-marketing.ru/Card/Lot/72224760", "Оказание услуг по организации питания учащихся в 2019-2021 гг.")</f>
        <v>Оказание услуг по организации питания учащихся в 2019-2021 гг.</v>
      </c>
      <c r="G11744" s="22" t="s">
        <v>117</v>
      </c>
      <c r="H11744" s="22" t="s">
        <v>117</v>
      </c>
      <c r="I11744" s="26">
        <v>43665.704166666699</v>
      </c>
      <c r="J11744" s="23" t="str">
        <f t="shared" si="338"/>
        <v>АО "КСП "ВОЛНА"</v>
      </c>
      <c r="K11744" s="24" t="s">
        <v>5446</v>
      </c>
      <c r="L11744" s="28" t="s">
        <v>51</v>
      </c>
      <c r="M11744" s="28" t="s">
        <v>51</v>
      </c>
      <c r="N11744" s="27">
        <v>0</v>
      </c>
    </row>
    <row r="11745" spans="1:14" hidden="1" outlineLevel="1" x14ac:dyDescent="0.2">
      <c r="A11745" s="23" t="str">
        <f>HYPERLINK("https://www.spark-marketing.ru/Card/Person/121309", "ГБОУ ШКОЛА № 641 С УГЛУБЛЕННЫМ ИЗУЧЕНИЕМ АНГЛИЙСКОГО ЯЗЫКА НЕВСКОГО РАЙОНА САНКТ-ПЕТЕРБУРГА")</f>
        <v>ГБОУ ШКОЛА № 641 С УГЛУБЛЕННЫМ ИЗУЧЕНИЕМ АНГЛИЙСКОГО ЯЗЫКА НЕВСКОГО РАЙОНА САНКТ-ПЕТЕРБУРГА</v>
      </c>
      <c r="B11745" s="24" t="s">
        <v>16216</v>
      </c>
      <c r="C11745" s="25">
        <v>14863466</v>
      </c>
      <c r="D11745" s="22" t="s">
        <v>16213</v>
      </c>
      <c r="E11745" s="22" t="s">
        <v>48</v>
      </c>
      <c r="F11745" s="23" t="str">
        <f>HYPERLINK("https://www.spark-marketing.ru/Card/Lot/72224760", "Оказание услуг по организации питания учащихся в 2019-2021 гг.")</f>
        <v>Оказание услуг по организации питания учащихся в 2019-2021 гг.</v>
      </c>
      <c r="G11745" s="22" t="s">
        <v>117</v>
      </c>
      <c r="H11745" s="22" t="s">
        <v>117</v>
      </c>
      <c r="I11745" s="26">
        <v>43665.704166666699</v>
      </c>
      <c r="J11745" s="23" t="str">
        <f t="shared" si="338"/>
        <v>АО "КСП "ВОЛНА"</v>
      </c>
      <c r="K11745" s="24" t="s">
        <v>5446</v>
      </c>
      <c r="L11745" s="28" t="s">
        <v>51</v>
      </c>
      <c r="M11745" s="28" t="s">
        <v>51</v>
      </c>
      <c r="N11745" s="27">
        <v>0</v>
      </c>
    </row>
    <row r="11746" spans="1:14" collapsed="1" x14ac:dyDescent="0.15">
      <c r="A11746" s="23" t="s">
        <v>114</v>
      </c>
      <c r="B11746" s="28" t="s">
        <v>51</v>
      </c>
      <c r="C11746" s="25">
        <v>27921845</v>
      </c>
      <c r="D11746" s="22" t="s">
        <v>16217</v>
      </c>
      <c r="E11746" s="22" t="s">
        <v>96</v>
      </c>
      <c r="F11746" s="23" t="str">
        <f t="shared" ref="F11746:F11759" si="339">HYPERLINK("https://www.spark-marketing.ru/Card/Lot/72224799",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11746" s="22" t="s">
        <v>51</v>
      </c>
      <c r="H11746" s="22" t="s">
        <v>51</v>
      </c>
      <c r="I11746" s="26">
        <v>43665.695138888899</v>
      </c>
      <c r="J11746" s="23" t="str">
        <f t="shared" ref="J11746:J11759" si="340">HYPERLINK("https://www.spark-marketing.ru/Card/Person/91521", "ООО ""ВИТАМИНКА""")</f>
        <v>ООО "ВИТАМИНКА"</v>
      </c>
      <c r="K11746" s="24" t="s">
        <v>7841</v>
      </c>
      <c r="L11746" s="28" t="s">
        <v>51</v>
      </c>
      <c r="M11746" s="28" t="s">
        <v>51</v>
      </c>
      <c r="N11746" s="28" t="s">
        <v>51</v>
      </c>
    </row>
    <row r="11747" spans="1:14" hidden="1" outlineLevel="1" x14ac:dyDescent="0.15">
      <c r="A11747" s="23" t="str">
        <f>HYPERLINK("https://www.spark-marketing.ru/Card/Person/82995", "МБОУ СОШ № 48")</f>
        <v>МБОУ СОШ № 48</v>
      </c>
      <c r="B11747" s="24" t="s">
        <v>7891</v>
      </c>
      <c r="C11747" s="25">
        <v>2195165</v>
      </c>
      <c r="D11747" s="22" t="s">
        <v>16217</v>
      </c>
      <c r="E11747" s="22" t="s">
        <v>96</v>
      </c>
      <c r="F11747" s="23" t="str">
        <f t="shared" si="339"/>
        <v>Оказание услуг по организации горячего питания школьников на 2019-2020 учебный год</v>
      </c>
      <c r="G11747" s="22" t="s">
        <v>82</v>
      </c>
      <c r="H11747" s="22" t="s">
        <v>83</v>
      </c>
      <c r="I11747" s="26">
        <v>43665.695138888899</v>
      </c>
      <c r="J11747" s="23" t="str">
        <f t="shared" si="340"/>
        <v>ООО "ВИТАМИНКА"</v>
      </c>
      <c r="K11747" s="24" t="s">
        <v>7841</v>
      </c>
      <c r="L11747" s="28" t="s">
        <v>51</v>
      </c>
      <c r="M11747" s="28" t="s">
        <v>51</v>
      </c>
      <c r="N11747" s="28" t="s">
        <v>51</v>
      </c>
    </row>
    <row r="11748" spans="1:14" hidden="1" outlineLevel="1" x14ac:dyDescent="0.15">
      <c r="A11748" s="23" t="str">
        <f>HYPERLINK("https://www.spark-marketing.ru/Card/Person/91013", "МБОУ СОШ № 45")</f>
        <v>МБОУ СОШ № 45</v>
      </c>
      <c r="B11748" s="24" t="s">
        <v>7892</v>
      </c>
      <c r="C11748" s="25">
        <v>1448440</v>
      </c>
      <c r="D11748" s="22" t="s">
        <v>16217</v>
      </c>
      <c r="E11748" s="22" t="s">
        <v>96</v>
      </c>
      <c r="F11748" s="23" t="str">
        <f t="shared" si="339"/>
        <v>Оказание услуг по организации горячего питания школьников на 2019-2020 учебный год</v>
      </c>
      <c r="G11748" s="22" t="s">
        <v>82</v>
      </c>
      <c r="H11748" s="22" t="s">
        <v>83</v>
      </c>
      <c r="I11748" s="26">
        <v>43665.695138888899</v>
      </c>
      <c r="J11748" s="23" t="str">
        <f t="shared" si="340"/>
        <v>ООО "ВИТАМИНКА"</v>
      </c>
      <c r="K11748" s="24" t="s">
        <v>7841</v>
      </c>
      <c r="L11748" s="28" t="s">
        <v>51</v>
      </c>
      <c r="M11748" s="28" t="s">
        <v>51</v>
      </c>
      <c r="N11748" s="28" t="s">
        <v>51</v>
      </c>
    </row>
    <row r="11749" spans="1:14" hidden="1" outlineLevel="1" x14ac:dyDescent="0.15">
      <c r="A11749" s="23" t="str">
        <f>HYPERLINK("https://www.spark-marketing.ru/Card/Person/123036", "МБОУ СОШ № 27")</f>
        <v>МБОУ СОШ № 27</v>
      </c>
      <c r="B11749" s="24" t="s">
        <v>7835</v>
      </c>
      <c r="C11749" s="25">
        <v>1523711</v>
      </c>
      <c r="D11749" s="22" t="s">
        <v>16217</v>
      </c>
      <c r="E11749" s="22" t="s">
        <v>96</v>
      </c>
      <c r="F11749" s="23" t="str">
        <f t="shared" si="339"/>
        <v>Оказание услуг по организации горячего питания школьников на 2019-2020 учебный год</v>
      </c>
      <c r="G11749" s="22" t="s">
        <v>82</v>
      </c>
      <c r="H11749" s="22" t="s">
        <v>83</v>
      </c>
      <c r="I11749" s="26">
        <v>43665.695138888899</v>
      </c>
      <c r="J11749" s="23" t="str">
        <f t="shared" si="340"/>
        <v>ООО "ВИТАМИНКА"</v>
      </c>
      <c r="K11749" s="24" t="s">
        <v>7841</v>
      </c>
      <c r="L11749" s="28" t="s">
        <v>51</v>
      </c>
      <c r="M11749" s="28" t="s">
        <v>51</v>
      </c>
      <c r="N11749" s="28" t="s">
        <v>51</v>
      </c>
    </row>
    <row r="11750" spans="1:14" hidden="1" outlineLevel="1" x14ac:dyDescent="0.15">
      <c r="A11750" s="23" t="str">
        <f>HYPERLINK("https://www.spark-marketing.ru/Card/Person/237586", "МБОУ СОШ № 14")</f>
        <v>МБОУ СОШ № 14</v>
      </c>
      <c r="B11750" s="24" t="s">
        <v>7836</v>
      </c>
      <c r="C11750" s="25">
        <v>2565871</v>
      </c>
      <c r="D11750" s="22" t="s">
        <v>16217</v>
      </c>
      <c r="E11750" s="22" t="s">
        <v>96</v>
      </c>
      <c r="F11750" s="23" t="str">
        <f t="shared" si="339"/>
        <v>Оказание услуг по организации горячего питания школьников на 2019-2020 учебный год</v>
      </c>
      <c r="G11750" s="22" t="s">
        <v>82</v>
      </c>
      <c r="H11750" s="22" t="s">
        <v>83</v>
      </c>
      <c r="I11750" s="26">
        <v>43665.695138888899</v>
      </c>
      <c r="J11750" s="23" t="str">
        <f t="shared" si="340"/>
        <v>ООО "ВИТАМИНКА"</v>
      </c>
      <c r="K11750" s="24" t="s">
        <v>7841</v>
      </c>
      <c r="L11750" s="28" t="s">
        <v>51</v>
      </c>
      <c r="M11750" s="28" t="s">
        <v>51</v>
      </c>
      <c r="N11750" s="28" t="s">
        <v>51</v>
      </c>
    </row>
    <row r="11751" spans="1:14" hidden="1" outlineLevel="1" x14ac:dyDescent="0.15">
      <c r="A11751" s="23" t="str">
        <f>HYPERLINK("https://www.spark-marketing.ru/Card/Person/999304", "МБОУ СОШ № 40")</f>
        <v>МБОУ СОШ № 40</v>
      </c>
      <c r="B11751" s="24" t="s">
        <v>7893</v>
      </c>
      <c r="C11751" s="25">
        <v>1772120</v>
      </c>
      <c r="D11751" s="22" t="s">
        <v>16217</v>
      </c>
      <c r="E11751" s="22" t="s">
        <v>96</v>
      </c>
      <c r="F11751" s="23" t="str">
        <f t="shared" si="339"/>
        <v>Оказание услуг по организации горячего питания школьников на 2019-2020 учебный год</v>
      </c>
      <c r="G11751" s="22" t="s">
        <v>82</v>
      </c>
      <c r="H11751" s="22" t="s">
        <v>83</v>
      </c>
      <c r="I11751" s="26">
        <v>43665.695138888899</v>
      </c>
      <c r="J11751" s="23" t="str">
        <f t="shared" si="340"/>
        <v>ООО "ВИТАМИНКА"</v>
      </c>
      <c r="K11751" s="24" t="s">
        <v>7841</v>
      </c>
      <c r="L11751" s="28" t="s">
        <v>51</v>
      </c>
      <c r="M11751" s="28" t="s">
        <v>51</v>
      </c>
      <c r="N11751" s="28" t="s">
        <v>51</v>
      </c>
    </row>
    <row r="11752" spans="1:14" hidden="1" outlineLevel="1" x14ac:dyDescent="0.15">
      <c r="A11752" s="23" t="str">
        <f>HYPERLINK("https://www.spark-marketing.ru/Card/Person/1000462", "МБОУ СОШ № 50")</f>
        <v>МБОУ СОШ № 50</v>
      </c>
      <c r="B11752" s="24" t="s">
        <v>7895</v>
      </c>
      <c r="C11752" s="25">
        <v>796600</v>
      </c>
      <c r="D11752" s="22" t="s">
        <v>16217</v>
      </c>
      <c r="E11752" s="22" t="s">
        <v>96</v>
      </c>
      <c r="F11752" s="23" t="str">
        <f t="shared" si="339"/>
        <v>Оказание услуг по организации горячего питания школьников на 2019-2020 учебный год</v>
      </c>
      <c r="G11752" s="22" t="s">
        <v>82</v>
      </c>
      <c r="H11752" s="22" t="s">
        <v>83</v>
      </c>
      <c r="I11752" s="26">
        <v>43665.695138888899</v>
      </c>
      <c r="J11752" s="23" t="str">
        <f t="shared" si="340"/>
        <v>ООО "ВИТАМИНКА"</v>
      </c>
      <c r="K11752" s="24" t="s">
        <v>7841</v>
      </c>
      <c r="L11752" s="28" t="s">
        <v>51</v>
      </c>
      <c r="M11752" s="28" t="s">
        <v>51</v>
      </c>
      <c r="N11752" s="28" t="s">
        <v>51</v>
      </c>
    </row>
    <row r="11753" spans="1:14" hidden="1" outlineLevel="1" x14ac:dyDescent="0.15">
      <c r="A11753" s="23" t="str">
        <f>HYPERLINK("https://www.spark-marketing.ru/Card/Person/1003033", "МБОУ СОШ № 12")</f>
        <v>МБОУ СОШ № 12</v>
      </c>
      <c r="B11753" s="24" t="s">
        <v>7896</v>
      </c>
      <c r="C11753" s="25">
        <v>2808400</v>
      </c>
      <c r="D11753" s="22" t="s">
        <v>16217</v>
      </c>
      <c r="E11753" s="22" t="s">
        <v>96</v>
      </c>
      <c r="F11753" s="23" t="str">
        <f t="shared" si="339"/>
        <v>Оказание услуг по организации горячего питания школьников на 2019-2020 учебный год</v>
      </c>
      <c r="G11753" s="22" t="s">
        <v>82</v>
      </c>
      <c r="H11753" s="22" t="s">
        <v>83</v>
      </c>
      <c r="I11753" s="26">
        <v>43665.695138888899</v>
      </c>
      <c r="J11753" s="23" t="str">
        <f t="shared" si="340"/>
        <v>ООО "ВИТАМИНКА"</v>
      </c>
      <c r="K11753" s="24" t="s">
        <v>7841</v>
      </c>
      <c r="L11753" s="28" t="s">
        <v>51</v>
      </c>
      <c r="M11753" s="28" t="s">
        <v>51</v>
      </c>
      <c r="N11753" s="28" t="s">
        <v>51</v>
      </c>
    </row>
    <row r="11754" spans="1:14" hidden="1" outlineLevel="1" x14ac:dyDescent="0.15">
      <c r="A11754" s="23" t="str">
        <f>HYPERLINK("https://www.spark-marketing.ru/Card/Person/1004310", "МБОУ ""СОШ С УИОП №13""")</f>
        <v>МБОУ "СОШ С УИОП №13"</v>
      </c>
      <c r="B11754" s="24" t="s">
        <v>7837</v>
      </c>
      <c r="C11754" s="25">
        <v>4151560</v>
      </c>
      <c r="D11754" s="22" t="s">
        <v>16217</v>
      </c>
      <c r="E11754" s="22" t="s">
        <v>96</v>
      </c>
      <c r="F11754" s="23" t="str">
        <f t="shared" si="339"/>
        <v>Оказание услуг по организации горячего питания школьников на 2019-2020 учебный год</v>
      </c>
      <c r="G11754" s="22" t="s">
        <v>82</v>
      </c>
      <c r="H11754" s="22" t="s">
        <v>83</v>
      </c>
      <c r="I11754" s="26">
        <v>43665.695138888899</v>
      </c>
      <c r="J11754" s="23" t="str">
        <f t="shared" si="340"/>
        <v>ООО "ВИТАМИНКА"</v>
      </c>
      <c r="K11754" s="24" t="s">
        <v>7841</v>
      </c>
      <c r="L11754" s="28" t="s">
        <v>51</v>
      </c>
      <c r="M11754" s="28" t="s">
        <v>51</v>
      </c>
      <c r="N11754" s="28" t="s">
        <v>51</v>
      </c>
    </row>
    <row r="11755" spans="1:14" hidden="1" outlineLevel="1" x14ac:dyDescent="0.15">
      <c r="A11755" s="23" t="str">
        <f>HYPERLINK("https://www.spark-marketing.ru/Card/Person/1005775", "МБОУ СОШ № 63")</f>
        <v>МБОУ СОШ № 63</v>
      </c>
      <c r="B11755" s="24" t="s">
        <v>7897</v>
      </c>
      <c r="C11755" s="25">
        <v>858228</v>
      </c>
      <c r="D11755" s="22" t="s">
        <v>16217</v>
      </c>
      <c r="E11755" s="22" t="s">
        <v>96</v>
      </c>
      <c r="F11755" s="23" t="str">
        <f t="shared" si="339"/>
        <v>Оказание услуг по организации горячего питания школьников на 2019-2020 учебный год</v>
      </c>
      <c r="G11755" s="22" t="s">
        <v>82</v>
      </c>
      <c r="H11755" s="22" t="s">
        <v>83</v>
      </c>
      <c r="I11755" s="26">
        <v>43665.695138888899</v>
      </c>
      <c r="J11755" s="23" t="str">
        <f t="shared" si="340"/>
        <v>ООО "ВИТАМИНКА"</v>
      </c>
      <c r="K11755" s="24" t="s">
        <v>7841</v>
      </c>
      <c r="L11755" s="28" t="s">
        <v>51</v>
      </c>
      <c r="M11755" s="28" t="s">
        <v>51</v>
      </c>
      <c r="N11755" s="28" t="s">
        <v>51</v>
      </c>
    </row>
    <row r="11756" spans="1:14" hidden="1" outlineLevel="1" x14ac:dyDescent="0.15">
      <c r="A11756" s="23" t="str">
        <f>HYPERLINK("https://www.spark-marketing.ru/Card/Person/1021793", "МБОУ ШКОЛА № 34")</f>
        <v>МБОУ ШКОЛА № 34</v>
      </c>
      <c r="B11756" s="24" t="s">
        <v>7838</v>
      </c>
      <c r="C11756" s="25">
        <v>3100307</v>
      </c>
      <c r="D11756" s="22" t="s">
        <v>16217</v>
      </c>
      <c r="E11756" s="22" t="s">
        <v>96</v>
      </c>
      <c r="F11756" s="23" t="str">
        <f t="shared" si="339"/>
        <v>Оказание услуг по организации горячего питания школьников на 2019-2020 учебный год</v>
      </c>
      <c r="G11756" s="22" t="s">
        <v>82</v>
      </c>
      <c r="H11756" s="22" t="s">
        <v>83</v>
      </c>
      <c r="I11756" s="26">
        <v>43665.695138888899</v>
      </c>
      <c r="J11756" s="23" t="str">
        <f t="shared" si="340"/>
        <v>ООО "ВИТАМИНКА"</v>
      </c>
      <c r="K11756" s="24" t="s">
        <v>7841</v>
      </c>
      <c r="L11756" s="28" t="s">
        <v>51</v>
      </c>
      <c r="M11756" s="28" t="s">
        <v>51</v>
      </c>
      <c r="N11756" s="28" t="s">
        <v>51</v>
      </c>
    </row>
    <row r="11757" spans="1:14" hidden="1" outlineLevel="1" x14ac:dyDescent="0.15">
      <c r="A11757" s="23" t="str">
        <f>HYPERLINK("https://www.spark-marketing.ru/Card/Person/1023965", "МБОУ СОШ № 35 ИМЕНИ ГЕРОЯ СОВЕТСКОГО СОЮЗА Д. Ф. ЧЕБОТАРЕВА")</f>
        <v>МБОУ СОШ № 35 ИМЕНИ ГЕРОЯ СОВЕТСКОГО СОЮЗА Д. Ф. ЧЕБОТАРЕВА</v>
      </c>
      <c r="B11757" s="24" t="s">
        <v>7839</v>
      </c>
      <c r="C11757" s="25">
        <v>2063320</v>
      </c>
      <c r="D11757" s="22" t="s">
        <v>16217</v>
      </c>
      <c r="E11757" s="22" t="s">
        <v>96</v>
      </c>
      <c r="F11757" s="23" t="str">
        <f t="shared" si="339"/>
        <v>Оказание услуг по организации горячего питания школьников на 2019-2020 учебный год</v>
      </c>
      <c r="G11757" s="22" t="s">
        <v>82</v>
      </c>
      <c r="H11757" s="22" t="s">
        <v>83</v>
      </c>
      <c r="I11757" s="26">
        <v>43665.695138888899</v>
      </c>
      <c r="J11757" s="23" t="str">
        <f t="shared" si="340"/>
        <v>ООО "ВИТАМИНКА"</v>
      </c>
      <c r="K11757" s="24" t="s">
        <v>7841</v>
      </c>
      <c r="L11757" s="28" t="s">
        <v>51</v>
      </c>
      <c r="M11757" s="28" t="s">
        <v>51</v>
      </c>
      <c r="N11757" s="28" t="s">
        <v>51</v>
      </c>
    </row>
    <row r="11758" spans="1:14" hidden="1" outlineLevel="1" x14ac:dyDescent="0.15">
      <c r="A11758" s="23" t="str">
        <f>HYPERLINK("https://www.spark-marketing.ru/Card/Person/4350805", "МБОУ СОШ № 38")</f>
        <v>МБОУ СОШ № 38</v>
      </c>
      <c r="B11758" s="24" t="s">
        <v>7840</v>
      </c>
      <c r="C11758" s="25">
        <v>3454360</v>
      </c>
      <c r="D11758" s="22" t="s">
        <v>16217</v>
      </c>
      <c r="E11758" s="22" t="s">
        <v>96</v>
      </c>
      <c r="F11758" s="23" t="str">
        <f t="shared" si="339"/>
        <v>Оказание услуг по организации горячего питания школьников на 2019-2020 учебный год</v>
      </c>
      <c r="G11758" s="22" t="s">
        <v>82</v>
      </c>
      <c r="H11758" s="22" t="s">
        <v>83</v>
      </c>
      <c r="I11758" s="26">
        <v>43665.695138888899</v>
      </c>
      <c r="J11758" s="23" t="str">
        <f t="shared" si="340"/>
        <v>ООО "ВИТАМИНКА"</v>
      </c>
      <c r="K11758" s="24" t="s">
        <v>7841</v>
      </c>
      <c r="L11758" s="28" t="s">
        <v>51</v>
      </c>
      <c r="M11758" s="28" t="s">
        <v>51</v>
      </c>
      <c r="N11758" s="28" t="s">
        <v>51</v>
      </c>
    </row>
    <row r="11759" spans="1:14" hidden="1" outlineLevel="1" x14ac:dyDescent="0.15">
      <c r="A11759" s="23" t="str">
        <f>HYPERLINK("https://www.spark-marketing.ru/Card/Person/4371777", "МБОУ СОШ № 44")</f>
        <v>МБОУ СОШ № 44</v>
      </c>
      <c r="B11759" s="24" t="s">
        <v>7898</v>
      </c>
      <c r="C11759" s="25">
        <v>1183763</v>
      </c>
      <c r="D11759" s="22" t="s">
        <v>16217</v>
      </c>
      <c r="E11759" s="22" t="s">
        <v>96</v>
      </c>
      <c r="F11759" s="23" t="str">
        <f t="shared" si="339"/>
        <v>Оказание услуг по организации горячего питания школьников на 2019-2020 учебный год</v>
      </c>
      <c r="G11759" s="22" t="s">
        <v>82</v>
      </c>
      <c r="H11759" s="22" t="s">
        <v>83</v>
      </c>
      <c r="I11759" s="26">
        <v>43665.695138888899</v>
      </c>
      <c r="J11759" s="23" t="str">
        <f t="shared" si="340"/>
        <v>ООО "ВИТАМИНКА"</v>
      </c>
      <c r="K11759" s="24" t="s">
        <v>7841</v>
      </c>
      <c r="L11759" s="28" t="s">
        <v>51</v>
      </c>
      <c r="M11759" s="28" t="s">
        <v>51</v>
      </c>
      <c r="N11759" s="28" t="s">
        <v>51</v>
      </c>
    </row>
    <row r="11760" spans="1:14" collapsed="1" x14ac:dyDescent="0.2">
      <c r="A11760" s="23" t="s">
        <v>114</v>
      </c>
      <c r="B11760" s="28" t="s">
        <v>51</v>
      </c>
      <c r="C11760" s="25">
        <v>30416490</v>
      </c>
      <c r="D11760" s="22" t="s">
        <v>16218</v>
      </c>
      <c r="E11760" s="22" t="s">
        <v>48</v>
      </c>
      <c r="F11760" s="23" t="str">
        <f>HYPERLINK("https://www.spark-marketing.ru/Card/Lot/72224750", "Оказание услуг по организации питания учащихся в 2019-2021 гг.")</f>
        <v>Оказание услуг по организации питания учащихся в 2019-2021 гг.</v>
      </c>
      <c r="G11760" s="22" t="s">
        <v>51</v>
      </c>
      <c r="H11760" s="22" t="s">
        <v>51</v>
      </c>
      <c r="I11760" s="26">
        <v>43665.707638888904</v>
      </c>
      <c r="J11760" s="23" t="str">
        <f>HYPERLINK("https://www.spark-marketing.ru/Card/Person/103647", "АО ""КСП ""ВОЛНА""")</f>
        <v>АО "КСП "ВОЛНА"</v>
      </c>
      <c r="K11760" s="24" t="s">
        <v>5446</v>
      </c>
      <c r="L11760" s="28" t="s">
        <v>51</v>
      </c>
      <c r="M11760" s="25">
        <v>30416490</v>
      </c>
      <c r="N11760" s="27">
        <v>0</v>
      </c>
    </row>
    <row r="11761" spans="1:14" hidden="1" outlineLevel="1" x14ac:dyDescent="0.2">
      <c r="A11761" s="23" t="str">
        <f>HYPERLINK("https://www.spark-marketing.ru/Card/Person/16578", "ГБОУ ШКОЛА № 20 НЕВСКОГО РАЙОНА САНКТ-ПЕТЕРБУРГА")</f>
        <v>ГБОУ ШКОЛА № 20 НЕВСКОГО РАЙОНА САНКТ-ПЕТЕРБУРГА</v>
      </c>
      <c r="B11761" s="24" t="s">
        <v>16219</v>
      </c>
      <c r="C11761" s="25">
        <v>11131390</v>
      </c>
      <c r="D11761" s="22" t="s">
        <v>16218</v>
      </c>
      <c r="E11761" s="22" t="s">
        <v>48</v>
      </c>
      <c r="F11761" s="23" t="str">
        <f>HYPERLINK("https://www.spark-marketing.ru/Card/Lot/72224750", "Оказание услуг по организации питания учащихся в 2019-2021 гг.")</f>
        <v>Оказание услуг по организации питания учащихся в 2019-2021 гг.</v>
      </c>
      <c r="G11761" s="22" t="s">
        <v>117</v>
      </c>
      <c r="H11761" s="22" t="s">
        <v>117</v>
      </c>
      <c r="I11761" s="26">
        <v>43665.707638888904</v>
      </c>
      <c r="J11761" s="23" t="str">
        <f>HYPERLINK("https://www.spark-marketing.ru/Card/Person/103647", "АО ""КСП ""ВОЛНА""")</f>
        <v>АО "КСП "ВОЛНА"</v>
      </c>
      <c r="K11761" s="24" t="s">
        <v>5446</v>
      </c>
      <c r="L11761" s="28" t="s">
        <v>51</v>
      </c>
      <c r="M11761" s="28" t="s">
        <v>51</v>
      </c>
      <c r="N11761" s="27">
        <v>0</v>
      </c>
    </row>
    <row r="11762" spans="1:14" hidden="1" outlineLevel="1" x14ac:dyDescent="0.2">
      <c r="A11762" s="23" t="str">
        <f>HYPERLINK("https://www.spark-marketing.ru/Card/Person/75067", "ГБОУ СОШ № 591 НЕВСКОГО РАЙОНА САНКТ-ПЕТЕРБУРГА")</f>
        <v>ГБОУ СОШ № 591 НЕВСКОГО РАЙОНА САНКТ-ПЕТЕРБУРГА</v>
      </c>
      <c r="B11762" s="24" t="s">
        <v>16220</v>
      </c>
      <c r="C11762" s="25">
        <v>11135002</v>
      </c>
      <c r="D11762" s="22" t="s">
        <v>16218</v>
      </c>
      <c r="E11762" s="22" t="s">
        <v>48</v>
      </c>
      <c r="F11762" s="23" t="str">
        <f>HYPERLINK("https://www.spark-marketing.ru/Card/Lot/72224750", "Оказание услуг по организации питания учащихся в 2019-2021 гг.")</f>
        <v>Оказание услуг по организации питания учащихся в 2019-2021 гг.</v>
      </c>
      <c r="G11762" s="22" t="s">
        <v>117</v>
      </c>
      <c r="H11762" s="22" t="s">
        <v>117</v>
      </c>
      <c r="I11762" s="26">
        <v>43665.707638888904</v>
      </c>
      <c r="J11762" s="23" t="str">
        <f>HYPERLINK("https://www.spark-marketing.ru/Card/Person/103647", "АО ""КСП ""ВОЛНА""")</f>
        <v>АО "КСП "ВОЛНА"</v>
      </c>
      <c r="K11762" s="24" t="s">
        <v>5446</v>
      </c>
      <c r="L11762" s="28" t="s">
        <v>51</v>
      </c>
      <c r="M11762" s="28" t="s">
        <v>51</v>
      </c>
      <c r="N11762" s="27">
        <v>0</v>
      </c>
    </row>
    <row r="11763" spans="1:14" hidden="1" outlineLevel="1" x14ac:dyDescent="0.2">
      <c r="A11763" s="23" t="str">
        <f>HYPERLINK("https://www.spark-marketing.ru/Card/Person/153857", "ГБОУ ШКОЛА № 336 НЕВСКОГО РАЙОНА САНКТ-ПЕТЕРБУРГА")</f>
        <v>ГБОУ ШКОЛА № 336 НЕВСКОГО РАЙОНА САНКТ-ПЕТЕРБУРГА</v>
      </c>
      <c r="B11763" s="24" t="s">
        <v>16221</v>
      </c>
      <c r="C11763" s="25">
        <v>8150098</v>
      </c>
      <c r="D11763" s="22" t="s">
        <v>16218</v>
      </c>
      <c r="E11763" s="22" t="s">
        <v>48</v>
      </c>
      <c r="F11763" s="23" t="str">
        <f>HYPERLINK("https://www.spark-marketing.ru/Card/Lot/72224750", "Оказание услуг по организации питания учащихся в 2019-2021 гг.")</f>
        <v>Оказание услуг по организации питания учащихся в 2019-2021 гг.</v>
      </c>
      <c r="G11763" s="22" t="s">
        <v>117</v>
      </c>
      <c r="H11763" s="22" t="s">
        <v>117</v>
      </c>
      <c r="I11763" s="26">
        <v>43665.707638888904</v>
      </c>
      <c r="J11763" s="23" t="str">
        <f>HYPERLINK("https://www.spark-marketing.ru/Card/Person/103647", "АО ""КСП ""ВОЛНА""")</f>
        <v>АО "КСП "ВОЛНА"</v>
      </c>
      <c r="K11763" s="24" t="s">
        <v>5446</v>
      </c>
      <c r="L11763" s="28" t="s">
        <v>51</v>
      </c>
      <c r="M11763" s="28" t="s">
        <v>51</v>
      </c>
      <c r="N11763" s="27">
        <v>0</v>
      </c>
    </row>
    <row r="11764" spans="1:14" collapsed="1" x14ac:dyDescent="0.2">
      <c r="A11764" s="23" t="s">
        <v>114</v>
      </c>
      <c r="B11764" s="28" t="s">
        <v>51</v>
      </c>
      <c r="C11764" s="25">
        <v>33108369</v>
      </c>
      <c r="D11764" s="22" t="s">
        <v>16222</v>
      </c>
      <c r="E11764" s="22" t="s">
        <v>96</v>
      </c>
      <c r="F11764" s="23" t="str">
        <f t="shared" ref="F11764:F11775" si="341">HYPERLINK("https://www.spark-marketing.ru/Card/Lot/72224802",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11764" s="22" t="s">
        <v>51</v>
      </c>
      <c r="H11764" s="22" t="s">
        <v>51</v>
      </c>
      <c r="I11764" s="26">
        <v>43665.681250000001</v>
      </c>
      <c r="J11764" s="23" t="str">
        <f t="shared" ref="J11764:J11775" si="342">HYPERLINK("https://www.spark-marketing.ru/Card/Person/81010", "ООО ""ТД СПП""")</f>
        <v>ООО "ТД СПП"</v>
      </c>
      <c r="K11764" s="24" t="s">
        <v>7782</v>
      </c>
      <c r="L11764" s="28" t="s">
        <v>51</v>
      </c>
      <c r="M11764" s="25">
        <v>33108369</v>
      </c>
      <c r="N11764" s="27">
        <v>0</v>
      </c>
    </row>
    <row r="11765" spans="1:14" hidden="1" outlineLevel="1" x14ac:dyDescent="0.2">
      <c r="A11765" s="23" t="str">
        <f>HYPERLINK("https://www.spark-marketing.ru/Card/Person/87395", "МБОУ ГИМНАЗИЯ № 5")</f>
        <v>МБОУ ГИМНАЗИЯ № 5</v>
      </c>
      <c r="B11765" s="24" t="s">
        <v>16223</v>
      </c>
      <c r="C11765" s="25">
        <v>1768900</v>
      </c>
      <c r="D11765" s="22" t="s">
        <v>16222</v>
      </c>
      <c r="E11765" s="22" t="s">
        <v>96</v>
      </c>
      <c r="F11765" s="23" t="str">
        <f t="shared" si="341"/>
        <v>Оказание услуг по организации горячего питания школьников на 2019-2020 учебный год</v>
      </c>
      <c r="G11765" s="22" t="s">
        <v>82</v>
      </c>
      <c r="H11765" s="22" t="s">
        <v>83</v>
      </c>
      <c r="I11765" s="26">
        <v>43665.681250000001</v>
      </c>
      <c r="J11765" s="23" t="str">
        <f t="shared" si="342"/>
        <v>ООО "ТД СПП"</v>
      </c>
      <c r="K11765" s="24" t="s">
        <v>7782</v>
      </c>
      <c r="L11765" s="28" t="s">
        <v>51</v>
      </c>
      <c r="M11765" s="28" t="s">
        <v>51</v>
      </c>
      <c r="N11765" s="27">
        <v>0</v>
      </c>
    </row>
    <row r="11766" spans="1:14" hidden="1" outlineLevel="1" x14ac:dyDescent="0.2">
      <c r="A11766" s="23" t="str">
        <f>HYPERLINK("https://www.spark-marketing.ru/Card/Person/87550", "МБОУ ГИМНАЗИЯ ИМ. А. ПЛАТОНОВА")</f>
        <v>МБОУ ГИМНАЗИЯ ИМ. А. ПЛАТОНОВА</v>
      </c>
      <c r="B11766" s="24" t="s">
        <v>16224</v>
      </c>
      <c r="C11766" s="25">
        <v>3185420</v>
      </c>
      <c r="D11766" s="22" t="s">
        <v>16222</v>
      </c>
      <c r="E11766" s="22" t="s">
        <v>96</v>
      </c>
      <c r="F11766" s="23" t="str">
        <f t="shared" si="341"/>
        <v>Оказание услуг по организации горячего питания школьников на 2019-2020 учебный год</v>
      </c>
      <c r="G11766" s="22" t="s">
        <v>82</v>
      </c>
      <c r="H11766" s="22" t="s">
        <v>83</v>
      </c>
      <c r="I11766" s="26">
        <v>43665.681250000001</v>
      </c>
      <c r="J11766" s="23" t="str">
        <f t="shared" si="342"/>
        <v>ООО "ТД СПП"</v>
      </c>
      <c r="K11766" s="24" t="s">
        <v>7782</v>
      </c>
      <c r="L11766" s="28" t="s">
        <v>51</v>
      </c>
      <c r="M11766" s="28" t="s">
        <v>51</v>
      </c>
      <c r="N11766" s="27">
        <v>0</v>
      </c>
    </row>
    <row r="11767" spans="1:14" hidden="1" outlineLevel="1" x14ac:dyDescent="0.2">
      <c r="A11767" s="23" t="str">
        <f>HYPERLINK("https://www.spark-marketing.ru/Card/Person/87761", "МБОУ СОШ № 77")</f>
        <v>МБОУ СОШ № 77</v>
      </c>
      <c r="B11767" s="24" t="s">
        <v>16225</v>
      </c>
      <c r="C11767" s="25">
        <v>2798040</v>
      </c>
      <c r="D11767" s="22" t="s">
        <v>16222</v>
      </c>
      <c r="E11767" s="22" t="s">
        <v>96</v>
      </c>
      <c r="F11767" s="23" t="str">
        <f t="shared" si="341"/>
        <v>Оказание услуг по организации горячего питания школьников на 2019-2020 учебный год</v>
      </c>
      <c r="G11767" s="22" t="s">
        <v>82</v>
      </c>
      <c r="H11767" s="22" t="s">
        <v>83</v>
      </c>
      <c r="I11767" s="26">
        <v>43665.681250000001</v>
      </c>
      <c r="J11767" s="23" t="str">
        <f t="shared" si="342"/>
        <v>ООО "ТД СПП"</v>
      </c>
      <c r="K11767" s="24" t="s">
        <v>7782</v>
      </c>
      <c r="L11767" s="28" t="s">
        <v>51</v>
      </c>
      <c r="M11767" s="28" t="s">
        <v>51</v>
      </c>
      <c r="N11767" s="27">
        <v>0</v>
      </c>
    </row>
    <row r="11768" spans="1:14" hidden="1" outlineLevel="1" x14ac:dyDescent="0.2">
      <c r="A11768" s="23" t="str">
        <f>HYPERLINK("https://www.spark-marketing.ru/Card/Person/87765", "МБОУ СОШ № 91")</f>
        <v>МБОУ СОШ № 91</v>
      </c>
      <c r="B11768" s="24" t="s">
        <v>16226</v>
      </c>
      <c r="C11768" s="25">
        <v>1804460</v>
      </c>
      <c r="D11768" s="22" t="s">
        <v>16222</v>
      </c>
      <c r="E11768" s="22" t="s">
        <v>96</v>
      </c>
      <c r="F11768" s="23" t="str">
        <f t="shared" si="341"/>
        <v>Оказание услуг по организации горячего питания школьников на 2019-2020 учебный год</v>
      </c>
      <c r="G11768" s="22" t="s">
        <v>82</v>
      </c>
      <c r="H11768" s="22" t="s">
        <v>83</v>
      </c>
      <c r="I11768" s="26">
        <v>43665.681250000001</v>
      </c>
      <c r="J11768" s="23" t="str">
        <f t="shared" si="342"/>
        <v>ООО "ТД СПП"</v>
      </c>
      <c r="K11768" s="24" t="s">
        <v>7782</v>
      </c>
      <c r="L11768" s="28" t="s">
        <v>51</v>
      </c>
      <c r="M11768" s="28" t="s">
        <v>51</v>
      </c>
      <c r="N11768" s="27">
        <v>0</v>
      </c>
    </row>
    <row r="11769" spans="1:14" hidden="1" outlineLevel="1" x14ac:dyDescent="0.2">
      <c r="A11769" s="23" t="str">
        <f>HYPERLINK("https://www.spark-marketing.ru/Card/Person/87767", "МБОУ ""ЛИЦЕЙ №2""")</f>
        <v>МБОУ "ЛИЦЕЙ №2"</v>
      </c>
      <c r="B11769" s="24" t="s">
        <v>16227</v>
      </c>
      <c r="C11769" s="25">
        <v>4034485</v>
      </c>
      <c r="D11769" s="22" t="s">
        <v>16222</v>
      </c>
      <c r="E11769" s="22" t="s">
        <v>96</v>
      </c>
      <c r="F11769" s="23" t="str">
        <f t="shared" si="341"/>
        <v>Оказание услуг по организации горячего питания школьников на 2019-2020 учебный год</v>
      </c>
      <c r="G11769" s="22" t="s">
        <v>82</v>
      </c>
      <c r="H11769" s="22" t="s">
        <v>83</v>
      </c>
      <c r="I11769" s="26">
        <v>43665.681250000001</v>
      </c>
      <c r="J11769" s="23" t="str">
        <f t="shared" si="342"/>
        <v>ООО "ТД СПП"</v>
      </c>
      <c r="K11769" s="24" t="s">
        <v>7782</v>
      </c>
      <c r="L11769" s="28" t="s">
        <v>51</v>
      </c>
      <c r="M11769" s="28" t="s">
        <v>51</v>
      </c>
      <c r="N11769" s="27">
        <v>0</v>
      </c>
    </row>
    <row r="11770" spans="1:14" hidden="1" outlineLevel="1" x14ac:dyDescent="0.2">
      <c r="A11770" s="23" t="str">
        <f>HYPERLINK("https://www.spark-marketing.ru/Card/Person/87827", "МБОУ ЛИЦЕЙ № 6")</f>
        <v>МБОУ ЛИЦЕЙ № 6</v>
      </c>
      <c r="B11770" s="24" t="s">
        <v>16228</v>
      </c>
      <c r="C11770" s="25">
        <v>3853080</v>
      </c>
      <c r="D11770" s="22" t="s">
        <v>16222</v>
      </c>
      <c r="E11770" s="22" t="s">
        <v>96</v>
      </c>
      <c r="F11770" s="23" t="str">
        <f t="shared" si="341"/>
        <v>Оказание услуг по организации горячего питания школьников на 2019-2020 учебный год</v>
      </c>
      <c r="G11770" s="22" t="s">
        <v>82</v>
      </c>
      <c r="H11770" s="22" t="s">
        <v>83</v>
      </c>
      <c r="I11770" s="26">
        <v>43665.681250000001</v>
      </c>
      <c r="J11770" s="23" t="str">
        <f t="shared" si="342"/>
        <v>ООО "ТД СПП"</v>
      </c>
      <c r="K11770" s="24" t="s">
        <v>7782</v>
      </c>
      <c r="L11770" s="28" t="s">
        <v>51</v>
      </c>
      <c r="M11770" s="28" t="s">
        <v>51</v>
      </c>
      <c r="N11770" s="27">
        <v>0</v>
      </c>
    </row>
    <row r="11771" spans="1:14" hidden="1" outlineLevel="1" x14ac:dyDescent="0.2">
      <c r="A11771" s="23" t="str">
        <f>HYPERLINK("https://www.spark-marketing.ru/Card/Person/88062", "МБОУ СОШ № 90")</f>
        <v>МБОУ СОШ № 90</v>
      </c>
      <c r="B11771" s="24" t="s">
        <v>16229</v>
      </c>
      <c r="C11771" s="25">
        <v>1791440</v>
      </c>
      <c r="D11771" s="22" t="s">
        <v>16222</v>
      </c>
      <c r="E11771" s="22" t="s">
        <v>96</v>
      </c>
      <c r="F11771" s="23" t="str">
        <f t="shared" si="341"/>
        <v>Оказание услуг по организации горячего питания школьников на 2019-2020 учебный год</v>
      </c>
      <c r="G11771" s="22" t="s">
        <v>82</v>
      </c>
      <c r="H11771" s="22" t="s">
        <v>83</v>
      </c>
      <c r="I11771" s="26">
        <v>43665.681250000001</v>
      </c>
      <c r="J11771" s="23" t="str">
        <f t="shared" si="342"/>
        <v>ООО "ТД СПП"</v>
      </c>
      <c r="K11771" s="24" t="s">
        <v>7782</v>
      </c>
      <c r="L11771" s="28" t="s">
        <v>51</v>
      </c>
      <c r="M11771" s="28" t="s">
        <v>51</v>
      </c>
      <c r="N11771" s="27">
        <v>0</v>
      </c>
    </row>
    <row r="11772" spans="1:14" hidden="1" outlineLevel="1" x14ac:dyDescent="0.2">
      <c r="A11772" s="23" t="str">
        <f>HYPERLINK("https://www.spark-marketing.ru/Card/Person/90984", "МБОУ ООШ №96")</f>
        <v>МБОУ ООШ №96</v>
      </c>
      <c r="B11772" s="24" t="s">
        <v>16230</v>
      </c>
      <c r="C11772" s="25">
        <v>640640</v>
      </c>
      <c r="D11772" s="22" t="s">
        <v>16222</v>
      </c>
      <c r="E11772" s="22" t="s">
        <v>96</v>
      </c>
      <c r="F11772" s="23" t="str">
        <f t="shared" si="341"/>
        <v>Оказание услуг по организации горячего питания школьников на 2019-2020 учебный год</v>
      </c>
      <c r="G11772" s="22" t="s">
        <v>82</v>
      </c>
      <c r="H11772" s="22" t="s">
        <v>83</v>
      </c>
      <c r="I11772" s="26">
        <v>43665.681250000001</v>
      </c>
      <c r="J11772" s="23" t="str">
        <f t="shared" si="342"/>
        <v>ООО "ТД СПП"</v>
      </c>
      <c r="K11772" s="24" t="s">
        <v>7782</v>
      </c>
      <c r="L11772" s="28" t="s">
        <v>51</v>
      </c>
      <c r="M11772" s="28" t="s">
        <v>51</v>
      </c>
      <c r="N11772" s="27">
        <v>0</v>
      </c>
    </row>
    <row r="11773" spans="1:14" hidden="1" outlineLevel="1" x14ac:dyDescent="0.2">
      <c r="A11773" s="23" t="str">
        <f>HYPERLINK("https://www.spark-marketing.ru/Card/Person/91002", "МБОУ ГИМНАЗИЯ № 7 ИМ. ВОРОНЦОВА В.М.")</f>
        <v>МБОУ ГИМНАЗИЯ № 7 ИМ. ВОРОНЦОВА В.М.</v>
      </c>
      <c r="B11773" s="24" t="s">
        <v>16231</v>
      </c>
      <c r="C11773" s="25">
        <v>3254090</v>
      </c>
      <c r="D11773" s="22" t="s">
        <v>16222</v>
      </c>
      <c r="E11773" s="22" t="s">
        <v>96</v>
      </c>
      <c r="F11773" s="23" t="str">
        <f t="shared" si="341"/>
        <v>Оказание услуг по организации горячего питания школьников на 2019-2020 учебный год</v>
      </c>
      <c r="G11773" s="22" t="s">
        <v>82</v>
      </c>
      <c r="H11773" s="22" t="s">
        <v>83</v>
      </c>
      <c r="I11773" s="26">
        <v>43665.681250000001</v>
      </c>
      <c r="J11773" s="23" t="str">
        <f t="shared" si="342"/>
        <v>ООО "ТД СПП"</v>
      </c>
      <c r="K11773" s="24" t="s">
        <v>7782</v>
      </c>
      <c r="L11773" s="28" t="s">
        <v>51</v>
      </c>
      <c r="M11773" s="28" t="s">
        <v>51</v>
      </c>
      <c r="N11773" s="27">
        <v>0</v>
      </c>
    </row>
    <row r="11774" spans="1:14" hidden="1" outlineLevel="1" x14ac:dyDescent="0.2">
      <c r="A11774" s="23" t="str">
        <f>HYPERLINK("https://www.spark-marketing.ru/Card/Person/91212", "МБОУ СОШ № 97")</f>
        <v>МБОУ СОШ № 97</v>
      </c>
      <c r="B11774" s="24" t="s">
        <v>16232</v>
      </c>
      <c r="C11774" s="25">
        <v>5325789</v>
      </c>
      <c r="D11774" s="22" t="s">
        <v>16222</v>
      </c>
      <c r="E11774" s="22" t="s">
        <v>96</v>
      </c>
      <c r="F11774" s="23" t="str">
        <f t="shared" si="341"/>
        <v>Оказание услуг по организации горячего питания школьников на 2019-2020 учебный год</v>
      </c>
      <c r="G11774" s="22" t="s">
        <v>82</v>
      </c>
      <c r="H11774" s="22" t="s">
        <v>83</v>
      </c>
      <c r="I11774" s="26">
        <v>43665.681250000001</v>
      </c>
      <c r="J11774" s="23" t="str">
        <f t="shared" si="342"/>
        <v>ООО "ТД СПП"</v>
      </c>
      <c r="K11774" s="24" t="s">
        <v>7782</v>
      </c>
      <c r="L11774" s="28" t="s">
        <v>51</v>
      </c>
      <c r="M11774" s="28" t="s">
        <v>51</v>
      </c>
      <c r="N11774" s="27">
        <v>0</v>
      </c>
    </row>
    <row r="11775" spans="1:14" hidden="1" outlineLevel="1" x14ac:dyDescent="0.2">
      <c r="A11775" s="23" t="str">
        <f>HYPERLINK("https://www.spark-marketing.ru/Card/Person/6318338", "МБОУ ""СОШ №103""")</f>
        <v>МБОУ "СОШ №103"</v>
      </c>
      <c r="B11775" s="24" t="s">
        <v>16233</v>
      </c>
      <c r="C11775" s="25">
        <v>4652025</v>
      </c>
      <c r="D11775" s="22" t="s">
        <v>16222</v>
      </c>
      <c r="E11775" s="22" t="s">
        <v>96</v>
      </c>
      <c r="F11775" s="23" t="str">
        <f t="shared" si="341"/>
        <v>Оказание услуг по организации горячего питания школьников на 2019-2020 учебный год</v>
      </c>
      <c r="G11775" s="22" t="s">
        <v>82</v>
      </c>
      <c r="H11775" s="22" t="s">
        <v>83</v>
      </c>
      <c r="I11775" s="26">
        <v>43665.681250000001</v>
      </c>
      <c r="J11775" s="23" t="str">
        <f t="shared" si="342"/>
        <v>ООО "ТД СПП"</v>
      </c>
      <c r="K11775" s="24" t="s">
        <v>7782</v>
      </c>
      <c r="L11775" s="28" t="s">
        <v>51</v>
      </c>
      <c r="M11775" s="28" t="s">
        <v>51</v>
      </c>
      <c r="N11775" s="27">
        <v>0</v>
      </c>
    </row>
    <row r="11776" spans="1:14" x14ac:dyDescent="0.15">
      <c r="A11776" s="23" t="str">
        <f>HYPERLINK("https://www.spark-marketing.ru/Card/Person/16055", "ПОВОЛЖСКИЙ ГОСУДАРСТВЕННЫЙ ТЕХНОЛОГИЧЕСКИЙ УНИВЕРСИТЕТ, ФГБОУ ВО ""ПГТУ"", ВОЛГАТЕХ")</f>
        <v>ПОВОЛЖСКИЙ ГОСУДАРСТВЕННЫЙ ТЕХНОЛОГИЧЕСКИЙ УНИВЕРСИТЕТ, ФГБОУ ВО "ПГТУ", ВОЛГАТЕХ</v>
      </c>
      <c r="B11776" s="24" t="s">
        <v>3765</v>
      </c>
      <c r="C11776" s="25">
        <v>207910</v>
      </c>
      <c r="D11776" s="22" t="s">
        <v>16234</v>
      </c>
      <c r="E11776" s="22" t="s">
        <v>562</v>
      </c>
      <c r="F11776" s="23" t="str">
        <f>HYPERLINK("https://www.spark-marketing.ru/Card/Lot/72230469", "Оказание услуг по питанию участников мероприятия, проводимого ФГБОУ ВО «ПГТУ».")</f>
        <v>Оказание услуг по питанию участников мероприятия, проводимого ФГБОУ ВО «ПГТУ».</v>
      </c>
      <c r="G11776" s="22" t="s">
        <v>3249</v>
      </c>
      <c r="H11776" s="22" t="s">
        <v>3249</v>
      </c>
      <c r="I11776" s="26">
        <v>43665.6554398148</v>
      </c>
      <c r="J11776" s="28" t="s">
        <v>51</v>
      </c>
      <c r="K11776" s="28" t="s">
        <v>51</v>
      </c>
      <c r="L11776" s="28" t="s">
        <v>51</v>
      </c>
      <c r="M11776" s="28" t="s">
        <v>51</v>
      </c>
      <c r="N11776" s="28" t="s">
        <v>51</v>
      </c>
    </row>
    <row r="11777" spans="1:14" collapsed="1" x14ac:dyDescent="0.15">
      <c r="A11777" s="23" t="str">
        <f>HYPERLINK("https://www.spark-marketing.ru/Card/Person/1005369", "МБДОУ ""ЦРР - ДЕТСКИЙ САД № 14""")</f>
        <v>МБДОУ "ЦРР - ДЕТСКИЙ САД № 14"</v>
      </c>
      <c r="B11777" s="24" t="s">
        <v>16235</v>
      </c>
      <c r="C11777" s="25">
        <v>3412746.4</v>
      </c>
      <c r="D11777" s="22" t="s">
        <v>16236</v>
      </c>
      <c r="E11777" s="22" t="s">
        <v>96</v>
      </c>
      <c r="F11777" s="23" t="str">
        <f>HYPERLINK("https://www.spark-marketing.ru/Card/Lot/72216955", "Оказание услуг по организации питания воспитанников")</f>
        <v>Оказание услуг по организации питания воспитанников</v>
      </c>
      <c r="G11777" s="22" t="s">
        <v>153</v>
      </c>
      <c r="H11777" s="22" t="s">
        <v>153</v>
      </c>
      <c r="I11777" s="26">
        <v>43665.6381944444</v>
      </c>
      <c r="J11777" s="28" t="s">
        <v>51</v>
      </c>
      <c r="K11777" s="28" t="s">
        <v>51</v>
      </c>
      <c r="L11777" s="28" t="s">
        <v>51</v>
      </c>
      <c r="M11777" s="28" t="s">
        <v>51</v>
      </c>
      <c r="N11777" s="28" t="s">
        <v>51</v>
      </c>
    </row>
    <row r="11778" spans="1:14" hidden="1" outlineLevel="1" x14ac:dyDescent="0.2">
      <c r="A11778" s="23" t="str">
        <f>HYPERLINK("https://www.spark-marketing.ru/Card/Person/1005369", "МБДОУ ""ЦРР - ДЕТСКИЙ САД № 14""")</f>
        <v>МБДОУ "ЦРР - ДЕТСКИЙ САД № 14"</v>
      </c>
      <c r="B11778" s="24" t="s">
        <v>16235</v>
      </c>
      <c r="C11778" s="25">
        <v>3412746.4</v>
      </c>
      <c r="D11778" s="22" t="s">
        <v>16236</v>
      </c>
      <c r="E11778" s="22" t="s">
        <v>96</v>
      </c>
      <c r="F11778" s="23" t="str">
        <f>HYPERLINK("https://www.spark-marketing.ru/Card/Lot/72216955", "Оказание услуг по организации питания воспитанников")</f>
        <v>Оказание услуг по организации питания воспитанников</v>
      </c>
      <c r="G11778" s="22" t="s">
        <v>153</v>
      </c>
      <c r="H11778" s="22" t="s">
        <v>153</v>
      </c>
      <c r="I11778" s="26">
        <v>43665.6381944444</v>
      </c>
      <c r="J11778" s="23" t="str">
        <f>HYPERLINK("https://www.spark-marketing.ru/Card/Person/1016854", "МБУ ""КОМБИНАТ ПИТАНИЯ""")</f>
        <v>МБУ "КОМБИНАТ ПИТАНИЯ"</v>
      </c>
      <c r="K11778" s="24" t="s">
        <v>6224</v>
      </c>
      <c r="L11778" s="28" t="s">
        <v>51</v>
      </c>
      <c r="M11778" s="25">
        <v>3381728</v>
      </c>
      <c r="N11778" s="27">
        <v>9.0889847543315846E-3</v>
      </c>
    </row>
    <row r="11779" spans="1:14" ht="12.75" hidden="1" outlineLevel="1" x14ac:dyDescent="0.2">
      <c r="A11779" s="23" t="str">
        <f>HYPERLINK("https://www.spark-marketing.ru/Card/Person/1005369", "МБДОУ ""ЦРР - ДЕТСКИЙ САД № 14""")</f>
        <v>МБДОУ "ЦРР - ДЕТСКИЙ САД № 14"</v>
      </c>
      <c r="B11779" s="24" t="s">
        <v>16235</v>
      </c>
      <c r="C11779" s="25">
        <v>3412746.4</v>
      </c>
      <c r="D11779" s="22" t="s">
        <v>16236</v>
      </c>
      <c r="E11779" s="22" t="s">
        <v>96</v>
      </c>
      <c r="F11779" s="23" t="str">
        <f>HYPERLINK("https://www.spark-marketing.ru/Card/Lot/72216955", "Оказание услуг по организации питания воспитанников")</f>
        <v>Оказание услуг по организации питания воспитанников</v>
      </c>
      <c r="G11779" s="22" t="s">
        <v>153</v>
      </c>
      <c r="H11779" s="22" t="s">
        <v>153</v>
      </c>
      <c r="I11779" s="26">
        <v>43665.6381944444</v>
      </c>
      <c r="J11779" s="23" t="str">
        <f>HYPERLINK("https://www.spark-marketing.ru/Card/Person/788397", "Меньшатов Станислав Николаевич")</f>
        <v>Меньшатов Станислав Николаевич</v>
      </c>
      <c r="K11779" s="24" t="s">
        <v>6223</v>
      </c>
      <c r="L11779" s="22" t="s">
        <v>10</v>
      </c>
      <c r="M11779" s="25">
        <v>3310364</v>
      </c>
      <c r="N11779" s="27">
        <v>3.0000002344153086E-2</v>
      </c>
    </row>
    <row r="11780" spans="1:14" x14ac:dyDescent="0.15">
      <c r="A11780" s="23" t="str">
        <f>HYPERLINK("https://www.spark-marketing.ru/Card/Person/67402", "ОТДЕЛ МВД РОССИИ ПО ИЗОБИЛЬНЕНСКОМУ ГОРОДСКОМУ ОКРУГУ")</f>
        <v>ОТДЕЛ МВД РОССИИ ПО ИЗОБИЛЬНЕНСКОМУ ГОРОДСКОМУ ОКРУГУ</v>
      </c>
      <c r="B11780" s="24" t="s">
        <v>16237</v>
      </c>
      <c r="C11780" s="25">
        <v>810000</v>
      </c>
      <c r="D11780" s="22" t="s">
        <v>16238</v>
      </c>
      <c r="E11780" s="22" t="s">
        <v>48</v>
      </c>
      <c r="F11780" s="23" t="str">
        <f>HYPERLINK("https://www.spark-marketing.ru/Card/Lot/72223218", "оказание услуг по организации горячего питания (завтраков, обедов и ужинов) для лиц находящихся в специальном приемнике, ИВС, а также административно задержанных Отдела МВД России по Изобильненскому городскому округу")</f>
        <v>оказание услуг по организации горячего питания (завтраков, обедов и ужинов) для лиц находящихся в специальном приемнике, ИВС, а также административно задержанных Отдела МВД России по Изобильненскому городскому округу</v>
      </c>
      <c r="G11780" s="22" t="s">
        <v>87</v>
      </c>
      <c r="H11780" s="22" t="s">
        <v>6967</v>
      </c>
      <c r="I11780" s="26">
        <v>43665.660844907397</v>
      </c>
      <c r="J11780" s="23" t="str">
        <f>HYPERLINK("https://www.spark-marketing.ru/Card/Person/6674806", "Сноркина Галина Леонидовна")</f>
        <v>Сноркина Галина Леонидовна</v>
      </c>
      <c r="K11780" s="24" t="s">
        <v>16239</v>
      </c>
      <c r="L11780" s="22" t="s">
        <v>10</v>
      </c>
      <c r="M11780" s="28" t="s">
        <v>51</v>
      </c>
      <c r="N11780" s="28" t="s">
        <v>51</v>
      </c>
    </row>
    <row r="11781" spans="1:14" collapsed="1" x14ac:dyDescent="0.15">
      <c r="A11781" s="23" t="s">
        <v>114</v>
      </c>
      <c r="B11781" s="28" t="s">
        <v>51</v>
      </c>
      <c r="C11781" s="25">
        <v>36456798</v>
      </c>
      <c r="D11781" s="22" t="s">
        <v>16240</v>
      </c>
      <c r="E11781" s="22" t="s">
        <v>96</v>
      </c>
      <c r="F11781" s="23" t="str">
        <f t="shared" ref="F11781:F11798" si="343">HYPERLINK("https://www.spark-marketing.ru/Card/Lot/72222295",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11781" s="22" t="s">
        <v>51</v>
      </c>
      <c r="H11781" s="22" t="s">
        <v>51</v>
      </c>
      <c r="I11781" s="26">
        <v>43665.633333333302</v>
      </c>
      <c r="J11781" s="28" t="s">
        <v>51</v>
      </c>
      <c r="K11781" s="28" t="s">
        <v>51</v>
      </c>
      <c r="L11781" s="28" t="s">
        <v>51</v>
      </c>
      <c r="M11781" s="28" t="s">
        <v>51</v>
      </c>
      <c r="N11781" s="28" t="s">
        <v>51</v>
      </c>
    </row>
    <row r="11782" spans="1:14" hidden="1" outlineLevel="1" x14ac:dyDescent="0.15">
      <c r="A11782" s="23" t="str">
        <f>HYPERLINK("https://www.spark-marketing.ru/Card/Person/87465", "МБОУ СОШ № 54")</f>
        <v>МБОУ СОШ № 54</v>
      </c>
      <c r="B11782" s="24" t="s">
        <v>16241</v>
      </c>
      <c r="C11782" s="25">
        <v>3657171</v>
      </c>
      <c r="D11782" s="22" t="s">
        <v>16240</v>
      </c>
      <c r="E11782" s="22" t="s">
        <v>96</v>
      </c>
      <c r="F11782" s="23" t="str">
        <f t="shared" si="343"/>
        <v>Оказание услуг по организации горячего питания школьников на 2019-2020 учебный год</v>
      </c>
      <c r="G11782" s="22" t="s">
        <v>82</v>
      </c>
      <c r="H11782" s="22" t="s">
        <v>83</v>
      </c>
      <c r="I11782" s="26">
        <v>43665.633333333302</v>
      </c>
      <c r="J11782" s="28" t="s">
        <v>51</v>
      </c>
      <c r="K11782" s="28" t="s">
        <v>51</v>
      </c>
      <c r="L11782" s="28" t="s">
        <v>51</v>
      </c>
      <c r="M11782" s="28" t="s">
        <v>51</v>
      </c>
      <c r="N11782" s="28" t="s">
        <v>51</v>
      </c>
    </row>
    <row r="11783" spans="1:14" hidden="1" outlineLevel="1" x14ac:dyDescent="0.15">
      <c r="A11783" s="23" t="str">
        <f>HYPERLINK("https://www.spark-marketing.ru/Card/Person/87551", "МБОУ ""ЛИЦЕЙ № 15""")</f>
        <v>МБОУ "ЛИЦЕЙ № 15"</v>
      </c>
      <c r="B11783" s="24" t="s">
        <v>16242</v>
      </c>
      <c r="C11783" s="25">
        <v>2806860</v>
      </c>
      <c r="D11783" s="22" t="s">
        <v>16240</v>
      </c>
      <c r="E11783" s="22" t="s">
        <v>96</v>
      </c>
      <c r="F11783" s="23" t="str">
        <f t="shared" si="343"/>
        <v>Оказание услуг по организации горячего питания школьников на 2019-2020 учебный год</v>
      </c>
      <c r="G11783" s="22" t="s">
        <v>82</v>
      </c>
      <c r="H11783" s="22" t="s">
        <v>83</v>
      </c>
      <c r="I11783" s="26">
        <v>43665.633333333302</v>
      </c>
      <c r="J11783" s="28" t="s">
        <v>51</v>
      </c>
      <c r="K11783" s="28" t="s">
        <v>51</v>
      </c>
      <c r="L11783" s="28" t="s">
        <v>51</v>
      </c>
      <c r="M11783" s="28" t="s">
        <v>51</v>
      </c>
      <c r="N11783" s="28" t="s">
        <v>51</v>
      </c>
    </row>
    <row r="11784" spans="1:14" hidden="1" outlineLevel="1" x14ac:dyDescent="0.15">
      <c r="A11784" s="23" t="str">
        <f>HYPERLINK("https://www.spark-marketing.ru/Card/Person/87802", "МБОУ СОШ № 2")</f>
        <v>МБОУ СОШ № 2</v>
      </c>
      <c r="B11784" s="24" t="s">
        <v>16243</v>
      </c>
      <c r="C11784" s="25">
        <v>2326100</v>
      </c>
      <c r="D11784" s="22" t="s">
        <v>16240</v>
      </c>
      <c r="E11784" s="22" t="s">
        <v>96</v>
      </c>
      <c r="F11784" s="23" t="str">
        <f t="shared" si="343"/>
        <v>Оказание услуг по организации горячего питания школьников на 2019-2020 учебный год</v>
      </c>
      <c r="G11784" s="22" t="s">
        <v>82</v>
      </c>
      <c r="H11784" s="22" t="s">
        <v>83</v>
      </c>
      <c r="I11784" s="26">
        <v>43665.633333333302</v>
      </c>
      <c r="J11784" s="28" t="s">
        <v>51</v>
      </c>
      <c r="K11784" s="28" t="s">
        <v>51</v>
      </c>
      <c r="L11784" s="28" t="s">
        <v>51</v>
      </c>
      <c r="M11784" s="28" t="s">
        <v>51</v>
      </c>
      <c r="N11784" s="28" t="s">
        <v>51</v>
      </c>
    </row>
    <row r="11785" spans="1:14" hidden="1" outlineLevel="1" x14ac:dyDescent="0.15">
      <c r="A11785" s="23" t="str">
        <f>HYPERLINK("https://www.spark-marketing.ru/Card/Person/87830", "МБОУ СОШ № 3")</f>
        <v>МБОУ СОШ № 3</v>
      </c>
      <c r="B11785" s="24" t="s">
        <v>16244</v>
      </c>
      <c r="C11785" s="25">
        <v>2063908</v>
      </c>
      <c r="D11785" s="22" t="s">
        <v>16240</v>
      </c>
      <c r="E11785" s="22" t="s">
        <v>96</v>
      </c>
      <c r="F11785" s="23" t="str">
        <f t="shared" si="343"/>
        <v>Оказание услуг по организации горячего питания школьников на 2019-2020 учебный год</v>
      </c>
      <c r="G11785" s="22" t="s">
        <v>82</v>
      </c>
      <c r="H11785" s="22" t="s">
        <v>83</v>
      </c>
      <c r="I11785" s="26">
        <v>43665.633333333302</v>
      </c>
      <c r="J11785" s="28" t="s">
        <v>51</v>
      </c>
      <c r="K11785" s="28" t="s">
        <v>51</v>
      </c>
      <c r="L11785" s="28" t="s">
        <v>51</v>
      </c>
      <c r="M11785" s="28" t="s">
        <v>51</v>
      </c>
      <c r="N11785" s="28" t="s">
        <v>51</v>
      </c>
    </row>
    <row r="11786" spans="1:14" hidden="1" outlineLevel="1" x14ac:dyDescent="0.15">
      <c r="A11786" s="23" t="str">
        <f>HYPERLINK("https://www.spark-marketing.ru/Card/Person/87831", "МБОУ СОШ № 33")</f>
        <v>МБОУ СОШ № 33</v>
      </c>
      <c r="B11786" s="24" t="s">
        <v>16245</v>
      </c>
      <c r="C11786" s="25">
        <v>1815380</v>
      </c>
      <c r="D11786" s="22" t="s">
        <v>16240</v>
      </c>
      <c r="E11786" s="22" t="s">
        <v>96</v>
      </c>
      <c r="F11786" s="23" t="str">
        <f t="shared" si="343"/>
        <v>Оказание услуг по организации горячего питания школьников на 2019-2020 учебный год</v>
      </c>
      <c r="G11786" s="22" t="s">
        <v>82</v>
      </c>
      <c r="H11786" s="22" t="s">
        <v>83</v>
      </c>
      <c r="I11786" s="26">
        <v>43665.633333333302</v>
      </c>
      <c r="J11786" s="28" t="s">
        <v>51</v>
      </c>
      <c r="K11786" s="28" t="s">
        <v>51</v>
      </c>
      <c r="L11786" s="28" t="s">
        <v>51</v>
      </c>
      <c r="M11786" s="28" t="s">
        <v>51</v>
      </c>
      <c r="N11786" s="28" t="s">
        <v>51</v>
      </c>
    </row>
    <row r="11787" spans="1:14" hidden="1" outlineLevel="1" x14ac:dyDescent="0.15">
      <c r="A11787" s="23" t="str">
        <f>HYPERLINK("https://www.spark-marketing.ru/Card/Person/88040", "МБОУ СОШ № 79")</f>
        <v>МБОУ СОШ № 79</v>
      </c>
      <c r="B11787" s="24" t="s">
        <v>16246</v>
      </c>
      <c r="C11787" s="25">
        <v>2230256</v>
      </c>
      <c r="D11787" s="22" t="s">
        <v>16240</v>
      </c>
      <c r="E11787" s="22" t="s">
        <v>96</v>
      </c>
      <c r="F11787" s="23" t="str">
        <f t="shared" si="343"/>
        <v>Оказание услуг по организации горячего питания школьников на 2019-2020 учебный год</v>
      </c>
      <c r="G11787" s="22" t="s">
        <v>82</v>
      </c>
      <c r="H11787" s="22" t="s">
        <v>83</v>
      </c>
      <c r="I11787" s="26">
        <v>43665.633333333302</v>
      </c>
      <c r="J11787" s="28" t="s">
        <v>51</v>
      </c>
      <c r="K11787" s="28" t="s">
        <v>51</v>
      </c>
      <c r="L11787" s="28" t="s">
        <v>51</v>
      </c>
      <c r="M11787" s="28" t="s">
        <v>51</v>
      </c>
      <c r="N11787" s="28" t="s">
        <v>51</v>
      </c>
    </row>
    <row r="11788" spans="1:14" hidden="1" outlineLevel="1" x14ac:dyDescent="0.15">
      <c r="A11788" s="23" t="str">
        <f>HYPERLINK("https://www.spark-marketing.ru/Card/Person/88166", "МБОУ СОШ № 61")</f>
        <v>МБОУ СОШ № 61</v>
      </c>
      <c r="B11788" s="24" t="s">
        <v>16247</v>
      </c>
      <c r="C11788" s="25">
        <v>3174220</v>
      </c>
      <c r="D11788" s="22" t="s">
        <v>16240</v>
      </c>
      <c r="E11788" s="22" t="s">
        <v>96</v>
      </c>
      <c r="F11788" s="23" t="str">
        <f t="shared" si="343"/>
        <v>Оказание услуг по организации горячего питания школьников на 2019-2020 учебный год</v>
      </c>
      <c r="G11788" s="22" t="s">
        <v>82</v>
      </c>
      <c r="H11788" s="22" t="s">
        <v>83</v>
      </c>
      <c r="I11788" s="26">
        <v>43665.633333333302</v>
      </c>
      <c r="J11788" s="28" t="s">
        <v>51</v>
      </c>
      <c r="K11788" s="28" t="s">
        <v>51</v>
      </c>
      <c r="L11788" s="28" t="s">
        <v>51</v>
      </c>
      <c r="M11788" s="28" t="s">
        <v>51</v>
      </c>
      <c r="N11788" s="28" t="s">
        <v>51</v>
      </c>
    </row>
    <row r="11789" spans="1:14" hidden="1" outlineLevel="1" x14ac:dyDescent="0.15">
      <c r="A11789" s="23" t="str">
        <f>HYPERLINK("https://www.spark-marketing.ru/Card/Person/90516", "МБОУ СОШ № 67")</f>
        <v>МБОУ СОШ № 67</v>
      </c>
      <c r="B11789" s="24" t="s">
        <v>16248</v>
      </c>
      <c r="C11789" s="25">
        <v>2051000</v>
      </c>
      <c r="D11789" s="22" t="s">
        <v>16240</v>
      </c>
      <c r="E11789" s="22" t="s">
        <v>96</v>
      </c>
      <c r="F11789" s="23" t="str">
        <f t="shared" si="343"/>
        <v>Оказание услуг по организации горячего питания школьников на 2019-2020 учебный год</v>
      </c>
      <c r="G11789" s="22" t="s">
        <v>82</v>
      </c>
      <c r="H11789" s="22" t="s">
        <v>83</v>
      </c>
      <c r="I11789" s="26">
        <v>43665.633333333302</v>
      </c>
      <c r="J11789" s="28" t="s">
        <v>51</v>
      </c>
      <c r="K11789" s="28" t="s">
        <v>51</v>
      </c>
      <c r="L11789" s="28" t="s">
        <v>51</v>
      </c>
      <c r="M11789" s="28" t="s">
        <v>51</v>
      </c>
      <c r="N11789" s="28" t="s">
        <v>51</v>
      </c>
    </row>
    <row r="11790" spans="1:14" hidden="1" outlineLevel="1" x14ac:dyDescent="0.15">
      <c r="A11790" s="23" t="str">
        <f>HYPERLINK("https://www.spark-marketing.ru/Card/Person/90530", "МБОУ СОШ № 69")</f>
        <v>МБОУ СОШ № 69</v>
      </c>
      <c r="B11790" s="24" t="s">
        <v>16249</v>
      </c>
      <c r="C11790" s="25">
        <v>2992640</v>
      </c>
      <c r="D11790" s="22" t="s">
        <v>16240</v>
      </c>
      <c r="E11790" s="22" t="s">
        <v>96</v>
      </c>
      <c r="F11790" s="23" t="str">
        <f t="shared" si="343"/>
        <v>Оказание услуг по организации горячего питания школьников на 2019-2020 учебный год</v>
      </c>
      <c r="G11790" s="22" t="s">
        <v>82</v>
      </c>
      <c r="H11790" s="22" t="s">
        <v>83</v>
      </c>
      <c r="I11790" s="26">
        <v>43665.633333333302</v>
      </c>
      <c r="J11790" s="28" t="s">
        <v>51</v>
      </c>
      <c r="K11790" s="28" t="s">
        <v>51</v>
      </c>
      <c r="L11790" s="28" t="s">
        <v>51</v>
      </c>
      <c r="M11790" s="28" t="s">
        <v>51</v>
      </c>
      <c r="N11790" s="28" t="s">
        <v>51</v>
      </c>
    </row>
    <row r="11791" spans="1:14" hidden="1" outlineLevel="1" x14ac:dyDescent="0.15">
      <c r="A11791" s="23" t="str">
        <f>HYPERLINK("https://www.spark-marketing.ru/Card/Person/90551", "МБОУ СОШ № 22")</f>
        <v>МБОУ СОШ № 22</v>
      </c>
      <c r="B11791" s="24" t="s">
        <v>16250</v>
      </c>
      <c r="C11791" s="25">
        <v>1820700</v>
      </c>
      <c r="D11791" s="22" t="s">
        <v>16240</v>
      </c>
      <c r="E11791" s="22" t="s">
        <v>96</v>
      </c>
      <c r="F11791" s="23" t="str">
        <f t="shared" si="343"/>
        <v>Оказание услуг по организации горячего питания школьников на 2019-2020 учебный год</v>
      </c>
      <c r="G11791" s="22" t="s">
        <v>82</v>
      </c>
      <c r="H11791" s="22" t="s">
        <v>83</v>
      </c>
      <c r="I11791" s="26">
        <v>43665.633333333302</v>
      </c>
      <c r="J11791" s="28" t="s">
        <v>51</v>
      </c>
      <c r="K11791" s="28" t="s">
        <v>51</v>
      </c>
      <c r="L11791" s="28" t="s">
        <v>51</v>
      </c>
      <c r="M11791" s="28" t="s">
        <v>51</v>
      </c>
      <c r="N11791" s="28" t="s">
        <v>51</v>
      </c>
    </row>
    <row r="11792" spans="1:14" hidden="1" outlineLevel="1" x14ac:dyDescent="0.15">
      <c r="A11792" s="23" t="str">
        <f>HYPERLINK("https://www.spark-marketing.ru/Card/Person/90582", "МБОУ СОШ № 30")</f>
        <v>МБОУ СОШ № 30</v>
      </c>
      <c r="B11792" s="24" t="s">
        <v>16251</v>
      </c>
      <c r="C11792" s="25">
        <v>3833858</v>
      </c>
      <c r="D11792" s="22" t="s">
        <v>16240</v>
      </c>
      <c r="E11792" s="22" t="s">
        <v>96</v>
      </c>
      <c r="F11792" s="23" t="str">
        <f t="shared" si="343"/>
        <v>Оказание услуг по организации горячего питания школьников на 2019-2020 учебный год</v>
      </c>
      <c r="G11792" s="22" t="s">
        <v>82</v>
      </c>
      <c r="H11792" s="22" t="s">
        <v>83</v>
      </c>
      <c r="I11792" s="26">
        <v>43665.633333333302</v>
      </c>
      <c r="J11792" s="28" t="s">
        <v>51</v>
      </c>
      <c r="K11792" s="28" t="s">
        <v>51</v>
      </c>
      <c r="L11792" s="28" t="s">
        <v>51</v>
      </c>
      <c r="M11792" s="28" t="s">
        <v>51</v>
      </c>
      <c r="N11792" s="28" t="s">
        <v>51</v>
      </c>
    </row>
    <row r="11793" spans="1:14" hidden="1" outlineLevel="1" x14ac:dyDescent="0.15">
      <c r="A11793" s="23" t="str">
        <f>HYPERLINK("https://www.spark-marketing.ru/Card/Person/90652", "МБОУ СОШ №60")</f>
        <v>МБОУ СОШ №60</v>
      </c>
      <c r="B11793" s="24" t="s">
        <v>16252</v>
      </c>
      <c r="C11793" s="25">
        <v>3367000</v>
      </c>
      <c r="D11793" s="22" t="s">
        <v>16240</v>
      </c>
      <c r="E11793" s="22" t="s">
        <v>96</v>
      </c>
      <c r="F11793" s="23" t="str">
        <f t="shared" si="343"/>
        <v>Оказание услуг по организации горячего питания школьников на 2019-2020 учебный год</v>
      </c>
      <c r="G11793" s="22" t="s">
        <v>82</v>
      </c>
      <c r="H11793" s="22" t="s">
        <v>83</v>
      </c>
      <c r="I11793" s="26">
        <v>43665.633333333302</v>
      </c>
      <c r="J11793" s="28" t="s">
        <v>51</v>
      </c>
      <c r="K11793" s="28" t="s">
        <v>51</v>
      </c>
      <c r="L11793" s="28" t="s">
        <v>51</v>
      </c>
      <c r="M11793" s="28" t="s">
        <v>51</v>
      </c>
      <c r="N11793" s="28" t="s">
        <v>51</v>
      </c>
    </row>
    <row r="11794" spans="1:14" hidden="1" outlineLevel="1" x14ac:dyDescent="0.15">
      <c r="A11794" s="23" t="str">
        <f>HYPERLINK("https://www.spark-marketing.ru/Card/Person/91282", "МБОУ СОШ № 10")</f>
        <v>МБОУ СОШ № 10</v>
      </c>
      <c r="B11794" s="24" t="s">
        <v>16253</v>
      </c>
      <c r="C11794" s="25">
        <v>1651125</v>
      </c>
      <c r="D11794" s="22" t="s">
        <v>16240</v>
      </c>
      <c r="E11794" s="22" t="s">
        <v>96</v>
      </c>
      <c r="F11794" s="23" t="str">
        <f t="shared" si="343"/>
        <v>Оказание услуг по организации горячего питания школьников на 2019-2020 учебный год</v>
      </c>
      <c r="G11794" s="22" t="s">
        <v>82</v>
      </c>
      <c r="H11794" s="22" t="s">
        <v>83</v>
      </c>
      <c r="I11794" s="26">
        <v>43665.633333333302</v>
      </c>
      <c r="J11794" s="28" t="s">
        <v>51</v>
      </c>
      <c r="K11794" s="28" t="s">
        <v>51</v>
      </c>
      <c r="L11794" s="28" t="s">
        <v>51</v>
      </c>
      <c r="M11794" s="28" t="s">
        <v>51</v>
      </c>
      <c r="N11794" s="28" t="s">
        <v>51</v>
      </c>
    </row>
    <row r="11795" spans="1:14" hidden="1" outlineLevel="1" x14ac:dyDescent="0.15">
      <c r="A11795" s="23" t="str">
        <f>HYPERLINK("https://www.spark-marketing.ru/Card/Person/91283", "МБОУ ООШ № 7")</f>
        <v>МБОУ ООШ № 7</v>
      </c>
      <c r="B11795" s="24" t="s">
        <v>16254</v>
      </c>
      <c r="C11795" s="25">
        <v>350980</v>
      </c>
      <c r="D11795" s="22" t="s">
        <v>16240</v>
      </c>
      <c r="E11795" s="22" t="s">
        <v>96</v>
      </c>
      <c r="F11795" s="23" t="str">
        <f t="shared" si="343"/>
        <v>Оказание услуг по организации горячего питания школьников на 2019-2020 учебный год</v>
      </c>
      <c r="G11795" s="22" t="s">
        <v>82</v>
      </c>
      <c r="H11795" s="22" t="s">
        <v>83</v>
      </c>
      <c r="I11795" s="26">
        <v>43665.633333333302</v>
      </c>
      <c r="J11795" s="28" t="s">
        <v>51</v>
      </c>
      <c r="K11795" s="28" t="s">
        <v>51</v>
      </c>
      <c r="L11795" s="28" t="s">
        <v>51</v>
      </c>
      <c r="M11795" s="28" t="s">
        <v>51</v>
      </c>
      <c r="N11795" s="28" t="s">
        <v>51</v>
      </c>
    </row>
    <row r="11796" spans="1:14" hidden="1" outlineLevel="1" x14ac:dyDescent="0.15">
      <c r="A11796" s="23" t="str">
        <f>HYPERLINK("https://www.spark-marketing.ru/Card/Person/6617525", "МБОУ ""СОШ № 104""")</f>
        <v>МБОУ "СОШ № 104"</v>
      </c>
      <c r="B11796" s="24" t="s">
        <v>16255</v>
      </c>
      <c r="C11796" s="25">
        <v>2315600</v>
      </c>
      <c r="D11796" s="22" t="s">
        <v>16240</v>
      </c>
      <c r="E11796" s="22" t="s">
        <v>96</v>
      </c>
      <c r="F11796" s="23" t="str">
        <f t="shared" si="343"/>
        <v>Оказание услуг по организации горячего питания школьников на 2019-2020 учебный год</v>
      </c>
      <c r="G11796" s="22" t="s">
        <v>82</v>
      </c>
      <c r="H11796" s="22" t="s">
        <v>83</v>
      </c>
      <c r="I11796" s="26">
        <v>43665.633333333302</v>
      </c>
      <c r="J11796" s="28" t="s">
        <v>51</v>
      </c>
      <c r="K11796" s="28" t="s">
        <v>51</v>
      </c>
      <c r="L11796" s="28" t="s">
        <v>51</v>
      </c>
      <c r="M11796" s="28" t="s">
        <v>51</v>
      </c>
      <c r="N11796" s="28" t="s">
        <v>51</v>
      </c>
    </row>
    <row r="11797" spans="1:14" hidden="1" outlineLevel="1" x14ac:dyDescent="0.2">
      <c r="A11797" s="28" t="s">
        <v>51</v>
      </c>
      <c r="B11797" s="28" t="s">
        <v>51</v>
      </c>
      <c r="C11797" s="28" t="s">
        <v>51</v>
      </c>
      <c r="D11797" s="22" t="s">
        <v>16240</v>
      </c>
      <c r="E11797" s="22" t="s">
        <v>96</v>
      </c>
      <c r="F11797" s="23" t="str">
        <f t="shared" si="343"/>
        <v>Оказание услуг по организации горячего питания школьников на 2019-2020 учебный год</v>
      </c>
      <c r="G11797" s="22" t="s">
        <v>51</v>
      </c>
      <c r="H11797" s="22" t="s">
        <v>51</v>
      </c>
      <c r="I11797" s="26">
        <v>43665.633333333302</v>
      </c>
      <c r="J11797" s="23" t="str">
        <f>HYPERLINK("https://www.spark-marketing.ru/Card/Person/81010", "ООО ""ТД СПП""")</f>
        <v>ООО "ТД СПП"</v>
      </c>
      <c r="K11797" s="24" t="s">
        <v>7782</v>
      </c>
      <c r="L11797" s="28" t="s">
        <v>51</v>
      </c>
      <c r="M11797" s="25">
        <v>36456798</v>
      </c>
      <c r="N11797" s="27">
        <v>0</v>
      </c>
    </row>
    <row r="11798" spans="1:14" hidden="1" outlineLevel="1" x14ac:dyDescent="0.15">
      <c r="A11798" s="28" t="s">
        <v>51</v>
      </c>
      <c r="B11798" s="28" t="s">
        <v>51</v>
      </c>
      <c r="C11798" s="28" t="s">
        <v>51</v>
      </c>
      <c r="D11798" s="22" t="s">
        <v>16240</v>
      </c>
      <c r="E11798" s="22" t="s">
        <v>96</v>
      </c>
      <c r="F11798" s="23" t="str">
        <f t="shared" si="343"/>
        <v>Оказание услуг по организации горячего питания школьников на 2019-2020 учебный год</v>
      </c>
      <c r="G11798" s="22" t="s">
        <v>51</v>
      </c>
      <c r="H11798" s="22" t="s">
        <v>51</v>
      </c>
      <c r="I11798" s="26">
        <v>43665.633333333302</v>
      </c>
      <c r="J11798" s="23" t="str">
        <f>HYPERLINK("https://www.spark-marketing.ru/Card/Person/59814", "ООО КП ""СОЛНЕЧНЫЙ""")</f>
        <v>ООО КП "СОЛНЕЧНЫЙ"</v>
      </c>
      <c r="K11798" s="24" t="s">
        <v>7783</v>
      </c>
      <c r="L11798" s="28" t="s">
        <v>51</v>
      </c>
      <c r="M11798" s="28" t="s">
        <v>51</v>
      </c>
      <c r="N11798" s="28" t="s">
        <v>51</v>
      </c>
    </row>
    <row r="11799" spans="1:14" collapsed="1" x14ac:dyDescent="0.15">
      <c r="A11799" s="23" t="str">
        <f>HYPERLINK("https://www.spark-marketing.ru/Card/Person/27675", "ФКУ ""ЦХИСО УМВД РОССИИ ПО МАГАДАНСКОЙ ОБЛАСТИ""")</f>
        <v>ФКУ "ЦХИСО УМВД РОССИИ ПО МАГАДАНСКОЙ ОБЛАСТИ"</v>
      </c>
      <c r="B11799" s="24" t="s">
        <v>746</v>
      </c>
      <c r="C11799" s="25">
        <v>1014900</v>
      </c>
      <c r="D11799" s="22" t="s">
        <v>16256</v>
      </c>
      <c r="E11799" s="22" t="s">
        <v>96</v>
      </c>
      <c r="F11799" s="23" t="str">
        <f>HYPERLINK("https://www.spark-marketing.ru/Card/Lot/72206219", "Оказание услуг по организации горячего питания для слушателей ЦЦП УМВД России по Магаданской области для обеспечения государственных нужд")</f>
        <v>Оказание услуг по организации горячего питания для слушателей ЦЦП УМВД России по Магаданской области для обеспечения государственных нужд</v>
      </c>
      <c r="G11799" s="22" t="s">
        <v>548</v>
      </c>
      <c r="H11799" s="22" t="s">
        <v>748</v>
      </c>
      <c r="I11799" s="26">
        <v>43665.662222222199</v>
      </c>
      <c r="J11799" s="28" t="s">
        <v>51</v>
      </c>
      <c r="K11799" s="28" t="s">
        <v>51</v>
      </c>
      <c r="L11799" s="28" t="s">
        <v>51</v>
      </c>
      <c r="M11799" s="28" t="s">
        <v>51</v>
      </c>
      <c r="N11799" s="28" t="s">
        <v>51</v>
      </c>
    </row>
    <row r="11800" spans="1:14" hidden="1" outlineLevel="1" x14ac:dyDescent="0.2">
      <c r="A11800" s="23" t="str">
        <f>HYPERLINK("https://www.spark-marketing.ru/Card/Person/27675", "ФКУ ""ЦХИСО УМВД РОССИИ ПО МАГАДАНСКОЙ ОБЛАСТИ""")</f>
        <v>ФКУ "ЦХИСО УМВД РОССИИ ПО МАГАДАНСКОЙ ОБЛАСТИ"</v>
      </c>
      <c r="B11800" s="24" t="s">
        <v>746</v>
      </c>
      <c r="C11800" s="25">
        <v>1014900</v>
      </c>
      <c r="D11800" s="22" t="s">
        <v>16256</v>
      </c>
      <c r="E11800" s="22" t="s">
        <v>96</v>
      </c>
      <c r="F11800" s="23" t="str">
        <f>HYPERLINK("https://www.spark-marketing.ru/Card/Lot/72206219", "Оказание услуг по организации горячего питания для слушателей ЦЦП УМВД России по Магаданской области для обеспечения государственных нужд")</f>
        <v>Оказание услуг по организации горячего питания для слушателей ЦЦП УМВД России по Магаданской области для обеспечения государственных нужд</v>
      </c>
      <c r="G11800" s="22" t="s">
        <v>548</v>
      </c>
      <c r="H11800" s="22" t="s">
        <v>748</v>
      </c>
      <c r="I11800" s="26">
        <v>43665.662222222199</v>
      </c>
      <c r="J11800" s="23" t="str">
        <f>HYPERLINK("https://www.spark-marketing.ru/Card/Person/4987282", "Ким Елена Федоровна")</f>
        <v>Ким Елена Федоровна</v>
      </c>
      <c r="K11800" s="24" t="s">
        <v>16257</v>
      </c>
      <c r="L11800" s="28" t="s">
        <v>51</v>
      </c>
      <c r="M11800" s="25">
        <v>999676.5</v>
      </c>
      <c r="N11800" s="27">
        <v>1.4999999999999999E-2</v>
      </c>
    </row>
    <row r="11801" spans="1:14" ht="12.75" hidden="1" outlineLevel="1" x14ac:dyDescent="0.2">
      <c r="A11801" s="23" t="str">
        <f>HYPERLINK("https://www.spark-marketing.ru/Card/Person/27675", "ФКУ ""ЦХИСО УМВД РОССИИ ПО МАГАДАНСКОЙ ОБЛАСТИ""")</f>
        <v>ФКУ "ЦХИСО УМВД РОССИИ ПО МАГАДАНСКОЙ ОБЛАСТИ"</v>
      </c>
      <c r="B11801" s="24" t="s">
        <v>746</v>
      </c>
      <c r="C11801" s="25">
        <v>1014900</v>
      </c>
      <c r="D11801" s="22" t="s">
        <v>16256</v>
      </c>
      <c r="E11801" s="22" t="s">
        <v>96</v>
      </c>
      <c r="F11801" s="23" t="str">
        <f>HYPERLINK("https://www.spark-marketing.ru/Card/Lot/72206219", "Оказание услуг по организации горячего питания для слушателей ЦЦП УМВД России по Магаданской области для обеспечения государственных нужд")</f>
        <v>Оказание услуг по организации горячего питания для слушателей ЦЦП УМВД России по Магаданской области для обеспечения государственных нужд</v>
      </c>
      <c r="G11801" s="22" t="s">
        <v>548</v>
      </c>
      <c r="H11801" s="22" t="s">
        <v>748</v>
      </c>
      <c r="I11801" s="26">
        <v>43665.662222222199</v>
      </c>
      <c r="J11801" s="23" t="str">
        <f>HYPERLINK("https://www.spark-marketing.ru/Card/Person/4438724", "Пыткин Артур Юрьевич")</f>
        <v>Пыткин Артур Юрьевич</v>
      </c>
      <c r="K11801" s="24" t="s">
        <v>3690</v>
      </c>
      <c r="L11801" s="22" t="s">
        <v>10</v>
      </c>
      <c r="M11801" s="25">
        <v>994602</v>
      </c>
      <c r="N11801" s="27">
        <v>0.02</v>
      </c>
    </row>
    <row r="11802" spans="1:14" x14ac:dyDescent="0.2">
      <c r="A11802" s="23" t="str">
        <f>HYPERLINK("https://www.spark-marketing.ru/Card/Person/120806", "МАОУ СОШ № 19 С.ДАЛЬНЕЕ")</f>
        <v>МАОУ СОШ № 19 С.ДАЛЬНЕЕ</v>
      </c>
      <c r="B11802" s="24" t="s">
        <v>16258</v>
      </c>
      <c r="C11802" s="25">
        <v>2029664.8</v>
      </c>
      <c r="D11802" s="22" t="s">
        <v>16259</v>
      </c>
      <c r="E11802" s="22" t="s">
        <v>2217</v>
      </c>
      <c r="F11802" s="23" t="str">
        <f>HYPERLINK("https://www.spark-marketing.ru/Card/Lot/72231237", "Оказание услуг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малочисленных народов Севера Сах...")</f>
        <v>Оказание услуг по организации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малочисленных народов Севера Сах...</v>
      </c>
      <c r="G11802" s="22" t="s">
        <v>260</v>
      </c>
      <c r="H11802" s="22" t="s">
        <v>804</v>
      </c>
      <c r="I11802" s="26">
        <v>43665.665925925903</v>
      </c>
      <c r="J11802" s="28" t="s">
        <v>51</v>
      </c>
      <c r="K11802" s="28" t="s">
        <v>51</v>
      </c>
      <c r="L11802" s="22" t="s">
        <v>10</v>
      </c>
      <c r="M11802" s="25">
        <v>2029664.8</v>
      </c>
      <c r="N11802" s="27">
        <v>0</v>
      </c>
    </row>
    <row r="11803" spans="1:14" x14ac:dyDescent="0.15">
      <c r="A11803" s="23" t="str">
        <f>HYPERLINK("https://www.spark-marketing.ru/Card/Person/4348809", "ГУП ""МОСВОДОСТОК""")</f>
        <v>ГУП "МОСВОДОСТОК"</v>
      </c>
      <c r="B11803" s="24" t="s">
        <v>2951</v>
      </c>
      <c r="C11803" s="25">
        <v>2900000</v>
      </c>
      <c r="D11803" s="22" t="s">
        <v>16260</v>
      </c>
      <c r="E11803" s="22" t="s">
        <v>362</v>
      </c>
      <c r="F11803" s="23" t="str">
        <f>HYPERLINK("https://www.spark-marketing.ru/Card/Lot/72230451", "Оказание услуг по организации горячего питания из полевой кухни для нужд ГУП «Мосводосток»")</f>
        <v>Оказание услуг по организации горячего питания из полевой кухни для нужд ГУП «Мосводосток»</v>
      </c>
      <c r="G11803" s="22" t="s">
        <v>56</v>
      </c>
      <c r="H11803" s="22" t="s">
        <v>56</v>
      </c>
      <c r="I11803" s="26">
        <v>43665.654374999998</v>
      </c>
      <c r="J11803" s="28" t="s">
        <v>51</v>
      </c>
      <c r="K11803" s="28" t="s">
        <v>51</v>
      </c>
      <c r="L11803" s="28" t="s">
        <v>51</v>
      </c>
      <c r="M11803" s="28" t="s">
        <v>51</v>
      </c>
      <c r="N11803" s="28" t="s">
        <v>51</v>
      </c>
    </row>
    <row r="11804" spans="1:14" x14ac:dyDescent="0.15">
      <c r="A11804" s="23" t="str">
        <f>HYPERLINK("https://www.spark-marketing.ru/Card/Person/15093", "ГБНОУ ""СПБ ГДТЮ""")</f>
        <v>ГБНОУ "СПБ ГДТЮ"</v>
      </c>
      <c r="B11804" s="24" t="s">
        <v>16261</v>
      </c>
      <c r="C11804" s="25">
        <v>5205750</v>
      </c>
      <c r="D11804" s="22" t="s">
        <v>16262</v>
      </c>
      <c r="E11804" s="22" t="s">
        <v>2481</v>
      </c>
      <c r="F11804" s="23" t="str">
        <f>HYPERLINK("https://www.spark-marketing.ru/Card/Lot/72222357", "Оказание услуг по подбору вариантов проезда, средств размещения, организаций питания, страхования и бронированию от имени и за сет Заказчика билетов, средств размещения, питанию, а также оформление разрешений на въезд и пребывание в иностранном госуд...")</f>
        <v>Оказание услуг по подбору вариантов проезда, средств размещения, организаций питания, страхования и бронированию от имени и за сет Заказчика билетов, средств размещения, питанию, а также оформление разрешений на въезд и пребывание в иностранном госуд...</v>
      </c>
      <c r="G11804" s="22" t="s">
        <v>117</v>
      </c>
      <c r="H11804" s="22" t="s">
        <v>117</v>
      </c>
      <c r="I11804" s="26">
        <v>43665.635578703703</v>
      </c>
      <c r="J11804" s="23" t="str">
        <f>HYPERLINK("https://www.spark-marketing.ru/Card/Person/81231", "ООО ""ОСТ-ВЕСТ""")</f>
        <v>ООО "ОСТ-ВЕСТ"</v>
      </c>
      <c r="K11804" s="24" t="s">
        <v>16263</v>
      </c>
      <c r="L11804" s="22" t="s">
        <v>10</v>
      </c>
      <c r="M11804" s="28" t="s">
        <v>51</v>
      </c>
      <c r="N11804" s="28" t="s">
        <v>51</v>
      </c>
    </row>
    <row r="11805" spans="1:14" collapsed="1" x14ac:dyDescent="0.2">
      <c r="A11805" s="23" t="s">
        <v>114</v>
      </c>
      <c r="B11805" s="28" t="s">
        <v>51</v>
      </c>
      <c r="C11805" s="25">
        <v>36431430</v>
      </c>
      <c r="D11805" s="22" t="s">
        <v>16264</v>
      </c>
      <c r="E11805" s="22" t="s">
        <v>96</v>
      </c>
      <c r="F11805" s="23" t="str">
        <f t="shared" ref="F11805:F11819" si="344">HYPERLINK("https://www.spark-marketing.ru/Card/Lot/72224231", "оказание услуг по организации горячего питания школьников на 2019 - 2020 учебный год")</f>
        <v>оказание услуг по организации горячего питания школьников на 2019 - 2020 учебный год</v>
      </c>
      <c r="G11805" s="22" t="s">
        <v>51</v>
      </c>
      <c r="H11805" s="22" t="s">
        <v>51</v>
      </c>
      <c r="I11805" s="26">
        <v>43665.656944444403</v>
      </c>
      <c r="J11805" s="23" t="str">
        <f t="shared" ref="J11805:J11819" si="345">HYPERLINK("https://www.spark-marketing.ru/Card/Person/81010", "ООО ""ТД СПП""")</f>
        <v>ООО "ТД СПП"</v>
      </c>
      <c r="K11805" s="24" t="s">
        <v>7782</v>
      </c>
      <c r="L11805" s="28" t="s">
        <v>51</v>
      </c>
      <c r="M11805" s="25">
        <v>36431430</v>
      </c>
      <c r="N11805" s="27">
        <v>0</v>
      </c>
    </row>
    <row r="11806" spans="1:14" hidden="1" outlineLevel="1" x14ac:dyDescent="0.2">
      <c r="A11806" s="23" t="str">
        <f>HYPERLINK("https://www.spark-marketing.ru/Card/Person/85663", "МБОУ СОШ № 85 ИМ. ГЕРОЯ РОССИИ ФИЛИПОВА Р.Н.")</f>
        <v>МБОУ СОШ № 85 ИМ. ГЕРОЯ РОССИИ ФИЛИПОВА Р.Н.</v>
      </c>
      <c r="B11806" s="24" t="s">
        <v>16265</v>
      </c>
      <c r="C11806" s="25">
        <v>2471280</v>
      </c>
      <c r="D11806" s="22" t="s">
        <v>16264</v>
      </c>
      <c r="E11806" s="22" t="s">
        <v>96</v>
      </c>
      <c r="F11806" s="23" t="str">
        <f t="shared" si="344"/>
        <v>оказание услуг по организации горячего питания школьников на 2019 - 2020 учебный год</v>
      </c>
      <c r="G11806" s="22" t="s">
        <v>82</v>
      </c>
      <c r="H11806" s="22" t="s">
        <v>83</v>
      </c>
      <c r="I11806" s="26">
        <v>43665.656944444403</v>
      </c>
      <c r="J11806" s="23" t="str">
        <f t="shared" si="345"/>
        <v>ООО "ТД СПП"</v>
      </c>
      <c r="K11806" s="24" t="s">
        <v>7782</v>
      </c>
      <c r="L11806" s="28" t="s">
        <v>51</v>
      </c>
      <c r="M11806" s="28" t="s">
        <v>51</v>
      </c>
      <c r="N11806" s="27">
        <v>0</v>
      </c>
    </row>
    <row r="11807" spans="1:14" hidden="1" outlineLevel="1" x14ac:dyDescent="0.2">
      <c r="A11807" s="23" t="str">
        <f>HYPERLINK("https://www.spark-marketing.ru/Card/Person/90352", "МБОУ СОШ № 51")</f>
        <v>МБОУ СОШ № 51</v>
      </c>
      <c r="B11807" s="24" t="s">
        <v>16266</v>
      </c>
      <c r="C11807" s="25">
        <v>2862139</v>
      </c>
      <c r="D11807" s="22" t="s">
        <v>16264</v>
      </c>
      <c r="E11807" s="22" t="s">
        <v>96</v>
      </c>
      <c r="F11807" s="23" t="str">
        <f t="shared" si="344"/>
        <v>оказание услуг по организации горячего питания школьников на 2019 - 2020 учебный год</v>
      </c>
      <c r="G11807" s="22" t="s">
        <v>82</v>
      </c>
      <c r="H11807" s="22" t="s">
        <v>83</v>
      </c>
      <c r="I11807" s="26">
        <v>43665.656944444403</v>
      </c>
      <c r="J11807" s="23" t="str">
        <f t="shared" si="345"/>
        <v>ООО "ТД СПП"</v>
      </c>
      <c r="K11807" s="24" t="s">
        <v>7782</v>
      </c>
      <c r="L11807" s="28" t="s">
        <v>51</v>
      </c>
      <c r="M11807" s="28" t="s">
        <v>51</v>
      </c>
      <c r="N11807" s="27">
        <v>0</v>
      </c>
    </row>
    <row r="11808" spans="1:14" hidden="1" outlineLevel="1" x14ac:dyDescent="0.2">
      <c r="A11808" s="23" t="str">
        <f>HYPERLINK("https://www.spark-marketing.ru/Card/Person/90769", "МБОУ СОШ С УИОП № 8")</f>
        <v>МБОУ СОШ С УИОП № 8</v>
      </c>
      <c r="B11808" s="24" t="s">
        <v>16267</v>
      </c>
      <c r="C11808" s="25">
        <v>2872709</v>
      </c>
      <c r="D11808" s="22" t="s">
        <v>16264</v>
      </c>
      <c r="E11808" s="22" t="s">
        <v>96</v>
      </c>
      <c r="F11808" s="23" t="str">
        <f t="shared" si="344"/>
        <v>оказание услуг по организации горячего питания школьников на 2019 - 2020 учебный год</v>
      </c>
      <c r="G11808" s="22" t="s">
        <v>82</v>
      </c>
      <c r="H11808" s="22" t="s">
        <v>83</v>
      </c>
      <c r="I11808" s="26">
        <v>43665.656944444403</v>
      </c>
      <c r="J11808" s="23" t="str">
        <f t="shared" si="345"/>
        <v>ООО "ТД СПП"</v>
      </c>
      <c r="K11808" s="24" t="s">
        <v>7782</v>
      </c>
      <c r="L11808" s="28" t="s">
        <v>51</v>
      </c>
      <c r="M11808" s="28" t="s">
        <v>51</v>
      </c>
      <c r="N11808" s="27">
        <v>0</v>
      </c>
    </row>
    <row r="11809" spans="1:14" hidden="1" outlineLevel="1" x14ac:dyDescent="0.2">
      <c r="A11809" s="23" t="str">
        <f>HYPERLINK("https://www.spark-marketing.ru/Card/Person/91045", "МБОУ ЛИЦЕЙ № 3")</f>
        <v>МБОУ ЛИЦЕЙ № 3</v>
      </c>
      <c r="B11809" s="24" t="s">
        <v>16268</v>
      </c>
      <c r="C11809" s="25">
        <v>3183971</v>
      </c>
      <c r="D11809" s="22" t="s">
        <v>16264</v>
      </c>
      <c r="E11809" s="22" t="s">
        <v>96</v>
      </c>
      <c r="F11809" s="23" t="str">
        <f t="shared" si="344"/>
        <v>оказание услуг по организации горячего питания школьников на 2019 - 2020 учебный год</v>
      </c>
      <c r="G11809" s="22" t="s">
        <v>82</v>
      </c>
      <c r="H11809" s="22" t="s">
        <v>83</v>
      </c>
      <c r="I11809" s="26">
        <v>43665.656944444403</v>
      </c>
      <c r="J11809" s="23" t="str">
        <f t="shared" si="345"/>
        <v>ООО "ТД СПП"</v>
      </c>
      <c r="K11809" s="24" t="s">
        <v>7782</v>
      </c>
      <c r="L11809" s="28" t="s">
        <v>51</v>
      </c>
      <c r="M11809" s="28" t="s">
        <v>51</v>
      </c>
      <c r="N11809" s="27">
        <v>0</v>
      </c>
    </row>
    <row r="11810" spans="1:14" hidden="1" outlineLevel="1" x14ac:dyDescent="0.2">
      <c r="A11810" s="23" t="str">
        <f>HYPERLINK("https://www.spark-marketing.ru/Card/Person/91716", "МБОУ ""ЛИЦЕЙ № 9""")</f>
        <v>МБОУ "ЛИЦЕЙ № 9"</v>
      </c>
      <c r="B11810" s="24" t="s">
        <v>16269</v>
      </c>
      <c r="C11810" s="25">
        <v>2653420</v>
      </c>
      <c r="D11810" s="22" t="s">
        <v>16264</v>
      </c>
      <c r="E11810" s="22" t="s">
        <v>96</v>
      </c>
      <c r="F11810" s="23" t="str">
        <f t="shared" si="344"/>
        <v>оказание услуг по организации горячего питания школьников на 2019 - 2020 учебный год</v>
      </c>
      <c r="G11810" s="22" t="s">
        <v>82</v>
      </c>
      <c r="H11810" s="22" t="s">
        <v>83</v>
      </c>
      <c r="I11810" s="26">
        <v>43665.656944444403</v>
      </c>
      <c r="J11810" s="23" t="str">
        <f t="shared" si="345"/>
        <v>ООО "ТД СПП"</v>
      </c>
      <c r="K11810" s="24" t="s">
        <v>7782</v>
      </c>
      <c r="L11810" s="28" t="s">
        <v>51</v>
      </c>
      <c r="M11810" s="28" t="s">
        <v>51</v>
      </c>
      <c r="N11810" s="27">
        <v>0</v>
      </c>
    </row>
    <row r="11811" spans="1:14" hidden="1" outlineLevel="1" x14ac:dyDescent="0.2">
      <c r="A11811" s="23" t="str">
        <f>HYPERLINK("https://www.spark-marketing.ru/Card/Person/122268", "МБОУ СОШ № 43")</f>
        <v>МБОУ СОШ № 43</v>
      </c>
      <c r="B11811" s="24" t="s">
        <v>16270</v>
      </c>
      <c r="C11811" s="25">
        <v>4169543</v>
      </c>
      <c r="D11811" s="22" t="s">
        <v>16264</v>
      </c>
      <c r="E11811" s="22" t="s">
        <v>96</v>
      </c>
      <c r="F11811" s="23" t="str">
        <f t="shared" si="344"/>
        <v>оказание услуг по организации горячего питания школьников на 2019 - 2020 учебный год</v>
      </c>
      <c r="G11811" s="22" t="s">
        <v>82</v>
      </c>
      <c r="H11811" s="22" t="s">
        <v>83</v>
      </c>
      <c r="I11811" s="26">
        <v>43665.656944444403</v>
      </c>
      <c r="J11811" s="23" t="str">
        <f t="shared" si="345"/>
        <v>ООО "ТД СПП"</v>
      </c>
      <c r="K11811" s="24" t="s">
        <v>7782</v>
      </c>
      <c r="L11811" s="28" t="s">
        <v>51</v>
      </c>
      <c r="M11811" s="28" t="s">
        <v>51</v>
      </c>
      <c r="N11811" s="27">
        <v>0</v>
      </c>
    </row>
    <row r="11812" spans="1:14" hidden="1" outlineLevel="1" x14ac:dyDescent="0.2">
      <c r="A11812" s="23" t="str">
        <f>HYPERLINK("https://www.spark-marketing.ru/Card/Person/122656", "МБОУ СОШ № 46")</f>
        <v>МБОУ СОШ № 46</v>
      </c>
      <c r="B11812" s="24" t="s">
        <v>16271</v>
      </c>
      <c r="C11812" s="25">
        <v>2653980</v>
      </c>
      <c r="D11812" s="22" t="s">
        <v>16264</v>
      </c>
      <c r="E11812" s="22" t="s">
        <v>96</v>
      </c>
      <c r="F11812" s="23" t="str">
        <f t="shared" si="344"/>
        <v>оказание услуг по организации горячего питания школьников на 2019 - 2020 учебный год</v>
      </c>
      <c r="G11812" s="22" t="s">
        <v>82</v>
      </c>
      <c r="H11812" s="22" t="s">
        <v>83</v>
      </c>
      <c r="I11812" s="26">
        <v>43665.656944444403</v>
      </c>
      <c r="J11812" s="23" t="str">
        <f t="shared" si="345"/>
        <v>ООО "ТД СПП"</v>
      </c>
      <c r="K11812" s="24" t="s">
        <v>7782</v>
      </c>
      <c r="L11812" s="28" t="s">
        <v>51</v>
      </c>
      <c r="M11812" s="28" t="s">
        <v>51</v>
      </c>
      <c r="N11812" s="27">
        <v>0</v>
      </c>
    </row>
    <row r="11813" spans="1:14" hidden="1" outlineLevel="1" x14ac:dyDescent="0.2">
      <c r="A11813" s="23" t="str">
        <f>HYPERLINK("https://www.spark-marketing.ru/Card/Person/122929", "МБОУ СОШ № 29")</f>
        <v>МБОУ СОШ № 29</v>
      </c>
      <c r="B11813" s="24" t="s">
        <v>16272</v>
      </c>
      <c r="C11813" s="25">
        <v>2114413</v>
      </c>
      <c r="D11813" s="22" t="s">
        <v>16264</v>
      </c>
      <c r="E11813" s="22" t="s">
        <v>96</v>
      </c>
      <c r="F11813" s="23" t="str">
        <f t="shared" si="344"/>
        <v>оказание услуг по организации горячего питания школьников на 2019 - 2020 учебный год</v>
      </c>
      <c r="G11813" s="22" t="s">
        <v>82</v>
      </c>
      <c r="H11813" s="22" t="s">
        <v>83</v>
      </c>
      <c r="I11813" s="26">
        <v>43665.656944444403</v>
      </c>
      <c r="J11813" s="23" t="str">
        <f t="shared" si="345"/>
        <v>ООО "ТД СПП"</v>
      </c>
      <c r="K11813" s="24" t="s">
        <v>7782</v>
      </c>
      <c r="L11813" s="28" t="s">
        <v>51</v>
      </c>
      <c r="M11813" s="28" t="s">
        <v>51</v>
      </c>
      <c r="N11813" s="27">
        <v>0</v>
      </c>
    </row>
    <row r="11814" spans="1:14" hidden="1" outlineLevel="1" x14ac:dyDescent="0.2">
      <c r="A11814" s="23" t="str">
        <f>HYPERLINK("https://www.spark-marketing.ru/Card/Person/123017", "МБОУ СОШ № 6")</f>
        <v>МБОУ СОШ № 6</v>
      </c>
      <c r="B11814" s="24" t="s">
        <v>16273</v>
      </c>
      <c r="C11814" s="25">
        <v>1543773</v>
      </c>
      <c r="D11814" s="22" t="s">
        <v>16264</v>
      </c>
      <c r="E11814" s="22" t="s">
        <v>96</v>
      </c>
      <c r="F11814" s="23" t="str">
        <f t="shared" si="344"/>
        <v>оказание услуг по организации горячего питания школьников на 2019 - 2020 учебный год</v>
      </c>
      <c r="G11814" s="22" t="s">
        <v>82</v>
      </c>
      <c r="H11814" s="22" t="s">
        <v>83</v>
      </c>
      <c r="I11814" s="26">
        <v>43665.656944444403</v>
      </c>
      <c r="J11814" s="23" t="str">
        <f t="shared" si="345"/>
        <v>ООО "ТД СПП"</v>
      </c>
      <c r="K11814" s="24" t="s">
        <v>7782</v>
      </c>
      <c r="L11814" s="28" t="s">
        <v>51</v>
      </c>
      <c r="M11814" s="28" t="s">
        <v>51</v>
      </c>
      <c r="N11814" s="27">
        <v>0</v>
      </c>
    </row>
    <row r="11815" spans="1:14" hidden="1" outlineLevel="1" x14ac:dyDescent="0.2">
      <c r="A11815" s="23" t="str">
        <f>HYPERLINK("https://www.spark-marketing.ru/Card/Person/123077", "МБОУ СОШ № 18")</f>
        <v>МБОУ СОШ № 18</v>
      </c>
      <c r="B11815" s="24" t="s">
        <v>16274</v>
      </c>
      <c r="C11815" s="25">
        <v>2144240</v>
      </c>
      <c r="D11815" s="22" t="s">
        <v>16264</v>
      </c>
      <c r="E11815" s="22" t="s">
        <v>96</v>
      </c>
      <c r="F11815" s="23" t="str">
        <f t="shared" si="344"/>
        <v>оказание услуг по организации горячего питания школьников на 2019 - 2020 учебный год</v>
      </c>
      <c r="G11815" s="22" t="s">
        <v>82</v>
      </c>
      <c r="H11815" s="22" t="s">
        <v>83</v>
      </c>
      <c r="I11815" s="26">
        <v>43665.656944444403</v>
      </c>
      <c r="J11815" s="23" t="str">
        <f t="shared" si="345"/>
        <v>ООО "ТД СПП"</v>
      </c>
      <c r="K11815" s="24" t="s">
        <v>7782</v>
      </c>
      <c r="L11815" s="28" t="s">
        <v>51</v>
      </c>
      <c r="M11815" s="28" t="s">
        <v>51</v>
      </c>
      <c r="N11815" s="27">
        <v>0</v>
      </c>
    </row>
    <row r="11816" spans="1:14" hidden="1" outlineLevel="1" x14ac:dyDescent="0.2">
      <c r="A11816" s="23" t="str">
        <f>HYPERLINK("https://www.spark-marketing.ru/Card/Person/1020922", "МБОУ СОШ № 57")</f>
        <v>МБОУ СОШ № 57</v>
      </c>
      <c r="B11816" s="24" t="s">
        <v>16275</v>
      </c>
      <c r="C11816" s="25">
        <v>3399242</v>
      </c>
      <c r="D11816" s="22" t="s">
        <v>16264</v>
      </c>
      <c r="E11816" s="22" t="s">
        <v>96</v>
      </c>
      <c r="F11816" s="23" t="str">
        <f t="shared" si="344"/>
        <v>оказание услуг по организации горячего питания школьников на 2019 - 2020 учебный год</v>
      </c>
      <c r="G11816" s="22" t="s">
        <v>82</v>
      </c>
      <c r="H11816" s="22" t="s">
        <v>83</v>
      </c>
      <c r="I11816" s="26">
        <v>43665.656944444403</v>
      </c>
      <c r="J11816" s="23" t="str">
        <f t="shared" si="345"/>
        <v>ООО "ТД СПП"</v>
      </c>
      <c r="K11816" s="24" t="s">
        <v>7782</v>
      </c>
      <c r="L11816" s="28" t="s">
        <v>51</v>
      </c>
      <c r="M11816" s="28" t="s">
        <v>51</v>
      </c>
      <c r="N11816" s="27">
        <v>0</v>
      </c>
    </row>
    <row r="11817" spans="1:14" hidden="1" outlineLevel="1" x14ac:dyDescent="0.2">
      <c r="A11817" s="23" t="str">
        <f>HYPERLINK("https://www.spark-marketing.ru/Card/Person/1026305", "МБОУ СОШ № 39")</f>
        <v>МБОУ СОШ № 39</v>
      </c>
      <c r="B11817" s="24" t="s">
        <v>16276</v>
      </c>
      <c r="C11817" s="25">
        <v>1277521</v>
      </c>
      <c r="D11817" s="22" t="s">
        <v>16264</v>
      </c>
      <c r="E11817" s="22" t="s">
        <v>96</v>
      </c>
      <c r="F11817" s="23" t="str">
        <f t="shared" si="344"/>
        <v>оказание услуг по организации горячего питания школьников на 2019 - 2020 учебный год</v>
      </c>
      <c r="G11817" s="22" t="s">
        <v>82</v>
      </c>
      <c r="H11817" s="22" t="s">
        <v>83</v>
      </c>
      <c r="I11817" s="26">
        <v>43665.656944444403</v>
      </c>
      <c r="J11817" s="23" t="str">
        <f t="shared" si="345"/>
        <v>ООО "ТД СПП"</v>
      </c>
      <c r="K11817" s="24" t="s">
        <v>7782</v>
      </c>
      <c r="L11817" s="28" t="s">
        <v>51</v>
      </c>
      <c r="M11817" s="28" t="s">
        <v>51</v>
      </c>
      <c r="N11817" s="27">
        <v>0</v>
      </c>
    </row>
    <row r="11818" spans="1:14" hidden="1" outlineLevel="1" x14ac:dyDescent="0.2">
      <c r="A11818" s="23" t="str">
        <f>HYPERLINK("https://www.spark-marketing.ru/Card/Person/1026372", "МБОУ СОШ № 76")</f>
        <v>МБОУ СОШ № 76</v>
      </c>
      <c r="B11818" s="24" t="s">
        <v>16277</v>
      </c>
      <c r="C11818" s="25">
        <v>3054359</v>
      </c>
      <c r="D11818" s="22" t="s">
        <v>16264</v>
      </c>
      <c r="E11818" s="22" t="s">
        <v>96</v>
      </c>
      <c r="F11818" s="23" t="str">
        <f t="shared" si="344"/>
        <v>оказание услуг по организации горячего питания школьников на 2019 - 2020 учебный год</v>
      </c>
      <c r="G11818" s="22" t="s">
        <v>82</v>
      </c>
      <c r="H11818" s="22" t="s">
        <v>83</v>
      </c>
      <c r="I11818" s="26">
        <v>43665.656944444403</v>
      </c>
      <c r="J11818" s="23" t="str">
        <f t="shared" si="345"/>
        <v>ООО "ТД СПП"</v>
      </c>
      <c r="K11818" s="24" t="s">
        <v>7782</v>
      </c>
      <c r="L11818" s="28" t="s">
        <v>51</v>
      </c>
      <c r="M11818" s="28" t="s">
        <v>51</v>
      </c>
      <c r="N11818" s="27">
        <v>0</v>
      </c>
    </row>
    <row r="11819" spans="1:14" hidden="1" outlineLevel="1" x14ac:dyDescent="0.2">
      <c r="A11819" s="23" t="str">
        <f>HYPERLINK("https://www.spark-marketing.ru/Card/Person/1030776", "МБОУ СОШ № 80")</f>
        <v>МБОУ СОШ № 80</v>
      </c>
      <c r="B11819" s="24" t="s">
        <v>16278</v>
      </c>
      <c r="C11819" s="25">
        <v>2030840</v>
      </c>
      <c r="D11819" s="22" t="s">
        <v>16264</v>
      </c>
      <c r="E11819" s="22" t="s">
        <v>96</v>
      </c>
      <c r="F11819" s="23" t="str">
        <f t="shared" si="344"/>
        <v>оказание услуг по организации горячего питания школьников на 2019 - 2020 учебный год</v>
      </c>
      <c r="G11819" s="22" t="s">
        <v>82</v>
      </c>
      <c r="H11819" s="22" t="s">
        <v>83</v>
      </c>
      <c r="I11819" s="26">
        <v>43665.656944444403</v>
      </c>
      <c r="J11819" s="23" t="str">
        <f t="shared" si="345"/>
        <v>ООО "ТД СПП"</v>
      </c>
      <c r="K11819" s="24" t="s">
        <v>7782</v>
      </c>
      <c r="L11819" s="28" t="s">
        <v>51</v>
      </c>
      <c r="M11819" s="28" t="s">
        <v>51</v>
      </c>
      <c r="N11819" s="27">
        <v>0</v>
      </c>
    </row>
    <row r="11820" spans="1:14" x14ac:dyDescent="0.15">
      <c r="A11820" s="23" t="str">
        <f>HYPERLINK("https://www.spark-marketing.ru/Card/Person/878212", "ГБОУ ШКОЛА № 59 Г. КРАСНОДАРА")</f>
        <v>ГБОУ ШКОЛА № 59 Г. КРАСНОДАРА</v>
      </c>
      <c r="B11820" s="24" t="s">
        <v>16279</v>
      </c>
      <c r="C11820" s="25">
        <v>275583.61</v>
      </c>
      <c r="D11820" s="22" t="s">
        <v>16280</v>
      </c>
      <c r="E11820" s="22" t="s">
        <v>48</v>
      </c>
      <c r="F11820" s="23" t="str">
        <f>HYPERLINK("https://www.spark-marketing.ru/Card/Lot/72224302", "Услуги по обеспечению питанием")</f>
        <v>Услуги по обеспечению питанием</v>
      </c>
      <c r="G11820" s="22" t="s">
        <v>104</v>
      </c>
      <c r="H11820" s="22" t="s">
        <v>120</v>
      </c>
      <c r="I11820" s="26">
        <v>43665.630046296297</v>
      </c>
      <c r="J11820" s="28" t="s">
        <v>51</v>
      </c>
      <c r="K11820" s="28" t="s">
        <v>51</v>
      </c>
      <c r="L11820" s="28" t="s">
        <v>51</v>
      </c>
      <c r="M11820" s="28" t="s">
        <v>51</v>
      </c>
      <c r="N11820" s="28" t="s">
        <v>51</v>
      </c>
    </row>
    <row r="11821" spans="1:14" collapsed="1" x14ac:dyDescent="0.15">
      <c r="A11821" s="23" t="str">
        <f t="shared" ref="A11821:A11827" si="346">HYPERLINK("https://www.spark-marketing.ru/Card/Person/70795", "ГБУЗ ""ГБ"" Г.БУГУРУСЛАНА")</f>
        <v>ГБУЗ "ГБ" Г.БУГУРУСЛАНА</v>
      </c>
      <c r="B11821" s="24" t="s">
        <v>16281</v>
      </c>
      <c r="C11821" s="25">
        <v>2293333.6</v>
      </c>
      <c r="D11821" s="22" t="s">
        <v>16282</v>
      </c>
      <c r="E11821" s="22" t="s">
        <v>809</v>
      </c>
      <c r="F11821" s="23" t="str">
        <f t="shared" ref="F11821:F11827" si="347">HYPERLINK("https://www.spark-marketing.ru/Card/Lot/72222141", "На поставку автоматизированного рабочего места")</f>
        <v>На поставку автоматизированного рабочего места</v>
      </c>
      <c r="G11821" s="22" t="s">
        <v>132</v>
      </c>
      <c r="H11821" s="22" t="s">
        <v>3623</v>
      </c>
      <c r="I11821" s="26">
        <v>43665.652488425898</v>
      </c>
      <c r="J11821" s="28" t="s">
        <v>51</v>
      </c>
      <c r="K11821" s="28" t="s">
        <v>51</v>
      </c>
      <c r="L11821" s="28" t="s">
        <v>51</v>
      </c>
      <c r="M11821" s="28" t="s">
        <v>51</v>
      </c>
      <c r="N11821" s="28" t="s">
        <v>51</v>
      </c>
    </row>
    <row r="11822" spans="1:14" ht="12.75" hidden="1" outlineLevel="1" x14ac:dyDescent="0.2">
      <c r="A11822" s="23" t="str">
        <f t="shared" si="346"/>
        <v>ГБУЗ "ГБ" Г.БУГУРУСЛАНА</v>
      </c>
      <c r="B11822" s="24" t="s">
        <v>16281</v>
      </c>
      <c r="C11822" s="25">
        <v>2293333.6</v>
      </c>
      <c r="D11822" s="22" t="s">
        <v>16282</v>
      </c>
      <c r="E11822" s="22" t="s">
        <v>809</v>
      </c>
      <c r="F11822" s="23" t="str">
        <f t="shared" si="347"/>
        <v>На поставку автоматизированного рабочего места</v>
      </c>
      <c r="G11822" s="22" t="s">
        <v>132</v>
      </c>
      <c r="H11822" s="22" t="s">
        <v>3623</v>
      </c>
      <c r="I11822" s="26">
        <v>43665.652488425898</v>
      </c>
      <c r="J11822" s="23" t="str">
        <f>HYPERLINK("https://www.spark-marketing.ru/Card/Person/6494601", "ООО ""КОМПТЕХ НН""")</f>
        <v>ООО "КОМПТЕХ НН"</v>
      </c>
      <c r="K11822" s="24" t="s">
        <v>15968</v>
      </c>
      <c r="L11822" s="22" t="s">
        <v>10</v>
      </c>
      <c r="M11822" s="25">
        <v>1466533.28</v>
      </c>
      <c r="N11822" s="27">
        <v>0.36052335342751707</v>
      </c>
    </row>
    <row r="11823" spans="1:14" hidden="1" outlineLevel="1" x14ac:dyDescent="0.2">
      <c r="A11823" s="23" t="str">
        <f t="shared" si="346"/>
        <v>ГБУЗ "ГБ" Г.БУГУРУСЛАНА</v>
      </c>
      <c r="B11823" s="24" t="s">
        <v>16281</v>
      </c>
      <c r="C11823" s="25">
        <v>2293333.6</v>
      </c>
      <c r="D11823" s="22" t="s">
        <v>16282</v>
      </c>
      <c r="E11823" s="22" t="s">
        <v>809</v>
      </c>
      <c r="F11823" s="23" t="str">
        <f t="shared" si="347"/>
        <v>На поставку автоматизированного рабочего места</v>
      </c>
      <c r="G11823" s="22" t="s">
        <v>132</v>
      </c>
      <c r="H11823" s="22" t="s">
        <v>3623</v>
      </c>
      <c r="I11823" s="26">
        <v>43665.652488425898</v>
      </c>
      <c r="J11823" s="23" t="str">
        <f>HYPERLINK("https://www.spark-marketing.ru/Card/Person/6370251", "ООО ""ГТА ГРУПП""")</f>
        <v>ООО "ГТА ГРУПП"</v>
      </c>
      <c r="K11823" s="24" t="s">
        <v>16283</v>
      </c>
      <c r="L11823" s="28" t="s">
        <v>51</v>
      </c>
      <c r="M11823" s="25">
        <v>1477999.95</v>
      </c>
      <c r="N11823" s="27">
        <v>0.35552335255542411</v>
      </c>
    </row>
    <row r="11824" spans="1:14" hidden="1" outlineLevel="1" x14ac:dyDescent="0.2">
      <c r="A11824" s="23" t="str">
        <f t="shared" si="346"/>
        <v>ГБУЗ "ГБ" Г.БУГУРУСЛАНА</v>
      </c>
      <c r="B11824" s="24" t="s">
        <v>16281</v>
      </c>
      <c r="C11824" s="25">
        <v>2293333.6</v>
      </c>
      <c r="D11824" s="22" t="s">
        <v>16282</v>
      </c>
      <c r="E11824" s="22" t="s">
        <v>809</v>
      </c>
      <c r="F11824" s="23" t="str">
        <f t="shared" si="347"/>
        <v>На поставку автоматизированного рабочего места</v>
      </c>
      <c r="G11824" s="22" t="s">
        <v>132</v>
      </c>
      <c r="H11824" s="22" t="s">
        <v>3623</v>
      </c>
      <c r="I11824" s="26">
        <v>43665.652488425898</v>
      </c>
      <c r="J11824" s="23" t="str">
        <f>HYPERLINK("https://www.spark-marketing.ru/Card/Person/6220433", "ООО ""КВАЗАР""")</f>
        <v>ООО "КВАЗАР"</v>
      </c>
      <c r="K11824" s="24" t="s">
        <v>16284</v>
      </c>
      <c r="L11824" s="28" t="s">
        <v>51</v>
      </c>
      <c r="M11824" s="25">
        <v>1650000</v>
      </c>
      <c r="N11824" s="27">
        <v>0.2805233394740303</v>
      </c>
    </row>
    <row r="11825" spans="1:14" hidden="1" outlineLevel="1" x14ac:dyDescent="0.2">
      <c r="A11825" s="23" t="str">
        <f t="shared" si="346"/>
        <v>ГБУЗ "ГБ" Г.БУГУРУСЛАНА</v>
      </c>
      <c r="B11825" s="24" t="s">
        <v>16281</v>
      </c>
      <c r="C11825" s="25">
        <v>2293333.6</v>
      </c>
      <c r="D11825" s="22" t="s">
        <v>16282</v>
      </c>
      <c r="E11825" s="22" t="s">
        <v>809</v>
      </c>
      <c r="F11825" s="23" t="str">
        <f t="shared" si="347"/>
        <v>На поставку автоматизированного рабочего места</v>
      </c>
      <c r="G11825" s="22" t="s">
        <v>132</v>
      </c>
      <c r="H11825" s="22" t="s">
        <v>3623</v>
      </c>
      <c r="I11825" s="26">
        <v>43665.652488425898</v>
      </c>
      <c r="J11825" s="23" t="str">
        <f>HYPERLINK("https://www.spark-marketing.ru/Card/Person/390597", "ООО ""КОМПЛЕКС-СНАСТ""")</f>
        <v>ООО "КОМПЛЕКС-СНАСТ"</v>
      </c>
      <c r="K11825" s="24" t="s">
        <v>10667</v>
      </c>
      <c r="L11825" s="28" t="s">
        <v>51</v>
      </c>
      <c r="M11825" s="25">
        <v>1719995</v>
      </c>
      <c r="N11825" s="27">
        <v>0.25000226744159681</v>
      </c>
    </row>
    <row r="11826" spans="1:14" hidden="1" outlineLevel="1" x14ac:dyDescent="0.2">
      <c r="A11826" s="23" t="str">
        <f t="shared" si="346"/>
        <v>ГБУЗ "ГБ" Г.БУГУРУСЛАНА</v>
      </c>
      <c r="B11826" s="24" t="s">
        <v>16281</v>
      </c>
      <c r="C11826" s="25">
        <v>2293333.6</v>
      </c>
      <c r="D11826" s="22" t="s">
        <v>16282</v>
      </c>
      <c r="E11826" s="22" t="s">
        <v>809</v>
      </c>
      <c r="F11826" s="23" t="str">
        <f t="shared" si="347"/>
        <v>На поставку автоматизированного рабочего места</v>
      </c>
      <c r="G11826" s="22" t="s">
        <v>132</v>
      </c>
      <c r="H11826" s="22" t="s">
        <v>3623</v>
      </c>
      <c r="I11826" s="26">
        <v>43665.652488425898</v>
      </c>
      <c r="J11826" s="23" t="str">
        <f>HYPERLINK("https://www.spark-marketing.ru/Card/Person/234560", "ООО ""АВК""")</f>
        <v>ООО "АВК"</v>
      </c>
      <c r="K11826" s="24" t="s">
        <v>16285</v>
      </c>
      <c r="L11826" s="28" t="s">
        <v>51</v>
      </c>
      <c r="M11826" s="25">
        <v>1949330</v>
      </c>
      <c r="N11826" s="27">
        <v>0.15000155232540088</v>
      </c>
    </row>
    <row r="11827" spans="1:14" hidden="1" outlineLevel="1" x14ac:dyDescent="0.2">
      <c r="A11827" s="23" t="str">
        <f t="shared" si="346"/>
        <v>ГБУЗ "ГБ" Г.БУГУРУСЛАНА</v>
      </c>
      <c r="B11827" s="24" t="s">
        <v>16281</v>
      </c>
      <c r="C11827" s="25">
        <v>2293333.6</v>
      </c>
      <c r="D11827" s="22" t="s">
        <v>16282</v>
      </c>
      <c r="E11827" s="22" t="s">
        <v>809</v>
      </c>
      <c r="F11827" s="23" t="str">
        <f t="shared" si="347"/>
        <v>На поставку автоматизированного рабочего места</v>
      </c>
      <c r="G11827" s="22" t="s">
        <v>132</v>
      </c>
      <c r="H11827" s="22" t="s">
        <v>3623</v>
      </c>
      <c r="I11827" s="26">
        <v>43665.652488425898</v>
      </c>
      <c r="J11827" s="23" t="str">
        <f>HYPERLINK("https://www.spark-marketing.ru/Card/Person/387477", "Джаноян Мелик Артурович")</f>
        <v>Джаноян Мелик Артурович</v>
      </c>
      <c r="K11827" s="24" t="s">
        <v>16286</v>
      </c>
      <c r="L11827" s="28" t="s">
        <v>51</v>
      </c>
      <c r="M11827" s="25">
        <v>2086933.54</v>
      </c>
      <c r="N11827" s="27">
        <v>9.0000015697672589E-2</v>
      </c>
    </row>
    <row r="11828" spans="1:14" collapsed="1" x14ac:dyDescent="0.15">
      <c r="A11828" s="23" t="str">
        <f>HYPERLINK("https://www.spark-marketing.ru/Card/Person/94673", "ГБУЗ ""АСЕКЕЕВСКАЯ РБ""")</f>
        <v>ГБУЗ "АСЕКЕЕВСКАЯ РБ"</v>
      </c>
      <c r="B11828" s="24" t="s">
        <v>16287</v>
      </c>
      <c r="C11828" s="25">
        <v>620540.42000000004</v>
      </c>
      <c r="D11828" s="22" t="s">
        <v>16288</v>
      </c>
      <c r="E11828" s="22" t="s">
        <v>809</v>
      </c>
      <c r="F11828" s="23" t="str">
        <f>HYPERLINK("https://www.spark-marketing.ru/Card/Lot/72220878", "на поставку автоматизированных рабочих мест (АРМ) и многофункциональных устройств (МФУ)")</f>
        <v>на поставку автоматизированных рабочих мест (АРМ) и многофункциональных устройств (МФУ)</v>
      </c>
      <c r="G11828" s="22" t="s">
        <v>132</v>
      </c>
      <c r="H11828" s="22" t="s">
        <v>16289</v>
      </c>
      <c r="I11828" s="26">
        <v>43665.652291666702</v>
      </c>
      <c r="J11828" s="28" t="s">
        <v>51</v>
      </c>
      <c r="K11828" s="28" t="s">
        <v>51</v>
      </c>
      <c r="L11828" s="28" t="s">
        <v>51</v>
      </c>
      <c r="M11828" s="28" t="s">
        <v>51</v>
      </c>
      <c r="N11828" s="28" t="s">
        <v>51</v>
      </c>
    </row>
    <row r="11829" spans="1:14" hidden="1" outlineLevel="1" x14ac:dyDescent="0.2">
      <c r="A11829" s="23" t="str">
        <f>HYPERLINK("https://www.spark-marketing.ru/Card/Person/94673", "ГБУЗ ""АСЕКЕЕВСКАЯ РБ""")</f>
        <v>ГБУЗ "АСЕКЕЕВСКАЯ РБ"</v>
      </c>
      <c r="B11829" s="24" t="s">
        <v>16287</v>
      </c>
      <c r="C11829" s="25">
        <v>620540.42000000004</v>
      </c>
      <c r="D11829" s="22" t="s">
        <v>16288</v>
      </c>
      <c r="E11829" s="22" t="s">
        <v>809</v>
      </c>
      <c r="F11829" s="23" t="str">
        <f>HYPERLINK("https://www.spark-marketing.ru/Card/Lot/72220878", "на поставку автоматизированных рабочих мест (АРМ) и многофункциональных устройств (МФУ)")</f>
        <v>на поставку автоматизированных рабочих мест (АРМ) и многофункциональных устройств (МФУ)</v>
      </c>
      <c r="G11829" s="22" t="s">
        <v>132</v>
      </c>
      <c r="H11829" s="22" t="s">
        <v>16289</v>
      </c>
      <c r="I11829" s="26">
        <v>43665.652291666702</v>
      </c>
      <c r="J11829" s="23" t="str">
        <f>HYPERLINK("https://www.spark-marketing.ru/Card/Person/373121", "Новичков Дмитрий Анатольевич")</f>
        <v>Новичков Дмитрий Анатольевич</v>
      </c>
      <c r="K11829" s="24" t="s">
        <v>9416</v>
      </c>
      <c r="L11829" s="28" t="s">
        <v>51</v>
      </c>
      <c r="M11829" s="25">
        <v>533664.54</v>
      </c>
      <c r="N11829" s="27">
        <v>0.14000035646348388</v>
      </c>
    </row>
    <row r="11830" spans="1:14" ht="12.75" hidden="1" outlineLevel="1" x14ac:dyDescent="0.2">
      <c r="A11830" s="23" t="str">
        <f>HYPERLINK("https://www.spark-marketing.ru/Card/Person/94673", "ГБУЗ ""АСЕКЕЕВСКАЯ РБ""")</f>
        <v>ГБУЗ "АСЕКЕЕВСКАЯ РБ"</v>
      </c>
      <c r="B11830" s="24" t="s">
        <v>16287</v>
      </c>
      <c r="C11830" s="25">
        <v>620540.42000000004</v>
      </c>
      <c r="D11830" s="22" t="s">
        <v>16288</v>
      </c>
      <c r="E11830" s="22" t="s">
        <v>809</v>
      </c>
      <c r="F11830" s="23" t="str">
        <f>HYPERLINK("https://www.spark-marketing.ru/Card/Lot/72220878", "на поставку автоматизированных рабочих мест (АРМ) и многофункциональных устройств (МФУ)")</f>
        <v>на поставку автоматизированных рабочих мест (АРМ) и многофункциональных устройств (МФУ)</v>
      </c>
      <c r="G11830" s="22" t="s">
        <v>132</v>
      </c>
      <c r="H11830" s="22" t="s">
        <v>16289</v>
      </c>
      <c r="I11830" s="26">
        <v>43665.652291666702</v>
      </c>
      <c r="J11830" s="23" t="str">
        <f>HYPERLINK("https://www.spark-marketing.ru/Card/Person/4962304", "ООО ""ОФИС-КОНТАКТ""")</f>
        <v>ООО "ОФИС-КОНТАКТ"</v>
      </c>
      <c r="K11830" s="24" t="s">
        <v>16290</v>
      </c>
      <c r="L11830" s="22" t="s">
        <v>10</v>
      </c>
      <c r="M11830" s="25">
        <v>530561.82999999996</v>
      </c>
      <c r="N11830" s="27">
        <v>0.14500036919432258</v>
      </c>
    </row>
    <row r="11831" spans="1:14" collapsed="1" x14ac:dyDescent="0.15">
      <c r="A11831" s="23" t="str">
        <f>HYPERLINK("https://www.spark-marketing.ru/Card/Person/80341", "МУ МВД РОССИИ ""СЫЗРАНСКОЕ""")</f>
        <v>МУ МВД РОССИИ "СЫЗРАНСКОЕ"</v>
      </c>
      <c r="B11831" s="24" t="s">
        <v>306</v>
      </c>
      <c r="C11831" s="25">
        <v>145540.29999999999</v>
      </c>
      <c r="D11831" s="22" t="s">
        <v>16291</v>
      </c>
      <c r="E11831" s="22" t="s">
        <v>48</v>
      </c>
      <c r="F11831" s="23" t="str">
        <f>HYPERLINK("https://www.spark-marketing.ru/Card/Lot/72238414",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11831" s="22" t="s">
        <v>128</v>
      </c>
      <c r="H11831" s="22" t="s">
        <v>308</v>
      </c>
      <c r="I11831" s="26">
        <v>43665.632835648103</v>
      </c>
      <c r="J11831" s="28" t="s">
        <v>51</v>
      </c>
      <c r="K11831" s="28" t="s">
        <v>51</v>
      </c>
      <c r="L11831" s="28" t="s">
        <v>51</v>
      </c>
      <c r="M11831" s="28" t="s">
        <v>51</v>
      </c>
      <c r="N11831" s="28" t="s">
        <v>51</v>
      </c>
    </row>
    <row r="11832" spans="1:14" hidden="1" outlineLevel="1" x14ac:dyDescent="0.2">
      <c r="A11832" s="23" t="str">
        <f>HYPERLINK("https://www.spark-marketing.ru/Card/Person/80341", "МУ МВД РОССИИ ""СЫЗРАНСКОЕ""")</f>
        <v>МУ МВД РОССИИ "СЫЗРАНСКОЕ"</v>
      </c>
      <c r="B11832" s="24" t="s">
        <v>306</v>
      </c>
      <c r="C11832" s="25">
        <v>145540.29999999999</v>
      </c>
      <c r="D11832" s="22" t="s">
        <v>16291</v>
      </c>
      <c r="E11832" s="22" t="s">
        <v>48</v>
      </c>
      <c r="F11832" s="23" t="str">
        <f>HYPERLINK("https://www.spark-marketing.ru/Card/Lot/72238414",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11832" s="22" t="s">
        <v>128</v>
      </c>
      <c r="H11832" s="22" t="s">
        <v>308</v>
      </c>
      <c r="I11832" s="26">
        <v>43665.632835648103</v>
      </c>
      <c r="J11832" s="23" t="str">
        <f>HYPERLINK("https://www.spark-marketing.ru/Card/Person/1240778", "ООО ""СТОЛОВАЯ 21""")</f>
        <v>ООО "СТОЛОВАЯ 21"</v>
      </c>
      <c r="K11832" s="24" t="s">
        <v>16292</v>
      </c>
      <c r="L11832" s="28" t="s">
        <v>51</v>
      </c>
      <c r="M11832" s="25">
        <v>51666.78</v>
      </c>
      <c r="N11832" s="27">
        <v>0.64500018208015242</v>
      </c>
    </row>
    <row r="11833" spans="1:14" ht="12.75" hidden="1" outlineLevel="1" x14ac:dyDescent="0.2">
      <c r="A11833" s="23" t="str">
        <f>HYPERLINK("https://www.spark-marketing.ru/Card/Person/80341", "МУ МВД РОССИИ ""СЫЗРАНСКОЕ""")</f>
        <v>МУ МВД РОССИИ "СЫЗРАНСКОЕ"</v>
      </c>
      <c r="B11833" s="24" t="s">
        <v>306</v>
      </c>
      <c r="C11833" s="25">
        <v>145540.29999999999</v>
      </c>
      <c r="D11833" s="22" t="s">
        <v>16291</v>
      </c>
      <c r="E11833" s="22" t="s">
        <v>48</v>
      </c>
      <c r="F11833" s="23" t="str">
        <f>HYPERLINK("https://www.spark-marketing.ru/Card/Lot/72238414",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11833" s="22" t="s">
        <v>128</v>
      </c>
      <c r="H11833" s="22" t="s">
        <v>308</v>
      </c>
      <c r="I11833" s="26">
        <v>43665.632835648103</v>
      </c>
      <c r="J11833" s="23" t="str">
        <f>HYPERLINK("https://www.spark-marketing.ru/Card/Person/2044050", "ООО ""22 АМБАР""")</f>
        <v>ООО "22 АМБАР"</v>
      </c>
      <c r="K11833" s="24" t="s">
        <v>6702</v>
      </c>
      <c r="L11833" s="22" t="s">
        <v>10</v>
      </c>
      <c r="M11833" s="25">
        <v>50939.08</v>
      </c>
      <c r="N11833" s="27">
        <v>0.6500001717737286</v>
      </c>
    </row>
    <row r="11834" spans="1:14" hidden="1" outlineLevel="1" x14ac:dyDescent="0.2">
      <c r="A11834" s="23" t="str">
        <f>HYPERLINK("https://www.spark-marketing.ru/Card/Person/80341", "МУ МВД РОССИИ ""СЫЗРАНСКОЕ""")</f>
        <v>МУ МВД РОССИИ "СЫЗРАНСКОЕ"</v>
      </c>
      <c r="B11834" s="24" t="s">
        <v>306</v>
      </c>
      <c r="C11834" s="25">
        <v>145540.29999999999</v>
      </c>
      <c r="D11834" s="22" t="s">
        <v>16291</v>
      </c>
      <c r="E11834" s="22" t="s">
        <v>48</v>
      </c>
      <c r="F11834" s="23" t="str">
        <f>HYPERLINK("https://www.spark-marketing.ru/Card/Lot/72238414",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11834" s="22" t="s">
        <v>128</v>
      </c>
      <c r="H11834" s="22" t="s">
        <v>308</v>
      </c>
      <c r="I11834" s="26">
        <v>43665.632835648103</v>
      </c>
      <c r="J11834" s="23" t="str">
        <f>HYPERLINK("https://www.spark-marketing.ru/Card/Person/2544469", "ООО ""ЛДМ ГРУПП""")</f>
        <v>ООО "ЛДМ ГРУПП"</v>
      </c>
      <c r="K11834" s="24" t="s">
        <v>6703</v>
      </c>
      <c r="L11834" s="28" t="s">
        <v>51</v>
      </c>
      <c r="M11834" s="25">
        <v>70587.02</v>
      </c>
      <c r="N11834" s="27">
        <v>0.51500017520920327</v>
      </c>
    </row>
    <row r="11835" spans="1:14" x14ac:dyDescent="0.2">
      <c r="A11835" s="23" t="str">
        <f>HYPERLINK("https://www.spark-marketing.ru/Card/Person/47634", "МБОУ ""ЛИЦЕЙ""")</f>
        <v>МБОУ "ЛИЦЕЙ"</v>
      </c>
      <c r="B11835" s="24" t="s">
        <v>16293</v>
      </c>
      <c r="C11835" s="25">
        <v>8558080</v>
      </c>
      <c r="D11835" s="22" t="s">
        <v>16294</v>
      </c>
      <c r="E11835" s="22" t="s">
        <v>48</v>
      </c>
      <c r="F11835" s="23" t="str">
        <f>HYPERLINK("https://www.spark-marketing.ru/Card/Lot/72217681", "Оказание услуг по организации в 2019-2020 учебном году питания обучающихся муниципального бюджетного общеобразовательного учреждения ""Лицей""")</f>
        <v>Оказание услуг по организации в 2019-2020 учебном году питания обучающихся муниципального бюджетного общеобразовательного учреждения "Лицей"</v>
      </c>
      <c r="G11835" s="22" t="s">
        <v>97</v>
      </c>
      <c r="H11835" s="22" t="s">
        <v>97</v>
      </c>
      <c r="I11835" s="26">
        <v>43665.650694444397</v>
      </c>
      <c r="J11835" s="23" t="str">
        <f>HYPERLINK("https://www.spark-marketing.ru/Card/Person/62139", "ООО ""КШП""")</f>
        <v>ООО "КШП"</v>
      </c>
      <c r="K11835" s="24" t="s">
        <v>16295</v>
      </c>
      <c r="L11835" s="28" t="s">
        <v>51</v>
      </c>
      <c r="M11835" s="25">
        <v>8558080</v>
      </c>
      <c r="N11835" s="27">
        <v>0</v>
      </c>
    </row>
    <row r="11836" spans="1:14" collapsed="1" x14ac:dyDescent="0.15">
      <c r="A11836" s="23" t="str">
        <f>HYPERLINK("https://www.spark-marketing.ru/Card/Person/132564", "МБДОУ ""ДЕТСКИЙ САД № 12""")</f>
        <v>МБДОУ "ДЕТСКИЙ САД № 12"</v>
      </c>
      <c r="B11836" s="24" t="s">
        <v>16296</v>
      </c>
      <c r="C11836" s="25">
        <v>4022469.59</v>
      </c>
      <c r="D11836" s="22" t="s">
        <v>16297</v>
      </c>
      <c r="E11836" s="22" t="s">
        <v>96</v>
      </c>
      <c r="F11836" s="23" t="str">
        <f>HYPERLINK("https://www.spark-marketing.ru/Card/Lot/72218420", "Оказание услуг по организации горячего питания для воспитанников")</f>
        <v>Оказание услуг по организации горячего питания для воспитанников</v>
      </c>
      <c r="G11836" s="22" t="s">
        <v>153</v>
      </c>
      <c r="H11836" s="22" t="s">
        <v>153</v>
      </c>
      <c r="I11836" s="26">
        <v>43665.659722222197</v>
      </c>
      <c r="J11836" s="28" t="s">
        <v>51</v>
      </c>
      <c r="K11836" s="28" t="s">
        <v>51</v>
      </c>
      <c r="L11836" s="28" t="s">
        <v>51</v>
      </c>
      <c r="M11836" s="28" t="s">
        <v>51</v>
      </c>
      <c r="N11836" s="28" t="s">
        <v>51</v>
      </c>
    </row>
    <row r="11837" spans="1:14" hidden="1" outlineLevel="1" x14ac:dyDescent="0.2">
      <c r="A11837" s="23" t="str">
        <f>HYPERLINK("https://www.spark-marketing.ru/Card/Person/132564", "МБДОУ ""ДЕТСКИЙ САД № 12""")</f>
        <v>МБДОУ "ДЕТСКИЙ САД № 12"</v>
      </c>
      <c r="B11837" s="24" t="s">
        <v>16296</v>
      </c>
      <c r="C11837" s="25">
        <v>4022469.59</v>
      </c>
      <c r="D11837" s="22" t="s">
        <v>16297</v>
      </c>
      <c r="E11837" s="22" t="s">
        <v>96</v>
      </c>
      <c r="F11837" s="23" t="str">
        <f>HYPERLINK("https://www.spark-marketing.ru/Card/Lot/72218420", "Оказание услуг по организации горячего питания для воспитанников")</f>
        <v>Оказание услуг по организации горячего питания для воспитанников</v>
      </c>
      <c r="G11837" s="22" t="s">
        <v>153</v>
      </c>
      <c r="H11837" s="22" t="s">
        <v>153</v>
      </c>
      <c r="I11837" s="26">
        <v>43665.659722222197</v>
      </c>
      <c r="J11837" s="23" t="str">
        <f>HYPERLINK("https://www.spark-marketing.ru/Card/Person/1016854", "МБУ ""КОМБИНАТ ПИТАНИЯ""")</f>
        <v>МБУ "КОМБИНАТ ПИТАНИЯ"</v>
      </c>
      <c r="K11837" s="24" t="s">
        <v>6224</v>
      </c>
      <c r="L11837" s="28" t="s">
        <v>51</v>
      </c>
      <c r="M11837" s="25">
        <v>3929828</v>
      </c>
      <c r="N11837" s="27">
        <v>2.3031023088480328E-2</v>
      </c>
    </row>
    <row r="11838" spans="1:14" ht="12.75" hidden="1" outlineLevel="1" x14ac:dyDescent="0.2">
      <c r="A11838" s="23" t="str">
        <f>HYPERLINK("https://www.spark-marketing.ru/Card/Person/132564", "МБДОУ ""ДЕТСКИЙ САД № 12""")</f>
        <v>МБДОУ "ДЕТСКИЙ САД № 12"</v>
      </c>
      <c r="B11838" s="24" t="s">
        <v>16296</v>
      </c>
      <c r="C11838" s="25">
        <v>4022469.59</v>
      </c>
      <c r="D11838" s="22" t="s">
        <v>16297</v>
      </c>
      <c r="E11838" s="22" t="s">
        <v>96</v>
      </c>
      <c r="F11838" s="23" t="str">
        <f>HYPERLINK("https://www.spark-marketing.ru/Card/Lot/72218420", "Оказание услуг по организации горячего питания для воспитанников")</f>
        <v>Оказание услуг по организации горячего питания для воспитанников</v>
      </c>
      <c r="G11838" s="22" t="s">
        <v>153</v>
      </c>
      <c r="H11838" s="22" t="s">
        <v>153</v>
      </c>
      <c r="I11838" s="26">
        <v>43665.659722222197</v>
      </c>
      <c r="J11838" s="23" t="str">
        <f>HYPERLINK("https://www.spark-marketing.ru/Card/Person/788397", "Меньшатов Станислав Николаевич")</f>
        <v>Меньшатов Станислав Николаевич</v>
      </c>
      <c r="K11838" s="24" t="s">
        <v>6223</v>
      </c>
      <c r="L11838" s="22" t="s">
        <v>10</v>
      </c>
      <c r="M11838" s="25">
        <v>3901795.5</v>
      </c>
      <c r="N11838" s="27">
        <v>3.0000000571788039E-2</v>
      </c>
    </row>
    <row r="11839" spans="1:14" x14ac:dyDescent="0.15">
      <c r="A11839" s="23" t="str">
        <f>HYPERLINK("https://www.spark-marketing.ru/Card/Person/878212", "ГБОУ ШКОЛА № 59 Г. КРАСНОДАРА")</f>
        <v>ГБОУ ШКОЛА № 59 Г. КРАСНОДАРА</v>
      </c>
      <c r="B11839" s="24" t="s">
        <v>16279</v>
      </c>
      <c r="C11839" s="25">
        <v>319096.8</v>
      </c>
      <c r="D11839" s="22" t="s">
        <v>16298</v>
      </c>
      <c r="E11839" s="22" t="s">
        <v>48</v>
      </c>
      <c r="F11839" s="23" t="str">
        <f>HYPERLINK("https://www.spark-marketing.ru/Card/Lot/72224323", "Услуги по обеспечению питанием")</f>
        <v>Услуги по обеспечению питанием</v>
      </c>
      <c r="G11839" s="22" t="s">
        <v>104</v>
      </c>
      <c r="H11839" s="22" t="s">
        <v>120</v>
      </c>
      <c r="I11839" s="26">
        <v>43665.636620370402</v>
      </c>
      <c r="J11839" s="28" t="s">
        <v>51</v>
      </c>
      <c r="K11839" s="28" t="s">
        <v>51</v>
      </c>
      <c r="L11839" s="28" t="s">
        <v>51</v>
      </c>
      <c r="M11839" s="28" t="s">
        <v>51</v>
      </c>
      <c r="N11839" s="28" t="s">
        <v>51</v>
      </c>
    </row>
    <row r="11840" spans="1:14" x14ac:dyDescent="0.15">
      <c r="A11840" s="23" t="str">
        <f>HYPERLINK("https://www.spark-marketing.ru/Card/Person/1133378", "АУ ФКИС ВО ""ЦСП""")</f>
        <v>АУ ФКИС ВО "ЦСП"</v>
      </c>
      <c r="B11840" s="24" t="s">
        <v>15353</v>
      </c>
      <c r="C11840" s="25">
        <v>396900</v>
      </c>
      <c r="D11840" s="22" t="s">
        <v>16299</v>
      </c>
      <c r="E11840" s="22" t="s">
        <v>2682</v>
      </c>
      <c r="F11840" s="23" t="str">
        <f>HYPERLINK("https://www.spark-marketing.ru/Card/Lot/72228498", "Услуги по питанию участников спартакиады учащихся России 2019 (финальные спортивные соревнования по дзюдо)")</f>
        <v>Услуги по питанию участников спартакиады учащихся России 2019 (финальные спортивные соревнования по дзюдо)</v>
      </c>
      <c r="G11840" s="22" t="s">
        <v>503</v>
      </c>
      <c r="H11840" s="22" t="s">
        <v>503</v>
      </c>
      <c r="I11840" s="26">
        <v>43665.653796296298</v>
      </c>
      <c r="J11840" s="28" t="s">
        <v>51</v>
      </c>
      <c r="K11840" s="28" t="s">
        <v>51</v>
      </c>
      <c r="L11840" s="28" t="s">
        <v>51</v>
      </c>
      <c r="M11840" s="28" t="s">
        <v>51</v>
      </c>
      <c r="N11840" s="28" t="s">
        <v>51</v>
      </c>
    </row>
    <row r="11841" spans="1:14" collapsed="1" x14ac:dyDescent="0.15">
      <c r="A11841" s="23" t="s">
        <v>114</v>
      </c>
      <c r="B11841" s="28" t="s">
        <v>51</v>
      </c>
      <c r="C11841" s="25">
        <v>27326376</v>
      </c>
      <c r="D11841" s="22" t="s">
        <v>16300</v>
      </c>
      <c r="E11841" s="22" t="s">
        <v>96</v>
      </c>
      <c r="F11841" s="23" t="str">
        <f t="shared" ref="F11841:F11850" si="348">HYPERLINK("https://www.spark-marketing.ru/Card/Lot/72224229", "Оказание услуг по организации горячего питания школьников на 2019-2020 учебный год")</f>
        <v>Оказание услуг по организации горячего питания школьников на 2019-2020 учебный год</v>
      </c>
      <c r="G11841" s="22" t="s">
        <v>51</v>
      </c>
      <c r="H11841" s="22" t="s">
        <v>51</v>
      </c>
      <c r="I11841" s="26">
        <v>43665.656944444403</v>
      </c>
      <c r="J11841" s="23" t="str">
        <f t="shared" ref="J11841:J11850" si="349">HYPERLINK("https://www.spark-marketing.ru/Card/Person/59814", "ООО КП ""СОЛНЕЧНЫЙ""")</f>
        <v>ООО КП "СОЛНЕЧНЫЙ"</v>
      </c>
      <c r="K11841" s="24" t="s">
        <v>7783</v>
      </c>
      <c r="L11841" s="28" t="s">
        <v>51</v>
      </c>
      <c r="M11841" s="28" t="s">
        <v>51</v>
      </c>
      <c r="N11841" s="28" t="s">
        <v>51</v>
      </c>
    </row>
    <row r="11842" spans="1:14" hidden="1" outlineLevel="1" x14ac:dyDescent="0.15">
      <c r="A11842" s="23" t="str">
        <f>HYPERLINK("https://www.spark-marketing.ru/Card/Person/59753", "МБОУ СОШ № 83")</f>
        <v>МБОУ СОШ № 83</v>
      </c>
      <c r="B11842" s="24" t="s">
        <v>7867</v>
      </c>
      <c r="C11842" s="25">
        <v>3857952</v>
      </c>
      <c r="D11842" s="22" t="s">
        <v>16300</v>
      </c>
      <c r="E11842" s="22" t="s">
        <v>96</v>
      </c>
      <c r="F11842" s="23" t="str">
        <f t="shared" si="348"/>
        <v>Оказание услуг по организации горячего питания школьников на 2019-2020 учебный год</v>
      </c>
      <c r="G11842" s="22" t="s">
        <v>82</v>
      </c>
      <c r="H11842" s="22" t="s">
        <v>83</v>
      </c>
      <c r="I11842" s="26">
        <v>43665.656944444403</v>
      </c>
      <c r="J11842" s="23" t="str">
        <f t="shared" si="349"/>
        <v>ООО КП "СОЛНЕЧНЫЙ"</v>
      </c>
      <c r="K11842" s="24" t="s">
        <v>7783</v>
      </c>
      <c r="L11842" s="28" t="s">
        <v>51</v>
      </c>
      <c r="M11842" s="28" t="s">
        <v>51</v>
      </c>
      <c r="N11842" s="28" t="s">
        <v>51</v>
      </c>
    </row>
    <row r="11843" spans="1:14" hidden="1" outlineLevel="1" x14ac:dyDescent="0.15">
      <c r="A11843" s="23" t="str">
        <f>HYPERLINK("https://www.spark-marketing.ru/Card/Person/59912", "МБОУ СОШ № 81")</f>
        <v>МБОУ СОШ № 81</v>
      </c>
      <c r="B11843" s="24" t="s">
        <v>7868</v>
      </c>
      <c r="C11843" s="25">
        <v>2951501</v>
      </c>
      <c r="D11843" s="22" t="s">
        <v>16300</v>
      </c>
      <c r="E11843" s="22" t="s">
        <v>96</v>
      </c>
      <c r="F11843" s="23" t="str">
        <f t="shared" si="348"/>
        <v>Оказание услуг по организации горячего питания школьников на 2019-2020 учебный год</v>
      </c>
      <c r="G11843" s="22" t="s">
        <v>82</v>
      </c>
      <c r="H11843" s="22" t="s">
        <v>83</v>
      </c>
      <c r="I11843" s="26">
        <v>43665.656944444403</v>
      </c>
      <c r="J11843" s="23" t="str">
        <f t="shared" si="349"/>
        <v>ООО КП "СОЛНЕЧНЫЙ"</v>
      </c>
      <c r="K11843" s="24" t="s">
        <v>7783</v>
      </c>
      <c r="L11843" s="28" t="s">
        <v>51</v>
      </c>
      <c r="M11843" s="28" t="s">
        <v>51</v>
      </c>
      <c r="N11843" s="28" t="s">
        <v>51</v>
      </c>
    </row>
    <row r="11844" spans="1:14" hidden="1" outlineLevel="1" x14ac:dyDescent="0.15">
      <c r="A11844" s="23" t="str">
        <f>HYPERLINK("https://www.spark-marketing.ru/Card/Person/59932", "МБОУ ГИМНАЗИЯ ИМ. И.А.БУНИНА")</f>
        <v>МБОУ ГИМНАЗИЯ ИМ. И.А.БУНИНА</v>
      </c>
      <c r="B11844" s="24" t="s">
        <v>7869</v>
      </c>
      <c r="C11844" s="25">
        <v>3865176</v>
      </c>
      <c r="D11844" s="22" t="s">
        <v>16300</v>
      </c>
      <c r="E11844" s="22" t="s">
        <v>96</v>
      </c>
      <c r="F11844" s="23" t="str">
        <f t="shared" si="348"/>
        <v>Оказание услуг по организации горячего питания школьников на 2019-2020 учебный год</v>
      </c>
      <c r="G11844" s="22" t="s">
        <v>82</v>
      </c>
      <c r="H11844" s="22" t="s">
        <v>83</v>
      </c>
      <c r="I11844" s="26">
        <v>43665.656944444403</v>
      </c>
      <c r="J11844" s="23" t="str">
        <f t="shared" si="349"/>
        <v>ООО КП "СОЛНЕЧНЫЙ"</v>
      </c>
      <c r="K11844" s="24" t="s">
        <v>7783</v>
      </c>
      <c r="L11844" s="28" t="s">
        <v>51</v>
      </c>
      <c r="M11844" s="28" t="s">
        <v>51</v>
      </c>
      <c r="N11844" s="28" t="s">
        <v>51</v>
      </c>
    </row>
    <row r="11845" spans="1:14" hidden="1" outlineLevel="1" x14ac:dyDescent="0.15">
      <c r="A11845" s="23" t="str">
        <f>HYPERLINK("https://www.spark-marketing.ru/Card/Person/60501", "МБОУ ЛИЦЕЙ № 5")</f>
        <v>МБОУ ЛИЦЕЙ № 5</v>
      </c>
      <c r="B11845" s="24" t="s">
        <v>7870</v>
      </c>
      <c r="C11845" s="25">
        <v>3991400</v>
      </c>
      <c r="D11845" s="22" t="s">
        <v>16300</v>
      </c>
      <c r="E11845" s="22" t="s">
        <v>96</v>
      </c>
      <c r="F11845" s="23" t="str">
        <f t="shared" si="348"/>
        <v>Оказание услуг по организации горячего питания школьников на 2019-2020 учебный год</v>
      </c>
      <c r="G11845" s="22" t="s">
        <v>82</v>
      </c>
      <c r="H11845" s="22" t="s">
        <v>83</v>
      </c>
      <c r="I11845" s="26">
        <v>43665.656944444403</v>
      </c>
      <c r="J11845" s="23" t="str">
        <f t="shared" si="349"/>
        <v>ООО КП "СОЛНЕЧНЫЙ"</v>
      </c>
      <c r="K11845" s="24" t="s">
        <v>7783</v>
      </c>
      <c r="L11845" s="28" t="s">
        <v>51</v>
      </c>
      <c r="M11845" s="28" t="s">
        <v>51</v>
      </c>
      <c r="N11845" s="28" t="s">
        <v>51</v>
      </c>
    </row>
    <row r="11846" spans="1:14" hidden="1" outlineLevel="1" x14ac:dyDescent="0.15">
      <c r="A11846" s="23" t="str">
        <f>HYPERLINK("https://www.spark-marketing.ru/Card/Person/88396", "МБОУ СОШ № 55")</f>
        <v>МБОУ СОШ № 55</v>
      </c>
      <c r="B11846" s="24" t="s">
        <v>7871</v>
      </c>
      <c r="C11846" s="25">
        <v>5089322</v>
      </c>
      <c r="D11846" s="22" t="s">
        <v>16300</v>
      </c>
      <c r="E11846" s="22" t="s">
        <v>96</v>
      </c>
      <c r="F11846" s="23" t="str">
        <f t="shared" si="348"/>
        <v>Оказание услуг по организации горячего питания школьников на 2019-2020 учебный год</v>
      </c>
      <c r="G11846" s="22" t="s">
        <v>82</v>
      </c>
      <c r="H11846" s="22" t="s">
        <v>83</v>
      </c>
      <c r="I11846" s="26">
        <v>43665.656944444403</v>
      </c>
      <c r="J11846" s="23" t="str">
        <f t="shared" si="349"/>
        <v>ООО КП "СОЛНЕЧНЫЙ"</v>
      </c>
      <c r="K11846" s="24" t="s">
        <v>7783</v>
      </c>
      <c r="L11846" s="28" t="s">
        <v>51</v>
      </c>
      <c r="M11846" s="28" t="s">
        <v>51</v>
      </c>
      <c r="N11846" s="28" t="s">
        <v>51</v>
      </c>
    </row>
    <row r="11847" spans="1:14" hidden="1" outlineLevel="1" x14ac:dyDescent="0.15">
      <c r="A11847" s="23" t="str">
        <f>HYPERLINK("https://www.spark-marketing.ru/Card/Person/119133", "МБОУ СОШ №16")</f>
        <v>МБОУ СОШ №16</v>
      </c>
      <c r="B11847" s="24" t="s">
        <v>7807</v>
      </c>
      <c r="C11847" s="25">
        <v>1255919</v>
      </c>
      <c r="D11847" s="22" t="s">
        <v>16300</v>
      </c>
      <c r="E11847" s="22" t="s">
        <v>96</v>
      </c>
      <c r="F11847" s="23" t="str">
        <f t="shared" si="348"/>
        <v>Оказание услуг по организации горячего питания школьников на 2019-2020 учебный год</v>
      </c>
      <c r="G11847" s="22" t="s">
        <v>82</v>
      </c>
      <c r="H11847" s="22" t="s">
        <v>83</v>
      </c>
      <c r="I11847" s="26">
        <v>43665.656944444403</v>
      </c>
      <c r="J11847" s="23" t="str">
        <f t="shared" si="349"/>
        <v>ООО КП "СОЛНЕЧНЫЙ"</v>
      </c>
      <c r="K11847" s="24" t="s">
        <v>7783</v>
      </c>
      <c r="L11847" s="28" t="s">
        <v>51</v>
      </c>
      <c r="M11847" s="28" t="s">
        <v>51</v>
      </c>
      <c r="N11847" s="28" t="s">
        <v>51</v>
      </c>
    </row>
    <row r="11848" spans="1:14" hidden="1" outlineLevel="1" x14ac:dyDescent="0.15">
      <c r="A11848" s="23" t="str">
        <f>HYPERLINK("https://www.spark-marketing.ru/Card/Person/1005752", "МБОУ СОШ №9")</f>
        <v>МБОУ СОШ №9</v>
      </c>
      <c r="B11848" s="24" t="s">
        <v>7811</v>
      </c>
      <c r="C11848" s="25">
        <v>2356480</v>
      </c>
      <c r="D11848" s="22" t="s">
        <v>16300</v>
      </c>
      <c r="E11848" s="22" t="s">
        <v>96</v>
      </c>
      <c r="F11848" s="23" t="str">
        <f t="shared" si="348"/>
        <v>Оказание услуг по организации горячего питания школьников на 2019-2020 учебный год</v>
      </c>
      <c r="G11848" s="22" t="s">
        <v>82</v>
      </c>
      <c r="H11848" s="22" t="s">
        <v>83</v>
      </c>
      <c r="I11848" s="26">
        <v>43665.656944444403</v>
      </c>
      <c r="J11848" s="23" t="str">
        <f t="shared" si="349"/>
        <v>ООО КП "СОЛНЕЧНЫЙ"</v>
      </c>
      <c r="K11848" s="24" t="s">
        <v>7783</v>
      </c>
      <c r="L11848" s="28" t="s">
        <v>51</v>
      </c>
      <c r="M11848" s="28" t="s">
        <v>51</v>
      </c>
      <c r="N11848" s="28" t="s">
        <v>51</v>
      </c>
    </row>
    <row r="11849" spans="1:14" hidden="1" outlineLevel="1" x14ac:dyDescent="0.15">
      <c r="A11849" s="23" t="str">
        <f>HYPERLINK("https://www.spark-marketing.ru/Card/Person/1022700", "МБОУ СОШ № 11 ИМ. А.С.ПУШКИНА")</f>
        <v>МБОУ СОШ № 11 ИМ. А.С.ПУШКИНА</v>
      </c>
      <c r="B11849" s="24" t="s">
        <v>7812</v>
      </c>
      <c r="C11849" s="25">
        <v>1090740</v>
      </c>
      <c r="D11849" s="22" t="s">
        <v>16300</v>
      </c>
      <c r="E11849" s="22" t="s">
        <v>96</v>
      </c>
      <c r="F11849" s="23" t="str">
        <f t="shared" si="348"/>
        <v>Оказание услуг по организации горячего питания школьников на 2019-2020 учебный год</v>
      </c>
      <c r="G11849" s="22" t="s">
        <v>82</v>
      </c>
      <c r="H11849" s="22" t="s">
        <v>83</v>
      </c>
      <c r="I11849" s="26">
        <v>43665.656944444403</v>
      </c>
      <c r="J11849" s="23" t="str">
        <f t="shared" si="349"/>
        <v>ООО КП "СОЛНЕЧНЫЙ"</v>
      </c>
      <c r="K11849" s="24" t="s">
        <v>7783</v>
      </c>
      <c r="L11849" s="28" t="s">
        <v>51</v>
      </c>
      <c r="M11849" s="28" t="s">
        <v>51</v>
      </c>
      <c r="N11849" s="28" t="s">
        <v>51</v>
      </c>
    </row>
    <row r="11850" spans="1:14" hidden="1" outlineLevel="1" x14ac:dyDescent="0.15">
      <c r="A11850" s="23" t="str">
        <f>HYPERLINK("https://www.spark-marketing.ru/Card/Person/1026664", "МБОУ СОШ № 20")</f>
        <v>МБОУ СОШ № 20</v>
      </c>
      <c r="B11850" s="24" t="s">
        <v>7813</v>
      </c>
      <c r="C11850" s="25">
        <v>2867886</v>
      </c>
      <c r="D11850" s="22" t="s">
        <v>16300</v>
      </c>
      <c r="E11850" s="22" t="s">
        <v>96</v>
      </c>
      <c r="F11850" s="23" t="str">
        <f t="shared" si="348"/>
        <v>Оказание услуг по организации горячего питания школьников на 2019-2020 учебный год</v>
      </c>
      <c r="G11850" s="22" t="s">
        <v>82</v>
      </c>
      <c r="H11850" s="22" t="s">
        <v>83</v>
      </c>
      <c r="I11850" s="26">
        <v>43665.656944444403</v>
      </c>
      <c r="J11850" s="23" t="str">
        <f t="shared" si="349"/>
        <v>ООО КП "СОЛНЕЧНЫЙ"</v>
      </c>
      <c r="K11850" s="24" t="s">
        <v>7783</v>
      </c>
      <c r="L11850" s="28" t="s">
        <v>51</v>
      </c>
      <c r="M11850" s="28" t="s">
        <v>51</v>
      </c>
      <c r="N11850" s="28" t="s">
        <v>51</v>
      </c>
    </row>
    <row r="11851" spans="1:14" x14ac:dyDescent="0.2">
      <c r="A11851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11851" s="24" t="s">
        <v>6649</v>
      </c>
      <c r="C11851" s="25">
        <v>2993800</v>
      </c>
      <c r="D11851" s="22" t="s">
        <v>16301</v>
      </c>
      <c r="E11851" s="22" t="s">
        <v>952</v>
      </c>
      <c r="F11851" s="23" t="str">
        <f>HYPERLINK("https://www.spark-marketing.ru/Card/Lot/72229947", "Оказание услуг по организации общественного питания в ФГАУ ""Санаторий ФССП России ""Зелёная долина""")</f>
        <v>Оказание услуг по организации общественного питания в ФГАУ "Санаторий ФССП России "Зелёная долина"</v>
      </c>
      <c r="G11851" s="22" t="s">
        <v>104</v>
      </c>
      <c r="H11851" s="22" t="s">
        <v>104</v>
      </c>
      <c r="I11851" s="26">
        <v>43665.662604166697</v>
      </c>
      <c r="J11851" s="28" t="s">
        <v>51</v>
      </c>
      <c r="K11851" s="28" t="s">
        <v>51</v>
      </c>
      <c r="L11851" s="22" t="s">
        <v>10</v>
      </c>
      <c r="M11851" s="25">
        <v>2993800</v>
      </c>
      <c r="N11851" s="27">
        <v>0</v>
      </c>
    </row>
    <row r="11852" spans="1:14" collapsed="1" x14ac:dyDescent="0.15">
      <c r="A11852" s="23" t="str">
        <f>HYPERLINK("https://www.spark-marketing.ru/Card/Person/7218", "УЛЬЯНОВСКАЯ ТАМОЖНЯ")</f>
        <v>УЛЬЯНОВСКАЯ ТАМОЖНЯ</v>
      </c>
      <c r="B11852" s="24" t="s">
        <v>16302</v>
      </c>
      <c r="C11852" s="25">
        <v>150000</v>
      </c>
      <c r="D11852" s="22" t="s">
        <v>16303</v>
      </c>
      <c r="E11852" s="22" t="s">
        <v>355</v>
      </c>
      <c r="F11852" s="23" t="str">
        <f>HYPERLINK("https://www.spark-marketing.ru/Card/Lot/72219731", "Оказание услуг по техническому обслуживанию источников бесперебойного питания, входящих в состав систем бесперебойного гарантированного электроснабжения")</f>
        <v>Оказание услуг по техническому обслуживанию источников бесперебойного питания, входящих в состав систем бесперебойного гарантированного электроснабжения</v>
      </c>
      <c r="G11852" s="22" t="s">
        <v>1918</v>
      </c>
      <c r="H11852" s="22" t="s">
        <v>2140</v>
      </c>
      <c r="I11852" s="26">
        <v>43665.644999999997</v>
      </c>
      <c r="J11852" s="23" t="str">
        <f>HYPERLINK("https://www.spark-marketing.ru/Card/Person/179436", "ООО ""АСЭС""")</f>
        <v>ООО "АСЭС"</v>
      </c>
      <c r="K11852" s="24" t="s">
        <v>11701</v>
      </c>
      <c r="L11852" s="28" t="s">
        <v>51</v>
      </c>
      <c r="M11852" s="28" t="s">
        <v>51</v>
      </c>
      <c r="N11852" s="28" t="s">
        <v>51</v>
      </c>
    </row>
    <row r="11853" spans="1:14" ht="12.75" hidden="1" outlineLevel="1" x14ac:dyDescent="0.2">
      <c r="A11853" s="23" t="str">
        <f>HYPERLINK("https://www.spark-marketing.ru/Card/Person/7218", "УЛЬЯНОВСКАЯ ТАМОЖНЯ")</f>
        <v>УЛЬЯНОВСКАЯ ТАМОЖНЯ</v>
      </c>
      <c r="B11853" s="24" t="s">
        <v>16302</v>
      </c>
      <c r="C11853" s="25">
        <v>150000</v>
      </c>
      <c r="D11853" s="22" t="s">
        <v>16303</v>
      </c>
      <c r="E11853" s="22" t="s">
        <v>355</v>
      </c>
      <c r="F11853" s="23" t="str">
        <f>HYPERLINK("https://www.spark-marketing.ru/Card/Lot/72219731", "Оказание услуг по техническому обслуживанию источников бесперебойного питания, входящих в состав систем бесперебойного гарантированного электроснабжения")</f>
        <v>Оказание услуг по техническому обслуживанию источников бесперебойного питания, входящих в состав систем бесперебойного гарантированного электроснабжения</v>
      </c>
      <c r="G11853" s="22" t="s">
        <v>1918</v>
      </c>
      <c r="H11853" s="22" t="s">
        <v>2140</v>
      </c>
      <c r="I11853" s="26">
        <v>43665.644999999997</v>
      </c>
      <c r="J11853" s="23" t="str">
        <f>HYPERLINK("https://www.spark-marketing.ru/Card/Person/179436", "ООО ""АСЭС""")</f>
        <v>ООО "АСЭС"</v>
      </c>
      <c r="K11853" s="24" t="s">
        <v>11701</v>
      </c>
      <c r="L11853" s="22" t="s">
        <v>10</v>
      </c>
      <c r="M11853" s="25">
        <v>149250</v>
      </c>
      <c r="N11853" s="27">
        <v>5.0000000000000001E-3</v>
      </c>
    </row>
    <row r="11854" spans="1:14" x14ac:dyDescent="0.2">
      <c r="A11854" s="23" t="str">
        <f>HYPERLINK("https://www.spark-marketing.ru/Card/Person/2127", "МБОУ ""СОШ № 37""")</f>
        <v>МБОУ "СОШ № 37"</v>
      </c>
      <c r="B11854" s="24" t="s">
        <v>16304</v>
      </c>
      <c r="C11854" s="25">
        <v>1104104</v>
      </c>
      <c r="D11854" s="22" t="s">
        <v>16305</v>
      </c>
      <c r="E11854" s="22" t="s">
        <v>48</v>
      </c>
      <c r="F11854" s="23" t="str">
        <f>HYPERLINK("https://www.spark-marketing.ru/Card/Lot/72221673", "Оказание услуг по организации питания для льготных категорий обучающихся и обеспечение молоком.")</f>
        <v>Оказание услуг по организации питания для льготных категорий обучающихся и обеспечение молоком.</v>
      </c>
      <c r="G11854" s="22" t="s">
        <v>162</v>
      </c>
      <c r="H11854" s="22" t="s">
        <v>10137</v>
      </c>
      <c r="I11854" s="26">
        <v>43665.6430555556</v>
      </c>
      <c r="J11854" s="23" t="str">
        <f>HYPERLINK("https://www.spark-marketing.ru/Card/Person/1281490", "Разина Елена Викторовна")</f>
        <v>Разина Елена Викторовна</v>
      </c>
      <c r="K11854" s="24" t="s">
        <v>5559</v>
      </c>
      <c r="L11854" s="28" t="s">
        <v>51</v>
      </c>
      <c r="M11854" s="25">
        <v>1104104</v>
      </c>
      <c r="N11854" s="27">
        <v>0</v>
      </c>
    </row>
    <row r="11855" spans="1:14" x14ac:dyDescent="0.15">
      <c r="A11855" s="23" t="str">
        <f>HYPERLINK("https://www.spark-marketing.ru/Card/Person/51156", "МО МВД РОССИИ ""КАЗАЧИНСКИЙ""")</f>
        <v>МО МВД РОССИИ "КАЗАЧИНСКИЙ"</v>
      </c>
      <c r="B11855" s="24" t="s">
        <v>12082</v>
      </c>
      <c r="C11855" s="25">
        <v>285000</v>
      </c>
      <c r="D11855" s="22" t="s">
        <v>16306</v>
      </c>
      <c r="E11855" s="22" t="s">
        <v>48</v>
      </c>
      <c r="F11855" s="23" t="str">
        <f>HYPERLINK("https://www.spark-marketing.ru/Card/Lot/72212675", "Оказание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...")</f>
        <v>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</v>
      </c>
      <c r="G11855" s="22" t="s">
        <v>281</v>
      </c>
      <c r="H11855" s="22" t="s">
        <v>12084</v>
      </c>
      <c r="I11855" s="26">
        <v>43665.619143518503</v>
      </c>
      <c r="J11855" s="28" t="s">
        <v>51</v>
      </c>
      <c r="K11855" s="28" t="s">
        <v>51</v>
      </c>
      <c r="L11855" s="28" t="s">
        <v>51</v>
      </c>
      <c r="M11855" s="28" t="s">
        <v>51</v>
      </c>
      <c r="N11855" s="28" t="s">
        <v>51</v>
      </c>
    </row>
    <row r="11856" spans="1:14" collapsed="1" x14ac:dyDescent="0.15">
      <c r="A11856" s="23" t="str">
        <f>HYPERLINK("https://www.spark-marketing.ru/Card/Person/51156", "МО МВД РОССИИ ""КАЗАЧИНСКИЙ""")</f>
        <v>МО МВД РОССИИ "КАЗАЧИНСКИЙ"</v>
      </c>
      <c r="B11856" s="24" t="s">
        <v>12082</v>
      </c>
      <c r="C11856" s="25">
        <v>330000</v>
      </c>
      <c r="D11856" s="22" t="s">
        <v>16307</v>
      </c>
      <c r="E11856" s="22" t="s">
        <v>48</v>
      </c>
      <c r="F11856" s="23" t="str">
        <f>HYPERLINK("https://www.spark-marketing.ru/Card/Lot/72212574", "Оказание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...")</f>
        <v>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</v>
      </c>
      <c r="G11856" s="22" t="s">
        <v>281</v>
      </c>
      <c r="H11856" s="22" t="s">
        <v>16308</v>
      </c>
      <c r="I11856" s="26">
        <v>43665.601851851898</v>
      </c>
      <c r="J11856" s="28" t="s">
        <v>51</v>
      </c>
      <c r="K11856" s="28" t="s">
        <v>51</v>
      </c>
      <c r="L11856" s="28" t="s">
        <v>51</v>
      </c>
      <c r="M11856" s="28" t="s">
        <v>51</v>
      </c>
      <c r="N11856" s="28" t="s">
        <v>51</v>
      </c>
    </row>
    <row r="11857" spans="1:14" ht="12.75" hidden="1" outlineLevel="1" x14ac:dyDescent="0.2">
      <c r="A11857" s="23" t="str">
        <f>HYPERLINK("https://www.spark-marketing.ru/Card/Person/51156", "МО МВД РОССИИ ""КАЗАЧИНСКИЙ""")</f>
        <v>МО МВД РОССИИ "КАЗАЧИНСКИЙ"</v>
      </c>
      <c r="B11857" s="24" t="s">
        <v>12082</v>
      </c>
      <c r="C11857" s="25">
        <v>330000</v>
      </c>
      <c r="D11857" s="22" t="s">
        <v>16307</v>
      </c>
      <c r="E11857" s="22" t="s">
        <v>48</v>
      </c>
      <c r="F11857" s="23" t="str">
        <f>HYPERLINK("https://www.spark-marketing.ru/Card/Lot/72212574", "Оказание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...")</f>
        <v>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</v>
      </c>
      <c r="G11857" s="22" t="s">
        <v>281</v>
      </c>
      <c r="H11857" s="22" t="s">
        <v>16308</v>
      </c>
      <c r="I11857" s="26">
        <v>43665.601851851898</v>
      </c>
      <c r="J11857" s="23" t="str">
        <f>HYPERLINK("https://www.spark-marketing.ru/Card/Person/4919735", "Непомнящих Григорий Геннадьевич")</f>
        <v>Непомнящих Григорий Геннадьевич</v>
      </c>
      <c r="K11857" s="24" t="s">
        <v>16309</v>
      </c>
      <c r="L11857" s="22" t="s">
        <v>10</v>
      </c>
      <c r="M11857" s="25">
        <v>395.74</v>
      </c>
      <c r="N11857" s="27">
        <v>0.9988007878787879</v>
      </c>
    </row>
    <row r="11858" spans="1:14" hidden="1" outlineLevel="1" x14ac:dyDescent="0.2">
      <c r="A11858" s="23" t="str">
        <f>HYPERLINK("https://www.spark-marketing.ru/Card/Person/51156", "МО МВД РОССИИ ""КАЗАЧИНСКИЙ""")</f>
        <v>МО МВД РОССИИ "КАЗАЧИНСКИЙ"</v>
      </c>
      <c r="B11858" s="24" t="s">
        <v>12082</v>
      </c>
      <c r="C11858" s="25">
        <v>330000</v>
      </c>
      <c r="D11858" s="22" t="s">
        <v>16307</v>
      </c>
      <c r="E11858" s="22" t="s">
        <v>48</v>
      </c>
      <c r="F11858" s="23" t="str">
        <f>HYPERLINK("https://www.spark-marketing.ru/Card/Lot/72212574", "Оказание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...")</f>
        <v>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</v>
      </c>
      <c r="G11858" s="22" t="s">
        <v>281</v>
      </c>
      <c r="H11858" s="22" t="s">
        <v>16308</v>
      </c>
      <c r="I11858" s="26">
        <v>43665.601851851898</v>
      </c>
      <c r="J11858" s="23" t="str">
        <f>HYPERLINK("https://www.spark-marketing.ru/Card/Person/969761", "Заплатина Людмила Альфредовна")</f>
        <v>Заплатина Людмила Альфредовна</v>
      </c>
      <c r="K11858" s="24" t="s">
        <v>7793</v>
      </c>
      <c r="L11858" s="28" t="s">
        <v>51</v>
      </c>
      <c r="M11858" s="25">
        <v>397.87</v>
      </c>
      <c r="N11858" s="27">
        <v>0.99879433333333334</v>
      </c>
    </row>
    <row r="11859" spans="1:14" collapsed="1" x14ac:dyDescent="0.15">
      <c r="A11859" s="23" t="str">
        <f>HYPERLINK("https://www.spark-marketing.ru/Card/Person/5816960", "АСТРАХАНЬСТАТ")</f>
        <v>АСТРАХАНЬСТАТ</v>
      </c>
      <c r="B11859" s="24" t="s">
        <v>16310</v>
      </c>
      <c r="C11859" s="25">
        <v>17000</v>
      </c>
      <c r="D11859" s="22" t="s">
        <v>16311</v>
      </c>
      <c r="E11859" s="22" t="s">
        <v>91</v>
      </c>
      <c r="F11859" s="23" t="str">
        <f>HYPERLINK("https://www.spark-marketing.ru/Card/Lot/72217501", "Оказание услуг по ремонту источников бесперебойного питания в г. Астрахани")</f>
        <v>Оказание услуг по ремонту источников бесперебойного питания в г. Астрахани</v>
      </c>
      <c r="G11859" s="22" t="s">
        <v>141</v>
      </c>
      <c r="H11859" s="22" t="s">
        <v>141</v>
      </c>
      <c r="I11859" s="26">
        <v>43665.611863425896</v>
      </c>
      <c r="J11859" s="28" t="s">
        <v>51</v>
      </c>
      <c r="K11859" s="28" t="s">
        <v>51</v>
      </c>
      <c r="L11859" s="28" t="s">
        <v>51</v>
      </c>
      <c r="M11859" s="28" t="s">
        <v>51</v>
      </c>
      <c r="N11859" s="28" t="s">
        <v>51</v>
      </c>
    </row>
    <row r="11860" spans="1:14" ht="12.75" hidden="1" outlineLevel="1" x14ac:dyDescent="0.2">
      <c r="A11860" s="23" t="str">
        <f>HYPERLINK("https://www.spark-marketing.ru/Card/Person/5816960", "АСТРАХАНЬСТАТ")</f>
        <v>АСТРАХАНЬСТАТ</v>
      </c>
      <c r="B11860" s="24" t="s">
        <v>16310</v>
      </c>
      <c r="C11860" s="25">
        <v>17000</v>
      </c>
      <c r="D11860" s="22" t="s">
        <v>16311</v>
      </c>
      <c r="E11860" s="22" t="s">
        <v>91</v>
      </c>
      <c r="F11860" s="23" t="str">
        <f>HYPERLINK("https://www.spark-marketing.ru/Card/Lot/72217501", "Оказание услуг по ремонту источников бесперебойного питания в г. Астрахани")</f>
        <v>Оказание услуг по ремонту источников бесперебойного питания в г. Астрахани</v>
      </c>
      <c r="G11860" s="22" t="s">
        <v>141</v>
      </c>
      <c r="H11860" s="22" t="s">
        <v>141</v>
      </c>
      <c r="I11860" s="26">
        <v>43665.611863425896</v>
      </c>
      <c r="J11860" s="23" t="str">
        <f>HYPERLINK("https://www.spark-marketing.ru/Card/Person/527339", "ООО ""СТАЛКЕР-АСТРАХАНЬ""")</f>
        <v>ООО "СТАЛКЕР-АСТРАХАНЬ"</v>
      </c>
      <c r="K11860" s="24" t="s">
        <v>16312</v>
      </c>
      <c r="L11860" s="22" t="s">
        <v>10</v>
      </c>
      <c r="M11860" s="25">
        <v>13650</v>
      </c>
      <c r="N11860" s="27">
        <v>0.19705882352941176</v>
      </c>
    </row>
    <row r="11861" spans="1:14" hidden="1" outlineLevel="1" x14ac:dyDescent="0.2">
      <c r="A11861" s="23" t="str">
        <f>HYPERLINK("https://www.spark-marketing.ru/Card/Person/5816960", "АСТРАХАНЬСТАТ")</f>
        <v>АСТРАХАНЬСТАТ</v>
      </c>
      <c r="B11861" s="24" t="s">
        <v>16310</v>
      </c>
      <c r="C11861" s="25">
        <v>17000</v>
      </c>
      <c r="D11861" s="22" t="s">
        <v>16311</v>
      </c>
      <c r="E11861" s="22" t="s">
        <v>91</v>
      </c>
      <c r="F11861" s="23" t="str">
        <f>HYPERLINK("https://www.spark-marketing.ru/Card/Lot/72217501", "Оказание услуг по ремонту источников бесперебойного питания в г. Астрахани")</f>
        <v>Оказание услуг по ремонту источников бесперебойного питания в г. Астрахани</v>
      </c>
      <c r="G11861" s="22" t="s">
        <v>141</v>
      </c>
      <c r="H11861" s="22" t="s">
        <v>141</v>
      </c>
      <c r="I11861" s="26">
        <v>43665.611863425896</v>
      </c>
      <c r="J11861" s="23" t="str">
        <f>HYPERLINK("https://www.spark-marketing.ru/Card/Person/75661", "Каширин Олег Павлович")</f>
        <v>Каширин Олег Павлович</v>
      </c>
      <c r="K11861" s="24" t="s">
        <v>16313</v>
      </c>
      <c r="L11861" s="28" t="s">
        <v>51</v>
      </c>
      <c r="M11861" s="25">
        <v>16900</v>
      </c>
      <c r="N11861" s="27">
        <v>5.8823529411764705E-3</v>
      </c>
    </row>
    <row r="11862" spans="1:14" x14ac:dyDescent="0.15">
      <c r="A11862" s="23" t="str">
        <f>HYPERLINK("https://www.spark-marketing.ru/Card/Person/1071262", "МБОУ ""СПАССКАЯ СОШ""")</f>
        <v>МБОУ "СПАССКАЯ СОШ"</v>
      </c>
      <c r="B11862" s="24" t="s">
        <v>16314</v>
      </c>
      <c r="C11862" s="25">
        <v>1031030</v>
      </c>
      <c r="D11862" s="22" t="s">
        <v>16315</v>
      </c>
      <c r="E11862" s="22" t="s">
        <v>48</v>
      </c>
      <c r="F11862" s="23" t="str">
        <f>HYPERLINK("https://www.spark-marketing.ru/Card/Lot/72222091", "Оказание услуг по организации и обеспечению горячими завтраками учащихся муниципального бюджетного общеобразовательного учреждения ""Спасская средняя общеобразовательная школа"" Спасского муниципального района Рязанской области  на сентябрь - декабрь...")</f>
        <v>Оказание услуг по организации и обеспечению горячими завтраками учащихся муниципального бюджетного общеобразовательного учреждения "Спасская средняя общеобразовательная школа" Спасского муниципального района Рязанской области  на сентябрь - декабрь...</v>
      </c>
      <c r="G11862" s="22" t="s">
        <v>1522</v>
      </c>
      <c r="H11862" s="22" t="s">
        <v>1522</v>
      </c>
      <c r="I11862" s="26">
        <v>43665.602175925902</v>
      </c>
      <c r="J11862" s="23" t="str">
        <f>HYPERLINK("https://www.spark-marketing.ru/Card/Person/778153", "Митина Нина Михайловна")</f>
        <v>Митина Нина Михайловна</v>
      </c>
      <c r="K11862" s="24" t="s">
        <v>16316</v>
      </c>
      <c r="L11862" s="22" t="s">
        <v>10</v>
      </c>
      <c r="M11862" s="28" t="s">
        <v>51</v>
      </c>
      <c r="N11862" s="28" t="s">
        <v>51</v>
      </c>
    </row>
    <row r="11863" spans="1:14" x14ac:dyDescent="0.15">
      <c r="A11863" s="23" t="str">
        <f>HYPERLINK("https://www.spark-marketing.ru/Card/Person/1027967", "КГБОУ ШИ 1")</f>
        <v>КГБОУ ШИ 1</v>
      </c>
      <c r="B11863" s="24" t="s">
        <v>11976</v>
      </c>
      <c r="C11863" s="25">
        <v>2376793.33</v>
      </c>
      <c r="D11863" s="22" t="s">
        <v>16317</v>
      </c>
      <c r="E11863" s="22" t="s">
        <v>48</v>
      </c>
      <c r="F11863" s="23" t="str">
        <f>HYPERLINK("https://www.spark-marketing.ru/Card/Lot/72205325", "Оказание услуг по организации питания")</f>
        <v>Оказание услуг по организации питания</v>
      </c>
      <c r="G11863" s="22" t="s">
        <v>1096</v>
      </c>
      <c r="H11863" s="22" t="s">
        <v>1097</v>
      </c>
      <c r="I11863" s="26">
        <v>43665.590509259302</v>
      </c>
      <c r="J11863" s="28" t="s">
        <v>51</v>
      </c>
      <c r="K11863" s="28" t="s">
        <v>51</v>
      </c>
      <c r="L11863" s="28" t="s">
        <v>51</v>
      </c>
      <c r="M11863" s="28" t="s">
        <v>51</v>
      </c>
      <c r="N11863" s="28" t="s">
        <v>51</v>
      </c>
    </row>
    <row r="11864" spans="1:14" x14ac:dyDescent="0.15">
      <c r="A11864" s="23" t="str">
        <f>HYPERLINK("https://www.spark-marketing.ru/Card/Person/47122", "БУ ""ОКТЯБРЬСКИЙ РАЙОННЫЙ КОМПЛЕКСНЫЙ ЦЕНТР СОЦИАЛЬНОГО ОБСЛУЖИВАНИЯ НАСЕЛЕНИЯ""")</f>
        <v>БУ "ОКТЯБРЬСКИЙ РАЙОННЫЙ КОМПЛЕКСНЫЙ ЦЕНТР СОЦИАЛЬНОГО ОБСЛУЖИВАНИЯ НАСЕЛЕНИЯ"</v>
      </c>
      <c r="B11864" s="24" t="s">
        <v>462</v>
      </c>
      <c r="C11864" s="25">
        <v>9203.67</v>
      </c>
      <c r="D11864" s="22" t="s">
        <v>16318</v>
      </c>
      <c r="E11864" s="22" t="s">
        <v>16319</v>
      </c>
      <c r="F11864" s="23" t="str">
        <f>HYPERLINK("https://www.spark-marketing.ru/Card/Lot/72215611", "Оказание услуг по поставке продуктов питания")</f>
        <v>Оказание услуг по поставке продуктов питания</v>
      </c>
      <c r="G11864" s="22" t="s">
        <v>97</v>
      </c>
      <c r="H11864" s="22" t="s">
        <v>465</v>
      </c>
      <c r="I11864" s="26">
        <v>43665.603611111103</v>
      </c>
      <c r="J11864" s="23" t="str">
        <f>HYPERLINK("https://www.spark-marketing.ru/Card/Person/6471199", "ООО ""ИСТОК""")</f>
        <v>ООО "ИСТОК"</v>
      </c>
      <c r="K11864" s="24" t="s">
        <v>9182</v>
      </c>
      <c r="L11864" s="22" t="s">
        <v>10</v>
      </c>
      <c r="M11864" s="28" t="s">
        <v>51</v>
      </c>
      <c r="N11864" s="28" t="s">
        <v>51</v>
      </c>
    </row>
    <row r="11865" spans="1:14" x14ac:dyDescent="0.15">
      <c r="A11865" s="23" t="str">
        <f>HYPERLINK("https://www.spark-marketing.ru/Card/Person/27585", "ГБОУ ШКОЛА №153 ФРУНЗЕНСКОГО РАЙОНА САНКТ-ПЕТЕРБУРГА")</f>
        <v>ГБОУ ШКОЛА №153 ФРУНЗЕНСКОГО РАЙОНА САНКТ-ПЕТЕРБУРГА</v>
      </c>
      <c r="B11865" s="24" t="s">
        <v>16320</v>
      </c>
      <c r="C11865" s="25">
        <v>820057.48</v>
      </c>
      <c r="D11865" s="22" t="s">
        <v>16321</v>
      </c>
      <c r="E11865" s="22" t="s">
        <v>48</v>
      </c>
      <c r="F11865" s="23" t="str">
        <f>HYPERLINK("https://www.spark-marketing.ru/Card/Lot/72220589", "Оказание услуг по организации питания (социального питания) в государственном бюджетном общеобразовательном учреждении школа № 153 Фрунзенского района Санкт-Петербурга в 2019 - 2020 годах")</f>
        <v>Оказание услуг по организации питания (социального питания) в государственном бюджетном общеобразовательном учреждении школа № 153 Фрунзенского района Санкт-Петербурга в 2019 - 2020 годах</v>
      </c>
      <c r="G11865" s="22" t="s">
        <v>117</v>
      </c>
      <c r="H11865" s="22" t="s">
        <v>117</v>
      </c>
      <c r="I11865" s="26">
        <v>43665.624305555597</v>
      </c>
      <c r="J11865" s="28" t="s">
        <v>51</v>
      </c>
      <c r="K11865" s="28" t="s">
        <v>51</v>
      </c>
      <c r="L11865" s="28" t="s">
        <v>51</v>
      </c>
      <c r="M11865" s="28" t="s">
        <v>51</v>
      </c>
      <c r="N11865" s="28" t="s">
        <v>51</v>
      </c>
    </row>
    <row r="11866" spans="1:14" x14ac:dyDescent="0.2">
      <c r="A11866" s="23" t="str">
        <f>HYPERLINK("https://www.spark-marketing.ru/Card/Person/92244", "ГКОУ ""ВОЛГОГРАДСКАЯ ШКОЛА-ИНТЕРНАТ №2""")</f>
        <v>ГКОУ "ВОЛГОГРАДСКАЯ ШКОЛА-ИНТЕРНАТ №2"</v>
      </c>
      <c r="B11866" s="24" t="s">
        <v>16322</v>
      </c>
      <c r="C11866" s="25">
        <v>22660956</v>
      </c>
      <c r="D11866" s="22" t="s">
        <v>16323</v>
      </c>
      <c r="E11866" s="22" t="s">
        <v>48</v>
      </c>
      <c r="F11866" s="23" t="str">
        <f>HYPERLINK("https://www.spark-marketing.ru/Card/Lot/72217680", "Оказание услуг по обеспечению питанием")</f>
        <v>Оказание услуг по обеспечению питанием</v>
      </c>
      <c r="G11866" s="22" t="s">
        <v>158</v>
      </c>
      <c r="H11866" s="22" t="s">
        <v>171</v>
      </c>
      <c r="I11866" s="26">
        <v>43665.610416666699</v>
      </c>
      <c r="J11866" s="23" t="str">
        <f>HYPERLINK("https://www.spark-marketing.ru/Card/Person/89292", "ООО ""СЛАВИА""")</f>
        <v>ООО "СЛАВИА"</v>
      </c>
      <c r="K11866" s="24" t="s">
        <v>13822</v>
      </c>
      <c r="L11866" s="28" t="s">
        <v>51</v>
      </c>
      <c r="M11866" s="25">
        <v>1612.54</v>
      </c>
      <c r="N11866" s="27">
        <v>0.99992884060142917</v>
      </c>
    </row>
    <row r="11867" spans="1:14" collapsed="1" x14ac:dyDescent="0.15">
      <c r="A11867" s="23" t="str">
        <f>HYPERLINK("https://www.spark-marketing.ru/Card/Person/51156", "МО МВД РОССИИ ""КАЗАЧИНСКИЙ""")</f>
        <v>МО МВД РОССИИ "КАЗАЧИНСКИЙ"</v>
      </c>
      <c r="B11867" s="24" t="s">
        <v>12082</v>
      </c>
      <c r="C11867" s="25">
        <v>330000</v>
      </c>
      <c r="D11867" s="22" t="s">
        <v>16324</v>
      </c>
      <c r="E11867" s="22" t="s">
        <v>48</v>
      </c>
      <c r="F11867" s="23" t="str">
        <f>HYPERLINK("https://www.spark-marketing.ru/Card/Lot/72212605", "Оказание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...")</f>
        <v>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</v>
      </c>
      <c r="G11867" s="22" t="s">
        <v>281</v>
      </c>
      <c r="H11867" s="22" t="s">
        <v>16308</v>
      </c>
      <c r="I11867" s="26">
        <v>43665.609363425901</v>
      </c>
      <c r="J11867" s="28" t="s">
        <v>51</v>
      </c>
      <c r="K11867" s="28" t="s">
        <v>51</v>
      </c>
      <c r="L11867" s="28" t="s">
        <v>51</v>
      </c>
      <c r="M11867" s="28" t="s">
        <v>51</v>
      </c>
      <c r="N11867" s="28" t="s">
        <v>51</v>
      </c>
    </row>
    <row r="11868" spans="1:14" ht="12.75" hidden="1" outlineLevel="1" x14ac:dyDescent="0.2">
      <c r="A11868" s="23" t="str">
        <f>HYPERLINK("https://www.spark-marketing.ru/Card/Person/51156", "МО МВД РОССИИ ""КАЗАЧИНСКИЙ""")</f>
        <v>МО МВД РОССИИ "КАЗАЧИНСКИЙ"</v>
      </c>
      <c r="B11868" s="24" t="s">
        <v>12082</v>
      </c>
      <c r="C11868" s="25">
        <v>330000</v>
      </c>
      <c r="D11868" s="22" t="s">
        <v>16324</v>
      </c>
      <c r="E11868" s="22" t="s">
        <v>48</v>
      </c>
      <c r="F11868" s="23" t="str">
        <f>HYPERLINK("https://www.spark-marketing.ru/Card/Lot/72212605", "Оказание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...")</f>
        <v>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</v>
      </c>
      <c r="G11868" s="22" t="s">
        <v>281</v>
      </c>
      <c r="H11868" s="22" t="s">
        <v>16308</v>
      </c>
      <c r="I11868" s="26">
        <v>43665.609363425901</v>
      </c>
      <c r="J11868" s="23" t="str">
        <f>HYPERLINK("https://www.spark-marketing.ru/Card/Person/4919735", "Непомнящих Григорий Геннадьевич")</f>
        <v>Непомнящих Григорий Геннадьевич</v>
      </c>
      <c r="K11868" s="24" t="s">
        <v>16309</v>
      </c>
      <c r="L11868" s="22" t="s">
        <v>10</v>
      </c>
      <c r="M11868" s="25">
        <v>411.09</v>
      </c>
      <c r="N11868" s="27">
        <v>0.99875427272727269</v>
      </c>
    </row>
    <row r="11869" spans="1:14" hidden="1" outlineLevel="1" x14ac:dyDescent="0.2">
      <c r="A11869" s="23" t="str">
        <f>HYPERLINK("https://www.spark-marketing.ru/Card/Person/51156", "МО МВД РОССИИ ""КАЗАЧИНСКИЙ""")</f>
        <v>МО МВД РОССИИ "КАЗАЧИНСКИЙ"</v>
      </c>
      <c r="B11869" s="24" t="s">
        <v>12082</v>
      </c>
      <c r="C11869" s="25">
        <v>330000</v>
      </c>
      <c r="D11869" s="22" t="s">
        <v>16324</v>
      </c>
      <c r="E11869" s="22" t="s">
        <v>48</v>
      </c>
      <c r="F11869" s="23" t="str">
        <f>HYPERLINK("https://www.spark-marketing.ru/Card/Lot/72212605", "Оказание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...")</f>
        <v>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</v>
      </c>
      <c r="G11869" s="22" t="s">
        <v>281</v>
      </c>
      <c r="H11869" s="22" t="s">
        <v>16308</v>
      </c>
      <c r="I11869" s="26">
        <v>43665.609363425901</v>
      </c>
      <c r="J11869" s="23" t="str">
        <f>HYPERLINK("https://www.spark-marketing.ru/Card/Person/969761", "Заплатина Людмила Альфредовна")</f>
        <v>Заплатина Людмила Альфредовна</v>
      </c>
      <c r="K11869" s="24" t="s">
        <v>7793</v>
      </c>
      <c r="L11869" s="28" t="s">
        <v>51</v>
      </c>
      <c r="M11869" s="25">
        <v>413.22</v>
      </c>
      <c r="N11869" s="27">
        <v>0.99874781818181824</v>
      </c>
    </row>
    <row r="11870" spans="1:14" collapsed="1" x14ac:dyDescent="0.2">
      <c r="A11870" s="23" t="s">
        <v>114</v>
      </c>
      <c r="B11870" s="28" t="s">
        <v>51</v>
      </c>
      <c r="C11870" s="25">
        <v>27884017</v>
      </c>
      <c r="D11870" s="22" t="s">
        <v>16325</v>
      </c>
      <c r="E11870" s="22" t="s">
        <v>48</v>
      </c>
      <c r="F11870" s="23" t="str">
        <f>HYPERLINK("https://www.spark-marketing.ru/Card/Lot/72222294", "Оказание услуг по организации питания учащихся в 2019-2021 гг.")</f>
        <v>Оказание услуг по организации питания учащихся в 2019-2021 гг.</v>
      </c>
      <c r="G11870" s="22" t="s">
        <v>51</v>
      </c>
      <c r="H11870" s="22" t="s">
        <v>51</v>
      </c>
      <c r="I11870" s="26">
        <v>43665.6027777778</v>
      </c>
      <c r="J11870" s="23" t="str">
        <f>HYPERLINK("https://www.spark-marketing.ru/Card/Person/103647", "АО ""КСП ""ВОЛНА""")</f>
        <v>АО "КСП "ВОЛНА"</v>
      </c>
      <c r="K11870" s="24" t="s">
        <v>5446</v>
      </c>
      <c r="L11870" s="28" t="s">
        <v>51</v>
      </c>
      <c r="M11870" s="25">
        <v>27884017</v>
      </c>
      <c r="N11870" s="27">
        <v>0</v>
      </c>
    </row>
    <row r="11871" spans="1:14" hidden="1" outlineLevel="1" x14ac:dyDescent="0.2">
      <c r="A11871" s="23" t="str">
        <f>HYPERLINK("https://www.spark-marketing.ru/Card/Person/93725", "ГБОУ ШКОЛА № 338 НЕВСКОГО РАЙОНА САНКТ-ПЕТЕРБУРГА")</f>
        <v>ГБОУ ШКОЛА № 338 НЕВСКОГО РАЙОНА САНКТ-ПЕТЕРБУРГА</v>
      </c>
      <c r="B11871" s="24" t="s">
        <v>16326</v>
      </c>
      <c r="C11871" s="25">
        <v>8854279</v>
      </c>
      <c r="D11871" s="22" t="s">
        <v>16325</v>
      </c>
      <c r="E11871" s="22" t="s">
        <v>48</v>
      </c>
      <c r="F11871" s="23" t="str">
        <f>HYPERLINK("https://www.spark-marketing.ru/Card/Lot/72222294", "Оказание услуг по организации питания учащихся в 2019-2021 гг.")</f>
        <v>Оказание услуг по организации питания учащихся в 2019-2021 гг.</v>
      </c>
      <c r="G11871" s="22" t="s">
        <v>117</v>
      </c>
      <c r="H11871" s="22" t="s">
        <v>117</v>
      </c>
      <c r="I11871" s="26">
        <v>43665.6027777778</v>
      </c>
      <c r="J11871" s="23" t="str">
        <f>HYPERLINK("https://www.spark-marketing.ru/Card/Person/103647", "АО ""КСП ""ВОЛНА""")</f>
        <v>АО "КСП "ВОЛНА"</v>
      </c>
      <c r="K11871" s="24" t="s">
        <v>5446</v>
      </c>
      <c r="L11871" s="28" t="s">
        <v>51</v>
      </c>
      <c r="M11871" s="28" t="s">
        <v>51</v>
      </c>
      <c r="N11871" s="27">
        <v>0</v>
      </c>
    </row>
    <row r="11872" spans="1:14" hidden="1" outlineLevel="1" x14ac:dyDescent="0.2">
      <c r="A11872" s="23" t="str">
        <f>HYPERLINK("https://www.spark-marketing.ru/Card/Person/107890", "ГБОУ ШКОЛА № 17 НЕВСКОГО РАЙОНА САНКТ-ПЕТЕРБУРГА")</f>
        <v>ГБОУ ШКОЛА № 17 НЕВСКОГО РАЙОНА САНКТ-ПЕТЕРБУРГА</v>
      </c>
      <c r="B11872" s="24" t="s">
        <v>16327</v>
      </c>
      <c r="C11872" s="25">
        <v>11110235</v>
      </c>
      <c r="D11872" s="22" t="s">
        <v>16325</v>
      </c>
      <c r="E11872" s="22" t="s">
        <v>48</v>
      </c>
      <c r="F11872" s="23" t="str">
        <f>HYPERLINK("https://www.spark-marketing.ru/Card/Lot/72222294", "Оказание услуг по организации питания учащихся в 2019-2021 гг.")</f>
        <v>Оказание услуг по организации питания учащихся в 2019-2021 гг.</v>
      </c>
      <c r="G11872" s="22" t="s">
        <v>117</v>
      </c>
      <c r="H11872" s="22" t="s">
        <v>117</v>
      </c>
      <c r="I11872" s="26">
        <v>43665.6027777778</v>
      </c>
      <c r="J11872" s="23" t="str">
        <f>HYPERLINK("https://www.spark-marketing.ru/Card/Person/103647", "АО ""КСП ""ВОЛНА""")</f>
        <v>АО "КСП "ВОЛНА"</v>
      </c>
      <c r="K11872" s="24" t="s">
        <v>5446</v>
      </c>
      <c r="L11872" s="28" t="s">
        <v>51</v>
      </c>
      <c r="M11872" s="28" t="s">
        <v>51</v>
      </c>
      <c r="N11872" s="27">
        <v>0</v>
      </c>
    </row>
    <row r="11873" spans="1:14" hidden="1" outlineLevel="1" x14ac:dyDescent="0.2">
      <c r="A11873" s="23" t="str">
        <f>HYPERLINK("https://www.spark-marketing.ru/Card/Person/240262", "ГБОУ ШКОЛА №340 НЕВСКОГО РАЙОНА САНКТ-ПЕТЕРБУРГА")</f>
        <v>ГБОУ ШКОЛА №340 НЕВСКОГО РАЙОНА САНКТ-ПЕТЕРБУРГА</v>
      </c>
      <c r="B11873" s="24" t="s">
        <v>16328</v>
      </c>
      <c r="C11873" s="25">
        <v>7919503</v>
      </c>
      <c r="D11873" s="22" t="s">
        <v>16325</v>
      </c>
      <c r="E11873" s="22" t="s">
        <v>48</v>
      </c>
      <c r="F11873" s="23" t="str">
        <f>HYPERLINK("https://www.spark-marketing.ru/Card/Lot/72222294", "Оказание услуг по организации питания учащихся в 2019-2021 гг.")</f>
        <v>Оказание услуг по организации питания учащихся в 2019-2021 гг.</v>
      </c>
      <c r="G11873" s="22" t="s">
        <v>117</v>
      </c>
      <c r="H11873" s="22" t="s">
        <v>117</v>
      </c>
      <c r="I11873" s="26">
        <v>43665.6027777778</v>
      </c>
      <c r="J11873" s="23" t="str">
        <f>HYPERLINK("https://www.spark-marketing.ru/Card/Person/103647", "АО ""КСП ""ВОЛНА""")</f>
        <v>АО "КСП "ВОЛНА"</v>
      </c>
      <c r="K11873" s="24" t="s">
        <v>5446</v>
      </c>
      <c r="L11873" s="28" t="s">
        <v>51</v>
      </c>
      <c r="M11873" s="28" t="s">
        <v>51</v>
      </c>
      <c r="N11873" s="27">
        <v>0</v>
      </c>
    </row>
    <row r="11874" spans="1:14" x14ac:dyDescent="0.15">
      <c r="A11874" s="23" t="str">
        <f>HYPERLINK("https://www.spark-marketing.ru/Card/Person/953086", "ГБУ ДО ""КЦЭТК""")</f>
        <v>ГБУ ДО "КЦЭТК"</v>
      </c>
      <c r="B11874" s="24" t="s">
        <v>10600</v>
      </c>
      <c r="C11874" s="25">
        <v>599600</v>
      </c>
      <c r="D11874" s="22" t="s">
        <v>16329</v>
      </c>
      <c r="E11874" s="22" t="s">
        <v>362</v>
      </c>
      <c r="F11874" s="23" t="str">
        <f>HYPERLINK("https://www.spark-marketing.ru/Card/Lot/72227687", "Оказание услуг по организации горячим питанием детей и обслуживающего персонала")</f>
        <v>Оказание услуг по организации горячим питанием детей и обслуживающего персонала</v>
      </c>
      <c r="G11874" s="22" t="s">
        <v>87</v>
      </c>
      <c r="H11874" s="22" t="s">
        <v>87</v>
      </c>
      <c r="I11874" s="26">
        <v>43665.618379629603</v>
      </c>
      <c r="J11874" s="28" t="s">
        <v>51</v>
      </c>
      <c r="K11874" s="28" t="s">
        <v>51</v>
      </c>
      <c r="L11874" s="28" t="s">
        <v>51</v>
      </c>
      <c r="M11874" s="28" t="s">
        <v>51</v>
      </c>
      <c r="N11874" s="28" t="s">
        <v>51</v>
      </c>
    </row>
    <row r="11875" spans="1:14" x14ac:dyDescent="0.15">
      <c r="A11875" s="23" t="str">
        <f>HYPERLINK("https://www.spark-marketing.ru/Card/Person/1048410", "МО МВД РОССИИ ""АБДУЛИНСКИЙ""")</f>
        <v>МО МВД РОССИИ "АБДУЛИНСКИЙ"</v>
      </c>
      <c r="B11875" s="24" t="s">
        <v>9396</v>
      </c>
      <c r="C11875" s="25">
        <v>99000</v>
      </c>
      <c r="D11875" s="22" t="s">
        <v>16330</v>
      </c>
      <c r="E11875" s="22" t="s">
        <v>48</v>
      </c>
      <c r="F11875" s="23" t="str">
        <f>HYPERLINK("https://www.spark-marketing.ru/Card/Lot/72217341",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1875" s="22" t="s">
        <v>132</v>
      </c>
      <c r="H11875" s="22" t="s">
        <v>16331</v>
      </c>
      <c r="I11875" s="26">
        <v>43665.605428240699</v>
      </c>
      <c r="J11875" s="28" t="s">
        <v>51</v>
      </c>
      <c r="K11875" s="28" t="s">
        <v>51</v>
      </c>
      <c r="L11875" s="28" t="s">
        <v>51</v>
      </c>
      <c r="M11875" s="28" t="s">
        <v>51</v>
      </c>
      <c r="N11875" s="28" t="s">
        <v>51</v>
      </c>
    </row>
    <row r="11876" spans="1:14" x14ac:dyDescent="0.2">
      <c r="A11876" s="23" t="str">
        <f>HYPERLINK("https://www.spark-marketing.ru/Card/Person/126592", "ГКОУ ""ВОЛГОГРАДСКАЯ ШКОЛА-ИНТЕРНАТ № 5""")</f>
        <v>ГКОУ "ВОЛГОГРАДСКАЯ ШКОЛА-ИНТЕРНАТ № 5"</v>
      </c>
      <c r="B11876" s="24" t="s">
        <v>16332</v>
      </c>
      <c r="C11876" s="25">
        <v>17375931.32</v>
      </c>
      <c r="D11876" s="22" t="s">
        <v>16333</v>
      </c>
      <c r="E11876" s="22" t="s">
        <v>48</v>
      </c>
      <c r="F11876" s="23" t="str">
        <f>HYPERLINK("https://www.spark-marketing.ru/Card/Lot/72216957", "Оказание услуг по обеспечению питанием")</f>
        <v>Оказание услуг по обеспечению питанием</v>
      </c>
      <c r="G11876" s="22" t="s">
        <v>158</v>
      </c>
      <c r="H11876" s="22" t="s">
        <v>171</v>
      </c>
      <c r="I11876" s="26">
        <v>43665.597222222197</v>
      </c>
      <c r="J11876" s="23" t="str">
        <f>HYPERLINK("https://www.spark-marketing.ru/Card/Person/89292", "ООО ""СЛАВИА""")</f>
        <v>ООО "СЛАВИА"</v>
      </c>
      <c r="K11876" s="24" t="s">
        <v>13822</v>
      </c>
      <c r="L11876" s="28" t="s">
        <v>51</v>
      </c>
      <c r="M11876" s="25">
        <v>17375931.32</v>
      </c>
      <c r="N11876" s="27">
        <v>0</v>
      </c>
    </row>
    <row r="11877" spans="1:14" collapsed="1" x14ac:dyDescent="0.15">
      <c r="A11877" s="23" t="s">
        <v>114</v>
      </c>
      <c r="B11877" s="28" t="s">
        <v>51</v>
      </c>
      <c r="C11877" s="25">
        <v>8046380</v>
      </c>
      <c r="D11877" s="22" t="s">
        <v>16334</v>
      </c>
      <c r="E11877" s="22" t="s">
        <v>48</v>
      </c>
      <c r="F11877" s="23" t="str">
        <f t="shared" ref="F11877:F11883" si="350">HYPERLINK("https://www.spark-marketing.ru/Card/Lot/72222303", "Услуги по организации рационального питания обучающихся")</f>
        <v>Услуги по организации рационального питания обучающихся</v>
      </c>
      <c r="G11877" s="22" t="s">
        <v>51</v>
      </c>
      <c r="H11877" s="22" t="s">
        <v>51</v>
      </c>
      <c r="I11877" s="26">
        <v>43665.613888888904</v>
      </c>
      <c r="J11877" s="28" t="s">
        <v>51</v>
      </c>
      <c r="K11877" s="28" t="s">
        <v>51</v>
      </c>
      <c r="L11877" s="28" t="s">
        <v>51</v>
      </c>
      <c r="M11877" s="28" t="s">
        <v>51</v>
      </c>
      <c r="N11877" s="28" t="s">
        <v>51</v>
      </c>
    </row>
    <row r="11878" spans="1:14" hidden="1" outlineLevel="1" x14ac:dyDescent="0.15">
      <c r="A11878" s="23" t="str">
        <f>HYPERLINK("https://www.spark-marketing.ru/Card/Person/87423", "МБОУ НАРО-ФОМИНСКАЯ СОШ №9")</f>
        <v>МБОУ НАРО-ФОМИНСКАЯ СОШ №9</v>
      </c>
      <c r="B11878" s="24" t="s">
        <v>16335</v>
      </c>
      <c r="C11878" s="25">
        <v>1787375</v>
      </c>
      <c r="D11878" s="22" t="s">
        <v>16334</v>
      </c>
      <c r="E11878" s="22" t="s">
        <v>48</v>
      </c>
      <c r="F11878" s="23" t="str">
        <f t="shared" si="350"/>
        <v>Услуги по организации рационального питания обучающихся</v>
      </c>
      <c r="G11878" s="22" t="s">
        <v>49</v>
      </c>
      <c r="H11878" s="22" t="s">
        <v>3318</v>
      </c>
      <c r="I11878" s="26">
        <v>43665.613888888904</v>
      </c>
      <c r="J11878" s="28" t="s">
        <v>51</v>
      </c>
      <c r="K11878" s="28" t="s">
        <v>51</v>
      </c>
      <c r="L11878" s="28" t="s">
        <v>51</v>
      </c>
      <c r="M11878" s="28" t="s">
        <v>51</v>
      </c>
      <c r="N11878" s="28" t="s">
        <v>51</v>
      </c>
    </row>
    <row r="11879" spans="1:14" hidden="1" outlineLevel="1" x14ac:dyDescent="0.15">
      <c r="A11879" s="23" t="str">
        <f>HYPERLINK("https://www.spark-marketing.ru/Card/Person/110726", "МБОУ НАРО-ФОМИНСКАЯ СОШ №6 С УГЛУБЛЕННЫМ ИЗУЧЕНИЕМ ОТДЕЛЬНЫХ ПРЕДМЕТОВ")</f>
        <v>МБОУ НАРО-ФОМИНСКАЯ СОШ №6 С УГЛУБЛЕННЫМ ИЗУЧЕНИЕМ ОТДЕЛЬНЫХ ПРЕДМЕТОВ</v>
      </c>
      <c r="B11879" s="24" t="s">
        <v>16336</v>
      </c>
      <c r="C11879" s="25">
        <v>3413590</v>
      </c>
      <c r="D11879" s="22" t="s">
        <v>16334</v>
      </c>
      <c r="E11879" s="22" t="s">
        <v>48</v>
      </c>
      <c r="F11879" s="23" t="str">
        <f t="shared" si="350"/>
        <v>Услуги по организации рационального питания обучающихся</v>
      </c>
      <c r="G11879" s="22" t="s">
        <v>49</v>
      </c>
      <c r="H11879" s="22" t="s">
        <v>3318</v>
      </c>
      <c r="I11879" s="26">
        <v>43665.613888888904</v>
      </c>
      <c r="J11879" s="28" t="s">
        <v>51</v>
      </c>
      <c r="K11879" s="28" t="s">
        <v>51</v>
      </c>
      <c r="L11879" s="28" t="s">
        <v>51</v>
      </c>
      <c r="M11879" s="28" t="s">
        <v>51</v>
      </c>
      <c r="N11879" s="28" t="s">
        <v>51</v>
      </c>
    </row>
    <row r="11880" spans="1:14" hidden="1" outlineLevel="1" x14ac:dyDescent="0.15">
      <c r="A11880" s="23" t="str">
        <f>HYPERLINK("https://www.spark-marketing.ru/Card/Person/111464", "МБОУ НАРО-ФОМИНСКАЯ СОШ № 5 СУИОП")</f>
        <v>МБОУ НАРО-ФОМИНСКАЯ СОШ № 5 СУИОП</v>
      </c>
      <c r="B11880" s="24" t="s">
        <v>16337</v>
      </c>
      <c r="C11880" s="25">
        <v>1803010</v>
      </c>
      <c r="D11880" s="22" t="s">
        <v>16334</v>
      </c>
      <c r="E11880" s="22" t="s">
        <v>48</v>
      </c>
      <c r="F11880" s="23" t="str">
        <f t="shared" si="350"/>
        <v>Услуги по организации рационального питания обучающихся</v>
      </c>
      <c r="G11880" s="22" t="s">
        <v>49</v>
      </c>
      <c r="H11880" s="22" t="s">
        <v>3318</v>
      </c>
      <c r="I11880" s="26">
        <v>43665.613888888904</v>
      </c>
      <c r="J11880" s="28" t="s">
        <v>51</v>
      </c>
      <c r="K11880" s="28" t="s">
        <v>51</v>
      </c>
      <c r="L11880" s="28" t="s">
        <v>51</v>
      </c>
      <c r="M11880" s="28" t="s">
        <v>51</v>
      </c>
      <c r="N11880" s="28" t="s">
        <v>51</v>
      </c>
    </row>
    <row r="11881" spans="1:14" hidden="1" outlineLevel="1" x14ac:dyDescent="0.15">
      <c r="A11881" s="23" t="str">
        <f>HYPERLINK("https://www.spark-marketing.ru/Card/Person/4371710", "МБОУ НАРО-ФОМИНСКАЯ СОШ №7")</f>
        <v>МБОУ НАРО-ФОМИНСКАЯ СОШ №7</v>
      </c>
      <c r="B11881" s="24" t="s">
        <v>16338</v>
      </c>
      <c r="C11881" s="25">
        <v>1042405</v>
      </c>
      <c r="D11881" s="22" t="s">
        <v>16334</v>
      </c>
      <c r="E11881" s="22" t="s">
        <v>48</v>
      </c>
      <c r="F11881" s="23" t="str">
        <f t="shared" si="350"/>
        <v>Услуги по организации рационального питания обучающихся</v>
      </c>
      <c r="G11881" s="22" t="s">
        <v>49</v>
      </c>
      <c r="H11881" s="22" t="s">
        <v>3318</v>
      </c>
      <c r="I11881" s="26">
        <v>43665.613888888904</v>
      </c>
      <c r="J11881" s="28" t="s">
        <v>51</v>
      </c>
      <c r="K11881" s="28" t="s">
        <v>51</v>
      </c>
      <c r="L11881" s="28" t="s">
        <v>51</v>
      </c>
      <c r="M11881" s="28" t="s">
        <v>51</v>
      </c>
      <c r="N11881" s="28" t="s">
        <v>51</v>
      </c>
    </row>
    <row r="11882" spans="1:14" hidden="1" outlineLevel="1" x14ac:dyDescent="0.2">
      <c r="A11882" s="28" t="s">
        <v>51</v>
      </c>
      <c r="B11882" s="28" t="s">
        <v>51</v>
      </c>
      <c r="C11882" s="28" t="s">
        <v>51</v>
      </c>
      <c r="D11882" s="22" t="s">
        <v>16334</v>
      </c>
      <c r="E11882" s="22" t="s">
        <v>48</v>
      </c>
      <c r="F11882" s="23" t="str">
        <f t="shared" si="350"/>
        <v>Услуги по организации рационального питания обучающихся</v>
      </c>
      <c r="G11882" s="22" t="s">
        <v>51</v>
      </c>
      <c r="H11882" s="22" t="s">
        <v>51</v>
      </c>
      <c r="I11882" s="26">
        <v>43665.613888888904</v>
      </c>
      <c r="J11882" s="23" t="str">
        <f>HYPERLINK("https://www.spark-marketing.ru/Card/Person/60153", "ООО МОЛОЧНЫЙ ЗАВОД ""НАРО-ФОМИНСКИЙ""")</f>
        <v>ООО МОЛОЧНЫЙ ЗАВОД "НАРО-ФОМИНСКИЙ"</v>
      </c>
      <c r="K11882" s="24" t="s">
        <v>5326</v>
      </c>
      <c r="L11882" s="22" t="s">
        <v>10</v>
      </c>
      <c r="M11882" s="25">
        <v>8037569.2000000002</v>
      </c>
      <c r="N11882" s="27">
        <v>1.0950017274849063E-3</v>
      </c>
    </row>
    <row r="11883" spans="1:14" hidden="1" outlineLevel="1" x14ac:dyDescent="0.2">
      <c r="A11883" s="28" t="s">
        <v>51</v>
      </c>
      <c r="B11883" s="28" t="s">
        <v>51</v>
      </c>
      <c r="C11883" s="28" t="s">
        <v>51</v>
      </c>
      <c r="D11883" s="22" t="s">
        <v>16334</v>
      </c>
      <c r="E11883" s="22" t="s">
        <v>48</v>
      </c>
      <c r="F11883" s="23" t="str">
        <f t="shared" si="350"/>
        <v>Услуги по организации рационального питания обучающихся</v>
      </c>
      <c r="G11883" s="22" t="s">
        <v>51</v>
      </c>
      <c r="H11883" s="22" t="s">
        <v>51</v>
      </c>
      <c r="I11883" s="26">
        <v>43665.613888888904</v>
      </c>
      <c r="J11883" s="23" t="str">
        <f>HYPERLINK("https://www.spark-marketing.ru/Card/Person/59173", "ООО ""ВЕКТОР""")</f>
        <v>ООО "ВЕКТОР"</v>
      </c>
      <c r="K11883" s="24" t="s">
        <v>15708</v>
      </c>
      <c r="L11883" s="28" t="s">
        <v>51</v>
      </c>
      <c r="M11883" s="25">
        <v>7241742</v>
      </c>
      <c r="N11883" s="27">
        <v>0.1</v>
      </c>
    </row>
    <row r="11884" spans="1:14" x14ac:dyDescent="0.15">
      <c r="A11884" s="23" t="str">
        <f>HYPERLINK("https://www.spark-marketing.ru/Card/Person/1758656", "ГАПОУ ТО ""ТОБОЛЬСКИЙ МНОГОПРОФИЛЬНЫЙ ТЕХНИКУМ""")</f>
        <v>ГАПОУ ТО "ТОБОЛЬСКИЙ МНОГОПРОФИЛЬНЫЙ ТЕХНИКУМ"</v>
      </c>
      <c r="B11884" s="24" t="s">
        <v>10359</v>
      </c>
      <c r="C11884" s="25">
        <v>1515266.1</v>
      </c>
      <c r="D11884" s="22" t="s">
        <v>16339</v>
      </c>
      <c r="E11884" s="22" t="s">
        <v>362</v>
      </c>
      <c r="F11884" s="23" t="str">
        <f>HYPERLINK("https://www.spark-marketing.ru/Card/Lot/72227911", "Оказание услуг по организации питания обучающихся ГАПОУ ТО «Тобольский многопрофильный техникум»")</f>
        <v>Оказание услуг по организации питания обучающихся ГАПОУ ТО «Тобольский многопрофильный техникум»</v>
      </c>
      <c r="G11884" s="22" t="s">
        <v>766</v>
      </c>
      <c r="H11884" s="22" t="s">
        <v>766</v>
      </c>
      <c r="I11884" s="26">
        <v>43665.587395833303</v>
      </c>
      <c r="J11884" s="28" t="s">
        <v>51</v>
      </c>
      <c r="K11884" s="28" t="s">
        <v>51</v>
      </c>
      <c r="L11884" s="22" t="s">
        <v>10</v>
      </c>
      <c r="M11884" s="28" t="s">
        <v>51</v>
      </c>
      <c r="N11884" s="28" t="s">
        <v>51</v>
      </c>
    </row>
    <row r="11885" spans="1:14" x14ac:dyDescent="0.15">
      <c r="A11885" s="23" t="str">
        <f>HYPERLINK("https://www.spark-marketing.ru/Card/Person/51156", "МО МВД РОССИИ ""КАЗАЧИНСКИЙ""")</f>
        <v>МО МВД РОССИИ "КАЗАЧИНСКИЙ"</v>
      </c>
      <c r="B11885" s="24" t="s">
        <v>12082</v>
      </c>
      <c r="C11885" s="25">
        <v>285000</v>
      </c>
      <c r="D11885" s="22" t="s">
        <v>16340</v>
      </c>
      <c r="E11885" s="22" t="s">
        <v>48</v>
      </c>
      <c r="F11885" s="23" t="str">
        <f>HYPERLINK("https://www.spark-marketing.ru/Card/Lot/72212643", "Оказание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...")</f>
        <v>Оказание услуг по обеспечению горячим питание лиц, содержащихся под стражей, и административно-арестованных лиц, содержащихся в ИВС, а также лиц, задержанных на срок более трех часов, содержащихся в специальных помещениях дежурной части, для нужд МО ...</v>
      </c>
      <c r="G11885" s="22" t="s">
        <v>281</v>
      </c>
      <c r="H11885" s="22" t="s">
        <v>12084</v>
      </c>
      <c r="I11885" s="26">
        <v>43665.614768518499</v>
      </c>
      <c r="J11885" s="28" t="s">
        <v>51</v>
      </c>
      <c r="K11885" s="28" t="s">
        <v>51</v>
      </c>
      <c r="L11885" s="28" t="s">
        <v>51</v>
      </c>
      <c r="M11885" s="28" t="s">
        <v>51</v>
      </c>
      <c r="N11885" s="28" t="s">
        <v>51</v>
      </c>
    </row>
    <row r="11886" spans="1:14" x14ac:dyDescent="0.15">
      <c r="A11886" s="23" t="str">
        <f>HYPERLINK("https://www.spark-marketing.ru/Card/Person/956553", "АО ""РЕДУКТОР-ПМ""")</f>
        <v>АО "РЕДУКТОР-ПМ"</v>
      </c>
      <c r="B11886" s="24" t="s">
        <v>16341</v>
      </c>
      <c r="C11886" s="25">
        <v>1300000</v>
      </c>
      <c r="D11886" s="22" t="s">
        <v>16342</v>
      </c>
      <c r="E11886" s="22" t="s">
        <v>362</v>
      </c>
      <c r="F11886" s="23" t="str">
        <f>HYPERLINK("https://www.spark-marketing.ru/Card/Lot/72230789", "1604-2019-00195 Оказание услуг по организации питания на новогодний вечер")</f>
        <v>1604-2019-00195 Оказание услуг по организации питания на новогодний вечер</v>
      </c>
      <c r="G11886" s="22" t="s">
        <v>153</v>
      </c>
      <c r="H11886" s="22" t="s">
        <v>3981</v>
      </c>
      <c r="I11886" s="26">
        <v>43665.6179050926</v>
      </c>
      <c r="J11886" s="28" t="s">
        <v>51</v>
      </c>
      <c r="K11886" s="28" t="s">
        <v>51</v>
      </c>
      <c r="L11886" s="28" t="s">
        <v>51</v>
      </c>
      <c r="M11886" s="28" t="s">
        <v>51</v>
      </c>
      <c r="N11886" s="28" t="s">
        <v>51</v>
      </c>
    </row>
    <row r="11887" spans="1:14" x14ac:dyDescent="0.15">
      <c r="A11887" s="23" t="str">
        <f>HYPERLINK("https://www.spark-marketing.ru/Card/Person/4346970", "ГБПОУ РО ""ШРКТЭ ИМ. АК. СТЕПАНОВА П.И.""")</f>
        <v>ГБПОУ РО "ШРКТЭ ИМ. АК. СТЕПАНОВА П.И."</v>
      </c>
      <c r="B11887" s="24" t="s">
        <v>16343</v>
      </c>
      <c r="C11887" s="25">
        <v>32000</v>
      </c>
      <c r="D11887" s="22" t="s">
        <v>16344</v>
      </c>
      <c r="E11887" s="22" t="s">
        <v>437</v>
      </c>
      <c r="F11887" s="23" t="str">
        <f>HYPERLINK("https://www.spark-marketing.ru/Card/Lot/72216860", "Оказание услуг : - проведение комплекса профилактических измерений и испытаний электрооборудования, электрических (осветительных) сетей напряжением до 1000В и заземления, в помещениях без повышенной опасности и с повышенной опасностью поражения элект...")</f>
        <v>Оказание услуг : - проведение комплекса профилактических измерений и испытаний электрооборудования, электрических (осветительных) сетей напряжением до 1000В и заземления, в помещениях без повышенной опасности и с повышенной опасностью поражения элект...</v>
      </c>
      <c r="G11887" s="22" t="s">
        <v>267</v>
      </c>
      <c r="H11887" s="22" t="s">
        <v>4874</v>
      </c>
      <c r="I11887" s="26">
        <v>43665.563194444403</v>
      </c>
      <c r="J11887" s="28" t="s">
        <v>51</v>
      </c>
      <c r="K11887" s="28" t="s">
        <v>51</v>
      </c>
      <c r="L11887" s="28" t="s">
        <v>51</v>
      </c>
      <c r="M11887" s="28" t="s">
        <v>51</v>
      </c>
      <c r="N11887" s="28" t="s">
        <v>51</v>
      </c>
    </row>
    <row r="11888" spans="1:14" x14ac:dyDescent="0.15">
      <c r="A11888" s="23" t="str">
        <f>HYPERLINK("https://www.spark-marketing.ru/Card/Person/72452", "УПРАВА РАЙОНА НЕКРАСОВКА ГОРОДА МОСКВЫ")</f>
        <v>УПРАВА РАЙОНА НЕКРАСОВКА ГОРОДА МОСКВЫ</v>
      </c>
      <c r="B11888" s="24" t="s">
        <v>16345</v>
      </c>
      <c r="C11888" s="25">
        <v>134013</v>
      </c>
      <c r="D11888" s="22" t="s">
        <v>16346</v>
      </c>
      <c r="E11888" s="22" t="s">
        <v>96</v>
      </c>
      <c r="F11888" s="23" t="str">
        <f>HYPERLINK("https://www.spark-marketing.ru/Card/Lot/72217992", "Оказание услуг по организации питания для УИК в период проведения выборов депутатов Московской городской Думы (среди СМП")</f>
        <v>Оказание услуг по организации питания для УИК в период проведения выборов депутатов Московской городской Думы (среди СМП</v>
      </c>
      <c r="G11888" s="22" t="s">
        <v>56</v>
      </c>
      <c r="H11888" s="22" t="s">
        <v>56</v>
      </c>
      <c r="I11888" s="26">
        <v>43665.579212962999</v>
      </c>
      <c r="J11888" s="23" t="str">
        <f>HYPERLINK("https://www.spark-marketing.ru/Card/Person/936515", "ООО ""ТК ОДИССЕЙ""")</f>
        <v>ООО "ТК ОДИССЕЙ"</v>
      </c>
      <c r="K11888" s="24" t="s">
        <v>16347</v>
      </c>
      <c r="L11888" s="22" t="s">
        <v>10</v>
      </c>
      <c r="M11888" s="28" t="s">
        <v>51</v>
      </c>
      <c r="N11888" s="28" t="s">
        <v>51</v>
      </c>
    </row>
    <row r="11889" spans="1:14" collapsed="1" x14ac:dyDescent="0.15">
      <c r="A11889" s="23" t="str">
        <f>HYPERLINK("https://www.spark-marketing.ru/Card/Person/60405", "ГБУЗ ""ЦЕНТР ПАЛЛИАТИВНОЙ ПОМОЩИ ДЗМ""")</f>
        <v>ГБУЗ "ЦЕНТР ПАЛЛИАТИВНОЙ ПОМОЩИ ДЗМ"</v>
      </c>
      <c r="B11889" s="24" t="s">
        <v>1006</v>
      </c>
      <c r="C11889" s="25">
        <v>1960166.72</v>
      </c>
      <c r="D11889" s="22" t="s">
        <v>16348</v>
      </c>
      <c r="E11889" s="22" t="s">
        <v>10228</v>
      </c>
      <c r="F11889" s="23" t="str">
        <f>HYPERLINK("https://www.spark-marketing.ru/Card/Lot/72218658", "Аукцион в электронной форме на право заключения контракта на оказание услуг по разработке проекта по устройству систем АВР для обеспечения бесперебойности электроснабжения и внесение в схему электроснабжения энергопринимающих устройств потребителей а...")</f>
        <v>Аукцион в электронной форме на право заключения контракта на оказание услуг по разработке проекта по устройству систем АВР для обеспечения бесперебойности электроснабжения и внесение в схему электроснабжения энергопринимающих устройств потребителей а...</v>
      </c>
      <c r="G11889" s="22" t="s">
        <v>56</v>
      </c>
      <c r="H11889" s="22" t="s">
        <v>56</v>
      </c>
      <c r="I11889" s="26">
        <v>43665.577013888898</v>
      </c>
      <c r="J11889" s="28" t="s">
        <v>51</v>
      </c>
      <c r="K11889" s="28" t="s">
        <v>51</v>
      </c>
      <c r="L11889" s="28" t="s">
        <v>51</v>
      </c>
      <c r="M11889" s="28" t="s">
        <v>51</v>
      </c>
      <c r="N11889" s="28" t="s">
        <v>51</v>
      </c>
    </row>
    <row r="11890" spans="1:14" ht="12.75" hidden="1" outlineLevel="1" x14ac:dyDescent="0.2">
      <c r="A11890" s="23" t="str">
        <f>HYPERLINK("https://www.spark-marketing.ru/Card/Person/60405", "ГБУЗ ""ЦЕНТР ПАЛЛИАТИВНОЙ ПОМОЩИ ДЗМ""")</f>
        <v>ГБУЗ "ЦЕНТР ПАЛЛИАТИВНОЙ ПОМОЩИ ДЗМ"</v>
      </c>
      <c r="B11890" s="24" t="s">
        <v>1006</v>
      </c>
      <c r="C11890" s="25">
        <v>1960166.72</v>
      </c>
      <c r="D11890" s="22" t="s">
        <v>16348</v>
      </c>
      <c r="E11890" s="22" t="s">
        <v>10228</v>
      </c>
      <c r="F11890" s="23" t="str">
        <f>HYPERLINK("https://www.spark-marketing.ru/Card/Lot/72218658", "Аукцион в электронной форме на право заключения контракта на оказание услуг по разработке проекта по устройству систем АВР для обеспечения бесперебойности электроснабжения и внесение в схему электроснабжения энергопринимающих устройств потребителей а...")</f>
        <v>Аукцион в электронной форме на право заключения контракта на оказание услуг по разработке проекта по устройству систем АВР для обеспечения бесперебойности электроснабжения и внесение в схему электроснабжения энергопринимающих устройств потребителей а...</v>
      </c>
      <c r="G11890" s="22" t="s">
        <v>56</v>
      </c>
      <c r="H11890" s="22" t="s">
        <v>56</v>
      </c>
      <c r="I11890" s="26">
        <v>43665.577013888898</v>
      </c>
      <c r="J11890" s="23" t="str">
        <f>HYPERLINK("https://www.spark-marketing.ru/Card/Person/479351", "ООО ""ЭПЦ ""ЭНЕРГОАУДИТ""")</f>
        <v>ООО "ЭПЦ "ЭНЕРГОАУДИТ"</v>
      </c>
      <c r="K11890" s="24" t="s">
        <v>16349</v>
      </c>
      <c r="L11890" s="22" t="s">
        <v>10</v>
      </c>
      <c r="M11890" s="25">
        <v>1480398.34</v>
      </c>
      <c r="N11890" s="27">
        <v>0.24475896621691445</v>
      </c>
    </row>
    <row r="11891" spans="1:14" hidden="1" outlineLevel="1" x14ac:dyDescent="0.2">
      <c r="A11891" s="23" t="str">
        <f>HYPERLINK("https://www.spark-marketing.ru/Card/Person/60405", "ГБУЗ ""ЦЕНТР ПАЛЛИАТИВНОЙ ПОМОЩИ ДЗМ""")</f>
        <v>ГБУЗ "ЦЕНТР ПАЛЛИАТИВНОЙ ПОМОЩИ ДЗМ"</v>
      </c>
      <c r="B11891" s="24" t="s">
        <v>1006</v>
      </c>
      <c r="C11891" s="25">
        <v>1960166.72</v>
      </c>
      <c r="D11891" s="22" t="s">
        <v>16348</v>
      </c>
      <c r="E11891" s="22" t="s">
        <v>10228</v>
      </c>
      <c r="F11891" s="23" t="str">
        <f>HYPERLINK("https://www.spark-marketing.ru/Card/Lot/72218658", "Аукцион в электронной форме на право заключения контракта на оказание услуг по разработке проекта по устройству систем АВР для обеспечения бесперебойности электроснабжения и внесение в схему электроснабжения энергопринимающих устройств потребителей а...")</f>
        <v>Аукцион в электронной форме на право заключения контракта на оказание услуг по разработке проекта по устройству систем АВР для обеспечения бесперебойности электроснабжения и внесение в схему электроснабжения энергопринимающих устройств потребителей а...</v>
      </c>
      <c r="G11891" s="22" t="s">
        <v>56</v>
      </c>
      <c r="H11891" s="22" t="s">
        <v>56</v>
      </c>
      <c r="I11891" s="26">
        <v>43665.577013888898</v>
      </c>
      <c r="J11891" s="23" t="str">
        <f>HYPERLINK("https://www.spark-marketing.ru/Card/Person/65320", "ООО ""РУСИНТЕХС""")</f>
        <v>ООО "РУСИНТЕХС"</v>
      </c>
      <c r="K11891" s="24" t="s">
        <v>16350</v>
      </c>
      <c r="L11891" s="28" t="s">
        <v>51</v>
      </c>
      <c r="M11891" s="25">
        <v>1480398.34</v>
      </c>
      <c r="N11891" s="27">
        <v>0.24475896621691445</v>
      </c>
    </row>
    <row r="11892" spans="1:14" hidden="1" outlineLevel="1" x14ac:dyDescent="0.2">
      <c r="A11892" s="23" t="str">
        <f>HYPERLINK("https://www.spark-marketing.ru/Card/Person/60405", "ГБУЗ ""ЦЕНТР ПАЛЛИАТИВНОЙ ПОМОЩИ ДЗМ""")</f>
        <v>ГБУЗ "ЦЕНТР ПАЛЛИАТИВНОЙ ПОМОЩИ ДЗМ"</v>
      </c>
      <c r="B11892" s="24" t="s">
        <v>1006</v>
      </c>
      <c r="C11892" s="25">
        <v>1960166.72</v>
      </c>
      <c r="D11892" s="22" t="s">
        <v>16348</v>
      </c>
      <c r="E11892" s="22" t="s">
        <v>10228</v>
      </c>
      <c r="F11892" s="23" t="str">
        <f>HYPERLINK("https://www.spark-marketing.ru/Card/Lot/72218658", "Аукцион в электронной форме на право заключения контракта на оказание услуг по разработке проекта по устройству систем АВР для обеспечения бесперебойности электроснабжения и внесение в схему электроснабжения энергопринимающих устройств потребителей а...")</f>
        <v>Аукцион в электронной форме на право заключения контракта на оказание услуг по разработке проекта по устройству систем АВР для обеспечения бесперебойности электроснабжения и внесение в схему электроснабжения энергопринимающих устройств потребителей а...</v>
      </c>
      <c r="G11892" s="22" t="s">
        <v>56</v>
      </c>
      <c r="H11892" s="22" t="s">
        <v>56</v>
      </c>
      <c r="I11892" s="26">
        <v>43665.577013888898</v>
      </c>
      <c r="J11892" s="23" t="str">
        <f>HYPERLINK("https://www.spark-marketing.ru/Card/Person/48492", "ООО «ГРАДПРОЕКТКОМПАНИ»")</f>
        <v>ООО «ГРАДПРОЕКТКОМПАНИ»</v>
      </c>
      <c r="K11892" s="24" t="s">
        <v>16351</v>
      </c>
      <c r="L11892" s="28" t="s">
        <v>51</v>
      </c>
      <c r="M11892" s="25">
        <v>1930764.23</v>
      </c>
      <c r="N11892" s="27">
        <v>1.4999994490264583E-2</v>
      </c>
    </row>
    <row r="11893" spans="1:14" x14ac:dyDescent="0.2">
      <c r="A11893" s="23" t="str">
        <f>HYPERLINK("https://www.spark-marketing.ru/Card/Person/1763097", "КГАУ ""СШОР ПО ФУТБОЛУ ""ЕНИСЕЙ""")</f>
        <v>КГАУ "СШОР ПО ФУТБОЛУ "ЕНИСЕЙ"</v>
      </c>
      <c r="B11893" s="24" t="s">
        <v>4437</v>
      </c>
      <c r="C11893" s="25">
        <v>109200</v>
      </c>
      <c r="D11893" s="22" t="s">
        <v>16352</v>
      </c>
      <c r="E11893" s="22" t="s">
        <v>362</v>
      </c>
      <c r="F11893" s="23" t="str">
        <f>HYPERLINK("https://www.spark-marketing.ru/Card/Lot/72229459", "оказание услуг по организации питания спортсменов")</f>
        <v>оказание услуг по организации питания спортсменов</v>
      </c>
      <c r="G11893" s="22" t="s">
        <v>304</v>
      </c>
      <c r="H11893" s="22" t="s">
        <v>304</v>
      </c>
      <c r="I11893" s="26">
        <v>43665.572037037004</v>
      </c>
      <c r="J11893" s="28" t="s">
        <v>51</v>
      </c>
      <c r="K11893" s="28" t="s">
        <v>51</v>
      </c>
      <c r="L11893" s="22" t="s">
        <v>10</v>
      </c>
      <c r="M11893" s="25">
        <v>109200</v>
      </c>
      <c r="N11893" s="27">
        <v>0</v>
      </c>
    </row>
    <row r="11894" spans="1:14" x14ac:dyDescent="0.2">
      <c r="A11894" s="23" t="str">
        <f>HYPERLINK("https://www.spark-marketing.ru/Card/Person/6442870", "ГБОУ ШКОЛА № 492 ФРУНЗЕНСКОГО РАЙОНА САНКТ-ПЕТЕРБУРГА")</f>
        <v>ГБОУ ШКОЛА № 492 ФРУНЗЕНСКОГО РАЙОНА САНКТ-ПЕТЕРБУРГА</v>
      </c>
      <c r="B11894" s="24" t="s">
        <v>16353</v>
      </c>
      <c r="C11894" s="25">
        <v>3781638.74</v>
      </c>
      <c r="D11894" s="22" t="s">
        <v>16354</v>
      </c>
      <c r="E11894" s="22" t="s">
        <v>48</v>
      </c>
      <c r="F11894" s="23" t="str">
        <f>HYPERLINK("https://www.spark-marketing.ru/Card/Lot/72217682", "Оказание услуг по организации питания (социального питания) в государственном бюджетном общеобразовательном учреждении средняя общеобразовательная школа № 492 Фрунзенского района Санкт-Петербурга в 2019 - 2020 годах")</f>
        <v>Оказание услуг по организации питания (социального питания) в государственном бюджетном общеобразовательном учреждении средняя общеобразовательная школа № 492 Фрунзенского района Санкт-Петербурга в 2019 - 2020 годах</v>
      </c>
      <c r="G11894" s="22" t="s">
        <v>117</v>
      </c>
      <c r="H11894" s="22" t="s">
        <v>117</v>
      </c>
      <c r="I11894" s="26">
        <v>43665.574305555601</v>
      </c>
      <c r="J11894" s="23" t="str">
        <f>HYPERLINK("https://www.spark-marketing.ru/Card/Person/90214", "ООО ""ТОРГОВЫЙ ДОМ А.П.ИВАНОВ""")</f>
        <v>ООО "ТОРГОВЫЙ ДОМ А.П.ИВАНОВ"</v>
      </c>
      <c r="K11894" s="24" t="s">
        <v>16355</v>
      </c>
      <c r="L11894" s="28" t="s">
        <v>51</v>
      </c>
      <c r="M11894" s="25">
        <v>3729551.12</v>
      </c>
      <c r="N11894" s="27">
        <v>1.3773822298001951E-2</v>
      </c>
    </row>
    <row r="11895" spans="1:14" x14ac:dyDescent="0.15">
      <c r="A11895" s="23" t="str">
        <f t="shared" ref="A11895:A11904" si="351">HYPERLINK("https://www.spark-marketing.ru/Card/Person/45433", "ФБУН ЦНИИ ЭПИДЕМИОЛОГИИ РОСПОТРЕБНАДЗОРА")</f>
        <v>ФБУН ЦНИИ ЭПИДЕМИОЛОГИИ РОСПОТРЕБНАДЗОРА</v>
      </c>
      <c r="B11895" s="24" t="s">
        <v>9015</v>
      </c>
      <c r="C11895" s="25">
        <v>2447060</v>
      </c>
      <c r="D11895" s="22" t="s">
        <v>16356</v>
      </c>
      <c r="E11895" s="22" t="s">
        <v>55</v>
      </c>
      <c r="F11895" s="23" t="str">
        <f t="shared" ref="F11895:F11904" si="352">HYPERLINK("https://www.spark-marketing.ru/Card/Lot/72256907", "Услуги по организации авиаперелета, трансфера, проживания и питания для участников курсов повышения квалификации из стран СНГ")</f>
        <v>Услуги по организации авиаперелета, трансфера, проживания и питания для участников курсов повышения квалификации из стран СНГ</v>
      </c>
      <c r="G11895" s="22" t="s">
        <v>56</v>
      </c>
      <c r="H11895" s="22" t="s">
        <v>56</v>
      </c>
      <c r="I11895" s="26">
        <v>43665.561249999999</v>
      </c>
      <c r="J11895" s="28" t="s">
        <v>51</v>
      </c>
      <c r="K11895" s="28" t="s">
        <v>51</v>
      </c>
      <c r="L11895" s="28" t="s">
        <v>51</v>
      </c>
      <c r="M11895" s="28" t="s">
        <v>51</v>
      </c>
      <c r="N11895" s="28" t="s">
        <v>51</v>
      </c>
    </row>
    <row r="11896" spans="1:14" hidden="1" outlineLevel="1" x14ac:dyDescent="0.2">
      <c r="A11896" s="23" t="str">
        <f t="shared" si="351"/>
        <v>ФБУН ЦНИИ ЭПИДЕМИОЛОГИИ РОСПОТРЕБНАДЗОРА</v>
      </c>
      <c r="B11896" s="24" t="s">
        <v>9015</v>
      </c>
      <c r="C11896" s="25">
        <v>2447060</v>
      </c>
      <c r="D11896" s="22" t="s">
        <v>16356</v>
      </c>
      <c r="E11896" s="22" t="s">
        <v>55</v>
      </c>
      <c r="F11896" s="23" t="str">
        <f t="shared" si="352"/>
        <v>Услуги по организации авиаперелета, трансфера, проживания и питания для участников курсов повышения квалификации из стран СНГ</v>
      </c>
      <c r="G11896" s="22" t="s">
        <v>56</v>
      </c>
      <c r="H11896" s="22" t="s">
        <v>56</v>
      </c>
      <c r="I11896" s="26">
        <v>43665.561249999999</v>
      </c>
      <c r="J11896" s="23" t="str">
        <f>HYPERLINK("https://www.spark-marketing.ru/Card/Person/6574016", "ООО ""ПРИМУС""")</f>
        <v>ООО "ПРИМУС"</v>
      </c>
      <c r="K11896" s="24" t="s">
        <v>16357</v>
      </c>
      <c r="L11896" s="28" t="s">
        <v>51</v>
      </c>
      <c r="M11896" s="25">
        <v>1932529.4</v>
      </c>
      <c r="N11896" s="27">
        <v>0.21026480756499635</v>
      </c>
    </row>
    <row r="11897" spans="1:14" hidden="1" outlineLevel="1" x14ac:dyDescent="0.2">
      <c r="A11897" s="23" t="str">
        <f t="shared" si="351"/>
        <v>ФБУН ЦНИИ ЭПИДЕМИОЛОГИИ РОСПОТРЕБНАДЗОРА</v>
      </c>
      <c r="B11897" s="24" t="s">
        <v>9015</v>
      </c>
      <c r="C11897" s="25">
        <v>2447060</v>
      </c>
      <c r="D11897" s="22" t="s">
        <v>16356</v>
      </c>
      <c r="E11897" s="22" t="s">
        <v>55</v>
      </c>
      <c r="F11897" s="23" t="str">
        <f t="shared" si="352"/>
        <v>Услуги по организации авиаперелета, трансфера, проживания и питания для участников курсов повышения квалификации из стран СНГ</v>
      </c>
      <c r="G11897" s="22" t="s">
        <v>56</v>
      </c>
      <c r="H11897" s="22" t="s">
        <v>56</v>
      </c>
      <c r="I11897" s="26">
        <v>43665.561249999999</v>
      </c>
      <c r="J11897" s="23" t="str">
        <f>HYPERLINK("https://www.spark-marketing.ru/Card/Person/2555461", "ООО ""СПА-КУРОРТ""")</f>
        <v>ООО "СПА-КУРОРТ"</v>
      </c>
      <c r="K11897" s="24" t="s">
        <v>13498</v>
      </c>
      <c r="L11897" s="28" t="s">
        <v>51</v>
      </c>
      <c r="M11897" s="25">
        <v>1900000</v>
      </c>
      <c r="N11897" s="27">
        <v>0.22355806559708385</v>
      </c>
    </row>
    <row r="11898" spans="1:14" hidden="1" outlineLevel="1" x14ac:dyDescent="0.2">
      <c r="A11898" s="23" t="str">
        <f t="shared" si="351"/>
        <v>ФБУН ЦНИИ ЭПИДЕМИОЛОГИИ РОСПОТРЕБНАДЗОРА</v>
      </c>
      <c r="B11898" s="24" t="s">
        <v>9015</v>
      </c>
      <c r="C11898" s="25">
        <v>2447060</v>
      </c>
      <c r="D11898" s="22" t="s">
        <v>16356</v>
      </c>
      <c r="E11898" s="22" t="s">
        <v>55</v>
      </c>
      <c r="F11898" s="23" t="str">
        <f t="shared" si="352"/>
        <v>Услуги по организации авиаперелета, трансфера, проживания и питания для участников курсов повышения квалификации из стран СНГ</v>
      </c>
      <c r="G11898" s="22" t="s">
        <v>56</v>
      </c>
      <c r="H11898" s="22" t="s">
        <v>56</v>
      </c>
      <c r="I11898" s="26">
        <v>43665.561249999999</v>
      </c>
      <c r="J11898" s="23" t="str">
        <f>HYPERLINK("https://www.spark-marketing.ru/Card/Person/856601", "ООО ""АВЕНТУРА""")</f>
        <v>ООО "АВЕНТУРА"</v>
      </c>
      <c r="K11898" s="24" t="s">
        <v>9018</v>
      </c>
      <c r="L11898" s="28" t="s">
        <v>51</v>
      </c>
      <c r="M11898" s="25">
        <v>1807000</v>
      </c>
      <c r="N11898" s="27">
        <v>0.26156285501785814</v>
      </c>
    </row>
    <row r="11899" spans="1:14" hidden="1" outlineLevel="1" x14ac:dyDescent="0.2">
      <c r="A11899" s="23" t="str">
        <f t="shared" si="351"/>
        <v>ФБУН ЦНИИ ЭПИДЕМИОЛОГИИ РОСПОТРЕБНАДЗОРА</v>
      </c>
      <c r="B11899" s="24" t="s">
        <v>9015</v>
      </c>
      <c r="C11899" s="25">
        <v>2447060</v>
      </c>
      <c r="D11899" s="22" t="s">
        <v>16356</v>
      </c>
      <c r="E11899" s="22" t="s">
        <v>55</v>
      </c>
      <c r="F11899" s="23" t="str">
        <f t="shared" si="352"/>
        <v>Услуги по организации авиаперелета, трансфера, проживания и питания для участников курсов повышения квалификации из стран СНГ</v>
      </c>
      <c r="G11899" s="22" t="s">
        <v>56</v>
      </c>
      <c r="H11899" s="22" t="s">
        <v>56</v>
      </c>
      <c r="I11899" s="26">
        <v>43665.561249999999</v>
      </c>
      <c r="J11899" s="23" t="str">
        <f>HYPERLINK("https://www.spark-marketing.ru/Card/Person/139386", "ООО ""АВИАМИР""")</f>
        <v>ООО "АВИАМИР"</v>
      </c>
      <c r="K11899" s="24" t="s">
        <v>2326</v>
      </c>
      <c r="L11899" s="28" t="s">
        <v>51</v>
      </c>
      <c r="M11899" s="25">
        <v>2006589.2</v>
      </c>
      <c r="N11899" s="27">
        <v>0.18</v>
      </c>
    </row>
    <row r="11900" spans="1:14" hidden="1" outlineLevel="1" x14ac:dyDescent="0.2">
      <c r="A11900" s="23" t="str">
        <f t="shared" si="351"/>
        <v>ФБУН ЦНИИ ЭПИДЕМИОЛОГИИ РОСПОТРЕБНАДЗОРА</v>
      </c>
      <c r="B11900" s="24" t="s">
        <v>9015</v>
      </c>
      <c r="C11900" s="25">
        <v>2447060</v>
      </c>
      <c r="D11900" s="22" t="s">
        <v>16356</v>
      </c>
      <c r="E11900" s="22" t="s">
        <v>55</v>
      </c>
      <c r="F11900" s="23" t="str">
        <f t="shared" si="352"/>
        <v>Услуги по организации авиаперелета, трансфера, проживания и питания для участников курсов повышения квалификации из стран СНГ</v>
      </c>
      <c r="G11900" s="22" t="s">
        <v>56</v>
      </c>
      <c r="H11900" s="22" t="s">
        <v>56</v>
      </c>
      <c r="I11900" s="26">
        <v>43665.561249999999</v>
      </c>
      <c r="J11900" s="23" t="str">
        <f>HYPERLINK("https://www.spark-marketing.ru/Card/Person/4443874", "ООО ""ПАНАЦЕЯ""")</f>
        <v>ООО "ПАНАЦЕЯ"</v>
      </c>
      <c r="K11900" s="24" t="s">
        <v>16358</v>
      </c>
      <c r="L11900" s="28" t="s">
        <v>51</v>
      </c>
      <c r="M11900" s="25">
        <v>1714764.7</v>
      </c>
      <c r="N11900" s="27">
        <v>0.29925514699271777</v>
      </c>
    </row>
    <row r="11901" spans="1:14" ht="12.75" hidden="1" outlineLevel="1" x14ac:dyDescent="0.2">
      <c r="A11901" s="23" t="str">
        <f t="shared" si="351"/>
        <v>ФБУН ЦНИИ ЭПИДЕМИОЛОГИИ РОСПОТРЕБНАДЗОРА</v>
      </c>
      <c r="B11901" s="24" t="s">
        <v>9015</v>
      </c>
      <c r="C11901" s="25">
        <v>2447060</v>
      </c>
      <c r="D11901" s="22" t="s">
        <v>16356</v>
      </c>
      <c r="E11901" s="22" t="s">
        <v>55</v>
      </c>
      <c r="F11901" s="23" t="str">
        <f t="shared" si="352"/>
        <v>Услуги по организации авиаперелета, трансфера, проживания и питания для участников курсов повышения квалификации из стран СНГ</v>
      </c>
      <c r="G11901" s="22" t="s">
        <v>56</v>
      </c>
      <c r="H11901" s="22" t="s">
        <v>56</v>
      </c>
      <c r="I11901" s="26">
        <v>43665.561249999999</v>
      </c>
      <c r="J11901" s="23" t="str">
        <f>HYPERLINK("https://www.spark-marketing.ru/Card/Person/2004538", "ООО ""БТА КЛУБ""")</f>
        <v>ООО "БТА КЛУБ"</v>
      </c>
      <c r="K11901" s="24" t="s">
        <v>8825</v>
      </c>
      <c r="L11901" s="22" t="s">
        <v>10</v>
      </c>
      <c r="M11901" s="25">
        <v>1487764.7</v>
      </c>
      <c r="N11901" s="27">
        <v>0.39201952547138197</v>
      </c>
    </row>
    <row r="11902" spans="1:14" hidden="1" outlineLevel="1" x14ac:dyDescent="0.2">
      <c r="A11902" s="23" t="str">
        <f t="shared" si="351"/>
        <v>ФБУН ЦНИИ ЭПИДЕМИОЛОГИИ РОСПОТРЕБНАДЗОРА</v>
      </c>
      <c r="B11902" s="24" t="s">
        <v>9015</v>
      </c>
      <c r="C11902" s="25">
        <v>2447060</v>
      </c>
      <c r="D11902" s="22" t="s">
        <v>16356</v>
      </c>
      <c r="E11902" s="22" t="s">
        <v>55</v>
      </c>
      <c r="F11902" s="23" t="str">
        <f t="shared" si="352"/>
        <v>Услуги по организации авиаперелета, трансфера, проживания и питания для участников курсов повышения квалификации из стран СНГ</v>
      </c>
      <c r="G11902" s="22" t="s">
        <v>56</v>
      </c>
      <c r="H11902" s="22" t="s">
        <v>56</v>
      </c>
      <c r="I11902" s="26">
        <v>43665.561249999999</v>
      </c>
      <c r="J11902" s="23" t="str">
        <f>HYPERLINK("https://www.spark-marketing.ru/Card/Person/1639957", "ООО ""ДЖАЗ ТУР""")</f>
        <v>ООО "ДЖАЗ ТУР"</v>
      </c>
      <c r="K11902" s="24" t="s">
        <v>14221</v>
      </c>
      <c r="L11902" s="28" t="s">
        <v>51</v>
      </c>
      <c r="M11902" s="25">
        <v>1500000</v>
      </c>
      <c r="N11902" s="27">
        <v>0.38701952547138196</v>
      </c>
    </row>
    <row r="11903" spans="1:14" hidden="1" outlineLevel="1" x14ac:dyDescent="0.2">
      <c r="A11903" s="23" t="str">
        <f t="shared" si="351"/>
        <v>ФБУН ЦНИИ ЭПИДЕМИОЛОГИИ РОСПОТРЕБНАДЗОРА</v>
      </c>
      <c r="B11903" s="24" t="s">
        <v>9015</v>
      </c>
      <c r="C11903" s="25">
        <v>2447060</v>
      </c>
      <c r="D11903" s="22" t="s">
        <v>16356</v>
      </c>
      <c r="E11903" s="22" t="s">
        <v>55</v>
      </c>
      <c r="F11903" s="23" t="str">
        <f t="shared" si="352"/>
        <v>Услуги по организации авиаперелета, трансфера, проживания и питания для участников курсов повышения квалификации из стран СНГ</v>
      </c>
      <c r="G11903" s="22" t="s">
        <v>56</v>
      </c>
      <c r="H11903" s="22" t="s">
        <v>56</v>
      </c>
      <c r="I11903" s="26">
        <v>43665.561249999999</v>
      </c>
      <c r="J11903" s="23" t="str">
        <f>HYPERLINK("https://www.spark-marketing.ru/Card/Person/6199231", "Полочанская Ольга Геннадьевна")</f>
        <v>Полочанская Ольга Геннадьевна</v>
      </c>
      <c r="K11903" s="24" t="s">
        <v>2484</v>
      </c>
      <c r="L11903" s="28" t="s">
        <v>51</v>
      </c>
      <c r="M11903" s="25">
        <v>2202000</v>
      </c>
      <c r="N11903" s="27">
        <v>0.10014466339198876</v>
      </c>
    </row>
    <row r="11904" spans="1:14" hidden="1" outlineLevel="1" x14ac:dyDescent="0.2">
      <c r="A11904" s="23" t="str">
        <f t="shared" si="351"/>
        <v>ФБУН ЦНИИ ЭПИДЕМИОЛОГИИ РОСПОТРЕБНАДЗОРА</v>
      </c>
      <c r="B11904" s="24" t="s">
        <v>9015</v>
      </c>
      <c r="C11904" s="25">
        <v>2447060</v>
      </c>
      <c r="D11904" s="22" t="s">
        <v>16356</v>
      </c>
      <c r="E11904" s="22" t="s">
        <v>55</v>
      </c>
      <c r="F11904" s="23" t="str">
        <f t="shared" si="352"/>
        <v>Услуги по организации авиаперелета, трансфера, проживания и питания для участников курсов повышения квалификации из стран СНГ</v>
      </c>
      <c r="G11904" s="22" t="s">
        <v>56</v>
      </c>
      <c r="H11904" s="22" t="s">
        <v>56</v>
      </c>
      <c r="I11904" s="26">
        <v>43665.561249999999</v>
      </c>
      <c r="J11904" s="23" t="str">
        <f>HYPERLINK("https://www.spark-marketing.ru/Card/Person/4349782", "ООО ""АРТОКС""")</f>
        <v>ООО "АРТОКС"</v>
      </c>
      <c r="K11904" s="24" t="s">
        <v>9025</v>
      </c>
      <c r="L11904" s="28" t="s">
        <v>51</v>
      </c>
      <c r="M11904" s="25">
        <v>2200000</v>
      </c>
      <c r="N11904" s="27">
        <v>0.10096197069136024</v>
      </c>
    </row>
    <row r="11905" spans="1:14" x14ac:dyDescent="0.15">
      <c r="A11905" s="23" t="str">
        <f>HYPERLINK("https://www.spark-marketing.ru/Card/Person/4347030", "ФКУ ""ЦХИСО МВД ПО РД""")</f>
        <v>ФКУ "ЦХИСО МВД ПО РД"</v>
      </c>
      <c r="B11905" s="24" t="s">
        <v>4765</v>
      </c>
      <c r="C11905" s="25">
        <v>517297.28</v>
      </c>
      <c r="D11905" s="22" t="s">
        <v>16359</v>
      </c>
      <c r="E11905" s="22" t="s">
        <v>48</v>
      </c>
      <c r="F11905" s="23" t="str">
        <f>HYPERLINK("https://www.spark-marketing.ru/Card/Lot/72215711", "Услуги по организации питания в СП МВД по РД в 2020г.")</f>
        <v>Услуги по организации питания в СП МВД по РД в 2020г.</v>
      </c>
      <c r="G11905" s="22" t="s">
        <v>1607</v>
      </c>
      <c r="H11905" s="22" t="s">
        <v>1607</v>
      </c>
      <c r="I11905" s="26">
        <v>43665.5075462963</v>
      </c>
      <c r="J11905" s="28" t="s">
        <v>51</v>
      </c>
      <c r="K11905" s="28" t="s">
        <v>51</v>
      </c>
      <c r="L11905" s="28" t="s">
        <v>51</v>
      </c>
      <c r="M11905" s="28" t="s">
        <v>51</v>
      </c>
      <c r="N11905" s="28" t="s">
        <v>51</v>
      </c>
    </row>
    <row r="11906" spans="1:14" x14ac:dyDescent="0.15">
      <c r="A11906" s="23" t="str">
        <f>HYPERLINK("https://www.spark-marketing.ru/Card/Person/80341", "МУ МВД РОССИИ ""СЫЗРАНСКОЕ""")</f>
        <v>МУ МВД РОССИИ "СЫЗРАНСКОЕ"</v>
      </c>
      <c r="B11906" s="24" t="s">
        <v>306</v>
      </c>
      <c r="C11906" s="25">
        <v>125650.09</v>
      </c>
      <c r="D11906" s="22" t="s">
        <v>16360</v>
      </c>
      <c r="E11906" s="22" t="s">
        <v>48</v>
      </c>
      <c r="F11906" s="23" t="str">
        <f>HYPERLINK("https://www.spark-marketing.ru/Card/Lot/72216309", "Оказание услуг по изготовлению и поставке горячего питания для лиц, содержащихся в ИВС МУ МВД России ""Сызранское""")</f>
        <v>Оказание услуг по изготовлению и поставке горячего питания для лиц, содержащихся в ИВС МУ МВД России "Сызранское"</v>
      </c>
      <c r="G11906" s="22" t="s">
        <v>128</v>
      </c>
      <c r="H11906" s="22" t="s">
        <v>308</v>
      </c>
      <c r="I11906" s="26">
        <v>43665.511747685203</v>
      </c>
      <c r="J11906" s="28" t="s">
        <v>51</v>
      </c>
      <c r="K11906" s="28" t="s">
        <v>51</v>
      </c>
      <c r="L11906" s="28" t="s">
        <v>51</v>
      </c>
      <c r="M11906" s="28" t="s">
        <v>51</v>
      </c>
      <c r="N11906" s="28" t="s">
        <v>51</v>
      </c>
    </row>
    <row r="11907" spans="1:14" hidden="1" outlineLevel="1" x14ac:dyDescent="0.2">
      <c r="A11907" s="23" t="str">
        <f>HYPERLINK("https://www.spark-marketing.ru/Card/Person/80341", "МУ МВД РОССИИ ""СЫЗРАНСКОЕ""")</f>
        <v>МУ МВД РОССИИ "СЫЗРАНСКОЕ"</v>
      </c>
      <c r="B11907" s="24" t="s">
        <v>306</v>
      </c>
      <c r="C11907" s="25">
        <v>125650.09</v>
      </c>
      <c r="D11907" s="22" t="s">
        <v>16360</v>
      </c>
      <c r="E11907" s="22" t="s">
        <v>48</v>
      </c>
      <c r="F11907" s="23" t="str">
        <f>HYPERLINK("https://www.spark-marketing.ru/Card/Lot/72216309", "Оказание услуг по изготовлению и поставке горячего питания для лиц, содержащихся в ИВС МУ МВД России ""Сызранское""")</f>
        <v>Оказание услуг по изготовлению и поставке горячего питания для лиц, содержащихся в ИВС МУ МВД России "Сызранское"</v>
      </c>
      <c r="G11907" s="22" t="s">
        <v>128</v>
      </c>
      <c r="H11907" s="22" t="s">
        <v>308</v>
      </c>
      <c r="I11907" s="26">
        <v>43665.511747685203</v>
      </c>
      <c r="J11907" s="23" t="str">
        <f>HYPERLINK("https://www.spark-marketing.ru/Card/Person/1240778", "ООО ""СТОЛОВАЯ 21""")</f>
        <v>ООО "СТОЛОВАЯ 21"</v>
      </c>
      <c r="K11907" s="24" t="s">
        <v>16292</v>
      </c>
      <c r="L11907" s="28" t="s">
        <v>51</v>
      </c>
      <c r="M11907" s="25">
        <v>43349.34</v>
      </c>
      <c r="N11907" s="27">
        <v>0.65499953083996998</v>
      </c>
    </row>
    <row r="11908" spans="1:14" ht="12.75" hidden="1" outlineLevel="1" x14ac:dyDescent="0.2">
      <c r="A11908" s="23" t="str">
        <f>HYPERLINK("https://www.spark-marketing.ru/Card/Person/80341", "МУ МВД РОССИИ ""СЫЗРАНСКОЕ""")</f>
        <v>МУ МВД РОССИИ "СЫЗРАНСКОЕ"</v>
      </c>
      <c r="B11908" s="24" t="s">
        <v>306</v>
      </c>
      <c r="C11908" s="25">
        <v>125650.09</v>
      </c>
      <c r="D11908" s="22" t="s">
        <v>16360</v>
      </c>
      <c r="E11908" s="22" t="s">
        <v>48</v>
      </c>
      <c r="F11908" s="23" t="str">
        <f>HYPERLINK("https://www.spark-marketing.ru/Card/Lot/72216309", "Оказание услуг по изготовлению и поставке горячего питания для лиц, содержащихся в ИВС МУ МВД России ""Сызранское""")</f>
        <v>Оказание услуг по изготовлению и поставке горячего питания для лиц, содержащихся в ИВС МУ МВД России "Сызранское"</v>
      </c>
      <c r="G11908" s="22" t="s">
        <v>128</v>
      </c>
      <c r="H11908" s="22" t="s">
        <v>308</v>
      </c>
      <c r="I11908" s="26">
        <v>43665.511747685203</v>
      </c>
      <c r="J11908" s="23" t="str">
        <f>HYPERLINK("https://www.spark-marketing.ru/Card/Person/2044050", "ООО ""22 АМБАР""")</f>
        <v>ООО "22 АМБАР"</v>
      </c>
      <c r="K11908" s="24" t="s">
        <v>6702</v>
      </c>
      <c r="L11908" s="22" t="s">
        <v>10</v>
      </c>
      <c r="M11908" s="25">
        <v>37066.839999999997</v>
      </c>
      <c r="N11908" s="27">
        <v>0.70499949502622716</v>
      </c>
    </row>
    <row r="11909" spans="1:14" hidden="1" outlineLevel="1" x14ac:dyDescent="0.2">
      <c r="A11909" s="23" t="str">
        <f>HYPERLINK("https://www.spark-marketing.ru/Card/Person/80341", "МУ МВД РОССИИ ""СЫЗРАНСКОЕ""")</f>
        <v>МУ МВД РОССИИ "СЫЗРАНСКОЕ"</v>
      </c>
      <c r="B11909" s="24" t="s">
        <v>306</v>
      </c>
      <c r="C11909" s="25">
        <v>125650.09</v>
      </c>
      <c r="D11909" s="22" t="s">
        <v>16360</v>
      </c>
      <c r="E11909" s="22" t="s">
        <v>48</v>
      </c>
      <c r="F11909" s="23" t="str">
        <f>HYPERLINK("https://www.spark-marketing.ru/Card/Lot/72216309", "Оказание услуг по изготовлению и поставке горячего питания для лиц, содержащихся в ИВС МУ МВД России ""Сызранское""")</f>
        <v>Оказание услуг по изготовлению и поставке горячего питания для лиц, содержащихся в ИВС МУ МВД России "Сызранское"</v>
      </c>
      <c r="G11909" s="22" t="s">
        <v>128</v>
      </c>
      <c r="H11909" s="22" t="s">
        <v>308</v>
      </c>
      <c r="I11909" s="26">
        <v>43665.511747685203</v>
      </c>
      <c r="J11909" s="23" t="str">
        <f>HYPERLINK("https://www.spark-marketing.ru/Card/Person/2544469", "ООО ""ЛДМ ГРУПП""")</f>
        <v>ООО "ЛДМ ГРУПП"</v>
      </c>
      <c r="K11909" s="24" t="s">
        <v>6703</v>
      </c>
      <c r="L11909" s="28" t="s">
        <v>51</v>
      </c>
      <c r="M11909" s="25">
        <v>43977.59</v>
      </c>
      <c r="N11909" s="27">
        <v>0.64999953442134417</v>
      </c>
    </row>
    <row r="11910" spans="1:14" x14ac:dyDescent="0.2">
      <c r="A11910" s="23" t="str">
        <f>HYPERLINK("https://www.spark-marketing.ru/Card/Person/1323080", "МАОУ ""ГИМНАЗИЯ №12 ИМЕНИ Г.Р.ДЕРЖАВИНА""")</f>
        <v>МАОУ "ГИМНАЗИЯ №12 ИМЕНИ Г.Р.ДЕРЖАВИНА"</v>
      </c>
      <c r="B11910" s="24" t="s">
        <v>16361</v>
      </c>
      <c r="C11910" s="25">
        <v>1489000</v>
      </c>
      <c r="D11910" s="22" t="s">
        <v>16362</v>
      </c>
      <c r="E11910" s="22" t="s">
        <v>362</v>
      </c>
      <c r="F11910" s="23" t="str">
        <f>HYPERLINK("https://www.spark-marketing.ru/Card/Lot/72227759", "оказание услуг по организации питания обучающихся")</f>
        <v>оказание услуг по организации питания обучающихся</v>
      </c>
      <c r="G11910" s="22" t="s">
        <v>1370</v>
      </c>
      <c r="H11910" s="22" t="s">
        <v>1370</v>
      </c>
      <c r="I11910" s="26">
        <v>43665.505949074097</v>
      </c>
      <c r="J11910" s="28" t="s">
        <v>51</v>
      </c>
      <c r="K11910" s="28" t="s">
        <v>51</v>
      </c>
      <c r="L11910" s="22" t="s">
        <v>10</v>
      </c>
      <c r="M11910" s="25">
        <v>1489000</v>
      </c>
      <c r="N11910" s="27">
        <v>0</v>
      </c>
    </row>
    <row r="11911" spans="1:14" x14ac:dyDescent="0.15">
      <c r="A11911" s="23" t="str">
        <f>HYPERLINK("https://www.spark-marketing.ru/Card/Person/853344", "ОГАУЗ ""ПОЛИКЛИНИКА №3""")</f>
        <v>ОГАУЗ "ПОЛИКЛИНИКА №3"</v>
      </c>
      <c r="B11911" s="24" t="s">
        <v>16363</v>
      </c>
      <c r="C11911" s="25">
        <v>20000</v>
      </c>
      <c r="D11911" s="22" t="s">
        <v>16364</v>
      </c>
      <c r="E11911" s="22" t="s">
        <v>355</v>
      </c>
      <c r="F11911" s="23" t="str">
        <f>HYPERLINK("https://www.spark-marketing.ru/Card/Lot/72213769", "Оказание услуг по ремонту источников бесперебойного питания (ИБП).")</f>
        <v>Оказание услуг по ремонту источников бесперебойного питания (ИБП).</v>
      </c>
      <c r="G11911" s="22" t="s">
        <v>149</v>
      </c>
      <c r="H11911" s="22" t="s">
        <v>496</v>
      </c>
      <c r="I11911" s="26">
        <v>43665.535416666702</v>
      </c>
      <c r="J11911" s="28" t="s">
        <v>51</v>
      </c>
      <c r="K11911" s="28" t="s">
        <v>51</v>
      </c>
      <c r="L11911" s="28" t="s">
        <v>51</v>
      </c>
      <c r="M11911" s="28" t="s">
        <v>51</v>
      </c>
      <c r="N11911" s="28" t="s">
        <v>51</v>
      </c>
    </row>
    <row r="11912" spans="1:14" x14ac:dyDescent="0.15">
      <c r="A11912" s="23" t="str">
        <f>HYPERLINK("https://www.spark-marketing.ru/Card/Person/4347030", "ФКУ ""ЦХИСО МВД ПО РД""")</f>
        <v>ФКУ "ЦХИСО МВД ПО РД"</v>
      </c>
      <c r="B11912" s="24" t="s">
        <v>4765</v>
      </c>
      <c r="C11912" s="25">
        <v>517297.28</v>
      </c>
      <c r="D11912" s="22" t="s">
        <v>16365</v>
      </c>
      <c r="E11912" s="22" t="s">
        <v>48</v>
      </c>
      <c r="F11912" s="23" t="str">
        <f>HYPERLINK("https://www.spark-marketing.ru/Card/Lot/72215794", "Услуги по организации питания в СП МВД по РД в 2021г.")</f>
        <v>Услуги по организации питания в СП МВД по РД в 2021г.</v>
      </c>
      <c r="G11912" s="22" t="s">
        <v>1607</v>
      </c>
      <c r="H11912" s="22" t="s">
        <v>1607</v>
      </c>
      <c r="I11912" s="26">
        <v>43665.522060185198</v>
      </c>
      <c r="J11912" s="28" t="s">
        <v>51</v>
      </c>
      <c r="K11912" s="28" t="s">
        <v>51</v>
      </c>
      <c r="L11912" s="28" t="s">
        <v>51</v>
      </c>
      <c r="M11912" s="28" t="s">
        <v>51</v>
      </c>
      <c r="N11912" s="28" t="s">
        <v>51</v>
      </c>
    </row>
    <row r="11913" spans="1:14" x14ac:dyDescent="0.15">
      <c r="A11913" s="23" t="str">
        <f>HYPERLINK("https://www.spark-marketing.ru/Card/Person/1751878", "УМВД РОССИИ ПО ТОМСКОЙ ОБЛАСТИ")</f>
        <v>УМВД РОССИИ ПО ТОМСКОЙ ОБЛАСТИ</v>
      </c>
      <c r="B11913" s="24" t="s">
        <v>1665</v>
      </c>
      <c r="C11913" s="25">
        <v>1167500</v>
      </c>
      <c r="D11913" s="22" t="s">
        <v>16366</v>
      </c>
      <c r="E11913" s="22" t="s">
        <v>48</v>
      </c>
      <c r="F11913" s="23" t="str">
        <f>HYPERLINK("https://www.spark-marketing.ru/Card/Lot/72209148", "Оказание услуг по организации и доставке ежедневного, трехразового, горячего питания лиц, содержащихся в ИВС УМВД России по Томской области в 2020 году")</f>
        <v>Оказание услуг по организации и доставке ежедневного, трехразового, горячего питания лиц, содержащихся в ИВС УМВД России по Томской области в 2020 году</v>
      </c>
      <c r="G11913" s="22" t="s">
        <v>149</v>
      </c>
      <c r="H11913" s="22" t="s">
        <v>496</v>
      </c>
      <c r="I11913" s="26">
        <v>43665.515289351897</v>
      </c>
      <c r="J11913" s="28" t="s">
        <v>51</v>
      </c>
      <c r="K11913" s="28" t="s">
        <v>51</v>
      </c>
      <c r="L11913" s="28" t="s">
        <v>51</v>
      </c>
      <c r="M11913" s="28" t="s">
        <v>51</v>
      </c>
      <c r="N11913" s="28" t="s">
        <v>51</v>
      </c>
    </row>
    <row r="11914" spans="1:14" hidden="1" outlineLevel="1" x14ac:dyDescent="0.2">
      <c r="A11914" s="23" t="str">
        <f>HYPERLINK("https://www.spark-marketing.ru/Card/Person/1751878", "УМВД РОССИИ ПО ТОМСКОЙ ОБЛАСТИ")</f>
        <v>УМВД РОССИИ ПО ТОМСКОЙ ОБЛАСТИ</v>
      </c>
      <c r="B11914" s="24" t="s">
        <v>1665</v>
      </c>
      <c r="C11914" s="25">
        <v>1167500</v>
      </c>
      <c r="D11914" s="22" t="s">
        <v>16366</v>
      </c>
      <c r="E11914" s="22" t="s">
        <v>48</v>
      </c>
      <c r="F11914" s="23" t="str">
        <f>HYPERLINK("https://www.spark-marketing.ru/Card/Lot/72209148", "Оказание услуг по организации и доставке ежедневного, трехразового, горячего питания лиц, содержащихся в ИВС УМВД России по Томской области в 2020 году")</f>
        <v>Оказание услуг по организации и доставке ежедневного, трехразового, горячего питания лиц, содержащихся в ИВС УМВД России по Томской области в 2020 году</v>
      </c>
      <c r="G11914" s="22" t="s">
        <v>149</v>
      </c>
      <c r="H11914" s="22" t="s">
        <v>496</v>
      </c>
      <c r="I11914" s="26">
        <v>43665.515289351897</v>
      </c>
      <c r="J11914" s="23" t="str">
        <f>HYPERLINK("https://www.spark-marketing.ru/Card/Person/839334", "ООО ""БЕЗЕ""")</f>
        <v>ООО "БЕЗЕ"</v>
      </c>
      <c r="K11914" s="24" t="s">
        <v>3938</v>
      </c>
      <c r="L11914" s="28" t="s">
        <v>51</v>
      </c>
      <c r="M11914" s="25">
        <v>1172.1400000000001</v>
      </c>
      <c r="N11914" s="27">
        <v>0.99899602569593149</v>
      </c>
    </row>
    <row r="11915" spans="1:14" ht="12.75" hidden="1" outlineLevel="1" x14ac:dyDescent="0.2">
      <c r="A11915" s="23" t="str">
        <f>HYPERLINK("https://www.spark-marketing.ru/Card/Person/1751878", "УМВД РОССИИ ПО ТОМСКОЙ ОБЛАСТИ")</f>
        <v>УМВД РОССИИ ПО ТОМСКОЙ ОБЛАСТИ</v>
      </c>
      <c r="B11915" s="24" t="s">
        <v>1665</v>
      </c>
      <c r="C11915" s="25">
        <v>1167500</v>
      </c>
      <c r="D11915" s="22" t="s">
        <v>16366</v>
      </c>
      <c r="E11915" s="22" t="s">
        <v>48</v>
      </c>
      <c r="F11915" s="23" t="str">
        <f>HYPERLINK("https://www.spark-marketing.ru/Card/Lot/72209148", "Оказание услуг по организации и доставке ежедневного, трехразового, горячего питания лиц, содержащихся в ИВС УМВД России по Томской области в 2020 году")</f>
        <v>Оказание услуг по организации и доставке ежедневного, трехразового, горячего питания лиц, содержащихся в ИВС УМВД России по Томской области в 2020 году</v>
      </c>
      <c r="G11915" s="22" t="s">
        <v>149</v>
      </c>
      <c r="H11915" s="22" t="s">
        <v>496</v>
      </c>
      <c r="I11915" s="26">
        <v>43665.515289351897</v>
      </c>
      <c r="J11915" s="23" t="str">
        <f>HYPERLINK("https://www.spark-marketing.ru/Card/Person/6631755", "Резников Илья Алексеевич")</f>
        <v>Резников Илья Алексеевич</v>
      </c>
      <c r="K11915" s="24" t="s">
        <v>16367</v>
      </c>
      <c r="L11915" s="22" t="s">
        <v>10</v>
      </c>
      <c r="M11915" s="25">
        <v>1164.28</v>
      </c>
      <c r="N11915" s="27">
        <v>0.99900275802997862</v>
      </c>
    </row>
    <row r="11916" spans="1:14" x14ac:dyDescent="0.15">
      <c r="A11916" s="23" t="str">
        <f>HYPERLINK("https://www.spark-marketing.ru/Card/Person/47122", "БУ ""ОКТЯБРЬСКИЙ РАЙОННЫЙ КОМПЛЕКСНЫЙ ЦЕНТР СОЦИАЛЬНОГО ОБСЛУЖИВАНИЯ НАСЕЛЕНИЯ""")</f>
        <v>БУ "ОКТЯБРЬСКИЙ РАЙОННЫЙ КОМПЛЕКСНЫЙ ЦЕНТР СОЦИАЛЬНОГО ОБСЛУЖИВАНИЯ НАСЕЛЕНИЯ"</v>
      </c>
      <c r="B11916" s="24" t="s">
        <v>462</v>
      </c>
      <c r="C11916" s="25">
        <v>7340</v>
      </c>
      <c r="D11916" s="22" t="s">
        <v>16368</v>
      </c>
      <c r="E11916" s="22" t="s">
        <v>16369</v>
      </c>
      <c r="F11916" s="23" t="str">
        <f>HYPERLINK("https://www.spark-marketing.ru/Card/Lot/72213882", "Оказание услуг по поставке продуктов питания")</f>
        <v>Оказание услуг по поставке продуктов питания</v>
      </c>
      <c r="G11916" s="22" t="s">
        <v>97</v>
      </c>
      <c r="H11916" s="22" t="s">
        <v>465</v>
      </c>
      <c r="I11916" s="26">
        <v>43665.534953703696</v>
      </c>
      <c r="J11916" s="23" t="str">
        <f>HYPERLINK("https://www.spark-marketing.ru/Card/Person/6471199", "ООО ""ИСТОК""")</f>
        <v>ООО "ИСТОК"</v>
      </c>
      <c r="K11916" s="24" t="s">
        <v>9182</v>
      </c>
      <c r="L11916" s="22" t="s">
        <v>10</v>
      </c>
      <c r="M11916" s="28" t="s">
        <v>51</v>
      </c>
      <c r="N11916" s="28" t="s">
        <v>51</v>
      </c>
    </row>
    <row r="11917" spans="1:14" x14ac:dyDescent="0.15">
      <c r="A11917" s="23" t="str">
        <f>HYPERLINK("https://www.spark-marketing.ru/Card/Person/400991", "МОУ ""СЛАНЦЕВСКАЯ СОШ №1""")</f>
        <v>МОУ "СЛАНЦЕВСКАЯ СОШ №1"</v>
      </c>
      <c r="B11917" s="24" t="s">
        <v>16370</v>
      </c>
      <c r="C11917" s="25">
        <v>1575990</v>
      </c>
      <c r="D11917" s="22" t="s">
        <v>16371</v>
      </c>
      <c r="E11917" s="22" t="s">
        <v>48</v>
      </c>
      <c r="F11917" s="23" t="str">
        <f>HYPERLINK("https://www.spark-marketing.ru/Card/Lot/72215541", "Организация горячего питания для льготных категорий обучающихся и обеспечения молоком и кисломолочными продуктами обучающихся в 1-4 классах.")</f>
        <v>Организация горячего питания для льготных категорий обучающихся и обеспечения молоком и кисломолочными продуктами обучающихся в 1-4 классах.</v>
      </c>
      <c r="G11917" s="22" t="s">
        <v>162</v>
      </c>
      <c r="H11917" s="22" t="s">
        <v>15669</v>
      </c>
      <c r="I11917" s="26">
        <v>43665.522916666698</v>
      </c>
      <c r="J11917" s="28" t="s">
        <v>51</v>
      </c>
      <c r="K11917" s="28" t="s">
        <v>51</v>
      </c>
      <c r="L11917" s="28" t="s">
        <v>51</v>
      </c>
      <c r="M11917" s="28" t="s">
        <v>51</v>
      </c>
      <c r="N11917" s="28" t="s">
        <v>51</v>
      </c>
    </row>
    <row r="11918" spans="1:14" ht="12.75" hidden="1" outlineLevel="1" x14ac:dyDescent="0.2">
      <c r="A11918" s="23" t="str">
        <f>HYPERLINK("https://www.spark-marketing.ru/Card/Person/400991", "МОУ ""СЛАНЦЕВСКАЯ СОШ №1""")</f>
        <v>МОУ "СЛАНЦЕВСКАЯ СОШ №1"</v>
      </c>
      <c r="B11918" s="24" t="s">
        <v>16370</v>
      </c>
      <c r="C11918" s="25">
        <v>1575990</v>
      </c>
      <c r="D11918" s="22" t="s">
        <v>16371</v>
      </c>
      <c r="E11918" s="22" t="s">
        <v>48</v>
      </c>
      <c r="F11918" s="23" t="str">
        <f>HYPERLINK("https://www.spark-marketing.ru/Card/Lot/72215541", "Организация горячего питания для льготных категорий обучающихся и обеспечения молоком и кисломолочными продуктами обучающихся в 1-4 классах.")</f>
        <v>Организация горячего питания для льготных категорий обучающихся и обеспечения молоком и кисломолочными продуктами обучающихся в 1-4 классах.</v>
      </c>
      <c r="G11918" s="22" t="s">
        <v>162</v>
      </c>
      <c r="H11918" s="22" t="s">
        <v>15669</v>
      </c>
      <c r="I11918" s="26">
        <v>43665.522916666698</v>
      </c>
      <c r="J11918" s="23" t="str">
        <f>HYPERLINK("https://www.spark-marketing.ru/Card/Person/668617", "Колесников Дмитрий Юрьевич")</f>
        <v>Колесников Дмитрий Юрьевич</v>
      </c>
      <c r="K11918" s="24" t="s">
        <v>15671</v>
      </c>
      <c r="L11918" s="22" t="s">
        <v>10</v>
      </c>
      <c r="M11918" s="25">
        <v>1575990</v>
      </c>
      <c r="N11918" s="27">
        <v>0</v>
      </c>
    </row>
    <row r="11919" spans="1:14" hidden="1" outlineLevel="1" x14ac:dyDescent="0.2">
      <c r="A11919" s="23" t="str">
        <f>HYPERLINK("https://www.spark-marketing.ru/Card/Person/400991", "МОУ ""СЛАНЦЕВСКАЯ СОШ №1""")</f>
        <v>МОУ "СЛАНЦЕВСКАЯ СОШ №1"</v>
      </c>
      <c r="B11919" s="24" t="s">
        <v>16370</v>
      </c>
      <c r="C11919" s="25">
        <v>1575990</v>
      </c>
      <c r="D11919" s="22" t="s">
        <v>16371</v>
      </c>
      <c r="E11919" s="22" t="s">
        <v>48</v>
      </c>
      <c r="F11919" s="23" t="str">
        <f>HYPERLINK("https://www.spark-marketing.ru/Card/Lot/72215541", "Организация горячего питания для льготных категорий обучающихся и обеспечения молоком и кисломолочными продуктами обучающихся в 1-4 классах.")</f>
        <v>Организация горячего питания для льготных категорий обучающихся и обеспечения молоком и кисломолочными продуктами обучающихся в 1-4 классах.</v>
      </c>
      <c r="G11919" s="22" t="s">
        <v>162</v>
      </c>
      <c r="H11919" s="22" t="s">
        <v>15669</v>
      </c>
      <c r="I11919" s="26">
        <v>43665.522916666698</v>
      </c>
      <c r="J11919" s="23" t="str">
        <f>HYPERLINK("https://www.spark-marketing.ru/Card/Person/672838", "Морысева Лилия Александровна")</f>
        <v>Морысева Лилия Александровна</v>
      </c>
      <c r="K11919" s="24" t="s">
        <v>15670</v>
      </c>
      <c r="L11919" s="28" t="s">
        <v>51</v>
      </c>
      <c r="M11919" s="25">
        <v>1575990</v>
      </c>
      <c r="N11919" s="27">
        <v>0</v>
      </c>
    </row>
    <row r="11920" spans="1:14" x14ac:dyDescent="0.15">
      <c r="A11920" s="23" t="str">
        <f>HYPERLINK("https://www.spark-marketing.ru/Card/Person/4372117", "МБОУ СПЕЦИАЛИЗИРОВАННАЯ ШКОЛА № 2")</f>
        <v>МБОУ СПЕЦИАЛИЗИРОВАННАЯ ШКОЛА № 2</v>
      </c>
      <c r="B11920" s="24" t="s">
        <v>16372</v>
      </c>
      <c r="C11920" s="25">
        <v>1164855</v>
      </c>
      <c r="D11920" s="22" t="s">
        <v>16373</v>
      </c>
      <c r="E11920" s="22" t="s">
        <v>48</v>
      </c>
      <c r="F11920" s="23" t="str">
        <f>HYPERLINK("https://www.spark-marketing.ru/Card/Lot/72216637", "Услуги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классов")</f>
        <v>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920" s="22" t="s">
        <v>108</v>
      </c>
      <c r="H11920" s="22" t="s">
        <v>287</v>
      </c>
      <c r="I11920" s="26">
        <v>43665.520138888904</v>
      </c>
      <c r="J11920" s="28" t="s">
        <v>51</v>
      </c>
      <c r="K11920" s="28" t="s">
        <v>51</v>
      </c>
      <c r="L11920" s="28" t="s">
        <v>51</v>
      </c>
      <c r="M11920" s="28" t="s">
        <v>51</v>
      </c>
      <c r="N11920" s="28" t="s">
        <v>51</v>
      </c>
    </row>
    <row r="11921" spans="1:14" hidden="1" outlineLevel="1" x14ac:dyDescent="0.2">
      <c r="A11921" s="23" t="str">
        <f>HYPERLINK("https://www.spark-marketing.ru/Card/Person/4372117", "МБОУ СПЕЦИАЛИЗИРОВАННАЯ ШКОЛА № 2")</f>
        <v>МБОУ СПЕЦИАЛИЗИРОВАННАЯ ШКОЛА № 2</v>
      </c>
      <c r="B11921" s="24" t="s">
        <v>16372</v>
      </c>
      <c r="C11921" s="25">
        <v>1164855</v>
      </c>
      <c r="D11921" s="22" t="s">
        <v>16373</v>
      </c>
      <c r="E11921" s="22" t="s">
        <v>48</v>
      </c>
      <c r="F11921" s="23" t="str">
        <f>HYPERLINK("https://www.spark-marketing.ru/Card/Lot/72216637", "Услуги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классов")</f>
        <v>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921" s="22" t="s">
        <v>108</v>
      </c>
      <c r="H11921" s="22" t="s">
        <v>287</v>
      </c>
      <c r="I11921" s="26">
        <v>43665.520138888904</v>
      </c>
      <c r="J11921" s="23" t="str">
        <f>HYPERLINK("https://www.spark-marketing.ru/Card/Person/4856360", "ООО ""МЕЛИССА""")</f>
        <v>ООО "МЕЛИССА"</v>
      </c>
      <c r="K11921" s="24" t="s">
        <v>4595</v>
      </c>
      <c r="L11921" s="28" t="s">
        <v>51</v>
      </c>
      <c r="M11921" s="25">
        <v>931884</v>
      </c>
      <c r="N11921" s="27">
        <v>0.2</v>
      </c>
    </row>
    <row r="11922" spans="1:14" ht="12.75" hidden="1" outlineLevel="1" x14ac:dyDescent="0.2">
      <c r="A11922" s="23" t="str">
        <f>HYPERLINK("https://www.spark-marketing.ru/Card/Person/4372117", "МБОУ СПЕЦИАЛИЗИРОВАННАЯ ШКОЛА № 2")</f>
        <v>МБОУ СПЕЦИАЛИЗИРОВАННАЯ ШКОЛА № 2</v>
      </c>
      <c r="B11922" s="24" t="s">
        <v>16372</v>
      </c>
      <c r="C11922" s="25">
        <v>1164855</v>
      </c>
      <c r="D11922" s="22" t="s">
        <v>16373</v>
      </c>
      <c r="E11922" s="22" t="s">
        <v>48</v>
      </c>
      <c r="F11922" s="23" t="str">
        <f>HYPERLINK("https://www.spark-marketing.ru/Card/Lot/72216637", "Услуги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классов")</f>
        <v>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1922" s="22" t="s">
        <v>108</v>
      </c>
      <c r="H11922" s="22" t="s">
        <v>287</v>
      </c>
      <c r="I11922" s="26">
        <v>43665.520138888904</v>
      </c>
      <c r="J11922" s="23" t="str">
        <f>HYPERLINK("https://www.spark-marketing.ru/Card/Person/1763042", "МУП ""ШКОЛЬНЫЙ КОМБИНАТ""")</f>
        <v>МУП "ШКОЛЬНЫЙ КОМБИНАТ"</v>
      </c>
      <c r="K11922" s="24" t="s">
        <v>15602</v>
      </c>
      <c r="L11922" s="22" t="s">
        <v>10</v>
      </c>
      <c r="M11922" s="25">
        <v>716386</v>
      </c>
      <c r="N11922" s="27">
        <v>0.38499984976670915</v>
      </c>
    </row>
    <row r="11923" spans="1:14" x14ac:dyDescent="0.2">
      <c r="A11923" s="23" t="str">
        <f>HYPERLINK("https://www.spark-marketing.ru/Card/Person/1758656", "ГАПОУ ТО ""ТОБОЛЬСКИЙ МНОГОПРОФИЛЬНЫЙ ТЕХНИКУМ""")</f>
        <v>ГАПОУ ТО "ТОБОЛЬСКИЙ МНОГОПРОФИЛЬНЫЙ ТЕХНИКУМ"</v>
      </c>
      <c r="B11923" s="24" t="s">
        <v>10359</v>
      </c>
      <c r="C11923" s="25">
        <v>5507055.5999999996</v>
      </c>
      <c r="D11923" s="22" t="s">
        <v>16374</v>
      </c>
      <c r="E11923" s="22" t="s">
        <v>362</v>
      </c>
      <c r="F11923" s="23" t="str">
        <f>HYPERLINK("https://www.spark-marketing.ru/Card/Lot/72227792", "Оказание услуг по организации питания обучающихся ГАПОУ ТО «Тобольский многопрофильный техникум»")</f>
        <v>Оказание услуг по организации питания обучающихся ГАПОУ ТО «Тобольский многопрофильный техникум»</v>
      </c>
      <c r="G11923" s="22" t="s">
        <v>766</v>
      </c>
      <c r="H11923" s="22" t="s">
        <v>766</v>
      </c>
      <c r="I11923" s="26">
        <v>43665.512361111098</v>
      </c>
      <c r="J11923" s="28" t="s">
        <v>51</v>
      </c>
      <c r="K11923" s="28" t="s">
        <v>51</v>
      </c>
      <c r="L11923" s="22" t="s">
        <v>10</v>
      </c>
      <c r="M11923" s="25">
        <v>5507055</v>
      </c>
      <c r="N11923" s="27">
        <v>1.0895114260331782E-7</v>
      </c>
    </row>
    <row r="11924" spans="1:14" x14ac:dyDescent="0.15">
      <c r="A11924" s="23" t="str">
        <f>HYPERLINK("https://www.spark-marketing.ru/Card/Person/103664", "МО МВД РОССИИ ""КОЗЬМОДЕМЬЯНСКИЙ""")</f>
        <v>МО МВД РОССИИ "КОЗЬМОДЕМЬЯНСКИЙ"</v>
      </c>
      <c r="B11924" s="24" t="s">
        <v>11761</v>
      </c>
      <c r="C11924" s="25">
        <v>500000</v>
      </c>
      <c r="D11924" s="22" t="s">
        <v>16375</v>
      </c>
      <c r="E11924" s="22" t="s">
        <v>96</v>
      </c>
      <c r="F11924" s="23" t="str">
        <f>HYPERLINK("https://www.spark-marketing.ru/Card/Lot/72219874", "Услуги по обеспечению трехразовым питанием подозреваемых и обвиняемых в совершении преступлений, лиц подвергнутых административному аресту, находящихся в ИВС МО МВД России «Козьмодемьянский», и лиц, задержанных за административные правонарушения.")</f>
        <v>Услуги по обеспечению трехразовым питанием подозреваемых и обвиняемых в совершении преступлений, лиц подвергнутых административному аресту, находящихся в ИВС МО МВД России «Козьмодемьянский», и лиц, задержанных за административные правонарушения.</v>
      </c>
      <c r="G11924" s="22" t="s">
        <v>3249</v>
      </c>
      <c r="H11924" s="22" t="s">
        <v>11763</v>
      </c>
      <c r="I11924" s="26">
        <v>43665.523101851897</v>
      </c>
      <c r="J11924" s="23" t="str">
        <f>HYPERLINK("https://www.spark-marketing.ru/Card/Person/2307759", "ТРОИЦКО-ПОСАДСКОЕ ПО")</f>
        <v>ТРОИЦКО-ПОСАДСКОЕ ПО</v>
      </c>
      <c r="K11924" s="24" t="s">
        <v>11764</v>
      </c>
      <c r="L11924" s="22" t="s">
        <v>10</v>
      </c>
      <c r="M11924" s="28" t="s">
        <v>51</v>
      </c>
      <c r="N11924" s="28" t="s">
        <v>51</v>
      </c>
    </row>
    <row r="11925" spans="1:14" x14ac:dyDescent="0.15">
      <c r="A11925" s="23" t="str">
        <f>HYPERLINK("https://www.spark-marketing.ru/Card/Person/1751878", "УМВД РОССИИ ПО ТОМСКОЙ ОБЛАСТИ")</f>
        <v>УМВД РОССИИ ПО ТОМСКОЙ ОБЛАСТИ</v>
      </c>
      <c r="B11925" s="24" t="s">
        <v>1665</v>
      </c>
      <c r="C11925" s="25">
        <v>1167500</v>
      </c>
      <c r="D11925" s="22" t="s">
        <v>16376</v>
      </c>
      <c r="E11925" s="22" t="s">
        <v>48</v>
      </c>
      <c r="F11925" s="23" t="str">
        <f>HYPERLINK("https://www.spark-marketing.ru/Card/Lot/72209092", "Оказание услуг по организации и доставке ежедневного, трехразового, горячего питания лиц, содержащихся в ИВС УМВД России по Томской области в 2021 году")</f>
        <v>Оказание услуг по организации и доставке ежедневного, трехразового, горячего питания лиц, содержащихся в ИВС УМВД России по Томской области в 2021 году</v>
      </c>
      <c r="G11925" s="22" t="s">
        <v>149</v>
      </c>
      <c r="H11925" s="22" t="s">
        <v>496</v>
      </c>
      <c r="I11925" s="26">
        <v>43665.522905092599</v>
      </c>
      <c r="J11925" s="28" t="s">
        <v>51</v>
      </c>
      <c r="K11925" s="28" t="s">
        <v>51</v>
      </c>
      <c r="L11925" s="28" t="s">
        <v>51</v>
      </c>
      <c r="M11925" s="28" t="s">
        <v>51</v>
      </c>
      <c r="N11925" s="28" t="s">
        <v>51</v>
      </c>
    </row>
    <row r="11926" spans="1:14" hidden="1" outlineLevel="1" x14ac:dyDescent="0.2">
      <c r="A11926" s="23" t="str">
        <f>HYPERLINK("https://www.spark-marketing.ru/Card/Person/1751878", "УМВД РОССИИ ПО ТОМСКОЙ ОБЛАСТИ")</f>
        <v>УМВД РОССИИ ПО ТОМСКОЙ ОБЛАСТИ</v>
      </c>
      <c r="B11926" s="24" t="s">
        <v>1665</v>
      </c>
      <c r="C11926" s="25">
        <v>1167500</v>
      </c>
      <c r="D11926" s="22" t="s">
        <v>16376</v>
      </c>
      <c r="E11926" s="22" t="s">
        <v>48</v>
      </c>
      <c r="F11926" s="23" t="str">
        <f>HYPERLINK("https://www.spark-marketing.ru/Card/Lot/72209092", "Оказание услуг по организации и доставке ежедневного, трехразового, горячего питания лиц, содержащихся в ИВС УМВД России по Томской области в 2021 году")</f>
        <v>Оказание услуг по организации и доставке ежедневного, трехразового, горячего питания лиц, содержащихся в ИВС УМВД России по Томской области в 2021 году</v>
      </c>
      <c r="G11926" s="22" t="s">
        <v>149</v>
      </c>
      <c r="H11926" s="22" t="s">
        <v>496</v>
      </c>
      <c r="I11926" s="26">
        <v>43665.522905092599</v>
      </c>
      <c r="J11926" s="23" t="str">
        <f>HYPERLINK("https://www.spark-marketing.ru/Card/Person/839334", "ООО ""БЕЗЕ""")</f>
        <v>ООО "БЕЗЕ"</v>
      </c>
      <c r="K11926" s="24" t="s">
        <v>3938</v>
      </c>
      <c r="L11926" s="28" t="s">
        <v>51</v>
      </c>
      <c r="M11926" s="25">
        <v>1304.31</v>
      </c>
      <c r="N11926" s="27">
        <v>0.99888281798715206</v>
      </c>
    </row>
    <row r="11927" spans="1:14" ht="12.75" hidden="1" outlineLevel="1" x14ac:dyDescent="0.2">
      <c r="A11927" s="23" t="str">
        <f>HYPERLINK("https://www.spark-marketing.ru/Card/Person/1751878", "УМВД РОССИИ ПО ТОМСКОЙ ОБЛАСТИ")</f>
        <v>УМВД РОССИИ ПО ТОМСКОЙ ОБЛАСТИ</v>
      </c>
      <c r="B11927" s="24" t="s">
        <v>1665</v>
      </c>
      <c r="C11927" s="25">
        <v>1167500</v>
      </c>
      <c r="D11927" s="22" t="s">
        <v>16376</v>
      </c>
      <c r="E11927" s="22" t="s">
        <v>48</v>
      </c>
      <c r="F11927" s="23" t="str">
        <f>HYPERLINK("https://www.spark-marketing.ru/Card/Lot/72209092", "Оказание услуг по организации и доставке ежедневного, трехразового, горячего питания лиц, содержащихся в ИВС УМВД России по Томской области в 2021 году")</f>
        <v>Оказание услуг по организации и доставке ежедневного, трехразового, горячего питания лиц, содержащихся в ИВС УМВД России по Томской области в 2021 году</v>
      </c>
      <c r="G11927" s="22" t="s">
        <v>149</v>
      </c>
      <c r="H11927" s="22" t="s">
        <v>496</v>
      </c>
      <c r="I11927" s="26">
        <v>43665.522905092599</v>
      </c>
      <c r="J11927" s="23" t="str">
        <f>HYPERLINK("https://www.spark-marketing.ru/Card/Person/535007", "ООО ""САМ""")</f>
        <v>ООО "САМ"</v>
      </c>
      <c r="K11927" s="24" t="s">
        <v>5285</v>
      </c>
      <c r="L11927" s="22" t="s">
        <v>10</v>
      </c>
      <c r="M11927" s="25">
        <v>1296.1600000000001</v>
      </c>
      <c r="N11927" s="27">
        <v>0.99888979871520345</v>
      </c>
    </row>
    <row r="11928" spans="1:14" collapsed="1" x14ac:dyDescent="0.15">
      <c r="A11928" s="23" t="str">
        <f>HYPERLINK("https://www.spark-marketing.ru/Card/Person/80341", "МУ МВД РОССИИ ""СЫЗРАНСКОЕ""")</f>
        <v>МУ МВД РОССИИ "СЫЗРАНСКОЕ"</v>
      </c>
      <c r="B11928" s="24" t="s">
        <v>306</v>
      </c>
      <c r="C11928" s="25">
        <v>370781.25</v>
      </c>
      <c r="D11928" s="22" t="s">
        <v>16377</v>
      </c>
      <c r="E11928" s="22" t="s">
        <v>48</v>
      </c>
      <c r="F11928" s="23" t="str">
        <f>HYPERLINK("https://www.spark-marketing.ru/Card/Lot/72215796", "Оказание услуг по изготовлению и поставке горячего питания для лиц, содержащихся в Специальном приемнике МУ МВД России ""Сызранское""")</f>
        <v>Оказание услуг по изготовлению и поставке горячего питания для лиц, содержащихся в Специальном приемнике МУ МВД России "Сызранское"</v>
      </c>
      <c r="G11928" s="22" t="s">
        <v>128</v>
      </c>
      <c r="H11928" s="22" t="s">
        <v>308</v>
      </c>
      <c r="I11928" s="26">
        <v>43665.5246527778</v>
      </c>
      <c r="J11928" s="28" t="s">
        <v>51</v>
      </c>
      <c r="K11928" s="28" t="s">
        <v>51</v>
      </c>
      <c r="L11928" s="28" t="s">
        <v>51</v>
      </c>
      <c r="M11928" s="28" t="s">
        <v>51</v>
      </c>
      <c r="N11928" s="28" t="s">
        <v>51</v>
      </c>
    </row>
    <row r="11929" spans="1:14" hidden="1" outlineLevel="1" x14ac:dyDescent="0.2">
      <c r="A11929" s="23" t="str">
        <f>HYPERLINK("https://www.spark-marketing.ru/Card/Person/80341", "МУ МВД РОССИИ ""СЫЗРАНСКОЕ""")</f>
        <v>МУ МВД РОССИИ "СЫЗРАНСКОЕ"</v>
      </c>
      <c r="B11929" s="24" t="s">
        <v>306</v>
      </c>
      <c r="C11929" s="25">
        <v>370781.25</v>
      </c>
      <c r="D11929" s="22" t="s">
        <v>16377</v>
      </c>
      <c r="E11929" s="22" t="s">
        <v>48</v>
      </c>
      <c r="F11929" s="23" t="str">
        <f>HYPERLINK("https://www.spark-marketing.ru/Card/Lot/72215796", "Оказание услуг по изготовлению и поставке горячего питания для лиц, содержащихся в Специальном приемнике МУ МВД России ""Сызранское""")</f>
        <v>Оказание услуг по изготовлению и поставке горячего питания для лиц, содержащихся в Специальном приемнике МУ МВД России "Сызранское"</v>
      </c>
      <c r="G11929" s="22" t="s">
        <v>128</v>
      </c>
      <c r="H11929" s="22" t="s">
        <v>308</v>
      </c>
      <c r="I11929" s="26">
        <v>43665.5246527778</v>
      </c>
      <c r="J11929" s="23" t="str">
        <f>HYPERLINK("https://www.spark-marketing.ru/Card/Person/1240778", "ООО ""СТОЛОВАЯ 21""")</f>
        <v>ООО "СТОЛОВАЯ 21"</v>
      </c>
      <c r="K11929" s="24" t="s">
        <v>16292</v>
      </c>
      <c r="L11929" s="28" t="s">
        <v>51</v>
      </c>
      <c r="M11929" s="25">
        <v>111234.29</v>
      </c>
      <c r="N11929" s="27">
        <v>0.70000022924568062</v>
      </c>
    </row>
    <row r="11930" spans="1:14" ht="12.75" hidden="1" outlineLevel="1" x14ac:dyDescent="0.2">
      <c r="A11930" s="23" t="str">
        <f>HYPERLINK("https://www.spark-marketing.ru/Card/Person/80341", "МУ МВД РОССИИ ""СЫЗРАНСКОЕ""")</f>
        <v>МУ МВД РОССИИ "СЫЗРАНСКОЕ"</v>
      </c>
      <c r="B11930" s="24" t="s">
        <v>306</v>
      </c>
      <c r="C11930" s="25">
        <v>370781.25</v>
      </c>
      <c r="D11930" s="22" t="s">
        <v>16377</v>
      </c>
      <c r="E11930" s="22" t="s">
        <v>48</v>
      </c>
      <c r="F11930" s="23" t="str">
        <f>HYPERLINK("https://www.spark-marketing.ru/Card/Lot/72215796", "Оказание услуг по изготовлению и поставке горячего питания для лиц, содержащихся в Специальном приемнике МУ МВД России ""Сызранское""")</f>
        <v>Оказание услуг по изготовлению и поставке горячего питания для лиц, содержащихся в Специальном приемнике МУ МВД России "Сызранское"</v>
      </c>
      <c r="G11930" s="22" t="s">
        <v>128</v>
      </c>
      <c r="H11930" s="22" t="s">
        <v>308</v>
      </c>
      <c r="I11930" s="26">
        <v>43665.5246527778</v>
      </c>
      <c r="J11930" s="23" t="str">
        <f>HYPERLINK("https://www.spark-marketing.ru/Card/Person/2044050", "ООО ""22 АМБАР""")</f>
        <v>ООО "22 АМБАР"</v>
      </c>
      <c r="K11930" s="24" t="s">
        <v>6702</v>
      </c>
      <c r="L11930" s="22" t="s">
        <v>10</v>
      </c>
      <c r="M11930" s="25">
        <v>92695.23</v>
      </c>
      <c r="N11930" s="27">
        <v>0.75000022250316056</v>
      </c>
    </row>
    <row r="11931" spans="1:14" hidden="1" outlineLevel="1" x14ac:dyDescent="0.2">
      <c r="A11931" s="23" t="str">
        <f>HYPERLINK("https://www.spark-marketing.ru/Card/Person/80341", "МУ МВД РОССИИ ""СЫЗРАНСКОЕ""")</f>
        <v>МУ МВД РОССИИ "СЫЗРАНСКОЕ"</v>
      </c>
      <c r="B11931" s="24" t="s">
        <v>306</v>
      </c>
      <c r="C11931" s="25">
        <v>370781.25</v>
      </c>
      <c r="D11931" s="22" t="s">
        <v>16377</v>
      </c>
      <c r="E11931" s="22" t="s">
        <v>48</v>
      </c>
      <c r="F11931" s="23" t="str">
        <f>HYPERLINK("https://www.spark-marketing.ru/Card/Lot/72215796", "Оказание услуг по изготовлению и поставке горячего питания для лиц, содержащихся в Специальном приемнике МУ МВД России ""Сызранское""")</f>
        <v>Оказание услуг по изготовлению и поставке горячего питания для лиц, содержащихся в Специальном приемнике МУ МВД России "Сызранское"</v>
      </c>
      <c r="G11931" s="22" t="s">
        <v>128</v>
      </c>
      <c r="H11931" s="22" t="s">
        <v>308</v>
      </c>
      <c r="I11931" s="26">
        <v>43665.5246527778</v>
      </c>
      <c r="J11931" s="23" t="str">
        <f>HYPERLINK("https://www.spark-marketing.ru/Card/Person/2544469", "ООО ""ЛДМ ГРУПП""")</f>
        <v>ООО "ЛДМ ГРУПП"</v>
      </c>
      <c r="K11931" s="24" t="s">
        <v>6703</v>
      </c>
      <c r="L11931" s="28" t="s">
        <v>51</v>
      </c>
      <c r="M11931" s="25">
        <v>185390.61</v>
      </c>
      <c r="N11931" s="27">
        <v>0.50000004045512014</v>
      </c>
    </row>
    <row r="11932" spans="1:14" x14ac:dyDescent="0.15">
      <c r="A11932" s="23" t="str">
        <f>HYPERLINK("https://www.spark-marketing.ru/Card/Person/125680", "МО МВД РОССИИ ""КУРЧАТОВСКИЙ""")</f>
        <v>МО МВД РОССИИ "КУРЧАТОВСКИЙ"</v>
      </c>
      <c r="B11932" s="24" t="s">
        <v>6315</v>
      </c>
      <c r="C11932" s="25">
        <v>1519700</v>
      </c>
      <c r="D11932" s="22" t="s">
        <v>16378</v>
      </c>
      <c r="E11932" s="22" t="s">
        <v>96</v>
      </c>
      <c r="F11932" s="23" t="str">
        <f>HYPERLINK("https://www.spark-marketing.ru/Card/Lot/72224776", "Услуги по обеспечению питанием, лиц содержащихся в комнате содержания задержанных лиц и изоляторе временного содержания Межмуниципального отдела Министерства внутренних дел Российской Федерации «Курчатовский»")</f>
        <v>Услуги по обеспечению питанием, лиц содержащихся в комнате содержания задержанных лиц и изоляторе временного содержания Межмуниципального отдела Министерства внутренних дел Российской Федерации «Курчатовский»</v>
      </c>
      <c r="G11932" s="22" t="s">
        <v>1111</v>
      </c>
      <c r="H11932" s="22" t="s">
        <v>6317</v>
      </c>
      <c r="I11932" s="26">
        <v>43665.526597222197</v>
      </c>
      <c r="J11932" s="23" t="str">
        <f>HYPERLINK("https://www.spark-marketing.ru/Card/Person/671861", "ООО ""КОНГРЕСС""")</f>
        <v>ООО "КОНГРЕСС"</v>
      </c>
      <c r="K11932" s="24" t="s">
        <v>4512</v>
      </c>
      <c r="L11932" s="22" t="s">
        <v>10</v>
      </c>
      <c r="M11932" s="28" t="s">
        <v>51</v>
      </c>
      <c r="N11932" s="28" t="s">
        <v>51</v>
      </c>
    </row>
    <row r="11933" spans="1:14" x14ac:dyDescent="0.15">
      <c r="A11933" s="23" t="str">
        <f>HYPERLINK("https://www.spark-marketing.ru/Card/Person/4365627", "ООО ""РН-БУРЕНИЕ""")</f>
        <v>ООО "РН-БУРЕНИЕ"</v>
      </c>
      <c r="B11933" s="24" t="s">
        <v>7087</v>
      </c>
      <c r="C11933" s="25">
        <v>9000000</v>
      </c>
      <c r="D11933" s="22" t="s">
        <v>16379</v>
      </c>
      <c r="E11933" s="22" t="s">
        <v>2473</v>
      </c>
      <c r="F11933" s="23" t="str">
        <f>HYPERLINK("https://www.spark-marketing.ru/Card/Lot/72226820", "Услуги по доставке продуктов питания автомобильным транспортом до объектов работ Иркутского филиала на СБНГКМ для Иркутского филиала ООО ""РН-Бурение""")</f>
        <v>Услуги по доставке продуктов питания автомобильным транспортом до объектов работ Иркутского филиала на СБНГКМ для Иркутского филиала ООО "РН-Бурение"</v>
      </c>
      <c r="G11933" s="22" t="s">
        <v>56</v>
      </c>
      <c r="H11933" s="22" t="s">
        <v>56</v>
      </c>
      <c r="I11933" s="26">
        <v>43665.535416666702</v>
      </c>
      <c r="J11933" s="28" t="s">
        <v>51</v>
      </c>
      <c r="K11933" s="28" t="s">
        <v>51</v>
      </c>
      <c r="L11933" s="28" t="s">
        <v>51</v>
      </c>
      <c r="M11933" s="28" t="s">
        <v>51</v>
      </c>
      <c r="N11933" s="28" t="s">
        <v>51</v>
      </c>
    </row>
    <row r="11934" spans="1:14" x14ac:dyDescent="0.15">
      <c r="A11934" s="23" t="str">
        <f>HYPERLINK("https://www.spark-marketing.ru/Card/Person/1753904", "ГОАУ ""СШОР ""ОЛИМП""")</f>
        <v>ГОАУ "СШОР "ОЛИМП"</v>
      </c>
      <c r="B11934" s="24" t="s">
        <v>16380</v>
      </c>
      <c r="C11934" s="25">
        <v>665000</v>
      </c>
      <c r="D11934" s="22" t="s">
        <v>16381</v>
      </c>
      <c r="E11934" s="22" t="s">
        <v>362</v>
      </c>
      <c r="F11934" s="23" t="str">
        <f>HYPERLINK("https://www.spark-marketing.ru/Card/Lot/72227942", "Услуги общественного питания")</f>
        <v>Услуги общественного питания</v>
      </c>
      <c r="G11934" s="22" t="s">
        <v>849</v>
      </c>
      <c r="H11934" s="22" t="s">
        <v>849</v>
      </c>
      <c r="I11934" s="26">
        <v>43665.511250000003</v>
      </c>
      <c r="J11934" s="28" t="s">
        <v>51</v>
      </c>
      <c r="K11934" s="28" t="s">
        <v>51</v>
      </c>
      <c r="L11934" s="28" t="s">
        <v>51</v>
      </c>
      <c r="M11934" s="28" t="s">
        <v>51</v>
      </c>
      <c r="N11934" s="28" t="s">
        <v>51</v>
      </c>
    </row>
    <row r="11935" spans="1:14" x14ac:dyDescent="0.15">
      <c r="A11935" s="23" t="str">
        <f>HYPERLINK("https://www.spark-marketing.ru/Card/Person/1069565", "ОМВД РОССИИ ПО АЛЕКСАНДРОВСКОМУ РАЙОНУ")</f>
        <v>ОМВД РОССИИ ПО АЛЕКСАНДРОВСКОМУ РАЙОНУ</v>
      </c>
      <c r="B11935" s="24" t="s">
        <v>1010</v>
      </c>
      <c r="C11935" s="25">
        <v>1112379.51</v>
      </c>
      <c r="D11935" s="22" t="s">
        <v>16382</v>
      </c>
      <c r="E11935" s="22" t="s">
        <v>48</v>
      </c>
      <c r="F11935" s="23" t="str">
        <f>HYPERLINK("https://www.spark-marketing.ru/Card/Lot/72221137", "Услуги по обеспечению питания лиц, содержащихся в ИВС")</f>
        <v>Услуги по обеспечению питания лиц, содержащихся в ИВС</v>
      </c>
      <c r="G11935" s="22" t="s">
        <v>663</v>
      </c>
      <c r="H11935" s="22" t="s">
        <v>663</v>
      </c>
      <c r="I11935" s="26">
        <v>43665.506365740701</v>
      </c>
      <c r="J11935" s="23" t="str">
        <f>HYPERLINK("https://www.spark-marketing.ru/Card/Person/271456", "Лобанов Роман Юрьевич")</f>
        <v>Лобанов Роман Юрьевич</v>
      </c>
      <c r="K11935" s="24" t="s">
        <v>6745</v>
      </c>
      <c r="L11935" s="22" t="s">
        <v>10</v>
      </c>
      <c r="M11935" s="28" t="s">
        <v>51</v>
      </c>
      <c r="N11935" s="28" t="s">
        <v>51</v>
      </c>
    </row>
    <row r="11936" spans="1:14" x14ac:dyDescent="0.15">
      <c r="A11936" s="23" t="str">
        <f>HYPERLINK("https://www.spark-marketing.ru/Card/Person/57217", "ГБУ СШ № 2 КРАСНОГВАРДЕЙСКОГО РАЙОНА")</f>
        <v>ГБУ СШ № 2 КРАСНОГВАРДЕЙСКОГО РАЙОНА</v>
      </c>
      <c r="B11936" s="24" t="s">
        <v>2479</v>
      </c>
      <c r="C11936" s="25">
        <v>690198.84</v>
      </c>
      <c r="D11936" s="22" t="s">
        <v>16383</v>
      </c>
      <c r="E11936" s="22" t="s">
        <v>2481</v>
      </c>
      <c r="F11936" s="23" t="str">
        <f>HYPERLINK("https://www.spark-marketing.ru/Card/Lot/72218562", "Оказание услуг по проведению тренировочного мероприятия для Государственного бюджетного учреждения спортивная школа № 2 Красногвардейского района, для нужд Санкт-Петербурга в 2019 году")</f>
        <v>Оказание услуг по проведению тренировочного мероприятия для Государственного бюджетного учреждения спортивная школа № 2 Красногвардейского района, для нужд Санкт-Петербурга в 2019 году</v>
      </c>
      <c r="G11936" s="22" t="s">
        <v>162</v>
      </c>
      <c r="H11936" s="22" t="s">
        <v>163</v>
      </c>
      <c r="I11936" s="26">
        <v>43665.512893518498</v>
      </c>
      <c r="J11936" s="23" t="str">
        <f>HYPERLINK("https://www.spark-marketing.ru/Card/Person/4365631", "ФАУ МО РФ ЦСКА")</f>
        <v>ФАУ МО РФ ЦСКА</v>
      </c>
      <c r="K11936" s="24" t="s">
        <v>1823</v>
      </c>
      <c r="L11936" s="22" t="s">
        <v>10</v>
      </c>
      <c r="M11936" s="28" t="s">
        <v>51</v>
      </c>
      <c r="N11936" s="28" t="s">
        <v>51</v>
      </c>
    </row>
    <row r="11937" spans="1:14" x14ac:dyDescent="0.15">
      <c r="A11937" s="23" t="str">
        <f>HYPERLINK("https://www.spark-marketing.ru/Card/Person/1030331", "ГКУСО МО ""ЭЛЕКТРОСТАЛЬСКИЙ СРЦН ""ДОВЕРИЕ""")</f>
        <v>ГКУСО МО "ЭЛЕКТРОСТАЛЬСКИЙ СРЦН "ДОВЕРИЕ"</v>
      </c>
      <c r="B11937" s="24" t="s">
        <v>8217</v>
      </c>
      <c r="C11937" s="25">
        <v>93875.54</v>
      </c>
      <c r="D11937" s="22" t="s">
        <v>16384</v>
      </c>
      <c r="E11937" s="22" t="s">
        <v>48</v>
      </c>
      <c r="F11937" s="23" t="str">
        <f>HYPERLINK("https://www.spark-marketing.ru/Card/Lot/72214875", "Услуги по организации питания для организаций социального обслуживания")</f>
        <v>Услуги по организации питания для организаций социального обслуживания</v>
      </c>
      <c r="G11937" s="22" t="s">
        <v>49</v>
      </c>
      <c r="H11937" s="22" t="s">
        <v>742</v>
      </c>
      <c r="I11937" s="26">
        <v>43665.534328703703</v>
      </c>
      <c r="J11937" s="28" t="s">
        <v>51</v>
      </c>
      <c r="K11937" s="28" t="s">
        <v>51</v>
      </c>
      <c r="L11937" s="28" t="s">
        <v>51</v>
      </c>
      <c r="M11937" s="28" t="s">
        <v>51</v>
      </c>
      <c r="N11937" s="28" t="s">
        <v>51</v>
      </c>
    </row>
    <row r="11938" spans="1:14" x14ac:dyDescent="0.2">
      <c r="A11938" s="23" t="str">
        <f>HYPERLINK("https://www.spark-marketing.ru/Card/Person/301404", "ФГАУ ""ОК ""ШЕРЕМЕТЬЕВСКИЙ""")</f>
        <v>ФГАУ "ОК "ШЕРЕМЕТЬЕВСКИЙ"</v>
      </c>
      <c r="B11938" s="24" t="s">
        <v>9305</v>
      </c>
      <c r="C11938" s="25">
        <v>700000</v>
      </c>
      <c r="D11938" s="22" t="s">
        <v>16385</v>
      </c>
      <c r="E11938" s="22" t="s">
        <v>16386</v>
      </c>
      <c r="F11938" s="23" t="str">
        <f>HYPERLINK("https://www.spark-marketing.ru/Card/Lot/72228877", "Оказание услуг в сфере общественного питания дома отдыха ""Знамя Революции""")</f>
        <v>Оказание услуг в сфере общественного питания дома отдыха "Знамя Революции"</v>
      </c>
      <c r="G11938" s="22" t="s">
        <v>56</v>
      </c>
      <c r="H11938" s="22" t="s">
        <v>56</v>
      </c>
      <c r="I11938" s="26">
        <v>43665.496840277803</v>
      </c>
      <c r="J11938" s="28" t="s">
        <v>51</v>
      </c>
      <c r="K11938" s="28" t="s">
        <v>51</v>
      </c>
      <c r="L11938" s="28" t="s">
        <v>51</v>
      </c>
      <c r="M11938" s="25">
        <v>685600</v>
      </c>
      <c r="N11938" s="27">
        <v>2.057142857142857E-2</v>
      </c>
    </row>
    <row r="11939" spans="1:14" collapsed="1" x14ac:dyDescent="0.15">
      <c r="A11939" s="23" t="str">
        <f>HYPERLINK("https://www.spark-marketing.ru/Card/Person/64293", "ОТДЕЛ МВД РОССИИ ПО ПЕРМСКОМУ РАЙОНУ")</f>
        <v>ОТДЕЛ МВД РОССИИ ПО ПЕРМСКОМУ РАЙОНУ</v>
      </c>
      <c r="B11939" s="24" t="s">
        <v>3979</v>
      </c>
      <c r="C11939" s="25">
        <v>960000</v>
      </c>
      <c r="D11939" s="22" t="s">
        <v>16387</v>
      </c>
      <c r="E11939" s="22" t="s">
        <v>48</v>
      </c>
      <c r="F11939" s="23" t="str">
        <f>HYPERLINK("https://www.spark-marketing.ru/Card/Lot/72212210", "Услуги по организации и приготовлению питания для лиц, содержащихся в Изоляторе временного содержания Отдела МВД России по Пермскому району.")</f>
        <v>Услуги по организации и приготовлению питания для лиц, содержащихся в Изоляторе временного содержания Отдела МВД России по Пермскому району.</v>
      </c>
      <c r="G11939" s="22" t="s">
        <v>153</v>
      </c>
      <c r="H11939" s="22" t="s">
        <v>3981</v>
      </c>
      <c r="I11939" s="26">
        <v>43665.492986111101</v>
      </c>
      <c r="J11939" s="23" t="str">
        <f>HYPERLINK("https://www.spark-marketing.ru/Card/Person/64274", "Минрахманова Ирина Вячеславовна")</f>
        <v>Минрахманова Ирина Вячеславовна</v>
      </c>
      <c r="K11939" s="24" t="s">
        <v>16388</v>
      </c>
      <c r="L11939" s="28" t="s">
        <v>51</v>
      </c>
      <c r="M11939" s="28" t="s">
        <v>51</v>
      </c>
      <c r="N11939" s="28" t="s">
        <v>51</v>
      </c>
    </row>
    <row r="11940" spans="1:14" ht="12.75" hidden="1" outlineLevel="1" x14ac:dyDescent="0.2">
      <c r="A11940" s="23" t="str">
        <f>HYPERLINK("https://www.spark-marketing.ru/Card/Person/64293", "ОТДЕЛ МВД РОССИИ ПО ПЕРМСКОМУ РАЙОНУ")</f>
        <v>ОТДЕЛ МВД РОССИИ ПО ПЕРМСКОМУ РАЙОНУ</v>
      </c>
      <c r="B11940" s="24" t="s">
        <v>3979</v>
      </c>
      <c r="C11940" s="25">
        <v>960000</v>
      </c>
      <c r="D11940" s="22" t="s">
        <v>16387</v>
      </c>
      <c r="E11940" s="22" t="s">
        <v>48</v>
      </c>
      <c r="F11940" s="23" t="str">
        <f>HYPERLINK("https://www.spark-marketing.ru/Card/Lot/72212210", "Услуги по организации и приготовлению питания для лиц, содержащихся в Изоляторе временного содержания Отдела МВД России по Пермскому району.")</f>
        <v>Услуги по организации и приготовлению питания для лиц, содержащихся в Изоляторе временного содержания Отдела МВД России по Пермскому району.</v>
      </c>
      <c r="G11940" s="22" t="s">
        <v>153</v>
      </c>
      <c r="H11940" s="22" t="s">
        <v>3981</v>
      </c>
      <c r="I11940" s="26">
        <v>43665.492986111101</v>
      </c>
      <c r="J11940" s="23" t="str">
        <f>HYPERLINK("https://www.spark-marketing.ru/Card/Person/64274", "Минрахманова Ирина Вячеславовна")</f>
        <v>Минрахманова Ирина Вячеславовна</v>
      </c>
      <c r="K11940" s="24" t="s">
        <v>16388</v>
      </c>
      <c r="L11940" s="22" t="s">
        <v>10</v>
      </c>
      <c r="M11940" s="25">
        <v>1077.9100000000001</v>
      </c>
      <c r="N11940" s="27">
        <v>0.99887717708333335</v>
      </c>
    </row>
    <row r="11941" spans="1:14" collapsed="1" x14ac:dyDescent="0.15">
      <c r="A11941" s="23" t="str">
        <f>HYPERLINK("https://www.spark-marketing.ru/Card/Person/34132", "СПБ ГБПОУ ""УОР № 1""")</f>
        <v>СПБ ГБПОУ "УОР № 1"</v>
      </c>
      <c r="B11941" s="24" t="s">
        <v>632</v>
      </c>
      <c r="C11941" s="25">
        <v>755874.72</v>
      </c>
      <c r="D11941" s="22" t="s">
        <v>16389</v>
      </c>
      <c r="E11941" s="22" t="s">
        <v>374</v>
      </c>
      <c r="F11941" s="23" t="str">
        <f>HYPERLINK("https://www.spark-marketing.ru/Card/Lot/72214766", "Обеспечение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 сооружения для от...")</f>
        <v>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 сооружения для от...</v>
      </c>
      <c r="G11941" s="22" t="s">
        <v>117</v>
      </c>
      <c r="H11941" s="22" t="s">
        <v>117</v>
      </c>
      <c r="I11941" s="26">
        <v>43665.488136574102</v>
      </c>
      <c r="J11941" s="23" t="str">
        <f>HYPERLINK("https://www.spark-marketing.ru/Card/Person/1318505", "ООО "" СПОРТИВНЫЙ КЛУБ ""КАЙМАН""")</f>
        <v>ООО " СПОРТИВНЫЙ КЛУБ "КАЙМАН"</v>
      </c>
      <c r="K11941" s="24" t="s">
        <v>4580</v>
      </c>
      <c r="L11941" s="28" t="s">
        <v>51</v>
      </c>
      <c r="M11941" s="28" t="s">
        <v>51</v>
      </c>
      <c r="N11941" s="28" t="s">
        <v>51</v>
      </c>
    </row>
    <row r="11942" spans="1:14" ht="12.75" hidden="1" outlineLevel="1" x14ac:dyDescent="0.2">
      <c r="A11942" s="23" t="str">
        <f>HYPERLINK("https://www.spark-marketing.ru/Card/Person/34132", "СПБ ГБПОУ ""УОР № 1""")</f>
        <v>СПБ ГБПОУ "УОР № 1"</v>
      </c>
      <c r="B11942" s="24" t="s">
        <v>632</v>
      </c>
      <c r="C11942" s="25">
        <v>755874.72</v>
      </c>
      <c r="D11942" s="22" t="s">
        <v>16389</v>
      </c>
      <c r="E11942" s="22" t="s">
        <v>374</v>
      </c>
      <c r="F11942" s="23" t="str">
        <f>HYPERLINK("https://www.spark-marketing.ru/Card/Lot/72214766", "Обеспечение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 сооружения для от...")</f>
        <v>Обеспечение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 сооружения для от...</v>
      </c>
      <c r="G11942" s="22" t="s">
        <v>117</v>
      </c>
      <c r="H11942" s="22" t="s">
        <v>117</v>
      </c>
      <c r="I11942" s="26">
        <v>43665.488136574102</v>
      </c>
      <c r="J11942" s="23" t="str">
        <f>HYPERLINK("https://www.spark-marketing.ru/Card/Person/1318505", "ООО "" СПОРТИВНЫЙ КЛУБ ""КАЙМАН""")</f>
        <v>ООО " СПОРТИВНЫЙ КЛУБ "КАЙМАН"</v>
      </c>
      <c r="K11942" s="24" t="s">
        <v>4580</v>
      </c>
      <c r="L11942" s="22" t="s">
        <v>10</v>
      </c>
      <c r="M11942" s="25">
        <v>752095.35</v>
      </c>
      <c r="N11942" s="27">
        <v>4.9999952373059918E-3</v>
      </c>
    </row>
    <row r="11943" spans="1:14" x14ac:dyDescent="0.15">
      <c r="A11943" s="23" t="str">
        <f>HYPERLINK("https://www.spark-marketing.ru/Card/Person/162677", "ОМВД РОССИИ ПО ВЯЗЕМСКОМУ РАЙОНУ")</f>
        <v>ОМВД РОССИИ ПО ВЯЗЕМСКОМУ РАЙОНУ</v>
      </c>
      <c r="B11943" s="24" t="s">
        <v>12633</v>
      </c>
      <c r="C11943" s="25">
        <v>200740</v>
      </c>
      <c r="D11943" s="22" t="s">
        <v>16390</v>
      </c>
      <c r="E11943" s="22" t="s">
        <v>48</v>
      </c>
      <c r="F11943" s="23" t="str">
        <f>HYPERLINK("https://www.spark-marketing.ru/Card/Lot/72203693", "Оказание услуг по организации питания граждан, содержащихся в ИВС")</f>
        <v>Оказание услуг по организации питания граждан, содержащихся в ИВС</v>
      </c>
      <c r="G11943" s="22" t="s">
        <v>1096</v>
      </c>
      <c r="H11943" s="22" t="s">
        <v>1096</v>
      </c>
      <c r="I11943" s="26">
        <v>43665.485659722202</v>
      </c>
      <c r="J11943" s="28" t="s">
        <v>51</v>
      </c>
      <c r="K11943" s="28" t="s">
        <v>51</v>
      </c>
      <c r="L11943" s="28" t="s">
        <v>51</v>
      </c>
      <c r="M11943" s="28" t="s">
        <v>51</v>
      </c>
      <c r="N11943" s="28" t="s">
        <v>51</v>
      </c>
    </row>
    <row r="11944" spans="1:14" x14ac:dyDescent="0.15">
      <c r="A11944" s="23" t="str">
        <f>HYPERLINK("https://www.spark-marketing.ru/Card/Person/148123", "МБОУ ""СРЕДНЯЯ ШКОЛА № 10""")</f>
        <v>МБОУ "СРЕДНЯЯ ШКОЛА № 10"</v>
      </c>
      <c r="B11944" s="24" t="s">
        <v>16391</v>
      </c>
      <c r="C11944" s="25">
        <v>2364720.88</v>
      </c>
      <c r="D11944" s="22" t="s">
        <v>16392</v>
      </c>
      <c r="E11944" s="22" t="s">
        <v>51</v>
      </c>
      <c r="F11944" s="23" t="str">
        <f>HYPERLINK("https://www.spark-marketing.ru/Card/Lot/72202266", "Услуги по организации, приготовлению и последующей доставке горячего питания")</f>
        <v>Услуги по организации, приготовлению и последующей доставке горячего питания</v>
      </c>
      <c r="G11944" s="22" t="s">
        <v>246</v>
      </c>
      <c r="H11944" s="22" t="s">
        <v>247</v>
      </c>
      <c r="I11944" s="26">
        <v>43665.490509259304</v>
      </c>
      <c r="J11944" s="23" t="str">
        <f>HYPERLINK("https://www.spark-marketing.ru/Card/Person/114050", "Чиботэрикэ Светлана Ивановна")</f>
        <v>Чиботэрикэ Светлана Ивановна</v>
      </c>
      <c r="K11944" s="24" t="s">
        <v>10021</v>
      </c>
      <c r="L11944" s="22" t="s">
        <v>10</v>
      </c>
      <c r="M11944" s="28" t="s">
        <v>51</v>
      </c>
      <c r="N11944" s="28" t="s">
        <v>51</v>
      </c>
    </row>
    <row r="11945" spans="1:14" collapsed="1" x14ac:dyDescent="0.15">
      <c r="A11945" s="23" t="str">
        <f>HYPERLINK("https://www.spark-marketing.ru/Card/Person/1005205", "МБДОУ ""ЦРР - ДЕТСКИЙ САД № 2""")</f>
        <v>МБДОУ "ЦРР - ДЕТСКИЙ САД № 2"</v>
      </c>
      <c r="B11945" s="24" t="s">
        <v>16393</v>
      </c>
      <c r="C11945" s="25">
        <v>2730036.96</v>
      </c>
      <c r="D11945" s="22" t="s">
        <v>16394</v>
      </c>
      <c r="E11945" s="22" t="s">
        <v>96</v>
      </c>
      <c r="F11945" s="23" t="str">
        <f>HYPERLINK("https://www.spark-marketing.ru/Card/Lot/72208871", "Оказание услуг по организации горячего питания для воспитанников")</f>
        <v>Оказание услуг по организации горячего питания для воспитанников</v>
      </c>
      <c r="G11945" s="22" t="s">
        <v>153</v>
      </c>
      <c r="H11945" s="22" t="s">
        <v>153</v>
      </c>
      <c r="I11945" s="26">
        <v>43665.499305555597</v>
      </c>
      <c r="J11945" s="28" t="s">
        <v>51</v>
      </c>
      <c r="K11945" s="28" t="s">
        <v>51</v>
      </c>
      <c r="L11945" s="28" t="s">
        <v>51</v>
      </c>
      <c r="M11945" s="28" t="s">
        <v>51</v>
      </c>
      <c r="N11945" s="28" t="s">
        <v>51</v>
      </c>
    </row>
    <row r="11946" spans="1:14" hidden="1" outlineLevel="1" x14ac:dyDescent="0.2">
      <c r="A11946" s="23" t="str">
        <f>HYPERLINK("https://www.spark-marketing.ru/Card/Person/1005205", "МБДОУ ""ЦРР - ДЕТСКИЙ САД № 2""")</f>
        <v>МБДОУ "ЦРР - ДЕТСКИЙ САД № 2"</v>
      </c>
      <c r="B11946" s="24" t="s">
        <v>16393</v>
      </c>
      <c r="C11946" s="25">
        <v>2730036.96</v>
      </c>
      <c r="D11946" s="22" t="s">
        <v>16394</v>
      </c>
      <c r="E11946" s="22" t="s">
        <v>96</v>
      </c>
      <c r="F11946" s="23" t="str">
        <f>HYPERLINK("https://www.spark-marketing.ru/Card/Lot/72208871", "Оказание услуг по организации горячего питания для воспитанников")</f>
        <v>Оказание услуг по организации горячего питания для воспитанников</v>
      </c>
      <c r="G11946" s="22" t="s">
        <v>153</v>
      </c>
      <c r="H11946" s="22" t="s">
        <v>153</v>
      </c>
      <c r="I11946" s="26">
        <v>43665.499305555597</v>
      </c>
      <c r="J11946" s="23" t="str">
        <f>HYPERLINK("https://www.spark-marketing.ru/Card/Person/1016854", "МБУ ""КОМБИНАТ ПИТАНИЯ""")</f>
        <v>МБУ "КОМБИНАТ ПИТАНИЯ"</v>
      </c>
      <c r="K11946" s="24" t="s">
        <v>6224</v>
      </c>
      <c r="L11946" s="28" t="s">
        <v>51</v>
      </c>
      <c r="M11946" s="25">
        <v>2724120</v>
      </c>
      <c r="N11946" s="27">
        <v>2.1673552727286154E-3</v>
      </c>
    </row>
    <row r="11947" spans="1:14" ht="12.75" hidden="1" outlineLevel="1" x14ac:dyDescent="0.2">
      <c r="A11947" s="23" t="str">
        <f>HYPERLINK("https://www.spark-marketing.ru/Card/Person/1005205", "МБДОУ ""ЦРР - ДЕТСКИЙ САД № 2""")</f>
        <v>МБДОУ "ЦРР - ДЕТСКИЙ САД № 2"</v>
      </c>
      <c r="B11947" s="24" t="s">
        <v>16393</v>
      </c>
      <c r="C11947" s="25">
        <v>2730036.96</v>
      </c>
      <c r="D11947" s="22" t="s">
        <v>16394</v>
      </c>
      <c r="E11947" s="22" t="s">
        <v>96</v>
      </c>
      <c r="F11947" s="23" t="str">
        <f>HYPERLINK("https://www.spark-marketing.ru/Card/Lot/72208871", "Оказание услуг по организации горячего питания для воспитанников")</f>
        <v>Оказание услуг по организации горячего питания для воспитанников</v>
      </c>
      <c r="G11947" s="22" t="s">
        <v>153</v>
      </c>
      <c r="H11947" s="22" t="s">
        <v>153</v>
      </c>
      <c r="I11947" s="26">
        <v>43665.499305555597</v>
      </c>
      <c r="J11947" s="23" t="str">
        <f>HYPERLINK("https://www.spark-marketing.ru/Card/Person/788397", "Меньшатов Станислав Николаевич")</f>
        <v>Меньшатов Станислав Николаевич</v>
      </c>
      <c r="K11947" s="24" t="s">
        <v>6223</v>
      </c>
      <c r="L11947" s="22" t="s">
        <v>10</v>
      </c>
      <c r="M11947" s="25">
        <v>2637215.7000000002</v>
      </c>
      <c r="N11947" s="27">
        <v>3.4000001230752565E-2</v>
      </c>
    </row>
    <row r="11948" spans="1:14" x14ac:dyDescent="0.15">
      <c r="A11948" s="23" t="str">
        <f>HYPERLINK("https://www.spark-marketing.ru/Card/Person/9315", "МУ МВД РОССИИ ""ОРЕНБУРГСКОЕ""")</f>
        <v>МУ МВД РОССИИ "ОРЕНБУРГСКОЕ"</v>
      </c>
      <c r="B11948" s="24" t="s">
        <v>8227</v>
      </c>
      <c r="C11948" s="25">
        <v>828727.06</v>
      </c>
      <c r="D11948" s="22" t="s">
        <v>16395</v>
      </c>
      <c r="E11948" s="22" t="s">
        <v>48</v>
      </c>
      <c r="F11948" s="23" t="str">
        <f>HYPERLINK("https://www.spark-marketing.ru/Card/Lot/72218525", "Оказание услуг по предоставлению горячего,  готового трехразового питания для лиц, находящихся  в Изоляторе временного содержания МУ МВД России ""Оренбургское""")</f>
        <v>Оказание услуг по предоставлению горячего,  готового трехразового питания для лиц, находящихся  в Изоляторе временного содержания МУ МВД России "Оренбургское"</v>
      </c>
      <c r="G11948" s="22" t="s">
        <v>132</v>
      </c>
      <c r="H11948" s="22" t="s">
        <v>587</v>
      </c>
      <c r="I11948" s="26">
        <v>43665.460092592599</v>
      </c>
      <c r="J11948" s="23" t="str">
        <f>HYPERLINK("https://www.spark-marketing.ru/Card/Person/415003", "ООО ""ПИТАНИЕ""")</f>
        <v>ООО "ПИТАНИЕ"</v>
      </c>
      <c r="K11948" s="24" t="s">
        <v>2714</v>
      </c>
      <c r="L11948" s="22" t="s">
        <v>10</v>
      </c>
      <c r="M11948" s="28" t="s">
        <v>51</v>
      </c>
      <c r="N11948" s="28" t="s">
        <v>51</v>
      </c>
    </row>
    <row r="11949" spans="1:14" x14ac:dyDescent="0.15">
      <c r="A11949" s="23" t="str">
        <f>HYPERLINK("https://www.spark-marketing.ru/Card/Person/881204", "ОТДЕЛ МВД РОССИИ ПО БЕЛОГЛИНСКОМУ РАЙОНУ")</f>
        <v>ОТДЕЛ МВД РОССИИ ПО БЕЛОГЛИНСКОМУ РАЙОНУ</v>
      </c>
      <c r="B11949" s="24" t="s">
        <v>3343</v>
      </c>
      <c r="C11949" s="25">
        <v>238640</v>
      </c>
      <c r="D11949" s="22" t="s">
        <v>16396</v>
      </c>
      <c r="E11949" s="22" t="s">
        <v>96</v>
      </c>
      <c r="F11949" s="23" t="str">
        <f>HYPERLINK("https://www.spark-marketing.ru/Card/Lot/72216198", "организация питания ивс")</f>
        <v>организация питания ивс</v>
      </c>
      <c r="G11949" s="22" t="s">
        <v>104</v>
      </c>
      <c r="H11949" s="22" t="s">
        <v>3345</v>
      </c>
      <c r="I11949" s="26">
        <v>43665.499525462998</v>
      </c>
      <c r="J11949" s="23" t="str">
        <f>HYPERLINK("https://www.spark-marketing.ru/Card/Person/6675601", "Ефремова Виктория Алексеевна")</f>
        <v>Ефремова Виктория Алексеевна</v>
      </c>
      <c r="K11949" s="24" t="s">
        <v>3346</v>
      </c>
      <c r="L11949" s="22" t="s">
        <v>10</v>
      </c>
      <c r="M11949" s="28" t="s">
        <v>51</v>
      </c>
      <c r="N11949" s="28" t="s">
        <v>51</v>
      </c>
    </row>
    <row r="11950" spans="1:14" x14ac:dyDescent="0.15">
      <c r="A11950" s="23" t="str">
        <f>HYPERLINK("https://www.spark-marketing.ru/Card/Person/6842", "МЕЖМУНИЦИПАЛЬНОЕ УПРАВЛЕНИЕ МВД РОССИИ ПО ЗАТО Г. ЖЕЛЕЗНОГОРСК")</f>
        <v>МЕЖМУНИЦИПАЛЬНОЕ УПРАВЛЕНИЕ МВД РОССИИ ПО ЗАТО Г. ЖЕЛЕЗНОГОРСК</v>
      </c>
      <c r="B11950" s="24" t="s">
        <v>16397</v>
      </c>
      <c r="C11950" s="25">
        <v>23000</v>
      </c>
      <c r="D11950" s="22" t="s">
        <v>16398</v>
      </c>
      <c r="E11950" s="22" t="s">
        <v>48</v>
      </c>
      <c r="F11950" s="23" t="str">
        <f>HYPERLINK("https://www.spark-marketing.ru/Card/Lot/72211877",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1950" s="22" t="s">
        <v>281</v>
      </c>
      <c r="H11950" s="22" t="s">
        <v>5821</v>
      </c>
      <c r="I11950" s="26">
        <v>43665.497488425899</v>
      </c>
      <c r="J11950" s="28" t="s">
        <v>51</v>
      </c>
      <c r="K11950" s="28" t="s">
        <v>51</v>
      </c>
      <c r="L11950" s="28" t="s">
        <v>51</v>
      </c>
      <c r="M11950" s="28" t="s">
        <v>51</v>
      </c>
      <c r="N11950" s="28" t="s">
        <v>51</v>
      </c>
    </row>
    <row r="11951" spans="1:14" x14ac:dyDescent="0.15">
      <c r="A11951" s="23" t="str">
        <f>HYPERLINK("https://www.spark-marketing.ru/Card/Person/240313", "ФГКУ СМО ГУ МЧС РОССИИ ПО РК")</f>
        <v>ФГКУ СМО ГУ МЧС РОССИИ ПО РК</v>
      </c>
      <c r="B11951" s="24" t="s">
        <v>3245</v>
      </c>
      <c r="C11951" s="25">
        <v>121800</v>
      </c>
      <c r="D11951" s="22" t="s">
        <v>16399</v>
      </c>
      <c r="E11951" s="22" t="s">
        <v>48</v>
      </c>
      <c r="F11951" s="23" t="str">
        <f>HYPERLINK("https://www.spark-marketing.ru/Card/Lot/72207879",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1951" s="22" t="s">
        <v>108</v>
      </c>
      <c r="H11951" s="22" t="s">
        <v>344</v>
      </c>
      <c r="I11951" s="26">
        <v>43665.421585648102</v>
      </c>
      <c r="J11951" s="28" t="s">
        <v>51</v>
      </c>
      <c r="K11951" s="28" t="s">
        <v>51</v>
      </c>
      <c r="L11951" s="28" t="s">
        <v>51</v>
      </c>
      <c r="M11951" s="28" t="s">
        <v>51</v>
      </c>
      <c r="N11951" s="28" t="s">
        <v>51</v>
      </c>
    </row>
    <row r="11952" spans="1:14" x14ac:dyDescent="0.15">
      <c r="A11952" s="23" t="str">
        <f>HYPERLINK("https://www.spark-marketing.ru/Card/Person/1069966", "МКУ ГОРОДА ТОГУЧИНА ""ФСК ЛОКОМОТИВ""")</f>
        <v>МКУ ГОРОДА ТОГУЧИНА "ФСК ЛОКОМОТИВ"</v>
      </c>
      <c r="B11952" s="24" t="s">
        <v>16400</v>
      </c>
      <c r="C11952" s="25">
        <v>37374.400000000001</v>
      </c>
      <c r="D11952" s="22" t="s">
        <v>16401</v>
      </c>
      <c r="E11952" s="22" t="s">
        <v>48</v>
      </c>
      <c r="F11952" s="23" t="str">
        <f>HYPERLINK("https://www.spark-marketing.ru/Card/Lot/72211094", "Оказание услуг по организации питания")</f>
        <v>Оказание услуг по организации питания</v>
      </c>
      <c r="G11952" s="22" t="s">
        <v>195</v>
      </c>
      <c r="H11952" s="22" t="s">
        <v>16402</v>
      </c>
      <c r="I11952" s="26">
        <v>43665.456250000003</v>
      </c>
      <c r="J11952" s="28" t="s">
        <v>51</v>
      </c>
      <c r="K11952" s="28" t="s">
        <v>51</v>
      </c>
      <c r="L11952" s="28" t="s">
        <v>51</v>
      </c>
      <c r="M11952" s="28" t="s">
        <v>51</v>
      </c>
      <c r="N11952" s="28" t="s">
        <v>51</v>
      </c>
    </row>
    <row r="11953" spans="1:14" collapsed="1" x14ac:dyDescent="0.15">
      <c r="A11953" s="23" t="str">
        <f>HYPERLINK("https://www.spark-marketing.ru/Card/Person/735183", "ФКУ ""ЦУКС ГУ МЧС РОССИИ ПО РЕСПУБЛИКЕ МАРИЙ ЭЛ""")</f>
        <v>ФКУ "ЦУКС ГУ МЧС РОССИИ ПО РЕСПУБЛИКЕ МАРИЙ ЭЛ"</v>
      </c>
      <c r="B11953" s="24" t="s">
        <v>16403</v>
      </c>
      <c r="C11953" s="25">
        <v>714000</v>
      </c>
      <c r="D11953" s="22" t="s">
        <v>16404</v>
      </c>
      <c r="E11953" s="22" t="s">
        <v>48</v>
      </c>
      <c r="F11953" s="23" t="str">
        <f>HYPERLINK("https://www.spark-marketing.ru/Card/Lot/72214274", "Оказание услуг горячего питания")</f>
        <v>Оказание услуг горячего питания</v>
      </c>
      <c r="G11953" s="22" t="s">
        <v>3249</v>
      </c>
      <c r="H11953" s="22" t="s">
        <v>3250</v>
      </c>
      <c r="I11953" s="26">
        <v>43665.457534722198</v>
      </c>
      <c r="J11953" s="28" t="s">
        <v>51</v>
      </c>
      <c r="K11953" s="28" t="s">
        <v>51</v>
      </c>
      <c r="L11953" s="28" t="s">
        <v>51</v>
      </c>
      <c r="M11953" s="28" t="s">
        <v>51</v>
      </c>
      <c r="N11953" s="28" t="s">
        <v>51</v>
      </c>
    </row>
    <row r="11954" spans="1:14" ht="12.75" hidden="1" outlineLevel="1" x14ac:dyDescent="0.2">
      <c r="A11954" s="23" t="str">
        <f>HYPERLINK("https://www.spark-marketing.ru/Card/Person/735183", "ФКУ ""ЦУКС ГУ МЧС РОССИИ ПО РЕСПУБЛИКЕ МАРИЙ ЭЛ""")</f>
        <v>ФКУ "ЦУКС ГУ МЧС РОССИИ ПО РЕСПУБЛИКЕ МАРИЙ ЭЛ"</v>
      </c>
      <c r="B11954" s="24" t="s">
        <v>16403</v>
      </c>
      <c r="C11954" s="25">
        <v>714000</v>
      </c>
      <c r="D11954" s="22" t="s">
        <v>16404</v>
      </c>
      <c r="E11954" s="22" t="s">
        <v>48</v>
      </c>
      <c r="F11954" s="23" t="str">
        <f>HYPERLINK("https://www.spark-marketing.ru/Card/Lot/72214274", "Оказание услуг горячего питания")</f>
        <v>Оказание услуг горячего питания</v>
      </c>
      <c r="G11954" s="22" t="s">
        <v>3249</v>
      </c>
      <c r="H11954" s="22" t="s">
        <v>3250</v>
      </c>
      <c r="I11954" s="26">
        <v>43665.457534722198</v>
      </c>
      <c r="J11954" s="23" t="str">
        <f>HYPERLINK("https://www.spark-marketing.ru/Card/Person/2503411", "ООО ""МЦ""")</f>
        <v>ООО "МЦ"</v>
      </c>
      <c r="K11954" s="24" t="s">
        <v>9454</v>
      </c>
      <c r="L11954" s="22" t="s">
        <v>10</v>
      </c>
      <c r="M11954" s="25">
        <v>674730</v>
      </c>
      <c r="N11954" s="27">
        <v>5.5E-2</v>
      </c>
    </row>
    <row r="11955" spans="1:14" hidden="1" outlineLevel="1" x14ac:dyDescent="0.2">
      <c r="A11955" s="23" t="str">
        <f>HYPERLINK("https://www.spark-marketing.ru/Card/Person/735183", "ФКУ ""ЦУКС ГУ МЧС РОССИИ ПО РЕСПУБЛИКЕ МАРИЙ ЭЛ""")</f>
        <v>ФКУ "ЦУКС ГУ МЧС РОССИИ ПО РЕСПУБЛИКЕ МАРИЙ ЭЛ"</v>
      </c>
      <c r="B11955" s="24" t="s">
        <v>16403</v>
      </c>
      <c r="C11955" s="25">
        <v>714000</v>
      </c>
      <c r="D11955" s="22" t="s">
        <v>16404</v>
      </c>
      <c r="E11955" s="22" t="s">
        <v>48</v>
      </c>
      <c r="F11955" s="23" t="str">
        <f>HYPERLINK("https://www.spark-marketing.ru/Card/Lot/72214274", "Оказание услуг горячего питания")</f>
        <v>Оказание услуг горячего питания</v>
      </c>
      <c r="G11955" s="22" t="s">
        <v>3249</v>
      </c>
      <c r="H11955" s="22" t="s">
        <v>3250</v>
      </c>
      <c r="I11955" s="26">
        <v>43665.457534722198</v>
      </c>
      <c r="J11955" s="23" t="str">
        <f>HYPERLINK("https://www.spark-marketing.ru/Card/Person/1118415", "ПО ""АКПАРС""")</f>
        <v>ПО "АКПАРС"</v>
      </c>
      <c r="K11955" s="24" t="s">
        <v>16405</v>
      </c>
      <c r="L11955" s="28" t="s">
        <v>51</v>
      </c>
      <c r="M11955" s="25">
        <v>678300</v>
      </c>
      <c r="N11955" s="27">
        <v>0.05</v>
      </c>
    </row>
    <row r="11956" spans="1:14" x14ac:dyDescent="0.15">
      <c r="A11956" s="23" t="str">
        <f>HYPERLINK("https://www.spark-marketing.ru/Card/Person/1034131", "МЕЖМУНИЦИПАЛЬНЫЙ ОТДЕЛ МВД РОССИИ ""ТУРОЧАКСКИЙ""")</f>
        <v>МЕЖМУНИЦИПАЛЬНЫЙ ОТДЕЛ МВД РОССИИ "ТУРОЧАКСКИЙ"</v>
      </c>
      <c r="B11956" s="24" t="s">
        <v>14014</v>
      </c>
      <c r="C11956" s="25">
        <v>80636.990000000005</v>
      </c>
      <c r="D11956" s="22" t="s">
        <v>16406</v>
      </c>
      <c r="E11956" s="22" t="s">
        <v>48</v>
      </c>
      <c r="F11956" s="23" t="str">
        <f>HYPERLINK("https://www.spark-marketing.ru/Card/Lot/72204556", "Питание лиц задержанных за административное правонарушение")</f>
        <v>Питание лиц задержанных за административное правонарушение</v>
      </c>
      <c r="G11956" s="22" t="s">
        <v>1141</v>
      </c>
      <c r="H11956" s="22" t="s">
        <v>14016</v>
      </c>
      <c r="I11956" s="26">
        <v>43665.428055555603</v>
      </c>
      <c r="J11956" s="23" t="str">
        <f>HYPERLINK("https://www.spark-marketing.ru/Card/Person/1652740", "Куньщикова Евгения Егоровна")</f>
        <v>Куньщикова Евгения Егоровна</v>
      </c>
      <c r="K11956" s="24" t="s">
        <v>14019</v>
      </c>
      <c r="L11956" s="22" t="s">
        <v>10</v>
      </c>
      <c r="M11956" s="28" t="s">
        <v>51</v>
      </c>
      <c r="N11956" s="28" t="s">
        <v>51</v>
      </c>
    </row>
    <row r="11957" spans="1:14" x14ac:dyDescent="0.15">
      <c r="A11957" s="23" t="str">
        <f>HYPERLINK("https://www.spark-marketing.ru/Card/Person/1050159", "МБОУ ""СШ № 21 ИМ. Н.И. РЫЛЕНКОВА""")</f>
        <v>МБОУ "СШ № 21 ИМ. Н.И. РЫЛЕНКОВА"</v>
      </c>
      <c r="B11957" s="24" t="s">
        <v>16407</v>
      </c>
      <c r="C11957" s="25">
        <v>1299904</v>
      </c>
      <c r="D11957" s="22" t="s">
        <v>16408</v>
      </c>
      <c r="E11957" s="22" t="s">
        <v>48</v>
      </c>
      <c r="F11957" s="23" t="str">
        <f>HYPERLINK("https://www.spark-marketing.ru/Card/Lot/72212809", "Оказание услуг по организации горячего питания и обеспечению горячим питанием учащихся МБОУ ""СШ № 21 им. Н.И. Рыленкова""")</f>
        <v>Оказание услуг по организации горячего питания и обеспечению горячим питанием учащихся МБОУ "СШ № 21 им. Н.И. Рыленкова"</v>
      </c>
      <c r="G11957" s="22" t="s">
        <v>460</v>
      </c>
      <c r="H11957" s="22" t="s">
        <v>461</v>
      </c>
      <c r="I11957" s="26">
        <v>43665.448275463001</v>
      </c>
      <c r="J11957" s="23" t="str">
        <f>HYPERLINK("https://www.spark-marketing.ru/Card/Person/836702", "МУП ""КСП""")</f>
        <v>МУП "КСП"</v>
      </c>
      <c r="K11957" s="24" t="s">
        <v>6532</v>
      </c>
      <c r="L11957" s="22" t="s">
        <v>10</v>
      </c>
      <c r="M11957" s="28" t="s">
        <v>51</v>
      </c>
      <c r="N11957" s="28" t="s">
        <v>51</v>
      </c>
    </row>
    <row r="11958" spans="1:14" x14ac:dyDescent="0.15">
      <c r="A11958" s="23" t="str">
        <f>HYPERLINK("https://www.spark-marketing.ru/Card/Person/536781", "МО МВД РОССИИ ""НОВОСПАССКИЙ""")</f>
        <v>МО МВД РОССИИ "НОВОСПАССКИЙ"</v>
      </c>
      <c r="B11958" s="24" t="s">
        <v>8196</v>
      </c>
      <c r="C11958" s="25">
        <v>99777.600000000006</v>
      </c>
      <c r="D11958" s="22" t="s">
        <v>16409</v>
      </c>
      <c r="E11958" s="22" t="s">
        <v>48</v>
      </c>
      <c r="F11958" s="23" t="str">
        <f>HYPERLINK("https://www.spark-marketing.ru/Card/Lot/72207854", "Услуги по доставке горячего питания (завтрак, обед, ужин), 328 усл. ед")</f>
        <v>Услуги по доставке горячего питания (завтрак, обед, ужин), 328 усл. ед</v>
      </c>
      <c r="G11958" s="22" t="s">
        <v>1918</v>
      </c>
      <c r="H11958" s="22" t="s">
        <v>8198</v>
      </c>
      <c r="I11958" s="26">
        <v>43665.424953703703</v>
      </c>
      <c r="J11958" s="28" t="s">
        <v>51</v>
      </c>
      <c r="K11958" s="28" t="s">
        <v>51</v>
      </c>
      <c r="L11958" s="28" t="s">
        <v>51</v>
      </c>
      <c r="M11958" s="28" t="s">
        <v>51</v>
      </c>
      <c r="N11958" s="28" t="s">
        <v>51</v>
      </c>
    </row>
    <row r="11959" spans="1:14" x14ac:dyDescent="0.15">
      <c r="A11959" s="23" t="str">
        <f>HYPERLINK("https://www.spark-marketing.ru/Card/Person/4349237", "АО ""АТК ""ЯМАЛ""")</f>
        <v>АО "АТК "ЯМАЛ"</v>
      </c>
      <c r="B11959" s="24" t="s">
        <v>4031</v>
      </c>
      <c r="C11959" s="25">
        <v>1000000</v>
      </c>
      <c r="D11959" s="22" t="s">
        <v>16410</v>
      </c>
      <c r="E11959" s="22" t="s">
        <v>769</v>
      </c>
      <c r="F11959" s="23" t="str">
        <f>HYPERLINK("https://www.spark-marketing.ru/Card/Lot/72232493", "Оказание комплекса гостиничных услуг (проживание, трансфер, питание) для размещения пассажиров задержанных и отмененных рейсов АО «АТК «Ямал» в г. Уфа")</f>
        <v>Оказание комплекса гостиничных услуг (проживание, трансфер, питание) для размещения пассажиров задержанных и отмененных рейсов АО «АТК «Ямал» в г. Уфа</v>
      </c>
      <c r="G11959" s="22" t="s">
        <v>145</v>
      </c>
      <c r="H11959" s="22" t="s">
        <v>145</v>
      </c>
      <c r="I11959" s="26">
        <v>43665.438692129603</v>
      </c>
      <c r="J11959" s="28" t="s">
        <v>51</v>
      </c>
      <c r="K11959" s="28" t="s">
        <v>51</v>
      </c>
      <c r="L11959" s="28" t="s">
        <v>51</v>
      </c>
      <c r="M11959" s="28" t="s">
        <v>51</v>
      </c>
      <c r="N11959" s="28" t="s">
        <v>51</v>
      </c>
    </row>
    <row r="11960" spans="1:14" x14ac:dyDescent="0.15">
      <c r="A11960" s="23" t="str">
        <f>HYPERLINK("https://www.spark-marketing.ru/Card/Person/1082925", "МАУ ""ЧРЦК""")</f>
        <v>МАУ "ЧРЦК"</v>
      </c>
      <c r="B11960" s="24" t="s">
        <v>16411</v>
      </c>
      <c r="C11960" s="25">
        <v>306000</v>
      </c>
      <c r="D11960" s="22" t="s">
        <v>16412</v>
      </c>
      <c r="E11960" s="22" t="s">
        <v>1764</v>
      </c>
      <c r="F11960" s="23" t="str">
        <f>HYPERLINK("https://www.spark-marketing.ru/Card/Lot/72228264", "Услуги по организации питания во время проведения этно-ланшафтного фестиваля «Зов Пармы»")</f>
        <v>Услуги по организации питания во время проведения этно-ланшафтного фестиваля «Зов Пармы»</v>
      </c>
      <c r="G11960" s="22" t="s">
        <v>153</v>
      </c>
      <c r="H11960" s="22" t="s">
        <v>153</v>
      </c>
      <c r="I11960" s="26">
        <v>43665.379340277803</v>
      </c>
      <c r="J11960" s="28" t="s">
        <v>51</v>
      </c>
      <c r="K11960" s="28" t="s">
        <v>51</v>
      </c>
      <c r="L11960" s="28" t="s">
        <v>51</v>
      </c>
      <c r="M11960" s="28" t="s">
        <v>51</v>
      </c>
      <c r="N11960" s="28" t="s">
        <v>51</v>
      </c>
    </row>
    <row r="11961" spans="1:14" x14ac:dyDescent="0.15">
      <c r="A11961" s="23" t="str">
        <f>HYPERLINK("https://www.spark-marketing.ru/Card/Person/1082925", "МАУ ""ЧРЦК""")</f>
        <v>МАУ "ЧРЦК"</v>
      </c>
      <c r="B11961" s="24" t="s">
        <v>16411</v>
      </c>
      <c r="C11961" s="25">
        <v>384000</v>
      </c>
      <c r="D11961" s="22" t="s">
        <v>16413</v>
      </c>
      <c r="E11961" s="22" t="s">
        <v>1764</v>
      </c>
      <c r="F11961" s="23" t="str">
        <f>HYPERLINK("https://www.spark-marketing.ru/Card/Lot/72228275", "Услуги по организации питания во время проведения этно-ланшафтного фестиваля «Зов Пармы»")</f>
        <v>Услуги по организации питания во время проведения этно-ланшафтного фестиваля «Зов Пармы»</v>
      </c>
      <c r="G11961" s="22" t="s">
        <v>153</v>
      </c>
      <c r="H11961" s="22" t="s">
        <v>153</v>
      </c>
      <c r="I11961" s="26">
        <v>43665.382060185198</v>
      </c>
      <c r="J11961" s="28" t="s">
        <v>51</v>
      </c>
      <c r="K11961" s="28" t="s">
        <v>51</v>
      </c>
      <c r="L11961" s="28" t="s">
        <v>51</v>
      </c>
      <c r="M11961" s="28" t="s">
        <v>51</v>
      </c>
      <c r="N11961" s="28" t="s">
        <v>51</v>
      </c>
    </row>
    <row r="11962" spans="1:14" x14ac:dyDescent="0.15">
      <c r="A11962" s="23" t="str">
        <f>HYPERLINK("https://www.spark-marketing.ru/Card/Person/560904", "ОГАУК ""ДНТ ""АВАНГАРД""")</f>
        <v>ОГАУК "ДНТ "АВАНГАРД"</v>
      </c>
      <c r="B11962" s="24" t="s">
        <v>16414</v>
      </c>
      <c r="C11962" s="25">
        <v>92521.33</v>
      </c>
      <c r="D11962" s="22" t="s">
        <v>16415</v>
      </c>
      <c r="E11962" s="22" t="s">
        <v>48</v>
      </c>
      <c r="F11962" s="23" t="str">
        <f>HYPERLINK("https://www.spark-marketing.ru/Card/Lot/72207934", "Оказание услуги по организации питания участников и приглашенных специалистов")</f>
        <v>Оказание услуги по организации питания участников и приглашенных специалистов</v>
      </c>
      <c r="G11962" s="22" t="s">
        <v>149</v>
      </c>
      <c r="H11962" s="22" t="s">
        <v>496</v>
      </c>
      <c r="I11962" s="26">
        <v>43665.403472222199</v>
      </c>
      <c r="J11962" s="28" t="s">
        <v>51</v>
      </c>
      <c r="K11962" s="28" t="s">
        <v>51</v>
      </c>
      <c r="L11962" s="28" t="s">
        <v>51</v>
      </c>
      <c r="M11962" s="28" t="s">
        <v>51</v>
      </c>
      <c r="N11962" s="28" t="s">
        <v>51</v>
      </c>
    </row>
    <row r="11963" spans="1:14" x14ac:dyDescent="0.15">
      <c r="A11963" s="23" t="str">
        <f>HYPERLINK("https://www.spark-marketing.ru/Card/Person/4348376", "АО ""ЖТК""")</f>
        <v>АО "ЖТК"</v>
      </c>
      <c r="B11963" s="24" t="s">
        <v>2312</v>
      </c>
      <c r="C11963" s="25">
        <v>5992122.1600000001</v>
      </c>
      <c r="D11963" s="22" t="s">
        <v>16416</v>
      </c>
      <c r="E11963" s="22" t="s">
        <v>2314</v>
      </c>
      <c r="F11963" s="23" t="str">
        <f>HYPERLINK("https://www.spark-marketing.ru/Card/Lot/72232456", "Поставка продуктов широкого ассортимента (бакалейная продукция, плодовоовощная, мясная, рыбная и молочная консервации, масложировая продукция, чай, кофе) для предприятий общественного питания при ДОЛБ, оказывающих услуги питания работникам ОАО ""РЖД...")</f>
        <v>Поставка продуктов широкого ассортимента (бакалейная продукция, плодовоовощная, мясная, рыбная и молочная консервации, масложировая продукция, чай, кофе) для предприятий общественного питания при ДОЛБ, оказывающих услуги питания работникам ОАО "РЖД...</v>
      </c>
      <c r="G11963" s="22" t="s">
        <v>210</v>
      </c>
      <c r="H11963" s="22" t="s">
        <v>210</v>
      </c>
      <c r="I11963" s="26">
        <v>43665.391759259299</v>
      </c>
      <c r="J11963" s="28" t="s">
        <v>51</v>
      </c>
      <c r="K11963" s="28" t="s">
        <v>51</v>
      </c>
      <c r="L11963" s="28" t="s">
        <v>51</v>
      </c>
      <c r="M11963" s="28" t="s">
        <v>51</v>
      </c>
      <c r="N11963" s="28" t="s">
        <v>51</v>
      </c>
    </row>
    <row r="11964" spans="1:14" collapsed="1" x14ac:dyDescent="0.15">
      <c r="A11964" s="23" t="str">
        <f t="shared" ref="A11964:A11969" si="353">HYPERLINK("https://www.spark-marketing.ru/Card/Person/91511", "ММБИ КНЦ РАН")</f>
        <v>ММБИ КНЦ РАН</v>
      </c>
      <c r="B11964" s="24" t="s">
        <v>16417</v>
      </c>
      <c r="C11964" s="25">
        <v>747644.7</v>
      </c>
      <c r="D11964" s="22" t="s">
        <v>16418</v>
      </c>
      <c r="E11964" s="22" t="s">
        <v>3809</v>
      </c>
      <c r="F11964" s="23" t="str">
        <f t="shared" ref="F11964:F11969" si="354">HYPERLINK("https://www.spark-marketing.ru/Card/Lot/72215704", "Поставка набора продуктов в объеме утвержденного рациона питания экипажа и научной группы НИС ""Дальние Зеленцы""")</f>
        <v>Поставка набора продуктов в объеме утвержденного рациона питания экипажа и научной группы НИС "Дальние Зеленцы"</v>
      </c>
      <c r="G11964" s="22" t="s">
        <v>340</v>
      </c>
      <c r="H11964" s="22" t="s">
        <v>341</v>
      </c>
      <c r="I11964" s="26">
        <v>43665.4067939815</v>
      </c>
      <c r="J11964" s="28" t="s">
        <v>51</v>
      </c>
      <c r="K11964" s="28" t="s">
        <v>51</v>
      </c>
      <c r="L11964" s="28" t="s">
        <v>51</v>
      </c>
      <c r="M11964" s="28" t="s">
        <v>51</v>
      </c>
      <c r="N11964" s="28" t="s">
        <v>51</v>
      </c>
    </row>
    <row r="11965" spans="1:14" hidden="1" outlineLevel="1" x14ac:dyDescent="0.2">
      <c r="A11965" s="23" t="str">
        <f t="shared" si="353"/>
        <v>ММБИ КНЦ РАН</v>
      </c>
      <c r="B11965" s="24" t="s">
        <v>16417</v>
      </c>
      <c r="C11965" s="25">
        <v>747644.7</v>
      </c>
      <c r="D11965" s="22" t="s">
        <v>16418</v>
      </c>
      <c r="E11965" s="22" t="s">
        <v>3809</v>
      </c>
      <c r="F11965" s="23" t="str">
        <f t="shared" si="354"/>
        <v>Поставка набора продуктов в объеме утвержденного рациона питания экипажа и научной группы НИС "Дальние Зеленцы"</v>
      </c>
      <c r="G11965" s="22" t="s">
        <v>340</v>
      </c>
      <c r="H11965" s="22" t="s">
        <v>341</v>
      </c>
      <c r="I11965" s="26">
        <v>43665.4067939815</v>
      </c>
      <c r="J11965" s="23" t="str">
        <f>HYPERLINK("https://www.spark-marketing.ru/Card/Person/6185827", "ООО ""НЭП""")</f>
        <v>ООО "НЭП"</v>
      </c>
      <c r="K11965" s="24" t="s">
        <v>16419</v>
      </c>
      <c r="L11965" s="28" t="s">
        <v>51</v>
      </c>
      <c r="M11965" s="25">
        <v>709308.9</v>
      </c>
      <c r="N11965" s="27">
        <v>5.1275425345755812E-2</v>
      </c>
    </row>
    <row r="11966" spans="1:14" hidden="1" outlineLevel="1" x14ac:dyDescent="0.2">
      <c r="A11966" s="23" t="str">
        <f t="shared" si="353"/>
        <v>ММБИ КНЦ РАН</v>
      </c>
      <c r="B11966" s="24" t="s">
        <v>16417</v>
      </c>
      <c r="C11966" s="25">
        <v>747644.7</v>
      </c>
      <c r="D11966" s="22" t="s">
        <v>16418</v>
      </c>
      <c r="E11966" s="22" t="s">
        <v>3809</v>
      </c>
      <c r="F11966" s="23" t="str">
        <f t="shared" si="354"/>
        <v>Поставка набора продуктов в объеме утвержденного рациона питания экипажа и научной группы НИС "Дальние Зеленцы"</v>
      </c>
      <c r="G11966" s="22" t="s">
        <v>340</v>
      </c>
      <c r="H11966" s="22" t="s">
        <v>341</v>
      </c>
      <c r="I11966" s="26">
        <v>43665.4067939815</v>
      </c>
      <c r="J11966" s="23" t="str">
        <f>HYPERLINK("https://www.spark-marketing.ru/Card/Person/1834598", "ООО ""ТАЛЕКС ПЛЮС""")</f>
        <v>ООО "ТАЛЕКС ПЛЮС"</v>
      </c>
      <c r="K11966" s="24" t="s">
        <v>16420</v>
      </c>
      <c r="L11966" s="28" t="s">
        <v>51</v>
      </c>
      <c r="M11966" s="25">
        <v>553000</v>
      </c>
      <c r="N11966" s="27">
        <v>0.26034385049476039</v>
      </c>
    </row>
    <row r="11967" spans="1:14" ht="12.75" hidden="1" outlineLevel="1" x14ac:dyDescent="0.2">
      <c r="A11967" s="23" t="str">
        <f t="shared" si="353"/>
        <v>ММБИ КНЦ РАН</v>
      </c>
      <c r="B11967" s="24" t="s">
        <v>16417</v>
      </c>
      <c r="C11967" s="25">
        <v>747644.7</v>
      </c>
      <c r="D11967" s="22" t="s">
        <v>16418</v>
      </c>
      <c r="E11967" s="22" t="s">
        <v>3809</v>
      </c>
      <c r="F11967" s="23" t="str">
        <f t="shared" si="354"/>
        <v>Поставка набора продуктов в объеме утвержденного рациона питания экипажа и научной группы НИС "Дальние Зеленцы"</v>
      </c>
      <c r="G11967" s="22" t="s">
        <v>340</v>
      </c>
      <c r="H11967" s="22" t="s">
        <v>341</v>
      </c>
      <c r="I11967" s="26">
        <v>43665.4067939815</v>
      </c>
      <c r="J11967" s="23" t="str">
        <f>HYPERLINK("https://www.spark-marketing.ru/Card/Person/718850", "ООО ""НОРД-АТЛАНТИКА""")</f>
        <v>ООО "НОРД-АТЛАНТИКА"</v>
      </c>
      <c r="K11967" s="24" t="s">
        <v>16421</v>
      </c>
      <c r="L11967" s="22" t="s">
        <v>10</v>
      </c>
      <c r="M11967" s="25">
        <v>485703.14</v>
      </c>
      <c r="N11967" s="27">
        <v>0.35035567028028153</v>
      </c>
    </row>
    <row r="11968" spans="1:14" hidden="1" outlineLevel="1" x14ac:dyDescent="0.2">
      <c r="A11968" s="23" t="str">
        <f t="shared" si="353"/>
        <v>ММБИ КНЦ РАН</v>
      </c>
      <c r="B11968" s="24" t="s">
        <v>16417</v>
      </c>
      <c r="C11968" s="25">
        <v>747644.7</v>
      </c>
      <c r="D11968" s="22" t="s">
        <v>16418</v>
      </c>
      <c r="E11968" s="22" t="s">
        <v>3809</v>
      </c>
      <c r="F11968" s="23" t="str">
        <f t="shared" si="354"/>
        <v>Поставка набора продуктов в объеме утвержденного рациона питания экипажа и научной группы НИС "Дальние Зеленцы"</v>
      </c>
      <c r="G11968" s="22" t="s">
        <v>340</v>
      </c>
      <c r="H11968" s="22" t="s">
        <v>341</v>
      </c>
      <c r="I11968" s="26">
        <v>43665.4067939815</v>
      </c>
      <c r="J11968" s="23" t="str">
        <f>HYPERLINK("https://www.spark-marketing.ru/Card/Person/6577400", "ООО ""ИНТЕР""")</f>
        <v>ООО "ИНТЕР"</v>
      </c>
      <c r="K11968" s="24" t="s">
        <v>16422</v>
      </c>
      <c r="L11968" s="28" t="s">
        <v>51</v>
      </c>
      <c r="M11968" s="25">
        <v>624785.34</v>
      </c>
      <c r="N11968" s="27">
        <v>0.16432853733865832</v>
      </c>
    </row>
    <row r="11969" spans="1:14" hidden="1" outlineLevel="1" x14ac:dyDescent="0.2">
      <c r="A11969" s="23" t="str">
        <f t="shared" si="353"/>
        <v>ММБИ КНЦ РАН</v>
      </c>
      <c r="B11969" s="24" t="s">
        <v>16417</v>
      </c>
      <c r="C11969" s="25">
        <v>747644.7</v>
      </c>
      <c r="D11969" s="22" t="s">
        <v>16418</v>
      </c>
      <c r="E11969" s="22" t="s">
        <v>3809</v>
      </c>
      <c r="F11969" s="23" t="str">
        <f t="shared" si="354"/>
        <v>Поставка набора продуктов в объеме утвержденного рациона питания экипажа и научной группы НИС "Дальние Зеленцы"</v>
      </c>
      <c r="G11969" s="22" t="s">
        <v>340</v>
      </c>
      <c r="H11969" s="22" t="s">
        <v>341</v>
      </c>
      <c r="I11969" s="26">
        <v>43665.4067939815</v>
      </c>
      <c r="J11969" s="23" t="str">
        <f>HYPERLINK("https://www.spark-marketing.ru/Card/Person/56324", "ООО ""СТРЕЛЕЦ""")</f>
        <v>ООО "СТРЕЛЕЦ"</v>
      </c>
      <c r="K11969" s="24" t="s">
        <v>16423</v>
      </c>
      <c r="L11969" s="28" t="s">
        <v>51</v>
      </c>
      <c r="M11969" s="25">
        <v>489441.36</v>
      </c>
      <c r="N11969" s="27">
        <v>0.34535567496164954</v>
      </c>
    </row>
    <row r="11970" spans="1:14" x14ac:dyDescent="0.2">
      <c r="A11970" s="23" t="str">
        <f>HYPERLINK("https://www.spark-marketing.ru/Card/Person/1004992", "МБОУ ""СОШ №17""")</f>
        <v>МБОУ "СОШ №17"</v>
      </c>
      <c r="B11970" s="24" t="s">
        <v>16424</v>
      </c>
      <c r="C11970" s="25">
        <v>2214102.1</v>
      </c>
      <c r="D11970" s="22" t="s">
        <v>16425</v>
      </c>
      <c r="E11970" s="22" t="s">
        <v>48</v>
      </c>
      <c r="F11970" s="23" t="str">
        <f>HYPERLINK("https://www.spark-marketing.ru/Card/Lot/72205145", "Услуги по организации школьного питания в Муниципальном общеобразовательном учреждении ""Средняя общеобразовательная школа №17"" городского округа Рефтинский на сентябрь-декабрь 2019 года")</f>
        <v>Услуги по организации школьного питания в Муниципальном общеобразовательном учреждении "Средняя общеобразовательная школа №17" городского округа Рефтинский на сентябрь-декабрь 2019 года</v>
      </c>
      <c r="G11970" s="22" t="s">
        <v>174</v>
      </c>
      <c r="H11970" s="22" t="s">
        <v>174</v>
      </c>
      <c r="I11970" s="26">
        <v>43665.376388888901</v>
      </c>
      <c r="J11970" s="23" t="str">
        <f>HYPERLINK("https://www.spark-marketing.ru/Card/Person/842907", "ООО ""КОП""")</f>
        <v>ООО "КОП"</v>
      </c>
      <c r="K11970" s="24" t="s">
        <v>1930</v>
      </c>
      <c r="L11970" s="28" t="s">
        <v>51</v>
      </c>
      <c r="M11970" s="25">
        <v>1881000</v>
      </c>
      <c r="N11970" s="27">
        <v>0.15044568179579434</v>
      </c>
    </row>
    <row r="11971" spans="1:14" x14ac:dyDescent="0.15">
      <c r="A11971" s="23" t="str">
        <f>HYPERLINK("https://www.spark-marketing.ru/Card/Person/560904", "ОГАУК ""ДНТ ""АВАНГАРД""")</f>
        <v>ОГАУК "ДНТ "АВАНГАРД"</v>
      </c>
      <c r="B11971" s="24" t="s">
        <v>16414</v>
      </c>
      <c r="C11971" s="25">
        <v>92521.33</v>
      </c>
      <c r="D11971" s="22" t="s">
        <v>16426</v>
      </c>
      <c r="E11971" s="22" t="s">
        <v>48</v>
      </c>
      <c r="F11971" s="23" t="str">
        <f>HYPERLINK("https://www.spark-marketing.ru/Card/Lot/72208062", "Оказание услуги по организации питания участников и приглашенных специалистов")</f>
        <v>Оказание услуги по организации питания участников и приглашенных специалистов</v>
      </c>
      <c r="G11971" s="22" t="s">
        <v>149</v>
      </c>
      <c r="H11971" s="22" t="s">
        <v>496</v>
      </c>
      <c r="I11971" s="26">
        <v>43665.395138888904</v>
      </c>
      <c r="J11971" s="28" t="s">
        <v>51</v>
      </c>
      <c r="K11971" s="28" t="s">
        <v>51</v>
      </c>
      <c r="L11971" s="28" t="s">
        <v>51</v>
      </c>
      <c r="M11971" s="28" t="s">
        <v>51</v>
      </c>
      <c r="N11971" s="28" t="s">
        <v>51</v>
      </c>
    </row>
    <row r="11972" spans="1:14" x14ac:dyDescent="0.15">
      <c r="A11972" s="23" t="str">
        <f>HYPERLINK("https://www.spark-marketing.ru/Card/Person/4348382", "ООО ""ГАЗПРОМ ПИТАНИЕ""")</f>
        <v>ООО "ГАЗПРОМ ПИТАНИЕ"</v>
      </c>
      <c r="B11972" s="24" t="s">
        <v>2869</v>
      </c>
      <c r="C11972" s="25">
        <v>6300</v>
      </c>
      <c r="D11972" s="22" t="s">
        <v>16427</v>
      </c>
      <c r="E11972" s="22" t="s">
        <v>52</v>
      </c>
      <c r="F11972" s="23" t="str">
        <f>HYPERLINK("https://www.spark-marketing.ru/Card/Lot/72210940", "Оказание услуг по лабораторному исследованию отхода на определение компонентного состава, оформлению паспорта отхода, расчету класса опасности отхода для нужд филиала «оренбургского управление по организации общественного питания» ооо «газпром питани...")</f>
        <v>Оказание услуг по лабораторному исследованию отхода на определение компонентного состава, оформлению паспорта отхода, расчету класса опасности отхода для нужд филиала «оренбургского управление по организации общественного питания» ооо «газпром питани...</v>
      </c>
      <c r="G11972" s="22" t="s">
        <v>132</v>
      </c>
      <c r="H11972" s="22" t="s">
        <v>587</v>
      </c>
      <c r="I11972" s="26">
        <v>43665.412499999999</v>
      </c>
      <c r="J11972" s="28" t="s">
        <v>51</v>
      </c>
      <c r="K11972" s="28" t="s">
        <v>51</v>
      </c>
      <c r="L11972" s="28" t="s">
        <v>51</v>
      </c>
      <c r="M11972" s="28" t="s">
        <v>51</v>
      </c>
      <c r="N11972" s="28" t="s">
        <v>51</v>
      </c>
    </row>
    <row r="11973" spans="1:14" collapsed="1" x14ac:dyDescent="0.15">
      <c r="A11973" s="23" t="str">
        <f>HYPERLINK("https://www.spark-marketing.ru/Card/Person/123177", "МАОУ ""КАДЕТСКАЯ ШКОЛА №49""")</f>
        <v>МАОУ "КАДЕТСКАЯ ШКОЛА №49"</v>
      </c>
      <c r="B11973" s="24" t="s">
        <v>16428</v>
      </c>
      <c r="C11973" s="25">
        <v>713779.19999999995</v>
      </c>
      <c r="D11973" s="22" t="s">
        <v>16429</v>
      </c>
      <c r="E11973" s="22" t="s">
        <v>48</v>
      </c>
      <c r="F11973" s="23" t="str">
        <f>HYPERLINK("https://www.spark-marketing.ru/Card/Lot/72207536", "оказание услуг по организации питания учащихся для нужд МАОУ «Кадетская школа №49»")</f>
        <v>оказание услуг по организации питания учащихся для нужд МАОУ «Кадетская школа №49»</v>
      </c>
      <c r="G11973" s="22" t="s">
        <v>217</v>
      </c>
      <c r="H11973" s="22" t="s">
        <v>217</v>
      </c>
      <c r="I11973" s="26">
        <v>43665.386805555601</v>
      </c>
      <c r="J11973" s="28" t="s">
        <v>51</v>
      </c>
      <c r="K11973" s="28" t="s">
        <v>51</v>
      </c>
      <c r="L11973" s="28" t="s">
        <v>51</v>
      </c>
      <c r="M11973" s="28" t="s">
        <v>51</v>
      </c>
      <c r="N11973" s="28" t="s">
        <v>51</v>
      </c>
    </row>
    <row r="11974" spans="1:14" ht="12.75" hidden="1" outlineLevel="1" x14ac:dyDescent="0.2">
      <c r="A11974" s="23" t="str">
        <f>HYPERLINK("https://www.spark-marketing.ru/Card/Person/123177", "МАОУ ""КАДЕТСКАЯ ШКОЛА №49""")</f>
        <v>МАОУ "КАДЕТСКАЯ ШКОЛА №49"</v>
      </c>
      <c r="B11974" s="24" t="s">
        <v>16428</v>
      </c>
      <c r="C11974" s="25">
        <v>713779.19999999995</v>
      </c>
      <c r="D11974" s="22" t="s">
        <v>16429</v>
      </c>
      <c r="E11974" s="22" t="s">
        <v>48</v>
      </c>
      <c r="F11974" s="23" t="str">
        <f>HYPERLINK("https://www.spark-marketing.ru/Card/Lot/72207536", "оказание услуг по организации питания учащихся для нужд МАОУ «Кадетская школа №49»")</f>
        <v>оказание услуг по организации питания учащихся для нужд МАОУ «Кадетская школа №49»</v>
      </c>
      <c r="G11974" s="22" t="s">
        <v>217</v>
      </c>
      <c r="H11974" s="22" t="s">
        <v>217</v>
      </c>
      <c r="I11974" s="26">
        <v>43665.386805555601</v>
      </c>
      <c r="J11974" s="23" t="str">
        <f>HYPERLINK("https://www.spark-marketing.ru/Card/Person/87385", "ООО ""ШКОЛЬНОЕ ПИТАНИЕ""")</f>
        <v>ООО "ШКОЛЬНОЕ ПИТАНИЕ"</v>
      </c>
      <c r="K11974" s="24" t="s">
        <v>6356</v>
      </c>
      <c r="L11974" s="22" t="s">
        <v>10</v>
      </c>
      <c r="M11974" s="25">
        <v>713779.19999999995</v>
      </c>
      <c r="N11974" s="27">
        <v>0</v>
      </c>
    </row>
    <row r="11975" spans="1:14" hidden="1" outlineLevel="1" x14ac:dyDescent="0.2">
      <c r="A11975" s="23" t="str">
        <f>HYPERLINK("https://www.spark-marketing.ru/Card/Person/123177", "МАОУ ""КАДЕТСКАЯ ШКОЛА №49""")</f>
        <v>МАОУ "КАДЕТСКАЯ ШКОЛА №49"</v>
      </c>
      <c r="B11975" s="24" t="s">
        <v>16428</v>
      </c>
      <c r="C11975" s="25">
        <v>713779.19999999995</v>
      </c>
      <c r="D11975" s="22" t="s">
        <v>16429</v>
      </c>
      <c r="E11975" s="22" t="s">
        <v>48</v>
      </c>
      <c r="F11975" s="23" t="str">
        <f>HYPERLINK("https://www.spark-marketing.ru/Card/Lot/72207536", "оказание услуг по организации питания учащихся для нужд МАОУ «Кадетская школа №49»")</f>
        <v>оказание услуг по организации питания учащихся для нужд МАОУ «Кадетская школа №49»</v>
      </c>
      <c r="G11975" s="22" t="s">
        <v>217</v>
      </c>
      <c r="H11975" s="22" t="s">
        <v>217</v>
      </c>
      <c r="I11975" s="26">
        <v>43665.386805555601</v>
      </c>
      <c r="J11975" s="23" t="str">
        <f>HYPERLINK("https://www.spark-marketing.ru/Card/Person/300377", "ООО ""ТУЙМАЗЫ-ФРУКТ""")</f>
        <v>ООО "ТУЙМАЗЫ-ФРУКТ"</v>
      </c>
      <c r="K11975" s="24" t="s">
        <v>9052</v>
      </c>
      <c r="L11975" s="28" t="s">
        <v>51</v>
      </c>
      <c r="M11975" s="25">
        <v>713779.19999999995</v>
      </c>
      <c r="N11975" s="27">
        <v>0</v>
      </c>
    </row>
    <row r="11976" spans="1:14" x14ac:dyDescent="0.15">
      <c r="A11976" s="23" t="str">
        <f>HYPERLINK("https://www.spark-marketing.ru/Card/Person/4348646", "ООО ""БЕЛОЯРСКАЯ АЭС- АВТО""")</f>
        <v>ООО "БЕЛОЯРСКАЯ АЭС- АВТО"</v>
      </c>
      <c r="B11976" s="24" t="s">
        <v>8411</v>
      </c>
      <c r="C11976" s="28" t="s">
        <v>51</v>
      </c>
      <c r="D11976" s="22" t="s">
        <v>16430</v>
      </c>
      <c r="E11976" s="22" t="s">
        <v>152</v>
      </c>
      <c r="F11976" s="23" t="str">
        <f>HYPERLINK("https://www.spark-marketing.ru/Card/Lot/72212648", "Оказание услуг по сервисному обслуживанию и ремонту холодильного оборудования подразделения общественного питания ООО «Белоярская АЭС - Авто» на 2019-2021 год.")</f>
        <v>Оказание услуг по сервисному обслуживанию и ремонту холодильного оборудования подразделения общественного питания ООО «Белоярская АЭС - Авто» на 2019-2021 год.</v>
      </c>
      <c r="G11976" s="22" t="s">
        <v>174</v>
      </c>
      <c r="H11976" s="22" t="s">
        <v>8413</v>
      </c>
      <c r="I11976" s="26">
        <v>43665.3577083333</v>
      </c>
      <c r="J11976" s="28" t="s">
        <v>51</v>
      </c>
      <c r="K11976" s="28" t="s">
        <v>51</v>
      </c>
      <c r="L11976" s="28" t="s">
        <v>51</v>
      </c>
      <c r="M11976" s="28" t="s">
        <v>51</v>
      </c>
      <c r="N11976" s="28" t="s">
        <v>51</v>
      </c>
    </row>
    <row r="11977" spans="1:14" x14ac:dyDescent="0.15">
      <c r="A11977" s="23" t="str">
        <f>HYPERLINK("https://www.spark-marketing.ru/Card/Person/29335", "УМВД РОССИИ ПО ПСКОВСКОЙ ОБЛАСТИ")</f>
        <v>УМВД РОССИИ ПО ПСКОВСКОЙ ОБЛАСТИ</v>
      </c>
      <c r="B11977" s="24" t="s">
        <v>4993</v>
      </c>
      <c r="C11977" s="25">
        <v>1200000</v>
      </c>
      <c r="D11977" s="22" t="s">
        <v>16431</v>
      </c>
      <c r="E11977" s="22" t="s">
        <v>48</v>
      </c>
      <c r="F11977" s="23" t="str">
        <f>HYPERLINK("https://www.spark-marketing.ru/Card/Lot/72207234", "Оказание услуг по питанию слушателей ЦПП УМВД России по Псковской области")</f>
        <v>Оказание услуг по питанию слушателей ЦПП УМВД России по Псковской области</v>
      </c>
      <c r="G11977" s="22" t="s">
        <v>415</v>
      </c>
      <c r="H11977" s="22" t="s">
        <v>415</v>
      </c>
      <c r="I11977" s="26">
        <v>43665.370127314804</v>
      </c>
      <c r="J11977" s="23" t="str">
        <f>HYPERLINK("https://www.spark-marketing.ru/Card/Person/59968", "ФГБОУ ВО ""ПСКОВСКИЙ ГОСУДАРСТВЕННЫЙ УНИВЕРСИТЕТ""")</f>
        <v>ФГБОУ ВО "ПСКОВСКИЙ ГОСУДАРСТВЕННЫЙ УНИВЕРСИТЕТ"</v>
      </c>
      <c r="K11977" s="24" t="s">
        <v>14650</v>
      </c>
      <c r="L11977" s="22" t="s">
        <v>10</v>
      </c>
      <c r="M11977" s="28" t="s">
        <v>51</v>
      </c>
      <c r="N11977" s="28" t="s">
        <v>51</v>
      </c>
    </row>
    <row r="11978" spans="1:14" x14ac:dyDescent="0.15">
      <c r="A11978" s="23" t="str">
        <f>HYPERLINK("https://www.spark-marketing.ru/Card/Person/4348646", "ООО ""БЕЛОЯРСКАЯ АЭС- АВТО""")</f>
        <v>ООО "БЕЛОЯРСКАЯ АЭС- АВТО"</v>
      </c>
      <c r="B11978" s="24" t="s">
        <v>8411</v>
      </c>
      <c r="C11978" s="25">
        <v>0</v>
      </c>
      <c r="D11978" s="22" t="s">
        <v>16432</v>
      </c>
      <c r="E11978" s="22" t="s">
        <v>52</v>
      </c>
      <c r="F11978" s="23" t="str">
        <f>HYPERLINK("https://www.spark-marketing.ru/Card/Lot/72226988", "мониторинг цен в электронной форме на Оказание услуг по сервисному обслуживанию и ремонту холодильного оборудования подразделения общественного питания ООО «Белоярская АЭС - Авто» на 2019-2021 год.")</f>
        <v>мониторинг цен в электронной форме на Оказание услуг по сервисному обслуживанию и ремонту холодильного оборудования подразделения общественного питания ООО «Белоярская АЭС - Авто» на 2019-2021 год.</v>
      </c>
      <c r="G11978" s="22" t="s">
        <v>174</v>
      </c>
      <c r="H11978" s="22" t="s">
        <v>8413</v>
      </c>
      <c r="I11978" s="26">
        <v>43665.357766203699</v>
      </c>
      <c r="J11978" s="28" t="s">
        <v>51</v>
      </c>
      <c r="K11978" s="28" t="s">
        <v>51</v>
      </c>
      <c r="L11978" s="28" t="s">
        <v>51</v>
      </c>
      <c r="M11978" s="28" t="s">
        <v>51</v>
      </c>
      <c r="N11978" s="28" t="s">
        <v>51</v>
      </c>
    </row>
    <row r="11979" spans="1:14" x14ac:dyDescent="0.15">
      <c r="A11979" s="23" t="str">
        <f>HYPERLINK("https://www.spark-marketing.ru/Card/Person/6450322", "ЗАКАЗЧИК РП БЕЛАРУСЬ")</f>
        <v>ЗАКАЗЧИК РП БЕЛАРУСЬ</v>
      </c>
      <c r="B11979" s="28" t="s">
        <v>51</v>
      </c>
      <c r="C11979" s="28" t="s">
        <v>51</v>
      </c>
      <c r="D11979" s="22" t="s">
        <v>16433</v>
      </c>
      <c r="E11979" s="22" t="s">
        <v>52</v>
      </c>
      <c r="F11979" s="23" t="str">
        <f>HYPERLINK("https://www.spark-marketing.ru/Card/Lot/72218038", "Услуги по аренде помещения, организации проживания и питания участников для проведения семинара по лидерству, планированию волонтерских инициатив в сообществах и мобилизации местных ресурсов с 15.08.2019 по 17.08.2019")</f>
        <v>Услуги по аренде помещения, организации проживания и питания участников для проведения семинара по лидерству, планированию волонтерских инициатив в сообществах и мобилизации местных ресурсов с 15.08.2019 по 17.08.2019</v>
      </c>
      <c r="G11979" s="22" t="s">
        <v>51</v>
      </c>
      <c r="H11979" s="22" t="s">
        <v>51</v>
      </c>
      <c r="I11979" s="26">
        <v>43665</v>
      </c>
      <c r="J11979" s="28" t="s">
        <v>51</v>
      </c>
      <c r="K11979" s="28" t="s">
        <v>51</v>
      </c>
      <c r="L11979" s="28" t="s">
        <v>51</v>
      </c>
      <c r="M11979" s="28" t="s">
        <v>51</v>
      </c>
      <c r="N11979" s="28" t="s">
        <v>51</v>
      </c>
    </row>
    <row r="11980" spans="1:14" x14ac:dyDescent="0.15">
      <c r="A11980" s="23" t="str">
        <f>HYPERLINK("https://www.spark-marketing.ru/Card/Person/6450322", "ЗАКАЗЧИК РП БЕЛАРУСЬ")</f>
        <v>ЗАКАЗЧИК РП БЕЛАРУСЬ</v>
      </c>
      <c r="B11980" s="28" t="s">
        <v>51</v>
      </c>
      <c r="C11980" s="28" t="s">
        <v>51</v>
      </c>
      <c r="D11980" s="22" t="s">
        <v>16434</v>
      </c>
      <c r="E11980" s="22" t="s">
        <v>52</v>
      </c>
      <c r="F11980" s="23" t="str">
        <f>HYPERLINK("https://www.spark-marketing.ru/Card/Lot/72226697", "услуги по ремонту и техническому обслуживанию холодильного оборудования и кондиционеров в объектах торговли и общественного питания Гомельского облпотребобщества")</f>
        <v>услуги по ремонту и техническому обслуживанию холодильного оборудования и кондиционеров в объектах торговли и общественного питания Гомельского облпотребобщества</v>
      </c>
      <c r="G11980" s="22" t="s">
        <v>51</v>
      </c>
      <c r="H11980" s="22" t="s">
        <v>51</v>
      </c>
      <c r="I11980" s="26">
        <v>43665</v>
      </c>
      <c r="J11980" s="28" t="s">
        <v>51</v>
      </c>
      <c r="K11980" s="28" t="s">
        <v>51</v>
      </c>
      <c r="L11980" s="28" t="s">
        <v>51</v>
      </c>
      <c r="M11980" s="28" t="s">
        <v>51</v>
      </c>
      <c r="N11980" s="28" t="s">
        <v>51</v>
      </c>
    </row>
    <row r="11981" spans="1:14" x14ac:dyDescent="0.15">
      <c r="A11981" s="23" t="str">
        <f>HYPERLINK("https://www.spark-marketing.ru/Card/Person/540172", "ОГАУ ""ФК ""САХАЛИН""")</f>
        <v>ОГАУ "ФК "САХАЛИН"</v>
      </c>
      <c r="B11981" s="24" t="s">
        <v>1416</v>
      </c>
      <c r="C11981" s="25">
        <v>375467.4</v>
      </c>
      <c r="D11981" s="22" t="s">
        <v>16435</v>
      </c>
      <c r="E11981" s="22" t="s">
        <v>1210</v>
      </c>
      <c r="F11981" s="23" t="str">
        <f>HYPERLINK("https://www.spark-marketing.ru/Card/Lot/72199058", "Оказание услуг по организации проживания и питания")</f>
        <v>Оказание услуг по организации проживания и питания</v>
      </c>
      <c r="G11981" s="22" t="s">
        <v>260</v>
      </c>
      <c r="H11981" s="22" t="s">
        <v>260</v>
      </c>
      <c r="I11981" s="26">
        <v>43664.843831018501</v>
      </c>
      <c r="J11981" s="28" t="s">
        <v>51</v>
      </c>
      <c r="K11981" s="28" t="s">
        <v>51</v>
      </c>
      <c r="L11981" s="28" t="s">
        <v>51</v>
      </c>
      <c r="M11981" s="28" t="s">
        <v>51</v>
      </c>
      <c r="N11981" s="28" t="s">
        <v>51</v>
      </c>
    </row>
    <row r="11982" spans="1:14" x14ac:dyDescent="0.15">
      <c r="A11982" s="23" t="str">
        <f>HYPERLINK("https://www.spark-marketing.ru/Card/Person/75907", "УМВД РОССИИ ПО Г. СИМФЕРОПОЛЮ")</f>
        <v>УМВД РОССИИ ПО Г. СИМФЕРОПОЛЮ</v>
      </c>
      <c r="B11982" s="24" t="s">
        <v>16436</v>
      </c>
      <c r="C11982" s="25">
        <v>350000</v>
      </c>
      <c r="D11982" s="22" t="s">
        <v>16437</v>
      </c>
      <c r="E11982" s="22" t="s">
        <v>48</v>
      </c>
      <c r="F11982" s="23" t="str">
        <f>HYPERLINK("https://www.spark-marketing.ru/Card/Lot/72212676", "Оказание услуг по обеспечению трехразовым горячим питанием лиц, содержащихся в специальном приемнике для содержания лиц, арестованных в административном порядке (СПАА) УМВД России  по г. Симферополю")</f>
        <v>Оказание услуг по обеспечению трехразовым горячим питанием лиц, содержащихся в специальном приемнике для содержания лиц, арестованных в административном порядке (СПАА) УМВД России  по г. Симферополю</v>
      </c>
      <c r="G11982" s="22" t="s">
        <v>108</v>
      </c>
      <c r="H11982" s="22" t="s">
        <v>1355</v>
      </c>
      <c r="I11982" s="26">
        <v>43664.858888888899</v>
      </c>
      <c r="J11982" s="23" t="str">
        <f>HYPERLINK("https://www.spark-marketing.ru/Card/Person/4915048", "ООО ""ТРАДИЦИИ""")</f>
        <v>ООО "ТРАДИЦИИ"</v>
      </c>
      <c r="K11982" s="24" t="s">
        <v>16438</v>
      </c>
      <c r="L11982" s="22" t="s">
        <v>10</v>
      </c>
      <c r="M11982" s="28" t="s">
        <v>51</v>
      </c>
      <c r="N11982" s="28" t="s">
        <v>51</v>
      </c>
    </row>
    <row r="11983" spans="1:14" x14ac:dyDescent="0.15">
      <c r="A11983" s="23" t="str">
        <f>HYPERLINK("https://www.spark-marketing.ru/Card/Person/75907", "УМВД РОССИИ ПО Г. СИМФЕРОПОЛЮ")</f>
        <v>УМВД РОССИИ ПО Г. СИМФЕРОПОЛЮ</v>
      </c>
      <c r="B11983" s="24" t="s">
        <v>16436</v>
      </c>
      <c r="C11983" s="25">
        <v>200000</v>
      </c>
      <c r="D11983" s="22" t="s">
        <v>16439</v>
      </c>
      <c r="E11983" s="22" t="s">
        <v>48</v>
      </c>
      <c r="F11983" s="23" t="str">
        <f>HYPERLINK("https://www.spark-marketing.ru/Card/Lot/72211653", "Оказание услуг по обеспечению трехразовым горячим питанием лиц, содержащихся в изоляторе временного содержания (ИВС) УМВД России  по г. Симферополю")</f>
        <v>Оказание услуг по обеспечению трехразовым горячим питанием лиц, содержащихся в изоляторе временного содержания (ИВС) УМВД России  по г. Симферополю</v>
      </c>
      <c r="G11983" s="22" t="s">
        <v>108</v>
      </c>
      <c r="H11983" s="22" t="s">
        <v>1355</v>
      </c>
      <c r="I11983" s="26">
        <v>43664.833414351902</v>
      </c>
      <c r="J11983" s="23" t="str">
        <f>HYPERLINK("https://www.spark-marketing.ru/Card/Person/4915048", "ООО ""ТРАДИЦИИ""")</f>
        <v>ООО "ТРАДИЦИИ"</v>
      </c>
      <c r="K11983" s="24" t="s">
        <v>16438</v>
      </c>
      <c r="L11983" s="22" t="s">
        <v>10</v>
      </c>
      <c r="M11983" s="28" t="s">
        <v>51</v>
      </c>
      <c r="N11983" s="28" t="s">
        <v>51</v>
      </c>
    </row>
    <row r="11984" spans="1:14" x14ac:dyDescent="0.15">
      <c r="A11984" s="23" t="str">
        <f>HYPERLINK("https://www.spark-marketing.ru/Card/Person/20903", "ГБУЗ ""ООКБ""")</f>
        <v>ГБУЗ "ООКБ"</v>
      </c>
      <c r="B11984" s="24" t="s">
        <v>7365</v>
      </c>
      <c r="C11984" s="25">
        <v>21780</v>
      </c>
      <c r="D11984" s="22" t="s">
        <v>16440</v>
      </c>
      <c r="E11984" s="22" t="s">
        <v>16441</v>
      </c>
      <c r="F11984" s="23" t="str">
        <f>HYPERLINK("https://www.spark-marketing.ru/Card/Lot/72204529", "на поставку кабелей, проводов и шнуров связи")</f>
        <v>на поставку кабелей, проводов и шнуров связи</v>
      </c>
      <c r="G11984" s="22" t="s">
        <v>132</v>
      </c>
      <c r="H11984" s="22" t="s">
        <v>587</v>
      </c>
      <c r="I11984" s="26">
        <v>43664.762986111098</v>
      </c>
      <c r="J11984" s="23" t="str">
        <f>HYPERLINK("https://www.spark-marketing.ru/Card/Person/390597", "ООО ""КОМПЛЕКС-СНАСТ""")</f>
        <v>ООО "КОМПЛЕКС-СНАСТ"</v>
      </c>
      <c r="K11984" s="24" t="s">
        <v>10667</v>
      </c>
      <c r="L11984" s="22" t="s">
        <v>10</v>
      </c>
      <c r="M11984" s="28" t="s">
        <v>51</v>
      </c>
      <c r="N11984" s="28" t="s">
        <v>51</v>
      </c>
    </row>
    <row r="11985" spans="1:14" x14ac:dyDescent="0.2">
      <c r="A11985" s="23" t="str">
        <f>HYPERLINK("https://www.spark-marketing.ru/Card/Person/1359836", "ОГАУЗ ""ТОМСКИЙ ОБЛАСТНОЙ ОНКОЛОГИЧЕСКИЙ ДИСПАНСЕР"" И ОГАУЗ ""ТООД""")</f>
        <v>ОГАУЗ "ТОМСКИЙ ОБЛАСТНОЙ ОНКОЛОГИЧЕСКИЙ ДИСПАНСЕР" И ОГАУЗ "ТООД"</v>
      </c>
      <c r="B11985" s="24" t="s">
        <v>13537</v>
      </c>
      <c r="C11985" s="25">
        <v>10125000</v>
      </c>
      <c r="D11985" s="22" t="s">
        <v>16442</v>
      </c>
      <c r="E11985" s="22" t="s">
        <v>362</v>
      </c>
      <c r="F11985" s="23" t="str">
        <f>HYPERLINK("https://www.spark-marketing.ru/Card/Lot/72201310", "Оказание услуг по лечебному (диетическому) питанию пациентов, находящихся на стационарном лечении.")</f>
        <v>Оказание услуг по лечебному (диетическому) питанию пациентов, находящихся на стационарном лечении.</v>
      </c>
      <c r="G11985" s="22" t="s">
        <v>149</v>
      </c>
      <c r="H11985" s="22" t="s">
        <v>149</v>
      </c>
      <c r="I11985" s="26">
        <v>43664.771446759303</v>
      </c>
      <c r="J11985" s="28" t="s">
        <v>51</v>
      </c>
      <c r="K11985" s="28" t="s">
        <v>51</v>
      </c>
      <c r="L11985" s="22" t="s">
        <v>10</v>
      </c>
      <c r="M11985" s="25">
        <v>10125000</v>
      </c>
      <c r="N11985" s="27">
        <v>0</v>
      </c>
    </row>
    <row r="11986" spans="1:14" collapsed="1" x14ac:dyDescent="0.15">
      <c r="A11986" s="23" t="str">
        <f>HYPERLINK("https://www.spark-marketing.ru/Card/Person/9368", "ГБУЗ ""ООКОД""")</f>
        <v>ГБУЗ "ООКОД"</v>
      </c>
      <c r="B11986" s="24" t="s">
        <v>810</v>
      </c>
      <c r="C11986" s="25">
        <v>396270</v>
      </c>
      <c r="D11986" s="22" t="s">
        <v>16443</v>
      </c>
      <c r="E11986" s="22" t="s">
        <v>10075</v>
      </c>
      <c r="F11986" s="23" t="str">
        <f>HYPERLINK("https://www.spark-marketing.ru/Card/Lot/72204813", "на поставку продуктов питания (картофель)")</f>
        <v>на поставку продуктов питания (картофель)</v>
      </c>
      <c r="G11986" s="22" t="s">
        <v>132</v>
      </c>
      <c r="H11986" s="22" t="s">
        <v>587</v>
      </c>
      <c r="I11986" s="26">
        <v>43664.770752314798</v>
      </c>
      <c r="J11986" s="23" t="str">
        <f>HYPERLINK("https://www.spark-marketing.ru/Card/Person/4863807", "ООО ""БАРОР""")</f>
        <v>ООО "БАРОР"</v>
      </c>
      <c r="K11986" s="24" t="s">
        <v>16444</v>
      </c>
      <c r="L11986" s="28" t="s">
        <v>51</v>
      </c>
      <c r="M11986" s="28" t="s">
        <v>51</v>
      </c>
      <c r="N11986" s="28" t="s">
        <v>51</v>
      </c>
    </row>
    <row r="11987" spans="1:14" ht="12.75" hidden="1" outlineLevel="1" x14ac:dyDescent="0.2">
      <c r="A11987" s="23" t="str">
        <f>HYPERLINK("https://www.spark-marketing.ru/Card/Person/9368", "ГБУЗ ""ООКОД""")</f>
        <v>ГБУЗ "ООКОД"</v>
      </c>
      <c r="B11987" s="24" t="s">
        <v>810</v>
      </c>
      <c r="C11987" s="25">
        <v>396270</v>
      </c>
      <c r="D11987" s="22" t="s">
        <v>16443</v>
      </c>
      <c r="E11987" s="22" t="s">
        <v>10075</v>
      </c>
      <c r="F11987" s="23" t="str">
        <f>HYPERLINK("https://www.spark-marketing.ru/Card/Lot/72204813", "на поставку продуктов питания (картофель)")</f>
        <v>на поставку продуктов питания (картофель)</v>
      </c>
      <c r="G11987" s="22" t="s">
        <v>132</v>
      </c>
      <c r="H11987" s="22" t="s">
        <v>587</v>
      </c>
      <c r="I11987" s="26">
        <v>43664.770752314798</v>
      </c>
      <c r="J11987" s="23" t="str">
        <f>HYPERLINK("https://www.spark-marketing.ru/Card/Person/4863807", "ООО ""БАРОР""")</f>
        <v>ООО "БАРОР"</v>
      </c>
      <c r="K11987" s="24" t="s">
        <v>16444</v>
      </c>
      <c r="L11987" s="22" t="s">
        <v>10</v>
      </c>
      <c r="M11987" s="25">
        <v>394288.65</v>
      </c>
      <c r="N11987" s="27">
        <v>5.0000000000000001E-3</v>
      </c>
    </row>
    <row r="11988" spans="1:14" x14ac:dyDescent="0.15">
      <c r="A11988" s="23" t="str">
        <f>HYPERLINK("https://www.spark-marketing.ru/Card/Person/4343552", "АДМИНИСТРАЦИЯ ПСКОВСКОЙ ОБЛАСТИ")</f>
        <v>АДМИНИСТРАЦИЯ ПСКОВСКОЙ ОБЛАСТИ</v>
      </c>
      <c r="B11988" s="24" t="s">
        <v>4540</v>
      </c>
      <c r="C11988" s="25">
        <v>390000</v>
      </c>
      <c r="D11988" s="22" t="s">
        <v>16445</v>
      </c>
      <c r="E11988" s="22" t="s">
        <v>48</v>
      </c>
      <c r="F11988" s="23" t="str">
        <f>HYPERLINK("https://www.spark-marketing.ru/Card/Lot/72207544", "Оказание услуг по предоставлению питания")</f>
        <v>Оказание услуг по предоставлению питания</v>
      </c>
      <c r="G11988" s="22" t="s">
        <v>415</v>
      </c>
      <c r="H11988" s="22" t="s">
        <v>4542</v>
      </c>
      <c r="I11988" s="26">
        <v>43664.761284722197</v>
      </c>
      <c r="J11988" s="23" t="str">
        <f>HYPERLINK("https://www.spark-marketing.ru/Card/Person/375769", "ООО "" СЕВЗАПИНВЕСТ """)</f>
        <v>ООО " СЕВЗАПИНВЕСТ "</v>
      </c>
      <c r="K11988" s="24" t="s">
        <v>4548</v>
      </c>
      <c r="L11988" s="22" t="s">
        <v>10</v>
      </c>
      <c r="M11988" s="28" t="s">
        <v>51</v>
      </c>
      <c r="N11988" s="28" t="s">
        <v>51</v>
      </c>
    </row>
    <row r="11989" spans="1:14" collapsed="1" x14ac:dyDescent="0.15">
      <c r="A11989" s="23" t="str">
        <f>HYPERLINK("https://www.spark-marketing.ru/Card/Person/44269", "ГБУЗ ""ГКБ № 1"" Г.ОРЕНБУРГА")</f>
        <v>ГБУЗ "ГКБ № 1" Г.ОРЕНБУРГА</v>
      </c>
      <c r="B11989" s="24" t="s">
        <v>16446</v>
      </c>
      <c r="C11989" s="25">
        <v>1972455</v>
      </c>
      <c r="D11989" s="22" t="s">
        <v>16447</v>
      </c>
      <c r="E11989" s="22" t="s">
        <v>809</v>
      </c>
      <c r="F11989" s="23" t="str">
        <f>HYPERLINK("https://www.spark-marketing.ru/Card/Lot/72193041", "На поставку автоматизированных рабочих мест и принтеров")</f>
        <v>На поставку автоматизированных рабочих мест и принтеров</v>
      </c>
      <c r="G11989" s="22" t="s">
        <v>132</v>
      </c>
      <c r="H11989" s="22" t="s">
        <v>587</v>
      </c>
      <c r="I11989" s="26">
        <v>43664.757337962998</v>
      </c>
      <c r="J11989" s="28" t="s">
        <v>51</v>
      </c>
      <c r="K11989" s="28" t="s">
        <v>51</v>
      </c>
      <c r="L11989" s="28" t="s">
        <v>51</v>
      </c>
      <c r="M11989" s="28" t="s">
        <v>51</v>
      </c>
      <c r="N11989" s="28" t="s">
        <v>51</v>
      </c>
    </row>
    <row r="11990" spans="1:14" ht="12.75" hidden="1" outlineLevel="1" x14ac:dyDescent="0.2">
      <c r="A11990" s="23" t="str">
        <f>HYPERLINK("https://www.spark-marketing.ru/Card/Person/44269", "ГБУЗ ""ГКБ № 1"" Г.ОРЕНБУРГА")</f>
        <v>ГБУЗ "ГКБ № 1" Г.ОРЕНБУРГА</v>
      </c>
      <c r="B11990" s="24" t="s">
        <v>16446</v>
      </c>
      <c r="C11990" s="25">
        <v>1972455</v>
      </c>
      <c r="D11990" s="22" t="s">
        <v>16447</v>
      </c>
      <c r="E11990" s="22" t="s">
        <v>809</v>
      </c>
      <c r="F11990" s="23" t="str">
        <f>HYPERLINK("https://www.spark-marketing.ru/Card/Lot/72193041", "На поставку автоматизированных рабочих мест и принтеров")</f>
        <v>На поставку автоматизированных рабочих мест и принтеров</v>
      </c>
      <c r="G11990" s="22" t="s">
        <v>132</v>
      </c>
      <c r="H11990" s="22" t="s">
        <v>587</v>
      </c>
      <c r="I11990" s="26">
        <v>43664.757337962998</v>
      </c>
      <c r="J11990" s="23" t="str">
        <f>HYPERLINK("https://www.spark-marketing.ru/Card/Person/749210", "ООО ""КОМПАНИЯ ТЕХСЕРВИС""")</f>
        <v>ООО "КОМПАНИЯ ТЕХСЕРВИС"</v>
      </c>
      <c r="K11990" s="24" t="s">
        <v>16448</v>
      </c>
      <c r="L11990" s="22" t="s">
        <v>10</v>
      </c>
      <c r="M11990" s="25">
        <v>1460000</v>
      </c>
      <c r="N11990" s="27">
        <v>0.25980567364020979</v>
      </c>
    </row>
    <row r="11991" spans="1:14" hidden="1" outlineLevel="1" x14ac:dyDescent="0.2">
      <c r="A11991" s="23" t="str">
        <f>HYPERLINK("https://www.spark-marketing.ru/Card/Person/44269", "ГБУЗ ""ГКБ № 1"" Г.ОРЕНБУРГА")</f>
        <v>ГБУЗ "ГКБ № 1" Г.ОРЕНБУРГА</v>
      </c>
      <c r="B11991" s="24" t="s">
        <v>16446</v>
      </c>
      <c r="C11991" s="25">
        <v>1972455</v>
      </c>
      <c r="D11991" s="22" t="s">
        <v>16447</v>
      </c>
      <c r="E11991" s="22" t="s">
        <v>809</v>
      </c>
      <c r="F11991" s="23" t="str">
        <f>HYPERLINK("https://www.spark-marketing.ru/Card/Lot/72193041", "На поставку автоматизированных рабочих мест и принтеров")</f>
        <v>На поставку автоматизированных рабочих мест и принтеров</v>
      </c>
      <c r="G11991" s="22" t="s">
        <v>132</v>
      </c>
      <c r="H11991" s="22" t="s">
        <v>587</v>
      </c>
      <c r="I11991" s="26">
        <v>43664.757337962998</v>
      </c>
      <c r="J11991" s="23" t="str">
        <f>HYPERLINK("https://www.spark-marketing.ru/Card/Person/6494601", "ООО ""КОМПТЕХ НН""")</f>
        <v>ООО "КОМПТЕХ НН"</v>
      </c>
      <c r="K11991" s="24" t="s">
        <v>15968</v>
      </c>
      <c r="L11991" s="28" t="s">
        <v>51</v>
      </c>
      <c r="M11991" s="25">
        <v>1470137.72</v>
      </c>
      <c r="N11991" s="27">
        <v>0.25466602786882336</v>
      </c>
    </row>
    <row r="11992" spans="1:14" hidden="1" outlineLevel="1" x14ac:dyDescent="0.2">
      <c r="A11992" s="23" t="str">
        <f>HYPERLINK("https://www.spark-marketing.ru/Card/Person/44269", "ГБУЗ ""ГКБ № 1"" Г.ОРЕНБУРГА")</f>
        <v>ГБУЗ "ГКБ № 1" Г.ОРЕНБУРГА</v>
      </c>
      <c r="B11992" s="24" t="s">
        <v>16446</v>
      </c>
      <c r="C11992" s="25">
        <v>1972455</v>
      </c>
      <c r="D11992" s="22" t="s">
        <v>16447</v>
      </c>
      <c r="E11992" s="22" t="s">
        <v>809</v>
      </c>
      <c r="F11992" s="23" t="str">
        <f>HYPERLINK("https://www.spark-marketing.ru/Card/Lot/72193041", "На поставку автоматизированных рабочих мест и принтеров")</f>
        <v>На поставку автоматизированных рабочих мест и принтеров</v>
      </c>
      <c r="G11992" s="22" t="s">
        <v>132</v>
      </c>
      <c r="H11992" s="22" t="s">
        <v>587</v>
      </c>
      <c r="I11992" s="26">
        <v>43664.757337962998</v>
      </c>
      <c r="J11992" s="23" t="str">
        <f>HYPERLINK("https://www.spark-marketing.ru/Card/Person/1894139", "ООО КОМПАНИЯ ""ТЕХНОВЕК""")</f>
        <v>ООО КОМПАНИЯ "ТЕХНОВЕК"</v>
      </c>
      <c r="K11992" s="24" t="s">
        <v>16449</v>
      </c>
      <c r="L11992" s="28" t="s">
        <v>51</v>
      </c>
      <c r="M11992" s="25">
        <v>1530137.72</v>
      </c>
      <c r="N11992" s="27">
        <v>0.22424708294992787</v>
      </c>
    </row>
    <row r="11993" spans="1:14" collapsed="1" x14ac:dyDescent="0.15">
      <c r="A11993" s="23" t="str">
        <f>HYPERLINK("https://www.spark-marketing.ru/Card/Person/20903", "ГБУЗ ""ООКБ""")</f>
        <v>ГБУЗ "ООКБ"</v>
      </c>
      <c r="B11993" s="24" t="s">
        <v>7365</v>
      </c>
      <c r="C11993" s="25">
        <v>3013200</v>
      </c>
      <c r="D11993" s="22" t="s">
        <v>16450</v>
      </c>
      <c r="E11993" s="22" t="s">
        <v>809</v>
      </c>
      <c r="F11993" s="23" t="str">
        <f>HYPERLINK("https://www.spark-marketing.ru/Card/Lot/72205153", "на поставку автоматизированных рабочих мест")</f>
        <v>на поставку автоматизированных рабочих мест</v>
      </c>
      <c r="G11993" s="22" t="s">
        <v>132</v>
      </c>
      <c r="H11993" s="22" t="s">
        <v>587</v>
      </c>
      <c r="I11993" s="26">
        <v>43664.766828703701</v>
      </c>
      <c r="J11993" s="28" t="s">
        <v>51</v>
      </c>
      <c r="K11993" s="28" t="s">
        <v>51</v>
      </c>
      <c r="L11993" s="28" t="s">
        <v>51</v>
      </c>
      <c r="M11993" s="28" t="s">
        <v>51</v>
      </c>
      <c r="N11993" s="28" t="s">
        <v>51</v>
      </c>
    </row>
    <row r="11994" spans="1:14" ht="12.75" hidden="1" outlineLevel="1" x14ac:dyDescent="0.2">
      <c r="A11994" s="23" t="str">
        <f>HYPERLINK("https://www.spark-marketing.ru/Card/Person/20903", "ГБУЗ ""ООКБ""")</f>
        <v>ГБУЗ "ООКБ"</v>
      </c>
      <c r="B11994" s="24" t="s">
        <v>7365</v>
      </c>
      <c r="C11994" s="25">
        <v>3013200</v>
      </c>
      <c r="D11994" s="22" t="s">
        <v>16450</v>
      </c>
      <c r="E11994" s="22" t="s">
        <v>809</v>
      </c>
      <c r="F11994" s="23" t="str">
        <f>HYPERLINK("https://www.spark-marketing.ru/Card/Lot/72205153", "на поставку автоматизированных рабочих мест")</f>
        <v>на поставку автоматизированных рабочих мест</v>
      </c>
      <c r="G11994" s="22" t="s">
        <v>132</v>
      </c>
      <c r="H11994" s="22" t="s">
        <v>587</v>
      </c>
      <c r="I11994" s="26">
        <v>43664.766828703701</v>
      </c>
      <c r="J11994" s="23" t="str">
        <f>HYPERLINK("https://www.spark-marketing.ru/Card/Person/117844", "ООО ""БСГ""")</f>
        <v>ООО "БСГ"</v>
      </c>
      <c r="K11994" s="24" t="s">
        <v>4855</v>
      </c>
      <c r="L11994" s="22" t="s">
        <v>10</v>
      </c>
      <c r="M11994" s="25">
        <v>2968002</v>
      </c>
      <c r="N11994" s="27">
        <v>1.4999999999999999E-2</v>
      </c>
    </row>
    <row r="11995" spans="1:14" hidden="1" outlineLevel="1" x14ac:dyDescent="0.2">
      <c r="A11995" s="23" t="str">
        <f>HYPERLINK("https://www.spark-marketing.ru/Card/Person/20903", "ГБУЗ ""ООКБ""")</f>
        <v>ГБУЗ "ООКБ"</v>
      </c>
      <c r="B11995" s="24" t="s">
        <v>7365</v>
      </c>
      <c r="C11995" s="25">
        <v>3013200</v>
      </c>
      <c r="D11995" s="22" t="s">
        <v>16450</v>
      </c>
      <c r="E11995" s="22" t="s">
        <v>809</v>
      </c>
      <c r="F11995" s="23" t="str">
        <f>HYPERLINK("https://www.spark-marketing.ru/Card/Lot/72205153", "на поставку автоматизированных рабочих мест")</f>
        <v>на поставку автоматизированных рабочих мест</v>
      </c>
      <c r="G11995" s="22" t="s">
        <v>132</v>
      </c>
      <c r="H11995" s="22" t="s">
        <v>587</v>
      </c>
      <c r="I11995" s="26">
        <v>43664.766828703701</v>
      </c>
      <c r="J11995" s="23" t="str">
        <f>HYPERLINK("https://www.spark-marketing.ru/Card/Person/4863789", "ООО ""РЕМСЕРВИС""")</f>
        <v>ООО "РЕМСЕРВИС"</v>
      </c>
      <c r="K11995" s="24" t="s">
        <v>16451</v>
      </c>
      <c r="L11995" s="28" t="s">
        <v>51</v>
      </c>
      <c r="M11995" s="25">
        <v>2983068</v>
      </c>
      <c r="N11995" s="27">
        <v>0.01</v>
      </c>
    </row>
    <row r="11996" spans="1:14" x14ac:dyDescent="0.15">
      <c r="A11996" s="23" t="str">
        <f>HYPERLINK("https://www.spark-marketing.ru/Card/Person/4347030", "ФКУ ""ЦХИСО МВД ПО РД""")</f>
        <v>ФКУ "ЦХИСО МВД ПО РД"</v>
      </c>
      <c r="B11996" s="24" t="s">
        <v>4765</v>
      </c>
      <c r="C11996" s="25">
        <v>1028962.26</v>
      </c>
      <c r="D11996" s="22" t="s">
        <v>16452</v>
      </c>
      <c r="E11996" s="22" t="s">
        <v>48</v>
      </c>
      <c r="F11996" s="23" t="str">
        <f>HYPERLINK("https://www.spark-marketing.ru/Card/Lot/72213617", "Услуги по организации питания в ИВС МВД по РД (Лот 2)")</f>
        <v>Услуги по организации питания в ИВС МВД по РД (Лот 2)</v>
      </c>
      <c r="G11996" s="22" t="s">
        <v>1607</v>
      </c>
      <c r="H11996" s="22" t="s">
        <v>1607</v>
      </c>
      <c r="I11996" s="26">
        <v>43664.761898148201</v>
      </c>
      <c r="J11996" s="28" t="s">
        <v>51</v>
      </c>
      <c r="K11996" s="28" t="s">
        <v>51</v>
      </c>
      <c r="L11996" s="28" t="s">
        <v>51</v>
      </c>
      <c r="M11996" s="28" t="s">
        <v>51</v>
      </c>
      <c r="N11996" s="28" t="s">
        <v>51</v>
      </c>
    </row>
    <row r="11997" spans="1:14" x14ac:dyDescent="0.15">
      <c r="A11997" s="23" t="str">
        <f>HYPERLINK("https://www.spark-marketing.ru/Card/Person/4347030", "ФКУ ""ЦХИСО МВД ПО РД""")</f>
        <v>ФКУ "ЦХИСО МВД ПО РД"</v>
      </c>
      <c r="B11997" s="24" t="s">
        <v>4765</v>
      </c>
      <c r="C11997" s="25">
        <v>1028962.26</v>
      </c>
      <c r="D11997" s="22" t="s">
        <v>16453</v>
      </c>
      <c r="E11997" s="22" t="s">
        <v>48</v>
      </c>
      <c r="F11997" s="23" t="str">
        <f>HYPERLINK("https://www.spark-marketing.ru/Card/Lot/72213616", "Услуги по организации питания в ИВС МВД по РД (Лот 1)")</f>
        <v>Услуги по организации питания в ИВС МВД по РД (Лот 1)</v>
      </c>
      <c r="G11997" s="22" t="s">
        <v>1607</v>
      </c>
      <c r="H11997" s="22" t="s">
        <v>1607</v>
      </c>
      <c r="I11997" s="26">
        <v>43664.759988425903</v>
      </c>
      <c r="J11997" s="28" t="s">
        <v>51</v>
      </c>
      <c r="K11997" s="28" t="s">
        <v>51</v>
      </c>
      <c r="L11997" s="28" t="s">
        <v>51</v>
      </c>
      <c r="M11997" s="28" t="s">
        <v>51</v>
      </c>
      <c r="N11997" s="28" t="s">
        <v>51</v>
      </c>
    </row>
    <row r="11998" spans="1:14" x14ac:dyDescent="0.15">
      <c r="A11998" s="23" t="str">
        <f>HYPERLINK("https://www.spark-marketing.ru/Card/Person/20903", "ГБУЗ ""ООКБ""")</f>
        <v>ГБУЗ "ООКБ"</v>
      </c>
      <c r="B11998" s="24" t="s">
        <v>7365</v>
      </c>
      <c r="C11998" s="25">
        <v>148010</v>
      </c>
      <c r="D11998" s="22" t="s">
        <v>16454</v>
      </c>
      <c r="E11998" s="22" t="s">
        <v>809</v>
      </c>
      <c r="F11998" s="23" t="str">
        <f>HYPERLINK("https://www.spark-marketing.ru/Card/Lot/72204812", "на поставку комплектующих к компьютерной технике")</f>
        <v>на поставку комплектующих к компьютерной технике</v>
      </c>
      <c r="G11998" s="22" t="s">
        <v>132</v>
      </c>
      <c r="H11998" s="22" t="s">
        <v>587</v>
      </c>
      <c r="I11998" s="26">
        <v>43664.767164351899</v>
      </c>
      <c r="J11998" s="23" t="str">
        <f>HYPERLINK("https://www.spark-marketing.ru/Card/Person/390597", "ООО ""КОМПЛЕКС-СНАСТ""")</f>
        <v>ООО "КОМПЛЕКС-СНАСТ"</v>
      </c>
      <c r="K11998" s="24" t="s">
        <v>10667</v>
      </c>
      <c r="L11998" s="22" t="s">
        <v>10</v>
      </c>
      <c r="M11998" s="28" t="s">
        <v>51</v>
      </c>
      <c r="N11998" s="28" t="s">
        <v>51</v>
      </c>
    </row>
    <row r="11999" spans="1:14" x14ac:dyDescent="0.15">
      <c r="A11999" s="23" t="str">
        <f>HYPERLINK("https://www.spark-marketing.ru/Card/Person/4710024", "МАОО СОШ №4 Г.ЗВЕНИГОРОДА")</f>
        <v>МАОО СОШ №4 Г.ЗВЕНИГОРОДА</v>
      </c>
      <c r="B11999" s="24" t="s">
        <v>16455</v>
      </c>
      <c r="C11999" s="25">
        <v>8338720</v>
      </c>
      <c r="D11999" s="22" t="s">
        <v>16456</v>
      </c>
      <c r="E11999" s="22" t="s">
        <v>362</v>
      </c>
      <c r="F11999" s="23" t="str">
        <f>HYPERLINK("https://www.spark-marketing.ru/Card/Lot/72201902", "Закупка в 2019 году услуг по организации питания для учащихся общеобразовательных учреждений во втором полугодии 2019 года для нужд МАОО СОШ № 4 г.о. Звенигород")</f>
        <v>Закупка в 2019 году услуг по организации питания для учащихся общеобразовательных учреждений во втором полугодии 2019 года для нужд МАОО СОШ № 4 г.о. Звенигород</v>
      </c>
      <c r="G11999" s="22" t="s">
        <v>49</v>
      </c>
      <c r="H11999" s="22" t="s">
        <v>49</v>
      </c>
      <c r="I11999" s="26">
        <v>43664.709907407399</v>
      </c>
      <c r="J11999" s="28" t="s">
        <v>51</v>
      </c>
      <c r="K11999" s="28" t="s">
        <v>51</v>
      </c>
      <c r="L11999" s="28" t="s">
        <v>51</v>
      </c>
      <c r="M11999" s="28" t="s">
        <v>51</v>
      </c>
      <c r="N11999" s="28" t="s">
        <v>51</v>
      </c>
    </row>
    <row r="12000" spans="1:14" collapsed="1" x14ac:dyDescent="0.15">
      <c r="A12000" s="23" t="s">
        <v>114</v>
      </c>
      <c r="B12000" s="28" t="s">
        <v>51</v>
      </c>
      <c r="C12000" s="25">
        <v>8534370</v>
      </c>
      <c r="D12000" s="22" t="s">
        <v>16457</v>
      </c>
      <c r="E12000" s="22" t="s">
        <v>48</v>
      </c>
      <c r="F12000" s="23" t="str">
        <f t="shared" ref="F12000:F12005" si="355">HYPERLINK("https://www.spark-marketing.ru/Card/Lot/72194010", "Оказание услуг по организации школьного горячего питания льготной категории обучающихся на 2 полугодие 2019г.")</f>
        <v>Оказание услуг по организации школьного горячего питания льготной категории обучающихся на 2 полугодие 2019г.</v>
      </c>
      <c r="G12000" s="22" t="s">
        <v>51</v>
      </c>
      <c r="H12000" s="22" t="s">
        <v>51</v>
      </c>
      <c r="I12000" s="26">
        <v>43664.709027777797</v>
      </c>
      <c r="J12000" s="28" t="s">
        <v>51</v>
      </c>
      <c r="K12000" s="28" t="s">
        <v>51</v>
      </c>
      <c r="L12000" s="28" t="s">
        <v>51</v>
      </c>
      <c r="M12000" s="28" t="s">
        <v>51</v>
      </c>
      <c r="N12000" s="28" t="s">
        <v>51</v>
      </c>
    </row>
    <row r="12001" spans="1:14" hidden="1" outlineLevel="1" x14ac:dyDescent="0.15">
      <c r="A12001" s="23" t="str">
        <f>HYPERLINK("https://www.spark-marketing.ru/Card/Person/31264", "МБОУ ""ЛИЦЕЙ № 6 ""ПАРУС""")</f>
        <v>МБОУ "ЛИЦЕЙ № 6 "ПАРУС"</v>
      </c>
      <c r="B12001" s="24" t="s">
        <v>6930</v>
      </c>
      <c r="C12001" s="25">
        <v>2574768</v>
      </c>
      <c r="D12001" s="22" t="s">
        <v>16457</v>
      </c>
      <c r="E12001" s="22" t="s">
        <v>48</v>
      </c>
      <c r="F12001" s="23" t="str">
        <f t="shared" si="355"/>
        <v>Оказание услуг по организации школьного горячего питания льготной категории обучающихся на 2 полугодие 2019г.</v>
      </c>
      <c r="G12001" s="22" t="s">
        <v>49</v>
      </c>
      <c r="H12001" s="22" t="s">
        <v>6883</v>
      </c>
      <c r="I12001" s="26">
        <v>43664.709027777797</v>
      </c>
      <c r="J12001" s="28" t="s">
        <v>51</v>
      </c>
      <c r="K12001" s="28" t="s">
        <v>51</v>
      </c>
      <c r="L12001" s="28" t="s">
        <v>51</v>
      </c>
      <c r="M12001" s="28" t="s">
        <v>51</v>
      </c>
      <c r="N12001" s="28" t="s">
        <v>51</v>
      </c>
    </row>
    <row r="12002" spans="1:14" hidden="1" outlineLevel="1" x14ac:dyDescent="0.15">
      <c r="A12002" s="23" t="str">
        <f>HYPERLINK("https://www.spark-marketing.ru/Card/Person/88409", "МБОУ ""ГИМНАЗИЯ № 5""")</f>
        <v>МБОУ "ГИМНАЗИЯ № 5"</v>
      </c>
      <c r="B12002" s="24" t="s">
        <v>7059</v>
      </c>
      <c r="C12002" s="25">
        <v>5959602</v>
      </c>
      <c r="D12002" s="22" t="s">
        <v>16457</v>
      </c>
      <c r="E12002" s="22" t="s">
        <v>48</v>
      </c>
      <c r="F12002" s="23" t="str">
        <f t="shared" si="355"/>
        <v>Оказание услуг по организации школьного горячего питания льготной категории обучающихся на 2 полугодие 2019г.</v>
      </c>
      <c r="G12002" s="22" t="s">
        <v>49</v>
      </c>
      <c r="H12002" s="22" t="s">
        <v>6883</v>
      </c>
      <c r="I12002" s="26">
        <v>43664.709027777797</v>
      </c>
      <c r="J12002" s="28" t="s">
        <v>51</v>
      </c>
      <c r="K12002" s="28" t="s">
        <v>51</v>
      </c>
      <c r="L12002" s="28" t="s">
        <v>51</v>
      </c>
      <c r="M12002" s="28" t="s">
        <v>51</v>
      </c>
      <c r="N12002" s="28" t="s">
        <v>51</v>
      </c>
    </row>
    <row r="12003" spans="1:14" hidden="1" outlineLevel="1" x14ac:dyDescent="0.2">
      <c r="A12003" s="28" t="s">
        <v>51</v>
      </c>
      <c r="B12003" s="28" t="s">
        <v>51</v>
      </c>
      <c r="C12003" s="28" t="s">
        <v>51</v>
      </c>
      <c r="D12003" s="22" t="s">
        <v>16457</v>
      </c>
      <c r="E12003" s="22" t="s">
        <v>48</v>
      </c>
      <c r="F12003" s="23" t="str">
        <f t="shared" si="355"/>
        <v>Оказание услуг по организации школьного горячего питания льготной категории обучающихся на 2 полугодие 2019г.</v>
      </c>
      <c r="G12003" s="22" t="s">
        <v>51</v>
      </c>
      <c r="H12003" s="22" t="s">
        <v>51</v>
      </c>
      <c r="I12003" s="26">
        <v>43664.709027777797</v>
      </c>
      <c r="J12003" s="23" t="str">
        <f>HYPERLINK("https://www.spark-marketing.ru/Card/Person/391900", "ООО ""НИКА КЛАСС""")</f>
        <v>ООО "НИКА КЛАСС"</v>
      </c>
      <c r="K12003" s="24" t="s">
        <v>16458</v>
      </c>
      <c r="L12003" s="22" t="s">
        <v>10</v>
      </c>
      <c r="M12003" s="25">
        <v>1877561.4</v>
      </c>
      <c r="N12003" s="27">
        <v>0.78</v>
      </c>
    </row>
    <row r="12004" spans="1:14" hidden="1" outlineLevel="1" x14ac:dyDescent="0.2">
      <c r="A12004" s="28" t="s">
        <v>51</v>
      </c>
      <c r="B12004" s="28" t="s">
        <v>51</v>
      </c>
      <c r="C12004" s="28" t="s">
        <v>51</v>
      </c>
      <c r="D12004" s="22" t="s">
        <v>16457</v>
      </c>
      <c r="E12004" s="22" t="s">
        <v>48</v>
      </c>
      <c r="F12004" s="23" t="str">
        <f t="shared" si="355"/>
        <v>Оказание услуг по организации школьного горячего питания льготной категории обучающихся на 2 полугодие 2019г.</v>
      </c>
      <c r="G12004" s="22" t="s">
        <v>51</v>
      </c>
      <c r="H12004" s="22" t="s">
        <v>51</v>
      </c>
      <c r="I12004" s="26">
        <v>43664.709027777797</v>
      </c>
      <c r="J12004" s="23" t="str">
        <f>HYPERLINK("https://www.spark-marketing.ru/Card/Person/5860469", "ООО ""ТЕРЕНЬКОВСКИЕ ЗОРИ""")</f>
        <v>ООО "ТЕРЕНЬКОВСКИЕ ЗОРИ"</v>
      </c>
      <c r="K12004" s="24" t="s">
        <v>16459</v>
      </c>
      <c r="L12004" s="28" t="s">
        <v>51</v>
      </c>
      <c r="M12004" s="25">
        <v>7254214.5</v>
      </c>
      <c r="N12004" s="27">
        <v>0.15</v>
      </c>
    </row>
    <row r="12005" spans="1:14" hidden="1" outlineLevel="1" x14ac:dyDescent="0.2">
      <c r="A12005" s="28" t="s">
        <v>51</v>
      </c>
      <c r="B12005" s="28" t="s">
        <v>51</v>
      </c>
      <c r="C12005" s="28" t="s">
        <v>51</v>
      </c>
      <c r="D12005" s="22" t="s">
        <v>16457</v>
      </c>
      <c r="E12005" s="22" t="s">
        <v>48</v>
      </c>
      <c r="F12005" s="23" t="str">
        <f t="shared" si="355"/>
        <v>Оказание услуг по организации школьного горячего питания льготной категории обучающихся на 2 полугодие 2019г.</v>
      </c>
      <c r="G12005" s="22" t="s">
        <v>51</v>
      </c>
      <c r="H12005" s="22" t="s">
        <v>51</v>
      </c>
      <c r="I12005" s="26">
        <v>43664.709027777797</v>
      </c>
      <c r="J12005" s="23" t="str">
        <f>HYPERLINK("https://www.spark-marketing.ru/Card/Person/708967", "Меркулова Надежда Евгеньевна")</f>
        <v>Меркулова Надежда Евгеньевна</v>
      </c>
      <c r="K12005" s="24" t="s">
        <v>5184</v>
      </c>
      <c r="L12005" s="28" t="s">
        <v>51</v>
      </c>
      <c r="M12005" s="25">
        <v>2304279.9</v>
      </c>
      <c r="N12005" s="27">
        <v>0.73</v>
      </c>
    </row>
    <row r="12006" spans="1:14" collapsed="1" x14ac:dyDescent="0.15">
      <c r="A12006" s="23" t="s">
        <v>114</v>
      </c>
      <c r="B12006" s="28" t="s">
        <v>51</v>
      </c>
      <c r="C12006" s="25">
        <v>3494802</v>
      </c>
      <c r="D12006" s="22" t="s">
        <v>16460</v>
      </c>
      <c r="E12006" s="22" t="s">
        <v>48</v>
      </c>
      <c r="F12006" s="23" t="str">
        <f t="shared" ref="F12006:F12012" si="356">HYPERLINK("https://www.spark-marketing.ru/Card/Lot/72193545", "Оказание услуги по организации горячего льготного питания учащихся")</f>
        <v>Оказание услуги по организации горячего льготного питания учащихся</v>
      </c>
      <c r="G12006" s="22" t="s">
        <v>51</v>
      </c>
      <c r="H12006" s="22" t="s">
        <v>51</v>
      </c>
      <c r="I12006" s="26">
        <v>43664.708333333299</v>
      </c>
      <c r="J12006" s="28" t="s">
        <v>51</v>
      </c>
      <c r="K12006" s="28" t="s">
        <v>51</v>
      </c>
      <c r="L12006" s="28" t="s">
        <v>51</v>
      </c>
      <c r="M12006" s="28" t="s">
        <v>51</v>
      </c>
      <c r="N12006" s="28" t="s">
        <v>51</v>
      </c>
    </row>
    <row r="12007" spans="1:14" hidden="1" outlineLevel="1" x14ac:dyDescent="0.15">
      <c r="A12007" s="23" t="str">
        <f>HYPERLINK("https://www.spark-marketing.ru/Card/Person/135823", "МБОУ ""ЛИЦЕЙ №3""")</f>
        <v>МБОУ "ЛИЦЕЙ №3"</v>
      </c>
      <c r="B12007" s="24" t="s">
        <v>7062</v>
      </c>
      <c r="C12007" s="25">
        <v>2078964</v>
      </c>
      <c r="D12007" s="22" t="s">
        <v>16460</v>
      </c>
      <c r="E12007" s="22" t="s">
        <v>48</v>
      </c>
      <c r="F12007" s="23" t="str">
        <f t="shared" si="356"/>
        <v>Оказание услуги по организации горячего льготного питания учащихся</v>
      </c>
      <c r="G12007" s="22" t="s">
        <v>49</v>
      </c>
      <c r="H12007" s="22" t="s">
        <v>6883</v>
      </c>
      <c r="I12007" s="26">
        <v>43664.708333333299</v>
      </c>
      <c r="J12007" s="28" t="s">
        <v>51</v>
      </c>
      <c r="K12007" s="28" t="s">
        <v>51</v>
      </c>
      <c r="L12007" s="28" t="s">
        <v>51</v>
      </c>
      <c r="M12007" s="28" t="s">
        <v>51</v>
      </c>
      <c r="N12007" s="28" t="s">
        <v>51</v>
      </c>
    </row>
    <row r="12008" spans="1:14" hidden="1" outlineLevel="1" x14ac:dyDescent="0.15">
      <c r="A12008" s="23" t="str">
        <f>HYPERLINK("https://www.spark-marketing.ru/Card/Person/137902", "МБОУ СОШ №1")</f>
        <v>МБОУ СОШ №1</v>
      </c>
      <c r="B12008" s="24" t="s">
        <v>6881</v>
      </c>
      <c r="C12008" s="25">
        <v>1415838</v>
      </c>
      <c r="D12008" s="22" t="s">
        <v>16460</v>
      </c>
      <c r="E12008" s="22" t="s">
        <v>48</v>
      </c>
      <c r="F12008" s="23" t="str">
        <f t="shared" si="356"/>
        <v>Оказание услуги по организации горячего льготного питания учащихся</v>
      </c>
      <c r="G12008" s="22" t="s">
        <v>49</v>
      </c>
      <c r="H12008" s="22" t="s">
        <v>6883</v>
      </c>
      <c r="I12008" s="26">
        <v>43664.708333333299</v>
      </c>
      <c r="J12008" s="28" t="s">
        <v>51</v>
      </c>
      <c r="K12008" s="28" t="s">
        <v>51</v>
      </c>
      <c r="L12008" s="28" t="s">
        <v>51</v>
      </c>
      <c r="M12008" s="28" t="s">
        <v>51</v>
      </c>
      <c r="N12008" s="28" t="s">
        <v>51</v>
      </c>
    </row>
    <row r="12009" spans="1:14" hidden="1" outlineLevel="1" x14ac:dyDescent="0.2">
      <c r="A12009" s="28" t="s">
        <v>51</v>
      </c>
      <c r="B12009" s="28" t="s">
        <v>51</v>
      </c>
      <c r="C12009" s="28" t="s">
        <v>51</v>
      </c>
      <c r="D12009" s="22" t="s">
        <v>16460</v>
      </c>
      <c r="E12009" s="22" t="s">
        <v>48</v>
      </c>
      <c r="F12009" s="23" t="str">
        <f t="shared" si="356"/>
        <v>Оказание услуги по организации горячего льготного питания учащихся</v>
      </c>
      <c r="G12009" s="22" t="s">
        <v>51</v>
      </c>
      <c r="H12009" s="22" t="s">
        <v>51</v>
      </c>
      <c r="I12009" s="26">
        <v>43664.708333333299</v>
      </c>
      <c r="J12009" s="23" t="str">
        <f>HYPERLINK("https://www.spark-marketing.ru/Card/Person/700607", "ООО ""ЖЕМЧУЖИНА""")</f>
        <v>ООО "ЖЕМЧУЖИНА"</v>
      </c>
      <c r="K12009" s="24" t="s">
        <v>16461</v>
      </c>
      <c r="L12009" s="28" t="s">
        <v>51</v>
      </c>
      <c r="M12009" s="25">
        <v>3110374</v>
      </c>
      <c r="N12009" s="27">
        <v>0.10999993704936646</v>
      </c>
    </row>
    <row r="12010" spans="1:14" hidden="1" outlineLevel="1" x14ac:dyDescent="0.2">
      <c r="A12010" s="28" t="s">
        <v>51</v>
      </c>
      <c r="B12010" s="28" t="s">
        <v>51</v>
      </c>
      <c r="C12010" s="28" t="s">
        <v>51</v>
      </c>
      <c r="D12010" s="22" t="s">
        <v>16460</v>
      </c>
      <c r="E12010" s="22" t="s">
        <v>48</v>
      </c>
      <c r="F12010" s="23" t="str">
        <f t="shared" si="356"/>
        <v>Оказание услуги по организации горячего льготного питания учащихся</v>
      </c>
      <c r="G12010" s="22" t="s">
        <v>51</v>
      </c>
      <c r="H12010" s="22" t="s">
        <v>51</v>
      </c>
      <c r="I12010" s="26">
        <v>43664.708333333299</v>
      </c>
      <c r="J12010" s="23" t="str">
        <f>HYPERLINK("https://www.spark-marketing.ru/Card/Person/5860469", "ООО ""ТЕРЕНЬКОВСКИЕ ЗОРИ""")</f>
        <v>ООО "ТЕРЕНЬКОВСКИЕ ЗОРИ"</v>
      </c>
      <c r="K12010" s="24" t="s">
        <v>16459</v>
      </c>
      <c r="L12010" s="28" t="s">
        <v>51</v>
      </c>
      <c r="M12010" s="25">
        <v>2970581.7</v>
      </c>
      <c r="N12010" s="27">
        <v>0.15</v>
      </c>
    </row>
    <row r="12011" spans="1:14" hidden="1" outlineLevel="1" x14ac:dyDescent="0.2">
      <c r="A12011" s="28" t="s">
        <v>51</v>
      </c>
      <c r="B12011" s="28" t="s">
        <v>51</v>
      </c>
      <c r="C12011" s="28" t="s">
        <v>51</v>
      </c>
      <c r="D12011" s="22" t="s">
        <v>16460</v>
      </c>
      <c r="E12011" s="22" t="s">
        <v>48</v>
      </c>
      <c r="F12011" s="23" t="str">
        <f t="shared" si="356"/>
        <v>Оказание услуги по организации горячего льготного питания учащихся</v>
      </c>
      <c r="G12011" s="22" t="s">
        <v>51</v>
      </c>
      <c r="H12011" s="22" t="s">
        <v>51</v>
      </c>
      <c r="I12011" s="26">
        <v>43664.708333333299</v>
      </c>
      <c r="J12011" s="23" t="str">
        <f>HYPERLINK("https://www.spark-marketing.ru/Card/Person/708967", "Меркулова Надежда Евгеньевна")</f>
        <v>Меркулова Надежда Евгеньевна</v>
      </c>
      <c r="K12011" s="24" t="s">
        <v>5184</v>
      </c>
      <c r="L12011" s="28" t="s">
        <v>51</v>
      </c>
      <c r="M12011" s="25">
        <v>943596.54</v>
      </c>
      <c r="N12011" s="27">
        <v>0.73</v>
      </c>
    </row>
    <row r="12012" spans="1:14" hidden="1" outlineLevel="1" x14ac:dyDescent="0.2">
      <c r="A12012" s="28" t="s">
        <v>51</v>
      </c>
      <c r="B12012" s="28" t="s">
        <v>51</v>
      </c>
      <c r="C12012" s="28" t="s">
        <v>51</v>
      </c>
      <c r="D12012" s="22" t="s">
        <v>16460</v>
      </c>
      <c r="E12012" s="22" t="s">
        <v>48</v>
      </c>
      <c r="F12012" s="23" t="str">
        <f t="shared" si="356"/>
        <v>Оказание услуги по организации горячего льготного питания учащихся</v>
      </c>
      <c r="G12012" s="22" t="s">
        <v>51</v>
      </c>
      <c r="H12012" s="22" t="s">
        <v>51</v>
      </c>
      <c r="I12012" s="26">
        <v>43664.708333333299</v>
      </c>
      <c r="J12012" s="23" t="str">
        <f>HYPERLINK("https://www.spark-marketing.ru/Card/Person/391900", "ООО ""НИКА КЛАСС""")</f>
        <v>ООО "НИКА КЛАСС"</v>
      </c>
      <c r="K12012" s="24" t="s">
        <v>16458</v>
      </c>
      <c r="L12012" s="22" t="s">
        <v>10</v>
      </c>
      <c r="M12012" s="25">
        <v>1153284.6599999999</v>
      </c>
      <c r="N12012" s="27">
        <v>0.67</v>
      </c>
    </row>
    <row r="12013" spans="1:14" x14ac:dyDescent="0.2">
      <c r="A12013" s="23" t="str">
        <f>HYPERLINK("https://www.spark-marketing.ru/Card/Person/44377", "НАЦИОНАЛЬНЫЙ ИССЛЕДОВАТЕЛЬСКИЙ УНИВЕРСИТЕТ ""ВЫСШАЯ ШКОЛА ЭКОНОМИКИ"";ВЫСШАЯ ШКОЛА ЭКОНОМИКИ;НИУ ВШЭ;ВШЭ")</f>
        <v>НАЦИОНАЛЬНЫЙ ИССЛЕДОВАТЕЛЬСКИЙ УНИВЕРСИТЕТ "ВЫСШАЯ ШКОЛА ЭКОНОМИКИ";ВЫСШАЯ ШКОЛА ЭКОНОМИКИ;НИУ ВШЭ;ВШЭ</v>
      </c>
      <c r="B12013" s="24" t="s">
        <v>1925</v>
      </c>
      <c r="C12013" s="25">
        <v>749700</v>
      </c>
      <c r="D12013" s="22" t="s">
        <v>16462</v>
      </c>
      <c r="E12013" s="22" t="s">
        <v>362</v>
      </c>
      <c r="F12013" s="23" t="str">
        <f>HYPERLINK("https://www.spark-marketing.ru/Card/Lot/72198373", "Оказание услуг по обеспечению питанием участников летней студенческой математической школы «Алгебра и Теория Чисел - 2019»")</f>
        <v>Оказание услуг по обеспечению питанием участников летней студенческой математической школы «Алгебра и Теория Чисел - 2019»</v>
      </c>
      <c r="G12013" s="22" t="s">
        <v>56</v>
      </c>
      <c r="H12013" s="22" t="s">
        <v>56</v>
      </c>
      <c r="I12013" s="26">
        <v>43664.733217592599</v>
      </c>
      <c r="J12013" s="28" t="s">
        <v>51</v>
      </c>
      <c r="K12013" s="28" t="s">
        <v>51</v>
      </c>
      <c r="L12013" s="28" t="s">
        <v>51</v>
      </c>
      <c r="M12013" s="25">
        <v>749700</v>
      </c>
      <c r="N12013" s="27">
        <v>0</v>
      </c>
    </row>
    <row r="12014" spans="1:14" x14ac:dyDescent="0.15">
      <c r="A12014" s="23" t="str">
        <f>HYPERLINK("https://www.spark-marketing.ru/Card/Person/9800", "АДМИНИСТРАЦИЯ ГОРОДА БИЙСКА")</f>
        <v>АДМИНИСТРАЦИЯ ГОРОДА БИЙСКА</v>
      </c>
      <c r="B12014" s="24" t="s">
        <v>16463</v>
      </c>
      <c r="C12014" s="25">
        <v>300000</v>
      </c>
      <c r="D12014" s="22" t="s">
        <v>16464</v>
      </c>
      <c r="E12014" s="22" t="s">
        <v>67</v>
      </c>
      <c r="F12014" s="23" t="str">
        <f>HYPERLINK("https://www.spark-marketing.ru/Card/Lot/72203384", "Оказание услуг по организации проведения официальных мероприятий Администрации города Бийска.")</f>
        <v>Оказание услуг по организации проведения официальных мероприятий Администрации города Бийска.</v>
      </c>
      <c r="G12014" s="22" t="s">
        <v>63</v>
      </c>
      <c r="H12014" s="22" t="s">
        <v>1294</v>
      </c>
      <c r="I12014" s="26">
        <v>43664.716724537</v>
      </c>
      <c r="J12014" s="23" t="str">
        <f>HYPERLINK("https://www.spark-marketing.ru/Card/Person/198476", "ООО ""КШП ""МАЯК""")</f>
        <v>ООО "КШП "МАЯК"</v>
      </c>
      <c r="K12014" s="24" t="s">
        <v>16465</v>
      </c>
      <c r="L12014" s="22" t="s">
        <v>10</v>
      </c>
      <c r="M12014" s="28" t="s">
        <v>51</v>
      </c>
      <c r="N12014" s="28" t="s">
        <v>51</v>
      </c>
    </row>
    <row r="12015" spans="1:14" x14ac:dyDescent="0.15">
      <c r="A12015" s="23" t="str">
        <f>HYPERLINK("https://www.spark-marketing.ru/Card/Person/54653", "ГБУ РС (Я) ""ОЦРБ""")</f>
        <v>ГБУ РС (Я) "ОЦРБ"</v>
      </c>
      <c r="B12015" s="24" t="s">
        <v>5242</v>
      </c>
      <c r="C12015" s="25">
        <v>1999985</v>
      </c>
      <c r="D12015" s="22" t="s">
        <v>16466</v>
      </c>
      <c r="E12015" s="22" t="s">
        <v>51</v>
      </c>
      <c r="F12015" s="23" t="str">
        <f>HYPERLINK("https://www.spark-marketing.ru/Card/Lot/72203871", "Оказание услуги по организации, обслуживанию и обеспечению питанием пациентов, находящихся на стационарном лечении")</f>
        <v>Оказание услуги по организации, обслуживанию и обеспечению питанием пациентов, находящихся на стационарном лечении</v>
      </c>
      <c r="G12015" s="22" t="s">
        <v>241</v>
      </c>
      <c r="H12015" s="22" t="s">
        <v>5244</v>
      </c>
      <c r="I12015" s="26">
        <v>43664.729803240698</v>
      </c>
      <c r="J12015" s="28" t="s">
        <v>51</v>
      </c>
      <c r="K12015" s="28" t="s">
        <v>51</v>
      </c>
      <c r="L12015" s="28" t="s">
        <v>51</v>
      </c>
      <c r="M12015" s="28" t="s">
        <v>51</v>
      </c>
      <c r="N12015" s="28" t="s">
        <v>51</v>
      </c>
    </row>
    <row r="12016" spans="1:14" collapsed="1" x14ac:dyDescent="0.15">
      <c r="A12016" s="23" t="str">
        <f>HYPERLINK("https://www.spark-marketing.ru/Card/Person/53933", "СПБ ГБПОУ ""УОР № 2 (ТЕХНИКУМ)""")</f>
        <v>СПБ ГБПОУ "УОР № 2 (ТЕХНИКУМ)"</v>
      </c>
      <c r="B12016" s="24" t="s">
        <v>2322</v>
      </c>
      <c r="C12016" s="25">
        <v>329560</v>
      </c>
      <c r="D12016" s="22" t="s">
        <v>16467</v>
      </c>
      <c r="E12016" s="22" t="s">
        <v>16468</v>
      </c>
      <c r="F12016" s="23" t="str">
        <f>HYPERLINK("https://www.spark-marketing.ru/Card/Lot/72195043", "Оказание услуг по предоставлению проживания, питания и спортивных сооружений при проведении тренировочного мероприятия к летнему Чемпионату и Первенству г. Санкт-Петербурга для занимающихся СПб ГБПОУ ""УОР № 2 (техникум) отделения ""Лыжные гонки"" в ...")</f>
        <v>Оказание услуг по предоставлению проживания, питания и спортивных сооружений при проведении тренировочного мероприятия к летнему Чемпионату и Первенству г. Санкт-Петербурга для занимающихся СПб ГБПОУ "УОР № 2 (техникум) отделения "Лыжные гонки" в ...</v>
      </c>
      <c r="G12016" s="22" t="s">
        <v>117</v>
      </c>
      <c r="H12016" s="22" t="s">
        <v>117</v>
      </c>
      <c r="I12016" s="26">
        <v>43664.7277777778</v>
      </c>
      <c r="J12016" s="23" t="str">
        <f>HYPERLINK("https://www.spark-marketing.ru/Card/Person/4953167", "ООО ""ЮПИТЕР""")</f>
        <v>ООО "ЮПИТЕР"</v>
      </c>
      <c r="K12016" s="24" t="s">
        <v>2324</v>
      </c>
      <c r="L12016" s="28" t="s">
        <v>51</v>
      </c>
      <c r="M12016" s="28" t="s">
        <v>51</v>
      </c>
      <c r="N12016" s="28" t="s">
        <v>51</v>
      </c>
    </row>
    <row r="12017" spans="1:14" ht="12.75" hidden="1" outlineLevel="1" x14ac:dyDescent="0.2">
      <c r="A12017" s="23" t="str">
        <f>HYPERLINK("https://www.spark-marketing.ru/Card/Person/53933", "СПБ ГБПОУ ""УОР № 2 (ТЕХНИКУМ)""")</f>
        <v>СПБ ГБПОУ "УОР № 2 (ТЕХНИКУМ)"</v>
      </c>
      <c r="B12017" s="24" t="s">
        <v>2322</v>
      </c>
      <c r="C12017" s="25">
        <v>329560</v>
      </c>
      <c r="D12017" s="22" t="s">
        <v>16467</v>
      </c>
      <c r="E12017" s="22" t="s">
        <v>16468</v>
      </c>
      <c r="F12017" s="23" t="str">
        <f>HYPERLINK("https://www.spark-marketing.ru/Card/Lot/72195043", "Оказание услуг по предоставлению проживания, питания и спортивных сооружений при проведении тренировочного мероприятия к летнему Чемпионату и Первенству г. Санкт-Петербурга для занимающихся СПб ГБПОУ ""УОР № 2 (техникум) отделения ""Лыжные гонки"" в ...")</f>
        <v>Оказание услуг по предоставлению проживания, питания и спортивных сооружений при проведении тренировочного мероприятия к летнему Чемпионату и Первенству г. Санкт-Петербурга для занимающихся СПб ГБПОУ "УОР № 2 (техникум) отделения "Лыжные гонки" в ...</v>
      </c>
      <c r="G12017" s="22" t="s">
        <v>117</v>
      </c>
      <c r="H12017" s="22" t="s">
        <v>117</v>
      </c>
      <c r="I12017" s="26">
        <v>43664.7277777778</v>
      </c>
      <c r="J12017" s="23" t="str">
        <f>HYPERLINK("https://www.spark-marketing.ru/Card/Person/4953167", "ООО ""ЮПИТЕР""")</f>
        <v>ООО "ЮПИТЕР"</v>
      </c>
      <c r="K12017" s="24" t="s">
        <v>2324</v>
      </c>
      <c r="L12017" s="22" t="s">
        <v>10</v>
      </c>
      <c r="M12017" s="25">
        <v>327912.2</v>
      </c>
      <c r="N12017" s="27">
        <v>5.0000000000000001E-3</v>
      </c>
    </row>
    <row r="12018" spans="1:14" x14ac:dyDescent="0.15">
      <c r="A12018" s="23" t="str">
        <f>HYPERLINK("https://www.spark-marketing.ru/Card/Person/54653", "ГБУ РС (Я) ""ОЦРБ""")</f>
        <v>ГБУ РС (Я) "ОЦРБ"</v>
      </c>
      <c r="B12018" s="24" t="s">
        <v>5242</v>
      </c>
      <c r="C12018" s="25">
        <v>2199795</v>
      </c>
      <c r="D12018" s="22" t="s">
        <v>16469</v>
      </c>
      <c r="E12018" s="22" t="s">
        <v>51</v>
      </c>
      <c r="F12018" s="23" t="str">
        <f>HYPERLINK("https://www.spark-marketing.ru/Card/Lot/72203835", "Оказание услуги по организации, обслуживанию и обеспечению питанием пациентов, находящихся на стационарном лечении")</f>
        <v>Оказание услуги по организации, обслуживанию и обеспечению питанием пациентов, находящихся на стационарном лечении</v>
      </c>
      <c r="G12018" s="22" t="s">
        <v>241</v>
      </c>
      <c r="H12018" s="22" t="s">
        <v>5244</v>
      </c>
      <c r="I12018" s="26">
        <v>43664.730694444399</v>
      </c>
      <c r="J12018" s="28" t="s">
        <v>51</v>
      </c>
      <c r="K12018" s="28" t="s">
        <v>51</v>
      </c>
      <c r="L12018" s="28" t="s">
        <v>51</v>
      </c>
      <c r="M12018" s="28" t="s">
        <v>51</v>
      </c>
      <c r="N12018" s="28" t="s">
        <v>51</v>
      </c>
    </row>
    <row r="12019" spans="1:14" x14ac:dyDescent="0.15">
      <c r="A12019" s="23" t="str">
        <f>HYPERLINK("https://www.spark-marketing.ru/Card/Person/4875967", "ГАПОУ ПО ПКТТ")</f>
        <v>ГАПОУ ПО ПКТТ</v>
      </c>
      <c r="B12019" s="24" t="s">
        <v>11218</v>
      </c>
      <c r="C12019" s="25">
        <v>274050</v>
      </c>
      <c r="D12019" s="22" t="s">
        <v>16470</v>
      </c>
      <c r="E12019" s="22" t="s">
        <v>362</v>
      </c>
      <c r="F12019" s="23" t="str">
        <f>HYPERLINK("https://www.spark-marketing.ru/Card/Lot/72200224", "Услуги по организации горячего питания обучающихся в ГАПОУ ПО ПКТТ (Лунинский филиал)")</f>
        <v>Услуги по организации горячего питания обучающихся в ГАПОУ ПО ПКТТ (Лунинский филиал)</v>
      </c>
      <c r="G12019" s="22" t="s">
        <v>72</v>
      </c>
      <c r="H12019" s="22" t="s">
        <v>72</v>
      </c>
      <c r="I12019" s="26">
        <v>43664.717997685198</v>
      </c>
      <c r="J12019" s="28" t="s">
        <v>51</v>
      </c>
      <c r="K12019" s="28" t="s">
        <v>51</v>
      </c>
      <c r="L12019" s="28" t="s">
        <v>51</v>
      </c>
      <c r="M12019" s="28" t="s">
        <v>51</v>
      </c>
      <c r="N12019" s="28" t="s">
        <v>51</v>
      </c>
    </row>
    <row r="12020" spans="1:14" collapsed="1" x14ac:dyDescent="0.2">
      <c r="A12020" s="23" t="s">
        <v>114</v>
      </c>
      <c r="B12020" s="28" t="s">
        <v>51</v>
      </c>
      <c r="C12020" s="25">
        <v>3835308</v>
      </c>
      <c r="D12020" s="22" t="s">
        <v>16471</v>
      </c>
      <c r="E12020" s="22" t="s">
        <v>48</v>
      </c>
      <c r="F12020" s="23" t="str">
        <f t="shared" ref="F12020:F12031" si="357">HYPERLINK("https://www.spark-marketing.ru/Card/Lot/72193512", "Оказание услуг по предоставлению питания школьникам образовательных учреждений города Рязани")</f>
        <v>Оказание услуг по предоставлению питания школьникам образовательных учреждений города Рязани</v>
      </c>
      <c r="G12020" s="22" t="s">
        <v>51</v>
      </c>
      <c r="H12020" s="22" t="s">
        <v>51</v>
      </c>
      <c r="I12020" s="26">
        <v>43664.723611111098</v>
      </c>
      <c r="J12020" s="23" t="str">
        <f t="shared" ref="J12020:J12031" si="358">HYPERLINK("https://www.spark-marketing.ru/Card/Person/50743", "МП ""ДЕТСКОЕ ПИТАНИЕ""")</f>
        <v>МП "ДЕТСКОЕ ПИТАНИЕ"</v>
      </c>
      <c r="K12020" s="24" t="s">
        <v>1562</v>
      </c>
      <c r="L12020" s="28" t="s">
        <v>51</v>
      </c>
      <c r="M12020" s="25">
        <v>3835308</v>
      </c>
      <c r="N12020" s="27">
        <v>0</v>
      </c>
    </row>
    <row r="12021" spans="1:14" hidden="1" outlineLevel="1" x14ac:dyDescent="0.2">
      <c r="A12021" s="23" t="str">
        <f>HYPERLINK("https://www.spark-marketing.ru/Card/Person/233240", "МБОУ ""ШКОЛА № 29""")</f>
        <v>МБОУ "ШКОЛА № 29"</v>
      </c>
      <c r="B12021" s="24" t="s">
        <v>16472</v>
      </c>
      <c r="C12021" s="25">
        <v>176748</v>
      </c>
      <c r="D12021" s="22" t="s">
        <v>16471</v>
      </c>
      <c r="E12021" s="22" t="s">
        <v>48</v>
      </c>
      <c r="F12021" s="23" t="str">
        <f t="shared" si="357"/>
        <v>Оказание услуг по предоставлению питания школьникам образовательных учреждений города Рязани</v>
      </c>
      <c r="G12021" s="22" t="s">
        <v>51</v>
      </c>
      <c r="H12021" s="22" t="s">
        <v>51</v>
      </c>
      <c r="I12021" s="26">
        <v>43664.723611111098</v>
      </c>
      <c r="J12021" s="23" t="str">
        <f t="shared" si="358"/>
        <v>МП "ДЕТСКОЕ ПИТАНИЕ"</v>
      </c>
      <c r="K12021" s="24" t="s">
        <v>1562</v>
      </c>
      <c r="L12021" s="28" t="s">
        <v>51</v>
      </c>
      <c r="M12021" s="28" t="s">
        <v>51</v>
      </c>
      <c r="N12021" s="27">
        <v>0</v>
      </c>
    </row>
    <row r="12022" spans="1:14" hidden="1" outlineLevel="1" x14ac:dyDescent="0.2">
      <c r="A12022" s="23" t="str">
        <f>HYPERLINK("https://www.spark-marketing.ru/Card/Person/233288", "МБОУ ""ШКОЛА № 73""")</f>
        <v>МБОУ "ШКОЛА № 73"</v>
      </c>
      <c r="B12022" s="24" t="s">
        <v>16473</v>
      </c>
      <c r="C12022" s="25">
        <v>626240</v>
      </c>
      <c r="D12022" s="22" t="s">
        <v>16471</v>
      </c>
      <c r="E12022" s="22" t="s">
        <v>48</v>
      </c>
      <c r="F12022" s="23" t="str">
        <f t="shared" si="357"/>
        <v>Оказание услуг по предоставлению питания школьникам образовательных учреждений города Рязани</v>
      </c>
      <c r="G12022" s="22" t="s">
        <v>1522</v>
      </c>
      <c r="H12022" s="22" t="s">
        <v>1523</v>
      </c>
      <c r="I12022" s="26">
        <v>43664.723611111098</v>
      </c>
      <c r="J12022" s="23" t="str">
        <f t="shared" si="358"/>
        <v>МП "ДЕТСКОЕ ПИТАНИЕ"</v>
      </c>
      <c r="K12022" s="24" t="s">
        <v>1562</v>
      </c>
      <c r="L12022" s="28" t="s">
        <v>51</v>
      </c>
      <c r="M12022" s="28" t="s">
        <v>51</v>
      </c>
      <c r="N12022" s="27">
        <v>0</v>
      </c>
    </row>
    <row r="12023" spans="1:14" hidden="1" outlineLevel="1" x14ac:dyDescent="0.2">
      <c r="A12023" s="23" t="str">
        <f>HYPERLINK("https://www.spark-marketing.ru/Card/Person/233292", "МБОУ ""ШКОЛА № 8""")</f>
        <v>МБОУ "ШКОЛА № 8"</v>
      </c>
      <c r="B12023" s="24" t="s">
        <v>16474</v>
      </c>
      <c r="C12023" s="25">
        <v>435072</v>
      </c>
      <c r="D12023" s="22" t="s">
        <v>16471</v>
      </c>
      <c r="E12023" s="22" t="s">
        <v>48</v>
      </c>
      <c r="F12023" s="23" t="str">
        <f t="shared" si="357"/>
        <v>Оказание услуг по предоставлению питания школьникам образовательных учреждений города Рязани</v>
      </c>
      <c r="G12023" s="22" t="s">
        <v>1522</v>
      </c>
      <c r="H12023" s="22" t="s">
        <v>1523</v>
      </c>
      <c r="I12023" s="26">
        <v>43664.723611111098</v>
      </c>
      <c r="J12023" s="23" t="str">
        <f t="shared" si="358"/>
        <v>МП "ДЕТСКОЕ ПИТАНИЕ"</v>
      </c>
      <c r="K12023" s="24" t="s">
        <v>1562</v>
      </c>
      <c r="L12023" s="28" t="s">
        <v>51</v>
      </c>
      <c r="M12023" s="28" t="s">
        <v>51</v>
      </c>
      <c r="N12023" s="27">
        <v>0</v>
      </c>
    </row>
    <row r="12024" spans="1:14" hidden="1" outlineLevel="1" x14ac:dyDescent="0.2">
      <c r="A12024" s="23" t="str">
        <f>HYPERLINK("https://www.spark-marketing.ru/Card/Person/233297", "МБОУ ""ШКОЛА № 32""")</f>
        <v>МБОУ "ШКОЛА № 32"</v>
      </c>
      <c r="B12024" s="24" t="s">
        <v>16475</v>
      </c>
      <c r="C12024" s="25">
        <v>199408</v>
      </c>
      <c r="D12024" s="22" t="s">
        <v>16471</v>
      </c>
      <c r="E12024" s="22" t="s">
        <v>48</v>
      </c>
      <c r="F12024" s="23" t="str">
        <f t="shared" si="357"/>
        <v>Оказание услуг по предоставлению питания школьникам образовательных учреждений города Рязани</v>
      </c>
      <c r="G12024" s="22" t="s">
        <v>1522</v>
      </c>
      <c r="H12024" s="22" t="s">
        <v>1523</v>
      </c>
      <c r="I12024" s="26">
        <v>43664.723611111098</v>
      </c>
      <c r="J12024" s="23" t="str">
        <f t="shared" si="358"/>
        <v>МП "ДЕТСКОЕ ПИТАНИЕ"</v>
      </c>
      <c r="K12024" s="24" t="s">
        <v>1562</v>
      </c>
      <c r="L12024" s="28" t="s">
        <v>51</v>
      </c>
      <c r="M12024" s="28" t="s">
        <v>51</v>
      </c>
      <c r="N12024" s="27">
        <v>0</v>
      </c>
    </row>
    <row r="12025" spans="1:14" hidden="1" outlineLevel="1" x14ac:dyDescent="0.2">
      <c r="A12025" s="23" t="str">
        <f>HYPERLINK("https://www.spark-marketing.ru/Card/Person/233299", "МБОУ ""ШКОЛА № 15""")</f>
        <v>МБОУ "ШКОЛА № 15"</v>
      </c>
      <c r="B12025" s="24" t="s">
        <v>16476</v>
      </c>
      <c r="C12025" s="25">
        <v>369564</v>
      </c>
      <c r="D12025" s="22" t="s">
        <v>16471</v>
      </c>
      <c r="E12025" s="22" t="s">
        <v>48</v>
      </c>
      <c r="F12025" s="23" t="str">
        <f t="shared" si="357"/>
        <v>Оказание услуг по предоставлению питания школьникам образовательных учреждений города Рязани</v>
      </c>
      <c r="G12025" s="22" t="s">
        <v>1522</v>
      </c>
      <c r="H12025" s="22" t="s">
        <v>1523</v>
      </c>
      <c r="I12025" s="26">
        <v>43664.723611111098</v>
      </c>
      <c r="J12025" s="23" t="str">
        <f t="shared" si="358"/>
        <v>МП "ДЕТСКОЕ ПИТАНИЕ"</v>
      </c>
      <c r="K12025" s="24" t="s">
        <v>1562</v>
      </c>
      <c r="L12025" s="28" t="s">
        <v>51</v>
      </c>
      <c r="M12025" s="28" t="s">
        <v>51</v>
      </c>
      <c r="N12025" s="27">
        <v>0</v>
      </c>
    </row>
    <row r="12026" spans="1:14" hidden="1" outlineLevel="1" x14ac:dyDescent="0.2">
      <c r="A12026" s="23" t="str">
        <f>HYPERLINK("https://www.spark-marketing.ru/Card/Person/233307", "МБОУ ""ШКОЛА № 6 С УГЛУБЛЕННЫМ ИЗУЧЕНИЕМ ФРАНЦУЗСКОГО ЯЗЫКА""")</f>
        <v>МБОУ "ШКОЛА № 6 С УГЛУБЛЕННЫМ ИЗУЧЕНИЕМ ФРАНЦУЗСКОГО ЯЗЫКА"</v>
      </c>
      <c r="B12026" s="24" t="s">
        <v>16477</v>
      </c>
      <c r="C12026" s="25">
        <v>105472</v>
      </c>
      <c r="D12026" s="22" t="s">
        <v>16471</v>
      </c>
      <c r="E12026" s="22" t="s">
        <v>48</v>
      </c>
      <c r="F12026" s="23" t="str">
        <f t="shared" si="357"/>
        <v>Оказание услуг по предоставлению питания школьникам образовательных учреждений города Рязани</v>
      </c>
      <c r="G12026" s="22" t="s">
        <v>51</v>
      </c>
      <c r="H12026" s="22" t="s">
        <v>51</v>
      </c>
      <c r="I12026" s="26">
        <v>43664.723611111098</v>
      </c>
      <c r="J12026" s="23" t="str">
        <f t="shared" si="358"/>
        <v>МП "ДЕТСКОЕ ПИТАНИЕ"</v>
      </c>
      <c r="K12026" s="24" t="s">
        <v>1562</v>
      </c>
      <c r="L12026" s="28" t="s">
        <v>51</v>
      </c>
      <c r="M12026" s="28" t="s">
        <v>51</v>
      </c>
      <c r="N12026" s="27">
        <v>0</v>
      </c>
    </row>
    <row r="12027" spans="1:14" hidden="1" outlineLevel="1" x14ac:dyDescent="0.2">
      <c r="A12027" s="23" t="str">
        <f>HYPERLINK("https://www.spark-marketing.ru/Card/Person/233332", "МБОУ ""ШКОЛА № 7 ""РУССКАЯ КЛАССИЧЕСКАЯ ШКОЛА""")</f>
        <v>МБОУ "ШКОЛА № 7 "РУССКАЯ КЛАССИЧЕСКАЯ ШКОЛА"</v>
      </c>
      <c r="B12027" s="24" t="s">
        <v>16478</v>
      </c>
      <c r="C12027" s="25">
        <v>389752</v>
      </c>
      <c r="D12027" s="22" t="s">
        <v>16471</v>
      </c>
      <c r="E12027" s="22" t="s">
        <v>48</v>
      </c>
      <c r="F12027" s="23" t="str">
        <f t="shared" si="357"/>
        <v>Оказание услуг по предоставлению питания школьникам образовательных учреждений города Рязани</v>
      </c>
      <c r="G12027" s="22" t="s">
        <v>1522</v>
      </c>
      <c r="H12027" s="22" t="s">
        <v>1523</v>
      </c>
      <c r="I12027" s="26">
        <v>43664.723611111098</v>
      </c>
      <c r="J12027" s="23" t="str">
        <f t="shared" si="358"/>
        <v>МП "ДЕТСКОЕ ПИТАНИЕ"</v>
      </c>
      <c r="K12027" s="24" t="s">
        <v>1562</v>
      </c>
      <c r="L12027" s="28" t="s">
        <v>51</v>
      </c>
      <c r="M12027" s="28" t="s">
        <v>51</v>
      </c>
      <c r="N12027" s="27">
        <v>0</v>
      </c>
    </row>
    <row r="12028" spans="1:14" hidden="1" outlineLevel="1" x14ac:dyDescent="0.2">
      <c r="A12028" s="23" t="str">
        <f>HYPERLINK("https://www.spark-marketing.ru/Card/Person/233334", "МБОУ ""ШКОЛА № 36""")</f>
        <v>МБОУ "ШКОЛА № 36"</v>
      </c>
      <c r="B12028" s="24" t="s">
        <v>16479</v>
      </c>
      <c r="C12028" s="25">
        <v>296640</v>
      </c>
      <c r="D12028" s="22" t="s">
        <v>16471</v>
      </c>
      <c r="E12028" s="22" t="s">
        <v>48</v>
      </c>
      <c r="F12028" s="23" t="str">
        <f t="shared" si="357"/>
        <v>Оказание услуг по предоставлению питания школьникам образовательных учреждений города Рязани</v>
      </c>
      <c r="G12028" s="22" t="s">
        <v>1522</v>
      </c>
      <c r="H12028" s="22" t="s">
        <v>1523</v>
      </c>
      <c r="I12028" s="26">
        <v>43664.723611111098</v>
      </c>
      <c r="J12028" s="23" t="str">
        <f t="shared" si="358"/>
        <v>МП "ДЕТСКОЕ ПИТАНИЕ"</v>
      </c>
      <c r="K12028" s="24" t="s">
        <v>1562</v>
      </c>
      <c r="L12028" s="28" t="s">
        <v>51</v>
      </c>
      <c r="M12028" s="28" t="s">
        <v>51</v>
      </c>
      <c r="N12028" s="27">
        <v>0</v>
      </c>
    </row>
    <row r="12029" spans="1:14" hidden="1" outlineLevel="1" x14ac:dyDescent="0.2">
      <c r="A12029" s="23" t="str">
        <f>HYPERLINK("https://www.spark-marketing.ru/Card/Person/233353", "МБОУ ""ШКОЛА № 1 ИМ. В.П. ЕКИМЕЦКОЙ""")</f>
        <v>МБОУ "ШКОЛА № 1 ИМ. В.П. ЕКИМЕЦКОЙ"</v>
      </c>
      <c r="B12029" s="24" t="s">
        <v>16480</v>
      </c>
      <c r="C12029" s="25">
        <v>369564</v>
      </c>
      <c r="D12029" s="22" t="s">
        <v>16471</v>
      </c>
      <c r="E12029" s="22" t="s">
        <v>48</v>
      </c>
      <c r="F12029" s="23" t="str">
        <f t="shared" si="357"/>
        <v>Оказание услуг по предоставлению питания школьникам образовательных учреждений города Рязани</v>
      </c>
      <c r="G12029" s="22" t="s">
        <v>1522</v>
      </c>
      <c r="H12029" s="22" t="s">
        <v>1523</v>
      </c>
      <c r="I12029" s="26">
        <v>43664.723611111098</v>
      </c>
      <c r="J12029" s="23" t="str">
        <f t="shared" si="358"/>
        <v>МП "ДЕТСКОЕ ПИТАНИЕ"</v>
      </c>
      <c r="K12029" s="24" t="s">
        <v>1562</v>
      </c>
      <c r="L12029" s="28" t="s">
        <v>51</v>
      </c>
      <c r="M12029" s="28" t="s">
        <v>51</v>
      </c>
      <c r="N12029" s="27">
        <v>0</v>
      </c>
    </row>
    <row r="12030" spans="1:14" hidden="1" outlineLevel="1" x14ac:dyDescent="0.2">
      <c r="A12030" s="23" t="str">
        <f>HYPERLINK("https://www.spark-marketing.ru/Card/Person/233363", "МБОУ ""ШКОЛА № 14""")</f>
        <v>МБОУ "ШКОЛА № 14"</v>
      </c>
      <c r="B12030" s="24" t="s">
        <v>16481</v>
      </c>
      <c r="C12030" s="25">
        <v>438368</v>
      </c>
      <c r="D12030" s="22" t="s">
        <v>16471</v>
      </c>
      <c r="E12030" s="22" t="s">
        <v>48</v>
      </c>
      <c r="F12030" s="23" t="str">
        <f t="shared" si="357"/>
        <v>Оказание услуг по предоставлению питания школьникам образовательных учреждений города Рязани</v>
      </c>
      <c r="G12030" s="22" t="s">
        <v>1522</v>
      </c>
      <c r="H12030" s="22" t="s">
        <v>1523</v>
      </c>
      <c r="I12030" s="26">
        <v>43664.723611111098</v>
      </c>
      <c r="J12030" s="23" t="str">
        <f t="shared" si="358"/>
        <v>МП "ДЕТСКОЕ ПИТАНИЕ"</v>
      </c>
      <c r="K12030" s="24" t="s">
        <v>1562</v>
      </c>
      <c r="L12030" s="28" t="s">
        <v>51</v>
      </c>
      <c r="M12030" s="28" t="s">
        <v>51</v>
      </c>
      <c r="N12030" s="27">
        <v>0</v>
      </c>
    </row>
    <row r="12031" spans="1:14" hidden="1" outlineLevel="1" x14ac:dyDescent="0.2">
      <c r="A12031" s="23" t="str">
        <f>HYPERLINK("https://www.spark-marketing.ru/Card/Person/4353227", "МБОУ ""ГИМНАЗИЯ № 2""")</f>
        <v>МБОУ "ГИМНАЗИЯ № 2"</v>
      </c>
      <c r="B12031" s="24" t="s">
        <v>16482</v>
      </c>
      <c r="C12031" s="25">
        <v>428480</v>
      </c>
      <c r="D12031" s="22" t="s">
        <v>16471</v>
      </c>
      <c r="E12031" s="22" t="s">
        <v>48</v>
      </c>
      <c r="F12031" s="23" t="str">
        <f t="shared" si="357"/>
        <v>Оказание услуг по предоставлению питания школьникам образовательных учреждений города Рязани</v>
      </c>
      <c r="G12031" s="22" t="s">
        <v>1522</v>
      </c>
      <c r="H12031" s="22" t="s">
        <v>1523</v>
      </c>
      <c r="I12031" s="26">
        <v>43664.723611111098</v>
      </c>
      <c r="J12031" s="23" t="str">
        <f t="shared" si="358"/>
        <v>МП "ДЕТСКОЕ ПИТАНИЕ"</v>
      </c>
      <c r="K12031" s="24" t="s">
        <v>1562</v>
      </c>
      <c r="L12031" s="28" t="s">
        <v>51</v>
      </c>
      <c r="M12031" s="28" t="s">
        <v>51</v>
      </c>
      <c r="N12031" s="27">
        <v>0</v>
      </c>
    </row>
    <row r="12032" spans="1:14" collapsed="1" x14ac:dyDescent="0.15">
      <c r="A12032" s="23" t="str">
        <f>HYPERLINK("https://www.spark-marketing.ru/Card/Person/9368", "ГБУЗ ""ООКОД""")</f>
        <v>ГБУЗ "ООКОД"</v>
      </c>
      <c r="B12032" s="24" t="s">
        <v>810</v>
      </c>
      <c r="C12032" s="25">
        <v>232400</v>
      </c>
      <c r="D12032" s="22" t="s">
        <v>16483</v>
      </c>
      <c r="E12032" s="22" t="s">
        <v>809</v>
      </c>
      <c r="F12032" s="23" t="str">
        <f>HYPERLINK("https://www.spark-marketing.ru/Card/Lot/72191647", "на поставку вычислительного электронного цифрового оборудования (автоматизированное рабочее место на замену)в рамках регионального проекта ""Создание единого цифрового контура в здравоохранении на основе единой государственной информационной системы ...")</f>
        <v>на поставку вычислительного электронного цифрового оборудования (автоматизированное рабочее место на замену)в рамках регионального проекта "Создание единого цифрового контура в здравоохранении на основе единой государственной информационной системы ...</v>
      </c>
      <c r="G12032" s="22" t="s">
        <v>132</v>
      </c>
      <c r="H12032" s="22" t="s">
        <v>587</v>
      </c>
      <c r="I12032" s="26">
        <v>43664.737141203703</v>
      </c>
      <c r="J12032" s="28" t="s">
        <v>51</v>
      </c>
      <c r="K12032" s="28" t="s">
        <v>51</v>
      </c>
      <c r="L12032" s="28" t="s">
        <v>51</v>
      </c>
      <c r="M12032" s="28" t="s">
        <v>51</v>
      </c>
      <c r="N12032" s="28" t="s">
        <v>51</v>
      </c>
    </row>
    <row r="12033" spans="1:14" hidden="1" outlineLevel="1" x14ac:dyDescent="0.2">
      <c r="A12033" s="23" t="str">
        <f>HYPERLINK("https://www.spark-marketing.ru/Card/Person/9368", "ГБУЗ ""ООКОД""")</f>
        <v>ГБУЗ "ООКОД"</v>
      </c>
      <c r="B12033" s="24" t="s">
        <v>810</v>
      </c>
      <c r="C12033" s="25">
        <v>232400</v>
      </c>
      <c r="D12033" s="22" t="s">
        <v>16483</v>
      </c>
      <c r="E12033" s="22" t="s">
        <v>809</v>
      </c>
      <c r="F12033" s="23" t="str">
        <f>HYPERLINK("https://www.spark-marketing.ru/Card/Lot/72191647", "на поставку вычислительного электронного цифрового оборудования (автоматизированное рабочее место на замену)в рамках регионального проекта ""Создание единого цифрового контура в здравоохранении на основе единой государственной информационной системы ...")</f>
        <v>на поставку вычислительного электронного цифрового оборудования (автоматизированное рабочее место на замену)в рамках регионального проекта "Создание единого цифрового контура в здравоохранении на основе единой государственной информационной системы ...</v>
      </c>
      <c r="G12033" s="22" t="s">
        <v>132</v>
      </c>
      <c r="H12033" s="22" t="s">
        <v>587</v>
      </c>
      <c r="I12033" s="26">
        <v>43664.737141203703</v>
      </c>
      <c r="J12033" s="23" t="str">
        <f>HYPERLINK("https://www.spark-marketing.ru/Card/Person/4879297", "ООО ""СТРУКТУРА МОМЕНТА""")</f>
        <v>ООО "СТРУКТУРА МОМЕНТА"</v>
      </c>
      <c r="K12033" s="24" t="s">
        <v>1783</v>
      </c>
      <c r="L12033" s="28" t="s">
        <v>51</v>
      </c>
      <c r="M12033" s="25">
        <v>185920</v>
      </c>
      <c r="N12033" s="27">
        <v>0.2</v>
      </c>
    </row>
    <row r="12034" spans="1:14" ht="12.75" hidden="1" outlineLevel="1" x14ac:dyDescent="0.2">
      <c r="A12034" s="23" t="str">
        <f>HYPERLINK("https://www.spark-marketing.ru/Card/Person/9368", "ГБУЗ ""ООКОД""")</f>
        <v>ГБУЗ "ООКОД"</v>
      </c>
      <c r="B12034" s="24" t="s">
        <v>810</v>
      </c>
      <c r="C12034" s="25">
        <v>232400</v>
      </c>
      <c r="D12034" s="22" t="s">
        <v>16483</v>
      </c>
      <c r="E12034" s="22" t="s">
        <v>809</v>
      </c>
      <c r="F12034" s="23" t="str">
        <f>HYPERLINK("https://www.spark-marketing.ru/Card/Lot/72191647", "на поставку вычислительного электронного цифрового оборудования (автоматизированное рабочее место на замену)в рамках регионального проекта ""Создание единого цифрового контура в здравоохранении на основе единой государственной информационной системы ...")</f>
        <v>на поставку вычислительного электронного цифрового оборудования (автоматизированное рабочее место на замену)в рамках регионального проекта "Создание единого цифрового контура в здравоохранении на основе единой государственной информационной системы ...</v>
      </c>
      <c r="G12034" s="22" t="s">
        <v>132</v>
      </c>
      <c r="H12034" s="22" t="s">
        <v>587</v>
      </c>
      <c r="I12034" s="26">
        <v>43664.737141203703</v>
      </c>
      <c r="J12034" s="23" t="str">
        <f>HYPERLINK("https://www.spark-marketing.ru/Card/Person/390597", "ООО ""КОМПЛЕКС-СНАСТ""")</f>
        <v>ООО "КОМПЛЕКС-СНАСТ"</v>
      </c>
      <c r="K12034" s="24" t="s">
        <v>10667</v>
      </c>
      <c r="L12034" s="22" t="s">
        <v>10</v>
      </c>
      <c r="M12034" s="25">
        <v>184758</v>
      </c>
      <c r="N12034" s="27">
        <v>0.20499999999999999</v>
      </c>
    </row>
    <row r="12035" spans="1:14" collapsed="1" x14ac:dyDescent="0.2">
      <c r="A12035" s="23" t="s">
        <v>114</v>
      </c>
      <c r="B12035" s="28" t="s">
        <v>51</v>
      </c>
      <c r="C12035" s="25">
        <v>6738177.5999999996</v>
      </c>
      <c r="D12035" s="22" t="s">
        <v>16484</v>
      </c>
      <c r="E12035" s="22" t="s">
        <v>48</v>
      </c>
      <c r="F12035" s="23" t="str">
        <f t="shared" ref="F12035:F12052" si="359">HYPERLINK("https://www.spark-marketing.ru/Card/Lot/72194009", "Оказание услуг по предоставлению питания школьникам образовательных учреждений города Рязани")</f>
        <v>Оказание услуг по предоставлению питания школьникам образовательных учреждений города Рязани</v>
      </c>
      <c r="G12035" s="22" t="s">
        <v>51</v>
      </c>
      <c r="H12035" s="22" t="s">
        <v>51</v>
      </c>
      <c r="I12035" s="26">
        <v>43664.728472222203</v>
      </c>
      <c r="J12035" s="23" t="str">
        <f t="shared" ref="J12035:J12052" si="360">HYPERLINK("https://www.spark-marketing.ru/Card/Person/50743", "МП ""ДЕТСКОЕ ПИТАНИЕ""")</f>
        <v>МП "ДЕТСКОЕ ПИТАНИЕ"</v>
      </c>
      <c r="K12035" s="24" t="s">
        <v>1562</v>
      </c>
      <c r="L12035" s="28" t="s">
        <v>51</v>
      </c>
      <c r="M12035" s="25">
        <v>6738177.5999999996</v>
      </c>
      <c r="N12035" s="27">
        <v>0</v>
      </c>
    </row>
    <row r="12036" spans="1:14" hidden="1" outlineLevel="1" x14ac:dyDescent="0.2">
      <c r="A12036" s="23" t="str">
        <f>HYPERLINK("https://www.spark-marketing.ru/Card/Person/133803", "МБОУ ""ШКОЛА № 30""")</f>
        <v>МБОУ "ШКОЛА № 30"</v>
      </c>
      <c r="B12036" s="24" t="s">
        <v>16485</v>
      </c>
      <c r="C12036" s="25">
        <v>559825.6</v>
      </c>
      <c r="D12036" s="22" t="s">
        <v>16484</v>
      </c>
      <c r="E12036" s="22" t="s">
        <v>48</v>
      </c>
      <c r="F12036" s="23" t="str">
        <f t="shared" si="359"/>
        <v>Оказание услуг по предоставлению питания школьникам образовательных учреждений города Рязани</v>
      </c>
      <c r="G12036" s="22" t="s">
        <v>1522</v>
      </c>
      <c r="H12036" s="22" t="s">
        <v>1523</v>
      </c>
      <c r="I12036" s="26">
        <v>43664.728472222203</v>
      </c>
      <c r="J12036" s="23" t="str">
        <f t="shared" si="360"/>
        <v>МП "ДЕТСКОЕ ПИТАНИЕ"</v>
      </c>
      <c r="K12036" s="24" t="s">
        <v>1562</v>
      </c>
      <c r="L12036" s="28" t="s">
        <v>51</v>
      </c>
      <c r="M12036" s="28" t="s">
        <v>51</v>
      </c>
      <c r="N12036" s="27">
        <v>0</v>
      </c>
    </row>
    <row r="12037" spans="1:14" hidden="1" outlineLevel="1" x14ac:dyDescent="0.2">
      <c r="A12037" s="23" t="str">
        <f>HYPERLINK("https://www.spark-marketing.ru/Card/Person/136014", "МБОУ ""ШКОЛА № 20""")</f>
        <v>МБОУ "ШКОЛА № 20"</v>
      </c>
      <c r="B12037" s="24" t="s">
        <v>16486</v>
      </c>
      <c r="C12037" s="25">
        <v>257088</v>
      </c>
      <c r="D12037" s="22" t="s">
        <v>16484</v>
      </c>
      <c r="E12037" s="22" t="s">
        <v>48</v>
      </c>
      <c r="F12037" s="23" t="str">
        <f t="shared" si="359"/>
        <v>Оказание услуг по предоставлению питания школьникам образовательных учреждений города Рязани</v>
      </c>
      <c r="G12037" s="22" t="s">
        <v>1522</v>
      </c>
      <c r="H12037" s="22" t="s">
        <v>1523</v>
      </c>
      <c r="I12037" s="26">
        <v>43664.728472222203</v>
      </c>
      <c r="J12037" s="23" t="str">
        <f t="shared" si="360"/>
        <v>МП "ДЕТСКОЕ ПИТАНИЕ"</v>
      </c>
      <c r="K12037" s="24" t="s">
        <v>1562</v>
      </c>
      <c r="L12037" s="28" t="s">
        <v>51</v>
      </c>
      <c r="M12037" s="28" t="s">
        <v>51</v>
      </c>
      <c r="N12037" s="27">
        <v>0</v>
      </c>
    </row>
    <row r="12038" spans="1:14" hidden="1" outlineLevel="1" x14ac:dyDescent="0.2">
      <c r="A12038" s="23" t="str">
        <f>HYPERLINK("https://www.spark-marketing.ru/Card/Person/233227", "МБОУ ""ШКОЛА № 58""")</f>
        <v>МБОУ "ШКОЛА № 58"</v>
      </c>
      <c r="B12038" s="24" t="s">
        <v>16487</v>
      </c>
      <c r="C12038" s="25">
        <v>589984</v>
      </c>
      <c r="D12038" s="22" t="s">
        <v>16484</v>
      </c>
      <c r="E12038" s="22" t="s">
        <v>48</v>
      </c>
      <c r="F12038" s="23" t="str">
        <f t="shared" si="359"/>
        <v>Оказание услуг по предоставлению питания школьникам образовательных учреждений города Рязани</v>
      </c>
      <c r="G12038" s="22" t="s">
        <v>1522</v>
      </c>
      <c r="H12038" s="22" t="s">
        <v>1523</v>
      </c>
      <c r="I12038" s="26">
        <v>43664.728472222203</v>
      </c>
      <c r="J12038" s="23" t="str">
        <f t="shared" si="360"/>
        <v>МП "ДЕТСКОЕ ПИТАНИЕ"</v>
      </c>
      <c r="K12038" s="24" t="s">
        <v>1562</v>
      </c>
      <c r="L12038" s="28" t="s">
        <v>51</v>
      </c>
      <c r="M12038" s="28" t="s">
        <v>51</v>
      </c>
      <c r="N12038" s="27">
        <v>0</v>
      </c>
    </row>
    <row r="12039" spans="1:14" hidden="1" outlineLevel="1" x14ac:dyDescent="0.2">
      <c r="A12039" s="23" t="str">
        <f>HYPERLINK("https://www.spark-marketing.ru/Card/Person/233230", "МБОУ ""ШКОЛА № 40""")</f>
        <v>МБОУ "ШКОЛА № 40"</v>
      </c>
      <c r="B12039" s="24" t="s">
        <v>16488</v>
      </c>
      <c r="C12039" s="25">
        <v>446443.2</v>
      </c>
      <c r="D12039" s="22" t="s">
        <v>16484</v>
      </c>
      <c r="E12039" s="22" t="s">
        <v>48</v>
      </c>
      <c r="F12039" s="23" t="str">
        <f t="shared" si="359"/>
        <v>Оказание услуг по предоставлению питания школьникам образовательных учреждений города Рязани</v>
      </c>
      <c r="G12039" s="22" t="s">
        <v>1522</v>
      </c>
      <c r="H12039" s="22" t="s">
        <v>1523</v>
      </c>
      <c r="I12039" s="26">
        <v>43664.728472222203</v>
      </c>
      <c r="J12039" s="23" t="str">
        <f t="shared" si="360"/>
        <v>МП "ДЕТСКОЕ ПИТАНИЕ"</v>
      </c>
      <c r="K12039" s="24" t="s">
        <v>1562</v>
      </c>
      <c r="L12039" s="28" t="s">
        <v>51</v>
      </c>
      <c r="M12039" s="28" t="s">
        <v>51</v>
      </c>
      <c r="N12039" s="27">
        <v>0</v>
      </c>
    </row>
    <row r="12040" spans="1:14" hidden="1" outlineLevel="1" x14ac:dyDescent="0.2">
      <c r="A12040" s="23" t="str">
        <f>HYPERLINK("https://www.spark-marketing.ru/Card/Person/233239", "МБОУ ""ШКОЛА № 28""")</f>
        <v>МБОУ "ШКОЛА № 28"</v>
      </c>
      <c r="B12040" s="24" t="s">
        <v>16489</v>
      </c>
      <c r="C12040" s="25">
        <v>177984</v>
      </c>
      <c r="D12040" s="22" t="s">
        <v>16484</v>
      </c>
      <c r="E12040" s="22" t="s">
        <v>48</v>
      </c>
      <c r="F12040" s="23" t="str">
        <f t="shared" si="359"/>
        <v>Оказание услуг по предоставлению питания школьникам образовательных учреждений города Рязани</v>
      </c>
      <c r="G12040" s="22" t="s">
        <v>1522</v>
      </c>
      <c r="H12040" s="22" t="s">
        <v>1523</v>
      </c>
      <c r="I12040" s="26">
        <v>43664.728472222203</v>
      </c>
      <c r="J12040" s="23" t="str">
        <f t="shared" si="360"/>
        <v>МП "ДЕТСКОЕ ПИТАНИЕ"</v>
      </c>
      <c r="K12040" s="24" t="s">
        <v>1562</v>
      </c>
      <c r="L12040" s="28" t="s">
        <v>51</v>
      </c>
      <c r="M12040" s="28" t="s">
        <v>51</v>
      </c>
      <c r="N12040" s="27">
        <v>0</v>
      </c>
    </row>
    <row r="12041" spans="1:14" hidden="1" outlineLevel="1" x14ac:dyDescent="0.2">
      <c r="A12041" s="23" t="str">
        <f>HYPERLINK("https://www.spark-marketing.ru/Card/Person/233251", "МБОУ ""ШКОЛА № 56""")</f>
        <v>МБОУ "ШКОЛА № 56"</v>
      </c>
      <c r="B12041" s="24" t="s">
        <v>16490</v>
      </c>
      <c r="C12041" s="25">
        <v>701224</v>
      </c>
      <c r="D12041" s="22" t="s">
        <v>16484</v>
      </c>
      <c r="E12041" s="22" t="s">
        <v>48</v>
      </c>
      <c r="F12041" s="23" t="str">
        <f t="shared" si="359"/>
        <v>Оказание услуг по предоставлению питания школьникам образовательных учреждений города Рязани</v>
      </c>
      <c r="G12041" s="22" t="s">
        <v>1522</v>
      </c>
      <c r="H12041" s="22" t="s">
        <v>1523</v>
      </c>
      <c r="I12041" s="26">
        <v>43664.728472222203</v>
      </c>
      <c r="J12041" s="23" t="str">
        <f t="shared" si="360"/>
        <v>МП "ДЕТСКОЕ ПИТАНИЕ"</v>
      </c>
      <c r="K12041" s="24" t="s">
        <v>1562</v>
      </c>
      <c r="L12041" s="28" t="s">
        <v>51</v>
      </c>
      <c r="M12041" s="28" t="s">
        <v>51</v>
      </c>
      <c r="N12041" s="27">
        <v>0</v>
      </c>
    </row>
    <row r="12042" spans="1:14" hidden="1" outlineLevel="1" x14ac:dyDescent="0.2">
      <c r="A12042" s="23" t="str">
        <f>HYPERLINK("https://www.spark-marketing.ru/Card/Person/233258", "МБОУ ""ЛИЦЕЙ № 52""")</f>
        <v>МБОУ "ЛИЦЕЙ № 52"</v>
      </c>
      <c r="B12042" s="24" t="s">
        <v>16491</v>
      </c>
      <c r="C12042" s="25">
        <v>333308</v>
      </c>
      <c r="D12042" s="22" t="s">
        <v>16484</v>
      </c>
      <c r="E12042" s="22" t="s">
        <v>48</v>
      </c>
      <c r="F12042" s="23" t="str">
        <f t="shared" si="359"/>
        <v>Оказание услуг по предоставлению питания школьникам образовательных учреждений города Рязани</v>
      </c>
      <c r="G12042" s="22" t="s">
        <v>1522</v>
      </c>
      <c r="H12042" s="22" t="s">
        <v>1523</v>
      </c>
      <c r="I12042" s="26">
        <v>43664.728472222203</v>
      </c>
      <c r="J12042" s="23" t="str">
        <f t="shared" si="360"/>
        <v>МП "ДЕТСКОЕ ПИТАНИЕ"</v>
      </c>
      <c r="K12042" s="24" t="s">
        <v>1562</v>
      </c>
      <c r="L12042" s="28" t="s">
        <v>51</v>
      </c>
      <c r="M12042" s="28" t="s">
        <v>51</v>
      </c>
      <c r="N12042" s="27">
        <v>0</v>
      </c>
    </row>
    <row r="12043" spans="1:14" hidden="1" outlineLevel="1" x14ac:dyDescent="0.2">
      <c r="A12043" s="23" t="str">
        <f>HYPERLINK("https://www.spark-marketing.ru/Card/Person/233260", "МБОУ ""ШКОЛА № 53""")</f>
        <v>МБОУ "ШКОЛА № 53"</v>
      </c>
      <c r="B12043" s="24" t="s">
        <v>16492</v>
      </c>
      <c r="C12043" s="25">
        <v>324985.59999999998</v>
      </c>
      <c r="D12043" s="22" t="s">
        <v>16484</v>
      </c>
      <c r="E12043" s="22" t="s">
        <v>48</v>
      </c>
      <c r="F12043" s="23" t="str">
        <f t="shared" si="359"/>
        <v>Оказание услуг по предоставлению питания школьникам образовательных учреждений города Рязани</v>
      </c>
      <c r="G12043" s="22" t="s">
        <v>1522</v>
      </c>
      <c r="H12043" s="22" t="s">
        <v>1523</v>
      </c>
      <c r="I12043" s="26">
        <v>43664.728472222203</v>
      </c>
      <c r="J12043" s="23" t="str">
        <f t="shared" si="360"/>
        <v>МП "ДЕТСКОЕ ПИТАНИЕ"</v>
      </c>
      <c r="K12043" s="24" t="s">
        <v>1562</v>
      </c>
      <c r="L12043" s="28" t="s">
        <v>51</v>
      </c>
      <c r="M12043" s="28" t="s">
        <v>51</v>
      </c>
      <c r="N12043" s="27">
        <v>0</v>
      </c>
    </row>
    <row r="12044" spans="1:14" hidden="1" outlineLevel="1" x14ac:dyDescent="0.2">
      <c r="A12044" s="23" t="str">
        <f>HYPERLINK("https://www.spark-marketing.ru/Card/Person/233271", "МБОУ ""ШКОЛА № 55 С УГЛУБЛЕННЫМ ИЗУЧЕНИЕМ ОТДЕЛЬНЫХ УЧЕБНЫХ ПРЕДМЕТОВ""")</f>
        <v>МБОУ "ШКОЛА № 55 С УГЛУБЛЕННЫМ ИЗУЧЕНИЕМ ОТДЕЛЬНЫХ УЧЕБНЫХ ПРЕДМЕТОВ"</v>
      </c>
      <c r="B12044" s="24" t="s">
        <v>16493</v>
      </c>
      <c r="C12044" s="25">
        <v>441664</v>
      </c>
      <c r="D12044" s="22" t="s">
        <v>16484</v>
      </c>
      <c r="E12044" s="22" t="s">
        <v>48</v>
      </c>
      <c r="F12044" s="23" t="str">
        <f t="shared" si="359"/>
        <v>Оказание услуг по предоставлению питания школьникам образовательных учреждений города Рязани</v>
      </c>
      <c r="G12044" s="22" t="s">
        <v>1522</v>
      </c>
      <c r="H12044" s="22" t="s">
        <v>1523</v>
      </c>
      <c r="I12044" s="26">
        <v>43664.728472222203</v>
      </c>
      <c r="J12044" s="23" t="str">
        <f t="shared" si="360"/>
        <v>МП "ДЕТСКОЕ ПИТАНИЕ"</v>
      </c>
      <c r="K12044" s="24" t="s">
        <v>1562</v>
      </c>
      <c r="L12044" s="28" t="s">
        <v>51</v>
      </c>
      <c r="M12044" s="28" t="s">
        <v>51</v>
      </c>
      <c r="N12044" s="27">
        <v>0</v>
      </c>
    </row>
    <row r="12045" spans="1:14" hidden="1" outlineLevel="1" x14ac:dyDescent="0.2">
      <c r="A12045" s="23" t="str">
        <f>HYPERLINK("https://www.spark-marketing.ru/Card/Person/233296", "МБОУ ""ШКОЛА № 48""")</f>
        <v>МБОУ "ШКОЛА № 48"</v>
      </c>
      <c r="B12045" s="24" t="s">
        <v>16494</v>
      </c>
      <c r="C12045" s="25">
        <v>427408.8</v>
      </c>
      <c r="D12045" s="22" t="s">
        <v>16484</v>
      </c>
      <c r="E12045" s="22" t="s">
        <v>48</v>
      </c>
      <c r="F12045" s="23" t="str">
        <f t="shared" si="359"/>
        <v>Оказание услуг по предоставлению питания школьникам образовательных учреждений города Рязани</v>
      </c>
      <c r="G12045" s="22" t="s">
        <v>1522</v>
      </c>
      <c r="H12045" s="22" t="s">
        <v>1523</v>
      </c>
      <c r="I12045" s="26">
        <v>43664.728472222203</v>
      </c>
      <c r="J12045" s="23" t="str">
        <f t="shared" si="360"/>
        <v>МП "ДЕТСКОЕ ПИТАНИЕ"</v>
      </c>
      <c r="K12045" s="24" t="s">
        <v>1562</v>
      </c>
      <c r="L12045" s="28" t="s">
        <v>51</v>
      </c>
      <c r="M12045" s="28" t="s">
        <v>51</v>
      </c>
      <c r="N12045" s="27">
        <v>0</v>
      </c>
    </row>
    <row r="12046" spans="1:14" hidden="1" outlineLevel="1" x14ac:dyDescent="0.2">
      <c r="A12046" s="23" t="str">
        <f>HYPERLINK("https://www.spark-marketing.ru/Card/Person/233321", "МБОУ ""ШКОЛА № 35""")</f>
        <v>МБОУ "ШКОЛА № 35"</v>
      </c>
      <c r="B12046" s="24" t="s">
        <v>16495</v>
      </c>
      <c r="C12046" s="25">
        <v>279583.2</v>
      </c>
      <c r="D12046" s="22" t="s">
        <v>16484</v>
      </c>
      <c r="E12046" s="22" t="s">
        <v>48</v>
      </c>
      <c r="F12046" s="23" t="str">
        <f t="shared" si="359"/>
        <v>Оказание услуг по предоставлению питания школьникам образовательных учреждений города Рязани</v>
      </c>
      <c r="G12046" s="22" t="s">
        <v>1522</v>
      </c>
      <c r="H12046" s="22" t="s">
        <v>1523</v>
      </c>
      <c r="I12046" s="26">
        <v>43664.728472222203</v>
      </c>
      <c r="J12046" s="23" t="str">
        <f t="shared" si="360"/>
        <v>МП "ДЕТСКОЕ ПИТАНИЕ"</v>
      </c>
      <c r="K12046" s="24" t="s">
        <v>1562</v>
      </c>
      <c r="L12046" s="28" t="s">
        <v>51</v>
      </c>
      <c r="M12046" s="28" t="s">
        <v>51</v>
      </c>
      <c r="N12046" s="27">
        <v>0</v>
      </c>
    </row>
    <row r="12047" spans="1:14" hidden="1" outlineLevel="1" x14ac:dyDescent="0.2">
      <c r="A12047" s="23" t="str">
        <f>HYPERLINK("https://www.spark-marketing.ru/Card/Person/233327", "МБОУ ""ШКОЛА № 45""")</f>
        <v>МБОУ "ШКОЛА № 45"</v>
      </c>
      <c r="B12047" s="24" t="s">
        <v>16496</v>
      </c>
      <c r="C12047" s="25">
        <v>385632</v>
      </c>
      <c r="D12047" s="22" t="s">
        <v>16484</v>
      </c>
      <c r="E12047" s="22" t="s">
        <v>48</v>
      </c>
      <c r="F12047" s="23" t="str">
        <f t="shared" si="359"/>
        <v>Оказание услуг по предоставлению питания школьникам образовательных учреждений города Рязани</v>
      </c>
      <c r="G12047" s="22" t="s">
        <v>1522</v>
      </c>
      <c r="H12047" s="22" t="s">
        <v>1523</v>
      </c>
      <c r="I12047" s="26">
        <v>43664.728472222203</v>
      </c>
      <c r="J12047" s="23" t="str">
        <f t="shared" si="360"/>
        <v>МП "ДЕТСКОЕ ПИТАНИЕ"</v>
      </c>
      <c r="K12047" s="24" t="s">
        <v>1562</v>
      </c>
      <c r="L12047" s="28" t="s">
        <v>51</v>
      </c>
      <c r="M12047" s="28" t="s">
        <v>51</v>
      </c>
      <c r="N12047" s="27">
        <v>0</v>
      </c>
    </row>
    <row r="12048" spans="1:14" hidden="1" outlineLevel="1" x14ac:dyDescent="0.2">
      <c r="A12048" s="23" t="str">
        <f>HYPERLINK("https://www.spark-marketing.ru/Card/Person/233336", "МБОУ ""ШКОЛА № 70""")</f>
        <v>МБОУ "ШКОЛА № 70"</v>
      </c>
      <c r="B12048" s="24" t="s">
        <v>16497</v>
      </c>
      <c r="C12048" s="25">
        <v>428480</v>
      </c>
      <c r="D12048" s="22" t="s">
        <v>16484</v>
      </c>
      <c r="E12048" s="22" t="s">
        <v>48</v>
      </c>
      <c r="F12048" s="23" t="str">
        <f t="shared" si="359"/>
        <v>Оказание услуг по предоставлению питания школьникам образовательных учреждений города Рязани</v>
      </c>
      <c r="G12048" s="22" t="s">
        <v>1522</v>
      </c>
      <c r="H12048" s="22" t="s">
        <v>1523</v>
      </c>
      <c r="I12048" s="26">
        <v>43664.728472222203</v>
      </c>
      <c r="J12048" s="23" t="str">
        <f t="shared" si="360"/>
        <v>МП "ДЕТСКОЕ ПИТАНИЕ"</v>
      </c>
      <c r="K12048" s="24" t="s">
        <v>1562</v>
      </c>
      <c r="L12048" s="28" t="s">
        <v>51</v>
      </c>
      <c r="M12048" s="28" t="s">
        <v>51</v>
      </c>
      <c r="N12048" s="27">
        <v>0</v>
      </c>
    </row>
    <row r="12049" spans="1:14" hidden="1" outlineLevel="1" x14ac:dyDescent="0.2">
      <c r="A12049" s="23" t="str">
        <f>HYPERLINK("https://www.spark-marketing.ru/Card/Person/233361", "МБОУ ""ШКОЛА № 46""")</f>
        <v>МБОУ "ШКОЛА № 46"</v>
      </c>
      <c r="B12049" s="24" t="s">
        <v>16498</v>
      </c>
      <c r="C12049" s="25">
        <v>222315.2</v>
      </c>
      <c r="D12049" s="22" t="s">
        <v>16484</v>
      </c>
      <c r="E12049" s="22" t="s">
        <v>48</v>
      </c>
      <c r="F12049" s="23" t="str">
        <f t="shared" si="359"/>
        <v>Оказание услуг по предоставлению питания школьникам образовательных учреждений города Рязани</v>
      </c>
      <c r="G12049" s="22" t="s">
        <v>1522</v>
      </c>
      <c r="H12049" s="22" t="s">
        <v>1523</v>
      </c>
      <c r="I12049" s="26">
        <v>43664.728472222203</v>
      </c>
      <c r="J12049" s="23" t="str">
        <f t="shared" si="360"/>
        <v>МП "ДЕТСКОЕ ПИТАНИЕ"</v>
      </c>
      <c r="K12049" s="24" t="s">
        <v>1562</v>
      </c>
      <c r="L12049" s="28" t="s">
        <v>51</v>
      </c>
      <c r="M12049" s="28" t="s">
        <v>51</v>
      </c>
      <c r="N12049" s="27">
        <v>0</v>
      </c>
    </row>
    <row r="12050" spans="1:14" hidden="1" outlineLevel="1" x14ac:dyDescent="0.2">
      <c r="A12050" s="23" t="str">
        <f>HYPERLINK("https://www.spark-marketing.ru/Card/Person/233416", "МБОУ ""ШКОЛА № 65""")</f>
        <v>МБОУ "ШКОЛА № 65"</v>
      </c>
      <c r="B12050" s="24" t="s">
        <v>16499</v>
      </c>
      <c r="C12050" s="25">
        <v>471328</v>
      </c>
      <c r="D12050" s="22" t="s">
        <v>16484</v>
      </c>
      <c r="E12050" s="22" t="s">
        <v>48</v>
      </c>
      <c r="F12050" s="23" t="str">
        <f t="shared" si="359"/>
        <v>Оказание услуг по предоставлению питания школьникам образовательных учреждений города Рязани</v>
      </c>
      <c r="G12050" s="22" t="s">
        <v>1522</v>
      </c>
      <c r="H12050" s="22" t="s">
        <v>1523</v>
      </c>
      <c r="I12050" s="26">
        <v>43664.728472222203</v>
      </c>
      <c r="J12050" s="23" t="str">
        <f t="shared" si="360"/>
        <v>МП "ДЕТСКОЕ ПИТАНИЕ"</v>
      </c>
      <c r="K12050" s="24" t="s">
        <v>1562</v>
      </c>
      <c r="L12050" s="28" t="s">
        <v>51</v>
      </c>
      <c r="M12050" s="28" t="s">
        <v>51</v>
      </c>
      <c r="N12050" s="27">
        <v>0</v>
      </c>
    </row>
    <row r="12051" spans="1:14" hidden="1" outlineLevel="1" x14ac:dyDescent="0.2">
      <c r="A12051" s="23" t="str">
        <f>HYPERLINK("https://www.spark-marketing.ru/Card/Person/233436", "МБОУ ""ШКОЛА № 60""")</f>
        <v>МБОУ "ШКОЛА № 60"</v>
      </c>
      <c r="B12051" s="24" t="s">
        <v>16500</v>
      </c>
      <c r="C12051" s="25">
        <v>305292</v>
      </c>
      <c r="D12051" s="22" t="s">
        <v>16484</v>
      </c>
      <c r="E12051" s="22" t="s">
        <v>48</v>
      </c>
      <c r="F12051" s="23" t="str">
        <f t="shared" si="359"/>
        <v>Оказание услуг по предоставлению питания школьникам образовательных учреждений города Рязани</v>
      </c>
      <c r="G12051" s="22" t="s">
        <v>1522</v>
      </c>
      <c r="H12051" s="22" t="s">
        <v>1523</v>
      </c>
      <c r="I12051" s="26">
        <v>43664.728472222203</v>
      </c>
      <c r="J12051" s="23" t="str">
        <f t="shared" si="360"/>
        <v>МП "ДЕТСКОЕ ПИТАНИЕ"</v>
      </c>
      <c r="K12051" s="24" t="s">
        <v>1562</v>
      </c>
      <c r="L12051" s="28" t="s">
        <v>51</v>
      </c>
      <c r="M12051" s="28" t="s">
        <v>51</v>
      </c>
      <c r="N12051" s="27">
        <v>0</v>
      </c>
    </row>
    <row r="12052" spans="1:14" hidden="1" outlineLevel="1" x14ac:dyDescent="0.2">
      <c r="A12052" s="23" t="str">
        <f>HYPERLINK("https://www.spark-marketing.ru/Card/Person/233437", "МБОУ ""ШКОЛА № 61""")</f>
        <v>МБОУ "ШКОЛА № 61"</v>
      </c>
      <c r="B12052" s="24" t="s">
        <v>16501</v>
      </c>
      <c r="C12052" s="25">
        <v>385632</v>
      </c>
      <c r="D12052" s="22" t="s">
        <v>16484</v>
      </c>
      <c r="E12052" s="22" t="s">
        <v>48</v>
      </c>
      <c r="F12052" s="23" t="str">
        <f t="shared" si="359"/>
        <v>Оказание услуг по предоставлению питания школьникам образовательных учреждений города Рязани</v>
      </c>
      <c r="G12052" s="22" t="s">
        <v>1522</v>
      </c>
      <c r="H12052" s="22" t="s">
        <v>1523</v>
      </c>
      <c r="I12052" s="26">
        <v>43664.728472222203</v>
      </c>
      <c r="J12052" s="23" t="str">
        <f t="shared" si="360"/>
        <v>МП "ДЕТСКОЕ ПИТАНИЕ"</v>
      </c>
      <c r="K12052" s="24" t="s">
        <v>1562</v>
      </c>
      <c r="L12052" s="28" t="s">
        <v>51</v>
      </c>
      <c r="M12052" s="28" t="s">
        <v>51</v>
      </c>
      <c r="N12052" s="27">
        <v>0</v>
      </c>
    </row>
    <row r="12053" spans="1:14" collapsed="1" x14ac:dyDescent="0.15">
      <c r="A12053" s="23" t="str">
        <f t="shared" ref="A12053:A12059" si="361">HYPERLINK("https://www.spark-marketing.ru/Card/Person/4343558", "УПРАВА РАЙОНА ИЗМАЙЛОВО ГОРОДА МОСКВЫ")</f>
        <v>УПРАВА РАЙОНА ИЗМАЙЛОВО ГОРОДА МОСКВЫ</v>
      </c>
      <c r="B12053" s="24" t="s">
        <v>16502</v>
      </c>
      <c r="C12053" s="25">
        <v>306806</v>
      </c>
      <c r="D12053" s="22" t="s">
        <v>16503</v>
      </c>
      <c r="E12053" s="22" t="s">
        <v>96</v>
      </c>
      <c r="F12053" s="23" t="str">
        <f t="shared" ref="F12053:F12059" si="362">HYPERLINK("https://www.spark-marketing.ru/Card/Lot/72194657", "Оказание услуг по организации питания членов избирательных комиссий района Измайлово")</f>
        <v>Оказание услуг по организации питания членов избирательных комиссий района Измайлово</v>
      </c>
      <c r="G12053" s="22" t="s">
        <v>56</v>
      </c>
      <c r="H12053" s="22" t="s">
        <v>56</v>
      </c>
      <c r="I12053" s="26">
        <v>43664.694293981498</v>
      </c>
      <c r="J12053" s="28" t="s">
        <v>51</v>
      </c>
      <c r="K12053" s="28" t="s">
        <v>51</v>
      </c>
      <c r="L12053" s="28" t="s">
        <v>51</v>
      </c>
      <c r="M12053" s="28" t="s">
        <v>51</v>
      </c>
      <c r="N12053" s="28" t="s">
        <v>51</v>
      </c>
    </row>
    <row r="12054" spans="1:14" hidden="1" outlineLevel="1" x14ac:dyDescent="0.2">
      <c r="A12054" s="23" t="str">
        <f t="shared" si="361"/>
        <v>УПРАВА РАЙОНА ИЗМАЙЛОВО ГОРОДА МОСКВЫ</v>
      </c>
      <c r="B12054" s="24" t="s">
        <v>16502</v>
      </c>
      <c r="C12054" s="25">
        <v>306806</v>
      </c>
      <c r="D12054" s="22" t="s">
        <v>16503</v>
      </c>
      <c r="E12054" s="22" t="s">
        <v>96</v>
      </c>
      <c r="F12054" s="23" t="str">
        <f t="shared" si="362"/>
        <v>Оказание услуг по организации питания членов избирательных комиссий района Измайлово</v>
      </c>
      <c r="G12054" s="22" t="s">
        <v>56</v>
      </c>
      <c r="H12054" s="22" t="s">
        <v>56</v>
      </c>
      <c r="I12054" s="26">
        <v>43664.694293981498</v>
      </c>
      <c r="J12054" s="23" t="str">
        <f>HYPERLINK("https://www.spark-marketing.ru/Card/Person/4052353", "ООО ""ЕВРОКОР""")</f>
        <v>ООО "ЕВРОКОР"</v>
      </c>
      <c r="K12054" s="24" t="s">
        <v>9698</v>
      </c>
      <c r="L12054" s="28" t="s">
        <v>51</v>
      </c>
      <c r="M12054" s="25">
        <v>171424.17</v>
      </c>
      <c r="N12054" s="27">
        <v>0.4412620026987738</v>
      </c>
    </row>
    <row r="12055" spans="1:14" hidden="1" outlineLevel="1" x14ac:dyDescent="0.2">
      <c r="A12055" s="23" t="str">
        <f t="shared" si="361"/>
        <v>УПРАВА РАЙОНА ИЗМАЙЛОВО ГОРОДА МОСКВЫ</v>
      </c>
      <c r="B12055" s="24" t="s">
        <v>16502</v>
      </c>
      <c r="C12055" s="25">
        <v>306806</v>
      </c>
      <c r="D12055" s="22" t="s">
        <v>16503</v>
      </c>
      <c r="E12055" s="22" t="s">
        <v>96</v>
      </c>
      <c r="F12055" s="23" t="str">
        <f t="shared" si="362"/>
        <v>Оказание услуг по организации питания членов избирательных комиссий района Измайлово</v>
      </c>
      <c r="G12055" s="22" t="s">
        <v>56</v>
      </c>
      <c r="H12055" s="22" t="s">
        <v>56</v>
      </c>
      <c r="I12055" s="26">
        <v>43664.694293981498</v>
      </c>
      <c r="J12055" s="23" t="str">
        <f>HYPERLINK("https://www.spark-marketing.ru/Card/Person/6616233", "ООО ""МСМ""")</f>
        <v>ООО "МСМ"</v>
      </c>
      <c r="K12055" s="24" t="s">
        <v>15454</v>
      </c>
      <c r="L12055" s="28" t="s">
        <v>51</v>
      </c>
      <c r="M12055" s="25">
        <v>209774.92</v>
      </c>
      <c r="N12055" s="27">
        <v>0.3162620026987738</v>
      </c>
    </row>
    <row r="12056" spans="1:14" hidden="1" outlineLevel="1" x14ac:dyDescent="0.2">
      <c r="A12056" s="23" t="str">
        <f t="shared" si="361"/>
        <v>УПРАВА РАЙОНА ИЗМАЙЛОВО ГОРОДА МОСКВЫ</v>
      </c>
      <c r="B12056" s="24" t="s">
        <v>16502</v>
      </c>
      <c r="C12056" s="25">
        <v>306806</v>
      </c>
      <c r="D12056" s="22" t="s">
        <v>16503</v>
      </c>
      <c r="E12056" s="22" t="s">
        <v>96</v>
      </c>
      <c r="F12056" s="23" t="str">
        <f t="shared" si="362"/>
        <v>Оказание услуг по организации питания членов избирательных комиссий района Измайлово</v>
      </c>
      <c r="G12056" s="22" t="s">
        <v>56</v>
      </c>
      <c r="H12056" s="22" t="s">
        <v>56</v>
      </c>
      <c r="I12056" s="26">
        <v>43664.694293981498</v>
      </c>
      <c r="J12056" s="23" t="str">
        <f>HYPERLINK("https://www.spark-marketing.ru/Card/Person/2551850", "ООО ПИЦЦЕРИЯ ""КАФЕ НА КАЛИНИНА""")</f>
        <v>ООО ПИЦЦЕРИЯ "КАФЕ НА КАЛИНИНА"</v>
      </c>
      <c r="K12056" s="24" t="s">
        <v>16504</v>
      </c>
      <c r="L12056" s="28" t="s">
        <v>51</v>
      </c>
      <c r="M12056" s="25">
        <v>203638.8</v>
      </c>
      <c r="N12056" s="27">
        <v>0.33626200269877382</v>
      </c>
    </row>
    <row r="12057" spans="1:14" hidden="1" outlineLevel="1" x14ac:dyDescent="0.2">
      <c r="A12057" s="23" t="str">
        <f t="shared" si="361"/>
        <v>УПРАВА РАЙОНА ИЗМАЙЛОВО ГОРОДА МОСКВЫ</v>
      </c>
      <c r="B12057" s="24" t="s">
        <v>16502</v>
      </c>
      <c r="C12057" s="25">
        <v>306806</v>
      </c>
      <c r="D12057" s="22" t="s">
        <v>16503</v>
      </c>
      <c r="E12057" s="22" t="s">
        <v>96</v>
      </c>
      <c r="F12057" s="23" t="str">
        <f t="shared" si="362"/>
        <v>Оказание услуг по организации питания членов избирательных комиссий района Измайлово</v>
      </c>
      <c r="G12057" s="22" t="s">
        <v>56</v>
      </c>
      <c r="H12057" s="22" t="s">
        <v>56</v>
      </c>
      <c r="I12057" s="26">
        <v>43664.694293981498</v>
      </c>
      <c r="J12057" s="23" t="str">
        <f>HYPERLINK("https://www.spark-marketing.ru/Card/Person/6635200", "Сушкова Елена Владимировна")</f>
        <v>Сушкова Елена Владимировна</v>
      </c>
      <c r="K12057" s="24" t="s">
        <v>12452</v>
      </c>
      <c r="L12057" s="28" t="s">
        <v>51</v>
      </c>
      <c r="M12057" s="25">
        <v>297601.82</v>
      </c>
      <c r="N12057" s="27">
        <v>0.03</v>
      </c>
    </row>
    <row r="12058" spans="1:14" ht="12.75" hidden="1" outlineLevel="1" x14ac:dyDescent="0.2">
      <c r="A12058" s="23" t="str">
        <f t="shared" si="361"/>
        <v>УПРАВА РАЙОНА ИЗМАЙЛОВО ГОРОДА МОСКВЫ</v>
      </c>
      <c r="B12058" s="24" t="s">
        <v>16502</v>
      </c>
      <c r="C12058" s="25">
        <v>306806</v>
      </c>
      <c r="D12058" s="22" t="s">
        <v>16503</v>
      </c>
      <c r="E12058" s="22" t="s">
        <v>96</v>
      </c>
      <c r="F12058" s="23" t="str">
        <f t="shared" si="362"/>
        <v>Оказание услуг по организации питания членов избирательных комиссий района Измайлово</v>
      </c>
      <c r="G12058" s="22" t="s">
        <v>56</v>
      </c>
      <c r="H12058" s="22" t="s">
        <v>56</v>
      </c>
      <c r="I12058" s="26">
        <v>43664.694293981498</v>
      </c>
      <c r="J12058" s="23" t="str">
        <f>HYPERLINK("https://www.spark-marketing.ru/Card/Person/6604981", "ООО ""ПЕРСПЕКТИВА""")</f>
        <v>ООО "ПЕРСПЕКТИВА"</v>
      </c>
      <c r="K12058" s="24" t="s">
        <v>13150</v>
      </c>
      <c r="L12058" s="22" t="s">
        <v>10</v>
      </c>
      <c r="M12058" s="25">
        <v>169890.14</v>
      </c>
      <c r="N12058" s="27">
        <v>0.44626200269877381</v>
      </c>
    </row>
    <row r="12059" spans="1:14" hidden="1" outlineLevel="1" x14ac:dyDescent="0.2">
      <c r="A12059" s="23" t="str">
        <f t="shared" si="361"/>
        <v>УПРАВА РАЙОНА ИЗМАЙЛОВО ГОРОДА МОСКВЫ</v>
      </c>
      <c r="B12059" s="24" t="s">
        <v>16502</v>
      </c>
      <c r="C12059" s="25">
        <v>306806</v>
      </c>
      <c r="D12059" s="22" t="s">
        <v>16503</v>
      </c>
      <c r="E12059" s="22" t="s">
        <v>96</v>
      </c>
      <c r="F12059" s="23" t="str">
        <f t="shared" si="362"/>
        <v>Оказание услуг по организации питания членов избирательных комиссий района Измайлово</v>
      </c>
      <c r="G12059" s="22" t="s">
        <v>56</v>
      </c>
      <c r="H12059" s="22" t="s">
        <v>56</v>
      </c>
      <c r="I12059" s="26">
        <v>43664.694293981498</v>
      </c>
      <c r="J12059" s="23" t="str">
        <f>HYPERLINK("https://www.spark-marketing.ru/Card/Person/2523959", "ООО ""КРУИЗ-ТУР""")</f>
        <v>ООО "КРУИЗ-ТУР"</v>
      </c>
      <c r="K12059" s="24" t="s">
        <v>13149</v>
      </c>
      <c r="L12059" s="28" t="s">
        <v>51</v>
      </c>
      <c r="M12059" s="25">
        <v>192900.59</v>
      </c>
      <c r="N12059" s="27">
        <v>0.3712620026987738</v>
      </c>
    </row>
    <row r="12060" spans="1:14" x14ac:dyDescent="0.15">
      <c r="A12060" s="23" t="str">
        <f>HYPERLINK("https://www.spark-marketing.ru/Card/Person/1078100", "МБДОУ №84 Г.ШАХТЫ")</f>
        <v>МБДОУ №84 Г.ШАХТЫ</v>
      </c>
      <c r="B12060" s="24" t="s">
        <v>16505</v>
      </c>
      <c r="C12060" s="25">
        <v>288979.24</v>
      </c>
      <c r="D12060" s="22" t="s">
        <v>16506</v>
      </c>
      <c r="E12060" s="22" t="s">
        <v>48</v>
      </c>
      <c r="F12060" s="23" t="str">
        <f>HYPERLINK("https://www.spark-marketing.ru/Card/Lot/72190613", "Услуги по организации питания")</f>
        <v>Услуги по организации питания</v>
      </c>
      <c r="G12060" s="22" t="s">
        <v>267</v>
      </c>
      <c r="H12060" s="22" t="s">
        <v>4874</v>
      </c>
      <c r="I12060" s="26">
        <v>43664.675000000003</v>
      </c>
      <c r="J12060" s="28" t="s">
        <v>51</v>
      </c>
      <c r="K12060" s="28" t="s">
        <v>51</v>
      </c>
      <c r="L12060" s="28" t="s">
        <v>51</v>
      </c>
      <c r="M12060" s="28" t="s">
        <v>51</v>
      </c>
      <c r="N12060" s="28" t="s">
        <v>51</v>
      </c>
    </row>
    <row r="12061" spans="1:14" x14ac:dyDescent="0.2">
      <c r="A12061" s="23" t="str">
        <f>HYPERLINK("https://www.spark-marketing.ru/Card/Person/4375436", "МБОУ ""ПЕТРОВСКАЯ ШКОЛА №1""")</f>
        <v>МБОУ "ПЕТРОВСКАЯ ШКОЛА №1"</v>
      </c>
      <c r="B12061" s="24" t="s">
        <v>16507</v>
      </c>
      <c r="C12061" s="25">
        <v>1662780</v>
      </c>
      <c r="D12061" s="22" t="s">
        <v>16508</v>
      </c>
      <c r="E12061" s="22" t="s">
        <v>48</v>
      </c>
      <c r="F12061" s="23" t="str">
        <f>HYPERLINK("https://www.spark-marketing.ru/Card/Lot/72193090", "Услуги по обеспечению горячим питанием учащихся 1-4 классов и учащихся льготных категорий")</f>
        <v>Услуги по обеспечению горячим питанием учащихся 1-4 классов и учащихся льготных категорий</v>
      </c>
      <c r="G12061" s="22" t="s">
        <v>108</v>
      </c>
      <c r="H12061" s="22" t="s">
        <v>11460</v>
      </c>
      <c r="I12061" s="26">
        <v>43664.704166666699</v>
      </c>
      <c r="J12061" s="23" t="str">
        <f>HYPERLINK("https://www.spark-marketing.ru/Card/Person/5791158", "Павлюк Виталий Васильевич")</f>
        <v>Павлюк Виталий Васильевич</v>
      </c>
      <c r="K12061" s="24" t="s">
        <v>16509</v>
      </c>
      <c r="L12061" s="28" t="s">
        <v>51</v>
      </c>
      <c r="M12061" s="25">
        <v>1662780</v>
      </c>
      <c r="N12061" s="27">
        <v>0</v>
      </c>
    </row>
    <row r="12062" spans="1:14" x14ac:dyDescent="0.15">
      <c r="A12062" s="23" t="str">
        <f>HYPERLINK("https://www.spark-marketing.ru/Card/Person/269616", "МО МВД РОССИИ ""ЗЕЙСКИЙ""")</f>
        <v>МО МВД РОССИИ "ЗЕЙСКИЙ"</v>
      </c>
      <c r="B12062" s="24" t="s">
        <v>14539</v>
      </c>
      <c r="C12062" s="25">
        <v>1150000</v>
      </c>
      <c r="D12062" s="22" t="s">
        <v>16510</v>
      </c>
      <c r="E12062" s="22" t="s">
        <v>48</v>
      </c>
      <c r="F12062" s="23" t="str">
        <f>HYPERLINK("https://www.spark-marketing.ru/Card/Lot/72180844", "оказание услуг по обеспечению горячим питанием и услуг по раздаче пищи лицам, содержащихся в ИВС МО МВД России «Зейский»")</f>
        <v>оказание услуг по обеспечению горячим питанием и услуг по раздаче пищи лицам, содержащихся в ИВС МО МВД России «Зейский»</v>
      </c>
      <c r="G12062" s="22" t="s">
        <v>210</v>
      </c>
      <c r="H12062" s="22" t="s">
        <v>14541</v>
      </c>
      <c r="I12062" s="26">
        <v>43664.683518518497</v>
      </c>
      <c r="J12062" s="28" t="s">
        <v>51</v>
      </c>
      <c r="K12062" s="28" t="s">
        <v>51</v>
      </c>
      <c r="L12062" s="28" t="s">
        <v>51</v>
      </c>
      <c r="M12062" s="28" t="s">
        <v>51</v>
      </c>
      <c r="N12062" s="28" t="s">
        <v>51</v>
      </c>
    </row>
    <row r="12063" spans="1:14" x14ac:dyDescent="0.15">
      <c r="A12063" s="23" t="str">
        <f>HYPERLINK("https://www.spark-marketing.ru/Card/Person/46172", "ГАУ КО ""ЦЕНТР ""РАЗВИТИЕ""")</f>
        <v>ГАУ КО "ЦЕНТР "РАЗВИТИЕ"</v>
      </c>
      <c r="B12063" s="24" t="s">
        <v>16511</v>
      </c>
      <c r="C12063" s="25">
        <v>398530</v>
      </c>
      <c r="D12063" s="22" t="s">
        <v>16512</v>
      </c>
      <c r="E12063" s="22" t="s">
        <v>362</v>
      </c>
      <c r="F12063" s="23" t="str">
        <f>HYPERLINK("https://www.spark-marketing.ru/Card/Lot/72200076", "Оказание услуг питания в пути следования")</f>
        <v>Оказание услуг питания в пути следования</v>
      </c>
      <c r="G12063" s="22" t="s">
        <v>112</v>
      </c>
      <c r="H12063" s="22" t="s">
        <v>112</v>
      </c>
      <c r="I12063" s="26">
        <v>43664.695393518501</v>
      </c>
      <c r="J12063" s="28" t="s">
        <v>51</v>
      </c>
      <c r="K12063" s="28" t="s">
        <v>51</v>
      </c>
      <c r="L12063" s="28" t="s">
        <v>51</v>
      </c>
      <c r="M12063" s="28" t="s">
        <v>51</v>
      </c>
      <c r="N12063" s="28" t="s">
        <v>51</v>
      </c>
    </row>
    <row r="12064" spans="1:14" collapsed="1" x14ac:dyDescent="0.15">
      <c r="A12064" s="23" t="str">
        <f>HYPERLINK("https://www.spark-marketing.ru/Card/Person/14125", "ГЛАВНОЕ УПРАВЛЕНИЕ МЧС РОССИИ ПО ИРКУТСКОЙ ОБЛАСТИ")</f>
        <v>ГЛАВНОЕ УПРАВЛЕНИЕ МЧС РОССИИ ПО ИРКУТСКОЙ ОБЛАСТИ</v>
      </c>
      <c r="B12064" s="24" t="s">
        <v>16513</v>
      </c>
      <c r="C12064" s="25">
        <v>698892</v>
      </c>
      <c r="D12064" s="22" t="s">
        <v>16514</v>
      </c>
      <c r="E12064" s="22" t="s">
        <v>96</v>
      </c>
      <c r="F12064" s="23" t="str">
        <f>HYPERLINK("https://www.spark-marketing.ru/Card/Lot/72182500", "услуги по организации питания")</f>
        <v>услуги по организации питания</v>
      </c>
      <c r="G12064" s="22" t="s">
        <v>263</v>
      </c>
      <c r="H12064" s="22" t="s">
        <v>2768</v>
      </c>
      <c r="I12064" s="26">
        <v>43664.668703703697</v>
      </c>
      <c r="J12064" s="28" t="s">
        <v>51</v>
      </c>
      <c r="K12064" s="28" t="s">
        <v>51</v>
      </c>
      <c r="L12064" s="28" t="s">
        <v>51</v>
      </c>
      <c r="M12064" s="28" t="s">
        <v>51</v>
      </c>
      <c r="N12064" s="28" t="s">
        <v>51</v>
      </c>
    </row>
    <row r="12065" spans="1:14" ht="12.75" hidden="1" outlineLevel="1" x14ac:dyDescent="0.2">
      <c r="A12065" s="23" t="str">
        <f>HYPERLINK("https://www.spark-marketing.ru/Card/Person/14125", "ГЛАВНОЕ УПРАВЛЕНИЕ МЧС РОССИИ ПО ИРКУТСКОЙ ОБЛАСТИ")</f>
        <v>ГЛАВНОЕ УПРАВЛЕНИЕ МЧС РОССИИ ПО ИРКУТСКОЙ ОБЛАСТИ</v>
      </c>
      <c r="B12065" s="24" t="s">
        <v>16513</v>
      </c>
      <c r="C12065" s="25">
        <v>698892</v>
      </c>
      <c r="D12065" s="22" t="s">
        <v>16514</v>
      </c>
      <c r="E12065" s="22" t="s">
        <v>96</v>
      </c>
      <c r="F12065" s="23" t="str">
        <f>HYPERLINK("https://www.spark-marketing.ru/Card/Lot/72182500", "услуги по организации питания")</f>
        <v>услуги по организации питания</v>
      </c>
      <c r="G12065" s="22" t="s">
        <v>263</v>
      </c>
      <c r="H12065" s="22" t="s">
        <v>2768</v>
      </c>
      <c r="I12065" s="26">
        <v>43664.668703703697</v>
      </c>
      <c r="J12065" s="23" t="str">
        <f>HYPERLINK("https://www.spark-marketing.ru/Card/Person/595135", "ООО ""ГИПЕРИОН""")</f>
        <v>ООО "ГИПЕРИОН"</v>
      </c>
      <c r="K12065" s="24" t="s">
        <v>16515</v>
      </c>
      <c r="L12065" s="22" t="s">
        <v>10</v>
      </c>
      <c r="M12065" s="25">
        <v>695397.54</v>
      </c>
      <c r="N12065" s="27">
        <v>5.0000000000000001E-3</v>
      </c>
    </row>
    <row r="12066" spans="1:14" hidden="1" outlineLevel="1" x14ac:dyDescent="0.2">
      <c r="A12066" s="23" t="str">
        <f>HYPERLINK("https://www.spark-marketing.ru/Card/Person/14125", "ГЛАВНОЕ УПРАВЛЕНИЕ МЧС РОССИИ ПО ИРКУТСКОЙ ОБЛАСТИ")</f>
        <v>ГЛАВНОЕ УПРАВЛЕНИЕ МЧС РОССИИ ПО ИРКУТСКОЙ ОБЛАСТИ</v>
      </c>
      <c r="B12066" s="24" t="s">
        <v>16513</v>
      </c>
      <c r="C12066" s="25">
        <v>698892</v>
      </c>
      <c r="D12066" s="22" t="s">
        <v>16514</v>
      </c>
      <c r="E12066" s="22" t="s">
        <v>96</v>
      </c>
      <c r="F12066" s="23" t="str">
        <f>HYPERLINK("https://www.spark-marketing.ru/Card/Lot/72182500", "услуги по организации питания")</f>
        <v>услуги по организации питания</v>
      </c>
      <c r="G12066" s="22" t="s">
        <v>263</v>
      </c>
      <c r="H12066" s="22" t="s">
        <v>2768</v>
      </c>
      <c r="I12066" s="26">
        <v>43664.668703703697</v>
      </c>
      <c r="J12066" s="23" t="str">
        <f>HYPERLINK("https://www.spark-marketing.ru/Card/Person/86267", "ООО ""АМИР КОНСАЛТИНГ""")</f>
        <v>ООО "АМИР КОНСАЛТИНГ"</v>
      </c>
      <c r="K12066" s="24" t="s">
        <v>16516</v>
      </c>
      <c r="L12066" s="28" t="s">
        <v>51</v>
      </c>
      <c r="M12066" s="25">
        <v>695397.54</v>
      </c>
      <c r="N12066" s="27">
        <v>5.0000000000000001E-3</v>
      </c>
    </row>
    <row r="12067" spans="1:14" x14ac:dyDescent="0.15">
      <c r="A12067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067" s="24" t="s">
        <v>4297</v>
      </c>
      <c r="C12067" s="25">
        <v>14550</v>
      </c>
      <c r="D12067" s="22" t="s">
        <v>16517</v>
      </c>
      <c r="E12067" s="22" t="s">
        <v>48</v>
      </c>
      <c r="F12067" s="23" t="str">
        <f>HYPERLINK("https://www.spark-marketing.ru/Card/Lot/72180134",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2067" s="22" t="s">
        <v>1096</v>
      </c>
      <c r="H12067" s="22" t="s">
        <v>4299</v>
      </c>
      <c r="I12067" s="26">
        <v>43664.700023148202</v>
      </c>
      <c r="J12067" s="23" t="str">
        <f>HYPERLINK("https://www.spark-marketing.ru/Card/Person/1041199", "МОУ СШ № 22")</f>
        <v>МОУ СШ № 22</v>
      </c>
      <c r="K12067" s="24" t="s">
        <v>16518</v>
      </c>
      <c r="L12067" s="22" t="s">
        <v>10</v>
      </c>
      <c r="M12067" s="28" t="s">
        <v>51</v>
      </c>
      <c r="N12067" s="28" t="s">
        <v>51</v>
      </c>
    </row>
    <row r="12068" spans="1:14" x14ac:dyDescent="0.2">
      <c r="A12068" s="23" t="str">
        <f>HYPERLINK("https://www.spark-marketing.ru/Card/Person/46615", "МБОУ ""СШ №31 С УГЛУБЛЕННЫМ ИЗУЧЕНИЕМ ПРЕДМЕТОВ ХЭП""")</f>
        <v>МБОУ "СШ №31 С УГЛУБЛЕННЫМ ИЗУЧЕНИЕМ ПРЕДМЕТОВ ХЭП"</v>
      </c>
      <c r="B12068" s="24" t="s">
        <v>16519</v>
      </c>
      <c r="C12068" s="25">
        <v>13022916.800000001</v>
      </c>
      <c r="D12068" s="22" t="s">
        <v>16520</v>
      </c>
      <c r="E12068" s="22" t="s">
        <v>48</v>
      </c>
      <c r="F12068" s="23" t="str">
        <f>HYPERLINK("https://www.spark-marketing.ru/Card/Lot/72189301", "Оказание услуг по организации в 2019-2020 учебном  году питания обучающихся муниципального бюджетного общеобразовательного учреждения «Средняя школа №31 с углубленным изучением предметов художественно-эстетического профиля»")</f>
        <v>Оказание услуг по организации в 2019-2020 учебном  году питания обучающихся муниципального бюджетного общеобразовательного учреждения «Средняя школа №31 с углубленным изучением предметов художественно-эстетического профиля»</v>
      </c>
      <c r="G12068" s="22" t="s">
        <v>97</v>
      </c>
      <c r="H12068" s="22" t="s">
        <v>97</v>
      </c>
      <c r="I12068" s="26">
        <v>43664.6784722222</v>
      </c>
      <c r="J12068" s="23" t="str">
        <f>HYPERLINK("https://www.spark-marketing.ru/Card/Person/4865441", "ООО ""КШП-2""")</f>
        <v>ООО "КШП-2"</v>
      </c>
      <c r="K12068" s="24" t="s">
        <v>1468</v>
      </c>
      <c r="L12068" s="28" t="s">
        <v>51</v>
      </c>
      <c r="M12068" s="25">
        <v>13022916.800000001</v>
      </c>
      <c r="N12068" s="27">
        <v>0</v>
      </c>
    </row>
    <row r="12069" spans="1:14" x14ac:dyDescent="0.15">
      <c r="A12069" s="23" t="str">
        <f>HYPERLINK("https://www.spark-marketing.ru/Card/Person/41845", "ГБУ ДО СО ОК ДЮСАШ ""РИФ""")</f>
        <v>ГБУ ДО СО ОК ДЮСАШ "РИФ"</v>
      </c>
      <c r="B12069" s="24" t="s">
        <v>16521</v>
      </c>
      <c r="C12069" s="25">
        <v>797500</v>
      </c>
      <c r="D12069" s="22" t="s">
        <v>16522</v>
      </c>
      <c r="E12069" s="22" t="s">
        <v>86</v>
      </c>
      <c r="F12069" s="23" t="str">
        <f>HYPERLINK("https://www.spark-marketing.ru/Card/Lot/72190173", "Оказание услуг по обеспечению проживанием и питанием участников XXV Областного культурно-спортивного фестиваля учащихся ГБУ ДО СО ОК ДЮСАШ «РиФ» «Спорт! Творчество! Дружба!»")</f>
        <v>Оказание услуг по обеспечению проживанием и питанием участников XXV Областного культурно-спортивного фестиваля учащихся ГБУ ДО СО ОК ДЮСАШ «РиФ» «Спорт! Творчество! Дружба!»</v>
      </c>
      <c r="G12069" s="22" t="s">
        <v>351</v>
      </c>
      <c r="H12069" s="22" t="s">
        <v>2983</v>
      </c>
      <c r="I12069" s="26">
        <v>43664.667870370402</v>
      </c>
      <c r="J12069" s="23" t="str">
        <f>HYPERLINK("https://www.spark-marketing.ru/Card/Person/1471955", "ГАУ СО СОЦ ""ЛАЗУРНЫЙ""")</f>
        <v>ГАУ СО СОЦ "ЛАЗУРНЫЙ"</v>
      </c>
      <c r="K12069" s="24" t="s">
        <v>16523</v>
      </c>
      <c r="L12069" s="22" t="s">
        <v>10</v>
      </c>
      <c r="M12069" s="28" t="s">
        <v>51</v>
      </c>
      <c r="N12069" s="28" t="s">
        <v>51</v>
      </c>
    </row>
    <row r="12070" spans="1:14" collapsed="1" x14ac:dyDescent="0.2">
      <c r="A12070" s="23" t="s">
        <v>114</v>
      </c>
      <c r="B12070" s="28" t="s">
        <v>51</v>
      </c>
      <c r="C12070" s="25">
        <v>18827410</v>
      </c>
      <c r="D12070" s="22" t="s">
        <v>16524</v>
      </c>
      <c r="E12070" s="22" t="s">
        <v>48</v>
      </c>
      <c r="F12070" s="23" t="str">
        <f>HYPERLINK("https://www.spark-marketing.ru/Card/Lot/72191775",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070" s="22" t="s">
        <v>51</v>
      </c>
      <c r="H12070" s="22" t="s">
        <v>51</v>
      </c>
      <c r="I12070" s="26">
        <v>43664.690277777801</v>
      </c>
      <c r="J12070" s="23" t="str">
        <f>HYPERLINK("https://www.spark-marketing.ru/Card/Person/119200", "ООО ""ВЕНЕРА""")</f>
        <v>ООО "ВЕНЕРА"</v>
      </c>
      <c r="K12070" s="24" t="s">
        <v>16525</v>
      </c>
      <c r="L12070" s="28" t="s">
        <v>51</v>
      </c>
      <c r="M12070" s="25">
        <v>18827410</v>
      </c>
      <c r="N12070" s="27">
        <v>0</v>
      </c>
    </row>
    <row r="12071" spans="1:14" hidden="1" outlineLevel="1" x14ac:dyDescent="0.2">
      <c r="A12071" s="23" t="str">
        <f>HYPERLINK("https://www.spark-marketing.ru/Card/Person/999916", "МОУ СШ №54")</f>
        <v>МОУ СШ №54</v>
      </c>
      <c r="B12071" s="24" t="s">
        <v>16526</v>
      </c>
      <c r="C12071" s="25">
        <v>7634480</v>
      </c>
      <c r="D12071" s="22" t="s">
        <v>16524</v>
      </c>
      <c r="E12071" s="22" t="s">
        <v>48</v>
      </c>
      <c r="F12071" s="23" t="str">
        <f>HYPERLINK("https://www.spark-marketing.ru/Card/Lot/72191775",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071" s="22" t="s">
        <v>158</v>
      </c>
      <c r="H12071" s="22" t="s">
        <v>158</v>
      </c>
      <c r="I12071" s="26">
        <v>43664.690277777801</v>
      </c>
      <c r="J12071" s="23" t="str">
        <f>HYPERLINK("https://www.spark-marketing.ru/Card/Person/119200", "ООО ""ВЕНЕРА""")</f>
        <v>ООО "ВЕНЕРА"</v>
      </c>
      <c r="K12071" s="24" t="s">
        <v>16525</v>
      </c>
      <c r="L12071" s="28" t="s">
        <v>51</v>
      </c>
      <c r="M12071" s="28" t="s">
        <v>51</v>
      </c>
      <c r="N12071" s="27">
        <v>0</v>
      </c>
    </row>
    <row r="12072" spans="1:14" hidden="1" outlineLevel="1" x14ac:dyDescent="0.2">
      <c r="A12072" s="23" t="str">
        <f>HYPERLINK("https://www.spark-marketing.ru/Card/Person/1000539", "МОУ СШ №58")</f>
        <v>МОУ СШ №58</v>
      </c>
      <c r="B12072" s="24" t="s">
        <v>16527</v>
      </c>
      <c r="C12072" s="25">
        <v>1404400</v>
      </c>
      <c r="D12072" s="22" t="s">
        <v>16524</v>
      </c>
      <c r="E12072" s="22" t="s">
        <v>48</v>
      </c>
      <c r="F12072" s="23" t="str">
        <f>HYPERLINK("https://www.spark-marketing.ru/Card/Lot/72191775",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072" s="22" t="s">
        <v>158</v>
      </c>
      <c r="H12072" s="22" t="s">
        <v>158</v>
      </c>
      <c r="I12072" s="26">
        <v>43664.690277777801</v>
      </c>
      <c r="J12072" s="23" t="str">
        <f>HYPERLINK("https://www.spark-marketing.ru/Card/Person/119200", "ООО ""ВЕНЕРА""")</f>
        <v>ООО "ВЕНЕРА"</v>
      </c>
      <c r="K12072" s="24" t="s">
        <v>16525</v>
      </c>
      <c r="L12072" s="28" t="s">
        <v>51</v>
      </c>
      <c r="M12072" s="28" t="s">
        <v>51</v>
      </c>
      <c r="N12072" s="27">
        <v>0</v>
      </c>
    </row>
    <row r="12073" spans="1:14" hidden="1" outlineLevel="1" x14ac:dyDescent="0.2">
      <c r="A12073" s="23" t="str">
        <f>HYPERLINK("https://www.spark-marketing.ru/Card/Person/1028621", "МОУ СШ № 46")</f>
        <v>МОУ СШ № 46</v>
      </c>
      <c r="B12073" s="24" t="s">
        <v>16528</v>
      </c>
      <c r="C12073" s="25">
        <v>5906760</v>
      </c>
      <c r="D12073" s="22" t="s">
        <v>16524</v>
      </c>
      <c r="E12073" s="22" t="s">
        <v>48</v>
      </c>
      <c r="F12073" s="23" t="str">
        <f>HYPERLINK("https://www.spark-marketing.ru/Card/Lot/72191775",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073" s="22" t="s">
        <v>158</v>
      </c>
      <c r="H12073" s="22" t="s">
        <v>158</v>
      </c>
      <c r="I12073" s="26">
        <v>43664.690277777801</v>
      </c>
      <c r="J12073" s="23" t="str">
        <f>HYPERLINK("https://www.spark-marketing.ru/Card/Person/119200", "ООО ""ВЕНЕРА""")</f>
        <v>ООО "ВЕНЕРА"</v>
      </c>
      <c r="K12073" s="24" t="s">
        <v>16525</v>
      </c>
      <c r="L12073" s="28" t="s">
        <v>51</v>
      </c>
      <c r="M12073" s="28" t="s">
        <v>51</v>
      </c>
      <c r="N12073" s="27">
        <v>0</v>
      </c>
    </row>
    <row r="12074" spans="1:14" hidden="1" outlineLevel="1" x14ac:dyDescent="0.2">
      <c r="A12074" s="23" t="str">
        <f>HYPERLINK("https://www.spark-marketing.ru/Card/Person/1031257", "МОУ ГИМНАЗИЯ № 15")</f>
        <v>МОУ ГИМНАЗИЯ № 15</v>
      </c>
      <c r="B12074" s="24" t="s">
        <v>16529</v>
      </c>
      <c r="C12074" s="25">
        <v>3881770</v>
      </c>
      <c r="D12074" s="22" t="s">
        <v>16524</v>
      </c>
      <c r="E12074" s="22" t="s">
        <v>48</v>
      </c>
      <c r="F12074" s="23" t="str">
        <f>HYPERLINK("https://www.spark-marketing.ru/Card/Lot/72191775",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074" s="22" t="s">
        <v>158</v>
      </c>
      <c r="H12074" s="22" t="s">
        <v>158</v>
      </c>
      <c r="I12074" s="26">
        <v>43664.690277777801</v>
      </c>
      <c r="J12074" s="23" t="str">
        <f>HYPERLINK("https://www.spark-marketing.ru/Card/Person/119200", "ООО ""ВЕНЕРА""")</f>
        <v>ООО "ВЕНЕРА"</v>
      </c>
      <c r="K12074" s="24" t="s">
        <v>16525</v>
      </c>
      <c r="L12074" s="28" t="s">
        <v>51</v>
      </c>
      <c r="M12074" s="28" t="s">
        <v>51</v>
      </c>
      <c r="N12074" s="27">
        <v>0</v>
      </c>
    </row>
    <row r="12075" spans="1:14" collapsed="1" x14ac:dyDescent="0.15">
      <c r="A12075" s="23" t="s">
        <v>114</v>
      </c>
      <c r="B12075" s="28" t="s">
        <v>51</v>
      </c>
      <c r="C12075" s="25">
        <v>180221249</v>
      </c>
      <c r="D12075" s="22" t="s">
        <v>16530</v>
      </c>
      <c r="E12075" s="22" t="s">
        <v>48</v>
      </c>
      <c r="F12075" s="23" t="str">
        <f t="shared" ref="F12075:F12106" si="363">HYPERLINK("https://www.spark-marketing.ru/Card/Lot/72189310", "Право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района")</f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75" s="22" t="s">
        <v>51</v>
      </c>
      <c r="H12075" s="22" t="s">
        <v>51</v>
      </c>
      <c r="I12075" s="26">
        <v>43664.670833333301</v>
      </c>
      <c r="J12075" s="28" t="s">
        <v>51</v>
      </c>
      <c r="K12075" s="28" t="s">
        <v>51</v>
      </c>
      <c r="L12075" s="28" t="s">
        <v>51</v>
      </c>
      <c r="M12075" s="28" t="s">
        <v>51</v>
      </c>
      <c r="N12075" s="28" t="s">
        <v>51</v>
      </c>
    </row>
    <row r="12076" spans="1:14" hidden="1" outlineLevel="1" x14ac:dyDescent="0.15">
      <c r="A12076" s="23" t="str">
        <f>HYPERLINK("https://www.spark-marketing.ru/Card/Person/133765", "МБОУ ""КУЛМАКСИНСКАЯ ООШ"" НМР РТ")</f>
        <v>МБОУ "КУЛМАКСИНСКАЯ ООШ" НМР РТ</v>
      </c>
      <c r="B12076" s="24" t="s">
        <v>16531</v>
      </c>
      <c r="C12076" s="25">
        <v>34560</v>
      </c>
      <c r="D12076" s="22" t="s">
        <v>16530</v>
      </c>
      <c r="E12076" s="22" t="s">
        <v>48</v>
      </c>
      <c r="F12076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76" s="22" t="s">
        <v>217</v>
      </c>
      <c r="H12076" s="22" t="s">
        <v>5604</v>
      </c>
      <c r="I12076" s="26">
        <v>43664.670833333301</v>
      </c>
      <c r="J12076" s="28" t="s">
        <v>51</v>
      </c>
      <c r="K12076" s="28" t="s">
        <v>51</v>
      </c>
      <c r="L12076" s="28" t="s">
        <v>51</v>
      </c>
      <c r="M12076" s="28" t="s">
        <v>51</v>
      </c>
      <c r="N12076" s="28" t="s">
        <v>51</v>
      </c>
    </row>
    <row r="12077" spans="1:14" hidden="1" outlineLevel="1" x14ac:dyDescent="0.15">
      <c r="A12077" s="23" t="str">
        <f>HYPERLINK("https://www.spark-marketing.ru/Card/Person/133766", "МБОУ ""НИЖНЕУРАТЬМИНСКАЯ СОШ"" НМР РТ")</f>
        <v>МБОУ "НИЖНЕУРАТЬМИНСКАЯ СОШ" НМР РТ</v>
      </c>
      <c r="B12077" s="24" t="s">
        <v>16532</v>
      </c>
      <c r="C12077" s="25">
        <v>299712</v>
      </c>
      <c r="D12077" s="22" t="s">
        <v>16530</v>
      </c>
      <c r="E12077" s="22" t="s">
        <v>48</v>
      </c>
      <c r="F12077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77" s="22" t="s">
        <v>217</v>
      </c>
      <c r="H12077" s="22" t="s">
        <v>5604</v>
      </c>
      <c r="I12077" s="26">
        <v>43664.670833333301</v>
      </c>
      <c r="J12077" s="28" t="s">
        <v>51</v>
      </c>
      <c r="K12077" s="28" t="s">
        <v>51</v>
      </c>
      <c r="L12077" s="28" t="s">
        <v>51</v>
      </c>
      <c r="M12077" s="28" t="s">
        <v>51</v>
      </c>
      <c r="N12077" s="28" t="s">
        <v>51</v>
      </c>
    </row>
    <row r="12078" spans="1:14" hidden="1" outlineLevel="1" x14ac:dyDescent="0.15">
      <c r="A12078" s="23" t="str">
        <f>HYPERLINK("https://www.spark-marketing.ru/Card/Person/133795", "МБОУ ""СОШ №7"" НМР РТ")</f>
        <v>МБОУ "СОШ №7" НМР РТ</v>
      </c>
      <c r="B12078" s="24" t="s">
        <v>16533</v>
      </c>
      <c r="C12078" s="25">
        <v>4792785</v>
      </c>
      <c r="D12078" s="22" t="s">
        <v>16530</v>
      </c>
      <c r="E12078" s="22" t="s">
        <v>48</v>
      </c>
      <c r="F12078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78" s="22" t="s">
        <v>217</v>
      </c>
      <c r="H12078" s="22" t="s">
        <v>218</v>
      </c>
      <c r="I12078" s="26">
        <v>43664.670833333301</v>
      </c>
      <c r="J12078" s="28" t="s">
        <v>51</v>
      </c>
      <c r="K12078" s="28" t="s">
        <v>51</v>
      </c>
      <c r="L12078" s="28" t="s">
        <v>51</v>
      </c>
      <c r="M12078" s="28" t="s">
        <v>51</v>
      </c>
      <c r="N12078" s="28" t="s">
        <v>51</v>
      </c>
    </row>
    <row r="12079" spans="1:14" hidden="1" outlineLevel="1" x14ac:dyDescent="0.15">
      <c r="A12079" s="23" t="str">
        <f>HYPERLINK("https://www.spark-marketing.ru/Card/Person/133811", "МБОУ ""ЛИЦЕЙ № 35"" НМР РТ")</f>
        <v>МБОУ "ЛИЦЕЙ № 35" НМР РТ</v>
      </c>
      <c r="B12079" s="24" t="s">
        <v>16534</v>
      </c>
      <c r="C12079" s="25">
        <v>4758624</v>
      </c>
      <c r="D12079" s="22" t="s">
        <v>16530</v>
      </c>
      <c r="E12079" s="22" t="s">
        <v>48</v>
      </c>
      <c r="F12079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79" s="22" t="s">
        <v>217</v>
      </c>
      <c r="H12079" s="22" t="s">
        <v>218</v>
      </c>
      <c r="I12079" s="26">
        <v>43664.670833333301</v>
      </c>
      <c r="J12079" s="28" t="s">
        <v>51</v>
      </c>
      <c r="K12079" s="28" t="s">
        <v>51</v>
      </c>
      <c r="L12079" s="28" t="s">
        <v>51</v>
      </c>
      <c r="M12079" s="28" t="s">
        <v>51</v>
      </c>
      <c r="N12079" s="28" t="s">
        <v>51</v>
      </c>
    </row>
    <row r="12080" spans="1:14" hidden="1" outlineLevel="1" x14ac:dyDescent="0.15">
      <c r="A12080" s="23" t="str">
        <f>HYPERLINK("https://www.spark-marketing.ru/Card/Person/133812", "МБОУ ""ГИМНАЗИЯ №32"" НМР РТ")</f>
        <v>МБОУ "ГИМНАЗИЯ №32" НМР РТ</v>
      </c>
      <c r="B12080" s="24" t="s">
        <v>16535</v>
      </c>
      <c r="C12080" s="25">
        <v>9340776</v>
      </c>
      <c r="D12080" s="22" t="s">
        <v>16530</v>
      </c>
      <c r="E12080" s="22" t="s">
        <v>48</v>
      </c>
      <c r="F12080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80" s="22" t="s">
        <v>217</v>
      </c>
      <c r="H12080" s="22" t="s">
        <v>218</v>
      </c>
      <c r="I12080" s="26">
        <v>43664.670833333301</v>
      </c>
      <c r="J12080" s="28" t="s">
        <v>51</v>
      </c>
      <c r="K12080" s="28" t="s">
        <v>51</v>
      </c>
      <c r="L12080" s="28" t="s">
        <v>51</v>
      </c>
      <c r="M12080" s="28" t="s">
        <v>51</v>
      </c>
      <c r="N12080" s="28" t="s">
        <v>51</v>
      </c>
    </row>
    <row r="12081" spans="1:14" hidden="1" outlineLevel="1" x14ac:dyDescent="0.15">
      <c r="A12081" s="23" t="str">
        <f>HYPERLINK("https://www.spark-marketing.ru/Card/Person/133813", "МБОУ ""КАРМАЛИНСКАЯ СОШ"" НМР РТ")</f>
        <v>МБОУ "КАРМАЛИНСКАЯ СОШ" НМР РТ</v>
      </c>
      <c r="B12081" s="24" t="s">
        <v>16536</v>
      </c>
      <c r="C12081" s="25">
        <v>640704</v>
      </c>
      <c r="D12081" s="22" t="s">
        <v>16530</v>
      </c>
      <c r="E12081" s="22" t="s">
        <v>48</v>
      </c>
      <c r="F12081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81" s="22" t="s">
        <v>217</v>
      </c>
      <c r="H12081" s="22" t="s">
        <v>5604</v>
      </c>
      <c r="I12081" s="26">
        <v>43664.670833333301</v>
      </c>
      <c r="J12081" s="28" t="s">
        <v>51</v>
      </c>
      <c r="K12081" s="28" t="s">
        <v>51</v>
      </c>
      <c r="L12081" s="28" t="s">
        <v>51</v>
      </c>
      <c r="M12081" s="28" t="s">
        <v>51</v>
      </c>
      <c r="N12081" s="28" t="s">
        <v>51</v>
      </c>
    </row>
    <row r="12082" spans="1:14" hidden="1" outlineLevel="1" x14ac:dyDescent="0.15">
      <c r="A12082" s="23" t="str">
        <f>HYPERLINK("https://www.spark-marketing.ru/Card/Person/133817", "МБОУ ""СОШ №29"" НМР РТ")</f>
        <v>МБОУ "СОШ №29" НМР РТ</v>
      </c>
      <c r="B12082" s="24" t="s">
        <v>16537</v>
      </c>
      <c r="C12082" s="25">
        <v>8709600</v>
      </c>
      <c r="D12082" s="22" t="s">
        <v>16530</v>
      </c>
      <c r="E12082" s="22" t="s">
        <v>48</v>
      </c>
      <c r="F12082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82" s="22" t="s">
        <v>217</v>
      </c>
      <c r="H12082" s="22" t="s">
        <v>218</v>
      </c>
      <c r="I12082" s="26">
        <v>43664.670833333301</v>
      </c>
      <c r="J12082" s="28" t="s">
        <v>51</v>
      </c>
      <c r="K12082" s="28" t="s">
        <v>51</v>
      </c>
      <c r="L12082" s="28" t="s">
        <v>51</v>
      </c>
      <c r="M12082" s="28" t="s">
        <v>51</v>
      </c>
      <c r="N12082" s="28" t="s">
        <v>51</v>
      </c>
    </row>
    <row r="12083" spans="1:14" hidden="1" outlineLevel="1" x14ac:dyDescent="0.15">
      <c r="A12083" s="23" t="str">
        <f>HYPERLINK("https://www.spark-marketing.ru/Card/Person/133818", "МБОУ ""СТАРОШЕШМИНСКАЯ СОШ"" НМР РТ")</f>
        <v>МБОУ "СТАРОШЕШМИНСКАЯ СОШ" НМР РТ</v>
      </c>
      <c r="B12083" s="24" t="s">
        <v>16538</v>
      </c>
      <c r="C12083" s="25">
        <v>441600</v>
      </c>
      <c r="D12083" s="22" t="s">
        <v>16530</v>
      </c>
      <c r="E12083" s="22" t="s">
        <v>48</v>
      </c>
      <c r="F12083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83" s="22" t="s">
        <v>217</v>
      </c>
      <c r="H12083" s="22" t="s">
        <v>5604</v>
      </c>
      <c r="I12083" s="26">
        <v>43664.670833333301</v>
      </c>
      <c r="J12083" s="28" t="s">
        <v>51</v>
      </c>
      <c r="K12083" s="28" t="s">
        <v>51</v>
      </c>
      <c r="L12083" s="28" t="s">
        <v>51</v>
      </c>
      <c r="M12083" s="28" t="s">
        <v>51</v>
      </c>
      <c r="N12083" s="28" t="s">
        <v>51</v>
      </c>
    </row>
    <row r="12084" spans="1:14" hidden="1" outlineLevel="1" x14ac:dyDescent="0.15">
      <c r="A12084" s="23" t="str">
        <f>HYPERLINK("https://www.spark-marketing.ru/Card/Person/133819", "МБОУ ""ЕЛАНТОВСКАЯ ООШ"" НМР РТ")</f>
        <v>МБОУ "ЕЛАНТОВСКАЯ ООШ" НМР РТ</v>
      </c>
      <c r="B12084" s="24" t="s">
        <v>16539</v>
      </c>
      <c r="C12084" s="25">
        <v>218544</v>
      </c>
      <c r="D12084" s="22" t="s">
        <v>16530</v>
      </c>
      <c r="E12084" s="22" t="s">
        <v>48</v>
      </c>
      <c r="F12084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84" s="22" t="s">
        <v>217</v>
      </c>
      <c r="H12084" s="22" t="s">
        <v>5604</v>
      </c>
      <c r="I12084" s="26">
        <v>43664.670833333301</v>
      </c>
      <c r="J12084" s="28" t="s">
        <v>51</v>
      </c>
      <c r="K12084" s="28" t="s">
        <v>51</v>
      </c>
      <c r="L12084" s="28" t="s">
        <v>51</v>
      </c>
      <c r="M12084" s="28" t="s">
        <v>51</v>
      </c>
      <c r="N12084" s="28" t="s">
        <v>51</v>
      </c>
    </row>
    <row r="12085" spans="1:14" hidden="1" outlineLevel="1" x14ac:dyDescent="0.15">
      <c r="A12085" s="23" t="str">
        <f>HYPERLINK("https://www.spark-marketing.ru/Card/Person/133833", "МБОУ ""ГИМНАЗИЯ №1"" НМР РТ")</f>
        <v>МБОУ "ГИМНАЗИЯ №1" НМР РТ</v>
      </c>
      <c r="B12085" s="24" t="s">
        <v>16540</v>
      </c>
      <c r="C12085" s="25">
        <v>2069001</v>
      </c>
      <c r="D12085" s="22" t="s">
        <v>16530</v>
      </c>
      <c r="E12085" s="22" t="s">
        <v>48</v>
      </c>
      <c r="F12085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85" s="22" t="s">
        <v>217</v>
      </c>
      <c r="H12085" s="22" t="s">
        <v>218</v>
      </c>
      <c r="I12085" s="26">
        <v>43664.670833333301</v>
      </c>
      <c r="J12085" s="28" t="s">
        <v>51</v>
      </c>
      <c r="K12085" s="28" t="s">
        <v>51</v>
      </c>
      <c r="L12085" s="28" t="s">
        <v>51</v>
      </c>
      <c r="M12085" s="28" t="s">
        <v>51</v>
      </c>
      <c r="N12085" s="28" t="s">
        <v>51</v>
      </c>
    </row>
    <row r="12086" spans="1:14" hidden="1" outlineLevel="1" x14ac:dyDescent="0.15">
      <c r="A12086" s="23" t="str">
        <f>HYPERLINK("https://www.spark-marketing.ru/Card/Person/133847", "МБОУ ""СОШ №26"" НМР РТ")</f>
        <v>МБОУ "СОШ №26" НМР РТ</v>
      </c>
      <c r="B12086" s="24" t="s">
        <v>16541</v>
      </c>
      <c r="C12086" s="25">
        <v>3079455</v>
      </c>
      <c r="D12086" s="22" t="s">
        <v>16530</v>
      </c>
      <c r="E12086" s="22" t="s">
        <v>48</v>
      </c>
      <c r="F12086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86" s="22" t="s">
        <v>217</v>
      </c>
      <c r="H12086" s="22" t="s">
        <v>218</v>
      </c>
      <c r="I12086" s="26">
        <v>43664.670833333301</v>
      </c>
      <c r="J12086" s="28" t="s">
        <v>51</v>
      </c>
      <c r="K12086" s="28" t="s">
        <v>51</v>
      </c>
      <c r="L12086" s="28" t="s">
        <v>51</v>
      </c>
      <c r="M12086" s="28" t="s">
        <v>51</v>
      </c>
      <c r="N12086" s="28" t="s">
        <v>51</v>
      </c>
    </row>
    <row r="12087" spans="1:14" hidden="1" outlineLevel="1" x14ac:dyDescent="0.15">
      <c r="A12087" s="23" t="str">
        <f>HYPERLINK("https://www.spark-marketing.ru/Card/Person/133849", "МБОУ ""КПСОШ №1 """)</f>
        <v>МБОУ "КПСОШ №1 "</v>
      </c>
      <c r="B12087" s="24" t="s">
        <v>16542</v>
      </c>
      <c r="C12087" s="25">
        <v>3354710.8</v>
      </c>
      <c r="D12087" s="22" t="s">
        <v>16530</v>
      </c>
      <c r="E12087" s="22" t="s">
        <v>48</v>
      </c>
      <c r="F12087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87" s="22" t="s">
        <v>217</v>
      </c>
      <c r="H12087" s="22" t="s">
        <v>5604</v>
      </c>
      <c r="I12087" s="26">
        <v>43664.670833333301</v>
      </c>
      <c r="J12087" s="28" t="s">
        <v>51</v>
      </c>
      <c r="K12087" s="28" t="s">
        <v>51</v>
      </c>
      <c r="L12087" s="28" t="s">
        <v>51</v>
      </c>
      <c r="M12087" s="28" t="s">
        <v>51</v>
      </c>
      <c r="N12087" s="28" t="s">
        <v>51</v>
      </c>
    </row>
    <row r="12088" spans="1:14" hidden="1" outlineLevel="1" x14ac:dyDescent="0.15">
      <c r="A12088" s="23" t="str">
        <f>HYPERLINK("https://www.spark-marketing.ru/Card/Person/133852", "МБОУ ""СОШ № 12"" НМР РТ")</f>
        <v>МБОУ "СОШ № 12" НМР РТ</v>
      </c>
      <c r="B12088" s="24" t="s">
        <v>16543</v>
      </c>
      <c r="C12088" s="25">
        <v>3486690</v>
      </c>
      <c r="D12088" s="22" t="s">
        <v>16530</v>
      </c>
      <c r="E12088" s="22" t="s">
        <v>48</v>
      </c>
      <c r="F12088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88" s="22" t="s">
        <v>217</v>
      </c>
      <c r="H12088" s="22" t="s">
        <v>218</v>
      </c>
      <c r="I12088" s="26">
        <v>43664.670833333301</v>
      </c>
      <c r="J12088" s="28" t="s">
        <v>51</v>
      </c>
      <c r="K12088" s="28" t="s">
        <v>51</v>
      </c>
      <c r="L12088" s="28" t="s">
        <v>51</v>
      </c>
      <c r="M12088" s="28" t="s">
        <v>51</v>
      </c>
      <c r="N12088" s="28" t="s">
        <v>51</v>
      </c>
    </row>
    <row r="12089" spans="1:14" hidden="1" outlineLevel="1" x14ac:dyDescent="0.15">
      <c r="A12089" s="23" t="str">
        <f>HYPERLINK("https://www.spark-marketing.ru/Card/Person/133867", "МБОУ ""ГИМНАЗИЯ-ИНТЕРНАТ № 34"" НМР РТ")</f>
        <v>МБОУ "ГИМНАЗИЯ-ИНТЕРНАТ № 34" НМР РТ</v>
      </c>
      <c r="B12089" s="24" t="s">
        <v>16544</v>
      </c>
      <c r="C12089" s="25">
        <v>1766831</v>
      </c>
      <c r="D12089" s="22" t="s">
        <v>16530</v>
      </c>
      <c r="E12089" s="22" t="s">
        <v>48</v>
      </c>
      <c r="F12089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89" s="22" t="s">
        <v>217</v>
      </c>
      <c r="H12089" s="22" t="s">
        <v>218</v>
      </c>
      <c r="I12089" s="26">
        <v>43664.670833333301</v>
      </c>
      <c r="J12089" s="28" t="s">
        <v>51</v>
      </c>
      <c r="K12089" s="28" t="s">
        <v>51</v>
      </c>
      <c r="L12089" s="28" t="s">
        <v>51</v>
      </c>
      <c r="M12089" s="28" t="s">
        <v>51</v>
      </c>
      <c r="N12089" s="28" t="s">
        <v>51</v>
      </c>
    </row>
    <row r="12090" spans="1:14" hidden="1" outlineLevel="1" x14ac:dyDescent="0.15">
      <c r="A12090" s="23" t="str">
        <f>HYPERLINK("https://www.spark-marketing.ru/Card/Person/133868", "МБОУ ""СОШ №10"" НМР РТ")</f>
        <v>МБОУ "СОШ №10" НМР РТ</v>
      </c>
      <c r="B12090" s="24" t="s">
        <v>16545</v>
      </c>
      <c r="C12090" s="25">
        <v>5826816</v>
      </c>
      <c r="D12090" s="22" t="s">
        <v>16530</v>
      </c>
      <c r="E12090" s="22" t="s">
        <v>48</v>
      </c>
      <c r="F12090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90" s="22" t="s">
        <v>217</v>
      </c>
      <c r="H12090" s="22" t="s">
        <v>218</v>
      </c>
      <c r="I12090" s="26">
        <v>43664.670833333301</v>
      </c>
      <c r="J12090" s="28" t="s">
        <v>51</v>
      </c>
      <c r="K12090" s="28" t="s">
        <v>51</v>
      </c>
      <c r="L12090" s="28" t="s">
        <v>51</v>
      </c>
      <c r="M12090" s="28" t="s">
        <v>51</v>
      </c>
      <c r="N12090" s="28" t="s">
        <v>51</v>
      </c>
    </row>
    <row r="12091" spans="1:14" hidden="1" outlineLevel="1" x14ac:dyDescent="0.15">
      <c r="A12091" s="23" t="str">
        <f>HYPERLINK("https://www.spark-marketing.ru/Card/Person/133875", "МБОУ ""СОШ№1"" НМР РТ")</f>
        <v>МБОУ "СОШ№1" НМР РТ</v>
      </c>
      <c r="B12091" s="24" t="s">
        <v>16546</v>
      </c>
      <c r="C12091" s="25">
        <v>3532437</v>
      </c>
      <c r="D12091" s="22" t="s">
        <v>16530</v>
      </c>
      <c r="E12091" s="22" t="s">
        <v>48</v>
      </c>
      <c r="F12091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91" s="22" t="s">
        <v>217</v>
      </c>
      <c r="H12091" s="22" t="s">
        <v>218</v>
      </c>
      <c r="I12091" s="26">
        <v>43664.670833333301</v>
      </c>
      <c r="J12091" s="28" t="s">
        <v>51</v>
      </c>
      <c r="K12091" s="28" t="s">
        <v>51</v>
      </c>
      <c r="L12091" s="28" t="s">
        <v>51</v>
      </c>
      <c r="M12091" s="28" t="s">
        <v>51</v>
      </c>
      <c r="N12091" s="28" t="s">
        <v>51</v>
      </c>
    </row>
    <row r="12092" spans="1:14" hidden="1" outlineLevel="1" x14ac:dyDescent="0.15">
      <c r="A12092" s="23" t="str">
        <f>HYPERLINK("https://www.spark-marketing.ru/Card/Person/133878", "МБОУ ""СОШ №11"" НМР РТ")</f>
        <v>МБОУ "СОШ №11" НМР РТ</v>
      </c>
      <c r="B12092" s="24" t="s">
        <v>16547</v>
      </c>
      <c r="C12092" s="25">
        <v>3898800</v>
      </c>
      <c r="D12092" s="22" t="s">
        <v>16530</v>
      </c>
      <c r="E12092" s="22" t="s">
        <v>48</v>
      </c>
      <c r="F12092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92" s="22" t="s">
        <v>217</v>
      </c>
      <c r="H12092" s="22" t="s">
        <v>218</v>
      </c>
      <c r="I12092" s="26">
        <v>43664.670833333301</v>
      </c>
      <c r="J12092" s="28" t="s">
        <v>51</v>
      </c>
      <c r="K12092" s="28" t="s">
        <v>51</v>
      </c>
      <c r="L12092" s="28" t="s">
        <v>51</v>
      </c>
      <c r="M12092" s="28" t="s">
        <v>51</v>
      </c>
      <c r="N12092" s="28" t="s">
        <v>51</v>
      </c>
    </row>
    <row r="12093" spans="1:14" hidden="1" outlineLevel="1" x14ac:dyDescent="0.15">
      <c r="A12093" s="23" t="str">
        <f>HYPERLINK("https://www.spark-marketing.ru/Card/Person/133887", "МБОУ ""СОШ №6"" НМР РТ")</f>
        <v>МБОУ "СОШ №6" НМР РТ</v>
      </c>
      <c r="B12093" s="24" t="s">
        <v>16548</v>
      </c>
      <c r="C12093" s="25">
        <v>3535218.1</v>
      </c>
      <c r="D12093" s="22" t="s">
        <v>16530</v>
      </c>
      <c r="E12093" s="22" t="s">
        <v>48</v>
      </c>
      <c r="F12093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93" s="22" t="s">
        <v>217</v>
      </c>
      <c r="H12093" s="22" t="s">
        <v>218</v>
      </c>
      <c r="I12093" s="26">
        <v>43664.670833333301</v>
      </c>
      <c r="J12093" s="28" t="s">
        <v>51</v>
      </c>
      <c r="K12093" s="28" t="s">
        <v>51</v>
      </c>
      <c r="L12093" s="28" t="s">
        <v>51</v>
      </c>
      <c r="M12093" s="28" t="s">
        <v>51</v>
      </c>
      <c r="N12093" s="28" t="s">
        <v>51</v>
      </c>
    </row>
    <row r="12094" spans="1:14" hidden="1" outlineLevel="1" x14ac:dyDescent="0.15">
      <c r="A12094" s="23" t="str">
        <f>HYPERLINK("https://www.spark-marketing.ru/Card/Person/133897", "МБОУ ""СОШ №31"" НМР РТ")</f>
        <v>МБОУ "СОШ №31" НМР РТ</v>
      </c>
      <c r="B12094" s="24" t="s">
        <v>16549</v>
      </c>
      <c r="C12094" s="25">
        <v>7805712</v>
      </c>
      <c r="D12094" s="22" t="s">
        <v>16530</v>
      </c>
      <c r="E12094" s="22" t="s">
        <v>48</v>
      </c>
      <c r="F12094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94" s="22" t="s">
        <v>217</v>
      </c>
      <c r="H12094" s="22" t="s">
        <v>218</v>
      </c>
      <c r="I12094" s="26">
        <v>43664.670833333301</v>
      </c>
      <c r="J12094" s="28" t="s">
        <v>51</v>
      </c>
      <c r="K12094" s="28" t="s">
        <v>51</v>
      </c>
      <c r="L12094" s="28" t="s">
        <v>51</v>
      </c>
      <c r="M12094" s="28" t="s">
        <v>51</v>
      </c>
      <c r="N12094" s="28" t="s">
        <v>51</v>
      </c>
    </row>
    <row r="12095" spans="1:14" hidden="1" outlineLevel="1" x14ac:dyDescent="0.15">
      <c r="A12095" s="23" t="str">
        <f>HYPERLINK("https://www.spark-marketing.ru/Card/Person/133898", "СРЕДНЯЯ ШКОЛА № 15")</f>
        <v>СРЕДНЯЯ ШКОЛА № 15</v>
      </c>
      <c r="B12095" s="24" t="s">
        <v>16550</v>
      </c>
      <c r="C12095" s="25">
        <v>4938669</v>
      </c>
      <c r="D12095" s="22" t="s">
        <v>16530</v>
      </c>
      <c r="E12095" s="22" t="s">
        <v>48</v>
      </c>
      <c r="F12095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95" s="22" t="s">
        <v>217</v>
      </c>
      <c r="H12095" s="22" t="s">
        <v>218</v>
      </c>
      <c r="I12095" s="26">
        <v>43664.670833333301</v>
      </c>
      <c r="J12095" s="28" t="s">
        <v>51</v>
      </c>
      <c r="K12095" s="28" t="s">
        <v>51</v>
      </c>
      <c r="L12095" s="28" t="s">
        <v>51</v>
      </c>
      <c r="M12095" s="28" t="s">
        <v>51</v>
      </c>
      <c r="N12095" s="28" t="s">
        <v>51</v>
      </c>
    </row>
    <row r="12096" spans="1:14" hidden="1" outlineLevel="1" x14ac:dyDescent="0.15">
      <c r="A12096" s="23" t="str">
        <f>HYPERLINK("https://www.spark-marketing.ru/Card/Person/133899", "МБОУ ""БОЛЬШЕАФАНАСОВСКАЯ СОШ"" НМР РТ")</f>
        <v>МБОУ "БОЛЬШЕАФАНАСОВСКАЯ СОШ" НМР РТ</v>
      </c>
      <c r="B12096" s="24" t="s">
        <v>16551</v>
      </c>
      <c r="C12096" s="25">
        <v>1375380</v>
      </c>
      <c r="D12096" s="22" t="s">
        <v>16530</v>
      </c>
      <c r="E12096" s="22" t="s">
        <v>48</v>
      </c>
      <c r="F12096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96" s="22" t="s">
        <v>217</v>
      </c>
      <c r="H12096" s="22" t="s">
        <v>5604</v>
      </c>
      <c r="I12096" s="26">
        <v>43664.670833333301</v>
      </c>
      <c r="J12096" s="28" t="s">
        <v>51</v>
      </c>
      <c r="K12096" s="28" t="s">
        <v>51</v>
      </c>
      <c r="L12096" s="28" t="s">
        <v>51</v>
      </c>
      <c r="M12096" s="28" t="s">
        <v>51</v>
      </c>
      <c r="N12096" s="28" t="s">
        <v>51</v>
      </c>
    </row>
    <row r="12097" spans="1:14" hidden="1" outlineLevel="1" x14ac:dyDescent="0.15">
      <c r="A12097" s="23" t="str">
        <f>HYPERLINK("https://www.spark-marketing.ru/Card/Person/133908", "МБОУ ""СОШ №5"" НМР РТ")</f>
        <v>МБОУ "СОШ №5" НМР РТ</v>
      </c>
      <c r="B12097" s="24" t="s">
        <v>16552</v>
      </c>
      <c r="C12097" s="25">
        <v>2101620</v>
      </c>
      <c r="D12097" s="22" t="s">
        <v>16530</v>
      </c>
      <c r="E12097" s="22" t="s">
        <v>48</v>
      </c>
      <c r="F12097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97" s="22" t="s">
        <v>217</v>
      </c>
      <c r="H12097" s="22" t="s">
        <v>218</v>
      </c>
      <c r="I12097" s="26">
        <v>43664.670833333301</v>
      </c>
      <c r="J12097" s="28" t="s">
        <v>51</v>
      </c>
      <c r="K12097" s="28" t="s">
        <v>51</v>
      </c>
      <c r="L12097" s="28" t="s">
        <v>51</v>
      </c>
      <c r="M12097" s="28" t="s">
        <v>51</v>
      </c>
      <c r="N12097" s="28" t="s">
        <v>51</v>
      </c>
    </row>
    <row r="12098" spans="1:14" hidden="1" outlineLevel="1" x14ac:dyDescent="0.15">
      <c r="A12098" s="23" t="str">
        <f>HYPERLINK("https://www.spark-marketing.ru/Card/Person/133909", "МБОУ ""ВЕРХНЕЧЕЛНИНСКАЯ СОШ"" НМР РТ")</f>
        <v>МБОУ "ВЕРХНЕЧЕЛНИНСКАЯ СОШ" НМР РТ</v>
      </c>
      <c r="B12098" s="24" t="s">
        <v>16553</v>
      </c>
      <c r="C12098" s="25">
        <v>358560</v>
      </c>
      <c r="D12098" s="22" t="s">
        <v>16530</v>
      </c>
      <c r="E12098" s="22" t="s">
        <v>48</v>
      </c>
      <c r="F12098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98" s="22" t="s">
        <v>217</v>
      </c>
      <c r="H12098" s="22" t="s">
        <v>5604</v>
      </c>
      <c r="I12098" s="26">
        <v>43664.670833333301</v>
      </c>
      <c r="J12098" s="28" t="s">
        <v>51</v>
      </c>
      <c r="K12098" s="28" t="s">
        <v>51</v>
      </c>
      <c r="L12098" s="28" t="s">
        <v>51</v>
      </c>
      <c r="M12098" s="28" t="s">
        <v>51</v>
      </c>
      <c r="N12098" s="28" t="s">
        <v>51</v>
      </c>
    </row>
    <row r="12099" spans="1:14" hidden="1" outlineLevel="1" x14ac:dyDescent="0.15">
      <c r="A12099" s="23" t="str">
        <f>HYPERLINK("https://www.spark-marketing.ru/Card/Person/133910", "МБОУ ""СОШ №33"" НМР РТ")</f>
        <v>МБОУ "СОШ №33" НМР РТ</v>
      </c>
      <c r="B12099" s="24" t="s">
        <v>16554</v>
      </c>
      <c r="C12099" s="25">
        <v>8858205</v>
      </c>
      <c r="D12099" s="22" t="s">
        <v>16530</v>
      </c>
      <c r="E12099" s="22" t="s">
        <v>48</v>
      </c>
      <c r="F12099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099" s="22" t="s">
        <v>217</v>
      </c>
      <c r="H12099" s="22" t="s">
        <v>218</v>
      </c>
      <c r="I12099" s="26">
        <v>43664.670833333301</v>
      </c>
      <c r="J12099" s="28" t="s">
        <v>51</v>
      </c>
      <c r="K12099" s="28" t="s">
        <v>51</v>
      </c>
      <c r="L12099" s="28" t="s">
        <v>51</v>
      </c>
      <c r="M12099" s="28" t="s">
        <v>51</v>
      </c>
      <c r="N12099" s="28" t="s">
        <v>51</v>
      </c>
    </row>
    <row r="12100" spans="1:14" hidden="1" outlineLevel="1" x14ac:dyDescent="0.15">
      <c r="A12100" s="23" t="str">
        <f>HYPERLINK("https://www.spark-marketing.ru/Card/Person/133928", "МБОУ ""СУХАРЕВСКАЯ СОШ"" НМР РТ")</f>
        <v>МБОУ "СУХАРЕВСКАЯ СОШ" НМР РТ</v>
      </c>
      <c r="B12100" s="24" t="s">
        <v>16555</v>
      </c>
      <c r="C12100" s="25">
        <v>557550</v>
      </c>
      <c r="D12100" s="22" t="s">
        <v>16530</v>
      </c>
      <c r="E12100" s="22" t="s">
        <v>48</v>
      </c>
      <c r="F12100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00" s="22" t="s">
        <v>217</v>
      </c>
      <c r="H12100" s="22" t="s">
        <v>5604</v>
      </c>
      <c r="I12100" s="26">
        <v>43664.670833333301</v>
      </c>
      <c r="J12100" s="28" t="s">
        <v>51</v>
      </c>
      <c r="K12100" s="28" t="s">
        <v>51</v>
      </c>
      <c r="L12100" s="28" t="s">
        <v>51</v>
      </c>
      <c r="M12100" s="28" t="s">
        <v>51</v>
      </c>
      <c r="N12100" s="28" t="s">
        <v>51</v>
      </c>
    </row>
    <row r="12101" spans="1:14" hidden="1" outlineLevel="1" x14ac:dyDescent="0.15">
      <c r="A12101" s="23" t="str">
        <f>HYPERLINK("https://www.spark-marketing.ru/Card/Person/133935", "МБОУ ""СОШ №16""НМР РТ")</f>
        <v>МБОУ "СОШ №16"НМР РТ</v>
      </c>
      <c r="B12101" s="24" t="s">
        <v>16556</v>
      </c>
      <c r="C12101" s="25">
        <v>4084056</v>
      </c>
      <c r="D12101" s="22" t="s">
        <v>16530</v>
      </c>
      <c r="E12101" s="22" t="s">
        <v>48</v>
      </c>
      <c r="F12101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01" s="22" t="s">
        <v>217</v>
      </c>
      <c r="H12101" s="22" t="s">
        <v>218</v>
      </c>
      <c r="I12101" s="26">
        <v>43664.670833333301</v>
      </c>
      <c r="J12101" s="28" t="s">
        <v>51</v>
      </c>
      <c r="K12101" s="28" t="s">
        <v>51</v>
      </c>
      <c r="L12101" s="28" t="s">
        <v>51</v>
      </c>
      <c r="M12101" s="28" t="s">
        <v>51</v>
      </c>
      <c r="N12101" s="28" t="s">
        <v>51</v>
      </c>
    </row>
    <row r="12102" spans="1:14" hidden="1" outlineLevel="1" x14ac:dyDescent="0.15">
      <c r="A12102" s="23" t="str">
        <f>HYPERLINK("https://www.spark-marketing.ru/Card/Person/133936", "МБОУ ""КРАСНОКЛЮЧИНСКАЯ СОШ"" НМР РТ")</f>
        <v>МБОУ "КРАСНОКЛЮЧИНСКАЯ СОШ" НМР РТ</v>
      </c>
      <c r="B12102" s="24" t="s">
        <v>16557</v>
      </c>
      <c r="C12102" s="25">
        <v>1046820</v>
      </c>
      <c r="D12102" s="22" t="s">
        <v>16530</v>
      </c>
      <c r="E12102" s="22" t="s">
        <v>48</v>
      </c>
      <c r="F12102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02" s="22" t="s">
        <v>217</v>
      </c>
      <c r="H12102" s="22" t="s">
        <v>5604</v>
      </c>
      <c r="I12102" s="26">
        <v>43664.670833333301</v>
      </c>
      <c r="J12102" s="28" t="s">
        <v>51</v>
      </c>
      <c r="K12102" s="28" t="s">
        <v>51</v>
      </c>
      <c r="L12102" s="28" t="s">
        <v>51</v>
      </c>
      <c r="M12102" s="28" t="s">
        <v>51</v>
      </c>
      <c r="N12102" s="28" t="s">
        <v>51</v>
      </c>
    </row>
    <row r="12103" spans="1:14" hidden="1" outlineLevel="1" x14ac:dyDescent="0.15">
      <c r="A12103" s="23" t="str">
        <f>HYPERLINK("https://www.spark-marketing.ru/Card/Person/133937", "МБОУ ""СОШ № 9"" НМР РТ")</f>
        <v>МБОУ "СОШ № 9" НМР РТ</v>
      </c>
      <c r="B12103" s="24" t="s">
        <v>16558</v>
      </c>
      <c r="C12103" s="25">
        <v>3703395</v>
      </c>
      <c r="D12103" s="22" t="s">
        <v>16530</v>
      </c>
      <c r="E12103" s="22" t="s">
        <v>48</v>
      </c>
      <c r="F12103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03" s="22" t="s">
        <v>217</v>
      </c>
      <c r="H12103" s="22" t="s">
        <v>218</v>
      </c>
      <c r="I12103" s="26">
        <v>43664.670833333301</v>
      </c>
      <c r="J12103" s="28" t="s">
        <v>51</v>
      </c>
      <c r="K12103" s="28" t="s">
        <v>51</v>
      </c>
      <c r="L12103" s="28" t="s">
        <v>51</v>
      </c>
      <c r="M12103" s="28" t="s">
        <v>51</v>
      </c>
      <c r="N12103" s="28" t="s">
        <v>51</v>
      </c>
    </row>
    <row r="12104" spans="1:14" hidden="1" outlineLevel="1" x14ac:dyDescent="0.15">
      <c r="A12104" s="23" t="str">
        <f>HYPERLINK("https://www.spark-marketing.ru/Card/Person/133938", "МБОУ ""ООШ П. ТРУДОВОЙ"" НМР РТ")</f>
        <v>МБОУ "ООШ П. ТРУДОВОЙ" НМР РТ</v>
      </c>
      <c r="B12104" s="24" t="s">
        <v>16559</v>
      </c>
      <c r="C12104" s="25">
        <v>225630</v>
      </c>
      <c r="D12104" s="22" t="s">
        <v>16530</v>
      </c>
      <c r="E12104" s="22" t="s">
        <v>48</v>
      </c>
      <c r="F12104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04" s="22" t="s">
        <v>217</v>
      </c>
      <c r="H12104" s="22" t="s">
        <v>5604</v>
      </c>
      <c r="I12104" s="26">
        <v>43664.670833333301</v>
      </c>
      <c r="J12104" s="28" t="s">
        <v>51</v>
      </c>
      <c r="K12104" s="28" t="s">
        <v>51</v>
      </c>
      <c r="L12104" s="28" t="s">
        <v>51</v>
      </c>
      <c r="M12104" s="28" t="s">
        <v>51</v>
      </c>
      <c r="N12104" s="28" t="s">
        <v>51</v>
      </c>
    </row>
    <row r="12105" spans="1:14" hidden="1" outlineLevel="1" x14ac:dyDescent="0.15">
      <c r="A12105" s="23" t="str">
        <f>HYPERLINK("https://www.spark-marketing.ru/Card/Person/133941", "МБОУ ""СОШ №2"" НМР РТ")</f>
        <v>МБОУ "СОШ №2" НМР РТ</v>
      </c>
      <c r="B12105" s="24" t="s">
        <v>16560</v>
      </c>
      <c r="C12105" s="25">
        <v>3760200</v>
      </c>
      <c r="D12105" s="22" t="s">
        <v>16530</v>
      </c>
      <c r="E12105" s="22" t="s">
        <v>48</v>
      </c>
      <c r="F12105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05" s="22" t="s">
        <v>217</v>
      </c>
      <c r="H12105" s="22" t="s">
        <v>218</v>
      </c>
      <c r="I12105" s="26">
        <v>43664.670833333301</v>
      </c>
      <c r="J12105" s="28" t="s">
        <v>51</v>
      </c>
      <c r="K12105" s="28" t="s">
        <v>51</v>
      </c>
      <c r="L12105" s="28" t="s">
        <v>51</v>
      </c>
      <c r="M12105" s="28" t="s">
        <v>51</v>
      </c>
      <c r="N12105" s="28" t="s">
        <v>51</v>
      </c>
    </row>
    <row r="12106" spans="1:14" hidden="1" outlineLevel="1" x14ac:dyDescent="0.15">
      <c r="A12106" s="23" t="str">
        <f>HYPERLINK("https://www.spark-marketing.ru/Card/Person/133942", "МБОУ ""БЛАГОДАТНОВСКАЯ СОШ"" НМР РТ")</f>
        <v>МБОУ "БЛАГОДАТНОВСКАЯ СОШ" НМР РТ</v>
      </c>
      <c r="B12106" s="24" t="s">
        <v>16561</v>
      </c>
      <c r="C12106" s="25">
        <v>276480</v>
      </c>
      <c r="D12106" s="22" t="s">
        <v>16530</v>
      </c>
      <c r="E12106" s="22" t="s">
        <v>48</v>
      </c>
      <c r="F12106" s="23" t="str">
        <f t="shared" si="363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06" s="22" t="s">
        <v>217</v>
      </c>
      <c r="H12106" s="22" t="s">
        <v>5604</v>
      </c>
      <c r="I12106" s="26">
        <v>43664.670833333301</v>
      </c>
      <c r="J12106" s="28" t="s">
        <v>51</v>
      </c>
      <c r="K12106" s="28" t="s">
        <v>51</v>
      </c>
      <c r="L12106" s="28" t="s">
        <v>51</v>
      </c>
      <c r="M12106" s="28" t="s">
        <v>51</v>
      </c>
      <c r="N12106" s="28" t="s">
        <v>51</v>
      </c>
    </row>
    <row r="12107" spans="1:14" hidden="1" outlineLevel="1" x14ac:dyDescent="0.15">
      <c r="A12107" s="23" t="str">
        <f>HYPERLINK("https://www.spark-marketing.ru/Card/Person/133943", "МБОУ ""КАЕНЛИНСКАЯ СОШ"" НМР РТ")</f>
        <v>МБОУ "КАЕНЛИНСКАЯ СОШ" НМР РТ</v>
      </c>
      <c r="B12107" s="24" t="s">
        <v>16562</v>
      </c>
      <c r="C12107" s="25">
        <v>319680</v>
      </c>
      <c r="D12107" s="22" t="s">
        <v>16530</v>
      </c>
      <c r="E12107" s="22" t="s">
        <v>48</v>
      </c>
      <c r="F12107" s="23" t="str">
        <f t="shared" ref="F12107:F12129" si="364">HYPERLINK("https://www.spark-marketing.ru/Card/Lot/72189310", "Право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района")</f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07" s="22" t="s">
        <v>217</v>
      </c>
      <c r="H12107" s="22" t="s">
        <v>5604</v>
      </c>
      <c r="I12107" s="26">
        <v>43664.670833333301</v>
      </c>
      <c r="J12107" s="28" t="s">
        <v>51</v>
      </c>
      <c r="K12107" s="28" t="s">
        <v>51</v>
      </c>
      <c r="L12107" s="28" t="s">
        <v>51</v>
      </c>
      <c r="M12107" s="28" t="s">
        <v>51</v>
      </c>
      <c r="N12107" s="28" t="s">
        <v>51</v>
      </c>
    </row>
    <row r="12108" spans="1:14" hidden="1" outlineLevel="1" x14ac:dyDescent="0.15">
      <c r="A12108" s="23" t="str">
        <f>HYPERLINK("https://www.spark-marketing.ru/Card/Person/133944", "МБОУ ""ГИМНАЗИЯ-ИНТЕРНАТ №13"" НМР РТ")</f>
        <v>МБОУ "ГИМНАЗИЯ-ИНТЕРНАТ №13" НМР РТ</v>
      </c>
      <c r="B12108" s="24" t="s">
        <v>16563</v>
      </c>
      <c r="C12108" s="25">
        <v>2353428</v>
      </c>
      <c r="D12108" s="22" t="s">
        <v>16530</v>
      </c>
      <c r="E12108" s="22" t="s">
        <v>48</v>
      </c>
      <c r="F12108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08" s="22" t="s">
        <v>217</v>
      </c>
      <c r="H12108" s="22" t="s">
        <v>218</v>
      </c>
      <c r="I12108" s="26">
        <v>43664.670833333301</v>
      </c>
      <c r="J12108" s="28" t="s">
        <v>51</v>
      </c>
      <c r="K12108" s="28" t="s">
        <v>51</v>
      </c>
      <c r="L12108" s="28" t="s">
        <v>51</v>
      </c>
      <c r="M12108" s="28" t="s">
        <v>51</v>
      </c>
      <c r="N12108" s="28" t="s">
        <v>51</v>
      </c>
    </row>
    <row r="12109" spans="1:14" hidden="1" outlineLevel="1" x14ac:dyDescent="0.15">
      <c r="A12109" s="23" t="str">
        <f>HYPERLINK("https://www.spark-marketing.ru/Card/Person/133946", "МБОУ ""ГИМНАЗИЯ №22"" НМР РТ")</f>
        <v>МБОУ "ГИМНАЗИЯ №22" НМР РТ</v>
      </c>
      <c r="B12109" s="24" t="s">
        <v>16564</v>
      </c>
      <c r="C12109" s="25">
        <v>5502108</v>
      </c>
      <c r="D12109" s="22" t="s">
        <v>16530</v>
      </c>
      <c r="E12109" s="22" t="s">
        <v>48</v>
      </c>
      <c r="F12109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09" s="22" t="s">
        <v>217</v>
      </c>
      <c r="H12109" s="22" t="s">
        <v>218</v>
      </c>
      <c r="I12109" s="26">
        <v>43664.670833333301</v>
      </c>
      <c r="J12109" s="28" t="s">
        <v>51</v>
      </c>
      <c r="K12109" s="28" t="s">
        <v>51</v>
      </c>
      <c r="L12109" s="28" t="s">
        <v>51</v>
      </c>
      <c r="M12109" s="28" t="s">
        <v>51</v>
      </c>
      <c r="N12109" s="28" t="s">
        <v>51</v>
      </c>
    </row>
    <row r="12110" spans="1:14" hidden="1" outlineLevel="1" x14ac:dyDescent="0.15">
      <c r="A12110" s="23" t="str">
        <f>HYPERLINK("https://www.spark-marketing.ru/Card/Person/133986", "МБОУ ""СОШ № 3"" НМР РТ")</f>
        <v>МБОУ "СОШ № 3" НМР РТ</v>
      </c>
      <c r="B12110" s="24" t="s">
        <v>16565</v>
      </c>
      <c r="C12110" s="25">
        <v>4807539</v>
      </c>
      <c r="D12110" s="22" t="s">
        <v>16530</v>
      </c>
      <c r="E12110" s="22" t="s">
        <v>48</v>
      </c>
      <c r="F12110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10" s="22" t="s">
        <v>217</v>
      </c>
      <c r="H12110" s="22" t="s">
        <v>218</v>
      </c>
      <c r="I12110" s="26">
        <v>43664.670833333301</v>
      </c>
      <c r="J12110" s="28" t="s">
        <v>51</v>
      </c>
      <c r="K12110" s="28" t="s">
        <v>51</v>
      </c>
      <c r="L12110" s="28" t="s">
        <v>51</v>
      </c>
      <c r="M12110" s="28" t="s">
        <v>51</v>
      </c>
      <c r="N12110" s="28" t="s">
        <v>51</v>
      </c>
    </row>
    <row r="12111" spans="1:14" hidden="1" outlineLevel="1" x14ac:dyDescent="0.15">
      <c r="A12111" s="23" t="str">
        <f>HYPERLINK("https://www.spark-marketing.ru/Card/Person/133995", "МБОУ ""ШИНГАЛЬЧИНСКАЯ ООШ"" НМР РТ")</f>
        <v>МБОУ "ШИНГАЛЬЧИНСКАЯ ООШ" НМР РТ</v>
      </c>
      <c r="B12111" s="24" t="s">
        <v>16566</v>
      </c>
      <c r="C12111" s="25">
        <v>462780</v>
      </c>
      <c r="D12111" s="22" t="s">
        <v>16530</v>
      </c>
      <c r="E12111" s="22" t="s">
        <v>48</v>
      </c>
      <c r="F12111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11" s="22" t="s">
        <v>217</v>
      </c>
      <c r="H12111" s="22" t="s">
        <v>5604</v>
      </c>
      <c r="I12111" s="26">
        <v>43664.670833333301</v>
      </c>
      <c r="J12111" s="28" t="s">
        <v>51</v>
      </c>
      <c r="K12111" s="28" t="s">
        <v>51</v>
      </c>
      <c r="L12111" s="28" t="s">
        <v>51</v>
      </c>
      <c r="M12111" s="28" t="s">
        <v>51</v>
      </c>
      <c r="N12111" s="28" t="s">
        <v>51</v>
      </c>
    </row>
    <row r="12112" spans="1:14" hidden="1" outlineLevel="1" x14ac:dyDescent="0.15">
      <c r="A12112" s="23" t="str">
        <f>HYPERLINK("https://www.spark-marketing.ru/Card/Person/134216", "МБОУ ""ГИМНАЗИЯ № 2"" НМР РТ")</f>
        <v>МБОУ "ГИМНАЗИЯ № 2" НМР РТ</v>
      </c>
      <c r="B12112" s="24" t="s">
        <v>16567</v>
      </c>
      <c r="C12112" s="25">
        <v>7469784</v>
      </c>
      <c r="D12112" s="22" t="s">
        <v>16530</v>
      </c>
      <c r="E12112" s="22" t="s">
        <v>48</v>
      </c>
      <c r="F12112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12" s="22" t="s">
        <v>217</v>
      </c>
      <c r="H12112" s="22" t="s">
        <v>218</v>
      </c>
      <c r="I12112" s="26">
        <v>43664.670833333301</v>
      </c>
      <c r="J12112" s="28" t="s">
        <v>51</v>
      </c>
      <c r="K12112" s="28" t="s">
        <v>51</v>
      </c>
      <c r="L12112" s="28" t="s">
        <v>51</v>
      </c>
      <c r="M12112" s="28" t="s">
        <v>51</v>
      </c>
      <c r="N12112" s="28" t="s">
        <v>51</v>
      </c>
    </row>
    <row r="12113" spans="1:14" hidden="1" outlineLevel="1" x14ac:dyDescent="0.15">
      <c r="A12113" s="23" t="str">
        <f>HYPERLINK("https://www.spark-marketing.ru/Card/Person/134218", "МБОУ ""СОШ №19"" НМР РТ")</f>
        <v>МБОУ "СОШ №19" НМР РТ</v>
      </c>
      <c r="B12113" s="24" t="s">
        <v>16568</v>
      </c>
      <c r="C12113" s="25">
        <v>5179344</v>
      </c>
      <c r="D12113" s="22" t="s">
        <v>16530</v>
      </c>
      <c r="E12113" s="22" t="s">
        <v>48</v>
      </c>
      <c r="F12113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13" s="22" t="s">
        <v>217</v>
      </c>
      <c r="H12113" s="22" t="s">
        <v>218</v>
      </c>
      <c r="I12113" s="26">
        <v>43664.670833333301</v>
      </c>
      <c r="J12113" s="28" t="s">
        <v>51</v>
      </c>
      <c r="K12113" s="28" t="s">
        <v>51</v>
      </c>
      <c r="L12113" s="28" t="s">
        <v>51</v>
      </c>
      <c r="M12113" s="28" t="s">
        <v>51</v>
      </c>
      <c r="N12113" s="28" t="s">
        <v>51</v>
      </c>
    </row>
    <row r="12114" spans="1:14" hidden="1" outlineLevel="1" x14ac:dyDescent="0.15">
      <c r="A12114" s="23" t="str">
        <f>HYPERLINK("https://www.spark-marketing.ru/Card/Person/135044", "МБОУ ""ШЕРЕМЕТЬЕВСКАЯ СОШ"" НМР РТ")</f>
        <v>МБОУ "ШЕРЕМЕТЬЕВСКАЯ СОШ" НМР РТ</v>
      </c>
      <c r="B12114" s="24" t="s">
        <v>16569</v>
      </c>
      <c r="C12114" s="25">
        <v>410400</v>
      </c>
      <c r="D12114" s="22" t="s">
        <v>16530</v>
      </c>
      <c r="E12114" s="22" t="s">
        <v>48</v>
      </c>
      <c r="F12114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14" s="22" t="s">
        <v>217</v>
      </c>
      <c r="H12114" s="22" t="s">
        <v>5604</v>
      </c>
      <c r="I12114" s="26">
        <v>43664.670833333301</v>
      </c>
      <c r="J12114" s="28" t="s">
        <v>51</v>
      </c>
      <c r="K12114" s="28" t="s">
        <v>51</v>
      </c>
      <c r="L12114" s="28" t="s">
        <v>51</v>
      </c>
      <c r="M12114" s="28" t="s">
        <v>51</v>
      </c>
      <c r="N12114" s="28" t="s">
        <v>51</v>
      </c>
    </row>
    <row r="12115" spans="1:14" hidden="1" outlineLevel="1" x14ac:dyDescent="0.15">
      <c r="A12115" s="23" t="str">
        <f>HYPERLINK("https://www.spark-marketing.ru/Card/Person/135045", "МБОУ ""СОШ № 8"" НМР РТ")</f>
        <v>МБОУ "СОШ № 8" НМР РТ</v>
      </c>
      <c r="B12115" s="24" t="s">
        <v>16570</v>
      </c>
      <c r="C12115" s="25">
        <v>5455731</v>
      </c>
      <c r="D12115" s="22" t="s">
        <v>16530</v>
      </c>
      <c r="E12115" s="22" t="s">
        <v>48</v>
      </c>
      <c r="F12115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15" s="22" t="s">
        <v>217</v>
      </c>
      <c r="H12115" s="22" t="s">
        <v>218</v>
      </c>
      <c r="I12115" s="26">
        <v>43664.670833333301</v>
      </c>
      <c r="J12115" s="28" t="s">
        <v>51</v>
      </c>
      <c r="K12115" s="28" t="s">
        <v>51</v>
      </c>
      <c r="L12115" s="28" t="s">
        <v>51</v>
      </c>
      <c r="M12115" s="28" t="s">
        <v>51</v>
      </c>
      <c r="N12115" s="28" t="s">
        <v>51</v>
      </c>
    </row>
    <row r="12116" spans="1:14" hidden="1" outlineLevel="1" x14ac:dyDescent="0.15">
      <c r="A12116" s="23" t="str">
        <f>HYPERLINK("https://www.spark-marketing.ru/Card/Person/135089", "МБОУ ""ЛИЦЕЙ-ИНТЕРНАТ №24"" НМР РТ")</f>
        <v>МБОУ "ЛИЦЕЙ-ИНТЕРНАТ №24" НМР РТ</v>
      </c>
      <c r="B12116" s="24" t="s">
        <v>16571</v>
      </c>
      <c r="C12116" s="25">
        <v>2527920</v>
      </c>
      <c r="D12116" s="22" t="s">
        <v>16530</v>
      </c>
      <c r="E12116" s="22" t="s">
        <v>48</v>
      </c>
      <c r="F12116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16" s="22" t="s">
        <v>217</v>
      </c>
      <c r="H12116" s="22" t="s">
        <v>218</v>
      </c>
      <c r="I12116" s="26">
        <v>43664.670833333301</v>
      </c>
      <c r="J12116" s="28" t="s">
        <v>51</v>
      </c>
      <c r="K12116" s="28" t="s">
        <v>51</v>
      </c>
      <c r="L12116" s="28" t="s">
        <v>51</v>
      </c>
      <c r="M12116" s="28" t="s">
        <v>51</v>
      </c>
      <c r="N12116" s="28" t="s">
        <v>51</v>
      </c>
    </row>
    <row r="12117" spans="1:14" hidden="1" outlineLevel="1" x14ac:dyDescent="0.15">
      <c r="A12117" s="23" t="str">
        <f>HYPERLINK("https://www.spark-marketing.ru/Card/Person/135100", "МБОУ ""ЛИЦЕЙ № 14"" НМР РТ")</f>
        <v>МБОУ "ЛИЦЕЙ № 14" НМР РТ</v>
      </c>
      <c r="B12117" s="24" t="s">
        <v>16572</v>
      </c>
      <c r="C12117" s="25">
        <v>6787242</v>
      </c>
      <c r="D12117" s="22" t="s">
        <v>16530</v>
      </c>
      <c r="E12117" s="22" t="s">
        <v>48</v>
      </c>
      <c r="F12117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17" s="22" t="s">
        <v>217</v>
      </c>
      <c r="H12117" s="22" t="s">
        <v>218</v>
      </c>
      <c r="I12117" s="26">
        <v>43664.670833333301</v>
      </c>
      <c r="J12117" s="28" t="s">
        <v>51</v>
      </c>
      <c r="K12117" s="28" t="s">
        <v>51</v>
      </c>
      <c r="L12117" s="28" t="s">
        <v>51</v>
      </c>
      <c r="M12117" s="28" t="s">
        <v>51</v>
      </c>
      <c r="N12117" s="28" t="s">
        <v>51</v>
      </c>
    </row>
    <row r="12118" spans="1:14" hidden="1" outlineLevel="1" x14ac:dyDescent="0.15">
      <c r="A12118" s="23" t="str">
        <f>HYPERLINK("https://www.spark-marketing.ru/Card/Person/135433", "МБОУ ""ВЕРХНЕУРАТЬМИНСКАЯ ООШ"" НМР РТ")</f>
        <v>МБОУ "ВЕРХНЕУРАТЬМИНСКАЯ ООШ" НМР РТ</v>
      </c>
      <c r="B12118" s="24" t="s">
        <v>16573</v>
      </c>
      <c r="C12118" s="25">
        <v>285120</v>
      </c>
      <c r="D12118" s="22" t="s">
        <v>16530</v>
      </c>
      <c r="E12118" s="22" t="s">
        <v>48</v>
      </c>
      <c r="F12118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18" s="22" t="s">
        <v>217</v>
      </c>
      <c r="H12118" s="22" t="s">
        <v>5604</v>
      </c>
      <c r="I12118" s="26">
        <v>43664.670833333301</v>
      </c>
      <c r="J12118" s="28" t="s">
        <v>51</v>
      </c>
      <c r="K12118" s="28" t="s">
        <v>51</v>
      </c>
      <c r="L12118" s="28" t="s">
        <v>51</v>
      </c>
      <c r="M12118" s="28" t="s">
        <v>51</v>
      </c>
      <c r="N12118" s="28" t="s">
        <v>51</v>
      </c>
    </row>
    <row r="12119" spans="1:14" hidden="1" outlineLevel="1" x14ac:dyDescent="0.15">
      <c r="A12119" s="23" t="str">
        <f>HYPERLINK("https://www.spark-marketing.ru/Card/Person/253720", "МБОУ ""ГИМНАЗИЯ №25"" НМР РТ")</f>
        <v>МБОУ "ГИМНАЗИЯ №25" НМР РТ</v>
      </c>
      <c r="B12119" s="24" t="s">
        <v>16574</v>
      </c>
      <c r="C12119" s="25">
        <v>6452160</v>
      </c>
      <c r="D12119" s="22" t="s">
        <v>16530</v>
      </c>
      <c r="E12119" s="22" t="s">
        <v>48</v>
      </c>
      <c r="F12119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19" s="22" t="s">
        <v>217</v>
      </c>
      <c r="H12119" s="22" t="s">
        <v>218</v>
      </c>
      <c r="I12119" s="26">
        <v>43664.670833333301</v>
      </c>
      <c r="J12119" s="28" t="s">
        <v>51</v>
      </c>
      <c r="K12119" s="28" t="s">
        <v>51</v>
      </c>
      <c r="L12119" s="28" t="s">
        <v>51</v>
      </c>
      <c r="M12119" s="28" t="s">
        <v>51</v>
      </c>
      <c r="N12119" s="28" t="s">
        <v>51</v>
      </c>
    </row>
    <row r="12120" spans="1:14" hidden="1" outlineLevel="1" x14ac:dyDescent="0.15">
      <c r="A12120" s="23" t="str">
        <f>HYPERLINK("https://www.spark-marketing.ru/Card/Person/254120", "МБОУ ""СОШ №27"" НМР РТ")</f>
        <v>МБОУ "СОШ №27" НМР РТ</v>
      </c>
      <c r="B12120" s="24" t="s">
        <v>16575</v>
      </c>
      <c r="C12120" s="25">
        <v>6181302.0999999996</v>
      </c>
      <c r="D12120" s="22" t="s">
        <v>16530</v>
      </c>
      <c r="E12120" s="22" t="s">
        <v>48</v>
      </c>
      <c r="F12120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20" s="22" t="s">
        <v>217</v>
      </c>
      <c r="H12120" s="22" t="s">
        <v>218</v>
      </c>
      <c r="I12120" s="26">
        <v>43664.670833333301</v>
      </c>
      <c r="J12120" s="28" t="s">
        <v>51</v>
      </c>
      <c r="K12120" s="28" t="s">
        <v>51</v>
      </c>
      <c r="L12120" s="28" t="s">
        <v>51</v>
      </c>
      <c r="M12120" s="28" t="s">
        <v>51</v>
      </c>
      <c r="N12120" s="28" t="s">
        <v>51</v>
      </c>
    </row>
    <row r="12121" spans="1:14" hidden="1" outlineLevel="1" x14ac:dyDescent="0.15">
      <c r="A12121" s="23" t="str">
        <f>HYPERLINK("https://www.spark-marketing.ru/Card/Person/254125", "МБОУ ""СОШ №20"" НМР РТ")</f>
        <v>МБОУ "СОШ №20" НМР РТ</v>
      </c>
      <c r="B12121" s="24" t="s">
        <v>16576</v>
      </c>
      <c r="C12121" s="25">
        <v>2635425</v>
      </c>
      <c r="D12121" s="22" t="s">
        <v>16530</v>
      </c>
      <c r="E12121" s="22" t="s">
        <v>48</v>
      </c>
      <c r="F12121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21" s="22" t="s">
        <v>217</v>
      </c>
      <c r="H12121" s="22" t="s">
        <v>218</v>
      </c>
      <c r="I12121" s="26">
        <v>43664.670833333301</v>
      </c>
      <c r="J12121" s="28" t="s">
        <v>51</v>
      </c>
      <c r="K12121" s="28" t="s">
        <v>51</v>
      </c>
      <c r="L12121" s="28" t="s">
        <v>51</v>
      </c>
      <c r="M12121" s="28" t="s">
        <v>51</v>
      </c>
      <c r="N12121" s="28" t="s">
        <v>51</v>
      </c>
    </row>
    <row r="12122" spans="1:14" hidden="1" outlineLevel="1" x14ac:dyDescent="0.15">
      <c r="A12122" s="23" t="str">
        <f>HYPERLINK("https://www.spark-marketing.ru/Card/Person/254177", "МБОУ ""КСОШ №2"" НМР РТ")</f>
        <v>МБОУ "КСОШ №2" НМР РТ</v>
      </c>
      <c r="B12122" s="24" t="s">
        <v>16577</v>
      </c>
      <c r="C12122" s="25">
        <v>3380922</v>
      </c>
      <c r="D12122" s="22" t="s">
        <v>16530</v>
      </c>
      <c r="E12122" s="22" t="s">
        <v>48</v>
      </c>
      <c r="F12122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22" s="22" t="s">
        <v>217</v>
      </c>
      <c r="H12122" s="22" t="s">
        <v>5604</v>
      </c>
      <c r="I12122" s="26">
        <v>43664.670833333301</v>
      </c>
      <c r="J12122" s="28" t="s">
        <v>51</v>
      </c>
      <c r="K12122" s="28" t="s">
        <v>51</v>
      </c>
      <c r="L12122" s="28" t="s">
        <v>51</v>
      </c>
      <c r="M12122" s="28" t="s">
        <v>51</v>
      </c>
      <c r="N12122" s="28" t="s">
        <v>51</v>
      </c>
    </row>
    <row r="12123" spans="1:14" hidden="1" outlineLevel="1" x14ac:dyDescent="0.15">
      <c r="A12123" s="23" t="str">
        <f>HYPERLINK("https://www.spark-marketing.ru/Card/Person/254399", "МБОУ ""СОШ № 28"" НМР РТ")</f>
        <v>МБОУ "СОШ № 28" НМР РТ</v>
      </c>
      <c r="B12123" s="24" t="s">
        <v>16578</v>
      </c>
      <c r="C12123" s="25">
        <v>3565620</v>
      </c>
      <c r="D12123" s="22" t="s">
        <v>16530</v>
      </c>
      <c r="E12123" s="22" t="s">
        <v>48</v>
      </c>
      <c r="F12123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23" s="22" t="s">
        <v>217</v>
      </c>
      <c r="H12123" s="22" t="s">
        <v>218</v>
      </c>
      <c r="I12123" s="26">
        <v>43664.670833333301</v>
      </c>
      <c r="J12123" s="28" t="s">
        <v>51</v>
      </c>
      <c r="K12123" s="28" t="s">
        <v>51</v>
      </c>
      <c r="L12123" s="28" t="s">
        <v>51</v>
      </c>
      <c r="M12123" s="28" t="s">
        <v>51</v>
      </c>
      <c r="N12123" s="28" t="s">
        <v>51</v>
      </c>
    </row>
    <row r="12124" spans="1:14" hidden="1" outlineLevel="1" x14ac:dyDescent="0.15">
      <c r="A12124" s="23" t="str">
        <f>HYPERLINK("https://www.spark-marketing.ru/Card/Person/255193", "МБОУ ""СОШ № 21"" НМР РТ")</f>
        <v>МБОУ "СОШ № 21" НМР РТ</v>
      </c>
      <c r="B12124" s="24" t="s">
        <v>16579</v>
      </c>
      <c r="C12124" s="25">
        <v>3390072</v>
      </c>
      <c r="D12124" s="22" t="s">
        <v>16530</v>
      </c>
      <c r="E12124" s="22" t="s">
        <v>48</v>
      </c>
      <c r="F12124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24" s="22" t="s">
        <v>217</v>
      </c>
      <c r="H12124" s="22" t="s">
        <v>218</v>
      </c>
      <c r="I12124" s="26">
        <v>43664.670833333301</v>
      </c>
      <c r="J12124" s="28" t="s">
        <v>51</v>
      </c>
      <c r="K12124" s="28" t="s">
        <v>51</v>
      </c>
      <c r="L12124" s="28" t="s">
        <v>51</v>
      </c>
      <c r="M12124" s="28" t="s">
        <v>51</v>
      </c>
      <c r="N12124" s="28" t="s">
        <v>51</v>
      </c>
    </row>
    <row r="12125" spans="1:14" hidden="1" outlineLevel="1" x14ac:dyDescent="0.15">
      <c r="A12125" s="23" t="str">
        <f>HYPERLINK("https://www.spark-marketing.ru/Card/Person/255383", "МБОУ ""ПРОСТИНСКАЯ ООШ"" НМР РТ")</f>
        <v>МБОУ "ПРОСТИНСКАЯ ООШ" НМР РТ</v>
      </c>
      <c r="B12125" s="24" t="s">
        <v>16580</v>
      </c>
      <c r="C12125" s="25">
        <v>126336</v>
      </c>
      <c r="D12125" s="22" t="s">
        <v>16530</v>
      </c>
      <c r="E12125" s="22" t="s">
        <v>48</v>
      </c>
      <c r="F12125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25" s="22" t="s">
        <v>217</v>
      </c>
      <c r="H12125" s="22" t="s">
        <v>5604</v>
      </c>
      <c r="I12125" s="26">
        <v>43664.670833333301</v>
      </c>
      <c r="J12125" s="28" t="s">
        <v>51</v>
      </c>
      <c r="K12125" s="28" t="s">
        <v>51</v>
      </c>
      <c r="L12125" s="28" t="s">
        <v>51</v>
      </c>
      <c r="M12125" s="28" t="s">
        <v>51</v>
      </c>
      <c r="N12125" s="28" t="s">
        <v>51</v>
      </c>
    </row>
    <row r="12126" spans="1:14" hidden="1" outlineLevel="1" x14ac:dyDescent="0.15">
      <c r="A12126" s="23" t="str">
        <f>HYPERLINK("https://www.spark-marketing.ru/Card/Person/6441919", "МБОУ ""СОШ №36"" НМР РТ")</f>
        <v>МБОУ "СОШ №36" НМР РТ</v>
      </c>
      <c r="B12126" s="24" t="s">
        <v>16581</v>
      </c>
      <c r="C12126" s="25">
        <v>7513350</v>
      </c>
      <c r="D12126" s="22" t="s">
        <v>16530</v>
      </c>
      <c r="E12126" s="22" t="s">
        <v>48</v>
      </c>
      <c r="F12126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26" s="22" t="s">
        <v>217</v>
      </c>
      <c r="H12126" s="22" t="s">
        <v>218</v>
      </c>
      <c r="I12126" s="26">
        <v>43664.670833333301</v>
      </c>
      <c r="J12126" s="28" t="s">
        <v>51</v>
      </c>
      <c r="K12126" s="28" t="s">
        <v>51</v>
      </c>
      <c r="L12126" s="28" t="s">
        <v>51</v>
      </c>
      <c r="M12126" s="28" t="s">
        <v>51</v>
      </c>
      <c r="N12126" s="28" t="s">
        <v>51</v>
      </c>
    </row>
    <row r="12127" spans="1:14" hidden="1" outlineLevel="1" x14ac:dyDescent="0.15">
      <c r="A12127" s="23" t="str">
        <f>HYPERLINK("https://www.spark-marketing.ru/Card/Person/6622762", "МБОУ ""СОШ №37"" НМР РТ")</f>
        <v>МБОУ "СОШ №37" НМР РТ</v>
      </c>
      <c r="B12127" s="24" t="s">
        <v>16582</v>
      </c>
      <c r="C12127" s="25">
        <v>6535845</v>
      </c>
      <c r="D12127" s="22" t="s">
        <v>16530</v>
      </c>
      <c r="E12127" s="22" t="s">
        <v>48</v>
      </c>
      <c r="F12127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27" s="22" t="s">
        <v>217</v>
      </c>
      <c r="H12127" s="22" t="s">
        <v>218</v>
      </c>
      <c r="I12127" s="26">
        <v>43664.670833333301</v>
      </c>
      <c r="J12127" s="28" t="s">
        <v>51</v>
      </c>
      <c r="K12127" s="28" t="s">
        <v>51</v>
      </c>
      <c r="L12127" s="28" t="s">
        <v>51</v>
      </c>
      <c r="M12127" s="28" t="s">
        <v>51</v>
      </c>
      <c r="N12127" s="28" t="s">
        <v>51</v>
      </c>
    </row>
    <row r="12128" spans="1:14" hidden="1" outlineLevel="1" x14ac:dyDescent="0.2">
      <c r="A12128" s="28" t="s">
        <v>51</v>
      </c>
      <c r="B12128" s="28" t="s">
        <v>51</v>
      </c>
      <c r="C12128" s="28" t="s">
        <v>51</v>
      </c>
      <c r="D12128" s="22" t="s">
        <v>16530</v>
      </c>
      <c r="E12128" s="22" t="s">
        <v>48</v>
      </c>
      <c r="F12128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28" s="22" t="s">
        <v>51</v>
      </c>
      <c r="H12128" s="22" t="s">
        <v>51</v>
      </c>
      <c r="I12128" s="26">
        <v>43664.670833333301</v>
      </c>
      <c r="J12128" s="23" t="str">
        <f>HYPERLINK("https://www.spark-marketing.ru/Card/Person/5852030", "ООО ""АБК-ПЭЙМЕНТ""")</f>
        <v>ООО "АБК-ПЭЙМЕНТ"</v>
      </c>
      <c r="K12128" s="24" t="s">
        <v>5605</v>
      </c>
      <c r="L12128" s="28" t="s">
        <v>51</v>
      </c>
      <c r="M12128" s="25">
        <v>180221249</v>
      </c>
      <c r="N12128" s="27">
        <v>0</v>
      </c>
    </row>
    <row r="12129" spans="1:14" hidden="1" outlineLevel="1" x14ac:dyDescent="0.15">
      <c r="A12129" s="28" t="s">
        <v>51</v>
      </c>
      <c r="B12129" s="28" t="s">
        <v>51</v>
      </c>
      <c r="C12129" s="28" t="s">
        <v>51</v>
      </c>
      <c r="D12129" s="22" t="s">
        <v>16530</v>
      </c>
      <c r="E12129" s="22" t="s">
        <v>48</v>
      </c>
      <c r="F12129" s="23" t="str">
        <f t="shared" si="364"/>
        <v>Право заключения муниципального контракта на оказание услуг по организации горячего питания для обучающихся в образовательных организациях г. Нижнекамска и Нижнекамского муниципального района</v>
      </c>
      <c r="G12129" s="22" t="s">
        <v>51</v>
      </c>
      <c r="H12129" s="22" t="s">
        <v>51</v>
      </c>
      <c r="I12129" s="26">
        <v>43664.670833333301</v>
      </c>
      <c r="J12129" s="23" t="str">
        <f>HYPERLINK("https://www.spark-marketing.ru/Card/Person/49008", "АО ""ДЕПАРТАМЕНТ ПРОДОВОЛЬСТВИЯ""")</f>
        <v>АО "ДЕПАРТАМЕНТ ПРОДОВОЛЬСТВИЯ"</v>
      </c>
      <c r="K12129" s="24" t="s">
        <v>2101</v>
      </c>
      <c r="L12129" s="28" t="s">
        <v>51</v>
      </c>
      <c r="M12129" s="28" t="s">
        <v>51</v>
      </c>
      <c r="N12129" s="28" t="s">
        <v>51</v>
      </c>
    </row>
    <row r="12130" spans="1:14" x14ac:dyDescent="0.15">
      <c r="A12130" s="23" t="str">
        <f>HYPERLINK("https://www.spark-marketing.ru/Card/Person/20208", "КГБУЗ ККОКБ ИМ. ПРОФЕССОРА П.Г.МАКАРОВА")</f>
        <v>КГБУЗ ККОКБ ИМ. ПРОФЕССОРА П.Г.МАКАРОВА</v>
      </c>
      <c r="B12130" s="24" t="s">
        <v>1784</v>
      </c>
      <c r="C12130" s="25">
        <v>499961.25</v>
      </c>
      <c r="D12130" s="22" t="s">
        <v>16583</v>
      </c>
      <c r="E12130" s="22" t="s">
        <v>48</v>
      </c>
      <c r="F12130" s="23" t="str">
        <f>HYPERLINK("https://www.spark-marketing.ru/Card/Lot/72183641", "Услуги по организации и обеспечению лечебным питанием пациентов стационара (взрослых и детей)")</f>
        <v>Услуги по организации и обеспечению лечебным питанием пациентов стационара (взрослых и детей)</v>
      </c>
      <c r="G12130" s="22" t="s">
        <v>281</v>
      </c>
      <c r="H12130" s="22" t="s">
        <v>1036</v>
      </c>
      <c r="I12130" s="26">
        <v>43664.668171296304</v>
      </c>
      <c r="J12130" s="23" t="str">
        <f>HYPERLINK("https://www.spark-marketing.ru/Card/Person/10897", "КГБУЗ ККБ")</f>
        <v>КГБУЗ ККБ</v>
      </c>
      <c r="K12130" s="24" t="s">
        <v>1786</v>
      </c>
      <c r="L12130" s="22" t="s">
        <v>10</v>
      </c>
      <c r="M12130" s="28" t="s">
        <v>51</v>
      </c>
      <c r="N12130" s="28" t="s">
        <v>51</v>
      </c>
    </row>
    <row r="12131" spans="1:14" x14ac:dyDescent="0.15">
      <c r="A12131" s="23" t="str">
        <f>HYPERLINK("https://www.spark-marketing.ru/Card/Person/877650", "ФКУ ЛИУ-8 УФСИН РОССИИ ПО АЛТАЙСКОМУ КРАЮ")</f>
        <v>ФКУ ЛИУ-8 УФСИН РОССИИ ПО АЛТАЙСКОМУ КРАЮ</v>
      </c>
      <c r="B12131" s="24" t="s">
        <v>16584</v>
      </c>
      <c r="C12131" s="25">
        <v>28000</v>
      </c>
      <c r="D12131" s="22" t="s">
        <v>16585</v>
      </c>
      <c r="E12131" s="22" t="s">
        <v>437</v>
      </c>
      <c r="F12131" s="23" t="str">
        <f>HYPERLINK("https://www.spark-marketing.ru/Card/Lot/72203864", "услуги на проведение лабораторных  исследований качества приготовления блюд")</f>
        <v>услуги на проведение лабораторных  исследований качества приготовления блюд</v>
      </c>
      <c r="G12131" s="22" t="s">
        <v>63</v>
      </c>
      <c r="H12131" s="22" t="s">
        <v>3262</v>
      </c>
      <c r="I12131" s="26">
        <v>43664.691527777803</v>
      </c>
      <c r="J12131" s="23" t="str">
        <f>HYPERLINK("https://www.spark-marketing.ru/Card/Person/22670", "ФБУЗ ""ЦЕНТР ГИГИЕНЫ И ЭПИДЕМИОЛОГИИ В АЛТАЙСКОМ КРАЕ""")</f>
        <v>ФБУЗ "ЦЕНТР ГИГИЕНЫ И ЭПИДЕМИОЛОГИИ В АЛТАЙСКОМ КРАЕ"</v>
      </c>
      <c r="K12131" s="24" t="s">
        <v>16586</v>
      </c>
      <c r="L12131" s="22" t="s">
        <v>10</v>
      </c>
      <c r="M12131" s="28" t="s">
        <v>51</v>
      </c>
      <c r="N12131" s="28" t="s">
        <v>51</v>
      </c>
    </row>
    <row r="12132" spans="1:14" x14ac:dyDescent="0.15">
      <c r="A12132" s="23" t="str">
        <f>HYPERLINK("https://www.spark-marketing.ru/Card/Person/1062381", "ГБКУ АО ""ВЕЛЬСКИЙ ЦЕНТР ""СКВОРУШКА""""")</f>
        <v>ГБКУ АО "ВЕЛЬСКИЙ ЦЕНТР "СКВОРУШКА""</v>
      </c>
      <c r="B12132" s="24" t="s">
        <v>16587</v>
      </c>
      <c r="C12132" s="25">
        <v>4005000</v>
      </c>
      <c r="D12132" s="22" t="s">
        <v>16588</v>
      </c>
      <c r="E12132" s="22" t="s">
        <v>48</v>
      </c>
      <c r="F12132" s="23" t="str">
        <f>HYPERLINK("https://www.spark-marketing.ru/Card/Lot/72193371", "Оказание услуг по организации питания клиентов ГБКУ АО ""Вельский центр ""Скворушка""""")</f>
        <v>Оказание услуг по организации питания клиентов ГБКУ АО "Вельский центр "Скворушка""</v>
      </c>
      <c r="G12132" s="22" t="s">
        <v>214</v>
      </c>
      <c r="H12132" s="22" t="s">
        <v>16589</v>
      </c>
      <c r="I12132" s="26">
        <v>43664.687824074099</v>
      </c>
      <c r="J12132" s="23" t="str">
        <f>HYPERLINK("https://www.spark-marketing.ru/Card/Person/1227618", "ООО ""ФИШКА""")</f>
        <v>ООО "ФИШКА"</v>
      </c>
      <c r="K12132" s="24" t="s">
        <v>16590</v>
      </c>
      <c r="L12132" s="22" t="s">
        <v>10</v>
      </c>
      <c r="M12132" s="28" t="s">
        <v>51</v>
      </c>
      <c r="N12132" s="28" t="s">
        <v>51</v>
      </c>
    </row>
    <row r="12133" spans="1:14" x14ac:dyDescent="0.15">
      <c r="A12133" s="23" t="str">
        <f>HYPERLINK("https://www.spark-marketing.ru/Card/Person/133424", "ЦССИ ФСО РОССИИ В ВОЛГОГРАДСКОЙ ОБЛАСТИ")</f>
        <v>ЦССИ ФСО РОССИИ В ВОЛГОГРАДСКОЙ ОБЛАСТИ</v>
      </c>
      <c r="B12133" s="24" t="s">
        <v>16591</v>
      </c>
      <c r="C12133" s="25">
        <v>57060</v>
      </c>
      <c r="D12133" s="22" t="s">
        <v>16592</v>
      </c>
      <c r="E12133" s="22" t="s">
        <v>91</v>
      </c>
      <c r="F12133" s="23" t="str">
        <f>HYPERLINK("https://www.spark-marketing.ru/Card/Lot/72192039", "Услуги по ремонту прочего компьютерного и переферийного компьютерного оборудования")</f>
        <v>Услуги по ремонту прочего компьютерного и переферийного компьютерного оборудования</v>
      </c>
      <c r="G12133" s="22" t="s">
        <v>158</v>
      </c>
      <c r="H12133" s="22" t="s">
        <v>171</v>
      </c>
      <c r="I12133" s="26">
        <v>43664.692719907398</v>
      </c>
      <c r="J12133" s="23" t="str">
        <f>HYPERLINK("https://www.spark-marketing.ru/Card/Person/5913556", "ООО ""СЕРВИСЛАЙН-ЮГ""")</f>
        <v>ООО "СЕРВИСЛАЙН-ЮГ"</v>
      </c>
      <c r="K12133" s="24" t="s">
        <v>8233</v>
      </c>
      <c r="L12133" s="22" t="s">
        <v>10</v>
      </c>
      <c r="M12133" s="28" t="s">
        <v>51</v>
      </c>
      <c r="N12133" s="28" t="s">
        <v>51</v>
      </c>
    </row>
    <row r="12134" spans="1:14" x14ac:dyDescent="0.15">
      <c r="A12134" s="23" t="str">
        <f>HYPERLINK("https://www.spark-marketing.ru/Card/Person/269616", "МО МВД РОССИИ ""ЗЕЙСКИЙ""")</f>
        <v>МО МВД РОССИИ "ЗЕЙСКИЙ"</v>
      </c>
      <c r="B12134" s="24" t="s">
        <v>14539</v>
      </c>
      <c r="C12134" s="25">
        <v>1150000</v>
      </c>
      <c r="D12134" s="22" t="s">
        <v>16593</v>
      </c>
      <c r="E12134" s="22" t="s">
        <v>48</v>
      </c>
      <c r="F12134" s="23" t="str">
        <f>HYPERLINK("https://www.spark-marketing.ru/Card/Lot/72180841", "оказание услуг по обеспечению горячим питанием и услуг по раздаче пищи лицам, содержащихся в ИВС МО МВД России «Зейский»")</f>
        <v>оказание услуг по обеспечению горячим питанием и услуг по раздаче пищи лицам, содержащихся в ИВС МО МВД России «Зейский»</v>
      </c>
      <c r="G12134" s="22" t="s">
        <v>210</v>
      </c>
      <c r="H12134" s="22" t="s">
        <v>14541</v>
      </c>
      <c r="I12134" s="26">
        <v>43664.6791898148</v>
      </c>
      <c r="J12134" s="28" t="s">
        <v>51</v>
      </c>
      <c r="K12134" s="28" t="s">
        <v>51</v>
      </c>
      <c r="L12134" s="28" t="s">
        <v>51</v>
      </c>
      <c r="M12134" s="28" t="s">
        <v>51</v>
      </c>
      <c r="N12134" s="28" t="s">
        <v>51</v>
      </c>
    </row>
    <row r="12135" spans="1:14" x14ac:dyDescent="0.15">
      <c r="A12135" s="23" t="str">
        <f>HYPERLINK("https://www.spark-marketing.ru/Card/Person/3494", "ОГКУ ""УПРАВЛЕНИЕ ДЕЛАМИ УЛЬЯНОВСКОЙ ОБЛАСТИ""")</f>
        <v>ОГКУ "УПРАВЛЕНИЕ ДЕЛАМИ УЛЬЯНОВСКОЙ ОБЛАСТИ"</v>
      </c>
      <c r="B12135" s="24" t="s">
        <v>2138</v>
      </c>
      <c r="C12135" s="25">
        <v>160429.99</v>
      </c>
      <c r="D12135" s="22" t="s">
        <v>16594</v>
      </c>
      <c r="E12135" s="22" t="s">
        <v>152</v>
      </c>
      <c r="F12135" s="23" t="str">
        <f>HYPERLINK("https://www.spark-marketing.ru/Card/Lot/72204736", "Услуги по ремонту и техническому обслуживанию бытовой техники")</f>
        <v>Услуги по ремонту и техническому обслуживанию бытовой техники</v>
      </c>
      <c r="G12135" s="22" t="s">
        <v>1918</v>
      </c>
      <c r="H12135" s="22" t="s">
        <v>2140</v>
      </c>
      <c r="I12135" s="26">
        <v>43664.690312500003</v>
      </c>
      <c r="J12135" s="23" t="str">
        <f>HYPERLINK("https://www.spark-marketing.ru/Card/Person/6236915", "ООО ""СВХ""")</f>
        <v>ООО "СВХ"</v>
      </c>
      <c r="K12135" s="24" t="s">
        <v>16595</v>
      </c>
      <c r="L12135" s="22" t="s">
        <v>10</v>
      </c>
      <c r="M12135" s="28" t="s">
        <v>51</v>
      </c>
      <c r="N12135" s="28" t="s">
        <v>51</v>
      </c>
    </row>
    <row r="12136" spans="1:14" collapsed="1" x14ac:dyDescent="0.2">
      <c r="A12136" s="23" t="s">
        <v>114</v>
      </c>
      <c r="B12136" s="28" t="s">
        <v>51</v>
      </c>
      <c r="C12136" s="25">
        <v>6144858.4000000004</v>
      </c>
      <c r="D12136" s="22" t="s">
        <v>16596</v>
      </c>
      <c r="E12136" s="22" t="s">
        <v>48</v>
      </c>
      <c r="F12136" s="23" t="str">
        <f t="shared" ref="F12136:F12151" si="365">HYPERLINK("https://www.spark-marketing.ru/Card/Lot/72193085", "Оказание услуг по предоставлению питания школьникам образовательных учреждений города Рязани")</f>
        <v>Оказание услуг по предоставлению питания школьникам образовательных учреждений города Рязани</v>
      </c>
      <c r="G12136" s="22" t="s">
        <v>51</v>
      </c>
      <c r="H12136" s="22" t="s">
        <v>51</v>
      </c>
      <c r="I12136" s="26">
        <v>43664.679861111101</v>
      </c>
      <c r="J12136" s="23" t="str">
        <f t="shared" ref="J12136:J12168" si="366">HYPERLINK("https://www.spark-marketing.ru/Card/Person/50743", "МП ""ДЕТСКОЕ ПИТАНИЕ""")</f>
        <v>МП "ДЕТСКОЕ ПИТАНИЕ"</v>
      </c>
      <c r="K12136" s="24" t="s">
        <v>1562</v>
      </c>
      <c r="L12136" s="28" t="s">
        <v>51</v>
      </c>
      <c r="M12136" s="25">
        <v>6144858.4000000004</v>
      </c>
      <c r="N12136" s="27">
        <v>0</v>
      </c>
    </row>
    <row r="12137" spans="1:14" hidden="1" outlineLevel="1" x14ac:dyDescent="0.2">
      <c r="A12137" s="23" t="str">
        <f>HYPERLINK("https://www.spark-marketing.ru/Card/Person/105849", "МБОУ ""ШКОЛА № 44""")</f>
        <v>МБОУ "ШКОЛА № 44"</v>
      </c>
      <c r="B12137" s="24" t="s">
        <v>16597</v>
      </c>
      <c r="C12137" s="25">
        <v>417768</v>
      </c>
      <c r="D12137" s="22" t="s">
        <v>16596</v>
      </c>
      <c r="E12137" s="22" t="s">
        <v>48</v>
      </c>
      <c r="F12137" s="23" t="str">
        <f t="shared" si="365"/>
        <v>Оказание услуг по предоставлению питания школьникам образовательных учреждений города Рязани</v>
      </c>
      <c r="G12137" s="22" t="s">
        <v>1522</v>
      </c>
      <c r="H12137" s="22" t="s">
        <v>1523</v>
      </c>
      <c r="I12137" s="26">
        <v>43664.679861111101</v>
      </c>
      <c r="J12137" s="23" t="str">
        <f t="shared" si="366"/>
        <v>МП "ДЕТСКОЕ ПИТАНИЕ"</v>
      </c>
      <c r="K12137" s="24" t="s">
        <v>1562</v>
      </c>
      <c r="L12137" s="28" t="s">
        <v>51</v>
      </c>
      <c r="M12137" s="28" t="s">
        <v>51</v>
      </c>
      <c r="N12137" s="27">
        <v>0</v>
      </c>
    </row>
    <row r="12138" spans="1:14" hidden="1" outlineLevel="1" x14ac:dyDescent="0.2">
      <c r="A12138" s="23" t="str">
        <f>HYPERLINK("https://www.spark-marketing.ru/Card/Person/117092", "МБОУ ""ШКОЛА № 19(25)""")</f>
        <v>МБОУ "ШКОЛА № 19(25)"</v>
      </c>
      <c r="B12138" s="24" t="s">
        <v>16598</v>
      </c>
      <c r="C12138" s="25">
        <v>1124760</v>
      </c>
      <c r="D12138" s="22" t="s">
        <v>16596</v>
      </c>
      <c r="E12138" s="22" t="s">
        <v>48</v>
      </c>
      <c r="F12138" s="23" t="str">
        <f t="shared" si="365"/>
        <v>Оказание услуг по предоставлению питания школьникам образовательных учреждений города Рязани</v>
      </c>
      <c r="G12138" s="22" t="s">
        <v>51</v>
      </c>
      <c r="H12138" s="22" t="s">
        <v>51</v>
      </c>
      <c r="I12138" s="26">
        <v>43664.679861111101</v>
      </c>
      <c r="J12138" s="23" t="str">
        <f t="shared" si="366"/>
        <v>МП "ДЕТСКОЕ ПИТАНИЕ"</v>
      </c>
      <c r="K12138" s="24" t="s">
        <v>1562</v>
      </c>
      <c r="L12138" s="28" t="s">
        <v>51</v>
      </c>
      <c r="M12138" s="28" t="s">
        <v>51</v>
      </c>
      <c r="N12138" s="27">
        <v>0</v>
      </c>
    </row>
    <row r="12139" spans="1:14" hidden="1" outlineLevel="1" x14ac:dyDescent="0.2">
      <c r="A12139" s="23" t="str">
        <f>HYPERLINK("https://www.spark-marketing.ru/Card/Person/124778", "МБОУ ""МНОГОПРОФИЛЬНАЯ ШКОЛА № 17""")</f>
        <v>МБОУ "МНОГОПРОФИЛЬНАЯ ШКОЛА № 17"</v>
      </c>
      <c r="B12139" s="24" t="s">
        <v>16599</v>
      </c>
      <c r="C12139" s="25">
        <v>547960</v>
      </c>
      <c r="D12139" s="22" t="s">
        <v>16596</v>
      </c>
      <c r="E12139" s="22" t="s">
        <v>48</v>
      </c>
      <c r="F12139" s="23" t="str">
        <f t="shared" si="365"/>
        <v>Оказание услуг по предоставлению питания школьникам образовательных учреждений города Рязани</v>
      </c>
      <c r="G12139" s="22" t="s">
        <v>1522</v>
      </c>
      <c r="H12139" s="22" t="s">
        <v>1523</v>
      </c>
      <c r="I12139" s="26">
        <v>43664.679861111101</v>
      </c>
      <c r="J12139" s="23" t="str">
        <f t="shared" si="366"/>
        <v>МП "ДЕТСКОЕ ПИТАНИЕ"</v>
      </c>
      <c r="K12139" s="24" t="s">
        <v>1562</v>
      </c>
      <c r="L12139" s="28" t="s">
        <v>51</v>
      </c>
      <c r="M12139" s="28" t="s">
        <v>51</v>
      </c>
      <c r="N12139" s="27">
        <v>0</v>
      </c>
    </row>
    <row r="12140" spans="1:14" hidden="1" outlineLevel="1" x14ac:dyDescent="0.2">
      <c r="A12140" s="23" t="str">
        <f>HYPERLINK("https://www.spark-marketing.ru/Card/Person/233231", "МБОУ ""ШКОЛА № 13""")</f>
        <v>МБОУ "ШКОЛА № 13"</v>
      </c>
      <c r="B12140" s="24" t="s">
        <v>16600</v>
      </c>
      <c r="C12140" s="25">
        <v>385632</v>
      </c>
      <c r="D12140" s="22" t="s">
        <v>16596</v>
      </c>
      <c r="E12140" s="22" t="s">
        <v>48</v>
      </c>
      <c r="F12140" s="23" t="str">
        <f t="shared" si="365"/>
        <v>Оказание услуг по предоставлению питания школьникам образовательных учреждений города Рязани</v>
      </c>
      <c r="G12140" s="22" t="s">
        <v>1522</v>
      </c>
      <c r="H12140" s="22" t="s">
        <v>1523</v>
      </c>
      <c r="I12140" s="26">
        <v>43664.679861111101</v>
      </c>
      <c r="J12140" s="23" t="str">
        <f t="shared" si="366"/>
        <v>МП "ДЕТСКОЕ ПИТАНИЕ"</v>
      </c>
      <c r="K12140" s="24" t="s">
        <v>1562</v>
      </c>
      <c r="L12140" s="28" t="s">
        <v>51</v>
      </c>
      <c r="M12140" s="28" t="s">
        <v>51</v>
      </c>
      <c r="N12140" s="27">
        <v>0</v>
      </c>
    </row>
    <row r="12141" spans="1:14" hidden="1" outlineLevel="1" x14ac:dyDescent="0.2">
      <c r="A12141" s="23" t="str">
        <f>HYPERLINK("https://www.spark-marketing.ru/Card/Person/233272", "МБОУ ""ШКОЛА № 57""")</f>
        <v>МБОУ "ШКОЛА № 57"</v>
      </c>
      <c r="B12141" s="24" t="s">
        <v>16601</v>
      </c>
      <c r="C12141" s="25">
        <v>425184</v>
      </c>
      <c r="D12141" s="22" t="s">
        <v>16596</v>
      </c>
      <c r="E12141" s="22" t="s">
        <v>48</v>
      </c>
      <c r="F12141" s="23" t="str">
        <f t="shared" si="365"/>
        <v>Оказание услуг по предоставлению питания школьникам образовательных учреждений города Рязани</v>
      </c>
      <c r="G12141" s="22" t="s">
        <v>1522</v>
      </c>
      <c r="H12141" s="22" t="s">
        <v>1523</v>
      </c>
      <c r="I12141" s="26">
        <v>43664.679861111101</v>
      </c>
      <c r="J12141" s="23" t="str">
        <f t="shared" si="366"/>
        <v>МП "ДЕТСКОЕ ПИТАНИЕ"</v>
      </c>
      <c r="K12141" s="24" t="s">
        <v>1562</v>
      </c>
      <c r="L12141" s="28" t="s">
        <v>51</v>
      </c>
      <c r="M12141" s="28" t="s">
        <v>51</v>
      </c>
      <c r="N12141" s="27">
        <v>0</v>
      </c>
    </row>
    <row r="12142" spans="1:14" hidden="1" outlineLevel="1" x14ac:dyDescent="0.2">
      <c r="A12142" s="23" t="str">
        <f>HYPERLINK("https://www.spark-marketing.ru/Card/Person/233291", "МБОУ ""ШКОЛА № 22""")</f>
        <v>МБОУ "ШКОЛА № 22"</v>
      </c>
      <c r="B12142" s="24" t="s">
        <v>16602</v>
      </c>
      <c r="C12142" s="25">
        <v>362560</v>
      </c>
      <c r="D12142" s="22" t="s">
        <v>16596</v>
      </c>
      <c r="E12142" s="22" t="s">
        <v>48</v>
      </c>
      <c r="F12142" s="23" t="str">
        <f t="shared" si="365"/>
        <v>Оказание услуг по предоставлению питания школьникам образовательных учреждений города Рязани</v>
      </c>
      <c r="G12142" s="22" t="s">
        <v>1522</v>
      </c>
      <c r="H12142" s="22" t="s">
        <v>1523</v>
      </c>
      <c r="I12142" s="26">
        <v>43664.679861111101</v>
      </c>
      <c r="J12142" s="23" t="str">
        <f t="shared" si="366"/>
        <v>МП "ДЕТСКОЕ ПИТАНИЕ"</v>
      </c>
      <c r="K12142" s="24" t="s">
        <v>1562</v>
      </c>
      <c r="L12142" s="28" t="s">
        <v>51</v>
      </c>
      <c r="M12142" s="28" t="s">
        <v>51</v>
      </c>
      <c r="N12142" s="27">
        <v>0</v>
      </c>
    </row>
    <row r="12143" spans="1:14" hidden="1" outlineLevel="1" x14ac:dyDescent="0.2">
      <c r="A12143" s="23" t="str">
        <f>HYPERLINK("https://www.spark-marketing.ru/Card/Person/233298", "МБОУ ""ШКОЛА № 33""")</f>
        <v>МБОУ "ШКОЛА № 33"</v>
      </c>
      <c r="B12143" s="24" t="s">
        <v>16603</v>
      </c>
      <c r="C12143" s="25">
        <v>386703.2</v>
      </c>
      <c r="D12143" s="22" t="s">
        <v>16596</v>
      </c>
      <c r="E12143" s="22" t="s">
        <v>48</v>
      </c>
      <c r="F12143" s="23" t="str">
        <f t="shared" si="365"/>
        <v>Оказание услуг по предоставлению питания школьникам образовательных учреждений города Рязани</v>
      </c>
      <c r="G12143" s="22" t="s">
        <v>1522</v>
      </c>
      <c r="H12143" s="22" t="s">
        <v>1523</v>
      </c>
      <c r="I12143" s="26">
        <v>43664.679861111101</v>
      </c>
      <c r="J12143" s="23" t="str">
        <f t="shared" si="366"/>
        <v>МП "ДЕТСКОЕ ПИТАНИЕ"</v>
      </c>
      <c r="K12143" s="24" t="s">
        <v>1562</v>
      </c>
      <c r="L12143" s="28" t="s">
        <v>51</v>
      </c>
      <c r="M12143" s="28" t="s">
        <v>51</v>
      </c>
      <c r="N12143" s="27">
        <v>0</v>
      </c>
    </row>
    <row r="12144" spans="1:14" hidden="1" outlineLevel="1" x14ac:dyDescent="0.2">
      <c r="A12144" s="23" t="str">
        <f>HYPERLINK("https://www.spark-marketing.ru/Card/Person/233300", "МБОУ ""ШКОЛА № 34""")</f>
        <v>МБОУ "ШКОЛА № 34"</v>
      </c>
      <c r="B12144" s="24" t="s">
        <v>16604</v>
      </c>
      <c r="C12144" s="25">
        <v>331000.8</v>
      </c>
      <c r="D12144" s="22" t="s">
        <v>16596</v>
      </c>
      <c r="E12144" s="22" t="s">
        <v>48</v>
      </c>
      <c r="F12144" s="23" t="str">
        <f t="shared" si="365"/>
        <v>Оказание услуг по предоставлению питания школьникам образовательных учреждений города Рязани</v>
      </c>
      <c r="G12144" s="22" t="s">
        <v>1522</v>
      </c>
      <c r="H12144" s="22" t="s">
        <v>1523</v>
      </c>
      <c r="I12144" s="26">
        <v>43664.679861111101</v>
      </c>
      <c r="J12144" s="23" t="str">
        <f t="shared" si="366"/>
        <v>МП "ДЕТСКОЕ ПИТАНИЕ"</v>
      </c>
      <c r="K12144" s="24" t="s">
        <v>1562</v>
      </c>
      <c r="L12144" s="28" t="s">
        <v>51</v>
      </c>
      <c r="M12144" s="28" t="s">
        <v>51</v>
      </c>
      <c r="N12144" s="27">
        <v>0</v>
      </c>
    </row>
    <row r="12145" spans="1:14" hidden="1" outlineLevel="1" x14ac:dyDescent="0.2">
      <c r="A12145" s="23" t="str">
        <f>HYPERLINK("https://www.spark-marketing.ru/Card/Person/233305", "МБОУ ""ГИМНАЗИЯ № 5""")</f>
        <v>МБОУ "ГИМНАЗИЯ № 5"</v>
      </c>
      <c r="B12145" s="24" t="s">
        <v>16605</v>
      </c>
      <c r="C12145" s="25">
        <v>359923.20000000001</v>
      </c>
      <c r="D12145" s="22" t="s">
        <v>16596</v>
      </c>
      <c r="E12145" s="22" t="s">
        <v>48</v>
      </c>
      <c r="F12145" s="23" t="str">
        <f t="shared" si="365"/>
        <v>Оказание услуг по предоставлению питания школьникам образовательных учреждений города Рязани</v>
      </c>
      <c r="G12145" s="22" t="s">
        <v>1522</v>
      </c>
      <c r="H12145" s="22" t="s">
        <v>1523</v>
      </c>
      <c r="I12145" s="26">
        <v>43664.679861111101</v>
      </c>
      <c r="J12145" s="23" t="str">
        <f t="shared" si="366"/>
        <v>МП "ДЕТСКОЕ ПИТАНИЕ"</v>
      </c>
      <c r="K12145" s="24" t="s">
        <v>1562</v>
      </c>
      <c r="L12145" s="28" t="s">
        <v>51</v>
      </c>
      <c r="M12145" s="28" t="s">
        <v>51</v>
      </c>
      <c r="N12145" s="27">
        <v>0</v>
      </c>
    </row>
    <row r="12146" spans="1:14" hidden="1" outlineLevel="1" x14ac:dyDescent="0.2">
      <c r="A12146" s="23" t="str">
        <f>HYPERLINK("https://www.spark-marketing.ru/Card/Person/233306", "МБОУ ""ШКОЛА № 39 ""ЦЕНТР ФИЗИКО-МАТЕМАТИЧЕСКОГО ОБРАЗОВАНИЯ""")</f>
        <v>МБОУ "ШКОЛА № 39 "ЦЕНТР ФИЗИКО-МАТЕМАТИЧЕСКОГО ОБРАЗОВАНИЯ"</v>
      </c>
      <c r="B12146" s="24" t="s">
        <v>16606</v>
      </c>
      <c r="C12146" s="25">
        <v>244645.6</v>
      </c>
      <c r="D12146" s="22" t="s">
        <v>16596</v>
      </c>
      <c r="E12146" s="22" t="s">
        <v>48</v>
      </c>
      <c r="F12146" s="23" t="str">
        <f t="shared" si="365"/>
        <v>Оказание услуг по предоставлению питания школьникам образовательных учреждений города Рязани</v>
      </c>
      <c r="G12146" s="22" t="s">
        <v>1522</v>
      </c>
      <c r="H12146" s="22" t="s">
        <v>1523</v>
      </c>
      <c r="I12146" s="26">
        <v>43664.679861111101</v>
      </c>
      <c r="J12146" s="23" t="str">
        <f t="shared" si="366"/>
        <v>МП "ДЕТСКОЕ ПИТАНИЕ"</v>
      </c>
      <c r="K12146" s="24" t="s">
        <v>1562</v>
      </c>
      <c r="L12146" s="28" t="s">
        <v>51</v>
      </c>
      <c r="M12146" s="28" t="s">
        <v>51</v>
      </c>
      <c r="N12146" s="27">
        <v>0</v>
      </c>
    </row>
    <row r="12147" spans="1:14" hidden="1" outlineLevel="1" x14ac:dyDescent="0.2">
      <c r="A12147" s="23" t="str">
        <f>HYPERLINK("https://www.spark-marketing.ru/Card/Person/233329", "МБОУ ""ШКОЛА № 16""")</f>
        <v>МБОУ "ШКОЛА № 16"</v>
      </c>
      <c r="B12147" s="24" t="s">
        <v>16607</v>
      </c>
      <c r="C12147" s="25">
        <v>251320</v>
      </c>
      <c r="D12147" s="22" t="s">
        <v>16596</v>
      </c>
      <c r="E12147" s="22" t="s">
        <v>48</v>
      </c>
      <c r="F12147" s="23" t="str">
        <f t="shared" si="365"/>
        <v>Оказание услуг по предоставлению питания школьникам образовательных учреждений города Рязани</v>
      </c>
      <c r="G12147" s="22" t="s">
        <v>1522</v>
      </c>
      <c r="H12147" s="22" t="s">
        <v>1523</v>
      </c>
      <c r="I12147" s="26">
        <v>43664.679861111101</v>
      </c>
      <c r="J12147" s="23" t="str">
        <f t="shared" si="366"/>
        <v>МП "ДЕТСКОЕ ПИТАНИЕ"</v>
      </c>
      <c r="K12147" s="24" t="s">
        <v>1562</v>
      </c>
      <c r="L12147" s="28" t="s">
        <v>51</v>
      </c>
      <c r="M12147" s="28" t="s">
        <v>51</v>
      </c>
      <c r="N12147" s="27">
        <v>0</v>
      </c>
    </row>
    <row r="12148" spans="1:14" hidden="1" outlineLevel="1" x14ac:dyDescent="0.2">
      <c r="A12148" s="23" t="str">
        <f>HYPERLINK("https://www.spark-marketing.ru/Card/Person/233355", "МБОУ ""ШКОЛА № 37""")</f>
        <v>МБОУ "ШКОЛА № 37"</v>
      </c>
      <c r="B12148" s="24" t="s">
        <v>16608</v>
      </c>
      <c r="C12148" s="25">
        <v>291409.59999999998</v>
      </c>
      <c r="D12148" s="22" t="s">
        <v>16596</v>
      </c>
      <c r="E12148" s="22" t="s">
        <v>48</v>
      </c>
      <c r="F12148" s="23" t="str">
        <f t="shared" si="365"/>
        <v>Оказание услуг по предоставлению питания школьникам образовательных учреждений города Рязани</v>
      </c>
      <c r="G12148" s="22" t="s">
        <v>1522</v>
      </c>
      <c r="H12148" s="22" t="s">
        <v>1523</v>
      </c>
      <c r="I12148" s="26">
        <v>43664.679861111101</v>
      </c>
      <c r="J12148" s="23" t="str">
        <f t="shared" si="366"/>
        <v>МП "ДЕТСКОЕ ПИТАНИЕ"</v>
      </c>
      <c r="K12148" s="24" t="s">
        <v>1562</v>
      </c>
      <c r="L12148" s="28" t="s">
        <v>51</v>
      </c>
      <c r="M12148" s="28" t="s">
        <v>51</v>
      </c>
      <c r="N12148" s="27">
        <v>0</v>
      </c>
    </row>
    <row r="12149" spans="1:14" hidden="1" outlineLevel="1" x14ac:dyDescent="0.2">
      <c r="A12149" s="23" t="str">
        <f>HYPERLINK("https://www.spark-marketing.ru/Card/Person/233356", "МБОУ ""ШКОЛА № 3""")</f>
        <v>МБОУ "ШКОЛА № 3"</v>
      </c>
      <c r="B12149" s="24" t="s">
        <v>16609</v>
      </c>
      <c r="C12149" s="25">
        <v>313120</v>
      </c>
      <c r="D12149" s="22" t="s">
        <v>16596</v>
      </c>
      <c r="E12149" s="22" t="s">
        <v>48</v>
      </c>
      <c r="F12149" s="23" t="str">
        <f t="shared" si="365"/>
        <v>Оказание услуг по предоставлению питания школьникам образовательных учреждений города Рязани</v>
      </c>
      <c r="G12149" s="22" t="s">
        <v>1522</v>
      </c>
      <c r="H12149" s="22" t="s">
        <v>1523</v>
      </c>
      <c r="I12149" s="26">
        <v>43664.679861111101</v>
      </c>
      <c r="J12149" s="23" t="str">
        <f t="shared" si="366"/>
        <v>МП "ДЕТСКОЕ ПИТАНИЕ"</v>
      </c>
      <c r="K12149" s="24" t="s">
        <v>1562</v>
      </c>
      <c r="L12149" s="28" t="s">
        <v>51</v>
      </c>
      <c r="M12149" s="28" t="s">
        <v>51</v>
      </c>
      <c r="N12149" s="27">
        <v>0</v>
      </c>
    </row>
    <row r="12150" spans="1:14" hidden="1" outlineLevel="1" x14ac:dyDescent="0.2">
      <c r="A12150" s="23" t="str">
        <f>HYPERLINK("https://www.spark-marketing.ru/Card/Person/233415", "МБОУ ""ШКОЛА № 64""")</f>
        <v>МБОУ "ШКОЛА № 64"</v>
      </c>
      <c r="B12150" s="24" t="s">
        <v>16610</v>
      </c>
      <c r="C12150" s="25">
        <v>234840</v>
      </c>
      <c r="D12150" s="22" t="s">
        <v>16596</v>
      </c>
      <c r="E12150" s="22" t="s">
        <v>48</v>
      </c>
      <c r="F12150" s="23" t="str">
        <f t="shared" si="365"/>
        <v>Оказание услуг по предоставлению питания школьникам образовательных учреждений города Рязани</v>
      </c>
      <c r="G12150" s="22" t="s">
        <v>1522</v>
      </c>
      <c r="H12150" s="22" t="s">
        <v>1523</v>
      </c>
      <c r="I12150" s="26">
        <v>43664.679861111101</v>
      </c>
      <c r="J12150" s="23" t="str">
        <f t="shared" si="366"/>
        <v>МП "ДЕТСКОЕ ПИТАНИЕ"</v>
      </c>
      <c r="K12150" s="24" t="s">
        <v>1562</v>
      </c>
      <c r="L12150" s="28" t="s">
        <v>51</v>
      </c>
      <c r="M12150" s="28" t="s">
        <v>51</v>
      </c>
      <c r="N12150" s="27">
        <v>0</v>
      </c>
    </row>
    <row r="12151" spans="1:14" hidden="1" outlineLevel="1" x14ac:dyDescent="0.2">
      <c r="A12151" s="23" t="str">
        <f>HYPERLINK("https://www.spark-marketing.ru/Card/Person/233427", "МБОУ ""ШКОЛА № 54""")</f>
        <v>МБОУ "ШКОЛА № 54"</v>
      </c>
      <c r="B12151" s="24" t="s">
        <v>16611</v>
      </c>
      <c r="C12151" s="25">
        <v>468032</v>
      </c>
      <c r="D12151" s="22" t="s">
        <v>16596</v>
      </c>
      <c r="E12151" s="22" t="s">
        <v>48</v>
      </c>
      <c r="F12151" s="23" t="str">
        <f t="shared" si="365"/>
        <v>Оказание услуг по предоставлению питания школьникам образовательных учреждений города Рязани</v>
      </c>
      <c r="G12151" s="22" t="s">
        <v>1522</v>
      </c>
      <c r="H12151" s="22" t="s">
        <v>1523</v>
      </c>
      <c r="I12151" s="26">
        <v>43664.679861111101</v>
      </c>
      <c r="J12151" s="23" t="str">
        <f t="shared" si="366"/>
        <v>МП "ДЕТСКОЕ ПИТАНИЕ"</v>
      </c>
      <c r="K12151" s="24" t="s">
        <v>1562</v>
      </c>
      <c r="L12151" s="28" t="s">
        <v>51</v>
      </c>
      <c r="M12151" s="28" t="s">
        <v>51</v>
      </c>
      <c r="N12151" s="27">
        <v>0</v>
      </c>
    </row>
    <row r="12152" spans="1:14" collapsed="1" x14ac:dyDescent="0.2">
      <c r="A12152" s="23" t="s">
        <v>114</v>
      </c>
      <c r="B12152" s="28" t="s">
        <v>51</v>
      </c>
      <c r="C12152" s="25">
        <v>7774275.2000000002</v>
      </c>
      <c r="D12152" s="22" t="s">
        <v>16612</v>
      </c>
      <c r="E12152" s="22" t="s">
        <v>48</v>
      </c>
      <c r="F12152" s="23" t="str">
        <f t="shared" ref="F12152:F12168" si="367">HYPERLINK("https://www.spark-marketing.ru/Card/Lot/72193086", "Оказание услуг по предоставлению питания школьникам образовательных учреждений города Рязани")</f>
        <v>Оказание услуг по предоставлению питания школьникам образовательных учреждений города Рязани</v>
      </c>
      <c r="G12152" s="22" t="s">
        <v>51</v>
      </c>
      <c r="H12152" s="22" t="s">
        <v>51</v>
      </c>
      <c r="I12152" s="26">
        <v>43664.679861111101</v>
      </c>
      <c r="J12152" s="23" t="str">
        <f t="shared" si="366"/>
        <v>МП "ДЕТСКОЕ ПИТАНИЕ"</v>
      </c>
      <c r="K12152" s="24" t="s">
        <v>1562</v>
      </c>
      <c r="L12152" s="28" t="s">
        <v>51</v>
      </c>
      <c r="M12152" s="25">
        <v>7774275.2000000002</v>
      </c>
      <c r="N12152" s="27">
        <v>0</v>
      </c>
    </row>
    <row r="12153" spans="1:14" hidden="1" outlineLevel="1" x14ac:dyDescent="0.2">
      <c r="A12153" s="23" t="str">
        <f>HYPERLINK("https://www.spark-marketing.ru/Card/Person/79927", "МБОУ ""ШКОЛА № 9""")</f>
        <v>МБОУ "ШКОЛА № 9"</v>
      </c>
      <c r="B12153" s="24" t="s">
        <v>16613</v>
      </c>
      <c r="C12153" s="25">
        <v>238960</v>
      </c>
      <c r="D12153" s="22" t="s">
        <v>16612</v>
      </c>
      <c r="E12153" s="22" t="s">
        <v>48</v>
      </c>
      <c r="F12153" s="23" t="str">
        <f t="shared" si="367"/>
        <v>Оказание услуг по предоставлению питания школьникам образовательных учреждений города Рязани</v>
      </c>
      <c r="G12153" s="22" t="s">
        <v>1522</v>
      </c>
      <c r="H12153" s="22" t="s">
        <v>1523</v>
      </c>
      <c r="I12153" s="26">
        <v>43664.679861111101</v>
      </c>
      <c r="J12153" s="23" t="str">
        <f t="shared" si="366"/>
        <v>МП "ДЕТСКОЕ ПИТАНИЕ"</v>
      </c>
      <c r="K12153" s="24" t="s">
        <v>1562</v>
      </c>
      <c r="L12153" s="28" t="s">
        <v>51</v>
      </c>
      <c r="M12153" s="28" t="s">
        <v>51</v>
      </c>
      <c r="N12153" s="27">
        <v>0</v>
      </c>
    </row>
    <row r="12154" spans="1:14" hidden="1" outlineLevel="1" x14ac:dyDescent="0.2">
      <c r="A12154" s="23" t="str">
        <f>HYPERLINK("https://www.spark-marketing.ru/Card/Person/80113", "МБОУ ""ШКОЛА № 59""")</f>
        <v>МБОУ "ШКОЛА № 59"</v>
      </c>
      <c r="B12154" s="24" t="s">
        <v>16614</v>
      </c>
      <c r="C12154" s="25">
        <v>354320</v>
      </c>
      <c r="D12154" s="22" t="s">
        <v>16612</v>
      </c>
      <c r="E12154" s="22" t="s">
        <v>48</v>
      </c>
      <c r="F12154" s="23" t="str">
        <f t="shared" si="367"/>
        <v>Оказание услуг по предоставлению питания школьникам образовательных учреждений города Рязани</v>
      </c>
      <c r="G12154" s="22" t="s">
        <v>1522</v>
      </c>
      <c r="H12154" s="22" t="s">
        <v>1523</v>
      </c>
      <c r="I12154" s="26">
        <v>43664.679861111101</v>
      </c>
      <c r="J12154" s="23" t="str">
        <f t="shared" si="366"/>
        <v>МП "ДЕТСКОЕ ПИТАНИЕ"</v>
      </c>
      <c r="K12154" s="24" t="s">
        <v>1562</v>
      </c>
      <c r="L12154" s="28" t="s">
        <v>51</v>
      </c>
      <c r="M12154" s="28" t="s">
        <v>51</v>
      </c>
      <c r="N12154" s="27">
        <v>0</v>
      </c>
    </row>
    <row r="12155" spans="1:14" hidden="1" outlineLevel="1" x14ac:dyDescent="0.2">
      <c r="A12155" s="23" t="str">
        <f>HYPERLINK("https://www.spark-marketing.ru/Card/Person/80114", "МБОУ ""ШКОЛА № 68""")</f>
        <v>МБОУ "ШКОЛА № 68"</v>
      </c>
      <c r="B12155" s="24" t="s">
        <v>16615</v>
      </c>
      <c r="C12155" s="25">
        <v>678069.6</v>
      </c>
      <c r="D12155" s="22" t="s">
        <v>16612</v>
      </c>
      <c r="E12155" s="22" t="s">
        <v>48</v>
      </c>
      <c r="F12155" s="23" t="str">
        <f t="shared" si="367"/>
        <v>Оказание услуг по предоставлению питания школьникам образовательных учреждений города Рязани</v>
      </c>
      <c r="G12155" s="22" t="s">
        <v>1522</v>
      </c>
      <c r="H12155" s="22" t="s">
        <v>1523</v>
      </c>
      <c r="I12155" s="26">
        <v>43664.679861111101</v>
      </c>
      <c r="J12155" s="23" t="str">
        <f t="shared" si="366"/>
        <v>МП "ДЕТСКОЕ ПИТАНИЕ"</v>
      </c>
      <c r="K12155" s="24" t="s">
        <v>1562</v>
      </c>
      <c r="L12155" s="28" t="s">
        <v>51</v>
      </c>
      <c r="M12155" s="28" t="s">
        <v>51</v>
      </c>
      <c r="N12155" s="27">
        <v>0</v>
      </c>
    </row>
    <row r="12156" spans="1:14" hidden="1" outlineLevel="1" x14ac:dyDescent="0.2">
      <c r="A12156" s="23" t="str">
        <f>HYPERLINK("https://www.spark-marketing.ru/Card/Person/82451", "МБОУ ""ШКОЛА № 49""")</f>
        <v>МБОУ "ШКОЛА № 49"</v>
      </c>
      <c r="B12156" s="24" t="s">
        <v>16616</v>
      </c>
      <c r="C12156" s="25">
        <v>540214.4</v>
      </c>
      <c r="D12156" s="22" t="s">
        <v>16612</v>
      </c>
      <c r="E12156" s="22" t="s">
        <v>48</v>
      </c>
      <c r="F12156" s="23" t="str">
        <f t="shared" si="367"/>
        <v>Оказание услуг по предоставлению питания школьникам образовательных учреждений города Рязани</v>
      </c>
      <c r="G12156" s="22" t="s">
        <v>1522</v>
      </c>
      <c r="H12156" s="22" t="s">
        <v>1523</v>
      </c>
      <c r="I12156" s="26">
        <v>43664.679861111101</v>
      </c>
      <c r="J12156" s="23" t="str">
        <f t="shared" si="366"/>
        <v>МП "ДЕТСКОЕ ПИТАНИЕ"</v>
      </c>
      <c r="K12156" s="24" t="s">
        <v>1562</v>
      </c>
      <c r="L12156" s="28" t="s">
        <v>51</v>
      </c>
      <c r="M12156" s="28" t="s">
        <v>51</v>
      </c>
      <c r="N12156" s="27">
        <v>0</v>
      </c>
    </row>
    <row r="12157" spans="1:14" hidden="1" outlineLevel="1" x14ac:dyDescent="0.2">
      <c r="A12157" s="23" t="str">
        <f>HYPERLINK("https://www.spark-marketing.ru/Card/Person/82482", "МБОУ ""ШКОЛА № 51 ""ЦЕНТР ОБРАЗОВАНИЯ""")</f>
        <v>МБОУ "ШКОЛА № 51 "ЦЕНТР ОБРАЗОВАНИЯ"</v>
      </c>
      <c r="B12157" s="24" t="s">
        <v>16617</v>
      </c>
      <c r="C12157" s="25">
        <v>520603.2</v>
      </c>
      <c r="D12157" s="22" t="s">
        <v>16612</v>
      </c>
      <c r="E12157" s="22" t="s">
        <v>48</v>
      </c>
      <c r="F12157" s="23" t="str">
        <f t="shared" si="367"/>
        <v>Оказание услуг по предоставлению питания школьникам образовательных учреждений города Рязани</v>
      </c>
      <c r="G12157" s="22" t="s">
        <v>1522</v>
      </c>
      <c r="H12157" s="22" t="s">
        <v>1523</v>
      </c>
      <c r="I12157" s="26">
        <v>43664.679861111101</v>
      </c>
      <c r="J12157" s="23" t="str">
        <f t="shared" si="366"/>
        <v>МП "ДЕТСКОЕ ПИТАНИЕ"</v>
      </c>
      <c r="K12157" s="24" t="s">
        <v>1562</v>
      </c>
      <c r="L12157" s="28" t="s">
        <v>51</v>
      </c>
      <c r="M12157" s="28" t="s">
        <v>51</v>
      </c>
      <c r="N12157" s="27">
        <v>0</v>
      </c>
    </row>
    <row r="12158" spans="1:14" hidden="1" outlineLevel="1" x14ac:dyDescent="0.2">
      <c r="A12158" s="23" t="str">
        <f>HYPERLINK("https://www.spark-marketing.ru/Card/Person/233216", "МБОУ ""ШКОЛА №11""")</f>
        <v>МБОУ "ШКОЛА №11"</v>
      </c>
      <c r="B12158" s="24" t="s">
        <v>16618</v>
      </c>
      <c r="C12158" s="25">
        <v>362560</v>
      </c>
      <c r="D12158" s="22" t="s">
        <v>16612</v>
      </c>
      <c r="E12158" s="22" t="s">
        <v>48</v>
      </c>
      <c r="F12158" s="23" t="str">
        <f t="shared" si="367"/>
        <v>Оказание услуг по предоставлению питания школьникам образовательных учреждений города Рязани</v>
      </c>
      <c r="G12158" s="22" t="s">
        <v>1522</v>
      </c>
      <c r="H12158" s="22" t="s">
        <v>1523</v>
      </c>
      <c r="I12158" s="26">
        <v>43664.679861111101</v>
      </c>
      <c r="J12158" s="23" t="str">
        <f t="shared" si="366"/>
        <v>МП "ДЕТСКОЕ ПИТАНИЕ"</v>
      </c>
      <c r="K12158" s="24" t="s">
        <v>1562</v>
      </c>
      <c r="L12158" s="28" t="s">
        <v>51</v>
      </c>
      <c r="M12158" s="28" t="s">
        <v>51</v>
      </c>
      <c r="N12158" s="27">
        <v>0</v>
      </c>
    </row>
    <row r="12159" spans="1:14" hidden="1" outlineLevel="1" x14ac:dyDescent="0.2">
      <c r="A12159" s="23" t="str">
        <f>HYPERLINK("https://www.spark-marketing.ru/Card/Person/233243", "МБОУ ""ШКОЛА № 41""")</f>
        <v>МБОУ "ШКОЛА № 41"</v>
      </c>
      <c r="B12159" s="24" t="s">
        <v>16619</v>
      </c>
      <c r="C12159" s="25">
        <v>279583.2</v>
      </c>
      <c r="D12159" s="22" t="s">
        <v>16612</v>
      </c>
      <c r="E12159" s="22" t="s">
        <v>48</v>
      </c>
      <c r="F12159" s="23" t="str">
        <f t="shared" si="367"/>
        <v>Оказание услуг по предоставлению питания школьникам образовательных учреждений города Рязани</v>
      </c>
      <c r="G12159" s="22" t="s">
        <v>1522</v>
      </c>
      <c r="H12159" s="22" t="s">
        <v>1523</v>
      </c>
      <c r="I12159" s="26">
        <v>43664.679861111101</v>
      </c>
      <c r="J12159" s="23" t="str">
        <f t="shared" si="366"/>
        <v>МП "ДЕТСКОЕ ПИТАНИЕ"</v>
      </c>
      <c r="K12159" s="24" t="s">
        <v>1562</v>
      </c>
      <c r="L12159" s="28" t="s">
        <v>51</v>
      </c>
      <c r="M12159" s="28" t="s">
        <v>51</v>
      </c>
      <c r="N12159" s="27">
        <v>0</v>
      </c>
    </row>
    <row r="12160" spans="1:14" hidden="1" outlineLevel="1" x14ac:dyDescent="0.2">
      <c r="A12160" s="23" t="str">
        <f>HYPERLINK("https://www.spark-marketing.ru/Card/Person/233259", "МБОУ ""ШКОЛА № 43""")</f>
        <v>МБОУ "ШКОЛА № 43"</v>
      </c>
      <c r="B12160" s="24" t="s">
        <v>16620</v>
      </c>
      <c r="C12160" s="25">
        <v>247200</v>
      </c>
      <c r="D12160" s="22" t="s">
        <v>16612</v>
      </c>
      <c r="E12160" s="22" t="s">
        <v>48</v>
      </c>
      <c r="F12160" s="23" t="str">
        <f t="shared" si="367"/>
        <v>Оказание услуг по предоставлению питания школьникам образовательных учреждений города Рязани</v>
      </c>
      <c r="G12160" s="22" t="s">
        <v>1522</v>
      </c>
      <c r="H12160" s="22" t="s">
        <v>1523</v>
      </c>
      <c r="I12160" s="26">
        <v>43664.679861111101</v>
      </c>
      <c r="J12160" s="23" t="str">
        <f t="shared" si="366"/>
        <v>МП "ДЕТСКОЕ ПИТАНИЕ"</v>
      </c>
      <c r="K12160" s="24" t="s">
        <v>1562</v>
      </c>
      <c r="L12160" s="28" t="s">
        <v>51</v>
      </c>
      <c r="M12160" s="28" t="s">
        <v>51</v>
      </c>
      <c r="N12160" s="27">
        <v>0</v>
      </c>
    </row>
    <row r="12161" spans="1:14" hidden="1" outlineLevel="1" x14ac:dyDescent="0.2">
      <c r="A12161" s="23" t="str">
        <f>HYPERLINK("https://www.spark-marketing.ru/Card/Person/233276", "МБОУ ""ШКОЛА № 38""")</f>
        <v>МБОУ "ШКОЛА № 38"</v>
      </c>
      <c r="B12161" s="24" t="s">
        <v>16621</v>
      </c>
      <c r="C12161" s="25">
        <v>626240</v>
      </c>
      <c r="D12161" s="22" t="s">
        <v>16612</v>
      </c>
      <c r="E12161" s="22" t="s">
        <v>48</v>
      </c>
      <c r="F12161" s="23" t="str">
        <f t="shared" si="367"/>
        <v>Оказание услуг по предоставлению питания школьникам образовательных учреждений города Рязани</v>
      </c>
      <c r="G12161" s="22" t="s">
        <v>51</v>
      </c>
      <c r="H12161" s="22" t="s">
        <v>51</v>
      </c>
      <c r="I12161" s="26">
        <v>43664.679861111101</v>
      </c>
      <c r="J12161" s="23" t="str">
        <f t="shared" si="366"/>
        <v>МП "ДЕТСКОЕ ПИТАНИЕ"</v>
      </c>
      <c r="K12161" s="24" t="s">
        <v>1562</v>
      </c>
      <c r="L12161" s="28" t="s">
        <v>51</v>
      </c>
      <c r="M12161" s="28" t="s">
        <v>51</v>
      </c>
      <c r="N12161" s="27">
        <v>0</v>
      </c>
    </row>
    <row r="12162" spans="1:14" hidden="1" outlineLevel="1" x14ac:dyDescent="0.2">
      <c r="A12162" s="23" t="str">
        <f>HYPERLINK("https://www.spark-marketing.ru/Card/Person/233287", "МБОУ ""ШКОЛА № 72 С УГЛУБЛЕННЫМ ИЗУЧЕНИЕМ ОТДЕЛЬНЫХ УЧЕБНЫХ ПРЕДМЕТОВ""")</f>
        <v>МБОУ "ШКОЛА № 72 С УГЛУБЛЕННЫМ ИЗУЧЕНИЕМ ОТДЕЛЬНЫХ УЧЕБНЫХ ПРЕДМЕТОВ"</v>
      </c>
      <c r="B12162" s="24" t="s">
        <v>16622</v>
      </c>
      <c r="C12162" s="25">
        <v>603168</v>
      </c>
      <c r="D12162" s="22" t="s">
        <v>16612</v>
      </c>
      <c r="E12162" s="22" t="s">
        <v>48</v>
      </c>
      <c r="F12162" s="23" t="str">
        <f t="shared" si="367"/>
        <v>Оказание услуг по предоставлению питания школьникам образовательных учреждений города Рязани</v>
      </c>
      <c r="G12162" s="22" t="s">
        <v>1522</v>
      </c>
      <c r="H12162" s="22" t="s">
        <v>1523</v>
      </c>
      <c r="I12162" s="26">
        <v>43664.679861111101</v>
      </c>
      <c r="J12162" s="23" t="str">
        <f t="shared" si="366"/>
        <v>МП "ДЕТСКОЕ ПИТАНИЕ"</v>
      </c>
      <c r="K12162" s="24" t="s">
        <v>1562</v>
      </c>
      <c r="L12162" s="28" t="s">
        <v>51</v>
      </c>
      <c r="M12162" s="28" t="s">
        <v>51</v>
      </c>
      <c r="N12162" s="27">
        <v>0</v>
      </c>
    </row>
    <row r="12163" spans="1:14" hidden="1" outlineLevel="1" x14ac:dyDescent="0.2">
      <c r="A12163" s="23" t="str">
        <f>HYPERLINK("https://www.spark-marketing.ru/Card/Person/233311", "МБОУ ""ШКОЛА № 67""")</f>
        <v>МБОУ "ШКОЛА № 67"</v>
      </c>
      <c r="B12163" s="24" t="s">
        <v>16623</v>
      </c>
      <c r="C12163" s="25">
        <v>469680</v>
      </c>
      <c r="D12163" s="22" t="s">
        <v>16612</v>
      </c>
      <c r="E12163" s="22" t="s">
        <v>48</v>
      </c>
      <c r="F12163" s="23" t="str">
        <f t="shared" si="367"/>
        <v>Оказание услуг по предоставлению питания школьникам образовательных учреждений города Рязани</v>
      </c>
      <c r="G12163" s="22" t="s">
        <v>1522</v>
      </c>
      <c r="H12163" s="22" t="s">
        <v>1523</v>
      </c>
      <c r="I12163" s="26">
        <v>43664.679861111101</v>
      </c>
      <c r="J12163" s="23" t="str">
        <f t="shared" si="366"/>
        <v>МП "ДЕТСКОЕ ПИТАНИЕ"</v>
      </c>
      <c r="K12163" s="24" t="s">
        <v>1562</v>
      </c>
      <c r="L12163" s="28" t="s">
        <v>51</v>
      </c>
      <c r="M12163" s="28" t="s">
        <v>51</v>
      </c>
      <c r="N12163" s="27">
        <v>0</v>
      </c>
    </row>
    <row r="12164" spans="1:14" hidden="1" outlineLevel="1" x14ac:dyDescent="0.2">
      <c r="A12164" s="23" t="str">
        <f>HYPERLINK("https://www.spark-marketing.ru/Card/Person/233315", "МБОУ ""ШКОЛА № 50""")</f>
        <v>МБОУ "ШКОЛА № 50"</v>
      </c>
      <c r="B12164" s="24" t="s">
        <v>16624</v>
      </c>
      <c r="C12164" s="25">
        <v>543840</v>
      </c>
      <c r="D12164" s="22" t="s">
        <v>16612</v>
      </c>
      <c r="E12164" s="22" t="s">
        <v>48</v>
      </c>
      <c r="F12164" s="23" t="str">
        <f t="shared" si="367"/>
        <v>Оказание услуг по предоставлению питания школьникам образовательных учреждений города Рязани</v>
      </c>
      <c r="G12164" s="22" t="s">
        <v>1522</v>
      </c>
      <c r="H12164" s="22" t="s">
        <v>1523</v>
      </c>
      <c r="I12164" s="26">
        <v>43664.679861111101</v>
      </c>
      <c r="J12164" s="23" t="str">
        <f t="shared" si="366"/>
        <v>МП "ДЕТСКОЕ ПИТАНИЕ"</v>
      </c>
      <c r="K12164" s="24" t="s">
        <v>1562</v>
      </c>
      <c r="L12164" s="28" t="s">
        <v>51</v>
      </c>
      <c r="M12164" s="28" t="s">
        <v>51</v>
      </c>
      <c r="N12164" s="27">
        <v>0</v>
      </c>
    </row>
    <row r="12165" spans="1:14" hidden="1" outlineLevel="1" x14ac:dyDescent="0.2">
      <c r="A12165" s="23" t="str">
        <f>HYPERLINK("https://www.spark-marketing.ru/Card/Person/233360", "МБОУ ""ШКОЛА № 31""")</f>
        <v>МБОУ "ШКОЛА № 31"</v>
      </c>
      <c r="B12165" s="24" t="s">
        <v>16625</v>
      </c>
      <c r="C12165" s="25">
        <v>318393.59999999998</v>
      </c>
      <c r="D12165" s="22" t="s">
        <v>16612</v>
      </c>
      <c r="E12165" s="22" t="s">
        <v>48</v>
      </c>
      <c r="F12165" s="23" t="str">
        <f t="shared" si="367"/>
        <v>Оказание услуг по предоставлению питания школьникам образовательных учреждений города Рязани</v>
      </c>
      <c r="G12165" s="22" t="s">
        <v>1522</v>
      </c>
      <c r="H12165" s="22" t="s">
        <v>1523</v>
      </c>
      <c r="I12165" s="26">
        <v>43664.679861111101</v>
      </c>
      <c r="J12165" s="23" t="str">
        <f t="shared" si="366"/>
        <v>МП "ДЕТСКОЕ ПИТАНИЕ"</v>
      </c>
      <c r="K12165" s="24" t="s">
        <v>1562</v>
      </c>
      <c r="L12165" s="28" t="s">
        <v>51</v>
      </c>
      <c r="M12165" s="28" t="s">
        <v>51</v>
      </c>
      <c r="N12165" s="27">
        <v>0</v>
      </c>
    </row>
    <row r="12166" spans="1:14" hidden="1" outlineLevel="1" x14ac:dyDescent="0.2">
      <c r="A12166" s="23" t="str">
        <f>HYPERLINK("https://www.spark-marketing.ru/Card/Person/233457", "МБОУ ""ШКОЛА № 62""")</f>
        <v>МБОУ "ШКОЛА № 62"</v>
      </c>
      <c r="B12166" s="24" t="s">
        <v>16626</v>
      </c>
      <c r="C12166" s="25">
        <v>299936</v>
      </c>
      <c r="D12166" s="22" t="s">
        <v>16612</v>
      </c>
      <c r="E12166" s="22" t="s">
        <v>48</v>
      </c>
      <c r="F12166" s="23" t="str">
        <f t="shared" si="367"/>
        <v>Оказание услуг по предоставлению питания школьникам образовательных учреждений города Рязани</v>
      </c>
      <c r="G12166" s="22" t="s">
        <v>1522</v>
      </c>
      <c r="H12166" s="22" t="s">
        <v>1523</v>
      </c>
      <c r="I12166" s="26">
        <v>43664.679861111101</v>
      </c>
      <c r="J12166" s="23" t="str">
        <f t="shared" si="366"/>
        <v>МП "ДЕТСКОЕ ПИТАНИЕ"</v>
      </c>
      <c r="K12166" s="24" t="s">
        <v>1562</v>
      </c>
      <c r="L12166" s="28" t="s">
        <v>51</v>
      </c>
      <c r="M12166" s="28" t="s">
        <v>51</v>
      </c>
      <c r="N12166" s="27">
        <v>0</v>
      </c>
    </row>
    <row r="12167" spans="1:14" hidden="1" outlineLevel="1" x14ac:dyDescent="0.2">
      <c r="A12167" s="23" t="str">
        <f>HYPERLINK("https://www.spark-marketing.ru/Card/Person/233460", "МБОУ ""ШКОЛА № 63""")</f>
        <v>МБОУ "ШКОЛА № 63"</v>
      </c>
      <c r="B12167" s="24" t="s">
        <v>16627</v>
      </c>
      <c r="C12167" s="25">
        <v>359923.20000000001</v>
      </c>
      <c r="D12167" s="22" t="s">
        <v>16612</v>
      </c>
      <c r="E12167" s="22" t="s">
        <v>48</v>
      </c>
      <c r="F12167" s="23" t="str">
        <f t="shared" si="367"/>
        <v>Оказание услуг по предоставлению питания школьникам образовательных учреждений города Рязани</v>
      </c>
      <c r="G12167" s="22" t="s">
        <v>1522</v>
      </c>
      <c r="H12167" s="22" t="s">
        <v>1523</v>
      </c>
      <c r="I12167" s="26">
        <v>43664.679861111101</v>
      </c>
      <c r="J12167" s="23" t="str">
        <f t="shared" si="366"/>
        <v>МП "ДЕТСКОЕ ПИТАНИЕ"</v>
      </c>
      <c r="K12167" s="24" t="s">
        <v>1562</v>
      </c>
      <c r="L12167" s="28" t="s">
        <v>51</v>
      </c>
      <c r="M12167" s="28" t="s">
        <v>51</v>
      </c>
      <c r="N12167" s="27">
        <v>0</v>
      </c>
    </row>
    <row r="12168" spans="1:14" hidden="1" outlineLevel="1" x14ac:dyDescent="0.2">
      <c r="A12168" s="23" t="str">
        <f>HYPERLINK("https://www.spark-marketing.ru/Card/Person/5857435", "МБОУ ""ШКОЛА № 75""")</f>
        <v>МБОУ "ШКОЛА № 75"</v>
      </c>
      <c r="B12168" s="24" t="s">
        <v>16628</v>
      </c>
      <c r="C12168" s="25">
        <v>1331584</v>
      </c>
      <c r="D12168" s="22" t="s">
        <v>16612</v>
      </c>
      <c r="E12168" s="22" t="s">
        <v>48</v>
      </c>
      <c r="F12168" s="23" t="str">
        <f t="shared" si="367"/>
        <v>Оказание услуг по предоставлению питания школьникам образовательных учреждений города Рязани</v>
      </c>
      <c r="G12168" s="22" t="s">
        <v>1522</v>
      </c>
      <c r="H12168" s="22" t="s">
        <v>1523</v>
      </c>
      <c r="I12168" s="26">
        <v>43664.679861111101</v>
      </c>
      <c r="J12168" s="23" t="str">
        <f t="shared" si="366"/>
        <v>МП "ДЕТСКОЕ ПИТАНИЕ"</v>
      </c>
      <c r="K12168" s="24" t="s">
        <v>1562</v>
      </c>
      <c r="L12168" s="28" t="s">
        <v>51</v>
      </c>
      <c r="M12168" s="28" t="s">
        <v>51</v>
      </c>
      <c r="N12168" s="27">
        <v>0</v>
      </c>
    </row>
    <row r="12169" spans="1:14" collapsed="1" x14ac:dyDescent="0.2">
      <c r="A12169" s="23" t="s">
        <v>114</v>
      </c>
      <c r="B12169" s="28" t="s">
        <v>51</v>
      </c>
      <c r="C12169" s="25">
        <v>17110440</v>
      </c>
      <c r="D12169" s="22" t="s">
        <v>16629</v>
      </c>
      <c r="E12169" s="22" t="s">
        <v>48</v>
      </c>
      <c r="F12169" s="23" t="str">
        <f t="shared" ref="F12169:F12174" si="368">HYPERLINK("https://www.spark-marketing.ru/Card/Lot/72189304", "Оказание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169" s="22" t="s">
        <v>51</v>
      </c>
      <c r="H12169" s="22" t="s">
        <v>51</v>
      </c>
      <c r="I12169" s="26">
        <v>43664.660416666702</v>
      </c>
      <c r="J12169" s="23" t="str">
        <f t="shared" ref="J12169:J12174" si="369">HYPERLINK("https://www.spark-marketing.ru/Card/Person/6558293", "ООО ""ВИВО МАРКЕТ""")</f>
        <v>ООО "ВИВО МАРКЕТ"</v>
      </c>
      <c r="K12169" s="24" t="s">
        <v>14440</v>
      </c>
      <c r="L12169" s="28" t="s">
        <v>51</v>
      </c>
      <c r="M12169" s="25">
        <v>17110440</v>
      </c>
      <c r="N12169" s="27">
        <v>0</v>
      </c>
    </row>
    <row r="12170" spans="1:14" hidden="1" outlineLevel="1" x14ac:dyDescent="0.2">
      <c r="A12170" s="23" t="str">
        <f>HYPERLINK("https://www.spark-marketing.ru/Card/Person/128650", "МОУ ЦДТ КРАСНОАРМЕЙСКОГО РАЙОНА")</f>
        <v>МОУ ЦДТ КРАСНОАРМЕЙСКОГО РАЙОНА</v>
      </c>
      <c r="B12170" s="24" t="s">
        <v>16630</v>
      </c>
      <c r="C12170" s="25">
        <v>133920</v>
      </c>
      <c r="D12170" s="22" t="s">
        <v>16629</v>
      </c>
      <c r="E12170" s="22" t="s">
        <v>48</v>
      </c>
      <c r="F12170" s="23" t="str">
        <f t="shared" si="368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170" s="22" t="s">
        <v>158</v>
      </c>
      <c r="H12170" s="22" t="s">
        <v>158</v>
      </c>
      <c r="I12170" s="26">
        <v>43664.660416666702</v>
      </c>
      <c r="J12170" s="23" t="str">
        <f t="shared" si="369"/>
        <v>ООО "ВИВО МАРКЕТ"</v>
      </c>
      <c r="K12170" s="24" t="s">
        <v>14440</v>
      </c>
      <c r="L12170" s="28" t="s">
        <v>51</v>
      </c>
      <c r="M12170" s="28" t="s">
        <v>51</v>
      </c>
      <c r="N12170" s="27">
        <v>0</v>
      </c>
    </row>
    <row r="12171" spans="1:14" hidden="1" outlineLevel="1" x14ac:dyDescent="0.2">
      <c r="A12171" s="23" t="str">
        <f>HYPERLINK("https://www.spark-marketing.ru/Card/Person/128711", "МОУ ДВОРЕЦ ТВОРЧЕСТВА")</f>
        <v>МОУ ДВОРЕЦ ТВОРЧЕСТВА</v>
      </c>
      <c r="B12171" s="24" t="s">
        <v>16631</v>
      </c>
      <c r="C12171" s="25">
        <v>357120</v>
      </c>
      <c r="D12171" s="22" t="s">
        <v>16629</v>
      </c>
      <c r="E12171" s="22" t="s">
        <v>48</v>
      </c>
      <c r="F12171" s="23" t="str">
        <f t="shared" si="368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171" s="22" t="s">
        <v>158</v>
      </c>
      <c r="H12171" s="22" t="s">
        <v>158</v>
      </c>
      <c r="I12171" s="26">
        <v>43664.660416666702</v>
      </c>
      <c r="J12171" s="23" t="str">
        <f t="shared" si="369"/>
        <v>ООО "ВИВО МАРКЕТ"</v>
      </c>
      <c r="K12171" s="24" t="s">
        <v>14440</v>
      </c>
      <c r="L12171" s="28" t="s">
        <v>51</v>
      </c>
      <c r="M12171" s="28" t="s">
        <v>51</v>
      </c>
      <c r="N12171" s="27">
        <v>0</v>
      </c>
    </row>
    <row r="12172" spans="1:14" hidden="1" outlineLevel="1" x14ac:dyDescent="0.2">
      <c r="A12172" s="23" t="str">
        <f>HYPERLINK("https://www.spark-marketing.ru/Card/Person/128743", "МОУ ГИМНАЗИЯ № 8")</f>
        <v>МОУ ГИМНАЗИЯ № 8</v>
      </c>
      <c r="B12172" s="24" t="s">
        <v>16632</v>
      </c>
      <c r="C12172" s="25">
        <v>3916480</v>
      </c>
      <c r="D12172" s="22" t="s">
        <v>16629</v>
      </c>
      <c r="E12172" s="22" t="s">
        <v>48</v>
      </c>
      <c r="F12172" s="23" t="str">
        <f t="shared" si="368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172" s="22" t="s">
        <v>158</v>
      </c>
      <c r="H12172" s="22" t="s">
        <v>158</v>
      </c>
      <c r="I12172" s="26">
        <v>43664.660416666702</v>
      </c>
      <c r="J12172" s="23" t="str">
        <f t="shared" si="369"/>
        <v>ООО "ВИВО МАРКЕТ"</v>
      </c>
      <c r="K12172" s="24" t="s">
        <v>14440</v>
      </c>
      <c r="L12172" s="28" t="s">
        <v>51</v>
      </c>
      <c r="M12172" s="28" t="s">
        <v>51</v>
      </c>
      <c r="N12172" s="27">
        <v>0</v>
      </c>
    </row>
    <row r="12173" spans="1:14" hidden="1" outlineLevel="1" x14ac:dyDescent="0.2">
      <c r="A12173" s="23" t="str">
        <f>HYPERLINK("https://www.spark-marketing.ru/Card/Person/129714", "МОУ СШ № 124")</f>
        <v>МОУ СШ № 124</v>
      </c>
      <c r="B12173" s="24" t="s">
        <v>16633</v>
      </c>
      <c r="C12173" s="25">
        <v>2902720</v>
      </c>
      <c r="D12173" s="22" t="s">
        <v>16629</v>
      </c>
      <c r="E12173" s="22" t="s">
        <v>48</v>
      </c>
      <c r="F12173" s="23" t="str">
        <f t="shared" si="368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173" s="22" t="s">
        <v>158</v>
      </c>
      <c r="H12173" s="22" t="s">
        <v>158</v>
      </c>
      <c r="I12173" s="26">
        <v>43664.660416666702</v>
      </c>
      <c r="J12173" s="23" t="str">
        <f t="shared" si="369"/>
        <v>ООО "ВИВО МАРКЕТ"</v>
      </c>
      <c r="K12173" s="24" t="s">
        <v>14440</v>
      </c>
      <c r="L12173" s="28" t="s">
        <v>51</v>
      </c>
      <c r="M12173" s="28" t="s">
        <v>51</v>
      </c>
      <c r="N12173" s="27">
        <v>0</v>
      </c>
    </row>
    <row r="12174" spans="1:14" hidden="1" outlineLevel="1" x14ac:dyDescent="0.2">
      <c r="A12174" s="23" t="str">
        <f>HYPERLINK("https://www.spark-marketing.ru/Card/Person/129986", "МОУ СШ № 125")</f>
        <v>МОУ СШ № 125</v>
      </c>
      <c r="B12174" s="24" t="s">
        <v>16634</v>
      </c>
      <c r="C12174" s="25">
        <v>9800200</v>
      </c>
      <c r="D12174" s="22" t="s">
        <v>16629</v>
      </c>
      <c r="E12174" s="22" t="s">
        <v>48</v>
      </c>
      <c r="F12174" s="23" t="str">
        <f t="shared" si="368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174" s="22" t="s">
        <v>158</v>
      </c>
      <c r="H12174" s="22" t="s">
        <v>158</v>
      </c>
      <c r="I12174" s="26">
        <v>43664.660416666702</v>
      </c>
      <c r="J12174" s="23" t="str">
        <f t="shared" si="369"/>
        <v>ООО "ВИВО МАРКЕТ"</v>
      </c>
      <c r="K12174" s="24" t="s">
        <v>14440</v>
      </c>
      <c r="L12174" s="28" t="s">
        <v>51</v>
      </c>
      <c r="M12174" s="28" t="s">
        <v>51</v>
      </c>
      <c r="N12174" s="27">
        <v>0</v>
      </c>
    </row>
    <row r="12175" spans="1:14" x14ac:dyDescent="0.15">
      <c r="A12175" s="23" t="str">
        <f>HYPERLINK("https://www.spark-marketing.ru/Card/Person/4341", "ГУ-КИРОВСКОЕ РО ФОНДА СОЦИАЛЬНОГО СТРАХОВАНИЯ РОССИЙСКОЙ ФЕДЕРАЦИИ")</f>
        <v>ГУ-КИРОВСКОЕ РО ФОНДА СОЦИАЛЬНОГО СТРАХОВАНИЯ РОССИЙСКОЙ ФЕДЕРАЦИИ</v>
      </c>
      <c r="B12175" s="24" t="s">
        <v>4330</v>
      </c>
      <c r="C12175" s="25">
        <v>2995987.68</v>
      </c>
      <c r="D12175" s="22" t="s">
        <v>16635</v>
      </c>
      <c r="E12175" s="22" t="s">
        <v>86</v>
      </c>
      <c r="F12175" s="23" t="str">
        <f>HYPERLINK("https://www.spark-marketing.ru/Card/Lot/72191930", "Оказание услуг по санаторно-курортному лечению граждан - получателей государственной социальной помощи в виде набора социальных услуг, и сопровождающих лиц, по профилям заболеваний: болезни эндокринной системы, расстройство питания и нарушения обмена...")</f>
        <v>Оказание услуг по санаторно-курортному лечению граждан - получателей государственной социальной помощи в виде набора социальных услуг, и сопровождающих лиц, по профилям заболеваний: болезни эндокринной системы, расстройство питания и нарушения обмена...</v>
      </c>
      <c r="G12175" s="22" t="s">
        <v>224</v>
      </c>
      <c r="H12175" s="22" t="s">
        <v>225</v>
      </c>
      <c r="I12175" s="26">
        <v>43664.655370370398</v>
      </c>
      <c r="J12175" s="23" t="str">
        <f>HYPERLINK("https://www.spark-marketing.ru/Card/Person/273531", "ООО САНАТОРИЙ ""АВИТЕК""")</f>
        <v>ООО САНАТОРИЙ "АВИТЕК"</v>
      </c>
      <c r="K12175" s="24" t="s">
        <v>4332</v>
      </c>
      <c r="L12175" s="22" t="s">
        <v>10</v>
      </c>
      <c r="M12175" s="28" t="s">
        <v>51</v>
      </c>
      <c r="N12175" s="28" t="s">
        <v>51</v>
      </c>
    </row>
    <row r="12176" spans="1:14" x14ac:dyDescent="0.2">
      <c r="A12176" s="23" t="str">
        <f>HYPERLINK("https://www.spark-marketing.ru/Card/Person/913615", "ГАУГН")</f>
        <v>ГАУГН</v>
      </c>
      <c r="B12176" s="24" t="s">
        <v>8726</v>
      </c>
      <c r="C12176" s="25">
        <v>133980</v>
      </c>
      <c r="D12176" s="22" t="s">
        <v>16636</v>
      </c>
      <c r="E12176" s="22" t="s">
        <v>16637</v>
      </c>
      <c r="F12176" s="23" t="str">
        <f>HYPERLINK("https://www.spark-marketing.ru/Card/Lot/72201718", "Комплекс услуг по организации питания для участников студенческого мероприятия приуроченного к торжественной выдачи дипломов")</f>
        <v>Комплекс услуг по организации питания для участников студенческого мероприятия приуроченного к торжественной выдачи дипломов</v>
      </c>
      <c r="G12176" s="22" t="s">
        <v>56</v>
      </c>
      <c r="H12176" s="22" t="s">
        <v>56</v>
      </c>
      <c r="I12176" s="26">
        <v>43664.661435185197</v>
      </c>
      <c r="J12176" s="28" t="s">
        <v>51</v>
      </c>
      <c r="K12176" s="28" t="s">
        <v>51</v>
      </c>
      <c r="L12176" s="22" t="s">
        <v>10</v>
      </c>
      <c r="M12176" s="25">
        <v>133980</v>
      </c>
      <c r="N12176" s="27">
        <v>0</v>
      </c>
    </row>
    <row r="12177" spans="1:14" collapsed="1" x14ac:dyDescent="0.15">
      <c r="A12177" s="23" t="s">
        <v>114</v>
      </c>
      <c r="B12177" s="28" t="s">
        <v>51</v>
      </c>
      <c r="C12177" s="25">
        <v>18456774</v>
      </c>
      <c r="D12177" s="22" t="s">
        <v>16638</v>
      </c>
      <c r="E12177" s="22" t="s">
        <v>48</v>
      </c>
      <c r="F12177" s="23" t="str">
        <f t="shared" ref="F12177:F12182" si="370">HYPERLINK("https://www.spark-marketing.ru/Card/Lot/72189305",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177" s="22" t="s">
        <v>51</v>
      </c>
      <c r="H12177" s="22" t="s">
        <v>51</v>
      </c>
      <c r="I12177" s="26">
        <v>43664.660416666702</v>
      </c>
      <c r="J12177" s="28" t="s">
        <v>51</v>
      </c>
      <c r="K12177" s="28" t="s">
        <v>51</v>
      </c>
      <c r="L12177" s="28" t="s">
        <v>51</v>
      </c>
      <c r="M12177" s="28" t="s">
        <v>51</v>
      </c>
      <c r="N12177" s="28" t="s">
        <v>51</v>
      </c>
    </row>
    <row r="12178" spans="1:14" hidden="1" outlineLevel="1" x14ac:dyDescent="0.15">
      <c r="A12178" s="23" t="str">
        <f>HYPERLINK("https://www.spark-marketing.ru/Card/Person/997066", "МОУ СШ № 15")</f>
        <v>МОУ СШ № 15</v>
      </c>
      <c r="B12178" s="24" t="s">
        <v>16639</v>
      </c>
      <c r="C12178" s="25">
        <v>4970934</v>
      </c>
      <c r="D12178" s="22" t="s">
        <v>16638</v>
      </c>
      <c r="E12178" s="22" t="s">
        <v>48</v>
      </c>
      <c r="F12178" s="23" t="str">
        <f t="shared" si="370"/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178" s="22" t="s">
        <v>158</v>
      </c>
      <c r="H12178" s="22" t="s">
        <v>158</v>
      </c>
      <c r="I12178" s="26">
        <v>43664.660416666702</v>
      </c>
      <c r="J12178" s="28" t="s">
        <v>51</v>
      </c>
      <c r="K12178" s="28" t="s">
        <v>51</v>
      </c>
      <c r="L12178" s="28" t="s">
        <v>51</v>
      </c>
      <c r="M12178" s="28" t="s">
        <v>51</v>
      </c>
      <c r="N12178" s="28" t="s">
        <v>51</v>
      </c>
    </row>
    <row r="12179" spans="1:14" hidden="1" outlineLevel="1" x14ac:dyDescent="0.15">
      <c r="A12179" s="23" t="str">
        <f>HYPERLINK("https://www.spark-marketing.ru/Card/Person/1004887", "МОУ СШ № 93")</f>
        <v>МОУ СШ № 93</v>
      </c>
      <c r="B12179" s="24" t="s">
        <v>16640</v>
      </c>
      <c r="C12179" s="25">
        <v>5378720</v>
      </c>
      <c r="D12179" s="22" t="s">
        <v>16638</v>
      </c>
      <c r="E12179" s="22" t="s">
        <v>48</v>
      </c>
      <c r="F12179" s="23" t="str">
        <f t="shared" si="370"/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179" s="22" t="s">
        <v>158</v>
      </c>
      <c r="H12179" s="22" t="s">
        <v>158</v>
      </c>
      <c r="I12179" s="26">
        <v>43664.660416666702</v>
      </c>
      <c r="J12179" s="28" t="s">
        <v>51</v>
      </c>
      <c r="K12179" s="28" t="s">
        <v>51</v>
      </c>
      <c r="L12179" s="28" t="s">
        <v>51</v>
      </c>
      <c r="M12179" s="28" t="s">
        <v>51</v>
      </c>
      <c r="N12179" s="28" t="s">
        <v>51</v>
      </c>
    </row>
    <row r="12180" spans="1:14" hidden="1" outlineLevel="1" x14ac:dyDescent="0.15">
      <c r="A12180" s="23" t="str">
        <f>HYPERLINK("https://www.spark-marketing.ru/Card/Person/6441534", "МОУ СШ № 55 ""ДОЛИНА ЗНАНИЙ""")</f>
        <v>МОУ СШ № 55 "ДОЛИНА ЗНАНИЙ"</v>
      </c>
      <c r="B12180" s="24" t="s">
        <v>16641</v>
      </c>
      <c r="C12180" s="25">
        <v>8107120</v>
      </c>
      <c r="D12180" s="22" t="s">
        <v>16638</v>
      </c>
      <c r="E12180" s="22" t="s">
        <v>48</v>
      </c>
      <c r="F12180" s="23" t="str">
        <f t="shared" si="370"/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180" s="22" t="s">
        <v>158</v>
      </c>
      <c r="H12180" s="22" t="s">
        <v>158</v>
      </c>
      <c r="I12180" s="26">
        <v>43664.660416666702</v>
      </c>
      <c r="J12180" s="28" t="s">
        <v>51</v>
      </c>
      <c r="K12180" s="28" t="s">
        <v>51</v>
      </c>
      <c r="L12180" s="28" t="s">
        <v>51</v>
      </c>
      <c r="M12180" s="28" t="s">
        <v>51</v>
      </c>
      <c r="N12180" s="28" t="s">
        <v>51</v>
      </c>
    </row>
    <row r="12181" spans="1:14" hidden="1" outlineLevel="1" x14ac:dyDescent="0.2">
      <c r="A12181" s="28" t="s">
        <v>51</v>
      </c>
      <c r="B12181" s="28" t="s">
        <v>51</v>
      </c>
      <c r="C12181" s="28" t="s">
        <v>51</v>
      </c>
      <c r="D12181" s="22" t="s">
        <v>16638</v>
      </c>
      <c r="E12181" s="22" t="s">
        <v>48</v>
      </c>
      <c r="F12181" s="23" t="str">
        <f t="shared" si="370"/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181" s="22" t="s">
        <v>51</v>
      </c>
      <c r="H12181" s="22" t="s">
        <v>51</v>
      </c>
      <c r="I12181" s="26">
        <v>43664.660416666702</v>
      </c>
      <c r="J12181" s="23" t="str">
        <f>HYPERLINK("https://www.spark-marketing.ru/Card/Person/119200", "ООО ""ВЕНЕРА""")</f>
        <v>ООО "ВЕНЕРА"</v>
      </c>
      <c r="K12181" s="24" t="s">
        <v>16525</v>
      </c>
      <c r="L12181" s="22" t="s">
        <v>10</v>
      </c>
      <c r="M12181" s="25">
        <v>18456774</v>
      </c>
      <c r="N12181" s="27">
        <v>0</v>
      </c>
    </row>
    <row r="12182" spans="1:14" hidden="1" outlineLevel="1" x14ac:dyDescent="0.2">
      <c r="A12182" s="28" t="s">
        <v>51</v>
      </c>
      <c r="B12182" s="28" t="s">
        <v>51</v>
      </c>
      <c r="C12182" s="28" t="s">
        <v>51</v>
      </c>
      <c r="D12182" s="22" t="s">
        <v>16638</v>
      </c>
      <c r="E12182" s="22" t="s">
        <v>48</v>
      </c>
      <c r="F12182" s="23" t="str">
        <f t="shared" si="370"/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182" s="22" t="s">
        <v>51</v>
      </c>
      <c r="H12182" s="22" t="s">
        <v>51</v>
      </c>
      <c r="I12182" s="26">
        <v>43664.660416666702</v>
      </c>
      <c r="J12182" s="23" t="str">
        <f>HYPERLINK("https://www.spark-marketing.ru/Card/Person/503771", "ООО ""МОБИЛСВЯЗЬ""")</f>
        <v>ООО "МОБИЛСВЯЗЬ"</v>
      </c>
      <c r="K12182" s="24" t="s">
        <v>16642</v>
      </c>
      <c r="L12182" s="28" t="s">
        <v>51</v>
      </c>
      <c r="M12182" s="25">
        <v>17903070.780000001</v>
      </c>
      <c r="N12182" s="27">
        <v>0.03</v>
      </c>
    </row>
    <row r="12183" spans="1:14" collapsed="1" x14ac:dyDescent="0.15">
      <c r="A12183" s="23" t="s">
        <v>114</v>
      </c>
      <c r="B12183" s="28" t="s">
        <v>51</v>
      </c>
      <c r="C12183" s="25">
        <v>122133650</v>
      </c>
      <c r="D12183" s="22" t="s">
        <v>16643</v>
      </c>
      <c r="E12183" s="22" t="s">
        <v>48</v>
      </c>
      <c r="F12183" s="23" t="str">
        <f t="shared" ref="F12183:F12206" si="371">HYPERLINK("https://www.spark-marketing.ru/Card/Lot/72191780", "Оказание услуг по организации централизованного питания обучающихся муниципальных бюджетных общеобразовательных учреждений МО «Город Калуга»")</f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83" s="22" t="s">
        <v>51</v>
      </c>
      <c r="H12183" s="22" t="s">
        <v>51</v>
      </c>
      <c r="I12183" s="26">
        <v>43664.651388888902</v>
      </c>
      <c r="J12183" s="28" t="s">
        <v>51</v>
      </c>
      <c r="K12183" s="28" t="s">
        <v>51</v>
      </c>
      <c r="L12183" s="28" t="s">
        <v>51</v>
      </c>
      <c r="M12183" s="28" t="s">
        <v>51</v>
      </c>
      <c r="N12183" s="28" t="s">
        <v>51</v>
      </c>
    </row>
    <row r="12184" spans="1:14" hidden="1" outlineLevel="1" x14ac:dyDescent="0.15">
      <c r="A12184" s="23" t="str">
        <f>HYPERLINK("https://www.spark-marketing.ru/Card/Person/50418", "МБОУ ""ОСНОВНАЯ ОБЩЕОБРАЗОВАТЕЛЬНАЯ ШКОЛА № 35"" Г. КАЛУГИ")</f>
        <v>МБОУ "ОСНОВНАЯ ОБЩЕОБРАЗОВАТЕЛЬНАЯ ШКОЛА № 35" Г. КАЛУГИ</v>
      </c>
      <c r="B12184" s="24" t="s">
        <v>16644</v>
      </c>
      <c r="C12184" s="25">
        <v>4279700</v>
      </c>
      <c r="D12184" s="22" t="s">
        <v>16643</v>
      </c>
      <c r="E12184" s="22" t="s">
        <v>48</v>
      </c>
      <c r="F12184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84" s="22" t="s">
        <v>112</v>
      </c>
      <c r="H12184" s="22" t="s">
        <v>389</v>
      </c>
      <c r="I12184" s="26">
        <v>43664.651388888902</v>
      </c>
      <c r="J12184" s="28" t="s">
        <v>51</v>
      </c>
      <c r="K12184" s="28" t="s">
        <v>51</v>
      </c>
      <c r="L12184" s="28" t="s">
        <v>51</v>
      </c>
      <c r="M12184" s="28" t="s">
        <v>51</v>
      </c>
      <c r="N12184" s="28" t="s">
        <v>51</v>
      </c>
    </row>
    <row r="12185" spans="1:14" hidden="1" outlineLevel="1" x14ac:dyDescent="0.15">
      <c r="A12185" s="23" t="str">
        <f>HYPERLINK("https://www.spark-marketing.ru/Card/Person/108286", "МБОУ ""СРЕДНЯЯ ОБЩЕОБРАЗОВАТЕЛЬНАЯ ШКОЛА № 4"" Г. КАЛУГИ")</f>
        <v>МБОУ "СРЕДНЯЯ ОБЩЕОБРАЗОВАТЕЛЬНАЯ ШКОЛА № 4" Г. КАЛУГИ</v>
      </c>
      <c r="B12185" s="24" t="s">
        <v>16645</v>
      </c>
      <c r="C12185" s="25">
        <v>5678750</v>
      </c>
      <c r="D12185" s="22" t="s">
        <v>16643</v>
      </c>
      <c r="E12185" s="22" t="s">
        <v>48</v>
      </c>
      <c r="F12185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85" s="22" t="s">
        <v>112</v>
      </c>
      <c r="H12185" s="22" t="s">
        <v>389</v>
      </c>
      <c r="I12185" s="26">
        <v>43664.651388888902</v>
      </c>
      <c r="J12185" s="28" t="s">
        <v>51</v>
      </c>
      <c r="K12185" s="28" t="s">
        <v>51</v>
      </c>
      <c r="L12185" s="28" t="s">
        <v>51</v>
      </c>
      <c r="M12185" s="28" t="s">
        <v>51</v>
      </c>
      <c r="N12185" s="28" t="s">
        <v>51</v>
      </c>
    </row>
    <row r="12186" spans="1:14" hidden="1" outlineLevel="1" x14ac:dyDescent="0.15">
      <c r="A12186" s="23" t="str">
        <f>HYPERLINK("https://www.spark-marketing.ru/Card/Person/110121", "МБОУ ""СРЕДНЯЯ ОБЩЕОБРАЗОВАТЕЛЬНАЯ ШКОЛА № 49"" Г. КАЛУГИ")</f>
        <v>МБОУ "СРЕДНЯЯ ОБЩЕОБРАЗОВАТЕЛЬНАЯ ШКОЛА № 49" Г. КАЛУГИ</v>
      </c>
      <c r="B12186" s="24" t="s">
        <v>16646</v>
      </c>
      <c r="C12186" s="25">
        <v>9765600</v>
      </c>
      <c r="D12186" s="22" t="s">
        <v>16643</v>
      </c>
      <c r="E12186" s="22" t="s">
        <v>48</v>
      </c>
      <c r="F12186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86" s="22" t="s">
        <v>112</v>
      </c>
      <c r="H12186" s="22" t="s">
        <v>389</v>
      </c>
      <c r="I12186" s="26">
        <v>43664.651388888902</v>
      </c>
      <c r="J12186" s="28" t="s">
        <v>51</v>
      </c>
      <c r="K12186" s="28" t="s">
        <v>51</v>
      </c>
      <c r="L12186" s="28" t="s">
        <v>51</v>
      </c>
      <c r="M12186" s="28" t="s">
        <v>51</v>
      </c>
      <c r="N12186" s="28" t="s">
        <v>51</v>
      </c>
    </row>
    <row r="12187" spans="1:14" hidden="1" outlineLevel="1" x14ac:dyDescent="0.15">
      <c r="A12187" s="23" t="str">
        <f>HYPERLINK("https://www.spark-marketing.ru/Card/Person/149197", "МБОУ ""СРЕДНЯЯ ОБЩЕОБРАЗОВАТЕЛЬНАЯ ШКОЛА № 46"" Г. КАЛУГИ")</f>
        <v>МБОУ "СРЕДНЯЯ ОБЩЕОБРАЗОВАТЕЛЬНАЯ ШКОЛА № 46" Г. КАЛУГИ</v>
      </c>
      <c r="B12187" s="24" t="s">
        <v>16647</v>
      </c>
      <c r="C12187" s="25">
        <v>18304200</v>
      </c>
      <c r="D12187" s="22" t="s">
        <v>16643</v>
      </c>
      <c r="E12187" s="22" t="s">
        <v>48</v>
      </c>
      <c r="F12187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87" s="22" t="s">
        <v>112</v>
      </c>
      <c r="H12187" s="22" t="s">
        <v>389</v>
      </c>
      <c r="I12187" s="26">
        <v>43664.651388888902</v>
      </c>
      <c r="J12187" s="28" t="s">
        <v>51</v>
      </c>
      <c r="K12187" s="28" t="s">
        <v>51</v>
      </c>
      <c r="L12187" s="28" t="s">
        <v>51</v>
      </c>
      <c r="M12187" s="28" t="s">
        <v>51</v>
      </c>
      <c r="N12187" s="28" t="s">
        <v>51</v>
      </c>
    </row>
    <row r="12188" spans="1:14" hidden="1" outlineLevel="1" x14ac:dyDescent="0.15">
      <c r="A12188" s="23" t="str">
        <f>HYPERLINK("https://www.spark-marketing.ru/Card/Person/149381", "МБОУ ""СРЕДНЯЯ ОБЩЕОБРАЗОВАТЕЛЬНАЯ ШКОЛА № 13"" Г. КАЛУГИ")</f>
        <v>МБОУ "СРЕДНЯЯ ОБЩЕОБРАЗОВАТЕЛЬНАЯ ШКОЛА № 13" Г. КАЛУГИ</v>
      </c>
      <c r="B12188" s="24" t="s">
        <v>16648</v>
      </c>
      <c r="C12188" s="25">
        <v>14614550</v>
      </c>
      <c r="D12188" s="22" t="s">
        <v>16643</v>
      </c>
      <c r="E12188" s="22" t="s">
        <v>48</v>
      </c>
      <c r="F12188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88" s="22" t="s">
        <v>112</v>
      </c>
      <c r="H12188" s="22" t="s">
        <v>389</v>
      </c>
      <c r="I12188" s="26">
        <v>43664.651388888902</v>
      </c>
      <c r="J12188" s="28" t="s">
        <v>51</v>
      </c>
      <c r="K12188" s="28" t="s">
        <v>51</v>
      </c>
      <c r="L12188" s="28" t="s">
        <v>51</v>
      </c>
      <c r="M12188" s="28" t="s">
        <v>51</v>
      </c>
      <c r="N12188" s="28" t="s">
        <v>51</v>
      </c>
    </row>
    <row r="12189" spans="1:14" hidden="1" outlineLevel="1" x14ac:dyDescent="0.15">
      <c r="A12189" s="23" t="str">
        <f>HYPERLINK("https://www.spark-marketing.ru/Card/Person/149554", "МБОУ ""СРЕДНЯЯ ОБЩЕОБРАЗОВАТЕЛЬНАЯ ШКОЛА № 29"" Г. КАЛУГИ")</f>
        <v>МБОУ "СРЕДНЯЯ ОБЩЕОБРАЗОВАТЕЛЬНАЯ ШКОЛА № 29" Г. КАЛУГИ</v>
      </c>
      <c r="B12189" s="24" t="s">
        <v>16649</v>
      </c>
      <c r="C12189" s="25">
        <v>4898150</v>
      </c>
      <c r="D12189" s="22" t="s">
        <v>16643</v>
      </c>
      <c r="E12189" s="22" t="s">
        <v>48</v>
      </c>
      <c r="F12189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89" s="22" t="s">
        <v>112</v>
      </c>
      <c r="H12189" s="22" t="s">
        <v>389</v>
      </c>
      <c r="I12189" s="26">
        <v>43664.651388888902</v>
      </c>
      <c r="J12189" s="28" t="s">
        <v>51</v>
      </c>
      <c r="K12189" s="28" t="s">
        <v>51</v>
      </c>
      <c r="L12189" s="28" t="s">
        <v>51</v>
      </c>
      <c r="M12189" s="28" t="s">
        <v>51</v>
      </c>
      <c r="N12189" s="28" t="s">
        <v>51</v>
      </c>
    </row>
    <row r="12190" spans="1:14" hidden="1" outlineLevel="1" x14ac:dyDescent="0.15">
      <c r="A12190" s="23" t="str">
        <f>HYPERLINK("https://www.spark-marketing.ru/Card/Person/149558", "МБОУ ""СРЕДНЯЯ ОБЩЕОБРАЗОВАТЕЛЬНАЯ ШКОЛА № 38"" Г. КАЛУГИ")</f>
        <v>МБОУ "СРЕДНЯЯ ОБЩЕОБРАЗОВАТЕЛЬНАЯ ШКОЛА № 38" Г. КАЛУГИ</v>
      </c>
      <c r="B12190" s="24" t="s">
        <v>16650</v>
      </c>
      <c r="C12190" s="25">
        <v>1579700</v>
      </c>
      <c r="D12190" s="22" t="s">
        <v>16643</v>
      </c>
      <c r="E12190" s="22" t="s">
        <v>48</v>
      </c>
      <c r="F12190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90" s="22" t="s">
        <v>112</v>
      </c>
      <c r="H12190" s="22" t="s">
        <v>389</v>
      </c>
      <c r="I12190" s="26">
        <v>43664.651388888902</v>
      </c>
      <c r="J12190" s="28" t="s">
        <v>51</v>
      </c>
      <c r="K12190" s="28" t="s">
        <v>51</v>
      </c>
      <c r="L12190" s="28" t="s">
        <v>51</v>
      </c>
      <c r="M12190" s="28" t="s">
        <v>51</v>
      </c>
      <c r="N12190" s="28" t="s">
        <v>51</v>
      </c>
    </row>
    <row r="12191" spans="1:14" hidden="1" outlineLevel="1" x14ac:dyDescent="0.15">
      <c r="A12191" s="23" t="str">
        <f>HYPERLINK("https://www.spark-marketing.ru/Card/Person/149806", "МБОУ ""ОСНОВНАЯ ОБЩЕОБРАЗОВАТЕЛЬНАЯ ШКОЛА № 27 ИМ. К.Г. МАКАРОВА"" Г. КАЛУГИ")</f>
        <v>МБОУ "ОСНОВНАЯ ОБЩЕОБРАЗОВАТЕЛЬНАЯ ШКОЛА № 27 ИМ. К.Г. МАКАРОВА" Г. КАЛУГИ</v>
      </c>
      <c r="B12191" s="24" t="s">
        <v>16651</v>
      </c>
      <c r="C12191" s="25">
        <v>1381100</v>
      </c>
      <c r="D12191" s="22" t="s">
        <v>16643</v>
      </c>
      <c r="E12191" s="22" t="s">
        <v>48</v>
      </c>
      <c r="F12191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91" s="22" t="s">
        <v>112</v>
      </c>
      <c r="H12191" s="22" t="s">
        <v>389</v>
      </c>
      <c r="I12191" s="26">
        <v>43664.651388888902</v>
      </c>
      <c r="J12191" s="28" t="s">
        <v>51</v>
      </c>
      <c r="K12191" s="28" t="s">
        <v>51</v>
      </c>
      <c r="L12191" s="28" t="s">
        <v>51</v>
      </c>
      <c r="M12191" s="28" t="s">
        <v>51</v>
      </c>
      <c r="N12191" s="28" t="s">
        <v>51</v>
      </c>
    </row>
    <row r="12192" spans="1:14" hidden="1" outlineLevel="1" x14ac:dyDescent="0.15">
      <c r="A12192" s="23" t="str">
        <f>HYPERLINK("https://www.spark-marketing.ru/Card/Person/150115", "МБОУ ""СРЕДНЯЯ ОБЩЕОБРАЗОВАТЕЛЬНАЯ ШКОЛА № 47"" Г. КАЛУГИ")</f>
        <v>МБОУ "СРЕДНЯЯ ОБЩЕОБРАЗОВАТЕЛЬНАЯ ШКОЛА № 47" Г. КАЛУГИ</v>
      </c>
      <c r="B12192" s="24" t="s">
        <v>16652</v>
      </c>
      <c r="C12192" s="25">
        <v>3009700</v>
      </c>
      <c r="D12192" s="22" t="s">
        <v>16643</v>
      </c>
      <c r="E12192" s="22" t="s">
        <v>48</v>
      </c>
      <c r="F12192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92" s="22" t="s">
        <v>112</v>
      </c>
      <c r="H12192" s="22" t="s">
        <v>389</v>
      </c>
      <c r="I12192" s="26">
        <v>43664.651388888902</v>
      </c>
      <c r="J12192" s="28" t="s">
        <v>51</v>
      </c>
      <c r="K12192" s="28" t="s">
        <v>51</v>
      </c>
      <c r="L12192" s="28" t="s">
        <v>51</v>
      </c>
      <c r="M12192" s="28" t="s">
        <v>51</v>
      </c>
      <c r="N12192" s="28" t="s">
        <v>51</v>
      </c>
    </row>
    <row r="12193" spans="1:14" hidden="1" outlineLevel="1" x14ac:dyDescent="0.15">
      <c r="A12193" s="23" t="str">
        <f>HYPERLINK("https://www.spark-marketing.ru/Card/Person/150555", "МБОУ ""СРЕДНЯЯ ОБЩЕОБРАЗОВАТЕЛЬНАЯ ШКОЛА № 51"" Г. КАЛУГИ")</f>
        <v>МБОУ "СРЕДНЯЯ ОБЩЕОБРАЗОВАТЕЛЬНАЯ ШКОЛА № 51" Г. КАЛУГИ</v>
      </c>
      <c r="B12193" s="24" t="s">
        <v>16653</v>
      </c>
      <c r="C12193" s="25">
        <v>9730550</v>
      </c>
      <c r="D12193" s="22" t="s">
        <v>16643</v>
      </c>
      <c r="E12193" s="22" t="s">
        <v>48</v>
      </c>
      <c r="F12193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93" s="22" t="s">
        <v>112</v>
      </c>
      <c r="H12193" s="22" t="s">
        <v>389</v>
      </c>
      <c r="I12193" s="26">
        <v>43664.651388888902</v>
      </c>
      <c r="J12193" s="28" t="s">
        <v>51</v>
      </c>
      <c r="K12193" s="28" t="s">
        <v>51</v>
      </c>
      <c r="L12193" s="28" t="s">
        <v>51</v>
      </c>
      <c r="M12193" s="28" t="s">
        <v>51</v>
      </c>
      <c r="N12193" s="28" t="s">
        <v>51</v>
      </c>
    </row>
    <row r="12194" spans="1:14" hidden="1" outlineLevel="1" x14ac:dyDescent="0.15">
      <c r="A12194" s="23" t="str">
        <f>HYPERLINK("https://www.spark-marketing.ru/Card/Person/150563", "МБОУ ""СРЕДНЯЯ ОБЩЕОБРАЗОВАТЕЛЬНАЯ ШКОЛА № 43"" Г. КАЛУГИ")</f>
        <v>МБОУ "СРЕДНЯЯ ОБЩЕОБРАЗОВАТЕЛЬНАЯ ШКОЛА № 43" Г. КАЛУГИ</v>
      </c>
      <c r="B12194" s="24" t="s">
        <v>16654</v>
      </c>
      <c r="C12194" s="25">
        <v>2105650</v>
      </c>
      <c r="D12194" s="22" t="s">
        <v>16643</v>
      </c>
      <c r="E12194" s="22" t="s">
        <v>48</v>
      </c>
      <c r="F12194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94" s="22" t="s">
        <v>112</v>
      </c>
      <c r="H12194" s="22" t="s">
        <v>389</v>
      </c>
      <c r="I12194" s="26">
        <v>43664.651388888902</v>
      </c>
      <c r="J12194" s="28" t="s">
        <v>51</v>
      </c>
      <c r="K12194" s="28" t="s">
        <v>51</v>
      </c>
      <c r="L12194" s="28" t="s">
        <v>51</v>
      </c>
      <c r="M12194" s="28" t="s">
        <v>51</v>
      </c>
      <c r="N12194" s="28" t="s">
        <v>51</v>
      </c>
    </row>
    <row r="12195" spans="1:14" hidden="1" outlineLevel="1" x14ac:dyDescent="0.15">
      <c r="A12195" s="23" t="str">
        <f>HYPERLINK("https://www.spark-marketing.ru/Card/Person/150564", "МБОУ ""СРЕДНЯЯ ОБЩЕОБРАЗОВАТЕЛЬНАЯ ШКОЛА № 37"" Г. КАЛУГИ")</f>
        <v>МБОУ "СРЕДНЯЯ ОБЩЕОБРАЗОВАТЕЛЬНАЯ ШКОЛА № 37" Г. КАЛУГИ</v>
      </c>
      <c r="B12195" s="24" t="s">
        <v>16655</v>
      </c>
      <c r="C12195" s="25">
        <v>1897200</v>
      </c>
      <c r="D12195" s="22" t="s">
        <v>16643</v>
      </c>
      <c r="E12195" s="22" t="s">
        <v>48</v>
      </c>
      <c r="F12195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95" s="22" t="s">
        <v>112</v>
      </c>
      <c r="H12195" s="22" t="s">
        <v>389</v>
      </c>
      <c r="I12195" s="26">
        <v>43664.651388888902</v>
      </c>
      <c r="J12195" s="28" t="s">
        <v>51</v>
      </c>
      <c r="K12195" s="28" t="s">
        <v>51</v>
      </c>
      <c r="L12195" s="28" t="s">
        <v>51</v>
      </c>
      <c r="M12195" s="28" t="s">
        <v>51</v>
      </c>
      <c r="N12195" s="28" t="s">
        <v>51</v>
      </c>
    </row>
    <row r="12196" spans="1:14" hidden="1" outlineLevel="1" x14ac:dyDescent="0.15">
      <c r="A12196" s="23" t="str">
        <f>HYPERLINK("https://www.spark-marketing.ru/Card/Person/150565", "МБОУ ""СРЕДНЯЯ ОБЩЕОБРАЗОВАТЕЛЬНАЯ ШКОЛА № 26"" Г. КАЛУГИ")</f>
        <v>МБОУ "СРЕДНЯЯ ОБЩЕОБРАЗОВАТЕЛЬНАЯ ШКОЛА № 26" Г. КАЛУГИ</v>
      </c>
      <c r="B12196" s="24" t="s">
        <v>16656</v>
      </c>
      <c r="C12196" s="25">
        <v>6877500</v>
      </c>
      <c r="D12196" s="22" t="s">
        <v>16643</v>
      </c>
      <c r="E12196" s="22" t="s">
        <v>48</v>
      </c>
      <c r="F12196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96" s="22" t="s">
        <v>112</v>
      </c>
      <c r="H12196" s="22" t="s">
        <v>389</v>
      </c>
      <c r="I12196" s="26">
        <v>43664.651388888902</v>
      </c>
      <c r="J12196" s="28" t="s">
        <v>51</v>
      </c>
      <c r="K12196" s="28" t="s">
        <v>51</v>
      </c>
      <c r="L12196" s="28" t="s">
        <v>51</v>
      </c>
      <c r="M12196" s="28" t="s">
        <v>51</v>
      </c>
      <c r="N12196" s="28" t="s">
        <v>51</v>
      </c>
    </row>
    <row r="12197" spans="1:14" hidden="1" outlineLevel="1" x14ac:dyDescent="0.15">
      <c r="A12197" s="23" t="str">
        <f>HYPERLINK("https://www.spark-marketing.ru/Card/Person/233130", "МБОУ № 17 ""НАЧАЛЬНАЯ ШКОЛА - ДЕТСКИЙ САД"" Г. КАЛУГИ")</f>
        <v>МБОУ № 17 "НАЧАЛЬНАЯ ШКОЛА - ДЕТСКИЙ САД" Г. КАЛУГИ</v>
      </c>
      <c r="B12197" s="24" t="s">
        <v>16657</v>
      </c>
      <c r="C12197" s="25">
        <v>1630200</v>
      </c>
      <c r="D12197" s="22" t="s">
        <v>16643</v>
      </c>
      <c r="E12197" s="22" t="s">
        <v>48</v>
      </c>
      <c r="F12197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97" s="22" t="s">
        <v>112</v>
      </c>
      <c r="H12197" s="22" t="s">
        <v>389</v>
      </c>
      <c r="I12197" s="26">
        <v>43664.651388888902</v>
      </c>
      <c r="J12197" s="28" t="s">
        <v>51</v>
      </c>
      <c r="K12197" s="28" t="s">
        <v>51</v>
      </c>
      <c r="L12197" s="28" t="s">
        <v>51</v>
      </c>
      <c r="M12197" s="28" t="s">
        <v>51</v>
      </c>
      <c r="N12197" s="28" t="s">
        <v>51</v>
      </c>
    </row>
    <row r="12198" spans="1:14" hidden="1" outlineLevel="1" x14ac:dyDescent="0.15">
      <c r="A12198" s="23" t="str">
        <f>HYPERLINK("https://www.spark-marketing.ru/Card/Person/237156", "МБОУ ""СРЕДНЯЯ ОБЩЕОБРАЗОВАТЕЛЬНАЯ ШКОЛА № 30"" Г. КАЛУГИ")</f>
        <v>МБОУ "СРЕДНЯЯ ОБЩЕОБРАЗОВАТЕЛЬНАЯ ШКОЛА № 30" Г. КАЛУГИ</v>
      </c>
      <c r="B12198" s="24" t="s">
        <v>16658</v>
      </c>
      <c r="C12198" s="25">
        <v>7434700</v>
      </c>
      <c r="D12198" s="22" t="s">
        <v>16643</v>
      </c>
      <c r="E12198" s="22" t="s">
        <v>48</v>
      </c>
      <c r="F12198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98" s="22" t="s">
        <v>112</v>
      </c>
      <c r="H12198" s="22" t="s">
        <v>389</v>
      </c>
      <c r="I12198" s="26">
        <v>43664.651388888902</v>
      </c>
      <c r="J12198" s="28" t="s">
        <v>51</v>
      </c>
      <c r="K12198" s="28" t="s">
        <v>51</v>
      </c>
      <c r="L12198" s="28" t="s">
        <v>51</v>
      </c>
      <c r="M12198" s="28" t="s">
        <v>51</v>
      </c>
      <c r="N12198" s="28" t="s">
        <v>51</v>
      </c>
    </row>
    <row r="12199" spans="1:14" hidden="1" outlineLevel="1" x14ac:dyDescent="0.15">
      <c r="A12199" s="23" t="str">
        <f>HYPERLINK("https://www.spark-marketing.ru/Card/Person/237165", "МБОУ ""СРЕДНЯЯ ОБЩЕОБРАЗОВАТЕЛЬНАЯ ШКОЛА № 25"" Г. КАЛУГИ")</f>
        <v>МБОУ "СРЕДНЯЯ ОБЩЕОБРАЗОВАТЕЛЬНАЯ ШКОЛА № 25" Г. КАЛУГИ</v>
      </c>
      <c r="B12199" s="24" t="s">
        <v>16659</v>
      </c>
      <c r="C12199" s="25">
        <v>6713000</v>
      </c>
      <c r="D12199" s="22" t="s">
        <v>16643</v>
      </c>
      <c r="E12199" s="22" t="s">
        <v>48</v>
      </c>
      <c r="F12199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199" s="22" t="s">
        <v>112</v>
      </c>
      <c r="H12199" s="22" t="s">
        <v>389</v>
      </c>
      <c r="I12199" s="26">
        <v>43664.651388888902</v>
      </c>
      <c r="J12199" s="28" t="s">
        <v>51</v>
      </c>
      <c r="K12199" s="28" t="s">
        <v>51</v>
      </c>
      <c r="L12199" s="28" t="s">
        <v>51</v>
      </c>
      <c r="M12199" s="28" t="s">
        <v>51</v>
      </c>
      <c r="N12199" s="28" t="s">
        <v>51</v>
      </c>
    </row>
    <row r="12200" spans="1:14" hidden="1" outlineLevel="1" x14ac:dyDescent="0.15">
      <c r="A12200" s="23" t="str">
        <f>HYPERLINK("https://www.spark-marketing.ru/Card/Person/237167", "МБОУ ""СРЕДНЯЯ ОБЩЕОБРАЗОВАТЕЛЬНАЯ ШКОЛА № 16"" Г. КАЛУГИ")</f>
        <v>МБОУ "СРЕДНЯЯ ОБЩЕОБРАЗОВАТЕЛЬНАЯ ШКОЛА № 16" Г. КАЛУГИ</v>
      </c>
      <c r="B12200" s="24" t="s">
        <v>16660</v>
      </c>
      <c r="C12200" s="25">
        <v>6207300</v>
      </c>
      <c r="D12200" s="22" t="s">
        <v>16643</v>
      </c>
      <c r="E12200" s="22" t="s">
        <v>48</v>
      </c>
      <c r="F12200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00" s="22" t="s">
        <v>112</v>
      </c>
      <c r="H12200" s="22" t="s">
        <v>389</v>
      </c>
      <c r="I12200" s="26">
        <v>43664.651388888902</v>
      </c>
      <c r="J12200" s="28" t="s">
        <v>51</v>
      </c>
      <c r="K12200" s="28" t="s">
        <v>51</v>
      </c>
      <c r="L12200" s="28" t="s">
        <v>51</v>
      </c>
      <c r="M12200" s="28" t="s">
        <v>51</v>
      </c>
      <c r="N12200" s="28" t="s">
        <v>51</v>
      </c>
    </row>
    <row r="12201" spans="1:14" hidden="1" outlineLevel="1" x14ac:dyDescent="0.15">
      <c r="A12201" s="23" t="str">
        <f>HYPERLINK("https://www.spark-marketing.ru/Card/Person/237193", "МБОУ ""ЛИЦЕЙ № 48"" Г. КАЛУГИ")</f>
        <v>МБОУ "ЛИЦЕЙ № 48" Г. КАЛУГИ</v>
      </c>
      <c r="B12201" s="24" t="s">
        <v>16661</v>
      </c>
      <c r="C12201" s="25">
        <v>9629850</v>
      </c>
      <c r="D12201" s="22" t="s">
        <v>16643</v>
      </c>
      <c r="E12201" s="22" t="s">
        <v>48</v>
      </c>
      <c r="F12201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01" s="22" t="s">
        <v>112</v>
      </c>
      <c r="H12201" s="22" t="s">
        <v>389</v>
      </c>
      <c r="I12201" s="26">
        <v>43664.651388888902</v>
      </c>
      <c r="J12201" s="28" t="s">
        <v>51</v>
      </c>
      <c r="K12201" s="28" t="s">
        <v>51</v>
      </c>
      <c r="L12201" s="28" t="s">
        <v>51</v>
      </c>
      <c r="M12201" s="28" t="s">
        <v>51</v>
      </c>
      <c r="N12201" s="28" t="s">
        <v>51</v>
      </c>
    </row>
    <row r="12202" spans="1:14" hidden="1" outlineLevel="1" x14ac:dyDescent="0.15">
      <c r="A12202" s="23" t="str">
        <f>HYPERLINK("https://www.spark-marketing.ru/Card/Person/237196", "МБОУ ""СРЕДНЯЯ ОБЩЕОБРАЗОВАТЕЛЬНАЯ ШКОЛА № 1"" Г. КАЛУГИ")</f>
        <v>МБОУ "СРЕДНЯЯ ОБЩЕОБРАЗОВАТЕЛЬНАЯ ШКОЛА № 1" Г. КАЛУГИ</v>
      </c>
      <c r="B12202" s="24" t="s">
        <v>16662</v>
      </c>
      <c r="C12202" s="25">
        <v>6396250</v>
      </c>
      <c r="D12202" s="22" t="s">
        <v>16643</v>
      </c>
      <c r="E12202" s="22" t="s">
        <v>48</v>
      </c>
      <c r="F12202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02" s="22" t="s">
        <v>112</v>
      </c>
      <c r="H12202" s="22" t="s">
        <v>389</v>
      </c>
      <c r="I12202" s="26">
        <v>43664.651388888902</v>
      </c>
      <c r="J12202" s="28" t="s">
        <v>51</v>
      </c>
      <c r="K12202" s="28" t="s">
        <v>51</v>
      </c>
      <c r="L12202" s="28" t="s">
        <v>51</v>
      </c>
      <c r="M12202" s="28" t="s">
        <v>51</v>
      </c>
      <c r="N12202" s="28" t="s">
        <v>51</v>
      </c>
    </row>
    <row r="12203" spans="1:14" hidden="1" outlineLevel="1" x14ac:dyDescent="0.15">
      <c r="A12203" s="28" t="s">
        <v>51</v>
      </c>
      <c r="B12203" s="28" t="s">
        <v>51</v>
      </c>
      <c r="C12203" s="28" t="s">
        <v>51</v>
      </c>
      <c r="D12203" s="22" t="s">
        <v>16643</v>
      </c>
      <c r="E12203" s="22" t="s">
        <v>48</v>
      </c>
      <c r="F12203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03" s="22" t="s">
        <v>51</v>
      </c>
      <c r="H12203" s="22" t="s">
        <v>51</v>
      </c>
      <c r="I12203" s="26">
        <v>43664.651388888902</v>
      </c>
      <c r="J12203" s="23" t="str">
        <f>HYPERLINK("https://www.spark-marketing.ru/Card/Person/91324", "ООО ""КАЛУЖСКИЙ КОМБИНАТ ШКОЛЬНОГО ПИТАНИЯ""")</f>
        <v>ООО "КАЛУЖСКИЙ КОМБИНАТ ШКОЛЬНОГО ПИТАНИЯ"</v>
      </c>
      <c r="K12203" s="24" t="s">
        <v>14829</v>
      </c>
      <c r="L12203" s="28" t="s">
        <v>51</v>
      </c>
      <c r="M12203" s="28" t="s">
        <v>51</v>
      </c>
      <c r="N12203" s="28" t="s">
        <v>51</v>
      </c>
    </row>
    <row r="12204" spans="1:14" hidden="1" outlineLevel="1" x14ac:dyDescent="0.2">
      <c r="A12204" s="28" t="s">
        <v>51</v>
      </c>
      <c r="B12204" s="28" t="s">
        <v>51</v>
      </c>
      <c r="C12204" s="28" t="s">
        <v>51</v>
      </c>
      <c r="D12204" s="22" t="s">
        <v>16643</v>
      </c>
      <c r="E12204" s="22" t="s">
        <v>48</v>
      </c>
      <c r="F12204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04" s="22" t="s">
        <v>51</v>
      </c>
      <c r="H12204" s="22" t="s">
        <v>51</v>
      </c>
      <c r="I12204" s="26">
        <v>43664.651388888902</v>
      </c>
      <c r="J12204" s="23" t="str">
        <f>HYPERLINK("https://www.spark-marketing.ru/Card/Person/81010", "ООО ""ТД СПП""")</f>
        <v>ООО "ТД СПП"</v>
      </c>
      <c r="K12204" s="24" t="s">
        <v>7782</v>
      </c>
      <c r="L12204" s="28" t="s">
        <v>51</v>
      </c>
      <c r="M12204" s="25">
        <v>116026967.5</v>
      </c>
      <c r="N12204" s="27">
        <v>0.05</v>
      </c>
    </row>
    <row r="12205" spans="1:14" hidden="1" outlineLevel="1" x14ac:dyDescent="0.15">
      <c r="A12205" s="28" t="s">
        <v>51</v>
      </c>
      <c r="B12205" s="28" t="s">
        <v>51</v>
      </c>
      <c r="C12205" s="28" t="s">
        <v>51</v>
      </c>
      <c r="D12205" s="22" t="s">
        <v>16643</v>
      </c>
      <c r="E12205" s="22" t="s">
        <v>48</v>
      </c>
      <c r="F12205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05" s="22" t="s">
        <v>51</v>
      </c>
      <c r="H12205" s="22" t="s">
        <v>51</v>
      </c>
      <c r="I12205" s="26">
        <v>43664.651388888902</v>
      </c>
      <c r="J12205" s="23" t="str">
        <f>HYPERLINK("https://www.spark-marketing.ru/Card/Person/4349291", "Сарычева Татьяна Семеновна")</f>
        <v>Сарычева Татьяна Семеновна</v>
      </c>
      <c r="K12205" s="24" t="s">
        <v>16663</v>
      </c>
      <c r="L12205" s="28" t="s">
        <v>51</v>
      </c>
      <c r="M12205" s="28" t="s">
        <v>51</v>
      </c>
      <c r="N12205" s="28" t="s">
        <v>51</v>
      </c>
    </row>
    <row r="12206" spans="1:14" hidden="1" outlineLevel="1" x14ac:dyDescent="0.15">
      <c r="A12206" s="28" t="s">
        <v>51</v>
      </c>
      <c r="B12206" s="28" t="s">
        <v>51</v>
      </c>
      <c r="C12206" s="28" t="s">
        <v>51</v>
      </c>
      <c r="D12206" s="22" t="s">
        <v>16643</v>
      </c>
      <c r="E12206" s="22" t="s">
        <v>48</v>
      </c>
      <c r="F12206" s="23" t="str">
        <f t="shared" si="371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06" s="22" t="s">
        <v>51</v>
      </c>
      <c r="H12206" s="22" t="s">
        <v>51</v>
      </c>
      <c r="I12206" s="26">
        <v>43664.651388888902</v>
      </c>
      <c r="J12206" s="23" t="str">
        <f>HYPERLINK("https://www.spark-marketing.ru/Card/Person/54026", "ООО ""КПК""")</f>
        <v>ООО "КПК"</v>
      </c>
      <c r="K12206" s="24" t="s">
        <v>7348</v>
      </c>
      <c r="L12206" s="28" t="s">
        <v>51</v>
      </c>
      <c r="M12206" s="28" t="s">
        <v>51</v>
      </c>
      <c r="N12206" s="28" t="s">
        <v>51</v>
      </c>
    </row>
    <row r="12207" spans="1:14" collapsed="1" x14ac:dyDescent="0.15">
      <c r="A12207" s="23" t="s">
        <v>114</v>
      </c>
      <c r="B12207" s="28" t="s">
        <v>51</v>
      </c>
      <c r="C12207" s="25">
        <v>117732500</v>
      </c>
      <c r="D12207" s="22" t="s">
        <v>16664</v>
      </c>
      <c r="E12207" s="22" t="s">
        <v>48</v>
      </c>
      <c r="F12207" s="23" t="str">
        <f t="shared" ref="F12207:F12222" si="372">HYPERLINK("https://www.spark-marketing.ru/Card/Lot/72191779", "Оказание услуг по организации централизованного питания обучающихся муниципальных бюджетных общеобразовательных учреждений МО «Город Калуга»")</f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07" s="22" t="s">
        <v>51</v>
      </c>
      <c r="H12207" s="22" t="s">
        <v>51</v>
      </c>
      <c r="I12207" s="26">
        <v>43664.651388888902</v>
      </c>
      <c r="J12207" s="28" t="s">
        <v>51</v>
      </c>
      <c r="K12207" s="28" t="s">
        <v>51</v>
      </c>
      <c r="L12207" s="28" t="s">
        <v>51</v>
      </c>
      <c r="M12207" s="28" t="s">
        <v>51</v>
      </c>
      <c r="N12207" s="28" t="s">
        <v>51</v>
      </c>
    </row>
    <row r="12208" spans="1:14" hidden="1" outlineLevel="1" x14ac:dyDescent="0.15">
      <c r="A12208" s="23" t="str">
        <f>HYPERLINK("https://www.spark-marketing.ru/Card/Person/72412", "МБОУ ""СРЕДНЯЯ ОБЩЕОБРАЗОВАТЕЛЬНАЯ ШКОЛА № 45"" Г. КАЛУГИ")</f>
        <v>МБОУ "СРЕДНЯЯ ОБЩЕОБРАЗОВАТЕЛЬНАЯ ШКОЛА № 45" Г. КАЛУГИ</v>
      </c>
      <c r="B12208" s="24" t="s">
        <v>16665</v>
      </c>
      <c r="C12208" s="25">
        <v>27460150</v>
      </c>
      <c r="D12208" s="22" t="s">
        <v>16664</v>
      </c>
      <c r="E12208" s="22" t="s">
        <v>48</v>
      </c>
      <c r="F12208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08" s="22" t="s">
        <v>112</v>
      </c>
      <c r="H12208" s="22" t="s">
        <v>389</v>
      </c>
      <c r="I12208" s="26">
        <v>43664.651388888902</v>
      </c>
      <c r="J12208" s="28" t="s">
        <v>51</v>
      </c>
      <c r="K12208" s="28" t="s">
        <v>51</v>
      </c>
      <c r="L12208" s="28" t="s">
        <v>51</v>
      </c>
      <c r="M12208" s="28" t="s">
        <v>51</v>
      </c>
      <c r="N12208" s="28" t="s">
        <v>51</v>
      </c>
    </row>
    <row r="12209" spans="1:14" hidden="1" outlineLevel="1" x14ac:dyDescent="0.15">
      <c r="A12209" s="23" t="str">
        <f>HYPERLINK("https://www.spark-marketing.ru/Card/Person/147845", "МБОУ ""СРЕДНЯЯ ОБЩЕОБРАЗОВАТЕЛЬНАЯ ШКОЛА № 18"" Г. КАЛУГИ")</f>
        <v>МБОУ "СРЕДНЯЯ ОБЩЕОБРАЗОВАТЕЛЬНАЯ ШКОЛА № 18" Г. КАЛУГИ</v>
      </c>
      <c r="B12209" s="24" t="s">
        <v>16666</v>
      </c>
      <c r="C12209" s="25">
        <v>6660200</v>
      </c>
      <c r="D12209" s="22" t="s">
        <v>16664</v>
      </c>
      <c r="E12209" s="22" t="s">
        <v>48</v>
      </c>
      <c r="F12209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09" s="22" t="s">
        <v>112</v>
      </c>
      <c r="H12209" s="22" t="s">
        <v>389</v>
      </c>
      <c r="I12209" s="26">
        <v>43664.651388888902</v>
      </c>
      <c r="J12209" s="28" t="s">
        <v>51</v>
      </c>
      <c r="K12209" s="28" t="s">
        <v>51</v>
      </c>
      <c r="L12209" s="28" t="s">
        <v>51</v>
      </c>
      <c r="M12209" s="28" t="s">
        <v>51</v>
      </c>
      <c r="N12209" s="28" t="s">
        <v>51</v>
      </c>
    </row>
    <row r="12210" spans="1:14" hidden="1" outlineLevel="1" x14ac:dyDescent="0.15">
      <c r="A12210" s="23" t="str">
        <f>HYPERLINK("https://www.spark-marketing.ru/Card/Person/147980", "МБОУ ""СРЕДНЯЯ ОБЩЕОБРАЗОВАТЕЛЬНАЯ ШКОЛА № 23"" Г. КАЛУГИ")</f>
        <v>МБОУ "СРЕДНЯЯ ОБЩЕОБРАЗОВАТЕЛЬНАЯ ШКОЛА № 23" Г. КАЛУГИ</v>
      </c>
      <c r="B12210" s="24" t="s">
        <v>16667</v>
      </c>
      <c r="C12210" s="25">
        <v>10018300</v>
      </c>
      <c r="D12210" s="22" t="s">
        <v>16664</v>
      </c>
      <c r="E12210" s="22" t="s">
        <v>48</v>
      </c>
      <c r="F12210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10" s="22" t="s">
        <v>112</v>
      </c>
      <c r="H12210" s="22" t="s">
        <v>389</v>
      </c>
      <c r="I12210" s="26">
        <v>43664.651388888902</v>
      </c>
      <c r="J12210" s="28" t="s">
        <v>51</v>
      </c>
      <c r="K12210" s="28" t="s">
        <v>51</v>
      </c>
      <c r="L12210" s="28" t="s">
        <v>51</v>
      </c>
      <c r="M12210" s="28" t="s">
        <v>51</v>
      </c>
      <c r="N12210" s="28" t="s">
        <v>51</v>
      </c>
    </row>
    <row r="12211" spans="1:14" hidden="1" outlineLevel="1" x14ac:dyDescent="0.15">
      <c r="A12211" s="23" t="str">
        <f>HYPERLINK("https://www.spark-marketing.ru/Card/Person/148932", "МБОУ ""СРЕДНЯЯ ОБЩЕОБРАЗОВАТЕЛЬНАЯ ШКОЛА № 50"" Г. КАЛУГИ")</f>
        <v>МБОУ "СРЕДНЯЯ ОБЩЕОБРАЗОВАТЕЛЬНАЯ ШКОЛА № 50" Г. КАЛУГИ</v>
      </c>
      <c r="B12211" s="24" t="s">
        <v>16668</v>
      </c>
      <c r="C12211" s="25">
        <v>13879150</v>
      </c>
      <c r="D12211" s="22" t="s">
        <v>16664</v>
      </c>
      <c r="E12211" s="22" t="s">
        <v>48</v>
      </c>
      <c r="F12211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11" s="22" t="s">
        <v>112</v>
      </c>
      <c r="H12211" s="22" t="s">
        <v>389</v>
      </c>
      <c r="I12211" s="26">
        <v>43664.651388888902</v>
      </c>
      <c r="J12211" s="28" t="s">
        <v>51</v>
      </c>
      <c r="K12211" s="28" t="s">
        <v>51</v>
      </c>
      <c r="L12211" s="28" t="s">
        <v>51</v>
      </c>
      <c r="M12211" s="28" t="s">
        <v>51</v>
      </c>
      <c r="N12211" s="28" t="s">
        <v>51</v>
      </c>
    </row>
    <row r="12212" spans="1:14" hidden="1" outlineLevel="1" x14ac:dyDescent="0.15">
      <c r="A12212" s="23" t="str">
        <f>HYPERLINK("https://www.spark-marketing.ru/Card/Person/149196", "МБОУ ""СРЕДНЯЯ ОБЩЕОБРАЗОВАТЕЛЬНАЯ ШКОЛА № 33"" Г. КАЛУГИ")</f>
        <v>МБОУ "СРЕДНЯЯ ОБЩЕОБРАЗОВАТЕЛЬНАЯ ШКОЛА № 33" Г. КАЛУГИ</v>
      </c>
      <c r="B12212" s="24" t="s">
        <v>16669</v>
      </c>
      <c r="C12212" s="25">
        <v>4033200</v>
      </c>
      <c r="D12212" s="22" t="s">
        <v>16664</v>
      </c>
      <c r="E12212" s="22" t="s">
        <v>48</v>
      </c>
      <c r="F12212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12" s="22" t="s">
        <v>112</v>
      </c>
      <c r="H12212" s="22" t="s">
        <v>389</v>
      </c>
      <c r="I12212" s="26">
        <v>43664.651388888902</v>
      </c>
      <c r="J12212" s="28" t="s">
        <v>51</v>
      </c>
      <c r="K12212" s="28" t="s">
        <v>51</v>
      </c>
      <c r="L12212" s="28" t="s">
        <v>51</v>
      </c>
      <c r="M12212" s="28" t="s">
        <v>51</v>
      </c>
      <c r="N12212" s="28" t="s">
        <v>51</v>
      </c>
    </row>
    <row r="12213" spans="1:14" hidden="1" outlineLevel="1" x14ac:dyDescent="0.15">
      <c r="A12213" s="23" t="str">
        <f>HYPERLINK("https://www.spark-marketing.ru/Card/Person/149304", "МБОУ ""СРЕДНЯЯ ОБЩЕОБРАЗОВАТЕЛЬНАЯ ШКОЛА № 44"" Г. КАЛУГИ")</f>
        <v>МБОУ "СРЕДНЯЯ ОБЩЕОБРАЗОВАТЕЛЬНАЯ ШКОЛА № 44" Г. КАЛУГИ</v>
      </c>
      <c r="B12213" s="24" t="s">
        <v>16670</v>
      </c>
      <c r="C12213" s="25">
        <v>9747500</v>
      </c>
      <c r="D12213" s="22" t="s">
        <v>16664</v>
      </c>
      <c r="E12213" s="22" t="s">
        <v>48</v>
      </c>
      <c r="F12213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13" s="22" t="s">
        <v>112</v>
      </c>
      <c r="H12213" s="22" t="s">
        <v>389</v>
      </c>
      <c r="I12213" s="26">
        <v>43664.651388888902</v>
      </c>
      <c r="J12213" s="28" t="s">
        <v>51</v>
      </c>
      <c r="K12213" s="28" t="s">
        <v>51</v>
      </c>
      <c r="L12213" s="28" t="s">
        <v>51</v>
      </c>
      <c r="M12213" s="28" t="s">
        <v>51</v>
      </c>
      <c r="N12213" s="28" t="s">
        <v>51</v>
      </c>
    </row>
    <row r="12214" spans="1:14" hidden="1" outlineLevel="1" x14ac:dyDescent="0.15">
      <c r="A12214" s="23" t="str">
        <f>HYPERLINK("https://www.spark-marketing.ru/Card/Person/149320", "МБОУ ""ЛИЦЕЙ № 9 ИМЕНИ К.Э.ЦИОЛКОВСКОГО"" Г.КАЛУГИ")</f>
        <v>МБОУ "ЛИЦЕЙ № 9 ИМЕНИ К.Э.ЦИОЛКОВСКОГО" Г.КАЛУГИ</v>
      </c>
      <c r="B12214" s="24" t="s">
        <v>16671</v>
      </c>
      <c r="C12214" s="25">
        <v>5250950</v>
      </c>
      <c r="D12214" s="22" t="s">
        <v>16664</v>
      </c>
      <c r="E12214" s="22" t="s">
        <v>48</v>
      </c>
      <c r="F12214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14" s="22" t="s">
        <v>112</v>
      </c>
      <c r="H12214" s="22" t="s">
        <v>389</v>
      </c>
      <c r="I12214" s="26">
        <v>43664.651388888902</v>
      </c>
      <c r="J12214" s="28" t="s">
        <v>51</v>
      </c>
      <c r="K12214" s="28" t="s">
        <v>51</v>
      </c>
      <c r="L12214" s="28" t="s">
        <v>51</v>
      </c>
      <c r="M12214" s="28" t="s">
        <v>51</v>
      </c>
      <c r="N12214" s="28" t="s">
        <v>51</v>
      </c>
    </row>
    <row r="12215" spans="1:14" hidden="1" outlineLevel="1" x14ac:dyDescent="0.15">
      <c r="A12215" s="23" t="str">
        <f>HYPERLINK("https://www.spark-marketing.ru/Card/Person/150622", "МБОУ ""СРЕДНЯЯ ОБЩЕОБРАЗОВАТЕЛЬНАЯ ШКОЛА № 5"" Г. КАЛУГИ")</f>
        <v>МБОУ "СРЕДНЯЯ ОБЩЕОБРАЗОВАТЕЛЬНАЯ ШКОЛА № 5" Г. КАЛУГИ</v>
      </c>
      <c r="B12215" s="24" t="s">
        <v>16672</v>
      </c>
      <c r="C12215" s="25">
        <v>5788600</v>
      </c>
      <c r="D12215" s="22" t="s">
        <v>16664</v>
      </c>
      <c r="E12215" s="22" t="s">
        <v>48</v>
      </c>
      <c r="F12215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15" s="22" t="s">
        <v>112</v>
      </c>
      <c r="H12215" s="22" t="s">
        <v>389</v>
      </c>
      <c r="I12215" s="26">
        <v>43664.651388888902</v>
      </c>
      <c r="J12215" s="28" t="s">
        <v>51</v>
      </c>
      <c r="K12215" s="28" t="s">
        <v>51</v>
      </c>
      <c r="L12215" s="28" t="s">
        <v>51</v>
      </c>
      <c r="M12215" s="28" t="s">
        <v>51</v>
      </c>
      <c r="N12215" s="28" t="s">
        <v>51</v>
      </c>
    </row>
    <row r="12216" spans="1:14" hidden="1" outlineLevel="1" x14ac:dyDescent="0.15">
      <c r="A12216" s="23" t="str">
        <f>HYPERLINK("https://www.spark-marketing.ru/Card/Person/150630", "МБОУ ""СРЕДНЯЯ ОБЩЕОБРАЗОВАТЕЛЬНАЯ ШКОЛА № 3 ИМ. Г.В. ЗИМИНА"" Г. КАЛУГИ")</f>
        <v>МБОУ "СРЕДНЯЯ ОБЩЕОБРАЗОВАТЕЛЬНАЯ ШКОЛА № 3 ИМ. Г.В. ЗИМИНА" Г. КАЛУГИ</v>
      </c>
      <c r="B12216" s="24" t="s">
        <v>16673</v>
      </c>
      <c r="C12216" s="25">
        <v>6339600</v>
      </c>
      <c r="D12216" s="22" t="s">
        <v>16664</v>
      </c>
      <c r="E12216" s="22" t="s">
        <v>48</v>
      </c>
      <c r="F12216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16" s="22" t="s">
        <v>112</v>
      </c>
      <c r="H12216" s="22" t="s">
        <v>389</v>
      </c>
      <c r="I12216" s="26">
        <v>43664.651388888902</v>
      </c>
      <c r="J12216" s="28" t="s">
        <v>51</v>
      </c>
      <c r="K12216" s="28" t="s">
        <v>51</v>
      </c>
      <c r="L12216" s="28" t="s">
        <v>51</v>
      </c>
      <c r="M12216" s="28" t="s">
        <v>51</v>
      </c>
      <c r="N12216" s="28" t="s">
        <v>51</v>
      </c>
    </row>
    <row r="12217" spans="1:14" hidden="1" outlineLevel="1" x14ac:dyDescent="0.15">
      <c r="A12217" s="23" t="str">
        <f>HYPERLINK("https://www.spark-marketing.ru/Card/Person/237135", "МБОУ ""СРЕДНЯЯ ОБЩЕОБРАЗОВАТЕЛЬНАЯ ШКОЛА №6 ИМЕНИ А.С. ПУШКИНА"" Г. КАЛУГИ")</f>
        <v>МБОУ "СРЕДНЯЯ ОБЩЕОБРАЗОВАТЕЛЬНАЯ ШКОЛА №6 ИМЕНИ А.С. ПУШКИНА" Г. КАЛУГИ</v>
      </c>
      <c r="B12217" s="24" t="s">
        <v>16674</v>
      </c>
      <c r="C12217" s="25">
        <v>19997950</v>
      </c>
      <c r="D12217" s="22" t="s">
        <v>16664</v>
      </c>
      <c r="E12217" s="22" t="s">
        <v>48</v>
      </c>
      <c r="F12217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17" s="22" t="s">
        <v>112</v>
      </c>
      <c r="H12217" s="22" t="s">
        <v>389</v>
      </c>
      <c r="I12217" s="26">
        <v>43664.651388888902</v>
      </c>
      <c r="J12217" s="28" t="s">
        <v>51</v>
      </c>
      <c r="K12217" s="28" t="s">
        <v>51</v>
      </c>
      <c r="L12217" s="28" t="s">
        <v>51</v>
      </c>
      <c r="M12217" s="28" t="s">
        <v>51</v>
      </c>
      <c r="N12217" s="28" t="s">
        <v>51</v>
      </c>
    </row>
    <row r="12218" spans="1:14" hidden="1" outlineLevel="1" x14ac:dyDescent="0.15">
      <c r="A12218" s="23" t="str">
        <f>HYPERLINK("https://www.spark-marketing.ru/Card/Person/237194", "МБОУ ""СРЕДНЯЯ ОБЩЕОБРАЗОВАТЕЛЬНАЯ ШКОЛА № 8"" Г. КАЛУГИ")</f>
        <v>МБОУ "СРЕДНЯЯ ОБЩЕОБРАЗОВАТЕЛЬНАЯ ШКОЛА № 8" Г. КАЛУГИ</v>
      </c>
      <c r="B12218" s="24" t="s">
        <v>16675</v>
      </c>
      <c r="C12218" s="25">
        <v>4439150</v>
      </c>
      <c r="D12218" s="22" t="s">
        <v>16664</v>
      </c>
      <c r="E12218" s="22" t="s">
        <v>48</v>
      </c>
      <c r="F12218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18" s="22" t="s">
        <v>112</v>
      </c>
      <c r="H12218" s="22" t="s">
        <v>389</v>
      </c>
      <c r="I12218" s="26">
        <v>43664.651388888902</v>
      </c>
      <c r="J12218" s="28" t="s">
        <v>51</v>
      </c>
      <c r="K12218" s="28" t="s">
        <v>51</v>
      </c>
      <c r="L12218" s="28" t="s">
        <v>51</v>
      </c>
      <c r="M12218" s="28" t="s">
        <v>51</v>
      </c>
      <c r="N12218" s="28" t="s">
        <v>51</v>
      </c>
    </row>
    <row r="12219" spans="1:14" hidden="1" outlineLevel="1" x14ac:dyDescent="0.15">
      <c r="A12219" s="23" t="str">
        <f>HYPERLINK("https://www.spark-marketing.ru/Card/Person/243585", "МБОУ ""СРЕДНЯЯ ОБЩЕОБРАЗОВАТЕЛЬНАЯ ШКОЛА № 28 ИМ. П.В. РЫЖЕНКО"" Г. КАЛУГИ")</f>
        <v>МБОУ "СРЕДНЯЯ ОБЩЕОБРАЗОВАТЕЛЬНАЯ ШКОЛА № 28 ИМ. П.В. РЫЖЕНКО" Г. КАЛУГИ</v>
      </c>
      <c r="B12219" s="24" t="s">
        <v>16676</v>
      </c>
      <c r="C12219" s="25">
        <v>4117750</v>
      </c>
      <c r="D12219" s="22" t="s">
        <v>16664</v>
      </c>
      <c r="E12219" s="22" t="s">
        <v>48</v>
      </c>
      <c r="F12219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19" s="22" t="s">
        <v>112</v>
      </c>
      <c r="H12219" s="22" t="s">
        <v>389</v>
      </c>
      <c r="I12219" s="26">
        <v>43664.651388888902</v>
      </c>
      <c r="J12219" s="28" t="s">
        <v>51</v>
      </c>
      <c r="K12219" s="28" t="s">
        <v>51</v>
      </c>
      <c r="L12219" s="28" t="s">
        <v>51</v>
      </c>
      <c r="M12219" s="28" t="s">
        <v>51</v>
      </c>
      <c r="N12219" s="28" t="s">
        <v>51</v>
      </c>
    </row>
    <row r="12220" spans="1:14" hidden="1" outlineLevel="1" x14ac:dyDescent="0.15">
      <c r="A12220" s="28" t="s">
        <v>51</v>
      </c>
      <c r="B12220" s="28" t="s">
        <v>51</v>
      </c>
      <c r="C12220" s="28" t="s">
        <v>51</v>
      </c>
      <c r="D12220" s="22" t="s">
        <v>16664</v>
      </c>
      <c r="E12220" s="22" t="s">
        <v>48</v>
      </c>
      <c r="F12220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20" s="22" t="s">
        <v>51</v>
      </c>
      <c r="H12220" s="22" t="s">
        <v>51</v>
      </c>
      <c r="I12220" s="26">
        <v>43664.651388888902</v>
      </c>
      <c r="J12220" s="23" t="str">
        <f>HYPERLINK("https://www.spark-marketing.ru/Card/Person/91324", "ООО ""КАЛУЖСКИЙ КОМБИНАТ ШКОЛЬНОГО ПИТАНИЯ""")</f>
        <v>ООО "КАЛУЖСКИЙ КОМБИНАТ ШКОЛЬНОГО ПИТАНИЯ"</v>
      </c>
      <c r="K12220" s="24" t="s">
        <v>14829</v>
      </c>
      <c r="L12220" s="28" t="s">
        <v>51</v>
      </c>
      <c r="M12220" s="28" t="s">
        <v>51</v>
      </c>
      <c r="N12220" s="28" t="s">
        <v>51</v>
      </c>
    </row>
    <row r="12221" spans="1:14" hidden="1" outlineLevel="1" x14ac:dyDescent="0.2">
      <c r="A12221" s="28" t="s">
        <v>51</v>
      </c>
      <c r="B12221" s="28" t="s">
        <v>51</v>
      </c>
      <c r="C12221" s="28" t="s">
        <v>51</v>
      </c>
      <c r="D12221" s="22" t="s">
        <v>16664</v>
      </c>
      <c r="E12221" s="22" t="s">
        <v>48</v>
      </c>
      <c r="F12221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21" s="22" t="s">
        <v>51</v>
      </c>
      <c r="H12221" s="22" t="s">
        <v>51</v>
      </c>
      <c r="I12221" s="26">
        <v>43664.651388888902</v>
      </c>
      <c r="J12221" s="23" t="str">
        <f>HYPERLINK("https://www.spark-marketing.ru/Card/Person/81010", "ООО ""ТД СПП""")</f>
        <v>ООО "ТД СПП"</v>
      </c>
      <c r="K12221" s="24" t="s">
        <v>7782</v>
      </c>
      <c r="L12221" s="28" t="s">
        <v>51</v>
      </c>
      <c r="M12221" s="25">
        <v>111845875</v>
      </c>
      <c r="N12221" s="27">
        <v>0.05</v>
      </c>
    </row>
    <row r="12222" spans="1:14" hidden="1" outlineLevel="1" x14ac:dyDescent="0.15">
      <c r="A12222" s="28" t="s">
        <v>51</v>
      </c>
      <c r="B12222" s="28" t="s">
        <v>51</v>
      </c>
      <c r="C12222" s="28" t="s">
        <v>51</v>
      </c>
      <c r="D12222" s="22" t="s">
        <v>16664</v>
      </c>
      <c r="E12222" s="22" t="s">
        <v>48</v>
      </c>
      <c r="F12222" s="23" t="str">
        <f t="shared" si="372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22" s="22" t="s">
        <v>51</v>
      </c>
      <c r="H12222" s="22" t="s">
        <v>51</v>
      </c>
      <c r="I12222" s="26">
        <v>43664.651388888902</v>
      </c>
      <c r="J12222" s="23" t="str">
        <f>HYPERLINK("https://www.spark-marketing.ru/Card/Person/4349291", "Сарычева Татьяна Семеновна")</f>
        <v>Сарычева Татьяна Семеновна</v>
      </c>
      <c r="K12222" s="24" t="s">
        <v>16663</v>
      </c>
      <c r="L12222" s="28" t="s">
        <v>51</v>
      </c>
      <c r="M12222" s="28" t="s">
        <v>51</v>
      </c>
      <c r="N12222" s="28" t="s">
        <v>51</v>
      </c>
    </row>
    <row r="12223" spans="1:14" x14ac:dyDescent="0.15">
      <c r="A12223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223" s="24" t="s">
        <v>4297</v>
      </c>
      <c r="C12223" s="25">
        <v>29100</v>
      </c>
      <c r="D12223" s="22" t="s">
        <v>16677</v>
      </c>
      <c r="E12223" s="22" t="s">
        <v>48</v>
      </c>
      <c r="F12223" s="23" t="str">
        <f>HYPERLINK("https://www.spark-marketing.ru/Card/Lot/72174160",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2223" s="22" t="s">
        <v>1096</v>
      </c>
      <c r="H12223" s="22" t="s">
        <v>4299</v>
      </c>
      <c r="I12223" s="26">
        <v>43664.632847222201</v>
      </c>
      <c r="J12223" s="23" t="str">
        <f>HYPERLINK("https://www.spark-marketing.ru/Card/Person/172041", "МУП КШП № 2")</f>
        <v>МУП КШП № 2</v>
      </c>
      <c r="K12223" s="24" t="s">
        <v>16678</v>
      </c>
      <c r="L12223" s="22" t="s">
        <v>10</v>
      </c>
      <c r="M12223" s="28" t="s">
        <v>51</v>
      </c>
      <c r="N12223" s="28" t="s">
        <v>51</v>
      </c>
    </row>
    <row r="12224" spans="1:14" x14ac:dyDescent="0.15">
      <c r="A12224" s="23" t="str">
        <f>HYPERLINK("https://www.spark-marketing.ru/Card/Person/104425", "МАОУ МО Г. НЯГАНЬ ""ГИМНАЗИЯ""")</f>
        <v>МАОУ МО Г. НЯГАНЬ "ГИМНАЗИЯ"</v>
      </c>
      <c r="B12224" s="24" t="s">
        <v>16679</v>
      </c>
      <c r="C12224" s="25">
        <v>7355593.2000000002</v>
      </c>
      <c r="D12224" s="22" t="s">
        <v>16680</v>
      </c>
      <c r="E12224" s="22" t="s">
        <v>362</v>
      </c>
      <c r="F12224" s="23" t="str">
        <f>HYPERLINK("https://www.spark-marketing.ru/Card/Lot/72198209", "Оказание услуги по обеспечению (организации) питанием обучающихся")</f>
        <v>Оказание услуги по обеспечению (организации) питанием обучающихся</v>
      </c>
      <c r="G12224" s="22" t="s">
        <v>97</v>
      </c>
      <c r="H12224" s="22" t="s">
        <v>97</v>
      </c>
      <c r="I12224" s="26">
        <v>43664.645069444399</v>
      </c>
      <c r="J12224" s="28" t="s">
        <v>51</v>
      </c>
      <c r="K12224" s="28" t="s">
        <v>51</v>
      </c>
      <c r="L12224" s="28" t="s">
        <v>51</v>
      </c>
      <c r="M12224" s="28" t="s">
        <v>51</v>
      </c>
      <c r="N12224" s="28" t="s">
        <v>51</v>
      </c>
    </row>
    <row r="12225" spans="1:14" x14ac:dyDescent="0.15">
      <c r="A12225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225" s="24" t="s">
        <v>4297</v>
      </c>
      <c r="C12225" s="25">
        <v>19400</v>
      </c>
      <c r="D12225" s="22" t="s">
        <v>16681</v>
      </c>
      <c r="E12225" s="22" t="s">
        <v>48</v>
      </c>
      <c r="F12225" s="23" t="str">
        <f>HYPERLINK("https://www.spark-marketing.ru/Card/Lot/72175521",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</v>
      </c>
      <c r="G12225" s="22" t="s">
        <v>1096</v>
      </c>
      <c r="H12225" s="22" t="s">
        <v>4299</v>
      </c>
      <c r="I12225" s="26">
        <v>43664.633912037003</v>
      </c>
      <c r="J12225" s="23" t="str">
        <f>HYPERLINK("https://www.spark-marketing.ru/Card/Person/1036148", "МОУ СОШ № 37")</f>
        <v>МОУ СОШ № 37</v>
      </c>
      <c r="K12225" s="24" t="s">
        <v>4300</v>
      </c>
      <c r="L12225" s="28" t="s">
        <v>51</v>
      </c>
      <c r="M12225" s="28" t="s">
        <v>51</v>
      </c>
      <c r="N12225" s="28" t="s">
        <v>51</v>
      </c>
    </row>
    <row r="12226" spans="1:14" collapsed="1" x14ac:dyDescent="0.2">
      <c r="A12226" s="23" t="s">
        <v>114</v>
      </c>
      <c r="B12226" s="28" t="s">
        <v>51</v>
      </c>
      <c r="C12226" s="25">
        <v>19058715</v>
      </c>
      <c r="D12226" s="22" t="s">
        <v>16682</v>
      </c>
      <c r="E12226" s="22" t="s">
        <v>48</v>
      </c>
      <c r="F12226" s="23" t="str">
        <f t="shared" ref="F12226:F12232" si="373">HYPERLINK("https://www.spark-marketing.ru/Card/Lot/72189306", "Оказание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226" s="22" t="s">
        <v>51</v>
      </c>
      <c r="H12226" s="22" t="s">
        <v>51</v>
      </c>
      <c r="I12226" s="26">
        <v>43664.660416666702</v>
      </c>
      <c r="J12226" s="23" t="str">
        <f t="shared" ref="J12226:J12232" si="374">HYPERLINK("https://www.spark-marketing.ru/Card/Person/6558293", "ООО ""ВИВО МАРКЕТ""")</f>
        <v>ООО "ВИВО МАРКЕТ"</v>
      </c>
      <c r="K12226" s="24" t="s">
        <v>14440</v>
      </c>
      <c r="L12226" s="28" t="s">
        <v>51</v>
      </c>
      <c r="M12226" s="25">
        <v>19058715</v>
      </c>
      <c r="N12226" s="27">
        <v>0</v>
      </c>
    </row>
    <row r="12227" spans="1:14" hidden="1" outlineLevel="1" x14ac:dyDescent="0.2">
      <c r="A12227" s="23" t="str">
        <f>HYPERLINK("https://www.spark-marketing.ru/Card/Person/128660", "МОУ ОШ № 119")</f>
        <v>МОУ ОШ № 119</v>
      </c>
      <c r="B12227" s="24" t="s">
        <v>16683</v>
      </c>
      <c r="C12227" s="25">
        <v>1366650</v>
      </c>
      <c r="D12227" s="22" t="s">
        <v>16682</v>
      </c>
      <c r="E12227" s="22" t="s">
        <v>48</v>
      </c>
      <c r="F12227" s="23" t="str">
        <f t="shared" si="373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227" s="22" t="s">
        <v>158</v>
      </c>
      <c r="H12227" s="22" t="s">
        <v>158</v>
      </c>
      <c r="I12227" s="26">
        <v>43664.660416666702</v>
      </c>
      <c r="J12227" s="23" t="str">
        <f t="shared" si="374"/>
        <v>ООО "ВИВО МАРКЕТ"</v>
      </c>
      <c r="K12227" s="24" t="s">
        <v>14440</v>
      </c>
      <c r="L12227" s="28" t="s">
        <v>51</v>
      </c>
      <c r="M12227" s="28" t="s">
        <v>51</v>
      </c>
      <c r="N12227" s="27">
        <v>0</v>
      </c>
    </row>
    <row r="12228" spans="1:14" hidden="1" outlineLevel="1" x14ac:dyDescent="0.2">
      <c r="A12228" s="23" t="str">
        <f>HYPERLINK("https://www.spark-marketing.ru/Card/Person/130000", "МОУ СШ № 115")</f>
        <v>МОУ СШ № 115</v>
      </c>
      <c r="B12228" s="24" t="s">
        <v>16684</v>
      </c>
      <c r="C12228" s="25">
        <v>3115270</v>
      </c>
      <c r="D12228" s="22" t="s">
        <v>16682</v>
      </c>
      <c r="E12228" s="22" t="s">
        <v>48</v>
      </c>
      <c r="F12228" s="23" t="str">
        <f t="shared" si="373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228" s="22" t="s">
        <v>158</v>
      </c>
      <c r="H12228" s="22" t="s">
        <v>158</v>
      </c>
      <c r="I12228" s="26">
        <v>43664.660416666702</v>
      </c>
      <c r="J12228" s="23" t="str">
        <f t="shared" si="374"/>
        <v>ООО "ВИВО МАРКЕТ"</v>
      </c>
      <c r="K12228" s="24" t="s">
        <v>14440</v>
      </c>
      <c r="L12228" s="28" t="s">
        <v>51</v>
      </c>
      <c r="M12228" s="28" t="s">
        <v>51</v>
      </c>
      <c r="N12228" s="27">
        <v>0</v>
      </c>
    </row>
    <row r="12229" spans="1:14" hidden="1" outlineLevel="1" x14ac:dyDescent="0.2">
      <c r="A12229" s="23" t="str">
        <f>HYPERLINK("https://www.spark-marketing.ru/Card/Person/130008", "МОУ СШ № 120")</f>
        <v>МОУ СШ № 120</v>
      </c>
      <c r="B12229" s="24" t="s">
        <v>16685</v>
      </c>
      <c r="C12229" s="25">
        <v>2789640</v>
      </c>
      <c r="D12229" s="22" t="s">
        <v>16682</v>
      </c>
      <c r="E12229" s="22" t="s">
        <v>48</v>
      </c>
      <c r="F12229" s="23" t="str">
        <f t="shared" si="373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229" s="22" t="s">
        <v>158</v>
      </c>
      <c r="H12229" s="22" t="s">
        <v>158</v>
      </c>
      <c r="I12229" s="26">
        <v>43664.660416666702</v>
      </c>
      <c r="J12229" s="23" t="str">
        <f t="shared" si="374"/>
        <v>ООО "ВИВО МАРКЕТ"</v>
      </c>
      <c r="K12229" s="24" t="s">
        <v>14440</v>
      </c>
      <c r="L12229" s="28" t="s">
        <v>51</v>
      </c>
      <c r="M12229" s="28" t="s">
        <v>51</v>
      </c>
      <c r="N12229" s="27">
        <v>0</v>
      </c>
    </row>
    <row r="12230" spans="1:14" hidden="1" outlineLevel="1" x14ac:dyDescent="0.2">
      <c r="A12230" s="23" t="str">
        <f>HYPERLINK("https://www.spark-marketing.ru/Card/Person/130012", "МОУ СШ № 118")</f>
        <v>МОУ СШ № 118</v>
      </c>
      <c r="B12230" s="24" t="s">
        <v>16686</v>
      </c>
      <c r="C12230" s="25">
        <v>2797150</v>
      </c>
      <c r="D12230" s="22" t="s">
        <v>16682</v>
      </c>
      <c r="E12230" s="22" t="s">
        <v>48</v>
      </c>
      <c r="F12230" s="23" t="str">
        <f t="shared" si="373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230" s="22" t="s">
        <v>158</v>
      </c>
      <c r="H12230" s="22" t="s">
        <v>158</v>
      </c>
      <c r="I12230" s="26">
        <v>43664.660416666702</v>
      </c>
      <c r="J12230" s="23" t="str">
        <f t="shared" si="374"/>
        <v>ООО "ВИВО МАРКЕТ"</v>
      </c>
      <c r="K12230" s="24" t="s">
        <v>14440</v>
      </c>
      <c r="L12230" s="28" t="s">
        <v>51</v>
      </c>
      <c r="M12230" s="28" t="s">
        <v>51</v>
      </c>
      <c r="N12230" s="27">
        <v>0</v>
      </c>
    </row>
    <row r="12231" spans="1:14" hidden="1" outlineLevel="1" x14ac:dyDescent="0.2">
      <c r="A12231" s="23" t="str">
        <f>HYPERLINK("https://www.spark-marketing.ru/Card/Person/130273", "МОУ СШ № 134 ""ДАРОВАНИЕ""")</f>
        <v>МОУ СШ № 134 "ДАРОВАНИЕ"</v>
      </c>
      <c r="B12231" s="24" t="s">
        <v>16687</v>
      </c>
      <c r="C12231" s="25">
        <v>5102065</v>
      </c>
      <c r="D12231" s="22" t="s">
        <v>16682</v>
      </c>
      <c r="E12231" s="22" t="s">
        <v>48</v>
      </c>
      <c r="F12231" s="23" t="str">
        <f t="shared" si="373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231" s="22" t="s">
        <v>158</v>
      </c>
      <c r="H12231" s="22" t="s">
        <v>158</v>
      </c>
      <c r="I12231" s="26">
        <v>43664.660416666702</v>
      </c>
      <c r="J12231" s="23" t="str">
        <f t="shared" si="374"/>
        <v>ООО "ВИВО МАРКЕТ"</v>
      </c>
      <c r="K12231" s="24" t="s">
        <v>14440</v>
      </c>
      <c r="L12231" s="28" t="s">
        <v>51</v>
      </c>
      <c r="M12231" s="28" t="s">
        <v>51</v>
      </c>
      <c r="N12231" s="27">
        <v>0</v>
      </c>
    </row>
    <row r="12232" spans="1:14" hidden="1" outlineLevel="1" x14ac:dyDescent="0.2">
      <c r="A12232" s="23" t="str">
        <f>HYPERLINK("https://www.spark-marketing.ru/Card/Person/130290", "МОУ СШ № 117")</f>
        <v>МОУ СШ № 117</v>
      </c>
      <c r="B12232" s="24" t="s">
        <v>16688</v>
      </c>
      <c r="C12232" s="25">
        <v>3887940</v>
      </c>
      <c r="D12232" s="22" t="s">
        <v>16682</v>
      </c>
      <c r="E12232" s="22" t="s">
        <v>48</v>
      </c>
      <c r="F12232" s="23" t="str">
        <f t="shared" si="373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232" s="22" t="s">
        <v>158</v>
      </c>
      <c r="H12232" s="22" t="s">
        <v>158</v>
      </c>
      <c r="I12232" s="26">
        <v>43664.660416666702</v>
      </c>
      <c r="J12232" s="23" t="str">
        <f t="shared" si="374"/>
        <v>ООО "ВИВО МАРКЕТ"</v>
      </c>
      <c r="K12232" s="24" t="s">
        <v>14440</v>
      </c>
      <c r="L12232" s="28" t="s">
        <v>51</v>
      </c>
      <c r="M12232" s="28" t="s">
        <v>51</v>
      </c>
      <c r="N12232" s="27">
        <v>0</v>
      </c>
    </row>
    <row r="12233" spans="1:14" x14ac:dyDescent="0.2">
      <c r="A12233" s="23" t="str">
        <f>HYPERLINK("https://www.spark-marketing.ru/Card/Person/51535", "МБОУ ""НШ №24""")</f>
        <v>МБОУ "НШ №24"</v>
      </c>
      <c r="B12233" s="24" t="s">
        <v>16689</v>
      </c>
      <c r="C12233" s="25">
        <v>8525056</v>
      </c>
      <c r="D12233" s="22" t="s">
        <v>16690</v>
      </c>
      <c r="E12233" s="22" t="s">
        <v>48</v>
      </c>
      <c r="F12233" s="23" t="str">
        <f>HYPERLINK("https://www.spark-marketing.ru/Card/Lot/72185924", "Оказание услуг по организации в 2019-2020 учебном году питания обучающихся муниципального бюджетного общеобразовательного учреждения ""Начальная школа №24""")</f>
        <v>Оказание услуг по организации в 2019-2020 учебном году питания обучающихся муниципального бюджетного общеобразовательного учреждения "Начальная школа №24"</v>
      </c>
      <c r="G12233" s="22" t="s">
        <v>97</v>
      </c>
      <c r="H12233" s="22" t="s">
        <v>97</v>
      </c>
      <c r="I12233" s="26">
        <v>43664.653472222199</v>
      </c>
      <c r="J12233" s="23" t="str">
        <f>HYPERLINK("https://www.spark-marketing.ru/Card/Person/1659813", "ООО ""КП""")</f>
        <v>ООО "КП"</v>
      </c>
      <c r="K12233" s="24" t="s">
        <v>16691</v>
      </c>
      <c r="L12233" s="28" t="s">
        <v>51</v>
      </c>
      <c r="M12233" s="25">
        <v>8525056</v>
      </c>
      <c r="N12233" s="27">
        <v>0</v>
      </c>
    </row>
    <row r="12234" spans="1:14" collapsed="1" x14ac:dyDescent="0.15">
      <c r="A12234" s="23" t="str">
        <f>HYPERLINK("https://www.spark-marketing.ru/Card/Person/4372558", "МБОУ ШКОЛА № 10")</f>
        <v>МБОУ ШКОЛА № 10</v>
      </c>
      <c r="B12234" s="24" t="s">
        <v>16692</v>
      </c>
      <c r="C12234" s="25">
        <v>1468215</v>
      </c>
      <c r="D12234" s="22" t="s">
        <v>16693</v>
      </c>
      <c r="E12234" s="22" t="s">
        <v>48</v>
      </c>
      <c r="F12234" s="23" t="str">
        <f>HYPERLINK("https://www.spark-marketing.ru/Card/Lot/72190934", "Оказание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классов")</f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</v>
      </c>
      <c r="G12234" s="22" t="s">
        <v>108</v>
      </c>
      <c r="H12234" s="22" t="s">
        <v>287</v>
      </c>
      <c r="I12234" s="26">
        <v>43664.643750000003</v>
      </c>
      <c r="J12234" s="28" t="s">
        <v>51</v>
      </c>
      <c r="K12234" s="28" t="s">
        <v>51</v>
      </c>
      <c r="L12234" s="28" t="s">
        <v>51</v>
      </c>
      <c r="M12234" s="28" t="s">
        <v>51</v>
      </c>
      <c r="N12234" s="28" t="s">
        <v>51</v>
      </c>
    </row>
    <row r="12235" spans="1:14" hidden="1" outlineLevel="1" x14ac:dyDescent="0.2">
      <c r="A12235" s="23" t="str">
        <f>HYPERLINK("https://www.spark-marketing.ru/Card/Person/4372558", "МБОУ ШКОЛА № 10")</f>
        <v>МБОУ ШКОЛА № 10</v>
      </c>
      <c r="B12235" s="24" t="s">
        <v>16692</v>
      </c>
      <c r="C12235" s="25">
        <v>1468215</v>
      </c>
      <c r="D12235" s="22" t="s">
        <v>16693</v>
      </c>
      <c r="E12235" s="22" t="s">
        <v>48</v>
      </c>
      <c r="F12235" s="23" t="str">
        <f>HYPERLINK("https://www.spark-marketing.ru/Card/Lot/72190934", "Оказание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классов")</f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</v>
      </c>
      <c r="G12235" s="22" t="s">
        <v>108</v>
      </c>
      <c r="H12235" s="22" t="s">
        <v>287</v>
      </c>
      <c r="I12235" s="26">
        <v>43664.643750000003</v>
      </c>
      <c r="J12235" s="23" t="str">
        <f>HYPERLINK("https://www.spark-marketing.ru/Card/Person/4856360", "ООО ""МЕЛИССА""")</f>
        <v>ООО "МЕЛИССА"</v>
      </c>
      <c r="K12235" s="24" t="s">
        <v>4595</v>
      </c>
      <c r="L12235" s="28" t="s">
        <v>51</v>
      </c>
      <c r="M12235" s="25">
        <v>998386.2</v>
      </c>
      <c r="N12235" s="27">
        <v>0.32</v>
      </c>
    </row>
    <row r="12236" spans="1:14" ht="12.75" hidden="1" outlineLevel="1" x14ac:dyDescent="0.2">
      <c r="A12236" s="23" t="str">
        <f>HYPERLINK("https://www.spark-marketing.ru/Card/Person/4372558", "МБОУ ШКОЛА № 10")</f>
        <v>МБОУ ШКОЛА № 10</v>
      </c>
      <c r="B12236" s="24" t="s">
        <v>16692</v>
      </c>
      <c r="C12236" s="25">
        <v>1468215</v>
      </c>
      <c r="D12236" s="22" t="s">
        <v>16693</v>
      </c>
      <c r="E12236" s="22" t="s">
        <v>48</v>
      </c>
      <c r="F12236" s="23" t="str">
        <f>HYPERLINK("https://www.spark-marketing.ru/Card/Lot/72190934", "Оказание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классов")</f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</v>
      </c>
      <c r="G12236" s="22" t="s">
        <v>108</v>
      </c>
      <c r="H12236" s="22" t="s">
        <v>287</v>
      </c>
      <c r="I12236" s="26">
        <v>43664.643750000003</v>
      </c>
      <c r="J12236" s="23" t="str">
        <f>HYPERLINK("https://www.spark-marketing.ru/Card/Person/1763042", "МУП ""ШКОЛЬНЫЙ КОМБИНАТ""")</f>
        <v>МУП "ШКОЛЬНЫЙ КОМБИНАТ"</v>
      </c>
      <c r="K12236" s="24" t="s">
        <v>15602</v>
      </c>
      <c r="L12236" s="22" t="s">
        <v>10</v>
      </c>
      <c r="M12236" s="25">
        <v>844224</v>
      </c>
      <c r="N12236" s="27">
        <v>0.42499974458781581</v>
      </c>
    </row>
    <row r="12237" spans="1:14" collapsed="1" x14ac:dyDescent="0.15">
      <c r="A12237" s="23" t="str">
        <f>HYPERLINK("https://www.spark-marketing.ru/Card/Person/151015", "СРЦДН Г. ГЛАЗОВА «СЕМЬЯ»")</f>
        <v>СРЦДН Г. ГЛАЗОВА «СЕМЬЯ»</v>
      </c>
      <c r="B12237" s="24" t="s">
        <v>990</v>
      </c>
      <c r="C12237" s="25">
        <v>357700</v>
      </c>
      <c r="D12237" s="22" t="s">
        <v>16694</v>
      </c>
      <c r="E12237" s="22" t="s">
        <v>48</v>
      </c>
      <c r="F12237" s="23" t="str">
        <f>HYPERLINK("https://www.spark-marketing.ru/Card/Lot/72190151", "№ зз-24574-19 Оказание услуг по организации питания несовершеннолетних")</f>
        <v>№ зз-24574-19 Оказание услуг по организации питания несовершеннолетних</v>
      </c>
      <c r="G12237" s="22" t="s">
        <v>852</v>
      </c>
      <c r="H12237" s="22" t="s">
        <v>992</v>
      </c>
      <c r="I12237" s="26">
        <v>43664.658877314803</v>
      </c>
      <c r="J12237" s="28" t="s">
        <v>51</v>
      </c>
      <c r="K12237" s="28" t="s">
        <v>51</v>
      </c>
      <c r="L12237" s="28" t="s">
        <v>51</v>
      </c>
      <c r="M12237" s="28" t="s">
        <v>51</v>
      </c>
      <c r="N12237" s="28" t="s">
        <v>51</v>
      </c>
    </row>
    <row r="12238" spans="1:14" ht="12.75" hidden="1" outlineLevel="1" x14ac:dyDescent="0.2">
      <c r="A12238" s="23" t="str">
        <f>HYPERLINK("https://www.spark-marketing.ru/Card/Person/151015", "СРЦДН Г. ГЛАЗОВА «СЕМЬЯ»")</f>
        <v>СРЦДН Г. ГЛАЗОВА «СЕМЬЯ»</v>
      </c>
      <c r="B12238" s="24" t="s">
        <v>990</v>
      </c>
      <c r="C12238" s="25">
        <v>357700</v>
      </c>
      <c r="D12238" s="22" t="s">
        <v>16694</v>
      </c>
      <c r="E12238" s="22" t="s">
        <v>48</v>
      </c>
      <c r="F12238" s="23" t="str">
        <f>HYPERLINK("https://www.spark-marketing.ru/Card/Lot/72190151", "№ зз-24574-19 Оказание услуг по организации питания несовершеннолетних")</f>
        <v>№ зз-24574-19 Оказание услуг по организации питания несовершеннолетних</v>
      </c>
      <c r="G12238" s="22" t="s">
        <v>852</v>
      </c>
      <c r="H12238" s="22" t="s">
        <v>992</v>
      </c>
      <c r="I12238" s="26">
        <v>43664.658877314803</v>
      </c>
      <c r="J12238" s="23" t="str">
        <f>HYPERLINK("https://www.spark-marketing.ru/Card/Person/44655", "МАУ ""ЗДОРОВОЕ ПИТАНИЕ""")</f>
        <v>МАУ "ЗДОРОВОЕ ПИТАНИЕ"</v>
      </c>
      <c r="K12238" s="24" t="s">
        <v>11857</v>
      </c>
      <c r="L12238" s="22" t="s">
        <v>10</v>
      </c>
      <c r="M12238" s="25">
        <v>340000</v>
      </c>
      <c r="N12238" s="27">
        <v>4.948280682135868E-2</v>
      </c>
    </row>
    <row r="12239" spans="1:14" hidden="1" outlineLevel="1" x14ac:dyDescent="0.2">
      <c r="A12239" s="23" t="str">
        <f>HYPERLINK("https://www.spark-marketing.ru/Card/Person/151015", "СРЦДН Г. ГЛАЗОВА «СЕМЬЯ»")</f>
        <v>СРЦДН Г. ГЛАЗОВА «СЕМЬЯ»</v>
      </c>
      <c r="B12239" s="24" t="s">
        <v>990</v>
      </c>
      <c r="C12239" s="25">
        <v>357700</v>
      </c>
      <c r="D12239" s="22" t="s">
        <v>16694</v>
      </c>
      <c r="E12239" s="22" t="s">
        <v>48</v>
      </c>
      <c r="F12239" s="23" t="str">
        <f>HYPERLINK("https://www.spark-marketing.ru/Card/Lot/72190151", "№ зз-24574-19 Оказание услуг по организации питания несовершеннолетних")</f>
        <v>№ зз-24574-19 Оказание услуг по организации питания несовершеннолетних</v>
      </c>
      <c r="G12239" s="22" t="s">
        <v>852</v>
      </c>
      <c r="H12239" s="22" t="s">
        <v>992</v>
      </c>
      <c r="I12239" s="26">
        <v>43664.658877314803</v>
      </c>
      <c r="J12239" s="23" t="str">
        <f>HYPERLINK("https://www.spark-marketing.ru/Card/Person/6468263", "ООО ""ОБЩЕПИТ СЕРВИС""")</f>
        <v>ООО "ОБЩЕПИТ СЕРВИС"</v>
      </c>
      <c r="K12239" s="24" t="s">
        <v>11858</v>
      </c>
      <c r="L12239" s="28" t="s">
        <v>51</v>
      </c>
      <c r="M12239" s="25">
        <v>351100</v>
      </c>
      <c r="N12239" s="27">
        <v>1.8451216102879506E-2</v>
      </c>
    </row>
    <row r="12240" spans="1:14" collapsed="1" x14ac:dyDescent="0.2">
      <c r="A12240" s="23" t="s">
        <v>114</v>
      </c>
      <c r="B12240" s="28" t="s">
        <v>51</v>
      </c>
      <c r="C12240" s="25">
        <v>19608207</v>
      </c>
      <c r="D12240" s="22" t="s">
        <v>16695</v>
      </c>
      <c r="E12240" s="22" t="s">
        <v>48</v>
      </c>
      <c r="F12240" s="23" t="str">
        <f>HYPERLINK("https://www.spark-marketing.ru/Card/Lot/72189308",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240" s="22" t="s">
        <v>51</v>
      </c>
      <c r="H12240" s="22" t="s">
        <v>51</v>
      </c>
      <c r="I12240" s="26">
        <v>43664.660416666702</v>
      </c>
      <c r="J12240" s="23" t="str">
        <f>HYPERLINK("https://www.spark-marketing.ru/Card/Person/119200", "ООО ""ВЕНЕРА""")</f>
        <v>ООО "ВЕНЕРА"</v>
      </c>
      <c r="K12240" s="24" t="s">
        <v>16525</v>
      </c>
      <c r="L12240" s="28" t="s">
        <v>51</v>
      </c>
      <c r="M12240" s="25">
        <v>19608207</v>
      </c>
      <c r="N12240" s="27">
        <v>0</v>
      </c>
    </row>
    <row r="12241" spans="1:14" hidden="1" outlineLevel="1" x14ac:dyDescent="0.2">
      <c r="A12241" s="23" t="str">
        <f>HYPERLINK("https://www.spark-marketing.ru/Card/Person/1003761", "МОУ СШ № 111")</f>
        <v>МОУ СШ № 111</v>
      </c>
      <c r="B12241" s="24" t="s">
        <v>16696</v>
      </c>
      <c r="C12241" s="25">
        <v>6219200</v>
      </c>
      <c r="D12241" s="22" t="s">
        <v>16695</v>
      </c>
      <c r="E12241" s="22" t="s">
        <v>48</v>
      </c>
      <c r="F12241" s="23" t="str">
        <f>HYPERLINK("https://www.spark-marketing.ru/Card/Lot/72189308",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241" s="22" t="s">
        <v>158</v>
      </c>
      <c r="H12241" s="22" t="s">
        <v>158</v>
      </c>
      <c r="I12241" s="26">
        <v>43664.660416666702</v>
      </c>
      <c r="J12241" s="23" t="str">
        <f>HYPERLINK("https://www.spark-marketing.ru/Card/Person/119200", "ООО ""ВЕНЕРА""")</f>
        <v>ООО "ВЕНЕРА"</v>
      </c>
      <c r="K12241" s="24" t="s">
        <v>16525</v>
      </c>
      <c r="L12241" s="28" t="s">
        <v>51</v>
      </c>
      <c r="M12241" s="28" t="s">
        <v>51</v>
      </c>
      <c r="N12241" s="27">
        <v>0</v>
      </c>
    </row>
    <row r="12242" spans="1:14" hidden="1" outlineLevel="1" x14ac:dyDescent="0.2">
      <c r="A12242" s="23" t="str">
        <f>HYPERLINK("https://www.spark-marketing.ru/Card/Person/1004616", "МОУ СШ № 106")</f>
        <v>МОУ СШ № 106</v>
      </c>
      <c r="B12242" s="24" t="s">
        <v>16697</v>
      </c>
      <c r="C12242" s="25">
        <v>7341327</v>
      </c>
      <c r="D12242" s="22" t="s">
        <v>16695</v>
      </c>
      <c r="E12242" s="22" t="s">
        <v>48</v>
      </c>
      <c r="F12242" s="23" t="str">
        <f>HYPERLINK("https://www.spark-marketing.ru/Card/Lot/72189308",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242" s="22" t="s">
        <v>158</v>
      </c>
      <c r="H12242" s="22" t="s">
        <v>158</v>
      </c>
      <c r="I12242" s="26">
        <v>43664.660416666702</v>
      </c>
      <c r="J12242" s="23" t="str">
        <f>HYPERLINK("https://www.spark-marketing.ru/Card/Person/119200", "ООО ""ВЕНЕРА""")</f>
        <v>ООО "ВЕНЕРА"</v>
      </c>
      <c r="K12242" s="24" t="s">
        <v>16525</v>
      </c>
      <c r="L12242" s="28" t="s">
        <v>51</v>
      </c>
      <c r="M12242" s="28" t="s">
        <v>51</v>
      </c>
      <c r="N12242" s="27">
        <v>0</v>
      </c>
    </row>
    <row r="12243" spans="1:14" hidden="1" outlineLevel="1" x14ac:dyDescent="0.2">
      <c r="A12243" s="23" t="str">
        <f>HYPERLINK("https://www.spark-marketing.ru/Card/Person/1029538", "МОУ СШ №103")</f>
        <v>МОУ СШ №103</v>
      </c>
      <c r="B12243" s="24" t="s">
        <v>16698</v>
      </c>
      <c r="C12243" s="25">
        <v>6047680</v>
      </c>
      <c r="D12243" s="22" t="s">
        <v>16695</v>
      </c>
      <c r="E12243" s="22" t="s">
        <v>48</v>
      </c>
      <c r="F12243" s="23" t="str">
        <f>HYPERLINK("https://www.spark-marketing.ru/Card/Lot/72189308",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243" s="22" t="s">
        <v>158</v>
      </c>
      <c r="H12243" s="22" t="s">
        <v>158</v>
      </c>
      <c r="I12243" s="26">
        <v>43664.660416666702</v>
      </c>
      <c r="J12243" s="23" t="str">
        <f>HYPERLINK("https://www.spark-marketing.ru/Card/Person/119200", "ООО ""ВЕНЕРА""")</f>
        <v>ООО "ВЕНЕРА"</v>
      </c>
      <c r="K12243" s="24" t="s">
        <v>16525</v>
      </c>
      <c r="L12243" s="28" t="s">
        <v>51</v>
      </c>
      <c r="M12243" s="28" t="s">
        <v>51</v>
      </c>
      <c r="N12243" s="27">
        <v>0</v>
      </c>
    </row>
    <row r="12244" spans="1:14" collapsed="1" x14ac:dyDescent="0.15">
      <c r="A12244" s="23" t="str">
        <f>HYPERLINK("https://www.spark-marketing.ru/Card/Person/77925", "МБОУ ""СШ №19""")</f>
        <v>МБОУ "СШ №19"</v>
      </c>
      <c r="B12244" s="24" t="s">
        <v>1465</v>
      </c>
      <c r="C12244" s="25">
        <v>19417424</v>
      </c>
      <c r="D12244" s="22" t="s">
        <v>16699</v>
      </c>
      <c r="E12244" s="22" t="s">
        <v>48</v>
      </c>
      <c r="F12244" s="23" t="str">
        <f>HYPERLINK("https://www.spark-marketing.ru/Card/Lot/72185926", "Оказание услуг по организации в 2019-2020 учебном году питания обучающихся муниципального бюджетного общеобразовательного учреждения ""Средняя школа №19""")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№19"</v>
      </c>
      <c r="G12244" s="22" t="s">
        <v>97</v>
      </c>
      <c r="H12244" s="22" t="s">
        <v>97</v>
      </c>
      <c r="I12244" s="26">
        <v>43664.643750000003</v>
      </c>
      <c r="J12244" s="28" t="s">
        <v>51</v>
      </c>
      <c r="K12244" s="28" t="s">
        <v>51</v>
      </c>
      <c r="L12244" s="28" t="s">
        <v>51</v>
      </c>
      <c r="M12244" s="28" t="s">
        <v>51</v>
      </c>
      <c r="N12244" s="28" t="s">
        <v>51</v>
      </c>
    </row>
    <row r="12245" spans="1:14" ht="12.75" hidden="1" outlineLevel="1" x14ac:dyDescent="0.2">
      <c r="A12245" s="23" t="str">
        <f>HYPERLINK("https://www.spark-marketing.ru/Card/Person/77925", "МБОУ ""СШ №19""")</f>
        <v>МБОУ "СШ №19"</v>
      </c>
      <c r="B12245" s="24" t="s">
        <v>1465</v>
      </c>
      <c r="C12245" s="25">
        <v>19417424</v>
      </c>
      <c r="D12245" s="22" t="s">
        <v>16699</v>
      </c>
      <c r="E12245" s="22" t="s">
        <v>48</v>
      </c>
      <c r="F12245" s="23" t="str">
        <f>HYPERLINK("https://www.spark-marketing.ru/Card/Lot/72185926", "Оказание услуг по организации в 2019-2020 учебном году питания обучающихся муниципального бюджетного общеобразовательного учреждения ""Средняя школа №19""")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№19"</v>
      </c>
      <c r="G12245" s="22" t="s">
        <v>97</v>
      </c>
      <c r="H12245" s="22" t="s">
        <v>97</v>
      </c>
      <c r="I12245" s="26">
        <v>43664.643750000003</v>
      </c>
      <c r="J12245" s="23" t="str">
        <f>HYPERLINK("https://www.spark-marketing.ru/Card/Person/5846583", "ООО ""АБВГД""")</f>
        <v>ООО "АБВГД"</v>
      </c>
      <c r="K12245" s="24" t="s">
        <v>1467</v>
      </c>
      <c r="L12245" s="22" t="s">
        <v>10</v>
      </c>
      <c r="M12245" s="25">
        <v>17475682</v>
      </c>
      <c r="N12245" s="27">
        <v>9.9999979399945121E-2</v>
      </c>
    </row>
    <row r="12246" spans="1:14" hidden="1" outlineLevel="1" x14ac:dyDescent="0.2">
      <c r="A12246" s="23" t="str">
        <f>HYPERLINK("https://www.spark-marketing.ru/Card/Person/77925", "МБОУ ""СШ №19""")</f>
        <v>МБОУ "СШ №19"</v>
      </c>
      <c r="B12246" s="24" t="s">
        <v>1465</v>
      </c>
      <c r="C12246" s="25">
        <v>19417424</v>
      </c>
      <c r="D12246" s="22" t="s">
        <v>16699</v>
      </c>
      <c r="E12246" s="22" t="s">
        <v>48</v>
      </c>
      <c r="F12246" s="23" t="str">
        <f>HYPERLINK("https://www.spark-marketing.ru/Card/Lot/72185926", "Оказание услуг по организации в 2019-2020 учебном году питания обучающихся муниципального бюджетного общеобразовательного учреждения ""Средняя школа №19""")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№19"</v>
      </c>
      <c r="G12246" s="22" t="s">
        <v>97</v>
      </c>
      <c r="H12246" s="22" t="s">
        <v>97</v>
      </c>
      <c r="I12246" s="26">
        <v>43664.643750000003</v>
      </c>
      <c r="J12246" s="23" t="str">
        <f>HYPERLINK("https://www.spark-marketing.ru/Card/Person/4868934", "ООО ""АЗБУКА ПИТАНИЯ""")</f>
        <v>ООО "АЗБУКА ПИТАНИЯ"</v>
      </c>
      <c r="K12246" s="24" t="s">
        <v>2534</v>
      </c>
      <c r="L12246" s="28" t="s">
        <v>51</v>
      </c>
      <c r="M12246" s="25">
        <v>18446552.800000001</v>
      </c>
      <c r="N12246" s="27">
        <v>0.05</v>
      </c>
    </row>
    <row r="12247" spans="1:14" collapsed="1" x14ac:dyDescent="0.2">
      <c r="A12247" s="23" t="s">
        <v>114</v>
      </c>
      <c r="B12247" s="28" t="s">
        <v>51</v>
      </c>
      <c r="C12247" s="25">
        <v>13742400</v>
      </c>
      <c r="D12247" s="22" t="s">
        <v>16700</v>
      </c>
      <c r="E12247" s="22" t="s">
        <v>48</v>
      </c>
      <c r="F12247" s="23" t="str">
        <f>HYPERLINK("https://www.spark-marketing.ru/Card/Lot/72189302",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247" s="22" t="s">
        <v>51</v>
      </c>
      <c r="H12247" s="22" t="s">
        <v>51</v>
      </c>
      <c r="I12247" s="26">
        <v>43664.660416666702</v>
      </c>
      <c r="J12247" s="23" t="str">
        <f>HYPERLINK("https://www.spark-marketing.ru/Card/Person/119200", "ООО ""ВЕНЕРА""")</f>
        <v>ООО "ВЕНЕРА"</v>
      </c>
      <c r="K12247" s="24" t="s">
        <v>16525</v>
      </c>
      <c r="L12247" s="28" t="s">
        <v>51</v>
      </c>
      <c r="M12247" s="25">
        <v>13742400</v>
      </c>
      <c r="N12247" s="27">
        <v>0</v>
      </c>
    </row>
    <row r="12248" spans="1:14" hidden="1" outlineLevel="1" x14ac:dyDescent="0.2">
      <c r="A12248" s="23" t="str">
        <f>HYPERLINK("https://www.spark-marketing.ru/Card/Person/123396", "МОУ СШ № 129")</f>
        <v>МОУ СШ № 129</v>
      </c>
      <c r="B12248" s="24" t="s">
        <v>16701</v>
      </c>
      <c r="C12248" s="25">
        <v>8078784</v>
      </c>
      <c r="D12248" s="22" t="s">
        <v>16700</v>
      </c>
      <c r="E12248" s="22" t="s">
        <v>48</v>
      </c>
      <c r="F12248" s="23" t="str">
        <f>HYPERLINK("https://www.spark-marketing.ru/Card/Lot/72189302",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248" s="22" t="s">
        <v>158</v>
      </c>
      <c r="H12248" s="22" t="s">
        <v>158</v>
      </c>
      <c r="I12248" s="26">
        <v>43664.660416666702</v>
      </c>
      <c r="J12248" s="23" t="str">
        <f>HYPERLINK("https://www.spark-marketing.ru/Card/Person/119200", "ООО ""ВЕНЕРА""")</f>
        <v>ООО "ВЕНЕРА"</v>
      </c>
      <c r="K12248" s="24" t="s">
        <v>16525</v>
      </c>
      <c r="L12248" s="28" t="s">
        <v>51</v>
      </c>
      <c r="M12248" s="28" t="s">
        <v>51</v>
      </c>
      <c r="N12248" s="27">
        <v>0</v>
      </c>
    </row>
    <row r="12249" spans="1:14" hidden="1" outlineLevel="1" x14ac:dyDescent="0.2">
      <c r="A12249" s="23" t="str">
        <f>HYPERLINK("https://www.spark-marketing.ru/Card/Person/1000650", "МОУ СШ №140")</f>
        <v>МОУ СШ №140</v>
      </c>
      <c r="B12249" s="24" t="s">
        <v>16702</v>
      </c>
      <c r="C12249" s="25">
        <v>5663616</v>
      </c>
      <c r="D12249" s="22" t="s">
        <v>16700</v>
      </c>
      <c r="E12249" s="22" t="s">
        <v>48</v>
      </c>
      <c r="F12249" s="23" t="str">
        <f>HYPERLINK("https://www.spark-marketing.ru/Card/Lot/72189302", "Оказание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Советского района Волгограда в учебный и каникулярный  период 2019-2021гг.</v>
      </c>
      <c r="G12249" s="22" t="s">
        <v>158</v>
      </c>
      <c r="H12249" s="22" t="s">
        <v>158</v>
      </c>
      <c r="I12249" s="26">
        <v>43664.660416666702</v>
      </c>
      <c r="J12249" s="23" t="str">
        <f>HYPERLINK("https://www.spark-marketing.ru/Card/Person/119200", "ООО ""ВЕНЕРА""")</f>
        <v>ООО "ВЕНЕРА"</v>
      </c>
      <c r="K12249" s="24" t="s">
        <v>16525</v>
      </c>
      <c r="L12249" s="28" t="s">
        <v>51</v>
      </c>
      <c r="M12249" s="28" t="s">
        <v>51</v>
      </c>
      <c r="N12249" s="27">
        <v>0</v>
      </c>
    </row>
    <row r="12250" spans="1:14" collapsed="1" x14ac:dyDescent="0.15">
      <c r="A12250" s="23" t="s">
        <v>114</v>
      </c>
      <c r="B12250" s="28" t="s">
        <v>51</v>
      </c>
      <c r="C12250" s="25">
        <v>109946600</v>
      </c>
      <c r="D12250" s="22" t="s">
        <v>16703</v>
      </c>
      <c r="E12250" s="22" t="s">
        <v>48</v>
      </c>
      <c r="F12250" s="23" t="str">
        <f t="shared" ref="F12250:F12271" si="375">HYPERLINK("https://www.spark-marketing.ru/Card/Lot/72191778", "Оказание услуг по организации централизованного питания обучающихся муниципальных бюджетных общеобразовательных учреждений МО «Город Калуга»")</f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50" s="22" t="s">
        <v>51</v>
      </c>
      <c r="H12250" s="22" t="s">
        <v>51</v>
      </c>
      <c r="I12250" s="26">
        <v>43664.651388888902</v>
      </c>
      <c r="J12250" s="28" t="s">
        <v>51</v>
      </c>
      <c r="K12250" s="28" t="s">
        <v>51</v>
      </c>
      <c r="L12250" s="28" t="s">
        <v>51</v>
      </c>
      <c r="M12250" s="28" t="s">
        <v>51</v>
      </c>
      <c r="N12250" s="28" t="s">
        <v>51</v>
      </c>
    </row>
    <row r="12251" spans="1:14" hidden="1" outlineLevel="1" x14ac:dyDescent="0.15">
      <c r="A12251" s="23" t="str">
        <f>HYPERLINK("https://www.spark-marketing.ru/Card/Person/100072", "МБОУ ""ЛИЦЕЙ №36""Г.КАЛУГИ")</f>
        <v>МБОУ "ЛИЦЕЙ №36"Г.КАЛУГИ</v>
      </c>
      <c r="B12251" s="24" t="s">
        <v>16704</v>
      </c>
      <c r="C12251" s="25">
        <v>7848650</v>
      </c>
      <c r="D12251" s="22" t="s">
        <v>16703</v>
      </c>
      <c r="E12251" s="22" t="s">
        <v>48</v>
      </c>
      <c r="F12251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51" s="22" t="s">
        <v>112</v>
      </c>
      <c r="H12251" s="22" t="s">
        <v>389</v>
      </c>
      <c r="I12251" s="26">
        <v>43664.651388888902</v>
      </c>
      <c r="J12251" s="28" t="s">
        <v>51</v>
      </c>
      <c r="K12251" s="28" t="s">
        <v>51</v>
      </c>
      <c r="L12251" s="28" t="s">
        <v>51</v>
      </c>
      <c r="M12251" s="28" t="s">
        <v>51</v>
      </c>
      <c r="N12251" s="28" t="s">
        <v>51</v>
      </c>
    </row>
    <row r="12252" spans="1:14" hidden="1" outlineLevel="1" x14ac:dyDescent="0.15">
      <c r="A12252" s="23" t="str">
        <f>HYPERLINK("https://www.spark-marketing.ru/Card/Person/148930", "МБОУ ""ОСНОВНАЯ ОБЩЕОБРАЗОВАТЕЛЬНАЯ ШКОЛА № 39"" Г. КАЛУГИ")</f>
        <v>МБОУ "ОСНОВНАЯ ОБЩЕОБРАЗОВАТЕЛЬНАЯ ШКОЛА № 39" Г. КАЛУГИ</v>
      </c>
      <c r="B12252" s="24" t="s">
        <v>16705</v>
      </c>
      <c r="C12252" s="25">
        <v>905900</v>
      </c>
      <c r="D12252" s="22" t="s">
        <v>16703</v>
      </c>
      <c r="E12252" s="22" t="s">
        <v>48</v>
      </c>
      <c r="F12252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52" s="22" t="s">
        <v>112</v>
      </c>
      <c r="H12252" s="22" t="s">
        <v>389</v>
      </c>
      <c r="I12252" s="26">
        <v>43664.651388888902</v>
      </c>
      <c r="J12252" s="28" t="s">
        <v>51</v>
      </c>
      <c r="K12252" s="28" t="s">
        <v>51</v>
      </c>
      <c r="L12252" s="28" t="s">
        <v>51</v>
      </c>
      <c r="M12252" s="28" t="s">
        <v>51</v>
      </c>
      <c r="N12252" s="28" t="s">
        <v>51</v>
      </c>
    </row>
    <row r="12253" spans="1:14" hidden="1" outlineLevel="1" x14ac:dyDescent="0.15">
      <c r="A12253" s="23" t="str">
        <f>HYPERLINK("https://www.spark-marketing.ru/Card/Person/148933", "МБОУ ""ОСНОВНАЯ ОБЩЕОБРАЗОВАТЕЛЬНАЯ ШКОЛА № 20"" Г. КАЛУГИ")</f>
        <v>МБОУ "ОСНОВНАЯ ОБЩЕОБРАЗОВАТЕЛЬНАЯ ШКОЛА № 20" Г. КАЛУГИ</v>
      </c>
      <c r="B12253" s="24" t="s">
        <v>16706</v>
      </c>
      <c r="C12253" s="25">
        <v>1649050</v>
      </c>
      <c r="D12253" s="22" t="s">
        <v>16703</v>
      </c>
      <c r="E12253" s="22" t="s">
        <v>48</v>
      </c>
      <c r="F12253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53" s="22" t="s">
        <v>112</v>
      </c>
      <c r="H12253" s="22" t="s">
        <v>389</v>
      </c>
      <c r="I12253" s="26">
        <v>43664.651388888902</v>
      </c>
      <c r="J12253" s="28" t="s">
        <v>51</v>
      </c>
      <c r="K12253" s="28" t="s">
        <v>51</v>
      </c>
      <c r="L12253" s="28" t="s">
        <v>51</v>
      </c>
      <c r="M12253" s="28" t="s">
        <v>51</v>
      </c>
      <c r="N12253" s="28" t="s">
        <v>51</v>
      </c>
    </row>
    <row r="12254" spans="1:14" hidden="1" outlineLevel="1" x14ac:dyDescent="0.15">
      <c r="A12254" s="23" t="str">
        <f>HYPERLINK("https://www.spark-marketing.ru/Card/Person/148993", "МБОУ ""СРЕДНЯЯ ОБЩЕОБРАЗОВАТЕЛЬНАЯ ШКОЛА № 41"" Г. КАЛУГИ")</f>
        <v>МБОУ "СРЕДНЯЯ ОБЩЕОБРАЗОВАТЕЛЬНАЯ ШКОЛА № 41" Г. КАЛУГИ</v>
      </c>
      <c r="B12254" s="24" t="s">
        <v>16707</v>
      </c>
      <c r="C12254" s="25">
        <v>974800</v>
      </c>
      <c r="D12254" s="22" t="s">
        <v>16703</v>
      </c>
      <c r="E12254" s="22" t="s">
        <v>48</v>
      </c>
      <c r="F12254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54" s="22" t="s">
        <v>112</v>
      </c>
      <c r="H12254" s="22" t="s">
        <v>389</v>
      </c>
      <c r="I12254" s="26">
        <v>43664.651388888902</v>
      </c>
      <c r="J12254" s="28" t="s">
        <v>51</v>
      </c>
      <c r="K12254" s="28" t="s">
        <v>51</v>
      </c>
      <c r="L12254" s="28" t="s">
        <v>51</v>
      </c>
      <c r="M12254" s="28" t="s">
        <v>51</v>
      </c>
      <c r="N12254" s="28" t="s">
        <v>51</v>
      </c>
    </row>
    <row r="12255" spans="1:14" hidden="1" outlineLevel="1" x14ac:dyDescent="0.15">
      <c r="A12255" s="23" t="str">
        <f>HYPERLINK("https://www.spark-marketing.ru/Card/Person/149555", "МБОУ ""ГИМНАЗИЯ № 24"" Г. КАЛУГИ.")</f>
        <v>МБОУ "ГИМНАЗИЯ № 24" Г. КАЛУГИ.</v>
      </c>
      <c r="B12255" s="24" t="s">
        <v>16708</v>
      </c>
      <c r="C12255" s="25">
        <v>6089850</v>
      </c>
      <c r="D12255" s="22" t="s">
        <v>16703</v>
      </c>
      <c r="E12255" s="22" t="s">
        <v>48</v>
      </c>
      <c r="F12255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55" s="22" t="s">
        <v>112</v>
      </c>
      <c r="H12255" s="22" t="s">
        <v>389</v>
      </c>
      <c r="I12255" s="26">
        <v>43664.651388888902</v>
      </c>
      <c r="J12255" s="28" t="s">
        <v>51</v>
      </c>
      <c r="K12255" s="28" t="s">
        <v>51</v>
      </c>
      <c r="L12255" s="28" t="s">
        <v>51</v>
      </c>
      <c r="M12255" s="28" t="s">
        <v>51</v>
      </c>
      <c r="N12255" s="28" t="s">
        <v>51</v>
      </c>
    </row>
    <row r="12256" spans="1:14" hidden="1" outlineLevel="1" x14ac:dyDescent="0.15">
      <c r="A12256" s="23" t="str">
        <f>HYPERLINK("https://www.spark-marketing.ru/Card/Person/150566", "МБОУ ""СРЕДНЯЯ ОБЩЕОБРАЗОВАТЕЛЬНАЯ ШКОЛА №10 С УГЛУБЛЕННЫМ ИЗУЧЕНИЕМ ОТДЕЛЬНЫХ ПРЕДМЕТОВ"" Г. КАЛУГИ")</f>
        <v>МБОУ "СРЕДНЯЯ ОБЩЕОБРАЗОВАТЕЛЬНАЯ ШКОЛА №10 С УГЛУБЛЕННЫМ ИЗУЧЕНИЕМ ОТДЕЛЬНЫХ ПРЕДМЕТОВ" Г. КАЛУГИ</v>
      </c>
      <c r="B12256" s="24" t="s">
        <v>16709</v>
      </c>
      <c r="C12256" s="25">
        <v>6663800</v>
      </c>
      <c r="D12256" s="22" t="s">
        <v>16703</v>
      </c>
      <c r="E12256" s="22" t="s">
        <v>48</v>
      </c>
      <c r="F12256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56" s="22" t="s">
        <v>112</v>
      </c>
      <c r="H12256" s="22" t="s">
        <v>389</v>
      </c>
      <c r="I12256" s="26">
        <v>43664.651388888902</v>
      </c>
      <c r="J12256" s="28" t="s">
        <v>51</v>
      </c>
      <c r="K12256" s="28" t="s">
        <v>51</v>
      </c>
      <c r="L12256" s="28" t="s">
        <v>51</v>
      </c>
      <c r="M12256" s="28" t="s">
        <v>51</v>
      </c>
      <c r="N12256" s="28" t="s">
        <v>51</v>
      </c>
    </row>
    <row r="12257" spans="1:14" hidden="1" outlineLevel="1" x14ac:dyDescent="0.15">
      <c r="A12257" s="23" t="str">
        <f>HYPERLINK("https://www.spark-marketing.ru/Card/Person/150684", "МБОУ ""СРЕДНЯЯ ОБЩЕОБРАЗОВАТЕЛЬНАЯ ШКОЛА № 15"" Г. КАЛУГИ")</f>
        <v>МБОУ "СРЕДНЯЯ ОБЩЕОБРАЗОВАТЕЛЬНАЯ ШКОЛА № 15" Г. КАЛУГИ</v>
      </c>
      <c r="B12257" s="24" t="s">
        <v>16710</v>
      </c>
      <c r="C12257" s="25">
        <v>8859400</v>
      </c>
      <c r="D12257" s="22" t="s">
        <v>16703</v>
      </c>
      <c r="E12257" s="22" t="s">
        <v>48</v>
      </c>
      <c r="F12257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57" s="22" t="s">
        <v>112</v>
      </c>
      <c r="H12257" s="22" t="s">
        <v>389</v>
      </c>
      <c r="I12257" s="26">
        <v>43664.651388888902</v>
      </c>
      <c r="J12257" s="28" t="s">
        <v>51</v>
      </c>
      <c r="K12257" s="28" t="s">
        <v>51</v>
      </c>
      <c r="L12257" s="28" t="s">
        <v>51</v>
      </c>
      <c r="M12257" s="28" t="s">
        <v>51</v>
      </c>
      <c r="N12257" s="28" t="s">
        <v>51</v>
      </c>
    </row>
    <row r="12258" spans="1:14" hidden="1" outlineLevel="1" x14ac:dyDescent="0.15">
      <c r="A12258" s="23" t="str">
        <f>HYPERLINK("https://www.spark-marketing.ru/Card/Person/150695", "МБОУ ""СРЕДНЯЯ ОБЩЕОБРАЗОВАТЕЛЬНАЯ ШКОЛА № 11"" Г. КАЛУГИ")</f>
        <v>МБОУ "СРЕДНЯЯ ОБЩЕОБРАЗОВАТЕЛЬНАЯ ШКОЛА № 11" Г. КАЛУГИ</v>
      </c>
      <c r="B12258" s="24" t="s">
        <v>16711</v>
      </c>
      <c r="C12258" s="25">
        <v>4168350</v>
      </c>
      <c r="D12258" s="22" t="s">
        <v>16703</v>
      </c>
      <c r="E12258" s="22" t="s">
        <v>48</v>
      </c>
      <c r="F12258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58" s="22" t="s">
        <v>112</v>
      </c>
      <c r="H12258" s="22" t="s">
        <v>389</v>
      </c>
      <c r="I12258" s="26">
        <v>43664.651388888902</v>
      </c>
      <c r="J12258" s="28" t="s">
        <v>51</v>
      </c>
      <c r="K12258" s="28" t="s">
        <v>51</v>
      </c>
      <c r="L12258" s="28" t="s">
        <v>51</v>
      </c>
      <c r="M12258" s="28" t="s">
        <v>51</v>
      </c>
      <c r="N12258" s="28" t="s">
        <v>51</v>
      </c>
    </row>
    <row r="12259" spans="1:14" hidden="1" outlineLevel="1" x14ac:dyDescent="0.15">
      <c r="A12259" s="23" t="str">
        <f>HYPERLINK("https://www.spark-marketing.ru/Card/Person/151381", "МБОУ ""ГИМНАЗИЯ №19"" Г. КАЛУГИ")</f>
        <v>МБОУ "ГИМНАЗИЯ №19" Г. КАЛУГИ</v>
      </c>
      <c r="B12259" s="24" t="s">
        <v>16712</v>
      </c>
      <c r="C12259" s="25">
        <v>6254700</v>
      </c>
      <c r="D12259" s="22" t="s">
        <v>16703</v>
      </c>
      <c r="E12259" s="22" t="s">
        <v>48</v>
      </c>
      <c r="F12259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59" s="22" t="s">
        <v>112</v>
      </c>
      <c r="H12259" s="22" t="s">
        <v>389</v>
      </c>
      <c r="I12259" s="26">
        <v>43664.651388888902</v>
      </c>
      <c r="J12259" s="28" t="s">
        <v>51</v>
      </c>
      <c r="K12259" s="28" t="s">
        <v>51</v>
      </c>
      <c r="L12259" s="28" t="s">
        <v>51</v>
      </c>
      <c r="M12259" s="28" t="s">
        <v>51</v>
      </c>
      <c r="N12259" s="28" t="s">
        <v>51</v>
      </c>
    </row>
    <row r="12260" spans="1:14" hidden="1" outlineLevel="1" x14ac:dyDescent="0.15">
      <c r="A12260" s="23" t="str">
        <f>HYPERLINK("https://www.spark-marketing.ru/Card/Person/151382", "МБОУ ""СРЕДНЯЯ ОБЩЕОБРАЗОВАТЕЛЬНАЯ ШКОЛА № 17"" Г. КАЛУГИ")</f>
        <v>МБОУ "СРЕДНЯЯ ОБЩЕОБРАЗОВАТЕЛЬНАЯ ШКОЛА № 17" Г. КАЛУГИ</v>
      </c>
      <c r="B12260" s="24" t="s">
        <v>16713</v>
      </c>
      <c r="C12260" s="25">
        <v>7982550</v>
      </c>
      <c r="D12260" s="22" t="s">
        <v>16703</v>
      </c>
      <c r="E12260" s="22" t="s">
        <v>48</v>
      </c>
      <c r="F12260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60" s="22" t="s">
        <v>112</v>
      </c>
      <c r="H12260" s="22" t="s">
        <v>389</v>
      </c>
      <c r="I12260" s="26">
        <v>43664.651388888902</v>
      </c>
      <c r="J12260" s="28" t="s">
        <v>51</v>
      </c>
      <c r="K12260" s="28" t="s">
        <v>51</v>
      </c>
      <c r="L12260" s="28" t="s">
        <v>51</v>
      </c>
      <c r="M12260" s="28" t="s">
        <v>51</v>
      </c>
      <c r="N12260" s="28" t="s">
        <v>51</v>
      </c>
    </row>
    <row r="12261" spans="1:14" hidden="1" outlineLevel="1" x14ac:dyDescent="0.15">
      <c r="A12261" s="23" t="str">
        <f>HYPERLINK("https://www.spark-marketing.ru/Card/Person/151402", "МБОУ ""СРЕДНЯЯ ОБЩЕОБРАЗОВАТЕЛЬНАЯ ШКОЛА № 21"" Г. КАЛУГИ")</f>
        <v>МБОУ "СРЕДНЯЯ ОБЩЕОБРАЗОВАТЕЛЬНАЯ ШКОЛА № 21" Г. КАЛУГИ</v>
      </c>
      <c r="B12261" s="24" t="s">
        <v>16714</v>
      </c>
      <c r="C12261" s="25">
        <v>7542150</v>
      </c>
      <c r="D12261" s="22" t="s">
        <v>16703</v>
      </c>
      <c r="E12261" s="22" t="s">
        <v>48</v>
      </c>
      <c r="F12261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61" s="22" t="s">
        <v>112</v>
      </c>
      <c r="H12261" s="22" t="s">
        <v>389</v>
      </c>
      <c r="I12261" s="26">
        <v>43664.651388888902</v>
      </c>
      <c r="J12261" s="28" t="s">
        <v>51</v>
      </c>
      <c r="K12261" s="28" t="s">
        <v>51</v>
      </c>
      <c r="L12261" s="28" t="s">
        <v>51</v>
      </c>
      <c r="M12261" s="28" t="s">
        <v>51</v>
      </c>
      <c r="N12261" s="28" t="s">
        <v>51</v>
      </c>
    </row>
    <row r="12262" spans="1:14" hidden="1" outlineLevel="1" x14ac:dyDescent="0.15">
      <c r="A12262" s="23" t="str">
        <f>HYPERLINK("https://www.spark-marketing.ru/Card/Person/151466", "МБОУ ""СРЕДНЯЯ ОБЩЕОБРАЗОВАТЕЛЬНАЯ ШКОЛА № 12"" Г. КАЛУГИ")</f>
        <v>МБОУ "СРЕДНЯЯ ОБЩЕОБРАЗОВАТЕЛЬНАЯ ШКОЛА № 12" Г. КАЛУГИ</v>
      </c>
      <c r="B12262" s="24" t="s">
        <v>16715</v>
      </c>
      <c r="C12262" s="25">
        <v>16141800</v>
      </c>
      <c r="D12262" s="22" t="s">
        <v>16703</v>
      </c>
      <c r="E12262" s="22" t="s">
        <v>48</v>
      </c>
      <c r="F12262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62" s="22" t="s">
        <v>112</v>
      </c>
      <c r="H12262" s="22" t="s">
        <v>389</v>
      </c>
      <c r="I12262" s="26">
        <v>43664.651388888902</v>
      </c>
      <c r="J12262" s="28" t="s">
        <v>51</v>
      </c>
      <c r="K12262" s="28" t="s">
        <v>51</v>
      </c>
      <c r="L12262" s="28" t="s">
        <v>51</v>
      </c>
      <c r="M12262" s="28" t="s">
        <v>51</v>
      </c>
      <c r="N12262" s="28" t="s">
        <v>51</v>
      </c>
    </row>
    <row r="12263" spans="1:14" hidden="1" outlineLevel="1" x14ac:dyDescent="0.15">
      <c r="A12263" s="23" t="str">
        <f>HYPERLINK("https://www.spark-marketing.ru/Card/Person/151467", "МБОУ ""СРЕДНЯЯ ОБЩЕОБРАЗОВАТЕЛЬНАЯ ШКОЛА № 14"" Г. КАЛУГИ")</f>
        <v>МБОУ "СРЕДНЯЯ ОБЩЕОБРАЗОВАТЕЛЬНАЯ ШКОЛА № 14" Г. КАЛУГИ</v>
      </c>
      <c r="B12263" s="24" t="s">
        <v>16716</v>
      </c>
      <c r="C12263" s="25">
        <v>7265800</v>
      </c>
      <c r="D12263" s="22" t="s">
        <v>16703</v>
      </c>
      <c r="E12263" s="22" t="s">
        <v>48</v>
      </c>
      <c r="F12263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63" s="22" t="s">
        <v>112</v>
      </c>
      <c r="H12263" s="22" t="s">
        <v>389</v>
      </c>
      <c r="I12263" s="26">
        <v>43664.651388888902</v>
      </c>
      <c r="J12263" s="28" t="s">
        <v>51</v>
      </c>
      <c r="K12263" s="28" t="s">
        <v>51</v>
      </c>
      <c r="L12263" s="28" t="s">
        <v>51</v>
      </c>
      <c r="M12263" s="28" t="s">
        <v>51</v>
      </c>
      <c r="N12263" s="28" t="s">
        <v>51</v>
      </c>
    </row>
    <row r="12264" spans="1:14" hidden="1" outlineLevel="1" x14ac:dyDescent="0.15">
      <c r="A12264" s="23" t="str">
        <f>HYPERLINK("https://www.spark-marketing.ru/Card/Person/237137", "МБОУ ""СРЕДНЯЯ ОБЩЕОБРАЗОВАТЕЛЬНАЯ ШКОЛА № 22"" Г. КАЛУГИ.")</f>
        <v>МБОУ "СРЕДНЯЯ ОБЩЕОБРАЗОВАТЕЛЬНАЯ ШКОЛА № 22" Г. КАЛУГИ.</v>
      </c>
      <c r="B12264" s="24" t="s">
        <v>16717</v>
      </c>
      <c r="C12264" s="25">
        <v>8625300</v>
      </c>
      <c r="D12264" s="22" t="s">
        <v>16703</v>
      </c>
      <c r="E12264" s="22" t="s">
        <v>48</v>
      </c>
      <c r="F12264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64" s="22" t="s">
        <v>112</v>
      </c>
      <c r="H12264" s="22" t="s">
        <v>389</v>
      </c>
      <c r="I12264" s="26">
        <v>43664.651388888902</v>
      </c>
      <c r="J12264" s="28" t="s">
        <v>51</v>
      </c>
      <c r="K12264" s="28" t="s">
        <v>51</v>
      </c>
      <c r="L12264" s="28" t="s">
        <v>51</v>
      </c>
      <c r="M12264" s="28" t="s">
        <v>51</v>
      </c>
      <c r="N12264" s="28" t="s">
        <v>51</v>
      </c>
    </row>
    <row r="12265" spans="1:14" hidden="1" outlineLevel="1" x14ac:dyDescent="0.15">
      <c r="A12265" s="23" t="str">
        <f>HYPERLINK("https://www.spark-marketing.ru/Card/Person/237192", "МБОУ ""СРЕДНЯЯ ОБЩЕОБРАЗОВАТЕЛЬНАЯ ШКОЛА № 2 ИМ. М.Ф. КОЛОНТАЕВА"" Г. КАЛУГИ")</f>
        <v>МБОУ "СРЕДНЯЯ ОБЩЕОБРАЗОВАТЕЛЬНАЯ ШКОЛА № 2 ИМ. М.Ф. КОЛОНТАЕВА" Г. КАЛУГИ</v>
      </c>
      <c r="B12265" s="24" t="s">
        <v>16718</v>
      </c>
      <c r="C12265" s="25">
        <v>5250000</v>
      </c>
      <c r="D12265" s="22" t="s">
        <v>16703</v>
      </c>
      <c r="E12265" s="22" t="s">
        <v>48</v>
      </c>
      <c r="F12265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65" s="22" t="s">
        <v>112</v>
      </c>
      <c r="H12265" s="22" t="s">
        <v>389</v>
      </c>
      <c r="I12265" s="26">
        <v>43664.651388888902</v>
      </c>
      <c r="J12265" s="28" t="s">
        <v>51</v>
      </c>
      <c r="K12265" s="28" t="s">
        <v>51</v>
      </c>
      <c r="L12265" s="28" t="s">
        <v>51</v>
      </c>
      <c r="M12265" s="28" t="s">
        <v>51</v>
      </c>
      <c r="N12265" s="28" t="s">
        <v>51</v>
      </c>
    </row>
    <row r="12266" spans="1:14" hidden="1" outlineLevel="1" x14ac:dyDescent="0.15">
      <c r="A12266" s="23" t="str">
        <f>HYPERLINK("https://www.spark-marketing.ru/Card/Person/237197", "МБОУ ""СРЕДНЯЯ ОБЩЕОБРАЗОВАТЕЛЬНАЯ ШКОЛА № 31"" Г. КАЛУГИ")</f>
        <v>МБОУ "СРЕДНЯЯ ОБЩЕОБРАЗОВАТЕЛЬНАЯ ШКОЛА № 31" Г. КАЛУГИ</v>
      </c>
      <c r="B12266" s="24" t="s">
        <v>16719</v>
      </c>
      <c r="C12266" s="25">
        <v>4965250</v>
      </c>
      <c r="D12266" s="22" t="s">
        <v>16703</v>
      </c>
      <c r="E12266" s="22" t="s">
        <v>48</v>
      </c>
      <c r="F12266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66" s="22" t="s">
        <v>112</v>
      </c>
      <c r="H12266" s="22" t="s">
        <v>389</v>
      </c>
      <c r="I12266" s="26">
        <v>43664.651388888902</v>
      </c>
      <c r="J12266" s="28" t="s">
        <v>51</v>
      </c>
      <c r="K12266" s="28" t="s">
        <v>51</v>
      </c>
      <c r="L12266" s="28" t="s">
        <v>51</v>
      </c>
      <c r="M12266" s="28" t="s">
        <v>51</v>
      </c>
      <c r="N12266" s="28" t="s">
        <v>51</v>
      </c>
    </row>
    <row r="12267" spans="1:14" hidden="1" outlineLevel="1" x14ac:dyDescent="0.15">
      <c r="A12267" s="23" t="str">
        <f>HYPERLINK("https://www.spark-marketing.ru/Card/Person/4349451", "МБОУ ""СРЕДНЯЯ ОБЩЕОБРАЗОВАТЕЛЬНАЯ ШКОЛА № 7"" Г. КАЛУГИ")</f>
        <v>МБОУ "СРЕДНЯЯ ОБЩЕОБРАЗОВАТЕЛЬНАЯ ШКОЛА № 7" Г. КАЛУГИ</v>
      </c>
      <c r="B12267" s="24" t="s">
        <v>16720</v>
      </c>
      <c r="C12267" s="25">
        <v>8759250</v>
      </c>
      <c r="D12267" s="22" t="s">
        <v>16703</v>
      </c>
      <c r="E12267" s="22" t="s">
        <v>48</v>
      </c>
      <c r="F12267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67" s="22" t="s">
        <v>112</v>
      </c>
      <c r="H12267" s="22" t="s">
        <v>389</v>
      </c>
      <c r="I12267" s="26">
        <v>43664.651388888902</v>
      </c>
      <c r="J12267" s="28" t="s">
        <v>51</v>
      </c>
      <c r="K12267" s="28" t="s">
        <v>51</v>
      </c>
      <c r="L12267" s="28" t="s">
        <v>51</v>
      </c>
      <c r="M12267" s="28" t="s">
        <v>51</v>
      </c>
      <c r="N12267" s="28" t="s">
        <v>51</v>
      </c>
    </row>
    <row r="12268" spans="1:14" hidden="1" outlineLevel="1" x14ac:dyDescent="0.2">
      <c r="A12268" s="28" t="s">
        <v>51</v>
      </c>
      <c r="B12268" s="28" t="s">
        <v>51</v>
      </c>
      <c r="C12268" s="28" t="s">
        <v>51</v>
      </c>
      <c r="D12268" s="22" t="s">
        <v>16703</v>
      </c>
      <c r="E12268" s="22" t="s">
        <v>48</v>
      </c>
      <c r="F12268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68" s="22" t="s">
        <v>51</v>
      </c>
      <c r="H12268" s="22" t="s">
        <v>51</v>
      </c>
      <c r="I12268" s="26">
        <v>43664.651388888902</v>
      </c>
      <c r="J12268" s="23" t="str">
        <f>HYPERLINK("https://www.spark-marketing.ru/Card/Person/81010", "ООО ""ТД СПП""")</f>
        <v>ООО "ТД СПП"</v>
      </c>
      <c r="K12268" s="24" t="s">
        <v>7782</v>
      </c>
      <c r="L12268" s="28" t="s">
        <v>51</v>
      </c>
      <c r="M12268" s="25">
        <v>104449270</v>
      </c>
      <c r="N12268" s="27">
        <v>0.05</v>
      </c>
    </row>
    <row r="12269" spans="1:14" hidden="1" outlineLevel="1" x14ac:dyDescent="0.15">
      <c r="A12269" s="28" t="s">
        <v>51</v>
      </c>
      <c r="B12269" s="28" t="s">
        <v>51</v>
      </c>
      <c r="C12269" s="28" t="s">
        <v>51</v>
      </c>
      <c r="D12269" s="22" t="s">
        <v>16703</v>
      </c>
      <c r="E12269" s="22" t="s">
        <v>48</v>
      </c>
      <c r="F12269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69" s="22" t="s">
        <v>51</v>
      </c>
      <c r="H12269" s="22" t="s">
        <v>51</v>
      </c>
      <c r="I12269" s="26">
        <v>43664.651388888902</v>
      </c>
      <c r="J12269" s="23" t="str">
        <f>HYPERLINK("https://www.spark-marketing.ru/Card/Person/91324", "ООО ""КАЛУЖСКИЙ КОМБИНАТ ШКОЛЬНОГО ПИТАНИЯ""")</f>
        <v>ООО "КАЛУЖСКИЙ КОМБИНАТ ШКОЛЬНОГО ПИТАНИЯ"</v>
      </c>
      <c r="K12269" s="24" t="s">
        <v>14829</v>
      </c>
      <c r="L12269" s="28" t="s">
        <v>51</v>
      </c>
      <c r="M12269" s="28" t="s">
        <v>51</v>
      </c>
      <c r="N12269" s="28" t="s">
        <v>51</v>
      </c>
    </row>
    <row r="12270" spans="1:14" hidden="1" outlineLevel="1" x14ac:dyDescent="0.15">
      <c r="A12270" s="28" t="s">
        <v>51</v>
      </c>
      <c r="B12270" s="28" t="s">
        <v>51</v>
      </c>
      <c r="C12270" s="28" t="s">
        <v>51</v>
      </c>
      <c r="D12270" s="22" t="s">
        <v>16703</v>
      </c>
      <c r="E12270" s="22" t="s">
        <v>48</v>
      </c>
      <c r="F12270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70" s="22" t="s">
        <v>51</v>
      </c>
      <c r="H12270" s="22" t="s">
        <v>51</v>
      </c>
      <c r="I12270" s="26">
        <v>43664.651388888902</v>
      </c>
      <c r="J12270" s="23" t="str">
        <f>HYPERLINK("https://www.spark-marketing.ru/Card/Person/54026", "ООО ""КПК""")</f>
        <v>ООО "КПК"</v>
      </c>
      <c r="K12270" s="24" t="s">
        <v>7348</v>
      </c>
      <c r="L12270" s="28" t="s">
        <v>51</v>
      </c>
      <c r="M12270" s="28" t="s">
        <v>51</v>
      </c>
      <c r="N12270" s="28" t="s">
        <v>51</v>
      </c>
    </row>
    <row r="12271" spans="1:14" hidden="1" outlineLevel="1" x14ac:dyDescent="0.15">
      <c r="A12271" s="28" t="s">
        <v>51</v>
      </c>
      <c r="B12271" s="28" t="s">
        <v>51</v>
      </c>
      <c r="C12271" s="28" t="s">
        <v>51</v>
      </c>
      <c r="D12271" s="22" t="s">
        <v>16703</v>
      </c>
      <c r="E12271" s="22" t="s">
        <v>48</v>
      </c>
      <c r="F12271" s="23" t="str">
        <f t="shared" si="375"/>
        <v>Оказание услуг по организации централизованного питания обучающихся муниципальных бюджетных общеобразовательных учреждений МО «Город Калуга»</v>
      </c>
      <c r="G12271" s="22" t="s">
        <v>51</v>
      </c>
      <c r="H12271" s="22" t="s">
        <v>51</v>
      </c>
      <c r="I12271" s="26">
        <v>43664.651388888902</v>
      </c>
      <c r="J12271" s="23" t="str">
        <f>HYPERLINK("https://www.spark-marketing.ru/Card/Person/4349291", "Сарычева Татьяна Семеновна")</f>
        <v>Сарычева Татьяна Семеновна</v>
      </c>
      <c r="K12271" s="24" t="s">
        <v>16663</v>
      </c>
      <c r="L12271" s="28" t="s">
        <v>51</v>
      </c>
      <c r="M12271" s="28" t="s">
        <v>51</v>
      </c>
      <c r="N12271" s="28" t="s">
        <v>51</v>
      </c>
    </row>
    <row r="12272" spans="1:14" x14ac:dyDescent="0.2">
      <c r="A12272" s="23" t="str">
        <f>HYPERLINK("https://www.spark-marketing.ru/Card/Person/139116", "ГБОУ ""ВОЛГОГРАДСКАЯ ШКОЛА-ИНТЕРНАТ ""НАДЕЖДА""")</f>
        <v>ГБОУ "ВОЛГОГРАДСКАЯ ШКОЛА-ИНТЕРНАТ "НАДЕЖДА"</v>
      </c>
      <c r="B12272" s="24" t="s">
        <v>16721</v>
      </c>
      <c r="C12272" s="25">
        <v>9303370.3300000001</v>
      </c>
      <c r="D12272" s="22" t="s">
        <v>16722</v>
      </c>
      <c r="E12272" s="22" t="s">
        <v>48</v>
      </c>
      <c r="F12272" s="23" t="str">
        <f>HYPERLINK("https://www.spark-marketing.ru/Card/Lot/72190649", "Оказание услуг по обеспечению питанием")</f>
        <v>Оказание услуг по обеспечению питанием</v>
      </c>
      <c r="G12272" s="22" t="s">
        <v>158</v>
      </c>
      <c r="H12272" s="22" t="s">
        <v>171</v>
      </c>
      <c r="I12272" s="26">
        <v>43664.650694444397</v>
      </c>
      <c r="J12272" s="23" t="str">
        <f>HYPERLINK("https://www.spark-marketing.ru/Card/Person/89292", "ООО ""СЛАВИА""")</f>
        <v>ООО "СЛАВИА"</v>
      </c>
      <c r="K12272" s="24" t="s">
        <v>13822</v>
      </c>
      <c r="L12272" s="28" t="s">
        <v>51</v>
      </c>
      <c r="M12272" s="25">
        <v>9303370.3300000001</v>
      </c>
      <c r="N12272" s="27">
        <v>0</v>
      </c>
    </row>
    <row r="12273" spans="1:14" x14ac:dyDescent="0.2">
      <c r="A12273" s="23" t="str">
        <f>HYPERLINK("https://www.spark-marketing.ru/Card/Person/128063", "МБОУ ""СШ №25""")</f>
        <v>МБОУ "СШ №25"</v>
      </c>
      <c r="B12273" s="24" t="s">
        <v>16723</v>
      </c>
      <c r="C12273" s="25">
        <v>9753004.8000000007</v>
      </c>
      <c r="D12273" s="22" t="s">
        <v>16724</v>
      </c>
      <c r="E12273" s="22" t="s">
        <v>48</v>
      </c>
      <c r="F12273" s="23" t="str">
        <f>HYPERLINK("https://www.spark-marketing.ru/Card/Lot/72185925", "Оказание услуг по организации в 2019-2020 учебном году питания обучающихся муниципального бюджетного общеобразовательного учреждения «Средняя школа №25""")</f>
        <v>Оказание услуг по организации в 2019-2020 учебном году питания обучающихся муниципального бюджетного общеобразовательного учреждения «Средняя школа №25"</v>
      </c>
      <c r="G12273" s="22" t="s">
        <v>97</v>
      </c>
      <c r="H12273" s="22" t="s">
        <v>97</v>
      </c>
      <c r="I12273" s="26">
        <v>43664.651388888902</v>
      </c>
      <c r="J12273" s="23" t="str">
        <f>HYPERLINK("https://www.spark-marketing.ru/Card/Person/146741", "ООО ""СОВУШКА""")</f>
        <v>ООО "СОВУШКА"</v>
      </c>
      <c r="K12273" s="24" t="s">
        <v>16725</v>
      </c>
      <c r="L12273" s="28" t="s">
        <v>51</v>
      </c>
      <c r="M12273" s="25">
        <v>9753004.8000000007</v>
      </c>
      <c r="N12273" s="27">
        <v>0</v>
      </c>
    </row>
    <row r="12274" spans="1:14" x14ac:dyDescent="0.2">
      <c r="A12274" s="23" t="str">
        <f>HYPERLINK("https://www.spark-marketing.ru/Card/Person/4376297", "ГАУ ЦК РБ ККС ""АКБУЗАТ""")</f>
        <v>ГАУ ЦК РБ ККС "АКБУЗАТ"</v>
      </c>
      <c r="B12274" s="24" t="s">
        <v>16726</v>
      </c>
      <c r="C12274" s="25">
        <v>656750</v>
      </c>
      <c r="D12274" s="22" t="s">
        <v>16727</v>
      </c>
      <c r="E12274" s="22" t="s">
        <v>362</v>
      </c>
      <c r="F12274" s="23" t="str">
        <f>HYPERLINK("https://www.spark-marketing.ru/Card/Lot/72199862", "Оказание комплекса услуг, связанных с обеспечением спортсменов и представителей иностранных государств (гостиничное обслуживание, транспортное обслуживание, обеспечение питания, услуги переводчиков и прочие сопутствующие расходы).")</f>
        <v>Оказание комплекса услуг, связанных с обеспечением спортсменов и представителей иностранных государств (гостиничное обслуживание, транспортное обслуживание, обеспечение питания, услуги переводчиков и прочие сопутствующие расходы).</v>
      </c>
      <c r="G12274" s="22" t="s">
        <v>145</v>
      </c>
      <c r="H12274" s="22" t="s">
        <v>145</v>
      </c>
      <c r="I12274" s="26">
        <v>43664.6479398148</v>
      </c>
      <c r="J12274" s="28" t="s">
        <v>51</v>
      </c>
      <c r="K12274" s="28" t="s">
        <v>51</v>
      </c>
      <c r="L12274" s="28" t="s">
        <v>51</v>
      </c>
      <c r="M12274" s="25">
        <v>656750</v>
      </c>
      <c r="N12274" s="27">
        <v>0</v>
      </c>
    </row>
    <row r="12275" spans="1:14" ht="12.75" x14ac:dyDescent="0.2">
      <c r="A12275" s="23" t="str">
        <f>HYPERLINK("https://www.spark-marketing.ru/Card/Person/6574971", "ГБУЗ КО ""КГБ №5""")</f>
        <v>ГБУЗ КО "КГБ №5"</v>
      </c>
      <c r="B12275" s="24" t="s">
        <v>16728</v>
      </c>
      <c r="C12275" s="25">
        <v>498780</v>
      </c>
      <c r="D12275" s="22" t="s">
        <v>16729</v>
      </c>
      <c r="E12275" s="22" t="s">
        <v>48</v>
      </c>
      <c r="F12275" s="23" t="str">
        <f>HYPERLINK("https://www.spark-marketing.ru/Card/Lot/72191049", "Оказание услуг по организации питания")</f>
        <v>Оказание услуг по организации питания</v>
      </c>
      <c r="G12275" s="22" t="s">
        <v>112</v>
      </c>
      <c r="H12275" s="22" t="s">
        <v>16730</v>
      </c>
      <c r="I12275" s="26">
        <v>43664.634108796301</v>
      </c>
      <c r="J12275" s="23" t="str">
        <f>HYPERLINK("https://www.spark-marketing.ru/Card/Person/5792103", "Геворгян Наира Карлосовна")</f>
        <v>Геворгян Наира Карлосовна</v>
      </c>
      <c r="K12275" s="24" t="s">
        <v>16731</v>
      </c>
      <c r="L12275" s="22" t="s">
        <v>10</v>
      </c>
      <c r="M12275" s="25">
        <v>49800</v>
      </c>
      <c r="N12275" s="27">
        <v>0.90015638157103328</v>
      </c>
    </row>
    <row r="12276" spans="1:14" x14ac:dyDescent="0.15">
      <c r="A12276" s="23" t="str">
        <f>HYPERLINK("https://www.spark-marketing.ru/Card/Person/150419", "ОМВД РОССИИ ПО Г. КРАСНОКАМЕНСКУ И КРАСНОКАМЕНСКОМУ РАЙОНУ")</f>
        <v>ОМВД РОССИИ ПО Г. КРАСНОКАМЕНСКУ И КРАСНОКАМЕНСКОМУ РАЙОНУ</v>
      </c>
      <c r="B12276" s="24" t="s">
        <v>16732</v>
      </c>
      <c r="C12276" s="25">
        <v>1099991.8799999999</v>
      </c>
      <c r="D12276" s="22" t="s">
        <v>16733</v>
      </c>
      <c r="E12276" s="22" t="s">
        <v>48</v>
      </c>
      <c r="F12276" s="23" t="str">
        <f>HYPERLINK("https://www.spark-marketing.ru/Card/Lot/72201609", "Оказание услуг по приготовлению и поставке горячего питания для лиц административно-задержанных содержащихся в КСЗЛ и административно-арестованных, подозреваемых и обвиняемых, содержащихся в ИВС")</f>
        <v>Оказание услуг по приготовлению и поставке горячего питания для лиц административно-задержанных содержащихся в КСЗЛ и административно-арестованных, подозреваемых и обвиняемых, содержащихся в ИВС</v>
      </c>
      <c r="G12276" s="22" t="s">
        <v>228</v>
      </c>
      <c r="H12276" s="22" t="s">
        <v>228</v>
      </c>
      <c r="I12276" s="26">
        <v>43664.645104166702</v>
      </c>
      <c r="J12276" s="23" t="str">
        <f>HYPERLINK("https://www.spark-marketing.ru/Card/Person/652310", "ФКУ ИК-10 УФСИН РОССИИ ПО ЗАБАЙКАЛЬСКОМУ КРАЮ")</f>
        <v>ФКУ ИК-10 УФСИН РОССИИ ПО ЗАБАЙКАЛЬСКОМУ КРАЮ</v>
      </c>
      <c r="K12276" s="24" t="s">
        <v>16734</v>
      </c>
      <c r="L12276" s="22" t="s">
        <v>10</v>
      </c>
      <c r="M12276" s="28" t="s">
        <v>51</v>
      </c>
      <c r="N12276" s="28" t="s">
        <v>51</v>
      </c>
    </row>
    <row r="12277" spans="1:14" collapsed="1" x14ac:dyDescent="0.15">
      <c r="A12277" s="23" t="str">
        <f>HYPERLINK("https://www.spark-marketing.ru/Card/Person/1003402", "МБДОУ ""ЦРР - ДЕТСКИЙ САД № 15""")</f>
        <v>МБДОУ "ЦРР - ДЕТСКИЙ САД № 15"</v>
      </c>
      <c r="B12277" s="24" t="s">
        <v>16735</v>
      </c>
      <c r="C12277" s="25">
        <v>3238397.77</v>
      </c>
      <c r="D12277" s="22" t="s">
        <v>16736</v>
      </c>
      <c r="E12277" s="22" t="s">
        <v>96</v>
      </c>
      <c r="F12277" s="23" t="str">
        <f>HYPERLINK("https://www.spark-marketing.ru/Card/Lot/72184677", "ОКАЗАНИЕ УСЛУГ ПО ОРГАНИЗАЦИИ ПИТАНИЯ ВОСПИТАННИКОВ")</f>
        <v>ОКАЗАНИЕ УСЛУГ ПО ОРГАНИЗАЦИИ ПИТАНИЯ ВОСПИТАННИКОВ</v>
      </c>
      <c r="G12277" s="22" t="s">
        <v>153</v>
      </c>
      <c r="H12277" s="22" t="s">
        <v>153</v>
      </c>
      <c r="I12277" s="26">
        <v>43664.645138888904</v>
      </c>
      <c r="J12277" s="28" t="s">
        <v>51</v>
      </c>
      <c r="K12277" s="28" t="s">
        <v>51</v>
      </c>
      <c r="L12277" s="28" t="s">
        <v>51</v>
      </c>
      <c r="M12277" s="28" t="s">
        <v>51</v>
      </c>
      <c r="N12277" s="28" t="s">
        <v>51</v>
      </c>
    </row>
    <row r="12278" spans="1:14" hidden="1" outlineLevel="1" x14ac:dyDescent="0.2">
      <c r="A12278" s="23" t="str">
        <f>HYPERLINK("https://www.spark-marketing.ru/Card/Person/1003402", "МБДОУ ""ЦРР - ДЕТСКИЙ САД № 15""")</f>
        <v>МБДОУ "ЦРР - ДЕТСКИЙ САД № 15"</v>
      </c>
      <c r="B12278" s="24" t="s">
        <v>16735</v>
      </c>
      <c r="C12278" s="25">
        <v>3238397.77</v>
      </c>
      <c r="D12278" s="22" t="s">
        <v>16736</v>
      </c>
      <c r="E12278" s="22" t="s">
        <v>96</v>
      </c>
      <c r="F12278" s="23" t="str">
        <f>HYPERLINK("https://www.spark-marketing.ru/Card/Lot/72184677", "ОКАЗАНИЕ УСЛУГ ПО ОРГАНИЗАЦИИ ПИТАНИЯ ВОСПИТАННИКОВ")</f>
        <v>ОКАЗАНИЕ УСЛУГ ПО ОРГАНИЗАЦИИ ПИТАНИЯ ВОСПИТАННИКОВ</v>
      </c>
      <c r="G12278" s="22" t="s">
        <v>153</v>
      </c>
      <c r="H12278" s="22" t="s">
        <v>153</v>
      </c>
      <c r="I12278" s="26">
        <v>43664.645138888904</v>
      </c>
      <c r="J12278" s="23" t="str">
        <f>HYPERLINK("https://www.spark-marketing.ru/Card/Person/1016854", "МБУ ""КОМБИНАТ ПИТАНИЯ""")</f>
        <v>МБУ "КОМБИНАТ ПИТАНИЯ"</v>
      </c>
      <c r="K12278" s="24" t="s">
        <v>6224</v>
      </c>
      <c r="L12278" s="28" t="s">
        <v>51</v>
      </c>
      <c r="M12278" s="25">
        <v>3189253.95</v>
      </c>
      <c r="N12278" s="27">
        <v>1.5175350123836084E-2</v>
      </c>
    </row>
    <row r="12279" spans="1:14" ht="12.75" hidden="1" outlineLevel="1" x14ac:dyDescent="0.2">
      <c r="A12279" s="23" t="str">
        <f>HYPERLINK("https://www.spark-marketing.ru/Card/Person/1003402", "МБДОУ ""ЦРР - ДЕТСКИЙ САД № 15""")</f>
        <v>МБДОУ "ЦРР - ДЕТСКИЙ САД № 15"</v>
      </c>
      <c r="B12279" s="24" t="s">
        <v>16735</v>
      </c>
      <c r="C12279" s="25">
        <v>3238397.77</v>
      </c>
      <c r="D12279" s="22" t="s">
        <v>16736</v>
      </c>
      <c r="E12279" s="22" t="s">
        <v>96</v>
      </c>
      <c r="F12279" s="23" t="str">
        <f>HYPERLINK("https://www.spark-marketing.ru/Card/Lot/72184677", "ОКАЗАНИЕ УСЛУГ ПО ОРГАНИЗАЦИИ ПИТАНИЯ ВОСПИТАННИКОВ")</f>
        <v>ОКАЗАНИЕ УСЛУГ ПО ОРГАНИЗАЦИИ ПИТАНИЯ ВОСПИТАННИКОВ</v>
      </c>
      <c r="G12279" s="22" t="s">
        <v>153</v>
      </c>
      <c r="H12279" s="22" t="s">
        <v>153</v>
      </c>
      <c r="I12279" s="26">
        <v>43664.645138888904</v>
      </c>
      <c r="J12279" s="23" t="str">
        <f>HYPERLINK("https://www.spark-marketing.ru/Card/Person/788397", "Меньшатов Станислав Николаевич")</f>
        <v>Меньшатов Станислав Николаевич</v>
      </c>
      <c r="K12279" s="24" t="s">
        <v>6223</v>
      </c>
      <c r="L12279" s="22" t="s">
        <v>10</v>
      </c>
      <c r="M12279" s="25">
        <v>3138007.43</v>
      </c>
      <c r="N12279" s="27">
        <v>3.1000002819295418E-2</v>
      </c>
    </row>
    <row r="12280" spans="1:14" collapsed="1" x14ac:dyDescent="0.15">
      <c r="A12280" s="23" t="s">
        <v>114</v>
      </c>
      <c r="B12280" s="28" t="s">
        <v>51</v>
      </c>
      <c r="C12280" s="25">
        <v>15801484.800000001</v>
      </c>
      <c r="D12280" s="22" t="s">
        <v>16737</v>
      </c>
      <c r="E12280" s="22" t="s">
        <v>48</v>
      </c>
      <c r="F12280" s="23" t="str">
        <f t="shared" ref="F12280:F12303" si="376">HYPERLINK("https://www.spark-marketing.ru/Card/Lot/72189303", "оказание услуг по организации питания учащихся для нужд муниципальных автономных образовательных учреждений")</f>
        <v>оказание услуг по организации питания учащихся для нужд муниципальных автономных образовательных учреждений</v>
      </c>
      <c r="G12280" s="22" t="s">
        <v>51</v>
      </c>
      <c r="H12280" s="22" t="s">
        <v>51</v>
      </c>
      <c r="I12280" s="26">
        <v>43664.620138888902</v>
      </c>
      <c r="J12280" s="28" t="s">
        <v>51</v>
      </c>
      <c r="K12280" s="28" t="s">
        <v>51</v>
      </c>
      <c r="L12280" s="28" t="s">
        <v>51</v>
      </c>
      <c r="M12280" s="28" t="s">
        <v>51</v>
      </c>
      <c r="N12280" s="28" t="s">
        <v>51</v>
      </c>
    </row>
    <row r="12281" spans="1:14" hidden="1" outlineLevel="1" x14ac:dyDescent="0.15">
      <c r="A12281" s="23" t="str">
        <f>HYPERLINK("https://www.spark-marketing.ru/Card/Person/2656", "МАОУ ""СОШ №35 С УГЛУБЛЕННЫМ ИЗУЧЕНИЕМ ОТДЕЛЬНЫХ ПРЕДМЕТОВ""")</f>
        <v>МАОУ "СОШ №35 С УГЛУБЛЕННЫМ ИЗУЧЕНИЕМ ОТДЕЛЬНЫХ ПРЕДМЕТОВ"</v>
      </c>
      <c r="B12281" s="24" t="s">
        <v>16738</v>
      </c>
      <c r="C12281" s="25">
        <v>1331116.8</v>
      </c>
      <c r="D12281" s="22" t="s">
        <v>16737</v>
      </c>
      <c r="E12281" s="22" t="s">
        <v>48</v>
      </c>
      <c r="F12281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81" s="22" t="s">
        <v>217</v>
      </c>
      <c r="H12281" s="22" t="s">
        <v>217</v>
      </c>
      <c r="I12281" s="26">
        <v>43664.620138888902</v>
      </c>
      <c r="J12281" s="28" t="s">
        <v>51</v>
      </c>
      <c r="K12281" s="28" t="s">
        <v>51</v>
      </c>
      <c r="L12281" s="28" t="s">
        <v>51</v>
      </c>
      <c r="M12281" s="28" t="s">
        <v>51</v>
      </c>
      <c r="N12281" s="28" t="s">
        <v>51</v>
      </c>
    </row>
    <row r="12282" spans="1:14" hidden="1" outlineLevel="1" x14ac:dyDescent="0.15">
      <c r="A12282" s="23" t="str">
        <f>HYPERLINK("https://www.spark-marketing.ru/Card/Person/45092", "МАОУ ""СРЕДНЯЯ ШКОЛА №21""")</f>
        <v>МАОУ "СРЕДНЯЯ ШКОЛА №21"</v>
      </c>
      <c r="B12282" s="24" t="s">
        <v>16739</v>
      </c>
      <c r="C12282" s="25">
        <v>880761.6</v>
      </c>
      <c r="D12282" s="22" t="s">
        <v>16737</v>
      </c>
      <c r="E12282" s="22" t="s">
        <v>48</v>
      </c>
      <c r="F12282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82" s="22" t="s">
        <v>217</v>
      </c>
      <c r="H12282" s="22" t="s">
        <v>217</v>
      </c>
      <c r="I12282" s="26">
        <v>43664.620138888902</v>
      </c>
      <c r="J12282" s="28" t="s">
        <v>51</v>
      </c>
      <c r="K12282" s="28" t="s">
        <v>51</v>
      </c>
      <c r="L12282" s="28" t="s">
        <v>51</v>
      </c>
      <c r="M12282" s="28" t="s">
        <v>51</v>
      </c>
      <c r="N12282" s="28" t="s">
        <v>51</v>
      </c>
    </row>
    <row r="12283" spans="1:14" hidden="1" outlineLevel="1" x14ac:dyDescent="0.15">
      <c r="A12283" s="23" t="str">
        <f>HYPERLINK("https://www.spark-marketing.ru/Card/Person/80202", "МАОУ ""ЛИЦЕЙ №78 ИМ. А.С.ПУШКИНА""")</f>
        <v>МАОУ "ЛИЦЕЙ №78 ИМ. А.С.ПУШКИНА"</v>
      </c>
      <c r="B12283" s="24" t="s">
        <v>16740</v>
      </c>
      <c r="C12283" s="25">
        <v>873907.19999999995</v>
      </c>
      <c r="D12283" s="22" t="s">
        <v>16737</v>
      </c>
      <c r="E12283" s="22" t="s">
        <v>48</v>
      </c>
      <c r="F12283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83" s="22" t="s">
        <v>217</v>
      </c>
      <c r="H12283" s="22" t="s">
        <v>217</v>
      </c>
      <c r="I12283" s="26">
        <v>43664.620138888902</v>
      </c>
      <c r="J12283" s="28" t="s">
        <v>51</v>
      </c>
      <c r="K12283" s="28" t="s">
        <v>51</v>
      </c>
      <c r="L12283" s="28" t="s">
        <v>51</v>
      </c>
      <c r="M12283" s="28" t="s">
        <v>51</v>
      </c>
      <c r="N12283" s="28" t="s">
        <v>51</v>
      </c>
    </row>
    <row r="12284" spans="1:14" hidden="1" outlineLevel="1" x14ac:dyDescent="0.15">
      <c r="A12284" s="23" t="str">
        <f>HYPERLINK("https://www.spark-marketing.ru/Card/Person/94327", "МАОУ ""ГИМНАЗИЯ №61""")</f>
        <v>МАОУ "ГИМНАЗИЯ №61"</v>
      </c>
      <c r="B12284" s="24" t="s">
        <v>16741</v>
      </c>
      <c r="C12284" s="25">
        <v>242880</v>
      </c>
      <c r="D12284" s="22" t="s">
        <v>16737</v>
      </c>
      <c r="E12284" s="22" t="s">
        <v>48</v>
      </c>
      <c r="F12284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84" s="22" t="s">
        <v>217</v>
      </c>
      <c r="H12284" s="22" t="s">
        <v>217</v>
      </c>
      <c r="I12284" s="26">
        <v>43664.620138888902</v>
      </c>
      <c r="J12284" s="28" t="s">
        <v>51</v>
      </c>
      <c r="K12284" s="28" t="s">
        <v>51</v>
      </c>
      <c r="L12284" s="28" t="s">
        <v>51</v>
      </c>
      <c r="M12284" s="28" t="s">
        <v>51</v>
      </c>
      <c r="N12284" s="28" t="s">
        <v>51</v>
      </c>
    </row>
    <row r="12285" spans="1:14" hidden="1" outlineLevel="1" x14ac:dyDescent="0.15">
      <c r="A12285" s="23" t="str">
        <f>HYPERLINK("https://www.spark-marketing.ru/Card/Person/103709", "МАОУ ""СОШ №4""")</f>
        <v>МАОУ "СОШ №4"</v>
      </c>
      <c r="B12285" s="24" t="s">
        <v>16742</v>
      </c>
      <c r="C12285" s="25">
        <v>718790.4</v>
      </c>
      <c r="D12285" s="22" t="s">
        <v>16737</v>
      </c>
      <c r="E12285" s="22" t="s">
        <v>48</v>
      </c>
      <c r="F12285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85" s="22" t="s">
        <v>217</v>
      </c>
      <c r="H12285" s="22" t="s">
        <v>217</v>
      </c>
      <c r="I12285" s="26">
        <v>43664.620138888902</v>
      </c>
      <c r="J12285" s="28" t="s">
        <v>51</v>
      </c>
      <c r="K12285" s="28" t="s">
        <v>51</v>
      </c>
      <c r="L12285" s="28" t="s">
        <v>51</v>
      </c>
      <c r="M12285" s="28" t="s">
        <v>51</v>
      </c>
      <c r="N12285" s="28" t="s">
        <v>51</v>
      </c>
    </row>
    <row r="12286" spans="1:14" hidden="1" outlineLevel="1" x14ac:dyDescent="0.15">
      <c r="A12286" s="23" t="str">
        <f>HYPERLINK("https://www.spark-marketing.ru/Card/Person/107934", "МАОУ ""ПРОГИМНАЗИЯ №64""")</f>
        <v>МАОУ "ПРОГИМНАЗИЯ №64"</v>
      </c>
      <c r="B12286" s="24" t="s">
        <v>16743</v>
      </c>
      <c r="C12286" s="25">
        <v>252787.20000000001</v>
      </c>
      <c r="D12286" s="22" t="s">
        <v>16737</v>
      </c>
      <c r="E12286" s="22" t="s">
        <v>48</v>
      </c>
      <c r="F12286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86" s="22" t="s">
        <v>217</v>
      </c>
      <c r="H12286" s="22" t="s">
        <v>217</v>
      </c>
      <c r="I12286" s="26">
        <v>43664.620138888902</v>
      </c>
      <c r="J12286" s="28" t="s">
        <v>51</v>
      </c>
      <c r="K12286" s="28" t="s">
        <v>51</v>
      </c>
      <c r="L12286" s="28" t="s">
        <v>51</v>
      </c>
      <c r="M12286" s="28" t="s">
        <v>51</v>
      </c>
      <c r="N12286" s="28" t="s">
        <v>51</v>
      </c>
    </row>
    <row r="12287" spans="1:14" hidden="1" outlineLevel="1" x14ac:dyDescent="0.15">
      <c r="A12287" s="23" t="str">
        <f>HYPERLINK("https://www.spark-marketing.ru/Card/Person/110071", "МАОУ ""СРЕДНЯЯ ОБЩЕОБРАЗОВАТЕЛЬНАЯ ШКОЛА №55""")</f>
        <v>МАОУ "СРЕДНЯЯ ОБЩЕОБРАЗОВАТЕЛЬНАЯ ШКОЛА №55"</v>
      </c>
      <c r="B12287" s="24" t="s">
        <v>16744</v>
      </c>
      <c r="C12287" s="25">
        <v>640838.40000000002</v>
      </c>
      <c r="D12287" s="22" t="s">
        <v>16737</v>
      </c>
      <c r="E12287" s="22" t="s">
        <v>48</v>
      </c>
      <c r="F12287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87" s="22" t="s">
        <v>217</v>
      </c>
      <c r="H12287" s="22" t="s">
        <v>217</v>
      </c>
      <c r="I12287" s="26">
        <v>43664.620138888902</v>
      </c>
      <c r="J12287" s="28" t="s">
        <v>51</v>
      </c>
      <c r="K12287" s="28" t="s">
        <v>51</v>
      </c>
      <c r="L12287" s="28" t="s">
        <v>51</v>
      </c>
      <c r="M12287" s="28" t="s">
        <v>51</v>
      </c>
      <c r="N12287" s="28" t="s">
        <v>51</v>
      </c>
    </row>
    <row r="12288" spans="1:14" hidden="1" outlineLevel="1" x14ac:dyDescent="0.15">
      <c r="A12288" s="23" t="str">
        <f>HYPERLINK("https://www.spark-marketing.ru/Card/Person/122703", "МАОУ ""ГИМНАЗИЯ №57""")</f>
        <v>МАОУ "ГИМНАЗИЯ №57"</v>
      </c>
      <c r="B12288" s="24" t="s">
        <v>16745</v>
      </c>
      <c r="C12288" s="25">
        <v>487852.79999999999</v>
      </c>
      <c r="D12288" s="22" t="s">
        <v>16737</v>
      </c>
      <c r="E12288" s="22" t="s">
        <v>48</v>
      </c>
      <c r="F12288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88" s="22" t="s">
        <v>217</v>
      </c>
      <c r="H12288" s="22" t="s">
        <v>217</v>
      </c>
      <c r="I12288" s="26">
        <v>43664.620138888902</v>
      </c>
      <c r="J12288" s="28" t="s">
        <v>51</v>
      </c>
      <c r="K12288" s="28" t="s">
        <v>51</v>
      </c>
      <c r="L12288" s="28" t="s">
        <v>51</v>
      </c>
      <c r="M12288" s="28" t="s">
        <v>51</v>
      </c>
      <c r="N12288" s="28" t="s">
        <v>51</v>
      </c>
    </row>
    <row r="12289" spans="1:14" hidden="1" outlineLevel="1" x14ac:dyDescent="0.15">
      <c r="A12289" s="23" t="str">
        <f>HYPERLINK("https://www.spark-marketing.ru/Card/Person/123092", "МАОУ ""СРЕДНЯЯ ОБЩЕОБРАЗОВАТЕЛЬНАЯ ШКОЛА №38""")</f>
        <v>МАОУ "СРЕДНЯЯ ОБЩЕОБРАЗОВАТЕЛЬНАЯ ШКОЛА №38"</v>
      </c>
      <c r="B12289" s="24" t="s">
        <v>16746</v>
      </c>
      <c r="C12289" s="25">
        <v>876902.40000000002</v>
      </c>
      <c r="D12289" s="22" t="s">
        <v>16737</v>
      </c>
      <c r="E12289" s="22" t="s">
        <v>48</v>
      </c>
      <c r="F12289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89" s="22" t="s">
        <v>217</v>
      </c>
      <c r="H12289" s="22" t="s">
        <v>217</v>
      </c>
      <c r="I12289" s="26">
        <v>43664.620138888902</v>
      </c>
      <c r="J12289" s="28" t="s">
        <v>51</v>
      </c>
      <c r="K12289" s="28" t="s">
        <v>51</v>
      </c>
      <c r="L12289" s="28" t="s">
        <v>51</v>
      </c>
      <c r="M12289" s="28" t="s">
        <v>51</v>
      </c>
      <c r="N12289" s="28" t="s">
        <v>51</v>
      </c>
    </row>
    <row r="12290" spans="1:14" hidden="1" outlineLevel="1" x14ac:dyDescent="0.15">
      <c r="A12290" s="23" t="str">
        <f>HYPERLINK("https://www.spark-marketing.ru/Card/Person/123093", "МАОУ ""СОШ №40 С УГЛУБЛЕННЫМ ИЗУЧЕНИЕМ ОТДЕЛЬНЫХ ПРЕДМЕТОВ""")</f>
        <v>МАОУ "СОШ №40 С УГЛУБЛЕННЫМ ИЗУЧЕНИЕМ ОТДЕЛЬНЫХ ПРЕДМЕТОВ"</v>
      </c>
      <c r="B12290" s="24" t="s">
        <v>16747</v>
      </c>
      <c r="C12290" s="25">
        <v>901824</v>
      </c>
      <c r="D12290" s="22" t="s">
        <v>16737</v>
      </c>
      <c r="E12290" s="22" t="s">
        <v>48</v>
      </c>
      <c r="F12290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90" s="22" t="s">
        <v>217</v>
      </c>
      <c r="H12290" s="22" t="s">
        <v>217</v>
      </c>
      <c r="I12290" s="26">
        <v>43664.620138888902</v>
      </c>
      <c r="J12290" s="28" t="s">
        <v>51</v>
      </c>
      <c r="K12290" s="28" t="s">
        <v>51</v>
      </c>
      <c r="L12290" s="28" t="s">
        <v>51</v>
      </c>
      <c r="M12290" s="28" t="s">
        <v>51</v>
      </c>
      <c r="N12290" s="28" t="s">
        <v>51</v>
      </c>
    </row>
    <row r="12291" spans="1:14" hidden="1" outlineLevel="1" x14ac:dyDescent="0.15">
      <c r="A12291" s="23" t="str">
        <f>HYPERLINK("https://www.spark-marketing.ru/Card/Person/123097", "МАОУ ""ГИМНАЗИЯ №76""")</f>
        <v>МАОУ "ГИМНАЗИЯ №76"</v>
      </c>
      <c r="B12291" s="24" t="s">
        <v>16748</v>
      </c>
      <c r="C12291" s="25">
        <v>717676.8</v>
      </c>
      <c r="D12291" s="22" t="s">
        <v>16737</v>
      </c>
      <c r="E12291" s="22" t="s">
        <v>48</v>
      </c>
      <c r="F12291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91" s="22" t="s">
        <v>217</v>
      </c>
      <c r="H12291" s="22" t="s">
        <v>217</v>
      </c>
      <c r="I12291" s="26">
        <v>43664.620138888902</v>
      </c>
      <c r="J12291" s="28" t="s">
        <v>51</v>
      </c>
      <c r="K12291" s="28" t="s">
        <v>51</v>
      </c>
      <c r="L12291" s="28" t="s">
        <v>51</v>
      </c>
      <c r="M12291" s="28" t="s">
        <v>51</v>
      </c>
      <c r="N12291" s="28" t="s">
        <v>51</v>
      </c>
    </row>
    <row r="12292" spans="1:14" hidden="1" outlineLevel="1" x14ac:dyDescent="0.15">
      <c r="A12292" s="23" t="str">
        <f>HYPERLINK("https://www.spark-marketing.ru/Card/Person/123104", "МАОУ ""СОШ №48""")</f>
        <v>МАОУ "СОШ №48"</v>
      </c>
      <c r="B12292" s="24" t="s">
        <v>16749</v>
      </c>
      <c r="C12292" s="25">
        <v>417734.40000000002</v>
      </c>
      <c r="D12292" s="22" t="s">
        <v>16737</v>
      </c>
      <c r="E12292" s="22" t="s">
        <v>48</v>
      </c>
      <c r="F12292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92" s="22" t="s">
        <v>217</v>
      </c>
      <c r="H12292" s="22" t="s">
        <v>217</v>
      </c>
      <c r="I12292" s="26">
        <v>43664.620138888902</v>
      </c>
      <c r="J12292" s="28" t="s">
        <v>51</v>
      </c>
      <c r="K12292" s="28" t="s">
        <v>51</v>
      </c>
      <c r="L12292" s="28" t="s">
        <v>51</v>
      </c>
      <c r="M12292" s="28" t="s">
        <v>51</v>
      </c>
      <c r="N12292" s="28" t="s">
        <v>51</v>
      </c>
    </row>
    <row r="12293" spans="1:14" hidden="1" outlineLevel="1" x14ac:dyDescent="0.15">
      <c r="A12293" s="23" t="str">
        <f>HYPERLINK("https://www.spark-marketing.ru/Card/Person/123111", "МАОУ ""СРЕДНЯЯ ОБЩЕОБРАЗОВАТЕЛЬНАЯ ШКОЛА №56""")</f>
        <v>МАОУ "СРЕДНЯЯ ОБЩЕОБРАЗОВАТЕЛЬНАЯ ШКОЛА №56"</v>
      </c>
      <c r="B12293" s="24" t="s">
        <v>16750</v>
      </c>
      <c r="C12293" s="25">
        <v>1086700.8</v>
      </c>
      <c r="D12293" s="22" t="s">
        <v>16737</v>
      </c>
      <c r="E12293" s="22" t="s">
        <v>48</v>
      </c>
      <c r="F12293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93" s="22" t="s">
        <v>217</v>
      </c>
      <c r="H12293" s="22" t="s">
        <v>217</v>
      </c>
      <c r="I12293" s="26">
        <v>43664.620138888902</v>
      </c>
      <c r="J12293" s="28" t="s">
        <v>51</v>
      </c>
      <c r="K12293" s="28" t="s">
        <v>51</v>
      </c>
      <c r="L12293" s="28" t="s">
        <v>51</v>
      </c>
      <c r="M12293" s="28" t="s">
        <v>51</v>
      </c>
      <c r="N12293" s="28" t="s">
        <v>51</v>
      </c>
    </row>
    <row r="12294" spans="1:14" hidden="1" outlineLevel="1" x14ac:dyDescent="0.15">
      <c r="A12294" s="23" t="str">
        <f>HYPERLINK("https://www.spark-marketing.ru/Card/Person/123171", "МАОУ ""СОШ №34 С УГЛУБЛЕННЫМ ИЗУЧЕНИЕМ ОТДЕЛЬНЫХ ПРЕДМЕТОВ""")</f>
        <v>МАОУ "СОШ №34 С УГЛУБЛЕННЫМ ИЗУЧЕНИЕМ ОТДЕЛЬНЫХ ПРЕДМЕТОВ"</v>
      </c>
      <c r="B12294" s="24" t="s">
        <v>16751</v>
      </c>
      <c r="C12294" s="25">
        <v>1031788.8</v>
      </c>
      <c r="D12294" s="22" t="s">
        <v>16737</v>
      </c>
      <c r="E12294" s="22" t="s">
        <v>48</v>
      </c>
      <c r="F12294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94" s="22" t="s">
        <v>217</v>
      </c>
      <c r="H12294" s="22" t="s">
        <v>217</v>
      </c>
      <c r="I12294" s="26">
        <v>43664.620138888902</v>
      </c>
      <c r="J12294" s="28" t="s">
        <v>51</v>
      </c>
      <c r="K12294" s="28" t="s">
        <v>51</v>
      </c>
      <c r="L12294" s="28" t="s">
        <v>51</v>
      </c>
      <c r="M12294" s="28" t="s">
        <v>51</v>
      </c>
      <c r="N12294" s="28" t="s">
        <v>51</v>
      </c>
    </row>
    <row r="12295" spans="1:14" hidden="1" outlineLevel="1" x14ac:dyDescent="0.15">
      <c r="A12295" s="23" t="str">
        <f>HYPERLINK("https://www.spark-marketing.ru/Card/Person/123261", "МАОУ ""ЛИЦЕЙ-ИНТЕРНАТ №84 ИМЕНИ ГАЛИ АКЫША""")</f>
        <v>МАОУ "ЛИЦЕЙ-ИНТЕРНАТ №84 ИМЕНИ ГАЛИ АКЫША"</v>
      </c>
      <c r="B12295" s="24" t="s">
        <v>16752</v>
      </c>
      <c r="C12295" s="25">
        <v>1253049.6000000001</v>
      </c>
      <c r="D12295" s="22" t="s">
        <v>16737</v>
      </c>
      <c r="E12295" s="22" t="s">
        <v>48</v>
      </c>
      <c r="F12295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95" s="22" t="s">
        <v>217</v>
      </c>
      <c r="H12295" s="22" t="s">
        <v>217</v>
      </c>
      <c r="I12295" s="26">
        <v>43664.620138888902</v>
      </c>
      <c r="J12295" s="28" t="s">
        <v>51</v>
      </c>
      <c r="K12295" s="28" t="s">
        <v>51</v>
      </c>
      <c r="L12295" s="28" t="s">
        <v>51</v>
      </c>
      <c r="M12295" s="28" t="s">
        <v>51</v>
      </c>
      <c r="N12295" s="28" t="s">
        <v>51</v>
      </c>
    </row>
    <row r="12296" spans="1:14" hidden="1" outlineLevel="1" x14ac:dyDescent="0.15">
      <c r="A12296" s="23" t="str">
        <f>HYPERLINK("https://www.spark-marketing.ru/Card/Person/123336", "МАОУ ""ГИМНАЗИЯ №77""")</f>
        <v>МАОУ "ГИМНАЗИЯ №77"</v>
      </c>
      <c r="B12296" s="24" t="s">
        <v>16753</v>
      </c>
      <c r="C12296" s="25">
        <v>669523.19999999995</v>
      </c>
      <c r="D12296" s="22" t="s">
        <v>16737</v>
      </c>
      <c r="E12296" s="22" t="s">
        <v>48</v>
      </c>
      <c r="F12296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96" s="22" t="s">
        <v>217</v>
      </c>
      <c r="H12296" s="22" t="s">
        <v>217</v>
      </c>
      <c r="I12296" s="26">
        <v>43664.620138888902</v>
      </c>
      <c r="J12296" s="28" t="s">
        <v>51</v>
      </c>
      <c r="K12296" s="28" t="s">
        <v>51</v>
      </c>
      <c r="L12296" s="28" t="s">
        <v>51</v>
      </c>
      <c r="M12296" s="28" t="s">
        <v>51</v>
      </c>
      <c r="N12296" s="28" t="s">
        <v>51</v>
      </c>
    </row>
    <row r="12297" spans="1:14" hidden="1" outlineLevel="1" x14ac:dyDescent="0.15">
      <c r="A12297" s="23" t="str">
        <f>HYPERLINK("https://www.spark-marketing.ru/Card/Person/123645", "МАОУ ""СРЕДНЯЯ ОБЩЕОБРАЗОВАТЕЛЬНАЯ ШКОЛА №15""")</f>
        <v>МАОУ "СРЕДНЯЯ ОБЩЕОБРАЗОВАТЕЛЬНАЯ ШКОЛА №15"</v>
      </c>
      <c r="B12297" s="24" t="s">
        <v>16754</v>
      </c>
      <c r="C12297" s="25">
        <v>1149024</v>
      </c>
      <c r="D12297" s="22" t="s">
        <v>16737</v>
      </c>
      <c r="E12297" s="22" t="s">
        <v>48</v>
      </c>
      <c r="F12297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97" s="22" t="s">
        <v>217</v>
      </c>
      <c r="H12297" s="22" t="s">
        <v>217</v>
      </c>
      <c r="I12297" s="26">
        <v>43664.620138888902</v>
      </c>
      <c r="J12297" s="28" t="s">
        <v>51</v>
      </c>
      <c r="K12297" s="28" t="s">
        <v>51</v>
      </c>
      <c r="L12297" s="28" t="s">
        <v>51</v>
      </c>
      <c r="M12297" s="28" t="s">
        <v>51</v>
      </c>
      <c r="N12297" s="28" t="s">
        <v>51</v>
      </c>
    </row>
    <row r="12298" spans="1:14" hidden="1" outlineLevel="1" x14ac:dyDescent="0.15">
      <c r="A12298" s="23" t="str">
        <f>HYPERLINK("https://www.spark-marketing.ru/Card/Person/123647", "МАОУ ""СРЕДНЯЯ ОБЩЕОБРАЗОВАТЕЛЬНАЯ ШКОЛА №17""")</f>
        <v>МАОУ "СРЕДНЯЯ ОБЩЕОБРАЗОВАТЕЛЬНАЯ ШКОЛА №17"</v>
      </c>
      <c r="B12298" s="24" t="s">
        <v>16755</v>
      </c>
      <c r="C12298" s="25">
        <v>505228.79999999999</v>
      </c>
      <c r="D12298" s="22" t="s">
        <v>16737</v>
      </c>
      <c r="E12298" s="22" t="s">
        <v>48</v>
      </c>
      <c r="F12298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98" s="22" t="s">
        <v>217</v>
      </c>
      <c r="H12298" s="22" t="s">
        <v>217</v>
      </c>
      <c r="I12298" s="26">
        <v>43664.620138888902</v>
      </c>
      <c r="J12298" s="28" t="s">
        <v>51</v>
      </c>
      <c r="K12298" s="28" t="s">
        <v>51</v>
      </c>
      <c r="L12298" s="28" t="s">
        <v>51</v>
      </c>
      <c r="M12298" s="28" t="s">
        <v>51</v>
      </c>
      <c r="N12298" s="28" t="s">
        <v>51</v>
      </c>
    </row>
    <row r="12299" spans="1:14" hidden="1" outlineLevel="1" x14ac:dyDescent="0.15">
      <c r="A12299" s="23" t="str">
        <f>HYPERLINK("https://www.spark-marketing.ru/Card/Person/123781", "МАОУ ""СРЕДНЯЯ ШКОЛА №50""")</f>
        <v>МАОУ "СРЕДНЯЯ ШКОЛА №50"</v>
      </c>
      <c r="B12299" s="24" t="s">
        <v>16756</v>
      </c>
      <c r="C12299" s="25">
        <v>712108.8</v>
      </c>
      <c r="D12299" s="22" t="s">
        <v>16737</v>
      </c>
      <c r="E12299" s="22" t="s">
        <v>48</v>
      </c>
      <c r="F12299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299" s="22" t="s">
        <v>217</v>
      </c>
      <c r="H12299" s="22" t="s">
        <v>217</v>
      </c>
      <c r="I12299" s="26">
        <v>43664.620138888902</v>
      </c>
      <c r="J12299" s="28" t="s">
        <v>51</v>
      </c>
      <c r="K12299" s="28" t="s">
        <v>51</v>
      </c>
      <c r="L12299" s="28" t="s">
        <v>51</v>
      </c>
      <c r="M12299" s="28" t="s">
        <v>51</v>
      </c>
      <c r="N12299" s="28" t="s">
        <v>51</v>
      </c>
    </row>
    <row r="12300" spans="1:14" hidden="1" outlineLevel="1" x14ac:dyDescent="0.15">
      <c r="A12300" s="23" t="str">
        <f>HYPERLINK("https://www.spark-marketing.ru/Card/Person/123796", "МАОУ ""СОШ №51""")</f>
        <v>МАОУ "СОШ №51"</v>
      </c>
      <c r="B12300" s="24" t="s">
        <v>16757</v>
      </c>
      <c r="C12300" s="25">
        <v>662784</v>
      </c>
      <c r="D12300" s="22" t="s">
        <v>16737</v>
      </c>
      <c r="E12300" s="22" t="s">
        <v>48</v>
      </c>
      <c r="F12300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300" s="22" t="s">
        <v>217</v>
      </c>
      <c r="H12300" s="22" t="s">
        <v>217</v>
      </c>
      <c r="I12300" s="26">
        <v>43664.620138888902</v>
      </c>
      <c r="J12300" s="28" t="s">
        <v>51</v>
      </c>
      <c r="K12300" s="28" t="s">
        <v>51</v>
      </c>
      <c r="L12300" s="28" t="s">
        <v>51</v>
      </c>
      <c r="M12300" s="28" t="s">
        <v>51</v>
      </c>
      <c r="N12300" s="28" t="s">
        <v>51</v>
      </c>
    </row>
    <row r="12301" spans="1:14" hidden="1" outlineLevel="1" x14ac:dyDescent="0.15">
      <c r="A12301" s="23" t="str">
        <f>HYPERLINK("https://www.spark-marketing.ru/Card/Person/123876", "МАОУ ""ЛИТ №36""")</f>
        <v>МАОУ "ЛИТ №36"</v>
      </c>
      <c r="B12301" s="24" t="s">
        <v>16758</v>
      </c>
      <c r="C12301" s="25">
        <v>388204.79999999999</v>
      </c>
      <c r="D12301" s="22" t="s">
        <v>16737</v>
      </c>
      <c r="E12301" s="22" t="s">
        <v>48</v>
      </c>
      <c r="F12301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301" s="22" t="s">
        <v>217</v>
      </c>
      <c r="H12301" s="22" t="s">
        <v>217</v>
      </c>
      <c r="I12301" s="26">
        <v>43664.620138888902</v>
      </c>
      <c r="J12301" s="28" t="s">
        <v>51</v>
      </c>
      <c r="K12301" s="28" t="s">
        <v>51</v>
      </c>
      <c r="L12301" s="28" t="s">
        <v>51</v>
      </c>
      <c r="M12301" s="28" t="s">
        <v>51</v>
      </c>
      <c r="N12301" s="28" t="s">
        <v>51</v>
      </c>
    </row>
    <row r="12302" spans="1:14" hidden="1" outlineLevel="1" x14ac:dyDescent="0.2">
      <c r="A12302" s="28" t="s">
        <v>51</v>
      </c>
      <c r="B12302" s="28" t="s">
        <v>51</v>
      </c>
      <c r="C12302" s="28" t="s">
        <v>51</v>
      </c>
      <c r="D12302" s="22" t="s">
        <v>16737</v>
      </c>
      <c r="E12302" s="22" t="s">
        <v>48</v>
      </c>
      <c r="F12302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302" s="22" t="s">
        <v>51</v>
      </c>
      <c r="H12302" s="22" t="s">
        <v>51</v>
      </c>
      <c r="I12302" s="26">
        <v>43664.620138888902</v>
      </c>
      <c r="J12302" s="23" t="str">
        <f>HYPERLINK("https://www.spark-marketing.ru/Card/Person/87385", "ООО ""ШКОЛЬНОЕ ПИТАНИЕ""")</f>
        <v>ООО "ШКОЛЬНОЕ ПИТАНИЕ"</v>
      </c>
      <c r="K12302" s="24" t="s">
        <v>6356</v>
      </c>
      <c r="L12302" s="22" t="s">
        <v>10</v>
      </c>
      <c r="M12302" s="25">
        <v>15801484.800000001</v>
      </c>
      <c r="N12302" s="27">
        <v>0</v>
      </c>
    </row>
    <row r="12303" spans="1:14" hidden="1" outlineLevel="1" x14ac:dyDescent="0.2">
      <c r="A12303" s="28" t="s">
        <v>51</v>
      </c>
      <c r="B12303" s="28" t="s">
        <v>51</v>
      </c>
      <c r="C12303" s="28" t="s">
        <v>51</v>
      </c>
      <c r="D12303" s="22" t="s">
        <v>16737</v>
      </c>
      <c r="E12303" s="22" t="s">
        <v>48</v>
      </c>
      <c r="F12303" s="23" t="str">
        <f t="shared" si="376"/>
        <v>оказание услуг по организации питания учащихся для нужд муниципальных автономных образовательных учреждений</v>
      </c>
      <c r="G12303" s="22" t="s">
        <v>51</v>
      </c>
      <c r="H12303" s="22" t="s">
        <v>51</v>
      </c>
      <c r="I12303" s="26">
        <v>43664.620138888902</v>
      </c>
      <c r="J12303" s="23" t="str">
        <f>HYPERLINK("https://www.spark-marketing.ru/Card/Person/300377", "ООО ""ТУЙМАЗЫ-ФРУКТ""")</f>
        <v>ООО "ТУЙМАЗЫ-ФРУКТ"</v>
      </c>
      <c r="K12303" s="24" t="s">
        <v>9052</v>
      </c>
      <c r="L12303" s="28" t="s">
        <v>51</v>
      </c>
      <c r="M12303" s="25">
        <v>15801484.800000001</v>
      </c>
      <c r="N12303" s="27">
        <v>0</v>
      </c>
    </row>
    <row r="12304" spans="1:14" collapsed="1" x14ac:dyDescent="0.15">
      <c r="A12304" s="23" t="str">
        <f>HYPERLINK("https://www.spark-marketing.ru/Card/Person/4170", "БУЗ УР ""КИЯСОВСКАЯ РБ МЗ УР""")</f>
        <v>БУЗ УР "КИЯСОВСКАЯ РБ МЗ УР"</v>
      </c>
      <c r="B12304" s="24" t="s">
        <v>16759</v>
      </c>
      <c r="C12304" s="25">
        <v>45889</v>
      </c>
      <c r="D12304" s="22" t="s">
        <v>16760</v>
      </c>
      <c r="E12304" s="22" t="s">
        <v>1807</v>
      </c>
      <c r="F12304" s="23" t="str">
        <f>HYPERLINK("https://www.spark-marketing.ru/Card/Lot/72184843", "№ зз-23580-19 Услуги по изготовлению и доставке печатной продукции (бланки медицинские)")</f>
        <v>№ зз-23580-19 Услуги по изготовлению и доставке печатной продукции (бланки медицинские)</v>
      </c>
      <c r="G12304" s="22" t="s">
        <v>852</v>
      </c>
      <c r="H12304" s="22" t="s">
        <v>16761</v>
      </c>
      <c r="I12304" s="26">
        <v>43664.605081018497</v>
      </c>
      <c r="J12304" s="28" t="s">
        <v>51</v>
      </c>
      <c r="K12304" s="28" t="s">
        <v>51</v>
      </c>
      <c r="L12304" s="28" t="s">
        <v>51</v>
      </c>
      <c r="M12304" s="28" t="s">
        <v>51</v>
      </c>
      <c r="N12304" s="28" t="s">
        <v>51</v>
      </c>
    </row>
    <row r="12305" spans="1:14" ht="12.75" hidden="1" outlineLevel="1" x14ac:dyDescent="0.2">
      <c r="A12305" s="23" t="str">
        <f>HYPERLINK("https://www.spark-marketing.ru/Card/Person/4170", "БУЗ УР ""КИЯСОВСКАЯ РБ МЗ УР""")</f>
        <v>БУЗ УР "КИЯСОВСКАЯ РБ МЗ УР"</v>
      </c>
      <c r="B12305" s="24" t="s">
        <v>16759</v>
      </c>
      <c r="C12305" s="25">
        <v>45889</v>
      </c>
      <c r="D12305" s="22" t="s">
        <v>16760</v>
      </c>
      <c r="E12305" s="22" t="s">
        <v>1807</v>
      </c>
      <c r="F12305" s="23" t="str">
        <f>HYPERLINK("https://www.spark-marketing.ru/Card/Lot/72184843", "№ зз-23580-19 Услуги по изготовлению и доставке печатной продукции (бланки медицинские)")</f>
        <v>№ зз-23580-19 Услуги по изготовлению и доставке печатной продукции (бланки медицинские)</v>
      </c>
      <c r="G12305" s="22" t="s">
        <v>852</v>
      </c>
      <c r="H12305" s="22" t="s">
        <v>16761</v>
      </c>
      <c r="I12305" s="26">
        <v>43664.605081018497</v>
      </c>
      <c r="J12305" s="23" t="str">
        <f>HYPERLINK("https://www.spark-marketing.ru/Card/Person/6333327", "Немсадзе Лариса Алексеевна")</f>
        <v>Немсадзе Лариса Алексеевна</v>
      </c>
      <c r="K12305" s="24" t="s">
        <v>16762</v>
      </c>
      <c r="L12305" s="22" t="s">
        <v>10</v>
      </c>
      <c r="M12305" s="25">
        <v>11242.65</v>
      </c>
      <c r="N12305" s="27">
        <v>0.7550033777157924</v>
      </c>
    </row>
    <row r="12306" spans="1:14" hidden="1" outlineLevel="1" x14ac:dyDescent="0.2">
      <c r="A12306" s="23" t="str">
        <f>HYPERLINK("https://www.spark-marketing.ru/Card/Person/4170", "БУЗ УР ""КИЯСОВСКАЯ РБ МЗ УР""")</f>
        <v>БУЗ УР "КИЯСОВСКАЯ РБ МЗ УР"</v>
      </c>
      <c r="B12306" s="24" t="s">
        <v>16759</v>
      </c>
      <c r="C12306" s="25">
        <v>45889</v>
      </c>
      <c r="D12306" s="22" t="s">
        <v>16760</v>
      </c>
      <c r="E12306" s="22" t="s">
        <v>1807</v>
      </c>
      <c r="F12306" s="23" t="str">
        <f>HYPERLINK("https://www.spark-marketing.ru/Card/Lot/72184843", "№ зз-23580-19 Услуги по изготовлению и доставке печатной продукции (бланки медицинские)")</f>
        <v>№ зз-23580-19 Услуги по изготовлению и доставке печатной продукции (бланки медицинские)</v>
      </c>
      <c r="G12306" s="22" t="s">
        <v>852</v>
      </c>
      <c r="H12306" s="22" t="s">
        <v>16761</v>
      </c>
      <c r="I12306" s="26">
        <v>43664.605081018497</v>
      </c>
      <c r="J12306" s="23" t="str">
        <f>HYPERLINK("https://www.spark-marketing.ru/Card/Person/211416", "ООО ""ТТТ""")</f>
        <v>ООО "ТТТ"</v>
      </c>
      <c r="K12306" s="24" t="s">
        <v>16763</v>
      </c>
      <c r="L12306" s="28" t="s">
        <v>51</v>
      </c>
      <c r="M12306" s="25">
        <v>14454.9</v>
      </c>
      <c r="N12306" s="27">
        <v>0.68500294188149669</v>
      </c>
    </row>
    <row r="12307" spans="1:14" hidden="1" outlineLevel="1" x14ac:dyDescent="0.2">
      <c r="A12307" s="23" t="str">
        <f>HYPERLINK("https://www.spark-marketing.ru/Card/Person/4170", "БУЗ УР ""КИЯСОВСКАЯ РБ МЗ УР""")</f>
        <v>БУЗ УР "КИЯСОВСКАЯ РБ МЗ УР"</v>
      </c>
      <c r="B12307" s="24" t="s">
        <v>16759</v>
      </c>
      <c r="C12307" s="25">
        <v>45889</v>
      </c>
      <c r="D12307" s="22" t="s">
        <v>16760</v>
      </c>
      <c r="E12307" s="22" t="s">
        <v>1807</v>
      </c>
      <c r="F12307" s="23" t="str">
        <f>HYPERLINK("https://www.spark-marketing.ru/Card/Lot/72184843", "№ зз-23580-19 Услуги по изготовлению и доставке печатной продукции (бланки медицинские)")</f>
        <v>№ зз-23580-19 Услуги по изготовлению и доставке печатной продукции (бланки медицинские)</v>
      </c>
      <c r="G12307" s="22" t="s">
        <v>852</v>
      </c>
      <c r="H12307" s="22" t="s">
        <v>16761</v>
      </c>
      <c r="I12307" s="26">
        <v>43664.605081018497</v>
      </c>
      <c r="J12307" s="23" t="str">
        <f>HYPERLINK("https://www.spark-marketing.ru/Card/Person/4368626", "ООО ПКФ ""БУКВА""")</f>
        <v>ООО ПКФ "БУКВА"</v>
      </c>
      <c r="K12307" s="24" t="s">
        <v>16764</v>
      </c>
      <c r="L12307" s="28" t="s">
        <v>51</v>
      </c>
      <c r="M12307" s="25">
        <v>13537.1</v>
      </c>
      <c r="N12307" s="27">
        <v>0.70500337771579247</v>
      </c>
    </row>
    <row r="12308" spans="1:14" x14ac:dyDescent="0.15">
      <c r="A12308" s="23" t="str">
        <f>HYPERLINK("https://www.spark-marketing.ru/Card/Person/1073413", "КОТЛАССКИЙ ЛО МВД РОССИИ НА ТРАНСПОРТЕ")</f>
        <v>КОТЛАССКИЙ ЛО МВД РОССИИ НА ТРАНСПОРТЕ</v>
      </c>
      <c r="B12308" s="24" t="s">
        <v>16765</v>
      </c>
      <c r="C12308" s="25">
        <v>15525</v>
      </c>
      <c r="D12308" s="22" t="s">
        <v>16766</v>
      </c>
      <c r="E12308" s="22" t="s">
        <v>48</v>
      </c>
      <c r="F12308" s="23" t="str">
        <f>HYPERLINK("https://www.spark-marketing.ru/Card/Lot/72184696", "Услуги по обеспечению питания лиц содержащихся в спец. помещениях задержанных лиц, 115 усл. ед")</f>
        <v>Услуги по обеспечению питания лиц содержащихся в спец. помещениях задержанных лиц, 115 усл. ед</v>
      </c>
      <c r="G12308" s="22" t="s">
        <v>214</v>
      </c>
      <c r="H12308" s="22" t="s">
        <v>8894</v>
      </c>
      <c r="I12308" s="26">
        <v>43664.595833333296</v>
      </c>
      <c r="J12308" s="28" t="s">
        <v>51</v>
      </c>
      <c r="K12308" s="28" t="s">
        <v>51</v>
      </c>
      <c r="L12308" s="28" t="s">
        <v>51</v>
      </c>
      <c r="M12308" s="28" t="s">
        <v>51</v>
      </c>
      <c r="N12308" s="28" t="s">
        <v>51</v>
      </c>
    </row>
    <row r="12309" spans="1:14" x14ac:dyDescent="0.15">
      <c r="A12309" s="23" t="str">
        <f>HYPERLINK("https://www.spark-marketing.ru/Card/Person/261494", "МО МВД РОССИИ ""КОТЕЛЬНИЧСКИЙ""")</f>
        <v>МО МВД РОССИИ "КОТЕЛЬНИЧСКИЙ"</v>
      </c>
      <c r="B12309" s="24" t="s">
        <v>16767</v>
      </c>
      <c r="C12309" s="25">
        <v>1399860</v>
      </c>
      <c r="D12309" s="22" t="s">
        <v>16768</v>
      </c>
      <c r="E12309" s="22" t="s">
        <v>48</v>
      </c>
      <c r="F12309" s="23" t="str">
        <f>HYPERLINK("https://www.spark-marketing.ru/Card/Lot/72190012", "Организация горячего питания административных арестованных")</f>
        <v>Организация горячего питания административных арестованных</v>
      </c>
      <c r="G12309" s="22" t="s">
        <v>224</v>
      </c>
      <c r="H12309" s="22" t="s">
        <v>224</v>
      </c>
      <c r="I12309" s="26">
        <v>43664.6070833333</v>
      </c>
      <c r="J12309" s="23" t="str">
        <f>HYPERLINK("https://www.spark-marketing.ru/Card/Person/261601", "Летягин Андрей Борисович")</f>
        <v>Летягин Андрей Борисович</v>
      </c>
      <c r="K12309" s="24" t="s">
        <v>16769</v>
      </c>
      <c r="L12309" s="22" t="s">
        <v>10</v>
      </c>
      <c r="M12309" s="28" t="s">
        <v>51</v>
      </c>
      <c r="N12309" s="28" t="s">
        <v>51</v>
      </c>
    </row>
    <row r="12310" spans="1:14" x14ac:dyDescent="0.15">
      <c r="A12310" s="23" t="str">
        <f>HYPERLINK("https://www.spark-marketing.ru/Card/Person/261494", "МО МВД РОССИИ ""КОТЕЛЬНИЧСКИЙ""")</f>
        <v>МО МВД РОССИИ "КОТЕЛЬНИЧСКИЙ"</v>
      </c>
      <c r="B12310" s="24" t="s">
        <v>16767</v>
      </c>
      <c r="C12310" s="25">
        <v>1345960</v>
      </c>
      <c r="D12310" s="22" t="s">
        <v>16770</v>
      </c>
      <c r="E12310" s="22" t="s">
        <v>48</v>
      </c>
      <c r="F12310" s="23" t="str">
        <f>HYPERLINK("https://www.spark-marketing.ru/Card/Lot/72189356", "Организация горячего питания лиц, содержащихся в ИВС")</f>
        <v>Организация горячего питания лиц, содержащихся в ИВС</v>
      </c>
      <c r="G12310" s="22" t="s">
        <v>224</v>
      </c>
      <c r="H12310" s="22" t="s">
        <v>224</v>
      </c>
      <c r="I12310" s="26">
        <v>43664.593587962998</v>
      </c>
      <c r="J12310" s="23" t="str">
        <f>HYPERLINK("https://www.spark-marketing.ru/Card/Person/261601", "Летягин Андрей Борисович")</f>
        <v>Летягин Андрей Борисович</v>
      </c>
      <c r="K12310" s="24" t="s">
        <v>16769</v>
      </c>
      <c r="L12310" s="22" t="s">
        <v>10</v>
      </c>
      <c r="M12310" s="28" t="s">
        <v>51</v>
      </c>
      <c r="N12310" s="28" t="s">
        <v>51</v>
      </c>
    </row>
    <row r="12311" spans="1:14" x14ac:dyDescent="0.2">
      <c r="A12311" s="23" t="str">
        <f>HYPERLINK("https://www.spark-marketing.ru/Card/Person/47154", "МБОУ ""СШ №30 С УГЛУБЛЕННЫМ ИЗУЧЕНИЕМ ОТДЕЛЬНЫХ ПРЕДМЕТОВ""")</f>
        <v>МБОУ "СШ №30 С УГЛУБЛЕННЫМ ИЗУЧЕНИЕМ ОТДЕЛЬНЫХ ПРЕДМЕТОВ"</v>
      </c>
      <c r="B12311" s="24" t="s">
        <v>16771</v>
      </c>
      <c r="C12311" s="25">
        <v>6768247.2000000002</v>
      </c>
      <c r="D12311" s="22" t="s">
        <v>16772</v>
      </c>
      <c r="E12311" s="22" t="s">
        <v>48</v>
      </c>
      <c r="F12311" s="23" t="str">
        <f>HYPERLINK("https://www.spark-marketing.ru/Card/Lot/72181800", "Оказание услуг по организации в 2019-2020 учебном году питания обучающихся муниципального бюджетного общеобразовательного учреждения ""Средняя школа № 30 с углубленным изучением отдельных предметов""")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 30 с углубленным изучением отдельных предметов"</v>
      </c>
      <c r="G12311" s="22" t="s">
        <v>97</v>
      </c>
      <c r="H12311" s="22" t="s">
        <v>97</v>
      </c>
      <c r="I12311" s="26">
        <v>43664.589583333298</v>
      </c>
      <c r="J12311" s="23" t="str">
        <f>HYPERLINK("https://www.spark-marketing.ru/Card/Person/4873794", "ООО ""КШП-1""")</f>
        <v>ООО "КШП-1"</v>
      </c>
      <c r="K12311" s="24" t="s">
        <v>1640</v>
      </c>
      <c r="L12311" s="28" t="s">
        <v>51</v>
      </c>
      <c r="M12311" s="25">
        <v>6768247.2000000002</v>
      </c>
      <c r="N12311" s="27">
        <v>0</v>
      </c>
    </row>
    <row r="12312" spans="1:14" x14ac:dyDescent="0.2">
      <c r="A12312" s="23" t="str">
        <f>HYPERLINK("https://www.spark-marketing.ru/Card/Person/1759153", "МАОУ ""ПЛАНИРОВАНИЕ КАРЬЕРЫ""")</f>
        <v>МАОУ "ПЛАНИРОВАНИЕ КАРЬЕРЫ"</v>
      </c>
      <c r="B12312" s="24" t="s">
        <v>16773</v>
      </c>
      <c r="C12312" s="25">
        <v>1045170</v>
      </c>
      <c r="D12312" s="22" t="s">
        <v>16774</v>
      </c>
      <c r="E12312" s="22" t="s">
        <v>362</v>
      </c>
      <c r="F12312" s="23" t="str">
        <f>HYPERLINK("https://www.spark-marketing.ru/Card/Lot/72201214", "Оказание услуг по обеспечению пятиразовым питанием детей в каникулярное время в Центре «Солнечный»")</f>
        <v>Оказание услуг по обеспечению пятиразовым питанием детей в каникулярное время в Центре «Солнечный»</v>
      </c>
      <c r="G12312" s="22" t="s">
        <v>149</v>
      </c>
      <c r="H12312" s="22" t="s">
        <v>149</v>
      </c>
      <c r="I12312" s="26">
        <v>43664.584351851903</v>
      </c>
      <c r="J12312" s="28" t="s">
        <v>51</v>
      </c>
      <c r="K12312" s="28" t="s">
        <v>51</v>
      </c>
      <c r="L12312" s="22" t="s">
        <v>10</v>
      </c>
      <c r="M12312" s="25">
        <v>1045170</v>
      </c>
      <c r="N12312" s="27">
        <v>0</v>
      </c>
    </row>
    <row r="12313" spans="1:14" x14ac:dyDescent="0.15">
      <c r="A12313" s="23" t="str">
        <f>HYPERLINK("https://www.spark-marketing.ru/Card/Person/819534", "ОТДЕЛЕНИЕ МВД РОССИИ ПО ЧЕРЕМШАНСКОМУ РАЙОНУ")</f>
        <v>ОТДЕЛЕНИЕ МВД РОССИИ ПО ЧЕРЕМШАНСКОМУ РАЙОНУ</v>
      </c>
      <c r="B12313" s="24" t="s">
        <v>16775</v>
      </c>
      <c r="C12313" s="25">
        <v>220000</v>
      </c>
      <c r="D12313" s="22" t="s">
        <v>16776</v>
      </c>
      <c r="E12313" s="22" t="s">
        <v>48</v>
      </c>
      <c r="F12313" s="23" t="str">
        <f>HYPERLINK("https://www.spark-marketing.ru/Card/Lot/72191396", "Услуги по организации питания лиц, содержащихся в ИВС, СПСЗЛ Отделения МВД России по Черемшанскому району")</f>
        <v>Услуги по организации питания лиц, содержащихся в ИВС, СПСЗЛ Отделения МВД России по Черемшанскому району</v>
      </c>
      <c r="G12313" s="22" t="s">
        <v>217</v>
      </c>
      <c r="H12313" s="22" t="s">
        <v>16777</v>
      </c>
      <c r="I12313" s="26">
        <v>43664.589386574102</v>
      </c>
      <c r="J12313" s="28" t="s">
        <v>51</v>
      </c>
      <c r="K12313" s="28" t="s">
        <v>51</v>
      </c>
      <c r="L12313" s="28" t="s">
        <v>51</v>
      </c>
      <c r="M12313" s="28" t="s">
        <v>51</v>
      </c>
      <c r="N12313" s="28" t="s">
        <v>51</v>
      </c>
    </row>
    <row r="12314" spans="1:14" x14ac:dyDescent="0.15">
      <c r="A12314" s="23" t="str">
        <f>HYPERLINK("https://www.spark-marketing.ru/Card/Person/10188", "ФКУ ""ЦХИСО УМВД РОССИИ ПО ЗАБАЙКАЛЬСКОМУ КРАЮ""")</f>
        <v>ФКУ "ЦХИСО УМВД РОССИИ ПО ЗАБАЙКАЛЬСКОМУ КРАЮ"</v>
      </c>
      <c r="B12314" s="24" t="s">
        <v>16778</v>
      </c>
      <c r="C12314" s="25">
        <v>42950</v>
      </c>
      <c r="D12314" s="22" t="s">
        <v>16779</v>
      </c>
      <c r="E12314" s="22" t="s">
        <v>10041</v>
      </c>
      <c r="F12314" s="23" t="str">
        <f>HYPERLINK("https://www.spark-marketing.ru/Card/Lot/72174153", "Оказание услуг по установке автомобильных противоугонных систем на служебный автотранспорт")</f>
        <v>Оказание услуг по установке автомобильных противоугонных систем на служебный автотранспорт</v>
      </c>
      <c r="G12314" s="22" t="s">
        <v>228</v>
      </c>
      <c r="H12314" s="22" t="s">
        <v>394</v>
      </c>
      <c r="I12314" s="26">
        <v>43664.608622685198</v>
      </c>
      <c r="J12314" s="23" t="str">
        <f>HYPERLINK("https://www.spark-marketing.ru/Card/Person/153202", "ООО ""АВТОЗАПАС-М""")</f>
        <v>ООО "АВТОЗАПАС-М"</v>
      </c>
      <c r="K12314" s="24" t="s">
        <v>16780</v>
      </c>
      <c r="L12314" s="22" t="s">
        <v>10</v>
      </c>
      <c r="M12314" s="28" t="s">
        <v>51</v>
      </c>
      <c r="N12314" s="28" t="s">
        <v>51</v>
      </c>
    </row>
    <row r="12315" spans="1:14" x14ac:dyDescent="0.15">
      <c r="A12315" s="23" t="str">
        <f>HYPERLINK("https://www.spark-marketing.ru/Card/Person/50743", "МП ""ДЕТСКОЕ ПИТАНИЕ""")</f>
        <v>МП "ДЕТСКОЕ ПИТАНИЕ"</v>
      </c>
      <c r="B12315" s="24" t="s">
        <v>1562</v>
      </c>
      <c r="C12315" s="25">
        <v>365781</v>
      </c>
      <c r="D12315" s="22" t="s">
        <v>16781</v>
      </c>
      <c r="E12315" s="22" t="s">
        <v>3064</v>
      </c>
      <c r="F12315" s="23" t="str">
        <f>HYPERLINK("https://www.spark-marketing.ru/Card/Lot/72199265", "Поставка томатной пасты для оказания услуг по предоставлению питания школьникам.")</f>
        <v>Поставка томатной пасты для оказания услуг по предоставлению питания школьникам.</v>
      </c>
      <c r="G12315" s="22" t="s">
        <v>1522</v>
      </c>
      <c r="H12315" s="22" t="s">
        <v>1522</v>
      </c>
      <c r="I12315" s="26">
        <v>43664.574803240699</v>
      </c>
      <c r="J12315" s="28" t="s">
        <v>51</v>
      </c>
      <c r="K12315" s="28" t="s">
        <v>51</v>
      </c>
      <c r="L12315" s="28" t="s">
        <v>51</v>
      </c>
      <c r="M12315" s="28" t="s">
        <v>51</v>
      </c>
      <c r="N12315" s="28" t="s">
        <v>51</v>
      </c>
    </row>
    <row r="12316" spans="1:14" x14ac:dyDescent="0.15">
      <c r="A12316" s="23" t="str">
        <f>HYPERLINK("https://www.spark-marketing.ru/Card/Person/50743", "МП ""ДЕТСКОЕ ПИТАНИЕ""")</f>
        <v>МП "ДЕТСКОЕ ПИТАНИЕ"</v>
      </c>
      <c r="B12316" s="24" t="s">
        <v>1562</v>
      </c>
      <c r="C12316" s="25">
        <v>473880</v>
      </c>
      <c r="D12316" s="22" t="s">
        <v>16781</v>
      </c>
      <c r="E12316" s="22" t="s">
        <v>2265</v>
      </c>
      <c r="F12316" s="23" t="str">
        <f>HYPERLINK("https://www.spark-marketing.ru/Card/Lot/72199266", "Поставка Кисель ягодный концентрат для оказания услуг по предоставлению питания школьникам.")</f>
        <v>Поставка Кисель ягодный концентрат для оказания услуг по предоставлению питания школьникам.</v>
      </c>
      <c r="G12316" s="22" t="s">
        <v>1522</v>
      </c>
      <c r="H12316" s="22" t="s">
        <v>1522</v>
      </c>
      <c r="I12316" s="26">
        <v>43664.574803240699</v>
      </c>
      <c r="J12316" s="28" t="s">
        <v>51</v>
      </c>
      <c r="K12316" s="28" t="s">
        <v>51</v>
      </c>
      <c r="L12316" s="28" t="s">
        <v>51</v>
      </c>
      <c r="M12316" s="28" t="s">
        <v>51</v>
      </c>
      <c r="N12316" s="28" t="s">
        <v>51</v>
      </c>
    </row>
    <row r="12317" spans="1:14" collapsed="1" x14ac:dyDescent="0.2">
      <c r="A12317" s="23" t="s">
        <v>114</v>
      </c>
      <c r="B12317" s="28" t="s">
        <v>51</v>
      </c>
      <c r="C12317" s="25">
        <v>17753405</v>
      </c>
      <c r="D12317" s="22" t="s">
        <v>16782</v>
      </c>
      <c r="E12317" s="22" t="s">
        <v>48</v>
      </c>
      <c r="F12317" s="23" t="str">
        <f t="shared" ref="F12317:F12322" si="377">HYPERLINK("https://www.spark-marketing.ru/Card/Lot/72184135", "Оказание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17" s="22" t="s">
        <v>51</v>
      </c>
      <c r="H12317" s="22" t="s">
        <v>51</v>
      </c>
      <c r="I12317" s="26">
        <v>43664.572222222203</v>
      </c>
      <c r="J12317" s="23" t="str">
        <f t="shared" ref="J12317:J12322" si="378">HYPERLINK("https://www.spark-marketing.ru/Card/Person/6558293", "ООО ""ВИВО МАРКЕТ""")</f>
        <v>ООО "ВИВО МАРКЕТ"</v>
      </c>
      <c r="K12317" s="24" t="s">
        <v>14440</v>
      </c>
      <c r="L12317" s="28" t="s">
        <v>51</v>
      </c>
      <c r="M12317" s="25">
        <v>17753405</v>
      </c>
      <c r="N12317" s="27">
        <v>0</v>
      </c>
    </row>
    <row r="12318" spans="1:14" hidden="1" outlineLevel="1" x14ac:dyDescent="0.2">
      <c r="A12318" s="23" t="str">
        <f>HYPERLINK("https://www.spark-marketing.ru/Card/Person/128332", "МОУ СШ № 75")</f>
        <v>МОУ СШ № 75</v>
      </c>
      <c r="B12318" s="24" t="s">
        <v>16783</v>
      </c>
      <c r="C12318" s="25">
        <v>4838940</v>
      </c>
      <c r="D12318" s="22" t="s">
        <v>16782</v>
      </c>
      <c r="E12318" s="22" t="s">
        <v>48</v>
      </c>
      <c r="F12318" s="23" t="str">
        <f t="shared" si="377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18" s="22" t="s">
        <v>158</v>
      </c>
      <c r="H12318" s="22" t="s">
        <v>158</v>
      </c>
      <c r="I12318" s="26">
        <v>43664.572222222203</v>
      </c>
      <c r="J12318" s="23" t="str">
        <f t="shared" si="378"/>
        <v>ООО "ВИВО МАРКЕТ"</v>
      </c>
      <c r="K12318" s="24" t="s">
        <v>14440</v>
      </c>
      <c r="L12318" s="28" t="s">
        <v>51</v>
      </c>
      <c r="M12318" s="28" t="s">
        <v>51</v>
      </c>
      <c r="N12318" s="27">
        <v>0</v>
      </c>
    </row>
    <row r="12319" spans="1:14" hidden="1" outlineLevel="1" x14ac:dyDescent="0.2">
      <c r="A12319" s="23" t="str">
        <f>HYPERLINK("https://www.spark-marketing.ru/Card/Person/128571", "МОУ СШ № 65")</f>
        <v>МОУ СШ № 65</v>
      </c>
      <c r="B12319" s="24" t="s">
        <v>16784</v>
      </c>
      <c r="C12319" s="25">
        <v>3777695</v>
      </c>
      <c r="D12319" s="22" t="s">
        <v>16782</v>
      </c>
      <c r="E12319" s="22" t="s">
        <v>48</v>
      </c>
      <c r="F12319" s="23" t="str">
        <f t="shared" si="377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19" s="22" t="s">
        <v>158</v>
      </c>
      <c r="H12319" s="22" t="s">
        <v>158</v>
      </c>
      <c r="I12319" s="26">
        <v>43664.572222222203</v>
      </c>
      <c r="J12319" s="23" t="str">
        <f t="shared" si="378"/>
        <v>ООО "ВИВО МАРКЕТ"</v>
      </c>
      <c r="K12319" s="24" t="s">
        <v>14440</v>
      </c>
      <c r="L12319" s="28" t="s">
        <v>51</v>
      </c>
      <c r="M12319" s="28" t="s">
        <v>51</v>
      </c>
      <c r="N12319" s="27">
        <v>0</v>
      </c>
    </row>
    <row r="12320" spans="1:14" hidden="1" outlineLevel="1" x14ac:dyDescent="0.2">
      <c r="A12320" s="23" t="str">
        <f>HYPERLINK("https://www.spark-marketing.ru/Card/Person/128590", "МОУ СШ № 64")</f>
        <v>МОУ СШ № 64</v>
      </c>
      <c r="B12320" s="24" t="s">
        <v>16785</v>
      </c>
      <c r="C12320" s="25">
        <v>3393350</v>
      </c>
      <c r="D12320" s="22" t="s">
        <v>16782</v>
      </c>
      <c r="E12320" s="22" t="s">
        <v>48</v>
      </c>
      <c r="F12320" s="23" t="str">
        <f t="shared" si="377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20" s="22" t="s">
        <v>158</v>
      </c>
      <c r="H12320" s="22" t="s">
        <v>158</v>
      </c>
      <c r="I12320" s="26">
        <v>43664.572222222203</v>
      </c>
      <c r="J12320" s="23" t="str">
        <f t="shared" si="378"/>
        <v>ООО "ВИВО МАРКЕТ"</v>
      </c>
      <c r="K12320" s="24" t="s">
        <v>14440</v>
      </c>
      <c r="L12320" s="28" t="s">
        <v>51</v>
      </c>
      <c r="M12320" s="28" t="s">
        <v>51</v>
      </c>
      <c r="N12320" s="27">
        <v>0</v>
      </c>
    </row>
    <row r="12321" spans="1:14" hidden="1" outlineLevel="1" x14ac:dyDescent="0.2">
      <c r="A12321" s="23" t="str">
        <f>HYPERLINK("https://www.spark-marketing.ru/Card/Person/130081", "МОУ СШ № 62")</f>
        <v>МОУ СШ № 62</v>
      </c>
      <c r="B12321" s="24" t="s">
        <v>16786</v>
      </c>
      <c r="C12321" s="25">
        <v>2666430</v>
      </c>
      <c r="D12321" s="22" t="s">
        <v>16782</v>
      </c>
      <c r="E12321" s="22" t="s">
        <v>48</v>
      </c>
      <c r="F12321" s="23" t="str">
        <f t="shared" si="377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21" s="22" t="s">
        <v>158</v>
      </c>
      <c r="H12321" s="22" t="s">
        <v>158</v>
      </c>
      <c r="I12321" s="26">
        <v>43664.572222222203</v>
      </c>
      <c r="J12321" s="23" t="str">
        <f t="shared" si="378"/>
        <v>ООО "ВИВО МАРКЕТ"</v>
      </c>
      <c r="K12321" s="24" t="s">
        <v>14440</v>
      </c>
      <c r="L12321" s="28" t="s">
        <v>51</v>
      </c>
      <c r="M12321" s="28" t="s">
        <v>51</v>
      </c>
      <c r="N12321" s="27">
        <v>0</v>
      </c>
    </row>
    <row r="12322" spans="1:14" hidden="1" outlineLevel="1" x14ac:dyDescent="0.2">
      <c r="A12322" s="23" t="str">
        <f>HYPERLINK("https://www.spark-marketing.ru/Card/Person/130088", "МОУ СШ № 113")</f>
        <v>МОУ СШ № 113</v>
      </c>
      <c r="B12322" s="24" t="s">
        <v>16787</v>
      </c>
      <c r="C12322" s="25">
        <v>3076990</v>
      </c>
      <c r="D12322" s="22" t="s">
        <v>16782</v>
      </c>
      <c r="E12322" s="22" t="s">
        <v>48</v>
      </c>
      <c r="F12322" s="23" t="str">
        <f t="shared" si="377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22" s="22" t="s">
        <v>158</v>
      </c>
      <c r="H12322" s="22" t="s">
        <v>158</v>
      </c>
      <c r="I12322" s="26">
        <v>43664.572222222203</v>
      </c>
      <c r="J12322" s="23" t="str">
        <f t="shared" si="378"/>
        <v>ООО "ВИВО МАРКЕТ"</v>
      </c>
      <c r="K12322" s="24" t="s">
        <v>14440</v>
      </c>
      <c r="L12322" s="28" t="s">
        <v>51</v>
      </c>
      <c r="M12322" s="28" t="s">
        <v>51</v>
      </c>
      <c r="N12322" s="27">
        <v>0</v>
      </c>
    </row>
    <row r="12323" spans="1:14" x14ac:dyDescent="0.15">
      <c r="A12323" s="23" t="str">
        <f>HYPERLINK("https://www.spark-marketing.ru/Card/Person/110378", "МОУ ШКОЛА №22")</f>
        <v>МОУ ШКОЛА №22</v>
      </c>
      <c r="B12323" s="24" t="s">
        <v>16788</v>
      </c>
      <c r="C12323" s="25">
        <v>329708.08</v>
      </c>
      <c r="D12323" s="22" t="s">
        <v>16789</v>
      </c>
      <c r="E12323" s="22" t="s">
        <v>48</v>
      </c>
      <c r="F12323" s="23" t="str">
        <f>HYPERLINK("https://www.spark-marketing.ru/Card/Lot/72184583", "Услуги по организации питания для учащихся общеобразовательной организации за второе полугодие 2019г")</f>
        <v>Услуги по организации питания для учащихся общеобразовательной организации за второе полугодие 2019г</v>
      </c>
      <c r="G12323" s="22" t="s">
        <v>49</v>
      </c>
      <c r="H12323" s="22" t="s">
        <v>7346</v>
      </c>
      <c r="I12323" s="26">
        <v>43664.554791666698</v>
      </c>
      <c r="J12323" s="28" t="s">
        <v>51</v>
      </c>
      <c r="K12323" s="28" t="s">
        <v>51</v>
      </c>
      <c r="L12323" s="28" t="s">
        <v>51</v>
      </c>
      <c r="M12323" s="28" t="s">
        <v>51</v>
      </c>
      <c r="N12323" s="28" t="s">
        <v>51</v>
      </c>
    </row>
    <row r="12324" spans="1:14" collapsed="1" x14ac:dyDescent="0.2">
      <c r="A12324" s="23" t="s">
        <v>114</v>
      </c>
      <c r="B12324" s="28" t="s">
        <v>51</v>
      </c>
      <c r="C12324" s="25">
        <v>19750972</v>
      </c>
      <c r="D12324" s="22" t="s">
        <v>16790</v>
      </c>
      <c r="E12324" s="22" t="s">
        <v>48</v>
      </c>
      <c r="F12324" s="23" t="str">
        <f t="shared" ref="F12324:F12329" si="379">HYPERLINK("https://www.spark-marketing.ru/Card/Lot/72184136", "Оказание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24" s="22" t="s">
        <v>51</v>
      </c>
      <c r="H12324" s="22" t="s">
        <v>51</v>
      </c>
      <c r="I12324" s="26">
        <v>43664.572222222203</v>
      </c>
      <c r="J12324" s="23" t="str">
        <f t="shared" ref="J12324:J12329" si="380">HYPERLINK("https://www.spark-marketing.ru/Card/Person/503771", "ООО ""МОБИЛСВЯЗЬ""")</f>
        <v>ООО "МОБИЛСВЯЗЬ"</v>
      </c>
      <c r="K12324" s="24" t="s">
        <v>16642</v>
      </c>
      <c r="L12324" s="28" t="s">
        <v>51</v>
      </c>
      <c r="M12324" s="25">
        <v>19750972</v>
      </c>
      <c r="N12324" s="27">
        <v>0</v>
      </c>
    </row>
    <row r="12325" spans="1:14" hidden="1" outlineLevel="1" x14ac:dyDescent="0.2">
      <c r="A12325" s="23" t="str">
        <f>HYPERLINK("https://www.spark-marketing.ru/Card/Person/67595", "МОУ ГИМНАЗИЯ № 1")</f>
        <v>МОУ ГИМНАЗИЯ № 1</v>
      </c>
      <c r="B12325" s="24" t="s">
        <v>16791</v>
      </c>
      <c r="C12325" s="25">
        <v>4604040</v>
      </c>
      <c r="D12325" s="22" t="s">
        <v>16790</v>
      </c>
      <c r="E12325" s="22" t="s">
        <v>48</v>
      </c>
      <c r="F12325" s="23" t="str">
        <f t="shared" si="379"/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25" s="22" t="s">
        <v>158</v>
      </c>
      <c r="H12325" s="22" t="s">
        <v>158</v>
      </c>
      <c r="I12325" s="26">
        <v>43664.572222222203</v>
      </c>
      <c r="J12325" s="23" t="str">
        <f t="shared" si="380"/>
        <v>ООО "МОБИЛСВЯЗЬ"</v>
      </c>
      <c r="K12325" s="24" t="s">
        <v>16642</v>
      </c>
      <c r="L12325" s="28" t="s">
        <v>51</v>
      </c>
      <c r="M12325" s="28" t="s">
        <v>51</v>
      </c>
      <c r="N12325" s="27">
        <v>0</v>
      </c>
    </row>
    <row r="12326" spans="1:14" hidden="1" outlineLevel="1" x14ac:dyDescent="0.2">
      <c r="A12326" s="23" t="str">
        <f>HYPERLINK("https://www.spark-marketing.ru/Card/Person/67710", "МОУ ГИМНАЗИЯ № 3")</f>
        <v>МОУ ГИМНАЗИЯ № 3</v>
      </c>
      <c r="B12326" s="24" t="s">
        <v>16792</v>
      </c>
      <c r="C12326" s="25">
        <v>3228403</v>
      </c>
      <c r="D12326" s="22" t="s">
        <v>16790</v>
      </c>
      <c r="E12326" s="22" t="s">
        <v>48</v>
      </c>
      <c r="F12326" s="23" t="str">
        <f t="shared" si="379"/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26" s="22" t="s">
        <v>158</v>
      </c>
      <c r="H12326" s="22" t="s">
        <v>158</v>
      </c>
      <c r="I12326" s="26">
        <v>43664.572222222203</v>
      </c>
      <c r="J12326" s="23" t="str">
        <f t="shared" si="380"/>
        <v>ООО "МОБИЛСВЯЗЬ"</v>
      </c>
      <c r="K12326" s="24" t="s">
        <v>16642</v>
      </c>
      <c r="L12326" s="28" t="s">
        <v>51</v>
      </c>
      <c r="M12326" s="28" t="s">
        <v>51</v>
      </c>
      <c r="N12326" s="27">
        <v>0</v>
      </c>
    </row>
    <row r="12327" spans="1:14" hidden="1" outlineLevel="1" x14ac:dyDescent="0.2">
      <c r="A12327" s="23" t="str">
        <f>HYPERLINK("https://www.spark-marketing.ru/Card/Person/70324", "МОУ ЛИЦЕЙ № 5 ИМЕНИ Ю.А.ГАГАРИНА")</f>
        <v>МОУ ЛИЦЕЙ № 5 ИМЕНИ Ю.А.ГАГАРИНА</v>
      </c>
      <c r="B12327" s="24" t="s">
        <v>16793</v>
      </c>
      <c r="C12327" s="25">
        <v>5430503</v>
      </c>
      <c r="D12327" s="22" t="s">
        <v>16790</v>
      </c>
      <c r="E12327" s="22" t="s">
        <v>48</v>
      </c>
      <c r="F12327" s="23" t="str">
        <f t="shared" si="379"/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27" s="22" t="s">
        <v>158</v>
      </c>
      <c r="H12327" s="22" t="s">
        <v>158</v>
      </c>
      <c r="I12327" s="26">
        <v>43664.572222222203</v>
      </c>
      <c r="J12327" s="23" t="str">
        <f t="shared" si="380"/>
        <v>ООО "МОБИЛСВЯЗЬ"</v>
      </c>
      <c r="K12327" s="24" t="s">
        <v>16642</v>
      </c>
      <c r="L12327" s="28" t="s">
        <v>51</v>
      </c>
      <c r="M12327" s="28" t="s">
        <v>51</v>
      </c>
      <c r="N12327" s="27">
        <v>0</v>
      </c>
    </row>
    <row r="12328" spans="1:14" hidden="1" outlineLevel="1" x14ac:dyDescent="0.2">
      <c r="A12328" s="23" t="str">
        <f>HYPERLINK("https://www.spark-marketing.ru/Card/Person/142882", "МОУ СШ № 19")</f>
        <v>МОУ СШ № 19</v>
      </c>
      <c r="B12328" s="24" t="s">
        <v>16794</v>
      </c>
      <c r="C12328" s="25">
        <v>2433706</v>
      </c>
      <c r="D12328" s="22" t="s">
        <v>16790</v>
      </c>
      <c r="E12328" s="22" t="s">
        <v>48</v>
      </c>
      <c r="F12328" s="23" t="str">
        <f t="shared" si="379"/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28" s="22" t="s">
        <v>158</v>
      </c>
      <c r="H12328" s="22" t="s">
        <v>158</v>
      </c>
      <c r="I12328" s="26">
        <v>43664.572222222203</v>
      </c>
      <c r="J12328" s="23" t="str">
        <f t="shared" si="380"/>
        <v>ООО "МОБИЛСВЯЗЬ"</v>
      </c>
      <c r="K12328" s="24" t="s">
        <v>16642</v>
      </c>
      <c r="L12328" s="28" t="s">
        <v>51</v>
      </c>
      <c r="M12328" s="28" t="s">
        <v>51</v>
      </c>
      <c r="N12328" s="27">
        <v>0</v>
      </c>
    </row>
    <row r="12329" spans="1:14" hidden="1" outlineLevel="1" x14ac:dyDescent="0.2">
      <c r="A12329" s="23" t="str">
        <f>HYPERLINK("https://www.spark-marketing.ru/Card/Person/143472", "МОУ СШ № 6")</f>
        <v>МОУ СШ № 6</v>
      </c>
      <c r="B12329" s="24" t="s">
        <v>16795</v>
      </c>
      <c r="C12329" s="25">
        <v>4054320</v>
      </c>
      <c r="D12329" s="22" t="s">
        <v>16790</v>
      </c>
      <c r="E12329" s="22" t="s">
        <v>48</v>
      </c>
      <c r="F12329" s="23" t="str">
        <f t="shared" si="379"/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29" s="22" t="s">
        <v>158</v>
      </c>
      <c r="H12329" s="22" t="s">
        <v>158</v>
      </c>
      <c r="I12329" s="26">
        <v>43664.572222222203</v>
      </c>
      <c r="J12329" s="23" t="str">
        <f t="shared" si="380"/>
        <v>ООО "МОБИЛСВЯЗЬ"</v>
      </c>
      <c r="K12329" s="24" t="s">
        <v>16642</v>
      </c>
      <c r="L12329" s="28" t="s">
        <v>51</v>
      </c>
      <c r="M12329" s="28" t="s">
        <v>51</v>
      </c>
      <c r="N12329" s="27">
        <v>0</v>
      </c>
    </row>
    <row r="12330" spans="1:14" x14ac:dyDescent="0.2">
      <c r="A12330" s="23" t="str">
        <f>HYPERLINK("https://www.spark-marketing.ru/Card/Person/1324727", "МАОУ ""ЦЕНТР ОБРАЗОВАНИЯ №13 ИМЕНИ ГЕРОЯ СОВЕТСКОГО СОЮЗА Н.А. КУЗНЕЦОВА""")</f>
        <v>МАОУ "ЦЕНТР ОБРАЗОВАНИЯ №13 ИМЕНИ ГЕРОЯ СОВЕТСКОГО СОЮЗА Н.А. КУЗНЕЦОВА"</v>
      </c>
      <c r="B12330" s="24" t="s">
        <v>16796</v>
      </c>
      <c r="C12330" s="25">
        <v>1828470</v>
      </c>
      <c r="D12330" s="22" t="s">
        <v>16797</v>
      </c>
      <c r="E12330" s="22" t="s">
        <v>362</v>
      </c>
      <c r="F12330" s="23" t="str">
        <f>HYPERLINK("https://www.spark-marketing.ru/Card/Lot/72200577", "Оказание услуг по организации горячего питания обучающихся в МАОУ ""Центр образования №13 имени Героя Советского Союза Н.А. Кузнецова""")</f>
        <v>Оказание услуг по организации горячего питания обучающихся в МАОУ "Центр образования №13 имени Героя Советского Союза Н.А. Кузнецова"</v>
      </c>
      <c r="G12330" s="22" t="s">
        <v>1370</v>
      </c>
      <c r="H12330" s="22" t="s">
        <v>1370</v>
      </c>
      <c r="I12330" s="26">
        <v>43664.5792939815</v>
      </c>
      <c r="J12330" s="28" t="s">
        <v>51</v>
      </c>
      <c r="K12330" s="28" t="s">
        <v>51</v>
      </c>
      <c r="L12330" s="28" t="s">
        <v>51</v>
      </c>
      <c r="M12330" s="25">
        <v>1828470</v>
      </c>
      <c r="N12330" s="27">
        <v>0</v>
      </c>
    </row>
    <row r="12331" spans="1:14" x14ac:dyDescent="0.15">
      <c r="A12331" s="23" t="str">
        <f>HYPERLINK("https://www.spark-marketing.ru/Card/Person/50743", "МП ""ДЕТСКОЕ ПИТАНИЕ""")</f>
        <v>МП "ДЕТСКОЕ ПИТАНИЕ"</v>
      </c>
      <c r="B12331" s="24" t="s">
        <v>1562</v>
      </c>
      <c r="C12331" s="25">
        <v>642337</v>
      </c>
      <c r="D12331" s="22" t="s">
        <v>16781</v>
      </c>
      <c r="E12331" s="22" t="s">
        <v>3064</v>
      </c>
      <c r="F12331" s="23" t="str">
        <f>HYPERLINK("https://www.spark-marketing.ru/Card/Lot/72199282", "Поставка сухофруктов для оказания услуг по предоставлению питания школьникам")</f>
        <v>Поставка сухофруктов для оказания услуг по предоставлению питания школьникам</v>
      </c>
      <c r="G12331" s="22" t="s">
        <v>1522</v>
      </c>
      <c r="H12331" s="22" t="s">
        <v>1522</v>
      </c>
      <c r="I12331" s="26">
        <v>43664.574803240699</v>
      </c>
      <c r="J12331" s="28" t="s">
        <v>51</v>
      </c>
      <c r="K12331" s="28" t="s">
        <v>51</v>
      </c>
      <c r="L12331" s="28" t="s">
        <v>51</v>
      </c>
      <c r="M12331" s="28" t="s">
        <v>51</v>
      </c>
      <c r="N12331" s="28" t="s">
        <v>51</v>
      </c>
    </row>
    <row r="12332" spans="1:14" x14ac:dyDescent="0.15">
      <c r="A12332" s="23" t="str">
        <f>HYPERLINK("https://www.spark-marketing.ru/Card/Person/50743", "МП ""ДЕТСКОЕ ПИТАНИЕ""")</f>
        <v>МП "ДЕТСКОЕ ПИТАНИЕ"</v>
      </c>
      <c r="B12332" s="24" t="s">
        <v>1562</v>
      </c>
      <c r="C12332" s="25">
        <v>1033230</v>
      </c>
      <c r="D12332" s="22" t="s">
        <v>16781</v>
      </c>
      <c r="E12332" s="22" t="s">
        <v>3064</v>
      </c>
      <c r="F12332" s="23" t="str">
        <f>HYPERLINK("https://www.spark-marketing.ru/Card/Lot/72199283", "Поставка сушёных фруктов для оказания услуг по предоставлению питания школьникам")</f>
        <v>Поставка сушёных фруктов для оказания услуг по предоставлению питания школьникам</v>
      </c>
      <c r="G12332" s="22" t="s">
        <v>1522</v>
      </c>
      <c r="H12332" s="22" t="s">
        <v>1522</v>
      </c>
      <c r="I12332" s="26">
        <v>43664.574803240699</v>
      </c>
      <c r="J12332" s="28" t="s">
        <v>51</v>
      </c>
      <c r="K12332" s="28" t="s">
        <v>51</v>
      </c>
      <c r="L12332" s="28" t="s">
        <v>51</v>
      </c>
      <c r="M12332" s="28" t="s">
        <v>51</v>
      </c>
      <c r="N12332" s="28" t="s">
        <v>51</v>
      </c>
    </row>
    <row r="12333" spans="1:14" collapsed="1" x14ac:dyDescent="0.2">
      <c r="A12333" s="23" t="s">
        <v>114</v>
      </c>
      <c r="B12333" s="28" t="s">
        <v>51</v>
      </c>
      <c r="C12333" s="25">
        <v>15235770</v>
      </c>
      <c r="D12333" s="22" t="s">
        <v>16798</v>
      </c>
      <c r="E12333" s="22" t="s">
        <v>48</v>
      </c>
      <c r="F12333" s="23" t="str">
        <f>HYPERLINK("https://www.spark-marketing.ru/Card/Lot/72184070",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333" s="22" t="s">
        <v>51</v>
      </c>
      <c r="H12333" s="22" t="s">
        <v>51</v>
      </c>
      <c r="I12333" s="26">
        <v>43664.572222222203</v>
      </c>
      <c r="J12333" s="23" t="str">
        <f>HYPERLINK("https://www.spark-marketing.ru/Card/Person/6558293", "ООО ""ВИВО МАРКЕТ""")</f>
        <v>ООО "ВИВО МАРКЕТ"</v>
      </c>
      <c r="K12333" s="24" t="s">
        <v>14440</v>
      </c>
      <c r="L12333" s="28" t="s">
        <v>51</v>
      </c>
      <c r="M12333" s="25">
        <v>15235770</v>
      </c>
      <c r="N12333" s="27">
        <v>0</v>
      </c>
    </row>
    <row r="12334" spans="1:14" hidden="1" outlineLevel="1" x14ac:dyDescent="0.2">
      <c r="A12334" s="23" t="str">
        <f>HYPERLINK("https://www.spark-marketing.ru/Card/Person/129122", "МОУ СШ № 85")</f>
        <v>МОУ СШ № 85</v>
      </c>
      <c r="B12334" s="24" t="s">
        <v>16799</v>
      </c>
      <c r="C12334" s="25">
        <v>3536700</v>
      </c>
      <c r="D12334" s="22" t="s">
        <v>16798</v>
      </c>
      <c r="E12334" s="22" t="s">
        <v>48</v>
      </c>
      <c r="F12334" s="23" t="str">
        <f>HYPERLINK("https://www.spark-marketing.ru/Card/Lot/72184070",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334" s="22" t="s">
        <v>158</v>
      </c>
      <c r="H12334" s="22" t="s">
        <v>158</v>
      </c>
      <c r="I12334" s="26">
        <v>43664.572222222203</v>
      </c>
      <c r="J12334" s="23" t="str">
        <f>HYPERLINK("https://www.spark-marketing.ru/Card/Person/6558293", "ООО ""ВИВО МАРКЕТ""")</f>
        <v>ООО "ВИВО МАРКЕТ"</v>
      </c>
      <c r="K12334" s="24" t="s">
        <v>14440</v>
      </c>
      <c r="L12334" s="28" t="s">
        <v>51</v>
      </c>
      <c r="M12334" s="28" t="s">
        <v>51</v>
      </c>
      <c r="N12334" s="27">
        <v>0</v>
      </c>
    </row>
    <row r="12335" spans="1:14" hidden="1" outlineLevel="1" x14ac:dyDescent="0.2">
      <c r="A12335" s="23" t="str">
        <f>HYPERLINK("https://www.spark-marketing.ru/Card/Person/129669", "МОУ СШ № 50")</f>
        <v>МОУ СШ № 50</v>
      </c>
      <c r="B12335" s="24" t="s">
        <v>16800</v>
      </c>
      <c r="C12335" s="25">
        <v>3685845</v>
      </c>
      <c r="D12335" s="22" t="s">
        <v>16798</v>
      </c>
      <c r="E12335" s="22" t="s">
        <v>48</v>
      </c>
      <c r="F12335" s="23" t="str">
        <f>HYPERLINK("https://www.spark-marketing.ru/Card/Lot/72184070",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335" s="22" t="s">
        <v>158</v>
      </c>
      <c r="H12335" s="22" t="s">
        <v>158</v>
      </c>
      <c r="I12335" s="26">
        <v>43664.572222222203</v>
      </c>
      <c r="J12335" s="23" t="str">
        <f>HYPERLINK("https://www.spark-marketing.ru/Card/Person/6558293", "ООО ""ВИВО МАРКЕТ""")</f>
        <v>ООО "ВИВО МАРКЕТ"</v>
      </c>
      <c r="K12335" s="24" t="s">
        <v>14440</v>
      </c>
      <c r="L12335" s="28" t="s">
        <v>51</v>
      </c>
      <c r="M12335" s="28" t="s">
        <v>51</v>
      </c>
      <c r="N12335" s="27">
        <v>0</v>
      </c>
    </row>
    <row r="12336" spans="1:14" hidden="1" outlineLevel="1" x14ac:dyDescent="0.2">
      <c r="A12336" s="23" t="str">
        <f>HYPERLINK("https://www.spark-marketing.ru/Card/Person/129812", "МОУ СШ № 128")</f>
        <v>МОУ СШ № 128</v>
      </c>
      <c r="B12336" s="24" t="s">
        <v>16801</v>
      </c>
      <c r="C12336" s="25">
        <v>3481575</v>
      </c>
      <c r="D12336" s="22" t="s">
        <v>16798</v>
      </c>
      <c r="E12336" s="22" t="s">
        <v>48</v>
      </c>
      <c r="F12336" s="23" t="str">
        <f>HYPERLINK("https://www.spark-marketing.ru/Card/Lot/72184070",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336" s="22" t="s">
        <v>158</v>
      </c>
      <c r="H12336" s="22" t="s">
        <v>158</v>
      </c>
      <c r="I12336" s="26">
        <v>43664.572222222203</v>
      </c>
      <c r="J12336" s="23" t="str">
        <f>HYPERLINK("https://www.spark-marketing.ru/Card/Person/6558293", "ООО ""ВИВО МАРКЕТ""")</f>
        <v>ООО "ВИВО МАРКЕТ"</v>
      </c>
      <c r="K12336" s="24" t="s">
        <v>14440</v>
      </c>
      <c r="L12336" s="28" t="s">
        <v>51</v>
      </c>
      <c r="M12336" s="28" t="s">
        <v>51</v>
      </c>
      <c r="N12336" s="27">
        <v>0</v>
      </c>
    </row>
    <row r="12337" spans="1:14" hidden="1" outlineLevel="1" x14ac:dyDescent="0.2">
      <c r="A12337" s="23" t="str">
        <f>HYPERLINK("https://www.spark-marketing.ru/Card/Person/129815", "МОУ СШ № 89")</f>
        <v>МОУ СШ № 89</v>
      </c>
      <c r="B12337" s="24" t="s">
        <v>16802</v>
      </c>
      <c r="C12337" s="25">
        <v>4531650</v>
      </c>
      <c r="D12337" s="22" t="s">
        <v>16798</v>
      </c>
      <c r="E12337" s="22" t="s">
        <v>48</v>
      </c>
      <c r="F12337" s="23" t="str">
        <f>HYPERLINK("https://www.spark-marketing.ru/Card/Lot/72184070",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337" s="22" t="s">
        <v>158</v>
      </c>
      <c r="H12337" s="22" t="s">
        <v>158</v>
      </c>
      <c r="I12337" s="26">
        <v>43664.572222222203</v>
      </c>
      <c r="J12337" s="23" t="str">
        <f>HYPERLINK("https://www.spark-marketing.ru/Card/Person/6558293", "ООО ""ВИВО МАРКЕТ""")</f>
        <v>ООО "ВИВО МАРКЕТ"</v>
      </c>
      <c r="K12337" s="24" t="s">
        <v>14440</v>
      </c>
      <c r="L12337" s="28" t="s">
        <v>51</v>
      </c>
      <c r="M12337" s="28" t="s">
        <v>51</v>
      </c>
      <c r="N12337" s="27">
        <v>0</v>
      </c>
    </row>
    <row r="12338" spans="1:14" x14ac:dyDescent="0.15">
      <c r="A12338" s="23" t="str">
        <f>HYPERLINK("https://www.spark-marketing.ru/Card/Person/4875967", "ГАПОУ ПО ПКТТ")</f>
        <v>ГАПОУ ПО ПКТТ</v>
      </c>
      <c r="B12338" s="24" t="s">
        <v>11218</v>
      </c>
      <c r="C12338" s="25">
        <v>1335711</v>
      </c>
      <c r="D12338" s="22" t="s">
        <v>16803</v>
      </c>
      <c r="E12338" s="22" t="s">
        <v>362</v>
      </c>
      <c r="F12338" s="23" t="str">
        <f>HYPERLINK("https://www.spark-marketing.ru/Card/Lot/72199255", "Услуги по организации горячего питания обучающихся в Отделении транспорта и дорожного хозяйства ГАПОУ ПО ПКТТ")</f>
        <v>Услуги по организации горячего питания обучающихся в Отделении транспорта и дорожного хозяйства ГАПОУ ПО ПКТТ</v>
      </c>
      <c r="G12338" s="22" t="s">
        <v>72</v>
      </c>
      <c r="H12338" s="22" t="s">
        <v>72</v>
      </c>
      <c r="I12338" s="26">
        <v>43664.566168981502</v>
      </c>
      <c r="J12338" s="28" t="s">
        <v>51</v>
      </c>
      <c r="K12338" s="28" t="s">
        <v>51</v>
      </c>
      <c r="L12338" s="28" t="s">
        <v>51</v>
      </c>
      <c r="M12338" s="28" t="s">
        <v>51</v>
      </c>
      <c r="N12338" s="28" t="s">
        <v>51</v>
      </c>
    </row>
    <row r="12339" spans="1:14" x14ac:dyDescent="0.15">
      <c r="A12339" s="23" t="str">
        <f>HYPERLINK("https://www.spark-marketing.ru/Card/Person/53486", "МБОУ ""СОШ № 10""")</f>
        <v>МБОУ "СОШ № 10"</v>
      </c>
      <c r="B12339" s="24" t="s">
        <v>16804</v>
      </c>
      <c r="C12339" s="25">
        <v>179400</v>
      </c>
      <c r="D12339" s="22" t="s">
        <v>16805</v>
      </c>
      <c r="E12339" s="22" t="s">
        <v>48</v>
      </c>
      <c r="F12339" s="23" t="str">
        <f>HYPERLINK("https://www.spark-marketing.ru/Card/Lot/72177744",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2339" s="22" t="s">
        <v>92</v>
      </c>
      <c r="H12339" s="22" t="s">
        <v>93</v>
      </c>
      <c r="I12339" s="26">
        <v>43664.558634259301</v>
      </c>
      <c r="J12339" s="23" t="str">
        <f>HYPERLINK("https://www.spark-marketing.ru/Card/Person/65713", "Богданова Рената Ингилабовна")</f>
        <v>Богданова Рената Ингилабовна</v>
      </c>
      <c r="K12339" s="24" t="s">
        <v>15474</v>
      </c>
      <c r="L12339" s="22" t="s">
        <v>10</v>
      </c>
      <c r="M12339" s="28" t="s">
        <v>51</v>
      </c>
      <c r="N12339" s="28" t="s">
        <v>51</v>
      </c>
    </row>
    <row r="12340" spans="1:14" collapsed="1" x14ac:dyDescent="0.2">
      <c r="A12340" s="23" t="s">
        <v>114</v>
      </c>
      <c r="B12340" s="28" t="s">
        <v>51</v>
      </c>
      <c r="C12340" s="25">
        <v>16950540</v>
      </c>
      <c r="D12340" s="22" t="s">
        <v>16806</v>
      </c>
      <c r="E12340" s="22" t="s">
        <v>48</v>
      </c>
      <c r="F12340" s="23" t="str">
        <f t="shared" ref="F12340:F12346" si="381">HYPERLINK("https://www.spark-marketing.ru/Card/Lot/72184134", "Оказание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40" s="22" t="s">
        <v>51</v>
      </c>
      <c r="H12340" s="22" t="s">
        <v>51</v>
      </c>
      <c r="I12340" s="26">
        <v>43664.572222222203</v>
      </c>
      <c r="J12340" s="23" t="str">
        <f t="shared" ref="J12340:J12346" si="382">HYPERLINK("https://www.spark-marketing.ru/Card/Person/503771", "ООО ""МОБИЛСВЯЗЬ""")</f>
        <v>ООО "МОБИЛСВЯЗЬ"</v>
      </c>
      <c r="K12340" s="24" t="s">
        <v>16642</v>
      </c>
      <c r="L12340" s="28" t="s">
        <v>51</v>
      </c>
      <c r="M12340" s="25">
        <v>16950540</v>
      </c>
      <c r="N12340" s="27">
        <v>0</v>
      </c>
    </row>
    <row r="12341" spans="1:14" hidden="1" outlineLevel="1" x14ac:dyDescent="0.2">
      <c r="A12341" s="23" t="str">
        <f>HYPERLINK("https://www.spark-marketing.ru/Card/Person/142776", "МОУ СШ № 83")</f>
        <v>МОУ СШ № 83</v>
      </c>
      <c r="B12341" s="24" t="s">
        <v>16807</v>
      </c>
      <c r="C12341" s="25">
        <v>2679705</v>
      </c>
      <c r="D12341" s="22" t="s">
        <v>16806</v>
      </c>
      <c r="E12341" s="22" t="s">
        <v>48</v>
      </c>
      <c r="F12341" s="23" t="str">
        <f t="shared" si="381"/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41" s="22" t="s">
        <v>158</v>
      </c>
      <c r="H12341" s="22" t="s">
        <v>158</v>
      </c>
      <c r="I12341" s="26">
        <v>43664.572222222203</v>
      </c>
      <c r="J12341" s="23" t="str">
        <f t="shared" si="382"/>
        <v>ООО "МОБИЛСВЯЗЬ"</v>
      </c>
      <c r="K12341" s="24" t="s">
        <v>16642</v>
      </c>
      <c r="L12341" s="28" t="s">
        <v>51</v>
      </c>
      <c r="M12341" s="28" t="s">
        <v>51</v>
      </c>
      <c r="N12341" s="27">
        <v>0</v>
      </c>
    </row>
    <row r="12342" spans="1:14" hidden="1" outlineLevel="1" x14ac:dyDescent="0.2">
      <c r="A12342" s="23" t="str">
        <f>HYPERLINK("https://www.spark-marketing.ru/Card/Person/142831", "МОУ СШ № 81")</f>
        <v>МОУ СШ № 81</v>
      </c>
      <c r="B12342" s="24" t="s">
        <v>16808</v>
      </c>
      <c r="C12342" s="25">
        <v>3007275</v>
      </c>
      <c r="D12342" s="22" t="s">
        <v>16806</v>
      </c>
      <c r="E12342" s="22" t="s">
        <v>48</v>
      </c>
      <c r="F12342" s="23" t="str">
        <f t="shared" si="381"/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42" s="22" t="s">
        <v>158</v>
      </c>
      <c r="H12342" s="22" t="s">
        <v>158</v>
      </c>
      <c r="I12342" s="26">
        <v>43664.572222222203</v>
      </c>
      <c r="J12342" s="23" t="str">
        <f t="shared" si="382"/>
        <v>ООО "МОБИЛСВЯЗЬ"</v>
      </c>
      <c r="K12342" s="24" t="s">
        <v>16642</v>
      </c>
      <c r="L12342" s="28" t="s">
        <v>51</v>
      </c>
      <c r="M12342" s="28" t="s">
        <v>51</v>
      </c>
      <c r="N12342" s="27">
        <v>0</v>
      </c>
    </row>
    <row r="12343" spans="1:14" hidden="1" outlineLevel="1" x14ac:dyDescent="0.2">
      <c r="A12343" s="23" t="str">
        <f>HYPERLINK("https://www.spark-marketing.ru/Card/Person/142879", "МОУ СШ № 7")</f>
        <v>МОУ СШ № 7</v>
      </c>
      <c r="B12343" s="24" t="s">
        <v>16809</v>
      </c>
      <c r="C12343" s="25">
        <v>2942905</v>
      </c>
      <c r="D12343" s="22" t="s">
        <v>16806</v>
      </c>
      <c r="E12343" s="22" t="s">
        <v>48</v>
      </c>
      <c r="F12343" s="23" t="str">
        <f t="shared" si="381"/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43" s="22" t="s">
        <v>158</v>
      </c>
      <c r="H12343" s="22" t="s">
        <v>158</v>
      </c>
      <c r="I12343" s="26">
        <v>43664.572222222203</v>
      </c>
      <c r="J12343" s="23" t="str">
        <f t="shared" si="382"/>
        <v>ООО "МОБИЛСВЯЗЬ"</v>
      </c>
      <c r="K12343" s="24" t="s">
        <v>16642</v>
      </c>
      <c r="L12343" s="28" t="s">
        <v>51</v>
      </c>
      <c r="M12343" s="28" t="s">
        <v>51</v>
      </c>
      <c r="N12343" s="27">
        <v>0</v>
      </c>
    </row>
    <row r="12344" spans="1:14" hidden="1" outlineLevel="1" x14ac:dyDescent="0.2">
      <c r="A12344" s="23" t="str">
        <f>HYPERLINK("https://www.spark-marketing.ru/Card/Person/142881", "МОУ СШ № 10")</f>
        <v>МОУ СШ № 10</v>
      </c>
      <c r="B12344" s="24" t="s">
        <v>16810</v>
      </c>
      <c r="C12344" s="25">
        <v>3316625</v>
      </c>
      <c r="D12344" s="22" t="s">
        <v>16806</v>
      </c>
      <c r="E12344" s="22" t="s">
        <v>48</v>
      </c>
      <c r="F12344" s="23" t="str">
        <f t="shared" si="381"/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44" s="22" t="s">
        <v>158</v>
      </c>
      <c r="H12344" s="22" t="s">
        <v>158</v>
      </c>
      <c r="I12344" s="26">
        <v>43664.572222222203</v>
      </c>
      <c r="J12344" s="23" t="str">
        <f t="shared" si="382"/>
        <v>ООО "МОБИЛСВЯЗЬ"</v>
      </c>
      <c r="K12344" s="24" t="s">
        <v>16642</v>
      </c>
      <c r="L12344" s="28" t="s">
        <v>51</v>
      </c>
      <c r="M12344" s="28" t="s">
        <v>51</v>
      </c>
      <c r="N12344" s="27">
        <v>0</v>
      </c>
    </row>
    <row r="12345" spans="1:14" hidden="1" outlineLevel="1" x14ac:dyDescent="0.2">
      <c r="A12345" s="23" t="str">
        <f>HYPERLINK("https://www.spark-marketing.ru/Card/Person/142894", "МОУ СШ № 44")</f>
        <v>МОУ СШ № 44</v>
      </c>
      <c r="B12345" s="24" t="s">
        <v>16811</v>
      </c>
      <c r="C12345" s="25">
        <v>2499475</v>
      </c>
      <c r="D12345" s="22" t="s">
        <v>16806</v>
      </c>
      <c r="E12345" s="22" t="s">
        <v>48</v>
      </c>
      <c r="F12345" s="23" t="str">
        <f t="shared" si="381"/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45" s="22" t="s">
        <v>158</v>
      </c>
      <c r="H12345" s="22" t="s">
        <v>158</v>
      </c>
      <c r="I12345" s="26">
        <v>43664.572222222203</v>
      </c>
      <c r="J12345" s="23" t="str">
        <f t="shared" si="382"/>
        <v>ООО "МОБИЛСВЯЗЬ"</v>
      </c>
      <c r="K12345" s="24" t="s">
        <v>16642</v>
      </c>
      <c r="L12345" s="28" t="s">
        <v>51</v>
      </c>
      <c r="M12345" s="28" t="s">
        <v>51</v>
      </c>
      <c r="N12345" s="27">
        <v>0</v>
      </c>
    </row>
    <row r="12346" spans="1:14" hidden="1" outlineLevel="1" x14ac:dyDescent="0.2">
      <c r="A12346" s="23" t="str">
        <f>HYPERLINK("https://www.spark-marketing.ru/Card/Person/142904", "МОУ СШ № 84")</f>
        <v>МОУ СШ № 84</v>
      </c>
      <c r="B12346" s="24" t="s">
        <v>16812</v>
      </c>
      <c r="C12346" s="25">
        <v>2504555</v>
      </c>
      <c r="D12346" s="22" t="s">
        <v>16806</v>
      </c>
      <c r="E12346" s="22" t="s">
        <v>48</v>
      </c>
      <c r="F12346" s="23" t="str">
        <f t="shared" si="381"/>
        <v>Оказание услуг общественного питания обучающихся  на базе муниципальных общеобразовательных учреждений Центрального района Волгограда в учебный и каникулярный  период 2019-2021гг.</v>
      </c>
      <c r="G12346" s="22" t="s">
        <v>158</v>
      </c>
      <c r="H12346" s="22" t="s">
        <v>158</v>
      </c>
      <c r="I12346" s="26">
        <v>43664.572222222203</v>
      </c>
      <c r="J12346" s="23" t="str">
        <f t="shared" si="382"/>
        <v>ООО "МОБИЛСВЯЗЬ"</v>
      </c>
      <c r="K12346" s="24" t="s">
        <v>16642</v>
      </c>
      <c r="L12346" s="28" t="s">
        <v>51</v>
      </c>
      <c r="M12346" s="28" t="s">
        <v>51</v>
      </c>
      <c r="N12346" s="27">
        <v>0</v>
      </c>
    </row>
    <row r="12347" spans="1:14" x14ac:dyDescent="0.15">
      <c r="A12347" s="23" t="str">
        <f>HYPERLINK("https://www.spark-marketing.ru/Card/Person/4875967", "ГАПОУ ПО ПКТТ")</f>
        <v>ГАПОУ ПО ПКТТ</v>
      </c>
      <c r="B12347" s="24" t="s">
        <v>11218</v>
      </c>
      <c r="C12347" s="25">
        <v>1345194</v>
      </c>
      <c r="D12347" s="22" t="s">
        <v>16813</v>
      </c>
      <c r="E12347" s="22" t="s">
        <v>362</v>
      </c>
      <c r="F12347" s="23" t="str">
        <f>HYPERLINK("https://www.spark-marketing.ru/Card/Lot/72199285", "Услуги по организации горячего питания обучающихся в Отделении железнодорожного транспорта ГАПОУ ПО ПКТТ")</f>
        <v>Услуги по организации горячего питания обучающихся в Отделении железнодорожного транспорта ГАПОУ ПО ПКТТ</v>
      </c>
      <c r="G12347" s="22" t="s">
        <v>72</v>
      </c>
      <c r="H12347" s="22" t="s">
        <v>72</v>
      </c>
      <c r="I12347" s="26">
        <v>43664.575868055603</v>
      </c>
      <c r="J12347" s="28" t="s">
        <v>51</v>
      </c>
      <c r="K12347" s="28" t="s">
        <v>51</v>
      </c>
      <c r="L12347" s="28" t="s">
        <v>51</v>
      </c>
      <c r="M12347" s="28" t="s">
        <v>51</v>
      </c>
      <c r="N12347" s="28" t="s">
        <v>51</v>
      </c>
    </row>
    <row r="12348" spans="1:14" collapsed="1" x14ac:dyDescent="0.2">
      <c r="A12348" s="23" t="s">
        <v>114</v>
      </c>
      <c r="B12348" s="28" t="s">
        <v>51</v>
      </c>
      <c r="C12348" s="25">
        <v>15772400</v>
      </c>
      <c r="D12348" s="22" t="s">
        <v>16814</v>
      </c>
      <c r="E12348" s="22" t="s">
        <v>48</v>
      </c>
      <c r="F12348" s="23" t="str">
        <f t="shared" ref="F12348:F12353" si="383">HYPERLINK("https://www.spark-marketing.ru/Card/Lot/72184133", "Оказание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48" s="22" t="s">
        <v>51</v>
      </c>
      <c r="H12348" s="22" t="s">
        <v>51</v>
      </c>
      <c r="I12348" s="26">
        <v>43664.572222222203</v>
      </c>
      <c r="J12348" s="23" t="str">
        <f t="shared" ref="J12348:J12353" si="384">HYPERLINK("https://www.spark-marketing.ru/Card/Person/6558293", "ООО ""ВИВО МАРКЕТ""")</f>
        <v>ООО "ВИВО МАРКЕТ"</v>
      </c>
      <c r="K12348" s="24" t="s">
        <v>14440</v>
      </c>
      <c r="L12348" s="28" t="s">
        <v>51</v>
      </c>
      <c r="M12348" s="25">
        <v>15772400</v>
      </c>
      <c r="N12348" s="27">
        <v>0</v>
      </c>
    </row>
    <row r="12349" spans="1:14" hidden="1" outlineLevel="1" x14ac:dyDescent="0.2">
      <c r="A12349" s="23" t="str">
        <f>HYPERLINK("https://www.spark-marketing.ru/Card/Person/67941", "МОУ ГИМНАЗИЯ № 6")</f>
        <v>МОУ ГИМНАЗИЯ № 6</v>
      </c>
      <c r="B12349" s="24" t="s">
        <v>16815</v>
      </c>
      <c r="C12349" s="25">
        <v>2740995</v>
      </c>
      <c r="D12349" s="22" t="s">
        <v>16814</v>
      </c>
      <c r="E12349" s="22" t="s">
        <v>48</v>
      </c>
      <c r="F12349" s="23" t="str">
        <f t="shared" si="383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49" s="22" t="s">
        <v>158</v>
      </c>
      <c r="H12349" s="22" t="s">
        <v>158</v>
      </c>
      <c r="I12349" s="26">
        <v>43664.572222222203</v>
      </c>
      <c r="J12349" s="23" t="str">
        <f t="shared" si="384"/>
        <v>ООО "ВИВО МАРКЕТ"</v>
      </c>
      <c r="K12349" s="24" t="s">
        <v>14440</v>
      </c>
      <c r="L12349" s="28" t="s">
        <v>51</v>
      </c>
      <c r="M12349" s="28" t="s">
        <v>51</v>
      </c>
      <c r="N12349" s="27">
        <v>0</v>
      </c>
    </row>
    <row r="12350" spans="1:14" hidden="1" outlineLevel="1" x14ac:dyDescent="0.2">
      <c r="A12350" s="23" t="str">
        <f>HYPERLINK("https://www.spark-marketing.ru/Card/Person/128321", "МОУ ОШ № 79")</f>
        <v>МОУ ОШ № 79</v>
      </c>
      <c r="B12350" s="24" t="s">
        <v>16816</v>
      </c>
      <c r="C12350" s="25">
        <v>516650</v>
      </c>
      <c r="D12350" s="22" t="s">
        <v>16814</v>
      </c>
      <c r="E12350" s="22" t="s">
        <v>48</v>
      </c>
      <c r="F12350" s="23" t="str">
        <f t="shared" si="383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50" s="22" t="s">
        <v>158</v>
      </c>
      <c r="H12350" s="22" t="s">
        <v>158</v>
      </c>
      <c r="I12350" s="26">
        <v>43664.572222222203</v>
      </c>
      <c r="J12350" s="23" t="str">
        <f t="shared" si="384"/>
        <v>ООО "ВИВО МАРКЕТ"</v>
      </c>
      <c r="K12350" s="24" t="s">
        <v>14440</v>
      </c>
      <c r="L12350" s="28" t="s">
        <v>51</v>
      </c>
      <c r="M12350" s="28" t="s">
        <v>51</v>
      </c>
      <c r="N12350" s="27">
        <v>0</v>
      </c>
    </row>
    <row r="12351" spans="1:14" hidden="1" outlineLevel="1" x14ac:dyDescent="0.2">
      <c r="A12351" s="23" t="str">
        <f>HYPERLINK("https://www.spark-marketing.ru/Card/Person/128635", "МОУ ЛИЦЕЙ № 1")</f>
        <v>МОУ ЛИЦЕЙ № 1</v>
      </c>
      <c r="B12351" s="24" t="s">
        <v>16817</v>
      </c>
      <c r="C12351" s="25">
        <v>4146110</v>
      </c>
      <c r="D12351" s="22" t="s">
        <v>16814</v>
      </c>
      <c r="E12351" s="22" t="s">
        <v>48</v>
      </c>
      <c r="F12351" s="23" t="str">
        <f t="shared" si="383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51" s="22" t="s">
        <v>158</v>
      </c>
      <c r="H12351" s="22" t="s">
        <v>158</v>
      </c>
      <c r="I12351" s="26">
        <v>43664.572222222203</v>
      </c>
      <c r="J12351" s="23" t="str">
        <f t="shared" si="384"/>
        <v>ООО "ВИВО МАРКЕТ"</v>
      </c>
      <c r="K12351" s="24" t="s">
        <v>14440</v>
      </c>
      <c r="L12351" s="28" t="s">
        <v>51</v>
      </c>
      <c r="M12351" s="28" t="s">
        <v>51</v>
      </c>
      <c r="N12351" s="27">
        <v>0</v>
      </c>
    </row>
    <row r="12352" spans="1:14" hidden="1" outlineLevel="1" x14ac:dyDescent="0.2">
      <c r="A12352" s="23" t="str">
        <f>HYPERLINK("https://www.spark-marketing.ru/Card/Person/128655", "МОУ ГИМНАЗИЯ № 2")</f>
        <v>МОУ ГИМНАЗИЯ № 2</v>
      </c>
      <c r="B12352" s="24" t="s">
        <v>16818</v>
      </c>
      <c r="C12352" s="25">
        <v>3836290</v>
      </c>
      <c r="D12352" s="22" t="s">
        <v>16814</v>
      </c>
      <c r="E12352" s="22" t="s">
        <v>48</v>
      </c>
      <c r="F12352" s="23" t="str">
        <f t="shared" si="383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52" s="22" t="s">
        <v>158</v>
      </c>
      <c r="H12352" s="22" t="s">
        <v>158</v>
      </c>
      <c r="I12352" s="26">
        <v>43664.572222222203</v>
      </c>
      <c r="J12352" s="23" t="str">
        <f t="shared" si="384"/>
        <v>ООО "ВИВО МАРКЕТ"</v>
      </c>
      <c r="K12352" s="24" t="s">
        <v>14440</v>
      </c>
      <c r="L12352" s="28" t="s">
        <v>51</v>
      </c>
      <c r="M12352" s="28" t="s">
        <v>51</v>
      </c>
      <c r="N12352" s="27">
        <v>0</v>
      </c>
    </row>
    <row r="12353" spans="1:14" hidden="1" outlineLevel="1" x14ac:dyDescent="0.2">
      <c r="A12353" s="23" t="str">
        <f>HYPERLINK("https://www.spark-marketing.ru/Card/Person/129589", "МОУ ЛИЦЕЙ № 4")</f>
        <v>МОУ ЛИЦЕЙ № 4</v>
      </c>
      <c r="B12353" s="24" t="s">
        <v>16819</v>
      </c>
      <c r="C12353" s="25">
        <v>4532355</v>
      </c>
      <c r="D12353" s="22" t="s">
        <v>16814</v>
      </c>
      <c r="E12353" s="22" t="s">
        <v>48</v>
      </c>
      <c r="F12353" s="23" t="str">
        <f t="shared" si="383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53" s="22" t="s">
        <v>158</v>
      </c>
      <c r="H12353" s="22" t="s">
        <v>158</v>
      </c>
      <c r="I12353" s="26">
        <v>43664.572222222203</v>
      </c>
      <c r="J12353" s="23" t="str">
        <f t="shared" si="384"/>
        <v>ООО "ВИВО МАРКЕТ"</v>
      </c>
      <c r="K12353" s="24" t="s">
        <v>14440</v>
      </c>
      <c r="L12353" s="28" t="s">
        <v>51</v>
      </c>
      <c r="M12353" s="28" t="s">
        <v>51</v>
      </c>
      <c r="N12353" s="27">
        <v>0</v>
      </c>
    </row>
    <row r="12354" spans="1:14" collapsed="1" x14ac:dyDescent="0.15">
      <c r="A12354" s="23" t="str">
        <f>HYPERLINK("https://www.spark-marketing.ru/Card/Person/1001796", "МБОУ ""СОШ № 23""")</f>
        <v>МБОУ "СОШ № 23"</v>
      </c>
      <c r="B12354" s="24" t="s">
        <v>16820</v>
      </c>
      <c r="C12354" s="25">
        <v>191958</v>
      </c>
      <c r="D12354" s="22" t="s">
        <v>16821</v>
      </c>
      <c r="E12354" s="22" t="s">
        <v>48</v>
      </c>
      <c r="F12354" s="23" t="str">
        <f>HYPERLINK("https://www.spark-marketing.ru/Card/Lot/72179551",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2354" s="22" t="s">
        <v>92</v>
      </c>
      <c r="H12354" s="22" t="s">
        <v>93</v>
      </c>
      <c r="I12354" s="26">
        <v>43664.578252314801</v>
      </c>
      <c r="J12354" s="28" t="s">
        <v>51</v>
      </c>
      <c r="K12354" s="28" t="s">
        <v>51</v>
      </c>
      <c r="L12354" s="28" t="s">
        <v>51</v>
      </c>
      <c r="M12354" s="28" t="s">
        <v>51</v>
      </c>
      <c r="N12354" s="28" t="s">
        <v>51</v>
      </c>
    </row>
    <row r="12355" spans="1:14" hidden="1" outlineLevel="1" x14ac:dyDescent="0.2">
      <c r="A12355" s="23" t="str">
        <f>HYPERLINK("https://www.spark-marketing.ru/Card/Person/1001796", "МБОУ ""СОШ № 23""")</f>
        <v>МБОУ "СОШ № 23"</v>
      </c>
      <c r="B12355" s="24" t="s">
        <v>16820</v>
      </c>
      <c r="C12355" s="25">
        <v>191958</v>
      </c>
      <c r="D12355" s="22" t="s">
        <v>16821</v>
      </c>
      <c r="E12355" s="22" t="s">
        <v>48</v>
      </c>
      <c r="F12355" s="23" t="str">
        <f>HYPERLINK("https://www.spark-marketing.ru/Card/Lot/72179551",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2355" s="22" t="s">
        <v>92</v>
      </c>
      <c r="H12355" s="22" t="s">
        <v>93</v>
      </c>
      <c r="I12355" s="26">
        <v>43664.578252314801</v>
      </c>
      <c r="J12355" s="23" t="str">
        <f>HYPERLINK("https://www.spark-marketing.ru/Card/Person/132653", "ООО ""ТФ ""ХАН ТИГР""")</f>
        <v>ООО "ТФ "ХАН ТИГР"</v>
      </c>
      <c r="K12355" s="24" t="s">
        <v>9746</v>
      </c>
      <c r="L12355" s="28" t="s">
        <v>51</v>
      </c>
      <c r="M12355" s="25">
        <v>190998.21</v>
      </c>
      <c r="N12355" s="27">
        <v>5.0000000000000001E-3</v>
      </c>
    </row>
    <row r="12356" spans="1:14" ht="12.75" hidden="1" outlineLevel="1" x14ac:dyDescent="0.2">
      <c r="A12356" s="23" t="str">
        <f>HYPERLINK("https://www.spark-marketing.ru/Card/Person/1001796", "МБОУ ""СОШ № 23""")</f>
        <v>МБОУ "СОШ № 23"</v>
      </c>
      <c r="B12356" s="24" t="s">
        <v>16820</v>
      </c>
      <c r="C12356" s="25">
        <v>191958</v>
      </c>
      <c r="D12356" s="22" t="s">
        <v>16821</v>
      </c>
      <c r="E12356" s="22" t="s">
        <v>48</v>
      </c>
      <c r="F12356" s="23" t="str">
        <f>HYPERLINK("https://www.spark-marketing.ru/Card/Lot/72179551",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2356" s="22" t="s">
        <v>92</v>
      </c>
      <c r="H12356" s="22" t="s">
        <v>93</v>
      </c>
      <c r="I12356" s="26">
        <v>43664.578252314801</v>
      </c>
      <c r="J12356" s="23" t="str">
        <f>HYPERLINK("https://www.spark-marketing.ru/Card/Person/651060", "АО ""ХАН ТИГР""")</f>
        <v>АО "ХАН ТИГР"</v>
      </c>
      <c r="K12356" s="24" t="s">
        <v>16822</v>
      </c>
      <c r="L12356" s="22" t="s">
        <v>10</v>
      </c>
      <c r="M12356" s="25">
        <v>190038.42</v>
      </c>
      <c r="N12356" s="27">
        <v>0.01</v>
      </c>
    </row>
    <row r="12357" spans="1:14" collapsed="1" x14ac:dyDescent="0.2">
      <c r="A12357" s="23" t="s">
        <v>114</v>
      </c>
      <c r="B12357" s="28" t="s">
        <v>51</v>
      </c>
      <c r="C12357" s="25">
        <v>15535305</v>
      </c>
      <c r="D12357" s="22" t="s">
        <v>16823</v>
      </c>
      <c r="E12357" s="22" t="s">
        <v>48</v>
      </c>
      <c r="F12357" s="23" t="str">
        <f t="shared" ref="F12357:F12362" si="385">HYPERLINK("https://www.spark-marketing.ru/Card/Lot/72184132", "Оказание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57" s="22" t="s">
        <v>51</v>
      </c>
      <c r="H12357" s="22" t="s">
        <v>51</v>
      </c>
      <c r="I12357" s="26">
        <v>43664.572222222203</v>
      </c>
      <c r="J12357" s="23" t="str">
        <f t="shared" ref="J12357:J12362" si="386">HYPERLINK("https://www.spark-marketing.ru/Card/Person/6558293", "ООО ""ВИВО МАРКЕТ""")</f>
        <v>ООО "ВИВО МАРКЕТ"</v>
      </c>
      <c r="K12357" s="24" t="s">
        <v>14440</v>
      </c>
      <c r="L12357" s="28" t="s">
        <v>51</v>
      </c>
      <c r="M12357" s="25">
        <v>15535305</v>
      </c>
      <c r="N12357" s="27">
        <v>0</v>
      </c>
    </row>
    <row r="12358" spans="1:14" hidden="1" outlineLevel="1" x14ac:dyDescent="0.2">
      <c r="A12358" s="23" t="str">
        <f>HYPERLINK("https://www.spark-marketing.ru/Card/Person/69549", "МОУ ГИМНАЗИЯ № 7")</f>
        <v>МОУ ГИМНАЗИЯ № 7</v>
      </c>
      <c r="B12358" s="24" t="s">
        <v>16824</v>
      </c>
      <c r="C12358" s="25">
        <v>4915975</v>
      </c>
      <c r="D12358" s="22" t="s">
        <v>16823</v>
      </c>
      <c r="E12358" s="22" t="s">
        <v>48</v>
      </c>
      <c r="F12358" s="23" t="str">
        <f t="shared" si="385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58" s="22" t="s">
        <v>158</v>
      </c>
      <c r="H12358" s="22" t="s">
        <v>158</v>
      </c>
      <c r="I12358" s="26">
        <v>43664.572222222203</v>
      </c>
      <c r="J12358" s="23" t="str">
        <f t="shared" si="386"/>
        <v>ООО "ВИВО МАРКЕТ"</v>
      </c>
      <c r="K12358" s="24" t="s">
        <v>14440</v>
      </c>
      <c r="L12358" s="28" t="s">
        <v>51</v>
      </c>
      <c r="M12358" s="28" t="s">
        <v>51</v>
      </c>
      <c r="N12358" s="27">
        <v>0</v>
      </c>
    </row>
    <row r="12359" spans="1:14" hidden="1" outlineLevel="1" x14ac:dyDescent="0.2">
      <c r="A12359" s="23" t="str">
        <f>HYPERLINK("https://www.spark-marketing.ru/Card/Person/129466", "МОУ СШ № 31")</f>
        <v>МОУ СШ № 31</v>
      </c>
      <c r="B12359" s="24" t="s">
        <v>16825</v>
      </c>
      <c r="C12359" s="25">
        <v>3640490</v>
      </c>
      <c r="D12359" s="22" t="s">
        <v>16823</v>
      </c>
      <c r="E12359" s="22" t="s">
        <v>48</v>
      </c>
      <c r="F12359" s="23" t="str">
        <f t="shared" si="385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59" s="22" t="s">
        <v>158</v>
      </c>
      <c r="H12359" s="22" t="s">
        <v>158</v>
      </c>
      <c r="I12359" s="26">
        <v>43664.572222222203</v>
      </c>
      <c r="J12359" s="23" t="str">
        <f t="shared" si="386"/>
        <v>ООО "ВИВО МАРКЕТ"</v>
      </c>
      <c r="K12359" s="24" t="s">
        <v>14440</v>
      </c>
      <c r="L12359" s="28" t="s">
        <v>51</v>
      </c>
      <c r="M12359" s="28" t="s">
        <v>51</v>
      </c>
      <c r="N12359" s="27">
        <v>0</v>
      </c>
    </row>
    <row r="12360" spans="1:14" hidden="1" outlineLevel="1" x14ac:dyDescent="0.2">
      <c r="A12360" s="23" t="str">
        <f>HYPERLINK("https://www.spark-marketing.ru/Card/Person/129655", "МОУ СШ № 60")</f>
        <v>МОУ СШ № 60</v>
      </c>
      <c r="B12360" s="24" t="s">
        <v>16826</v>
      </c>
      <c r="C12360" s="25">
        <v>2297480</v>
      </c>
      <c r="D12360" s="22" t="s">
        <v>16823</v>
      </c>
      <c r="E12360" s="22" t="s">
        <v>48</v>
      </c>
      <c r="F12360" s="23" t="str">
        <f t="shared" si="385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60" s="22" t="s">
        <v>158</v>
      </c>
      <c r="H12360" s="22" t="s">
        <v>158</v>
      </c>
      <c r="I12360" s="26">
        <v>43664.572222222203</v>
      </c>
      <c r="J12360" s="23" t="str">
        <f t="shared" si="386"/>
        <v>ООО "ВИВО МАРКЕТ"</v>
      </c>
      <c r="K12360" s="24" t="s">
        <v>14440</v>
      </c>
      <c r="L12360" s="28" t="s">
        <v>51</v>
      </c>
      <c r="M12360" s="28" t="s">
        <v>51</v>
      </c>
      <c r="N12360" s="27">
        <v>0</v>
      </c>
    </row>
    <row r="12361" spans="1:14" hidden="1" outlineLevel="1" x14ac:dyDescent="0.2">
      <c r="A12361" s="23" t="str">
        <f>HYPERLINK("https://www.spark-marketing.ru/Card/Person/129678", "МОУ СШ № 38")</f>
        <v>МОУ СШ № 38</v>
      </c>
      <c r="B12361" s="24" t="s">
        <v>16827</v>
      </c>
      <c r="C12361" s="25">
        <v>3257190</v>
      </c>
      <c r="D12361" s="22" t="s">
        <v>16823</v>
      </c>
      <c r="E12361" s="22" t="s">
        <v>48</v>
      </c>
      <c r="F12361" s="23" t="str">
        <f t="shared" si="385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61" s="22" t="s">
        <v>158</v>
      </c>
      <c r="H12361" s="22" t="s">
        <v>158</v>
      </c>
      <c r="I12361" s="26">
        <v>43664.572222222203</v>
      </c>
      <c r="J12361" s="23" t="str">
        <f t="shared" si="386"/>
        <v>ООО "ВИВО МАРКЕТ"</v>
      </c>
      <c r="K12361" s="24" t="s">
        <v>14440</v>
      </c>
      <c r="L12361" s="28" t="s">
        <v>51</v>
      </c>
      <c r="M12361" s="28" t="s">
        <v>51</v>
      </c>
      <c r="N12361" s="27">
        <v>0</v>
      </c>
    </row>
    <row r="12362" spans="1:14" hidden="1" outlineLevel="1" x14ac:dyDescent="0.2">
      <c r="A12362" s="23" t="str">
        <f>HYPERLINK("https://www.spark-marketing.ru/Card/Person/142490", "МОУ СШ № 9")</f>
        <v>МОУ СШ № 9</v>
      </c>
      <c r="B12362" s="24" t="s">
        <v>16828</v>
      </c>
      <c r="C12362" s="25">
        <v>1424170</v>
      </c>
      <c r="D12362" s="22" t="s">
        <v>16823</v>
      </c>
      <c r="E12362" s="22" t="s">
        <v>48</v>
      </c>
      <c r="F12362" s="23" t="str">
        <f t="shared" si="385"/>
        <v>Оказание услуг общественного питания обучающихся  на базе муниципальных общеобразовательных учреждений Красноармейского района Волгограда в учебный и каникулярный  период 2019-2021гг.</v>
      </c>
      <c r="G12362" s="22" t="s">
        <v>158</v>
      </c>
      <c r="H12362" s="22" t="s">
        <v>158</v>
      </c>
      <c r="I12362" s="26">
        <v>43664.572222222203</v>
      </c>
      <c r="J12362" s="23" t="str">
        <f t="shared" si="386"/>
        <v>ООО "ВИВО МАРКЕТ"</v>
      </c>
      <c r="K12362" s="24" t="s">
        <v>14440</v>
      </c>
      <c r="L12362" s="28" t="s">
        <v>51</v>
      </c>
      <c r="M12362" s="28" t="s">
        <v>51</v>
      </c>
      <c r="N12362" s="27">
        <v>0</v>
      </c>
    </row>
    <row r="12363" spans="1:14" ht="12.75" x14ac:dyDescent="0.2">
      <c r="A12363" s="23" t="str">
        <f>HYPERLINK("https://www.spark-marketing.ru/Card/Person/69590", "ОГБУЗ ""СМОЛЕНСКИЙ ОБЛАСТНОЙ ПСИХОНЕВРОЛОГИЧЕСКИЙ КЛИНИЧЕСКИЙ ДИСПАНСЕР""")</f>
        <v>ОГБУЗ "СМОЛЕНСКИЙ ОБЛАСТНОЙ ПСИХОНЕВРОЛОГИЧЕСКИЙ КЛИНИЧЕСКИЙ ДИСПАНСЕР"</v>
      </c>
      <c r="B12363" s="24" t="s">
        <v>6530</v>
      </c>
      <c r="C12363" s="25">
        <v>245100</v>
      </c>
      <c r="D12363" s="22" t="s">
        <v>16829</v>
      </c>
      <c r="E12363" s="22" t="s">
        <v>48</v>
      </c>
      <c r="F12363" s="23" t="str">
        <f>HYPERLINK("https://www.spark-marketing.ru/Card/Lot/72188568", "(№ 863-эзк) запрос котировок в электронной форме на право заключить контракт на оказание услуг по предоставлению готового питания (комплексного обеда) для больных отделения дневных стационаров ОГБУЗ «Смоленский областной психоневрологический клиничес...")</f>
        <v>(№ 863-эзк) запрос котировок в электронной форме на право заключить контракт на оказание услуг по предоставлению готового питания (комплексного обеда) для больных отделения дневных стационаров ОГБУЗ «Смоленский областной психоневрологический клиничес...</v>
      </c>
      <c r="G12363" s="22" t="s">
        <v>460</v>
      </c>
      <c r="H12363" s="22" t="s">
        <v>461</v>
      </c>
      <c r="I12363" s="26">
        <v>43664.528460648202</v>
      </c>
      <c r="J12363" s="23" t="str">
        <f>HYPERLINK("https://www.spark-marketing.ru/Card/Person/836702", "МУП ""КСП""")</f>
        <v>МУП "КСП"</v>
      </c>
      <c r="K12363" s="24" t="s">
        <v>6532</v>
      </c>
      <c r="L12363" s="22" t="s">
        <v>10</v>
      </c>
      <c r="M12363" s="25">
        <v>245100</v>
      </c>
      <c r="N12363" s="27">
        <v>0</v>
      </c>
    </row>
    <row r="12364" spans="1:14" collapsed="1" x14ac:dyDescent="0.15">
      <c r="A12364" s="23" t="s">
        <v>114</v>
      </c>
      <c r="B12364" s="28" t="s">
        <v>51</v>
      </c>
      <c r="C12364" s="25">
        <v>7862636</v>
      </c>
      <c r="D12364" s="22" t="s">
        <v>16830</v>
      </c>
      <c r="E12364" s="22" t="s">
        <v>48</v>
      </c>
      <c r="F12364" s="23" t="str">
        <f t="shared" ref="F12364:F12371" si="387">HYPERLINK("https://www.spark-marketing.ru/Card/Lot/72181796", "Оказание услуг по организации питания воспитанников во 2 полугодии 2019 года")</f>
        <v>Оказание услуг по организации питания воспитанников во 2 полугодии 2019 года</v>
      </c>
      <c r="G12364" s="22" t="s">
        <v>51</v>
      </c>
      <c r="H12364" s="22" t="s">
        <v>51</v>
      </c>
      <c r="I12364" s="26">
        <v>43664.504861111098</v>
      </c>
      <c r="J12364" s="28" t="s">
        <v>51</v>
      </c>
      <c r="K12364" s="28" t="s">
        <v>51</v>
      </c>
      <c r="L12364" s="28" t="s">
        <v>51</v>
      </c>
      <c r="M12364" s="28" t="s">
        <v>51</v>
      </c>
      <c r="N12364" s="28" t="s">
        <v>51</v>
      </c>
    </row>
    <row r="12365" spans="1:14" hidden="1" outlineLevel="1" x14ac:dyDescent="0.15">
      <c r="A12365" s="23" t="str">
        <f>HYPERLINK("https://www.spark-marketing.ru/Card/Person/1023076", "МДОУ №13 П.СТРОИТЕЛЬ")</f>
        <v>МДОУ №13 П.СТРОИТЕЛЬ</v>
      </c>
      <c r="B12365" s="24" t="s">
        <v>16831</v>
      </c>
      <c r="C12365" s="25">
        <v>1730320</v>
      </c>
      <c r="D12365" s="22" t="s">
        <v>16830</v>
      </c>
      <c r="E12365" s="22" t="s">
        <v>48</v>
      </c>
      <c r="F12365" s="23" t="str">
        <f t="shared" si="387"/>
        <v>Оказание услуг по организации питания воспитанников во 2 полугодии 2019 года</v>
      </c>
      <c r="G12365" s="22" t="s">
        <v>51</v>
      </c>
      <c r="H12365" s="22" t="s">
        <v>51</v>
      </c>
      <c r="I12365" s="26">
        <v>43664.504861111098</v>
      </c>
      <c r="J12365" s="28" t="s">
        <v>51</v>
      </c>
      <c r="K12365" s="28" t="s">
        <v>51</v>
      </c>
      <c r="L12365" s="28" t="s">
        <v>51</v>
      </c>
      <c r="M12365" s="28" t="s">
        <v>51</v>
      </c>
      <c r="N12365" s="28" t="s">
        <v>51</v>
      </c>
    </row>
    <row r="12366" spans="1:14" hidden="1" outlineLevel="1" x14ac:dyDescent="0.15">
      <c r="A12366" s="23" t="str">
        <f>HYPERLINK("https://www.spark-marketing.ru/Card/Person/1029512", "МДОУ №6 Д. ГОРЕТОВО")</f>
        <v>МДОУ №6 Д. ГОРЕТОВО</v>
      </c>
      <c r="B12366" s="24" t="s">
        <v>16832</v>
      </c>
      <c r="C12366" s="25">
        <v>675272</v>
      </c>
      <c r="D12366" s="22" t="s">
        <v>16830</v>
      </c>
      <c r="E12366" s="22" t="s">
        <v>48</v>
      </c>
      <c r="F12366" s="23" t="str">
        <f t="shared" si="387"/>
        <v>Оказание услуг по организации питания воспитанников во 2 полугодии 2019 года</v>
      </c>
      <c r="G12366" s="22" t="s">
        <v>51</v>
      </c>
      <c r="H12366" s="22" t="s">
        <v>51</v>
      </c>
      <c r="I12366" s="26">
        <v>43664.504861111098</v>
      </c>
      <c r="J12366" s="28" t="s">
        <v>51</v>
      </c>
      <c r="K12366" s="28" t="s">
        <v>51</v>
      </c>
      <c r="L12366" s="28" t="s">
        <v>51</v>
      </c>
      <c r="M12366" s="28" t="s">
        <v>51</v>
      </c>
      <c r="N12366" s="28" t="s">
        <v>51</v>
      </c>
    </row>
    <row r="12367" spans="1:14" hidden="1" outlineLevel="1" x14ac:dyDescent="0.15">
      <c r="A12367" s="23" t="str">
        <f>HYPERLINK("https://www.spark-marketing.ru/Card/Person/1029730", "МДОУ №5 Г. МОЖАЙСКА")</f>
        <v>МДОУ №5 Г. МОЖАЙСКА</v>
      </c>
      <c r="B12367" s="24" t="s">
        <v>16833</v>
      </c>
      <c r="C12367" s="25">
        <v>3777292</v>
      </c>
      <c r="D12367" s="22" t="s">
        <v>16830</v>
      </c>
      <c r="E12367" s="22" t="s">
        <v>48</v>
      </c>
      <c r="F12367" s="23" t="str">
        <f t="shared" si="387"/>
        <v>Оказание услуг по организации питания воспитанников во 2 полугодии 2019 года</v>
      </c>
      <c r="G12367" s="22" t="s">
        <v>49</v>
      </c>
      <c r="H12367" s="22" t="s">
        <v>3718</v>
      </c>
      <c r="I12367" s="26">
        <v>43664.504861111098</v>
      </c>
      <c r="J12367" s="28" t="s">
        <v>51</v>
      </c>
      <c r="K12367" s="28" t="s">
        <v>51</v>
      </c>
      <c r="L12367" s="28" t="s">
        <v>51</v>
      </c>
      <c r="M12367" s="28" t="s">
        <v>51</v>
      </c>
      <c r="N12367" s="28" t="s">
        <v>51</v>
      </c>
    </row>
    <row r="12368" spans="1:14" hidden="1" outlineLevel="1" x14ac:dyDescent="0.15">
      <c r="A12368" s="23" t="str">
        <f>HYPERLINK("https://www.spark-marketing.ru/Card/Person/1030056", "МДОУ №34 П. УВАРОВКА")</f>
        <v>МДОУ №34 П. УВАРОВКА</v>
      </c>
      <c r="B12368" s="24" t="s">
        <v>16834</v>
      </c>
      <c r="C12368" s="25">
        <v>1462688</v>
      </c>
      <c r="D12368" s="22" t="s">
        <v>16830</v>
      </c>
      <c r="E12368" s="22" t="s">
        <v>48</v>
      </c>
      <c r="F12368" s="23" t="str">
        <f t="shared" si="387"/>
        <v>Оказание услуг по организации питания воспитанников во 2 полугодии 2019 года</v>
      </c>
      <c r="G12368" s="22" t="s">
        <v>49</v>
      </c>
      <c r="H12368" s="22" t="s">
        <v>3718</v>
      </c>
      <c r="I12368" s="26">
        <v>43664.504861111098</v>
      </c>
      <c r="J12368" s="28" t="s">
        <v>51</v>
      </c>
      <c r="K12368" s="28" t="s">
        <v>51</v>
      </c>
      <c r="L12368" s="28" t="s">
        <v>51</v>
      </c>
      <c r="M12368" s="28" t="s">
        <v>51</v>
      </c>
      <c r="N12368" s="28" t="s">
        <v>51</v>
      </c>
    </row>
    <row r="12369" spans="1:14" hidden="1" outlineLevel="1" x14ac:dyDescent="0.15">
      <c r="A12369" s="23" t="str">
        <f>HYPERLINK("https://www.spark-marketing.ru/Card/Person/4375300", "МДОУ №19 С.ТРОПАРЕВО")</f>
        <v>МДОУ №19 С.ТРОПАРЕВО</v>
      </c>
      <c r="B12369" s="24" t="s">
        <v>16835</v>
      </c>
      <c r="C12369" s="25">
        <v>217064</v>
      </c>
      <c r="D12369" s="22" t="s">
        <v>16830</v>
      </c>
      <c r="E12369" s="22" t="s">
        <v>48</v>
      </c>
      <c r="F12369" s="23" t="str">
        <f t="shared" si="387"/>
        <v>Оказание услуг по организации питания воспитанников во 2 полугодии 2019 года</v>
      </c>
      <c r="G12369" s="22" t="s">
        <v>49</v>
      </c>
      <c r="H12369" s="22" t="s">
        <v>3718</v>
      </c>
      <c r="I12369" s="26">
        <v>43664.504861111098</v>
      </c>
      <c r="J12369" s="28" t="s">
        <v>51</v>
      </c>
      <c r="K12369" s="28" t="s">
        <v>51</v>
      </c>
      <c r="L12369" s="28" t="s">
        <v>51</v>
      </c>
      <c r="M12369" s="28" t="s">
        <v>51</v>
      </c>
      <c r="N12369" s="28" t="s">
        <v>51</v>
      </c>
    </row>
    <row r="12370" spans="1:14" hidden="1" outlineLevel="1" x14ac:dyDescent="0.2">
      <c r="A12370" s="28" t="s">
        <v>51</v>
      </c>
      <c r="B12370" s="28" t="s">
        <v>51</v>
      </c>
      <c r="C12370" s="28" t="s">
        <v>51</v>
      </c>
      <c r="D12370" s="22" t="s">
        <v>16830</v>
      </c>
      <c r="E12370" s="22" t="s">
        <v>48</v>
      </c>
      <c r="F12370" s="23" t="str">
        <f t="shared" si="387"/>
        <v>Оказание услуг по организации питания воспитанников во 2 полугодии 2019 года</v>
      </c>
      <c r="G12370" s="22" t="s">
        <v>51</v>
      </c>
      <c r="H12370" s="22" t="s">
        <v>51</v>
      </c>
      <c r="I12370" s="26">
        <v>43664.504861111098</v>
      </c>
      <c r="J12370" s="23" t="str">
        <f>HYPERLINK("https://www.spark-marketing.ru/Card/Person/6290196", "ООО ""РАМКЕЙТ""")</f>
        <v>ООО "РАМКЕЙТ"</v>
      </c>
      <c r="K12370" s="24" t="s">
        <v>5037</v>
      </c>
      <c r="L12370" s="28" t="s">
        <v>51</v>
      </c>
      <c r="M12370" s="25">
        <v>7862636</v>
      </c>
      <c r="N12370" s="27">
        <v>0</v>
      </c>
    </row>
    <row r="12371" spans="1:14" hidden="1" outlineLevel="1" x14ac:dyDescent="0.2">
      <c r="A12371" s="28" t="s">
        <v>51</v>
      </c>
      <c r="B12371" s="28" t="s">
        <v>51</v>
      </c>
      <c r="C12371" s="28" t="s">
        <v>51</v>
      </c>
      <c r="D12371" s="22" t="s">
        <v>16830</v>
      </c>
      <c r="E12371" s="22" t="s">
        <v>48</v>
      </c>
      <c r="F12371" s="23" t="str">
        <f t="shared" si="387"/>
        <v>Оказание услуг по организации питания воспитанников во 2 полугодии 2019 года</v>
      </c>
      <c r="G12371" s="22" t="s">
        <v>51</v>
      </c>
      <c r="H12371" s="22" t="s">
        <v>51</v>
      </c>
      <c r="I12371" s="26">
        <v>43664.504861111098</v>
      </c>
      <c r="J12371" s="23" t="str">
        <f>HYPERLINK("https://www.spark-marketing.ru/Card/Person/721759", "ООО ""КАРАВЕЛЛА""")</f>
        <v>ООО "КАРАВЕЛЛА"</v>
      </c>
      <c r="K12371" s="24" t="s">
        <v>15407</v>
      </c>
      <c r="L12371" s="22" t="s">
        <v>10</v>
      </c>
      <c r="M12371" s="25">
        <v>7862636</v>
      </c>
      <c r="N12371" s="27">
        <v>0</v>
      </c>
    </row>
    <row r="12372" spans="1:14" x14ac:dyDescent="0.15">
      <c r="A12372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372" s="24" t="s">
        <v>4297</v>
      </c>
      <c r="C12372" s="25">
        <v>9700</v>
      </c>
      <c r="D12372" s="22" t="s">
        <v>16836</v>
      </c>
      <c r="E12372" s="22" t="s">
        <v>48</v>
      </c>
      <c r="F12372" s="23" t="str">
        <f>HYPERLINK("https://www.spark-marketing.ru/Card/Lot/72173837",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</v>
      </c>
      <c r="G12372" s="22" t="s">
        <v>1096</v>
      </c>
      <c r="H12372" s="22" t="s">
        <v>4299</v>
      </c>
      <c r="I12372" s="26">
        <v>43664.503831018497</v>
      </c>
      <c r="J12372" s="23" t="str">
        <f>HYPERLINK("https://www.spark-marketing.ru/Card/Person/7745", "МОУ ЛИЦЕЙ № 33")</f>
        <v>МОУ ЛИЦЕЙ № 33</v>
      </c>
      <c r="K12372" s="24" t="s">
        <v>16837</v>
      </c>
      <c r="L12372" s="22" t="s">
        <v>10</v>
      </c>
      <c r="M12372" s="28" t="s">
        <v>51</v>
      </c>
      <c r="N12372" s="28" t="s">
        <v>51</v>
      </c>
    </row>
    <row r="12373" spans="1:14" collapsed="1" x14ac:dyDescent="0.15">
      <c r="A12373" s="23" t="str">
        <f>HYPERLINK("https://www.spark-marketing.ru/Card/Person/6860", "ФГКУ ""НОГИНСКИЙ СЦ МЧС РОССИИ""")</f>
        <v>ФГКУ "НОГИНСКИЙ СЦ МЧС РОССИИ"</v>
      </c>
      <c r="B12373" s="24" t="s">
        <v>16838</v>
      </c>
      <c r="C12373" s="25">
        <v>110040.01</v>
      </c>
      <c r="D12373" s="22" t="s">
        <v>16839</v>
      </c>
      <c r="E12373" s="22" t="s">
        <v>603</v>
      </c>
      <c r="F12373" s="23" t="str">
        <f>HYPERLINK("https://www.spark-marketing.ru/Card/Lot/72188546", "Услуги по единовременной поверке контрольно-измерительных приборов, установленных в котельных ФГКУ ""Ногинский СЦ МЧС России""")</f>
        <v>Услуги по единовременной поверке контрольно-измерительных приборов, установленных в котельных ФГКУ "Ногинский СЦ МЧС России"</v>
      </c>
      <c r="G12373" s="22" t="s">
        <v>49</v>
      </c>
      <c r="H12373" s="22" t="s">
        <v>49</v>
      </c>
      <c r="I12373" s="26">
        <v>43664.516365740703</v>
      </c>
      <c r="J12373" s="28" t="s">
        <v>51</v>
      </c>
      <c r="K12373" s="28" t="s">
        <v>51</v>
      </c>
      <c r="L12373" s="28" t="s">
        <v>51</v>
      </c>
      <c r="M12373" s="28" t="s">
        <v>51</v>
      </c>
      <c r="N12373" s="28" t="s">
        <v>51</v>
      </c>
    </row>
    <row r="12374" spans="1:14" hidden="1" outlineLevel="1" x14ac:dyDescent="0.2">
      <c r="A12374" s="23" t="str">
        <f>HYPERLINK("https://www.spark-marketing.ru/Card/Person/6860", "ФГКУ ""НОГИНСКИЙ СЦ МЧС РОССИИ""")</f>
        <v>ФГКУ "НОГИНСКИЙ СЦ МЧС РОССИИ"</v>
      </c>
      <c r="B12374" s="24" t="s">
        <v>16838</v>
      </c>
      <c r="C12374" s="25">
        <v>110040.01</v>
      </c>
      <c r="D12374" s="22" t="s">
        <v>16839</v>
      </c>
      <c r="E12374" s="22" t="s">
        <v>603</v>
      </c>
      <c r="F12374" s="23" t="str">
        <f>HYPERLINK("https://www.spark-marketing.ru/Card/Lot/72188546", "Услуги по единовременной поверке контрольно-измерительных приборов, установленных в котельных ФГКУ ""Ногинский СЦ МЧС России""")</f>
        <v>Услуги по единовременной поверке контрольно-измерительных приборов, установленных в котельных ФГКУ "Ногинский СЦ МЧС России"</v>
      </c>
      <c r="G12374" s="22" t="s">
        <v>49</v>
      </c>
      <c r="H12374" s="22" t="s">
        <v>49</v>
      </c>
      <c r="I12374" s="26">
        <v>43664.516365740703</v>
      </c>
      <c r="J12374" s="23" t="str">
        <f>HYPERLINK("https://www.spark-marketing.ru/Card/Person/4349916", "ООО ""ПКФ ""РЭМ""")</f>
        <v>ООО "ПКФ "РЭМ"</v>
      </c>
      <c r="K12374" s="24" t="s">
        <v>16840</v>
      </c>
      <c r="L12374" s="28" t="s">
        <v>51</v>
      </c>
      <c r="M12374" s="25">
        <v>80945</v>
      </c>
      <c r="N12374" s="27">
        <v>0.26440391999237367</v>
      </c>
    </row>
    <row r="12375" spans="1:14" hidden="1" outlineLevel="1" x14ac:dyDescent="0.2">
      <c r="A12375" s="23" t="str">
        <f>HYPERLINK("https://www.spark-marketing.ru/Card/Person/6860", "ФГКУ ""НОГИНСКИЙ СЦ МЧС РОССИИ""")</f>
        <v>ФГКУ "НОГИНСКИЙ СЦ МЧС РОССИИ"</v>
      </c>
      <c r="B12375" s="24" t="s">
        <v>16838</v>
      </c>
      <c r="C12375" s="25">
        <v>110040.01</v>
      </c>
      <c r="D12375" s="22" t="s">
        <v>16839</v>
      </c>
      <c r="E12375" s="22" t="s">
        <v>603</v>
      </c>
      <c r="F12375" s="23" t="str">
        <f>HYPERLINK("https://www.spark-marketing.ru/Card/Lot/72188546", "Услуги по единовременной поверке контрольно-измерительных приборов, установленных в котельных ФГКУ ""Ногинский СЦ МЧС России""")</f>
        <v>Услуги по единовременной поверке контрольно-измерительных приборов, установленных в котельных ФГКУ "Ногинский СЦ МЧС России"</v>
      </c>
      <c r="G12375" s="22" t="s">
        <v>49</v>
      </c>
      <c r="H12375" s="22" t="s">
        <v>49</v>
      </c>
      <c r="I12375" s="26">
        <v>43664.516365740703</v>
      </c>
      <c r="J12375" s="23" t="str">
        <f>HYPERLINK("https://www.spark-marketing.ru/Card/Person/1264009", "ООО ""ВЕПРЕСУРС""")</f>
        <v>ООО "ВЕПРЕСУРС"</v>
      </c>
      <c r="K12375" s="24" t="s">
        <v>16841</v>
      </c>
      <c r="L12375" s="28" t="s">
        <v>51</v>
      </c>
      <c r="M12375" s="25">
        <v>105899.6</v>
      </c>
      <c r="N12375" s="27">
        <v>3.7626405159359763E-2</v>
      </c>
    </row>
    <row r="12376" spans="1:14" ht="12.75" hidden="1" outlineLevel="1" x14ac:dyDescent="0.2">
      <c r="A12376" s="23" t="str">
        <f>HYPERLINK("https://www.spark-marketing.ru/Card/Person/6860", "ФГКУ ""НОГИНСКИЙ СЦ МЧС РОССИИ""")</f>
        <v>ФГКУ "НОГИНСКИЙ СЦ МЧС РОССИИ"</v>
      </c>
      <c r="B12376" s="24" t="s">
        <v>16838</v>
      </c>
      <c r="C12376" s="25">
        <v>110040.01</v>
      </c>
      <c r="D12376" s="22" t="s">
        <v>16839</v>
      </c>
      <c r="E12376" s="22" t="s">
        <v>603</v>
      </c>
      <c r="F12376" s="23" t="str">
        <f>HYPERLINK("https://www.spark-marketing.ru/Card/Lot/72188546", "Услуги по единовременной поверке контрольно-измерительных приборов, установленных в котельных ФГКУ ""Ногинский СЦ МЧС России""")</f>
        <v>Услуги по единовременной поверке контрольно-измерительных приборов, установленных в котельных ФГКУ "Ногинский СЦ МЧС России"</v>
      </c>
      <c r="G12376" s="22" t="s">
        <v>49</v>
      </c>
      <c r="H12376" s="22" t="s">
        <v>49</v>
      </c>
      <c r="I12376" s="26">
        <v>43664.516365740703</v>
      </c>
      <c r="J12376" s="23" t="str">
        <f>HYPERLINK("https://www.spark-marketing.ru/Card/Person/6433050", "ООО ""МЕТАП""")</f>
        <v>ООО "МЕТАП"</v>
      </c>
      <c r="K12376" s="24" t="s">
        <v>16842</v>
      </c>
      <c r="L12376" s="22" t="s">
        <v>10</v>
      </c>
      <c r="M12376" s="25">
        <v>75443</v>
      </c>
      <c r="N12376" s="27">
        <v>0.31440391544857182</v>
      </c>
    </row>
    <row r="12377" spans="1:14" x14ac:dyDescent="0.15">
      <c r="A12377" s="23" t="str">
        <f>HYPERLINK("https://www.spark-marketing.ru/Card/Person/240870", "ГОУ РК СКШИ №4")</f>
        <v>ГОУ РК СКШИ №4</v>
      </c>
      <c r="B12377" s="24" t="s">
        <v>16843</v>
      </c>
      <c r="C12377" s="25">
        <v>2695066.4</v>
      </c>
      <c r="D12377" s="22" t="s">
        <v>16844</v>
      </c>
      <c r="E12377" s="22" t="s">
        <v>48</v>
      </c>
      <c r="F12377" s="23" t="str">
        <f>HYPERLINK("https://www.spark-marketing.ru/Card/Lot/72185989", "Оказание услуг по организации питания обучающихся ГОУ РК СКШИ №4 в течение III и IV  кварталов 2019 года")</f>
        <v>Оказание услуг по организации питания обучающихся ГОУ РК СКШИ №4 в течение III и IV  кварталов 2019 года</v>
      </c>
      <c r="G12377" s="22" t="s">
        <v>271</v>
      </c>
      <c r="H12377" s="22" t="s">
        <v>271</v>
      </c>
      <c r="I12377" s="26">
        <v>43664.524814814802</v>
      </c>
      <c r="J12377" s="23" t="str">
        <f>HYPERLINK("https://www.spark-marketing.ru/Card/Person/240943", "ООО ""КОМПИТ""")</f>
        <v>ООО "КОМПИТ"</v>
      </c>
      <c r="K12377" s="24" t="s">
        <v>16845</v>
      </c>
      <c r="L12377" s="22" t="s">
        <v>10</v>
      </c>
      <c r="M12377" s="28" t="s">
        <v>51</v>
      </c>
      <c r="N12377" s="28" t="s">
        <v>51</v>
      </c>
    </row>
    <row r="12378" spans="1:14" collapsed="1" x14ac:dyDescent="0.15">
      <c r="A12378" s="23" t="str">
        <f>HYPERLINK("https://www.spark-marketing.ru/Card/Person/130854", "МБУ ""МФЦ ГОРОДСКОГО ОКРУГА СОЛНЕЧНОГОРСК""")</f>
        <v>МБУ "МФЦ ГОРОДСКОГО ОКРУГА СОЛНЕЧНОГОРСК"</v>
      </c>
      <c r="B12378" s="24" t="s">
        <v>1331</v>
      </c>
      <c r="C12378" s="25">
        <v>1999870</v>
      </c>
      <c r="D12378" s="22" t="s">
        <v>16846</v>
      </c>
      <c r="E12378" s="22" t="s">
        <v>16847</v>
      </c>
      <c r="F12378" s="23" t="str">
        <f>HYPERLINK("https://www.spark-marketing.ru/Card/Lot/72193138", "Поставка оборудования для офиса ""Голубое"" Муниципального бюджетного учреждения «Многофункциональный центр предоставления государственных и муниципальных услуг Солнечногорского муниципального района Московской области»")</f>
        <v>Поставка оборудования для офиса "Голубое" Муниципального бюджетного учреждения «Многофункциональный центр предоставления государственных и муниципальных услуг Солнечногорского муниципального района Московской области»</v>
      </c>
      <c r="G12378" s="22" t="s">
        <v>49</v>
      </c>
      <c r="H12378" s="22" t="s">
        <v>204</v>
      </c>
      <c r="I12378" s="26">
        <v>43664.528587963003</v>
      </c>
      <c r="J12378" s="23" t="str">
        <f>HYPERLINK("https://www.spark-marketing.ru/Card/Person/4353806", "ООО ""ВЛАСТЬ КОМПЬЮТЕРОВ""")</f>
        <v>ООО "ВЛАСТЬ КОМПЬЮТЕРОВ"</v>
      </c>
      <c r="K12378" s="24" t="s">
        <v>16848</v>
      </c>
      <c r="L12378" s="28" t="s">
        <v>51</v>
      </c>
      <c r="M12378" s="28" t="s">
        <v>51</v>
      </c>
      <c r="N12378" s="28" t="s">
        <v>51</v>
      </c>
    </row>
    <row r="12379" spans="1:14" ht="12.75" hidden="1" outlineLevel="1" x14ac:dyDescent="0.2">
      <c r="A12379" s="23" t="str">
        <f>HYPERLINK("https://www.spark-marketing.ru/Card/Person/130854", "МБУ ""МФЦ ГОРОДСКОГО ОКРУГА СОЛНЕЧНОГОРСК""")</f>
        <v>МБУ "МФЦ ГОРОДСКОГО ОКРУГА СОЛНЕЧНОГОРСК"</v>
      </c>
      <c r="B12379" s="24" t="s">
        <v>1331</v>
      </c>
      <c r="C12379" s="25">
        <v>1999870</v>
      </c>
      <c r="D12379" s="22" t="s">
        <v>16846</v>
      </c>
      <c r="E12379" s="22" t="s">
        <v>16847</v>
      </c>
      <c r="F12379" s="23" t="str">
        <f>HYPERLINK("https://www.spark-marketing.ru/Card/Lot/72193138", "Поставка оборудования для офиса ""Голубое"" Муниципального бюджетного учреждения «Многофункциональный центр предоставления государственных и муниципальных услуг Солнечногорского муниципального района Московской области»")</f>
        <v>Поставка оборудования для офиса "Голубое" Муниципального бюджетного учреждения «Многофункциональный центр предоставления государственных и муниципальных услуг Солнечногорского муниципального района Московской области»</v>
      </c>
      <c r="G12379" s="22" t="s">
        <v>49</v>
      </c>
      <c r="H12379" s="22" t="s">
        <v>204</v>
      </c>
      <c r="I12379" s="26">
        <v>43664.528587963003</v>
      </c>
      <c r="J12379" s="23" t="str">
        <f>HYPERLINK("https://www.spark-marketing.ru/Card/Person/4353806", "ООО ""ВЛАСТЬ КОМПЬЮТЕРОВ""")</f>
        <v>ООО "ВЛАСТЬ КОМПЬЮТЕРОВ"</v>
      </c>
      <c r="K12379" s="24" t="s">
        <v>16848</v>
      </c>
      <c r="L12379" s="22" t="s">
        <v>10</v>
      </c>
      <c r="M12379" s="25">
        <v>1899876.5</v>
      </c>
      <c r="N12379" s="27">
        <v>0.05</v>
      </c>
    </row>
    <row r="12380" spans="1:14" collapsed="1" x14ac:dyDescent="0.15">
      <c r="A12380" s="23" t="s">
        <v>114</v>
      </c>
      <c r="B12380" s="28" t="s">
        <v>51</v>
      </c>
      <c r="C12380" s="25">
        <v>5162101</v>
      </c>
      <c r="D12380" s="22" t="s">
        <v>16849</v>
      </c>
      <c r="E12380" s="22" t="s">
        <v>48</v>
      </c>
      <c r="F12380" s="23" t="str">
        <f t="shared" ref="F12380:F12392" si="388">HYPERLINK("https://www.spark-marketing.ru/Card/Lot/72181795", "Оказание услуг по организации питания отдельным категориям обучающихся во 2 полугодии 2019 года")</f>
        <v>Оказание услуг по организации питания отдельным категориям обучающихся во 2 полугодии 2019 года</v>
      </c>
      <c r="G12380" s="22" t="s">
        <v>51</v>
      </c>
      <c r="H12380" s="22" t="s">
        <v>51</v>
      </c>
      <c r="I12380" s="26">
        <v>43664.504861111098</v>
      </c>
      <c r="J12380" s="28" t="s">
        <v>51</v>
      </c>
      <c r="K12380" s="28" t="s">
        <v>51</v>
      </c>
      <c r="L12380" s="28" t="s">
        <v>51</v>
      </c>
      <c r="M12380" s="28" t="s">
        <v>51</v>
      </c>
      <c r="N12380" s="28" t="s">
        <v>51</v>
      </c>
    </row>
    <row r="12381" spans="1:14" hidden="1" outlineLevel="1" x14ac:dyDescent="0.15">
      <c r="A12381" s="23" t="str">
        <f>HYPERLINK("https://www.spark-marketing.ru/Card/Person/130818", "ПОРЕЦКАЯ СРЕДНЯЯ ШКОЛА")</f>
        <v>ПОРЕЦКАЯ СРЕДНЯЯ ШКОЛА</v>
      </c>
      <c r="B12381" s="24" t="s">
        <v>16850</v>
      </c>
      <c r="C12381" s="25">
        <v>545258</v>
      </c>
      <c r="D12381" s="22" t="s">
        <v>16849</v>
      </c>
      <c r="E12381" s="22" t="s">
        <v>48</v>
      </c>
      <c r="F12381" s="23" t="str">
        <f t="shared" si="388"/>
        <v>Оказание услуг по организации питания отдельным категориям обучающихся во 2 полугодии 2019 года</v>
      </c>
      <c r="G12381" s="22" t="s">
        <v>51</v>
      </c>
      <c r="H12381" s="22" t="s">
        <v>51</v>
      </c>
      <c r="I12381" s="26">
        <v>43664.504861111098</v>
      </c>
      <c r="J12381" s="28" t="s">
        <v>51</v>
      </c>
      <c r="K12381" s="28" t="s">
        <v>51</v>
      </c>
      <c r="L12381" s="28" t="s">
        <v>51</v>
      </c>
      <c r="M12381" s="28" t="s">
        <v>51</v>
      </c>
      <c r="N12381" s="28" t="s">
        <v>51</v>
      </c>
    </row>
    <row r="12382" spans="1:14" hidden="1" outlineLevel="1" x14ac:dyDescent="0.15">
      <c r="A12382" s="23" t="str">
        <f>HYPERLINK("https://www.spark-marketing.ru/Card/Person/137767", "МОУ - СРЕДНЯЯ ОБЩЕОБРАЗОВАТЕЛЬНАЯ ШКОЛА Д. КРАСНЫЙ БАЛТИЕЦ")</f>
        <v>МОУ - СРЕДНЯЯ ОБЩЕОБРАЗОВАТЕЛЬНАЯ ШКОЛА Д. КРАСНЫЙ БАЛТИЕЦ</v>
      </c>
      <c r="B12382" s="24" t="s">
        <v>16851</v>
      </c>
      <c r="C12382" s="25">
        <v>686273</v>
      </c>
      <c r="D12382" s="22" t="s">
        <v>16849</v>
      </c>
      <c r="E12382" s="22" t="s">
        <v>48</v>
      </c>
      <c r="F12382" s="23" t="str">
        <f t="shared" si="388"/>
        <v>Оказание услуг по организации питания отдельным категориям обучающихся во 2 полугодии 2019 года</v>
      </c>
      <c r="G12382" s="22" t="s">
        <v>51</v>
      </c>
      <c r="H12382" s="22" t="s">
        <v>51</v>
      </c>
      <c r="I12382" s="26">
        <v>43664.504861111098</v>
      </c>
      <c r="J12382" s="28" t="s">
        <v>51</v>
      </c>
      <c r="K12382" s="28" t="s">
        <v>51</v>
      </c>
      <c r="L12382" s="28" t="s">
        <v>51</v>
      </c>
      <c r="M12382" s="28" t="s">
        <v>51</v>
      </c>
      <c r="N12382" s="28" t="s">
        <v>51</v>
      </c>
    </row>
    <row r="12383" spans="1:14" hidden="1" outlineLevel="1" x14ac:dyDescent="0.15">
      <c r="A12383" s="23" t="str">
        <f>HYPERLINK("https://www.spark-marketing.ru/Card/Person/141527", "МОУ-ТРОПАРЕВСКАЯ СОШ")</f>
        <v>МОУ-ТРОПАРЕВСКАЯ СОШ</v>
      </c>
      <c r="B12383" s="24" t="s">
        <v>16852</v>
      </c>
      <c r="C12383" s="25">
        <v>786828</v>
      </c>
      <c r="D12383" s="22" t="s">
        <v>16849</v>
      </c>
      <c r="E12383" s="22" t="s">
        <v>48</v>
      </c>
      <c r="F12383" s="23" t="str">
        <f t="shared" si="388"/>
        <v>Оказание услуг по организации питания отдельным категориям обучающихся во 2 полугодии 2019 года</v>
      </c>
      <c r="G12383" s="22" t="s">
        <v>51</v>
      </c>
      <c r="H12383" s="22" t="s">
        <v>51</v>
      </c>
      <c r="I12383" s="26">
        <v>43664.504861111098</v>
      </c>
      <c r="J12383" s="28" t="s">
        <v>51</v>
      </c>
      <c r="K12383" s="28" t="s">
        <v>51</v>
      </c>
      <c r="L12383" s="28" t="s">
        <v>51</v>
      </c>
      <c r="M12383" s="28" t="s">
        <v>51</v>
      </c>
      <c r="N12383" s="28" t="s">
        <v>51</v>
      </c>
    </row>
    <row r="12384" spans="1:14" hidden="1" outlineLevel="1" x14ac:dyDescent="0.15">
      <c r="A12384" s="23" t="str">
        <f>HYPERLINK("https://www.spark-marketing.ru/Card/Person/246579", "МОУ - СОШ ПОСЕЛКА СПУТНИК")</f>
        <v>МОУ - СОШ ПОСЕЛКА СПУТНИК</v>
      </c>
      <c r="B12384" s="24" t="s">
        <v>16853</v>
      </c>
      <c r="C12384" s="25">
        <v>658070</v>
      </c>
      <c r="D12384" s="22" t="s">
        <v>16849</v>
      </c>
      <c r="E12384" s="22" t="s">
        <v>48</v>
      </c>
      <c r="F12384" s="23" t="str">
        <f t="shared" si="388"/>
        <v>Оказание услуг по организации питания отдельным категориям обучающихся во 2 полугодии 2019 года</v>
      </c>
      <c r="G12384" s="22" t="s">
        <v>51</v>
      </c>
      <c r="H12384" s="22" t="s">
        <v>51</v>
      </c>
      <c r="I12384" s="26">
        <v>43664.504861111098</v>
      </c>
      <c r="J12384" s="28" t="s">
        <v>51</v>
      </c>
      <c r="K12384" s="28" t="s">
        <v>51</v>
      </c>
      <c r="L12384" s="28" t="s">
        <v>51</v>
      </c>
      <c r="M12384" s="28" t="s">
        <v>51</v>
      </c>
      <c r="N12384" s="28" t="s">
        <v>51</v>
      </c>
    </row>
    <row r="12385" spans="1:14" hidden="1" outlineLevel="1" x14ac:dyDescent="0.15">
      <c r="A12385" s="23" t="str">
        <f>HYPERLINK("https://www.spark-marketing.ru/Card/Person/1023156", "МОУ УВАРОВСКАЯ СОШ")</f>
        <v>МОУ УВАРОВСКАЯ СОШ</v>
      </c>
      <c r="B12385" s="24" t="s">
        <v>16854</v>
      </c>
      <c r="C12385" s="25">
        <v>1056720</v>
      </c>
      <c r="D12385" s="22" t="s">
        <v>16849</v>
      </c>
      <c r="E12385" s="22" t="s">
        <v>48</v>
      </c>
      <c r="F12385" s="23" t="str">
        <f t="shared" si="388"/>
        <v>Оказание услуг по организации питания отдельным категориям обучающихся во 2 полугодии 2019 года</v>
      </c>
      <c r="G12385" s="22" t="s">
        <v>51</v>
      </c>
      <c r="H12385" s="22" t="s">
        <v>51</v>
      </c>
      <c r="I12385" s="26">
        <v>43664.504861111098</v>
      </c>
      <c r="J12385" s="28" t="s">
        <v>51</v>
      </c>
      <c r="K12385" s="28" t="s">
        <v>51</v>
      </c>
      <c r="L12385" s="28" t="s">
        <v>51</v>
      </c>
      <c r="M12385" s="28" t="s">
        <v>51</v>
      </c>
      <c r="N12385" s="28" t="s">
        <v>51</v>
      </c>
    </row>
    <row r="12386" spans="1:14" hidden="1" outlineLevel="1" x14ac:dyDescent="0.15">
      <c r="A12386" s="23" t="str">
        <f>HYPERLINK("https://www.spark-marketing.ru/Card/Person/1023161", "СИНИЧИНСКАЯ СРЕДНЯЯ ШКОЛА")</f>
        <v>СИНИЧИНСКАЯ СРЕДНЯЯ ШКОЛА</v>
      </c>
      <c r="B12386" s="24" t="s">
        <v>16855</v>
      </c>
      <c r="C12386" s="25">
        <v>507654</v>
      </c>
      <c r="D12386" s="22" t="s">
        <v>16849</v>
      </c>
      <c r="E12386" s="22" t="s">
        <v>48</v>
      </c>
      <c r="F12386" s="23" t="str">
        <f t="shared" si="388"/>
        <v>Оказание услуг по организации питания отдельным категориям обучающихся во 2 полугодии 2019 года</v>
      </c>
      <c r="G12386" s="22" t="s">
        <v>49</v>
      </c>
      <c r="H12386" s="22" t="s">
        <v>3718</v>
      </c>
      <c r="I12386" s="26">
        <v>43664.504861111098</v>
      </c>
      <c r="J12386" s="28" t="s">
        <v>51</v>
      </c>
      <c r="K12386" s="28" t="s">
        <v>51</v>
      </c>
      <c r="L12386" s="28" t="s">
        <v>51</v>
      </c>
      <c r="M12386" s="28" t="s">
        <v>51</v>
      </c>
      <c r="N12386" s="28" t="s">
        <v>51</v>
      </c>
    </row>
    <row r="12387" spans="1:14" hidden="1" outlineLevel="1" x14ac:dyDescent="0.15">
      <c r="A12387" s="23" t="str">
        <f>HYPERLINK("https://www.spark-marketing.ru/Card/Person/1026945", "МОУ ПАВЛИЩЕВСКАЯ СОШ")</f>
        <v>МОУ ПАВЛИЩЕВСКАЯ СОШ</v>
      </c>
      <c r="B12387" s="24" t="s">
        <v>16856</v>
      </c>
      <c r="C12387" s="25">
        <v>517055</v>
      </c>
      <c r="D12387" s="22" t="s">
        <v>16849</v>
      </c>
      <c r="E12387" s="22" t="s">
        <v>48</v>
      </c>
      <c r="F12387" s="23" t="str">
        <f t="shared" si="388"/>
        <v>Оказание услуг по организации питания отдельным категориям обучающихся во 2 полугодии 2019 года</v>
      </c>
      <c r="G12387" s="22" t="s">
        <v>51</v>
      </c>
      <c r="H12387" s="22" t="s">
        <v>51</v>
      </c>
      <c r="I12387" s="26">
        <v>43664.504861111098</v>
      </c>
      <c r="J12387" s="28" t="s">
        <v>51</v>
      </c>
      <c r="K12387" s="28" t="s">
        <v>51</v>
      </c>
      <c r="L12387" s="28" t="s">
        <v>51</v>
      </c>
      <c r="M12387" s="28" t="s">
        <v>51</v>
      </c>
      <c r="N12387" s="28" t="s">
        <v>51</v>
      </c>
    </row>
    <row r="12388" spans="1:14" hidden="1" outlineLevel="1" x14ac:dyDescent="0.15">
      <c r="A12388" s="23" t="str">
        <f>HYPERLINK("https://www.spark-marketing.ru/Card/Person/1028041", "МОУ МОКРОВСКАЯ СОШ")</f>
        <v>МОУ МОКРОВСКАЯ СОШ</v>
      </c>
      <c r="B12388" s="24" t="s">
        <v>16857</v>
      </c>
      <c r="C12388" s="25">
        <v>404243</v>
      </c>
      <c r="D12388" s="22" t="s">
        <v>16849</v>
      </c>
      <c r="E12388" s="22" t="s">
        <v>48</v>
      </c>
      <c r="F12388" s="23" t="str">
        <f t="shared" si="388"/>
        <v>Оказание услуг по организации питания отдельным категориям обучающихся во 2 полугодии 2019 года</v>
      </c>
      <c r="G12388" s="22" t="s">
        <v>51</v>
      </c>
      <c r="H12388" s="22" t="s">
        <v>51</v>
      </c>
      <c r="I12388" s="26">
        <v>43664.504861111098</v>
      </c>
      <c r="J12388" s="28" t="s">
        <v>51</v>
      </c>
      <c r="K12388" s="28" t="s">
        <v>51</v>
      </c>
      <c r="L12388" s="28" t="s">
        <v>51</v>
      </c>
      <c r="M12388" s="28" t="s">
        <v>51</v>
      </c>
      <c r="N12388" s="28" t="s">
        <v>51</v>
      </c>
    </row>
    <row r="12389" spans="1:14" hidden="1" outlineLevel="1" x14ac:dyDescent="0.15">
      <c r="A12389" s="28" t="s">
        <v>51</v>
      </c>
      <c r="B12389" s="28" t="s">
        <v>51</v>
      </c>
      <c r="C12389" s="28" t="s">
        <v>51</v>
      </c>
      <c r="D12389" s="22" t="s">
        <v>16849</v>
      </c>
      <c r="E12389" s="22" t="s">
        <v>48</v>
      </c>
      <c r="F12389" s="23" t="str">
        <f t="shared" si="388"/>
        <v>Оказание услуг по организации питания отдельным категориям обучающихся во 2 полугодии 2019 года</v>
      </c>
      <c r="G12389" s="22" t="s">
        <v>51</v>
      </c>
      <c r="H12389" s="22" t="s">
        <v>51</v>
      </c>
      <c r="I12389" s="26">
        <v>43664.504861111098</v>
      </c>
      <c r="J12389" s="23" t="str">
        <f>HYPERLINK("https://www.spark-marketing.ru/Card/Person/6290196", "ООО ""РАМКЕЙТ""")</f>
        <v>ООО "РАМКЕЙТ"</v>
      </c>
      <c r="K12389" s="24" t="s">
        <v>5037</v>
      </c>
      <c r="L12389" s="28" t="s">
        <v>51</v>
      </c>
      <c r="M12389" s="28" t="s">
        <v>51</v>
      </c>
      <c r="N12389" s="28" t="s">
        <v>51</v>
      </c>
    </row>
    <row r="12390" spans="1:14" hidden="1" outlineLevel="1" x14ac:dyDescent="0.15">
      <c r="A12390" s="28" t="s">
        <v>51</v>
      </c>
      <c r="B12390" s="28" t="s">
        <v>51</v>
      </c>
      <c r="C12390" s="28" t="s">
        <v>51</v>
      </c>
      <c r="D12390" s="22" t="s">
        <v>16849</v>
      </c>
      <c r="E12390" s="22" t="s">
        <v>48</v>
      </c>
      <c r="F12390" s="23" t="str">
        <f t="shared" si="388"/>
        <v>Оказание услуг по организации питания отдельным категориям обучающихся во 2 полугодии 2019 года</v>
      </c>
      <c r="G12390" s="22" t="s">
        <v>51</v>
      </c>
      <c r="H12390" s="22" t="s">
        <v>51</v>
      </c>
      <c r="I12390" s="26">
        <v>43664.504861111098</v>
      </c>
      <c r="J12390" s="23" t="str">
        <f>HYPERLINK("https://www.spark-marketing.ru/Card/Person/721759", "ООО ""КАРАВЕЛЛА""")</f>
        <v>ООО "КАРАВЕЛЛА"</v>
      </c>
      <c r="K12390" s="24" t="s">
        <v>15407</v>
      </c>
      <c r="L12390" s="28" t="s">
        <v>51</v>
      </c>
      <c r="M12390" s="28" t="s">
        <v>51</v>
      </c>
      <c r="N12390" s="28" t="s">
        <v>51</v>
      </c>
    </row>
    <row r="12391" spans="1:14" hidden="1" outlineLevel="1" x14ac:dyDescent="0.15">
      <c r="A12391" s="28" t="s">
        <v>51</v>
      </c>
      <c r="B12391" s="28" t="s">
        <v>51</v>
      </c>
      <c r="C12391" s="28" t="s">
        <v>51</v>
      </c>
      <c r="D12391" s="22" t="s">
        <v>16849</v>
      </c>
      <c r="E12391" s="22" t="s">
        <v>48</v>
      </c>
      <c r="F12391" s="23" t="str">
        <f t="shared" si="388"/>
        <v>Оказание услуг по организации питания отдельным категориям обучающихся во 2 полугодии 2019 года</v>
      </c>
      <c r="G12391" s="22" t="s">
        <v>51</v>
      </c>
      <c r="H12391" s="22" t="s">
        <v>51</v>
      </c>
      <c r="I12391" s="26">
        <v>43664.504861111098</v>
      </c>
      <c r="J12391" s="23" t="str">
        <f>HYPERLINK("https://www.spark-marketing.ru/Card/Person/101936", "ООО ""ИНВЕСТ ГАРАНТ""")</f>
        <v>ООО "ИНВЕСТ ГАРАНТ"</v>
      </c>
      <c r="K12391" s="24" t="s">
        <v>15408</v>
      </c>
      <c r="L12391" s="28" t="s">
        <v>51</v>
      </c>
      <c r="M12391" s="28" t="s">
        <v>51</v>
      </c>
      <c r="N12391" s="28" t="s">
        <v>51</v>
      </c>
    </row>
    <row r="12392" spans="1:14" hidden="1" outlineLevel="1" x14ac:dyDescent="0.2">
      <c r="A12392" s="28" t="s">
        <v>51</v>
      </c>
      <c r="B12392" s="28" t="s">
        <v>51</v>
      </c>
      <c r="C12392" s="28" t="s">
        <v>51</v>
      </c>
      <c r="D12392" s="22" t="s">
        <v>16849</v>
      </c>
      <c r="E12392" s="22" t="s">
        <v>48</v>
      </c>
      <c r="F12392" s="23" t="str">
        <f t="shared" si="388"/>
        <v>Оказание услуг по организации питания отдельным категориям обучающихся во 2 полугодии 2019 года</v>
      </c>
      <c r="G12392" s="22" t="s">
        <v>51</v>
      </c>
      <c r="H12392" s="22" t="s">
        <v>51</v>
      </c>
      <c r="I12392" s="26">
        <v>43664.504861111098</v>
      </c>
      <c r="J12392" s="23" t="str">
        <f>HYPERLINK("https://www.spark-marketing.ru/Card/Person/707404", "Пригонюк Сергей Иванович")</f>
        <v>Пригонюк Сергей Иванович</v>
      </c>
      <c r="K12392" s="24" t="s">
        <v>6037</v>
      </c>
      <c r="L12392" s="28" t="s">
        <v>51</v>
      </c>
      <c r="M12392" s="25">
        <v>4771690</v>
      </c>
      <c r="N12392" s="27">
        <v>7.5630252100840331E-2</v>
      </c>
    </row>
    <row r="12393" spans="1:14" x14ac:dyDescent="0.15">
      <c r="A12393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393" s="24" t="s">
        <v>4297</v>
      </c>
      <c r="C12393" s="25">
        <v>63050</v>
      </c>
      <c r="D12393" s="22" t="s">
        <v>16858</v>
      </c>
      <c r="E12393" s="22" t="s">
        <v>48</v>
      </c>
      <c r="F12393" s="23" t="str">
        <f>HYPERLINK("https://www.spark-marketing.ru/Card/Lot/72174077",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2393" s="22" t="s">
        <v>1096</v>
      </c>
      <c r="H12393" s="22" t="s">
        <v>4299</v>
      </c>
      <c r="I12393" s="26">
        <v>43664.505057870403</v>
      </c>
      <c r="J12393" s="23" t="str">
        <f>HYPERLINK("https://www.spark-marketing.ru/Card/Person/172041", "МУП КШП № 2")</f>
        <v>МУП КШП № 2</v>
      </c>
      <c r="K12393" s="24" t="s">
        <v>16678</v>
      </c>
      <c r="L12393" s="22" t="s">
        <v>10</v>
      </c>
      <c r="M12393" s="28" t="s">
        <v>51</v>
      </c>
      <c r="N12393" s="28" t="s">
        <v>51</v>
      </c>
    </row>
    <row r="12394" spans="1:14" x14ac:dyDescent="0.15">
      <c r="A12394" s="23" t="str">
        <f>HYPERLINK("https://www.spark-marketing.ru/Card/Person/6065", "ФГКОУ ВО ""ВОЛГОГРАДСКАЯ АКАДЕМИЯ МВД РОССИИ"", ВОЛГОГРАДСКАЯ АКАДЕМИЯ МВД РОССИИ, ВА МВД РОССИИ")</f>
        <v>ФГКОУ ВО "ВОЛГОГРАДСКАЯ АКАДЕМИЯ МВД РОССИИ", ВОЛГОГРАДСКАЯ АКАДЕМИЯ МВД РОССИИ, ВА МВД РОССИИ</v>
      </c>
      <c r="B12394" s="24" t="s">
        <v>16859</v>
      </c>
      <c r="C12394" s="25">
        <v>13659468</v>
      </c>
      <c r="D12394" s="22" t="s">
        <v>16860</v>
      </c>
      <c r="E12394" s="22" t="s">
        <v>48</v>
      </c>
      <c r="F12394" s="23" t="str">
        <f>HYPERLINK("https://www.spark-marketing.ru/Card/Lot/72183414", "Оказание услуг по организации питания обучающихся из числа сотрудников правоохранительных органов зарубежных государств в федеральном государственном казенном образовательном учреждении высшего образования «Волгоградская академия Министерства внутрен...")</f>
        <v>Оказание услуг по организации питания обучающихся из числа сотрудников правоохранительных органов зарубежных государств в федеральном государственном казенном образовательном учреждении высшего образования «Волгоградская академия Министерства внутрен...</v>
      </c>
      <c r="G12394" s="22" t="s">
        <v>158</v>
      </c>
      <c r="H12394" s="22" t="s">
        <v>158</v>
      </c>
      <c r="I12394" s="26">
        <v>43664.526168981502</v>
      </c>
      <c r="J12394" s="23" t="str">
        <f>HYPERLINK("https://www.spark-marketing.ru/Card/Person/124102", "Ефимова Вера Ивановна")</f>
        <v>Ефимова Вера Ивановна</v>
      </c>
      <c r="K12394" s="24" t="s">
        <v>16861</v>
      </c>
      <c r="L12394" s="22" t="s">
        <v>10</v>
      </c>
      <c r="M12394" s="28" t="s">
        <v>51</v>
      </c>
      <c r="N12394" s="28" t="s">
        <v>51</v>
      </c>
    </row>
    <row r="12395" spans="1:14" x14ac:dyDescent="0.15">
      <c r="A12395" s="23" t="str">
        <f>HYPERLINK("https://www.spark-marketing.ru/Card/Person/92655", "ГБУЗ МО ""КУРОВСКАЯ ГОРОДСКАЯ БОЛЬНИЦА""")</f>
        <v>ГБУЗ МО "КУРОВСКАЯ ГОРОДСКАЯ БОЛЬНИЦА"</v>
      </c>
      <c r="B12395" s="24" t="s">
        <v>16862</v>
      </c>
      <c r="C12395" s="25">
        <v>91756</v>
      </c>
      <c r="D12395" s="22" t="s">
        <v>16863</v>
      </c>
      <c r="E12395" s="22" t="s">
        <v>48</v>
      </c>
      <c r="F12395" s="23" t="str">
        <f>HYPERLINK("https://www.spark-marketing.ru/Card/Lot/72182526", "На оказание услуг по организации питания пациентов")</f>
        <v>На оказание услуг по организации питания пациентов</v>
      </c>
      <c r="G12395" s="22" t="s">
        <v>49</v>
      </c>
      <c r="H12395" s="22" t="s">
        <v>1869</v>
      </c>
      <c r="I12395" s="26">
        <v>43664.523553240702</v>
      </c>
      <c r="J12395" s="28" t="s">
        <v>51</v>
      </c>
      <c r="K12395" s="28" t="s">
        <v>51</v>
      </c>
      <c r="L12395" s="28" t="s">
        <v>51</v>
      </c>
      <c r="M12395" s="28" t="s">
        <v>51</v>
      </c>
      <c r="N12395" s="28" t="s">
        <v>51</v>
      </c>
    </row>
    <row r="12396" spans="1:14" x14ac:dyDescent="0.15">
      <c r="A12396" s="23" t="str">
        <f>HYPERLINK("https://www.spark-marketing.ru/Card/Person/162677", "ОМВД РОССИИ ПО ВЯЗЕМСКОМУ РАЙОНУ")</f>
        <v>ОМВД РОССИИ ПО ВЯЗЕМСКОМУ РАЙОНУ</v>
      </c>
      <c r="B12396" s="24" t="s">
        <v>12633</v>
      </c>
      <c r="C12396" s="25">
        <v>610120</v>
      </c>
      <c r="D12396" s="22" t="s">
        <v>16864</v>
      </c>
      <c r="E12396" s="22" t="s">
        <v>48</v>
      </c>
      <c r="F12396" s="23" t="str">
        <f>HYPERLINK("https://www.spark-marketing.ru/Card/Lot/72173350", "Оказание услуг по организации питания граждан, содержащихся в ИВС")</f>
        <v>Оказание услуг по организации питания граждан, содержащихся в ИВС</v>
      </c>
      <c r="G12396" s="22" t="s">
        <v>1096</v>
      </c>
      <c r="H12396" s="22" t="s">
        <v>1096</v>
      </c>
      <c r="I12396" s="26">
        <v>43664.525358796302</v>
      </c>
      <c r="J12396" s="28" t="s">
        <v>51</v>
      </c>
      <c r="K12396" s="28" t="s">
        <v>51</v>
      </c>
      <c r="L12396" s="28" t="s">
        <v>51</v>
      </c>
      <c r="M12396" s="28" t="s">
        <v>51</v>
      </c>
      <c r="N12396" s="28" t="s">
        <v>51</v>
      </c>
    </row>
    <row r="12397" spans="1:14" collapsed="1" x14ac:dyDescent="0.15">
      <c r="A12397" s="23" t="str">
        <f>HYPERLINK("https://www.spark-marketing.ru/Card/Person/123797", "МАОУ ""СРЕДНЯЯ ОБЩЕОБРАЗОВАТЕЛЬНАЯ ШКОЛА №1""")</f>
        <v>МАОУ "СРЕДНЯЯ ОБЩЕОБРАЗОВАТЕЛЬНАЯ ШКОЛА №1"</v>
      </c>
      <c r="B12397" s="24" t="s">
        <v>16865</v>
      </c>
      <c r="C12397" s="25">
        <v>621331.19999999995</v>
      </c>
      <c r="D12397" s="22" t="s">
        <v>16866</v>
      </c>
      <c r="E12397" s="22" t="s">
        <v>48</v>
      </c>
      <c r="F12397" s="23" t="str">
        <f>HYPERLINK("https://www.spark-marketing.ru/Card/Lot/72184138", "оказание услуг по организации питания учащихся для нужд МАОУ «Средняя общеобразовательная школа №1»")</f>
        <v>оказание услуг по организации питания учащихся для нужд МАОУ «Средняя общеобразовательная школа №1»</v>
      </c>
      <c r="G12397" s="22" t="s">
        <v>217</v>
      </c>
      <c r="H12397" s="22" t="s">
        <v>217</v>
      </c>
      <c r="I12397" s="26">
        <v>43664.538194444402</v>
      </c>
      <c r="J12397" s="28" t="s">
        <v>51</v>
      </c>
      <c r="K12397" s="28" t="s">
        <v>51</v>
      </c>
      <c r="L12397" s="28" t="s">
        <v>51</v>
      </c>
      <c r="M12397" s="28" t="s">
        <v>51</v>
      </c>
      <c r="N12397" s="28" t="s">
        <v>51</v>
      </c>
    </row>
    <row r="12398" spans="1:14" ht="12.75" hidden="1" outlineLevel="1" x14ac:dyDescent="0.2">
      <c r="A12398" s="23" t="str">
        <f>HYPERLINK("https://www.spark-marketing.ru/Card/Person/123797", "МАОУ ""СРЕДНЯЯ ОБЩЕОБРАЗОВАТЕЛЬНАЯ ШКОЛА №1""")</f>
        <v>МАОУ "СРЕДНЯЯ ОБЩЕОБРАЗОВАТЕЛЬНАЯ ШКОЛА №1"</v>
      </c>
      <c r="B12398" s="24" t="s">
        <v>16865</v>
      </c>
      <c r="C12398" s="25">
        <v>621331.19999999995</v>
      </c>
      <c r="D12398" s="22" t="s">
        <v>16866</v>
      </c>
      <c r="E12398" s="22" t="s">
        <v>48</v>
      </c>
      <c r="F12398" s="23" t="str">
        <f>HYPERLINK("https://www.spark-marketing.ru/Card/Lot/72184138", "оказание услуг по организации питания учащихся для нужд МАОУ «Средняя общеобразовательная школа №1»")</f>
        <v>оказание услуг по организации питания учащихся для нужд МАОУ «Средняя общеобразовательная школа №1»</v>
      </c>
      <c r="G12398" s="22" t="s">
        <v>217</v>
      </c>
      <c r="H12398" s="22" t="s">
        <v>217</v>
      </c>
      <c r="I12398" s="26">
        <v>43664.538194444402</v>
      </c>
      <c r="J12398" s="23" t="str">
        <f>HYPERLINK("https://www.spark-marketing.ru/Card/Person/87385", "ООО ""ШКОЛЬНОЕ ПИТАНИЕ""")</f>
        <v>ООО "ШКОЛЬНОЕ ПИТАНИЕ"</v>
      </c>
      <c r="K12398" s="24" t="s">
        <v>6356</v>
      </c>
      <c r="L12398" s="22" t="s">
        <v>10</v>
      </c>
      <c r="M12398" s="25">
        <v>621331.19999999995</v>
      </c>
      <c r="N12398" s="27">
        <v>0</v>
      </c>
    </row>
    <row r="12399" spans="1:14" hidden="1" outlineLevel="1" x14ac:dyDescent="0.2">
      <c r="A12399" s="23" t="str">
        <f>HYPERLINK("https://www.spark-marketing.ru/Card/Person/123797", "МАОУ ""СРЕДНЯЯ ОБЩЕОБРАЗОВАТЕЛЬНАЯ ШКОЛА №1""")</f>
        <v>МАОУ "СРЕДНЯЯ ОБЩЕОБРАЗОВАТЕЛЬНАЯ ШКОЛА №1"</v>
      </c>
      <c r="B12399" s="24" t="s">
        <v>16865</v>
      </c>
      <c r="C12399" s="25">
        <v>621331.19999999995</v>
      </c>
      <c r="D12399" s="22" t="s">
        <v>16866</v>
      </c>
      <c r="E12399" s="22" t="s">
        <v>48</v>
      </c>
      <c r="F12399" s="23" t="str">
        <f>HYPERLINK("https://www.spark-marketing.ru/Card/Lot/72184138", "оказание услуг по организации питания учащихся для нужд МАОУ «Средняя общеобразовательная школа №1»")</f>
        <v>оказание услуг по организации питания учащихся для нужд МАОУ «Средняя общеобразовательная школа №1»</v>
      </c>
      <c r="G12399" s="22" t="s">
        <v>217</v>
      </c>
      <c r="H12399" s="22" t="s">
        <v>217</v>
      </c>
      <c r="I12399" s="26">
        <v>43664.538194444402</v>
      </c>
      <c r="J12399" s="23" t="str">
        <f>HYPERLINK("https://www.spark-marketing.ru/Card/Person/300377", "ООО ""ТУЙМАЗЫ-ФРУКТ""")</f>
        <v>ООО "ТУЙМАЗЫ-ФРУКТ"</v>
      </c>
      <c r="K12399" s="24" t="s">
        <v>9052</v>
      </c>
      <c r="L12399" s="28" t="s">
        <v>51</v>
      </c>
      <c r="M12399" s="25">
        <v>621331.19999999995</v>
      </c>
      <c r="N12399" s="27">
        <v>0</v>
      </c>
    </row>
    <row r="12400" spans="1:14" x14ac:dyDescent="0.15">
      <c r="A12400" s="23" t="str">
        <f>HYPERLINK("https://www.spark-marketing.ru/Card/Person/4224", "ГКУ НСО ""НОВОСИБОБЛФАРМ""")</f>
        <v>ГКУ НСО "НОВОСИБОБЛФАРМ"</v>
      </c>
      <c r="B12400" s="24" t="s">
        <v>11625</v>
      </c>
      <c r="C12400" s="25">
        <v>11700</v>
      </c>
      <c r="D12400" s="22" t="s">
        <v>16867</v>
      </c>
      <c r="E12400" s="22" t="s">
        <v>11627</v>
      </c>
      <c r="F12400" s="23" t="str">
        <f>HYPERLINK("https://www.spark-marketing.ru/Card/Lot/72173158", "Оказание услуг по приему, хранению и отпуску лекарственных препаратов для медицинского применения, медицинских изделий, а также специализированных продуктов лечебного питания по бесплатным и льготным рецептам гражданам, имеющим право на льготное лека...")</f>
        <v>Оказание услуг по приему, хранению и отпуску лекарственных препаратов для медицинского применения, медицинских изделий, а также специализированных продуктов лечебного питания по бесплатным и льготным рецептам гражданам, имеющим право на льготное лека...</v>
      </c>
      <c r="G12400" s="22" t="s">
        <v>195</v>
      </c>
      <c r="H12400" s="22" t="s">
        <v>196</v>
      </c>
      <c r="I12400" s="26">
        <v>43664.493831018503</v>
      </c>
      <c r="J12400" s="28" t="s">
        <v>51</v>
      </c>
      <c r="K12400" s="28" t="s">
        <v>51</v>
      </c>
      <c r="L12400" s="28" t="s">
        <v>51</v>
      </c>
      <c r="M12400" s="28" t="s">
        <v>51</v>
      </c>
      <c r="N12400" s="28" t="s">
        <v>51</v>
      </c>
    </row>
    <row r="12401" spans="1:14" x14ac:dyDescent="0.15">
      <c r="A12401" s="23" t="str">
        <f>HYPERLINK("https://www.spark-marketing.ru/Card/Person/526355", "ФГБОУ ВО ""РЭУ ИМ. Г.В. ПЛЕХАНОВА"", РЭУ ИМ. Г.В. ПЛЕХАНОВА")</f>
        <v>ФГБОУ ВО "РЭУ ИМ. Г.В. ПЛЕХАНОВА", РЭУ ИМ. Г.В. ПЛЕХАНОВА</v>
      </c>
      <c r="B12401" s="24" t="s">
        <v>565</v>
      </c>
      <c r="C12401" s="25">
        <v>491200</v>
      </c>
      <c r="D12401" s="22" t="s">
        <v>16868</v>
      </c>
      <c r="E12401" s="22" t="s">
        <v>1403</v>
      </c>
      <c r="F12401" s="23" t="str">
        <f>HYPERLINK("https://www.spark-marketing.ru/Card/Lot/72201475", "Оказание услуг по ремонту и обслуживанию источника бесперебойного питания марки APC Symmetra PX48KWV (SY32K48H) для нужд ФГБОУ ВО «РЭУ им. Г.В. Плеханова».")</f>
        <v>Оказание услуг по ремонту и обслуживанию источника бесперебойного питания марки APC Symmetra PX48KWV (SY32K48H) для нужд ФГБОУ ВО «РЭУ им. Г.В. Плеханова».</v>
      </c>
      <c r="G12401" s="22" t="s">
        <v>56</v>
      </c>
      <c r="H12401" s="22" t="s">
        <v>56</v>
      </c>
      <c r="I12401" s="26">
        <v>43664.496898148202</v>
      </c>
      <c r="J12401" s="28" t="s">
        <v>51</v>
      </c>
      <c r="K12401" s="28" t="s">
        <v>51</v>
      </c>
      <c r="L12401" s="28" t="s">
        <v>51</v>
      </c>
      <c r="M12401" s="28" t="s">
        <v>51</v>
      </c>
      <c r="N12401" s="28" t="s">
        <v>51</v>
      </c>
    </row>
    <row r="12402" spans="1:14" x14ac:dyDescent="0.15">
      <c r="A12402" s="23" t="str">
        <f>HYPERLINK("https://www.spark-marketing.ru/Card/Person/819534", "ОТДЕЛЕНИЕ МВД РОССИИ ПО ЧЕРЕМШАНСКОМУ РАЙОНУ")</f>
        <v>ОТДЕЛЕНИЕ МВД РОССИИ ПО ЧЕРЕМШАНСКОМУ РАЙОНУ</v>
      </c>
      <c r="B12402" s="24" t="s">
        <v>16775</v>
      </c>
      <c r="C12402" s="25">
        <v>220000</v>
      </c>
      <c r="D12402" s="22" t="s">
        <v>16869</v>
      </c>
      <c r="E12402" s="22" t="s">
        <v>48</v>
      </c>
      <c r="F12402" s="23" t="str">
        <f>HYPERLINK("https://www.spark-marketing.ru/Card/Lot/72188519", "Прочая закупка услуг для обеспечения хозяйственных нужд (Услуги по организации питания лиц, содержащихся в ИВС, СПСЗЛ Отделения МВД России по Черемшанскому району )")</f>
        <v>Прочая закупка услуг для обеспечения хозяйственных нужд (Услуги по организации питания лиц, содержащихся в ИВС, СПСЗЛ Отделения МВД России по Черемшанскому району )</v>
      </c>
      <c r="G12402" s="22" t="s">
        <v>217</v>
      </c>
      <c r="H12402" s="22" t="s">
        <v>16777</v>
      </c>
      <c r="I12402" s="26">
        <v>43664.479131944398</v>
      </c>
      <c r="J12402" s="28" t="s">
        <v>51</v>
      </c>
      <c r="K12402" s="28" t="s">
        <v>51</v>
      </c>
      <c r="L12402" s="28" t="s">
        <v>51</v>
      </c>
      <c r="M12402" s="28" t="s">
        <v>51</v>
      </c>
      <c r="N12402" s="28" t="s">
        <v>51</v>
      </c>
    </row>
    <row r="12403" spans="1:14" x14ac:dyDescent="0.15">
      <c r="A12403" s="23" t="str">
        <f>HYPERLINK("https://www.spark-marketing.ru/Card/Person/4224", "ГКУ НСО ""НОВОСИБОБЛФАРМ""")</f>
        <v>ГКУ НСО "НОВОСИБОБЛФАРМ"</v>
      </c>
      <c r="B12403" s="24" t="s">
        <v>11625</v>
      </c>
      <c r="C12403" s="25">
        <v>52650</v>
      </c>
      <c r="D12403" s="22" t="s">
        <v>16870</v>
      </c>
      <c r="E12403" s="22" t="s">
        <v>11627</v>
      </c>
      <c r="F12403" s="23" t="str">
        <f>HYPERLINK("https://www.spark-marketing.ru/Card/Lot/72173159", "Оказание услуг по приему, хранению и отпуску лекарственных препаратов для медицинского применения, медицинских изделий, а также специализированных продуктов лечебного питания по бесплатным и льготным рецептам гражданам, имеющим право на льготное лека...")</f>
        <v>Оказание услуг по приему, хранению и отпуску лекарственных препаратов для медицинского применения, медицинских изделий, а также специализированных продуктов лечебного питания по бесплатным и льготным рецептам гражданам, имеющим право на льготное лека...</v>
      </c>
      <c r="G12403" s="22" t="s">
        <v>195</v>
      </c>
      <c r="H12403" s="22" t="s">
        <v>196</v>
      </c>
      <c r="I12403" s="26">
        <v>43664.494155092601</v>
      </c>
      <c r="J12403" s="28" t="s">
        <v>51</v>
      </c>
      <c r="K12403" s="28" t="s">
        <v>51</v>
      </c>
      <c r="L12403" s="28" t="s">
        <v>51</v>
      </c>
      <c r="M12403" s="28" t="s">
        <v>51</v>
      </c>
      <c r="N12403" s="28" t="s">
        <v>51</v>
      </c>
    </row>
    <row r="12404" spans="1:14" x14ac:dyDescent="0.15">
      <c r="A12404" s="23" t="str">
        <f>HYPERLINK("https://www.spark-marketing.ru/Card/Person/4224", "ГКУ НСО ""НОВОСИБОБЛФАРМ""")</f>
        <v>ГКУ НСО "НОВОСИБОБЛФАРМ"</v>
      </c>
      <c r="B12404" s="24" t="s">
        <v>11625</v>
      </c>
      <c r="C12404" s="25">
        <v>46800</v>
      </c>
      <c r="D12404" s="22" t="s">
        <v>16871</v>
      </c>
      <c r="E12404" s="22" t="s">
        <v>11627</v>
      </c>
      <c r="F12404" s="23" t="str">
        <f>HYPERLINK("https://www.spark-marketing.ru/Card/Lot/72173160", "Оказание услуг по приему, хранению и отпуску лекарственных препаратов для медицинского применения, медицинских изделий, а также специализированных продуктов лечебного питания по бесплатным и льготным рецептам гражданам, имеющим право на льготное лека...")</f>
        <v>Оказание услуг по приему, хранению и отпуску лекарственных препаратов для медицинского применения, медицинских изделий, а также специализированных продуктов лечебного питания по бесплатным и льготным рецептам гражданам, имеющим право на льготное лека...</v>
      </c>
      <c r="G12404" s="22" t="s">
        <v>195</v>
      </c>
      <c r="H12404" s="22" t="s">
        <v>196</v>
      </c>
      <c r="I12404" s="26">
        <v>43664.494675925896</v>
      </c>
      <c r="J12404" s="28" t="s">
        <v>51</v>
      </c>
      <c r="K12404" s="28" t="s">
        <v>51</v>
      </c>
      <c r="L12404" s="28" t="s">
        <v>51</v>
      </c>
      <c r="M12404" s="28" t="s">
        <v>51</v>
      </c>
      <c r="N12404" s="28" t="s">
        <v>51</v>
      </c>
    </row>
    <row r="12405" spans="1:14" collapsed="1" x14ac:dyDescent="0.15">
      <c r="A12405" s="23" t="str">
        <f>HYPERLINK("https://www.spark-marketing.ru/Card/Person/4478", "ГБУ ""ЦЕНТР МОЛОДЕЖИ""")</f>
        <v>ГБУ "ЦЕНТР МОЛОДЕЖИ"</v>
      </c>
      <c r="B12405" s="24" t="s">
        <v>16872</v>
      </c>
      <c r="C12405" s="25">
        <v>480690</v>
      </c>
      <c r="D12405" s="22" t="s">
        <v>16873</v>
      </c>
      <c r="E12405" s="22" t="s">
        <v>96</v>
      </c>
      <c r="F12405" s="23" t="str">
        <f>HYPERLINK("https://www.spark-marketing.ru/Card/Lot/72195012", "Оказание услуг по организации питания в пути следования поездами для детей и молодежи Калининградской области по городам России.")</f>
        <v>Оказание услуг по организации питания в пути следования поездами для детей и молодежи Калининградской области по городам России.</v>
      </c>
      <c r="G12405" s="22" t="s">
        <v>400</v>
      </c>
      <c r="H12405" s="22" t="s">
        <v>401</v>
      </c>
      <c r="I12405" s="26">
        <v>43664.495740740698</v>
      </c>
      <c r="J12405" s="28" t="s">
        <v>51</v>
      </c>
      <c r="K12405" s="28" t="s">
        <v>51</v>
      </c>
      <c r="L12405" s="28" t="s">
        <v>51</v>
      </c>
      <c r="M12405" s="28" t="s">
        <v>51</v>
      </c>
      <c r="N12405" s="28" t="s">
        <v>51</v>
      </c>
    </row>
    <row r="12406" spans="1:14" ht="12.75" hidden="1" outlineLevel="1" x14ac:dyDescent="0.2">
      <c r="A12406" s="23" t="str">
        <f>HYPERLINK("https://www.spark-marketing.ru/Card/Person/4478", "ГБУ ""ЦЕНТР МОЛОДЕЖИ""")</f>
        <v>ГБУ "ЦЕНТР МОЛОДЕЖИ"</v>
      </c>
      <c r="B12406" s="24" t="s">
        <v>16872</v>
      </c>
      <c r="C12406" s="25">
        <v>480690</v>
      </c>
      <c r="D12406" s="22" t="s">
        <v>16873</v>
      </c>
      <c r="E12406" s="22" t="s">
        <v>96</v>
      </c>
      <c r="F12406" s="23" t="str">
        <f>HYPERLINK("https://www.spark-marketing.ru/Card/Lot/72195012", "Оказание услуг по организации питания в пути следования поездами для детей и молодежи Калининградской области по городам России.")</f>
        <v>Оказание услуг по организации питания в пути следования поездами для детей и молодежи Калининградской области по городам России.</v>
      </c>
      <c r="G12406" s="22" t="s">
        <v>400</v>
      </c>
      <c r="H12406" s="22" t="s">
        <v>401</v>
      </c>
      <c r="I12406" s="26">
        <v>43664.495740740698</v>
      </c>
      <c r="J12406" s="23" t="str">
        <f>HYPERLINK("https://www.spark-marketing.ru/Card/Person/144774", "ООО ""ТДМ""")</f>
        <v>ООО "ТДМ"</v>
      </c>
      <c r="K12406" s="24" t="s">
        <v>16874</v>
      </c>
      <c r="L12406" s="22" t="s">
        <v>10</v>
      </c>
      <c r="M12406" s="25">
        <v>480690</v>
      </c>
      <c r="N12406" s="27">
        <v>0</v>
      </c>
    </row>
    <row r="12407" spans="1:14" hidden="1" outlineLevel="1" x14ac:dyDescent="0.2">
      <c r="A12407" s="23" t="str">
        <f>HYPERLINK("https://www.spark-marketing.ru/Card/Person/4478", "ГБУ ""ЦЕНТР МОЛОДЕЖИ""")</f>
        <v>ГБУ "ЦЕНТР МОЛОДЕЖИ"</v>
      </c>
      <c r="B12407" s="24" t="s">
        <v>16872</v>
      </c>
      <c r="C12407" s="25">
        <v>480690</v>
      </c>
      <c r="D12407" s="22" t="s">
        <v>16873</v>
      </c>
      <c r="E12407" s="22" t="s">
        <v>96</v>
      </c>
      <c r="F12407" s="23" t="str">
        <f>HYPERLINK("https://www.spark-marketing.ru/Card/Lot/72195012", "Оказание услуг по организации питания в пути следования поездами для детей и молодежи Калининградской области по городам России.")</f>
        <v>Оказание услуг по организации питания в пути следования поездами для детей и молодежи Калининградской области по городам России.</v>
      </c>
      <c r="G12407" s="22" t="s">
        <v>400</v>
      </c>
      <c r="H12407" s="22" t="s">
        <v>401</v>
      </c>
      <c r="I12407" s="26">
        <v>43664.495740740698</v>
      </c>
      <c r="J12407" s="23" t="str">
        <f>HYPERLINK("https://www.spark-marketing.ru/Card/Person/135341", "ООО ""ГРУППА КОМПАНИЙ ""АНТАЛИЯ""")</f>
        <v>ООО "ГРУППА КОМПАНИЙ "АНТАЛИЯ"</v>
      </c>
      <c r="K12407" s="24" t="s">
        <v>16875</v>
      </c>
      <c r="L12407" s="28" t="s">
        <v>51</v>
      </c>
      <c r="M12407" s="25">
        <v>480690</v>
      </c>
      <c r="N12407" s="27">
        <v>0</v>
      </c>
    </row>
    <row r="12408" spans="1:14" x14ac:dyDescent="0.15">
      <c r="A12408" s="23" t="str">
        <f>HYPERLINK("https://www.spark-marketing.ru/Card/Person/1078621", "МО МВД РОССИИ ""СЕРОВСКИЙ""")</f>
        <v>МО МВД РОССИИ "СЕРОВСКИЙ"</v>
      </c>
      <c r="B12408" s="24" t="s">
        <v>16876</v>
      </c>
      <c r="C12408" s="25">
        <v>103945.77</v>
      </c>
      <c r="D12408" s="22" t="s">
        <v>16877</v>
      </c>
      <c r="E12408" s="22" t="s">
        <v>96</v>
      </c>
      <c r="F12408" s="23" t="str">
        <f>HYPERLINK("https://www.spark-marketing.ru/Card/Lot/72178161",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2408" s="22" t="s">
        <v>174</v>
      </c>
      <c r="H12408" s="22" t="s">
        <v>174</v>
      </c>
      <c r="I12408" s="26">
        <v>43664.475405092599</v>
      </c>
      <c r="J12408" s="28" t="s">
        <v>51</v>
      </c>
      <c r="K12408" s="28" t="s">
        <v>51</v>
      </c>
      <c r="L12408" s="28" t="s">
        <v>51</v>
      </c>
      <c r="M12408" s="28" t="s">
        <v>51</v>
      </c>
      <c r="N12408" s="28" t="s">
        <v>51</v>
      </c>
    </row>
    <row r="12409" spans="1:14" x14ac:dyDescent="0.2">
      <c r="A12409" s="23" t="str">
        <f>HYPERLINK("https://www.spark-marketing.ru/Card/Person/4864894", "ГАПОУ ПО ПКАС")</f>
        <v>ГАПОУ ПО ПКАС</v>
      </c>
      <c r="B12409" s="24" t="s">
        <v>7743</v>
      </c>
      <c r="C12409" s="25">
        <v>1353894</v>
      </c>
      <c r="D12409" s="22" t="s">
        <v>16878</v>
      </c>
      <c r="E12409" s="22" t="s">
        <v>362</v>
      </c>
      <c r="F12409" s="23" t="str">
        <f>HYPERLINK("https://www.spark-marketing.ru/Card/Lot/72199170", "Оказание услуг по организации горячего питания обучающихся в ГАПОУ ПО ПКАС сентябрь - ноябрь 19 года")</f>
        <v>Оказание услуг по организации горячего питания обучающихся в ГАПОУ ПО ПКАС сентябрь - ноябрь 19 года</v>
      </c>
      <c r="G12409" s="22" t="s">
        <v>72</v>
      </c>
      <c r="H12409" s="22" t="s">
        <v>72</v>
      </c>
      <c r="I12409" s="26">
        <v>43664.495335648098</v>
      </c>
      <c r="J12409" s="28" t="s">
        <v>51</v>
      </c>
      <c r="K12409" s="28" t="s">
        <v>51</v>
      </c>
      <c r="L12409" s="22" t="s">
        <v>10</v>
      </c>
      <c r="M12409" s="25">
        <v>1353894</v>
      </c>
      <c r="N12409" s="27">
        <v>0</v>
      </c>
    </row>
    <row r="12410" spans="1:14" collapsed="1" x14ac:dyDescent="0.15">
      <c r="A12410" s="23" t="str">
        <f>HYPERLINK("https://www.spark-marketing.ru/Card/Person/4478", "ГБУ ""ЦЕНТР МОЛОДЕЖИ""")</f>
        <v>ГБУ "ЦЕНТР МОЛОДЕЖИ"</v>
      </c>
      <c r="B12410" s="24" t="s">
        <v>16872</v>
      </c>
      <c r="C12410" s="25">
        <v>492230</v>
      </c>
      <c r="D12410" s="22" t="s">
        <v>16879</v>
      </c>
      <c r="E12410" s="22" t="s">
        <v>96</v>
      </c>
      <c r="F12410" s="23" t="str">
        <f>HYPERLINK("https://www.spark-marketing.ru/Card/Lot/72194937", "Оказание услуг по организации питания в пути следования поездами для детей и молодежи Калининградской области по городам России.")</f>
        <v>Оказание услуг по организации питания в пути следования поездами для детей и молодежи Калининградской области по городам России.</v>
      </c>
      <c r="G12410" s="22" t="s">
        <v>400</v>
      </c>
      <c r="H12410" s="22" t="s">
        <v>401</v>
      </c>
      <c r="I12410" s="26">
        <v>43664.496296296304</v>
      </c>
      <c r="J12410" s="28" t="s">
        <v>51</v>
      </c>
      <c r="K12410" s="28" t="s">
        <v>51</v>
      </c>
      <c r="L12410" s="28" t="s">
        <v>51</v>
      </c>
      <c r="M12410" s="28" t="s">
        <v>51</v>
      </c>
      <c r="N12410" s="28" t="s">
        <v>51</v>
      </c>
    </row>
    <row r="12411" spans="1:14" ht="12.75" hidden="1" outlineLevel="1" x14ac:dyDescent="0.2">
      <c r="A12411" s="23" t="str">
        <f>HYPERLINK("https://www.spark-marketing.ru/Card/Person/4478", "ГБУ ""ЦЕНТР МОЛОДЕЖИ""")</f>
        <v>ГБУ "ЦЕНТР МОЛОДЕЖИ"</v>
      </c>
      <c r="B12411" s="24" t="s">
        <v>16872</v>
      </c>
      <c r="C12411" s="25">
        <v>492230</v>
      </c>
      <c r="D12411" s="22" t="s">
        <v>16879</v>
      </c>
      <c r="E12411" s="22" t="s">
        <v>96</v>
      </c>
      <c r="F12411" s="23" t="str">
        <f>HYPERLINK("https://www.spark-marketing.ru/Card/Lot/72194937", "Оказание услуг по организации питания в пути следования поездами для детей и молодежи Калининградской области по городам России.")</f>
        <v>Оказание услуг по организации питания в пути следования поездами для детей и молодежи Калининградской области по городам России.</v>
      </c>
      <c r="G12411" s="22" t="s">
        <v>400</v>
      </c>
      <c r="H12411" s="22" t="s">
        <v>401</v>
      </c>
      <c r="I12411" s="26">
        <v>43664.496296296304</v>
      </c>
      <c r="J12411" s="23" t="str">
        <f>HYPERLINK("https://www.spark-marketing.ru/Card/Person/144774", "ООО ""ТДМ""")</f>
        <v>ООО "ТДМ"</v>
      </c>
      <c r="K12411" s="24" t="s">
        <v>16874</v>
      </c>
      <c r="L12411" s="22" t="s">
        <v>10</v>
      </c>
      <c r="M12411" s="25">
        <v>492230</v>
      </c>
      <c r="N12411" s="27">
        <v>0</v>
      </c>
    </row>
    <row r="12412" spans="1:14" hidden="1" outlineLevel="1" x14ac:dyDescent="0.2">
      <c r="A12412" s="23" t="str">
        <f>HYPERLINK("https://www.spark-marketing.ru/Card/Person/4478", "ГБУ ""ЦЕНТР МОЛОДЕЖИ""")</f>
        <v>ГБУ "ЦЕНТР МОЛОДЕЖИ"</v>
      </c>
      <c r="B12412" s="24" t="s">
        <v>16872</v>
      </c>
      <c r="C12412" s="25">
        <v>492230</v>
      </c>
      <c r="D12412" s="22" t="s">
        <v>16879</v>
      </c>
      <c r="E12412" s="22" t="s">
        <v>96</v>
      </c>
      <c r="F12412" s="23" t="str">
        <f>HYPERLINK("https://www.spark-marketing.ru/Card/Lot/72194937", "Оказание услуг по организации питания в пути следования поездами для детей и молодежи Калининградской области по городам России.")</f>
        <v>Оказание услуг по организации питания в пути следования поездами для детей и молодежи Калининградской области по городам России.</v>
      </c>
      <c r="G12412" s="22" t="s">
        <v>400</v>
      </c>
      <c r="H12412" s="22" t="s">
        <v>401</v>
      </c>
      <c r="I12412" s="26">
        <v>43664.496296296304</v>
      </c>
      <c r="J12412" s="23" t="str">
        <f>HYPERLINK("https://www.spark-marketing.ru/Card/Person/135341", "ООО ""ГРУППА КОМПАНИЙ ""АНТАЛИЯ""")</f>
        <v>ООО "ГРУППА КОМПАНИЙ "АНТАЛИЯ"</v>
      </c>
      <c r="K12412" s="24" t="s">
        <v>16875</v>
      </c>
      <c r="L12412" s="28" t="s">
        <v>51</v>
      </c>
      <c r="M12412" s="25">
        <v>492230</v>
      </c>
      <c r="N12412" s="27">
        <v>0</v>
      </c>
    </row>
    <row r="12413" spans="1:14" x14ac:dyDescent="0.2">
      <c r="A12413" s="23" t="str">
        <f>HYPERLINK("https://www.spark-marketing.ru/Card/Person/1029554", "МДОУ №8 Г. МОЖАЙСКА")</f>
        <v>МДОУ №8 Г. МОЖАЙСКА</v>
      </c>
      <c r="B12413" s="24" t="s">
        <v>16880</v>
      </c>
      <c r="C12413" s="25">
        <v>1093404</v>
      </c>
      <c r="D12413" s="22" t="s">
        <v>16881</v>
      </c>
      <c r="E12413" s="22" t="s">
        <v>48</v>
      </c>
      <c r="F12413" s="23" t="str">
        <f>HYPERLINK("https://www.spark-marketing.ru/Card/Lot/72181294", "Оказание услуг по организации питания воспитанников во 2 полугодии 2019 года")</f>
        <v>Оказание услуг по организации питания воспитанников во 2 полугодии 2019 года</v>
      </c>
      <c r="G12413" s="22" t="s">
        <v>49</v>
      </c>
      <c r="H12413" s="22" t="s">
        <v>3718</v>
      </c>
      <c r="I12413" s="26">
        <v>43664.487500000003</v>
      </c>
      <c r="J12413" s="23" t="str">
        <f>HYPERLINK("https://www.spark-marketing.ru/Card/Person/721759", "ООО ""КАРАВЕЛЛА""")</f>
        <v>ООО "КАРАВЕЛЛА"</v>
      </c>
      <c r="K12413" s="24" t="s">
        <v>15407</v>
      </c>
      <c r="L12413" s="28" t="s">
        <v>51</v>
      </c>
      <c r="M12413" s="25">
        <v>1093404</v>
      </c>
      <c r="N12413" s="27">
        <v>0</v>
      </c>
    </row>
    <row r="12414" spans="1:14" x14ac:dyDescent="0.15">
      <c r="A1241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2414" s="24" t="s">
        <v>3255</v>
      </c>
      <c r="C12414" s="25">
        <v>44000</v>
      </c>
      <c r="D12414" s="22" t="s">
        <v>16882</v>
      </c>
      <c r="E12414" s="22" t="s">
        <v>9540</v>
      </c>
      <c r="F12414" s="23" t="str">
        <f>HYPERLINK("https://www.spark-marketing.ru/Card/Lot/72175828", "Поставка лекарственного препарата для медицинского применения ""Ботулинический токсин типа 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спе...")</f>
        <v>Поставка лекарственного препарата для медицинского применения "Ботулинический токсин типа 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спе...</v>
      </c>
      <c r="G12414" s="22" t="s">
        <v>210</v>
      </c>
      <c r="H12414" s="22" t="s">
        <v>3257</v>
      </c>
      <c r="I12414" s="26">
        <v>43664.438194444403</v>
      </c>
      <c r="J12414" s="28" t="s">
        <v>51</v>
      </c>
      <c r="K12414" s="28" t="s">
        <v>51</v>
      </c>
      <c r="L12414" s="28" t="s">
        <v>51</v>
      </c>
      <c r="M12414" s="28" t="s">
        <v>51</v>
      </c>
      <c r="N12414" s="28" t="s">
        <v>51</v>
      </c>
    </row>
    <row r="12415" spans="1:14" x14ac:dyDescent="0.15">
      <c r="A12415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12415" s="24" t="s">
        <v>4141</v>
      </c>
      <c r="C12415" s="25">
        <v>150000</v>
      </c>
      <c r="D12415" s="22" t="s">
        <v>16883</v>
      </c>
      <c r="E12415" s="22" t="s">
        <v>48</v>
      </c>
      <c r="F12415" s="23" t="str">
        <f>HYPERLINK("https://www.spark-marketing.ru/Card/Lot/72174299",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2415" s="22" t="s">
        <v>263</v>
      </c>
      <c r="H12415" s="22" t="s">
        <v>540</v>
      </c>
      <c r="I12415" s="26">
        <v>43664.417106481502</v>
      </c>
      <c r="J12415" s="28" t="s">
        <v>51</v>
      </c>
      <c r="K12415" s="28" t="s">
        <v>51</v>
      </c>
      <c r="L12415" s="28" t="s">
        <v>51</v>
      </c>
      <c r="M12415" s="28" t="s">
        <v>51</v>
      </c>
      <c r="N12415" s="28" t="s">
        <v>51</v>
      </c>
    </row>
    <row r="12416" spans="1:14" collapsed="1" x14ac:dyDescent="0.15">
      <c r="A12416" s="23" t="s">
        <v>114</v>
      </c>
      <c r="B12416" s="28" t="s">
        <v>51</v>
      </c>
      <c r="C12416" s="25">
        <v>5466390</v>
      </c>
      <c r="D12416" s="22" t="s">
        <v>16884</v>
      </c>
      <c r="E12416" s="22" t="s">
        <v>48</v>
      </c>
      <c r="F12416" s="23" t="str">
        <f t="shared" ref="F12416:F12423" si="389">HYPERLINK("https://www.spark-marketing.ru/Card/Lot/72179890", "Оказание услуг по организации горячего питания")</f>
        <v>Оказание услуг по организации горячего питания</v>
      </c>
      <c r="G12416" s="22" t="s">
        <v>51</v>
      </c>
      <c r="H12416" s="22" t="s">
        <v>51</v>
      </c>
      <c r="I12416" s="26">
        <v>43664.447222222203</v>
      </c>
      <c r="J12416" s="28" t="s">
        <v>51</v>
      </c>
      <c r="K12416" s="28" t="s">
        <v>51</v>
      </c>
      <c r="L12416" s="28" t="s">
        <v>51</v>
      </c>
      <c r="M12416" s="28" t="s">
        <v>51</v>
      </c>
      <c r="N12416" s="28" t="s">
        <v>51</v>
      </c>
    </row>
    <row r="12417" spans="1:14" hidden="1" outlineLevel="1" x14ac:dyDescent="0.15">
      <c r="A12417" s="23" t="str">
        <f>HYPERLINK("https://www.spark-marketing.ru/Card/Person/146867", "МОУ СОШ № 14")</f>
        <v>МОУ СОШ № 14</v>
      </c>
      <c r="B12417" s="24" t="s">
        <v>16885</v>
      </c>
      <c r="C12417" s="25">
        <v>1448070</v>
      </c>
      <c r="D12417" s="22" t="s">
        <v>16884</v>
      </c>
      <c r="E12417" s="22" t="s">
        <v>48</v>
      </c>
      <c r="F12417" s="23" t="str">
        <f t="shared" si="389"/>
        <v>Оказание услуг по организации горячего питания</v>
      </c>
      <c r="G12417" s="22" t="s">
        <v>137</v>
      </c>
      <c r="H12417" s="22" t="s">
        <v>138</v>
      </c>
      <c r="I12417" s="26">
        <v>43664.447222222203</v>
      </c>
      <c r="J12417" s="28" t="s">
        <v>51</v>
      </c>
      <c r="K12417" s="28" t="s">
        <v>51</v>
      </c>
      <c r="L12417" s="28" t="s">
        <v>51</v>
      </c>
      <c r="M12417" s="28" t="s">
        <v>51</v>
      </c>
      <c r="N12417" s="28" t="s">
        <v>51</v>
      </c>
    </row>
    <row r="12418" spans="1:14" hidden="1" outlineLevel="1" x14ac:dyDescent="0.15">
      <c r="A12418" s="23" t="str">
        <f>HYPERLINK("https://www.spark-marketing.ru/Card/Person/149849", "МОУ ГИМНАЗИЯ № 12 Г. ТВЕРИ")</f>
        <v>МОУ ГИМНАЗИЯ № 12 Г. ТВЕРИ</v>
      </c>
      <c r="B12418" s="24" t="s">
        <v>16886</v>
      </c>
      <c r="C12418" s="25">
        <v>1834320</v>
      </c>
      <c r="D12418" s="22" t="s">
        <v>16884</v>
      </c>
      <c r="E12418" s="22" t="s">
        <v>48</v>
      </c>
      <c r="F12418" s="23" t="str">
        <f t="shared" si="389"/>
        <v>Оказание услуг по организации горячего питания</v>
      </c>
      <c r="G12418" s="22" t="s">
        <v>137</v>
      </c>
      <c r="H12418" s="22" t="s">
        <v>138</v>
      </c>
      <c r="I12418" s="26">
        <v>43664.447222222203</v>
      </c>
      <c r="J12418" s="28" t="s">
        <v>51</v>
      </c>
      <c r="K12418" s="28" t="s">
        <v>51</v>
      </c>
      <c r="L12418" s="28" t="s">
        <v>51</v>
      </c>
      <c r="M12418" s="28" t="s">
        <v>51</v>
      </c>
      <c r="N12418" s="28" t="s">
        <v>51</v>
      </c>
    </row>
    <row r="12419" spans="1:14" hidden="1" outlineLevel="1" x14ac:dyDescent="0.15">
      <c r="A12419" s="23" t="str">
        <f>HYPERLINK("https://www.spark-marketing.ru/Card/Person/150141", "МБОУ СОШ № 42")</f>
        <v>МБОУ СОШ № 42</v>
      </c>
      <c r="B12419" s="24" t="s">
        <v>16887</v>
      </c>
      <c r="C12419" s="25">
        <v>993600</v>
      </c>
      <c r="D12419" s="22" t="s">
        <v>16884</v>
      </c>
      <c r="E12419" s="22" t="s">
        <v>48</v>
      </c>
      <c r="F12419" s="23" t="str">
        <f t="shared" si="389"/>
        <v>Оказание услуг по организации горячего питания</v>
      </c>
      <c r="G12419" s="22" t="s">
        <v>137</v>
      </c>
      <c r="H12419" s="22" t="s">
        <v>138</v>
      </c>
      <c r="I12419" s="26">
        <v>43664.447222222203</v>
      </c>
      <c r="J12419" s="28" t="s">
        <v>51</v>
      </c>
      <c r="K12419" s="28" t="s">
        <v>51</v>
      </c>
      <c r="L12419" s="28" t="s">
        <v>51</v>
      </c>
      <c r="M12419" s="28" t="s">
        <v>51</v>
      </c>
      <c r="N12419" s="28" t="s">
        <v>51</v>
      </c>
    </row>
    <row r="12420" spans="1:14" hidden="1" outlineLevel="1" x14ac:dyDescent="0.15">
      <c r="A12420" s="23" t="str">
        <f>HYPERLINK("https://www.spark-marketing.ru/Card/Person/152831", "МОУ СОШ № 16")</f>
        <v>МОУ СОШ № 16</v>
      </c>
      <c r="B12420" s="24" t="s">
        <v>16888</v>
      </c>
      <c r="C12420" s="25">
        <v>559200</v>
      </c>
      <c r="D12420" s="22" t="s">
        <v>16884</v>
      </c>
      <c r="E12420" s="22" t="s">
        <v>48</v>
      </c>
      <c r="F12420" s="23" t="str">
        <f t="shared" si="389"/>
        <v>Оказание услуг по организации горячего питания</v>
      </c>
      <c r="G12420" s="22" t="s">
        <v>51</v>
      </c>
      <c r="H12420" s="22" t="s">
        <v>51</v>
      </c>
      <c r="I12420" s="26">
        <v>43664.447222222203</v>
      </c>
      <c r="J12420" s="28" t="s">
        <v>51</v>
      </c>
      <c r="K12420" s="28" t="s">
        <v>51</v>
      </c>
      <c r="L12420" s="28" t="s">
        <v>51</v>
      </c>
      <c r="M12420" s="28" t="s">
        <v>51</v>
      </c>
      <c r="N12420" s="28" t="s">
        <v>51</v>
      </c>
    </row>
    <row r="12421" spans="1:14" hidden="1" outlineLevel="1" x14ac:dyDescent="0.15">
      <c r="A12421" s="23" t="str">
        <f>HYPERLINK("https://www.spark-marketing.ru/Card/Person/999615", "МОУ ""ТВЕРСКАЯ ГИМНАЗИЯ № 6""")</f>
        <v>МОУ "ТВЕРСКАЯ ГИМНАЗИЯ № 6"</v>
      </c>
      <c r="B12421" s="24" t="s">
        <v>16889</v>
      </c>
      <c r="C12421" s="25">
        <v>631200</v>
      </c>
      <c r="D12421" s="22" t="s">
        <v>16884</v>
      </c>
      <c r="E12421" s="22" t="s">
        <v>48</v>
      </c>
      <c r="F12421" s="23" t="str">
        <f t="shared" si="389"/>
        <v>Оказание услуг по организации горячего питания</v>
      </c>
      <c r="G12421" s="22" t="s">
        <v>51</v>
      </c>
      <c r="H12421" s="22" t="s">
        <v>51</v>
      </c>
      <c r="I12421" s="26">
        <v>43664.447222222203</v>
      </c>
      <c r="J12421" s="28" t="s">
        <v>51</v>
      </c>
      <c r="K12421" s="28" t="s">
        <v>51</v>
      </c>
      <c r="L12421" s="28" t="s">
        <v>51</v>
      </c>
      <c r="M12421" s="28" t="s">
        <v>51</v>
      </c>
      <c r="N12421" s="28" t="s">
        <v>51</v>
      </c>
    </row>
    <row r="12422" spans="1:14" hidden="1" outlineLevel="1" x14ac:dyDescent="0.2">
      <c r="A12422" s="28" t="s">
        <v>51</v>
      </c>
      <c r="B12422" s="28" t="s">
        <v>51</v>
      </c>
      <c r="C12422" s="28" t="s">
        <v>51</v>
      </c>
      <c r="D12422" s="22" t="s">
        <v>16884</v>
      </c>
      <c r="E12422" s="22" t="s">
        <v>48</v>
      </c>
      <c r="F12422" s="23" t="str">
        <f t="shared" si="389"/>
        <v>Оказание услуг по организации горячего питания</v>
      </c>
      <c r="G12422" s="22" t="s">
        <v>51</v>
      </c>
      <c r="H12422" s="22" t="s">
        <v>51</v>
      </c>
      <c r="I12422" s="26">
        <v>43664.447222222203</v>
      </c>
      <c r="J12422" s="23" t="str">
        <f>HYPERLINK("https://www.spark-marketing.ru/Card/Person/76228", "ООО ""ЛИМАН""")</f>
        <v>ООО "ЛИМАН"</v>
      </c>
      <c r="K12422" s="24" t="s">
        <v>16890</v>
      </c>
      <c r="L12422" s="22" t="s">
        <v>10</v>
      </c>
      <c r="M12422" s="25">
        <v>5465390</v>
      </c>
      <c r="N12422" s="27">
        <v>1.8293608761906852E-4</v>
      </c>
    </row>
    <row r="12423" spans="1:14" hidden="1" outlineLevel="1" x14ac:dyDescent="0.2">
      <c r="A12423" s="28" t="s">
        <v>51</v>
      </c>
      <c r="B12423" s="28" t="s">
        <v>51</v>
      </c>
      <c r="C12423" s="28" t="s">
        <v>51</v>
      </c>
      <c r="D12423" s="22" t="s">
        <v>16884</v>
      </c>
      <c r="E12423" s="22" t="s">
        <v>48</v>
      </c>
      <c r="F12423" s="23" t="str">
        <f t="shared" si="389"/>
        <v>Оказание услуг по организации горячего питания</v>
      </c>
      <c r="G12423" s="22" t="s">
        <v>51</v>
      </c>
      <c r="H12423" s="22" t="s">
        <v>51</v>
      </c>
      <c r="I12423" s="26">
        <v>43664.447222222203</v>
      </c>
      <c r="J12423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2423" s="24" t="s">
        <v>16891</v>
      </c>
      <c r="L12423" s="28" t="s">
        <v>51</v>
      </c>
      <c r="M12423" s="25">
        <v>5466390</v>
      </c>
      <c r="N12423" s="27">
        <v>0</v>
      </c>
    </row>
    <row r="12424" spans="1:14" collapsed="1" x14ac:dyDescent="0.2">
      <c r="A12424" s="23" t="s">
        <v>114</v>
      </c>
      <c r="B12424" s="28" t="s">
        <v>51</v>
      </c>
      <c r="C12424" s="25">
        <v>19589528</v>
      </c>
      <c r="D12424" s="22" t="s">
        <v>16892</v>
      </c>
      <c r="E12424" s="22" t="s">
        <v>48</v>
      </c>
      <c r="F12424" s="23" t="str">
        <f>HYPERLINK("https://www.spark-marketing.ru/Card/Lot/72175410",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24" s="22" t="s">
        <v>51</v>
      </c>
      <c r="H12424" s="22" t="s">
        <v>51</v>
      </c>
      <c r="I12424" s="26">
        <v>43664.429166666698</v>
      </c>
      <c r="J12424" s="23" t="str">
        <f>HYPERLINK("https://www.spark-marketing.ru/Card/Person/6558293", "ООО ""ВИВО МАРКЕТ""")</f>
        <v>ООО "ВИВО МАРКЕТ"</v>
      </c>
      <c r="K12424" s="24" t="s">
        <v>14440</v>
      </c>
      <c r="L12424" s="28" t="s">
        <v>51</v>
      </c>
      <c r="M12424" s="25">
        <v>19589528</v>
      </c>
      <c r="N12424" s="27">
        <v>0</v>
      </c>
    </row>
    <row r="12425" spans="1:14" hidden="1" outlineLevel="1" x14ac:dyDescent="0.2">
      <c r="A12425" s="23" t="str">
        <f>HYPERLINK("https://www.spark-marketing.ru/Card/Person/128292", "МОУ СШ № 101")</f>
        <v>МОУ СШ № 101</v>
      </c>
      <c r="B12425" s="24" t="s">
        <v>16893</v>
      </c>
      <c r="C12425" s="25">
        <v>5731670</v>
      </c>
      <c r="D12425" s="22" t="s">
        <v>16892</v>
      </c>
      <c r="E12425" s="22" t="s">
        <v>48</v>
      </c>
      <c r="F12425" s="23" t="str">
        <f>HYPERLINK("https://www.spark-marketing.ru/Card/Lot/72175410",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25" s="22" t="s">
        <v>158</v>
      </c>
      <c r="H12425" s="22" t="s">
        <v>158</v>
      </c>
      <c r="I12425" s="26">
        <v>43664.429166666698</v>
      </c>
      <c r="J12425" s="23" t="str">
        <f>HYPERLINK("https://www.spark-marketing.ru/Card/Person/6558293", "ООО ""ВИВО МАРКЕТ""")</f>
        <v>ООО "ВИВО МАРКЕТ"</v>
      </c>
      <c r="K12425" s="24" t="s">
        <v>14440</v>
      </c>
      <c r="L12425" s="28" t="s">
        <v>51</v>
      </c>
      <c r="M12425" s="28" t="s">
        <v>51</v>
      </c>
      <c r="N12425" s="27">
        <v>0</v>
      </c>
    </row>
    <row r="12426" spans="1:14" hidden="1" outlineLevel="1" x14ac:dyDescent="0.2">
      <c r="A12426" s="23" t="str">
        <f>HYPERLINK("https://www.spark-marketing.ru/Card/Person/129345", "МОУ СШ № 40")</f>
        <v>МОУ СШ № 40</v>
      </c>
      <c r="B12426" s="24" t="s">
        <v>16894</v>
      </c>
      <c r="C12426" s="25">
        <v>5190770</v>
      </c>
      <c r="D12426" s="22" t="s">
        <v>16892</v>
      </c>
      <c r="E12426" s="22" t="s">
        <v>48</v>
      </c>
      <c r="F12426" s="23" t="str">
        <f>HYPERLINK("https://www.spark-marketing.ru/Card/Lot/72175410",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26" s="22" t="s">
        <v>158</v>
      </c>
      <c r="H12426" s="22" t="s">
        <v>158</v>
      </c>
      <c r="I12426" s="26">
        <v>43664.429166666698</v>
      </c>
      <c r="J12426" s="23" t="str">
        <f>HYPERLINK("https://www.spark-marketing.ru/Card/Person/6558293", "ООО ""ВИВО МАРКЕТ""")</f>
        <v>ООО "ВИВО МАРКЕТ"</v>
      </c>
      <c r="K12426" s="24" t="s">
        <v>14440</v>
      </c>
      <c r="L12426" s="28" t="s">
        <v>51</v>
      </c>
      <c r="M12426" s="28" t="s">
        <v>51</v>
      </c>
      <c r="N12426" s="27">
        <v>0</v>
      </c>
    </row>
    <row r="12427" spans="1:14" hidden="1" outlineLevel="1" x14ac:dyDescent="0.2">
      <c r="A12427" s="23" t="str">
        <f>HYPERLINK("https://www.spark-marketing.ru/Card/Person/129841", "МОУ ЛИЦЕЙ № 7")</f>
        <v>МОУ ЛИЦЕЙ № 7</v>
      </c>
      <c r="B12427" s="24" t="s">
        <v>16895</v>
      </c>
      <c r="C12427" s="25">
        <v>5602818</v>
      </c>
      <c r="D12427" s="22" t="s">
        <v>16892</v>
      </c>
      <c r="E12427" s="22" t="s">
        <v>48</v>
      </c>
      <c r="F12427" s="23" t="str">
        <f>HYPERLINK("https://www.spark-marketing.ru/Card/Lot/72175410",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27" s="22" t="s">
        <v>158</v>
      </c>
      <c r="H12427" s="22" t="s">
        <v>158</v>
      </c>
      <c r="I12427" s="26">
        <v>43664.429166666698</v>
      </c>
      <c r="J12427" s="23" t="str">
        <f>HYPERLINK("https://www.spark-marketing.ru/Card/Person/6558293", "ООО ""ВИВО МАРКЕТ""")</f>
        <v>ООО "ВИВО МАРКЕТ"</v>
      </c>
      <c r="K12427" s="24" t="s">
        <v>14440</v>
      </c>
      <c r="L12427" s="28" t="s">
        <v>51</v>
      </c>
      <c r="M12427" s="28" t="s">
        <v>51</v>
      </c>
      <c r="N12427" s="27">
        <v>0</v>
      </c>
    </row>
    <row r="12428" spans="1:14" hidden="1" outlineLevel="1" x14ac:dyDescent="0.2">
      <c r="A12428" s="23" t="str">
        <f>HYPERLINK("https://www.spark-marketing.ru/Card/Person/143331", "МОУ СШ № 97")</f>
        <v>МОУ СШ № 97</v>
      </c>
      <c r="B12428" s="24" t="s">
        <v>16896</v>
      </c>
      <c r="C12428" s="25">
        <v>3064270</v>
      </c>
      <c r="D12428" s="22" t="s">
        <v>16892</v>
      </c>
      <c r="E12428" s="22" t="s">
        <v>48</v>
      </c>
      <c r="F12428" s="23" t="str">
        <f>HYPERLINK("https://www.spark-marketing.ru/Card/Lot/72175410",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28" s="22" t="s">
        <v>158</v>
      </c>
      <c r="H12428" s="22" t="s">
        <v>158</v>
      </c>
      <c r="I12428" s="26">
        <v>43664.429166666698</v>
      </c>
      <c r="J12428" s="23" t="str">
        <f>HYPERLINK("https://www.spark-marketing.ru/Card/Person/6558293", "ООО ""ВИВО МАРКЕТ""")</f>
        <v>ООО "ВИВО МАРКЕТ"</v>
      </c>
      <c r="K12428" s="24" t="s">
        <v>14440</v>
      </c>
      <c r="L12428" s="28" t="s">
        <v>51</v>
      </c>
      <c r="M12428" s="28" t="s">
        <v>51</v>
      </c>
      <c r="N12428" s="27">
        <v>0</v>
      </c>
    </row>
    <row r="12429" spans="1:14" x14ac:dyDescent="0.15">
      <c r="A12429" s="23" t="str">
        <f>HYPERLINK("https://www.spark-marketing.ru/Card/Person/813542", "ОТДЕЛ МВД РОССИИ ПО ЮТАЗИНСКОМУ РАЙОНУ")</f>
        <v>ОТДЕЛ МВД РОССИИ ПО ЮТАЗИНСКОМУ РАЙОНУ</v>
      </c>
      <c r="B12429" s="24" t="s">
        <v>16897</v>
      </c>
      <c r="C12429" s="25">
        <v>295000</v>
      </c>
      <c r="D12429" s="22" t="s">
        <v>16898</v>
      </c>
      <c r="E12429" s="22" t="s">
        <v>48</v>
      </c>
      <c r="F12429" s="23" t="str">
        <f>HYPERLINK("https://www.spark-marketing.ru/Card/Lot/72189274", "Прочая закупка услуг, для обеспечения государственных нужд (оказание услуг по организации питания лиц, содержащихся в ИВС, СПСЗЛ Отдела МВД России по Ютазинскому району) ,")</f>
        <v>Прочая закупка услуг, для обеспечения государственных нужд (оказание услуг по организации питания лиц, содержащихся в ИВС, СПСЗЛ Отдела МВД России по Ютазинскому району) ,</v>
      </c>
      <c r="G12429" s="22" t="s">
        <v>217</v>
      </c>
      <c r="H12429" s="22" t="s">
        <v>16899</v>
      </c>
      <c r="I12429" s="26">
        <v>43664.425555555601</v>
      </c>
      <c r="J12429" s="28" t="s">
        <v>51</v>
      </c>
      <c r="K12429" s="28" t="s">
        <v>51</v>
      </c>
      <c r="L12429" s="28" t="s">
        <v>51</v>
      </c>
      <c r="M12429" s="28" t="s">
        <v>51</v>
      </c>
      <c r="N12429" s="28" t="s">
        <v>51</v>
      </c>
    </row>
    <row r="12430" spans="1:14" x14ac:dyDescent="0.15">
      <c r="A12430" s="23" t="str">
        <f>HYPERLINK("https://www.spark-marketing.ru/Card/Person/123659", "ГБУ ЯНАО ""ЦСО В МО Г. НОЯБРЬСК""")</f>
        <v>ГБУ ЯНАО "ЦСО В МО Г. НОЯБРЬСК"</v>
      </c>
      <c r="B12430" s="24" t="s">
        <v>1256</v>
      </c>
      <c r="C12430" s="25">
        <v>316480</v>
      </c>
      <c r="D12430" s="22" t="s">
        <v>16900</v>
      </c>
      <c r="E12430" s="22" t="s">
        <v>51</v>
      </c>
      <c r="F12430" s="23" t="str">
        <f>HYPERLINK("https://www.spark-marketing.ru/Card/Lot/72183856", "Оказание услуг по общественному питанию")</f>
        <v>Оказание услуг по общественному питанию</v>
      </c>
      <c r="G12430" s="22" t="s">
        <v>1056</v>
      </c>
      <c r="H12430" s="22" t="s">
        <v>1258</v>
      </c>
      <c r="I12430" s="26">
        <v>43664.431747685201</v>
      </c>
      <c r="J12430" s="23" t="str">
        <f>HYPERLINK("https://www.spark-marketing.ru/Card/Person/6674862", "Бырка Валентина Ярославовна")</f>
        <v>Бырка Валентина Ярославовна</v>
      </c>
      <c r="K12430" s="24" t="s">
        <v>16901</v>
      </c>
      <c r="L12430" s="22" t="s">
        <v>10</v>
      </c>
      <c r="M12430" s="28" t="s">
        <v>51</v>
      </c>
      <c r="N12430" s="28" t="s">
        <v>51</v>
      </c>
    </row>
    <row r="12431" spans="1:14" x14ac:dyDescent="0.2">
      <c r="A12431" s="23" t="str">
        <f>HYPERLINK("https://www.spark-marketing.ru/Card/Person/85460", "МБДОУ ""ДЕТСКИЙ САД №127""")</f>
        <v>МБДОУ "ДЕТСКИЙ САД №127"</v>
      </c>
      <c r="B12431" s="24" t="s">
        <v>16902</v>
      </c>
      <c r="C12431" s="25">
        <v>3801659</v>
      </c>
      <c r="D12431" s="22" t="s">
        <v>16903</v>
      </c>
      <c r="E12431" s="22" t="s">
        <v>48</v>
      </c>
      <c r="F12431" s="23" t="str">
        <f>HYPERLINK("https://www.spark-marketing.ru/Card/Lot/72179948", "Оказание услуг по организации питания в дошкольном образовательном учреждении г.Твери")</f>
        <v>Оказание услуг по организации питания в дошкольном образовательном учреждении г.Твери</v>
      </c>
      <c r="G12431" s="22" t="s">
        <v>137</v>
      </c>
      <c r="H12431" s="22" t="s">
        <v>138</v>
      </c>
      <c r="I12431" s="26">
        <v>43664.445138888899</v>
      </c>
      <c r="J12431" s="23" t="str">
        <f>HYPERLINK("https://www.spark-marketing.ru/Card/Person/618965", "ООО ""МЯСОПРОДУКТЫ""")</f>
        <v>ООО "МЯСОПРОДУКТЫ"</v>
      </c>
      <c r="K12431" s="24" t="s">
        <v>16904</v>
      </c>
      <c r="L12431" s="28" t="s">
        <v>51</v>
      </c>
      <c r="M12431" s="25">
        <v>3801659</v>
      </c>
      <c r="N12431" s="27">
        <v>0</v>
      </c>
    </row>
    <row r="12432" spans="1:14" x14ac:dyDescent="0.15">
      <c r="A12432" s="23" t="str">
        <f>HYPERLINK("https://www.spark-marketing.ru/Card/Person/240511", "НРМОБУ ""СЕНТЯБРЬСКАЯ СОШ""")</f>
        <v>НРМОБУ "СЕНТЯБРЬСКАЯ СОШ"</v>
      </c>
      <c r="B12432" s="24" t="s">
        <v>16905</v>
      </c>
      <c r="C12432" s="25">
        <v>979380</v>
      </c>
      <c r="D12432" s="22" t="s">
        <v>16906</v>
      </c>
      <c r="E12432" s="22" t="s">
        <v>48</v>
      </c>
      <c r="F12432" s="23" t="str">
        <f>HYPERLINK("https://www.spark-marketing.ru/Card/Lot/72174528", "Оказание услуг по организации питания учащихся в столовой НРМОБУ ""Сентябрьская СОШ"" во втором полугодии 2019 года")</f>
        <v>Оказание услуг по организации питания учащихся в столовой НРМОБУ "Сентябрьская СОШ" во втором полугодии 2019 года</v>
      </c>
      <c r="G12432" s="22" t="s">
        <v>97</v>
      </c>
      <c r="H12432" s="22" t="s">
        <v>97</v>
      </c>
      <c r="I12432" s="26">
        <v>43664.4290162037</v>
      </c>
      <c r="J12432" s="23" t="str">
        <f>HYPERLINK("https://www.spark-marketing.ru/Card/Person/238973", "МУП ""ПЫТЬ-ЯХТОРГСЕРВИС"" МО Г.ПЫТЬ-ЯХ")</f>
        <v>МУП "ПЫТЬ-ЯХТОРГСЕРВИС" МО Г.ПЫТЬ-ЯХ</v>
      </c>
      <c r="K12432" s="24" t="s">
        <v>12639</v>
      </c>
      <c r="L12432" s="22" t="s">
        <v>10</v>
      </c>
      <c r="M12432" s="28" t="s">
        <v>51</v>
      </c>
      <c r="N12432" s="28" t="s">
        <v>51</v>
      </c>
    </row>
    <row r="12433" spans="1:14" x14ac:dyDescent="0.15">
      <c r="A12433" s="23" t="str">
        <f>HYPERLINK("https://www.spark-marketing.ru/Card/Person/137772", "ОТДЕЛ МВД РОССИИ ПО ЕЛАБУЖСКОМУ РАЙОНУ")</f>
        <v>ОТДЕЛ МВД РОССИИ ПО ЕЛАБУЖСКОМУ РАЙОНУ</v>
      </c>
      <c r="B12433" s="24" t="s">
        <v>12647</v>
      </c>
      <c r="C12433" s="25">
        <v>950000</v>
      </c>
      <c r="D12433" s="22" t="s">
        <v>16907</v>
      </c>
      <c r="E12433" s="22" t="s">
        <v>48</v>
      </c>
      <c r="F12433" s="23" t="str">
        <f>HYPERLINK("https://www.spark-marketing.ru/Card/Lot/72185958", "Прочая закупка товаров, работ и услуг (Услуги по обеспечению питание ИВС, СП, КЗСЛ)")</f>
        <v>Прочая закупка товаров, работ и услуг (Услуги по обеспечению питание ИВС, СП, КЗСЛ)</v>
      </c>
      <c r="G12433" s="22" t="s">
        <v>217</v>
      </c>
      <c r="H12433" s="22" t="s">
        <v>12649</v>
      </c>
      <c r="I12433" s="26">
        <v>43664.456956018497</v>
      </c>
      <c r="J12433" s="23" t="str">
        <f>HYPERLINK("https://www.spark-marketing.ru/Card/Person/6221962", "ООО ""РИЕЛЬ""")</f>
        <v>ООО "РИЕЛЬ"</v>
      </c>
      <c r="K12433" s="24" t="s">
        <v>12650</v>
      </c>
      <c r="L12433" s="22" t="s">
        <v>10</v>
      </c>
      <c r="M12433" s="28" t="s">
        <v>51</v>
      </c>
      <c r="N12433" s="28" t="s">
        <v>51</v>
      </c>
    </row>
    <row r="12434" spans="1:14" x14ac:dyDescent="0.15">
      <c r="A12434" s="23" t="str">
        <f>HYPERLINK("https://www.spark-marketing.ru/Card/Person/1048410", "МО МВД РОССИИ ""АБДУЛИНСКИЙ""")</f>
        <v>МО МВД РОССИИ "АБДУЛИНСКИЙ"</v>
      </c>
      <c r="B12434" s="24" t="s">
        <v>9396</v>
      </c>
      <c r="C12434" s="25">
        <v>422178.75</v>
      </c>
      <c r="D12434" s="22" t="s">
        <v>16908</v>
      </c>
      <c r="E12434" s="22" t="s">
        <v>48</v>
      </c>
      <c r="F12434" s="23" t="str">
        <f>HYPERLINK("https://www.spark-marketing.ru/Card/Lot/72175433", "Оказание услуг по предоставлению горячего трехразового питания в 2019 году")</f>
        <v>Оказание услуг по предоставлению горячего трехразового питания в 2019 году</v>
      </c>
      <c r="G12434" s="22" t="s">
        <v>132</v>
      </c>
      <c r="H12434" s="22" t="s">
        <v>132</v>
      </c>
      <c r="I12434" s="26">
        <v>43664.436840277798</v>
      </c>
      <c r="J12434" s="23" t="str">
        <f>HYPERLINK("https://www.spark-marketing.ru/Card/Person/6639844", "Абакаев Александр Сергеевич")</f>
        <v>Абакаев Александр Сергеевич</v>
      </c>
      <c r="K12434" s="24" t="s">
        <v>9398</v>
      </c>
      <c r="L12434" s="22" t="s">
        <v>10</v>
      </c>
      <c r="M12434" s="28" t="s">
        <v>51</v>
      </c>
      <c r="N12434" s="28" t="s">
        <v>51</v>
      </c>
    </row>
    <row r="12435" spans="1:14" collapsed="1" x14ac:dyDescent="0.15">
      <c r="A12435" s="23" t="str">
        <f>HYPERLINK("https://www.spark-marketing.ru/Card/Person/2628", "КГБУЗ ""ККВД""")</f>
        <v>КГБУЗ "ККВД"</v>
      </c>
      <c r="B12435" s="24" t="s">
        <v>16909</v>
      </c>
      <c r="C12435" s="25">
        <v>297212</v>
      </c>
      <c r="D12435" s="22" t="s">
        <v>16910</v>
      </c>
      <c r="E12435" s="22" t="s">
        <v>3024</v>
      </c>
      <c r="F12435" s="23" t="str">
        <f>HYPERLINK("https://www.spark-marketing.ru/Card/Lot/72169093", "Оказание услуг по учету медикаментов и управлению лекарственными средствами с применением программного обеспечения «1С» Медицина. Больничная аптека, учету продуктов и управлению питанием в лечебном учреждении с применением программного обеспечения «1...")</f>
        <v>Оказание услуг по учету медикаментов и управлению лекарственными средствами с применением программного обеспечения «1С» Медицина. Больничная аптека, учету продуктов и управлению питанием в лечебном учреждении с применением программного обеспечения «1...</v>
      </c>
      <c r="G12435" s="22" t="s">
        <v>1096</v>
      </c>
      <c r="H12435" s="22" t="s">
        <v>1097</v>
      </c>
      <c r="I12435" s="26">
        <v>43664.4375925926</v>
      </c>
      <c r="J12435" s="28" t="s">
        <v>51</v>
      </c>
      <c r="K12435" s="28" t="s">
        <v>51</v>
      </c>
      <c r="L12435" s="28" t="s">
        <v>51</v>
      </c>
      <c r="M12435" s="28" t="s">
        <v>51</v>
      </c>
      <c r="N12435" s="28" t="s">
        <v>51</v>
      </c>
    </row>
    <row r="12436" spans="1:14" ht="12.75" hidden="1" outlineLevel="1" x14ac:dyDescent="0.2">
      <c r="A12436" s="23" t="str">
        <f>HYPERLINK("https://www.spark-marketing.ru/Card/Person/2628", "КГБУЗ ""ККВД""")</f>
        <v>КГБУЗ "ККВД"</v>
      </c>
      <c r="B12436" s="24" t="s">
        <v>16909</v>
      </c>
      <c r="C12436" s="25">
        <v>297212</v>
      </c>
      <c r="D12436" s="22" t="s">
        <v>16910</v>
      </c>
      <c r="E12436" s="22" t="s">
        <v>3024</v>
      </c>
      <c r="F12436" s="23" t="str">
        <f>HYPERLINK("https://www.spark-marketing.ru/Card/Lot/72169093", "Оказание услуг по учету медикаментов и управлению лекарственными средствами с применением программного обеспечения «1С» Медицина. Больничная аптека, учету продуктов и управлению питанием в лечебном учреждении с применением программного обеспечения «1...")</f>
        <v>Оказание услуг по учету медикаментов и управлению лекарственными средствами с применением программного обеспечения «1С» Медицина. Больничная аптека, учету продуктов и управлению питанием в лечебном учреждении с применением программного обеспечения «1...</v>
      </c>
      <c r="G12436" s="22" t="s">
        <v>1096</v>
      </c>
      <c r="H12436" s="22" t="s">
        <v>1097</v>
      </c>
      <c r="I12436" s="26">
        <v>43664.4375925926</v>
      </c>
      <c r="J12436" s="23" t="str">
        <f>HYPERLINK("https://www.spark-marketing.ru/Card/Person/165700", "ООО ""ДАЛЬСОФТ""")</f>
        <v>ООО "ДАЛЬСОФТ"</v>
      </c>
      <c r="K12436" s="24" t="s">
        <v>16911</v>
      </c>
      <c r="L12436" s="22" t="s">
        <v>10</v>
      </c>
      <c r="M12436" s="25">
        <v>296562</v>
      </c>
      <c r="N12436" s="27">
        <v>2.1869911039931094E-3</v>
      </c>
    </row>
    <row r="12437" spans="1:14" hidden="1" outlineLevel="1" x14ac:dyDescent="0.2">
      <c r="A12437" s="23" t="str">
        <f>HYPERLINK("https://www.spark-marketing.ru/Card/Person/2628", "КГБУЗ ""ККВД""")</f>
        <v>КГБУЗ "ККВД"</v>
      </c>
      <c r="B12437" s="24" t="s">
        <v>16909</v>
      </c>
      <c r="C12437" s="25">
        <v>297212</v>
      </c>
      <c r="D12437" s="22" t="s">
        <v>16910</v>
      </c>
      <c r="E12437" s="22" t="s">
        <v>3024</v>
      </c>
      <c r="F12437" s="23" t="str">
        <f>HYPERLINK("https://www.spark-marketing.ru/Card/Lot/72169093", "Оказание услуг по учету медикаментов и управлению лекарственными средствами с применением программного обеспечения «1С» Медицина. Больничная аптека, учету продуктов и управлению питанием в лечебном учреждении с применением программного обеспечения «1...")</f>
        <v>Оказание услуг по учету медикаментов и управлению лекарственными средствами с применением программного обеспечения «1С» Медицина. Больничная аптека, учету продуктов и управлению питанием в лечебном учреждении с применением программного обеспечения «1...</v>
      </c>
      <c r="G12437" s="22" t="s">
        <v>1096</v>
      </c>
      <c r="H12437" s="22" t="s">
        <v>1097</v>
      </c>
      <c r="I12437" s="26">
        <v>43664.4375925926</v>
      </c>
      <c r="J12437" s="23" t="str">
        <f>HYPERLINK("https://www.spark-marketing.ru/Card/Person/6458811", "ООО ""ТД АЛЬТЕРНАТИВА""")</f>
        <v>ООО "ТД АЛЬТЕРНАТИВА"</v>
      </c>
      <c r="K12437" s="24" t="s">
        <v>16912</v>
      </c>
      <c r="L12437" s="28" t="s">
        <v>51</v>
      </c>
      <c r="M12437" s="25">
        <v>297212</v>
      </c>
      <c r="N12437" s="27">
        <v>0</v>
      </c>
    </row>
    <row r="12438" spans="1:14" x14ac:dyDescent="0.15">
      <c r="A12438" s="23" t="str">
        <f>HYPERLINK("https://www.spark-marketing.ru/Card/Person/1083295", "ОТДЕЛ МВД РОССИИ ПО КАРАГАЙСКОМУ РАЙОНУ")</f>
        <v>ОТДЕЛ МВД РОССИИ ПО КАРАГАЙСКОМУ РАЙОНУ</v>
      </c>
      <c r="B12438" s="24" t="s">
        <v>4373</v>
      </c>
      <c r="C12438" s="25">
        <v>970000</v>
      </c>
      <c r="D12438" s="22" t="s">
        <v>16913</v>
      </c>
      <c r="E12438" s="22" t="s">
        <v>48</v>
      </c>
      <c r="F12438" s="23" t="str">
        <f>HYPERLINK("https://www.spark-marketing.ru/Card/Lot/72177664", "Услуги по организации питания арестованных и административно-задержанных лиц, содержащихся в ИВС")</f>
        <v>Услуги по организации питания арестованных и административно-задержанных лиц, содержащихся в ИВС</v>
      </c>
      <c r="G12438" s="22" t="s">
        <v>153</v>
      </c>
      <c r="H12438" s="22" t="s">
        <v>4375</v>
      </c>
      <c r="I12438" s="26">
        <v>43664.445821759298</v>
      </c>
      <c r="J12438" s="23" t="str">
        <f>HYPERLINK("https://www.spark-marketing.ru/Card/Person/5873627", "Ковалевич Денис Владимирович")</f>
        <v>Ковалевич Денис Владимирович</v>
      </c>
      <c r="K12438" s="24" t="s">
        <v>16914</v>
      </c>
      <c r="L12438" s="22" t="s">
        <v>10</v>
      </c>
      <c r="M12438" s="28" t="s">
        <v>51</v>
      </c>
      <c r="N12438" s="28" t="s">
        <v>51</v>
      </c>
    </row>
    <row r="12439" spans="1:14" collapsed="1" x14ac:dyDescent="0.15">
      <c r="A12439" s="23" t="s">
        <v>114</v>
      </c>
      <c r="B12439" s="28" t="s">
        <v>51</v>
      </c>
      <c r="C12439" s="25">
        <v>114020075</v>
      </c>
      <c r="D12439" s="22" t="s">
        <v>16915</v>
      </c>
      <c r="E12439" s="22" t="s">
        <v>48</v>
      </c>
      <c r="F12439" s="23" t="str">
        <f t="shared" ref="F12439:F12467" si="390">HYPERLINK("https://www.spark-marketing.ru/Card/Lot/72181883", "Оказание услуг по организации питания")</f>
        <v>Оказание услуг по организации питания</v>
      </c>
      <c r="G12439" s="22" t="s">
        <v>51</v>
      </c>
      <c r="H12439" s="22" t="s">
        <v>51</v>
      </c>
      <c r="I12439" s="26">
        <v>43664.453854166699</v>
      </c>
      <c r="J12439" s="23" t="str">
        <f t="shared" ref="J12439:J12467" si="391">HYPERLINK("https://www.spark-marketing.ru/Card/Person/6635294", "ООО ""ФСП""")</f>
        <v>ООО "ФСП"</v>
      </c>
      <c r="K12439" s="24" t="s">
        <v>1596</v>
      </c>
      <c r="L12439" s="22" t="s">
        <v>10</v>
      </c>
      <c r="M12439" s="28" t="s">
        <v>51</v>
      </c>
      <c r="N12439" s="28" t="s">
        <v>51</v>
      </c>
    </row>
    <row r="12440" spans="1:14" hidden="1" outlineLevel="1" x14ac:dyDescent="0.15">
      <c r="A12440" s="23" t="str">
        <f>HYPERLINK("https://www.spark-marketing.ru/Card/Person/6487012", "МБОУ ""ЦО ""ПЕРСПЕКТИВА""")</f>
        <v>МБОУ "ЦО "ПЕРСПЕКТИВА"</v>
      </c>
      <c r="B12440" s="24" t="s">
        <v>16916</v>
      </c>
      <c r="C12440" s="25">
        <v>2656680</v>
      </c>
      <c r="D12440" s="22" t="s">
        <v>16915</v>
      </c>
      <c r="E12440" s="22" t="s">
        <v>48</v>
      </c>
      <c r="F12440" s="23" t="str">
        <f t="shared" si="390"/>
        <v>Оказание услуг по организации питания</v>
      </c>
      <c r="G12440" s="22" t="s">
        <v>696</v>
      </c>
      <c r="H12440" s="22" t="s">
        <v>4697</v>
      </c>
      <c r="I12440" s="26">
        <v>43664.453854166699</v>
      </c>
      <c r="J12440" s="23" t="str">
        <f t="shared" si="391"/>
        <v>ООО "ФСП"</v>
      </c>
      <c r="K12440" s="24" t="s">
        <v>1596</v>
      </c>
      <c r="L12440" s="22" t="s">
        <v>10</v>
      </c>
      <c r="M12440" s="28" t="s">
        <v>51</v>
      </c>
      <c r="N12440" s="28" t="s">
        <v>51</v>
      </c>
    </row>
    <row r="12441" spans="1:14" hidden="1" outlineLevel="1" x14ac:dyDescent="0.15">
      <c r="A12441" s="23" t="str">
        <f>HYPERLINK("https://www.spark-marketing.ru/Card/Person/6487294", "МБОУ ""ЦО - СШ №22""")</f>
        <v>МБОУ "ЦО - СШ №22"</v>
      </c>
      <c r="B12441" s="24" t="s">
        <v>16917</v>
      </c>
      <c r="C12441" s="25">
        <v>5560945</v>
      </c>
      <c r="D12441" s="22" t="s">
        <v>16915</v>
      </c>
      <c r="E12441" s="22" t="s">
        <v>48</v>
      </c>
      <c r="F12441" s="23" t="str">
        <f t="shared" si="390"/>
        <v>Оказание услуг по организации питания</v>
      </c>
      <c r="G12441" s="22" t="s">
        <v>696</v>
      </c>
      <c r="H12441" s="22" t="s">
        <v>4697</v>
      </c>
      <c r="I12441" s="26">
        <v>43664.453854166699</v>
      </c>
      <c r="J12441" s="23" t="str">
        <f t="shared" si="391"/>
        <v>ООО "ФСП"</v>
      </c>
      <c r="K12441" s="24" t="s">
        <v>1596</v>
      </c>
      <c r="L12441" s="22" t="s">
        <v>10</v>
      </c>
      <c r="M12441" s="28" t="s">
        <v>51</v>
      </c>
      <c r="N12441" s="28" t="s">
        <v>51</v>
      </c>
    </row>
    <row r="12442" spans="1:14" hidden="1" outlineLevel="1" x14ac:dyDescent="0.15">
      <c r="A12442" s="23" t="str">
        <f>HYPERLINK("https://www.spark-marketing.ru/Card/Person/997828", "МБОУ ""СРЕДНЯЯ ОБЩЕОБРАЗОВАТЕЛЬНАЯ ГОРОДИЩЕНСКАЯ ШКОЛА С УГЛУБЛЕННЫМ ИЗУЧЕНИЕМ ОТДЕЛЬНЫХ ПРЕДМЕТОВ""")</f>
        <v>МБОУ "СРЕДНЯЯ ОБЩЕОБРАЗОВАТЕЛЬНАЯ ГОРОДИЩЕНСКАЯ ШКОЛА С УГЛУБЛЕННЫМ ИЗУЧЕНИЕМ ОТДЕЛЬНЫХ ПРЕДМЕТОВ"</v>
      </c>
      <c r="B12442" s="24" t="s">
        <v>16918</v>
      </c>
      <c r="C12442" s="25">
        <v>3758560</v>
      </c>
      <c r="D12442" s="22" t="s">
        <v>16915</v>
      </c>
      <c r="E12442" s="22" t="s">
        <v>48</v>
      </c>
      <c r="F12442" s="23" t="str">
        <f t="shared" si="390"/>
        <v>Оказание услуг по организации питания</v>
      </c>
      <c r="G12442" s="22" t="s">
        <v>696</v>
      </c>
      <c r="H12442" s="22" t="s">
        <v>16919</v>
      </c>
      <c r="I12442" s="26">
        <v>43664.453854166699</v>
      </c>
      <c r="J12442" s="23" t="str">
        <f t="shared" si="391"/>
        <v>ООО "ФСП"</v>
      </c>
      <c r="K12442" s="24" t="s">
        <v>1596</v>
      </c>
      <c r="L12442" s="22" t="s">
        <v>10</v>
      </c>
      <c r="M12442" s="28" t="s">
        <v>51</v>
      </c>
      <c r="N12442" s="28" t="s">
        <v>51</v>
      </c>
    </row>
    <row r="12443" spans="1:14" hidden="1" outlineLevel="1" x14ac:dyDescent="0.15">
      <c r="A12443" s="23" t="str">
        <f>HYPERLINK("https://www.spark-marketing.ru/Card/Person/998860", "МБОУ ""ООШ №9""")</f>
        <v>МБОУ "ООШ №9"</v>
      </c>
      <c r="B12443" s="24" t="s">
        <v>16920</v>
      </c>
      <c r="C12443" s="25">
        <v>885560</v>
      </c>
      <c r="D12443" s="22" t="s">
        <v>16915</v>
      </c>
      <c r="E12443" s="22" t="s">
        <v>48</v>
      </c>
      <c r="F12443" s="23" t="str">
        <f t="shared" si="390"/>
        <v>Оказание услуг по организации питания</v>
      </c>
      <c r="G12443" s="22" t="s">
        <v>696</v>
      </c>
      <c r="H12443" s="22" t="s">
        <v>4697</v>
      </c>
      <c r="I12443" s="26">
        <v>43664.453854166699</v>
      </c>
      <c r="J12443" s="23" t="str">
        <f t="shared" si="391"/>
        <v>ООО "ФСП"</v>
      </c>
      <c r="K12443" s="24" t="s">
        <v>1596</v>
      </c>
      <c r="L12443" s="22" t="s">
        <v>10</v>
      </c>
      <c r="M12443" s="28" t="s">
        <v>51</v>
      </c>
      <c r="N12443" s="28" t="s">
        <v>51</v>
      </c>
    </row>
    <row r="12444" spans="1:14" hidden="1" outlineLevel="1" x14ac:dyDescent="0.15">
      <c r="A12444" s="23" t="str">
        <f>HYPERLINK("https://www.spark-marketing.ru/Card/Person/998861", "МБОУ ""ГИМНАЗИЯ №18""")</f>
        <v>МБОУ "ГИМНАЗИЯ №18"</v>
      </c>
      <c r="B12444" s="24" t="s">
        <v>16921</v>
      </c>
      <c r="C12444" s="25">
        <v>6170190</v>
      </c>
      <c r="D12444" s="22" t="s">
        <v>16915</v>
      </c>
      <c r="E12444" s="22" t="s">
        <v>48</v>
      </c>
      <c r="F12444" s="23" t="str">
        <f t="shared" si="390"/>
        <v>Оказание услуг по организации питания</v>
      </c>
      <c r="G12444" s="22" t="s">
        <v>696</v>
      </c>
      <c r="H12444" s="22" t="s">
        <v>4697</v>
      </c>
      <c r="I12444" s="26">
        <v>43664.453854166699</v>
      </c>
      <c r="J12444" s="23" t="str">
        <f t="shared" si="391"/>
        <v>ООО "ФСП"</v>
      </c>
      <c r="K12444" s="24" t="s">
        <v>1596</v>
      </c>
      <c r="L12444" s="22" t="s">
        <v>10</v>
      </c>
      <c r="M12444" s="28" t="s">
        <v>51</v>
      </c>
      <c r="N12444" s="28" t="s">
        <v>51</v>
      </c>
    </row>
    <row r="12445" spans="1:14" hidden="1" outlineLevel="1" x14ac:dyDescent="0.15">
      <c r="A12445" s="23" t="str">
        <f>HYPERLINK("https://www.spark-marketing.ru/Card/Person/998957", "МБОУ ""СРЕДНЯЯ ОБЩЕОБРАЗОВАТЕЛЬНАЯ ШКОЛА №12 С УГЛУБЛЕННЫМ ИЗУЧЕНИЕМ ОТДЕЛЬНЫХ ПРЕДМЕТОВ""")</f>
        <v>МБОУ "СРЕДНЯЯ ОБЩЕОБРАЗОВАТЕЛЬНАЯ ШКОЛА №12 С УГЛУБЛЕННЫМ ИЗУЧЕНИЕМ ОТДЕЛЬНЫХ ПРЕДМЕТОВ"</v>
      </c>
      <c r="B12445" s="24" t="s">
        <v>16922</v>
      </c>
      <c r="C12445" s="25">
        <v>5653895</v>
      </c>
      <c r="D12445" s="22" t="s">
        <v>16915</v>
      </c>
      <c r="E12445" s="22" t="s">
        <v>48</v>
      </c>
      <c r="F12445" s="23" t="str">
        <f t="shared" si="390"/>
        <v>Оказание услуг по организации питания</v>
      </c>
      <c r="G12445" s="22" t="s">
        <v>696</v>
      </c>
      <c r="H12445" s="22" t="s">
        <v>4697</v>
      </c>
      <c r="I12445" s="26">
        <v>43664.453854166699</v>
      </c>
      <c r="J12445" s="23" t="str">
        <f t="shared" si="391"/>
        <v>ООО "ФСП"</v>
      </c>
      <c r="K12445" s="24" t="s">
        <v>1596</v>
      </c>
      <c r="L12445" s="22" t="s">
        <v>10</v>
      </c>
      <c r="M12445" s="28" t="s">
        <v>51</v>
      </c>
      <c r="N12445" s="28" t="s">
        <v>51</v>
      </c>
    </row>
    <row r="12446" spans="1:14" hidden="1" outlineLevel="1" x14ac:dyDescent="0.15">
      <c r="A12446" s="23" t="str">
        <f>HYPERLINK("https://www.spark-marketing.ru/Card/Person/999665", "МБОУ ""ООШ №2""")</f>
        <v>МБОУ "ООШ №2"</v>
      </c>
      <c r="B12446" s="24" t="s">
        <v>16923</v>
      </c>
      <c r="C12446" s="25">
        <v>3020875</v>
      </c>
      <c r="D12446" s="22" t="s">
        <v>16915</v>
      </c>
      <c r="E12446" s="22" t="s">
        <v>48</v>
      </c>
      <c r="F12446" s="23" t="str">
        <f t="shared" si="390"/>
        <v>Оказание услуг по организации питания</v>
      </c>
      <c r="G12446" s="22" t="s">
        <v>696</v>
      </c>
      <c r="H12446" s="22" t="s">
        <v>4697</v>
      </c>
      <c r="I12446" s="26">
        <v>43664.453854166699</v>
      </c>
      <c r="J12446" s="23" t="str">
        <f t="shared" si="391"/>
        <v>ООО "ФСП"</v>
      </c>
      <c r="K12446" s="24" t="s">
        <v>1596</v>
      </c>
      <c r="L12446" s="22" t="s">
        <v>10</v>
      </c>
      <c r="M12446" s="28" t="s">
        <v>51</v>
      </c>
      <c r="N12446" s="28" t="s">
        <v>51</v>
      </c>
    </row>
    <row r="12447" spans="1:14" hidden="1" outlineLevel="1" x14ac:dyDescent="0.15">
      <c r="A12447" s="23" t="str">
        <f>HYPERLINK("https://www.spark-marketing.ru/Card/Person/999669", "МБОУ ""СОШ №20 С УИОП""")</f>
        <v>МБОУ "СОШ №20 С УИОП"</v>
      </c>
      <c r="B12447" s="24" t="s">
        <v>16924</v>
      </c>
      <c r="C12447" s="25">
        <v>6586775</v>
      </c>
      <c r="D12447" s="22" t="s">
        <v>16915</v>
      </c>
      <c r="E12447" s="22" t="s">
        <v>48</v>
      </c>
      <c r="F12447" s="23" t="str">
        <f t="shared" si="390"/>
        <v>Оказание услуг по организации питания</v>
      </c>
      <c r="G12447" s="22" t="s">
        <v>696</v>
      </c>
      <c r="H12447" s="22" t="s">
        <v>4697</v>
      </c>
      <c r="I12447" s="26">
        <v>43664.453854166699</v>
      </c>
      <c r="J12447" s="23" t="str">
        <f t="shared" si="391"/>
        <v>ООО "ФСП"</v>
      </c>
      <c r="K12447" s="24" t="s">
        <v>1596</v>
      </c>
      <c r="L12447" s="22" t="s">
        <v>10</v>
      </c>
      <c r="M12447" s="28" t="s">
        <v>51</v>
      </c>
      <c r="N12447" s="28" t="s">
        <v>51</v>
      </c>
    </row>
    <row r="12448" spans="1:14" hidden="1" outlineLevel="1" x14ac:dyDescent="0.15">
      <c r="A12448" s="23" t="str">
        <f>HYPERLINK("https://www.spark-marketing.ru/Card/Person/999759", "МБОУ ""СОШ № 28 С УГЛУБЛЕННЫМ ИЗУЧЕНИЕМ ОТДЕЛЬНЫХ ПРЕДМЕТОВ ИМЕНИ А. А. УГАРОВА""")</f>
        <v>МБОУ "СОШ № 28 С УГЛУБЛЕННЫМ ИЗУЧЕНИЕМ ОТДЕЛЬНЫХ ПРЕДМЕТОВ ИМЕНИ А. А. УГАРОВА"</v>
      </c>
      <c r="B12448" s="24" t="s">
        <v>16925</v>
      </c>
      <c r="C12448" s="25">
        <v>7515430</v>
      </c>
      <c r="D12448" s="22" t="s">
        <v>16915</v>
      </c>
      <c r="E12448" s="22" t="s">
        <v>48</v>
      </c>
      <c r="F12448" s="23" t="str">
        <f t="shared" si="390"/>
        <v>Оказание услуг по организации питания</v>
      </c>
      <c r="G12448" s="22" t="s">
        <v>696</v>
      </c>
      <c r="H12448" s="22" t="s">
        <v>4697</v>
      </c>
      <c r="I12448" s="26">
        <v>43664.453854166699</v>
      </c>
      <c r="J12448" s="23" t="str">
        <f t="shared" si="391"/>
        <v>ООО "ФСП"</v>
      </c>
      <c r="K12448" s="24" t="s">
        <v>1596</v>
      </c>
      <c r="L12448" s="22" t="s">
        <v>10</v>
      </c>
      <c r="M12448" s="28" t="s">
        <v>51</v>
      </c>
      <c r="N12448" s="28" t="s">
        <v>51</v>
      </c>
    </row>
    <row r="12449" spans="1:14" hidden="1" outlineLevel="1" x14ac:dyDescent="0.15">
      <c r="A12449" s="23" t="str">
        <f>HYPERLINK("https://www.spark-marketing.ru/Card/Person/1001261", "МБОУ ""ШАТАЛОВСКАЯ СОШ""")</f>
        <v>МБОУ "ШАТАЛОВСКАЯ СОШ"</v>
      </c>
      <c r="B12449" s="24" t="s">
        <v>16926</v>
      </c>
      <c r="C12449" s="25">
        <v>1241305</v>
      </c>
      <c r="D12449" s="22" t="s">
        <v>16915</v>
      </c>
      <c r="E12449" s="22" t="s">
        <v>48</v>
      </c>
      <c r="F12449" s="23" t="str">
        <f t="shared" si="390"/>
        <v>Оказание услуг по организации питания</v>
      </c>
      <c r="G12449" s="22" t="s">
        <v>696</v>
      </c>
      <c r="H12449" s="22" t="s">
        <v>16919</v>
      </c>
      <c r="I12449" s="26">
        <v>43664.453854166699</v>
      </c>
      <c r="J12449" s="23" t="str">
        <f t="shared" si="391"/>
        <v>ООО "ФСП"</v>
      </c>
      <c r="K12449" s="24" t="s">
        <v>1596</v>
      </c>
      <c r="L12449" s="22" t="s">
        <v>10</v>
      </c>
      <c r="M12449" s="28" t="s">
        <v>51</v>
      </c>
      <c r="N12449" s="28" t="s">
        <v>51</v>
      </c>
    </row>
    <row r="12450" spans="1:14" hidden="1" outlineLevel="1" x14ac:dyDescent="0.15">
      <c r="A12450" s="23" t="str">
        <f>HYPERLINK("https://www.spark-marketing.ru/Card/Person/1001395", "МБОУ ""СОРОКИНСКАЯ ООШ""")</f>
        <v>МБОУ "СОРОКИНСКАЯ ООШ"</v>
      </c>
      <c r="B12450" s="24" t="s">
        <v>16927</v>
      </c>
      <c r="C12450" s="25">
        <v>1065545</v>
      </c>
      <c r="D12450" s="22" t="s">
        <v>16915</v>
      </c>
      <c r="E12450" s="22" t="s">
        <v>48</v>
      </c>
      <c r="F12450" s="23" t="str">
        <f t="shared" si="390"/>
        <v>Оказание услуг по организации питания</v>
      </c>
      <c r="G12450" s="22" t="s">
        <v>696</v>
      </c>
      <c r="H12450" s="22" t="s">
        <v>16919</v>
      </c>
      <c r="I12450" s="26">
        <v>43664.453854166699</v>
      </c>
      <c r="J12450" s="23" t="str">
        <f t="shared" si="391"/>
        <v>ООО "ФСП"</v>
      </c>
      <c r="K12450" s="24" t="s">
        <v>1596</v>
      </c>
      <c r="L12450" s="22" t="s">
        <v>10</v>
      </c>
      <c r="M12450" s="28" t="s">
        <v>51</v>
      </c>
      <c r="N12450" s="28" t="s">
        <v>51</v>
      </c>
    </row>
    <row r="12451" spans="1:14" hidden="1" outlineLevel="1" x14ac:dyDescent="0.15">
      <c r="A12451" s="23" t="str">
        <f>HYPERLINK("https://www.spark-marketing.ru/Card/Person/1001429", "МБОУ ""СОШ №34""")</f>
        <v>МБОУ "СОШ №34"</v>
      </c>
      <c r="B12451" s="24" t="s">
        <v>16928</v>
      </c>
      <c r="C12451" s="25">
        <v>8055385</v>
      </c>
      <c r="D12451" s="22" t="s">
        <v>16915</v>
      </c>
      <c r="E12451" s="22" t="s">
        <v>48</v>
      </c>
      <c r="F12451" s="23" t="str">
        <f t="shared" si="390"/>
        <v>Оказание услуг по организации питания</v>
      </c>
      <c r="G12451" s="22" t="s">
        <v>696</v>
      </c>
      <c r="H12451" s="22" t="s">
        <v>4697</v>
      </c>
      <c r="I12451" s="26">
        <v>43664.453854166699</v>
      </c>
      <c r="J12451" s="23" t="str">
        <f t="shared" si="391"/>
        <v>ООО "ФСП"</v>
      </c>
      <c r="K12451" s="24" t="s">
        <v>1596</v>
      </c>
      <c r="L12451" s="22" t="s">
        <v>10</v>
      </c>
      <c r="M12451" s="28" t="s">
        <v>51</v>
      </c>
      <c r="N12451" s="28" t="s">
        <v>51</v>
      </c>
    </row>
    <row r="12452" spans="1:14" hidden="1" outlineLevel="1" x14ac:dyDescent="0.15">
      <c r="A12452" s="23" t="str">
        <f>HYPERLINK("https://www.spark-marketing.ru/Card/Person/1002060", "МБОУ ""НОШ №31""")</f>
        <v>МБОУ "НОШ №31"</v>
      </c>
      <c r="B12452" s="24" t="s">
        <v>16929</v>
      </c>
      <c r="C12452" s="25">
        <v>2142920</v>
      </c>
      <c r="D12452" s="22" t="s">
        <v>16915</v>
      </c>
      <c r="E12452" s="22" t="s">
        <v>48</v>
      </c>
      <c r="F12452" s="23" t="str">
        <f t="shared" si="390"/>
        <v>Оказание услуг по организации питания</v>
      </c>
      <c r="G12452" s="22" t="s">
        <v>696</v>
      </c>
      <c r="H12452" s="22" t="s">
        <v>4697</v>
      </c>
      <c r="I12452" s="26">
        <v>43664.453854166699</v>
      </c>
      <c r="J12452" s="23" t="str">
        <f t="shared" si="391"/>
        <v>ООО "ФСП"</v>
      </c>
      <c r="K12452" s="24" t="s">
        <v>1596</v>
      </c>
      <c r="L12452" s="22" t="s">
        <v>10</v>
      </c>
      <c r="M12452" s="28" t="s">
        <v>51</v>
      </c>
      <c r="N12452" s="28" t="s">
        <v>51</v>
      </c>
    </row>
    <row r="12453" spans="1:14" hidden="1" outlineLevel="1" x14ac:dyDescent="0.15">
      <c r="A12453" s="23" t="str">
        <f>HYPERLINK("https://www.spark-marketing.ru/Card/Person/1004478", "МБОУ ""ОШ №23 ДЛЯ ОБУЧАЮЩИХСЯ С ОВЗ""")</f>
        <v>МБОУ "ОШ №23 ДЛЯ ОБУЧАЮЩИХСЯ С ОВЗ"</v>
      </c>
      <c r="B12453" s="24" t="s">
        <v>16930</v>
      </c>
      <c r="C12453" s="25">
        <v>1841255</v>
      </c>
      <c r="D12453" s="22" t="s">
        <v>16915</v>
      </c>
      <c r="E12453" s="22" t="s">
        <v>48</v>
      </c>
      <c r="F12453" s="23" t="str">
        <f t="shared" si="390"/>
        <v>Оказание услуг по организации питания</v>
      </c>
      <c r="G12453" s="22" t="s">
        <v>696</v>
      </c>
      <c r="H12453" s="22" t="s">
        <v>4697</v>
      </c>
      <c r="I12453" s="26">
        <v>43664.453854166699</v>
      </c>
      <c r="J12453" s="23" t="str">
        <f t="shared" si="391"/>
        <v>ООО "ФСП"</v>
      </c>
      <c r="K12453" s="24" t="s">
        <v>1596</v>
      </c>
      <c r="L12453" s="22" t="s">
        <v>10</v>
      </c>
      <c r="M12453" s="28" t="s">
        <v>51</v>
      </c>
      <c r="N12453" s="28" t="s">
        <v>51</v>
      </c>
    </row>
    <row r="12454" spans="1:14" hidden="1" outlineLevel="1" x14ac:dyDescent="0.15">
      <c r="A12454" s="23" t="str">
        <f>HYPERLINK("https://www.spark-marketing.ru/Card/Person/1004690", "МБОУ ""ООШ №8""")</f>
        <v>МБОУ "ООШ №8"</v>
      </c>
      <c r="B12454" s="24" t="s">
        <v>16931</v>
      </c>
      <c r="C12454" s="25">
        <v>2341495</v>
      </c>
      <c r="D12454" s="22" t="s">
        <v>16915</v>
      </c>
      <c r="E12454" s="22" t="s">
        <v>48</v>
      </c>
      <c r="F12454" s="23" t="str">
        <f t="shared" si="390"/>
        <v>Оказание услуг по организации питания</v>
      </c>
      <c r="G12454" s="22" t="s">
        <v>696</v>
      </c>
      <c r="H12454" s="22" t="s">
        <v>4697</v>
      </c>
      <c r="I12454" s="26">
        <v>43664.453854166699</v>
      </c>
      <c r="J12454" s="23" t="str">
        <f t="shared" si="391"/>
        <v>ООО "ФСП"</v>
      </c>
      <c r="K12454" s="24" t="s">
        <v>1596</v>
      </c>
      <c r="L12454" s="22" t="s">
        <v>10</v>
      </c>
      <c r="M12454" s="28" t="s">
        <v>51</v>
      </c>
      <c r="N12454" s="28" t="s">
        <v>51</v>
      </c>
    </row>
    <row r="12455" spans="1:14" hidden="1" outlineLevel="1" x14ac:dyDescent="0.15">
      <c r="A12455" s="23" t="str">
        <f>HYPERLINK("https://www.spark-marketing.ru/Card/Person/1005161", "МБОУ ""ООШ №36""")</f>
        <v>МБОУ "ООШ №36"</v>
      </c>
      <c r="B12455" s="24" t="s">
        <v>16932</v>
      </c>
      <c r="C12455" s="25">
        <v>2633020</v>
      </c>
      <c r="D12455" s="22" t="s">
        <v>16915</v>
      </c>
      <c r="E12455" s="22" t="s">
        <v>48</v>
      </c>
      <c r="F12455" s="23" t="str">
        <f t="shared" si="390"/>
        <v>Оказание услуг по организации питания</v>
      </c>
      <c r="G12455" s="22" t="s">
        <v>51</v>
      </c>
      <c r="H12455" s="22" t="s">
        <v>51</v>
      </c>
      <c r="I12455" s="26">
        <v>43664.453854166699</v>
      </c>
      <c r="J12455" s="23" t="str">
        <f t="shared" si="391"/>
        <v>ООО "ФСП"</v>
      </c>
      <c r="K12455" s="24" t="s">
        <v>1596</v>
      </c>
      <c r="L12455" s="22" t="s">
        <v>10</v>
      </c>
      <c r="M12455" s="28" t="s">
        <v>51</v>
      </c>
      <c r="N12455" s="28" t="s">
        <v>51</v>
      </c>
    </row>
    <row r="12456" spans="1:14" hidden="1" outlineLevel="1" x14ac:dyDescent="0.15">
      <c r="A12456" s="23" t="str">
        <f>HYPERLINK("https://www.spark-marketing.ru/Card/Person/1005165", "МБОУ ""СРЕДНЯЯ ОБЩЕОБРАЗОВАТЕЛЬНАЯ ШКОЛА №5 С УГЛУБЛЕННЫМ ИЗУЧЕНИЕМ ОТДЕЛЬНЫХ ПРЕДМЕТОВ""")</f>
        <v>МБОУ "СРЕДНЯЯ ОБЩЕОБРАЗОВАТЕЛЬНАЯ ШКОЛА №5 С УГЛУБЛЕННЫМ ИЗУЧЕНИЕМ ОТДЕЛЬНЫХ ПРЕДМЕТОВ"</v>
      </c>
      <c r="B12456" s="24" t="s">
        <v>16933</v>
      </c>
      <c r="C12456" s="25">
        <v>5348850</v>
      </c>
      <c r="D12456" s="22" t="s">
        <v>16915</v>
      </c>
      <c r="E12456" s="22" t="s">
        <v>48</v>
      </c>
      <c r="F12456" s="23" t="str">
        <f t="shared" si="390"/>
        <v>Оказание услуг по организации питания</v>
      </c>
      <c r="G12456" s="22" t="s">
        <v>696</v>
      </c>
      <c r="H12456" s="22" t="s">
        <v>4697</v>
      </c>
      <c r="I12456" s="26">
        <v>43664.453854166699</v>
      </c>
      <c r="J12456" s="23" t="str">
        <f t="shared" si="391"/>
        <v>ООО "ФСП"</v>
      </c>
      <c r="K12456" s="24" t="s">
        <v>1596</v>
      </c>
      <c r="L12456" s="22" t="s">
        <v>10</v>
      </c>
      <c r="M12456" s="28" t="s">
        <v>51</v>
      </c>
      <c r="N12456" s="28" t="s">
        <v>51</v>
      </c>
    </row>
    <row r="12457" spans="1:14" hidden="1" outlineLevel="1" x14ac:dyDescent="0.15">
      <c r="A12457" s="23" t="str">
        <f>HYPERLINK("https://www.spark-marketing.ru/Card/Person/1005173", "МБОУ ""СОШ №14"" ИМЕНИ А.М. МАМОНОВА")</f>
        <v>МБОУ "СОШ №14" ИМЕНИ А.М. МАМОНОВА</v>
      </c>
      <c r="B12457" s="24" t="s">
        <v>16934</v>
      </c>
      <c r="C12457" s="25">
        <v>5351385</v>
      </c>
      <c r="D12457" s="22" t="s">
        <v>16915</v>
      </c>
      <c r="E12457" s="22" t="s">
        <v>48</v>
      </c>
      <c r="F12457" s="23" t="str">
        <f t="shared" si="390"/>
        <v>Оказание услуг по организации питания</v>
      </c>
      <c r="G12457" s="22" t="s">
        <v>696</v>
      </c>
      <c r="H12457" s="22" t="s">
        <v>4697</v>
      </c>
      <c r="I12457" s="26">
        <v>43664.453854166699</v>
      </c>
      <c r="J12457" s="23" t="str">
        <f t="shared" si="391"/>
        <v>ООО "ФСП"</v>
      </c>
      <c r="K12457" s="24" t="s">
        <v>1596</v>
      </c>
      <c r="L12457" s="22" t="s">
        <v>10</v>
      </c>
      <c r="M12457" s="28" t="s">
        <v>51</v>
      </c>
      <c r="N12457" s="28" t="s">
        <v>51</v>
      </c>
    </row>
    <row r="12458" spans="1:14" hidden="1" outlineLevel="1" x14ac:dyDescent="0.15">
      <c r="A12458" s="23" t="str">
        <f>HYPERLINK("https://www.spark-marketing.ru/Card/Person/1005423", "МБОУ ""ООШ №7""")</f>
        <v>МБОУ "ООШ №7"</v>
      </c>
      <c r="B12458" s="24" t="s">
        <v>16935</v>
      </c>
      <c r="C12458" s="25">
        <v>2040675</v>
      </c>
      <c r="D12458" s="22" t="s">
        <v>16915</v>
      </c>
      <c r="E12458" s="22" t="s">
        <v>48</v>
      </c>
      <c r="F12458" s="23" t="str">
        <f t="shared" si="390"/>
        <v>Оказание услуг по организации питания</v>
      </c>
      <c r="G12458" s="22" t="s">
        <v>696</v>
      </c>
      <c r="H12458" s="22" t="s">
        <v>4697</v>
      </c>
      <c r="I12458" s="26">
        <v>43664.453854166699</v>
      </c>
      <c r="J12458" s="23" t="str">
        <f t="shared" si="391"/>
        <v>ООО "ФСП"</v>
      </c>
      <c r="K12458" s="24" t="s">
        <v>1596</v>
      </c>
      <c r="L12458" s="22" t="s">
        <v>10</v>
      </c>
      <c r="M12458" s="28" t="s">
        <v>51</v>
      </c>
      <c r="N12458" s="28" t="s">
        <v>51</v>
      </c>
    </row>
    <row r="12459" spans="1:14" hidden="1" outlineLevel="1" x14ac:dyDescent="0.15">
      <c r="A12459" s="23" t="str">
        <f>HYPERLINK("https://www.spark-marketing.ru/Card/Person/1005507", "МБОУ ""СОШ № 6""")</f>
        <v>МБОУ "СОШ № 6"</v>
      </c>
      <c r="B12459" s="24" t="s">
        <v>16936</v>
      </c>
      <c r="C12459" s="25">
        <v>5668260</v>
      </c>
      <c r="D12459" s="22" t="s">
        <v>16915</v>
      </c>
      <c r="E12459" s="22" t="s">
        <v>48</v>
      </c>
      <c r="F12459" s="23" t="str">
        <f t="shared" si="390"/>
        <v>Оказание услуг по организации питания</v>
      </c>
      <c r="G12459" s="22" t="s">
        <v>696</v>
      </c>
      <c r="H12459" s="22" t="s">
        <v>4697</v>
      </c>
      <c r="I12459" s="26">
        <v>43664.453854166699</v>
      </c>
      <c r="J12459" s="23" t="str">
        <f t="shared" si="391"/>
        <v>ООО "ФСП"</v>
      </c>
      <c r="K12459" s="24" t="s">
        <v>1596</v>
      </c>
      <c r="L12459" s="22" t="s">
        <v>10</v>
      </c>
      <c r="M12459" s="28" t="s">
        <v>51</v>
      </c>
      <c r="N12459" s="28" t="s">
        <v>51</v>
      </c>
    </row>
    <row r="12460" spans="1:14" hidden="1" outlineLevel="1" x14ac:dyDescent="0.15">
      <c r="A12460" s="23" t="str">
        <f>HYPERLINK("https://www.spark-marketing.ru/Card/Person/1005632", "МБОУ ""СОШ №21""")</f>
        <v>МБОУ "СОШ №21"</v>
      </c>
      <c r="B12460" s="24" t="s">
        <v>16937</v>
      </c>
      <c r="C12460" s="25">
        <v>5849090</v>
      </c>
      <c r="D12460" s="22" t="s">
        <v>16915</v>
      </c>
      <c r="E12460" s="22" t="s">
        <v>48</v>
      </c>
      <c r="F12460" s="23" t="str">
        <f t="shared" si="390"/>
        <v>Оказание услуг по организации питания</v>
      </c>
      <c r="G12460" s="22" t="s">
        <v>696</v>
      </c>
      <c r="H12460" s="22" t="s">
        <v>4697</v>
      </c>
      <c r="I12460" s="26">
        <v>43664.453854166699</v>
      </c>
      <c r="J12460" s="23" t="str">
        <f t="shared" si="391"/>
        <v>ООО "ФСП"</v>
      </c>
      <c r="K12460" s="24" t="s">
        <v>1596</v>
      </c>
      <c r="L12460" s="22" t="s">
        <v>10</v>
      </c>
      <c r="M12460" s="28" t="s">
        <v>51</v>
      </c>
      <c r="N12460" s="28" t="s">
        <v>51</v>
      </c>
    </row>
    <row r="12461" spans="1:14" hidden="1" outlineLevel="1" x14ac:dyDescent="0.15">
      <c r="A12461" s="23" t="str">
        <f>HYPERLINK("https://www.spark-marketing.ru/Card/Person/1005640", "МБОУ ""СОШ №16 С УИОП""")</f>
        <v>МБОУ "СОШ №16 С УИОП"</v>
      </c>
      <c r="B12461" s="24" t="s">
        <v>16938</v>
      </c>
      <c r="C12461" s="25">
        <v>6174415</v>
      </c>
      <c r="D12461" s="22" t="s">
        <v>16915</v>
      </c>
      <c r="E12461" s="22" t="s">
        <v>48</v>
      </c>
      <c r="F12461" s="23" t="str">
        <f t="shared" si="390"/>
        <v>Оказание услуг по организации питания</v>
      </c>
      <c r="G12461" s="22" t="s">
        <v>51</v>
      </c>
      <c r="H12461" s="22" t="s">
        <v>51</v>
      </c>
      <c r="I12461" s="26">
        <v>43664.453854166699</v>
      </c>
      <c r="J12461" s="23" t="str">
        <f t="shared" si="391"/>
        <v>ООО "ФСП"</v>
      </c>
      <c r="K12461" s="24" t="s">
        <v>1596</v>
      </c>
      <c r="L12461" s="22" t="s">
        <v>10</v>
      </c>
      <c r="M12461" s="28" t="s">
        <v>51</v>
      </c>
      <c r="N12461" s="28" t="s">
        <v>51</v>
      </c>
    </row>
    <row r="12462" spans="1:14" hidden="1" outlineLevel="1" x14ac:dyDescent="0.15">
      <c r="A12462" s="23" t="str">
        <f>HYPERLINK("https://www.spark-marketing.ru/Card/Person/1005761", "МБОУ ""СОШ №11""")</f>
        <v>МБОУ "СОШ №11"</v>
      </c>
      <c r="B12462" s="24" t="s">
        <v>16939</v>
      </c>
      <c r="C12462" s="25">
        <v>3868410</v>
      </c>
      <c r="D12462" s="22" t="s">
        <v>16915</v>
      </c>
      <c r="E12462" s="22" t="s">
        <v>48</v>
      </c>
      <c r="F12462" s="23" t="str">
        <f t="shared" si="390"/>
        <v>Оказание услуг по организации питания</v>
      </c>
      <c r="G12462" s="22" t="s">
        <v>51</v>
      </c>
      <c r="H12462" s="22" t="s">
        <v>51</v>
      </c>
      <c r="I12462" s="26">
        <v>43664.453854166699</v>
      </c>
      <c r="J12462" s="23" t="str">
        <f t="shared" si="391"/>
        <v>ООО "ФСП"</v>
      </c>
      <c r="K12462" s="24" t="s">
        <v>1596</v>
      </c>
      <c r="L12462" s="22" t="s">
        <v>10</v>
      </c>
      <c r="M12462" s="28" t="s">
        <v>51</v>
      </c>
      <c r="N12462" s="28" t="s">
        <v>51</v>
      </c>
    </row>
    <row r="12463" spans="1:14" hidden="1" outlineLevel="1" x14ac:dyDescent="0.15">
      <c r="A12463" s="23" t="str">
        <f>HYPERLINK("https://www.spark-marketing.ru/Card/Person/1005774", "МБОУ ""СОШ №30""")</f>
        <v>МБОУ "СОШ №30"</v>
      </c>
      <c r="B12463" s="24" t="s">
        <v>16940</v>
      </c>
      <c r="C12463" s="25">
        <v>7515430</v>
      </c>
      <c r="D12463" s="22" t="s">
        <v>16915</v>
      </c>
      <c r="E12463" s="22" t="s">
        <v>48</v>
      </c>
      <c r="F12463" s="23" t="str">
        <f t="shared" si="390"/>
        <v>Оказание услуг по организации питания</v>
      </c>
      <c r="G12463" s="22" t="s">
        <v>696</v>
      </c>
      <c r="H12463" s="22" t="s">
        <v>4697</v>
      </c>
      <c r="I12463" s="26">
        <v>43664.453854166699</v>
      </c>
      <c r="J12463" s="23" t="str">
        <f t="shared" si="391"/>
        <v>ООО "ФСП"</v>
      </c>
      <c r="K12463" s="24" t="s">
        <v>1596</v>
      </c>
      <c r="L12463" s="22" t="s">
        <v>10</v>
      </c>
      <c r="M12463" s="28" t="s">
        <v>51</v>
      </c>
      <c r="N12463" s="28" t="s">
        <v>51</v>
      </c>
    </row>
    <row r="12464" spans="1:14" hidden="1" outlineLevel="1" x14ac:dyDescent="0.15">
      <c r="A12464" s="23" t="str">
        <f>HYPERLINK("https://www.spark-marketing.ru/Card/Person/1006004", "МБОУ ""СРЕДНЯЯ ОБЩЕОБРАЗОВАТЕЛЬНАЯ ШКОЛА №17""")</f>
        <v>МБОУ "СРЕДНЯЯ ОБЩЕОБРАЗОВАТЕЛЬНАЯ ШКОЛА №17"</v>
      </c>
      <c r="B12464" s="24" t="s">
        <v>16941</v>
      </c>
      <c r="C12464" s="25">
        <v>4085575</v>
      </c>
      <c r="D12464" s="22" t="s">
        <v>16915</v>
      </c>
      <c r="E12464" s="22" t="s">
        <v>48</v>
      </c>
      <c r="F12464" s="23" t="str">
        <f t="shared" si="390"/>
        <v>Оказание услуг по организации питания</v>
      </c>
      <c r="G12464" s="22" t="s">
        <v>696</v>
      </c>
      <c r="H12464" s="22" t="s">
        <v>4697</v>
      </c>
      <c r="I12464" s="26">
        <v>43664.453854166699</v>
      </c>
      <c r="J12464" s="23" t="str">
        <f t="shared" si="391"/>
        <v>ООО "ФСП"</v>
      </c>
      <c r="K12464" s="24" t="s">
        <v>1596</v>
      </c>
      <c r="L12464" s="22" t="s">
        <v>10</v>
      </c>
      <c r="M12464" s="28" t="s">
        <v>51</v>
      </c>
      <c r="N12464" s="28" t="s">
        <v>51</v>
      </c>
    </row>
    <row r="12465" spans="1:14" hidden="1" outlineLevel="1" x14ac:dyDescent="0.15">
      <c r="A12465" s="23" t="str">
        <f>HYPERLINK("https://www.spark-marketing.ru/Card/Person/1006301", "МБОУ ""ОСНОВНАЯ ОБЩЕОБРАЗОВАТЕЛЬНАЯ КАПЛИНСКАЯ ШКОЛА""")</f>
        <v>МБОУ "ОСНОВНАЯ ОБЩЕОБРАЗОВАТЕЛЬНАЯ КАПЛИНСКАЯ ШКОЛА"</v>
      </c>
      <c r="B12465" s="24" t="s">
        <v>16942</v>
      </c>
      <c r="C12465" s="25">
        <v>2554435</v>
      </c>
      <c r="D12465" s="22" t="s">
        <v>16915</v>
      </c>
      <c r="E12465" s="22" t="s">
        <v>48</v>
      </c>
      <c r="F12465" s="23" t="str">
        <f t="shared" si="390"/>
        <v>Оказание услуг по организации питания</v>
      </c>
      <c r="G12465" s="22" t="s">
        <v>696</v>
      </c>
      <c r="H12465" s="22" t="s">
        <v>16919</v>
      </c>
      <c r="I12465" s="26">
        <v>43664.453854166699</v>
      </c>
      <c r="J12465" s="23" t="str">
        <f t="shared" si="391"/>
        <v>ООО "ФСП"</v>
      </c>
      <c r="K12465" s="24" t="s">
        <v>1596</v>
      </c>
      <c r="L12465" s="22" t="s">
        <v>10</v>
      </c>
      <c r="M12465" s="28" t="s">
        <v>51</v>
      </c>
      <c r="N12465" s="28" t="s">
        <v>51</v>
      </c>
    </row>
    <row r="12466" spans="1:14" hidden="1" outlineLevel="1" x14ac:dyDescent="0.15">
      <c r="A12466" s="23" t="str">
        <f>HYPERLINK("https://www.spark-marketing.ru/Card/Person/1006692", "МБОУ ""ООШ №15""")</f>
        <v>МБОУ "ООШ №15"</v>
      </c>
      <c r="B12466" s="24" t="s">
        <v>16943</v>
      </c>
      <c r="C12466" s="25">
        <v>2315300</v>
      </c>
      <c r="D12466" s="22" t="s">
        <v>16915</v>
      </c>
      <c r="E12466" s="22" t="s">
        <v>48</v>
      </c>
      <c r="F12466" s="23" t="str">
        <f t="shared" si="390"/>
        <v>Оказание услуг по организации питания</v>
      </c>
      <c r="G12466" s="22" t="s">
        <v>696</v>
      </c>
      <c r="H12466" s="22" t="s">
        <v>4697</v>
      </c>
      <c r="I12466" s="26">
        <v>43664.453854166699</v>
      </c>
      <c r="J12466" s="23" t="str">
        <f t="shared" si="391"/>
        <v>ООО "ФСП"</v>
      </c>
      <c r="K12466" s="24" t="s">
        <v>1596</v>
      </c>
      <c r="L12466" s="22" t="s">
        <v>10</v>
      </c>
      <c r="M12466" s="28" t="s">
        <v>51</v>
      </c>
      <c r="N12466" s="28" t="s">
        <v>51</v>
      </c>
    </row>
    <row r="12467" spans="1:14" hidden="1" outlineLevel="1" x14ac:dyDescent="0.15">
      <c r="A12467" s="23" t="str">
        <f>HYPERLINK("https://www.spark-marketing.ru/Card/Person/1067084", "МБОУ ""ОК ""ОЗЁРКИ""")</f>
        <v>МБОУ "ОК "ОЗЁРКИ"</v>
      </c>
      <c r="B12467" s="24" t="s">
        <v>16944</v>
      </c>
      <c r="C12467" s="25">
        <v>2118415</v>
      </c>
      <c r="D12467" s="22" t="s">
        <v>16915</v>
      </c>
      <c r="E12467" s="22" t="s">
        <v>48</v>
      </c>
      <c r="F12467" s="23" t="str">
        <f t="shared" si="390"/>
        <v>Оказание услуг по организации питания</v>
      </c>
      <c r="G12467" s="22" t="s">
        <v>696</v>
      </c>
      <c r="H12467" s="22" t="s">
        <v>16919</v>
      </c>
      <c r="I12467" s="26">
        <v>43664.453854166699</v>
      </c>
      <c r="J12467" s="23" t="str">
        <f t="shared" si="391"/>
        <v>ООО "ФСП"</v>
      </c>
      <c r="K12467" s="24" t="s">
        <v>1596</v>
      </c>
      <c r="L12467" s="22" t="s">
        <v>10</v>
      </c>
      <c r="M12467" s="28" t="s">
        <v>51</v>
      </c>
      <c r="N12467" s="28" t="s">
        <v>51</v>
      </c>
    </row>
    <row r="12468" spans="1:14" x14ac:dyDescent="0.15">
      <c r="A12468" s="23" t="str">
        <f>HYPERLINK("https://www.spark-marketing.ru/Card/Person/137772", "ОТДЕЛ МВД РОССИИ ПО ЕЛАБУЖСКОМУ РАЙОНУ")</f>
        <v>ОТДЕЛ МВД РОССИИ ПО ЕЛАБУЖСКОМУ РАЙОНУ</v>
      </c>
      <c r="B12468" s="24" t="s">
        <v>12647</v>
      </c>
      <c r="C12468" s="25">
        <v>950000</v>
      </c>
      <c r="D12468" s="22" t="s">
        <v>16945</v>
      </c>
      <c r="E12468" s="22" t="s">
        <v>48</v>
      </c>
      <c r="F12468" s="23" t="str">
        <f>HYPERLINK("https://www.spark-marketing.ru/Card/Lot/72185949", "Оказание услуги по организации трехразового горячего питания")</f>
        <v>Оказание услуги по организации трехразового горячего питания</v>
      </c>
      <c r="G12468" s="22" t="s">
        <v>217</v>
      </c>
      <c r="H12468" s="22" t="s">
        <v>12649</v>
      </c>
      <c r="I12468" s="26">
        <v>43664.418020833298</v>
      </c>
      <c r="J12468" s="28" t="s">
        <v>51</v>
      </c>
      <c r="K12468" s="28" t="s">
        <v>51</v>
      </c>
      <c r="L12468" s="28" t="s">
        <v>51</v>
      </c>
      <c r="M12468" s="28" t="s">
        <v>51</v>
      </c>
      <c r="N12468" s="28" t="s">
        <v>51</v>
      </c>
    </row>
    <row r="12469" spans="1:14" collapsed="1" x14ac:dyDescent="0.2">
      <c r="A12469" s="23" t="s">
        <v>114</v>
      </c>
      <c r="B12469" s="28" t="s">
        <v>51</v>
      </c>
      <c r="C12469" s="25">
        <v>5065170</v>
      </c>
      <c r="D12469" s="22" t="s">
        <v>16946</v>
      </c>
      <c r="E12469" s="22" t="s">
        <v>48</v>
      </c>
      <c r="F12469" s="23" t="str">
        <f>HYPERLINK("https://www.spark-marketing.ru/Card/Lot/72179949", "Оказание услуг по организации горячего питания")</f>
        <v>Оказание услуг по организации горячего питания</v>
      </c>
      <c r="G12469" s="22" t="s">
        <v>51</v>
      </c>
      <c r="H12469" s="22" t="s">
        <v>51</v>
      </c>
      <c r="I12469" s="26">
        <v>43664.4465277778</v>
      </c>
      <c r="J12469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2469" s="24" t="s">
        <v>16891</v>
      </c>
      <c r="L12469" s="28" t="s">
        <v>51</v>
      </c>
      <c r="M12469" s="25">
        <v>5065170</v>
      </c>
      <c r="N12469" s="27">
        <v>0</v>
      </c>
    </row>
    <row r="12470" spans="1:14" hidden="1" outlineLevel="1" x14ac:dyDescent="0.2">
      <c r="A12470" s="23" t="str">
        <f>HYPERLINK("https://www.spark-marketing.ru/Card/Person/67610", "МОУ СОШ №48")</f>
        <v>МОУ СОШ №48</v>
      </c>
      <c r="B12470" s="24" t="s">
        <v>16947</v>
      </c>
      <c r="C12470" s="25">
        <v>1521000</v>
      </c>
      <c r="D12470" s="22" t="s">
        <v>16946</v>
      </c>
      <c r="E12470" s="22" t="s">
        <v>48</v>
      </c>
      <c r="F12470" s="23" t="str">
        <f>HYPERLINK("https://www.spark-marketing.ru/Card/Lot/72179949", "Оказание услуг по организации горячего питания")</f>
        <v>Оказание услуг по организации горячего питания</v>
      </c>
      <c r="G12470" s="22" t="s">
        <v>137</v>
      </c>
      <c r="H12470" s="22" t="s">
        <v>138</v>
      </c>
      <c r="I12470" s="26">
        <v>43664.4465277778</v>
      </c>
      <c r="J12470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2470" s="24" t="s">
        <v>16891</v>
      </c>
      <c r="L12470" s="28" t="s">
        <v>51</v>
      </c>
      <c r="M12470" s="28" t="s">
        <v>51</v>
      </c>
      <c r="N12470" s="27">
        <v>0</v>
      </c>
    </row>
    <row r="12471" spans="1:14" hidden="1" outlineLevel="1" x14ac:dyDescent="0.2">
      <c r="A12471" s="23" t="str">
        <f>HYPERLINK("https://www.spark-marketing.ru/Card/Person/82079", "МБОУ ЦО № 49")</f>
        <v>МБОУ ЦО № 49</v>
      </c>
      <c r="B12471" s="24" t="s">
        <v>16948</v>
      </c>
      <c r="C12471" s="25">
        <v>1698840</v>
      </c>
      <c r="D12471" s="22" t="s">
        <v>16946</v>
      </c>
      <c r="E12471" s="22" t="s">
        <v>48</v>
      </c>
      <c r="F12471" s="23" t="str">
        <f>HYPERLINK("https://www.spark-marketing.ru/Card/Lot/72179949", "Оказание услуг по организации горячего питания")</f>
        <v>Оказание услуг по организации горячего питания</v>
      </c>
      <c r="G12471" s="22" t="s">
        <v>137</v>
      </c>
      <c r="H12471" s="22" t="s">
        <v>138</v>
      </c>
      <c r="I12471" s="26">
        <v>43664.4465277778</v>
      </c>
      <c r="J12471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2471" s="24" t="s">
        <v>16891</v>
      </c>
      <c r="L12471" s="28" t="s">
        <v>51</v>
      </c>
      <c r="M12471" s="28" t="s">
        <v>51</v>
      </c>
      <c r="N12471" s="27">
        <v>0</v>
      </c>
    </row>
    <row r="12472" spans="1:14" hidden="1" outlineLevel="1" x14ac:dyDescent="0.2">
      <c r="A12472" s="23" t="str">
        <f>HYPERLINK("https://www.spark-marketing.ru/Card/Person/148005", "МБОУ СШ № 45")</f>
        <v>МБОУ СШ № 45</v>
      </c>
      <c r="B12472" s="24" t="s">
        <v>16949</v>
      </c>
      <c r="C12472" s="25">
        <v>942360</v>
      </c>
      <c r="D12472" s="22" t="s">
        <v>16946</v>
      </c>
      <c r="E12472" s="22" t="s">
        <v>48</v>
      </c>
      <c r="F12472" s="23" t="str">
        <f>HYPERLINK("https://www.spark-marketing.ru/Card/Lot/72179949", "Оказание услуг по организации горячего питания")</f>
        <v>Оказание услуг по организации горячего питания</v>
      </c>
      <c r="G12472" s="22" t="s">
        <v>137</v>
      </c>
      <c r="H12472" s="22" t="s">
        <v>138</v>
      </c>
      <c r="I12472" s="26">
        <v>43664.4465277778</v>
      </c>
      <c r="J12472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2472" s="24" t="s">
        <v>16891</v>
      </c>
      <c r="L12472" s="28" t="s">
        <v>51</v>
      </c>
      <c r="M12472" s="28" t="s">
        <v>51</v>
      </c>
      <c r="N12472" s="27">
        <v>0</v>
      </c>
    </row>
    <row r="12473" spans="1:14" hidden="1" outlineLevel="1" x14ac:dyDescent="0.2">
      <c r="A12473" s="23" t="str">
        <f>HYPERLINK("https://www.spark-marketing.ru/Card/Person/999380", "МОУ ""ГИМНАЗИЯ №44 Г ТВЕРИ""")</f>
        <v>МОУ "ГИМНАЗИЯ №44 Г ТВЕРИ"</v>
      </c>
      <c r="B12473" s="24" t="s">
        <v>16950</v>
      </c>
      <c r="C12473" s="25">
        <v>902970</v>
      </c>
      <c r="D12473" s="22" t="s">
        <v>16946</v>
      </c>
      <c r="E12473" s="22" t="s">
        <v>48</v>
      </c>
      <c r="F12473" s="23" t="str">
        <f>HYPERLINK("https://www.spark-marketing.ru/Card/Lot/72179949", "Оказание услуг по организации горячего питания")</f>
        <v>Оказание услуг по организации горячего питания</v>
      </c>
      <c r="G12473" s="22" t="s">
        <v>137</v>
      </c>
      <c r="H12473" s="22" t="s">
        <v>138</v>
      </c>
      <c r="I12473" s="26">
        <v>43664.4465277778</v>
      </c>
      <c r="J12473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2473" s="24" t="s">
        <v>16891</v>
      </c>
      <c r="L12473" s="28" t="s">
        <v>51</v>
      </c>
      <c r="M12473" s="28" t="s">
        <v>51</v>
      </c>
      <c r="N12473" s="27">
        <v>0</v>
      </c>
    </row>
    <row r="12474" spans="1:14" x14ac:dyDescent="0.15">
      <c r="A12474" s="23" t="str">
        <f>HYPERLINK("https://www.spark-marketing.ru/Card/Person/1030180", "МБОУ ""СШ №38""")</f>
        <v>МБОУ "СШ №38"</v>
      </c>
      <c r="B12474" s="24" t="s">
        <v>12480</v>
      </c>
      <c r="C12474" s="25">
        <v>475704</v>
      </c>
      <c r="D12474" s="22" t="s">
        <v>16951</v>
      </c>
      <c r="E12474" s="22" t="s">
        <v>48</v>
      </c>
      <c r="F12474" s="23" t="str">
        <f>HYPERLINK("https://www.spark-marketing.ru/Card/Lot/72177418", "Оказание услуг по организации горячего питания и обеспечению горячим питание учащихся МБОУ ""СШ №38""")</f>
        <v>Оказание услуг по организации горячего питания и обеспечению горячим питание учащихся МБОУ "СШ №38"</v>
      </c>
      <c r="G12474" s="22" t="s">
        <v>460</v>
      </c>
      <c r="H12474" s="22" t="s">
        <v>461</v>
      </c>
      <c r="I12474" s="26">
        <v>43664.397928240702</v>
      </c>
      <c r="J12474" s="28" t="s">
        <v>51</v>
      </c>
      <c r="K12474" s="28" t="s">
        <v>51</v>
      </c>
      <c r="L12474" s="28" t="s">
        <v>51</v>
      </c>
      <c r="M12474" s="28" t="s">
        <v>51</v>
      </c>
      <c r="N12474" s="28" t="s">
        <v>51</v>
      </c>
    </row>
    <row r="12475" spans="1:14" x14ac:dyDescent="0.15">
      <c r="A12475" s="23" t="str">
        <f>HYPERLINK("https://www.spark-marketing.ru/Card/Person/239001", "НРМОБУ ""САЛЫМСКАЯ СОШ №1""")</f>
        <v>НРМОБУ "САЛЫМСКАЯ СОШ №1"</v>
      </c>
      <c r="B12475" s="24" t="s">
        <v>16952</v>
      </c>
      <c r="C12475" s="25">
        <v>2380920</v>
      </c>
      <c r="D12475" s="22" t="s">
        <v>16953</v>
      </c>
      <c r="E12475" s="22" t="s">
        <v>48</v>
      </c>
      <c r="F12475" s="23" t="str">
        <f>HYPERLINK("https://www.spark-marketing.ru/Card/Lot/72173327", "Оказание услуг по организации питания учащихся в столовой НРМОБУ «Салымская СОШ № 1» на второе полугодие 2019 года")</f>
        <v>Оказание услуг по организации питания учащихся в столовой НРМОБУ «Салымская СОШ № 1» на второе полугодие 2019 года</v>
      </c>
      <c r="G12475" s="22" t="s">
        <v>97</v>
      </c>
      <c r="H12475" s="22" t="s">
        <v>97</v>
      </c>
      <c r="I12475" s="26">
        <v>43664.404305555603</v>
      </c>
      <c r="J12475" s="23" t="str">
        <f>HYPERLINK("https://www.spark-marketing.ru/Card/Person/238973", "МУП ""ПЫТЬ-ЯХТОРГСЕРВИС"" МО Г.ПЫТЬ-ЯХ")</f>
        <v>МУП "ПЫТЬ-ЯХТОРГСЕРВИС" МО Г.ПЫТЬ-ЯХ</v>
      </c>
      <c r="K12475" s="24" t="s">
        <v>12639</v>
      </c>
      <c r="L12475" s="22" t="s">
        <v>10</v>
      </c>
      <c r="M12475" s="28" t="s">
        <v>51</v>
      </c>
      <c r="N12475" s="28" t="s">
        <v>51</v>
      </c>
    </row>
    <row r="12476" spans="1:14" collapsed="1" x14ac:dyDescent="0.2">
      <c r="A12476" s="23" t="s">
        <v>114</v>
      </c>
      <c r="B12476" s="28" t="s">
        <v>51</v>
      </c>
      <c r="C12476" s="25">
        <v>19045978</v>
      </c>
      <c r="D12476" s="22" t="s">
        <v>16954</v>
      </c>
      <c r="E12476" s="22" t="s">
        <v>48</v>
      </c>
      <c r="F12476" s="23" t="str">
        <f>HYPERLINK("https://www.spark-marketing.ru/Card/Lot/72174778",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76" s="22" t="s">
        <v>51</v>
      </c>
      <c r="H12476" s="22" t="s">
        <v>51</v>
      </c>
      <c r="I12476" s="26">
        <v>43664.413194444402</v>
      </c>
      <c r="J12476" s="23" t="str">
        <f>HYPERLINK("https://www.spark-marketing.ru/Card/Person/6558293", "ООО ""ВИВО МАРКЕТ""")</f>
        <v>ООО "ВИВО МАРКЕТ"</v>
      </c>
      <c r="K12476" s="24" t="s">
        <v>14440</v>
      </c>
      <c r="L12476" s="28" t="s">
        <v>51</v>
      </c>
      <c r="M12476" s="25">
        <v>19045978</v>
      </c>
      <c r="N12476" s="27">
        <v>0</v>
      </c>
    </row>
    <row r="12477" spans="1:14" hidden="1" outlineLevel="1" x14ac:dyDescent="0.2">
      <c r="A12477" s="23" t="str">
        <f>HYPERLINK("https://www.spark-marketing.ru/Card/Person/129418", "МОУ СШ № 102")</f>
        <v>МОУ СШ № 102</v>
      </c>
      <c r="B12477" s="24" t="s">
        <v>16955</v>
      </c>
      <c r="C12477" s="25">
        <v>6511103</v>
      </c>
      <c r="D12477" s="22" t="s">
        <v>16954</v>
      </c>
      <c r="E12477" s="22" t="s">
        <v>48</v>
      </c>
      <c r="F12477" s="23" t="str">
        <f>HYPERLINK("https://www.spark-marketing.ru/Card/Lot/72174778",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77" s="22" t="s">
        <v>158</v>
      </c>
      <c r="H12477" s="22" t="s">
        <v>158</v>
      </c>
      <c r="I12477" s="26">
        <v>43664.413194444402</v>
      </c>
      <c r="J12477" s="23" t="str">
        <f>HYPERLINK("https://www.spark-marketing.ru/Card/Person/6558293", "ООО ""ВИВО МАРКЕТ""")</f>
        <v>ООО "ВИВО МАРКЕТ"</v>
      </c>
      <c r="K12477" s="24" t="s">
        <v>14440</v>
      </c>
      <c r="L12477" s="28" t="s">
        <v>51</v>
      </c>
      <c r="M12477" s="28" t="s">
        <v>51</v>
      </c>
      <c r="N12477" s="27">
        <v>0</v>
      </c>
    </row>
    <row r="12478" spans="1:14" hidden="1" outlineLevel="1" x14ac:dyDescent="0.2">
      <c r="A12478" s="23" t="str">
        <f>HYPERLINK("https://www.spark-marketing.ru/Card/Person/129439", "МОУ СШ № 33")</f>
        <v>МОУ СШ № 33</v>
      </c>
      <c r="B12478" s="24" t="s">
        <v>16956</v>
      </c>
      <c r="C12478" s="25">
        <v>7801895</v>
      </c>
      <c r="D12478" s="22" t="s">
        <v>16954</v>
      </c>
      <c r="E12478" s="22" t="s">
        <v>48</v>
      </c>
      <c r="F12478" s="23" t="str">
        <f>HYPERLINK("https://www.spark-marketing.ru/Card/Lot/72174778",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78" s="22" t="s">
        <v>158</v>
      </c>
      <c r="H12478" s="22" t="s">
        <v>158</v>
      </c>
      <c r="I12478" s="26">
        <v>43664.413194444402</v>
      </c>
      <c r="J12478" s="23" t="str">
        <f>HYPERLINK("https://www.spark-marketing.ru/Card/Person/6558293", "ООО ""ВИВО МАРКЕТ""")</f>
        <v>ООО "ВИВО МАРКЕТ"</v>
      </c>
      <c r="K12478" s="24" t="s">
        <v>14440</v>
      </c>
      <c r="L12478" s="28" t="s">
        <v>51</v>
      </c>
      <c r="M12478" s="28" t="s">
        <v>51</v>
      </c>
      <c r="N12478" s="27">
        <v>0</v>
      </c>
    </row>
    <row r="12479" spans="1:14" hidden="1" outlineLevel="1" x14ac:dyDescent="0.2">
      <c r="A12479" s="23" t="str">
        <f>HYPERLINK("https://www.spark-marketing.ru/Card/Person/129485", "МОУ ""ГИМНАЗИЯ № 11""")</f>
        <v>МОУ "ГИМНАЗИЯ № 11"</v>
      </c>
      <c r="B12479" s="24" t="s">
        <v>16957</v>
      </c>
      <c r="C12479" s="25">
        <v>4732980</v>
      </c>
      <c r="D12479" s="22" t="s">
        <v>16954</v>
      </c>
      <c r="E12479" s="22" t="s">
        <v>48</v>
      </c>
      <c r="F12479" s="23" t="str">
        <f>HYPERLINK("https://www.spark-marketing.ru/Card/Lot/72174778",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79" s="22" t="s">
        <v>158</v>
      </c>
      <c r="H12479" s="22" t="s">
        <v>158</v>
      </c>
      <c r="I12479" s="26">
        <v>43664.413194444402</v>
      </c>
      <c r="J12479" s="23" t="str">
        <f>HYPERLINK("https://www.spark-marketing.ru/Card/Person/6558293", "ООО ""ВИВО МАРКЕТ""")</f>
        <v>ООО "ВИВО МАРКЕТ"</v>
      </c>
      <c r="K12479" s="24" t="s">
        <v>14440</v>
      </c>
      <c r="L12479" s="28" t="s">
        <v>51</v>
      </c>
      <c r="M12479" s="28" t="s">
        <v>51</v>
      </c>
      <c r="N12479" s="27">
        <v>0</v>
      </c>
    </row>
    <row r="12480" spans="1:14" x14ac:dyDescent="0.15">
      <c r="A12480" s="23" t="str">
        <f>HYPERLINK("https://www.spark-marketing.ru/Card/Person/1070848", "ОТДЕЛ МВД РОССИИ ПО КОРКИНСКОМУ РАЙОНУ ЧЕЛЯБИНСКОЙ ОБЛАСТИ")</f>
        <v>ОТДЕЛ МВД РОССИИ ПО КОРКИНСКОМУ РАЙОНУ ЧЕЛЯБИНСКОЙ ОБЛАСТИ</v>
      </c>
      <c r="B12480" s="24" t="s">
        <v>15511</v>
      </c>
      <c r="C12480" s="25">
        <v>500000</v>
      </c>
      <c r="D12480" s="22" t="s">
        <v>16958</v>
      </c>
      <c r="E12480" s="22" t="s">
        <v>48</v>
      </c>
      <c r="F12480" s="23" t="str">
        <f>HYPERLINK("https://www.spark-marketing.ru/Card/Lot/72172648", "Оказание услуг по обеспечению ежедневным трехразовым горячим питанием подозреваемых, обвиняемых и лиц, подвергнутых административному аресту, содержащихся в ИВС Отдела МВД России по Коркинскому району Челябинской области")</f>
        <v>Оказание услуг по обеспечению ежедневным трехразовым горячим питанием подозреваемых, обвиняемых и лиц, подвергнутых административному аресту, содержащихся в ИВС Отдела МВД России по Коркинскому району Челябинской области</v>
      </c>
      <c r="G12480" s="22" t="s">
        <v>469</v>
      </c>
      <c r="H12480" s="22" t="s">
        <v>469</v>
      </c>
      <c r="I12480" s="26">
        <v>43664.385358796302</v>
      </c>
      <c r="J12480" s="23" t="str">
        <f>HYPERLINK("https://www.spark-marketing.ru/Card/Person/5846524", "ООО ""УРАЛОПТТОРГ""")</f>
        <v>ООО "УРАЛОПТТОРГ"</v>
      </c>
      <c r="K12480" s="24" t="s">
        <v>15513</v>
      </c>
      <c r="L12480" s="22" t="s">
        <v>10</v>
      </c>
      <c r="M12480" s="28" t="s">
        <v>51</v>
      </c>
      <c r="N12480" s="28" t="s">
        <v>51</v>
      </c>
    </row>
    <row r="12481" spans="1:14" collapsed="1" x14ac:dyDescent="0.15">
      <c r="A12481" s="23" t="str">
        <f>HYPERLINK("https://www.spark-marketing.ru/Card/Person/4904259", "ДОУ № 6")</f>
        <v>ДОУ № 6</v>
      </c>
      <c r="B12481" s="24" t="s">
        <v>16959</v>
      </c>
      <c r="C12481" s="25">
        <v>861023.4</v>
      </c>
      <c r="D12481" s="22" t="s">
        <v>16960</v>
      </c>
      <c r="E12481" s="22" t="s">
        <v>48</v>
      </c>
      <c r="F12481" s="23" t="str">
        <f>HYPERLINK("https://www.spark-marketing.ru/Card/Lot/72176204", "Оказание услуг по организации питания воспитанников дошкольного образовательного учреждения города Дубны Московской области")</f>
        <v>Оказание услуг по организации питания воспитанников дошкольного образовательного учреждения города Дубны Московской области</v>
      </c>
      <c r="G12481" s="22" t="s">
        <v>49</v>
      </c>
      <c r="H12481" s="22" t="s">
        <v>16961</v>
      </c>
      <c r="I12481" s="26">
        <v>43664.4</v>
      </c>
      <c r="J12481" s="28" t="s">
        <v>51</v>
      </c>
      <c r="K12481" s="28" t="s">
        <v>51</v>
      </c>
      <c r="L12481" s="28" t="s">
        <v>51</v>
      </c>
      <c r="M12481" s="28" t="s">
        <v>51</v>
      </c>
      <c r="N12481" s="28" t="s">
        <v>51</v>
      </c>
    </row>
    <row r="12482" spans="1:14" ht="12.75" hidden="1" outlineLevel="1" x14ac:dyDescent="0.2">
      <c r="A12482" s="23" t="str">
        <f>HYPERLINK("https://www.spark-marketing.ru/Card/Person/4904259", "ДОУ № 6")</f>
        <v>ДОУ № 6</v>
      </c>
      <c r="B12482" s="24" t="s">
        <v>16959</v>
      </c>
      <c r="C12482" s="25">
        <v>861023.4</v>
      </c>
      <c r="D12482" s="22" t="s">
        <v>16960</v>
      </c>
      <c r="E12482" s="22" t="s">
        <v>48</v>
      </c>
      <c r="F12482" s="23" t="str">
        <f>HYPERLINK("https://www.spark-marketing.ru/Card/Lot/72176204", "Оказание услуг по организации питания воспитанников дошкольного образовательного учреждения города Дубны Московской области")</f>
        <v>Оказание услуг по организации питания воспитанников дошкольного образовательного учреждения города Дубны Московской области</v>
      </c>
      <c r="G12482" s="22" t="s">
        <v>49</v>
      </c>
      <c r="H12482" s="22" t="s">
        <v>16961</v>
      </c>
      <c r="I12482" s="26">
        <v>43664.4</v>
      </c>
      <c r="J12482" s="23" t="str">
        <f>HYPERLINK("https://www.spark-marketing.ru/Card/Person/74825", "ООО ""ИНСТИТУТ ПИТАНИЯ""")</f>
        <v>ООО "ИНСТИТУТ ПИТАНИЯ"</v>
      </c>
      <c r="K12482" s="24" t="s">
        <v>1646</v>
      </c>
      <c r="L12482" s="22" t="s">
        <v>10</v>
      </c>
      <c r="M12482" s="25">
        <v>807438</v>
      </c>
      <c r="N12482" s="27">
        <v>6.2234545541967848E-2</v>
      </c>
    </row>
    <row r="12483" spans="1:14" hidden="1" outlineLevel="1" x14ac:dyDescent="0.2">
      <c r="A12483" s="23" t="str">
        <f>HYPERLINK("https://www.spark-marketing.ru/Card/Person/4904259", "ДОУ № 6")</f>
        <v>ДОУ № 6</v>
      </c>
      <c r="B12483" s="24" t="s">
        <v>16959</v>
      </c>
      <c r="C12483" s="25">
        <v>861023.4</v>
      </c>
      <c r="D12483" s="22" t="s">
        <v>16960</v>
      </c>
      <c r="E12483" s="22" t="s">
        <v>48</v>
      </c>
      <c r="F12483" s="23" t="str">
        <f>HYPERLINK("https://www.spark-marketing.ru/Card/Lot/72176204", "Оказание услуг по организации питания воспитанников дошкольного образовательного учреждения города Дубны Московской области")</f>
        <v>Оказание услуг по организации питания воспитанников дошкольного образовательного учреждения города Дубны Московской области</v>
      </c>
      <c r="G12483" s="22" t="s">
        <v>49</v>
      </c>
      <c r="H12483" s="22" t="s">
        <v>16961</v>
      </c>
      <c r="I12483" s="26">
        <v>43664.4</v>
      </c>
      <c r="J12483" s="23" t="str">
        <f>HYPERLINK("https://www.spark-marketing.ru/Card/Person/4688348", "ООО ""КОМБИНАТ ПИТАНИЯ ""МК""")</f>
        <v>ООО "КОМБИНАТ ПИТАНИЯ "МК"</v>
      </c>
      <c r="K12483" s="24" t="s">
        <v>11806</v>
      </c>
      <c r="L12483" s="28" t="s">
        <v>51</v>
      </c>
      <c r="M12483" s="25">
        <v>835192.7</v>
      </c>
      <c r="N12483" s="27">
        <v>2.9999997677182758E-2</v>
      </c>
    </row>
    <row r="12484" spans="1:14" collapsed="1" x14ac:dyDescent="0.2">
      <c r="A12484" s="23" t="s">
        <v>114</v>
      </c>
      <c r="B12484" s="28" t="s">
        <v>51</v>
      </c>
      <c r="C12484" s="25">
        <v>15031355</v>
      </c>
      <c r="D12484" s="22" t="s">
        <v>16962</v>
      </c>
      <c r="E12484" s="22" t="s">
        <v>48</v>
      </c>
      <c r="F12484" s="23" t="str">
        <f>HYPERLINK("https://www.spark-marketing.ru/Card/Lot/72174777",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84" s="22" t="s">
        <v>51</v>
      </c>
      <c r="H12484" s="22" t="s">
        <v>51</v>
      </c>
      <c r="I12484" s="26">
        <v>43664.395138888904</v>
      </c>
      <c r="J12484" s="23" t="str">
        <f>HYPERLINK("https://www.spark-marketing.ru/Card/Person/6558293", "ООО ""ВИВО МАРКЕТ""")</f>
        <v>ООО "ВИВО МАРКЕТ"</v>
      </c>
      <c r="K12484" s="24" t="s">
        <v>14440</v>
      </c>
      <c r="L12484" s="28" t="s">
        <v>51</v>
      </c>
      <c r="M12484" s="25">
        <v>15031355</v>
      </c>
      <c r="N12484" s="27">
        <v>0</v>
      </c>
    </row>
    <row r="12485" spans="1:14" hidden="1" outlineLevel="1" x14ac:dyDescent="0.2">
      <c r="A12485" s="23" t="str">
        <f>HYPERLINK("https://www.spark-marketing.ru/Card/Person/129444", "МОУ ЛИЦЕЙ № 8 ""ОЛИМПИЯ""")</f>
        <v>МОУ ЛИЦЕЙ № 8 "ОЛИМПИЯ"</v>
      </c>
      <c r="B12485" s="24" t="s">
        <v>16963</v>
      </c>
      <c r="C12485" s="25">
        <v>6053390</v>
      </c>
      <c r="D12485" s="22" t="s">
        <v>16962</v>
      </c>
      <c r="E12485" s="22" t="s">
        <v>48</v>
      </c>
      <c r="F12485" s="23" t="str">
        <f>HYPERLINK("https://www.spark-marketing.ru/Card/Lot/72174777",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85" s="22" t="s">
        <v>158</v>
      </c>
      <c r="H12485" s="22" t="s">
        <v>158</v>
      </c>
      <c r="I12485" s="26">
        <v>43664.395138888904</v>
      </c>
      <c r="J12485" s="23" t="str">
        <f>HYPERLINK("https://www.spark-marketing.ru/Card/Person/6558293", "ООО ""ВИВО МАРКЕТ""")</f>
        <v>ООО "ВИВО МАРКЕТ"</v>
      </c>
      <c r="K12485" s="24" t="s">
        <v>14440</v>
      </c>
      <c r="L12485" s="28" t="s">
        <v>51</v>
      </c>
      <c r="M12485" s="28" t="s">
        <v>51</v>
      </c>
      <c r="N12485" s="27">
        <v>0</v>
      </c>
    </row>
    <row r="12486" spans="1:14" hidden="1" outlineLevel="1" x14ac:dyDescent="0.2">
      <c r="A12486" s="23" t="str">
        <f>HYPERLINK("https://www.spark-marketing.ru/Card/Person/129732", "МОУ ЛИЦЕЙ № 9")</f>
        <v>МОУ ЛИЦЕЙ № 9</v>
      </c>
      <c r="B12486" s="24" t="s">
        <v>16964</v>
      </c>
      <c r="C12486" s="25">
        <v>8844045</v>
      </c>
      <c r="D12486" s="22" t="s">
        <v>16962</v>
      </c>
      <c r="E12486" s="22" t="s">
        <v>48</v>
      </c>
      <c r="F12486" s="23" t="str">
        <f>HYPERLINK("https://www.spark-marketing.ru/Card/Lot/72174777",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86" s="22" t="s">
        <v>158</v>
      </c>
      <c r="H12486" s="22" t="s">
        <v>158</v>
      </c>
      <c r="I12486" s="26">
        <v>43664.395138888904</v>
      </c>
      <c r="J12486" s="23" t="str">
        <f>HYPERLINK("https://www.spark-marketing.ru/Card/Person/6558293", "ООО ""ВИВО МАРКЕТ""")</f>
        <v>ООО "ВИВО МАРКЕТ"</v>
      </c>
      <c r="K12486" s="24" t="s">
        <v>14440</v>
      </c>
      <c r="L12486" s="28" t="s">
        <v>51</v>
      </c>
      <c r="M12486" s="28" t="s">
        <v>51</v>
      </c>
      <c r="N12486" s="27">
        <v>0</v>
      </c>
    </row>
    <row r="12487" spans="1:14" hidden="1" outlineLevel="1" x14ac:dyDescent="0.2">
      <c r="A12487" s="23" t="str">
        <f>HYPERLINK("https://www.spark-marketing.ru/Card/Person/1029738", "МОУ ЦДТ")</f>
        <v>МОУ ЦДТ</v>
      </c>
      <c r="B12487" s="24" t="s">
        <v>16965</v>
      </c>
      <c r="C12487" s="25">
        <v>133920</v>
      </c>
      <c r="D12487" s="22" t="s">
        <v>16962</v>
      </c>
      <c r="E12487" s="22" t="s">
        <v>48</v>
      </c>
      <c r="F12487" s="23" t="str">
        <f>HYPERLINK("https://www.spark-marketing.ru/Card/Lot/72174777",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87" s="22" t="s">
        <v>158</v>
      </c>
      <c r="H12487" s="22" t="s">
        <v>158</v>
      </c>
      <c r="I12487" s="26">
        <v>43664.395138888904</v>
      </c>
      <c r="J12487" s="23" t="str">
        <f>HYPERLINK("https://www.spark-marketing.ru/Card/Person/6558293", "ООО ""ВИВО МАРКЕТ""")</f>
        <v>ООО "ВИВО МАРКЕТ"</v>
      </c>
      <c r="K12487" s="24" t="s">
        <v>14440</v>
      </c>
      <c r="L12487" s="28" t="s">
        <v>51</v>
      </c>
      <c r="M12487" s="28" t="s">
        <v>51</v>
      </c>
      <c r="N12487" s="27">
        <v>0</v>
      </c>
    </row>
    <row r="12488" spans="1:14" x14ac:dyDescent="0.15">
      <c r="A12488" s="23" t="str">
        <f>HYPERLINK("https://www.spark-marketing.ru/Card/Person/813542", "ОТДЕЛ МВД РОССИИ ПО ЮТАЗИНСКОМУ РАЙОНУ")</f>
        <v>ОТДЕЛ МВД РОССИИ ПО ЮТАЗИНСКОМУ РАЙОНУ</v>
      </c>
      <c r="B12488" s="24" t="s">
        <v>16897</v>
      </c>
      <c r="C12488" s="25">
        <v>295000</v>
      </c>
      <c r="D12488" s="22" t="s">
        <v>16966</v>
      </c>
      <c r="E12488" s="22" t="s">
        <v>48</v>
      </c>
      <c r="F12488" s="23" t="str">
        <f>HYPERLINK("https://www.spark-marketing.ru/Card/Lot/72189273", "Прочая закупка услуг, для обеспечения государственных нужд (оказание услуг по организации питания лиц, содержащихся в ИВС, СПСЗЛ Отдела МВД России по Ютазинскому району)")</f>
        <v>Прочая закупка услуг, для обеспечения государственных нужд (оказание услуг по организации питания лиц, содержащихся в ИВС, СПСЗЛ Отдела МВД России по Ютазинскому району)</v>
      </c>
      <c r="G12488" s="22" t="s">
        <v>217</v>
      </c>
      <c r="H12488" s="22" t="s">
        <v>16899</v>
      </c>
      <c r="I12488" s="26">
        <v>43664.411064814798</v>
      </c>
      <c r="J12488" s="28" t="s">
        <v>51</v>
      </c>
      <c r="K12488" s="28" t="s">
        <v>51</v>
      </c>
      <c r="L12488" s="28" t="s">
        <v>51</v>
      </c>
      <c r="M12488" s="28" t="s">
        <v>51</v>
      </c>
      <c r="N12488" s="28" t="s">
        <v>51</v>
      </c>
    </row>
    <row r="12489" spans="1:14" collapsed="1" x14ac:dyDescent="0.2">
      <c r="A12489" s="23" t="s">
        <v>114</v>
      </c>
      <c r="B12489" s="28" t="s">
        <v>51</v>
      </c>
      <c r="C12489" s="25">
        <v>19305455</v>
      </c>
      <c r="D12489" s="22" t="s">
        <v>16967</v>
      </c>
      <c r="E12489" s="22" t="s">
        <v>48</v>
      </c>
      <c r="F12489" s="23" t="str">
        <f t="shared" ref="F12489:F12494" si="392">HYPERLINK("https://www.spark-marketing.ru/Card/Lot/72173256", "Оказание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89" s="22" t="s">
        <v>51</v>
      </c>
      <c r="H12489" s="22" t="s">
        <v>51</v>
      </c>
      <c r="I12489" s="26">
        <v>43664.372222222199</v>
      </c>
      <c r="J12489" s="23" t="str">
        <f t="shared" ref="J12489:J12494" si="393">HYPERLINK("https://www.spark-marketing.ru/Card/Person/6558293", "ООО ""ВИВО МАРКЕТ""")</f>
        <v>ООО "ВИВО МАРКЕТ"</v>
      </c>
      <c r="K12489" s="24" t="s">
        <v>14440</v>
      </c>
      <c r="L12489" s="28" t="s">
        <v>51</v>
      </c>
      <c r="M12489" s="25">
        <v>19305455</v>
      </c>
      <c r="N12489" s="27">
        <v>0</v>
      </c>
    </row>
    <row r="12490" spans="1:14" hidden="1" outlineLevel="1" x14ac:dyDescent="0.2">
      <c r="A12490" s="23" t="str">
        <f>HYPERLINK("https://www.spark-marketing.ru/Card/Person/129649", "МОУ СШ № 82")</f>
        <v>МОУ СШ № 82</v>
      </c>
      <c r="B12490" s="24" t="s">
        <v>16968</v>
      </c>
      <c r="C12490" s="25">
        <v>4091985</v>
      </c>
      <c r="D12490" s="22" t="s">
        <v>16967</v>
      </c>
      <c r="E12490" s="22" t="s">
        <v>48</v>
      </c>
      <c r="F12490" s="23" t="str">
        <f t="shared" si="392"/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90" s="22" t="s">
        <v>158</v>
      </c>
      <c r="H12490" s="22" t="s">
        <v>158</v>
      </c>
      <c r="I12490" s="26">
        <v>43664.372222222199</v>
      </c>
      <c r="J12490" s="23" t="str">
        <f t="shared" si="393"/>
        <v>ООО "ВИВО МАРКЕТ"</v>
      </c>
      <c r="K12490" s="24" t="s">
        <v>14440</v>
      </c>
      <c r="L12490" s="28" t="s">
        <v>51</v>
      </c>
      <c r="M12490" s="28" t="s">
        <v>51</v>
      </c>
      <c r="N12490" s="27">
        <v>0</v>
      </c>
    </row>
    <row r="12491" spans="1:14" hidden="1" outlineLevel="1" x14ac:dyDescent="0.2">
      <c r="A12491" s="23" t="str">
        <f>HYPERLINK("https://www.spark-marketing.ru/Card/Person/129670", "МОУ СШ № 96")</f>
        <v>МОУ СШ № 96</v>
      </c>
      <c r="B12491" s="24" t="s">
        <v>16969</v>
      </c>
      <c r="C12491" s="25">
        <v>7063460</v>
      </c>
      <c r="D12491" s="22" t="s">
        <v>16967</v>
      </c>
      <c r="E12491" s="22" t="s">
        <v>48</v>
      </c>
      <c r="F12491" s="23" t="str">
        <f t="shared" si="392"/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91" s="22" t="s">
        <v>158</v>
      </c>
      <c r="H12491" s="22" t="s">
        <v>158</v>
      </c>
      <c r="I12491" s="26">
        <v>43664.372222222199</v>
      </c>
      <c r="J12491" s="23" t="str">
        <f t="shared" si="393"/>
        <v>ООО "ВИВО МАРКЕТ"</v>
      </c>
      <c r="K12491" s="24" t="s">
        <v>14440</v>
      </c>
      <c r="L12491" s="28" t="s">
        <v>51</v>
      </c>
      <c r="M12491" s="28" t="s">
        <v>51</v>
      </c>
      <c r="N12491" s="27">
        <v>0</v>
      </c>
    </row>
    <row r="12492" spans="1:14" hidden="1" outlineLevel="1" x14ac:dyDescent="0.2">
      <c r="A12492" s="23" t="str">
        <f>HYPERLINK("https://www.spark-marketing.ru/Card/Person/141427", "МОУ СШ № 43")</f>
        <v>МОУ СШ № 43</v>
      </c>
      <c r="B12492" s="24" t="s">
        <v>16970</v>
      </c>
      <c r="C12492" s="25">
        <v>2275280</v>
      </c>
      <c r="D12492" s="22" t="s">
        <v>16967</v>
      </c>
      <c r="E12492" s="22" t="s">
        <v>48</v>
      </c>
      <c r="F12492" s="23" t="str">
        <f t="shared" si="392"/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92" s="22" t="s">
        <v>158</v>
      </c>
      <c r="H12492" s="22" t="s">
        <v>158</v>
      </c>
      <c r="I12492" s="26">
        <v>43664.372222222199</v>
      </c>
      <c r="J12492" s="23" t="str">
        <f t="shared" si="393"/>
        <v>ООО "ВИВО МАРКЕТ"</v>
      </c>
      <c r="K12492" s="24" t="s">
        <v>14440</v>
      </c>
      <c r="L12492" s="28" t="s">
        <v>51</v>
      </c>
      <c r="M12492" s="28" t="s">
        <v>51</v>
      </c>
      <c r="N12492" s="27">
        <v>0</v>
      </c>
    </row>
    <row r="12493" spans="1:14" hidden="1" outlineLevel="1" x14ac:dyDescent="0.2">
      <c r="A12493" s="23" t="str">
        <f>HYPERLINK("https://www.spark-marketing.ru/Card/Person/141569", "МОУ СШ № 37")</f>
        <v>МОУ СШ № 37</v>
      </c>
      <c r="B12493" s="24" t="s">
        <v>16971</v>
      </c>
      <c r="C12493" s="25">
        <v>1572460</v>
      </c>
      <c r="D12493" s="22" t="s">
        <v>16967</v>
      </c>
      <c r="E12493" s="22" t="s">
        <v>48</v>
      </c>
      <c r="F12493" s="23" t="str">
        <f t="shared" si="392"/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93" s="22" t="s">
        <v>158</v>
      </c>
      <c r="H12493" s="22" t="s">
        <v>158</v>
      </c>
      <c r="I12493" s="26">
        <v>43664.372222222199</v>
      </c>
      <c r="J12493" s="23" t="str">
        <f t="shared" si="393"/>
        <v>ООО "ВИВО МАРКЕТ"</v>
      </c>
      <c r="K12493" s="24" t="s">
        <v>14440</v>
      </c>
      <c r="L12493" s="28" t="s">
        <v>51</v>
      </c>
      <c r="M12493" s="28" t="s">
        <v>51</v>
      </c>
      <c r="N12493" s="27">
        <v>0</v>
      </c>
    </row>
    <row r="12494" spans="1:14" hidden="1" outlineLevel="1" x14ac:dyDescent="0.2">
      <c r="A12494" s="23" t="str">
        <f>HYPERLINK("https://www.spark-marketing.ru/Card/Person/142718", "МОУ СШ № 67")</f>
        <v>МОУ СШ № 67</v>
      </c>
      <c r="B12494" s="24" t="s">
        <v>16972</v>
      </c>
      <c r="C12494" s="25">
        <v>4302270</v>
      </c>
      <c r="D12494" s="22" t="s">
        <v>16967</v>
      </c>
      <c r="E12494" s="22" t="s">
        <v>48</v>
      </c>
      <c r="F12494" s="23" t="str">
        <f t="shared" si="392"/>
        <v>Оказание услуг общественного питания обучающихся  на базе муниципальных общеобразовательных учреждений Дзержинского района Волгограда в учебный и каникулярный  период 2019-2021гг.</v>
      </c>
      <c r="G12494" s="22" t="s">
        <v>158</v>
      </c>
      <c r="H12494" s="22" t="s">
        <v>158</v>
      </c>
      <c r="I12494" s="26">
        <v>43664.372222222199</v>
      </c>
      <c r="J12494" s="23" t="str">
        <f t="shared" si="393"/>
        <v>ООО "ВИВО МАРКЕТ"</v>
      </c>
      <c r="K12494" s="24" t="s">
        <v>14440</v>
      </c>
      <c r="L12494" s="28" t="s">
        <v>51</v>
      </c>
      <c r="M12494" s="28" t="s">
        <v>51</v>
      </c>
      <c r="N12494" s="27">
        <v>0</v>
      </c>
    </row>
    <row r="12495" spans="1:14" x14ac:dyDescent="0.15">
      <c r="A12495" s="23" t="str">
        <f>HYPERLINK("https://www.spark-marketing.ru/Card/Person/1027417", "ГБУЗ ""МЦЛМ""")</f>
        <v>ГБУЗ "МЦЛМ"</v>
      </c>
      <c r="B12495" s="24" t="s">
        <v>16973</v>
      </c>
      <c r="C12495" s="25">
        <v>196416</v>
      </c>
      <c r="D12495" s="22" t="s">
        <v>16974</v>
      </c>
      <c r="E12495" s="22" t="s">
        <v>51</v>
      </c>
      <c r="F12495" s="23" t="str">
        <f>HYPERLINK("https://www.spark-marketing.ru/Card/Lot/72172641", "Услуги по поставке продукции общественного питания и обслуживанию торжественных мероприятий")</f>
        <v>Услуги по поставке продукции общественного питания и обслуживанию торжественных мероприятий</v>
      </c>
      <c r="G12495" s="22" t="s">
        <v>469</v>
      </c>
      <c r="H12495" s="22" t="s">
        <v>491</v>
      </c>
      <c r="I12495" s="26">
        <v>43664.3738773148</v>
      </c>
      <c r="J12495" s="23" t="str">
        <f>HYPERLINK("https://www.spark-marketing.ru/Card/Person/862957", "ООО ""СЛУЖБА ПИТАНИЯ""")</f>
        <v>ООО "СЛУЖБА ПИТАНИЯ"</v>
      </c>
      <c r="K12495" s="24" t="s">
        <v>16975</v>
      </c>
      <c r="L12495" s="22" t="s">
        <v>10</v>
      </c>
      <c r="M12495" s="28" t="s">
        <v>51</v>
      </c>
      <c r="N12495" s="28" t="s">
        <v>51</v>
      </c>
    </row>
    <row r="12496" spans="1:14" x14ac:dyDescent="0.15">
      <c r="A12496" s="23" t="str">
        <f>HYPERLINK("https://www.spark-marketing.ru/Card/Person/127521", "МАУ ДОЛ ""СПУТНИК""")</f>
        <v>МАУ ДОЛ "СПУТНИК"</v>
      </c>
      <c r="B12496" s="24" t="s">
        <v>16976</v>
      </c>
      <c r="C12496" s="25">
        <v>134400</v>
      </c>
      <c r="D12496" s="22" t="s">
        <v>16977</v>
      </c>
      <c r="E12496" s="22" t="s">
        <v>362</v>
      </c>
      <c r="F12496" s="23" t="str">
        <f>HYPERLINK("https://www.spark-marketing.ru/Card/Lot/72165025", "услуги по организации горячего питания в период летних каникул (с 17.07.2019 по 06.08.2019)")</f>
        <v>услуги по организации горячего питания в период летних каникул (с 17.07.2019 по 06.08.2019)</v>
      </c>
      <c r="G12496" s="22" t="s">
        <v>174</v>
      </c>
      <c r="H12496" s="22" t="s">
        <v>174</v>
      </c>
      <c r="I12496" s="26">
        <v>43663.946238425902</v>
      </c>
      <c r="J12496" s="28" t="s">
        <v>51</v>
      </c>
      <c r="K12496" s="28" t="s">
        <v>51</v>
      </c>
      <c r="L12496" s="28" t="s">
        <v>51</v>
      </c>
      <c r="M12496" s="28" t="s">
        <v>51</v>
      </c>
      <c r="N12496" s="28" t="s">
        <v>51</v>
      </c>
    </row>
    <row r="12497" spans="1:14" x14ac:dyDescent="0.15">
      <c r="A12497" s="23" t="str">
        <f>HYPERLINK("https://www.spark-marketing.ru/Card/Person/160267", "ОТДЕЛ МВД РОССИИ ПО БЛАГОВАРСКОМУ РАЙОНУ")</f>
        <v>ОТДЕЛ МВД РОССИИ ПО БЛАГОВАРСКОМУ РАЙОНУ</v>
      </c>
      <c r="B12497" s="24" t="s">
        <v>16978</v>
      </c>
      <c r="C12497" s="25">
        <v>15000</v>
      </c>
      <c r="D12497" s="22" t="s">
        <v>16979</v>
      </c>
      <c r="E12497" s="22" t="s">
        <v>48</v>
      </c>
      <c r="F12497" s="23" t="str">
        <f>HYPERLINK("https://www.spark-marketing.ru/Card/Lot/72159353",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2497" s="22" t="s">
        <v>145</v>
      </c>
      <c r="H12497" s="22" t="s">
        <v>16980</v>
      </c>
      <c r="I12497" s="26">
        <v>43663.826585648101</v>
      </c>
      <c r="J12497" s="28" t="s">
        <v>51</v>
      </c>
      <c r="K12497" s="28" t="s">
        <v>51</v>
      </c>
      <c r="L12497" s="28" t="s">
        <v>51</v>
      </c>
      <c r="M12497" s="28" t="s">
        <v>51</v>
      </c>
      <c r="N12497" s="28" t="s">
        <v>51</v>
      </c>
    </row>
    <row r="12498" spans="1:14" x14ac:dyDescent="0.15">
      <c r="A12498" s="23" t="str">
        <f>HYPERLINK("https://www.spark-marketing.ru/Card/Person/160267", "ОТДЕЛ МВД РОССИИ ПО БЛАГОВАРСКОМУ РАЙОНУ")</f>
        <v>ОТДЕЛ МВД РОССИИ ПО БЛАГОВАРСКОМУ РАЙОНУ</v>
      </c>
      <c r="B12498" s="24" t="s">
        <v>16978</v>
      </c>
      <c r="C12498" s="25">
        <v>15000</v>
      </c>
      <c r="D12498" s="22" t="s">
        <v>16981</v>
      </c>
      <c r="E12498" s="22" t="s">
        <v>48</v>
      </c>
      <c r="F12498" s="23" t="str">
        <f>HYPERLINK("https://www.spark-marketing.ru/Card/Lot/72159354",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2498" s="22" t="s">
        <v>145</v>
      </c>
      <c r="H12498" s="22" t="s">
        <v>16980</v>
      </c>
      <c r="I12498" s="26">
        <v>43663.828182870398</v>
      </c>
      <c r="J12498" s="28" t="s">
        <v>51</v>
      </c>
      <c r="K12498" s="28" t="s">
        <v>51</v>
      </c>
      <c r="L12498" s="28" t="s">
        <v>51</v>
      </c>
      <c r="M12498" s="28" t="s">
        <v>51</v>
      </c>
      <c r="N12498" s="28" t="s">
        <v>51</v>
      </c>
    </row>
    <row r="12499" spans="1:14" x14ac:dyDescent="0.15">
      <c r="A12499" s="23" t="str">
        <f>HYPERLINK("https://www.spark-marketing.ru/Card/Person/1488052", "ГАУ ""КЦСОН Г. КАРПИНСКА""")</f>
        <v>ГАУ "КЦСОН Г. КАРПИНСКА"</v>
      </c>
      <c r="B12499" s="24" t="s">
        <v>13279</v>
      </c>
      <c r="C12499" s="25">
        <v>705100</v>
      </c>
      <c r="D12499" s="22" t="s">
        <v>16982</v>
      </c>
      <c r="E12499" s="22" t="s">
        <v>580</v>
      </c>
      <c r="F12499" s="23" t="str">
        <f>HYPERLINK("https://www.spark-marketing.ru/Card/Lot/72168076", "Оказание услуг по организации горячего питания граждан пожилого возраста и инвалидов, находящихся на обслуживании в ОВП г. Карпинска с 01.09.2019 г. по 31.12.2019 г.")</f>
        <v>Оказание услуг по организации горячего питания граждан пожилого возраста и инвалидов, находящихся на обслуживании в ОВП г. Карпинска с 01.09.2019 г. по 31.12.2019 г.</v>
      </c>
      <c r="G12499" s="22" t="s">
        <v>174</v>
      </c>
      <c r="H12499" s="22" t="s">
        <v>13281</v>
      </c>
      <c r="I12499" s="26">
        <v>43663.797060185199</v>
      </c>
      <c r="J12499" s="28" t="s">
        <v>51</v>
      </c>
      <c r="K12499" s="28" t="s">
        <v>51</v>
      </c>
      <c r="L12499" s="28" t="s">
        <v>51</v>
      </c>
      <c r="M12499" s="28" t="s">
        <v>51</v>
      </c>
      <c r="N12499" s="28" t="s">
        <v>51</v>
      </c>
    </row>
    <row r="12500" spans="1:14" x14ac:dyDescent="0.15">
      <c r="A12500" s="23" t="str">
        <f>HYPERLINK("https://www.spark-marketing.ru/Card/Person/135615", "ГБУ СО РК ""ЦЕНТР ПОМОЩИ ДЕТЯМ ""НАДЕЖДА""")</f>
        <v>ГБУ СО РК "ЦЕНТР ПОМОЩИ ДЕТЯМ "НАДЕЖДА"</v>
      </c>
      <c r="B12500" s="24" t="s">
        <v>16983</v>
      </c>
      <c r="C12500" s="25">
        <v>186304</v>
      </c>
      <c r="D12500" s="22" t="s">
        <v>16984</v>
      </c>
      <c r="E12500" s="22" t="s">
        <v>48</v>
      </c>
      <c r="F12500" s="23" t="str">
        <f>HYPERLINK("https://www.spark-marketing.ru/Card/Lot/72159079", "Оказание услуг по организации горячего питания для воспитанников отделения социальной реабилитации в полустационарной форме ГБУ СО РК ""Центр помощи детям ""Надежда"", расположенного по адресу: г. Петрозаводск, ул. Краснофлотская, д. 20")</f>
        <v>Оказание услуг по организации горячего питания для воспитанников отделения социальной реабилитации в полустационарной форме ГБУ СО РК "Центр помощи детям "Надежда", расположенного по адресу: г. Петрозаводск, ул. Краснофлотская, д. 20</v>
      </c>
      <c r="G12500" s="22" t="s">
        <v>59</v>
      </c>
      <c r="H12500" s="22" t="s">
        <v>314</v>
      </c>
      <c r="I12500" s="26">
        <v>43663.777743055602</v>
      </c>
      <c r="J12500" s="23" t="str">
        <f>HYPERLINK("https://www.spark-marketing.ru/Card/Person/61318", "ООО ""СЕВЕРПРОДУКТ""")</f>
        <v>ООО "СЕВЕРПРОДУКТ"</v>
      </c>
      <c r="K12500" s="24" t="s">
        <v>6634</v>
      </c>
      <c r="L12500" s="22" t="s">
        <v>10</v>
      </c>
      <c r="M12500" s="28" t="s">
        <v>51</v>
      </c>
      <c r="N12500" s="28" t="s">
        <v>51</v>
      </c>
    </row>
    <row r="12501" spans="1:14" x14ac:dyDescent="0.15">
      <c r="A12501" s="23" t="str">
        <f>HYPERLINK("https://www.spark-marketing.ru/Card/Person/135615", "ГБУ СО РК ""ЦЕНТР ПОМОЩИ ДЕТЯМ ""НАДЕЖДА""")</f>
        <v>ГБУ СО РК "ЦЕНТР ПОМОЩИ ДЕТЯМ "НАДЕЖДА"</v>
      </c>
      <c r="B12501" s="24" t="s">
        <v>16983</v>
      </c>
      <c r="C12501" s="25">
        <v>2249947.0499999998</v>
      </c>
      <c r="D12501" s="22" t="s">
        <v>16985</v>
      </c>
      <c r="E12501" s="22" t="s">
        <v>48</v>
      </c>
      <c r="F12501" s="23" t="str">
        <f>HYPERLINK("https://www.spark-marketing.ru/Card/Lot/72162572", "Оказание услуг по организации горячего питания для несовершеннолетних граждан - получателей социальных услуг стационарного отделения ГБУ СО РК ""Центр помощи детям ""Надежда"" расположенного по адресу: г. Петрозаводск, ул. Судостроительная, д. 24а (с...")</f>
        <v>Оказание услуг по организации горячего питания для несовершеннолетних граждан - получателей социальных услуг стационарного отделения ГБУ СО РК "Центр помощи детям "Надежда" расположенного по адресу: г. Петрозаводск, ул. Судостроительная, д. 24а (с...</v>
      </c>
      <c r="G12501" s="22" t="s">
        <v>59</v>
      </c>
      <c r="H12501" s="22" t="s">
        <v>314</v>
      </c>
      <c r="I12501" s="26">
        <v>43663.7719560185</v>
      </c>
      <c r="J12501" s="23" t="str">
        <f>HYPERLINK("https://www.spark-marketing.ru/Card/Person/61318", "ООО ""СЕВЕРПРОДУКТ""")</f>
        <v>ООО "СЕВЕРПРОДУКТ"</v>
      </c>
      <c r="K12501" s="24" t="s">
        <v>6634</v>
      </c>
      <c r="L12501" s="22" t="s">
        <v>10</v>
      </c>
      <c r="M12501" s="28" t="s">
        <v>51</v>
      </c>
      <c r="N12501" s="28" t="s">
        <v>51</v>
      </c>
    </row>
    <row r="12502" spans="1:14" x14ac:dyDescent="0.15">
      <c r="A12502" s="23" t="str">
        <f>HYPERLINK("https://www.spark-marketing.ru/Card/Person/1023076", "МДОУ №13 П.СТРОИТЕЛЬ")</f>
        <v>МДОУ №13 П.СТРОИТЕЛЬ</v>
      </c>
      <c r="B12502" s="24" t="s">
        <v>16831</v>
      </c>
      <c r="C12502" s="25">
        <v>397540</v>
      </c>
      <c r="D12502" s="22" t="s">
        <v>16986</v>
      </c>
      <c r="E12502" s="22" t="s">
        <v>48</v>
      </c>
      <c r="F12502" s="23" t="str">
        <f>HYPERLINK("https://www.spark-marketing.ru/Card/Lot/72157884", "Оказание услуг по организации питания воспитанников")</f>
        <v>Оказание услуг по организации питания воспитанников</v>
      </c>
      <c r="G12502" s="22" t="s">
        <v>49</v>
      </c>
      <c r="H12502" s="22" t="s">
        <v>506</v>
      </c>
      <c r="I12502" s="26">
        <v>43663.752835648098</v>
      </c>
      <c r="J12502" s="28" t="s">
        <v>51</v>
      </c>
      <c r="K12502" s="28" t="s">
        <v>51</v>
      </c>
      <c r="L12502" s="28" t="s">
        <v>51</v>
      </c>
      <c r="M12502" s="28" t="s">
        <v>51</v>
      </c>
      <c r="N12502" s="28" t="s">
        <v>51</v>
      </c>
    </row>
    <row r="12503" spans="1:14" collapsed="1" x14ac:dyDescent="0.2">
      <c r="A12503" s="23" t="s">
        <v>114</v>
      </c>
      <c r="B12503" s="28" t="s">
        <v>51</v>
      </c>
      <c r="C12503" s="25">
        <v>18937058</v>
      </c>
      <c r="D12503" s="22" t="s">
        <v>16987</v>
      </c>
      <c r="E12503" s="22" t="s">
        <v>48</v>
      </c>
      <c r="F12503" s="23" t="str">
        <f t="shared" ref="F12503:F12508" si="394">HYPERLINK("https://www.spark-marketing.ru/Card/Lot/72163980", "Оказание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503" s="22" t="s">
        <v>51</v>
      </c>
      <c r="H12503" s="22" t="s">
        <v>51</v>
      </c>
      <c r="I12503" s="26">
        <v>43663.756249999999</v>
      </c>
      <c r="J12503" s="23" t="str">
        <f t="shared" ref="J12503:J12508" si="395">HYPERLINK("https://www.spark-marketing.ru/Card/Person/6558293", "ООО ""ВИВО МАРКЕТ""")</f>
        <v>ООО "ВИВО МАРКЕТ"</v>
      </c>
      <c r="K12503" s="24" t="s">
        <v>14440</v>
      </c>
      <c r="L12503" s="28" t="s">
        <v>51</v>
      </c>
      <c r="M12503" s="25">
        <v>18937058</v>
      </c>
      <c r="N12503" s="27">
        <v>0</v>
      </c>
    </row>
    <row r="12504" spans="1:14" hidden="1" outlineLevel="1" x14ac:dyDescent="0.2">
      <c r="A12504" s="23" t="str">
        <f>HYPERLINK("https://www.spark-marketing.ru/Card/Person/48620", "МОУ СШ № 3")</f>
        <v>МОУ СШ № 3</v>
      </c>
      <c r="B12504" s="24" t="s">
        <v>16988</v>
      </c>
      <c r="C12504" s="25">
        <v>5835210</v>
      </c>
      <c r="D12504" s="22" t="s">
        <v>16987</v>
      </c>
      <c r="E12504" s="22" t="s">
        <v>48</v>
      </c>
      <c r="F12504" s="23" t="str">
        <f t="shared" si="394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504" s="22" t="s">
        <v>158</v>
      </c>
      <c r="H12504" s="22" t="s">
        <v>158</v>
      </c>
      <c r="I12504" s="26">
        <v>43663.756249999999</v>
      </c>
      <c r="J12504" s="23" t="str">
        <f t="shared" si="395"/>
        <v>ООО "ВИВО МАРКЕТ"</v>
      </c>
      <c r="K12504" s="24" t="s">
        <v>14440</v>
      </c>
      <c r="L12504" s="28" t="s">
        <v>51</v>
      </c>
      <c r="M12504" s="28" t="s">
        <v>51</v>
      </c>
      <c r="N12504" s="27">
        <v>0</v>
      </c>
    </row>
    <row r="12505" spans="1:14" hidden="1" outlineLevel="1" x14ac:dyDescent="0.2">
      <c r="A12505" s="23" t="str">
        <f>HYPERLINK("https://www.spark-marketing.ru/Card/Person/100652", "МОУ СШ № 29")</f>
        <v>МОУ СШ № 29</v>
      </c>
      <c r="B12505" s="24" t="s">
        <v>16989</v>
      </c>
      <c r="C12505" s="25">
        <v>2884540</v>
      </c>
      <c r="D12505" s="22" t="s">
        <v>16987</v>
      </c>
      <c r="E12505" s="22" t="s">
        <v>48</v>
      </c>
      <c r="F12505" s="23" t="str">
        <f t="shared" si="394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505" s="22" t="s">
        <v>158</v>
      </c>
      <c r="H12505" s="22" t="s">
        <v>158</v>
      </c>
      <c r="I12505" s="26">
        <v>43663.756249999999</v>
      </c>
      <c r="J12505" s="23" t="str">
        <f t="shared" si="395"/>
        <v>ООО "ВИВО МАРКЕТ"</v>
      </c>
      <c r="K12505" s="24" t="s">
        <v>14440</v>
      </c>
      <c r="L12505" s="28" t="s">
        <v>51</v>
      </c>
      <c r="M12505" s="28" t="s">
        <v>51</v>
      </c>
      <c r="N12505" s="27">
        <v>0</v>
      </c>
    </row>
    <row r="12506" spans="1:14" hidden="1" outlineLevel="1" x14ac:dyDescent="0.2">
      <c r="A12506" s="23" t="str">
        <f>HYPERLINK("https://www.spark-marketing.ru/Card/Person/129079", "МОУ СШ № 17")</f>
        <v>МОУ СШ № 17</v>
      </c>
      <c r="B12506" s="24" t="s">
        <v>16990</v>
      </c>
      <c r="C12506" s="25">
        <v>5325768</v>
      </c>
      <c r="D12506" s="22" t="s">
        <v>16987</v>
      </c>
      <c r="E12506" s="22" t="s">
        <v>48</v>
      </c>
      <c r="F12506" s="23" t="str">
        <f t="shared" si="394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506" s="22" t="s">
        <v>158</v>
      </c>
      <c r="H12506" s="22" t="s">
        <v>158</v>
      </c>
      <c r="I12506" s="26">
        <v>43663.756249999999</v>
      </c>
      <c r="J12506" s="23" t="str">
        <f t="shared" si="395"/>
        <v>ООО "ВИВО МАРКЕТ"</v>
      </c>
      <c r="K12506" s="24" t="s">
        <v>14440</v>
      </c>
      <c r="L12506" s="28" t="s">
        <v>51</v>
      </c>
      <c r="M12506" s="28" t="s">
        <v>51</v>
      </c>
      <c r="N12506" s="27">
        <v>0</v>
      </c>
    </row>
    <row r="12507" spans="1:14" hidden="1" outlineLevel="1" x14ac:dyDescent="0.2">
      <c r="A12507" s="23" t="str">
        <f>HYPERLINK("https://www.spark-marketing.ru/Card/Person/129349", "МОУ СШ № 12")</f>
        <v>МОУ СШ № 12</v>
      </c>
      <c r="B12507" s="24" t="s">
        <v>16991</v>
      </c>
      <c r="C12507" s="25">
        <v>2020140</v>
      </c>
      <c r="D12507" s="22" t="s">
        <v>16987</v>
      </c>
      <c r="E12507" s="22" t="s">
        <v>48</v>
      </c>
      <c r="F12507" s="23" t="str">
        <f t="shared" si="394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507" s="22" t="s">
        <v>158</v>
      </c>
      <c r="H12507" s="22" t="s">
        <v>158</v>
      </c>
      <c r="I12507" s="26">
        <v>43663.756249999999</v>
      </c>
      <c r="J12507" s="23" t="str">
        <f t="shared" si="395"/>
        <v>ООО "ВИВО МАРКЕТ"</v>
      </c>
      <c r="K12507" s="24" t="s">
        <v>14440</v>
      </c>
      <c r="L12507" s="28" t="s">
        <v>51</v>
      </c>
      <c r="M12507" s="28" t="s">
        <v>51</v>
      </c>
      <c r="N12507" s="27">
        <v>0</v>
      </c>
    </row>
    <row r="12508" spans="1:14" hidden="1" outlineLevel="1" x14ac:dyDescent="0.2">
      <c r="A12508" s="23" t="str">
        <f>HYPERLINK("https://www.spark-marketing.ru/Card/Person/143153", "МОУ СШ № 26")</f>
        <v>МОУ СШ № 26</v>
      </c>
      <c r="B12508" s="24" t="s">
        <v>16992</v>
      </c>
      <c r="C12508" s="25">
        <v>2871400</v>
      </c>
      <c r="D12508" s="22" t="s">
        <v>16987</v>
      </c>
      <c r="E12508" s="22" t="s">
        <v>48</v>
      </c>
      <c r="F12508" s="23" t="str">
        <f t="shared" si="394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508" s="22" t="s">
        <v>158</v>
      </c>
      <c r="H12508" s="22" t="s">
        <v>158</v>
      </c>
      <c r="I12508" s="26">
        <v>43663.756249999999</v>
      </c>
      <c r="J12508" s="23" t="str">
        <f t="shared" si="395"/>
        <v>ООО "ВИВО МАРКЕТ"</v>
      </c>
      <c r="K12508" s="24" t="s">
        <v>14440</v>
      </c>
      <c r="L12508" s="28" t="s">
        <v>51</v>
      </c>
      <c r="M12508" s="28" t="s">
        <v>51</v>
      </c>
      <c r="N12508" s="27">
        <v>0</v>
      </c>
    </row>
    <row r="12509" spans="1:14" collapsed="1" x14ac:dyDescent="0.15">
      <c r="A12509" s="23" t="s">
        <v>114</v>
      </c>
      <c r="B12509" s="28" t="s">
        <v>51</v>
      </c>
      <c r="C12509" s="25">
        <v>18291568</v>
      </c>
      <c r="D12509" s="22" t="s">
        <v>16993</v>
      </c>
      <c r="E12509" s="22" t="s">
        <v>48</v>
      </c>
      <c r="F12509" s="23" t="str">
        <f t="shared" ref="F12509:F12515" si="396">HYPERLINK("https://www.spark-marketing.ru/Card/Lot/72162831", "Оказание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509" s="22" t="s">
        <v>51</v>
      </c>
      <c r="H12509" s="22" t="s">
        <v>51</v>
      </c>
      <c r="I12509" s="26">
        <v>43663.757638888899</v>
      </c>
      <c r="J12509" s="28" t="s">
        <v>51</v>
      </c>
      <c r="K12509" s="28" t="s">
        <v>51</v>
      </c>
      <c r="L12509" s="28" t="s">
        <v>51</v>
      </c>
      <c r="M12509" s="28" t="s">
        <v>51</v>
      </c>
      <c r="N12509" s="28" t="s">
        <v>51</v>
      </c>
    </row>
    <row r="12510" spans="1:14" hidden="1" outlineLevel="1" x14ac:dyDescent="0.15">
      <c r="A12510" s="23" t="str">
        <f>HYPERLINK("https://www.spark-marketing.ru/Card/Person/70776", "МОУ НШ № 2")</f>
        <v>МОУ НШ № 2</v>
      </c>
      <c r="B12510" s="24" t="s">
        <v>16994</v>
      </c>
      <c r="C12510" s="25">
        <v>1758900</v>
      </c>
      <c r="D12510" s="22" t="s">
        <v>16993</v>
      </c>
      <c r="E12510" s="22" t="s">
        <v>48</v>
      </c>
      <c r="F12510" s="23" t="str">
        <f t="shared" si="396"/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510" s="22" t="s">
        <v>158</v>
      </c>
      <c r="H12510" s="22" t="s">
        <v>158</v>
      </c>
      <c r="I12510" s="26">
        <v>43663.757638888899</v>
      </c>
      <c r="J12510" s="28" t="s">
        <v>51</v>
      </c>
      <c r="K12510" s="28" t="s">
        <v>51</v>
      </c>
      <c r="L12510" s="28" t="s">
        <v>51</v>
      </c>
      <c r="M12510" s="28" t="s">
        <v>51</v>
      </c>
      <c r="N12510" s="28" t="s">
        <v>51</v>
      </c>
    </row>
    <row r="12511" spans="1:14" hidden="1" outlineLevel="1" x14ac:dyDescent="0.15">
      <c r="A12511" s="23" t="str">
        <f>HYPERLINK("https://www.spark-marketing.ru/Card/Person/92825", "МОУ СШ № 48")</f>
        <v>МОУ СШ № 48</v>
      </c>
      <c r="B12511" s="24" t="s">
        <v>16995</v>
      </c>
      <c r="C12511" s="25">
        <v>5036746</v>
      </c>
      <c r="D12511" s="22" t="s">
        <v>16993</v>
      </c>
      <c r="E12511" s="22" t="s">
        <v>48</v>
      </c>
      <c r="F12511" s="23" t="str">
        <f t="shared" si="396"/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511" s="22" t="s">
        <v>158</v>
      </c>
      <c r="H12511" s="22" t="s">
        <v>158</v>
      </c>
      <c r="I12511" s="26">
        <v>43663.757638888899</v>
      </c>
      <c r="J12511" s="28" t="s">
        <v>51</v>
      </c>
      <c r="K12511" s="28" t="s">
        <v>51</v>
      </c>
      <c r="L12511" s="28" t="s">
        <v>51</v>
      </c>
      <c r="M12511" s="28" t="s">
        <v>51</v>
      </c>
      <c r="N12511" s="28" t="s">
        <v>51</v>
      </c>
    </row>
    <row r="12512" spans="1:14" hidden="1" outlineLevel="1" x14ac:dyDescent="0.15">
      <c r="A12512" s="23" t="str">
        <f>HYPERLINK("https://www.spark-marketing.ru/Card/Person/128410", "МОУ ЛИЦЕЙ № 11")</f>
        <v>МОУ ЛИЦЕЙ № 11</v>
      </c>
      <c r="B12512" s="24" t="s">
        <v>16996</v>
      </c>
      <c r="C12512" s="25">
        <v>7439502</v>
      </c>
      <c r="D12512" s="22" t="s">
        <v>16993</v>
      </c>
      <c r="E12512" s="22" t="s">
        <v>48</v>
      </c>
      <c r="F12512" s="23" t="str">
        <f t="shared" si="396"/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512" s="22" t="s">
        <v>158</v>
      </c>
      <c r="H12512" s="22" t="s">
        <v>158</v>
      </c>
      <c r="I12512" s="26">
        <v>43663.757638888899</v>
      </c>
      <c r="J12512" s="28" t="s">
        <v>51</v>
      </c>
      <c r="K12512" s="28" t="s">
        <v>51</v>
      </c>
      <c r="L12512" s="28" t="s">
        <v>51</v>
      </c>
      <c r="M12512" s="28" t="s">
        <v>51</v>
      </c>
      <c r="N12512" s="28" t="s">
        <v>51</v>
      </c>
    </row>
    <row r="12513" spans="1:14" hidden="1" outlineLevel="1" x14ac:dyDescent="0.15">
      <c r="A12513" s="23" t="str">
        <f>HYPERLINK("https://www.spark-marketing.ru/Card/Person/130096", "МОУ ЛИЦЕЙ № 6")</f>
        <v>МОУ ЛИЦЕЙ № 6</v>
      </c>
      <c r="B12513" s="24" t="s">
        <v>16997</v>
      </c>
      <c r="C12513" s="25">
        <v>4056420</v>
      </c>
      <c r="D12513" s="22" t="s">
        <v>16993</v>
      </c>
      <c r="E12513" s="22" t="s">
        <v>48</v>
      </c>
      <c r="F12513" s="23" t="str">
        <f t="shared" si="396"/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513" s="22" t="s">
        <v>158</v>
      </c>
      <c r="H12513" s="22" t="s">
        <v>158</v>
      </c>
      <c r="I12513" s="26">
        <v>43663.757638888899</v>
      </c>
      <c r="J12513" s="28" t="s">
        <v>51</v>
      </c>
      <c r="K12513" s="28" t="s">
        <v>51</v>
      </c>
      <c r="L12513" s="28" t="s">
        <v>51</v>
      </c>
      <c r="M12513" s="28" t="s">
        <v>51</v>
      </c>
      <c r="N12513" s="28" t="s">
        <v>51</v>
      </c>
    </row>
    <row r="12514" spans="1:14" hidden="1" outlineLevel="1" x14ac:dyDescent="0.2">
      <c r="A12514" s="28" t="s">
        <v>51</v>
      </c>
      <c r="B12514" s="28" t="s">
        <v>51</v>
      </c>
      <c r="C12514" s="28" t="s">
        <v>51</v>
      </c>
      <c r="D12514" s="22" t="s">
        <v>16993</v>
      </c>
      <c r="E12514" s="22" t="s">
        <v>48</v>
      </c>
      <c r="F12514" s="23" t="str">
        <f t="shared" si="396"/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514" s="22" t="s">
        <v>51</v>
      </c>
      <c r="H12514" s="22" t="s">
        <v>51</v>
      </c>
      <c r="I12514" s="26">
        <v>43663.757638888899</v>
      </c>
      <c r="J12514" s="23" t="str">
        <f>HYPERLINK("https://www.spark-marketing.ru/Card/Person/6558293", "ООО ""ВИВО МАРКЕТ""")</f>
        <v>ООО "ВИВО МАРКЕТ"</v>
      </c>
      <c r="K12514" s="24" t="s">
        <v>14440</v>
      </c>
      <c r="L12514" s="22" t="s">
        <v>10</v>
      </c>
      <c r="M12514" s="25">
        <v>18291568</v>
      </c>
      <c r="N12514" s="27">
        <v>0</v>
      </c>
    </row>
    <row r="12515" spans="1:14" hidden="1" outlineLevel="1" x14ac:dyDescent="0.2">
      <c r="A12515" s="28" t="s">
        <v>51</v>
      </c>
      <c r="B12515" s="28" t="s">
        <v>51</v>
      </c>
      <c r="C12515" s="28" t="s">
        <v>51</v>
      </c>
      <c r="D12515" s="22" t="s">
        <v>16993</v>
      </c>
      <c r="E12515" s="22" t="s">
        <v>48</v>
      </c>
      <c r="F12515" s="23" t="str">
        <f t="shared" si="396"/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515" s="22" t="s">
        <v>51</v>
      </c>
      <c r="H12515" s="22" t="s">
        <v>51</v>
      </c>
      <c r="I12515" s="26">
        <v>43663.757638888899</v>
      </c>
      <c r="J12515" s="23" t="str">
        <f>HYPERLINK("https://www.spark-marketing.ru/Card/Person/520670", "ООО ""СОЮЗ К""")</f>
        <v>ООО "СОЮЗ К"</v>
      </c>
      <c r="K12515" s="24" t="s">
        <v>10035</v>
      </c>
      <c r="L12515" s="28" t="s">
        <v>51</v>
      </c>
      <c r="M12515" s="25">
        <v>17559905.280000001</v>
      </c>
      <c r="N12515" s="27">
        <v>0.04</v>
      </c>
    </row>
    <row r="12516" spans="1:14" x14ac:dyDescent="0.15">
      <c r="A12516" s="23" t="str">
        <f>HYPERLINK("https://www.spark-marketing.ru/Card/Person/5855087", "ГБОУ ""РЕСПУБЛИКАНСКАЯ ШКОЛА-ИНТЕРНАТ ""ТУВИНСКИЙ КАДЕТСКИЙ КОРПУС""")</f>
        <v>ГБОУ "РЕСПУБЛИКАНСКАЯ ШКОЛА-ИНТЕРНАТ "ТУВИНСКИЙ КАДЕТСКИЙ КОРПУС"</v>
      </c>
      <c r="B12516" s="24" t="s">
        <v>1019</v>
      </c>
      <c r="C12516" s="25">
        <v>7314300</v>
      </c>
      <c r="D12516" s="22" t="s">
        <v>16998</v>
      </c>
      <c r="E12516" s="22" t="s">
        <v>48</v>
      </c>
      <c r="F12516" s="23" t="str">
        <f>HYPERLINK("https://www.spark-marketing.ru/Card/Lot/72162837", "Услуги по организации горячего питания для воспитанников ГБОУ РШИ ""Тувинский кадетский корпус""")</f>
        <v>Услуги по организации горячего питания для воспитанников ГБОУ РШИ "Тувинский кадетский корпус"</v>
      </c>
      <c r="G12516" s="22" t="s">
        <v>327</v>
      </c>
      <c r="H12516" s="22" t="s">
        <v>328</v>
      </c>
      <c r="I12516" s="26">
        <v>43663.750694444403</v>
      </c>
      <c r="J12516" s="28" t="s">
        <v>51</v>
      </c>
      <c r="K12516" s="28" t="s">
        <v>51</v>
      </c>
      <c r="L12516" s="28" t="s">
        <v>51</v>
      </c>
      <c r="M12516" s="28" t="s">
        <v>51</v>
      </c>
      <c r="N12516" s="28" t="s">
        <v>51</v>
      </c>
    </row>
    <row r="12517" spans="1:14" collapsed="1" x14ac:dyDescent="0.2">
      <c r="A12517" s="23" t="s">
        <v>114</v>
      </c>
      <c r="B12517" s="28" t="s">
        <v>51</v>
      </c>
      <c r="C12517" s="25">
        <v>18240488</v>
      </c>
      <c r="D12517" s="22" t="s">
        <v>16999</v>
      </c>
      <c r="E12517" s="22" t="s">
        <v>48</v>
      </c>
      <c r="F12517" s="23" t="str">
        <f t="shared" ref="F12517:F12522" si="397">HYPERLINK("https://www.spark-marketing.ru/Card/Lot/72162830", "Оказание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517" s="22" t="s">
        <v>51</v>
      </c>
      <c r="H12517" s="22" t="s">
        <v>51</v>
      </c>
      <c r="I12517" s="26">
        <v>43663.756249999999</v>
      </c>
      <c r="J12517" s="23" t="str">
        <f t="shared" ref="J12517:J12522" si="398">HYPERLINK("https://www.spark-marketing.ru/Card/Person/6558293", "ООО ""ВИВО МАРКЕТ""")</f>
        <v>ООО "ВИВО МАРКЕТ"</v>
      </c>
      <c r="K12517" s="24" t="s">
        <v>14440</v>
      </c>
      <c r="L12517" s="28" t="s">
        <v>51</v>
      </c>
      <c r="M12517" s="25">
        <v>18240488</v>
      </c>
      <c r="N12517" s="27">
        <v>0</v>
      </c>
    </row>
    <row r="12518" spans="1:14" hidden="1" outlineLevel="1" x14ac:dyDescent="0.2">
      <c r="A12518" s="23" t="str">
        <f>HYPERLINK("https://www.spark-marketing.ru/Card/Person/127890", "МОУ ДЮЦ ТРАКТОРОЗАВОДСКОГО РАЙОНА")</f>
        <v>МОУ ДЮЦ ТРАКТОРОЗАВОДСКОГО РАЙОНА</v>
      </c>
      <c r="B12518" s="24" t="s">
        <v>17000</v>
      </c>
      <c r="C12518" s="25">
        <v>460660</v>
      </c>
      <c r="D12518" s="22" t="s">
        <v>16999</v>
      </c>
      <c r="E12518" s="22" t="s">
        <v>48</v>
      </c>
      <c r="F12518" s="23" t="str">
        <f t="shared" si="397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518" s="22" t="s">
        <v>158</v>
      </c>
      <c r="H12518" s="22" t="s">
        <v>158</v>
      </c>
      <c r="I12518" s="26">
        <v>43663.756249999999</v>
      </c>
      <c r="J12518" s="23" t="str">
        <f t="shared" si="398"/>
        <v>ООО "ВИВО МАРКЕТ"</v>
      </c>
      <c r="K12518" s="24" t="s">
        <v>14440</v>
      </c>
      <c r="L12518" s="28" t="s">
        <v>51</v>
      </c>
      <c r="M12518" s="28" t="s">
        <v>51</v>
      </c>
      <c r="N12518" s="27">
        <v>0</v>
      </c>
    </row>
    <row r="12519" spans="1:14" hidden="1" outlineLevel="1" x14ac:dyDescent="0.2">
      <c r="A12519" s="23" t="str">
        <f>HYPERLINK("https://www.spark-marketing.ru/Card/Person/128483", "МОУ СШ № 88")</f>
        <v>МОУ СШ № 88</v>
      </c>
      <c r="B12519" s="24" t="s">
        <v>17001</v>
      </c>
      <c r="C12519" s="25">
        <v>4382270</v>
      </c>
      <c r="D12519" s="22" t="s">
        <v>16999</v>
      </c>
      <c r="E12519" s="22" t="s">
        <v>48</v>
      </c>
      <c r="F12519" s="23" t="str">
        <f t="shared" si="397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519" s="22" t="s">
        <v>158</v>
      </c>
      <c r="H12519" s="22" t="s">
        <v>158</v>
      </c>
      <c r="I12519" s="26">
        <v>43663.756249999999</v>
      </c>
      <c r="J12519" s="23" t="str">
        <f t="shared" si="398"/>
        <v>ООО "ВИВО МАРКЕТ"</v>
      </c>
      <c r="K12519" s="24" t="s">
        <v>14440</v>
      </c>
      <c r="L12519" s="28" t="s">
        <v>51</v>
      </c>
      <c r="M12519" s="28" t="s">
        <v>51</v>
      </c>
      <c r="N12519" s="27">
        <v>0</v>
      </c>
    </row>
    <row r="12520" spans="1:14" hidden="1" outlineLevel="1" x14ac:dyDescent="0.2">
      <c r="A12520" s="23" t="str">
        <f>HYPERLINK("https://www.spark-marketing.ru/Card/Person/129107", "МОУ СШ № 18")</f>
        <v>МОУ СШ № 18</v>
      </c>
      <c r="B12520" s="24" t="s">
        <v>17002</v>
      </c>
      <c r="C12520" s="25">
        <v>2780080</v>
      </c>
      <c r="D12520" s="22" t="s">
        <v>16999</v>
      </c>
      <c r="E12520" s="22" t="s">
        <v>48</v>
      </c>
      <c r="F12520" s="23" t="str">
        <f t="shared" si="397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520" s="22" t="s">
        <v>158</v>
      </c>
      <c r="H12520" s="22" t="s">
        <v>158</v>
      </c>
      <c r="I12520" s="26">
        <v>43663.756249999999</v>
      </c>
      <c r="J12520" s="23" t="str">
        <f t="shared" si="398"/>
        <v>ООО "ВИВО МАРКЕТ"</v>
      </c>
      <c r="K12520" s="24" t="s">
        <v>14440</v>
      </c>
      <c r="L12520" s="28" t="s">
        <v>51</v>
      </c>
      <c r="M12520" s="28" t="s">
        <v>51</v>
      </c>
      <c r="N12520" s="27">
        <v>0</v>
      </c>
    </row>
    <row r="12521" spans="1:14" hidden="1" outlineLevel="1" x14ac:dyDescent="0.2">
      <c r="A12521" s="23" t="str">
        <f>HYPERLINK("https://www.spark-marketing.ru/Card/Person/129759", "МОУ СШ № 51")</f>
        <v>МОУ СШ № 51</v>
      </c>
      <c r="B12521" s="24" t="s">
        <v>17003</v>
      </c>
      <c r="C12521" s="25">
        <v>4207720</v>
      </c>
      <c r="D12521" s="22" t="s">
        <v>16999</v>
      </c>
      <c r="E12521" s="22" t="s">
        <v>48</v>
      </c>
      <c r="F12521" s="23" t="str">
        <f t="shared" si="397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521" s="22" t="s">
        <v>158</v>
      </c>
      <c r="H12521" s="22" t="s">
        <v>158</v>
      </c>
      <c r="I12521" s="26">
        <v>43663.756249999999</v>
      </c>
      <c r="J12521" s="23" t="str">
        <f t="shared" si="398"/>
        <v>ООО "ВИВО МАРКЕТ"</v>
      </c>
      <c r="K12521" s="24" t="s">
        <v>14440</v>
      </c>
      <c r="L12521" s="28" t="s">
        <v>51</v>
      </c>
      <c r="M12521" s="28" t="s">
        <v>51</v>
      </c>
      <c r="N12521" s="27">
        <v>0</v>
      </c>
    </row>
    <row r="12522" spans="1:14" hidden="1" outlineLevel="1" x14ac:dyDescent="0.2">
      <c r="A12522" s="23" t="str">
        <f>HYPERLINK("https://www.spark-marketing.ru/Card/Person/129861", "МОУ СШ № 27")</f>
        <v>МОУ СШ № 27</v>
      </c>
      <c r="B12522" s="24" t="s">
        <v>17004</v>
      </c>
      <c r="C12522" s="25">
        <v>6409758</v>
      </c>
      <c r="D12522" s="22" t="s">
        <v>16999</v>
      </c>
      <c r="E12522" s="22" t="s">
        <v>48</v>
      </c>
      <c r="F12522" s="23" t="str">
        <f t="shared" si="397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522" s="22" t="s">
        <v>158</v>
      </c>
      <c r="H12522" s="22" t="s">
        <v>158</v>
      </c>
      <c r="I12522" s="26">
        <v>43663.756249999999</v>
      </c>
      <c r="J12522" s="23" t="str">
        <f t="shared" si="398"/>
        <v>ООО "ВИВО МАРКЕТ"</v>
      </c>
      <c r="K12522" s="24" t="s">
        <v>14440</v>
      </c>
      <c r="L12522" s="28" t="s">
        <v>51</v>
      </c>
      <c r="M12522" s="28" t="s">
        <v>51</v>
      </c>
      <c r="N12522" s="27">
        <v>0</v>
      </c>
    </row>
    <row r="12523" spans="1:14" x14ac:dyDescent="0.2">
      <c r="A12523" s="23" t="str">
        <f>HYPERLINK("https://www.spark-marketing.ru/Card/Person/4874743", "ГАУ ВО ""СК ""РОТОР""")</f>
        <v>ГАУ ВО "СК "РОТОР"</v>
      </c>
      <c r="B12523" s="24" t="s">
        <v>1208</v>
      </c>
      <c r="C12523" s="25">
        <v>263000</v>
      </c>
      <c r="D12523" s="22" t="s">
        <v>17005</v>
      </c>
      <c r="E12523" s="22" t="s">
        <v>769</v>
      </c>
      <c r="F12523" s="23" t="str">
        <f>HYPERLINK("https://www.spark-marketing.ru/Card/Lot/72166724", "Услуги по организации проживания и питания для футбольной команды «Ротор», в период с 23 июля 2019 года по 24 июля 2019 года, в городе Москва")</f>
        <v>Услуги по организации проживания и питания для футбольной команды «Ротор», в период с 23 июля 2019 года по 24 июля 2019 года, в городе Москва</v>
      </c>
      <c r="G12523" s="22" t="s">
        <v>56</v>
      </c>
      <c r="H12523" s="22" t="s">
        <v>56</v>
      </c>
      <c r="I12523" s="26">
        <v>43663.761076388902</v>
      </c>
      <c r="J12523" s="28" t="s">
        <v>51</v>
      </c>
      <c r="K12523" s="28" t="s">
        <v>51</v>
      </c>
      <c r="L12523" s="28" t="s">
        <v>51</v>
      </c>
      <c r="M12523" s="25">
        <v>263000</v>
      </c>
      <c r="N12523" s="27">
        <v>0</v>
      </c>
    </row>
    <row r="12524" spans="1:14" collapsed="1" x14ac:dyDescent="0.15">
      <c r="A12524" s="23" t="s">
        <v>114</v>
      </c>
      <c r="B12524" s="28" t="s">
        <v>51</v>
      </c>
      <c r="C12524" s="25">
        <v>7054201</v>
      </c>
      <c r="D12524" s="22" t="s">
        <v>17006</v>
      </c>
      <c r="E12524" s="22" t="s">
        <v>48</v>
      </c>
      <c r="F12524" s="23" t="str">
        <f t="shared" ref="F12524:F12537" si="399">HYPERLINK("https://www.spark-marketing.ru/Card/Lot/72162834", "Оказание услуг по организации питания отдельным категориям обучающихся во 2 полугодии 2019 года")</f>
        <v>Оказание услуг по организации питания отдельным категориям обучающихся во 2 полугодии 2019 года</v>
      </c>
      <c r="G12524" s="22" t="s">
        <v>51</v>
      </c>
      <c r="H12524" s="22" t="s">
        <v>51</v>
      </c>
      <c r="I12524" s="26">
        <v>43663.752083333296</v>
      </c>
      <c r="J12524" s="28" t="s">
        <v>51</v>
      </c>
      <c r="K12524" s="28" t="s">
        <v>51</v>
      </c>
      <c r="L12524" s="28" t="s">
        <v>51</v>
      </c>
      <c r="M12524" s="28" t="s">
        <v>51</v>
      </c>
      <c r="N12524" s="28" t="s">
        <v>51</v>
      </c>
    </row>
    <row r="12525" spans="1:14" hidden="1" outlineLevel="1" x14ac:dyDescent="0.15">
      <c r="A12525" s="23" t="str">
        <f>HYPERLINK("https://www.spark-marketing.ru/Card/Person/50352", "ДРОВНИНСКАЯ СРЕДНЯЯ ШКОЛА")</f>
        <v>ДРОВНИНСКАЯ СРЕДНЯЯ ШКОЛА</v>
      </c>
      <c r="B12525" s="24" t="s">
        <v>17007</v>
      </c>
      <c r="C12525" s="25">
        <v>446250</v>
      </c>
      <c r="D12525" s="22" t="s">
        <v>17006</v>
      </c>
      <c r="E12525" s="22" t="s">
        <v>48</v>
      </c>
      <c r="F12525" s="23" t="str">
        <f t="shared" si="399"/>
        <v>Оказание услуг по организации питания отдельным категориям обучающихся во 2 полугодии 2019 года</v>
      </c>
      <c r="G12525" s="22" t="s">
        <v>51</v>
      </c>
      <c r="H12525" s="22" t="s">
        <v>51</v>
      </c>
      <c r="I12525" s="26">
        <v>43663.752083333296</v>
      </c>
      <c r="J12525" s="28" t="s">
        <v>51</v>
      </c>
      <c r="K12525" s="28" t="s">
        <v>51</v>
      </c>
      <c r="L12525" s="28" t="s">
        <v>51</v>
      </c>
      <c r="M12525" s="28" t="s">
        <v>51</v>
      </c>
      <c r="N12525" s="28" t="s">
        <v>51</v>
      </c>
    </row>
    <row r="12526" spans="1:14" hidden="1" outlineLevel="1" x14ac:dyDescent="0.15">
      <c r="A12526" s="23" t="str">
        <f>HYPERLINK("https://www.spark-marketing.ru/Card/Person/115868", "МОУ - ВОРОШИЛОВСКАЯ СОШ")</f>
        <v>МОУ - ВОРОШИЛОВСКАЯ СОШ</v>
      </c>
      <c r="B12526" s="24" t="s">
        <v>17008</v>
      </c>
      <c r="C12526" s="25">
        <v>968660</v>
      </c>
      <c r="D12526" s="22" t="s">
        <v>17006</v>
      </c>
      <c r="E12526" s="22" t="s">
        <v>48</v>
      </c>
      <c r="F12526" s="23" t="str">
        <f t="shared" si="399"/>
        <v>Оказание услуг по организации питания отдельным категориям обучающихся во 2 полугодии 2019 года</v>
      </c>
      <c r="G12526" s="22" t="s">
        <v>51</v>
      </c>
      <c r="H12526" s="22" t="s">
        <v>51</v>
      </c>
      <c r="I12526" s="26">
        <v>43663.752083333296</v>
      </c>
      <c r="J12526" s="28" t="s">
        <v>51</v>
      </c>
      <c r="K12526" s="28" t="s">
        <v>51</v>
      </c>
      <c r="L12526" s="28" t="s">
        <v>51</v>
      </c>
      <c r="M12526" s="28" t="s">
        <v>51</v>
      </c>
      <c r="N12526" s="28" t="s">
        <v>51</v>
      </c>
    </row>
    <row r="12527" spans="1:14" hidden="1" outlineLevel="1" x14ac:dyDescent="0.15">
      <c r="A12527" s="23" t="str">
        <f>HYPERLINK("https://www.spark-marketing.ru/Card/Person/142768", "МОУ -СРЕДНЯЯ ОБЩЕОБРАЗОВАТЕЛЬНАЯ ШКОЛА № 2 Г. МОЖАЙСКА")</f>
        <v>МОУ -СРЕДНЯЯ ОБЩЕОБРАЗОВАТЕЛЬНАЯ ШКОЛА № 2 Г. МОЖАЙСКА</v>
      </c>
      <c r="B12527" s="24" t="s">
        <v>17009</v>
      </c>
      <c r="C12527" s="25">
        <v>813960</v>
      </c>
      <c r="D12527" s="22" t="s">
        <v>17006</v>
      </c>
      <c r="E12527" s="22" t="s">
        <v>48</v>
      </c>
      <c r="F12527" s="23" t="str">
        <f t="shared" si="399"/>
        <v>Оказание услуг по организации питания отдельным категориям обучающихся во 2 полугодии 2019 года</v>
      </c>
      <c r="G12527" s="22" t="s">
        <v>51</v>
      </c>
      <c r="H12527" s="22" t="s">
        <v>51</v>
      </c>
      <c r="I12527" s="26">
        <v>43663.752083333296</v>
      </c>
      <c r="J12527" s="28" t="s">
        <v>51</v>
      </c>
      <c r="K12527" s="28" t="s">
        <v>51</v>
      </c>
      <c r="L12527" s="28" t="s">
        <v>51</v>
      </c>
      <c r="M12527" s="28" t="s">
        <v>51</v>
      </c>
      <c r="N12527" s="28" t="s">
        <v>51</v>
      </c>
    </row>
    <row r="12528" spans="1:14" hidden="1" outlineLevel="1" x14ac:dyDescent="0.15">
      <c r="A12528" s="23" t="str">
        <f>HYPERLINK("https://www.spark-marketing.ru/Card/Person/154224", "МОУ - СОШ №3 Г. МОЖАЙСКА")</f>
        <v>МОУ - СОШ №3 Г. МОЖАЙСКА</v>
      </c>
      <c r="B12528" s="24" t="s">
        <v>17010</v>
      </c>
      <c r="C12528" s="25">
        <v>1880200</v>
      </c>
      <c r="D12528" s="22" t="s">
        <v>17006</v>
      </c>
      <c r="E12528" s="22" t="s">
        <v>48</v>
      </c>
      <c r="F12528" s="23" t="str">
        <f t="shared" si="399"/>
        <v>Оказание услуг по организации питания отдельным категориям обучающихся во 2 полугодии 2019 года</v>
      </c>
      <c r="G12528" s="22" t="s">
        <v>51</v>
      </c>
      <c r="H12528" s="22" t="s">
        <v>51</v>
      </c>
      <c r="I12528" s="26">
        <v>43663.752083333296</v>
      </c>
      <c r="J12528" s="28" t="s">
        <v>51</v>
      </c>
      <c r="K12528" s="28" t="s">
        <v>51</v>
      </c>
      <c r="L12528" s="28" t="s">
        <v>51</v>
      </c>
      <c r="M12528" s="28" t="s">
        <v>51</v>
      </c>
      <c r="N12528" s="28" t="s">
        <v>51</v>
      </c>
    </row>
    <row r="12529" spans="1:14" hidden="1" outlineLevel="1" x14ac:dyDescent="0.15">
      <c r="A12529" s="23" t="str">
        <f>HYPERLINK("https://www.spark-marketing.ru/Card/Person/1022283", "МОУ ГОРЕТОВСКАЯ СОШ")</f>
        <v>МОУ ГОРЕТОВСКАЯ СОШ</v>
      </c>
      <c r="B12529" s="24" t="s">
        <v>17011</v>
      </c>
      <c r="C12529" s="25">
        <v>501228</v>
      </c>
      <c r="D12529" s="22" t="s">
        <v>17006</v>
      </c>
      <c r="E12529" s="22" t="s">
        <v>48</v>
      </c>
      <c r="F12529" s="23" t="str">
        <f t="shared" si="399"/>
        <v>Оказание услуг по организации питания отдельным категориям обучающихся во 2 полугодии 2019 года</v>
      </c>
      <c r="G12529" s="22" t="s">
        <v>49</v>
      </c>
      <c r="H12529" s="22" t="s">
        <v>3718</v>
      </c>
      <c r="I12529" s="26">
        <v>43663.752083333296</v>
      </c>
      <c r="J12529" s="28" t="s">
        <v>51</v>
      </c>
      <c r="K12529" s="28" t="s">
        <v>51</v>
      </c>
      <c r="L12529" s="28" t="s">
        <v>51</v>
      </c>
      <c r="M12529" s="28" t="s">
        <v>51</v>
      </c>
      <c r="N12529" s="28" t="s">
        <v>51</v>
      </c>
    </row>
    <row r="12530" spans="1:14" hidden="1" outlineLevel="1" x14ac:dyDescent="0.15">
      <c r="A12530" s="23" t="str">
        <f>HYPERLINK("https://www.spark-marketing.ru/Card/Person/1026643", "БОРИСОВСКАЯ СРЕДНЯЯ ШКОЛА")</f>
        <v>БОРИСОВСКАЯ СРЕДНЯЯ ШКОЛА</v>
      </c>
      <c r="B12530" s="24" t="s">
        <v>17012</v>
      </c>
      <c r="C12530" s="25">
        <v>595595</v>
      </c>
      <c r="D12530" s="22" t="s">
        <v>17006</v>
      </c>
      <c r="E12530" s="22" t="s">
        <v>48</v>
      </c>
      <c r="F12530" s="23" t="str">
        <f t="shared" si="399"/>
        <v>Оказание услуг по организации питания отдельным категориям обучающихся во 2 полугодии 2019 года</v>
      </c>
      <c r="G12530" s="22" t="s">
        <v>49</v>
      </c>
      <c r="H12530" s="22" t="s">
        <v>3718</v>
      </c>
      <c r="I12530" s="26">
        <v>43663.752083333296</v>
      </c>
      <c r="J12530" s="28" t="s">
        <v>51</v>
      </c>
      <c r="K12530" s="28" t="s">
        <v>51</v>
      </c>
      <c r="L12530" s="28" t="s">
        <v>51</v>
      </c>
      <c r="M12530" s="28" t="s">
        <v>51</v>
      </c>
      <c r="N12530" s="28" t="s">
        <v>51</v>
      </c>
    </row>
    <row r="12531" spans="1:14" hidden="1" outlineLevel="1" x14ac:dyDescent="0.15">
      <c r="A12531" s="23" t="str">
        <f>HYPERLINK("https://www.spark-marketing.ru/Card/Person/1026765", "МОУ-КЛЕМЕНТЬЕВСКАЯ СОШ")</f>
        <v>МОУ-КЛЕМЕНТЬЕВСКАЯ СОШ</v>
      </c>
      <c r="B12531" s="24" t="s">
        <v>17013</v>
      </c>
      <c r="C12531" s="25">
        <v>264180</v>
      </c>
      <c r="D12531" s="22" t="s">
        <v>17006</v>
      </c>
      <c r="E12531" s="22" t="s">
        <v>48</v>
      </c>
      <c r="F12531" s="23" t="str">
        <f t="shared" si="399"/>
        <v>Оказание услуг по организации питания отдельным категориям обучающихся во 2 полугодии 2019 года</v>
      </c>
      <c r="G12531" s="22" t="s">
        <v>51</v>
      </c>
      <c r="H12531" s="22" t="s">
        <v>51</v>
      </c>
      <c r="I12531" s="26">
        <v>43663.752083333296</v>
      </c>
      <c r="J12531" s="28" t="s">
        <v>51</v>
      </c>
      <c r="K12531" s="28" t="s">
        <v>51</v>
      </c>
      <c r="L12531" s="28" t="s">
        <v>51</v>
      </c>
      <c r="M12531" s="28" t="s">
        <v>51</v>
      </c>
      <c r="N12531" s="28" t="s">
        <v>51</v>
      </c>
    </row>
    <row r="12532" spans="1:14" hidden="1" outlineLevel="1" x14ac:dyDescent="0.15">
      <c r="A12532" s="23" t="str">
        <f>HYPERLINK("https://www.spark-marketing.ru/Card/Person/1027897", "МБОУ СОШ ""ГАРМОНИЯ"" Г.МОЖАЙСКА")</f>
        <v>МБОУ СОШ "ГАРМОНИЯ" Г.МОЖАЙСКА</v>
      </c>
      <c r="B12532" s="24" t="s">
        <v>17014</v>
      </c>
      <c r="C12532" s="25">
        <v>1012928</v>
      </c>
      <c r="D12532" s="22" t="s">
        <v>17006</v>
      </c>
      <c r="E12532" s="22" t="s">
        <v>48</v>
      </c>
      <c r="F12532" s="23" t="str">
        <f t="shared" si="399"/>
        <v>Оказание услуг по организации питания отдельным категориям обучающихся во 2 полугодии 2019 года</v>
      </c>
      <c r="G12532" s="22" t="s">
        <v>49</v>
      </c>
      <c r="H12532" s="22" t="s">
        <v>3718</v>
      </c>
      <c r="I12532" s="26">
        <v>43663.752083333296</v>
      </c>
      <c r="J12532" s="28" t="s">
        <v>51</v>
      </c>
      <c r="K12532" s="28" t="s">
        <v>51</v>
      </c>
      <c r="L12532" s="28" t="s">
        <v>51</v>
      </c>
      <c r="M12532" s="28" t="s">
        <v>51</v>
      </c>
      <c r="N12532" s="28" t="s">
        <v>51</v>
      </c>
    </row>
    <row r="12533" spans="1:14" hidden="1" outlineLevel="1" x14ac:dyDescent="0.15">
      <c r="A12533" s="23" t="str">
        <f>HYPERLINK("https://www.spark-marketing.ru/Card/Person/1027900", "МОУ - ""СОШ ПОС.ГИДРОУЗЕЛ""")</f>
        <v>МОУ - "СОШ ПОС.ГИДРОУЗЕЛ"</v>
      </c>
      <c r="B12533" s="24" t="s">
        <v>17015</v>
      </c>
      <c r="C12533" s="25">
        <v>571200</v>
      </c>
      <c r="D12533" s="22" t="s">
        <v>17006</v>
      </c>
      <c r="E12533" s="22" t="s">
        <v>48</v>
      </c>
      <c r="F12533" s="23" t="str">
        <f t="shared" si="399"/>
        <v>Оказание услуг по организации питания отдельным категориям обучающихся во 2 полугодии 2019 года</v>
      </c>
      <c r="G12533" s="22" t="s">
        <v>51</v>
      </c>
      <c r="H12533" s="22" t="s">
        <v>51</v>
      </c>
      <c r="I12533" s="26">
        <v>43663.752083333296</v>
      </c>
      <c r="J12533" s="28" t="s">
        <v>51</v>
      </c>
      <c r="K12533" s="28" t="s">
        <v>51</v>
      </c>
      <c r="L12533" s="28" t="s">
        <v>51</v>
      </c>
      <c r="M12533" s="28" t="s">
        <v>51</v>
      </c>
      <c r="N12533" s="28" t="s">
        <v>51</v>
      </c>
    </row>
    <row r="12534" spans="1:14" hidden="1" outlineLevel="1" x14ac:dyDescent="0.15">
      <c r="A12534" s="28" t="s">
        <v>51</v>
      </c>
      <c r="B12534" s="28" t="s">
        <v>51</v>
      </c>
      <c r="C12534" s="28" t="s">
        <v>51</v>
      </c>
      <c r="D12534" s="22" t="s">
        <v>17006</v>
      </c>
      <c r="E12534" s="22" t="s">
        <v>48</v>
      </c>
      <c r="F12534" s="23" t="str">
        <f t="shared" si="399"/>
        <v>Оказание услуг по организации питания отдельным категориям обучающихся во 2 полугодии 2019 года</v>
      </c>
      <c r="G12534" s="22" t="s">
        <v>51</v>
      </c>
      <c r="H12534" s="22" t="s">
        <v>51</v>
      </c>
      <c r="I12534" s="26">
        <v>43663.752083333296</v>
      </c>
      <c r="J12534" s="23" t="str">
        <f>HYPERLINK("https://www.spark-marketing.ru/Card/Person/101936", "ООО ""ИНВЕСТ ГАРАНТ""")</f>
        <v>ООО "ИНВЕСТ ГАРАНТ"</v>
      </c>
      <c r="K12534" s="24" t="s">
        <v>15408</v>
      </c>
      <c r="L12534" s="28" t="s">
        <v>51</v>
      </c>
      <c r="M12534" s="28" t="s">
        <v>51</v>
      </c>
      <c r="N12534" s="28" t="s">
        <v>51</v>
      </c>
    </row>
    <row r="12535" spans="1:14" hidden="1" outlineLevel="1" x14ac:dyDescent="0.2">
      <c r="A12535" s="28" t="s">
        <v>51</v>
      </c>
      <c r="B12535" s="28" t="s">
        <v>51</v>
      </c>
      <c r="C12535" s="28" t="s">
        <v>51</v>
      </c>
      <c r="D12535" s="22" t="s">
        <v>17006</v>
      </c>
      <c r="E12535" s="22" t="s">
        <v>48</v>
      </c>
      <c r="F12535" s="23" t="str">
        <f t="shared" si="399"/>
        <v>Оказание услуг по организации питания отдельным категориям обучающихся во 2 полугодии 2019 года</v>
      </c>
      <c r="G12535" s="22" t="s">
        <v>51</v>
      </c>
      <c r="H12535" s="22" t="s">
        <v>51</v>
      </c>
      <c r="I12535" s="26">
        <v>43663.752083333296</v>
      </c>
      <c r="J12535" s="23" t="str">
        <f>HYPERLINK("https://www.spark-marketing.ru/Card/Person/707404", "Пригонюк Сергей Иванович")</f>
        <v>Пригонюк Сергей Иванович</v>
      </c>
      <c r="K12535" s="24" t="s">
        <v>6037</v>
      </c>
      <c r="L12535" s="22" t="s">
        <v>10</v>
      </c>
      <c r="M12535" s="25">
        <v>6520690</v>
      </c>
      <c r="N12535" s="27">
        <v>7.5630252100840331E-2</v>
      </c>
    </row>
    <row r="12536" spans="1:14" hidden="1" outlineLevel="1" x14ac:dyDescent="0.15">
      <c r="A12536" s="28" t="s">
        <v>51</v>
      </c>
      <c r="B12536" s="28" t="s">
        <v>51</v>
      </c>
      <c r="C12536" s="28" t="s">
        <v>51</v>
      </c>
      <c r="D12536" s="22" t="s">
        <v>17006</v>
      </c>
      <c r="E12536" s="22" t="s">
        <v>48</v>
      </c>
      <c r="F12536" s="23" t="str">
        <f t="shared" si="399"/>
        <v>Оказание услуг по организации питания отдельным категориям обучающихся во 2 полугодии 2019 года</v>
      </c>
      <c r="G12536" s="22" t="s">
        <v>51</v>
      </c>
      <c r="H12536" s="22" t="s">
        <v>51</v>
      </c>
      <c r="I12536" s="26">
        <v>43663.752083333296</v>
      </c>
      <c r="J12536" s="23" t="str">
        <f>HYPERLINK("https://www.spark-marketing.ru/Card/Person/6290196", "ООО ""РАМКЕЙТ""")</f>
        <v>ООО "РАМКЕЙТ"</v>
      </c>
      <c r="K12536" s="24" t="s">
        <v>5037</v>
      </c>
      <c r="L12536" s="28" t="s">
        <v>51</v>
      </c>
      <c r="M12536" s="28" t="s">
        <v>51</v>
      </c>
      <c r="N12536" s="28" t="s">
        <v>51</v>
      </c>
    </row>
    <row r="12537" spans="1:14" hidden="1" outlineLevel="1" x14ac:dyDescent="0.2">
      <c r="A12537" s="28" t="s">
        <v>51</v>
      </c>
      <c r="B12537" s="28" t="s">
        <v>51</v>
      </c>
      <c r="C12537" s="28" t="s">
        <v>51</v>
      </c>
      <c r="D12537" s="22" t="s">
        <v>17006</v>
      </c>
      <c r="E12537" s="22" t="s">
        <v>48</v>
      </c>
      <c r="F12537" s="23" t="str">
        <f t="shared" si="399"/>
        <v>Оказание услуг по организации питания отдельным категориям обучающихся во 2 полугодии 2019 года</v>
      </c>
      <c r="G12537" s="22" t="s">
        <v>51</v>
      </c>
      <c r="H12537" s="22" t="s">
        <v>51</v>
      </c>
      <c r="I12537" s="26">
        <v>43663.752083333296</v>
      </c>
      <c r="J12537" s="23" t="str">
        <f>HYPERLINK("https://www.spark-marketing.ru/Card/Person/721759", "ООО ""КАРАВЕЛЛА""")</f>
        <v>ООО "КАРАВЕЛЛА"</v>
      </c>
      <c r="K12537" s="24" t="s">
        <v>15407</v>
      </c>
      <c r="L12537" s="28" t="s">
        <v>51</v>
      </c>
      <c r="M12537" s="25">
        <v>7054201</v>
      </c>
      <c r="N12537" s="27">
        <v>0</v>
      </c>
    </row>
    <row r="12538" spans="1:14" collapsed="1" x14ac:dyDescent="0.15">
      <c r="A12538" s="23" t="str">
        <f>HYPERLINK("https://www.spark-marketing.ru/Card/Person/53119", "ФКУ ""ЦУКС ГУ МЧС РОССИИ ПО НОВОСИБИРСКОЙ ОБЛАСТИ""")</f>
        <v>ФКУ "ЦУКС ГУ МЧС РОССИИ ПО НОВОСИБИРСКОЙ ОБЛАСТИ"</v>
      </c>
      <c r="B12538" s="24" t="s">
        <v>17016</v>
      </c>
      <c r="C12538" s="25">
        <v>515200</v>
      </c>
      <c r="D12538" s="22" t="s">
        <v>17017</v>
      </c>
      <c r="E12538" s="22" t="s">
        <v>48</v>
      </c>
      <c r="F12538" s="23" t="str">
        <f>HYPERLINK("https://www.spark-marketing.ru/Card/Lot/72171458", "Организация суточного питания дежурных смен")</f>
        <v>Организация суточного питания дежурных смен</v>
      </c>
      <c r="G12538" s="22" t="s">
        <v>195</v>
      </c>
      <c r="H12538" s="22" t="s">
        <v>196</v>
      </c>
      <c r="I12538" s="26">
        <v>43663.758344907401</v>
      </c>
      <c r="J12538" s="23" t="str">
        <f>HYPERLINK("https://www.spark-marketing.ru/Card/Person/1393521", "ООО ""ЛОГИСТИК ГРУПП""")</f>
        <v>ООО "ЛОГИСТИК ГРУПП"</v>
      </c>
      <c r="K12538" s="24" t="s">
        <v>7373</v>
      </c>
      <c r="L12538" s="28" t="s">
        <v>51</v>
      </c>
      <c r="M12538" s="28" t="s">
        <v>51</v>
      </c>
      <c r="N12538" s="28" t="s">
        <v>51</v>
      </c>
    </row>
    <row r="12539" spans="1:14" ht="12.75" hidden="1" outlineLevel="1" x14ac:dyDescent="0.2">
      <c r="A12539" s="23" t="str">
        <f>HYPERLINK("https://www.spark-marketing.ru/Card/Person/53119", "ФКУ ""ЦУКС ГУ МЧС РОССИИ ПО НОВОСИБИРСКОЙ ОБЛАСТИ""")</f>
        <v>ФКУ "ЦУКС ГУ МЧС РОССИИ ПО НОВОСИБИРСКОЙ ОБЛАСТИ"</v>
      </c>
      <c r="B12539" s="24" t="s">
        <v>17016</v>
      </c>
      <c r="C12539" s="25">
        <v>515200</v>
      </c>
      <c r="D12539" s="22" t="s">
        <v>17017</v>
      </c>
      <c r="E12539" s="22" t="s">
        <v>48</v>
      </c>
      <c r="F12539" s="23" t="str">
        <f>HYPERLINK("https://www.spark-marketing.ru/Card/Lot/72171458", "Организация суточного питания дежурных смен")</f>
        <v>Организация суточного питания дежурных смен</v>
      </c>
      <c r="G12539" s="22" t="s">
        <v>195</v>
      </c>
      <c r="H12539" s="22" t="s">
        <v>196</v>
      </c>
      <c r="I12539" s="26">
        <v>43663.758344907401</v>
      </c>
      <c r="J12539" s="23" t="str">
        <f>HYPERLINK("https://www.spark-marketing.ru/Card/Person/1393521", "ООО ""ЛОГИСТИК ГРУПП""")</f>
        <v>ООО "ЛОГИСТИК ГРУПП"</v>
      </c>
      <c r="K12539" s="24" t="s">
        <v>7373</v>
      </c>
      <c r="L12539" s="22" t="s">
        <v>10</v>
      </c>
      <c r="M12539" s="25">
        <v>512624</v>
      </c>
      <c r="N12539" s="27">
        <v>5.0000000000000001E-3</v>
      </c>
    </row>
    <row r="12540" spans="1:14" collapsed="1" x14ac:dyDescent="0.15">
      <c r="A12540" s="23" t="str">
        <f>HYPERLINK("https://www.spark-marketing.ru/Card/Person/73936", "ГБУЗ ""ИЛЕКСКАЯ РБ""")</f>
        <v>ГБУЗ "ИЛЕКСКАЯ РБ"</v>
      </c>
      <c r="B12540" s="24" t="s">
        <v>17018</v>
      </c>
      <c r="C12540" s="25">
        <v>1054766.8</v>
      </c>
      <c r="D12540" s="22" t="s">
        <v>17019</v>
      </c>
      <c r="E12540" s="22" t="s">
        <v>809</v>
      </c>
      <c r="F12540" s="23" t="str">
        <f>HYPERLINK("https://www.spark-marketing.ru/Card/Lot/72172622", "На поставку автоматизированных рабочих мест")</f>
        <v>На поставку автоматизированных рабочих мест</v>
      </c>
      <c r="G12540" s="22" t="s">
        <v>132</v>
      </c>
      <c r="H12540" s="22" t="s">
        <v>5102</v>
      </c>
      <c r="I12540" s="26">
        <v>43663.762349536999</v>
      </c>
      <c r="J12540" s="28" t="s">
        <v>51</v>
      </c>
      <c r="K12540" s="28" t="s">
        <v>51</v>
      </c>
      <c r="L12540" s="28" t="s">
        <v>51</v>
      </c>
      <c r="M12540" s="28" t="s">
        <v>51</v>
      </c>
      <c r="N12540" s="28" t="s">
        <v>51</v>
      </c>
    </row>
    <row r="12541" spans="1:14" hidden="1" outlineLevel="1" x14ac:dyDescent="0.2">
      <c r="A12541" s="23" t="str">
        <f>HYPERLINK("https://www.spark-marketing.ru/Card/Person/73936", "ГБУЗ ""ИЛЕКСКАЯ РБ""")</f>
        <v>ГБУЗ "ИЛЕКСКАЯ РБ"</v>
      </c>
      <c r="B12541" s="24" t="s">
        <v>17018</v>
      </c>
      <c r="C12541" s="25">
        <v>1054766.8</v>
      </c>
      <c r="D12541" s="22" t="s">
        <v>17019</v>
      </c>
      <c r="E12541" s="22" t="s">
        <v>809</v>
      </c>
      <c r="F12541" s="23" t="str">
        <f>HYPERLINK("https://www.spark-marketing.ru/Card/Lot/72172622", "На поставку автоматизированных рабочих мест")</f>
        <v>На поставку автоматизированных рабочих мест</v>
      </c>
      <c r="G12541" s="22" t="s">
        <v>132</v>
      </c>
      <c r="H12541" s="22" t="s">
        <v>5102</v>
      </c>
      <c r="I12541" s="26">
        <v>43663.762349536999</v>
      </c>
      <c r="J12541" s="23" t="str">
        <f>HYPERLINK("https://www.spark-marketing.ru/Card/Person/390597", "ООО ""КОМПЛЕКС-СНАСТ""")</f>
        <v>ООО "КОМПЛЕКС-СНАСТ"</v>
      </c>
      <c r="K12541" s="24" t="s">
        <v>10667</v>
      </c>
      <c r="L12541" s="28" t="s">
        <v>51</v>
      </c>
      <c r="M12541" s="25">
        <v>1049492.96</v>
      </c>
      <c r="N12541" s="27">
        <v>5.000005688461184E-3</v>
      </c>
    </row>
    <row r="12542" spans="1:14" ht="12.75" hidden="1" outlineLevel="1" x14ac:dyDescent="0.2">
      <c r="A12542" s="23" t="str">
        <f>HYPERLINK("https://www.spark-marketing.ru/Card/Person/73936", "ГБУЗ ""ИЛЕКСКАЯ РБ""")</f>
        <v>ГБУЗ "ИЛЕКСКАЯ РБ"</v>
      </c>
      <c r="B12542" s="24" t="s">
        <v>17018</v>
      </c>
      <c r="C12542" s="25">
        <v>1054766.8</v>
      </c>
      <c r="D12542" s="22" t="s">
        <v>17019</v>
      </c>
      <c r="E12542" s="22" t="s">
        <v>809</v>
      </c>
      <c r="F12542" s="23" t="str">
        <f>HYPERLINK("https://www.spark-marketing.ru/Card/Lot/72172622", "На поставку автоматизированных рабочих мест")</f>
        <v>На поставку автоматизированных рабочих мест</v>
      </c>
      <c r="G12542" s="22" t="s">
        <v>132</v>
      </c>
      <c r="H12542" s="22" t="s">
        <v>5102</v>
      </c>
      <c r="I12542" s="26">
        <v>43663.762349536999</v>
      </c>
      <c r="J12542" s="23" t="str">
        <f>HYPERLINK("https://www.spark-marketing.ru/Card/Person/1894139", "ООО КОМПАНИЯ ""ТЕХНОВЕК""")</f>
        <v>ООО КОМПАНИЯ "ТЕХНОВЕК"</v>
      </c>
      <c r="K12542" s="24" t="s">
        <v>16449</v>
      </c>
      <c r="L12542" s="22" t="s">
        <v>10</v>
      </c>
      <c r="M12542" s="25">
        <v>718884.26</v>
      </c>
      <c r="N12542" s="27">
        <v>0.31844246519704639</v>
      </c>
    </row>
    <row r="12543" spans="1:14" hidden="1" outlineLevel="1" x14ac:dyDescent="0.2">
      <c r="A12543" s="23" t="str">
        <f>HYPERLINK("https://www.spark-marketing.ru/Card/Person/73936", "ГБУЗ ""ИЛЕКСКАЯ РБ""")</f>
        <v>ГБУЗ "ИЛЕКСКАЯ РБ"</v>
      </c>
      <c r="B12543" s="24" t="s">
        <v>17018</v>
      </c>
      <c r="C12543" s="25">
        <v>1054766.8</v>
      </c>
      <c r="D12543" s="22" t="s">
        <v>17019</v>
      </c>
      <c r="E12543" s="22" t="s">
        <v>809</v>
      </c>
      <c r="F12543" s="23" t="str">
        <f>HYPERLINK("https://www.spark-marketing.ru/Card/Lot/72172622", "На поставку автоматизированных рабочих мест")</f>
        <v>На поставку автоматизированных рабочих мест</v>
      </c>
      <c r="G12543" s="22" t="s">
        <v>132</v>
      </c>
      <c r="H12543" s="22" t="s">
        <v>5102</v>
      </c>
      <c r="I12543" s="26">
        <v>43663.762349536999</v>
      </c>
      <c r="J12543" s="23" t="str">
        <f>HYPERLINK("https://www.spark-marketing.ru/Card/Person/6218956", "ООО ""НСГП""")</f>
        <v>ООО "НСГП"</v>
      </c>
      <c r="K12543" s="24" t="s">
        <v>17020</v>
      </c>
      <c r="L12543" s="28" t="s">
        <v>51</v>
      </c>
      <c r="M12543" s="25">
        <v>724158.1</v>
      </c>
      <c r="N12543" s="27">
        <v>0.31344245950858524</v>
      </c>
    </row>
    <row r="12544" spans="1:14" hidden="1" outlineLevel="1" x14ac:dyDescent="0.2">
      <c r="A12544" s="23" t="str">
        <f>HYPERLINK("https://www.spark-marketing.ru/Card/Person/73936", "ГБУЗ ""ИЛЕКСКАЯ РБ""")</f>
        <v>ГБУЗ "ИЛЕКСКАЯ РБ"</v>
      </c>
      <c r="B12544" s="24" t="s">
        <v>17018</v>
      </c>
      <c r="C12544" s="25">
        <v>1054766.8</v>
      </c>
      <c r="D12544" s="22" t="s">
        <v>17019</v>
      </c>
      <c r="E12544" s="22" t="s">
        <v>809</v>
      </c>
      <c r="F12544" s="23" t="str">
        <f>HYPERLINK("https://www.spark-marketing.ru/Card/Lot/72172622", "На поставку автоматизированных рабочих мест")</f>
        <v>На поставку автоматизированных рабочих мест</v>
      </c>
      <c r="G12544" s="22" t="s">
        <v>132</v>
      </c>
      <c r="H12544" s="22" t="s">
        <v>5102</v>
      </c>
      <c r="I12544" s="26">
        <v>43663.762349536999</v>
      </c>
      <c r="J12544" s="23" t="str">
        <f>HYPERLINK("https://www.spark-marketing.ru/Card/Person/6619126", "ООО ""ХАЙЛАЙТАЙТИ""")</f>
        <v>ООО "ХАЙЛАЙТАЙТИ"</v>
      </c>
      <c r="K12544" s="24" t="s">
        <v>8623</v>
      </c>
      <c r="L12544" s="28" t="s">
        <v>51</v>
      </c>
      <c r="M12544" s="25">
        <v>808539.54</v>
      </c>
      <c r="N12544" s="27">
        <v>0.23344236849320626</v>
      </c>
    </row>
    <row r="12545" spans="1:14" collapsed="1" x14ac:dyDescent="0.15">
      <c r="A12545" s="23" t="str">
        <f>HYPERLINK("https://www.spark-marketing.ru/Card/Person/37633", "ГБУЗ ""СВЕТЛИНСКАЯ РБ""")</f>
        <v>ГБУЗ "СВЕТЛИНСКАЯ РБ"</v>
      </c>
      <c r="B12545" s="24" t="s">
        <v>17021</v>
      </c>
      <c r="C12545" s="25">
        <v>1336703.3999999999</v>
      </c>
      <c r="D12545" s="22" t="s">
        <v>17022</v>
      </c>
      <c r="E12545" s="22" t="s">
        <v>809</v>
      </c>
      <c r="F12545" s="23" t="str">
        <f>HYPERLINK("https://www.spark-marketing.ru/Card/Lot/72173201", "на поставку автоматизированного рабочего места, принтера, мфу")</f>
        <v>на поставку автоматизированного рабочего места, принтера, мфу</v>
      </c>
      <c r="G12545" s="22" t="s">
        <v>132</v>
      </c>
      <c r="H12545" s="22" t="s">
        <v>17023</v>
      </c>
      <c r="I12545" s="26">
        <v>43663.751319444404</v>
      </c>
      <c r="J12545" s="28" t="s">
        <v>51</v>
      </c>
      <c r="K12545" s="28" t="s">
        <v>51</v>
      </c>
      <c r="L12545" s="28" t="s">
        <v>51</v>
      </c>
      <c r="M12545" s="28" t="s">
        <v>51</v>
      </c>
      <c r="N12545" s="28" t="s">
        <v>51</v>
      </c>
    </row>
    <row r="12546" spans="1:14" ht="12.75" hidden="1" outlineLevel="1" x14ac:dyDescent="0.2">
      <c r="A12546" s="23" t="str">
        <f>HYPERLINK("https://www.spark-marketing.ru/Card/Person/37633", "ГБУЗ ""СВЕТЛИНСКАЯ РБ""")</f>
        <v>ГБУЗ "СВЕТЛИНСКАЯ РБ"</v>
      </c>
      <c r="B12546" s="24" t="s">
        <v>17021</v>
      </c>
      <c r="C12546" s="25">
        <v>1336703.3999999999</v>
      </c>
      <c r="D12546" s="22" t="s">
        <v>17022</v>
      </c>
      <c r="E12546" s="22" t="s">
        <v>809</v>
      </c>
      <c r="F12546" s="23" t="str">
        <f>HYPERLINK("https://www.spark-marketing.ru/Card/Lot/72173201", "на поставку автоматизированного рабочего места, принтера, мфу")</f>
        <v>на поставку автоматизированного рабочего места, принтера, мфу</v>
      </c>
      <c r="G12546" s="22" t="s">
        <v>132</v>
      </c>
      <c r="H12546" s="22" t="s">
        <v>17023</v>
      </c>
      <c r="I12546" s="26">
        <v>43663.751319444404</v>
      </c>
      <c r="J12546" s="23" t="str">
        <f>HYPERLINK("https://www.spark-marketing.ru/Card/Person/6499259", "ООО ""АЙТИМ""")</f>
        <v>ООО "АЙТИМ"</v>
      </c>
      <c r="K12546" s="24" t="s">
        <v>12113</v>
      </c>
      <c r="L12546" s="22" t="s">
        <v>10</v>
      </c>
      <c r="M12546" s="25">
        <v>1126380.1599999999</v>
      </c>
      <c r="N12546" s="27">
        <v>0.1573447333192988</v>
      </c>
    </row>
    <row r="12547" spans="1:14" hidden="1" outlineLevel="1" x14ac:dyDescent="0.2">
      <c r="A12547" s="23" t="str">
        <f>HYPERLINK("https://www.spark-marketing.ru/Card/Person/37633", "ГБУЗ ""СВЕТЛИНСКАЯ РБ""")</f>
        <v>ГБУЗ "СВЕТЛИНСКАЯ РБ"</v>
      </c>
      <c r="B12547" s="24" t="s">
        <v>17021</v>
      </c>
      <c r="C12547" s="25">
        <v>1336703.3999999999</v>
      </c>
      <c r="D12547" s="22" t="s">
        <v>17022</v>
      </c>
      <c r="E12547" s="22" t="s">
        <v>809</v>
      </c>
      <c r="F12547" s="23" t="str">
        <f>HYPERLINK("https://www.spark-marketing.ru/Card/Lot/72173201", "на поставку автоматизированного рабочего места, принтера, мфу")</f>
        <v>на поставку автоматизированного рабочего места, принтера, мфу</v>
      </c>
      <c r="G12547" s="22" t="s">
        <v>132</v>
      </c>
      <c r="H12547" s="22" t="s">
        <v>17023</v>
      </c>
      <c r="I12547" s="26">
        <v>43663.751319444404</v>
      </c>
      <c r="J12547" s="23" t="str">
        <f>HYPERLINK("https://www.spark-marketing.ru/Card/Person/387477", "Джаноян Мелик Артурович")</f>
        <v>Джаноян Мелик Артурович</v>
      </c>
      <c r="K12547" s="24" t="s">
        <v>16286</v>
      </c>
      <c r="L12547" s="28" t="s">
        <v>51</v>
      </c>
      <c r="M12547" s="25">
        <v>1133063.6799999999</v>
      </c>
      <c r="N12547" s="27">
        <v>0.15234473107497146</v>
      </c>
    </row>
    <row r="12548" spans="1:14" hidden="1" outlineLevel="1" x14ac:dyDescent="0.2">
      <c r="A12548" s="23" t="str">
        <f>HYPERLINK("https://www.spark-marketing.ru/Card/Person/37633", "ГБУЗ ""СВЕТЛИНСКАЯ РБ""")</f>
        <v>ГБУЗ "СВЕТЛИНСКАЯ РБ"</v>
      </c>
      <c r="B12548" s="24" t="s">
        <v>17021</v>
      </c>
      <c r="C12548" s="25">
        <v>1336703.3999999999</v>
      </c>
      <c r="D12548" s="22" t="s">
        <v>17022</v>
      </c>
      <c r="E12548" s="22" t="s">
        <v>809</v>
      </c>
      <c r="F12548" s="23" t="str">
        <f>HYPERLINK("https://www.spark-marketing.ru/Card/Lot/72173201", "на поставку автоматизированного рабочего места, принтера, мфу")</f>
        <v>на поставку автоматизированного рабочего места, принтера, мфу</v>
      </c>
      <c r="G12548" s="22" t="s">
        <v>132</v>
      </c>
      <c r="H12548" s="22" t="s">
        <v>17023</v>
      </c>
      <c r="I12548" s="26">
        <v>43663.751319444404</v>
      </c>
      <c r="J12548" s="23" t="str">
        <f>HYPERLINK("https://www.spark-marketing.ru/Card/Person/1894139", "ООО КОМПАНИЯ ""ТЕХНОВЕК""")</f>
        <v>ООО КОМПАНИЯ "ТЕХНОВЕК"</v>
      </c>
      <c r="K12548" s="24" t="s">
        <v>16449</v>
      </c>
      <c r="L12548" s="28" t="s">
        <v>51</v>
      </c>
      <c r="M12548" s="25">
        <v>1126380.1599999999</v>
      </c>
      <c r="N12548" s="27">
        <v>0.1573447333192988</v>
      </c>
    </row>
    <row r="12549" spans="1:14" collapsed="1" x14ac:dyDescent="0.15">
      <c r="A12549" s="23" t="s">
        <v>114</v>
      </c>
      <c r="B12549" s="28" t="s">
        <v>51</v>
      </c>
      <c r="C12549" s="25">
        <v>15895370</v>
      </c>
      <c r="D12549" s="22" t="s">
        <v>17024</v>
      </c>
      <c r="E12549" s="22" t="s">
        <v>48</v>
      </c>
      <c r="F12549" s="23" t="str">
        <f t="shared" ref="F12549:F12554" si="400">HYPERLINK("https://www.spark-marketing.ru/Card/Lot/72162815", "Оказание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549" s="22" t="s">
        <v>51</v>
      </c>
      <c r="H12549" s="22" t="s">
        <v>51</v>
      </c>
      <c r="I12549" s="26">
        <v>43663.716666666704</v>
      </c>
      <c r="J12549" s="28" t="s">
        <v>51</v>
      </c>
      <c r="K12549" s="28" t="s">
        <v>51</v>
      </c>
      <c r="L12549" s="28" t="s">
        <v>51</v>
      </c>
      <c r="M12549" s="28" t="s">
        <v>51</v>
      </c>
      <c r="N12549" s="28" t="s">
        <v>51</v>
      </c>
    </row>
    <row r="12550" spans="1:14" hidden="1" outlineLevel="1" x14ac:dyDescent="0.15">
      <c r="A12550" s="23" t="str">
        <f>HYPERLINK("https://www.spark-marketing.ru/Card/Person/143427", "МОУ СШ № 25")</f>
        <v>МОУ СШ № 25</v>
      </c>
      <c r="B12550" s="24" t="s">
        <v>17025</v>
      </c>
      <c r="C12550" s="25">
        <v>298560</v>
      </c>
      <c r="D12550" s="22" t="s">
        <v>17024</v>
      </c>
      <c r="E12550" s="22" t="s">
        <v>48</v>
      </c>
      <c r="F12550" s="23" t="str">
        <f t="shared" si="400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550" s="22" t="s">
        <v>158</v>
      </c>
      <c r="H12550" s="22" t="s">
        <v>158</v>
      </c>
      <c r="I12550" s="26">
        <v>43663.716666666704</v>
      </c>
      <c r="J12550" s="28" t="s">
        <v>51</v>
      </c>
      <c r="K12550" s="28" t="s">
        <v>51</v>
      </c>
      <c r="L12550" s="28" t="s">
        <v>51</v>
      </c>
      <c r="M12550" s="28" t="s">
        <v>51</v>
      </c>
      <c r="N12550" s="28" t="s">
        <v>51</v>
      </c>
    </row>
    <row r="12551" spans="1:14" hidden="1" outlineLevel="1" x14ac:dyDescent="0.15">
      <c r="A12551" s="23" t="str">
        <f>HYPERLINK("https://www.spark-marketing.ru/Card/Person/143457", "МОУ СШ № 57")</f>
        <v>МОУ СШ № 57</v>
      </c>
      <c r="B12551" s="24" t="s">
        <v>17026</v>
      </c>
      <c r="C12551" s="25">
        <v>7996530</v>
      </c>
      <c r="D12551" s="22" t="s">
        <v>17024</v>
      </c>
      <c r="E12551" s="22" t="s">
        <v>48</v>
      </c>
      <c r="F12551" s="23" t="str">
        <f t="shared" si="400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551" s="22" t="s">
        <v>158</v>
      </c>
      <c r="H12551" s="22" t="s">
        <v>158</v>
      </c>
      <c r="I12551" s="26">
        <v>43663.716666666704</v>
      </c>
      <c r="J12551" s="28" t="s">
        <v>51</v>
      </c>
      <c r="K12551" s="28" t="s">
        <v>51</v>
      </c>
      <c r="L12551" s="28" t="s">
        <v>51</v>
      </c>
      <c r="M12551" s="28" t="s">
        <v>51</v>
      </c>
      <c r="N12551" s="28" t="s">
        <v>51</v>
      </c>
    </row>
    <row r="12552" spans="1:14" hidden="1" outlineLevel="1" x14ac:dyDescent="0.15">
      <c r="A12552" s="23" t="str">
        <f>HYPERLINK("https://www.spark-marketing.ru/Card/Person/143498", "МОУ СШ № 110")</f>
        <v>МОУ СШ № 110</v>
      </c>
      <c r="B12552" s="24" t="s">
        <v>17027</v>
      </c>
      <c r="C12552" s="25">
        <v>7600280</v>
      </c>
      <c r="D12552" s="22" t="s">
        <v>17024</v>
      </c>
      <c r="E12552" s="22" t="s">
        <v>48</v>
      </c>
      <c r="F12552" s="23" t="str">
        <f t="shared" si="400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552" s="22" t="s">
        <v>158</v>
      </c>
      <c r="H12552" s="22" t="s">
        <v>158</v>
      </c>
      <c r="I12552" s="26">
        <v>43663.716666666704</v>
      </c>
      <c r="J12552" s="28" t="s">
        <v>51</v>
      </c>
      <c r="K12552" s="28" t="s">
        <v>51</v>
      </c>
      <c r="L12552" s="28" t="s">
        <v>51</v>
      </c>
      <c r="M12552" s="28" t="s">
        <v>51</v>
      </c>
      <c r="N12552" s="28" t="s">
        <v>51</v>
      </c>
    </row>
    <row r="12553" spans="1:14" hidden="1" outlineLevel="1" x14ac:dyDescent="0.2">
      <c r="A12553" s="28" t="s">
        <v>51</v>
      </c>
      <c r="B12553" s="28" t="s">
        <v>51</v>
      </c>
      <c r="C12553" s="28" t="s">
        <v>51</v>
      </c>
      <c r="D12553" s="22" t="s">
        <v>17024</v>
      </c>
      <c r="E12553" s="22" t="s">
        <v>48</v>
      </c>
      <c r="F12553" s="23" t="str">
        <f t="shared" si="400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553" s="22" t="s">
        <v>51</v>
      </c>
      <c r="H12553" s="22" t="s">
        <v>51</v>
      </c>
      <c r="I12553" s="26">
        <v>43663.716666666704</v>
      </c>
      <c r="J12553" s="23" t="str">
        <f>HYPERLINK("https://www.spark-marketing.ru/Card/Person/119200", "ООО ""ВЕНЕРА""")</f>
        <v>ООО "ВЕНЕРА"</v>
      </c>
      <c r="K12553" s="24" t="s">
        <v>16525</v>
      </c>
      <c r="L12553" s="28" t="s">
        <v>51</v>
      </c>
      <c r="M12553" s="25">
        <v>15895370</v>
      </c>
      <c r="N12553" s="27">
        <v>0</v>
      </c>
    </row>
    <row r="12554" spans="1:14" hidden="1" outlineLevel="1" x14ac:dyDescent="0.2">
      <c r="A12554" s="28" t="s">
        <v>51</v>
      </c>
      <c r="B12554" s="28" t="s">
        <v>51</v>
      </c>
      <c r="C12554" s="28" t="s">
        <v>51</v>
      </c>
      <c r="D12554" s="22" t="s">
        <v>17024</v>
      </c>
      <c r="E12554" s="22" t="s">
        <v>48</v>
      </c>
      <c r="F12554" s="23" t="str">
        <f t="shared" si="400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554" s="22" t="s">
        <v>51</v>
      </c>
      <c r="H12554" s="22" t="s">
        <v>51</v>
      </c>
      <c r="I12554" s="26">
        <v>43663.716666666704</v>
      </c>
      <c r="J12554" s="23" t="str">
        <f>HYPERLINK("https://www.spark-marketing.ru/Card/Person/520670", "ООО ""СОЮЗ К""")</f>
        <v>ООО "СОЮЗ К"</v>
      </c>
      <c r="K12554" s="24" t="s">
        <v>10035</v>
      </c>
      <c r="L12554" s="22" t="s">
        <v>10</v>
      </c>
      <c r="M12554" s="25">
        <v>15259555.199999999</v>
      </c>
      <c r="N12554" s="27">
        <v>0.04</v>
      </c>
    </row>
    <row r="12555" spans="1:14" x14ac:dyDescent="0.15">
      <c r="A12555" s="23" t="str">
        <f>HYPERLINK("https://www.spark-marketing.ru/Card/Person/1075131", "МБОУ ""СШ № 22""")</f>
        <v>МБОУ "СШ № 22"</v>
      </c>
      <c r="B12555" s="24" t="s">
        <v>12413</v>
      </c>
      <c r="C12555" s="25">
        <v>309270</v>
      </c>
      <c r="D12555" s="22" t="s">
        <v>17028</v>
      </c>
      <c r="E12555" s="22" t="s">
        <v>48</v>
      </c>
      <c r="F12555" s="23" t="str">
        <f>HYPERLINK("https://www.spark-marketing.ru/Card/Lot/72159024", "Оказание услуг по организации горячего питания и обеспечению горячим питанием учащихся МБОУ «СШ № 22»")</f>
        <v>Оказание услуг по организации горячего питания и обеспечению горячим питанием учащихся МБОУ «СШ № 22»</v>
      </c>
      <c r="G12555" s="22" t="s">
        <v>460</v>
      </c>
      <c r="H12555" s="22" t="s">
        <v>461</v>
      </c>
      <c r="I12555" s="26">
        <v>43663.720856481501</v>
      </c>
      <c r="J12555" s="28" t="s">
        <v>51</v>
      </c>
      <c r="K12555" s="28" t="s">
        <v>51</v>
      </c>
      <c r="L12555" s="28" t="s">
        <v>51</v>
      </c>
      <c r="M12555" s="28" t="s">
        <v>51</v>
      </c>
      <c r="N12555" s="28" t="s">
        <v>51</v>
      </c>
    </row>
    <row r="12556" spans="1:14" collapsed="1" x14ac:dyDescent="0.15">
      <c r="A12556" s="23" t="str">
        <f>HYPERLINK("https://www.spark-marketing.ru/Card/Person/4372490", "МБОУ СПЕЦИАЛИЗИРОВАННАЯ ШКОЛА №1")</f>
        <v>МБОУ СПЕЦИАЛИЗИРОВАННАЯ ШКОЛА №1</v>
      </c>
      <c r="B12556" s="24" t="s">
        <v>17029</v>
      </c>
      <c r="C12556" s="25">
        <v>907947</v>
      </c>
      <c r="D12556" s="22" t="s">
        <v>17030</v>
      </c>
      <c r="E12556" s="22" t="s">
        <v>48</v>
      </c>
      <c r="F12556" s="23" t="str">
        <f>HYPERLINK("https://www.spark-marketing.ru/Card/Lot/72160694", "Услуги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классов")</f>
        <v>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2556" s="22" t="s">
        <v>108</v>
      </c>
      <c r="H12556" s="22" t="s">
        <v>287</v>
      </c>
      <c r="I12556" s="26">
        <v>43663.7409722222</v>
      </c>
      <c r="J12556" s="28" t="s">
        <v>51</v>
      </c>
      <c r="K12556" s="28" t="s">
        <v>51</v>
      </c>
      <c r="L12556" s="28" t="s">
        <v>51</v>
      </c>
      <c r="M12556" s="28" t="s">
        <v>51</v>
      </c>
      <c r="N12556" s="28" t="s">
        <v>51</v>
      </c>
    </row>
    <row r="12557" spans="1:14" hidden="1" outlineLevel="1" x14ac:dyDescent="0.2">
      <c r="A12557" s="23" t="str">
        <f>HYPERLINK("https://www.spark-marketing.ru/Card/Person/4372490", "МБОУ СПЕЦИАЛИЗИРОВАННАЯ ШКОЛА №1")</f>
        <v>МБОУ СПЕЦИАЛИЗИРОВАННАЯ ШКОЛА №1</v>
      </c>
      <c r="B12557" s="24" t="s">
        <v>17029</v>
      </c>
      <c r="C12557" s="25">
        <v>907947</v>
      </c>
      <c r="D12557" s="22" t="s">
        <v>17030</v>
      </c>
      <c r="E12557" s="22" t="s">
        <v>48</v>
      </c>
      <c r="F12557" s="23" t="str">
        <f>HYPERLINK("https://www.spark-marketing.ru/Card/Lot/72160694", "Услуги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классов")</f>
        <v>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2557" s="22" t="s">
        <v>108</v>
      </c>
      <c r="H12557" s="22" t="s">
        <v>287</v>
      </c>
      <c r="I12557" s="26">
        <v>43663.7409722222</v>
      </c>
      <c r="J12557" s="23" t="str">
        <f>HYPERLINK("https://www.spark-marketing.ru/Card/Person/4856360", "ООО ""МЕЛИССА""")</f>
        <v>ООО "МЕЛИССА"</v>
      </c>
      <c r="K12557" s="24" t="s">
        <v>4595</v>
      </c>
      <c r="L12557" s="28" t="s">
        <v>51</v>
      </c>
      <c r="M12557" s="25">
        <v>726357.6</v>
      </c>
      <c r="N12557" s="27">
        <v>0.2</v>
      </c>
    </row>
    <row r="12558" spans="1:14" ht="12.75" hidden="1" outlineLevel="1" x14ac:dyDescent="0.2">
      <c r="A12558" s="23" t="str">
        <f>HYPERLINK("https://www.spark-marketing.ru/Card/Person/4372490", "МБОУ СПЕЦИАЛИЗИРОВАННАЯ ШКОЛА №1")</f>
        <v>МБОУ СПЕЦИАЛИЗИРОВАННАЯ ШКОЛА №1</v>
      </c>
      <c r="B12558" s="24" t="s">
        <v>17029</v>
      </c>
      <c r="C12558" s="25">
        <v>907947</v>
      </c>
      <c r="D12558" s="22" t="s">
        <v>17030</v>
      </c>
      <c r="E12558" s="22" t="s">
        <v>48</v>
      </c>
      <c r="F12558" s="23" t="str">
        <f>HYPERLINK("https://www.spark-marketing.ru/Card/Lot/72160694", "Услуги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классов")</f>
        <v>Услуги по обеспечению одноразовым бесплатным горячим питанием (завтрак) учащихся 1-4 классов, услуги по обеспечению питанием детей льготных категорий 1-11 классов</v>
      </c>
      <c r="G12558" s="22" t="s">
        <v>108</v>
      </c>
      <c r="H12558" s="22" t="s">
        <v>287</v>
      </c>
      <c r="I12558" s="26">
        <v>43663.7409722222</v>
      </c>
      <c r="J12558" s="23" t="str">
        <f>HYPERLINK("https://www.spark-marketing.ru/Card/Person/1763042", "МУП ""ШКОЛЬНЫЙ КОМБИНАТ""")</f>
        <v>МУП "ШКОЛЬНЫЙ КОМБИНАТ"</v>
      </c>
      <c r="K12558" s="24" t="s">
        <v>15602</v>
      </c>
      <c r="L12558" s="22" t="s">
        <v>10</v>
      </c>
      <c r="M12558" s="25">
        <v>549308</v>
      </c>
      <c r="N12558" s="27">
        <v>0.39499992840991821</v>
      </c>
    </row>
    <row r="12559" spans="1:14" x14ac:dyDescent="0.15">
      <c r="A12559" s="23" t="str">
        <f>HYPERLINK("https://www.spark-marketing.ru/Card/Person/8833", "ФГБУ ""РНИИТО ИМ. Р.Р. ВРЕДЕНА"" МИНЗДРАВА РОССИИ")</f>
        <v>ФГБУ "РНИИТО ИМ. Р.Р. ВРЕДЕНА" МИНЗДРАВА РОССИИ</v>
      </c>
      <c r="B12559" s="24" t="s">
        <v>2315</v>
      </c>
      <c r="C12559" s="25">
        <v>746415.03</v>
      </c>
      <c r="D12559" s="22" t="s">
        <v>17031</v>
      </c>
      <c r="E12559" s="22" t="s">
        <v>583</v>
      </c>
      <c r="F12559" s="23" t="str">
        <f>HYPERLINK("https://www.spark-marketing.ru/Card/Lot/72161288", "Оказание услуг по проведению ремонта аппарата ультразвукового диагностического портативного eZono, производства «eZono AG», Германия")</f>
        <v>Оказание услуг по проведению ремонта аппарата ультразвукового диагностического портативного eZono, производства «eZono AG», Германия</v>
      </c>
      <c r="G12559" s="22" t="s">
        <v>117</v>
      </c>
      <c r="H12559" s="22" t="s">
        <v>117</v>
      </c>
      <c r="I12559" s="26">
        <v>43663.726365740702</v>
      </c>
      <c r="J12559" s="23" t="str">
        <f>HYPERLINK("https://www.spark-marketing.ru/Card/Person/50208", "АО ""БИМК-КАРДИО""")</f>
        <v>АО "БИМК-КАРДИО"</v>
      </c>
      <c r="K12559" s="24" t="s">
        <v>17032</v>
      </c>
      <c r="L12559" s="22" t="s">
        <v>10</v>
      </c>
      <c r="M12559" s="28" t="s">
        <v>51</v>
      </c>
      <c r="N12559" s="28" t="s">
        <v>51</v>
      </c>
    </row>
    <row r="12560" spans="1:14" x14ac:dyDescent="0.15">
      <c r="A12560" s="23" t="str">
        <f>HYPERLINK("https://www.spark-marketing.ru/Card/Person/644399", "ОМВД РОССИИ ПО ХИЛОКСКОМУ РАЙОНУ")</f>
        <v>ОМВД РОССИИ ПО ХИЛОКСКОМУ РАЙОНУ</v>
      </c>
      <c r="B12560" s="24" t="s">
        <v>226</v>
      </c>
      <c r="C12560" s="25">
        <v>994688</v>
      </c>
      <c r="D12560" s="22" t="s">
        <v>17033</v>
      </c>
      <c r="E12560" s="22" t="s">
        <v>96</v>
      </c>
      <c r="F12560" s="23" t="str">
        <f>HYPERLINK("https://www.spark-marketing.ru/Card/Lot/72180307", "Питание ИВС")</f>
        <v>Питание ИВС</v>
      </c>
      <c r="G12560" s="22" t="s">
        <v>228</v>
      </c>
      <c r="H12560" s="22" t="s">
        <v>17034</v>
      </c>
      <c r="I12560" s="26">
        <v>43663.714884259301</v>
      </c>
      <c r="J12560" s="23" t="str">
        <f>HYPERLINK("https://www.spark-marketing.ru/Card/Person/1673855", "ООО ""ЧИТАСТРОЙ""")</f>
        <v>ООО "ЧИТАСТРОЙ"</v>
      </c>
      <c r="K12560" s="24" t="s">
        <v>10509</v>
      </c>
      <c r="L12560" s="22" t="s">
        <v>10</v>
      </c>
      <c r="M12560" s="28" t="s">
        <v>51</v>
      </c>
      <c r="N12560" s="28" t="s">
        <v>51</v>
      </c>
    </row>
    <row r="12561" spans="1:14" x14ac:dyDescent="0.2">
      <c r="A12561" s="23" t="str">
        <f>HYPERLINK("https://www.spark-marketing.ru/Card/Person/4365644", "ООО ""ГАЗПРОМ ТРАНСГАЗ МОСКВА""")</f>
        <v>ООО "ГАЗПРОМ ТРАНСГАЗ МОСКВА"</v>
      </c>
      <c r="B12561" s="24" t="s">
        <v>17035</v>
      </c>
      <c r="C12561" s="25">
        <v>53657748.170000002</v>
      </c>
      <c r="D12561" s="22" t="s">
        <v>17036</v>
      </c>
      <c r="E12561" s="22" t="s">
        <v>362</v>
      </c>
      <c r="F12561" s="23" t="str">
        <f>HYPERLINK("https://www.spark-marketing.ru/Card/Lot/72167775", "Оказание услуг по организации питания (в т.ч. сторонних потребителей санаторно-курортных и медицинских услуг) для нужд ООО «Газпром трансгаз Москва» в Центре диагностики и реабилитации (ЦД и Р) и клиническом санатории «Приокские дали» в 2020 году")</f>
        <v>Оказание услуг по организации питания (в т.ч. сторонних потребителей санаторно-курортных и медицинских услуг) для нужд ООО «Газпром трансгаз Москва» в Центре диагностики и реабилитации (ЦД и Р) и клиническом санатории «Приокские дали» в 2020 году</v>
      </c>
      <c r="G12561" s="22" t="s">
        <v>56</v>
      </c>
      <c r="H12561" s="22" t="s">
        <v>56</v>
      </c>
      <c r="I12561" s="26">
        <v>43663.721018518503</v>
      </c>
      <c r="J12561" s="28" t="s">
        <v>51</v>
      </c>
      <c r="K12561" s="28" t="s">
        <v>51</v>
      </c>
      <c r="L12561" s="22" t="s">
        <v>10</v>
      </c>
      <c r="M12561" s="25">
        <v>51846132</v>
      </c>
      <c r="N12561" s="27">
        <v>3.3762433791675088E-2</v>
      </c>
    </row>
    <row r="12562" spans="1:14" x14ac:dyDescent="0.2">
      <c r="A12562" s="23" t="str">
        <f>HYPERLINK("https://www.spark-marketing.ru/Card/Person/50629", "МБОУ ""СШ №6""")</f>
        <v>МБОУ "СШ №6"</v>
      </c>
      <c r="B12562" s="24" t="s">
        <v>1310</v>
      </c>
      <c r="C12562" s="25">
        <v>11391744</v>
      </c>
      <c r="D12562" s="22" t="s">
        <v>17037</v>
      </c>
      <c r="E12562" s="22" t="s">
        <v>48</v>
      </c>
      <c r="F12562" s="23" t="str">
        <f>HYPERLINK("https://www.spark-marketing.ru/Card/Lot/72162795", "Оказание услуг по организации в 2019 - 2020 учебном году питания обучающихся муниципального бюджетного общеобразовательного учреждения  ""Средняя школа №6""")</f>
        <v>Оказание услуг по организации в 2019 - 2020 учебном году питания обучающихся муниципального бюджетного общеобразовательного учреждения  "Средняя школа №6"</v>
      </c>
      <c r="G12562" s="22" t="s">
        <v>97</v>
      </c>
      <c r="H12562" s="22" t="s">
        <v>97</v>
      </c>
      <c r="I12562" s="26">
        <v>43663.737500000003</v>
      </c>
      <c r="J12562" s="23" t="str">
        <f>HYPERLINK("https://www.spark-marketing.ru/Card/Person/5846583", "ООО ""АБВГД""")</f>
        <v>ООО "АБВГД"</v>
      </c>
      <c r="K12562" s="24" t="s">
        <v>1467</v>
      </c>
      <c r="L12562" s="28" t="s">
        <v>51</v>
      </c>
      <c r="M12562" s="25">
        <v>11391744</v>
      </c>
      <c r="N12562" s="27">
        <v>0</v>
      </c>
    </row>
    <row r="12563" spans="1:14" collapsed="1" x14ac:dyDescent="0.15">
      <c r="A12563" s="23" t="s">
        <v>114</v>
      </c>
      <c r="B12563" s="28" t="s">
        <v>51</v>
      </c>
      <c r="C12563" s="25">
        <v>15124900</v>
      </c>
      <c r="D12563" s="22" t="s">
        <v>17038</v>
      </c>
      <c r="E12563" s="22" t="s">
        <v>48</v>
      </c>
      <c r="F12563" s="23" t="str">
        <f t="shared" ref="F12563:F12571" si="401">HYPERLINK("https://www.spark-marketing.ru/Card/Lot/72162810", "Оказание услуг общественного питания обучающихся на базе муниципальных общеобразовательных учреждений Ворошиловского района Волгограда в учебный и каникулярный период 2019-2021гг.")</f>
        <v>Оказание услуг общественного питания обучающихся на базе муниципальных общеобразовательных учреждений Ворошиловского района Волгограда в учебный и каникулярный период 2019-2021гг.</v>
      </c>
      <c r="G12563" s="22" t="s">
        <v>51</v>
      </c>
      <c r="H12563" s="22" t="s">
        <v>51</v>
      </c>
      <c r="I12563" s="26">
        <v>43663.740277777797</v>
      </c>
      <c r="J12563" s="28" t="s">
        <v>51</v>
      </c>
      <c r="K12563" s="28" t="s">
        <v>51</v>
      </c>
      <c r="L12563" s="28" t="s">
        <v>51</v>
      </c>
      <c r="M12563" s="28" t="s">
        <v>51</v>
      </c>
      <c r="N12563" s="28" t="s">
        <v>51</v>
      </c>
    </row>
    <row r="12564" spans="1:14" hidden="1" outlineLevel="1" x14ac:dyDescent="0.15">
      <c r="A12564" s="23" t="str">
        <f>HYPERLINK("https://www.spark-marketing.ru/Card/Person/48277", "МОУ СШ № 105")</f>
        <v>МОУ СШ № 105</v>
      </c>
      <c r="B12564" s="24" t="s">
        <v>17039</v>
      </c>
      <c r="C12564" s="25">
        <v>3211390</v>
      </c>
      <c r="D12564" s="22" t="s">
        <v>17038</v>
      </c>
      <c r="E12564" s="22" t="s">
        <v>48</v>
      </c>
      <c r="F12564" s="23" t="str">
        <f t="shared" si="401"/>
        <v>Оказание услуг общественного питания обучающихся на базе муниципальных общеобразовательных учреждений Ворошиловского района Волгограда в учебный и каникулярный период 2019-2021гг.</v>
      </c>
      <c r="G12564" s="22" t="s">
        <v>158</v>
      </c>
      <c r="H12564" s="22" t="s">
        <v>158</v>
      </c>
      <c r="I12564" s="26">
        <v>43663.740277777797</v>
      </c>
      <c r="J12564" s="28" t="s">
        <v>51</v>
      </c>
      <c r="K12564" s="28" t="s">
        <v>51</v>
      </c>
      <c r="L12564" s="28" t="s">
        <v>51</v>
      </c>
      <c r="M12564" s="28" t="s">
        <v>51</v>
      </c>
      <c r="N12564" s="28" t="s">
        <v>51</v>
      </c>
    </row>
    <row r="12565" spans="1:14" hidden="1" outlineLevel="1" x14ac:dyDescent="0.15">
      <c r="A12565" s="23" t="str">
        <f>HYPERLINK("https://www.spark-marketing.ru/Card/Person/48667", "МОУ СШ № 130")</f>
        <v>МОУ СШ № 130</v>
      </c>
      <c r="B12565" s="24" t="s">
        <v>17040</v>
      </c>
      <c r="C12565" s="25">
        <v>1896830</v>
      </c>
      <c r="D12565" s="22" t="s">
        <v>17038</v>
      </c>
      <c r="E12565" s="22" t="s">
        <v>48</v>
      </c>
      <c r="F12565" s="23" t="str">
        <f t="shared" si="401"/>
        <v>Оказание услуг общественного питания обучающихся на базе муниципальных общеобразовательных учреждений Ворошиловского района Волгограда в учебный и каникулярный период 2019-2021гг.</v>
      </c>
      <c r="G12565" s="22" t="s">
        <v>158</v>
      </c>
      <c r="H12565" s="22" t="s">
        <v>158</v>
      </c>
      <c r="I12565" s="26">
        <v>43663.740277777797</v>
      </c>
      <c r="J12565" s="28" t="s">
        <v>51</v>
      </c>
      <c r="K12565" s="28" t="s">
        <v>51</v>
      </c>
      <c r="L12565" s="28" t="s">
        <v>51</v>
      </c>
      <c r="M12565" s="28" t="s">
        <v>51</v>
      </c>
      <c r="N12565" s="28" t="s">
        <v>51</v>
      </c>
    </row>
    <row r="12566" spans="1:14" hidden="1" outlineLevel="1" x14ac:dyDescent="0.15">
      <c r="A12566" s="23" t="str">
        <f>HYPERLINK("https://www.spark-marketing.ru/Card/Person/48853", "МОУ СШ № 14")</f>
        <v>МОУ СШ № 14</v>
      </c>
      <c r="B12566" s="24" t="s">
        <v>17041</v>
      </c>
      <c r="C12566" s="25">
        <v>3213390</v>
      </c>
      <c r="D12566" s="22" t="s">
        <v>17038</v>
      </c>
      <c r="E12566" s="22" t="s">
        <v>48</v>
      </c>
      <c r="F12566" s="23" t="str">
        <f t="shared" si="401"/>
        <v>Оказание услуг общественного питания обучающихся на базе муниципальных общеобразовательных учреждений Ворошиловского района Волгограда в учебный и каникулярный период 2019-2021гг.</v>
      </c>
      <c r="G12566" s="22" t="s">
        <v>158</v>
      </c>
      <c r="H12566" s="22" t="s">
        <v>158</v>
      </c>
      <c r="I12566" s="26">
        <v>43663.740277777797</v>
      </c>
      <c r="J12566" s="28" t="s">
        <v>51</v>
      </c>
      <c r="K12566" s="28" t="s">
        <v>51</v>
      </c>
      <c r="L12566" s="28" t="s">
        <v>51</v>
      </c>
      <c r="M12566" s="28" t="s">
        <v>51</v>
      </c>
      <c r="N12566" s="28" t="s">
        <v>51</v>
      </c>
    </row>
    <row r="12567" spans="1:14" hidden="1" outlineLevel="1" x14ac:dyDescent="0.15">
      <c r="A12567" s="23" t="str">
        <f>HYPERLINK("https://www.spark-marketing.ru/Card/Person/48857", "МОУ СШ № 11")</f>
        <v>МОУ СШ № 11</v>
      </c>
      <c r="B12567" s="24" t="s">
        <v>17042</v>
      </c>
      <c r="C12567" s="25">
        <v>3056860</v>
      </c>
      <c r="D12567" s="22" t="s">
        <v>17038</v>
      </c>
      <c r="E12567" s="22" t="s">
        <v>48</v>
      </c>
      <c r="F12567" s="23" t="str">
        <f t="shared" si="401"/>
        <v>Оказание услуг общественного питания обучающихся на базе муниципальных общеобразовательных учреждений Ворошиловского района Волгограда в учебный и каникулярный период 2019-2021гг.</v>
      </c>
      <c r="G12567" s="22" t="s">
        <v>158</v>
      </c>
      <c r="H12567" s="22" t="s">
        <v>158</v>
      </c>
      <c r="I12567" s="26">
        <v>43663.740277777797</v>
      </c>
      <c r="J12567" s="28" t="s">
        <v>51</v>
      </c>
      <c r="K12567" s="28" t="s">
        <v>51</v>
      </c>
      <c r="L12567" s="28" t="s">
        <v>51</v>
      </c>
      <c r="M12567" s="28" t="s">
        <v>51</v>
      </c>
      <c r="N12567" s="28" t="s">
        <v>51</v>
      </c>
    </row>
    <row r="12568" spans="1:14" hidden="1" outlineLevel="1" x14ac:dyDescent="0.15">
      <c r="A12568" s="23" t="str">
        <f>HYPERLINK("https://www.spark-marketing.ru/Card/Person/49215", "МОУ ОШ № 53")</f>
        <v>МОУ ОШ № 53</v>
      </c>
      <c r="B12568" s="24" t="s">
        <v>17043</v>
      </c>
      <c r="C12568" s="25">
        <v>1374480</v>
      </c>
      <c r="D12568" s="22" t="s">
        <v>17038</v>
      </c>
      <c r="E12568" s="22" t="s">
        <v>48</v>
      </c>
      <c r="F12568" s="23" t="str">
        <f t="shared" si="401"/>
        <v>Оказание услуг общественного питания обучающихся на базе муниципальных общеобразовательных учреждений Ворошиловского района Волгограда в учебный и каникулярный период 2019-2021гг.</v>
      </c>
      <c r="G12568" s="22" t="s">
        <v>158</v>
      </c>
      <c r="H12568" s="22" t="s">
        <v>158</v>
      </c>
      <c r="I12568" s="26">
        <v>43663.740277777797</v>
      </c>
      <c r="J12568" s="28" t="s">
        <v>51</v>
      </c>
      <c r="K12568" s="28" t="s">
        <v>51</v>
      </c>
      <c r="L12568" s="28" t="s">
        <v>51</v>
      </c>
      <c r="M12568" s="28" t="s">
        <v>51</v>
      </c>
      <c r="N12568" s="28" t="s">
        <v>51</v>
      </c>
    </row>
    <row r="12569" spans="1:14" hidden="1" outlineLevel="1" x14ac:dyDescent="0.15">
      <c r="A12569" s="23" t="str">
        <f>HYPERLINK("https://www.spark-marketing.ru/Card/Person/70229", "МОУ ОШ № 104")</f>
        <v>МОУ ОШ № 104</v>
      </c>
      <c r="B12569" s="24" t="s">
        <v>17044</v>
      </c>
      <c r="C12569" s="25">
        <v>2371950</v>
      </c>
      <c r="D12569" s="22" t="s">
        <v>17038</v>
      </c>
      <c r="E12569" s="22" t="s">
        <v>48</v>
      </c>
      <c r="F12569" s="23" t="str">
        <f t="shared" si="401"/>
        <v>Оказание услуг общественного питания обучающихся на базе муниципальных общеобразовательных учреждений Ворошиловского района Волгограда в учебный и каникулярный период 2019-2021гг.</v>
      </c>
      <c r="G12569" s="22" t="s">
        <v>158</v>
      </c>
      <c r="H12569" s="22" t="s">
        <v>158</v>
      </c>
      <c r="I12569" s="26">
        <v>43663.740277777797</v>
      </c>
      <c r="J12569" s="28" t="s">
        <v>51</v>
      </c>
      <c r="K12569" s="28" t="s">
        <v>51</v>
      </c>
      <c r="L12569" s="28" t="s">
        <v>51</v>
      </c>
      <c r="M12569" s="28" t="s">
        <v>51</v>
      </c>
      <c r="N12569" s="28" t="s">
        <v>51</v>
      </c>
    </row>
    <row r="12570" spans="1:14" hidden="1" outlineLevel="1" x14ac:dyDescent="0.2">
      <c r="A12570" s="28" t="s">
        <v>51</v>
      </c>
      <c r="B12570" s="28" t="s">
        <v>51</v>
      </c>
      <c r="C12570" s="28" t="s">
        <v>51</v>
      </c>
      <c r="D12570" s="22" t="s">
        <v>17038</v>
      </c>
      <c r="E12570" s="22" t="s">
        <v>48</v>
      </c>
      <c r="F12570" s="23" t="str">
        <f t="shared" si="401"/>
        <v>Оказание услуг общественного питания обучающихся на базе муниципальных общеобразовательных учреждений Ворошиловского района Волгограда в учебный и каникулярный период 2019-2021гг.</v>
      </c>
      <c r="G12570" s="22" t="s">
        <v>51</v>
      </c>
      <c r="H12570" s="22" t="s">
        <v>51</v>
      </c>
      <c r="I12570" s="26">
        <v>43663.740277777797</v>
      </c>
      <c r="J12570" s="23" t="str">
        <f>HYPERLINK("https://www.spark-marketing.ru/Card/Person/6558293", "ООО ""ВИВО МАРКЕТ""")</f>
        <v>ООО "ВИВО МАРКЕТ"</v>
      </c>
      <c r="K12570" s="24" t="s">
        <v>14440</v>
      </c>
      <c r="L12570" s="22" t="s">
        <v>10</v>
      </c>
      <c r="M12570" s="25">
        <v>15124900</v>
      </c>
      <c r="N12570" s="27">
        <v>0</v>
      </c>
    </row>
    <row r="12571" spans="1:14" hidden="1" outlineLevel="1" x14ac:dyDescent="0.2">
      <c r="A12571" s="28" t="s">
        <v>51</v>
      </c>
      <c r="B12571" s="28" t="s">
        <v>51</v>
      </c>
      <c r="C12571" s="28" t="s">
        <v>51</v>
      </c>
      <c r="D12571" s="22" t="s">
        <v>17038</v>
      </c>
      <c r="E12571" s="22" t="s">
        <v>48</v>
      </c>
      <c r="F12571" s="23" t="str">
        <f t="shared" si="401"/>
        <v>Оказание услуг общественного питания обучающихся на базе муниципальных общеобразовательных учреждений Ворошиловского района Волгограда в учебный и каникулярный период 2019-2021гг.</v>
      </c>
      <c r="G12571" s="22" t="s">
        <v>51</v>
      </c>
      <c r="H12571" s="22" t="s">
        <v>51</v>
      </c>
      <c r="I12571" s="26">
        <v>43663.740277777797</v>
      </c>
      <c r="J12571" s="23" t="str">
        <f>HYPERLINK("https://www.spark-marketing.ru/Card/Person/520670", "ООО ""СОЮЗ К""")</f>
        <v>ООО "СОЮЗ К"</v>
      </c>
      <c r="K12571" s="24" t="s">
        <v>10035</v>
      </c>
      <c r="L12571" s="28" t="s">
        <v>51</v>
      </c>
      <c r="M12571" s="25">
        <v>14519904</v>
      </c>
      <c r="N12571" s="27">
        <v>0.04</v>
      </c>
    </row>
    <row r="12572" spans="1:14" x14ac:dyDescent="0.2">
      <c r="A12572" s="23" t="str">
        <f>HYPERLINK("https://www.spark-marketing.ru/Card/Person/78114", "МБОУ ""СОШ № 7""")</f>
        <v>МБОУ "СОШ № 7"</v>
      </c>
      <c r="B12572" s="24" t="s">
        <v>17045</v>
      </c>
      <c r="C12572" s="25">
        <v>1620180.5</v>
      </c>
      <c r="D12572" s="22" t="s">
        <v>17046</v>
      </c>
      <c r="E12572" s="22" t="s">
        <v>48</v>
      </c>
      <c r="F12572" s="23" t="str">
        <f>HYPERLINK("https://www.spark-marketing.ru/Card/Lot/72161383", "Оказание услуг по организации питания для льготных категорий обучающихся и обеспечение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обеспечение молоком (кисломолочными продуктами) обучающихся 1-4 классов</v>
      </c>
      <c r="G12572" s="22" t="s">
        <v>162</v>
      </c>
      <c r="H12572" s="22" t="s">
        <v>10137</v>
      </c>
      <c r="I12572" s="26">
        <v>43663.709027777797</v>
      </c>
      <c r="J12572" s="23" t="str">
        <f>HYPERLINK("https://www.spark-marketing.ru/Card/Person/1281490", "Разина Елена Викторовна")</f>
        <v>Разина Елена Викторовна</v>
      </c>
      <c r="K12572" s="24" t="s">
        <v>5559</v>
      </c>
      <c r="L12572" s="28" t="s">
        <v>51</v>
      </c>
      <c r="M12572" s="25">
        <v>1620180.5</v>
      </c>
      <c r="N12572" s="27">
        <v>0</v>
      </c>
    </row>
    <row r="12573" spans="1:14" collapsed="1" x14ac:dyDescent="0.15">
      <c r="A12573" s="23" t="s">
        <v>114</v>
      </c>
      <c r="B12573" s="28" t="s">
        <v>51</v>
      </c>
      <c r="C12573" s="25">
        <v>17212250</v>
      </c>
      <c r="D12573" s="22" t="s">
        <v>17047</v>
      </c>
      <c r="E12573" s="22" t="s">
        <v>48</v>
      </c>
      <c r="F12573" s="23" t="str">
        <f>HYPERLINK("https://www.spark-marketing.ru/Card/Lot/72162767", "Оказание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573" s="22" t="s">
        <v>51</v>
      </c>
      <c r="H12573" s="22" t="s">
        <v>51</v>
      </c>
      <c r="I12573" s="26">
        <v>43663.714583333298</v>
      </c>
      <c r="J12573" s="28" t="s">
        <v>51</v>
      </c>
      <c r="K12573" s="28" t="s">
        <v>51</v>
      </c>
      <c r="L12573" s="28" t="s">
        <v>51</v>
      </c>
      <c r="M12573" s="28" t="s">
        <v>51</v>
      </c>
      <c r="N12573" s="28" t="s">
        <v>51</v>
      </c>
    </row>
    <row r="12574" spans="1:14" hidden="1" outlineLevel="1" x14ac:dyDescent="0.15">
      <c r="A12574" s="23" t="str">
        <f>HYPERLINK("https://www.spark-marketing.ru/Card/Person/48806", "МОУ СШ № 24")</f>
        <v>МОУ СШ № 24</v>
      </c>
      <c r="B12574" s="24" t="s">
        <v>17048</v>
      </c>
      <c r="C12574" s="25">
        <v>9885540</v>
      </c>
      <c r="D12574" s="22" t="s">
        <v>17047</v>
      </c>
      <c r="E12574" s="22" t="s">
        <v>48</v>
      </c>
      <c r="F12574" s="23" t="str">
        <f>HYPERLINK("https://www.spark-marketing.ru/Card/Lot/72162767", "Оказание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574" s="22" t="s">
        <v>158</v>
      </c>
      <c r="H12574" s="22" t="s">
        <v>158</v>
      </c>
      <c r="I12574" s="26">
        <v>43663.714583333298</v>
      </c>
      <c r="J12574" s="28" t="s">
        <v>51</v>
      </c>
      <c r="K12574" s="28" t="s">
        <v>51</v>
      </c>
      <c r="L12574" s="28" t="s">
        <v>51</v>
      </c>
      <c r="M12574" s="28" t="s">
        <v>51</v>
      </c>
      <c r="N12574" s="28" t="s">
        <v>51</v>
      </c>
    </row>
    <row r="12575" spans="1:14" hidden="1" outlineLevel="1" x14ac:dyDescent="0.15">
      <c r="A12575" s="23" t="str">
        <f>HYPERLINK("https://www.spark-marketing.ru/Card/Person/48889", "МОУ СШ № 100")</f>
        <v>МОУ СШ № 100</v>
      </c>
      <c r="B12575" s="24" t="s">
        <v>17049</v>
      </c>
      <c r="C12575" s="25">
        <v>7326710</v>
      </c>
      <c r="D12575" s="22" t="s">
        <v>17047</v>
      </c>
      <c r="E12575" s="22" t="s">
        <v>48</v>
      </c>
      <c r="F12575" s="23" t="str">
        <f>HYPERLINK("https://www.spark-marketing.ru/Card/Lot/72162767", "Оказание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575" s="22" t="s">
        <v>158</v>
      </c>
      <c r="H12575" s="22" t="s">
        <v>158</v>
      </c>
      <c r="I12575" s="26">
        <v>43663.714583333298</v>
      </c>
      <c r="J12575" s="28" t="s">
        <v>51</v>
      </c>
      <c r="K12575" s="28" t="s">
        <v>51</v>
      </c>
      <c r="L12575" s="28" t="s">
        <v>51</v>
      </c>
      <c r="M12575" s="28" t="s">
        <v>51</v>
      </c>
      <c r="N12575" s="28" t="s">
        <v>51</v>
      </c>
    </row>
    <row r="12576" spans="1:14" hidden="1" outlineLevel="1" x14ac:dyDescent="0.2">
      <c r="A12576" s="28" t="s">
        <v>51</v>
      </c>
      <c r="B12576" s="28" t="s">
        <v>51</v>
      </c>
      <c r="C12576" s="28" t="s">
        <v>51</v>
      </c>
      <c r="D12576" s="22" t="s">
        <v>17047</v>
      </c>
      <c r="E12576" s="22" t="s">
        <v>48</v>
      </c>
      <c r="F12576" s="23" t="str">
        <f>HYPERLINK("https://www.spark-marketing.ru/Card/Lot/72162767", "Оказание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576" s="22" t="s">
        <v>51</v>
      </c>
      <c r="H12576" s="22" t="s">
        <v>51</v>
      </c>
      <c r="I12576" s="26">
        <v>43663.714583333298</v>
      </c>
      <c r="J12576" s="23" t="str">
        <f>HYPERLINK("https://www.spark-marketing.ru/Card/Person/119200", "ООО ""ВЕНЕРА""")</f>
        <v>ООО "ВЕНЕРА"</v>
      </c>
      <c r="K12576" s="24" t="s">
        <v>16525</v>
      </c>
      <c r="L12576" s="28" t="s">
        <v>51</v>
      </c>
      <c r="M12576" s="25">
        <v>17212250</v>
      </c>
      <c r="N12576" s="27">
        <v>0</v>
      </c>
    </row>
    <row r="12577" spans="1:14" hidden="1" outlineLevel="1" x14ac:dyDescent="0.2">
      <c r="A12577" s="28" t="s">
        <v>51</v>
      </c>
      <c r="B12577" s="28" t="s">
        <v>51</v>
      </c>
      <c r="C12577" s="28" t="s">
        <v>51</v>
      </c>
      <c r="D12577" s="22" t="s">
        <v>17047</v>
      </c>
      <c r="E12577" s="22" t="s">
        <v>48</v>
      </c>
      <c r="F12577" s="23" t="str">
        <f>HYPERLINK("https://www.spark-marketing.ru/Card/Lot/72162767", "Оказание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577" s="22" t="s">
        <v>51</v>
      </c>
      <c r="H12577" s="22" t="s">
        <v>51</v>
      </c>
      <c r="I12577" s="26">
        <v>43663.714583333298</v>
      </c>
      <c r="J12577" s="23" t="str">
        <f>HYPERLINK("https://www.spark-marketing.ru/Card/Person/520670", "ООО ""СОЮЗ К""")</f>
        <v>ООО "СОЮЗ К"</v>
      </c>
      <c r="K12577" s="24" t="s">
        <v>10035</v>
      </c>
      <c r="L12577" s="22" t="s">
        <v>10</v>
      </c>
      <c r="M12577" s="25">
        <v>16523760</v>
      </c>
      <c r="N12577" s="27">
        <v>0.04</v>
      </c>
    </row>
    <row r="12578" spans="1:14" collapsed="1" x14ac:dyDescent="0.15">
      <c r="A12578" s="23" t="str">
        <f>HYPERLINK("https://www.spark-marketing.ru/Card/Person/49940", "МБОУ ""СШ №8""")</f>
        <v>МБОУ "СШ №8"</v>
      </c>
      <c r="B12578" s="24" t="s">
        <v>17050</v>
      </c>
      <c r="C12578" s="25">
        <v>12739896</v>
      </c>
      <c r="D12578" s="22" t="s">
        <v>17051</v>
      </c>
      <c r="E12578" s="22" t="s">
        <v>48</v>
      </c>
      <c r="F12578" s="23" t="str">
        <f>HYPERLINK("https://www.spark-marketing.ru/Card/Lot/72162799", "Оказание услуг по организации  в 2019-2020 учебном году питания обучающихся муниципального бюджетного общеобразовательного учреждения ""Средняя школа №8""")</f>
        <v>Оказание услуг по организации  в 2019-2020 учебном году питания обучающихся муниципального бюджетного общеобразовательного учреждения "Средняя школа №8"</v>
      </c>
      <c r="G12578" s="22" t="s">
        <v>97</v>
      </c>
      <c r="H12578" s="22" t="s">
        <v>97</v>
      </c>
      <c r="I12578" s="26">
        <v>43663.724305555603</v>
      </c>
      <c r="J12578" s="28" t="s">
        <v>51</v>
      </c>
      <c r="K12578" s="28" t="s">
        <v>51</v>
      </c>
      <c r="L12578" s="28" t="s">
        <v>51</v>
      </c>
      <c r="M12578" s="28" t="s">
        <v>51</v>
      </c>
      <c r="N12578" s="28" t="s">
        <v>51</v>
      </c>
    </row>
    <row r="12579" spans="1:14" ht="12.75" hidden="1" outlineLevel="1" x14ac:dyDescent="0.2">
      <c r="A12579" s="23" t="str">
        <f>HYPERLINK("https://www.spark-marketing.ru/Card/Person/49940", "МБОУ ""СШ №8""")</f>
        <v>МБОУ "СШ №8"</v>
      </c>
      <c r="B12579" s="24" t="s">
        <v>17050</v>
      </c>
      <c r="C12579" s="25">
        <v>12739896</v>
      </c>
      <c r="D12579" s="22" t="s">
        <v>17051</v>
      </c>
      <c r="E12579" s="22" t="s">
        <v>48</v>
      </c>
      <c r="F12579" s="23" t="str">
        <f>HYPERLINK("https://www.spark-marketing.ru/Card/Lot/72162799", "Оказание услуг по организации  в 2019-2020 учебном году питания обучающихся муниципального бюджетного общеобразовательного учреждения ""Средняя школа №8""")</f>
        <v>Оказание услуг по организации  в 2019-2020 учебном году питания обучающихся муниципального бюджетного общеобразовательного учреждения "Средняя школа №8"</v>
      </c>
      <c r="G12579" s="22" t="s">
        <v>97</v>
      </c>
      <c r="H12579" s="22" t="s">
        <v>97</v>
      </c>
      <c r="I12579" s="26">
        <v>43663.724305555603</v>
      </c>
      <c r="J12579" s="23" t="str">
        <f>HYPERLINK("https://www.spark-marketing.ru/Card/Person/4865441", "ООО ""КШП-2""")</f>
        <v>ООО "КШП-2"</v>
      </c>
      <c r="K12579" s="24" t="s">
        <v>1468</v>
      </c>
      <c r="L12579" s="22" t="s">
        <v>10</v>
      </c>
      <c r="M12579" s="25">
        <v>11465906</v>
      </c>
      <c r="N12579" s="27">
        <v>0.10000003139743056</v>
      </c>
    </row>
    <row r="12580" spans="1:14" hidden="1" outlineLevel="1" x14ac:dyDescent="0.2">
      <c r="A12580" s="23" t="str">
        <f>HYPERLINK("https://www.spark-marketing.ru/Card/Person/49940", "МБОУ ""СШ №8""")</f>
        <v>МБОУ "СШ №8"</v>
      </c>
      <c r="B12580" s="24" t="s">
        <v>17050</v>
      </c>
      <c r="C12580" s="25">
        <v>12739896</v>
      </c>
      <c r="D12580" s="22" t="s">
        <v>17051</v>
      </c>
      <c r="E12580" s="22" t="s">
        <v>48</v>
      </c>
      <c r="F12580" s="23" t="str">
        <f>HYPERLINK("https://www.spark-marketing.ru/Card/Lot/72162799", "Оказание услуг по организации  в 2019-2020 учебном году питания обучающихся муниципального бюджетного общеобразовательного учреждения ""Средняя школа №8""")</f>
        <v>Оказание услуг по организации  в 2019-2020 учебном году питания обучающихся муниципального бюджетного общеобразовательного учреждения "Средняя школа №8"</v>
      </c>
      <c r="G12580" s="22" t="s">
        <v>97</v>
      </c>
      <c r="H12580" s="22" t="s">
        <v>97</v>
      </c>
      <c r="I12580" s="26">
        <v>43663.724305555603</v>
      </c>
      <c r="J12580" s="23" t="str">
        <f>HYPERLINK("https://www.spark-marketing.ru/Card/Person/4868934", "ООО ""АЗБУКА ПИТАНИЯ""")</f>
        <v>ООО "АЗБУКА ПИТАНИЯ"</v>
      </c>
      <c r="K12580" s="24" t="s">
        <v>2534</v>
      </c>
      <c r="L12580" s="28" t="s">
        <v>51</v>
      </c>
      <c r="M12580" s="25">
        <v>12102901.199999999</v>
      </c>
      <c r="N12580" s="27">
        <v>0.05</v>
      </c>
    </row>
    <row r="12581" spans="1:14" x14ac:dyDescent="0.15">
      <c r="A12581" s="23" t="str">
        <f>HYPERLINK("https://www.spark-marketing.ru/Card/Person/135615", "ГБУ СО РК ""ЦЕНТР ПОМОЩИ ДЕТЯМ ""НАДЕЖДА""")</f>
        <v>ГБУ СО РК "ЦЕНТР ПОМОЩИ ДЕТЯМ "НАДЕЖДА"</v>
      </c>
      <c r="B12581" s="24" t="s">
        <v>16983</v>
      </c>
      <c r="C12581" s="25">
        <v>52569.3</v>
      </c>
      <c r="D12581" s="22" t="s">
        <v>17052</v>
      </c>
      <c r="E12581" s="22" t="s">
        <v>48</v>
      </c>
      <c r="F12581" s="23" t="str">
        <f>HYPERLINK("https://www.spark-marketing.ru/Card/Lot/72159035", "Оказание услуг по организации горячего питания для воспитанников отделения социальной реабилитации в полустационарной форме ГБУ СО РК ""Центр помощи детям ""Надежда"", расположенного по адресу: г. Петрозаводск, ул. Антонова, д. 8а")</f>
        <v>Оказание услуг по организации горячего питания для воспитанников отделения социальной реабилитации в полустационарной форме ГБУ СО РК "Центр помощи детям "Надежда", расположенного по адресу: г. Петрозаводск, ул. Антонова, д. 8а</v>
      </c>
      <c r="G12581" s="22" t="s">
        <v>59</v>
      </c>
      <c r="H12581" s="22" t="s">
        <v>314</v>
      </c>
      <c r="I12581" s="26">
        <v>43663.727152777799</v>
      </c>
      <c r="J12581" s="23" t="str">
        <f>HYPERLINK("https://www.spark-marketing.ru/Card/Person/61318", "ООО ""СЕВЕРПРОДУКТ""")</f>
        <v>ООО "СЕВЕРПРОДУКТ"</v>
      </c>
      <c r="K12581" s="24" t="s">
        <v>6634</v>
      </c>
      <c r="L12581" s="22" t="s">
        <v>10</v>
      </c>
      <c r="M12581" s="28" t="s">
        <v>51</v>
      </c>
      <c r="N12581" s="28" t="s">
        <v>51</v>
      </c>
    </row>
    <row r="12582" spans="1:14" collapsed="1" x14ac:dyDescent="0.2">
      <c r="A12582" s="23" t="s">
        <v>114</v>
      </c>
      <c r="B12582" s="28" t="s">
        <v>51</v>
      </c>
      <c r="C12582" s="25">
        <v>10521385.75</v>
      </c>
      <c r="D12582" s="22" t="s">
        <v>17053</v>
      </c>
      <c r="E12582" s="22" t="s">
        <v>48</v>
      </c>
      <c r="F12582" s="23" t="str">
        <f>HYPERLINK("https://www.spark-marketing.ru/Card/Lot/72162793", "на оказание услуг по организации горячего питания обучающихся 1-4 классов и 5-11 классов в муниципальных общеобразовательных учреждениях")</f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12582" s="22" t="s">
        <v>51</v>
      </c>
      <c r="H12582" s="22" t="s">
        <v>51</v>
      </c>
      <c r="I12582" s="26">
        <v>43663.709027777797</v>
      </c>
      <c r="J12582" s="23" t="str">
        <f>HYPERLINK("https://www.spark-marketing.ru/Card/Person/736066", "МУП ""ШКОЛЬНИК""")</f>
        <v>МУП "ШКОЛЬНИК"</v>
      </c>
      <c r="K12582" s="24" t="s">
        <v>8862</v>
      </c>
      <c r="L12582" s="28" t="s">
        <v>51</v>
      </c>
      <c r="M12582" s="25">
        <v>10521385.75</v>
      </c>
      <c r="N12582" s="27">
        <v>0</v>
      </c>
    </row>
    <row r="12583" spans="1:14" hidden="1" outlineLevel="1" x14ac:dyDescent="0.2">
      <c r="A12583" s="23" t="str">
        <f>HYPERLINK("https://www.spark-marketing.ru/Card/Person/735767", "МОУ ""СОШ № 12"" Г.ВОРКУТЫ")</f>
        <v>МОУ "СОШ № 12" Г.ВОРКУТЫ</v>
      </c>
      <c r="B12583" s="24" t="s">
        <v>17054</v>
      </c>
      <c r="C12583" s="25">
        <v>2594031.2599999998</v>
      </c>
      <c r="D12583" s="22" t="s">
        <v>17053</v>
      </c>
      <c r="E12583" s="22" t="s">
        <v>48</v>
      </c>
      <c r="F12583" s="23" t="str">
        <f>HYPERLINK("https://www.spark-marketing.ru/Card/Lot/72162793", "на оказание услуг по организации горячего питания обучающихся 1-4 классов и 5-11 классов в муниципальных общеобразовательных учреждениях")</f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12583" s="22" t="s">
        <v>271</v>
      </c>
      <c r="H12583" s="22" t="s">
        <v>8864</v>
      </c>
      <c r="I12583" s="26">
        <v>43663.709027777797</v>
      </c>
      <c r="J12583" s="23" t="str">
        <f>HYPERLINK("https://www.spark-marketing.ru/Card/Person/736066", "МУП ""ШКОЛЬНИК""")</f>
        <v>МУП "ШКОЛЬНИК"</v>
      </c>
      <c r="K12583" s="24" t="s">
        <v>8862</v>
      </c>
      <c r="L12583" s="28" t="s">
        <v>51</v>
      </c>
      <c r="M12583" s="28" t="s">
        <v>51</v>
      </c>
      <c r="N12583" s="27">
        <v>0</v>
      </c>
    </row>
    <row r="12584" spans="1:14" hidden="1" outlineLevel="1" x14ac:dyDescent="0.2">
      <c r="A12584" s="23" t="str">
        <f>HYPERLINK("https://www.spark-marketing.ru/Card/Person/735871", "МОУ ""СОШ № 13"" Г. ВОРКУТЫ")</f>
        <v>МОУ "СОШ № 13" Г. ВОРКУТЫ</v>
      </c>
      <c r="B12584" s="24" t="s">
        <v>17055</v>
      </c>
      <c r="C12584" s="25">
        <v>2594062.13</v>
      </c>
      <c r="D12584" s="22" t="s">
        <v>17053</v>
      </c>
      <c r="E12584" s="22" t="s">
        <v>48</v>
      </c>
      <c r="F12584" s="23" t="str">
        <f>HYPERLINK("https://www.spark-marketing.ru/Card/Lot/72162793", "на оказание услуг по организации горячего питания обучающихся 1-4 классов и 5-11 классов в муниципальных общеобразовательных учреждениях")</f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12584" s="22" t="s">
        <v>271</v>
      </c>
      <c r="H12584" s="22" t="s">
        <v>8864</v>
      </c>
      <c r="I12584" s="26">
        <v>43663.709027777797</v>
      </c>
      <c r="J12584" s="23" t="str">
        <f>HYPERLINK("https://www.spark-marketing.ru/Card/Person/736066", "МУП ""ШКОЛЬНИК""")</f>
        <v>МУП "ШКОЛЬНИК"</v>
      </c>
      <c r="K12584" s="24" t="s">
        <v>8862</v>
      </c>
      <c r="L12584" s="28" t="s">
        <v>51</v>
      </c>
      <c r="M12584" s="28" t="s">
        <v>51</v>
      </c>
      <c r="N12584" s="27">
        <v>0</v>
      </c>
    </row>
    <row r="12585" spans="1:14" hidden="1" outlineLevel="1" x14ac:dyDescent="0.2">
      <c r="A12585" s="23" t="str">
        <f>HYPERLINK("https://www.spark-marketing.ru/Card/Person/736015", "МОУ ""СОШ № 23"" Г.ВОРКУТЫ")</f>
        <v>МОУ "СОШ № 23" Г.ВОРКУТЫ</v>
      </c>
      <c r="B12585" s="24" t="s">
        <v>17056</v>
      </c>
      <c r="C12585" s="25">
        <v>3282632.61</v>
      </c>
      <c r="D12585" s="22" t="s">
        <v>17053</v>
      </c>
      <c r="E12585" s="22" t="s">
        <v>48</v>
      </c>
      <c r="F12585" s="23" t="str">
        <f>HYPERLINK("https://www.spark-marketing.ru/Card/Lot/72162793", "на оказание услуг по организации горячего питания обучающихся 1-4 классов и 5-11 классов в муниципальных общеобразовательных учреждениях")</f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12585" s="22" t="s">
        <v>271</v>
      </c>
      <c r="H12585" s="22" t="s">
        <v>8864</v>
      </c>
      <c r="I12585" s="26">
        <v>43663.709027777797</v>
      </c>
      <c r="J12585" s="23" t="str">
        <f>HYPERLINK("https://www.spark-marketing.ru/Card/Person/736066", "МУП ""ШКОЛЬНИК""")</f>
        <v>МУП "ШКОЛЬНИК"</v>
      </c>
      <c r="K12585" s="24" t="s">
        <v>8862</v>
      </c>
      <c r="L12585" s="28" t="s">
        <v>51</v>
      </c>
      <c r="M12585" s="28" t="s">
        <v>51</v>
      </c>
      <c r="N12585" s="27">
        <v>0</v>
      </c>
    </row>
    <row r="12586" spans="1:14" hidden="1" outlineLevel="1" x14ac:dyDescent="0.2">
      <c r="A12586" s="23" t="str">
        <f>HYPERLINK("https://www.spark-marketing.ru/Card/Person/736030", "МОУ ""СОШ № 26"" Г.ВОРКУТЫ")</f>
        <v>МОУ "СОШ № 26" Г.ВОРКУТЫ</v>
      </c>
      <c r="B12586" s="24" t="s">
        <v>17057</v>
      </c>
      <c r="C12586" s="25">
        <v>2050659.75</v>
      </c>
      <c r="D12586" s="22" t="s">
        <v>17053</v>
      </c>
      <c r="E12586" s="22" t="s">
        <v>48</v>
      </c>
      <c r="F12586" s="23" t="str">
        <f>HYPERLINK("https://www.spark-marketing.ru/Card/Lot/72162793", "на оказание услуг по организации горячего питания обучающихся 1-4 классов и 5-11 классов в муниципальных общеобразовательных учреждениях")</f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12586" s="22" t="s">
        <v>271</v>
      </c>
      <c r="H12586" s="22" t="s">
        <v>8864</v>
      </c>
      <c r="I12586" s="26">
        <v>43663.709027777797</v>
      </c>
      <c r="J12586" s="23" t="str">
        <f>HYPERLINK("https://www.spark-marketing.ru/Card/Person/736066", "МУП ""ШКОЛЬНИК""")</f>
        <v>МУП "ШКОЛЬНИК"</v>
      </c>
      <c r="K12586" s="24" t="s">
        <v>8862</v>
      </c>
      <c r="L12586" s="28" t="s">
        <v>51</v>
      </c>
      <c r="M12586" s="28" t="s">
        <v>51</v>
      </c>
      <c r="N12586" s="27">
        <v>0</v>
      </c>
    </row>
    <row r="12587" spans="1:14" collapsed="1" x14ac:dyDescent="0.15">
      <c r="A12587" s="23" t="str">
        <f>HYPERLINK("https://www.spark-marketing.ru/Card/Person/77078", "УПРАВЛЕНИЕ ДЕЛАМИ ГУБЕРНАТОРА И ПРАВИТЕЛЬСТВА КРАСНОЯРСКОГО КРАЯ")</f>
        <v>УПРАВЛЕНИЕ ДЕЛАМИ ГУБЕРНАТОРА И ПРАВИТЕЛЬСТВА КРАСНОЯРСКОГО КРАЯ</v>
      </c>
      <c r="B12587" s="24" t="s">
        <v>17058</v>
      </c>
      <c r="C12587" s="25">
        <v>72366.58</v>
      </c>
      <c r="D12587" s="22" t="s">
        <v>17059</v>
      </c>
      <c r="E12587" s="22" t="s">
        <v>437</v>
      </c>
      <c r="F12587" s="23" t="str">
        <f>HYPERLINK("https://www.spark-marketing.ru/Card/Lot/72154798", "№ ЗК 44811/19 ""Оказание услуг по определению компонентного состава вида отходов""")</f>
        <v>№ ЗК 44811/19 "Оказание услуг по определению компонентного состава вида отходов"</v>
      </c>
      <c r="G12587" s="22" t="s">
        <v>281</v>
      </c>
      <c r="H12587" s="22" t="s">
        <v>1036</v>
      </c>
      <c r="I12587" s="26">
        <v>43663.744606481501</v>
      </c>
      <c r="J12587" s="28" t="s">
        <v>51</v>
      </c>
      <c r="K12587" s="28" t="s">
        <v>51</v>
      </c>
      <c r="L12587" s="28" t="s">
        <v>51</v>
      </c>
      <c r="M12587" s="28" t="s">
        <v>51</v>
      </c>
      <c r="N12587" s="28" t="s">
        <v>51</v>
      </c>
    </row>
    <row r="12588" spans="1:14" ht="12.75" hidden="1" outlineLevel="1" x14ac:dyDescent="0.2">
      <c r="A12588" s="23" t="str">
        <f>HYPERLINK("https://www.spark-marketing.ru/Card/Person/77078", "УПРАВЛЕНИЕ ДЕЛАМИ ГУБЕРНАТОРА И ПРАВИТЕЛЬСТВА КРАСНОЯРСКОГО КРАЯ")</f>
        <v>УПРАВЛЕНИЕ ДЕЛАМИ ГУБЕРНАТОРА И ПРАВИТЕЛЬСТВА КРАСНОЯРСКОГО КРАЯ</v>
      </c>
      <c r="B12588" s="24" t="s">
        <v>17058</v>
      </c>
      <c r="C12588" s="25">
        <v>72366.58</v>
      </c>
      <c r="D12588" s="22" t="s">
        <v>17059</v>
      </c>
      <c r="E12588" s="22" t="s">
        <v>437</v>
      </c>
      <c r="F12588" s="23" t="str">
        <f>HYPERLINK("https://www.spark-marketing.ru/Card/Lot/72154798", "№ ЗК 44811/19 ""Оказание услуг по определению компонентного состава вида отходов""")</f>
        <v>№ ЗК 44811/19 "Оказание услуг по определению компонентного состава вида отходов"</v>
      </c>
      <c r="G12588" s="22" t="s">
        <v>281</v>
      </c>
      <c r="H12588" s="22" t="s">
        <v>1036</v>
      </c>
      <c r="I12588" s="26">
        <v>43663.744606481501</v>
      </c>
      <c r="J12588" s="23" t="str">
        <f>HYPERLINK("https://www.spark-marketing.ru/Card/Person/677932", "ООО ""ЦДТ""")</f>
        <v>ООО "ЦДТ"</v>
      </c>
      <c r="K12588" s="24" t="s">
        <v>17060</v>
      </c>
      <c r="L12588" s="22" t="s">
        <v>10</v>
      </c>
      <c r="M12588" s="25">
        <v>22000</v>
      </c>
      <c r="N12588" s="27">
        <v>0.69599226604324815</v>
      </c>
    </row>
    <row r="12589" spans="1:14" hidden="1" outlineLevel="1" x14ac:dyDescent="0.2">
      <c r="A12589" s="23" t="str">
        <f>HYPERLINK("https://www.spark-marketing.ru/Card/Person/77078", "УПРАВЛЕНИЕ ДЕЛАМИ ГУБЕРНАТОРА И ПРАВИТЕЛЬСТВА КРАСНОЯРСКОГО КРАЯ")</f>
        <v>УПРАВЛЕНИЕ ДЕЛАМИ ГУБЕРНАТОРА И ПРАВИТЕЛЬСТВА КРАСНОЯРСКОГО КРАЯ</v>
      </c>
      <c r="B12589" s="24" t="s">
        <v>17058</v>
      </c>
      <c r="C12589" s="25">
        <v>72366.58</v>
      </c>
      <c r="D12589" s="22" t="s">
        <v>17059</v>
      </c>
      <c r="E12589" s="22" t="s">
        <v>437</v>
      </c>
      <c r="F12589" s="23" t="str">
        <f>HYPERLINK("https://www.spark-marketing.ru/Card/Lot/72154798", "№ ЗК 44811/19 ""Оказание услуг по определению компонентного состава вида отходов""")</f>
        <v>№ ЗК 44811/19 "Оказание услуг по определению компонентного состава вида отходов"</v>
      </c>
      <c r="G12589" s="22" t="s">
        <v>281</v>
      </c>
      <c r="H12589" s="22" t="s">
        <v>1036</v>
      </c>
      <c r="I12589" s="26">
        <v>43663.744606481501</v>
      </c>
      <c r="J12589" s="23" t="str">
        <f>HYPERLINK("https://www.spark-marketing.ru/Card/Person/208626", "СУДЕБНОЭКСПЕРТНОЕ УЧРЕЖДЕНИЕ СФО НАЛ")</f>
        <v>СУДЕБНОЭКСПЕРТНОЕ УЧРЕЖДЕНИЕ СФО НАЛ</v>
      </c>
      <c r="K12589" s="24" t="s">
        <v>17061</v>
      </c>
      <c r="L12589" s="28" t="s">
        <v>51</v>
      </c>
      <c r="M12589" s="25">
        <v>54275</v>
      </c>
      <c r="N12589" s="27">
        <v>0.2499991017953315</v>
      </c>
    </row>
    <row r="12590" spans="1:14" hidden="1" outlineLevel="1" x14ac:dyDescent="0.2">
      <c r="A12590" s="23" t="str">
        <f>HYPERLINK("https://www.spark-marketing.ru/Card/Person/77078", "УПРАВЛЕНИЕ ДЕЛАМИ ГУБЕРНАТОРА И ПРАВИТЕЛЬСТВА КРАСНОЯРСКОГО КРАЯ")</f>
        <v>УПРАВЛЕНИЕ ДЕЛАМИ ГУБЕРНАТОРА И ПРАВИТЕЛЬСТВА КРАСНОЯРСКОГО КРАЯ</v>
      </c>
      <c r="B12590" s="24" t="s">
        <v>17058</v>
      </c>
      <c r="C12590" s="25">
        <v>72366.58</v>
      </c>
      <c r="D12590" s="22" t="s">
        <v>17059</v>
      </c>
      <c r="E12590" s="22" t="s">
        <v>437</v>
      </c>
      <c r="F12590" s="23" t="str">
        <f>HYPERLINK("https://www.spark-marketing.ru/Card/Lot/72154798", "№ ЗК 44811/19 ""Оказание услуг по определению компонентного состава вида отходов""")</f>
        <v>№ ЗК 44811/19 "Оказание услуг по определению компонентного состава вида отходов"</v>
      </c>
      <c r="G12590" s="22" t="s">
        <v>281</v>
      </c>
      <c r="H12590" s="22" t="s">
        <v>1036</v>
      </c>
      <c r="I12590" s="26">
        <v>43663.744606481501</v>
      </c>
      <c r="J12590" s="23" t="str">
        <f>HYPERLINK("https://www.spark-marketing.ru/Card/Person/6161637", "Шкурина Светлана Викторовна")</f>
        <v>Шкурина Светлана Викторовна</v>
      </c>
      <c r="K12590" s="24" t="s">
        <v>17062</v>
      </c>
      <c r="L12590" s="28" t="s">
        <v>51</v>
      </c>
      <c r="M12590" s="25">
        <v>58500</v>
      </c>
      <c r="N12590" s="27">
        <v>0.19161579834227346</v>
      </c>
    </row>
    <row r="12591" spans="1:14" x14ac:dyDescent="0.15">
      <c r="A12591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591" s="24" t="s">
        <v>4297</v>
      </c>
      <c r="C12591" s="25">
        <v>45590</v>
      </c>
      <c r="D12591" s="22" t="s">
        <v>17063</v>
      </c>
      <c r="E12591" s="22" t="s">
        <v>48</v>
      </c>
      <c r="F12591" s="23" t="str">
        <f>HYPERLINK("https://www.spark-marketing.ru/Card/Lot/72173071",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2591" s="22" t="s">
        <v>1096</v>
      </c>
      <c r="H12591" s="22" t="s">
        <v>4299</v>
      </c>
      <c r="I12591" s="26">
        <v>43663.735000000001</v>
      </c>
      <c r="J12591" s="23" t="str">
        <f>HYPERLINK("https://www.spark-marketing.ru/Card/Person/172134", "МУП КШП ""МОЛОДЕЖНЫЙ""")</f>
        <v>МУП КШП "МОЛОДЕЖНЫЙ"</v>
      </c>
      <c r="K12591" s="24" t="s">
        <v>17064</v>
      </c>
      <c r="L12591" s="22" t="s">
        <v>10</v>
      </c>
      <c r="M12591" s="28" t="s">
        <v>51</v>
      </c>
      <c r="N12591" s="28" t="s">
        <v>51</v>
      </c>
    </row>
    <row r="12592" spans="1:14" x14ac:dyDescent="0.15">
      <c r="A12592" s="23" t="str">
        <f>HYPERLINK("https://www.spark-marketing.ru/Card/Person/25413", "ФГКУ ""СЗРПСО МЧС РОССИИ""")</f>
        <v>ФГКУ "СЗРПСО МЧС РОССИИ"</v>
      </c>
      <c r="B12592" s="24" t="s">
        <v>10257</v>
      </c>
      <c r="C12592" s="25">
        <v>435000</v>
      </c>
      <c r="D12592" s="22" t="s">
        <v>17065</v>
      </c>
      <c r="E12592" s="22" t="s">
        <v>48</v>
      </c>
      <c r="F12592" s="23" t="str">
        <f>HYPERLINK("https://www.spark-marketing.ru/Card/Lot/72159841", "Оказание услуг по организации горячего питания работников , несущих дежурство в Сыктывкарском ПСО")</f>
        <v>Оказание услуг по организации горячего питания работников , несущих дежурство в Сыктывкарском ПСО</v>
      </c>
      <c r="G12592" s="22" t="s">
        <v>271</v>
      </c>
      <c r="H12592" s="22" t="s">
        <v>271</v>
      </c>
      <c r="I12592" s="26">
        <v>43663.727708333303</v>
      </c>
      <c r="J12592" s="23" t="str">
        <f>HYPERLINK("https://www.spark-marketing.ru/Card/Person/4168629", "ООО ""БИО-ЛАЙТ""")</f>
        <v>ООО "БИО-ЛАЙТ"</v>
      </c>
      <c r="K12592" s="24" t="s">
        <v>11868</v>
      </c>
      <c r="L12592" s="22" t="s">
        <v>10</v>
      </c>
      <c r="M12592" s="28" t="s">
        <v>51</v>
      </c>
      <c r="N12592" s="28" t="s">
        <v>51</v>
      </c>
    </row>
    <row r="12593" spans="1:14" collapsed="1" x14ac:dyDescent="0.15">
      <c r="A12593" s="23" t="str">
        <f>HYPERLINK("https://www.spark-marketing.ru/Card/Person/49862", "МБОУ ""СШ №7""")</f>
        <v>МБОУ "СШ №7"</v>
      </c>
      <c r="B12593" s="24" t="s">
        <v>17066</v>
      </c>
      <c r="C12593" s="25">
        <v>12858736.800000001</v>
      </c>
      <c r="D12593" s="22" t="s">
        <v>17067</v>
      </c>
      <c r="E12593" s="22" t="s">
        <v>48</v>
      </c>
      <c r="F12593" s="23" t="str">
        <f>HYPERLINK("https://www.spark-marketing.ru/Card/Lot/72162800", "Оказание услуг по организации в 2019-2020 учебном году питания обучающихся  в муниципальном бюджетном общеобразовательном учреждении ""Средней школы №7""")</f>
        <v>Оказание услуг по организации в 2019-2020 учебном году питания обучающихся  в муниципальном бюджетном общеобразовательном учреждении "Средней школы №7"</v>
      </c>
      <c r="G12593" s="22" t="s">
        <v>97</v>
      </c>
      <c r="H12593" s="22" t="s">
        <v>97</v>
      </c>
      <c r="I12593" s="26">
        <v>43663.725694444402</v>
      </c>
      <c r="J12593" s="28" t="s">
        <v>51</v>
      </c>
      <c r="K12593" s="28" t="s">
        <v>51</v>
      </c>
      <c r="L12593" s="28" t="s">
        <v>51</v>
      </c>
      <c r="M12593" s="28" t="s">
        <v>51</v>
      </c>
      <c r="N12593" s="28" t="s">
        <v>51</v>
      </c>
    </row>
    <row r="12594" spans="1:14" ht="12.75" hidden="1" outlineLevel="1" x14ac:dyDescent="0.2">
      <c r="A12594" s="23" t="str">
        <f>HYPERLINK("https://www.spark-marketing.ru/Card/Person/49862", "МБОУ ""СШ №7""")</f>
        <v>МБОУ "СШ №7"</v>
      </c>
      <c r="B12594" s="24" t="s">
        <v>17066</v>
      </c>
      <c r="C12594" s="25">
        <v>12858736.800000001</v>
      </c>
      <c r="D12594" s="22" t="s">
        <v>17067</v>
      </c>
      <c r="E12594" s="22" t="s">
        <v>48</v>
      </c>
      <c r="F12594" s="23" t="str">
        <f>HYPERLINK("https://www.spark-marketing.ru/Card/Lot/72162800", "Оказание услуг по организации в 2019-2020 учебном году питания обучающихся  в муниципальном бюджетном общеобразовательном учреждении ""Средней школы №7""")</f>
        <v>Оказание услуг по организации в 2019-2020 учебном году питания обучающихся  в муниципальном бюджетном общеобразовательном учреждении "Средней школы №7"</v>
      </c>
      <c r="G12594" s="22" t="s">
        <v>97</v>
      </c>
      <c r="H12594" s="22" t="s">
        <v>97</v>
      </c>
      <c r="I12594" s="26">
        <v>43663.725694444402</v>
      </c>
      <c r="J12594" s="23" t="str">
        <f>HYPERLINK("https://www.spark-marketing.ru/Card/Person/4865441", "ООО ""КШП-2""")</f>
        <v>ООО "КШП-2"</v>
      </c>
      <c r="K12594" s="24" t="s">
        <v>1468</v>
      </c>
      <c r="L12594" s="22" t="s">
        <v>10</v>
      </c>
      <c r="M12594" s="25">
        <v>11572863</v>
      </c>
      <c r="N12594" s="27">
        <v>0.1000000093321764</v>
      </c>
    </row>
    <row r="12595" spans="1:14" hidden="1" outlineLevel="1" x14ac:dyDescent="0.2">
      <c r="A12595" s="23" t="str">
        <f>HYPERLINK("https://www.spark-marketing.ru/Card/Person/49862", "МБОУ ""СШ №7""")</f>
        <v>МБОУ "СШ №7"</v>
      </c>
      <c r="B12595" s="24" t="s">
        <v>17066</v>
      </c>
      <c r="C12595" s="25">
        <v>12858736.800000001</v>
      </c>
      <c r="D12595" s="22" t="s">
        <v>17067</v>
      </c>
      <c r="E12595" s="22" t="s">
        <v>48</v>
      </c>
      <c r="F12595" s="23" t="str">
        <f>HYPERLINK("https://www.spark-marketing.ru/Card/Lot/72162800", "Оказание услуг по организации в 2019-2020 учебном году питания обучающихся  в муниципальном бюджетном общеобразовательном учреждении ""Средней школы №7""")</f>
        <v>Оказание услуг по организации в 2019-2020 учебном году питания обучающихся  в муниципальном бюджетном общеобразовательном учреждении "Средней школы №7"</v>
      </c>
      <c r="G12595" s="22" t="s">
        <v>97</v>
      </c>
      <c r="H12595" s="22" t="s">
        <v>97</v>
      </c>
      <c r="I12595" s="26">
        <v>43663.725694444402</v>
      </c>
      <c r="J12595" s="23" t="str">
        <f>HYPERLINK("https://www.spark-marketing.ru/Card/Person/4868934", "ООО ""АЗБУКА ПИТАНИЯ""")</f>
        <v>ООО "АЗБУКА ПИТАНИЯ"</v>
      </c>
      <c r="K12595" s="24" t="s">
        <v>2534</v>
      </c>
      <c r="L12595" s="28" t="s">
        <v>51</v>
      </c>
      <c r="M12595" s="25">
        <v>12215799.960000001</v>
      </c>
      <c r="N12595" s="27">
        <v>0.05</v>
      </c>
    </row>
    <row r="12596" spans="1:14" collapsed="1" x14ac:dyDescent="0.15">
      <c r="A12596" s="23" t="s">
        <v>114</v>
      </c>
      <c r="B12596" s="28" t="s">
        <v>51</v>
      </c>
      <c r="C12596" s="25">
        <v>18207480</v>
      </c>
      <c r="D12596" s="22" t="s">
        <v>17068</v>
      </c>
      <c r="E12596" s="22" t="s">
        <v>48</v>
      </c>
      <c r="F12596" s="23" t="str">
        <f t="shared" ref="F12596:F12602" si="402">HYPERLINK("https://www.spark-marketing.ru/Card/Lot/72162829", "Оказание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596" s="22" t="s">
        <v>51</v>
      </c>
      <c r="H12596" s="22" t="s">
        <v>51</v>
      </c>
      <c r="I12596" s="26">
        <v>43663.714583333298</v>
      </c>
      <c r="J12596" s="28" t="s">
        <v>51</v>
      </c>
      <c r="K12596" s="28" t="s">
        <v>51</v>
      </c>
      <c r="L12596" s="28" t="s">
        <v>51</v>
      </c>
      <c r="M12596" s="28" t="s">
        <v>51</v>
      </c>
      <c r="N12596" s="28" t="s">
        <v>51</v>
      </c>
    </row>
    <row r="12597" spans="1:14" hidden="1" outlineLevel="1" x14ac:dyDescent="0.15">
      <c r="A12597" s="23" t="str">
        <f>HYPERLINK("https://www.spark-marketing.ru/Card/Person/129015", "МОУ СШ № 72")</f>
        <v>МОУ СШ № 72</v>
      </c>
      <c r="B12597" s="24" t="s">
        <v>17069</v>
      </c>
      <c r="C12597" s="25">
        <v>2982500</v>
      </c>
      <c r="D12597" s="22" t="s">
        <v>17068</v>
      </c>
      <c r="E12597" s="22" t="s">
        <v>48</v>
      </c>
      <c r="F12597" s="23" t="str">
        <f t="shared" si="402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597" s="22" t="s">
        <v>158</v>
      </c>
      <c r="H12597" s="22" t="s">
        <v>158</v>
      </c>
      <c r="I12597" s="26">
        <v>43663.714583333298</v>
      </c>
      <c r="J12597" s="28" t="s">
        <v>51</v>
      </c>
      <c r="K12597" s="28" t="s">
        <v>51</v>
      </c>
      <c r="L12597" s="28" t="s">
        <v>51</v>
      </c>
      <c r="M12597" s="28" t="s">
        <v>51</v>
      </c>
      <c r="N12597" s="28" t="s">
        <v>51</v>
      </c>
    </row>
    <row r="12598" spans="1:14" hidden="1" outlineLevel="1" x14ac:dyDescent="0.15">
      <c r="A12598" s="23" t="str">
        <f>HYPERLINK("https://www.spark-marketing.ru/Card/Person/129467", "МОУ СШ № 76")</f>
        <v>МОУ СШ № 76</v>
      </c>
      <c r="B12598" s="24" t="s">
        <v>17070</v>
      </c>
      <c r="C12598" s="25">
        <v>3834740</v>
      </c>
      <c r="D12598" s="22" t="s">
        <v>17068</v>
      </c>
      <c r="E12598" s="22" t="s">
        <v>48</v>
      </c>
      <c r="F12598" s="23" t="str">
        <f t="shared" si="402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598" s="22" t="s">
        <v>158</v>
      </c>
      <c r="H12598" s="22" t="s">
        <v>158</v>
      </c>
      <c r="I12598" s="26">
        <v>43663.714583333298</v>
      </c>
      <c r="J12598" s="28" t="s">
        <v>51</v>
      </c>
      <c r="K12598" s="28" t="s">
        <v>51</v>
      </c>
      <c r="L12598" s="28" t="s">
        <v>51</v>
      </c>
      <c r="M12598" s="28" t="s">
        <v>51</v>
      </c>
      <c r="N12598" s="28" t="s">
        <v>51</v>
      </c>
    </row>
    <row r="12599" spans="1:14" hidden="1" outlineLevel="1" x14ac:dyDescent="0.15">
      <c r="A12599" s="23" t="str">
        <f>HYPERLINK("https://www.spark-marketing.ru/Card/Person/129817", "МОУ СШ № 78")</f>
        <v>МОУ СШ № 78</v>
      </c>
      <c r="B12599" s="24" t="s">
        <v>17071</v>
      </c>
      <c r="C12599" s="25">
        <v>5874430</v>
      </c>
      <c r="D12599" s="22" t="s">
        <v>17068</v>
      </c>
      <c r="E12599" s="22" t="s">
        <v>48</v>
      </c>
      <c r="F12599" s="23" t="str">
        <f t="shared" si="402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599" s="22" t="s">
        <v>158</v>
      </c>
      <c r="H12599" s="22" t="s">
        <v>158</v>
      </c>
      <c r="I12599" s="26">
        <v>43663.714583333298</v>
      </c>
      <c r="J12599" s="28" t="s">
        <v>51</v>
      </c>
      <c r="K12599" s="28" t="s">
        <v>51</v>
      </c>
      <c r="L12599" s="28" t="s">
        <v>51</v>
      </c>
      <c r="M12599" s="28" t="s">
        <v>51</v>
      </c>
      <c r="N12599" s="28" t="s">
        <v>51</v>
      </c>
    </row>
    <row r="12600" spans="1:14" hidden="1" outlineLevel="1" x14ac:dyDescent="0.15">
      <c r="A12600" s="23" t="str">
        <f>HYPERLINK("https://www.spark-marketing.ru/Card/Person/129824", "МОУ СШ № 49")</f>
        <v>МОУ СШ № 49</v>
      </c>
      <c r="B12600" s="24" t="s">
        <v>17072</v>
      </c>
      <c r="C12600" s="25">
        <v>5515810</v>
      </c>
      <c r="D12600" s="22" t="s">
        <v>17068</v>
      </c>
      <c r="E12600" s="22" t="s">
        <v>48</v>
      </c>
      <c r="F12600" s="23" t="str">
        <f t="shared" si="402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600" s="22" t="s">
        <v>158</v>
      </c>
      <c r="H12600" s="22" t="s">
        <v>158</v>
      </c>
      <c r="I12600" s="26">
        <v>43663.714583333298</v>
      </c>
      <c r="J12600" s="28" t="s">
        <v>51</v>
      </c>
      <c r="K12600" s="28" t="s">
        <v>51</v>
      </c>
      <c r="L12600" s="28" t="s">
        <v>51</v>
      </c>
      <c r="M12600" s="28" t="s">
        <v>51</v>
      </c>
      <c r="N12600" s="28" t="s">
        <v>51</v>
      </c>
    </row>
    <row r="12601" spans="1:14" hidden="1" outlineLevel="1" x14ac:dyDescent="0.2">
      <c r="A12601" s="28" t="s">
        <v>51</v>
      </c>
      <c r="B12601" s="28" t="s">
        <v>51</v>
      </c>
      <c r="C12601" s="28" t="s">
        <v>51</v>
      </c>
      <c r="D12601" s="22" t="s">
        <v>17068</v>
      </c>
      <c r="E12601" s="22" t="s">
        <v>48</v>
      </c>
      <c r="F12601" s="23" t="str">
        <f t="shared" si="402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601" s="22" t="s">
        <v>51</v>
      </c>
      <c r="H12601" s="22" t="s">
        <v>51</v>
      </c>
      <c r="I12601" s="26">
        <v>43663.714583333298</v>
      </c>
      <c r="J12601" s="23" t="str">
        <f>HYPERLINK("https://www.spark-marketing.ru/Card/Person/6558293", "ООО ""ВИВО МАРКЕТ""")</f>
        <v>ООО "ВИВО МАРКЕТ"</v>
      </c>
      <c r="K12601" s="24" t="s">
        <v>14440</v>
      </c>
      <c r="L12601" s="22" t="s">
        <v>10</v>
      </c>
      <c r="M12601" s="25">
        <v>18207480</v>
      </c>
      <c r="N12601" s="27">
        <v>0</v>
      </c>
    </row>
    <row r="12602" spans="1:14" hidden="1" outlineLevel="1" x14ac:dyDescent="0.2">
      <c r="A12602" s="28" t="s">
        <v>51</v>
      </c>
      <c r="B12602" s="28" t="s">
        <v>51</v>
      </c>
      <c r="C12602" s="28" t="s">
        <v>51</v>
      </c>
      <c r="D12602" s="22" t="s">
        <v>17068</v>
      </c>
      <c r="E12602" s="22" t="s">
        <v>48</v>
      </c>
      <c r="F12602" s="23" t="str">
        <f t="shared" si="402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602" s="22" t="s">
        <v>51</v>
      </c>
      <c r="H12602" s="22" t="s">
        <v>51</v>
      </c>
      <c r="I12602" s="26">
        <v>43663.714583333298</v>
      </c>
      <c r="J12602" s="23" t="str">
        <f>HYPERLINK("https://www.spark-marketing.ru/Card/Person/520670", "ООО ""СОЮЗ К""")</f>
        <v>ООО "СОЮЗ К"</v>
      </c>
      <c r="K12602" s="24" t="s">
        <v>10035</v>
      </c>
      <c r="L12602" s="28" t="s">
        <v>51</v>
      </c>
      <c r="M12602" s="25">
        <v>17479180.800000001</v>
      </c>
      <c r="N12602" s="27">
        <v>0.04</v>
      </c>
    </row>
    <row r="12603" spans="1:14" x14ac:dyDescent="0.15">
      <c r="A12603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603" s="24" t="s">
        <v>4297</v>
      </c>
      <c r="C12603" s="25">
        <v>14550</v>
      </c>
      <c r="D12603" s="22" t="s">
        <v>17073</v>
      </c>
      <c r="E12603" s="22" t="s">
        <v>48</v>
      </c>
      <c r="F12603" s="23" t="str">
        <f>HYPERLINK("https://www.spark-marketing.ru/Card/Lot/72173070",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2603" s="22" t="s">
        <v>1096</v>
      </c>
      <c r="H12603" s="22" t="s">
        <v>4299</v>
      </c>
      <c r="I12603" s="26">
        <v>43663.7344212963</v>
      </c>
      <c r="J12603" s="23" t="str">
        <f>HYPERLINK("https://www.spark-marketing.ru/Card/Person/126132", "МОУ СОШ № 27")</f>
        <v>МОУ СОШ № 27</v>
      </c>
      <c r="K12603" s="24" t="s">
        <v>17074</v>
      </c>
      <c r="L12603" s="22" t="s">
        <v>10</v>
      </c>
      <c r="M12603" s="28" t="s">
        <v>51</v>
      </c>
      <c r="N12603" s="28" t="s">
        <v>51</v>
      </c>
    </row>
    <row r="12604" spans="1:14" x14ac:dyDescent="0.15">
      <c r="A12604" s="23" t="str">
        <f>HYPERLINK("https://www.spark-marketing.ru/Card/Person/1059211", "МБОУ ""СШ № 40""")</f>
        <v>МБОУ "СШ № 40"</v>
      </c>
      <c r="B12604" s="24" t="s">
        <v>17075</v>
      </c>
      <c r="C12604" s="25">
        <v>1626730</v>
      </c>
      <c r="D12604" s="22" t="s">
        <v>17076</v>
      </c>
      <c r="E12604" s="22" t="s">
        <v>48</v>
      </c>
      <c r="F12604" s="23" t="str">
        <f>HYPERLINK("https://www.spark-marketing.ru/Card/Lot/72161751", "Оказание услуги по организации горячего питания и обеспечению горячим питанием учащихся МБОУ ""СШ № 40""")</f>
        <v>Оказание услуги по организации горячего питания и обеспечению горячим питанием учащихся МБОУ "СШ № 40"</v>
      </c>
      <c r="G12604" s="22" t="s">
        <v>460</v>
      </c>
      <c r="H12604" s="22" t="s">
        <v>461</v>
      </c>
      <c r="I12604" s="26">
        <v>43663.709953703699</v>
      </c>
      <c r="J12604" s="23" t="str">
        <f>HYPERLINK("https://www.spark-marketing.ru/Card/Person/836702", "МУП ""КСП""")</f>
        <v>МУП "КСП"</v>
      </c>
      <c r="K12604" s="24" t="s">
        <v>6532</v>
      </c>
      <c r="L12604" s="22" t="s">
        <v>10</v>
      </c>
      <c r="M12604" s="28" t="s">
        <v>51</v>
      </c>
      <c r="N12604" s="28" t="s">
        <v>51</v>
      </c>
    </row>
    <row r="12605" spans="1:14" collapsed="1" x14ac:dyDescent="0.2">
      <c r="A12605" s="23" t="s">
        <v>114</v>
      </c>
      <c r="B12605" s="28" t="s">
        <v>51</v>
      </c>
      <c r="C12605" s="25">
        <v>12322570.710000001</v>
      </c>
      <c r="D12605" s="22" t="s">
        <v>17077</v>
      </c>
      <c r="E12605" s="22" t="s">
        <v>48</v>
      </c>
      <c r="F12605" s="23" t="str">
        <f t="shared" ref="F12605:F12610" si="403">HYPERLINK("https://www.spark-marketing.ru/Card/Lot/72162797", "на оказание услуг по организации горячего питания обучающихся 1-4 классов и 5-11 классов в муниципальных общеобразовательных учреждениях")</f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12605" s="22" t="s">
        <v>51</v>
      </c>
      <c r="H12605" s="22" t="s">
        <v>51</v>
      </c>
      <c r="I12605" s="26">
        <v>43663.709027777797</v>
      </c>
      <c r="J12605" s="23" t="str">
        <f t="shared" ref="J12605:J12610" si="404">HYPERLINK("https://www.spark-marketing.ru/Card/Person/736066", "МУП ""ШКОЛЬНИК""")</f>
        <v>МУП "ШКОЛЬНИК"</v>
      </c>
      <c r="K12605" s="24" t="s">
        <v>8862</v>
      </c>
      <c r="L12605" s="28" t="s">
        <v>51</v>
      </c>
      <c r="M12605" s="25">
        <v>12322570.710000001</v>
      </c>
      <c r="N12605" s="27">
        <v>0</v>
      </c>
    </row>
    <row r="12606" spans="1:14" hidden="1" outlineLevel="1" x14ac:dyDescent="0.2">
      <c r="A12606" s="23" t="str">
        <f>HYPERLINK("https://www.spark-marketing.ru/Card/Person/109503", "МОУ ""СОШ № 35 С УИОП"" Г.ВОРКУТЫ")</f>
        <v>МОУ "СОШ № 35 С УИОП" Г.ВОРКУТЫ</v>
      </c>
      <c r="B12606" s="24" t="s">
        <v>17078</v>
      </c>
      <c r="C12606" s="25">
        <v>2297452.75</v>
      </c>
      <c r="D12606" s="22" t="s">
        <v>17077</v>
      </c>
      <c r="E12606" s="22" t="s">
        <v>48</v>
      </c>
      <c r="F12606" s="23" t="str">
        <f t="shared" si="403"/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12606" s="22" t="s">
        <v>271</v>
      </c>
      <c r="H12606" s="22" t="s">
        <v>8864</v>
      </c>
      <c r="I12606" s="26">
        <v>43663.709027777797</v>
      </c>
      <c r="J12606" s="23" t="str">
        <f t="shared" si="404"/>
        <v>МУП "ШКОЛЬНИК"</v>
      </c>
      <c r="K12606" s="24" t="s">
        <v>8862</v>
      </c>
      <c r="L12606" s="28" t="s">
        <v>51</v>
      </c>
      <c r="M12606" s="28" t="s">
        <v>51</v>
      </c>
      <c r="N12606" s="27">
        <v>0</v>
      </c>
    </row>
    <row r="12607" spans="1:14" hidden="1" outlineLevel="1" x14ac:dyDescent="0.2">
      <c r="A12607" s="23" t="str">
        <f>HYPERLINK("https://www.spark-marketing.ru/Card/Person/127595", "МОУ ""СОШ № 40 С УИОП"" Г. ВОРКУТЫ")</f>
        <v>МОУ "СОШ № 40 С УИОП" Г. ВОРКУТЫ</v>
      </c>
      <c r="B12607" s="24" t="s">
        <v>17079</v>
      </c>
      <c r="C12607" s="25">
        <v>2636695.0499999998</v>
      </c>
      <c r="D12607" s="22" t="s">
        <v>17077</v>
      </c>
      <c r="E12607" s="22" t="s">
        <v>48</v>
      </c>
      <c r="F12607" s="23" t="str">
        <f t="shared" si="403"/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12607" s="22" t="s">
        <v>271</v>
      </c>
      <c r="H12607" s="22" t="s">
        <v>8864</v>
      </c>
      <c r="I12607" s="26">
        <v>43663.709027777797</v>
      </c>
      <c r="J12607" s="23" t="str">
        <f t="shared" si="404"/>
        <v>МУП "ШКОЛЬНИК"</v>
      </c>
      <c r="K12607" s="24" t="s">
        <v>8862</v>
      </c>
      <c r="L12607" s="28" t="s">
        <v>51</v>
      </c>
      <c r="M12607" s="28" t="s">
        <v>51</v>
      </c>
      <c r="N12607" s="27">
        <v>0</v>
      </c>
    </row>
    <row r="12608" spans="1:14" hidden="1" outlineLevel="1" x14ac:dyDescent="0.2">
      <c r="A12608" s="23" t="str">
        <f>HYPERLINK("https://www.spark-marketing.ru/Card/Person/735591", "МОУ ""ГИМНАЗИЯ № 2"" Г. ВОРКУТЫ")</f>
        <v>МОУ "ГИМНАЗИЯ № 2" Г. ВОРКУТЫ</v>
      </c>
      <c r="B12608" s="24" t="s">
        <v>17080</v>
      </c>
      <c r="C12608" s="25">
        <v>2356329.2799999998</v>
      </c>
      <c r="D12608" s="22" t="s">
        <v>17077</v>
      </c>
      <c r="E12608" s="22" t="s">
        <v>48</v>
      </c>
      <c r="F12608" s="23" t="str">
        <f t="shared" si="403"/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12608" s="22" t="s">
        <v>271</v>
      </c>
      <c r="H12608" s="22" t="s">
        <v>8864</v>
      </c>
      <c r="I12608" s="26">
        <v>43663.709027777797</v>
      </c>
      <c r="J12608" s="23" t="str">
        <f t="shared" si="404"/>
        <v>МУП "ШКОЛЬНИК"</v>
      </c>
      <c r="K12608" s="24" t="s">
        <v>8862</v>
      </c>
      <c r="L12608" s="28" t="s">
        <v>51</v>
      </c>
      <c r="M12608" s="28" t="s">
        <v>51</v>
      </c>
      <c r="N12608" s="27">
        <v>0</v>
      </c>
    </row>
    <row r="12609" spans="1:14" hidden="1" outlineLevel="1" x14ac:dyDescent="0.2">
      <c r="A12609" s="23" t="str">
        <f>HYPERLINK("https://www.spark-marketing.ru/Card/Person/735934", "МОУ ""СОШ № 39 ИМ. Г.А.ЧЕРНОВА"" Г.ВОРКУТЫ")</f>
        <v>МОУ "СОШ № 39 ИМ. Г.А.ЧЕРНОВА" Г.ВОРКУТЫ</v>
      </c>
      <c r="B12609" s="24" t="s">
        <v>17081</v>
      </c>
      <c r="C12609" s="25">
        <v>2527457.0299999998</v>
      </c>
      <c r="D12609" s="22" t="s">
        <v>17077</v>
      </c>
      <c r="E12609" s="22" t="s">
        <v>48</v>
      </c>
      <c r="F12609" s="23" t="str">
        <f t="shared" si="403"/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12609" s="22" t="s">
        <v>271</v>
      </c>
      <c r="H12609" s="22" t="s">
        <v>8864</v>
      </c>
      <c r="I12609" s="26">
        <v>43663.709027777797</v>
      </c>
      <c r="J12609" s="23" t="str">
        <f t="shared" si="404"/>
        <v>МУП "ШКОЛЬНИК"</v>
      </c>
      <c r="K12609" s="24" t="s">
        <v>8862</v>
      </c>
      <c r="L12609" s="28" t="s">
        <v>51</v>
      </c>
      <c r="M12609" s="28" t="s">
        <v>51</v>
      </c>
      <c r="N12609" s="27">
        <v>0</v>
      </c>
    </row>
    <row r="12610" spans="1:14" hidden="1" outlineLevel="1" x14ac:dyDescent="0.2">
      <c r="A12610" s="23" t="str">
        <f>HYPERLINK("https://www.spark-marketing.ru/Card/Person/736040", "МОУ ""ГИМНАЗИЯ № 6"" Г. ВОРКУТЫ")</f>
        <v>МОУ "ГИМНАЗИЯ № 6" Г. ВОРКУТЫ</v>
      </c>
      <c r="B12610" s="24" t="s">
        <v>17082</v>
      </c>
      <c r="C12610" s="25">
        <v>2504636.6</v>
      </c>
      <c r="D12610" s="22" t="s">
        <v>17077</v>
      </c>
      <c r="E12610" s="22" t="s">
        <v>48</v>
      </c>
      <c r="F12610" s="23" t="str">
        <f t="shared" si="403"/>
        <v>на оказание услуг по организации горячего питания обучающихся 1-4 классов и 5-11 классов в муниципальных общеобразовательных учреждениях</v>
      </c>
      <c r="G12610" s="22" t="s">
        <v>271</v>
      </c>
      <c r="H12610" s="22" t="s">
        <v>8864</v>
      </c>
      <c r="I12610" s="26">
        <v>43663.709027777797</v>
      </c>
      <c r="J12610" s="23" t="str">
        <f t="shared" si="404"/>
        <v>МУП "ШКОЛЬНИК"</v>
      </c>
      <c r="K12610" s="24" t="s">
        <v>8862</v>
      </c>
      <c r="L12610" s="28" t="s">
        <v>51</v>
      </c>
      <c r="M12610" s="28" t="s">
        <v>51</v>
      </c>
      <c r="N12610" s="27">
        <v>0</v>
      </c>
    </row>
    <row r="12611" spans="1:14" collapsed="1" x14ac:dyDescent="0.15">
      <c r="A12611" s="23" t="s">
        <v>114</v>
      </c>
      <c r="B12611" s="28" t="s">
        <v>51</v>
      </c>
      <c r="C12611" s="25">
        <v>17549648</v>
      </c>
      <c r="D12611" s="22" t="s">
        <v>17083</v>
      </c>
      <c r="E12611" s="22" t="s">
        <v>48</v>
      </c>
      <c r="F12611" s="23" t="str">
        <f t="shared" ref="F12611:F12617" si="405">HYPERLINK("https://www.spark-marketing.ru/Card/Lot/72162768", "Оказание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611" s="22" t="s">
        <v>51</v>
      </c>
      <c r="H12611" s="22" t="s">
        <v>51</v>
      </c>
      <c r="I12611" s="26">
        <v>43663.726388888899</v>
      </c>
      <c r="J12611" s="28" t="s">
        <v>51</v>
      </c>
      <c r="K12611" s="28" t="s">
        <v>51</v>
      </c>
      <c r="L12611" s="28" t="s">
        <v>51</v>
      </c>
      <c r="M12611" s="28" t="s">
        <v>51</v>
      </c>
      <c r="N12611" s="28" t="s">
        <v>51</v>
      </c>
    </row>
    <row r="12612" spans="1:14" hidden="1" outlineLevel="1" x14ac:dyDescent="0.15">
      <c r="A12612" s="23" t="str">
        <f>HYPERLINK("https://www.spark-marketing.ru/Card/Person/48241", "МОУ ГИМНАЗИЯ № 4")</f>
        <v>МОУ ГИМНАЗИЯ № 4</v>
      </c>
      <c r="B12612" s="24" t="s">
        <v>17084</v>
      </c>
      <c r="C12612" s="25">
        <v>4630168</v>
      </c>
      <c r="D12612" s="22" t="s">
        <v>17083</v>
      </c>
      <c r="E12612" s="22" t="s">
        <v>48</v>
      </c>
      <c r="F12612" s="23" t="str">
        <f t="shared" si="405"/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612" s="22" t="s">
        <v>158</v>
      </c>
      <c r="H12612" s="22" t="s">
        <v>158</v>
      </c>
      <c r="I12612" s="26">
        <v>43663.726388888899</v>
      </c>
      <c r="J12612" s="28" t="s">
        <v>51</v>
      </c>
      <c r="K12612" s="28" t="s">
        <v>51</v>
      </c>
      <c r="L12612" s="28" t="s">
        <v>51</v>
      </c>
      <c r="M12612" s="28" t="s">
        <v>51</v>
      </c>
      <c r="N12612" s="28" t="s">
        <v>51</v>
      </c>
    </row>
    <row r="12613" spans="1:14" hidden="1" outlineLevel="1" x14ac:dyDescent="0.15">
      <c r="A12613" s="23" t="str">
        <f>HYPERLINK("https://www.spark-marketing.ru/Card/Person/128658", "МОУ ГИМНАЗИЯ № 17")</f>
        <v>МОУ ГИМНАЗИЯ № 17</v>
      </c>
      <c r="B12613" s="24" t="s">
        <v>17085</v>
      </c>
      <c r="C12613" s="25">
        <v>7389612</v>
      </c>
      <c r="D12613" s="22" t="s">
        <v>17083</v>
      </c>
      <c r="E12613" s="22" t="s">
        <v>48</v>
      </c>
      <c r="F12613" s="23" t="str">
        <f t="shared" si="405"/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613" s="22" t="s">
        <v>158</v>
      </c>
      <c r="H12613" s="22" t="s">
        <v>158</v>
      </c>
      <c r="I12613" s="26">
        <v>43663.726388888899</v>
      </c>
      <c r="J12613" s="28" t="s">
        <v>51</v>
      </c>
      <c r="K12613" s="28" t="s">
        <v>51</v>
      </c>
      <c r="L12613" s="28" t="s">
        <v>51</v>
      </c>
      <c r="M12613" s="28" t="s">
        <v>51</v>
      </c>
      <c r="N12613" s="28" t="s">
        <v>51</v>
      </c>
    </row>
    <row r="12614" spans="1:14" hidden="1" outlineLevel="1" x14ac:dyDescent="0.15">
      <c r="A12614" s="23" t="str">
        <f>HYPERLINK("https://www.spark-marketing.ru/Card/Person/129765", "МОУ ГИМНАЗИЯ № 5")</f>
        <v>МОУ ГИМНАЗИЯ № 5</v>
      </c>
      <c r="B12614" s="24" t="s">
        <v>17086</v>
      </c>
      <c r="C12614" s="25">
        <v>5217388</v>
      </c>
      <c r="D12614" s="22" t="s">
        <v>17083</v>
      </c>
      <c r="E12614" s="22" t="s">
        <v>48</v>
      </c>
      <c r="F12614" s="23" t="str">
        <f t="shared" si="405"/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614" s="22" t="s">
        <v>158</v>
      </c>
      <c r="H12614" s="22" t="s">
        <v>158</v>
      </c>
      <c r="I12614" s="26">
        <v>43663.726388888899</v>
      </c>
      <c r="J12614" s="28" t="s">
        <v>51</v>
      </c>
      <c r="K12614" s="28" t="s">
        <v>51</v>
      </c>
      <c r="L12614" s="28" t="s">
        <v>51</v>
      </c>
      <c r="M12614" s="28" t="s">
        <v>51</v>
      </c>
      <c r="N12614" s="28" t="s">
        <v>51</v>
      </c>
    </row>
    <row r="12615" spans="1:14" hidden="1" outlineLevel="1" x14ac:dyDescent="0.15">
      <c r="A12615" s="23" t="str">
        <f>HYPERLINK("https://www.spark-marketing.ru/Card/Person/999981", "МОУ ЦЕНТР ВОРОШИЛОВСКОГО РАЙОНА")</f>
        <v>МОУ ЦЕНТР ВОРОШИЛОВСКОГО РАЙОНА</v>
      </c>
      <c r="B12615" s="24" t="s">
        <v>17087</v>
      </c>
      <c r="C12615" s="25">
        <v>312480</v>
      </c>
      <c r="D12615" s="22" t="s">
        <v>17083</v>
      </c>
      <c r="E12615" s="22" t="s">
        <v>48</v>
      </c>
      <c r="F12615" s="23" t="str">
        <f t="shared" si="405"/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615" s="22" t="s">
        <v>158</v>
      </c>
      <c r="H12615" s="22" t="s">
        <v>158</v>
      </c>
      <c r="I12615" s="26">
        <v>43663.726388888899</v>
      </c>
      <c r="J12615" s="28" t="s">
        <v>51</v>
      </c>
      <c r="K12615" s="28" t="s">
        <v>51</v>
      </c>
      <c r="L12615" s="28" t="s">
        <v>51</v>
      </c>
      <c r="M12615" s="28" t="s">
        <v>51</v>
      </c>
      <c r="N12615" s="28" t="s">
        <v>51</v>
      </c>
    </row>
    <row r="12616" spans="1:14" hidden="1" outlineLevel="1" x14ac:dyDescent="0.2">
      <c r="A12616" s="28" t="s">
        <v>51</v>
      </c>
      <c r="B12616" s="28" t="s">
        <v>51</v>
      </c>
      <c r="C12616" s="28" t="s">
        <v>51</v>
      </c>
      <c r="D12616" s="22" t="s">
        <v>17083</v>
      </c>
      <c r="E12616" s="22" t="s">
        <v>48</v>
      </c>
      <c r="F12616" s="23" t="str">
        <f t="shared" si="405"/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616" s="22" t="s">
        <v>51</v>
      </c>
      <c r="H12616" s="22" t="s">
        <v>51</v>
      </c>
      <c r="I12616" s="26">
        <v>43663.726388888899</v>
      </c>
      <c r="J12616" s="23" t="str">
        <f>HYPERLINK("https://www.spark-marketing.ru/Card/Person/6558293", "ООО ""ВИВО МАРКЕТ""")</f>
        <v>ООО "ВИВО МАРКЕТ"</v>
      </c>
      <c r="K12616" s="24" t="s">
        <v>14440</v>
      </c>
      <c r="L12616" s="22" t="s">
        <v>10</v>
      </c>
      <c r="M12616" s="25">
        <v>17549648</v>
      </c>
      <c r="N12616" s="27">
        <v>0</v>
      </c>
    </row>
    <row r="12617" spans="1:14" hidden="1" outlineLevel="1" x14ac:dyDescent="0.2">
      <c r="A12617" s="28" t="s">
        <v>51</v>
      </c>
      <c r="B12617" s="28" t="s">
        <v>51</v>
      </c>
      <c r="C12617" s="28" t="s">
        <v>51</v>
      </c>
      <c r="D12617" s="22" t="s">
        <v>17083</v>
      </c>
      <c r="E12617" s="22" t="s">
        <v>48</v>
      </c>
      <c r="F12617" s="23" t="str">
        <f t="shared" si="405"/>
        <v>Оказание услуг общественного питания обучающихся  на базе муниципальных общеобразовательных учреждений Ворошиловского района Волгограда в учебный и каникулярный  период 2019-2021гг.</v>
      </c>
      <c r="G12617" s="22" t="s">
        <v>51</v>
      </c>
      <c r="H12617" s="22" t="s">
        <v>51</v>
      </c>
      <c r="I12617" s="26">
        <v>43663.726388888899</v>
      </c>
      <c r="J12617" s="23" t="str">
        <f>HYPERLINK("https://www.spark-marketing.ru/Card/Person/520670", "ООО ""СОЮЗ К""")</f>
        <v>ООО "СОЮЗ К"</v>
      </c>
      <c r="K12617" s="24" t="s">
        <v>10035</v>
      </c>
      <c r="L12617" s="28" t="s">
        <v>51</v>
      </c>
      <c r="M12617" s="25">
        <v>16847662.079999998</v>
      </c>
      <c r="N12617" s="27">
        <v>0.04</v>
      </c>
    </row>
    <row r="12618" spans="1:14" x14ac:dyDescent="0.2">
      <c r="A12618" s="23" t="str">
        <f>HYPERLINK("https://www.spark-marketing.ru/Card/Person/255084", "МБОУ ""ЛИЦЕЙ №1"" Г.САЛАВАТА")</f>
        <v>МБОУ "ЛИЦЕЙ №1" Г.САЛАВАТА</v>
      </c>
      <c r="B12618" s="24" t="s">
        <v>17088</v>
      </c>
      <c r="C12618" s="25">
        <v>88608</v>
      </c>
      <c r="D12618" s="22" t="s">
        <v>17089</v>
      </c>
      <c r="E12618" s="22" t="s">
        <v>48</v>
      </c>
      <c r="F12618" s="23" t="str">
        <f>HYPERLINK("https://www.spark-marketing.ru/Card/Lot/72156530", "Оказание услуги по организации горячего питания")</f>
        <v>Оказание услуги по организации горячего питания</v>
      </c>
      <c r="G12618" s="22" t="s">
        <v>145</v>
      </c>
      <c r="H12618" s="22" t="s">
        <v>17090</v>
      </c>
      <c r="I12618" s="26">
        <v>43663.745833333298</v>
      </c>
      <c r="J12618" s="23" t="str">
        <f>HYPERLINK("https://www.spark-marketing.ru/Card/Person/270707", "ООО ""ПРОМПИТ""")</f>
        <v>ООО "ПРОМПИТ"</v>
      </c>
      <c r="K12618" s="24" t="s">
        <v>17091</v>
      </c>
      <c r="L12618" s="28" t="s">
        <v>51</v>
      </c>
      <c r="M12618" s="25">
        <v>88608</v>
      </c>
      <c r="N12618" s="27">
        <v>0</v>
      </c>
    </row>
    <row r="12619" spans="1:14" collapsed="1" x14ac:dyDescent="0.2">
      <c r="A12619" s="23" t="s">
        <v>114</v>
      </c>
      <c r="B12619" s="28" t="s">
        <v>51</v>
      </c>
      <c r="C12619" s="25">
        <v>15905600</v>
      </c>
      <c r="D12619" s="22" t="s">
        <v>17092</v>
      </c>
      <c r="E12619" s="22" t="s">
        <v>48</v>
      </c>
      <c r="F12619" s="23" t="str">
        <f t="shared" ref="F12619:F12624" si="406">HYPERLINK("https://www.spark-marketing.ru/Card/Lot/72162816", "Оказание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619" s="22" t="s">
        <v>51</v>
      </c>
      <c r="H12619" s="22" t="s">
        <v>51</v>
      </c>
      <c r="I12619" s="26">
        <v>43663.740277777797</v>
      </c>
      <c r="J12619" s="23" t="str">
        <f t="shared" ref="J12619:J12625" si="407">HYPERLINK("https://www.spark-marketing.ru/Card/Person/6558293", "ООО ""ВИВО МАРКЕТ""")</f>
        <v>ООО "ВИВО МАРКЕТ"</v>
      </c>
      <c r="K12619" s="24" t="s">
        <v>14440</v>
      </c>
      <c r="L12619" s="28" t="s">
        <v>51</v>
      </c>
      <c r="M12619" s="25">
        <v>15905600</v>
      </c>
      <c r="N12619" s="27">
        <v>0</v>
      </c>
    </row>
    <row r="12620" spans="1:14" hidden="1" outlineLevel="1" x14ac:dyDescent="0.2">
      <c r="A12620" s="23" t="str">
        <f>HYPERLINK("https://www.spark-marketing.ru/Card/Person/48425", "МОУ СШ № 86")</f>
        <v>МОУ СШ № 86</v>
      </c>
      <c r="B12620" s="24" t="s">
        <v>17093</v>
      </c>
      <c r="C12620" s="25">
        <v>3975500</v>
      </c>
      <c r="D12620" s="22" t="s">
        <v>17092</v>
      </c>
      <c r="E12620" s="22" t="s">
        <v>48</v>
      </c>
      <c r="F12620" s="23" t="str">
        <f t="shared" si="406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620" s="22" t="s">
        <v>158</v>
      </c>
      <c r="H12620" s="22" t="s">
        <v>158</v>
      </c>
      <c r="I12620" s="26">
        <v>43663.740277777797</v>
      </c>
      <c r="J12620" s="23" t="str">
        <f t="shared" si="407"/>
        <v>ООО "ВИВО МАРКЕТ"</v>
      </c>
      <c r="K12620" s="24" t="s">
        <v>14440</v>
      </c>
      <c r="L12620" s="28" t="s">
        <v>51</v>
      </c>
      <c r="M12620" s="28" t="s">
        <v>51</v>
      </c>
      <c r="N12620" s="27">
        <v>0</v>
      </c>
    </row>
    <row r="12621" spans="1:14" hidden="1" outlineLevel="1" x14ac:dyDescent="0.2">
      <c r="A12621" s="23" t="str">
        <f>HYPERLINK("https://www.spark-marketing.ru/Card/Person/48603", "МОУ СШ № 99")</f>
        <v>МОУ СШ № 99</v>
      </c>
      <c r="B12621" s="24" t="s">
        <v>17094</v>
      </c>
      <c r="C12621" s="25">
        <v>4068460</v>
      </c>
      <c r="D12621" s="22" t="s">
        <v>17092</v>
      </c>
      <c r="E12621" s="22" t="s">
        <v>48</v>
      </c>
      <c r="F12621" s="23" t="str">
        <f t="shared" si="406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621" s="22" t="s">
        <v>158</v>
      </c>
      <c r="H12621" s="22" t="s">
        <v>158</v>
      </c>
      <c r="I12621" s="26">
        <v>43663.740277777797</v>
      </c>
      <c r="J12621" s="23" t="str">
        <f t="shared" si="407"/>
        <v>ООО "ВИВО МАРКЕТ"</v>
      </c>
      <c r="K12621" s="24" t="s">
        <v>14440</v>
      </c>
      <c r="L12621" s="28" t="s">
        <v>51</v>
      </c>
      <c r="M12621" s="28" t="s">
        <v>51</v>
      </c>
      <c r="N12621" s="27">
        <v>0</v>
      </c>
    </row>
    <row r="12622" spans="1:14" hidden="1" outlineLevel="1" x14ac:dyDescent="0.2">
      <c r="A12622" s="23" t="str">
        <f>HYPERLINK("https://www.spark-marketing.ru/Card/Person/129524", "МОУ ГИМНАЗИЯ № 13")</f>
        <v>МОУ ГИМНАЗИЯ № 13</v>
      </c>
      <c r="B12622" s="24" t="s">
        <v>17095</v>
      </c>
      <c r="C12622" s="25">
        <v>2464330</v>
      </c>
      <c r="D12622" s="22" t="s">
        <v>17092</v>
      </c>
      <c r="E12622" s="22" t="s">
        <v>48</v>
      </c>
      <c r="F12622" s="23" t="str">
        <f t="shared" si="406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622" s="22" t="s">
        <v>158</v>
      </c>
      <c r="H12622" s="22" t="s">
        <v>158</v>
      </c>
      <c r="I12622" s="26">
        <v>43663.740277777797</v>
      </c>
      <c r="J12622" s="23" t="str">
        <f t="shared" si="407"/>
        <v>ООО "ВИВО МАРКЕТ"</v>
      </c>
      <c r="K12622" s="24" t="s">
        <v>14440</v>
      </c>
      <c r="L12622" s="28" t="s">
        <v>51</v>
      </c>
      <c r="M12622" s="28" t="s">
        <v>51</v>
      </c>
      <c r="N12622" s="27">
        <v>0</v>
      </c>
    </row>
    <row r="12623" spans="1:14" hidden="1" outlineLevel="1" x14ac:dyDescent="0.2">
      <c r="A12623" s="23" t="str">
        <f>HYPERLINK("https://www.spark-marketing.ru/Card/Person/143125", "МОУ СШ № 94")</f>
        <v>МОУ СШ № 94</v>
      </c>
      <c r="B12623" s="24" t="s">
        <v>17096</v>
      </c>
      <c r="C12623" s="25">
        <v>3045690</v>
      </c>
      <c r="D12623" s="22" t="s">
        <v>17092</v>
      </c>
      <c r="E12623" s="22" t="s">
        <v>48</v>
      </c>
      <c r="F12623" s="23" t="str">
        <f t="shared" si="406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623" s="22" t="s">
        <v>158</v>
      </c>
      <c r="H12623" s="22" t="s">
        <v>158</v>
      </c>
      <c r="I12623" s="26">
        <v>43663.740277777797</v>
      </c>
      <c r="J12623" s="23" t="str">
        <f t="shared" si="407"/>
        <v>ООО "ВИВО МАРКЕТ"</v>
      </c>
      <c r="K12623" s="24" t="s">
        <v>14440</v>
      </c>
      <c r="L12623" s="28" t="s">
        <v>51</v>
      </c>
      <c r="M12623" s="28" t="s">
        <v>51</v>
      </c>
      <c r="N12623" s="27">
        <v>0</v>
      </c>
    </row>
    <row r="12624" spans="1:14" hidden="1" outlineLevel="1" x14ac:dyDescent="0.2">
      <c r="A12624" s="23" t="str">
        <f>HYPERLINK("https://www.spark-marketing.ru/Card/Person/143648", "МОУ СШ № 1")</f>
        <v>МОУ СШ № 1</v>
      </c>
      <c r="B12624" s="24" t="s">
        <v>17097</v>
      </c>
      <c r="C12624" s="25">
        <v>2351620</v>
      </c>
      <c r="D12624" s="22" t="s">
        <v>17092</v>
      </c>
      <c r="E12624" s="22" t="s">
        <v>48</v>
      </c>
      <c r="F12624" s="23" t="str">
        <f t="shared" si="406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624" s="22" t="s">
        <v>158</v>
      </c>
      <c r="H12624" s="22" t="s">
        <v>158</v>
      </c>
      <c r="I12624" s="26">
        <v>43663.740277777797</v>
      </c>
      <c r="J12624" s="23" t="str">
        <f t="shared" si="407"/>
        <v>ООО "ВИВО МАРКЕТ"</v>
      </c>
      <c r="K12624" s="24" t="s">
        <v>14440</v>
      </c>
      <c r="L12624" s="28" t="s">
        <v>51</v>
      </c>
      <c r="M12624" s="28" t="s">
        <v>51</v>
      </c>
      <c r="N12624" s="27">
        <v>0</v>
      </c>
    </row>
    <row r="12625" spans="1:14" x14ac:dyDescent="0.2">
      <c r="A12625" s="23" t="str">
        <f>HYPERLINK("https://www.spark-marketing.ru/Card/Person/109614", "ГКОУ ""СРЕДНЕАХТУБИНСКАЯ ШКОЛА-ИНТЕРНАТ""")</f>
        <v>ГКОУ "СРЕДНЕАХТУБИНСКАЯ ШКОЛА-ИНТЕРНАТ"</v>
      </c>
      <c r="B12625" s="24" t="s">
        <v>17098</v>
      </c>
      <c r="C12625" s="25">
        <v>13926160.65</v>
      </c>
      <c r="D12625" s="22" t="s">
        <v>17099</v>
      </c>
      <c r="E12625" s="22" t="s">
        <v>48</v>
      </c>
      <c r="F12625" s="23" t="str">
        <f>HYPERLINK("https://www.spark-marketing.ru/Card/Lot/72162804", "Оказание услуг по обеспечению питанием")</f>
        <v>Оказание услуг по обеспечению питанием</v>
      </c>
      <c r="G12625" s="22" t="s">
        <v>158</v>
      </c>
      <c r="H12625" s="22" t="s">
        <v>5301</v>
      </c>
      <c r="I12625" s="26">
        <v>43663.740277777797</v>
      </c>
      <c r="J12625" s="23" t="str">
        <f t="shared" si="407"/>
        <v>ООО "ВИВО МАРКЕТ"</v>
      </c>
      <c r="K12625" s="24" t="s">
        <v>14440</v>
      </c>
      <c r="L12625" s="28" t="s">
        <v>51</v>
      </c>
      <c r="M12625" s="25">
        <v>13926160.65</v>
      </c>
      <c r="N12625" s="27">
        <v>0</v>
      </c>
    </row>
    <row r="12626" spans="1:14" collapsed="1" x14ac:dyDescent="0.15">
      <c r="A12626" s="23" t="str">
        <f>HYPERLINK("https://www.spark-marketing.ru/Card/Person/4351024", "ГБУЗ ""МИАЦ""")</f>
        <v>ГБУЗ "МИАЦ"</v>
      </c>
      <c r="B12626" s="24" t="s">
        <v>17100</v>
      </c>
      <c r="C12626" s="25">
        <v>96641.55</v>
      </c>
      <c r="D12626" s="22" t="s">
        <v>17101</v>
      </c>
      <c r="E12626" s="22" t="s">
        <v>809</v>
      </c>
      <c r="F12626" s="23" t="str">
        <f>HYPERLINK("https://www.spark-marketing.ru/Card/Lot/72188727", "на поставку комплектующих для вычислительной техники")</f>
        <v>на поставку комплектующих для вычислительной техники</v>
      </c>
      <c r="G12626" s="22" t="s">
        <v>132</v>
      </c>
      <c r="H12626" s="22" t="s">
        <v>587</v>
      </c>
      <c r="I12626" s="26">
        <v>43663.748229166697</v>
      </c>
      <c r="J12626" s="23" t="str">
        <f>HYPERLINK("https://www.spark-marketing.ru/Card/Person/4879297", "ООО ""СТРУКТУРА МОМЕНТА""")</f>
        <v>ООО "СТРУКТУРА МОМЕНТА"</v>
      </c>
      <c r="K12626" s="24" t="s">
        <v>1783</v>
      </c>
      <c r="L12626" s="28" t="s">
        <v>51</v>
      </c>
      <c r="M12626" s="28" t="s">
        <v>51</v>
      </c>
      <c r="N12626" s="28" t="s">
        <v>51</v>
      </c>
    </row>
    <row r="12627" spans="1:14" hidden="1" outlineLevel="1" x14ac:dyDescent="0.15">
      <c r="A12627" s="23" t="str">
        <f>HYPERLINK("https://www.spark-marketing.ru/Card/Person/4351024", "ГБУЗ ""МИАЦ""")</f>
        <v>ГБУЗ "МИАЦ"</v>
      </c>
      <c r="B12627" s="24" t="s">
        <v>17100</v>
      </c>
      <c r="C12627" s="25">
        <v>96641.55</v>
      </c>
      <c r="D12627" s="22" t="s">
        <v>17101</v>
      </c>
      <c r="E12627" s="22" t="s">
        <v>809</v>
      </c>
      <c r="F12627" s="23" t="str">
        <f>HYPERLINK("https://www.spark-marketing.ru/Card/Lot/72188727", "на поставку комплектующих для вычислительной техники")</f>
        <v>на поставку комплектующих для вычислительной техники</v>
      </c>
      <c r="G12627" s="22" t="s">
        <v>132</v>
      </c>
      <c r="H12627" s="22" t="s">
        <v>587</v>
      </c>
      <c r="I12627" s="26">
        <v>43663.748229166697</v>
      </c>
      <c r="J12627" s="23" t="str">
        <f>HYPERLINK("https://www.spark-marketing.ru/Card/Person/4879297", "ООО ""СТРУКТУРА МОМЕНТА""")</f>
        <v>ООО "СТРУКТУРА МОМЕНТА"</v>
      </c>
      <c r="K12627" s="24" t="s">
        <v>1783</v>
      </c>
      <c r="L12627" s="22" t="s">
        <v>10</v>
      </c>
      <c r="M12627" s="28" t="s">
        <v>51</v>
      </c>
      <c r="N12627" s="28" t="s">
        <v>51</v>
      </c>
    </row>
    <row r="12628" spans="1:14" collapsed="1" x14ac:dyDescent="0.2">
      <c r="A12628" s="23" t="s">
        <v>114</v>
      </c>
      <c r="B12628" s="28" t="s">
        <v>51</v>
      </c>
      <c r="C12628" s="25">
        <v>17008560</v>
      </c>
      <c r="D12628" s="22" t="s">
        <v>17102</v>
      </c>
      <c r="E12628" s="22" t="s">
        <v>48</v>
      </c>
      <c r="F12628" s="23" t="str">
        <f t="shared" ref="F12628:F12633" si="408">HYPERLINK("https://www.spark-marketing.ru/Card/Lot/72162766", "Оказание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628" s="22" t="s">
        <v>51</v>
      </c>
      <c r="H12628" s="22" t="s">
        <v>51</v>
      </c>
      <c r="I12628" s="26">
        <v>43663.726388888899</v>
      </c>
      <c r="J12628" s="23" t="str">
        <f t="shared" ref="J12628:J12633" si="409">HYPERLINK("https://www.spark-marketing.ru/Card/Person/6558293", "ООО ""ВИВО МАРКЕТ""")</f>
        <v>ООО "ВИВО МАРКЕТ"</v>
      </c>
      <c r="K12628" s="24" t="s">
        <v>14440</v>
      </c>
      <c r="L12628" s="28" t="s">
        <v>51</v>
      </c>
      <c r="M12628" s="25">
        <v>17008560</v>
      </c>
      <c r="N12628" s="27">
        <v>0</v>
      </c>
    </row>
    <row r="12629" spans="1:14" hidden="1" outlineLevel="1" x14ac:dyDescent="0.2">
      <c r="A12629" s="23" t="str">
        <f>HYPERLINK("https://www.spark-marketing.ru/Card/Person/94727", "МОУ СШ № 87")</f>
        <v>МОУ СШ № 87</v>
      </c>
      <c r="B12629" s="24" t="s">
        <v>17103</v>
      </c>
      <c r="C12629" s="25">
        <v>3588200</v>
      </c>
      <c r="D12629" s="22" t="s">
        <v>17102</v>
      </c>
      <c r="E12629" s="22" t="s">
        <v>48</v>
      </c>
      <c r="F12629" s="23" t="str">
        <f t="shared" si="408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629" s="22" t="s">
        <v>158</v>
      </c>
      <c r="H12629" s="22" t="s">
        <v>158</v>
      </c>
      <c r="I12629" s="26">
        <v>43663.726388888899</v>
      </c>
      <c r="J12629" s="23" t="str">
        <f t="shared" si="409"/>
        <v>ООО "ВИВО МАРКЕТ"</v>
      </c>
      <c r="K12629" s="24" t="s">
        <v>14440</v>
      </c>
      <c r="L12629" s="28" t="s">
        <v>51</v>
      </c>
      <c r="M12629" s="28" t="s">
        <v>51</v>
      </c>
      <c r="N12629" s="27">
        <v>0</v>
      </c>
    </row>
    <row r="12630" spans="1:14" hidden="1" outlineLevel="1" x14ac:dyDescent="0.2">
      <c r="A12630" s="23" t="str">
        <f>HYPERLINK("https://www.spark-marketing.ru/Card/Person/100370", "МОУ НШ № 1")</f>
        <v>МОУ НШ № 1</v>
      </c>
      <c r="B12630" s="24" t="s">
        <v>17104</v>
      </c>
      <c r="C12630" s="25">
        <v>2505100</v>
      </c>
      <c r="D12630" s="22" t="s">
        <v>17102</v>
      </c>
      <c r="E12630" s="22" t="s">
        <v>48</v>
      </c>
      <c r="F12630" s="23" t="str">
        <f t="shared" si="408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630" s="22" t="s">
        <v>158</v>
      </c>
      <c r="H12630" s="22" t="s">
        <v>158</v>
      </c>
      <c r="I12630" s="26">
        <v>43663.726388888899</v>
      </c>
      <c r="J12630" s="23" t="str">
        <f t="shared" si="409"/>
        <v>ООО "ВИВО МАРКЕТ"</v>
      </c>
      <c r="K12630" s="24" t="s">
        <v>14440</v>
      </c>
      <c r="L12630" s="28" t="s">
        <v>51</v>
      </c>
      <c r="M12630" s="28" t="s">
        <v>51</v>
      </c>
      <c r="N12630" s="27">
        <v>0</v>
      </c>
    </row>
    <row r="12631" spans="1:14" hidden="1" outlineLevel="1" x14ac:dyDescent="0.2">
      <c r="A12631" s="23" t="str">
        <f>HYPERLINK("https://www.spark-marketing.ru/Card/Person/129465", "МОУ ГИМНАЗИЯ № 16")</f>
        <v>МОУ ГИМНАЗИЯ № 16</v>
      </c>
      <c r="B12631" s="24" t="s">
        <v>17105</v>
      </c>
      <c r="C12631" s="25">
        <v>5844780</v>
      </c>
      <c r="D12631" s="22" t="s">
        <v>17102</v>
      </c>
      <c r="E12631" s="22" t="s">
        <v>48</v>
      </c>
      <c r="F12631" s="23" t="str">
        <f t="shared" si="408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631" s="22" t="s">
        <v>158</v>
      </c>
      <c r="H12631" s="22" t="s">
        <v>158</v>
      </c>
      <c r="I12631" s="26">
        <v>43663.726388888899</v>
      </c>
      <c r="J12631" s="23" t="str">
        <f t="shared" si="409"/>
        <v>ООО "ВИВО МАРКЕТ"</v>
      </c>
      <c r="K12631" s="24" t="s">
        <v>14440</v>
      </c>
      <c r="L12631" s="28" t="s">
        <v>51</v>
      </c>
      <c r="M12631" s="28" t="s">
        <v>51</v>
      </c>
      <c r="N12631" s="27">
        <v>0</v>
      </c>
    </row>
    <row r="12632" spans="1:14" hidden="1" outlineLevel="1" x14ac:dyDescent="0.2">
      <c r="A12632" s="23" t="str">
        <f>HYPERLINK("https://www.spark-marketing.ru/Card/Person/129672", "МОУ ЛИЦЕЙ № 3")</f>
        <v>МОУ ЛИЦЕЙ № 3</v>
      </c>
      <c r="B12632" s="24" t="s">
        <v>17106</v>
      </c>
      <c r="C12632" s="25">
        <v>2132336</v>
      </c>
      <c r="D12632" s="22" t="s">
        <v>17102</v>
      </c>
      <c r="E12632" s="22" t="s">
        <v>48</v>
      </c>
      <c r="F12632" s="23" t="str">
        <f t="shared" si="408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632" s="22" t="s">
        <v>158</v>
      </c>
      <c r="H12632" s="22" t="s">
        <v>158</v>
      </c>
      <c r="I12632" s="26">
        <v>43663.726388888899</v>
      </c>
      <c r="J12632" s="23" t="str">
        <f t="shared" si="409"/>
        <v>ООО "ВИВО МАРКЕТ"</v>
      </c>
      <c r="K12632" s="24" t="s">
        <v>14440</v>
      </c>
      <c r="L12632" s="28" t="s">
        <v>51</v>
      </c>
      <c r="M12632" s="28" t="s">
        <v>51</v>
      </c>
      <c r="N12632" s="27">
        <v>0</v>
      </c>
    </row>
    <row r="12633" spans="1:14" hidden="1" outlineLevel="1" x14ac:dyDescent="0.2">
      <c r="A12633" s="23" t="str">
        <f>HYPERLINK("https://www.spark-marketing.ru/Card/Person/129903", "МОУ СШ № 61")</f>
        <v>МОУ СШ № 61</v>
      </c>
      <c r="B12633" s="24" t="s">
        <v>17107</v>
      </c>
      <c r="C12633" s="25">
        <v>2938144</v>
      </c>
      <c r="D12633" s="22" t="s">
        <v>17102</v>
      </c>
      <c r="E12633" s="22" t="s">
        <v>48</v>
      </c>
      <c r="F12633" s="23" t="str">
        <f t="shared" si="408"/>
        <v>Оказание услуг общественного питания обучающихся  на базе муниципальных общеобразовательных учреждений Тракторозаводского района Волгограда в учебный и каникулярный  период 2019-2021гг.</v>
      </c>
      <c r="G12633" s="22" t="s">
        <v>158</v>
      </c>
      <c r="H12633" s="22" t="s">
        <v>158</v>
      </c>
      <c r="I12633" s="26">
        <v>43663.726388888899</v>
      </c>
      <c r="J12633" s="23" t="str">
        <f t="shared" si="409"/>
        <v>ООО "ВИВО МАРКЕТ"</v>
      </c>
      <c r="K12633" s="24" t="s">
        <v>14440</v>
      </c>
      <c r="L12633" s="28" t="s">
        <v>51</v>
      </c>
      <c r="M12633" s="28" t="s">
        <v>51</v>
      </c>
      <c r="N12633" s="27">
        <v>0</v>
      </c>
    </row>
    <row r="12634" spans="1:14" collapsed="1" x14ac:dyDescent="0.15">
      <c r="A12634" s="23" t="str">
        <f>HYPERLINK("https://www.spark-marketing.ru/Card/Person/1022", "АППАРАТ ГУБЕРНАТОРА И ПРАВИТЕЛЬСТВА ОРЕНБУРГСКОЙ ОБЛАСТИ")</f>
        <v>АППАРАТ ГУБЕРНАТОРА И ПРАВИТЕЛЬСТВА ОРЕНБУРГСКОЙ ОБЛАСТИ</v>
      </c>
      <c r="B12634" s="24" t="s">
        <v>17108</v>
      </c>
      <c r="C12634" s="25">
        <v>1125000</v>
      </c>
      <c r="D12634" s="22" t="s">
        <v>17109</v>
      </c>
      <c r="E12634" s="22" t="s">
        <v>48</v>
      </c>
      <c r="F12634" s="23" t="str">
        <f>HYPERLINK("https://www.spark-marketing.ru/Card/Lot/72172617", "на оказание услуг по организации питания")</f>
        <v>на оказание услуг по организации питания</v>
      </c>
      <c r="G12634" s="22" t="s">
        <v>132</v>
      </c>
      <c r="H12634" s="22" t="s">
        <v>132</v>
      </c>
      <c r="I12634" s="26">
        <v>43663.749930555598</v>
      </c>
      <c r="J12634" s="28" t="s">
        <v>51</v>
      </c>
      <c r="K12634" s="28" t="s">
        <v>51</v>
      </c>
      <c r="L12634" s="28" t="s">
        <v>51</v>
      </c>
      <c r="M12634" s="28" t="s">
        <v>51</v>
      </c>
      <c r="N12634" s="28" t="s">
        <v>51</v>
      </c>
    </row>
    <row r="12635" spans="1:14" hidden="1" outlineLevel="1" x14ac:dyDescent="0.2">
      <c r="A12635" s="23" t="str">
        <f>HYPERLINK("https://www.spark-marketing.ru/Card/Person/1022", "АППАРАТ ГУБЕРНАТОРА И ПРАВИТЕЛЬСТВА ОРЕНБУРГСКОЙ ОБЛАСТИ")</f>
        <v>АППАРАТ ГУБЕРНАТОРА И ПРАВИТЕЛЬСТВА ОРЕНБУРГСКОЙ ОБЛАСТИ</v>
      </c>
      <c r="B12635" s="24" t="s">
        <v>17108</v>
      </c>
      <c r="C12635" s="25">
        <v>1125000</v>
      </c>
      <c r="D12635" s="22" t="s">
        <v>17109</v>
      </c>
      <c r="E12635" s="22" t="s">
        <v>48</v>
      </c>
      <c r="F12635" s="23" t="str">
        <f>HYPERLINK("https://www.spark-marketing.ru/Card/Lot/72172617", "на оказание услуг по организации питания")</f>
        <v>на оказание услуг по организации питания</v>
      </c>
      <c r="G12635" s="22" t="s">
        <v>132</v>
      </c>
      <c r="H12635" s="22" t="s">
        <v>132</v>
      </c>
      <c r="I12635" s="26">
        <v>43663.749930555598</v>
      </c>
      <c r="J12635" s="23" t="str">
        <f>HYPERLINK("https://www.spark-marketing.ru/Card/Person/381214", "ООО ""КУХНЯ БЕЗ ГРАНИЦ""")</f>
        <v>ООО "КУХНЯ БЕЗ ГРАНИЦ"</v>
      </c>
      <c r="K12635" s="24" t="s">
        <v>17110</v>
      </c>
      <c r="L12635" s="28" t="s">
        <v>51</v>
      </c>
      <c r="M12635" s="25">
        <v>858528.09</v>
      </c>
      <c r="N12635" s="27">
        <v>0.23686392000000001</v>
      </c>
    </row>
    <row r="12636" spans="1:14" ht="12.75" hidden="1" outlineLevel="1" x14ac:dyDescent="0.2">
      <c r="A12636" s="23" t="str">
        <f>HYPERLINK("https://www.spark-marketing.ru/Card/Person/1022", "АППАРАТ ГУБЕРНАТОРА И ПРАВИТЕЛЬСТВА ОРЕНБУРГСКОЙ ОБЛАСТИ")</f>
        <v>АППАРАТ ГУБЕРНАТОРА И ПРАВИТЕЛЬСТВА ОРЕНБУРГСКОЙ ОБЛАСТИ</v>
      </c>
      <c r="B12636" s="24" t="s">
        <v>17108</v>
      </c>
      <c r="C12636" s="25">
        <v>1125000</v>
      </c>
      <c r="D12636" s="22" t="s">
        <v>17109</v>
      </c>
      <c r="E12636" s="22" t="s">
        <v>48</v>
      </c>
      <c r="F12636" s="23" t="str">
        <f>HYPERLINK("https://www.spark-marketing.ru/Card/Lot/72172617", "на оказание услуг по организации питания")</f>
        <v>на оказание услуг по организации питания</v>
      </c>
      <c r="G12636" s="22" t="s">
        <v>132</v>
      </c>
      <c r="H12636" s="22" t="s">
        <v>132</v>
      </c>
      <c r="I12636" s="26">
        <v>43663.749930555598</v>
      </c>
      <c r="J12636" s="23" t="str">
        <f>HYPERLINK("https://www.spark-marketing.ru/Card/Person/2395558", "ООО ""РЕСТОРИЯ""")</f>
        <v>ООО "РЕСТОРИЯ"</v>
      </c>
      <c r="K12636" s="24" t="s">
        <v>2093</v>
      </c>
      <c r="L12636" s="22" t="s">
        <v>10</v>
      </c>
      <c r="M12636" s="25">
        <v>858528.09</v>
      </c>
      <c r="N12636" s="27">
        <v>0.23686392000000001</v>
      </c>
    </row>
    <row r="12637" spans="1:14" x14ac:dyDescent="0.15">
      <c r="A12637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637" s="24" t="s">
        <v>4297</v>
      </c>
      <c r="C12637" s="25">
        <v>67900</v>
      </c>
      <c r="D12637" s="22" t="s">
        <v>17111</v>
      </c>
      <c r="E12637" s="22" t="s">
        <v>48</v>
      </c>
      <c r="F12637" s="23" t="str">
        <f>HYPERLINK("https://www.spark-marketing.ru/Card/Lot/72173068",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</v>
      </c>
      <c r="G12637" s="22" t="s">
        <v>1096</v>
      </c>
      <c r="H12637" s="22" t="s">
        <v>4299</v>
      </c>
      <c r="I12637" s="26">
        <v>43663.733738425901</v>
      </c>
      <c r="J12637" s="23" t="str">
        <f>HYPERLINK("https://www.spark-marketing.ru/Card/Person/1039408", "МОУ СОШ № 24")</f>
        <v>МОУ СОШ № 24</v>
      </c>
      <c r="K12637" s="24" t="s">
        <v>17112</v>
      </c>
      <c r="L12637" s="22" t="s">
        <v>10</v>
      </c>
      <c r="M12637" s="28" t="s">
        <v>51</v>
      </c>
      <c r="N12637" s="28" t="s">
        <v>51</v>
      </c>
    </row>
    <row r="12638" spans="1:14" x14ac:dyDescent="0.15">
      <c r="A12638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638" s="24" t="s">
        <v>4297</v>
      </c>
      <c r="C12638" s="25">
        <v>67900</v>
      </c>
      <c r="D12638" s="22" t="s">
        <v>17113</v>
      </c>
      <c r="E12638" s="22" t="s">
        <v>48</v>
      </c>
      <c r="F12638" s="23" t="str">
        <f>HYPERLINK("https://www.spark-marketing.ru/Card/Lot/72173072",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2638" s="22" t="s">
        <v>1096</v>
      </c>
      <c r="H12638" s="22" t="s">
        <v>4299</v>
      </c>
      <c r="I12638" s="26">
        <v>43663.736157407402</v>
      </c>
      <c r="J12638" s="23" t="str">
        <f>HYPERLINK("https://www.spark-marketing.ru/Card/Person/118921", "МОУ СОШ № 34")</f>
        <v>МОУ СОШ № 34</v>
      </c>
      <c r="K12638" s="24" t="s">
        <v>17114</v>
      </c>
      <c r="L12638" s="22" t="s">
        <v>10</v>
      </c>
      <c r="M12638" s="28" t="s">
        <v>51</v>
      </c>
      <c r="N12638" s="28" t="s">
        <v>51</v>
      </c>
    </row>
    <row r="12639" spans="1:14" x14ac:dyDescent="0.2">
      <c r="A12639" s="23" t="str">
        <f>HYPERLINK("https://www.spark-marketing.ru/Card/Person/60656", "МБОУ ""СОШ № 13 С УГЛУБЛЕННЫМ ИЗУЧЕНИЕМ ОТДЕЛЬНЫХ ПРЕДМЕТОВ""")</f>
        <v>МБОУ "СОШ № 13 С УГЛУБЛЕННЫМ ИЗУЧЕНИЕМ ОТДЕЛЬНЫХ ПРЕДМЕТОВ"</v>
      </c>
      <c r="B12639" s="24" t="s">
        <v>17115</v>
      </c>
      <c r="C12639" s="25">
        <v>1421245</v>
      </c>
      <c r="D12639" s="22" t="s">
        <v>17116</v>
      </c>
      <c r="E12639" s="22" t="s">
        <v>48</v>
      </c>
      <c r="F12639" s="23" t="str">
        <f>HYPERLINK("https://www.spark-marketing.ru/Card/Lot/72161371", "Оказание услуг по организации питания для льготных категорий обучающихся и обеспечение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обеспечение молоком (кисломолочными продуктами) обучающихся 1-4 классов</v>
      </c>
      <c r="G12639" s="22" t="s">
        <v>162</v>
      </c>
      <c r="H12639" s="22" t="s">
        <v>10137</v>
      </c>
      <c r="I12639" s="26">
        <v>43663.709027777797</v>
      </c>
      <c r="J12639" s="23" t="str">
        <f>HYPERLINK("https://www.spark-marketing.ru/Card/Person/42095", "ООО ""КОМБИНАТ СОЦИАЛЬНОГО ПИТАНИЯ""")</f>
        <v>ООО "КОМБИНАТ СОЦИАЛЬНОГО ПИТАНИЯ"</v>
      </c>
      <c r="K12639" s="24" t="s">
        <v>12318</v>
      </c>
      <c r="L12639" s="28" t="s">
        <v>51</v>
      </c>
      <c r="M12639" s="25">
        <v>1421245</v>
      </c>
      <c r="N12639" s="27">
        <v>0</v>
      </c>
    </row>
    <row r="12640" spans="1:14" x14ac:dyDescent="0.15">
      <c r="A12640" s="23" t="str">
        <f>HYPERLINK("https://www.spark-marketing.ru/Card/Person/245748", "МО МВД РОССИИ ""КРАСНОЗЕРСКИЙ""")</f>
        <v>МО МВД РОССИИ "КРАСНОЗЕРСКИЙ"</v>
      </c>
      <c r="B12640" s="24" t="s">
        <v>5096</v>
      </c>
      <c r="C12640" s="25">
        <v>400000</v>
      </c>
      <c r="D12640" s="22" t="s">
        <v>17117</v>
      </c>
      <c r="E12640" s="22" t="s">
        <v>48</v>
      </c>
      <c r="F12640" s="23" t="str">
        <f>HYPERLINK("https://www.spark-marketing.ru/Card/Lot/72179781", "оказание услуг по приготовлении горячего питания для подозреваемых и обвиняемых содержащихся в изоляторе временного содержания, в том числе лиц арестованных, задержанных  в административном порядке и помещенных в МО МВД России ""Краснозерский""")</f>
        <v>оказание услуг по приготовлении горячего питания для подозреваемых и обвиняемых содержащихся в изоляторе временного содержания, в том числе лиц арестованных, задержанных  в административном порядке и помещенных в МО МВД России "Краснозерский"</v>
      </c>
      <c r="G12640" s="22" t="s">
        <v>195</v>
      </c>
      <c r="H12640" s="22" t="s">
        <v>5098</v>
      </c>
      <c r="I12640" s="26">
        <v>43663.681296296301</v>
      </c>
      <c r="J12640" s="28" t="s">
        <v>51</v>
      </c>
      <c r="K12640" s="28" t="s">
        <v>51</v>
      </c>
      <c r="L12640" s="28" t="s">
        <v>51</v>
      </c>
      <c r="M12640" s="28" t="s">
        <v>51</v>
      </c>
      <c r="N12640" s="28" t="s">
        <v>51</v>
      </c>
    </row>
    <row r="12641" spans="1:14" collapsed="1" x14ac:dyDescent="0.15">
      <c r="A12641" s="23" t="str">
        <f t="shared" ref="A12641:A12648" si="410">HYPERLINK("https://www.spark-marketing.ru/Card/Person/255854", "ГБУ ""ЛЕСОПОЖАРНЫЙ ЦЕНТР""")</f>
        <v>ГБУ "ЛЕСОПОЖАРНЫЙ ЦЕНТР"</v>
      </c>
      <c r="B12641" s="24" t="s">
        <v>17118</v>
      </c>
      <c r="C12641" s="25">
        <v>552478.31999999995</v>
      </c>
      <c r="D12641" s="22" t="s">
        <v>17119</v>
      </c>
      <c r="E12641" s="22" t="s">
        <v>17120</v>
      </c>
      <c r="F12641" s="23" t="str">
        <f t="shared" ref="F12641:F12648" si="411">HYPERLINK("https://www.spark-marketing.ru/Card/Lot/72160480", "Оказание услуг по монтажу системы видеонаблюдения")</f>
        <v>Оказание услуг по монтажу системы видеонаблюдения</v>
      </c>
      <c r="G12641" s="22" t="s">
        <v>217</v>
      </c>
      <c r="H12641" s="22" t="s">
        <v>217</v>
      </c>
      <c r="I12641" s="26">
        <v>43663.677384259303</v>
      </c>
      <c r="J12641" s="28" t="s">
        <v>51</v>
      </c>
      <c r="K12641" s="28" t="s">
        <v>51</v>
      </c>
      <c r="L12641" s="28" t="s">
        <v>51</v>
      </c>
      <c r="M12641" s="28" t="s">
        <v>51</v>
      </c>
      <c r="N12641" s="28" t="s">
        <v>51</v>
      </c>
    </row>
    <row r="12642" spans="1:14" hidden="1" outlineLevel="1" x14ac:dyDescent="0.2">
      <c r="A12642" s="23" t="str">
        <f t="shared" si="410"/>
        <v>ГБУ "ЛЕСОПОЖАРНЫЙ ЦЕНТР"</v>
      </c>
      <c r="B12642" s="24" t="s">
        <v>17118</v>
      </c>
      <c r="C12642" s="25">
        <v>552478.31999999995</v>
      </c>
      <c r="D12642" s="22" t="s">
        <v>17119</v>
      </c>
      <c r="E12642" s="22" t="s">
        <v>17120</v>
      </c>
      <c r="F12642" s="23" t="str">
        <f t="shared" si="411"/>
        <v>Оказание услуг по монтажу системы видеонаблюдения</v>
      </c>
      <c r="G12642" s="22" t="s">
        <v>217</v>
      </c>
      <c r="H12642" s="22" t="s">
        <v>217</v>
      </c>
      <c r="I12642" s="26">
        <v>43663.677384259303</v>
      </c>
      <c r="J12642" s="23" t="str">
        <f>HYPERLINK("https://www.spark-marketing.ru/Card/Person/6055324", "ООО ""РЕКОМ""")</f>
        <v>ООО "РЕКОМ"</v>
      </c>
      <c r="K12642" s="24" t="s">
        <v>17121</v>
      </c>
      <c r="L12642" s="28" t="s">
        <v>51</v>
      </c>
      <c r="M12642" s="25">
        <v>491712.83</v>
      </c>
      <c r="N12642" s="27">
        <v>0.10998710320433931</v>
      </c>
    </row>
    <row r="12643" spans="1:14" hidden="1" outlineLevel="1" x14ac:dyDescent="0.2">
      <c r="A12643" s="23" t="str">
        <f t="shared" si="410"/>
        <v>ГБУ "ЛЕСОПОЖАРНЫЙ ЦЕНТР"</v>
      </c>
      <c r="B12643" s="24" t="s">
        <v>17118</v>
      </c>
      <c r="C12643" s="25">
        <v>552478.31999999995</v>
      </c>
      <c r="D12643" s="22" t="s">
        <v>17119</v>
      </c>
      <c r="E12643" s="22" t="s">
        <v>17120</v>
      </c>
      <c r="F12643" s="23" t="str">
        <f t="shared" si="411"/>
        <v>Оказание услуг по монтажу системы видеонаблюдения</v>
      </c>
      <c r="G12643" s="22" t="s">
        <v>217</v>
      </c>
      <c r="H12643" s="22" t="s">
        <v>217</v>
      </c>
      <c r="I12643" s="26">
        <v>43663.677384259303</v>
      </c>
      <c r="J12643" s="23" t="str">
        <f>HYPERLINK("https://www.spark-marketing.ru/Card/Person/5794489", "Зиадиев Анвар Хамитович")</f>
        <v>Зиадиев Анвар Хамитович</v>
      </c>
      <c r="K12643" s="24" t="s">
        <v>17122</v>
      </c>
      <c r="L12643" s="28" t="s">
        <v>51</v>
      </c>
      <c r="M12643" s="25">
        <v>490000</v>
      </c>
      <c r="N12643" s="27">
        <v>0.11308736965461377</v>
      </c>
    </row>
    <row r="12644" spans="1:14" hidden="1" outlineLevel="1" x14ac:dyDescent="0.2">
      <c r="A12644" s="23" t="str">
        <f t="shared" si="410"/>
        <v>ГБУ "ЛЕСОПОЖАРНЫЙ ЦЕНТР"</v>
      </c>
      <c r="B12644" s="24" t="s">
        <v>17118</v>
      </c>
      <c r="C12644" s="25">
        <v>552478.31999999995</v>
      </c>
      <c r="D12644" s="22" t="s">
        <v>17119</v>
      </c>
      <c r="E12644" s="22" t="s">
        <v>17120</v>
      </c>
      <c r="F12644" s="23" t="str">
        <f t="shared" si="411"/>
        <v>Оказание услуг по монтажу системы видеонаблюдения</v>
      </c>
      <c r="G12644" s="22" t="s">
        <v>217</v>
      </c>
      <c r="H12644" s="22" t="s">
        <v>217</v>
      </c>
      <c r="I12644" s="26">
        <v>43663.677384259303</v>
      </c>
      <c r="J12644" s="23" t="str">
        <f>HYPERLINK("https://www.spark-marketing.ru/Card/Person/371074", "ООО ""СПМ""")</f>
        <v>ООО "СПМ"</v>
      </c>
      <c r="K12644" s="24" t="s">
        <v>17123</v>
      </c>
      <c r="L12644" s="28" t="s">
        <v>51</v>
      </c>
      <c r="M12644" s="25">
        <v>500000</v>
      </c>
      <c r="N12644" s="27">
        <v>9.4987111892463033E-2</v>
      </c>
    </row>
    <row r="12645" spans="1:14" hidden="1" outlineLevel="1" x14ac:dyDescent="0.2">
      <c r="A12645" s="23" t="str">
        <f t="shared" si="410"/>
        <v>ГБУ "ЛЕСОПОЖАРНЫЙ ЦЕНТР"</v>
      </c>
      <c r="B12645" s="24" t="s">
        <v>17118</v>
      </c>
      <c r="C12645" s="25">
        <v>552478.31999999995</v>
      </c>
      <c r="D12645" s="22" t="s">
        <v>17119</v>
      </c>
      <c r="E12645" s="22" t="s">
        <v>17120</v>
      </c>
      <c r="F12645" s="23" t="str">
        <f t="shared" si="411"/>
        <v>Оказание услуг по монтажу системы видеонаблюдения</v>
      </c>
      <c r="G12645" s="22" t="s">
        <v>217</v>
      </c>
      <c r="H12645" s="22" t="s">
        <v>217</v>
      </c>
      <c r="I12645" s="26">
        <v>43663.677384259303</v>
      </c>
      <c r="J12645" s="23" t="str">
        <f>HYPERLINK("https://www.spark-marketing.ru/Card/Person/6231576", "Роменская Елена Валерьевна")</f>
        <v>Роменская Елена Валерьевна</v>
      </c>
      <c r="K12645" s="24" t="s">
        <v>17124</v>
      </c>
      <c r="L12645" s="28" t="s">
        <v>51</v>
      </c>
      <c r="M12645" s="25">
        <v>333333</v>
      </c>
      <c r="N12645" s="27">
        <v>0.39665867793690074</v>
      </c>
    </row>
    <row r="12646" spans="1:14" hidden="1" outlineLevel="1" x14ac:dyDescent="0.2">
      <c r="A12646" s="23" t="str">
        <f t="shared" si="410"/>
        <v>ГБУ "ЛЕСОПОЖАРНЫЙ ЦЕНТР"</v>
      </c>
      <c r="B12646" s="24" t="s">
        <v>17118</v>
      </c>
      <c r="C12646" s="25">
        <v>552478.31999999995</v>
      </c>
      <c r="D12646" s="22" t="s">
        <v>17119</v>
      </c>
      <c r="E12646" s="22" t="s">
        <v>17120</v>
      </c>
      <c r="F12646" s="23" t="str">
        <f t="shared" si="411"/>
        <v>Оказание услуг по монтажу системы видеонаблюдения</v>
      </c>
      <c r="G12646" s="22" t="s">
        <v>217</v>
      </c>
      <c r="H12646" s="22" t="s">
        <v>217</v>
      </c>
      <c r="I12646" s="26">
        <v>43663.677384259303</v>
      </c>
      <c r="J12646" s="23" t="str">
        <f>HYPERLINK("https://www.spark-marketing.ru/Card/Person/5984282", "ООО ""КЭСК""")</f>
        <v>ООО "КЭСК"</v>
      </c>
      <c r="K12646" s="24" t="s">
        <v>17125</v>
      </c>
      <c r="L12646" s="28" t="s">
        <v>51</v>
      </c>
      <c r="M12646" s="25">
        <v>532212.61</v>
      </c>
      <c r="N12646" s="27">
        <v>3.6681457473299588E-2</v>
      </c>
    </row>
    <row r="12647" spans="1:14" hidden="1" outlineLevel="1" x14ac:dyDescent="0.2">
      <c r="A12647" s="23" t="str">
        <f t="shared" si="410"/>
        <v>ГБУ "ЛЕСОПОЖАРНЫЙ ЦЕНТР"</v>
      </c>
      <c r="B12647" s="24" t="s">
        <v>17118</v>
      </c>
      <c r="C12647" s="25">
        <v>552478.31999999995</v>
      </c>
      <c r="D12647" s="22" t="s">
        <v>17119</v>
      </c>
      <c r="E12647" s="22" t="s">
        <v>17120</v>
      </c>
      <c r="F12647" s="23" t="str">
        <f t="shared" si="411"/>
        <v>Оказание услуг по монтажу системы видеонаблюдения</v>
      </c>
      <c r="G12647" s="22" t="s">
        <v>217</v>
      </c>
      <c r="H12647" s="22" t="s">
        <v>217</v>
      </c>
      <c r="I12647" s="26">
        <v>43663.677384259303</v>
      </c>
      <c r="J12647" s="23" t="str">
        <f>HYPERLINK("https://www.spark-marketing.ru/Card/Person/6576213", "ООО ""ТЕРРИТОРИЯ БЕЗОПАСНОСТИ""")</f>
        <v>ООО "ТЕРРИТОРИЯ БЕЗОПАСНОСТИ"</v>
      </c>
      <c r="K12647" s="24" t="s">
        <v>17126</v>
      </c>
      <c r="L12647" s="28" t="s">
        <v>51</v>
      </c>
      <c r="M12647" s="25">
        <v>330570.61</v>
      </c>
      <c r="N12647" s="27">
        <v>0.4016586750408595</v>
      </c>
    </row>
    <row r="12648" spans="1:14" ht="12.75" hidden="1" outlineLevel="1" x14ac:dyDescent="0.2">
      <c r="A12648" s="23" t="str">
        <f t="shared" si="410"/>
        <v>ГБУ "ЛЕСОПОЖАРНЫЙ ЦЕНТР"</v>
      </c>
      <c r="B12648" s="24" t="s">
        <v>17118</v>
      </c>
      <c r="C12648" s="25">
        <v>552478.31999999995</v>
      </c>
      <c r="D12648" s="22" t="s">
        <v>17119</v>
      </c>
      <c r="E12648" s="22" t="s">
        <v>17120</v>
      </c>
      <c r="F12648" s="23" t="str">
        <f t="shared" si="411"/>
        <v>Оказание услуг по монтажу системы видеонаблюдения</v>
      </c>
      <c r="G12648" s="22" t="s">
        <v>217</v>
      </c>
      <c r="H12648" s="22" t="s">
        <v>217</v>
      </c>
      <c r="I12648" s="26">
        <v>43663.677384259303</v>
      </c>
      <c r="J12648" s="23" t="str">
        <f>HYPERLINK("https://www.spark-marketing.ru/Card/Person/34725", "ООО ""КОМПЬЮСЕРВИС - НК""")</f>
        <v>ООО "КОМПЬЮСЕРВИС - НК"</v>
      </c>
      <c r="K12648" s="24" t="s">
        <v>17127</v>
      </c>
      <c r="L12648" s="22" t="s">
        <v>10</v>
      </c>
      <c r="M12648" s="25">
        <v>330570</v>
      </c>
      <c r="N12648" s="27">
        <v>0.40165977915658302</v>
      </c>
    </row>
    <row r="12649" spans="1:14" x14ac:dyDescent="0.15">
      <c r="A12649" s="23" t="str">
        <f>HYPERLINK("https://www.spark-marketing.ru/Card/Person/1039397", "МБОУ ""СЕБЕЖСКАЯ СОШ""")</f>
        <v>МБОУ "СЕБЕЖСКАЯ СОШ"</v>
      </c>
      <c r="B12649" s="24" t="s">
        <v>17128</v>
      </c>
      <c r="C12649" s="25">
        <v>1480973.5</v>
      </c>
      <c r="D12649" s="22" t="s">
        <v>17129</v>
      </c>
      <c r="E12649" s="22" t="s">
        <v>48</v>
      </c>
      <c r="F12649" s="23" t="str">
        <f>HYPERLINK("https://www.spark-marketing.ru/Card/Lot/72191681", "Оказание услуг по обеспечению горячим питанием")</f>
        <v>Оказание услуг по обеспечению горячим питанием</v>
      </c>
      <c r="G12649" s="22" t="s">
        <v>415</v>
      </c>
      <c r="H12649" s="22" t="s">
        <v>415</v>
      </c>
      <c r="I12649" s="26">
        <v>43663.691944444399</v>
      </c>
      <c r="J12649" s="23" t="str">
        <f>HYPERLINK("https://www.spark-marketing.ru/Card/Person/793645", "СЕБЕЖСКОЕ РАЙПО")</f>
        <v>СЕБЕЖСКОЕ РАЙПО</v>
      </c>
      <c r="K12649" s="24" t="s">
        <v>14772</v>
      </c>
      <c r="L12649" s="22" t="s">
        <v>10</v>
      </c>
      <c r="M12649" s="28" t="s">
        <v>51</v>
      </c>
      <c r="N12649" s="28" t="s">
        <v>51</v>
      </c>
    </row>
    <row r="12650" spans="1:14" collapsed="1" x14ac:dyDescent="0.15">
      <c r="A12650" s="23" t="str">
        <f>HYPERLINK("https://www.spark-marketing.ru/Card/Person/47729", "МБОУ ""СШ №5""")</f>
        <v>МБОУ "СШ №5"</v>
      </c>
      <c r="B12650" s="24" t="s">
        <v>1850</v>
      </c>
      <c r="C12650" s="25">
        <v>12348648</v>
      </c>
      <c r="D12650" s="22" t="s">
        <v>17130</v>
      </c>
      <c r="E12650" s="22" t="s">
        <v>48</v>
      </c>
      <c r="F12650" s="23" t="str">
        <f>HYPERLINK("https://www.spark-marketing.ru/Card/Lot/72162798", "Оказание услуг по организации в 2019-2020 учебном году питания обучающихся для муниципального бюджетного общеобразовательного учреждения «Средняя школа №5»")</f>
        <v>Оказание услуг по организации в 2019-2020 учебном году питания обучающихся для муниципального бюджетного общеобразовательного учреждения «Средняя школа №5»</v>
      </c>
      <c r="G12650" s="22" t="s">
        <v>97</v>
      </c>
      <c r="H12650" s="22" t="s">
        <v>97</v>
      </c>
      <c r="I12650" s="26">
        <v>43663.7055555556</v>
      </c>
      <c r="J12650" s="28" t="s">
        <v>51</v>
      </c>
      <c r="K12650" s="28" t="s">
        <v>51</v>
      </c>
      <c r="L12650" s="28" t="s">
        <v>51</v>
      </c>
      <c r="M12650" s="28" t="s">
        <v>51</v>
      </c>
      <c r="N12650" s="28" t="s">
        <v>51</v>
      </c>
    </row>
    <row r="12651" spans="1:14" ht="12.75" hidden="1" outlineLevel="1" x14ac:dyDescent="0.2">
      <c r="A12651" s="23" t="str">
        <f>HYPERLINK("https://www.spark-marketing.ru/Card/Person/47729", "МБОУ ""СШ №5""")</f>
        <v>МБОУ "СШ №5"</v>
      </c>
      <c r="B12651" s="24" t="s">
        <v>1850</v>
      </c>
      <c r="C12651" s="25">
        <v>12348648</v>
      </c>
      <c r="D12651" s="22" t="s">
        <v>17130</v>
      </c>
      <c r="E12651" s="22" t="s">
        <v>48</v>
      </c>
      <c r="F12651" s="23" t="str">
        <f>HYPERLINK("https://www.spark-marketing.ru/Card/Lot/72162798", "Оказание услуг по организации в 2019-2020 учебном году питания обучающихся для муниципального бюджетного общеобразовательного учреждения «Средняя школа №5»")</f>
        <v>Оказание услуг по организации в 2019-2020 учебном году питания обучающихся для муниципального бюджетного общеобразовательного учреждения «Средняя школа №5»</v>
      </c>
      <c r="G12651" s="22" t="s">
        <v>97</v>
      </c>
      <c r="H12651" s="22" t="s">
        <v>97</v>
      </c>
      <c r="I12651" s="26">
        <v>43663.7055555556</v>
      </c>
      <c r="J12651" s="23" t="str">
        <f>HYPERLINK("https://www.spark-marketing.ru/Card/Person/5846583", "ООО ""АБВГД""")</f>
        <v>ООО "АБВГД"</v>
      </c>
      <c r="K12651" s="24" t="s">
        <v>1467</v>
      </c>
      <c r="L12651" s="22" t="s">
        <v>10</v>
      </c>
      <c r="M12651" s="25">
        <v>11731216</v>
      </c>
      <c r="N12651" s="27">
        <v>4.9999967607789936E-2</v>
      </c>
    </row>
    <row r="12652" spans="1:14" hidden="1" outlineLevel="1" x14ac:dyDescent="0.2">
      <c r="A12652" s="23" t="str">
        <f>HYPERLINK("https://www.spark-marketing.ru/Card/Person/47729", "МБОУ ""СШ №5""")</f>
        <v>МБОУ "СШ №5"</v>
      </c>
      <c r="B12652" s="24" t="s">
        <v>1850</v>
      </c>
      <c r="C12652" s="25">
        <v>12348648</v>
      </c>
      <c r="D12652" s="22" t="s">
        <v>17130</v>
      </c>
      <c r="E12652" s="22" t="s">
        <v>48</v>
      </c>
      <c r="F12652" s="23" t="str">
        <f>HYPERLINK("https://www.spark-marketing.ru/Card/Lot/72162798", "Оказание услуг по организации в 2019-2020 учебном году питания обучающихся для муниципального бюджетного общеобразовательного учреждения «Средняя школа №5»")</f>
        <v>Оказание услуг по организации в 2019-2020 учебном году питания обучающихся для муниципального бюджетного общеобразовательного учреждения «Средняя школа №5»</v>
      </c>
      <c r="G12652" s="22" t="s">
        <v>97</v>
      </c>
      <c r="H12652" s="22" t="s">
        <v>97</v>
      </c>
      <c r="I12652" s="26">
        <v>43663.7055555556</v>
      </c>
      <c r="J12652" s="23" t="str">
        <f>HYPERLINK("https://www.spark-marketing.ru/Card/Person/4868934", "ООО ""АЗБУКА ПИТАНИЯ""")</f>
        <v>ООО "АЗБУКА ПИТАНИЯ"</v>
      </c>
      <c r="K12652" s="24" t="s">
        <v>2534</v>
      </c>
      <c r="L12652" s="28" t="s">
        <v>51</v>
      </c>
      <c r="M12652" s="25">
        <v>11731215.6</v>
      </c>
      <c r="N12652" s="27">
        <v>0.05</v>
      </c>
    </row>
    <row r="12653" spans="1:14" x14ac:dyDescent="0.2">
      <c r="A12653" s="23" t="str">
        <f>HYPERLINK("https://www.spark-marketing.ru/Card/Person/48862", "МБОУ ""СШ №3""")</f>
        <v>МБОУ "СШ №3"</v>
      </c>
      <c r="B12653" s="24" t="s">
        <v>17131</v>
      </c>
      <c r="C12653" s="25">
        <v>19998988.800000001</v>
      </c>
      <c r="D12653" s="22" t="s">
        <v>17132</v>
      </c>
      <c r="E12653" s="22" t="s">
        <v>48</v>
      </c>
      <c r="F12653" s="23" t="str">
        <f>HYPERLINK("https://www.spark-marketing.ru/Card/Lot/72163985", "Оказание услуг по организации в 2019-2020 учебном году питания обучающихся  муниципального бюджетного учреждения Средняя школа №3")</f>
        <v>Оказание услуг по организации в 2019-2020 учебном году питания обучающихся  муниципального бюджетного учреждения Средняя школа №3</v>
      </c>
      <c r="G12653" s="22" t="s">
        <v>97</v>
      </c>
      <c r="H12653" s="22" t="s">
        <v>97</v>
      </c>
      <c r="I12653" s="26">
        <v>43663.672916666699</v>
      </c>
      <c r="J12653" s="23" t="str">
        <f>HYPERLINK("https://www.spark-marketing.ru/Card/Person/1659813", "ООО ""КП""")</f>
        <v>ООО "КП"</v>
      </c>
      <c r="K12653" s="24" t="s">
        <v>16691</v>
      </c>
      <c r="L12653" s="28" t="s">
        <v>51</v>
      </c>
      <c r="M12653" s="25">
        <v>19998988.800000001</v>
      </c>
      <c r="N12653" s="27">
        <v>0</v>
      </c>
    </row>
    <row r="12654" spans="1:14" collapsed="1" x14ac:dyDescent="0.15">
      <c r="A12654" s="23" t="s">
        <v>114</v>
      </c>
      <c r="B12654" s="28" t="s">
        <v>51</v>
      </c>
      <c r="C12654" s="25">
        <v>16658670</v>
      </c>
      <c r="D12654" s="22" t="s">
        <v>17133</v>
      </c>
      <c r="E12654" s="22" t="s">
        <v>48</v>
      </c>
      <c r="F12654" s="23" t="str">
        <f t="shared" ref="F12654:F12660" si="412">HYPERLINK("https://www.spark-marketing.ru/Card/Lot/72162765", "Оказание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654" s="22" t="s">
        <v>51</v>
      </c>
      <c r="H12654" s="22" t="s">
        <v>51</v>
      </c>
      <c r="I12654" s="26">
        <v>43663.694444444402</v>
      </c>
      <c r="J12654" s="28" t="s">
        <v>51</v>
      </c>
      <c r="K12654" s="28" t="s">
        <v>51</v>
      </c>
      <c r="L12654" s="28" t="s">
        <v>51</v>
      </c>
      <c r="M12654" s="28" t="s">
        <v>51</v>
      </c>
      <c r="N12654" s="28" t="s">
        <v>51</v>
      </c>
    </row>
    <row r="12655" spans="1:14" hidden="1" outlineLevel="1" x14ac:dyDescent="0.15">
      <c r="A12655" s="23" t="str">
        <f>HYPERLINK("https://www.spark-marketing.ru/Card/Person/51466", "МОУ СШ № 30")</f>
        <v>МОУ СШ № 30</v>
      </c>
      <c r="B12655" s="24" t="s">
        <v>17134</v>
      </c>
      <c r="C12655" s="25">
        <v>3039770</v>
      </c>
      <c r="D12655" s="22" t="s">
        <v>17133</v>
      </c>
      <c r="E12655" s="22" t="s">
        <v>48</v>
      </c>
      <c r="F12655" s="23" t="str">
        <f t="shared" si="412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655" s="22" t="s">
        <v>158</v>
      </c>
      <c r="H12655" s="22" t="s">
        <v>158</v>
      </c>
      <c r="I12655" s="26">
        <v>43663.694444444402</v>
      </c>
      <c r="J12655" s="28" t="s">
        <v>51</v>
      </c>
      <c r="K12655" s="28" t="s">
        <v>51</v>
      </c>
      <c r="L12655" s="28" t="s">
        <v>51</v>
      </c>
      <c r="M12655" s="28" t="s">
        <v>51</v>
      </c>
      <c r="N12655" s="28" t="s">
        <v>51</v>
      </c>
    </row>
    <row r="12656" spans="1:14" hidden="1" outlineLevel="1" x14ac:dyDescent="0.15">
      <c r="A12656" s="23" t="str">
        <f>HYPERLINK("https://www.spark-marketing.ru/Card/Person/70201", "МОУ СШ № 35")</f>
        <v>МОУ СШ № 35</v>
      </c>
      <c r="B12656" s="24" t="s">
        <v>17135</v>
      </c>
      <c r="C12656" s="25">
        <v>4865700</v>
      </c>
      <c r="D12656" s="22" t="s">
        <v>17133</v>
      </c>
      <c r="E12656" s="22" t="s">
        <v>48</v>
      </c>
      <c r="F12656" s="23" t="str">
        <f t="shared" si="412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656" s="22" t="s">
        <v>158</v>
      </c>
      <c r="H12656" s="22" t="s">
        <v>158</v>
      </c>
      <c r="I12656" s="26">
        <v>43663.694444444402</v>
      </c>
      <c r="J12656" s="28" t="s">
        <v>51</v>
      </c>
      <c r="K12656" s="28" t="s">
        <v>51</v>
      </c>
      <c r="L12656" s="28" t="s">
        <v>51</v>
      </c>
      <c r="M12656" s="28" t="s">
        <v>51</v>
      </c>
      <c r="N12656" s="28" t="s">
        <v>51</v>
      </c>
    </row>
    <row r="12657" spans="1:14" hidden="1" outlineLevel="1" x14ac:dyDescent="0.15">
      <c r="A12657" s="23" t="str">
        <f>HYPERLINK("https://www.spark-marketing.ru/Card/Person/129630", "МОУ СШ № 32")</f>
        <v>МОУ СШ № 32</v>
      </c>
      <c r="B12657" s="24" t="s">
        <v>17136</v>
      </c>
      <c r="C12657" s="25">
        <v>4963230</v>
      </c>
      <c r="D12657" s="22" t="s">
        <v>17133</v>
      </c>
      <c r="E12657" s="22" t="s">
        <v>48</v>
      </c>
      <c r="F12657" s="23" t="str">
        <f t="shared" si="412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657" s="22" t="s">
        <v>158</v>
      </c>
      <c r="H12657" s="22" t="s">
        <v>158</v>
      </c>
      <c r="I12657" s="26">
        <v>43663.694444444402</v>
      </c>
      <c r="J12657" s="28" t="s">
        <v>51</v>
      </c>
      <c r="K12657" s="28" t="s">
        <v>51</v>
      </c>
      <c r="L12657" s="28" t="s">
        <v>51</v>
      </c>
      <c r="M12657" s="28" t="s">
        <v>51</v>
      </c>
      <c r="N12657" s="28" t="s">
        <v>51</v>
      </c>
    </row>
    <row r="12658" spans="1:14" hidden="1" outlineLevel="1" x14ac:dyDescent="0.15">
      <c r="A12658" s="23" t="str">
        <f>HYPERLINK("https://www.spark-marketing.ru/Card/Person/129966", "МОУ СШ № 34")</f>
        <v>МОУ СШ № 34</v>
      </c>
      <c r="B12658" s="24" t="s">
        <v>17137</v>
      </c>
      <c r="C12658" s="25">
        <v>3789970</v>
      </c>
      <c r="D12658" s="22" t="s">
        <v>17133</v>
      </c>
      <c r="E12658" s="22" t="s">
        <v>48</v>
      </c>
      <c r="F12658" s="23" t="str">
        <f t="shared" si="412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658" s="22" t="s">
        <v>158</v>
      </c>
      <c r="H12658" s="22" t="s">
        <v>158</v>
      </c>
      <c r="I12658" s="26">
        <v>43663.694444444402</v>
      </c>
      <c r="J12658" s="28" t="s">
        <v>51</v>
      </c>
      <c r="K12658" s="28" t="s">
        <v>51</v>
      </c>
      <c r="L12658" s="28" t="s">
        <v>51</v>
      </c>
      <c r="M12658" s="28" t="s">
        <v>51</v>
      </c>
      <c r="N12658" s="28" t="s">
        <v>51</v>
      </c>
    </row>
    <row r="12659" spans="1:14" hidden="1" outlineLevel="1" x14ac:dyDescent="0.2">
      <c r="A12659" s="28" t="s">
        <v>51</v>
      </c>
      <c r="B12659" s="28" t="s">
        <v>51</v>
      </c>
      <c r="C12659" s="28" t="s">
        <v>51</v>
      </c>
      <c r="D12659" s="22" t="s">
        <v>17133</v>
      </c>
      <c r="E12659" s="22" t="s">
        <v>48</v>
      </c>
      <c r="F12659" s="23" t="str">
        <f t="shared" si="412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659" s="22" t="s">
        <v>51</v>
      </c>
      <c r="H12659" s="22" t="s">
        <v>51</v>
      </c>
      <c r="I12659" s="26">
        <v>43663.694444444402</v>
      </c>
      <c r="J12659" s="23" t="str">
        <f>HYPERLINK("https://www.spark-marketing.ru/Card/Person/6558293", "ООО ""ВИВО МАРКЕТ""")</f>
        <v>ООО "ВИВО МАРКЕТ"</v>
      </c>
      <c r="K12659" s="24" t="s">
        <v>14440</v>
      </c>
      <c r="L12659" s="22" t="s">
        <v>10</v>
      </c>
      <c r="M12659" s="25">
        <v>16658670</v>
      </c>
      <c r="N12659" s="27">
        <v>0</v>
      </c>
    </row>
    <row r="12660" spans="1:14" hidden="1" outlineLevel="1" x14ac:dyDescent="0.2">
      <c r="A12660" s="28" t="s">
        <v>51</v>
      </c>
      <c r="B12660" s="28" t="s">
        <v>51</v>
      </c>
      <c r="C12660" s="28" t="s">
        <v>51</v>
      </c>
      <c r="D12660" s="22" t="s">
        <v>17133</v>
      </c>
      <c r="E12660" s="22" t="s">
        <v>48</v>
      </c>
      <c r="F12660" s="23" t="str">
        <f t="shared" si="412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660" s="22" t="s">
        <v>51</v>
      </c>
      <c r="H12660" s="22" t="s">
        <v>51</v>
      </c>
      <c r="I12660" s="26">
        <v>43663.694444444402</v>
      </c>
      <c r="J12660" s="23" t="str">
        <f>HYPERLINK("https://www.spark-marketing.ru/Card/Person/520670", "ООО ""СОЮЗ К""")</f>
        <v>ООО "СОЮЗ К"</v>
      </c>
      <c r="K12660" s="24" t="s">
        <v>10035</v>
      </c>
      <c r="L12660" s="28" t="s">
        <v>51</v>
      </c>
      <c r="M12660" s="25">
        <v>15992323.199999999</v>
      </c>
      <c r="N12660" s="27">
        <v>0.04</v>
      </c>
    </row>
    <row r="12661" spans="1:14" collapsed="1" x14ac:dyDescent="0.15">
      <c r="A12661" s="23" t="s">
        <v>114</v>
      </c>
      <c r="B12661" s="28" t="s">
        <v>51</v>
      </c>
      <c r="C12661" s="25">
        <v>19496706</v>
      </c>
      <c r="D12661" s="22" t="s">
        <v>17138</v>
      </c>
      <c r="E12661" s="22" t="s">
        <v>48</v>
      </c>
      <c r="F12661" s="23" t="str">
        <f t="shared" ref="F12661:F12666" si="413">HYPERLINK("https://www.spark-marketing.ru/Card/Lot/72163982", "Оказание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661" s="22" t="s">
        <v>51</v>
      </c>
      <c r="H12661" s="22" t="s">
        <v>51</v>
      </c>
      <c r="I12661" s="26">
        <v>43663.706944444399</v>
      </c>
      <c r="J12661" s="28" t="s">
        <v>51</v>
      </c>
      <c r="K12661" s="28" t="s">
        <v>51</v>
      </c>
      <c r="L12661" s="28" t="s">
        <v>51</v>
      </c>
      <c r="M12661" s="28" t="s">
        <v>51</v>
      </c>
      <c r="N12661" s="28" t="s">
        <v>51</v>
      </c>
    </row>
    <row r="12662" spans="1:14" hidden="1" outlineLevel="1" x14ac:dyDescent="0.15">
      <c r="A12662" s="23" t="str">
        <f>HYPERLINK("https://www.spark-marketing.ru/Card/Person/67588", "МОУ ГИМНАЗИЯ № 10")</f>
        <v>МОУ ГИМНАЗИЯ № 10</v>
      </c>
      <c r="B12662" s="24" t="s">
        <v>17139</v>
      </c>
      <c r="C12662" s="25">
        <v>6915696</v>
      </c>
      <c r="D12662" s="22" t="s">
        <v>17138</v>
      </c>
      <c r="E12662" s="22" t="s">
        <v>48</v>
      </c>
      <c r="F12662" s="23" t="str">
        <f t="shared" si="413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662" s="22" t="s">
        <v>158</v>
      </c>
      <c r="H12662" s="22" t="s">
        <v>158</v>
      </c>
      <c r="I12662" s="26">
        <v>43663.706944444399</v>
      </c>
      <c r="J12662" s="28" t="s">
        <v>51</v>
      </c>
      <c r="K12662" s="28" t="s">
        <v>51</v>
      </c>
      <c r="L12662" s="28" t="s">
        <v>51</v>
      </c>
      <c r="M12662" s="28" t="s">
        <v>51</v>
      </c>
      <c r="N12662" s="28" t="s">
        <v>51</v>
      </c>
    </row>
    <row r="12663" spans="1:14" hidden="1" outlineLevel="1" x14ac:dyDescent="0.15">
      <c r="A12663" s="23" t="str">
        <f>HYPERLINK("https://www.spark-marketing.ru/Card/Person/67599", "МОУ ЛИЦЕЙ № 10")</f>
        <v>МОУ ЛИЦЕЙ № 10</v>
      </c>
      <c r="B12663" s="24" t="s">
        <v>17140</v>
      </c>
      <c r="C12663" s="25">
        <v>5748350</v>
      </c>
      <c r="D12663" s="22" t="s">
        <v>17138</v>
      </c>
      <c r="E12663" s="22" t="s">
        <v>48</v>
      </c>
      <c r="F12663" s="23" t="str">
        <f t="shared" si="413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663" s="22" t="s">
        <v>158</v>
      </c>
      <c r="H12663" s="22" t="s">
        <v>158</v>
      </c>
      <c r="I12663" s="26">
        <v>43663.706944444399</v>
      </c>
      <c r="J12663" s="28" t="s">
        <v>51</v>
      </c>
      <c r="K12663" s="28" t="s">
        <v>51</v>
      </c>
      <c r="L12663" s="28" t="s">
        <v>51</v>
      </c>
      <c r="M12663" s="28" t="s">
        <v>51</v>
      </c>
      <c r="N12663" s="28" t="s">
        <v>51</v>
      </c>
    </row>
    <row r="12664" spans="1:14" hidden="1" outlineLevel="1" x14ac:dyDescent="0.15">
      <c r="A12664" s="23" t="str">
        <f>HYPERLINK("https://www.spark-marketing.ru/Card/Person/118624", "МОУ ГИМНАЗИЯ №9")</f>
        <v>МОУ ГИМНАЗИЯ №9</v>
      </c>
      <c r="B12664" s="24" t="s">
        <v>17141</v>
      </c>
      <c r="C12664" s="25">
        <v>6832660</v>
      </c>
      <c r="D12664" s="22" t="s">
        <v>17138</v>
      </c>
      <c r="E12664" s="22" t="s">
        <v>48</v>
      </c>
      <c r="F12664" s="23" t="str">
        <f t="shared" si="413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664" s="22" t="s">
        <v>158</v>
      </c>
      <c r="H12664" s="22" t="s">
        <v>158</v>
      </c>
      <c r="I12664" s="26">
        <v>43663.706944444399</v>
      </c>
      <c r="J12664" s="28" t="s">
        <v>51</v>
      </c>
      <c r="K12664" s="28" t="s">
        <v>51</v>
      </c>
      <c r="L12664" s="28" t="s">
        <v>51</v>
      </c>
      <c r="M12664" s="28" t="s">
        <v>51</v>
      </c>
      <c r="N12664" s="28" t="s">
        <v>51</v>
      </c>
    </row>
    <row r="12665" spans="1:14" hidden="1" outlineLevel="1" x14ac:dyDescent="0.2">
      <c r="A12665" s="28" t="s">
        <v>51</v>
      </c>
      <c r="B12665" s="28" t="s">
        <v>51</v>
      </c>
      <c r="C12665" s="28" t="s">
        <v>51</v>
      </c>
      <c r="D12665" s="22" t="s">
        <v>17138</v>
      </c>
      <c r="E12665" s="22" t="s">
        <v>48</v>
      </c>
      <c r="F12665" s="23" t="str">
        <f t="shared" si="413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665" s="22" t="s">
        <v>51</v>
      </c>
      <c r="H12665" s="22" t="s">
        <v>51</v>
      </c>
      <c r="I12665" s="26">
        <v>43663.706944444399</v>
      </c>
      <c r="J12665" s="23" t="str">
        <f>HYPERLINK("https://www.spark-marketing.ru/Card/Person/520670", "ООО ""СОЮЗ К""")</f>
        <v>ООО "СОЮЗ К"</v>
      </c>
      <c r="K12665" s="24" t="s">
        <v>10035</v>
      </c>
      <c r="L12665" s="22" t="s">
        <v>10</v>
      </c>
      <c r="M12665" s="25">
        <v>18716837.760000002</v>
      </c>
      <c r="N12665" s="27">
        <v>0.04</v>
      </c>
    </row>
    <row r="12666" spans="1:14" hidden="1" outlineLevel="1" x14ac:dyDescent="0.2">
      <c r="A12666" s="28" t="s">
        <v>51</v>
      </c>
      <c r="B12666" s="28" t="s">
        <v>51</v>
      </c>
      <c r="C12666" s="28" t="s">
        <v>51</v>
      </c>
      <c r="D12666" s="22" t="s">
        <v>17138</v>
      </c>
      <c r="E12666" s="22" t="s">
        <v>48</v>
      </c>
      <c r="F12666" s="23" t="str">
        <f t="shared" si="413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666" s="22" t="s">
        <v>51</v>
      </c>
      <c r="H12666" s="22" t="s">
        <v>51</v>
      </c>
      <c r="I12666" s="26">
        <v>43663.706944444399</v>
      </c>
      <c r="J12666" s="23" t="str">
        <f>HYPERLINK("https://www.spark-marketing.ru/Card/Person/119200", "ООО ""ВЕНЕРА""")</f>
        <v>ООО "ВЕНЕРА"</v>
      </c>
      <c r="K12666" s="24" t="s">
        <v>16525</v>
      </c>
      <c r="L12666" s="28" t="s">
        <v>51</v>
      </c>
      <c r="M12666" s="25">
        <v>19496706</v>
      </c>
      <c r="N12666" s="27">
        <v>0</v>
      </c>
    </row>
    <row r="12667" spans="1:14" collapsed="1" x14ac:dyDescent="0.15">
      <c r="A12667" s="23" t="s">
        <v>114</v>
      </c>
      <c r="B12667" s="28" t="s">
        <v>51</v>
      </c>
      <c r="C12667" s="25">
        <v>15557130</v>
      </c>
      <c r="D12667" s="22" t="s">
        <v>17142</v>
      </c>
      <c r="E12667" s="22" t="s">
        <v>48</v>
      </c>
      <c r="F12667" s="23" t="str">
        <f t="shared" ref="F12667:F12672" si="414">HYPERLINK("https://www.spark-marketing.ru/Card/Lot/72162814", "Оказание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667" s="22" t="s">
        <v>51</v>
      </c>
      <c r="H12667" s="22" t="s">
        <v>51</v>
      </c>
      <c r="I12667" s="26">
        <v>43663.695138888899</v>
      </c>
      <c r="J12667" s="28" t="s">
        <v>51</v>
      </c>
      <c r="K12667" s="28" t="s">
        <v>51</v>
      </c>
      <c r="L12667" s="28" t="s">
        <v>51</v>
      </c>
      <c r="M12667" s="28" t="s">
        <v>51</v>
      </c>
      <c r="N12667" s="28" t="s">
        <v>51</v>
      </c>
    </row>
    <row r="12668" spans="1:14" hidden="1" outlineLevel="1" x14ac:dyDescent="0.15">
      <c r="A12668" s="23" t="str">
        <f>HYPERLINK("https://www.spark-marketing.ru/Card/Person/49350", "МОУ СШ № 112")</f>
        <v>МОУ СШ № 112</v>
      </c>
      <c r="B12668" s="24" t="s">
        <v>17143</v>
      </c>
      <c r="C12668" s="25">
        <v>4788320</v>
      </c>
      <c r="D12668" s="22" t="s">
        <v>17142</v>
      </c>
      <c r="E12668" s="22" t="s">
        <v>48</v>
      </c>
      <c r="F12668" s="23" t="str">
        <f t="shared" si="414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668" s="22" t="s">
        <v>158</v>
      </c>
      <c r="H12668" s="22" t="s">
        <v>158</v>
      </c>
      <c r="I12668" s="26">
        <v>43663.695138888899</v>
      </c>
      <c r="J12668" s="28" t="s">
        <v>51</v>
      </c>
      <c r="K12668" s="28" t="s">
        <v>51</v>
      </c>
      <c r="L12668" s="28" t="s">
        <v>51</v>
      </c>
      <c r="M12668" s="28" t="s">
        <v>51</v>
      </c>
      <c r="N12668" s="28" t="s">
        <v>51</v>
      </c>
    </row>
    <row r="12669" spans="1:14" hidden="1" outlineLevel="1" x14ac:dyDescent="0.15">
      <c r="A12669" s="23" t="str">
        <f>HYPERLINK("https://www.spark-marketing.ru/Card/Person/67600", "МОУ СШ № 56")</f>
        <v>МОУ СШ № 56</v>
      </c>
      <c r="B12669" s="24" t="s">
        <v>17144</v>
      </c>
      <c r="C12669" s="25">
        <v>5761230</v>
      </c>
      <c r="D12669" s="22" t="s">
        <v>17142</v>
      </c>
      <c r="E12669" s="22" t="s">
        <v>48</v>
      </c>
      <c r="F12669" s="23" t="str">
        <f t="shared" si="414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669" s="22" t="s">
        <v>158</v>
      </c>
      <c r="H12669" s="22" t="s">
        <v>158</v>
      </c>
      <c r="I12669" s="26">
        <v>43663.695138888899</v>
      </c>
      <c r="J12669" s="28" t="s">
        <v>51</v>
      </c>
      <c r="K12669" s="28" t="s">
        <v>51</v>
      </c>
      <c r="L12669" s="28" t="s">
        <v>51</v>
      </c>
      <c r="M12669" s="28" t="s">
        <v>51</v>
      </c>
      <c r="N12669" s="28" t="s">
        <v>51</v>
      </c>
    </row>
    <row r="12670" spans="1:14" hidden="1" outlineLevel="1" x14ac:dyDescent="0.15">
      <c r="A12670" s="23" t="str">
        <f>HYPERLINK("https://www.spark-marketing.ru/Card/Person/142713", "МОУ ОШ № 59")</f>
        <v>МОУ ОШ № 59</v>
      </c>
      <c r="B12670" s="24" t="s">
        <v>17145</v>
      </c>
      <c r="C12670" s="25">
        <v>5007580</v>
      </c>
      <c r="D12670" s="22" t="s">
        <v>17142</v>
      </c>
      <c r="E12670" s="22" t="s">
        <v>48</v>
      </c>
      <c r="F12670" s="23" t="str">
        <f t="shared" si="414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670" s="22" t="s">
        <v>158</v>
      </c>
      <c r="H12670" s="22" t="s">
        <v>158</v>
      </c>
      <c r="I12670" s="26">
        <v>43663.695138888899</v>
      </c>
      <c r="J12670" s="28" t="s">
        <v>51</v>
      </c>
      <c r="K12670" s="28" t="s">
        <v>51</v>
      </c>
      <c r="L12670" s="28" t="s">
        <v>51</v>
      </c>
      <c r="M12670" s="28" t="s">
        <v>51</v>
      </c>
      <c r="N12670" s="28" t="s">
        <v>51</v>
      </c>
    </row>
    <row r="12671" spans="1:14" hidden="1" outlineLevel="1" x14ac:dyDescent="0.2">
      <c r="A12671" s="28" t="s">
        <v>51</v>
      </c>
      <c r="B12671" s="28" t="s">
        <v>51</v>
      </c>
      <c r="C12671" s="28" t="s">
        <v>51</v>
      </c>
      <c r="D12671" s="22" t="s">
        <v>17142</v>
      </c>
      <c r="E12671" s="22" t="s">
        <v>48</v>
      </c>
      <c r="F12671" s="23" t="str">
        <f t="shared" si="414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671" s="22" t="s">
        <v>51</v>
      </c>
      <c r="H12671" s="22" t="s">
        <v>51</v>
      </c>
      <c r="I12671" s="26">
        <v>43663.695138888899</v>
      </c>
      <c r="J12671" s="23" t="str">
        <f>HYPERLINK("https://www.spark-marketing.ru/Card/Person/119200", "ООО ""ВЕНЕРА""")</f>
        <v>ООО "ВЕНЕРА"</v>
      </c>
      <c r="K12671" s="24" t="s">
        <v>16525</v>
      </c>
      <c r="L12671" s="28" t="s">
        <v>51</v>
      </c>
      <c r="M12671" s="25">
        <v>15557130</v>
      </c>
      <c r="N12671" s="27">
        <v>0</v>
      </c>
    </row>
    <row r="12672" spans="1:14" hidden="1" outlineLevel="1" x14ac:dyDescent="0.2">
      <c r="A12672" s="28" t="s">
        <v>51</v>
      </c>
      <c r="B12672" s="28" t="s">
        <v>51</v>
      </c>
      <c r="C12672" s="28" t="s">
        <v>51</v>
      </c>
      <c r="D12672" s="22" t="s">
        <v>17142</v>
      </c>
      <c r="E12672" s="22" t="s">
        <v>48</v>
      </c>
      <c r="F12672" s="23" t="str">
        <f t="shared" si="414"/>
        <v>Оказание услуг общественного питания обучающихся  на базе муниципальных общеобразовательных учреждений Кировского района Волгограда в учебный и каникулярный  период 2019-2021гг.</v>
      </c>
      <c r="G12672" s="22" t="s">
        <v>51</v>
      </c>
      <c r="H12672" s="22" t="s">
        <v>51</v>
      </c>
      <c r="I12672" s="26">
        <v>43663.695138888899</v>
      </c>
      <c r="J12672" s="23" t="str">
        <f>HYPERLINK("https://www.spark-marketing.ru/Card/Person/520670", "ООО ""СОЮЗ К""")</f>
        <v>ООО "СОЮЗ К"</v>
      </c>
      <c r="K12672" s="24" t="s">
        <v>10035</v>
      </c>
      <c r="L12672" s="22" t="s">
        <v>10</v>
      </c>
      <c r="M12672" s="25">
        <v>14934844.800000001</v>
      </c>
      <c r="N12672" s="27">
        <v>0.04</v>
      </c>
    </row>
    <row r="12673" spans="1:14" x14ac:dyDescent="0.15">
      <c r="A12673" s="23" t="str">
        <f>HYPERLINK("https://www.spark-marketing.ru/Card/Person/135615", "ГБУ СО РК ""ЦЕНТР ПОМОЩИ ДЕТЯМ ""НАДЕЖДА""")</f>
        <v>ГБУ СО РК "ЦЕНТР ПОМОЩИ ДЕТЯМ "НАДЕЖДА"</v>
      </c>
      <c r="B12673" s="24" t="s">
        <v>16983</v>
      </c>
      <c r="C12673" s="25">
        <v>52569.3</v>
      </c>
      <c r="D12673" s="22" t="s">
        <v>17146</v>
      </c>
      <c r="E12673" s="22" t="s">
        <v>48</v>
      </c>
      <c r="F12673" s="23" t="str">
        <f>HYPERLINK("https://www.spark-marketing.ru/Card/Lot/72159274", "Оказание услуг по организации горячего питания для воспитанников отделения социальной реабилитации в полустационарной форме ГБУ СО РК ""Центр помощи детям ""Надежда"", расположенного по адресу: Республика Карелия, г. Петрозаводск, ул. Жуковского, д. ...")</f>
        <v>Оказание услуг по организации горячего питания для воспитанников отделения социальной реабилитации в полустационарной форме ГБУ СО РК "Центр помощи детям "Надежда", расположенного по адресу: Республика Карелия, г. Петрозаводск, ул. Жуковского, д. ...</v>
      </c>
      <c r="G12673" s="22" t="s">
        <v>59</v>
      </c>
      <c r="H12673" s="22" t="s">
        <v>314</v>
      </c>
      <c r="I12673" s="26">
        <v>43663.692858796298</v>
      </c>
      <c r="J12673" s="23" t="str">
        <f>HYPERLINK("https://www.spark-marketing.ru/Card/Person/61318", "ООО ""СЕВЕРПРОДУКТ""")</f>
        <v>ООО "СЕВЕРПРОДУКТ"</v>
      </c>
      <c r="K12673" s="24" t="s">
        <v>6634</v>
      </c>
      <c r="L12673" s="22" t="s">
        <v>10</v>
      </c>
      <c r="M12673" s="28" t="s">
        <v>51</v>
      </c>
      <c r="N12673" s="28" t="s">
        <v>51</v>
      </c>
    </row>
    <row r="12674" spans="1:14" x14ac:dyDescent="0.15">
      <c r="A12674" s="23" t="str">
        <f>HYPERLINK("https://www.spark-marketing.ru/Card/Person/65660", "ГАУ СШОР ЗВС")</f>
        <v>ГАУ СШОР ЗВС</v>
      </c>
      <c r="B12674" s="24" t="s">
        <v>17147</v>
      </c>
      <c r="C12674" s="25">
        <v>210000</v>
      </c>
      <c r="D12674" s="22" t="s">
        <v>17148</v>
      </c>
      <c r="E12674" s="22" t="s">
        <v>362</v>
      </c>
      <c r="F12674" s="23" t="str">
        <f>HYPERLINK("https://www.spark-marketing.ru/Card/Lot/72165935", "Услуги по организации питания детей, посещающих летний оздоровительный лагерь при ГАУ СШОР ЗВС")</f>
        <v>Услуги по организации питания детей, посещающих летний оздоровительный лагерь при ГАУ СШОР ЗВС</v>
      </c>
      <c r="G12674" s="22" t="s">
        <v>260</v>
      </c>
      <c r="H12674" s="22" t="s">
        <v>260</v>
      </c>
      <c r="I12674" s="26">
        <v>43663.668368055602</v>
      </c>
      <c r="J12674" s="28" t="s">
        <v>51</v>
      </c>
      <c r="K12674" s="28" t="s">
        <v>51</v>
      </c>
      <c r="L12674" s="28" t="s">
        <v>51</v>
      </c>
      <c r="M12674" s="28" t="s">
        <v>51</v>
      </c>
      <c r="N12674" s="28" t="s">
        <v>51</v>
      </c>
    </row>
    <row r="12675" spans="1:14" collapsed="1" x14ac:dyDescent="0.15">
      <c r="A12675" s="23" t="str">
        <f>HYPERLINK("https://www.spark-marketing.ru/Card/Person/36397", "ТФОМС СВЕРДЛОВСКОЙ ОБЛАСТИ")</f>
        <v>ТФОМС СВЕРДЛОВСКОЙ ОБЛАСТИ</v>
      </c>
      <c r="B12675" s="24" t="s">
        <v>17149</v>
      </c>
      <c r="C12675" s="25">
        <v>407200</v>
      </c>
      <c r="D12675" s="22" t="s">
        <v>17150</v>
      </c>
      <c r="E12675" s="22" t="s">
        <v>355</v>
      </c>
      <c r="F12675" s="23" t="str">
        <f>HYPERLINK("https://www.spark-marketing.ru/Card/Lot/72159806", "Оказание услуг по техническому обслуживанию имеющихся у Заказчика источников бесперебойного питания")</f>
        <v>Оказание услуг по техническому обслуживанию имеющихся у Заказчика источников бесперебойного питания</v>
      </c>
      <c r="G12675" s="22" t="s">
        <v>174</v>
      </c>
      <c r="H12675" s="22" t="s">
        <v>174</v>
      </c>
      <c r="I12675" s="26">
        <v>43663.690567129597</v>
      </c>
      <c r="J12675" s="28" t="s">
        <v>51</v>
      </c>
      <c r="K12675" s="28" t="s">
        <v>51</v>
      </c>
      <c r="L12675" s="28" t="s">
        <v>51</v>
      </c>
      <c r="M12675" s="28" t="s">
        <v>51</v>
      </c>
      <c r="N12675" s="28" t="s">
        <v>51</v>
      </c>
    </row>
    <row r="12676" spans="1:14" hidden="1" outlineLevel="1" x14ac:dyDescent="0.2">
      <c r="A12676" s="23" t="str">
        <f>HYPERLINK("https://www.spark-marketing.ru/Card/Person/36397", "ТФОМС СВЕРДЛОВСКОЙ ОБЛАСТИ")</f>
        <v>ТФОМС СВЕРДЛОВСКОЙ ОБЛАСТИ</v>
      </c>
      <c r="B12676" s="24" t="s">
        <v>17149</v>
      </c>
      <c r="C12676" s="25">
        <v>407200</v>
      </c>
      <c r="D12676" s="22" t="s">
        <v>17150</v>
      </c>
      <c r="E12676" s="22" t="s">
        <v>355</v>
      </c>
      <c r="F12676" s="23" t="str">
        <f>HYPERLINK("https://www.spark-marketing.ru/Card/Lot/72159806", "Оказание услуг по техническому обслуживанию имеющихся у Заказчика источников бесперебойного питания")</f>
        <v>Оказание услуг по техническому обслуживанию имеющихся у Заказчика источников бесперебойного питания</v>
      </c>
      <c r="G12676" s="22" t="s">
        <v>174</v>
      </c>
      <c r="H12676" s="22" t="s">
        <v>174</v>
      </c>
      <c r="I12676" s="26">
        <v>43663.690567129597</v>
      </c>
      <c r="J12676" s="23" t="str">
        <f>HYPERLINK("https://www.spark-marketing.ru/Card/Person/6542115", "Крохин Андрей Викторович")</f>
        <v>Крохин Андрей Викторович</v>
      </c>
      <c r="K12676" s="24" t="s">
        <v>17151</v>
      </c>
      <c r="L12676" s="28" t="s">
        <v>51</v>
      </c>
      <c r="M12676" s="25">
        <v>280600</v>
      </c>
      <c r="N12676" s="27">
        <v>0.31090373280943023</v>
      </c>
    </row>
    <row r="12677" spans="1:14" ht="12.75" hidden="1" outlineLevel="1" x14ac:dyDescent="0.2">
      <c r="A12677" s="23" t="str">
        <f>HYPERLINK("https://www.spark-marketing.ru/Card/Person/36397", "ТФОМС СВЕРДЛОВСКОЙ ОБЛАСТИ")</f>
        <v>ТФОМС СВЕРДЛОВСКОЙ ОБЛАСТИ</v>
      </c>
      <c r="B12677" s="24" t="s">
        <v>17149</v>
      </c>
      <c r="C12677" s="25">
        <v>407200</v>
      </c>
      <c r="D12677" s="22" t="s">
        <v>17150</v>
      </c>
      <c r="E12677" s="22" t="s">
        <v>355</v>
      </c>
      <c r="F12677" s="23" t="str">
        <f>HYPERLINK("https://www.spark-marketing.ru/Card/Lot/72159806", "Оказание услуг по техническому обслуживанию имеющихся у Заказчика источников бесперебойного питания")</f>
        <v>Оказание услуг по техническому обслуживанию имеющихся у Заказчика источников бесперебойного питания</v>
      </c>
      <c r="G12677" s="22" t="s">
        <v>174</v>
      </c>
      <c r="H12677" s="22" t="s">
        <v>174</v>
      </c>
      <c r="I12677" s="26">
        <v>43663.690567129597</v>
      </c>
      <c r="J12677" s="23" t="str">
        <f>HYPERLINK("https://www.spark-marketing.ru/Card/Person/4539278", "ООО ""КОРУС СЕРВИС""")</f>
        <v>ООО "КОРУС СЕРВИС"</v>
      </c>
      <c r="K12677" s="24" t="s">
        <v>17152</v>
      </c>
      <c r="L12677" s="22" t="s">
        <v>10</v>
      </c>
      <c r="M12677" s="25">
        <v>278564</v>
      </c>
      <c r="N12677" s="27">
        <v>0.31590373280943024</v>
      </c>
    </row>
    <row r="12678" spans="1:14" collapsed="1" x14ac:dyDescent="0.15">
      <c r="A12678" s="23" t="s">
        <v>114</v>
      </c>
      <c r="B12678" s="28" t="s">
        <v>51</v>
      </c>
      <c r="C12678" s="25">
        <v>8916075</v>
      </c>
      <c r="D12678" s="22" t="s">
        <v>17153</v>
      </c>
      <c r="E12678" s="22" t="s">
        <v>48</v>
      </c>
      <c r="F12678" s="23" t="str">
        <f t="shared" ref="F12678:F12698" si="415">HYPERLINK("https://www.spark-marketing.ru/Card/Lot/72162787", "Оказание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года")</f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78" s="22" t="s">
        <v>51</v>
      </c>
      <c r="H12678" s="22" t="s">
        <v>51</v>
      </c>
      <c r="I12678" s="26">
        <v>43663.7055555556</v>
      </c>
      <c r="J12678" s="28" t="s">
        <v>51</v>
      </c>
      <c r="K12678" s="28" t="s">
        <v>51</v>
      </c>
      <c r="L12678" s="28" t="s">
        <v>51</v>
      </c>
      <c r="M12678" s="28" t="s">
        <v>51</v>
      </c>
      <c r="N12678" s="28" t="s">
        <v>51</v>
      </c>
    </row>
    <row r="12679" spans="1:14" hidden="1" outlineLevel="1" x14ac:dyDescent="0.15">
      <c r="A12679" s="23" t="str">
        <f>HYPERLINK("https://www.spark-marketing.ru/Card/Person/128713", "МОУ ""ВСОШ №3""")</f>
        <v>МОУ "ВСОШ №3"</v>
      </c>
      <c r="B12679" s="24" t="s">
        <v>17154</v>
      </c>
      <c r="C12679" s="25">
        <v>1116220</v>
      </c>
      <c r="D12679" s="22" t="s">
        <v>17153</v>
      </c>
      <c r="E12679" s="22" t="s">
        <v>48</v>
      </c>
      <c r="F12679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79" s="22" t="s">
        <v>49</v>
      </c>
      <c r="H12679" s="22" t="s">
        <v>15293</v>
      </c>
      <c r="I12679" s="26">
        <v>43663.7055555556</v>
      </c>
      <c r="J12679" s="28" t="s">
        <v>51</v>
      </c>
      <c r="K12679" s="28" t="s">
        <v>51</v>
      </c>
      <c r="L12679" s="28" t="s">
        <v>51</v>
      </c>
      <c r="M12679" s="28" t="s">
        <v>51</v>
      </c>
      <c r="N12679" s="28" t="s">
        <v>51</v>
      </c>
    </row>
    <row r="12680" spans="1:14" hidden="1" outlineLevel="1" x14ac:dyDescent="0.15">
      <c r="A12680" s="23" t="str">
        <f>HYPERLINK("https://www.spark-marketing.ru/Card/Person/147850", "МОУ ""ДЕТГОРОДКОВСКАЯ СОШ""")</f>
        <v>МОУ "ДЕТГОРОДКОВСКАЯ СОШ"</v>
      </c>
      <c r="B12680" s="24" t="s">
        <v>17155</v>
      </c>
      <c r="C12680" s="25">
        <v>468027</v>
      </c>
      <c r="D12680" s="22" t="s">
        <v>17153</v>
      </c>
      <c r="E12680" s="22" t="s">
        <v>48</v>
      </c>
      <c r="F12680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80" s="22" t="s">
        <v>49</v>
      </c>
      <c r="H12680" s="22" t="s">
        <v>15293</v>
      </c>
      <c r="I12680" s="26">
        <v>43663.7055555556</v>
      </c>
      <c r="J12680" s="28" t="s">
        <v>51</v>
      </c>
      <c r="K12680" s="28" t="s">
        <v>51</v>
      </c>
      <c r="L12680" s="28" t="s">
        <v>51</v>
      </c>
      <c r="M12680" s="28" t="s">
        <v>51</v>
      </c>
      <c r="N12680" s="28" t="s">
        <v>51</v>
      </c>
    </row>
    <row r="12681" spans="1:14" hidden="1" outlineLevel="1" x14ac:dyDescent="0.15">
      <c r="A12681" s="23" t="str">
        <f>HYPERLINK("https://www.spark-marketing.ru/Card/Person/149512", "МОУ ""ГИМНАЗИЯ № 1 Г. ВОЛОКОЛАМСКА""")</f>
        <v>МОУ "ГИМНАЗИЯ № 1 Г. ВОЛОКОЛАМСКА"</v>
      </c>
      <c r="B12681" s="24" t="s">
        <v>17156</v>
      </c>
      <c r="C12681" s="25">
        <v>1283653</v>
      </c>
      <c r="D12681" s="22" t="s">
        <v>17153</v>
      </c>
      <c r="E12681" s="22" t="s">
        <v>48</v>
      </c>
      <c r="F12681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81" s="22" t="s">
        <v>49</v>
      </c>
      <c r="H12681" s="22" t="s">
        <v>15293</v>
      </c>
      <c r="I12681" s="26">
        <v>43663.7055555556</v>
      </c>
      <c r="J12681" s="28" t="s">
        <v>51</v>
      </c>
      <c r="K12681" s="28" t="s">
        <v>51</v>
      </c>
      <c r="L12681" s="28" t="s">
        <v>51</v>
      </c>
      <c r="M12681" s="28" t="s">
        <v>51</v>
      </c>
      <c r="N12681" s="28" t="s">
        <v>51</v>
      </c>
    </row>
    <row r="12682" spans="1:14" hidden="1" outlineLevel="1" x14ac:dyDescent="0.15">
      <c r="A12682" s="23" t="str">
        <f>HYPERLINK("https://www.spark-marketing.ru/Card/Person/244306", "МОУ ""ВСОШ № 2""")</f>
        <v>МОУ "ВСОШ № 2"</v>
      </c>
      <c r="B12682" s="24" t="s">
        <v>17157</v>
      </c>
      <c r="C12682" s="25">
        <v>959616</v>
      </c>
      <c r="D12682" s="22" t="s">
        <v>17153</v>
      </c>
      <c r="E12682" s="22" t="s">
        <v>48</v>
      </c>
      <c r="F12682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82" s="22" t="s">
        <v>49</v>
      </c>
      <c r="H12682" s="22" t="s">
        <v>15293</v>
      </c>
      <c r="I12682" s="26">
        <v>43663.7055555556</v>
      </c>
      <c r="J12682" s="28" t="s">
        <v>51</v>
      </c>
      <c r="K12682" s="28" t="s">
        <v>51</v>
      </c>
      <c r="L12682" s="28" t="s">
        <v>51</v>
      </c>
      <c r="M12682" s="28" t="s">
        <v>51</v>
      </c>
      <c r="N12682" s="28" t="s">
        <v>51</v>
      </c>
    </row>
    <row r="12683" spans="1:14" hidden="1" outlineLevel="1" x14ac:dyDescent="0.15">
      <c r="A12683" s="23" t="str">
        <f>HYPERLINK("https://www.spark-marketing.ru/Card/Person/1032706", """ВНОШ №4""")</f>
        <v>"ВНОШ №4"</v>
      </c>
      <c r="B12683" s="24" t="s">
        <v>17158</v>
      </c>
      <c r="C12683" s="25">
        <v>143514</v>
      </c>
      <c r="D12683" s="22" t="s">
        <v>17153</v>
      </c>
      <c r="E12683" s="22" t="s">
        <v>48</v>
      </c>
      <c r="F12683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83" s="22" t="s">
        <v>49</v>
      </c>
      <c r="H12683" s="22" t="s">
        <v>15293</v>
      </c>
      <c r="I12683" s="26">
        <v>43663.7055555556</v>
      </c>
      <c r="J12683" s="28" t="s">
        <v>51</v>
      </c>
      <c r="K12683" s="28" t="s">
        <v>51</v>
      </c>
      <c r="L12683" s="28" t="s">
        <v>51</v>
      </c>
      <c r="M12683" s="28" t="s">
        <v>51</v>
      </c>
      <c r="N12683" s="28" t="s">
        <v>51</v>
      </c>
    </row>
    <row r="12684" spans="1:14" hidden="1" outlineLevel="1" x14ac:dyDescent="0.15">
      <c r="A12684" s="23" t="str">
        <f>HYPERLINK("https://www.spark-marketing.ru/Card/Person/1033006", "МОУ ""ШЕСТАКОВСКАЯ ООШ""")</f>
        <v>МОУ "ШЕСТАКОВСКАЯ ООШ"</v>
      </c>
      <c r="B12684" s="24" t="s">
        <v>17159</v>
      </c>
      <c r="C12684" s="25">
        <v>304164</v>
      </c>
      <c r="D12684" s="22" t="s">
        <v>17153</v>
      </c>
      <c r="E12684" s="22" t="s">
        <v>48</v>
      </c>
      <c r="F12684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84" s="22" t="s">
        <v>49</v>
      </c>
      <c r="H12684" s="22" t="s">
        <v>15293</v>
      </c>
      <c r="I12684" s="26">
        <v>43663.7055555556</v>
      </c>
      <c r="J12684" s="28" t="s">
        <v>51</v>
      </c>
      <c r="K12684" s="28" t="s">
        <v>51</v>
      </c>
      <c r="L12684" s="28" t="s">
        <v>51</v>
      </c>
      <c r="M12684" s="28" t="s">
        <v>51</v>
      </c>
      <c r="N12684" s="28" t="s">
        <v>51</v>
      </c>
    </row>
    <row r="12685" spans="1:14" hidden="1" outlineLevel="1" x14ac:dyDescent="0.15">
      <c r="A12685" s="23" t="str">
        <f>HYPERLINK("https://www.spark-marketing.ru/Card/Person/1033067", """ВНШ №5""")</f>
        <v>"ВНШ №5"</v>
      </c>
      <c r="B12685" s="24" t="s">
        <v>17160</v>
      </c>
      <c r="C12685" s="25">
        <v>223244</v>
      </c>
      <c r="D12685" s="22" t="s">
        <v>17153</v>
      </c>
      <c r="E12685" s="22" t="s">
        <v>48</v>
      </c>
      <c r="F12685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85" s="22" t="s">
        <v>49</v>
      </c>
      <c r="H12685" s="22" t="s">
        <v>15293</v>
      </c>
      <c r="I12685" s="26">
        <v>43663.7055555556</v>
      </c>
      <c r="J12685" s="28" t="s">
        <v>51</v>
      </c>
      <c r="K12685" s="28" t="s">
        <v>51</v>
      </c>
      <c r="L12685" s="28" t="s">
        <v>51</v>
      </c>
      <c r="M12685" s="28" t="s">
        <v>51</v>
      </c>
      <c r="N12685" s="28" t="s">
        <v>51</v>
      </c>
    </row>
    <row r="12686" spans="1:14" hidden="1" outlineLevel="1" x14ac:dyDescent="0.15">
      <c r="A12686" s="23" t="str">
        <f>HYPERLINK("https://www.spark-marketing.ru/Card/Person/1044732", "МОУ ""КЛИШИНСКАЯ ООШ""")</f>
        <v>МОУ "КЛИШИНСКАЯ ООШ"</v>
      </c>
      <c r="B12686" s="24" t="s">
        <v>17161</v>
      </c>
      <c r="C12686" s="25">
        <v>106743</v>
      </c>
      <c r="D12686" s="22" t="s">
        <v>17153</v>
      </c>
      <c r="E12686" s="22" t="s">
        <v>48</v>
      </c>
      <c r="F12686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86" s="22" t="s">
        <v>49</v>
      </c>
      <c r="H12686" s="22" t="s">
        <v>15293</v>
      </c>
      <c r="I12686" s="26">
        <v>43663.7055555556</v>
      </c>
      <c r="J12686" s="28" t="s">
        <v>51</v>
      </c>
      <c r="K12686" s="28" t="s">
        <v>51</v>
      </c>
      <c r="L12686" s="28" t="s">
        <v>51</v>
      </c>
      <c r="M12686" s="28" t="s">
        <v>51</v>
      </c>
      <c r="N12686" s="28" t="s">
        <v>51</v>
      </c>
    </row>
    <row r="12687" spans="1:14" hidden="1" outlineLevel="1" x14ac:dyDescent="0.15">
      <c r="A12687" s="23" t="str">
        <f>HYPERLINK("https://www.spark-marketing.ru/Card/Person/1047705", "МОУ ""ЯРОПОЛЕЦКАЯ СОШ""")</f>
        <v>МОУ "ЯРОПОЛЕЦКАЯ СОШ"</v>
      </c>
      <c r="B12687" s="24" t="s">
        <v>17162</v>
      </c>
      <c r="C12687" s="25">
        <v>428400</v>
      </c>
      <c r="D12687" s="22" t="s">
        <v>17153</v>
      </c>
      <c r="E12687" s="22" t="s">
        <v>48</v>
      </c>
      <c r="F12687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87" s="22" t="s">
        <v>49</v>
      </c>
      <c r="H12687" s="22" t="s">
        <v>15293</v>
      </c>
      <c r="I12687" s="26">
        <v>43663.7055555556</v>
      </c>
      <c r="J12687" s="28" t="s">
        <v>51</v>
      </c>
      <c r="K12687" s="28" t="s">
        <v>51</v>
      </c>
      <c r="L12687" s="28" t="s">
        <v>51</v>
      </c>
      <c r="M12687" s="28" t="s">
        <v>51</v>
      </c>
      <c r="N12687" s="28" t="s">
        <v>51</v>
      </c>
    </row>
    <row r="12688" spans="1:14" hidden="1" outlineLevel="1" x14ac:dyDescent="0.15">
      <c r="A12688" s="23" t="str">
        <f>HYPERLINK("https://www.spark-marketing.ru/Card/Person/1047878", "МОУ ""ПОРОХОВСКАЯ ООШ""")</f>
        <v>МОУ "ПОРОХОВСКАЯ ООШ"</v>
      </c>
      <c r="B12688" s="24" t="s">
        <v>17163</v>
      </c>
      <c r="C12688" s="25">
        <v>412692</v>
      </c>
      <c r="D12688" s="22" t="s">
        <v>17153</v>
      </c>
      <c r="E12688" s="22" t="s">
        <v>48</v>
      </c>
      <c r="F12688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88" s="22" t="s">
        <v>49</v>
      </c>
      <c r="H12688" s="22" t="s">
        <v>15293</v>
      </c>
      <c r="I12688" s="26">
        <v>43663.7055555556</v>
      </c>
      <c r="J12688" s="28" t="s">
        <v>51</v>
      </c>
      <c r="K12688" s="28" t="s">
        <v>51</v>
      </c>
      <c r="L12688" s="28" t="s">
        <v>51</v>
      </c>
      <c r="M12688" s="28" t="s">
        <v>51</v>
      </c>
      <c r="N12688" s="28" t="s">
        <v>51</v>
      </c>
    </row>
    <row r="12689" spans="1:14" hidden="1" outlineLevel="1" x14ac:dyDescent="0.15">
      <c r="A12689" s="23" t="str">
        <f>HYPERLINK("https://www.spark-marketing.ru/Card/Person/1047913", "МОУ ""СПАССКАЯ СОШ""")</f>
        <v>МОУ "СПАССКАЯ СОШ"</v>
      </c>
      <c r="B12689" s="24" t="s">
        <v>17164</v>
      </c>
      <c r="C12689" s="25">
        <v>558110</v>
      </c>
      <c r="D12689" s="22" t="s">
        <v>17153</v>
      </c>
      <c r="E12689" s="22" t="s">
        <v>48</v>
      </c>
      <c r="F12689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89" s="22" t="s">
        <v>49</v>
      </c>
      <c r="H12689" s="22" t="s">
        <v>15293</v>
      </c>
      <c r="I12689" s="26">
        <v>43663.7055555556</v>
      </c>
      <c r="J12689" s="28" t="s">
        <v>51</v>
      </c>
      <c r="K12689" s="28" t="s">
        <v>51</v>
      </c>
      <c r="L12689" s="28" t="s">
        <v>51</v>
      </c>
      <c r="M12689" s="28" t="s">
        <v>51</v>
      </c>
      <c r="N12689" s="28" t="s">
        <v>51</v>
      </c>
    </row>
    <row r="12690" spans="1:14" hidden="1" outlineLevel="1" x14ac:dyDescent="0.15">
      <c r="A12690" s="23" t="str">
        <f>HYPERLINK("https://www.spark-marketing.ru/Card/Person/1049031", "МОУ ""СЫЧЕВСКАЯ СОШ""")</f>
        <v>МОУ "СЫЧЕВСКАЯ СОШ"</v>
      </c>
      <c r="B12690" s="24" t="s">
        <v>17165</v>
      </c>
      <c r="C12690" s="25">
        <v>557634</v>
      </c>
      <c r="D12690" s="22" t="s">
        <v>17153</v>
      </c>
      <c r="E12690" s="22" t="s">
        <v>48</v>
      </c>
      <c r="F12690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90" s="22" t="s">
        <v>49</v>
      </c>
      <c r="H12690" s="22" t="s">
        <v>15293</v>
      </c>
      <c r="I12690" s="26">
        <v>43663.7055555556</v>
      </c>
      <c r="J12690" s="28" t="s">
        <v>51</v>
      </c>
      <c r="K12690" s="28" t="s">
        <v>51</v>
      </c>
      <c r="L12690" s="28" t="s">
        <v>51</v>
      </c>
      <c r="M12690" s="28" t="s">
        <v>51</v>
      </c>
      <c r="N12690" s="28" t="s">
        <v>51</v>
      </c>
    </row>
    <row r="12691" spans="1:14" hidden="1" outlineLevel="1" x14ac:dyDescent="0.15">
      <c r="A12691" s="23" t="str">
        <f>HYPERLINK("https://www.spark-marketing.ru/Card/Person/1056001", "МОУ ""ОСТАШЕВСКАЯ СОШ""")</f>
        <v>МОУ "ОСТАШЕВСКАЯ СОШ"</v>
      </c>
      <c r="B12691" s="24" t="s">
        <v>17166</v>
      </c>
      <c r="C12691" s="25">
        <v>831096</v>
      </c>
      <c r="D12691" s="22" t="s">
        <v>17153</v>
      </c>
      <c r="E12691" s="22" t="s">
        <v>48</v>
      </c>
      <c r="F12691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91" s="22" t="s">
        <v>49</v>
      </c>
      <c r="H12691" s="22" t="s">
        <v>15293</v>
      </c>
      <c r="I12691" s="26">
        <v>43663.7055555556</v>
      </c>
      <c r="J12691" s="28" t="s">
        <v>51</v>
      </c>
      <c r="K12691" s="28" t="s">
        <v>51</v>
      </c>
      <c r="L12691" s="28" t="s">
        <v>51</v>
      </c>
      <c r="M12691" s="28" t="s">
        <v>51</v>
      </c>
      <c r="N12691" s="28" t="s">
        <v>51</v>
      </c>
    </row>
    <row r="12692" spans="1:14" hidden="1" outlineLevel="1" x14ac:dyDescent="0.15">
      <c r="A12692" s="23" t="str">
        <f>HYPERLINK("https://www.spark-marketing.ru/Card/Person/1056487", "МОУ ""КАШИНСКАЯ ООШ""")</f>
        <v>МОУ "КАШИНСКАЯ ООШ"</v>
      </c>
      <c r="B12692" s="24" t="s">
        <v>17167</v>
      </c>
      <c r="C12692" s="25">
        <v>382704</v>
      </c>
      <c r="D12692" s="22" t="s">
        <v>17153</v>
      </c>
      <c r="E12692" s="22" t="s">
        <v>48</v>
      </c>
      <c r="F12692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92" s="22" t="s">
        <v>49</v>
      </c>
      <c r="H12692" s="22" t="s">
        <v>15293</v>
      </c>
      <c r="I12692" s="26">
        <v>43663.7055555556</v>
      </c>
      <c r="J12692" s="28" t="s">
        <v>51</v>
      </c>
      <c r="K12692" s="28" t="s">
        <v>51</v>
      </c>
      <c r="L12692" s="28" t="s">
        <v>51</v>
      </c>
      <c r="M12692" s="28" t="s">
        <v>51</v>
      </c>
      <c r="N12692" s="28" t="s">
        <v>51</v>
      </c>
    </row>
    <row r="12693" spans="1:14" hidden="1" outlineLevel="1" x14ac:dyDescent="0.15">
      <c r="A12693" s="23" t="str">
        <f>HYPERLINK("https://www.spark-marketing.ru/Card/Person/1058750", "МОУ ""ЧИСМЕНСКАЯ ООШ""")</f>
        <v>МОУ "ЧИСМЕНСКАЯ ООШ"</v>
      </c>
      <c r="B12693" s="24" t="s">
        <v>17168</v>
      </c>
      <c r="C12693" s="25">
        <v>299880</v>
      </c>
      <c r="D12693" s="22" t="s">
        <v>17153</v>
      </c>
      <c r="E12693" s="22" t="s">
        <v>48</v>
      </c>
      <c r="F12693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93" s="22" t="s">
        <v>49</v>
      </c>
      <c r="H12693" s="22" t="s">
        <v>15293</v>
      </c>
      <c r="I12693" s="26">
        <v>43663.7055555556</v>
      </c>
      <c r="J12693" s="28" t="s">
        <v>51</v>
      </c>
      <c r="K12693" s="28" t="s">
        <v>51</v>
      </c>
      <c r="L12693" s="28" t="s">
        <v>51</v>
      </c>
      <c r="M12693" s="28" t="s">
        <v>51</v>
      </c>
      <c r="N12693" s="28" t="s">
        <v>51</v>
      </c>
    </row>
    <row r="12694" spans="1:14" hidden="1" outlineLevel="1" x14ac:dyDescent="0.15">
      <c r="A12694" s="23" t="str">
        <f>HYPERLINK("https://www.spark-marketing.ru/Card/Person/1059045", "МОУ ""ПРИВОКЗАЛЬНАЯ СОШ""")</f>
        <v>МОУ "ПРИВОКЗАЛЬНАЯ СОШ"</v>
      </c>
      <c r="B12694" s="24" t="s">
        <v>17169</v>
      </c>
      <c r="C12694" s="25">
        <v>412692</v>
      </c>
      <c r="D12694" s="22" t="s">
        <v>17153</v>
      </c>
      <c r="E12694" s="22" t="s">
        <v>48</v>
      </c>
      <c r="F12694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94" s="22" t="s">
        <v>49</v>
      </c>
      <c r="H12694" s="22" t="s">
        <v>15293</v>
      </c>
      <c r="I12694" s="26">
        <v>43663.7055555556</v>
      </c>
      <c r="J12694" s="28" t="s">
        <v>51</v>
      </c>
      <c r="K12694" s="28" t="s">
        <v>51</v>
      </c>
      <c r="L12694" s="28" t="s">
        <v>51</v>
      </c>
      <c r="M12694" s="28" t="s">
        <v>51</v>
      </c>
      <c r="N12694" s="28" t="s">
        <v>51</v>
      </c>
    </row>
    <row r="12695" spans="1:14" hidden="1" outlineLevel="1" x14ac:dyDescent="0.15">
      <c r="A12695" s="23" t="str">
        <f>HYPERLINK("https://www.spark-marketing.ru/Card/Person/1059133", "МОУ ""БОЛЫЧЕВСКАЯ ООШ""")</f>
        <v>МОУ "БОЛЫЧЕВСКАЯ ООШ"</v>
      </c>
      <c r="B12695" s="24" t="s">
        <v>17170</v>
      </c>
      <c r="C12695" s="25">
        <v>239190</v>
      </c>
      <c r="D12695" s="22" t="s">
        <v>17153</v>
      </c>
      <c r="E12695" s="22" t="s">
        <v>48</v>
      </c>
      <c r="F12695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95" s="22" t="s">
        <v>49</v>
      </c>
      <c r="H12695" s="22" t="s">
        <v>15293</v>
      </c>
      <c r="I12695" s="26">
        <v>43663.7055555556</v>
      </c>
      <c r="J12695" s="28" t="s">
        <v>51</v>
      </c>
      <c r="K12695" s="28" t="s">
        <v>51</v>
      </c>
      <c r="L12695" s="28" t="s">
        <v>51</v>
      </c>
      <c r="M12695" s="28" t="s">
        <v>51</v>
      </c>
      <c r="N12695" s="28" t="s">
        <v>51</v>
      </c>
    </row>
    <row r="12696" spans="1:14" hidden="1" outlineLevel="1" x14ac:dyDescent="0.15">
      <c r="A12696" s="23" t="str">
        <f>HYPERLINK("https://www.spark-marketing.ru/Card/Person/1059601", "МОУ ""СУДНИКОВСКАЯ ООШ""")</f>
        <v>МОУ "СУДНИКОВСКАЯ ООШ"</v>
      </c>
      <c r="B12696" s="24" t="s">
        <v>17171</v>
      </c>
      <c r="C12696" s="25">
        <v>188496</v>
      </c>
      <c r="D12696" s="22" t="s">
        <v>17153</v>
      </c>
      <c r="E12696" s="22" t="s">
        <v>48</v>
      </c>
      <c r="F12696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96" s="22" t="s">
        <v>49</v>
      </c>
      <c r="H12696" s="22" t="s">
        <v>15293</v>
      </c>
      <c r="I12696" s="26">
        <v>43663.7055555556</v>
      </c>
      <c r="J12696" s="28" t="s">
        <v>51</v>
      </c>
      <c r="K12696" s="28" t="s">
        <v>51</v>
      </c>
      <c r="L12696" s="28" t="s">
        <v>51</v>
      </c>
      <c r="M12696" s="28" t="s">
        <v>51</v>
      </c>
      <c r="N12696" s="28" t="s">
        <v>51</v>
      </c>
    </row>
    <row r="12697" spans="1:14" hidden="1" outlineLevel="1" x14ac:dyDescent="0.2">
      <c r="A12697" s="28" t="s">
        <v>51</v>
      </c>
      <c r="B12697" s="28" t="s">
        <v>51</v>
      </c>
      <c r="C12697" s="28" t="s">
        <v>51</v>
      </c>
      <c r="D12697" s="22" t="s">
        <v>17153</v>
      </c>
      <c r="E12697" s="22" t="s">
        <v>48</v>
      </c>
      <c r="F12697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97" s="22" t="s">
        <v>51</v>
      </c>
      <c r="H12697" s="22" t="s">
        <v>51</v>
      </c>
      <c r="I12697" s="26">
        <v>43663.7055555556</v>
      </c>
      <c r="J12697" s="23" t="str">
        <f>HYPERLINK("https://www.spark-marketing.ru/Card/Person/233370", "Кушнер Инна Владимировна")</f>
        <v>Кушнер Инна Владимировна</v>
      </c>
      <c r="K12697" s="24" t="s">
        <v>15154</v>
      </c>
      <c r="L12697" s="28" t="s">
        <v>51</v>
      </c>
      <c r="M12697" s="25">
        <v>8916075</v>
      </c>
      <c r="N12697" s="27">
        <v>0</v>
      </c>
    </row>
    <row r="12698" spans="1:14" hidden="1" outlineLevel="1" x14ac:dyDescent="0.15">
      <c r="A12698" s="28" t="s">
        <v>51</v>
      </c>
      <c r="B12698" s="28" t="s">
        <v>51</v>
      </c>
      <c r="C12698" s="28" t="s">
        <v>51</v>
      </c>
      <c r="D12698" s="22" t="s">
        <v>17153</v>
      </c>
      <c r="E12698" s="22" t="s">
        <v>48</v>
      </c>
      <c r="F12698" s="23" t="str">
        <f t="shared" si="415"/>
        <v>Оказание услуг по организации питания детей (отдельных категорий обучающихся) для нужд общеобразовательных учреждений Волоколамского муниципального района на 2-ое полугодие 2019 года</v>
      </c>
      <c r="G12698" s="22" t="s">
        <v>51</v>
      </c>
      <c r="H12698" s="22" t="s">
        <v>51</v>
      </c>
      <c r="I12698" s="26">
        <v>43663.7055555556</v>
      </c>
      <c r="J12698" s="23" t="str">
        <f>HYPERLINK("https://www.spark-marketing.ru/Card/Person/4688348", "ООО ""КОМБИНАТ ПИТАНИЯ ""МК""")</f>
        <v>ООО "КОМБИНАТ ПИТАНИЯ "МК"</v>
      </c>
      <c r="K12698" s="24" t="s">
        <v>11806</v>
      </c>
      <c r="L12698" s="28" t="s">
        <v>51</v>
      </c>
      <c r="M12698" s="28" t="s">
        <v>51</v>
      </c>
      <c r="N12698" s="28" t="s">
        <v>51</v>
      </c>
    </row>
    <row r="12699" spans="1:14" x14ac:dyDescent="0.2">
      <c r="A12699" s="23" t="str">
        <f>HYPERLINK("https://www.spark-marketing.ru/Card/Person/72187", "МБОУ ""СШ №43""")</f>
        <v>МБОУ "СШ №43"</v>
      </c>
      <c r="B12699" s="24" t="s">
        <v>17172</v>
      </c>
      <c r="C12699" s="25">
        <v>19850032</v>
      </c>
      <c r="D12699" s="22" t="s">
        <v>17173</v>
      </c>
      <c r="E12699" s="22" t="s">
        <v>48</v>
      </c>
      <c r="F12699" s="23" t="str">
        <f>HYPERLINK("https://www.spark-marketing.ru/Card/Lot/72163983", "Оказание услуг по организации в 2019-2020 учебном году питания обучающихся муниципального бюджетного общеобразовательного учреждения ""Средняя школа № 43""")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 43"</v>
      </c>
      <c r="G12699" s="22" t="s">
        <v>97</v>
      </c>
      <c r="H12699" s="22" t="s">
        <v>97</v>
      </c>
      <c r="I12699" s="26">
        <v>43663.684027777803</v>
      </c>
      <c r="J12699" s="23" t="str">
        <f>HYPERLINK("https://www.spark-marketing.ru/Card/Person/1659813", "ООО ""КП""")</f>
        <v>ООО "КП"</v>
      </c>
      <c r="K12699" s="24" t="s">
        <v>16691</v>
      </c>
      <c r="L12699" s="28" t="s">
        <v>51</v>
      </c>
      <c r="M12699" s="25">
        <v>19850032</v>
      </c>
      <c r="N12699" s="27">
        <v>0</v>
      </c>
    </row>
    <row r="12700" spans="1:14" x14ac:dyDescent="0.15">
      <c r="A12700" s="23" t="str">
        <f>HYPERLINK("https://www.spark-marketing.ru/Card/Person/245748", "МО МВД РОССИИ ""КРАСНОЗЕРСКИЙ""")</f>
        <v>МО МВД РОССИИ "КРАСНОЗЕРСКИЙ"</v>
      </c>
      <c r="B12700" s="24" t="s">
        <v>5096</v>
      </c>
      <c r="C12700" s="25">
        <v>400000</v>
      </c>
      <c r="D12700" s="22" t="s">
        <v>17174</v>
      </c>
      <c r="E12700" s="22" t="s">
        <v>48</v>
      </c>
      <c r="F12700" s="23" t="str">
        <f>HYPERLINK("https://www.spark-marketing.ru/Card/Lot/72179923", "оказание услуг по приготовлении горячего питания для подозреваемых и обвиняемых содержащихся в изоляторе временного содержания, в том числе лиц арестованных, задержанных  в административном порядке и помещенных в МО МВД России ""Краснозерский""")</f>
        <v>оказание услуг по приготовлении горячего питания для подозреваемых и обвиняемых содержащихся в изоляторе временного содержания, в том числе лиц арестованных, задержанных  в административном порядке и помещенных в МО МВД России "Краснозерский"</v>
      </c>
      <c r="G12700" s="22" t="s">
        <v>195</v>
      </c>
      <c r="H12700" s="22" t="s">
        <v>5098</v>
      </c>
      <c r="I12700" s="26">
        <v>43663.6926157407</v>
      </c>
      <c r="J12700" s="28" t="s">
        <v>51</v>
      </c>
      <c r="K12700" s="28" t="s">
        <v>51</v>
      </c>
      <c r="L12700" s="28" t="s">
        <v>51</v>
      </c>
      <c r="M12700" s="28" t="s">
        <v>51</v>
      </c>
      <c r="N12700" s="28" t="s">
        <v>51</v>
      </c>
    </row>
    <row r="12701" spans="1:14" x14ac:dyDescent="0.15">
      <c r="A12701" s="23" t="str">
        <f>HYPERLINK("https://www.spark-marketing.ru/Card/Person/1046558", "МОУ ПЕРВОМАЙСКАЯ СОШ № 5")</f>
        <v>МОУ ПЕРВОМАЙСКАЯ СОШ № 5</v>
      </c>
      <c r="B12701" s="24" t="s">
        <v>17175</v>
      </c>
      <c r="C12701" s="25">
        <v>56160</v>
      </c>
      <c r="D12701" s="22" t="s">
        <v>17176</v>
      </c>
      <c r="E12701" s="22" t="s">
        <v>48</v>
      </c>
      <c r="F12701" s="23" t="str">
        <f>HYPERLINK("https://www.spark-marketing.ru/Card/Lot/72148617", "Оказание услуги по организации питания обучающихся")</f>
        <v>Оказание услуги по организации питания обучающихся</v>
      </c>
      <c r="G12701" s="22" t="s">
        <v>228</v>
      </c>
      <c r="H12701" s="22" t="s">
        <v>228</v>
      </c>
      <c r="I12701" s="26">
        <v>43663.684895833299</v>
      </c>
      <c r="J12701" s="23" t="str">
        <f>HYPERLINK("https://www.spark-marketing.ru/Card/Person/978386", "Овчаренко Татьяна Юрьевна")</f>
        <v>Овчаренко Татьяна Юрьевна</v>
      </c>
      <c r="K12701" s="24" t="s">
        <v>17177</v>
      </c>
      <c r="L12701" s="22" t="s">
        <v>10</v>
      </c>
      <c r="M12701" s="28" t="s">
        <v>51</v>
      </c>
      <c r="N12701" s="28" t="s">
        <v>51</v>
      </c>
    </row>
    <row r="12702" spans="1:14" collapsed="1" x14ac:dyDescent="0.15">
      <c r="A12702" s="23" t="str">
        <f>HYPERLINK("https://www.spark-marketing.ru/Card/Person/6565", "ГКУ ""ПСЦ""")</f>
        <v>ГКУ "ПСЦ"</v>
      </c>
      <c r="B12702" s="24" t="s">
        <v>353</v>
      </c>
      <c r="C12702" s="25">
        <v>269411</v>
      </c>
      <c r="D12702" s="22" t="s">
        <v>17178</v>
      </c>
      <c r="E12702" s="22" t="s">
        <v>756</v>
      </c>
      <c r="F12702" s="23" t="str">
        <f>HYPERLINK("https://www.spark-marketing.ru/Card/Lot/72159181", "Оказание услуг по техническому обслуживанию и ремонту установок пожарной автоматики в зданиях ПСО №218, 308, 309, 310")</f>
        <v>Оказание услуг по техническому обслуживанию и ремонту установок пожарной автоматики в зданиях ПСО №218, 308, 309, 310</v>
      </c>
      <c r="G12702" s="22" t="s">
        <v>56</v>
      </c>
      <c r="H12702" s="22" t="s">
        <v>56</v>
      </c>
      <c r="I12702" s="26">
        <v>43663.682951388902</v>
      </c>
      <c r="J12702" s="28" t="s">
        <v>51</v>
      </c>
      <c r="K12702" s="28" t="s">
        <v>51</v>
      </c>
      <c r="L12702" s="28" t="s">
        <v>51</v>
      </c>
      <c r="M12702" s="28" t="s">
        <v>51</v>
      </c>
      <c r="N12702" s="28" t="s">
        <v>51</v>
      </c>
    </row>
    <row r="12703" spans="1:14" hidden="1" outlineLevel="1" x14ac:dyDescent="0.2">
      <c r="A12703" s="23" t="str">
        <f>HYPERLINK("https://www.spark-marketing.ru/Card/Person/6565", "ГКУ ""ПСЦ""")</f>
        <v>ГКУ "ПСЦ"</v>
      </c>
      <c r="B12703" s="24" t="s">
        <v>353</v>
      </c>
      <c r="C12703" s="25">
        <v>269411</v>
      </c>
      <c r="D12703" s="22" t="s">
        <v>17178</v>
      </c>
      <c r="E12703" s="22" t="s">
        <v>756</v>
      </c>
      <c r="F12703" s="23" t="str">
        <f>HYPERLINK("https://www.spark-marketing.ru/Card/Lot/72159181", "Оказание услуг по техническому обслуживанию и ремонту установок пожарной автоматики в зданиях ПСО №218, 308, 309, 310")</f>
        <v>Оказание услуг по техническому обслуживанию и ремонту установок пожарной автоматики в зданиях ПСО №218, 308, 309, 310</v>
      </c>
      <c r="G12703" s="22" t="s">
        <v>56</v>
      </c>
      <c r="H12703" s="22" t="s">
        <v>56</v>
      </c>
      <c r="I12703" s="26">
        <v>43663.682951388902</v>
      </c>
      <c r="J12703" s="23" t="str">
        <f>HYPERLINK("https://www.spark-marketing.ru/Card/Person/5921742", "ООО ""КСБ""")</f>
        <v>ООО "КСБ"</v>
      </c>
      <c r="K12703" s="24" t="s">
        <v>7553</v>
      </c>
      <c r="L12703" s="28" t="s">
        <v>51</v>
      </c>
      <c r="M12703" s="25">
        <v>222263.9</v>
      </c>
      <c r="N12703" s="27">
        <v>0.17500064956516251</v>
      </c>
    </row>
    <row r="12704" spans="1:14" hidden="1" outlineLevel="1" x14ac:dyDescent="0.2">
      <c r="A12704" s="23" t="str">
        <f>HYPERLINK("https://www.spark-marketing.ru/Card/Person/6565", "ГКУ ""ПСЦ""")</f>
        <v>ГКУ "ПСЦ"</v>
      </c>
      <c r="B12704" s="24" t="s">
        <v>353</v>
      </c>
      <c r="C12704" s="25">
        <v>269411</v>
      </c>
      <c r="D12704" s="22" t="s">
        <v>17178</v>
      </c>
      <c r="E12704" s="22" t="s">
        <v>756</v>
      </c>
      <c r="F12704" s="23" t="str">
        <f>HYPERLINK("https://www.spark-marketing.ru/Card/Lot/72159181", "Оказание услуг по техническому обслуживанию и ремонту установок пожарной автоматики в зданиях ПСО №218, 308, 309, 310")</f>
        <v>Оказание услуг по техническому обслуживанию и ремонту установок пожарной автоматики в зданиях ПСО №218, 308, 309, 310</v>
      </c>
      <c r="G12704" s="22" t="s">
        <v>56</v>
      </c>
      <c r="H12704" s="22" t="s">
        <v>56</v>
      </c>
      <c r="I12704" s="26">
        <v>43663.682951388902</v>
      </c>
      <c r="J12704" s="23" t="str">
        <f>HYPERLINK("https://www.spark-marketing.ru/Card/Person/46746", "ООО ""ППС""")</f>
        <v>ООО "ППС"</v>
      </c>
      <c r="K12704" s="24" t="s">
        <v>17179</v>
      </c>
      <c r="L12704" s="28" t="s">
        <v>51</v>
      </c>
      <c r="M12704" s="25">
        <v>231693.32</v>
      </c>
      <c r="N12704" s="27">
        <v>0.14000051965213001</v>
      </c>
    </row>
    <row r="12705" spans="1:14" ht="12.75" hidden="1" outlineLevel="1" x14ac:dyDescent="0.2">
      <c r="A12705" s="23" t="str">
        <f>HYPERLINK("https://www.spark-marketing.ru/Card/Person/6565", "ГКУ ""ПСЦ""")</f>
        <v>ГКУ "ПСЦ"</v>
      </c>
      <c r="B12705" s="24" t="s">
        <v>353</v>
      </c>
      <c r="C12705" s="25">
        <v>269411</v>
      </c>
      <c r="D12705" s="22" t="s">
        <v>17178</v>
      </c>
      <c r="E12705" s="22" t="s">
        <v>756</v>
      </c>
      <c r="F12705" s="23" t="str">
        <f>HYPERLINK("https://www.spark-marketing.ru/Card/Lot/72159181", "Оказание услуг по техническому обслуживанию и ремонту установок пожарной автоматики в зданиях ПСО №218, 308, 309, 310")</f>
        <v>Оказание услуг по техническому обслуживанию и ремонту установок пожарной автоматики в зданиях ПСО №218, 308, 309, 310</v>
      </c>
      <c r="G12705" s="22" t="s">
        <v>56</v>
      </c>
      <c r="H12705" s="22" t="s">
        <v>56</v>
      </c>
      <c r="I12705" s="26">
        <v>43663.682951388902</v>
      </c>
      <c r="J12705" s="23" t="str">
        <f>HYPERLINK("https://www.spark-marketing.ru/Card/Person/6616157", "Володин Алексей Львович")</f>
        <v>Володин Алексей Львович</v>
      </c>
      <c r="K12705" s="24" t="s">
        <v>13882</v>
      </c>
      <c r="L12705" s="22" t="s">
        <v>10</v>
      </c>
      <c r="M12705" s="25">
        <v>220916.84</v>
      </c>
      <c r="N12705" s="27">
        <v>0.18000066812416715</v>
      </c>
    </row>
    <row r="12706" spans="1:14" x14ac:dyDescent="0.15">
      <c r="A12706" s="23" t="str">
        <f>HYPERLINK("https://www.spark-marketing.ru/Card/Person/1059381", "МБОУ ""СШ № 24""")</f>
        <v>МБОУ "СШ № 24"</v>
      </c>
      <c r="B12706" s="24" t="s">
        <v>12336</v>
      </c>
      <c r="C12706" s="25">
        <v>588012</v>
      </c>
      <c r="D12706" s="22" t="s">
        <v>17180</v>
      </c>
      <c r="E12706" s="22" t="s">
        <v>48</v>
      </c>
      <c r="F12706" s="23" t="str">
        <f>HYPERLINK("https://www.spark-marketing.ru/Card/Lot/72160584", "Оказание услуг по организации горячего питания и обеспечению горячим питанием учащихся МБОУ ""СШ № 24""")</f>
        <v>Оказание услуг по организации горячего питания и обеспечению горячим питанием учащихся МБОУ "СШ № 24"</v>
      </c>
      <c r="G12706" s="22" t="s">
        <v>460</v>
      </c>
      <c r="H12706" s="22" t="s">
        <v>461</v>
      </c>
      <c r="I12706" s="26">
        <v>43663.700289351902</v>
      </c>
      <c r="J12706" s="28" t="s">
        <v>51</v>
      </c>
      <c r="K12706" s="28" t="s">
        <v>51</v>
      </c>
      <c r="L12706" s="28" t="s">
        <v>51</v>
      </c>
      <c r="M12706" s="28" t="s">
        <v>51</v>
      </c>
      <c r="N12706" s="28" t="s">
        <v>51</v>
      </c>
    </row>
    <row r="12707" spans="1:14" x14ac:dyDescent="0.2">
      <c r="A12707" s="23" t="str">
        <f>HYPERLINK("https://www.spark-marketing.ru/Card/Person/11733", "РТУ МИРЭА")</f>
        <v>РТУ МИРЭА</v>
      </c>
      <c r="B12707" s="24" t="s">
        <v>1305</v>
      </c>
      <c r="C12707" s="25">
        <v>684800</v>
      </c>
      <c r="D12707" s="22" t="s">
        <v>17181</v>
      </c>
      <c r="E12707" s="22" t="s">
        <v>580</v>
      </c>
      <c r="F12707" s="23" t="str">
        <f>HYPERLINK("https://www.spark-marketing.ru/Card/Lot/72177077", "Оказание услуг по организации питания")</f>
        <v>Оказание услуг по организации питания</v>
      </c>
      <c r="G12707" s="22" t="s">
        <v>49</v>
      </c>
      <c r="H12707" s="22" t="s">
        <v>49</v>
      </c>
      <c r="I12707" s="26">
        <v>43663.670509259297</v>
      </c>
      <c r="J12707" s="28" t="s">
        <v>51</v>
      </c>
      <c r="K12707" s="28" t="s">
        <v>51</v>
      </c>
      <c r="L12707" s="22" t="s">
        <v>10</v>
      </c>
      <c r="M12707" s="25">
        <v>684800</v>
      </c>
      <c r="N12707" s="27">
        <v>0</v>
      </c>
    </row>
    <row r="12708" spans="1:14" x14ac:dyDescent="0.2">
      <c r="A12708" s="23" t="str">
        <f>HYPERLINK("https://www.spark-marketing.ru/Card/Person/51061", "МБОУ ""СШ №32""")</f>
        <v>МБОУ "СШ №32"</v>
      </c>
      <c r="B12708" s="24" t="s">
        <v>17182</v>
      </c>
      <c r="C12708" s="25">
        <v>16172472</v>
      </c>
      <c r="D12708" s="22" t="s">
        <v>17183</v>
      </c>
      <c r="E12708" s="22" t="s">
        <v>48</v>
      </c>
      <c r="F12708" s="23" t="str">
        <f>HYPERLINK("https://www.spark-marketing.ru/Card/Lot/72162818", "Оказание услуг по организации в 2019 учебном году питания обучающихся муниципального бюджетного общеобразовательного учреждения ""Средняя школа №32""")</f>
        <v>Оказание услуг по организации в 2019 учебном году питания обучающихся муниципального бюджетного общеобразовательного учреждения "Средняя школа №32"</v>
      </c>
      <c r="G12708" s="22" t="s">
        <v>97</v>
      </c>
      <c r="H12708" s="22" t="s">
        <v>97</v>
      </c>
      <c r="I12708" s="26">
        <v>43663.680555555598</v>
      </c>
      <c r="J12708" s="23" t="str">
        <f>HYPERLINK("https://www.spark-marketing.ru/Card/Person/1659813", "ООО ""КП""")</f>
        <v>ООО "КП"</v>
      </c>
      <c r="K12708" s="24" t="s">
        <v>16691</v>
      </c>
      <c r="L12708" s="28" t="s">
        <v>51</v>
      </c>
      <c r="M12708" s="25">
        <v>16172472</v>
      </c>
      <c r="N12708" s="27">
        <v>0</v>
      </c>
    </row>
    <row r="12709" spans="1:14" collapsed="1" x14ac:dyDescent="0.15">
      <c r="A12709" s="23" t="s">
        <v>114</v>
      </c>
      <c r="B12709" s="28" t="s">
        <v>51</v>
      </c>
      <c r="C12709" s="25">
        <v>18766702</v>
      </c>
      <c r="D12709" s="22" t="s">
        <v>17184</v>
      </c>
      <c r="E12709" s="22" t="s">
        <v>48</v>
      </c>
      <c r="F12709" s="23" t="str">
        <f t="shared" ref="F12709:F12715" si="416">HYPERLINK("https://www.spark-marketing.ru/Card/Lot/72163979", "Оказание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09" s="22" t="s">
        <v>51</v>
      </c>
      <c r="H12709" s="22" t="s">
        <v>51</v>
      </c>
      <c r="I12709" s="26">
        <v>43663.706944444399</v>
      </c>
      <c r="J12709" s="28" t="s">
        <v>51</v>
      </c>
      <c r="K12709" s="28" t="s">
        <v>51</v>
      </c>
      <c r="L12709" s="28" t="s">
        <v>51</v>
      </c>
      <c r="M12709" s="28" t="s">
        <v>51</v>
      </c>
      <c r="N12709" s="28" t="s">
        <v>51</v>
      </c>
    </row>
    <row r="12710" spans="1:14" hidden="1" outlineLevel="1" x14ac:dyDescent="0.15">
      <c r="A12710" s="23" t="str">
        <f>HYPERLINK("https://www.spark-marketing.ru/Card/Person/70262", "МОУ СШ № 98")</f>
        <v>МОУ СШ № 98</v>
      </c>
      <c r="B12710" s="24" t="s">
        <v>17185</v>
      </c>
      <c r="C12710" s="25">
        <v>3852300</v>
      </c>
      <c r="D12710" s="22" t="s">
        <v>17184</v>
      </c>
      <c r="E12710" s="22" t="s">
        <v>48</v>
      </c>
      <c r="F12710" s="23" t="str">
        <f t="shared" si="416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10" s="22" t="s">
        <v>158</v>
      </c>
      <c r="H12710" s="22" t="s">
        <v>158</v>
      </c>
      <c r="I12710" s="26">
        <v>43663.706944444399</v>
      </c>
      <c r="J12710" s="28" t="s">
        <v>51</v>
      </c>
      <c r="K12710" s="28" t="s">
        <v>51</v>
      </c>
      <c r="L12710" s="28" t="s">
        <v>51</v>
      </c>
      <c r="M12710" s="28" t="s">
        <v>51</v>
      </c>
      <c r="N12710" s="28" t="s">
        <v>51</v>
      </c>
    </row>
    <row r="12711" spans="1:14" hidden="1" outlineLevel="1" x14ac:dyDescent="0.15">
      <c r="A12711" s="23" t="str">
        <f>HYPERLINK("https://www.spark-marketing.ru/Card/Person/128434", "МОУ СШ № 92")</f>
        <v>МОУ СШ № 92</v>
      </c>
      <c r="B12711" s="24" t="s">
        <v>17186</v>
      </c>
      <c r="C12711" s="25">
        <v>7153450</v>
      </c>
      <c r="D12711" s="22" t="s">
        <v>17184</v>
      </c>
      <c r="E12711" s="22" t="s">
        <v>48</v>
      </c>
      <c r="F12711" s="23" t="str">
        <f t="shared" si="416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11" s="22" t="s">
        <v>158</v>
      </c>
      <c r="H12711" s="22" t="s">
        <v>158</v>
      </c>
      <c r="I12711" s="26">
        <v>43663.706944444399</v>
      </c>
      <c r="J12711" s="28" t="s">
        <v>51</v>
      </c>
      <c r="K12711" s="28" t="s">
        <v>51</v>
      </c>
      <c r="L12711" s="28" t="s">
        <v>51</v>
      </c>
      <c r="M12711" s="28" t="s">
        <v>51</v>
      </c>
      <c r="N12711" s="28" t="s">
        <v>51</v>
      </c>
    </row>
    <row r="12712" spans="1:14" hidden="1" outlineLevel="1" x14ac:dyDescent="0.15">
      <c r="A12712" s="23" t="str">
        <f>HYPERLINK("https://www.spark-marketing.ru/Card/Person/128472", "МОУ СШ № 95")</f>
        <v>МОУ СШ № 95</v>
      </c>
      <c r="B12712" s="24" t="s">
        <v>17187</v>
      </c>
      <c r="C12712" s="25">
        <v>4228420</v>
      </c>
      <c r="D12712" s="22" t="s">
        <v>17184</v>
      </c>
      <c r="E12712" s="22" t="s">
        <v>48</v>
      </c>
      <c r="F12712" s="23" t="str">
        <f t="shared" si="416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12" s="22" t="s">
        <v>158</v>
      </c>
      <c r="H12712" s="22" t="s">
        <v>158</v>
      </c>
      <c r="I12712" s="26">
        <v>43663.706944444399</v>
      </c>
      <c r="J12712" s="28" t="s">
        <v>51</v>
      </c>
      <c r="K12712" s="28" t="s">
        <v>51</v>
      </c>
      <c r="L12712" s="28" t="s">
        <v>51</v>
      </c>
      <c r="M12712" s="28" t="s">
        <v>51</v>
      </c>
      <c r="N12712" s="28" t="s">
        <v>51</v>
      </c>
    </row>
    <row r="12713" spans="1:14" hidden="1" outlineLevel="1" x14ac:dyDescent="0.15">
      <c r="A12713" s="23" t="str">
        <f>HYPERLINK("https://www.spark-marketing.ru/Card/Person/129892", "МОУ СШ № 91")</f>
        <v>МОУ СШ № 91</v>
      </c>
      <c r="B12713" s="24" t="s">
        <v>17188</v>
      </c>
      <c r="C12713" s="25">
        <v>3532532</v>
      </c>
      <c r="D12713" s="22" t="s">
        <v>17184</v>
      </c>
      <c r="E12713" s="22" t="s">
        <v>48</v>
      </c>
      <c r="F12713" s="23" t="str">
        <f t="shared" si="416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13" s="22" t="s">
        <v>158</v>
      </c>
      <c r="H12713" s="22" t="s">
        <v>158</v>
      </c>
      <c r="I12713" s="26">
        <v>43663.706944444399</v>
      </c>
      <c r="J12713" s="28" t="s">
        <v>51</v>
      </c>
      <c r="K12713" s="28" t="s">
        <v>51</v>
      </c>
      <c r="L12713" s="28" t="s">
        <v>51</v>
      </c>
      <c r="M12713" s="28" t="s">
        <v>51</v>
      </c>
      <c r="N12713" s="28" t="s">
        <v>51</v>
      </c>
    </row>
    <row r="12714" spans="1:14" hidden="1" outlineLevel="1" x14ac:dyDescent="0.2">
      <c r="A12714" s="28" t="s">
        <v>51</v>
      </c>
      <c r="B12714" s="28" t="s">
        <v>51</v>
      </c>
      <c r="C12714" s="28" t="s">
        <v>51</v>
      </c>
      <c r="D12714" s="22" t="s">
        <v>17184</v>
      </c>
      <c r="E12714" s="22" t="s">
        <v>48</v>
      </c>
      <c r="F12714" s="23" t="str">
        <f t="shared" si="416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14" s="22" t="s">
        <v>51</v>
      </c>
      <c r="H12714" s="22" t="s">
        <v>51</v>
      </c>
      <c r="I12714" s="26">
        <v>43663.706944444399</v>
      </c>
      <c r="J12714" s="23" t="str">
        <f>HYPERLINK("https://www.spark-marketing.ru/Card/Person/6558293", "ООО ""ВИВО МАРКЕТ""")</f>
        <v>ООО "ВИВО МАРКЕТ"</v>
      </c>
      <c r="K12714" s="24" t="s">
        <v>14440</v>
      </c>
      <c r="L12714" s="22" t="s">
        <v>10</v>
      </c>
      <c r="M12714" s="25">
        <v>18766702</v>
      </c>
      <c r="N12714" s="27">
        <v>0</v>
      </c>
    </row>
    <row r="12715" spans="1:14" hidden="1" outlineLevel="1" x14ac:dyDescent="0.2">
      <c r="A12715" s="28" t="s">
        <v>51</v>
      </c>
      <c r="B12715" s="28" t="s">
        <v>51</v>
      </c>
      <c r="C12715" s="28" t="s">
        <v>51</v>
      </c>
      <c r="D12715" s="22" t="s">
        <v>17184</v>
      </c>
      <c r="E12715" s="22" t="s">
        <v>48</v>
      </c>
      <c r="F12715" s="23" t="str">
        <f t="shared" si="416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15" s="22" t="s">
        <v>51</v>
      </c>
      <c r="H12715" s="22" t="s">
        <v>51</v>
      </c>
      <c r="I12715" s="26">
        <v>43663.706944444399</v>
      </c>
      <c r="J12715" s="23" t="str">
        <f>HYPERLINK("https://www.spark-marketing.ru/Card/Person/520670", "ООО ""СОЮЗ К""")</f>
        <v>ООО "СОЮЗ К"</v>
      </c>
      <c r="K12715" s="24" t="s">
        <v>10035</v>
      </c>
      <c r="L12715" s="28" t="s">
        <v>51</v>
      </c>
      <c r="M12715" s="25">
        <v>18016033.920000002</v>
      </c>
      <c r="N12715" s="27">
        <v>0.04</v>
      </c>
    </row>
    <row r="12716" spans="1:14" x14ac:dyDescent="0.2">
      <c r="A12716" s="23" t="str">
        <f>HYPERLINK("https://www.spark-marketing.ru/Card/Person/49794", "МБОУ ""ГИМНАЗИЯ №1""")</f>
        <v>МБОУ "ГИМНАЗИЯ №1"</v>
      </c>
      <c r="B12716" s="24" t="s">
        <v>17189</v>
      </c>
      <c r="C12716" s="25">
        <v>14678540.800000001</v>
      </c>
      <c r="D12716" s="22" t="s">
        <v>17190</v>
      </c>
      <c r="E12716" s="22" t="s">
        <v>48</v>
      </c>
      <c r="F12716" s="23" t="str">
        <f>HYPERLINK("https://www.spark-marketing.ru/Card/Lot/72162808", "Оказание услуг по организации в 2019-2020 учебном году питания обучающихся муниципального бюджетного общеобразовательного учреждения ""Гимназия №1""")</f>
        <v>Оказание услуг по организации в 2019-2020 учебном году питания обучающихся муниципального бюджетного общеобразовательного учреждения "Гимназия №1"</v>
      </c>
      <c r="G12716" s="22" t="s">
        <v>97</v>
      </c>
      <c r="H12716" s="22" t="s">
        <v>97</v>
      </c>
      <c r="I12716" s="26">
        <v>43663.671527777798</v>
      </c>
      <c r="J12716" s="23" t="str">
        <f>HYPERLINK("https://www.spark-marketing.ru/Card/Person/62139", "ООО ""КШП""")</f>
        <v>ООО "КШП"</v>
      </c>
      <c r="K12716" s="24" t="s">
        <v>16295</v>
      </c>
      <c r="L12716" s="28" t="s">
        <v>51</v>
      </c>
      <c r="M12716" s="25">
        <v>14678540.800000001</v>
      </c>
      <c r="N12716" s="27">
        <v>0</v>
      </c>
    </row>
    <row r="12717" spans="1:14" x14ac:dyDescent="0.2">
      <c r="A12717" s="23" t="str">
        <f>HYPERLINK("https://www.spark-marketing.ru/Card/Person/50511", "МБОУ ""СШ №2 - МНОГОПРОФИЛЬНАЯ ИМ. Е.И. КУРОПАТКИНА""")</f>
        <v>МБОУ "СШ №2 - МНОГОПРОФИЛЬНАЯ ИМ. Е.И. КУРОПАТКИНА"</v>
      </c>
      <c r="B12717" s="24" t="s">
        <v>17191</v>
      </c>
      <c r="C12717" s="25">
        <v>19966080</v>
      </c>
      <c r="D12717" s="22" t="s">
        <v>17192</v>
      </c>
      <c r="E12717" s="22" t="s">
        <v>48</v>
      </c>
      <c r="F12717" s="23" t="str">
        <f>HYPERLINK("https://www.spark-marketing.ru/Card/Lot/72163984", "Оказание услуг по организации в 2019-2020 учебном году питания обучающихся муниципального бюджетного общеобразовательного учреждения  «Средняя школа №2 - многопрофильная имени заслуженного строителя Российской Федерации Евгения Ивановича Куропаткина»...")</f>
        <v>Оказание услуг по организации в 2019-2020 учебном году питания обучающихся муниципального бюджетного общеобразовательного учреждения  «Средняя школа №2 - многопрофильная имени заслуженного строителя Российской Федерации Евгения Ивановича Куропаткина»...</v>
      </c>
      <c r="G12717" s="22" t="s">
        <v>97</v>
      </c>
      <c r="H12717" s="22" t="s">
        <v>97</v>
      </c>
      <c r="I12717" s="26">
        <v>43663.682638888902</v>
      </c>
      <c r="J12717" s="23" t="str">
        <f>HYPERLINK("https://www.spark-marketing.ru/Card/Person/4865441", "ООО ""КШП-2""")</f>
        <v>ООО "КШП-2"</v>
      </c>
      <c r="K12717" s="24" t="s">
        <v>1468</v>
      </c>
      <c r="L12717" s="28" t="s">
        <v>51</v>
      </c>
      <c r="M12717" s="25">
        <v>19966080</v>
      </c>
      <c r="N12717" s="27">
        <v>0</v>
      </c>
    </row>
    <row r="12718" spans="1:14" collapsed="1" x14ac:dyDescent="0.15">
      <c r="A12718" s="23" t="s">
        <v>114</v>
      </c>
      <c r="B12718" s="28" t="s">
        <v>51</v>
      </c>
      <c r="C12718" s="25">
        <v>16520426</v>
      </c>
      <c r="D12718" s="22" t="s">
        <v>17193</v>
      </c>
      <c r="E12718" s="22" t="s">
        <v>48</v>
      </c>
      <c r="F12718" s="23" t="str">
        <f t="shared" ref="F12718:F12724" si="417">HYPERLINK("https://www.spark-marketing.ru/Card/Lot/72162764", "Оказание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18" s="22" t="s">
        <v>51</v>
      </c>
      <c r="H12718" s="22" t="s">
        <v>51</v>
      </c>
      <c r="I12718" s="26">
        <v>43663.693749999999</v>
      </c>
      <c r="J12718" s="28" t="s">
        <v>51</v>
      </c>
      <c r="K12718" s="28" t="s">
        <v>51</v>
      </c>
      <c r="L12718" s="28" t="s">
        <v>51</v>
      </c>
      <c r="M12718" s="28" t="s">
        <v>51</v>
      </c>
      <c r="N12718" s="28" t="s">
        <v>51</v>
      </c>
    </row>
    <row r="12719" spans="1:14" hidden="1" outlineLevel="1" x14ac:dyDescent="0.15">
      <c r="A12719" s="23" t="str">
        <f>HYPERLINK("https://www.spark-marketing.ru/Card/Person/47891", "МОУ СШ № 5")</f>
        <v>МОУ СШ № 5</v>
      </c>
      <c r="B12719" s="24" t="s">
        <v>17194</v>
      </c>
      <c r="C12719" s="25">
        <v>6674560</v>
      </c>
      <c r="D12719" s="22" t="s">
        <v>17193</v>
      </c>
      <c r="E12719" s="22" t="s">
        <v>48</v>
      </c>
      <c r="F12719" s="23" t="str">
        <f t="shared" si="417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19" s="22" t="s">
        <v>158</v>
      </c>
      <c r="H12719" s="22" t="s">
        <v>158</v>
      </c>
      <c r="I12719" s="26">
        <v>43663.693749999999</v>
      </c>
      <c r="J12719" s="28" t="s">
        <v>51</v>
      </c>
      <c r="K12719" s="28" t="s">
        <v>51</v>
      </c>
      <c r="L12719" s="28" t="s">
        <v>51</v>
      </c>
      <c r="M12719" s="28" t="s">
        <v>51</v>
      </c>
      <c r="N12719" s="28" t="s">
        <v>51</v>
      </c>
    </row>
    <row r="12720" spans="1:14" hidden="1" outlineLevel="1" x14ac:dyDescent="0.15">
      <c r="A12720" s="23" t="str">
        <f>HYPERLINK("https://www.spark-marketing.ru/Card/Person/127901", "МОУ СШ № 13")</f>
        <v>МОУ СШ № 13</v>
      </c>
      <c r="B12720" s="24" t="s">
        <v>17195</v>
      </c>
      <c r="C12720" s="25">
        <v>4323786</v>
      </c>
      <c r="D12720" s="22" t="s">
        <v>17193</v>
      </c>
      <c r="E12720" s="22" t="s">
        <v>48</v>
      </c>
      <c r="F12720" s="23" t="str">
        <f t="shared" si="417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20" s="22" t="s">
        <v>158</v>
      </c>
      <c r="H12720" s="22" t="s">
        <v>158</v>
      </c>
      <c r="I12720" s="26">
        <v>43663.693749999999</v>
      </c>
      <c r="J12720" s="28" t="s">
        <v>51</v>
      </c>
      <c r="K12720" s="28" t="s">
        <v>51</v>
      </c>
      <c r="L12720" s="28" t="s">
        <v>51</v>
      </c>
      <c r="M12720" s="28" t="s">
        <v>51</v>
      </c>
      <c r="N12720" s="28" t="s">
        <v>51</v>
      </c>
    </row>
    <row r="12721" spans="1:14" hidden="1" outlineLevel="1" x14ac:dyDescent="0.15">
      <c r="A12721" s="23" t="str">
        <f>HYPERLINK("https://www.spark-marketing.ru/Card/Person/127925", "МОУ СШ № 16")</f>
        <v>МОУ СШ № 16</v>
      </c>
      <c r="B12721" s="24" t="s">
        <v>17196</v>
      </c>
      <c r="C12721" s="25">
        <v>2352920</v>
      </c>
      <c r="D12721" s="22" t="s">
        <v>17193</v>
      </c>
      <c r="E12721" s="22" t="s">
        <v>48</v>
      </c>
      <c r="F12721" s="23" t="str">
        <f t="shared" si="417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21" s="22" t="s">
        <v>158</v>
      </c>
      <c r="H12721" s="22" t="s">
        <v>158</v>
      </c>
      <c r="I12721" s="26">
        <v>43663.693749999999</v>
      </c>
      <c r="J12721" s="28" t="s">
        <v>51</v>
      </c>
      <c r="K12721" s="28" t="s">
        <v>51</v>
      </c>
      <c r="L12721" s="28" t="s">
        <v>51</v>
      </c>
      <c r="M12721" s="28" t="s">
        <v>51</v>
      </c>
      <c r="N12721" s="28" t="s">
        <v>51</v>
      </c>
    </row>
    <row r="12722" spans="1:14" hidden="1" outlineLevel="1" x14ac:dyDescent="0.15">
      <c r="A12722" s="23" t="str">
        <f>HYPERLINK("https://www.spark-marketing.ru/Card/Person/128387", "МОУ СШ № 20")</f>
        <v>МОУ СШ № 20</v>
      </c>
      <c r="B12722" s="24" t="s">
        <v>17197</v>
      </c>
      <c r="C12722" s="25">
        <v>3169160</v>
      </c>
      <c r="D12722" s="22" t="s">
        <v>17193</v>
      </c>
      <c r="E12722" s="22" t="s">
        <v>48</v>
      </c>
      <c r="F12722" s="23" t="str">
        <f t="shared" si="417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22" s="22" t="s">
        <v>158</v>
      </c>
      <c r="H12722" s="22" t="s">
        <v>158</v>
      </c>
      <c r="I12722" s="26">
        <v>43663.693749999999</v>
      </c>
      <c r="J12722" s="28" t="s">
        <v>51</v>
      </c>
      <c r="K12722" s="28" t="s">
        <v>51</v>
      </c>
      <c r="L12722" s="28" t="s">
        <v>51</v>
      </c>
      <c r="M12722" s="28" t="s">
        <v>51</v>
      </c>
      <c r="N12722" s="28" t="s">
        <v>51</v>
      </c>
    </row>
    <row r="12723" spans="1:14" hidden="1" outlineLevel="1" x14ac:dyDescent="0.2">
      <c r="A12723" s="28" t="s">
        <v>51</v>
      </c>
      <c r="B12723" s="28" t="s">
        <v>51</v>
      </c>
      <c r="C12723" s="28" t="s">
        <v>51</v>
      </c>
      <c r="D12723" s="22" t="s">
        <v>17193</v>
      </c>
      <c r="E12723" s="22" t="s">
        <v>48</v>
      </c>
      <c r="F12723" s="23" t="str">
        <f t="shared" si="417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23" s="22" t="s">
        <v>51</v>
      </c>
      <c r="H12723" s="22" t="s">
        <v>51</v>
      </c>
      <c r="I12723" s="26">
        <v>43663.693749999999</v>
      </c>
      <c r="J12723" s="23" t="str">
        <f>HYPERLINK("https://www.spark-marketing.ru/Card/Person/6558293", "ООО ""ВИВО МАРКЕТ""")</f>
        <v>ООО "ВИВО МАРКЕТ"</v>
      </c>
      <c r="K12723" s="24" t="s">
        <v>14440</v>
      </c>
      <c r="L12723" s="22" t="s">
        <v>10</v>
      </c>
      <c r="M12723" s="25">
        <v>16520426</v>
      </c>
      <c r="N12723" s="27">
        <v>0</v>
      </c>
    </row>
    <row r="12724" spans="1:14" hidden="1" outlineLevel="1" x14ac:dyDescent="0.2">
      <c r="A12724" s="28" t="s">
        <v>51</v>
      </c>
      <c r="B12724" s="28" t="s">
        <v>51</v>
      </c>
      <c r="C12724" s="28" t="s">
        <v>51</v>
      </c>
      <c r="D12724" s="22" t="s">
        <v>17193</v>
      </c>
      <c r="E12724" s="22" t="s">
        <v>48</v>
      </c>
      <c r="F12724" s="23" t="str">
        <f t="shared" si="417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24" s="22" t="s">
        <v>51</v>
      </c>
      <c r="H12724" s="22" t="s">
        <v>51</v>
      </c>
      <c r="I12724" s="26">
        <v>43663.693749999999</v>
      </c>
      <c r="J12724" s="23" t="str">
        <f>HYPERLINK("https://www.spark-marketing.ru/Card/Person/520670", "ООО ""СОЮЗ К""")</f>
        <v>ООО "СОЮЗ К"</v>
      </c>
      <c r="K12724" s="24" t="s">
        <v>10035</v>
      </c>
      <c r="L12724" s="28" t="s">
        <v>51</v>
      </c>
      <c r="M12724" s="25">
        <v>15859608.960000001</v>
      </c>
      <c r="N12724" s="27">
        <v>0.04</v>
      </c>
    </row>
    <row r="12725" spans="1:14" collapsed="1" x14ac:dyDescent="0.15">
      <c r="A12725" s="23" t="str">
        <f>HYPERLINK("https://www.spark-marketing.ru/Card/Person/149169", "МБОУ ""СШ №14""")</f>
        <v>МБОУ "СШ №14"</v>
      </c>
      <c r="B12725" s="24" t="s">
        <v>17198</v>
      </c>
      <c r="C12725" s="25">
        <v>21091152</v>
      </c>
      <c r="D12725" s="22" t="s">
        <v>17199</v>
      </c>
      <c r="E12725" s="22" t="s">
        <v>48</v>
      </c>
      <c r="F12725" s="23" t="str">
        <f>HYPERLINK("https://www.spark-marketing.ru/Card/Lot/72163987", "Оказание услуг по организации в 2019-2020 учебном году питания обучающихся муниципального бюджетного общеобразовательного учреждения «Средняя школа №14»")</f>
        <v>Оказание услуг по организации в 2019-2020 учебном году питания обучающихся муниципального бюджетного общеобразовательного учреждения «Средняя школа №14»</v>
      </c>
      <c r="G12725" s="22" t="s">
        <v>97</v>
      </c>
      <c r="H12725" s="22" t="s">
        <v>97</v>
      </c>
      <c r="I12725" s="26">
        <v>43663.664583333302</v>
      </c>
      <c r="J12725" s="28" t="s">
        <v>51</v>
      </c>
      <c r="K12725" s="28" t="s">
        <v>51</v>
      </c>
      <c r="L12725" s="28" t="s">
        <v>51</v>
      </c>
      <c r="M12725" s="28" t="s">
        <v>51</v>
      </c>
      <c r="N12725" s="28" t="s">
        <v>51</v>
      </c>
    </row>
    <row r="12726" spans="1:14" ht="12.75" hidden="1" outlineLevel="1" x14ac:dyDescent="0.2">
      <c r="A12726" s="23" t="str">
        <f>HYPERLINK("https://www.spark-marketing.ru/Card/Person/149169", "МБОУ ""СШ №14""")</f>
        <v>МБОУ "СШ №14"</v>
      </c>
      <c r="B12726" s="24" t="s">
        <v>17198</v>
      </c>
      <c r="C12726" s="25">
        <v>21091152</v>
      </c>
      <c r="D12726" s="22" t="s">
        <v>17199</v>
      </c>
      <c r="E12726" s="22" t="s">
        <v>48</v>
      </c>
      <c r="F12726" s="23" t="str">
        <f>HYPERLINK("https://www.spark-marketing.ru/Card/Lot/72163987", "Оказание услуг по организации в 2019-2020 учебном году питания обучающихся муниципального бюджетного общеобразовательного учреждения «Средняя школа №14»")</f>
        <v>Оказание услуг по организации в 2019-2020 учебном году питания обучающихся муниципального бюджетного общеобразовательного учреждения «Средняя школа №14»</v>
      </c>
      <c r="G12726" s="22" t="s">
        <v>97</v>
      </c>
      <c r="H12726" s="22" t="s">
        <v>97</v>
      </c>
      <c r="I12726" s="26">
        <v>43663.664583333302</v>
      </c>
      <c r="J12726" s="23" t="str">
        <f>HYPERLINK("https://www.spark-marketing.ru/Card/Person/45523", "ООО ""САМОТЛОР""")</f>
        <v>ООО "САМОТЛОР"</v>
      </c>
      <c r="K12726" s="24" t="s">
        <v>1637</v>
      </c>
      <c r="L12726" s="22" t="s">
        <v>10</v>
      </c>
      <c r="M12726" s="25">
        <v>16800000</v>
      </c>
      <c r="N12726" s="27">
        <v>0.20345744983488812</v>
      </c>
    </row>
    <row r="12727" spans="1:14" hidden="1" outlineLevel="1" x14ac:dyDescent="0.2">
      <c r="A12727" s="23" t="str">
        <f>HYPERLINK("https://www.spark-marketing.ru/Card/Person/149169", "МБОУ ""СШ №14""")</f>
        <v>МБОУ "СШ №14"</v>
      </c>
      <c r="B12727" s="24" t="s">
        <v>17198</v>
      </c>
      <c r="C12727" s="25">
        <v>21091152</v>
      </c>
      <c r="D12727" s="22" t="s">
        <v>17199</v>
      </c>
      <c r="E12727" s="22" t="s">
        <v>48</v>
      </c>
      <c r="F12727" s="23" t="str">
        <f>HYPERLINK("https://www.spark-marketing.ru/Card/Lot/72163987", "Оказание услуг по организации в 2019-2020 учебном году питания обучающихся муниципального бюджетного общеобразовательного учреждения «Средняя школа №14»")</f>
        <v>Оказание услуг по организации в 2019-2020 учебном году питания обучающихся муниципального бюджетного общеобразовательного учреждения «Средняя школа №14»</v>
      </c>
      <c r="G12727" s="22" t="s">
        <v>97</v>
      </c>
      <c r="H12727" s="22" t="s">
        <v>97</v>
      </c>
      <c r="I12727" s="26">
        <v>43663.664583333302</v>
      </c>
      <c r="J12727" s="23" t="str">
        <f>HYPERLINK("https://www.spark-marketing.ru/Card/Person/4868934", "ООО ""АЗБУКА ПИТАНИЯ""")</f>
        <v>ООО "АЗБУКА ПИТАНИЯ"</v>
      </c>
      <c r="K12727" s="24" t="s">
        <v>2534</v>
      </c>
      <c r="L12727" s="28" t="s">
        <v>51</v>
      </c>
      <c r="M12727" s="25">
        <v>20036594.399999999</v>
      </c>
      <c r="N12727" s="27">
        <v>0.05</v>
      </c>
    </row>
    <row r="12728" spans="1:14" x14ac:dyDescent="0.15">
      <c r="A12728" s="23" t="str">
        <f>HYPERLINK("https://www.spark-marketing.ru/Card/Person/25413", "ФГКУ ""СЗРПСО МЧС РОССИИ""")</f>
        <v>ФГКУ "СЗРПСО МЧС РОССИИ"</v>
      </c>
      <c r="B12728" s="24" t="s">
        <v>10257</v>
      </c>
      <c r="C12728" s="25">
        <v>471731.3</v>
      </c>
      <c r="D12728" s="22" t="s">
        <v>17200</v>
      </c>
      <c r="E12728" s="22" t="s">
        <v>48</v>
      </c>
      <c r="F12728" s="23" t="str">
        <f>HYPERLINK("https://www.spark-marketing.ru/Card/Lot/72159732", "Оказание услуг по организации горячего питания работников, несущих дежурство  СПб ПСО МЧС России (ПСП Красная горка)")</f>
        <v>Оказание услуг по организации горячего питания работников, несущих дежурство  СПб ПСО МЧС России (ПСП Красная горка)</v>
      </c>
      <c r="G12728" s="22" t="s">
        <v>162</v>
      </c>
      <c r="H12728" s="22" t="s">
        <v>162</v>
      </c>
      <c r="I12728" s="26">
        <v>43663.6355555556</v>
      </c>
      <c r="J12728" s="23" t="str">
        <f>HYPERLINK("https://www.spark-marketing.ru/Card/Person/5907607", "Калинин Виталий Михайлович")</f>
        <v>Калинин Виталий Михайлович</v>
      </c>
      <c r="K12728" s="24" t="s">
        <v>17201</v>
      </c>
      <c r="L12728" s="22" t="s">
        <v>10</v>
      </c>
      <c r="M12728" s="28" t="s">
        <v>51</v>
      </c>
      <c r="N12728" s="28" t="s">
        <v>51</v>
      </c>
    </row>
    <row r="12729" spans="1:14" collapsed="1" x14ac:dyDescent="0.15">
      <c r="A12729" s="23" t="str">
        <f>HYPERLINK("https://www.spark-marketing.ru/Card/Person/4347689", "МАОУ СОШ № 2 ИМЕНИ Н.А. ТИМОФЕЕВА Г.О. БРОННИЦЫ")</f>
        <v>МАОУ СОШ № 2 ИМЕНИ Н.А. ТИМОФЕЕВА Г.О. БРОННИЦЫ</v>
      </c>
      <c r="B12729" s="24" t="s">
        <v>17202</v>
      </c>
      <c r="C12729" s="25">
        <v>2422140</v>
      </c>
      <c r="D12729" s="22" t="s">
        <v>17203</v>
      </c>
      <c r="E12729" s="22" t="s">
        <v>48</v>
      </c>
      <c r="F12729" s="23" t="str">
        <f>HYPERLINK("https://www.spark-marketing.ru/Card/Lot/72162141", "Услуги по организации питания обучающихся МАОУ СОШ № 2 имени Н.А. Тимофеева г.о. Бронницы")</f>
        <v>Услуги по организации питания обучающихся МАОУ СОШ № 2 имени Н.А. Тимофеева г.о. Бронницы</v>
      </c>
      <c r="G12729" s="22" t="s">
        <v>49</v>
      </c>
      <c r="H12729" s="22" t="s">
        <v>1773</v>
      </c>
      <c r="I12729" s="26">
        <v>43663.629166666702</v>
      </c>
      <c r="J12729" s="28" t="s">
        <v>51</v>
      </c>
      <c r="K12729" s="28" t="s">
        <v>51</v>
      </c>
      <c r="L12729" s="28" t="s">
        <v>51</v>
      </c>
      <c r="M12729" s="28" t="s">
        <v>51</v>
      </c>
      <c r="N12729" s="28" t="s">
        <v>51</v>
      </c>
    </row>
    <row r="12730" spans="1:14" hidden="1" outlineLevel="1" x14ac:dyDescent="0.2">
      <c r="A12730" s="23" t="str">
        <f>HYPERLINK("https://www.spark-marketing.ru/Card/Person/4347689", "МАОУ СОШ № 2 ИМЕНИ Н.А. ТИМОФЕЕВА Г.О. БРОННИЦЫ")</f>
        <v>МАОУ СОШ № 2 ИМЕНИ Н.А. ТИМОФЕЕВА Г.О. БРОННИЦЫ</v>
      </c>
      <c r="B12730" s="24" t="s">
        <v>17202</v>
      </c>
      <c r="C12730" s="25">
        <v>2422140</v>
      </c>
      <c r="D12730" s="22" t="s">
        <v>17203</v>
      </c>
      <c r="E12730" s="22" t="s">
        <v>48</v>
      </c>
      <c r="F12730" s="23" t="str">
        <f>HYPERLINK("https://www.spark-marketing.ru/Card/Lot/72162141", "Услуги по организации питания обучающихся МАОУ СОШ № 2 имени Н.А. Тимофеева г.о. Бронницы")</f>
        <v>Услуги по организации питания обучающихся МАОУ СОШ № 2 имени Н.А. Тимофеева г.о. Бронницы</v>
      </c>
      <c r="G12730" s="22" t="s">
        <v>49</v>
      </c>
      <c r="H12730" s="22" t="s">
        <v>1773</v>
      </c>
      <c r="I12730" s="26">
        <v>43663.629166666702</v>
      </c>
      <c r="J12730" s="23" t="str">
        <f>HYPERLINK("https://www.spark-marketing.ru/Card/Person/145629", "ООО ""Я САМА""")</f>
        <v>ООО "Я САМА"</v>
      </c>
      <c r="K12730" s="24" t="s">
        <v>5036</v>
      </c>
      <c r="L12730" s="28" t="s">
        <v>51</v>
      </c>
      <c r="M12730" s="25">
        <v>1792383.6</v>
      </c>
      <c r="N12730" s="27">
        <v>0.26</v>
      </c>
    </row>
    <row r="12731" spans="1:14" hidden="1" outlineLevel="1" x14ac:dyDescent="0.15">
      <c r="A12731" s="23" t="str">
        <f>HYPERLINK("https://www.spark-marketing.ru/Card/Person/4347689", "МАОУ СОШ № 2 ИМЕНИ Н.А. ТИМОФЕЕВА Г.О. БРОННИЦЫ")</f>
        <v>МАОУ СОШ № 2 ИМЕНИ Н.А. ТИМОФЕЕВА Г.О. БРОННИЦЫ</v>
      </c>
      <c r="B12731" s="24" t="s">
        <v>17202</v>
      </c>
      <c r="C12731" s="25">
        <v>2422140</v>
      </c>
      <c r="D12731" s="22" t="s">
        <v>17203</v>
      </c>
      <c r="E12731" s="22" t="s">
        <v>48</v>
      </c>
      <c r="F12731" s="23" t="str">
        <f>HYPERLINK("https://www.spark-marketing.ru/Card/Lot/72162141", "Услуги по организации питания обучающихся МАОУ СОШ № 2 имени Н.А. Тимофеева г.о. Бронницы")</f>
        <v>Услуги по организации питания обучающихся МАОУ СОШ № 2 имени Н.А. Тимофеева г.о. Бронницы</v>
      </c>
      <c r="G12731" s="22" t="s">
        <v>49</v>
      </c>
      <c r="H12731" s="22" t="s">
        <v>1773</v>
      </c>
      <c r="I12731" s="26">
        <v>43663.629166666702</v>
      </c>
      <c r="J12731" s="23" t="str">
        <f>HYPERLINK("https://www.spark-marketing.ru/Card/Person/6290196", "ООО ""РАМКЕЙТ""")</f>
        <v>ООО "РАМКЕЙТ"</v>
      </c>
      <c r="K12731" s="24" t="s">
        <v>5037</v>
      </c>
      <c r="L12731" s="28" t="s">
        <v>51</v>
      </c>
      <c r="M12731" s="28" t="s">
        <v>51</v>
      </c>
      <c r="N12731" s="28" t="s">
        <v>51</v>
      </c>
    </row>
    <row r="12732" spans="1:14" collapsed="1" x14ac:dyDescent="0.15">
      <c r="A12732" s="23" t="str">
        <f>HYPERLINK("https://www.spark-marketing.ru/Card/Person/8377", "МБОУ ""СШ №40""")</f>
        <v>МБОУ "СШ №40"</v>
      </c>
      <c r="B12732" s="24" t="s">
        <v>17204</v>
      </c>
      <c r="C12732" s="25">
        <v>15984998.4</v>
      </c>
      <c r="D12732" s="22" t="s">
        <v>17205</v>
      </c>
      <c r="E12732" s="22" t="s">
        <v>48</v>
      </c>
      <c r="F12732" s="23" t="str">
        <f>HYPERLINK("https://www.spark-marketing.ru/Card/Lot/72162817", "Оказание услуг по организации в 2019-2020 учебном году питания обучающихся муниципального бюджетного общеобразовательного учреждения ""Средняя школа №40""")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№40"</v>
      </c>
      <c r="G12732" s="22" t="s">
        <v>97</v>
      </c>
      <c r="H12732" s="22" t="s">
        <v>97</v>
      </c>
      <c r="I12732" s="26">
        <v>43663.643750000003</v>
      </c>
      <c r="J12732" s="28" t="s">
        <v>51</v>
      </c>
      <c r="K12732" s="28" t="s">
        <v>51</v>
      </c>
      <c r="L12732" s="28" t="s">
        <v>51</v>
      </c>
      <c r="M12732" s="28" t="s">
        <v>51</v>
      </c>
      <c r="N12732" s="28" t="s">
        <v>51</v>
      </c>
    </row>
    <row r="12733" spans="1:14" ht="12.75" hidden="1" outlineLevel="1" x14ac:dyDescent="0.2">
      <c r="A12733" s="23" t="str">
        <f>HYPERLINK("https://www.spark-marketing.ru/Card/Person/8377", "МБОУ ""СШ №40""")</f>
        <v>МБОУ "СШ №40"</v>
      </c>
      <c r="B12733" s="24" t="s">
        <v>17204</v>
      </c>
      <c r="C12733" s="25">
        <v>15984998.4</v>
      </c>
      <c r="D12733" s="22" t="s">
        <v>17205</v>
      </c>
      <c r="E12733" s="22" t="s">
        <v>48</v>
      </c>
      <c r="F12733" s="23" t="str">
        <f>HYPERLINK("https://www.spark-marketing.ru/Card/Lot/72162817", "Оказание услуг по организации в 2019-2020 учебном году питания обучающихся муниципального бюджетного общеобразовательного учреждения ""Средняя школа №40""")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№40"</v>
      </c>
      <c r="G12733" s="22" t="s">
        <v>97</v>
      </c>
      <c r="H12733" s="22" t="s">
        <v>97</v>
      </c>
      <c r="I12733" s="26">
        <v>43663.643750000003</v>
      </c>
      <c r="J12733" s="23" t="str">
        <f>HYPERLINK("https://www.spark-marketing.ru/Card/Person/5846583", "ООО ""АБВГД""")</f>
        <v>ООО "АБВГД"</v>
      </c>
      <c r="K12733" s="24" t="s">
        <v>1467</v>
      </c>
      <c r="L12733" s="22" t="s">
        <v>10</v>
      </c>
      <c r="M12733" s="25">
        <v>13587249</v>
      </c>
      <c r="N12733" s="27">
        <v>0.14999997747888419</v>
      </c>
    </row>
    <row r="12734" spans="1:14" hidden="1" outlineLevel="1" x14ac:dyDescent="0.2">
      <c r="A12734" s="23" t="str">
        <f>HYPERLINK("https://www.spark-marketing.ru/Card/Person/8377", "МБОУ ""СШ №40""")</f>
        <v>МБОУ "СШ №40"</v>
      </c>
      <c r="B12734" s="24" t="s">
        <v>17204</v>
      </c>
      <c r="C12734" s="25">
        <v>15984998.4</v>
      </c>
      <c r="D12734" s="22" t="s">
        <v>17205</v>
      </c>
      <c r="E12734" s="22" t="s">
        <v>48</v>
      </c>
      <c r="F12734" s="23" t="str">
        <f>HYPERLINK("https://www.spark-marketing.ru/Card/Lot/72162817", "Оказание услуг по организации в 2019-2020 учебном году питания обучающихся муниципального бюджетного общеобразовательного учреждения ""Средняя школа №40""")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№40"</v>
      </c>
      <c r="G12734" s="22" t="s">
        <v>97</v>
      </c>
      <c r="H12734" s="22" t="s">
        <v>97</v>
      </c>
      <c r="I12734" s="26">
        <v>43663.643750000003</v>
      </c>
      <c r="J12734" s="23" t="str">
        <f>HYPERLINK("https://www.spark-marketing.ru/Card/Person/4868934", "ООО ""АЗБУКА ПИТАНИЯ""")</f>
        <v>ООО "АЗБУКА ПИТАНИЯ"</v>
      </c>
      <c r="K12734" s="24" t="s">
        <v>2534</v>
      </c>
      <c r="L12734" s="28" t="s">
        <v>51</v>
      </c>
      <c r="M12734" s="25">
        <v>15185748.48</v>
      </c>
      <c r="N12734" s="27">
        <v>0.05</v>
      </c>
    </row>
    <row r="12735" spans="1:14" x14ac:dyDescent="0.15">
      <c r="A12735" s="23" t="str">
        <f>HYPERLINK("https://www.spark-marketing.ru/Card/Person/25796", "ОМВД РОССИИ ПО АБАНСКОМУ РАЙОНУ")</f>
        <v>ОМВД РОССИИ ПО АБАНСКОМУ РАЙОНУ</v>
      </c>
      <c r="B12735" s="24" t="s">
        <v>13241</v>
      </c>
      <c r="C12735" s="25">
        <v>368900</v>
      </c>
      <c r="D12735" s="22" t="s">
        <v>17206</v>
      </c>
      <c r="E12735" s="22" t="s">
        <v>11392</v>
      </c>
      <c r="F12735" s="23" t="str">
        <f>HYPERLINK("https://www.spark-marketing.ru/Card/Lot/72152946", "Оказание услуг по организации горячего трехразового питания лиц, содержащихся в ИВС ОМВД России по Абанскому району")</f>
        <v>Оказание услуг по организации горячего трехразового питания лиц, содержащихся в ИВС ОМВД России по Абанскому району</v>
      </c>
      <c r="G12735" s="22" t="s">
        <v>281</v>
      </c>
      <c r="H12735" s="22" t="s">
        <v>13243</v>
      </c>
      <c r="I12735" s="26">
        <v>43663.639803240701</v>
      </c>
      <c r="J12735" s="28" t="s">
        <v>51</v>
      </c>
      <c r="K12735" s="28" t="s">
        <v>51</v>
      </c>
      <c r="L12735" s="28" t="s">
        <v>51</v>
      </c>
      <c r="M12735" s="28" t="s">
        <v>51</v>
      </c>
      <c r="N12735" s="28" t="s">
        <v>51</v>
      </c>
    </row>
    <row r="12736" spans="1:14" x14ac:dyDescent="0.15">
      <c r="A12736" s="23" t="str">
        <f>HYPERLINK("https://www.spark-marketing.ru/Card/Person/244294", "МБОУ СОШ № 1 П. НОВОШАХТИНСКИЙ МИХАЙЛОВСКОГО МУНИЦИПАЛЬНОГО РАЙОНА")</f>
        <v>МБОУ СОШ № 1 П. НОВОШАХТИНСКИЙ МИХАЙЛОВСКОГО МУНИЦИПАЛЬНОГО РАЙОНА</v>
      </c>
      <c r="B12736" s="24" t="s">
        <v>17207</v>
      </c>
      <c r="C12736" s="25">
        <v>564060</v>
      </c>
      <c r="D12736" s="22" t="s">
        <v>17208</v>
      </c>
      <c r="E12736" s="22" t="s">
        <v>48</v>
      </c>
      <c r="F12736" s="23" t="str">
        <f>HYPERLINK("https://www.spark-marketing.ru/Card/Lot/72144823", "Наборы продуктов питания (комплекты готовых блюд ) для учащихся 1-4 класс")</f>
        <v>Наборы продуктов питания (комплекты готовых блюд ) для учащихся 1-4 класс</v>
      </c>
      <c r="G12736" s="22" t="s">
        <v>543</v>
      </c>
      <c r="H12736" s="22" t="s">
        <v>17209</v>
      </c>
      <c r="I12736" s="26">
        <v>43663.659733796303</v>
      </c>
      <c r="J12736" s="23" t="str">
        <f>HYPERLINK("https://www.spark-marketing.ru/Card/Person/6269802", "Григорян Кристина Александровна")</f>
        <v>Григорян Кристина Александровна</v>
      </c>
      <c r="K12736" s="24" t="s">
        <v>17210</v>
      </c>
      <c r="L12736" s="22" t="s">
        <v>10</v>
      </c>
      <c r="M12736" s="28" t="s">
        <v>51</v>
      </c>
      <c r="N12736" s="28" t="s">
        <v>51</v>
      </c>
    </row>
    <row r="12737" spans="1:14" x14ac:dyDescent="0.15">
      <c r="A12737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737" s="24" t="s">
        <v>4297</v>
      </c>
      <c r="C12737" s="25">
        <v>53350</v>
      </c>
      <c r="D12737" s="22" t="s">
        <v>17211</v>
      </c>
      <c r="E12737" s="22" t="s">
        <v>48</v>
      </c>
      <c r="F12737" s="23" t="str">
        <f>HYPERLINK("https://www.spark-marketing.ru/Card/Lot/72171454",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2737" s="22" t="s">
        <v>1096</v>
      </c>
      <c r="H12737" s="22" t="s">
        <v>4299</v>
      </c>
      <c r="I12737" s="26">
        <v>43663.644074074102</v>
      </c>
      <c r="J12737" s="23" t="str">
        <f>HYPERLINK("https://www.spark-marketing.ru/Card/Person/64281", "МОУ ЦО ""ОТКРЫТИЕ""")</f>
        <v>МОУ ЦО "ОТКРЫТИЕ"</v>
      </c>
      <c r="K12737" s="24" t="s">
        <v>17212</v>
      </c>
      <c r="L12737" s="22" t="s">
        <v>10</v>
      </c>
      <c r="M12737" s="28" t="s">
        <v>51</v>
      </c>
      <c r="N12737" s="28" t="s">
        <v>51</v>
      </c>
    </row>
    <row r="12738" spans="1:14" x14ac:dyDescent="0.15">
      <c r="A12738" s="23" t="str">
        <f>HYPERLINK("https://www.spark-marketing.ru/Card/Person/162677", "ОМВД РОССИИ ПО ВЯЗЕМСКОМУ РАЙОНУ")</f>
        <v>ОМВД РОССИИ ПО ВЯЗЕМСКОМУ РАЙОНУ</v>
      </c>
      <c r="B12738" s="24" t="s">
        <v>12633</v>
      </c>
      <c r="C12738" s="25">
        <v>610120</v>
      </c>
      <c r="D12738" s="22" t="s">
        <v>17213</v>
      </c>
      <c r="E12738" s="22" t="s">
        <v>48</v>
      </c>
      <c r="F12738" s="23" t="str">
        <f>HYPERLINK("https://www.spark-marketing.ru/Card/Lot/72144842", "Оказание услуг по организации питания граждан, содержащихся в ИВС")</f>
        <v>Оказание услуг по организации питания граждан, содержащихся в ИВС</v>
      </c>
      <c r="G12738" s="22" t="s">
        <v>1096</v>
      </c>
      <c r="H12738" s="22" t="s">
        <v>1096</v>
      </c>
      <c r="I12738" s="26">
        <v>43663.627025463</v>
      </c>
      <c r="J12738" s="28" t="s">
        <v>51</v>
      </c>
      <c r="K12738" s="28" t="s">
        <v>51</v>
      </c>
      <c r="L12738" s="28" t="s">
        <v>51</v>
      </c>
      <c r="M12738" s="28" t="s">
        <v>51</v>
      </c>
      <c r="N12738" s="28" t="s">
        <v>51</v>
      </c>
    </row>
    <row r="12739" spans="1:14" x14ac:dyDescent="0.15">
      <c r="A12739" s="23" t="str">
        <f>HYPERLINK("https://www.spark-marketing.ru/Card/Person/25413", "ФГКУ ""СЗРПСО МЧС РОССИИ""")</f>
        <v>ФГКУ "СЗРПСО МЧС РОССИИ"</v>
      </c>
      <c r="B12739" s="24" t="s">
        <v>10257</v>
      </c>
      <c r="C12739" s="25">
        <v>1066660</v>
      </c>
      <c r="D12739" s="22" t="s">
        <v>17214</v>
      </c>
      <c r="E12739" s="22" t="s">
        <v>48</v>
      </c>
      <c r="F12739" s="23" t="str">
        <f>HYPERLINK("https://www.spark-marketing.ru/Card/Lot/72161005", "Оказание услуг по организации горячего питания работников , несущих дежурство в Вологодском ПСО МЧС России")</f>
        <v>Оказание услуг по организации горячего питания работников , несущих дежурство в Вологодском ПСО МЧС России</v>
      </c>
      <c r="G12739" s="22" t="s">
        <v>503</v>
      </c>
      <c r="H12739" s="22" t="s">
        <v>503</v>
      </c>
      <c r="I12739" s="26">
        <v>43663.666516203702</v>
      </c>
      <c r="J12739" s="28" t="s">
        <v>51</v>
      </c>
      <c r="K12739" s="28" t="s">
        <v>51</v>
      </c>
      <c r="L12739" s="28" t="s">
        <v>51</v>
      </c>
      <c r="M12739" s="28" t="s">
        <v>51</v>
      </c>
      <c r="N12739" s="28" t="s">
        <v>51</v>
      </c>
    </row>
    <row r="12740" spans="1:14" x14ac:dyDescent="0.15">
      <c r="A12740" s="23" t="str">
        <f>HYPERLINK("https://www.spark-marketing.ru/Card/Person/257412", "ГАПОУ ""КХОУ""")</f>
        <v>ГАПОУ "КХОУ"</v>
      </c>
      <c r="B12740" s="24" t="s">
        <v>17215</v>
      </c>
      <c r="C12740" s="25">
        <v>1900000</v>
      </c>
      <c r="D12740" s="22" t="s">
        <v>17216</v>
      </c>
      <c r="E12740" s="22" t="s">
        <v>48</v>
      </c>
      <c r="F12740" s="23" t="str">
        <f>HYPERLINK("https://www.spark-marketing.ru/Card/Lot/72161953", "Организация горячего питания на 2 полугодие 2019 года воспитанников интерната ГАПОУ «Казанское хореографическое училище» (техникум)")</f>
        <v>Организация горячего питания на 2 полугодие 2019 года воспитанников интерната ГАПОУ «Казанское хореографическое училище» (техникум)</v>
      </c>
      <c r="G12740" s="22" t="s">
        <v>217</v>
      </c>
      <c r="H12740" s="22" t="s">
        <v>937</v>
      </c>
      <c r="I12740" s="26">
        <v>43663.631053240701</v>
      </c>
      <c r="J12740" s="23" t="str">
        <f>HYPERLINK("https://www.spark-marketing.ru/Card/Person/167314", "ООО ""СОВЕТ""")</f>
        <v>ООО "СОВЕТ"</v>
      </c>
      <c r="K12740" s="24" t="s">
        <v>4858</v>
      </c>
      <c r="L12740" s="22" t="s">
        <v>10</v>
      </c>
      <c r="M12740" s="28" t="s">
        <v>51</v>
      </c>
      <c r="N12740" s="28" t="s">
        <v>51</v>
      </c>
    </row>
    <row r="12741" spans="1:14" x14ac:dyDescent="0.2">
      <c r="A12741" s="23" t="str">
        <f>HYPERLINK("https://www.spark-marketing.ru/Card/Person/46009", "МБОУ ""СШ №42""")</f>
        <v>МБОУ "СШ №42"</v>
      </c>
      <c r="B12741" s="24" t="s">
        <v>17217</v>
      </c>
      <c r="C12741" s="25">
        <v>19001600</v>
      </c>
      <c r="D12741" s="22" t="s">
        <v>17218</v>
      </c>
      <c r="E12741" s="22" t="s">
        <v>48</v>
      </c>
      <c r="F12741" s="23" t="str">
        <f>HYPERLINK("https://www.spark-marketing.ru/Card/Lot/72163981", "Оказание услуг по организации в 2019-2020 учебном году питания обучающихся муниципального бюджетного общеобразовательного учреждения ""Средняя школа №42""")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№42"</v>
      </c>
      <c r="G12741" s="22" t="s">
        <v>97</v>
      </c>
      <c r="H12741" s="22" t="s">
        <v>97</v>
      </c>
      <c r="I12741" s="26">
        <v>43663.640972222202</v>
      </c>
      <c r="J12741" s="23" t="str">
        <f>HYPERLINK("https://www.spark-marketing.ru/Card/Person/45523", "ООО ""САМОТЛОР""")</f>
        <v>ООО "САМОТЛОР"</v>
      </c>
      <c r="K12741" s="24" t="s">
        <v>1637</v>
      </c>
      <c r="L12741" s="28" t="s">
        <v>51</v>
      </c>
      <c r="M12741" s="25">
        <v>19001600</v>
      </c>
      <c r="N12741" s="27">
        <v>0</v>
      </c>
    </row>
    <row r="12742" spans="1:14" x14ac:dyDescent="0.15">
      <c r="A12742" s="23" t="str">
        <f>HYPERLINK("https://www.spark-marketing.ru/Card/Person/1011094", "МБДОУ ДЕТСКИЙ САД Х.ВЕРБОЧКИ ""ИВУШКА""")</f>
        <v>МБДОУ ДЕТСКИЙ САД Х.ВЕРБОЧКИ "ИВУШКА"</v>
      </c>
      <c r="B12742" s="24" t="s">
        <v>17219</v>
      </c>
      <c r="C12742" s="25">
        <v>133000</v>
      </c>
      <c r="D12742" s="22" t="s">
        <v>17220</v>
      </c>
      <c r="E12742" s="22" t="s">
        <v>48</v>
      </c>
      <c r="F12742" s="23" t="str">
        <f>HYPERLINK("https://www.spark-marketing.ru/Card/Lot/72156921", "Услуга по организации горячего питания детей в дошкольном образовательном учреждении в помещении пищеблока МБОУ Вербочанская СОШ")</f>
        <v>Услуга по организации горячего питания детей в дошкольном образовательном учреждении в помещении пищеблока МБОУ Вербочанская СОШ</v>
      </c>
      <c r="G12742" s="22" t="s">
        <v>267</v>
      </c>
      <c r="H12742" s="22" t="s">
        <v>17221</v>
      </c>
      <c r="I12742" s="26">
        <v>43663.637488425898</v>
      </c>
      <c r="J12742" s="28" t="s">
        <v>51</v>
      </c>
      <c r="K12742" s="28" t="s">
        <v>51</v>
      </c>
      <c r="L12742" s="28" t="s">
        <v>51</v>
      </c>
      <c r="M12742" s="28" t="s">
        <v>51</v>
      </c>
      <c r="N12742" s="28" t="s">
        <v>51</v>
      </c>
    </row>
    <row r="12743" spans="1:14" x14ac:dyDescent="0.15">
      <c r="A12743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743" s="24" t="s">
        <v>4297</v>
      </c>
      <c r="C12743" s="25">
        <v>19400</v>
      </c>
      <c r="D12743" s="22" t="s">
        <v>17222</v>
      </c>
      <c r="E12743" s="22" t="s">
        <v>48</v>
      </c>
      <c r="F12743" s="23" t="str">
        <f>HYPERLINK("https://www.spark-marketing.ru/Card/Lot/72171152",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</v>
      </c>
      <c r="G12743" s="22" t="s">
        <v>1096</v>
      </c>
      <c r="H12743" s="22" t="s">
        <v>4299</v>
      </c>
      <c r="I12743" s="26">
        <v>43663.642094907402</v>
      </c>
      <c r="J12743" s="23" t="str">
        <f>HYPERLINK("https://www.spark-marketing.ru/Card/Person/114397", "МОУ СОШ С УИОП № 16")</f>
        <v>МОУ СОШ С УИОП № 16</v>
      </c>
      <c r="K12743" s="24" t="s">
        <v>17223</v>
      </c>
      <c r="L12743" s="22" t="s">
        <v>10</v>
      </c>
      <c r="M12743" s="28" t="s">
        <v>51</v>
      </c>
      <c r="N12743" s="28" t="s">
        <v>51</v>
      </c>
    </row>
    <row r="12744" spans="1:14" x14ac:dyDescent="0.2">
      <c r="A12744" s="23" t="str">
        <f>HYPERLINK("https://www.spark-marketing.ru/Card/Person/46609", "МБОУ ""СШ №1 ИМЕНИ А.В. ВОЙНАЛОВИЧА""")</f>
        <v>МБОУ "СШ №1 ИМЕНИ А.В. ВОЙНАЛОВИЧА"</v>
      </c>
      <c r="B12744" s="24" t="s">
        <v>17224</v>
      </c>
      <c r="C12744" s="25">
        <v>7469440</v>
      </c>
      <c r="D12744" s="22" t="s">
        <v>17225</v>
      </c>
      <c r="E12744" s="22" t="s">
        <v>48</v>
      </c>
      <c r="F12744" s="23" t="str">
        <f>HYPERLINK("https://www.spark-marketing.ru/Card/Lot/72162839", "Оказание услуг по организации в 2019-2020 учебном году питания обучающихся муниципального бюджетного общеобразовательного учреждения ""Средняя школа №1""")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№1"</v>
      </c>
      <c r="G12744" s="22" t="s">
        <v>97</v>
      </c>
      <c r="H12744" s="22" t="s">
        <v>97</v>
      </c>
      <c r="I12744" s="26">
        <v>43663.651388888902</v>
      </c>
      <c r="J12744" s="23" t="str">
        <f>HYPERLINK("https://www.spark-marketing.ru/Card/Person/4873794", "ООО ""КШП-1""")</f>
        <v>ООО "КШП-1"</v>
      </c>
      <c r="K12744" s="24" t="s">
        <v>1640</v>
      </c>
      <c r="L12744" s="28" t="s">
        <v>51</v>
      </c>
      <c r="M12744" s="25">
        <v>7469440</v>
      </c>
      <c r="N12744" s="27">
        <v>0</v>
      </c>
    </row>
    <row r="12745" spans="1:14" collapsed="1" x14ac:dyDescent="0.15">
      <c r="A12745" s="23" t="s">
        <v>114</v>
      </c>
      <c r="B12745" s="28" t="s">
        <v>51</v>
      </c>
      <c r="C12745" s="25">
        <v>15170840</v>
      </c>
      <c r="D12745" s="22" t="s">
        <v>17226</v>
      </c>
      <c r="E12745" s="22" t="s">
        <v>48</v>
      </c>
      <c r="F12745" s="23" t="str">
        <f t="shared" ref="F12745:F12750" si="418">HYPERLINK("https://www.spark-marketing.ru/Card/Lot/72162811", "Оказание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2019-2021гг.")</f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45" s="22" t="s">
        <v>51</v>
      </c>
      <c r="H12745" s="22" t="s">
        <v>51</v>
      </c>
      <c r="I12745" s="26">
        <v>43663.6652777778</v>
      </c>
      <c r="J12745" s="28" t="s">
        <v>51</v>
      </c>
      <c r="K12745" s="28" t="s">
        <v>51</v>
      </c>
      <c r="L12745" s="28" t="s">
        <v>51</v>
      </c>
      <c r="M12745" s="28" t="s">
        <v>51</v>
      </c>
      <c r="N12745" s="28" t="s">
        <v>51</v>
      </c>
    </row>
    <row r="12746" spans="1:14" hidden="1" outlineLevel="1" x14ac:dyDescent="0.15">
      <c r="A12746" s="23" t="str">
        <f>HYPERLINK("https://www.spark-marketing.ru/Card/Person/127773", "МОУ ГИМНАЗИЯ № 14")</f>
        <v>МОУ ГИМНАЗИЯ № 14</v>
      </c>
      <c r="B12746" s="24" t="s">
        <v>17227</v>
      </c>
      <c r="C12746" s="25">
        <v>2767920</v>
      </c>
      <c r="D12746" s="22" t="s">
        <v>17226</v>
      </c>
      <c r="E12746" s="22" t="s">
        <v>48</v>
      </c>
      <c r="F12746" s="23" t="str">
        <f t="shared" si="418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46" s="22" t="s">
        <v>158</v>
      </c>
      <c r="H12746" s="22" t="s">
        <v>158</v>
      </c>
      <c r="I12746" s="26">
        <v>43663.6652777778</v>
      </c>
      <c r="J12746" s="28" t="s">
        <v>51</v>
      </c>
      <c r="K12746" s="28" t="s">
        <v>51</v>
      </c>
      <c r="L12746" s="28" t="s">
        <v>51</v>
      </c>
      <c r="M12746" s="28" t="s">
        <v>51</v>
      </c>
      <c r="N12746" s="28" t="s">
        <v>51</v>
      </c>
    </row>
    <row r="12747" spans="1:14" hidden="1" outlineLevel="1" x14ac:dyDescent="0.15">
      <c r="A12747" s="23" t="str">
        <f>HYPERLINK("https://www.spark-marketing.ru/Card/Person/127838", "МОУ ГИМНАЗИЯ № 12")</f>
        <v>МОУ ГИМНАЗИЯ № 12</v>
      </c>
      <c r="B12747" s="24" t="s">
        <v>17228</v>
      </c>
      <c r="C12747" s="25">
        <v>5502570</v>
      </c>
      <c r="D12747" s="22" t="s">
        <v>17226</v>
      </c>
      <c r="E12747" s="22" t="s">
        <v>48</v>
      </c>
      <c r="F12747" s="23" t="str">
        <f t="shared" si="418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47" s="22" t="s">
        <v>158</v>
      </c>
      <c r="H12747" s="22" t="s">
        <v>158</v>
      </c>
      <c r="I12747" s="26">
        <v>43663.6652777778</v>
      </c>
      <c r="J12747" s="28" t="s">
        <v>51</v>
      </c>
      <c r="K12747" s="28" t="s">
        <v>51</v>
      </c>
      <c r="L12747" s="28" t="s">
        <v>51</v>
      </c>
      <c r="M12747" s="28" t="s">
        <v>51</v>
      </c>
      <c r="N12747" s="28" t="s">
        <v>51</v>
      </c>
    </row>
    <row r="12748" spans="1:14" hidden="1" outlineLevel="1" x14ac:dyDescent="0.15">
      <c r="A12748" s="23" t="str">
        <f>HYPERLINK("https://www.spark-marketing.ru/Card/Person/128027", "МОУ ЛИЦЕЙ № 2")</f>
        <v>МОУ ЛИЦЕЙ № 2</v>
      </c>
      <c r="B12748" s="24" t="s">
        <v>17229</v>
      </c>
      <c r="C12748" s="25">
        <v>6900350</v>
      </c>
      <c r="D12748" s="22" t="s">
        <v>17226</v>
      </c>
      <c r="E12748" s="22" t="s">
        <v>48</v>
      </c>
      <c r="F12748" s="23" t="str">
        <f t="shared" si="418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48" s="22" t="s">
        <v>158</v>
      </c>
      <c r="H12748" s="22" t="s">
        <v>158</v>
      </c>
      <c r="I12748" s="26">
        <v>43663.6652777778</v>
      </c>
      <c r="J12748" s="28" t="s">
        <v>51</v>
      </c>
      <c r="K12748" s="28" t="s">
        <v>51</v>
      </c>
      <c r="L12748" s="28" t="s">
        <v>51</v>
      </c>
      <c r="M12748" s="28" t="s">
        <v>51</v>
      </c>
      <c r="N12748" s="28" t="s">
        <v>51</v>
      </c>
    </row>
    <row r="12749" spans="1:14" hidden="1" outlineLevel="1" x14ac:dyDescent="0.2">
      <c r="A12749" s="28" t="s">
        <v>51</v>
      </c>
      <c r="B12749" s="28" t="s">
        <v>51</v>
      </c>
      <c r="C12749" s="28" t="s">
        <v>51</v>
      </c>
      <c r="D12749" s="22" t="s">
        <v>17226</v>
      </c>
      <c r="E12749" s="22" t="s">
        <v>48</v>
      </c>
      <c r="F12749" s="23" t="str">
        <f t="shared" si="418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49" s="22" t="s">
        <v>51</v>
      </c>
      <c r="H12749" s="22" t="s">
        <v>51</v>
      </c>
      <c r="I12749" s="26">
        <v>43663.6652777778</v>
      </c>
      <c r="J12749" s="23" t="str">
        <f>HYPERLINK("https://www.spark-marketing.ru/Card/Person/6558293", "ООО ""ВИВО МАРКЕТ""")</f>
        <v>ООО "ВИВО МАРКЕТ"</v>
      </c>
      <c r="K12749" s="24" t="s">
        <v>14440</v>
      </c>
      <c r="L12749" s="22" t="s">
        <v>10</v>
      </c>
      <c r="M12749" s="25">
        <v>15170840</v>
      </c>
      <c r="N12749" s="27">
        <v>0</v>
      </c>
    </row>
    <row r="12750" spans="1:14" hidden="1" outlineLevel="1" x14ac:dyDescent="0.2">
      <c r="A12750" s="28" t="s">
        <v>51</v>
      </c>
      <c r="B12750" s="28" t="s">
        <v>51</v>
      </c>
      <c r="C12750" s="28" t="s">
        <v>51</v>
      </c>
      <c r="D12750" s="22" t="s">
        <v>17226</v>
      </c>
      <c r="E12750" s="22" t="s">
        <v>48</v>
      </c>
      <c r="F12750" s="23" t="str">
        <f t="shared" si="418"/>
        <v>Оказание услуг общественного питания обучающихся  на базе муниципальных общеобразовательных учреждений Краснооктябрьского района Волгограда в учебный и каникулярный  период 2019-2021гг.</v>
      </c>
      <c r="G12750" s="22" t="s">
        <v>51</v>
      </c>
      <c r="H12750" s="22" t="s">
        <v>51</v>
      </c>
      <c r="I12750" s="26">
        <v>43663.6652777778</v>
      </c>
      <c r="J12750" s="23" t="str">
        <f>HYPERLINK("https://www.spark-marketing.ru/Card/Person/520670", "ООО ""СОЮЗ К""")</f>
        <v>ООО "СОЮЗ К"</v>
      </c>
      <c r="K12750" s="24" t="s">
        <v>10035</v>
      </c>
      <c r="L12750" s="28" t="s">
        <v>51</v>
      </c>
      <c r="M12750" s="25">
        <v>14564006.4</v>
      </c>
      <c r="N12750" s="27">
        <v>0.04</v>
      </c>
    </row>
    <row r="12751" spans="1:14" x14ac:dyDescent="0.15">
      <c r="A12751" s="23" t="str">
        <f>HYPERLINK("https://www.spark-marketing.ru/Card/Person/20366", "МАОУ ГИМНАЗИЯ ИМЕНИ А.А.ПУШКИНА Г.О. БРОННИЦЫ")</f>
        <v>МАОУ ГИМНАЗИЯ ИМЕНИ А.А.ПУШКИНА Г.О. БРОННИЦЫ</v>
      </c>
      <c r="B12751" s="24" t="s">
        <v>1771</v>
      </c>
      <c r="C12751" s="25">
        <v>2468620</v>
      </c>
      <c r="D12751" s="22" t="s">
        <v>17230</v>
      </c>
      <c r="E12751" s="22" t="s">
        <v>48</v>
      </c>
      <c r="F12751" s="23" t="str">
        <f>HYPERLINK("https://www.spark-marketing.ru/Card/Lot/72162144", "Услуги по организации питания для учащихся общеобразовательной организации")</f>
        <v>Услуги по организации питания для учащихся общеобразовательной организации</v>
      </c>
      <c r="G12751" s="22" t="s">
        <v>49</v>
      </c>
      <c r="H12751" s="22" t="s">
        <v>1773</v>
      </c>
      <c r="I12751" s="26">
        <v>43663.629166666702</v>
      </c>
      <c r="J12751" s="28" t="s">
        <v>51</v>
      </c>
      <c r="K12751" s="28" t="s">
        <v>51</v>
      </c>
      <c r="L12751" s="28" t="s">
        <v>51</v>
      </c>
      <c r="M12751" s="28" t="s">
        <v>51</v>
      </c>
      <c r="N12751" s="28" t="s">
        <v>51</v>
      </c>
    </row>
    <row r="12752" spans="1:14" x14ac:dyDescent="0.15">
      <c r="A12752" s="23" t="str">
        <f>HYPERLINK("https://www.spark-marketing.ru/Card/Person/161395", "АО ""АВИАЛИНИИ МОРДОВИИ""")</f>
        <v>АО "АВИАЛИНИИ МОРДОВИИ"</v>
      </c>
      <c r="B12752" s="24" t="s">
        <v>17231</v>
      </c>
      <c r="C12752" s="25">
        <v>500000</v>
      </c>
      <c r="D12752" s="22" t="s">
        <v>17232</v>
      </c>
      <c r="E12752" s="22" t="s">
        <v>362</v>
      </c>
      <c r="F12752" s="23" t="str">
        <f>HYPERLINK("https://www.spark-marketing.ru/Card/Lot/72167984", "Оказание услуг, связанных с организацией питания по прейскуранту пассажиров в бизнес и VIP залах терминала ВВЛ аэропорта г. Саранск")</f>
        <v>Оказание услуг, связанных с организацией питания по прейскуранту пассажиров в бизнес и VIP залах терминала ВВЛ аэропорта г. Саранск</v>
      </c>
      <c r="G12752" s="22" t="s">
        <v>277</v>
      </c>
      <c r="H12752" s="22" t="s">
        <v>277</v>
      </c>
      <c r="I12752" s="26">
        <v>43663.659062500003</v>
      </c>
      <c r="J12752" s="28" t="s">
        <v>51</v>
      </c>
      <c r="K12752" s="28" t="s">
        <v>51</v>
      </c>
      <c r="L12752" s="28" t="s">
        <v>51</v>
      </c>
      <c r="M12752" s="28" t="s">
        <v>51</v>
      </c>
      <c r="N12752" s="28" t="s">
        <v>51</v>
      </c>
    </row>
    <row r="12753" spans="1:14" x14ac:dyDescent="0.15">
      <c r="A12753" s="23" t="str">
        <f>HYPERLINK("https://www.spark-marketing.ru/Card/Person/57217", "ГБУ СШ № 2 КРАСНОГВАРДЕЙСКОГО РАЙОНА")</f>
        <v>ГБУ СШ № 2 КРАСНОГВАРДЕЙСКОГО РАЙОНА</v>
      </c>
      <c r="B12753" s="24" t="s">
        <v>2479</v>
      </c>
      <c r="C12753" s="25">
        <v>481390.98</v>
      </c>
      <c r="D12753" s="22" t="s">
        <v>17233</v>
      </c>
      <c r="E12753" s="22" t="s">
        <v>2481</v>
      </c>
      <c r="F12753" s="23" t="str">
        <f>HYPERLINK("https://www.spark-marketing.ru/Card/Lot/72159746", "Оказание услуг по проведению тренировочного мероприятия для Государственного бюджетного учреждения спортивная школа № 2 Красногвардейского района, для нужд Санкт-Петербурга в 2019 году")</f>
        <v>Оказание услуг по проведению тренировочного мероприятия для Государственного бюджетного учреждения спортивная школа № 2 Красногвардейского района, для нужд Санкт-Петербурга в 2019 году</v>
      </c>
      <c r="G12753" s="22" t="s">
        <v>108</v>
      </c>
      <c r="H12753" s="22" t="s">
        <v>17234</v>
      </c>
      <c r="I12753" s="26">
        <v>43663.648807870399</v>
      </c>
      <c r="J12753" s="23" t="str">
        <f>HYPERLINK("https://www.spark-marketing.ru/Card/Person/6639867", "ООО ""СТГ""")</f>
        <v>ООО "СТГ"</v>
      </c>
      <c r="K12753" s="24" t="s">
        <v>2482</v>
      </c>
      <c r="L12753" s="22" t="s">
        <v>10</v>
      </c>
      <c r="M12753" s="28" t="s">
        <v>51</v>
      </c>
      <c r="N12753" s="28" t="s">
        <v>51</v>
      </c>
    </row>
    <row r="12754" spans="1:14" x14ac:dyDescent="0.15">
      <c r="A12754" s="23" t="str">
        <f>HYPERLINK("https://www.spark-marketing.ru/Card/Person/57217", "ГБУ СШ № 2 КРАСНОГВАРДЕЙСКОГО РАЙОНА")</f>
        <v>ГБУ СШ № 2 КРАСНОГВАРДЕЙСКОГО РАЙОНА</v>
      </c>
      <c r="B12754" s="24" t="s">
        <v>2479</v>
      </c>
      <c r="C12754" s="25">
        <v>732074.22</v>
      </c>
      <c r="D12754" s="22" t="s">
        <v>17235</v>
      </c>
      <c r="E12754" s="22" t="s">
        <v>2481</v>
      </c>
      <c r="F12754" s="23" t="str">
        <f>HYPERLINK("https://www.spark-marketing.ru/Card/Lot/72160964", "Оказание услуг по проведению тренировочного мероприятия для Государственного бюджетного учреждения спортивная школа № 2 Красногвардейского района, для нужд Санкт-Петербурга в 2019 году")</f>
        <v>Оказание услуг по проведению тренировочного мероприятия для Государственного бюджетного учреждения спортивная школа № 2 Красногвардейского района, для нужд Санкт-Петербурга в 2019 году</v>
      </c>
      <c r="G12754" s="22" t="s">
        <v>117</v>
      </c>
      <c r="H12754" s="22" t="s">
        <v>117</v>
      </c>
      <c r="I12754" s="26">
        <v>43663.649259259299</v>
      </c>
      <c r="J12754" s="23" t="str">
        <f>HYPERLINK("https://www.spark-marketing.ru/Card/Person/6639867", "ООО ""СТГ""")</f>
        <v>ООО "СТГ"</v>
      </c>
      <c r="K12754" s="24" t="s">
        <v>2482</v>
      </c>
      <c r="L12754" s="22" t="s">
        <v>10</v>
      </c>
      <c r="M12754" s="28" t="s">
        <v>51</v>
      </c>
      <c r="N12754" s="28" t="s">
        <v>51</v>
      </c>
    </row>
    <row r="12755" spans="1:14" x14ac:dyDescent="0.15">
      <c r="A12755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755" s="24" t="s">
        <v>4297</v>
      </c>
      <c r="C12755" s="25">
        <v>29100</v>
      </c>
      <c r="D12755" s="22" t="s">
        <v>17236</v>
      </c>
      <c r="E12755" s="22" t="s">
        <v>48</v>
      </c>
      <c r="F12755" s="23" t="str">
        <f>HYPERLINK("https://www.spark-marketing.ru/Card/Lot/72171455",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</v>
      </c>
      <c r="G12755" s="22" t="s">
        <v>1096</v>
      </c>
      <c r="H12755" s="22" t="s">
        <v>4299</v>
      </c>
      <c r="I12755" s="26">
        <v>43663.644687499997</v>
      </c>
      <c r="J12755" s="23" t="str">
        <f>HYPERLINK("https://www.spark-marketing.ru/Card/Person/126297", "МОУ СОШ № 4")</f>
        <v>МОУ СОШ № 4</v>
      </c>
      <c r="K12755" s="24" t="s">
        <v>17237</v>
      </c>
      <c r="L12755" s="22" t="s">
        <v>10</v>
      </c>
      <c r="M12755" s="28" t="s">
        <v>51</v>
      </c>
      <c r="N12755" s="28" t="s">
        <v>51</v>
      </c>
    </row>
    <row r="12756" spans="1:14" x14ac:dyDescent="0.15">
      <c r="A12756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756" s="24" t="s">
        <v>4297</v>
      </c>
      <c r="C12756" s="25">
        <v>33950</v>
      </c>
      <c r="D12756" s="22" t="s">
        <v>17238</v>
      </c>
      <c r="E12756" s="22" t="s">
        <v>48</v>
      </c>
      <c r="F12756" s="23" t="str">
        <f>HYPERLINK("https://www.spark-marketing.ru/Card/Lot/72171853",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</v>
      </c>
      <c r="G12756" s="22" t="s">
        <v>1096</v>
      </c>
      <c r="H12756" s="22" t="s">
        <v>4299</v>
      </c>
      <c r="I12756" s="26">
        <v>43663.645300925898</v>
      </c>
      <c r="J12756" s="23" t="str">
        <f>HYPERLINK("https://www.spark-marketing.ru/Card/Person/81808", "МОУ СОШ № 3")</f>
        <v>МОУ СОШ № 3</v>
      </c>
      <c r="K12756" s="24" t="s">
        <v>17239</v>
      </c>
      <c r="L12756" s="22" t="s">
        <v>10</v>
      </c>
      <c r="M12756" s="28" t="s">
        <v>51</v>
      </c>
      <c r="N12756" s="28" t="s">
        <v>51</v>
      </c>
    </row>
    <row r="12757" spans="1:14" x14ac:dyDescent="0.2">
      <c r="A12757" s="23" t="str">
        <f>HYPERLINK("https://www.spark-marketing.ru/Card/Person/34191", "НГТУ, НОВОСИБИРСКИЙ ГОСУДАРСТВЕННЫЙ ТЕХНИЧЕСКИЙ УНИВЕРСИТЕТ, ФГБОУ ВО ""НОВОСИБИРСКИЙ ГОСУДАРСТВЕННЫЙ ТЕХНИЧЕСКИЙ УНИВЕРСИТЕТ"", ФГБОУ ВО ""НГТУ""")</f>
        <v>НГТУ, НОВОСИБИРСКИЙ ГОСУДАРСТВЕННЫЙ ТЕХНИЧЕСКИЙ УНИВЕРСИТЕТ, ФГБОУ ВО "НОВОСИБИРСКИЙ ГОСУДАРСТВЕННЫЙ ТЕХНИЧЕСКИЙ УНИВЕРСИТЕТ", ФГБОУ ВО "НГТУ"</v>
      </c>
      <c r="B12757" s="24" t="s">
        <v>1202</v>
      </c>
      <c r="C12757" s="25">
        <v>217750</v>
      </c>
      <c r="D12757" s="22" t="s">
        <v>17240</v>
      </c>
      <c r="E12757" s="22" t="s">
        <v>794</v>
      </c>
      <c r="F12757" s="23" t="str">
        <f>HYPERLINK("https://www.spark-marketing.ru/Card/Lot/72167170", "Услуги по организации питания и проживания для участников Летней школы «GEM-2019»")</f>
        <v>Услуги по организации питания и проживания для участников Летней школы «GEM-2019»</v>
      </c>
      <c r="G12757" s="22" t="s">
        <v>1141</v>
      </c>
      <c r="H12757" s="22" t="s">
        <v>1141</v>
      </c>
      <c r="I12757" s="26">
        <v>43663.635567129597</v>
      </c>
      <c r="J12757" s="28" t="s">
        <v>51</v>
      </c>
      <c r="K12757" s="28" t="s">
        <v>51</v>
      </c>
      <c r="L12757" s="22" t="s">
        <v>10</v>
      </c>
      <c r="M12757" s="25">
        <v>217750</v>
      </c>
      <c r="N12757" s="27">
        <v>0</v>
      </c>
    </row>
    <row r="12758" spans="1:14" x14ac:dyDescent="0.2">
      <c r="A12758" s="23" t="str">
        <f>HYPERLINK("https://www.spark-marketing.ru/Card/Person/48245", "МБОУ ""ГИМНАЗИЯ №2""")</f>
        <v>МБОУ "ГИМНАЗИЯ №2"</v>
      </c>
      <c r="B12758" s="24" t="s">
        <v>17241</v>
      </c>
      <c r="C12758" s="25">
        <v>12286208</v>
      </c>
      <c r="D12758" s="22" t="s">
        <v>17242</v>
      </c>
      <c r="E12758" s="22" t="s">
        <v>48</v>
      </c>
      <c r="F12758" s="23" t="str">
        <f>HYPERLINK("https://www.spark-marketing.ru/Card/Lot/72162796", "Оказание услуг по организации в 2019-2020 учебном году питания обучающихся муниципального бюджетного общеобразовательного учреждения ""Гимназия №2""")</f>
        <v>Оказание услуг по организации в 2019-2020 учебном году питания обучающихся муниципального бюджетного общеобразовательного учреждения "Гимназия №2"</v>
      </c>
      <c r="G12758" s="22" t="s">
        <v>97</v>
      </c>
      <c r="H12758" s="22" t="s">
        <v>97</v>
      </c>
      <c r="I12758" s="26">
        <v>43663.629861111098</v>
      </c>
      <c r="J12758" s="23" t="str">
        <f>HYPERLINK("https://www.spark-marketing.ru/Card/Person/1659813", "ООО ""КП""")</f>
        <v>ООО "КП"</v>
      </c>
      <c r="K12758" s="24" t="s">
        <v>16691</v>
      </c>
      <c r="L12758" s="28" t="s">
        <v>51</v>
      </c>
      <c r="M12758" s="25">
        <v>12286208</v>
      </c>
      <c r="N12758" s="27">
        <v>0</v>
      </c>
    </row>
    <row r="12759" spans="1:14" x14ac:dyDescent="0.15">
      <c r="A12759" s="23" t="str">
        <f>HYPERLINK("https://www.spark-marketing.ru/Card/Person/25796", "ОМВД РОССИИ ПО АБАНСКОМУ РАЙОНУ")</f>
        <v>ОМВД РОССИИ ПО АБАНСКОМУ РАЙОНУ</v>
      </c>
      <c r="B12759" s="24" t="s">
        <v>13241</v>
      </c>
      <c r="C12759" s="25">
        <v>385870.33</v>
      </c>
      <c r="D12759" s="22" t="s">
        <v>17243</v>
      </c>
      <c r="E12759" s="22" t="s">
        <v>11392</v>
      </c>
      <c r="F12759" s="23" t="str">
        <f>HYPERLINK("https://www.spark-marketing.ru/Card/Lot/72159251", "Оказание услуг по организации горячего трехразового питания лиц, содержащихся в ИВС ОМВД России по Абанскому району")</f>
        <v>Оказание услуг по организации горячего трехразового питания лиц, содержащихся в ИВС ОМВД России по Абанскому району</v>
      </c>
      <c r="G12759" s="22" t="s">
        <v>281</v>
      </c>
      <c r="H12759" s="22" t="s">
        <v>13243</v>
      </c>
      <c r="I12759" s="26">
        <v>43663.598090277803</v>
      </c>
      <c r="J12759" s="28" t="s">
        <v>51</v>
      </c>
      <c r="K12759" s="28" t="s">
        <v>51</v>
      </c>
      <c r="L12759" s="28" t="s">
        <v>51</v>
      </c>
      <c r="M12759" s="28" t="s">
        <v>51</v>
      </c>
      <c r="N12759" s="28" t="s">
        <v>51</v>
      </c>
    </row>
    <row r="12760" spans="1:14" x14ac:dyDescent="0.15">
      <c r="A12760" s="23" t="str">
        <f>HYPERLINK("https://www.spark-marketing.ru/Card/Person/1029351", "МБОУ ""СОШ № 84""")</f>
        <v>МБОУ "СОШ № 84"</v>
      </c>
      <c r="B12760" s="24" t="s">
        <v>17244</v>
      </c>
      <c r="C12760" s="25">
        <v>1212170</v>
      </c>
      <c r="D12760" s="22" t="s">
        <v>17245</v>
      </c>
      <c r="E12760" s="22" t="s">
        <v>48</v>
      </c>
      <c r="F12760" s="23" t="str">
        <f>HYPERLINK("https://www.spark-marketing.ru/Card/Lot/72161595", "Оказание услуг по организации питания льготных категорий обучающихся и обучающихся с ограниченными возможностями здоровья МБОУ «СОШ № 84»")</f>
        <v>Оказание услуг по организации питания льготных категорий обучающихся и обучающихся с ограниченными возможностями здоровья МБОУ «СОШ № 84»</v>
      </c>
      <c r="G12760" s="22" t="s">
        <v>149</v>
      </c>
      <c r="H12760" s="22" t="s">
        <v>149</v>
      </c>
      <c r="I12760" s="26">
        <v>43663.6160648148</v>
      </c>
      <c r="J12760" s="23" t="str">
        <f>HYPERLINK("https://www.spark-marketing.ru/Card/Person/6673560", "ООО ""КШП""")</f>
        <v>ООО "КШП"</v>
      </c>
      <c r="K12760" s="24" t="s">
        <v>16013</v>
      </c>
      <c r="L12760" s="22" t="s">
        <v>10</v>
      </c>
      <c r="M12760" s="28" t="s">
        <v>51</v>
      </c>
      <c r="N12760" s="28" t="s">
        <v>51</v>
      </c>
    </row>
    <row r="12761" spans="1:14" x14ac:dyDescent="0.15">
      <c r="A12761" s="23" t="str">
        <f>HYPERLINK("https://www.spark-marketing.ru/Card/Person/19841", "АДМИНИСТРАЦИЯ ИРБИТСКОГО МО")</f>
        <v>АДМИНИСТРАЦИЯ ИРБИТСКОГО МО</v>
      </c>
      <c r="B12761" s="24" t="s">
        <v>1493</v>
      </c>
      <c r="C12761" s="25">
        <v>400000</v>
      </c>
      <c r="D12761" s="22" t="s">
        <v>17246</v>
      </c>
      <c r="E12761" s="22" t="s">
        <v>96</v>
      </c>
      <c r="F12761" s="23" t="str">
        <f>HYPERLINK("https://www.spark-marketing.ru/Card/Lot/72159253", "Услуги питания")</f>
        <v>Услуги питания</v>
      </c>
      <c r="G12761" s="22" t="s">
        <v>174</v>
      </c>
      <c r="H12761" s="22" t="s">
        <v>174</v>
      </c>
      <c r="I12761" s="26">
        <v>43663.600532407399</v>
      </c>
      <c r="J12761" s="23" t="str">
        <f>HYPERLINK("https://www.spark-marketing.ru/Card/Person/798047", "ООО""СТАРАЯ МЕЛЬНИЦА""")</f>
        <v>ООО"СТАРАЯ МЕЛЬНИЦА"</v>
      </c>
      <c r="K12761" s="24" t="s">
        <v>17247</v>
      </c>
      <c r="L12761" s="22" t="s">
        <v>10</v>
      </c>
      <c r="M12761" s="28" t="s">
        <v>51</v>
      </c>
      <c r="N12761" s="28" t="s">
        <v>51</v>
      </c>
    </row>
    <row r="12762" spans="1:14" collapsed="1" x14ac:dyDescent="0.15">
      <c r="A12762" s="23" t="str">
        <f>HYPERLINK("https://www.spark-marketing.ru/Card/Person/7441", "ГБУ ""АВТОМОБИЛЬНЫЕ ДОРОГИ""")</f>
        <v>ГБУ "АВТОМОБИЛЬНЫЕ ДОРОГИ"</v>
      </c>
      <c r="B12762" s="24" t="s">
        <v>11298</v>
      </c>
      <c r="C12762" s="25">
        <v>27570231.649999999</v>
      </c>
      <c r="D12762" s="22" t="s">
        <v>17248</v>
      </c>
      <c r="E12762" s="22" t="s">
        <v>11300</v>
      </c>
      <c r="F12762" s="23" t="str">
        <f>HYPERLINK("https://www.spark-marketing.ru/Card/Lot/72164015", "Аукцион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""Автомобильные дороги""")</f>
        <v>Аукцион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"Автомобильные дороги"</v>
      </c>
      <c r="G12762" s="22" t="s">
        <v>56</v>
      </c>
      <c r="H12762" s="22" t="s">
        <v>56</v>
      </c>
      <c r="I12762" s="26">
        <v>43663.595300925903</v>
      </c>
      <c r="J12762" s="28" t="s">
        <v>51</v>
      </c>
      <c r="K12762" s="28" t="s">
        <v>51</v>
      </c>
      <c r="L12762" s="28" t="s">
        <v>51</v>
      </c>
      <c r="M12762" s="28" t="s">
        <v>51</v>
      </c>
      <c r="N12762" s="28" t="s">
        <v>51</v>
      </c>
    </row>
    <row r="12763" spans="1:14" hidden="1" outlineLevel="1" x14ac:dyDescent="0.2">
      <c r="A12763" s="23" t="str">
        <f>HYPERLINK("https://www.spark-marketing.ru/Card/Person/7441", "ГБУ ""АВТОМОБИЛЬНЫЕ ДОРОГИ""")</f>
        <v>ГБУ "АВТОМОБИЛЬНЫЕ ДОРОГИ"</v>
      </c>
      <c r="B12763" s="24" t="s">
        <v>11298</v>
      </c>
      <c r="C12763" s="25">
        <v>27570231.649999999</v>
      </c>
      <c r="D12763" s="22" t="s">
        <v>17248</v>
      </c>
      <c r="E12763" s="22" t="s">
        <v>11300</v>
      </c>
      <c r="F12763" s="23" t="str">
        <f>HYPERLINK("https://www.spark-marketing.ru/Card/Lot/72164015", "Аукцион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""Автомобильные дороги""")</f>
        <v>Аукцион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"Автомобильные дороги"</v>
      </c>
      <c r="G12763" s="22" t="s">
        <v>56</v>
      </c>
      <c r="H12763" s="22" t="s">
        <v>56</v>
      </c>
      <c r="I12763" s="26">
        <v>43663.595300925903</v>
      </c>
      <c r="J12763" s="23" t="str">
        <f>HYPERLINK("https://www.spark-marketing.ru/Card/Person/4351921", "ООО ""ПЦН СЕРВИС - 01""")</f>
        <v>ООО "ПЦН СЕРВИС - 01"</v>
      </c>
      <c r="K12763" s="24" t="s">
        <v>12498</v>
      </c>
      <c r="L12763" s="28" t="s">
        <v>51</v>
      </c>
      <c r="M12763" s="25">
        <v>21250297.390000001</v>
      </c>
      <c r="N12763" s="27">
        <v>0.22923036484533854</v>
      </c>
    </row>
    <row r="12764" spans="1:14" hidden="1" outlineLevel="1" x14ac:dyDescent="0.2">
      <c r="A12764" s="23" t="str">
        <f>HYPERLINK("https://www.spark-marketing.ru/Card/Person/7441", "ГБУ ""АВТОМОБИЛЬНЫЕ ДОРОГИ""")</f>
        <v>ГБУ "АВТОМОБИЛЬНЫЕ ДОРОГИ"</v>
      </c>
      <c r="B12764" s="24" t="s">
        <v>11298</v>
      </c>
      <c r="C12764" s="25">
        <v>27570231.649999999</v>
      </c>
      <c r="D12764" s="22" t="s">
        <v>17248</v>
      </c>
      <c r="E12764" s="22" t="s">
        <v>11300</v>
      </c>
      <c r="F12764" s="23" t="str">
        <f>HYPERLINK("https://www.spark-marketing.ru/Card/Lot/72164015", "Аукцион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""Автомобильные дороги""")</f>
        <v>Аукцион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"Автомобильные дороги"</v>
      </c>
      <c r="G12764" s="22" t="s">
        <v>56</v>
      </c>
      <c r="H12764" s="22" t="s">
        <v>56</v>
      </c>
      <c r="I12764" s="26">
        <v>43663.595300925903</v>
      </c>
      <c r="J12764" s="23" t="str">
        <f>HYPERLINK("https://www.spark-marketing.ru/Card/Person/89369", "ООО ""ЭНЕРГОСТАР""")</f>
        <v>ООО "ЭНЕРГОСТАР"</v>
      </c>
      <c r="K12764" s="24" t="s">
        <v>10803</v>
      </c>
      <c r="L12764" s="28" t="s">
        <v>51</v>
      </c>
      <c r="M12764" s="25">
        <v>20642631.82</v>
      </c>
      <c r="N12764" s="27">
        <v>0.25127100555210607</v>
      </c>
    </row>
    <row r="12765" spans="1:14" hidden="1" outlineLevel="1" x14ac:dyDescent="0.2">
      <c r="A12765" s="23" t="str">
        <f>HYPERLINK("https://www.spark-marketing.ru/Card/Person/7441", "ГБУ ""АВТОМОБИЛЬНЫЕ ДОРОГИ""")</f>
        <v>ГБУ "АВТОМОБИЛЬНЫЕ ДОРОГИ"</v>
      </c>
      <c r="B12765" s="24" t="s">
        <v>11298</v>
      </c>
      <c r="C12765" s="25">
        <v>27570231.649999999</v>
      </c>
      <c r="D12765" s="22" t="s">
        <v>17248</v>
      </c>
      <c r="E12765" s="22" t="s">
        <v>11300</v>
      </c>
      <c r="F12765" s="23" t="str">
        <f>HYPERLINK("https://www.spark-marketing.ru/Card/Lot/72164015", "Аукцион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""Автомобильные дороги""")</f>
        <v>Аукцион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"Автомобильные дороги"</v>
      </c>
      <c r="G12765" s="22" t="s">
        <v>56</v>
      </c>
      <c r="H12765" s="22" t="s">
        <v>56</v>
      </c>
      <c r="I12765" s="26">
        <v>43663.595300925903</v>
      </c>
      <c r="J12765" s="23" t="str">
        <f>HYPERLINK("https://www.spark-marketing.ru/Card/Person/6402341", "Геворгян Гарри Каджикович")</f>
        <v>Геворгян Гарри Каджикович</v>
      </c>
      <c r="K12765" s="24" t="s">
        <v>17249</v>
      </c>
      <c r="L12765" s="28" t="s">
        <v>51</v>
      </c>
      <c r="M12765" s="25">
        <v>1000</v>
      </c>
      <c r="N12765" s="27">
        <v>0.99996372899536379</v>
      </c>
    </row>
    <row r="12766" spans="1:14" hidden="1" outlineLevel="1" x14ac:dyDescent="0.2">
      <c r="A12766" s="23" t="str">
        <f>HYPERLINK("https://www.spark-marketing.ru/Card/Person/7441", "ГБУ ""АВТОМОБИЛЬНЫЕ ДОРОГИ""")</f>
        <v>ГБУ "АВТОМОБИЛЬНЫЕ ДОРОГИ"</v>
      </c>
      <c r="B12766" s="24" t="s">
        <v>11298</v>
      </c>
      <c r="C12766" s="25">
        <v>27570231.649999999</v>
      </c>
      <c r="D12766" s="22" t="s">
        <v>17248</v>
      </c>
      <c r="E12766" s="22" t="s">
        <v>11300</v>
      </c>
      <c r="F12766" s="23" t="str">
        <f>HYPERLINK("https://www.spark-marketing.ru/Card/Lot/72164015", "Аукцион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""Автомобильные дороги""")</f>
        <v>Аукцион в электронной форме на право заключения контракта на оказание услуг по эксплуатационному обслуживанию и замене вышедших из строя отдельных элементов систем обеспечения безопасности для нужд ГБУ "Автомобильные дороги"</v>
      </c>
      <c r="G12766" s="22" t="s">
        <v>56</v>
      </c>
      <c r="H12766" s="22" t="s">
        <v>56</v>
      </c>
      <c r="I12766" s="26">
        <v>43663.595300925903</v>
      </c>
      <c r="J12766" s="23" t="str">
        <f>HYPERLINK("https://www.spark-marketing.ru/Card/Person/2576651", "ООО ЧОП ""БИМ""")</f>
        <v>ООО ЧОП "БИМ"</v>
      </c>
      <c r="K12766" s="24" t="s">
        <v>17250</v>
      </c>
      <c r="L12766" s="28" t="s">
        <v>51</v>
      </c>
      <c r="M12766" s="25">
        <v>370322.07</v>
      </c>
      <c r="N12766" s="27">
        <v>0.98656804648211938</v>
      </c>
    </row>
    <row r="12767" spans="1:14" x14ac:dyDescent="0.2">
      <c r="A12767" s="23" t="str">
        <f>HYPERLINK("https://www.spark-marketing.ru/Card/Person/1761894", "ГАУ АО ""СШОР ""ПОМОРЬЕ""")</f>
        <v>ГАУ АО "СШОР "ПОМОРЬЕ"</v>
      </c>
      <c r="B12767" s="24" t="s">
        <v>9303</v>
      </c>
      <c r="C12767" s="25">
        <v>540000</v>
      </c>
      <c r="D12767" s="22" t="s">
        <v>17251</v>
      </c>
      <c r="E12767" s="22" t="s">
        <v>17252</v>
      </c>
      <c r="F12767" s="23" t="str">
        <f>HYPERLINK("https://www.spark-marketing.ru/Card/Lot/72165741", "Оказание услуг по организации питания")</f>
        <v>Оказание услуг по организации питания</v>
      </c>
      <c r="G12767" s="22" t="s">
        <v>214</v>
      </c>
      <c r="H12767" s="22" t="s">
        <v>214</v>
      </c>
      <c r="I12767" s="26">
        <v>43663.613113425898</v>
      </c>
      <c r="J12767" s="28" t="s">
        <v>51</v>
      </c>
      <c r="K12767" s="28" t="s">
        <v>51</v>
      </c>
      <c r="L12767" s="22" t="s">
        <v>10</v>
      </c>
      <c r="M12767" s="25">
        <v>540000</v>
      </c>
      <c r="N12767" s="27">
        <v>0</v>
      </c>
    </row>
    <row r="12768" spans="1:14" x14ac:dyDescent="0.15">
      <c r="A12768" s="23" t="str">
        <f>HYPERLINK("https://www.spark-marketing.ru/Card/Person/667839", "САНАТОРИЙ ""ДЮНА "" ( ООО )")</f>
        <v>САНАТОРИЙ "ДЮНА " ( ООО )</v>
      </c>
      <c r="B12768" s="24" t="s">
        <v>17253</v>
      </c>
      <c r="C12768" s="25">
        <v>527000</v>
      </c>
      <c r="D12768" s="22" t="s">
        <v>17254</v>
      </c>
      <c r="E12768" s="22" t="s">
        <v>7206</v>
      </c>
      <c r="F12768" s="23" t="str">
        <f>HYPERLINK("https://www.spark-marketing.ru/Card/Lot/72165328", "Услуги питания")</f>
        <v>Услуги питания</v>
      </c>
      <c r="G12768" s="22" t="s">
        <v>104</v>
      </c>
      <c r="H12768" s="22" t="s">
        <v>104</v>
      </c>
      <c r="I12768" s="26">
        <v>43663.605451388903</v>
      </c>
      <c r="J12768" s="28" t="s">
        <v>51</v>
      </c>
      <c r="K12768" s="28" t="s">
        <v>51</v>
      </c>
      <c r="L12768" s="28" t="s">
        <v>51</v>
      </c>
      <c r="M12768" s="28" t="s">
        <v>51</v>
      </c>
      <c r="N12768" s="28" t="s">
        <v>51</v>
      </c>
    </row>
    <row r="12769" spans="1:14" x14ac:dyDescent="0.15">
      <c r="A12769" s="23" t="str">
        <f>HYPERLINK("https://www.spark-marketing.ru/Card/Person/1005852", "МОУ СОШ №7")</f>
        <v>МОУ СОШ №7</v>
      </c>
      <c r="B12769" s="24" t="s">
        <v>17255</v>
      </c>
      <c r="C12769" s="25">
        <v>2000400</v>
      </c>
      <c r="D12769" s="22" t="s">
        <v>17256</v>
      </c>
      <c r="E12769" s="22" t="s">
        <v>48</v>
      </c>
      <c r="F12769" s="23" t="str">
        <f>HYPERLINK("https://www.spark-marketing.ru/Card/Lot/72162322", "на оказание услуг по организации питания для категорий обучающихся из многодетных, малообеспеченных, опекаемых семей, детей-инвалидов, начальных классов МОУ СОШ №7")</f>
        <v>на оказание услуг по организации питания для категорий обучающихся из многодетных, малообеспеченных, опекаемых семей, детей-инвалидов, начальных классов МОУ СОШ №7</v>
      </c>
      <c r="G12769" s="22" t="s">
        <v>185</v>
      </c>
      <c r="H12769" s="22" t="s">
        <v>2121</v>
      </c>
      <c r="I12769" s="26">
        <v>43663.608819444402</v>
      </c>
      <c r="J12769" s="23" t="str">
        <f>HYPERLINK("https://www.spark-marketing.ru/Card/Person/1514444", "Рукавишникова Галина Александровна")</f>
        <v>Рукавишникова Галина Александровна</v>
      </c>
      <c r="K12769" s="24" t="s">
        <v>10161</v>
      </c>
      <c r="L12769" s="22" t="s">
        <v>10</v>
      </c>
      <c r="M12769" s="28" t="s">
        <v>51</v>
      </c>
      <c r="N12769" s="28" t="s">
        <v>51</v>
      </c>
    </row>
    <row r="12770" spans="1:14" x14ac:dyDescent="0.15">
      <c r="A12770" s="23" t="str">
        <f>HYPERLINK("https://www.spark-marketing.ru/Card/Person/55258", "ГЛАВНОЕ УПРАВЛЕНИЕ МЧС РОССИИ ПО ВОЛГОГРАДСКОЙ ОБЛАСТИ")</f>
        <v>ГЛАВНОЕ УПРАВЛЕНИЕ МЧС РОССИИ ПО ВОЛГОГРАДСКОЙ ОБЛАСТИ</v>
      </c>
      <c r="B12770" s="24" t="s">
        <v>6151</v>
      </c>
      <c r="C12770" s="25">
        <v>350000</v>
      </c>
      <c r="D12770" s="22" t="s">
        <v>17257</v>
      </c>
      <c r="E12770" s="22" t="s">
        <v>48</v>
      </c>
      <c r="F12770" s="23" t="str">
        <f>HYPERLINK("https://www.spark-marketing.ru/Card/Lot/72173580", "Оказание услуг по обеспечению питанием")</f>
        <v>Оказание услуг по обеспечению питанием</v>
      </c>
      <c r="G12770" s="22" t="s">
        <v>158</v>
      </c>
      <c r="H12770" s="22" t="s">
        <v>158</v>
      </c>
      <c r="I12770" s="26">
        <v>43663.569872685199</v>
      </c>
      <c r="J12770" s="23" t="str">
        <f>HYPERLINK("https://www.spark-marketing.ru/Card/Person/6639875", "ООО ""ПИФАГОР""")</f>
        <v>ООО "ПИФАГОР"</v>
      </c>
      <c r="K12770" s="24" t="s">
        <v>6153</v>
      </c>
      <c r="L12770" s="22" t="s">
        <v>10</v>
      </c>
      <c r="M12770" s="28" t="s">
        <v>51</v>
      </c>
      <c r="N12770" s="28" t="s">
        <v>51</v>
      </c>
    </row>
    <row r="12771" spans="1:14" x14ac:dyDescent="0.15">
      <c r="A12771" s="23" t="str">
        <f>HYPERLINK("https://www.spark-marketing.ru/Card/Person/263867", "МО МВД РОССИИ ""ВЕРХОВАЖСКИЙ""")</f>
        <v>МО МВД РОССИИ "ВЕРХОВАЖСКИЙ"</v>
      </c>
      <c r="B12771" s="24" t="s">
        <v>17258</v>
      </c>
      <c r="C12771" s="25">
        <v>250021</v>
      </c>
      <c r="D12771" s="22" t="s">
        <v>17259</v>
      </c>
      <c r="E12771" s="22" t="s">
        <v>48</v>
      </c>
      <c r="F12771" s="23" t="str">
        <f>HYPERLINK("https://www.spark-marketing.ru/Card/Lot/72154630", "Обеспечение горячим питанием лиц, содержащихся в ИВС")</f>
        <v>Обеспечение горячим питанием лиц, содержащихся в ИВС</v>
      </c>
      <c r="G12771" s="22" t="s">
        <v>503</v>
      </c>
      <c r="H12771" s="22" t="s">
        <v>17260</v>
      </c>
      <c r="I12771" s="26">
        <v>43663.552291666703</v>
      </c>
      <c r="J12771" s="23" t="str">
        <f>HYPERLINK("https://www.spark-marketing.ru/Card/Person/528266", "ПО ""ВЕРХОВАЖСКИЙ ХЛЕБ""")</f>
        <v>ПО "ВЕРХОВАЖСКИЙ ХЛЕБ"</v>
      </c>
      <c r="K12771" s="24" t="s">
        <v>17261</v>
      </c>
      <c r="L12771" s="22" t="s">
        <v>10</v>
      </c>
      <c r="M12771" s="28" t="s">
        <v>51</v>
      </c>
      <c r="N12771" s="28" t="s">
        <v>51</v>
      </c>
    </row>
    <row r="12772" spans="1:14" x14ac:dyDescent="0.15">
      <c r="A12772" s="23" t="str">
        <f>HYPERLINK("https://www.spark-marketing.ru/Card/Person/136980", "ГПОУ ЯО ГАВРИЛОВ-ЯМСКИЙ ПОЛИТЕХНИЧЕСКИЙ КОЛЛЕДЖ")</f>
        <v>ГПОУ ЯО ГАВРИЛОВ-ЯМСКИЙ ПОЛИТЕХНИЧЕСКИЙ КОЛЛЕДЖ</v>
      </c>
      <c r="B12772" s="24" t="s">
        <v>17262</v>
      </c>
      <c r="C12772" s="25">
        <v>821150</v>
      </c>
      <c r="D12772" s="22" t="s">
        <v>17263</v>
      </c>
      <c r="E12772" s="22" t="s">
        <v>48</v>
      </c>
      <c r="F12772" s="23" t="str">
        <f>HYPERLINK("https://www.spark-marketing.ru/Card/Lot/72160682", "Услуги по организации питания обучающихся в учебное и внеучебное время.")</f>
        <v>Услуги по организации питания обучающихся в учебное и внеучебное время.</v>
      </c>
      <c r="G12772" s="22" t="s">
        <v>185</v>
      </c>
      <c r="H12772" s="22" t="s">
        <v>6721</v>
      </c>
      <c r="I12772" s="26">
        <v>43663.541666666701</v>
      </c>
      <c r="J12772" s="28" t="s">
        <v>51</v>
      </c>
      <c r="K12772" s="28" t="s">
        <v>51</v>
      </c>
      <c r="L12772" s="28" t="s">
        <v>51</v>
      </c>
      <c r="M12772" s="28" t="s">
        <v>51</v>
      </c>
      <c r="N12772" s="28" t="s">
        <v>51</v>
      </c>
    </row>
    <row r="12773" spans="1:14" collapsed="1" x14ac:dyDescent="0.15">
      <c r="A12773" s="23" t="str">
        <f t="shared" ref="A12773:A12780" si="419">HYPERLINK("https://www.spark-marketing.ru/Card/Person/233399", "ГБУ КК ""ЦОП ПО ЗВС""")</f>
        <v>ГБУ КК "ЦОП ПО ЗВС"</v>
      </c>
      <c r="B12773" s="24" t="s">
        <v>9885</v>
      </c>
      <c r="C12773" s="25">
        <v>352000</v>
      </c>
      <c r="D12773" s="22" t="s">
        <v>17264</v>
      </c>
      <c r="E12773" s="22" t="s">
        <v>1632</v>
      </c>
      <c r="F12773" s="23" t="str">
        <f>HYPERLINK("https://www.spark-marketing.ru/Card/Lot/72159100",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73" s="22" t="s">
        <v>104</v>
      </c>
      <c r="H12773" s="22" t="s">
        <v>969</v>
      </c>
      <c r="I12773" s="26">
        <v>43663.553055555603</v>
      </c>
      <c r="J12773" s="28" t="s">
        <v>51</v>
      </c>
      <c r="K12773" s="28" t="s">
        <v>51</v>
      </c>
      <c r="L12773" s="28" t="s">
        <v>51</v>
      </c>
      <c r="M12773" s="28" t="s">
        <v>51</v>
      </c>
      <c r="N12773" s="28" t="s">
        <v>51</v>
      </c>
    </row>
    <row r="12774" spans="1:14" hidden="1" outlineLevel="1" x14ac:dyDescent="0.2">
      <c r="A12774" s="23" t="str">
        <f t="shared" si="419"/>
        <v>ГБУ КК "ЦОП ПО ЗВС"</v>
      </c>
      <c r="B12774" s="24" t="s">
        <v>9885</v>
      </c>
      <c r="C12774" s="25">
        <v>352000</v>
      </c>
      <c r="D12774" s="22" t="s">
        <v>17264</v>
      </c>
      <c r="E12774" s="22" t="s">
        <v>1632</v>
      </c>
      <c r="F12774" s="23" t="str">
        <f>HYPERLINK("https://www.spark-marketing.ru/Card/Lot/72159100",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74" s="22" t="s">
        <v>104</v>
      </c>
      <c r="H12774" s="22" t="s">
        <v>969</v>
      </c>
      <c r="I12774" s="26">
        <v>43663.553055555603</v>
      </c>
      <c r="J12774" s="23" t="str">
        <f>HYPERLINK("https://www.spark-marketing.ru/Card/Person/6501154", "ООО ""ГИГАНТ""")</f>
        <v>ООО "ГИГАНТ"</v>
      </c>
      <c r="K12774" s="24" t="s">
        <v>9887</v>
      </c>
      <c r="L12774" s="28" t="s">
        <v>51</v>
      </c>
      <c r="M12774" s="25">
        <v>2002</v>
      </c>
      <c r="N12774" s="27">
        <v>0.99431250000000004</v>
      </c>
    </row>
    <row r="12775" spans="1:14" ht="12.75" hidden="1" outlineLevel="1" x14ac:dyDescent="0.2">
      <c r="A12775" s="23" t="str">
        <f t="shared" si="419"/>
        <v>ГБУ КК "ЦОП ПО ЗВС"</v>
      </c>
      <c r="B12775" s="24" t="s">
        <v>9885</v>
      </c>
      <c r="C12775" s="25">
        <v>352000</v>
      </c>
      <c r="D12775" s="22" t="s">
        <v>17264</v>
      </c>
      <c r="E12775" s="22" t="s">
        <v>1632</v>
      </c>
      <c r="F12775" s="23" t="str">
        <f>HYPERLINK("https://www.spark-marketing.ru/Card/Lot/72159100",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75" s="22" t="s">
        <v>104</v>
      </c>
      <c r="H12775" s="22" t="s">
        <v>969</v>
      </c>
      <c r="I12775" s="26">
        <v>43663.553055555603</v>
      </c>
      <c r="J12775" s="23" t="str">
        <f>HYPERLINK("https://www.spark-marketing.ru/Card/Person/6199231", "Полочанская Ольга Геннадьевна")</f>
        <v>Полочанская Ольга Геннадьевна</v>
      </c>
      <c r="K12775" s="24" t="s">
        <v>2484</v>
      </c>
      <c r="L12775" s="22" t="s">
        <v>10</v>
      </c>
      <c r="M12775" s="25">
        <v>1991</v>
      </c>
      <c r="N12775" s="27">
        <v>0.99434374999999997</v>
      </c>
    </row>
    <row r="12776" spans="1:14" hidden="1" outlineLevel="1" x14ac:dyDescent="0.2">
      <c r="A12776" s="23" t="str">
        <f t="shared" si="419"/>
        <v>ГБУ КК "ЦОП ПО ЗВС"</v>
      </c>
      <c r="B12776" s="24" t="s">
        <v>9885</v>
      </c>
      <c r="C12776" s="25">
        <v>352000</v>
      </c>
      <c r="D12776" s="22" t="s">
        <v>17264</v>
      </c>
      <c r="E12776" s="22" t="s">
        <v>1632</v>
      </c>
      <c r="F12776" s="23" t="str">
        <f>HYPERLINK("https://www.spark-marketing.ru/Card/Lot/72159100",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76" s="22" t="s">
        <v>104</v>
      </c>
      <c r="H12776" s="22" t="s">
        <v>969</v>
      </c>
      <c r="I12776" s="26">
        <v>43663.553055555603</v>
      </c>
      <c r="J12776" s="23" t="str">
        <f>HYPERLINK("https://www.spark-marketing.ru/Card/Person/139386", "ООО ""АВИАМИР""")</f>
        <v>ООО "АВИАМИР"</v>
      </c>
      <c r="K12776" s="24" t="s">
        <v>2326</v>
      </c>
      <c r="L12776" s="28" t="s">
        <v>51</v>
      </c>
      <c r="M12776" s="25">
        <v>2024</v>
      </c>
      <c r="N12776" s="27">
        <v>0.99424999999999997</v>
      </c>
    </row>
    <row r="12777" spans="1:14" collapsed="1" x14ac:dyDescent="0.15">
      <c r="A12777" s="23" t="str">
        <f t="shared" si="419"/>
        <v>ГБУ КК "ЦОП ПО ЗВС"</v>
      </c>
      <c r="B12777" s="24" t="s">
        <v>9885</v>
      </c>
      <c r="C12777" s="25">
        <v>495000</v>
      </c>
      <c r="D12777" s="22" t="s">
        <v>17265</v>
      </c>
      <c r="E12777" s="22" t="s">
        <v>1632</v>
      </c>
      <c r="F12777" s="23" t="str">
        <f>HYPERLINK("https://www.spark-marketing.ru/Card/Lot/72159629",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77" s="22" t="s">
        <v>104</v>
      </c>
      <c r="H12777" s="22" t="s">
        <v>969</v>
      </c>
      <c r="I12777" s="26">
        <v>43663.552349537</v>
      </c>
      <c r="J12777" s="28" t="s">
        <v>51</v>
      </c>
      <c r="K12777" s="28" t="s">
        <v>51</v>
      </c>
      <c r="L12777" s="28" t="s">
        <v>51</v>
      </c>
      <c r="M12777" s="28" t="s">
        <v>51</v>
      </c>
      <c r="N12777" s="28" t="s">
        <v>51</v>
      </c>
    </row>
    <row r="12778" spans="1:14" ht="12.75" hidden="1" outlineLevel="1" x14ac:dyDescent="0.2">
      <c r="A12778" s="23" t="str">
        <f t="shared" si="419"/>
        <v>ГБУ КК "ЦОП ПО ЗВС"</v>
      </c>
      <c r="B12778" s="24" t="s">
        <v>9885</v>
      </c>
      <c r="C12778" s="25">
        <v>495000</v>
      </c>
      <c r="D12778" s="22" t="s">
        <v>17265</v>
      </c>
      <c r="E12778" s="22" t="s">
        <v>1632</v>
      </c>
      <c r="F12778" s="23" t="str">
        <f>HYPERLINK("https://www.spark-marketing.ru/Card/Lot/72159629",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78" s="22" t="s">
        <v>104</v>
      </c>
      <c r="H12778" s="22" t="s">
        <v>969</v>
      </c>
      <c r="I12778" s="26">
        <v>43663.552349537</v>
      </c>
      <c r="J12778" s="23" t="str">
        <f>HYPERLINK("https://www.spark-marketing.ru/Card/Person/6501154", "ООО ""ГИГАНТ""")</f>
        <v>ООО "ГИГАНТ"</v>
      </c>
      <c r="K12778" s="24" t="s">
        <v>9887</v>
      </c>
      <c r="L12778" s="22" t="s">
        <v>10</v>
      </c>
      <c r="M12778" s="25">
        <v>2000</v>
      </c>
      <c r="N12778" s="27">
        <v>0.99595959595959593</v>
      </c>
    </row>
    <row r="12779" spans="1:14" hidden="1" outlineLevel="1" x14ac:dyDescent="0.2">
      <c r="A12779" s="23" t="str">
        <f t="shared" si="419"/>
        <v>ГБУ КК "ЦОП ПО ЗВС"</v>
      </c>
      <c r="B12779" s="24" t="s">
        <v>9885</v>
      </c>
      <c r="C12779" s="25">
        <v>495000</v>
      </c>
      <c r="D12779" s="22" t="s">
        <v>17265</v>
      </c>
      <c r="E12779" s="22" t="s">
        <v>1632</v>
      </c>
      <c r="F12779" s="23" t="str">
        <f>HYPERLINK("https://www.spark-marketing.ru/Card/Lot/72159629",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79" s="22" t="s">
        <v>104</v>
      </c>
      <c r="H12779" s="22" t="s">
        <v>969</v>
      </c>
      <c r="I12779" s="26">
        <v>43663.552349537</v>
      </c>
      <c r="J12779" s="23" t="str">
        <f>HYPERLINK("https://www.spark-marketing.ru/Card/Person/233813", "ООО ""СПРИНТ ТУР""")</f>
        <v>ООО "СПРИНТ ТУР"</v>
      </c>
      <c r="K12779" s="24" t="s">
        <v>9888</v>
      </c>
      <c r="L12779" s="28" t="s">
        <v>51</v>
      </c>
      <c r="M12779" s="25">
        <v>2012.5</v>
      </c>
      <c r="N12779" s="27">
        <v>0.99593434343434339</v>
      </c>
    </row>
    <row r="12780" spans="1:14" hidden="1" outlineLevel="1" x14ac:dyDescent="0.2">
      <c r="A12780" s="23" t="str">
        <f t="shared" si="419"/>
        <v>ГБУ КК "ЦОП ПО ЗВС"</v>
      </c>
      <c r="B12780" s="24" t="s">
        <v>9885</v>
      </c>
      <c r="C12780" s="25">
        <v>495000</v>
      </c>
      <c r="D12780" s="22" t="s">
        <v>17265</v>
      </c>
      <c r="E12780" s="22" t="s">
        <v>1632</v>
      </c>
      <c r="F12780" s="23" t="str">
        <f>HYPERLINK("https://www.spark-marketing.ru/Card/Lot/72159629",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80" s="22" t="s">
        <v>104</v>
      </c>
      <c r="H12780" s="22" t="s">
        <v>969</v>
      </c>
      <c r="I12780" s="26">
        <v>43663.552349537</v>
      </c>
      <c r="J12780" s="23" t="str">
        <f>HYPERLINK("https://www.spark-marketing.ru/Card/Person/139386", "ООО ""АВИАМИР""")</f>
        <v>ООО "АВИАМИР"</v>
      </c>
      <c r="K12780" s="24" t="s">
        <v>2326</v>
      </c>
      <c r="L12780" s="28" t="s">
        <v>51</v>
      </c>
      <c r="M12780" s="25">
        <v>2412.5</v>
      </c>
      <c r="N12780" s="27">
        <v>0.99512626262626258</v>
      </c>
    </row>
    <row r="12781" spans="1:14" x14ac:dyDescent="0.15">
      <c r="A12781" s="23" t="str">
        <f>HYPERLINK("https://www.spark-marketing.ru/Card/Person/1005158", "МБДОУ ДЕТСКИЙ САД № 49 ""ПОЧЕМУЧКИ""")</f>
        <v>МБДОУ ДЕТСКИЙ САД № 49 "ПОЧЕМУЧКИ"</v>
      </c>
      <c r="B12781" s="24" t="s">
        <v>5478</v>
      </c>
      <c r="C12781" s="25">
        <v>74000</v>
      </c>
      <c r="D12781" s="22" t="s">
        <v>17266</v>
      </c>
      <c r="E12781" s="22" t="s">
        <v>898</v>
      </c>
      <c r="F12781" s="23" t="str">
        <f>HYPERLINK("https://www.spark-marketing.ru/Card/Lot/72149497", "Оказание услуг по установке камер видеонаблюдения, серверов, обеспечивающих работоспособность установленных видеокамер, источников бесперебойного питания, домофонов и иных сопутствующих товаров, работ, услуг")</f>
        <v>Оказание услуг по установке камер видеонаблюдения, серверов, обеспечивающих работоспособность установленных видеокамер, источников бесперебойного питания, домофонов и иных сопутствующих товаров, работ, услуг</v>
      </c>
      <c r="G12781" s="22" t="s">
        <v>49</v>
      </c>
      <c r="H12781" s="22" t="s">
        <v>180</v>
      </c>
      <c r="I12781" s="26">
        <v>43663.5239814815</v>
      </c>
      <c r="J12781" s="28" t="s">
        <v>51</v>
      </c>
      <c r="K12781" s="28" t="s">
        <v>51</v>
      </c>
      <c r="L12781" s="28" t="s">
        <v>51</v>
      </c>
      <c r="M12781" s="28" t="s">
        <v>51</v>
      </c>
      <c r="N12781" s="28" t="s">
        <v>51</v>
      </c>
    </row>
    <row r="12782" spans="1:14" collapsed="1" x14ac:dyDescent="0.15">
      <c r="A12782" s="23" t="str">
        <f>HYPERLINK("https://www.spark-marketing.ru/Card/Person/77078", "УПРАВЛЕНИЕ ДЕЛАМИ ГУБЕРНАТОРА И ПРАВИТЕЛЬСТВА КРАСНОЯРСКОГО КРАЯ")</f>
        <v>УПРАВЛЕНИЕ ДЕЛАМИ ГУБЕРНАТОРА И ПРАВИТЕЛЬСТВА КРАСНОЯРСКОГО КРАЯ</v>
      </c>
      <c r="B12782" s="24" t="s">
        <v>17058</v>
      </c>
      <c r="C12782" s="25">
        <v>758820.85</v>
      </c>
      <c r="D12782" s="22" t="s">
        <v>17267</v>
      </c>
      <c r="E12782" s="22" t="s">
        <v>437</v>
      </c>
      <c r="F12782" s="23" t="str">
        <f>HYPERLINK("https://www.spark-marketing.ru/Card/Lot/72160839", "№ ЭА 44957/19 «Оказание услуг по проведению аттестации и периодических (ежегодных) контрольных проверок по требованиям безопасности информации объектов информатизации и специальных проверок технических средств Администрации Губернатора Красноярского ...")</f>
        <v>№ ЭА 44957/19 «Оказание услуг по проведению аттестации и периодических (ежегодных) контрольных проверок по требованиям безопасности информации объектов информатизации и специальных проверок технических средств Администрации Губернатора Красноярского ...</v>
      </c>
      <c r="G12782" s="22" t="s">
        <v>281</v>
      </c>
      <c r="H12782" s="22" t="s">
        <v>1036</v>
      </c>
      <c r="I12782" s="26">
        <v>43663.533148148097</v>
      </c>
      <c r="J12782" s="28" t="s">
        <v>51</v>
      </c>
      <c r="K12782" s="28" t="s">
        <v>51</v>
      </c>
      <c r="L12782" s="28" t="s">
        <v>51</v>
      </c>
      <c r="M12782" s="28" t="s">
        <v>51</v>
      </c>
      <c r="N12782" s="28" t="s">
        <v>51</v>
      </c>
    </row>
    <row r="12783" spans="1:14" ht="12.75" hidden="1" outlineLevel="1" x14ac:dyDescent="0.2">
      <c r="A12783" s="23" t="str">
        <f>HYPERLINK("https://www.spark-marketing.ru/Card/Person/77078", "УПРАВЛЕНИЕ ДЕЛАМИ ГУБЕРНАТОРА И ПРАВИТЕЛЬСТВА КРАСНОЯРСКОГО КРАЯ")</f>
        <v>УПРАВЛЕНИЕ ДЕЛАМИ ГУБЕРНАТОРА И ПРАВИТЕЛЬСТВА КРАСНОЯРСКОГО КРАЯ</v>
      </c>
      <c r="B12783" s="24" t="s">
        <v>17058</v>
      </c>
      <c r="C12783" s="25">
        <v>758820.85</v>
      </c>
      <c r="D12783" s="22" t="s">
        <v>17267</v>
      </c>
      <c r="E12783" s="22" t="s">
        <v>437</v>
      </c>
      <c r="F12783" s="23" t="str">
        <f>HYPERLINK("https://www.spark-marketing.ru/Card/Lot/72160839", "№ ЭА 44957/19 «Оказание услуг по проведению аттестации и периодических (ежегодных) контрольных проверок по требованиям безопасности информации объектов информатизации и специальных проверок технических средств Администрации Губернатора Красноярского ...")</f>
        <v>№ ЭА 44957/19 «Оказание услуг по проведению аттестации и периодических (ежегодных) контрольных проверок по требованиям безопасности информации объектов информатизации и специальных проверок технических средств Администрации Губернатора Красноярского ...</v>
      </c>
      <c r="G12783" s="22" t="s">
        <v>281</v>
      </c>
      <c r="H12783" s="22" t="s">
        <v>1036</v>
      </c>
      <c r="I12783" s="26">
        <v>43663.533148148097</v>
      </c>
      <c r="J12783" s="23" t="str">
        <f>HYPERLINK("https://www.spark-marketing.ru/Card/Person/4360350", "Новосибирский научно-технический центр ФГУП ""НПП ""Гамма""")</f>
        <v>Новосибирский научно-технический центр ФГУП "НПП "Гамма"</v>
      </c>
      <c r="K12783" s="24" t="s">
        <v>2431</v>
      </c>
      <c r="L12783" s="22" t="s">
        <v>10</v>
      </c>
      <c r="M12783" s="25">
        <v>388294.24</v>
      </c>
      <c r="N12783" s="27">
        <v>0.48829260556032428</v>
      </c>
    </row>
    <row r="12784" spans="1:14" hidden="1" outlineLevel="1" x14ac:dyDescent="0.2">
      <c r="A12784" s="23" t="str">
        <f>HYPERLINK("https://www.spark-marketing.ru/Card/Person/77078", "УПРАВЛЕНИЕ ДЕЛАМИ ГУБЕРНАТОРА И ПРАВИТЕЛЬСТВА КРАСНОЯРСКОГО КРАЯ")</f>
        <v>УПРАВЛЕНИЕ ДЕЛАМИ ГУБЕРНАТОРА И ПРАВИТЕЛЬСТВА КРАСНОЯРСКОГО КРАЯ</v>
      </c>
      <c r="B12784" s="24" t="s">
        <v>17058</v>
      </c>
      <c r="C12784" s="25">
        <v>758820.85</v>
      </c>
      <c r="D12784" s="22" t="s">
        <v>17267</v>
      </c>
      <c r="E12784" s="22" t="s">
        <v>437</v>
      </c>
      <c r="F12784" s="23" t="str">
        <f>HYPERLINK("https://www.spark-marketing.ru/Card/Lot/72160839", "№ ЭА 44957/19 «Оказание услуг по проведению аттестации и периодических (ежегодных) контрольных проверок по требованиям безопасности информации объектов информатизации и специальных проверок технических средств Администрации Губернатора Красноярского ...")</f>
        <v>№ ЭА 44957/19 «Оказание услуг по проведению аттестации и периодических (ежегодных) контрольных проверок по требованиям безопасности информации объектов информатизации и специальных проверок технических средств Администрации Губернатора Красноярского ...</v>
      </c>
      <c r="G12784" s="22" t="s">
        <v>281</v>
      </c>
      <c r="H12784" s="22" t="s">
        <v>1036</v>
      </c>
      <c r="I12784" s="26">
        <v>43663.533148148097</v>
      </c>
      <c r="J12784" s="23" t="str">
        <f>HYPERLINK("https://www.spark-marketing.ru/Card/Person/58301", "ООО ЧОО ""АРГУМЕНТ""")</f>
        <v>ООО ЧОО "АРГУМЕНТ"</v>
      </c>
      <c r="K12784" s="24" t="s">
        <v>2430</v>
      </c>
      <c r="L12784" s="28" t="s">
        <v>51</v>
      </c>
      <c r="M12784" s="25">
        <v>647000</v>
      </c>
      <c r="N12784" s="27">
        <v>0.14736133041151939</v>
      </c>
    </row>
    <row r="12785" spans="1:14" hidden="1" outlineLevel="1" x14ac:dyDescent="0.2">
      <c r="A12785" s="23" t="str">
        <f>HYPERLINK("https://www.spark-marketing.ru/Card/Person/77078", "УПРАВЛЕНИЕ ДЕЛАМИ ГУБЕРНАТОРА И ПРАВИТЕЛЬСТВА КРАСНОЯРСКОГО КРАЯ")</f>
        <v>УПРАВЛЕНИЕ ДЕЛАМИ ГУБЕРНАТОРА И ПРАВИТЕЛЬСТВА КРАСНОЯРСКОГО КРАЯ</v>
      </c>
      <c r="B12785" s="24" t="s">
        <v>17058</v>
      </c>
      <c r="C12785" s="25">
        <v>758820.85</v>
      </c>
      <c r="D12785" s="22" t="s">
        <v>17267</v>
      </c>
      <c r="E12785" s="22" t="s">
        <v>437</v>
      </c>
      <c r="F12785" s="23" t="str">
        <f>HYPERLINK("https://www.spark-marketing.ru/Card/Lot/72160839", "№ ЭА 44957/19 «Оказание услуг по проведению аттестации и периодических (ежегодных) контрольных проверок по требованиям безопасности информации объектов информатизации и специальных проверок технических средств Администрации Губернатора Красноярского ...")</f>
        <v>№ ЭА 44957/19 «Оказание услуг по проведению аттестации и периодических (ежегодных) контрольных проверок по требованиям безопасности информации объектов информатизации и специальных проверок технических средств Администрации Губернатора Красноярского ...</v>
      </c>
      <c r="G12785" s="22" t="s">
        <v>281</v>
      </c>
      <c r="H12785" s="22" t="s">
        <v>1036</v>
      </c>
      <c r="I12785" s="26">
        <v>43663.533148148097</v>
      </c>
      <c r="J12785" s="23" t="str">
        <f>HYPERLINK("https://www.spark-marketing.ru/Card/Person/286273", "АО ""НТЦ ""ФОРМУЛА ЗАЩИТЫ""")</f>
        <v>АО "НТЦ "ФОРМУЛА ЗАЩИТЫ"</v>
      </c>
      <c r="K12785" s="24" t="s">
        <v>17268</v>
      </c>
      <c r="L12785" s="28" t="s">
        <v>51</v>
      </c>
      <c r="M12785" s="25">
        <v>390000</v>
      </c>
      <c r="N12785" s="27">
        <v>0.48604469684774737</v>
      </c>
    </row>
    <row r="12786" spans="1:14" hidden="1" outlineLevel="1" x14ac:dyDescent="0.2">
      <c r="A12786" s="23" t="str">
        <f>HYPERLINK("https://www.spark-marketing.ru/Card/Person/77078", "УПРАВЛЕНИЕ ДЕЛАМИ ГУБЕРНАТОРА И ПРАВИТЕЛЬСТВА КРАСНОЯРСКОГО КРАЯ")</f>
        <v>УПРАВЛЕНИЕ ДЕЛАМИ ГУБЕРНАТОРА И ПРАВИТЕЛЬСТВА КРАСНОЯРСКОГО КРАЯ</v>
      </c>
      <c r="B12786" s="24" t="s">
        <v>17058</v>
      </c>
      <c r="C12786" s="25">
        <v>758820.85</v>
      </c>
      <c r="D12786" s="22" t="s">
        <v>17267</v>
      </c>
      <c r="E12786" s="22" t="s">
        <v>437</v>
      </c>
      <c r="F12786" s="23" t="str">
        <f>HYPERLINK("https://www.spark-marketing.ru/Card/Lot/72160839", "№ ЭА 44957/19 «Оказание услуг по проведению аттестации и периодических (ежегодных) контрольных проверок по требованиям безопасности информации объектов информатизации и специальных проверок технических средств Администрации Губернатора Красноярского ...")</f>
        <v>№ ЭА 44957/19 «Оказание услуг по проведению аттестации и периодических (ежегодных) контрольных проверок по требованиям безопасности информации объектов информатизации и специальных проверок технических средств Администрации Губернатора Красноярского ...</v>
      </c>
      <c r="G12786" s="22" t="s">
        <v>281</v>
      </c>
      <c r="H12786" s="22" t="s">
        <v>1036</v>
      </c>
      <c r="I12786" s="26">
        <v>43663.533148148097</v>
      </c>
      <c r="J12786" s="23" t="str">
        <f>HYPERLINK("https://www.spark-marketing.ru/Card/Person/132986", "ООО ""ЦИБ""")</f>
        <v>ООО "ЦИБ"</v>
      </c>
      <c r="K12786" s="24" t="s">
        <v>17269</v>
      </c>
      <c r="L12786" s="28" t="s">
        <v>51</v>
      </c>
      <c r="M12786" s="25">
        <v>510778.57</v>
      </c>
      <c r="N12786" s="27">
        <v>0.32687857746660492</v>
      </c>
    </row>
    <row r="12787" spans="1:14" collapsed="1" x14ac:dyDescent="0.15">
      <c r="A12787" s="23" t="str">
        <f>HYPERLINK("https://www.spark-marketing.ru/Card/Person/233399", "ГБУ КК ""ЦОП ПО ЗВС""")</f>
        <v>ГБУ КК "ЦОП ПО ЗВС"</v>
      </c>
      <c r="B12787" s="24" t="s">
        <v>9885</v>
      </c>
      <c r="C12787" s="25">
        <v>492500</v>
      </c>
      <c r="D12787" s="22" t="s">
        <v>17270</v>
      </c>
      <c r="E12787" s="22" t="s">
        <v>1632</v>
      </c>
      <c r="F12787" s="23" t="str">
        <f>HYPERLINK("https://www.spark-marketing.ru/Card/Lot/72159568",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87" s="22" t="s">
        <v>104</v>
      </c>
      <c r="H12787" s="22" t="s">
        <v>969</v>
      </c>
      <c r="I12787" s="26">
        <v>43663.513159722199</v>
      </c>
      <c r="J12787" s="28" t="s">
        <v>51</v>
      </c>
      <c r="K12787" s="28" t="s">
        <v>51</v>
      </c>
      <c r="L12787" s="28" t="s">
        <v>51</v>
      </c>
      <c r="M12787" s="28" t="s">
        <v>51</v>
      </c>
      <c r="N12787" s="28" t="s">
        <v>51</v>
      </c>
    </row>
    <row r="12788" spans="1:14" ht="12.75" hidden="1" outlineLevel="1" x14ac:dyDescent="0.2">
      <c r="A12788" s="23" t="str">
        <f>HYPERLINK("https://www.spark-marketing.ru/Card/Person/233399", "ГБУ КК ""ЦОП ПО ЗВС""")</f>
        <v>ГБУ КК "ЦОП ПО ЗВС"</v>
      </c>
      <c r="B12788" s="24" t="s">
        <v>9885</v>
      </c>
      <c r="C12788" s="25">
        <v>492500</v>
      </c>
      <c r="D12788" s="22" t="s">
        <v>17270</v>
      </c>
      <c r="E12788" s="22" t="s">
        <v>1632</v>
      </c>
      <c r="F12788" s="23" t="str">
        <f>HYPERLINK("https://www.spark-marketing.ru/Card/Lot/72159568",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88" s="22" t="s">
        <v>104</v>
      </c>
      <c r="H12788" s="22" t="s">
        <v>969</v>
      </c>
      <c r="I12788" s="26">
        <v>43663.513159722199</v>
      </c>
      <c r="J12788" s="23" t="str">
        <f>HYPERLINK("https://www.spark-marketing.ru/Card/Person/657466", "АО ""СКО ""РОСЮГКУРОРТ""")</f>
        <v>АО "СКО "РОСЮГКУРОРТ"</v>
      </c>
      <c r="K12788" s="24" t="s">
        <v>10685</v>
      </c>
      <c r="L12788" s="22" t="s">
        <v>10</v>
      </c>
      <c r="M12788" s="25">
        <v>1987.5</v>
      </c>
      <c r="N12788" s="27">
        <v>0.99596446700507613</v>
      </c>
    </row>
    <row r="12789" spans="1:14" hidden="1" outlineLevel="1" x14ac:dyDescent="0.2">
      <c r="A12789" s="23" t="str">
        <f>HYPERLINK("https://www.spark-marketing.ru/Card/Person/233399", "ГБУ КК ""ЦОП ПО ЗВС""")</f>
        <v>ГБУ КК "ЦОП ПО ЗВС"</v>
      </c>
      <c r="B12789" s="24" t="s">
        <v>9885</v>
      </c>
      <c r="C12789" s="25">
        <v>492500</v>
      </c>
      <c r="D12789" s="22" t="s">
        <v>17270</v>
      </c>
      <c r="E12789" s="22" t="s">
        <v>1632</v>
      </c>
      <c r="F12789" s="23" t="str">
        <f>HYPERLINK("https://www.spark-marketing.ru/Card/Lot/72159568",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89" s="22" t="s">
        <v>104</v>
      </c>
      <c r="H12789" s="22" t="s">
        <v>969</v>
      </c>
      <c r="I12789" s="26">
        <v>43663.513159722199</v>
      </c>
      <c r="J12789" s="23" t="str">
        <f>HYPERLINK("https://www.spark-marketing.ru/Card/Person/6501154", "ООО ""ГИГАНТ""")</f>
        <v>ООО "ГИГАНТ"</v>
      </c>
      <c r="K12789" s="24" t="s">
        <v>9887</v>
      </c>
      <c r="L12789" s="28" t="s">
        <v>51</v>
      </c>
      <c r="M12789" s="25">
        <v>2000</v>
      </c>
      <c r="N12789" s="27">
        <v>0.9959390862944163</v>
      </c>
    </row>
    <row r="12790" spans="1:14" hidden="1" outlineLevel="1" x14ac:dyDescent="0.2">
      <c r="A12790" s="23" t="str">
        <f>HYPERLINK("https://www.spark-marketing.ru/Card/Person/233399", "ГБУ КК ""ЦОП ПО ЗВС""")</f>
        <v>ГБУ КК "ЦОП ПО ЗВС"</v>
      </c>
      <c r="B12790" s="24" t="s">
        <v>9885</v>
      </c>
      <c r="C12790" s="25">
        <v>492500</v>
      </c>
      <c r="D12790" s="22" t="s">
        <v>17270</v>
      </c>
      <c r="E12790" s="22" t="s">
        <v>1632</v>
      </c>
      <c r="F12790" s="23" t="str">
        <f>HYPERLINK("https://www.spark-marketing.ru/Card/Lot/72159568",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90" s="22" t="s">
        <v>104</v>
      </c>
      <c r="H12790" s="22" t="s">
        <v>969</v>
      </c>
      <c r="I12790" s="26">
        <v>43663.513159722199</v>
      </c>
      <c r="J12790" s="23" t="str">
        <f>HYPERLINK("https://www.spark-marketing.ru/Card/Person/6199231", "Полочанская Ольга Геннадьевна")</f>
        <v>Полочанская Ольга Геннадьевна</v>
      </c>
      <c r="K12790" s="24" t="s">
        <v>2484</v>
      </c>
      <c r="L12790" s="28" t="s">
        <v>51</v>
      </c>
      <c r="M12790" s="25">
        <v>2112.5</v>
      </c>
      <c r="N12790" s="27">
        <v>0.99571065989847718</v>
      </c>
    </row>
    <row r="12791" spans="1:14" collapsed="1" x14ac:dyDescent="0.15">
      <c r="A12791" s="23" t="str">
        <f>HYPERLINK("https://www.spark-marketing.ru/Card/Person/144535", "ГУ ТО ""ТОЦМ""")</f>
        <v>ГУ ТО "ТОЦМ"</v>
      </c>
      <c r="B12791" s="24" t="s">
        <v>17271</v>
      </c>
      <c r="C12791" s="25">
        <v>378000</v>
      </c>
      <c r="D12791" s="22" t="s">
        <v>17272</v>
      </c>
      <c r="E12791" s="22" t="s">
        <v>6949</v>
      </c>
      <c r="F12791" s="23" t="str">
        <f>HYPERLINK("https://www.spark-marketing.ru/Card/Lot/72158727", "Оказание услуг по организации питания и проживания участников Тульского областного форума волонтерских организаций «Дорогою добра»")</f>
        <v>Оказание услуг по организации питания и проживания участников Тульского областного форума волонтерских организаций «Дорогою добра»</v>
      </c>
      <c r="G12791" s="22" t="s">
        <v>68</v>
      </c>
      <c r="H12791" s="22" t="s">
        <v>69</v>
      </c>
      <c r="I12791" s="26">
        <v>43663.518148148098</v>
      </c>
      <c r="J12791" s="23" t="str">
        <f>HYPERLINK("https://www.spark-marketing.ru/Card/Person/6578077", "ООО ""МАЕР""")</f>
        <v>ООО "МАЕР"</v>
      </c>
      <c r="K12791" s="24" t="s">
        <v>8208</v>
      </c>
      <c r="L12791" s="28" t="s">
        <v>51</v>
      </c>
      <c r="M12791" s="28" t="s">
        <v>51</v>
      </c>
      <c r="N12791" s="28" t="s">
        <v>51</v>
      </c>
    </row>
    <row r="12792" spans="1:14" ht="12.75" hidden="1" outlineLevel="1" x14ac:dyDescent="0.2">
      <c r="A12792" s="23" t="str">
        <f>HYPERLINK("https://www.spark-marketing.ru/Card/Person/144535", "ГУ ТО ""ТОЦМ""")</f>
        <v>ГУ ТО "ТОЦМ"</v>
      </c>
      <c r="B12792" s="24" t="s">
        <v>17271</v>
      </c>
      <c r="C12792" s="25">
        <v>378000</v>
      </c>
      <c r="D12792" s="22" t="s">
        <v>17272</v>
      </c>
      <c r="E12792" s="22" t="s">
        <v>6949</v>
      </c>
      <c r="F12792" s="23" t="str">
        <f>HYPERLINK("https://www.spark-marketing.ru/Card/Lot/72158727", "Оказание услуг по организации питания и проживания участников Тульского областного форума волонтерских организаций «Дорогою добра»")</f>
        <v>Оказание услуг по организации питания и проживания участников Тульского областного форума волонтерских организаций «Дорогою добра»</v>
      </c>
      <c r="G12792" s="22" t="s">
        <v>68</v>
      </c>
      <c r="H12792" s="22" t="s">
        <v>69</v>
      </c>
      <c r="I12792" s="26">
        <v>43663.518148148098</v>
      </c>
      <c r="J12792" s="23" t="str">
        <f>HYPERLINK("https://www.spark-marketing.ru/Card/Person/6578077", "ООО ""МАЕР""")</f>
        <v>ООО "МАЕР"</v>
      </c>
      <c r="K12792" s="24" t="s">
        <v>8208</v>
      </c>
      <c r="L12792" s="22" t="s">
        <v>10</v>
      </c>
      <c r="M12792" s="25">
        <v>376110</v>
      </c>
      <c r="N12792" s="27">
        <v>5.0000000000000001E-3</v>
      </c>
    </row>
    <row r="12793" spans="1:14" collapsed="1" x14ac:dyDescent="0.15">
      <c r="A12793" s="23" t="str">
        <f t="shared" ref="A12793:A12799" si="420">HYPERLINK("https://www.spark-marketing.ru/Card/Person/233399", "ГБУ КК ""ЦОП ПО ЗВС""")</f>
        <v>ГБУ КК "ЦОП ПО ЗВС"</v>
      </c>
      <c r="B12793" s="24" t="s">
        <v>9885</v>
      </c>
      <c r="C12793" s="25">
        <v>125000</v>
      </c>
      <c r="D12793" s="22" t="s">
        <v>17273</v>
      </c>
      <c r="E12793" s="22" t="s">
        <v>1632</v>
      </c>
      <c r="F12793" s="23" t="str">
        <f>HYPERLINK("https://www.spark-marketing.ru/Card/Lot/72158343",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93" s="22" t="s">
        <v>104</v>
      </c>
      <c r="H12793" s="22" t="s">
        <v>969</v>
      </c>
      <c r="I12793" s="26">
        <v>43663.513796296298</v>
      </c>
      <c r="J12793" s="28" t="s">
        <v>51</v>
      </c>
      <c r="K12793" s="28" t="s">
        <v>51</v>
      </c>
      <c r="L12793" s="28" t="s">
        <v>51</v>
      </c>
      <c r="M12793" s="28" t="s">
        <v>51</v>
      </c>
      <c r="N12793" s="28" t="s">
        <v>51</v>
      </c>
    </row>
    <row r="12794" spans="1:14" ht="12.75" hidden="1" outlineLevel="1" x14ac:dyDescent="0.2">
      <c r="A12794" s="23" t="str">
        <f t="shared" si="420"/>
        <v>ГБУ КК "ЦОП ПО ЗВС"</v>
      </c>
      <c r="B12794" s="24" t="s">
        <v>9885</v>
      </c>
      <c r="C12794" s="25">
        <v>125000</v>
      </c>
      <c r="D12794" s="22" t="s">
        <v>17273</v>
      </c>
      <c r="E12794" s="22" t="s">
        <v>1632</v>
      </c>
      <c r="F12794" s="23" t="str">
        <f>HYPERLINK("https://www.spark-marketing.ru/Card/Lot/72158343",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94" s="22" t="s">
        <v>104</v>
      </c>
      <c r="H12794" s="22" t="s">
        <v>969</v>
      </c>
      <c r="I12794" s="26">
        <v>43663.513796296298</v>
      </c>
      <c r="J12794" s="23" t="str">
        <f>HYPERLINK("https://www.spark-marketing.ru/Card/Person/6501154", "ООО ""ГИГАНТ""")</f>
        <v>ООО "ГИГАНТ"</v>
      </c>
      <c r="K12794" s="24" t="s">
        <v>9887</v>
      </c>
      <c r="L12794" s="22" t="s">
        <v>10</v>
      </c>
      <c r="M12794" s="25">
        <v>2087.5</v>
      </c>
      <c r="N12794" s="27">
        <v>0.98329999999999995</v>
      </c>
    </row>
    <row r="12795" spans="1:14" hidden="1" outlineLevel="1" x14ac:dyDescent="0.2">
      <c r="A12795" s="23" t="str">
        <f t="shared" si="420"/>
        <v>ГБУ КК "ЦОП ПО ЗВС"</v>
      </c>
      <c r="B12795" s="24" t="s">
        <v>9885</v>
      </c>
      <c r="C12795" s="25">
        <v>125000</v>
      </c>
      <c r="D12795" s="22" t="s">
        <v>17273</v>
      </c>
      <c r="E12795" s="22" t="s">
        <v>1632</v>
      </c>
      <c r="F12795" s="23" t="str">
        <f>HYPERLINK("https://www.spark-marketing.ru/Card/Lot/72158343",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95" s="22" t="s">
        <v>104</v>
      </c>
      <c r="H12795" s="22" t="s">
        <v>969</v>
      </c>
      <c r="I12795" s="26">
        <v>43663.513796296298</v>
      </c>
      <c r="J12795" s="23" t="str">
        <f>HYPERLINK("https://www.spark-marketing.ru/Card/Person/6199231", "Полочанская Ольга Геннадьевна")</f>
        <v>Полочанская Ольга Геннадьевна</v>
      </c>
      <c r="K12795" s="24" t="s">
        <v>2484</v>
      </c>
      <c r="L12795" s="28" t="s">
        <v>51</v>
      </c>
      <c r="M12795" s="25">
        <v>2100</v>
      </c>
      <c r="N12795" s="27">
        <v>0.98319999999999996</v>
      </c>
    </row>
    <row r="12796" spans="1:14" collapsed="1" x14ac:dyDescent="0.15">
      <c r="A12796" s="23" t="str">
        <f t="shared" si="420"/>
        <v>ГБУ КК "ЦОП ПО ЗВС"</v>
      </c>
      <c r="B12796" s="24" t="s">
        <v>9885</v>
      </c>
      <c r="C12796" s="25">
        <v>382800</v>
      </c>
      <c r="D12796" s="22" t="s">
        <v>17274</v>
      </c>
      <c r="E12796" s="22" t="s">
        <v>1632</v>
      </c>
      <c r="F12796" s="23" t="str">
        <f>HYPERLINK("https://www.spark-marketing.ru/Card/Lot/72158705",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96" s="22" t="s">
        <v>104</v>
      </c>
      <c r="H12796" s="22" t="s">
        <v>969</v>
      </c>
      <c r="I12796" s="26">
        <v>43663.512164351901</v>
      </c>
      <c r="J12796" s="28" t="s">
        <v>51</v>
      </c>
      <c r="K12796" s="28" t="s">
        <v>51</v>
      </c>
      <c r="L12796" s="28" t="s">
        <v>51</v>
      </c>
      <c r="M12796" s="28" t="s">
        <v>51</v>
      </c>
      <c r="N12796" s="28" t="s">
        <v>51</v>
      </c>
    </row>
    <row r="12797" spans="1:14" ht="12.75" hidden="1" outlineLevel="1" x14ac:dyDescent="0.2">
      <c r="A12797" s="23" t="str">
        <f t="shared" si="420"/>
        <v>ГБУ КК "ЦОП ПО ЗВС"</v>
      </c>
      <c r="B12797" s="24" t="s">
        <v>9885</v>
      </c>
      <c r="C12797" s="25">
        <v>382800</v>
      </c>
      <c r="D12797" s="22" t="s">
        <v>17274</v>
      </c>
      <c r="E12797" s="22" t="s">
        <v>1632</v>
      </c>
      <c r="F12797" s="23" t="str">
        <f>HYPERLINK("https://www.spark-marketing.ru/Card/Lot/72158705",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97" s="22" t="s">
        <v>104</v>
      </c>
      <c r="H12797" s="22" t="s">
        <v>969</v>
      </c>
      <c r="I12797" s="26">
        <v>43663.512164351901</v>
      </c>
      <c r="J12797" s="23" t="str">
        <f>HYPERLINK("https://www.spark-marketing.ru/Card/Person/6501154", "ООО ""ГИГАНТ""")</f>
        <v>ООО "ГИГАНТ"</v>
      </c>
      <c r="K12797" s="24" t="s">
        <v>9887</v>
      </c>
      <c r="L12797" s="22" t="s">
        <v>10</v>
      </c>
      <c r="M12797" s="25">
        <v>2024</v>
      </c>
      <c r="N12797" s="27">
        <v>0.99471264367816092</v>
      </c>
    </row>
    <row r="12798" spans="1:14" hidden="1" outlineLevel="1" x14ac:dyDescent="0.2">
      <c r="A12798" s="23" t="str">
        <f t="shared" si="420"/>
        <v>ГБУ КК "ЦОП ПО ЗВС"</v>
      </c>
      <c r="B12798" s="24" t="s">
        <v>9885</v>
      </c>
      <c r="C12798" s="25">
        <v>382800</v>
      </c>
      <c r="D12798" s="22" t="s">
        <v>17274</v>
      </c>
      <c r="E12798" s="22" t="s">
        <v>1632</v>
      </c>
      <c r="F12798" s="23" t="str">
        <f>HYPERLINK("https://www.spark-marketing.ru/Card/Lot/72158705",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98" s="22" t="s">
        <v>104</v>
      </c>
      <c r="H12798" s="22" t="s">
        <v>969</v>
      </c>
      <c r="I12798" s="26">
        <v>43663.512164351901</v>
      </c>
      <c r="J12798" s="23" t="str">
        <f>HYPERLINK("https://www.spark-marketing.ru/Card/Person/6199231", "Полочанская Ольга Геннадьевна")</f>
        <v>Полочанская Ольга Геннадьевна</v>
      </c>
      <c r="K12798" s="24" t="s">
        <v>2484</v>
      </c>
      <c r="L12798" s="28" t="s">
        <v>51</v>
      </c>
      <c r="M12798" s="25">
        <v>2035</v>
      </c>
      <c r="N12798" s="27">
        <v>0.99468390804597706</v>
      </c>
    </row>
    <row r="12799" spans="1:14" hidden="1" outlineLevel="1" x14ac:dyDescent="0.2">
      <c r="A12799" s="23" t="str">
        <f t="shared" si="420"/>
        <v>ГБУ КК "ЦОП ПО ЗВС"</v>
      </c>
      <c r="B12799" s="24" t="s">
        <v>9885</v>
      </c>
      <c r="C12799" s="25">
        <v>382800</v>
      </c>
      <c r="D12799" s="22" t="s">
        <v>17274</v>
      </c>
      <c r="E12799" s="22" t="s">
        <v>1632</v>
      </c>
      <c r="F12799" s="23" t="str">
        <f>HYPERLINK("https://www.spark-marketing.ru/Card/Lot/72158705", "Услуги предоставления средств размещения и общественного питания для участников спортивных мероприятий")</f>
        <v>Услуги предоставления средств размещения и общественного питания для участников спортивных мероприятий</v>
      </c>
      <c r="G12799" s="22" t="s">
        <v>104</v>
      </c>
      <c r="H12799" s="22" t="s">
        <v>969</v>
      </c>
      <c r="I12799" s="26">
        <v>43663.512164351901</v>
      </c>
      <c r="J12799" s="23" t="str">
        <f>HYPERLINK("https://www.spark-marketing.ru/Card/Person/139386", "ООО ""АВИАМИР""")</f>
        <v>ООО "АВИАМИР"</v>
      </c>
      <c r="K12799" s="24" t="s">
        <v>2326</v>
      </c>
      <c r="L12799" s="28" t="s">
        <v>51</v>
      </c>
      <c r="M12799" s="25">
        <v>2178</v>
      </c>
      <c r="N12799" s="27">
        <v>0.99431034482758618</v>
      </c>
    </row>
    <row r="12800" spans="1:14" x14ac:dyDescent="0.15">
      <c r="A12800" s="23" t="str">
        <f>HYPERLINK("https://www.spark-marketing.ru/Card/Person/1005595", "МБДОУ ДЕТСКИЙ САД № 31 ""ЖЕМЧУЖИНКА""")</f>
        <v>МБДОУ ДЕТСКИЙ САД № 31 "ЖЕМЧУЖИНКА"</v>
      </c>
      <c r="B12800" s="24" t="s">
        <v>5312</v>
      </c>
      <c r="C12800" s="25">
        <v>74000</v>
      </c>
      <c r="D12800" s="22" t="s">
        <v>17275</v>
      </c>
      <c r="E12800" s="22" t="s">
        <v>898</v>
      </c>
      <c r="F12800" s="23" t="str">
        <f>HYPERLINK("https://www.spark-marketing.ru/Card/Lot/72149384", "Оказание услуг по установке камер видеонаблюдения, серверов, обеспечивающих работоспособность установленных видеокамер, источников бесперебойного питания, домофонов и иных сопутствующих товаров, работ, услуг")</f>
        <v>Оказание услуг по установке камер видеонаблюдения, серверов, обеспечивающих работоспособность установленных видеокамер, источников бесперебойного питания, домофонов и иных сопутствующих товаров, работ, услуг</v>
      </c>
      <c r="G12800" s="22" t="s">
        <v>49</v>
      </c>
      <c r="H12800" s="22" t="s">
        <v>180</v>
      </c>
      <c r="I12800" s="26">
        <v>43663.513159722199</v>
      </c>
      <c r="J12800" s="28" t="s">
        <v>51</v>
      </c>
      <c r="K12800" s="28" t="s">
        <v>51</v>
      </c>
      <c r="L12800" s="28" t="s">
        <v>51</v>
      </c>
      <c r="M12800" s="28" t="s">
        <v>51</v>
      </c>
      <c r="N12800" s="28" t="s">
        <v>51</v>
      </c>
    </row>
    <row r="12801" spans="1:14" x14ac:dyDescent="0.15">
      <c r="A12801" s="23" t="str">
        <f>HYPERLINK("https://www.spark-marketing.ru/Card/Person/4348382", "ООО ""ГАЗПРОМ ПИТАНИЕ""")</f>
        <v>ООО "ГАЗПРОМ ПИТАНИЕ"</v>
      </c>
      <c r="B12801" s="24" t="s">
        <v>2869</v>
      </c>
      <c r="C12801" s="25">
        <v>171600</v>
      </c>
      <c r="D12801" s="22" t="s">
        <v>17276</v>
      </c>
      <c r="E12801" s="22" t="s">
        <v>52</v>
      </c>
      <c r="F12801" s="23" t="str">
        <f>HYPERLINK("https://www.spark-marketing.ru/Card/Lot/72149354", "Оказание услуг на проведение лабораторных и инструментальных исследований для нужд филиала ""томское уооп"" ооо ""газпром питание"" сахалинская область")</f>
        <v>Оказание услуг на проведение лабораторных и инструментальных исследований для нужд филиала "томское уооп" ооо "газпром питание" сахалинская область</v>
      </c>
      <c r="G12801" s="22" t="s">
        <v>56</v>
      </c>
      <c r="H12801" s="22" t="s">
        <v>56</v>
      </c>
      <c r="I12801" s="26">
        <v>43663.510416666701</v>
      </c>
      <c r="J12801" s="28" t="s">
        <v>51</v>
      </c>
      <c r="K12801" s="28" t="s">
        <v>51</v>
      </c>
      <c r="L12801" s="28" t="s">
        <v>51</v>
      </c>
      <c r="M12801" s="28" t="s">
        <v>51</v>
      </c>
      <c r="N12801" s="28" t="s">
        <v>51</v>
      </c>
    </row>
    <row r="12802" spans="1:14" x14ac:dyDescent="0.15">
      <c r="A12802" s="23" t="str">
        <f>HYPERLINK("https://www.spark-marketing.ru/Card/Person/25413", "ФГКУ ""СЗРПСО МЧС РОССИИ""")</f>
        <v>ФГКУ "СЗРПСО МЧС РОССИИ"</v>
      </c>
      <c r="B12802" s="24" t="s">
        <v>10257</v>
      </c>
      <c r="C12802" s="25">
        <v>186200</v>
      </c>
      <c r="D12802" s="22" t="s">
        <v>17277</v>
      </c>
      <c r="E12802" s="22" t="s">
        <v>48</v>
      </c>
      <c r="F12802" s="23" t="str">
        <f>HYPERLINK("https://www.spark-marketing.ru/Card/Lot/72153271", "Оказание услуг по организации горячего питания работников ПСП ""Мамоново""  Калининградского ПСО МЧС  России")</f>
        <v>Оказание услуг по организации горячего питания работников ПСП "Мамоново"  Калининградского ПСО МЧС  России</v>
      </c>
      <c r="G12802" s="22" t="s">
        <v>400</v>
      </c>
      <c r="H12802" s="22" t="s">
        <v>400</v>
      </c>
      <c r="I12802" s="26">
        <v>43663.525196759299</v>
      </c>
      <c r="J12802" s="23" t="str">
        <f>HYPERLINK("https://www.spark-marketing.ru/Card/Person/592880", "Прохорова Валентина Валентиновна")</f>
        <v>Прохорова Валентина Валентиновна</v>
      </c>
      <c r="K12802" s="24" t="s">
        <v>17278</v>
      </c>
      <c r="L12802" s="22" t="s">
        <v>10</v>
      </c>
      <c r="M12802" s="28" t="s">
        <v>51</v>
      </c>
      <c r="N12802" s="28" t="s">
        <v>51</v>
      </c>
    </row>
    <row r="12803" spans="1:14" x14ac:dyDescent="0.15">
      <c r="A12803" s="23" t="str">
        <f>HYPERLINK("https://www.spark-marketing.ru/Card/Person/172281", "ФГУСХП ""УЛЬЯНОВСКОЕ"" ФСИН РОССИИ")</f>
        <v>ФГУСХП "УЛЬЯНОВСКОЕ" ФСИН РОССИИ</v>
      </c>
      <c r="B12803" s="24" t="s">
        <v>11778</v>
      </c>
      <c r="C12803" s="25">
        <v>747879.6</v>
      </c>
      <c r="D12803" s="22" t="s">
        <v>17279</v>
      </c>
      <c r="E12803" s="22" t="s">
        <v>2473</v>
      </c>
      <c r="F12803" s="23" t="str">
        <f>HYPERLINK("https://www.spark-marketing.ru/Card/Lot/72166440", "Оказание транспортно-экспедиционных услуг по перевозке продуктов питания для нужд ФГУСХП «Ульяновское» ФСИН России")</f>
        <v>Оказание транспортно-экспедиционных услуг по перевозке продуктов питания для нужд ФГУСХП «Ульяновское» ФСИН России</v>
      </c>
      <c r="G12803" s="22" t="s">
        <v>852</v>
      </c>
      <c r="H12803" s="22" t="s">
        <v>852</v>
      </c>
      <c r="I12803" s="26">
        <v>43663.515324074098</v>
      </c>
      <c r="J12803" s="28" t="s">
        <v>51</v>
      </c>
      <c r="K12803" s="28" t="s">
        <v>51</v>
      </c>
      <c r="L12803" s="28" t="s">
        <v>51</v>
      </c>
      <c r="M12803" s="28" t="s">
        <v>51</v>
      </c>
      <c r="N12803" s="28" t="s">
        <v>51</v>
      </c>
    </row>
    <row r="12804" spans="1:14" x14ac:dyDescent="0.15">
      <c r="A12804" s="23" t="str">
        <f>HYPERLINK("https://www.spark-marketing.ru/Card/Person/1049154", "МБОУ ""СРЕДНЯЯ ШКОЛА № 15""")</f>
        <v>МБОУ "СРЕДНЯЯ ШКОЛА № 15"</v>
      </c>
      <c r="B12804" s="24" t="s">
        <v>17280</v>
      </c>
      <c r="C12804" s="25">
        <v>1445773.78</v>
      </c>
      <c r="D12804" s="22" t="s">
        <v>17281</v>
      </c>
      <c r="E12804" s="22" t="s">
        <v>48</v>
      </c>
      <c r="F12804" s="23" t="str">
        <f>HYPERLINK("https://www.spark-marketing.ru/Card/Lot/72140774", "Услуги по организации горячего питания")</f>
        <v>Услуги по организации горячего питания</v>
      </c>
      <c r="G12804" s="22" t="s">
        <v>246</v>
      </c>
      <c r="H12804" s="22" t="s">
        <v>247</v>
      </c>
      <c r="I12804" s="26">
        <v>43663.531180555598</v>
      </c>
      <c r="J12804" s="23" t="str">
        <f>HYPERLINK("https://www.spark-marketing.ru/Card/Person/115255", "АО ""СТОЛОВАЯ № 5""")</f>
        <v>АО "СТОЛОВАЯ № 5"</v>
      </c>
      <c r="K12804" s="24" t="s">
        <v>17282</v>
      </c>
      <c r="L12804" s="22" t="s">
        <v>10</v>
      </c>
      <c r="M12804" s="28" t="s">
        <v>51</v>
      </c>
      <c r="N12804" s="28" t="s">
        <v>51</v>
      </c>
    </row>
    <row r="12805" spans="1:14" collapsed="1" x14ac:dyDescent="0.15">
      <c r="A12805" s="23" t="str">
        <f>HYPERLINK("https://www.spark-marketing.ru/Card/Person/1011247", "МБОУ ""СОШ № 19""")</f>
        <v>МБОУ "СОШ № 19"</v>
      </c>
      <c r="B12805" s="24" t="s">
        <v>17283</v>
      </c>
      <c r="C12805" s="25">
        <v>182988</v>
      </c>
      <c r="D12805" s="22" t="s">
        <v>17284</v>
      </c>
      <c r="E12805" s="22" t="s">
        <v>48</v>
      </c>
      <c r="F12805" s="23" t="str">
        <f>HYPERLINK("https://www.spark-marketing.ru/Card/Lot/72149131", "Услуги по обеспечению питанием, осуществляемые по договору")</f>
        <v>Услуги по обеспечению питанием, осуществляемые по договору</v>
      </c>
      <c r="G12805" s="22" t="s">
        <v>92</v>
      </c>
      <c r="H12805" s="22" t="s">
        <v>92</v>
      </c>
      <c r="I12805" s="26">
        <v>43663.476747685199</v>
      </c>
      <c r="J12805" s="28" t="s">
        <v>51</v>
      </c>
      <c r="K12805" s="28" t="s">
        <v>51</v>
      </c>
      <c r="L12805" s="28" t="s">
        <v>51</v>
      </c>
      <c r="M12805" s="28" t="s">
        <v>51</v>
      </c>
      <c r="N12805" s="28" t="s">
        <v>51</v>
      </c>
    </row>
    <row r="12806" spans="1:14" ht="12.75" hidden="1" outlineLevel="1" x14ac:dyDescent="0.2">
      <c r="A12806" s="23" t="str">
        <f>HYPERLINK("https://www.spark-marketing.ru/Card/Person/1011247", "МБОУ ""СОШ № 19""")</f>
        <v>МБОУ "СОШ № 19"</v>
      </c>
      <c r="B12806" s="24" t="s">
        <v>17283</v>
      </c>
      <c r="C12806" s="25">
        <v>182988</v>
      </c>
      <c r="D12806" s="22" t="s">
        <v>17284</v>
      </c>
      <c r="E12806" s="22" t="s">
        <v>48</v>
      </c>
      <c r="F12806" s="23" t="str">
        <f>HYPERLINK("https://www.spark-marketing.ru/Card/Lot/72149131", "Услуги по обеспечению питанием, осуществляемые по договору")</f>
        <v>Услуги по обеспечению питанием, осуществляемые по договору</v>
      </c>
      <c r="G12806" s="22" t="s">
        <v>92</v>
      </c>
      <c r="H12806" s="22" t="s">
        <v>92</v>
      </c>
      <c r="I12806" s="26">
        <v>43663.476747685199</v>
      </c>
      <c r="J12806" s="23" t="str">
        <f>HYPERLINK("https://www.spark-marketing.ru/Card/Person/132653", "ООО ""ТФ ""ХАН ТИГР""")</f>
        <v>ООО "ТФ "ХАН ТИГР"</v>
      </c>
      <c r="K12806" s="24" t="s">
        <v>9746</v>
      </c>
      <c r="L12806" s="22" t="s">
        <v>10</v>
      </c>
      <c r="M12806" s="25">
        <v>181158.12</v>
      </c>
      <c r="N12806" s="27">
        <v>0.01</v>
      </c>
    </row>
    <row r="12807" spans="1:14" hidden="1" outlineLevel="1" x14ac:dyDescent="0.2">
      <c r="A12807" s="23" t="str">
        <f>HYPERLINK("https://www.spark-marketing.ru/Card/Person/1011247", "МБОУ ""СОШ № 19""")</f>
        <v>МБОУ "СОШ № 19"</v>
      </c>
      <c r="B12807" s="24" t="s">
        <v>17283</v>
      </c>
      <c r="C12807" s="25">
        <v>182988</v>
      </c>
      <c r="D12807" s="22" t="s">
        <v>17284</v>
      </c>
      <c r="E12807" s="22" t="s">
        <v>48</v>
      </c>
      <c r="F12807" s="23" t="str">
        <f>HYPERLINK("https://www.spark-marketing.ru/Card/Lot/72149131", "Услуги по обеспечению питанием, осуществляемые по договору")</f>
        <v>Услуги по обеспечению питанием, осуществляемые по договору</v>
      </c>
      <c r="G12807" s="22" t="s">
        <v>92</v>
      </c>
      <c r="H12807" s="22" t="s">
        <v>92</v>
      </c>
      <c r="I12807" s="26">
        <v>43663.476747685199</v>
      </c>
      <c r="J12807" s="23" t="str">
        <f>HYPERLINK("https://www.spark-marketing.ru/Card/Person/651060", "АО ""ХАН ТИГР""")</f>
        <v>АО "ХАН ТИГР"</v>
      </c>
      <c r="K12807" s="24" t="s">
        <v>16822</v>
      </c>
      <c r="L12807" s="28" t="s">
        <v>51</v>
      </c>
      <c r="M12807" s="25">
        <v>182073.06</v>
      </c>
      <c r="N12807" s="27">
        <v>5.0000000000000001E-3</v>
      </c>
    </row>
    <row r="12808" spans="1:14" x14ac:dyDescent="0.15">
      <c r="A12808" s="23" t="str">
        <f>HYPERLINK("https://www.spark-marketing.ru/Card/Person/38226", "ОГБУЗ ""АСИНОВСКАЯ РАЙОННАЯ БОЛЬНИЦА""")</f>
        <v>ОГБУЗ "АСИНОВСКАЯ РАЙОННАЯ БОЛЬНИЦА"</v>
      </c>
      <c r="B12808" s="24" t="s">
        <v>4080</v>
      </c>
      <c r="C12808" s="25">
        <v>99965.58</v>
      </c>
      <c r="D12808" s="22" t="s">
        <v>17285</v>
      </c>
      <c r="E12808" s="22" t="s">
        <v>48</v>
      </c>
      <c r="F12808" s="23" t="str">
        <f>HYPERLINK("https://www.spark-marketing.ru/Card/Lot/72146981", "Оказание услуг по организации питания пациентов")</f>
        <v>Оказание услуг по организации питания пациентов</v>
      </c>
      <c r="G12808" s="22" t="s">
        <v>149</v>
      </c>
      <c r="H12808" s="22" t="s">
        <v>1499</v>
      </c>
      <c r="I12808" s="26">
        <v>43663.4819444444</v>
      </c>
      <c r="J12808" s="28" t="s">
        <v>51</v>
      </c>
      <c r="K12808" s="28" t="s">
        <v>51</v>
      </c>
      <c r="L12808" s="28" t="s">
        <v>51</v>
      </c>
      <c r="M12808" s="28" t="s">
        <v>51</v>
      </c>
      <c r="N12808" s="28" t="s">
        <v>51</v>
      </c>
    </row>
    <row r="12809" spans="1:14" x14ac:dyDescent="0.2">
      <c r="A12809" s="23" t="str">
        <f>HYPERLINK("https://www.spark-marketing.ru/Card/Person/1002222", "МБОУ СОШ № 2 ЗАТО ОЗЕРНЫЙ")</f>
        <v>МБОУ СОШ № 2 ЗАТО ОЗЕРНЫЙ</v>
      </c>
      <c r="B12809" s="24" t="s">
        <v>17286</v>
      </c>
      <c r="C12809" s="25">
        <v>1688650</v>
      </c>
      <c r="D12809" s="22" t="s">
        <v>17287</v>
      </c>
      <c r="E12809" s="22" t="s">
        <v>48</v>
      </c>
      <c r="F12809" s="23" t="str">
        <f>HYPERLINK("https://www.spark-marketing.ru/Card/Lot/72161812", "Оказание услуг по организации горячего питания учащихся МБОУ СОШ № 2 ЗАТО Озерный с 2 сентября 2019 года по 31 декабря 2019 года")</f>
        <v>Оказание услуг по организации горячего питания учащихся МБОУ СОШ № 2 ЗАТО Озерный с 2 сентября 2019 года по 31 декабря 2019 года</v>
      </c>
      <c r="G12809" s="22" t="s">
        <v>137</v>
      </c>
      <c r="H12809" s="22" t="s">
        <v>137</v>
      </c>
      <c r="I12809" s="26">
        <v>43663.495138888902</v>
      </c>
      <c r="J12809" s="23" t="str">
        <f>HYPERLINK("https://www.spark-marketing.ru/Card/Person/612944", "ООО ""ШКОЛЬНИК""")</f>
        <v>ООО "ШКОЛЬНИК"</v>
      </c>
      <c r="K12809" s="24" t="s">
        <v>17288</v>
      </c>
      <c r="L12809" s="28" t="s">
        <v>51</v>
      </c>
      <c r="M12809" s="25">
        <v>1688650</v>
      </c>
      <c r="N12809" s="27">
        <v>0</v>
      </c>
    </row>
    <row r="12810" spans="1:14" collapsed="1" x14ac:dyDescent="0.15">
      <c r="A12810" s="23" t="s">
        <v>114</v>
      </c>
      <c r="B12810" s="28" t="s">
        <v>51</v>
      </c>
      <c r="C12810" s="25">
        <v>4187316</v>
      </c>
      <c r="D12810" s="22" t="s">
        <v>17289</v>
      </c>
      <c r="E12810" s="22" t="s">
        <v>48</v>
      </c>
      <c r="F12810" s="23" t="str">
        <f t="shared" ref="F12810:F12817" si="421">HYPERLINK("https://www.spark-marketing.ru/Card/Lot/72162781", "Оказание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классов")</f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</v>
      </c>
      <c r="G12810" s="22" t="s">
        <v>51</v>
      </c>
      <c r="H12810" s="22" t="s">
        <v>51</v>
      </c>
      <c r="I12810" s="26">
        <v>43663.4868055556</v>
      </c>
      <c r="J12810" s="28" t="s">
        <v>51</v>
      </c>
      <c r="K12810" s="28" t="s">
        <v>51</v>
      </c>
      <c r="L12810" s="28" t="s">
        <v>51</v>
      </c>
      <c r="M12810" s="28" t="s">
        <v>51</v>
      </c>
      <c r="N12810" s="28" t="s">
        <v>51</v>
      </c>
    </row>
    <row r="12811" spans="1:14" hidden="1" outlineLevel="1" x14ac:dyDescent="0.15">
      <c r="A12811" s="23" t="str">
        <f>HYPERLINK("https://www.spark-marketing.ru/Card/Person/4372139", "МБОУ ШКОЛА № 7")</f>
        <v>МБОУ ШКОЛА № 7</v>
      </c>
      <c r="B12811" s="24" t="s">
        <v>17290</v>
      </c>
      <c r="C12811" s="25">
        <v>1126224</v>
      </c>
      <c r="D12811" s="22" t="s">
        <v>17289</v>
      </c>
      <c r="E12811" s="22" t="s">
        <v>48</v>
      </c>
      <c r="F12811" s="23" t="str">
        <f t="shared" si="421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</v>
      </c>
      <c r="G12811" s="22" t="s">
        <v>108</v>
      </c>
      <c r="H12811" s="22" t="s">
        <v>287</v>
      </c>
      <c r="I12811" s="26">
        <v>43663.4868055556</v>
      </c>
      <c r="J12811" s="28" t="s">
        <v>51</v>
      </c>
      <c r="K12811" s="28" t="s">
        <v>51</v>
      </c>
      <c r="L12811" s="28" t="s">
        <v>51</v>
      </c>
      <c r="M12811" s="28" t="s">
        <v>51</v>
      </c>
      <c r="N12811" s="28" t="s">
        <v>51</v>
      </c>
    </row>
    <row r="12812" spans="1:14" hidden="1" outlineLevel="1" x14ac:dyDescent="0.15">
      <c r="A12812" s="23" t="str">
        <f>HYPERLINK("https://www.spark-marketing.ru/Card/Person/4373650", "МБОУ ШКОЛА № 11 ИМ. А.В.ПРЕСНЯКОВА")</f>
        <v>МБОУ ШКОЛА № 11 ИМ. А.В.ПРЕСНЯКОВА</v>
      </c>
      <c r="B12812" s="24" t="s">
        <v>17291</v>
      </c>
      <c r="C12812" s="25">
        <v>927381</v>
      </c>
      <c r="D12812" s="22" t="s">
        <v>17289</v>
      </c>
      <c r="E12812" s="22" t="s">
        <v>48</v>
      </c>
      <c r="F12812" s="23" t="str">
        <f t="shared" si="421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</v>
      </c>
      <c r="G12812" s="22" t="s">
        <v>108</v>
      </c>
      <c r="H12812" s="22" t="s">
        <v>287</v>
      </c>
      <c r="I12812" s="26">
        <v>43663.4868055556</v>
      </c>
      <c r="J12812" s="28" t="s">
        <v>51</v>
      </c>
      <c r="K12812" s="28" t="s">
        <v>51</v>
      </c>
      <c r="L12812" s="28" t="s">
        <v>51</v>
      </c>
      <c r="M12812" s="28" t="s">
        <v>51</v>
      </c>
      <c r="N12812" s="28" t="s">
        <v>51</v>
      </c>
    </row>
    <row r="12813" spans="1:14" hidden="1" outlineLevel="1" x14ac:dyDescent="0.15">
      <c r="A12813" s="23" t="str">
        <f>HYPERLINK("https://www.spark-marketing.ru/Card/Person/4376819", "МБОУ ШКОЛА № 20")</f>
        <v>МБОУ ШКОЛА № 20</v>
      </c>
      <c r="B12813" s="24" t="s">
        <v>17292</v>
      </c>
      <c r="C12813" s="25">
        <v>356448</v>
      </c>
      <c r="D12813" s="22" t="s">
        <v>17289</v>
      </c>
      <c r="E12813" s="22" t="s">
        <v>48</v>
      </c>
      <c r="F12813" s="23" t="str">
        <f t="shared" si="421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</v>
      </c>
      <c r="G12813" s="22" t="s">
        <v>108</v>
      </c>
      <c r="H12813" s="22" t="s">
        <v>287</v>
      </c>
      <c r="I12813" s="26">
        <v>43663.4868055556</v>
      </c>
      <c r="J12813" s="28" t="s">
        <v>51</v>
      </c>
      <c r="K12813" s="28" t="s">
        <v>51</v>
      </c>
      <c r="L12813" s="28" t="s">
        <v>51</v>
      </c>
      <c r="M12813" s="28" t="s">
        <v>51</v>
      </c>
      <c r="N12813" s="28" t="s">
        <v>51</v>
      </c>
    </row>
    <row r="12814" spans="1:14" hidden="1" outlineLevel="1" x14ac:dyDescent="0.15">
      <c r="A12814" s="23" t="str">
        <f>HYPERLINK("https://www.spark-marketing.ru/Card/Person/4378526", "МБОУ ШКОЛА № 17")</f>
        <v>МБОУ ШКОЛА № 17</v>
      </c>
      <c r="B12814" s="24" t="s">
        <v>17293</v>
      </c>
      <c r="C12814" s="25">
        <v>1777263</v>
      </c>
      <c r="D12814" s="22" t="s">
        <v>17289</v>
      </c>
      <c r="E12814" s="22" t="s">
        <v>48</v>
      </c>
      <c r="F12814" s="23" t="str">
        <f t="shared" si="421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</v>
      </c>
      <c r="G12814" s="22" t="s">
        <v>108</v>
      </c>
      <c r="H12814" s="22" t="s">
        <v>287</v>
      </c>
      <c r="I12814" s="26">
        <v>43663.4868055556</v>
      </c>
      <c r="J12814" s="28" t="s">
        <v>51</v>
      </c>
      <c r="K12814" s="28" t="s">
        <v>51</v>
      </c>
      <c r="L12814" s="28" t="s">
        <v>51</v>
      </c>
      <c r="M12814" s="28" t="s">
        <v>51</v>
      </c>
      <c r="N12814" s="28" t="s">
        <v>51</v>
      </c>
    </row>
    <row r="12815" spans="1:14" hidden="1" outlineLevel="1" x14ac:dyDescent="0.2">
      <c r="A12815" s="28" t="s">
        <v>51</v>
      </c>
      <c r="B12815" s="28" t="s">
        <v>51</v>
      </c>
      <c r="C12815" s="28" t="s">
        <v>51</v>
      </c>
      <c r="D12815" s="22" t="s">
        <v>17289</v>
      </c>
      <c r="E12815" s="22" t="s">
        <v>48</v>
      </c>
      <c r="F12815" s="23" t="str">
        <f t="shared" si="421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</v>
      </c>
      <c r="G12815" s="22" t="s">
        <v>51</v>
      </c>
      <c r="H12815" s="22" t="s">
        <v>51</v>
      </c>
      <c r="I12815" s="26">
        <v>43663.4868055556</v>
      </c>
      <c r="J12815" s="23" t="str">
        <f>HYPERLINK("https://www.spark-marketing.ru/Card/Person/4856360", "ООО ""МЕЛИССА""")</f>
        <v>ООО "МЕЛИССА"</v>
      </c>
      <c r="K12815" s="24" t="s">
        <v>4595</v>
      </c>
      <c r="L12815" s="22" t="s">
        <v>10</v>
      </c>
      <c r="M12815" s="25">
        <v>2847374.88</v>
      </c>
      <c r="N12815" s="27">
        <v>0.32</v>
      </c>
    </row>
    <row r="12816" spans="1:14" hidden="1" outlineLevel="1" x14ac:dyDescent="0.2">
      <c r="A12816" s="28" t="s">
        <v>51</v>
      </c>
      <c r="B12816" s="28" t="s">
        <v>51</v>
      </c>
      <c r="C12816" s="28" t="s">
        <v>51</v>
      </c>
      <c r="D12816" s="22" t="s">
        <v>17289</v>
      </c>
      <c r="E12816" s="22" t="s">
        <v>48</v>
      </c>
      <c r="F12816" s="23" t="str">
        <f t="shared" si="421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</v>
      </c>
      <c r="G12816" s="22" t="s">
        <v>51</v>
      </c>
      <c r="H12816" s="22" t="s">
        <v>51</v>
      </c>
      <c r="I12816" s="26">
        <v>43663.4868055556</v>
      </c>
      <c r="J12816" s="23" t="str">
        <f>HYPERLINK("https://www.spark-marketing.ru/Card/Person/61415", "ООО ""ПЕЛИКАН""")</f>
        <v>ООО "ПЕЛИКАН"</v>
      </c>
      <c r="K12816" s="24" t="s">
        <v>7334</v>
      </c>
      <c r="L12816" s="28" t="s">
        <v>51</v>
      </c>
      <c r="M12816" s="25">
        <v>3475472.28</v>
      </c>
      <c r="N12816" s="27">
        <v>0.17</v>
      </c>
    </row>
    <row r="12817" spans="1:14" hidden="1" outlineLevel="1" x14ac:dyDescent="0.2">
      <c r="A12817" s="28" t="s">
        <v>51</v>
      </c>
      <c r="B12817" s="28" t="s">
        <v>51</v>
      </c>
      <c r="C12817" s="28" t="s">
        <v>51</v>
      </c>
      <c r="D12817" s="22" t="s">
        <v>17289</v>
      </c>
      <c r="E12817" s="22" t="s">
        <v>48</v>
      </c>
      <c r="F12817" s="23" t="str">
        <f t="shared" si="421"/>
        <v>Оказание услуги по обеспечению одноразовым бесплатным горячим питанием (завтрак) учащихся 1-4 классов, услуги по обеспечению питанием детей льготной категории 1-11 классов</v>
      </c>
      <c r="G12817" s="22" t="s">
        <v>51</v>
      </c>
      <c r="H12817" s="22" t="s">
        <v>51</v>
      </c>
      <c r="I12817" s="26">
        <v>43663.4868055556</v>
      </c>
      <c r="J12817" s="23" t="str">
        <f>HYPERLINK("https://www.spark-marketing.ru/Card/Person/4571189", "ООО ""ОТКРЫТИЕ""")</f>
        <v>ООО "ОТКРЫТИЕ"</v>
      </c>
      <c r="K12817" s="24" t="s">
        <v>9763</v>
      </c>
      <c r="L12817" s="28" t="s">
        <v>51</v>
      </c>
      <c r="M12817" s="25">
        <v>3499900</v>
      </c>
      <c r="N12817" s="27">
        <v>0.16416625829051354</v>
      </c>
    </row>
    <row r="12818" spans="1:14" collapsed="1" x14ac:dyDescent="0.15">
      <c r="A12818" s="23" t="str">
        <f>HYPERLINK("https://www.spark-marketing.ru/Card/Person/4374223", "ГБУЗС ""ГОРОДСКАЯ БОЛЬНИЦА № 6""")</f>
        <v>ГБУЗС "ГОРОДСКАЯ БОЛЬНИЦА № 6"</v>
      </c>
      <c r="B12818" s="24" t="s">
        <v>17294</v>
      </c>
      <c r="C12818" s="25">
        <v>1629450</v>
      </c>
      <c r="D12818" s="22" t="s">
        <v>17295</v>
      </c>
      <c r="E12818" s="22" t="s">
        <v>48</v>
      </c>
      <c r="F12818" s="23" t="str">
        <f>HYPERLINK("https://www.spark-marketing.ru/Card/Lot/72161486", "Услуги по организации приготовления и доставки питания для больных стационара ГБУЗ С «Городская больница № 6»")</f>
        <v>Услуги по организации приготовления и доставки питания для больных стационара ГБУЗ С «Городская больница № 6»</v>
      </c>
      <c r="G12818" s="22" t="s">
        <v>322</v>
      </c>
      <c r="H12818" s="22" t="s">
        <v>322</v>
      </c>
      <c r="I12818" s="26">
        <v>43663.497199074103</v>
      </c>
      <c r="J12818" s="28" t="s">
        <v>51</v>
      </c>
      <c r="K12818" s="28" t="s">
        <v>51</v>
      </c>
      <c r="L12818" s="28" t="s">
        <v>51</v>
      </c>
      <c r="M12818" s="28" t="s">
        <v>51</v>
      </c>
      <c r="N12818" s="28" t="s">
        <v>51</v>
      </c>
    </row>
    <row r="12819" spans="1:14" ht="12.75" hidden="1" outlineLevel="1" x14ac:dyDescent="0.2">
      <c r="A12819" s="23" t="str">
        <f>HYPERLINK("https://www.spark-marketing.ru/Card/Person/4374223", "ГБУЗС ""ГОРОДСКАЯ БОЛЬНИЦА № 6""")</f>
        <v>ГБУЗС "ГОРОДСКАЯ БОЛЬНИЦА № 6"</v>
      </c>
      <c r="B12819" s="24" t="s">
        <v>17294</v>
      </c>
      <c r="C12819" s="25">
        <v>1629450</v>
      </c>
      <c r="D12819" s="22" t="s">
        <v>17295</v>
      </c>
      <c r="E12819" s="22" t="s">
        <v>48</v>
      </c>
      <c r="F12819" s="23" t="str">
        <f>HYPERLINK("https://www.spark-marketing.ru/Card/Lot/72161486", "Услуги по организации приготовления и доставки питания для больных стационара ГБУЗ С «Городская больница № 6»")</f>
        <v>Услуги по организации приготовления и доставки питания для больных стационара ГБУЗ С «Городская больница № 6»</v>
      </c>
      <c r="G12819" s="22" t="s">
        <v>322</v>
      </c>
      <c r="H12819" s="22" t="s">
        <v>322</v>
      </c>
      <c r="I12819" s="26">
        <v>43663.497199074103</v>
      </c>
      <c r="J12819" s="23" t="str">
        <f>HYPERLINK("https://www.spark-marketing.ru/Card/Person/945446", "ООО ""КАФЕ ""УЛЫБКА""")</f>
        <v>ООО "КАФЕ "УЛЫБКА"</v>
      </c>
      <c r="K12819" s="24" t="s">
        <v>9954</v>
      </c>
      <c r="L12819" s="22" t="s">
        <v>10</v>
      </c>
      <c r="M12819" s="25">
        <v>1175760.5</v>
      </c>
      <c r="N12819" s="27">
        <v>0.27843106569701431</v>
      </c>
    </row>
    <row r="12820" spans="1:14" hidden="1" outlineLevel="1" x14ac:dyDescent="0.2">
      <c r="A12820" s="23" t="str">
        <f>HYPERLINK("https://www.spark-marketing.ru/Card/Person/4374223", "ГБУЗС ""ГОРОДСКАЯ БОЛЬНИЦА № 6""")</f>
        <v>ГБУЗС "ГОРОДСКАЯ БОЛЬНИЦА № 6"</v>
      </c>
      <c r="B12820" s="24" t="s">
        <v>17294</v>
      </c>
      <c r="C12820" s="25">
        <v>1629450</v>
      </c>
      <c r="D12820" s="22" t="s">
        <v>17295</v>
      </c>
      <c r="E12820" s="22" t="s">
        <v>48</v>
      </c>
      <c r="F12820" s="23" t="str">
        <f>HYPERLINK("https://www.spark-marketing.ru/Card/Lot/72161486", "Услуги по организации приготовления и доставки питания для больных стационара ГБУЗ С «Городская больница № 6»")</f>
        <v>Услуги по организации приготовления и доставки питания для больных стационара ГБУЗ С «Городская больница № 6»</v>
      </c>
      <c r="G12820" s="22" t="s">
        <v>322</v>
      </c>
      <c r="H12820" s="22" t="s">
        <v>322</v>
      </c>
      <c r="I12820" s="26">
        <v>43663.497199074103</v>
      </c>
      <c r="J12820" s="23" t="str">
        <f>HYPERLINK("https://www.spark-marketing.ru/Card/Person/941707", "Христенко Людмила Владимировна")</f>
        <v>Христенко Людмила Владимировна</v>
      </c>
      <c r="K12820" s="24" t="s">
        <v>8586</v>
      </c>
      <c r="L12820" s="28" t="s">
        <v>51</v>
      </c>
      <c r="M12820" s="25">
        <v>1183907.75</v>
      </c>
      <c r="N12820" s="27">
        <v>0.27343106569701431</v>
      </c>
    </row>
    <row r="12821" spans="1:14" x14ac:dyDescent="0.15">
      <c r="A12821" s="23" t="str">
        <f>HYPERLINK("https://www.spark-marketing.ru/Card/Person/50743", "МП ""ДЕТСКОЕ ПИТАНИЕ""")</f>
        <v>МП "ДЕТСКОЕ ПИТАНИЕ"</v>
      </c>
      <c r="B12821" s="24" t="s">
        <v>1562</v>
      </c>
      <c r="C12821" s="25">
        <v>815425</v>
      </c>
      <c r="D12821" s="22" t="s">
        <v>17296</v>
      </c>
      <c r="E12821" s="22" t="s">
        <v>17297</v>
      </c>
      <c r="F12821" s="23" t="str">
        <f>HYPERLINK("https://www.spark-marketing.ru/Card/Lot/72166349", "Поставка продуктов питания (чай, кофейный напиток, какао порошок) (для оказания услуг по предоставлению питания школьникам).")</f>
        <v>Поставка продуктов питания (чай, кофейный напиток, какао порошок) (для оказания услуг по предоставлению питания школьникам).</v>
      </c>
      <c r="G12821" s="22" t="s">
        <v>1522</v>
      </c>
      <c r="H12821" s="22" t="s">
        <v>1522</v>
      </c>
      <c r="I12821" s="26">
        <v>43663.478506944397</v>
      </c>
      <c r="J12821" s="28" t="s">
        <v>51</v>
      </c>
      <c r="K12821" s="28" t="s">
        <v>51</v>
      </c>
      <c r="L12821" s="28" t="s">
        <v>51</v>
      </c>
      <c r="M12821" s="28" t="s">
        <v>51</v>
      </c>
      <c r="N12821" s="28" t="s">
        <v>51</v>
      </c>
    </row>
    <row r="12822" spans="1:14" x14ac:dyDescent="0.2">
      <c r="A12822" s="23" t="str">
        <f>HYPERLINK("https://www.spark-marketing.ru/Card/Person/81143", "ГБОУ КО КШИ ""АПКМК""")</f>
        <v>ГБОУ КО КШИ "АПКМК"</v>
      </c>
      <c r="B12822" s="24" t="s">
        <v>3203</v>
      </c>
      <c r="C12822" s="25">
        <v>3546312</v>
      </c>
      <c r="D12822" s="22" t="s">
        <v>17298</v>
      </c>
      <c r="E12822" s="22" t="s">
        <v>48</v>
      </c>
      <c r="F12822" s="23" t="str">
        <f>HYPERLINK("https://www.spark-marketing.ru/Card/Lot/72162591", "Оказание услуг по организации питания воспитанников в филиале г.Гусев")</f>
        <v>Оказание услуг по организации питания воспитанников в филиале г.Гусев</v>
      </c>
      <c r="G12822" s="22" t="s">
        <v>400</v>
      </c>
      <c r="H12822" s="22" t="s">
        <v>401</v>
      </c>
      <c r="I12822" s="26">
        <v>43663.493750000001</v>
      </c>
      <c r="J12822" s="23" t="str">
        <f>HYPERLINK("https://www.spark-marketing.ru/Card/Person/91371", "ООО ""КК""РУССКИЙ ПИР""")</f>
        <v>ООО "КК"РУССКИЙ ПИР"</v>
      </c>
      <c r="K12822" s="24" t="s">
        <v>7476</v>
      </c>
      <c r="L12822" s="28" t="s">
        <v>51</v>
      </c>
      <c r="M12822" s="25">
        <v>3546312</v>
      </c>
      <c r="N12822" s="27">
        <v>0</v>
      </c>
    </row>
    <row r="12823" spans="1:14" x14ac:dyDescent="0.15">
      <c r="A12823" s="23" t="str">
        <f>HYPERLINK("https://www.spark-marketing.ru/Card/Person/30194", "УФКС ГОРОДА РОСТОВА-НА-ДОНУ")</f>
        <v>УФКС ГОРОДА РОСТОВА-НА-ДОНУ</v>
      </c>
      <c r="B12823" s="24" t="s">
        <v>17299</v>
      </c>
      <c r="C12823" s="25">
        <v>127350</v>
      </c>
      <c r="D12823" s="22" t="s">
        <v>17300</v>
      </c>
      <c r="E12823" s="22" t="s">
        <v>51</v>
      </c>
      <c r="F12823" s="23" t="str">
        <f>HYPERLINK("https://www.spark-marketing.ru/Card/Lot/72149198", "Оказание услуг по организации проживания и питания для членов сборной команды города Ростова-на-Дону по фехтованию среди девушек (рапира) при проведении тренировочного мероприятия в рамках подготовки к открытому областному турниру «Донская осень»")</f>
        <v>Оказание услуг по организации проживания и питания для членов сборной команды города Ростова-на-Дону по фехтованию среди девушек (рапира) при проведении тренировочного мероприятия в рамках подготовки к открытому областному турниру «Донская осень»</v>
      </c>
      <c r="G12823" s="22" t="s">
        <v>267</v>
      </c>
      <c r="H12823" s="22" t="s">
        <v>17301</v>
      </c>
      <c r="I12823" s="26">
        <v>43663.490370370397</v>
      </c>
      <c r="J12823" s="23" t="str">
        <f>HYPERLINK("https://www.spark-marketing.ru/Card/Person/4426435", "ООО ""ОК БРИЗ""")</f>
        <v>ООО "ОК БРИЗ"</v>
      </c>
      <c r="K12823" s="24" t="s">
        <v>17302</v>
      </c>
      <c r="L12823" s="22" t="s">
        <v>10</v>
      </c>
      <c r="M12823" s="28" t="s">
        <v>51</v>
      </c>
      <c r="N12823" s="28" t="s">
        <v>51</v>
      </c>
    </row>
    <row r="12824" spans="1:14" x14ac:dyDescent="0.15">
      <c r="A12824" s="23" t="str">
        <f>HYPERLINK("https://www.spark-marketing.ru/Card/Person/4348382", "ООО ""ГАЗПРОМ ПИТАНИЕ""")</f>
        <v>ООО "ГАЗПРОМ ПИТАНИЕ"</v>
      </c>
      <c r="B12824" s="24" t="s">
        <v>2869</v>
      </c>
      <c r="C12824" s="25">
        <v>85800</v>
      </c>
      <c r="D12824" s="22" t="s">
        <v>17303</v>
      </c>
      <c r="E12824" s="22" t="s">
        <v>52</v>
      </c>
      <c r="F12824" s="23" t="str">
        <f>HYPERLINK("https://www.spark-marketing.ru/Card/Lot/72147253", "Оказание услуг на проведение лабораторных и инструментальных исследований для нужд филиала ""томское уооп"" ооо ""газпром питание"" г. нижневартовск")</f>
        <v>Оказание услуг на проведение лабораторных и инструментальных исследований для нужд филиала "томское уооп" ооо "газпром питание" г. нижневартовск</v>
      </c>
      <c r="G12824" s="22" t="s">
        <v>56</v>
      </c>
      <c r="H12824" s="22" t="s">
        <v>56</v>
      </c>
      <c r="I12824" s="26">
        <v>43663.474999999999</v>
      </c>
      <c r="J12824" s="28" t="s">
        <v>51</v>
      </c>
      <c r="K12824" s="28" t="s">
        <v>51</v>
      </c>
      <c r="L12824" s="28" t="s">
        <v>51</v>
      </c>
      <c r="M12824" s="28" t="s">
        <v>51</v>
      </c>
      <c r="N12824" s="28" t="s">
        <v>51</v>
      </c>
    </row>
    <row r="12825" spans="1:14" x14ac:dyDescent="0.2">
      <c r="A12825" s="23" t="str">
        <f>HYPERLINK("https://www.spark-marketing.ru/Card/Person/47714", "МБОУ ""СШ №29""")</f>
        <v>МБОУ "СШ №29"</v>
      </c>
      <c r="B12825" s="24" t="s">
        <v>17304</v>
      </c>
      <c r="C12825" s="25">
        <v>11359488</v>
      </c>
      <c r="D12825" s="22" t="s">
        <v>17305</v>
      </c>
      <c r="E12825" s="22" t="s">
        <v>48</v>
      </c>
      <c r="F12825" s="23" t="str">
        <f>HYPERLINK("https://www.spark-marketing.ru/Card/Lot/72162794", "Оказание услуг по организации в 2019-2020 учебном году питания обучающихся муниципального бюджетного общеобразовательного учреждения «Средняя школа №29»")</f>
        <v>Оказание услуг по организации в 2019-2020 учебном году питания обучающихся муниципального бюджетного общеобразовательного учреждения «Средняя школа №29»</v>
      </c>
      <c r="G12825" s="22" t="s">
        <v>97</v>
      </c>
      <c r="H12825" s="22" t="s">
        <v>97</v>
      </c>
      <c r="I12825" s="26">
        <v>43663.497222222199</v>
      </c>
      <c r="J12825" s="23" t="str">
        <f>HYPERLINK("https://www.spark-marketing.ru/Card/Person/62139", "ООО ""КШП""")</f>
        <v>ООО "КШП"</v>
      </c>
      <c r="K12825" s="24" t="s">
        <v>16295</v>
      </c>
      <c r="L12825" s="28" t="s">
        <v>51</v>
      </c>
      <c r="M12825" s="25">
        <v>11359488</v>
      </c>
      <c r="N12825" s="27">
        <v>0</v>
      </c>
    </row>
    <row r="12826" spans="1:14" x14ac:dyDescent="0.2">
      <c r="A12826" s="23" t="str">
        <f>HYPERLINK("https://www.spark-marketing.ru/Card/Person/81143", "ГБОУ КО КШИ ""АПКМК""")</f>
        <v>ГБОУ КО КШИ "АПКМК"</v>
      </c>
      <c r="B12826" s="24" t="s">
        <v>3203</v>
      </c>
      <c r="C12826" s="25">
        <v>7408632</v>
      </c>
      <c r="D12826" s="22" t="s">
        <v>17306</v>
      </c>
      <c r="E12826" s="22" t="s">
        <v>48</v>
      </c>
      <c r="F12826" s="23" t="str">
        <f>HYPERLINK("https://www.spark-marketing.ru/Card/Lot/72162838", "Оказание услуг по организации питания воспитанников")</f>
        <v>Оказание услуг по организации питания воспитанников</v>
      </c>
      <c r="G12826" s="22" t="s">
        <v>400</v>
      </c>
      <c r="H12826" s="22" t="s">
        <v>401</v>
      </c>
      <c r="I12826" s="26">
        <v>43663.492361111101</v>
      </c>
      <c r="J12826" s="23" t="str">
        <f>HYPERLINK("https://www.spark-marketing.ru/Card/Person/91371", "ООО ""КК""РУССКИЙ ПИР""")</f>
        <v>ООО "КК"РУССКИЙ ПИР"</v>
      </c>
      <c r="K12826" s="24" t="s">
        <v>7476</v>
      </c>
      <c r="L12826" s="28" t="s">
        <v>51</v>
      </c>
      <c r="M12826" s="25">
        <v>7408632</v>
      </c>
      <c r="N12826" s="27">
        <v>0</v>
      </c>
    </row>
    <row r="12827" spans="1:14" x14ac:dyDescent="0.2">
      <c r="A12827" s="23" t="str">
        <f>HYPERLINK("https://www.spark-marketing.ru/Card/Person/1001441", "МБОУ СОШ № 1 ЗАТО ОЗЕРНЫЙ")</f>
        <v>МБОУ СОШ № 1 ЗАТО ОЗЕРНЫЙ</v>
      </c>
      <c r="B12827" s="24" t="s">
        <v>17307</v>
      </c>
      <c r="C12827" s="25">
        <v>2023210</v>
      </c>
      <c r="D12827" s="22" t="s">
        <v>17308</v>
      </c>
      <c r="E12827" s="22" t="s">
        <v>48</v>
      </c>
      <c r="F12827" s="23" t="str">
        <f>HYPERLINK("https://www.spark-marketing.ru/Card/Lot/72162136", "Оказание услуг по организации горячего питания учащихся МБОУ СОШ № 1 ЗАТО Озерный с 2 сентября 2019 года по 31 декабря 2019 года")</f>
        <v>Оказание услуг по организации горячего питания учащихся МБОУ СОШ № 1 ЗАТО Озерный с 2 сентября 2019 года по 31 декабря 2019 года</v>
      </c>
      <c r="G12827" s="22" t="s">
        <v>137</v>
      </c>
      <c r="H12827" s="22" t="s">
        <v>137</v>
      </c>
      <c r="I12827" s="26">
        <v>43663.495138888902</v>
      </c>
      <c r="J12827" s="23" t="str">
        <f>HYPERLINK("https://www.spark-marketing.ru/Card/Person/612944", "ООО ""ШКОЛЬНИК""")</f>
        <v>ООО "ШКОЛЬНИК"</v>
      </c>
      <c r="K12827" s="24" t="s">
        <v>17288</v>
      </c>
      <c r="L12827" s="28" t="s">
        <v>51</v>
      </c>
      <c r="M12827" s="25">
        <v>2023210</v>
      </c>
      <c r="N12827" s="27">
        <v>0</v>
      </c>
    </row>
    <row r="12828" spans="1:14" x14ac:dyDescent="0.15">
      <c r="A12828" s="23" t="str">
        <f>HYPERLINK("https://www.spark-marketing.ru/Card/Person/144865", "ОТДЕЛ МВД РОССИИ ПО АРГАЯШСКОМУ РАЙОНУ ЧЕЛЯБИНСКОЙ ОБЛАСТИ")</f>
        <v>ОТДЕЛ МВД РОССИИ ПО АРГАЯШСКОМУ РАЙОНУ ЧЕЛЯБИНСКОЙ ОБЛАСТИ</v>
      </c>
      <c r="B12828" s="24" t="s">
        <v>17309</v>
      </c>
      <c r="C12828" s="25">
        <v>700000</v>
      </c>
      <c r="D12828" s="22" t="s">
        <v>17310</v>
      </c>
      <c r="E12828" s="22" t="s">
        <v>48</v>
      </c>
      <c r="F12828" s="23" t="str">
        <f>HYPERLINK("https://www.spark-marketing.ru/Card/Lot/72144766", "питание арестованных")</f>
        <v>питание арестованных</v>
      </c>
      <c r="G12828" s="22" t="s">
        <v>469</v>
      </c>
      <c r="H12828" s="22" t="s">
        <v>17311</v>
      </c>
      <c r="I12828" s="26">
        <v>43663.448541666701</v>
      </c>
      <c r="J12828" s="23" t="str">
        <f>HYPERLINK("https://www.spark-marketing.ru/Card/Person/6058478", "Тарасова Наталия Владимировна")</f>
        <v>Тарасова Наталия Владимировна</v>
      </c>
      <c r="K12828" s="24" t="s">
        <v>17312</v>
      </c>
      <c r="L12828" s="22" t="s">
        <v>10</v>
      </c>
      <c r="M12828" s="28" t="s">
        <v>51</v>
      </c>
      <c r="N12828" s="28" t="s">
        <v>51</v>
      </c>
    </row>
    <row r="12829" spans="1:14" x14ac:dyDescent="0.15">
      <c r="A12829" s="23" t="str">
        <f>HYPERLINK("https://www.spark-marketing.ru/Card/Person/1057017", "МЕЖМУНИЦИПАЛЬНЫЙ ОТДЕЛ МВД РОССИИ ""ШОЛОХОВСКИЙ""")</f>
        <v>МЕЖМУНИЦИПАЛЬНЫЙ ОТДЕЛ МВД РОССИИ "ШОЛОХОВСКИЙ"</v>
      </c>
      <c r="B12829" s="24" t="s">
        <v>13400</v>
      </c>
      <c r="C12829" s="25">
        <v>260000</v>
      </c>
      <c r="D12829" s="22" t="s">
        <v>17313</v>
      </c>
      <c r="E12829" s="22" t="s">
        <v>48</v>
      </c>
      <c r="F12829" s="23" t="str">
        <f>HYPERLINK("https://www.spark-marketing.ru/Card/Lot/72143074",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2829" s="22" t="s">
        <v>267</v>
      </c>
      <c r="H12829" s="22" t="s">
        <v>13402</v>
      </c>
      <c r="I12829" s="26">
        <v>43663.417928240699</v>
      </c>
      <c r="J12829" s="28" t="s">
        <v>51</v>
      </c>
      <c r="K12829" s="28" t="s">
        <v>51</v>
      </c>
      <c r="L12829" s="28" t="s">
        <v>51</v>
      </c>
      <c r="M12829" s="28" t="s">
        <v>51</v>
      </c>
      <c r="N12829" s="28" t="s">
        <v>51</v>
      </c>
    </row>
    <row r="12830" spans="1:14" x14ac:dyDescent="0.15">
      <c r="A12830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830" s="24" t="s">
        <v>4297</v>
      </c>
      <c r="C12830" s="25">
        <v>315000</v>
      </c>
      <c r="D12830" s="22" t="s">
        <v>17314</v>
      </c>
      <c r="E12830" s="22" t="s">
        <v>48</v>
      </c>
      <c r="F12830" s="23" t="str">
        <f>HYPERLINK("https://www.spark-marketing.ru/Card/Lot/72140803",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2830" s="22" t="s">
        <v>1096</v>
      </c>
      <c r="H12830" s="22" t="s">
        <v>4299</v>
      </c>
      <c r="I12830" s="26">
        <v>43663.429664351897</v>
      </c>
      <c r="J12830" s="23" t="str">
        <f>HYPERLINK("https://www.spark-marketing.ru/Card/Person/118921", "МОУ СОШ № 34")</f>
        <v>МОУ СОШ № 34</v>
      </c>
      <c r="K12830" s="24" t="s">
        <v>17114</v>
      </c>
      <c r="L12830" s="22" t="s">
        <v>10</v>
      </c>
      <c r="M12830" s="28" t="s">
        <v>51</v>
      </c>
      <c r="N12830" s="28" t="s">
        <v>51</v>
      </c>
    </row>
    <row r="12831" spans="1:14" x14ac:dyDescent="0.15">
      <c r="A12831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831" s="24" t="s">
        <v>4297</v>
      </c>
      <c r="C12831" s="25">
        <v>236250</v>
      </c>
      <c r="D12831" s="22" t="s">
        <v>17315</v>
      </c>
      <c r="E12831" s="22" t="s">
        <v>48</v>
      </c>
      <c r="F12831" s="23" t="str">
        <f>HYPERLINK("https://www.spark-marketing.ru/Card/Lot/72141457",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2831" s="22" t="s">
        <v>1096</v>
      </c>
      <c r="H12831" s="22" t="s">
        <v>4299</v>
      </c>
      <c r="I12831" s="26">
        <v>43663.430428240703</v>
      </c>
      <c r="J12831" s="23" t="str">
        <f>HYPERLINK("https://www.spark-marketing.ru/Card/Person/126132", "МОУ СОШ № 27")</f>
        <v>МОУ СОШ № 27</v>
      </c>
      <c r="K12831" s="24" t="s">
        <v>17074</v>
      </c>
      <c r="L12831" s="22" t="s">
        <v>10</v>
      </c>
      <c r="M12831" s="28" t="s">
        <v>51</v>
      </c>
      <c r="N12831" s="28" t="s">
        <v>51</v>
      </c>
    </row>
    <row r="12832" spans="1:14" x14ac:dyDescent="0.15">
      <c r="A12832" s="23" t="str">
        <f>HYPERLINK("https://www.spark-marketing.ru/Card/Person/1057017", "МЕЖМУНИЦИПАЛЬНЫЙ ОТДЕЛ МВД РОССИИ ""ШОЛОХОВСКИЙ""")</f>
        <v>МЕЖМУНИЦИПАЛЬНЫЙ ОТДЕЛ МВД РОССИИ "ШОЛОХОВСКИЙ"</v>
      </c>
      <c r="B12832" s="24" t="s">
        <v>13400</v>
      </c>
      <c r="C12832" s="25">
        <v>260000</v>
      </c>
      <c r="D12832" s="22" t="s">
        <v>17316</v>
      </c>
      <c r="E12832" s="22" t="s">
        <v>48</v>
      </c>
      <c r="F12832" s="23" t="str">
        <f>HYPERLINK("https://www.spark-marketing.ru/Card/Lot/72143688",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2832" s="22" t="s">
        <v>267</v>
      </c>
      <c r="H12832" s="22" t="s">
        <v>13402</v>
      </c>
      <c r="I12832" s="26">
        <v>43663.4313078704</v>
      </c>
      <c r="J12832" s="28" t="s">
        <v>51</v>
      </c>
      <c r="K12832" s="28" t="s">
        <v>51</v>
      </c>
      <c r="L12832" s="28" t="s">
        <v>51</v>
      </c>
      <c r="M12832" s="28" t="s">
        <v>51</v>
      </c>
      <c r="N12832" s="28" t="s">
        <v>51</v>
      </c>
    </row>
    <row r="12833" spans="1:14" collapsed="1" x14ac:dyDescent="0.15">
      <c r="A12833" s="23" t="str">
        <f t="shared" ref="A12833:A12838" si="422">HYPERLINK("https://www.spark-marketing.ru/Card/Person/16431", "ГБУЗ ЛО ""ЛОДЕЙНОПОЛЬСКАЯ МБ""")</f>
        <v>ГБУЗ ЛО "ЛОДЕЙНОПОЛЬСКАЯ МБ"</v>
      </c>
      <c r="B12833" s="24" t="s">
        <v>17317</v>
      </c>
      <c r="C12833" s="25">
        <v>420535.3</v>
      </c>
      <c r="D12833" s="22" t="s">
        <v>17318</v>
      </c>
      <c r="E12833" s="22" t="s">
        <v>62</v>
      </c>
      <c r="F12833" s="23" t="str">
        <f t="shared" ref="F12833:F12838" si="423">HYPERLINK("https://www.spark-marketing.ru/Card/Lot/72159482", "Поставка бланков и журналов")</f>
        <v>Поставка бланков и журналов</v>
      </c>
      <c r="G12833" s="22" t="s">
        <v>162</v>
      </c>
      <c r="H12833" s="22" t="s">
        <v>12727</v>
      </c>
      <c r="I12833" s="26">
        <v>43663.437326388899</v>
      </c>
      <c r="J12833" s="28" t="s">
        <v>51</v>
      </c>
      <c r="K12833" s="28" t="s">
        <v>51</v>
      </c>
      <c r="L12833" s="28" t="s">
        <v>51</v>
      </c>
      <c r="M12833" s="28" t="s">
        <v>51</v>
      </c>
      <c r="N12833" s="28" t="s">
        <v>51</v>
      </c>
    </row>
    <row r="12834" spans="1:14" hidden="1" outlineLevel="1" x14ac:dyDescent="0.2">
      <c r="A12834" s="23" t="str">
        <f t="shared" si="422"/>
        <v>ГБУЗ ЛО "ЛОДЕЙНОПОЛЬСКАЯ МБ"</v>
      </c>
      <c r="B12834" s="24" t="s">
        <v>17317</v>
      </c>
      <c r="C12834" s="25">
        <v>420535.3</v>
      </c>
      <c r="D12834" s="22" t="s">
        <v>17318</v>
      </c>
      <c r="E12834" s="22" t="s">
        <v>62</v>
      </c>
      <c r="F12834" s="23" t="str">
        <f t="shared" si="423"/>
        <v>Поставка бланков и журналов</v>
      </c>
      <c r="G12834" s="22" t="s">
        <v>162</v>
      </c>
      <c r="H12834" s="22" t="s">
        <v>12727</v>
      </c>
      <c r="I12834" s="26">
        <v>43663.437326388899</v>
      </c>
      <c r="J12834" s="23" t="str">
        <f>HYPERLINK("https://www.spark-marketing.ru/Card/Person/497064", "ООО ИПК ""АВАНТА-ПРИНТ""")</f>
        <v>ООО ИПК "АВАНТА-ПРИНТ"</v>
      </c>
      <c r="K12834" s="24" t="s">
        <v>6192</v>
      </c>
      <c r="L12834" s="28" t="s">
        <v>51</v>
      </c>
      <c r="M12834" s="25">
        <v>260082.31</v>
      </c>
      <c r="N12834" s="27">
        <v>0.3815446408422789</v>
      </c>
    </row>
    <row r="12835" spans="1:14" ht="12.75" hidden="1" outlineLevel="1" x14ac:dyDescent="0.2">
      <c r="A12835" s="23" t="str">
        <f t="shared" si="422"/>
        <v>ГБУЗ ЛО "ЛОДЕЙНОПОЛЬСКАЯ МБ"</v>
      </c>
      <c r="B12835" s="24" t="s">
        <v>17317</v>
      </c>
      <c r="C12835" s="25">
        <v>420535.3</v>
      </c>
      <c r="D12835" s="22" t="s">
        <v>17318</v>
      </c>
      <c r="E12835" s="22" t="s">
        <v>62</v>
      </c>
      <c r="F12835" s="23" t="str">
        <f t="shared" si="423"/>
        <v>Поставка бланков и журналов</v>
      </c>
      <c r="G12835" s="22" t="s">
        <v>162</v>
      </c>
      <c r="H12835" s="22" t="s">
        <v>12727</v>
      </c>
      <c r="I12835" s="26">
        <v>43663.437326388899</v>
      </c>
      <c r="J12835" s="23" t="str">
        <f>HYPERLINK("https://www.spark-marketing.ru/Card/Person/6633575", "ООО ""ПОБЕДА ПРИНТ""")</f>
        <v>ООО "ПОБЕДА ПРИНТ"</v>
      </c>
      <c r="K12835" s="24" t="s">
        <v>17319</v>
      </c>
      <c r="L12835" s="22" t="s">
        <v>10</v>
      </c>
      <c r="M12835" s="25">
        <v>247897.32</v>
      </c>
      <c r="N12835" s="27">
        <v>0.4105195925288555</v>
      </c>
    </row>
    <row r="12836" spans="1:14" hidden="1" outlineLevel="1" x14ac:dyDescent="0.2">
      <c r="A12836" s="23" t="str">
        <f t="shared" si="422"/>
        <v>ГБУЗ ЛО "ЛОДЕЙНОПОЛЬСКАЯ МБ"</v>
      </c>
      <c r="B12836" s="24" t="s">
        <v>17317</v>
      </c>
      <c r="C12836" s="25">
        <v>420535.3</v>
      </c>
      <c r="D12836" s="22" t="s">
        <v>17318</v>
      </c>
      <c r="E12836" s="22" t="s">
        <v>62</v>
      </c>
      <c r="F12836" s="23" t="str">
        <f t="shared" si="423"/>
        <v>Поставка бланков и журналов</v>
      </c>
      <c r="G12836" s="22" t="s">
        <v>162</v>
      </c>
      <c r="H12836" s="22" t="s">
        <v>12727</v>
      </c>
      <c r="I12836" s="26">
        <v>43663.437326388899</v>
      </c>
      <c r="J12836" s="23" t="str">
        <f>HYPERLINK("https://www.spark-marketing.ru/Card/Person/6421268", "Головатый Александр Николаевич")</f>
        <v>Головатый Александр Николаевич</v>
      </c>
      <c r="K12836" s="24" t="s">
        <v>5206</v>
      </c>
      <c r="L12836" s="28" t="s">
        <v>51</v>
      </c>
      <c r="M12836" s="25">
        <v>276897</v>
      </c>
      <c r="N12836" s="27">
        <v>0.34156062523169872</v>
      </c>
    </row>
    <row r="12837" spans="1:14" hidden="1" outlineLevel="1" x14ac:dyDescent="0.2">
      <c r="A12837" s="23" t="str">
        <f t="shared" si="422"/>
        <v>ГБУЗ ЛО "ЛОДЕЙНОПОЛЬСКАЯ МБ"</v>
      </c>
      <c r="B12837" s="24" t="s">
        <v>17317</v>
      </c>
      <c r="C12837" s="25">
        <v>420535.3</v>
      </c>
      <c r="D12837" s="22" t="s">
        <v>17318</v>
      </c>
      <c r="E12837" s="22" t="s">
        <v>62</v>
      </c>
      <c r="F12837" s="23" t="str">
        <f t="shared" si="423"/>
        <v>Поставка бланков и журналов</v>
      </c>
      <c r="G12837" s="22" t="s">
        <v>162</v>
      </c>
      <c r="H12837" s="22" t="s">
        <v>12727</v>
      </c>
      <c r="I12837" s="26">
        <v>43663.437326388899</v>
      </c>
      <c r="J12837" s="23" t="str">
        <f>HYPERLINK("https://www.spark-marketing.ru/Card/Person/44810", "Шевченко Валерий Иванович")</f>
        <v>Шевченко Валерий Иванович</v>
      </c>
      <c r="K12837" s="24" t="s">
        <v>17320</v>
      </c>
      <c r="L12837" s="28" t="s">
        <v>51</v>
      </c>
      <c r="M12837" s="25">
        <v>247897.32</v>
      </c>
      <c r="N12837" s="27">
        <v>0.4105195925288555</v>
      </c>
    </row>
    <row r="12838" spans="1:14" hidden="1" outlineLevel="1" x14ac:dyDescent="0.2">
      <c r="A12838" s="23" t="str">
        <f t="shared" si="422"/>
        <v>ГБУЗ ЛО "ЛОДЕЙНОПОЛЬСКАЯ МБ"</v>
      </c>
      <c r="B12838" s="24" t="s">
        <v>17317</v>
      </c>
      <c r="C12838" s="25">
        <v>420535.3</v>
      </c>
      <c r="D12838" s="22" t="s">
        <v>17318</v>
      </c>
      <c r="E12838" s="22" t="s">
        <v>62</v>
      </c>
      <c r="F12838" s="23" t="str">
        <f t="shared" si="423"/>
        <v>Поставка бланков и журналов</v>
      </c>
      <c r="G12838" s="22" t="s">
        <v>162</v>
      </c>
      <c r="H12838" s="22" t="s">
        <v>12727</v>
      </c>
      <c r="I12838" s="26">
        <v>43663.437326388899</v>
      </c>
      <c r="J12838" s="23" t="str">
        <f>HYPERLINK("https://www.spark-marketing.ru/Card/Person/183917", "ООО ""КАНЦТОВАРЫ""")</f>
        <v>ООО "КАНЦТОВАРЫ"</v>
      </c>
      <c r="K12838" s="24" t="s">
        <v>6208</v>
      </c>
      <c r="L12838" s="28" t="s">
        <v>51</v>
      </c>
      <c r="M12838" s="25">
        <v>250000</v>
      </c>
      <c r="N12838" s="27">
        <v>0.40551958420612966</v>
      </c>
    </row>
    <row r="12839" spans="1:14" x14ac:dyDescent="0.2">
      <c r="A12839" s="23" t="str">
        <f>HYPERLINK("https://www.spark-marketing.ru/Card/Person/72512", "МБОУ ""ЛИЦЕЙ №2""")</f>
        <v>МБОУ "ЛИЦЕЙ №2"</v>
      </c>
      <c r="B12839" s="24" t="s">
        <v>1471</v>
      </c>
      <c r="C12839" s="25">
        <v>11754880</v>
      </c>
      <c r="D12839" s="22" t="s">
        <v>17321</v>
      </c>
      <c r="E12839" s="22" t="s">
        <v>48</v>
      </c>
      <c r="F12839" s="23" t="str">
        <f>HYPERLINK("https://www.spark-marketing.ru/Card/Lot/72157403", "Оказание услуг по организации в 2019-2020 учебном году питания обучающихся муниципального бюджетного общеобразовательного учреждения ""Лицей №2""")</f>
        <v>Оказание услуг по организации в 2019-2020 учебном году питания обучающихся муниципального бюджетного общеобразовательного учреждения "Лицей №2"</v>
      </c>
      <c r="G12839" s="22" t="s">
        <v>97</v>
      </c>
      <c r="H12839" s="22" t="s">
        <v>97</v>
      </c>
      <c r="I12839" s="26">
        <v>43663.425694444399</v>
      </c>
      <c r="J12839" s="23" t="str">
        <f>HYPERLINK("https://www.spark-marketing.ru/Card/Person/5846583", "ООО ""АБВГД""")</f>
        <v>ООО "АБВГД"</v>
      </c>
      <c r="K12839" s="24" t="s">
        <v>1467</v>
      </c>
      <c r="L12839" s="28" t="s">
        <v>51</v>
      </c>
      <c r="M12839" s="25">
        <v>11754880</v>
      </c>
      <c r="N12839" s="27">
        <v>0</v>
      </c>
    </row>
    <row r="12840" spans="1:14" x14ac:dyDescent="0.15">
      <c r="A12840" s="23" t="str">
        <f>HYPERLINK("https://www.spark-marketing.ru/Card/Person/1057017", "МЕЖМУНИЦИПАЛЬНЫЙ ОТДЕЛ МВД РОССИИ ""ШОЛОХОВСКИЙ""")</f>
        <v>МЕЖМУНИЦИПАЛЬНЫЙ ОТДЕЛ МВД РОССИИ "ШОЛОХОВСКИЙ"</v>
      </c>
      <c r="B12840" s="24" t="s">
        <v>13400</v>
      </c>
      <c r="C12840" s="25">
        <v>106900</v>
      </c>
      <c r="D12840" s="22" t="s">
        <v>17322</v>
      </c>
      <c r="E12840" s="22" t="s">
        <v>48</v>
      </c>
      <c r="F12840" s="23" t="str">
        <f>HYPERLINK("https://www.spark-marketing.ru/Card/Lot/72144399",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2840" s="22" t="s">
        <v>267</v>
      </c>
      <c r="H12840" s="22" t="s">
        <v>13402</v>
      </c>
      <c r="I12840" s="26">
        <v>43663.448379629597</v>
      </c>
      <c r="J12840" s="28" t="s">
        <v>51</v>
      </c>
      <c r="K12840" s="28" t="s">
        <v>51</v>
      </c>
      <c r="L12840" s="28" t="s">
        <v>51</v>
      </c>
      <c r="M12840" s="28" t="s">
        <v>51</v>
      </c>
      <c r="N12840" s="28" t="s">
        <v>51</v>
      </c>
    </row>
    <row r="12841" spans="1:14" x14ac:dyDescent="0.15">
      <c r="A12841" s="23" t="str">
        <f>HYPERLINK("https://www.spark-marketing.ru/Card/Person/1057017", "МЕЖМУНИЦИПАЛЬНЫЙ ОТДЕЛ МВД РОССИИ ""ШОЛОХОВСКИЙ""")</f>
        <v>МЕЖМУНИЦИПАЛЬНЫЙ ОТДЕЛ МВД РОССИИ "ШОЛОХОВСКИЙ"</v>
      </c>
      <c r="B12841" s="24" t="s">
        <v>13400</v>
      </c>
      <c r="C12841" s="25">
        <v>270000</v>
      </c>
      <c r="D12841" s="22" t="s">
        <v>17323</v>
      </c>
      <c r="E12841" s="22" t="s">
        <v>48</v>
      </c>
      <c r="F12841" s="23" t="str">
        <f>HYPERLINK("https://www.spark-marketing.ru/Card/Lot/72144389",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2841" s="22" t="s">
        <v>267</v>
      </c>
      <c r="H12841" s="22" t="s">
        <v>13402</v>
      </c>
      <c r="I12841" s="26">
        <v>43663.445196759298</v>
      </c>
      <c r="J12841" s="28" t="s">
        <v>51</v>
      </c>
      <c r="K12841" s="28" t="s">
        <v>51</v>
      </c>
      <c r="L12841" s="28" t="s">
        <v>51</v>
      </c>
      <c r="M12841" s="28" t="s">
        <v>51</v>
      </c>
      <c r="N12841" s="28" t="s">
        <v>51</v>
      </c>
    </row>
    <row r="12842" spans="1:14" x14ac:dyDescent="0.15">
      <c r="A12842" s="23" t="str">
        <f>HYPERLINK("https://www.spark-marketing.ru/Card/Person/1057017", "МЕЖМУНИЦИПАЛЬНЫЙ ОТДЕЛ МВД РОССИИ ""ШОЛОХОВСКИЙ""")</f>
        <v>МЕЖМУНИЦИПАЛЬНЫЙ ОТДЕЛ МВД РОССИИ "ШОЛОХОВСКИЙ"</v>
      </c>
      <c r="B12842" s="24" t="s">
        <v>13400</v>
      </c>
      <c r="C12842" s="25">
        <v>106900</v>
      </c>
      <c r="D12842" s="22" t="s">
        <v>17324</v>
      </c>
      <c r="E12842" s="22" t="s">
        <v>48</v>
      </c>
      <c r="F12842" s="23" t="str">
        <f>HYPERLINK("https://www.spark-marketing.ru/Card/Lot/72144525",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2842" s="22" t="s">
        <v>267</v>
      </c>
      <c r="H12842" s="22" t="s">
        <v>13402</v>
      </c>
      <c r="I12842" s="26">
        <v>43663.451828703699</v>
      </c>
      <c r="J12842" s="28" t="s">
        <v>51</v>
      </c>
      <c r="K12842" s="28" t="s">
        <v>51</v>
      </c>
      <c r="L12842" s="28" t="s">
        <v>51</v>
      </c>
      <c r="M12842" s="28" t="s">
        <v>51</v>
      </c>
      <c r="N12842" s="28" t="s">
        <v>51</v>
      </c>
    </row>
    <row r="12843" spans="1:14" x14ac:dyDescent="0.15">
      <c r="A12843" s="23" t="str">
        <f>HYPERLINK("https://www.spark-marketing.ru/Card/Person/1057017", "МЕЖМУНИЦИПАЛЬНЫЙ ОТДЕЛ МВД РОССИИ ""ШОЛОХОВСКИЙ""")</f>
        <v>МЕЖМУНИЦИПАЛЬНЫЙ ОТДЕЛ МВД РОССИИ "ШОЛОХОВСКИЙ"</v>
      </c>
      <c r="B12843" s="24" t="s">
        <v>13400</v>
      </c>
      <c r="C12843" s="25">
        <v>270000</v>
      </c>
      <c r="D12843" s="22" t="s">
        <v>17325</v>
      </c>
      <c r="E12843" s="22" t="s">
        <v>48</v>
      </c>
      <c r="F12843" s="23" t="str">
        <f>HYPERLINK("https://www.spark-marketing.ru/Card/Lot/72144536",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2843" s="22" t="s">
        <v>267</v>
      </c>
      <c r="H12843" s="22" t="s">
        <v>13402</v>
      </c>
      <c r="I12843" s="26">
        <v>43663.4546990741</v>
      </c>
      <c r="J12843" s="28" t="s">
        <v>51</v>
      </c>
      <c r="K12843" s="28" t="s">
        <v>51</v>
      </c>
      <c r="L12843" s="28" t="s">
        <v>51</v>
      </c>
      <c r="M12843" s="28" t="s">
        <v>51</v>
      </c>
      <c r="N12843" s="28" t="s">
        <v>51</v>
      </c>
    </row>
    <row r="12844" spans="1:14" x14ac:dyDescent="0.15">
      <c r="A12844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2844" s="24" t="s">
        <v>4297</v>
      </c>
      <c r="C12844" s="25">
        <v>327600</v>
      </c>
      <c r="D12844" s="22" t="s">
        <v>17326</v>
      </c>
      <c r="E12844" s="22" t="s">
        <v>48</v>
      </c>
      <c r="F12844" s="23" t="str">
        <f>HYPERLINK("https://www.spark-marketing.ru/Card/Lot/72141458",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2844" s="22" t="s">
        <v>1096</v>
      </c>
      <c r="H12844" s="22" t="s">
        <v>4299</v>
      </c>
      <c r="I12844" s="26">
        <v>43663.430520833303</v>
      </c>
      <c r="J12844" s="23" t="str">
        <f>HYPERLINK("https://www.spark-marketing.ru/Card/Person/1038864", "МОУ ГИМНАЗИЯ № 9")</f>
        <v>МОУ ГИМНАЗИЯ № 9</v>
      </c>
      <c r="K12844" s="24" t="s">
        <v>15646</v>
      </c>
      <c r="L12844" s="22" t="s">
        <v>10</v>
      </c>
      <c r="M12844" s="28" t="s">
        <v>51</v>
      </c>
      <c r="N12844" s="28" t="s">
        <v>51</v>
      </c>
    </row>
    <row r="12845" spans="1:14" x14ac:dyDescent="0.15">
      <c r="A12845" s="23" t="str">
        <f>HYPERLINK("https://www.spark-marketing.ru/Card/Person/5951331", "ГБУЗ ПК ""ГБ Г. СОЛИКАМСК""")</f>
        <v>ГБУЗ ПК "ГБ Г. СОЛИКАМСК"</v>
      </c>
      <c r="B12845" s="24" t="s">
        <v>2827</v>
      </c>
      <c r="C12845" s="25">
        <v>2799961.6</v>
      </c>
      <c r="D12845" s="22" t="s">
        <v>17327</v>
      </c>
      <c r="E12845" s="22" t="s">
        <v>96</v>
      </c>
      <c r="F12845" s="23" t="str">
        <f>HYPERLINK("https://www.spark-marketing.ru/Card/Lot/72162122", "Оказание услуг по приготовлению лечебного питания для пациентов, находящихся на стационарном лечении")</f>
        <v>Оказание услуг по приготовлению лечебного питания для пациентов, находящихся на стационарном лечении</v>
      </c>
      <c r="G12845" s="22" t="s">
        <v>153</v>
      </c>
      <c r="H12845" s="22" t="s">
        <v>153</v>
      </c>
      <c r="I12845" s="26">
        <v>43663.389421296299</v>
      </c>
      <c r="J12845" s="23" t="str">
        <f>HYPERLINK("https://www.spark-marketing.ru/Card/Person/52326", "Токарева Оксана Вячеславовна")</f>
        <v>Токарева Оксана Вячеславовна</v>
      </c>
      <c r="K12845" s="24" t="s">
        <v>1845</v>
      </c>
      <c r="L12845" s="22" t="s">
        <v>10</v>
      </c>
      <c r="M12845" s="28" t="s">
        <v>51</v>
      </c>
      <c r="N12845" s="28" t="s">
        <v>51</v>
      </c>
    </row>
    <row r="12846" spans="1:14" x14ac:dyDescent="0.15">
      <c r="A12846" s="23" t="str">
        <f>HYPERLINK("https://www.spark-marketing.ru/Card/Person/1066101", "МБОУ ООШ № 3 Г. АПАТИТЫ")</f>
        <v>МБОУ ООШ № 3 Г. АПАТИТЫ</v>
      </c>
      <c r="B12846" s="24" t="s">
        <v>17328</v>
      </c>
      <c r="C12846" s="25">
        <v>2486378</v>
      </c>
      <c r="D12846" s="22" t="s">
        <v>17329</v>
      </c>
      <c r="E12846" s="22" t="s">
        <v>48</v>
      </c>
      <c r="F12846" s="23" t="str">
        <f>HYPERLINK("https://www.spark-marketing.ru/Card/Lot/72162179", "Оказание услуг по организации горячего питания в МБОУ ООШ № 3 г. Апатиты во втором полугодии 2019 года")</f>
        <v>Оказание услуг по организации горячего питания в МБОУ ООШ № 3 г. Апатиты во втором полугодии 2019 года</v>
      </c>
      <c r="G12846" s="22" t="s">
        <v>340</v>
      </c>
      <c r="H12846" s="22" t="s">
        <v>7501</v>
      </c>
      <c r="I12846" s="26">
        <v>43663.375428240703</v>
      </c>
      <c r="J12846" s="23" t="str">
        <f>HYPERLINK("https://www.spark-marketing.ru/Card/Person/4364166", "МУП ""ЗАПОЛЯРЬЕ""")</f>
        <v>МУП "ЗАПОЛЯРЬЕ"</v>
      </c>
      <c r="K12846" s="24" t="s">
        <v>7502</v>
      </c>
      <c r="L12846" s="22" t="s">
        <v>10</v>
      </c>
      <c r="M12846" s="28" t="s">
        <v>51</v>
      </c>
      <c r="N12846" s="28" t="s">
        <v>51</v>
      </c>
    </row>
    <row r="12847" spans="1:14" x14ac:dyDescent="0.15">
      <c r="A12847" s="23" t="str">
        <f>HYPERLINK("https://www.spark-marketing.ru/Card/Person/53322", "ГУ - ТАМБОВСКОЕ РО ФОНДА СОЦИАЛЬНОГО СТРАХОВАНИЯ РОССИЙСКОЙ ФЕДЕРАЦИИ")</f>
        <v>ГУ - ТАМБОВСКОЕ РО ФОНДА СОЦИАЛЬНОГО СТРАХОВАНИЯ РОССИЙСКОЙ ФЕДЕРАЦИИ</v>
      </c>
      <c r="B12847" s="24" t="s">
        <v>3458</v>
      </c>
      <c r="C12847" s="25">
        <v>1048068</v>
      </c>
      <c r="D12847" s="22" t="s">
        <v>17330</v>
      </c>
      <c r="E12847" s="22" t="s">
        <v>86</v>
      </c>
      <c r="F12847" s="23" t="str">
        <f>HYPERLINK("https://www.spark-marketing.ru/Card/Lot/72160771", "Оказание услуг по санаторно-курортному лечению детей-инвалидов (в том числе с заболеванием детский церебральный паралич) - получателей государственной социальной помощи в виде набора социальных услуг, в том числе и сопровождающих лиц, по профилям заб...")</f>
        <v>Оказание услуг по санаторно-курортному лечению детей-инвалидов (в том числе с заболеванием детский церебральный паралич) - получателей государственной социальной помощи в виде набора социальных услуг, в том числе и сопровождающих лиц, по профилям заб...</v>
      </c>
      <c r="G12847" s="22" t="s">
        <v>1370</v>
      </c>
      <c r="H12847" s="22" t="s">
        <v>2025</v>
      </c>
      <c r="I12847" s="26">
        <v>43663.408483796302</v>
      </c>
      <c r="J12847" s="23" t="str">
        <f>HYPERLINK("https://www.spark-marketing.ru/Card/Person/52911", "ООО "" САНАТОРИЙ "" ПАРУС """)</f>
        <v>ООО " САНАТОРИЙ " ПАРУС "</v>
      </c>
      <c r="K12847" s="24" t="s">
        <v>3010</v>
      </c>
      <c r="L12847" s="22" t="s">
        <v>10</v>
      </c>
      <c r="M12847" s="28" t="s">
        <v>51</v>
      </c>
      <c r="N12847" s="28" t="s">
        <v>51</v>
      </c>
    </row>
    <row r="12848" spans="1:14" x14ac:dyDescent="0.2">
      <c r="A12848" s="23" t="str">
        <f>HYPERLINK("https://www.spark-marketing.ru/Card/Person/28992", "ФГБОУ ВО «РГЭУ (РИНХ)», РОСТОВСКИЙ ГОСУДАРСТВЕННЫЙ ЭКОНОМИЧЕСКИЙ УНИВЕРСИТЕТ (РИНХ), РГЭУ (РИНХ)")</f>
        <v>ФГБОУ ВО «РГЭУ (РИНХ)», РОСТОВСКИЙ ГОСУДАРСТВЕННЫЙ ЭКОНОМИЧЕСКИЙ УНИВЕРСИТЕТ (РИНХ), РГЭУ (РИНХ)</v>
      </c>
      <c r="B12848" s="24" t="s">
        <v>3545</v>
      </c>
      <c r="C12848" s="25">
        <v>146960</v>
      </c>
      <c r="D12848" s="22" t="s">
        <v>17331</v>
      </c>
      <c r="E12848" s="22" t="s">
        <v>580</v>
      </c>
      <c r="F12848" s="23" t="str">
        <f>HYPERLINK("https://www.spark-marketing.ru/Card/Lot/72166691", "Оказание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«Ивушка».")</f>
        <v>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</v>
      </c>
      <c r="G12848" s="22" t="s">
        <v>267</v>
      </c>
      <c r="H12848" s="22" t="s">
        <v>267</v>
      </c>
      <c r="I12848" s="26">
        <v>43663.3910763889</v>
      </c>
      <c r="J12848" s="28" t="s">
        <v>51</v>
      </c>
      <c r="K12848" s="28" t="s">
        <v>51</v>
      </c>
      <c r="L12848" s="28" t="s">
        <v>51</v>
      </c>
      <c r="M12848" s="25">
        <v>146960</v>
      </c>
      <c r="N12848" s="27">
        <v>0</v>
      </c>
    </row>
    <row r="12849" spans="1:14" x14ac:dyDescent="0.2">
      <c r="A12849" s="23" t="str">
        <f>HYPERLINK("https://www.spark-marketing.ru/Card/Person/72447", "МБОУ ""СШ №18""")</f>
        <v>МБОУ "СШ №18"</v>
      </c>
      <c r="B12849" s="24" t="s">
        <v>17332</v>
      </c>
      <c r="C12849" s="25">
        <v>12028396.800000001</v>
      </c>
      <c r="D12849" s="22" t="s">
        <v>17333</v>
      </c>
      <c r="E12849" s="22" t="s">
        <v>48</v>
      </c>
      <c r="F12849" s="23" t="str">
        <f>HYPERLINK("https://www.spark-marketing.ru/Card/Lot/72157402", "Оказание услуг по организации в 2019-2020 учебном году питания обучающихся муниципального бюджетного общеобразовательного учреждения ""Средняя школа №18""")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№18"</v>
      </c>
      <c r="G12849" s="22" t="s">
        <v>97</v>
      </c>
      <c r="H12849" s="22" t="s">
        <v>97</v>
      </c>
      <c r="I12849" s="26">
        <v>43663.404861111099</v>
      </c>
      <c r="J12849" s="23" t="str">
        <f>HYPERLINK("https://www.spark-marketing.ru/Card/Person/4865441", "ООО ""КШП-2""")</f>
        <v>ООО "КШП-2"</v>
      </c>
      <c r="K12849" s="24" t="s">
        <v>1468</v>
      </c>
      <c r="L12849" s="28" t="s">
        <v>51</v>
      </c>
      <c r="M12849" s="25">
        <v>12028396.800000001</v>
      </c>
      <c r="N12849" s="27">
        <v>0</v>
      </c>
    </row>
    <row r="12850" spans="1:14" x14ac:dyDescent="0.2">
      <c r="A12850" s="23" t="str">
        <f>HYPERLINK("https://www.spark-marketing.ru/Card/Person/28992", "ФГБОУ ВО «РГЭУ (РИНХ)», РОСТОВСКИЙ ГОСУДАРСТВЕННЫЙ ЭКОНОМИЧЕСКИЙ УНИВЕРСИТЕТ (РИНХ), РГЭУ (РИНХ)")</f>
        <v>ФГБОУ ВО «РГЭУ (РИНХ)», РОСТОВСКИЙ ГОСУДАРСТВЕННЫЙ ЭКОНОМИЧЕСКИЙ УНИВЕРСИТЕТ (РИНХ), РГЭУ (РИНХ)</v>
      </c>
      <c r="B12850" s="24" t="s">
        <v>3545</v>
      </c>
      <c r="C12850" s="25">
        <v>447560</v>
      </c>
      <c r="D12850" s="22" t="s">
        <v>17334</v>
      </c>
      <c r="E12850" s="22" t="s">
        <v>580</v>
      </c>
      <c r="F12850" s="23" t="str">
        <f>HYPERLINK("https://www.spark-marketing.ru/Card/Lot/72166694", "Оказание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«Ивушка».")</f>
        <v>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</v>
      </c>
      <c r="G12850" s="22" t="s">
        <v>267</v>
      </c>
      <c r="H12850" s="22" t="s">
        <v>267</v>
      </c>
      <c r="I12850" s="26">
        <v>43663.396747685198</v>
      </c>
      <c r="J12850" s="28" t="s">
        <v>51</v>
      </c>
      <c r="K12850" s="28" t="s">
        <v>51</v>
      </c>
      <c r="L12850" s="28" t="s">
        <v>51</v>
      </c>
      <c r="M12850" s="25">
        <v>447560</v>
      </c>
      <c r="N12850" s="27">
        <v>0</v>
      </c>
    </row>
    <row r="12851" spans="1:14" x14ac:dyDescent="0.15">
      <c r="A12851" s="23" t="str">
        <f>HYPERLINK("https://www.spark-marketing.ru/Card/Person/393220", "МО МВД РОССИИ ""НЕЙСКИЙ""")</f>
        <v>МО МВД РОССИИ "НЕЙСКИЙ"</v>
      </c>
      <c r="B12851" s="24" t="s">
        <v>17335</v>
      </c>
      <c r="C12851" s="25">
        <v>1000000</v>
      </c>
      <c r="D12851" s="22" t="s">
        <v>17336</v>
      </c>
      <c r="E12851" s="22" t="s">
        <v>48</v>
      </c>
      <c r="F12851" s="23" t="str">
        <f>HYPERLINK("https://www.spark-marketing.ru/Card/Lot/72160722", "Услуги по обеспечению горячим питанием лиц, содержащихся в ИВС МО МВД России ""Нейский""")</f>
        <v>Услуги по обеспечению горячим питанием лиц, содержащихся в ИВС МО МВД России "Нейский"</v>
      </c>
      <c r="G12851" s="22" t="s">
        <v>292</v>
      </c>
      <c r="H12851" s="22" t="s">
        <v>292</v>
      </c>
      <c r="I12851" s="26">
        <v>43663.413148148102</v>
      </c>
      <c r="J12851" s="23" t="str">
        <f>HYPERLINK("https://www.spark-marketing.ru/Card/Person/637339", "ООО ""ОНИКС""")</f>
        <v>ООО "ОНИКС"</v>
      </c>
      <c r="K12851" s="24" t="s">
        <v>17337</v>
      </c>
      <c r="L12851" s="28" t="s">
        <v>51</v>
      </c>
      <c r="M12851" s="28" t="s">
        <v>51</v>
      </c>
      <c r="N12851" s="28" t="s">
        <v>51</v>
      </c>
    </row>
    <row r="12852" spans="1:14" x14ac:dyDescent="0.2">
      <c r="A12852" s="23" t="str">
        <f>HYPERLINK("https://www.spark-marketing.ru/Card/Person/28992", "ФГБОУ ВО «РГЭУ (РИНХ)», РОСТОВСКИЙ ГОСУДАРСТВЕННЫЙ ЭКОНОМИЧЕСКИЙ УНИВЕРСИТЕТ (РИНХ), РГЭУ (РИНХ)")</f>
        <v>ФГБОУ ВО «РГЭУ (РИНХ)», РОСТОВСКИЙ ГОСУДАРСТВЕННЫЙ ЭКОНОМИЧЕСКИЙ УНИВЕРСИТЕТ (РИНХ), РГЭУ (РИНХ)</v>
      </c>
      <c r="B12852" s="24" t="s">
        <v>3545</v>
      </c>
      <c r="C12852" s="25">
        <v>447560</v>
      </c>
      <c r="D12852" s="22" t="s">
        <v>17338</v>
      </c>
      <c r="E12852" s="22" t="s">
        <v>580</v>
      </c>
      <c r="F12852" s="23" t="str">
        <f>HYPERLINK("https://www.spark-marketing.ru/Card/Lot/72166764", "Оказание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«Ивушка».")</f>
        <v>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</v>
      </c>
      <c r="G12852" s="22" t="s">
        <v>267</v>
      </c>
      <c r="H12852" s="22" t="s">
        <v>267</v>
      </c>
      <c r="I12852" s="26">
        <v>43663.402395833298</v>
      </c>
      <c r="J12852" s="28" t="s">
        <v>51</v>
      </c>
      <c r="K12852" s="28" t="s">
        <v>51</v>
      </c>
      <c r="L12852" s="28" t="s">
        <v>51</v>
      </c>
      <c r="M12852" s="25">
        <v>447560</v>
      </c>
      <c r="N12852" s="27">
        <v>0</v>
      </c>
    </row>
    <row r="12853" spans="1:14" x14ac:dyDescent="0.15">
      <c r="A12853" s="23" t="str">
        <f>HYPERLINK("https://www.spark-marketing.ru/Card/Person/53322", "ГУ - ТАМБОВСКОЕ РО ФОНДА СОЦИАЛЬНОГО СТРАХОВАНИЯ РОССИЙСКОЙ ФЕДЕРАЦИИ")</f>
        <v>ГУ - ТАМБОВСКОЕ РО ФОНДА СОЦИАЛЬНОГО СТРАХОВАНИЯ РОССИЙСКОЙ ФЕДЕРАЦИИ</v>
      </c>
      <c r="B12853" s="24" t="s">
        <v>3458</v>
      </c>
      <c r="C12853" s="25">
        <v>366823.8</v>
      </c>
      <c r="D12853" s="22" t="s">
        <v>17339</v>
      </c>
      <c r="E12853" s="22" t="s">
        <v>86</v>
      </c>
      <c r="F12853" s="23" t="str">
        <f>HYPERLINK("https://www.spark-marketing.ru/Card/Lot/72151968", "Оказание услуг по санаторно-курортному лечению детей-инвалидов - получателей государственной социальной помощи в виде набора социальных услуг, в том числе и сопровождающих лиц, по профилям заболеваний: «болезни нервной системы», «болезни системы пище...")</f>
        <v>Оказание услуг по санаторно-курортному лечению детей-инвалидов - получателей государственной социальной помощи в виде набора социальных услуг, в том числе и сопровождающих лиц, по профилям заболеваний: «болезни нервной системы», «болезни системы пище...</v>
      </c>
      <c r="G12853" s="22" t="s">
        <v>1370</v>
      </c>
      <c r="H12853" s="22" t="s">
        <v>2025</v>
      </c>
      <c r="I12853" s="26">
        <v>43663.4125810185</v>
      </c>
      <c r="J12853" s="23" t="str">
        <f>HYPERLINK("https://www.spark-marketing.ru/Card/Person/109312", "ООО САНАТОРИЙ ""ДОЛИНСК""")</f>
        <v>ООО САНАТОРИЙ "ДОЛИНСК"</v>
      </c>
      <c r="K12853" s="24" t="s">
        <v>7091</v>
      </c>
      <c r="L12853" s="22" t="s">
        <v>10</v>
      </c>
      <c r="M12853" s="28" t="s">
        <v>51</v>
      </c>
      <c r="N12853" s="28" t="s">
        <v>51</v>
      </c>
    </row>
    <row r="12854" spans="1:14" x14ac:dyDescent="0.15">
      <c r="A12854" s="23" t="str">
        <f>HYPERLINK("https://www.spark-marketing.ru/Card/Person/264156", "МО МВД РОССИИ ""БОДАЙБИНСКИЙ""")</f>
        <v>МО МВД РОССИИ "БОДАЙБИНСКИЙ"</v>
      </c>
      <c r="B12854" s="24" t="s">
        <v>8236</v>
      </c>
      <c r="C12854" s="25">
        <v>603700</v>
      </c>
      <c r="D12854" s="22" t="s">
        <v>17340</v>
      </c>
      <c r="E12854" s="22" t="s">
        <v>48</v>
      </c>
      <c r="F12854" s="23" t="str">
        <f>HYPERLINK("https://www.spark-marketing.ru/Card/Lot/72160066", "Услуги по обеспечению питанием лиц, содержащихся в ИВС")</f>
        <v>Услуги по обеспечению питанием лиц, содержащихся в ИВС</v>
      </c>
      <c r="G12854" s="22" t="s">
        <v>263</v>
      </c>
      <c r="H12854" s="22" t="s">
        <v>8238</v>
      </c>
      <c r="I12854" s="26">
        <v>43663.387384259302</v>
      </c>
      <c r="J12854" s="23" t="str">
        <f>HYPERLINK("https://www.spark-marketing.ru/Card/Person/338588", "Шилов Андрей Викторович")</f>
        <v>Шилов Андрей Викторович</v>
      </c>
      <c r="K12854" s="24" t="s">
        <v>17341</v>
      </c>
      <c r="L12854" s="22" t="s">
        <v>10</v>
      </c>
      <c r="M12854" s="28" t="s">
        <v>51</v>
      </c>
      <c r="N12854" s="28" t="s">
        <v>51</v>
      </c>
    </row>
    <row r="12855" spans="1:14" x14ac:dyDescent="0.15">
      <c r="A12855" s="23" t="str">
        <f>HYPERLINK("https://www.spark-marketing.ru/Card/Person/1759994", "МАОУ СОШ № 43")</f>
        <v>МАОУ СОШ № 43</v>
      </c>
      <c r="B12855" s="24" t="s">
        <v>17342</v>
      </c>
      <c r="C12855" s="25">
        <v>1081145</v>
      </c>
      <c r="D12855" s="22" t="s">
        <v>17343</v>
      </c>
      <c r="E12855" s="22" t="s">
        <v>362</v>
      </c>
      <c r="F12855" s="23" t="str">
        <f>HYPERLINK("https://www.spark-marketing.ru/Card/Lot/72167302", "Оказание услуг по обеспечению питанием отдельных категорий обучающихся и обучающихся с ограниченными возможностями здоровья")</f>
        <v>Оказание услуг по обеспечению питанием отдельных категорий обучающихся и обучающихся с ограниченными возможностями здоровья</v>
      </c>
      <c r="G12855" s="22" t="s">
        <v>149</v>
      </c>
      <c r="H12855" s="22" t="s">
        <v>149</v>
      </c>
      <c r="I12855" s="26">
        <v>43663.376134259299</v>
      </c>
      <c r="J12855" s="28" t="s">
        <v>51</v>
      </c>
      <c r="K12855" s="28" t="s">
        <v>51</v>
      </c>
      <c r="L12855" s="28" t="s">
        <v>51</v>
      </c>
      <c r="M12855" s="28" t="s">
        <v>51</v>
      </c>
      <c r="N12855" s="28" t="s">
        <v>51</v>
      </c>
    </row>
    <row r="12856" spans="1:14" x14ac:dyDescent="0.15">
      <c r="A12856" s="23" t="str">
        <f>HYPERLINK("https://www.spark-marketing.ru/Card/Person/53322", "ГУ - ТАМБОВСКОЕ РО ФОНДА СОЦИАЛЬНОГО СТРАХОВАНИЯ РОССИЙСКОЙ ФЕДЕРАЦИИ")</f>
        <v>ГУ - ТАМБОВСКОЕ РО ФОНДА СОЦИАЛЬНОГО СТРАХОВАНИЯ РОССИЙСКОЙ ФЕДЕРАЦИИ</v>
      </c>
      <c r="B12856" s="24" t="s">
        <v>3458</v>
      </c>
      <c r="C12856" s="25">
        <v>2470446</v>
      </c>
      <c r="D12856" s="22" t="s">
        <v>17344</v>
      </c>
      <c r="E12856" s="22" t="s">
        <v>86</v>
      </c>
      <c r="F12856" s="23" t="str">
        <f>HYPERLINK("https://www.spark-marketing.ru/Card/Lot/72162197", "Оказание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мочеполовой системы», «болезни системы пищеварения», «бол...")</f>
        <v>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мочеполовой системы», «болезни системы пищеварения», «бол...</v>
      </c>
      <c r="G12856" s="22" t="s">
        <v>1370</v>
      </c>
      <c r="H12856" s="22" t="s">
        <v>2025</v>
      </c>
      <c r="I12856" s="26">
        <v>43663.4041319444</v>
      </c>
      <c r="J12856" s="28" t="s">
        <v>51</v>
      </c>
      <c r="K12856" s="28" t="s">
        <v>51</v>
      </c>
      <c r="L12856" s="28" t="s">
        <v>51</v>
      </c>
      <c r="M12856" s="28" t="s">
        <v>51</v>
      </c>
      <c r="N12856" s="28" t="s">
        <v>51</v>
      </c>
    </row>
    <row r="12857" spans="1:14" hidden="1" outlineLevel="1" x14ac:dyDescent="0.2">
      <c r="A12857" s="23" t="str">
        <f>HYPERLINK("https://www.spark-marketing.ru/Card/Person/53322", "ГУ - ТАМБОВСКОЕ РО ФОНДА СОЦИАЛЬНОГО СТРАХОВАНИЯ РОССИЙСКОЙ ФЕДЕРАЦИИ")</f>
        <v>ГУ - ТАМБОВСКОЕ РО ФОНДА СОЦИАЛЬНОГО СТРАХОВАНИЯ РОССИЙСКОЙ ФЕДЕРАЦИИ</v>
      </c>
      <c r="B12857" s="24" t="s">
        <v>3458</v>
      </c>
      <c r="C12857" s="25">
        <v>2470446</v>
      </c>
      <c r="D12857" s="22" t="s">
        <v>17344</v>
      </c>
      <c r="E12857" s="22" t="s">
        <v>86</v>
      </c>
      <c r="F12857" s="23" t="str">
        <f>HYPERLINK("https://www.spark-marketing.ru/Card/Lot/72162197", "Оказание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мочеполовой системы», «болезни системы пищеварения», «бол...")</f>
        <v>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мочеполовой системы», «болезни системы пищеварения», «бол...</v>
      </c>
      <c r="G12857" s="22" t="s">
        <v>1370</v>
      </c>
      <c r="H12857" s="22" t="s">
        <v>2025</v>
      </c>
      <c r="I12857" s="26">
        <v>43663.4041319444</v>
      </c>
      <c r="J12857" s="23" t="str">
        <f>HYPERLINK("https://www.spark-marketing.ru/Card/Person/63242", "ЛПУ ""БАЗОВЫЙ САНАТОРИЙ ""ВИКТОРИЯ"" (СКРЦ)")</f>
        <v>ЛПУ "БАЗОВЫЙ САНАТОРИЙ "ВИКТОРИЯ" (СКРЦ)</v>
      </c>
      <c r="K12857" s="24" t="s">
        <v>5297</v>
      </c>
      <c r="L12857" s="28" t="s">
        <v>51</v>
      </c>
      <c r="M12857" s="25">
        <v>2271782.77</v>
      </c>
      <c r="N12857" s="27">
        <v>8.0415937041327754E-2</v>
      </c>
    </row>
    <row r="12858" spans="1:14" ht="12.75" hidden="1" outlineLevel="1" x14ac:dyDescent="0.2">
      <c r="A12858" s="23" t="str">
        <f>HYPERLINK("https://www.spark-marketing.ru/Card/Person/53322", "ГУ - ТАМБОВСКОЕ РО ФОНДА СОЦИАЛЬНОГО СТРАХОВАНИЯ РОССИЙСКОЙ ФЕДЕРАЦИИ")</f>
        <v>ГУ - ТАМБОВСКОЕ РО ФОНДА СОЦИАЛЬНОГО СТРАХОВАНИЯ РОССИЙСКОЙ ФЕДЕРАЦИИ</v>
      </c>
      <c r="B12858" s="24" t="s">
        <v>3458</v>
      </c>
      <c r="C12858" s="25">
        <v>2470446</v>
      </c>
      <c r="D12858" s="22" t="s">
        <v>17344</v>
      </c>
      <c r="E12858" s="22" t="s">
        <v>86</v>
      </c>
      <c r="F12858" s="23" t="str">
        <f>HYPERLINK("https://www.spark-marketing.ru/Card/Lot/72162197", "Оказание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мочеполовой системы», «болезни системы пищеварения», «бол...")</f>
        <v>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мочеполовой системы», «болезни системы пищеварения», «бол...</v>
      </c>
      <c r="G12858" s="22" t="s">
        <v>1370</v>
      </c>
      <c r="H12858" s="22" t="s">
        <v>2025</v>
      </c>
      <c r="I12858" s="26">
        <v>43663.4041319444</v>
      </c>
      <c r="J12858" s="23" t="str">
        <f>HYPERLINK("https://www.spark-marketing.ru/Card/Person/109312", "ООО САНАТОРИЙ ""ДОЛИНСК""")</f>
        <v>ООО САНАТОРИЙ "ДОЛИНСК"</v>
      </c>
      <c r="K12858" s="24" t="s">
        <v>7091</v>
      </c>
      <c r="L12858" s="22" t="s">
        <v>10</v>
      </c>
      <c r="M12858" s="25">
        <v>2200000</v>
      </c>
      <c r="N12858" s="27">
        <v>0.10947254058578897</v>
      </c>
    </row>
    <row r="12859" spans="1:14" x14ac:dyDescent="0.15">
      <c r="A12859" s="23" t="str">
        <f>HYPERLINK("https://www.spark-marketing.ru/Card/Person/55235", "УПРАВЛЕНИЕ МВД РОССИИ ПО ГОРОДУ НАБЕРЕЖНЫЕ ЧЕЛНЫ")</f>
        <v>УПРАВЛЕНИЕ МВД РОССИИ ПО ГОРОДУ НАБЕРЕЖНЫЕ ЧЕЛНЫ</v>
      </c>
      <c r="B12859" s="24" t="s">
        <v>13361</v>
      </c>
      <c r="C12859" s="25">
        <v>11756000</v>
      </c>
      <c r="D12859" s="22" t="s">
        <v>17345</v>
      </c>
      <c r="E12859" s="22" t="s">
        <v>48</v>
      </c>
      <c r="F12859" s="23" t="str">
        <f>HYPERLINK("https://www.spark-marketing.ru/Card/Lot/72162860", "Оказать услуги по организации готового питания лиц, содержащихся в изоляторе временного содержания, специальном приемнике для административно-арестованных лиц и лиц , задержанных за совершение административных правонарушений, содержащихся в дежурных ...")</f>
        <v>Оказать услуги по организации готового питания лиц, содержащихся в изоляторе временного содержания, специальном приемнике для административно-арестованных лиц и лиц , задержанных за совершение административных правонарушений, содержащихся в дежурных ...</v>
      </c>
      <c r="G12859" s="22" t="s">
        <v>217</v>
      </c>
      <c r="H12859" s="22" t="s">
        <v>1998</v>
      </c>
      <c r="I12859" s="26">
        <v>43663.366134259297</v>
      </c>
      <c r="J12859" s="23" t="str">
        <f>HYPERLINK("https://www.spark-marketing.ru/Card/Person/234213", "ООО ""НИГМА""")</f>
        <v>ООО "НИГМА"</v>
      </c>
      <c r="K12859" s="24" t="s">
        <v>1999</v>
      </c>
      <c r="L12859" s="22" t="s">
        <v>10</v>
      </c>
      <c r="M12859" s="28" t="s">
        <v>51</v>
      </c>
      <c r="N12859" s="28" t="s">
        <v>51</v>
      </c>
    </row>
    <row r="12860" spans="1:14" x14ac:dyDescent="0.15">
      <c r="A12860" s="23" t="str">
        <f>HYPERLINK("https://www.spark-marketing.ru/Card/Person/247230", "МБОУ ""СОШ №6""")</f>
        <v>МБОУ "СОШ №6"</v>
      </c>
      <c r="B12860" s="24" t="s">
        <v>17346</v>
      </c>
      <c r="C12860" s="25">
        <v>1119346.04</v>
      </c>
      <c r="D12860" s="22" t="s">
        <v>17347</v>
      </c>
      <c r="E12860" s="22" t="s">
        <v>48</v>
      </c>
      <c r="F12860" s="23" t="str">
        <f>HYPERLINK("https://www.spark-marketing.ru/Card/Lot/72157536", "услуги по организации горячего питания учащихся")</f>
        <v>услуги по организации горячего питания учащихся</v>
      </c>
      <c r="G12860" s="22" t="s">
        <v>174</v>
      </c>
      <c r="H12860" s="22" t="s">
        <v>174</v>
      </c>
      <c r="I12860" s="26">
        <v>43663.340972222199</v>
      </c>
      <c r="J12860" s="28" t="s">
        <v>51</v>
      </c>
      <c r="K12860" s="28" t="s">
        <v>51</v>
      </c>
      <c r="L12860" s="28" t="s">
        <v>51</v>
      </c>
      <c r="M12860" s="28" t="s">
        <v>51</v>
      </c>
      <c r="N12860" s="28" t="s">
        <v>51</v>
      </c>
    </row>
    <row r="12861" spans="1:14" hidden="1" outlineLevel="1" x14ac:dyDescent="0.2">
      <c r="A12861" s="23" t="str">
        <f>HYPERLINK("https://www.spark-marketing.ru/Card/Person/247230", "МБОУ ""СОШ №6""")</f>
        <v>МБОУ "СОШ №6"</v>
      </c>
      <c r="B12861" s="24" t="s">
        <v>17346</v>
      </c>
      <c r="C12861" s="25">
        <v>1119346.04</v>
      </c>
      <c r="D12861" s="22" t="s">
        <v>17347</v>
      </c>
      <c r="E12861" s="22" t="s">
        <v>48</v>
      </c>
      <c r="F12861" s="23" t="str">
        <f>HYPERLINK("https://www.spark-marketing.ru/Card/Lot/72157536", "услуги по организации горячего питания учащихся")</f>
        <v>услуги по организации горячего питания учащихся</v>
      </c>
      <c r="G12861" s="22" t="s">
        <v>174</v>
      </c>
      <c r="H12861" s="22" t="s">
        <v>174</v>
      </c>
      <c r="I12861" s="26">
        <v>43663.340972222199</v>
      </c>
      <c r="J12861" s="23" t="str">
        <f>HYPERLINK("https://www.spark-marketing.ru/Card/Person/4952099", "ООО ""ТОП""")</f>
        <v>ООО "ТОП"</v>
      </c>
      <c r="K12861" s="24" t="s">
        <v>15133</v>
      </c>
      <c r="L12861" s="28" t="s">
        <v>51</v>
      </c>
      <c r="M12861" s="25">
        <v>1119346.04</v>
      </c>
      <c r="N12861" s="27">
        <v>0</v>
      </c>
    </row>
    <row r="12862" spans="1:14" ht="12.75" hidden="1" outlineLevel="1" x14ac:dyDescent="0.2">
      <c r="A12862" s="23" t="str">
        <f>HYPERLINK("https://www.spark-marketing.ru/Card/Person/247230", "МБОУ ""СОШ №6""")</f>
        <v>МБОУ "СОШ №6"</v>
      </c>
      <c r="B12862" s="24" t="s">
        <v>17346</v>
      </c>
      <c r="C12862" s="25">
        <v>1119346.04</v>
      </c>
      <c r="D12862" s="22" t="s">
        <v>17347</v>
      </c>
      <c r="E12862" s="22" t="s">
        <v>48</v>
      </c>
      <c r="F12862" s="23" t="str">
        <f>HYPERLINK("https://www.spark-marketing.ru/Card/Lot/72157536", "услуги по организации горячего питания учащихся")</f>
        <v>услуги по организации горячего питания учащихся</v>
      </c>
      <c r="G12862" s="22" t="s">
        <v>174</v>
      </c>
      <c r="H12862" s="22" t="s">
        <v>174</v>
      </c>
      <c r="I12862" s="26">
        <v>43663.340972222199</v>
      </c>
      <c r="J12862" s="23" t="str">
        <f>HYPERLINK("https://www.spark-marketing.ru/Card/Person/63407", "Упоров Олег Геннадьевич")</f>
        <v>Упоров Олег Геннадьевич</v>
      </c>
      <c r="K12862" s="24" t="s">
        <v>17348</v>
      </c>
      <c r="L12862" s="22" t="s">
        <v>10</v>
      </c>
      <c r="M12862" s="25">
        <v>1000000</v>
      </c>
      <c r="N12862" s="27">
        <v>0.10662121965429029</v>
      </c>
    </row>
    <row r="12863" spans="1:14" x14ac:dyDescent="0.15">
      <c r="A12863" s="23" t="str">
        <f>HYPERLINK("https://www.spark-marketing.ru/Card/Person/90853", "ГБУСО МО ""КЦСОР ""ПОДОЛЬСКИЙ""")</f>
        <v>ГБУСО МО "КЦСОР "ПОДОЛЬСКИЙ"</v>
      </c>
      <c r="B12863" s="24" t="s">
        <v>17349</v>
      </c>
      <c r="C12863" s="25">
        <v>540000</v>
      </c>
      <c r="D12863" s="22" t="s">
        <v>17350</v>
      </c>
      <c r="E12863" s="22" t="s">
        <v>48</v>
      </c>
      <c r="F12863" s="23" t="str">
        <f>HYPERLINK("https://www.spark-marketing.ru/Card/Lot/72160059", "Оказание услуги по обеспечению горячим питанием")</f>
        <v>Оказание услуги по обеспечению горячим питанием</v>
      </c>
      <c r="G12863" s="22" t="s">
        <v>49</v>
      </c>
      <c r="H12863" s="22" t="s">
        <v>50</v>
      </c>
      <c r="I12863" s="26">
        <v>43663.363240740699</v>
      </c>
      <c r="J12863" s="28" t="s">
        <v>51</v>
      </c>
      <c r="K12863" s="28" t="s">
        <v>51</v>
      </c>
      <c r="L12863" s="28" t="s">
        <v>51</v>
      </c>
      <c r="M12863" s="28" t="s">
        <v>51</v>
      </c>
      <c r="N12863" s="28" t="s">
        <v>51</v>
      </c>
    </row>
    <row r="12864" spans="1:14" hidden="1" outlineLevel="1" x14ac:dyDescent="0.2">
      <c r="A12864" s="23" t="str">
        <f>HYPERLINK("https://www.spark-marketing.ru/Card/Person/90853", "ГБУСО МО ""КЦСОР ""ПОДОЛЬСКИЙ""")</f>
        <v>ГБУСО МО "КЦСОР "ПОДОЛЬСКИЙ"</v>
      </c>
      <c r="B12864" s="24" t="s">
        <v>17349</v>
      </c>
      <c r="C12864" s="25">
        <v>540000</v>
      </c>
      <c r="D12864" s="22" t="s">
        <v>17350</v>
      </c>
      <c r="E12864" s="22" t="s">
        <v>48</v>
      </c>
      <c r="F12864" s="23" t="str">
        <f>HYPERLINK("https://www.spark-marketing.ru/Card/Lot/72160059", "Оказание услуги по обеспечению горячим питанием")</f>
        <v>Оказание услуги по обеспечению горячим питанием</v>
      </c>
      <c r="G12864" s="22" t="s">
        <v>49</v>
      </c>
      <c r="H12864" s="22" t="s">
        <v>50</v>
      </c>
      <c r="I12864" s="26">
        <v>43663.363240740699</v>
      </c>
      <c r="J12864" s="23" t="str">
        <f>HYPERLINK("https://www.spark-marketing.ru/Card/Person/47262", "МУП ""ПКП И ОРТ""")</f>
        <v>МУП "ПКП И ОРТ"</v>
      </c>
      <c r="K12864" s="24" t="s">
        <v>4140</v>
      </c>
      <c r="L12864" s="28" t="s">
        <v>51</v>
      </c>
      <c r="M12864" s="25">
        <v>494600</v>
      </c>
      <c r="N12864" s="27">
        <v>8.4074074074074079E-2</v>
      </c>
    </row>
    <row r="12865" spans="1:14" ht="12.75" hidden="1" outlineLevel="1" x14ac:dyDescent="0.2">
      <c r="A12865" s="23" t="str">
        <f>HYPERLINK("https://www.spark-marketing.ru/Card/Person/90853", "ГБУСО МО ""КЦСОР ""ПОДОЛЬСКИЙ""")</f>
        <v>ГБУСО МО "КЦСОР "ПОДОЛЬСКИЙ"</v>
      </c>
      <c r="B12865" s="24" t="s">
        <v>17349</v>
      </c>
      <c r="C12865" s="25">
        <v>540000</v>
      </c>
      <c r="D12865" s="22" t="s">
        <v>17350</v>
      </c>
      <c r="E12865" s="22" t="s">
        <v>48</v>
      </c>
      <c r="F12865" s="23" t="str">
        <f>HYPERLINK("https://www.spark-marketing.ru/Card/Lot/72160059", "Оказание услуги по обеспечению горячим питанием")</f>
        <v>Оказание услуги по обеспечению горячим питанием</v>
      </c>
      <c r="G12865" s="22" t="s">
        <v>49</v>
      </c>
      <c r="H12865" s="22" t="s">
        <v>50</v>
      </c>
      <c r="I12865" s="26">
        <v>43663.363240740699</v>
      </c>
      <c r="J12865" s="23" t="str">
        <f>HYPERLINK("https://www.spark-marketing.ru/Card/Person/6624373", "Деткина Мария Владимировна")</f>
        <v>Деткина Мария Владимировна</v>
      </c>
      <c r="K12865" s="24" t="s">
        <v>17351</v>
      </c>
      <c r="L12865" s="22" t="s">
        <v>10</v>
      </c>
      <c r="M12865" s="25">
        <v>482300</v>
      </c>
      <c r="N12865" s="27">
        <v>0.10685185185185185</v>
      </c>
    </row>
    <row r="12866" spans="1:14" hidden="1" outlineLevel="1" x14ac:dyDescent="0.2">
      <c r="A12866" s="23" t="str">
        <f>HYPERLINK("https://www.spark-marketing.ru/Card/Person/90853", "ГБУСО МО ""КЦСОР ""ПОДОЛЬСКИЙ""")</f>
        <v>ГБУСО МО "КЦСОР "ПОДОЛЬСКИЙ"</v>
      </c>
      <c r="B12866" s="24" t="s">
        <v>17349</v>
      </c>
      <c r="C12866" s="25">
        <v>540000</v>
      </c>
      <c r="D12866" s="22" t="s">
        <v>17350</v>
      </c>
      <c r="E12866" s="22" t="s">
        <v>48</v>
      </c>
      <c r="F12866" s="23" t="str">
        <f>HYPERLINK("https://www.spark-marketing.ru/Card/Lot/72160059", "Оказание услуги по обеспечению горячим питанием")</f>
        <v>Оказание услуги по обеспечению горячим питанием</v>
      </c>
      <c r="G12866" s="22" t="s">
        <v>49</v>
      </c>
      <c r="H12866" s="22" t="s">
        <v>50</v>
      </c>
      <c r="I12866" s="26">
        <v>43663.363240740699</v>
      </c>
      <c r="J12866" s="23" t="str">
        <f>HYPERLINK("https://www.spark-marketing.ru/Card/Person/2527706", "ООО ""ФЛОКС""")</f>
        <v>ООО "ФЛОКС"</v>
      </c>
      <c r="K12866" s="24" t="s">
        <v>11397</v>
      </c>
      <c r="L12866" s="28" t="s">
        <v>51</v>
      </c>
      <c r="M12866" s="25">
        <v>485000</v>
      </c>
      <c r="N12866" s="27">
        <v>0.10185185185185185</v>
      </c>
    </row>
    <row r="12867" spans="1:14" x14ac:dyDescent="0.15">
      <c r="A12867" s="23" t="str">
        <f>HYPERLINK("https://www.spark-marketing.ru/Card/Person/4347555", "МИНЭКОНОМРАЗВИТИЯ ЧУВАШИИ")</f>
        <v>МИНЭКОНОМРАЗВИТИЯ ЧУВАШИИ</v>
      </c>
      <c r="B12867" s="24" t="s">
        <v>17352</v>
      </c>
      <c r="C12867" s="25">
        <v>551000</v>
      </c>
      <c r="D12867" s="22" t="s">
        <v>17353</v>
      </c>
      <c r="E12867" s="22" t="s">
        <v>17354</v>
      </c>
      <c r="F12867" s="23" t="str">
        <f>HYPERLINK("https://www.spark-marketing.ru/Card/Lot/72160058", "Проведение экспертизы качества предоставляемых услуг в сфере торговли и общественного питания")</f>
        <v>Проведение экспертизы качества предоставляемых услуг в сфере торговли и общественного питания</v>
      </c>
      <c r="G12867" s="22" t="s">
        <v>618</v>
      </c>
      <c r="H12867" s="22" t="s">
        <v>618</v>
      </c>
      <c r="I12867" s="26">
        <v>43663.356122685203</v>
      </c>
      <c r="J12867" s="23" t="str">
        <f>HYPERLINK("https://www.spark-marketing.ru/Card/Person/195768", "ФБУ ""ЧУВАШСКИЙ ЦСМ""")</f>
        <v>ФБУ "ЧУВАШСКИЙ ЦСМ"</v>
      </c>
      <c r="K12867" s="24" t="s">
        <v>17355</v>
      </c>
      <c r="L12867" s="22" t="s">
        <v>10</v>
      </c>
      <c r="M12867" s="28" t="s">
        <v>51</v>
      </c>
      <c r="N12867" s="28" t="s">
        <v>51</v>
      </c>
    </row>
    <row r="12868" spans="1:14" x14ac:dyDescent="0.15">
      <c r="A12868" s="23" t="str">
        <f>HYPERLINK("https://www.spark-marketing.ru/Card/Person/1386561", "ОМВД РОССИИ ПО ОКТЯБРЬСКОМУ РАЙОНУ")</f>
        <v>ОМВД РОССИИ ПО ОКТЯБРЬСКОМУ РАЙОНУ</v>
      </c>
      <c r="B12868" s="24" t="s">
        <v>11789</v>
      </c>
      <c r="C12868" s="25">
        <v>300000</v>
      </c>
      <c r="D12868" s="22" t="s">
        <v>17356</v>
      </c>
      <c r="E12868" s="22" t="s">
        <v>96</v>
      </c>
      <c r="F12868" s="23" t="str">
        <f>HYPERLINK("https://www.spark-marketing.ru/Card/Lot/72142288", "Оказание услуг по организации питания (приготовлению и доставке), 882 шт")</f>
        <v>Оказание услуг по организации питания (приготовлению и доставке), 882 шт</v>
      </c>
      <c r="G12868" s="22" t="s">
        <v>97</v>
      </c>
      <c r="H12868" s="22" t="s">
        <v>465</v>
      </c>
      <c r="I12868" s="26">
        <v>43663.362465277802</v>
      </c>
      <c r="J12868" s="28" t="s">
        <v>51</v>
      </c>
      <c r="K12868" s="28" t="s">
        <v>51</v>
      </c>
      <c r="L12868" s="28" t="s">
        <v>51</v>
      </c>
      <c r="M12868" s="28" t="s">
        <v>51</v>
      </c>
      <c r="N12868" s="28" t="s">
        <v>51</v>
      </c>
    </row>
    <row r="12869" spans="1:14" x14ac:dyDescent="0.15">
      <c r="A12869" s="23" t="str">
        <f>HYPERLINK("https://www.spark-marketing.ru/Card/Person/131945", "ФКУ ""ЦУКС ГУ МЧС РОССИИ ПО РЕСПУБЛИКЕ ХАКАСИЯ""")</f>
        <v>ФКУ "ЦУКС ГУ МЧС РОССИИ ПО РЕСПУБЛИКЕ ХАКАСИЯ"</v>
      </c>
      <c r="B12869" s="24" t="s">
        <v>17357</v>
      </c>
      <c r="C12869" s="25">
        <v>5129.92</v>
      </c>
      <c r="D12869" s="22" t="s">
        <v>17358</v>
      </c>
      <c r="E12869" s="22" t="s">
        <v>96</v>
      </c>
      <c r="F12869" s="23" t="str">
        <f>HYPERLINK("https://www.spark-marketing.ru/Card/Lot/72140908", "Оказание услуг по организации питания (приготовлению и доставке), 15 шт")</f>
        <v>Оказание услуг по организации питания (приготовлению и доставке), 15 шт</v>
      </c>
      <c r="G12869" s="22" t="s">
        <v>92</v>
      </c>
      <c r="H12869" s="22" t="s">
        <v>93</v>
      </c>
      <c r="I12869" s="26">
        <v>43663.275659722203</v>
      </c>
      <c r="J12869" s="28" t="s">
        <v>51</v>
      </c>
      <c r="K12869" s="28" t="s">
        <v>51</v>
      </c>
      <c r="L12869" s="28" t="s">
        <v>51</v>
      </c>
      <c r="M12869" s="28" t="s">
        <v>51</v>
      </c>
      <c r="N12869" s="28" t="s">
        <v>51</v>
      </c>
    </row>
    <row r="12870" spans="1:14" x14ac:dyDescent="0.15">
      <c r="A12870" s="23" t="str">
        <f>HYPERLINK("https://www.spark-marketing.ru/Card/Person/4365644", "ООО ""ГАЗПРОМ ТРАНСГАЗ МОСКВА""")</f>
        <v>ООО "ГАЗПРОМ ТРАНСГАЗ МОСКВА"</v>
      </c>
      <c r="B12870" s="24" t="s">
        <v>17035</v>
      </c>
      <c r="C12870" s="25">
        <v>79054344</v>
      </c>
      <c r="D12870" s="22" t="s">
        <v>17359</v>
      </c>
      <c r="E12870" s="22" t="s">
        <v>362</v>
      </c>
      <c r="F12870" s="23" t="str">
        <f>HYPERLINK("https://www.spark-marketing.ru/Card/Lot/72167713", "Оказание услуг по организации питания (в т.ч. сторонних потребителей санаторно-курортных и медицинских услуг) для нужд ООО «Газпром трансгаз Москва» в санатории «Голубая горка» в 2020 году")</f>
        <v>Оказание услуг по организации питания (в т.ч. сторонних потребителей санаторно-курортных и медицинских услуг) для нужд ООО «Газпром трансгаз Москва» в санатории «Голубая горка» в 2020 году</v>
      </c>
      <c r="G12870" s="22" t="s">
        <v>56</v>
      </c>
      <c r="H12870" s="22" t="s">
        <v>56</v>
      </c>
      <c r="I12870" s="26">
        <v>43663.719502314802</v>
      </c>
      <c r="J12870" s="28" t="s">
        <v>51</v>
      </c>
      <c r="K12870" s="28" t="s">
        <v>51</v>
      </c>
      <c r="L12870" s="28" t="s">
        <v>51</v>
      </c>
      <c r="M12870" s="28" t="s">
        <v>51</v>
      </c>
      <c r="N12870" s="28" t="s">
        <v>51</v>
      </c>
    </row>
    <row r="12871" spans="1:14" x14ac:dyDescent="0.15">
      <c r="A12871" s="23" t="str">
        <f>HYPERLINK("https://www.spark-marketing.ru/Card/Person/6450322", "ЗАКАЗЧИК РП БЕЛАРУСЬ")</f>
        <v>ЗАКАЗЧИК РП БЕЛАРУСЬ</v>
      </c>
      <c r="B12871" s="28" t="s">
        <v>51</v>
      </c>
      <c r="C12871" s="25">
        <v>12376920</v>
      </c>
      <c r="D12871" s="22" t="s">
        <v>17360</v>
      </c>
      <c r="E12871" s="22" t="s">
        <v>52</v>
      </c>
      <c r="F12871" s="23" t="str">
        <f>HYPERLINK("https://www.spark-marketing.ru/Card/Lot/72147316", "Услуги по перевозке продуктов питания. с пункта загрузки до пункта назначения транспортным средством грузоподъемностью _от 1,5т до 3 т, объем транспортного средства от 10 м 3 до 15 м 3 По Минскому району.")</f>
        <v>Услуги по перевозке продуктов питания. с пункта загрузки до пункта назначения транспортным средством грузоподъемностью _от 1,5т до 3 т, объем транспортного средства от 10 м 3 до 15 м 3 По Минскому району.</v>
      </c>
      <c r="G12871" s="22" t="s">
        <v>51</v>
      </c>
      <c r="H12871" s="22" t="s">
        <v>51</v>
      </c>
      <c r="I12871" s="26">
        <v>43663</v>
      </c>
      <c r="J12871" s="28" t="s">
        <v>51</v>
      </c>
      <c r="K12871" s="28" t="s">
        <v>51</v>
      </c>
      <c r="L12871" s="28" t="s">
        <v>51</v>
      </c>
      <c r="M12871" s="28" t="s">
        <v>51</v>
      </c>
      <c r="N12871" s="28" t="s">
        <v>51</v>
      </c>
    </row>
    <row r="12872" spans="1:14" x14ac:dyDescent="0.15">
      <c r="A12872" s="23" t="str">
        <f>HYPERLINK("https://www.spark-marketing.ru/Card/Person/6450322", "ЗАКАЗЧИК РП БЕЛАРУСЬ")</f>
        <v>ЗАКАЗЧИК РП БЕЛАРУСЬ</v>
      </c>
      <c r="B12872" s="28" t="s">
        <v>51</v>
      </c>
      <c r="C12872" s="25">
        <v>18565380</v>
      </c>
      <c r="D12872" s="22" t="s">
        <v>17360</v>
      </c>
      <c r="E12872" s="22" t="s">
        <v>52</v>
      </c>
      <c r="F12872" s="23" t="str">
        <f>HYPERLINK("https://www.spark-marketing.ru/Card/Lot/72147314", "Услуги по перевозке продуктов питания. с пункта загрузки до пункта назначения транспортным средством грузоподъемностью _от 1,5т до 3 т, объем транспортного средства от 10 м 3 до 15 м 3 По г.Минску")</f>
        <v>Услуги по перевозке продуктов питания. с пункта загрузки до пункта назначения транспортным средством грузоподъемностью _от 1,5т до 3 т, объем транспортного средства от 10 м 3 до 15 м 3 По г.Минску</v>
      </c>
      <c r="G12872" s="22" t="s">
        <v>51</v>
      </c>
      <c r="H12872" s="22" t="s">
        <v>51</v>
      </c>
      <c r="I12872" s="26">
        <v>43663</v>
      </c>
      <c r="J12872" s="28" t="s">
        <v>51</v>
      </c>
      <c r="K12872" s="28" t="s">
        <v>51</v>
      </c>
      <c r="L12872" s="28" t="s">
        <v>51</v>
      </c>
      <c r="M12872" s="28" t="s">
        <v>51</v>
      </c>
      <c r="N12872" s="28" t="s">
        <v>51</v>
      </c>
    </row>
    <row r="12873" spans="1:14" x14ac:dyDescent="0.2">
      <c r="A12873" s="23" t="str">
        <f>HYPERLINK("https://www.spark-marketing.ru/Card/Person/255989", "МБДОУ ""ДЕТСКИЙ САД ""ЗОЛОТОЕ ЗЁРНЫШКО"" С. БОЛГАР"" НМР РТ")</f>
        <v>МБДОУ "ДЕТСКИЙ САД "ЗОЛОТОЕ ЗЁРНЫШКО" С. БОЛГАР" НМР РТ</v>
      </c>
      <c r="B12873" s="24" t="s">
        <v>8126</v>
      </c>
      <c r="C12873" s="25">
        <v>20555.080000000002</v>
      </c>
      <c r="D12873" s="22" t="s">
        <v>17361</v>
      </c>
      <c r="E12873" s="22" t="s">
        <v>52</v>
      </c>
      <c r="F12873" s="23" t="str">
        <f>HYPERLINK("https://www.spark-marketing.ru/Card/Lot/73770223", "Услуги по организации питания")</f>
        <v>Услуги по организации питания</v>
      </c>
      <c r="G12873" s="22" t="s">
        <v>217</v>
      </c>
      <c r="H12873" s="22" t="s">
        <v>5604</v>
      </c>
      <c r="I12873" s="26">
        <v>43663.000694444403</v>
      </c>
      <c r="J12873" s="28" t="s">
        <v>51</v>
      </c>
      <c r="K12873" s="28" t="s">
        <v>51</v>
      </c>
      <c r="L12873" s="28" t="s">
        <v>51</v>
      </c>
      <c r="M12873" s="25">
        <v>20555.080000000002</v>
      </c>
      <c r="N12873" s="27">
        <v>0</v>
      </c>
    </row>
    <row r="12874" spans="1:14" x14ac:dyDescent="0.15">
      <c r="A12874" s="23" t="str">
        <f>HYPERLINK("https://www.spark-marketing.ru/Card/Person/6450322", "ЗАКАЗЧИК РП БЕЛАРУСЬ")</f>
        <v>ЗАКАЗЧИК РП БЕЛАРУСЬ</v>
      </c>
      <c r="B12874" s="28" t="s">
        <v>51</v>
      </c>
      <c r="C12874" s="25">
        <v>24753840</v>
      </c>
      <c r="D12874" s="22" t="s">
        <v>17360</v>
      </c>
      <c r="E12874" s="22" t="s">
        <v>52</v>
      </c>
      <c r="F12874" s="23" t="str">
        <f>HYPERLINK("https://www.spark-marketing.ru/Card/Lot/72147317", "Услуги по перевозке продуктов питания. с пункта загрузки до пункта назначения транспортным средством грузоподъемностью _от 1,5т до 3 т, объем транспортного средства от 10 м 3 до 15 м 3 По Минскому району.")</f>
        <v>Услуги по перевозке продуктов питания. с пункта загрузки до пункта назначения транспортным средством грузоподъемностью _от 1,5т до 3 т, объем транспортного средства от 10 м 3 до 15 м 3 По Минскому району.</v>
      </c>
      <c r="G12874" s="22" t="s">
        <v>51</v>
      </c>
      <c r="H12874" s="22" t="s">
        <v>51</v>
      </c>
      <c r="I12874" s="26">
        <v>43663</v>
      </c>
      <c r="J12874" s="28" t="s">
        <v>51</v>
      </c>
      <c r="K12874" s="28" t="s">
        <v>51</v>
      </c>
      <c r="L12874" s="28" t="s">
        <v>51</v>
      </c>
      <c r="M12874" s="28" t="s">
        <v>51</v>
      </c>
      <c r="N12874" s="28" t="s">
        <v>51</v>
      </c>
    </row>
    <row r="12875" spans="1:14" x14ac:dyDescent="0.2">
      <c r="A12875" s="23" t="str">
        <f>HYPERLINK("https://www.spark-marketing.ru/Card/Person/56010", "ГКУЗ ""ККПБ ИМ. В.Х. КАНДИНСКОГО""")</f>
        <v>ГКУЗ "ККПБ ИМ. В.Х. КАНДИНСКОГО"</v>
      </c>
      <c r="B12875" s="24" t="s">
        <v>17362</v>
      </c>
      <c r="C12875" s="25">
        <v>16784098.43</v>
      </c>
      <c r="D12875" s="22" t="s">
        <v>17363</v>
      </c>
      <c r="E12875" s="22" t="s">
        <v>48</v>
      </c>
      <c r="F12875" s="23" t="str">
        <f>HYPERLINK("https://www.spark-marketing.ru/Card/Lot/72135013", "Оказание услуг по организации готового лечебного питания (7778-КОУвЭФ)")</f>
        <v>Оказание услуг по организации готового лечебного питания (7778-КОУвЭФ)</v>
      </c>
      <c r="G12875" s="22" t="s">
        <v>228</v>
      </c>
      <c r="H12875" s="22" t="s">
        <v>394</v>
      </c>
      <c r="I12875" s="26">
        <v>43662.958344907398</v>
      </c>
      <c r="J12875" s="23" t="str">
        <f>HYPERLINK("https://www.spark-marketing.ru/Card/Person/17228", "ООО ""МЕД-ФУД""")</f>
        <v>ООО "МЕД-ФУД"</v>
      </c>
      <c r="K12875" s="24" t="s">
        <v>9686</v>
      </c>
      <c r="L12875" s="28" t="s">
        <v>51</v>
      </c>
      <c r="M12875" s="25">
        <v>16784098.43</v>
      </c>
      <c r="N12875" s="27">
        <v>0</v>
      </c>
    </row>
    <row r="12876" spans="1:14" x14ac:dyDescent="0.15">
      <c r="A12876" s="23" t="str">
        <f>HYPERLINK("https://www.spark-marketing.ru/Card/Person/6462847", "КГАУ ""СШ ""АКАДЕМИЯ ИГРОВЫХ ВИДОВ СПОРТА ПЕРМСКОГО КРАЯ""")</f>
        <v>КГАУ "СШ "АКАДЕМИЯ ИГРОВЫХ ВИДОВ СПОРТА ПЕРМСКОГО КРАЯ"</v>
      </c>
      <c r="B12876" s="24" t="s">
        <v>1909</v>
      </c>
      <c r="C12876" s="25">
        <v>345800</v>
      </c>
      <c r="D12876" s="22" t="s">
        <v>17364</v>
      </c>
      <c r="E12876" s="22" t="s">
        <v>580</v>
      </c>
      <c r="F12876" s="23" t="str">
        <f>HYPERLINK("https://www.spark-marketing.ru/Card/Lot/72138675", "Услуги по питанию")</f>
        <v>Услуги по питанию</v>
      </c>
      <c r="G12876" s="22" t="s">
        <v>153</v>
      </c>
      <c r="H12876" s="22" t="s">
        <v>153</v>
      </c>
      <c r="I12876" s="26">
        <v>43662.898356481499</v>
      </c>
      <c r="J12876" s="28" t="s">
        <v>51</v>
      </c>
      <c r="K12876" s="28" t="s">
        <v>51</v>
      </c>
      <c r="L12876" s="28" t="s">
        <v>51</v>
      </c>
      <c r="M12876" s="28" t="s">
        <v>51</v>
      </c>
      <c r="N12876" s="28" t="s">
        <v>51</v>
      </c>
    </row>
    <row r="12877" spans="1:14" x14ac:dyDescent="0.2">
      <c r="A12877" s="23" t="str">
        <f>HYPERLINK("https://www.spark-marketing.ru/Card/Person/4874743", "ГАУ ВО ""СК ""РОТОР""")</f>
        <v>ГАУ ВО "СК "РОТОР"</v>
      </c>
      <c r="B12877" s="24" t="s">
        <v>1208</v>
      </c>
      <c r="C12877" s="25">
        <v>411000</v>
      </c>
      <c r="D12877" s="22" t="s">
        <v>17365</v>
      </c>
      <c r="E12877" s="22" t="s">
        <v>769</v>
      </c>
      <c r="F12877" s="23" t="str">
        <f>HYPERLINK("https://www.spark-marketing.ru/Card/Lot/72136322", "Услуги по организации проживания и питания в отеле «Хилтон» для футбольной команды «Ротор», в период с 19 июля 2019 года по 21 июля 2019 года, в городе Красноярск")</f>
        <v>Услуги по организации проживания и питания в отеле «Хилтон» для футбольной команды «Ротор», в период с 19 июля 2019 года по 21 июля 2019 года, в городе Красноярск</v>
      </c>
      <c r="G12877" s="22" t="s">
        <v>281</v>
      </c>
      <c r="H12877" s="22" t="s">
        <v>281</v>
      </c>
      <c r="I12877" s="26">
        <v>43662.863518518498</v>
      </c>
      <c r="J12877" s="28" t="s">
        <v>51</v>
      </c>
      <c r="K12877" s="28" t="s">
        <v>51</v>
      </c>
      <c r="L12877" s="28" t="s">
        <v>51</v>
      </c>
      <c r="M12877" s="25">
        <v>411000</v>
      </c>
      <c r="N12877" s="27">
        <v>0</v>
      </c>
    </row>
    <row r="12878" spans="1:14" x14ac:dyDescent="0.15">
      <c r="A12878" s="23" t="str">
        <f>HYPERLINK("https://www.spark-marketing.ru/Card/Person/4989", "ОМВД РОССИИ ПО АЛТАЙСКОМУ РАЙОНУ")</f>
        <v>ОМВД РОССИИ ПО АЛТАЙСКОМУ РАЙОНУ</v>
      </c>
      <c r="B12878" s="24" t="s">
        <v>8874</v>
      </c>
      <c r="C12878" s="25">
        <v>1014480</v>
      </c>
      <c r="D12878" s="22" t="s">
        <v>17366</v>
      </c>
      <c r="E12878" s="22" t="s">
        <v>48</v>
      </c>
      <c r="F12878" s="23" t="str">
        <f>HYPERLINK("https://www.spark-marketing.ru/Card/Lot/72140733", "Услуги по организации питания в изоляторах временного содержания")</f>
        <v>Услуги по организации питания в изоляторах временного содержания</v>
      </c>
      <c r="G12878" s="22" t="s">
        <v>92</v>
      </c>
      <c r="H12878" s="22" t="s">
        <v>8604</v>
      </c>
      <c r="I12878" s="26">
        <v>43662.841643518499</v>
      </c>
      <c r="J12878" s="28" t="s">
        <v>51</v>
      </c>
      <c r="K12878" s="28" t="s">
        <v>51</v>
      </c>
      <c r="L12878" s="28" t="s">
        <v>51</v>
      </c>
      <c r="M12878" s="28" t="s">
        <v>51</v>
      </c>
      <c r="N12878" s="28" t="s">
        <v>51</v>
      </c>
    </row>
    <row r="12879" spans="1:14" x14ac:dyDescent="0.15">
      <c r="A12879" s="23" t="str">
        <f>HYPERLINK("https://www.spark-marketing.ru/Card/Person/239252", "ГБУ КК ""ЦОП ПО ФИГУРНОМУ КАТАНИЮ НА КОНЬКАХ""""")</f>
        <v>ГБУ КК "ЦОП ПО ФИГУРНОМУ КАТАНИЮ НА КОНЬКАХ""</v>
      </c>
      <c r="B12879" s="24" t="s">
        <v>15592</v>
      </c>
      <c r="C12879" s="25">
        <v>490000</v>
      </c>
      <c r="D12879" s="22" t="s">
        <v>17367</v>
      </c>
      <c r="E12879" s="22" t="s">
        <v>17368</v>
      </c>
      <c r="F12879" s="23" t="str">
        <f>HYPERLINK("https://www.spark-marketing.ru/Card/Lot/72159399", "Оказание услуг по организации участия в спортивных мероприятиях (Кубок России) в 2019 году")</f>
        <v>Оказание услуг по организации участия в спортивных мероприятиях (Кубок России) в 2019 году</v>
      </c>
      <c r="G12879" s="22" t="s">
        <v>104</v>
      </c>
      <c r="H12879" s="22" t="s">
        <v>969</v>
      </c>
      <c r="I12879" s="26">
        <v>43662.803032407399</v>
      </c>
      <c r="J12879" s="28" t="s">
        <v>51</v>
      </c>
      <c r="K12879" s="28" t="s">
        <v>51</v>
      </c>
      <c r="L12879" s="28" t="s">
        <v>51</v>
      </c>
      <c r="M12879" s="28" t="s">
        <v>51</v>
      </c>
      <c r="N12879" s="28" t="s">
        <v>51</v>
      </c>
    </row>
    <row r="12880" spans="1:14" ht="12.75" hidden="1" outlineLevel="1" x14ac:dyDescent="0.2">
      <c r="A12880" s="23" t="str">
        <f>HYPERLINK("https://www.spark-marketing.ru/Card/Person/239252", "ГБУ КК ""ЦОП ПО ФИГУРНОМУ КАТАНИЮ НА КОНЬКАХ""""")</f>
        <v>ГБУ КК "ЦОП ПО ФИГУРНОМУ КАТАНИЮ НА КОНЬКАХ""</v>
      </c>
      <c r="B12880" s="24" t="s">
        <v>15592</v>
      </c>
      <c r="C12880" s="25">
        <v>490000</v>
      </c>
      <c r="D12880" s="22" t="s">
        <v>17367</v>
      </c>
      <c r="E12880" s="22" t="s">
        <v>17368</v>
      </c>
      <c r="F12880" s="23" t="str">
        <f>HYPERLINK("https://www.spark-marketing.ru/Card/Lot/72159399", "Оказание услуг по организации участия в спортивных мероприятиях (Кубок России) в 2019 году")</f>
        <v>Оказание услуг по организации участия в спортивных мероприятиях (Кубок России) в 2019 году</v>
      </c>
      <c r="G12880" s="22" t="s">
        <v>104</v>
      </c>
      <c r="H12880" s="22" t="s">
        <v>969</v>
      </c>
      <c r="I12880" s="26">
        <v>43662.803032407399</v>
      </c>
      <c r="J12880" s="23" t="str">
        <f>HYPERLINK("https://www.spark-marketing.ru/Card/Person/6501154", "ООО ""ГИГАНТ""")</f>
        <v>ООО "ГИГАНТ"</v>
      </c>
      <c r="K12880" s="24" t="s">
        <v>9887</v>
      </c>
      <c r="L12880" s="22" t="s">
        <v>10</v>
      </c>
      <c r="M12880" s="25">
        <v>2045.75</v>
      </c>
      <c r="N12880" s="27">
        <v>0.99582499999999996</v>
      </c>
    </row>
    <row r="12881" spans="1:14" hidden="1" outlineLevel="1" x14ac:dyDescent="0.2">
      <c r="A12881" s="23" t="str">
        <f>HYPERLINK("https://www.spark-marketing.ru/Card/Person/239252", "ГБУ КК ""ЦОП ПО ФИГУРНОМУ КАТАНИЮ НА КОНЬКАХ""""")</f>
        <v>ГБУ КК "ЦОП ПО ФИГУРНОМУ КАТАНИЮ НА КОНЬКАХ""</v>
      </c>
      <c r="B12881" s="24" t="s">
        <v>15592</v>
      </c>
      <c r="C12881" s="25">
        <v>490000</v>
      </c>
      <c r="D12881" s="22" t="s">
        <v>17367</v>
      </c>
      <c r="E12881" s="22" t="s">
        <v>17368</v>
      </c>
      <c r="F12881" s="23" t="str">
        <f>HYPERLINK("https://www.spark-marketing.ru/Card/Lot/72159399", "Оказание услуг по организации участия в спортивных мероприятиях (Кубок России) в 2019 году")</f>
        <v>Оказание услуг по организации участия в спортивных мероприятиях (Кубок России) в 2019 году</v>
      </c>
      <c r="G12881" s="22" t="s">
        <v>104</v>
      </c>
      <c r="H12881" s="22" t="s">
        <v>969</v>
      </c>
      <c r="I12881" s="26">
        <v>43662.803032407399</v>
      </c>
      <c r="J12881" s="23" t="str">
        <f>HYPERLINK("https://www.spark-marketing.ru/Card/Person/6199231", "Полочанская Ольга Геннадьевна")</f>
        <v>Полочанская Ольга Геннадьевна</v>
      </c>
      <c r="K12881" s="24" t="s">
        <v>2484</v>
      </c>
      <c r="L12881" s="28" t="s">
        <v>51</v>
      </c>
      <c r="M12881" s="25">
        <v>2058</v>
      </c>
      <c r="N12881" s="27">
        <v>0.99580000000000002</v>
      </c>
    </row>
    <row r="12882" spans="1:14" x14ac:dyDescent="0.15">
      <c r="A12882" s="23" t="str">
        <f>HYPERLINK("https://www.spark-marketing.ru/Card/Person/947344", "МБОУ СОШ № 2 П. НОВОШАХТИНСКИЙ МИХАЙЛОВСКОГО МУНИЦИПАЛЬНОГО РАЙОНА")</f>
        <v>МБОУ СОШ № 2 П. НОВОШАХТИНСКИЙ МИХАЙЛОВСКОГО МУНИЦИПАЛЬНОГО РАЙОНА</v>
      </c>
      <c r="B12882" s="24" t="s">
        <v>17369</v>
      </c>
      <c r="C12882" s="25">
        <v>698880</v>
      </c>
      <c r="D12882" s="22" t="s">
        <v>17370</v>
      </c>
      <c r="E12882" s="22" t="s">
        <v>48</v>
      </c>
      <c r="F12882" s="23" t="str">
        <f>HYPERLINK("https://www.spark-marketing.ru/Card/Lot/72131600", "Наборы продуктов питания (комплекты готовых блюд ) для учащихся 1-4 класс")</f>
        <v>Наборы продуктов питания (комплекты готовых блюд ) для учащихся 1-4 класс</v>
      </c>
      <c r="G12882" s="22" t="s">
        <v>543</v>
      </c>
      <c r="H12882" s="22" t="s">
        <v>17209</v>
      </c>
      <c r="I12882" s="26">
        <v>43662.766921296301</v>
      </c>
      <c r="J12882" s="23" t="str">
        <f>HYPERLINK("https://www.spark-marketing.ru/Card/Person/6634916", "Баузер Татьяна Михайловна")</f>
        <v>Баузер Татьяна Михайловна</v>
      </c>
      <c r="K12882" s="24" t="s">
        <v>17371</v>
      </c>
      <c r="L12882" s="22" t="s">
        <v>10</v>
      </c>
      <c r="M12882" s="28" t="s">
        <v>51</v>
      </c>
      <c r="N12882" s="28" t="s">
        <v>51</v>
      </c>
    </row>
    <row r="12883" spans="1:14" x14ac:dyDescent="0.15">
      <c r="A12883" s="23" t="str">
        <f t="shared" ref="A12883:A12895" si="424">HYPERLINK("https://www.spark-marketing.ru/Card/Person/7325", "ГБУЗ ""ГКБ №40 ДЗМ""")</f>
        <v>ГБУЗ "ГКБ №40 ДЗМ"</v>
      </c>
      <c r="B12883" s="24" t="s">
        <v>17372</v>
      </c>
      <c r="C12883" s="25">
        <v>5607065.3200000003</v>
      </c>
      <c r="D12883" s="22" t="s">
        <v>17373</v>
      </c>
      <c r="E12883" s="22" t="s">
        <v>756</v>
      </c>
      <c r="F12883" s="23" t="str">
        <f t="shared" ref="F12883:F12895" si="425">HYPERLINK("https://www.spark-marketing.ru/Card/Lot/72134362", "Оказание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""ГКБ №40 ДЗМ"" и Обособленного подразделения ""Родильный дом"" ...")</f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83" s="22" t="s">
        <v>56</v>
      </c>
      <c r="H12883" s="22" t="s">
        <v>56</v>
      </c>
      <c r="I12883" s="26">
        <v>43662.784641203703</v>
      </c>
      <c r="J12883" s="28" t="s">
        <v>51</v>
      </c>
      <c r="K12883" s="28" t="s">
        <v>51</v>
      </c>
      <c r="L12883" s="28" t="s">
        <v>51</v>
      </c>
      <c r="M12883" s="28" t="s">
        <v>51</v>
      </c>
      <c r="N12883" s="28" t="s">
        <v>51</v>
      </c>
    </row>
    <row r="12884" spans="1:14" hidden="1" outlineLevel="1" x14ac:dyDescent="0.2">
      <c r="A12884" s="23" t="str">
        <f t="shared" si="424"/>
        <v>ГБУЗ "ГКБ №40 ДЗМ"</v>
      </c>
      <c r="B12884" s="24" t="s">
        <v>17372</v>
      </c>
      <c r="C12884" s="25">
        <v>5607065.3200000003</v>
      </c>
      <c r="D12884" s="22" t="s">
        <v>17373</v>
      </c>
      <c r="E12884" s="22" t="s">
        <v>756</v>
      </c>
      <c r="F12884" s="23" t="str">
        <f t="shared" si="425"/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84" s="22" t="s">
        <v>56</v>
      </c>
      <c r="H12884" s="22" t="s">
        <v>56</v>
      </c>
      <c r="I12884" s="26">
        <v>43662.784641203703</v>
      </c>
      <c r="J12884" s="23" t="str">
        <f>HYPERLINK("https://www.spark-marketing.ru/Card/Person/6262263", "ООО ""АЛЫЙ ПАРУС ТЕХНО ПРО""")</f>
        <v>ООО "АЛЫЙ ПАРУС ТЕХНО ПРО"</v>
      </c>
      <c r="K12884" s="24" t="s">
        <v>12490</v>
      </c>
      <c r="L12884" s="28" t="s">
        <v>51</v>
      </c>
      <c r="M12884" s="25">
        <v>1371964.67</v>
      </c>
      <c r="N12884" s="27">
        <v>0.7553150192300595</v>
      </c>
    </row>
    <row r="12885" spans="1:14" hidden="1" outlineLevel="1" x14ac:dyDescent="0.2">
      <c r="A12885" s="23" t="str">
        <f t="shared" si="424"/>
        <v>ГБУЗ "ГКБ №40 ДЗМ"</v>
      </c>
      <c r="B12885" s="24" t="s">
        <v>17372</v>
      </c>
      <c r="C12885" s="25">
        <v>5607065.3200000003</v>
      </c>
      <c r="D12885" s="22" t="s">
        <v>17373</v>
      </c>
      <c r="E12885" s="22" t="s">
        <v>756</v>
      </c>
      <c r="F12885" s="23" t="str">
        <f t="shared" si="425"/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85" s="22" t="s">
        <v>56</v>
      </c>
      <c r="H12885" s="22" t="s">
        <v>56</v>
      </c>
      <c r="I12885" s="26">
        <v>43662.784641203703</v>
      </c>
      <c r="J12885" s="23" t="str">
        <f>HYPERLINK("https://www.spark-marketing.ru/Card/Person/704357", "ООО ""АРГЕНТ БЕЗОПАСНОСТЬ""")</f>
        <v>ООО "АРГЕНТ БЕЗОПАСНОСТЬ"</v>
      </c>
      <c r="K12885" s="24" t="s">
        <v>17374</v>
      </c>
      <c r="L12885" s="28" t="s">
        <v>51</v>
      </c>
      <c r="M12885" s="25">
        <v>3812804.35</v>
      </c>
      <c r="N12885" s="27">
        <v>0.3200000120562177</v>
      </c>
    </row>
    <row r="12886" spans="1:14" hidden="1" outlineLevel="1" x14ac:dyDescent="0.2">
      <c r="A12886" s="23" t="str">
        <f t="shared" si="424"/>
        <v>ГБУЗ "ГКБ №40 ДЗМ"</v>
      </c>
      <c r="B12886" s="24" t="s">
        <v>17372</v>
      </c>
      <c r="C12886" s="25">
        <v>5607065.3200000003</v>
      </c>
      <c r="D12886" s="22" t="s">
        <v>17373</v>
      </c>
      <c r="E12886" s="22" t="s">
        <v>756</v>
      </c>
      <c r="F12886" s="23" t="str">
        <f t="shared" si="425"/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86" s="22" t="s">
        <v>56</v>
      </c>
      <c r="H12886" s="22" t="s">
        <v>56</v>
      </c>
      <c r="I12886" s="26">
        <v>43662.784641203703</v>
      </c>
      <c r="J12886" s="23" t="str">
        <f>HYPERLINK("https://www.spark-marketing.ru/Card/Person/6615547", "ООО ""МСКА ИНЖИНИРИНГ""")</f>
        <v>ООО "МСКА ИНЖИНИРИНГ"</v>
      </c>
      <c r="K12886" s="24" t="s">
        <v>12491</v>
      </c>
      <c r="L12886" s="28" t="s">
        <v>51</v>
      </c>
      <c r="M12886" s="25">
        <v>2523179.29</v>
      </c>
      <c r="N12886" s="27">
        <v>0.55000001854802716</v>
      </c>
    </row>
    <row r="12887" spans="1:14" hidden="1" outlineLevel="1" x14ac:dyDescent="0.2">
      <c r="A12887" s="23" t="str">
        <f t="shared" si="424"/>
        <v>ГБУЗ "ГКБ №40 ДЗМ"</v>
      </c>
      <c r="B12887" s="24" t="s">
        <v>17372</v>
      </c>
      <c r="C12887" s="25">
        <v>5607065.3200000003</v>
      </c>
      <c r="D12887" s="22" t="s">
        <v>17373</v>
      </c>
      <c r="E12887" s="22" t="s">
        <v>756</v>
      </c>
      <c r="F12887" s="23" t="str">
        <f t="shared" si="425"/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87" s="22" t="s">
        <v>56</v>
      </c>
      <c r="H12887" s="22" t="s">
        <v>56</v>
      </c>
      <c r="I12887" s="26">
        <v>43662.784641203703</v>
      </c>
      <c r="J12887" s="23" t="str">
        <f>HYPERLINK("https://www.spark-marketing.ru/Card/Person/30248", "ООО ""ЭСЛАБ""")</f>
        <v>ООО "ЭСЛАБ"</v>
      </c>
      <c r="K12887" s="24" t="s">
        <v>17375</v>
      </c>
      <c r="L12887" s="28" t="s">
        <v>51</v>
      </c>
      <c r="M12887" s="25">
        <v>2186755.36</v>
      </c>
      <c r="N12887" s="27">
        <v>0.61000002047416846</v>
      </c>
    </row>
    <row r="12888" spans="1:14" hidden="1" outlineLevel="1" x14ac:dyDescent="0.2">
      <c r="A12888" s="23" t="str">
        <f t="shared" si="424"/>
        <v>ГБУЗ "ГКБ №40 ДЗМ"</v>
      </c>
      <c r="B12888" s="24" t="s">
        <v>17372</v>
      </c>
      <c r="C12888" s="25">
        <v>5607065.3200000003</v>
      </c>
      <c r="D12888" s="22" t="s">
        <v>17373</v>
      </c>
      <c r="E12888" s="22" t="s">
        <v>756</v>
      </c>
      <c r="F12888" s="23" t="str">
        <f t="shared" si="425"/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88" s="22" t="s">
        <v>56</v>
      </c>
      <c r="H12888" s="22" t="s">
        <v>56</v>
      </c>
      <c r="I12888" s="26">
        <v>43662.784641203703</v>
      </c>
      <c r="J12888" s="23" t="str">
        <f>HYPERLINK("https://www.spark-marketing.ru/Card/Person/19703", "ООО ""АЗК СТРОЙ ГРУПП""")</f>
        <v>ООО "АЗК СТРОЙ ГРУПП"</v>
      </c>
      <c r="K12888" s="24" t="s">
        <v>11301</v>
      </c>
      <c r="L12888" s="28" t="s">
        <v>51</v>
      </c>
      <c r="M12888" s="25">
        <v>3167991.82</v>
      </c>
      <c r="N12888" s="27">
        <v>0.43500001530212246</v>
      </c>
    </row>
    <row r="12889" spans="1:14" hidden="1" outlineLevel="1" x14ac:dyDescent="0.2">
      <c r="A12889" s="23" t="str">
        <f t="shared" si="424"/>
        <v>ГБУЗ "ГКБ №40 ДЗМ"</v>
      </c>
      <c r="B12889" s="24" t="s">
        <v>17372</v>
      </c>
      <c r="C12889" s="25">
        <v>5607065.3200000003</v>
      </c>
      <c r="D12889" s="22" t="s">
        <v>17373</v>
      </c>
      <c r="E12889" s="22" t="s">
        <v>756</v>
      </c>
      <c r="F12889" s="23" t="str">
        <f t="shared" si="425"/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89" s="22" t="s">
        <v>56</v>
      </c>
      <c r="H12889" s="22" t="s">
        <v>56</v>
      </c>
      <c r="I12889" s="26">
        <v>43662.784641203703</v>
      </c>
      <c r="J12889" s="23" t="str">
        <f>HYPERLINK("https://www.spark-marketing.ru/Card/Person/26491", "ООО ""СПАС-СИТИ ГРУПП""")</f>
        <v>ООО "СПАС-СИТИ ГРУПП"</v>
      </c>
      <c r="K12889" s="24" t="s">
        <v>17376</v>
      </c>
      <c r="L12889" s="28" t="s">
        <v>51</v>
      </c>
      <c r="M12889" s="25">
        <v>900000</v>
      </c>
      <c r="N12889" s="27">
        <v>0.83948822625808117</v>
      </c>
    </row>
    <row r="12890" spans="1:14" hidden="1" outlineLevel="1" x14ac:dyDescent="0.2">
      <c r="A12890" s="23" t="str">
        <f t="shared" si="424"/>
        <v>ГБУЗ "ГКБ №40 ДЗМ"</v>
      </c>
      <c r="B12890" s="24" t="s">
        <v>17372</v>
      </c>
      <c r="C12890" s="25">
        <v>5607065.3200000003</v>
      </c>
      <c r="D12890" s="22" t="s">
        <v>17373</v>
      </c>
      <c r="E12890" s="22" t="s">
        <v>756</v>
      </c>
      <c r="F12890" s="23" t="str">
        <f t="shared" si="425"/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90" s="22" t="s">
        <v>56</v>
      </c>
      <c r="H12890" s="22" t="s">
        <v>56</v>
      </c>
      <c r="I12890" s="26">
        <v>43662.784641203703</v>
      </c>
      <c r="J12890" s="23" t="str">
        <f>HYPERLINK("https://www.spark-marketing.ru/Card/Person/6513863", "ООО ""ПРИОРИТЕТ БЕЗОПАСНОСТИ""")</f>
        <v>ООО "ПРИОРИТЕТ БЕЗОПАСНОСТИ"</v>
      </c>
      <c r="K12890" s="24" t="s">
        <v>12497</v>
      </c>
      <c r="L12890" s="28" t="s">
        <v>51</v>
      </c>
      <c r="M12890" s="25">
        <v>615010.76</v>
      </c>
      <c r="N12890" s="27">
        <v>0.89031503560226044</v>
      </c>
    </row>
    <row r="12891" spans="1:14" hidden="1" outlineLevel="1" x14ac:dyDescent="0.2">
      <c r="A12891" s="23" t="str">
        <f t="shared" si="424"/>
        <v>ГБУЗ "ГКБ №40 ДЗМ"</v>
      </c>
      <c r="B12891" s="24" t="s">
        <v>17372</v>
      </c>
      <c r="C12891" s="25">
        <v>5607065.3200000003</v>
      </c>
      <c r="D12891" s="22" t="s">
        <v>17373</v>
      </c>
      <c r="E12891" s="22" t="s">
        <v>756</v>
      </c>
      <c r="F12891" s="23" t="str">
        <f t="shared" si="425"/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91" s="22" t="s">
        <v>56</v>
      </c>
      <c r="H12891" s="22" t="s">
        <v>56</v>
      </c>
      <c r="I12891" s="26">
        <v>43662.784641203703</v>
      </c>
      <c r="J12891" s="23" t="str">
        <f>HYPERLINK("https://www.spark-marketing.ru/Card/Person/6487671", "ООО ""ЭКСПЕРТГРУПП""")</f>
        <v>ООО "ЭКСПЕРТГРУПП"</v>
      </c>
      <c r="K12891" s="24" t="s">
        <v>17377</v>
      </c>
      <c r="L12891" s="28" t="s">
        <v>51</v>
      </c>
      <c r="M12891" s="25">
        <v>194480.81</v>
      </c>
      <c r="N12891" s="27">
        <v>0.96531504469792762</v>
      </c>
    </row>
    <row r="12892" spans="1:14" hidden="1" outlineLevel="1" x14ac:dyDescent="0.2">
      <c r="A12892" s="23" t="str">
        <f t="shared" si="424"/>
        <v>ГБУЗ "ГКБ №40 ДЗМ"</v>
      </c>
      <c r="B12892" s="24" t="s">
        <v>17372</v>
      </c>
      <c r="C12892" s="25">
        <v>5607065.3200000003</v>
      </c>
      <c r="D12892" s="22" t="s">
        <v>17373</v>
      </c>
      <c r="E12892" s="22" t="s">
        <v>756</v>
      </c>
      <c r="F12892" s="23" t="str">
        <f t="shared" si="425"/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92" s="22" t="s">
        <v>56</v>
      </c>
      <c r="H12892" s="22" t="s">
        <v>56</v>
      </c>
      <c r="I12892" s="26">
        <v>43662.784641203703</v>
      </c>
      <c r="J12892" s="23" t="str">
        <f>HYPERLINK("https://www.spark-marketing.ru/Card/Person/127097", "ООО ""ПОЖТЕХКОМПЛЕКТ""")</f>
        <v>ООО "ПОЖТЕХКОМПЛЕКТ"</v>
      </c>
      <c r="K12892" s="24" t="s">
        <v>17378</v>
      </c>
      <c r="L12892" s="28" t="s">
        <v>51</v>
      </c>
      <c r="M12892" s="25">
        <v>910000</v>
      </c>
      <c r="N12892" s="27">
        <v>0.83770476210539313</v>
      </c>
    </row>
    <row r="12893" spans="1:14" hidden="1" outlineLevel="1" x14ac:dyDescent="0.2">
      <c r="A12893" s="23" t="str">
        <f t="shared" si="424"/>
        <v>ГБУЗ "ГКБ №40 ДЗМ"</v>
      </c>
      <c r="B12893" s="24" t="s">
        <v>17372</v>
      </c>
      <c r="C12893" s="25">
        <v>5607065.3200000003</v>
      </c>
      <c r="D12893" s="22" t="s">
        <v>17373</v>
      </c>
      <c r="E12893" s="22" t="s">
        <v>756</v>
      </c>
      <c r="F12893" s="23" t="str">
        <f t="shared" si="425"/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93" s="22" t="s">
        <v>56</v>
      </c>
      <c r="H12893" s="22" t="s">
        <v>56</v>
      </c>
      <c r="I12893" s="26">
        <v>43662.784641203703</v>
      </c>
      <c r="J12893" s="23" t="str">
        <f>HYPERLINK("https://www.spark-marketing.ru/Card/Person/61471", "ООО ""ЭКСПЕРТСБ""")</f>
        <v>ООО "ЭКСПЕРТСБ"</v>
      </c>
      <c r="K12893" s="24" t="s">
        <v>17379</v>
      </c>
      <c r="L12893" s="28" t="s">
        <v>51</v>
      </c>
      <c r="M12893" s="25">
        <v>880000</v>
      </c>
      <c r="N12893" s="27">
        <v>0.84305515456345714</v>
      </c>
    </row>
    <row r="12894" spans="1:14" hidden="1" outlineLevel="1" x14ac:dyDescent="0.2">
      <c r="A12894" s="23" t="str">
        <f t="shared" si="424"/>
        <v>ГБУЗ "ГКБ №40 ДЗМ"</v>
      </c>
      <c r="B12894" s="24" t="s">
        <v>17372</v>
      </c>
      <c r="C12894" s="25">
        <v>5607065.3200000003</v>
      </c>
      <c r="D12894" s="22" t="s">
        <v>17373</v>
      </c>
      <c r="E12894" s="22" t="s">
        <v>756</v>
      </c>
      <c r="F12894" s="23" t="str">
        <f t="shared" si="425"/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94" s="22" t="s">
        <v>56</v>
      </c>
      <c r="H12894" s="22" t="s">
        <v>56</v>
      </c>
      <c r="I12894" s="26">
        <v>43662.784641203703</v>
      </c>
      <c r="J12894" s="23" t="str">
        <f>HYPERLINK("https://www.spark-marketing.ru/Card/Person/5921742", "ООО ""КСБ""")</f>
        <v>ООО "КСБ"</v>
      </c>
      <c r="K12894" s="24" t="s">
        <v>7553</v>
      </c>
      <c r="L12894" s="28" t="s">
        <v>51</v>
      </c>
      <c r="M12894" s="25">
        <v>895364.06</v>
      </c>
      <c r="N12894" s="27">
        <v>0.84031502953848236</v>
      </c>
    </row>
    <row r="12895" spans="1:14" ht="12.75" hidden="1" outlineLevel="1" x14ac:dyDescent="0.2">
      <c r="A12895" s="23" t="str">
        <f t="shared" si="424"/>
        <v>ГБУЗ "ГКБ №40 ДЗМ"</v>
      </c>
      <c r="B12895" s="24" t="s">
        <v>17372</v>
      </c>
      <c r="C12895" s="25">
        <v>5607065.3200000003</v>
      </c>
      <c r="D12895" s="22" t="s">
        <v>17373</v>
      </c>
      <c r="E12895" s="22" t="s">
        <v>756</v>
      </c>
      <c r="F12895" s="23" t="str">
        <f t="shared" si="425"/>
        <v>Оказание услуг по техническому обслуживанию автоматической пожарной сигнализации (АПС), системы оповещения и управления эвакуацией людей (СОУЭ) и системы дымоудаления (ДУ) для нужд ГБУЗ "ГКБ №40 ДЗМ" и Обособленного подразделения "Родильный дом" ...</v>
      </c>
      <c r="G12895" s="22" t="s">
        <v>56</v>
      </c>
      <c r="H12895" s="22" t="s">
        <v>56</v>
      </c>
      <c r="I12895" s="26">
        <v>43662.784641203703</v>
      </c>
      <c r="J12895" s="23" t="str">
        <f>HYPERLINK("https://www.spark-marketing.ru/Card/Person/6364371", "ООО ""ЛТБ""")</f>
        <v>ООО "ЛТБ"</v>
      </c>
      <c r="K12895" s="24" t="s">
        <v>17380</v>
      </c>
      <c r="L12895" s="22" t="s">
        <v>10</v>
      </c>
      <c r="M12895" s="25">
        <v>222516.14</v>
      </c>
      <c r="N12895" s="27">
        <v>0.96031504409154989</v>
      </c>
    </row>
    <row r="12896" spans="1:14" x14ac:dyDescent="0.15">
      <c r="A12896" s="23" t="str">
        <f>HYPERLINK("https://www.spark-marketing.ru/Card/Person/3340", "ГБУСО ""НОВОТРОИЦКИЙ ПНИ""")</f>
        <v>ГБУСО "НОВОТРОИЦКИЙ ПНИ"</v>
      </c>
      <c r="B12896" s="24" t="s">
        <v>17381</v>
      </c>
      <c r="C12896" s="25">
        <v>509071.98</v>
      </c>
      <c r="D12896" s="22" t="s">
        <v>17382</v>
      </c>
      <c r="E12896" s="22" t="s">
        <v>809</v>
      </c>
      <c r="F12896" s="23" t="str">
        <f>HYPERLINK("https://www.spark-marketing.ru/Card/Lot/72141417", "на поставку компьютерной техники и комплектующих к ним")</f>
        <v>на поставку компьютерной техники и комплектующих к ним</v>
      </c>
      <c r="G12896" s="22" t="s">
        <v>132</v>
      </c>
      <c r="H12896" s="22" t="s">
        <v>17383</v>
      </c>
      <c r="I12896" s="26">
        <v>43662.766319444403</v>
      </c>
      <c r="J12896" s="28" t="s">
        <v>51</v>
      </c>
      <c r="K12896" s="28" t="s">
        <v>51</v>
      </c>
      <c r="L12896" s="28" t="s">
        <v>51</v>
      </c>
      <c r="M12896" s="28" t="s">
        <v>51</v>
      </c>
      <c r="N12896" s="28" t="s">
        <v>51</v>
      </c>
    </row>
    <row r="12897" spans="1:14" hidden="1" outlineLevel="1" x14ac:dyDescent="0.2">
      <c r="A12897" s="23" t="str">
        <f>HYPERLINK("https://www.spark-marketing.ru/Card/Person/3340", "ГБУСО ""НОВОТРОИЦКИЙ ПНИ""")</f>
        <v>ГБУСО "НОВОТРОИЦКИЙ ПНИ"</v>
      </c>
      <c r="B12897" s="24" t="s">
        <v>17381</v>
      </c>
      <c r="C12897" s="25">
        <v>509071.98</v>
      </c>
      <c r="D12897" s="22" t="s">
        <v>17382</v>
      </c>
      <c r="E12897" s="22" t="s">
        <v>809</v>
      </c>
      <c r="F12897" s="23" t="str">
        <f>HYPERLINK("https://www.spark-marketing.ru/Card/Lot/72141417", "на поставку компьютерной техники и комплектующих к ним")</f>
        <v>на поставку компьютерной техники и комплектующих к ним</v>
      </c>
      <c r="G12897" s="22" t="s">
        <v>132</v>
      </c>
      <c r="H12897" s="22" t="s">
        <v>17383</v>
      </c>
      <c r="I12897" s="26">
        <v>43662.766319444403</v>
      </c>
      <c r="J12897" s="23" t="str">
        <f>HYPERLINK("https://www.spark-marketing.ru/Card/Person/387477", "Джаноян Мелик Артурович")</f>
        <v>Джаноян Мелик Артурович</v>
      </c>
      <c r="K12897" s="24" t="s">
        <v>16286</v>
      </c>
      <c r="L12897" s="28" t="s">
        <v>51</v>
      </c>
      <c r="M12897" s="25">
        <v>493799.82</v>
      </c>
      <c r="N12897" s="27">
        <v>3.0000001178615253E-2</v>
      </c>
    </row>
    <row r="12898" spans="1:14" ht="12.75" hidden="1" outlineLevel="1" x14ac:dyDescent="0.2">
      <c r="A12898" s="23" t="str">
        <f>HYPERLINK("https://www.spark-marketing.ru/Card/Person/3340", "ГБУСО ""НОВОТРОИЦКИЙ ПНИ""")</f>
        <v>ГБУСО "НОВОТРОИЦКИЙ ПНИ"</v>
      </c>
      <c r="B12898" s="24" t="s">
        <v>17381</v>
      </c>
      <c r="C12898" s="25">
        <v>509071.98</v>
      </c>
      <c r="D12898" s="22" t="s">
        <v>17382</v>
      </c>
      <c r="E12898" s="22" t="s">
        <v>809</v>
      </c>
      <c r="F12898" s="23" t="str">
        <f>HYPERLINK("https://www.spark-marketing.ru/Card/Lot/72141417", "на поставку компьютерной техники и комплектующих к ним")</f>
        <v>на поставку компьютерной техники и комплектующих к ним</v>
      </c>
      <c r="G12898" s="22" t="s">
        <v>132</v>
      </c>
      <c r="H12898" s="22" t="s">
        <v>17383</v>
      </c>
      <c r="I12898" s="26">
        <v>43662.766319444403</v>
      </c>
      <c r="J12898" s="23" t="str">
        <f>HYPERLINK("https://www.spark-marketing.ru/Card/Person/4879297", "ООО ""СТРУКТУРА МОМЕНТА""")</f>
        <v>ООО "СТРУКТУРА МОМЕНТА"</v>
      </c>
      <c r="K12898" s="24" t="s">
        <v>1783</v>
      </c>
      <c r="L12898" s="22" t="s">
        <v>10</v>
      </c>
      <c r="M12898" s="25">
        <v>491254.46</v>
      </c>
      <c r="N12898" s="27">
        <v>3.5000001375051125E-2</v>
      </c>
    </row>
    <row r="12899" spans="1:14" x14ac:dyDescent="0.15">
      <c r="A12899" s="23" t="str">
        <f>HYPERLINK("https://www.spark-marketing.ru/Card/Person/2917", "ФГБНУ НЦН")</f>
        <v>ФГБНУ НЦН</v>
      </c>
      <c r="B12899" s="24" t="s">
        <v>17384</v>
      </c>
      <c r="C12899" s="25">
        <v>6461563</v>
      </c>
      <c r="D12899" s="22" t="s">
        <v>17385</v>
      </c>
      <c r="E12899" s="22" t="s">
        <v>362</v>
      </c>
      <c r="F12899" s="23" t="str">
        <f>HYPERLINK("https://www.spark-marketing.ru/Card/Lot/72145936", "Оказание услуг по приготовлению и поставке готовых обедов для обеспечения питания сотрудников и обучающихся ФГБНУ НЦН")</f>
        <v>Оказание услуг по приготовлению и поставке готовых обедов для обеспечения питания сотрудников и обучающихся ФГБНУ НЦН</v>
      </c>
      <c r="G12899" s="22" t="s">
        <v>56</v>
      </c>
      <c r="H12899" s="22" t="s">
        <v>56</v>
      </c>
      <c r="I12899" s="26">
        <v>43662.737210648098</v>
      </c>
      <c r="J12899" s="28" t="s">
        <v>51</v>
      </c>
      <c r="K12899" s="28" t="s">
        <v>51</v>
      </c>
      <c r="L12899" s="28" t="s">
        <v>51</v>
      </c>
      <c r="M12899" s="28" t="s">
        <v>51</v>
      </c>
      <c r="N12899" s="28" t="s">
        <v>51</v>
      </c>
    </row>
    <row r="12900" spans="1:14" x14ac:dyDescent="0.15">
      <c r="A12900" s="23" t="str">
        <f>HYPERLINK("https://www.spark-marketing.ru/Card/Person/63674", "ГОКУ ""УД ПРАВИТЕЛЬСТВА НОВГОРОДСКОЙ ОБЛАСТИ""")</f>
        <v>ГОКУ "УД ПРАВИТЕЛЬСТВА НОВГОРОДСКОЙ ОБЛАСТИ"</v>
      </c>
      <c r="B12900" s="24" t="s">
        <v>8241</v>
      </c>
      <c r="C12900" s="25">
        <v>100000</v>
      </c>
      <c r="D12900" s="22" t="s">
        <v>17386</v>
      </c>
      <c r="E12900" s="22" t="s">
        <v>67</v>
      </c>
      <c r="F12900" s="23" t="str">
        <f>HYPERLINK("https://www.spark-marketing.ru/Card/Lot/72129479", "Оказание услуг общественного питания во время проведения официальных мероприятий Правительства Новгородской области")</f>
        <v>Оказание услуг общественного питания во время проведения официальных мероприятий Правительства Новгородской области</v>
      </c>
      <c r="G12900" s="22" t="s">
        <v>849</v>
      </c>
      <c r="H12900" s="22" t="s">
        <v>7002</v>
      </c>
      <c r="I12900" s="26">
        <v>43662.7179861111</v>
      </c>
      <c r="J12900" s="28" t="s">
        <v>51</v>
      </c>
      <c r="K12900" s="28" t="s">
        <v>51</v>
      </c>
      <c r="L12900" s="28" t="s">
        <v>51</v>
      </c>
      <c r="M12900" s="28" t="s">
        <v>51</v>
      </c>
      <c r="N12900" s="28" t="s">
        <v>51</v>
      </c>
    </row>
    <row r="12901" spans="1:14" hidden="1" outlineLevel="1" x14ac:dyDescent="0.2">
      <c r="A12901" s="23" t="str">
        <f>HYPERLINK("https://www.spark-marketing.ru/Card/Person/63674", "ГОКУ ""УД ПРАВИТЕЛЬСТВА НОВГОРОДСКОЙ ОБЛАСТИ""")</f>
        <v>ГОКУ "УД ПРАВИТЕЛЬСТВА НОВГОРОДСКОЙ ОБЛАСТИ"</v>
      </c>
      <c r="B12901" s="24" t="s">
        <v>8241</v>
      </c>
      <c r="C12901" s="25">
        <v>100000</v>
      </c>
      <c r="D12901" s="22" t="s">
        <v>17386</v>
      </c>
      <c r="E12901" s="22" t="s">
        <v>67</v>
      </c>
      <c r="F12901" s="23" t="str">
        <f>HYPERLINK("https://www.spark-marketing.ru/Card/Lot/72129479", "Оказание услуг общественного питания во время проведения официальных мероприятий Правительства Новгородской области")</f>
        <v>Оказание услуг общественного питания во время проведения официальных мероприятий Правительства Новгородской области</v>
      </c>
      <c r="G12901" s="22" t="s">
        <v>849</v>
      </c>
      <c r="H12901" s="22" t="s">
        <v>7002</v>
      </c>
      <c r="I12901" s="26">
        <v>43662.7179861111</v>
      </c>
      <c r="J12901" s="23" t="str">
        <f>HYPERLINK("https://www.spark-marketing.ru/Card/Person/6468236", "Никифорова Татьяна Игоревна")</f>
        <v>Никифорова Татьяна Игоревна</v>
      </c>
      <c r="K12901" s="24" t="s">
        <v>8243</v>
      </c>
      <c r="L12901" s="28" t="s">
        <v>51</v>
      </c>
      <c r="M12901" s="25">
        <v>8880.32</v>
      </c>
      <c r="N12901" s="27">
        <v>0.91119680000000003</v>
      </c>
    </row>
    <row r="12902" spans="1:14" ht="12.75" hidden="1" outlineLevel="1" x14ac:dyDescent="0.2">
      <c r="A12902" s="23" t="str">
        <f>HYPERLINK("https://www.spark-marketing.ru/Card/Person/63674", "ГОКУ ""УД ПРАВИТЕЛЬСТВА НОВГОРОДСКОЙ ОБЛАСТИ""")</f>
        <v>ГОКУ "УД ПРАВИТЕЛЬСТВА НОВГОРОДСКОЙ ОБЛАСТИ"</v>
      </c>
      <c r="B12902" s="24" t="s">
        <v>8241</v>
      </c>
      <c r="C12902" s="25">
        <v>100000</v>
      </c>
      <c r="D12902" s="22" t="s">
        <v>17386</v>
      </c>
      <c r="E12902" s="22" t="s">
        <v>67</v>
      </c>
      <c r="F12902" s="23" t="str">
        <f>HYPERLINK("https://www.spark-marketing.ru/Card/Lot/72129479", "Оказание услуг общественного питания во время проведения официальных мероприятий Правительства Новгородской области")</f>
        <v>Оказание услуг общественного питания во время проведения официальных мероприятий Правительства Новгородской области</v>
      </c>
      <c r="G12902" s="22" t="s">
        <v>849</v>
      </c>
      <c r="H12902" s="22" t="s">
        <v>7002</v>
      </c>
      <c r="I12902" s="26">
        <v>43662.7179861111</v>
      </c>
      <c r="J12902" s="23" t="str">
        <f>HYPERLINK("https://www.spark-marketing.ru/Card/Person/6620184", "ООО ""ЯРОСЛАВА""")</f>
        <v>ООО "ЯРОСЛАВА"</v>
      </c>
      <c r="K12902" s="24" t="s">
        <v>8244</v>
      </c>
      <c r="L12902" s="22" t="s">
        <v>10</v>
      </c>
      <c r="M12902" s="25">
        <v>8880.32</v>
      </c>
      <c r="N12902" s="27">
        <v>0.91119680000000003</v>
      </c>
    </row>
    <row r="12903" spans="1:14" x14ac:dyDescent="0.2">
      <c r="A12903" s="23" t="str">
        <f>HYPERLINK("https://www.spark-marketing.ru/Card/Person/4348787", "КРЫМСКИЙ ФЕДЕРАЛЬНЫЙ УНИВЕРСИТЕТ ИМЕНИ В.И. ВЕРНАДСКОГО, ФГАОУ ВО ""КФУ ИМ. В.И. ВЕРНАДСКОГО""")</f>
        <v>КРЫМСКИЙ ФЕДЕРАЛЬНЫЙ УНИВЕРСИТЕТ ИМЕНИ В.И. ВЕРНАДСКОГО, ФГАОУ ВО "КФУ ИМ. В.И. ВЕРНАДСКОГО"</v>
      </c>
      <c r="B12903" s="24" t="s">
        <v>11772</v>
      </c>
      <c r="C12903" s="25">
        <v>1655925</v>
      </c>
      <c r="D12903" s="22" t="s">
        <v>17387</v>
      </c>
      <c r="E12903" s="22" t="s">
        <v>17388</v>
      </c>
      <c r="F12903" s="23" t="str">
        <f>HYPERLINK("https://www.spark-marketing.ru/Card/Lot/72135546", "Услуга по организации проживания, питания и трансфера для участников Всероссийского фестиваля студенческого спорта «АСБ Фест 2019»")</f>
        <v>Услуга по организации проживания, питания и трансфера для участников Всероссийского фестиваля студенческого спорта «АСБ Фест 2019»</v>
      </c>
      <c r="G12903" s="22" t="s">
        <v>108</v>
      </c>
      <c r="H12903" s="22" t="s">
        <v>108</v>
      </c>
      <c r="I12903" s="26">
        <v>43662.709490740701</v>
      </c>
      <c r="J12903" s="28" t="s">
        <v>51</v>
      </c>
      <c r="K12903" s="28" t="s">
        <v>51</v>
      </c>
      <c r="L12903" s="22" t="s">
        <v>10</v>
      </c>
      <c r="M12903" s="25">
        <v>1655925</v>
      </c>
      <c r="N12903" s="27">
        <v>0</v>
      </c>
    </row>
    <row r="12904" spans="1:14" x14ac:dyDescent="0.2">
      <c r="A12904" s="23" t="str">
        <f>HYPERLINK("https://www.spark-marketing.ru/Card/Person/51501", "МБОУ ""СШ №11""")</f>
        <v>МБОУ "СШ №11"</v>
      </c>
      <c r="B12904" s="24" t="s">
        <v>17389</v>
      </c>
      <c r="C12904" s="25">
        <v>12442050.4</v>
      </c>
      <c r="D12904" s="22" t="s">
        <v>17390</v>
      </c>
      <c r="E12904" s="22" t="s">
        <v>48</v>
      </c>
      <c r="F12904" s="23" t="str">
        <f>HYPERLINK("https://www.spark-marketing.ru/Card/Lot/72135052", "Оказание услуг по организации в 2019-2020 учебном году питания обучающихся муниципального бюджетного общеобразовательного учреждения ""Средняя школа №11""")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№11"</v>
      </c>
      <c r="G12904" s="22" t="s">
        <v>97</v>
      </c>
      <c r="H12904" s="22" t="s">
        <v>97</v>
      </c>
      <c r="I12904" s="26">
        <v>43662.727673611102</v>
      </c>
      <c r="J12904" s="23" t="str">
        <f>HYPERLINK("https://www.spark-marketing.ru/Card/Person/4865441", "ООО ""КШП-2""")</f>
        <v>ООО "КШП-2"</v>
      </c>
      <c r="K12904" s="24" t="s">
        <v>1468</v>
      </c>
      <c r="L12904" s="28" t="s">
        <v>51</v>
      </c>
      <c r="M12904" s="25">
        <v>12442050.4</v>
      </c>
      <c r="N12904" s="27">
        <v>0</v>
      </c>
    </row>
    <row r="12905" spans="1:14" x14ac:dyDescent="0.2">
      <c r="A12905" s="23" t="str">
        <f>HYPERLINK("https://www.spark-marketing.ru/Card/Person/48052", "МБОУ ""СШ №21""")</f>
        <v>МБОУ "СШ №21"</v>
      </c>
      <c r="B12905" s="24" t="s">
        <v>17391</v>
      </c>
      <c r="C12905" s="25">
        <v>18117657.600000001</v>
      </c>
      <c r="D12905" s="22" t="s">
        <v>17392</v>
      </c>
      <c r="E12905" s="22" t="s">
        <v>48</v>
      </c>
      <c r="F12905" s="23" t="str">
        <f>HYPERLINK("https://www.spark-marketing.ru/Card/Lot/72135037", "Оказание услуг по организации в 2019-2020 учебном году питания обучающихся муниципального бюджетного общеобразовательного учреждения ""Средняя школа №21""")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№21"</v>
      </c>
      <c r="G12905" s="22" t="s">
        <v>97</v>
      </c>
      <c r="H12905" s="22" t="s">
        <v>97</v>
      </c>
      <c r="I12905" s="26">
        <v>43662.711307870399</v>
      </c>
      <c r="J12905" s="23" t="str">
        <f>HYPERLINK("https://www.spark-marketing.ru/Card/Person/1659813", "ООО ""КП""")</f>
        <v>ООО "КП"</v>
      </c>
      <c r="K12905" s="24" t="s">
        <v>16691</v>
      </c>
      <c r="L12905" s="28" t="s">
        <v>51</v>
      </c>
      <c r="M12905" s="25">
        <v>18117657.600000001</v>
      </c>
      <c r="N12905" s="27">
        <v>0</v>
      </c>
    </row>
    <row r="12906" spans="1:14" x14ac:dyDescent="0.2">
      <c r="A12906" s="23" t="str">
        <f>HYPERLINK("https://www.spark-marketing.ru/Card/Person/4346656", "ФГБУ ""ТЦСКР ""КРЫМСКИЙ""")</f>
        <v>ФГБУ "ТЦСКР "КРЫМСКИЙ"</v>
      </c>
      <c r="B12906" s="24" t="s">
        <v>2225</v>
      </c>
      <c r="C12906" s="25">
        <v>495000</v>
      </c>
      <c r="D12906" s="22" t="s">
        <v>17393</v>
      </c>
      <c r="E12906" s="22" t="s">
        <v>580</v>
      </c>
      <c r="F12906" s="23" t="str">
        <f>HYPERLINK("https://www.spark-marketing.ru/Card/Lot/72135646", "Оказание услуг питания")</f>
        <v>Оказание услуг питания</v>
      </c>
      <c r="G12906" s="22" t="s">
        <v>108</v>
      </c>
      <c r="H12906" s="22" t="s">
        <v>108</v>
      </c>
      <c r="I12906" s="26">
        <v>43662.713495370401</v>
      </c>
      <c r="J12906" s="28" t="s">
        <v>51</v>
      </c>
      <c r="K12906" s="28" t="s">
        <v>51</v>
      </c>
      <c r="L12906" s="28" t="s">
        <v>51</v>
      </c>
      <c r="M12906" s="25">
        <v>495000</v>
      </c>
      <c r="N12906" s="27">
        <v>0</v>
      </c>
    </row>
    <row r="12907" spans="1:14" x14ac:dyDescent="0.2">
      <c r="A12907" s="23" t="str">
        <f>HYPERLINK("https://www.spark-marketing.ru/Card/Person/18891", "ГБУ РС(Я) ""РЦСПСК РС(Я)""")</f>
        <v>ГБУ РС(Я) "РЦСПСК РС(Я)"</v>
      </c>
      <c r="B12907" s="24" t="s">
        <v>17394</v>
      </c>
      <c r="C12907" s="25">
        <v>9779000</v>
      </c>
      <c r="D12907" s="22" t="s">
        <v>17395</v>
      </c>
      <c r="E12907" s="22" t="s">
        <v>51</v>
      </c>
      <c r="F12907" s="23" t="str">
        <f>HYPERLINK("https://www.spark-marketing.ru/Card/Lot/72135998", "оказание услуг по питанию спортсменов")</f>
        <v>оказание услуг по питанию спортсменов</v>
      </c>
      <c r="G12907" s="22" t="s">
        <v>241</v>
      </c>
      <c r="H12907" s="22" t="s">
        <v>242</v>
      </c>
      <c r="I12907" s="26">
        <v>43662.747627314799</v>
      </c>
      <c r="J12907" s="23" t="str">
        <f>HYPERLINK("https://www.spark-marketing.ru/Card/Person/6147602", "ООО ""КП ""СЭРГЭЛЭЭХ""""")</f>
        <v>ООО "КП "СЭРГЭЛЭЭХ""</v>
      </c>
      <c r="K12907" s="24" t="s">
        <v>14754</v>
      </c>
      <c r="L12907" s="28" t="s">
        <v>51</v>
      </c>
      <c r="M12907" s="25">
        <v>9779000</v>
      </c>
      <c r="N12907" s="27">
        <v>0</v>
      </c>
    </row>
    <row r="12908" spans="1:14" x14ac:dyDescent="0.2">
      <c r="A12908" s="23" t="str">
        <f>HYPERLINK("https://www.spark-marketing.ru/Card/Person/149201", "МБОУ ""СШ №15""")</f>
        <v>МБОУ "СШ №15"</v>
      </c>
      <c r="B12908" s="24" t="s">
        <v>1635</v>
      </c>
      <c r="C12908" s="25">
        <v>18104192</v>
      </c>
      <c r="D12908" s="22" t="s">
        <v>17396</v>
      </c>
      <c r="E12908" s="22" t="s">
        <v>48</v>
      </c>
      <c r="F12908" s="23" t="str">
        <f>HYPERLINK("https://www.spark-marketing.ru/Card/Lot/72135053", "Оказание услуг по организации в 2019-2020 учебном году питания обучающихся муниципального бюджетного общеобразовательного учреждения ""Средняя школа № 15""")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 15"</v>
      </c>
      <c r="G12908" s="22" t="s">
        <v>97</v>
      </c>
      <c r="H12908" s="22" t="s">
        <v>97</v>
      </c>
      <c r="I12908" s="26">
        <v>43662.733749999999</v>
      </c>
      <c r="J12908" s="23" t="str">
        <f>HYPERLINK("https://www.spark-marketing.ru/Card/Person/45523", "ООО ""САМОТЛОР""")</f>
        <v>ООО "САМОТЛОР"</v>
      </c>
      <c r="K12908" s="24" t="s">
        <v>1637</v>
      </c>
      <c r="L12908" s="28" t="s">
        <v>51</v>
      </c>
      <c r="M12908" s="25">
        <v>18104192</v>
      </c>
      <c r="N12908" s="27">
        <v>0</v>
      </c>
    </row>
    <row r="12909" spans="1:14" x14ac:dyDescent="0.15">
      <c r="A12909" s="23" t="str">
        <f>HYPERLINK("https://www.spark-marketing.ru/Card/Person/19230", "МКУ ""УКС""")</f>
        <v>МКУ "УКС"</v>
      </c>
      <c r="B12909" s="24" t="s">
        <v>17397</v>
      </c>
      <c r="C12909" s="25">
        <v>17500</v>
      </c>
      <c r="D12909" s="22" t="s">
        <v>17398</v>
      </c>
      <c r="E12909" s="22" t="s">
        <v>17399</v>
      </c>
      <c r="F12909" s="23" t="str">
        <f>HYPERLINK("https://www.spark-marketing.ru/Card/Lot/72125665", "Оказание услуг по заправке картриджей и ремонту оргтехники")</f>
        <v>Оказание услуг по заправке картриджей и ремонту оргтехники</v>
      </c>
      <c r="G12909" s="22" t="s">
        <v>696</v>
      </c>
      <c r="H12909" s="22" t="s">
        <v>4697</v>
      </c>
      <c r="I12909" s="26">
        <v>43662.713194444397</v>
      </c>
      <c r="J12909" s="28" t="s">
        <v>51</v>
      </c>
      <c r="K12909" s="28" t="s">
        <v>51</v>
      </c>
      <c r="L12909" s="28" t="s">
        <v>51</v>
      </c>
      <c r="M12909" s="28" t="s">
        <v>51</v>
      </c>
      <c r="N12909" s="28" t="s">
        <v>51</v>
      </c>
    </row>
    <row r="12910" spans="1:14" x14ac:dyDescent="0.15">
      <c r="A12910" s="23" t="str">
        <f>HYPERLINK("https://www.spark-marketing.ru/Card/Person/6505005", "ГБУЗ ПК ""БКПО""")</f>
        <v>ГБУЗ ПК "БКПО"</v>
      </c>
      <c r="B12910" s="24" t="s">
        <v>9824</v>
      </c>
      <c r="C12910" s="25">
        <v>2205677</v>
      </c>
      <c r="D12910" s="22" t="s">
        <v>17400</v>
      </c>
      <c r="E12910" s="22" t="s">
        <v>96</v>
      </c>
      <c r="F12910" s="23" t="str">
        <f>HYPERLINK("https://www.spark-marketing.ru/Card/Lot/72146053", "Оказание услуг по организации лечебного питания, находящимся на стационарном лечении в ГБУЗ ПК ""БКПО"" ( с.Юрла, с. Белоево)")</f>
        <v>Оказание услуг по организации лечебного питания, находящимся на стационарном лечении в ГБУЗ ПК "БКПО" ( с.Юрла, с. Белоево)</v>
      </c>
      <c r="G12910" s="22" t="s">
        <v>153</v>
      </c>
      <c r="H12910" s="22" t="s">
        <v>153</v>
      </c>
      <c r="I12910" s="26">
        <v>43662.725497685198</v>
      </c>
      <c r="J12910" s="23" t="str">
        <f>HYPERLINK("https://www.spark-marketing.ru/Card/Person/245836", "ООО ""АМЕГА""")</f>
        <v>ООО "АМЕГА"</v>
      </c>
      <c r="K12910" s="24" t="s">
        <v>1841</v>
      </c>
      <c r="L12910" s="22" t="s">
        <v>10</v>
      </c>
      <c r="M12910" s="28" t="s">
        <v>51</v>
      </c>
      <c r="N12910" s="28" t="s">
        <v>51</v>
      </c>
    </row>
    <row r="12911" spans="1:14" x14ac:dyDescent="0.2">
      <c r="A12911" s="23" t="str">
        <f>HYPERLINK("https://www.spark-marketing.ru/Card/Person/51085", "МБОУ ""СШ №12""")</f>
        <v>МБОУ "СШ №12"</v>
      </c>
      <c r="B12911" s="24" t="s">
        <v>1469</v>
      </c>
      <c r="C12911" s="25">
        <v>16384408</v>
      </c>
      <c r="D12911" s="22" t="s">
        <v>17401</v>
      </c>
      <c r="E12911" s="22" t="s">
        <v>48</v>
      </c>
      <c r="F12911" s="23" t="str">
        <f>HYPERLINK("https://www.spark-marketing.ru/Card/Lot/72135049", "Оказание услуг по организации в 2019-2020 учебном году питания обучающихся муниципального бюджетного общеобразовательного учреждения «Средняя школа №12»")</f>
        <v>Оказание услуг по организации в 2019-2020 учебном году питания обучающихся муниципального бюджетного общеобразовательного учреждения «Средняя школа №12»</v>
      </c>
      <c r="G12911" s="22" t="s">
        <v>97</v>
      </c>
      <c r="H12911" s="22" t="s">
        <v>97</v>
      </c>
      <c r="I12911" s="26">
        <v>43662.723842592597</v>
      </c>
      <c r="J12911" s="23" t="str">
        <f>HYPERLINK("https://www.spark-marketing.ru/Card/Person/4865441", "ООО ""КШП-2""")</f>
        <v>ООО "КШП-2"</v>
      </c>
      <c r="K12911" s="24" t="s">
        <v>1468</v>
      </c>
      <c r="L12911" s="28" t="s">
        <v>51</v>
      </c>
      <c r="M12911" s="25">
        <v>16384408</v>
      </c>
      <c r="N12911" s="27">
        <v>0</v>
      </c>
    </row>
    <row r="12912" spans="1:14" x14ac:dyDescent="0.2">
      <c r="A12912" s="23" t="str">
        <f>HYPERLINK("https://www.spark-marketing.ru/Card/Person/151144", "МБОУ ""СШ №10""")</f>
        <v>МБОУ "СШ №10"</v>
      </c>
      <c r="B12912" s="24" t="s">
        <v>17402</v>
      </c>
      <c r="C12912" s="25">
        <v>11210841.6</v>
      </c>
      <c r="D12912" s="22" t="s">
        <v>17403</v>
      </c>
      <c r="E12912" s="22" t="s">
        <v>48</v>
      </c>
      <c r="F12912" s="23" t="str">
        <f>HYPERLINK("https://www.spark-marketing.ru/Card/Lot/72135039", "Оказание услуг по организации в 2019 - 2020 учебном году питания обучающихся муниципального бюджетного общеобразовательного учреждения ""Средняя школа №10""")</f>
        <v>Оказание услуг по организации в 2019 - 2020 учебном году питания обучающихся муниципального бюджетного общеобразовательного учреждения "Средняя школа №10"</v>
      </c>
      <c r="G12912" s="22" t="s">
        <v>97</v>
      </c>
      <c r="H12912" s="22" t="s">
        <v>97</v>
      </c>
      <c r="I12912" s="26">
        <v>43662.714907407397</v>
      </c>
      <c r="J12912" s="23" t="str">
        <f>HYPERLINK("https://www.spark-marketing.ru/Card/Person/45523", "ООО ""САМОТЛОР""")</f>
        <v>ООО "САМОТЛОР"</v>
      </c>
      <c r="K12912" s="24" t="s">
        <v>1637</v>
      </c>
      <c r="L12912" s="28" t="s">
        <v>51</v>
      </c>
      <c r="M12912" s="25">
        <v>11210841.6</v>
      </c>
      <c r="N12912" s="27">
        <v>0</v>
      </c>
    </row>
    <row r="12913" spans="1:14" x14ac:dyDescent="0.2">
      <c r="A12913" s="23" t="str">
        <f>HYPERLINK("https://www.spark-marketing.ru/Card/Person/72026", "МБОУ ""СШ №23 С УИИЯ""")</f>
        <v>МБОУ "СШ №23 С УИИЯ"</v>
      </c>
      <c r="B12913" s="24" t="s">
        <v>1638</v>
      </c>
      <c r="C12913" s="25">
        <v>9310879.1999999993</v>
      </c>
      <c r="D12913" s="22" t="s">
        <v>17404</v>
      </c>
      <c r="E12913" s="22" t="s">
        <v>48</v>
      </c>
      <c r="F12913" s="23" t="str">
        <f>HYPERLINK("https://www.spark-marketing.ru/Card/Lot/72135040", "Оказание услуг по организации в 2019-2020 учебном году питания  обучающихся муниципального бюджетного общеобразовательного учреждения ""Средняя школа № 23 с углубленным изучением иностранных языков"".")</f>
        <v>Оказание услуг по организации в 2019-2020 учебном году питания  обучающихся муниципального бюджетного общеобразовательного учреждения "Средняя школа № 23 с углубленным изучением иностранных языков".</v>
      </c>
      <c r="G12913" s="22" t="s">
        <v>97</v>
      </c>
      <c r="H12913" s="22" t="s">
        <v>97</v>
      </c>
      <c r="I12913" s="26">
        <v>43662.716944444401</v>
      </c>
      <c r="J12913" s="23" t="str">
        <f>HYPERLINK("https://www.spark-marketing.ru/Card/Person/4873794", "ООО ""КШП-1""")</f>
        <v>ООО "КШП-1"</v>
      </c>
      <c r="K12913" s="24" t="s">
        <v>1640</v>
      </c>
      <c r="L12913" s="28" t="s">
        <v>51</v>
      </c>
      <c r="M12913" s="25">
        <v>9310879.1999999993</v>
      </c>
      <c r="N12913" s="27">
        <v>0</v>
      </c>
    </row>
    <row r="12914" spans="1:14" x14ac:dyDescent="0.2">
      <c r="A12914" s="23" t="str">
        <f>HYPERLINK("https://www.spark-marketing.ru/Card/Person/146787", "МБОУ ""СШ №13""")</f>
        <v>МБОУ "СШ №13"</v>
      </c>
      <c r="B12914" s="24" t="s">
        <v>17405</v>
      </c>
      <c r="C12914" s="25">
        <v>12711283.199999999</v>
      </c>
      <c r="D12914" s="22" t="s">
        <v>17406</v>
      </c>
      <c r="E12914" s="22" t="s">
        <v>48</v>
      </c>
      <c r="F12914" s="23" t="str">
        <f>HYPERLINK("https://www.spark-marketing.ru/Card/Lot/72135036", "Оказание услуг по организации в 2019-2020 учебном году питания обучающихся муниципального бюджетного общеобразовательного учреждения ""Средняя школа №13""")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№13"</v>
      </c>
      <c r="G12914" s="22" t="s">
        <v>97</v>
      </c>
      <c r="H12914" s="22" t="s">
        <v>97</v>
      </c>
      <c r="I12914" s="26">
        <v>43662.710185185198</v>
      </c>
      <c r="J12914" s="23" t="str">
        <f>HYPERLINK("https://www.spark-marketing.ru/Card/Person/146741", "ООО ""СОВУШКА""")</f>
        <v>ООО "СОВУШКА"</v>
      </c>
      <c r="K12914" s="24" t="s">
        <v>16725</v>
      </c>
      <c r="L12914" s="28" t="s">
        <v>51</v>
      </c>
      <c r="M12914" s="25">
        <v>12711283.199999999</v>
      </c>
      <c r="N12914" s="27">
        <v>0</v>
      </c>
    </row>
    <row r="12915" spans="1:14" x14ac:dyDescent="0.15">
      <c r="A12915" s="23" t="str">
        <f>HYPERLINK("https://www.spark-marketing.ru/Card/Person/11733", "РТУ МИРЭА")</f>
        <v>РТУ МИРЭА</v>
      </c>
      <c r="B12915" s="24" t="s">
        <v>1305</v>
      </c>
      <c r="C12915" s="25">
        <v>494000</v>
      </c>
      <c r="D12915" s="22" t="s">
        <v>17407</v>
      </c>
      <c r="E12915" s="22" t="s">
        <v>580</v>
      </c>
      <c r="F12915" s="23" t="str">
        <f>HYPERLINK("https://www.spark-marketing.ru/Card/Lot/72138470", "Оказание услуг по организации питания")</f>
        <v>Оказание услуг по организации питания</v>
      </c>
      <c r="G12915" s="22" t="s">
        <v>49</v>
      </c>
      <c r="H12915" s="22" t="s">
        <v>49</v>
      </c>
      <c r="I12915" s="26">
        <v>43662.731018518498</v>
      </c>
      <c r="J12915" s="28" t="s">
        <v>51</v>
      </c>
      <c r="K12915" s="28" t="s">
        <v>51</v>
      </c>
      <c r="L12915" s="28" t="s">
        <v>51</v>
      </c>
      <c r="M12915" s="28" t="s">
        <v>51</v>
      </c>
      <c r="N12915" s="28" t="s">
        <v>51</v>
      </c>
    </row>
    <row r="12916" spans="1:14" x14ac:dyDescent="0.2">
      <c r="A12916" s="23" t="str">
        <f>HYPERLINK("https://www.spark-marketing.ru/Card/Person/50973", "МБОУ ""СШ №9 С УИОП""")</f>
        <v>МБОУ "СШ №9 С УИОП"</v>
      </c>
      <c r="B12916" s="24" t="s">
        <v>17408</v>
      </c>
      <c r="C12916" s="25">
        <v>10405302.4</v>
      </c>
      <c r="D12916" s="22" t="s">
        <v>17409</v>
      </c>
      <c r="E12916" s="22" t="s">
        <v>48</v>
      </c>
      <c r="F12916" s="23" t="str">
        <f>HYPERLINK("https://www.spark-marketing.ru/Card/Lot/72135050", "Оказание услуг по организации в 2019 - 2020 году учебном году питания обучающихся муниципального бюджетного общеобразовательного учреждения ""Средняя школа №9 с углубленным изучением отдельных предметов""")</f>
        <v>Оказание услуг по организации в 2019 - 2020 году учебном году питания обучающихся муниципального бюджетного общеобразовательного учреждения "Средняя школа №9 с углубленным изучением отдельных предметов"</v>
      </c>
      <c r="G12916" s="22" t="s">
        <v>97</v>
      </c>
      <c r="H12916" s="22" t="s">
        <v>97</v>
      </c>
      <c r="I12916" s="26">
        <v>43662.725960648102</v>
      </c>
      <c r="J12916" s="23" t="str">
        <f>HYPERLINK("https://www.spark-marketing.ru/Card/Person/4865441", "ООО ""КШП-2""")</f>
        <v>ООО "КШП-2"</v>
      </c>
      <c r="K12916" s="24" t="s">
        <v>1468</v>
      </c>
      <c r="L12916" s="28" t="s">
        <v>51</v>
      </c>
      <c r="M12916" s="25">
        <v>10405302.4</v>
      </c>
      <c r="N12916" s="27">
        <v>0</v>
      </c>
    </row>
    <row r="12917" spans="1:14" x14ac:dyDescent="0.2">
      <c r="A12917" s="23" t="str">
        <f>HYPERLINK("https://www.spark-marketing.ru/Card/Person/51290", "МБОУ ""СШ №22""")</f>
        <v>МБОУ "СШ №22"</v>
      </c>
      <c r="B12917" s="24" t="s">
        <v>1322</v>
      </c>
      <c r="C12917" s="25">
        <v>14825436.800000001</v>
      </c>
      <c r="D12917" s="22" t="s">
        <v>17410</v>
      </c>
      <c r="E12917" s="22" t="s">
        <v>48</v>
      </c>
      <c r="F12917" s="23" t="str">
        <f>HYPERLINK("https://www.spark-marketing.ru/Card/Lot/72135038", "Оказание услуг по организации в 2019-2020 учебном году питания обучающихся муниципального бюджетного общеобразовательного учреждения ""Средняя школа №22""")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№22"</v>
      </c>
      <c r="G12917" s="22" t="s">
        <v>97</v>
      </c>
      <c r="H12917" s="22" t="s">
        <v>97</v>
      </c>
      <c r="I12917" s="26">
        <v>43662.712488425903</v>
      </c>
      <c r="J12917" s="23" t="str">
        <f>HYPERLINK("https://www.spark-marketing.ru/Card/Person/1659813", "ООО ""КП""")</f>
        <v>ООО "КП"</v>
      </c>
      <c r="K12917" s="24" t="s">
        <v>16691</v>
      </c>
      <c r="L12917" s="28" t="s">
        <v>51</v>
      </c>
      <c r="M12917" s="25">
        <v>14825436.800000001</v>
      </c>
      <c r="N12917" s="27">
        <v>0</v>
      </c>
    </row>
    <row r="12918" spans="1:14" x14ac:dyDescent="0.2">
      <c r="A12918" s="23" t="str">
        <f>HYPERLINK("https://www.spark-marketing.ru/Card/Person/51116", "МБОУ ""СШ №34""")</f>
        <v>МБОУ "СШ №34"</v>
      </c>
      <c r="B12918" s="24" t="s">
        <v>1505</v>
      </c>
      <c r="C12918" s="25">
        <v>8814976</v>
      </c>
      <c r="D12918" s="22" t="s">
        <v>17411</v>
      </c>
      <c r="E12918" s="22" t="s">
        <v>48</v>
      </c>
      <c r="F12918" s="23" t="str">
        <f>HYPERLINK("https://www.spark-marketing.ru/Card/Lot/72135051", "оказание услуг по организации в 2019-2020 учебном году питания обучающихся муниципального бюджетного общеобразовательного учреждения ""Средняя школа №34""")</f>
        <v>оказание услуг по организации в 2019-2020 учебном году питания обучающихся муниципального бюджетного общеобразовательного учреждения "Средняя школа №34"</v>
      </c>
      <c r="G12918" s="22" t="s">
        <v>97</v>
      </c>
      <c r="H12918" s="22" t="s">
        <v>97</v>
      </c>
      <c r="I12918" s="26">
        <v>43662.726550925901</v>
      </c>
      <c r="J12918" s="23" t="str">
        <f>HYPERLINK("https://www.spark-marketing.ru/Card/Person/5846583", "ООО ""АБВГД""")</f>
        <v>ООО "АБВГД"</v>
      </c>
      <c r="K12918" s="24" t="s">
        <v>1467</v>
      </c>
      <c r="L12918" s="28" t="s">
        <v>51</v>
      </c>
      <c r="M12918" s="25">
        <v>8814976</v>
      </c>
      <c r="N12918" s="27">
        <v>0</v>
      </c>
    </row>
    <row r="12919" spans="1:14" x14ac:dyDescent="0.2">
      <c r="A12919" s="23" t="str">
        <f>HYPERLINK("https://www.spark-marketing.ru/Card/Person/72560", "МБОУ ""СШ №17""")</f>
        <v>МБОУ "СШ №17"</v>
      </c>
      <c r="B12919" s="24" t="s">
        <v>17412</v>
      </c>
      <c r="C12919" s="25">
        <v>19238148.800000001</v>
      </c>
      <c r="D12919" s="22" t="s">
        <v>17413</v>
      </c>
      <c r="E12919" s="22" t="s">
        <v>48</v>
      </c>
      <c r="F12919" s="23" t="str">
        <f>HYPERLINK("https://www.spark-marketing.ru/Card/Lot/72135035", "Оказание услуг по организации  в 2019 -2020 учебном  году питания обучающихся муниципального бюджетного общеобразовательного учреждения «Средняя школа №17»")</f>
        <v>Оказание услуг по организации  в 2019 -2020 учебном  году питания обучающихся муниципального бюджетного общеобразовательного учреждения «Средняя школа №17»</v>
      </c>
      <c r="G12919" s="22" t="s">
        <v>97</v>
      </c>
      <c r="H12919" s="22" t="s">
        <v>97</v>
      </c>
      <c r="I12919" s="26">
        <v>43662.720046296301</v>
      </c>
      <c r="J12919" s="23" t="str">
        <f>HYPERLINK("https://www.spark-marketing.ru/Card/Person/1659813", "ООО ""КП""")</f>
        <v>ООО "КП"</v>
      </c>
      <c r="K12919" s="24" t="s">
        <v>16691</v>
      </c>
      <c r="L12919" s="28" t="s">
        <v>51</v>
      </c>
      <c r="M12919" s="25">
        <v>19238148.800000001</v>
      </c>
      <c r="N12919" s="27">
        <v>0</v>
      </c>
    </row>
    <row r="12920" spans="1:14" x14ac:dyDescent="0.2">
      <c r="A12920" s="23" t="str">
        <f>HYPERLINK("https://www.spark-marketing.ru/Card/Person/1059638", "МАДОУ ""ДЕТСКИЙ САД № 87"" Г. ПЕРМИ")</f>
        <v>МАДОУ "ДЕТСКИЙ САД № 87" Г. ПЕРМИ</v>
      </c>
      <c r="B12920" s="24" t="s">
        <v>17414</v>
      </c>
      <c r="C12920" s="25">
        <v>26274748.5</v>
      </c>
      <c r="D12920" s="22" t="s">
        <v>17415</v>
      </c>
      <c r="E12920" s="22" t="s">
        <v>362</v>
      </c>
      <c r="F12920" s="23" t="str">
        <f>HYPERLINK("https://www.spark-marketing.ru/Card/Lot/72138078", "Оказание услуг по организации питания воспитанников в МАДОУ «Детский сад № 87» г. Перми")</f>
        <v>Оказание услуг по организации питания воспитанников в МАДОУ «Детский сад № 87» г. Перми</v>
      </c>
      <c r="G12920" s="22" t="s">
        <v>153</v>
      </c>
      <c r="H12920" s="22" t="s">
        <v>3981</v>
      </c>
      <c r="I12920" s="26">
        <v>43662.668472222198</v>
      </c>
      <c r="J12920" s="28" t="s">
        <v>51</v>
      </c>
      <c r="K12920" s="28" t="s">
        <v>51</v>
      </c>
      <c r="L12920" s="22" t="s">
        <v>10</v>
      </c>
      <c r="M12920" s="25">
        <v>26274748.5</v>
      </c>
      <c r="N12920" s="27">
        <v>0</v>
      </c>
    </row>
    <row r="12921" spans="1:14" x14ac:dyDescent="0.15">
      <c r="A12921" s="23" t="str">
        <f>HYPERLINK("https://www.spark-marketing.ru/Card/Person/740673", "ГБУ РК ""ЦСЗН СЫКТЫВДИНСКОГО РАЙОНА""")</f>
        <v>ГБУ РК "ЦСЗН СЫКТЫВДИНСКОГО РАЙОНА"</v>
      </c>
      <c r="B12921" s="24" t="s">
        <v>17416</v>
      </c>
      <c r="C12921" s="25">
        <v>11187</v>
      </c>
      <c r="D12921" s="22" t="s">
        <v>17417</v>
      </c>
      <c r="E12921" s="22" t="s">
        <v>464</v>
      </c>
      <c r="F12921" s="23" t="str">
        <f>HYPERLINK("https://www.spark-marketing.ru/Card/Lot/72143055", "Поставка продуктов питания в 3 квартале 2019 года (молочные продукты: Творог, Сметана) для нужд Государственного бюджетного учреждения Республики Коми «Центр по предоставлению государственных услуг в сфере социальной защиты населения Сыктывдинского р...")</f>
        <v>Поставка продуктов питания в 3 квартале 2019 года (молочные продукты: Творог, Сметана) для нужд Государственного бюджетного учреждения Республики Коми «Центр по предоставлению государственных услуг в сфере социальной защиты населения Сыктывдинского р...</v>
      </c>
      <c r="G12921" s="22" t="s">
        <v>271</v>
      </c>
      <c r="H12921" s="22" t="s">
        <v>10847</v>
      </c>
      <c r="I12921" s="26">
        <v>43662.673321759299</v>
      </c>
      <c r="J12921" s="23" t="str">
        <f>HYPERLINK("https://www.spark-marketing.ru/Card/Person/275284", "ООО ""СЫКТЫВКАРСКИЙ МОЛОЧНЫЙ ЗАВОД""")</f>
        <v>ООО "СЫКТЫВКАРСКИЙ МОЛОЧНЫЙ ЗАВОД"</v>
      </c>
      <c r="K12921" s="24" t="s">
        <v>17418</v>
      </c>
      <c r="L12921" s="22" t="s">
        <v>10</v>
      </c>
      <c r="M12921" s="28" t="s">
        <v>51</v>
      </c>
      <c r="N12921" s="28" t="s">
        <v>51</v>
      </c>
    </row>
    <row r="12922" spans="1:14" x14ac:dyDescent="0.15">
      <c r="A12922" s="23" t="str">
        <f>HYPERLINK("https://www.spark-marketing.ru/Card/Person/1000167", "МБУ ФСПЦ ""ЗАПАД""")</f>
        <v>МБУ ФСПЦ "ЗАПАД"</v>
      </c>
      <c r="B12922" s="24" t="s">
        <v>17419</v>
      </c>
      <c r="C12922" s="25">
        <v>189000</v>
      </c>
      <c r="D12922" s="22" t="s">
        <v>17420</v>
      </c>
      <c r="E12922" s="22" t="s">
        <v>48</v>
      </c>
      <c r="F12922" s="23" t="str">
        <f>HYPERLINK("https://www.spark-marketing.ru/Card/Lot/72125853", "Оказание услуг по организации питания в лагере труда и отдыха "" Юность """)</f>
        <v>Оказание услуг по организации питания в лагере труда и отдыха " Юность "</v>
      </c>
      <c r="G12922" s="22" t="s">
        <v>49</v>
      </c>
      <c r="H12922" s="22" t="s">
        <v>2136</v>
      </c>
      <c r="I12922" s="26">
        <v>43662.690358796302</v>
      </c>
      <c r="J12922" s="28" t="s">
        <v>51</v>
      </c>
      <c r="K12922" s="28" t="s">
        <v>51</v>
      </c>
      <c r="L12922" s="28" t="s">
        <v>51</v>
      </c>
      <c r="M12922" s="28" t="s">
        <v>51</v>
      </c>
      <c r="N12922" s="28" t="s">
        <v>51</v>
      </c>
    </row>
    <row r="12923" spans="1:14" x14ac:dyDescent="0.15">
      <c r="A12923" s="23" t="str">
        <f>HYPERLINK("https://www.spark-marketing.ru/Card/Person/6448", "УПРАВА РАЙОНА ВОСТОЧНОЕ ИЗМАЙЛОВО ГОРОДА МОСКВЫ")</f>
        <v>УПРАВА РАЙОНА ВОСТОЧНОЕ ИЗМАЙЛОВО ГОРОДА МОСКВЫ</v>
      </c>
      <c r="B12923" s="24" t="s">
        <v>17421</v>
      </c>
      <c r="C12923" s="25">
        <v>306198.62</v>
      </c>
      <c r="D12923" s="22" t="s">
        <v>17422</v>
      </c>
      <c r="E12923" s="22" t="s">
        <v>96</v>
      </c>
      <c r="F12923" s="23" t="str">
        <f>HYPERLINK("https://www.spark-marketing.ru/Card/Lot/72129971", "Оказание услуг по организации питания рабочей группы (выборы) в рамках материально-технического обеспечения выборов депутатов Московской городской Думы 7 созыва")</f>
        <v>Оказание услуг по организации питания рабочей группы (выборы) в рамках материально-технического обеспечения выборов депутатов Московской городской Думы 7 созыва</v>
      </c>
      <c r="G12923" s="22" t="s">
        <v>56</v>
      </c>
      <c r="H12923" s="22" t="s">
        <v>56</v>
      </c>
      <c r="I12923" s="26">
        <v>43662.698437500003</v>
      </c>
      <c r="J12923" s="28" t="s">
        <v>51</v>
      </c>
      <c r="K12923" s="28" t="s">
        <v>51</v>
      </c>
      <c r="L12923" s="28" t="s">
        <v>51</v>
      </c>
      <c r="M12923" s="28" t="s">
        <v>51</v>
      </c>
      <c r="N12923" s="28" t="s">
        <v>51</v>
      </c>
    </row>
    <row r="12924" spans="1:14" ht="12.75" hidden="1" outlineLevel="1" x14ac:dyDescent="0.2">
      <c r="A12924" s="23" t="str">
        <f>HYPERLINK("https://www.spark-marketing.ru/Card/Person/6448", "УПРАВА РАЙОНА ВОСТОЧНОЕ ИЗМАЙЛОВО ГОРОДА МОСКВЫ")</f>
        <v>УПРАВА РАЙОНА ВОСТОЧНОЕ ИЗМАЙЛОВО ГОРОДА МОСКВЫ</v>
      </c>
      <c r="B12924" s="24" t="s">
        <v>17421</v>
      </c>
      <c r="C12924" s="25">
        <v>306198.62</v>
      </c>
      <c r="D12924" s="22" t="s">
        <v>17422</v>
      </c>
      <c r="E12924" s="22" t="s">
        <v>96</v>
      </c>
      <c r="F12924" s="23" t="str">
        <f>HYPERLINK("https://www.spark-marketing.ru/Card/Lot/72129971", "Оказание услуг по организации питания рабочей группы (выборы) в рамках материально-технического обеспечения выборов депутатов Московской городской Думы 7 созыва")</f>
        <v>Оказание услуг по организации питания рабочей группы (выборы) в рамках материально-технического обеспечения выборов депутатов Московской городской Думы 7 созыва</v>
      </c>
      <c r="G12924" s="22" t="s">
        <v>56</v>
      </c>
      <c r="H12924" s="22" t="s">
        <v>56</v>
      </c>
      <c r="I12924" s="26">
        <v>43662.698437500003</v>
      </c>
      <c r="J12924" s="23" t="str">
        <f>HYPERLINK("https://www.spark-marketing.ru/Card/Person/1639342", "ООО ФИРМА ""ЯНИС""")</f>
        <v>ООО ФИРМА "ЯНИС"</v>
      </c>
      <c r="K12924" s="24" t="s">
        <v>17423</v>
      </c>
      <c r="L12924" s="22" t="s">
        <v>10</v>
      </c>
      <c r="M12924" s="25">
        <v>189842.69</v>
      </c>
      <c r="N12924" s="27">
        <v>0.38000148400407552</v>
      </c>
    </row>
    <row r="12925" spans="1:14" hidden="1" outlineLevel="1" x14ac:dyDescent="0.2">
      <c r="A12925" s="23" t="str">
        <f>HYPERLINK("https://www.spark-marketing.ru/Card/Person/6448", "УПРАВА РАЙОНА ВОСТОЧНОЕ ИЗМАЙЛОВО ГОРОДА МОСКВЫ")</f>
        <v>УПРАВА РАЙОНА ВОСТОЧНОЕ ИЗМАЙЛОВО ГОРОДА МОСКВЫ</v>
      </c>
      <c r="B12925" s="24" t="s">
        <v>17421</v>
      </c>
      <c r="C12925" s="25">
        <v>306198.62</v>
      </c>
      <c r="D12925" s="22" t="s">
        <v>17422</v>
      </c>
      <c r="E12925" s="22" t="s">
        <v>96</v>
      </c>
      <c r="F12925" s="23" t="str">
        <f>HYPERLINK("https://www.spark-marketing.ru/Card/Lot/72129971", "Оказание услуг по организации питания рабочей группы (выборы) в рамках материально-технического обеспечения выборов депутатов Московской городской Думы 7 созыва")</f>
        <v>Оказание услуг по организации питания рабочей группы (выборы) в рамках материально-технического обеспечения выборов депутатов Московской городской Думы 7 созыва</v>
      </c>
      <c r="G12925" s="22" t="s">
        <v>56</v>
      </c>
      <c r="H12925" s="22" t="s">
        <v>56</v>
      </c>
      <c r="I12925" s="26">
        <v>43662.698437500003</v>
      </c>
      <c r="J12925" s="23" t="str">
        <f>HYPERLINK("https://www.spark-marketing.ru/Card/Person/6623964", "Даскал Александр Степанович")</f>
        <v>Даскал Александр Степанович</v>
      </c>
      <c r="K12925" s="24" t="s">
        <v>15049</v>
      </c>
      <c r="L12925" s="28" t="s">
        <v>51</v>
      </c>
      <c r="M12925" s="25">
        <v>200000</v>
      </c>
      <c r="N12925" s="27">
        <v>0.34682919211066332</v>
      </c>
    </row>
    <row r="12926" spans="1:14" hidden="1" outlineLevel="1" x14ac:dyDescent="0.2">
      <c r="A12926" s="23" t="str">
        <f>HYPERLINK("https://www.spark-marketing.ru/Card/Person/6448", "УПРАВА РАЙОНА ВОСТОЧНОЕ ИЗМАЙЛОВО ГОРОДА МОСКВЫ")</f>
        <v>УПРАВА РАЙОНА ВОСТОЧНОЕ ИЗМАЙЛОВО ГОРОДА МОСКВЫ</v>
      </c>
      <c r="B12926" s="24" t="s">
        <v>17421</v>
      </c>
      <c r="C12926" s="25">
        <v>306198.62</v>
      </c>
      <c r="D12926" s="22" t="s">
        <v>17422</v>
      </c>
      <c r="E12926" s="22" t="s">
        <v>96</v>
      </c>
      <c r="F12926" s="23" t="str">
        <f>HYPERLINK("https://www.spark-marketing.ru/Card/Lot/72129971", "Оказание услуг по организации питания рабочей группы (выборы) в рамках материально-технического обеспечения выборов депутатов Московской городской Думы 7 созыва")</f>
        <v>Оказание услуг по организации питания рабочей группы (выборы) в рамках материально-технического обеспечения выборов депутатов Московской городской Думы 7 созыва</v>
      </c>
      <c r="G12926" s="22" t="s">
        <v>56</v>
      </c>
      <c r="H12926" s="22" t="s">
        <v>56</v>
      </c>
      <c r="I12926" s="26">
        <v>43662.698437500003</v>
      </c>
      <c r="J12926" s="23" t="str">
        <f>HYPERLINK("https://www.spark-marketing.ru/Card/Person/1806912", "ООО ""КАВКИ""")</f>
        <v>ООО "КАВКИ"</v>
      </c>
      <c r="K12926" s="24" t="s">
        <v>17424</v>
      </c>
      <c r="L12926" s="28" t="s">
        <v>51</v>
      </c>
      <c r="M12926" s="25">
        <v>191373.69</v>
      </c>
      <c r="N12926" s="27">
        <v>0.37500146146968266</v>
      </c>
    </row>
    <row r="12927" spans="1:14" hidden="1" outlineLevel="1" x14ac:dyDescent="0.2">
      <c r="A12927" s="23" t="str">
        <f>HYPERLINK("https://www.spark-marketing.ru/Card/Person/6448", "УПРАВА РАЙОНА ВОСТОЧНОЕ ИЗМАЙЛОВО ГОРОДА МОСКВЫ")</f>
        <v>УПРАВА РАЙОНА ВОСТОЧНОЕ ИЗМАЙЛОВО ГОРОДА МОСКВЫ</v>
      </c>
      <c r="B12927" s="24" t="s">
        <v>17421</v>
      </c>
      <c r="C12927" s="25">
        <v>306198.62</v>
      </c>
      <c r="D12927" s="22" t="s">
        <v>17422</v>
      </c>
      <c r="E12927" s="22" t="s">
        <v>96</v>
      </c>
      <c r="F12927" s="23" t="str">
        <f>HYPERLINK("https://www.spark-marketing.ru/Card/Lot/72129971", "Оказание услуг по организации питания рабочей группы (выборы) в рамках материально-технического обеспечения выборов депутатов Московской городской Думы 7 созыва")</f>
        <v>Оказание услуг по организации питания рабочей группы (выборы) в рамках материально-технического обеспечения выборов депутатов Московской городской Думы 7 созыва</v>
      </c>
      <c r="G12927" s="22" t="s">
        <v>56</v>
      </c>
      <c r="H12927" s="22" t="s">
        <v>56</v>
      </c>
      <c r="I12927" s="26">
        <v>43662.698437500003</v>
      </c>
      <c r="J12927" s="23" t="str">
        <f>HYPERLINK("https://www.spark-marketing.ru/Card/Person/2042423", "ООО ""ТФ ПРОДЖЕКТ""")</f>
        <v>ООО "ТФ ПРОДЖЕКТ"</v>
      </c>
      <c r="K12927" s="24" t="s">
        <v>9610</v>
      </c>
      <c r="L12927" s="28" t="s">
        <v>51</v>
      </c>
      <c r="M12927" s="25">
        <v>300074.62</v>
      </c>
      <c r="N12927" s="27">
        <v>2.0000090137571487E-2</v>
      </c>
    </row>
    <row r="12928" spans="1:14" x14ac:dyDescent="0.15">
      <c r="A12928" s="23" t="str">
        <f>HYPERLINK("https://www.spark-marketing.ru/Card/Person/18481", "ФГУП ""РОСРАО""")</f>
        <v>ФГУП "РОСРАО"</v>
      </c>
      <c r="B12928" s="24" t="s">
        <v>2882</v>
      </c>
      <c r="C12928" s="28" t="s">
        <v>51</v>
      </c>
      <c r="D12928" s="22" t="s">
        <v>17425</v>
      </c>
      <c r="E12928" s="22" t="s">
        <v>48</v>
      </c>
      <c r="F12928" s="23" t="str">
        <f>HYPERLINK("https://www.spark-marketing.ru/Card/Lot/72130472", "Оказание услуг по обеспечению лечебно-профилактическим питанием, молоком, витаминизированными продуктами работников, занятых на работах с вредными условиями труда, Ленинградского отделения филиала «Северо-западный территориальный округ» ФГУП «РосРАО»...")</f>
        <v>Оказание услуг по обеспечению лечебно-профилактическим питанием, молоком, витаминизированными продуктами работников, занятых на работах с вредными условиями труда, Ленинградского отделения филиала «Северо-западный территориальный округ» ФГУП «РосРАО»...</v>
      </c>
      <c r="G12928" s="22" t="s">
        <v>56</v>
      </c>
      <c r="H12928" s="22" t="s">
        <v>56</v>
      </c>
      <c r="I12928" s="26">
        <v>43662.6862847222</v>
      </c>
      <c r="J12928" s="28" t="s">
        <v>51</v>
      </c>
      <c r="K12928" s="28" t="s">
        <v>51</v>
      </c>
      <c r="L12928" s="28" t="s">
        <v>51</v>
      </c>
      <c r="M12928" s="28" t="s">
        <v>51</v>
      </c>
      <c r="N12928" s="28" t="s">
        <v>51</v>
      </c>
    </row>
    <row r="12929" spans="1:14" x14ac:dyDescent="0.15">
      <c r="A12929" s="23" t="str">
        <f>HYPERLINK("https://www.spark-marketing.ru/Card/Person/1033396", "МБОУ ""СШ № 39""")</f>
        <v>МБОУ "СШ № 39"</v>
      </c>
      <c r="B12929" s="24" t="s">
        <v>12440</v>
      </c>
      <c r="C12929" s="25">
        <v>1364682</v>
      </c>
      <c r="D12929" s="22" t="s">
        <v>17426</v>
      </c>
      <c r="E12929" s="22" t="s">
        <v>48</v>
      </c>
      <c r="F12929" s="23" t="str">
        <f>HYPERLINK("https://www.spark-marketing.ru/Card/Lot/72132937", "оказание услуги по организации горячего питания и обеспечению горячим питанием учащихся для нужд МБОУ «СШ № 39»")</f>
        <v>оказание услуги по организации горячего питания и обеспечению горячим питанием учащихся для нужд МБОУ «СШ № 39»</v>
      </c>
      <c r="G12929" s="22" t="s">
        <v>460</v>
      </c>
      <c r="H12929" s="22" t="s">
        <v>461</v>
      </c>
      <c r="I12929" s="26">
        <v>43662.678993055597</v>
      </c>
      <c r="J12929" s="28" t="s">
        <v>51</v>
      </c>
      <c r="K12929" s="28" t="s">
        <v>51</v>
      </c>
      <c r="L12929" s="28" t="s">
        <v>51</v>
      </c>
      <c r="M12929" s="28" t="s">
        <v>51</v>
      </c>
      <c r="N12929" s="28" t="s">
        <v>51</v>
      </c>
    </row>
    <row r="12930" spans="1:14" x14ac:dyDescent="0.15">
      <c r="A12930" s="23" t="str">
        <f>HYPERLINK("https://www.spark-marketing.ru/Card/Person/954755", "МБОУ ""СОШ №9""")</f>
        <v>МБОУ "СОШ №9"</v>
      </c>
      <c r="B12930" s="24" t="s">
        <v>17427</v>
      </c>
      <c r="C12930" s="25">
        <v>1756055.9</v>
      </c>
      <c r="D12930" s="22" t="s">
        <v>17428</v>
      </c>
      <c r="E12930" s="22" t="s">
        <v>48</v>
      </c>
      <c r="F12930" s="23" t="str">
        <f>HYPERLINK("https://www.spark-marketing.ru/Card/Lot/72135126", "Оказание услуг по организации горячего питания")</f>
        <v>Оказание услуг по организации горячего питания</v>
      </c>
      <c r="G12930" s="22" t="s">
        <v>281</v>
      </c>
      <c r="H12930" s="22" t="s">
        <v>281</v>
      </c>
      <c r="I12930" s="26">
        <v>43662.701157407399</v>
      </c>
      <c r="J12930" s="28" t="s">
        <v>51</v>
      </c>
      <c r="K12930" s="28" t="s">
        <v>51</v>
      </c>
      <c r="L12930" s="28" t="s">
        <v>51</v>
      </c>
      <c r="M12930" s="28" t="s">
        <v>51</v>
      </c>
      <c r="N12930" s="28" t="s">
        <v>51</v>
      </c>
    </row>
    <row r="12931" spans="1:14" ht="12.75" hidden="1" outlineLevel="1" x14ac:dyDescent="0.2">
      <c r="A12931" s="23" t="str">
        <f>HYPERLINK("https://www.spark-marketing.ru/Card/Person/954755", "МБОУ ""СОШ №9""")</f>
        <v>МБОУ "СОШ №9"</v>
      </c>
      <c r="B12931" s="24" t="s">
        <v>17427</v>
      </c>
      <c r="C12931" s="25">
        <v>1756055.9</v>
      </c>
      <c r="D12931" s="22" t="s">
        <v>17428</v>
      </c>
      <c r="E12931" s="22" t="s">
        <v>48</v>
      </c>
      <c r="F12931" s="23" t="str">
        <f>HYPERLINK("https://www.spark-marketing.ru/Card/Lot/72135126", "Оказание услуг по организации горячего питания")</f>
        <v>Оказание услуг по организации горячего питания</v>
      </c>
      <c r="G12931" s="22" t="s">
        <v>281</v>
      </c>
      <c r="H12931" s="22" t="s">
        <v>281</v>
      </c>
      <c r="I12931" s="26">
        <v>43662.701157407399</v>
      </c>
      <c r="J12931" s="23" t="str">
        <f>HYPERLINK("https://www.spark-marketing.ru/Card/Person/969761", "Заплатина Людмила Альфредовна")</f>
        <v>Заплатина Людмила Альфредовна</v>
      </c>
      <c r="K12931" s="24" t="s">
        <v>7793</v>
      </c>
      <c r="L12931" s="22" t="s">
        <v>10</v>
      </c>
      <c r="M12931" s="25">
        <v>1740000</v>
      </c>
      <c r="N12931" s="27">
        <v>9.1431599643268767E-3</v>
      </c>
    </row>
    <row r="12932" spans="1:14" hidden="1" outlineLevel="1" x14ac:dyDescent="0.2">
      <c r="A12932" s="23" t="str">
        <f>HYPERLINK("https://www.spark-marketing.ru/Card/Person/954755", "МБОУ ""СОШ №9""")</f>
        <v>МБОУ "СОШ №9"</v>
      </c>
      <c r="B12932" s="24" t="s">
        <v>17427</v>
      </c>
      <c r="C12932" s="25">
        <v>1756055.9</v>
      </c>
      <c r="D12932" s="22" t="s">
        <v>17428</v>
      </c>
      <c r="E12932" s="22" t="s">
        <v>48</v>
      </c>
      <c r="F12932" s="23" t="str">
        <f>HYPERLINK("https://www.spark-marketing.ru/Card/Lot/72135126", "Оказание услуг по организации горячего питания")</f>
        <v>Оказание услуг по организации горячего питания</v>
      </c>
      <c r="G12932" s="22" t="s">
        <v>281</v>
      </c>
      <c r="H12932" s="22" t="s">
        <v>281</v>
      </c>
      <c r="I12932" s="26">
        <v>43662.701157407399</v>
      </c>
      <c r="J12932" s="23" t="str">
        <f>HYPERLINK("https://www.spark-marketing.ru/Card/Person/218344", "ООО ""ПОЛЕКС""")</f>
        <v>ООО "ПОЛЕКС"</v>
      </c>
      <c r="K12932" s="24" t="s">
        <v>1449</v>
      </c>
      <c r="L12932" s="28" t="s">
        <v>51</v>
      </c>
      <c r="M12932" s="25">
        <v>1390000</v>
      </c>
      <c r="N12932" s="27">
        <v>0.20845344387954848</v>
      </c>
    </row>
    <row r="12933" spans="1:14" x14ac:dyDescent="0.15">
      <c r="A12933" s="23" t="str">
        <f>HYPERLINK("https://www.spark-marketing.ru/Card/Person/1239825", "ГАПОУ КО ""ККЭТ""")</f>
        <v>ГАПОУ КО "ККЭТ"</v>
      </c>
      <c r="B12933" s="24" t="s">
        <v>17429</v>
      </c>
      <c r="C12933" s="25">
        <v>3733730</v>
      </c>
      <c r="D12933" s="22" t="s">
        <v>17430</v>
      </c>
      <c r="E12933" s="22" t="s">
        <v>362</v>
      </c>
      <c r="F12933" s="23" t="str">
        <f>HYPERLINK("https://www.spark-marketing.ru/Card/Lot/72136784", "Организация горячего (привозного) питания обучающихся колледжа")</f>
        <v>Организация горячего (привозного) питания обучающихся колледжа</v>
      </c>
      <c r="G12933" s="22" t="s">
        <v>112</v>
      </c>
      <c r="H12933" s="22" t="s">
        <v>389</v>
      </c>
      <c r="I12933" s="26">
        <v>43662.678043981497</v>
      </c>
      <c r="J12933" s="28" t="s">
        <v>51</v>
      </c>
      <c r="K12933" s="28" t="s">
        <v>51</v>
      </c>
      <c r="L12933" s="28" t="s">
        <v>51</v>
      </c>
      <c r="M12933" s="28" t="s">
        <v>51</v>
      </c>
      <c r="N12933" s="28" t="s">
        <v>51</v>
      </c>
    </row>
    <row r="12934" spans="1:14" x14ac:dyDescent="0.15">
      <c r="A12934" s="23" t="str">
        <f>HYPERLINK("https://www.spark-marketing.ru/Card/Person/4434605", "МАОУ СЛОБОДА-БЕШКИЛЬСКАЯ СОШ")</f>
        <v>МАОУ СЛОБОДА-БЕШКИЛЬСКАЯ СОШ</v>
      </c>
      <c r="B12934" s="24" t="s">
        <v>17431</v>
      </c>
      <c r="C12934" s="25">
        <v>1560040</v>
      </c>
      <c r="D12934" s="22" t="s">
        <v>17432</v>
      </c>
      <c r="E12934" s="22" t="s">
        <v>362</v>
      </c>
      <c r="F12934" s="23" t="str">
        <f>HYPERLINK("https://www.spark-marketing.ru/Card/Lot/72139048", "Оказание услуг по обеспечению горячим питанием воспитанников МАОУ Слобода - Бешкильская СОШ")</f>
        <v>Оказание услуг по обеспечению горячим питанием воспитанников МАОУ Слобода - Бешкильская СОШ</v>
      </c>
      <c r="G12934" s="22" t="s">
        <v>766</v>
      </c>
      <c r="H12934" s="22" t="s">
        <v>766</v>
      </c>
      <c r="I12934" s="26">
        <v>43662.678506944401</v>
      </c>
      <c r="J12934" s="28" t="s">
        <v>51</v>
      </c>
      <c r="K12934" s="28" t="s">
        <v>51</v>
      </c>
      <c r="L12934" s="28" t="s">
        <v>51</v>
      </c>
      <c r="M12934" s="28" t="s">
        <v>51</v>
      </c>
      <c r="N12934" s="28" t="s">
        <v>51</v>
      </c>
    </row>
    <row r="12935" spans="1:14" x14ac:dyDescent="0.2">
      <c r="A12935" s="23" t="str">
        <f>HYPERLINK("https://www.spark-marketing.ru/Card/Person/134360", "ГБУЗ КО НГКБ № 11")</f>
        <v>ГБУЗ КО НГКБ № 11</v>
      </c>
      <c r="B12935" s="24" t="s">
        <v>17433</v>
      </c>
      <c r="C12935" s="25">
        <v>5695900</v>
      </c>
      <c r="D12935" s="22" t="s">
        <v>17434</v>
      </c>
      <c r="E12935" s="22" t="s">
        <v>48</v>
      </c>
      <c r="F12935" s="23" t="str">
        <f>HYPERLINK("https://www.spark-marketing.ru/Card/Lot/72135071", "Оказание услуг общественного питания")</f>
        <v>Оказание услуг общественного питания</v>
      </c>
      <c r="G12935" s="22" t="s">
        <v>304</v>
      </c>
      <c r="H12935" s="22" t="s">
        <v>3190</v>
      </c>
      <c r="I12935" s="26">
        <v>43662.684965277796</v>
      </c>
      <c r="J12935" s="23" t="str">
        <f>HYPERLINK("https://www.spark-marketing.ru/Card/Person/37535", "ООО ""ОМС-ЛЕЧЕБНОЕ ПИТАНИЕ""")</f>
        <v>ООО "ОМС-ЛЕЧЕБНОЕ ПИТАНИЕ"</v>
      </c>
      <c r="K12935" s="24" t="s">
        <v>17435</v>
      </c>
      <c r="L12935" s="28" t="s">
        <v>51</v>
      </c>
      <c r="M12935" s="25">
        <v>5640600</v>
      </c>
      <c r="N12935" s="27">
        <v>9.7087378640776691E-3</v>
      </c>
    </row>
    <row r="12936" spans="1:14" x14ac:dyDescent="0.15">
      <c r="A12936" s="23" t="str">
        <f>HYPERLINK("https://www.spark-marketing.ru/Card/Person/1022366", "ГКУЗ ""ОСДР""")</f>
        <v>ГКУЗ "ОСДР"</v>
      </c>
      <c r="B12936" s="24" t="s">
        <v>17436</v>
      </c>
      <c r="C12936" s="25">
        <v>106354.08</v>
      </c>
      <c r="D12936" s="22" t="s">
        <v>17437</v>
      </c>
      <c r="E12936" s="22" t="s">
        <v>336</v>
      </c>
      <c r="F12936" s="23" t="str">
        <f>HYPERLINK("https://www.spark-marketing.ru/Card/Lot/72127578", "на поставку смеси для детского питания")</f>
        <v>на поставку смеси для детского питания</v>
      </c>
      <c r="G12936" s="22" t="s">
        <v>132</v>
      </c>
      <c r="H12936" s="22" t="s">
        <v>4057</v>
      </c>
      <c r="I12936" s="26">
        <v>43662.698483796303</v>
      </c>
      <c r="J12936" s="28" t="s">
        <v>51</v>
      </c>
      <c r="K12936" s="28" t="s">
        <v>51</v>
      </c>
      <c r="L12936" s="28" t="s">
        <v>51</v>
      </c>
      <c r="M12936" s="28" t="s">
        <v>51</v>
      </c>
      <c r="N12936" s="28" t="s">
        <v>51</v>
      </c>
    </row>
    <row r="12937" spans="1:14" hidden="1" outlineLevel="1" x14ac:dyDescent="0.2">
      <c r="A12937" s="23" t="str">
        <f>HYPERLINK("https://www.spark-marketing.ru/Card/Person/1022366", "ГКУЗ ""ОСДР""")</f>
        <v>ГКУЗ "ОСДР"</v>
      </c>
      <c r="B12937" s="24" t="s">
        <v>17436</v>
      </c>
      <c r="C12937" s="25">
        <v>106354.08</v>
      </c>
      <c r="D12937" s="22" t="s">
        <v>17437</v>
      </c>
      <c r="E12937" s="22" t="s">
        <v>336</v>
      </c>
      <c r="F12937" s="23" t="str">
        <f>HYPERLINK("https://www.spark-marketing.ru/Card/Lot/72127578", "на поставку смеси для детского питания")</f>
        <v>на поставку смеси для детского питания</v>
      </c>
      <c r="G12937" s="22" t="s">
        <v>132</v>
      </c>
      <c r="H12937" s="22" t="s">
        <v>4057</v>
      </c>
      <c r="I12937" s="26">
        <v>43662.698483796303</v>
      </c>
      <c r="J12937" s="23" t="str">
        <f>HYPERLINK("https://www.spark-marketing.ru/Card/Person/4466962", "ООО ""ВЕКТОР МЕД""")</f>
        <v>ООО "ВЕКТОР МЕД"</v>
      </c>
      <c r="K12937" s="24" t="s">
        <v>17438</v>
      </c>
      <c r="L12937" s="28" t="s">
        <v>51</v>
      </c>
      <c r="M12937" s="25">
        <v>55835.93</v>
      </c>
      <c r="N12937" s="27">
        <v>0.47499964270294098</v>
      </c>
    </row>
    <row r="12938" spans="1:14" ht="12.75" hidden="1" outlineLevel="1" x14ac:dyDescent="0.2">
      <c r="A12938" s="23" t="str">
        <f>HYPERLINK("https://www.spark-marketing.ru/Card/Person/1022366", "ГКУЗ ""ОСДР""")</f>
        <v>ГКУЗ "ОСДР"</v>
      </c>
      <c r="B12938" s="24" t="s">
        <v>17436</v>
      </c>
      <c r="C12938" s="25">
        <v>106354.08</v>
      </c>
      <c r="D12938" s="22" t="s">
        <v>17437</v>
      </c>
      <c r="E12938" s="22" t="s">
        <v>336</v>
      </c>
      <c r="F12938" s="23" t="str">
        <f>HYPERLINK("https://www.spark-marketing.ru/Card/Lot/72127578", "на поставку смеси для детского питания")</f>
        <v>на поставку смеси для детского питания</v>
      </c>
      <c r="G12938" s="22" t="s">
        <v>132</v>
      </c>
      <c r="H12938" s="22" t="s">
        <v>4057</v>
      </c>
      <c r="I12938" s="26">
        <v>43662.698483796303</v>
      </c>
      <c r="J12938" s="23" t="str">
        <f>HYPERLINK("https://www.spark-marketing.ru/Card/Person/748665", "ООО ""АЛЬЯНС-Н""")</f>
        <v>ООО "АЛЬЯНС-Н"</v>
      </c>
      <c r="K12938" s="24" t="s">
        <v>12874</v>
      </c>
      <c r="L12938" s="22" t="s">
        <v>10</v>
      </c>
      <c r="M12938" s="25">
        <v>55304.160000000003</v>
      </c>
      <c r="N12938" s="27">
        <v>0.47999963894191927</v>
      </c>
    </row>
    <row r="12939" spans="1:14" x14ac:dyDescent="0.15">
      <c r="A12939" s="23" t="str">
        <f>HYPERLINK("https://www.spark-marketing.ru/Card/Person/166040", "МО МВД РОССИИ ""ТОПЧИХИНСКИЙ""")</f>
        <v>МО МВД РОССИИ "ТОПЧИХИНСКИЙ"</v>
      </c>
      <c r="B12939" s="24" t="s">
        <v>6154</v>
      </c>
      <c r="C12939" s="25">
        <v>287000</v>
      </c>
      <c r="D12939" s="22" t="s">
        <v>17439</v>
      </c>
      <c r="E12939" s="22" t="s">
        <v>48</v>
      </c>
      <c r="F12939" s="23" t="str">
        <f>HYPERLINK("https://www.spark-marketing.ru/Card/Lot/72121895", "Питание ИВС")</f>
        <v>Питание ИВС</v>
      </c>
      <c r="G12939" s="22" t="s">
        <v>63</v>
      </c>
      <c r="H12939" s="22" t="s">
        <v>6156</v>
      </c>
      <c r="I12939" s="26">
        <v>43662.685474537</v>
      </c>
      <c r="J12939" s="23" t="str">
        <f>HYPERLINK("https://www.spark-marketing.ru/Card/Person/193114", "ООО ""НИВА""")</f>
        <v>ООО "НИВА"</v>
      </c>
      <c r="K12939" s="24" t="s">
        <v>6157</v>
      </c>
      <c r="L12939" s="22" t="s">
        <v>10</v>
      </c>
      <c r="M12939" s="28" t="s">
        <v>51</v>
      </c>
      <c r="N12939" s="28" t="s">
        <v>51</v>
      </c>
    </row>
    <row r="12940" spans="1:14" x14ac:dyDescent="0.15">
      <c r="A12940" s="23" t="str">
        <f>HYPERLINK("https://www.spark-marketing.ru/Card/Person/21039", "ФКУ ""ЦХИСО ГУ МВД РОССИИ ПО САРАТОВСКОЙ ОБЛАСТИ""")</f>
        <v>ФКУ "ЦХИСО ГУ МВД РОССИИ ПО САРАТОВСКОЙ ОБЛАСТИ"</v>
      </c>
      <c r="B12940" s="24" t="s">
        <v>1991</v>
      </c>
      <c r="C12940" s="25">
        <v>39370000</v>
      </c>
      <c r="D12940" s="22" t="s">
        <v>17440</v>
      </c>
      <c r="E12940" s="22" t="s">
        <v>48</v>
      </c>
      <c r="F12940" s="23" t="str">
        <f>HYPERLINK("https://www.spark-marketing.ru/Card/Lot/72134273", "Оказание услуг по организации общественного питания")</f>
        <v>Оказание услуг по организации общественного питания</v>
      </c>
      <c r="G12940" s="22" t="s">
        <v>351</v>
      </c>
      <c r="H12940" s="22" t="s">
        <v>351</v>
      </c>
      <c r="I12940" s="26">
        <v>43662.687939814801</v>
      </c>
      <c r="J12940" s="28" t="s">
        <v>51</v>
      </c>
      <c r="K12940" s="28" t="s">
        <v>51</v>
      </c>
      <c r="L12940" s="28" t="s">
        <v>51</v>
      </c>
      <c r="M12940" s="28" t="s">
        <v>51</v>
      </c>
      <c r="N12940" s="28" t="s">
        <v>51</v>
      </c>
    </row>
    <row r="12941" spans="1:14" ht="12.75" hidden="1" outlineLevel="1" x14ac:dyDescent="0.2">
      <c r="A12941" s="23" t="str">
        <f>HYPERLINK("https://www.spark-marketing.ru/Card/Person/21039", "ФКУ ""ЦХИСО ГУ МВД РОССИИ ПО САРАТОВСКОЙ ОБЛАСТИ""")</f>
        <v>ФКУ "ЦХИСО ГУ МВД РОССИИ ПО САРАТОВСКОЙ ОБЛАСТИ"</v>
      </c>
      <c r="B12941" s="24" t="s">
        <v>1991</v>
      </c>
      <c r="C12941" s="25">
        <v>39370000</v>
      </c>
      <c r="D12941" s="22" t="s">
        <v>17440</v>
      </c>
      <c r="E12941" s="22" t="s">
        <v>48</v>
      </c>
      <c r="F12941" s="23" t="str">
        <f>HYPERLINK("https://www.spark-marketing.ru/Card/Lot/72134273", "Оказание услуг по организации общественного питания")</f>
        <v>Оказание услуг по организации общественного питания</v>
      </c>
      <c r="G12941" s="22" t="s">
        <v>351</v>
      </c>
      <c r="H12941" s="22" t="s">
        <v>351</v>
      </c>
      <c r="I12941" s="26">
        <v>43662.687939814801</v>
      </c>
      <c r="J12941" s="23" t="str">
        <f>HYPERLINK("https://www.spark-marketing.ru/Card/Person/520670", "ООО ""СОЮЗ К""")</f>
        <v>ООО "СОЮЗ К"</v>
      </c>
      <c r="K12941" s="24" t="s">
        <v>10035</v>
      </c>
      <c r="L12941" s="22" t="s">
        <v>10</v>
      </c>
      <c r="M12941" s="25">
        <v>297.10000000000002</v>
      </c>
      <c r="N12941" s="27">
        <v>0.9999924536449073</v>
      </c>
    </row>
    <row r="12942" spans="1:14" hidden="1" outlineLevel="1" x14ac:dyDescent="0.2">
      <c r="A12942" s="23" t="str">
        <f>HYPERLINK("https://www.spark-marketing.ru/Card/Person/21039", "ФКУ ""ЦХИСО ГУ МВД РОССИИ ПО САРАТОВСКОЙ ОБЛАСТИ""")</f>
        <v>ФКУ "ЦХИСО ГУ МВД РОССИИ ПО САРАТОВСКОЙ ОБЛАСТИ"</v>
      </c>
      <c r="B12942" s="24" t="s">
        <v>1991</v>
      </c>
      <c r="C12942" s="25">
        <v>39370000</v>
      </c>
      <c r="D12942" s="22" t="s">
        <v>17440</v>
      </c>
      <c r="E12942" s="22" t="s">
        <v>48</v>
      </c>
      <c r="F12942" s="23" t="str">
        <f>HYPERLINK("https://www.spark-marketing.ru/Card/Lot/72134273", "Оказание услуг по организации общественного питания")</f>
        <v>Оказание услуг по организации общественного питания</v>
      </c>
      <c r="G12942" s="22" t="s">
        <v>351</v>
      </c>
      <c r="H12942" s="22" t="s">
        <v>351</v>
      </c>
      <c r="I12942" s="26">
        <v>43662.687939814801</v>
      </c>
      <c r="J12942" s="23" t="str">
        <f>HYPERLINK("https://www.spark-marketing.ru/Card/Person/6249615", "ООО ""АЛЬЯНС ПИТАНИЯ""")</f>
        <v>ООО "АЛЬЯНС ПИТАНИЯ"</v>
      </c>
      <c r="K12942" s="24" t="s">
        <v>9696</v>
      </c>
      <c r="L12942" s="28" t="s">
        <v>51</v>
      </c>
      <c r="M12942" s="25">
        <v>322</v>
      </c>
      <c r="N12942" s="27">
        <v>0.99999182118364238</v>
      </c>
    </row>
    <row r="12943" spans="1:14" hidden="1" outlineLevel="1" x14ac:dyDescent="0.2">
      <c r="A12943" s="23" t="str">
        <f>HYPERLINK("https://www.spark-marketing.ru/Card/Person/21039", "ФКУ ""ЦХИСО ГУ МВД РОССИИ ПО САРАТОВСКОЙ ОБЛАСТИ""")</f>
        <v>ФКУ "ЦХИСО ГУ МВД РОССИИ ПО САРАТОВСКОЙ ОБЛАСТИ"</v>
      </c>
      <c r="B12943" s="24" t="s">
        <v>1991</v>
      </c>
      <c r="C12943" s="25">
        <v>39370000</v>
      </c>
      <c r="D12943" s="22" t="s">
        <v>17440</v>
      </c>
      <c r="E12943" s="22" t="s">
        <v>48</v>
      </c>
      <c r="F12943" s="23" t="str">
        <f>HYPERLINK("https://www.spark-marketing.ru/Card/Lot/72134273", "Оказание услуг по организации общественного питания")</f>
        <v>Оказание услуг по организации общественного питания</v>
      </c>
      <c r="G12943" s="22" t="s">
        <v>351</v>
      </c>
      <c r="H12943" s="22" t="s">
        <v>351</v>
      </c>
      <c r="I12943" s="26">
        <v>43662.687939814801</v>
      </c>
      <c r="J12943" s="23" t="str">
        <f>HYPERLINK("https://www.spark-marketing.ru/Card/Person/104393", "Максимов Александр Владимирович")</f>
        <v>Максимов Александр Владимирович</v>
      </c>
      <c r="K12943" s="24" t="s">
        <v>1993</v>
      </c>
      <c r="L12943" s="28" t="s">
        <v>51</v>
      </c>
      <c r="M12943" s="25">
        <v>298.76</v>
      </c>
      <c r="N12943" s="27">
        <v>0.99999241148082296</v>
      </c>
    </row>
    <row r="12944" spans="1:14" x14ac:dyDescent="0.15">
      <c r="A12944" s="23" t="str">
        <f>HYPERLINK("https://www.spark-marketing.ru/Card/Person/4365627", "ООО ""РН-БУРЕНИЕ""")</f>
        <v>ООО "РН-БУРЕНИЕ"</v>
      </c>
      <c r="B12944" s="24" t="s">
        <v>7087</v>
      </c>
      <c r="C12944" s="28" t="s">
        <v>51</v>
      </c>
      <c r="D12944" s="22" t="s">
        <v>17441</v>
      </c>
      <c r="E12944" s="22" t="s">
        <v>362</v>
      </c>
      <c r="F12944" s="23" t="str">
        <f>HYPERLINK("https://www.spark-marketing.ru/Card/Lot/72125633", "Оказание услуг по организации питания на Скважине № 2 Мадачагская Медынско-варандейский лизензионный участок в 2020г.")</f>
        <v>Оказание услуг по организации питания на Скважине № 2 Мадачагская Медынско-варандейский лизензионный участок в 2020г.</v>
      </c>
      <c r="G12944" s="22" t="s">
        <v>56</v>
      </c>
      <c r="H12944" s="22" t="s">
        <v>56</v>
      </c>
      <c r="I12944" s="26">
        <v>43662.6965277778</v>
      </c>
      <c r="J12944" s="28" t="s">
        <v>51</v>
      </c>
      <c r="K12944" s="28" t="s">
        <v>51</v>
      </c>
      <c r="L12944" s="28" t="s">
        <v>51</v>
      </c>
      <c r="M12944" s="28" t="s">
        <v>51</v>
      </c>
      <c r="N12944" s="28" t="s">
        <v>51</v>
      </c>
    </row>
    <row r="12945" spans="1:14" x14ac:dyDescent="0.15">
      <c r="A12945" s="23" t="str">
        <f>HYPERLINK("https://www.spark-marketing.ru/Card/Person/132121", "МБОУ СОШ №12")</f>
        <v>МБОУ СОШ №12</v>
      </c>
      <c r="B12945" s="24" t="s">
        <v>17442</v>
      </c>
      <c r="C12945" s="25">
        <v>3618324.8</v>
      </c>
      <c r="D12945" s="22" t="s">
        <v>17443</v>
      </c>
      <c r="E12945" s="22" t="s">
        <v>48</v>
      </c>
      <c r="F12945" s="23" t="str">
        <f>HYPERLINK("https://www.spark-marketing.ru/Card/Lot/72133729", "Оказание услуг по организации горячего школьного питания")</f>
        <v>Оказание услуг по организации горячего школьного питания</v>
      </c>
      <c r="G12945" s="22" t="s">
        <v>97</v>
      </c>
      <c r="H12945" s="22" t="s">
        <v>97</v>
      </c>
      <c r="I12945" s="26">
        <v>43662.683668981503</v>
      </c>
      <c r="J12945" s="23" t="str">
        <f>HYPERLINK("https://www.spark-marketing.ru/Card/Person/2091238", "Иванова Евгения Александровна")</f>
        <v>Иванова Евгения Александровна</v>
      </c>
      <c r="K12945" s="24" t="s">
        <v>17444</v>
      </c>
      <c r="L12945" s="22" t="s">
        <v>10</v>
      </c>
      <c r="M12945" s="28" t="s">
        <v>51</v>
      </c>
      <c r="N12945" s="28" t="s">
        <v>51</v>
      </c>
    </row>
    <row r="12946" spans="1:14" x14ac:dyDescent="0.2">
      <c r="A12946" s="23" t="str">
        <f>HYPERLINK("https://www.spark-marketing.ru/Card/Person/1763097", "КГАУ ""СШОР ПО ФУТБОЛУ ""ЕНИСЕЙ""")</f>
        <v>КГАУ "СШОР ПО ФУТБОЛУ "ЕНИСЕЙ"</v>
      </c>
      <c r="B12946" s="24" t="s">
        <v>4437</v>
      </c>
      <c r="C12946" s="25">
        <v>108000</v>
      </c>
      <c r="D12946" s="22" t="s">
        <v>17445</v>
      </c>
      <c r="E12946" s="22" t="s">
        <v>362</v>
      </c>
      <c r="F12946" s="23" t="str">
        <f>HYPERLINK("https://www.spark-marketing.ru/Card/Lot/72137122", "Оказание услуг по организации питания спортсменов")</f>
        <v>Оказание услуг по организации питания спортсменов</v>
      </c>
      <c r="G12946" s="22" t="s">
        <v>281</v>
      </c>
      <c r="H12946" s="22" t="s">
        <v>281</v>
      </c>
      <c r="I12946" s="26">
        <v>43662.686747685198</v>
      </c>
      <c r="J12946" s="28" t="s">
        <v>51</v>
      </c>
      <c r="K12946" s="28" t="s">
        <v>51</v>
      </c>
      <c r="L12946" s="22" t="s">
        <v>10</v>
      </c>
      <c r="M12946" s="25">
        <v>108000</v>
      </c>
      <c r="N12946" s="27">
        <v>0</v>
      </c>
    </row>
    <row r="12947" spans="1:14" x14ac:dyDescent="0.2">
      <c r="A12947" s="23" t="str">
        <f>HYPERLINK("https://www.spark-marketing.ru/Card/Person/55280", "ГАУЗ ПК ""ПККГВВ""")</f>
        <v>ГАУЗ ПК "ПККГВВ"</v>
      </c>
      <c r="B12947" s="24" t="s">
        <v>17446</v>
      </c>
      <c r="C12947" s="25">
        <v>53563669.590000004</v>
      </c>
      <c r="D12947" s="22" t="s">
        <v>17447</v>
      </c>
      <c r="E12947" s="22" t="s">
        <v>580</v>
      </c>
      <c r="F12947" s="23" t="str">
        <f>HYPERLINK("https://www.spark-marketing.ru/Card/Lot/72138224", "Оказание услуг по организации лечебного питания")</f>
        <v>Оказание услуг по организации лечебного питания</v>
      </c>
      <c r="G12947" s="22" t="s">
        <v>153</v>
      </c>
      <c r="H12947" s="22" t="s">
        <v>153</v>
      </c>
      <c r="I12947" s="26">
        <v>43662.683703703697</v>
      </c>
      <c r="J12947" s="28" t="s">
        <v>51</v>
      </c>
      <c r="K12947" s="28" t="s">
        <v>51</v>
      </c>
      <c r="L12947" s="22" t="s">
        <v>10</v>
      </c>
      <c r="M12947" s="25">
        <v>53562375.350000001</v>
      </c>
      <c r="N12947" s="27">
        <v>2.4162646247105268E-5</v>
      </c>
    </row>
    <row r="12948" spans="1:14" ht="12.75" x14ac:dyDescent="0.2">
      <c r="A12948" s="23" t="str">
        <f>HYPERLINK("https://www.spark-marketing.ru/Card/Person/796226", "ОЦНТ")</f>
        <v>ОЦНТ</v>
      </c>
      <c r="B12948" s="24" t="s">
        <v>3535</v>
      </c>
      <c r="C12948" s="25">
        <v>55300</v>
      </c>
      <c r="D12948" s="22" t="s">
        <v>17448</v>
      </c>
      <c r="E12948" s="22" t="s">
        <v>48</v>
      </c>
      <c r="F12948" s="23" t="str">
        <f>HYPERLINK("https://www.spark-marketing.ru/Card/Lot/72118541", "Оказание услуг по организации питания участников III Международной научной конференции ""Фольклор Палеоазиатских народов""")</f>
        <v>Оказание услуг по организации питания участников III Международной научной конференции "Фольклор Палеоазиатских народов"</v>
      </c>
      <c r="G12948" s="22" t="s">
        <v>260</v>
      </c>
      <c r="H12948" s="22" t="s">
        <v>804</v>
      </c>
      <c r="I12948" s="26">
        <v>43662.6787847222</v>
      </c>
      <c r="J12948" s="23" t="str">
        <f>HYPERLINK("https://www.spark-marketing.ru/Card/Person/797550", "Герасимов Виктор Юрьевич")</f>
        <v>Герасимов Виктор Юрьевич</v>
      </c>
      <c r="K12948" s="24" t="s">
        <v>3539</v>
      </c>
      <c r="L12948" s="22" t="s">
        <v>10</v>
      </c>
      <c r="M12948" s="25">
        <v>53900</v>
      </c>
      <c r="N12948" s="27">
        <v>2.5316455696202531E-2</v>
      </c>
    </row>
    <row r="12949" spans="1:14" x14ac:dyDescent="0.15">
      <c r="A12949" s="23" t="str">
        <f>HYPERLINK("https://www.spark-marketing.ru/Card/Person/401309", "МО МВД РОССИИ ""МАКАРЬЕВСКИЙ""")</f>
        <v>МО МВД РОССИИ "МАКАРЬЕВСКИЙ"</v>
      </c>
      <c r="B12949" s="24" t="s">
        <v>17449</v>
      </c>
      <c r="C12949" s="25">
        <v>351660.61</v>
      </c>
      <c r="D12949" s="22" t="s">
        <v>17450</v>
      </c>
      <c r="E12949" s="22" t="s">
        <v>48</v>
      </c>
      <c r="F12949" s="23" t="str">
        <f>HYPERLINK("https://www.spark-marketing.ru/Card/Lot/72129932", "Услуги по  организации горячим питанием ИВС")</f>
        <v>Услуги по  организации горячим питанием ИВС</v>
      </c>
      <c r="G12949" s="22" t="s">
        <v>292</v>
      </c>
      <c r="H12949" s="22" t="s">
        <v>17451</v>
      </c>
      <c r="I12949" s="26">
        <v>43662.6496064815</v>
      </c>
      <c r="J12949" s="23" t="str">
        <f>HYPERLINK("https://www.spark-marketing.ru/Card/Person/6363000", "Братанова Светлана Александровна")</f>
        <v>Братанова Светлана Александровна</v>
      </c>
      <c r="K12949" s="24" t="s">
        <v>6617</v>
      </c>
      <c r="L12949" s="22" t="s">
        <v>10</v>
      </c>
      <c r="M12949" s="28" t="s">
        <v>51</v>
      </c>
      <c r="N12949" s="28" t="s">
        <v>51</v>
      </c>
    </row>
    <row r="12950" spans="1:14" x14ac:dyDescent="0.15">
      <c r="A12950" s="23" t="str">
        <f>HYPERLINK("https://www.spark-marketing.ru/Card/Person/20903", "ГБУЗ ""ООКБ""")</f>
        <v>ГБУЗ "ООКБ"</v>
      </c>
      <c r="B12950" s="24" t="s">
        <v>7365</v>
      </c>
      <c r="C12950" s="25">
        <v>200880</v>
      </c>
      <c r="D12950" s="22" t="s">
        <v>17452</v>
      </c>
      <c r="E12950" s="22" t="s">
        <v>809</v>
      </c>
      <c r="F12950" s="23" t="str">
        <f>HYPERLINK("https://www.spark-marketing.ru/Card/Lot/72129381", "на поставку автоматизированных рабочих мест")</f>
        <v>на поставку автоматизированных рабочих мест</v>
      </c>
      <c r="G12950" s="22" t="s">
        <v>132</v>
      </c>
      <c r="H12950" s="22" t="s">
        <v>587</v>
      </c>
      <c r="I12950" s="26">
        <v>43662.660613425898</v>
      </c>
      <c r="J12950" s="23" t="str">
        <f>HYPERLINK("https://www.spark-marketing.ru/Card/Person/117844", "ООО ""БСГ""")</f>
        <v>ООО "БСГ"</v>
      </c>
      <c r="K12950" s="24" t="s">
        <v>4855</v>
      </c>
      <c r="L12950" s="22" t="s">
        <v>10</v>
      </c>
      <c r="M12950" s="28" t="s">
        <v>51</v>
      </c>
      <c r="N12950" s="28" t="s">
        <v>51</v>
      </c>
    </row>
    <row r="12951" spans="1:14" x14ac:dyDescent="0.2">
      <c r="A12951" s="23" t="str">
        <f>HYPERLINK("https://www.spark-marketing.ru/Card/Person/2268", "МКУ ""УУИООУ""")</f>
        <v>МКУ "УУИООУ"</v>
      </c>
      <c r="B12951" s="24" t="s">
        <v>17453</v>
      </c>
      <c r="C12951" s="25">
        <v>680292400.79999995</v>
      </c>
      <c r="D12951" s="22" t="s">
        <v>17454</v>
      </c>
      <c r="E12951" s="22" t="s">
        <v>48</v>
      </c>
      <c r="F12951" s="23" t="str">
        <f>HYPERLINK("https://www.spark-marketing.ru/Card/Lot/72135032", "Оказание услуг по организации горячего питания для муниципальных бюджетных общеобразовательных учреждений, осуществляющих предоставление обучающимся завтраков и обедов")</f>
        <v>Оказание услуг по организации горячего питания для муниципальных бюджетных общеобразовательных учреждений, осуществляющих предоставление обучающимся завтраков и обедов</v>
      </c>
      <c r="G12951" s="22" t="s">
        <v>97</v>
      </c>
      <c r="H12951" s="22" t="s">
        <v>3533</v>
      </c>
      <c r="I12951" s="26">
        <v>43662.633807870399</v>
      </c>
      <c r="J12951" s="23" t="str">
        <f>HYPERLINK("https://www.spark-marketing.ru/Card/Person/91645", "СГМУП ""КШП""")</f>
        <v>СГМУП "КШП"</v>
      </c>
      <c r="K12951" s="24" t="s">
        <v>956</v>
      </c>
      <c r="L12951" s="28" t="s">
        <v>51</v>
      </c>
      <c r="M12951" s="25">
        <v>680292400.79999995</v>
      </c>
      <c r="N12951" s="27">
        <v>0</v>
      </c>
    </row>
    <row r="12952" spans="1:14" x14ac:dyDescent="0.15">
      <c r="A12952" s="23" t="str">
        <f>HYPERLINK("https://www.spark-marketing.ru/Card/Person/740673", "ГБУ РК ""ЦСЗН СЫКТЫВДИНСКОГО РАЙОНА""")</f>
        <v>ГБУ РК "ЦСЗН СЫКТЫВДИНСКОГО РАЙОНА"</v>
      </c>
      <c r="B12952" s="24" t="s">
        <v>17416</v>
      </c>
      <c r="C12952" s="25">
        <v>5125.68</v>
      </c>
      <c r="D12952" s="22" t="s">
        <v>17455</v>
      </c>
      <c r="E12952" s="22" t="s">
        <v>464</v>
      </c>
      <c r="F12952" s="23" t="str">
        <f>HYPERLINK("https://www.spark-marketing.ru/Card/Lot/72128032", "Поставка продуктов питания в 3 квартале 2019 года (молочные продукты: Сыр) для нужд Государственного бюджетного учреждения Республики Коми «Центр по предоставлению государственных услуг в сфере социальной защиты населения Сыктывдинского района»")</f>
        <v>Поставка продуктов питания в 3 квартале 2019 года (молочные продукты: Сыр) для нужд Государственного бюджетного учреждения Республики Коми «Центр по предоставлению государственных услуг в сфере социальной защиты населения Сыктывдинского района»</v>
      </c>
      <c r="G12952" s="22" t="s">
        <v>271</v>
      </c>
      <c r="H12952" s="22" t="s">
        <v>10847</v>
      </c>
      <c r="I12952" s="26">
        <v>43662.648865740703</v>
      </c>
      <c r="J12952" s="23" t="str">
        <f>HYPERLINK("https://www.spark-marketing.ru/Card/Person/312545", "Булыгина Надежда Нифантьевна")</f>
        <v>Булыгина Надежда Нифантьевна</v>
      </c>
      <c r="K12952" s="24" t="s">
        <v>17456</v>
      </c>
      <c r="L12952" s="22" t="s">
        <v>10</v>
      </c>
      <c r="M12952" s="28" t="s">
        <v>51</v>
      </c>
      <c r="N12952" s="28" t="s">
        <v>51</v>
      </c>
    </row>
    <row r="12953" spans="1:14" x14ac:dyDescent="0.15">
      <c r="A12953" s="23" t="str">
        <f>HYPERLINK("https://www.spark-marketing.ru/Card/Person/3911", "УПРАВА ДМИТРОВСКОГО РАЙОНА ГОРОДА МОСКВЫ")</f>
        <v>УПРАВА ДМИТРОВСКОГО РАЙОНА ГОРОДА МОСКВЫ</v>
      </c>
      <c r="B12953" s="24" t="s">
        <v>17457</v>
      </c>
      <c r="C12953" s="25">
        <v>287500</v>
      </c>
      <c r="D12953" s="22" t="s">
        <v>17458</v>
      </c>
      <c r="E12953" s="22" t="s">
        <v>48</v>
      </c>
      <c r="F12953" s="23" t="str">
        <f>HYPERLINK("https://www.spark-marketing.ru/Card/Lot/72129885", "Оказание услуг по организации горячего питания членов избирательных комиссий Дмитровского района в день проведения выборов депутатов Московской городской Думы")</f>
        <v>Оказание услуг по организации горячего питания членов избирательных комиссий Дмитровского района в день проведения выборов депутатов Московской городской Думы</v>
      </c>
      <c r="G12953" s="22" t="s">
        <v>56</v>
      </c>
      <c r="H12953" s="22" t="s">
        <v>56</v>
      </c>
      <c r="I12953" s="26">
        <v>43662.656435185199</v>
      </c>
      <c r="J12953" s="28" t="s">
        <v>51</v>
      </c>
      <c r="K12953" s="28" t="s">
        <v>51</v>
      </c>
      <c r="L12953" s="28" t="s">
        <v>51</v>
      </c>
      <c r="M12953" s="28" t="s">
        <v>51</v>
      </c>
      <c r="N12953" s="28" t="s">
        <v>51</v>
      </c>
    </row>
    <row r="12954" spans="1:14" ht="12.75" hidden="1" outlineLevel="1" x14ac:dyDescent="0.2">
      <c r="A12954" s="23" t="str">
        <f>HYPERLINK("https://www.spark-marketing.ru/Card/Person/3911", "УПРАВА ДМИТРОВСКОГО РАЙОНА ГОРОДА МОСКВЫ")</f>
        <v>УПРАВА ДМИТРОВСКОГО РАЙОНА ГОРОДА МОСКВЫ</v>
      </c>
      <c r="B12954" s="24" t="s">
        <v>17457</v>
      </c>
      <c r="C12954" s="25">
        <v>287500</v>
      </c>
      <c r="D12954" s="22" t="s">
        <v>17458</v>
      </c>
      <c r="E12954" s="22" t="s">
        <v>48</v>
      </c>
      <c r="F12954" s="23" t="str">
        <f>HYPERLINK("https://www.spark-marketing.ru/Card/Lot/72129885", "Оказание услуг по организации горячего питания членов избирательных комиссий Дмитровского района в день проведения выборов депутатов Московской городской Думы")</f>
        <v>Оказание услуг по организации горячего питания членов избирательных комиссий Дмитровского района в день проведения выборов депутатов Московской городской Думы</v>
      </c>
      <c r="G12954" s="22" t="s">
        <v>56</v>
      </c>
      <c r="H12954" s="22" t="s">
        <v>56</v>
      </c>
      <c r="I12954" s="26">
        <v>43662.656435185199</v>
      </c>
      <c r="J12954" s="23" t="str">
        <f>HYPERLINK("https://www.spark-marketing.ru/Card/Person/6604981", "ООО ""ПЕРСПЕКТИВА""")</f>
        <v>ООО "ПЕРСПЕКТИВА"</v>
      </c>
      <c r="K12954" s="24" t="s">
        <v>13150</v>
      </c>
      <c r="L12954" s="22" t="s">
        <v>10</v>
      </c>
      <c r="M12954" s="25">
        <v>204125</v>
      </c>
      <c r="N12954" s="27">
        <v>0.28999999999999998</v>
      </c>
    </row>
    <row r="12955" spans="1:14" hidden="1" outlineLevel="1" x14ac:dyDescent="0.2">
      <c r="A12955" s="23" t="str">
        <f>HYPERLINK("https://www.spark-marketing.ru/Card/Person/3911", "УПРАВА ДМИТРОВСКОГО РАЙОНА ГОРОДА МОСКВЫ")</f>
        <v>УПРАВА ДМИТРОВСКОГО РАЙОНА ГОРОДА МОСКВЫ</v>
      </c>
      <c r="B12955" s="24" t="s">
        <v>17457</v>
      </c>
      <c r="C12955" s="25">
        <v>287500</v>
      </c>
      <c r="D12955" s="22" t="s">
        <v>17458</v>
      </c>
      <c r="E12955" s="22" t="s">
        <v>48</v>
      </c>
      <c r="F12955" s="23" t="str">
        <f>HYPERLINK("https://www.spark-marketing.ru/Card/Lot/72129885", "Оказание услуг по организации горячего питания членов избирательных комиссий Дмитровского района в день проведения выборов депутатов Московской городской Думы")</f>
        <v>Оказание услуг по организации горячего питания членов избирательных комиссий Дмитровского района в день проведения выборов депутатов Московской городской Думы</v>
      </c>
      <c r="G12955" s="22" t="s">
        <v>56</v>
      </c>
      <c r="H12955" s="22" t="s">
        <v>56</v>
      </c>
      <c r="I12955" s="26">
        <v>43662.656435185199</v>
      </c>
      <c r="J12955" s="23" t="str">
        <f>HYPERLINK("https://www.spark-marketing.ru/Card/Person/4359172", "ООО ""БУФЕТ""")</f>
        <v>ООО "БУФЕТ"</v>
      </c>
      <c r="K12955" s="24" t="s">
        <v>17459</v>
      </c>
      <c r="L12955" s="28" t="s">
        <v>51</v>
      </c>
      <c r="M12955" s="25">
        <v>205562.5</v>
      </c>
      <c r="N12955" s="27">
        <v>0.28499999999999998</v>
      </c>
    </row>
    <row r="12956" spans="1:14" hidden="1" outlineLevel="1" x14ac:dyDescent="0.2">
      <c r="A12956" s="23" t="str">
        <f>HYPERLINK("https://www.spark-marketing.ru/Card/Person/3911", "УПРАВА ДМИТРОВСКОГО РАЙОНА ГОРОДА МОСКВЫ")</f>
        <v>УПРАВА ДМИТРОВСКОГО РАЙОНА ГОРОДА МОСКВЫ</v>
      </c>
      <c r="B12956" s="24" t="s">
        <v>17457</v>
      </c>
      <c r="C12956" s="25">
        <v>287500</v>
      </c>
      <c r="D12956" s="22" t="s">
        <v>17458</v>
      </c>
      <c r="E12956" s="22" t="s">
        <v>48</v>
      </c>
      <c r="F12956" s="23" t="str">
        <f>HYPERLINK("https://www.spark-marketing.ru/Card/Lot/72129885", "Оказание услуг по организации горячего питания членов избирательных комиссий Дмитровского района в день проведения выборов депутатов Московской городской Думы")</f>
        <v>Оказание услуг по организации горячего питания членов избирательных комиссий Дмитровского района в день проведения выборов депутатов Московской городской Думы</v>
      </c>
      <c r="G12956" s="22" t="s">
        <v>56</v>
      </c>
      <c r="H12956" s="22" t="s">
        <v>56</v>
      </c>
      <c r="I12956" s="26">
        <v>43662.656435185199</v>
      </c>
      <c r="J12956" s="23" t="str">
        <f>HYPERLINK("https://www.spark-marketing.ru/Card/Person/1806912", "ООО ""КАВКИ""")</f>
        <v>ООО "КАВКИ"</v>
      </c>
      <c r="K12956" s="24" t="s">
        <v>17424</v>
      </c>
      <c r="L12956" s="28" t="s">
        <v>51</v>
      </c>
      <c r="M12956" s="25">
        <v>222812.5</v>
      </c>
      <c r="N12956" s="27">
        <v>0.22500000000000001</v>
      </c>
    </row>
    <row r="12957" spans="1:14" x14ac:dyDescent="0.15">
      <c r="A12957" s="23" t="str">
        <f>HYPERLINK("https://www.spark-marketing.ru/Card/Person/1040168", "ГКОУ ""КУРГАНСКАЯ ШКОЛА № 8""")</f>
        <v>ГКОУ "КУРГАНСКАЯ ШКОЛА № 8"</v>
      </c>
      <c r="B12957" s="24" t="s">
        <v>12841</v>
      </c>
      <c r="C12957" s="25">
        <v>1075120</v>
      </c>
      <c r="D12957" s="22" t="s">
        <v>17460</v>
      </c>
      <c r="E12957" s="22" t="s">
        <v>48</v>
      </c>
      <c r="F12957" s="23" t="str">
        <f>HYPERLINK("https://www.spark-marketing.ru/Card/Lot/72160630", "оказание услуг по организации ежедневного двухразового горячего питания учащихся Государственного казенного общеобразовательного учреждения ""Курганская специальная (коррекционная) школа № 8""")</f>
        <v>оказание услуг по организации ежедневного двухразового горячего питания учащихся Государственного казенного общеобразовательного учреждения "Курганская специальная (коррекционная) школа № 8"</v>
      </c>
      <c r="G12957" s="22" t="s">
        <v>1972</v>
      </c>
      <c r="H12957" s="22" t="s">
        <v>1973</v>
      </c>
      <c r="I12957" s="26">
        <v>43662.628993055601</v>
      </c>
      <c r="J12957" s="28" t="s">
        <v>51</v>
      </c>
      <c r="K12957" s="28" t="s">
        <v>51</v>
      </c>
      <c r="L12957" s="28" t="s">
        <v>51</v>
      </c>
      <c r="M12957" s="28" t="s">
        <v>51</v>
      </c>
      <c r="N12957" s="28" t="s">
        <v>51</v>
      </c>
    </row>
    <row r="12958" spans="1:14" x14ac:dyDescent="0.15">
      <c r="A12958" s="23" t="str">
        <f>HYPERLINK("https://www.spark-marketing.ru/Card/Person/12404", "УФСИН РОССИИ ПО ТЮМЕНСКОЙ ОБЛАСТИ")</f>
        <v>УФСИН РОССИИ ПО ТЮМЕНСКОЙ ОБЛАСТИ</v>
      </c>
      <c r="B12958" s="24" t="s">
        <v>17461</v>
      </c>
      <c r="C12958" s="25">
        <v>181380</v>
      </c>
      <c r="D12958" s="22" t="s">
        <v>17462</v>
      </c>
      <c r="E12958" s="22" t="s">
        <v>809</v>
      </c>
      <c r="F12958" s="23" t="str">
        <f>HYPERLINK("https://www.spark-marketing.ru/Card/Lot/72129389", "Закупка товаров, работ, услуг в сфере информационно-коммуникационных технологий (Приобретение комплектующих и запасных частей для вычислительной техники для нужд учреждений, подведомственных УФСИН России по Тюменской области)")</f>
        <v>Закупка товаров, работ, услуг в сфере информационно-коммуникационных технологий (Приобретение комплектующих и запасных частей для вычислительной техники для нужд учреждений, подведомственных УФСИН России по Тюменской области)</v>
      </c>
      <c r="G12958" s="22" t="s">
        <v>766</v>
      </c>
      <c r="H12958" s="22" t="s">
        <v>1028</v>
      </c>
      <c r="I12958" s="26">
        <v>43662.664722222202</v>
      </c>
      <c r="J12958" s="28" t="s">
        <v>51</v>
      </c>
      <c r="K12958" s="28" t="s">
        <v>51</v>
      </c>
      <c r="L12958" s="28" t="s">
        <v>51</v>
      </c>
      <c r="M12958" s="28" t="s">
        <v>51</v>
      </c>
      <c r="N12958" s="28" t="s">
        <v>51</v>
      </c>
    </row>
    <row r="12959" spans="1:14" hidden="1" outlineLevel="1" x14ac:dyDescent="0.2">
      <c r="A12959" s="23" t="str">
        <f>HYPERLINK("https://www.spark-marketing.ru/Card/Person/12404", "УФСИН РОССИИ ПО ТЮМЕНСКОЙ ОБЛАСТИ")</f>
        <v>УФСИН РОССИИ ПО ТЮМЕНСКОЙ ОБЛАСТИ</v>
      </c>
      <c r="B12959" s="24" t="s">
        <v>17461</v>
      </c>
      <c r="C12959" s="25">
        <v>181380</v>
      </c>
      <c r="D12959" s="22" t="s">
        <v>17462</v>
      </c>
      <c r="E12959" s="22" t="s">
        <v>809</v>
      </c>
      <c r="F12959" s="23" t="str">
        <f>HYPERLINK("https://www.spark-marketing.ru/Card/Lot/72129389", "Закупка товаров, работ, услуг в сфере информационно-коммуникационных технологий (Приобретение комплектующих и запасных частей для вычислительной техники для нужд учреждений, подведомственных УФСИН России по Тюменской области)")</f>
        <v>Закупка товаров, работ, услуг в сфере информационно-коммуникационных технологий (Приобретение комплектующих и запасных частей для вычислительной техники для нужд учреждений, подведомственных УФСИН России по Тюменской области)</v>
      </c>
      <c r="G12959" s="22" t="s">
        <v>766</v>
      </c>
      <c r="H12959" s="22" t="s">
        <v>1028</v>
      </c>
      <c r="I12959" s="26">
        <v>43662.664722222202</v>
      </c>
      <c r="J12959" s="23" t="str">
        <f>HYPERLINK("https://www.spark-marketing.ru/Card/Person/544514", "Иванов Виктор Владимирович")</f>
        <v>Иванов Виктор Владимирович</v>
      </c>
      <c r="K12959" s="24" t="s">
        <v>17463</v>
      </c>
      <c r="L12959" s="28" t="s">
        <v>51</v>
      </c>
      <c r="M12959" s="25">
        <v>145055.70000000001</v>
      </c>
      <c r="N12959" s="27">
        <v>0.2002662917631492</v>
      </c>
    </row>
    <row r="12960" spans="1:14" ht="12.75" hidden="1" outlineLevel="1" x14ac:dyDescent="0.2">
      <c r="A12960" s="23" t="str">
        <f>HYPERLINK("https://www.spark-marketing.ru/Card/Person/12404", "УФСИН РОССИИ ПО ТЮМЕНСКОЙ ОБЛАСТИ")</f>
        <v>УФСИН РОССИИ ПО ТЮМЕНСКОЙ ОБЛАСТИ</v>
      </c>
      <c r="B12960" s="24" t="s">
        <v>17461</v>
      </c>
      <c r="C12960" s="25">
        <v>181380</v>
      </c>
      <c r="D12960" s="22" t="s">
        <v>17462</v>
      </c>
      <c r="E12960" s="22" t="s">
        <v>809</v>
      </c>
      <c r="F12960" s="23" t="str">
        <f>HYPERLINK("https://www.spark-marketing.ru/Card/Lot/72129389", "Закупка товаров, работ, услуг в сфере информационно-коммуникационных технологий (Приобретение комплектующих и запасных частей для вычислительной техники для нужд учреждений, подведомственных УФСИН России по Тюменской области)")</f>
        <v>Закупка товаров, работ, услуг в сфере информационно-коммуникационных технологий (Приобретение комплектующих и запасных частей для вычислительной техники для нужд учреждений, подведомственных УФСИН России по Тюменской области)</v>
      </c>
      <c r="G12960" s="22" t="s">
        <v>766</v>
      </c>
      <c r="H12960" s="22" t="s">
        <v>1028</v>
      </c>
      <c r="I12960" s="26">
        <v>43662.664722222202</v>
      </c>
      <c r="J12960" s="23" t="str">
        <f>HYPERLINK("https://www.spark-marketing.ru/Card/Person/5686", "Рыбальченко Сергей Николаевич")</f>
        <v>Рыбальченко Сергей Николаевич</v>
      </c>
      <c r="K12960" s="24" t="s">
        <v>17464</v>
      </c>
      <c r="L12960" s="22" t="s">
        <v>10</v>
      </c>
      <c r="M12960" s="25">
        <v>144148.79999999999</v>
      </c>
      <c r="N12960" s="27">
        <v>0.2052662917631492</v>
      </c>
    </row>
    <row r="12961" spans="1:14" x14ac:dyDescent="0.15">
      <c r="A12961" s="23" t="str">
        <f>HYPERLINK("https://www.spark-marketing.ru/Card/Person/1020898", "МБУ ДО""УСТЬЯНСКАЯ ДЮСШ""")</f>
        <v>МБУ ДО"УСТЬЯНСКАЯ ДЮСШ"</v>
      </c>
      <c r="B12961" s="24" t="s">
        <v>12821</v>
      </c>
      <c r="C12961" s="25">
        <v>283500</v>
      </c>
      <c r="D12961" s="22" t="s">
        <v>17465</v>
      </c>
      <c r="E12961" s="22" t="s">
        <v>362</v>
      </c>
      <c r="F12961" s="23" t="str">
        <f>HYPERLINK("https://www.spark-marketing.ru/Card/Lot/72136647", "Услуги по организации питания детей в спортивно-оздоровительном лагере")</f>
        <v>Услуги по организации питания детей в спортивно-оздоровительном лагере</v>
      </c>
      <c r="G12961" s="22" t="s">
        <v>214</v>
      </c>
      <c r="H12961" s="22" t="s">
        <v>214</v>
      </c>
      <c r="I12961" s="26">
        <v>43662.628750000003</v>
      </c>
      <c r="J12961" s="28" t="s">
        <v>51</v>
      </c>
      <c r="K12961" s="28" t="s">
        <v>51</v>
      </c>
      <c r="L12961" s="28" t="s">
        <v>51</v>
      </c>
      <c r="M12961" s="28" t="s">
        <v>51</v>
      </c>
      <c r="N12961" s="28" t="s">
        <v>51</v>
      </c>
    </row>
    <row r="12962" spans="1:14" x14ac:dyDescent="0.15">
      <c r="A12962" s="23" t="str">
        <f>HYPERLINK("https://www.spark-marketing.ru/Card/Person/4353506", "МБОУ ""СОШ № 16""")</f>
        <v>МБОУ "СОШ № 16"</v>
      </c>
      <c r="B12962" s="24" t="s">
        <v>17466</v>
      </c>
      <c r="C12962" s="25">
        <v>860000</v>
      </c>
      <c r="D12962" s="22" t="s">
        <v>17467</v>
      </c>
      <c r="E12962" s="22" t="s">
        <v>48</v>
      </c>
      <c r="F12962" s="23" t="str">
        <f>HYPERLINK("https://www.spark-marketing.ru/Card/Lot/72160631", "Оказание услуг по организации школьного питания")</f>
        <v>Оказание услуг по организации школьного питания</v>
      </c>
      <c r="G12962" s="22" t="s">
        <v>174</v>
      </c>
      <c r="H12962" s="22" t="s">
        <v>174</v>
      </c>
      <c r="I12962" s="26">
        <v>43662.636597222197</v>
      </c>
      <c r="J12962" s="28" t="s">
        <v>51</v>
      </c>
      <c r="K12962" s="28" t="s">
        <v>51</v>
      </c>
      <c r="L12962" s="28" t="s">
        <v>51</v>
      </c>
      <c r="M12962" s="28" t="s">
        <v>51</v>
      </c>
      <c r="N12962" s="28" t="s">
        <v>51</v>
      </c>
    </row>
    <row r="12963" spans="1:14" hidden="1" outlineLevel="1" x14ac:dyDescent="0.2">
      <c r="A12963" s="23" t="str">
        <f>HYPERLINK("https://www.spark-marketing.ru/Card/Person/4353506", "МБОУ ""СОШ № 16""")</f>
        <v>МБОУ "СОШ № 16"</v>
      </c>
      <c r="B12963" s="24" t="s">
        <v>17466</v>
      </c>
      <c r="C12963" s="25">
        <v>860000</v>
      </c>
      <c r="D12963" s="22" t="s">
        <v>17467</v>
      </c>
      <c r="E12963" s="22" t="s">
        <v>48</v>
      </c>
      <c r="F12963" s="23" t="str">
        <f>HYPERLINK("https://www.spark-marketing.ru/Card/Lot/72160631", "Оказание услуг по организации школьного питания")</f>
        <v>Оказание услуг по организации школьного питания</v>
      </c>
      <c r="G12963" s="22" t="s">
        <v>174</v>
      </c>
      <c r="H12963" s="22" t="s">
        <v>174</v>
      </c>
      <c r="I12963" s="26">
        <v>43662.636597222197</v>
      </c>
      <c r="J12963" s="23" t="str">
        <f>HYPERLINK("https://www.spark-marketing.ru/Card/Person/4952099", "ООО ""ТОП""")</f>
        <v>ООО "ТОП"</v>
      </c>
      <c r="K12963" s="24" t="s">
        <v>15133</v>
      </c>
      <c r="L12963" s="28" t="s">
        <v>51</v>
      </c>
      <c r="M12963" s="25">
        <v>475923</v>
      </c>
      <c r="N12963" s="27">
        <v>0.44660116279069767</v>
      </c>
    </row>
    <row r="12964" spans="1:14" ht="12.75" hidden="1" outlineLevel="1" x14ac:dyDescent="0.2">
      <c r="A12964" s="23" t="str">
        <f>HYPERLINK("https://www.spark-marketing.ru/Card/Person/4353506", "МБОУ ""СОШ № 16""")</f>
        <v>МБОУ "СОШ № 16"</v>
      </c>
      <c r="B12964" s="24" t="s">
        <v>17466</v>
      </c>
      <c r="C12964" s="25">
        <v>860000</v>
      </c>
      <c r="D12964" s="22" t="s">
        <v>17467</v>
      </c>
      <c r="E12964" s="22" t="s">
        <v>48</v>
      </c>
      <c r="F12964" s="23" t="str">
        <f>HYPERLINK("https://www.spark-marketing.ru/Card/Lot/72160631", "Оказание услуг по организации школьного питания")</f>
        <v>Оказание услуг по организации школьного питания</v>
      </c>
      <c r="G12964" s="22" t="s">
        <v>174</v>
      </c>
      <c r="H12964" s="22" t="s">
        <v>174</v>
      </c>
      <c r="I12964" s="26">
        <v>43662.636597222197</v>
      </c>
      <c r="J12964" s="23" t="str">
        <f>HYPERLINK("https://www.spark-marketing.ru/Card/Person/243522", "Домрачева Анастасия Александровна")</f>
        <v>Домрачева Анастасия Александровна</v>
      </c>
      <c r="K12964" s="24" t="s">
        <v>17468</v>
      </c>
      <c r="L12964" s="22" t="s">
        <v>10</v>
      </c>
      <c r="M12964" s="25">
        <v>470000</v>
      </c>
      <c r="N12964" s="27">
        <v>0.45348837209302323</v>
      </c>
    </row>
    <row r="12965" spans="1:14" x14ac:dyDescent="0.15">
      <c r="A12965" s="23" t="str">
        <f>HYPERLINK("https://www.spark-marketing.ru/Card/Person/92131", "УПРАВЛЕНИЕ МВД РОССИИ ПО Г.УЛАН-УДЭ")</f>
        <v>УПРАВЛЕНИЕ МВД РОССИИ ПО Г.УЛАН-УДЭ</v>
      </c>
      <c r="B12965" s="24" t="s">
        <v>9425</v>
      </c>
      <c r="C12965" s="25">
        <v>3131537.7</v>
      </c>
      <c r="D12965" s="22" t="s">
        <v>17469</v>
      </c>
      <c r="E12965" s="22" t="s">
        <v>48</v>
      </c>
      <c r="F12965" s="23" t="str">
        <f>HYPERLINK("https://www.spark-marketing.ru/Card/Lot/72133683", "оказание услуг по обеспечению ежедневным трехразовым горячим питанием лиц подозреваемых и обвиняемых в совершении преступлений и лиц, арестованных в административном порядке, содержащихся в изоляторе временного содержания и Дежурной части; оказание у...")</f>
        <v>оказание услуг по обеспечению ежедневным трехразовым горячим питанием лиц подозреваемых и обвиняемых в совершении преступлений и лиц, арестованных в административном порядке, содержащихся в изоляторе временного содержания и Дежурной части; оказание у...</v>
      </c>
      <c r="G12965" s="22" t="s">
        <v>433</v>
      </c>
      <c r="H12965" s="22" t="s">
        <v>974</v>
      </c>
      <c r="I12965" s="26">
        <v>43662.644351851799</v>
      </c>
      <c r="J12965" s="23" t="str">
        <f>HYPERLINK("https://www.spark-marketing.ru/Card/Person/92186", "Гамбулон Елена Цырен-Дашиевна")</f>
        <v>Гамбулон Елена Цырен-Дашиевна</v>
      </c>
      <c r="K12965" s="24" t="s">
        <v>9427</v>
      </c>
      <c r="L12965" s="22" t="s">
        <v>10</v>
      </c>
      <c r="M12965" s="28" t="s">
        <v>51</v>
      </c>
      <c r="N12965" s="28" t="s">
        <v>51</v>
      </c>
    </row>
    <row r="12966" spans="1:14" x14ac:dyDescent="0.15">
      <c r="A12966" s="23" t="str">
        <f>HYPERLINK("https://www.spark-marketing.ru/Card/Person/4414045", "ООО ""СКГК""")</f>
        <v>ООО "СКГК"</v>
      </c>
      <c r="B12966" s="24" t="s">
        <v>17470</v>
      </c>
      <c r="C12966" s="25">
        <v>1091229.74</v>
      </c>
      <c r="D12966" s="22" t="s">
        <v>17471</v>
      </c>
      <c r="E12966" s="22" t="s">
        <v>15886</v>
      </c>
      <c r="F12966" s="23" t="str">
        <f>HYPERLINK("https://www.spark-marketing.ru/Card/Lot/72136745", "Оказание услуг, включающие в себя функции по размещению, проживанию, обеспечению питанием Посетителей, техническое обслуживание Комплекса (совокупность Объектов в соответствии с Перечнем являющимся приложением к договору) и эксплуатация Комплекса")</f>
        <v>Оказание услуг, включающие в себя функции по размещению, проживанию, обеспечению питанием Посетителей, техническое обслуживание Комплекса (совокупность Объектов в соответствии с Перечнем являющимся приложением к договору) и эксплуатация Комплекса</v>
      </c>
      <c r="G12966" s="22" t="s">
        <v>986</v>
      </c>
      <c r="H12966" s="22" t="s">
        <v>986</v>
      </c>
      <c r="I12966" s="26">
        <v>43662.663124999999</v>
      </c>
      <c r="J12966" s="28" t="s">
        <v>51</v>
      </c>
      <c r="K12966" s="28" t="s">
        <v>51</v>
      </c>
      <c r="L12966" s="28" t="s">
        <v>51</v>
      </c>
      <c r="M12966" s="28" t="s">
        <v>51</v>
      </c>
      <c r="N12966" s="28" t="s">
        <v>51</v>
      </c>
    </row>
    <row r="12967" spans="1:14" x14ac:dyDescent="0.15">
      <c r="A12967" s="23" t="str">
        <f>HYPERLINK("https://www.spark-marketing.ru/Card/Person/4376360", "МАОУ СОШ №14 ИМ.В.Ф. ФУФАЧЕВА")</f>
        <v>МАОУ СОШ №14 ИМ.В.Ф. ФУФАЧЕВА</v>
      </c>
      <c r="B12967" s="24" t="s">
        <v>14980</v>
      </c>
      <c r="C12967" s="25">
        <v>4431374.7</v>
      </c>
      <c r="D12967" s="22" t="s">
        <v>17472</v>
      </c>
      <c r="E12967" s="22" t="s">
        <v>362</v>
      </c>
      <c r="F12967" s="23" t="str">
        <f>HYPERLINK("https://www.spark-marketing.ru/Card/Lot/72137005", "Оказание услуг по организации и обеспечению горячим питанием обучающихся")</f>
        <v>Оказание услуг по организации и обеспечению горячим питанием обучающихся</v>
      </c>
      <c r="G12967" s="22" t="s">
        <v>174</v>
      </c>
      <c r="H12967" s="22" t="s">
        <v>174</v>
      </c>
      <c r="I12967" s="26">
        <v>43662.636597222197</v>
      </c>
      <c r="J12967" s="28" t="s">
        <v>51</v>
      </c>
      <c r="K12967" s="28" t="s">
        <v>51</v>
      </c>
      <c r="L12967" s="28" t="s">
        <v>51</v>
      </c>
      <c r="M12967" s="28" t="s">
        <v>51</v>
      </c>
      <c r="N12967" s="28" t="s">
        <v>51</v>
      </c>
    </row>
    <row r="12968" spans="1:14" x14ac:dyDescent="0.2">
      <c r="A12968" s="23" t="str">
        <f>HYPERLINK("https://www.spark-marketing.ru/Card/Person/1230980", "ГАПОУ КО ""ЛИТ""")</f>
        <v>ГАПОУ КО "ЛИТ"</v>
      </c>
      <c r="B12968" s="24" t="s">
        <v>17473</v>
      </c>
      <c r="C12968" s="25">
        <v>1806000</v>
      </c>
      <c r="D12968" s="22" t="s">
        <v>17474</v>
      </c>
      <c r="E12968" s="22" t="s">
        <v>17475</v>
      </c>
      <c r="F12968" s="23" t="str">
        <f>HYPERLINK("https://www.spark-marketing.ru/Card/Lot/72136700", "Оказание услуг по организации питания (обедов) для студентов с сентября 2019 года")</f>
        <v>Оказание услуг по организации питания (обедов) для студентов с сентября 2019 года</v>
      </c>
      <c r="G12968" s="22" t="s">
        <v>112</v>
      </c>
      <c r="H12968" s="22" t="s">
        <v>3977</v>
      </c>
      <c r="I12968" s="26">
        <v>43662.651238425897</v>
      </c>
      <c r="J12968" s="28" t="s">
        <v>51</v>
      </c>
      <c r="K12968" s="28" t="s">
        <v>51</v>
      </c>
      <c r="L12968" s="22" t="s">
        <v>10</v>
      </c>
      <c r="M12968" s="25">
        <v>1806000</v>
      </c>
      <c r="N12968" s="27">
        <v>0</v>
      </c>
    </row>
    <row r="12969" spans="1:14" x14ac:dyDescent="0.15">
      <c r="A12969" s="23" t="str">
        <f>HYPERLINK("https://www.spark-marketing.ru/Card/Person/1020898", "МБУ ДО""УСТЬЯНСКАЯ ДЮСШ""")</f>
        <v>МБУ ДО"УСТЬЯНСКАЯ ДЮСШ"</v>
      </c>
      <c r="B12969" s="24" t="s">
        <v>12821</v>
      </c>
      <c r="C12969" s="25">
        <v>539000</v>
      </c>
      <c r="D12969" s="22" t="s">
        <v>17476</v>
      </c>
      <c r="E12969" s="22" t="s">
        <v>362</v>
      </c>
      <c r="F12969" s="23" t="str">
        <f>HYPERLINK("https://www.spark-marketing.ru/Card/Lot/72136631", "Услуги по предоставлению питания детей в оздоровительных лагерях")</f>
        <v>Услуги по предоставлению питания детей в оздоровительных лагерях</v>
      </c>
      <c r="G12969" s="22" t="s">
        <v>214</v>
      </c>
      <c r="H12969" s="22" t="s">
        <v>214</v>
      </c>
      <c r="I12969" s="26">
        <v>43662.621782407397</v>
      </c>
      <c r="J12969" s="28" t="s">
        <v>51</v>
      </c>
      <c r="K12969" s="28" t="s">
        <v>51</v>
      </c>
      <c r="L12969" s="28" t="s">
        <v>51</v>
      </c>
      <c r="M12969" s="28" t="s">
        <v>51</v>
      </c>
      <c r="N12969" s="28" t="s">
        <v>51</v>
      </c>
    </row>
    <row r="12970" spans="1:14" x14ac:dyDescent="0.15">
      <c r="A12970" s="23" t="str">
        <f>HYPERLINK("https://www.spark-marketing.ru/Card/Person/740673", "ГБУ РК ""ЦСЗН СЫКТЫВДИНСКОГО РАЙОНА""")</f>
        <v>ГБУ РК "ЦСЗН СЫКТЫВДИНСКОГО РАЙОНА"</v>
      </c>
      <c r="B12970" s="24" t="s">
        <v>17416</v>
      </c>
      <c r="C12970" s="25">
        <v>41225.25</v>
      </c>
      <c r="D12970" s="22" t="s">
        <v>17477</v>
      </c>
      <c r="E12970" s="22" t="s">
        <v>976</v>
      </c>
      <c r="F12970" s="23" t="str">
        <f>HYPERLINK("https://www.spark-marketing.ru/Card/Lot/72127977", "Поставка мяса и мясной продукции в 3 квартале 2019 года для нужд Государственного бюджетного учреждения Республики Коми «Центр по предоставлению государственных услуг в сфере социальной защиты населения Сыктывдинского района»")</f>
        <v>Поставка мяса и мясной продукции в 3 квартале 2019 года для нужд Государственного бюджетного учреждения Республики Коми «Центр по предоставлению государственных услуг в сфере социальной защиты населения Сыктывдинского района»</v>
      </c>
      <c r="G12970" s="22" t="s">
        <v>271</v>
      </c>
      <c r="H12970" s="22" t="s">
        <v>10847</v>
      </c>
      <c r="I12970" s="26">
        <v>43662.606724537</v>
      </c>
      <c r="J12970" s="23" t="str">
        <f>HYPERLINK("https://www.spark-marketing.ru/Card/Person/312545", "Булыгина Надежда Нифантьевна")</f>
        <v>Булыгина Надежда Нифантьевна</v>
      </c>
      <c r="K12970" s="24" t="s">
        <v>17456</v>
      </c>
      <c r="L12970" s="22" t="s">
        <v>10</v>
      </c>
      <c r="M12970" s="28" t="s">
        <v>51</v>
      </c>
      <c r="N12970" s="28" t="s">
        <v>51</v>
      </c>
    </row>
    <row r="12971" spans="1:14" x14ac:dyDescent="0.15">
      <c r="A12971" s="23" t="str">
        <f>HYPERLINK("https://www.spark-marketing.ru/Card/Person/11603", "ГБУЗ РБ ИГЛИНСКАЯ ЦРБ")</f>
        <v>ГБУЗ РБ ИГЛИНСКАЯ ЦРБ</v>
      </c>
      <c r="B12971" s="24" t="s">
        <v>17478</v>
      </c>
      <c r="C12971" s="25">
        <v>2396210</v>
      </c>
      <c r="D12971" s="22" t="s">
        <v>17479</v>
      </c>
      <c r="E12971" s="22" t="s">
        <v>48</v>
      </c>
      <c r="F12971" s="23" t="str">
        <f>HYPERLINK("https://www.spark-marketing.ru/Card/Lot/72133322", "Оказание услуг по организации лечебного питания стационарных больных с.Иглино")</f>
        <v>Оказание услуг по организации лечебного питания стационарных больных с.Иглино</v>
      </c>
      <c r="G12971" s="22" t="s">
        <v>145</v>
      </c>
      <c r="H12971" s="22" t="s">
        <v>17480</v>
      </c>
      <c r="I12971" s="26">
        <v>43662.617071759298</v>
      </c>
      <c r="J12971" s="23" t="str">
        <f>HYPERLINK("https://www.spark-marketing.ru/Card/Person/200609", "ПК ""КОНДИТЕР""")</f>
        <v>ПК "КОНДИТЕР"</v>
      </c>
      <c r="K12971" s="24" t="s">
        <v>17481</v>
      </c>
      <c r="L12971" s="22" t="s">
        <v>10</v>
      </c>
      <c r="M12971" s="28" t="s">
        <v>51</v>
      </c>
      <c r="N12971" s="28" t="s">
        <v>51</v>
      </c>
    </row>
    <row r="12972" spans="1:14" x14ac:dyDescent="0.15">
      <c r="A12972" s="23" t="str">
        <f>HYPERLINK("https://www.spark-marketing.ru/Card/Person/1036567", "ОМВД РОССИИ ПО Г. УРАЮ")</f>
        <v>ОМВД РОССИИ ПО Г. УРАЮ</v>
      </c>
      <c r="B12972" s="24" t="s">
        <v>8940</v>
      </c>
      <c r="C12972" s="25">
        <v>696600</v>
      </c>
      <c r="D12972" s="22" t="s">
        <v>17482</v>
      </c>
      <c r="E12972" s="22" t="s">
        <v>48</v>
      </c>
      <c r="F12972" s="23" t="str">
        <f>HYPERLINK("https://www.spark-marketing.ru/Card/Lot/72131329", "на оказание услуг по организации ежедневного трехразового горячего питания для содержащихся в изоляторе временного содержания ОМВД России по г.Ураю у СМП")</f>
        <v>на оказание услуг по организации ежедневного трехразового горячего питания для содержащихся в изоляторе временного содержания ОМВД России по г.Ураю у СМП</v>
      </c>
      <c r="G12972" s="22" t="s">
        <v>97</v>
      </c>
      <c r="H12972" s="22" t="s">
        <v>8942</v>
      </c>
      <c r="I12972" s="26">
        <v>43662.5871064815</v>
      </c>
      <c r="J12972" s="23" t="str">
        <f>HYPERLINK("https://www.spark-marketing.ru/Card/Person/6258248", "Иноземцев Владимир Николаевич")</f>
        <v>Иноземцев Владимир Николаевич</v>
      </c>
      <c r="K12972" s="24" t="s">
        <v>17483</v>
      </c>
      <c r="L12972" s="22" t="s">
        <v>10</v>
      </c>
      <c r="M12972" s="28" t="s">
        <v>51</v>
      </c>
      <c r="N12972" s="28" t="s">
        <v>51</v>
      </c>
    </row>
    <row r="12973" spans="1:14" x14ac:dyDescent="0.15">
      <c r="A12973" s="23" t="str">
        <f>HYPERLINK("https://www.spark-marketing.ru/Card/Person/5816964", "ГБУЗ ПК ""КККВД""")</f>
        <v>ГБУЗ ПК "КККВД"</v>
      </c>
      <c r="B12973" s="24" t="s">
        <v>4177</v>
      </c>
      <c r="C12973" s="25">
        <v>967285</v>
      </c>
      <c r="D12973" s="22" t="s">
        <v>17484</v>
      </c>
      <c r="E12973" s="22" t="s">
        <v>96</v>
      </c>
      <c r="F12973" s="23" t="str">
        <f>HYPERLINK("https://www.spark-marketing.ru/Card/Lot/72144506", "Оказание услуг по организации питания в Кунгурском филиале ГБУЗ ПК «КККВД»")</f>
        <v>Оказание услуг по организации питания в Кунгурском филиале ГБУЗ ПК «КККВД»</v>
      </c>
      <c r="G12973" s="22" t="s">
        <v>153</v>
      </c>
      <c r="H12973" s="22" t="s">
        <v>153</v>
      </c>
      <c r="I12973" s="26">
        <v>43662.606770833299</v>
      </c>
      <c r="J12973" s="23" t="str">
        <f>HYPERLINK("https://www.spark-marketing.ru/Card/Person/6491716", "Кириенко Аида Габдулманнановна")</f>
        <v>Кириенко Аида Габдулманнановна</v>
      </c>
      <c r="K12973" s="24" t="s">
        <v>17485</v>
      </c>
      <c r="L12973" s="22" t="s">
        <v>10</v>
      </c>
      <c r="M12973" s="28" t="s">
        <v>51</v>
      </c>
      <c r="N12973" s="28" t="s">
        <v>51</v>
      </c>
    </row>
    <row r="12974" spans="1:14" x14ac:dyDescent="0.15">
      <c r="A12974" s="23" t="str">
        <f>HYPERLINK("https://www.spark-marketing.ru/Card/Person/7586", "ГУ-КРАСНОДАРСКОЕ РО ФОНДА СОЦИАЛЬНОГО СТРАХОВАНИЯ РОССИЙСКОЙ ФЕДЕРАЦИИ")</f>
        <v>ГУ-КРАСНОДАРСКОЕ РО ФОНДА СОЦИАЛЬНОГО СТРАХОВАНИЯ РОССИЙСКОЙ ФЕДЕРАЦИИ</v>
      </c>
      <c r="B12974" s="24" t="s">
        <v>17486</v>
      </c>
      <c r="C12974" s="25">
        <v>3593376</v>
      </c>
      <c r="D12974" s="22" t="s">
        <v>17487</v>
      </c>
      <c r="E12974" s="22" t="s">
        <v>86</v>
      </c>
      <c r="F12974" s="23" t="str">
        <f>HYPERLINK("https://www.spark-marketing.ru/Card/Lot/72133649", "Оказание услуг по санаторно-курортному лечению граждан, имеющих право на получение государственной социальной помощи в виде набора социальных услуг с заболеваниями эндокринной системы, в 2019 году")</f>
        <v>Оказание услуг по санаторно-курортному лечению граждан, имеющих право на получение государственной социальной помощи в виде набора социальных услуг с заболеваниями эндокринной системы, в 2019 году</v>
      </c>
      <c r="G12974" s="22" t="s">
        <v>104</v>
      </c>
      <c r="H12974" s="22" t="s">
        <v>120</v>
      </c>
      <c r="I12974" s="26">
        <v>43662.6184953704</v>
      </c>
      <c r="J12974" s="23" t="str">
        <f>HYPERLINK("https://www.spark-marketing.ru/Card/Person/4345289", "ООО ""САНАТОРИЙ ""РУСЬ""")</f>
        <v>ООО "САНАТОРИЙ "РУСЬ"</v>
      </c>
      <c r="K12974" s="24" t="s">
        <v>11845</v>
      </c>
      <c r="L12974" s="22" t="s">
        <v>10</v>
      </c>
      <c r="M12974" s="28" t="s">
        <v>51</v>
      </c>
      <c r="N12974" s="28" t="s">
        <v>51</v>
      </c>
    </row>
    <row r="12975" spans="1:14" x14ac:dyDescent="0.15">
      <c r="A12975" s="23" t="str">
        <f>HYPERLINK("https://www.spark-marketing.ru/Card/Person/1051384", "МБОУ ""СШ № 23""")</f>
        <v>МБОУ "СШ № 23"</v>
      </c>
      <c r="B12975" s="24" t="s">
        <v>12691</v>
      </c>
      <c r="C12975" s="25">
        <v>455544</v>
      </c>
      <c r="D12975" s="22" t="s">
        <v>17488</v>
      </c>
      <c r="E12975" s="22" t="s">
        <v>48</v>
      </c>
      <c r="F12975" s="23" t="str">
        <f>HYPERLINK("https://www.spark-marketing.ru/Card/Lot/72130806", "Оказание услуг по организации горячего питания и обеспечению горячим питанием учащихся МБОУ ""СШ № 23""")</f>
        <v>Оказание услуг по организации горячего питания и обеспечению горячим питанием учащихся МБОУ "СШ № 23"</v>
      </c>
      <c r="G12975" s="22" t="s">
        <v>460</v>
      </c>
      <c r="H12975" s="22" t="s">
        <v>461</v>
      </c>
      <c r="I12975" s="26">
        <v>43662.586365740703</v>
      </c>
      <c r="J12975" s="28" t="s">
        <v>51</v>
      </c>
      <c r="K12975" s="28" t="s">
        <v>51</v>
      </c>
      <c r="L12975" s="28" t="s">
        <v>51</v>
      </c>
      <c r="M12975" s="28" t="s">
        <v>51</v>
      </c>
      <c r="N12975" s="28" t="s">
        <v>51</v>
      </c>
    </row>
    <row r="12976" spans="1:14" x14ac:dyDescent="0.15">
      <c r="A12976" s="23" t="str">
        <f>HYPERLINK("https://www.spark-marketing.ru/Card/Person/1065700", "МБОУ СОШ №6")</f>
        <v>МБОУ СОШ №6</v>
      </c>
      <c r="B12976" s="24" t="s">
        <v>17489</v>
      </c>
      <c r="C12976" s="25">
        <v>2765672</v>
      </c>
      <c r="D12976" s="22" t="s">
        <v>17490</v>
      </c>
      <c r="E12976" s="22" t="s">
        <v>48</v>
      </c>
      <c r="F12976" s="23" t="str">
        <f>HYPERLINK("https://www.spark-marketing.ru/Card/Lot/72133280", "Оказание услуг по организации горячего школьного питания")</f>
        <v>Оказание услуг по организации горячего школьного питания</v>
      </c>
      <c r="G12976" s="22" t="s">
        <v>766</v>
      </c>
      <c r="H12976" s="22" t="s">
        <v>766</v>
      </c>
      <c r="I12976" s="26">
        <v>43662.564768518503</v>
      </c>
      <c r="J12976" s="23" t="str">
        <f>HYPERLINK("https://www.spark-marketing.ru/Card/Person/1504584", "ООО ""БИЗНЕС ФУД""")</f>
        <v>ООО "БИЗНЕС ФУД"</v>
      </c>
      <c r="K12976" s="24" t="s">
        <v>17491</v>
      </c>
      <c r="L12976" s="22" t="s">
        <v>10</v>
      </c>
      <c r="M12976" s="28" t="s">
        <v>51</v>
      </c>
      <c r="N12976" s="28" t="s">
        <v>51</v>
      </c>
    </row>
    <row r="12977" spans="1:14" x14ac:dyDescent="0.15">
      <c r="A12977" s="23" t="str">
        <f>HYPERLINK("https://www.spark-marketing.ru/Card/Person/4349427", "АЛТАЙСКОЕ КРАЕВОЕ ЗАКОНОДАТЕЛЬНОЕ СОБРАНИЕ")</f>
        <v>АЛТАЙСКОЕ КРАЕВОЕ ЗАКОНОДАТЕЛЬНОЕ СОБРАНИЕ</v>
      </c>
      <c r="B12977" s="24" t="s">
        <v>17492</v>
      </c>
      <c r="C12977" s="25">
        <v>14945</v>
      </c>
      <c r="D12977" s="22" t="s">
        <v>17493</v>
      </c>
      <c r="E12977" s="22" t="s">
        <v>1166</v>
      </c>
      <c r="F12977" s="23" t="str">
        <f>HYPERLINK("https://www.spark-marketing.ru/Card/Lot/72119090", "Утилизация картриджа струйного принтера")</f>
        <v>Утилизация картриджа струйного принтера</v>
      </c>
      <c r="G12977" s="22" t="s">
        <v>63</v>
      </c>
      <c r="H12977" s="22" t="s">
        <v>177</v>
      </c>
      <c r="I12977" s="26">
        <v>43662.556250000001</v>
      </c>
      <c r="J12977" s="28" t="s">
        <v>51</v>
      </c>
      <c r="K12977" s="28" t="s">
        <v>51</v>
      </c>
      <c r="L12977" s="28" t="s">
        <v>51</v>
      </c>
      <c r="M12977" s="28" t="s">
        <v>51</v>
      </c>
      <c r="N12977" s="28" t="s">
        <v>51</v>
      </c>
    </row>
    <row r="12978" spans="1:14" x14ac:dyDescent="0.15">
      <c r="A12978" s="23" t="str">
        <f>HYPERLINK("https://www.spark-marketing.ru/Card/Person/423670", "МОУ ""ОТРАДНЕНСКАЯ СОШ""")</f>
        <v>МОУ "ОТРАДНЕНСКАЯ СОШ"</v>
      </c>
      <c r="B12978" s="24" t="s">
        <v>17494</v>
      </c>
      <c r="C12978" s="25">
        <v>676044</v>
      </c>
      <c r="D12978" s="22" t="s">
        <v>17495</v>
      </c>
      <c r="E12978" s="22" t="s">
        <v>48</v>
      </c>
      <c r="F12978" s="23" t="str">
        <f>HYPERLINK("https://www.spark-marketing.ru/Card/Lot/72135086", "оказание услуг по организации горячего питания обучающихся МОУ «Отрадненская СОШ» по социальному заказу на период сентябрь-декабрь 2019 г")</f>
        <v>оказание услуг по организации горячего питания обучающихся МОУ «Отрадненская СОШ» по социальному заказу на период сентябрь-декабрь 2019 г</v>
      </c>
      <c r="G12978" s="22" t="s">
        <v>162</v>
      </c>
      <c r="H12978" s="22" t="s">
        <v>14517</v>
      </c>
      <c r="I12978" s="26">
        <v>43662.541099536997</v>
      </c>
      <c r="J12978" s="28" t="s">
        <v>51</v>
      </c>
      <c r="K12978" s="28" t="s">
        <v>51</v>
      </c>
      <c r="L12978" s="28" t="s">
        <v>51</v>
      </c>
      <c r="M12978" s="28" t="s">
        <v>51</v>
      </c>
      <c r="N12978" s="28" t="s">
        <v>51</v>
      </c>
    </row>
    <row r="12979" spans="1:14" hidden="1" outlineLevel="1" x14ac:dyDescent="0.2">
      <c r="A12979" s="23" t="str">
        <f>HYPERLINK("https://www.spark-marketing.ru/Card/Person/423670", "МОУ ""ОТРАДНЕНСКАЯ СОШ""")</f>
        <v>МОУ "ОТРАДНЕНСКАЯ СОШ"</v>
      </c>
      <c r="B12979" s="24" t="s">
        <v>17494</v>
      </c>
      <c r="C12979" s="25">
        <v>676044</v>
      </c>
      <c r="D12979" s="22" t="s">
        <v>17495</v>
      </c>
      <c r="E12979" s="22" t="s">
        <v>48</v>
      </c>
      <c r="F12979" s="23" t="str">
        <f>HYPERLINK("https://www.spark-marketing.ru/Card/Lot/72135086", "оказание услуг по организации горячего питания обучающихся МОУ «Отрадненская СОШ» по социальному заказу на период сентябрь-декабрь 2019 г")</f>
        <v>оказание услуг по организации горячего питания обучающихся МОУ «Отрадненская СОШ» по социальному заказу на период сентябрь-декабрь 2019 г</v>
      </c>
      <c r="G12979" s="22" t="s">
        <v>162</v>
      </c>
      <c r="H12979" s="22" t="s">
        <v>14517</v>
      </c>
      <c r="I12979" s="26">
        <v>43662.541099536997</v>
      </c>
      <c r="J12979" s="23" t="str">
        <f>HYPERLINK("https://www.spark-marketing.ru/Card/Person/1278170", "Зайцева Ольга Вениаминовна")</f>
        <v>Зайцева Ольга Вениаминовна</v>
      </c>
      <c r="K12979" s="24" t="s">
        <v>17496</v>
      </c>
      <c r="L12979" s="28" t="s">
        <v>51</v>
      </c>
      <c r="M12979" s="25">
        <v>676044</v>
      </c>
      <c r="N12979" s="27">
        <v>0</v>
      </c>
    </row>
    <row r="12980" spans="1:14" ht="12.75" hidden="1" outlineLevel="1" x14ac:dyDescent="0.2">
      <c r="A12980" s="23" t="str">
        <f>HYPERLINK("https://www.spark-marketing.ru/Card/Person/423670", "МОУ ""ОТРАДНЕНСКАЯ СОШ""")</f>
        <v>МОУ "ОТРАДНЕНСКАЯ СОШ"</v>
      </c>
      <c r="B12980" s="24" t="s">
        <v>17494</v>
      </c>
      <c r="C12980" s="25">
        <v>676044</v>
      </c>
      <c r="D12980" s="22" t="s">
        <v>17495</v>
      </c>
      <c r="E12980" s="22" t="s">
        <v>48</v>
      </c>
      <c r="F12980" s="23" t="str">
        <f>HYPERLINK("https://www.spark-marketing.ru/Card/Lot/72135086", "оказание услуг по организации горячего питания обучающихся МОУ «Отрадненская СОШ» по социальному заказу на период сентябрь-декабрь 2019 г")</f>
        <v>оказание услуг по организации горячего питания обучающихся МОУ «Отрадненская СОШ» по социальному заказу на период сентябрь-декабрь 2019 г</v>
      </c>
      <c r="G12980" s="22" t="s">
        <v>162</v>
      </c>
      <c r="H12980" s="22" t="s">
        <v>14517</v>
      </c>
      <c r="I12980" s="26">
        <v>43662.541099536997</v>
      </c>
      <c r="J12980" s="23" t="str">
        <f>HYPERLINK("https://www.spark-marketing.ru/Card/Person/1278347", "Василисков Сергей Николаевич")</f>
        <v>Василисков Сергей Николаевич</v>
      </c>
      <c r="K12980" s="24" t="s">
        <v>17497</v>
      </c>
      <c r="L12980" s="22" t="s">
        <v>10</v>
      </c>
      <c r="M12980" s="25">
        <v>670000</v>
      </c>
      <c r="N12980" s="27">
        <v>8.9402464928318281E-3</v>
      </c>
    </row>
    <row r="12981" spans="1:14" x14ac:dyDescent="0.15">
      <c r="A12981" s="23" t="str">
        <f>HYPERLINK("https://www.spark-marketing.ru/Card/Person/58920", "ФГБУ ""ХАБАРОВСКИЙ АСЦ МЧС РОССИИ""")</f>
        <v>ФГБУ "ХАБАРОВСКИЙ АСЦ МЧС РОССИИ"</v>
      </c>
      <c r="B12981" s="24" t="s">
        <v>4752</v>
      </c>
      <c r="C12981" s="25">
        <v>1848000</v>
      </c>
      <c r="D12981" s="22" t="s">
        <v>17498</v>
      </c>
      <c r="E12981" s="22" t="s">
        <v>48</v>
      </c>
      <c r="F12981" s="23" t="str">
        <f>HYPERLINK("https://www.spark-marketing.ru/Card/Lot/72133533", "Оказание услуг по организации питания экипажа на МИ-8 в г. Якутск")</f>
        <v>Оказание услуг по организации питания экипажа на МИ-8 в г. Якутск</v>
      </c>
      <c r="G12981" s="22" t="s">
        <v>1096</v>
      </c>
      <c r="H12981" s="22" t="s">
        <v>1097</v>
      </c>
      <c r="I12981" s="26">
        <v>43662.520925925899</v>
      </c>
      <c r="J12981" s="28" t="s">
        <v>51</v>
      </c>
      <c r="K12981" s="28" t="s">
        <v>51</v>
      </c>
      <c r="L12981" s="28" t="s">
        <v>51</v>
      </c>
      <c r="M12981" s="28" t="s">
        <v>51</v>
      </c>
      <c r="N12981" s="28" t="s">
        <v>51</v>
      </c>
    </row>
    <row r="12982" spans="1:14" x14ac:dyDescent="0.15">
      <c r="A12982" s="23" t="str">
        <f>HYPERLINK("https://www.spark-marketing.ru/Card/Person/1027439", "МБОУ ""СОШ № 7""")</f>
        <v>МБОУ "СОШ № 7"</v>
      </c>
      <c r="B12982" s="24" t="s">
        <v>17499</v>
      </c>
      <c r="C12982" s="25">
        <v>5384369.1200000001</v>
      </c>
      <c r="D12982" s="22" t="s">
        <v>17500</v>
      </c>
      <c r="E12982" s="22" t="s">
        <v>96</v>
      </c>
      <c r="F12982" s="23" t="str">
        <f>HYPERLINK("https://www.spark-marketing.ru/Card/Lot/72134070", "Оказание услуг по организации и обеспечению горячего питания для учащихся из многодетных малоимущих, малоимущих семей и учащихся с ограниченными возможностями здоровья")</f>
        <v>Оказание услуг по организации и обеспечению горячего питания для учащихся из многодетных малоимущих, малоимущих семей и учащихся с ограниченными возможностями здоровья</v>
      </c>
      <c r="G12982" s="22" t="s">
        <v>153</v>
      </c>
      <c r="H12982" s="22" t="s">
        <v>153</v>
      </c>
      <c r="I12982" s="26">
        <v>43662.502326388902</v>
      </c>
      <c r="J12982" s="28" t="s">
        <v>51</v>
      </c>
      <c r="K12982" s="28" t="s">
        <v>51</v>
      </c>
      <c r="L12982" s="28" t="s">
        <v>51</v>
      </c>
      <c r="M12982" s="28" t="s">
        <v>51</v>
      </c>
      <c r="N12982" s="28" t="s">
        <v>51</v>
      </c>
    </row>
    <row r="12983" spans="1:14" hidden="1" outlineLevel="1" x14ac:dyDescent="0.2">
      <c r="A12983" s="23" t="str">
        <f>HYPERLINK("https://www.spark-marketing.ru/Card/Person/1027439", "МБОУ ""СОШ № 7""")</f>
        <v>МБОУ "СОШ № 7"</v>
      </c>
      <c r="B12983" s="24" t="s">
        <v>17499</v>
      </c>
      <c r="C12983" s="25">
        <v>5384369.1200000001</v>
      </c>
      <c r="D12983" s="22" t="s">
        <v>17500</v>
      </c>
      <c r="E12983" s="22" t="s">
        <v>96</v>
      </c>
      <c r="F12983" s="23" t="str">
        <f>HYPERLINK("https://www.spark-marketing.ru/Card/Lot/72134070", "Оказание услуг по организации и обеспечению горячего питания для учащихся из многодетных малоимущих, малоимущих семей и учащихся с ограниченными возможностями здоровья")</f>
        <v>Оказание услуг по организации и обеспечению горячего питания для учащихся из многодетных малоимущих, малоимущих семей и учащихся с ограниченными возможностями здоровья</v>
      </c>
      <c r="G12983" s="22" t="s">
        <v>153</v>
      </c>
      <c r="H12983" s="22" t="s">
        <v>153</v>
      </c>
      <c r="I12983" s="26">
        <v>43662.502326388902</v>
      </c>
      <c r="J12983" s="23" t="str">
        <f>HYPERLINK("https://www.spark-marketing.ru/Card/Person/1403152", "ООО ""ВЕСТА""")</f>
        <v>ООО "ВЕСТА"</v>
      </c>
      <c r="K12983" s="24" t="s">
        <v>17501</v>
      </c>
      <c r="L12983" s="28" t="s">
        <v>51</v>
      </c>
      <c r="M12983" s="25">
        <v>5357447.2699999996</v>
      </c>
      <c r="N12983" s="27">
        <v>5.0000008171802307E-3</v>
      </c>
    </row>
    <row r="12984" spans="1:14" ht="12.75" hidden="1" outlineLevel="1" x14ac:dyDescent="0.2">
      <c r="A12984" s="23" t="str">
        <f>HYPERLINK("https://www.spark-marketing.ru/Card/Person/1027439", "МБОУ ""СОШ № 7""")</f>
        <v>МБОУ "СОШ № 7"</v>
      </c>
      <c r="B12984" s="24" t="s">
        <v>17499</v>
      </c>
      <c r="C12984" s="25">
        <v>5384369.1200000001</v>
      </c>
      <c r="D12984" s="22" t="s">
        <v>17500</v>
      </c>
      <c r="E12984" s="22" t="s">
        <v>96</v>
      </c>
      <c r="F12984" s="23" t="str">
        <f>HYPERLINK("https://www.spark-marketing.ru/Card/Lot/72134070", "Оказание услуг по организации и обеспечению горячего питания для учащихся из многодетных малоимущих, малоимущих семей и учащихся с ограниченными возможностями здоровья")</f>
        <v>Оказание услуг по организации и обеспечению горячего питания для учащихся из многодетных малоимущих, малоимущих семей и учащихся с ограниченными возможностями здоровья</v>
      </c>
      <c r="G12984" s="22" t="s">
        <v>153</v>
      </c>
      <c r="H12984" s="22" t="s">
        <v>153</v>
      </c>
      <c r="I12984" s="26">
        <v>43662.502326388902</v>
      </c>
      <c r="J12984" s="23" t="str">
        <f>HYPERLINK("https://www.spark-marketing.ru/Card/Person/1408474", "Манин Сергей Борисович")</f>
        <v>Манин Сергей Борисович</v>
      </c>
      <c r="K12984" s="24" t="s">
        <v>14171</v>
      </c>
      <c r="L12984" s="22" t="s">
        <v>10</v>
      </c>
      <c r="M12984" s="25">
        <v>5330525.42</v>
      </c>
      <c r="N12984" s="27">
        <v>1.0000001634360461E-2</v>
      </c>
    </row>
    <row r="12985" spans="1:14" x14ac:dyDescent="0.15">
      <c r="A12985" s="23" t="str">
        <f>HYPERLINK("https://www.spark-marketing.ru/Card/Person/6440540", "ГБКУЗ ЯО ""ЦГБ""")</f>
        <v>ГБКУЗ ЯО "ЦГБ"</v>
      </c>
      <c r="B12985" s="24" t="s">
        <v>17502</v>
      </c>
      <c r="C12985" s="25">
        <v>10302000</v>
      </c>
      <c r="D12985" s="22" t="s">
        <v>17503</v>
      </c>
      <c r="E12985" s="22" t="s">
        <v>48</v>
      </c>
      <c r="F12985" s="23" t="str">
        <f>HYPERLINK("https://www.spark-marketing.ru/Card/Lot/72134405", "Оказание услуг по организации и доставке горячего питания")</f>
        <v>Оказание услуг по организации и доставке горячего питания</v>
      </c>
      <c r="G12985" s="22" t="s">
        <v>185</v>
      </c>
      <c r="H12985" s="22" t="s">
        <v>3365</v>
      </c>
      <c r="I12985" s="26">
        <v>43662.512152777803</v>
      </c>
      <c r="J12985" s="23" t="str">
        <f>HYPERLINK("https://www.spark-marketing.ru/Card/Person/59339", "ООО ""КОМБИНАТ СОЦИАЛЬНОГО ПИТАНИЯ""")</f>
        <v>ООО "КОМБИНАТ СОЦИАЛЬНОГО ПИТАНИЯ"</v>
      </c>
      <c r="K12985" s="24" t="s">
        <v>10821</v>
      </c>
      <c r="L12985" s="28" t="s">
        <v>51</v>
      </c>
      <c r="M12985" s="28" t="s">
        <v>51</v>
      </c>
      <c r="N12985" s="28" t="s">
        <v>51</v>
      </c>
    </row>
    <row r="12986" spans="1:14" ht="12.75" hidden="1" outlineLevel="1" x14ac:dyDescent="0.2">
      <c r="A12986" s="23" t="str">
        <f>HYPERLINK("https://www.spark-marketing.ru/Card/Person/6440540", "ГБКУЗ ЯО ""ЦГБ""")</f>
        <v>ГБКУЗ ЯО "ЦГБ"</v>
      </c>
      <c r="B12986" s="24" t="s">
        <v>17502</v>
      </c>
      <c r="C12986" s="25">
        <v>10302000</v>
      </c>
      <c r="D12986" s="22" t="s">
        <v>17503</v>
      </c>
      <c r="E12986" s="22" t="s">
        <v>48</v>
      </c>
      <c r="F12986" s="23" t="str">
        <f>HYPERLINK("https://www.spark-marketing.ru/Card/Lot/72134405", "Оказание услуг по организации и доставке горячего питания")</f>
        <v>Оказание услуг по организации и доставке горячего питания</v>
      </c>
      <c r="G12986" s="22" t="s">
        <v>185</v>
      </c>
      <c r="H12986" s="22" t="s">
        <v>3365</v>
      </c>
      <c r="I12986" s="26">
        <v>43662.512152777803</v>
      </c>
      <c r="J12986" s="23" t="str">
        <f>HYPERLINK("https://www.spark-marketing.ru/Card/Person/59339", "ООО ""КОМБИНАТ СОЦИАЛЬНОГО ПИТАНИЯ""")</f>
        <v>ООО "КОМБИНАТ СОЦИАЛЬНОГО ПИТАНИЯ"</v>
      </c>
      <c r="K12986" s="24" t="s">
        <v>10821</v>
      </c>
      <c r="L12986" s="22" t="s">
        <v>10</v>
      </c>
      <c r="M12986" s="25">
        <v>10250490</v>
      </c>
      <c r="N12986" s="27">
        <v>5.0000000000000001E-3</v>
      </c>
    </row>
    <row r="12987" spans="1:14" x14ac:dyDescent="0.2">
      <c r="A12987" s="23" t="str">
        <f>HYPERLINK("https://www.spark-marketing.ru/Card/Person/1763178", "МАОУ БАЙКАЛОВСКАЯ СОШ")</f>
        <v>МАОУ БАЙКАЛОВСКАЯ СОШ</v>
      </c>
      <c r="B12987" s="24" t="s">
        <v>17504</v>
      </c>
      <c r="C12987" s="25">
        <v>106575</v>
      </c>
      <c r="D12987" s="22" t="s">
        <v>17505</v>
      </c>
      <c r="E12987" s="22" t="s">
        <v>362</v>
      </c>
      <c r="F12987" s="23" t="str">
        <f>HYPERLINK("https://www.spark-marketing.ru/Card/Lot/72136576", "Оказание услуг по организации питания детей в летнем лагере дневного пребывания")</f>
        <v>Оказание услуг по организации питания детей в летнем лагере дневного пребывания</v>
      </c>
      <c r="G12987" s="22" t="s">
        <v>766</v>
      </c>
      <c r="H12987" s="22" t="s">
        <v>766</v>
      </c>
      <c r="I12987" s="26">
        <v>43662.517372685201</v>
      </c>
      <c r="J12987" s="28" t="s">
        <v>51</v>
      </c>
      <c r="K12987" s="28" t="s">
        <v>51</v>
      </c>
      <c r="L12987" s="28" t="s">
        <v>51</v>
      </c>
      <c r="M12987" s="25">
        <v>106575</v>
      </c>
      <c r="N12987" s="27">
        <v>0</v>
      </c>
    </row>
    <row r="12988" spans="1:14" x14ac:dyDescent="0.15">
      <c r="A12988" s="23" t="str">
        <f>HYPERLINK("https://www.spark-marketing.ru/Card/Person/4347456", "ГБУЗРК ""КЕРЧЕНСКАЯ ГОРОДСКАЯ БОЛЬНИЦА №3""")</f>
        <v>ГБУЗРК "КЕРЧЕНСКАЯ ГОРОДСКАЯ БОЛЬНИЦА №3"</v>
      </c>
      <c r="B12988" s="24" t="s">
        <v>11968</v>
      </c>
      <c r="C12988" s="25">
        <v>300000</v>
      </c>
      <c r="D12988" s="22" t="s">
        <v>17506</v>
      </c>
      <c r="E12988" s="22" t="s">
        <v>91</v>
      </c>
      <c r="F12988" s="23" t="str">
        <f>HYPERLINK("https://www.spark-marketing.ru/Card/Lot/72129681", "Услуги по диагностике, техническому обслуживанию и ремонту компьютерной техники")</f>
        <v>Услуги по диагностике, техническому обслуживанию и ремонту компьютерной техники</v>
      </c>
      <c r="G12988" s="22" t="s">
        <v>108</v>
      </c>
      <c r="H12988" s="22" t="s">
        <v>344</v>
      </c>
      <c r="I12988" s="26">
        <v>43662.534328703703</v>
      </c>
      <c r="J12988" s="23" t="str">
        <f>HYPERLINK("https://www.spark-marketing.ru/Card/Person/940690", "ООО ""ЮНИТ-СЕРВИС""")</f>
        <v>ООО "ЮНИТ-СЕРВИС"</v>
      </c>
      <c r="K12988" s="24" t="s">
        <v>11971</v>
      </c>
      <c r="L12988" s="22" t="s">
        <v>10</v>
      </c>
      <c r="M12988" s="28" t="s">
        <v>51</v>
      </c>
      <c r="N12988" s="28" t="s">
        <v>51</v>
      </c>
    </row>
    <row r="12989" spans="1:14" x14ac:dyDescent="0.15">
      <c r="A12989" s="23" t="str">
        <f>HYPERLINK("https://www.spark-marketing.ru/Card/Person/112888", "АДМИНИСТРАЦИЯ МР ""СУНТАРСКИЙ УЛУС (РАЙОН)""")</f>
        <v>АДМИНИСТРАЦИЯ МР "СУНТАРСКИЙ УЛУС (РАЙОН)"</v>
      </c>
      <c r="B12989" s="24" t="s">
        <v>13052</v>
      </c>
      <c r="C12989" s="25">
        <v>195000</v>
      </c>
      <c r="D12989" s="22" t="s">
        <v>17507</v>
      </c>
      <c r="E12989" s="22" t="s">
        <v>67</v>
      </c>
      <c r="F12989" s="23" t="str">
        <f>HYPERLINK("https://www.spark-marketing.ru/Card/Lot/72110218", "Оказание услуг по обеспечению общественного питания в рамках представительских расходов для нужд администрации МР «Сунтарский улус (район) (в связи с проведением региональной спартакиады ветеранов тыла и труда Вилюйской группы улусов в Сунтарском улу...")</f>
        <v>Оказание услуг по обеспечению общественного питания в рамках представительских расходов для нужд администрации МР «Сунтарский улус (район) (в связи с проведением региональной спартакиады ветеранов тыла и труда Вилюйской группы улусов в Сунтарском улу...</v>
      </c>
      <c r="G12989" s="22" t="s">
        <v>241</v>
      </c>
      <c r="H12989" s="22" t="s">
        <v>13054</v>
      </c>
      <c r="I12989" s="26">
        <v>43662.480601851901</v>
      </c>
      <c r="J12989" s="28" t="s">
        <v>51</v>
      </c>
      <c r="K12989" s="28" t="s">
        <v>51</v>
      </c>
      <c r="L12989" s="28" t="s">
        <v>51</v>
      </c>
      <c r="M12989" s="28" t="s">
        <v>51</v>
      </c>
      <c r="N12989" s="28" t="s">
        <v>51</v>
      </c>
    </row>
    <row r="12990" spans="1:14" x14ac:dyDescent="0.15">
      <c r="A12990" s="23" t="str">
        <f>HYPERLINK("https://www.spark-marketing.ru/Card/Person/1546107", "МАОУ ГИМНАЗИЯ № 13 Г.ТОМСКА")</f>
        <v>МАОУ ГИМНАЗИЯ № 13 Г.ТОМСКА</v>
      </c>
      <c r="B12990" s="24" t="s">
        <v>17508</v>
      </c>
      <c r="C12990" s="25">
        <v>980663</v>
      </c>
      <c r="D12990" s="22" t="s">
        <v>17509</v>
      </c>
      <c r="E12990" s="22" t="s">
        <v>362</v>
      </c>
      <c r="F12990" s="23" t="str">
        <f>HYPERLINK("https://www.spark-marketing.ru/Card/Lot/72137767", "оказание услуг по обеспечению питанием отдельных категорий обучающихся и обучающихся с ограниченными возможностями здоровья")</f>
        <v>оказание услуг по обеспечению питанием отдельных категорий обучающихся и обучающихся с ограниченными возможностями здоровья</v>
      </c>
      <c r="G12990" s="22" t="s">
        <v>149</v>
      </c>
      <c r="H12990" s="22" t="s">
        <v>149</v>
      </c>
      <c r="I12990" s="26">
        <v>43662.470937500002</v>
      </c>
      <c r="J12990" s="28" t="s">
        <v>51</v>
      </c>
      <c r="K12990" s="28" t="s">
        <v>51</v>
      </c>
      <c r="L12990" s="28" t="s">
        <v>51</v>
      </c>
      <c r="M12990" s="28" t="s">
        <v>51</v>
      </c>
      <c r="N12990" s="28" t="s">
        <v>51</v>
      </c>
    </row>
    <row r="12991" spans="1:14" x14ac:dyDescent="0.15">
      <c r="A12991" s="23" t="str">
        <f>HYPERLINK("https://www.spark-marketing.ru/Card/Person/75423", "МЕЖМУНИЦИПАЛЬНЫЙ ОТДЕЛ МВД РОССИИ ""КУДЫМКАРСКИЙ""")</f>
        <v>МЕЖМУНИЦИПАЛЬНЫЙ ОТДЕЛ МВД РОССИИ "КУДЫМКАРСКИЙ"</v>
      </c>
      <c r="B12991" s="24" t="s">
        <v>17510</v>
      </c>
      <c r="C12991" s="25">
        <v>300000</v>
      </c>
      <c r="D12991" s="22" t="s">
        <v>17511</v>
      </c>
      <c r="E12991" s="22" t="s">
        <v>48</v>
      </c>
      <c r="F12991" s="23" t="str">
        <f>HYPERLINK("https://www.spark-marketing.ru/Card/Lot/72122383", "оказание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лиц")</f>
        <v>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</v>
      </c>
      <c r="G12991" s="22" t="s">
        <v>8408</v>
      </c>
      <c r="H12991" s="22" t="s">
        <v>17512</v>
      </c>
      <c r="I12991" s="26">
        <v>43662.487928240698</v>
      </c>
      <c r="J12991" s="28" t="s">
        <v>51</v>
      </c>
      <c r="K12991" s="28" t="s">
        <v>51</v>
      </c>
      <c r="L12991" s="28" t="s">
        <v>51</v>
      </c>
      <c r="M12991" s="28" t="s">
        <v>51</v>
      </c>
      <c r="N12991" s="28" t="s">
        <v>51</v>
      </c>
    </row>
    <row r="12992" spans="1:14" ht="12.75" hidden="1" outlineLevel="1" x14ac:dyDescent="0.2">
      <c r="A12992" s="23" t="str">
        <f>HYPERLINK("https://www.spark-marketing.ru/Card/Person/75423", "МЕЖМУНИЦИПАЛЬНЫЙ ОТДЕЛ МВД РОССИИ ""КУДЫМКАРСКИЙ""")</f>
        <v>МЕЖМУНИЦИПАЛЬНЫЙ ОТДЕЛ МВД РОССИИ "КУДЫМКАРСКИЙ"</v>
      </c>
      <c r="B12992" s="24" t="s">
        <v>17510</v>
      </c>
      <c r="C12992" s="25">
        <v>300000</v>
      </c>
      <c r="D12992" s="22" t="s">
        <v>17511</v>
      </c>
      <c r="E12992" s="22" t="s">
        <v>48</v>
      </c>
      <c r="F12992" s="23" t="str">
        <f>HYPERLINK("https://www.spark-marketing.ru/Card/Lot/72122383", "оказание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лиц")</f>
        <v>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</v>
      </c>
      <c r="G12992" s="22" t="s">
        <v>8408</v>
      </c>
      <c r="H12992" s="22" t="s">
        <v>17512</v>
      </c>
      <c r="I12992" s="26">
        <v>43662.487928240698</v>
      </c>
      <c r="J12992" s="23" t="str">
        <f>HYPERLINK("https://www.spark-marketing.ru/Card/Person/2025480", "Четин Анатолий Николаевич")</f>
        <v>Четин Анатолий Николаевич</v>
      </c>
      <c r="K12992" s="24" t="s">
        <v>1964</v>
      </c>
      <c r="L12992" s="22" t="s">
        <v>10</v>
      </c>
      <c r="M12992" s="25">
        <v>641.41</v>
      </c>
      <c r="N12992" s="27">
        <v>0.99786196666666671</v>
      </c>
    </row>
    <row r="12993" spans="1:14" hidden="1" outlineLevel="1" x14ac:dyDescent="0.2">
      <c r="A12993" s="23" t="str">
        <f>HYPERLINK("https://www.spark-marketing.ru/Card/Person/75423", "МЕЖМУНИЦИПАЛЬНЫЙ ОТДЕЛ МВД РОССИИ ""КУДЫМКАРСКИЙ""")</f>
        <v>МЕЖМУНИЦИПАЛЬНЫЙ ОТДЕЛ МВД РОССИИ "КУДЫМКАРСКИЙ"</v>
      </c>
      <c r="B12993" s="24" t="s">
        <v>17510</v>
      </c>
      <c r="C12993" s="25">
        <v>300000</v>
      </c>
      <c r="D12993" s="22" t="s">
        <v>17511</v>
      </c>
      <c r="E12993" s="22" t="s">
        <v>48</v>
      </c>
      <c r="F12993" s="23" t="str">
        <f>HYPERLINK("https://www.spark-marketing.ru/Card/Lot/72122383", "оказание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лиц")</f>
        <v>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</v>
      </c>
      <c r="G12993" s="22" t="s">
        <v>8408</v>
      </c>
      <c r="H12993" s="22" t="s">
        <v>17512</v>
      </c>
      <c r="I12993" s="26">
        <v>43662.487928240698</v>
      </c>
      <c r="J12993" s="23" t="str">
        <f>HYPERLINK("https://www.spark-marketing.ru/Card/Person/791680", "Власова Александра Михайловна")</f>
        <v>Власова Александра Михайловна</v>
      </c>
      <c r="K12993" s="24" t="s">
        <v>2213</v>
      </c>
      <c r="L12993" s="28" t="s">
        <v>51</v>
      </c>
      <c r="M12993" s="25">
        <v>646.79999999999995</v>
      </c>
      <c r="N12993" s="27">
        <v>0.99784399999999995</v>
      </c>
    </row>
    <row r="12994" spans="1:14" x14ac:dyDescent="0.2">
      <c r="A12994" s="23" t="str">
        <f>HYPERLINK("https://www.spark-marketing.ru/Card/Person/1777582", "МАУ ДО ДЮСШ №3 ГОРОДА ТЮМЕНИ")</f>
        <v>МАУ ДО ДЮСШ №3 ГОРОДА ТЮМЕНИ</v>
      </c>
      <c r="B12994" s="24" t="s">
        <v>15559</v>
      </c>
      <c r="C12994" s="25">
        <v>420000</v>
      </c>
      <c r="D12994" s="22" t="s">
        <v>17513</v>
      </c>
      <c r="E12994" s="22" t="s">
        <v>4218</v>
      </c>
      <c r="F12994" s="23" t="str">
        <f>HYPERLINK("https://www.spark-marketing.ru/Card/Lot/72137904", "Услуги проживания и питания команды по греко-римской борьбе")</f>
        <v>Услуги проживания и питания команды по греко-римской борьбе</v>
      </c>
      <c r="G12994" s="22" t="s">
        <v>108</v>
      </c>
      <c r="H12994" s="22" t="s">
        <v>108</v>
      </c>
      <c r="I12994" s="26">
        <v>43662.486550925903</v>
      </c>
      <c r="J12994" s="28" t="s">
        <v>51</v>
      </c>
      <c r="K12994" s="28" t="s">
        <v>51</v>
      </c>
      <c r="L12994" s="22" t="s">
        <v>10</v>
      </c>
      <c r="M12994" s="25">
        <v>420000</v>
      </c>
      <c r="N12994" s="27">
        <v>0</v>
      </c>
    </row>
    <row r="12995" spans="1:14" x14ac:dyDescent="0.15">
      <c r="A12995" s="23" t="str">
        <f>HYPERLINK("https://www.spark-marketing.ru/Card/Person/887485", "ОТДЕЛ МВД РОССИИ ПО НОВОКУБАНСКОМУ РАЙОНУ")</f>
        <v>ОТДЕЛ МВД РОССИИ ПО НОВОКУБАНСКОМУ РАЙОНУ</v>
      </c>
      <c r="B12995" s="24" t="s">
        <v>3199</v>
      </c>
      <c r="C12995" s="25">
        <v>2580000</v>
      </c>
      <c r="D12995" s="22" t="s">
        <v>17514</v>
      </c>
      <c r="E12995" s="22" t="s">
        <v>48</v>
      </c>
      <c r="F12995" s="23" t="str">
        <f>HYPERLINK("https://www.spark-marketing.ru/Card/Lot/72133203", "услуги по обеспечению питанием")</f>
        <v>услуги по обеспечению питанием</v>
      </c>
      <c r="G12995" s="22" t="s">
        <v>104</v>
      </c>
      <c r="H12995" s="22" t="s">
        <v>3201</v>
      </c>
      <c r="I12995" s="26">
        <v>43662.471840277802</v>
      </c>
      <c r="J12995" s="23" t="str">
        <f>HYPERLINK("https://www.spark-marketing.ru/Card/Person/5972284", "Костырин Алексей Михайлович")</f>
        <v>Костырин Алексей Михайлович</v>
      </c>
      <c r="K12995" s="24" t="s">
        <v>3202</v>
      </c>
      <c r="L12995" s="22" t="s">
        <v>10</v>
      </c>
      <c r="M12995" s="28" t="s">
        <v>51</v>
      </c>
      <c r="N12995" s="28" t="s">
        <v>51</v>
      </c>
    </row>
    <row r="12996" spans="1:14" x14ac:dyDescent="0.15">
      <c r="A12996" s="23" t="str">
        <f>HYPERLINK("https://www.spark-marketing.ru/Card/Person/91902", "БПОУ ВО ""ВОЛОГОДСКИЙ КОЛЛЕДЖ ТЕХНОЛОГИИ И ДИЗАЙНА""")</f>
        <v>БПОУ ВО "ВОЛОГОДСКИЙ КОЛЛЕДЖ ТЕХНОЛОГИИ И ДИЗАЙНА"</v>
      </c>
      <c r="B12996" s="24" t="s">
        <v>17515</v>
      </c>
      <c r="C12996" s="25">
        <v>1881793</v>
      </c>
      <c r="D12996" s="22" t="s">
        <v>17516</v>
      </c>
      <c r="E12996" s="22" t="s">
        <v>48</v>
      </c>
      <c r="F12996" s="23" t="str">
        <f>HYPERLINK("https://www.spark-marketing.ru/Card/Lot/72133211", "Оказание услуг по организации питания обучающихся во втором полугодии 2019 года")</f>
        <v>Оказание услуг по организации питания обучающихся во втором полугодии 2019 года</v>
      </c>
      <c r="G12996" s="22" t="s">
        <v>503</v>
      </c>
      <c r="H12996" s="22" t="s">
        <v>962</v>
      </c>
      <c r="I12996" s="26">
        <v>43662.480370370402</v>
      </c>
      <c r="J12996" s="23" t="str">
        <f>HYPERLINK("https://www.spark-marketing.ru/Card/Person/60999", "Эльперин Антон Яковлевич")</f>
        <v>Эльперин Антон Яковлевич</v>
      </c>
      <c r="K12996" s="24" t="s">
        <v>12632</v>
      </c>
      <c r="L12996" s="22" t="s">
        <v>10</v>
      </c>
      <c r="M12996" s="28" t="s">
        <v>51</v>
      </c>
      <c r="N12996" s="28" t="s">
        <v>51</v>
      </c>
    </row>
    <row r="12997" spans="1:14" x14ac:dyDescent="0.15">
      <c r="A12997" s="23" t="str">
        <f>HYPERLINK("https://www.spark-marketing.ru/Card/Person/4949240", "ОМВД РОССИИ ПО КАЛИНИНСКОМУ РАЙОНУ")</f>
        <v>ОМВД РОССИИ ПО КАЛИНИНСКОМУ РАЙОНУ</v>
      </c>
      <c r="B12997" s="24" t="s">
        <v>17517</v>
      </c>
      <c r="C12997" s="25">
        <v>150000</v>
      </c>
      <c r="D12997" s="22" t="s">
        <v>17518</v>
      </c>
      <c r="E12997" s="22" t="s">
        <v>96</v>
      </c>
      <c r="F12997" s="23" t="str">
        <f>HYPERLINK("https://www.spark-marketing.ru/Card/Lot/72121214", "услуги по организации горячего питания")</f>
        <v>услуги по организации горячего питания</v>
      </c>
      <c r="G12997" s="22" t="s">
        <v>137</v>
      </c>
      <c r="H12997" s="22" t="s">
        <v>138</v>
      </c>
      <c r="I12997" s="26">
        <v>43662.482685185198</v>
      </c>
      <c r="J12997" s="23" t="str">
        <f>HYPERLINK("https://www.spark-marketing.ru/Card/Person/104352", "Долотова Елена Петровна")</f>
        <v>Долотова Елена Петровна</v>
      </c>
      <c r="K12997" s="24" t="s">
        <v>17519</v>
      </c>
      <c r="L12997" s="22" t="s">
        <v>10</v>
      </c>
      <c r="M12997" s="28" t="s">
        <v>51</v>
      </c>
      <c r="N12997" s="28" t="s">
        <v>51</v>
      </c>
    </row>
    <row r="12998" spans="1:14" x14ac:dyDescent="0.15">
      <c r="A12998" s="23" t="str">
        <f>HYPERLINK("https://www.spark-marketing.ru/Card/Person/419783", "ГАУК ""ОГОДТ""")</f>
        <v>ГАУК "ОГОДТ"</v>
      </c>
      <c r="B12998" s="24" t="s">
        <v>17520</v>
      </c>
      <c r="C12998" s="25">
        <v>216000</v>
      </c>
      <c r="D12998" s="22" t="s">
        <v>17521</v>
      </c>
      <c r="E12998" s="22" t="s">
        <v>769</v>
      </c>
      <c r="F12998" s="23" t="str">
        <f>HYPERLINK("https://www.spark-marketing.ru/Card/Lot/72135568", "Закупка гостиничной услуги по организации проживания и питания в гостинице «Hilton Garden Inn» (г. Оренбург) участников спектакля «Онегин-блюз» проводимого в рамках «Года театра»")</f>
        <v>Закупка гостиничной услуги по организации проживания и питания в гостинице «Hilton Garden Inn» (г. Оренбург) участников спектакля «Онегин-блюз» проводимого в рамках «Года театра»</v>
      </c>
      <c r="G12998" s="22" t="s">
        <v>132</v>
      </c>
      <c r="H12998" s="22" t="s">
        <v>132</v>
      </c>
      <c r="I12998" s="26">
        <v>43662.479861111096</v>
      </c>
      <c r="J12998" s="28" t="s">
        <v>51</v>
      </c>
      <c r="K12998" s="28" t="s">
        <v>51</v>
      </c>
      <c r="L12998" s="28" t="s">
        <v>51</v>
      </c>
      <c r="M12998" s="28" t="s">
        <v>51</v>
      </c>
      <c r="N12998" s="28" t="s">
        <v>51</v>
      </c>
    </row>
    <row r="12999" spans="1:14" x14ac:dyDescent="0.15">
      <c r="A12999" s="23" t="str">
        <f>HYPERLINK("https://www.spark-marketing.ru/Card/Person/4949240", "ОМВД РОССИИ ПО КАЛИНИНСКОМУ РАЙОНУ")</f>
        <v>ОМВД РОССИИ ПО КАЛИНИНСКОМУ РАЙОНУ</v>
      </c>
      <c r="B12999" s="24" t="s">
        <v>17517</v>
      </c>
      <c r="C12999" s="25">
        <v>150000</v>
      </c>
      <c r="D12999" s="22" t="s">
        <v>17522</v>
      </c>
      <c r="E12999" s="22" t="s">
        <v>96</v>
      </c>
      <c r="F12999" s="23" t="str">
        <f>HYPERLINK("https://www.spark-marketing.ru/Card/Lot/72121219", "услуги по организации горячего питания")</f>
        <v>услуги по организации горячего питания</v>
      </c>
      <c r="G12999" s="22" t="s">
        <v>137</v>
      </c>
      <c r="H12999" s="22" t="s">
        <v>138</v>
      </c>
      <c r="I12999" s="26">
        <v>43662.486030092601</v>
      </c>
      <c r="J12999" s="23" t="str">
        <f>HYPERLINK("https://www.spark-marketing.ru/Card/Person/104352", "Долотова Елена Петровна")</f>
        <v>Долотова Елена Петровна</v>
      </c>
      <c r="K12999" s="24" t="s">
        <v>17519</v>
      </c>
      <c r="L12999" s="22" t="s">
        <v>10</v>
      </c>
      <c r="M12999" s="28" t="s">
        <v>51</v>
      </c>
      <c r="N12999" s="28" t="s">
        <v>51</v>
      </c>
    </row>
    <row r="13000" spans="1:14" x14ac:dyDescent="0.15">
      <c r="A13000" s="23" t="str">
        <f>HYPERLINK("https://www.spark-marketing.ru/Card/Person/58302", "КГБУЗ ""ДСП № 2, Г. БАРНАУЛ""")</f>
        <v>КГБУЗ "ДСП № 2, Г. БАРНАУЛ"</v>
      </c>
      <c r="B13000" s="24" t="s">
        <v>17523</v>
      </c>
      <c r="C13000" s="25">
        <v>17116</v>
      </c>
      <c r="D13000" s="22" t="s">
        <v>17524</v>
      </c>
      <c r="E13000" s="22" t="s">
        <v>809</v>
      </c>
      <c r="F13000" s="23" t="str">
        <f>HYPERLINK("https://www.spark-marketing.ru/Card/Lot/72113237", "Товары, работы или услуги на сумму, не превышающие 100 тыс. руб. (п.4 ч.1 ст.93 44-ФЗ)")</f>
        <v>Товары, работы или услуги на сумму, не превышающие 100 тыс. руб. (п.4 ч.1 ст.93 44-ФЗ)</v>
      </c>
      <c r="G13000" s="22" t="s">
        <v>63</v>
      </c>
      <c r="H13000" s="22" t="s">
        <v>177</v>
      </c>
      <c r="I13000" s="26">
        <v>43662.418055555601</v>
      </c>
      <c r="J13000" s="28" t="s">
        <v>51</v>
      </c>
      <c r="K13000" s="28" t="s">
        <v>51</v>
      </c>
      <c r="L13000" s="28" t="s">
        <v>51</v>
      </c>
      <c r="M13000" s="28" t="s">
        <v>51</v>
      </c>
      <c r="N13000" s="28" t="s">
        <v>51</v>
      </c>
    </row>
    <row r="13001" spans="1:14" x14ac:dyDescent="0.15">
      <c r="A13001" s="23" t="str">
        <f>HYPERLINK("https://www.spark-marketing.ru/Card/Person/57217", "ГБУ СШ № 2 КРАСНОГВАРДЕЙСКОГО РАЙОНА")</f>
        <v>ГБУ СШ № 2 КРАСНОГВАРДЕЙСКОГО РАЙОНА</v>
      </c>
      <c r="B13001" s="24" t="s">
        <v>2479</v>
      </c>
      <c r="C13001" s="25">
        <v>2382305.0299999998</v>
      </c>
      <c r="D13001" s="22" t="s">
        <v>17525</v>
      </c>
      <c r="E13001" s="22" t="s">
        <v>2481</v>
      </c>
      <c r="F13001" s="23" t="str">
        <f>HYPERLINK("https://www.spark-marketing.ru/Card/Lot/72133116", "Оказание услуг по проведению тренировочного мероприятия для Государственного бюджетного учреждения спортивная школа № 2 Красногвардейского района, для нужд Санкт-Петербурга в 2019 году")</f>
        <v>Оказание услуг по проведению тренировочного мероприятия для Государственного бюджетного учреждения спортивная школа № 2 Красногвардейского района, для нужд Санкт-Петербурга в 2019 году</v>
      </c>
      <c r="G13001" s="22" t="s">
        <v>162</v>
      </c>
      <c r="H13001" s="22" t="s">
        <v>9739</v>
      </c>
      <c r="I13001" s="26">
        <v>43662.446666666699</v>
      </c>
      <c r="J13001" s="28" t="s">
        <v>51</v>
      </c>
      <c r="K13001" s="28" t="s">
        <v>51</v>
      </c>
      <c r="L13001" s="28" t="s">
        <v>51</v>
      </c>
      <c r="M13001" s="28" t="s">
        <v>51</v>
      </c>
      <c r="N13001" s="28" t="s">
        <v>51</v>
      </c>
    </row>
    <row r="13002" spans="1:14" x14ac:dyDescent="0.15">
      <c r="A13002" s="23" t="str">
        <f>HYPERLINK("https://www.spark-marketing.ru/Card/Person/4348382", "ООО ""ГАЗПРОМ ПИТАНИЕ""")</f>
        <v>ООО "ГАЗПРОМ ПИТАНИЕ"</v>
      </c>
      <c r="B13002" s="24" t="s">
        <v>2869</v>
      </c>
      <c r="C13002" s="25">
        <v>66515</v>
      </c>
      <c r="D13002" s="22" t="s">
        <v>17526</v>
      </c>
      <c r="E13002" s="22" t="s">
        <v>52</v>
      </c>
      <c r="F13002" s="23" t="str">
        <f>HYPERLINK("https://www.spark-marketing.ru/Card/Lot/72115367", "Проведение медицинского осмотра для нужд филиала ""томское уооп"" ооо ""газпром питание"" новосибирская область, г.барабинск")</f>
        <v>Проведение медицинского осмотра для нужд филиала "томское уооп" ооо "газпром питание" новосибирская область, г.барабинск</v>
      </c>
      <c r="G13002" s="22" t="s">
        <v>56</v>
      </c>
      <c r="H13002" s="22" t="s">
        <v>56</v>
      </c>
      <c r="I13002" s="26">
        <v>43662.438194444403</v>
      </c>
      <c r="J13002" s="28" t="s">
        <v>51</v>
      </c>
      <c r="K13002" s="28" t="s">
        <v>51</v>
      </c>
      <c r="L13002" s="28" t="s">
        <v>51</v>
      </c>
      <c r="M13002" s="28" t="s">
        <v>51</v>
      </c>
      <c r="N13002" s="28" t="s">
        <v>51</v>
      </c>
    </row>
    <row r="13003" spans="1:14" x14ac:dyDescent="0.15">
      <c r="A13003" s="23" t="str">
        <f>HYPERLINK("https://www.spark-marketing.ru/Card/Person/49365", "ГБУ СШ КРАСНОГВАРДЕЙСКОГО РАЙОНА")</f>
        <v>ГБУ СШ КРАСНОГВАРДЕЙСКОГО РАЙОНА</v>
      </c>
      <c r="B13003" s="24" t="s">
        <v>15579</v>
      </c>
      <c r="C13003" s="25">
        <v>860514.2</v>
      </c>
      <c r="D13003" s="22" t="s">
        <v>17527</v>
      </c>
      <c r="E13003" s="22" t="s">
        <v>374</v>
      </c>
      <c r="F13003" s="23" t="str">
        <f>HYPERLINK("https://www.spark-marketing.ru/Card/Lot/72132008",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питание, проживание и предоставление спортивного сооружения 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питание, проживание и предоставление спортивного сооружения ...</v>
      </c>
      <c r="G13003" s="22" t="s">
        <v>117</v>
      </c>
      <c r="H13003" s="22" t="s">
        <v>117</v>
      </c>
      <c r="I13003" s="26">
        <v>43662.441562499997</v>
      </c>
      <c r="J13003" s="23" t="str">
        <f>HYPERLINK("https://www.spark-marketing.ru/Card/Person/1567791", "ООО ""ТЕРРА""")</f>
        <v>ООО "ТЕРРА"</v>
      </c>
      <c r="K13003" s="24" t="s">
        <v>6244</v>
      </c>
      <c r="L13003" s="22" t="s">
        <v>10</v>
      </c>
      <c r="M13003" s="28" t="s">
        <v>51</v>
      </c>
      <c r="N13003" s="28" t="s">
        <v>51</v>
      </c>
    </row>
    <row r="13004" spans="1:14" x14ac:dyDescent="0.15">
      <c r="A13004" s="23" t="str">
        <f>HYPERLINK("https://www.spark-marketing.ru/Card/Person/57217", "ГБУ СШ № 2 КРАСНОГВАРДЕЙСКОГО РАЙОНА")</f>
        <v>ГБУ СШ № 2 КРАСНОГВАРДЕЙСКОГО РАЙОНА</v>
      </c>
      <c r="B13004" s="24" t="s">
        <v>2479</v>
      </c>
      <c r="C13004" s="25">
        <v>552806.1</v>
      </c>
      <c r="D13004" s="22" t="s">
        <v>17528</v>
      </c>
      <c r="E13004" s="22" t="s">
        <v>2481</v>
      </c>
      <c r="F13004" s="23" t="str">
        <f>HYPERLINK("https://www.spark-marketing.ru/Card/Lot/72131204", "Оказание услуг по проведению тренировочного мероприятия для Государственного бюджетного учреждения спортивная школа № 2 Красногвардейского района, для нужд Санкт-Петербурга в 2019 году")</f>
        <v>Оказание услуг по проведению тренировочного мероприятия для Государственного бюджетного учреждения спортивная школа № 2 Красногвардейского района, для нужд Санкт-Петербурга в 2019 году</v>
      </c>
      <c r="G13004" s="22" t="s">
        <v>117</v>
      </c>
      <c r="H13004" s="22" t="s">
        <v>117</v>
      </c>
      <c r="I13004" s="26">
        <v>43662.446226851898</v>
      </c>
      <c r="J13004" s="28" t="s">
        <v>51</v>
      </c>
      <c r="K13004" s="28" t="s">
        <v>51</v>
      </c>
      <c r="L13004" s="28" t="s">
        <v>51</v>
      </c>
      <c r="M13004" s="28" t="s">
        <v>51</v>
      </c>
      <c r="N13004" s="28" t="s">
        <v>51</v>
      </c>
    </row>
    <row r="13005" spans="1:14" x14ac:dyDescent="0.15">
      <c r="A13005" s="23" t="str">
        <f>HYPERLINK("https://www.spark-marketing.ru/Card/Person/4348382", "ООО ""ГАЗПРОМ ПИТАНИЕ""")</f>
        <v>ООО "ГАЗПРОМ ПИТАНИЕ"</v>
      </c>
      <c r="B13005" s="24" t="s">
        <v>2869</v>
      </c>
      <c r="C13005" s="25">
        <v>67871</v>
      </c>
      <c r="D13005" s="22" t="s">
        <v>17529</v>
      </c>
      <c r="E13005" s="22" t="s">
        <v>52</v>
      </c>
      <c r="F13005" s="23" t="str">
        <f>HYPERLINK("https://www.spark-marketing.ru/Card/Lot/72115372", "Оказание услуг на проведение медицинского осмотра для нужд филиала ""томское уооп"" ооо ""газпром питание"" новосибирская область, г. барабинск.")</f>
        <v>Оказание услуг на проведение медицинского осмотра для нужд филиала "томское уооп" ооо "газпром питание" новосибирская область, г. барабинск.</v>
      </c>
      <c r="G13005" s="22" t="s">
        <v>56</v>
      </c>
      <c r="H13005" s="22" t="s">
        <v>56</v>
      </c>
      <c r="I13005" s="26">
        <v>43662.452083333301</v>
      </c>
      <c r="J13005" s="28" t="s">
        <v>51</v>
      </c>
      <c r="K13005" s="28" t="s">
        <v>51</v>
      </c>
      <c r="L13005" s="28" t="s">
        <v>51</v>
      </c>
      <c r="M13005" s="28" t="s">
        <v>51</v>
      </c>
      <c r="N13005" s="28" t="s">
        <v>51</v>
      </c>
    </row>
    <row r="13006" spans="1:14" x14ac:dyDescent="0.15">
      <c r="A13006" s="23" t="str">
        <f>HYPERLINK("https://www.spark-marketing.ru/Card/Person/49365", "ГБУ СШ КРАСНОГВАРДЕЙСКОГО РАЙОНА")</f>
        <v>ГБУ СШ КРАСНОГВАРДЕЙСКОГО РАЙОНА</v>
      </c>
      <c r="B13006" s="24" t="s">
        <v>15579</v>
      </c>
      <c r="C13006" s="25">
        <v>626400</v>
      </c>
      <c r="D13006" s="22" t="s">
        <v>17530</v>
      </c>
      <c r="E13006" s="22" t="s">
        <v>374</v>
      </c>
      <c r="F13006" s="23" t="str">
        <f>HYPERLINK("https://www.spark-marketing.ru/Card/Lot/72131276", "Оказание услуг по обеспечению участия занимающихся государственных бюджетных учреждений в тренировочных мероприятиях в ленинградской области с учетом затрат на питание, проживание и предоставление спортивного сооружения для государственного бюджетног...")</f>
        <v>Оказание услуг по обеспечению участия занимающихся государственных бюджетных учреждений в тренировочных мероприятиях в ленинградской области с учетом затрат на питание, проживание и предоставление спортивного сооружения для государственного бюджетног...</v>
      </c>
      <c r="G13006" s="22" t="s">
        <v>117</v>
      </c>
      <c r="H13006" s="22" t="s">
        <v>117</v>
      </c>
      <c r="I13006" s="26">
        <v>43662.447268518503</v>
      </c>
      <c r="J13006" s="23" t="str">
        <f>HYPERLINK("https://www.spark-marketing.ru/Card/Person/756354", "ЗАО ""СК ПО ЗВС ""КАВГОЛОВО""")</f>
        <v>ЗАО "СК ПО ЗВС "КАВГОЛОВО"</v>
      </c>
      <c r="K13006" s="24" t="s">
        <v>17531</v>
      </c>
      <c r="L13006" s="28" t="s">
        <v>51</v>
      </c>
      <c r="M13006" s="28" t="s">
        <v>51</v>
      </c>
      <c r="N13006" s="28" t="s">
        <v>51</v>
      </c>
    </row>
    <row r="13007" spans="1:14" ht="12.75" hidden="1" outlineLevel="1" x14ac:dyDescent="0.2">
      <c r="A13007" s="23" t="str">
        <f>HYPERLINK("https://www.spark-marketing.ru/Card/Person/49365", "ГБУ СШ КРАСНОГВАРДЕЙСКОГО РАЙОНА")</f>
        <v>ГБУ СШ КРАСНОГВАРДЕЙСКОГО РАЙОНА</v>
      </c>
      <c r="B13007" s="24" t="s">
        <v>15579</v>
      </c>
      <c r="C13007" s="25">
        <v>626400</v>
      </c>
      <c r="D13007" s="22" t="s">
        <v>17530</v>
      </c>
      <c r="E13007" s="22" t="s">
        <v>374</v>
      </c>
      <c r="F13007" s="23" t="str">
        <f>HYPERLINK("https://www.spark-marketing.ru/Card/Lot/72131276", "Оказание услуг по обеспечению участия занимающихся государственных бюджетных учреждений в тренировочных мероприятиях в ленинградской области с учетом затрат на питание, проживание и предоставление спортивного сооружения для государственного бюджетног...")</f>
        <v>Оказание услуг по обеспечению участия занимающихся государственных бюджетных учреждений в тренировочных мероприятиях в ленинградской области с учетом затрат на питание, проживание и предоставление спортивного сооружения для государственного бюджетног...</v>
      </c>
      <c r="G13007" s="22" t="s">
        <v>117</v>
      </c>
      <c r="H13007" s="22" t="s">
        <v>117</v>
      </c>
      <c r="I13007" s="26">
        <v>43662.447268518503</v>
      </c>
      <c r="J13007" s="23" t="str">
        <f>HYPERLINK("https://www.spark-marketing.ru/Card/Person/756354", "ЗАО ""СК ПО ЗВС ""КАВГОЛОВО""")</f>
        <v>ЗАО "СК ПО ЗВС "КАВГОЛОВО"</v>
      </c>
      <c r="K13007" s="24" t="s">
        <v>17531</v>
      </c>
      <c r="L13007" s="22" t="s">
        <v>10</v>
      </c>
      <c r="M13007" s="25">
        <v>623268</v>
      </c>
      <c r="N13007" s="27">
        <v>5.0000000000000001E-3</v>
      </c>
    </row>
    <row r="13008" spans="1:14" x14ac:dyDescent="0.15">
      <c r="A13008" s="23" t="str">
        <f>HYPERLINK("https://www.spark-marketing.ru/Card/Person/90893", "УМВД РОССИИ ПО ГОРОДСКОМУ ОКРУГУ ПОДОЛЬСК")</f>
        <v>УМВД РОССИИ ПО ГОРОДСКОМУ ОКРУГУ ПОДОЛЬСК</v>
      </c>
      <c r="B13008" s="24" t="s">
        <v>13395</v>
      </c>
      <c r="C13008" s="25">
        <v>172100</v>
      </c>
      <c r="D13008" s="22" t="s">
        <v>17532</v>
      </c>
      <c r="E13008" s="22" t="s">
        <v>91</v>
      </c>
      <c r="F13008" s="23" t="str">
        <f>HYPERLINK("https://www.spark-marketing.ru/Card/Lot/72118826", "Ремонтно-техническое обслуживание оргтехники и восстановление потребительских свойств расходных материалов для нужд УМВД России по городскому округу Подольск")</f>
        <v>Ремонтно-техническое обслуживание оргтехники и восстановление потребительских свойств расходных материалов для нужд УМВД России по городскому округу Подольск</v>
      </c>
      <c r="G13008" s="22" t="s">
        <v>49</v>
      </c>
      <c r="H13008" s="22" t="s">
        <v>50</v>
      </c>
      <c r="I13008" s="26">
        <v>43662.450520833299</v>
      </c>
      <c r="J13008" s="23" t="str">
        <f>HYPERLINK("https://www.spark-marketing.ru/Card/Person/6246472", "ООО ""ФИБОНАЧЧИ""")</f>
        <v>ООО "ФИБОНАЧЧИ"</v>
      </c>
      <c r="K13008" s="24" t="s">
        <v>17533</v>
      </c>
      <c r="L13008" s="22" t="s">
        <v>10</v>
      </c>
      <c r="M13008" s="28" t="s">
        <v>51</v>
      </c>
      <c r="N13008" s="28" t="s">
        <v>51</v>
      </c>
    </row>
    <row r="13009" spans="1:14" x14ac:dyDescent="0.15">
      <c r="A13009" s="23" t="str">
        <f>HYPERLINK("https://www.spark-marketing.ru/Card/Person/62484", "КГБУЗ ""СЕВЕРО-ЕНИСЕЙСКАЯ РБ""")</f>
        <v>КГБУЗ "СЕВЕРО-ЕНИСЕЙСКАЯ РБ"</v>
      </c>
      <c r="B13009" s="24" t="s">
        <v>17534</v>
      </c>
      <c r="C13009" s="25">
        <v>9250560</v>
      </c>
      <c r="D13009" s="22" t="s">
        <v>17535</v>
      </c>
      <c r="E13009" s="22" t="s">
        <v>48</v>
      </c>
      <c r="F13009" s="23" t="str">
        <f>HYPERLINK("https://www.spark-marketing.ru/Card/Lot/72133985", "№ ЭА 45166/19 ""Оказание услуг по приготовлению лечебного, диетического питания для больных стационаров КГБУЗ ""Северо-Енисейская районная больница""""")</f>
        <v>№ ЭА 45166/19 "Оказание услуг по приготовлению лечебного, диетического питания для больных стационаров КГБУЗ "Северо-Енисейская районная больница""</v>
      </c>
      <c r="G13009" s="22" t="s">
        <v>281</v>
      </c>
      <c r="H13009" s="22" t="s">
        <v>6716</v>
      </c>
      <c r="I13009" s="26">
        <v>43662.422673611101</v>
      </c>
      <c r="J13009" s="23" t="str">
        <f>HYPERLINK("https://www.spark-marketing.ru/Card/Person/129358", "ООО ""УТ""")</f>
        <v>ООО "УТ"</v>
      </c>
      <c r="K13009" s="24" t="s">
        <v>3751</v>
      </c>
      <c r="L13009" s="22" t="s">
        <v>10</v>
      </c>
      <c r="M13009" s="28" t="s">
        <v>51</v>
      </c>
      <c r="N13009" s="28" t="s">
        <v>51</v>
      </c>
    </row>
    <row r="13010" spans="1:14" x14ac:dyDescent="0.15">
      <c r="A13010" s="23" t="s">
        <v>114</v>
      </c>
      <c r="B13010" s="28" t="s">
        <v>51</v>
      </c>
      <c r="C13010" s="25">
        <v>11040238.710000001</v>
      </c>
      <c r="D13010" s="22" t="s">
        <v>17536</v>
      </c>
      <c r="E13010" s="22" t="s">
        <v>48</v>
      </c>
      <c r="F13010" s="23" t="str">
        <f t="shared" ref="F13010:F13021" si="426">HYPERLINK("https://www.spark-marketing.ru/Card/Lot/72134380", "Оказание услуг по организации питания обучающихся с 01.09.2019 г. по 29.11.2019 г.")</f>
        <v>Оказание услуг по организации питания обучающихся с 01.09.2019 г. по 29.11.2019 г.</v>
      </c>
      <c r="G13010" s="22" t="s">
        <v>51</v>
      </c>
      <c r="H13010" s="22" t="s">
        <v>51</v>
      </c>
      <c r="I13010" s="26">
        <v>43662.4230902778</v>
      </c>
      <c r="J13010" s="23" t="str">
        <f t="shared" ref="J13010:J13021" si="427">HYPERLINK("https://www.spark-marketing.ru/Card/Person/4952099", "ООО ""ТОП""")</f>
        <v>ООО "ТОП"</v>
      </c>
      <c r="K13010" s="24" t="s">
        <v>15133</v>
      </c>
      <c r="L13010" s="22" t="s">
        <v>10</v>
      </c>
      <c r="M13010" s="28" t="s">
        <v>51</v>
      </c>
      <c r="N13010" s="28" t="s">
        <v>51</v>
      </c>
    </row>
    <row r="13011" spans="1:14" hidden="1" outlineLevel="1" x14ac:dyDescent="0.15">
      <c r="A13011" s="23" t="str">
        <f>HYPERLINK("https://www.spark-marketing.ru/Card/Person/1006676", "МБОУ СОШ № 7")</f>
        <v>МБОУ СОШ № 7</v>
      </c>
      <c r="B13011" s="24" t="s">
        <v>17537</v>
      </c>
      <c r="C13011" s="25">
        <v>1545323.87</v>
      </c>
      <c r="D13011" s="22" t="s">
        <v>17536</v>
      </c>
      <c r="E13011" s="22" t="s">
        <v>48</v>
      </c>
      <c r="F13011" s="23" t="str">
        <f t="shared" si="426"/>
        <v>Оказание услуг по организации питания обучающихся с 01.09.2019 г. по 29.11.2019 г.</v>
      </c>
      <c r="G13011" s="22" t="s">
        <v>174</v>
      </c>
      <c r="H13011" s="22" t="s">
        <v>17538</v>
      </c>
      <c r="I13011" s="26">
        <v>43662.4230902778</v>
      </c>
      <c r="J13011" s="23" t="str">
        <f t="shared" si="427"/>
        <v>ООО "ТОП"</v>
      </c>
      <c r="K13011" s="24" t="s">
        <v>15133</v>
      </c>
      <c r="L13011" s="22" t="s">
        <v>10</v>
      </c>
      <c r="M13011" s="28" t="s">
        <v>51</v>
      </c>
      <c r="N13011" s="28" t="s">
        <v>51</v>
      </c>
    </row>
    <row r="13012" spans="1:14" hidden="1" outlineLevel="1" x14ac:dyDescent="0.15">
      <c r="A13012" s="23" t="str">
        <f>HYPERLINK("https://www.spark-marketing.ru/Card/Person/1033110", "МБОУ СОШ №30")</f>
        <v>МБОУ СОШ №30</v>
      </c>
      <c r="B13012" s="24" t="s">
        <v>17539</v>
      </c>
      <c r="C13012" s="25">
        <v>569429.06000000006</v>
      </c>
      <c r="D13012" s="22" t="s">
        <v>17536</v>
      </c>
      <c r="E13012" s="22" t="s">
        <v>48</v>
      </c>
      <c r="F13012" s="23" t="str">
        <f t="shared" si="426"/>
        <v>Оказание услуг по организации питания обучающихся с 01.09.2019 г. по 29.11.2019 г.</v>
      </c>
      <c r="G13012" s="22" t="s">
        <v>174</v>
      </c>
      <c r="H13012" s="22" t="s">
        <v>17540</v>
      </c>
      <c r="I13012" s="26">
        <v>43662.4230902778</v>
      </c>
      <c r="J13012" s="23" t="str">
        <f t="shared" si="427"/>
        <v>ООО "ТОП"</v>
      </c>
      <c r="K13012" s="24" t="s">
        <v>15133</v>
      </c>
      <c r="L13012" s="22" t="s">
        <v>10</v>
      </c>
      <c r="M13012" s="28" t="s">
        <v>51</v>
      </c>
      <c r="N13012" s="28" t="s">
        <v>51</v>
      </c>
    </row>
    <row r="13013" spans="1:14" hidden="1" outlineLevel="1" x14ac:dyDescent="0.15">
      <c r="A13013" s="23" t="str">
        <f>HYPERLINK("https://www.spark-marketing.ru/Card/Person/1046759", "МБОУ СОШ № 9 ИМЕНИ ЛАНДЫШЕВОЙ А.Е.")</f>
        <v>МБОУ СОШ № 9 ИМЕНИ ЛАНДЫШЕВОЙ А.Е.</v>
      </c>
      <c r="B13013" s="24" t="s">
        <v>17541</v>
      </c>
      <c r="C13013" s="25">
        <v>532733.42000000004</v>
      </c>
      <c r="D13013" s="22" t="s">
        <v>17536</v>
      </c>
      <c r="E13013" s="22" t="s">
        <v>48</v>
      </c>
      <c r="F13013" s="23" t="str">
        <f t="shared" si="426"/>
        <v>Оказание услуг по организации питания обучающихся с 01.09.2019 г. по 29.11.2019 г.</v>
      </c>
      <c r="G13013" s="22" t="s">
        <v>174</v>
      </c>
      <c r="H13013" s="22" t="s">
        <v>17540</v>
      </c>
      <c r="I13013" s="26">
        <v>43662.4230902778</v>
      </c>
      <c r="J13013" s="23" t="str">
        <f t="shared" si="427"/>
        <v>ООО "ТОП"</v>
      </c>
      <c r="K13013" s="24" t="s">
        <v>15133</v>
      </c>
      <c r="L13013" s="22" t="s">
        <v>10</v>
      </c>
      <c r="M13013" s="28" t="s">
        <v>51</v>
      </c>
      <c r="N13013" s="28" t="s">
        <v>51</v>
      </c>
    </row>
    <row r="13014" spans="1:14" hidden="1" outlineLevel="1" x14ac:dyDescent="0.15">
      <c r="A13014" s="23" t="str">
        <f>HYPERLINK("https://www.spark-marketing.ru/Card/Person/1051768", "МБОУ СОШ № 46")</f>
        <v>МБОУ СОШ № 46</v>
      </c>
      <c r="B13014" s="24" t="s">
        <v>17542</v>
      </c>
      <c r="C13014" s="25">
        <v>389826.57</v>
      </c>
      <c r="D13014" s="22" t="s">
        <v>17536</v>
      </c>
      <c r="E13014" s="22" t="s">
        <v>48</v>
      </c>
      <c r="F13014" s="23" t="str">
        <f t="shared" si="426"/>
        <v>Оказание услуг по организации питания обучающихся с 01.09.2019 г. по 29.11.2019 г.</v>
      </c>
      <c r="G13014" s="22" t="s">
        <v>174</v>
      </c>
      <c r="H13014" s="22" t="s">
        <v>17540</v>
      </c>
      <c r="I13014" s="26">
        <v>43662.4230902778</v>
      </c>
      <c r="J13014" s="23" t="str">
        <f t="shared" si="427"/>
        <v>ООО "ТОП"</v>
      </c>
      <c r="K13014" s="24" t="s">
        <v>15133</v>
      </c>
      <c r="L13014" s="22" t="s">
        <v>10</v>
      </c>
      <c r="M13014" s="28" t="s">
        <v>51</v>
      </c>
      <c r="N13014" s="28" t="s">
        <v>51</v>
      </c>
    </row>
    <row r="13015" spans="1:14" hidden="1" outlineLevel="1" x14ac:dyDescent="0.15">
      <c r="A13015" s="23" t="str">
        <f>HYPERLINK("https://www.spark-marketing.ru/Card/Person/1067421", "МБОУ ООШ № 27")</f>
        <v>МБОУ ООШ № 27</v>
      </c>
      <c r="B13015" s="24" t="s">
        <v>17543</v>
      </c>
      <c r="C13015" s="25">
        <v>359434.49</v>
      </c>
      <c r="D13015" s="22" t="s">
        <v>17536</v>
      </c>
      <c r="E13015" s="22" t="s">
        <v>48</v>
      </c>
      <c r="F13015" s="23" t="str">
        <f t="shared" si="426"/>
        <v>Оказание услуг по организации питания обучающихся с 01.09.2019 г. по 29.11.2019 г.</v>
      </c>
      <c r="G13015" s="22" t="s">
        <v>174</v>
      </c>
      <c r="H13015" s="22" t="s">
        <v>17540</v>
      </c>
      <c r="I13015" s="26">
        <v>43662.4230902778</v>
      </c>
      <c r="J13015" s="23" t="str">
        <f t="shared" si="427"/>
        <v>ООО "ТОП"</v>
      </c>
      <c r="K13015" s="24" t="s">
        <v>15133</v>
      </c>
      <c r="L13015" s="22" t="s">
        <v>10</v>
      </c>
      <c r="M13015" s="28" t="s">
        <v>51</v>
      </c>
      <c r="N13015" s="28" t="s">
        <v>51</v>
      </c>
    </row>
    <row r="13016" spans="1:14" hidden="1" outlineLevel="1" x14ac:dyDescent="0.15">
      <c r="A13016" s="23" t="str">
        <f>HYPERLINK("https://www.spark-marketing.ru/Card/Person/1070570", "МБОУ СОШ № 1")</f>
        <v>МБОУ СОШ № 1</v>
      </c>
      <c r="B13016" s="24" t="s">
        <v>17544</v>
      </c>
      <c r="C13016" s="25">
        <v>1845833.88</v>
      </c>
      <c r="D13016" s="22" t="s">
        <v>17536</v>
      </c>
      <c r="E13016" s="22" t="s">
        <v>48</v>
      </c>
      <c r="F13016" s="23" t="str">
        <f t="shared" si="426"/>
        <v>Оказание услуг по организации питания обучающихся с 01.09.2019 г. по 29.11.2019 г.</v>
      </c>
      <c r="G13016" s="22" t="s">
        <v>174</v>
      </c>
      <c r="H13016" s="22" t="s">
        <v>17538</v>
      </c>
      <c r="I13016" s="26">
        <v>43662.4230902778</v>
      </c>
      <c r="J13016" s="23" t="str">
        <f t="shared" si="427"/>
        <v>ООО "ТОП"</v>
      </c>
      <c r="K13016" s="24" t="s">
        <v>15133</v>
      </c>
      <c r="L13016" s="22" t="s">
        <v>10</v>
      </c>
      <c r="M13016" s="28" t="s">
        <v>51</v>
      </c>
      <c r="N13016" s="28" t="s">
        <v>51</v>
      </c>
    </row>
    <row r="13017" spans="1:14" hidden="1" outlineLevel="1" x14ac:dyDescent="0.15">
      <c r="A13017" s="23" t="str">
        <f>HYPERLINK("https://www.spark-marketing.ru/Card/Person/1071450", "МБОУ СОШ № 5")</f>
        <v>МБОУ СОШ № 5</v>
      </c>
      <c r="B13017" s="24" t="s">
        <v>17545</v>
      </c>
      <c r="C13017" s="25">
        <v>1426300.22</v>
      </c>
      <c r="D13017" s="22" t="s">
        <v>17536</v>
      </c>
      <c r="E13017" s="22" t="s">
        <v>48</v>
      </c>
      <c r="F13017" s="23" t="str">
        <f t="shared" si="426"/>
        <v>Оказание услуг по организации питания обучающихся с 01.09.2019 г. по 29.11.2019 г.</v>
      </c>
      <c r="G13017" s="22" t="s">
        <v>174</v>
      </c>
      <c r="H13017" s="22" t="s">
        <v>17538</v>
      </c>
      <c r="I13017" s="26">
        <v>43662.4230902778</v>
      </c>
      <c r="J13017" s="23" t="str">
        <f t="shared" si="427"/>
        <v>ООО "ТОП"</v>
      </c>
      <c r="K13017" s="24" t="s">
        <v>15133</v>
      </c>
      <c r="L13017" s="22" t="s">
        <v>10</v>
      </c>
      <c r="M13017" s="28" t="s">
        <v>51</v>
      </c>
      <c r="N13017" s="28" t="s">
        <v>51</v>
      </c>
    </row>
    <row r="13018" spans="1:14" hidden="1" outlineLevel="1" x14ac:dyDescent="0.15">
      <c r="A13018" s="23" t="str">
        <f>HYPERLINK("https://www.spark-marketing.ru/Card/Person/1073240", "МБОУ СОШ № 23")</f>
        <v>МБОУ СОШ № 23</v>
      </c>
      <c r="B13018" s="24" t="s">
        <v>17546</v>
      </c>
      <c r="C13018" s="25">
        <v>791074.36</v>
      </c>
      <c r="D13018" s="22" t="s">
        <v>17536</v>
      </c>
      <c r="E13018" s="22" t="s">
        <v>48</v>
      </c>
      <c r="F13018" s="23" t="str">
        <f t="shared" si="426"/>
        <v>Оказание услуг по организации питания обучающихся с 01.09.2019 г. по 29.11.2019 г.</v>
      </c>
      <c r="G13018" s="22" t="s">
        <v>174</v>
      </c>
      <c r="H13018" s="22" t="s">
        <v>17540</v>
      </c>
      <c r="I13018" s="26">
        <v>43662.4230902778</v>
      </c>
      <c r="J13018" s="23" t="str">
        <f t="shared" si="427"/>
        <v>ООО "ТОП"</v>
      </c>
      <c r="K13018" s="24" t="s">
        <v>15133</v>
      </c>
      <c r="L13018" s="22" t="s">
        <v>10</v>
      </c>
      <c r="M13018" s="28" t="s">
        <v>51</v>
      </c>
      <c r="N13018" s="28" t="s">
        <v>51</v>
      </c>
    </row>
    <row r="13019" spans="1:14" hidden="1" outlineLevel="1" x14ac:dyDescent="0.15">
      <c r="A13019" s="23" t="str">
        <f>HYPERLINK("https://www.spark-marketing.ru/Card/Person/4375135", "МБОУ СОШ № 3")</f>
        <v>МБОУ СОШ № 3</v>
      </c>
      <c r="B13019" s="24" t="s">
        <v>17547</v>
      </c>
      <c r="C13019" s="25">
        <v>1490342.36</v>
      </c>
      <c r="D13019" s="22" t="s">
        <v>17536</v>
      </c>
      <c r="E13019" s="22" t="s">
        <v>48</v>
      </c>
      <c r="F13019" s="23" t="str">
        <f t="shared" si="426"/>
        <v>Оказание услуг по организации питания обучающихся с 01.09.2019 г. по 29.11.2019 г.</v>
      </c>
      <c r="G13019" s="22" t="s">
        <v>174</v>
      </c>
      <c r="H13019" s="22" t="s">
        <v>17538</v>
      </c>
      <c r="I13019" s="26">
        <v>43662.4230902778</v>
      </c>
      <c r="J13019" s="23" t="str">
        <f t="shared" si="427"/>
        <v>ООО "ТОП"</v>
      </c>
      <c r="K13019" s="24" t="s">
        <v>15133</v>
      </c>
      <c r="L13019" s="22" t="s">
        <v>10</v>
      </c>
      <c r="M13019" s="28" t="s">
        <v>51</v>
      </c>
      <c r="N13019" s="28" t="s">
        <v>51</v>
      </c>
    </row>
    <row r="13020" spans="1:14" hidden="1" outlineLevel="1" x14ac:dyDescent="0.15">
      <c r="A13020" s="23" t="str">
        <f>HYPERLINK("https://www.spark-marketing.ru/Card/Person/4375785", "МБОУ СОШ №4")</f>
        <v>МБОУ СОШ №4</v>
      </c>
      <c r="B13020" s="24" t="s">
        <v>17548</v>
      </c>
      <c r="C13020" s="25">
        <v>1349991.39</v>
      </c>
      <c r="D13020" s="22" t="s">
        <v>17536</v>
      </c>
      <c r="E13020" s="22" t="s">
        <v>48</v>
      </c>
      <c r="F13020" s="23" t="str">
        <f t="shared" si="426"/>
        <v>Оказание услуг по организации питания обучающихся с 01.09.2019 г. по 29.11.2019 г.</v>
      </c>
      <c r="G13020" s="22" t="s">
        <v>174</v>
      </c>
      <c r="H13020" s="22" t="s">
        <v>17538</v>
      </c>
      <c r="I13020" s="26">
        <v>43662.4230902778</v>
      </c>
      <c r="J13020" s="23" t="str">
        <f t="shared" si="427"/>
        <v>ООО "ТОП"</v>
      </c>
      <c r="K13020" s="24" t="s">
        <v>15133</v>
      </c>
      <c r="L13020" s="22" t="s">
        <v>10</v>
      </c>
      <c r="M13020" s="28" t="s">
        <v>51</v>
      </c>
      <c r="N13020" s="28" t="s">
        <v>51</v>
      </c>
    </row>
    <row r="13021" spans="1:14" hidden="1" outlineLevel="1" x14ac:dyDescent="0.15">
      <c r="A13021" s="23" t="str">
        <f>HYPERLINK("https://www.spark-marketing.ru/Card/Person/4376762", "МБОУ СОШ № 13")</f>
        <v>МБОУ СОШ № 13</v>
      </c>
      <c r="B13021" s="24" t="s">
        <v>17549</v>
      </c>
      <c r="C13021" s="25">
        <v>739949.09</v>
      </c>
      <c r="D13021" s="22" t="s">
        <v>17536</v>
      </c>
      <c r="E13021" s="22" t="s">
        <v>48</v>
      </c>
      <c r="F13021" s="23" t="str">
        <f t="shared" si="426"/>
        <v>Оказание услуг по организации питания обучающихся с 01.09.2019 г. по 29.11.2019 г.</v>
      </c>
      <c r="G13021" s="22" t="s">
        <v>174</v>
      </c>
      <c r="H13021" s="22" t="s">
        <v>17540</v>
      </c>
      <c r="I13021" s="26">
        <v>43662.4230902778</v>
      </c>
      <c r="J13021" s="23" t="str">
        <f t="shared" si="427"/>
        <v>ООО "ТОП"</v>
      </c>
      <c r="K13021" s="24" t="s">
        <v>15133</v>
      </c>
      <c r="L13021" s="22" t="s">
        <v>10</v>
      </c>
      <c r="M13021" s="28" t="s">
        <v>51</v>
      </c>
      <c r="N13021" s="28" t="s">
        <v>51</v>
      </c>
    </row>
    <row r="13022" spans="1:14" x14ac:dyDescent="0.15">
      <c r="A13022" s="23" t="str">
        <f>HYPERLINK("https://www.spark-marketing.ru/Card/Person/949776", "МБОУ СОШ № 11")</f>
        <v>МБОУ СОШ № 11</v>
      </c>
      <c r="B13022" s="24" t="s">
        <v>17550</v>
      </c>
      <c r="C13022" s="25">
        <v>1530830.4</v>
      </c>
      <c r="D13022" s="22" t="s">
        <v>17551</v>
      </c>
      <c r="E13022" s="22" t="s">
        <v>48</v>
      </c>
      <c r="F13022" s="23" t="str">
        <f>HYPERLINK("https://www.spark-marketing.ru/Card/Lot/72107651", "Оказание услуг организации горячего питания и обеспечение горячим питанием обучающихся")</f>
        <v>Оказание услуг организации горячего питания и обеспечение горячим питанием обучающихся</v>
      </c>
      <c r="G13022" s="22" t="s">
        <v>543</v>
      </c>
      <c r="H13022" s="22" t="s">
        <v>17552</v>
      </c>
      <c r="I13022" s="26">
        <v>43662.404895833301</v>
      </c>
      <c r="J13022" s="28" t="s">
        <v>51</v>
      </c>
      <c r="K13022" s="28" t="s">
        <v>51</v>
      </c>
      <c r="L13022" s="28" t="s">
        <v>51</v>
      </c>
      <c r="M13022" s="28" t="s">
        <v>51</v>
      </c>
      <c r="N13022" s="28" t="s">
        <v>51</v>
      </c>
    </row>
    <row r="13023" spans="1:14" x14ac:dyDescent="0.15">
      <c r="A13023" s="23" t="str">
        <f>HYPERLINK("https://www.spark-marketing.ru/Card/Person/56553", "ГБУЗ ИБ № 3")</f>
        <v>ГБУЗ ИБ № 3</v>
      </c>
      <c r="B13023" s="24" t="s">
        <v>254</v>
      </c>
      <c r="C13023" s="25">
        <v>499330</v>
      </c>
      <c r="D13023" s="22" t="s">
        <v>17553</v>
      </c>
      <c r="E13023" s="22" t="s">
        <v>96</v>
      </c>
      <c r="F13023" s="23" t="str">
        <f>HYPERLINK("https://www.spark-marketing.ru/Card/Lot/72159357", "Оказание услуг по обеспечению лечебным питанием")</f>
        <v>Оказание услуг по обеспечению лечебным питанием</v>
      </c>
      <c r="G13023" s="22" t="s">
        <v>104</v>
      </c>
      <c r="H13023" s="22" t="s">
        <v>1689</v>
      </c>
      <c r="I13023" s="26">
        <v>43662.380254629599</v>
      </c>
      <c r="J13023" s="28" t="s">
        <v>51</v>
      </c>
      <c r="K13023" s="28" t="s">
        <v>51</v>
      </c>
      <c r="L13023" s="28" t="s">
        <v>51</v>
      </c>
      <c r="M13023" s="28" t="s">
        <v>51</v>
      </c>
      <c r="N13023" s="28" t="s">
        <v>51</v>
      </c>
    </row>
    <row r="13024" spans="1:14" ht="12.75" hidden="1" outlineLevel="1" x14ac:dyDescent="0.2">
      <c r="A13024" s="23" t="str">
        <f>HYPERLINK("https://www.spark-marketing.ru/Card/Person/56553", "ГБУЗ ИБ № 3")</f>
        <v>ГБУЗ ИБ № 3</v>
      </c>
      <c r="B13024" s="24" t="s">
        <v>254</v>
      </c>
      <c r="C13024" s="25">
        <v>499330</v>
      </c>
      <c r="D13024" s="22" t="s">
        <v>17553</v>
      </c>
      <c r="E13024" s="22" t="s">
        <v>96</v>
      </c>
      <c r="F13024" s="23" t="str">
        <f>HYPERLINK("https://www.spark-marketing.ru/Card/Lot/72159357", "Оказание услуг по обеспечению лечебным питанием")</f>
        <v>Оказание услуг по обеспечению лечебным питанием</v>
      </c>
      <c r="G13024" s="22" t="s">
        <v>104</v>
      </c>
      <c r="H13024" s="22" t="s">
        <v>1689</v>
      </c>
      <c r="I13024" s="26">
        <v>43662.380254629599</v>
      </c>
      <c r="J13024" s="23" t="str">
        <f>HYPERLINK("https://www.spark-marketing.ru/Card/Person/54395", "Третьяков Вячеслав Викторович")</f>
        <v>Третьяков Вячеслав Викторович</v>
      </c>
      <c r="K13024" s="24" t="s">
        <v>1690</v>
      </c>
      <c r="L13024" s="22" t="s">
        <v>10</v>
      </c>
      <c r="M13024" s="25">
        <v>298297.96000000002</v>
      </c>
      <c r="N13024" s="27">
        <v>0.40260356878216813</v>
      </c>
    </row>
    <row r="13025" spans="1:14" hidden="1" outlineLevel="1" x14ac:dyDescent="0.2">
      <c r="A13025" s="23" t="str">
        <f>HYPERLINK("https://www.spark-marketing.ru/Card/Person/56553", "ГБУЗ ИБ № 3")</f>
        <v>ГБУЗ ИБ № 3</v>
      </c>
      <c r="B13025" s="24" t="s">
        <v>254</v>
      </c>
      <c r="C13025" s="25">
        <v>499330</v>
      </c>
      <c r="D13025" s="22" t="s">
        <v>17553</v>
      </c>
      <c r="E13025" s="22" t="s">
        <v>96</v>
      </c>
      <c r="F13025" s="23" t="str">
        <f>HYPERLINK("https://www.spark-marketing.ru/Card/Lot/72159357", "Оказание услуг по обеспечению лечебным питанием")</f>
        <v>Оказание услуг по обеспечению лечебным питанием</v>
      </c>
      <c r="G13025" s="22" t="s">
        <v>104</v>
      </c>
      <c r="H13025" s="22" t="s">
        <v>1689</v>
      </c>
      <c r="I13025" s="26">
        <v>43662.380254629599</v>
      </c>
      <c r="J13025" s="23" t="str">
        <f>HYPERLINK("https://www.spark-marketing.ru/Card/Person/2461569", "ООО ""КОНСТАНТИНОВ""")</f>
        <v>ООО "КОНСТАНТИНОВ"</v>
      </c>
      <c r="K13025" s="24" t="s">
        <v>1691</v>
      </c>
      <c r="L13025" s="28" t="s">
        <v>51</v>
      </c>
      <c r="M13025" s="25">
        <v>300794.61</v>
      </c>
      <c r="N13025" s="27">
        <v>0.39760356878216813</v>
      </c>
    </row>
    <row r="13026" spans="1:14" x14ac:dyDescent="0.15">
      <c r="A13026" s="23" t="s">
        <v>114</v>
      </c>
      <c r="B13026" s="28" t="s">
        <v>51</v>
      </c>
      <c r="C13026" s="25">
        <v>7870649.9000000004</v>
      </c>
      <c r="D13026" s="22" t="s">
        <v>17554</v>
      </c>
      <c r="E13026" s="22" t="s">
        <v>3809</v>
      </c>
      <c r="F13026" s="23" t="str">
        <f t="shared" ref="F13026:F13057" si="428">HYPERLINK("https://www.spark-marketing.ru/Card/Lot/72133974", "Определение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(№297-ЭА-19-ДС)")</f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26" s="22" t="s">
        <v>51</v>
      </c>
      <c r="H13026" s="22" t="s">
        <v>51</v>
      </c>
      <c r="I13026" s="26">
        <v>43662.412708333301</v>
      </c>
      <c r="J13026" s="28" t="s">
        <v>51</v>
      </c>
      <c r="K13026" s="28" t="s">
        <v>51</v>
      </c>
      <c r="L13026" s="28" t="s">
        <v>51</v>
      </c>
      <c r="M13026" s="28" t="s">
        <v>51</v>
      </c>
      <c r="N13026" s="28" t="s">
        <v>51</v>
      </c>
    </row>
    <row r="13027" spans="1:14" hidden="1" outlineLevel="1" x14ac:dyDescent="0.15">
      <c r="A13027" s="23" t="str">
        <f>HYPERLINK("https://www.spark-marketing.ru/Card/Person/103016", "МБДОУ ""ДЕТСКИЙ САД № 62""")</f>
        <v>МБДОУ "ДЕТСКИЙ САД № 62"</v>
      </c>
      <c r="B13027" s="24" t="s">
        <v>17555</v>
      </c>
      <c r="C13027" s="25">
        <v>67063.100000000006</v>
      </c>
      <c r="D13027" s="22" t="s">
        <v>17554</v>
      </c>
      <c r="E13027" s="22" t="s">
        <v>3809</v>
      </c>
      <c r="F13027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27" s="22" t="s">
        <v>76</v>
      </c>
      <c r="H13027" s="22" t="s">
        <v>76</v>
      </c>
      <c r="I13027" s="26">
        <v>43662.412708333301</v>
      </c>
      <c r="J13027" s="28" t="s">
        <v>51</v>
      </c>
      <c r="K13027" s="28" t="s">
        <v>51</v>
      </c>
      <c r="L13027" s="28" t="s">
        <v>51</v>
      </c>
      <c r="M13027" s="28" t="s">
        <v>51</v>
      </c>
      <c r="N13027" s="28" t="s">
        <v>51</v>
      </c>
    </row>
    <row r="13028" spans="1:14" hidden="1" outlineLevel="1" x14ac:dyDescent="0.15">
      <c r="A13028" s="23" t="str">
        <f>HYPERLINK("https://www.spark-marketing.ru/Card/Person/127779", "МБДОУ ""ДЕТСКИЙ САД № 99""")</f>
        <v>МБДОУ "ДЕТСКИЙ САД № 99"</v>
      </c>
      <c r="B13028" s="24" t="s">
        <v>17556</v>
      </c>
      <c r="C13028" s="25">
        <v>77893.5</v>
      </c>
      <c r="D13028" s="22" t="s">
        <v>17554</v>
      </c>
      <c r="E13028" s="22" t="s">
        <v>3809</v>
      </c>
      <c r="F13028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28" s="22" t="s">
        <v>76</v>
      </c>
      <c r="H13028" s="22" t="s">
        <v>76</v>
      </c>
      <c r="I13028" s="26">
        <v>43662.412708333301</v>
      </c>
      <c r="J13028" s="28" t="s">
        <v>51</v>
      </c>
      <c r="K13028" s="28" t="s">
        <v>51</v>
      </c>
      <c r="L13028" s="28" t="s">
        <v>51</v>
      </c>
      <c r="M13028" s="28" t="s">
        <v>51</v>
      </c>
      <c r="N13028" s="28" t="s">
        <v>51</v>
      </c>
    </row>
    <row r="13029" spans="1:14" hidden="1" outlineLevel="1" x14ac:dyDescent="0.15">
      <c r="A13029" s="23" t="str">
        <f>HYPERLINK("https://www.spark-marketing.ru/Card/Person/142970", "МБДОУ ""ДЕТСКИЙ САД № 89""")</f>
        <v>МБДОУ "ДЕТСКИЙ САД № 89"</v>
      </c>
      <c r="B13029" s="24" t="s">
        <v>17557</v>
      </c>
      <c r="C13029" s="25">
        <v>103894.2</v>
      </c>
      <c r="D13029" s="22" t="s">
        <v>17554</v>
      </c>
      <c r="E13029" s="22" t="s">
        <v>3809</v>
      </c>
      <c r="F13029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29" s="22" t="s">
        <v>76</v>
      </c>
      <c r="H13029" s="22" t="s">
        <v>76</v>
      </c>
      <c r="I13029" s="26">
        <v>43662.412708333301</v>
      </c>
      <c r="J13029" s="28" t="s">
        <v>51</v>
      </c>
      <c r="K13029" s="28" t="s">
        <v>51</v>
      </c>
      <c r="L13029" s="28" t="s">
        <v>51</v>
      </c>
      <c r="M13029" s="28" t="s">
        <v>51</v>
      </c>
      <c r="N13029" s="28" t="s">
        <v>51</v>
      </c>
    </row>
    <row r="13030" spans="1:14" hidden="1" outlineLevel="1" x14ac:dyDescent="0.15">
      <c r="A13030" s="23" t="str">
        <f>HYPERLINK("https://www.spark-marketing.ru/Card/Person/143743", "МБДОУ ""ДЕТСКИЙ САД № 100""")</f>
        <v>МБДОУ "ДЕТСКИЙ САД № 100"</v>
      </c>
      <c r="B13030" s="24" t="s">
        <v>17558</v>
      </c>
      <c r="C13030" s="25">
        <v>78660.3</v>
      </c>
      <c r="D13030" s="22" t="s">
        <v>17554</v>
      </c>
      <c r="E13030" s="22" t="s">
        <v>3809</v>
      </c>
      <c r="F13030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30" s="22" t="s">
        <v>76</v>
      </c>
      <c r="H13030" s="22" t="s">
        <v>76</v>
      </c>
      <c r="I13030" s="26">
        <v>43662.412708333301</v>
      </c>
      <c r="J13030" s="28" t="s">
        <v>51</v>
      </c>
      <c r="K13030" s="28" t="s">
        <v>51</v>
      </c>
      <c r="L13030" s="28" t="s">
        <v>51</v>
      </c>
      <c r="M13030" s="28" t="s">
        <v>51</v>
      </c>
      <c r="N13030" s="28" t="s">
        <v>51</v>
      </c>
    </row>
    <row r="13031" spans="1:14" hidden="1" outlineLevel="1" x14ac:dyDescent="0.15">
      <c r="A13031" s="23" t="str">
        <f>HYPERLINK("https://www.spark-marketing.ru/Card/Person/237759", "МБДОУ ""ДЕТСКИЙ САД № 50""")</f>
        <v>МБДОУ "ДЕТСКИЙ САД № 50"</v>
      </c>
      <c r="B13031" s="24" t="s">
        <v>17559</v>
      </c>
      <c r="C13031" s="25">
        <v>62282.7</v>
      </c>
      <c r="D13031" s="22" t="s">
        <v>17554</v>
      </c>
      <c r="E13031" s="22" t="s">
        <v>3809</v>
      </c>
      <c r="F13031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31" s="22" t="s">
        <v>76</v>
      </c>
      <c r="H13031" s="22" t="s">
        <v>76</v>
      </c>
      <c r="I13031" s="26">
        <v>43662.412708333301</v>
      </c>
      <c r="J13031" s="28" t="s">
        <v>51</v>
      </c>
      <c r="K13031" s="28" t="s">
        <v>51</v>
      </c>
      <c r="L13031" s="28" t="s">
        <v>51</v>
      </c>
      <c r="M13031" s="28" t="s">
        <v>51</v>
      </c>
      <c r="N13031" s="28" t="s">
        <v>51</v>
      </c>
    </row>
    <row r="13032" spans="1:14" hidden="1" outlineLevel="1" x14ac:dyDescent="0.15">
      <c r="A13032" s="23" t="str">
        <f>HYPERLINK("https://www.spark-marketing.ru/Card/Person/1058881", "МБДОУ ""ДЕТСКИЙ САД № 131""")</f>
        <v>МБДОУ "ДЕТСКИЙ САД № 131"</v>
      </c>
      <c r="B13032" s="24" t="s">
        <v>17560</v>
      </c>
      <c r="C13032" s="25">
        <v>127392.6</v>
      </c>
      <c r="D13032" s="22" t="s">
        <v>17554</v>
      </c>
      <c r="E13032" s="22" t="s">
        <v>3809</v>
      </c>
      <c r="F13032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32" s="22" t="s">
        <v>76</v>
      </c>
      <c r="H13032" s="22" t="s">
        <v>76</v>
      </c>
      <c r="I13032" s="26">
        <v>43662.412708333301</v>
      </c>
      <c r="J13032" s="28" t="s">
        <v>51</v>
      </c>
      <c r="K13032" s="28" t="s">
        <v>51</v>
      </c>
      <c r="L13032" s="28" t="s">
        <v>51</v>
      </c>
      <c r="M13032" s="28" t="s">
        <v>51</v>
      </c>
      <c r="N13032" s="28" t="s">
        <v>51</v>
      </c>
    </row>
    <row r="13033" spans="1:14" hidden="1" outlineLevel="1" x14ac:dyDescent="0.15">
      <c r="A13033" s="23" t="str">
        <f>HYPERLINK("https://www.spark-marketing.ru/Card/Person/1067901", "МБДОУ ""ДЕТСКИЙ САД № 124""")</f>
        <v>МБДОУ "ДЕТСКИЙ САД № 124"</v>
      </c>
      <c r="B13033" s="24" t="s">
        <v>17561</v>
      </c>
      <c r="C13033" s="25">
        <v>110381.6</v>
      </c>
      <c r="D13033" s="22" t="s">
        <v>17554</v>
      </c>
      <c r="E13033" s="22" t="s">
        <v>3809</v>
      </c>
      <c r="F13033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33" s="22" t="s">
        <v>76</v>
      </c>
      <c r="H13033" s="22" t="s">
        <v>76</v>
      </c>
      <c r="I13033" s="26">
        <v>43662.412708333301</v>
      </c>
      <c r="J13033" s="28" t="s">
        <v>51</v>
      </c>
      <c r="K13033" s="28" t="s">
        <v>51</v>
      </c>
      <c r="L13033" s="28" t="s">
        <v>51</v>
      </c>
      <c r="M13033" s="28" t="s">
        <v>51</v>
      </c>
      <c r="N13033" s="28" t="s">
        <v>51</v>
      </c>
    </row>
    <row r="13034" spans="1:14" hidden="1" outlineLevel="1" x14ac:dyDescent="0.15">
      <c r="A13034" s="23" t="str">
        <f>HYPERLINK("https://www.spark-marketing.ru/Card/Person/1067903", "МБДОУ ""ДЕТСКИЙ САД № 141""")</f>
        <v>МБДОУ "ДЕТСКИЙ САД № 141"</v>
      </c>
      <c r="B13034" s="24" t="s">
        <v>17562</v>
      </c>
      <c r="C13034" s="25">
        <v>152368</v>
      </c>
      <c r="D13034" s="22" t="s">
        <v>17554</v>
      </c>
      <c r="E13034" s="22" t="s">
        <v>3809</v>
      </c>
      <c r="F13034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34" s="22" t="s">
        <v>76</v>
      </c>
      <c r="H13034" s="22" t="s">
        <v>76</v>
      </c>
      <c r="I13034" s="26">
        <v>43662.412708333301</v>
      </c>
      <c r="J13034" s="28" t="s">
        <v>51</v>
      </c>
      <c r="K13034" s="28" t="s">
        <v>51</v>
      </c>
      <c r="L13034" s="28" t="s">
        <v>51</v>
      </c>
      <c r="M13034" s="28" t="s">
        <v>51</v>
      </c>
      <c r="N13034" s="28" t="s">
        <v>51</v>
      </c>
    </row>
    <row r="13035" spans="1:14" hidden="1" outlineLevel="1" x14ac:dyDescent="0.15">
      <c r="A13035" s="23" t="str">
        <f>HYPERLINK("https://www.spark-marketing.ru/Card/Person/1068052", "МБДОУ ""ДЕТСКИЙ САД № 23""")</f>
        <v>МБДОУ "ДЕТСКИЙ САД № 23"</v>
      </c>
      <c r="B13035" s="24" t="s">
        <v>17563</v>
      </c>
      <c r="C13035" s="25">
        <v>81634.100000000006</v>
      </c>
      <c r="D13035" s="22" t="s">
        <v>17554</v>
      </c>
      <c r="E13035" s="22" t="s">
        <v>3809</v>
      </c>
      <c r="F13035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35" s="22" t="s">
        <v>76</v>
      </c>
      <c r="H13035" s="22" t="s">
        <v>76</v>
      </c>
      <c r="I13035" s="26">
        <v>43662.412708333301</v>
      </c>
      <c r="J13035" s="28" t="s">
        <v>51</v>
      </c>
      <c r="K13035" s="28" t="s">
        <v>51</v>
      </c>
      <c r="L13035" s="28" t="s">
        <v>51</v>
      </c>
      <c r="M13035" s="28" t="s">
        <v>51</v>
      </c>
      <c r="N13035" s="28" t="s">
        <v>51</v>
      </c>
    </row>
    <row r="13036" spans="1:14" hidden="1" outlineLevel="1" x14ac:dyDescent="0.15">
      <c r="A13036" s="23" t="str">
        <f>HYPERLINK("https://www.spark-marketing.ru/Card/Person/1068095", "МБДОУ ""ДЕТСКИЙ САД № 140""")</f>
        <v>МБДОУ "ДЕТСКИЙ САД № 140"</v>
      </c>
      <c r="B13036" s="24" t="s">
        <v>17564</v>
      </c>
      <c r="C13036" s="25">
        <v>72059.899999999994</v>
      </c>
      <c r="D13036" s="22" t="s">
        <v>17554</v>
      </c>
      <c r="E13036" s="22" t="s">
        <v>3809</v>
      </c>
      <c r="F13036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36" s="22" t="s">
        <v>76</v>
      </c>
      <c r="H13036" s="22" t="s">
        <v>76</v>
      </c>
      <c r="I13036" s="26">
        <v>43662.412708333301</v>
      </c>
      <c r="J13036" s="28" t="s">
        <v>51</v>
      </c>
      <c r="K13036" s="28" t="s">
        <v>51</v>
      </c>
      <c r="L13036" s="28" t="s">
        <v>51</v>
      </c>
      <c r="M13036" s="28" t="s">
        <v>51</v>
      </c>
      <c r="N13036" s="28" t="s">
        <v>51</v>
      </c>
    </row>
    <row r="13037" spans="1:14" hidden="1" outlineLevel="1" x14ac:dyDescent="0.15">
      <c r="A13037" s="23" t="str">
        <f>HYPERLINK("https://www.spark-marketing.ru/Card/Person/1068120", "МБДОУ ""ДЕТСКИЙ САД № 130""")</f>
        <v>МБДОУ "ДЕТСКИЙ САД № 130"</v>
      </c>
      <c r="B13037" s="24" t="s">
        <v>17565</v>
      </c>
      <c r="C13037" s="25">
        <v>144714.9</v>
      </c>
      <c r="D13037" s="22" t="s">
        <v>17554</v>
      </c>
      <c r="E13037" s="22" t="s">
        <v>3809</v>
      </c>
      <c r="F13037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37" s="22" t="s">
        <v>76</v>
      </c>
      <c r="H13037" s="22" t="s">
        <v>76</v>
      </c>
      <c r="I13037" s="26">
        <v>43662.412708333301</v>
      </c>
      <c r="J13037" s="28" t="s">
        <v>51</v>
      </c>
      <c r="K13037" s="28" t="s">
        <v>51</v>
      </c>
      <c r="L13037" s="28" t="s">
        <v>51</v>
      </c>
      <c r="M13037" s="28" t="s">
        <v>51</v>
      </c>
      <c r="N13037" s="28" t="s">
        <v>51</v>
      </c>
    </row>
    <row r="13038" spans="1:14" hidden="1" outlineLevel="1" x14ac:dyDescent="0.15">
      <c r="A13038" s="23" t="str">
        <f>HYPERLINK("https://www.spark-marketing.ru/Card/Person/1068138", "МБДОУ ""ДЕТСКИЙ САД № 20""")</f>
        <v>МБДОУ "ДЕТСКИЙ САД № 20"</v>
      </c>
      <c r="B13038" s="24" t="s">
        <v>17566</v>
      </c>
      <c r="C13038" s="25">
        <v>87027.199999999997</v>
      </c>
      <c r="D13038" s="22" t="s">
        <v>17554</v>
      </c>
      <c r="E13038" s="22" t="s">
        <v>3809</v>
      </c>
      <c r="F13038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38" s="22" t="s">
        <v>76</v>
      </c>
      <c r="H13038" s="22" t="s">
        <v>76</v>
      </c>
      <c r="I13038" s="26">
        <v>43662.412708333301</v>
      </c>
      <c r="J13038" s="28" t="s">
        <v>51</v>
      </c>
      <c r="K13038" s="28" t="s">
        <v>51</v>
      </c>
      <c r="L13038" s="28" t="s">
        <v>51</v>
      </c>
      <c r="M13038" s="28" t="s">
        <v>51</v>
      </c>
      <c r="N13038" s="28" t="s">
        <v>51</v>
      </c>
    </row>
    <row r="13039" spans="1:14" hidden="1" outlineLevel="1" x14ac:dyDescent="0.15">
      <c r="A13039" s="23" t="str">
        <f>HYPERLINK("https://www.spark-marketing.ru/Card/Person/1068274", "МБДОУ ""ДЕТСКИЙ САД № 21""")</f>
        <v>МБДОУ "ДЕТСКИЙ САД № 21"</v>
      </c>
      <c r="B13039" s="24" t="s">
        <v>17567</v>
      </c>
      <c r="C13039" s="25">
        <v>165517</v>
      </c>
      <c r="D13039" s="22" t="s">
        <v>17554</v>
      </c>
      <c r="E13039" s="22" t="s">
        <v>3809</v>
      </c>
      <c r="F13039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39" s="22" t="s">
        <v>76</v>
      </c>
      <c r="H13039" s="22" t="s">
        <v>76</v>
      </c>
      <c r="I13039" s="26">
        <v>43662.412708333301</v>
      </c>
      <c r="J13039" s="28" t="s">
        <v>51</v>
      </c>
      <c r="K13039" s="28" t="s">
        <v>51</v>
      </c>
      <c r="L13039" s="28" t="s">
        <v>51</v>
      </c>
      <c r="M13039" s="28" t="s">
        <v>51</v>
      </c>
      <c r="N13039" s="28" t="s">
        <v>51</v>
      </c>
    </row>
    <row r="13040" spans="1:14" hidden="1" outlineLevel="1" x14ac:dyDescent="0.15">
      <c r="A13040" s="23" t="str">
        <f>HYPERLINK("https://www.spark-marketing.ru/Card/Person/1068528", "МБДОУ ""ДЕТСКИЙ САД № 16""")</f>
        <v>МБДОУ "ДЕТСКИЙ САД № 16"</v>
      </c>
      <c r="B13040" s="24" t="s">
        <v>17568</v>
      </c>
      <c r="C13040" s="25">
        <v>64075.199999999997</v>
      </c>
      <c r="D13040" s="22" t="s">
        <v>17554</v>
      </c>
      <c r="E13040" s="22" t="s">
        <v>3809</v>
      </c>
      <c r="F13040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40" s="22" t="s">
        <v>76</v>
      </c>
      <c r="H13040" s="22" t="s">
        <v>76</v>
      </c>
      <c r="I13040" s="26">
        <v>43662.412708333301</v>
      </c>
      <c r="J13040" s="28" t="s">
        <v>51</v>
      </c>
      <c r="K13040" s="28" t="s">
        <v>51</v>
      </c>
      <c r="L13040" s="28" t="s">
        <v>51</v>
      </c>
      <c r="M13040" s="28" t="s">
        <v>51</v>
      </c>
      <c r="N13040" s="28" t="s">
        <v>51</v>
      </c>
    </row>
    <row r="13041" spans="1:14" hidden="1" outlineLevel="1" x14ac:dyDescent="0.15">
      <c r="A13041" s="23" t="str">
        <f>HYPERLINK("https://www.spark-marketing.ru/Card/Person/1069004", "МБДОУ ""ДЕТСКИЙ САД № 125""")</f>
        <v>МБДОУ "ДЕТСКИЙ САД № 125"</v>
      </c>
      <c r="B13041" s="24" t="s">
        <v>17569</v>
      </c>
      <c r="C13041" s="25">
        <v>153820.1</v>
      </c>
      <c r="D13041" s="22" t="s">
        <v>17554</v>
      </c>
      <c r="E13041" s="22" t="s">
        <v>3809</v>
      </c>
      <c r="F13041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41" s="22" t="s">
        <v>76</v>
      </c>
      <c r="H13041" s="22" t="s">
        <v>76</v>
      </c>
      <c r="I13041" s="26">
        <v>43662.412708333301</v>
      </c>
      <c r="J13041" s="28" t="s">
        <v>51</v>
      </c>
      <c r="K13041" s="28" t="s">
        <v>51</v>
      </c>
      <c r="L13041" s="28" t="s">
        <v>51</v>
      </c>
      <c r="M13041" s="28" t="s">
        <v>51</v>
      </c>
      <c r="N13041" s="28" t="s">
        <v>51</v>
      </c>
    </row>
    <row r="13042" spans="1:14" hidden="1" outlineLevel="1" x14ac:dyDescent="0.15">
      <c r="A13042" s="23" t="str">
        <f>HYPERLINK("https://www.spark-marketing.ru/Card/Person/1069131", "МБДОУ ""ДЕТСКИЙ САД № 143""")</f>
        <v>МБДОУ "ДЕТСКИЙ САД № 143"</v>
      </c>
      <c r="B13042" s="24" t="s">
        <v>17570</v>
      </c>
      <c r="C13042" s="25">
        <v>96423.9</v>
      </c>
      <c r="D13042" s="22" t="s">
        <v>17554</v>
      </c>
      <c r="E13042" s="22" t="s">
        <v>3809</v>
      </c>
      <c r="F13042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42" s="22" t="s">
        <v>76</v>
      </c>
      <c r="H13042" s="22" t="s">
        <v>76</v>
      </c>
      <c r="I13042" s="26">
        <v>43662.412708333301</v>
      </c>
      <c r="J13042" s="28" t="s">
        <v>51</v>
      </c>
      <c r="K13042" s="28" t="s">
        <v>51</v>
      </c>
      <c r="L13042" s="28" t="s">
        <v>51</v>
      </c>
      <c r="M13042" s="28" t="s">
        <v>51</v>
      </c>
      <c r="N13042" s="28" t="s">
        <v>51</v>
      </c>
    </row>
    <row r="13043" spans="1:14" hidden="1" outlineLevel="1" x14ac:dyDescent="0.15">
      <c r="A13043" s="23" t="str">
        <f>HYPERLINK("https://www.spark-marketing.ru/Card/Person/1069172", "МБДОУ ""ДЕТСКИЙ САД № 142""")</f>
        <v>МБДОУ "ДЕТСКИЙ САД № 142"</v>
      </c>
      <c r="B13043" s="24" t="s">
        <v>17571</v>
      </c>
      <c r="C13043" s="25">
        <v>154613.5</v>
      </c>
      <c r="D13043" s="22" t="s">
        <v>17554</v>
      </c>
      <c r="E13043" s="22" t="s">
        <v>3809</v>
      </c>
      <c r="F13043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43" s="22" t="s">
        <v>76</v>
      </c>
      <c r="H13043" s="22" t="s">
        <v>76</v>
      </c>
      <c r="I13043" s="26">
        <v>43662.412708333301</v>
      </c>
      <c r="J13043" s="28" t="s">
        <v>51</v>
      </c>
      <c r="K13043" s="28" t="s">
        <v>51</v>
      </c>
      <c r="L13043" s="28" t="s">
        <v>51</v>
      </c>
      <c r="M13043" s="28" t="s">
        <v>51</v>
      </c>
      <c r="N13043" s="28" t="s">
        <v>51</v>
      </c>
    </row>
    <row r="13044" spans="1:14" hidden="1" outlineLevel="1" x14ac:dyDescent="0.15">
      <c r="A13044" s="23" t="str">
        <f>HYPERLINK("https://www.spark-marketing.ru/Card/Person/1069333", "МБДОУ ""ДЕТСКИЙ САД № 126""")</f>
        <v>МБДОУ "ДЕТСКИЙ САД № 126"</v>
      </c>
      <c r="B13044" s="24" t="s">
        <v>17572</v>
      </c>
      <c r="C13044" s="25">
        <v>136823.29999999999</v>
      </c>
      <c r="D13044" s="22" t="s">
        <v>17554</v>
      </c>
      <c r="E13044" s="22" t="s">
        <v>3809</v>
      </c>
      <c r="F13044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44" s="22" t="s">
        <v>76</v>
      </c>
      <c r="H13044" s="22" t="s">
        <v>76</v>
      </c>
      <c r="I13044" s="26">
        <v>43662.412708333301</v>
      </c>
      <c r="J13044" s="28" t="s">
        <v>51</v>
      </c>
      <c r="K13044" s="28" t="s">
        <v>51</v>
      </c>
      <c r="L13044" s="28" t="s">
        <v>51</v>
      </c>
      <c r="M13044" s="28" t="s">
        <v>51</v>
      </c>
      <c r="N13044" s="28" t="s">
        <v>51</v>
      </c>
    </row>
    <row r="13045" spans="1:14" hidden="1" outlineLevel="1" x14ac:dyDescent="0.15">
      <c r="A13045" s="23" t="str">
        <f>HYPERLINK("https://www.spark-marketing.ru/Card/Person/1069396", "МБДОУ ""ДЕТСКИЙ САД № 24""")</f>
        <v>МБДОУ "ДЕТСКИЙ САД № 24"</v>
      </c>
      <c r="B13045" s="24" t="s">
        <v>17573</v>
      </c>
      <c r="C13045" s="25">
        <v>15649.1</v>
      </c>
      <c r="D13045" s="22" t="s">
        <v>17554</v>
      </c>
      <c r="E13045" s="22" t="s">
        <v>3809</v>
      </c>
      <c r="F13045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45" s="22" t="s">
        <v>76</v>
      </c>
      <c r="H13045" s="22" t="s">
        <v>76</v>
      </c>
      <c r="I13045" s="26">
        <v>43662.412708333301</v>
      </c>
      <c r="J13045" s="28" t="s">
        <v>51</v>
      </c>
      <c r="K13045" s="28" t="s">
        <v>51</v>
      </c>
      <c r="L13045" s="28" t="s">
        <v>51</v>
      </c>
      <c r="M13045" s="28" t="s">
        <v>51</v>
      </c>
      <c r="N13045" s="28" t="s">
        <v>51</v>
      </c>
    </row>
    <row r="13046" spans="1:14" hidden="1" outlineLevel="1" x14ac:dyDescent="0.15">
      <c r="A13046" s="23" t="str">
        <f>HYPERLINK("https://www.spark-marketing.ru/Card/Person/1069397", "МБДОУ ""ДЕТСКИЙ САД № 127""")</f>
        <v>МБДОУ "ДЕТСКИЙ САД № 127"</v>
      </c>
      <c r="B13046" s="24" t="s">
        <v>17574</v>
      </c>
      <c r="C13046" s="25">
        <v>156287.5</v>
      </c>
      <c r="D13046" s="22" t="s">
        <v>17554</v>
      </c>
      <c r="E13046" s="22" t="s">
        <v>3809</v>
      </c>
      <c r="F13046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46" s="22" t="s">
        <v>76</v>
      </c>
      <c r="H13046" s="22" t="s">
        <v>76</v>
      </c>
      <c r="I13046" s="26">
        <v>43662.412708333301</v>
      </c>
      <c r="J13046" s="28" t="s">
        <v>51</v>
      </c>
      <c r="K13046" s="28" t="s">
        <v>51</v>
      </c>
      <c r="L13046" s="28" t="s">
        <v>51</v>
      </c>
      <c r="M13046" s="28" t="s">
        <v>51</v>
      </c>
      <c r="N13046" s="28" t="s">
        <v>51</v>
      </c>
    </row>
    <row r="13047" spans="1:14" hidden="1" outlineLevel="1" x14ac:dyDescent="0.15">
      <c r="A13047" s="23" t="str">
        <f>HYPERLINK("https://www.spark-marketing.ru/Card/Person/1069494", "МБДОУ ""ДЕТСКИЙ САД № 63""")</f>
        <v>МБДОУ "ДЕТСКИЙ САД № 63"</v>
      </c>
      <c r="B13047" s="24" t="s">
        <v>17575</v>
      </c>
      <c r="C13047" s="25">
        <v>75722.7</v>
      </c>
      <c r="D13047" s="22" t="s">
        <v>17554</v>
      </c>
      <c r="E13047" s="22" t="s">
        <v>3809</v>
      </c>
      <c r="F13047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47" s="22" t="s">
        <v>76</v>
      </c>
      <c r="H13047" s="22" t="s">
        <v>76</v>
      </c>
      <c r="I13047" s="26">
        <v>43662.412708333301</v>
      </c>
      <c r="J13047" s="28" t="s">
        <v>51</v>
      </c>
      <c r="K13047" s="28" t="s">
        <v>51</v>
      </c>
      <c r="L13047" s="28" t="s">
        <v>51</v>
      </c>
      <c r="M13047" s="28" t="s">
        <v>51</v>
      </c>
      <c r="N13047" s="28" t="s">
        <v>51</v>
      </c>
    </row>
    <row r="13048" spans="1:14" hidden="1" outlineLevel="1" x14ac:dyDescent="0.15">
      <c r="A13048" s="23" t="str">
        <f>HYPERLINK("https://www.spark-marketing.ru/Card/Person/1069528", "МБДОУ ""ДЕТСКИЙ САД № 17""")</f>
        <v>МБДОУ "ДЕТСКИЙ САД № 17"</v>
      </c>
      <c r="B13048" s="24" t="s">
        <v>17576</v>
      </c>
      <c r="C13048" s="25">
        <v>145093.20000000001</v>
      </c>
      <c r="D13048" s="22" t="s">
        <v>17554</v>
      </c>
      <c r="E13048" s="22" t="s">
        <v>3809</v>
      </c>
      <c r="F13048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48" s="22" t="s">
        <v>76</v>
      </c>
      <c r="H13048" s="22" t="s">
        <v>76</v>
      </c>
      <c r="I13048" s="26">
        <v>43662.412708333301</v>
      </c>
      <c r="J13048" s="28" t="s">
        <v>51</v>
      </c>
      <c r="K13048" s="28" t="s">
        <v>51</v>
      </c>
      <c r="L13048" s="28" t="s">
        <v>51</v>
      </c>
      <c r="M13048" s="28" t="s">
        <v>51</v>
      </c>
      <c r="N13048" s="28" t="s">
        <v>51</v>
      </c>
    </row>
    <row r="13049" spans="1:14" hidden="1" outlineLevel="1" x14ac:dyDescent="0.15">
      <c r="A13049" s="23" t="str">
        <f>HYPERLINK("https://www.spark-marketing.ru/Card/Person/1069655", "МБДОУ ""ДЕТСКИЙ САД № 128""")</f>
        <v>МБДОУ "ДЕТСКИЙ САД № 128"</v>
      </c>
      <c r="B13049" s="24" t="s">
        <v>17577</v>
      </c>
      <c r="C13049" s="25">
        <v>152803.4</v>
      </c>
      <c r="D13049" s="22" t="s">
        <v>17554</v>
      </c>
      <c r="E13049" s="22" t="s">
        <v>3809</v>
      </c>
      <c r="F13049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49" s="22" t="s">
        <v>76</v>
      </c>
      <c r="H13049" s="22" t="s">
        <v>76</v>
      </c>
      <c r="I13049" s="26">
        <v>43662.412708333301</v>
      </c>
      <c r="J13049" s="28" t="s">
        <v>51</v>
      </c>
      <c r="K13049" s="28" t="s">
        <v>51</v>
      </c>
      <c r="L13049" s="28" t="s">
        <v>51</v>
      </c>
      <c r="M13049" s="28" t="s">
        <v>51</v>
      </c>
      <c r="N13049" s="28" t="s">
        <v>51</v>
      </c>
    </row>
    <row r="13050" spans="1:14" hidden="1" outlineLevel="1" x14ac:dyDescent="0.15">
      <c r="A13050" s="23" t="str">
        <f>HYPERLINK("https://www.spark-marketing.ru/Card/Person/1069667", "МБДОУ ""ДЕТСКИЙ САД № 103""")</f>
        <v>МБДОУ "ДЕТСКИЙ САД № 103"</v>
      </c>
      <c r="B13050" s="24" t="s">
        <v>17578</v>
      </c>
      <c r="C13050" s="25">
        <v>95635.199999999997</v>
      </c>
      <c r="D13050" s="22" t="s">
        <v>17554</v>
      </c>
      <c r="E13050" s="22" t="s">
        <v>3809</v>
      </c>
      <c r="F13050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50" s="22" t="s">
        <v>76</v>
      </c>
      <c r="H13050" s="22" t="s">
        <v>76</v>
      </c>
      <c r="I13050" s="26">
        <v>43662.412708333301</v>
      </c>
      <c r="J13050" s="28" t="s">
        <v>51</v>
      </c>
      <c r="K13050" s="28" t="s">
        <v>51</v>
      </c>
      <c r="L13050" s="28" t="s">
        <v>51</v>
      </c>
      <c r="M13050" s="28" t="s">
        <v>51</v>
      </c>
      <c r="N13050" s="28" t="s">
        <v>51</v>
      </c>
    </row>
    <row r="13051" spans="1:14" hidden="1" outlineLevel="1" x14ac:dyDescent="0.15">
      <c r="A13051" s="23" t="str">
        <f>HYPERLINK("https://www.spark-marketing.ru/Card/Person/1069755", "МБДОУ ""ДЕТСКИЙ САД № 139""")</f>
        <v>МБДОУ "ДЕТСКИЙ САД № 139"</v>
      </c>
      <c r="B13051" s="24" t="s">
        <v>17579</v>
      </c>
      <c r="C13051" s="25">
        <v>98412.7</v>
      </c>
      <c r="D13051" s="22" t="s">
        <v>17554</v>
      </c>
      <c r="E13051" s="22" t="s">
        <v>3809</v>
      </c>
      <c r="F13051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51" s="22" t="s">
        <v>76</v>
      </c>
      <c r="H13051" s="22" t="s">
        <v>76</v>
      </c>
      <c r="I13051" s="26">
        <v>43662.412708333301</v>
      </c>
      <c r="J13051" s="28" t="s">
        <v>51</v>
      </c>
      <c r="K13051" s="28" t="s">
        <v>51</v>
      </c>
      <c r="L13051" s="28" t="s">
        <v>51</v>
      </c>
      <c r="M13051" s="28" t="s">
        <v>51</v>
      </c>
      <c r="N13051" s="28" t="s">
        <v>51</v>
      </c>
    </row>
    <row r="13052" spans="1:14" hidden="1" outlineLevel="1" x14ac:dyDescent="0.15">
      <c r="A13052" s="23" t="str">
        <f>HYPERLINK("https://www.spark-marketing.ru/Card/Person/1069916", "МБДОУ ""ДЕТСКИЙ САД № 105""")</f>
        <v>МБДОУ "ДЕТСКИЙ САД № 105"</v>
      </c>
      <c r="B13052" s="24" t="s">
        <v>17580</v>
      </c>
      <c r="C13052" s="25">
        <v>160242.4</v>
      </c>
      <c r="D13052" s="22" t="s">
        <v>17554</v>
      </c>
      <c r="E13052" s="22" t="s">
        <v>3809</v>
      </c>
      <c r="F13052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52" s="22" t="s">
        <v>76</v>
      </c>
      <c r="H13052" s="22" t="s">
        <v>76</v>
      </c>
      <c r="I13052" s="26">
        <v>43662.412708333301</v>
      </c>
      <c r="J13052" s="28" t="s">
        <v>51</v>
      </c>
      <c r="K13052" s="28" t="s">
        <v>51</v>
      </c>
      <c r="L13052" s="28" t="s">
        <v>51</v>
      </c>
      <c r="M13052" s="28" t="s">
        <v>51</v>
      </c>
      <c r="N13052" s="28" t="s">
        <v>51</v>
      </c>
    </row>
    <row r="13053" spans="1:14" hidden="1" outlineLevel="1" x14ac:dyDescent="0.15">
      <c r="A13053" s="23" t="str">
        <f>HYPERLINK("https://www.spark-marketing.ru/Card/Person/1070090", "МБДОУ ""ДЕТСКИЙ САД № 58""")</f>
        <v>МБДОУ "ДЕТСКИЙ САД № 58"</v>
      </c>
      <c r="B13053" s="24" t="s">
        <v>17581</v>
      </c>
      <c r="C13053" s="25">
        <v>182923.2</v>
      </c>
      <c r="D13053" s="22" t="s">
        <v>17554</v>
      </c>
      <c r="E13053" s="22" t="s">
        <v>3809</v>
      </c>
      <c r="F13053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53" s="22" t="s">
        <v>76</v>
      </c>
      <c r="H13053" s="22" t="s">
        <v>76</v>
      </c>
      <c r="I13053" s="26">
        <v>43662.412708333301</v>
      </c>
      <c r="J13053" s="28" t="s">
        <v>51</v>
      </c>
      <c r="K13053" s="28" t="s">
        <v>51</v>
      </c>
      <c r="L13053" s="28" t="s">
        <v>51</v>
      </c>
      <c r="M13053" s="28" t="s">
        <v>51</v>
      </c>
      <c r="N13053" s="28" t="s">
        <v>51</v>
      </c>
    </row>
    <row r="13054" spans="1:14" hidden="1" outlineLevel="1" x14ac:dyDescent="0.15">
      <c r="A13054" s="23" t="str">
        <f>HYPERLINK("https://www.spark-marketing.ru/Card/Person/1070121", "МБДОУ ""ДЕТСКИЙ САД № 57""")</f>
        <v>МБДОУ "ДЕТСКИЙ САД № 57"</v>
      </c>
      <c r="B13054" s="24" t="s">
        <v>17582</v>
      </c>
      <c r="C13054" s="25">
        <v>159564.9</v>
      </c>
      <c r="D13054" s="22" t="s">
        <v>17554</v>
      </c>
      <c r="E13054" s="22" t="s">
        <v>3809</v>
      </c>
      <c r="F13054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54" s="22" t="s">
        <v>76</v>
      </c>
      <c r="H13054" s="22" t="s">
        <v>76</v>
      </c>
      <c r="I13054" s="26">
        <v>43662.412708333301</v>
      </c>
      <c r="J13054" s="28" t="s">
        <v>51</v>
      </c>
      <c r="K13054" s="28" t="s">
        <v>51</v>
      </c>
      <c r="L13054" s="28" t="s">
        <v>51</v>
      </c>
      <c r="M13054" s="28" t="s">
        <v>51</v>
      </c>
      <c r="N13054" s="28" t="s">
        <v>51</v>
      </c>
    </row>
    <row r="13055" spans="1:14" hidden="1" outlineLevel="1" x14ac:dyDescent="0.15">
      <c r="A13055" s="23" t="str">
        <f>HYPERLINK("https://www.spark-marketing.ru/Card/Person/1070483", "МБДОУ ""ДЕТСКИЙ САД № 14""")</f>
        <v>МБДОУ "ДЕТСКИЙ САД № 14"</v>
      </c>
      <c r="B13055" s="24" t="s">
        <v>17583</v>
      </c>
      <c r="C13055" s="25">
        <v>35948.300000000003</v>
      </c>
      <c r="D13055" s="22" t="s">
        <v>17554</v>
      </c>
      <c r="E13055" s="22" t="s">
        <v>3809</v>
      </c>
      <c r="F13055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55" s="22" t="s">
        <v>76</v>
      </c>
      <c r="H13055" s="22" t="s">
        <v>76</v>
      </c>
      <c r="I13055" s="26">
        <v>43662.412708333301</v>
      </c>
      <c r="J13055" s="28" t="s">
        <v>51</v>
      </c>
      <c r="K13055" s="28" t="s">
        <v>51</v>
      </c>
      <c r="L13055" s="28" t="s">
        <v>51</v>
      </c>
      <c r="M13055" s="28" t="s">
        <v>51</v>
      </c>
      <c r="N13055" s="28" t="s">
        <v>51</v>
      </c>
    </row>
    <row r="13056" spans="1:14" hidden="1" outlineLevel="1" x14ac:dyDescent="0.15">
      <c r="A13056" s="23" t="str">
        <f>HYPERLINK("https://www.spark-marketing.ru/Card/Person/1070486", "МБДОУ ""ДЕТСКИЙ САД № 145""")</f>
        <v>МБДОУ "ДЕТСКИЙ САД № 145"</v>
      </c>
      <c r="B13056" s="24" t="s">
        <v>17584</v>
      </c>
      <c r="C13056" s="25">
        <v>193083.4</v>
      </c>
      <c r="D13056" s="22" t="s">
        <v>17554</v>
      </c>
      <c r="E13056" s="22" t="s">
        <v>3809</v>
      </c>
      <c r="F13056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56" s="22" t="s">
        <v>76</v>
      </c>
      <c r="H13056" s="22" t="s">
        <v>76</v>
      </c>
      <c r="I13056" s="26">
        <v>43662.412708333301</v>
      </c>
      <c r="J13056" s="28" t="s">
        <v>51</v>
      </c>
      <c r="K13056" s="28" t="s">
        <v>51</v>
      </c>
      <c r="L13056" s="28" t="s">
        <v>51</v>
      </c>
      <c r="M13056" s="28" t="s">
        <v>51</v>
      </c>
      <c r="N13056" s="28" t="s">
        <v>51</v>
      </c>
    </row>
    <row r="13057" spans="1:14" hidden="1" outlineLevel="1" x14ac:dyDescent="0.15">
      <c r="A13057" s="23" t="str">
        <f>HYPERLINK("https://www.spark-marketing.ru/Card/Person/1070584", "МБДОУ ""ДЕТСКИЙ САД № 102""")</f>
        <v>МБДОУ "ДЕТСКИЙ САД № 102"</v>
      </c>
      <c r="B13057" s="24" t="s">
        <v>17585</v>
      </c>
      <c r="C13057" s="25">
        <v>84559.4</v>
      </c>
      <c r="D13057" s="22" t="s">
        <v>17554</v>
      </c>
      <c r="E13057" s="22" t="s">
        <v>3809</v>
      </c>
      <c r="F13057" s="23" t="str">
        <f t="shared" si="428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57" s="22" t="s">
        <v>76</v>
      </c>
      <c r="H13057" s="22" t="s">
        <v>76</v>
      </c>
      <c r="I13057" s="26">
        <v>43662.412708333301</v>
      </c>
      <c r="J13057" s="28" t="s">
        <v>51</v>
      </c>
      <c r="K13057" s="28" t="s">
        <v>51</v>
      </c>
      <c r="L13057" s="28" t="s">
        <v>51</v>
      </c>
      <c r="M13057" s="28" t="s">
        <v>51</v>
      </c>
      <c r="N13057" s="28" t="s">
        <v>51</v>
      </c>
    </row>
    <row r="13058" spans="1:14" hidden="1" outlineLevel="1" x14ac:dyDescent="0.15">
      <c r="A13058" s="23" t="str">
        <f>HYPERLINK("https://www.spark-marketing.ru/Card/Person/1070587", "МБДОУ ""ДЕТСКИЙ САД № 85""")</f>
        <v>МБДОУ "ДЕТСКИЙ САД № 85"</v>
      </c>
      <c r="B13058" s="24" t="s">
        <v>17586</v>
      </c>
      <c r="C13058" s="25">
        <v>77374</v>
      </c>
      <c r="D13058" s="22" t="s">
        <v>17554</v>
      </c>
      <c r="E13058" s="22" t="s">
        <v>3809</v>
      </c>
      <c r="F13058" s="23" t="str">
        <f t="shared" ref="F13058:F13089" si="429">HYPERLINK("https://www.spark-marketing.ru/Card/Lot/72133974", "Определение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(№297-ЭА-19-ДС)")</f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58" s="22" t="s">
        <v>76</v>
      </c>
      <c r="H13058" s="22" t="s">
        <v>76</v>
      </c>
      <c r="I13058" s="26">
        <v>43662.412708333301</v>
      </c>
      <c r="J13058" s="28" t="s">
        <v>51</v>
      </c>
      <c r="K13058" s="28" t="s">
        <v>51</v>
      </c>
      <c r="L13058" s="28" t="s">
        <v>51</v>
      </c>
      <c r="M13058" s="28" t="s">
        <v>51</v>
      </c>
      <c r="N13058" s="28" t="s">
        <v>51</v>
      </c>
    </row>
    <row r="13059" spans="1:14" hidden="1" outlineLevel="1" x14ac:dyDescent="0.15">
      <c r="A13059" s="23" t="str">
        <f>HYPERLINK("https://www.spark-marketing.ru/Card/Person/1070870", "МБДОУ ""ДЕТСКИЙ САД № 92"" КОМПЕНСИРУЮЩЕГО ВИДА")</f>
        <v>МБДОУ "ДЕТСКИЙ САД № 92" КОМПЕНСИРУЮЩЕГО ВИДА</v>
      </c>
      <c r="B13059" s="24" t="s">
        <v>17587</v>
      </c>
      <c r="C13059" s="25">
        <v>31050.2</v>
      </c>
      <c r="D13059" s="22" t="s">
        <v>17554</v>
      </c>
      <c r="E13059" s="22" t="s">
        <v>3809</v>
      </c>
      <c r="F13059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59" s="22" t="s">
        <v>76</v>
      </c>
      <c r="H13059" s="22" t="s">
        <v>76</v>
      </c>
      <c r="I13059" s="26">
        <v>43662.412708333301</v>
      </c>
      <c r="J13059" s="28" t="s">
        <v>51</v>
      </c>
      <c r="K13059" s="28" t="s">
        <v>51</v>
      </c>
      <c r="L13059" s="28" t="s">
        <v>51</v>
      </c>
      <c r="M13059" s="28" t="s">
        <v>51</v>
      </c>
      <c r="N13059" s="28" t="s">
        <v>51</v>
      </c>
    </row>
    <row r="13060" spans="1:14" hidden="1" outlineLevel="1" x14ac:dyDescent="0.15">
      <c r="A13060" s="23" t="str">
        <f>HYPERLINK("https://www.spark-marketing.ru/Card/Person/1070977", "МБДОУ ""ДЕТСКИЙ САД № 65""")</f>
        <v>МБДОУ "ДЕТСКИЙ САД № 65"</v>
      </c>
      <c r="B13060" s="24" t="s">
        <v>17588</v>
      </c>
      <c r="C13060" s="25">
        <v>88166.3</v>
      </c>
      <c r="D13060" s="22" t="s">
        <v>17554</v>
      </c>
      <c r="E13060" s="22" t="s">
        <v>3809</v>
      </c>
      <c r="F13060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60" s="22" t="s">
        <v>76</v>
      </c>
      <c r="H13060" s="22" t="s">
        <v>76</v>
      </c>
      <c r="I13060" s="26">
        <v>43662.412708333301</v>
      </c>
      <c r="J13060" s="28" t="s">
        <v>51</v>
      </c>
      <c r="K13060" s="28" t="s">
        <v>51</v>
      </c>
      <c r="L13060" s="28" t="s">
        <v>51</v>
      </c>
      <c r="M13060" s="28" t="s">
        <v>51</v>
      </c>
      <c r="N13060" s="28" t="s">
        <v>51</v>
      </c>
    </row>
    <row r="13061" spans="1:14" hidden="1" outlineLevel="1" x14ac:dyDescent="0.15">
      <c r="A13061" s="23" t="str">
        <f>HYPERLINK("https://www.spark-marketing.ru/Card/Person/1071252", "МБДОУ ""ДЕТСКИЙ САД № 69""")</f>
        <v>МБДОУ "ДЕТСКИЙ САД № 69"</v>
      </c>
      <c r="B13061" s="24" t="s">
        <v>17589</v>
      </c>
      <c r="C13061" s="25">
        <v>54169.2</v>
      </c>
      <c r="D13061" s="22" t="s">
        <v>17554</v>
      </c>
      <c r="E13061" s="22" t="s">
        <v>3809</v>
      </c>
      <c r="F13061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61" s="22" t="s">
        <v>76</v>
      </c>
      <c r="H13061" s="22" t="s">
        <v>76</v>
      </c>
      <c r="I13061" s="26">
        <v>43662.412708333301</v>
      </c>
      <c r="J13061" s="28" t="s">
        <v>51</v>
      </c>
      <c r="K13061" s="28" t="s">
        <v>51</v>
      </c>
      <c r="L13061" s="28" t="s">
        <v>51</v>
      </c>
      <c r="M13061" s="28" t="s">
        <v>51</v>
      </c>
      <c r="N13061" s="28" t="s">
        <v>51</v>
      </c>
    </row>
    <row r="13062" spans="1:14" hidden="1" outlineLevel="1" x14ac:dyDescent="0.15">
      <c r="A13062" s="23" t="str">
        <f>HYPERLINK("https://www.spark-marketing.ru/Card/Person/1071290", "МБДОУ ""ДЕТСКИЙ САД № 90""")</f>
        <v>МБДОУ "ДЕТСКИЙ САД № 90"</v>
      </c>
      <c r="B13062" s="24" t="s">
        <v>17590</v>
      </c>
      <c r="C13062" s="25">
        <v>80971.5</v>
      </c>
      <c r="D13062" s="22" t="s">
        <v>17554</v>
      </c>
      <c r="E13062" s="22" t="s">
        <v>3809</v>
      </c>
      <c r="F13062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62" s="22" t="s">
        <v>76</v>
      </c>
      <c r="H13062" s="22" t="s">
        <v>76</v>
      </c>
      <c r="I13062" s="26">
        <v>43662.412708333301</v>
      </c>
      <c r="J13062" s="28" t="s">
        <v>51</v>
      </c>
      <c r="K13062" s="28" t="s">
        <v>51</v>
      </c>
      <c r="L13062" s="28" t="s">
        <v>51</v>
      </c>
      <c r="M13062" s="28" t="s">
        <v>51</v>
      </c>
      <c r="N13062" s="28" t="s">
        <v>51</v>
      </c>
    </row>
    <row r="13063" spans="1:14" hidden="1" outlineLevel="1" x14ac:dyDescent="0.15">
      <c r="A13063" s="23" t="str">
        <f>HYPERLINK("https://www.spark-marketing.ru/Card/Person/1071361", "МБДОУ ""ДЕТСКИЙ САД № 80""")</f>
        <v>МБДОУ "ДЕТСКИЙ САД № 80"</v>
      </c>
      <c r="B13063" s="24" t="s">
        <v>17591</v>
      </c>
      <c r="C13063" s="25">
        <v>158125.9</v>
      </c>
      <c r="D13063" s="22" t="s">
        <v>17554</v>
      </c>
      <c r="E13063" s="22" t="s">
        <v>3809</v>
      </c>
      <c r="F13063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63" s="22" t="s">
        <v>76</v>
      </c>
      <c r="H13063" s="22" t="s">
        <v>76</v>
      </c>
      <c r="I13063" s="26">
        <v>43662.412708333301</v>
      </c>
      <c r="J13063" s="28" t="s">
        <v>51</v>
      </c>
      <c r="K13063" s="28" t="s">
        <v>51</v>
      </c>
      <c r="L13063" s="28" t="s">
        <v>51</v>
      </c>
      <c r="M13063" s="28" t="s">
        <v>51</v>
      </c>
      <c r="N13063" s="28" t="s">
        <v>51</v>
      </c>
    </row>
    <row r="13064" spans="1:14" hidden="1" outlineLevel="1" x14ac:dyDescent="0.15">
      <c r="A13064" s="23" t="str">
        <f>HYPERLINK("https://www.spark-marketing.ru/Card/Person/1071417", "МБДОУ ""ДЕТСКИЙ САД № 61""")</f>
        <v>МБДОУ "ДЕТСКИЙ САД № 61"</v>
      </c>
      <c r="B13064" s="24" t="s">
        <v>17592</v>
      </c>
      <c r="C13064" s="25">
        <v>133391.20000000001</v>
      </c>
      <c r="D13064" s="22" t="s">
        <v>17554</v>
      </c>
      <c r="E13064" s="22" t="s">
        <v>3809</v>
      </c>
      <c r="F13064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64" s="22" t="s">
        <v>76</v>
      </c>
      <c r="H13064" s="22" t="s">
        <v>76</v>
      </c>
      <c r="I13064" s="26">
        <v>43662.412708333301</v>
      </c>
      <c r="J13064" s="28" t="s">
        <v>51</v>
      </c>
      <c r="K13064" s="28" t="s">
        <v>51</v>
      </c>
      <c r="L13064" s="28" t="s">
        <v>51</v>
      </c>
      <c r="M13064" s="28" t="s">
        <v>51</v>
      </c>
      <c r="N13064" s="28" t="s">
        <v>51</v>
      </c>
    </row>
    <row r="13065" spans="1:14" hidden="1" outlineLevel="1" x14ac:dyDescent="0.15">
      <c r="A13065" s="23" t="str">
        <f>HYPERLINK("https://www.spark-marketing.ru/Card/Person/1071731", "МБДОУ ""ДЕТСКИЙ САД № 67"" КОМПЕНСИРУЮЩЕГО ВИДА")</f>
        <v>МБДОУ "ДЕТСКИЙ САД № 67" КОМПЕНСИРУЮЩЕГО ВИДА</v>
      </c>
      <c r="B13065" s="24" t="s">
        <v>17593</v>
      </c>
      <c r="C13065" s="25">
        <v>59097.7</v>
      </c>
      <c r="D13065" s="22" t="s">
        <v>17554</v>
      </c>
      <c r="E13065" s="22" t="s">
        <v>3809</v>
      </c>
      <c r="F13065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65" s="22" t="s">
        <v>76</v>
      </c>
      <c r="H13065" s="22" t="s">
        <v>76</v>
      </c>
      <c r="I13065" s="26">
        <v>43662.412708333301</v>
      </c>
      <c r="J13065" s="28" t="s">
        <v>51</v>
      </c>
      <c r="K13065" s="28" t="s">
        <v>51</v>
      </c>
      <c r="L13065" s="28" t="s">
        <v>51</v>
      </c>
      <c r="M13065" s="28" t="s">
        <v>51</v>
      </c>
      <c r="N13065" s="28" t="s">
        <v>51</v>
      </c>
    </row>
    <row r="13066" spans="1:14" hidden="1" outlineLevel="1" x14ac:dyDescent="0.15">
      <c r="A13066" s="23" t="str">
        <f>HYPERLINK("https://www.spark-marketing.ru/Card/Person/1071737", "МБДОУ ""ДЕТСКИЙ САД № 82""")</f>
        <v>МБДОУ "ДЕТСКИЙ САД № 82"</v>
      </c>
      <c r="B13066" s="24" t="s">
        <v>17594</v>
      </c>
      <c r="C13066" s="25">
        <v>161152.70000000001</v>
      </c>
      <c r="D13066" s="22" t="s">
        <v>17554</v>
      </c>
      <c r="E13066" s="22" t="s">
        <v>3809</v>
      </c>
      <c r="F13066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66" s="22" t="s">
        <v>76</v>
      </c>
      <c r="H13066" s="22" t="s">
        <v>76</v>
      </c>
      <c r="I13066" s="26">
        <v>43662.412708333301</v>
      </c>
      <c r="J13066" s="28" t="s">
        <v>51</v>
      </c>
      <c r="K13066" s="28" t="s">
        <v>51</v>
      </c>
      <c r="L13066" s="28" t="s">
        <v>51</v>
      </c>
      <c r="M13066" s="28" t="s">
        <v>51</v>
      </c>
      <c r="N13066" s="28" t="s">
        <v>51</v>
      </c>
    </row>
    <row r="13067" spans="1:14" hidden="1" outlineLevel="1" x14ac:dyDescent="0.15">
      <c r="A13067" s="23" t="str">
        <f>HYPERLINK("https://www.spark-marketing.ru/Card/Person/1071775", "МБДОУ ""ДЕТСКИЙ САД № 10""")</f>
        <v>МБДОУ "ДЕТСКИЙ САД № 10"</v>
      </c>
      <c r="B13067" s="24" t="s">
        <v>17595</v>
      </c>
      <c r="C13067" s="25">
        <v>160046.70000000001</v>
      </c>
      <c r="D13067" s="22" t="s">
        <v>17554</v>
      </c>
      <c r="E13067" s="22" t="s">
        <v>3809</v>
      </c>
      <c r="F13067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67" s="22" t="s">
        <v>76</v>
      </c>
      <c r="H13067" s="22" t="s">
        <v>76</v>
      </c>
      <c r="I13067" s="26">
        <v>43662.412708333301</v>
      </c>
      <c r="J13067" s="28" t="s">
        <v>51</v>
      </c>
      <c r="K13067" s="28" t="s">
        <v>51</v>
      </c>
      <c r="L13067" s="28" t="s">
        <v>51</v>
      </c>
      <c r="M13067" s="28" t="s">
        <v>51</v>
      </c>
      <c r="N13067" s="28" t="s">
        <v>51</v>
      </c>
    </row>
    <row r="13068" spans="1:14" hidden="1" outlineLevel="1" x14ac:dyDescent="0.15">
      <c r="A13068" s="23" t="str">
        <f>HYPERLINK("https://www.spark-marketing.ru/Card/Person/1071900", "МБДОУ ""ДЕТСКИЙ САД № 87""")</f>
        <v>МБДОУ "ДЕТСКИЙ САД № 87"</v>
      </c>
      <c r="B13068" s="24" t="s">
        <v>17596</v>
      </c>
      <c r="C13068" s="25">
        <v>91919.8</v>
      </c>
      <c r="D13068" s="22" t="s">
        <v>17554</v>
      </c>
      <c r="E13068" s="22" t="s">
        <v>3809</v>
      </c>
      <c r="F13068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68" s="22" t="s">
        <v>76</v>
      </c>
      <c r="H13068" s="22" t="s">
        <v>76</v>
      </c>
      <c r="I13068" s="26">
        <v>43662.412708333301</v>
      </c>
      <c r="J13068" s="28" t="s">
        <v>51</v>
      </c>
      <c r="K13068" s="28" t="s">
        <v>51</v>
      </c>
      <c r="L13068" s="28" t="s">
        <v>51</v>
      </c>
      <c r="M13068" s="28" t="s">
        <v>51</v>
      </c>
      <c r="N13068" s="28" t="s">
        <v>51</v>
      </c>
    </row>
    <row r="13069" spans="1:14" hidden="1" outlineLevel="1" x14ac:dyDescent="0.15">
      <c r="A13069" s="23" t="str">
        <f>HYPERLINK("https://www.spark-marketing.ru/Card/Person/1072149", "МБДОУ ""ДЕТСКИЙ САД № 3""")</f>
        <v>МБДОУ "ДЕТСКИЙ САД № 3"</v>
      </c>
      <c r="B13069" s="24" t="s">
        <v>17597</v>
      </c>
      <c r="C13069" s="25">
        <v>80736.600000000006</v>
      </c>
      <c r="D13069" s="22" t="s">
        <v>17554</v>
      </c>
      <c r="E13069" s="22" t="s">
        <v>3809</v>
      </c>
      <c r="F13069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69" s="22" t="s">
        <v>76</v>
      </c>
      <c r="H13069" s="22" t="s">
        <v>76</v>
      </c>
      <c r="I13069" s="26">
        <v>43662.412708333301</v>
      </c>
      <c r="J13069" s="28" t="s">
        <v>51</v>
      </c>
      <c r="K13069" s="28" t="s">
        <v>51</v>
      </c>
      <c r="L13069" s="28" t="s">
        <v>51</v>
      </c>
      <c r="M13069" s="28" t="s">
        <v>51</v>
      </c>
      <c r="N13069" s="28" t="s">
        <v>51</v>
      </c>
    </row>
    <row r="13070" spans="1:14" hidden="1" outlineLevel="1" x14ac:dyDescent="0.15">
      <c r="A13070" s="23" t="str">
        <f>HYPERLINK("https://www.spark-marketing.ru/Card/Person/1072314", "МБДОУ ""ДЕТСКИЙ САД № 101""")</f>
        <v>МБДОУ "ДЕТСКИЙ САД № 101"</v>
      </c>
      <c r="B13070" s="24" t="s">
        <v>17598</v>
      </c>
      <c r="C13070" s="25">
        <v>83081.7</v>
      </c>
      <c r="D13070" s="22" t="s">
        <v>17554</v>
      </c>
      <c r="E13070" s="22" t="s">
        <v>3809</v>
      </c>
      <c r="F13070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70" s="22" t="s">
        <v>76</v>
      </c>
      <c r="H13070" s="22" t="s">
        <v>76</v>
      </c>
      <c r="I13070" s="26">
        <v>43662.412708333301</v>
      </c>
      <c r="J13070" s="28" t="s">
        <v>51</v>
      </c>
      <c r="K13070" s="28" t="s">
        <v>51</v>
      </c>
      <c r="L13070" s="28" t="s">
        <v>51</v>
      </c>
      <c r="M13070" s="28" t="s">
        <v>51</v>
      </c>
      <c r="N13070" s="28" t="s">
        <v>51</v>
      </c>
    </row>
    <row r="13071" spans="1:14" hidden="1" outlineLevel="1" x14ac:dyDescent="0.15">
      <c r="A13071" s="23" t="str">
        <f>HYPERLINK("https://www.spark-marketing.ru/Card/Person/1072471", "МБДОУ ""ДЕТСКИЙ САД № 146""")</f>
        <v>МБДОУ "ДЕТСКИЙ САД № 146"</v>
      </c>
      <c r="B13071" s="24" t="s">
        <v>17599</v>
      </c>
      <c r="C13071" s="25">
        <v>167379.9</v>
      </c>
      <c r="D13071" s="22" t="s">
        <v>17554</v>
      </c>
      <c r="E13071" s="22" t="s">
        <v>3809</v>
      </c>
      <c r="F13071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71" s="22" t="s">
        <v>76</v>
      </c>
      <c r="H13071" s="22" t="s">
        <v>76</v>
      </c>
      <c r="I13071" s="26">
        <v>43662.412708333301</v>
      </c>
      <c r="J13071" s="28" t="s">
        <v>51</v>
      </c>
      <c r="K13071" s="28" t="s">
        <v>51</v>
      </c>
      <c r="L13071" s="28" t="s">
        <v>51</v>
      </c>
      <c r="M13071" s="28" t="s">
        <v>51</v>
      </c>
      <c r="N13071" s="28" t="s">
        <v>51</v>
      </c>
    </row>
    <row r="13072" spans="1:14" hidden="1" outlineLevel="1" x14ac:dyDescent="0.15">
      <c r="A13072" s="23" t="str">
        <f>HYPERLINK("https://www.spark-marketing.ru/Card/Person/1072822", "МБОУ ""СК НШ - ДС № 144""")</f>
        <v>МБОУ "СК НШ - ДС № 144"</v>
      </c>
      <c r="B13072" s="24" t="s">
        <v>17600</v>
      </c>
      <c r="C13072" s="25">
        <v>109256.7</v>
      </c>
      <c r="D13072" s="22" t="s">
        <v>17554</v>
      </c>
      <c r="E13072" s="22" t="s">
        <v>3809</v>
      </c>
      <c r="F13072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72" s="22" t="s">
        <v>76</v>
      </c>
      <c r="H13072" s="22" t="s">
        <v>76</v>
      </c>
      <c r="I13072" s="26">
        <v>43662.412708333301</v>
      </c>
      <c r="J13072" s="28" t="s">
        <v>51</v>
      </c>
      <c r="K13072" s="28" t="s">
        <v>51</v>
      </c>
      <c r="L13072" s="28" t="s">
        <v>51</v>
      </c>
      <c r="M13072" s="28" t="s">
        <v>51</v>
      </c>
      <c r="N13072" s="28" t="s">
        <v>51</v>
      </c>
    </row>
    <row r="13073" spans="1:14" hidden="1" outlineLevel="1" x14ac:dyDescent="0.15">
      <c r="A13073" s="23" t="str">
        <f>HYPERLINK("https://www.spark-marketing.ru/Card/Person/1072953", "МБДОУ ""ДЕТСКИЙ САД № 135""")</f>
        <v>МБДОУ "ДЕТСКИЙ САД № 135"</v>
      </c>
      <c r="B13073" s="24" t="s">
        <v>17601</v>
      </c>
      <c r="C13073" s="25">
        <v>154612.9</v>
      </c>
      <c r="D13073" s="22" t="s">
        <v>17554</v>
      </c>
      <c r="E13073" s="22" t="s">
        <v>3809</v>
      </c>
      <c r="F13073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73" s="22" t="s">
        <v>76</v>
      </c>
      <c r="H13073" s="22" t="s">
        <v>76</v>
      </c>
      <c r="I13073" s="26">
        <v>43662.412708333301</v>
      </c>
      <c r="J13073" s="28" t="s">
        <v>51</v>
      </c>
      <c r="K13073" s="28" t="s">
        <v>51</v>
      </c>
      <c r="L13073" s="28" t="s">
        <v>51</v>
      </c>
      <c r="M13073" s="28" t="s">
        <v>51</v>
      </c>
      <c r="N13073" s="28" t="s">
        <v>51</v>
      </c>
    </row>
    <row r="13074" spans="1:14" hidden="1" outlineLevel="1" x14ac:dyDescent="0.15">
      <c r="A13074" s="23" t="str">
        <f>HYPERLINK("https://www.spark-marketing.ru/Card/Person/1073251", "МБДОУ ""ДЕТСКИЙ САД № 26"" ДЛЯ ДЕТЕЙ РАННЕГО ВОЗРАСТА")</f>
        <v>МБДОУ "ДЕТСКИЙ САД № 26" ДЛЯ ДЕТЕЙ РАННЕГО ВОЗРАСТА</v>
      </c>
      <c r="B13074" s="24" t="s">
        <v>17602</v>
      </c>
      <c r="C13074" s="25">
        <v>37996.199999999997</v>
      </c>
      <c r="D13074" s="22" t="s">
        <v>17554</v>
      </c>
      <c r="E13074" s="22" t="s">
        <v>3809</v>
      </c>
      <c r="F13074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74" s="22" t="s">
        <v>76</v>
      </c>
      <c r="H13074" s="22" t="s">
        <v>76</v>
      </c>
      <c r="I13074" s="26">
        <v>43662.412708333301</v>
      </c>
      <c r="J13074" s="28" t="s">
        <v>51</v>
      </c>
      <c r="K13074" s="28" t="s">
        <v>51</v>
      </c>
      <c r="L13074" s="28" t="s">
        <v>51</v>
      </c>
      <c r="M13074" s="28" t="s">
        <v>51</v>
      </c>
      <c r="N13074" s="28" t="s">
        <v>51</v>
      </c>
    </row>
    <row r="13075" spans="1:14" hidden="1" outlineLevel="1" x14ac:dyDescent="0.15">
      <c r="A13075" s="23" t="str">
        <f>HYPERLINK("https://www.spark-marketing.ru/Card/Person/1073252", "МБДОУ ""ДЕТСКИЙ САД № 120""")</f>
        <v>МБДОУ "ДЕТСКИЙ САД № 120"</v>
      </c>
      <c r="B13075" s="24" t="s">
        <v>17603</v>
      </c>
      <c r="C13075" s="25">
        <v>150816</v>
      </c>
      <c r="D13075" s="22" t="s">
        <v>17554</v>
      </c>
      <c r="E13075" s="22" t="s">
        <v>3809</v>
      </c>
      <c r="F13075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75" s="22" t="s">
        <v>76</v>
      </c>
      <c r="H13075" s="22" t="s">
        <v>76</v>
      </c>
      <c r="I13075" s="26">
        <v>43662.412708333301</v>
      </c>
      <c r="J13075" s="28" t="s">
        <v>51</v>
      </c>
      <c r="K13075" s="28" t="s">
        <v>51</v>
      </c>
      <c r="L13075" s="28" t="s">
        <v>51</v>
      </c>
      <c r="M13075" s="28" t="s">
        <v>51</v>
      </c>
      <c r="N13075" s="28" t="s">
        <v>51</v>
      </c>
    </row>
    <row r="13076" spans="1:14" hidden="1" outlineLevel="1" x14ac:dyDescent="0.15">
      <c r="A13076" s="23" t="str">
        <f>HYPERLINK("https://www.spark-marketing.ru/Card/Person/1073686", "МБДОУ ""ДЕТСКИЙ САД № 35"" ПРИСМОТРА И ОЗДОРОВЛЕНИЯ")</f>
        <v>МБДОУ "ДЕТСКИЙ САД № 35" ПРИСМОТРА И ОЗДОРОВЛЕНИЯ</v>
      </c>
      <c r="B13076" s="24" t="s">
        <v>17604</v>
      </c>
      <c r="C13076" s="25">
        <v>26137.5</v>
      </c>
      <c r="D13076" s="22" t="s">
        <v>17554</v>
      </c>
      <c r="E13076" s="22" t="s">
        <v>3809</v>
      </c>
      <c r="F13076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76" s="22" t="s">
        <v>76</v>
      </c>
      <c r="H13076" s="22" t="s">
        <v>76</v>
      </c>
      <c r="I13076" s="26">
        <v>43662.412708333301</v>
      </c>
      <c r="J13076" s="28" t="s">
        <v>51</v>
      </c>
      <c r="K13076" s="28" t="s">
        <v>51</v>
      </c>
      <c r="L13076" s="28" t="s">
        <v>51</v>
      </c>
      <c r="M13076" s="28" t="s">
        <v>51</v>
      </c>
      <c r="N13076" s="28" t="s">
        <v>51</v>
      </c>
    </row>
    <row r="13077" spans="1:14" hidden="1" outlineLevel="1" x14ac:dyDescent="0.15">
      <c r="A13077" s="23" t="str">
        <f>HYPERLINK("https://www.spark-marketing.ru/Card/Person/1073794", "МБДОУ ""ДЕТСКИЙ САД № 119""")</f>
        <v>МБДОУ "ДЕТСКИЙ САД № 119"</v>
      </c>
      <c r="B13077" s="24" t="s">
        <v>17605</v>
      </c>
      <c r="C13077" s="25">
        <v>51107.6</v>
      </c>
      <c r="D13077" s="22" t="s">
        <v>17554</v>
      </c>
      <c r="E13077" s="22" t="s">
        <v>3809</v>
      </c>
      <c r="F13077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77" s="22" t="s">
        <v>76</v>
      </c>
      <c r="H13077" s="22" t="s">
        <v>76</v>
      </c>
      <c r="I13077" s="26">
        <v>43662.412708333301</v>
      </c>
      <c r="J13077" s="28" t="s">
        <v>51</v>
      </c>
      <c r="K13077" s="28" t="s">
        <v>51</v>
      </c>
      <c r="L13077" s="28" t="s">
        <v>51</v>
      </c>
      <c r="M13077" s="28" t="s">
        <v>51</v>
      </c>
      <c r="N13077" s="28" t="s">
        <v>51</v>
      </c>
    </row>
    <row r="13078" spans="1:14" hidden="1" outlineLevel="1" x14ac:dyDescent="0.15">
      <c r="A13078" s="23" t="str">
        <f>HYPERLINK("https://www.spark-marketing.ru/Card/Person/1073823", "МБДОУ ""ДЕТСКИЙ САД № 137""")</f>
        <v>МБДОУ "ДЕТСКИЙ САД № 137"</v>
      </c>
      <c r="B13078" s="24" t="s">
        <v>17606</v>
      </c>
      <c r="C13078" s="25">
        <v>120831.1</v>
      </c>
      <c r="D13078" s="22" t="s">
        <v>17554</v>
      </c>
      <c r="E13078" s="22" t="s">
        <v>3809</v>
      </c>
      <c r="F13078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78" s="22" t="s">
        <v>76</v>
      </c>
      <c r="H13078" s="22" t="s">
        <v>76</v>
      </c>
      <c r="I13078" s="26">
        <v>43662.412708333301</v>
      </c>
      <c r="J13078" s="28" t="s">
        <v>51</v>
      </c>
      <c r="K13078" s="28" t="s">
        <v>51</v>
      </c>
      <c r="L13078" s="28" t="s">
        <v>51</v>
      </c>
      <c r="M13078" s="28" t="s">
        <v>51</v>
      </c>
      <c r="N13078" s="28" t="s">
        <v>51</v>
      </c>
    </row>
    <row r="13079" spans="1:14" hidden="1" outlineLevel="1" x14ac:dyDescent="0.15">
      <c r="A13079" s="23" t="str">
        <f>HYPERLINK("https://www.spark-marketing.ru/Card/Person/1073981", "МБДОУ ""ДЕТСКИЙ САД № 117""")</f>
        <v>МБДОУ "ДЕТСКИЙ САД № 117"</v>
      </c>
      <c r="B13079" s="24" t="s">
        <v>17607</v>
      </c>
      <c r="C13079" s="25">
        <v>86948.800000000003</v>
      </c>
      <c r="D13079" s="22" t="s">
        <v>17554</v>
      </c>
      <c r="E13079" s="22" t="s">
        <v>3809</v>
      </c>
      <c r="F13079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79" s="22" t="s">
        <v>76</v>
      </c>
      <c r="H13079" s="22" t="s">
        <v>76</v>
      </c>
      <c r="I13079" s="26">
        <v>43662.412708333301</v>
      </c>
      <c r="J13079" s="28" t="s">
        <v>51</v>
      </c>
      <c r="K13079" s="28" t="s">
        <v>51</v>
      </c>
      <c r="L13079" s="28" t="s">
        <v>51</v>
      </c>
      <c r="M13079" s="28" t="s">
        <v>51</v>
      </c>
      <c r="N13079" s="28" t="s">
        <v>51</v>
      </c>
    </row>
    <row r="13080" spans="1:14" hidden="1" outlineLevel="1" x14ac:dyDescent="0.15">
      <c r="A13080" s="23" t="str">
        <f>HYPERLINK("https://www.spark-marketing.ru/Card/Person/1074014", "МБДОУ ""ДЕТСКИЙ САД № 133""")</f>
        <v>МБДОУ "ДЕТСКИЙ САД № 133"</v>
      </c>
      <c r="B13080" s="24" t="s">
        <v>17608</v>
      </c>
      <c r="C13080" s="25">
        <v>118834.5</v>
      </c>
      <c r="D13080" s="22" t="s">
        <v>17554</v>
      </c>
      <c r="E13080" s="22" t="s">
        <v>3809</v>
      </c>
      <c r="F13080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80" s="22" t="s">
        <v>76</v>
      </c>
      <c r="H13080" s="22" t="s">
        <v>76</v>
      </c>
      <c r="I13080" s="26">
        <v>43662.412708333301</v>
      </c>
      <c r="J13080" s="28" t="s">
        <v>51</v>
      </c>
      <c r="K13080" s="28" t="s">
        <v>51</v>
      </c>
      <c r="L13080" s="28" t="s">
        <v>51</v>
      </c>
      <c r="M13080" s="28" t="s">
        <v>51</v>
      </c>
      <c r="N13080" s="28" t="s">
        <v>51</v>
      </c>
    </row>
    <row r="13081" spans="1:14" hidden="1" outlineLevel="1" x14ac:dyDescent="0.15">
      <c r="A13081" s="23" t="str">
        <f>HYPERLINK("https://www.spark-marketing.ru/Card/Person/1074305", "МБДОУ ""ДЕТСКИЙ САД № 134""")</f>
        <v>МБДОУ "ДЕТСКИЙ САД № 134"</v>
      </c>
      <c r="B13081" s="24" t="s">
        <v>17609</v>
      </c>
      <c r="C13081" s="25">
        <v>143111.29999999999</v>
      </c>
      <c r="D13081" s="22" t="s">
        <v>17554</v>
      </c>
      <c r="E13081" s="22" t="s">
        <v>3809</v>
      </c>
      <c r="F13081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81" s="22" t="s">
        <v>76</v>
      </c>
      <c r="H13081" s="22" t="s">
        <v>76</v>
      </c>
      <c r="I13081" s="26">
        <v>43662.412708333301</v>
      </c>
      <c r="J13081" s="28" t="s">
        <v>51</v>
      </c>
      <c r="K13081" s="28" t="s">
        <v>51</v>
      </c>
      <c r="L13081" s="28" t="s">
        <v>51</v>
      </c>
      <c r="M13081" s="28" t="s">
        <v>51</v>
      </c>
      <c r="N13081" s="28" t="s">
        <v>51</v>
      </c>
    </row>
    <row r="13082" spans="1:14" hidden="1" outlineLevel="1" x14ac:dyDescent="0.15">
      <c r="A13082" s="23" t="str">
        <f>HYPERLINK("https://www.spark-marketing.ru/Card/Person/1074454", "МБДОУ ""ДЕТСКИЙ САД № 9""")</f>
        <v>МБДОУ "ДЕТСКИЙ САД № 9"</v>
      </c>
      <c r="B13082" s="24" t="s">
        <v>17610</v>
      </c>
      <c r="C13082" s="25">
        <v>55438.3</v>
      </c>
      <c r="D13082" s="22" t="s">
        <v>17554</v>
      </c>
      <c r="E13082" s="22" t="s">
        <v>3809</v>
      </c>
      <c r="F13082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82" s="22" t="s">
        <v>76</v>
      </c>
      <c r="H13082" s="22" t="s">
        <v>14816</v>
      </c>
      <c r="I13082" s="26">
        <v>43662.412708333301</v>
      </c>
      <c r="J13082" s="28" t="s">
        <v>51</v>
      </c>
      <c r="K13082" s="28" t="s">
        <v>51</v>
      </c>
      <c r="L13082" s="28" t="s">
        <v>51</v>
      </c>
      <c r="M13082" s="28" t="s">
        <v>51</v>
      </c>
      <c r="N13082" s="28" t="s">
        <v>51</v>
      </c>
    </row>
    <row r="13083" spans="1:14" hidden="1" outlineLevel="1" x14ac:dyDescent="0.15">
      <c r="A13083" s="23" t="str">
        <f>HYPERLINK("https://www.spark-marketing.ru/Card/Person/1074523", "МБДОУ ""ДЕТСКИЙ САД № 36""")</f>
        <v>МБДОУ "ДЕТСКИЙ САД № 36"</v>
      </c>
      <c r="B13083" s="24" t="s">
        <v>17611</v>
      </c>
      <c r="C13083" s="25">
        <v>108513</v>
      </c>
      <c r="D13083" s="22" t="s">
        <v>17554</v>
      </c>
      <c r="E13083" s="22" t="s">
        <v>3809</v>
      </c>
      <c r="F13083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83" s="22" t="s">
        <v>76</v>
      </c>
      <c r="H13083" s="22" t="s">
        <v>76</v>
      </c>
      <c r="I13083" s="26">
        <v>43662.412708333301</v>
      </c>
      <c r="J13083" s="28" t="s">
        <v>51</v>
      </c>
      <c r="K13083" s="28" t="s">
        <v>51</v>
      </c>
      <c r="L13083" s="28" t="s">
        <v>51</v>
      </c>
      <c r="M13083" s="28" t="s">
        <v>51</v>
      </c>
      <c r="N13083" s="28" t="s">
        <v>51</v>
      </c>
    </row>
    <row r="13084" spans="1:14" hidden="1" outlineLevel="1" x14ac:dyDescent="0.15">
      <c r="A13084" s="23" t="str">
        <f>HYPERLINK("https://www.spark-marketing.ru/Card/Person/1074525", "МБДОУ ""ДЕТСКИЙ САД № 116""")</f>
        <v>МБДОУ "ДЕТСКИЙ САД № 116"</v>
      </c>
      <c r="B13084" s="24" t="s">
        <v>17612</v>
      </c>
      <c r="C13084" s="25">
        <v>89975.2</v>
      </c>
      <c r="D13084" s="22" t="s">
        <v>17554</v>
      </c>
      <c r="E13084" s="22" t="s">
        <v>3809</v>
      </c>
      <c r="F13084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84" s="22" t="s">
        <v>76</v>
      </c>
      <c r="H13084" s="22" t="s">
        <v>76</v>
      </c>
      <c r="I13084" s="26">
        <v>43662.412708333301</v>
      </c>
      <c r="J13084" s="28" t="s">
        <v>51</v>
      </c>
      <c r="K13084" s="28" t="s">
        <v>51</v>
      </c>
      <c r="L13084" s="28" t="s">
        <v>51</v>
      </c>
      <c r="M13084" s="28" t="s">
        <v>51</v>
      </c>
      <c r="N13084" s="28" t="s">
        <v>51</v>
      </c>
    </row>
    <row r="13085" spans="1:14" hidden="1" outlineLevel="1" x14ac:dyDescent="0.15">
      <c r="A13085" s="23" t="str">
        <f>HYPERLINK("https://www.spark-marketing.ru/Card/Person/1074633", "МБДОУ ""ДЕТСКИЙ САД № 25""")</f>
        <v>МБДОУ "ДЕТСКИЙ САД № 25"</v>
      </c>
      <c r="B13085" s="24" t="s">
        <v>17613</v>
      </c>
      <c r="C13085" s="25">
        <v>53755.1</v>
      </c>
      <c r="D13085" s="22" t="s">
        <v>17554</v>
      </c>
      <c r="E13085" s="22" t="s">
        <v>3809</v>
      </c>
      <c r="F13085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85" s="22" t="s">
        <v>76</v>
      </c>
      <c r="H13085" s="22" t="s">
        <v>76</v>
      </c>
      <c r="I13085" s="26">
        <v>43662.412708333301</v>
      </c>
      <c r="J13085" s="28" t="s">
        <v>51</v>
      </c>
      <c r="K13085" s="28" t="s">
        <v>51</v>
      </c>
      <c r="L13085" s="28" t="s">
        <v>51</v>
      </c>
      <c r="M13085" s="28" t="s">
        <v>51</v>
      </c>
      <c r="N13085" s="28" t="s">
        <v>51</v>
      </c>
    </row>
    <row r="13086" spans="1:14" hidden="1" outlineLevel="1" x14ac:dyDescent="0.15">
      <c r="A13086" s="23" t="str">
        <f>HYPERLINK("https://www.spark-marketing.ru/Card/Person/1074834", "МБДОУ ""ДЕТСКИЙ САД № 28""")</f>
        <v>МБДОУ "ДЕТСКИЙ САД № 28"</v>
      </c>
      <c r="B13086" s="24" t="s">
        <v>17614</v>
      </c>
      <c r="C13086" s="25">
        <v>172145.4</v>
      </c>
      <c r="D13086" s="22" t="s">
        <v>17554</v>
      </c>
      <c r="E13086" s="22" t="s">
        <v>3809</v>
      </c>
      <c r="F13086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86" s="22" t="s">
        <v>76</v>
      </c>
      <c r="H13086" s="22" t="s">
        <v>76</v>
      </c>
      <c r="I13086" s="26">
        <v>43662.412708333301</v>
      </c>
      <c r="J13086" s="28" t="s">
        <v>51</v>
      </c>
      <c r="K13086" s="28" t="s">
        <v>51</v>
      </c>
      <c r="L13086" s="28" t="s">
        <v>51</v>
      </c>
      <c r="M13086" s="28" t="s">
        <v>51</v>
      </c>
      <c r="N13086" s="28" t="s">
        <v>51</v>
      </c>
    </row>
    <row r="13087" spans="1:14" hidden="1" outlineLevel="1" x14ac:dyDescent="0.15">
      <c r="A13087" s="23" t="str">
        <f>HYPERLINK("https://www.spark-marketing.ru/Card/Person/1074835", "МБДОУ ""ДЕТСКИЙ САД № 118"" КОМБИНИРОВАННОГО ВИДА")</f>
        <v>МБДОУ "ДЕТСКИЙ САД № 118" КОМБИНИРОВАННОГО ВИДА</v>
      </c>
      <c r="B13087" s="24" t="s">
        <v>17615</v>
      </c>
      <c r="C13087" s="25">
        <v>79894.8</v>
      </c>
      <c r="D13087" s="22" t="s">
        <v>17554</v>
      </c>
      <c r="E13087" s="22" t="s">
        <v>3809</v>
      </c>
      <c r="F13087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87" s="22" t="s">
        <v>76</v>
      </c>
      <c r="H13087" s="22" t="s">
        <v>76</v>
      </c>
      <c r="I13087" s="26">
        <v>43662.412708333301</v>
      </c>
      <c r="J13087" s="28" t="s">
        <v>51</v>
      </c>
      <c r="K13087" s="28" t="s">
        <v>51</v>
      </c>
      <c r="L13087" s="28" t="s">
        <v>51</v>
      </c>
      <c r="M13087" s="28" t="s">
        <v>51</v>
      </c>
      <c r="N13087" s="28" t="s">
        <v>51</v>
      </c>
    </row>
    <row r="13088" spans="1:14" hidden="1" outlineLevel="1" x14ac:dyDescent="0.15">
      <c r="A13088" s="23" t="str">
        <f>HYPERLINK("https://www.spark-marketing.ru/Card/Person/1075038", "МБДОУ ""ДЕТСКИЙ САД № 2""")</f>
        <v>МБДОУ "ДЕТСКИЙ САД № 2"</v>
      </c>
      <c r="B13088" s="24" t="s">
        <v>17616</v>
      </c>
      <c r="C13088" s="25">
        <v>90170.9</v>
      </c>
      <c r="D13088" s="22" t="s">
        <v>17554</v>
      </c>
      <c r="E13088" s="22" t="s">
        <v>3809</v>
      </c>
      <c r="F13088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88" s="22" t="s">
        <v>76</v>
      </c>
      <c r="H13088" s="22" t="s">
        <v>76</v>
      </c>
      <c r="I13088" s="26">
        <v>43662.412708333301</v>
      </c>
      <c r="J13088" s="28" t="s">
        <v>51</v>
      </c>
      <c r="K13088" s="28" t="s">
        <v>51</v>
      </c>
      <c r="L13088" s="28" t="s">
        <v>51</v>
      </c>
      <c r="M13088" s="28" t="s">
        <v>51</v>
      </c>
      <c r="N13088" s="28" t="s">
        <v>51</v>
      </c>
    </row>
    <row r="13089" spans="1:14" hidden="1" outlineLevel="1" x14ac:dyDescent="0.15">
      <c r="A13089" s="23" t="str">
        <f>HYPERLINK("https://www.spark-marketing.ru/Card/Person/1075346", "МБДОУ ""ДЕТСКИЙ САД № 8""")</f>
        <v>МБДОУ "ДЕТСКИЙ САД № 8"</v>
      </c>
      <c r="B13089" s="24" t="s">
        <v>17617</v>
      </c>
      <c r="C13089" s="25">
        <v>75468.7</v>
      </c>
      <c r="D13089" s="22" t="s">
        <v>17554</v>
      </c>
      <c r="E13089" s="22" t="s">
        <v>3809</v>
      </c>
      <c r="F13089" s="23" t="str">
        <f t="shared" si="429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89" s="22" t="s">
        <v>76</v>
      </c>
      <c r="H13089" s="22" t="s">
        <v>76</v>
      </c>
      <c r="I13089" s="26">
        <v>43662.412708333301</v>
      </c>
      <c r="J13089" s="28" t="s">
        <v>51</v>
      </c>
      <c r="K13089" s="28" t="s">
        <v>51</v>
      </c>
      <c r="L13089" s="28" t="s">
        <v>51</v>
      </c>
      <c r="M13089" s="28" t="s">
        <v>51</v>
      </c>
      <c r="N13089" s="28" t="s">
        <v>51</v>
      </c>
    </row>
    <row r="13090" spans="1:14" hidden="1" outlineLevel="1" x14ac:dyDescent="0.15">
      <c r="A13090" s="23" t="str">
        <f>HYPERLINK("https://www.spark-marketing.ru/Card/Person/1075349", "МБДОУ ""ДЕТСКИЙ САД № 147""")</f>
        <v>МБДОУ "ДЕТСКИЙ САД № 147"</v>
      </c>
      <c r="B13090" s="24" t="s">
        <v>17618</v>
      </c>
      <c r="C13090" s="25">
        <v>75285.3</v>
      </c>
      <c r="D13090" s="22" t="s">
        <v>17554</v>
      </c>
      <c r="E13090" s="22" t="s">
        <v>3809</v>
      </c>
      <c r="F13090" s="23" t="str">
        <f t="shared" ref="F13090:F13105" si="430">HYPERLINK("https://www.spark-marketing.ru/Card/Lot/72133974", "Определение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(№297-ЭА-19-ДС)")</f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90" s="22" t="s">
        <v>51</v>
      </c>
      <c r="H13090" s="22" t="s">
        <v>51</v>
      </c>
      <c r="I13090" s="26">
        <v>43662.412708333301</v>
      </c>
      <c r="J13090" s="28" t="s">
        <v>51</v>
      </c>
      <c r="K13090" s="28" t="s">
        <v>51</v>
      </c>
      <c r="L13090" s="28" t="s">
        <v>51</v>
      </c>
      <c r="M13090" s="28" t="s">
        <v>51</v>
      </c>
      <c r="N13090" s="28" t="s">
        <v>51</v>
      </c>
    </row>
    <row r="13091" spans="1:14" hidden="1" outlineLevel="1" x14ac:dyDescent="0.15">
      <c r="A13091" s="23" t="str">
        <f>HYPERLINK("https://www.spark-marketing.ru/Card/Person/1076189", "МБДОУ ""ДЕТСКИЙ САД № 114""")</f>
        <v>МБДОУ "ДЕТСКИЙ САД № 114"</v>
      </c>
      <c r="B13091" s="24" t="s">
        <v>17619</v>
      </c>
      <c r="C13091" s="25">
        <v>69548.100000000006</v>
      </c>
      <c r="D13091" s="22" t="s">
        <v>17554</v>
      </c>
      <c r="E13091" s="22" t="s">
        <v>3809</v>
      </c>
      <c r="F13091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91" s="22" t="s">
        <v>76</v>
      </c>
      <c r="H13091" s="22" t="s">
        <v>76</v>
      </c>
      <c r="I13091" s="26">
        <v>43662.412708333301</v>
      </c>
      <c r="J13091" s="28" t="s">
        <v>51</v>
      </c>
      <c r="K13091" s="28" t="s">
        <v>51</v>
      </c>
      <c r="L13091" s="28" t="s">
        <v>51</v>
      </c>
      <c r="M13091" s="28" t="s">
        <v>51</v>
      </c>
      <c r="N13091" s="28" t="s">
        <v>51</v>
      </c>
    </row>
    <row r="13092" spans="1:14" hidden="1" outlineLevel="1" x14ac:dyDescent="0.15">
      <c r="A13092" s="23" t="str">
        <f>HYPERLINK("https://www.spark-marketing.ru/Card/Person/1076302", "МБДОУ ""ДЕТСКИЙ САД № 37""")</f>
        <v>МБДОУ "ДЕТСКИЙ САД № 37"</v>
      </c>
      <c r="B13092" s="24" t="s">
        <v>17620</v>
      </c>
      <c r="C13092" s="25">
        <v>47955.9</v>
      </c>
      <c r="D13092" s="22" t="s">
        <v>17554</v>
      </c>
      <c r="E13092" s="22" t="s">
        <v>3809</v>
      </c>
      <c r="F13092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92" s="22" t="s">
        <v>76</v>
      </c>
      <c r="H13092" s="22" t="s">
        <v>76</v>
      </c>
      <c r="I13092" s="26">
        <v>43662.412708333301</v>
      </c>
      <c r="J13092" s="28" t="s">
        <v>51</v>
      </c>
      <c r="K13092" s="28" t="s">
        <v>51</v>
      </c>
      <c r="L13092" s="28" t="s">
        <v>51</v>
      </c>
      <c r="M13092" s="28" t="s">
        <v>51</v>
      </c>
      <c r="N13092" s="28" t="s">
        <v>51</v>
      </c>
    </row>
    <row r="13093" spans="1:14" hidden="1" outlineLevel="1" x14ac:dyDescent="0.15">
      <c r="A13093" s="23" t="str">
        <f>HYPERLINK("https://www.spark-marketing.ru/Card/Person/1076457", "МБДОУ ""ДЕТСКИЙ САД № 44""")</f>
        <v>МБДОУ "ДЕТСКИЙ САД № 44"</v>
      </c>
      <c r="B13093" s="24" t="s">
        <v>17621</v>
      </c>
      <c r="C13093" s="25">
        <v>133271.79999999999</v>
      </c>
      <c r="D13093" s="22" t="s">
        <v>17554</v>
      </c>
      <c r="E13093" s="22" t="s">
        <v>3809</v>
      </c>
      <c r="F13093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93" s="22" t="s">
        <v>76</v>
      </c>
      <c r="H13093" s="22" t="s">
        <v>76</v>
      </c>
      <c r="I13093" s="26">
        <v>43662.412708333301</v>
      </c>
      <c r="J13093" s="28" t="s">
        <v>51</v>
      </c>
      <c r="K13093" s="28" t="s">
        <v>51</v>
      </c>
      <c r="L13093" s="28" t="s">
        <v>51</v>
      </c>
      <c r="M13093" s="28" t="s">
        <v>51</v>
      </c>
      <c r="N13093" s="28" t="s">
        <v>51</v>
      </c>
    </row>
    <row r="13094" spans="1:14" hidden="1" outlineLevel="1" x14ac:dyDescent="0.15">
      <c r="A13094" s="23" t="str">
        <f>HYPERLINK("https://www.spark-marketing.ru/Card/Person/1076530", "МБДОУ ""ДЕТСКИЙ САД № 56"" КОМПЕНСИРУЮЩЕГО ВИДА")</f>
        <v>МБДОУ "ДЕТСКИЙ САД № 56" КОМПЕНСИРУЮЩЕГО ВИДА</v>
      </c>
      <c r="B13094" s="24" t="s">
        <v>17622</v>
      </c>
      <c r="C13094" s="25">
        <v>48211.6</v>
      </c>
      <c r="D13094" s="22" t="s">
        <v>17554</v>
      </c>
      <c r="E13094" s="22" t="s">
        <v>3809</v>
      </c>
      <c r="F13094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94" s="22" t="s">
        <v>76</v>
      </c>
      <c r="H13094" s="22" t="s">
        <v>76</v>
      </c>
      <c r="I13094" s="26">
        <v>43662.412708333301</v>
      </c>
      <c r="J13094" s="28" t="s">
        <v>51</v>
      </c>
      <c r="K13094" s="28" t="s">
        <v>51</v>
      </c>
      <c r="L13094" s="28" t="s">
        <v>51</v>
      </c>
      <c r="M13094" s="28" t="s">
        <v>51</v>
      </c>
      <c r="N13094" s="28" t="s">
        <v>51</v>
      </c>
    </row>
    <row r="13095" spans="1:14" hidden="1" outlineLevel="1" x14ac:dyDescent="0.15">
      <c r="A13095" s="23" t="str">
        <f>HYPERLINK("https://www.spark-marketing.ru/Card/Person/1076542", "МБДОУ ""ДЕТСКИЙ САД № 110""")</f>
        <v>МБДОУ "ДЕТСКИЙ САД № 110"</v>
      </c>
      <c r="B13095" s="24" t="s">
        <v>17623</v>
      </c>
      <c r="C13095" s="25">
        <v>158223.29999999999</v>
      </c>
      <c r="D13095" s="22" t="s">
        <v>17554</v>
      </c>
      <c r="E13095" s="22" t="s">
        <v>3809</v>
      </c>
      <c r="F13095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95" s="22" t="s">
        <v>76</v>
      </c>
      <c r="H13095" s="22" t="s">
        <v>76</v>
      </c>
      <c r="I13095" s="26">
        <v>43662.412708333301</v>
      </c>
      <c r="J13095" s="28" t="s">
        <v>51</v>
      </c>
      <c r="K13095" s="28" t="s">
        <v>51</v>
      </c>
      <c r="L13095" s="28" t="s">
        <v>51</v>
      </c>
      <c r="M13095" s="28" t="s">
        <v>51</v>
      </c>
      <c r="N13095" s="28" t="s">
        <v>51</v>
      </c>
    </row>
    <row r="13096" spans="1:14" hidden="1" outlineLevel="1" x14ac:dyDescent="0.15">
      <c r="A13096" s="23" t="str">
        <f>HYPERLINK("https://www.spark-marketing.ru/Card/Person/1076546", "МБДОУ ""ДЕТСКИЙ САД № 109""")</f>
        <v>МБДОУ "ДЕТСКИЙ САД № 109"</v>
      </c>
      <c r="B13096" s="24" t="s">
        <v>17624</v>
      </c>
      <c r="C13096" s="25">
        <v>72970.2</v>
      </c>
      <c r="D13096" s="22" t="s">
        <v>17554</v>
      </c>
      <c r="E13096" s="22" t="s">
        <v>3809</v>
      </c>
      <c r="F13096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96" s="22" t="s">
        <v>76</v>
      </c>
      <c r="H13096" s="22" t="s">
        <v>76</v>
      </c>
      <c r="I13096" s="26">
        <v>43662.412708333301</v>
      </c>
      <c r="J13096" s="28" t="s">
        <v>51</v>
      </c>
      <c r="K13096" s="28" t="s">
        <v>51</v>
      </c>
      <c r="L13096" s="28" t="s">
        <v>51</v>
      </c>
      <c r="M13096" s="28" t="s">
        <v>51</v>
      </c>
      <c r="N13096" s="28" t="s">
        <v>51</v>
      </c>
    </row>
    <row r="13097" spans="1:14" hidden="1" outlineLevel="1" x14ac:dyDescent="0.15">
      <c r="A13097" s="23" t="str">
        <f>HYPERLINK("https://www.spark-marketing.ru/Card/Person/1076578", "МБДОУ ""ДЕТСКИЙ САД № 95""")</f>
        <v>МБДОУ "ДЕТСКИЙ САД № 95"</v>
      </c>
      <c r="B13097" s="24" t="s">
        <v>17625</v>
      </c>
      <c r="C13097" s="25">
        <v>70170.600000000006</v>
      </c>
      <c r="D13097" s="22" t="s">
        <v>17554</v>
      </c>
      <c r="E13097" s="22" t="s">
        <v>3809</v>
      </c>
      <c r="F13097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97" s="22" t="s">
        <v>76</v>
      </c>
      <c r="H13097" s="22" t="s">
        <v>76</v>
      </c>
      <c r="I13097" s="26">
        <v>43662.412708333301</v>
      </c>
      <c r="J13097" s="28" t="s">
        <v>51</v>
      </c>
      <c r="K13097" s="28" t="s">
        <v>51</v>
      </c>
      <c r="L13097" s="28" t="s">
        <v>51</v>
      </c>
      <c r="M13097" s="28" t="s">
        <v>51</v>
      </c>
      <c r="N13097" s="28" t="s">
        <v>51</v>
      </c>
    </row>
    <row r="13098" spans="1:14" hidden="1" outlineLevel="1" x14ac:dyDescent="0.15">
      <c r="A13098" s="23" t="str">
        <f>HYPERLINK("https://www.spark-marketing.ru/Card/Person/1076964", "МБДОУ ""ДЕТСКИЙ САД № 111""")</f>
        <v>МБДОУ "ДЕТСКИЙ САД № 111"</v>
      </c>
      <c r="B13098" s="24" t="s">
        <v>17626</v>
      </c>
      <c r="C13098" s="25">
        <v>69054.8</v>
      </c>
      <c r="D13098" s="22" t="s">
        <v>17554</v>
      </c>
      <c r="E13098" s="22" t="s">
        <v>3809</v>
      </c>
      <c r="F13098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98" s="22" t="s">
        <v>76</v>
      </c>
      <c r="H13098" s="22" t="s">
        <v>76</v>
      </c>
      <c r="I13098" s="26">
        <v>43662.412708333301</v>
      </c>
      <c r="J13098" s="28" t="s">
        <v>51</v>
      </c>
      <c r="K13098" s="28" t="s">
        <v>51</v>
      </c>
      <c r="L13098" s="28" t="s">
        <v>51</v>
      </c>
      <c r="M13098" s="28" t="s">
        <v>51</v>
      </c>
      <c r="N13098" s="28" t="s">
        <v>51</v>
      </c>
    </row>
    <row r="13099" spans="1:14" hidden="1" outlineLevel="1" x14ac:dyDescent="0.15">
      <c r="A13099" s="23" t="str">
        <f>HYPERLINK("https://www.spark-marketing.ru/Card/Person/1077230", "МБДОУ ""ДЕТСКИЙ САД № 108""")</f>
        <v>МБДОУ "ДЕТСКИЙ САД № 108"</v>
      </c>
      <c r="B13099" s="24" t="s">
        <v>17627</v>
      </c>
      <c r="C13099" s="25">
        <v>106746.5</v>
      </c>
      <c r="D13099" s="22" t="s">
        <v>17554</v>
      </c>
      <c r="E13099" s="22" t="s">
        <v>3809</v>
      </c>
      <c r="F13099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099" s="22" t="s">
        <v>76</v>
      </c>
      <c r="H13099" s="22" t="s">
        <v>76</v>
      </c>
      <c r="I13099" s="26">
        <v>43662.412708333301</v>
      </c>
      <c r="J13099" s="28" t="s">
        <v>51</v>
      </c>
      <c r="K13099" s="28" t="s">
        <v>51</v>
      </c>
      <c r="L13099" s="28" t="s">
        <v>51</v>
      </c>
      <c r="M13099" s="28" t="s">
        <v>51</v>
      </c>
      <c r="N13099" s="28" t="s">
        <v>51</v>
      </c>
    </row>
    <row r="13100" spans="1:14" hidden="1" outlineLevel="1" x14ac:dyDescent="0.15">
      <c r="A13100" s="23" t="str">
        <f>HYPERLINK("https://www.spark-marketing.ru/Card/Person/1077241", "МБДОУ ""ДЕТСКИЙ САД № 94"" КОМПЕНСИРУЮЩЕГО ВИДА")</f>
        <v>МБДОУ "ДЕТСКИЙ САД № 94" КОМПЕНСИРУЮЩЕГО ВИДА</v>
      </c>
      <c r="B13100" s="24" t="s">
        <v>17628</v>
      </c>
      <c r="C13100" s="25">
        <v>59076.4</v>
      </c>
      <c r="D13100" s="22" t="s">
        <v>17554</v>
      </c>
      <c r="E13100" s="22" t="s">
        <v>3809</v>
      </c>
      <c r="F13100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100" s="22" t="s">
        <v>76</v>
      </c>
      <c r="H13100" s="22" t="s">
        <v>76</v>
      </c>
      <c r="I13100" s="26">
        <v>43662.412708333301</v>
      </c>
      <c r="J13100" s="28" t="s">
        <v>51</v>
      </c>
      <c r="K13100" s="28" t="s">
        <v>51</v>
      </c>
      <c r="L13100" s="28" t="s">
        <v>51</v>
      </c>
      <c r="M13100" s="28" t="s">
        <v>51</v>
      </c>
      <c r="N13100" s="28" t="s">
        <v>51</v>
      </c>
    </row>
    <row r="13101" spans="1:14" hidden="1" outlineLevel="1" x14ac:dyDescent="0.15">
      <c r="A13101" s="23" t="str">
        <f>HYPERLINK("https://www.spark-marketing.ru/Card/Person/1077251", "МБДОУ ""ДЕТСКИЙ САД № 39""")</f>
        <v>МБДОУ "ДЕТСКИЙ САД № 39"</v>
      </c>
      <c r="B13101" s="24" t="s">
        <v>17629</v>
      </c>
      <c r="C13101" s="25">
        <v>90037.2</v>
      </c>
      <c r="D13101" s="22" t="s">
        <v>17554</v>
      </c>
      <c r="E13101" s="22" t="s">
        <v>3809</v>
      </c>
      <c r="F13101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101" s="22" t="s">
        <v>76</v>
      </c>
      <c r="H13101" s="22" t="s">
        <v>76</v>
      </c>
      <c r="I13101" s="26">
        <v>43662.412708333301</v>
      </c>
      <c r="J13101" s="28" t="s">
        <v>51</v>
      </c>
      <c r="K13101" s="28" t="s">
        <v>51</v>
      </c>
      <c r="L13101" s="28" t="s">
        <v>51</v>
      </c>
      <c r="M13101" s="28" t="s">
        <v>51</v>
      </c>
      <c r="N13101" s="28" t="s">
        <v>51</v>
      </c>
    </row>
    <row r="13102" spans="1:14" hidden="1" outlineLevel="1" x14ac:dyDescent="0.15">
      <c r="A13102" s="23" t="str">
        <f>HYPERLINK("https://www.spark-marketing.ru/Card/Person/4356315", "МБДОУ ""ДЕТСКИЙ САД № 115""")</f>
        <v>МБДОУ "ДЕТСКИЙ САД № 115"</v>
      </c>
      <c r="B13102" s="24" t="s">
        <v>17630</v>
      </c>
      <c r="C13102" s="25">
        <v>94297.3</v>
      </c>
      <c r="D13102" s="22" t="s">
        <v>17554</v>
      </c>
      <c r="E13102" s="22" t="s">
        <v>3809</v>
      </c>
      <c r="F13102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102" s="22" t="s">
        <v>76</v>
      </c>
      <c r="H13102" s="22" t="s">
        <v>76</v>
      </c>
      <c r="I13102" s="26">
        <v>43662.412708333301</v>
      </c>
      <c r="J13102" s="28" t="s">
        <v>51</v>
      </c>
      <c r="K13102" s="28" t="s">
        <v>51</v>
      </c>
      <c r="L13102" s="28" t="s">
        <v>51</v>
      </c>
      <c r="M13102" s="28" t="s">
        <v>51</v>
      </c>
      <c r="N13102" s="28" t="s">
        <v>51</v>
      </c>
    </row>
    <row r="13103" spans="1:14" hidden="1" outlineLevel="1" x14ac:dyDescent="0.15">
      <c r="A13103" s="23" t="str">
        <f>HYPERLINK("https://www.spark-marketing.ru/Card/Person/4356318", "МБДОУ ""ДЕТСКИЙ САД № 132""")</f>
        <v>МБДОУ "ДЕТСКИЙ САД № 132"</v>
      </c>
      <c r="B13103" s="24" t="s">
        <v>17631</v>
      </c>
      <c r="C13103" s="25">
        <v>131553</v>
      </c>
      <c r="D13103" s="22" t="s">
        <v>17554</v>
      </c>
      <c r="E13103" s="22" t="s">
        <v>3809</v>
      </c>
      <c r="F13103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103" s="22" t="s">
        <v>76</v>
      </c>
      <c r="H13103" s="22" t="s">
        <v>76</v>
      </c>
      <c r="I13103" s="26">
        <v>43662.412708333301</v>
      </c>
      <c r="J13103" s="28" t="s">
        <v>51</v>
      </c>
      <c r="K13103" s="28" t="s">
        <v>51</v>
      </c>
      <c r="L13103" s="28" t="s">
        <v>51</v>
      </c>
      <c r="M13103" s="28" t="s">
        <v>51</v>
      </c>
      <c r="N13103" s="28" t="s">
        <v>51</v>
      </c>
    </row>
    <row r="13104" spans="1:14" hidden="1" outlineLevel="1" x14ac:dyDescent="0.2">
      <c r="A13104" s="28" t="s">
        <v>51</v>
      </c>
      <c r="B13104" s="28" t="s">
        <v>51</v>
      </c>
      <c r="C13104" s="28" t="s">
        <v>51</v>
      </c>
      <c r="D13104" s="22" t="s">
        <v>17554</v>
      </c>
      <c r="E13104" s="22" t="s">
        <v>3809</v>
      </c>
      <c r="F13104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104" s="22" t="s">
        <v>51</v>
      </c>
      <c r="H13104" s="22" t="s">
        <v>51</v>
      </c>
      <c r="I13104" s="26">
        <v>43662.412708333301</v>
      </c>
      <c r="J13104" s="23" t="str">
        <f>HYPERLINK("https://www.spark-marketing.ru/Card/Person/4340384", "ООО ""РИВ-НН""")</f>
        <v>ООО "РИВ-НН"</v>
      </c>
      <c r="K13104" s="24" t="s">
        <v>17632</v>
      </c>
      <c r="L13104" s="22" t="s">
        <v>10</v>
      </c>
      <c r="M13104" s="25">
        <v>7595177.1500000004</v>
      </c>
      <c r="N13104" s="27">
        <v>3.5000000444690087E-2</v>
      </c>
    </row>
    <row r="13105" spans="1:14" hidden="1" outlineLevel="1" x14ac:dyDescent="0.2">
      <c r="A13105" s="28" t="s">
        <v>51</v>
      </c>
      <c r="B13105" s="28" t="s">
        <v>51</v>
      </c>
      <c r="C13105" s="28" t="s">
        <v>51</v>
      </c>
      <c r="D13105" s="22" t="s">
        <v>17554</v>
      </c>
      <c r="E13105" s="22" t="s">
        <v>3809</v>
      </c>
      <c r="F13105" s="23" t="str">
        <f t="shared" si="430"/>
        <v>Определение поставщика продуктов питания (грудка куриная, рыба минтай, яйцо куриное) в сентябре-декабре 2019 года для нужд муниципальных дошкольных образовательных учреждений г. Дзержинска (№297-ЭА-19-ДС)</v>
      </c>
      <c r="G13105" s="22" t="s">
        <v>51</v>
      </c>
      <c r="H13105" s="22" t="s">
        <v>51</v>
      </c>
      <c r="I13105" s="26">
        <v>43662.412708333301</v>
      </c>
      <c r="J13105" s="23" t="str">
        <f>HYPERLINK("https://www.spark-marketing.ru/Card/Person/1179546", "ООО ""СК ЦЕНТР""")</f>
        <v>ООО "СК ЦЕНТР"</v>
      </c>
      <c r="K13105" s="24" t="s">
        <v>17633</v>
      </c>
      <c r="L13105" s="28" t="s">
        <v>51</v>
      </c>
      <c r="M13105" s="25">
        <v>7634530.4000000004</v>
      </c>
      <c r="N13105" s="27">
        <v>3.0000000381162933E-2</v>
      </c>
    </row>
    <row r="13106" spans="1:14" x14ac:dyDescent="0.15">
      <c r="A13106" s="23" t="str">
        <f>HYPERLINK("https://www.spark-marketing.ru/Card/Person/418059", "ГКАУ ""ЦСП ПЕРМСКОГО КРАЯ""")</f>
        <v>ГКАУ "ЦСП ПЕРМСКОГО КРАЯ"</v>
      </c>
      <c r="B13106" s="24" t="s">
        <v>10611</v>
      </c>
      <c r="C13106" s="25">
        <v>224400</v>
      </c>
      <c r="D13106" s="22" t="s">
        <v>17634</v>
      </c>
      <c r="E13106" s="22" t="s">
        <v>17635</v>
      </c>
      <c r="F13106" s="23" t="str">
        <f>HYPERLINK("https://www.spark-marketing.ru/Card/Lot/72135455", "Услуги по организации временного проживания и горячего шестиразового питания в период тренировочного мероприятия по виду спорта самбо.")</f>
        <v>Услуги по организации временного проживания и горячего шестиразового питания в период тренировочного мероприятия по виду спорта самбо.</v>
      </c>
      <c r="G13106" s="22" t="s">
        <v>153</v>
      </c>
      <c r="H13106" s="22" t="s">
        <v>153</v>
      </c>
      <c r="I13106" s="26">
        <v>43662.389027777797</v>
      </c>
      <c r="J13106" s="28" t="s">
        <v>51</v>
      </c>
      <c r="K13106" s="28" t="s">
        <v>51</v>
      </c>
      <c r="L13106" s="28" t="s">
        <v>51</v>
      </c>
      <c r="M13106" s="28" t="s">
        <v>51</v>
      </c>
      <c r="N13106" s="28" t="s">
        <v>51</v>
      </c>
    </row>
    <row r="13107" spans="1:14" x14ac:dyDescent="0.15">
      <c r="A13107" s="23" t="str">
        <f>HYPERLINK("https://www.spark-marketing.ru/Card/Person/1027645", "МБОУ ""О(С)Ш № 1""")</f>
        <v>МБОУ "О(С)Ш № 1"</v>
      </c>
      <c r="B13107" s="24" t="s">
        <v>12536</v>
      </c>
      <c r="C13107" s="25">
        <v>37544</v>
      </c>
      <c r="D13107" s="22" t="s">
        <v>17636</v>
      </c>
      <c r="E13107" s="22" t="s">
        <v>48</v>
      </c>
      <c r="F13107" s="23" t="str">
        <f>HYPERLINK("https://www.spark-marketing.ru/Card/Lot/72117596", "Оказание услуг по организации горячего питания и обеспечение горячим питанием учащихся МБОУ ""О(С)Ш № 1""")</f>
        <v>Оказание услуг по организации горячего питания и обеспечение горячим питанием учащихся МБОУ "О(С)Ш № 1"</v>
      </c>
      <c r="G13107" s="22" t="s">
        <v>460</v>
      </c>
      <c r="H13107" s="22" t="s">
        <v>461</v>
      </c>
      <c r="I13107" s="26">
        <v>43662.378738425898</v>
      </c>
      <c r="J13107" s="28" t="s">
        <v>51</v>
      </c>
      <c r="K13107" s="28" t="s">
        <v>51</v>
      </c>
      <c r="L13107" s="28" t="s">
        <v>51</v>
      </c>
      <c r="M13107" s="28" t="s">
        <v>51</v>
      </c>
      <c r="N13107" s="28" t="s">
        <v>51</v>
      </c>
    </row>
    <row r="13108" spans="1:14" x14ac:dyDescent="0.15">
      <c r="A13108" s="23" t="str">
        <f>HYPERLINK("https://www.spark-marketing.ru/Card/Person/5852776", "УПРАВЛЕНИЕ РОСГВАРДИИ ПО АЛТАЙСКОМУ КРАЮ")</f>
        <v>УПРАВЛЕНИЕ РОСГВАРДИИ ПО АЛТАЙСКОМУ КРАЮ</v>
      </c>
      <c r="B13108" s="24" t="s">
        <v>17637</v>
      </c>
      <c r="C13108" s="25">
        <v>270940</v>
      </c>
      <c r="D13108" s="22" t="s">
        <v>17638</v>
      </c>
      <c r="E13108" s="22" t="s">
        <v>48</v>
      </c>
      <c r="F13108" s="23" t="str">
        <f>HYPERLINK("https://www.spark-marketing.ru/Card/Lot/72110738", "Оказание услуг по организации питания летного состава.")</f>
        <v>Оказание услуг по организации питания летного состава.</v>
      </c>
      <c r="G13108" s="22" t="s">
        <v>63</v>
      </c>
      <c r="H13108" s="22" t="s">
        <v>177</v>
      </c>
      <c r="I13108" s="26">
        <v>43662.414722222202</v>
      </c>
      <c r="J13108" s="23" t="str">
        <f>HYPERLINK("https://www.spark-marketing.ru/Card/Person/462202", "Терехова Любовь Алексеевна")</f>
        <v>Терехова Любовь Алексеевна</v>
      </c>
      <c r="K13108" s="24" t="s">
        <v>17639</v>
      </c>
      <c r="L13108" s="22" t="s">
        <v>10</v>
      </c>
      <c r="M13108" s="28" t="s">
        <v>51</v>
      </c>
      <c r="N13108" s="28" t="s">
        <v>51</v>
      </c>
    </row>
    <row r="13109" spans="1:14" x14ac:dyDescent="0.15">
      <c r="A13109" s="23" t="str">
        <f>HYPERLINK("https://www.spark-marketing.ru/Card/Person/5542", "АДМИНИСТРАЦИЯ МУНИЦИПАЛЬНОГО ОБРАЗОВАНИЯ КРАСНОАРМЕЙСКИЙ РАЙОН")</f>
        <v>АДМИНИСТРАЦИЯ МУНИЦИПАЛЬНОГО ОБРАЗОВАНИЯ КРАСНОАРМЕЙСКИЙ РАЙОН</v>
      </c>
      <c r="B13109" s="24" t="s">
        <v>8027</v>
      </c>
      <c r="C13109" s="25">
        <v>165750</v>
      </c>
      <c r="D13109" s="22" t="s">
        <v>17640</v>
      </c>
      <c r="E13109" s="22" t="s">
        <v>96</v>
      </c>
      <c r="F13109" s="23" t="str">
        <f>HYPERLINK("https://www.spark-marketing.ru/Card/Lot/72118757", "Услуги по питанию участников мероприятия")</f>
        <v>Услуги по питанию участников мероприятия</v>
      </c>
      <c r="G13109" s="22" t="s">
        <v>104</v>
      </c>
      <c r="H13109" s="22" t="s">
        <v>104</v>
      </c>
      <c r="I13109" s="26">
        <v>43662.403587963003</v>
      </c>
      <c r="J13109" s="23" t="str">
        <f>HYPERLINK("https://www.spark-marketing.ru/Card/Person/1203559", "Гаряев Андрей Анатольевич")</f>
        <v>Гаряев Андрей Анатольевич</v>
      </c>
      <c r="K13109" s="24" t="s">
        <v>8029</v>
      </c>
      <c r="L13109" s="22" t="s">
        <v>10</v>
      </c>
      <c r="M13109" s="28" t="s">
        <v>51</v>
      </c>
      <c r="N13109" s="28" t="s">
        <v>51</v>
      </c>
    </row>
    <row r="13110" spans="1:14" x14ac:dyDescent="0.15">
      <c r="A13110" s="23" t="s">
        <v>114</v>
      </c>
      <c r="B13110" s="28" t="s">
        <v>51</v>
      </c>
      <c r="C13110" s="25">
        <v>2921550.2</v>
      </c>
      <c r="D13110" s="22" t="s">
        <v>17641</v>
      </c>
      <c r="E13110" s="22" t="s">
        <v>48</v>
      </c>
      <c r="F13110" s="23" t="str">
        <f>HYPERLINK("https://www.spark-marketing.ru/Card/Lot/72135145", "Оказание услуг по организации готового горячего питания учащихся образовательных учреждений в 2019-2020 учебном году")</f>
        <v>Оказание услуг по организации готового горячего питания учащихся образовательных учреждений в 2019-2020 учебном году</v>
      </c>
      <c r="G13110" s="22" t="s">
        <v>51</v>
      </c>
      <c r="H13110" s="22" t="s">
        <v>51</v>
      </c>
      <c r="I13110" s="26">
        <v>43662.362858796303</v>
      </c>
      <c r="J13110" s="28" t="s">
        <v>51</v>
      </c>
      <c r="K13110" s="28" t="s">
        <v>51</v>
      </c>
      <c r="L13110" s="28" t="s">
        <v>51</v>
      </c>
      <c r="M13110" s="28" t="s">
        <v>51</v>
      </c>
      <c r="N13110" s="28" t="s">
        <v>51</v>
      </c>
    </row>
    <row r="13111" spans="1:14" hidden="1" outlineLevel="1" x14ac:dyDescent="0.15">
      <c r="A13111" s="23" t="str">
        <f>HYPERLINK("https://www.spark-marketing.ru/Card/Person/83528", "МБОУ БОЯРКИНСКАЯ СОШ ИМ. М.Е. КАТУКОВА")</f>
        <v>МБОУ БОЯРКИНСКАЯ СОШ ИМ. М.Е. КАТУКОВА</v>
      </c>
      <c r="B13111" s="24" t="s">
        <v>17642</v>
      </c>
      <c r="C13111" s="25">
        <v>947860</v>
      </c>
      <c r="D13111" s="22" t="s">
        <v>17641</v>
      </c>
      <c r="E13111" s="22" t="s">
        <v>48</v>
      </c>
      <c r="F13111" s="23" t="str">
        <f>HYPERLINK("https://www.spark-marketing.ru/Card/Lot/72135145", "Оказание услуг по организации готового горячего питания учащихся образовательных учреждений в 2019-2020 учебном году")</f>
        <v>Оказание услуг по организации готового горячего питания учащихся образовательных учреждений в 2019-2020 учебном году</v>
      </c>
      <c r="G13111" s="22" t="s">
        <v>49</v>
      </c>
      <c r="H13111" s="22" t="s">
        <v>15766</v>
      </c>
      <c r="I13111" s="26">
        <v>43662.362858796303</v>
      </c>
      <c r="J13111" s="28" t="s">
        <v>51</v>
      </c>
      <c r="K13111" s="28" t="s">
        <v>51</v>
      </c>
      <c r="L13111" s="28" t="s">
        <v>51</v>
      </c>
      <c r="M13111" s="28" t="s">
        <v>51</v>
      </c>
      <c r="N13111" s="28" t="s">
        <v>51</v>
      </c>
    </row>
    <row r="13112" spans="1:14" hidden="1" outlineLevel="1" x14ac:dyDescent="0.15">
      <c r="A13112" s="23" t="str">
        <f>HYPERLINK("https://www.spark-marketing.ru/Card/Person/131786", "МБОУ ГОРСКАЯ СОШ")</f>
        <v>МБОУ ГОРСКАЯ СОШ</v>
      </c>
      <c r="B13112" s="24" t="s">
        <v>17643</v>
      </c>
      <c r="C13112" s="25">
        <v>1973690.2</v>
      </c>
      <c r="D13112" s="22" t="s">
        <v>17641</v>
      </c>
      <c r="E13112" s="22" t="s">
        <v>48</v>
      </c>
      <c r="F13112" s="23" t="str">
        <f>HYPERLINK("https://www.spark-marketing.ru/Card/Lot/72135145", "Оказание услуг по организации готового горячего питания учащихся образовательных учреждений в 2019-2020 учебном году")</f>
        <v>Оказание услуг по организации готового горячего питания учащихся образовательных учреждений в 2019-2020 учебном году</v>
      </c>
      <c r="G13112" s="22" t="s">
        <v>51</v>
      </c>
      <c r="H13112" s="22" t="s">
        <v>51</v>
      </c>
      <c r="I13112" s="26">
        <v>43662.362858796303</v>
      </c>
      <c r="J13112" s="28" t="s">
        <v>51</v>
      </c>
      <c r="K13112" s="28" t="s">
        <v>51</v>
      </c>
      <c r="L13112" s="28" t="s">
        <v>51</v>
      </c>
      <c r="M13112" s="28" t="s">
        <v>51</v>
      </c>
      <c r="N13112" s="28" t="s">
        <v>51</v>
      </c>
    </row>
    <row r="13113" spans="1:14" hidden="1" outlineLevel="1" x14ac:dyDescent="0.15">
      <c r="A13113" s="28" t="s">
        <v>51</v>
      </c>
      <c r="B13113" s="28" t="s">
        <v>51</v>
      </c>
      <c r="C13113" s="28" t="s">
        <v>51</v>
      </c>
      <c r="D13113" s="22" t="s">
        <v>17641</v>
      </c>
      <c r="E13113" s="22" t="s">
        <v>48</v>
      </c>
      <c r="F13113" s="23" t="str">
        <f>HYPERLINK("https://www.spark-marketing.ru/Card/Lot/72135145", "Оказание услуг по организации готового горячего питания учащихся образовательных учреждений в 2019-2020 учебном году")</f>
        <v>Оказание услуг по организации готового горячего питания учащихся образовательных учреждений в 2019-2020 учебном году</v>
      </c>
      <c r="G13113" s="22" t="s">
        <v>51</v>
      </c>
      <c r="H13113" s="22" t="s">
        <v>51</v>
      </c>
      <c r="I13113" s="26">
        <v>43662.362858796303</v>
      </c>
      <c r="J13113" s="23" t="str">
        <f>HYPERLINK("https://www.spark-marketing.ru/Card/Person/6290196", "ООО ""РАМКЕЙТ""")</f>
        <v>ООО "РАМКЕЙТ"</v>
      </c>
      <c r="K13113" s="24" t="s">
        <v>5037</v>
      </c>
      <c r="L13113" s="28" t="s">
        <v>51</v>
      </c>
      <c r="M13113" s="28" t="s">
        <v>51</v>
      </c>
      <c r="N13113" s="28" t="s">
        <v>51</v>
      </c>
    </row>
    <row r="13114" spans="1:14" hidden="1" outlineLevel="1" x14ac:dyDescent="0.2">
      <c r="A13114" s="28" t="s">
        <v>51</v>
      </c>
      <c r="B13114" s="28" t="s">
        <v>51</v>
      </c>
      <c r="C13114" s="28" t="s">
        <v>51</v>
      </c>
      <c r="D13114" s="22" t="s">
        <v>17641</v>
      </c>
      <c r="E13114" s="22" t="s">
        <v>48</v>
      </c>
      <c r="F13114" s="23" t="str">
        <f>HYPERLINK("https://www.spark-marketing.ru/Card/Lot/72135145", "Оказание услуг по организации готового горячего питания учащихся образовательных учреждений в 2019-2020 учебном году")</f>
        <v>Оказание услуг по организации готового горячего питания учащихся образовательных учреждений в 2019-2020 учебном году</v>
      </c>
      <c r="G13114" s="22" t="s">
        <v>51</v>
      </c>
      <c r="H13114" s="22" t="s">
        <v>51</v>
      </c>
      <c r="I13114" s="26">
        <v>43662.362858796303</v>
      </c>
      <c r="J13114" s="23" t="str">
        <f>HYPERLINK("https://www.spark-marketing.ru/Card/Person/145629", "ООО ""Я САМА""")</f>
        <v>ООО "Я САМА"</v>
      </c>
      <c r="K13114" s="24" t="s">
        <v>5036</v>
      </c>
      <c r="L13114" s="28" t="s">
        <v>51</v>
      </c>
      <c r="M13114" s="25">
        <v>2278809.16</v>
      </c>
      <c r="N13114" s="27">
        <v>0.21999999863086384</v>
      </c>
    </row>
    <row r="13115" spans="1:14" x14ac:dyDescent="0.15">
      <c r="A13115" s="23" t="str">
        <f>HYPERLINK("https://www.spark-marketing.ru/Card/Person/6158145", "МИНТРУДА И СОЦРАЗВИТИЯ НСО")</f>
        <v>МИНТРУДА И СОЦРАЗВИТИЯ НСО</v>
      </c>
      <c r="B13115" s="24" t="s">
        <v>977</v>
      </c>
      <c r="C13115" s="25">
        <v>1519000</v>
      </c>
      <c r="D13115" s="22" t="s">
        <v>17644</v>
      </c>
      <c r="E13115" s="22" t="s">
        <v>51</v>
      </c>
      <c r="F13115" s="23" t="str">
        <f>HYPERLINK("https://www.spark-marketing.ru/Card/Lot/72110050", "Оказание услуг по санаторно-курортному лечению ветеранов труда, количество путевок - 70 шт., с заболеваниями сердечно-сосудистой системы, расстройством питания и нарушением обмена веществ")</f>
        <v>Оказание услуг по санаторно-курортному лечению ветеранов труда, количество путевок - 70 шт., с заболеваниями сердечно-сосудистой системы, расстройством питания и нарушением обмена веществ</v>
      </c>
      <c r="G13115" s="22" t="s">
        <v>195</v>
      </c>
      <c r="H13115" s="22" t="s">
        <v>196</v>
      </c>
      <c r="I13115" s="26">
        <v>43662.371122685203</v>
      </c>
      <c r="J13115" s="23" t="str">
        <f>HYPERLINK("https://www.spark-marketing.ru/Card/Person/4417838", "ООО ""САНАТОРИЙ ""ПАРУС""")</f>
        <v>ООО "САНАТОРИЙ "ПАРУС"</v>
      </c>
      <c r="K13115" s="24" t="s">
        <v>5609</v>
      </c>
      <c r="L13115" s="22" t="s">
        <v>10</v>
      </c>
      <c r="M13115" s="28" t="s">
        <v>51</v>
      </c>
      <c r="N13115" s="28" t="s">
        <v>51</v>
      </c>
    </row>
    <row r="13116" spans="1:14" x14ac:dyDescent="0.15">
      <c r="A13116" s="23" t="str">
        <f>HYPERLINK("https://www.spark-marketing.ru/Card/Person/1053869", "МОБУ ""СОШ № 1"" ПГТ. ПОЙКОВСКИЙ")</f>
        <v>МОБУ "СОШ № 1" ПГТ. ПОЙКОВСКИЙ</v>
      </c>
      <c r="B13116" s="24" t="s">
        <v>17645</v>
      </c>
      <c r="C13116" s="25">
        <v>5507256</v>
      </c>
      <c r="D13116" s="22" t="s">
        <v>17646</v>
      </c>
      <c r="E13116" s="22" t="s">
        <v>48</v>
      </c>
      <c r="F13116" s="23" t="str">
        <f>HYPERLINK("https://www.spark-marketing.ru/Card/Lot/72133905", "Оказание услуг по организации питания учащихся в столовой МОБУ ""СОШ №1"" пгт. Пойковский на 2019 год")</f>
        <v>Оказание услуг по организации питания учащихся в столовой МОБУ "СОШ №1" пгт. Пойковский на 2019 год</v>
      </c>
      <c r="G13116" s="22" t="s">
        <v>97</v>
      </c>
      <c r="H13116" s="22" t="s">
        <v>97</v>
      </c>
      <c r="I13116" s="26">
        <v>43662.374039351896</v>
      </c>
      <c r="J13116" s="23" t="str">
        <f>HYPERLINK("https://www.spark-marketing.ru/Card/Person/930573", "ООО ""МЕГАЦЕНТР""")</f>
        <v>ООО "МЕГАЦЕНТР"</v>
      </c>
      <c r="K13116" s="24" t="s">
        <v>15993</v>
      </c>
      <c r="L13116" s="22" t="s">
        <v>10</v>
      </c>
      <c r="M13116" s="28" t="s">
        <v>51</v>
      </c>
      <c r="N13116" s="28" t="s">
        <v>51</v>
      </c>
    </row>
    <row r="13117" spans="1:14" x14ac:dyDescent="0.2">
      <c r="A13117" s="23" t="s">
        <v>114</v>
      </c>
      <c r="B13117" s="28" t="s">
        <v>51</v>
      </c>
      <c r="C13117" s="25">
        <v>5438460.8300000001</v>
      </c>
      <c r="D13117" s="22" t="s">
        <v>17647</v>
      </c>
      <c r="E13117" s="22" t="s">
        <v>48</v>
      </c>
      <c r="F13117" s="23" t="str">
        <f t="shared" ref="F13117:F13122" si="431">HYPERLINK("https://www.spark-marketing.ru/Card/Lot/72135072", "услуги по организации и обеспечению горячим питанием учащихся")</f>
        <v>услуги по организации и обеспечению горячим питанием учащихся</v>
      </c>
      <c r="G13117" s="22" t="s">
        <v>51</v>
      </c>
      <c r="H13117" s="22" t="s">
        <v>51</v>
      </c>
      <c r="I13117" s="26">
        <v>43662.327569444402</v>
      </c>
      <c r="J13117" s="23" t="str">
        <f t="shared" ref="J13117:J13122" si="432">HYPERLINK("https://www.spark-marketing.ru/Card/Person/26777", "Розенбах Евгения Олеговна")</f>
        <v>Розенбах Евгения Олеговна</v>
      </c>
      <c r="K13117" s="24" t="s">
        <v>14866</v>
      </c>
      <c r="L13117" s="28" t="s">
        <v>51</v>
      </c>
      <c r="M13117" s="25">
        <v>5438460.8300000001</v>
      </c>
      <c r="N13117" s="27">
        <v>0</v>
      </c>
    </row>
    <row r="13118" spans="1:14" hidden="1" outlineLevel="1" x14ac:dyDescent="0.2">
      <c r="A13118" s="23" t="str">
        <f>HYPERLINK("https://www.spark-marketing.ru/Card/Person/27140", "МБОУ ООШ СЕЛА ФИЛЬКИНО")</f>
        <v>МБОУ ООШ СЕЛА ФИЛЬКИНО</v>
      </c>
      <c r="B13118" s="24" t="s">
        <v>17648</v>
      </c>
      <c r="C13118" s="25">
        <v>849011.9</v>
      </c>
      <c r="D13118" s="22" t="s">
        <v>17647</v>
      </c>
      <c r="E13118" s="22" t="s">
        <v>48</v>
      </c>
      <c r="F13118" s="23" t="str">
        <f t="shared" si="431"/>
        <v>услуги по организации и обеспечению горячим питанием учащихся</v>
      </c>
      <c r="G13118" s="22" t="s">
        <v>174</v>
      </c>
      <c r="H13118" s="22" t="s">
        <v>17649</v>
      </c>
      <c r="I13118" s="26">
        <v>43662.327569444402</v>
      </c>
      <c r="J13118" s="23" t="str">
        <f t="shared" si="432"/>
        <v>Розенбах Евгения Олеговна</v>
      </c>
      <c r="K13118" s="24" t="s">
        <v>14866</v>
      </c>
      <c r="L13118" s="28" t="s">
        <v>51</v>
      </c>
      <c r="M13118" s="28" t="s">
        <v>51</v>
      </c>
      <c r="N13118" s="27">
        <v>0</v>
      </c>
    </row>
    <row r="13119" spans="1:14" hidden="1" outlineLevel="1" x14ac:dyDescent="0.2">
      <c r="A13119" s="23" t="str">
        <f>HYPERLINK("https://www.spark-marketing.ru/Card/Person/1008191", "МБОУ СОШ №23")</f>
        <v>МБОУ СОШ №23</v>
      </c>
      <c r="B13119" s="24" t="s">
        <v>17650</v>
      </c>
      <c r="C13119" s="25">
        <v>1760764.91</v>
      </c>
      <c r="D13119" s="22" t="s">
        <v>17647</v>
      </c>
      <c r="E13119" s="22" t="s">
        <v>48</v>
      </c>
      <c r="F13119" s="23" t="str">
        <f t="shared" si="431"/>
        <v>услуги по организации и обеспечению горячим питанием учащихся</v>
      </c>
      <c r="G13119" s="22" t="s">
        <v>174</v>
      </c>
      <c r="H13119" s="22" t="s">
        <v>17649</v>
      </c>
      <c r="I13119" s="26">
        <v>43662.327569444402</v>
      </c>
      <c r="J13119" s="23" t="str">
        <f t="shared" si="432"/>
        <v>Розенбах Евгения Олеговна</v>
      </c>
      <c r="K13119" s="24" t="s">
        <v>14866</v>
      </c>
      <c r="L13119" s="28" t="s">
        <v>51</v>
      </c>
      <c r="M13119" s="28" t="s">
        <v>51</v>
      </c>
      <c r="N13119" s="27">
        <v>0</v>
      </c>
    </row>
    <row r="13120" spans="1:14" hidden="1" outlineLevel="1" x14ac:dyDescent="0.2">
      <c r="A13120" s="23" t="str">
        <f>HYPERLINK("https://www.spark-marketing.ru/Card/Person/1022801", "МБОУ СОШ №11")</f>
        <v>МБОУ СОШ №11</v>
      </c>
      <c r="B13120" s="24" t="s">
        <v>17651</v>
      </c>
      <c r="C13120" s="25">
        <v>1441021.4</v>
      </c>
      <c r="D13120" s="22" t="s">
        <v>17647</v>
      </c>
      <c r="E13120" s="22" t="s">
        <v>48</v>
      </c>
      <c r="F13120" s="23" t="str">
        <f t="shared" si="431"/>
        <v>услуги по организации и обеспечению горячим питанием учащихся</v>
      </c>
      <c r="G13120" s="22" t="s">
        <v>174</v>
      </c>
      <c r="H13120" s="22" t="s">
        <v>17649</v>
      </c>
      <c r="I13120" s="26">
        <v>43662.327569444402</v>
      </c>
      <c r="J13120" s="23" t="str">
        <f t="shared" si="432"/>
        <v>Розенбах Евгения Олеговна</v>
      </c>
      <c r="K13120" s="24" t="s">
        <v>14866</v>
      </c>
      <c r="L13120" s="28" t="s">
        <v>51</v>
      </c>
      <c r="M13120" s="28" t="s">
        <v>51</v>
      </c>
      <c r="N13120" s="27">
        <v>0</v>
      </c>
    </row>
    <row r="13121" spans="1:14" hidden="1" outlineLevel="1" x14ac:dyDescent="0.2">
      <c r="A13121" s="23" t="str">
        <f>HYPERLINK("https://www.spark-marketing.ru/Card/Person/1071049", "МБОУ СОШ П. КРАСНОГЛИННЫЙ")</f>
        <v>МБОУ СОШ П. КРАСНОГЛИННЫЙ</v>
      </c>
      <c r="B13121" s="24" t="s">
        <v>17652</v>
      </c>
      <c r="C13121" s="25">
        <v>655023.6</v>
      </c>
      <c r="D13121" s="22" t="s">
        <v>17647</v>
      </c>
      <c r="E13121" s="22" t="s">
        <v>48</v>
      </c>
      <c r="F13121" s="23" t="str">
        <f t="shared" si="431"/>
        <v>услуги по организации и обеспечению горячим питанием учащихся</v>
      </c>
      <c r="G13121" s="22" t="s">
        <v>174</v>
      </c>
      <c r="H13121" s="22" t="s">
        <v>9263</v>
      </c>
      <c r="I13121" s="26">
        <v>43662.327569444402</v>
      </c>
      <c r="J13121" s="23" t="str">
        <f t="shared" si="432"/>
        <v>Розенбах Евгения Олеговна</v>
      </c>
      <c r="K13121" s="24" t="s">
        <v>14866</v>
      </c>
      <c r="L13121" s="28" t="s">
        <v>51</v>
      </c>
      <c r="M13121" s="28" t="s">
        <v>51</v>
      </c>
      <c r="N13121" s="27">
        <v>0</v>
      </c>
    </row>
    <row r="13122" spans="1:14" hidden="1" outlineLevel="1" x14ac:dyDescent="0.2">
      <c r="A13122" s="23" t="str">
        <f>HYPERLINK("https://www.spark-marketing.ru/Card/Person/1077214", "МБОУ ООШ №26")</f>
        <v>МБОУ ООШ №26</v>
      </c>
      <c r="B13122" s="24" t="s">
        <v>17653</v>
      </c>
      <c r="C13122" s="25">
        <v>732639.02</v>
      </c>
      <c r="D13122" s="22" t="s">
        <v>17647</v>
      </c>
      <c r="E13122" s="22" t="s">
        <v>48</v>
      </c>
      <c r="F13122" s="23" t="str">
        <f t="shared" si="431"/>
        <v>услуги по организации и обеспечению горячим питанием учащихся</v>
      </c>
      <c r="G13122" s="22" t="s">
        <v>174</v>
      </c>
      <c r="H13122" s="22" t="s">
        <v>17649</v>
      </c>
      <c r="I13122" s="26">
        <v>43662.327569444402</v>
      </c>
      <c r="J13122" s="23" t="str">
        <f t="shared" si="432"/>
        <v>Розенбах Евгения Олеговна</v>
      </c>
      <c r="K13122" s="24" t="s">
        <v>14866</v>
      </c>
      <c r="L13122" s="28" t="s">
        <v>51</v>
      </c>
      <c r="M13122" s="28" t="s">
        <v>51</v>
      </c>
      <c r="N13122" s="27">
        <v>0</v>
      </c>
    </row>
    <row r="13123" spans="1:14" x14ac:dyDescent="0.15">
      <c r="A13123" s="23" t="str">
        <f>HYPERLINK("https://www.spark-marketing.ru/Card/Person/550757", "ОМВД РОССИИ ПО ТОМСКОМУ РАЙОНУ УМВД РОССИИ ПО ТОМСКОЙ ОБЛАСТИ")</f>
        <v>ОМВД РОССИИ ПО ТОМСКОМУ РАЙОНУ УМВД РОССИИ ПО ТОМСКОЙ ОБЛАСТИ</v>
      </c>
      <c r="B13123" s="24" t="s">
        <v>17654</v>
      </c>
      <c r="C13123" s="25">
        <v>64000</v>
      </c>
      <c r="D13123" s="22" t="s">
        <v>17655</v>
      </c>
      <c r="E13123" s="22" t="s">
        <v>96</v>
      </c>
      <c r="F13123" s="23" t="str">
        <f>HYPERLINK("https://www.spark-marketing.ru/Card/Lot/72110273", "Оказание услуг по организации питания (приготовлению и доставке), 213 шт")</f>
        <v>Оказание услуг по организации питания (приготовлению и доставке), 213 шт</v>
      </c>
      <c r="G13123" s="22" t="s">
        <v>149</v>
      </c>
      <c r="H13123" s="22" t="s">
        <v>496</v>
      </c>
      <c r="I13123" s="26">
        <v>43662.280567129601</v>
      </c>
      <c r="J13123" s="28" t="s">
        <v>51</v>
      </c>
      <c r="K13123" s="28" t="s">
        <v>51</v>
      </c>
      <c r="L13123" s="28" t="s">
        <v>51</v>
      </c>
      <c r="M13123" s="28" t="s">
        <v>51</v>
      </c>
      <c r="N13123" s="28" t="s">
        <v>51</v>
      </c>
    </row>
    <row r="13124" spans="1:14" x14ac:dyDescent="0.15">
      <c r="A13124" s="23" t="str">
        <f>HYPERLINK("https://www.spark-marketing.ru/Card/Person/550757", "ОМВД РОССИИ ПО ТОМСКОМУ РАЙОНУ УМВД РОССИИ ПО ТОМСКОЙ ОБЛАСТИ")</f>
        <v>ОМВД РОССИИ ПО ТОМСКОМУ РАЙОНУ УМВД РОССИИ ПО ТОМСКОЙ ОБЛАСТИ</v>
      </c>
      <c r="B13124" s="24" t="s">
        <v>17654</v>
      </c>
      <c r="C13124" s="25">
        <v>64000</v>
      </c>
      <c r="D13124" s="22" t="s">
        <v>17656</v>
      </c>
      <c r="E13124" s="22" t="s">
        <v>96</v>
      </c>
      <c r="F13124" s="23" t="str">
        <f>HYPERLINK("https://www.spark-marketing.ru/Card/Lot/72110270", "Оказание услуг по организации питания (приготовлению и доставке), 213 шт")</f>
        <v>Оказание услуг по организации питания (приготовлению и доставке), 213 шт</v>
      </c>
      <c r="G13124" s="22" t="s">
        <v>149</v>
      </c>
      <c r="H13124" s="22" t="s">
        <v>496</v>
      </c>
      <c r="I13124" s="26">
        <v>43662.276400463001</v>
      </c>
      <c r="J13124" s="28" t="s">
        <v>51</v>
      </c>
      <c r="K13124" s="28" t="s">
        <v>51</v>
      </c>
      <c r="L13124" s="28" t="s">
        <v>51</v>
      </c>
      <c r="M13124" s="28" t="s">
        <v>51</v>
      </c>
      <c r="N13124" s="28" t="s">
        <v>51</v>
      </c>
    </row>
    <row r="13125" spans="1:14" x14ac:dyDescent="0.15">
      <c r="A13125" s="23" t="str">
        <f>HYPERLINK("https://www.spark-marketing.ru/Card/Person/6450322", "ЗАКАЗЧИК РП БЕЛАРУСЬ")</f>
        <v>ЗАКАЗЧИК РП БЕЛАРУСЬ</v>
      </c>
      <c r="B13125" s="28" t="s">
        <v>51</v>
      </c>
      <c r="C13125" s="28" t="s">
        <v>51</v>
      </c>
      <c r="D13125" s="22" t="s">
        <v>17657</v>
      </c>
      <c r="E13125" s="22" t="s">
        <v>52</v>
      </c>
      <c r="F13125" s="23" t="str">
        <f>HYPERLINK("https://www.spark-marketing.ru/Card/Lot/72124303", "Мероприятие(проживание, питание)")</f>
        <v>Мероприятие(проживание, питание)</v>
      </c>
      <c r="G13125" s="22" t="s">
        <v>51</v>
      </c>
      <c r="H13125" s="22" t="s">
        <v>51</v>
      </c>
      <c r="I13125" s="26">
        <v>43662</v>
      </c>
      <c r="J13125" s="28" t="s">
        <v>51</v>
      </c>
      <c r="K13125" s="28" t="s">
        <v>51</v>
      </c>
      <c r="L13125" s="28" t="s">
        <v>51</v>
      </c>
      <c r="M13125" s="28" t="s">
        <v>51</v>
      </c>
      <c r="N13125" s="28" t="s">
        <v>51</v>
      </c>
    </row>
    <row r="13126" spans="1:14" x14ac:dyDescent="0.15">
      <c r="A13126" s="23" t="str">
        <f>HYPERLINK("https://www.spark-marketing.ru/Card/Person/146262", "ФКУ ""ЦХИСО УМВД РОССИИ ПО ЧУКОТСКОМУ АВТОНОМНОМУ ОКРУГУ""")</f>
        <v>ФКУ "ЦХИСО УМВД РОССИИ ПО ЧУКОТСКОМУ АВТОНОМНОМУ ОКРУГУ"</v>
      </c>
      <c r="B13126" s="24" t="s">
        <v>17658</v>
      </c>
      <c r="C13126" s="25">
        <v>2000000</v>
      </c>
      <c r="D13126" s="22" t="s">
        <v>17659</v>
      </c>
      <c r="E13126" s="22" t="s">
        <v>96</v>
      </c>
      <c r="F13126" s="23" t="str">
        <f>HYPERLINK("https://www.spark-marketing.ru/Card/Lot/72107286", "Питание ИВС для нужд МОМВД России ""Билибинский"" (г.Билибино) на 2021 год")</f>
        <v>Питание ИВС для нужд МОМВД России "Билибинский" (г.Билибино) на 2021 год</v>
      </c>
      <c r="G13126" s="22" t="s">
        <v>2674</v>
      </c>
      <c r="H13126" s="22" t="s">
        <v>17660</v>
      </c>
      <c r="I13126" s="26">
        <v>43661.844398148103</v>
      </c>
      <c r="J13126" s="23" t="str">
        <f>HYPERLINK("https://www.spark-marketing.ru/Card/Person/979604", "Арутюнян Валери Викторович")</f>
        <v>Арутюнян Валери Викторович</v>
      </c>
      <c r="K13126" s="24" t="s">
        <v>17661</v>
      </c>
      <c r="L13126" s="28" t="s">
        <v>51</v>
      </c>
      <c r="M13126" s="28" t="s">
        <v>51</v>
      </c>
      <c r="N13126" s="28" t="s">
        <v>51</v>
      </c>
    </row>
    <row r="13127" spans="1:14" ht="12.75" hidden="1" outlineLevel="1" x14ac:dyDescent="0.2">
      <c r="A13127" s="23" t="str">
        <f>HYPERLINK("https://www.spark-marketing.ru/Card/Person/146262", "ФКУ ""ЦХИСО УМВД РОССИИ ПО ЧУКОТСКОМУ АВТОНОМНОМУ ОКРУГУ""")</f>
        <v>ФКУ "ЦХИСО УМВД РОССИИ ПО ЧУКОТСКОМУ АВТОНОМНОМУ ОКРУГУ"</v>
      </c>
      <c r="B13127" s="24" t="s">
        <v>17658</v>
      </c>
      <c r="C13127" s="25">
        <v>2000000</v>
      </c>
      <c r="D13127" s="22" t="s">
        <v>17659</v>
      </c>
      <c r="E13127" s="22" t="s">
        <v>96</v>
      </c>
      <c r="F13127" s="23" t="str">
        <f>HYPERLINK("https://www.spark-marketing.ru/Card/Lot/72107286", "Питание ИВС для нужд МОМВД России ""Билибинский"" (г.Билибино) на 2021 год")</f>
        <v>Питание ИВС для нужд МОМВД России "Билибинский" (г.Билибино) на 2021 год</v>
      </c>
      <c r="G13127" s="22" t="s">
        <v>2674</v>
      </c>
      <c r="H13127" s="22" t="s">
        <v>17660</v>
      </c>
      <c r="I13127" s="26">
        <v>43661.844398148103</v>
      </c>
      <c r="J13127" s="23" t="str">
        <f>HYPERLINK("https://www.spark-marketing.ru/Card/Person/979604", "Арутюнян Валери Викторович")</f>
        <v>Арутюнян Валери Викторович</v>
      </c>
      <c r="K13127" s="24" t="s">
        <v>17661</v>
      </c>
      <c r="L13127" s="22" t="s">
        <v>10</v>
      </c>
      <c r="M13127" s="25">
        <v>1900000</v>
      </c>
      <c r="N13127" s="27">
        <v>0.05</v>
      </c>
    </row>
    <row r="13128" spans="1:14" x14ac:dyDescent="0.15">
      <c r="A13128" s="23" t="str">
        <f>HYPERLINK("https://www.spark-marketing.ru/Card/Person/4346756", "МОСКОВСКИЙ ГОСУДАРСТВЕННЫЙ УНИВЕРСИТЕТ ИМЕНИ М.В.ЛОМОНОСОВА, МГУ ИМЕНИ М.В.ЛОМОНОСОВА, МОСКОВСКИЙ УНИВЕРСИТЕТ ИЛИ МГУ")</f>
        <v>МОСКОВСКИЙ ГОСУДАРСТВЕННЫЙ УНИВЕРСИТЕТ ИМЕНИ М.В.ЛОМОНОСОВА, МГУ ИМЕНИ М.В.ЛОМОНОСОВА, МОСКОВСКИЙ УНИВЕРСИТЕТ ИЛИ МГУ</v>
      </c>
      <c r="B13128" s="24" t="s">
        <v>13901</v>
      </c>
      <c r="C13128" s="25">
        <v>67797</v>
      </c>
      <c r="D13128" s="22" t="s">
        <v>17662</v>
      </c>
      <c r="E13128" s="22" t="s">
        <v>958</v>
      </c>
      <c r="F13128" s="23" t="str">
        <f>HYPERLINK("https://www.spark-marketing.ru/Card/Lot/72107137", "Оказание комплекса услуг по специальной оценке условий труда для ОП ""Столовые диетического питания"" МГУ имени М.В. Ломоносова (124 шт.)(Id22997)")</f>
        <v>Оказание комплекса услуг по специальной оценке условий труда для ОП "Столовые диетического питания" МГУ имени М.В. Ломоносова (124 шт.)(Id22997)</v>
      </c>
      <c r="G13128" s="22" t="s">
        <v>56</v>
      </c>
      <c r="H13128" s="22" t="s">
        <v>56</v>
      </c>
      <c r="I13128" s="26">
        <v>43661.812881944403</v>
      </c>
      <c r="J13128" s="28" t="s">
        <v>51</v>
      </c>
      <c r="K13128" s="28" t="s">
        <v>51</v>
      </c>
      <c r="L13128" s="28" t="s">
        <v>51</v>
      </c>
      <c r="M13128" s="28" t="s">
        <v>51</v>
      </c>
      <c r="N13128" s="28" t="s">
        <v>51</v>
      </c>
    </row>
    <row r="13129" spans="1:14" x14ac:dyDescent="0.15">
      <c r="A13129" s="23" t="str">
        <f>HYPERLINK("https://www.spark-marketing.ru/Card/Person/149192", "МОУ КОЛЫЧЕВСКАЯ СОШ")</f>
        <v>МОУ КОЛЫЧЕВСКАЯ СОШ</v>
      </c>
      <c r="B13129" s="24" t="s">
        <v>6035</v>
      </c>
      <c r="C13129" s="25">
        <v>132447</v>
      </c>
      <c r="D13129" s="22" t="s">
        <v>17663</v>
      </c>
      <c r="E13129" s="22" t="s">
        <v>48</v>
      </c>
      <c r="F13129" s="23" t="str">
        <f>HYPERLINK("https://www.spark-marketing.ru/Card/Lot/72099932", "Оказание услуг по организации питания отдельным категориям обучающихся")</f>
        <v>Оказание услуг по организации питания отдельным категориям обучающихся</v>
      </c>
      <c r="G13129" s="22" t="s">
        <v>49</v>
      </c>
      <c r="H13129" s="22" t="s">
        <v>506</v>
      </c>
      <c r="I13129" s="26">
        <v>43661.794571759303</v>
      </c>
      <c r="J13129" s="28" t="s">
        <v>51</v>
      </c>
      <c r="K13129" s="28" t="s">
        <v>51</v>
      </c>
      <c r="L13129" s="28" t="s">
        <v>51</v>
      </c>
      <c r="M13129" s="28" t="s">
        <v>51</v>
      </c>
      <c r="N13129" s="28" t="s">
        <v>51</v>
      </c>
    </row>
    <row r="13130" spans="1:14" x14ac:dyDescent="0.15">
      <c r="A13130" s="23" t="str">
        <f>HYPERLINK("https://www.spark-marketing.ru/Card/Person/10941", "УМВД РОССИИ ПО ОРЛОВСКОЙ ОБЛАСТИ")</f>
        <v>УМВД РОССИИ ПО ОРЛОВСКОЙ ОБЛАСТИ</v>
      </c>
      <c r="B13130" s="24" t="s">
        <v>2361</v>
      </c>
      <c r="C13130" s="25">
        <v>427588.36</v>
      </c>
      <c r="D13130" s="22" t="s">
        <v>17664</v>
      </c>
      <c r="E13130" s="22" t="s">
        <v>48</v>
      </c>
      <c r="F13130" s="23" t="str">
        <f>HYPERLINK("https://www.spark-marketing.ru/Card/Lot/72130276", "Оказание услуг по обеспечению ежедневным горячим пятиразовым питанием несовершеннолетних, содержащихся в ЦВСНП УМВД России по Орловской области")</f>
        <v>Оказание услуг по обеспечению ежедневным горячим пятиразовым питанием несовершеннолетних, содержащихся в ЦВСНП УМВД России по Орловской области</v>
      </c>
      <c r="G13130" s="22" t="s">
        <v>1066</v>
      </c>
      <c r="H13130" s="22" t="s">
        <v>1066</v>
      </c>
      <c r="I13130" s="26">
        <v>43661.750219907401</v>
      </c>
      <c r="J13130" s="23" t="str">
        <f>HYPERLINK("https://www.spark-marketing.ru/Card/Person/369395", "ООО ""ЛИК""")</f>
        <v>ООО "ЛИК"</v>
      </c>
      <c r="K13130" s="24" t="s">
        <v>2865</v>
      </c>
      <c r="L13130" s="22" t="s">
        <v>10</v>
      </c>
      <c r="M13130" s="28" t="s">
        <v>51</v>
      </c>
      <c r="N13130" s="28" t="s">
        <v>51</v>
      </c>
    </row>
    <row r="13131" spans="1:14" x14ac:dyDescent="0.15">
      <c r="A13131" s="23" t="str">
        <f>HYPERLINK("https://www.spark-marketing.ru/Card/Person/2423", "УМВД РОССИИ ПО ГОРОДУ АРХАНГЕЛЬСКУ")</f>
        <v>УМВД РОССИИ ПО ГОРОДУ АРХАНГЕЛЬСКУ</v>
      </c>
      <c r="B13131" s="24" t="s">
        <v>5877</v>
      </c>
      <c r="C13131" s="25">
        <v>9346000</v>
      </c>
      <c r="D13131" s="22" t="s">
        <v>17665</v>
      </c>
      <c r="E13131" s="22" t="s">
        <v>48</v>
      </c>
      <c r="F13131" s="23" t="str">
        <f>HYPERLINK("https://www.spark-marketing.ru/Card/Lot/72133907", "Услуги по обеспечению питанием")</f>
        <v>Услуги по обеспечению питанием</v>
      </c>
      <c r="G13131" s="22" t="s">
        <v>214</v>
      </c>
      <c r="H13131" s="22" t="s">
        <v>523</v>
      </c>
      <c r="I13131" s="26">
        <v>43661.735486111102</v>
      </c>
      <c r="J13131" s="23" t="str">
        <f>HYPERLINK("https://www.spark-marketing.ru/Card/Person/1998441", "ООО ""ФОРТУНА""")</f>
        <v>ООО "ФОРТУНА"</v>
      </c>
      <c r="K13131" s="24" t="s">
        <v>11698</v>
      </c>
      <c r="L13131" s="22" t="s">
        <v>10</v>
      </c>
      <c r="M13131" s="28" t="s">
        <v>51</v>
      </c>
      <c r="N13131" s="28" t="s">
        <v>51</v>
      </c>
    </row>
    <row r="13132" spans="1:14" x14ac:dyDescent="0.15">
      <c r="A13132" s="23" t="str">
        <f>HYPERLINK("https://www.spark-marketing.ru/Card/Person/4348382", "ООО ""ГАЗПРОМ ПИТАНИЕ""")</f>
        <v>ООО "ГАЗПРОМ ПИТАНИЕ"</v>
      </c>
      <c r="B13132" s="24" t="s">
        <v>2869</v>
      </c>
      <c r="C13132" s="25">
        <v>494400</v>
      </c>
      <c r="D13132" s="22" t="s">
        <v>17666</v>
      </c>
      <c r="E13132" s="22" t="s">
        <v>52</v>
      </c>
      <c r="F13132" s="23" t="str">
        <f>HYPERLINK("https://www.spark-marketing.ru/Card/Lot/72098532", "Оказание образовательных услуг по программе «эксперт - аудитор внутренних проверок систем менеджмента безопасности пищевой продукции на соответствие требованиям стандарта iso 22000:2018» для нужд ооо ""газпром питание""")</f>
        <v>Оказание образовательных услуг по программе «эксперт - аудитор внутренних проверок систем менеджмента безопасности пищевой продукции на соответствие требованиям стандарта iso 22000:2018» для нужд ооо "газпром питание"</v>
      </c>
      <c r="G13132" s="22" t="s">
        <v>56</v>
      </c>
      <c r="H13132" s="22" t="s">
        <v>56</v>
      </c>
      <c r="I13132" s="26">
        <v>43661.723611111098</v>
      </c>
      <c r="J13132" s="28" t="s">
        <v>51</v>
      </c>
      <c r="K13132" s="28" t="s">
        <v>51</v>
      </c>
      <c r="L13132" s="28" t="s">
        <v>51</v>
      </c>
      <c r="M13132" s="28" t="s">
        <v>51</v>
      </c>
      <c r="N13132" s="28" t="s">
        <v>51</v>
      </c>
    </row>
    <row r="13133" spans="1:14" x14ac:dyDescent="0.15">
      <c r="A13133" s="23" t="str">
        <f>HYPERLINK("https://www.spark-marketing.ru/Card/Person/4041", "ГУ-МОСКОВСКОЕ ОБЛАСТНОЕ РО ФОНДА СОЦИАЛЬНОГО СТРАХОВАНИЯ РОССИЙСКОЙ ФЕДЕРАЦИИ")</f>
        <v>ГУ-МОСКОВСКОЕ ОБЛАСТНОЕ РО ФОНДА СОЦИАЛЬНОГО СТРАХОВАНИЯ РОССИЙСКОЙ ФЕДЕРАЦИИ</v>
      </c>
      <c r="B13133" s="24" t="s">
        <v>17667</v>
      </c>
      <c r="C13133" s="25">
        <v>2252320.08</v>
      </c>
      <c r="D13133" s="22" t="s">
        <v>17668</v>
      </c>
      <c r="E13133" s="22" t="s">
        <v>86</v>
      </c>
      <c r="F13133" s="23" t="str">
        <f>HYPERLINK("https://www.spark-marketing.ru/Card/Lot/72101825", "Оказание услуг по санаторно-курортному лечению застрахованных лиц, пострадавших вследствие несчастных случаев на производстве и профессиональных заболеваний, в организациях, оказывающих санаторно-курортные услуги")</f>
        <v>Оказание услуг по санаторно-курортному лечению застрахованных лиц, пострадавших вследствие несчастных случаев на производстве и профессиональных заболеваний, в организациях, оказывающих санаторно-курортные услуги</v>
      </c>
      <c r="G13133" s="22" t="s">
        <v>104</v>
      </c>
      <c r="H13133" s="22" t="s">
        <v>104</v>
      </c>
      <c r="I13133" s="26">
        <v>43661.737418981502</v>
      </c>
      <c r="J13133" s="23" t="str">
        <f>HYPERLINK("https://www.spark-marketing.ru/Card/Person/167373", "АО ""ОК""ОРБИТА""")</f>
        <v>АО "ОК"ОРБИТА"</v>
      </c>
      <c r="K13133" s="24" t="s">
        <v>17669</v>
      </c>
      <c r="L13133" s="28" t="s">
        <v>51</v>
      </c>
      <c r="M13133" s="28" t="s">
        <v>51</v>
      </c>
      <c r="N13133" s="28" t="s">
        <v>51</v>
      </c>
    </row>
    <row r="13134" spans="1:14" x14ac:dyDescent="0.15">
      <c r="A13134" s="23" t="str">
        <f>HYPERLINK("https://www.spark-marketing.ru/Card/Person/1087150", "МАОУ ""СОШ № 40""")</f>
        <v>МАОУ "СОШ № 40"</v>
      </c>
      <c r="B13134" s="24" t="s">
        <v>17670</v>
      </c>
      <c r="C13134" s="25">
        <v>11952525</v>
      </c>
      <c r="D13134" s="22" t="s">
        <v>17671</v>
      </c>
      <c r="E13134" s="22" t="s">
        <v>362</v>
      </c>
      <c r="F13134" s="23" t="str">
        <f>HYPERLINK("https://www.spark-marketing.ru/Card/Lot/72106760", "Оказание услуг по организации горячего питания")</f>
        <v>Оказание услуг по организации горячего питания</v>
      </c>
      <c r="G13134" s="22" t="s">
        <v>696</v>
      </c>
      <c r="H13134" s="22" t="s">
        <v>696</v>
      </c>
      <c r="I13134" s="26">
        <v>43661.743321759299</v>
      </c>
      <c r="J13134" s="28" t="s">
        <v>51</v>
      </c>
      <c r="K13134" s="28" t="s">
        <v>51</v>
      </c>
      <c r="L13134" s="22" t="s">
        <v>10</v>
      </c>
      <c r="M13134" s="28" t="s">
        <v>51</v>
      </c>
      <c r="N13134" s="28" t="s">
        <v>51</v>
      </c>
    </row>
    <row r="13135" spans="1:14" x14ac:dyDescent="0.15">
      <c r="A13135" s="23" t="str">
        <f>HYPERLINK("https://www.spark-marketing.ru/Card/Person/10941", "УМВД РОССИИ ПО ОРЛОВСКОЙ ОБЛАСТИ")</f>
        <v>УМВД РОССИИ ПО ОРЛОВСКОЙ ОБЛАСТИ</v>
      </c>
      <c r="B13135" s="24" t="s">
        <v>2361</v>
      </c>
      <c r="C13135" s="25">
        <v>1380128</v>
      </c>
      <c r="D13135" s="22" t="s">
        <v>17672</v>
      </c>
      <c r="E13135" s="22" t="s">
        <v>48</v>
      </c>
      <c r="F13135" s="23" t="str">
        <f>HYPERLINK("https://www.spark-marketing.ru/Card/Lot/72132573", "Оказание услуг по обеспечению ежедневным горячим трехразовым питанием лиц, содержащихся в ИВС УМВД России по г.Орлу")</f>
        <v>Оказание услуг по обеспечению ежедневным горячим трехразовым питанием лиц, содержащихся в ИВС УМВД России по г.Орлу</v>
      </c>
      <c r="G13135" s="22" t="s">
        <v>1066</v>
      </c>
      <c r="H13135" s="22" t="s">
        <v>1066</v>
      </c>
      <c r="I13135" s="26">
        <v>43661.740763888898</v>
      </c>
      <c r="J13135" s="23" t="str">
        <f>HYPERLINK("https://www.spark-marketing.ru/Card/Person/369395", "ООО ""ЛИК""")</f>
        <v>ООО "ЛИК"</v>
      </c>
      <c r="K13135" s="24" t="s">
        <v>2865</v>
      </c>
      <c r="L13135" s="22" t="s">
        <v>10</v>
      </c>
      <c r="M13135" s="28" t="s">
        <v>51</v>
      </c>
      <c r="N13135" s="28" t="s">
        <v>51</v>
      </c>
    </row>
    <row r="13136" spans="1:14" x14ac:dyDescent="0.15">
      <c r="A13136" s="23" t="str">
        <f>HYPERLINK("https://www.spark-marketing.ru/Card/Person/6489585", "ОМВД РОССИИ ПО ВЯЗНИКОВСКОМУ РАЙОНУ")</f>
        <v>ОМВД РОССИИ ПО ВЯЗНИКОВСКОМУ РАЙОНУ</v>
      </c>
      <c r="B13136" s="24" t="s">
        <v>17673</v>
      </c>
      <c r="C13136" s="25">
        <v>1665000</v>
      </c>
      <c r="D13136" s="22" t="s">
        <v>17674</v>
      </c>
      <c r="E13136" s="22" t="s">
        <v>48</v>
      </c>
      <c r="F13136" s="23" t="str">
        <f>HYPERLINK("https://www.spark-marketing.ru/Card/Lot/72132562", "Прочая закупка товаров, работ и услуг для обеспечения государственных нужд (оказание услуг по обеспечению ежедневным трехразовым горячим питанием лиц, содержащихся в изоляторе временного содержания, специальном приемнике и камерах административного с...")</f>
        <v>Прочая закупка товаров, работ и услуг для обеспечения государственных нужд (оказание услуг по обеспечению ежедневным трехразовым горячим питанием лиц, содержащихся в изоляторе временного содержания, специальном приемнике и камерах административного с...</v>
      </c>
      <c r="G13136" s="22" t="s">
        <v>663</v>
      </c>
      <c r="H13136" s="22" t="s">
        <v>17675</v>
      </c>
      <c r="I13136" s="26">
        <v>43661.717650462997</v>
      </c>
      <c r="J13136" s="23" t="str">
        <f>HYPERLINK("https://www.spark-marketing.ru/Card/Person/504088", "ООО ""МАСТЕР""")</f>
        <v>ООО "МАСТЕР"</v>
      </c>
      <c r="K13136" s="24" t="s">
        <v>17676</v>
      </c>
      <c r="L13136" s="22" t="s">
        <v>10</v>
      </c>
      <c r="M13136" s="28" t="s">
        <v>51</v>
      </c>
      <c r="N13136" s="28" t="s">
        <v>51</v>
      </c>
    </row>
    <row r="13137" spans="1:14" x14ac:dyDescent="0.2">
      <c r="A13137" s="23" t="str">
        <f>HYPERLINK("https://www.spark-marketing.ru/Card/Person/1282409", "ГАОУ ДПО ""ЛОИРО""")</f>
        <v>ГАОУ ДПО "ЛОИРО"</v>
      </c>
      <c r="B13137" s="24" t="s">
        <v>17677</v>
      </c>
      <c r="C13137" s="25">
        <v>193500</v>
      </c>
      <c r="D13137" s="22" t="s">
        <v>17678</v>
      </c>
      <c r="E13137" s="22" t="s">
        <v>17679</v>
      </c>
      <c r="F13137" s="23" t="str">
        <f>HYPERLINK("https://www.spark-marketing.ru/Card/Lot/72106494", "Оказание услуг по организации питьевого режима и питания участников областного педагогического совета")</f>
        <v>Оказание услуг по организации питьевого режима и питания участников областного педагогического совета</v>
      </c>
      <c r="G13137" s="22" t="s">
        <v>117</v>
      </c>
      <c r="H13137" s="22" t="s">
        <v>117</v>
      </c>
      <c r="I13137" s="26">
        <v>43661.7167708333</v>
      </c>
      <c r="J13137" s="28" t="s">
        <v>51</v>
      </c>
      <c r="K13137" s="28" t="s">
        <v>51</v>
      </c>
      <c r="L13137" s="22" t="s">
        <v>10</v>
      </c>
      <c r="M13137" s="25">
        <v>193500</v>
      </c>
      <c r="N13137" s="27">
        <v>0</v>
      </c>
    </row>
    <row r="13138" spans="1:14" x14ac:dyDescent="0.15">
      <c r="A13138" s="23" t="str">
        <f>HYPERLINK("https://www.spark-marketing.ru/Card/Person/145097", "О МВД РОССИИ ПО Г. НОВОКУЙБЫШЕВСКУ")</f>
        <v>О МВД РОССИИ ПО Г. НОВОКУЙБЫШЕВСКУ</v>
      </c>
      <c r="B13138" s="24" t="s">
        <v>15994</v>
      </c>
      <c r="C13138" s="25">
        <v>856886.52</v>
      </c>
      <c r="D13138" s="22" t="s">
        <v>17680</v>
      </c>
      <c r="E13138" s="22" t="s">
        <v>48</v>
      </c>
      <c r="F13138" s="23" t="str">
        <f>HYPERLINK("https://www.spark-marketing.ru/Card/Lot/72131913", "услуги по приготовлению и поставке трехразового горячего питания, поставки сахара и чая в сухом виде для лиц, содержащихся в специальном помещении для содержания задержанных лиц (СПЛЗЛ) и изоляторе временного содержания подозреваемых и обвиняемых в с...")</f>
        <v>услуги по приготовлению и поставке трехразового горячего питания, поставки сахара и чая в сухом виде для лиц, содержащихся в специальном помещении для содержания задержанных лиц (СПЛЗЛ) и изоляторе временного содержания подозреваемых и обвиняемых в с...</v>
      </c>
      <c r="G13138" s="22" t="s">
        <v>128</v>
      </c>
      <c r="H13138" s="22" t="s">
        <v>15996</v>
      </c>
      <c r="I13138" s="26">
        <v>43661.713194444397</v>
      </c>
      <c r="J13138" s="28" t="s">
        <v>51</v>
      </c>
      <c r="K13138" s="28" t="s">
        <v>51</v>
      </c>
      <c r="L13138" s="28" t="s">
        <v>51</v>
      </c>
      <c r="M13138" s="28" t="s">
        <v>51</v>
      </c>
      <c r="N13138" s="28" t="s">
        <v>51</v>
      </c>
    </row>
    <row r="13139" spans="1:14" ht="12.75" hidden="1" outlineLevel="1" x14ac:dyDescent="0.2">
      <c r="A13139" s="23" t="str">
        <f>HYPERLINK("https://www.spark-marketing.ru/Card/Person/145097", "О МВД РОССИИ ПО Г. НОВОКУЙБЫШЕВСКУ")</f>
        <v>О МВД РОССИИ ПО Г. НОВОКУЙБЫШЕВСКУ</v>
      </c>
      <c r="B13139" s="24" t="s">
        <v>15994</v>
      </c>
      <c r="C13139" s="25">
        <v>856886.52</v>
      </c>
      <c r="D13139" s="22" t="s">
        <v>17680</v>
      </c>
      <c r="E13139" s="22" t="s">
        <v>48</v>
      </c>
      <c r="F13139" s="23" t="str">
        <f>HYPERLINK("https://www.spark-marketing.ru/Card/Lot/72131913", "услуги по приготовлению и поставке трехразового горячего питания, поставки сахара и чая в сухом виде для лиц, содержащихся в специальном помещении для содержания задержанных лиц (СПЛЗЛ) и изоляторе временного содержания подозреваемых и обвиняемых в с...")</f>
        <v>услуги по приготовлению и поставке трехразового горячего питания, поставки сахара и чая в сухом виде для лиц, содержащихся в специальном помещении для содержания задержанных лиц (СПЛЗЛ) и изоляторе временного содержания подозреваемых и обвиняемых в с...</v>
      </c>
      <c r="G13139" s="22" t="s">
        <v>128</v>
      </c>
      <c r="H13139" s="22" t="s">
        <v>15996</v>
      </c>
      <c r="I13139" s="26">
        <v>43661.713194444397</v>
      </c>
      <c r="J13139" s="23" t="str">
        <f>HYPERLINK("https://www.spark-marketing.ru/Card/Person/66133", "НМУП ""ФШП""")</f>
        <v>НМУП "ФШП"</v>
      </c>
      <c r="K13139" s="24" t="s">
        <v>17681</v>
      </c>
      <c r="L13139" s="22" t="s">
        <v>10</v>
      </c>
      <c r="M13139" s="25">
        <v>726382.77</v>
      </c>
      <c r="N13139" s="27">
        <v>0.15229992181461788</v>
      </c>
    </row>
    <row r="13140" spans="1:14" hidden="1" outlineLevel="1" x14ac:dyDescent="0.2">
      <c r="A13140" s="23" t="str">
        <f>HYPERLINK("https://www.spark-marketing.ru/Card/Person/145097", "О МВД РОССИИ ПО Г. НОВОКУЙБЫШЕВСКУ")</f>
        <v>О МВД РОССИИ ПО Г. НОВОКУЙБЫШЕВСКУ</v>
      </c>
      <c r="B13140" s="24" t="s">
        <v>15994</v>
      </c>
      <c r="C13140" s="25">
        <v>856886.52</v>
      </c>
      <c r="D13140" s="22" t="s">
        <v>17680</v>
      </c>
      <c r="E13140" s="22" t="s">
        <v>48</v>
      </c>
      <c r="F13140" s="23" t="str">
        <f>HYPERLINK("https://www.spark-marketing.ru/Card/Lot/72131913", "услуги по приготовлению и поставке трехразового горячего питания, поставки сахара и чая в сухом виде для лиц, содержащихся в специальном помещении для содержания задержанных лиц (СПЛЗЛ) и изоляторе временного содержания подозреваемых и обвиняемых в с...")</f>
        <v>услуги по приготовлению и поставке трехразового горячего питания, поставки сахара и чая в сухом виде для лиц, содержащихся в специальном помещении для содержания задержанных лиц (СПЛЗЛ) и изоляторе временного содержания подозреваемых и обвиняемых в с...</v>
      </c>
      <c r="G13140" s="22" t="s">
        <v>128</v>
      </c>
      <c r="H13140" s="22" t="s">
        <v>15996</v>
      </c>
      <c r="I13140" s="26">
        <v>43661.713194444397</v>
      </c>
      <c r="J13140" s="23" t="str">
        <f>HYPERLINK("https://www.spark-marketing.ru/Card/Person/2395558", "ООО ""РЕСТОРИЯ""")</f>
        <v>ООО "РЕСТОРИЯ"</v>
      </c>
      <c r="K13140" s="24" t="s">
        <v>2093</v>
      </c>
      <c r="L13140" s="28" t="s">
        <v>51</v>
      </c>
      <c r="M13140" s="25">
        <v>745491.34</v>
      </c>
      <c r="N13140" s="27">
        <v>0.1299999211097404</v>
      </c>
    </row>
    <row r="13141" spans="1:14" x14ac:dyDescent="0.15">
      <c r="A13141" s="23" t="str">
        <f>HYPERLINK("https://www.spark-marketing.ru/Card/Person/4412214", "ООО ""САМАРАНИПИНЕФТЬ""")</f>
        <v>ООО "САМАРАНИПИНЕФТЬ"</v>
      </c>
      <c r="B13141" s="24" t="s">
        <v>17682</v>
      </c>
      <c r="C13141" s="28" t="s">
        <v>51</v>
      </c>
      <c r="D13141" s="22" t="s">
        <v>17683</v>
      </c>
      <c r="E13141" s="22" t="s">
        <v>2227</v>
      </c>
      <c r="F13141" s="23" t="str">
        <f>HYPERLINK("https://www.spark-marketing.ru/Card/Lot/74006161", "оказание услуг по организации совещания")</f>
        <v>оказание услуг по организации совещания</v>
      </c>
      <c r="G13141" s="22" t="s">
        <v>128</v>
      </c>
      <c r="H13141" s="22" t="s">
        <v>129</v>
      </c>
      <c r="I13141" s="26">
        <v>43661.671527777798</v>
      </c>
      <c r="J13141" s="28" t="s">
        <v>51</v>
      </c>
      <c r="K13141" s="28" t="s">
        <v>51</v>
      </c>
      <c r="L13141" s="28" t="s">
        <v>51</v>
      </c>
      <c r="M13141" s="28" t="s">
        <v>51</v>
      </c>
      <c r="N13141" s="28" t="s">
        <v>51</v>
      </c>
    </row>
    <row r="13142" spans="1:14" x14ac:dyDescent="0.15">
      <c r="A13142" s="23" t="str">
        <f>HYPERLINK("https://www.spark-marketing.ru/Card/Person/259820", "МО МВД РОССИИ ""КРАСНОХОЛМСКИЙ""")</f>
        <v>МО МВД РОССИИ "КРАСНОХОЛМСКИЙ"</v>
      </c>
      <c r="B13142" s="24" t="s">
        <v>2722</v>
      </c>
      <c r="C13142" s="25">
        <v>432000</v>
      </c>
      <c r="D13142" s="22" t="s">
        <v>17684</v>
      </c>
      <c r="E13142" s="22" t="s">
        <v>96</v>
      </c>
      <c r="F13142" s="23" t="str">
        <f>HYPERLINK("https://www.spark-marketing.ru/Card/Lot/72099056", "Услуги по питанию в ИВС")</f>
        <v>Услуги по питанию в ИВС</v>
      </c>
      <c r="G13142" s="22" t="s">
        <v>137</v>
      </c>
      <c r="H13142" s="22" t="s">
        <v>137</v>
      </c>
      <c r="I13142" s="26">
        <v>43661.677974537</v>
      </c>
      <c r="J13142" s="28" t="s">
        <v>51</v>
      </c>
      <c r="K13142" s="28" t="s">
        <v>51</v>
      </c>
      <c r="L13142" s="28" t="s">
        <v>51</v>
      </c>
      <c r="M13142" s="28" t="s">
        <v>51</v>
      </c>
      <c r="N13142" s="28" t="s">
        <v>51</v>
      </c>
    </row>
    <row r="13143" spans="1:14" x14ac:dyDescent="0.2">
      <c r="A13143" s="23" t="s">
        <v>114</v>
      </c>
      <c r="B13143" s="28" t="s">
        <v>51</v>
      </c>
      <c r="C13143" s="25">
        <v>4808792</v>
      </c>
      <c r="D13143" s="22" t="s">
        <v>17685</v>
      </c>
      <c r="E13143" s="22" t="s">
        <v>48</v>
      </c>
      <c r="F13143" s="23" t="str">
        <f t="shared" ref="F13143:F13160" si="433">HYPERLINK("https://www.spark-marketing.ru/Card/Lot/72103376", "Оказание услуги по организации горячего питания")</f>
        <v>Оказание услуги по организации горячего питания</v>
      </c>
      <c r="G13143" s="22" t="s">
        <v>51</v>
      </c>
      <c r="H13143" s="22" t="s">
        <v>51</v>
      </c>
      <c r="I13143" s="26">
        <v>43661.672083333302</v>
      </c>
      <c r="J13143" s="23" t="str">
        <f t="shared" ref="J13143:J13160" si="434">HYPERLINK("https://www.spark-marketing.ru/Card/Person/296102", "МУП ""ОБЩЕПИТ"" Г.САЛАВАТА")</f>
        <v>МУП "ОБЩЕПИТ" Г.САЛАВАТА</v>
      </c>
      <c r="K13143" s="24" t="s">
        <v>17686</v>
      </c>
      <c r="L13143" s="28" t="s">
        <v>51</v>
      </c>
      <c r="M13143" s="25">
        <v>4808792</v>
      </c>
      <c r="N13143" s="27">
        <v>0</v>
      </c>
    </row>
    <row r="13144" spans="1:14" hidden="1" outlineLevel="1" x14ac:dyDescent="0.2">
      <c r="A13144" s="23" t="str">
        <f>HYPERLINK("https://www.spark-marketing.ru/Card/Person/132691", "МБОУ ""СОШ №24"" Г.САЛАВАТА")</f>
        <v>МБОУ "СОШ №24" Г.САЛАВАТА</v>
      </c>
      <c r="B13144" s="24" t="s">
        <v>17687</v>
      </c>
      <c r="C13144" s="25">
        <v>99216</v>
      </c>
      <c r="D13144" s="22" t="s">
        <v>17685</v>
      </c>
      <c r="E13144" s="22" t="s">
        <v>48</v>
      </c>
      <c r="F13144" s="23" t="str">
        <f t="shared" si="433"/>
        <v>Оказание услуги по организации горячего питания</v>
      </c>
      <c r="G13144" s="22" t="s">
        <v>145</v>
      </c>
      <c r="H13144" s="22" t="s">
        <v>17090</v>
      </c>
      <c r="I13144" s="26">
        <v>43661.672083333302</v>
      </c>
      <c r="J13144" s="23" t="str">
        <f t="shared" si="434"/>
        <v>МУП "ОБЩЕПИТ" Г.САЛАВАТА</v>
      </c>
      <c r="K13144" s="24" t="s">
        <v>17686</v>
      </c>
      <c r="L13144" s="28" t="s">
        <v>51</v>
      </c>
      <c r="M13144" s="28" t="s">
        <v>51</v>
      </c>
      <c r="N13144" s="27">
        <v>0</v>
      </c>
    </row>
    <row r="13145" spans="1:14" hidden="1" outlineLevel="1" x14ac:dyDescent="0.2">
      <c r="A13145" s="23" t="str">
        <f>HYPERLINK("https://www.spark-marketing.ru/Card/Person/143943", "МБОУ ""СОШ №7"" Г. САЛАВАТА")</f>
        <v>МБОУ "СОШ №7" Г. САЛАВАТА</v>
      </c>
      <c r="B13145" s="24" t="s">
        <v>17688</v>
      </c>
      <c r="C13145" s="25">
        <v>201864</v>
      </c>
      <c r="D13145" s="22" t="s">
        <v>17685</v>
      </c>
      <c r="E13145" s="22" t="s">
        <v>48</v>
      </c>
      <c r="F13145" s="23" t="str">
        <f t="shared" si="433"/>
        <v>Оказание услуги по организации горячего питания</v>
      </c>
      <c r="G13145" s="22" t="s">
        <v>145</v>
      </c>
      <c r="H13145" s="22" t="s">
        <v>17090</v>
      </c>
      <c r="I13145" s="26">
        <v>43661.672083333302</v>
      </c>
      <c r="J13145" s="23" t="str">
        <f t="shared" si="434"/>
        <v>МУП "ОБЩЕПИТ" Г.САЛАВАТА</v>
      </c>
      <c r="K13145" s="24" t="s">
        <v>17686</v>
      </c>
      <c r="L13145" s="28" t="s">
        <v>51</v>
      </c>
      <c r="M13145" s="28" t="s">
        <v>51</v>
      </c>
      <c r="N13145" s="27">
        <v>0</v>
      </c>
    </row>
    <row r="13146" spans="1:14" hidden="1" outlineLevel="1" x14ac:dyDescent="0.2">
      <c r="A13146" s="23" t="str">
        <f>HYPERLINK("https://www.spark-marketing.ru/Card/Person/243698", "МБОУ ""СОШ №20"" Г. САЛАВАТА")</f>
        <v>МБОУ "СОШ №20" Г. САЛАВАТА</v>
      </c>
      <c r="B13146" s="24" t="s">
        <v>17689</v>
      </c>
      <c r="C13146" s="25">
        <v>194376</v>
      </c>
      <c r="D13146" s="22" t="s">
        <v>17685</v>
      </c>
      <c r="E13146" s="22" t="s">
        <v>48</v>
      </c>
      <c r="F13146" s="23" t="str">
        <f t="shared" si="433"/>
        <v>Оказание услуги по организации горячего питания</v>
      </c>
      <c r="G13146" s="22" t="s">
        <v>145</v>
      </c>
      <c r="H13146" s="22" t="s">
        <v>17090</v>
      </c>
      <c r="I13146" s="26">
        <v>43661.672083333302</v>
      </c>
      <c r="J13146" s="23" t="str">
        <f t="shared" si="434"/>
        <v>МУП "ОБЩЕПИТ" Г.САЛАВАТА</v>
      </c>
      <c r="K13146" s="24" t="s">
        <v>17686</v>
      </c>
      <c r="L13146" s="28" t="s">
        <v>51</v>
      </c>
      <c r="M13146" s="28" t="s">
        <v>51</v>
      </c>
      <c r="N13146" s="27">
        <v>0</v>
      </c>
    </row>
    <row r="13147" spans="1:14" hidden="1" outlineLevel="1" x14ac:dyDescent="0.2">
      <c r="A13147" s="23" t="str">
        <f>HYPERLINK("https://www.spark-marketing.ru/Card/Person/243757", "МБОУ БГ №25 Г.САЛАВАТА")</f>
        <v>МБОУ БГ №25 Г.САЛАВАТА</v>
      </c>
      <c r="B13147" s="24" t="s">
        <v>17690</v>
      </c>
      <c r="C13147" s="25">
        <v>235248</v>
      </c>
      <c r="D13147" s="22" t="s">
        <v>17685</v>
      </c>
      <c r="E13147" s="22" t="s">
        <v>48</v>
      </c>
      <c r="F13147" s="23" t="str">
        <f t="shared" si="433"/>
        <v>Оказание услуги по организации горячего питания</v>
      </c>
      <c r="G13147" s="22" t="s">
        <v>145</v>
      </c>
      <c r="H13147" s="22" t="s">
        <v>17090</v>
      </c>
      <c r="I13147" s="26">
        <v>43661.672083333302</v>
      </c>
      <c r="J13147" s="23" t="str">
        <f t="shared" si="434"/>
        <v>МУП "ОБЩЕПИТ" Г.САЛАВАТА</v>
      </c>
      <c r="K13147" s="24" t="s">
        <v>17686</v>
      </c>
      <c r="L13147" s="28" t="s">
        <v>51</v>
      </c>
      <c r="M13147" s="28" t="s">
        <v>51</v>
      </c>
      <c r="N13147" s="27">
        <v>0</v>
      </c>
    </row>
    <row r="13148" spans="1:14" hidden="1" outlineLevel="1" x14ac:dyDescent="0.2">
      <c r="A13148" s="23" t="str">
        <f>HYPERLINK("https://www.spark-marketing.ru/Card/Person/255075", "МБОУ ""СОШ № 23"" Г. САЛАВАТА")</f>
        <v>МБОУ "СОШ № 23" Г. САЛАВАТА</v>
      </c>
      <c r="B13148" s="24" t="s">
        <v>17691</v>
      </c>
      <c r="C13148" s="25">
        <v>202176</v>
      </c>
      <c r="D13148" s="22" t="s">
        <v>17685</v>
      </c>
      <c r="E13148" s="22" t="s">
        <v>48</v>
      </c>
      <c r="F13148" s="23" t="str">
        <f t="shared" si="433"/>
        <v>Оказание услуги по организации горячего питания</v>
      </c>
      <c r="G13148" s="22" t="s">
        <v>145</v>
      </c>
      <c r="H13148" s="22" t="s">
        <v>17090</v>
      </c>
      <c r="I13148" s="26">
        <v>43661.672083333302</v>
      </c>
      <c r="J13148" s="23" t="str">
        <f t="shared" si="434"/>
        <v>МУП "ОБЩЕПИТ" Г.САЛАВАТА</v>
      </c>
      <c r="K13148" s="24" t="s">
        <v>17686</v>
      </c>
      <c r="L13148" s="28" t="s">
        <v>51</v>
      </c>
      <c r="M13148" s="28" t="s">
        <v>51</v>
      </c>
      <c r="N13148" s="27">
        <v>0</v>
      </c>
    </row>
    <row r="13149" spans="1:14" hidden="1" outlineLevel="1" x14ac:dyDescent="0.2">
      <c r="A13149" s="23" t="str">
        <f>HYPERLINK("https://www.spark-marketing.ru/Card/Person/255077", "МБОУ ""КАДЕТСКАЯ ШКОЛА №2"" Г. САЛАВАТА")</f>
        <v>МБОУ "КАДЕТСКАЯ ШКОЛА №2" Г. САЛАВАТА</v>
      </c>
      <c r="B13149" s="24" t="s">
        <v>17692</v>
      </c>
      <c r="C13149" s="25">
        <v>189228</v>
      </c>
      <c r="D13149" s="22" t="s">
        <v>17685</v>
      </c>
      <c r="E13149" s="22" t="s">
        <v>48</v>
      </c>
      <c r="F13149" s="23" t="str">
        <f t="shared" si="433"/>
        <v>Оказание услуги по организации горячего питания</v>
      </c>
      <c r="G13149" s="22" t="s">
        <v>145</v>
      </c>
      <c r="H13149" s="22" t="s">
        <v>17090</v>
      </c>
      <c r="I13149" s="26">
        <v>43661.672083333302</v>
      </c>
      <c r="J13149" s="23" t="str">
        <f t="shared" si="434"/>
        <v>МУП "ОБЩЕПИТ" Г.САЛАВАТА</v>
      </c>
      <c r="K13149" s="24" t="s">
        <v>17686</v>
      </c>
      <c r="L13149" s="28" t="s">
        <v>51</v>
      </c>
      <c r="M13149" s="28" t="s">
        <v>51</v>
      </c>
      <c r="N13149" s="27">
        <v>0</v>
      </c>
    </row>
    <row r="13150" spans="1:14" hidden="1" outlineLevel="1" x14ac:dyDescent="0.2">
      <c r="A13150" s="23" t="str">
        <f>HYPERLINK("https://www.spark-marketing.ru/Card/Person/255087", "МБОУ ""ЛИЦЕЙ № 8"" Г. САЛАВАТА")</f>
        <v>МБОУ "ЛИЦЕЙ № 8" Г. САЛАВАТА</v>
      </c>
      <c r="B13150" s="24" t="s">
        <v>17693</v>
      </c>
      <c r="C13150" s="25">
        <v>334776</v>
      </c>
      <c r="D13150" s="22" t="s">
        <v>17685</v>
      </c>
      <c r="E13150" s="22" t="s">
        <v>48</v>
      </c>
      <c r="F13150" s="23" t="str">
        <f t="shared" si="433"/>
        <v>Оказание услуги по организации горячего питания</v>
      </c>
      <c r="G13150" s="22" t="s">
        <v>145</v>
      </c>
      <c r="H13150" s="22" t="s">
        <v>17090</v>
      </c>
      <c r="I13150" s="26">
        <v>43661.672083333302</v>
      </c>
      <c r="J13150" s="23" t="str">
        <f t="shared" si="434"/>
        <v>МУП "ОБЩЕПИТ" Г.САЛАВАТА</v>
      </c>
      <c r="K13150" s="24" t="s">
        <v>17686</v>
      </c>
      <c r="L13150" s="28" t="s">
        <v>51</v>
      </c>
      <c r="M13150" s="28" t="s">
        <v>51</v>
      </c>
      <c r="N13150" s="27">
        <v>0</v>
      </c>
    </row>
    <row r="13151" spans="1:14" hidden="1" outlineLevel="1" x14ac:dyDescent="0.2">
      <c r="A13151" s="23" t="str">
        <f>HYPERLINK("https://www.spark-marketing.ru/Card/Person/255089", "МБОУ ""СОШ №4"" Г. САЛАВАТА")</f>
        <v>МБОУ "СОШ №4" Г. САЛАВАТА</v>
      </c>
      <c r="B13151" s="24" t="s">
        <v>17694</v>
      </c>
      <c r="C13151" s="25">
        <v>194844</v>
      </c>
      <c r="D13151" s="22" t="s">
        <v>17685</v>
      </c>
      <c r="E13151" s="22" t="s">
        <v>48</v>
      </c>
      <c r="F13151" s="23" t="str">
        <f t="shared" si="433"/>
        <v>Оказание услуги по организации горячего питания</v>
      </c>
      <c r="G13151" s="22" t="s">
        <v>145</v>
      </c>
      <c r="H13151" s="22" t="s">
        <v>17090</v>
      </c>
      <c r="I13151" s="26">
        <v>43661.672083333302</v>
      </c>
      <c r="J13151" s="23" t="str">
        <f t="shared" si="434"/>
        <v>МУП "ОБЩЕПИТ" Г.САЛАВАТА</v>
      </c>
      <c r="K13151" s="24" t="s">
        <v>17686</v>
      </c>
      <c r="L13151" s="28" t="s">
        <v>51</v>
      </c>
      <c r="M13151" s="28" t="s">
        <v>51</v>
      </c>
      <c r="N13151" s="27">
        <v>0</v>
      </c>
    </row>
    <row r="13152" spans="1:14" hidden="1" outlineLevel="1" x14ac:dyDescent="0.2">
      <c r="A13152" s="23" t="str">
        <f>HYPERLINK("https://www.spark-marketing.ru/Card/Person/255092", "МБОУ ""СОШ №21"" Г. САЛАВАТА")</f>
        <v>МБОУ "СОШ №21" Г. САЛАВАТА</v>
      </c>
      <c r="B13152" s="24" t="s">
        <v>17695</v>
      </c>
      <c r="C13152" s="25">
        <v>156468</v>
      </c>
      <c r="D13152" s="22" t="s">
        <v>17685</v>
      </c>
      <c r="E13152" s="22" t="s">
        <v>48</v>
      </c>
      <c r="F13152" s="23" t="str">
        <f t="shared" si="433"/>
        <v>Оказание услуги по организации горячего питания</v>
      </c>
      <c r="G13152" s="22" t="s">
        <v>145</v>
      </c>
      <c r="H13152" s="22" t="s">
        <v>17090</v>
      </c>
      <c r="I13152" s="26">
        <v>43661.672083333302</v>
      </c>
      <c r="J13152" s="23" t="str">
        <f t="shared" si="434"/>
        <v>МУП "ОБЩЕПИТ" Г.САЛАВАТА</v>
      </c>
      <c r="K13152" s="24" t="s">
        <v>17686</v>
      </c>
      <c r="L13152" s="28" t="s">
        <v>51</v>
      </c>
      <c r="M13152" s="28" t="s">
        <v>51</v>
      </c>
      <c r="N13152" s="27">
        <v>0</v>
      </c>
    </row>
    <row r="13153" spans="1:14" hidden="1" outlineLevel="1" x14ac:dyDescent="0.2">
      <c r="A13153" s="23" t="str">
        <f>HYPERLINK("https://www.spark-marketing.ru/Card/Person/255101", "МБОУ ""СОШ №19"" Г. САЛАВАТА")</f>
        <v>МБОУ "СОШ №19" Г. САЛАВАТА</v>
      </c>
      <c r="B13153" s="24" t="s">
        <v>17696</v>
      </c>
      <c r="C13153" s="25">
        <v>185952</v>
      </c>
      <c r="D13153" s="22" t="s">
        <v>17685</v>
      </c>
      <c r="E13153" s="22" t="s">
        <v>48</v>
      </c>
      <c r="F13153" s="23" t="str">
        <f t="shared" si="433"/>
        <v>Оказание услуги по организации горячего питания</v>
      </c>
      <c r="G13153" s="22" t="s">
        <v>145</v>
      </c>
      <c r="H13153" s="22" t="s">
        <v>17090</v>
      </c>
      <c r="I13153" s="26">
        <v>43661.672083333302</v>
      </c>
      <c r="J13153" s="23" t="str">
        <f t="shared" si="434"/>
        <v>МУП "ОБЩЕПИТ" Г.САЛАВАТА</v>
      </c>
      <c r="K13153" s="24" t="s">
        <v>17686</v>
      </c>
      <c r="L13153" s="28" t="s">
        <v>51</v>
      </c>
      <c r="M13153" s="28" t="s">
        <v>51</v>
      </c>
      <c r="N13153" s="27">
        <v>0</v>
      </c>
    </row>
    <row r="13154" spans="1:14" hidden="1" outlineLevel="1" x14ac:dyDescent="0.2">
      <c r="A13154" s="23" t="str">
        <f>HYPERLINK("https://www.spark-marketing.ru/Card/Person/255102", "МБОУ ""СОШ №11"" Г. САЛАВАТА")</f>
        <v>МБОУ "СОШ №11" Г. САЛАВАТА</v>
      </c>
      <c r="B13154" s="24" t="s">
        <v>17697</v>
      </c>
      <c r="C13154" s="25">
        <v>372528</v>
      </c>
      <c r="D13154" s="22" t="s">
        <v>17685</v>
      </c>
      <c r="E13154" s="22" t="s">
        <v>48</v>
      </c>
      <c r="F13154" s="23" t="str">
        <f t="shared" si="433"/>
        <v>Оказание услуги по организации горячего питания</v>
      </c>
      <c r="G13154" s="22" t="s">
        <v>145</v>
      </c>
      <c r="H13154" s="22" t="s">
        <v>17090</v>
      </c>
      <c r="I13154" s="26">
        <v>43661.672083333302</v>
      </c>
      <c r="J13154" s="23" t="str">
        <f t="shared" si="434"/>
        <v>МУП "ОБЩЕПИТ" Г.САЛАВАТА</v>
      </c>
      <c r="K13154" s="24" t="s">
        <v>17686</v>
      </c>
      <c r="L13154" s="28" t="s">
        <v>51</v>
      </c>
      <c r="M13154" s="28" t="s">
        <v>51</v>
      </c>
      <c r="N13154" s="27">
        <v>0</v>
      </c>
    </row>
    <row r="13155" spans="1:14" hidden="1" outlineLevel="1" x14ac:dyDescent="0.2">
      <c r="A13155" s="23" t="str">
        <f>HYPERLINK("https://www.spark-marketing.ru/Card/Person/255103", "МБОУ ""ГИМНАЗИЯ № 2"" Г. САЛАВАТА")</f>
        <v>МБОУ "ГИМНАЗИЯ № 2" Г. САЛАВАТА</v>
      </c>
      <c r="B13155" s="24" t="s">
        <v>17698</v>
      </c>
      <c r="C13155" s="25">
        <v>70136</v>
      </c>
      <c r="D13155" s="22" t="s">
        <v>17685</v>
      </c>
      <c r="E13155" s="22" t="s">
        <v>48</v>
      </c>
      <c r="F13155" s="23" t="str">
        <f t="shared" si="433"/>
        <v>Оказание услуги по организации горячего питания</v>
      </c>
      <c r="G13155" s="22" t="s">
        <v>145</v>
      </c>
      <c r="H13155" s="22" t="s">
        <v>17090</v>
      </c>
      <c r="I13155" s="26">
        <v>43661.672083333302</v>
      </c>
      <c r="J13155" s="23" t="str">
        <f t="shared" si="434"/>
        <v>МУП "ОБЩЕПИТ" Г.САЛАВАТА</v>
      </c>
      <c r="K13155" s="24" t="s">
        <v>17686</v>
      </c>
      <c r="L13155" s="28" t="s">
        <v>51</v>
      </c>
      <c r="M13155" s="28" t="s">
        <v>51</v>
      </c>
      <c r="N13155" s="27">
        <v>0</v>
      </c>
    </row>
    <row r="13156" spans="1:14" hidden="1" outlineLevel="1" x14ac:dyDescent="0.2">
      <c r="A13156" s="23" t="str">
        <f>HYPERLINK("https://www.spark-marketing.ru/Card/Person/255105", "МБОУ ""ГИМНАЗИЯ № 1"" Г.САЛАВАТА")</f>
        <v>МБОУ "ГИМНАЗИЯ № 1" Г.САЛАВАТА</v>
      </c>
      <c r="B13156" s="24" t="s">
        <v>17699</v>
      </c>
      <c r="C13156" s="25">
        <v>66144</v>
      </c>
      <c r="D13156" s="22" t="s">
        <v>17685</v>
      </c>
      <c r="E13156" s="22" t="s">
        <v>48</v>
      </c>
      <c r="F13156" s="23" t="str">
        <f t="shared" si="433"/>
        <v>Оказание услуги по организации горячего питания</v>
      </c>
      <c r="G13156" s="22" t="s">
        <v>145</v>
      </c>
      <c r="H13156" s="22" t="s">
        <v>17090</v>
      </c>
      <c r="I13156" s="26">
        <v>43661.672083333302</v>
      </c>
      <c r="J13156" s="23" t="str">
        <f t="shared" si="434"/>
        <v>МУП "ОБЩЕПИТ" Г.САЛАВАТА</v>
      </c>
      <c r="K13156" s="24" t="s">
        <v>17686</v>
      </c>
      <c r="L13156" s="28" t="s">
        <v>51</v>
      </c>
      <c r="M13156" s="28" t="s">
        <v>51</v>
      </c>
      <c r="N13156" s="27">
        <v>0</v>
      </c>
    </row>
    <row r="13157" spans="1:14" hidden="1" outlineLevel="1" x14ac:dyDescent="0.2">
      <c r="A13157" s="23" t="str">
        <f>HYPERLINK("https://www.spark-marketing.ru/Card/Person/255107", "МБОУ ""СОШ № 17"" Г. САЛАВАТА")</f>
        <v>МБОУ "СОШ № 17" Г. САЛАВАТА</v>
      </c>
      <c r="B13157" s="24" t="s">
        <v>17700</v>
      </c>
      <c r="C13157" s="25">
        <v>449748</v>
      </c>
      <c r="D13157" s="22" t="s">
        <v>17685</v>
      </c>
      <c r="E13157" s="22" t="s">
        <v>48</v>
      </c>
      <c r="F13157" s="23" t="str">
        <f t="shared" si="433"/>
        <v>Оказание услуги по организации горячего питания</v>
      </c>
      <c r="G13157" s="22" t="s">
        <v>145</v>
      </c>
      <c r="H13157" s="22" t="s">
        <v>17090</v>
      </c>
      <c r="I13157" s="26">
        <v>43661.672083333302</v>
      </c>
      <c r="J13157" s="23" t="str">
        <f t="shared" si="434"/>
        <v>МУП "ОБЩЕПИТ" Г.САЛАВАТА</v>
      </c>
      <c r="K13157" s="24" t="s">
        <v>17686</v>
      </c>
      <c r="L13157" s="28" t="s">
        <v>51</v>
      </c>
      <c r="M13157" s="28" t="s">
        <v>51</v>
      </c>
      <c r="N13157" s="27">
        <v>0</v>
      </c>
    </row>
    <row r="13158" spans="1:14" hidden="1" outlineLevel="1" x14ac:dyDescent="0.2">
      <c r="A13158" s="23" t="str">
        <f>HYPERLINK("https://www.spark-marketing.ru/Card/Person/255108", "МБОУ ""СОШ №22"" Г. САЛАВАТА")</f>
        <v>МБОУ "СОШ №22" Г. САЛАВАТА</v>
      </c>
      <c r="B13158" s="24" t="s">
        <v>17701</v>
      </c>
      <c r="C13158" s="25">
        <v>371436</v>
      </c>
      <c r="D13158" s="22" t="s">
        <v>17685</v>
      </c>
      <c r="E13158" s="22" t="s">
        <v>48</v>
      </c>
      <c r="F13158" s="23" t="str">
        <f t="shared" si="433"/>
        <v>Оказание услуги по организации горячего питания</v>
      </c>
      <c r="G13158" s="22" t="s">
        <v>145</v>
      </c>
      <c r="H13158" s="22" t="s">
        <v>17090</v>
      </c>
      <c r="I13158" s="26">
        <v>43661.672083333302</v>
      </c>
      <c r="J13158" s="23" t="str">
        <f t="shared" si="434"/>
        <v>МУП "ОБЩЕПИТ" Г.САЛАВАТА</v>
      </c>
      <c r="K13158" s="24" t="s">
        <v>17686</v>
      </c>
      <c r="L13158" s="28" t="s">
        <v>51</v>
      </c>
      <c r="M13158" s="28" t="s">
        <v>51</v>
      </c>
      <c r="N13158" s="27">
        <v>0</v>
      </c>
    </row>
    <row r="13159" spans="1:14" hidden="1" outlineLevel="1" x14ac:dyDescent="0.2">
      <c r="A13159" s="23" t="str">
        <f>HYPERLINK("https://www.spark-marketing.ru/Card/Person/255111", "МБОУ ""СОШ №18"" Г. САЛАВАТА")</f>
        <v>МБОУ "СОШ №18" Г. САЛАВАТА</v>
      </c>
      <c r="B13159" s="24" t="s">
        <v>17702</v>
      </c>
      <c r="C13159" s="25">
        <v>293748</v>
      </c>
      <c r="D13159" s="22" t="s">
        <v>17685</v>
      </c>
      <c r="E13159" s="22" t="s">
        <v>48</v>
      </c>
      <c r="F13159" s="23" t="str">
        <f t="shared" si="433"/>
        <v>Оказание услуги по организации горячего питания</v>
      </c>
      <c r="G13159" s="22" t="s">
        <v>145</v>
      </c>
      <c r="H13159" s="22" t="s">
        <v>17090</v>
      </c>
      <c r="I13159" s="26">
        <v>43661.672083333302</v>
      </c>
      <c r="J13159" s="23" t="str">
        <f t="shared" si="434"/>
        <v>МУП "ОБЩЕПИТ" Г.САЛАВАТА</v>
      </c>
      <c r="K13159" s="24" t="s">
        <v>17686</v>
      </c>
      <c r="L13159" s="28" t="s">
        <v>51</v>
      </c>
      <c r="M13159" s="28" t="s">
        <v>51</v>
      </c>
      <c r="N13159" s="27">
        <v>0</v>
      </c>
    </row>
    <row r="13160" spans="1:14" hidden="1" outlineLevel="1" x14ac:dyDescent="0.2">
      <c r="A13160" s="23" t="str">
        <f>HYPERLINK("https://www.spark-marketing.ru/Card/Person/255159", "МБОУ ""СОШ №15"" Г.САЛАВАТА")</f>
        <v>МБОУ "СОШ №15" Г.САЛАВАТА</v>
      </c>
      <c r="B13160" s="24" t="s">
        <v>17703</v>
      </c>
      <c r="C13160" s="25">
        <v>1190904</v>
      </c>
      <c r="D13160" s="22" t="s">
        <v>17685</v>
      </c>
      <c r="E13160" s="22" t="s">
        <v>48</v>
      </c>
      <c r="F13160" s="23" t="str">
        <f t="shared" si="433"/>
        <v>Оказание услуги по организации горячего питания</v>
      </c>
      <c r="G13160" s="22" t="s">
        <v>145</v>
      </c>
      <c r="H13160" s="22" t="s">
        <v>17090</v>
      </c>
      <c r="I13160" s="26">
        <v>43661.672083333302</v>
      </c>
      <c r="J13160" s="23" t="str">
        <f t="shared" si="434"/>
        <v>МУП "ОБЩЕПИТ" Г.САЛАВАТА</v>
      </c>
      <c r="K13160" s="24" t="s">
        <v>17686</v>
      </c>
      <c r="L13160" s="28" t="s">
        <v>51</v>
      </c>
      <c r="M13160" s="28" t="s">
        <v>51</v>
      </c>
      <c r="N13160" s="27">
        <v>0</v>
      </c>
    </row>
    <row r="13161" spans="1:14" x14ac:dyDescent="0.15">
      <c r="A13161" s="23" t="str">
        <f>HYPERLINK("https://www.spark-marketing.ru/Card/Person/1759725", "МАУ ДО ""ДЮСШ №2""")</f>
        <v>МАУ ДО "ДЮСШ №2"</v>
      </c>
      <c r="B13161" s="24" t="s">
        <v>17704</v>
      </c>
      <c r="C13161" s="25">
        <v>224000</v>
      </c>
      <c r="D13161" s="22" t="s">
        <v>17705</v>
      </c>
      <c r="E13161" s="22" t="s">
        <v>769</v>
      </c>
      <c r="F13161" s="23" t="str">
        <f>HYPERLINK("https://www.spark-marketing.ru/Card/Lot/72104221", "Услуги проживания и питания во время тренировочных сборов")</f>
        <v>Услуги проживания и питания во время тренировочных сборов</v>
      </c>
      <c r="G13161" s="22" t="s">
        <v>108</v>
      </c>
      <c r="H13161" s="22" t="s">
        <v>108</v>
      </c>
      <c r="I13161" s="26">
        <v>43661.704282407401</v>
      </c>
      <c r="J13161" s="28" t="s">
        <v>51</v>
      </c>
      <c r="K13161" s="28" t="s">
        <v>51</v>
      </c>
      <c r="L13161" s="28" t="s">
        <v>51</v>
      </c>
      <c r="M13161" s="28" t="s">
        <v>51</v>
      </c>
      <c r="N13161" s="28" t="s">
        <v>51</v>
      </c>
    </row>
    <row r="13162" spans="1:14" x14ac:dyDescent="0.2">
      <c r="A13162" s="23" t="str">
        <f>HYPERLINK("https://www.spark-marketing.ru/Card/Person/4350136", "МАОУ СОШ № 3")</f>
        <v>МАОУ СОШ № 3</v>
      </c>
      <c r="B13162" s="24" t="s">
        <v>17706</v>
      </c>
      <c r="C13162" s="25">
        <v>140220</v>
      </c>
      <c r="D13162" s="22" t="s">
        <v>17707</v>
      </c>
      <c r="E13162" s="22" t="s">
        <v>362</v>
      </c>
      <c r="F13162" s="23" t="str">
        <f>HYPERLINK("https://www.spark-marketing.ru/Card/Lot/72107002", "Организация питания детей в летнем оздоровительном лагере")</f>
        <v>Организация питания детей в летнем оздоровительном лагере</v>
      </c>
      <c r="G13162" s="22" t="s">
        <v>174</v>
      </c>
      <c r="H13162" s="22" t="s">
        <v>174</v>
      </c>
      <c r="I13162" s="26">
        <v>43661.676365740699</v>
      </c>
      <c r="J13162" s="28" t="s">
        <v>51</v>
      </c>
      <c r="K13162" s="28" t="s">
        <v>51</v>
      </c>
      <c r="L13162" s="28" t="s">
        <v>51</v>
      </c>
      <c r="M13162" s="25">
        <v>140220</v>
      </c>
      <c r="N13162" s="27">
        <v>0</v>
      </c>
    </row>
    <row r="13163" spans="1:14" x14ac:dyDescent="0.2">
      <c r="A13163" s="23" t="str">
        <f>HYPERLINK("https://www.spark-marketing.ru/Card/Person/1904059", "АО ПО ""КОСМОС""")</f>
        <v>АО ПО "КОСМОС"</v>
      </c>
      <c r="B13163" s="24" t="s">
        <v>7671</v>
      </c>
      <c r="C13163" s="25">
        <v>1700000</v>
      </c>
      <c r="D13163" s="22" t="s">
        <v>17708</v>
      </c>
      <c r="E13163" s="22" t="s">
        <v>580</v>
      </c>
      <c r="F13163" s="23" t="str">
        <f>HYPERLINK("https://www.spark-marketing.ru/Card/Lot/72106999", "Комплекс услуг на поставку бортового питания для пассажиров и экипажа ВС Ту-134 в аэропорту «Архангельск»")</f>
        <v>Комплекс услуг на поставку бортового питания для пассажиров и экипажа ВС Ту-134 в аэропорту «Архангельск»</v>
      </c>
      <c r="G13163" s="22" t="s">
        <v>56</v>
      </c>
      <c r="H13163" s="22" t="s">
        <v>56</v>
      </c>
      <c r="I13163" s="26">
        <v>43661.674386574101</v>
      </c>
      <c r="J13163" s="28" t="s">
        <v>51</v>
      </c>
      <c r="K13163" s="28" t="s">
        <v>51</v>
      </c>
      <c r="L13163" s="22" t="s">
        <v>10</v>
      </c>
      <c r="M13163" s="25">
        <v>1700000</v>
      </c>
      <c r="N13163" s="27">
        <v>0</v>
      </c>
    </row>
    <row r="13164" spans="1:14" x14ac:dyDescent="0.15">
      <c r="A13164" s="23" t="str">
        <f>HYPERLINK("https://www.spark-marketing.ru/Card/Person/122045", "МБОУ СОШ № 2")</f>
        <v>МБОУ СОШ № 2</v>
      </c>
      <c r="B13164" s="24" t="s">
        <v>17709</v>
      </c>
      <c r="C13164" s="25">
        <v>2806544</v>
      </c>
      <c r="D13164" s="22" t="s">
        <v>17710</v>
      </c>
      <c r="E13164" s="22" t="s">
        <v>48</v>
      </c>
      <c r="F13164" s="23" t="str">
        <f>HYPERLINK("https://www.spark-marketing.ru/Card/Lot/72101770", "Оказание услуг по организации горячего школьного питания")</f>
        <v>Оказание услуг по организации горячего школьного питания</v>
      </c>
      <c r="G13164" s="22" t="s">
        <v>97</v>
      </c>
      <c r="H13164" s="22" t="s">
        <v>97</v>
      </c>
      <c r="I13164" s="26">
        <v>43661.690868055601</v>
      </c>
      <c r="J13164" s="23" t="str">
        <f>HYPERLINK("https://www.spark-marketing.ru/Card/Person/2091238", "Иванова Евгения Александровна")</f>
        <v>Иванова Евгения Александровна</v>
      </c>
      <c r="K13164" s="24" t="s">
        <v>17444</v>
      </c>
      <c r="L13164" s="22" t="s">
        <v>10</v>
      </c>
      <c r="M13164" s="28" t="s">
        <v>51</v>
      </c>
      <c r="N13164" s="28" t="s">
        <v>51</v>
      </c>
    </row>
    <row r="13165" spans="1:14" x14ac:dyDescent="0.15">
      <c r="A13165" s="23" t="str">
        <f>HYPERLINK("https://www.spark-marketing.ru/Card/Person/121861", "ГБУ ВО ""ОМЦ""")</f>
        <v>ГБУ ВО "ОМЦ"</v>
      </c>
      <c r="B13165" s="24" t="s">
        <v>79</v>
      </c>
      <c r="C13165" s="25">
        <v>342000</v>
      </c>
      <c r="D13165" s="22" t="s">
        <v>17711</v>
      </c>
      <c r="E13165" s="22" t="s">
        <v>51</v>
      </c>
      <c r="F13165" s="23" t="str">
        <f>HYPERLINK("https://www.spark-marketing.ru/Card/Lot/72099752", "2019-04167/ Оказание услуг по организации питания участников и организаторов сбора добровольческих команд активистов Российского движения школьников «Первый»")</f>
        <v>2019-04167/ Оказание услуг по организации питания участников и организаторов сбора добровольческих команд активистов Российского движения школьников «Первый»</v>
      </c>
      <c r="G13165" s="22" t="s">
        <v>82</v>
      </c>
      <c r="H13165" s="22" t="s">
        <v>83</v>
      </c>
      <c r="I13165" s="26">
        <v>43661.682893518497</v>
      </c>
      <c r="J13165" s="28" t="s">
        <v>51</v>
      </c>
      <c r="K13165" s="28" t="s">
        <v>51</v>
      </c>
      <c r="L13165" s="28" t="s">
        <v>51</v>
      </c>
      <c r="M13165" s="28" t="s">
        <v>51</v>
      </c>
      <c r="N13165" s="28" t="s">
        <v>51</v>
      </c>
    </row>
    <row r="13166" spans="1:14" hidden="1" outlineLevel="1" x14ac:dyDescent="0.2">
      <c r="A13166" s="23" t="str">
        <f>HYPERLINK("https://www.spark-marketing.ru/Card/Person/121861", "ГБУ ВО ""ОМЦ""")</f>
        <v>ГБУ ВО "ОМЦ"</v>
      </c>
      <c r="B13166" s="24" t="s">
        <v>79</v>
      </c>
      <c r="C13166" s="25">
        <v>342000</v>
      </c>
      <c r="D13166" s="22" t="s">
        <v>17711</v>
      </c>
      <c r="E13166" s="22" t="s">
        <v>51</v>
      </c>
      <c r="F13166" s="23" t="str">
        <f>HYPERLINK("https://www.spark-marketing.ru/Card/Lot/72099752", "2019-04167/ Оказание услуг по организации питания участников и организаторов сбора добровольческих команд активистов Российского движения школьников «Первый»")</f>
        <v>2019-04167/ Оказание услуг по организации питания участников и организаторов сбора добровольческих команд активистов Российского движения школьников «Первый»</v>
      </c>
      <c r="G13166" s="22" t="s">
        <v>82</v>
      </c>
      <c r="H13166" s="22" t="s">
        <v>83</v>
      </c>
      <c r="I13166" s="26">
        <v>43661.682893518497</v>
      </c>
      <c r="J13166" s="23" t="str">
        <f>HYPERLINK("https://www.spark-marketing.ru/Card/Person/2128797", "ООО ""ОЛИВА""")</f>
        <v>ООО "ОЛИВА"</v>
      </c>
      <c r="K13166" s="24" t="s">
        <v>17712</v>
      </c>
      <c r="L13166" s="28" t="s">
        <v>51</v>
      </c>
      <c r="M13166" s="25">
        <v>287250</v>
      </c>
      <c r="N13166" s="27">
        <v>0.16008771929824561</v>
      </c>
    </row>
    <row r="13167" spans="1:14" ht="12.75" hidden="1" outlineLevel="1" x14ac:dyDescent="0.2">
      <c r="A13167" s="23" t="str">
        <f>HYPERLINK("https://www.spark-marketing.ru/Card/Person/121861", "ГБУ ВО ""ОМЦ""")</f>
        <v>ГБУ ВО "ОМЦ"</v>
      </c>
      <c r="B13167" s="24" t="s">
        <v>79</v>
      </c>
      <c r="C13167" s="25">
        <v>342000</v>
      </c>
      <c r="D13167" s="22" t="s">
        <v>17711</v>
      </c>
      <c r="E13167" s="22" t="s">
        <v>51</v>
      </c>
      <c r="F13167" s="23" t="str">
        <f>HYPERLINK("https://www.spark-marketing.ru/Card/Lot/72099752", "2019-04167/ Оказание услуг по организации питания участников и организаторов сбора добровольческих команд активистов Российского движения школьников «Первый»")</f>
        <v>2019-04167/ Оказание услуг по организации питания участников и организаторов сбора добровольческих команд активистов Российского движения школьников «Первый»</v>
      </c>
      <c r="G13167" s="22" t="s">
        <v>82</v>
      </c>
      <c r="H13167" s="22" t="s">
        <v>83</v>
      </c>
      <c r="I13167" s="26">
        <v>43661.682893518497</v>
      </c>
      <c r="J13167" s="23" t="str">
        <f>HYPERLINK("https://www.spark-marketing.ru/Card/Person/146625", "ООО ""АВГУСТ""")</f>
        <v>ООО "АВГУСТ"</v>
      </c>
      <c r="K13167" s="24" t="s">
        <v>17713</v>
      </c>
      <c r="L13167" s="22" t="s">
        <v>10</v>
      </c>
      <c r="M13167" s="25">
        <v>287250</v>
      </c>
      <c r="N13167" s="27">
        <v>0.16008771929824561</v>
      </c>
    </row>
    <row r="13168" spans="1:14" hidden="1" outlineLevel="1" x14ac:dyDescent="0.2">
      <c r="A13168" s="23" t="str">
        <f>HYPERLINK("https://www.spark-marketing.ru/Card/Person/121861", "ГБУ ВО ""ОМЦ""")</f>
        <v>ГБУ ВО "ОМЦ"</v>
      </c>
      <c r="B13168" s="24" t="s">
        <v>79</v>
      </c>
      <c r="C13168" s="25">
        <v>342000</v>
      </c>
      <c r="D13168" s="22" t="s">
        <v>17711</v>
      </c>
      <c r="E13168" s="22" t="s">
        <v>51</v>
      </c>
      <c r="F13168" s="23" t="str">
        <f>HYPERLINK("https://www.spark-marketing.ru/Card/Lot/72099752", "2019-04167/ Оказание услуг по организации питания участников и организаторов сбора добровольческих команд активистов Российского движения школьников «Первый»")</f>
        <v>2019-04167/ Оказание услуг по организации питания участников и организаторов сбора добровольческих команд активистов Российского движения школьников «Первый»</v>
      </c>
      <c r="G13168" s="22" t="s">
        <v>82</v>
      </c>
      <c r="H13168" s="22" t="s">
        <v>83</v>
      </c>
      <c r="I13168" s="26">
        <v>43661.682893518497</v>
      </c>
      <c r="J13168" s="23" t="str">
        <f>HYPERLINK("https://www.spark-marketing.ru/Card/Person/6516136", "Панцырева Оксана Сергеевна")</f>
        <v>Панцырева Оксана Сергеевна</v>
      </c>
      <c r="K13168" s="24" t="s">
        <v>17714</v>
      </c>
      <c r="L13168" s="28" t="s">
        <v>51</v>
      </c>
      <c r="M13168" s="25">
        <v>330000</v>
      </c>
      <c r="N13168" s="27">
        <v>3.5087719298245612E-2</v>
      </c>
    </row>
    <row r="13169" spans="1:14" x14ac:dyDescent="0.15">
      <c r="A13169" s="23" t="str">
        <f>HYPERLINK("https://www.spark-marketing.ru/Card/Person/80819", "МО МВД РОССИИ ""ЖЕЛЕЗНОГОРСКИЙ""")</f>
        <v>МО МВД РОССИИ "ЖЕЛЕЗНОГОРСКИЙ"</v>
      </c>
      <c r="B13169" s="24" t="s">
        <v>17715</v>
      </c>
      <c r="C13169" s="25">
        <v>2601000</v>
      </c>
      <c r="D13169" s="22" t="s">
        <v>17716</v>
      </c>
      <c r="E13169" s="22" t="s">
        <v>96</v>
      </c>
      <c r="F13169" s="23" t="str">
        <f>HYPERLINK("https://www.spark-marketing.ru/Card/Lot/72101767", "Оказание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 также лиц задержанных на срок более 3 часов")</f>
        <v>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 также лиц задержанных на срок более 3 часов</v>
      </c>
      <c r="G13169" s="22" t="s">
        <v>1111</v>
      </c>
      <c r="H13169" s="22" t="s">
        <v>5821</v>
      </c>
      <c r="I13169" s="26">
        <v>43661.675902777803</v>
      </c>
      <c r="J13169" s="23" t="str">
        <f>HYPERLINK("https://www.spark-marketing.ru/Card/Person/1274939", "ООО ""ВЬЮГА ПЛЮС""")</f>
        <v>ООО "ВЬЮГА ПЛЮС"</v>
      </c>
      <c r="K13169" s="24" t="s">
        <v>17717</v>
      </c>
      <c r="L13169" s="22" t="s">
        <v>10</v>
      </c>
      <c r="M13169" s="28" t="s">
        <v>51</v>
      </c>
      <c r="N13169" s="28" t="s">
        <v>51</v>
      </c>
    </row>
    <row r="13170" spans="1:14" x14ac:dyDescent="0.15">
      <c r="A13170" s="23" t="str">
        <f>HYPERLINK("https://www.spark-marketing.ru/Card/Person/1069724", "МБОУ СОШ №4")</f>
        <v>МБОУ СОШ №4</v>
      </c>
      <c r="B13170" s="24" t="s">
        <v>17718</v>
      </c>
      <c r="C13170" s="25">
        <v>4482296</v>
      </c>
      <c r="D13170" s="22" t="s">
        <v>17719</v>
      </c>
      <c r="E13170" s="22" t="s">
        <v>48</v>
      </c>
      <c r="F13170" s="23" t="str">
        <f>HYPERLINK("https://www.spark-marketing.ru/Card/Lot/72101950", "Оказание услуг по организации горячего школьного питания")</f>
        <v>Оказание услуг по организации горячего школьного питания</v>
      </c>
      <c r="G13170" s="22" t="s">
        <v>97</v>
      </c>
      <c r="H13170" s="22" t="s">
        <v>97</v>
      </c>
      <c r="I13170" s="26">
        <v>43661.6878125</v>
      </c>
      <c r="J13170" s="23" t="str">
        <f>HYPERLINK("https://www.spark-marketing.ru/Card/Person/1504584", "ООО ""БИЗНЕС ФУД""")</f>
        <v>ООО "БИЗНЕС ФУД"</v>
      </c>
      <c r="K13170" s="24" t="s">
        <v>17491</v>
      </c>
      <c r="L13170" s="22" t="s">
        <v>10</v>
      </c>
      <c r="M13170" s="28" t="s">
        <v>51</v>
      </c>
      <c r="N13170" s="28" t="s">
        <v>51</v>
      </c>
    </row>
    <row r="13171" spans="1:14" x14ac:dyDescent="0.15">
      <c r="A13171" s="23" t="str">
        <f>HYPERLINK("https://www.spark-marketing.ru/Card/Person/146262", "ФКУ ""ЦХИСО УМВД РОССИИ ПО ЧУКОТСКОМУ АВТОНОМНОМУ ОКРУГУ""")</f>
        <v>ФКУ "ЦХИСО УМВД РОССИИ ПО ЧУКОТСКОМУ АВТОНОМНОМУ ОКРУГУ"</v>
      </c>
      <c r="B13171" s="24" t="s">
        <v>17658</v>
      </c>
      <c r="C13171" s="25">
        <v>400000</v>
      </c>
      <c r="D13171" s="22" t="s">
        <v>17720</v>
      </c>
      <c r="E13171" s="22" t="s">
        <v>96</v>
      </c>
      <c r="F13171" s="23" t="str">
        <f>HYPERLINK("https://www.spark-marketing.ru/Card/Lot/72085264", "Питание ИВС для нужд МОМВД России ""Билибинский"" (г. Певек) IV квартал")</f>
        <v>Питание ИВС для нужд МОМВД России "Билибинский" (г. Певек) IV квартал</v>
      </c>
      <c r="G13171" s="22" t="s">
        <v>2674</v>
      </c>
      <c r="H13171" s="22" t="s">
        <v>17660</v>
      </c>
      <c r="I13171" s="26">
        <v>43661.697465277801</v>
      </c>
      <c r="J13171" s="23" t="str">
        <f>HYPERLINK("https://www.spark-marketing.ru/Card/Person/677717", "ООО ""НОВЫЙ""")</f>
        <v>ООО "НОВЫЙ"</v>
      </c>
      <c r="K13171" s="24" t="s">
        <v>17721</v>
      </c>
      <c r="L13171" s="22" t="s">
        <v>10</v>
      </c>
      <c r="M13171" s="28" t="s">
        <v>51</v>
      </c>
      <c r="N13171" s="28" t="s">
        <v>51</v>
      </c>
    </row>
    <row r="13172" spans="1:14" x14ac:dyDescent="0.15">
      <c r="A13172" s="23" t="str">
        <f>HYPERLINK("https://www.spark-marketing.ru/Card/Person/101664", "КГБУ АКУНБ")</f>
        <v>КГБУ АКУНБ</v>
      </c>
      <c r="B13172" s="24" t="s">
        <v>1541</v>
      </c>
      <c r="C13172" s="25">
        <v>203400</v>
      </c>
      <c r="D13172" s="22" t="s">
        <v>17722</v>
      </c>
      <c r="E13172" s="22" t="s">
        <v>716</v>
      </c>
      <c r="F13172" s="23" t="str">
        <f>HYPERLINK("https://www.spark-marketing.ru/Card/Lot/72094438", "Поставка 268 экземпляров книжных изданий для комплектования библиотечного фонда КГБУ АКУНБ")</f>
        <v>Поставка 268 экземпляров книжных изданий для комплектования библиотечного фонда КГБУ АКУНБ</v>
      </c>
      <c r="G13172" s="22" t="s">
        <v>63</v>
      </c>
      <c r="H13172" s="22" t="s">
        <v>177</v>
      </c>
      <c r="I13172" s="26">
        <v>43661.681921296302</v>
      </c>
      <c r="J13172" s="23" t="str">
        <f>HYPERLINK("https://www.spark-marketing.ru/Card/Person/5966489", "ООО ""ПРОФИБУК""")</f>
        <v>ООО "ПРОФИБУК"</v>
      </c>
      <c r="K13172" s="24" t="s">
        <v>17723</v>
      </c>
      <c r="L13172" s="28" t="s">
        <v>51</v>
      </c>
      <c r="M13172" s="28" t="s">
        <v>51</v>
      </c>
      <c r="N13172" s="28" t="s">
        <v>51</v>
      </c>
    </row>
    <row r="13173" spans="1:14" ht="12.75" hidden="1" outlineLevel="1" x14ac:dyDescent="0.2">
      <c r="A13173" s="23" t="str">
        <f>HYPERLINK("https://www.spark-marketing.ru/Card/Person/101664", "КГБУ АКУНБ")</f>
        <v>КГБУ АКУНБ</v>
      </c>
      <c r="B13173" s="24" t="s">
        <v>1541</v>
      </c>
      <c r="C13173" s="25">
        <v>203400</v>
      </c>
      <c r="D13173" s="22" t="s">
        <v>17722</v>
      </c>
      <c r="E13173" s="22" t="s">
        <v>716</v>
      </c>
      <c r="F13173" s="23" t="str">
        <f>HYPERLINK("https://www.spark-marketing.ru/Card/Lot/72094438", "Поставка 268 экземпляров книжных изданий для комплектования библиотечного фонда КГБУ АКУНБ")</f>
        <v>Поставка 268 экземпляров книжных изданий для комплектования библиотечного фонда КГБУ АКУНБ</v>
      </c>
      <c r="G13173" s="22" t="s">
        <v>63</v>
      </c>
      <c r="H13173" s="22" t="s">
        <v>177</v>
      </c>
      <c r="I13173" s="26">
        <v>43661.681921296302</v>
      </c>
      <c r="J13173" s="23" t="str">
        <f>HYPERLINK("https://www.spark-marketing.ru/Card/Person/5966489", "ООО ""ПРОФИБУК""")</f>
        <v>ООО "ПРОФИБУК"</v>
      </c>
      <c r="K13173" s="24" t="s">
        <v>17723</v>
      </c>
      <c r="L13173" s="22" t="s">
        <v>10</v>
      </c>
      <c r="M13173" s="25">
        <v>202383</v>
      </c>
      <c r="N13173" s="27">
        <v>5.0000000000000001E-3</v>
      </c>
    </row>
    <row r="13174" spans="1:14" x14ac:dyDescent="0.15">
      <c r="A13174" s="23" t="str">
        <f>HYPERLINK("https://www.spark-marketing.ru/Card/Person/121861", "ГБУ ВО ""ОМЦ""")</f>
        <v>ГБУ ВО "ОМЦ"</v>
      </c>
      <c r="B13174" s="24" t="s">
        <v>79</v>
      </c>
      <c r="C13174" s="25">
        <v>324000</v>
      </c>
      <c r="D13174" s="22" t="s">
        <v>17724</v>
      </c>
      <c r="E13174" s="22" t="s">
        <v>51</v>
      </c>
      <c r="F13174" s="23" t="str">
        <f>HYPERLINK("https://www.spark-marketing.ru/Card/Lot/72099089", "2019-04166/ Оказание услуг по организации проживания с питанием участников и организаторов школы актива для руководителей и представителей молодежных волонтерских объединений Воронежской области")</f>
        <v>2019-04166/ Оказание услуг по организации проживания с питанием участников и организаторов школы актива для руководителей и представителей молодежных волонтерских объединений Воронежской области</v>
      </c>
      <c r="G13174" s="22" t="s">
        <v>82</v>
      </c>
      <c r="H13174" s="22" t="s">
        <v>83</v>
      </c>
      <c r="I13174" s="26">
        <v>43661.6821180556</v>
      </c>
      <c r="J13174" s="23" t="str">
        <f>HYPERLINK("https://www.spark-marketing.ru/Card/Person/336101", "ООО ""КОМФОРТ""")</f>
        <v>ООО "КОМФОРТ"</v>
      </c>
      <c r="K13174" s="24" t="s">
        <v>4486</v>
      </c>
      <c r="L13174" s="22" t="s">
        <v>10</v>
      </c>
      <c r="M13174" s="28" t="s">
        <v>51</v>
      </c>
      <c r="N13174" s="28" t="s">
        <v>51</v>
      </c>
    </row>
    <row r="13175" spans="1:14" x14ac:dyDescent="0.15">
      <c r="A13175" s="23" t="str">
        <f>HYPERLINK("https://www.spark-marketing.ru/Card/Person/80819", "МО МВД РОССИИ ""ЖЕЛЕЗНОГОРСКИЙ""")</f>
        <v>МО МВД РОССИИ "ЖЕЛЕЗНОГОРСКИЙ"</v>
      </c>
      <c r="B13175" s="24" t="s">
        <v>17715</v>
      </c>
      <c r="C13175" s="25">
        <v>2289100</v>
      </c>
      <c r="D13175" s="22" t="s">
        <v>17725</v>
      </c>
      <c r="E13175" s="22" t="s">
        <v>96</v>
      </c>
      <c r="F13175" s="23" t="str">
        <f>HYPERLINK("https://www.spark-marketing.ru/Card/Lot/72101789", "Оказание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 также лиц задержанных на срок более 3 часов")</f>
        <v>Оказание услуг по обеспечению ежедневным трехразовым горячим питанием лиц, содержащихся в изоляторе временного содержания подозреваемых и обвиняемых, а также лиц задержанных на срок более 3 часов</v>
      </c>
      <c r="G13175" s="22" t="s">
        <v>1111</v>
      </c>
      <c r="H13175" s="22" t="s">
        <v>5821</v>
      </c>
      <c r="I13175" s="26">
        <v>43661.685312499998</v>
      </c>
      <c r="J13175" s="23" t="str">
        <f>HYPERLINK("https://www.spark-marketing.ru/Card/Person/1274939", "ООО ""ВЬЮГА ПЛЮС""")</f>
        <v>ООО "ВЬЮГА ПЛЮС"</v>
      </c>
      <c r="K13175" s="24" t="s">
        <v>17717</v>
      </c>
      <c r="L13175" s="22" t="s">
        <v>10</v>
      </c>
      <c r="M13175" s="28" t="s">
        <v>51</v>
      </c>
      <c r="N13175" s="28" t="s">
        <v>51</v>
      </c>
    </row>
    <row r="13176" spans="1:14" x14ac:dyDescent="0.15">
      <c r="A13176" s="23" t="str">
        <f>HYPERLINK("https://www.spark-marketing.ru/Card/Person/11733", "РТУ МИРЭА")</f>
        <v>РТУ МИРЭА</v>
      </c>
      <c r="B13176" s="24" t="s">
        <v>1305</v>
      </c>
      <c r="C13176" s="25">
        <v>684800</v>
      </c>
      <c r="D13176" s="22" t="s">
        <v>17726</v>
      </c>
      <c r="E13176" s="22" t="s">
        <v>362</v>
      </c>
      <c r="F13176" s="23" t="str">
        <f>HYPERLINK("https://www.spark-marketing.ru/Card/Lot/72116082", "Оказание услуг по организации питания")</f>
        <v>Оказание услуг по организации питания</v>
      </c>
      <c r="G13176" s="22" t="s">
        <v>49</v>
      </c>
      <c r="H13176" s="22" t="s">
        <v>49</v>
      </c>
      <c r="I13176" s="26">
        <v>43661.638854166697</v>
      </c>
      <c r="J13176" s="28" t="s">
        <v>51</v>
      </c>
      <c r="K13176" s="28" t="s">
        <v>51</v>
      </c>
      <c r="L13176" s="28" t="s">
        <v>51</v>
      </c>
      <c r="M13176" s="28" t="s">
        <v>51</v>
      </c>
      <c r="N13176" s="28" t="s">
        <v>51</v>
      </c>
    </row>
    <row r="13177" spans="1:14" x14ac:dyDescent="0.2">
      <c r="A13177" s="23" t="s">
        <v>114</v>
      </c>
      <c r="B13177" s="28" t="s">
        <v>51</v>
      </c>
      <c r="C13177" s="25">
        <v>7211282</v>
      </c>
      <c r="D13177" s="22" t="s">
        <v>17727</v>
      </c>
      <c r="E13177" s="22" t="s">
        <v>48</v>
      </c>
      <c r="F13177" s="23" t="str">
        <f>HYPERLINK("https://www.spark-marketing.ru/Card/Lot/72105512", "Оказание услуг по организации горячего питания")</f>
        <v>Оказание услуг по организации горячего питания</v>
      </c>
      <c r="G13177" s="22" t="s">
        <v>51</v>
      </c>
      <c r="H13177" s="22" t="s">
        <v>51</v>
      </c>
      <c r="I13177" s="26">
        <v>43661.625949074099</v>
      </c>
      <c r="J13177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177" s="24" t="s">
        <v>16891</v>
      </c>
      <c r="L13177" s="28" t="s">
        <v>51</v>
      </c>
      <c r="M13177" s="25">
        <v>7211282</v>
      </c>
      <c r="N13177" s="27">
        <v>0</v>
      </c>
    </row>
    <row r="13178" spans="1:14" hidden="1" outlineLevel="1" x14ac:dyDescent="0.2">
      <c r="A13178" s="23" t="str">
        <f>HYPERLINK("https://www.spark-marketing.ru/Card/Person/87926", "МБОУ СОШ № 27")</f>
        <v>МБОУ СОШ № 27</v>
      </c>
      <c r="B13178" s="24" t="s">
        <v>17728</v>
      </c>
      <c r="C13178" s="25">
        <v>4378322</v>
      </c>
      <c r="D13178" s="22" t="s">
        <v>17727</v>
      </c>
      <c r="E13178" s="22" t="s">
        <v>48</v>
      </c>
      <c r="F13178" s="23" t="str">
        <f>HYPERLINK("https://www.spark-marketing.ru/Card/Lot/72105512", "Оказание услуг по организации горячего питания")</f>
        <v>Оказание услуг по организации горячего питания</v>
      </c>
      <c r="G13178" s="22" t="s">
        <v>51</v>
      </c>
      <c r="H13178" s="22" t="s">
        <v>51</v>
      </c>
      <c r="I13178" s="26">
        <v>43661.625949074099</v>
      </c>
      <c r="J13178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178" s="24" t="s">
        <v>16891</v>
      </c>
      <c r="L13178" s="28" t="s">
        <v>51</v>
      </c>
      <c r="M13178" s="28" t="s">
        <v>51</v>
      </c>
      <c r="N13178" s="27">
        <v>0</v>
      </c>
    </row>
    <row r="13179" spans="1:14" hidden="1" outlineLevel="1" x14ac:dyDescent="0.2">
      <c r="A13179" s="23" t="str">
        <f>HYPERLINK("https://www.spark-marketing.ru/Card/Person/1004386", "МОУ СОШ №31")</f>
        <v>МОУ СОШ №31</v>
      </c>
      <c r="B13179" s="24" t="s">
        <v>17729</v>
      </c>
      <c r="C13179" s="25">
        <v>875340</v>
      </c>
      <c r="D13179" s="22" t="s">
        <v>17727</v>
      </c>
      <c r="E13179" s="22" t="s">
        <v>48</v>
      </c>
      <c r="F13179" s="23" t="str">
        <f>HYPERLINK("https://www.spark-marketing.ru/Card/Lot/72105512", "Оказание услуг по организации горячего питания")</f>
        <v>Оказание услуг по организации горячего питания</v>
      </c>
      <c r="G13179" s="22" t="s">
        <v>51</v>
      </c>
      <c r="H13179" s="22" t="s">
        <v>51</v>
      </c>
      <c r="I13179" s="26">
        <v>43661.625949074099</v>
      </c>
      <c r="J13179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179" s="24" t="s">
        <v>16891</v>
      </c>
      <c r="L13179" s="28" t="s">
        <v>51</v>
      </c>
      <c r="M13179" s="28" t="s">
        <v>51</v>
      </c>
      <c r="N13179" s="27">
        <v>0</v>
      </c>
    </row>
    <row r="13180" spans="1:14" hidden="1" outlineLevel="1" x14ac:dyDescent="0.2">
      <c r="A13180" s="23" t="str">
        <f>HYPERLINK("https://www.spark-marketing.ru/Card/Person/1004425", "МБОУ СОШ № 34")</f>
        <v>МБОУ СОШ № 34</v>
      </c>
      <c r="B13180" s="24" t="s">
        <v>17730</v>
      </c>
      <c r="C13180" s="25">
        <v>1957620</v>
      </c>
      <c r="D13180" s="22" t="s">
        <v>17727</v>
      </c>
      <c r="E13180" s="22" t="s">
        <v>48</v>
      </c>
      <c r="F13180" s="23" t="str">
        <f>HYPERLINK("https://www.spark-marketing.ru/Card/Lot/72105512", "Оказание услуг по организации горячего питания")</f>
        <v>Оказание услуг по организации горячего питания</v>
      </c>
      <c r="G13180" s="22" t="s">
        <v>137</v>
      </c>
      <c r="H13180" s="22" t="s">
        <v>138</v>
      </c>
      <c r="I13180" s="26">
        <v>43661.625949074099</v>
      </c>
      <c r="J13180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180" s="24" t="s">
        <v>16891</v>
      </c>
      <c r="L13180" s="28" t="s">
        <v>51</v>
      </c>
      <c r="M13180" s="28" t="s">
        <v>51</v>
      </c>
      <c r="N13180" s="27">
        <v>0</v>
      </c>
    </row>
    <row r="13181" spans="1:14" x14ac:dyDescent="0.2">
      <c r="A13181" s="23" t="str">
        <f>HYPERLINK("https://www.spark-marketing.ru/Card/Person/1038555", "ГКОУКО ""КАЛУЖСКАЯ ШКОЛА-ИНТЕРНАТ № 5 ИМЕНИ Ф. А. РАУ""")</f>
        <v>ГКОУКО "КАЛУЖСКАЯ ШКОЛА-ИНТЕРНАТ № 5 ИМЕНИ Ф. А. РАУ"</v>
      </c>
      <c r="B13181" s="24" t="s">
        <v>17731</v>
      </c>
      <c r="C13181" s="25">
        <v>2606434</v>
      </c>
      <c r="D13181" s="22" t="s">
        <v>17732</v>
      </c>
      <c r="E13181" s="22" t="s">
        <v>48</v>
      </c>
      <c r="F13181" s="23" t="str">
        <f>HYPERLINK("https://www.spark-marketing.ru/Card/Lot/72103481", "Оказание услуг по обеспечению горячим сбалансированным питанием обучающихся ГКОУКО ""Калужская школа-интернат № 5 имени Ф.А. Рау""")</f>
        <v>Оказание услуг по обеспечению горячим сбалансированным питанием обучающихся ГКОУКО "Калужская школа-интернат № 5 имени Ф.А. Рау"</v>
      </c>
      <c r="G13181" s="22" t="s">
        <v>112</v>
      </c>
      <c r="H13181" s="22" t="s">
        <v>389</v>
      </c>
      <c r="I13181" s="26">
        <v>43661.638055555602</v>
      </c>
      <c r="J13181" s="23" t="str">
        <f>HYPERLINK("https://www.spark-marketing.ru/Card/Person/91324", "ООО ""КАЛУЖСКИЙ КОМБИНАТ ШКОЛЬНОГО ПИТАНИЯ""")</f>
        <v>ООО "КАЛУЖСКИЙ КОМБИНАТ ШКОЛЬНОГО ПИТАНИЯ"</v>
      </c>
      <c r="K13181" s="24" t="s">
        <v>14829</v>
      </c>
      <c r="L13181" s="28" t="s">
        <v>51</v>
      </c>
      <c r="M13181" s="25">
        <v>2606434</v>
      </c>
      <c r="N13181" s="27">
        <v>0</v>
      </c>
    </row>
    <row r="13182" spans="1:14" x14ac:dyDescent="0.15">
      <c r="A13182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13182" s="24" t="s">
        <v>1406</v>
      </c>
      <c r="C13182" s="25">
        <v>500000</v>
      </c>
      <c r="D13182" s="22" t="s">
        <v>17733</v>
      </c>
      <c r="E13182" s="22" t="s">
        <v>15886</v>
      </c>
      <c r="F13182" s="23" t="str">
        <f>HYPERLINK("https://www.spark-marketing.ru/Card/Lot/72107241", "Оказание услуг по организации участия гостей и обучающихся НГУ в различных мероприятиях научно-образовательного, общекультурного, спортивного характера (конференции, семинары, олимпиады, школы, турниры, соревнования, региональные и общероссийские сту...")</f>
        <v>Оказание услуг по организации участия гостей и обучающихся НГУ в различных мероприятиях научно-образовательного, общекультурного, спортивного характера (конференции, семинары, олимпиады, школы, турниры, соревнования, региональные и общероссийские сту...</v>
      </c>
      <c r="G13182" s="22" t="s">
        <v>195</v>
      </c>
      <c r="H13182" s="22" t="s">
        <v>195</v>
      </c>
      <c r="I13182" s="26">
        <v>43661.627951388902</v>
      </c>
      <c r="J13182" s="28" t="s">
        <v>51</v>
      </c>
      <c r="K13182" s="28" t="s">
        <v>51</v>
      </c>
      <c r="L13182" s="28" t="s">
        <v>51</v>
      </c>
      <c r="M13182" s="28" t="s">
        <v>51</v>
      </c>
      <c r="N13182" s="28" t="s">
        <v>51</v>
      </c>
    </row>
    <row r="13183" spans="1:14" x14ac:dyDescent="0.2">
      <c r="A13183" s="23" t="s">
        <v>114</v>
      </c>
      <c r="B13183" s="28" t="s">
        <v>51</v>
      </c>
      <c r="C13183" s="25">
        <v>5071800</v>
      </c>
      <c r="D13183" s="22" t="s">
        <v>17734</v>
      </c>
      <c r="E13183" s="22" t="s">
        <v>48</v>
      </c>
      <c r="F13183" s="23" t="str">
        <f>HYPERLINK("https://www.spark-marketing.ru/Card/Lot/72105510", "Оказание услуг по организации горячего питания")</f>
        <v>Оказание услуг по организации горячего питания</v>
      </c>
      <c r="G13183" s="22" t="s">
        <v>51</v>
      </c>
      <c r="H13183" s="22" t="s">
        <v>51</v>
      </c>
      <c r="I13183" s="26">
        <v>43661.625706018502</v>
      </c>
      <c r="J13183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183" s="24" t="s">
        <v>16891</v>
      </c>
      <c r="L13183" s="28" t="s">
        <v>51</v>
      </c>
      <c r="M13183" s="25">
        <v>5071800</v>
      </c>
      <c r="N13183" s="27">
        <v>0</v>
      </c>
    </row>
    <row r="13184" spans="1:14" hidden="1" outlineLevel="1" x14ac:dyDescent="0.2">
      <c r="A13184" s="23" t="str">
        <f>HYPERLINK("https://www.spark-marketing.ru/Card/Person/105519", "МОУ СОШ № 29")</f>
        <v>МОУ СОШ № 29</v>
      </c>
      <c r="B13184" s="24" t="s">
        <v>17735</v>
      </c>
      <c r="C13184" s="25">
        <v>1445700</v>
      </c>
      <c r="D13184" s="22" t="s">
        <v>17734</v>
      </c>
      <c r="E13184" s="22" t="s">
        <v>48</v>
      </c>
      <c r="F13184" s="23" t="str">
        <f>HYPERLINK("https://www.spark-marketing.ru/Card/Lot/72105510", "Оказание услуг по организации горячего питания")</f>
        <v>Оказание услуг по организации горячего питания</v>
      </c>
      <c r="G13184" s="22" t="s">
        <v>51</v>
      </c>
      <c r="H13184" s="22" t="s">
        <v>51</v>
      </c>
      <c r="I13184" s="26">
        <v>43661.625706018502</v>
      </c>
      <c r="J13184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184" s="24" t="s">
        <v>16891</v>
      </c>
      <c r="L13184" s="28" t="s">
        <v>51</v>
      </c>
      <c r="M13184" s="28" t="s">
        <v>51</v>
      </c>
      <c r="N13184" s="27">
        <v>0</v>
      </c>
    </row>
    <row r="13185" spans="1:14" hidden="1" outlineLevel="1" x14ac:dyDescent="0.2">
      <c r="A13185" s="23" t="str">
        <f>HYPERLINK("https://www.spark-marketing.ru/Card/Person/108331", "МБОУ СОШ № 17")</f>
        <v>МБОУ СОШ № 17</v>
      </c>
      <c r="B13185" s="24" t="s">
        <v>17736</v>
      </c>
      <c r="C13185" s="25">
        <v>1564200</v>
      </c>
      <c r="D13185" s="22" t="s">
        <v>17734</v>
      </c>
      <c r="E13185" s="22" t="s">
        <v>48</v>
      </c>
      <c r="F13185" s="23" t="str">
        <f>HYPERLINK("https://www.spark-marketing.ru/Card/Lot/72105510", "Оказание услуг по организации горячего питания")</f>
        <v>Оказание услуг по организации горячего питания</v>
      </c>
      <c r="G13185" s="22" t="s">
        <v>51</v>
      </c>
      <c r="H13185" s="22" t="s">
        <v>51</v>
      </c>
      <c r="I13185" s="26">
        <v>43661.625706018502</v>
      </c>
      <c r="J13185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185" s="24" t="s">
        <v>16891</v>
      </c>
      <c r="L13185" s="28" t="s">
        <v>51</v>
      </c>
      <c r="M13185" s="28" t="s">
        <v>51</v>
      </c>
      <c r="N13185" s="27">
        <v>0</v>
      </c>
    </row>
    <row r="13186" spans="1:14" hidden="1" outlineLevel="1" x14ac:dyDescent="0.2">
      <c r="A13186" s="23" t="str">
        <f>HYPERLINK("https://www.spark-marketing.ru/Card/Person/113644", "МОУ СОШ № 46")</f>
        <v>МОУ СОШ № 46</v>
      </c>
      <c r="B13186" s="24" t="s">
        <v>17737</v>
      </c>
      <c r="C13186" s="25">
        <v>1256100</v>
      </c>
      <c r="D13186" s="22" t="s">
        <v>17734</v>
      </c>
      <c r="E13186" s="22" t="s">
        <v>48</v>
      </c>
      <c r="F13186" s="23" t="str">
        <f>HYPERLINK("https://www.spark-marketing.ru/Card/Lot/72105510", "Оказание услуг по организации горячего питания")</f>
        <v>Оказание услуг по организации горячего питания</v>
      </c>
      <c r="G13186" s="22" t="s">
        <v>137</v>
      </c>
      <c r="H13186" s="22" t="s">
        <v>138</v>
      </c>
      <c r="I13186" s="26">
        <v>43661.625706018502</v>
      </c>
      <c r="J13186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186" s="24" t="s">
        <v>16891</v>
      </c>
      <c r="L13186" s="28" t="s">
        <v>51</v>
      </c>
      <c r="M13186" s="28" t="s">
        <v>51</v>
      </c>
      <c r="N13186" s="27">
        <v>0</v>
      </c>
    </row>
    <row r="13187" spans="1:14" hidden="1" outlineLevel="1" x14ac:dyDescent="0.2">
      <c r="A13187" s="23" t="str">
        <f>HYPERLINK("https://www.spark-marketing.ru/Card/Person/130247", "МОУ СОШ № 35")</f>
        <v>МОУ СОШ № 35</v>
      </c>
      <c r="B13187" s="24" t="s">
        <v>17738</v>
      </c>
      <c r="C13187" s="25">
        <v>805800</v>
      </c>
      <c r="D13187" s="22" t="s">
        <v>17734</v>
      </c>
      <c r="E13187" s="22" t="s">
        <v>48</v>
      </c>
      <c r="F13187" s="23" t="str">
        <f>HYPERLINK("https://www.spark-marketing.ru/Card/Lot/72105510", "Оказание услуг по организации горячего питания")</f>
        <v>Оказание услуг по организации горячего питания</v>
      </c>
      <c r="G13187" s="22" t="s">
        <v>137</v>
      </c>
      <c r="H13187" s="22" t="s">
        <v>138</v>
      </c>
      <c r="I13187" s="26">
        <v>43661.625706018502</v>
      </c>
      <c r="J13187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187" s="24" t="s">
        <v>16891</v>
      </c>
      <c r="L13187" s="28" t="s">
        <v>51</v>
      </c>
      <c r="M13187" s="28" t="s">
        <v>51</v>
      </c>
      <c r="N13187" s="27">
        <v>0</v>
      </c>
    </row>
    <row r="13188" spans="1:14" x14ac:dyDescent="0.15">
      <c r="A13188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13188" s="24" t="s">
        <v>1406</v>
      </c>
      <c r="C13188" s="25">
        <v>500000</v>
      </c>
      <c r="D13188" s="22" t="s">
        <v>17739</v>
      </c>
      <c r="E13188" s="22" t="s">
        <v>15886</v>
      </c>
      <c r="F13188" s="23" t="str">
        <f>HYPERLINK("https://www.spark-marketing.ru/Card/Lot/72107242", "Оказание услуг по организации участия гостей и обучающихся НГУ в различных мероприятиях научно-образовательного, общекультурного, спортивного характера (конференции, семинары, олимпиады, школы, турниры, соревнования, региональные и общероссийские сту...")</f>
        <v>Оказание услуг по организации участия гостей и обучающихся НГУ в различных мероприятиях научно-образовательного, общекультурного, спортивного характера (конференции, семинары, олимпиады, школы, турниры, соревнования, региональные и общероссийские сту...</v>
      </c>
      <c r="G13188" s="22" t="s">
        <v>195</v>
      </c>
      <c r="H13188" s="22" t="s">
        <v>195</v>
      </c>
      <c r="I13188" s="26">
        <v>43661.628425925897</v>
      </c>
      <c r="J13188" s="28" t="s">
        <v>51</v>
      </c>
      <c r="K13188" s="28" t="s">
        <v>51</v>
      </c>
      <c r="L13188" s="28" t="s">
        <v>51</v>
      </c>
      <c r="M13188" s="28" t="s">
        <v>51</v>
      </c>
      <c r="N13188" s="28" t="s">
        <v>51</v>
      </c>
    </row>
    <row r="13189" spans="1:14" x14ac:dyDescent="0.15">
      <c r="A13189" s="23" t="str">
        <f>HYPERLINK("https://www.spark-marketing.ru/Card/Person/61291", "МБОУ ""Тучковская СОШ №3""")</f>
        <v>МБОУ "Тучковская СОШ №3"</v>
      </c>
      <c r="B13189" s="24" t="s">
        <v>17740</v>
      </c>
      <c r="C13189" s="25">
        <v>398160</v>
      </c>
      <c r="D13189" s="22" t="s">
        <v>17741</v>
      </c>
      <c r="E13189" s="22" t="s">
        <v>48</v>
      </c>
      <c r="F13189" s="23" t="str">
        <f>HYPERLINK("https://www.spark-marketing.ru/Card/Lot/72095427", "Оказание услуг по организации питания в летнем оздоровительном лагере с дневным пребыванием детей")</f>
        <v>Оказание услуг по организации питания в летнем оздоровительном лагере с дневным пребыванием детей</v>
      </c>
      <c r="G13189" s="22" t="s">
        <v>49</v>
      </c>
      <c r="H13189" s="22" t="s">
        <v>2874</v>
      </c>
      <c r="I13189" s="26">
        <v>43661.659675925897</v>
      </c>
      <c r="J13189" s="28" t="s">
        <v>51</v>
      </c>
      <c r="K13189" s="28" t="s">
        <v>51</v>
      </c>
      <c r="L13189" s="28" t="s">
        <v>51</v>
      </c>
      <c r="M13189" s="28" t="s">
        <v>51</v>
      </c>
      <c r="N13189" s="28" t="s">
        <v>51</v>
      </c>
    </row>
    <row r="13190" spans="1:14" x14ac:dyDescent="0.2">
      <c r="A13190" s="23" t="s">
        <v>114</v>
      </c>
      <c r="B13190" s="28" t="s">
        <v>51</v>
      </c>
      <c r="C13190" s="25">
        <v>7755930</v>
      </c>
      <c r="D13190" s="22" t="s">
        <v>17742</v>
      </c>
      <c r="E13190" s="22" t="s">
        <v>48</v>
      </c>
      <c r="F13190" s="23" t="str">
        <f t="shared" ref="F13190:F13196" si="435">HYPERLINK("https://www.spark-marketing.ru/Card/Lot/72105509", "Оказание услуг по организации горячего питания")</f>
        <v>Оказание услуг по организации горячего питания</v>
      </c>
      <c r="G13190" s="22" t="s">
        <v>51</v>
      </c>
      <c r="H13190" s="22" t="s">
        <v>51</v>
      </c>
      <c r="I13190" s="26">
        <v>43661.625694444403</v>
      </c>
      <c r="J13190" s="23" t="str">
        <f t="shared" ref="J13190:J13196" si="436">HYPERLINK("https://www.spark-marketing.ru/Card/Person/33643", "ООО ""ТВЕРСКОЙ КОМБИНАТ ШКОЛЬНОГО ПИТАНИЯ""")</f>
        <v>ООО "ТВЕРСКОЙ КОМБИНАТ ШКОЛЬНОГО ПИТАНИЯ"</v>
      </c>
      <c r="K13190" s="24" t="s">
        <v>16891</v>
      </c>
      <c r="L13190" s="28" t="s">
        <v>51</v>
      </c>
      <c r="M13190" s="25">
        <v>7755930</v>
      </c>
      <c r="N13190" s="27">
        <v>0</v>
      </c>
    </row>
    <row r="13191" spans="1:14" hidden="1" outlineLevel="1" x14ac:dyDescent="0.2">
      <c r="A13191" s="23" t="str">
        <f>HYPERLINK("https://www.spark-marketing.ru/Card/Person/48804", "МОУ СОШ № 43")</f>
        <v>МОУ СОШ № 43</v>
      </c>
      <c r="B13191" s="24" t="s">
        <v>17743</v>
      </c>
      <c r="C13191" s="25">
        <v>1909410</v>
      </c>
      <c r="D13191" s="22" t="s">
        <v>17742</v>
      </c>
      <c r="E13191" s="22" t="s">
        <v>48</v>
      </c>
      <c r="F13191" s="23" t="str">
        <f t="shared" si="435"/>
        <v>Оказание услуг по организации горячего питания</v>
      </c>
      <c r="G13191" s="22" t="s">
        <v>137</v>
      </c>
      <c r="H13191" s="22" t="s">
        <v>138</v>
      </c>
      <c r="I13191" s="26">
        <v>43661.625694444403</v>
      </c>
      <c r="J13191" s="23" t="str">
        <f t="shared" si="436"/>
        <v>ООО "ТВЕРСКОЙ КОМБИНАТ ШКОЛЬНОГО ПИТАНИЯ"</v>
      </c>
      <c r="K13191" s="24" t="s">
        <v>16891</v>
      </c>
      <c r="L13191" s="28" t="s">
        <v>51</v>
      </c>
      <c r="M13191" s="28" t="s">
        <v>51</v>
      </c>
      <c r="N13191" s="27">
        <v>0</v>
      </c>
    </row>
    <row r="13192" spans="1:14" hidden="1" outlineLevel="1" x14ac:dyDescent="0.2">
      <c r="A13192" s="23" t="str">
        <f>HYPERLINK("https://www.spark-marketing.ru/Card/Person/146219", "МОУ СОШ №22")</f>
        <v>МОУ СОШ №22</v>
      </c>
      <c r="B13192" s="24" t="s">
        <v>17744</v>
      </c>
      <c r="C13192" s="25">
        <v>983040</v>
      </c>
      <c r="D13192" s="22" t="s">
        <v>17742</v>
      </c>
      <c r="E13192" s="22" t="s">
        <v>48</v>
      </c>
      <c r="F13192" s="23" t="str">
        <f t="shared" si="435"/>
        <v>Оказание услуг по организации горячего питания</v>
      </c>
      <c r="G13192" s="22" t="s">
        <v>51</v>
      </c>
      <c r="H13192" s="22" t="s">
        <v>51</v>
      </c>
      <c r="I13192" s="26">
        <v>43661.625694444403</v>
      </c>
      <c r="J13192" s="23" t="str">
        <f t="shared" si="436"/>
        <v>ООО "ТВЕРСКОЙ КОМБИНАТ ШКОЛЬНОГО ПИТАНИЯ"</v>
      </c>
      <c r="K13192" s="24" t="s">
        <v>16891</v>
      </c>
      <c r="L13192" s="28" t="s">
        <v>51</v>
      </c>
      <c r="M13192" s="28" t="s">
        <v>51</v>
      </c>
      <c r="N13192" s="27">
        <v>0</v>
      </c>
    </row>
    <row r="13193" spans="1:14" hidden="1" outlineLevel="1" x14ac:dyDescent="0.2">
      <c r="A13193" s="23" t="str">
        <f>HYPERLINK("https://www.spark-marketing.ru/Card/Person/999267", "МОУ ""ГИМНАЗИЯ № 10""")</f>
        <v>МОУ "ГИМНАЗИЯ № 10"</v>
      </c>
      <c r="B13193" s="24" t="s">
        <v>17745</v>
      </c>
      <c r="C13193" s="25">
        <v>753660</v>
      </c>
      <c r="D13193" s="22" t="s">
        <v>17742</v>
      </c>
      <c r="E13193" s="22" t="s">
        <v>48</v>
      </c>
      <c r="F13193" s="23" t="str">
        <f t="shared" si="435"/>
        <v>Оказание услуг по организации горячего питания</v>
      </c>
      <c r="G13193" s="22" t="s">
        <v>51</v>
      </c>
      <c r="H13193" s="22" t="s">
        <v>51</v>
      </c>
      <c r="I13193" s="26">
        <v>43661.625694444403</v>
      </c>
      <c r="J13193" s="23" t="str">
        <f t="shared" si="436"/>
        <v>ООО "ТВЕРСКОЙ КОМБИНАТ ШКОЛЬНОГО ПИТАНИЯ"</v>
      </c>
      <c r="K13193" s="24" t="s">
        <v>16891</v>
      </c>
      <c r="L13193" s="28" t="s">
        <v>51</v>
      </c>
      <c r="M13193" s="28" t="s">
        <v>51</v>
      </c>
      <c r="N13193" s="27">
        <v>0</v>
      </c>
    </row>
    <row r="13194" spans="1:14" hidden="1" outlineLevel="1" x14ac:dyDescent="0.2">
      <c r="A13194" s="23" t="str">
        <f>HYPERLINK("https://www.spark-marketing.ru/Card/Person/999377", "МОУ СОШ № 11")</f>
        <v>МОУ СОШ № 11</v>
      </c>
      <c r="B13194" s="24" t="s">
        <v>17746</v>
      </c>
      <c r="C13194" s="25">
        <v>769980</v>
      </c>
      <c r="D13194" s="22" t="s">
        <v>17742</v>
      </c>
      <c r="E13194" s="22" t="s">
        <v>48</v>
      </c>
      <c r="F13194" s="23" t="str">
        <f t="shared" si="435"/>
        <v>Оказание услуг по организации горячего питания</v>
      </c>
      <c r="G13194" s="22" t="s">
        <v>51</v>
      </c>
      <c r="H13194" s="22" t="s">
        <v>51</v>
      </c>
      <c r="I13194" s="26">
        <v>43661.625694444403</v>
      </c>
      <c r="J13194" s="23" t="str">
        <f t="shared" si="436"/>
        <v>ООО "ТВЕРСКОЙ КОМБИНАТ ШКОЛЬНОГО ПИТАНИЯ"</v>
      </c>
      <c r="K13194" s="24" t="s">
        <v>16891</v>
      </c>
      <c r="L13194" s="28" t="s">
        <v>51</v>
      </c>
      <c r="M13194" s="28" t="s">
        <v>51</v>
      </c>
      <c r="N13194" s="27">
        <v>0</v>
      </c>
    </row>
    <row r="13195" spans="1:14" hidden="1" outlineLevel="1" x14ac:dyDescent="0.2">
      <c r="A13195" s="23" t="str">
        <f>HYPERLINK("https://www.spark-marketing.ru/Card/Person/1024466", "МОУ СОШ №39")</f>
        <v>МОУ СОШ №39</v>
      </c>
      <c r="B13195" s="24" t="s">
        <v>17747</v>
      </c>
      <c r="C13195" s="25">
        <v>1375110</v>
      </c>
      <c r="D13195" s="22" t="s">
        <v>17742</v>
      </c>
      <c r="E13195" s="22" t="s">
        <v>48</v>
      </c>
      <c r="F13195" s="23" t="str">
        <f t="shared" si="435"/>
        <v>Оказание услуг по организации горячего питания</v>
      </c>
      <c r="G13195" s="22" t="s">
        <v>51</v>
      </c>
      <c r="H13195" s="22" t="s">
        <v>51</v>
      </c>
      <c r="I13195" s="26">
        <v>43661.625694444403</v>
      </c>
      <c r="J13195" s="23" t="str">
        <f t="shared" si="436"/>
        <v>ООО "ТВЕРСКОЙ КОМБИНАТ ШКОЛЬНОГО ПИТАНИЯ"</v>
      </c>
      <c r="K13195" s="24" t="s">
        <v>16891</v>
      </c>
      <c r="L13195" s="28" t="s">
        <v>51</v>
      </c>
      <c r="M13195" s="28" t="s">
        <v>51</v>
      </c>
      <c r="N13195" s="27">
        <v>0</v>
      </c>
    </row>
    <row r="13196" spans="1:14" hidden="1" outlineLevel="1" x14ac:dyDescent="0.2">
      <c r="A13196" s="23" t="str">
        <f>HYPERLINK("https://www.spark-marketing.ru/Card/Person/4354154", "МОУ СОШ №51")</f>
        <v>МОУ СОШ №51</v>
      </c>
      <c r="B13196" s="24" t="s">
        <v>17748</v>
      </c>
      <c r="C13196" s="25">
        <v>1964730</v>
      </c>
      <c r="D13196" s="22" t="s">
        <v>17742</v>
      </c>
      <c r="E13196" s="22" t="s">
        <v>48</v>
      </c>
      <c r="F13196" s="23" t="str">
        <f t="shared" si="435"/>
        <v>Оказание услуг по организации горячего питания</v>
      </c>
      <c r="G13196" s="22" t="s">
        <v>137</v>
      </c>
      <c r="H13196" s="22" t="s">
        <v>138</v>
      </c>
      <c r="I13196" s="26">
        <v>43661.625694444403</v>
      </c>
      <c r="J13196" s="23" t="str">
        <f t="shared" si="436"/>
        <v>ООО "ТВЕРСКОЙ КОМБИНАТ ШКОЛЬНОГО ПИТАНИЯ"</v>
      </c>
      <c r="K13196" s="24" t="s">
        <v>16891</v>
      </c>
      <c r="L13196" s="28" t="s">
        <v>51</v>
      </c>
      <c r="M13196" s="28" t="s">
        <v>51</v>
      </c>
      <c r="N13196" s="27">
        <v>0</v>
      </c>
    </row>
    <row r="13197" spans="1:14" x14ac:dyDescent="0.15">
      <c r="A13197" s="23" t="str">
        <f>HYPERLINK("https://www.spark-marketing.ru/Card/Person/88995", "МОУ СОШ № 5")</f>
        <v>МОУ СОШ № 5</v>
      </c>
      <c r="B13197" s="24" t="s">
        <v>17749</v>
      </c>
      <c r="C13197" s="25">
        <v>1304320</v>
      </c>
      <c r="D13197" s="22" t="s">
        <v>17750</v>
      </c>
      <c r="E13197" s="22" t="s">
        <v>48</v>
      </c>
      <c r="F13197" s="23" t="str">
        <f>HYPERLINK("https://www.spark-marketing.ru/Card/Lot/72105511", "Оказание услуг по организации горячего питания")</f>
        <v>Оказание услуг по организации горячего питания</v>
      </c>
      <c r="G13197" s="22" t="s">
        <v>137</v>
      </c>
      <c r="H13197" s="22" t="s">
        <v>138</v>
      </c>
      <c r="I13197" s="26">
        <v>43661.625879629602</v>
      </c>
      <c r="J13197" s="28" t="s">
        <v>51</v>
      </c>
      <c r="K13197" s="28" t="s">
        <v>51</v>
      </c>
      <c r="L13197" s="28" t="s">
        <v>51</v>
      </c>
      <c r="M13197" s="28" t="s">
        <v>51</v>
      </c>
      <c r="N13197" s="28" t="s">
        <v>51</v>
      </c>
    </row>
    <row r="13198" spans="1:14" ht="12.75" hidden="1" outlineLevel="1" x14ac:dyDescent="0.2">
      <c r="A13198" s="23" t="str">
        <f>HYPERLINK("https://www.spark-marketing.ru/Card/Person/88995", "МОУ СОШ № 5")</f>
        <v>МОУ СОШ № 5</v>
      </c>
      <c r="B13198" s="24" t="s">
        <v>17749</v>
      </c>
      <c r="C13198" s="25">
        <v>1304320</v>
      </c>
      <c r="D13198" s="22" t="s">
        <v>17750</v>
      </c>
      <c r="E13198" s="22" t="s">
        <v>48</v>
      </c>
      <c r="F13198" s="23" t="str">
        <f>HYPERLINK("https://www.spark-marketing.ru/Card/Lot/72105511", "Оказание услуг по организации горячего питания")</f>
        <v>Оказание услуг по организации горячего питания</v>
      </c>
      <c r="G13198" s="22" t="s">
        <v>137</v>
      </c>
      <c r="H13198" s="22" t="s">
        <v>138</v>
      </c>
      <c r="I13198" s="26">
        <v>43661.625879629602</v>
      </c>
      <c r="J13198" s="23" t="str">
        <f>HYPERLINK("https://www.spark-marketing.ru/Card/Person/610902", "ООО ""РАТИБОР""")</f>
        <v>ООО "РАТИБОР"</v>
      </c>
      <c r="K13198" s="24" t="s">
        <v>17751</v>
      </c>
      <c r="L13198" s="22" t="s">
        <v>10</v>
      </c>
      <c r="M13198" s="25">
        <v>1304000</v>
      </c>
      <c r="N13198" s="27">
        <v>2.453385672227674E-4</v>
      </c>
    </row>
    <row r="13199" spans="1:14" hidden="1" outlineLevel="1" x14ac:dyDescent="0.2">
      <c r="A13199" s="23" t="str">
        <f>HYPERLINK("https://www.spark-marketing.ru/Card/Person/88995", "МОУ СОШ № 5")</f>
        <v>МОУ СОШ № 5</v>
      </c>
      <c r="B13199" s="24" t="s">
        <v>17749</v>
      </c>
      <c r="C13199" s="25">
        <v>1304320</v>
      </c>
      <c r="D13199" s="22" t="s">
        <v>17750</v>
      </c>
      <c r="E13199" s="22" t="s">
        <v>48</v>
      </c>
      <c r="F13199" s="23" t="str">
        <f>HYPERLINK("https://www.spark-marketing.ru/Card/Lot/72105511", "Оказание услуг по организации горячего питания")</f>
        <v>Оказание услуг по организации горячего питания</v>
      </c>
      <c r="G13199" s="22" t="s">
        <v>137</v>
      </c>
      <c r="H13199" s="22" t="s">
        <v>138</v>
      </c>
      <c r="I13199" s="26">
        <v>43661.625879629602</v>
      </c>
      <c r="J13199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199" s="24" t="s">
        <v>16891</v>
      </c>
      <c r="L13199" s="28" t="s">
        <v>51</v>
      </c>
      <c r="M13199" s="25">
        <v>1304320</v>
      </c>
      <c r="N13199" s="27">
        <v>0</v>
      </c>
    </row>
    <row r="13200" spans="1:14" ht="12.75" x14ac:dyDescent="0.2">
      <c r="A13200" s="23" t="str">
        <f>HYPERLINK("https://www.spark-marketing.ru/Card/Person/1041388", "МОУ - СОШ № 4 Г. УНЕЧА")</f>
        <v>МОУ - СОШ № 4 Г. УНЕЧА</v>
      </c>
      <c r="B13200" s="24" t="s">
        <v>17752</v>
      </c>
      <c r="C13200" s="25">
        <v>418455</v>
      </c>
      <c r="D13200" s="22" t="s">
        <v>17753</v>
      </c>
      <c r="E13200" s="22" t="s">
        <v>48</v>
      </c>
      <c r="F13200" s="23" t="str">
        <f>HYPERLINK("https://www.spark-marketing.ru/Card/Lot/72098930", "Услуги по организации горячего питания для учащихся школы")</f>
        <v>Услуги по организации горячего питания для учащихся школы</v>
      </c>
      <c r="G13200" s="22" t="s">
        <v>475</v>
      </c>
      <c r="H13200" s="22" t="s">
        <v>6226</v>
      </c>
      <c r="I13200" s="26">
        <v>43661.603692129604</v>
      </c>
      <c r="J13200" s="23" t="str">
        <f>HYPERLINK("https://www.spark-marketing.ru/Card/Person/260705", "ПО ""КООПЕРАТОР"" УНЕЧСКОГО РАЙОНА")</f>
        <v>ПО "КООПЕРАТОР" УНЕЧСКОГО РАЙОНА</v>
      </c>
      <c r="K13200" s="24" t="s">
        <v>3705</v>
      </c>
      <c r="L13200" s="22" t="s">
        <v>10</v>
      </c>
      <c r="M13200" s="25">
        <v>418455</v>
      </c>
      <c r="N13200" s="27">
        <v>0</v>
      </c>
    </row>
    <row r="13201" spans="1:14" x14ac:dyDescent="0.15">
      <c r="A13201" s="23" t="str">
        <f>HYPERLINK("https://www.spark-marketing.ru/Card/Person/60570", "МБДОУ № 52 ""БЕРЁЗКА""")</f>
        <v>МБДОУ № 52 "БЕРЁЗКА"</v>
      </c>
      <c r="B13201" s="24" t="s">
        <v>17754</v>
      </c>
      <c r="C13201" s="25">
        <v>37272</v>
      </c>
      <c r="D13201" s="22" t="s">
        <v>17755</v>
      </c>
      <c r="E13201" s="22" t="s">
        <v>358</v>
      </c>
      <c r="F13201" s="23" t="str">
        <f>HYPERLINK("https://www.spark-marketing.ru/Card/Lot/72093297", "Оказание услуг по предоставлению лицензии на право использовать компьютерное программное обеспечение и предоставление сертификата на программное обеспечение «Аверс: Расчет меню питания», «Аверс: Заведующий ДОУ»")</f>
        <v>Оказание услуг по предоставлению лицензии на право использовать компьютерное программное обеспечение и предоставление сертификата на программное обеспечение «Аверс: Расчет меню питания», «Аверс: Заведующий ДОУ»</v>
      </c>
      <c r="G13201" s="22" t="s">
        <v>49</v>
      </c>
      <c r="H13201" s="22" t="s">
        <v>537</v>
      </c>
      <c r="I13201" s="26">
        <v>43661.596956018497</v>
      </c>
      <c r="J13201" s="28" t="s">
        <v>51</v>
      </c>
      <c r="K13201" s="28" t="s">
        <v>51</v>
      </c>
      <c r="L13201" s="28" t="s">
        <v>51</v>
      </c>
      <c r="M13201" s="28" t="s">
        <v>51</v>
      </c>
      <c r="N13201" s="28" t="s">
        <v>51</v>
      </c>
    </row>
    <row r="13202" spans="1:14" ht="12.75" x14ac:dyDescent="0.2">
      <c r="A13202" s="23" t="str">
        <f>HYPERLINK("https://www.spark-marketing.ru/Card/Person/1042334", "МОУ - СОШ № 5")</f>
        <v>МОУ - СОШ № 5</v>
      </c>
      <c r="B13202" s="24" t="s">
        <v>17756</v>
      </c>
      <c r="C13202" s="25">
        <v>385730</v>
      </c>
      <c r="D13202" s="22" t="s">
        <v>17757</v>
      </c>
      <c r="E13202" s="22" t="s">
        <v>48</v>
      </c>
      <c r="F13202" s="23" t="str">
        <f>HYPERLINK("https://www.spark-marketing.ru/Card/Lot/72098931", "Услуги по организации горячего питания для учащихся школы")</f>
        <v>Услуги по организации горячего питания для учащихся школы</v>
      </c>
      <c r="G13202" s="22" t="s">
        <v>475</v>
      </c>
      <c r="H13202" s="22" t="s">
        <v>6226</v>
      </c>
      <c r="I13202" s="26">
        <v>43661.606053240699</v>
      </c>
      <c r="J13202" s="23" t="str">
        <f>HYPERLINK("https://www.spark-marketing.ru/Card/Person/260705", "ПО ""КООПЕРАТОР"" УНЕЧСКОГО РАЙОНА")</f>
        <v>ПО "КООПЕРАТОР" УНЕЧСКОГО РАЙОНА</v>
      </c>
      <c r="K13202" s="24" t="s">
        <v>3705</v>
      </c>
      <c r="L13202" s="22" t="s">
        <v>10</v>
      </c>
      <c r="M13202" s="25">
        <v>385730</v>
      </c>
      <c r="N13202" s="27">
        <v>0</v>
      </c>
    </row>
    <row r="13203" spans="1:14" x14ac:dyDescent="0.15">
      <c r="A13203" s="23" t="str">
        <f>HYPERLINK("https://www.spark-marketing.ru/Card/Person/4453825", "ООО ""НЗМП""")</f>
        <v>ООО "НЗМП"</v>
      </c>
      <c r="B13203" s="24" t="s">
        <v>17758</v>
      </c>
      <c r="C13203" s="28" t="s">
        <v>51</v>
      </c>
      <c r="D13203" s="22" t="s">
        <v>17759</v>
      </c>
      <c r="E13203" s="22" t="s">
        <v>17760</v>
      </c>
      <c r="F13203" s="23" t="str">
        <f>HYPERLINK("https://www.spark-marketing.ru/Card/Lot/72095067", "Услуги по организации питания и раздаче молока для работников ООО «НЗМП» в 2020-2022гг.")</f>
        <v>Услуги по организации питания и раздаче молока для работников ООО «НЗМП» в 2020-2022гг.</v>
      </c>
      <c r="G13203" s="22" t="s">
        <v>128</v>
      </c>
      <c r="H13203" s="22" t="s">
        <v>15996</v>
      </c>
      <c r="I13203" s="26">
        <v>43661.624305555597</v>
      </c>
      <c r="J13203" s="28" t="s">
        <v>51</v>
      </c>
      <c r="K13203" s="28" t="s">
        <v>51</v>
      </c>
      <c r="L13203" s="28" t="s">
        <v>51</v>
      </c>
      <c r="M13203" s="28" t="s">
        <v>51</v>
      </c>
      <c r="N13203" s="28" t="s">
        <v>51</v>
      </c>
    </row>
    <row r="13204" spans="1:14" ht="12.75" x14ac:dyDescent="0.2">
      <c r="A13204" s="23" t="str">
        <f>HYPERLINK("https://www.spark-marketing.ru/Card/Person/1039889", "МОУ СОШ № 1 ГОРОДА УНЕЧА")</f>
        <v>МОУ СОШ № 1 ГОРОДА УНЕЧА</v>
      </c>
      <c r="B13204" s="24" t="s">
        <v>17761</v>
      </c>
      <c r="C13204" s="25">
        <v>379015</v>
      </c>
      <c r="D13204" s="22" t="s">
        <v>17762</v>
      </c>
      <c r="E13204" s="22" t="s">
        <v>48</v>
      </c>
      <c r="F13204" s="23" t="str">
        <f>HYPERLINK("https://www.spark-marketing.ru/Card/Lot/72098883", "Услуги по организации горячего питания для учащихся школы")</f>
        <v>Услуги по организации горячего питания для учащихся школы</v>
      </c>
      <c r="G13204" s="22" t="s">
        <v>475</v>
      </c>
      <c r="H13204" s="22" t="s">
        <v>6226</v>
      </c>
      <c r="I13204" s="26">
        <v>43661.6010648148</v>
      </c>
      <c r="J13204" s="23" t="str">
        <f>HYPERLINK("https://www.spark-marketing.ru/Card/Person/260705", "ПО ""КООПЕРАТОР"" УНЕЧСКОГО РАЙОНА")</f>
        <v>ПО "КООПЕРАТОР" УНЕЧСКОГО РАЙОНА</v>
      </c>
      <c r="K13204" s="24" t="s">
        <v>3705</v>
      </c>
      <c r="L13204" s="22" t="s">
        <v>10</v>
      </c>
      <c r="M13204" s="25">
        <v>379015</v>
      </c>
      <c r="N13204" s="27">
        <v>0</v>
      </c>
    </row>
    <row r="13205" spans="1:14" x14ac:dyDescent="0.15">
      <c r="A13205" s="23" t="str">
        <f>HYPERLINK("https://www.spark-marketing.ru/Card/Person/24580", "ГКУ ""АХУ""")</f>
        <v>ГКУ "АХУ"</v>
      </c>
      <c r="B13205" s="24" t="s">
        <v>4853</v>
      </c>
      <c r="C13205" s="25">
        <v>828122.56</v>
      </c>
      <c r="D13205" s="22" t="s">
        <v>17763</v>
      </c>
      <c r="E13205" s="22" t="s">
        <v>17764</v>
      </c>
      <c r="F13205" s="23" t="str">
        <f>HYPERLINK("https://www.spark-marketing.ru/Card/Lot/72100617", "на поставку электрических товаров и оборудования")</f>
        <v>на поставку электрических товаров и оборудования</v>
      </c>
      <c r="G13205" s="22" t="s">
        <v>132</v>
      </c>
      <c r="H13205" s="22" t="s">
        <v>587</v>
      </c>
      <c r="I13205" s="26">
        <v>43661.619386574101</v>
      </c>
      <c r="J13205" s="23" t="str">
        <f>HYPERLINK("https://www.spark-marketing.ru/Card/Person/1974203", "ООО ""М-ГРУПП""")</f>
        <v>ООО "М-ГРУПП"</v>
      </c>
      <c r="K13205" s="24" t="s">
        <v>17765</v>
      </c>
      <c r="L13205" s="28" t="s">
        <v>51</v>
      </c>
      <c r="M13205" s="28" t="s">
        <v>51</v>
      </c>
      <c r="N13205" s="28" t="s">
        <v>51</v>
      </c>
    </row>
    <row r="13206" spans="1:14" hidden="1" outlineLevel="1" x14ac:dyDescent="0.15">
      <c r="A13206" s="23" t="str">
        <f>HYPERLINK("https://www.spark-marketing.ru/Card/Person/24580", "ГКУ ""АХУ""")</f>
        <v>ГКУ "АХУ"</v>
      </c>
      <c r="B13206" s="24" t="s">
        <v>4853</v>
      </c>
      <c r="C13206" s="25">
        <v>828122.56</v>
      </c>
      <c r="D13206" s="22" t="s">
        <v>17763</v>
      </c>
      <c r="E13206" s="22" t="s">
        <v>17764</v>
      </c>
      <c r="F13206" s="23" t="str">
        <f>HYPERLINK("https://www.spark-marketing.ru/Card/Lot/72100617", "на поставку электрических товаров и оборудования")</f>
        <v>на поставку электрических товаров и оборудования</v>
      </c>
      <c r="G13206" s="22" t="s">
        <v>132</v>
      </c>
      <c r="H13206" s="22" t="s">
        <v>587</v>
      </c>
      <c r="I13206" s="26">
        <v>43661.619386574101</v>
      </c>
      <c r="J13206" s="23" t="str">
        <f>HYPERLINK("https://www.spark-marketing.ru/Card/Person/1974203", "ООО ""М-ГРУПП""")</f>
        <v>ООО "М-ГРУПП"</v>
      </c>
      <c r="K13206" s="24" t="s">
        <v>17765</v>
      </c>
      <c r="L13206" s="22" t="s">
        <v>10</v>
      </c>
      <c r="M13206" s="28" t="s">
        <v>51</v>
      </c>
      <c r="N13206" s="28" t="s">
        <v>51</v>
      </c>
    </row>
    <row r="13207" spans="1:14" x14ac:dyDescent="0.15">
      <c r="A13207" s="23" t="str">
        <f>HYPERLINK("https://www.spark-marketing.ru/Card/Person/1045311", "МБУ ""КМЦ""")</f>
        <v>МБУ "КМЦ"</v>
      </c>
      <c r="B13207" s="24" t="s">
        <v>17766</v>
      </c>
      <c r="C13207" s="25">
        <v>14280</v>
      </c>
      <c r="D13207" s="22" t="s">
        <v>17767</v>
      </c>
      <c r="E13207" s="22" t="s">
        <v>6915</v>
      </c>
      <c r="F13207" s="23" t="str">
        <f>HYPERLINK("https://www.spark-marketing.ru/Card/Lot/72090249", "Оказание услуг по организации питания и проживания волонтеров")</f>
        <v>Оказание услуг по организации питания и проживания волонтеров</v>
      </c>
      <c r="G13207" s="22" t="s">
        <v>49</v>
      </c>
      <c r="H13207" s="22" t="s">
        <v>4509</v>
      </c>
      <c r="I13207" s="26">
        <v>43661.545231481497</v>
      </c>
      <c r="J13207" s="28" t="s">
        <v>51</v>
      </c>
      <c r="K13207" s="28" t="s">
        <v>51</v>
      </c>
      <c r="L13207" s="28" t="s">
        <v>51</v>
      </c>
      <c r="M13207" s="28" t="s">
        <v>51</v>
      </c>
      <c r="N13207" s="28" t="s">
        <v>51</v>
      </c>
    </row>
    <row r="13208" spans="1:14" x14ac:dyDescent="0.15">
      <c r="A13208" s="23" t="str">
        <f>HYPERLINK("https://www.spark-marketing.ru/Card/Person/1028135", "МБОУ ""КАЛИНИНСКАЯ СОШ""")</f>
        <v>МБОУ "КАЛИНИНСКАЯ СОШ"</v>
      </c>
      <c r="B13208" s="24" t="s">
        <v>12772</v>
      </c>
      <c r="C13208" s="25">
        <v>1476630</v>
      </c>
      <c r="D13208" s="22" t="s">
        <v>17768</v>
      </c>
      <c r="E13208" s="22" t="s">
        <v>96</v>
      </c>
      <c r="F13208" s="23" t="str">
        <f>HYPERLINK("https://www.spark-marketing.ru/Card/Lot/72101088", "Услуги по организации горячего питания воспитанников структурного подразделения для детей дошкольного возраста")</f>
        <v>Услуги по организации горячего питания воспитанников структурного подразделения для детей дошкольного возраста</v>
      </c>
      <c r="G13208" s="22" t="s">
        <v>153</v>
      </c>
      <c r="H13208" s="22" t="s">
        <v>153</v>
      </c>
      <c r="I13208" s="26">
        <v>43661.549421296302</v>
      </c>
      <c r="J13208" s="23" t="str">
        <f>HYPERLINK("https://www.spark-marketing.ru/Card/Person/99923", "Антонов Леонид Валентинович")</f>
        <v>Антонов Леонид Валентинович</v>
      </c>
      <c r="K13208" s="24" t="s">
        <v>5257</v>
      </c>
      <c r="L13208" s="28" t="s">
        <v>51</v>
      </c>
      <c r="M13208" s="28" t="s">
        <v>51</v>
      </c>
      <c r="N13208" s="28" t="s">
        <v>51</v>
      </c>
    </row>
    <row r="13209" spans="1:14" ht="12.75" hidden="1" outlineLevel="1" x14ac:dyDescent="0.2">
      <c r="A13209" s="23" t="str">
        <f>HYPERLINK("https://www.spark-marketing.ru/Card/Person/1028135", "МБОУ ""КАЛИНИНСКАЯ СОШ""")</f>
        <v>МБОУ "КАЛИНИНСКАЯ СОШ"</v>
      </c>
      <c r="B13209" s="24" t="s">
        <v>12772</v>
      </c>
      <c r="C13209" s="25">
        <v>1476630</v>
      </c>
      <c r="D13209" s="22" t="s">
        <v>17768</v>
      </c>
      <c r="E13209" s="22" t="s">
        <v>96</v>
      </c>
      <c r="F13209" s="23" t="str">
        <f>HYPERLINK("https://www.spark-marketing.ru/Card/Lot/72101088", "Услуги по организации горячего питания воспитанников структурного подразделения для детей дошкольного возраста")</f>
        <v>Услуги по организации горячего питания воспитанников структурного подразделения для детей дошкольного возраста</v>
      </c>
      <c r="G13209" s="22" t="s">
        <v>153</v>
      </c>
      <c r="H13209" s="22" t="s">
        <v>153</v>
      </c>
      <c r="I13209" s="26">
        <v>43661.549421296302</v>
      </c>
      <c r="J13209" s="23" t="str">
        <f>HYPERLINK("https://www.spark-marketing.ru/Card/Person/99923", "Антонов Леонид Валентинович")</f>
        <v>Антонов Леонид Валентинович</v>
      </c>
      <c r="K13209" s="24" t="s">
        <v>5257</v>
      </c>
      <c r="L13209" s="22" t="s">
        <v>10</v>
      </c>
      <c r="M13209" s="25">
        <v>1469246.85</v>
      </c>
      <c r="N13209" s="27">
        <v>5.0000000000000001E-3</v>
      </c>
    </row>
    <row r="13210" spans="1:14" x14ac:dyDescent="0.15">
      <c r="A13210" s="23" t="str">
        <f>HYPERLINK("https://www.spark-marketing.ru/Card/Person/1004406", "МАОУ ""СОШ №27 С УИОП""")</f>
        <v>МАОУ "СОШ №27 С УИОП"</v>
      </c>
      <c r="B13210" s="24" t="s">
        <v>17769</v>
      </c>
      <c r="C13210" s="25">
        <v>7227285</v>
      </c>
      <c r="D13210" s="22" t="s">
        <v>17770</v>
      </c>
      <c r="E13210" s="22" t="s">
        <v>362</v>
      </c>
      <c r="F13210" s="23" t="str">
        <f>HYPERLINK("https://www.spark-marketing.ru/Card/Lot/72105367", "Оказание услуг по организации питания детей")</f>
        <v>Оказание услуг по организации питания детей</v>
      </c>
      <c r="G13210" s="22" t="s">
        <v>696</v>
      </c>
      <c r="H13210" s="22" t="s">
        <v>696</v>
      </c>
      <c r="I13210" s="26">
        <v>43661.545555555596</v>
      </c>
      <c r="J13210" s="28" t="s">
        <v>51</v>
      </c>
      <c r="K13210" s="28" t="s">
        <v>51</v>
      </c>
      <c r="L13210" s="22" t="s">
        <v>10</v>
      </c>
      <c r="M13210" s="28" t="s">
        <v>51</v>
      </c>
      <c r="N13210" s="28" t="s">
        <v>51</v>
      </c>
    </row>
    <row r="13211" spans="1:14" x14ac:dyDescent="0.15">
      <c r="A13211" s="23" t="str">
        <f>HYPERLINK("https://www.spark-marketing.ru/Card/Person/122046", "МБОУ ГИМНАЗИЯ ИМЕНИ А.И.ЯКОВЛЕВА")</f>
        <v>МБОУ ГИМНАЗИЯ ИМЕНИ А.И.ЯКОВЛЕВА</v>
      </c>
      <c r="B13211" s="24" t="s">
        <v>17771</v>
      </c>
      <c r="C13211" s="25">
        <v>3138131.2</v>
      </c>
      <c r="D13211" s="22" t="s">
        <v>17772</v>
      </c>
      <c r="E13211" s="22" t="s">
        <v>48</v>
      </c>
      <c r="F13211" s="23" t="str">
        <f>HYPERLINK("https://www.spark-marketing.ru/Card/Lot/72101664", "Оказание услуг по организации горячего школьного питания")</f>
        <v>Оказание услуг по организации горячего школьного питания</v>
      </c>
      <c r="G13211" s="22" t="s">
        <v>766</v>
      </c>
      <c r="H13211" s="22" t="s">
        <v>766</v>
      </c>
      <c r="I13211" s="26">
        <v>43661.576759259297</v>
      </c>
      <c r="J13211" s="23" t="str">
        <f>HYPERLINK("https://www.spark-marketing.ru/Card/Person/2091238", "Иванова Евгения Александровна")</f>
        <v>Иванова Евгения Александровна</v>
      </c>
      <c r="K13211" s="24" t="s">
        <v>17444</v>
      </c>
      <c r="L13211" s="22" t="s">
        <v>10</v>
      </c>
      <c r="M13211" s="28" t="s">
        <v>51</v>
      </c>
      <c r="N13211" s="28" t="s">
        <v>51</v>
      </c>
    </row>
    <row r="13212" spans="1:14" x14ac:dyDescent="0.15">
      <c r="A13212" s="23" t="str">
        <f>HYPERLINK("https://www.spark-marketing.ru/Card/Person/816480", "ОТДЕЛ МВД РОССИИ ПО СПАССКОМУ РАЙОНУ")</f>
        <v>ОТДЕЛ МВД РОССИИ ПО СПАССКОМУ РАЙОНУ</v>
      </c>
      <c r="B13212" s="24" t="s">
        <v>17773</v>
      </c>
      <c r="C13212" s="25">
        <v>45000</v>
      </c>
      <c r="D13212" s="22" t="s">
        <v>17774</v>
      </c>
      <c r="E13212" s="22" t="s">
        <v>96</v>
      </c>
      <c r="F13212" s="23" t="str">
        <f>HYPERLINK("https://www.spark-marketing.ru/Card/Lot/72091236", "Оказание услуг по организации питания (приготовлению и доставке), 150 шт")</f>
        <v>Оказание услуг по организации питания (приготовлению и доставке), 150 шт</v>
      </c>
      <c r="G13212" s="22" t="s">
        <v>217</v>
      </c>
      <c r="H13212" s="22" t="s">
        <v>622</v>
      </c>
      <c r="I13212" s="26">
        <v>43661.568993055596</v>
      </c>
      <c r="J13212" s="28" t="s">
        <v>51</v>
      </c>
      <c r="K13212" s="28" t="s">
        <v>51</v>
      </c>
      <c r="L13212" s="28" t="s">
        <v>51</v>
      </c>
      <c r="M13212" s="28" t="s">
        <v>51</v>
      </c>
      <c r="N13212" s="28" t="s">
        <v>51</v>
      </c>
    </row>
    <row r="13213" spans="1:14" x14ac:dyDescent="0.15">
      <c r="A13213" s="23" t="str">
        <f>HYPERLINK("https://www.spark-marketing.ru/Card/Person/816480", "ОТДЕЛ МВД РОССИИ ПО СПАССКОМУ РАЙОНУ")</f>
        <v>ОТДЕЛ МВД РОССИИ ПО СПАССКОМУ РАЙОНУ</v>
      </c>
      <c r="B13213" s="24" t="s">
        <v>17773</v>
      </c>
      <c r="C13213" s="25">
        <v>45000</v>
      </c>
      <c r="D13213" s="22" t="s">
        <v>17775</v>
      </c>
      <c r="E13213" s="22" t="s">
        <v>96</v>
      </c>
      <c r="F13213" s="23" t="str">
        <f>HYPERLINK("https://www.spark-marketing.ru/Card/Lot/72090862", "Оказание услуг по организации питания (приготовлению и доставке), 150 шт")</f>
        <v>Оказание услуг по организации питания (приготовлению и доставке), 150 шт</v>
      </c>
      <c r="G13213" s="22" t="s">
        <v>217</v>
      </c>
      <c r="H13213" s="22" t="s">
        <v>622</v>
      </c>
      <c r="I13213" s="26">
        <v>43661.564976851798</v>
      </c>
      <c r="J13213" s="28" t="s">
        <v>51</v>
      </c>
      <c r="K13213" s="28" t="s">
        <v>51</v>
      </c>
      <c r="L13213" s="28" t="s">
        <v>51</v>
      </c>
      <c r="M13213" s="28" t="s">
        <v>51</v>
      </c>
      <c r="N13213" s="28" t="s">
        <v>51</v>
      </c>
    </row>
    <row r="13214" spans="1:14" x14ac:dyDescent="0.15">
      <c r="A13214" s="23" t="str">
        <f>HYPERLINK("https://www.spark-marketing.ru/Card/Person/115309", "МБОУ СОШ №5")</f>
        <v>МБОУ СОШ №5</v>
      </c>
      <c r="B13214" s="24" t="s">
        <v>17776</v>
      </c>
      <c r="C13214" s="25">
        <v>3712016</v>
      </c>
      <c r="D13214" s="22" t="s">
        <v>17777</v>
      </c>
      <c r="E13214" s="22" t="s">
        <v>48</v>
      </c>
      <c r="F13214" s="23" t="str">
        <f>HYPERLINK("https://www.spark-marketing.ru/Card/Lot/72101910", "Оказание услуг по организации горячего школьного питания")</f>
        <v>Оказание услуг по организации горячего школьного питания</v>
      </c>
      <c r="G13214" s="22" t="s">
        <v>766</v>
      </c>
      <c r="H13214" s="22" t="s">
        <v>766</v>
      </c>
      <c r="I13214" s="26">
        <v>43661.572361111103</v>
      </c>
      <c r="J13214" s="23" t="str">
        <f>HYPERLINK("https://www.spark-marketing.ru/Card/Person/1504584", "ООО ""БИЗНЕС ФУД""")</f>
        <v>ООО "БИЗНЕС ФУД"</v>
      </c>
      <c r="K13214" s="24" t="s">
        <v>17491</v>
      </c>
      <c r="L13214" s="22" t="s">
        <v>10</v>
      </c>
      <c r="M13214" s="28" t="s">
        <v>51</v>
      </c>
      <c r="N13214" s="28" t="s">
        <v>51</v>
      </c>
    </row>
    <row r="13215" spans="1:14" x14ac:dyDescent="0.15">
      <c r="A13215" s="23" t="str">
        <f>HYPERLINK("https://www.spark-marketing.ru/Card/Person/1006362", "МАОУ СОШ №7")</f>
        <v>МАОУ СОШ №7</v>
      </c>
      <c r="B13215" s="24" t="s">
        <v>17778</v>
      </c>
      <c r="C13215" s="25">
        <v>2952000</v>
      </c>
      <c r="D13215" s="22" t="s">
        <v>17779</v>
      </c>
      <c r="E13215" s="22" t="s">
        <v>362</v>
      </c>
      <c r="F13215" s="23" t="str">
        <f>HYPERLINK("https://www.spark-marketing.ru/Card/Lot/72105630", "Оказание услуги по организации школьного питания")</f>
        <v>Оказание услуги по организации школьного питания</v>
      </c>
      <c r="G13215" s="22" t="s">
        <v>174</v>
      </c>
      <c r="H13215" s="22" t="s">
        <v>174</v>
      </c>
      <c r="I13215" s="26">
        <v>43661.576041666704</v>
      </c>
      <c r="J13215" s="28" t="s">
        <v>51</v>
      </c>
      <c r="K13215" s="28" t="s">
        <v>51</v>
      </c>
      <c r="L13215" s="28" t="s">
        <v>51</v>
      </c>
      <c r="M13215" s="28" t="s">
        <v>51</v>
      </c>
      <c r="N13215" s="28" t="s">
        <v>51</v>
      </c>
    </row>
    <row r="13216" spans="1:14" x14ac:dyDescent="0.15">
      <c r="A13216" s="23" t="str">
        <f>HYPERLINK("https://www.spark-marketing.ru/Card/Person/294861", "ОТДЕЛ МВД РОССИИ ПО ЛИСКИНСКОМУ РАЙОНУ")</f>
        <v>ОТДЕЛ МВД РОССИИ ПО ЛИСКИНСКОМУ РАЙОНУ</v>
      </c>
      <c r="B13216" s="24" t="s">
        <v>17780</v>
      </c>
      <c r="C13216" s="25">
        <v>686642.21</v>
      </c>
      <c r="D13216" s="22" t="s">
        <v>17781</v>
      </c>
      <c r="E13216" s="22" t="s">
        <v>48</v>
      </c>
      <c r="F13216" s="23" t="str">
        <f>HYPERLINK("https://www.spark-marketing.ru/Card/Lot/72099460", "оказание услуг по питанию лиц, содержащихся в ИВС")</f>
        <v>оказание услуг по питанию лиц, содержащихся в ИВС</v>
      </c>
      <c r="G13216" s="22" t="s">
        <v>82</v>
      </c>
      <c r="H13216" s="22" t="s">
        <v>82</v>
      </c>
      <c r="I13216" s="26">
        <v>43661.514699074098</v>
      </c>
      <c r="J13216" s="23" t="str">
        <f>HYPERLINK("https://www.spark-marketing.ru/Card/Person/5970638", "Тимашинов Юрий Николаевич")</f>
        <v>Тимашинов Юрий Николаевич</v>
      </c>
      <c r="K13216" s="24" t="s">
        <v>17782</v>
      </c>
      <c r="L13216" s="22" t="s">
        <v>10</v>
      </c>
      <c r="M13216" s="28" t="s">
        <v>51</v>
      </c>
      <c r="N13216" s="28" t="s">
        <v>51</v>
      </c>
    </row>
    <row r="13217" spans="1:14" x14ac:dyDescent="0.15">
      <c r="A13217" s="23" t="str">
        <f>HYPERLINK("https://www.spark-marketing.ru/Card/Person/1092322", "МАОУ ""СОШ №24 С УГЛУБЛЕННЫМ ИЗУЧЕНИЕМ ОТДЕЛЬНЫХ ПРЕДМЕТОВ""")</f>
        <v>МАОУ "СОШ №24 С УГЛУБЛЕННЫМ ИЗУЧЕНИЕМ ОТДЕЛЬНЫХ ПРЕДМЕТОВ"</v>
      </c>
      <c r="B13217" s="24" t="s">
        <v>17783</v>
      </c>
      <c r="C13217" s="25">
        <v>10369840</v>
      </c>
      <c r="D13217" s="22" t="s">
        <v>17784</v>
      </c>
      <c r="E13217" s="22" t="s">
        <v>362</v>
      </c>
      <c r="F13217" s="23" t="str">
        <f>HYPERLINK("https://www.spark-marketing.ru/Card/Lot/72105352", "услуга по организации питания")</f>
        <v>услуга по организации питания</v>
      </c>
      <c r="G13217" s="22" t="s">
        <v>696</v>
      </c>
      <c r="H13217" s="22" t="s">
        <v>696</v>
      </c>
      <c r="I13217" s="26">
        <v>43661.532048611101</v>
      </c>
      <c r="J13217" s="28" t="s">
        <v>51</v>
      </c>
      <c r="K13217" s="28" t="s">
        <v>51</v>
      </c>
      <c r="L13217" s="22" t="s">
        <v>10</v>
      </c>
      <c r="M13217" s="28" t="s">
        <v>51</v>
      </c>
      <c r="N13217" s="28" t="s">
        <v>51</v>
      </c>
    </row>
    <row r="13218" spans="1:14" x14ac:dyDescent="0.15">
      <c r="A13218" s="23" t="str">
        <f>HYPERLINK("https://www.spark-marketing.ru/Card/Person/1030035", "МБОУ ""СШ № 11""")</f>
        <v>МБОУ "СШ № 11"</v>
      </c>
      <c r="B13218" s="24" t="s">
        <v>12669</v>
      </c>
      <c r="C13218" s="25">
        <v>902286</v>
      </c>
      <c r="D13218" s="22" t="s">
        <v>17785</v>
      </c>
      <c r="E13218" s="22" t="s">
        <v>48</v>
      </c>
      <c r="F13218" s="23" t="str">
        <f>HYPERLINK("https://www.spark-marketing.ru/Card/Lot/72100500", "Оказание услуг по организации горячего питания и обеспечению горячим питанием учащихся МБОУ ""СШ № 11""")</f>
        <v>Оказание услуг по организации горячего питания и обеспечению горячим питанием учащихся МБОУ "СШ № 11"</v>
      </c>
      <c r="G13218" s="22" t="s">
        <v>460</v>
      </c>
      <c r="H13218" s="22" t="s">
        <v>461</v>
      </c>
      <c r="I13218" s="26">
        <v>43661.526076388902</v>
      </c>
      <c r="J13218" s="28" t="s">
        <v>51</v>
      </c>
      <c r="K13218" s="28" t="s">
        <v>51</v>
      </c>
      <c r="L13218" s="28" t="s">
        <v>51</v>
      </c>
      <c r="M13218" s="28" t="s">
        <v>51</v>
      </c>
      <c r="N13218" s="28" t="s">
        <v>51</v>
      </c>
    </row>
    <row r="13219" spans="1:14" x14ac:dyDescent="0.15">
      <c r="A13219" s="23" t="str">
        <f>HYPERLINK("https://www.spark-marketing.ru/Card/Person/1057882", "МО МВД РОССИИ ""РАЙЧИХИНСКОЕ""")</f>
        <v>МО МВД РОССИИ "РАЙЧИХИНСКОЕ"</v>
      </c>
      <c r="B13219" s="24" t="s">
        <v>13162</v>
      </c>
      <c r="C13219" s="25">
        <v>1450000</v>
      </c>
      <c r="D13219" s="22" t="s">
        <v>17786</v>
      </c>
      <c r="E13219" s="22" t="s">
        <v>96</v>
      </c>
      <c r="F13219" s="23" t="str">
        <f>HYPERLINK("https://www.spark-marketing.ru/Card/Lot/72083956", "услуги по организации трехразового горячего питания для лиц, следственно-арестованных, содержащихся в ИВС МО МВД России ""Райчихинское"" в 2021 году")</f>
        <v>услуги по организации трехразового горячего питания для лиц, следственно-арестованных, содержащихся в ИВС МО МВД России "Райчихинское" в 2021 году</v>
      </c>
      <c r="G13219" s="22" t="s">
        <v>210</v>
      </c>
      <c r="H13219" s="22" t="s">
        <v>13164</v>
      </c>
      <c r="I13219" s="26">
        <v>43661.461122685199</v>
      </c>
      <c r="J13219" s="23" t="str">
        <f>HYPERLINK("https://www.spark-marketing.ru/Card/Person/486980", "Рыбников Виктор Александрович")</f>
        <v>Рыбников Виктор Александрович</v>
      </c>
      <c r="K13219" s="24" t="s">
        <v>13165</v>
      </c>
      <c r="L13219" s="22" t="s">
        <v>10</v>
      </c>
      <c r="M13219" s="28" t="s">
        <v>51</v>
      </c>
      <c r="N13219" s="28" t="s">
        <v>51</v>
      </c>
    </row>
    <row r="13220" spans="1:14" x14ac:dyDescent="0.15">
      <c r="A13220" s="23" t="str">
        <f>HYPERLINK("https://www.spark-marketing.ru/Card/Person/13997", "ГБУЗ РК ""КНЯЖПОГОСТСКАЯ ЦРБ""")</f>
        <v>ГБУЗ РК "КНЯЖПОГОСТСКАЯ ЦРБ"</v>
      </c>
      <c r="B13220" s="24" t="s">
        <v>17787</v>
      </c>
      <c r="C13220" s="25">
        <v>554613.30000000005</v>
      </c>
      <c r="D13220" s="22" t="s">
        <v>17788</v>
      </c>
      <c r="E13220" s="22" t="s">
        <v>86</v>
      </c>
      <c r="F13220" s="23" t="str">
        <f>HYPERLINK("https://www.spark-marketing.ru/Card/Lot/72092273", "Оказание услуг по проведению микробиологических исследований и оценке соответствия результатов исследования по программе производственного контроля.")</f>
        <v>Оказание услуг по проведению микробиологических исследований и оценке соответствия результатов исследования по программе производственного контроля.</v>
      </c>
      <c r="G13220" s="22" t="s">
        <v>271</v>
      </c>
      <c r="H13220" s="22" t="s">
        <v>17789</v>
      </c>
      <c r="I13220" s="26">
        <v>43661.465810185196</v>
      </c>
      <c r="J13220" s="23" t="str">
        <f>HYPERLINK("https://www.spark-marketing.ru/Card/Person/735875", "ФБУЗ ""ЦЕНТР ГИГИЕНЫ И ЭПИДЕМИОЛОГИИ В РЕСПУБЛИКЕ КОМИ""")</f>
        <v>ФБУЗ "ЦЕНТР ГИГИЕНЫ И ЭПИДЕМИОЛОГИИ В РЕСПУБЛИКЕ КОМИ"</v>
      </c>
      <c r="K13220" s="24" t="s">
        <v>17790</v>
      </c>
      <c r="L13220" s="22" t="s">
        <v>10</v>
      </c>
      <c r="M13220" s="28" t="s">
        <v>51</v>
      </c>
      <c r="N13220" s="28" t="s">
        <v>51</v>
      </c>
    </row>
    <row r="13221" spans="1:14" x14ac:dyDescent="0.15">
      <c r="A13221" s="23" t="str">
        <f>HYPERLINK("https://www.spark-marketing.ru/Card/Person/4348382", "ООО ""ГАЗПРОМ ПИТАНИЕ""")</f>
        <v>ООО "ГАЗПРОМ ПИТАНИЕ"</v>
      </c>
      <c r="B13221" s="24" t="s">
        <v>2869</v>
      </c>
      <c r="C13221" s="25">
        <v>20426.3</v>
      </c>
      <c r="D13221" s="22" t="s">
        <v>17791</v>
      </c>
      <c r="E13221" s="22" t="s">
        <v>52</v>
      </c>
      <c r="F13221" s="23" t="str">
        <f>HYPERLINK("https://www.spark-marketing.ru/Card/Lot/72088300", "Оказание услуг по экспресс-доставке корреспонденции для нужд филиала казанское уооп ооо «газпром питание»")</f>
        <v>Оказание услуг по экспресс-доставке корреспонденции для нужд филиала казанское уооп ооо «газпром питание»</v>
      </c>
      <c r="G13221" s="22" t="s">
        <v>217</v>
      </c>
      <c r="H13221" s="22" t="s">
        <v>937</v>
      </c>
      <c r="I13221" s="26">
        <v>43661.480555555601</v>
      </c>
      <c r="J13221" s="28" t="s">
        <v>51</v>
      </c>
      <c r="K13221" s="28" t="s">
        <v>51</v>
      </c>
      <c r="L13221" s="28" t="s">
        <v>51</v>
      </c>
      <c r="M13221" s="28" t="s">
        <v>51</v>
      </c>
      <c r="N13221" s="28" t="s">
        <v>51</v>
      </c>
    </row>
    <row r="13222" spans="1:14" x14ac:dyDescent="0.15">
      <c r="A13222" s="23" t="str">
        <f>HYPERLINK("https://www.spark-marketing.ru/Card/Person/817172", "ГБОУ ""НИЖНЕКАМСКАЯ ШКОЛА №23""")</f>
        <v>ГБОУ "НИЖНЕКАМСКАЯ ШКОЛА №23"</v>
      </c>
      <c r="B13222" s="24" t="s">
        <v>17792</v>
      </c>
      <c r="C13222" s="25">
        <v>1338785.94</v>
      </c>
      <c r="D13222" s="22" t="s">
        <v>17793</v>
      </c>
      <c r="E13222" s="22" t="s">
        <v>96</v>
      </c>
      <c r="F13222" s="23" t="str">
        <f>HYPERLINK("https://www.spark-marketing.ru/Card/Lot/72100714", "Услуги по организации питания учащихся")</f>
        <v>Услуги по организации питания учащихся</v>
      </c>
      <c r="G13222" s="22" t="s">
        <v>217</v>
      </c>
      <c r="H13222" s="22" t="s">
        <v>218</v>
      </c>
      <c r="I13222" s="26">
        <v>43661.479930555601</v>
      </c>
      <c r="J13222" s="23" t="str">
        <f>HYPERLINK("https://www.spark-marketing.ru/Card/Person/6084653", "ООО ""ВИТАРА""")</f>
        <v>ООО "ВИТАРА"</v>
      </c>
      <c r="K13222" s="24" t="s">
        <v>2437</v>
      </c>
      <c r="L13222" s="22" t="s">
        <v>10</v>
      </c>
      <c r="M13222" s="28" t="s">
        <v>51</v>
      </c>
      <c r="N13222" s="28" t="s">
        <v>51</v>
      </c>
    </row>
    <row r="13223" spans="1:14" x14ac:dyDescent="0.15">
      <c r="A13223" s="23" t="str">
        <f>HYPERLINK("https://www.spark-marketing.ru/Card/Person/1002269", "МБОУ ""ГИМНАЗИЯ №1 ИМ. Н.М. ПРЖЕВАЛЬСКОГО""")</f>
        <v>МБОУ "ГИМНАЗИЯ №1 ИМ. Н.М. ПРЖЕВАЛЬСКОГО"</v>
      </c>
      <c r="B13223" s="24" t="s">
        <v>12474</v>
      </c>
      <c r="C13223" s="25">
        <v>963528</v>
      </c>
      <c r="D13223" s="22" t="s">
        <v>17794</v>
      </c>
      <c r="E13223" s="22" t="s">
        <v>48</v>
      </c>
      <c r="F13223" s="23" t="str">
        <f>HYPERLINK("https://www.spark-marketing.ru/Card/Lot/72092274", "Оказание услуг по организации горячего питания и обеспечению горячим питанием учащихся МБОУ ""Гимназия №1 им. Н.М. Пржевальского""")</f>
        <v>Оказание услуг по организации горячего питания и обеспечению горячим питанием учащихся МБОУ "Гимназия №1 им. Н.М. Пржевальского"</v>
      </c>
      <c r="G13223" s="22" t="s">
        <v>460</v>
      </c>
      <c r="H13223" s="22" t="s">
        <v>461</v>
      </c>
      <c r="I13223" s="26">
        <v>43661.465891203698</v>
      </c>
      <c r="J13223" s="28" t="s">
        <v>51</v>
      </c>
      <c r="K13223" s="28" t="s">
        <v>51</v>
      </c>
      <c r="L13223" s="28" t="s">
        <v>51</v>
      </c>
      <c r="M13223" s="28" t="s">
        <v>51</v>
      </c>
      <c r="N13223" s="28" t="s">
        <v>51</v>
      </c>
    </row>
    <row r="13224" spans="1:14" x14ac:dyDescent="0.2">
      <c r="A13224" s="23" t="str">
        <f>HYPERLINK("https://www.spark-marketing.ru/Card/Person/87590", "КГАУ СШ ХКЦРХ ""АМУР""")</f>
        <v>КГАУ СШ ХКЦРХ "АМУР"</v>
      </c>
      <c r="B13224" s="24" t="s">
        <v>16126</v>
      </c>
      <c r="C13224" s="25">
        <v>581700</v>
      </c>
      <c r="D13224" s="22" t="s">
        <v>17795</v>
      </c>
      <c r="E13224" s="22" t="s">
        <v>769</v>
      </c>
      <c r="F13224" s="23" t="str">
        <f>HYPERLINK("https://www.spark-marketing.ru/Card/Lot/72103965", "Оказание услуг по размещению и питанию хоккейной команды ""Амур-2006"" (гостиничные услуги)")</f>
        <v>Оказание услуг по размещению и питанию хоккейной команды "Амур-2006" (гостиничные услуги)</v>
      </c>
      <c r="G13224" s="22" t="s">
        <v>543</v>
      </c>
      <c r="H13224" s="22" t="s">
        <v>543</v>
      </c>
      <c r="I13224" s="26">
        <v>43661.477268518502</v>
      </c>
      <c r="J13224" s="28" t="s">
        <v>51</v>
      </c>
      <c r="K13224" s="28" t="s">
        <v>51</v>
      </c>
      <c r="L13224" s="28" t="s">
        <v>51</v>
      </c>
      <c r="M13224" s="25">
        <v>581700</v>
      </c>
      <c r="N13224" s="27">
        <v>0</v>
      </c>
    </row>
    <row r="13225" spans="1:14" x14ac:dyDescent="0.15">
      <c r="A13225" s="23" t="str">
        <f>HYPERLINK("https://www.spark-marketing.ru/Card/Person/294861", "ОТДЕЛ МВД РОССИИ ПО ЛИСКИНСКОМУ РАЙОНУ")</f>
        <v>ОТДЕЛ МВД РОССИИ ПО ЛИСКИНСКОМУ РАЙОНУ</v>
      </c>
      <c r="B13225" s="24" t="s">
        <v>17780</v>
      </c>
      <c r="C13225" s="25">
        <v>806650</v>
      </c>
      <c r="D13225" s="22" t="s">
        <v>17796</v>
      </c>
      <c r="E13225" s="22" t="s">
        <v>48</v>
      </c>
      <c r="F13225" s="23" t="str">
        <f>HYPERLINK("https://www.spark-marketing.ru/Card/Lot/72092248", "оказание услуг по питанию лиц, содержащихся  в ИВС")</f>
        <v>оказание услуг по питанию лиц, содержащихся  в ИВС</v>
      </c>
      <c r="G13225" s="22" t="s">
        <v>82</v>
      </c>
      <c r="H13225" s="22" t="s">
        <v>82</v>
      </c>
      <c r="I13225" s="26">
        <v>43661.471828703703</v>
      </c>
      <c r="J13225" s="23" t="str">
        <f>HYPERLINK("https://www.spark-marketing.ru/Card/Person/5970638", "Тимашинов Юрий Николаевич")</f>
        <v>Тимашинов Юрий Николаевич</v>
      </c>
      <c r="K13225" s="24" t="s">
        <v>17782</v>
      </c>
      <c r="L13225" s="22" t="s">
        <v>10</v>
      </c>
      <c r="M13225" s="28" t="s">
        <v>51</v>
      </c>
      <c r="N13225" s="28" t="s">
        <v>51</v>
      </c>
    </row>
    <row r="13226" spans="1:14" x14ac:dyDescent="0.15">
      <c r="A13226" s="23" t="str">
        <f>HYPERLINK("https://www.spark-marketing.ru/Card/Person/94759", "МБОУ ""СШ №35""")</f>
        <v>МБОУ "СШ №35"</v>
      </c>
      <c r="B13226" s="24" t="s">
        <v>12696</v>
      </c>
      <c r="C13226" s="25">
        <v>1542222</v>
      </c>
      <c r="D13226" s="22" t="s">
        <v>17797</v>
      </c>
      <c r="E13226" s="22" t="s">
        <v>48</v>
      </c>
      <c r="F13226" s="23" t="str">
        <f>HYPERLINK("https://www.spark-marketing.ru/Card/Lot/72101008", "Оказание услуг по организации горячего питания и обеспечению горячим питанием учащихся МБОУ ""СШ № 35""")</f>
        <v>Оказание услуг по организации горячего питания и обеспечению горячим питанием учащихся МБОУ "СШ № 35"</v>
      </c>
      <c r="G13226" s="22" t="s">
        <v>460</v>
      </c>
      <c r="H13226" s="22" t="s">
        <v>461</v>
      </c>
      <c r="I13226" s="26">
        <v>43661.467465277798</v>
      </c>
      <c r="J13226" s="28" t="s">
        <v>51</v>
      </c>
      <c r="K13226" s="28" t="s">
        <v>51</v>
      </c>
      <c r="L13226" s="28" t="s">
        <v>51</v>
      </c>
      <c r="M13226" s="28" t="s">
        <v>51</v>
      </c>
      <c r="N13226" s="28" t="s">
        <v>51</v>
      </c>
    </row>
    <row r="13227" spans="1:14" x14ac:dyDescent="0.15">
      <c r="A13227" s="23" t="str">
        <f>HYPERLINK("https://www.spark-marketing.ru/Card/Person/4349211", "ГБУ РК «МНОГОФУНКЦИОНАЛЬНЫЙ ЦЕНТР ПРЕДОСТАВЛЕНИЯ ГОСУДАРСТВЕННЫХ И МУНИЦИПАЛЬНЫХ УСЛУГ»")</f>
        <v>ГБУ РК «МНОГОФУНКЦИОНАЛЬНЫЙ ЦЕНТР ПРЕДОСТАВЛЕНИЯ ГОСУДАРСТВЕННЫХ И МУНИЦИПАЛЬНЫХ УСЛУГ»</v>
      </c>
      <c r="B13227" s="24" t="s">
        <v>10262</v>
      </c>
      <c r="C13227" s="25">
        <v>108598.17</v>
      </c>
      <c r="D13227" s="22" t="s">
        <v>17798</v>
      </c>
      <c r="E13227" s="22" t="s">
        <v>7386</v>
      </c>
      <c r="F13227" s="23" t="str">
        <f>HYPERLINK("https://www.spark-marketing.ru/Card/Lot/72096483", "Поставка аккумуляторов для источников бесперебойного питания для нужд ГБУ РК ""Многофункциональный центр предоставления государственных и муниципальных услуг""")</f>
        <v>Поставка аккумуляторов для источников бесперебойного питания для нужд ГБУ РК "Многофункциональный центр предоставления государственных и муниципальных услуг"</v>
      </c>
      <c r="G13227" s="22" t="s">
        <v>108</v>
      </c>
      <c r="H13227" s="22" t="s">
        <v>108</v>
      </c>
      <c r="I13227" s="26">
        <v>43661.495648148099</v>
      </c>
      <c r="J13227" s="28" t="s">
        <v>51</v>
      </c>
      <c r="K13227" s="28" t="s">
        <v>51</v>
      </c>
      <c r="L13227" s="28" t="s">
        <v>51</v>
      </c>
      <c r="M13227" s="28" t="s">
        <v>51</v>
      </c>
      <c r="N13227" s="28" t="s">
        <v>51</v>
      </c>
    </row>
    <row r="13228" spans="1:14" x14ac:dyDescent="0.15">
      <c r="A13228" s="23" t="str">
        <f>HYPERLINK("https://www.spark-marketing.ru/Card/Person/1018422", "МАУ ""СШ № 4""")</f>
        <v>МАУ "СШ № 4"</v>
      </c>
      <c r="B13228" s="24" t="s">
        <v>17799</v>
      </c>
      <c r="C13228" s="25">
        <v>128700</v>
      </c>
      <c r="D13228" s="22" t="s">
        <v>17800</v>
      </c>
      <c r="E13228" s="22" t="s">
        <v>1921</v>
      </c>
      <c r="F13228" s="23" t="str">
        <f>HYPERLINK("https://www.spark-marketing.ru/Card/Lot/72106727", "Услуги по организации проживания и питания во время тренировочного мероприятия по лыжным гонкам")</f>
        <v>Услуги по организации проживания и питания во время тренировочного мероприятия по лыжным гонкам</v>
      </c>
      <c r="G13228" s="22" t="s">
        <v>503</v>
      </c>
      <c r="H13228" s="22" t="s">
        <v>503</v>
      </c>
      <c r="I13228" s="26">
        <v>43661.469664351898</v>
      </c>
      <c r="J13228" s="28" t="s">
        <v>51</v>
      </c>
      <c r="K13228" s="28" t="s">
        <v>51</v>
      </c>
      <c r="L13228" s="28" t="s">
        <v>51</v>
      </c>
      <c r="M13228" s="28" t="s">
        <v>51</v>
      </c>
      <c r="N13228" s="28" t="s">
        <v>51</v>
      </c>
    </row>
    <row r="13229" spans="1:14" x14ac:dyDescent="0.15">
      <c r="A13229" s="23" t="str">
        <f>HYPERLINK("https://www.spark-marketing.ru/Card/Person/56010", "ГКУЗ ""ККПБ ИМ. В.Х. КАНДИНСКОГО""")</f>
        <v>ГКУЗ "ККПБ ИМ. В.Х. КАНДИНСКОГО"</v>
      </c>
      <c r="B13229" s="24" t="s">
        <v>17362</v>
      </c>
      <c r="C13229" s="25">
        <v>3640</v>
      </c>
      <c r="D13229" s="22" t="s">
        <v>17801</v>
      </c>
      <c r="E13229" s="22" t="s">
        <v>583</v>
      </c>
      <c r="F13229" s="23" t="str">
        <f>HYPERLINK("https://www.spark-marketing.ru/Card/Lot/72087564", "Товары, работы, услуги на сумму, не превыщающую 100 тысяч рублей")</f>
        <v>Товары, работы, услуги на сумму, не превыщающую 100 тысяч рублей</v>
      </c>
      <c r="G13229" s="22" t="s">
        <v>228</v>
      </c>
      <c r="H13229" s="22" t="s">
        <v>394</v>
      </c>
      <c r="I13229" s="26">
        <v>43661.497916666704</v>
      </c>
      <c r="J13229" s="28" t="s">
        <v>51</v>
      </c>
      <c r="K13229" s="28" t="s">
        <v>51</v>
      </c>
      <c r="L13229" s="28" t="s">
        <v>51</v>
      </c>
      <c r="M13229" s="28" t="s">
        <v>51</v>
      </c>
      <c r="N13229" s="28" t="s">
        <v>51</v>
      </c>
    </row>
    <row r="13230" spans="1:14" x14ac:dyDescent="0.2">
      <c r="A13230" s="23" t="str">
        <f>HYPERLINK("https://www.spark-marketing.ru/Card/Person/1023362", "МАОУ СОШ № 20")</f>
        <v>МАОУ СОШ № 20</v>
      </c>
      <c r="B13230" s="24" t="s">
        <v>17802</v>
      </c>
      <c r="C13230" s="25">
        <v>2582236.2000000002</v>
      </c>
      <c r="D13230" s="22" t="s">
        <v>17803</v>
      </c>
      <c r="E13230" s="22" t="s">
        <v>362</v>
      </c>
      <c r="F13230" s="23" t="str">
        <f>HYPERLINK("https://www.spark-marketing.ru/Card/Lot/72105285", "оказание услуг по организации и обеспечению горячим питанием обучающихся в период с 02.09.2019 года по 30.11.2019 года")</f>
        <v>оказание услуг по организации и обеспечению горячим питанием обучающихся в период с 02.09.2019 года по 30.11.2019 года</v>
      </c>
      <c r="G13230" s="22" t="s">
        <v>174</v>
      </c>
      <c r="H13230" s="22" t="s">
        <v>174</v>
      </c>
      <c r="I13230" s="26">
        <v>43661.493321759299</v>
      </c>
      <c r="J13230" s="28" t="s">
        <v>51</v>
      </c>
      <c r="K13230" s="28" t="s">
        <v>51</v>
      </c>
      <c r="L13230" s="22" t="s">
        <v>10</v>
      </c>
      <c r="M13230" s="25">
        <v>2582236.2000000002</v>
      </c>
      <c r="N13230" s="27">
        <v>0</v>
      </c>
    </row>
    <row r="13231" spans="1:14" x14ac:dyDescent="0.15">
      <c r="A13231" s="23" t="str">
        <f>HYPERLINK("https://www.spark-marketing.ru/Card/Person/436416", "МАОУ ""ГИМНАЗИЯ №1 Г. РУЗЫ""")</f>
        <v>МАОУ "ГИМНАЗИЯ №1 Г. РУЗЫ"</v>
      </c>
      <c r="B13231" s="24" t="s">
        <v>17804</v>
      </c>
      <c r="C13231" s="25">
        <v>1710192</v>
      </c>
      <c r="D13231" s="22" t="s">
        <v>17805</v>
      </c>
      <c r="E13231" s="22" t="s">
        <v>2217</v>
      </c>
      <c r="F13231" s="23" t="str">
        <f>HYPERLINK("https://www.spark-marketing.ru/Card/Lot/72105263", "Оказание услуги по организации питания льготной категории детей, обучающихся в МАОУ «Гимназия № 1 г. Рузы»")</f>
        <v>Оказание услуги по организации питания льготной категории детей, обучающихся в МАОУ «Гимназия № 1 г. Рузы»</v>
      </c>
      <c r="G13231" s="22" t="s">
        <v>49</v>
      </c>
      <c r="H13231" s="22" t="s">
        <v>49</v>
      </c>
      <c r="I13231" s="26">
        <v>43661.484606481499</v>
      </c>
      <c r="J13231" s="28" t="s">
        <v>51</v>
      </c>
      <c r="K13231" s="28" t="s">
        <v>51</v>
      </c>
      <c r="L13231" s="28" t="s">
        <v>51</v>
      </c>
      <c r="M13231" s="28" t="s">
        <v>51</v>
      </c>
      <c r="N13231" s="28" t="s">
        <v>51</v>
      </c>
    </row>
    <row r="13232" spans="1:14" x14ac:dyDescent="0.15">
      <c r="A13232" s="23" t="str">
        <f>HYPERLINK("https://www.spark-marketing.ru/Card/Person/58881", "ФГБОУ ВО ""ТАМБОВСКИЙ ГОСУДАРСТВЕННЫЙ УНИВЕРСИТЕТ ИМЕНИ Г.Р. ДЕРЖАВИНА"", ТГУ ИМ. Г.Р. ДЕРЖАВИНА")</f>
        <v>ФГБОУ ВО "ТАМБОВСКИЙ ГОСУДАРСТВЕННЫЙ УНИВЕРСИТЕТ ИМЕНИ Г.Р. ДЕРЖАВИНА", ТГУ ИМ. Г.Р. ДЕРЖАВИНА</v>
      </c>
      <c r="B13232" s="24" t="s">
        <v>1476</v>
      </c>
      <c r="C13232" s="25">
        <v>499980</v>
      </c>
      <c r="D13232" s="22" t="s">
        <v>17806</v>
      </c>
      <c r="E13232" s="22" t="s">
        <v>362</v>
      </c>
      <c r="F13232" s="23" t="str">
        <f>HYPERLINK("https://www.spark-marketing.ru/Card/Lot/72105130", "Оказание услуг по организации питания")</f>
        <v>Оказание услуг по организации питания</v>
      </c>
      <c r="G13232" s="22" t="s">
        <v>1370</v>
      </c>
      <c r="H13232" s="22" t="s">
        <v>1370</v>
      </c>
      <c r="I13232" s="26">
        <v>43661.448136574101</v>
      </c>
      <c r="J13232" s="28" t="s">
        <v>51</v>
      </c>
      <c r="K13232" s="28" t="s">
        <v>51</v>
      </c>
      <c r="L13232" s="28" t="s">
        <v>51</v>
      </c>
      <c r="M13232" s="28" t="s">
        <v>51</v>
      </c>
      <c r="N13232" s="28" t="s">
        <v>51</v>
      </c>
    </row>
    <row r="13233" spans="1:14" x14ac:dyDescent="0.15">
      <c r="A13233" s="23" t="str">
        <f>HYPERLINK("https://www.spark-marketing.ru/Card/Person/62326", "АРБИТРАЖНЫЙ СУД РЕСПУБЛИКИ КОМИ")</f>
        <v>АРБИТРАЖНЫЙ СУД РЕСПУБЛИКИ КОМИ</v>
      </c>
      <c r="B13233" s="24" t="s">
        <v>17807</v>
      </c>
      <c r="C13233" s="25">
        <v>188500</v>
      </c>
      <c r="D13233" s="22" t="s">
        <v>17808</v>
      </c>
      <c r="E13233" s="22" t="s">
        <v>91</v>
      </c>
      <c r="F13233" s="23" t="str">
        <f>HYPERLINK("https://www.spark-marketing.ru/Card/Lot/72088759", "Оказание услуг по диагностике, техническому обслуживанию и ремонту лазерных принтеров, многофункциональных устройств и периферийных устройств")</f>
        <v>Оказание услуг по диагностике, техническому обслуживанию и ремонту лазерных принтеров, многофункциональных устройств и периферийных устройств</v>
      </c>
      <c r="G13233" s="22" t="s">
        <v>271</v>
      </c>
      <c r="H13233" s="22" t="s">
        <v>1282</v>
      </c>
      <c r="I13233" s="26">
        <v>43661.426099536999</v>
      </c>
      <c r="J13233" s="28" t="s">
        <v>51</v>
      </c>
      <c r="K13233" s="28" t="s">
        <v>51</v>
      </c>
      <c r="L13233" s="28" t="s">
        <v>51</v>
      </c>
      <c r="M13233" s="28" t="s">
        <v>51</v>
      </c>
      <c r="N13233" s="28" t="s">
        <v>51</v>
      </c>
    </row>
    <row r="13234" spans="1:14" ht="12.75" hidden="1" outlineLevel="1" x14ac:dyDescent="0.2">
      <c r="A13234" s="23" t="str">
        <f>HYPERLINK("https://www.spark-marketing.ru/Card/Person/62326", "АРБИТРАЖНЫЙ СУД РЕСПУБЛИКИ КОМИ")</f>
        <v>АРБИТРАЖНЫЙ СУД РЕСПУБЛИКИ КОМИ</v>
      </c>
      <c r="B13234" s="24" t="s">
        <v>17807</v>
      </c>
      <c r="C13234" s="25">
        <v>188500</v>
      </c>
      <c r="D13234" s="22" t="s">
        <v>17808</v>
      </c>
      <c r="E13234" s="22" t="s">
        <v>91</v>
      </c>
      <c r="F13234" s="23" t="str">
        <f>HYPERLINK("https://www.spark-marketing.ru/Card/Lot/72088759", "Оказание услуг по диагностике, техническому обслуживанию и ремонту лазерных принтеров, многофункциональных устройств и периферийных устройств")</f>
        <v>Оказание услуг по диагностике, техническому обслуживанию и ремонту лазерных принтеров, многофункциональных устройств и периферийных устройств</v>
      </c>
      <c r="G13234" s="22" t="s">
        <v>271</v>
      </c>
      <c r="H13234" s="22" t="s">
        <v>1282</v>
      </c>
      <c r="I13234" s="26">
        <v>43661.426099536999</v>
      </c>
      <c r="J13234" s="23" t="str">
        <f>HYPERLINK("https://www.spark-marketing.ru/Card/Person/277960", "Домашкина Валентина Егорьевна")</f>
        <v>Домашкина Валентина Егорьевна</v>
      </c>
      <c r="K13234" s="24" t="s">
        <v>17809</v>
      </c>
      <c r="L13234" s="22" t="s">
        <v>10</v>
      </c>
      <c r="M13234" s="25">
        <v>383666.29</v>
      </c>
      <c r="N13234" s="27">
        <v>-1.0353649336870026</v>
      </c>
    </row>
    <row r="13235" spans="1:14" hidden="1" outlineLevel="1" x14ac:dyDescent="0.2">
      <c r="A13235" s="23" t="str">
        <f>HYPERLINK("https://www.spark-marketing.ru/Card/Person/62326", "АРБИТРАЖНЫЙ СУД РЕСПУБЛИКИ КОМИ")</f>
        <v>АРБИТРАЖНЫЙ СУД РЕСПУБЛИКИ КОМИ</v>
      </c>
      <c r="B13235" s="24" t="s">
        <v>17807</v>
      </c>
      <c r="C13235" s="25">
        <v>188500</v>
      </c>
      <c r="D13235" s="22" t="s">
        <v>17808</v>
      </c>
      <c r="E13235" s="22" t="s">
        <v>91</v>
      </c>
      <c r="F13235" s="23" t="str">
        <f>HYPERLINK("https://www.spark-marketing.ru/Card/Lot/72088759", "Оказание услуг по диагностике, техническому обслуживанию и ремонту лазерных принтеров, многофункциональных устройств и периферийных устройств")</f>
        <v>Оказание услуг по диагностике, техническому обслуживанию и ремонту лазерных принтеров, многофункциональных устройств и периферийных устройств</v>
      </c>
      <c r="G13235" s="22" t="s">
        <v>271</v>
      </c>
      <c r="H13235" s="22" t="s">
        <v>1282</v>
      </c>
      <c r="I13235" s="26">
        <v>43661.426099536999</v>
      </c>
      <c r="J13235" s="23" t="str">
        <f>HYPERLINK("https://www.spark-marketing.ru/Card/Person/189872", "ООО ""СОДЕЙСТВИЕ""")</f>
        <v>ООО "СОДЕЙСТВИЕ"</v>
      </c>
      <c r="K13235" s="24" t="s">
        <v>17810</v>
      </c>
      <c r="L13235" s="28" t="s">
        <v>51</v>
      </c>
      <c r="M13235" s="25">
        <v>414116</v>
      </c>
      <c r="N13235" s="27">
        <v>-1.1969018567639258</v>
      </c>
    </row>
    <row r="13236" spans="1:14" x14ac:dyDescent="0.15">
      <c r="A13236" s="23" t="str">
        <f>HYPERLINK("https://www.spark-marketing.ru/Card/Person/90893", "УМВД РОССИИ ПО ГОРОДСКОМУ ОКРУГУ ПОДОЛЬСК")</f>
        <v>УМВД РОССИИ ПО ГОРОДСКОМУ ОКРУГУ ПОДОЛЬСК</v>
      </c>
      <c r="B13236" s="24" t="s">
        <v>13395</v>
      </c>
      <c r="C13236" s="25">
        <v>3225240</v>
      </c>
      <c r="D13236" s="22" t="s">
        <v>17811</v>
      </c>
      <c r="E13236" s="22" t="s">
        <v>96</v>
      </c>
      <c r="F13236" s="23" t="str">
        <f>HYPERLINK("https://www.spark-marketing.ru/Card/Lot/72101535", "Услуги по обеспечению питанием граждан, содержащихся в ИВС УМВД России по городскому округу Подольск")</f>
        <v>Услуги по обеспечению питанием граждан, содержащихся в ИВС УМВД России по городскому округу Подольск</v>
      </c>
      <c r="G13236" s="22" t="s">
        <v>49</v>
      </c>
      <c r="H13236" s="22" t="s">
        <v>50</v>
      </c>
      <c r="I13236" s="26">
        <v>43661.447766203702</v>
      </c>
      <c r="J13236" s="28" t="s">
        <v>51</v>
      </c>
      <c r="K13236" s="28" t="s">
        <v>51</v>
      </c>
      <c r="L13236" s="28" t="s">
        <v>51</v>
      </c>
      <c r="M13236" s="28" t="s">
        <v>51</v>
      </c>
      <c r="N13236" s="28" t="s">
        <v>51</v>
      </c>
    </row>
    <row r="13237" spans="1:14" x14ac:dyDescent="0.15">
      <c r="A13237" s="23" t="str">
        <f>HYPERLINK("https://www.spark-marketing.ru/Card/Person/1777719", "МАОУ ""СПШ №33""")</f>
        <v>МАОУ "СПШ №33"</v>
      </c>
      <c r="B13237" s="24" t="s">
        <v>17812</v>
      </c>
      <c r="C13237" s="25">
        <v>13695760</v>
      </c>
      <c r="D13237" s="22" t="s">
        <v>17813</v>
      </c>
      <c r="E13237" s="22" t="s">
        <v>362</v>
      </c>
      <c r="F13237" s="23" t="str">
        <f>HYPERLINK("https://www.spark-marketing.ru/Card/Lot/72104931", "Оказание услуг по организации питания")</f>
        <v>Оказание услуг по организации питания</v>
      </c>
      <c r="G13237" s="22" t="s">
        <v>696</v>
      </c>
      <c r="H13237" s="22" t="s">
        <v>696</v>
      </c>
      <c r="I13237" s="26">
        <v>43661.424849536997</v>
      </c>
      <c r="J13237" s="28" t="s">
        <v>51</v>
      </c>
      <c r="K13237" s="28" t="s">
        <v>51</v>
      </c>
      <c r="L13237" s="22" t="s">
        <v>10</v>
      </c>
      <c r="M13237" s="28" t="s">
        <v>51</v>
      </c>
      <c r="N13237" s="28" t="s">
        <v>51</v>
      </c>
    </row>
    <row r="13238" spans="1:14" x14ac:dyDescent="0.15">
      <c r="A13238" s="23" t="str">
        <f>HYPERLINK("https://www.spark-marketing.ru/Card/Person/58881", "ФГБОУ ВО ""ТАМБОВСКИЙ ГОСУДАРСТВЕННЫЙ УНИВЕРСИТЕТ ИМЕНИ Г.Р. ДЕРЖАВИНА"", ТГУ ИМ. Г.Р. ДЕРЖАВИНА")</f>
        <v>ФГБОУ ВО "ТАМБОВСКИЙ ГОСУДАРСТВЕННЫЙ УНИВЕРСИТЕТ ИМЕНИ Г.Р. ДЕРЖАВИНА", ТГУ ИМ. Г.Р. ДЕРЖАВИНА</v>
      </c>
      <c r="B13238" s="24" t="s">
        <v>1476</v>
      </c>
      <c r="C13238" s="25">
        <v>499980</v>
      </c>
      <c r="D13238" s="22" t="s">
        <v>17814</v>
      </c>
      <c r="E13238" s="22" t="s">
        <v>362</v>
      </c>
      <c r="F13238" s="23" t="str">
        <f>HYPERLINK("https://www.spark-marketing.ru/Card/Lot/72105225", "Оказание услуг по организации питания в рамках мероприятия")</f>
        <v>Оказание услуг по организации питания в рамках мероприятия</v>
      </c>
      <c r="G13238" s="22" t="s">
        <v>1370</v>
      </c>
      <c r="H13238" s="22" t="s">
        <v>1370</v>
      </c>
      <c r="I13238" s="26">
        <v>43661.4382175926</v>
      </c>
      <c r="J13238" s="28" t="s">
        <v>51</v>
      </c>
      <c r="K13238" s="28" t="s">
        <v>51</v>
      </c>
      <c r="L13238" s="28" t="s">
        <v>51</v>
      </c>
      <c r="M13238" s="28" t="s">
        <v>51</v>
      </c>
      <c r="N13238" s="28" t="s">
        <v>51</v>
      </c>
    </row>
    <row r="13239" spans="1:14" x14ac:dyDescent="0.15">
      <c r="A13239" s="23" t="str">
        <f>HYPERLINK("https://www.spark-marketing.ru/Card/Person/4331050", "ООО БАШНЕФТЬ СЕРВИС")</f>
        <v>ООО БАШНЕФТЬ СЕРВИС</v>
      </c>
      <c r="B13239" s="28" t="s">
        <v>51</v>
      </c>
      <c r="C13239" s="28" t="s">
        <v>51</v>
      </c>
      <c r="D13239" s="22" t="s">
        <v>17815</v>
      </c>
      <c r="E13239" s="22" t="s">
        <v>17816</v>
      </c>
      <c r="F13239" s="23" t="str">
        <f>HYPERLINK("https://www.spark-marketing.ru/Card/Lot/74007683", "проведение лабораторно-инструментальных исследований")</f>
        <v>проведение лабораторно-инструментальных исследований</v>
      </c>
      <c r="G13239" s="22" t="s">
        <v>51</v>
      </c>
      <c r="H13239" s="22" t="s">
        <v>51</v>
      </c>
      <c r="I13239" s="26">
        <v>43661.445833333302</v>
      </c>
      <c r="J13239" s="28" t="s">
        <v>51</v>
      </c>
      <c r="K13239" s="28" t="s">
        <v>51</v>
      </c>
      <c r="L13239" s="28" t="s">
        <v>51</v>
      </c>
      <c r="M13239" s="28" t="s">
        <v>51</v>
      </c>
      <c r="N13239" s="28" t="s">
        <v>51</v>
      </c>
    </row>
    <row r="13240" spans="1:14" x14ac:dyDescent="0.15">
      <c r="A13240" s="23" t="str">
        <f>HYPERLINK("https://www.spark-marketing.ru/Card/Person/1007486", "МБОУ СОШ № 6 Г.АПАТИТЫ")</f>
        <v>МБОУ СОШ № 6 Г.АПАТИТЫ</v>
      </c>
      <c r="B13240" s="24" t="s">
        <v>17817</v>
      </c>
      <c r="C13240" s="25">
        <v>1368800</v>
      </c>
      <c r="D13240" s="22" t="s">
        <v>17818</v>
      </c>
      <c r="E13240" s="22" t="s">
        <v>48</v>
      </c>
      <c r="F13240" s="23" t="str">
        <f>HYPERLINK("https://www.spark-marketing.ru/Card/Lot/72100692", "Оказание услуг по организации питания на второе полугодие 2019 года")</f>
        <v>Оказание услуг по организации питания на второе полугодие 2019 года</v>
      </c>
      <c r="G13240" s="22" t="s">
        <v>340</v>
      </c>
      <c r="H13240" s="22" t="s">
        <v>7501</v>
      </c>
      <c r="I13240" s="26">
        <v>43661.430023148103</v>
      </c>
      <c r="J13240" s="23" t="str">
        <f>HYPERLINK("https://www.spark-marketing.ru/Card/Person/4364166", "МУП ""ЗАПОЛЯРЬЕ""")</f>
        <v>МУП "ЗАПОЛЯРЬЕ"</v>
      </c>
      <c r="K13240" s="24" t="s">
        <v>7502</v>
      </c>
      <c r="L13240" s="22" t="s">
        <v>10</v>
      </c>
      <c r="M13240" s="28" t="s">
        <v>51</v>
      </c>
      <c r="N13240" s="28" t="s">
        <v>51</v>
      </c>
    </row>
    <row r="13241" spans="1:14" x14ac:dyDescent="0.15">
      <c r="A13241" s="23" t="str">
        <f>HYPERLINK("https://www.spark-marketing.ru/Card/Person/4348200", "ГБПОУ КО ""ККНХИПО""")</f>
        <v>ГБПОУ КО "ККНХИПО"</v>
      </c>
      <c r="B13241" s="24" t="s">
        <v>17819</v>
      </c>
      <c r="C13241" s="25">
        <v>2177616</v>
      </c>
      <c r="D13241" s="22" t="s">
        <v>17820</v>
      </c>
      <c r="E13241" s="22" t="s">
        <v>48</v>
      </c>
      <c r="F13241" s="23" t="str">
        <f>HYPERLINK("https://www.spark-marketing.ru/Card/Lot/72101538", "Оказание услуг по обеспечению горячим питанием учащихся")</f>
        <v>Оказание услуг по обеспечению горячим питанием учащихся</v>
      </c>
      <c r="G13241" s="22" t="s">
        <v>112</v>
      </c>
      <c r="H13241" s="22" t="s">
        <v>389</v>
      </c>
      <c r="I13241" s="26">
        <v>43661.450115740699</v>
      </c>
      <c r="J13241" s="28" t="s">
        <v>51</v>
      </c>
      <c r="K13241" s="28" t="s">
        <v>51</v>
      </c>
      <c r="L13241" s="28" t="s">
        <v>51</v>
      </c>
      <c r="M13241" s="28" t="s">
        <v>51</v>
      </c>
      <c r="N13241" s="28" t="s">
        <v>51</v>
      </c>
    </row>
    <row r="13242" spans="1:14" ht="12.75" hidden="1" outlineLevel="1" x14ac:dyDescent="0.2">
      <c r="A13242" s="23" t="str">
        <f>HYPERLINK("https://www.spark-marketing.ru/Card/Person/4348200", "ГБПОУ КО ""ККНХИПО""")</f>
        <v>ГБПОУ КО "ККНХИПО"</v>
      </c>
      <c r="B13242" s="24" t="s">
        <v>17819</v>
      </c>
      <c r="C13242" s="25">
        <v>2177616</v>
      </c>
      <c r="D13242" s="22" t="s">
        <v>17820</v>
      </c>
      <c r="E13242" s="22" t="s">
        <v>48</v>
      </c>
      <c r="F13242" s="23" t="str">
        <f>HYPERLINK("https://www.spark-marketing.ru/Card/Lot/72101538", "Оказание услуг по обеспечению горячим питанием учащихся")</f>
        <v>Оказание услуг по обеспечению горячим питанием учащихся</v>
      </c>
      <c r="G13242" s="22" t="s">
        <v>112</v>
      </c>
      <c r="H13242" s="22" t="s">
        <v>389</v>
      </c>
      <c r="I13242" s="26">
        <v>43661.450115740699</v>
      </c>
      <c r="J13242" s="23" t="str">
        <f>HYPERLINK("https://www.spark-marketing.ru/Card/Person/6449896", "ООО ГК ""ВКУСНАЯ ЕДА""")</f>
        <v>ООО ГК "ВКУСНАЯ ЕДА"</v>
      </c>
      <c r="K13242" s="24" t="s">
        <v>17821</v>
      </c>
      <c r="L13242" s="22" t="s">
        <v>10</v>
      </c>
      <c r="M13242" s="25">
        <v>1970678.06</v>
      </c>
      <c r="N13242" s="27">
        <v>9.5029582809825056E-2</v>
      </c>
    </row>
    <row r="13243" spans="1:14" hidden="1" outlineLevel="1" x14ac:dyDescent="0.2">
      <c r="A13243" s="23" t="str">
        <f>HYPERLINK("https://www.spark-marketing.ru/Card/Person/4348200", "ГБПОУ КО ""ККНХИПО""")</f>
        <v>ГБПОУ КО "ККНХИПО"</v>
      </c>
      <c r="B13243" s="24" t="s">
        <v>17819</v>
      </c>
      <c r="C13243" s="25">
        <v>2177616</v>
      </c>
      <c r="D13243" s="22" t="s">
        <v>17820</v>
      </c>
      <c r="E13243" s="22" t="s">
        <v>48</v>
      </c>
      <c r="F13243" s="23" t="str">
        <f>HYPERLINK("https://www.spark-marketing.ru/Card/Lot/72101538", "Оказание услуг по обеспечению горячим питанием учащихся")</f>
        <v>Оказание услуг по обеспечению горячим питанием учащихся</v>
      </c>
      <c r="G13243" s="22" t="s">
        <v>112</v>
      </c>
      <c r="H13243" s="22" t="s">
        <v>389</v>
      </c>
      <c r="I13243" s="26">
        <v>43661.450115740699</v>
      </c>
      <c r="J13243" s="23" t="str">
        <f>HYPERLINK("https://www.spark-marketing.ru/Card/Person/103834", "Койда Рима Геннадьевна")</f>
        <v>Койда Рима Геннадьевна</v>
      </c>
      <c r="K13243" s="24" t="s">
        <v>17822</v>
      </c>
      <c r="L13243" s="28" t="s">
        <v>51</v>
      </c>
      <c r="M13243" s="25">
        <v>1981566.14</v>
      </c>
      <c r="N13243" s="27">
        <v>9.0029582809825051E-2</v>
      </c>
    </row>
    <row r="13244" spans="1:14" x14ac:dyDescent="0.15">
      <c r="A13244" s="23" t="str">
        <f>HYPERLINK("https://www.spark-marketing.ru/Card/Person/178844", "АО ""РЖД-ЗДОРОВЬЕ""")</f>
        <v>АО "РЖД-ЗДОРОВЬЕ"</v>
      </c>
      <c r="B13244" s="24" t="s">
        <v>3553</v>
      </c>
      <c r="C13244" s="25">
        <v>21117758.059999999</v>
      </c>
      <c r="D13244" s="22" t="s">
        <v>17823</v>
      </c>
      <c r="E13244" s="22" t="s">
        <v>580</v>
      </c>
      <c r="F13244" s="23" t="str">
        <f>HYPERLINK("https://www.spark-marketing.ru/Card/Lot/72104146", "Оказание услуг питания для нужд санатория ""Мыс Видный"" филиала АО ""РЖД-ЗДОРОВЬЕ""")</f>
        <v>Оказание услуг питания для нужд санатория "Мыс Видный" филиала АО "РЖД-ЗДОРОВЬЕ"</v>
      </c>
      <c r="G13244" s="22" t="s">
        <v>104</v>
      </c>
      <c r="H13244" s="22" t="s">
        <v>104</v>
      </c>
      <c r="I13244" s="26">
        <v>43661.451122685197</v>
      </c>
      <c r="J13244" s="28" t="s">
        <v>51</v>
      </c>
      <c r="K13244" s="28" t="s">
        <v>51</v>
      </c>
      <c r="L13244" s="28" t="s">
        <v>51</v>
      </c>
      <c r="M13244" s="28" t="s">
        <v>51</v>
      </c>
      <c r="N13244" s="28" t="s">
        <v>51</v>
      </c>
    </row>
    <row r="13245" spans="1:14" x14ac:dyDescent="0.15">
      <c r="A13245" s="23" t="str">
        <f>HYPERLINK("https://www.spark-marketing.ru/Card/Person/135606", "ГБУ СШОР № 1 МОСКОВСКОГО РАЙОНА")</f>
        <v>ГБУ СШОР № 1 МОСКОВСКОГО РАЙОНА</v>
      </c>
      <c r="B13245" s="24" t="s">
        <v>1821</v>
      </c>
      <c r="C13245" s="25">
        <v>369200</v>
      </c>
      <c r="D13245" s="22" t="s">
        <v>17824</v>
      </c>
      <c r="E13245" s="22" t="s">
        <v>374</v>
      </c>
      <c r="F13245" s="23" t="str">
        <f>HYPERLINK("https://www.spark-marketing.ru/Card/Lot/72091588", "Оказание услуг по обеспечению участия занимающихся государственных бюджетных учреждений в тренировочных сборах (тренировочных мероприятиях) за пределами Санкт-Петербурга и Ленинградской области с учетом затрат на организацию питания, проживания и пре...")</f>
        <v>Оказание услуг по обеспечению участия занимающихся государственных бюджетных учреждений в тренировочных сборах (тренировочных мероприятиях) за пределами Санкт-Петербурга и Ленинградской области с учетом затрат на организацию питания, проживания и пре...</v>
      </c>
      <c r="G13245" s="22" t="s">
        <v>117</v>
      </c>
      <c r="H13245" s="22" t="s">
        <v>117</v>
      </c>
      <c r="I13245" s="26">
        <v>43661.443668981497</v>
      </c>
      <c r="J13245" s="23" t="str">
        <f>HYPERLINK("https://www.spark-marketing.ru/Card/Person/756354", "ЗАО ""СК ПО ЗВС ""КАВГОЛОВО""")</f>
        <v>ЗАО "СК ПО ЗВС "КАВГОЛОВО"</v>
      </c>
      <c r="K13245" s="24" t="s">
        <v>17531</v>
      </c>
      <c r="L13245" s="22" t="s">
        <v>10</v>
      </c>
      <c r="M13245" s="28" t="s">
        <v>51</v>
      </c>
      <c r="N13245" s="28" t="s">
        <v>51</v>
      </c>
    </row>
    <row r="13246" spans="1:14" x14ac:dyDescent="0.15">
      <c r="A13246" s="23" t="str">
        <f>HYPERLINK("https://www.spark-marketing.ru/Card/Person/374323", "ОМВД РОССИИ ПО ПОРХОВСКОМУ РАЙОНУ")</f>
        <v>ОМВД РОССИИ ПО ПОРХОВСКОМУ РАЙОНУ</v>
      </c>
      <c r="B13246" s="24" t="s">
        <v>3660</v>
      </c>
      <c r="C13246" s="25">
        <v>200000</v>
      </c>
      <c r="D13246" s="22" t="s">
        <v>17825</v>
      </c>
      <c r="E13246" s="22" t="s">
        <v>48</v>
      </c>
      <c r="F13246" s="23" t="str">
        <f>HYPERLINK("https://www.spark-marketing.ru/Card/Lot/72088872", "питание ИВС")</f>
        <v>питание ИВС</v>
      </c>
      <c r="G13246" s="22" t="s">
        <v>415</v>
      </c>
      <c r="H13246" s="22" t="s">
        <v>415</v>
      </c>
      <c r="I13246" s="26">
        <v>43661.429837962998</v>
      </c>
      <c r="J13246" s="23" t="str">
        <f>HYPERLINK("https://www.spark-marketing.ru/Card/Person/148934", "ЛПУ ""САНАТОРИЙ ""ХИЛОВО""")</f>
        <v>ЛПУ "САНАТОРИЙ "ХИЛОВО"</v>
      </c>
      <c r="K13246" s="24" t="s">
        <v>17826</v>
      </c>
      <c r="L13246" s="22" t="s">
        <v>10</v>
      </c>
      <c r="M13246" s="28" t="s">
        <v>51</v>
      </c>
      <c r="N13246" s="28" t="s">
        <v>51</v>
      </c>
    </row>
    <row r="13247" spans="1:14" x14ac:dyDescent="0.15">
      <c r="A13247" s="23" t="str">
        <f>HYPERLINK("https://www.spark-marketing.ru/Card/Person/1023924", "МБОУ СОШ № 203 ХЭЦ")</f>
        <v>МБОУ СОШ № 203 ХЭЦ</v>
      </c>
      <c r="B13247" s="24" t="s">
        <v>10086</v>
      </c>
      <c r="C13247" s="25">
        <v>81000</v>
      </c>
      <c r="D13247" s="22" t="s">
        <v>17827</v>
      </c>
      <c r="E13247" s="22" t="s">
        <v>48</v>
      </c>
      <c r="F13247" s="23" t="str">
        <f>HYPERLINK("https://www.spark-marketing.ru/Card/Lot/72085956", "на оказание услуг по организации горячего питания детей в летнем лагере дневного пребывания")</f>
        <v>на оказание услуг по организации горячего питания детей в летнем лагере дневного пребывания</v>
      </c>
      <c r="G13247" s="22" t="s">
        <v>195</v>
      </c>
      <c r="H13247" s="22" t="s">
        <v>196</v>
      </c>
      <c r="I13247" s="26">
        <v>43661.423611111102</v>
      </c>
      <c r="J13247" s="28" t="s">
        <v>51</v>
      </c>
      <c r="K13247" s="28" t="s">
        <v>51</v>
      </c>
      <c r="L13247" s="28" t="s">
        <v>51</v>
      </c>
      <c r="M13247" s="28" t="s">
        <v>51</v>
      </c>
      <c r="N13247" s="28" t="s">
        <v>51</v>
      </c>
    </row>
    <row r="13248" spans="1:14" x14ac:dyDescent="0.15">
      <c r="A13248" s="23" t="str">
        <f>HYPERLINK("https://www.spark-marketing.ru/Card/Person/1085313", "КОГОБУ ШИ ОВЗ ПГТ ПИЖАНКА")</f>
        <v>КОГОБУ ШИ ОВЗ ПГТ ПИЖАНКА</v>
      </c>
      <c r="B13248" s="24" t="s">
        <v>17828</v>
      </c>
      <c r="C13248" s="25">
        <v>5176262.67</v>
      </c>
      <c r="D13248" s="22" t="s">
        <v>17829</v>
      </c>
      <c r="E13248" s="22" t="s">
        <v>48</v>
      </c>
      <c r="F13248" s="23" t="str">
        <f>HYPERLINK("https://www.spark-marketing.ru/Card/Lot/72089574", "Оказание услуг по организации горячего питания")</f>
        <v>Оказание услуг по организации горячего питания</v>
      </c>
      <c r="G13248" s="22" t="s">
        <v>224</v>
      </c>
      <c r="H13248" s="22" t="s">
        <v>8566</v>
      </c>
      <c r="I13248" s="26">
        <v>43661.433506944399</v>
      </c>
      <c r="J13248" s="28" t="s">
        <v>51</v>
      </c>
      <c r="K13248" s="28" t="s">
        <v>51</v>
      </c>
      <c r="L13248" s="28" t="s">
        <v>51</v>
      </c>
      <c r="M13248" s="28" t="s">
        <v>51</v>
      </c>
      <c r="N13248" s="28" t="s">
        <v>51</v>
      </c>
    </row>
    <row r="13249" spans="1:14" ht="12.75" hidden="1" outlineLevel="1" x14ac:dyDescent="0.2">
      <c r="A13249" s="23" t="str">
        <f>HYPERLINK("https://www.spark-marketing.ru/Card/Person/1085313", "КОГОБУ ШИ ОВЗ ПГТ ПИЖАНКА")</f>
        <v>КОГОБУ ШИ ОВЗ ПГТ ПИЖАНКА</v>
      </c>
      <c r="B13249" s="24" t="s">
        <v>17828</v>
      </c>
      <c r="C13249" s="25">
        <v>5176262.67</v>
      </c>
      <c r="D13249" s="22" t="s">
        <v>17829</v>
      </c>
      <c r="E13249" s="22" t="s">
        <v>48</v>
      </c>
      <c r="F13249" s="23" t="str">
        <f>HYPERLINK("https://www.spark-marketing.ru/Card/Lot/72089574", "Оказание услуг по организации горячего питания")</f>
        <v>Оказание услуг по организации горячего питания</v>
      </c>
      <c r="G13249" s="22" t="s">
        <v>224</v>
      </c>
      <c r="H13249" s="22" t="s">
        <v>8566</v>
      </c>
      <c r="I13249" s="26">
        <v>43661.433506944399</v>
      </c>
      <c r="J13249" s="23" t="str">
        <f>HYPERLINK("https://www.spark-marketing.ru/Card/Person/1311730", "ООО ""СМАК""")</f>
        <v>ООО "СМАК"</v>
      </c>
      <c r="K13249" s="24" t="s">
        <v>17830</v>
      </c>
      <c r="L13249" s="22" t="s">
        <v>10</v>
      </c>
      <c r="M13249" s="25">
        <v>3882196.67</v>
      </c>
      <c r="N13249" s="27">
        <v>0.25000006423553461</v>
      </c>
    </row>
    <row r="13250" spans="1:14" hidden="1" outlineLevel="1" x14ac:dyDescent="0.2">
      <c r="A13250" s="23" t="str">
        <f>HYPERLINK("https://www.spark-marketing.ru/Card/Person/1085313", "КОГОБУ ШИ ОВЗ ПГТ ПИЖАНКА")</f>
        <v>КОГОБУ ШИ ОВЗ ПГТ ПИЖАНКА</v>
      </c>
      <c r="B13250" s="24" t="s">
        <v>17828</v>
      </c>
      <c r="C13250" s="25">
        <v>5176262.67</v>
      </c>
      <c r="D13250" s="22" t="s">
        <v>17829</v>
      </c>
      <c r="E13250" s="22" t="s">
        <v>48</v>
      </c>
      <c r="F13250" s="23" t="str">
        <f>HYPERLINK("https://www.spark-marketing.ru/Card/Lot/72089574", "Оказание услуг по организации горячего питания")</f>
        <v>Оказание услуг по организации горячего питания</v>
      </c>
      <c r="G13250" s="22" t="s">
        <v>224</v>
      </c>
      <c r="H13250" s="22" t="s">
        <v>8566</v>
      </c>
      <c r="I13250" s="26">
        <v>43661.433506944399</v>
      </c>
      <c r="J13250" s="23" t="str">
        <f>HYPERLINK("https://www.spark-marketing.ru/Card/Person/1943855", "ООО ""РУССКИЙ ТОРГОВЫЙ ДОМ""")</f>
        <v>ООО "РУССКИЙ ТОРГОВЫЙ ДОМ"</v>
      </c>
      <c r="K13250" s="24" t="s">
        <v>17831</v>
      </c>
      <c r="L13250" s="28" t="s">
        <v>51</v>
      </c>
      <c r="M13250" s="25">
        <v>3908077.99</v>
      </c>
      <c r="N13250" s="27">
        <v>0.24500006295082394</v>
      </c>
    </row>
    <row r="13251" spans="1:14" x14ac:dyDescent="0.15">
      <c r="A13251" s="23" t="str">
        <f>HYPERLINK("https://www.spark-marketing.ru/Card/Person/26891", "МО МВД РОССИИ ""КАЛИНИНСКИЙ"" САРАТОВСКОЙ ОБЛАСТИ")</f>
        <v>МО МВД РОССИИ "КАЛИНИНСКИЙ" САРАТОВСКОЙ ОБЛАСТИ</v>
      </c>
      <c r="B13251" s="24" t="s">
        <v>5789</v>
      </c>
      <c r="C13251" s="25">
        <v>120000</v>
      </c>
      <c r="D13251" s="22" t="s">
        <v>17832</v>
      </c>
      <c r="E13251" s="22" t="s">
        <v>96</v>
      </c>
      <c r="F13251" s="23" t="str">
        <f>HYPERLINK("https://www.spark-marketing.ru/Card/Lot/72084235",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3251" s="22" t="s">
        <v>351</v>
      </c>
      <c r="H13251" s="22" t="s">
        <v>17833</v>
      </c>
      <c r="I13251" s="26">
        <v>43661.335277777798</v>
      </c>
      <c r="J13251" s="28" t="s">
        <v>51</v>
      </c>
      <c r="K13251" s="28" t="s">
        <v>51</v>
      </c>
      <c r="L13251" s="28" t="s">
        <v>51</v>
      </c>
      <c r="M13251" s="28" t="s">
        <v>51</v>
      </c>
      <c r="N13251" s="28" t="s">
        <v>51</v>
      </c>
    </row>
    <row r="13252" spans="1:14" x14ac:dyDescent="0.15">
      <c r="A13252" s="23" t="str">
        <f>HYPERLINK("https://www.spark-marketing.ru/Card/Person/26891", "МО МВД РОССИИ ""КАЛИНИНСКИЙ"" САРАТОВСКОЙ ОБЛАСТИ")</f>
        <v>МО МВД РОССИИ "КАЛИНИНСКИЙ" САРАТОВСКОЙ ОБЛАСТИ</v>
      </c>
      <c r="B13252" s="24" t="s">
        <v>5789</v>
      </c>
      <c r="C13252" s="25">
        <v>120000</v>
      </c>
      <c r="D13252" s="22" t="s">
        <v>17834</v>
      </c>
      <c r="E13252" s="22" t="s">
        <v>96</v>
      </c>
      <c r="F13252" s="23" t="str">
        <f>HYPERLINK("https://www.spark-marketing.ru/Card/Lot/72084241",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3252" s="22" t="s">
        <v>351</v>
      </c>
      <c r="H13252" s="22" t="s">
        <v>17833</v>
      </c>
      <c r="I13252" s="26">
        <v>43661.3375115741</v>
      </c>
      <c r="J13252" s="28" t="s">
        <v>51</v>
      </c>
      <c r="K13252" s="28" t="s">
        <v>51</v>
      </c>
      <c r="L13252" s="28" t="s">
        <v>51</v>
      </c>
      <c r="M13252" s="28" t="s">
        <v>51</v>
      </c>
      <c r="N13252" s="28" t="s">
        <v>51</v>
      </c>
    </row>
    <row r="13253" spans="1:14" x14ac:dyDescent="0.15">
      <c r="A13253" s="23" t="str">
        <f>HYPERLINK("https://www.spark-marketing.ru/Card/Person/54037", "КГБУЗ ""АЛТАЙСКИЙ КРАЕВОЙ КАРДИОЛОГИЧЕСКИЙ ДИСПАНСЕР""")</f>
        <v>КГБУЗ "АЛТАЙСКИЙ КРАЕВОЙ КАРДИОЛОГИЧЕСКИЙ ДИСПАНСЕР"</v>
      </c>
      <c r="B13253" s="24" t="s">
        <v>14355</v>
      </c>
      <c r="C13253" s="25">
        <v>6853</v>
      </c>
      <c r="D13253" s="22" t="s">
        <v>17835</v>
      </c>
      <c r="E13253" s="22" t="s">
        <v>10075</v>
      </c>
      <c r="F13253" s="23" t="str">
        <f>HYPERLINK("https://www.spark-marketing.ru/Card/Lot/72083911", "(244)Товары, работы или услуги на сумму, не превышающую 100 тыс. руб. (п.4 ч.1 ст.93 Федерального закона №44-ФЗ)")</f>
        <v>(244)Товары, работы или услуги на сумму, не превышающую 100 тыс. руб. (п.4 ч.1 ст.93 Федерального закона №44-ФЗ)</v>
      </c>
      <c r="G13253" s="22" t="s">
        <v>63</v>
      </c>
      <c r="H13253" s="22" t="s">
        <v>177</v>
      </c>
      <c r="I13253" s="26">
        <v>43661.306250000001</v>
      </c>
      <c r="J13253" s="28" t="s">
        <v>51</v>
      </c>
      <c r="K13253" s="28" t="s">
        <v>51</v>
      </c>
      <c r="L13253" s="28" t="s">
        <v>51</v>
      </c>
      <c r="M13253" s="28" t="s">
        <v>51</v>
      </c>
      <c r="N13253" s="28" t="s">
        <v>51</v>
      </c>
    </row>
    <row r="13254" spans="1:14" x14ac:dyDescent="0.15">
      <c r="A13254" s="23" t="str">
        <f>HYPERLINK("https://www.spark-marketing.ru/Card/Person/103609", "КГБУСО ""КРАЕВОЙ РЕАБИЛИТАЦИОННЫЙ ЦЕНТР ДЛЯ ДЕТЕЙ И ПОДРОСТКОВ С ОГРАНИЧЕННЫМИ ВОЗМОЖНОСТЯМИ ""ЖУРАВЛИКИ""")</f>
        <v>КГБУСО "КРАЕВОЙ РЕАБИЛИТАЦИОННЫЙ ЦЕНТР ДЛЯ ДЕТЕЙ И ПОДРОСТКОВ С ОГРАНИЧЕННЫМИ ВОЗМОЖНОСТЯМИ "ЖУРАВЛИКИ"</v>
      </c>
      <c r="B13254" s="24" t="s">
        <v>17836</v>
      </c>
      <c r="C13254" s="25">
        <v>11865.16</v>
      </c>
      <c r="D13254" s="22" t="s">
        <v>17837</v>
      </c>
      <c r="E13254" s="22" t="s">
        <v>17838</v>
      </c>
      <c r="F13254" s="23" t="str">
        <f>HYPERLINK("https://www.spark-marketing.ru/Card/Lot/72083336", "Товары,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 на 2019 год")</f>
        <v>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 на 2019 год</v>
      </c>
      <c r="G13254" s="22" t="s">
        <v>63</v>
      </c>
      <c r="H13254" s="22" t="s">
        <v>177</v>
      </c>
      <c r="I13254" s="26">
        <v>43661.203472222202</v>
      </c>
      <c r="J13254" s="28" t="s">
        <v>51</v>
      </c>
      <c r="K13254" s="28" t="s">
        <v>51</v>
      </c>
      <c r="L13254" s="28" t="s">
        <v>51</v>
      </c>
      <c r="M13254" s="28" t="s">
        <v>51</v>
      </c>
      <c r="N13254" s="28" t="s">
        <v>51</v>
      </c>
    </row>
    <row r="13255" spans="1:14" x14ac:dyDescent="0.15">
      <c r="A13255" s="23" t="str">
        <f>HYPERLINK("https://www.spark-marketing.ru/Card/Person/6450322", "ЗАКАЗЧИК РП БЕЛАРУСЬ")</f>
        <v>ЗАКАЗЧИК РП БЕЛАРУСЬ</v>
      </c>
      <c r="B13255" s="28" t="s">
        <v>51</v>
      </c>
      <c r="C13255" s="25">
        <v>133392.88</v>
      </c>
      <c r="D13255" s="22" t="s">
        <v>17839</v>
      </c>
      <c r="E13255" s="22" t="s">
        <v>52</v>
      </c>
      <c r="F13255" s="23" t="str">
        <f>HYPERLINK("https://www.spark-marketing.ru/Card/Lot/72095288", "Услуги по организации проведения мероприятия (проживание, аренда конференц-зала, питание)")</f>
        <v>Услуги по организации проведения мероприятия (проживание, аренда конференц-зала, питание)</v>
      </c>
      <c r="G13255" s="22" t="s">
        <v>51</v>
      </c>
      <c r="H13255" s="22" t="s">
        <v>51</v>
      </c>
      <c r="I13255" s="26">
        <v>43661</v>
      </c>
      <c r="J13255" s="28" t="s">
        <v>51</v>
      </c>
      <c r="K13255" s="28" t="s">
        <v>51</v>
      </c>
      <c r="L13255" s="28" t="s">
        <v>51</v>
      </c>
      <c r="M13255" s="28" t="s">
        <v>51</v>
      </c>
      <c r="N13255" s="28" t="s">
        <v>51</v>
      </c>
    </row>
    <row r="13256" spans="1:14" x14ac:dyDescent="0.15">
      <c r="A13256" s="23" t="str">
        <f>HYPERLINK("https://www.spark-marketing.ru/Card/Person/1012158", "МАОУ ДО ДТДМ")</f>
        <v>МАОУ ДО ДТДМ</v>
      </c>
      <c r="B13256" s="24" t="s">
        <v>4649</v>
      </c>
      <c r="C13256" s="25">
        <v>206955</v>
      </c>
      <c r="D13256" s="22" t="s">
        <v>17840</v>
      </c>
      <c r="E13256" s="22" t="s">
        <v>362</v>
      </c>
      <c r="F13256" s="23" t="str">
        <f>HYPERLINK("https://www.spark-marketing.ru/Card/Lot/72082584", "Заключение договора на оказание услуг по организации горячего питания")</f>
        <v>Заключение договора на оказание услуг по организации горячего питания</v>
      </c>
      <c r="G13256" s="22" t="s">
        <v>72</v>
      </c>
      <c r="H13256" s="22" t="s">
        <v>72</v>
      </c>
      <c r="I13256" s="26">
        <v>43660.570706018501</v>
      </c>
      <c r="J13256" s="28" t="s">
        <v>51</v>
      </c>
      <c r="K13256" s="28" t="s">
        <v>51</v>
      </c>
      <c r="L13256" s="28" t="s">
        <v>51</v>
      </c>
      <c r="M13256" s="28" t="s">
        <v>51</v>
      </c>
      <c r="N13256" s="28" t="s">
        <v>51</v>
      </c>
    </row>
    <row r="13257" spans="1:14" x14ac:dyDescent="0.15">
      <c r="A13257" s="23" t="str">
        <f>HYPERLINK("https://www.spark-marketing.ru/Card/Person/33250", "ФГБОУ ВО ""ВГУ""")</f>
        <v>ФГБОУ ВО "ВГУ"</v>
      </c>
      <c r="B13257" s="24" t="s">
        <v>3566</v>
      </c>
      <c r="C13257" s="25">
        <v>261000</v>
      </c>
      <c r="D13257" s="22" t="s">
        <v>17841</v>
      </c>
      <c r="E13257" s="22" t="s">
        <v>362</v>
      </c>
      <c r="F13257" s="23" t="str">
        <f>HYPERLINK("https://www.spark-marketing.ru/Card/Lot/72080846", "Оказание услуг общественного питания")</f>
        <v>Оказание услуг общественного питания</v>
      </c>
      <c r="G13257" s="22" t="s">
        <v>82</v>
      </c>
      <c r="H13257" s="22" t="s">
        <v>83</v>
      </c>
      <c r="I13257" s="26">
        <v>43659.871342592603</v>
      </c>
      <c r="J13257" s="28" t="s">
        <v>51</v>
      </c>
      <c r="K13257" s="28" t="s">
        <v>51</v>
      </c>
      <c r="L13257" s="28" t="s">
        <v>51</v>
      </c>
      <c r="M13257" s="28" t="s">
        <v>51</v>
      </c>
      <c r="N13257" s="28" t="s">
        <v>51</v>
      </c>
    </row>
    <row r="13258" spans="1:14" x14ac:dyDescent="0.15">
      <c r="A13258" s="23" t="str">
        <f>HYPERLINK("https://www.spark-marketing.ru/Card/Person/2312", "ФКУ ""ЦХИСО УМВД РОССИИ ПО АСТРАХАНСКОЙ ОБЛАСТИ""")</f>
        <v>ФКУ "ЦХИСО УМВД РОССИИ ПО АСТРАХАНСКОЙ ОБЛАСТИ"</v>
      </c>
      <c r="B13258" s="24" t="s">
        <v>17842</v>
      </c>
      <c r="C13258" s="25">
        <v>31430</v>
      </c>
      <c r="D13258" s="22" t="s">
        <v>17843</v>
      </c>
      <c r="E13258" s="22" t="s">
        <v>48</v>
      </c>
      <c r="F13258" s="23" t="str">
        <f>HYPERLINK("https://www.spark-marketing.ru/Card/Lot/72079725",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3258" s="22" t="s">
        <v>141</v>
      </c>
      <c r="H13258" s="22" t="s">
        <v>17844</v>
      </c>
      <c r="I13258" s="26">
        <v>43659.356712963003</v>
      </c>
      <c r="J13258" s="28" t="s">
        <v>51</v>
      </c>
      <c r="K13258" s="28" t="s">
        <v>51</v>
      </c>
      <c r="L13258" s="28" t="s">
        <v>51</v>
      </c>
      <c r="M13258" s="28" t="s">
        <v>51</v>
      </c>
      <c r="N13258" s="28" t="s">
        <v>51</v>
      </c>
    </row>
    <row r="13259" spans="1:14" x14ac:dyDescent="0.15">
      <c r="A13259" s="23" t="str">
        <f>HYPERLINK("https://www.spark-marketing.ru/Card/Person/4997", "ФГУП ""ВНИИА""")</f>
        <v>ФГУП "ВНИИА"</v>
      </c>
      <c r="B13259" s="24" t="s">
        <v>17845</v>
      </c>
      <c r="C13259" s="25">
        <v>250000</v>
      </c>
      <c r="D13259" s="22" t="s">
        <v>17846</v>
      </c>
      <c r="E13259" s="22" t="s">
        <v>52</v>
      </c>
      <c r="F13259" s="23" t="str">
        <f>HYPERLINK("https://www.spark-marketing.ru/Card/Lot/72079900", "Право заключения договора на оказание услуг по проведению экспертизы технической документации к импортным электронным компонентам в составе стоек приборных ТПТС55.2010-ХХХ, стоек приборных автономных ТПТС55.2021-ХХХ, стоек сопряжения ТПТС52.2110-ХХХ,...")</f>
        <v>Право заключения договора на оказание услуг по проведению экспертизы технической документации к импортным электронным компонентам в составе стоек приборных ТПТС55.2010-ХХХ, стоек приборных автономных ТПТС55.2021-ХХХ, стоек сопряжения ТПТС52.2110-ХХХ,...</v>
      </c>
      <c r="G13259" s="22" t="s">
        <v>56</v>
      </c>
      <c r="H13259" s="22" t="s">
        <v>56</v>
      </c>
      <c r="I13259" s="26">
        <v>43659</v>
      </c>
      <c r="J13259" s="28" t="s">
        <v>51</v>
      </c>
      <c r="K13259" s="28" t="s">
        <v>51</v>
      </c>
      <c r="L13259" s="28" t="s">
        <v>51</v>
      </c>
      <c r="M13259" s="28" t="s">
        <v>51</v>
      </c>
      <c r="N13259" s="28" t="s">
        <v>51</v>
      </c>
    </row>
    <row r="13260" spans="1:14" x14ac:dyDescent="0.15">
      <c r="A13260" s="23" t="str">
        <f>HYPERLINK("https://www.spark-marketing.ru/Card/Person/1660862", "ГАУК Г. МОСКВЫ ""САД КИО ИМ. Н. Э. БАУМАНА""")</f>
        <v>ГАУК Г. МОСКВЫ "САД КИО ИМ. Н. Э. БАУМАНА"</v>
      </c>
      <c r="B13260" s="24" t="s">
        <v>2693</v>
      </c>
      <c r="C13260" s="25">
        <v>32736.76</v>
      </c>
      <c r="D13260" s="22" t="s">
        <v>17847</v>
      </c>
      <c r="E13260" s="22" t="s">
        <v>52</v>
      </c>
      <c r="F13260" s="23" t="str">
        <f>HYPERLINK("https://www.spark-marketing.ru/Card/Lot/72080576", "Право заключения договора на осуществление торговой деятельности (оказание услуг) в нестационарном торговом объекте «Киоск» по адресу: г. Москва, ул. Старая Басманная, ул. Новая Басманная, вл. 15, «Сад им. Баумана», на спортивной площадке (НТО 5), сп...")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ул. Старая Басманная, ул. Новая Басманная, вл. 15, «Сад им. Баумана», на спортивной площадке (НТО 5), сп...</v>
      </c>
      <c r="G13260" s="22" t="s">
        <v>56</v>
      </c>
      <c r="H13260" s="22" t="s">
        <v>56</v>
      </c>
      <c r="I13260" s="26">
        <v>43659</v>
      </c>
      <c r="J13260" s="28" t="s">
        <v>51</v>
      </c>
      <c r="K13260" s="28" t="s">
        <v>51</v>
      </c>
      <c r="L13260" s="28" t="s">
        <v>51</v>
      </c>
      <c r="M13260" s="28" t="s">
        <v>51</v>
      </c>
      <c r="N13260" s="28" t="s">
        <v>51</v>
      </c>
    </row>
    <row r="13261" spans="1:14" x14ac:dyDescent="0.15">
      <c r="A13261" s="23" t="str">
        <f>HYPERLINK("https://www.spark-marketing.ru/Card/Person/4353041", "МАОУ СОШ №1 ""ПОЛИФОРУМ""")</f>
        <v>МАОУ СОШ №1 "ПОЛИФОРУМ"</v>
      </c>
      <c r="B13261" s="24" t="s">
        <v>17848</v>
      </c>
      <c r="C13261" s="25">
        <v>2950722.5</v>
      </c>
      <c r="D13261" s="22" t="s">
        <v>17849</v>
      </c>
      <c r="E13261" s="22" t="s">
        <v>362</v>
      </c>
      <c r="F13261" s="23" t="str">
        <f>HYPERLINK("https://www.spark-marketing.ru/Card/Lot/72075095", "Оказание услуг по организации и обеспечению горячим питанием обучающихся")</f>
        <v>Оказание услуг по организации и обеспечению горячим питанием обучающихся</v>
      </c>
      <c r="G13261" s="22" t="s">
        <v>174</v>
      </c>
      <c r="H13261" s="22" t="s">
        <v>174</v>
      </c>
      <c r="I13261" s="26">
        <v>43658.907604166699</v>
      </c>
      <c r="J13261" s="28" t="s">
        <v>51</v>
      </c>
      <c r="K13261" s="28" t="s">
        <v>51</v>
      </c>
      <c r="L13261" s="22" t="s">
        <v>10</v>
      </c>
      <c r="M13261" s="28" t="s">
        <v>51</v>
      </c>
      <c r="N13261" s="28" t="s">
        <v>51</v>
      </c>
    </row>
    <row r="13262" spans="1:14" x14ac:dyDescent="0.2">
      <c r="A13262" s="23" t="str">
        <f>HYPERLINK("https://www.spark-marketing.ru/Card/Person/4355016", "ГОСКОРПОРАЦИЯ ""РОСКОСМОС""")</f>
        <v>ГОСКОРПОРАЦИЯ "РОСКОСМОС"</v>
      </c>
      <c r="B13262" s="24" t="s">
        <v>17850</v>
      </c>
      <c r="C13262" s="25">
        <v>338435.2</v>
      </c>
      <c r="D13262" s="22" t="s">
        <v>17851</v>
      </c>
      <c r="E13262" s="22" t="s">
        <v>562</v>
      </c>
      <c r="F13262" s="23" t="str">
        <f>HYPERLINK("https://www.spark-marketing.ru/Card/Lot/72075125", "Оказание услуг по проведению кофе-брейков, фуршетов и организации комплексного питания для нужд Государственной корпорации по космической деятельности ""Роскосмос"" при проведении семинаров, конференций, а так же мероприятий, приуроченных к празднова...")</f>
        <v>Оказание услуг по проведению кофе-брейков, фуршетов и организации комплексного питания для нужд Государственной корпорации по космической деятельности "Роскосмос" при проведении семинаров, конференций, а так же мероприятий, приуроченных к празднова...</v>
      </c>
      <c r="G13262" s="22" t="s">
        <v>56</v>
      </c>
      <c r="H13262" s="22" t="s">
        <v>56</v>
      </c>
      <c r="I13262" s="26">
        <v>43658.799560185202</v>
      </c>
      <c r="J13262" s="28" t="s">
        <v>51</v>
      </c>
      <c r="K13262" s="28" t="s">
        <v>51</v>
      </c>
      <c r="L13262" s="28" t="s">
        <v>51</v>
      </c>
      <c r="M13262" s="25">
        <v>338435.2</v>
      </c>
      <c r="N13262" s="27">
        <v>0</v>
      </c>
    </row>
    <row r="13263" spans="1:14" x14ac:dyDescent="0.15">
      <c r="A13263" s="23" t="str">
        <f>HYPERLINK("https://www.spark-marketing.ru/Card/Person/744", "МИНЗДРАВ ОРЕНБУРГСКОЙ ОБЛАСТИ")</f>
        <v>МИНЗДРАВ ОРЕНБУРГСКОЙ ОБЛАСТИ</v>
      </c>
      <c r="B13263" s="24" t="s">
        <v>15851</v>
      </c>
      <c r="C13263" s="25">
        <v>8370000</v>
      </c>
      <c r="D13263" s="22" t="s">
        <v>17852</v>
      </c>
      <c r="E13263" s="22" t="s">
        <v>336</v>
      </c>
      <c r="F13263" s="23" t="str">
        <f>HYPERLINK("https://www.spark-marketing.ru/Card/Lot/72076671", "на поставку адаптированной сухой гипоаллергенной смеси для нужд Оренбургской области")</f>
        <v>на поставку адаптированной сухой гипоаллергенной смеси для нужд Оренбургской области</v>
      </c>
      <c r="G13263" s="22" t="s">
        <v>132</v>
      </c>
      <c r="H13263" s="22" t="s">
        <v>587</v>
      </c>
      <c r="I13263" s="26">
        <v>43658.777835648201</v>
      </c>
      <c r="J13263" s="28" t="s">
        <v>51</v>
      </c>
      <c r="K13263" s="28" t="s">
        <v>51</v>
      </c>
      <c r="L13263" s="28" t="s">
        <v>51</v>
      </c>
      <c r="M13263" s="28" t="s">
        <v>51</v>
      </c>
      <c r="N13263" s="28" t="s">
        <v>51</v>
      </c>
    </row>
    <row r="13264" spans="1:14" ht="12.75" hidden="1" outlineLevel="1" x14ac:dyDescent="0.2">
      <c r="A13264" s="23" t="str">
        <f>HYPERLINK("https://www.spark-marketing.ru/Card/Person/744", "МИНЗДРАВ ОРЕНБУРГСКОЙ ОБЛАСТИ")</f>
        <v>МИНЗДРАВ ОРЕНБУРГСКОЙ ОБЛАСТИ</v>
      </c>
      <c r="B13264" s="24" t="s">
        <v>15851</v>
      </c>
      <c r="C13264" s="25">
        <v>8370000</v>
      </c>
      <c r="D13264" s="22" t="s">
        <v>17852</v>
      </c>
      <c r="E13264" s="22" t="s">
        <v>336</v>
      </c>
      <c r="F13264" s="23" t="str">
        <f>HYPERLINK("https://www.spark-marketing.ru/Card/Lot/72076671", "на поставку адаптированной сухой гипоаллергенной смеси для нужд Оренбургской области")</f>
        <v>на поставку адаптированной сухой гипоаллергенной смеси для нужд Оренбургской области</v>
      </c>
      <c r="G13264" s="22" t="s">
        <v>132</v>
      </c>
      <c r="H13264" s="22" t="s">
        <v>587</v>
      </c>
      <c r="I13264" s="26">
        <v>43658.777835648201</v>
      </c>
      <c r="J13264" s="23" t="str">
        <f>HYPERLINK("https://www.spark-marketing.ru/Card/Person/973913", "ООО ""ПАНАЦЕЯ""")</f>
        <v>ООО "ПАНАЦЕЯ"</v>
      </c>
      <c r="K13264" s="24" t="s">
        <v>3685</v>
      </c>
      <c r="L13264" s="22" t="s">
        <v>10</v>
      </c>
      <c r="M13264" s="25">
        <v>8286300</v>
      </c>
      <c r="N13264" s="27">
        <v>0.01</v>
      </c>
    </row>
    <row r="13265" spans="1:14" hidden="1" outlineLevel="1" x14ac:dyDescent="0.2">
      <c r="A13265" s="23" t="str">
        <f>HYPERLINK("https://www.spark-marketing.ru/Card/Person/744", "МИНЗДРАВ ОРЕНБУРГСКОЙ ОБЛАСТИ")</f>
        <v>МИНЗДРАВ ОРЕНБУРГСКОЙ ОБЛАСТИ</v>
      </c>
      <c r="B13265" s="24" t="s">
        <v>15851</v>
      </c>
      <c r="C13265" s="25">
        <v>8370000</v>
      </c>
      <c r="D13265" s="22" t="s">
        <v>17852</v>
      </c>
      <c r="E13265" s="22" t="s">
        <v>336</v>
      </c>
      <c r="F13265" s="23" t="str">
        <f>HYPERLINK("https://www.spark-marketing.ru/Card/Lot/72076671", "на поставку адаптированной сухой гипоаллергенной смеси для нужд Оренбургской области")</f>
        <v>на поставку адаптированной сухой гипоаллергенной смеси для нужд Оренбургской области</v>
      </c>
      <c r="G13265" s="22" t="s">
        <v>132</v>
      </c>
      <c r="H13265" s="22" t="s">
        <v>587</v>
      </c>
      <c r="I13265" s="26">
        <v>43658.777835648201</v>
      </c>
      <c r="J13265" s="23" t="str">
        <f>HYPERLINK("https://www.spark-marketing.ru/Card/Person/53682", "ООО ""ИФК""")</f>
        <v>ООО "ИФК"</v>
      </c>
      <c r="K13265" s="24" t="s">
        <v>17853</v>
      </c>
      <c r="L13265" s="28" t="s">
        <v>51</v>
      </c>
      <c r="M13265" s="25">
        <v>8286300</v>
      </c>
      <c r="N13265" s="27">
        <v>0.01</v>
      </c>
    </row>
    <row r="13266" spans="1:14" x14ac:dyDescent="0.2">
      <c r="A13266" s="23" t="str">
        <f>HYPERLINK("https://www.spark-marketing.ru/Card/Person/4376700", "МАОУ СОШ № 27")</f>
        <v>МАОУ СОШ № 27</v>
      </c>
      <c r="B13266" s="24" t="s">
        <v>17854</v>
      </c>
      <c r="C13266" s="25">
        <v>3840618.3</v>
      </c>
      <c r="D13266" s="22" t="s">
        <v>17855</v>
      </c>
      <c r="E13266" s="22" t="s">
        <v>362</v>
      </c>
      <c r="F13266" s="23" t="str">
        <f>HYPERLINK("https://www.spark-marketing.ru/Card/Lot/72070721", "Оказание услуг по организации и обеспечению горячим питанием обучающихся")</f>
        <v>Оказание услуг по организации и обеспечению горячим питанием обучающихся</v>
      </c>
      <c r="G13266" s="22" t="s">
        <v>174</v>
      </c>
      <c r="H13266" s="22" t="s">
        <v>174</v>
      </c>
      <c r="I13266" s="26">
        <v>43658.785405092603</v>
      </c>
      <c r="J13266" s="28" t="s">
        <v>51</v>
      </c>
      <c r="K13266" s="28" t="s">
        <v>51</v>
      </c>
      <c r="L13266" s="28" t="s">
        <v>51</v>
      </c>
      <c r="M13266" s="25">
        <v>3840618.3</v>
      </c>
      <c r="N13266" s="27">
        <v>0</v>
      </c>
    </row>
    <row r="13267" spans="1:14" x14ac:dyDescent="0.2">
      <c r="A13267" s="23" t="str">
        <f>HYPERLINK("https://www.spark-marketing.ru/Card/Person/4346656", "ФГБУ ""ТЦСКР ""КРЫМСКИЙ""")</f>
        <v>ФГБУ "ТЦСКР "КРЫМСКИЙ"</v>
      </c>
      <c r="B13267" s="24" t="s">
        <v>2225</v>
      </c>
      <c r="C13267" s="25">
        <v>300000</v>
      </c>
      <c r="D13267" s="22" t="s">
        <v>17856</v>
      </c>
      <c r="E13267" s="22" t="s">
        <v>2227</v>
      </c>
      <c r="F13267" s="23" t="str">
        <f>HYPERLINK("https://www.spark-marketing.ru/Card/Lot/72072596", "Временное владение и пользование (операционная аренда) нежилым помещением кафе, расположенным по адресу: Республика Крым, г. Алушта, ул. Красноармейская, д.38, для осуществления услуг питания")</f>
        <v>Временное владение и пользование (операционная аренда) нежилым помещением кафе, расположенным по адресу: Республика Крым, г. Алушта, ул. Красноармейская, д.38, для осуществления услуг питания</v>
      </c>
      <c r="G13267" s="22" t="s">
        <v>108</v>
      </c>
      <c r="H13267" s="22" t="s">
        <v>108</v>
      </c>
      <c r="I13267" s="26">
        <v>43658.753657407397</v>
      </c>
      <c r="J13267" s="28" t="s">
        <v>51</v>
      </c>
      <c r="K13267" s="28" t="s">
        <v>51</v>
      </c>
      <c r="L13267" s="28" t="s">
        <v>51</v>
      </c>
      <c r="M13267" s="25">
        <v>300000</v>
      </c>
      <c r="N13267" s="27">
        <v>0</v>
      </c>
    </row>
    <row r="13268" spans="1:14" x14ac:dyDescent="0.15">
      <c r="A13268" s="23" t="str">
        <f>HYPERLINK("https://www.spark-marketing.ru/Card/Person/1013811", "МБОУ ООШ № 66 Г. ТОМСКА")</f>
        <v>МБОУ ООШ № 66 Г. ТОМСКА</v>
      </c>
      <c r="B13268" s="24" t="s">
        <v>17857</v>
      </c>
      <c r="C13268" s="25">
        <v>352077</v>
      </c>
      <c r="D13268" s="22" t="s">
        <v>17858</v>
      </c>
      <c r="E13268" s="22" t="s">
        <v>48</v>
      </c>
      <c r="F13268" s="23" t="str">
        <f>HYPERLINK("https://www.spark-marketing.ru/Card/Lot/72070527", "услуги по обеспечению питанием отдельных категорий обучающихся и обучающихся с ограниченными возможностями здоровья.")</f>
        <v>услуги по обеспечению питанием отдельных категорий обучающихся и обучающихся с ограниченными возможностями здоровья.</v>
      </c>
      <c r="G13268" s="22" t="s">
        <v>149</v>
      </c>
      <c r="H13268" s="22" t="s">
        <v>496</v>
      </c>
      <c r="I13268" s="26">
        <v>43658.711400462998</v>
      </c>
      <c r="J13268" s="23" t="str">
        <f>HYPERLINK("https://www.spark-marketing.ru/Card/Person/837643", "Шнурко Наталья Александровна")</f>
        <v>Шнурко Наталья Александровна</v>
      </c>
      <c r="K13268" s="24" t="s">
        <v>17859</v>
      </c>
      <c r="L13268" s="22" t="s">
        <v>10</v>
      </c>
      <c r="M13268" s="28" t="s">
        <v>51</v>
      </c>
      <c r="N13268" s="28" t="s">
        <v>51</v>
      </c>
    </row>
    <row r="13269" spans="1:14" x14ac:dyDescent="0.15">
      <c r="A13269" s="23" t="str">
        <f>HYPERLINK("https://www.spark-marketing.ru/Card/Person/266339", "МО МВД РОССИИ ""КИМРСКИЙ""")</f>
        <v>МО МВД РОССИИ "КИМРСКИЙ"</v>
      </c>
      <c r="B13269" s="24" t="s">
        <v>17860</v>
      </c>
      <c r="C13269" s="25">
        <v>1021539</v>
      </c>
      <c r="D13269" s="22" t="s">
        <v>17861</v>
      </c>
      <c r="E13269" s="22" t="s">
        <v>96</v>
      </c>
      <c r="F13269" s="23" t="str">
        <f>HYPERLINK("https://www.spark-marketing.ru/Card/Lot/72086812", "Питание арестованных")</f>
        <v>Питание арестованных</v>
      </c>
      <c r="G13269" s="22" t="s">
        <v>137</v>
      </c>
      <c r="H13269" s="22" t="s">
        <v>137</v>
      </c>
      <c r="I13269" s="26">
        <v>43658.7179398148</v>
      </c>
      <c r="J13269" s="23" t="str">
        <f>HYPERLINK("https://www.spark-marketing.ru/Card/Person/310814", "ООО ""СТОЛОВАЯ №1""")</f>
        <v>ООО "СТОЛОВАЯ №1"</v>
      </c>
      <c r="K13269" s="24" t="s">
        <v>17862</v>
      </c>
      <c r="L13269" s="22" t="s">
        <v>10</v>
      </c>
      <c r="M13269" s="28" t="s">
        <v>51</v>
      </c>
      <c r="N13269" s="28" t="s">
        <v>51</v>
      </c>
    </row>
    <row r="13270" spans="1:14" ht="12.75" x14ac:dyDescent="0.2">
      <c r="A13270" s="23" t="str">
        <f>HYPERLINK("https://www.spark-marketing.ru/Card/Person/4344165", "ПРАВИТЕЛЬСТВО КРАЯ")</f>
        <v>ПРАВИТЕЛЬСТВО КРАЯ</v>
      </c>
      <c r="B13270" s="24" t="s">
        <v>3971</v>
      </c>
      <c r="C13270" s="25">
        <v>297916.5</v>
      </c>
      <c r="D13270" s="22" t="s">
        <v>17863</v>
      </c>
      <c r="E13270" s="22" t="s">
        <v>48</v>
      </c>
      <c r="F13270" s="23" t="str">
        <f>HYPERLINK("https://www.spark-marketing.ru/Card/Lot/72083130", "Оказание услуг по организации питания")</f>
        <v>Оказание услуг по организации питания</v>
      </c>
      <c r="G13270" s="22" t="s">
        <v>1096</v>
      </c>
      <c r="H13270" s="22" t="s">
        <v>1097</v>
      </c>
      <c r="I13270" s="26">
        <v>43658.714988425898</v>
      </c>
      <c r="J13270" s="23" t="str">
        <f>HYPERLINK("https://www.spark-marketing.ru/Card/Person/165477", "ООО ""М.Л.""")</f>
        <v>ООО "М.Л."</v>
      </c>
      <c r="K13270" s="24" t="s">
        <v>11812</v>
      </c>
      <c r="L13270" s="22" t="s">
        <v>10</v>
      </c>
      <c r="M13270" s="25">
        <v>297916</v>
      </c>
      <c r="N13270" s="27">
        <v>1.6783226172434223E-6</v>
      </c>
    </row>
    <row r="13271" spans="1:14" x14ac:dyDescent="0.15">
      <c r="A13271" s="23" t="str">
        <f>HYPERLINK("https://www.spark-marketing.ru/Card/Person/294861", "ОТДЕЛ МВД РОССИИ ПО ЛИСКИНСКОМУ РАЙОНУ")</f>
        <v>ОТДЕЛ МВД РОССИИ ПО ЛИСКИНСКОМУ РАЙОНУ</v>
      </c>
      <c r="B13271" s="24" t="s">
        <v>17780</v>
      </c>
      <c r="C13271" s="25">
        <v>806650</v>
      </c>
      <c r="D13271" s="22" t="s">
        <v>17864</v>
      </c>
      <c r="E13271" s="22" t="s">
        <v>48</v>
      </c>
      <c r="F13271" s="23" t="str">
        <f>HYPERLINK("https://www.spark-marketing.ru/Card/Lot/72085783", "оказание услуг по питанию лиц, содержащихся в ИВС")</f>
        <v>оказание услуг по питанию лиц, содержащихся в ИВС</v>
      </c>
      <c r="G13271" s="22" t="s">
        <v>82</v>
      </c>
      <c r="H13271" s="22" t="s">
        <v>82</v>
      </c>
      <c r="I13271" s="26">
        <v>43658.712766203702</v>
      </c>
      <c r="J13271" s="23" t="str">
        <f>HYPERLINK("https://www.spark-marketing.ru/Card/Person/5970638", "Тимашинов Юрий Николаевич")</f>
        <v>Тимашинов Юрий Николаевич</v>
      </c>
      <c r="K13271" s="24" t="s">
        <v>17782</v>
      </c>
      <c r="L13271" s="22" t="s">
        <v>10</v>
      </c>
      <c r="M13271" s="28" t="s">
        <v>51</v>
      </c>
      <c r="N13271" s="28" t="s">
        <v>51</v>
      </c>
    </row>
    <row r="13272" spans="1:14" x14ac:dyDescent="0.15">
      <c r="A13272" s="23" t="str">
        <f>HYPERLINK("https://www.spark-marketing.ru/Card/Person/25084", "ГУ-САНКТ-ПЕТЕРБУРГСКОЕ РО ФОНДА СОЦИАЛЬНОГО СТРАХОВАНИЯ РОССИЙСКОЙ ФЕДЕРАЦИИ")</f>
        <v>ГУ-САНКТ-ПЕТЕРБУРГСКОЕ РО ФОНДА СОЦИАЛЬНОГО СТРАХОВАНИЯ РОССИЙСКОЙ ФЕДЕРАЦИИ</v>
      </c>
      <c r="B13272" s="24" t="s">
        <v>17865</v>
      </c>
      <c r="C13272" s="25">
        <v>1572102</v>
      </c>
      <c r="D13272" s="22" t="s">
        <v>17866</v>
      </c>
      <c r="E13272" s="22" t="s">
        <v>86</v>
      </c>
      <c r="F13272" s="23" t="str">
        <f>HYPERLINK("https://www.spark-marketing.ru/Card/Lot/72075445", "Оказание услуг на территории Ставропольского края или Республики Кабардино - Балкарии в 2019 году по санаторно-курортному лечению граждан - получателей набора социальных услуг с болезнями эндокринной системы, расстройством питания и нарушением обмена...")</f>
        <v>Оказание услуг на территории Ставропольского края или Республики Кабардино - Балкарии в 2019 году по санаторно-курортному лечению граждан - получателей набора социальных услуг с болезнями эндокринной системы, расстройством питания и нарушением обмена...</v>
      </c>
      <c r="G13272" s="22" t="s">
        <v>87</v>
      </c>
      <c r="H13272" s="22" t="s">
        <v>87</v>
      </c>
      <c r="I13272" s="26">
        <v>43658.710416666698</v>
      </c>
      <c r="J13272" s="23" t="str">
        <f>HYPERLINK("https://www.spark-marketing.ru/Card/Person/63242", "ЛПУ ""БАЗОВЫЙ САНАТОРИЙ ""ВИКТОРИЯ"" (СКРЦ)")</f>
        <v>ЛПУ "БАЗОВЫЙ САНАТОРИЙ "ВИКТОРИЯ" (СКРЦ)</v>
      </c>
      <c r="K13272" s="24" t="s">
        <v>5297</v>
      </c>
      <c r="L13272" s="22" t="s">
        <v>10</v>
      </c>
      <c r="M13272" s="28" t="s">
        <v>51</v>
      </c>
      <c r="N13272" s="28" t="s">
        <v>51</v>
      </c>
    </row>
    <row r="13273" spans="1:14" x14ac:dyDescent="0.15">
      <c r="A13273" s="23" t="str">
        <f>HYPERLINK("https://www.spark-marketing.ru/Card/Person/1021474", "ГАУ СО ""СШОР ПО САМБО И ДЗЮДО""")</f>
        <v>ГАУ СО "СШОР ПО САМБО И ДЗЮДО"</v>
      </c>
      <c r="B13273" s="24" t="s">
        <v>17867</v>
      </c>
      <c r="C13273" s="25">
        <v>227500</v>
      </c>
      <c r="D13273" s="22" t="s">
        <v>17868</v>
      </c>
      <c r="E13273" s="22" t="s">
        <v>362</v>
      </c>
      <c r="F13273" s="23" t="str">
        <f>HYPERLINK("https://www.spark-marketing.ru/Card/Lot/72070373", "Договор оказания услуг по обеспечению питанием участников тренировочных мероприятий по самбо")</f>
        <v>Договор оказания услуг по обеспечению питанием участников тренировочных мероприятий по самбо</v>
      </c>
      <c r="G13273" s="22" t="s">
        <v>1972</v>
      </c>
      <c r="H13273" s="22" t="s">
        <v>1972</v>
      </c>
      <c r="I13273" s="26">
        <v>43658.7437615741</v>
      </c>
      <c r="J13273" s="28" t="s">
        <v>51</v>
      </c>
      <c r="K13273" s="28" t="s">
        <v>51</v>
      </c>
      <c r="L13273" s="28" t="s">
        <v>51</v>
      </c>
      <c r="M13273" s="28" t="s">
        <v>51</v>
      </c>
      <c r="N13273" s="28" t="s">
        <v>51</v>
      </c>
    </row>
    <row r="13274" spans="1:14" x14ac:dyDescent="0.15">
      <c r="A13274" s="23" t="str">
        <f>HYPERLINK("https://www.spark-marketing.ru/Card/Person/1001263", "МАОУ ""СШ №19 - КОРПУС КАДЕТ ""ВИКТОРИЯ""")</f>
        <v>МАОУ "СШ №19 - КОРПУС КАДЕТ "ВИКТОРИЯ"</v>
      </c>
      <c r="B13274" s="24" t="s">
        <v>17869</v>
      </c>
      <c r="C13274" s="25">
        <v>6280040</v>
      </c>
      <c r="D13274" s="22" t="s">
        <v>17870</v>
      </c>
      <c r="E13274" s="22" t="s">
        <v>362</v>
      </c>
      <c r="F13274" s="23" t="str">
        <f>HYPERLINK("https://www.spark-marketing.ru/Card/Lot/72072959", "Услуга по организации питания")</f>
        <v>Услуга по организации питания</v>
      </c>
      <c r="G13274" s="22" t="s">
        <v>696</v>
      </c>
      <c r="H13274" s="22" t="s">
        <v>696</v>
      </c>
      <c r="I13274" s="26">
        <v>43658.720520833303</v>
      </c>
      <c r="J13274" s="28" t="s">
        <v>51</v>
      </c>
      <c r="K13274" s="28" t="s">
        <v>51</v>
      </c>
      <c r="L13274" s="22" t="s">
        <v>10</v>
      </c>
      <c r="M13274" s="28" t="s">
        <v>51</v>
      </c>
      <c r="N13274" s="28" t="s">
        <v>51</v>
      </c>
    </row>
    <row r="13275" spans="1:14" x14ac:dyDescent="0.15">
      <c r="A13275" s="23" t="str">
        <f>HYPERLINK("https://www.spark-marketing.ru/Card/Person/140005", "БУ ""КОНДИНСКИЙ РАЙОННЫЙ КОМПЛЕКСНЫЙ ЦЕНТР СОЦИАЛЬНОГО ОБСЛУЖИВАНИЯ НАСЕЛЕНИЯ""")</f>
        <v>БУ "КОНДИНСКИЙ РАЙОННЫЙ КОМПЛЕКСНЫЙ ЦЕНТР СОЦИАЛЬНОГО ОБСЛУЖИВАНИЯ НАСЕЛЕНИЯ"</v>
      </c>
      <c r="B13275" s="24" t="s">
        <v>17871</v>
      </c>
      <c r="C13275" s="25">
        <v>307800</v>
      </c>
      <c r="D13275" s="22" t="s">
        <v>17872</v>
      </c>
      <c r="E13275" s="22" t="s">
        <v>96</v>
      </c>
      <c r="F13275" s="23" t="str">
        <f>HYPERLINK("https://www.spark-marketing.ru/Card/Lot/72085238", "Оказание услуг по организации горячего питания для филиала в пгт.Кондинское")</f>
        <v>Оказание услуг по организации горячего питания для филиала в пгт.Кондинское</v>
      </c>
      <c r="G13275" s="22" t="s">
        <v>97</v>
      </c>
      <c r="H13275" s="22" t="s">
        <v>7597</v>
      </c>
      <c r="I13275" s="26">
        <v>43658.721412036997</v>
      </c>
      <c r="J13275" s="23" t="str">
        <f>HYPERLINK("https://www.spark-marketing.ru/Card/Person/1647609", "ООО ""КОЛОС""")</f>
        <v>ООО "КОЛОС"</v>
      </c>
      <c r="K13275" s="24" t="s">
        <v>17873</v>
      </c>
      <c r="L13275" s="22" t="s">
        <v>10</v>
      </c>
      <c r="M13275" s="28" t="s">
        <v>51</v>
      </c>
      <c r="N13275" s="28" t="s">
        <v>51</v>
      </c>
    </row>
    <row r="13276" spans="1:14" x14ac:dyDescent="0.15">
      <c r="A13276" s="23" t="str">
        <f>HYPERLINK("https://www.spark-marketing.ru/Card/Person/916089", "ГАОУ ДПО ЦПМ")</f>
        <v>ГАОУ ДПО ЦПМ</v>
      </c>
      <c r="B13276" s="24" t="s">
        <v>8145</v>
      </c>
      <c r="C13276" s="25">
        <v>1931360</v>
      </c>
      <c r="D13276" s="22" t="s">
        <v>17874</v>
      </c>
      <c r="E13276" s="22" t="s">
        <v>1921</v>
      </c>
      <c r="F13276" s="23" t="str">
        <f>HYPERLINK("https://www.spark-marketing.ru/Card/Lot/72072497", "Оказание услуг по обеспечению проживанием и питанием команды обучающихся города Москвы в выездных образовательных мероприятиях")</f>
        <v>Оказание услуг по обеспечению проживанием и питанием команды обучающихся города Москвы в выездных образовательных мероприятиях</v>
      </c>
      <c r="G13276" s="22" t="s">
        <v>56</v>
      </c>
      <c r="H13276" s="22" t="s">
        <v>56</v>
      </c>
      <c r="I13276" s="26">
        <v>43658.717453703699</v>
      </c>
      <c r="J13276" s="28" t="s">
        <v>51</v>
      </c>
      <c r="K13276" s="28" t="s">
        <v>51</v>
      </c>
      <c r="L13276" s="28" t="s">
        <v>51</v>
      </c>
      <c r="M13276" s="28" t="s">
        <v>51</v>
      </c>
      <c r="N13276" s="28" t="s">
        <v>51</v>
      </c>
    </row>
    <row r="13277" spans="1:14" x14ac:dyDescent="0.15">
      <c r="A13277" s="23" t="str">
        <f>HYPERLINK("https://www.spark-marketing.ru/Card/Person/140005", "БУ ""КОНДИНСКИЙ РАЙОННЫЙ КОМПЛЕКСНЫЙ ЦЕНТР СОЦИАЛЬНОГО ОБСЛУЖИВАНИЯ НАСЕЛЕНИЯ""")</f>
        <v>БУ "КОНДИНСКИЙ РАЙОННЫЙ КОМПЛЕКСНЫЙ ЦЕНТР СОЦИАЛЬНОГО ОБСЛУЖИВАНИЯ НАСЕЛЕНИЯ"</v>
      </c>
      <c r="B13277" s="24" t="s">
        <v>17871</v>
      </c>
      <c r="C13277" s="25">
        <v>393660</v>
      </c>
      <c r="D13277" s="22" t="s">
        <v>17875</v>
      </c>
      <c r="E13277" s="22" t="s">
        <v>96</v>
      </c>
      <c r="F13277" s="23" t="str">
        <f>HYPERLINK("https://www.spark-marketing.ru/Card/Lot/72071542", "Оказание услуг по организации горячего питания для филиала в сп.Мулымья")</f>
        <v>Оказание услуг по организации горячего питания для филиала в сп.Мулымья</v>
      </c>
      <c r="G13277" s="22" t="s">
        <v>97</v>
      </c>
      <c r="H13277" s="22" t="s">
        <v>7597</v>
      </c>
      <c r="I13277" s="26">
        <v>43658.700520833299</v>
      </c>
      <c r="J13277" s="23" t="str">
        <f>HYPERLINK("https://www.spark-marketing.ru/Card/Person/129013", "ООО ТД ""ПРИМА""")</f>
        <v>ООО ТД "ПРИМА"</v>
      </c>
      <c r="K13277" s="24" t="s">
        <v>17876</v>
      </c>
      <c r="L13277" s="22" t="s">
        <v>10</v>
      </c>
      <c r="M13277" s="28" t="s">
        <v>51</v>
      </c>
      <c r="N13277" s="28" t="s">
        <v>51</v>
      </c>
    </row>
    <row r="13278" spans="1:14" x14ac:dyDescent="0.2">
      <c r="A13278" s="23" t="str">
        <f>HYPERLINK("https://www.spark-marketing.ru/Card/Person/765343", "КРОО (АО)")</f>
        <v>КРОО (АО)</v>
      </c>
      <c r="B13278" s="24" t="s">
        <v>17877</v>
      </c>
      <c r="C13278" s="25">
        <v>1200000</v>
      </c>
      <c r="D13278" s="22" t="s">
        <v>17878</v>
      </c>
      <c r="E13278" s="22" t="s">
        <v>554</v>
      </c>
      <c r="F13278" s="23" t="str">
        <f>HYPERLINK("https://www.spark-marketing.ru/Card/Lot/72068593", "Оказание услуг по организации участия субъектов малого и среднего предпринимательства Оренбургской области в 27 Международной выставке продуктов питания и напитков - WorldFood Istanbul 2019 (коллективный стенд), 04-07 сентября 2019 года, г. Стамбул, ...")</f>
        <v>Оказание услуг по организации участия субъектов малого и среднего предпринимательства Оренбургской области в 27 Международной выставке продуктов питания и напитков - WorldFood Istanbul 2019 (коллективный стенд), 04-07 сентября 2019 года, г. Стамбул, ...</v>
      </c>
      <c r="G13278" s="22" t="s">
        <v>132</v>
      </c>
      <c r="H13278" s="22" t="s">
        <v>132</v>
      </c>
      <c r="I13278" s="26">
        <v>43658.690787036998</v>
      </c>
      <c r="J13278" s="28" t="s">
        <v>51</v>
      </c>
      <c r="K13278" s="28" t="s">
        <v>51</v>
      </c>
      <c r="L13278" s="22" t="s">
        <v>10</v>
      </c>
      <c r="M13278" s="25">
        <v>1200000</v>
      </c>
      <c r="N13278" s="27">
        <v>0</v>
      </c>
    </row>
    <row r="13279" spans="1:14" x14ac:dyDescent="0.15">
      <c r="A13279" s="23" t="s">
        <v>114</v>
      </c>
      <c r="B13279" s="28" t="s">
        <v>51</v>
      </c>
      <c r="C13279" s="25">
        <v>25087180</v>
      </c>
      <c r="D13279" s="22" t="s">
        <v>17879</v>
      </c>
      <c r="E13279" s="22" t="s">
        <v>48</v>
      </c>
      <c r="F13279" s="23" t="str">
        <f t="shared" ref="F13279:F13298" si="437">HYPERLINK("https://www.spark-marketing.ru/Card/Lot/72078060", "Оказание услуг по организации, приготовлению и предоставлению питания на базе пищеблока школьной столовой")</f>
        <v>Оказание услуг по организации, приготовлению и предоставлению питания на базе пищеблока школьной столовой</v>
      </c>
      <c r="G13279" s="22" t="s">
        <v>51</v>
      </c>
      <c r="H13279" s="22" t="s">
        <v>51</v>
      </c>
      <c r="I13279" s="26">
        <v>43658.658472222203</v>
      </c>
      <c r="J13279" s="28" t="s">
        <v>51</v>
      </c>
      <c r="K13279" s="28" t="s">
        <v>51</v>
      </c>
      <c r="L13279" s="28" t="s">
        <v>51</v>
      </c>
      <c r="M13279" s="28" t="s">
        <v>51</v>
      </c>
      <c r="N13279" s="28" t="s">
        <v>51</v>
      </c>
    </row>
    <row r="13280" spans="1:14" hidden="1" outlineLevel="1" x14ac:dyDescent="0.15">
      <c r="A13280" s="23" t="str">
        <f>HYPERLINK("https://www.spark-marketing.ru/Card/Person/87403", "МБОУ ""СОШ № 3""")</f>
        <v>МБОУ "СОШ № 3"</v>
      </c>
      <c r="B13280" s="24" t="s">
        <v>17880</v>
      </c>
      <c r="C13280" s="25">
        <v>1623500</v>
      </c>
      <c r="D13280" s="22" t="s">
        <v>17879</v>
      </c>
      <c r="E13280" s="22" t="s">
        <v>48</v>
      </c>
      <c r="F13280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80" s="22" t="s">
        <v>112</v>
      </c>
      <c r="H13280" s="22" t="s">
        <v>112</v>
      </c>
      <c r="I13280" s="26">
        <v>43658.658472222203</v>
      </c>
      <c r="J13280" s="28" t="s">
        <v>51</v>
      </c>
      <c r="K13280" s="28" t="s">
        <v>51</v>
      </c>
      <c r="L13280" s="28" t="s">
        <v>51</v>
      </c>
      <c r="M13280" s="28" t="s">
        <v>51</v>
      </c>
      <c r="N13280" s="28" t="s">
        <v>51</v>
      </c>
    </row>
    <row r="13281" spans="1:14" hidden="1" outlineLevel="1" x14ac:dyDescent="0.15">
      <c r="A13281" s="23" t="str">
        <f>HYPERLINK("https://www.spark-marketing.ru/Card/Person/87428", "МБОУ ""СРЕДНЯЯ ШКОЛА № 6""")</f>
        <v>МБОУ "СРЕДНЯЯ ШКОЛА № 6"</v>
      </c>
      <c r="B13281" s="24" t="s">
        <v>17881</v>
      </c>
      <c r="C13281" s="25">
        <v>1258000</v>
      </c>
      <c r="D13281" s="22" t="s">
        <v>17879</v>
      </c>
      <c r="E13281" s="22" t="s">
        <v>48</v>
      </c>
      <c r="F13281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81" s="22" t="s">
        <v>112</v>
      </c>
      <c r="H13281" s="22" t="s">
        <v>112</v>
      </c>
      <c r="I13281" s="26">
        <v>43658.658472222203</v>
      </c>
      <c r="J13281" s="28" t="s">
        <v>51</v>
      </c>
      <c r="K13281" s="28" t="s">
        <v>51</v>
      </c>
      <c r="L13281" s="28" t="s">
        <v>51</v>
      </c>
      <c r="M13281" s="28" t="s">
        <v>51</v>
      </c>
      <c r="N13281" s="28" t="s">
        <v>51</v>
      </c>
    </row>
    <row r="13282" spans="1:14" hidden="1" outlineLevel="1" x14ac:dyDescent="0.15">
      <c r="A13282" s="23" t="str">
        <f>HYPERLINK("https://www.spark-marketing.ru/Card/Person/87490", "МБОУ ""СОШ № 1 ИМ. С.Т. ШАЦКОГО""")</f>
        <v>МБОУ "СОШ № 1 ИМ. С.Т. ШАЦКОГО"</v>
      </c>
      <c r="B13282" s="24" t="s">
        <v>17882</v>
      </c>
      <c r="C13282" s="25">
        <v>1228250</v>
      </c>
      <c r="D13282" s="22" t="s">
        <v>17879</v>
      </c>
      <c r="E13282" s="22" t="s">
        <v>48</v>
      </c>
      <c r="F13282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82" s="22" t="s">
        <v>112</v>
      </c>
      <c r="H13282" s="22" t="s">
        <v>112</v>
      </c>
      <c r="I13282" s="26">
        <v>43658.658472222203</v>
      </c>
      <c r="J13282" s="28" t="s">
        <v>51</v>
      </c>
      <c r="K13282" s="28" t="s">
        <v>51</v>
      </c>
      <c r="L13282" s="28" t="s">
        <v>51</v>
      </c>
      <c r="M13282" s="28" t="s">
        <v>51</v>
      </c>
      <c r="N13282" s="28" t="s">
        <v>51</v>
      </c>
    </row>
    <row r="13283" spans="1:14" hidden="1" outlineLevel="1" x14ac:dyDescent="0.15">
      <c r="A13283" s="23" t="str">
        <f>HYPERLINK("https://www.spark-marketing.ru/Card/Person/87576", "МБОУ ""СОШ №4 ИМ. Л.Г. ОСИПЕНКО""")</f>
        <v>МБОУ "СОШ №4 ИМ. Л.Г. ОСИПЕНКО"</v>
      </c>
      <c r="B13283" s="24" t="s">
        <v>17883</v>
      </c>
      <c r="C13283" s="25">
        <v>1554210</v>
      </c>
      <c r="D13283" s="22" t="s">
        <v>17879</v>
      </c>
      <c r="E13283" s="22" t="s">
        <v>48</v>
      </c>
      <c r="F13283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83" s="22" t="s">
        <v>112</v>
      </c>
      <c r="H13283" s="22" t="s">
        <v>112</v>
      </c>
      <c r="I13283" s="26">
        <v>43658.658472222203</v>
      </c>
      <c r="J13283" s="28" t="s">
        <v>51</v>
      </c>
      <c r="K13283" s="28" t="s">
        <v>51</v>
      </c>
      <c r="L13283" s="28" t="s">
        <v>51</v>
      </c>
      <c r="M13283" s="28" t="s">
        <v>51</v>
      </c>
      <c r="N13283" s="28" t="s">
        <v>51</v>
      </c>
    </row>
    <row r="13284" spans="1:14" hidden="1" outlineLevel="1" x14ac:dyDescent="0.15">
      <c r="A13284" s="23" t="str">
        <f>HYPERLINK("https://www.spark-marketing.ru/Card/Person/87600", "МБОУ ""СОШ №7""")</f>
        <v>МБОУ "СОШ №7"</v>
      </c>
      <c r="B13284" s="24" t="s">
        <v>17884</v>
      </c>
      <c r="C13284" s="25">
        <v>1194250</v>
      </c>
      <c r="D13284" s="22" t="s">
        <v>17879</v>
      </c>
      <c r="E13284" s="22" t="s">
        <v>48</v>
      </c>
      <c r="F13284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84" s="22" t="s">
        <v>112</v>
      </c>
      <c r="H13284" s="22" t="s">
        <v>112</v>
      </c>
      <c r="I13284" s="26">
        <v>43658.658472222203</v>
      </c>
      <c r="J13284" s="28" t="s">
        <v>51</v>
      </c>
      <c r="K13284" s="28" t="s">
        <v>51</v>
      </c>
      <c r="L13284" s="28" t="s">
        <v>51</v>
      </c>
      <c r="M13284" s="28" t="s">
        <v>51</v>
      </c>
      <c r="N13284" s="28" t="s">
        <v>51</v>
      </c>
    </row>
    <row r="13285" spans="1:14" hidden="1" outlineLevel="1" x14ac:dyDescent="0.15">
      <c r="A13285" s="23" t="str">
        <f>HYPERLINK("https://www.spark-marketing.ru/Card/Person/87685", "МБОУ ""СОШ ""ТЕХНИЧЕСКИЙ ЛИЦЕЙ""")</f>
        <v>МБОУ "СОШ "ТЕХНИЧЕСКИЙ ЛИЦЕЙ"</v>
      </c>
      <c r="B13285" s="24" t="s">
        <v>17885</v>
      </c>
      <c r="C13285" s="25">
        <v>1700000</v>
      </c>
      <c r="D13285" s="22" t="s">
        <v>17879</v>
      </c>
      <c r="E13285" s="22" t="s">
        <v>48</v>
      </c>
      <c r="F13285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85" s="22" t="s">
        <v>112</v>
      </c>
      <c r="H13285" s="22" t="s">
        <v>112</v>
      </c>
      <c r="I13285" s="26">
        <v>43658.658472222203</v>
      </c>
      <c r="J13285" s="28" t="s">
        <v>51</v>
      </c>
      <c r="K13285" s="28" t="s">
        <v>51</v>
      </c>
      <c r="L13285" s="28" t="s">
        <v>51</v>
      </c>
      <c r="M13285" s="28" t="s">
        <v>51</v>
      </c>
      <c r="N13285" s="28" t="s">
        <v>51</v>
      </c>
    </row>
    <row r="13286" spans="1:14" hidden="1" outlineLevel="1" x14ac:dyDescent="0.15">
      <c r="A13286" s="23" t="str">
        <f>HYPERLINK("https://www.spark-marketing.ru/Card/Person/87793", "МБОУ ""ГИМНАЗИЯ""")</f>
        <v>МБОУ "ГИМНАЗИЯ"</v>
      </c>
      <c r="B13286" s="24" t="s">
        <v>17886</v>
      </c>
      <c r="C13286" s="25">
        <v>220200</v>
      </c>
      <c r="D13286" s="22" t="s">
        <v>17879</v>
      </c>
      <c r="E13286" s="22" t="s">
        <v>48</v>
      </c>
      <c r="F13286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86" s="22" t="s">
        <v>112</v>
      </c>
      <c r="H13286" s="22" t="s">
        <v>112</v>
      </c>
      <c r="I13286" s="26">
        <v>43658.658472222203</v>
      </c>
      <c r="J13286" s="28" t="s">
        <v>51</v>
      </c>
      <c r="K13286" s="28" t="s">
        <v>51</v>
      </c>
      <c r="L13286" s="28" t="s">
        <v>51</v>
      </c>
      <c r="M13286" s="28" t="s">
        <v>51</v>
      </c>
      <c r="N13286" s="28" t="s">
        <v>51</v>
      </c>
    </row>
    <row r="13287" spans="1:14" hidden="1" outlineLevel="1" x14ac:dyDescent="0.15">
      <c r="A13287" s="23" t="str">
        <f>HYPERLINK("https://www.spark-marketing.ru/Card/Person/88240", "МБОУ ""СОШ № 5""")</f>
        <v>МБОУ "СОШ № 5"</v>
      </c>
      <c r="B13287" s="24" t="s">
        <v>17887</v>
      </c>
      <c r="C13287" s="25">
        <v>1219750</v>
      </c>
      <c r="D13287" s="22" t="s">
        <v>17879</v>
      </c>
      <c r="E13287" s="22" t="s">
        <v>48</v>
      </c>
      <c r="F13287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87" s="22" t="s">
        <v>112</v>
      </c>
      <c r="H13287" s="22" t="s">
        <v>112</v>
      </c>
      <c r="I13287" s="26">
        <v>43658.658472222203</v>
      </c>
      <c r="J13287" s="28" t="s">
        <v>51</v>
      </c>
      <c r="K13287" s="28" t="s">
        <v>51</v>
      </c>
      <c r="L13287" s="28" t="s">
        <v>51</v>
      </c>
      <c r="M13287" s="28" t="s">
        <v>51</v>
      </c>
      <c r="N13287" s="28" t="s">
        <v>51</v>
      </c>
    </row>
    <row r="13288" spans="1:14" hidden="1" outlineLevel="1" x14ac:dyDescent="0.15">
      <c r="A13288" s="23" t="str">
        <f>HYPERLINK("https://www.spark-marketing.ru/Card/Person/89544", "МБОУ ""СОШ № 16""")</f>
        <v>МБОУ "СОШ № 16"</v>
      </c>
      <c r="B13288" s="24" t="s">
        <v>17888</v>
      </c>
      <c r="C13288" s="25">
        <v>1729750</v>
      </c>
      <c r="D13288" s="22" t="s">
        <v>17879</v>
      </c>
      <c r="E13288" s="22" t="s">
        <v>48</v>
      </c>
      <c r="F13288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88" s="22" t="s">
        <v>112</v>
      </c>
      <c r="H13288" s="22" t="s">
        <v>112</v>
      </c>
      <c r="I13288" s="26">
        <v>43658.658472222203</v>
      </c>
      <c r="J13288" s="28" t="s">
        <v>51</v>
      </c>
      <c r="K13288" s="28" t="s">
        <v>51</v>
      </c>
      <c r="L13288" s="28" t="s">
        <v>51</v>
      </c>
      <c r="M13288" s="28" t="s">
        <v>51</v>
      </c>
      <c r="N13288" s="28" t="s">
        <v>51</v>
      </c>
    </row>
    <row r="13289" spans="1:14" hidden="1" outlineLevel="1" x14ac:dyDescent="0.15">
      <c r="A13289" s="23" t="str">
        <f>HYPERLINK("https://www.spark-marketing.ru/Card/Person/89770", "МБОУ ""ЛИЦЕЙ ""ФТШ""")</f>
        <v>МБОУ "ЛИЦЕЙ "ФТШ"</v>
      </c>
      <c r="B13289" s="24" t="s">
        <v>17889</v>
      </c>
      <c r="C13289" s="25">
        <v>230720</v>
      </c>
      <c r="D13289" s="22" t="s">
        <v>17879</v>
      </c>
      <c r="E13289" s="22" t="s">
        <v>48</v>
      </c>
      <c r="F13289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89" s="22" t="s">
        <v>112</v>
      </c>
      <c r="H13289" s="22" t="s">
        <v>112</v>
      </c>
      <c r="I13289" s="26">
        <v>43658.658472222203</v>
      </c>
      <c r="J13289" s="28" t="s">
        <v>51</v>
      </c>
      <c r="K13289" s="28" t="s">
        <v>51</v>
      </c>
      <c r="L13289" s="28" t="s">
        <v>51</v>
      </c>
      <c r="M13289" s="28" t="s">
        <v>51</v>
      </c>
      <c r="N13289" s="28" t="s">
        <v>51</v>
      </c>
    </row>
    <row r="13290" spans="1:14" hidden="1" outlineLevel="1" x14ac:dyDescent="0.15">
      <c r="A13290" s="23" t="str">
        <f>HYPERLINK("https://www.spark-marketing.ru/Card/Person/90124", "МБОУ ""ЛИЦЕЙ ""ДЕРЖАВА""")</f>
        <v>МБОУ "ЛИЦЕЙ "ДЕРЖАВА"</v>
      </c>
      <c r="B13290" s="24" t="s">
        <v>17890</v>
      </c>
      <c r="C13290" s="25">
        <v>3428900</v>
      </c>
      <c r="D13290" s="22" t="s">
        <v>17879</v>
      </c>
      <c r="E13290" s="22" t="s">
        <v>48</v>
      </c>
      <c r="F13290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90" s="22" t="s">
        <v>112</v>
      </c>
      <c r="H13290" s="22" t="s">
        <v>112</v>
      </c>
      <c r="I13290" s="26">
        <v>43658.658472222203</v>
      </c>
      <c r="J13290" s="28" t="s">
        <v>51</v>
      </c>
      <c r="K13290" s="28" t="s">
        <v>51</v>
      </c>
      <c r="L13290" s="28" t="s">
        <v>51</v>
      </c>
      <c r="M13290" s="28" t="s">
        <v>51</v>
      </c>
      <c r="N13290" s="28" t="s">
        <v>51</v>
      </c>
    </row>
    <row r="13291" spans="1:14" hidden="1" outlineLevel="1" x14ac:dyDescent="0.15">
      <c r="A13291" s="23" t="str">
        <f>HYPERLINK("https://www.spark-marketing.ru/Card/Person/90383", "МБОУ ""СОШ № 13""")</f>
        <v>МБОУ "СОШ № 13"</v>
      </c>
      <c r="B13291" s="24" t="s">
        <v>17891</v>
      </c>
      <c r="C13291" s="25">
        <v>1752150</v>
      </c>
      <c r="D13291" s="22" t="s">
        <v>17879</v>
      </c>
      <c r="E13291" s="22" t="s">
        <v>48</v>
      </c>
      <c r="F13291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91" s="22" t="s">
        <v>112</v>
      </c>
      <c r="H13291" s="22" t="s">
        <v>112</v>
      </c>
      <c r="I13291" s="26">
        <v>43658.658472222203</v>
      </c>
      <c r="J13291" s="28" t="s">
        <v>51</v>
      </c>
      <c r="K13291" s="28" t="s">
        <v>51</v>
      </c>
      <c r="L13291" s="28" t="s">
        <v>51</v>
      </c>
      <c r="M13291" s="28" t="s">
        <v>51</v>
      </c>
      <c r="N13291" s="28" t="s">
        <v>51</v>
      </c>
    </row>
    <row r="13292" spans="1:14" hidden="1" outlineLevel="1" x14ac:dyDescent="0.15">
      <c r="A13292" s="23" t="str">
        <f>HYPERLINK("https://www.spark-marketing.ru/Card/Person/90568", "МБОУ ""СОШ №10""")</f>
        <v>МБОУ "СОШ №10"</v>
      </c>
      <c r="B13292" s="24" t="s">
        <v>17892</v>
      </c>
      <c r="C13292" s="25">
        <v>3204500</v>
      </c>
      <c r="D13292" s="22" t="s">
        <v>17879</v>
      </c>
      <c r="E13292" s="22" t="s">
        <v>48</v>
      </c>
      <c r="F13292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92" s="22" t="s">
        <v>112</v>
      </c>
      <c r="H13292" s="22" t="s">
        <v>112</v>
      </c>
      <c r="I13292" s="26">
        <v>43658.658472222203</v>
      </c>
      <c r="J13292" s="28" t="s">
        <v>51</v>
      </c>
      <c r="K13292" s="28" t="s">
        <v>51</v>
      </c>
      <c r="L13292" s="28" t="s">
        <v>51</v>
      </c>
      <c r="M13292" s="28" t="s">
        <v>51</v>
      </c>
      <c r="N13292" s="28" t="s">
        <v>51</v>
      </c>
    </row>
    <row r="13293" spans="1:14" hidden="1" outlineLevel="1" x14ac:dyDescent="0.15">
      <c r="A13293" s="23" t="str">
        <f>HYPERLINK("https://www.spark-marketing.ru/Card/Person/90641", "МБОУ ""СОШ № 12""")</f>
        <v>МБОУ "СОШ № 12"</v>
      </c>
      <c r="B13293" s="24" t="s">
        <v>17893</v>
      </c>
      <c r="C13293" s="25">
        <v>1581000</v>
      </c>
      <c r="D13293" s="22" t="s">
        <v>17879</v>
      </c>
      <c r="E13293" s="22" t="s">
        <v>48</v>
      </c>
      <c r="F13293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93" s="22" t="s">
        <v>112</v>
      </c>
      <c r="H13293" s="22" t="s">
        <v>112</v>
      </c>
      <c r="I13293" s="26">
        <v>43658.658472222203</v>
      </c>
      <c r="J13293" s="28" t="s">
        <v>51</v>
      </c>
      <c r="K13293" s="28" t="s">
        <v>51</v>
      </c>
      <c r="L13293" s="28" t="s">
        <v>51</v>
      </c>
      <c r="M13293" s="28" t="s">
        <v>51</v>
      </c>
      <c r="N13293" s="28" t="s">
        <v>51</v>
      </c>
    </row>
    <row r="13294" spans="1:14" hidden="1" outlineLevel="1" x14ac:dyDescent="0.15">
      <c r="A13294" s="23" t="str">
        <f>HYPERLINK("https://www.spark-marketing.ru/Card/Person/90702", "МБОУ ""СОШ №11""")</f>
        <v>МБОУ "СОШ №11"</v>
      </c>
      <c r="B13294" s="24" t="s">
        <v>17894</v>
      </c>
      <c r="C13294" s="25">
        <v>1785000</v>
      </c>
      <c r="D13294" s="22" t="s">
        <v>17879</v>
      </c>
      <c r="E13294" s="22" t="s">
        <v>48</v>
      </c>
      <c r="F13294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94" s="22" t="s">
        <v>112</v>
      </c>
      <c r="H13294" s="22" t="s">
        <v>112</v>
      </c>
      <c r="I13294" s="26">
        <v>43658.658472222203</v>
      </c>
      <c r="J13294" s="28" t="s">
        <v>51</v>
      </c>
      <c r="K13294" s="28" t="s">
        <v>51</v>
      </c>
      <c r="L13294" s="28" t="s">
        <v>51</v>
      </c>
      <c r="M13294" s="28" t="s">
        <v>51</v>
      </c>
      <c r="N13294" s="28" t="s">
        <v>51</v>
      </c>
    </row>
    <row r="13295" spans="1:14" hidden="1" outlineLevel="1" x14ac:dyDescent="0.15">
      <c r="A13295" s="23" t="str">
        <f>HYPERLINK("https://www.spark-marketing.ru/Card/Person/91355", "МБОУ ""СОШ №9""")</f>
        <v>МБОУ "СОШ №9"</v>
      </c>
      <c r="B13295" s="24" t="s">
        <v>17895</v>
      </c>
      <c r="C13295" s="25">
        <v>1377000</v>
      </c>
      <c r="D13295" s="22" t="s">
        <v>17879</v>
      </c>
      <c r="E13295" s="22" t="s">
        <v>48</v>
      </c>
      <c r="F13295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95" s="22" t="s">
        <v>112</v>
      </c>
      <c r="H13295" s="22" t="s">
        <v>112</v>
      </c>
      <c r="I13295" s="26">
        <v>43658.658472222203</v>
      </c>
      <c r="J13295" s="28" t="s">
        <v>51</v>
      </c>
      <c r="K13295" s="28" t="s">
        <v>51</v>
      </c>
      <c r="L13295" s="28" t="s">
        <v>51</v>
      </c>
      <c r="M13295" s="28" t="s">
        <v>51</v>
      </c>
      <c r="N13295" s="28" t="s">
        <v>51</v>
      </c>
    </row>
    <row r="13296" spans="1:14" hidden="1" outlineLevel="1" x14ac:dyDescent="0.2">
      <c r="A13296" s="28" t="s">
        <v>51</v>
      </c>
      <c r="B13296" s="28" t="s">
        <v>51</v>
      </c>
      <c r="C13296" s="28" t="s">
        <v>51</v>
      </c>
      <c r="D13296" s="22" t="s">
        <v>17879</v>
      </c>
      <c r="E13296" s="22" t="s">
        <v>48</v>
      </c>
      <c r="F13296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96" s="22" t="s">
        <v>51</v>
      </c>
      <c r="H13296" s="22" t="s">
        <v>51</v>
      </c>
      <c r="I13296" s="26">
        <v>43658.658472222203</v>
      </c>
      <c r="J13296" s="23" t="str">
        <f>HYPERLINK("https://www.spark-marketing.ru/Card/Person/91324", "ООО ""КАЛУЖСКИЙ КОМБИНАТ ШКОЛЬНОГО ПИТАНИЯ""")</f>
        <v>ООО "КАЛУЖСКИЙ КОМБИНАТ ШКОЛЬНОГО ПИТАНИЯ"</v>
      </c>
      <c r="K13296" s="24" t="s">
        <v>14829</v>
      </c>
      <c r="L13296" s="28" t="s">
        <v>51</v>
      </c>
      <c r="M13296" s="25">
        <v>25087170</v>
      </c>
      <c r="N13296" s="27">
        <v>3.9860996732195487E-7</v>
      </c>
    </row>
    <row r="13297" spans="1:14" hidden="1" outlineLevel="1" x14ac:dyDescent="0.2">
      <c r="A13297" s="28" t="s">
        <v>51</v>
      </c>
      <c r="B13297" s="28" t="s">
        <v>51</v>
      </c>
      <c r="C13297" s="28" t="s">
        <v>51</v>
      </c>
      <c r="D13297" s="22" t="s">
        <v>17879</v>
      </c>
      <c r="E13297" s="22" t="s">
        <v>48</v>
      </c>
      <c r="F13297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97" s="22" t="s">
        <v>51</v>
      </c>
      <c r="H13297" s="22" t="s">
        <v>51</v>
      </c>
      <c r="I13297" s="26">
        <v>43658.658472222203</v>
      </c>
      <c r="J13297" s="23" t="str">
        <f>HYPERLINK("https://www.spark-marketing.ru/Card/Person/101936", "ООО ""ИНВЕСТ ГАРАНТ""")</f>
        <v>ООО "ИНВЕСТ ГАРАНТ"</v>
      </c>
      <c r="K13297" s="24" t="s">
        <v>15408</v>
      </c>
      <c r="L13297" s="28" t="s">
        <v>51</v>
      </c>
      <c r="M13297" s="25">
        <v>24334564.600000001</v>
      </c>
      <c r="N13297" s="27">
        <v>0.03</v>
      </c>
    </row>
    <row r="13298" spans="1:14" hidden="1" outlineLevel="1" x14ac:dyDescent="0.2">
      <c r="A13298" s="28" t="s">
        <v>51</v>
      </c>
      <c r="B13298" s="28" t="s">
        <v>51</v>
      </c>
      <c r="C13298" s="28" t="s">
        <v>51</v>
      </c>
      <c r="D13298" s="22" t="s">
        <v>17879</v>
      </c>
      <c r="E13298" s="22" t="s">
        <v>48</v>
      </c>
      <c r="F13298" s="23" t="str">
        <f t="shared" si="437"/>
        <v>Оказание услуг по организации, приготовлению и предоставлению питания на базе пищеблока школьной столовой</v>
      </c>
      <c r="G13298" s="22" t="s">
        <v>51</v>
      </c>
      <c r="H13298" s="22" t="s">
        <v>51</v>
      </c>
      <c r="I13298" s="26">
        <v>43658.658472222203</v>
      </c>
      <c r="J13298" s="23" t="str">
        <f>HYPERLINK("https://www.spark-marketing.ru/Card/Person/71906", "ООО ""ПК ""ОБНИНСКИЙ""")</f>
        <v>ООО "ПК "ОБНИНСКИЙ"</v>
      </c>
      <c r="K13298" s="24" t="s">
        <v>17896</v>
      </c>
      <c r="L13298" s="22" t="s">
        <v>10</v>
      </c>
      <c r="M13298" s="25">
        <v>12543590</v>
      </c>
      <c r="N13298" s="27">
        <v>0.5</v>
      </c>
    </row>
    <row r="13299" spans="1:14" x14ac:dyDescent="0.15">
      <c r="A13299" s="23" t="str">
        <f>HYPERLINK("https://www.spark-marketing.ru/Card/Person/738656", "О МВД РОССИИ ПО БИЧУРСКОМУ РАЙОНУ")</f>
        <v>О МВД РОССИИ ПО БИЧУРСКОМУ РАЙОНУ</v>
      </c>
      <c r="B13299" s="24" t="s">
        <v>15520</v>
      </c>
      <c r="C13299" s="25">
        <v>740520</v>
      </c>
      <c r="D13299" s="22" t="s">
        <v>17897</v>
      </c>
      <c r="E13299" s="22" t="s">
        <v>96</v>
      </c>
      <c r="F13299" s="23" t="str">
        <f>HYPERLINK("https://www.spark-marketing.ru/Card/Lot/72063149", "услуги по организации и доставке ежедневного горячего трехразового питания для лиц, содержащихся в ИВС и дежурной части ОМВД России по Бичурскому району более 3 часов")</f>
        <v>услуги по организации и доставке ежедневного горячего трехразового питания для лиц, содержащихся в ИВС и дежурной части ОМВД России по Бичурскому району более 3 часов</v>
      </c>
      <c r="G13299" s="22" t="s">
        <v>433</v>
      </c>
      <c r="H13299" s="22" t="s">
        <v>15522</v>
      </c>
      <c r="I13299" s="26">
        <v>43658.639618055597</v>
      </c>
      <c r="J13299" s="28" t="s">
        <v>51</v>
      </c>
      <c r="K13299" s="28" t="s">
        <v>51</v>
      </c>
      <c r="L13299" s="28" t="s">
        <v>51</v>
      </c>
      <c r="M13299" s="28" t="s">
        <v>51</v>
      </c>
      <c r="N13299" s="28" t="s">
        <v>51</v>
      </c>
    </row>
    <row r="13300" spans="1:14" x14ac:dyDescent="0.15">
      <c r="A13300" s="23" t="str">
        <f>HYPERLINK("https://www.spark-marketing.ru/Card/Person/132728", "ОТДЕЛ МВД РОССИИ ПО ВЕРХНЕУРАЛЬСКОМУ РАЙОНУ ЧЕЛЯБИНСКОЙ ОБЛАСТИ")</f>
        <v>ОТДЕЛ МВД РОССИИ ПО ВЕРХНЕУРАЛЬСКОМУ РАЙОНУ ЧЕЛЯБИНСКОЙ ОБЛАСТИ</v>
      </c>
      <c r="B13300" s="24" t="s">
        <v>17898</v>
      </c>
      <c r="C13300" s="25">
        <v>924000</v>
      </c>
      <c r="D13300" s="22" t="s">
        <v>17899</v>
      </c>
      <c r="E13300" s="22" t="s">
        <v>48</v>
      </c>
      <c r="F13300" s="23" t="str">
        <f>HYPERLINK("https://www.spark-marketing.ru/Card/Lot/72071920", "услуги по обеспечению трехразовым горячим питанием лиц, содержащихся в ИВС Отдела МВД России по Верхнеуральскому району Челябинской области")</f>
        <v>услуги по обеспечению трехразовым горячим питанием лиц, содержащихся в ИВС Отдела МВД России по Верхнеуральскому району Челябинской области</v>
      </c>
      <c r="G13300" s="22" t="s">
        <v>469</v>
      </c>
      <c r="H13300" s="22" t="s">
        <v>469</v>
      </c>
      <c r="I13300" s="26">
        <v>43658.652152777802</v>
      </c>
      <c r="J13300" s="23" t="str">
        <f>HYPERLINK("https://www.spark-marketing.ru/Card/Person/6634483", "ООО ""СВЕТ СТРОЙ""")</f>
        <v>ООО "СВЕТ СТРОЙ"</v>
      </c>
      <c r="K13300" s="24" t="s">
        <v>17900</v>
      </c>
      <c r="L13300" s="22" t="s">
        <v>10</v>
      </c>
      <c r="M13300" s="28" t="s">
        <v>51</v>
      </c>
      <c r="N13300" s="28" t="s">
        <v>51</v>
      </c>
    </row>
    <row r="13301" spans="1:14" x14ac:dyDescent="0.15">
      <c r="A13301" s="23" t="str">
        <f>HYPERLINK("https://www.spark-marketing.ru/Card/Person/102694", "МУ МВД РОССИИ ""ИРКУТСКОЕ""")</f>
        <v>МУ МВД РОССИИ "ИРКУТСКОЕ"</v>
      </c>
      <c r="B13301" s="24" t="s">
        <v>2766</v>
      </c>
      <c r="C13301" s="25">
        <v>900000</v>
      </c>
      <c r="D13301" s="22" t="s">
        <v>17901</v>
      </c>
      <c r="E13301" s="22" t="s">
        <v>48</v>
      </c>
      <c r="F13301" s="23" t="str">
        <f>HYPERLINK("https://www.spark-marketing.ru/Card/Lot/72063182", "Прочая закупка товаров, работ и услуг (оказание услуг по организации комплексного питания для лиц, содержащихся в специальном приемнике для содержания лиц, подвергнутых административному аресту МУ МВД России «Иркутское»)")</f>
        <v>Прочая закупка товаров, работ и услуг (оказание услуг по организации комплексного питания для лиц, содержащихся в специальном приемнике для содержания лиц, подвергнутых административному аресту МУ МВД России «Иркутское»)</v>
      </c>
      <c r="G13301" s="22" t="s">
        <v>263</v>
      </c>
      <c r="H13301" s="22" t="s">
        <v>2768</v>
      </c>
      <c r="I13301" s="26">
        <v>43658.641851851899</v>
      </c>
      <c r="J13301" s="28" t="s">
        <v>51</v>
      </c>
      <c r="K13301" s="28" t="s">
        <v>51</v>
      </c>
      <c r="L13301" s="28" t="s">
        <v>51</v>
      </c>
      <c r="M13301" s="28" t="s">
        <v>51</v>
      </c>
      <c r="N13301" s="28" t="s">
        <v>51</v>
      </c>
    </row>
    <row r="13302" spans="1:14" x14ac:dyDescent="0.15">
      <c r="A13302" s="23" t="str">
        <f>HYPERLINK("https://www.spark-marketing.ru/Card/Person/1061801", "МАОУ ""ОК ""ЛИЦЕЙ №3"" ИМЕНИ С.П. УГАРОВОЙ""")</f>
        <v>МАОУ "ОК "ЛИЦЕЙ №3" ИМЕНИ С.П. УГАРОВОЙ"</v>
      </c>
      <c r="B13302" s="24" t="s">
        <v>17902</v>
      </c>
      <c r="C13302" s="25">
        <v>7311785</v>
      </c>
      <c r="D13302" s="22" t="s">
        <v>17903</v>
      </c>
      <c r="E13302" s="22" t="s">
        <v>362</v>
      </c>
      <c r="F13302" s="23" t="str">
        <f>HYPERLINK("https://www.spark-marketing.ru/Card/Lot/72070185", "Оказание услуг по организации питания")</f>
        <v>Оказание услуг по организации питания</v>
      </c>
      <c r="G13302" s="22" t="s">
        <v>696</v>
      </c>
      <c r="H13302" s="22" t="s">
        <v>696</v>
      </c>
      <c r="I13302" s="26">
        <v>43658.6664930556</v>
      </c>
      <c r="J13302" s="28" t="s">
        <v>51</v>
      </c>
      <c r="K13302" s="28" t="s">
        <v>51</v>
      </c>
      <c r="L13302" s="22" t="s">
        <v>10</v>
      </c>
      <c r="M13302" s="28" t="s">
        <v>51</v>
      </c>
      <c r="N13302" s="28" t="s">
        <v>51</v>
      </c>
    </row>
    <row r="13303" spans="1:14" x14ac:dyDescent="0.15">
      <c r="A13303" s="23" t="str">
        <f>HYPERLINK("https://www.spark-marketing.ru/Card/Person/4343813", "МИНЗДРАВ ЧЕЛЯБИНСКОЙ ОБЛАСТИ")</f>
        <v>МИНЗДРАВ ЧЕЛЯБИНСКОЙ ОБЛАСТИ</v>
      </c>
      <c r="B13303" s="24" t="s">
        <v>17904</v>
      </c>
      <c r="C13303" s="25">
        <v>81704.399999999994</v>
      </c>
      <c r="D13303" s="22" t="s">
        <v>17905</v>
      </c>
      <c r="E13303" s="22" t="s">
        <v>336</v>
      </c>
      <c r="F13303" s="23" t="str">
        <f>HYPERLINK("https://www.spark-marketing.ru/Card/Lot/72068832", "Закупка Специализированных продуктов лечебного питания для граждан, имеющих право на получение социальной услуги по обеспечению лекарственными препаратами для медицинского применения по рецептам на лекарственные препараты за счет средств областного б...")</f>
        <v>Закупка Специализированных продуктов лечебного питания для граждан, имеющих право на получение социальной услуги по обеспечению лекарственными препаратами для медицинского применения по рецептам на лекарственные препараты за счет средств областного б...</v>
      </c>
      <c r="G13303" s="22" t="s">
        <v>469</v>
      </c>
      <c r="H13303" s="22" t="s">
        <v>491</v>
      </c>
      <c r="I13303" s="26">
        <v>43658.631388888898</v>
      </c>
      <c r="J13303" s="23" t="str">
        <f>HYPERLINK("https://www.spark-marketing.ru/Card/Person/45389", "АО ""ОАС""")</f>
        <v>АО "ОАС"</v>
      </c>
      <c r="K13303" s="24" t="s">
        <v>17906</v>
      </c>
      <c r="L13303" s="22" t="s">
        <v>10</v>
      </c>
      <c r="M13303" s="28" t="s">
        <v>51</v>
      </c>
      <c r="N13303" s="28" t="s">
        <v>51</v>
      </c>
    </row>
    <row r="13304" spans="1:14" x14ac:dyDescent="0.15">
      <c r="A13304" s="23" t="str">
        <f>HYPERLINK("https://www.spark-marketing.ru/Card/Person/132728", "ОТДЕЛ МВД РОССИИ ПО ВЕРХНЕУРАЛЬСКОМУ РАЙОНУ ЧЕЛЯБИНСКОЙ ОБЛАСТИ")</f>
        <v>ОТДЕЛ МВД РОССИИ ПО ВЕРХНЕУРАЛЬСКОМУ РАЙОНУ ЧЕЛЯБИНСКОЙ ОБЛАСТИ</v>
      </c>
      <c r="B13304" s="24" t="s">
        <v>17898</v>
      </c>
      <c r="C13304" s="25">
        <v>924000</v>
      </c>
      <c r="D13304" s="22" t="s">
        <v>17907</v>
      </c>
      <c r="E13304" s="22" t="s">
        <v>48</v>
      </c>
      <c r="F13304" s="23" t="str">
        <f>HYPERLINK("https://www.spark-marketing.ru/Card/Lot/72071961", "услуги по обеспечению трехразовым горячим питанием лиц, содержащихся в ИВС Отдела МВД России по Верхнеуральскому району Челябинской области")</f>
        <v>услуги по обеспечению трехразовым горячим питанием лиц, содержащихся в ИВС Отдела МВД России по Верхнеуральскому району Челябинской области</v>
      </c>
      <c r="G13304" s="22" t="s">
        <v>469</v>
      </c>
      <c r="H13304" s="22" t="s">
        <v>469</v>
      </c>
      <c r="I13304" s="26">
        <v>43658.656828703701</v>
      </c>
      <c r="J13304" s="23" t="str">
        <f>HYPERLINK("https://www.spark-marketing.ru/Card/Person/6634483", "ООО ""СВЕТ СТРОЙ""")</f>
        <v>ООО "СВЕТ СТРОЙ"</v>
      </c>
      <c r="K13304" s="24" t="s">
        <v>17900</v>
      </c>
      <c r="L13304" s="22" t="s">
        <v>10</v>
      </c>
      <c r="M13304" s="28" t="s">
        <v>51</v>
      </c>
      <c r="N13304" s="28" t="s">
        <v>51</v>
      </c>
    </row>
    <row r="13305" spans="1:14" x14ac:dyDescent="0.15">
      <c r="A13305" s="23" t="str">
        <f>HYPERLINK("https://www.spark-marketing.ru/Card/Person/45663", "УПРАВЛЕНИЕ МВД РОССИИ ПО Г.Н.НОВГОРОДУ")</f>
        <v>УПРАВЛЕНИЕ МВД РОССИИ ПО Г.Н.НОВГОРОДУ</v>
      </c>
      <c r="B13305" s="24" t="s">
        <v>17908</v>
      </c>
      <c r="C13305" s="25">
        <v>9689707.5999999996</v>
      </c>
      <c r="D13305" s="22" t="s">
        <v>17909</v>
      </c>
      <c r="E13305" s="22" t="s">
        <v>586</v>
      </c>
      <c r="F13305" s="23" t="str">
        <f>HYPERLINK("https://www.spark-marketing.ru/Card/Lot/72087449", "оказание услуг по организации питания лиц, арестованных в административном порядке и содержащихся в специальном приемнике для содержания лиц, подвергнутых административному аресту и лиц, содержащихся в изоляторах временного содержания подозреваемых и...")</f>
        <v>оказание услуг по организации питания лиц, арестованных в административном порядке и содержащихся в специальном приемнике для содержания лиц, подвергнутых административному аресту и лиц, содержащихся в изоляторах временного содержания подозреваемых и...</v>
      </c>
      <c r="G13305" s="22" t="s">
        <v>76</v>
      </c>
      <c r="H13305" s="22" t="s">
        <v>76</v>
      </c>
      <c r="I13305" s="26">
        <v>43658.628321759301</v>
      </c>
      <c r="J13305" s="28" t="s">
        <v>51</v>
      </c>
      <c r="K13305" s="28" t="s">
        <v>51</v>
      </c>
      <c r="L13305" s="28" t="s">
        <v>51</v>
      </c>
      <c r="M13305" s="28" t="s">
        <v>51</v>
      </c>
      <c r="N13305" s="28" t="s">
        <v>51</v>
      </c>
    </row>
    <row r="13306" spans="1:14" ht="12.75" hidden="1" outlineLevel="1" x14ac:dyDescent="0.2">
      <c r="A13306" s="23" t="str">
        <f>HYPERLINK("https://www.spark-marketing.ru/Card/Person/45663", "УПРАВЛЕНИЕ МВД РОССИИ ПО Г.Н.НОВГОРОДУ")</f>
        <v>УПРАВЛЕНИЕ МВД РОССИИ ПО Г.Н.НОВГОРОДУ</v>
      </c>
      <c r="B13306" s="24" t="s">
        <v>17908</v>
      </c>
      <c r="C13306" s="25">
        <v>9689707.5999999996</v>
      </c>
      <c r="D13306" s="22" t="s">
        <v>17909</v>
      </c>
      <c r="E13306" s="22" t="s">
        <v>586</v>
      </c>
      <c r="F13306" s="23" t="str">
        <f>HYPERLINK("https://www.spark-marketing.ru/Card/Lot/72087449", "оказание услуг по организации питания лиц, арестованных в административном порядке и содержащихся в специальном приемнике для содержания лиц, подвергнутых административному аресту и лиц, содержащихся в изоляторах временного содержания подозреваемых и...")</f>
        <v>оказание услуг по организации питания лиц, арестованных в административном порядке и содержащихся в специальном приемнике для содержания лиц, подвергнутых административному аресту и лиц, содержащихся в изоляторах временного содержания подозреваемых и...</v>
      </c>
      <c r="G13306" s="22" t="s">
        <v>76</v>
      </c>
      <c r="H13306" s="22" t="s">
        <v>76</v>
      </c>
      <c r="I13306" s="26">
        <v>43658.628321759301</v>
      </c>
      <c r="J13306" s="23" t="str">
        <f>HYPERLINK("https://www.spark-marketing.ru/Card/Person/87695", "МП ""ЕДИНЫЙ ЦЕНТР МУНИЦИПАЛЬНОГО ЗАКАЗА""")</f>
        <v>МП "ЕДИНЫЙ ЦЕНТР МУНИЦИПАЛЬНОГО ЗАКАЗА"</v>
      </c>
      <c r="K13306" s="24" t="s">
        <v>7049</v>
      </c>
      <c r="L13306" s="22" t="s">
        <v>10</v>
      </c>
      <c r="M13306" s="25">
        <v>4747770.5999999996</v>
      </c>
      <c r="N13306" s="27">
        <v>0.51001920842275983</v>
      </c>
    </row>
    <row r="13307" spans="1:14" hidden="1" outlineLevel="1" x14ac:dyDescent="0.2">
      <c r="A13307" s="23" t="str">
        <f>HYPERLINK("https://www.spark-marketing.ru/Card/Person/45663", "УПРАВЛЕНИЕ МВД РОССИИ ПО Г.Н.НОВГОРОДУ")</f>
        <v>УПРАВЛЕНИЕ МВД РОССИИ ПО Г.Н.НОВГОРОДУ</v>
      </c>
      <c r="B13307" s="24" t="s">
        <v>17908</v>
      </c>
      <c r="C13307" s="25">
        <v>9689707.5999999996</v>
      </c>
      <c r="D13307" s="22" t="s">
        <v>17909</v>
      </c>
      <c r="E13307" s="22" t="s">
        <v>586</v>
      </c>
      <c r="F13307" s="23" t="str">
        <f>HYPERLINK("https://www.spark-marketing.ru/Card/Lot/72087449", "оказание услуг по организации питания лиц, арестованных в административном порядке и содержащихся в специальном приемнике для содержания лиц, подвергнутых административному аресту и лиц, содержащихся в изоляторах временного содержания подозреваемых и...")</f>
        <v>оказание услуг по организации питания лиц, арестованных в административном порядке и содержащихся в специальном приемнике для содержания лиц, подвергнутых административному аресту и лиц, содержащихся в изоляторах временного содержания подозреваемых и...</v>
      </c>
      <c r="G13307" s="22" t="s">
        <v>76</v>
      </c>
      <c r="H13307" s="22" t="s">
        <v>76</v>
      </c>
      <c r="I13307" s="26">
        <v>43658.628321759301</v>
      </c>
      <c r="J13307" s="23" t="str">
        <f>HYPERLINK("https://www.spark-marketing.ru/Card/Person/6081973", "Румянцев Михаил Данилович")</f>
        <v>Румянцев Михаил Данилович</v>
      </c>
      <c r="K13307" s="24" t="s">
        <v>5787</v>
      </c>
      <c r="L13307" s="28" t="s">
        <v>51</v>
      </c>
      <c r="M13307" s="25">
        <v>4800576.95</v>
      </c>
      <c r="N13307" s="27">
        <v>0.50456947225115445</v>
      </c>
    </row>
    <row r="13308" spans="1:14" hidden="1" outlineLevel="1" x14ac:dyDescent="0.2">
      <c r="A13308" s="23" t="str">
        <f>HYPERLINK("https://www.spark-marketing.ru/Card/Person/45663", "УПРАВЛЕНИЕ МВД РОССИИ ПО Г.Н.НОВГОРОДУ")</f>
        <v>УПРАВЛЕНИЕ МВД РОССИИ ПО Г.Н.НОВГОРОДУ</v>
      </c>
      <c r="B13308" s="24" t="s">
        <v>17908</v>
      </c>
      <c r="C13308" s="25">
        <v>9689707.5999999996</v>
      </c>
      <c r="D13308" s="22" t="s">
        <v>17909</v>
      </c>
      <c r="E13308" s="22" t="s">
        <v>586</v>
      </c>
      <c r="F13308" s="23" t="str">
        <f>HYPERLINK("https://www.spark-marketing.ru/Card/Lot/72087449", "оказание услуг по организации питания лиц, арестованных в административном порядке и содержащихся в специальном приемнике для содержания лиц, подвергнутых административному аресту и лиц, содержащихся в изоляторах временного содержания подозреваемых и...")</f>
        <v>оказание услуг по организации питания лиц, арестованных в административном порядке и содержащихся в специальном приемнике для содержания лиц, подвергнутых административному аресту и лиц, содержащихся в изоляторах временного содержания подозреваемых и...</v>
      </c>
      <c r="G13308" s="22" t="s">
        <v>76</v>
      </c>
      <c r="H13308" s="22" t="s">
        <v>76</v>
      </c>
      <c r="I13308" s="26">
        <v>43658.628321759301</v>
      </c>
      <c r="J13308" s="23" t="str">
        <f>HYPERLINK("https://www.spark-marketing.ru/Card/Person/6634118", "Матвеева Ольга Юрьевна")</f>
        <v>Матвеева Ольга Юрьевна</v>
      </c>
      <c r="K13308" s="24" t="s">
        <v>5786</v>
      </c>
      <c r="L13308" s="28" t="s">
        <v>51</v>
      </c>
      <c r="M13308" s="25">
        <v>8076438.5300000003</v>
      </c>
      <c r="N13308" s="27">
        <v>0.16649306012082346</v>
      </c>
    </row>
    <row r="13309" spans="1:14" x14ac:dyDescent="0.15">
      <c r="A13309" s="23" t="str">
        <f>HYPERLINK("https://www.spark-marketing.ru/Card/Person/738656", "О МВД РОССИИ ПО БИЧУРСКОМУ РАЙОНУ")</f>
        <v>О МВД РОССИИ ПО БИЧУРСКОМУ РАЙОНУ</v>
      </c>
      <c r="B13309" s="24" t="s">
        <v>15520</v>
      </c>
      <c r="C13309" s="25">
        <v>740520</v>
      </c>
      <c r="D13309" s="22" t="s">
        <v>17910</v>
      </c>
      <c r="E13309" s="22" t="s">
        <v>96</v>
      </c>
      <c r="F13309" s="23" t="str">
        <f>HYPERLINK("https://www.spark-marketing.ru/Card/Lot/72063181", "услуги по организации и доставке ежедневного горячего трехразового питания для лиц, содержащихся в ИВС и дежурной части ОМВД России по Бичурскому району более 3 часов")</f>
        <v>услуги по организации и доставке ежедневного горячего трехразового питания для лиц, содержащихся в ИВС и дежурной части ОМВД России по Бичурскому району более 3 часов</v>
      </c>
      <c r="G13309" s="22" t="s">
        <v>433</v>
      </c>
      <c r="H13309" s="22" t="s">
        <v>15522</v>
      </c>
      <c r="I13309" s="26">
        <v>43658.641099537002</v>
      </c>
      <c r="J13309" s="23" t="str">
        <f>HYPERLINK("https://www.spark-marketing.ru/Card/Person/765541", "АУСО РБ ""БИЧУРСКИЙ ДИ""")</f>
        <v>АУСО РБ "БИЧУРСКИЙ ДИ"</v>
      </c>
      <c r="K13309" s="24" t="s">
        <v>15523</v>
      </c>
      <c r="L13309" s="22" t="s">
        <v>10</v>
      </c>
      <c r="M13309" s="28" t="s">
        <v>51</v>
      </c>
      <c r="N13309" s="28" t="s">
        <v>51</v>
      </c>
    </row>
    <row r="13310" spans="1:14" x14ac:dyDescent="0.15">
      <c r="A13310" s="23" t="str">
        <f>HYPERLINK("https://www.spark-marketing.ru/Card/Person/1010004", "МБУ ВМЦБС")</f>
        <v>МБУ ВМЦБС</v>
      </c>
      <c r="B13310" s="24" t="s">
        <v>17911</v>
      </c>
      <c r="C13310" s="25">
        <v>2291392</v>
      </c>
      <c r="D13310" s="22" t="s">
        <v>17912</v>
      </c>
      <c r="E13310" s="22" t="s">
        <v>17913</v>
      </c>
      <c r="F13310" s="23" t="str">
        <f>HYPERLINK("https://www.spark-marketing.ru/Card/Lot/72053911", "Поставка офисного оборудования (оргтехника, комплектующие для офисного оборудования, оргтехники) для нужд МБУ ВМЦБС")</f>
        <v>Поставка офисного оборудования (оргтехника, комплектующие для офисного оборудования, оргтехники) для нужд МБУ ВМЦБС</v>
      </c>
      <c r="G13310" s="22" t="s">
        <v>1096</v>
      </c>
      <c r="H13310" s="22" t="s">
        <v>17914</v>
      </c>
      <c r="I13310" s="26">
        <v>43658.594803240703</v>
      </c>
      <c r="J13310" s="28" t="s">
        <v>51</v>
      </c>
      <c r="K13310" s="28" t="s">
        <v>51</v>
      </c>
      <c r="L13310" s="28" t="s">
        <v>51</v>
      </c>
      <c r="M13310" s="28" t="s">
        <v>51</v>
      </c>
      <c r="N13310" s="28" t="s">
        <v>51</v>
      </c>
    </row>
    <row r="13311" spans="1:14" ht="12.75" hidden="1" outlineLevel="1" x14ac:dyDescent="0.2">
      <c r="A13311" s="23" t="str">
        <f>HYPERLINK("https://www.spark-marketing.ru/Card/Person/1010004", "МБУ ВМЦБС")</f>
        <v>МБУ ВМЦБС</v>
      </c>
      <c r="B13311" s="24" t="s">
        <v>17911</v>
      </c>
      <c r="C13311" s="25">
        <v>2291392</v>
      </c>
      <c r="D13311" s="22" t="s">
        <v>17912</v>
      </c>
      <c r="E13311" s="22" t="s">
        <v>17913</v>
      </c>
      <c r="F13311" s="23" t="str">
        <f>HYPERLINK("https://www.spark-marketing.ru/Card/Lot/72053911", "Поставка офисного оборудования (оргтехника, комплектующие для офисного оборудования, оргтехники) для нужд МБУ ВМЦБС")</f>
        <v>Поставка офисного оборудования (оргтехника, комплектующие для офисного оборудования, оргтехники) для нужд МБУ ВМЦБС</v>
      </c>
      <c r="G13311" s="22" t="s">
        <v>1096</v>
      </c>
      <c r="H13311" s="22" t="s">
        <v>17914</v>
      </c>
      <c r="I13311" s="26">
        <v>43658.594803240703</v>
      </c>
      <c r="J13311" s="23" t="str">
        <f>HYPERLINK("https://www.spark-marketing.ru/Card/Person/6226715", "ООО ""ТЕХНО-СЕРВИС""")</f>
        <v>ООО "ТЕХНО-СЕРВИС"</v>
      </c>
      <c r="K13311" s="24" t="s">
        <v>17915</v>
      </c>
      <c r="L13311" s="22" t="s">
        <v>10</v>
      </c>
      <c r="M13311" s="25">
        <v>1856027.52</v>
      </c>
      <c r="N13311" s="27">
        <v>0.19</v>
      </c>
    </row>
    <row r="13312" spans="1:14" hidden="1" outlineLevel="1" x14ac:dyDescent="0.2">
      <c r="A13312" s="23" t="str">
        <f>HYPERLINK("https://www.spark-marketing.ru/Card/Person/1010004", "МБУ ВМЦБС")</f>
        <v>МБУ ВМЦБС</v>
      </c>
      <c r="B13312" s="24" t="s">
        <v>17911</v>
      </c>
      <c r="C13312" s="25">
        <v>2291392</v>
      </c>
      <c r="D13312" s="22" t="s">
        <v>17912</v>
      </c>
      <c r="E13312" s="22" t="s">
        <v>17913</v>
      </c>
      <c r="F13312" s="23" t="str">
        <f>HYPERLINK("https://www.spark-marketing.ru/Card/Lot/72053911", "Поставка офисного оборудования (оргтехника, комплектующие для офисного оборудования, оргтехники) для нужд МБУ ВМЦБС")</f>
        <v>Поставка офисного оборудования (оргтехника, комплектующие для офисного оборудования, оргтехники) для нужд МБУ ВМЦБС</v>
      </c>
      <c r="G13312" s="22" t="s">
        <v>1096</v>
      </c>
      <c r="H13312" s="22" t="s">
        <v>17914</v>
      </c>
      <c r="I13312" s="26">
        <v>43658.594803240703</v>
      </c>
      <c r="J13312" s="23" t="str">
        <f>HYPERLINK("https://www.spark-marketing.ru/Card/Person/317936", "Тулеев Арман Джумабекович")</f>
        <v>Тулеев Арман Джумабекович</v>
      </c>
      <c r="K13312" s="24" t="s">
        <v>17916</v>
      </c>
      <c r="L13312" s="28" t="s">
        <v>51</v>
      </c>
      <c r="M13312" s="25">
        <v>1867484.48</v>
      </c>
      <c r="N13312" s="27">
        <v>0.185</v>
      </c>
    </row>
    <row r="13313" spans="1:14" x14ac:dyDescent="0.15">
      <c r="A13313" s="23" t="str">
        <f>HYPERLINK("https://www.spark-marketing.ru/Card/Person/6454333", "МО МВД РОССИИ ""ДЗЕРЖИНСКИЙ""")</f>
        <v>МО МВД РОССИИ "ДЗЕРЖИНСКИЙ"</v>
      </c>
      <c r="B13313" s="24" t="s">
        <v>1113</v>
      </c>
      <c r="C13313" s="25">
        <v>686500</v>
      </c>
      <c r="D13313" s="22" t="s">
        <v>17917</v>
      </c>
      <c r="E13313" s="22" t="s">
        <v>48</v>
      </c>
      <c r="F13313" s="23" t="str">
        <f>HYPERLINK("https://www.spark-marketing.ru/Card/Lot/72065240", "Услуги по обеспечению питанием")</f>
        <v>Услуги по обеспечению питанием</v>
      </c>
      <c r="G13313" s="22" t="s">
        <v>281</v>
      </c>
      <c r="H13313" s="22" t="s">
        <v>1115</v>
      </c>
      <c r="I13313" s="26">
        <v>43658.612002314803</v>
      </c>
      <c r="J13313" s="28" t="s">
        <v>51</v>
      </c>
      <c r="K13313" s="28" t="s">
        <v>51</v>
      </c>
      <c r="L13313" s="28" t="s">
        <v>51</v>
      </c>
      <c r="M13313" s="28" t="s">
        <v>51</v>
      </c>
      <c r="N13313" s="28" t="s">
        <v>51</v>
      </c>
    </row>
    <row r="13314" spans="1:14" ht="12.75" hidden="1" outlineLevel="1" x14ac:dyDescent="0.2">
      <c r="A13314" s="23" t="str">
        <f>HYPERLINK("https://www.spark-marketing.ru/Card/Person/6454333", "МО МВД РОССИИ ""ДЗЕРЖИНСКИЙ""")</f>
        <v>МО МВД РОССИИ "ДЗЕРЖИНСКИЙ"</v>
      </c>
      <c r="B13314" s="24" t="s">
        <v>1113</v>
      </c>
      <c r="C13314" s="25">
        <v>686500</v>
      </c>
      <c r="D13314" s="22" t="s">
        <v>17917</v>
      </c>
      <c r="E13314" s="22" t="s">
        <v>48</v>
      </c>
      <c r="F13314" s="23" t="str">
        <f>HYPERLINK("https://www.spark-marketing.ru/Card/Lot/72065240", "Услуги по обеспечению питанием")</f>
        <v>Услуги по обеспечению питанием</v>
      </c>
      <c r="G13314" s="22" t="s">
        <v>281</v>
      </c>
      <c r="H13314" s="22" t="s">
        <v>1115</v>
      </c>
      <c r="I13314" s="26">
        <v>43658.612002314803</v>
      </c>
      <c r="J13314" s="23" t="str">
        <f>HYPERLINK("https://www.spark-marketing.ru/Card/Person/470132", "Соловьев Юрий Александрович")</f>
        <v>Соловьев Юрий Александрович</v>
      </c>
      <c r="K13314" s="24" t="s">
        <v>17918</v>
      </c>
      <c r="L13314" s="22" t="s">
        <v>10</v>
      </c>
      <c r="M13314" s="25">
        <v>441330.93</v>
      </c>
      <c r="N13314" s="27">
        <v>0.35712901675163877</v>
      </c>
    </row>
    <row r="13315" spans="1:14" hidden="1" outlineLevel="1" x14ac:dyDescent="0.2">
      <c r="A13315" s="23" t="str">
        <f>HYPERLINK("https://www.spark-marketing.ru/Card/Person/6454333", "МО МВД РОССИИ ""ДЗЕРЖИНСКИЙ""")</f>
        <v>МО МВД РОССИИ "ДЗЕРЖИНСКИЙ"</v>
      </c>
      <c r="B13315" s="24" t="s">
        <v>1113</v>
      </c>
      <c r="C13315" s="25">
        <v>686500</v>
      </c>
      <c r="D13315" s="22" t="s">
        <v>17917</v>
      </c>
      <c r="E13315" s="22" t="s">
        <v>48</v>
      </c>
      <c r="F13315" s="23" t="str">
        <f>HYPERLINK("https://www.spark-marketing.ru/Card/Lot/72065240", "Услуги по обеспечению питанием")</f>
        <v>Услуги по обеспечению питанием</v>
      </c>
      <c r="G13315" s="22" t="s">
        <v>281</v>
      </c>
      <c r="H13315" s="22" t="s">
        <v>1115</v>
      </c>
      <c r="I13315" s="26">
        <v>43658.612002314803</v>
      </c>
      <c r="J13315" s="23" t="str">
        <f>HYPERLINK("https://www.spark-marketing.ru/Card/Person/6623743", "Фадеева Елена Андреевна")</f>
        <v>Фадеева Елена Андреевна</v>
      </c>
      <c r="K13315" s="24" t="s">
        <v>17919</v>
      </c>
      <c r="L13315" s="28" t="s">
        <v>51</v>
      </c>
      <c r="M13315" s="25">
        <v>455000</v>
      </c>
      <c r="N13315" s="27">
        <v>0.3372177713037145</v>
      </c>
    </row>
    <row r="13316" spans="1:14" x14ac:dyDescent="0.15">
      <c r="A13316" s="23" t="str">
        <f>HYPERLINK("https://www.spark-marketing.ru/Card/Person/310312", "ОМВД РОССИИ ПО ВЕРХНЕКАМСКОМУ РАЙОНУ")</f>
        <v>ОМВД РОССИИ ПО ВЕРХНЕКАМСКОМУ РАЙОНУ</v>
      </c>
      <c r="B13316" s="24" t="s">
        <v>12561</v>
      </c>
      <c r="C13316" s="25">
        <v>462840</v>
      </c>
      <c r="D13316" s="22" t="s">
        <v>17920</v>
      </c>
      <c r="E13316" s="22" t="s">
        <v>48</v>
      </c>
      <c r="F13316" s="23" t="str">
        <f>HYPERLINK("https://www.spark-marketing.ru/Card/Lot/72071485", "оказание услуг по организации ежедневного трехразового горячего питания лиц, содержащихся в ИВС и специальных помещениях для содержания задержанных лиц (СПСЗЛ)")</f>
        <v>оказание услуг по организации ежедневного трехразового горячего питания лиц, содержащихся в ИВС и специальных помещениях для содержания задержанных лиц (СПСЗЛ)</v>
      </c>
      <c r="G13316" s="22" t="s">
        <v>224</v>
      </c>
      <c r="H13316" s="22" t="s">
        <v>4051</v>
      </c>
      <c r="I13316" s="26">
        <v>43658.585601851897</v>
      </c>
      <c r="J13316" s="23" t="str">
        <f>HYPERLINK("https://www.spark-marketing.ru/Card/Person/636867", "КОГПОАУ ВТПТ")</f>
        <v>КОГПОАУ ВТПТ</v>
      </c>
      <c r="K13316" s="24" t="s">
        <v>17921</v>
      </c>
      <c r="L13316" s="22" t="s">
        <v>10</v>
      </c>
      <c r="M13316" s="28" t="s">
        <v>51</v>
      </c>
      <c r="N13316" s="28" t="s">
        <v>51</v>
      </c>
    </row>
    <row r="13317" spans="1:14" x14ac:dyDescent="0.15">
      <c r="A13317" s="23" t="str">
        <f>HYPERLINK("https://www.spark-marketing.ru/Card/Person/4348600", "ПАО ""КУБАНЬЭНЕРГО""")</f>
        <v>ПАО "КУБАНЬЭНЕРГО"</v>
      </c>
      <c r="B13317" s="24" t="s">
        <v>10367</v>
      </c>
      <c r="C13317" s="25">
        <v>22131648</v>
      </c>
      <c r="D13317" s="22" t="s">
        <v>17922</v>
      </c>
      <c r="E13317" s="22" t="s">
        <v>3773</v>
      </c>
      <c r="F13317" s="23" t="str">
        <f>HYPERLINK("https://www.spark-marketing.ru/Card/Lot/72068864", "Аренда источников бесперебойного питания для обеспечения надежного электроснабжения объектов электроэнергетики в период проведения саммита и других мероприятий в формате «Россия-Африка» в г. Сочи")</f>
        <v>Аренда источников бесперебойного питания для обеспечения надежного электроснабжения объектов электроэнергетики в период проведения саммита и других мероприятий в формате «Россия-Африка» в г. Сочи</v>
      </c>
      <c r="G13317" s="22" t="s">
        <v>104</v>
      </c>
      <c r="H13317" s="22" t="s">
        <v>120</v>
      </c>
      <c r="I13317" s="26">
        <v>43658.615821759297</v>
      </c>
      <c r="J13317" s="28" t="s">
        <v>51</v>
      </c>
      <c r="K13317" s="28" t="s">
        <v>51</v>
      </c>
      <c r="L13317" s="28" t="s">
        <v>51</v>
      </c>
      <c r="M13317" s="28" t="s">
        <v>51</v>
      </c>
      <c r="N13317" s="28" t="s">
        <v>51</v>
      </c>
    </row>
    <row r="13318" spans="1:14" x14ac:dyDescent="0.15">
      <c r="A13318" s="23" t="str">
        <f>HYPERLINK("https://www.spark-marketing.ru/Card/Person/362430", "ОТДЕЛ МВД РОССИИ ПО САЛЬСКОМУ РАЙОНУ")</f>
        <v>ОТДЕЛ МВД РОССИИ ПО САЛЬСКОМУ РАЙОНУ</v>
      </c>
      <c r="B13318" s="24" t="s">
        <v>11755</v>
      </c>
      <c r="C13318" s="25">
        <v>1200000</v>
      </c>
      <c r="D13318" s="22" t="s">
        <v>17923</v>
      </c>
      <c r="E13318" s="22" t="s">
        <v>96</v>
      </c>
      <c r="F13318" s="23" t="str">
        <f>HYPERLINK("https://www.spark-marketing.ru/Card/Lot/72071916", "услуги по организации горячего питания лиц, содержащихся в ИВС, а также лиц задержанных в административном порядке (прочая закупка работ, услуг)")</f>
        <v>услуги по организации горячего питания лиц, содержащихся в ИВС, а также лиц задержанных в административном порядке (прочая закупка работ, услуг)</v>
      </c>
      <c r="G13318" s="22" t="s">
        <v>267</v>
      </c>
      <c r="H13318" s="22" t="s">
        <v>267</v>
      </c>
      <c r="I13318" s="26">
        <v>43658.601134259297</v>
      </c>
      <c r="J13318" s="23" t="str">
        <f>HYPERLINK("https://www.spark-marketing.ru/Card/Person/363943", "Пономарева Ольга Николаевна")</f>
        <v>Пономарева Ольга Николаевна</v>
      </c>
      <c r="K13318" s="24" t="s">
        <v>11757</v>
      </c>
      <c r="L13318" s="22" t="s">
        <v>10</v>
      </c>
      <c r="M13318" s="28" t="s">
        <v>51</v>
      </c>
      <c r="N13318" s="28" t="s">
        <v>51</v>
      </c>
    </row>
    <row r="13319" spans="1:14" x14ac:dyDescent="0.15">
      <c r="A13319" s="23" t="str">
        <f>HYPERLINK("https://www.spark-marketing.ru/Card/Person/102694", "МУ МВД РОССИИ ""ИРКУТСКОЕ""")</f>
        <v>МУ МВД РОССИИ "ИРКУТСКОЕ"</v>
      </c>
      <c r="B13319" s="24" t="s">
        <v>2766</v>
      </c>
      <c r="C13319" s="25">
        <v>320000</v>
      </c>
      <c r="D13319" s="22" t="s">
        <v>17924</v>
      </c>
      <c r="E13319" s="22" t="s">
        <v>48</v>
      </c>
      <c r="F13319" s="23" t="str">
        <f>HYPERLINK("https://www.spark-marketing.ru/Card/Lot/72058894", "Прочая закупка товаров, работ и услуг (оказание услуг по организации комплексного питания для лиц, содержащихся в изоляторе временного содержания подозреваемых и обвиняемых МУ МВД России «Иркутское»)")</f>
        <v>Прочая закупка товаров, работ и услуг (оказание услуг по организации комплексного питания для лиц, содержащихся в изоляторе временного содержания подозреваемых и обвиняемых МУ МВД России «Иркутское»)</v>
      </c>
      <c r="G13319" s="22" t="s">
        <v>263</v>
      </c>
      <c r="H13319" s="22" t="s">
        <v>2768</v>
      </c>
      <c r="I13319" s="26">
        <v>43658.624155092599</v>
      </c>
      <c r="J13319" s="28" t="s">
        <v>51</v>
      </c>
      <c r="K13319" s="28" t="s">
        <v>51</v>
      </c>
      <c r="L13319" s="28" t="s">
        <v>51</v>
      </c>
      <c r="M13319" s="28" t="s">
        <v>51</v>
      </c>
      <c r="N13319" s="28" t="s">
        <v>51</v>
      </c>
    </row>
    <row r="13320" spans="1:14" x14ac:dyDescent="0.15">
      <c r="A13320" s="23" t="str">
        <f>HYPERLINK("https://www.spark-marketing.ru/Card/Person/30414", "ГУ МВД РОССИИ ПО КРАСНОЯРСКОМУ КРАЮ")</f>
        <v>ГУ МВД РОССИИ ПО КРАСНОЯРСКОМУ КРАЮ</v>
      </c>
      <c r="B13320" s="24" t="s">
        <v>17925</v>
      </c>
      <c r="C13320" s="25">
        <v>9980000</v>
      </c>
      <c r="D13320" s="22" t="s">
        <v>17926</v>
      </c>
      <c r="E13320" s="22" t="s">
        <v>48</v>
      </c>
      <c r="F13320" s="23" t="str">
        <f>HYPERLINK("https://www.spark-marketing.ru/Card/Lot/72076507", "Оказание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краю")</f>
        <v>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</v>
      </c>
      <c r="G13320" s="22" t="s">
        <v>281</v>
      </c>
      <c r="H13320" s="22" t="s">
        <v>1036</v>
      </c>
      <c r="I13320" s="26">
        <v>43658.586932870399</v>
      </c>
      <c r="J13320" s="28" t="s">
        <v>51</v>
      </c>
      <c r="K13320" s="28" t="s">
        <v>51</v>
      </c>
      <c r="L13320" s="28" t="s">
        <v>51</v>
      </c>
      <c r="M13320" s="28" t="s">
        <v>51</v>
      </c>
      <c r="N13320" s="28" t="s">
        <v>51</v>
      </c>
    </row>
    <row r="13321" spans="1:14" ht="12.75" hidden="1" outlineLevel="1" x14ac:dyDescent="0.2">
      <c r="A13321" s="23" t="str">
        <f>HYPERLINK("https://www.spark-marketing.ru/Card/Person/30414", "ГУ МВД РОССИИ ПО КРАСНОЯРСКОМУ КРАЮ")</f>
        <v>ГУ МВД РОССИИ ПО КРАСНОЯРСКОМУ КРАЮ</v>
      </c>
      <c r="B13321" s="24" t="s">
        <v>17925</v>
      </c>
      <c r="C13321" s="25">
        <v>9980000</v>
      </c>
      <c r="D13321" s="22" t="s">
        <v>17926</v>
      </c>
      <c r="E13321" s="22" t="s">
        <v>48</v>
      </c>
      <c r="F13321" s="23" t="str">
        <f>HYPERLINK("https://www.spark-marketing.ru/Card/Lot/72076507", "Оказание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краю")</f>
        <v>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</v>
      </c>
      <c r="G13321" s="22" t="s">
        <v>281</v>
      </c>
      <c r="H13321" s="22" t="s">
        <v>1036</v>
      </c>
      <c r="I13321" s="26">
        <v>43658.586932870399</v>
      </c>
      <c r="J13321" s="23" t="str">
        <f>HYPERLINK("https://www.spark-marketing.ru/Card/Person/5910323", "Федорова Елена Владимировна")</f>
        <v>Федорова Елена Владимировна</v>
      </c>
      <c r="K13321" s="24" t="s">
        <v>2487</v>
      </c>
      <c r="L13321" s="22" t="s">
        <v>10</v>
      </c>
      <c r="M13321" s="25">
        <v>269.01</v>
      </c>
      <c r="N13321" s="27">
        <v>0.99997304509018037</v>
      </c>
    </row>
    <row r="13322" spans="1:14" hidden="1" outlineLevel="1" x14ac:dyDescent="0.2">
      <c r="A13322" s="23" t="str">
        <f>HYPERLINK("https://www.spark-marketing.ru/Card/Person/30414", "ГУ МВД РОССИИ ПО КРАСНОЯРСКОМУ КРАЮ")</f>
        <v>ГУ МВД РОССИИ ПО КРАСНОЯРСКОМУ КРАЮ</v>
      </c>
      <c r="B13322" s="24" t="s">
        <v>17925</v>
      </c>
      <c r="C13322" s="25">
        <v>9980000</v>
      </c>
      <c r="D13322" s="22" t="s">
        <v>17926</v>
      </c>
      <c r="E13322" s="22" t="s">
        <v>48</v>
      </c>
      <c r="F13322" s="23" t="str">
        <f>HYPERLINK("https://www.spark-marketing.ru/Card/Lot/72076507", "Оказание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краю")</f>
        <v>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</v>
      </c>
      <c r="G13322" s="22" t="s">
        <v>281</v>
      </c>
      <c r="H13322" s="22" t="s">
        <v>1036</v>
      </c>
      <c r="I13322" s="26">
        <v>43658.586932870399</v>
      </c>
      <c r="J13322" s="23" t="str">
        <f>HYPERLINK("https://www.spark-marketing.ru/Card/Person/4887880", "ООО ""СИБИРЬ""")</f>
        <v>ООО "СИБИРЬ"</v>
      </c>
      <c r="K13322" s="24" t="s">
        <v>13666</v>
      </c>
      <c r="L13322" s="28" t="s">
        <v>51</v>
      </c>
      <c r="M13322" s="25">
        <v>270.97000000000003</v>
      </c>
      <c r="N13322" s="27">
        <v>0.99997284869739478</v>
      </c>
    </row>
    <row r="13323" spans="1:14" hidden="1" outlineLevel="1" x14ac:dyDescent="0.2">
      <c r="A13323" s="23" t="str">
        <f>HYPERLINK("https://www.spark-marketing.ru/Card/Person/30414", "ГУ МВД РОССИИ ПО КРАСНОЯРСКОМУ КРАЮ")</f>
        <v>ГУ МВД РОССИИ ПО КРАСНОЯРСКОМУ КРАЮ</v>
      </c>
      <c r="B13323" s="24" t="s">
        <v>17925</v>
      </c>
      <c r="C13323" s="25">
        <v>9980000</v>
      </c>
      <c r="D13323" s="22" t="s">
        <v>17926</v>
      </c>
      <c r="E13323" s="22" t="s">
        <v>48</v>
      </c>
      <c r="F13323" s="23" t="str">
        <f>HYPERLINK("https://www.spark-marketing.ru/Card/Lot/72076507", "Оказание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краю")</f>
        <v>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</v>
      </c>
      <c r="G13323" s="22" t="s">
        <v>281</v>
      </c>
      <c r="H13323" s="22" t="s">
        <v>1036</v>
      </c>
      <c r="I13323" s="26">
        <v>43658.586932870399</v>
      </c>
      <c r="J13323" s="23" t="str">
        <f>HYPERLINK("https://www.spark-marketing.ru/Card/Person/6352910", "ООО ""РЕСПЕКТ""")</f>
        <v>ООО "РЕСПЕКТ"</v>
      </c>
      <c r="K13323" s="24" t="s">
        <v>2511</v>
      </c>
      <c r="L13323" s="28" t="s">
        <v>51</v>
      </c>
      <c r="M13323" s="25">
        <v>321.48</v>
      </c>
      <c r="N13323" s="27">
        <v>0.99996778757515026</v>
      </c>
    </row>
    <row r="13324" spans="1:14" hidden="1" outlineLevel="1" x14ac:dyDescent="0.2">
      <c r="A13324" s="23" t="str">
        <f>HYPERLINK("https://www.spark-marketing.ru/Card/Person/30414", "ГУ МВД РОССИИ ПО КРАСНОЯРСКОМУ КРАЮ")</f>
        <v>ГУ МВД РОССИИ ПО КРАСНОЯРСКОМУ КРАЮ</v>
      </c>
      <c r="B13324" s="24" t="s">
        <v>17925</v>
      </c>
      <c r="C13324" s="25">
        <v>9980000</v>
      </c>
      <c r="D13324" s="22" t="s">
        <v>17926</v>
      </c>
      <c r="E13324" s="22" t="s">
        <v>48</v>
      </c>
      <c r="F13324" s="23" t="str">
        <f>HYPERLINK("https://www.spark-marketing.ru/Card/Lot/72076507", "Оказание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краю")</f>
        <v>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</v>
      </c>
      <c r="G13324" s="22" t="s">
        <v>281</v>
      </c>
      <c r="H13324" s="22" t="s">
        <v>1036</v>
      </c>
      <c r="I13324" s="26">
        <v>43658.586932870399</v>
      </c>
      <c r="J13324" s="23" t="str">
        <f>HYPERLINK("https://www.spark-marketing.ru/Card/Person/450859", "Лаптев Алексей Александрович")</f>
        <v>Лаптев Алексей Александрович</v>
      </c>
      <c r="K13324" s="24" t="s">
        <v>17927</v>
      </c>
      <c r="L13324" s="28" t="s">
        <v>51</v>
      </c>
      <c r="M13324" s="25">
        <v>294.51</v>
      </c>
      <c r="N13324" s="27">
        <v>0.99997048997995996</v>
      </c>
    </row>
    <row r="13325" spans="1:14" x14ac:dyDescent="0.15">
      <c r="A13325" s="23" t="str">
        <f>HYPERLINK("https://www.spark-marketing.ru/Card/Person/66638", "МЕЖМУНИЦИПАЛЬНЫЙ ОТДЕЛ МВД РОССИИ ""ЕМЕЛЬЯНОВСКИЙ""")</f>
        <v>МЕЖМУНИЦИПАЛЬНЫЙ ОТДЕЛ МВД РОССИИ "ЕМЕЛЬЯНОВСКИЙ"</v>
      </c>
      <c r="B13325" s="24" t="s">
        <v>17928</v>
      </c>
      <c r="C13325" s="25">
        <v>685000</v>
      </c>
      <c r="D13325" s="22" t="s">
        <v>17929</v>
      </c>
      <c r="E13325" s="22" t="s">
        <v>48</v>
      </c>
      <c r="F13325" s="23" t="str">
        <f>HYPERLINK("https://www.spark-marketing.ru/Card/Lot/72063075", "Оказание услуг по организации горячего питания для лиц, содержащихся в комнатах административных задержанных Межмуниципального отдела МВД России ""Емельяновский""")</f>
        <v>Оказание услуг по организации горячего питания для лиц, содержащихся в комнатах административных задержанных Межмуниципального отдела МВД России "Емельяновский"</v>
      </c>
      <c r="G13325" s="22" t="s">
        <v>281</v>
      </c>
      <c r="H13325" s="22" t="s">
        <v>17930</v>
      </c>
      <c r="I13325" s="26">
        <v>43658.5872453704</v>
      </c>
      <c r="J13325" s="23" t="str">
        <f>HYPERLINK("https://www.spark-marketing.ru/Card/Person/4887880", "ООО ""СИБИРЬ""")</f>
        <v>ООО "СИБИРЬ"</v>
      </c>
      <c r="K13325" s="24" t="s">
        <v>13666</v>
      </c>
      <c r="L13325" s="22" t="s">
        <v>10</v>
      </c>
      <c r="M13325" s="28" t="s">
        <v>51</v>
      </c>
      <c r="N13325" s="28" t="s">
        <v>51</v>
      </c>
    </row>
    <row r="13326" spans="1:14" x14ac:dyDescent="0.15">
      <c r="A13326" s="23" t="str">
        <f>HYPERLINK("https://www.spark-marketing.ru/Card/Person/29292", "ГУ-ЛЕНИНГРАДСКОЕ РО ФОНДА СОЦИАЛЬНОГО СТРАХОВАНИЯ РОССИЙСКОЙ ФЕДЕРАЦИИ")</f>
        <v>ГУ-ЛЕНИНГРАДСКОЕ РО ФОНДА СОЦИАЛЬНОГО СТРАХОВАНИЯ РОССИЙСКОЙ ФЕДЕРАЦИИ</v>
      </c>
      <c r="B13326" s="24" t="s">
        <v>1653</v>
      </c>
      <c r="C13326" s="25">
        <v>1122930</v>
      </c>
      <c r="D13326" s="22" t="s">
        <v>17931</v>
      </c>
      <c r="E13326" s="22" t="s">
        <v>86</v>
      </c>
      <c r="F13326" s="23" t="str">
        <f>HYPERLINK("https://www.spark-marketing.ru/Card/Lot/72072029", "Санаторно-курортное лечение граждан-получателей набора социальных услуг")</f>
        <v>Санаторно-курортное лечение граждан-получателей набора социальных услуг</v>
      </c>
      <c r="G13326" s="22" t="s">
        <v>117</v>
      </c>
      <c r="H13326" s="22" t="s">
        <v>117</v>
      </c>
      <c r="I13326" s="26">
        <v>43658.607974537001</v>
      </c>
      <c r="J13326" s="28" t="s">
        <v>51</v>
      </c>
      <c r="K13326" s="28" t="s">
        <v>51</v>
      </c>
      <c r="L13326" s="28" t="s">
        <v>51</v>
      </c>
      <c r="M13326" s="28" t="s">
        <v>51</v>
      </c>
      <c r="N13326" s="28" t="s">
        <v>51</v>
      </c>
    </row>
    <row r="13327" spans="1:14" x14ac:dyDescent="0.2">
      <c r="A13327" s="23" t="str">
        <f>HYPERLINK("https://www.spark-marketing.ru/Card/Person/151026", "МУЗЕЙ-ЗАПОВЕДНИК П.И.ЧАЙКОВСКОГО")</f>
        <v>МУЗЕЙ-ЗАПОВЕДНИК П.И.ЧАЙКОВСКОГО</v>
      </c>
      <c r="B13327" s="24" t="s">
        <v>13964</v>
      </c>
      <c r="C13327" s="25">
        <v>330752</v>
      </c>
      <c r="D13327" s="22" t="s">
        <v>17932</v>
      </c>
      <c r="E13327" s="22" t="s">
        <v>562</v>
      </c>
      <c r="F13327" s="23" t="str">
        <f>HYPERLINK("https://www.spark-marketing.ru/Card/Lot/72065924", "Оказание услуг по организации питания Лауреатов Международного конкурса имени П.И. Чайковского")</f>
        <v>Оказание услуг по организации питания Лауреатов Международного конкурса имени П.И. Чайковского</v>
      </c>
      <c r="G13327" s="22" t="s">
        <v>49</v>
      </c>
      <c r="H13327" s="22" t="s">
        <v>13966</v>
      </c>
      <c r="I13327" s="26">
        <v>43658.578784722202</v>
      </c>
      <c r="J13327" s="28" t="s">
        <v>51</v>
      </c>
      <c r="K13327" s="28" t="s">
        <v>51</v>
      </c>
      <c r="L13327" s="28" t="s">
        <v>51</v>
      </c>
      <c r="M13327" s="25">
        <v>330752</v>
      </c>
      <c r="N13327" s="27">
        <v>0</v>
      </c>
    </row>
    <row r="13328" spans="1:14" x14ac:dyDescent="0.15">
      <c r="A13328" s="23" t="str">
        <f>HYPERLINK("https://www.spark-marketing.ru/Card/Person/949594", "МБУ СШОР ""СТАРТ""")</f>
        <v>МБУ СШОР "СТАРТ"</v>
      </c>
      <c r="B13328" s="24" t="s">
        <v>17933</v>
      </c>
      <c r="C13328" s="25">
        <v>216000</v>
      </c>
      <c r="D13328" s="22" t="s">
        <v>17934</v>
      </c>
      <c r="E13328" s="22" t="s">
        <v>48</v>
      </c>
      <c r="F13328" s="23" t="str">
        <f>HYPERLINK("https://www.spark-marketing.ru/Card/Lot/72060916", "Оказание услуг по организации общественного питания детей, находящихся в летнем профильном лагере с дневным пребыванием")</f>
        <v>Оказание услуг по организации общественного питания детей, находящихся в летнем профильном лагере с дневным пребыванием</v>
      </c>
      <c r="G13328" s="22" t="s">
        <v>281</v>
      </c>
      <c r="H13328" s="22" t="s">
        <v>8349</v>
      </c>
      <c r="I13328" s="26">
        <v>43658.560902777797</v>
      </c>
      <c r="J13328" s="23" t="str">
        <f>HYPERLINK("https://www.spark-marketing.ru/Card/Person/471436", "ООО КАФЕ ""ПАРУС""")</f>
        <v>ООО КАФЕ "ПАРУС"</v>
      </c>
      <c r="K13328" s="24" t="s">
        <v>16036</v>
      </c>
      <c r="L13328" s="22" t="s">
        <v>10</v>
      </c>
      <c r="M13328" s="28" t="s">
        <v>51</v>
      </c>
      <c r="N13328" s="28" t="s">
        <v>51</v>
      </c>
    </row>
    <row r="13329" spans="1:14" x14ac:dyDescent="0.2">
      <c r="A13329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13329" s="24" t="s">
        <v>6649</v>
      </c>
      <c r="C13329" s="25">
        <v>2993800</v>
      </c>
      <c r="D13329" s="22" t="s">
        <v>17935</v>
      </c>
      <c r="E13329" s="22" t="s">
        <v>952</v>
      </c>
      <c r="F13329" s="23" t="str">
        <f>HYPERLINK("https://www.spark-marketing.ru/Card/Lot/72065766", "Оказание услуг по организации общественного питания в ФГАУ ""Санаторий ФССП России ""Зелёная долина""")</f>
        <v>Оказание услуг по организации общественного питания в ФГАУ "Санаторий ФССП России "Зелёная долина"</v>
      </c>
      <c r="G13329" s="22" t="s">
        <v>104</v>
      </c>
      <c r="H13329" s="22" t="s">
        <v>4457</v>
      </c>
      <c r="I13329" s="26">
        <v>43658.567835648202</v>
      </c>
      <c r="J13329" s="28" t="s">
        <v>51</v>
      </c>
      <c r="K13329" s="28" t="s">
        <v>51</v>
      </c>
      <c r="L13329" s="22" t="s">
        <v>10</v>
      </c>
      <c r="M13329" s="25">
        <v>2993800</v>
      </c>
      <c r="N13329" s="27">
        <v>0</v>
      </c>
    </row>
    <row r="13330" spans="1:14" x14ac:dyDescent="0.15">
      <c r="A13330" s="23" t="str">
        <f>HYPERLINK("https://www.spark-marketing.ru/Card/Person/30414", "ГУ МВД РОССИИ ПО КРАСНОЯРСКОМУ КРАЮ")</f>
        <v>ГУ МВД РОССИИ ПО КРАСНОЯРСКОМУ КРАЮ</v>
      </c>
      <c r="B13330" s="24" t="s">
        <v>17925</v>
      </c>
      <c r="C13330" s="25">
        <v>9980000</v>
      </c>
      <c r="D13330" s="22" t="s">
        <v>17936</v>
      </c>
      <c r="E13330" s="22" t="s">
        <v>48</v>
      </c>
      <c r="F13330" s="23" t="str">
        <f>HYPERLINK("https://www.spark-marketing.ru/Card/Lot/72076506", "Оказание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краю")</f>
        <v>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</v>
      </c>
      <c r="G13330" s="22" t="s">
        <v>281</v>
      </c>
      <c r="H13330" s="22" t="s">
        <v>1036</v>
      </c>
      <c r="I13330" s="26">
        <v>43658.581979166702</v>
      </c>
      <c r="J13330" s="28" t="s">
        <v>51</v>
      </c>
      <c r="K13330" s="28" t="s">
        <v>51</v>
      </c>
      <c r="L13330" s="28" t="s">
        <v>51</v>
      </c>
      <c r="M13330" s="28" t="s">
        <v>51</v>
      </c>
      <c r="N13330" s="28" t="s">
        <v>51</v>
      </c>
    </row>
    <row r="13331" spans="1:14" hidden="1" outlineLevel="1" x14ac:dyDescent="0.2">
      <c r="A13331" s="23" t="str">
        <f>HYPERLINK("https://www.spark-marketing.ru/Card/Person/30414", "ГУ МВД РОССИИ ПО КРАСНОЯРСКОМУ КРАЮ")</f>
        <v>ГУ МВД РОССИИ ПО КРАСНОЯРСКОМУ КРАЮ</v>
      </c>
      <c r="B13331" s="24" t="s">
        <v>17925</v>
      </c>
      <c r="C13331" s="25">
        <v>9980000</v>
      </c>
      <c r="D13331" s="22" t="s">
        <v>17936</v>
      </c>
      <c r="E13331" s="22" t="s">
        <v>48</v>
      </c>
      <c r="F13331" s="23" t="str">
        <f>HYPERLINK("https://www.spark-marketing.ru/Card/Lot/72076506", "Оказание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краю")</f>
        <v>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</v>
      </c>
      <c r="G13331" s="22" t="s">
        <v>281</v>
      </c>
      <c r="H13331" s="22" t="s">
        <v>1036</v>
      </c>
      <c r="I13331" s="26">
        <v>43658.581979166702</v>
      </c>
      <c r="J13331" s="23" t="str">
        <f>HYPERLINK("https://www.spark-marketing.ru/Card/Person/450859", "Лаптев Алексей Александрович")</f>
        <v>Лаптев Алексей Александрович</v>
      </c>
      <c r="K13331" s="24" t="s">
        <v>17927</v>
      </c>
      <c r="L13331" s="28" t="s">
        <v>51</v>
      </c>
      <c r="M13331" s="25">
        <v>263</v>
      </c>
      <c r="N13331" s="27">
        <v>0.99997364729458915</v>
      </c>
    </row>
    <row r="13332" spans="1:14" hidden="1" outlineLevel="1" x14ac:dyDescent="0.2">
      <c r="A13332" s="23" t="str">
        <f>HYPERLINK("https://www.spark-marketing.ru/Card/Person/30414", "ГУ МВД РОССИИ ПО КРАСНОЯРСКОМУ КРАЮ")</f>
        <v>ГУ МВД РОССИИ ПО КРАСНОЯРСКОМУ КРАЮ</v>
      </c>
      <c r="B13332" s="24" t="s">
        <v>17925</v>
      </c>
      <c r="C13332" s="25">
        <v>9980000</v>
      </c>
      <c r="D13332" s="22" t="s">
        <v>17936</v>
      </c>
      <c r="E13332" s="22" t="s">
        <v>48</v>
      </c>
      <c r="F13332" s="23" t="str">
        <f>HYPERLINK("https://www.spark-marketing.ru/Card/Lot/72076506", "Оказание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краю")</f>
        <v>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</v>
      </c>
      <c r="G13332" s="22" t="s">
        <v>281</v>
      </c>
      <c r="H13332" s="22" t="s">
        <v>1036</v>
      </c>
      <c r="I13332" s="26">
        <v>43658.581979166702</v>
      </c>
      <c r="J13332" s="23" t="str">
        <f>HYPERLINK("https://www.spark-marketing.ru/Card/Person/4887880", "ООО ""СИБИРЬ""")</f>
        <v>ООО "СИБИРЬ"</v>
      </c>
      <c r="K13332" s="24" t="s">
        <v>13666</v>
      </c>
      <c r="L13332" s="28" t="s">
        <v>51</v>
      </c>
      <c r="M13332" s="25">
        <v>301.91000000000003</v>
      </c>
      <c r="N13332" s="27">
        <v>0.99996974849699394</v>
      </c>
    </row>
    <row r="13333" spans="1:14" ht="12.75" hidden="1" outlineLevel="1" x14ac:dyDescent="0.2">
      <c r="A13333" s="23" t="str">
        <f>HYPERLINK("https://www.spark-marketing.ru/Card/Person/30414", "ГУ МВД РОССИИ ПО КРАСНОЯРСКОМУ КРАЮ")</f>
        <v>ГУ МВД РОССИИ ПО КРАСНОЯРСКОМУ КРАЮ</v>
      </c>
      <c r="B13333" s="24" t="s">
        <v>17925</v>
      </c>
      <c r="C13333" s="25">
        <v>9980000</v>
      </c>
      <c r="D13333" s="22" t="s">
        <v>17936</v>
      </c>
      <c r="E13333" s="22" t="s">
        <v>48</v>
      </c>
      <c r="F13333" s="23" t="str">
        <f>HYPERLINK("https://www.spark-marketing.ru/Card/Lot/72076506", "Оказание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краю")</f>
        <v>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</v>
      </c>
      <c r="G13333" s="22" t="s">
        <v>281</v>
      </c>
      <c r="H13333" s="22" t="s">
        <v>1036</v>
      </c>
      <c r="I13333" s="26">
        <v>43658.581979166702</v>
      </c>
      <c r="J13333" s="23" t="str">
        <f>HYPERLINK("https://www.spark-marketing.ru/Card/Person/5910323", "Федорова Елена Владимировна")</f>
        <v>Федорова Елена Владимировна</v>
      </c>
      <c r="K13333" s="24" t="s">
        <v>2487</v>
      </c>
      <c r="L13333" s="22" t="s">
        <v>10</v>
      </c>
      <c r="M13333" s="25">
        <v>261.11</v>
      </c>
      <c r="N13333" s="27">
        <v>0.99997383667334672</v>
      </c>
    </row>
    <row r="13334" spans="1:14" hidden="1" outlineLevel="1" x14ac:dyDescent="0.2">
      <c r="A13334" s="23" t="str">
        <f>HYPERLINK("https://www.spark-marketing.ru/Card/Person/30414", "ГУ МВД РОССИИ ПО КРАСНОЯРСКОМУ КРАЮ")</f>
        <v>ГУ МВД РОССИИ ПО КРАСНОЯРСКОМУ КРАЮ</v>
      </c>
      <c r="B13334" s="24" t="s">
        <v>17925</v>
      </c>
      <c r="C13334" s="25">
        <v>9980000</v>
      </c>
      <c r="D13334" s="22" t="s">
        <v>17936</v>
      </c>
      <c r="E13334" s="22" t="s">
        <v>48</v>
      </c>
      <c r="F13334" s="23" t="str">
        <f>HYPERLINK("https://www.spark-marketing.ru/Card/Lot/72076506", "Оказание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краю")</f>
        <v>Оказание услуг по трехразовому суточному горячему питанию иностранных граждан, содержащихся в Центре временного содержания иностранных граждан для нужд ГУ МВД по Красноярскому краю</v>
      </c>
      <c r="G13334" s="22" t="s">
        <v>281</v>
      </c>
      <c r="H13334" s="22" t="s">
        <v>1036</v>
      </c>
      <c r="I13334" s="26">
        <v>43658.581979166702</v>
      </c>
      <c r="J13334" s="23" t="str">
        <f>HYPERLINK("https://www.spark-marketing.ru/Card/Person/1206441", "ООО ""ФЕНИКС-2016""")</f>
        <v>ООО "ФЕНИКС-2016"</v>
      </c>
      <c r="K13334" s="24" t="s">
        <v>10557</v>
      </c>
      <c r="L13334" s="28" t="s">
        <v>51</v>
      </c>
      <c r="M13334" s="25">
        <v>372.99</v>
      </c>
      <c r="N13334" s="27">
        <v>0.99996262625250498</v>
      </c>
    </row>
    <row r="13335" spans="1:14" x14ac:dyDescent="0.15">
      <c r="A13335" s="23" t="str">
        <f>HYPERLINK("https://www.spark-marketing.ru/Card/Person/1008427", "МБУ ""ДМО"" М.Р. КИНЕЛЬСКИЙ")</f>
        <v>МБУ "ДМО" М.Р. КИНЕЛЬСКИЙ</v>
      </c>
      <c r="B13335" s="24" t="s">
        <v>17937</v>
      </c>
      <c r="C13335" s="25">
        <v>1220800</v>
      </c>
      <c r="D13335" s="22" t="s">
        <v>17938</v>
      </c>
      <c r="E13335" s="22" t="s">
        <v>374</v>
      </c>
      <c r="F13335" s="23" t="str">
        <f>HYPERLINK("https://www.spark-marketing.ru/Card/Lot/72072766", "оказание услуг по организации питания")</f>
        <v>оказание услуг по организации питания</v>
      </c>
      <c r="G13335" s="22" t="s">
        <v>128</v>
      </c>
      <c r="H13335" s="22" t="s">
        <v>17939</v>
      </c>
      <c r="I13335" s="26">
        <v>43658.568344907399</v>
      </c>
      <c r="J13335" s="23" t="str">
        <f>HYPERLINK("https://www.spark-marketing.ru/Card/Person/627919", "ООО ""КОМБИНАТ ПИТАНИЯ""ШКОЛА ЗДОРОВЬЯ""")</f>
        <v>ООО "КОМБИНАТ ПИТАНИЯ"ШКОЛА ЗДОРОВЬЯ"</v>
      </c>
      <c r="K13335" s="24" t="s">
        <v>17940</v>
      </c>
      <c r="L13335" s="22" t="s">
        <v>10</v>
      </c>
      <c r="M13335" s="28" t="s">
        <v>51</v>
      </c>
      <c r="N13335" s="28" t="s">
        <v>51</v>
      </c>
    </row>
    <row r="13336" spans="1:14" x14ac:dyDescent="0.15">
      <c r="A13336" s="23" t="str">
        <f>HYPERLINK("https://www.spark-marketing.ru/Card/Person/253377", "АО ""РН-НЯГАНЬНЕФТЕГАЗ""")</f>
        <v>АО "РН-НЯГАНЬНЕФТЕГАЗ"</v>
      </c>
      <c r="B13336" s="24" t="s">
        <v>12114</v>
      </c>
      <c r="C13336" s="28" t="s">
        <v>51</v>
      </c>
      <c r="D13336" s="22" t="s">
        <v>17941</v>
      </c>
      <c r="E13336" s="22" t="s">
        <v>362</v>
      </c>
      <c r="F13336" s="23" t="str">
        <f>HYPERLINK("https://www.spark-marketing.ru/Card/Lot/74006827", "Оказание услуг по организации и проведению праздничного питания при проведении мероприятия, посвященного празднованию «Дня работников нефтяной и газовой промышленности»")</f>
        <v>Оказание услуг по организации и проведению праздничного питания при проведении мероприятия, посвященного празднованию «Дня работников нефтяной и газовой промышленности»</v>
      </c>
      <c r="G13336" s="22" t="s">
        <v>97</v>
      </c>
      <c r="H13336" s="22" t="s">
        <v>5093</v>
      </c>
      <c r="I13336" s="26">
        <v>43658.556944444397</v>
      </c>
      <c r="J13336" s="28" t="s">
        <v>51</v>
      </c>
      <c r="K13336" s="28" t="s">
        <v>51</v>
      </c>
      <c r="L13336" s="28" t="s">
        <v>51</v>
      </c>
      <c r="M13336" s="28" t="s">
        <v>51</v>
      </c>
      <c r="N13336" s="28" t="s">
        <v>51</v>
      </c>
    </row>
    <row r="13337" spans="1:14" x14ac:dyDescent="0.15">
      <c r="A13337" s="23" t="str">
        <f>HYPERLINK("https://www.spark-marketing.ru/Card/Person/999425", "МБОУ ""СШ № 16""")</f>
        <v>МБОУ "СШ № 16"</v>
      </c>
      <c r="B13337" s="24" t="s">
        <v>12717</v>
      </c>
      <c r="C13337" s="25">
        <v>1018020</v>
      </c>
      <c r="D13337" s="22" t="s">
        <v>17942</v>
      </c>
      <c r="E13337" s="22" t="s">
        <v>48</v>
      </c>
      <c r="F13337" s="23" t="str">
        <f>HYPERLINK("https://www.spark-marketing.ru/Card/Lot/72072258", "Оказание услуг по организации горячего питания и обеспечению горячим питанием учащихся МБОУ ""СШ № 16""")</f>
        <v>Оказание услуг по организации горячего питания и обеспечению горячим питанием учащихся МБОУ "СШ № 16"</v>
      </c>
      <c r="G13337" s="22" t="s">
        <v>460</v>
      </c>
      <c r="H13337" s="22" t="s">
        <v>461</v>
      </c>
      <c r="I13337" s="26">
        <v>43658.5547800926</v>
      </c>
      <c r="J13337" s="28" t="s">
        <v>51</v>
      </c>
      <c r="K13337" s="28" t="s">
        <v>51</v>
      </c>
      <c r="L13337" s="28" t="s">
        <v>51</v>
      </c>
      <c r="M13337" s="28" t="s">
        <v>51</v>
      </c>
      <c r="N13337" s="28" t="s">
        <v>51</v>
      </c>
    </row>
    <row r="13338" spans="1:14" x14ac:dyDescent="0.15">
      <c r="A13338" s="23" t="str">
        <f>HYPERLINK("https://www.spark-marketing.ru/Card/Person/66638", "МЕЖМУНИЦИПАЛЬНЫЙ ОТДЕЛ МВД РОССИИ ""ЕМЕЛЬЯНОВСКИЙ""")</f>
        <v>МЕЖМУНИЦИПАЛЬНЫЙ ОТДЕЛ МВД РОССИИ "ЕМЕЛЬЯНОВСКИЙ"</v>
      </c>
      <c r="B13338" s="24" t="s">
        <v>17928</v>
      </c>
      <c r="C13338" s="25">
        <v>1500000</v>
      </c>
      <c r="D13338" s="22" t="s">
        <v>17943</v>
      </c>
      <c r="E13338" s="22" t="s">
        <v>48</v>
      </c>
      <c r="F13338" s="23" t="str">
        <f>HYPERLINK("https://www.spark-marketing.ru/Card/Lot/72063016", "Оказание услуг по организации горячего питания для лиц, содержащихся в изоляторе временного содержания Межмуниципального отдела МВД России ""Емельяновский""")</f>
        <v>Оказание услуг по организации горячего питания для лиц, содержащихся в изоляторе временного содержания Межмуниципального отдела МВД России "Емельяновский"</v>
      </c>
      <c r="G13338" s="22" t="s">
        <v>281</v>
      </c>
      <c r="H13338" s="22" t="s">
        <v>17930</v>
      </c>
      <c r="I13338" s="26">
        <v>43658.578136574099</v>
      </c>
      <c r="J13338" s="23" t="str">
        <f>HYPERLINK("https://www.spark-marketing.ru/Card/Person/4887880", "ООО ""СИБИРЬ""")</f>
        <v>ООО "СИБИРЬ"</v>
      </c>
      <c r="K13338" s="24" t="s">
        <v>13666</v>
      </c>
      <c r="L13338" s="22" t="s">
        <v>10</v>
      </c>
      <c r="M13338" s="28" t="s">
        <v>51</v>
      </c>
      <c r="N13338" s="28" t="s">
        <v>51</v>
      </c>
    </row>
    <row r="13339" spans="1:14" x14ac:dyDescent="0.15">
      <c r="A13339" s="23" t="str">
        <f>HYPERLINK("https://www.spark-marketing.ru/Card/Person/36878", "ГБУЗ ""САХОБЛКЛИНБОЛЬНИЦА""")</f>
        <v>ГБУЗ "САХОБЛКЛИНБОЛЬНИЦА"</v>
      </c>
      <c r="B13339" s="24" t="s">
        <v>17944</v>
      </c>
      <c r="C13339" s="25">
        <v>866905.55</v>
      </c>
      <c r="D13339" s="22" t="s">
        <v>17945</v>
      </c>
      <c r="E13339" s="22" t="s">
        <v>603</v>
      </c>
      <c r="F13339" s="23" t="str">
        <f>HYPERLINK("https://www.spark-marketing.ru/Card/Lot/72052562", "Оказание услуг по поверке средств измерений")</f>
        <v>Оказание услуг по поверке средств измерений</v>
      </c>
      <c r="G13339" s="22" t="s">
        <v>260</v>
      </c>
      <c r="H13339" s="22" t="s">
        <v>804</v>
      </c>
      <c r="I13339" s="26">
        <v>43658.509537037004</v>
      </c>
      <c r="J13339" s="23" t="str">
        <f>HYPERLINK("https://www.spark-marketing.ru/Card/Person/212744", "ФБУ ""САХАЛИНСКИЙ ЦСМ""")</f>
        <v>ФБУ "САХАЛИНСКИЙ ЦСМ"</v>
      </c>
      <c r="K13339" s="24" t="s">
        <v>12799</v>
      </c>
      <c r="L13339" s="22" t="s">
        <v>10</v>
      </c>
      <c r="M13339" s="28" t="s">
        <v>51</v>
      </c>
      <c r="N13339" s="28" t="s">
        <v>51</v>
      </c>
    </row>
    <row r="13340" spans="1:14" x14ac:dyDescent="0.15">
      <c r="A13340" s="23" t="str">
        <f>HYPERLINK("https://www.spark-marketing.ru/Card/Person/182697", "ОМВД РОССИИ ПО СОВЕТСКО-ГАВАНСКОМУ РАЙОНУ")</f>
        <v>ОМВД РОССИИ ПО СОВЕТСКО-ГАВАНСКОМУ РАЙОНУ</v>
      </c>
      <c r="B13340" s="24" t="s">
        <v>5984</v>
      </c>
      <c r="C13340" s="25">
        <v>1806420</v>
      </c>
      <c r="D13340" s="22" t="s">
        <v>17946</v>
      </c>
      <c r="E13340" s="22" t="s">
        <v>96</v>
      </c>
      <c r="F13340" s="23" t="str">
        <f>HYPERLINK("https://www.spark-marketing.ru/Card/Lot/72054827", "Услуги по организации питания лиц, содержащихся в ИВС и лиц, содержащихся в спецприемнике")</f>
        <v>Услуги по организации питания лиц, содержащихся в ИВС и лиц, содержащихся в спецприемнике</v>
      </c>
      <c r="G13340" s="22" t="s">
        <v>1096</v>
      </c>
      <c r="H13340" s="22" t="s">
        <v>5986</v>
      </c>
      <c r="I13340" s="26">
        <v>43658.5100578704</v>
      </c>
      <c r="J13340" s="23" t="str">
        <f>HYPERLINK("https://www.spark-marketing.ru/Card/Person/6634480", "Баранкевич Елена Александровна")</f>
        <v>Баранкевич Елена Александровна</v>
      </c>
      <c r="K13340" s="24" t="s">
        <v>17947</v>
      </c>
      <c r="L13340" s="22" t="s">
        <v>10</v>
      </c>
      <c r="M13340" s="28" t="s">
        <v>51</v>
      </c>
      <c r="N13340" s="28" t="s">
        <v>51</v>
      </c>
    </row>
    <row r="13341" spans="1:14" x14ac:dyDescent="0.15">
      <c r="A13341" s="23" t="str">
        <f>HYPERLINK("https://www.spark-marketing.ru/Card/Person/4331050", "ООО БАШНЕФТЬ СЕРВИС")</f>
        <v>ООО БАШНЕФТЬ СЕРВИС</v>
      </c>
      <c r="B13341" s="28" t="s">
        <v>51</v>
      </c>
      <c r="C13341" s="28" t="s">
        <v>51</v>
      </c>
      <c r="D13341" s="22" t="s">
        <v>17948</v>
      </c>
      <c r="E13341" s="22" t="s">
        <v>362</v>
      </c>
      <c r="F13341" s="23" t="str">
        <f>HYPERLINK("https://www.spark-marketing.ru/Card/Lot/74006817", "Предоставление персонала - официантов на мероприятия, организованные ПГП ООО ""Башнефть-Сервис""")</f>
        <v>Предоставление персонала - официантов на мероприятия, организованные ПГП ООО "Башнефть-Сервис"</v>
      </c>
      <c r="G13341" s="22" t="s">
        <v>51</v>
      </c>
      <c r="H13341" s="22" t="s">
        <v>51</v>
      </c>
      <c r="I13341" s="26">
        <v>43658.523611111101</v>
      </c>
      <c r="J13341" s="28" t="s">
        <v>51</v>
      </c>
      <c r="K13341" s="28" t="s">
        <v>51</v>
      </c>
      <c r="L13341" s="28" t="s">
        <v>51</v>
      </c>
      <c r="M13341" s="28" t="s">
        <v>51</v>
      </c>
      <c r="N13341" s="28" t="s">
        <v>51</v>
      </c>
    </row>
    <row r="13342" spans="1:14" x14ac:dyDescent="0.15">
      <c r="A13342" s="23" t="str">
        <f>HYPERLINK("https://www.spark-marketing.ru/Card/Person/6454333", "МО МВД РОССИИ ""ДЗЕРЖИНСКИЙ""")</f>
        <v>МО МВД РОССИИ "ДЗЕРЖИНСКИЙ"</v>
      </c>
      <c r="B13342" s="24" t="s">
        <v>1113</v>
      </c>
      <c r="C13342" s="25">
        <v>686500</v>
      </c>
      <c r="D13342" s="22" t="s">
        <v>17949</v>
      </c>
      <c r="E13342" s="22" t="s">
        <v>48</v>
      </c>
      <c r="F13342" s="23" t="str">
        <f>HYPERLINK("https://www.spark-marketing.ru/Card/Lot/72053328", "Услуги по обеспечению питанием")</f>
        <v>Услуги по обеспечению питанием</v>
      </c>
      <c r="G13342" s="22" t="s">
        <v>281</v>
      </c>
      <c r="H13342" s="22" t="s">
        <v>1115</v>
      </c>
      <c r="I13342" s="26">
        <v>43658.508472222202</v>
      </c>
      <c r="J13342" s="28" t="s">
        <v>51</v>
      </c>
      <c r="K13342" s="28" t="s">
        <v>51</v>
      </c>
      <c r="L13342" s="28" t="s">
        <v>51</v>
      </c>
      <c r="M13342" s="28" t="s">
        <v>51</v>
      </c>
      <c r="N13342" s="28" t="s">
        <v>51</v>
      </c>
    </row>
    <row r="13343" spans="1:14" ht="12.75" hidden="1" outlineLevel="1" x14ac:dyDescent="0.2">
      <c r="A13343" s="23" t="str">
        <f>HYPERLINK("https://www.spark-marketing.ru/Card/Person/6454333", "МО МВД РОССИИ ""ДЗЕРЖИНСКИЙ""")</f>
        <v>МО МВД РОССИИ "ДЗЕРЖИНСКИЙ"</v>
      </c>
      <c r="B13343" s="24" t="s">
        <v>1113</v>
      </c>
      <c r="C13343" s="25">
        <v>686500</v>
      </c>
      <c r="D13343" s="22" t="s">
        <v>17949</v>
      </c>
      <c r="E13343" s="22" t="s">
        <v>48</v>
      </c>
      <c r="F13343" s="23" t="str">
        <f>HYPERLINK("https://www.spark-marketing.ru/Card/Lot/72053328", "Услуги по обеспечению питанием")</f>
        <v>Услуги по обеспечению питанием</v>
      </c>
      <c r="G13343" s="22" t="s">
        <v>281</v>
      </c>
      <c r="H13343" s="22" t="s">
        <v>1115</v>
      </c>
      <c r="I13343" s="26">
        <v>43658.508472222202</v>
      </c>
      <c r="J13343" s="23" t="str">
        <f>HYPERLINK("https://www.spark-marketing.ru/Card/Person/6623743", "Фадеева Елена Андреевна")</f>
        <v>Фадеева Елена Андреевна</v>
      </c>
      <c r="K13343" s="24" t="s">
        <v>17919</v>
      </c>
      <c r="L13343" s="22" t="s">
        <v>10</v>
      </c>
      <c r="M13343" s="25">
        <v>437135</v>
      </c>
      <c r="N13343" s="27">
        <v>0.36324107793153676</v>
      </c>
    </row>
    <row r="13344" spans="1:14" hidden="1" outlineLevel="1" x14ac:dyDescent="0.2">
      <c r="A13344" s="23" t="str">
        <f>HYPERLINK("https://www.spark-marketing.ru/Card/Person/6454333", "МО МВД РОССИИ ""ДЗЕРЖИНСКИЙ""")</f>
        <v>МО МВД РОССИИ "ДЗЕРЖИНСКИЙ"</v>
      </c>
      <c r="B13344" s="24" t="s">
        <v>1113</v>
      </c>
      <c r="C13344" s="25">
        <v>686500</v>
      </c>
      <c r="D13344" s="22" t="s">
        <v>17949</v>
      </c>
      <c r="E13344" s="22" t="s">
        <v>48</v>
      </c>
      <c r="F13344" s="23" t="str">
        <f>HYPERLINK("https://www.spark-marketing.ru/Card/Lot/72053328", "Услуги по обеспечению питанием")</f>
        <v>Услуги по обеспечению питанием</v>
      </c>
      <c r="G13344" s="22" t="s">
        <v>281</v>
      </c>
      <c r="H13344" s="22" t="s">
        <v>1115</v>
      </c>
      <c r="I13344" s="26">
        <v>43658.508472222202</v>
      </c>
      <c r="J13344" s="23" t="str">
        <f>HYPERLINK("https://www.spark-marketing.ru/Card/Person/470132", "Соловьев Юрий Александрович")</f>
        <v>Соловьев Юрий Александрович</v>
      </c>
      <c r="K13344" s="24" t="s">
        <v>17918</v>
      </c>
      <c r="L13344" s="28" t="s">
        <v>51</v>
      </c>
      <c r="M13344" s="25">
        <v>440567.5</v>
      </c>
      <c r="N13344" s="27">
        <v>0.35824107793153676</v>
      </c>
    </row>
    <row r="13345" spans="1:14" x14ac:dyDescent="0.15">
      <c r="A13345" s="23" t="str">
        <f>HYPERLINK("https://www.spark-marketing.ru/Card/Person/737290", "ГКУ «ЦБЗ ПРИ МИНЗДРАВЕ КАРЕЛИИ»")</f>
        <v>ГКУ «ЦБЗ ПРИ МИНЗДРАВЕ КАРЕЛИИ»</v>
      </c>
      <c r="B13345" s="24" t="s">
        <v>312</v>
      </c>
      <c r="C13345" s="25">
        <v>498807.9</v>
      </c>
      <c r="D13345" s="22" t="s">
        <v>17950</v>
      </c>
      <c r="E13345" s="22" t="s">
        <v>52</v>
      </c>
      <c r="F13345" s="23" t="str">
        <f>HYPERLINK("https://www.spark-marketing.ru/Card/Lot/72065499", "Поставка лекарственного препарата Периндоприл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рецептам...")</f>
        <v>Поставка лекарственного препарата Периндоприл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рецептам...</v>
      </c>
      <c r="G13345" s="22" t="s">
        <v>59</v>
      </c>
      <c r="H13345" s="22" t="s">
        <v>314</v>
      </c>
      <c r="I13345" s="26">
        <v>43658.520185185203</v>
      </c>
      <c r="J13345" s="23" t="str">
        <f>HYPERLINK("https://www.spark-marketing.ru/Card/Person/6231467", "ООО ""ОБЛФАРМ АЛЬЯНС""")</f>
        <v>ООО "ОБЛФАРМ АЛЬЯНС"</v>
      </c>
      <c r="K13345" s="24" t="s">
        <v>2175</v>
      </c>
      <c r="L13345" s="22" t="s">
        <v>10</v>
      </c>
      <c r="M13345" s="28" t="s">
        <v>51</v>
      </c>
      <c r="N13345" s="28" t="s">
        <v>51</v>
      </c>
    </row>
    <row r="13346" spans="1:14" x14ac:dyDescent="0.15">
      <c r="A13346" s="23" t="str">
        <f>HYPERLINK("https://www.spark-marketing.ru/Card/Person/30912", "ГЛАВНОЕ УПРАВЛЕНИЕ МЧС РОССИИ ПО Г. МОСКВЕ")</f>
        <v>ГЛАВНОЕ УПРАВЛЕНИЕ МЧС РОССИИ ПО Г. МОСКВЕ</v>
      </c>
      <c r="B13346" s="24" t="s">
        <v>17951</v>
      </c>
      <c r="C13346" s="25">
        <v>4040365</v>
      </c>
      <c r="D13346" s="22" t="s">
        <v>17952</v>
      </c>
      <c r="E13346" s="22" t="s">
        <v>48</v>
      </c>
      <c r="F13346" s="23" t="str">
        <f>HYPERLINK("https://www.spark-marketing.ru/Card/Lot/72089417", "Оказание услуг по организации питания сотрудников Главного управления МЧС России по г. Москве")</f>
        <v>Оказание услуг по организации питания сотрудников Главного управления МЧС России по г. Москве</v>
      </c>
      <c r="G13346" s="22" t="s">
        <v>56</v>
      </c>
      <c r="H13346" s="22" t="s">
        <v>56</v>
      </c>
      <c r="I13346" s="26">
        <v>43658.530671296299</v>
      </c>
      <c r="J13346" s="28" t="s">
        <v>51</v>
      </c>
      <c r="K13346" s="28" t="s">
        <v>51</v>
      </c>
      <c r="L13346" s="28" t="s">
        <v>51</v>
      </c>
      <c r="M13346" s="28" t="s">
        <v>51</v>
      </c>
      <c r="N13346" s="28" t="s">
        <v>51</v>
      </c>
    </row>
    <row r="13347" spans="1:14" hidden="1" outlineLevel="1" x14ac:dyDescent="0.2">
      <c r="A13347" s="23" t="str">
        <f>HYPERLINK("https://www.spark-marketing.ru/Card/Person/30912", "ГЛАВНОЕ УПРАВЛЕНИЕ МЧС РОССИИ ПО Г. МОСКВЕ")</f>
        <v>ГЛАВНОЕ УПРАВЛЕНИЕ МЧС РОССИИ ПО Г. МОСКВЕ</v>
      </c>
      <c r="B13347" s="24" t="s">
        <v>17951</v>
      </c>
      <c r="C13347" s="25">
        <v>4040365</v>
      </c>
      <c r="D13347" s="22" t="s">
        <v>17952</v>
      </c>
      <c r="E13347" s="22" t="s">
        <v>48</v>
      </c>
      <c r="F13347" s="23" t="str">
        <f>HYPERLINK("https://www.spark-marketing.ru/Card/Lot/72089417", "Оказание услуг по организации питания сотрудников Главного управления МЧС России по г. Москве")</f>
        <v>Оказание услуг по организации питания сотрудников Главного управления МЧС России по г. Москве</v>
      </c>
      <c r="G13347" s="22" t="s">
        <v>56</v>
      </c>
      <c r="H13347" s="22" t="s">
        <v>56</v>
      </c>
      <c r="I13347" s="26">
        <v>43658.530671296299</v>
      </c>
      <c r="J13347" s="23" t="str">
        <f>HYPERLINK("https://www.spark-marketing.ru/Card/Person/1607786", "ООО ""МАРМЕЛАД""")</f>
        <v>ООО "МАРМЕЛАД"</v>
      </c>
      <c r="K13347" s="24" t="s">
        <v>17953</v>
      </c>
      <c r="L13347" s="28" t="s">
        <v>51</v>
      </c>
      <c r="M13347" s="25">
        <v>3353502.78</v>
      </c>
      <c r="N13347" s="27">
        <v>0.17000004207540656</v>
      </c>
    </row>
    <row r="13348" spans="1:14" ht="12.75" hidden="1" outlineLevel="1" x14ac:dyDescent="0.2">
      <c r="A13348" s="23" t="str">
        <f>HYPERLINK("https://www.spark-marketing.ru/Card/Person/30912", "ГЛАВНОЕ УПРАВЛЕНИЕ МЧС РОССИИ ПО Г. МОСКВЕ")</f>
        <v>ГЛАВНОЕ УПРАВЛЕНИЕ МЧС РОССИИ ПО Г. МОСКВЕ</v>
      </c>
      <c r="B13348" s="24" t="s">
        <v>17951</v>
      </c>
      <c r="C13348" s="25">
        <v>4040365</v>
      </c>
      <c r="D13348" s="22" t="s">
        <v>17952</v>
      </c>
      <c r="E13348" s="22" t="s">
        <v>48</v>
      </c>
      <c r="F13348" s="23" t="str">
        <f>HYPERLINK("https://www.spark-marketing.ru/Card/Lot/72089417", "Оказание услуг по организации питания сотрудников Главного управления МЧС России по г. Москве")</f>
        <v>Оказание услуг по организации питания сотрудников Главного управления МЧС России по г. Москве</v>
      </c>
      <c r="G13348" s="22" t="s">
        <v>56</v>
      </c>
      <c r="H13348" s="22" t="s">
        <v>56</v>
      </c>
      <c r="I13348" s="26">
        <v>43658.530671296299</v>
      </c>
      <c r="J13348" s="23" t="str">
        <f>HYPERLINK("https://www.spark-marketing.ru/Card/Person/4052353", "ООО ""ЕВРОКОР""")</f>
        <v>ООО "ЕВРОКОР"</v>
      </c>
      <c r="K13348" s="24" t="s">
        <v>9698</v>
      </c>
      <c r="L13348" s="22" t="s">
        <v>10</v>
      </c>
      <c r="M13348" s="25">
        <v>3333300.95</v>
      </c>
      <c r="N13348" s="27">
        <v>0.17500004331291852</v>
      </c>
    </row>
    <row r="13349" spans="1:14" x14ac:dyDescent="0.15">
      <c r="A13349" s="23" t="str">
        <f>HYPERLINK("https://www.spark-marketing.ru/Card/Person/3534", "ГУ-МАГАДАНСКОЕ РО ФОНДА СОЦИАЛЬНОГО СТРАХОВАНИЯ РОССИЙСКОЙ ФЕДЕРАЦИИ")</f>
        <v>ГУ-МАГАДАНСКОЕ РО ФОНДА СОЦИАЛЬНОГО СТРАХОВАНИЯ РОССИЙСКОЙ ФЕДЕРАЦИИ</v>
      </c>
      <c r="B13349" s="24" t="s">
        <v>17954</v>
      </c>
      <c r="C13349" s="25">
        <v>665042.04</v>
      </c>
      <c r="D13349" s="22" t="s">
        <v>17955</v>
      </c>
      <c r="E13349" s="22" t="s">
        <v>86</v>
      </c>
      <c r="F13349" s="23" t="str">
        <f>HYPERLINK("https://www.spark-marketing.ru/Card/Lot/72050966", "Оказание услуг санаторно-курортного лечения гражданам, получающим   набор социальных услуг в организациях, оказывающих санаторно-курортные услуги")</f>
        <v>Оказание услуг санаторно-курортного лечения гражданам, получающим   набор социальных услуг в организациях, оказывающих санаторно-курортные услуги</v>
      </c>
      <c r="G13349" s="22" t="s">
        <v>548</v>
      </c>
      <c r="H13349" s="22" t="s">
        <v>548</v>
      </c>
      <c r="I13349" s="26">
        <v>43658.5327777778</v>
      </c>
      <c r="J13349" s="23" t="str">
        <f>HYPERLINK("https://www.spark-marketing.ru/Card/Person/673447", "ГАУЗ ""МОС ""ТАЛАЯ""")</f>
        <v>ГАУЗ "МОС "ТАЛАЯ"</v>
      </c>
      <c r="K13349" s="24" t="s">
        <v>17956</v>
      </c>
      <c r="L13349" s="22" t="s">
        <v>10</v>
      </c>
      <c r="M13349" s="28" t="s">
        <v>51</v>
      </c>
      <c r="N13349" s="28" t="s">
        <v>51</v>
      </c>
    </row>
    <row r="13350" spans="1:14" x14ac:dyDescent="0.15">
      <c r="A13350" s="23" t="str">
        <f>HYPERLINK("https://www.spark-marketing.ru/Card/Person/816480", "ОТДЕЛ МВД РОССИИ ПО СПАССКОМУ РАЙОНУ")</f>
        <v>ОТДЕЛ МВД РОССИИ ПО СПАССКОМУ РАЙОНУ</v>
      </c>
      <c r="B13350" s="24" t="s">
        <v>17773</v>
      </c>
      <c r="C13350" s="25">
        <v>150000</v>
      </c>
      <c r="D13350" s="22" t="s">
        <v>17957</v>
      </c>
      <c r="E13350" s="22" t="s">
        <v>96</v>
      </c>
      <c r="F13350" s="23" t="str">
        <f>HYPERLINK("https://www.spark-marketing.ru/Card/Lot/72057902", "Оказание услуг по организации питания (приготовлению и доставке), 375 шт")</f>
        <v>Оказание услуг по организации питания (приготовлению и доставке), 375 шт</v>
      </c>
      <c r="G13350" s="22" t="s">
        <v>217</v>
      </c>
      <c r="H13350" s="22" t="s">
        <v>622</v>
      </c>
      <c r="I13350" s="26">
        <v>43658.486655092602</v>
      </c>
      <c r="J13350" s="28" t="s">
        <v>51</v>
      </c>
      <c r="K13350" s="28" t="s">
        <v>51</v>
      </c>
      <c r="L13350" s="28" t="s">
        <v>51</v>
      </c>
      <c r="M13350" s="28" t="s">
        <v>51</v>
      </c>
      <c r="N13350" s="28" t="s">
        <v>51</v>
      </c>
    </row>
    <row r="13351" spans="1:14" x14ac:dyDescent="0.15">
      <c r="A13351" s="23" t="str">
        <f t="shared" ref="A13351:A13357" si="438">HYPERLINK("https://www.spark-marketing.ru/Card/Person/82477", "УПРАВА ЯРОСЛАВСКОГО РАЙОНА ГОРОДА МОСКВЫ")</f>
        <v>УПРАВА ЯРОСЛАВСКОГО РАЙОНА ГОРОДА МОСКВЫ</v>
      </c>
      <c r="B13351" s="24" t="s">
        <v>17958</v>
      </c>
      <c r="C13351" s="25">
        <v>408100</v>
      </c>
      <c r="D13351" s="22" t="s">
        <v>17959</v>
      </c>
      <c r="E13351" s="22" t="s">
        <v>96</v>
      </c>
      <c r="F13351" s="23" t="str">
        <f t="shared" ref="F13351:F13357" si="439">HYPERLINK("https://www.spark-marketing.ru/Card/Lot/72062075", "Оказание услуг по организации питания членов избирательных комиссий.")</f>
        <v>Оказание услуг по организации питания членов избирательных комиссий.</v>
      </c>
      <c r="G13351" s="22" t="s">
        <v>56</v>
      </c>
      <c r="H13351" s="22" t="s">
        <v>56</v>
      </c>
      <c r="I13351" s="26">
        <v>43658.460775462998</v>
      </c>
      <c r="J13351" s="28" t="s">
        <v>51</v>
      </c>
      <c r="K13351" s="28" t="s">
        <v>51</v>
      </c>
      <c r="L13351" s="28" t="s">
        <v>51</v>
      </c>
      <c r="M13351" s="28" t="s">
        <v>51</v>
      </c>
      <c r="N13351" s="28" t="s">
        <v>51</v>
      </c>
    </row>
    <row r="13352" spans="1:14" ht="12.75" hidden="1" outlineLevel="1" x14ac:dyDescent="0.2">
      <c r="A13352" s="23" t="str">
        <f t="shared" si="438"/>
        <v>УПРАВА ЯРОСЛАВСКОГО РАЙОНА ГОРОДА МОСКВЫ</v>
      </c>
      <c r="B13352" s="24" t="s">
        <v>17958</v>
      </c>
      <c r="C13352" s="25">
        <v>408100</v>
      </c>
      <c r="D13352" s="22" t="s">
        <v>17959</v>
      </c>
      <c r="E13352" s="22" t="s">
        <v>96</v>
      </c>
      <c r="F13352" s="23" t="str">
        <f t="shared" si="439"/>
        <v>Оказание услуг по организации питания членов избирательных комиссий.</v>
      </c>
      <c r="G13352" s="22" t="s">
        <v>56</v>
      </c>
      <c r="H13352" s="22" t="s">
        <v>56</v>
      </c>
      <c r="I13352" s="26">
        <v>43658.460775462998</v>
      </c>
      <c r="J13352" s="23" t="str">
        <f>HYPERLINK("https://www.spark-marketing.ru/Card/Person/6639809", "ООО ФИРМА ""СИМВОЛ""")</f>
        <v>ООО ФИРМА "СИМВОЛ"</v>
      </c>
      <c r="K13352" s="24" t="s">
        <v>17960</v>
      </c>
      <c r="L13352" s="22" t="s">
        <v>10</v>
      </c>
      <c r="M13352" s="25">
        <v>146916</v>
      </c>
      <c r="N13352" s="27">
        <v>0.64</v>
      </c>
    </row>
    <row r="13353" spans="1:14" hidden="1" outlineLevel="1" x14ac:dyDescent="0.2">
      <c r="A13353" s="23" t="str">
        <f t="shared" si="438"/>
        <v>УПРАВА ЯРОСЛАВСКОГО РАЙОНА ГОРОДА МОСКВЫ</v>
      </c>
      <c r="B13353" s="24" t="s">
        <v>17958</v>
      </c>
      <c r="C13353" s="25">
        <v>408100</v>
      </c>
      <c r="D13353" s="22" t="s">
        <v>17959</v>
      </c>
      <c r="E13353" s="22" t="s">
        <v>96</v>
      </c>
      <c r="F13353" s="23" t="str">
        <f t="shared" si="439"/>
        <v>Оказание услуг по организации питания членов избирательных комиссий.</v>
      </c>
      <c r="G13353" s="22" t="s">
        <v>56</v>
      </c>
      <c r="H13353" s="22" t="s">
        <v>56</v>
      </c>
      <c r="I13353" s="26">
        <v>43658.460775462998</v>
      </c>
      <c r="J13353" s="23" t="str">
        <f>HYPERLINK("https://www.spark-marketing.ru/Card/Person/4052353", "ООО ""ЕВРОКОР""")</f>
        <v>ООО "ЕВРОКОР"</v>
      </c>
      <c r="K13353" s="24" t="s">
        <v>9698</v>
      </c>
      <c r="L13353" s="28" t="s">
        <v>51</v>
      </c>
      <c r="M13353" s="25">
        <v>389735.5</v>
      </c>
      <c r="N13353" s="27">
        <v>4.4999999999999998E-2</v>
      </c>
    </row>
    <row r="13354" spans="1:14" hidden="1" outlineLevel="1" x14ac:dyDescent="0.2">
      <c r="A13354" s="23" t="str">
        <f t="shared" si="438"/>
        <v>УПРАВА ЯРОСЛАВСКОГО РАЙОНА ГОРОДА МОСКВЫ</v>
      </c>
      <c r="B13354" s="24" t="s">
        <v>17958</v>
      </c>
      <c r="C13354" s="25">
        <v>408100</v>
      </c>
      <c r="D13354" s="22" t="s">
        <v>17959</v>
      </c>
      <c r="E13354" s="22" t="s">
        <v>96</v>
      </c>
      <c r="F13354" s="23" t="str">
        <f t="shared" si="439"/>
        <v>Оказание услуг по организации питания членов избирательных комиссий.</v>
      </c>
      <c r="G13354" s="22" t="s">
        <v>56</v>
      </c>
      <c r="H13354" s="22" t="s">
        <v>56</v>
      </c>
      <c r="I13354" s="26">
        <v>43658.460775462998</v>
      </c>
      <c r="J13354" s="23" t="str">
        <f>HYPERLINK("https://www.spark-marketing.ru/Card/Person/2042423", "ООО ""ТФ ПРОДЖЕКТ""")</f>
        <v>ООО "ТФ ПРОДЖЕКТ"</v>
      </c>
      <c r="K13354" s="24" t="s">
        <v>9610</v>
      </c>
      <c r="L13354" s="28" t="s">
        <v>51</v>
      </c>
      <c r="M13354" s="25">
        <v>389735.5</v>
      </c>
      <c r="N13354" s="27">
        <v>4.4999999999999998E-2</v>
      </c>
    </row>
    <row r="13355" spans="1:14" hidden="1" outlineLevel="1" x14ac:dyDescent="0.2">
      <c r="A13355" s="23" t="str">
        <f t="shared" si="438"/>
        <v>УПРАВА ЯРОСЛАВСКОГО РАЙОНА ГОРОДА МОСКВЫ</v>
      </c>
      <c r="B13355" s="24" t="s">
        <v>17958</v>
      </c>
      <c r="C13355" s="25">
        <v>408100</v>
      </c>
      <c r="D13355" s="22" t="s">
        <v>17959</v>
      </c>
      <c r="E13355" s="22" t="s">
        <v>96</v>
      </c>
      <c r="F13355" s="23" t="str">
        <f t="shared" si="439"/>
        <v>Оказание услуг по организации питания членов избирательных комиссий.</v>
      </c>
      <c r="G13355" s="22" t="s">
        <v>56</v>
      </c>
      <c r="H13355" s="22" t="s">
        <v>56</v>
      </c>
      <c r="I13355" s="26">
        <v>43658.460775462998</v>
      </c>
      <c r="J13355" s="23" t="str">
        <f>HYPERLINK("https://www.spark-marketing.ru/Card/Person/6604981", "ООО ""ПЕРСПЕКТИВА""")</f>
        <v>ООО "ПЕРСПЕКТИВА"</v>
      </c>
      <c r="K13355" s="24" t="s">
        <v>13150</v>
      </c>
      <c r="L13355" s="28" t="s">
        <v>51</v>
      </c>
      <c r="M13355" s="25">
        <v>148956.5</v>
      </c>
      <c r="N13355" s="27">
        <v>0.63500000000000001</v>
      </c>
    </row>
    <row r="13356" spans="1:14" hidden="1" outlineLevel="1" x14ac:dyDescent="0.2">
      <c r="A13356" s="23" t="str">
        <f t="shared" si="438"/>
        <v>УПРАВА ЯРОСЛАВСКОГО РАЙОНА ГОРОДА МОСКВЫ</v>
      </c>
      <c r="B13356" s="24" t="s">
        <v>17958</v>
      </c>
      <c r="C13356" s="25">
        <v>408100</v>
      </c>
      <c r="D13356" s="22" t="s">
        <v>17959</v>
      </c>
      <c r="E13356" s="22" t="s">
        <v>96</v>
      </c>
      <c r="F13356" s="23" t="str">
        <f t="shared" si="439"/>
        <v>Оказание услуг по организации питания членов избирательных комиссий.</v>
      </c>
      <c r="G13356" s="22" t="s">
        <v>56</v>
      </c>
      <c r="H13356" s="22" t="s">
        <v>56</v>
      </c>
      <c r="I13356" s="26">
        <v>43658.460775462998</v>
      </c>
      <c r="J13356" s="23" t="str">
        <f>HYPERLINK("https://www.spark-marketing.ru/Card/Person/162438", "ООО ""ТЕХНО-КЛАССИК+""")</f>
        <v>ООО "ТЕХНО-КЛАССИК+"</v>
      </c>
      <c r="K13356" s="24" t="s">
        <v>13857</v>
      </c>
      <c r="L13356" s="28" t="s">
        <v>51</v>
      </c>
      <c r="M13356" s="25">
        <v>367200</v>
      </c>
      <c r="N13356" s="27">
        <v>0.10022053418279833</v>
      </c>
    </row>
    <row r="13357" spans="1:14" hidden="1" outlineLevel="1" x14ac:dyDescent="0.2">
      <c r="A13357" s="23" t="str">
        <f t="shared" si="438"/>
        <v>УПРАВА ЯРОСЛАВСКОГО РАЙОНА ГОРОДА МОСКВЫ</v>
      </c>
      <c r="B13357" s="24" t="s">
        <v>17958</v>
      </c>
      <c r="C13357" s="25">
        <v>408100</v>
      </c>
      <c r="D13357" s="22" t="s">
        <v>17959</v>
      </c>
      <c r="E13357" s="22" t="s">
        <v>96</v>
      </c>
      <c r="F13357" s="23" t="str">
        <f t="shared" si="439"/>
        <v>Оказание услуг по организации питания членов избирательных комиссий.</v>
      </c>
      <c r="G13357" s="22" t="s">
        <v>56</v>
      </c>
      <c r="H13357" s="22" t="s">
        <v>56</v>
      </c>
      <c r="I13357" s="26">
        <v>43658.460775462998</v>
      </c>
      <c r="J13357" s="23" t="str">
        <f>HYPERLINK("https://www.spark-marketing.ru/Card/Person/6617658", "ООО ""АЛЬБА""")</f>
        <v>ООО "АЛЬБА"</v>
      </c>
      <c r="K13357" s="24" t="s">
        <v>13028</v>
      </c>
      <c r="L13357" s="28" t="s">
        <v>51</v>
      </c>
      <c r="M13357" s="25">
        <v>150997</v>
      </c>
      <c r="N13357" s="27">
        <v>0.63</v>
      </c>
    </row>
    <row r="13358" spans="1:14" x14ac:dyDescent="0.15">
      <c r="A13358" s="23" t="str">
        <f>HYPERLINK("https://www.spark-marketing.ru/Card/Person/46046", "ГБУЗ ""ВОКПЦ № 2""")</f>
        <v>ГБУЗ "ВОКПЦ № 2"</v>
      </c>
      <c r="B13358" s="24" t="s">
        <v>17961</v>
      </c>
      <c r="C13358" s="25">
        <v>45860.78</v>
      </c>
      <c r="D13358" s="22" t="s">
        <v>17962</v>
      </c>
      <c r="E13358" s="22" t="s">
        <v>152</v>
      </c>
      <c r="F13358" s="23" t="str">
        <f>HYPERLINK("https://www.spark-marketing.ru/Card/Lot/72060720", "Оказание услуг по техническое обслуживание систем автоматической пожарной сигнализации, оповещения людей о пожаре и дымоудаления")</f>
        <v>Оказание услуг по техническое обслуживание систем автоматической пожарной сигнализации, оповещения людей о пожаре и дымоудаления</v>
      </c>
      <c r="G13358" s="22" t="s">
        <v>158</v>
      </c>
      <c r="H13358" s="22" t="s">
        <v>171</v>
      </c>
      <c r="I13358" s="26">
        <v>43658.471851851798</v>
      </c>
      <c r="J13358" s="28" t="s">
        <v>51</v>
      </c>
      <c r="K13358" s="28" t="s">
        <v>51</v>
      </c>
      <c r="L13358" s="28" t="s">
        <v>51</v>
      </c>
      <c r="M13358" s="28" t="s">
        <v>51</v>
      </c>
      <c r="N13358" s="28" t="s">
        <v>51</v>
      </c>
    </row>
    <row r="13359" spans="1:14" ht="12.75" hidden="1" outlineLevel="1" x14ac:dyDescent="0.2">
      <c r="A13359" s="23" t="str">
        <f>HYPERLINK("https://www.spark-marketing.ru/Card/Person/46046", "ГБУЗ ""ВОКПЦ № 2""")</f>
        <v>ГБУЗ "ВОКПЦ № 2"</v>
      </c>
      <c r="B13359" s="24" t="s">
        <v>17961</v>
      </c>
      <c r="C13359" s="25">
        <v>45860.78</v>
      </c>
      <c r="D13359" s="22" t="s">
        <v>17962</v>
      </c>
      <c r="E13359" s="22" t="s">
        <v>152</v>
      </c>
      <c r="F13359" s="23" t="str">
        <f>HYPERLINK("https://www.spark-marketing.ru/Card/Lot/72060720", "Оказание услуг по техническое обслуживание систем автоматической пожарной сигнализации, оповещения людей о пожаре и дымоудаления")</f>
        <v>Оказание услуг по техническое обслуживание систем автоматической пожарной сигнализации, оповещения людей о пожаре и дымоудаления</v>
      </c>
      <c r="G13359" s="22" t="s">
        <v>158</v>
      </c>
      <c r="H13359" s="22" t="s">
        <v>171</v>
      </c>
      <c r="I13359" s="26">
        <v>43658.471851851798</v>
      </c>
      <c r="J13359" s="23" t="str">
        <f>HYPERLINK("https://www.spark-marketing.ru/Card/Person/503303", "ООО ""БЕЗОПАСНОСТЬ ТРЕЙД""")</f>
        <v>ООО "БЕЗОПАСНОСТЬ ТРЕЙД"</v>
      </c>
      <c r="K13359" s="24" t="s">
        <v>17963</v>
      </c>
      <c r="L13359" s="22" t="s">
        <v>10</v>
      </c>
      <c r="M13359" s="25">
        <v>40000</v>
      </c>
      <c r="N13359" s="27">
        <v>0.12779503532212055</v>
      </c>
    </row>
    <row r="13360" spans="1:14" hidden="1" outlineLevel="1" x14ac:dyDescent="0.2">
      <c r="A13360" s="23" t="str">
        <f>HYPERLINK("https://www.spark-marketing.ru/Card/Person/46046", "ГБУЗ ""ВОКПЦ № 2""")</f>
        <v>ГБУЗ "ВОКПЦ № 2"</v>
      </c>
      <c r="B13360" s="24" t="s">
        <v>17961</v>
      </c>
      <c r="C13360" s="25">
        <v>45860.78</v>
      </c>
      <c r="D13360" s="22" t="s">
        <v>17962</v>
      </c>
      <c r="E13360" s="22" t="s">
        <v>152</v>
      </c>
      <c r="F13360" s="23" t="str">
        <f>HYPERLINK("https://www.spark-marketing.ru/Card/Lot/72060720", "Оказание услуг по техническое обслуживание систем автоматической пожарной сигнализации, оповещения людей о пожаре и дымоудаления")</f>
        <v>Оказание услуг по техническое обслуживание систем автоматической пожарной сигнализации, оповещения людей о пожаре и дымоудаления</v>
      </c>
      <c r="G13360" s="22" t="s">
        <v>158</v>
      </c>
      <c r="H13360" s="22" t="s">
        <v>171</v>
      </c>
      <c r="I13360" s="26">
        <v>43658.471851851798</v>
      </c>
      <c r="J13360" s="23" t="str">
        <f>HYPERLINK("https://www.spark-marketing.ru/Card/Person/500779", "ООО ""ЗАЩИТА""")</f>
        <v>ООО "ЗАЩИТА"</v>
      </c>
      <c r="K13360" s="24" t="s">
        <v>17964</v>
      </c>
      <c r="L13360" s="28" t="s">
        <v>51</v>
      </c>
      <c r="M13360" s="25">
        <v>42500</v>
      </c>
      <c r="N13360" s="27">
        <v>7.3282225029753095E-2</v>
      </c>
    </row>
    <row r="13361" spans="1:14" x14ac:dyDescent="0.15">
      <c r="A13361" s="23" t="str">
        <f>HYPERLINK("https://www.spark-marketing.ru/Card/Person/72439", "ОТДЕЛ МВД РОССИИ ПО ГУЛЬКЕВИЧСКОМУ РАЙОНУ")</f>
        <v>ОТДЕЛ МВД РОССИИ ПО ГУЛЬКЕВИЧСКОМУ РАЙОНУ</v>
      </c>
      <c r="B13361" s="24" t="s">
        <v>17965</v>
      </c>
      <c r="C13361" s="25">
        <v>20000000</v>
      </c>
      <c r="D13361" s="22" t="s">
        <v>17966</v>
      </c>
      <c r="E13361" s="22" t="s">
        <v>48</v>
      </c>
      <c r="F13361" s="23" t="str">
        <f>HYPERLINK("https://www.spark-marketing.ru/Card/Lot/72076478", "Оказание услуги питания лиц, согласно норм, утвержденных постановлением Правительства РФ от 30.12.2013г.№ 1306")</f>
        <v>Оказание услуги питания лиц, согласно норм, утвержденных постановлением Правительства РФ от 30.12.2013г.№ 1306</v>
      </c>
      <c r="G13361" s="22" t="s">
        <v>104</v>
      </c>
      <c r="H13361" s="22" t="s">
        <v>17967</v>
      </c>
      <c r="I13361" s="26">
        <v>43658.485729166699</v>
      </c>
      <c r="J13361" s="28" t="s">
        <v>51</v>
      </c>
      <c r="K13361" s="28" t="s">
        <v>51</v>
      </c>
      <c r="L13361" s="28" t="s">
        <v>51</v>
      </c>
      <c r="M13361" s="28" t="s">
        <v>51</v>
      </c>
      <c r="N13361" s="28" t="s">
        <v>51</v>
      </c>
    </row>
    <row r="13362" spans="1:14" hidden="1" outlineLevel="1" x14ac:dyDescent="0.2">
      <c r="A13362" s="23" t="str">
        <f>HYPERLINK("https://www.spark-marketing.ru/Card/Person/72439", "ОТДЕЛ МВД РОССИИ ПО ГУЛЬКЕВИЧСКОМУ РАЙОНУ")</f>
        <v>ОТДЕЛ МВД РОССИИ ПО ГУЛЬКЕВИЧСКОМУ РАЙОНУ</v>
      </c>
      <c r="B13362" s="24" t="s">
        <v>17965</v>
      </c>
      <c r="C13362" s="25">
        <v>20000000</v>
      </c>
      <c r="D13362" s="22" t="s">
        <v>17966</v>
      </c>
      <c r="E13362" s="22" t="s">
        <v>48</v>
      </c>
      <c r="F13362" s="23" t="str">
        <f>HYPERLINK("https://www.spark-marketing.ru/Card/Lot/72076478", "Оказание услуги питания лиц, согласно норм, утвержденных постановлением Правительства РФ от 30.12.2013г.№ 1306")</f>
        <v>Оказание услуги питания лиц, согласно норм, утвержденных постановлением Правительства РФ от 30.12.2013г.№ 1306</v>
      </c>
      <c r="G13362" s="22" t="s">
        <v>104</v>
      </c>
      <c r="H13362" s="22" t="s">
        <v>17967</v>
      </c>
      <c r="I13362" s="26">
        <v>43658.485729166699</v>
      </c>
      <c r="J13362" s="23" t="str">
        <f>HYPERLINK("https://www.spark-marketing.ru/Card/Person/249921", "Волкова Ирина Александровна")</f>
        <v>Волкова Ирина Александровна</v>
      </c>
      <c r="K13362" s="24" t="s">
        <v>17968</v>
      </c>
      <c r="L13362" s="28" t="s">
        <v>51</v>
      </c>
      <c r="M13362" s="25">
        <v>2830</v>
      </c>
      <c r="N13362" s="27">
        <v>0.99985849999999998</v>
      </c>
    </row>
    <row r="13363" spans="1:14" hidden="1" outlineLevel="1" x14ac:dyDescent="0.2">
      <c r="A13363" s="23" t="str">
        <f>HYPERLINK("https://www.spark-marketing.ru/Card/Person/72439", "ОТДЕЛ МВД РОССИИ ПО ГУЛЬКЕВИЧСКОМУ РАЙОНУ")</f>
        <v>ОТДЕЛ МВД РОССИИ ПО ГУЛЬКЕВИЧСКОМУ РАЙОНУ</v>
      </c>
      <c r="B13363" s="24" t="s">
        <v>17965</v>
      </c>
      <c r="C13363" s="25">
        <v>20000000</v>
      </c>
      <c r="D13363" s="22" t="s">
        <v>17966</v>
      </c>
      <c r="E13363" s="22" t="s">
        <v>48</v>
      </c>
      <c r="F13363" s="23" t="str">
        <f>HYPERLINK("https://www.spark-marketing.ru/Card/Lot/72076478", "Оказание услуги питания лиц, согласно норм, утвержденных постановлением Правительства РФ от 30.12.2013г.№ 1306")</f>
        <v>Оказание услуги питания лиц, согласно норм, утвержденных постановлением Правительства РФ от 30.12.2013г.№ 1306</v>
      </c>
      <c r="G13363" s="22" t="s">
        <v>104</v>
      </c>
      <c r="H13363" s="22" t="s">
        <v>17967</v>
      </c>
      <c r="I13363" s="26">
        <v>43658.485729166699</v>
      </c>
      <c r="J13363" s="23" t="str">
        <f>HYPERLINK("https://www.spark-marketing.ru/Card/Person/6159481", "Скурихин Павел Витальевич")</f>
        <v>Скурихин Павел Витальевич</v>
      </c>
      <c r="K13363" s="24" t="s">
        <v>17969</v>
      </c>
      <c r="L13363" s="28" t="s">
        <v>51</v>
      </c>
      <c r="M13363" s="25">
        <v>1313.69</v>
      </c>
      <c r="N13363" s="27">
        <v>0.9999343155</v>
      </c>
    </row>
    <row r="13364" spans="1:14" ht="12.75" hidden="1" outlineLevel="1" x14ac:dyDescent="0.2">
      <c r="A13364" s="23" t="str">
        <f>HYPERLINK("https://www.spark-marketing.ru/Card/Person/72439", "ОТДЕЛ МВД РОССИИ ПО ГУЛЬКЕВИЧСКОМУ РАЙОНУ")</f>
        <v>ОТДЕЛ МВД РОССИИ ПО ГУЛЬКЕВИЧСКОМУ РАЙОНУ</v>
      </c>
      <c r="B13364" s="24" t="s">
        <v>17965</v>
      </c>
      <c r="C13364" s="25">
        <v>20000000</v>
      </c>
      <c r="D13364" s="22" t="s">
        <v>17966</v>
      </c>
      <c r="E13364" s="22" t="s">
        <v>48</v>
      </c>
      <c r="F13364" s="23" t="str">
        <f>HYPERLINK("https://www.spark-marketing.ru/Card/Lot/72076478", "Оказание услуги питания лиц, согласно норм, утвержденных постановлением Правительства РФ от 30.12.2013г.№ 1306")</f>
        <v>Оказание услуги питания лиц, согласно норм, утвержденных постановлением Правительства РФ от 30.12.2013г.№ 1306</v>
      </c>
      <c r="G13364" s="22" t="s">
        <v>104</v>
      </c>
      <c r="H13364" s="22" t="s">
        <v>17967</v>
      </c>
      <c r="I13364" s="26">
        <v>43658.485729166699</v>
      </c>
      <c r="J13364" s="23" t="str">
        <f>HYPERLINK("https://www.spark-marketing.ru/Card/Person/6639775", "ООО ""ОПТИМУМ""")</f>
        <v>ООО "ОПТИМУМ"</v>
      </c>
      <c r="K13364" s="24" t="s">
        <v>17970</v>
      </c>
      <c r="L13364" s="22" t="s">
        <v>10</v>
      </c>
      <c r="M13364" s="25">
        <v>1426.56</v>
      </c>
      <c r="N13364" s="27">
        <v>0.99992867200000002</v>
      </c>
    </row>
    <row r="13365" spans="1:14" x14ac:dyDescent="0.15">
      <c r="A13365" s="23" t="str">
        <f>HYPERLINK("https://www.spark-marketing.ru/Card/Person/400972", "МО МВД РОССИИ ""ГАЛИЧСКИЙ""")</f>
        <v>МО МВД РОССИИ "ГАЛИЧСКИЙ"</v>
      </c>
      <c r="B13365" s="24" t="s">
        <v>17971</v>
      </c>
      <c r="C13365" s="25">
        <v>430000</v>
      </c>
      <c r="D13365" s="22" t="s">
        <v>17972</v>
      </c>
      <c r="E13365" s="22" t="s">
        <v>96</v>
      </c>
      <c r="F13365" s="23" t="str">
        <f>HYPERLINK("https://www.spark-marketing.ru/Card/Lot/72071776", "Оказание услуг организации питания арестованных и задержанных")</f>
        <v>Оказание услуг организации питания арестованных и задержанных</v>
      </c>
      <c r="G13365" s="22" t="s">
        <v>292</v>
      </c>
      <c r="H13365" s="22" t="s">
        <v>292</v>
      </c>
      <c r="I13365" s="26">
        <v>43658.498553240701</v>
      </c>
      <c r="J13365" s="28" t="s">
        <v>51</v>
      </c>
      <c r="K13365" s="28" t="s">
        <v>51</v>
      </c>
      <c r="L13365" s="28" t="s">
        <v>51</v>
      </c>
      <c r="M13365" s="28" t="s">
        <v>51</v>
      </c>
      <c r="N13365" s="28" t="s">
        <v>51</v>
      </c>
    </row>
    <row r="13366" spans="1:14" ht="12.75" hidden="1" outlineLevel="1" x14ac:dyDescent="0.2">
      <c r="A13366" s="23" t="str">
        <f>HYPERLINK("https://www.spark-marketing.ru/Card/Person/400972", "МО МВД РОССИИ ""ГАЛИЧСКИЙ""")</f>
        <v>МО МВД РОССИИ "ГАЛИЧСКИЙ"</v>
      </c>
      <c r="B13366" s="24" t="s">
        <v>17971</v>
      </c>
      <c r="C13366" s="25">
        <v>430000</v>
      </c>
      <c r="D13366" s="22" t="s">
        <v>17972</v>
      </c>
      <c r="E13366" s="22" t="s">
        <v>96</v>
      </c>
      <c r="F13366" s="23" t="str">
        <f>HYPERLINK("https://www.spark-marketing.ru/Card/Lot/72071776", "Оказание услуг организации питания арестованных и задержанных")</f>
        <v>Оказание услуг организации питания арестованных и задержанных</v>
      </c>
      <c r="G13366" s="22" t="s">
        <v>292</v>
      </c>
      <c r="H13366" s="22" t="s">
        <v>292</v>
      </c>
      <c r="I13366" s="26">
        <v>43658.498553240701</v>
      </c>
      <c r="J13366" s="23" t="str">
        <f>HYPERLINK("https://www.spark-marketing.ru/Card/Person/6204506", "ООО ""ТРАНСАВТО""")</f>
        <v>ООО "ТРАНСАВТО"</v>
      </c>
      <c r="K13366" s="24" t="s">
        <v>5795</v>
      </c>
      <c r="L13366" s="22" t="s">
        <v>10</v>
      </c>
      <c r="M13366" s="25">
        <v>399900</v>
      </c>
      <c r="N13366" s="27">
        <v>7.0000000000000007E-2</v>
      </c>
    </row>
    <row r="13367" spans="1:14" hidden="1" outlineLevel="1" x14ac:dyDescent="0.2">
      <c r="A13367" s="23" t="str">
        <f>HYPERLINK("https://www.spark-marketing.ru/Card/Person/400972", "МО МВД РОССИИ ""ГАЛИЧСКИЙ""")</f>
        <v>МО МВД РОССИИ "ГАЛИЧСКИЙ"</v>
      </c>
      <c r="B13367" s="24" t="s">
        <v>17971</v>
      </c>
      <c r="C13367" s="25">
        <v>430000</v>
      </c>
      <c r="D13367" s="22" t="s">
        <v>17972</v>
      </c>
      <c r="E13367" s="22" t="s">
        <v>96</v>
      </c>
      <c r="F13367" s="23" t="str">
        <f>HYPERLINK("https://www.spark-marketing.ru/Card/Lot/72071776", "Оказание услуг организации питания арестованных и задержанных")</f>
        <v>Оказание услуг организации питания арестованных и задержанных</v>
      </c>
      <c r="G13367" s="22" t="s">
        <v>292</v>
      </c>
      <c r="H13367" s="22" t="s">
        <v>292</v>
      </c>
      <c r="I13367" s="26">
        <v>43658.498553240701</v>
      </c>
      <c r="J13367" s="23" t="str">
        <f>HYPERLINK("https://www.spark-marketing.ru/Card/Person/431796", "ООО ""СТАНДАРТ""")</f>
        <v>ООО "СТАНДАРТ"</v>
      </c>
      <c r="K13367" s="24" t="s">
        <v>17973</v>
      </c>
      <c r="L13367" s="28" t="s">
        <v>51</v>
      </c>
      <c r="M13367" s="25">
        <v>402050</v>
      </c>
      <c r="N13367" s="27">
        <v>6.5000000000000002E-2</v>
      </c>
    </row>
    <row r="13368" spans="1:14" x14ac:dyDescent="0.15">
      <c r="A13368" s="23" t="str">
        <f>HYPERLINK("https://www.spark-marketing.ru/Card/Person/60222", "УМВД РОССИИ ПО Г. ЛИПЕЦКУ")</f>
        <v>УМВД РОССИИ ПО Г. ЛИПЕЦКУ</v>
      </c>
      <c r="B13368" s="24" t="s">
        <v>17974</v>
      </c>
      <c r="C13368" s="25">
        <v>4000000</v>
      </c>
      <c r="D13368" s="22" t="s">
        <v>17975</v>
      </c>
      <c r="E13368" s="22" t="s">
        <v>48</v>
      </c>
      <c r="F13368" s="23" t="str">
        <f>HYPERLINK("https://www.spark-marketing.ru/Card/Lot/72087439", "Оказание услуг по обеспечению ежедневным трехразовым горячим питанием иностранных граждан, содержащихся в центре временного содержания иностранных граждан УМВД России по городу Липецку")</f>
        <v>Оказание услуг по обеспечению ежедневным трехразовым горячим питанием иностранных граждан, содержащихся в центре временного содержания иностранных граждан УМВД России по городу Липецку</v>
      </c>
      <c r="G13368" s="22" t="s">
        <v>101</v>
      </c>
      <c r="H13368" s="22" t="s">
        <v>728</v>
      </c>
      <c r="I13368" s="26">
        <v>43658.492337962998</v>
      </c>
      <c r="J13368" s="28" t="s">
        <v>51</v>
      </c>
      <c r="K13368" s="28" t="s">
        <v>51</v>
      </c>
      <c r="L13368" s="28" t="s">
        <v>51</v>
      </c>
      <c r="M13368" s="28" t="s">
        <v>51</v>
      </c>
      <c r="N13368" s="28" t="s">
        <v>51</v>
      </c>
    </row>
    <row r="13369" spans="1:14" ht="12.75" hidden="1" outlineLevel="1" x14ac:dyDescent="0.2">
      <c r="A13369" s="23" t="str">
        <f>HYPERLINK("https://www.spark-marketing.ru/Card/Person/60222", "УМВД РОССИИ ПО Г. ЛИПЕЦКУ")</f>
        <v>УМВД РОССИИ ПО Г. ЛИПЕЦКУ</v>
      </c>
      <c r="B13369" s="24" t="s">
        <v>17974</v>
      </c>
      <c r="C13369" s="25">
        <v>4000000</v>
      </c>
      <c r="D13369" s="22" t="s">
        <v>17975</v>
      </c>
      <c r="E13369" s="22" t="s">
        <v>48</v>
      </c>
      <c r="F13369" s="23" t="str">
        <f>HYPERLINK("https://www.spark-marketing.ru/Card/Lot/72087439", "Оказание услуг по обеспечению ежедневным трехразовым горячим питанием иностранных граждан, содержащихся в центре временного содержания иностранных граждан УМВД России по городу Липецку")</f>
        <v>Оказание услуг по обеспечению ежедневным трехразовым горячим питанием иностранных граждан, содержащихся в центре временного содержания иностранных граждан УМВД России по городу Липецку</v>
      </c>
      <c r="G13369" s="22" t="s">
        <v>101</v>
      </c>
      <c r="H13369" s="22" t="s">
        <v>728</v>
      </c>
      <c r="I13369" s="26">
        <v>43658.492337962998</v>
      </c>
      <c r="J13369" s="23" t="str">
        <f>HYPERLINK("https://www.spark-marketing.ru/Card/Person/60275", "Мамедов Васиф Акиф Оглы")</f>
        <v>Мамедов Васиф Акиф Оглы</v>
      </c>
      <c r="K13369" s="24" t="s">
        <v>4404</v>
      </c>
      <c r="L13369" s="22" t="s">
        <v>10</v>
      </c>
      <c r="M13369" s="25">
        <v>1200</v>
      </c>
      <c r="N13369" s="27">
        <v>0.99970000000000003</v>
      </c>
    </row>
    <row r="13370" spans="1:14" hidden="1" outlineLevel="1" x14ac:dyDescent="0.2">
      <c r="A13370" s="23" t="str">
        <f>HYPERLINK("https://www.spark-marketing.ru/Card/Person/60222", "УМВД РОССИИ ПО Г. ЛИПЕЦКУ")</f>
        <v>УМВД РОССИИ ПО Г. ЛИПЕЦКУ</v>
      </c>
      <c r="B13370" s="24" t="s">
        <v>17974</v>
      </c>
      <c r="C13370" s="25">
        <v>4000000</v>
      </c>
      <c r="D13370" s="22" t="s">
        <v>17975</v>
      </c>
      <c r="E13370" s="22" t="s">
        <v>48</v>
      </c>
      <c r="F13370" s="23" t="str">
        <f>HYPERLINK("https://www.spark-marketing.ru/Card/Lot/72087439", "Оказание услуг по обеспечению ежедневным трехразовым горячим питанием иностранных граждан, содержащихся в центре временного содержания иностранных граждан УМВД России по городу Липецку")</f>
        <v>Оказание услуг по обеспечению ежедневным трехразовым горячим питанием иностранных граждан, содержащихся в центре временного содержания иностранных граждан УМВД России по городу Липецку</v>
      </c>
      <c r="G13370" s="22" t="s">
        <v>101</v>
      </c>
      <c r="H13370" s="22" t="s">
        <v>728</v>
      </c>
      <c r="I13370" s="26">
        <v>43658.492337962998</v>
      </c>
      <c r="J13370" s="23" t="str">
        <f>HYPERLINK("https://www.spark-marketing.ru/Card/Person/48129", "ООО ПКП ""БЛИЦ""")</f>
        <v>ООО ПКП "БЛИЦ"</v>
      </c>
      <c r="K13370" s="24" t="s">
        <v>17976</v>
      </c>
      <c r="L13370" s="28" t="s">
        <v>51</v>
      </c>
      <c r="M13370" s="25">
        <v>1200</v>
      </c>
      <c r="N13370" s="27">
        <v>0.99970000000000003</v>
      </c>
    </row>
    <row r="13371" spans="1:14" x14ac:dyDescent="0.15">
      <c r="A13371" s="23" t="str">
        <f>HYPERLINK("https://www.spark-marketing.ru/Card/Person/1075959", "МБОУ ""ГИМНАЗИЯ № 4""")</f>
        <v>МБОУ "ГИМНАЗИЯ № 4"</v>
      </c>
      <c r="B13371" s="24" t="s">
        <v>12399</v>
      </c>
      <c r="C13371" s="25">
        <v>1294217</v>
      </c>
      <c r="D13371" s="22" t="s">
        <v>17977</v>
      </c>
      <c r="E13371" s="22" t="s">
        <v>48</v>
      </c>
      <c r="F13371" s="23" t="str">
        <f>HYPERLINK("https://www.spark-marketing.ru/Card/Lot/72062631", "Оказание услуг по организации горячего питания и обеспечению горячим питанием учащихся МБОУ ""Гимназия № 4""")</f>
        <v>Оказание услуг по организации горячего питания и обеспечению горячим питанием учащихся МБОУ "Гимназия № 4"</v>
      </c>
      <c r="G13371" s="22" t="s">
        <v>460</v>
      </c>
      <c r="H13371" s="22" t="s">
        <v>461</v>
      </c>
      <c r="I13371" s="26">
        <v>43658.4631828704</v>
      </c>
      <c r="J13371" s="28" t="s">
        <v>51</v>
      </c>
      <c r="K13371" s="28" t="s">
        <v>51</v>
      </c>
      <c r="L13371" s="28" t="s">
        <v>51</v>
      </c>
      <c r="M13371" s="28" t="s">
        <v>51</v>
      </c>
      <c r="N13371" s="28" t="s">
        <v>51</v>
      </c>
    </row>
    <row r="13372" spans="1:14" x14ac:dyDescent="0.2">
      <c r="A13372" s="23" t="str">
        <f>HYPERLINK("https://www.spark-marketing.ru/Card/Person/104964", "МБОУ СОШУИП № 3")</f>
        <v>МБОУ СОШУИП № 3</v>
      </c>
      <c r="B13372" s="24" t="s">
        <v>6550</v>
      </c>
      <c r="C13372" s="25">
        <v>2727428</v>
      </c>
      <c r="D13372" s="22" t="s">
        <v>17978</v>
      </c>
      <c r="E13372" s="22" t="s">
        <v>48</v>
      </c>
      <c r="F13372" s="23" t="str">
        <f>HYPERLINK("https://www.spark-marketing.ru/Card/Lot/72077673", "Оказание услуг квалифицированным, опытным персоналом по организации сбалансированного и диетического (щадящего) горячего питания обучающихся муниципального бюджетного общеобразовательного учреждения «Средняя общеобразовательная школа №3 с углубленным...")</f>
        <v>Оказание услуг квалифицированным, опытным персоналом по организации сбалансированного и диетического (щадящего) горячего питания обучающихся муниципального бюджетного общеобразовательного учреждения «Средняя общеобразовательная школа №3 с углубленным...</v>
      </c>
      <c r="G13372" s="22" t="s">
        <v>1056</v>
      </c>
      <c r="H13372" s="22" t="s">
        <v>1056</v>
      </c>
      <c r="I13372" s="26">
        <v>43658.491770833301</v>
      </c>
      <c r="J13372" s="23" t="str">
        <f>HYPERLINK("https://www.spark-marketing.ru/Card/Person/696707", "МП ГО ""СЕМЬ ЛИСТВЕННИЦ""")</f>
        <v>МП ГО "СЕМЬ ЛИСТВЕННИЦ"</v>
      </c>
      <c r="K13372" s="24" t="s">
        <v>6552</v>
      </c>
      <c r="L13372" s="28" t="s">
        <v>51</v>
      </c>
      <c r="M13372" s="25">
        <v>2727428</v>
      </c>
      <c r="N13372" s="27">
        <v>0</v>
      </c>
    </row>
    <row r="13373" spans="1:14" x14ac:dyDescent="0.15">
      <c r="A13373" s="23" t="str">
        <f>HYPERLINK("https://www.spark-marketing.ru/Card/Person/1073641", "МАОУ ""СОШ № 7""")</f>
        <v>МАОУ "СОШ № 7"</v>
      </c>
      <c r="B13373" s="24" t="s">
        <v>17979</v>
      </c>
      <c r="C13373" s="25">
        <v>1712325</v>
      </c>
      <c r="D13373" s="22" t="s">
        <v>17980</v>
      </c>
      <c r="E13373" s="22" t="s">
        <v>362</v>
      </c>
      <c r="F13373" s="23" t="str">
        <f>HYPERLINK("https://www.spark-marketing.ru/Card/Lot/72055852", "Российский рубль")</f>
        <v>Российский рубль</v>
      </c>
      <c r="G13373" s="22" t="s">
        <v>1972</v>
      </c>
      <c r="H13373" s="22" t="s">
        <v>1973</v>
      </c>
      <c r="I13373" s="26">
        <v>43658.484131944402</v>
      </c>
      <c r="J13373" s="28" t="s">
        <v>51</v>
      </c>
      <c r="K13373" s="28" t="s">
        <v>51</v>
      </c>
      <c r="L13373" s="28" t="s">
        <v>51</v>
      </c>
      <c r="M13373" s="28" t="s">
        <v>51</v>
      </c>
      <c r="N13373" s="28" t="s">
        <v>51</v>
      </c>
    </row>
    <row r="13374" spans="1:14" x14ac:dyDescent="0.15">
      <c r="A13374" s="23" t="str">
        <f>HYPERLINK("https://www.spark-marketing.ru/Card/Person/737290", "ГКУ «ЦБЗ ПРИ МИНЗДРАВЕ КАРЕЛИИ»")</f>
        <v>ГКУ «ЦБЗ ПРИ МИНЗДРАВЕ КАРЕЛИИ»</v>
      </c>
      <c r="B13374" s="24" t="s">
        <v>312</v>
      </c>
      <c r="C13374" s="25">
        <v>303484</v>
      </c>
      <c r="D13374" s="22" t="s">
        <v>17981</v>
      </c>
      <c r="E13374" s="22" t="s">
        <v>2282</v>
      </c>
      <c r="F13374" s="23" t="str">
        <f>HYPERLINK("https://www.spark-marketing.ru/Card/Lot/72062376", "Поставка расходных материалов к инсулиновым помпам (Резервуар для инсулиновых помп, Инфузионный набор типа квик-сет) для оказания отдельным категориям граждан социальной услуги по обеспечению лекарственными препаратами для медицинского применения по ...")</f>
        <v>Поставка расходных материалов к инсулиновым помпам (Резервуар для инсулиновых помп, Инфузионный набор типа квик-сет) для оказания отдельным категориям граждан социальной услуги по обеспечению лекарственными препаратами для медицинского применения по ...</v>
      </c>
      <c r="G13374" s="22" t="s">
        <v>59</v>
      </c>
      <c r="H13374" s="22" t="s">
        <v>314</v>
      </c>
      <c r="I13374" s="26">
        <v>43658.485578703701</v>
      </c>
      <c r="J13374" s="23" t="str">
        <f>HYPERLINK("https://www.spark-marketing.ru/Card/Person/58381", "Смолин Евгений Викторович")</f>
        <v>Смолин Евгений Викторович</v>
      </c>
      <c r="K13374" s="24" t="s">
        <v>17982</v>
      </c>
      <c r="L13374" s="22" t="s">
        <v>10</v>
      </c>
      <c r="M13374" s="28" t="s">
        <v>51</v>
      </c>
      <c r="N13374" s="28" t="s">
        <v>51</v>
      </c>
    </row>
    <row r="13375" spans="1:14" x14ac:dyDescent="0.15">
      <c r="A13375" s="23" t="str">
        <f>HYPERLINK("https://www.spark-marketing.ru/Card/Person/60222", "УМВД РОССИИ ПО Г. ЛИПЕЦКУ")</f>
        <v>УМВД РОССИИ ПО Г. ЛИПЕЦКУ</v>
      </c>
      <c r="B13375" s="24" t="s">
        <v>17974</v>
      </c>
      <c r="C13375" s="25">
        <v>3560000</v>
      </c>
      <c r="D13375" s="22" t="s">
        <v>17983</v>
      </c>
      <c r="E13375" s="22" t="s">
        <v>48</v>
      </c>
      <c r="F13375" s="23" t="str">
        <f>HYPERLINK("https://www.spark-marketing.ru/Card/Lot/72087440", "Оказание услуг по обеспечению ежедневным трехразовым горячим питанием подозреваемых и обвиняемых в совершении преступлений, содержащихся в изоляторе временного содержания УМВД России по городу Липецку, лиц, подвергнутых административному аресту, соде...")</f>
        <v>Оказание услуг по обеспечению ежедневным трехразовым горячим питанием подозреваемых и обвиняемых в совершении преступлений, содержащихся в изоляторе временного содержания УМВД России по городу Липецку, лиц, подвергнутых административному аресту, соде...</v>
      </c>
      <c r="G13375" s="22" t="s">
        <v>101</v>
      </c>
      <c r="H13375" s="22" t="s">
        <v>728</v>
      </c>
      <c r="I13375" s="26">
        <v>43658.497233796297</v>
      </c>
      <c r="J13375" s="23" t="str">
        <f>HYPERLINK("https://www.spark-marketing.ru/Card/Person/60275", "Мамедов Васиф Акиф Оглы")</f>
        <v>Мамедов Васиф Акиф Оглы</v>
      </c>
      <c r="K13375" s="24" t="s">
        <v>4404</v>
      </c>
      <c r="L13375" s="22" t="s">
        <v>10</v>
      </c>
      <c r="M13375" s="28" t="s">
        <v>51</v>
      </c>
      <c r="N13375" s="28" t="s">
        <v>51</v>
      </c>
    </row>
    <row r="13376" spans="1:14" x14ac:dyDescent="0.15">
      <c r="A13376" s="23" t="str">
        <f>HYPERLINK("https://www.spark-marketing.ru/Card/Person/49365", "ГБУ СШ КРАСНОГВАРДЕЙСКОГО РАЙОНА")</f>
        <v>ГБУ СШ КРАСНОГВАРДЕЙСКОГО РАЙОНА</v>
      </c>
      <c r="B13376" s="24" t="s">
        <v>15579</v>
      </c>
      <c r="C13376" s="25">
        <v>1374912</v>
      </c>
      <c r="D13376" s="22" t="s">
        <v>17984</v>
      </c>
      <c r="E13376" s="22" t="s">
        <v>374</v>
      </c>
      <c r="F13376" s="23" t="str">
        <f>HYPERLINK("https://www.spark-marketing.ru/Card/Lot/72062847",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питание, проживание и предоставление спортивного сооружения 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питание, проживание и предоставление спортивного сооружения ...</v>
      </c>
      <c r="G13376" s="22" t="s">
        <v>117</v>
      </c>
      <c r="H13376" s="22" t="s">
        <v>117</v>
      </c>
      <c r="I13376" s="26">
        <v>43658.497361111098</v>
      </c>
      <c r="J13376" s="23" t="str">
        <f>HYPERLINK("https://www.spark-marketing.ru/Card/Person/1567791", "ООО ""ТЕРРА""")</f>
        <v>ООО "ТЕРРА"</v>
      </c>
      <c r="K13376" s="24" t="s">
        <v>6244</v>
      </c>
      <c r="L13376" s="22" t="s">
        <v>10</v>
      </c>
      <c r="M13376" s="28" t="s">
        <v>51</v>
      </c>
      <c r="N13376" s="28" t="s">
        <v>51</v>
      </c>
    </row>
    <row r="13377" spans="1:14" x14ac:dyDescent="0.15">
      <c r="A13377" s="23" t="str">
        <f>HYPERLINK("https://www.spark-marketing.ru/Card/Person/100639", "ОТДЕЛ МВД РОССИИ ПО ТАЙМЫРСКОМУ ДОЛГАНО-НЕНЕЦКОМУ РАЙОНУ")</f>
        <v>ОТДЕЛ МВД РОССИИ ПО ТАЙМЫРСКОМУ ДОЛГАНО-НЕНЕЦКОМУ РАЙОНУ</v>
      </c>
      <c r="B13377" s="24" t="s">
        <v>1441</v>
      </c>
      <c r="C13377" s="25">
        <v>800000</v>
      </c>
      <c r="D13377" s="22" t="s">
        <v>17985</v>
      </c>
      <c r="E13377" s="22" t="s">
        <v>48</v>
      </c>
      <c r="F13377" s="23" t="str">
        <f>HYPERLINK("https://www.spark-marketing.ru/Card/Lot/72052605", "Услуги по организации горячего питания")</f>
        <v>Услуги по организации горячего питания</v>
      </c>
      <c r="G13377" s="22" t="s">
        <v>281</v>
      </c>
      <c r="H13377" s="22" t="s">
        <v>281</v>
      </c>
      <c r="I13377" s="26">
        <v>43658.418553240699</v>
      </c>
      <c r="J13377" s="28" t="s">
        <v>51</v>
      </c>
      <c r="K13377" s="28" t="s">
        <v>51</v>
      </c>
      <c r="L13377" s="28" t="s">
        <v>51</v>
      </c>
      <c r="M13377" s="28" t="s">
        <v>51</v>
      </c>
      <c r="N13377" s="28" t="s">
        <v>51</v>
      </c>
    </row>
    <row r="13378" spans="1:14" x14ac:dyDescent="0.15">
      <c r="A13378" s="23" t="str">
        <f>HYPERLINK("https://www.spark-marketing.ru/Card/Person/125736", "МО МВД РОССИИ ""ПОЧЕПСКИЙ""")</f>
        <v>МО МВД РОССИИ "ПОЧЕПСКИЙ"</v>
      </c>
      <c r="B13378" s="24" t="s">
        <v>8829</v>
      </c>
      <c r="C13378" s="25">
        <v>3517500</v>
      </c>
      <c r="D13378" s="22" t="s">
        <v>17986</v>
      </c>
      <c r="E13378" s="22" t="s">
        <v>48</v>
      </c>
      <c r="F13378" s="23" t="str">
        <f>HYPERLINK("https://www.spark-marketing.ru/Card/Lot/72075571", "Услуги по приготовлению комплексного горячего питания")</f>
        <v>Услуги по приготовлению комплексного горячего питания</v>
      </c>
      <c r="G13378" s="22" t="s">
        <v>475</v>
      </c>
      <c r="H13378" s="22" t="s">
        <v>475</v>
      </c>
      <c r="I13378" s="26">
        <v>43658.432048611103</v>
      </c>
      <c r="J13378" s="28" t="s">
        <v>51</v>
      </c>
      <c r="K13378" s="28" t="s">
        <v>51</v>
      </c>
      <c r="L13378" s="28" t="s">
        <v>51</v>
      </c>
      <c r="M13378" s="28" t="s">
        <v>51</v>
      </c>
      <c r="N13378" s="28" t="s">
        <v>51</v>
      </c>
    </row>
    <row r="13379" spans="1:14" x14ac:dyDescent="0.15">
      <c r="A13379" s="23" t="str">
        <f>HYPERLINK("https://www.spark-marketing.ru/Card/Person/245769", "МО МВД РОССИИ ""АРКАДАКСКИЙ"" САРАТОВСКОЙ ОБЛАСТИ")</f>
        <v>МО МВД РОССИИ "АРКАДАКСКИЙ" САРАТОВСКОЙ ОБЛАСТИ</v>
      </c>
      <c r="B13379" s="24" t="s">
        <v>15749</v>
      </c>
      <c r="C13379" s="25">
        <v>563080</v>
      </c>
      <c r="D13379" s="22" t="s">
        <v>17987</v>
      </c>
      <c r="E13379" s="22" t="s">
        <v>96</v>
      </c>
      <c r="F13379" s="23" t="str">
        <f>HYPERLINK("https://www.spark-marketing.ru/Card/Lot/72058729", "Оказание услуг по организации питания лиц, находящихся в изоляторе временного содержания МО МВД России "" Аркадакский"" Саратовской области")</f>
        <v>Оказание услуг по организации питания лиц, находящихся в изоляторе временного содержания МО МВД России " Аркадакский" Саратовской области</v>
      </c>
      <c r="G13379" s="22" t="s">
        <v>351</v>
      </c>
      <c r="H13379" s="22" t="s">
        <v>351</v>
      </c>
      <c r="I13379" s="26">
        <v>43658.443703703699</v>
      </c>
      <c r="J13379" s="28" t="s">
        <v>51</v>
      </c>
      <c r="K13379" s="28" t="s">
        <v>51</v>
      </c>
      <c r="L13379" s="28" t="s">
        <v>51</v>
      </c>
      <c r="M13379" s="28" t="s">
        <v>51</v>
      </c>
      <c r="N13379" s="28" t="s">
        <v>51</v>
      </c>
    </row>
    <row r="13380" spans="1:14" x14ac:dyDescent="0.15">
      <c r="A13380" s="23" t="str">
        <f>HYPERLINK("https://www.spark-marketing.ru/Card/Person/1006591", "КАДЕТСКАЯ ШКОЛА ЛИПЕЦКОЙ ОБЛАСТИ")</f>
        <v>КАДЕТСКАЯ ШКОЛА ЛИПЕЦКОЙ ОБЛАСТИ</v>
      </c>
      <c r="B13380" s="24" t="s">
        <v>726</v>
      </c>
      <c r="C13380" s="25">
        <v>4736933.92</v>
      </c>
      <c r="D13380" s="22" t="s">
        <v>17988</v>
      </c>
      <c r="E13380" s="22" t="s">
        <v>48</v>
      </c>
      <c r="F13380" s="23" t="str">
        <f>HYPERLINK("https://www.spark-marketing.ru/Card/Lot/72075573", "Услуги по организации питания учащихся")</f>
        <v>Услуги по организации питания учащихся</v>
      </c>
      <c r="G13380" s="22" t="s">
        <v>101</v>
      </c>
      <c r="H13380" s="22" t="s">
        <v>728</v>
      </c>
      <c r="I13380" s="26">
        <v>43658.432685185202</v>
      </c>
      <c r="J13380" s="28" t="s">
        <v>51</v>
      </c>
      <c r="K13380" s="28" t="s">
        <v>51</v>
      </c>
      <c r="L13380" s="28" t="s">
        <v>51</v>
      </c>
      <c r="M13380" s="28" t="s">
        <v>51</v>
      </c>
      <c r="N13380" s="28" t="s">
        <v>51</v>
      </c>
    </row>
    <row r="13381" spans="1:14" hidden="1" outlineLevel="1" x14ac:dyDescent="0.2">
      <c r="A13381" s="23" t="str">
        <f>HYPERLINK("https://www.spark-marketing.ru/Card/Person/1006591", "КАДЕТСКАЯ ШКОЛА ЛИПЕЦКОЙ ОБЛАСТИ")</f>
        <v>КАДЕТСКАЯ ШКОЛА ЛИПЕЦКОЙ ОБЛАСТИ</v>
      </c>
      <c r="B13381" s="24" t="s">
        <v>726</v>
      </c>
      <c r="C13381" s="25">
        <v>4736933.92</v>
      </c>
      <c r="D13381" s="22" t="s">
        <v>17988</v>
      </c>
      <c r="E13381" s="22" t="s">
        <v>48</v>
      </c>
      <c r="F13381" s="23" t="str">
        <f>HYPERLINK("https://www.spark-marketing.ru/Card/Lot/72075573", "Услуги по организации питания учащихся")</f>
        <v>Услуги по организации питания учащихся</v>
      </c>
      <c r="G13381" s="22" t="s">
        <v>101</v>
      </c>
      <c r="H13381" s="22" t="s">
        <v>728</v>
      </c>
      <c r="I13381" s="26">
        <v>43658.432685185202</v>
      </c>
      <c r="J13381" s="23" t="str">
        <f>HYPERLINK("https://www.spark-marketing.ru/Card/Person/16210", "ООО ""ГК ФЬЮЖЕН МЕНЕДЖМЕНТ""")</f>
        <v>ООО "ГК ФЬЮЖЕН МЕНЕДЖМЕНТ"</v>
      </c>
      <c r="K13381" s="24" t="s">
        <v>1675</v>
      </c>
      <c r="L13381" s="28" t="s">
        <v>51</v>
      </c>
      <c r="M13381" s="25">
        <v>4713249.25</v>
      </c>
      <c r="N13381" s="27">
        <v>5.0000000844428079E-3</v>
      </c>
    </row>
    <row r="13382" spans="1:14" ht="12.75" hidden="1" outlineLevel="1" x14ac:dyDescent="0.2">
      <c r="A13382" s="23" t="str">
        <f>HYPERLINK("https://www.spark-marketing.ru/Card/Person/1006591", "КАДЕТСКАЯ ШКОЛА ЛИПЕЦКОЙ ОБЛАСТИ")</f>
        <v>КАДЕТСКАЯ ШКОЛА ЛИПЕЦКОЙ ОБЛАСТИ</v>
      </c>
      <c r="B13382" s="24" t="s">
        <v>726</v>
      </c>
      <c r="C13382" s="25">
        <v>4736933.92</v>
      </c>
      <c r="D13382" s="22" t="s">
        <v>17988</v>
      </c>
      <c r="E13382" s="22" t="s">
        <v>48</v>
      </c>
      <c r="F13382" s="23" t="str">
        <f>HYPERLINK("https://www.spark-marketing.ru/Card/Lot/72075573", "Услуги по организации питания учащихся")</f>
        <v>Услуги по организации питания учащихся</v>
      </c>
      <c r="G13382" s="22" t="s">
        <v>101</v>
      </c>
      <c r="H13382" s="22" t="s">
        <v>728</v>
      </c>
      <c r="I13382" s="26">
        <v>43658.432685185202</v>
      </c>
      <c r="J13382" s="23" t="str">
        <f>HYPERLINK("https://www.spark-marketing.ru/Card/Person/59520", "ООО ""СКК""")</f>
        <v>ООО "СКК"</v>
      </c>
      <c r="K13382" s="24" t="s">
        <v>5758</v>
      </c>
      <c r="L13382" s="22" t="s">
        <v>10</v>
      </c>
      <c r="M13382" s="25">
        <v>4689564.58</v>
      </c>
      <c r="N13382" s="27">
        <v>1.0000000168885616E-2</v>
      </c>
    </row>
    <row r="13383" spans="1:14" x14ac:dyDescent="0.2">
      <c r="A13383" s="23" t="s">
        <v>114</v>
      </c>
      <c r="B13383" s="28" t="s">
        <v>51</v>
      </c>
      <c r="C13383" s="25">
        <v>4631581.4000000004</v>
      </c>
      <c r="D13383" s="22" t="s">
        <v>17989</v>
      </c>
      <c r="E13383" s="22" t="s">
        <v>48</v>
      </c>
      <c r="F13383" s="23" t="str">
        <f>HYPERLINK("https://www.spark-marketing.ru/Card/Lot/72078098", "Услуги по организации и обеспечению горячим питанием обучающихся")</f>
        <v>Услуги по организации и обеспечению горячим питанием обучающихся</v>
      </c>
      <c r="G13383" s="22" t="s">
        <v>51</v>
      </c>
      <c r="H13383" s="22" t="s">
        <v>51</v>
      </c>
      <c r="I13383" s="26">
        <v>43658.423159722202</v>
      </c>
      <c r="J13383" s="23" t="str">
        <f>HYPERLINK("https://www.spark-marketing.ru/Card/Person/26777", "Розенбах Евгения Олеговна")</f>
        <v>Розенбах Евгения Олеговна</v>
      </c>
      <c r="K13383" s="24" t="s">
        <v>14866</v>
      </c>
      <c r="L13383" s="28" t="s">
        <v>51</v>
      </c>
      <c r="M13383" s="25">
        <v>4631581.4000000004</v>
      </c>
      <c r="N13383" s="27">
        <v>0</v>
      </c>
    </row>
    <row r="13384" spans="1:14" hidden="1" outlineLevel="1" x14ac:dyDescent="0.2">
      <c r="A13384" s="23" t="str">
        <f>HYPERLINK("https://www.spark-marketing.ru/Card/Person/27032", "МБОУ СОШ №19")</f>
        <v>МБОУ СОШ №19</v>
      </c>
      <c r="B13384" s="24" t="s">
        <v>17990</v>
      </c>
      <c r="C13384" s="25">
        <v>2151385.9</v>
      </c>
      <c r="D13384" s="22" t="s">
        <v>17989</v>
      </c>
      <c r="E13384" s="22" t="s">
        <v>48</v>
      </c>
      <c r="F13384" s="23" t="str">
        <f>HYPERLINK("https://www.spark-marketing.ru/Card/Lot/72078098", "Услуги по организации и обеспечению горячим питанием обучающихся")</f>
        <v>Услуги по организации и обеспечению горячим питанием обучающихся</v>
      </c>
      <c r="G13384" s="22" t="s">
        <v>174</v>
      </c>
      <c r="H13384" s="22" t="s">
        <v>17649</v>
      </c>
      <c r="I13384" s="26">
        <v>43658.423159722202</v>
      </c>
      <c r="J13384" s="23" t="str">
        <f>HYPERLINK("https://www.spark-marketing.ru/Card/Person/26777", "Розенбах Евгения Олеговна")</f>
        <v>Розенбах Евгения Олеговна</v>
      </c>
      <c r="K13384" s="24" t="s">
        <v>14866</v>
      </c>
      <c r="L13384" s="28" t="s">
        <v>51</v>
      </c>
      <c r="M13384" s="28" t="s">
        <v>51</v>
      </c>
      <c r="N13384" s="27">
        <v>0</v>
      </c>
    </row>
    <row r="13385" spans="1:14" hidden="1" outlineLevel="1" x14ac:dyDescent="0.2">
      <c r="A13385" s="23" t="str">
        <f>HYPERLINK("https://www.spark-marketing.ru/Card/Person/1051392", "МБОУ СОШ №21")</f>
        <v>МБОУ СОШ №21</v>
      </c>
      <c r="B13385" s="24" t="s">
        <v>17991</v>
      </c>
      <c r="C13385" s="25">
        <v>838626.2</v>
      </c>
      <c r="D13385" s="22" t="s">
        <v>17989</v>
      </c>
      <c r="E13385" s="22" t="s">
        <v>48</v>
      </c>
      <c r="F13385" s="23" t="str">
        <f>HYPERLINK("https://www.spark-marketing.ru/Card/Lot/72078098", "Услуги по организации и обеспечению горячим питанием обучающихся")</f>
        <v>Услуги по организации и обеспечению горячим питанием обучающихся</v>
      </c>
      <c r="G13385" s="22" t="s">
        <v>174</v>
      </c>
      <c r="H13385" s="22" t="s">
        <v>17649</v>
      </c>
      <c r="I13385" s="26">
        <v>43658.423159722202</v>
      </c>
      <c r="J13385" s="23" t="str">
        <f>HYPERLINK("https://www.spark-marketing.ru/Card/Person/26777", "Розенбах Евгения Олеговна")</f>
        <v>Розенбах Евгения Олеговна</v>
      </c>
      <c r="K13385" s="24" t="s">
        <v>14866</v>
      </c>
      <c r="L13385" s="28" t="s">
        <v>51</v>
      </c>
      <c r="M13385" s="28" t="s">
        <v>51</v>
      </c>
      <c r="N13385" s="27">
        <v>0</v>
      </c>
    </row>
    <row r="13386" spans="1:14" hidden="1" outlineLevel="1" x14ac:dyDescent="0.2">
      <c r="A13386" s="23" t="str">
        <f>HYPERLINK("https://www.spark-marketing.ru/Card/Person/4377540", "МБОУ СОШ П. КРАСНОЯРКА")</f>
        <v>МБОУ СОШ П. КРАСНОЯРКА</v>
      </c>
      <c r="B13386" s="24" t="s">
        <v>17992</v>
      </c>
      <c r="C13386" s="25">
        <v>726616.8</v>
      </c>
      <c r="D13386" s="22" t="s">
        <v>17989</v>
      </c>
      <c r="E13386" s="22" t="s">
        <v>48</v>
      </c>
      <c r="F13386" s="23" t="str">
        <f>HYPERLINK("https://www.spark-marketing.ru/Card/Lot/72078098", "Услуги по организации и обеспечению горячим питанием обучающихся")</f>
        <v>Услуги по организации и обеспечению горячим питанием обучающихся</v>
      </c>
      <c r="G13386" s="22" t="s">
        <v>174</v>
      </c>
      <c r="H13386" s="22" t="s">
        <v>9263</v>
      </c>
      <c r="I13386" s="26">
        <v>43658.423159722202</v>
      </c>
      <c r="J13386" s="23" t="str">
        <f>HYPERLINK("https://www.spark-marketing.ru/Card/Person/26777", "Розенбах Евгения Олеговна")</f>
        <v>Розенбах Евгения Олеговна</v>
      </c>
      <c r="K13386" s="24" t="s">
        <v>14866</v>
      </c>
      <c r="L13386" s="28" t="s">
        <v>51</v>
      </c>
      <c r="M13386" s="28" t="s">
        <v>51</v>
      </c>
      <c r="N13386" s="27">
        <v>0</v>
      </c>
    </row>
    <row r="13387" spans="1:14" hidden="1" outlineLevel="1" x14ac:dyDescent="0.2">
      <c r="A13387" s="23" t="str">
        <f>HYPERLINK("https://www.spark-marketing.ru/Card/Person/4379455", "МБОУ СОШ №9")</f>
        <v>МБОУ СОШ №9</v>
      </c>
      <c r="B13387" s="24" t="s">
        <v>17993</v>
      </c>
      <c r="C13387" s="25">
        <v>914952.5</v>
      </c>
      <c r="D13387" s="22" t="s">
        <v>17989</v>
      </c>
      <c r="E13387" s="22" t="s">
        <v>48</v>
      </c>
      <c r="F13387" s="23" t="str">
        <f>HYPERLINK("https://www.spark-marketing.ru/Card/Lot/72078098", "Услуги по организации и обеспечению горячим питанием обучающихся")</f>
        <v>Услуги по организации и обеспечению горячим питанием обучающихся</v>
      </c>
      <c r="G13387" s="22" t="s">
        <v>174</v>
      </c>
      <c r="H13387" s="22" t="s">
        <v>17649</v>
      </c>
      <c r="I13387" s="26">
        <v>43658.423159722202</v>
      </c>
      <c r="J13387" s="23" t="str">
        <f>HYPERLINK("https://www.spark-marketing.ru/Card/Person/26777", "Розенбах Евгения Олеговна")</f>
        <v>Розенбах Евгения Олеговна</v>
      </c>
      <c r="K13387" s="24" t="s">
        <v>14866</v>
      </c>
      <c r="L13387" s="28" t="s">
        <v>51</v>
      </c>
      <c r="M13387" s="28" t="s">
        <v>51</v>
      </c>
      <c r="N13387" s="27">
        <v>0</v>
      </c>
    </row>
    <row r="13388" spans="1:14" x14ac:dyDescent="0.15">
      <c r="A13388" s="23" t="str">
        <f>HYPERLINK("https://www.spark-marketing.ru/Card/Person/236030", "ОГАУСО ""КЦСОН""")</f>
        <v>ОГАУСО "КЦСОН"</v>
      </c>
      <c r="B13388" s="24" t="s">
        <v>549</v>
      </c>
      <c r="C13388" s="25">
        <v>400000</v>
      </c>
      <c r="D13388" s="22" t="s">
        <v>17994</v>
      </c>
      <c r="E13388" s="22" t="s">
        <v>2265</v>
      </c>
      <c r="F13388" s="23" t="str">
        <f>HYPERLINK("https://www.spark-marketing.ru/Card/Lot/72050877", "Оказание услуг на поставку продуктов питания")</f>
        <v>Оказание услуг на поставку продуктов питания</v>
      </c>
      <c r="G13388" s="22" t="s">
        <v>263</v>
      </c>
      <c r="H13388" s="22" t="s">
        <v>263</v>
      </c>
      <c r="I13388" s="26">
        <v>43658.4206134259</v>
      </c>
      <c r="J13388" s="28" t="s">
        <v>51</v>
      </c>
      <c r="K13388" s="28" t="s">
        <v>51</v>
      </c>
      <c r="L13388" s="28" t="s">
        <v>51</v>
      </c>
      <c r="M13388" s="28" t="s">
        <v>51</v>
      </c>
      <c r="N13388" s="28" t="s">
        <v>51</v>
      </c>
    </row>
    <row r="13389" spans="1:14" x14ac:dyDescent="0.15">
      <c r="A13389" s="23" t="str">
        <f>HYPERLINK("https://www.spark-marketing.ru/Card/Person/100639", "ОТДЕЛ МВД РОССИИ ПО ТАЙМЫРСКОМУ ДОЛГАНО-НЕНЕЦКОМУ РАЙОНУ")</f>
        <v>ОТДЕЛ МВД РОССИИ ПО ТАЙМЫРСКОМУ ДОЛГАНО-НЕНЕЦКОМУ РАЙОНУ</v>
      </c>
      <c r="B13389" s="24" t="s">
        <v>1441</v>
      </c>
      <c r="C13389" s="25">
        <v>800000</v>
      </c>
      <c r="D13389" s="22" t="s">
        <v>17995</v>
      </c>
      <c r="E13389" s="22" t="s">
        <v>48</v>
      </c>
      <c r="F13389" s="23" t="str">
        <f>HYPERLINK("https://www.spark-marketing.ru/Card/Lot/72052610", "Услуги по организации горячего питания")</f>
        <v>Услуги по организации горячего питания</v>
      </c>
      <c r="G13389" s="22" t="s">
        <v>281</v>
      </c>
      <c r="H13389" s="22" t="s">
        <v>281</v>
      </c>
      <c r="I13389" s="26">
        <v>43658.435821759304</v>
      </c>
      <c r="J13389" s="28" t="s">
        <v>51</v>
      </c>
      <c r="K13389" s="28" t="s">
        <v>51</v>
      </c>
      <c r="L13389" s="28" t="s">
        <v>51</v>
      </c>
      <c r="M13389" s="28" t="s">
        <v>51</v>
      </c>
      <c r="N13389" s="28" t="s">
        <v>51</v>
      </c>
    </row>
    <row r="13390" spans="1:14" x14ac:dyDescent="0.2">
      <c r="A13390" s="23" t="str">
        <f>HYPERLINK("https://www.spark-marketing.ru/Card/Person/1039729", "КОУ ""СУРГУТСКАЯ ШКОЛА С ПРОФЕССИОНАЛЬНОЙ ПОДГОТОВКОЙ""")</f>
        <v>КОУ "СУРГУТСКАЯ ШКОЛА С ПРОФЕССИОНАЛЬНОЙ ПОДГОТОВКОЙ"</v>
      </c>
      <c r="B13390" s="24" t="s">
        <v>17996</v>
      </c>
      <c r="C13390" s="25">
        <v>3774556.8</v>
      </c>
      <c r="D13390" s="22" t="s">
        <v>17997</v>
      </c>
      <c r="E13390" s="22" t="s">
        <v>48</v>
      </c>
      <c r="F13390" s="23" t="str">
        <f>HYPERLINK("https://www.spark-marketing.ru/Card/Lot/72077990", "Оказание услуг по питанию учащихся КОУ ""Сургутская школа с профессиональной подготовкой""")</f>
        <v>Оказание услуг по питанию учащихся КОУ "Сургутская школа с профессиональной подготовкой"</v>
      </c>
      <c r="G13390" s="22" t="s">
        <v>97</v>
      </c>
      <c r="H13390" s="22" t="s">
        <v>3533</v>
      </c>
      <c r="I13390" s="26">
        <v>43658.453321759298</v>
      </c>
      <c r="J13390" s="23" t="str">
        <f>HYPERLINK("https://www.spark-marketing.ru/Card/Person/100997", "ООО ""ВКУСНОДЕЙ""")</f>
        <v>ООО "ВКУСНОДЕЙ"</v>
      </c>
      <c r="K13390" s="24" t="s">
        <v>4185</v>
      </c>
      <c r="L13390" s="28" t="s">
        <v>51</v>
      </c>
      <c r="M13390" s="25">
        <v>3774556.8</v>
      </c>
      <c r="N13390" s="27">
        <v>0</v>
      </c>
    </row>
    <row r="13391" spans="1:14" x14ac:dyDescent="0.15">
      <c r="A13391" s="23" t="str">
        <f>HYPERLINK("https://www.spark-marketing.ru/Card/Person/1759898", "МАОУ СОШ № 2")</f>
        <v>МАОУ СОШ № 2</v>
      </c>
      <c r="B13391" s="24" t="s">
        <v>17998</v>
      </c>
      <c r="C13391" s="25">
        <v>4987342.0999999996</v>
      </c>
      <c r="D13391" s="22" t="s">
        <v>17999</v>
      </c>
      <c r="E13391" s="22" t="s">
        <v>362</v>
      </c>
      <c r="F13391" s="23" t="str">
        <f>HYPERLINK("https://www.spark-marketing.ru/Card/Lot/72052341", "Оказание услуг по организации горячего питания обучающихся из многодетных малоимущих и малоимущих семей на базе Муниципального автономного общеобразовательного учреждения ""Средняя общеобразовательная школа № 2""")</f>
        <v>Оказание услуг по организации горячего питания обучающихся из многодетных малоимущих и малоимущих семей на базе Муниципального автономного общеобразовательного учреждения "Средняя общеобразовательная школа № 2"</v>
      </c>
      <c r="G13391" s="22" t="s">
        <v>153</v>
      </c>
      <c r="H13391" s="22" t="s">
        <v>153</v>
      </c>
      <c r="I13391" s="26">
        <v>43658.403657407398</v>
      </c>
      <c r="J13391" s="28" t="s">
        <v>51</v>
      </c>
      <c r="K13391" s="28" t="s">
        <v>51</v>
      </c>
      <c r="L13391" s="28" t="s">
        <v>51</v>
      </c>
      <c r="M13391" s="28" t="s">
        <v>51</v>
      </c>
      <c r="N13391" s="28" t="s">
        <v>51</v>
      </c>
    </row>
    <row r="13392" spans="1:14" x14ac:dyDescent="0.15">
      <c r="A13392" s="23" t="str">
        <f>HYPERLINK("https://www.spark-marketing.ru/Card/Person/15343", "ОТДЕЛ МВД РОССИИ ПО Г. КИСЕЛЕВСКУ")</f>
        <v>ОТДЕЛ МВД РОССИИ ПО Г. КИСЕЛЕВСКУ</v>
      </c>
      <c r="B13392" s="24" t="s">
        <v>1146</v>
      </c>
      <c r="C13392" s="25">
        <v>200000</v>
      </c>
      <c r="D13392" s="22" t="s">
        <v>18000</v>
      </c>
      <c r="E13392" s="22" t="s">
        <v>48</v>
      </c>
      <c r="F13392" s="23" t="str">
        <f>HYPERLINK("https://www.spark-marketing.ru/Card/Lot/72058047", "Оказание  услуг по обеспечению горячим трехразовым питанием.")</f>
        <v>Оказание  услуг по обеспечению горячим трехразовым питанием.</v>
      </c>
      <c r="G13392" s="22" t="s">
        <v>304</v>
      </c>
      <c r="H13392" s="22" t="s">
        <v>1148</v>
      </c>
      <c r="I13392" s="26">
        <v>43658.383564814802</v>
      </c>
      <c r="J13392" s="23" t="str">
        <f>HYPERLINK("https://www.spark-marketing.ru/Card/Person/153415", "Пригаров Денис Владимирович")</f>
        <v>Пригаров Денис Владимирович</v>
      </c>
      <c r="K13392" s="24" t="s">
        <v>2754</v>
      </c>
      <c r="L13392" s="22" t="s">
        <v>10</v>
      </c>
      <c r="M13392" s="28" t="s">
        <v>51</v>
      </c>
      <c r="N13392" s="28" t="s">
        <v>51</v>
      </c>
    </row>
    <row r="13393" spans="1:14" x14ac:dyDescent="0.15">
      <c r="A13393" s="23" t="str">
        <f>HYPERLINK("https://www.spark-marketing.ru/Card/Person/1050125", "МБОУ ""СШ № 31""")</f>
        <v>МБОУ "СШ № 31"</v>
      </c>
      <c r="B13393" s="24" t="s">
        <v>12714</v>
      </c>
      <c r="C13393" s="25">
        <v>608400</v>
      </c>
      <c r="D13393" s="22" t="s">
        <v>18001</v>
      </c>
      <c r="E13393" s="22" t="s">
        <v>48</v>
      </c>
      <c r="F13393" s="23" t="str">
        <f>HYPERLINK("https://www.spark-marketing.ru/Card/Lot/72058677", "Оказание услуг по организации горячего питания и обеспечению горячим питанием учащихся МБОУ ""СШ № 31""")</f>
        <v>Оказание услуг по организации горячего питания и обеспечению горячим питанием учащихся МБОУ "СШ № 31"</v>
      </c>
      <c r="G13393" s="22" t="s">
        <v>460</v>
      </c>
      <c r="H13393" s="22" t="s">
        <v>461</v>
      </c>
      <c r="I13393" s="26">
        <v>43658.405671296299</v>
      </c>
      <c r="J13393" s="28" t="s">
        <v>51</v>
      </c>
      <c r="K13393" s="28" t="s">
        <v>51</v>
      </c>
      <c r="L13393" s="28" t="s">
        <v>51</v>
      </c>
      <c r="M13393" s="28" t="s">
        <v>51</v>
      </c>
      <c r="N13393" s="28" t="s">
        <v>51</v>
      </c>
    </row>
    <row r="13394" spans="1:14" x14ac:dyDescent="0.15">
      <c r="A13394" s="23" t="str">
        <f>HYPERLINK("https://www.spark-marketing.ru/Card/Person/19041", "ГБУЗ СО ""ЧЦГБ""")</f>
        <v>ГБУЗ СО "ЧЦГБ"</v>
      </c>
      <c r="B13394" s="24" t="s">
        <v>18002</v>
      </c>
      <c r="C13394" s="25">
        <v>417980.6</v>
      </c>
      <c r="D13394" s="22" t="s">
        <v>18003</v>
      </c>
      <c r="E13394" s="22" t="s">
        <v>1807</v>
      </c>
      <c r="F13394" s="23" t="str">
        <f>HYPERLINK("https://www.spark-marketing.ru/Card/Lot/72066330", "Поставка бланочной продукции в 2019 году для нужд Государственного бюджетного учреждения здравоохранения Самарской области «Чапаевская центральная городская больница».")</f>
        <v>Поставка бланочной продукции в 2019 году для нужд Государственного бюджетного учреждения здравоохранения Самарской области «Чапаевская центральная городская больница».</v>
      </c>
      <c r="G13394" s="22" t="s">
        <v>128</v>
      </c>
      <c r="H13394" s="22" t="s">
        <v>18004</v>
      </c>
      <c r="I13394" s="26">
        <v>43658.402592592603</v>
      </c>
      <c r="J13394" s="28" t="s">
        <v>51</v>
      </c>
      <c r="K13394" s="28" t="s">
        <v>51</v>
      </c>
      <c r="L13394" s="28" t="s">
        <v>51</v>
      </c>
      <c r="M13394" s="28" t="s">
        <v>51</v>
      </c>
      <c r="N13394" s="28" t="s">
        <v>51</v>
      </c>
    </row>
    <row r="13395" spans="1:14" hidden="1" outlineLevel="1" x14ac:dyDescent="0.2">
      <c r="A13395" s="23" t="str">
        <f>HYPERLINK("https://www.spark-marketing.ru/Card/Person/19041", "ГБУЗ СО ""ЧЦГБ""")</f>
        <v>ГБУЗ СО "ЧЦГБ"</v>
      </c>
      <c r="B13395" s="24" t="s">
        <v>18002</v>
      </c>
      <c r="C13395" s="25">
        <v>417980.6</v>
      </c>
      <c r="D13395" s="22" t="s">
        <v>18003</v>
      </c>
      <c r="E13395" s="22" t="s">
        <v>1807</v>
      </c>
      <c r="F13395" s="23" t="str">
        <f>HYPERLINK("https://www.spark-marketing.ru/Card/Lot/72066330", "Поставка бланочной продукции в 2019 году для нужд Государственного бюджетного учреждения здравоохранения Самарской области «Чапаевская центральная городская больница».")</f>
        <v>Поставка бланочной продукции в 2019 году для нужд Государственного бюджетного учреждения здравоохранения Самарской области «Чапаевская центральная городская больница».</v>
      </c>
      <c r="G13395" s="22" t="s">
        <v>128</v>
      </c>
      <c r="H13395" s="22" t="s">
        <v>18004</v>
      </c>
      <c r="I13395" s="26">
        <v>43658.402592592603</v>
      </c>
      <c r="J13395" s="23" t="str">
        <f>HYPERLINK("https://www.spark-marketing.ru/Card/Person/64428", "ООО ""ГИЛЬДИЯ МАСТЕРОВ""")</f>
        <v>ООО "ГИЛЬДИЯ МАСТЕРОВ"</v>
      </c>
      <c r="K13395" s="24" t="s">
        <v>9527</v>
      </c>
      <c r="L13395" s="28" t="s">
        <v>51</v>
      </c>
      <c r="M13395" s="25">
        <v>395000</v>
      </c>
      <c r="N13395" s="27">
        <v>5.4980063668026699E-2</v>
      </c>
    </row>
    <row r="13396" spans="1:14" ht="12.75" hidden="1" outlineLevel="1" x14ac:dyDescent="0.2">
      <c r="A13396" s="23" t="str">
        <f>HYPERLINK("https://www.spark-marketing.ru/Card/Person/19041", "ГБУЗ СО ""ЧЦГБ""")</f>
        <v>ГБУЗ СО "ЧЦГБ"</v>
      </c>
      <c r="B13396" s="24" t="s">
        <v>18002</v>
      </c>
      <c r="C13396" s="25">
        <v>417980.6</v>
      </c>
      <c r="D13396" s="22" t="s">
        <v>18003</v>
      </c>
      <c r="E13396" s="22" t="s">
        <v>1807</v>
      </c>
      <c r="F13396" s="23" t="str">
        <f>HYPERLINK("https://www.spark-marketing.ru/Card/Lot/72066330", "Поставка бланочной продукции в 2019 году для нужд Государственного бюджетного учреждения здравоохранения Самарской области «Чапаевская центральная городская больница».")</f>
        <v>Поставка бланочной продукции в 2019 году для нужд Государственного бюджетного учреждения здравоохранения Самарской области «Чапаевская центральная городская больница».</v>
      </c>
      <c r="G13396" s="22" t="s">
        <v>128</v>
      </c>
      <c r="H13396" s="22" t="s">
        <v>18004</v>
      </c>
      <c r="I13396" s="26">
        <v>43658.402592592603</v>
      </c>
      <c r="J13396" s="23" t="str">
        <f>HYPERLINK("https://www.spark-marketing.ru/Card/Person/6251016", "ООО ""КОМПАНИЯ МАТРИКС""")</f>
        <v>ООО "КОМПАНИЯ МАТРИКС"</v>
      </c>
      <c r="K13396" s="24" t="s">
        <v>18005</v>
      </c>
      <c r="L13396" s="22" t="s">
        <v>10</v>
      </c>
      <c r="M13396" s="25">
        <v>307900</v>
      </c>
      <c r="N13396" s="27">
        <v>0.26336294076806438</v>
      </c>
    </row>
    <row r="13397" spans="1:14" x14ac:dyDescent="0.15">
      <c r="A13397" s="23" t="str">
        <f>HYPERLINK("https://www.spark-marketing.ru/Card/Person/1043268", "МАУ ""ИТЦ СВЕТЛОГОРСКОГО ГОРОДСКОГО ОКРУГА""")</f>
        <v>МАУ "ИТЦ СВЕТЛОГОРСКОГО ГОРОДСКОГО ОКРУГА"</v>
      </c>
      <c r="B13397" s="24" t="s">
        <v>18006</v>
      </c>
      <c r="C13397" s="25">
        <v>130000</v>
      </c>
      <c r="D13397" s="22" t="s">
        <v>18007</v>
      </c>
      <c r="E13397" s="22" t="s">
        <v>362</v>
      </c>
      <c r="F13397" s="23" t="str">
        <f>HYPERLINK("https://www.spark-marketing.ru/Card/Lot/72057140", "Услуги по организации питания")</f>
        <v>Услуги по организации питания</v>
      </c>
      <c r="G13397" s="22" t="s">
        <v>400</v>
      </c>
      <c r="H13397" s="22" t="s">
        <v>400</v>
      </c>
      <c r="I13397" s="26">
        <v>43658.4089467593</v>
      </c>
      <c r="J13397" s="28" t="s">
        <v>51</v>
      </c>
      <c r="K13397" s="28" t="s">
        <v>51</v>
      </c>
      <c r="L13397" s="28" t="s">
        <v>51</v>
      </c>
      <c r="M13397" s="28" t="s">
        <v>51</v>
      </c>
      <c r="N13397" s="28" t="s">
        <v>51</v>
      </c>
    </row>
    <row r="13398" spans="1:14" x14ac:dyDescent="0.15">
      <c r="A13398" s="23" t="str">
        <f t="shared" ref="A13398:A13403" si="440">HYPERLINK("https://www.spark-marketing.ru/Card/Person/76901", "ГБУ ТЦСО ""ЦАРИЦЫНСКИЙ""")</f>
        <v>ГБУ ТЦСО "ЦАРИЦЫНСКИЙ"</v>
      </c>
      <c r="B13398" s="24" t="s">
        <v>18008</v>
      </c>
      <c r="C13398" s="25">
        <v>2103600</v>
      </c>
      <c r="D13398" s="22" t="s">
        <v>18009</v>
      </c>
      <c r="E13398" s="22" t="s">
        <v>96</v>
      </c>
      <c r="F13398" s="23" t="str">
        <f t="shared" ref="F13398:F13403" si="441">HYPERLINK("https://www.spark-marketing.ru/Card/Lot/72059140", "Оказание услуг по обеспечению бесплатным питанием льготных категорий граждан")</f>
        <v>Оказание услуг по обеспечению бесплатным питанием льготных категорий граждан</v>
      </c>
      <c r="G13398" s="22" t="s">
        <v>56</v>
      </c>
      <c r="H13398" s="22" t="s">
        <v>56</v>
      </c>
      <c r="I13398" s="26">
        <v>43658.410509259302</v>
      </c>
      <c r="J13398" s="28" t="s">
        <v>51</v>
      </c>
      <c r="K13398" s="28" t="s">
        <v>51</v>
      </c>
      <c r="L13398" s="28" t="s">
        <v>51</v>
      </c>
      <c r="M13398" s="28" t="s">
        <v>51</v>
      </c>
      <c r="N13398" s="28" t="s">
        <v>51</v>
      </c>
    </row>
    <row r="13399" spans="1:14" hidden="1" outlineLevel="1" x14ac:dyDescent="0.2">
      <c r="A13399" s="23" t="str">
        <f t="shared" si="440"/>
        <v>ГБУ ТЦСО "ЦАРИЦЫНСКИЙ"</v>
      </c>
      <c r="B13399" s="24" t="s">
        <v>18008</v>
      </c>
      <c r="C13399" s="25">
        <v>2103600</v>
      </c>
      <c r="D13399" s="22" t="s">
        <v>18009</v>
      </c>
      <c r="E13399" s="22" t="s">
        <v>96</v>
      </c>
      <c r="F13399" s="23" t="str">
        <f t="shared" si="441"/>
        <v>Оказание услуг по обеспечению бесплатным питанием льготных категорий граждан</v>
      </c>
      <c r="G13399" s="22" t="s">
        <v>56</v>
      </c>
      <c r="H13399" s="22" t="s">
        <v>56</v>
      </c>
      <c r="I13399" s="26">
        <v>43658.410509259302</v>
      </c>
      <c r="J13399" s="23" t="str">
        <f>HYPERLINK("https://www.spark-marketing.ru/Card/Person/84484", "ООО ""ДЕЛЬФИН-СЕРВИС СБ""")</f>
        <v>ООО "ДЕЛЬФИН-СЕРВИС СБ"</v>
      </c>
      <c r="K13399" s="24" t="s">
        <v>15264</v>
      </c>
      <c r="L13399" s="28" t="s">
        <v>51</v>
      </c>
      <c r="M13399" s="25">
        <v>1777542</v>
      </c>
      <c r="N13399" s="27">
        <v>0.155</v>
      </c>
    </row>
    <row r="13400" spans="1:14" hidden="1" outlineLevel="1" x14ac:dyDescent="0.2">
      <c r="A13400" s="23" t="str">
        <f t="shared" si="440"/>
        <v>ГБУ ТЦСО "ЦАРИЦЫНСКИЙ"</v>
      </c>
      <c r="B13400" s="24" t="s">
        <v>18008</v>
      </c>
      <c r="C13400" s="25">
        <v>2103600</v>
      </c>
      <c r="D13400" s="22" t="s">
        <v>18009</v>
      </c>
      <c r="E13400" s="22" t="s">
        <v>96</v>
      </c>
      <c r="F13400" s="23" t="str">
        <f t="shared" si="441"/>
        <v>Оказание услуг по обеспечению бесплатным питанием льготных категорий граждан</v>
      </c>
      <c r="G13400" s="22" t="s">
        <v>56</v>
      </c>
      <c r="H13400" s="22" t="s">
        <v>56</v>
      </c>
      <c r="I13400" s="26">
        <v>43658.410509259302</v>
      </c>
      <c r="J13400" s="23" t="str">
        <f>HYPERLINK("https://www.spark-marketing.ru/Card/Person/2042423", "ООО ""ТФ ПРОДЖЕКТ""")</f>
        <v>ООО "ТФ ПРОДЖЕКТ"</v>
      </c>
      <c r="K13400" s="24" t="s">
        <v>9610</v>
      </c>
      <c r="L13400" s="28" t="s">
        <v>51</v>
      </c>
      <c r="M13400" s="25">
        <v>2082564</v>
      </c>
      <c r="N13400" s="27">
        <v>0.01</v>
      </c>
    </row>
    <row r="13401" spans="1:14" ht="12.75" hidden="1" outlineLevel="1" x14ac:dyDescent="0.2">
      <c r="A13401" s="23" t="str">
        <f t="shared" si="440"/>
        <v>ГБУ ТЦСО "ЦАРИЦЫНСКИЙ"</v>
      </c>
      <c r="B13401" s="24" t="s">
        <v>18008</v>
      </c>
      <c r="C13401" s="25">
        <v>2103600</v>
      </c>
      <c r="D13401" s="22" t="s">
        <v>18009</v>
      </c>
      <c r="E13401" s="22" t="s">
        <v>96</v>
      </c>
      <c r="F13401" s="23" t="str">
        <f t="shared" si="441"/>
        <v>Оказание услуг по обеспечению бесплатным питанием льготных категорий граждан</v>
      </c>
      <c r="G13401" s="22" t="s">
        <v>56</v>
      </c>
      <c r="H13401" s="22" t="s">
        <v>56</v>
      </c>
      <c r="I13401" s="26">
        <v>43658.410509259302</v>
      </c>
      <c r="J13401" s="23" t="str">
        <f>HYPERLINK("https://www.spark-marketing.ru/Card/Person/4574966", "ООО ""ДЕЛЬФИН-СЕРВИС СВ""")</f>
        <v>ООО "ДЕЛЬФИН-СЕРВИС СВ"</v>
      </c>
      <c r="K13401" s="24" t="s">
        <v>18010</v>
      </c>
      <c r="L13401" s="22" t="s">
        <v>10</v>
      </c>
      <c r="M13401" s="25">
        <v>1483038</v>
      </c>
      <c r="N13401" s="27">
        <v>0.29499999999999998</v>
      </c>
    </row>
    <row r="13402" spans="1:14" hidden="1" outlineLevel="1" x14ac:dyDescent="0.2">
      <c r="A13402" s="23" t="str">
        <f t="shared" si="440"/>
        <v>ГБУ ТЦСО "ЦАРИЦЫНСКИЙ"</v>
      </c>
      <c r="B13402" s="24" t="s">
        <v>18008</v>
      </c>
      <c r="C13402" s="25">
        <v>2103600</v>
      </c>
      <c r="D13402" s="22" t="s">
        <v>18009</v>
      </c>
      <c r="E13402" s="22" t="s">
        <v>96</v>
      </c>
      <c r="F13402" s="23" t="str">
        <f t="shared" si="441"/>
        <v>Оказание услуг по обеспечению бесплатным питанием льготных категорий граждан</v>
      </c>
      <c r="G13402" s="22" t="s">
        <v>56</v>
      </c>
      <c r="H13402" s="22" t="s">
        <v>56</v>
      </c>
      <c r="I13402" s="26">
        <v>43658.410509259302</v>
      </c>
      <c r="J13402" s="23" t="str">
        <f>HYPERLINK("https://www.spark-marketing.ru/Card/Person/4052353", "ООО ""ЕВРОКОР""")</f>
        <v>ООО "ЕВРОКОР"</v>
      </c>
      <c r="K13402" s="24" t="s">
        <v>9698</v>
      </c>
      <c r="L13402" s="28" t="s">
        <v>51</v>
      </c>
      <c r="M13402" s="25">
        <v>1809096</v>
      </c>
      <c r="N13402" s="27">
        <v>0.14000000000000001</v>
      </c>
    </row>
    <row r="13403" spans="1:14" hidden="1" outlineLevel="1" x14ac:dyDescent="0.2">
      <c r="A13403" s="23" t="str">
        <f t="shared" si="440"/>
        <v>ГБУ ТЦСО "ЦАРИЦЫНСКИЙ"</v>
      </c>
      <c r="B13403" s="24" t="s">
        <v>18008</v>
      </c>
      <c r="C13403" s="25">
        <v>2103600</v>
      </c>
      <c r="D13403" s="22" t="s">
        <v>18009</v>
      </c>
      <c r="E13403" s="22" t="s">
        <v>96</v>
      </c>
      <c r="F13403" s="23" t="str">
        <f t="shared" si="441"/>
        <v>Оказание услуг по обеспечению бесплатным питанием льготных категорий граждан</v>
      </c>
      <c r="G13403" s="22" t="s">
        <v>56</v>
      </c>
      <c r="H13403" s="22" t="s">
        <v>56</v>
      </c>
      <c r="I13403" s="26">
        <v>43658.410509259302</v>
      </c>
      <c r="J13403" s="23" t="str">
        <f>HYPERLINK("https://www.spark-marketing.ru/Card/Person/2523959", "ООО ""КРУИЗ-ТУР""")</f>
        <v>ООО "КРУИЗ-ТУР"</v>
      </c>
      <c r="K13403" s="24" t="s">
        <v>13149</v>
      </c>
      <c r="L13403" s="28" t="s">
        <v>51</v>
      </c>
      <c r="M13403" s="25">
        <v>1493556</v>
      </c>
      <c r="N13403" s="27">
        <v>0.28999999999999998</v>
      </c>
    </row>
    <row r="13404" spans="1:14" x14ac:dyDescent="0.15">
      <c r="A13404" s="23" t="str">
        <f>HYPERLINK("https://www.spark-marketing.ru/Card/Person/645596", "ОТДЕЛ МВД РОССИИ ПО БИРСКОМУ РАЙОНУ")</f>
        <v>ОТДЕЛ МВД РОССИИ ПО БИРСКОМУ РАЙОНУ</v>
      </c>
      <c r="B13404" s="24" t="s">
        <v>18011</v>
      </c>
      <c r="C13404" s="25">
        <v>1345528</v>
      </c>
      <c r="D13404" s="22" t="s">
        <v>18012</v>
      </c>
      <c r="E13404" s="22" t="s">
        <v>48</v>
      </c>
      <c r="F13404" s="23" t="str">
        <f>HYPERLINK("https://www.spark-marketing.ru/Card/Lot/72052592", "услуги по организации питания в ИВС")</f>
        <v>услуги по организации питания в ИВС</v>
      </c>
      <c r="G13404" s="22" t="s">
        <v>145</v>
      </c>
      <c r="H13404" s="22" t="s">
        <v>18013</v>
      </c>
      <c r="I13404" s="26">
        <v>43658.371087963002</v>
      </c>
      <c r="J13404" s="23" t="str">
        <f>HYPERLINK("https://www.spark-marketing.ru/Card/Person/6167760", "Чудинова Вероника Анатольевна")</f>
        <v>Чудинова Вероника Анатольевна</v>
      </c>
      <c r="K13404" s="24" t="s">
        <v>18014</v>
      </c>
      <c r="L13404" s="22" t="s">
        <v>10</v>
      </c>
      <c r="M13404" s="28" t="s">
        <v>51</v>
      </c>
      <c r="N13404" s="28" t="s">
        <v>51</v>
      </c>
    </row>
    <row r="13405" spans="1:14" ht="12.75" x14ac:dyDescent="0.2">
      <c r="A13405" s="23" t="str">
        <f>HYPERLINK("https://www.spark-marketing.ru/Card/Person/21947", "ГБУЗ СО ""КРАСНОУРАЛЬСКАЯ ГБ""")</f>
        <v>ГБУЗ СО "КРАСНОУРАЛЬСКАЯ ГБ"</v>
      </c>
      <c r="B13405" s="24" t="s">
        <v>1524</v>
      </c>
      <c r="C13405" s="25">
        <v>437060</v>
      </c>
      <c r="D13405" s="22" t="s">
        <v>18015</v>
      </c>
      <c r="E13405" s="22" t="s">
        <v>48</v>
      </c>
      <c r="F13405" s="23" t="str">
        <f>HYPERLINK("https://www.spark-marketing.ru/Card/Lot/72085635", "Услуги по организации питания")</f>
        <v>Услуги по организации питания</v>
      </c>
      <c r="G13405" s="22" t="s">
        <v>174</v>
      </c>
      <c r="H13405" s="22" t="s">
        <v>1526</v>
      </c>
      <c r="I13405" s="26">
        <v>43658.356423611098</v>
      </c>
      <c r="J13405" s="23" t="str">
        <f>HYPERLINK("https://www.spark-marketing.ru/Card/Person/806698", "Леонов Виктор Владимирович")</f>
        <v>Леонов Виктор Владимирович</v>
      </c>
      <c r="K13405" s="24" t="s">
        <v>1527</v>
      </c>
      <c r="L13405" s="22" t="s">
        <v>10</v>
      </c>
      <c r="M13405" s="25">
        <v>437060</v>
      </c>
      <c r="N13405" s="27">
        <v>0</v>
      </c>
    </row>
    <row r="13406" spans="1:14" x14ac:dyDescent="0.2">
      <c r="A13406" s="23" t="str">
        <f>HYPERLINK("https://www.spark-marketing.ru/Card/Person/637035", "ООО ХК ""СДС - ЭНЕРГО""")</f>
        <v>ООО ХК "СДС - ЭНЕРГО"</v>
      </c>
      <c r="B13406" s="24" t="s">
        <v>18016</v>
      </c>
      <c r="C13406" s="25">
        <v>263858</v>
      </c>
      <c r="D13406" s="22" t="s">
        <v>18017</v>
      </c>
      <c r="E13406" s="22" t="s">
        <v>362</v>
      </c>
      <c r="F13406" s="23" t="str">
        <f>HYPERLINK("https://www.spark-marketing.ru/Card/Lot/72050678", "Оказание услуг по организации питания")</f>
        <v>Оказание услуг по организации питания</v>
      </c>
      <c r="G13406" s="22" t="s">
        <v>304</v>
      </c>
      <c r="H13406" s="22" t="s">
        <v>304</v>
      </c>
      <c r="I13406" s="26">
        <v>43658.357476851903</v>
      </c>
      <c r="J13406" s="28" t="s">
        <v>51</v>
      </c>
      <c r="K13406" s="28" t="s">
        <v>51</v>
      </c>
      <c r="L13406" s="28" t="s">
        <v>51</v>
      </c>
      <c r="M13406" s="25">
        <v>263858</v>
      </c>
      <c r="N13406" s="27">
        <v>0</v>
      </c>
    </row>
    <row r="13407" spans="1:14" x14ac:dyDescent="0.2">
      <c r="A13407" s="23" t="str">
        <f>HYPERLINK("https://www.spark-marketing.ru/Card/Person/4365758", "ООО ""ГАЗПРОМ ДОБЫЧА НАДЫМ""")</f>
        <v>ООО "ГАЗПРОМ ДОБЫЧА НАДЫМ"</v>
      </c>
      <c r="B13407" s="24" t="s">
        <v>18018</v>
      </c>
      <c r="C13407" s="25">
        <v>8782701.7899999991</v>
      </c>
      <c r="D13407" s="22" t="s">
        <v>18019</v>
      </c>
      <c r="E13407" s="22" t="s">
        <v>18020</v>
      </c>
      <c r="F13407" s="23" t="str">
        <f>HYPERLINK("https://www.spark-marketing.ru/Card/Lot/72052412", "Поставка товара для нужд ООО ""Газпром добыча Надым"". Расходные медицинские материалы.")</f>
        <v>Поставка товара для нужд ООО "Газпром добыча Надым". Расходные медицинские материалы.</v>
      </c>
      <c r="G13407" s="22" t="s">
        <v>1056</v>
      </c>
      <c r="H13407" s="22" t="s">
        <v>2702</v>
      </c>
      <c r="I13407" s="26">
        <v>43658.355266203696</v>
      </c>
      <c r="J13407" s="28" t="s">
        <v>51</v>
      </c>
      <c r="K13407" s="28" t="s">
        <v>51</v>
      </c>
      <c r="L13407" s="22" t="s">
        <v>10</v>
      </c>
      <c r="M13407" s="25">
        <v>8732666.2200000007</v>
      </c>
      <c r="N13407" s="27">
        <v>5.6970589684566756E-3</v>
      </c>
    </row>
    <row r="13408" spans="1:14" x14ac:dyDescent="0.15">
      <c r="A13408" s="23" t="str">
        <f>HYPERLINK("https://www.spark-marketing.ru/Card/Person/38694", "ФГУП ""МОСКОВСКОЕ ПРОП"" МИНТРУДА РОССИИ")</f>
        <v>ФГУП "МОСКОВСКОЕ ПРОП" МИНТРУДА РОССИИ</v>
      </c>
      <c r="B13408" s="24" t="s">
        <v>521</v>
      </c>
      <c r="C13408" s="25">
        <v>498833.33</v>
      </c>
      <c r="D13408" s="22" t="s">
        <v>18021</v>
      </c>
      <c r="E13408" s="22" t="s">
        <v>48</v>
      </c>
      <c r="F13408" s="23" t="str">
        <f>HYPERLINK("https://www.spark-marketing.ru/Card/Lot/72052540", "Оказание услуг по приготовлению готовых блюд для пациентов, находящихся на протезировании в стационаре филиала «Омский» ФГУП «Московское ПрОП» Минтруда России")</f>
        <v>Оказание услуг по приготовлению готовых блюд для пациентов, находящихся на протезировании в стационаре филиала «Омский» ФГУП «Московское ПрОП» Минтруда России</v>
      </c>
      <c r="G13408" s="22" t="s">
        <v>487</v>
      </c>
      <c r="H13408" s="22" t="s">
        <v>488</v>
      </c>
      <c r="I13408" s="26">
        <v>43658.279201388897</v>
      </c>
      <c r="J13408" s="28" t="s">
        <v>51</v>
      </c>
      <c r="K13408" s="28" t="s">
        <v>51</v>
      </c>
      <c r="L13408" s="28" t="s">
        <v>51</v>
      </c>
      <c r="M13408" s="28" t="s">
        <v>51</v>
      </c>
      <c r="N13408" s="28" t="s">
        <v>51</v>
      </c>
    </row>
    <row r="13409" spans="1:14" ht="12.75" hidden="1" outlineLevel="1" x14ac:dyDescent="0.2">
      <c r="A13409" s="23" t="str">
        <f>HYPERLINK("https://www.spark-marketing.ru/Card/Person/38694", "ФГУП ""МОСКОВСКОЕ ПРОП"" МИНТРУДА РОССИИ")</f>
        <v>ФГУП "МОСКОВСКОЕ ПРОП" МИНТРУДА РОССИИ</v>
      </c>
      <c r="B13409" s="24" t="s">
        <v>521</v>
      </c>
      <c r="C13409" s="25">
        <v>498833.33</v>
      </c>
      <c r="D13409" s="22" t="s">
        <v>18021</v>
      </c>
      <c r="E13409" s="22" t="s">
        <v>48</v>
      </c>
      <c r="F13409" s="23" t="str">
        <f>HYPERLINK("https://www.spark-marketing.ru/Card/Lot/72052540", "Оказание услуг по приготовлению готовых блюд для пациентов, находящихся на протезировании в стационаре филиала «Омский» ФГУП «Московское ПрОП» Минтруда России")</f>
        <v>Оказание услуг по приготовлению готовых блюд для пациентов, находящихся на протезировании в стационаре филиала «Омский» ФГУП «Московское ПрОП» Минтруда России</v>
      </c>
      <c r="G13409" s="22" t="s">
        <v>487</v>
      </c>
      <c r="H13409" s="22" t="s">
        <v>488</v>
      </c>
      <c r="I13409" s="26">
        <v>43658.279201388897</v>
      </c>
      <c r="J13409" s="23" t="str">
        <f>HYPERLINK("https://www.spark-marketing.ru/Card/Person/54874", "ООО ""РУССКОМПЛЕКТ ПИТ""")</f>
        <v>ООО "РУССКОМПЛЕКТ ПИТ"</v>
      </c>
      <c r="K13409" s="24" t="s">
        <v>3534</v>
      </c>
      <c r="L13409" s="22" t="s">
        <v>10</v>
      </c>
      <c r="M13409" s="25">
        <v>481750</v>
      </c>
      <c r="N13409" s="27">
        <v>3.424656888905158E-2</v>
      </c>
    </row>
    <row r="13410" spans="1:14" hidden="1" outlineLevel="1" x14ac:dyDescent="0.2">
      <c r="A13410" s="23" t="str">
        <f>HYPERLINK("https://www.spark-marketing.ru/Card/Person/38694", "ФГУП ""МОСКОВСКОЕ ПРОП"" МИНТРУДА РОССИИ")</f>
        <v>ФГУП "МОСКОВСКОЕ ПРОП" МИНТРУДА РОССИИ</v>
      </c>
      <c r="B13410" s="24" t="s">
        <v>521</v>
      </c>
      <c r="C13410" s="25">
        <v>498833.33</v>
      </c>
      <c r="D13410" s="22" t="s">
        <v>18021</v>
      </c>
      <c r="E13410" s="22" t="s">
        <v>48</v>
      </c>
      <c r="F13410" s="23" t="str">
        <f>HYPERLINK("https://www.spark-marketing.ru/Card/Lot/72052540", "Оказание услуг по приготовлению готовых блюд для пациентов, находящихся на протезировании в стационаре филиала «Омский» ФГУП «Московское ПрОП» Минтруда России")</f>
        <v>Оказание услуг по приготовлению готовых блюд для пациентов, находящихся на протезировании в стационаре филиала «Омский» ФГУП «Московское ПрОП» Минтруда России</v>
      </c>
      <c r="G13410" s="22" t="s">
        <v>487</v>
      </c>
      <c r="H13410" s="22" t="s">
        <v>488</v>
      </c>
      <c r="I13410" s="26">
        <v>43658.279201388897</v>
      </c>
      <c r="J13410" s="23" t="str">
        <f>HYPERLINK("https://www.spark-marketing.ru/Card/Person/6072345", "ООО ""АНКОР""")</f>
        <v>ООО "АНКОР"</v>
      </c>
      <c r="K13410" s="24" t="s">
        <v>18022</v>
      </c>
      <c r="L13410" s="28" t="s">
        <v>51</v>
      </c>
      <c r="M13410" s="25">
        <v>490000</v>
      </c>
      <c r="N13410" s="27">
        <v>1.7707978735101763E-2</v>
      </c>
    </row>
    <row r="13411" spans="1:14" x14ac:dyDescent="0.15">
      <c r="A13411" s="23" t="str">
        <f>HYPERLINK("https://www.spark-marketing.ru/Card/Person/1756056", "МАДОУ ""ДЕТСКИЙ САД ""IТ МИР"" Г. ПЕРМИ")</f>
        <v>МАДОУ "ДЕТСКИЙ САД "IТ МИР" Г. ПЕРМИ</v>
      </c>
      <c r="B13411" s="24" t="s">
        <v>18023</v>
      </c>
      <c r="C13411" s="25">
        <v>25879200</v>
      </c>
      <c r="D13411" s="22" t="s">
        <v>18024</v>
      </c>
      <c r="E13411" s="22" t="s">
        <v>362</v>
      </c>
      <c r="F13411" s="23" t="str">
        <f>HYPERLINK("https://www.spark-marketing.ru/Card/Lot/72061836", "Оказание услуги по организации питания воспитанников в муниципальном автономном дошкольном образовательном учреждении «Детский сад «IT мир» г. Перми")</f>
        <v>Оказание услуги по организации питания воспитанников в муниципальном автономном дошкольном образовательном учреждении «Детский сад «IT мир» г. Перми</v>
      </c>
      <c r="G13411" s="22" t="s">
        <v>153</v>
      </c>
      <c r="H13411" s="22" t="s">
        <v>153</v>
      </c>
      <c r="I13411" s="26">
        <v>43658.610104166699</v>
      </c>
      <c r="J13411" s="28" t="s">
        <v>51</v>
      </c>
      <c r="K13411" s="28" t="s">
        <v>51</v>
      </c>
      <c r="L13411" s="28" t="s">
        <v>51</v>
      </c>
      <c r="M13411" s="28" t="s">
        <v>51</v>
      </c>
      <c r="N13411" s="28" t="s">
        <v>51</v>
      </c>
    </row>
    <row r="13412" spans="1:14" x14ac:dyDescent="0.2">
      <c r="A13412" s="23" t="str">
        <f>HYPERLINK("https://www.spark-marketing.ru/Card/Person/1747312", "АО ""ХИМГРАД""")</f>
        <v>АО "ХИМГРАД"</v>
      </c>
      <c r="B13412" s="24" t="s">
        <v>18025</v>
      </c>
      <c r="C13412" s="25">
        <v>32400</v>
      </c>
      <c r="D13412" s="22" t="s">
        <v>18026</v>
      </c>
      <c r="E13412" s="22" t="s">
        <v>52</v>
      </c>
      <c r="F13412" s="23" t="str">
        <f>HYPERLINK("https://www.spark-marketing.ru/Card/Lot/73769182", "Услуги по организации питания")</f>
        <v>Услуги по организации питания</v>
      </c>
      <c r="G13412" s="22" t="s">
        <v>217</v>
      </c>
      <c r="H13412" s="22" t="s">
        <v>937</v>
      </c>
      <c r="I13412" s="26">
        <v>43658.611111111102</v>
      </c>
      <c r="J13412" s="28" t="s">
        <v>51</v>
      </c>
      <c r="K13412" s="28" t="s">
        <v>51</v>
      </c>
      <c r="L13412" s="28" t="s">
        <v>51</v>
      </c>
      <c r="M13412" s="25">
        <v>24750</v>
      </c>
      <c r="N13412" s="27">
        <v>0.2361111111111111</v>
      </c>
    </row>
    <row r="13413" spans="1:14" x14ac:dyDescent="0.15">
      <c r="A13413" s="23" t="str">
        <f>HYPERLINK("https://www.spark-marketing.ru/Card/Person/10944", "ФГБОУ ВО ""МАРИЙСКИЙ ГОСУДАРСТВЕННЫЙ УНИВЕРСИТЕТ""")</f>
        <v>ФГБОУ ВО "МАРИЙСКИЙ ГОСУДАРСТВЕННЫЙ УНИВЕРСИТЕТ"</v>
      </c>
      <c r="B13413" s="24" t="s">
        <v>18027</v>
      </c>
      <c r="C13413" s="25">
        <v>337500</v>
      </c>
      <c r="D13413" s="22" t="s">
        <v>18028</v>
      </c>
      <c r="E13413" s="22" t="s">
        <v>580</v>
      </c>
      <c r="F13413" s="23" t="str">
        <f>HYPERLINK("https://www.spark-marketing.ru/Card/Lot/72050972", "Оказание услуг по организации питания волонтеров III Всероссийской летней Спартакиаде инвалидов в рамках Контракта № 0308200015619000017_94701от 17 июня 2019 г.")</f>
        <v>Оказание услуг по организации питания волонтеров III Всероссийской летней Спартакиаде инвалидов в рамках Контракта № 0308200015619000017_94701от 17 июня 2019 г.</v>
      </c>
      <c r="G13413" s="22" t="s">
        <v>3249</v>
      </c>
      <c r="H13413" s="22" t="s">
        <v>3249</v>
      </c>
      <c r="I13413" s="26">
        <v>43657.976087962998</v>
      </c>
      <c r="J13413" s="28" t="s">
        <v>51</v>
      </c>
      <c r="K13413" s="28" t="s">
        <v>51</v>
      </c>
      <c r="L13413" s="28" t="s">
        <v>51</v>
      </c>
      <c r="M13413" s="28" t="s">
        <v>51</v>
      </c>
      <c r="N13413" s="28" t="s">
        <v>51</v>
      </c>
    </row>
    <row r="13414" spans="1:14" x14ac:dyDescent="0.15">
      <c r="A13414" s="23" t="str">
        <f>HYPERLINK("https://www.spark-marketing.ru/Card/Person/10944", "ФГБОУ ВО ""МАРИЙСКИЙ ГОСУДАРСТВЕННЫЙ УНИВЕРСИТЕТ""")</f>
        <v>ФГБОУ ВО "МАРИЙСКИЙ ГОСУДАРСТВЕННЫЙ УНИВЕРСИТЕТ"</v>
      </c>
      <c r="B13414" s="24" t="s">
        <v>18027</v>
      </c>
      <c r="C13414" s="25">
        <v>718112</v>
      </c>
      <c r="D13414" s="22" t="s">
        <v>18029</v>
      </c>
      <c r="E13414" s="22" t="s">
        <v>6493</v>
      </c>
      <c r="F13414" s="23" t="str">
        <f>HYPERLINK("https://www.spark-marketing.ru/Card/Lot/72047105", "Оказание услуг на поставку продуктов питания для организации питания судей при проведении спортивных соревнований III Всероссийской летней Спартакиады инвалидов 2019 года")</f>
        <v>Оказание услуг на поставку продуктов питания для организации питания судей при проведении спортивных соревнований III Всероссийской летней Спартакиады инвалидов 2019 года</v>
      </c>
      <c r="G13414" s="22" t="s">
        <v>3249</v>
      </c>
      <c r="H13414" s="22" t="s">
        <v>3249</v>
      </c>
      <c r="I13414" s="26">
        <v>43657.927372685197</v>
      </c>
      <c r="J13414" s="28" t="s">
        <v>51</v>
      </c>
      <c r="K13414" s="28" t="s">
        <v>51</v>
      </c>
      <c r="L13414" s="28" t="s">
        <v>51</v>
      </c>
      <c r="M13414" s="28" t="s">
        <v>51</v>
      </c>
      <c r="N13414" s="28" t="s">
        <v>51</v>
      </c>
    </row>
    <row r="13415" spans="1:14" x14ac:dyDescent="0.15">
      <c r="A13415" s="23" t="str">
        <f>HYPERLINK("https://www.spark-marketing.ru/Card/Person/10944", "ФГБОУ ВО ""МАРИЙСКИЙ ГОСУДАРСТВЕННЫЙ УНИВЕРСИТЕТ""")</f>
        <v>ФГБОУ ВО "МАРИЙСКИЙ ГОСУДАРСТВЕННЫЙ УНИВЕРСИТЕТ"</v>
      </c>
      <c r="B13415" s="24" t="s">
        <v>18027</v>
      </c>
      <c r="C13415" s="25">
        <v>4533672</v>
      </c>
      <c r="D13415" s="22" t="s">
        <v>18030</v>
      </c>
      <c r="E13415" s="22" t="s">
        <v>6493</v>
      </c>
      <c r="F13415" s="23" t="str">
        <f>HYPERLINK("https://www.spark-marketing.ru/Card/Lot/72046916", "Оказание услуг на поставку продуктов питания для организации трехразового ежедневного питания участников при проведении спортивных соревнований III Всероссийской летней Спартакиады инвалидов 2019 года")</f>
        <v>Оказание услуг на поставку продуктов питания для организации трехразового ежедневного питания участников при проведении спортивных соревнований III Всероссийской летней Спартакиады инвалидов 2019 года</v>
      </c>
      <c r="G13415" s="22" t="s">
        <v>3249</v>
      </c>
      <c r="H13415" s="22" t="s">
        <v>3249</v>
      </c>
      <c r="I13415" s="26">
        <v>43657.943229166704</v>
      </c>
      <c r="J13415" s="28" t="s">
        <v>51</v>
      </c>
      <c r="K13415" s="28" t="s">
        <v>51</v>
      </c>
      <c r="L13415" s="28" t="s">
        <v>51</v>
      </c>
      <c r="M13415" s="28" t="s">
        <v>51</v>
      </c>
      <c r="N13415" s="28" t="s">
        <v>51</v>
      </c>
    </row>
    <row r="13416" spans="1:14" x14ac:dyDescent="0.15">
      <c r="A13416" s="23" t="str">
        <f>HYPERLINK("https://www.spark-marketing.ru/Card/Person/4347180", "Калининградский филиал Санкт-Петербургского Университета МВД России")</f>
        <v>Калининградский филиал Санкт-Петербургского Университета МВД России</v>
      </c>
      <c r="B13416" s="24" t="s">
        <v>4289</v>
      </c>
      <c r="C13416" s="25">
        <v>2000000</v>
      </c>
      <c r="D13416" s="22" t="s">
        <v>18031</v>
      </c>
      <c r="E13416" s="22" t="s">
        <v>48</v>
      </c>
      <c r="F13416" s="23" t="str">
        <f>HYPERLINK("https://www.spark-marketing.ru/Card/Lot/72059383", "Закупка услуг по обеспечению питания - 2020 год. (Отв.: Вергунов)")</f>
        <v>Закупка услуг по обеспечению питания - 2020 год. (Отв.: Вергунов)</v>
      </c>
      <c r="G13416" s="22" t="s">
        <v>400</v>
      </c>
      <c r="H13416" s="22" t="s">
        <v>401</v>
      </c>
      <c r="I13416" s="26">
        <v>43657.931400463</v>
      </c>
      <c r="J13416" s="28" t="s">
        <v>51</v>
      </c>
      <c r="K13416" s="28" t="s">
        <v>51</v>
      </c>
      <c r="L13416" s="28" t="s">
        <v>51</v>
      </c>
      <c r="M13416" s="28" t="s">
        <v>51</v>
      </c>
      <c r="N13416" s="28" t="s">
        <v>51</v>
      </c>
    </row>
    <row r="13417" spans="1:14" x14ac:dyDescent="0.15">
      <c r="A13417" s="23" t="str">
        <f>HYPERLINK("https://www.spark-marketing.ru/Card/Person/4347180", "Калининградский филиал Санкт-Петербургского Университета МВД России")</f>
        <v>Калининградский филиал Санкт-Петербургского Университета МВД России</v>
      </c>
      <c r="B13417" s="24" t="s">
        <v>4289</v>
      </c>
      <c r="C13417" s="25">
        <v>2000000</v>
      </c>
      <c r="D13417" s="22" t="s">
        <v>18032</v>
      </c>
      <c r="E13417" s="22" t="s">
        <v>48</v>
      </c>
      <c r="F13417" s="23" t="str">
        <f>HYPERLINK("https://www.spark-marketing.ru/Card/Lot/72059384", "Закупка услуг по обеспечению питания - 2021 год. (Отв.: Вергунов)")</f>
        <v>Закупка услуг по обеспечению питания - 2021 год. (Отв.: Вергунов)</v>
      </c>
      <c r="G13417" s="22" t="s">
        <v>400</v>
      </c>
      <c r="H13417" s="22" t="s">
        <v>401</v>
      </c>
      <c r="I13417" s="26">
        <v>43657.937800925902</v>
      </c>
      <c r="J13417" s="28" t="s">
        <v>51</v>
      </c>
      <c r="K13417" s="28" t="s">
        <v>51</v>
      </c>
      <c r="L13417" s="28" t="s">
        <v>51</v>
      </c>
      <c r="M13417" s="28" t="s">
        <v>51</v>
      </c>
      <c r="N13417" s="28" t="s">
        <v>51</v>
      </c>
    </row>
    <row r="13418" spans="1:14" x14ac:dyDescent="0.15">
      <c r="A13418" s="23" t="str">
        <f>HYPERLINK("https://www.spark-marketing.ru/Card/Person/4347180", "Калининградский филиал Санкт-Петербургского Университета МВД России")</f>
        <v>Калининградский филиал Санкт-Петербургского Университета МВД России</v>
      </c>
      <c r="B13418" s="24" t="s">
        <v>4289</v>
      </c>
      <c r="C13418" s="25">
        <v>1629960.41</v>
      </c>
      <c r="D13418" s="22" t="s">
        <v>18033</v>
      </c>
      <c r="E13418" s="22" t="s">
        <v>48</v>
      </c>
      <c r="F13418" s="23" t="str">
        <f>HYPERLINK("https://www.spark-marketing.ru/Card/Lot/72059360", "Закупка услуг по обеспечению питания на 2019 год. (Отв.: Вергунов)")</f>
        <v>Закупка услуг по обеспечению питания на 2019 год. (Отв.: Вергунов)</v>
      </c>
      <c r="G13418" s="22" t="s">
        <v>400</v>
      </c>
      <c r="H13418" s="22" t="s">
        <v>401</v>
      </c>
      <c r="I13418" s="26">
        <v>43657.885011574101</v>
      </c>
      <c r="J13418" s="28" t="s">
        <v>51</v>
      </c>
      <c r="K13418" s="28" t="s">
        <v>51</v>
      </c>
      <c r="L13418" s="28" t="s">
        <v>51</v>
      </c>
      <c r="M13418" s="28" t="s">
        <v>51</v>
      </c>
      <c r="N13418" s="28" t="s">
        <v>51</v>
      </c>
    </row>
    <row r="13419" spans="1:14" x14ac:dyDescent="0.2">
      <c r="A13419" s="23" t="s">
        <v>114</v>
      </c>
      <c r="B13419" s="28" t="s">
        <v>51</v>
      </c>
      <c r="C13419" s="25">
        <v>191169876.69999999</v>
      </c>
      <c r="D13419" s="22" t="s">
        <v>18034</v>
      </c>
      <c r="E13419" s="22" t="s">
        <v>48</v>
      </c>
      <c r="F13419" s="23" t="str">
        <f t="shared" ref="F13419:F13427" si="442">HYPERLINK("https://www.spark-marketing.ru/Card/Lot/72049307", "Оказание услуг по организации питания обучающихся общеобразовательного учреждения")</f>
        <v>Оказание услуг по организации питания обучающихся общеобразовательного учреждения</v>
      </c>
      <c r="G13419" s="22" t="s">
        <v>51</v>
      </c>
      <c r="H13419" s="22" t="s">
        <v>51</v>
      </c>
      <c r="I13419" s="26">
        <v>43657.877650463</v>
      </c>
      <c r="J13419" s="23" t="str">
        <f t="shared" ref="J13419:J13427" si="443">HYPERLINK("https://www.spark-marketing.ru/Card/Person/55369", "ООО ""КОМБИНАТ ОБЩЕСТВЕННОГО ПИТАНИЯ""")</f>
        <v>ООО "КОМБИНАТ ОБЩЕСТВЕННОГО ПИТАНИЯ"</v>
      </c>
      <c r="K13419" s="24" t="s">
        <v>1516</v>
      </c>
      <c r="L13419" s="28" t="s">
        <v>51</v>
      </c>
      <c r="M13419" s="25">
        <v>191169876.69999999</v>
      </c>
      <c r="N13419" s="27">
        <v>0</v>
      </c>
    </row>
    <row r="13420" spans="1:14" hidden="1" outlineLevel="1" x14ac:dyDescent="0.2">
      <c r="A13420" s="23" t="str">
        <f>HYPERLINK("https://www.spark-marketing.ru/Card/Person/142988", "МБОУ ПГО ""СОШ № 16""")</f>
        <v>МБОУ ПГО "СОШ № 16"</v>
      </c>
      <c r="B13420" s="24" t="s">
        <v>18035</v>
      </c>
      <c r="C13420" s="25">
        <v>15215502</v>
      </c>
      <c r="D13420" s="22" t="s">
        <v>18034</v>
      </c>
      <c r="E13420" s="22" t="s">
        <v>48</v>
      </c>
      <c r="F13420" s="23" t="str">
        <f t="shared" si="442"/>
        <v>Оказание услуг по организации питания обучающихся общеобразовательного учреждения</v>
      </c>
      <c r="G13420" s="22" t="s">
        <v>174</v>
      </c>
      <c r="H13420" s="22" t="s">
        <v>15308</v>
      </c>
      <c r="I13420" s="26">
        <v>43657.877650463</v>
      </c>
      <c r="J13420" s="23" t="str">
        <f t="shared" si="443"/>
        <v>ООО "КОМБИНАТ ОБЩЕСТВЕННОГО ПИТАНИЯ"</v>
      </c>
      <c r="K13420" s="24" t="s">
        <v>1516</v>
      </c>
      <c r="L13420" s="28" t="s">
        <v>51</v>
      </c>
      <c r="M13420" s="28" t="s">
        <v>51</v>
      </c>
      <c r="N13420" s="27">
        <v>0</v>
      </c>
    </row>
    <row r="13421" spans="1:14" hidden="1" outlineLevel="1" x14ac:dyDescent="0.2">
      <c r="A13421" s="23" t="str">
        <f>HYPERLINK("https://www.spark-marketing.ru/Card/Person/143027", "МБОУ ПГО ""СОШ № 17""")</f>
        <v>МБОУ ПГО "СОШ № 17"</v>
      </c>
      <c r="B13421" s="24" t="s">
        <v>18036</v>
      </c>
      <c r="C13421" s="25">
        <v>22473660.600000001</v>
      </c>
      <c r="D13421" s="22" t="s">
        <v>18034</v>
      </c>
      <c r="E13421" s="22" t="s">
        <v>48</v>
      </c>
      <c r="F13421" s="23" t="str">
        <f t="shared" si="442"/>
        <v>Оказание услуг по организации питания обучающихся общеобразовательного учреждения</v>
      </c>
      <c r="G13421" s="22" t="s">
        <v>174</v>
      </c>
      <c r="H13421" s="22" t="s">
        <v>15308</v>
      </c>
      <c r="I13421" s="26">
        <v>43657.877650463</v>
      </c>
      <c r="J13421" s="23" t="str">
        <f t="shared" si="443"/>
        <v>ООО "КОМБИНАТ ОБЩЕСТВЕННОГО ПИТАНИЯ"</v>
      </c>
      <c r="K13421" s="24" t="s">
        <v>1516</v>
      </c>
      <c r="L13421" s="28" t="s">
        <v>51</v>
      </c>
      <c r="M13421" s="28" t="s">
        <v>51</v>
      </c>
      <c r="N13421" s="27">
        <v>0</v>
      </c>
    </row>
    <row r="13422" spans="1:14" hidden="1" outlineLevel="1" x14ac:dyDescent="0.2">
      <c r="A13422" s="23" t="str">
        <f>HYPERLINK("https://www.spark-marketing.ru/Card/Person/143124", "МБОУ ПГО ""СОШ №20""")</f>
        <v>МБОУ ПГО "СОШ №20"</v>
      </c>
      <c r="B13422" s="24" t="s">
        <v>18037</v>
      </c>
      <c r="C13422" s="25">
        <v>18633572.100000001</v>
      </c>
      <c r="D13422" s="22" t="s">
        <v>18034</v>
      </c>
      <c r="E13422" s="22" t="s">
        <v>48</v>
      </c>
      <c r="F13422" s="23" t="str">
        <f t="shared" si="442"/>
        <v>Оказание услуг по организации питания обучающихся общеобразовательного учреждения</v>
      </c>
      <c r="G13422" s="22" t="s">
        <v>174</v>
      </c>
      <c r="H13422" s="22" t="s">
        <v>15308</v>
      </c>
      <c r="I13422" s="26">
        <v>43657.877650463</v>
      </c>
      <c r="J13422" s="23" t="str">
        <f t="shared" si="443"/>
        <v>ООО "КОМБИНАТ ОБЩЕСТВЕННОГО ПИТАНИЯ"</v>
      </c>
      <c r="K13422" s="24" t="s">
        <v>1516</v>
      </c>
      <c r="L13422" s="28" t="s">
        <v>51</v>
      </c>
      <c r="M13422" s="28" t="s">
        <v>51</v>
      </c>
      <c r="N13422" s="27">
        <v>0</v>
      </c>
    </row>
    <row r="13423" spans="1:14" hidden="1" outlineLevel="1" x14ac:dyDescent="0.2">
      <c r="A13423" s="23" t="str">
        <f>HYPERLINK("https://www.spark-marketing.ru/Card/Person/147342", "МАОУ ПГО ""СОШ-ЛИЦЕЙ №4 ""ИНТЕЛЛЕКТ""")</f>
        <v>МАОУ ПГО "СОШ-ЛИЦЕЙ №4 "ИНТЕЛЛЕКТ"</v>
      </c>
      <c r="B13423" s="24" t="s">
        <v>18038</v>
      </c>
      <c r="C13423" s="25">
        <v>21645337</v>
      </c>
      <c r="D13423" s="22" t="s">
        <v>18034</v>
      </c>
      <c r="E13423" s="22" t="s">
        <v>48</v>
      </c>
      <c r="F13423" s="23" t="str">
        <f t="shared" si="442"/>
        <v>Оказание услуг по организации питания обучающихся общеобразовательного учреждения</v>
      </c>
      <c r="G13423" s="22" t="s">
        <v>174</v>
      </c>
      <c r="H13423" s="22" t="s">
        <v>15308</v>
      </c>
      <c r="I13423" s="26">
        <v>43657.877650463</v>
      </c>
      <c r="J13423" s="23" t="str">
        <f t="shared" si="443"/>
        <v>ООО "КОМБИНАТ ОБЩЕСТВЕННОГО ПИТАНИЯ"</v>
      </c>
      <c r="K13423" s="24" t="s">
        <v>1516</v>
      </c>
      <c r="L13423" s="28" t="s">
        <v>51</v>
      </c>
      <c r="M13423" s="28" t="s">
        <v>51</v>
      </c>
      <c r="N13423" s="27">
        <v>0</v>
      </c>
    </row>
    <row r="13424" spans="1:14" hidden="1" outlineLevel="1" x14ac:dyDescent="0.2">
      <c r="A13424" s="23" t="str">
        <f>HYPERLINK("https://www.spark-marketing.ru/Card/Person/1013493", "МБОУ ПГО ""СОШ № 18""")</f>
        <v>МБОУ ПГО "СОШ № 18"</v>
      </c>
      <c r="B13424" s="24" t="s">
        <v>18039</v>
      </c>
      <c r="C13424" s="25">
        <v>21800966.399999999</v>
      </c>
      <c r="D13424" s="22" t="s">
        <v>18034</v>
      </c>
      <c r="E13424" s="22" t="s">
        <v>48</v>
      </c>
      <c r="F13424" s="23" t="str">
        <f t="shared" si="442"/>
        <v>Оказание услуг по организации питания обучающихся общеобразовательного учреждения</v>
      </c>
      <c r="G13424" s="22" t="s">
        <v>174</v>
      </c>
      <c r="H13424" s="22" t="s">
        <v>15308</v>
      </c>
      <c r="I13424" s="26">
        <v>43657.877650463</v>
      </c>
      <c r="J13424" s="23" t="str">
        <f t="shared" si="443"/>
        <v>ООО "КОМБИНАТ ОБЩЕСТВЕННОГО ПИТАНИЯ"</v>
      </c>
      <c r="K13424" s="24" t="s">
        <v>1516</v>
      </c>
      <c r="L13424" s="28" t="s">
        <v>51</v>
      </c>
      <c r="M13424" s="28" t="s">
        <v>51</v>
      </c>
      <c r="N13424" s="27">
        <v>0</v>
      </c>
    </row>
    <row r="13425" spans="1:14" hidden="1" outlineLevel="1" x14ac:dyDescent="0.2">
      <c r="A13425" s="23" t="str">
        <f>HYPERLINK("https://www.spark-marketing.ru/Card/Person/1014475", "МАОУ ПГО ""СОШ № 8""")</f>
        <v>МАОУ ПГО "СОШ № 8"</v>
      </c>
      <c r="B13425" s="24" t="s">
        <v>18040</v>
      </c>
      <c r="C13425" s="25">
        <v>35613306</v>
      </c>
      <c r="D13425" s="22" t="s">
        <v>18034</v>
      </c>
      <c r="E13425" s="22" t="s">
        <v>48</v>
      </c>
      <c r="F13425" s="23" t="str">
        <f t="shared" si="442"/>
        <v>Оказание услуг по организации питания обучающихся общеобразовательного учреждения</v>
      </c>
      <c r="G13425" s="22" t="s">
        <v>174</v>
      </c>
      <c r="H13425" s="22" t="s">
        <v>15308</v>
      </c>
      <c r="I13425" s="26">
        <v>43657.877650463</v>
      </c>
      <c r="J13425" s="23" t="str">
        <f t="shared" si="443"/>
        <v>ООО "КОМБИНАТ ОБЩЕСТВЕННОГО ПИТАНИЯ"</v>
      </c>
      <c r="K13425" s="24" t="s">
        <v>1516</v>
      </c>
      <c r="L13425" s="28" t="s">
        <v>51</v>
      </c>
      <c r="M13425" s="28" t="s">
        <v>51</v>
      </c>
      <c r="N13425" s="27">
        <v>0</v>
      </c>
    </row>
    <row r="13426" spans="1:14" hidden="1" outlineLevel="1" x14ac:dyDescent="0.2">
      <c r="A13426" s="23" t="str">
        <f>HYPERLINK("https://www.spark-marketing.ru/Card/Person/4353251", "МБОУ ПГО ""СОШ № 14""")</f>
        <v>МБОУ ПГО "СОШ № 14"</v>
      </c>
      <c r="B13426" s="24" t="s">
        <v>18041</v>
      </c>
      <c r="C13426" s="25">
        <v>25162901.399999999</v>
      </c>
      <c r="D13426" s="22" t="s">
        <v>18034</v>
      </c>
      <c r="E13426" s="22" t="s">
        <v>48</v>
      </c>
      <c r="F13426" s="23" t="str">
        <f t="shared" si="442"/>
        <v>Оказание услуг по организации питания обучающихся общеобразовательного учреждения</v>
      </c>
      <c r="G13426" s="22" t="s">
        <v>174</v>
      </c>
      <c r="H13426" s="22" t="s">
        <v>15308</v>
      </c>
      <c r="I13426" s="26">
        <v>43657.877650463</v>
      </c>
      <c r="J13426" s="23" t="str">
        <f t="shared" si="443"/>
        <v>ООО "КОМБИНАТ ОБЩЕСТВЕННОГО ПИТАНИЯ"</v>
      </c>
      <c r="K13426" s="24" t="s">
        <v>1516</v>
      </c>
      <c r="L13426" s="28" t="s">
        <v>51</v>
      </c>
      <c r="M13426" s="28" t="s">
        <v>51</v>
      </c>
      <c r="N13426" s="27">
        <v>0</v>
      </c>
    </row>
    <row r="13427" spans="1:14" hidden="1" outlineLevel="1" x14ac:dyDescent="0.2">
      <c r="A13427" s="23" t="str">
        <f>HYPERLINK("https://www.spark-marketing.ru/Card/Person/4353265", "МАОУ ПГО ""ПОЛИТЕХНИЧЕСКИЙ ЛИЦЕЙ № 21"" ""ЭРУДИТ""")</f>
        <v>МАОУ ПГО "ПОЛИТЕХНИЧЕСКИЙ ЛИЦЕЙ № 21" "ЭРУДИТ"</v>
      </c>
      <c r="B13427" s="24" t="s">
        <v>18042</v>
      </c>
      <c r="C13427" s="25">
        <v>30624631.199999999</v>
      </c>
      <c r="D13427" s="22" t="s">
        <v>18034</v>
      </c>
      <c r="E13427" s="22" t="s">
        <v>48</v>
      </c>
      <c r="F13427" s="23" t="str">
        <f t="shared" si="442"/>
        <v>Оказание услуг по организации питания обучающихся общеобразовательного учреждения</v>
      </c>
      <c r="G13427" s="22" t="s">
        <v>174</v>
      </c>
      <c r="H13427" s="22" t="s">
        <v>15308</v>
      </c>
      <c r="I13427" s="26">
        <v>43657.877650463</v>
      </c>
      <c r="J13427" s="23" t="str">
        <f t="shared" si="443"/>
        <v>ООО "КОМБИНАТ ОБЩЕСТВЕННОГО ПИТАНИЯ"</v>
      </c>
      <c r="K13427" s="24" t="s">
        <v>1516</v>
      </c>
      <c r="L13427" s="28" t="s">
        <v>51</v>
      </c>
      <c r="M13427" s="28" t="s">
        <v>51</v>
      </c>
      <c r="N13427" s="27">
        <v>0</v>
      </c>
    </row>
    <row r="13428" spans="1:14" x14ac:dyDescent="0.15">
      <c r="A13428" s="23" t="str">
        <f>HYPERLINK("https://www.spark-marketing.ru/Card/Person/10944", "ФГБОУ ВО ""МАРИЙСКИЙ ГОСУДАРСТВЕННЫЙ УНИВЕРСИТЕТ""")</f>
        <v>ФГБОУ ВО "МАРИЙСКИЙ ГОСУДАРСТВЕННЫЙ УНИВЕРСИТЕТ"</v>
      </c>
      <c r="B13428" s="24" t="s">
        <v>18027</v>
      </c>
      <c r="C13428" s="25">
        <v>298724</v>
      </c>
      <c r="D13428" s="22" t="s">
        <v>18043</v>
      </c>
      <c r="E13428" s="22" t="s">
        <v>6493</v>
      </c>
      <c r="F13428" s="23" t="str">
        <f>HYPERLINK("https://www.spark-marketing.ru/Card/Lot/72045727", "Оказание услуг на поставку продуктов питания для организации питания волонтеров при проведении спортивных соревнований III Всероссийской летней Спартакиады инвалидов 2019 года")</f>
        <v>Оказание услуг на поставку продуктов питания для организации питания волонтеров при проведении спортивных соревнований III Всероссийской летней Спартакиады инвалидов 2019 года</v>
      </c>
      <c r="G13428" s="22" t="s">
        <v>3249</v>
      </c>
      <c r="H13428" s="22" t="s">
        <v>3249</v>
      </c>
      <c r="I13428" s="26">
        <v>43657.894953703697</v>
      </c>
      <c r="J13428" s="28" t="s">
        <v>51</v>
      </c>
      <c r="K13428" s="28" t="s">
        <v>51</v>
      </c>
      <c r="L13428" s="28" t="s">
        <v>51</v>
      </c>
      <c r="M13428" s="28" t="s">
        <v>51</v>
      </c>
      <c r="N13428" s="28" t="s">
        <v>51</v>
      </c>
    </row>
    <row r="13429" spans="1:14" x14ac:dyDescent="0.15">
      <c r="A13429" s="23" t="str">
        <f>HYPERLINK("https://www.spark-marketing.ru/Card/Person/32463", "АДМИНИСТРАЦИЯ ГОРОДА ГОРНО-АЛТАЙСКА")</f>
        <v>АДМИНИСТРАЦИЯ ГОРОДА ГОРНО-АЛТАЙСКА</v>
      </c>
      <c r="B13429" s="24" t="s">
        <v>18044</v>
      </c>
      <c r="C13429" s="25">
        <v>143000</v>
      </c>
      <c r="D13429" s="22" t="s">
        <v>18045</v>
      </c>
      <c r="E13429" s="22" t="s">
        <v>96</v>
      </c>
      <c r="F13429" s="23" t="str">
        <f>HYPERLINK("https://www.spark-marketing.ru/Card/Lot/72050760", "Оказание услуг по организации официальных приемов делегаций")</f>
        <v>Оказание услуг по организации официальных приемов делегаций</v>
      </c>
      <c r="G13429" s="22" t="s">
        <v>1141</v>
      </c>
      <c r="H13429" s="22" t="s">
        <v>1141</v>
      </c>
      <c r="I13429" s="26">
        <v>43657.844143518501</v>
      </c>
      <c r="J13429" s="23" t="str">
        <f>HYPERLINK("https://www.spark-marketing.ru/Card/Person/930430", "ООО ""ГАЛАНТ""")</f>
        <v>ООО "ГАЛАНТ"</v>
      </c>
      <c r="K13429" s="24" t="s">
        <v>18046</v>
      </c>
      <c r="L13429" s="22" t="s">
        <v>10</v>
      </c>
      <c r="M13429" s="28" t="s">
        <v>51</v>
      </c>
      <c r="N13429" s="28" t="s">
        <v>51</v>
      </c>
    </row>
    <row r="13430" spans="1:14" x14ac:dyDescent="0.15">
      <c r="A13430" s="23" t="str">
        <f>HYPERLINK("https://www.spark-marketing.ru/Card/Person/63935", "ГУЗ СО ""ВОСКРЕСЕНСКАЯ РБ""")</f>
        <v>ГУЗ СО "ВОСКРЕСЕНСКАЯ РБ"</v>
      </c>
      <c r="B13430" s="24" t="s">
        <v>18047</v>
      </c>
      <c r="C13430" s="25">
        <v>1034246.2</v>
      </c>
      <c r="D13430" s="22" t="s">
        <v>18048</v>
      </c>
      <c r="E13430" s="22" t="s">
        <v>48</v>
      </c>
      <c r="F13430" s="23" t="str">
        <f>HYPERLINK("https://www.spark-marketing.ru/Card/Lot/72045677", "Оказание услуг по организации приготовления и поставки питания в 2019 году")</f>
        <v>Оказание услуг по организации приготовления и поставки питания в 2019 году</v>
      </c>
      <c r="G13430" s="22" t="s">
        <v>351</v>
      </c>
      <c r="H13430" s="22" t="s">
        <v>8839</v>
      </c>
      <c r="I13430" s="26">
        <v>43657.798287037003</v>
      </c>
      <c r="J13430" s="23" t="str">
        <f>HYPERLINK("https://www.spark-marketing.ru/Card/Person/1473966", "ООО ""ВОЛЖАНКА""")</f>
        <v>ООО "ВОЛЖАНКА"</v>
      </c>
      <c r="K13430" s="24" t="s">
        <v>18049</v>
      </c>
      <c r="L13430" s="22" t="s">
        <v>10</v>
      </c>
      <c r="M13430" s="28" t="s">
        <v>51</v>
      </c>
      <c r="N13430" s="28" t="s">
        <v>51</v>
      </c>
    </row>
    <row r="13431" spans="1:14" x14ac:dyDescent="0.15">
      <c r="A13431" s="23" t="str">
        <f>HYPERLINK("https://www.spark-marketing.ru/Card/Person/6511290", "ГАУ ЛО ""СШ ""ЛЕНИНГРАДЕЦ""")</f>
        <v>ГАУ ЛО "СШ "ЛЕНИНГРАДЕЦ"</v>
      </c>
      <c r="B13431" s="24" t="s">
        <v>10983</v>
      </c>
      <c r="C13431" s="25">
        <v>397100</v>
      </c>
      <c r="D13431" s="22" t="s">
        <v>18050</v>
      </c>
      <c r="E13431" s="22" t="s">
        <v>10985</v>
      </c>
      <c r="F13431" s="23" t="str">
        <f>HYPERLINK("https://www.spark-marketing.ru/Card/Lot/72044384", "Предоставление услуг по организации проживания и питания")</f>
        <v>Предоставление услуг по организации проживания и питания</v>
      </c>
      <c r="G13431" s="22" t="s">
        <v>162</v>
      </c>
      <c r="H13431" s="22" t="s">
        <v>162</v>
      </c>
      <c r="I13431" s="26">
        <v>43657.810636574097</v>
      </c>
      <c r="J13431" s="28" t="s">
        <v>51</v>
      </c>
      <c r="K13431" s="28" t="s">
        <v>51</v>
      </c>
      <c r="L13431" s="28" t="s">
        <v>51</v>
      </c>
      <c r="M13431" s="28" t="s">
        <v>51</v>
      </c>
      <c r="N13431" s="28" t="s">
        <v>51</v>
      </c>
    </row>
    <row r="13432" spans="1:14" x14ac:dyDescent="0.2">
      <c r="A13432" s="23" t="str">
        <f>HYPERLINK("https://www.spark-marketing.ru/Card/Person/4413841", "ООО ""ГАЗПРОМ ТРАНСГАЗ САМАРА""")</f>
        <v>ООО "ГАЗПРОМ ТРАНСГАЗ САМАРА"</v>
      </c>
      <c r="B13432" s="24" t="s">
        <v>13575</v>
      </c>
      <c r="C13432" s="25">
        <v>16877802.600000001</v>
      </c>
      <c r="D13432" s="22" t="s">
        <v>18051</v>
      </c>
      <c r="E13432" s="22" t="s">
        <v>362</v>
      </c>
      <c r="F13432" s="23" t="str">
        <f>HYPERLINK("https://www.spark-marketing.ru/Card/Lot/72039909", "Оказание услуг по организации питания для отдыхающих в ОК «Березка» ООО «Газпром трансгаз Самара» на 2020 год для нужд ООО «Газпром трансгаз Самара»")</f>
        <v>Оказание услуг по организации питания для отдыхающих в ОК «Березка» ООО «Газпром трансгаз Самара» на 2020 год для нужд ООО «Газпром трансгаз Самара»</v>
      </c>
      <c r="G13432" s="22" t="s">
        <v>128</v>
      </c>
      <c r="H13432" s="22" t="s">
        <v>129</v>
      </c>
      <c r="I13432" s="26">
        <v>43657.762615740699</v>
      </c>
      <c r="J13432" s="28" t="s">
        <v>51</v>
      </c>
      <c r="K13432" s="28" t="s">
        <v>51</v>
      </c>
      <c r="L13432" s="22" t="s">
        <v>10</v>
      </c>
      <c r="M13432" s="25">
        <v>16877730</v>
      </c>
      <c r="N13432" s="27">
        <v>4.3015078278021808E-6</v>
      </c>
    </row>
    <row r="13433" spans="1:14" x14ac:dyDescent="0.15">
      <c r="A13433" s="23" t="str">
        <f>HYPERLINK("https://www.spark-marketing.ru/Card/Person/64661", "ФГУП ""РАДОН""")</f>
        <v>ФГУП "РАДОН"</v>
      </c>
      <c r="B13433" s="24" t="s">
        <v>18052</v>
      </c>
      <c r="C13433" s="25">
        <v>21683194.079999998</v>
      </c>
      <c r="D13433" s="22" t="s">
        <v>18053</v>
      </c>
      <c r="E13433" s="22" t="s">
        <v>2217</v>
      </c>
      <c r="F13433" s="23" t="str">
        <f>HYPERLINK("https://www.spark-marketing.ru/Card/Lot/72042084", "Право заключения договора на оказание услуг по организации и обеспечению лечебно-профилактическим питанием работников ФГУП ""РАДОН"", занятых на работах с вредными и особо вредными условиями труда, организации и обеспечению буфетного обслуживания (пи...")</f>
        <v>Право заключения договора на оказание услуг по организации и обеспечению лечебно-профилактическим питанием работников ФГУП "РАДОН", занятых на работах с вредными и особо вредными условиями труда, организации и обеспечению буфетного обслуживания (пи...</v>
      </c>
      <c r="G13433" s="22" t="s">
        <v>56</v>
      </c>
      <c r="H13433" s="22" t="s">
        <v>56</v>
      </c>
      <c r="I13433" s="26">
        <v>43657.762673611098</v>
      </c>
      <c r="J13433" s="28" t="s">
        <v>51</v>
      </c>
      <c r="K13433" s="28" t="s">
        <v>51</v>
      </c>
      <c r="L13433" s="28" t="s">
        <v>51</v>
      </c>
      <c r="M13433" s="28" t="s">
        <v>51</v>
      </c>
      <c r="N13433" s="28" t="s">
        <v>51</v>
      </c>
    </row>
    <row r="13434" spans="1:14" x14ac:dyDescent="0.15">
      <c r="A13434" s="23" t="str">
        <f>HYPERLINK("https://www.spark-marketing.ru/Card/Person/10607", "ГБУ ДСЗМ")</f>
        <v>ГБУ ДСЗМ</v>
      </c>
      <c r="B13434" s="24" t="s">
        <v>3052</v>
      </c>
      <c r="C13434" s="25">
        <v>600000</v>
      </c>
      <c r="D13434" s="22" t="s">
        <v>18054</v>
      </c>
      <c r="E13434" s="22" t="s">
        <v>96</v>
      </c>
      <c r="F13434" s="23" t="str">
        <f>HYPERLINK("https://www.spark-marketing.ru/Card/Lot/72048775", "Услуги по организации питания и ресторанного обслуживания для подготовки и проведения кубка Мэра Москвы по хоккею с шайбой")</f>
        <v>Услуги по организации питания и ресторанного обслуживания для подготовки и проведения кубка Мэра Москвы по хоккею с шайбой</v>
      </c>
      <c r="G13434" s="22" t="s">
        <v>56</v>
      </c>
      <c r="H13434" s="22" t="s">
        <v>56</v>
      </c>
      <c r="I13434" s="26">
        <v>43657.759780092601</v>
      </c>
      <c r="J13434" s="28" t="s">
        <v>51</v>
      </c>
      <c r="K13434" s="28" t="s">
        <v>51</v>
      </c>
      <c r="L13434" s="28" t="s">
        <v>51</v>
      </c>
      <c r="M13434" s="28" t="s">
        <v>51</v>
      </c>
      <c r="N13434" s="28" t="s">
        <v>51</v>
      </c>
    </row>
    <row r="13435" spans="1:14" ht="12.75" hidden="1" outlineLevel="1" x14ac:dyDescent="0.2">
      <c r="A13435" s="23" t="str">
        <f>HYPERLINK("https://www.spark-marketing.ru/Card/Person/10607", "ГБУ ДСЗМ")</f>
        <v>ГБУ ДСЗМ</v>
      </c>
      <c r="B13435" s="24" t="s">
        <v>3052</v>
      </c>
      <c r="C13435" s="25">
        <v>600000</v>
      </c>
      <c r="D13435" s="22" t="s">
        <v>18054</v>
      </c>
      <c r="E13435" s="22" t="s">
        <v>96</v>
      </c>
      <c r="F13435" s="23" t="str">
        <f>HYPERLINK("https://www.spark-marketing.ru/Card/Lot/72048775", "Услуги по организации питания и ресторанного обслуживания для подготовки и проведения кубка Мэра Москвы по хоккею с шайбой")</f>
        <v>Услуги по организации питания и ресторанного обслуживания для подготовки и проведения кубка Мэра Москвы по хоккею с шайбой</v>
      </c>
      <c r="G13435" s="22" t="s">
        <v>56</v>
      </c>
      <c r="H13435" s="22" t="s">
        <v>56</v>
      </c>
      <c r="I13435" s="26">
        <v>43657.759780092601</v>
      </c>
      <c r="J13435" s="23" t="str">
        <f>HYPERLINK("https://www.spark-marketing.ru/Card/Person/5903989", "ООО ""ВОСТОК""")</f>
        <v>ООО "ВОСТОК"</v>
      </c>
      <c r="K13435" s="24" t="s">
        <v>5855</v>
      </c>
      <c r="L13435" s="22" t="s">
        <v>10</v>
      </c>
      <c r="M13435" s="25">
        <v>453000</v>
      </c>
      <c r="N13435" s="27">
        <v>0.245</v>
      </c>
    </row>
    <row r="13436" spans="1:14" hidden="1" outlineLevel="1" x14ac:dyDescent="0.2">
      <c r="A13436" s="23" t="str">
        <f>HYPERLINK("https://www.spark-marketing.ru/Card/Person/10607", "ГБУ ДСЗМ")</f>
        <v>ГБУ ДСЗМ</v>
      </c>
      <c r="B13436" s="24" t="s">
        <v>3052</v>
      </c>
      <c r="C13436" s="25">
        <v>600000</v>
      </c>
      <c r="D13436" s="22" t="s">
        <v>18054</v>
      </c>
      <c r="E13436" s="22" t="s">
        <v>96</v>
      </c>
      <c r="F13436" s="23" t="str">
        <f>HYPERLINK("https://www.spark-marketing.ru/Card/Lot/72048775", "Услуги по организации питания и ресторанного обслуживания для подготовки и проведения кубка Мэра Москвы по хоккею с шайбой")</f>
        <v>Услуги по организации питания и ресторанного обслуживания для подготовки и проведения кубка Мэра Москвы по хоккею с шайбой</v>
      </c>
      <c r="G13436" s="22" t="s">
        <v>56</v>
      </c>
      <c r="H13436" s="22" t="s">
        <v>56</v>
      </c>
      <c r="I13436" s="26">
        <v>43657.759780092601</v>
      </c>
      <c r="J13436" s="23" t="str">
        <f>HYPERLINK("https://www.spark-marketing.ru/Card/Person/715209", "ООО ""ЛЯ ЖАРДЕН КЕЙТЕРИНГ""")</f>
        <v>ООО "ЛЯ ЖАРДЕН КЕЙТЕРИНГ"</v>
      </c>
      <c r="K13436" s="24" t="s">
        <v>18055</v>
      </c>
      <c r="L13436" s="28" t="s">
        <v>51</v>
      </c>
      <c r="M13436" s="25">
        <v>394563</v>
      </c>
      <c r="N13436" s="27">
        <v>0.342395</v>
      </c>
    </row>
    <row r="13437" spans="1:14" hidden="1" outlineLevel="1" x14ac:dyDescent="0.2">
      <c r="A13437" s="23" t="str">
        <f>HYPERLINK("https://www.spark-marketing.ru/Card/Person/10607", "ГБУ ДСЗМ")</f>
        <v>ГБУ ДСЗМ</v>
      </c>
      <c r="B13437" s="24" t="s">
        <v>3052</v>
      </c>
      <c r="C13437" s="25">
        <v>600000</v>
      </c>
      <c r="D13437" s="22" t="s">
        <v>18054</v>
      </c>
      <c r="E13437" s="22" t="s">
        <v>96</v>
      </c>
      <c r="F13437" s="23" t="str">
        <f>HYPERLINK("https://www.spark-marketing.ru/Card/Lot/72048775", "Услуги по организации питания и ресторанного обслуживания для подготовки и проведения кубка Мэра Москвы по хоккею с шайбой")</f>
        <v>Услуги по организации питания и ресторанного обслуживания для подготовки и проведения кубка Мэра Москвы по хоккею с шайбой</v>
      </c>
      <c r="G13437" s="22" t="s">
        <v>56</v>
      </c>
      <c r="H13437" s="22" t="s">
        <v>56</v>
      </c>
      <c r="I13437" s="26">
        <v>43657.759780092601</v>
      </c>
      <c r="J13437" s="23" t="str">
        <f>HYPERLINK("https://www.spark-marketing.ru/Card/Person/5970918", "ООО ""ПРОФИ КЕЙТЕРИНГ""")</f>
        <v>ООО "ПРОФИ КЕЙТЕРИНГ"</v>
      </c>
      <c r="K13437" s="24" t="s">
        <v>11841</v>
      </c>
      <c r="L13437" s="28" t="s">
        <v>51</v>
      </c>
      <c r="M13437" s="25">
        <v>570000</v>
      </c>
      <c r="N13437" s="27">
        <v>0.05</v>
      </c>
    </row>
    <row r="13438" spans="1:14" hidden="1" outlineLevel="1" x14ac:dyDescent="0.2">
      <c r="A13438" s="23" t="str">
        <f>HYPERLINK("https://www.spark-marketing.ru/Card/Person/10607", "ГБУ ДСЗМ")</f>
        <v>ГБУ ДСЗМ</v>
      </c>
      <c r="B13438" s="24" t="s">
        <v>3052</v>
      </c>
      <c r="C13438" s="25">
        <v>600000</v>
      </c>
      <c r="D13438" s="22" t="s">
        <v>18054</v>
      </c>
      <c r="E13438" s="22" t="s">
        <v>96</v>
      </c>
      <c r="F13438" s="23" t="str">
        <f>HYPERLINK("https://www.spark-marketing.ru/Card/Lot/72048775", "Услуги по организации питания и ресторанного обслуживания для подготовки и проведения кубка Мэра Москвы по хоккею с шайбой")</f>
        <v>Услуги по организации питания и ресторанного обслуживания для подготовки и проведения кубка Мэра Москвы по хоккею с шайбой</v>
      </c>
      <c r="G13438" s="22" t="s">
        <v>56</v>
      </c>
      <c r="H13438" s="22" t="s">
        <v>56</v>
      </c>
      <c r="I13438" s="26">
        <v>43657.759780092601</v>
      </c>
      <c r="J13438" s="23" t="str">
        <f>HYPERLINK("https://www.spark-marketing.ru/Card/Person/6391853", "ООО ""АЛЬДЖЕНСА""")</f>
        <v>ООО "АЛЬДЖЕНСА"</v>
      </c>
      <c r="K13438" s="24" t="s">
        <v>2499</v>
      </c>
      <c r="L13438" s="28" t="s">
        <v>51</v>
      </c>
      <c r="M13438" s="25">
        <v>390000</v>
      </c>
      <c r="N13438" s="27">
        <v>0.35</v>
      </c>
    </row>
    <row r="13439" spans="1:14" x14ac:dyDescent="0.15">
      <c r="A13439" s="23" t="str">
        <f>HYPERLINK("https://www.spark-marketing.ru/Card/Person/64661", "ФГУП ""РАДОН""")</f>
        <v>ФГУП "РАДОН"</v>
      </c>
      <c r="B13439" s="24" t="s">
        <v>18052</v>
      </c>
      <c r="C13439" s="25">
        <v>21683194.079999998</v>
      </c>
      <c r="D13439" s="22" t="s">
        <v>18056</v>
      </c>
      <c r="E13439" s="22" t="s">
        <v>52</v>
      </c>
      <c r="F13439" s="23" t="str">
        <f>HYPERLINK("https://www.spark-marketing.ru/Card/Lot/72048587", "ЕИС №31908090325 Право заключения договора на оказание услуг по организации и обеспечению лечебно-профилактическим питанием работников ФГУП ""РАДОН"", занятых на работах с вредными и особо вредными условиями труда, организации и обеспечению буфетного...")</f>
        <v>ЕИС №31908090325 Право заключения договора на оказание услуг по организации и обеспечению лечебно-профилактическим питанием работников ФГУП "РАДОН", занятых на работах с вредными и особо вредными условиями труда, организации и обеспечению буфетного...</v>
      </c>
      <c r="G13439" s="22" t="s">
        <v>56</v>
      </c>
      <c r="H13439" s="22" t="s">
        <v>56</v>
      </c>
      <c r="I13439" s="26">
        <v>43657.762673611098</v>
      </c>
      <c r="J13439" s="28" t="s">
        <v>51</v>
      </c>
      <c r="K13439" s="28" t="s">
        <v>51</v>
      </c>
      <c r="L13439" s="28" t="s">
        <v>51</v>
      </c>
      <c r="M13439" s="28" t="s">
        <v>51</v>
      </c>
      <c r="N13439" s="28" t="s">
        <v>51</v>
      </c>
    </row>
    <row r="13440" spans="1:14" x14ac:dyDescent="0.15">
      <c r="A13440" s="23" t="str">
        <f>HYPERLINK("https://www.spark-marketing.ru/Card/Person/1082227", "МАОУ СОШ № 10")</f>
        <v>МАОУ СОШ № 10</v>
      </c>
      <c r="B13440" s="24" t="s">
        <v>18057</v>
      </c>
      <c r="C13440" s="25">
        <v>2229677</v>
      </c>
      <c r="D13440" s="22" t="s">
        <v>18058</v>
      </c>
      <c r="E13440" s="22" t="s">
        <v>362</v>
      </c>
      <c r="F13440" s="23" t="str">
        <f>HYPERLINK("https://www.spark-marketing.ru/Card/Lot/72039563", "Оказание услуг по организации горячего питания обучающихся МАОУ СОШ № 10 в период с 02.09.2019 по 31.12.2019")</f>
        <v>Оказание услуг по организации горячего питания обучающихся МАОУ СОШ № 10 в период с 02.09.2019 по 31.12.2019</v>
      </c>
      <c r="G13440" s="22" t="s">
        <v>174</v>
      </c>
      <c r="H13440" s="22" t="s">
        <v>174</v>
      </c>
      <c r="I13440" s="26">
        <v>43657.7657638889</v>
      </c>
      <c r="J13440" s="28" t="s">
        <v>51</v>
      </c>
      <c r="K13440" s="28" t="s">
        <v>51</v>
      </c>
      <c r="L13440" s="28" t="s">
        <v>51</v>
      </c>
      <c r="M13440" s="28" t="s">
        <v>51</v>
      </c>
      <c r="N13440" s="28" t="s">
        <v>51</v>
      </c>
    </row>
    <row r="13441" spans="1:14" x14ac:dyDescent="0.15">
      <c r="A13441" s="23" t="str">
        <f>HYPERLINK("https://www.spark-marketing.ru/Card/Person/100616", "ГБОУ СО «ШКОЛА-ИНТЕРНАТ АОП № 3 Г.САРАТОВА»")</f>
        <v>ГБОУ СО «ШКОЛА-ИНТЕРНАТ АОП № 3 Г.САРАТОВА»</v>
      </c>
      <c r="B13441" s="24" t="s">
        <v>18059</v>
      </c>
      <c r="C13441" s="25">
        <v>4381435</v>
      </c>
      <c r="D13441" s="22" t="s">
        <v>18060</v>
      </c>
      <c r="E13441" s="22" t="s">
        <v>48</v>
      </c>
      <c r="F13441" s="23" t="str">
        <f>HYPERLINK("https://www.spark-marketing.ru/Card/Lot/72047710", "Оказание услуг по организации ежедневного горячего питания")</f>
        <v>Оказание услуг по организации ежедневного горячего питания</v>
      </c>
      <c r="G13441" s="22" t="s">
        <v>351</v>
      </c>
      <c r="H13441" s="22" t="s">
        <v>351</v>
      </c>
      <c r="I13441" s="26">
        <v>43657.765381944402</v>
      </c>
      <c r="J13441" s="28" t="s">
        <v>51</v>
      </c>
      <c r="K13441" s="28" t="s">
        <v>51</v>
      </c>
      <c r="L13441" s="28" t="s">
        <v>51</v>
      </c>
      <c r="M13441" s="28" t="s">
        <v>51</v>
      </c>
      <c r="N13441" s="28" t="s">
        <v>51</v>
      </c>
    </row>
    <row r="13442" spans="1:14" hidden="1" outlineLevel="1" x14ac:dyDescent="0.2">
      <c r="A13442" s="23" t="str">
        <f>HYPERLINK("https://www.spark-marketing.ru/Card/Person/100616", "ГБОУ СО «ШКОЛА-ИНТЕРНАТ АОП № 3 Г.САРАТОВА»")</f>
        <v>ГБОУ СО «ШКОЛА-ИНТЕРНАТ АОП № 3 Г.САРАТОВА»</v>
      </c>
      <c r="B13442" s="24" t="s">
        <v>18059</v>
      </c>
      <c r="C13442" s="25">
        <v>4381435</v>
      </c>
      <c r="D13442" s="22" t="s">
        <v>18060</v>
      </c>
      <c r="E13442" s="22" t="s">
        <v>48</v>
      </c>
      <c r="F13442" s="23" t="str">
        <f>HYPERLINK("https://www.spark-marketing.ru/Card/Lot/72047710", "Оказание услуг по организации ежедневного горячего питания")</f>
        <v>Оказание услуг по организации ежедневного горячего питания</v>
      </c>
      <c r="G13442" s="22" t="s">
        <v>351</v>
      </c>
      <c r="H13442" s="22" t="s">
        <v>351</v>
      </c>
      <c r="I13442" s="26">
        <v>43657.765381944402</v>
      </c>
      <c r="J13442" s="23" t="str">
        <f>HYPERLINK("https://www.spark-marketing.ru/Card/Person/1471893", "Цибульская Нина Ивановна")</f>
        <v>Цибульская Нина Ивановна</v>
      </c>
      <c r="K13442" s="24" t="s">
        <v>18061</v>
      </c>
      <c r="L13442" s="28" t="s">
        <v>51</v>
      </c>
      <c r="M13442" s="25">
        <v>3154632.92</v>
      </c>
      <c r="N13442" s="27">
        <v>0.2800000639060034</v>
      </c>
    </row>
    <row r="13443" spans="1:14" hidden="1" outlineLevel="1" x14ac:dyDescent="0.2">
      <c r="A13443" s="23" t="str">
        <f>HYPERLINK("https://www.spark-marketing.ru/Card/Person/100616", "ГБОУ СО «ШКОЛА-ИНТЕРНАТ АОП № 3 Г.САРАТОВА»")</f>
        <v>ГБОУ СО «ШКОЛА-ИНТЕРНАТ АОП № 3 Г.САРАТОВА»</v>
      </c>
      <c r="B13443" s="24" t="s">
        <v>18059</v>
      </c>
      <c r="C13443" s="25">
        <v>4381435</v>
      </c>
      <c r="D13443" s="22" t="s">
        <v>18060</v>
      </c>
      <c r="E13443" s="22" t="s">
        <v>48</v>
      </c>
      <c r="F13443" s="23" t="str">
        <f>HYPERLINK("https://www.spark-marketing.ru/Card/Lot/72047710", "Оказание услуг по организации ежедневного горячего питания")</f>
        <v>Оказание услуг по организации ежедневного горячего питания</v>
      </c>
      <c r="G13443" s="22" t="s">
        <v>351</v>
      </c>
      <c r="H13443" s="22" t="s">
        <v>351</v>
      </c>
      <c r="I13443" s="26">
        <v>43657.765381944402</v>
      </c>
      <c r="J13443" s="23" t="str">
        <f>HYPERLINK("https://www.spark-marketing.ru/Card/Person/66182", "Иванушкина Оксана Геннадиевна")</f>
        <v>Иванушкина Оксана Геннадиевна</v>
      </c>
      <c r="K13443" s="24" t="s">
        <v>10151</v>
      </c>
      <c r="L13443" s="28" t="s">
        <v>51</v>
      </c>
      <c r="M13443" s="25">
        <v>4315713.46</v>
      </c>
      <c r="N13443" s="27">
        <v>1.5000003423535897E-2</v>
      </c>
    </row>
    <row r="13444" spans="1:14" ht="12.75" hidden="1" outlineLevel="1" x14ac:dyDescent="0.2">
      <c r="A13444" s="23" t="str">
        <f>HYPERLINK("https://www.spark-marketing.ru/Card/Person/100616", "ГБОУ СО «ШКОЛА-ИНТЕРНАТ АОП № 3 Г.САРАТОВА»")</f>
        <v>ГБОУ СО «ШКОЛА-ИНТЕРНАТ АОП № 3 Г.САРАТОВА»</v>
      </c>
      <c r="B13444" s="24" t="s">
        <v>18059</v>
      </c>
      <c r="C13444" s="25">
        <v>4381435</v>
      </c>
      <c r="D13444" s="22" t="s">
        <v>18060</v>
      </c>
      <c r="E13444" s="22" t="s">
        <v>48</v>
      </c>
      <c r="F13444" s="23" t="str">
        <f>HYPERLINK("https://www.spark-marketing.ru/Card/Lot/72047710", "Оказание услуг по организации ежедневного горячего питания")</f>
        <v>Оказание услуг по организации ежедневного горячего питания</v>
      </c>
      <c r="G13444" s="22" t="s">
        <v>351</v>
      </c>
      <c r="H13444" s="22" t="s">
        <v>351</v>
      </c>
      <c r="I13444" s="26">
        <v>43657.765381944402</v>
      </c>
      <c r="J13444" s="23" t="str">
        <f>HYPERLINK("https://www.spark-marketing.ru/Card/Person/4749311", "Барабонин Вадим Алексеевич")</f>
        <v>Барабонин Вадим Алексеевич</v>
      </c>
      <c r="K13444" s="24" t="s">
        <v>9155</v>
      </c>
      <c r="L13444" s="22" t="s">
        <v>10</v>
      </c>
      <c r="M13444" s="25">
        <v>3132725.74</v>
      </c>
      <c r="N13444" s="27">
        <v>0.28500006504718201</v>
      </c>
    </row>
    <row r="13445" spans="1:14" hidden="1" outlineLevel="1" x14ac:dyDescent="0.2">
      <c r="A13445" s="23" t="str">
        <f>HYPERLINK("https://www.spark-marketing.ru/Card/Person/100616", "ГБОУ СО «ШКОЛА-ИНТЕРНАТ АОП № 3 Г.САРАТОВА»")</f>
        <v>ГБОУ СО «ШКОЛА-ИНТЕРНАТ АОП № 3 Г.САРАТОВА»</v>
      </c>
      <c r="B13445" s="24" t="s">
        <v>18059</v>
      </c>
      <c r="C13445" s="25">
        <v>4381435</v>
      </c>
      <c r="D13445" s="22" t="s">
        <v>18060</v>
      </c>
      <c r="E13445" s="22" t="s">
        <v>48</v>
      </c>
      <c r="F13445" s="23" t="str">
        <f>HYPERLINK("https://www.spark-marketing.ru/Card/Lot/72047710", "Оказание услуг по организации ежедневного горячего питания")</f>
        <v>Оказание услуг по организации ежедневного горячего питания</v>
      </c>
      <c r="G13445" s="22" t="s">
        <v>351</v>
      </c>
      <c r="H13445" s="22" t="s">
        <v>351</v>
      </c>
      <c r="I13445" s="26">
        <v>43657.765381944402</v>
      </c>
      <c r="J13445" s="23" t="str">
        <f>HYPERLINK("https://www.spark-marketing.ru/Card/Person/94041", "ООО ""АЦТЕК""")</f>
        <v>ООО "АЦТЕК"</v>
      </c>
      <c r="K13445" s="24" t="s">
        <v>18062</v>
      </c>
      <c r="L13445" s="28" t="s">
        <v>51</v>
      </c>
      <c r="M13445" s="25">
        <v>3373704.72</v>
      </c>
      <c r="N13445" s="27">
        <v>0.23000005249421707</v>
      </c>
    </row>
    <row r="13446" spans="1:14" x14ac:dyDescent="0.15">
      <c r="A13446" s="23" t="str">
        <f>HYPERLINK("https://www.spark-marketing.ru/Card/Person/63059", "МБОУ ""СОШ № 72""")</f>
        <v>МБОУ "СОШ № 72"</v>
      </c>
      <c r="B13446" s="24" t="s">
        <v>18063</v>
      </c>
      <c r="C13446" s="25">
        <v>292320</v>
      </c>
      <c r="D13446" s="22" t="s">
        <v>18064</v>
      </c>
      <c r="E13446" s="22" t="s">
        <v>48</v>
      </c>
      <c r="F13446" s="23" t="str">
        <f>HYPERLINK("https://www.spark-marketing.ru/Card/Lot/72042656", "№ зз-23807-19 Оказание услуг по организации питания обучающихся")</f>
        <v>№ зз-23807-19 Оказание услуг по организации питания обучающихся</v>
      </c>
      <c r="G13446" s="22" t="s">
        <v>852</v>
      </c>
      <c r="H13446" s="22" t="s">
        <v>2477</v>
      </c>
      <c r="I13446" s="26">
        <v>43657.723611111098</v>
      </c>
      <c r="J13446" s="28" t="s">
        <v>51</v>
      </c>
      <c r="K13446" s="28" t="s">
        <v>51</v>
      </c>
      <c r="L13446" s="28" t="s">
        <v>51</v>
      </c>
      <c r="M13446" s="28" t="s">
        <v>51</v>
      </c>
      <c r="N13446" s="28" t="s">
        <v>51</v>
      </c>
    </row>
    <row r="13447" spans="1:14" ht="12.75" hidden="1" outlineLevel="1" x14ac:dyDescent="0.2">
      <c r="A13447" s="23" t="str">
        <f>HYPERLINK("https://www.spark-marketing.ru/Card/Person/63059", "МБОУ ""СОШ № 72""")</f>
        <v>МБОУ "СОШ № 72"</v>
      </c>
      <c r="B13447" s="24" t="s">
        <v>18063</v>
      </c>
      <c r="C13447" s="25">
        <v>292320</v>
      </c>
      <c r="D13447" s="22" t="s">
        <v>18064</v>
      </c>
      <c r="E13447" s="22" t="s">
        <v>48</v>
      </c>
      <c r="F13447" s="23" t="str">
        <f>HYPERLINK("https://www.spark-marketing.ru/Card/Lot/72042656", "№ зз-23807-19 Оказание услуг по организации питания обучающихся")</f>
        <v>№ зз-23807-19 Оказание услуг по организации питания обучающихся</v>
      </c>
      <c r="G13447" s="22" t="s">
        <v>852</v>
      </c>
      <c r="H13447" s="22" t="s">
        <v>2477</v>
      </c>
      <c r="I13447" s="26">
        <v>43657.723611111098</v>
      </c>
      <c r="J13447" s="23" t="str">
        <f>HYPERLINK("https://www.spark-marketing.ru/Card/Person/54079", "ООО ""МАНГО""")</f>
        <v>ООО "МАНГО"</v>
      </c>
      <c r="K13447" s="24" t="s">
        <v>18065</v>
      </c>
      <c r="L13447" s="22" t="s">
        <v>10</v>
      </c>
      <c r="M13447" s="25">
        <v>232394.4</v>
      </c>
      <c r="N13447" s="27">
        <v>0.20499999999999999</v>
      </c>
    </row>
    <row r="13448" spans="1:14" hidden="1" outlineLevel="1" x14ac:dyDescent="0.2">
      <c r="A13448" s="23" t="str">
        <f>HYPERLINK("https://www.spark-marketing.ru/Card/Person/63059", "МБОУ ""СОШ № 72""")</f>
        <v>МБОУ "СОШ № 72"</v>
      </c>
      <c r="B13448" s="24" t="s">
        <v>18063</v>
      </c>
      <c r="C13448" s="25">
        <v>292320</v>
      </c>
      <c r="D13448" s="22" t="s">
        <v>18064</v>
      </c>
      <c r="E13448" s="22" t="s">
        <v>48</v>
      </c>
      <c r="F13448" s="23" t="str">
        <f>HYPERLINK("https://www.spark-marketing.ru/Card/Lot/72042656", "№ зз-23807-19 Оказание услуг по организации питания обучающихся")</f>
        <v>№ зз-23807-19 Оказание услуг по организации питания обучающихся</v>
      </c>
      <c r="G13448" s="22" t="s">
        <v>852</v>
      </c>
      <c r="H13448" s="22" t="s">
        <v>2477</v>
      </c>
      <c r="I13448" s="26">
        <v>43657.723611111098</v>
      </c>
      <c r="J13448" s="23" t="str">
        <f>HYPERLINK("https://www.spark-marketing.ru/Card/Person/4535043", "ООО ""ВИНЕГРЕТ ГРУПП""")</f>
        <v>ООО "ВИНЕГРЕТ ГРУПП"</v>
      </c>
      <c r="K13448" s="24" t="s">
        <v>8660</v>
      </c>
      <c r="L13448" s="28" t="s">
        <v>51</v>
      </c>
      <c r="M13448" s="25">
        <v>233856</v>
      </c>
      <c r="N13448" s="27">
        <v>0.2</v>
      </c>
    </row>
    <row r="13449" spans="1:14" hidden="1" outlineLevel="1" x14ac:dyDescent="0.2">
      <c r="A13449" s="23" t="str">
        <f>HYPERLINK("https://www.spark-marketing.ru/Card/Person/63059", "МБОУ ""СОШ № 72""")</f>
        <v>МБОУ "СОШ № 72"</v>
      </c>
      <c r="B13449" s="24" t="s">
        <v>18063</v>
      </c>
      <c r="C13449" s="25">
        <v>292320</v>
      </c>
      <c r="D13449" s="22" t="s">
        <v>18064</v>
      </c>
      <c r="E13449" s="22" t="s">
        <v>48</v>
      </c>
      <c r="F13449" s="23" t="str">
        <f>HYPERLINK("https://www.spark-marketing.ru/Card/Lot/72042656", "№ зз-23807-19 Оказание услуг по организации питания обучающихся")</f>
        <v>№ зз-23807-19 Оказание услуг по организации питания обучающихся</v>
      </c>
      <c r="G13449" s="22" t="s">
        <v>852</v>
      </c>
      <c r="H13449" s="22" t="s">
        <v>2477</v>
      </c>
      <c r="I13449" s="26">
        <v>43657.723611111098</v>
      </c>
      <c r="J13449" s="23" t="str">
        <f>HYPERLINK("https://www.spark-marketing.ru/Card/Person/2026384", "ООО МЕДИЦИНСКИЙ ЦЕНТР ""ЖЕМЧУГ""")</f>
        <v>ООО МЕДИЦИНСКИЙ ЦЕНТР "ЖЕМЧУГ"</v>
      </c>
      <c r="K13449" s="24" t="s">
        <v>6350</v>
      </c>
      <c r="L13449" s="28" t="s">
        <v>51</v>
      </c>
      <c r="M13449" s="25">
        <v>292320</v>
      </c>
      <c r="N13449" s="27">
        <v>0</v>
      </c>
    </row>
    <row r="13450" spans="1:14" x14ac:dyDescent="0.2">
      <c r="A13450" s="23" t="str">
        <f>HYPERLINK("https://www.spark-marketing.ru/Card/Person/4390302", "ООО ""ГАЗПРОМ ТРАНСГАЗ САНКТ-ПЕТЕРБУРГ""")</f>
        <v>ООО "ГАЗПРОМ ТРАНСГАЗ САНКТ-ПЕТЕРБУРГ"</v>
      </c>
      <c r="B13450" s="24" t="s">
        <v>18066</v>
      </c>
      <c r="C13450" s="25">
        <v>19560558.600000001</v>
      </c>
      <c r="D13450" s="22" t="s">
        <v>18067</v>
      </c>
      <c r="E13450" s="22" t="s">
        <v>580</v>
      </c>
      <c r="F13450" s="23" t="str">
        <f>HYPERLINK("https://www.spark-marketing.ru/Card/Lot/72039903", "Оказание услуг по обеспечению питанием работников ООО «Газпром трансгаз Санкт-Петербург», отдыхающих по путевкам и проходящим реабилитационно-восстановительное лечение на базе отдыха «Голубой Факел» в 2020г. для нужд ООО «Газпром трансгаз Санкт-Петер...")</f>
        <v>Оказание услуг по обеспечению питанием работников ООО «Газпром трансгаз Санкт-Петербург», отдыхающих по путевкам и проходящим реабилитационно-восстановительное лечение на базе отдыха «Голубой Факел» в 2020г. для нужд ООО «Газпром трансгаз Санкт-Петер...</v>
      </c>
      <c r="G13450" s="22" t="s">
        <v>117</v>
      </c>
      <c r="H13450" s="22" t="s">
        <v>117</v>
      </c>
      <c r="I13450" s="26">
        <v>43657.719942129603</v>
      </c>
      <c r="J13450" s="28" t="s">
        <v>51</v>
      </c>
      <c r="K13450" s="28" t="s">
        <v>51</v>
      </c>
      <c r="L13450" s="22" t="s">
        <v>10</v>
      </c>
      <c r="M13450" s="25">
        <v>19481400</v>
      </c>
      <c r="N13450" s="27">
        <v>4.046847619167686E-3</v>
      </c>
    </row>
    <row r="13451" spans="1:14" x14ac:dyDescent="0.15">
      <c r="A13451" s="23" t="str">
        <f>HYPERLINK("https://www.spark-marketing.ru/Card/Person/56123", "УПРАВА РАЙОНА ЮЖНОЕ ТУШИНО ГОРОДА МОСКВЫ")</f>
        <v>УПРАВА РАЙОНА ЮЖНОЕ ТУШИНО ГОРОДА МОСКВЫ</v>
      </c>
      <c r="B13451" s="24" t="s">
        <v>18068</v>
      </c>
      <c r="C13451" s="25">
        <v>345750</v>
      </c>
      <c r="D13451" s="22" t="s">
        <v>18069</v>
      </c>
      <c r="E13451" s="22" t="s">
        <v>96</v>
      </c>
      <c r="F13451" s="23" t="str">
        <f>HYPERLINK("https://www.spark-marketing.ru/Card/Lot/72043406", "Оказание услуг по организации питания членов избирательных комиссий во время проведения выборов в районе Южное Тушино города Москвы")</f>
        <v>Оказание услуг по организации питания членов избирательных комиссий во время проведения выборов в районе Южное Тушино города Москвы</v>
      </c>
      <c r="G13451" s="22" t="s">
        <v>56</v>
      </c>
      <c r="H13451" s="22" t="s">
        <v>56</v>
      </c>
      <c r="I13451" s="26">
        <v>43657.729166666701</v>
      </c>
      <c r="J13451" s="28" t="s">
        <v>51</v>
      </c>
      <c r="K13451" s="28" t="s">
        <v>51</v>
      </c>
      <c r="L13451" s="28" t="s">
        <v>51</v>
      </c>
      <c r="M13451" s="28" t="s">
        <v>51</v>
      </c>
      <c r="N13451" s="28" t="s">
        <v>51</v>
      </c>
    </row>
    <row r="13452" spans="1:14" hidden="1" outlineLevel="1" x14ac:dyDescent="0.2">
      <c r="A13452" s="23" t="str">
        <f>HYPERLINK("https://www.spark-marketing.ru/Card/Person/56123", "УПРАВА РАЙОНА ЮЖНОЕ ТУШИНО ГОРОДА МОСКВЫ")</f>
        <v>УПРАВА РАЙОНА ЮЖНОЕ ТУШИНО ГОРОДА МОСКВЫ</v>
      </c>
      <c r="B13452" s="24" t="s">
        <v>18068</v>
      </c>
      <c r="C13452" s="25">
        <v>345750</v>
      </c>
      <c r="D13452" s="22" t="s">
        <v>18069</v>
      </c>
      <c r="E13452" s="22" t="s">
        <v>96</v>
      </c>
      <c r="F13452" s="23" t="str">
        <f>HYPERLINK("https://www.spark-marketing.ru/Card/Lot/72043406", "Оказание услуг по организации питания членов избирательных комиссий во время проведения выборов в районе Южное Тушино города Москвы")</f>
        <v>Оказание услуг по организации питания членов избирательных комиссий во время проведения выборов в районе Южное Тушино города Москвы</v>
      </c>
      <c r="G13452" s="22" t="s">
        <v>56</v>
      </c>
      <c r="H13452" s="22" t="s">
        <v>56</v>
      </c>
      <c r="I13452" s="26">
        <v>43657.729166666701</v>
      </c>
      <c r="J13452" s="23" t="str">
        <f>HYPERLINK("https://www.spark-marketing.ru/Card/Person/4052353", "ООО ""ЕВРОКОР""")</f>
        <v>ООО "ЕВРОКОР"</v>
      </c>
      <c r="K13452" s="24" t="s">
        <v>9698</v>
      </c>
      <c r="L13452" s="28" t="s">
        <v>51</v>
      </c>
      <c r="M13452" s="25">
        <v>342292.5</v>
      </c>
      <c r="N13452" s="27">
        <v>0.01</v>
      </c>
    </row>
    <row r="13453" spans="1:14" ht="12.75" hidden="1" outlineLevel="1" x14ac:dyDescent="0.2">
      <c r="A13453" s="23" t="str">
        <f>HYPERLINK("https://www.spark-marketing.ru/Card/Person/56123", "УПРАВА РАЙОНА ЮЖНОЕ ТУШИНО ГОРОДА МОСКВЫ")</f>
        <v>УПРАВА РАЙОНА ЮЖНОЕ ТУШИНО ГОРОДА МОСКВЫ</v>
      </c>
      <c r="B13453" s="24" t="s">
        <v>18068</v>
      </c>
      <c r="C13453" s="25">
        <v>345750</v>
      </c>
      <c r="D13453" s="22" t="s">
        <v>18069</v>
      </c>
      <c r="E13453" s="22" t="s">
        <v>96</v>
      </c>
      <c r="F13453" s="23" t="str">
        <f>HYPERLINK("https://www.spark-marketing.ru/Card/Lot/72043406", "Оказание услуг по организации питания членов избирательных комиссий во время проведения выборов в районе Южное Тушино города Москвы")</f>
        <v>Оказание услуг по организации питания членов избирательных комиссий во время проведения выборов в районе Южное Тушино города Москвы</v>
      </c>
      <c r="G13453" s="22" t="s">
        <v>56</v>
      </c>
      <c r="H13453" s="22" t="s">
        <v>56</v>
      </c>
      <c r="I13453" s="26">
        <v>43657.729166666701</v>
      </c>
      <c r="J13453" s="23" t="str">
        <f>HYPERLINK("https://www.spark-marketing.ru/Card/Person/6465902", "ООО ТД ""ИМПЕРИЯ ВКУСА""")</f>
        <v>ООО ТД "ИМПЕРИЯ ВКУСА"</v>
      </c>
      <c r="K13453" s="24" t="s">
        <v>18070</v>
      </c>
      <c r="L13453" s="22" t="s">
        <v>10</v>
      </c>
      <c r="M13453" s="25">
        <v>325005</v>
      </c>
      <c r="N13453" s="27">
        <v>0.06</v>
      </c>
    </row>
    <row r="13454" spans="1:14" x14ac:dyDescent="0.2">
      <c r="A13454" s="23" t="str">
        <f>HYPERLINK("https://www.spark-marketing.ru/Card/Person/4874743", "ГАУ ВО ""СК ""РОТОР""")</f>
        <v>ГАУ ВО "СК "РОТОР"</v>
      </c>
      <c r="B13454" s="24" t="s">
        <v>1208</v>
      </c>
      <c r="C13454" s="25">
        <v>346000</v>
      </c>
      <c r="D13454" s="22" t="s">
        <v>18071</v>
      </c>
      <c r="E13454" s="22" t="s">
        <v>769</v>
      </c>
      <c r="F13454" s="23" t="str">
        <f>HYPERLINK("https://www.spark-marketing.ru/Card/Lot/72038454", "Услуги по организации проживания и питания «Спортивной школы «Ротор»")</f>
        <v>Услуги по организации проживания и питания «Спортивной школы «Ротор»</v>
      </c>
      <c r="G13454" s="22" t="s">
        <v>1370</v>
      </c>
      <c r="H13454" s="22" t="s">
        <v>1370</v>
      </c>
      <c r="I13454" s="26">
        <v>43657.708368055602</v>
      </c>
      <c r="J13454" s="28" t="s">
        <v>51</v>
      </c>
      <c r="K13454" s="28" t="s">
        <v>51</v>
      </c>
      <c r="L13454" s="28" t="s">
        <v>51</v>
      </c>
      <c r="M13454" s="25">
        <v>346000</v>
      </c>
      <c r="N13454" s="27">
        <v>0</v>
      </c>
    </row>
    <row r="13455" spans="1:14" x14ac:dyDescent="0.15">
      <c r="A13455" s="23" t="str">
        <f>HYPERLINK("https://www.spark-marketing.ru/Card/Person/266957", "БУЗ ВО ВОКБ №1")</f>
        <v>БУЗ ВО ВОКБ №1</v>
      </c>
      <c r="B13455" s="24" t="s">
        <v>18072</v>
      </c>
      <c r="C13455" s="25">
        <v>634690.30000000005</v>
      </c>
      <c r="D13455" s="22" t="s">
        <v>18073</v>
      </c>
      <c r="E13455" s="22" t="s">
        <v>62</v>
      </c>
      <c r="F13455" s="23" t="str">
        <f>HYPERLINK("https://www.spark-marketing.ru/Card/Lot/72056416", "2019-04537_Поставка прочих материальных запасов (бланочная продукция)")</f>
        <v>2019-04537_Поставка прочих материальных запасов (бланочная продукция)</v>
      </c>
      <c r="G13455" s="22" t="s">
        <v>82</v>
      </c>
      <c r="H13455" s="22" t="s">
        <v>83</v>
      </c>
      <c r="I13455" s="26">
        <v>43657.721620370401</v>
      </c>
      <c r="J13455" s="23" t="str">
        <f>HYPERLINK("https://www.spark-marketing.ru/Card/Person/70363", "ООО ""ВИННЕР - ПРИНТ""")</f>
        <v>ООО "ВИННЕР - ПРИНТ"</v>
      </c>
      <c r="K13455" s="24" t="s">
        <v>3048</v>
      </c>
      <c r="L13455" s="28" t="s">
        <v>51</v>
      </c>
      <c r="M13455" s="28" t="s">
        <v>51</v>
      </c>
      <c r="N13455" s="28" t="s">
        <v>51</v>
      </c>
    </row>
    <row r="13456" spans="1:14" ht="12.75" hidden="1" outlineLevel="1" x14ac:dyDescent="0.2">
      <c r="A13456" s="23" t="str">
        <f>HYPERLINK("https://www.spark-marketing.ru/Card/Person/266957", "БУЗ ВО ВОКБ №1")</f>
        <v>БУЗ ВО ВОКБ №1</v>
      </c>
      <c r="B13456" s="24" t="s">
        <v>18072</v>
      </c>
      <c r="C13456" s="25">
        <v>634690.30000000005</v>
      </c>
      <c r="D13456" s="22" t="s">
        <v>18073</v>
      </c>
      <c r="E13456" s="22" t="s">
        <v>62</v>
      </c>
      <c r="F13456" s="23" t="str">
        <f>HYPERLINK("https://www.spark-marketing.ru/Card/Lot/72056416", "2019-04537_Поставка прочих материальных запасов (бланочная продукция)")</f>
        <v>2019-04537_Поставка прочих материальных запасов (бланочная продукция)</v>
      </c>
      <c r="G13456" s="22" t="s">
        <v>82</v>
      </c>
      <c r="H13456" s="22" t="s">
        <v>83</v>
      </c>
      <c r="I13456" s="26">
        <v>43657.721620370401</v>
      </c>
      <c r="J13456" s="23" t="str">
        <f>HYPERLINK("https://www.spark-marketing.ru/Card/Person/70363", "ООО ""ВИННЕР - ПРИНТ""")</f>
        <v>ООО "ВИННЕР - ПРИНТ"</v>
      </c>
      <c r="K13456" s="24" t="s">
        <v>3048</v>
      </c>
      <c r="L13456" s="22" t="s">
        <v>10</v>
      </c>
      <c r="M13456" s="25">
        <v>631490.30000000005</v>
      </c>
      <c r="N13456" s="27">
        <v>5.0418290621425917E-3</v>
      </c>
    </row>
    <row r="13457" spans="1:14" x14ac:dyDescent="0.15">
      <c r="A13457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3457" s="24" t="s">
        <v>18074</v>
      </c>
      <c r="C13457" s="25">
        <v>2490000</v>
      </c>
      <c r="D13457" s="22" t="s">
        <v>18075</v>
      </c>
      <c r="E13457" s="22" t="s">
        <v>48</v>
      </c>
      <c r="F13457" s="23" t="str">
        <f>HYPERLINK("https://www.spark-marketing.ru/Card/Lot/72046700", "Оказание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району")</f>
        <v>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</v>
      </c>
      <c r="G13457" s="22" t="s">
        <v>925</v>
      </c>
      <c r="H13457" s="22" t="s">
        <v>18076</v>
      </c>
      <c r="I13457" s="26">
        <v>43657.724189814799</v>
      </c>
      <c r="J13457" s="28" t="s">
        <v>51</v>
      </c>
      <c r="K13457" s="28" t="s">
        <v>51</v>
      </c>
      <c r="L13457" s="28" t="s">
        <v>51</v>
      </c>
      <c r="M13457" s="28" t="s">
        <v>51</v>
      </c>
      <c r="N13457" s="28" t="s">
        <v>51</v>
      </c>
    </row>
    <row r="13458" spans="1:14" hidden="1" outlineLevel="1" x14ac:dyDescent="0.2">
      <c r="A13458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3458" s="24" t="s">
        <v>18074</v>
      </c>
      <c r="C13458" s="25">
        <v>2490000</v>
      </c>
      <c r="D13458" s="22" t="s">
        <v>18075</v>
      </c>
      <c r="E13458" s="22" t="s">
        <v>48</v>
      </c>
      <c r="F13458" s="23" t="str">
        <f>HYPERLINK("https://www.spark-marketing.ru/Card/Lot/72046700", "Оказание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району")</f>
        <v>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</v>
      </c>
      <c r="G13458" s="22" t="s">
        <v>925</v>
      </c>
      <c r="H13458" s="22" t="s">
        <v>18076</v>
      </c>
      <c r="I13458" s="26">
        <v>43657.724189814799</v>
      </c>
      <c r="J13458" s="23" t="str">
        <f>HYPERLINK("https://www.spark-marketing.ru/Card/Person/943735", "Сиюхова Бэла Каплановна")</f>
        <v>Сиюхова Бэла Каплановна</v>
      </c>
      <c r="K13458" s="24" t="s">
        <v>11121</v>
      </c>
      <c r="L13458" s="28" t="s">
        <v>51</v>
      </c>
      <c r="M13458" s="25">
        <v>1292737.28</v>
      </c>
      <c r="N13458" s="27">
        <v>0.4808284016064257</v>
      </c>
    </row>
    <row r="13459" spans="1:14" ht="12.75" hidden="1" outlineLevel="1" x14ac:dyDescent="0.2">
      <c r="A13459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3459" s="24" t="s">
        <v>18074</v>
      </c>
      <c r="C13459" s="25">
        <v>2490000</v>
      </c>
      <c r="D13459" s="22" t="s">
        <v>18075</v>
      </c>
      <c r="E13459" s="22" t="s">
        <v>48</v>
      </c>
      <c r="F13459" s="23" t="str">
        <f>HYPERLINK("https://www.spark-marketing.ru/Card/Lot/72046700", "Оказание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району")</f>
        <v>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</v>
      </c>
      <c r="G13459" s="22" t="s">
        <v>925</v>
      </c>
      <c r="H13459" s="22" t="s">
        <v>18076</v>
      </c>
      <c r="I13459" s="26">
        <v>43657.724189814799</v>
      </c>
      <c r="J13459" s="23" t="str">
        <f>HYPERLINK("https://www.spark-marketing.ru/Card/Person/6617631", "Провоторова Мария Кирилловна")</f>
        <v>Провоторова Мария Кирилловна</v>
      </c>
      <c r="K13459" s="24" t="s">
        <v>3949</v>
      </c>
      <c r="L13459" s="22" t="s">
        <v>10</v>
      </c>
      <c r="M13459" s="25">
        <v>1280287.28</v>
      </c>
      <c r="N13459" s="27">
        <v>0.48582840160642571</v>
      </c>
    </row>
    <row r="13460" spans="1:14" hidden="1" outlineLevel="1" x14ac:dyDescent="0.2">
      <c r="A13460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3460" s="24" t="s">
        <v>18074</v>
      </c>
      <c r="C13460" s="25">
        <v>2490000</v>
      </c>
      <c r="D13460" s="22" t="s">
        <v>18075</v>
      </c>
      <c r="E13460" s="22" t="s">
        <v>48</v>
      </c>
      <c r="F13460" s="23" t="str">
        <f>HYPERLINK("https://www.spark-marketing.ru/Card/Lot/72046700", "Оказание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району")</f>
        <v>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</v>
      </c>
      <c r="G13460" s="22" t="s">
        <v>925</v>
      </c>
      <c r="H13460" s="22" t="s">
        <v>18076</v>
      </c>
      <c r="I13460" s="26">
        <v>43657.724189814799</v>
      </c>
      <c r="J13460" s="23" t="str">
        <f>HYPERLINK("https://www.spark-marketing.ru/Card/Person/941707", "Христенко Людмила Владимировна")</f>
        <v>Христенко Людмила Владимировна</v>
      </c>
      <c r="K13460" s="24" t="s">
        <v>8586</v>
      </c>
      <c r="L13460" s="28" t="s">
        <v>51</v>
      </c>
      <c r="M13460" s="25">
        <v>1417237.28</v>
      </c>
      <c r="N13460" s="27">
        <v>0.43082840160642571</v>
      </c>
    </row>
    <row r="13461" spans="1:14" x14ac:dyDescent="0.2">
      <c r="A13461" s="23" t="str">
        <f>HYPERLINK("https://www.spark-marketing.ru/Card/Person/1036783", "МБОУ АКАДЕМИЧЕСКИЙ ЛИЦЕЙ ИМ. Г.А. ПСАХЬЕ")</f>
        <v>МБОУ АКАДЕМИЧЕСКИЙ ЛИЦЕЙ ИМ. Г.А. ПСАХЬЕ</v>
      </c>
      <c r="B13461" s="24" t="s">
        <v>18077</v>
      </c>
      <c r="C13461" s="25">
        <v>2003656</v>
      </c>
      <c r="D13461" s="22" t="s">
        <v>18078</v>
      </c>
      <c r="E13461" s="22" t="s">
        <v>48</v>
      </c>
      <c r="F13461" s="23" t="str">
        <f>HYPERLINK("https://www.spark-marketing.ru/Card/Lot/72049299", "услуги по обеспечению питанием отдельных категорий обучающихся и обучающихся с ограниченными возможностями здоровья муниципального бюджетного общеобразовательного учреждения  Академического лицея г. Томска имени Г.А. Псахье.")</f>
        <v>услуги по обеспечению питанием отдельных категорий обучающихся и обучающихся с ограниченными возможностями здоровья муниципального бюджетного общеобразовательного учреждения  Академического лицея г. Томска имени Г.А. Псахье.</v>
      </c>
      <c r="G13461" s="22" t="s">
        <v>149</v>
      </c>
      <c r="H13461" s="22" t="s">
        <v>149</v>
      </c>
      <c r="I13461" s="26">
        <v>43657.722106481502</v>
      </c>
      <c r="J13461" s="23" t="str">
        <f>HYPERLINK("https://www.spark-marketing.ru/Card/Person/837643", "Шнурко Наталья Александровна")</f>
        <v>Шнурко Наталья Александровна</v>
      </c>
      <c r="K13461" s="24" t="s">
        <v>17859</v>
      </c>
      <c r="L13461" s="28" t="s">
        <v>51</v>
      </c>
      <c r="M13461" s="25">
        <v>2003656</v>
      </c>
      <c r="N13461" s="27">
        <v>0</v>
      </c>
    </row>
    <row r="13462" spans="1:14" x14ac:dyDescent="0.15">
      <c r="A13462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3462" s="24" t="s">
        <v>18074</v>
      </c>
      <c r="C13462" s="25">
        <v>2490000</v>
      </c>
      <c r="D13462" s="22" t="s">
        <v>18079</v>
      </c>
      <c r="E13462" s="22" t="s">
        <v>48</v>
      </c>
      <c r="F13462" s="23" t="str">
        <f>HYPERLINK("https://www.spark-marketing.ru/Card/Lot/72046665", "Оказание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району")</f>
        <v>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</v>
      </c>
      <c r="G13462" s="22" t="s">
        <v>925</v>
      </c>
      <c r="H13462" s="22" t="s">
        <v>18076</v>
      </c>
      <c r="I13462" s="26">
        <v>43657.691053240698</v>
      </c>
      <c r="J13462" s="28" t="s">
        <v>51</v>
      </c>
      <c r="K13462" s="28" t="s">
        <v>51</v>
      </c>
      <c r="L13462" s="28" t="s">
        <v>51</v>
      </c>
      <c r="M13462" s="28" t="s">
        <v>51</v>
      </c>
      <c r="N13462" s="28" t="s">
        <v>51</v>
      </c>
    </row>
    <row r="13463" spans="1:14" hidden="1" outlineLevel="1" x14ac:dyDescent="0.2">
      <c r="A13463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3463" s="24" t="s">
        <v>18074</v>
      </c>
      <c r="C13463" s="25">
        <v>2490000</v>
      </c>
      <c r="D13463" s="22" t="s">
        <v>18079</v>
      </c>
      <c r="E13463" s="22" t="s">
        <v>48</v>
      </c>
      <c r="F13463" s="23" t="str">
        <f>HYPERLINK("https://www.spark-marketing.ru/Card/Lot/72046665", "Оказание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району")</f>
        <v>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</v>
      </c>
      <c r="G13463" s="22" t="s">
        <v>925</v>
      </c>
      <c r="H13463" s="22" t="s">
        <v>18076</v>
      </c>
      <c r="I13463" s="26">
        <v>43657.691053240698</v>
      </c>
      <c r="J13463" s="23" t="str">
        <f>HYPERLINK("https://www.spark-marketing.ru/Card/Person/943735", "Сиюхова Бэла Каплановна")</f>
        <v>Сиюхова Бэла Каплановна</v>
      </c>
      <c r="K13463" s="24" t="s">
        <v>11121</v>
      </c>
      <c r="L13463" s="28" t="s">
        <v>51</v>
      </c>
      <c r="M13463" s="25">
        <v>1137738.47</v>
      </c>
      <c r="N13463" s="27">
        <v>0.54307691967871485</v>
      </c>
    </row>
    <row r="13464" spans="1:14" ht="12.75" hidden="1" outlineLevel="1" x14ac:dyDescent="0.2">
      <c r="A13464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3464" s="24" t="s">
        <v>18074</v>
      </c>
      <c r="C13464" s="25">
        <v>2490000</v>
      </c>
      <c r="D13464" s="22" t="s">
        <v>18079</v>
      </c>
      <c r="E13464" s="22" t="s">
        <v>48</v>
      </c>
      <c r="F13464" s="23" t="str">
        <f>HYPERLINK("https://www.spark-marketing.ru/Card/Lot/72046665", "Оказание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району")</f>
        <v>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</v>
      </c>
      <c r="G13464" s="22" t="s">
        <v>925</v>
      </c>
      <c r="H13464" s="22" t="s">
        <v>18076</v>
      </c>
      <c r="I13464" s="26">
        <v>43657.691053240698</v>
      </c>
      <c r="J13464" s="23" t="str">
        <f>HYPERLINK("https://www.spark-marketing.ru/Card/Person/6617631", "Провоторова Мария Кирилловна")</f>
        <v>Провоторова Мария Кирилловна</v>
      </c>
      <c r="K13464" s="24" t="s">
        <v>3949</v>
      </c>
      <c r="L13464" s="22" t="s">
        <v>10</v>
      </c>
      <c r="M13464" s="25">
        <v>1125288.47</v>
      </c>
      <c r="N13464" s="27">
        <v>0.54807691967871486</v>
      </c>
    </row>
    <row r="13465" spans="1:14" hidden="1" outlineLevel="1" x14ac:dyDescent="0.2">
      <c r="A13465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3465" s="24" t="s">
        <v>18074</v>
      </c>
      <c r="C13465" s="25">
        <v>2490000</v>
      </c>
      <c r="D13465" s="22" t="s">
        <v>18079</v>
      </c>
      <c r="E13465" s="22" t="s">
        <v>48</v>
      </c>
      <c r="F13465" s="23" t="str">
        <f>HYPERLINK("https://www.spark-marketing.ru/Card/Lot/72046665", "Оказание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району")</f>
        <v>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</v>
      </c>
      <c r="G13465" s="22" t="s">
        <v>925</v>
      </c>
      <c r="H13465" s="22" t="s">
        <v>18076</v>
      </c>
      <c r="I13465" s="26">
        <v>43657.691053240698</v>
      </c>
      <c r="J13465" s="23" t="str">
        <f>HYPERLINK("https://www.spark-marketing.ru/Card/Person/941707", "Христенко Людмила Владимировна")</f>
        <v>Христенко Людмила Владимировна</v>
      </c>
      <c r="K13465" s="24" t="s">
        <v>8586</v>
      </c>
      <c r="L13465" s="28" t="s">
        <v>51</v>
      </c>
      <c r="M13465" s="25">
        <v>1262238.47</v>
      </c>
      <c r="N13465" s="27">
        <v>0.49307691967871486</v>
      </c>
    </row>
    <row r="13466" spans="1:14" x14ac:dyDescent="0.15">
      <c r="A13466" s="23" t="str">
        <f>HYPERLINK("https://www.spark-marketing.ru/Card/Person/996298", "МАОУ СОШ №13")</f>
        <v>МАОУ СОШ №13</v>
      </c>
      <c r="B13466" s="24" t="s">
        <v>18080</v>
      </c>
      <c r="C13466" s="25">
        <v>2679412.7000000002</v>
      </c>
      <c r="D13466" s="22" t="s">
        <v>18081</v>
      </c>
      <c r="E13466" s="22" t="s">
        <v>362</v>
      </c>
      <c r="F13466" s="23" t="str">
        <f>HYPERLINK("https://www.spark-marketing.ru/Card/Lot/72035108", "Оказание услуг по организации и обеспечению горячим питанием обучающихся МАОУ СОШ № 13")</f>
        <v>Оказание услуг по организации и обеспечению горячим питанием обучающихся МАОУ СОШ № 13</v>
      </c>
      <c r="G13466" s="22" t="s">
        <v>174</v>
      </c>
      <c r="H13466" s="22" t="s">
        <v>17649</v>
      </c>
      <c r="I13466" s="26">
        <v>43657.675925925898</v>
      </c>
      <c r="J13466" s="28" t="s">
        <v>51</v>
      </c>
      <c r="K13466" s="28" t="s">
        <v>51</v>
      </c>
      <c r="L13466" s="28" t="s">
        <v>51</v>
      </c>
      <c r="M13466" s="28" t="s">
        <v>51</v>
      </c>
      <c r="N13466" s="28" t="s">
        <v>51</v>
      </c>
    </row>
    <row r="13467" spans="1:14" x14ac:dyDescent="0.15">
      <c r="A13467" s="23" t="str">
        <f>HYPERLINK("https://www.spark-marketing.ru/Card/Person/1402596", "МАДОУ ""ДЕТСКИЙ САД № 97"" Г. ПЕРМИ")</f>
        <v>МАДОУ "ДЕТСКИЙ САД № 97" Г. ПЕРМИ</v>
      </c>
      <c r="B13467" s="24" t="s">
        <v>18082</v>
      </c>
      <c r="C13467" s="25">
        <v>31770478.699999999</v>
      </c>
      <c r="D13467" s="22" t="s">
        <v>18083</v>
      </c>
      <c r="E13467" s="22" t="s">
        <v>362</v>
      </c>
      <c r="F13467" s="23" t="str">
        <f>HYPERLINK("https://www.spark-marketing.ru/Card/Lot/72034088", "Оказание услуги по организации питания воспитанников в МАДОУ МАДОУ «Детский сад № 97» г. Перми по адресам: 614023 г. Пермь; ул. Адмирала Ушакова, 28 а, г. Пермь, ул. Сокольская, 20")</f>
        <v>Оказание услуги по организации питания воспитанников в МАДОУ МАДОУ «Детский сад № 97» г. Перми по адресам: 614023 г. Пермь; ул. Адмирала Ушакова, 28 а, г. Пермь, ул. Сокольская, 20</v>
      </c>
      <c r="G13467" s="22" t="s">
        <v>153</v>
      </c>
      <c r="H13467" s="22" t="s">
        <v>153</v>
      </c>
      <c r="I13467" s="26">
        <v>43657.670555555596</v>
      </c>
      <c r="J13467" s="28" t="s">
        <v>51</v>
      </c>
      <c r="K13467" s="28" t="s">
        <v>51</v>
      </c>
      <c r="L13467" s="28" t="s">
        <v>51</v>
      </c>
      <c r="M13467" s="28" t="s">
        <v>51</v>
      </c>
      <c r="N13467" s="28" t="s">
        <v>51</v>
      </c>
    </row>
    <row r="13468" spans="1:14" x14ac:dyDescent="0.2">
      <c r="A13468" s="23" t="str">
        <f>HYPERLINK("https://www.spark-marketing.ru/Card/Person/42039", "МБОУ ""РОЩИНСКАЯ СОШ""")</f>
        <v>МБОУ "РОЩИНСКАЯ СОШ"</v>
      </c>
      <c r="B13468" s="24" t="s">
        <v>18084</v>
      </c>
      <c r="C13468" s="25">
        <v>2810299.42</v>
      </c>
      <c r="D13468" s="22" t="s">
        <v>18085</v>
      </c>
      <c r="E13468" s="22" t="s">
        <v>48</v>
      </c>
      <c r="F13468" s="23" t="str">
        <f>HYPERLINK("https://www.spark-marketing.ru/Card/Lot/72049020", "Оказание услуг по организации питания для льготных категорий обучающихся и обеспечение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обеспечение молоком (кисломолочными продуктами) обучающихся 1-4 классов</v>
      </c>
      <c r="G13468" s="22" t="s">
        <v>162</v>
      </c>
      <c r="H13468" s="22" t="s">
        <v>5558</v>
      </c>
      <c r="I13468" s="26">
        <v>43657.691851851901</v>
      </c>
      <c r="J13468" s="23" t="str">
        <f>HYPERLINK("https://www.spark-marketing.ru/Card/Person/42095", "ООО ""КОМБИНАТ СОЦИАЛЬНОГО ПИТАНИЯ""")</f>
        <v>ООО "КОМБИНАТ СОЦИАЛЬНОГО ПИТАНИЯ"</v>
      </c>
      <c r="K13468" s="24" t="s">
        <v>12318</v>
      </c>
      <c r="L13468" s="28" t="s">
        <v>51</v>
      </c>
      <c r="M13468" s="25">
        <v>2810299.42</v>
      </c>
      <c r="N13468" s="27">
        <v>0</v>
      </c>
    </row>
    <row r="13469" spans="1:14" x14ac:dyDescent="0.15">
      <c r="A13469" s="23" t="str">
        <f>HYPERLINK("https://www.spark-marketing.ru/Card/Person/53844", "УМВД РОССИИ ПО Г. КОМСОМОЛЬСКУ-НА-АМУРЕ")</f>
        <v>УМВД РОССИИ ПО Г. КОМСОМОЛЬСКУ-НА-АМУРЕ</v>
      </c>
      <c r="B13469" s="24" t="s">
        <v>18086</v>
      </c>
      <c r="C13469" s="25">
        <v>1922116.68</v>
      </c>
      <c r="D13469" s="22" t="s">
        <v>18087</v>
      </c>
      <c r="E13469" s="22" t="s">
        <v>48</v>
      </c>
      <c r="F13469" s="23" t="str">
        <f>HYPERLINK("https://www.spark-marketing.ru/Card/Lot/72050539", "Оказание услуг по обеспечению горячим трёхразовым питанием лиц, содержащихся в СПАА и ИВС УМВД России по г. Комсомольску-на-Амуре")</f>
        <v>Оказание услуг по обеспечению горячим трёхразовым питанием лиц, содержащихся в СПАА и ИВС УМВД России по г. Комсомольску-на-Амуре</v>
      </c>
      <c r="G13469" s="22" t="s">
        <v>1096</v>
      </c>
      <c r="H13469" s="22" t="s">
        <v>4299</v>
      </c>
      <c r="I13469" s="26">
        <v>43657.677604166704</v>
      </c>
      <c r="J13469" s="28" t="s">
        <v>51</v>
      </c>
      <c r="K13469" s="28" t="s">
        <v>51</v>
      </c>
      <c r="L13469" s="28" t="s">
        <v>51</v>
      </c>
      <c r="M13469" s="28" t="s">
        <v>51</v>
      </c>
      <c r="N13469" s="28" t="s">
        <v>51</v>
      </c>
    </row>
    <row r="13470" spans="1:14" x14ac:dyDescent="0.15">
      <c r="A13470" s="23" t="str">
        <f>HYPERLINK("https://www.spark-marketing.ru/Card/Person/102358", "ОТДЕЛ МВД РОССИИ ПО АШИНСКОМУ РАЙОНУ ЧЕЛЯБИНСКОЙ ОБЛАСТИ")</f>
        <v>ОТДЕЛ МВД РОССИИ ПО АШИНСКОМУ РАЙОНУ ЧЕЛЯБИНСКОЙ ОБЛАСТИ</v>
      </c>
      <c r="B13470" s="24" t="s">
        <v>5803</v>
      </c>
      <c r="C13470" s="25">
        <v>200000</v>
      </c>
      <c r="D13470" s="22" t="s">
        <v>18088</v>
      </c>
      <c r="E13470" s="22" t="s">
        <v>48</v>
      </c>
      <c r="F13470" s="23" t="str">
        <f>HYPERLINK("https://www.spark-marketing.ru/Card/Lot/72037103", "Услуги   по обеспечению питанием административно-арестованных лиц содержащихся в ИВС")</f>
        <v>Услуги   по обеспечению питанием административно-арестованных лиц содержащихся в ИВС</v>
      </c>
      <c r="G13470" s="22" t="s">
        <v>469</v>
      </c>
      <c r="H13470" s="22" t="s">
        <v>18089</v>
      </c>
      <c r="I13470" s="26">
        <v>43657.666666666701</v>
      </c>
      <c r="J13470" s="28" t="s">
        <v>51</v>
      </c>
      <c r="K13470" s="28" t="s">
        <v>51</v>
      </c>
      <c r="L13470" s="28" t="s">
        <v>51</v>
      </c>
      <c r="M13470" s="28" t="s">
        <v>51</v>
      </c>
      <c r="N13470" s="28" t="s">
        <v>51</v>
      </c>
    </row>
    <row r="13471" spans="1:14" x14ac:dyDescent="0.15">
      <c r="A13471" s="23" t="str">
        <f>HYPERLINK("https://www.spark-marketing.ru/Card/Person/6620470", "ГОБУЗ МОКМЦ")</f>
        <v>ГОБУЗ МОКМЦ</v>
      </c>
      <c r="B13471" s="24" t="s">
        <v>2081</v>
      </c>
      <c r="C13471" s="25">
        <v>1744432.95</v>
      </c>
      <c r="D13471" s="22" t="s">
        <v>18090</v>
      </c>
      <c r="E13471" s="22" t="s">
        <v>603</v>
      </c>
      <c r="F13471" s="23" t="str">
        <f>HYPERLINK("https://www.spark-marketing.ru/Card/Lot/72062831", "Оказание услуг по поверке средств измерения")</f>
        <v>Оказание услуг по поверке средств измерения</v>
      </c>
      <c r="G13471" s="22" t="s">
        <v>51</v>
      </c>
      <c r="H13471" s="22" t="s">
        <v>51</v>
      </c>
      <c r="I13471" s="26">
        <v>43657.706481481502</v>
      </c>
      <c r="J13471" s="23" t="str">
        <f>HYPERLINK("https://www.spark-marketing.ru/Card/Person/373775", "ФБУ ""МУРМАНСКИЙ ЦСМ""")</f>
        <v>ФБУ "МУРМАНСКИЙ ЦСМ"</v>
      </c>
      <c r="K13471" s="24" t="s">
        <v>18091</v>
      </c>
      <c r="L13471" s="22" t="s">
        <v>10</v>
      </c>
      <c r="M13471" s="28" t="s">
        <v>51</v>
      </c>
      <c r="N13471" s="28" t="s">
        <v>51</v>
      </c>
    </row>
    <row r="13472" spans="1:14" x14ac:dyDescent="0.2">
      <c r="A13472" s="23" t="str">
        <f>HYPERLINK("https://www.spark-marketing.ru/Card/Person/1402596", "МАДОУ ""ДЕТСКИЙ САД № 97"" Г. ПЕРМИ")</f>
        <v>МАДОУ "ДЕТСКИЙ САД № 97" Г. ПЕРМИ</v>
      </c>
      <c r="B13472" s="24" t="s">
        <v>18082</v>
      </c>
      <c r="C13472" s="25">
        <v>31770478.699999999</v>
      </c>
      <c r="D13472" s="22" t="s">
        <v>18092</v>
      </c>
      <c r="E13472" s="22" t="s">
        <v>362</v>
      </c>
      <c r="F13472" s="23" t="str">
        <f>HYPERLINK("https://www.spark-marketing.ru/Card/Lot/72035167", "Оказание услуги по организации питания воспитанников в МАДОУ МАДОУ «Детский сад № 97» г. Перми по адресам: 614023 г. Пермь; ул. Адмирала Ушакова, 28 а, г. Пермь, ул. Сокольская, 20")</f>
        <v>Оказание услуги по организации питания воспитанников в МАДОУ МАДОУ «Детский сад № 97» г. Перми по адресам: 614023 г. Пермь; ул. Адмирала Ушакова, 28 а, г. Пермь, ул. Сокольская, 20</v>
      </c>
      <c r="G13472" s="22" t="s">
        <v>153</v>
      </c>
      <c r="H13472" s="22" t="s">
        <v>153</v>
      </c>
      <c r="I13472" s="26">
        <v>43657.6874074074</v>
      </c>
      <c r="J13472" s="28" t="s">
        <v>51</v>
      </c>
      <c r="K13472" s="28" t="s">
        <v>51</v>
      </c>
      <c r="L13472" s="28" t="s">
        <v>51</v>
      </c>
      <c r="M13472" s="25">
        <v>31770000</v>
      </c>
      <c r="N13472" s="27">
        <v>1.506744687482471E-5</v>
      </c>
    </row>
    <row r="13473" spans="1:14" x14ac:dyDescent="0.15">
      <c r="A13473" s="23" t="str">
        <f>HYPERLINK("https://www.spark-marketing.ru/Card/Person/4344124", "ДЕПЗДРАВ ЮГРЫ")</f>
        <v>ДЕПЗДРАВ ЮГРЫ</v>
      </c>
      <c r="B13473" s="24" t="s">
        <v>6783</v>
      </c>
      <c r="C13473" s="25">
        <v>3119850</v>
      </c>
      <c r="D13473" s="22" t="s">
        <v>18093</v>
      </c>
      <c r="E13473" s="22" t="s">
        <v>86</v>
      </c>
      <c r="F13473" s="23" t="str">
        <f>HYPERLINK("https://www.spark-marketing.ru/Card/Lot/72047076", "Оказание услуг санаторно-курортного лечения взрослому населению с хроническими болезнями нервной, эндокринной системы, расстройствами питания и нарушения обмена веществ, органов пищеварения, костно-мышечной системы")</f>
        <v>Оказание услуг санаторно-курортного лечения взрослому населению с хроническими болезнями нервной, эндокринной системы, расстройствами питания и нарушения обмена веществ, органов пищеварения, костно-мышечной системы</v>
      </c>
      <c r="G13473" s="22" t="s">
        <v>97</v>
      </c>
      <c r="H13473" s="22" t="s">
        <v>98</v>
      </c>
      <c r="I13473" s="26">
        <v>43657.686076388898</v>
      </c>
      <c r="J13473" s="23" t="str">
        <f>HYPERLINK("https://www.spark-marketing.ru/Card/Person/2580663", "ООО ЦР ""НЕФТЯНИК САМОТЛОРА""")</f>
        <v>ООО ЦР "НЕФТЯНИК САМОТЛОРА"</v>
      </c>
      <c r="K13473" s="24" t="s">
        <v>6785</v>
      </c>
      <c r="L13473" s="22" t="s">
        <v>10</v>
      </c>
      <c r="M13473" s="28" t="s">
        <v>51</v>
      </c>
      <c r="N13473" s="28" t="s">
        <v>51</v>
      </c>
    </row>
    <row r="13474" spans="1:14" ht="12.75" x14ac:dyDescent="0.2">
      <c r="A13474" s="23" t="str">
        <f>HYPERLINK("https://www.spark-marketing.ru/Card/Person/1039850", "МОУ СОШ № 2 ГОРОДА УНЕЧА БРЯНСКОЙ ОБЛАСТИ")</f>
        <v>МОУ СОШ № 2 ГОРОДА УНЕЧА БРЯНСКОЙ ОБЛАСТИ</v>
      </c>
      <c r="B13474" s="24" t="s">
        <v>18094</v>
      </c>
      <c r="C13474" s="25">
        <v>414630</v>
      </c>
      <c r="D13474" s="22" t="s">
        <v>18095</v>
      </c>
      <c r="E13474" s="22" t="s">
        <v>48</v>
      </c>
      <c r="F13474" s="23" t="str">
        <f>HYPERLINK("https://www.spark-marketing.ru/Card/Lot/72043391", "Услуги по организации горячего питания для учащихся школы")</f>
        <v>Услуги по организации горячего питания для учащихся школы</v>
      </c>
      <c r="G13474" s="22" t="s">
        <v>475</v>
      </c>
      <c r="H13474" s="22" t="s">
        <v>6226</v>
      </c>
      <c r="I13474" s="26">
        <v>43657.640277777798</v>
      </c>
      <c r="J13474" s="23" t="str">
        <f>HYPERLINK("https://www.spark-marketing.ru/Card/Person/260705", "ПО ""КООПЕРАТОР"" УНЕЧСКОГО РАЙОНА")</f>
        <v>ПО "КООПЕРАТОР" УНЕЧСКОГО РАЙОНА</v>
      </c>
      <c r="K13474" s="24" t="s">
        <v>3705</v>
      </c>
      <c r="L13474" s="22" t="s">
        <v>10</v>
      </c>
      <c r="M13474" s="25">
        <v>414630</v>
      </c>
      <c r="N13474" s="27">
        <v>0</v>
      </c>
    </row>
    <row r="13475" spans="1:14" x14ac:dyDescent="0.15">
      <c r="A13475" s="23" t="str">
        <f>HYPERLINK("https://www.spark-marketing.ru/Card/Person/1359836", "ОГАУЗ ""ТОМСКИЙ ОБЛАСТНОЙ ОНКОЛОГИЧЕСКИЙ ДИСПАНСЕР"" И ОГАУЗ ""ТООД""")</f>
        <v>ОГАУЗ "ТОМСКИЙ ОБЛАСТНОЙ ОНКОЛОГИЧЕСКИЙ ДИСПАНСЕР" И ОГАУЗ "ТООД"</v>
      </c>
      <c r="B13475" s="24" t="s">
        <v>13537</v>
      </c>
      <c r="C13475" s="25">
        <v>398250</v>
      </c>
      <c r="D13475" s="22" t="s">
        <v>18096</v>
      </c>
      <c r="E13475" s="22" t="s">
        <v>48</v>
      </c>
      <c r="F13475" s="23" t="str">
        <f>HYPERLINK("https://www.spark-marketing.ru/Card/Lot/72034634", "Оказание услуг по лечебному (диетическому) питанию пациентов, находящихся на стационарном лечении")</f>
        <v>Оказание услуг по лечебному (диетическому) питанию пациентов, находящихся на стационарном лечении</v>
      </c>
      <c r="G13475" s="22" t="s">
        <v>149</v>
      </c>
      <c r="H13475" s="22" t="s">
        <v>496</v>
      </c>
      <c r="I13475" s="26">
        <v>43657.629166666702</v>
      </c>
      <c r="J13475" s="28" t="s">
        <v>51</v>
      </c>
      <c r="K13475" s="28" t="s">
        <v>51</v>
      </c>
      <c r="L13475" s="28" t="s">
        <v>51</v>
      </c>
      <c r="M13475" s="28" t="s">
        <v>51</v>
      </c>
      <c r="N13475" s="28" t="s">
        <v>51</v>
      </c>
    </row>
    <row r="13476" spans="1:14" x14ac:dyDescent="0.15">
      <c r="A13476" s="23" t="str">
        <f>HYPERLINK("https://www.spark-marketing.ru/Card/Person/53933", "СПБ ГБПОУ ""УОР № 2 (ТЕХНИКУМ)""")</f>
        <v>СПБ ГБПОУ "УОР № 2 (ТЕХНИКУМ)"</v>
      </c>
      <c r="B13476" s="24" t="s">
        <v>2322</v>
      </c>
      <c r="C13476" s="25">
        <v>788200</v>
      </c>
      <c r="D13476" s="22" t="s">
        <v>18097</v>
      </c>
      <c r="E13476" s="22" t="s">
        <v>374</v>
      </c>
      <c r="F13476" s="23" t="str">
        <f>HYPERLINK("https://www.spark-marketing.ru/Card/Lot/72045196", "Оказание услуг по предоставлению проживания, питания и спортивных сооружений при проведении тренировочного мероприятия к международным соревнованиям и международные соревнования для занимающихся СПб ГБПОУ ""УОР № 2 (техникум) отделения ""Конькобежный...")</f>
        <v>Оказание услуг по предоставлению проживания, питания и спортивных сооружений при проведении тренировочного мероприятия к международным соревнованиям и международные соревнования для занимающихся СПб ГБПОУ "УОР № 2 (техникум) отделения "Конькобежный...</v>
      </c>
      <c r="G13476" s="22" t="s">
        <v>117</v>
      </c>
      <c r="H13476" s="22" t="s">
        <v>117</v>
      </c>
      <c r="I13476" s="26">
        <v>43657.653333333299</v>
      </c>
      <c r="J13476" s="28" t="s">
        <v>51</v>
      </c>
      <c r="K13476" s="28" t="s">
        <v>51</v>
      </c>
      <c r="L13476" s="28" t="s">
        <v>51</v>
      </c>
      <c r="M13476" s="28" t="s">
        <v>51</v>
      </c>
      <c r="N13476" s="28" t="s">
        <v>51</v>
      </c>
    </row>
    <row r="13477" spans="1:14" ht="12.75" hidden="1" outlineLevel="1" x14ac:dyDescent="0.2">
      <c r="A13477" s="23" t="str">
        <f>HYPERLINK("https://www.spark-marketing.ru/Card/Person/53933", "СПБ ГБПОУ ""УОР № 2 (ТЕХНИКУМ)""")</f>
        <v>СПБ ГБПОУ "УОР № 2 (ТЕХНИКУМ)"</v>
      </c>
      <c r="B13477" s="24" t="s">
        <v>2322</v>
      </c>
      <c r="C13477" s="25">
        <v>788200</v>
      </c>
      <c r="D13477" s="22" t="s">
        <v>18097</v>
      </c>
      <c r="E13477" s="22" t="s">
        <v>374</v>
      </c>
      <c r="F13477" s="23" t="str">
        <f>HYPERLINK("https://www.spark-marketing.ru/Card/Lot/72045196", "Оказание услуг по предоставлению проживания, питания и спортивных сооружений при проведении тренировочного мероприятия к международным соревнованиям и международные соревнования для занимающихся СПб ГБПОУ ""УОР № 2 (техникум) отделения ""Конькобежный...")</f>
        <v>Оказание услуг по предоставлению проживания, питания и спортивных сооружений при проведении тренировочного мероприятия к международным соревнованиям и международные соревнования для занимающихся СПб ГБПОУ "УОР № 2 (техникум) отделения "Конькобежный...</v>
      </c>
      <c r="G13477" s="22" t="s">
        <v>117</v>
      </c>
      <c r="H13477" s="22" t="s">
        <v>117</v>
      </c>
      <c r="I13477" s="26">
        <v>43657.653333333299</v>
      </c>
      <c r="J13477" s="23" t="str">
        <f>HYPERLINK("https://www.spark-marketing.ru/Card/Person/6493147", "Чихачев Андрей Игоревич")</f>
        <v>Чихачев Андрей Игоревич</v>
      </c>
      <c r="K13477" s="24" t="s">
        <v>5652</v>
      </c>
      <c r="L13477" s="22" t="s">
        <v>10</v>
      </c>
      <c r="M13477" s="25">
        <v>721785</v>
      </c>
      <c r="N13477" s="27">
        <v>8.4261608728749049E-2</v>
      </c>
    </row>
    <row r="13478" spans="1:14" hidden="1" outlineLevel="1" x14ac:dyDescent="0.2">
      <c r="A13478" s="23" t="str">
        <f>HYPERLINK("https://www.spark-marketing.ru/Card/Person/53933", "СПБ ГБПОУ ""УОР № 2 (ТЕХНИКУМ)""")</f>
        <v>СПБ ГБПОУ "УОР № 2 (ТЕХНИКУМ)"</v>
      </c>
      <c r="B13478" s="24" t="s">
        <v>2322</v>
      </c>
      <c r="C13478" s="25">
        <v>788200</v>
      </c>
      <c r="D13478" s="22" t="s">
        <v>18097</v>
      </c>
      <c r="E13478" s="22" t="s">
        <v>374</v>
      </c>
      <c r="F13478" s="23" t="str">
        <f>HYPERLINK("https://www.spark-marketing.ru/Card/Lot/72045196", "Оказание услуг по предоставлению проживания, питания и спортивных сооружений при проведении тренировочного мероприятия к международным соревнованиям и международные соревнования для занимающихся СПб ГБПОУ ""УОР № 2 (техникум) отделения ""Конькобежный...")</f>
        <v>Оказание услуг по предоставлению проживания, питания и спортивных сооружений при проведении тренировочного мероприятия к международным соревнованиям и международные соревнования для занимающихся СПб ГБПОУ "УОР № 2 (техникум) отделения "Конькобежный...</v>
      </c>
      <c r="G13478" s="22" t="s">
        <v>117</v>
      </c>
      <c r="H13478" s="22" t="s">
        <v>117</v>
      </c>
      <c r="I13478" s="26">
        <v>43657.653333333299</v>
      </c>
      <c r="J13478" s="23" t="str">
        <f>HYPERLINK("https://www.spark-marketing.ru/Card/Person/4570741", "ООО ""ПЛАНЕТА""")</f>
        <v>ООО "ПЛАНЕТА"</v>
      </c>
      <c r="K13478" s="24" t="s">
        <v>2325</v>
      </c>
      <c r="L13478" s="28" t="s">
        <v>51</v>
      </c>
      <c r="M13478" s="25">
        <v>725726</v>
      </c>
      <c r="N13478" s="27">
        <v>7.9261608728749045E-2</v>
      </c>
    </row>
    <row r="13479" spans="1:14" hidden="1" outlineLevel="1" x14ac:dyDescent="0.2">
      <c r="A13479" s="23" t="str">
        <f>HYPERLINK("https://www.spark-marketing.ru/Card/Person/53933", "СПБ ГБПОУ ""УОР № 2 (ТЕХНИКУМ)""")</f>
        <v>СПБ ГБПОУ "УОР № 2 (ТЕХНИКУМ)"</v>
      </c>
      <c r="B13479" s="24" t="s">
        <v>2322</v>
      </c>
      <c r="C13479" s="25">
        <v>788200</v>
      </c>
      <c r="D13479" s="22" t="s">
        <v>18097</v>
      </c>
      <c r="E13479" s="22" t="s">
        <v>374</v>
      </c>
      <c r="F13479" s="23" t="str">
        <f>HYPERLINK("https://www.spark-marketing.ru/Card/Lot/72045196", "Оказание услуг по предоставлению проживания, питания и спортивных сооружений при проведении тренировочного мероприятия к международным соревнованиям и международные соревнования для занимающихся СПб ГБПОУ ""УОР № 2 (техникум) отделения ""Конькобежный...")</f>
        <v>Оказание услуг по предоставлению проживания, питания и спортивных сооружений при проведении тренировочного мероприятия к международным соревнованиям и международные соревнования для занимающихся СПб ГБПОУ "УОР № 2 (техникум) отделения "Конькобежный...</v>
      </c>
      <c r="G13479" s="22" t="s">
        <v>117</v>
      </c>
      <c r="H13479" s="22" t="s">
        <v>117</v>
      </c>
      <c r="I13479" s="26">
        <v>43657.653333333299</v>
      </c>
      <c r="J13479" s="23" t="str">
        <f>HYPERLINK("https://www.spark-marketing.ru/Card/Person/6369393", "ООО ""ВЕКТОР ГРУПП""")</f>
        <v>ООО "ВЕКТОР ГРУПП"</v>
      </c>
      <c r="K13479" s="24" t="s">
        <v>4733</v>
      </c>
      <c r="L13479" s="28" t="s">
        <v>51</v>
      </c>
      <c r="M13479" s="25">
        <v>744849</v>
      </c>
      <c r="N13479" s="27">
        <v>5.5E-2</v>
      </c>
    </row>
    <row r="13480" spans="1:14" x14ac:dyDescent="0.15">
      <c r="A13480" s="23" t="str">
        <f>HYPERLINK("https://www.spark-marketing.ru/Card/Person/1001198", "МБУ МЦ ""ПОДСОЛНУХ""")</f>
        <v>МБУ МЦ "ПОДСОЛНУХ"</v>
      </c>
      <c r="B13480" s="24" t="s">
        <v>4841</v>
      </c>
      <c r="C13480" s="25">
        <v>280000</v>
      </c>
      <c r="D13480" s="22" t="s">
        <v>18098</v>
      </c>
      <c r="E13480" s="22" t="s">
        <v>48</v>
      </c>
      <c r="F13480" s="23" t="str">
        <f>HYPERLINK("https://www.spark-marketing.ru/Card/Lot/72042679", "Услуги по организации питания участников мероприятия")</f>
        <v>Услуги по организации питания участников мероприятия</v>
      </c>
      <c r="G13480" s="22" t="s">
        <v>49</v>
      </c>
      <c r="H13480" s="22" t="s">
        <v>204</v>
      </c>
      <c r="I13480" s="26">
        <v>43657.657638888901</v>
      </c>
      <c r="J13480" s="23" t="str">
        <f>HYPERLINK("https://www.spark-marketing.ru/Card/Person/2546649", "ООО ""ОЛИМП""")</f>
        <v>ООО "ОЛИМП"</v>
      </c>
      <c r="K13480" s="24" t="s">
        <v>18099</v>
      </c>
      <c r="L13480" s="28" t="s">
        <v>51</v>
      </c>
      <c r="M13480" s="28" t="s">
        <v>51</v>
      </c>
      <c r="N13480" s="28" t="s">
        <v>51</v>
      </c>
    </row>
    <row r="13481" spans="1:14" ht="12.75" hidden="1" outlineLevel="1" x14ac:dyDescent="0.2">
      <c r="A13481" s="23" t="str">
        <f>HYPERLINK("https://www.spark-marketing.ru/Card/Person/1001198", "МБУ МЦ ""ПОДСОЛНУХ""")</f>
        <v>МБУ МЦ "ПОДСОЛНУХ"</v>
      </c>
      <c r="B13481" s="24" t="s">
        <v>4841</v>
      </c>
      <c r="C13481" s="25">
        <v>280000</v>
      </c>
      <c r="D13481" s="22" t="s">
        <v>18098</v>
      </c>
      <c r="E13481" s="22" t="s">
        <v>48</v>
      </c>
      <c r="F13481" s="23" t="str">
        <f>HYPERLINK("https://www.spark-marketing.ru/Card/Lot/72042679", "Услуги по организации питания участников мероприятия")</f>
        <v>Услуги по организации питания участников мероприятия</v>
      </c>
      <c r="G13481" s="22" t="s">
        <v>49</v>
      </c>
      <c r="H13481" s="22" t="s">
        <v>204</v>
      </c>
      <c r="I13481" s="26">
        <v>43657.657638888901</v>
      </c>
      <c r="J13481" s="23" t="str">
        <f>HYPERLINK("https://www.spark-marketing.ru/Card/Person/2546649", "ООО ""ОЛИМП""")</f>
        <v>ООО "ОЛИМП"</v>
      </c>
      <c r="K13481" s="24" t="s">
        <v>18099</v>
      </c>
      <c r="L13481" s="22" t="s">
        <v>10</v>
      </c>
      <c r="M13481" s="25">
        <v>278600</v>
      </c>
      <c r="N13481" s="27">
        <v>5.0000000000000001E-3</v>
      </c>
    </row>
    <row r="13482" spans="1:14" x14ac:dyDescent="0.15">
      <c r="A13482" s="23" t="str">
        <f>HYPERLINK("https://www.spark-marketing.ru/Card/Person/58028", "СПБ ГБУ СШОР ""КОМЕТА""")</f>
        <v>СПБ ГБУ СШОР "КОМЕТА"</v>
      </c>
      <c r="B13482" s="24" t="s">
        <v>18100</v>
      </c>
      <c r="C13482" s="25">
        <v>439800</v>
      </c>
      <c r="D13482" s="22" t="s">
        <v>18101</v>
      </c>
      <c r="E13482" s="22" t="s">
        <v>374</v>
      </c>
      <c r="F13482" s="23" t="str">
        <f>HYPERLINK("https://www.spark-marketing.ru/Card/Lot/72043818",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</v>
      </c>
      <c r="G13482" s="22" t="s">
        <v>117</v>
      </c>
      <c r="H13482" s="22" t="s">
        <v>117</v>
      </c>
      <c r="I13482" s="26">
        <v>43657.662499999999</v>
      </c>
      <c r="J13482" s="23" t="str">
        <f>HYPERLINK("https://www.spark-marketing.ru/Card/Person/4503332", "ООО ""АЛЬФА-ТРАНС""")</f>
        <v>ООО "АЛЬФА-ТРАНС"</v>
      </c>
      <c r="K13482" s="24" t="s">
        <v>18102</v>
      </c>
      <c r="L13482" s="28" t="s">
        <v>51</v>
      </c>
      <c r="M13482" s="28" t="s">
        <v>51</v>
      </c>
      <c r="N13482" s="28" t="s">
        <v>51</v>
      </c>
    </row>
    <row r="13483" spans="1:14" ht="12.75" hidden="1" outlineLevel="1" x14ac:dyDescent="0.2">
      <c r="A13483" s="23" t="str">
        <f>HYPERLINK("https://www.spark-marketing.ru/Card/Person/58028", "СПБ ГБУ СШОР ""КОМЕТА""")</f>
        <v>СПБ ГБУ СШОР "КОМЕТА"</v>
      </c>
      <c r="B13483" s="24" t="s">
        <v>18100</v>
      </c>
      <c r="C13483" s="25">
        <v>439800</v>
      </c>
      <c r="D13483" s="22" t="s">
        <v>18101</v>
      </c>
      <c r="E13483" s="22" t="s">
        <v>374</v>
      </c>
      <c r="F13483" s="23" t="str">
        <f>HYPERLINK("https://www.spark-marketing.ru/Card/Lot/72043818",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</v>
      </c>
      <c r="G13483" s="22" t="s">
        <v>117</v>
      </c>
      <c r="H13483" s="22" t="s">
        <v>117</v>
      </c>
      <c r="I13483" s="26">
        <v>43657.662499999999</v>
      </c>
      <c r="J13483" s="23" t="str">
        <f>HYPERLINK("https://www.spark-marketing.ru/Card/Person/4503332", "ООО ""АЛЬФА-ТРАНС""")</f>
        <v>ООО "АЛЬФА-ТРАНС"</v>
      </c>
      <c r="K13483" s="24" t="s">
        <v>18102</v>
      </c>
      <c r="L13483" s="22" t="s">
        <v>10</v>
      </c>
      <c r="M13483" s="25">
        <v>437601</v>
      </c>
      <c r="N13483" s="27">
        <v>5.0000000000000001E-3</v>
      </c>
    </row>
    <row r="13484" spans="1:14" x14ac:dyDescent="0.15">
      <c r="A13484" s="23" t="str">
        <f>HYPERLINK("https://www.spark-marketing.ru/Card/Person/15191", "Выборгский филиал СПбГУ ГА")</f>
        <v>Выборгский филиал СПбГУ ГА</v>
      </c>
      <c r="B13484" s="24" t="s">
        <v>16032</v>
      </c>
      <c r="C13484" s="25">
        <v>4795200</v>
      </c>
      <c r="D13484" s="22" t="s">
        <v>18103</v>
      </c>
      <c r="E13484" s="22" t="s">
        <v>52</v>
      </c>
      <c r="F13484" s="23" t="str">
        <f>HYPERLINK("https://www.spark-marketing.ru/Card/Lot/72049018", "Услуга по организации питания курсантов в 2019 году")</f>
        <v>Услуга по организации питания курсантов в 2019 году</v>
      </c>
      <c r="G13484" s="22" t="s">
        <v>117</v>
      </c>
      <c r="H13484" s="22" t="s">
        <v>117</v>
      </c>
      <c r="I13484" s="26">
        <v>43657.661967592598</v>
      </c>
      <c r="J13484" s="28" t="s">
        <v>51</v>
      </c>
      <c r="K13484" s="28" t="s">
        <v>51</v>
      </c>
      <c r="L13484" s="28" t="s">
        <v>51</v>
      </c>
      <c r="M13484" s="28" t="s">
        <v>51</v>
      </c>
      <c r="N13484" s="28" t="s">
        <v>51</v>
      </c>
    </row>
    <row r="13485" spans="1:14" x14ac:dyDescent="0.15">
      <c r="A13485" s="23" t="str">
        <f>HYPERLINK("https://www.spark-marketing.ru/Card/Person/1054725", "НРМОБУ ""КУТЬ-ЯХСКАЯ СОШ""")</f>
        <v>НРМОБУ "КУТЬ-ЯХСКАЯ СОШ"</v>
      </c>
      <c r="B13485" s="24" t="s">
        <v>18104</v>
      </c>
      <c r="C13485" s="25">
        <v>1665401.6</v>
      </c>
      <c r="D13485" s="22" t="s">
        <v>18105</v>
      </c>
      <c r="E13485" s="22" t="s">
        <v>48</v>
      </c>
      <c r="F13485" s="23" t="str">
        <f>HYPERLINK("https://www.spark-marketing.ru/Card/Lot/72046561", "Оказание услуг по организации питания учащихся в столовой НРМОБУ ""Куть-Яхская СОШ"" во втором полугодии 2019 года")</f>
        <v>Оказание услуг по организации питания учащихся в столовой НРМОБУ "Куть-Яхская СОШ" во втором полугодии 2019 года</v>
      </c>
      <c r="G13485" s="22" t="s">
        <v>97</v>
      </c>
      <c r="H13485" s="22" t="s">
        <v>97</v>
      </c>
      <c r="I13485" s="26">
        <v>43657.630914351903</v>
      </c>
      <c r="J13485" s="23" t="str">
        <f>HYPERLINK("https://www.spark-marketing.ru/Card/Person/238973", "МУП ""ПЫТЬ-ЯХТОРГСЕРВИС"" МО Г.ПЫТЬ-ЯХ")</f>
        <v>МУП "ПЫТЬ-ЯХТОРГСЕРВИС" МО Г.ПЫТЬ-ЯХ</v>
      </c>
      <c r="K13485" s="24" t="s">
        <v>12639</v>
      </c>
      <c r="L13485" s="22" t="s">
        <v>10</v>
      </c>
      <c r="M13485" s="28" t="s">
        <v>51</v>
      </c>
      <c r="N13485" s="28" t="s">
        <v>51</v>
      </c>
    </row>
    <row r="13486" spans="1:14" x14ac:dyDescent="0.2">
      <c r="A13486" s="23" t="str">
        <f>HYPERLINK("https://www.spark-marketing.ru/Card/Person/4365629", "ГАУК НСО ""ДИРЕКЦИЯ ПРОГРАММ""")</f>
        <v>ГАУК НСО "ДИРЕКЦИЯ ПРОГРАММ"</v>
      </c>
      <c r="B13486" s="24" t="s">
        <v>18106</v>
      </c>
      <c r="C13486" s="25">
        <v>2050650</v>
      </c>
      <c r="D13486" s="22" t="s">
        <v>18107</v>
      </c>
      <c r="E13486" s="22" t="s">
        <v>769</v>
      </c>
      <c r="F13486" s="23" t="str">
        <f>HYPERLINK("https://www.spark-marketing.ru/Card/Lot/72029517", "Оказание услуг по организации питания и проживания участников Культурной Олимпиады Новосибирской области, посвящённой Году театра в России")</f>
        <v>Оказание услуг по организации питания и проживания участников Культурной Олимпиады Новосибирской области, посвящённой Году театра в России</v>
      </c>
      <c r="G13486" s="22" t="s">
        <v>195</v>
      </c>
      <c r="H13486" s="22" t="s">
        <v>195</v>
      </c>
      <c r="I13486" s="26">
        <v>43657.644120370402</v>
      </c>
      <c r="J13486" s="28" t="s">
        <v>51</v>
      </c>
      <c r="K13486" s="28" t="s">
        <v>51</v>
      </c>
      <c r="L13486" s="22" t="s">
        <v>10</v>
      </c>
      <c r="M13486" s="25">
        <v>2050650</v>
      </c>
      <c r="N13486" s="27">
        <v>0</v>
      </c>
    </row>
    <row r="13487" spans="1:14" x14ac:dyDescent="0.2">
      <c r="A13487" s="23" t="str">
        <f>HYPERLINK("https://www.spark-marketing.ru/Card/Person/70678", "МБОУ ""ГИМНАЗИЯ №11""")</f>
        <v>МБОУ "ГИМНАЗИЯ №11"</v>
      </c>
      <c r="B13487" s="24" t="s">
        <v>18108</v>
      </c>
      <c r="C13487" s="25">
        <v>1293752</v>
      </c>
      <c r="D13487" s="22" t="s">
        <v>18109</v>
      </c>
      <c r="E13487" s="22" t="s">
        <v>48</v>
      </c>
      <c r="F13487" s="23" t="str">
        <f>HYPERLINK("https://www.spark-marketing.ru/Card/Lot/72049014", "Организация питания для льготных категорий обучающихся и обеспечение молоком (кисло - молочными продуктами) обучающихся 1-4 классов МБОУ ""Гимназия №11""")</f>
        <v>Организация питания для льготных категорий обучающихся и обеспечение молоком (кисло - молочными продуктами) обучающихся 1-4 классов МБОУ "Гимназия №11"</v>
      </c>
      <c r="G13487" s="22" t="s">
        <v>162</v>
      </c>
      <c r="H13487" s="22" t="s">
        <v>10137</v>
      </c>
      <c r="I13487" s="26">
        <v>43657.659212963001</v>
      </c>
      <c r="J13487" s="23" t="str">
        <f>HYPERLINK("https://www.spark-marketing.ru/Card/Person/1281490", "Разина Елена Викторовна")</f>
        <v>Разина Елена Викторовна</v>
      </c>
      <c r="K13487" s="24" t="s">
        <v>5559</v>
      </c>
      <c r="L13487" s="28" t="s">
        <v>51</v>
      </c>
      <c r="M13487" s="25">
        <v>1293752</v>
      </c>
      <c r="N13487" s="27">
        <v>0</v>
      </c>
    </row>
    <row r="13488" spans="1:14" x14ac:dyDescent="0.15">
      <c r="A13488" s="23" t="str">
        <f>HYPERLINK("https://www.spark-marketing.ru/Card/Person/243056", "МБОУ Г. КУДЫМКАРА ""СОШ № 2""")</f>
        <v>МБОУ Г. КУДЫМКАРА "СОШ № 2"</v>
      </c>
      <c r="B13488" s="24" t="s">
        <v>18110</v>
      </c>
      <c r="C13488" s="25">
        <v>8710447.5899999999</v>
      </c>
      <c r="D13488" s="22" t="s">
        <v>18111</v>
      </c>
      <c r="E13488" s="22" t="s">
        <v>96</v>
      </c>
      <c r="F13488" s="23" t="str">
        <f>HYPERLINK("https://www.spark-marketing.ru/Card/Lot/72047488", "Оказание услуг по организации питания для обучающихся из малоимущих и многодетных малоимущих семей (2 раза в день - завтрак, обед) в муниципальном общеобразовательном бюджетном учреждении ""Средняя общеобразовательная школа № 2"" г. Кудымкара на базе...")</f>
        <v>Оказание услуг по организации питания для обучающихся из малоимущих и многодетных малоимущих семей (2 раза в день - завтрак, обед) в муниципальном общеобразовательном бюджетном учреждении "Средняя общеобразовательная школа № 2" г. Кудымкара на базе...</v>
      </c>
      <c r="G13488" s="22" t="s">
        <v>153</v>
      </c>
      <c r="H13488" s="22" t="s">
        <v>153</v>
      </c>
      <c r="I13488" s="26">
        <v>43657.652071759301</v>
      </c>
      <c r="J13488" s="23" t="str">
        <f>HYPERLINK("https://www.spark-marketing.ru/Card/Person/61115", "Петрова Ирина Алексеевна")</f>
        <v>Петрова Ирина Алексеевна</v>
      </c>
      <c r="K13488" s="24" t="s">
        <v>1963</v>
      </c>
      <c r="L13488" s="22" t="s">
        <v>10</v>
      </c>
      <c r="M13488" s="28" t="s">
        <v>51</v>
      </c>
      <c r="N13488" s="28" t="s">
        <v>51</v>
      </c>
    </row>
    <row r="13489" spans="1:14" x14ac:dyDescent="0.15">
      <c r="A13489" s="23" t="str">
        <f>HYPERLINK("https://www.spark-marketing.ru/Card/Person/10931", "ФГБОУ ВО САРАТОВСКИЙ ГМУ ИМ.В.И.РАЗУМОВСКОГО МИНЗДРАВА РОССИИ")</f>
        <v>ФГБОУ ВО САРАТОВСКИЙ ГМУ ИМ.В.И.РАЗУМОВСКОГО МИНЗДРАВА РОССИИ</v>
      </c>
      <c r="B13489" s="24" t="s">
        <v>18112</v>
      </c>
      <c r="C13489" s="25">
        <v>2724823.25</v>
      </c>
      <c r="D13489" s="22" t="s">
        <v>18113</v>
      </c>
      <c r="E13489" s="22" t="s">
        <v>62</v>
      </c>
      <c r="F13489" s="23" t="str">
        <f>HYPERLINK("https://www.spark-marketing.ru/Card/Lot/72075511", "Изготовление и поставка печатной продукции для структурных подразделений СГМУ")</f>
        <v>Изготовление и поставка печатной продукции для структурных подразделений СГМУ</v>
      </c>
      <c r="G13489" s="22" t="s">
        <v>351</v>
      </c>
      <c r="H13489" s="22" t="s">
        <v>2983</v>
      </c>
      <c r="I13489" s="26">
        <v>43657.660034722197</v>
      </c>
      <c r="J13489" s="28" t="s">
        <v>51</v>
      </c>
      <c r="K13489" s="28" t="s">
        <v>51</v>
      </c>
      <c r="L13489" s="28" t="s">
        <v>51</v>
      </c>
      <c r="M13489" s="28" t="s">
        <v>51</v>
      </c>
      <c r="N13489" s="28" t="s">
        <v>51</v>
      </c>
    </row>
    <row r="13490" spans="1:14" hidden="1" outlineLevel="1" x14ac:dyDescent="0.2">
      <c r="A13490" s="23" t="str">
        <f>HYPERLINK("https://www.spark-marketing.ru/Card/Person/10931", "ФГБОУ ВО САРАТОВСКИЙ ГМУ ИМ.В.И.РАЗУМОВСКОГО МИНЗДРАВА РОССИИ")</f>
        <v>ФГБОУ ВО САРАТОВСКИЙ ГМУ ИМ.В.И.РАЗУМОВСКОГО МИНЗДРАВА РОССИИ</v>
      </c>
      <c r="B13490" s="24" t="s">
        <v>18112</v>
      </c>
      <c r="C13490" s="25">
        <v>2724823.25</v>
      </c>
      <c r="D13490" s="22" t="s">
        <v>18113</v>
      </c>
      <c r="E13490" s="22" t="s">
        <v>62</v>
      </c>
      <c r="F13490" s="23" t="str">
        <f>HYPERLINK("https://www.spark-marketing.ru/Card/Lot/72075511", "Изготовление и поставка печатной продукции для структурных подразделений СГМУ")</f>
        <v>Изготовление и поставка печатной продукции для структурных подразделений СГМУ</v>
      </c>
      <c r="G13490" s="22" t="s">
        <v>351</v>
      </c>
      <c r="H13490" s="22" t="s">
        <v>2983</v>
      </c>
      <c r="I13490" s="26">
        <v>43657.660034722197</v>
      </c>
      <c r="J13490" s="23" t="str">
        <f>HYPERLINK("https://www.spark-marketing.ru/Card/Person/317671", "ООО ""МАРС-ПРИНТ""")</f>
        <v>ООО "МАРС-ПРИНТ"</v>
      </c>
      <c r="K13490" s="24" t="s">
        <v>7306</v>
      </c>
      <c r="L13490" s="28" t="s">
        <v>51</v>
      </c>
      <c r="M13490" s="25">
        <v>2500000</v>
      </c>
      <c r="N13490" s="27">
        <v>8.2509296703923818E-2</v>
      </c>
    </row>
    <row r="13491" spans="1:14" ht="12.75" hidden="1" outlineLevel="1" x14ac:dyDescent="0.2">
      <c r="A13491" s="23" t="str">
        <f>HYPERLINK("https://www.spark-marketing.ru/Card/Person/10931", "ФГБОУ ВО САРАТОВСКИЙ ГМУ ИМ.В.И.РАЗУМОВСКОГО МИНЗДРАВА РОССИИ")</f>
        <v>ФГБОУ ВО САРАТОВСКИЙ ГМУ ИМ.В.И.РАЗУМОВСКОГО МИНЗДРАВА РОССИИ</v>
      </c>
      <c r="B13491" s="24" t="s">
        <v>18112</v>
      </c>
      <c r="C13491" s="25">
        <v>2724823.25</v>
      </c>
      <c r="D13491" s="22" t="s">
        <v>18113</v>
      </c>
      <c r="E13491" s="22" t="s">
        <v>62</v>
      </c>
      <c r="F13491" s="23" t="str">
        <f>HYPERLINK("https://www.spark-marketing.ru/Card/Lot/72075511", "Изготовление и поставка печатной продукции для структурных подразделений СГМУ")</f>
        <v>Изготовление и поставка печатной продукции для структурных подразделений СГМУ</v>
      </c>
      <c r="G13491" s="22" t="s">
        <v>351</v>
      </c>
      <c r="H13491" s="22" t="s">
        <v>2983</v>
      </c>
      <c r="I13491" s="26">
        <v>43657.660034722197</v>
      </c>
      <c r="J13491" s="23" t="str">
        <f>HYPERLINK("https://www.spark-marketing.ru/Card/Person/535237", "Ларшина Жанна Александровна")</f>
        <v>Ларшина Жанна Александровна</v>
      </c>
      <c r="K13491" s="24" t="s">
        <v>18114</v>
      </c>
      <c r="L13491" s="22" t="s">
        <v>10</v>
      </c>
      <c r="M13491" s="25">
        <v>2500000</v>
      </c>
      <c r="N13491" s="27">
        <v>8.2509296703923818E-2</v>
      </c>
    </row>
    <row r="13492" spans="1:14" hidden="1" outlineLevel="1" x14ac:dyDescent="0.2">
      <c r="A13492" s="23" t="str">
        <f>HYPERLINK("https://www.spark-marketing.ru/Card/Person/10931", "ФГБОУ ВО САРАТОВСКИЙ ГМУ ИМ.В.И.РАЗУМОВСКОГО МИНЗДРАВА РОССИИ")</f>
        <v>ФГБОУ ВО САРАТОВСКИЙ ГМУ ИМ.В.И.РАЗУМОВСКОГО МИНЗДРАВА РОССИИ</v>
      </c>
      <c r="B13492" s="24" t="s">
        <v>18112</v>
      </c>
      <c r="C13492" s="25">
        <v>2724823.25</v>
      </c>
      <c r="D13492" s="22" t="s">
        <v>18113</v>
      </c>
      <c r="E13492" s="22" t="s">
        <v>62</v>
      </c>
      <c r="F13492" s="23" t="str">
        <f>HYPERLINK("https://www.spark-marketing.ru/Card/Lot/72075511", "Изготовление и поставка печатной продукции для структурных подразделений СГМУ")</f>
        <v>Изготовление и поставка печатной продукции для структурных подразделений СГМУ</v>
      </c>
      <c r="G13492" s="22" t="s">
        <v>351</v>
      </c>
      <c r="H13492" s="22" t="s">
        <v>2983</v>
      </c>
      <c r="I13492" s="26">
        <v>43657.660034722197</v>
      </c>
      <c r="J13492" s="23" t="str">
        <f>HYPERLINK("https://www.spark-marketing.ru/Card/Person/183917", "ООО ""КАНЦТОВАРЫ""")</f>
        <v>ООО "КАНЦТОВАРЫ"</v>
      </c>
      <c r="K13492" s="24" t="s">
        <v>6208</v>
      </c>
      <c r="L13492" s="28" t="s">
        <v>51</v>
      </c>
      <c r="M13492" s="25">
        <v>2513700</v>
      </c>
      <c r="N13492" s="27">
        <v>7.7481447649861326E-2</v>
      </c>
    </row>
    <row r="13493" spans="1:14" x14ac:dyDescent="0.15">
      <c r="A13493" s="23" t="str">
        <f>HYPERLINK("https://www.spark-marketing.ru/Card/Person/362430", "ОТДЕЛ МВД РОССИИ ПО САЛЬСКОМУ РАЙОНУ")</f>
        <v>ОТДЕЛ МВД РОССИИ ПО САЛЬСКОМУ РАЙОНУ</v>
      </c>
      <c r="B13493" s="24" t="s">
        <v>11755</v>
      </c>
      <c r="C13493" s="25">
        <v>1200000</v>
      </c>
      <c r="D13493" s="22" t="s">
        <v>18115</v>
      </c>
      <c r="E13493" s="22" t="s">
        <v>96</v>
      </c>
      <c r="F13493" s="23" t="str">
        <f>HYPERLINK("https://www.spark-marketing.ru/Card/Lot/72046066", "услуги по организации горячего питания лиц, содержащихся в ИВС, а также лиц задержанных в административном порядке (прочая закупка работ, услуг)")</f>
        <v>услуги по организации горячего питания лиц, содержащихся в ИВС, а также лиц задержанных в административном порядке (прочая закупка работ, услуг)</v>
      </c>
      <c r="G13493" s="22" t="s">
        <v>267</v>
      </c>
      <c r="H13493" s="22" t="s">
        <v>267</v>
      </c>
      <c r="I13493" s="26">
        <v>43657.6625810185</v>
      </c>
      <c r="J13493" s="23" t="str">
        <f>HYPERLINK("https://www.spark-marketing.ru/Card/Person/363943", "Пономарева Ольга Николаевна")</f>
        <v>Пономарева Ольга Николаевна</v>
      </c>
      <c r="K13493" s="24" t="s">
        <v>11757</v>
      </c>
      <c r="L13493" s="22" t="s">
        <v>10</v>
      </c>
      <c r="M13493" s="28" t="s">
        <v>51</v>
      </c>
      <c r="N13493" s="28" t="s">
        <v>51</v>
      </c>
    </row>
    <row r="13494" spans="1:14" ht="12.75" x14ac:dyDescent="0.2">
      <c r="A13494" s="23" t="str">
        <f>HYPERLINK("https://www.spark-marketing.ru/Card/Person/1041333", "МОУ СОШ №3 Г. УНЕЧА")</f>
        <v>МОУ СОШ №3 Г. УНЕЧА</v>
      </c>
      <c r="B13494" s="24" t="s">
        <v>18116</v>
      </c>
      <c r="C13494" s="25">
        <v>497200</v>
      </c>
      <c r="D13494" s="22" t="s">
        <v>18117</v>
      </c>
      <c r="E13494" s="22" t="s">
        <v>48</v>
      </c>
      <c r="F13494" s="23" t="str">
        <f>HYPERLINK("https://www.spark-marketing.ru/Card/Lot/72058550", "Услуги по организации горячего питания для учащихся школы")</f>
        <v>Услуги по организации горячего питания для учащихся школы</v>
      </c>
      <c r="G13494" s="22" t="s">
        <v>475</v>
      </c>
      <c r="H13494" s="22" t="s">
        <v>6226</v>
      </c>
      <c r="I13494" s="26">
        <v>43657.647407407399</v>
      </c>
      <c r="J13494" s="23" t="str">
        <f>HYPERLINK("https://www.spark-marketing.ru/Card/Person/260705", "ПО ""КООПЕРАТОР"" УНЕЧСКОГО РАЙОНА")</f>
        <v>ПО "КООПЕРАТОР" УНЕЧСКОГО РАЙОНА</v>
      </c>
      <c r="K13494" s="24" t="s">
        <v>3705</v>
      </c>
      <c r="L13494" s="22" t="s">
        <v>10</v>
      </c>
      <c r="M13494" s="25">
        <v>497200</v>
      </c>
      <c r="N13494" s="27">
        <v>0</v>
      </c>
    </row>
    <row r="13495" spans="1:14" x14ac:dyDescent="0.15">
      <c r="A13495" s="23" t="str">
        <f>HYPERLINK("https://www.spark-marketing.ru/Card/Person/10421", "СПБ ГБУ СШОР ""ШВСМ ПО ВВС""")</f>
        <v>СПБ ГБУ СШОР "ШВСМ ПО ВВС"</v>
      </c>
      <c r="B13495" s="24" t="s">
        <v>379</v>
      </c>
      <c r="C13495" s="25">
        <v>424600</v>
      </c>
      <c r="D13495" s="22" t="s">
        <v>18118</v>
      </c>
      <c r="E13495" s="22" t="s">
        <v>381</v>
      </c>
      <c r="F13495" s="23" t="str">
        <f>HYPERLINK("https://www.spark-marketing.ru/Card/Lot/72043494",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водно-...")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водно-...</v>
      </c>
      <c r="G13495" s="22" t="s">
        <v>162</v>
      </c>
      <c r="H13495" s="22" t="s">
        <v>162</v>
      </c>
      <c r="I13495" s="26">
        <v>43657.6652777778</v>
      </c>
      <c r="J13495" s="28" t="s">
        <v>51</v>
      </c>
      <c r="K13495" s="28" t="s">
        <v>51</v>
      </c>
      <c r="L13495" s="28" t="s">
        <v>51</v>
      </c>
      <c r="M13495" s="28" t="s">
        <v>51</v>
      </c>
      <c r="N13495" s="28" t="s">
        <v>51</v>
      </c>
    </row>
    <row r="13496" spans="1:14" ht="12.75" hidden="1" outlineLevel="1" x14ac:dyDescent="0.2">
      <c r="A13496" s="23" t="str">
        <f>HYPERLINK("https://www.spark-marketing.ru/Card/Person/10421", "СПБ ГБУ СШОР ""ШВСМ ПО ВВС""")</f>
        <v>СПБ ГБУ СШОР "ШВСМ ПО ВВС"</v>
      </c>
      <c r="B13496" s="24" t="s">
        <v>379</v>
      </c>
      <c r="C13496" s="25">
        <v>424600</v>
      </c>
      <c r="D13496" s="22" t="s">
        <v>18118</v>
      </c>
      <c r="E13496" s="22" t="s">
        <v>381</v>
      </c>
      <c r="F13496" s="23" t="str">
        <f>HYPERLINK("https://www.spark-marketing.ru/Card/Lot/72043494",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водно-...")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водно-...</v>
      </c>
      <c r="G13496" s="22" t="s">
        <v>162</v>
      </c>
      <c r="H13496" s="22" t="s">
        <v>162</v>
      </c>
      <c r="I13496" s="26">
        <v>43657.6652777778</v>
      </c>
      <c r="J13496" s="23" t="str">
        <f>HYPERLINK("https://www.spark-marketing.ru/Card/Person/756354", "ЗАО ""СК ПО ЗВС ""КАВГОЛОВО""")</f>
        <v>ЗАО "СК ПО ЗВС "КАВГОЛОВО"</v>
      </c>
      <c r="K13496" s="24" t="s">
        <v>17531</v>
      </c>
      <c r="L13496" s="22" t="s">
        <v>10</v>
      </c>
      <c r="M13496" s="25">
        <v>312081</v>
      </c>
      <c r="N13496" s="27">
        <v>0.26500000000000001</v>
      </c>
    </row>
    <row r="13497" spans="1:14" hidden="1" outlineLevel="1" x14ac:dyDescent="0.2">
      <c r="A13497" s="23" t="str">
        <f>HYPERLINK("https://www.spark-marketing.ru/Card/Person/10421", "СПБ ГБУ СШОР ""ШВСМ ПО ВВС""")</f>
        <v>СПБ ГБУ СШОР "ШВСМ ПО ВВС"</v>
      </c>
      <c r="B13497" s="24" t="s">
        <v>379</v>
      </c>
      <c r="C13497" s="25">
        <v>424600</v>
      </c>
      <c r="D13497" s="22" t="s">
        <v>18118</v>
      </c>
      <c r="E13497" s="22" t="s">
        <v>381</v>
      </c>
      <c r="F13497" s="23" t="str">
        <f>HYPERLINK("https://www.spark-marketing.ru/Card/Lot/72043494",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водно-...")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водно-...</v>
      </c>
      <c r="G13497" s="22" t="s">
        <v>162</v>
      </c>
      <c r="H13497" s="22" t="s">
        <v>162</v>
      </c>
      <c r="I13497" s="26">
        <v>43657.6652777778</v>
      </c>
      <c r="J13497" s="23" t="str">
        <f>HYPERLINK("https://www.spark-marketing.ru/Card/Person/6574101", "ООО ""СПОРТИВНОЕ АГЕНТСТВО ""ЭРА""")</f>
        <v>ООО "СПОРТИВНОЕ АГЕНТСТВО "ЭРА"</v>
      </c>
      <c r="K13497" s="24" t="s">
        <v>4377</v>
      </c>
      <c r="L13497" s="28" t="s">
        <v>51</v>
      </c>
      <c r="M13497" s="25">
        <v>316327</v>
      </c>
      <c r="N13497" s="27">
        <v>0.255</v>
      </c>
    </row>
    <row r="13498" spans="1:14" hidden="1" outlineLevel="1" x14ac:dyDescent="0.2">
      <c r="A13498" s="23" t="str">
        <f>HYPERLINK("https://www.spark-marketing.ru/Card/Person/10421", "СПБ ГБУ СШОР ""ШВСМ ПО ВВС""")</f>
        <v>СПБ ГБУ СШОР "ШВСМ ПО ВВС"</v>
      </c>
      <c r="B13498" s="24" t="s">
        <v>379</v>
      </c>
      <c r="C13498" s="25">
        <v>424600</v>
      </c>
      <c r="D13498" s="22" t="s">
        <v>18118</v>
      </c>
      <c r="E13498" s="22" t="s">
        <v>381</v>
      </c>
      <c r="F13498" s="23" t="str">
        <f>HYPERLINK("https://www.spark-marketing.ru/Card/Lot/72043494",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водно-...")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водно-...</v>
      </c>
      <c r="G13498" s="22" t="s">
        <v>162</v>
      </c>
      <c r="H13498" s="22" t="s">
        <v>162</v>
      </c>
      <c r="I13498" s="26">
        <v>43657.6652777778</v>
      </c>
      <c r="J13498" s="23" t="str">
        <f>HYPERLINK("https://www.spark-marketing.ru/Card/Person/6369393", "ООО ""ВЕКТОР ГРУПП""")</f>
        <v>ООО "ВЕКТОР ГРУПП"</v>
      </c>
      <c r="K13498" s="24" t="s">
        <v>4733</v>
      </c>
      <c r="L13498" s="28" t="s">
        <v>51</v>
      </c>
      <c r="M13498" s="25">
        <v>382140</v>
      </c>
      <c r="N13498" s="27">
        <v>0.1</v>
      </c>
    </row>
    <row r="13499" spans="1:14" x14ac:dyDescent="0.15">
      <c r="A13499" s="23" t="str">
        <f>HYPERLINK("https://www.spark-marketing.ru/Card/Person/1083844", "ОМВД РОССИИ ПО ГОРОДУ САЯНОГОРСКУ")</f>
        <v>ОМВД РОССИИ ПО ГОРОДУ САЯНОГОРСКУ</v>
      </c>
      <c r="B13499" s="24" t="s">
        <v>6237</v>
      </c>
      <c r="C13499" s="25">
        <v>1472500</v>
      </c>
      <c r="D13499" s="22" t="s">
        <v>18119</v>
      </c>
      <c r="E13499" s="22" t="s">
        <v>48</v>
      </c>
      <c r="F13499" s="23" t="str">
        <f>HYPERLINK("https://www.spark-marketing.ru/Card/Lot/72046059", "Прочая закупка услуг (Услуги по обеспечению горячим трехразовым питанием лиц, содержащихся в изоляторе временного содержания и лиц, находящихся в камерах содержания задержанных лиц более 3-х часов ОМВД России по городу Саяногорску)")</f>
        <v>Прочая закупка услуг (Услуги по обеспечению горячим трехразовым питанием лиц, содержащихся в изоляторе временного содержания и лиц, находящихся в камерах содержания задержанных лиц более 3-х часов ОМВД России по городу Саяногорску)</v>
      </c>
      <c r="G13499" s="22" t="s">
        <v>92</v>
      </c>
      <c r="H13499" s="22" t="s">
        <v>6239</v>
      </c>
      <c r="I13499" s="26">
        <v>43657.659664351799</v>
      </c>
      <c r="J13499" s="28" t="s">
        <v>51</v>
      </c>
      <c r="K13499" s="28" t="s">
        <v>51</v>
      </c>
      <c r="L13499" s="28" t="s">
        <v>51</v>
      </c>
      <c r="M13499" s="28" t="s">
        <v>51</v>
      </c>
      <c r="N13499" s="28" t="s">
        <v>51</v>
      </c>
    </row>
    <row r="13500" spans="1:14" ht="12.75" hidden="1" outlineLevel="1" x14ac:dyDescent="0.2">
      <c r="A13500" s="23" t="str">
        <f>HYPERLINK("https://www.spark-marketing.ru/Card/Person/1083844", "ОМВД РОССИИ ПО ГОРОДУ САЯНОГОРСКУ")</f>
        <v>ОМВД РОССИИ ПО ГОРОДУ САЯНОГОРСКУ</v>
      </c>
      <c r="B13500" s="24" t="s">
        <v>6237</v>
      </c>
      <c r="C13500" s="25">
        <v>1472500</v>
      </c>
      <c r="D13500" s="22" t="s">
        <v>18119</v>
      </c>
      <c r="E13500" s="22" t="s">
        <v>48</v>
      </c>
      <c r="F13500" s="23" t="str">
        <f>HYPERLINK("https://www.spark-marketing.ru/Card/Lot/72046059", "Прочая закупка услуг (Услуги по обеспечению горячим трехразовым питанием лиц, содержащихся в изоляторе временного содержания и лиц, находящихся в камерах содержания задержанных лиц более 3-х часов ОМВД России по городу Саяногорску)")</f>
        <v>Прочая закупка услуг (Услуги по обеспечению горячим трехразовым питанием лиц, содержащихся в изоляторе временного содержания и лиц, находящихся в камерах содержания задержанных лиц более 3-х часов ОМВД России по городу Саяногорску)</v>
      </c>
      <c r="G13500" s="22" t="s">
        <v>92</v>
      </c>
      <c r="H13500" s="22" t="s">
        <v>6239</v>
      </c>
      <c r="I13500" s="26">
        <v>43657.659664351799</v>
      </c>
      <c r="J13500" s="23" t="str">
        <f>HYPERLINK("https://www.spark-marketing.ru/Card/Person/652202", "Бурмагина Татьяна Александровна")</f>
        <v>Бурмагина Татьяна Александровна</v>
      </c>
      <c r="K13500" s="24" t="s">
        <v>6240</v>
      </c>
      <c r="L13500" s="22" t="s">
        <v>10</v>
      </c>
      <c r="M13500" s="25">
        <v>640537.5</v>
      </c>
      <c r="N13500" s="27">
        <v>0.56499999999999995</v>
      </c>
    </row>
    <row r="13501" spans="1:14" hidden="1" outlineLevel="1" x14ac:dyDescent="0.2">
      <c r="A13501" s="23" t="str">
        <f>HYPERLINK("https://www.spark-marketing.ru/Card/Person/1083844", "ОМВД РОССИИ ПО ГОРОДУ САЯНОГОРСКУ")</f>
        <v>ОМВД РОССИИ ПО ГОРОДУ САЯНОГОРСКУ</v>
      </c>
      <c r="B13501" s="24" t="s">
        <v>6237</v>
      </c>
      <c r="C13501" s="25">
        <v>1472500</v>
      </c>
      <c r="D13501" s="22" t="s">
        <v>18119</v>
      </c>
      <c r="E13501" s="22" t="s">
        <v>48</v>
      </c>
      <c r="F13501" s="23" t="str">
        <f>HYPERLINK("https://www.spark-marketing.ru/Card/Lot/72046059", "Прочая закупка услуг (Услуги по обеспечению горячим трехразовым питанием лиц, содержащихся в изоляторе временного содержания и лиц, находящихся в камерах содержания задержанных лиц более 3-х часов ОМВД России по городу Саяногорску)")</f>
        <v>Прочая закупка услуг (Услуги по обеспечению горячим трехразовым питанием лиц, содержащихся в изоляторе временного содержания и лиц, находящихся в камерах содержания задержанных лиц более 3-х часов ОМВД России по городу Саяногорску)</v>
      </c>
      <c r="G13501" s="22" t="s">
        <v>92</v>
      </c>
      <c r="H13501" s="22" t="s">
        <v>6239</v>
      </c>
      <c r="I13501" s="26">
        <v>43657.659664351799</v>
      </c>
      <c r="J13501" s="23" t="str">
        <f>HYPERLINK("https://www.spark-marketing.ru/Card/Person/4956822", "Пилишников Андрей Михайлович")</f>
        <v>Пилишников Андрей Михайлович</v>
      </c>
      <c r="K13501" s="24" t="s">
        <v>18120</v>
      </c>
      <c r="L13501" s="28" t="s">
        <v>51</v>
      </c>
      <c r="M13501" s="25">
        <v>647900</v>
      </c>
      <c r="N13501" s="27">
        <v>0.56000000000000005</v>
      </c>
    </row>
    <row r="13502" spans="1:14" x14ac:dyDescent="0.15">
      <c r="A13502" s="23" t="str">
        <f>HYPERLINK("https://www.spark-marketing.ru/Card/Person/1029724", "МУ ""МЦ ""ЮНОСТЬ""")</f>
        <v>МУ "МЦ "ЮНОСТЬ"</v>
      </c>
      <c r="B13502" s="24" t="s">
        <v>18121</v>
      </c>
      <c r="C13502" s="25">
        <v>2610</v>
      </c>
      <c r="D13502" s="22" t="s">
        <v>18122</v>
      </c>
      <c r="E13502" s="22" t="s">
        <v>152</v>
      </c>
      <c r="F13502" s="23" t="str">
        <f>HYPERLINK("https://www.spark-marketing.ru/Card/Lot/72032669", "Услуги по ремонту и техническому обслуживанию офисных машин и оборудования, кроме компьютеров и периферийного оборудования")</f>
        <v>Услуги по ремонту и техническому обслуживанию офисных машин и оборудования, кроме компьютеров и периферийного оборудования</v>
      </c>
      <c r="G13502" s="22" t="s">
        <v>49</v>
      </c>
      <c r="H13502" s="22" t="s">
        <v>2508</v>
      </c>
      <c r="I13502" s="26">
        <v>43657.586562500001</v>
      </c>
      <c r="J13502" s="28" t="s">
        <v>51</v>
      </c>
      <c r="K13502" s="28" t="s">
        <v>51</v>
      </c>
      <c r="L13502" s="28" t="s">
        <v>51</v>
      </c>
      <c r="M13502" s="28" t="s">
        <v>51</v>
      </c>
      <c r="N13502" s="28" t="s">
        <v>51</v>
      </c>
    </row>
    <row r="13503" spans="1:14" x14ac:dyDescent="0.2">
      <c r="A13503" s="23" t="str">
        <f>HYPERLINK("https://www.spark-marketing.ru/Card/Person/864283", "ГАУ ТО ""ЦСП""")</f>
        <v>ГАУ ТО "ЦСП"</v>
      </c>
      <c r="B13503" s="24" t="s">
        <v>14957</v>
      </c>
      <c r="C13503" s="25">
        <v>551025</v>
      </c>
      <c r="D13503" s="22" t="s">
        <v>18123</v>
      </c>
      <c r="E13503" s="22" t="s">
        <v>1921</v>
      </c>
      <c r="F13503" s="23" t="str">
        <f>HYPERLINK("https://www.spark-marketing.ru/Card/Lot/72030565", "Оказание услуг по временному размещению (проживанию и питанию) участников и представителей команд ОЛФ ВФСК ГТО среди взрослого населения, посвященный празднованию 75-летия образования Тюменской области")</f>
        <v>Оказание услуг по временному размещению (проживанию и питанию) участников и представителей команд ОЛФ ВФСК ГТО среди взрослого населения, посвященный празднованию 75-летия образования Тюменской области</v>
      </c>
      <c r="G13503" s="22" t="s">
        <v>766</v>
      </c>
      <c r="H13503" s="22" t="s">
        <v>766</v>
      </c>
      <c r="I13503" s="26">
        <v>43657.590555555602</v>
      </c>
      <c r="J13503" s="28" t="s">
        <v>51</v>
      </c>
      <c r="K13503" s="28" t="s">
        <v>51</v>
      </c>
      <c r="L13503" s="22" t="s">
        <v>10</v>
      </c>
      <c r="M13503" s="25">
        <v>551025</v>
      </c>
      <c r="N13503" s="27">
        <v>0</v>
      </c>
    </row>
    <row r="13504" spans="1:14" x14ac:dyDescent="0.15">
      <c r="A13504" s="23" t="str">
        <f>HYPERLINK("https://www.spark-marketing.ru/Card/Person/103732", "ЧЕЛЯБИНСКАЯ ТАМОЖНЯ")</f>
        <v>ЧЕЛЯБИНСКАЯ ТАМОЖНЯ</v>
      </c>
      <c r="B13504" s="24" t="s">
        <v>8245</v>
      </c>
      <c r="C13504" s="25">
        <v>1118927</v>
      </c>
      <c r="D13504" s="22" t="s">
        <v>18124</v>
      </c>
      <c r="E13504" s="22" t="s">
        <v>898</v>
      </c>
      <c r="F13504" s="23" t="str">
        <f>HYPERLINK("https://www.spark-marketing.ru/Card/Lot/72046050", "Переоснащение объекта Челябинской таможни, расположенного по адресу: Челябинская область, г. Магнитогорск, ул. Советская, 42, источником бесперебойного питания (ИБП) и интегрирование его в систему электроснабжения")</f>
        <v>Переоснащение объекта Челябинской таможни, расположенного по адресу: Челябинская область, г. Магнитогорск, ул. Советская, 42, источником бесперебойного питания (ИБП) и интегрирование его в систему электроснабжения</v>
      </c>
      <c r="G13504" s="22" t="s">
        <v>469</v>
      </c>
      <c r="H13504" s="22" t="s">
        <v>469</v>
      </c>
      <c r="I13504" s="26">
        <v>43657.619050925903</v>
      </c>
      <c r="J13504" s="28" t="s">
        <v>51</v>
      </c>
      <c r="K13504" s="28" t="s">
        <v>51</v>
      </c>
      <c r="L13504" s="28" t="s">
        <v>51</v>
      </c>
      <c r="M13504" s="28" t="s">
        <v>51</v>
      </c>
      <c r="N13504" s="28" t="s">
        <v>51</v>
      </c>
    </row>
    <row r="13505" spans="1:14" ht="12.75" hidden="1" outlineLevel="1" x14ac:dyDescent="0.2">
      <c r="A13505" s="23" t="str">
        <f>HYPERLINK("https://www.spark-marketing.ru/Card/Person/103732", "ЧЕЛЯБИНСКАЯ ТАМОЖНЯ")</f>
        <v>ЧЕЛЯБИНСКАЯ ТАМОЖНЯ</v>
      </c>
      <c r="B13505" s="24" t="s">
        <v>8245</v>
      </c>
      <c r="C13505" s="25">
        <v>1118927</v>
      </c>
      <c r="D13505" s="22" t="s">
        <v>18124</v>
      </c>
      <c r="E13505" s="22" t="s">
        <v>898</v>
      </c>
      <c r="F13505" s="23" t="str">
        <f>HYPERLINK("https://www.spark-marketing.ru/Card/Lot/72046050", "Переоснащение объекта Челябинской таможни, расположенного по адресу: Челябинская область, г. Магнитогорск, ул. Советская, 42, источником бесперебойного питания (ИБП) и интегрирование его в систему электроснабжения")</f>
        <v>Переоснащение объекта Челябинской таможни, расположенного по адресу: Челябинская область, г. Магнитогорск, ул. Советская, 42, источником бесперебойного питания (ИБП) и интегрирование его в систему электроснабжения</v>
      </c>
      <c r="G13505" s="22" t="s">
        <v>469</v>
      </c>
      <c r="H13505" s="22" t="s">
        <v>469</v>
      </c>
      <c r="I13505" s="26">
        <v>43657.619050925903</v>
      </c>
      <c r="J13505" s="23" t="str">
        <f>HYPERLINK("https://www.spark-marketing.ru/Card/Person/863744", "ООО НПК ""ИНЖЕНЕРНЫЕ ТЕХНОЛОГИИ""")</f>
        <v>ООО НПК "ИНЖЕНЕРНЫЕ ТЕХНОЛОГИИ"</v>
      </c>
      <c r="K13505" s="24" t="s">
        <v>8247</v>
      </c>
      <c r="L13505" s="22" t="s">
        <v>10</v>
      </c>
      <c r="M13505" s="25">
        <v>951087.95</v>
      </c>
      <c r="N13505" s="27">
        <v>0.15</v>
      </c>
    </row>
    <row r="13506" spans="1:14" hidden="1" outlineLevel="1" x14ac:dyDescent="0.2">
      <c r="A13506" s="23" t="str">
        <f>HYPERLINK("https://www.spark-marketing.ru/Card/Person/103732", "ЧЕЛЯБИНСКАЯ ТАМОЖНЯ")</f>
        <v>ЧЕЛЯБИНСКАЯ ТАМОЖНЯ</v>
      </c>
      <c r="B13506" s="24" t="s">
        <v>8245</v>
      </c>
      <c r="C13506" s="25">
        <v>1118927</v>
      </c>
      <c r="D13506" s="22" t="s">
        <v>18124</v>
      </c>
      <c r="E13506" s="22" t="s">
        <v>898</v>
      </c>
      <c r="F13506" s="23" t="str">
        <f>HYPERLINK("https://www.spark-marketing.ru/Card/Lot/72046050", "Переоснащение объекта Челябинской таможни, расположенного по адресу: Челябинская область, г. Магнитогорск, ул. Советская, 42, источником бесперебойного питания (ИБП) и интегрирование его в систему электроснабжения")</f>
        <v>Переоснащение объекта Челябинской таможни, расположенного по адресу: Челябинская область, г. Магнитогорск, ул. Советская, 42, источником бесперебойного питания (ИБП) и интегрирование его в систему электроснабжения</v>
      </c>
      <c r="G13506" s="22" t="s">
        <v>469</v>
      </c>
      <c r="H13506" s="22" t="s">
        <v>469</v>
      </c>
      <c r="I13506" s="26">
        <v>43657.619050925903</v>
      </c>
      <c r="J13506" s="23" t="str">
        <f>HYPERLINK("https://www.spark-marketing.ru/Card/Person/6584219", "Клепиков Евгений Александрович")</f>
        <v>Клепиков Евгений Александрович</v>
      </c>
      <c r="K13506" s="24" t="s">
        <v>18125</v>
      </c>
      <c r="L13506" s="28" t="s">
        <v>51</v>
      </c>
      <c r="M13506" s="25">
        <v>1007034.3</v>
      </c>
      <c r="N13506" s="27">
        <v>0.1</v>
      </c>
    </row>
    <row r="13507" spans="1:14" x14ac:dyDescent="0.15">
      <c r="A13507" s="23" t="str">
        <f>HYPERLINK("https://www.spark-marketing.ru/Card/Person/1057882", "МО МВД РОССИИ ""РАЙЧИХИНСКОЕ""")</f>
        <v>МО МВД РОССИИ "РАЙЧИХИНСКОЕ"</v>
      </c>
      <c r="B13507" s="24" t="s">
        <v>13162</v>
      </c>
      <c r="C13507" s="25">
        <v>1450000</v>
      </c>
      <c r="D13507" s="22" t="s">
        <v>18126</v>
      </c>
      <c r="E13507" s="22" t="s">
        <v>96</v>
      </c>
      <c r="F13507" s="23" t="str">
        <f>HYPERLINK("https://www.spark-marketing.ru/Card/Lot/72046008", "услуги по организации трехразового горячего питания для лиц, следственно-арестованных, содержащихся в ИВС МО МВД России ""Райчихинское"" в 2020 году")</f>
        <v>услуги по организации трехразового горячего питания для лиц, следственно-арестованных, содержащихся в ИВС МО МВД России "Райчихинское" в 2020 году</v>
      </c>
      <c r="G13507" s="22" t="s">
        <v>210</v>
      </c>
      <c r="H13507" s="22" t="s">
        <v>13164</v>
      </c>
      <c r="I13507" s="26">
        <v>43657.590254629598</v>
      </c>
      <c r="J13507" s="28" t="s">
        <v>51</v>
      </c>
      <c r="K13507" s="28" t="s">
        <v>51</v>
      </c>
      <c r="L13507" s="28" t="s">
        <v>51</v>
      </c>
      <c r="M13507" s="28" t="s">
        <v>51</v>
      </c>
      <c r="N13507" s="28" t="s">
        <v>51</v>
      </c>
    </row>
    <row r="13508" spans="1:14" x14ac:dyDescent="0.15">
      <c r="A13508" s="23" t="str">
        <f>HYPERLINK("https://www.spark-marketing.ru/Card/Person/387004", "ДЕПАРТАМЕНТ ПРОМЫШЛЕННОСТИ И ТОРГОВЛИ ОРЛОВСКОЙ ОБЛАСТИ")</f>
        <v>ДЕПАРТАМЕНТ ПРОМЫШЛЕННОСТИ И ТОРГОВЛИ ОРЛОВСКОЙ ОБЛАСТИ</v>
      </c>
      <c r="B13508" s="24" t="s">
        <v>18127</v>
      </c>
      <c r="C13508" s="25">
        <v>558918.89</v>
      </c>
      <c r="D13508" s="22" t="s">
        <v>18128</v>
      </c>
      <c r="E13508" s="22" t="s">
        <v>48</v>
      </c>
      <c r="F13508" s="23" t="str">
        <f>HYPERLINK("https://www.spark-marketing.ru/Card/Lot/72044795", "Оказание услуг по организации питания в связи с проведением торжественного приема Губернатора Орловской области в честь празднования 76-летия освобождения города Орла и Орловской области от немецко-фашистских захватчиков")</f>
        <v>Оказание услуг по организации питания в связи с проведением торжественного приема Губернатора Орловской области в честь празднования 76-летия освобождения города Орла и Орловской области от немецко-фашистских захватчиков</v>
      </c>
      <c r="G13508" s="22" t="s">
        <v>1066</v>
      </c>
      <c r="H13508" s="22" t="s">
        <v>2864</v>
      </c>
      <c r="I13508" s="26">
        <v>43657.615462962996</v>
      </c>
      <c r="J13508" s="23" t="str">
        <f>HYPERLINK("https://www.spark-marketing.ru/Card/Person/2220258", "АО ПАРК-ОТЕЛЬ ""МЕЧТА""")</f>
        <v>АО ПАРК-ОТЕЛЬ "МЕЧТА"</v>
      </c>
      <c r="K13508" s="24" t="s">
        <v>18129</v>
      </c>
      <c r="L13508" s="22" t="s">
        <v>10</v>
      </c>
      <c r="M13508" s="28" t="s">
        <v>51</v>
      </c>
      <c r="N13508" s="28" t="s">
        <v>51</v>
      </c>
    </row>
    <row r="13509" spans="1:14" x14ac:dyDescent="0.15">
      <c r="A13509" s="23" t="str">
        <f>HYPERLINK("https://www.spark-marketing.ru/Card/Person/1059509", "ОМВД РОССИИ ПО ЮЖНО-КУРИЛЬСКОМУ ГОРОДСКОМУ ОКРУГУ")</f>
        <v>ОМВД РОССИИ ПО ЮЖНО-КУРИЛЬСКОМУ ГОРОДСКОМУ ОКРУГУ</v>
      </c>
      <c r="B13509" s="24" t="s">
        <v>15091</v>
      </c>
      <c r="C13509" s="25">
        <v>1700000</v>
      </c>
      <c r="D13509" s="22" t="s">
        <v>18130</v>
      </c>
      <c r="E13509" s="22" t="s">
        <v>48</v>
      </c>
      <c r="F13509" s="23" t="str">
        <f>HYPERLINK("https://www.spark-marketing.ru/Card/Lot/72022168", "Оказание услуг по обеспечению 3-х разовым ежедневным горячим питанием арестованных и административно-задержанных лиц")</f>
        <v>Оказание услуг по обеспечению 3-х разовым ежедневным горячим питанием арестованных и административно-задержанных лиц</v>
      </c>
      <c r="G13509" s="22" t="s">
        <v>260</v>
      </c>
      <c r="H13509" s="22" t="s">
        <v>15093</v>
      </c>
      <c r="I13509" s="26">
        <v>43657.607638888898</v>
      </c>
      <c r="J13509" s="28" t="s">
        <v>51</v>
      </c>
      <c r="K13509" s="28" t="s">
        <v>51</v>
      </c>
      <c r="L13509" s="28" t="s">
        <v>51</v>
      </c>
      <c r="M13509" s="28" t="s">
        <v>51</v>
      </c>
      <c r="N13509" s="28" t="s">
        <v>51</v>
      </c>
    </row>
    <row r="13510" spans="1:14" x14ac:dyDescent="0.15">
      <c r="A13510" s="23" t="str">
        <f>HYPERLINK("https://www.spark-marketing.ru/Card/Person/1085903", "МБУ СШ ""ПАРУС""")</f>
        <v>МБУ СШ "ПАРУС"</v>
      </c>
      <c r="B13510" s="24" t="s">
        <v>18131</v>
      </c>
      <c r="C13510" s="25">
        <v>12770</v>
      </c>
      <c r="D13510" s="22" t="s">
        <v>18132</v>
      </c>
      <c r="E13510" s="22" t="s">
        <v>48</v>
      </c>
      <c r="F13510" s="23" t="str">
        <f>HYPERLINK("https://www.spark-marketing.ru/Card/Lot/72034339", "Услуги по организации питания участников спортивно-массового мероприятия")</f>
        <v>Услуги по организации питания участников спортивно-массового мероприятия</v>
      </c>
      <c r="G13510" s="22" t="s">
        <v>49</v>
      </c>
      <c r="H13510" s="22" t="s">
        <v>4037</v>
      </c>
      <c r="I13510" s="26">
        <v>43657.603518518503</v>
      </c>
      <c r="J13510" s="28" t="s">
        <v>51</v>
      </c>
      <c r="K13510" s="28" t="s">
        <v>51</v>
      </c>
      <c r="L13510" s="28" t="s">
        <v>51</v>
      </c>
      <c r="M13510" s="28" t="s">
        <v>51</v>
      </c>
      <c r="N13510" s="28" t="s">
        <v>51</v>
      </c>
    </row>
    <row r="13511" spans="1:14" x14ac:dyDescent="0.15">
      <c r="A13511" s="23" t="str">
        <f>HYPERLINK("https://www.spark-marketing.ru/Card/Person/4348382", "ООО ""ГАЗПРОМ ПИТАНИЕ""")</f>
        <v>ООО "ГАЗПРОМ ПИТАНИЕ"</v>
      </c>
      <c r="B13511" s="24" t="s">
        <v>2869</v>
      </c>
      <c r="C13511" s="25">
        <v>83154.039999999994</v>
      </c>
      <c r="D13511" s="22" t="s">
        <v>18133</v>
      </c>
      <c r="E13511" s="22" t="s">
        <v>52</v>
      </c>
      <c r="F13511" s="23" t="str">
        <f>HYPERLINK("https://www.spark-marketing.ru/Card/Lot/72034771", "Оказание услуг по экспресс-доставке корреспонденции для нужд филиала саратовское уооп ооо «газпром питание»")</f>
        <v>Оказание услуг по экспресс-доставке корреспонденции для нужд филиала саратовское уооп ооо «газпром питание»</v>
      </c>
      <c r="G13511" s="22" t="s">
        <v>56</v>
      </c>
      <c r="H13511" s="22" t="s">
        <v>56</v>
      </c>
      <c r="I13511" s="26">
        <v>43657.583333333299</v>
      </c>
      <c r="J13511" s="28" t="s">
        <v>51</v>
      </c>
      <c r="K13511" s="28" t="s">
        <v>51</v>
      </c>
      <c r="L13511" s="28" t="s">
        <v>51</v>
      </c>
      <c r="M13511" s="28" t="s">
        <v>51</v>
      </c>
      <c r="N13511" s="28" t="s">
        <v>51</v>
      </c>
    </row>
    <row r="13512" spans="1:14" x14ac:dyDescent="0.15">
      <c r="A13512" s="23" t="str">
        <f>HYPERLINK("https://www.spark-marketing.ru/Card/Person/1761553", "МАУ ДО ДЮСШ ""РУБИН"" ГОРОДА ТЮМЕНИ")</f>
        <v>МАУ ДО ДЮСШ "РУБИН" ГОРОДА ТЮМЕНИ</v>
      </c>
      <c r="B13512" s="24" t="s">
        <v>18134</v>
      </c>
      <c r="C13512" s="25">
        <v>155440</v>
      </c>
      <c r="D13512" s="22" t="s">
        <v>18135</v>
      </c>
      <c r="E13512" s="22" t="s">
        <v>4655</v>
      </c>
      <c r="F13512" s="23" t="str">
        <f>HYPERLINK("https://www.spark-marketing.ru/Card/Lot/72031474", "Услуги по организации питания и проживания обучающимся по эстетической гимнастике в период тренировочных сборов")</f>
        <v>Услуги по организации питания и проживания обучающимся по эстетической гимнастике в период тренировочных сборов</v>
      </c>
      <c r="G13512" s="22" t="s">
        <v>104</v>
      </c>
      <c r="H13512" s="22" t="s">
        <v>104</v>
      </c>
      <c r="I13512" s="26">
        <v>43657.586666666699</v>
      </c>
      <c r="J13512" s="28" t="s">
        <v>51</v>
      </c>
      <c r="K13512" s="28" t="s">
        <v>51</v>
      </c>
      <c r="L13512" s="28" t="s">
        <v>51</v>
      </c>
      <c r="M13512" s="28" t="s">
        <v>51</v>
      </c>
      <c r="N13512" s="28" t="s">
        <v>51</v>
      </c>
    </row>
    <row r="13513" spans="1:14" x14ac:dyDescent="0.15">
      <c r="A13513" s="23" t="str">
        <f>HYPERLINK("https://www.spark-marketing.ru/Card/Person/56241", "МБУЗ ""ГОРОДСКАЯ БОЛЬНИЦА №7""")</f>
        <v>МБУЗ "ГОРОДСКАЯ БОЛЬНИЦА №7"</v>
      </c>
      <c r="B13513" s="24" t="s">
        <v>18136</v>
      </c>
      <c r="C13513" s="25">
        <v>299520</v>
      </c>
      <c r="D13513" s="22" t="s">
        <v>18137</v>
      </c>
      <c r="E13513" s="22" t="s">
        <v>48</v>
      </c>
      <c r="F13513" s="23" t="str">
        <f>HYPERLINK("https://www.spark-marketing.ru/Card/Lot/72032641", "оказание услуг по организации готового питания")</f>
        <v>оказание услуг по организации готового питания</v>
      </c>
      <c r="G13513" s="22" t="s">
        <v>267</v>
      </c>
      <c r="H13513" s="22" t="s">
        <v>1388</v>
      </c>
      <c r="I13513" s="26">
        <v>43657.601388888899</v>
      </c>
      <c r="J13513" s="28" t="s">
        <v>51</v>
      </c>
      <c r="K13513" s="28" t="s">
        <v>51</v>
      </c>
      <c r="L13513" s="28" t="s">
        <v>51</v>
      </c>
      <c r="M13513" s="28" t="s">
        <v>51</v>
      </c>
      <c r="N13513" s="28" t="s">
        <v>51</v>
      </c>
    </row>
    <row r="13514" spans="1:14" x14ac:dyDescent="0.15">
      <c r="A13514" s="23" t="str">
        <f>HYPERLINK("https://www.spark-marketing.ru/Card/Person/949594", "МБУ СШОР ""СТАРТ""")</f>
        <v>МБУ СШОР "СТАРТ"</v>
      </c>
      <c r="B13514" s="24" t="s">
        <v>17933</v>
      </c>
      <c r="C13514" s="25">
        <v>990000</v>
      </c>
      <c r="D13514" s="22" t="s">
        <v>18138</v>
      </c>
      <c r="E13514" s="22" t="s">
        <v>6915</v>
      </c>
      <c r="F13514" s="23" t="str">
        <f>HYPERLINK("https://www.spark-marketing.ru/Card/Lot/72045478", "Оказание услуг по организации питания и проживания в месте проведения тренировочных (учебно-тренировочных) сборов в летний каникулярный период, расположенном на территории Красноярского края путем предоставления путевок для нужд МБУ СШОР «Старт» г. З...")</f>
        <v>Оказание услуг по организации питания и проживания в месте проведения тренировочных (учебно-тренировочных) сборов в летний каникулярный период, расположенном на территории Красноярского края путем предоставления путевок для нужд МБУ СШОР «Старт» г. З...</v>
      </c>
      <c r="G13514" s="22" t="s">
        <v>281</v>
      </c>
      <c r="H13514" s="22" t="s">
        <v>281</v>
      </c>
      <c r="I13514" s="26">
        <v>43657.549027777801</v>
      </c>
      <c r="J13514" s="23" t="str">
        <f>HYPERLINK("https://www.spark-marketing.ru/Card/Person/4348567", "ООО ""САНАТОРИЙ-ПРОФИЛАКТОРИЙ ""БЕРЕЗКА""")</f>
        <v>ООО "САНАТОРИЙ-ПРОФИЛАКТОРИЙ "БЕРЕЗКА"</v>
      </c>
      <c r="K13514" s="24" t="s">
        <v>18139</v>
      </c>
      <c r="L13514" s="22" t="s">
        <v>10</v>
      </c>
      <c r="M13514" s="28" t="s">
        <v>51</v>
      </c>
      <c r="N13514" s="28" t="s">
        <v>51</v>
      </c>
    </row>
    <row r="13515" spans="1:14" x14ac:dyDescent="0.15">
      <c r="A13515" s="23" t="str">
        <f>HYPERLINK("https://www.spark-marketing.ru/Card/Person/101061", "МБОУ «УЛЬТ-ЯГУНСКАЯ СОШ»")</f>
        <v>МБОУ «УЛЬТ-ЯГУНСКАЯ СОШ»</v>
      </c>
      <c r="B13515" s="24" t="s">
        <v>18140</v>
      </c>
      <c r="C13515" s="25">
        <v>122900</v>
      </c>
      <c r="D13515" s="22" t="s">
        <v>18141</v>
      </c>
      <c r="E13515" s="22" t="s">
        <v>48</v>
      </c>
      <c r="F13515" s="23" t="str">
        <f>HYPERLINK("https://www.spark-marketing.ru/Card/Lot/72032182", "оказание услуг по организации питания детям школьного возраста в лагерях с дневным пребыванием детей")</f>
        <v>оказание услуг по организации питания детям школьного возраста в лагерях с дневным пребыванием детей</v>
      </c>
      <c r="G13515" s="22" t="s">
        <v>97</v>
      </c>
      <c r="H13515" s="22" t="s">
        <v>199</v>
      </c>
      <c r="I13515" s="26">
        <v>43657.573611111096</v>
      </c>
      <c r="J13515" s="28" t="s">
        <v>51</v>
      </c>
      <c r="K13515" s="28" t="s">
        <v>51</v>
      </c>
      <c r="L13515" s="28" t="s">
        <v>51</v>
      </c>
      <c r="M13515" s="28" t="s">
        <v>51</v>
      </c>
      <c r="N13515" s="28" t="s">
        <v>51</v>
      </c>
    </row>
    <row r="13516" spans="1:14" x14ac:dyDescent="0.15">
      <c r="A13516" s="23" t="str">
        <f>HYPERLINK("https://www.spark-marketing.ru/Card/Person/87529", "МБОУ ЛИЦЕЙ № 1 ИМ. А. БЛОКА")</f>
        <v>МБОУ ЛИЦЕЙ № 1 ИМ. А. БЛОКА</v>
      </c>
      <c r="B13516" s="24" t="s">
        <v>1575</v>
      </c>
      <c r="C13516" s="25">
        <v>214200</v>
      </c>
      <c r="D13516" s="22" t="s">
        <v>18142</v>
      </c>
      <c r="E13516" s="22" t="s">
        <v>48</v>
      </c>
      <c r="F13516" s="23" t="str">
        <f>HYPERLINK("https://www.spark-marketing.ru/Card/Lot/72032617", "Питание школьников в летнем лагере")</f>
        <v>Питание школьников в летнем лагере</v>
      </c>
      <c r="G13516" s="22" t="s">
        <v>49</v>
      </c>
      <c r="H13516" s="22" t="s">
        <v>204</v>
      </c>
      <c r="I13516" s="26">
        <v>43657.565787036998</v>
      </c>
      <c r="J13516" s="28" t="s">
        <v>51</v>
      </c>
      <c r="K13516" s="28" t="s">
        <v>51</v>
      </c>
      <c r="L13516" s="28" t="s">
        <v>51</v>
      </c>
      <c r="M13516" s="28" t="s">
        <v>51</v>
      </c>
      <c r="N13516" s="28" t="s">
        <v>51</v>
      </c>
    </row>
    <row r="13517" spans="1:14" x14ac:dyDescent="0.15">
      <c r="A13517" s="23" t="str">
        <f>HYPERLINK("https://www.spark-marketing.ru/Card/Person/27620", "ГБУЗ ""КУРУМКАНСКАЯ ЦРБ""")</f>
        <v>ГБУЗ "КУРУМКАНСКАЯ ЦРБ"</v>
      </c>
      <c r="B13517" s="24" t="s">
        <v>18143</v>
      </c>
      <c r="C13517" s="25">
        <v>2098961.27</v>
      </c>
      <c r="D13517" s="22" t="s">
        <v>18144</v>
      </c>
      <c r="E13517" s="22" t="s">
        <v>48</v>
      </c>
      <c r="F13517" s="23" t="str">
        <f>HYPERLINK("https://www.spark-marketing.ru/Card/Lot/72046495", "Оказание услуг по приготовлению и доставке лечебного питания для пациентов")</f>
        <v>Оказание услуг по приготовлению и доставке лечебного питания для пациентов</v>
      </c>
      <c r="G13517" s="22" t="s">
        <v>433</v>
      </c>
      <c r="H13517" s="22" t="s">
        <v>6794</v>
      </c>
      <c r="I13517" s="26">
        <v>43657.582233796304</v>
      </c>
      <c r="J13517" s="23" t="str">
        <f>HYPERLINK("https://www.spark-marketing.ru/Card/Person/305541", "Сынгеева Цыпылма Дубиевна")</f>
        <v>Сынгеева Цыпылма Дубиевна</v>
      </c>
      <c r="K13517" s="24" t="s">
        <v>18145</v>
      </c>
      <c r="L13517" s="22" t="s">
        <v>10</v>
      </c>
      <c r="M13517" s="28" t="s">
        <v>51</v>
      </c>
      <c r="N13517" s="28" t="s">
        <v>51</v>
      </c>
    </row>
    <row r="13518" spans="1:14" x14ac:dyDescent="0.15">
      <c r="A13518" s="23" t="str">
        <f>HYPERLINK("https://www.spark-marketing.ru/Card/Person/824884", "ГКУ РС (Я) ""КОБЯЙСКОЕ УСЗНИТ""")</f>
        <v>ГКУ РС (Я) "КОБЯЙСКОЕ УСЗНИТ"</v>
      </c>
      <c r="B13518" s="24" t="s">
        <v>18146</v>
      </c>
      <c r="C13518" s="25">
        <v>757480</v>
      </c>
      <c r="D13518" s="22" t="s">
        <v>18147</v>
      </c>
      <c r="E13518" s="22" t="s">
        <v>51</v>
      </c>
      <c r="F13518" s="23" t="str">
        <f>HYPERLINK("https://www.spark-marketing.ru/Card/Lot/72024338", "Оказание услуг по питанию находящихся в отделении социальной помощи")</f>
        <v>Оказание услуг по питанию находящихся в отделении социальной помощи</v>
      </c>
      <c r="G13518" s="22" t="s">
        <v>241</v>
      </c>
      <c r="H13518" s="22" t="s">
        <v>4480</v>
      </c>
      <c r="I13518" s="26">
        <v>43657.582638888904</v>
      </c>
      <c r="J13518" s="23" t="str">
        <f>HYPERLINK("https://www.spark-marketing.ru/Card/Person/1166176", "Столярова Наталья Андреевна")</f>
        <v>Столярова Наталья Андреевна</v>
      </c>
      <c r="K13518" s="24" t="s">
        <v>18148</v>
      </c>
      <c r="L13518" s="22" t="s">
        <v>10</v>
      </c>
      <c r="M13518" s="28" t="s">
        <v>51</v>
      </c>
      <c r="N13518" s="28" t="s">
        <v>51</v>
      </c>
    </row>
    <row r="13519" spans="1:14" x14ac:dyDescent="0.15">
      <c r="A13519" s="23" t="str">
        <f>HYPERLINK("https://www.spark-marketing.ru/Card/Person/19786", "ФГБУ ""РЦСМЭ"" МИНЗДРАВА РОССИИ")</f>
        <v>ФГБУ "РЦСМЭ" МИНЗДРАВА РОССИИ</v>
      </c>
      <c r="B13519" s="24" t="s">
        <v>18149</v>
      </c>
      <c r="C13519" s="25">
        <v>373538.99</v>
      </c>
      <c r="D13519" s="22" t="s">
        <v>18150</v>
      </c>
      <c r="E13519" s="22" t="s">
        <v>695</v>
      </c>
      <c r="F13519" s="23" t="str">
        <f>HYPERLINK("https://www.spark-marketing.ru/Card/Lot/72037079", "Оказание услуг по поверке, калибровке и аттестации оборудования для нужд федерального государственного бюджетного учреждения «Российский центр судебно-медицинской экспертизы» Министерства здравоохранения Российской Федерации")</f>
        <v>Оказание услуг по поверке, калибровке и аттестации оборудования для нужд федерального государственного бюджетного учреждения «Российский центр судебно-медицинской экспертизы» Министерства здравоохранения Российской Федерации</v>
      </c>
      <c r="G13519" s="22" t="s">
        <v>56</v>
      </c>
      <c r="H13519" s="22" t="s">
        <v>56</v>
      </c>
      <c r="I13519" s="26">
        <v>43657.532638888901</v>
      </c>
      <c r="J13519" s="28" t="s">
        <v>51</v>
      </c>
      <c r="K13519" s="28" t="s">
        <v>51</v>
      </c>
      <c r="L13519" s="28" t="s">
        <v>51</v>
      </c>
      <c r="M13519" s="28" t="s">
        <v>51</v>
      </c>
      <c r="N13519" s="28" t="s">
        <v>51</v>
      </c>
    </row>
    <row r="13520" spans="1:14" ht="12.75" hidden="1" outlineLevel="1" x14ac:dyDescent="0.2">
      <c r="A13520" s="23" t="str">
        <f>HYPERLINK("https://www.spark-marketing.ru/Card/Person/19786", "ФГБУ ""РЦСМЭ"" МИНЗДРАВА РОССИИ")</f>
        <v>ФГБУ "РЦСМЭ" МИНЗДРАВА РОССИИ</v>
      </c>
      <c r="B13520" s="24" t="s">
        <v>18149</v>
      </c>
      <c r="C13520" s="25">
        <v>373538.99</v>
      </c>
      <c r="D13520" s="22" t="s">
        <v>18150</v>
      </c>
      <c r="E13520" s="22" t="s">
        <v>695</v>
      </c>
      <c r="F13520" s="23" t="str">
        <f>HYPERLINK("https://www.spark-marketing.ru/Card/Lot/72037079", "Оказание услуг по поверке, калибровке и аттестации оборудования для нужд федерального государственного бюджетного учреждения «Российский центр судебно-медицинской экспертизы» Министерства здравоохранения Российской Федерации")</f>
        <v>Оказание услуг по поверке, калибровке и аттестации оборудования для нужд федерального государственного бюджетного учреждения «Российский центр судебно-медицинской экспертизы» Министерства здравоохранения Российской Федерации</v>
      </c>
      <c r="G13520" s="22" t="s">
        <v>56</v>
      </c>
      <c r="H13520" s="22" t="s">
        <v>56</v>
      </c>
      <c r="I13520" s="26">
        <v>43657.532638888901</v>
      </c>
      <c r="J13520" s="23" t="str">
        <f>HYPERLINK("https://www.spark-marketing.ru/Card/Person/119028", "ФБУ ""РОСТЕСТ-МОСКВА""")</f>
        <v>ФБУ "РОСТЕСТ-МОСКВА"</v>
      </c>
      <c r="K13520" s="24" t="s">
        <v>18151</v>
      </c>
      <c r="L13520" s="22" t="s">
        <v>10</v>
      </c>
      <c r="M13520" s="25">
        <v>184581.1</v>
      </c>
      <c r="N13520" s="27">
        <v>0.50585854504773387</v>
      </c>
    </row>
    <row r="13521" spans="1:14" hidden="1" outlineLevel="1" x14ac:dyDescent="0.2">
      <c r="A13521" s="23" t="str">
        <f>HYPERLINK("https://www.spark-marketing.ru/Card/Person/19786", "ФГБУ ""РЦСМЭ"" МИНЗДРАВА РОССИИ")</f>
        <v>ФГБУ "РЦСМЭ" МИНЗДРАВА РОССИИ</v>
      </c>
      <c r="B13521" s="24" t="s">
        <v>18149</v>
      </c>
      <c r="C13521" s="25">
        <v>373538.99</v>
      </c>
      <c r="D13521" s="22" t="s">
        <v>18150</v>
      </c>
      <c r="E13521" s="22" t="s">
        <v>695</v>
      </c>
      <c r="F13521" s="23" t="str">
        <f>HYPERLINK("https://www.spark-marketing.ru/Card/Lot/72037079", "Оказание услуг по поверке, калибровке и аттестации оборудования для нужд федерального государственного бюджетного учреждения «Российский центр судебно-медицинской экспертизы» Министерства здравоохранения Российской Федерации")</f>
        <v>Оказание услуг по поверке, калибровке и аттестации оборудования для нужд федерального государственного бюджетного учреждения «Российский центр судебно-медицинской экспертизы» Министерства здравоохранения Российской Федерации</v>
      </c>
      <c r="G13521" s="22" t="s">
        <v>56</v>
      </c>
      <c r="H13521" s="22" t="s">
        <v>56</v>
      </c>
      <c r="I13521" s="26">
        <v>43657.532638888901</v>
      </c>
      <c r="J13521" s="23" t="str">
        <f>HYPERLINK("https://www.spark-marketing.ru/Card/Person/13230", "ФГБУ ""ВНИИИМТ"" РОСЗДРАВНАДЗОРА")</f>
        <v>ФГБУ "ВНИИИМТ" РОСЗДРАВНАДЗОРА</v>
      </c>
      <c r="K13521" s="24" t="s">
        <v>18152</v>
      </c>
      <c r="L13521" s="28" t="s">
        <v>51</v>
      </c>
      <c r="M13521" s="25">
        <v>186448.79</v>
      </c>
      <c r="N13521" s="27">
        <v>0.50085855829936254</v>
      </c>
    </row>
    <row r="13522" spans="1:14" x14ac:dyDescent="0.15">
      <c r="A13522" s="23" t="str">
        <f>HYPERLINK("https://www.spark-marketing.ru/Card/Person/536388", "ОМВД РОССИИ ПО АРТИНСКОМУ РАЙОНУ")</f>
        <v>ОМВД РОССИИ ПО АРТИНСКОМУ РАЙОНУ</v>
      </c>
      <c r="B13522" s="24" t="s">
        <v>6007</v>
      </c>
      <c r="C13522" s="25">
        <v>304320</v>
      </c>
      <c r="D13522" s="22" t="s">
        <v>18153</v>
      </c>
      <c r="E13522" s="22" t="s">
        <v>48</v>
      </c>
      <c r="F13522" s="23" t="str">
        <f>HYPERLINK("https://www.spark-marketing.ru/Card/Lot/72036906", "Обеспечение горячим питанием лиц содержащихся в ИВС")</f>
        <v>Обеспечение горячим питанием лиц содержащихся в ИВС</v>
      </c>
      <c r="G13522" s="22" t="s">
        <v>174</v>
      </c>
      <c r="H13522" s="22" t="s">
        <v>6009</v>
      </c>
      <c r="I13522" s="26">
        <v>43657.533333333296</v>
      </c>
      <c r="J13522" s="28" t="s">
        <v>51</v>
      </c>
      <c r="K13522" s="28" t="s">
        <v>51</v>
      </c>
      <c r="L13522" s="28" t="s">
        <v>51</v>
      </c>
      <c r="M13522" s="28" t="s">
        <v>51</v>
      </c>
      <c r="N13522" s="28" t="s">
        <v>51</v>
      </c>
    </row>
    <row r="13523" spans="1:14" x14ac:dyDescent="0.15">
      <c r="A13523" s="23" t="str">
        <f>HYPERLINK("https://www.spark-marketing.ru/Card/Person/115516", "МО МВД РОССИИ ""ЧЕРЕМХОВСКИЙ""")</f>
        <v>МО МВД РОССИИ "ЧЕРЕМХОВСКИЙ"</v>
      </c>
      <c r="B13523" s="24" t="s">
        <v>18154</v>
      </c>
      <c r="C13523" s="25">
        <v>2163470</v>
      </c>
      <c r="D13523" s="22" t="s">
        <v>18155</v>
      </c>
      <c r="E13523" s="22" t="s">
        <v>48</v>
      </c>
      <c r="F13523" s="23" t="str">
        <f>HYPERLINK("https://www.spark-marketing.ru/Card/Lot/72025383", "Услуги по организации комплексного питания для лиц, содержащихся в ИВС")</f>
        <v>Услуги по организации комплексного питания для лиц, содержащихся в ИВС</v>
      </c>
      <c r="G13523" s="22" t="s">
        <v>263</v>
      </c>
      <c r="H13523" s="22" t="s">
        <v>18156</v>
      </c>
      <c r="I13523" s="26">
        <v>43657.530555555597</v>
      </c>
      <c r="J13523" s="23" t="str">
        <f>HYPERLINK("https://www.spark-marketing.ru/Card/Person/304066", "ООО ""МАРИЯ""")</f>
        <v>ООО "МАРИЯ"</v>
      </c>
      <c r="K13523" s="24" t="s">
        <v>18157</v>
      </c>
      <c r="L13523" s="22" t="s">
        <v>10</v>
      </c>
      <c r="M13523" s="28" t="s">
        <v>51</v>
      </c>
      <c r="N13523" s="28" t="s">
        <v>51</v>
      </c>
    </row>
    <row r="13524" spans="1:14" x14ac:dyDescent="0.15">
      <c r="A13524" s="23" t="str">
        <f>HYPERLINK("https://www.spark-marketing.ru/Card/Person/382462", "РОСТОВСКОЕ ЛУ МВД РОССИИ НА ТРАНСПОРТЕ")</f>
        <v>РОСТОВСКОЕ ЛУ МВД РОССИИ НА ТРАНСПОРТЕ</v>
      </c>
      <c r="B13524" s="24" t="s">
        <v>18158</v>
      </c>
      <c r="C13524" s="25">
        <v>31500</v>
      </c>
      <c r="D13524" s="22" t="s">
        <v>18159</v>
      </c>
      <c r="E13524" s="22" t="s">
        <v>48</v>
      </c>
      <c r="F13524" s="23" t="str">
        <f>HYPERLINK("https://www.spark-marketing.ru/Card/Lot/72030939",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3524" s="22" t="s">
        <v>267</v>
      </c>
      <c r="H13524" s="22" t="s">
        <v>590</v>
      </c>
      <c r="I13524" s="26">
        <v>43657.535902777803</v>
      </c>
      <c r="J13524" s="28" t="s">
        <v>51</v>
      </c>
      <c r="K13524" s="28" t="s">
        <v>51</v>
      </c>
      <c r="L13524" s="28" t="s">
        <v>51</v>
      </c>
      <c r="M13524" s="28" t="s">
        <v>51</v>
      </c>
      <c r="N13524" s="28" t="s">
        <v>51</v>
      </c>
    </row>
    <row r="13525" spans="1:14" x14ac:dyDescent="0.15">
      <c r="A13525" s="23" t="str">
        <f>HYPERLINK("https://www.spark-marketing.ru/Card/Person/86115", "МЕЖМУНИЦИПАЛЬНЫЙ ОТДЕЛ МВД РОССИИ ""БЕРЕЗОВСКИЙ""")</f>
        <v>МЕЖМУНИЦИПАЛЬНЫЙ ОТДЕЛ МВД РОССИИ "БЕРЕЗОВСКИЙ"</v>
      </c>
      <c r="B13525" s="24" t="s">
        <v>18160</v>
      </c>
      <c r="C13525" s="25">
        <v>1400000</v>
      </c>
      <c r="D13525" s="22" t="s">
        <v>18161</v>
      </c>
      <c r="E13525" s="22" t="s">
        <v>48</v>
      </c>
      <c r="F13525" s="23" t="str">
        <f>HYPERLINK("https://www.spark-marketing.ru/Card/Lot/72025372", "Оказание услуг по организации горячего питания для лиц содержащихся в изоляторе временного содержания")</f>
        <v>Оказание услуг по организации горячего питания для лиц содержащихся в изоляторе временного содержания</v>
      </c>
      <c r="G13525" s="22" t="s">
        <v>281</v>
      </c>
      <c r="H13525" s="22" t="s">
        <v>482</v>
      </c>
      <c r="I13525" s="26">
        <v>43657.506944444402</v>
      </c>
      <c r="J13525" s="23" t="str">
        <f>HYPERLINK("https://www.spark-marketing.ru/Card/Person/4887880", "ООО ""СИБИРЬ""")</f>
        <v>ООО "СИБИРЬ"</v>
      </c>
      <c r="K13525" s="24" t="s">
        <v>13666</v>
      </c>
      <c r="L13525" s="22" t="s">
        <v>10</v>
      </c>
      <c r="M13525" s="28" t="s">
        <v>51</v>
      </c>
      <c r="N13525" s="28" t="s">
        <v>51</v>
      </c>
    </row>
    <row r="13526" spans="1:14" x14ac:dyDescent="0.15">
      <c r="A13526" s="23" t="str">
        <f>HYPERLINK("https://www.spark-marketing.ru/Card/Person/3814", "УВД ПО САО ГУ МВД РОССИИ ПО Г.МОСКВЕ")</f>
        <v>УВД ПО САО ГУ МВД РОССИИ ПО Г.МОСКВЕ</v>
      </c>
      <c r="B13526" s="24" t="s">
        <v>18162</v>
      </c>
      <c r="C13526" s="25">
        <v>499852.79999999999</v>
      </c>
      <c r="D13526" s="22" t="s">
        <v>18163</v>
      </c>
      <c r="E13526" s="22" t="s">
        <v>48</v>
      </c>
      <c r="F13526" s="23" t="str">
        <f>HYPERLINK("https://www.spark-marketing.ru/Card/Lot/72043945", "Оказание услуг по обеспечению трехразовым питанием лиц, содержащихся в ИВС УВД по САО ГУ МВД России по г. Москве")</f>
        <v>Оказание услуг по обеспечению трехразовым питанием лиц, содержащихся в ИВС УВД по САО ГУ МВД России по г. Москве</v>
      </c>
      <c r="G13526" s="22" t="s">
        <v>56</v>
      </c>
      <c r="H13526" s="22" t="s">
        <v>56</v>
      </c>
      <c r="I13526" s="26">
        <v>43657.504166666702</v>
      </c>
      <c r="J13526" s="23" t="str">
        <f>HYPERLINK("https://www.spark-marketing.ru/Card/Person/6635200", "Сушкова Елена Владимировна")</f>
        <v>Сушкова Елена Владимировна</v>
      </c>
      <c r="K13526" s="24" t="s">
        <v>12452</v>
      </c>
      <c r="L13526" s="28" t="s">
        <v>51</v>
      </c>
      <c r="M13526" s="28" t="s">
        <v>51</v>
      </c>
      <c r="N13526" s="28" t="s">
        <v>51</v>
      </c>
    </row>
    <row r="13527" spans="1:14" ht="12.75" hidden="1" outlineLevel="1" x14ac:dyDescent="0.2">
      <c r="A13527" s="23" t="str">
        <f>HYPERLINK("https://www.spark-marketing.ru/Card/Person/3814", "УВД ПО САО ГУ МВД РОССИИ ПО Г.МОСКВЕ")</f>
        <v>УВД ПО САО ГУ МВД РОССИИ ПО Г.МОСКВЕ</v>
      </c>
      <c r="B13527" s="24" t="s">
        <v>18162</v>
      </c>
      <c r="C13527" s="25">
        <v>499852.79999999999</v>
      </c>
      <c r="D13527" s="22" t="s">
        <v>18163</v>
      </c>
      <c r="E13527" s="22" t="s">
        <v>48</v>
      </c>
      <c r="F13527" s="23" t="str">
        <f>HYPERLINK("https://www.spark-marketing.ru/Card/Lot/72043945", "Оказание услуг по обеспечению трехразовым питанием лиц, содержащихся в ИВС УВД по САО ГУ МВД России по г. Москве")</f>
        <v>Оказание услуг по обеспечению трехразовым питанием лиц, содержащихся в ИВС УВД по САО ГУ МВД России по г. Москве</v>
      </c>
      <c r="G13527" s="22" t="s">
        <v>56</v>
      </c>
      <c r="H13527" s="22" t="s">
        <v>56</v>
      </c>
      <c r="I13527" s="26">
        <v>43657.504166666702</v>
      </c>
      <c r="J13527" s="23" t="str">
        <f>HYPERLINK("https://www.spark-marketing.ru/Card/Person/6635200", "Сушкова Елена Владимировна")</f>
        <v>Сушкова Елена Владимировна</v>
      </c>
      <c r="K13527" s="24" t="s">
        <v>12452</v>
      </c>
      <c r="L13527" s="22" t="s">
        <v>10</v>
      </c>
      <c r="M13527" s="25">
        <v>497353.54</v>
      </c>
      <c r="N13527" s="27">
        <v>4.9999919976441067E-3</v>
      </c>
    </row>
    <row r="13528" spans="1:14" x14ac:dyDescent="0.15">
      <c r="A13528" s="23" t="str">
        <f>HYPERLINK("https://www.spark-marketing.ru/Card/Person/115516", "МО МВД РОССИИ ""ЧЕРЕМХОВСКИЙ""")</f>
        <v>МО МВД РОССИИ "ЧЕРЕМХОВСКИЙ"</v>
      </c>
      <c r="B13528" s="24" t="s">
        <v>18154</v>
      </c>
      <c r="C13528" s="25">
        <v>2163470</v>
      </c>
      <c r="D13528" s="22" t="s">
        <v>18164</v>
      </c>
      <c r="E13528" s="22" t="s">
        <v>48</v>
      </c>
      <c r="F13528" s="23" t="str">
        <f>HYPERLINK("https://www.spark-marketing.ru/Card/Lot/72025384", "Услуги по организации комплексного питания для лиц, содержащихся в ИВС")</f>
        <v>Услуги по организации комплексного питания для лиц, содержащихся в ИВС</v>
      </c>
      <c r="G13528" s="22" t="s">
        <v>263</v>
      </c>
      <c r="H13528" s="22" t="s">
        <v>18156</v>
      </c>
      <c r="I13528" s="26">
        <v>43657.529861111099</v>
      </c>
      <c r="J13528" s="23" t="str">
        <f>HYPERLINK("https://www.spark-marketing.ru/Card/Person/304066", "ООО ""МАРИЯ""")</f>
        <v>ООО "МАРИЯ"</v>
      </c>
      <c r="K13528" s="24" t="s">
        <v>18157</v>
      </c>
      <c r="L13528" s="22" t="s">
        <v>10</v>
      </c>
      <c r="M13528" s="28" t="s">
        <v>51</v>
      </c>
      <c r="N13528" s="28" t="s">
        <v>51</v>
      </c>
    </row>
    <row r="13529" spans="1:14" x14ac:dyDescent="0.15">
      <c r="A13529" s="23" t="str">
        <f>HYPERLINK("https://www.spark-marketing.ru/Card/Person/56266", "СПБ ГБПОУ ""МК №1""")</f>
        <v>СПБ ГБПОУ "МК №1"</v>
      </c>
      <c r="B13529" s="24" t="s">
        <v>18165</v>
      </c>
      <c r="C13529" s="25">
        <v>450800</v>
      </c>
      <c r="D13529" s="22" t="s">
        <v>18166</v>
      </c>
      <c r="E13529" s="22" t="s">
        <v>48</v>
      </c>
      <c r="F13529" s="23" t="str">
        <f>HYPERLINK("https://www.spark-marketing.ru/Card/Lot/72043823", "Оказание услуг по организации социального питания в СПб ГБПОУ ""МК №1"" во 2-ом полугодии 2019 года")</f>
        <v>Оказание услуг по организации социального питания в СПб ГБПОУ "МК №1" во 2-ом полугодии 2019 года</v>
      </c>
      <c r="G13529" s="22" t="s">
        <v>117</v>
      </c>
      <c r="H13529" s="22" t="s">
        <v>117</v>
      </c>
      <c r="I13529" s="26">
        <v>43657.469444444403</v>
      </c>
      <c r="J13529" s="23" t="str">
        <f>HYPERLINK("https://www.spark-marketing.ru/Card/Person/138742", "ООО ""ФУД-СЕРВИС""")</f>
        <v>ООО "ФУД-СЕРВИС"</v>
      </c>
      <c r="K13529" s="24" t="s">
        <v>15589</v>
      </c>
      <c r="L13529" s="28" t="s">
        <v>51</v>
      </c>
      <c r="M13529" s="28" t="s">
        <v>51</v>
      </c>
      <c r="N13529" s="28" t="s">
        <v>51</v>
      </c>
    </row>
    <row r="13530" spans="1:14" hidden="1" outlineLevel="1" x14ac:dyDescent="0.15">
      <c r="A13530" s="23" t="str">
        <f>HYPERLINK("https://www.spark-marketing.ru/Card/Person/56266", "СПБ ГБПОУ ""МК №1""")</f>
        <v>СПБ ГБПОУ "МК №1"</v>
      </c>
      <c r="B13530" s="24" t="s">
        <v>18165</v>
      </c>
      <c r="C13530" s="25">
        <v>450800</v>
      </c>
      <c r="D13530" s="22" t="s">
        <v>18166</v>
      </c>
      <c r="E13530" s="22" t="s">
        <v>48</v>
      </c>
      <c r="F13530" s="23" t="str">
        <f>HYPERLINK("https://www.spark-marketing.ru/Card/Lot/72043823", "Оказание услуг по организации социального питания в СПб ГБПОУ ""МК №1"" во 2-ом полугодии 2019 года")</f>
        <v>Оказание услуг по организации социального питания в СПб ГБПОУ "МК №1" во 2-ом полугодии 2019 года</v>
      </c>
      <c r="G13530" s="22" t="s">
        <v>117</v>
      </c>
      <c r="H13530" s="22" t="s">
        <v>117</v>
      </c>
      <c r="I13530" s="26">
        <v>43657.469444444403</v>
      </c>
      <c r="J13530" s="23" t="str">
        <f>HYPERLINK("https://www.spark-marketing.ru/Card/Person/138742", "ООО ""ФУД-СЕРВИС""")</f>
        <v>ООО "ФУД-СЕРВИС"</v>
      </c>
      <c r="K13530" s="24" t="s">
        <v>15589</v>
      </c>
      <c r="L13530" s="22" t="s">
        <v>10</v>
      </c>
      <c r="M13530" s="28" t="s">
        <v>51</v>
      </c>
      <c r="N13530" s="28" t="s">
        <v>51</v>
      </c>
    </row>
    <row r="13531" spans="1:14" x14ac:dyDescent="0.15">
      <c r="A13531" s="23" t="str">
        <f>HYPERLINK("https://www.spark-marketing.ru/Card/Person/153944", "АДМИНИСТРАЦИЯ ГО БАЛАШИХА")</f>
        <v>АДМИНИСТРАЦИЯ ГО БАЛАШИХА</v>
      </c>
      <c r="B13531" s="24" t="s">
        <v>18167</v>
      </c>
      <c r="C13531" s="25">
        <v>2200000</v>
      </c>
      <c r="D13531" s="22" t="s">
        <v>18168</v>
      </c>
      <c r="E13531" s="22" t="s">
        <v>13792</v>
      </c>
      <c r="F13531" s="23" t="str">
        <f>HYPERLINK("https://www.spark-marketing.ru/Card/Lot/72046377", "Оказание услуг по аренде оборудования для проведения мероприятий")</f>
        <v>Оказание услуг по аренде оборудования для проведения мероприятий</v>
      </c>
      <c r="G13531" s="22" t="s">
        <v>49</v>
      </c>
      <c r="H13531" s="22" t="s">
        <v>7442</v>
      </c>
      <c r="I13531" s="26">
        <v>43657.475833333301</v>
      </c>
      <c r="J13531" s="28" t="s">
        <v>51</v>
      </c>
      <c r="K13531" s="28" t="s">
        <v>51</v>
      </c>
      <c r="L13531" s="28" t="s">
        <v>51</v>
      </c>
      <c r="M13531" s="28" t="s">
        <v>51</v>
      </c>
      <c r="N13531" s="28" t="s">
        <v>51</v>
      </c>
    </row>
    <row r="13532" spans="1:14" hidden="1" outlineLevel="1" x14ac:dyDescent="0.2">
      <c r="A13532" s="23" t="str">
        <f>HYPERLINK("https://www.spark-marketing.ru/Card/Person/153944", "АДМИНИСТРАЦИЯ ГО БАЛАШИХА")</f>
        <v>АДМИНИСТРАЦИЯ ГО БАЛАШИХА</v>
      </c>
      <c r="B13532" s="24" t="s">
        <v>18167</v>
      </c>
      <c r="C13532" s="25">
        <v>2200000</v>
      </c>
      <c r="D13532" s="22" t="s">
        <v>18168</v>
      </c>
      <c r="E13532" s="22" t="s">
        <v>13792</v>
      </c>
      <c r="F13532" s="23" t="str">
        <f>HYPERLINK("https://www.spark-marketing.ru/Card/Lot/72046377", "Оказание услуг по аренде оборудования для проведения мероприятий")</f>
        <v>Оказание услуг по аренде оборудования для проведения мероприятий</v>
      </c>
      <c r="G13532" s="22" t="s">
        <v>49</v>
      </c>
      <c r="H13532" s="22" t="s">
        <v>7442</v>
      </c>
      <c r="I13532" s="26">
        <v>43657.475833333301</v>
      </c>
      <c r="J13532" s="23" t="str">
        <f>HYPERLINK("https://www.spark-marketing.ru/Card/Person/6416230", "Шадрин Евгений Олегович")</f>
        <v>Шадрин Евгений Олегович</v>
      </c>
      <c r="K13532" s="24" t="s">
        <v>18169</v>
      </c>
      <c r="L13532" s="28" t="s">
        <v>51</v>
      </c>
      <c r="M13532" s="25">
        <v>2101000</v>
      </c>
      <c r="N13532" s="27">
        <v>4.4999999999999998E-2</v>
      </c>
    </row>
    <row r="13533" spans="1:14" ht="12.75" hidden="1" outlineLevel="1" x14ac:dyDescent="0.2">
      <c r="A13533" s="23" t="str">
        <f>HYPERLINK("https://www.spark-marketing.ru/Card/Person/153944", "АДМИНИСТРАЦИЯ ГО БАЛАШИХА")</f>
        <v>АДМИНИСТРАЦИЯ ГО БАЛАШИХА</v>
      </c>
      <c r="B13533" s="24" t="s">
        <v>18167</v>
      </c>
      <c r="C13533" s="25">
        <v>2200000</v>
      </c>
      <c r="D13533" s="22" t="s">
        <v>18168</v>
      </c>
      <c r="E13533" s="22" t="s">
        <v>13792</v>
      </c>
      <c r="F13533" s="23" t="str">
        <f>HYPERLINK("https://www.spark-marketing.ru/Card/Lot/72046377", "Оказание услуг по аренде оборудования для проведения мероприятий")</f>
        <v>Оказание услуг по аренде оборудования для проведения мероприятий</v>
      </c>
      <c r="G13533" s="22" t="s">
        <v>49</v>
      </c>
      <c r="H13533" s="22" t="s">
        <v>7442</v>
      </c>
      <c r="I13533" s="26">
        <v>43657.475833333301</v>
      </c>
      <c r="J13533" s="23" t="str">
        <f>HYPERLINK("https://www.spark-marketing.ru/Card/Person/6209763", "Шмальченко Дмитрий Викторович")</f>
        <v>Шмальченко Дмитрий Викторович</v>
      </c>
      <c r="K13533" s="24" t="s">
        <v>18170</v>
      </c>
      <c r="L13533" s="22" t="s">
        <v>10</v>
      </c>
      <c r="M13533" s="25">
        <v>2090000</v>
      </c>
      <c r="N13533" s="27">
        <v>0.05</v>
      </c>
    </row>
    <row r="13534" spans="1:14" x14ac:dyDescent="0.15">
      <c r="A13534" s="23" t="str">
        <f>HYPERLINK("https://www.spark-marketing.ru/Card/Person/1074227", "ОМВД РОССИИ ПО АСКИЗСКОМУ РАЙОНУ")</f>
        <v>ОМВД РОССИИ ПО АСКИЗСКОМУ РАЙОНУ</v>
      </c>
      <c r="B13534" s="24" t="s">
        <v>15185</v>
      </c>
      <c r="C13534" s="25">
        <v>594000</v>
      </c>
      <c r="D13534" s="22" t="s">
        <v>18171</v>
      </c>
      <c r="E13534" s="22" t="s">
        <v>48</v>
      </c>
      <c r="F13534" s="23" t="str">
        <f>HYPERLINK("https://www.spark-marketing.ru/Card/Lot/72024244", "оказание услуг по обеспечению горячим трехразовым питанием лиц, подозреваемых и обвиняемых в совершении преступлений, арестованных за совершение административных правонарушений, содержащихся в изоляторе временного содержания подозреваемых и обвиняемы...")</f>
        <v>оказание услуг по обеспечению горячим трехразовым питанием лиц, подозреваемых и обвиняемых в совершении преступлений, арестованных за совершение административных правонарушений, содержащихся в изоляторе временного содержания подозреваемых и обвиняемы...</v>
      </c>
      <c r="G13534" s="22" t="s">
        <v>92</v>
      </c>
      <c r="H13534" s="22" t="s">
        <v>15187</v>
      </c>
      <c r="I13534" s="26">
        <v>43657.496527777803</v>
      </c>
      <c r="J13534" s="28" t="s">
        <v>51</v>
      </c>
      <c r="K13534" s="28" t="s">
        <v>51</v>
      </c>
      <c r="L13534" s="28" t="s">
        <v>51</v>
      </c>
      <c r="M13534" s="28" t="s">
        <v>51</v>
      </c>
      <c r="N13534" s="28" t="s">
        <v>51</v>
      </c>
    </row>
    <row r="13535" spans="1:14" x14ac:dyDescent="0.15">
      <c r="A13535" s="23" t="str">
        <f>HYPERLINK("https://www.spark-marketing.ru/Card/Person/1074227", "ОМВД РОССИИ ПО АСКИЗСКОМУ РАЙОНУ")</f>
        <v>ОМВД РОССИИ ПО АСКИЗСКОМУ РАЙОНУ</v>
      </c>
      <c r="B13535" s="24" t="s">
        <v>15185</v>
      </c>
      <c r="C13535" s="25">
        <v>594000</v>
      </c>
      <c r="D13535" s="22" t="s">
        <v>18172</v>
      </c>
      <c r="E13535" s="22" t="s">
        <v>48</v>
      </c>
      <c r="F13535" s="23" t="str">
        <f>HYPERLINK("https://www.spark-marketing.ru/Card/Lot/72024245", "оказание услуг по обеспечению горячим трехразовым питанием лиц, подозреваемых и обвиняемых в совершении преступлений, арестованных за совершение административных правонарушений, содержащихся в изоляторе временного содержания подозреваемых и обвиняемы...")</f>
        <v>оказание услуг по обеспечению горячим трехразовым питанием лиц, подозреваемых и обвиняемых в совершении преступлений, арестованных за совершение административных правонарушений, содержащихся в изоляторе временного содержания подозреваемых и обвиняемы...</v>
      </c>
      <c r="G13535" s="22" t="s">
        <v>92</v>
      </c>
      <c r="H13535" s="22" t="s">
        <v>15187</v>
      </c>
      <c r="I13535" s="26">
        <v>43657.497222222199</v>
      </c>
      <c r="J13535" s="28" t="s">
        <v>51</v>
      </c>
      <c r="K13535" s="28" t="s">
        <v>51</v>
      </c>
      <c r="L13535" s="28" t="s">
        <v>51</v>
      </c>
      <c r="M13535" s="28" t="s">
        <v>51</v>
      </c>
      <c r="N13535" s="28" t="s">
        <v>51</v>
      </c>
    </row>
    <row r="13536" spans="1:14" x14ac:dyDescent="0.15">
      <c r="A13536" s="23" t="str">
        <f>HYPERLINK("https://www.spark-marketing.ru/Card/Person/1763896", "ОДО МАУ ЦДОДГИ")</f>
        <v>ОДО МАУ ЦДОДГИ</v>
      </c>
      <c r="B13536" s="24" t="s">
        <v>18173</v>
      </c>
      <c r="C13536" s="25">
        <v>329400</v>
      </c>
      <c r="D13536" s="22" t="s">
        <v>18174</v>
      </c>
      <c r="E13536" s="22" t="s">
        <v>362</v>
      </c>
      <c r="F13536" s="23" t="str">
        <f>HYPERLINK("https://www.spark-marketing.ru/Card/Lot/72024890", "Поставка продуктов общественного питания")</f>
        <v>Поставка продуктов общественного питания</v>
      </c>
      <c r="G13536" s="22" t="s">
        <v>766</v>
      </c>
      <c r="H13536" s="22" t="s">
        <v>766</v>
      </c>
      <c r="I13536" s="26">
        <v>43657.4835648148</v>
      </c>
      <c r="J13536" s="28" t="s">
        <v>51</v>
      </c>
      <c r="K13536" s="28" t="s">
        <v>51</v>
      </c>
      <c r="L13536" s="28" t="s">
        <v>51</v>
      </c>
      <c r="M13536" s="28" t="s">
        <v>51</v>
      </c>
      <c r="N13536" s="28" t="s">
        <v>51</v>
      </c>
    </row>
    <row r="13537" spans="1:14" x14ac:dyDescent="0.15">
      <c r="A13537" s="23" t="str">
        <f>HYPERLINK("https://www.spark-marketing.ru/Card/Person/56553", "ГБУЗ ИБ № 3")</f>
        <v>ГБУЗ ИБ № 3</v>
      </c>
      <c r="B13537" s="24" t="s">
        <v>254</v>
      </c>
      <c r="C13537" s="25">
        <v>499330</v>
      </c>
      <c r="D13537" s="22" t="s">
        <v>18175</v>
      </c>
      <c r="E13537" s="22" t="s">
        <v>96</v>
      </c>
      <c r="F13537" s="23" t="str">
        <f>HYPERLINK("https://www.spark-marketing.ru/Card/Lot/72043878", "Оказание услуг по обеспечению лечебным питанием")</f>
        <v>Оказание услуг по обеспечению лечебным питанием</v>
      </c>
      <c r="G13537" s="22" t="s">
        <v>104</v>
      </c>
      <c r="H13537" s="22" t="s">
        <v>1689</v>
      </c>
      <c r="I13537" s="26">
        <v>43657.477083333302</v>
      </c>
      <c r="J13537" s="28" t="s">
        <v>51</v>
      </c>
      <c r="K13537" s="28" t="s">
        <v>51</v>
      </c>
      <c r="L13537" s="28" t="s">
        <v>51</v>
      </c>
      <c r="M13537" s="28" t="s">
        <v>51</v>
      </c>
      <c r="N13537" s="28" t="s">
        <v>51</v>
      </c>
    </row>
    <row r="13538" spans="1:14" hidden="1" outlineLevel="1" x14ac:dyDescent="0.2">
      <c r="A13538" s="23" t="str">
        <f>HYPERLINK("https://www.spark-marketing.ru/Card/Person/56553", "ГБУЗ ИБ № 3")</f>
        <v>ГБУЗ ИБ № 3</v>
      </c>
      <c r="B13538" s="24" t="s">
        <v>254</v>
      </c>
      <c r="C13538" s="25">
        <v>499330</v>
      </c>
      <c r="D13538" s="22" t="s">
        <v>18175</v>
      </c>
      <c r="E13538" s="22" t="s">
        <v>96</v>
      </c>
      <c r="F13538" s="23" t="str">
        <f>HYPERLINK("https://www.spark-marketing.ru/Card/Lot/72043878", "Оказание услуг по обеспечению лечебным питанием")</f>
        <v>Оказание услуг по обеспечению лечебным питанием</v>
      </c>
      <c r="G13538" s="22" t="s">
        <v>104</v>
      </c>
      <c r="H13538" s="22" t="s">
        <v>1689</v>
      </c>
      <c r="I13538" s="26">
        <v>43657.477083333302</v>
      </c>
      <c r="J13538" s="23" t="str">
        <f>HYPERLINK("https://www.spark-marketing.ru/Card/Person/54395", "Третьяков Вячеслав Викторович")</f>
        <v>Третьяков Вячеслав Викторович</v>
      </c>
      <c r="K13538" s="24" t="s">
        <v>1690</v>
      </c>
      <c r="L13538" s="28" t="s">
        <v>51</v>
      </c>
      <c r="M13538" s="25">
        <v>314577.90000000002</v>
      </c>
      <c r="N13538" s="27">
        <v>0.37</v>
      </c>
    </row>
    <row r="13539" spans="1:14" ht="12.75" hidden="1" outlineLevel="1" x14ac:dyDescent="0.2">
      <c r="A13539" s="23" t="str">
        <f>HYPERLINK("https://www.spark-marketing.ru/Card/Person/56553", "ГБУЗ ИБ № 3")</f>
        <v>ГБУЗ ИБ № 3</v>
      </c>
      <c r="B13539" s="24" t="s">
        <v>254</v>
      </c>
      <c r="C13539" s="25">
        <v>499330</v>
      </c>
      <c r="D13539" s="22" t="s">
        <v>18175</v>
      </c>
      <c r="E13539" s="22" t="s">
        <v>96</v>
      </c>
      <c r="F13539" s="23" t="str">
        <f>HYPERLINK("https://www.spark-marketing.ru/Card/Lot/72043878", "Оказание услуг по обеспечению лечебным питанием")</f>
        <v>Оказание услуг по обеспечению лечебным питанием</v>
      </c>
      <c r="G13539" s="22" t="s">
        <v>104</v>
      </c>
      <c r="H13539" s="22" t="s">
        <v>1689</v>
      </c>
      <c r="I13539" s="26">
        <v>43657.477083333302</v>
      </c>
      <c r="J13539" s="23" t="str">
        <f>HYPERLINK("https://www.spark-marketing.ru/Card/Person/2461569", "ООО ""КОНСТАНТИНОВ""")</f>
        <v>ООО "КОНСТАНТИНОВ"</v>
      </c>
      <c r="K13539" s="24" t="s">
        <v>1691</v>
      </c>
      <c r="L13539" s="22" t="s">
        <v>10</v>
      </c>
      <c r="M13539" s="25">
        <v>312081.25</v>
      </c>
      <c r="N13539" s="27">
        <v>0.375</v>
      </c>
    </row>
    <row r="13540" spans="1:14" x14ac:dyDescent="0.15">
      <c r="A13540" s="23" t="str">
        <f>HYPERLINK("https://www.spark-marketing.ru/Card/Person/21876", "ФГБУ ""ТЦСКР ""ОЗЕРО КРУГЛОЕ""")</f>
        <v>ФГБУ "ТЦСКР "ОЗЕРО КРУГЛОЕ"</v>
      </c>
      <c r="B13540" s="24" t="s">
        <v>9590</v>
      </c>
      <c r="C13540" s="25">
        <v>2000000</v>
      </c>
      <c r="D13540" s="22" t="s">
        <v>18176</v>
      </c>
      <c r="E13540" s="22" t="s">
        <v>2217</v>
      </c>
      <c r="F13540" s="23" t="str">
        <f>HYPERLINK("https://www.spark-marketing.ru/Card/Lot/72029321", "Оказание услуг питания")</f>
        <v>Оказание услуг питания</v>
      </c>
      <c r="G13540" s="22" t="s">
        <v>49</v>
      </c>
      <c r="H13540" s="22" t="s">
        <v>49</v>
      </c>
      <c r="I13540" s="26">
        <v>43657.4604398148</v>
      </c>
      <c r="J13540" s="28" t="s">
        <v>51</v>
      </c>
      <c r="K13540" s="28" t="s">
        <v>51</v>
      </c>
      <c r="L13540" s="28" t="s">
        <v>51</v>
      </c>
      <c r="M13540" s="28" t="s">
        <v>51</v>
      </c>
      <c r="N13540" s="28" t="s">
        <v>51</v>
      </c>
    </row>
    <row r="13541" spans="1:14" x14ac:dyDescent="0.15">
      <c r="A1354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3541" s="24" t="s">
        <v>3255</v>
      </c>
      <c r="C13541" s="25">
        <v>161726.39999999999</v>
      </c>
      <c r="D13541" s="22" t="s">
        <v>18177</v>
      </c>
      <c r="E13541" s="22" t="s">
        <v>52</v>
      </c>
      <c r="F13541" s="23" t="str">
        <f>HYPERLINK("https://www.spark-marketing.ru/Card/Lot/72021722", "Поставка лекарственного препарата для медицинского применения ""Кветиапин""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пр...")</f>
        <v>Поставка лекарственного препарата для медицинского применения "Кветиапин"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</v>
      </c>
      <c r="G13541" s="22" t="s">
        <v>210</v>
      </c>
      <c r="H13541" s="22" t="s">
        <v>3257</v>
      </c>
      <c r="I13541" s="26">
        <v>43657.485416666699</v>
      </c>
      <c r="J13541" s="23" t="str">
        <f>HYPERLINK("https://www.spark-marketing.ru/Card/Person/6231467", "ООО ""ОБЛФАРМ АЛЬЯНС""")</f>
        <v>ООО "ОБЛФАРМ АЛЬЯНС"</v>
      </c>
      <c r="K13541" s="24" t="s">
        <v>2175</v>
      </c>
      <c r="L13541" s="22" t="s">
        <v>10</v>
      </c>
      <c r="M13541" s="28" t="s">
        <v>51</v>
      </c>
      <c r="N13541" s="28" t="s">
        <v>51</v>
      </c>
    </row>
    <row r="13542" spans="1:14" x14ac:dyDescent="0.15">
      <c r="A13542" s="23" t="str">
        <f>HYPERLINK("https://www.spark-marketing.ru/Card/Person/141004", "МБОУ ШКОЛА С. АНУЧИНО")</f>
        <v>МБОУ ШКОЛА С. АНУЧИНО</v>
      </c>
      <c r="B13542" s="24" t="s">
        <v>15873</v>
      </c>
      <c r="C13542" s="25">
        <v>649190.40000000002</v>
      </c>
      <c r="D13542" s="22" t="s">
        <v>18178</v>
      </c>
      <c r="E13542" s="22" t="s">
        <v>48</v>
      </c>
      <c r="F13542" s="23" t="str">
        <f>HYPERLINK("https://www.spark-marketing.ru/Card/Lot/72021102", "Оказание услуг по организации питания обучающихся в филиалах муниципального бюджетного общеобразовательного учреждения «Средняя школа с. Анучино Анучинского района Приморского края»")</f>
        <v>Оказание услуг по организации питания обучающихся в филиалах муниципального бюджетного общеобразовательного учреждения «Средняя школа с. Анучино Анучинского района Приморского края»</v>
      </c>
      <c r="G13542" s="22" t="s">
        <v>543</v>
      </c>
      <c r="H13542" s="22" t="s">
        <v>15869</v>
      </c>
      <c r="I13542" s="26">
        <v>43657.435416666704</v>
      </c>
      <c r="J13542" s="23" t="str">
        <f>HYPERLINK("https://www.spark-marketing.ru/Card/Person/218799", "АУ ""ЦЕНТР ПИТАНИЯ""")</f>
        <v>АУ "ЦЕНТР ПИТАНИЯ"</v>
      </c>
      <c r="K13542" s="24" t="s">
        <v>15870</v>
      </c>
      <c r="L13542" s="28" t="s">
        <v>51</v>
      </c>
      <c r="M13542" s="28" t="s">
        <v>51</v>
      </c>
      <c r="N13542" s="28" t="s">
        <v>51</v>
      </c>
    </row>
    <row r="13543" spans="1:14" x14ac:dyDescent="0.15">
      <c r="A13543" s="23" t="str">
        <f>HYPERLINK("https://www.spark-marketing.ru/Card/Person/141004", "МБОУ ШКОЛА С. АНУЧИНО")</f>
        <v>МБОУ ШКОЛА С. АНУЧИНО</v>
      </c>
      <c r="B13543" s="24" t="s">
        <v>15873</v>
      </c>
      <c r="C13543" s="25">
        <v>1913601.2</v>
      </c>
      <c r="D13543" s="22" t="s">
        <v>18179</v>
      </c>
      <c r="E13543" s="22" t="s">
        <v>48</v>
      </c>
      <c r="F13543" s="23" t="str">
        <f>HYPERLINK("https://www.spark-marketing.ru/Card/Lot/72021120", "Оказание услуг по организации питания обучающихся  муниципального бюджетного общеобразовательного учреждения «Средняя школа с. Анучино Анучинского района Приморского края»")</f>
        <v>Оказание услуг по организации питания обучающихся  муниципального бюджетного общеобразовательного учреждения «Средняя школа с. Анучино Анучинского района Приморского края»</v>
      </c>
      <c r="G13543" s="22" t="s">
        <v>543</v>
      </c>
      <c r="H13543" s="22" t="s">
        <v>15869</v>
      </c>
      <c r="I13543" s="26">
        <v>43657.435416666704</v>
      </c>
      <c r="J13543" s="23" t="str">
        <f>HYPERLINK("https://www.spark-marketing.ru/Card/Person/218799", "АУ ""ЦЕНТР ПИТАНИЯ""")</f>
        <v>АУ "ЦЕНТР ПИТАНИЯ"</v>
      </c>
      <c r="K13543" s="24" t="s">
        <v>15870</v>
      </c>
      <c r="L13543" s="28" t="s">
        <v>51</v>
      </c>
      <c r="M13543" s="28" t="s">
        <v>51</v>
      </c>
      <c r="N13543" s="28" t="s">
        <v>51</v>
      </c>
    </row>
    <row r="13544" spans="1:14" x14ac:dyDescent="0.15">
      <c r="A13544" s="23" t="str">
        <f>HYPERLINK("https://www.spark-marketing.ru/Card/Person/134620", "ЕНИСЕЙСКОЕ БВУ")</f>
        <v>ЕНИСЕЙСКОЕ БВУ</v>
      </c>
      <c r="B13544" s="24" t="s">
        <v>18180</v>
      </c>
      <c r="C13544" s="25">
        <v>74760</v>
      </c>
      <c r="D13544" s="22" t="s">
        <v>18181</v>
      </c>
      <c r="E13544" s="22" t="s">
        <v>96</v>
      </c>
      <c r="F13544" s="23" t="str">
        <f>HYPERLINK("https://www.spark-marketing.ru/Card/Lot/72025635",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3544" s="22" t="s">
        <v>174</v>
      </c>
      <c r="H13544" s="22" t="s">
        <v>530</v>
      </c>
      <c r="I13544" s="26">
        <v>43657.443460648101</v>
      </c>
      <c r="J13544" s="28" t="s">
        <v>51</v>
      </c>
      <c r="K13544" s="28" t="s">
        <v>51</v>
      </c>
      <c r="L13544" s="28" t="s">
        <v>51</v>
      </c>
      <c r="M13544" s="28" t="s">
        <v>51</v>
      </c>
      <c r="N13544" s="28" t="s">
        <v>51</v>
      </c>
    </row>
    <row r="13545" spans="1:14" x14ac:dyDescent="0.15">
      <c r="A13545" s="23" t="str">
        <f>HYPERLINK("https://www.spark-marketing.ru/Card/Person/95243", "МБОУ ШКОЛА С. ЧЕРНЫШЕВКА")</f>
        <v>МБОУ ШКОЛА С. ЧЕРНЫШЕВКА</v>
      </c>
      <c r="B13545" s="24" t="s">
        <v>15877</v>
      </c>
      <c r="C13545" s="25">
        <v>1366542</v>
      </c>
      <c r="D13545" s="22" t="s">
        <v>18182</v>
      </c>
      <c r="E13545" s="22" t="s">
        <v>48</v>
      </c>
      <c r="F13545" s="23" t="str">
        <f>HYPERLINK("https://www.spark-marketing.ru/Card/Lot/72020867", "Оказание услуг по организации питания обучающихся Муниципального бюджетного общеобразовательного учреждения ""Средняя школа с. Чернышевка Анучинского муниципального района Приморского края""")</f>
        <v>Оказание услуг по организации питания обучающихся Муниципального бюджетного общеобразовательного учреждения "Средняя школа с. Чернышевка Анучинского муниципального района Приморского края"</v>
      </c>
      <c r="G13545" s="22" t="s">
        <v>543</v>
      </c>
      <c r="H13545" s="22" t="s">
        <v>15869</v>
      </c>
      <c r="I13545" s="26">
        <v>43657.4194444444</v>
      </c>
      <c r="J13545" s="23" t="str">
        <f>HYPERLINK("https://www.spark-marketing.ru/Card/Person/218799", "АУ ""ЦЕНТР ПИТАНИЯ""")</f>
        <v>АУ "ЦЕНТР ПИТАНИЯ"</v>
      </c>
      <c r="K13545" s="24" t="s">
        <v>15870</v>
      </c>
      <c r="L13545" s="28" t="s">
        <v>51</v>
      </c>
      <c r="M13545" s="28" t="s">
        <v>51</v>
      </c>
      <c r="N13545" s="28" t="s">
        <v>51</v>
      </c>
    </row>
    <row r="13546" spans="1:14" x14ac:dyDescent="0.15">
      <c r="A13546" s="23" t="str">
        <f>HYPERLINK("https://www.spark-marketing.ru/Card/Person/950220", "МБОУ ШКОЛА С. НОВОГОРДЕЕВКА")</f>
        <v>МБОУ ШКОЛА С. НОВОГОРДЕЕВКА</v>
      </c>
      <c r="B13546" s="24" t="s">
        <v>15867</v>
      </c>
      <c r="C13546" s="25">
        <v>389185.6</v>
      </c>
      <c r="D13546" s="22" t="s">
        <v>18183</v>
      </c>
      <c r="E13546" s="22" t="s">
        <v>48</v>
      </c>
      <c r="F13546" s="23" t="str">
        <f>HYPERLINK("https://www.spark-marketing.ru/Card/Lot/72021130", "оказание услуг по организации питания обучающихся")</f>
        <v>оказание услуг по организации питания обучающихся</v>
      </c>
      <c r="G13546" s="22" t="s">
        <v>543</v>
      </c>
      <c r="H13546" s="22" t="s">
        <v>15869</v>
      </c>
      <c r="I13546" s="26">
        <v>43657.434722222199</v>
      </c>
      <c r="J13546" s="23" t="str">
        <f>HYPERLINK("https://www.spark-marketing.ru/Card/Person/218799", "АУ ""ЦЕНТР ПИТАНИЯ""")</f>
        <v>АУ "ЦЕНТР ПИТАНИЯ"</v>
      </c>
      <c r="K13546" s="24" t="s">
        <v>15870</v>
      </c>
      <c r="L13546" s="28" t="s">
        <v>51</v>
      </c>
      <c r="M13546" s="28" t="s">
        <v>51</v>
      </c>
      <c r="N13546" s="28" t="s">
        <v>51</v>
      </c>
    </row>
    <row r="13547" spans="1:14" x14ac:dyDescent="0.15">
      <c r="A13547" s="23" t="str">
        <f>HYPERLINK("https://www.spark-marketing.ru/Card/Person/563368", "АО ""ВНИИХТ""")</f>
        <v>АО "ВНИИХТ"</v>
      </c>
      <c r="B13547" s="24" t="s">
        <v>18184</v>
      </c>
      <c r="C13547" s="28" t="s">
        <v>51</v>
      </c>
      <c r="D13547" s="22" t="s">
        <v>18185</v>
      </c>
      <c r="E13547" s="22" t="s">
        <v>18186</v>
      </c>
      <c r="F13547" s="23" t="str">
        <f>HYPERLINK("https://www.spark-marketing.ru/Card/Lot/72028956", "Оказание услуг по предоставлению ЛПП и выдаче молока работникам АО «ВНИИХТ», занятым на работах в особо вредных и вредных условиях труда")</f>
        <v>Оказание услуг по предоставлению ЛПП и выдаче молока работникам АО «ВНИИХТ», занятым на работах в особо вредных и вредных условиях труда</v>
      </c>
      <c r="G13547" s="22" t="s">
        <v>56</v>
      </c>
      <c r="H13547" s="22" t="s">
        <v>56</v>
      </c>
      <c r="I13547" s="26">
        <v>43657.418587963002</v>
      </c>
      <c r="J13547" s="28" t="s">
        <v>51</v>
      </c>
      <c r="K13547" s="28" t="s">
        <v>51</v>
      </c>
      <c r="L13547" s="28" t="s">
        <v>51</v>
      </c>
      <c r="M13547" s="28" t="s">
        <v>51</v>
      </c>
      <c r="N13547" s="28" t="s">
        <v>51</v>
      </c>
    </row>
    <row r="13548" spans="1:14" x14ac:dyDescent="0.15">
      <c r="A13548" s="23" t="str">
        <f>HYPERLINK("https://www.spark-marketing.ru/Card/Person/117781", "ФКУ ""ГБ МСЭ ПО ИРКУТСКОЙ ОБЛАСТИ"" МИНТРУДА РОССИИ")</f>
        <v>ФКУ "ГБ МСЭ ПО ИРКУТСКОЙ ОБЛАСТИ" МИНТРУДА РОССИИ</v>
      </c>
      <c r="B13548" s="24" t="s">
        <v>18187</v>
      </c>
      <c r="C13548" s="25">
        <v>156977</v>
      </c>
      <c r="D13548" s="22" t="s">
        <v>18188</v>
      </c>
      <c r="E13548" s="22" t="s">
        <v>809</v>
      </c>
      <c r="F13548" s="23" t="str">
        <f>HYPERLINK("https://www.spark-marketing.ru/Card/Lot/72021721", "Закупка товаров, работ и услуг в сфере информационно-коммуникационных технологий; Приобретение запасных частей, комплектующих, расходных материалов к АРМ")</f>
        <v>Закупка товаров, работ и услуг в сфере информационно-коммуникационных технологий; Приобретение запасных частей, комплектующих, расходных материалов к АРМ</v>
      </c>
      <c r="G13548" s="22" t="s">
        <v>263</v>
      </c>
      <c r="H13548" s="22" t="s">
        <v>2768</v>
      </c>
      <c r="I13548" s="26">
        <v>43657.4506944444</v>
      </c>
      <c r="J13548" s="23" t="str">
        <f>HYPERLINK("https://www.spark-marketing.ru/Card/Person/264350", "ООО ""АМБ-СЕРВИС""")</f>
        <v>ООО "АМБ-СЕРВИС"</v>
      </c>
      <c r="K13548" s="24" t="s">
        <v>18189</v>
      </c>
      <c r="L13548" s="22" t="s">
        <v>10</v>
      </c>
      <c r="M13548" s="28" t="s">
        <v>51</v>
      </c>
      <c r="N13548" s="28" t="s">
        <v>51</v>
      </c>
    </row>
    <row r="13549" spans="1:14" x14ac:dyDescent="0.15">
      <c r="A13549" s="23" t="str">
        <f>HYPERLINK("https://www.spark-marketing.ru/Card/Person/95058", "МБОУ ШКОЛА С. ГРАЖДАНКА")</f>
        <v>МБОУ ШКОЛА С. ГРАЖДАНКА</v>
      </c>
      <c r="B13549" s="24" t="s">
        <v>15948</v>
      </c>
      <c r="C13549" s="25">
        <v>459527.2</v>
      </c>
      <c r="D13549" s="22" t="s">
        <v>18190</v>
      </c>
      <c r="E13549" s="22" t="s">
        <v>48</v>
      </c>
      <c r="F13549" s="23" t="str">
        <f>HYPERLINK("https://www.spark-marketing.ru/Card/Lot/72020849", "Оказание услуг по организации питания обучающихся  муниципального бюджетного общеобразовательного учреждения «Средняя школа с. Гражданка Анучинского района Приморского края»")</f>
        <v>Оказание услуг по организации питания обучающихся  муниципального бюджетного общеобразовательного учреждения «Средняя школа с. Гражданка Анучинского района Приморского края»</v>
      </c>
      <c r="G13549" s="22" t="s">
        <v>543</v>
      </c>
      <c r="H13549" s="22" t="s">
        <v>15869</v>
      </c>
      <c r="I13549" s="26">
        <v>43657.4194444444</v>
      </c>
      <c r="J13549" s="23" t="str">
        <f>HYPERLINK("https://www.spark-marketing.ru/Card/Person/218799", "АУ ""ЦЕНТР ПИТАНИЯ""")</f>
        <v>АУ "ЦЕНТР ПИТАНИЯ"</v>
      </c>
      <c r="K13549" s="24" t="s">
        <v>15870</v>
      </c>
      <c r="L13549" s="28" t="s">
        <v>51</v>
      </c>
      <c r="M13549" s="28" t="s">
        <v>51</v>
      </c>
      <c r="N13549" s="28" t="s">
        <v>51</v>
      </c>
    </row>
    <row r="13550" spans="1:14" x14ac:dyDescent="0.15">
      <c r="A13550" s="23" t="str">
        <f>HYPERLINK("https://www.spark-marketing.ru/Card/Person/4347757", "ПУ ФСБ РОССИИ ПО БЕЛГОРОДСКОЙ И ВОРОНЕЖСКОЙ ОБЛАСТЯМ")</f>
        <v>ПУ ФСБ РОССИИ ПО БЕЛГОРОДСКОЙ И ВОРОНЕЖСКОЙ ОБЛАСТЯМ</v>
      </c>
      <c r="B13550" s="24" t="s">
        <v>3108</v>
      </c>
      <c r="C13550" s="25">
        <v>787216.4</v>
      </c>
      <c r="D13550" s="22" t="s">
        <v>18191</v>
      </c>
      <c r="E13550" s="22" t="s">
        <v>52</v>
      </c>
      <c r="F13550" s="23" t="str">
        <f>HYPERLINK("https://www.spark-marketing.ru/Card/Lot/72048602", "Оказание услуг по организации питания сотрудников Заказчика горячей пищей (мапп «Колотиловка»)")</f>
        <v>Оказание услуг по организации питания сотрудников Заказчика горячей пищей (мапп «Колотиловка»)</v>
      </c>
      <c r="G13550" s="22" t="s">
        <v>696</v>
      </c>
      <c r="H13550" s="22" t="s">
        <v>1163</v>
      </c>
      <c r="I13550" s="26">
        <v>43657.413622685199</v>
      </c>
      <c r="J13550" s="28" t="s">
        <v>51</v>
      </c>
      <c r="K13550" s="28" t="s">
        <v>51</v>
      </c>
      <c r="L13550" s="28" t="s">
        <v>51</v>
      </c>
      <c r="M13550" s="28" t="s">
        <v>51</v>
      </c>
      <c r="N13550" s="28" t="s">
        <v>51</v>
      </c>
    </row>
    <row r="13551" spans="1:14" x14ac:dyDescent="0.2">
      <c r="A13551" s="23" t="str">
        <f>HYPERLINK("https://www.spark-marketing.ru/Card/Person/1058521", "ГБУЗ КО ""НОВОКУЗНЕЦКАЯ ГОРОДСКАЯ БОЛЬНИЦА №16""")</f>
        <v>ГБУЗ КО "НОВОКУЗНЕЦКАЯ ГОРОДСКАЯ БОЛЬНИЦА №16"</v>
      </c>
      <c r="B13551" s="24" t="s">
        <v>18192</v>
      </c>
      <c r="C13551" s="25">
        <v>2959808</v>
      </c>
      <c r="D13551" s="22" t="s">
        <v>18193</v>
      </c>
      <c r="E13551" s="22" t="s">
        <v>48</v>
      </c>
      <c r="F13551" s="23" t="str">
        <f>HYPERLINK("https://www.spark-marketing.ru/Card/Lot/72021967", "Оказание услуг общественного питания для медицинской организации")</f>
        <v>Оказание услуг общественного питания для медицинской организации</v>
      </c>
      <c r="G13551" s="22" t="s">
        <v>304</v>
      </c>
      <c r="H13551" s="22" t="s">
        <v>3190</v>
      </c>
      <c r="I13551" s="26">
        <v>43657.40625</v>
      </c>
      <c r="J13551" s="23" t="str">
        <f>HYPERLINK("https://www.spark-marketing.ru/Card/Person/37535", "ООО ""ОМС-ЛЕЧЕБНОЕ ПИТАНИЕ""")</f>
        <v>ООО "ОМС-ЛЕЧЕБНОЕ ПИТАНИЕ"</v>
      </c>
      <c r="K13551" s="24" t="s">
        <v>17435</v>
      </c>
      <c r="L13551" s="28" t="s">
        <v>51</v>
      </c>
      <c r="M13551" s="25">
        <v>2931072</v>
      </c>
      <c r="N13551" s="27">
        <v>9.7087378640776691E-3</v>
      </c>
    </row>
    <row r="13552" spans="1:14" x14ac:dyDescent="0.15">
      <c r="A13552" s="23" t="str">
        <f>HYPERLINK("https://www.spark-marketing.ru/Card/Person/539393", "ОМВД РОССИИ ПО ХОЛМСКОМУ ГОРОДСКОМУ ОКРУГУ")</f>
        <v>ОМВД РОССИИ ПО ХОЛМСКОМУ ГОРОДСКОМУ ОКРУГУ</v>
      </c>
      <c r="B13552" s="24" t="s">
        <v>2708</v>
      </c>
      <c r="C13552" s="25">
        <v>1836600</v>
      </c>
      <c r="D13552" s="22" t="s">
        <v>18194</v>
      </c>
      <c r="E13552" s="22" t="s">
        <v>48</v>
      </c>
      <c r="F13552" s="23" t="str">
        <f>HYPERLINK("https://www.spark-marketing.ru/Card/Lot/72020527", "Оказание услуг по организации трехразового горячего питания спецконтингента")</f>
        <v>Оказание услуг по организации трехразового горячего питания спецконтингента</v>
      </c>
      <c r="G13552" s="22" t="s">
        <v>260</v>
      </c>
      <c r="H13552" s="22" t="s">
        <v>2710</v>
      </c>
      <c r="I13552" s="26">
        <v>43657.407638888901</v>
      </c>
      <c r="J13552" s="28" t="s">
        <v>51</v>
      </c>
      <c r="K13552" s="28" t="s">
        <v>51</v>
      </c>
      <c r="L13552" s="28" t="s">
        <v>51</v>
      </c>
      <c r="M13552" s="28" t="s">
        <v>51</v>
      </c>
      <c r="N13552" s="28" t="s">
        <v>51</v>
      </c>
    </row>
    <row r="13553" spans="1:14" x14ac:dyDescent="0.15">
      <c r="A13553" s="23" t="str">
        <f>HYPERLINK("https://www.spark-marketing.ru/Card/Person/81958", "МЕЖМУНИЦИПАЛЬНЫЙ ОТДЕЛ МВД РОССИИ ""ГУБАХИНСКИЙ""")</f>
        <v>МЕЖМУНИЦИПАЛЬНЫЙ ОТДЕЛ МВД РОССИИ "ГУБАХИНСКИЙ"</v>
      </c>
      <c r="B13553" s="24" t="s">
        <v>9521</v>
      </c>
      <c r="C13553" s="25">
        <v>629967.85</v>
      </c>
      <c r="D13553" s="22" t="s">
        <v>18195</v>
      </c>
      <c r="E13553" s="22" t="s">
        <v>48</v>
      </c>
      <c r="F13553" s="23" t="str">
        <f>HYPERLINK("https://www.spark-marketing.ru/Card/Lot/72024360", "Оказание услуг по поставке трехразового питания для лиц, содержащихся в ИВС, лиц, содержащихся в специальном помещении дежурной части для задержанных более трех часов")</f>
        <v>Оказание услуг по поставке трехразового питания для лиц, содержащихся в ИВС, лиц, содержащихся в специальном помещении дежурной части для задержанных более трех часов</v>
      </c>
      <c r="G13553" s="22" t="s">
        <v>153</v>
      </c>
      <c r="H13553" s="22" t="s">
        <v>1752</v>
      </c>
      <c r="I13553" s="26">
        <v>43657.404861111099</v>
      </c>
      <c r="J13553" s="23" t="str">
        <f>HYPERLINK("https://www.spark-marketing.ru/Card/Person/788890", "ООО ""МЕДИЛАЙН""")</f>
        <v>ООО "МЕДИЛАЙН"</v>
      </c>
      <c r="K13553" s="24" t="s">
        <v>3727</v>
      </c>
      <c r="L13553" s="22" t="s">
        <v>10</v>
      </c>
      <c r="M13553" s="28" t="s">
        <v>51</v>
      </c>
      <c r="N13553" s="28" t="s">
        <v>51</v>
      </c>
    </row>
    <row r="13554" spans="1:14" x14ac:dyDescent="0.15">
      <c r="A13554" s="23" t="str">
        <f>HYPERLINK("https://www.spark-marketing.ru/Card/Person/816480", "ОТДЕЛ МВД РОССИИ ПО СПАССКОМУ РАЙОНУ")</f>
        <v>ОТДЕЛ МВД РОССИИ ПО СПАССКОМУ РАЙОНУ</v>
      </c>
      <c r="B13554" s="24" t="s">
        <v>17773</v>
      </c>
      <c r="C13554" s="25">
        <v>150000</v>
      </c>
      <c r="D13554" s="22" t="s">
        <v>18196</v>
      </c>
      <c r="E13554" s="22" t="s">
        <v>96</v>
      </c>
      <c r="F13554" s="23" t="str">
        <f>HYPERLINK("https://www.spark-marketing.ru/Card/Lot/72024495", "Оказание услуг по организации питания (приготовлению и доставке), 375 шт")</f>
        <v>Оказание услуг по организации питания (приготовлению и доставке), 375 шт</v>
      </c>
      <c r="G13554" s="22" t="s">
        <v>217</v>
      </c>
      <c r="H13554" s="22" t="s">
        <v>622</v>
      </c>
      <c r="I13554" s="26">
        <v>43657.4127546296</v>
      </c>
      <c r="J13554" s="28" t="s">
        <v>51</v>
      </c>
      <c r="K13554" s="28" t="s">
        <v>51</v>
      </c>
      <c r="L13554" s="28" t="s">
        <v>51</v>
      </c>
      <c r="M13554" s="28" t="s">
        <v>51</v>
      </c>
      <c r="N13554" s="28" t="s">
        <v>51</v>
      </c>
    </row>
    <row r="13555" spans="1:14" x14ac:dyDescent="0.2">
      <c r="A13555" s="23" t="str">
        <f>HYPERLINK("https://www.spark-marketing.ru/Card/Person/1758111", "КГАУ ЦСП")</f>
        <v>КГАУ ЦСП</v>
      </c>
      <c r="B13555" s="24" t="s">
        <v>18197</v>
      </c>
      <c r="C13555" s="25">
        <v>316800</v>
      </c>
      <c r="D13555" s="22" t="s">
        <v>18198</v>
      </c>
      <c r="E13555" s="22" t="s">
        <v>6495</v>
      </c>
      <c r="F13555" s="23" t="str">
        <f>HYPERLINK("https://www.spark-marketing.ru/Card/Lot/72019392", "Оказание услуг по организации питания и проживания членов сборных команд Камчатского края по биатлону и лыжным гонкам в рамках проведения профильного спортивно-оздоровительного лагеря для сборных команд Камчатского края по биатлону и лыжным гонкам на...")</f>
        <v>Оказание услуг по организации питания и проживания членов сборных команд Камчатского края по биатлону и лыжным гонкам в рамках проведения профильного спортивно-оздоровительного лагеря для сборных команд Камчатского края по биатлону и лыжным гонкам на...</v>
      </c>
      <c r="G13555" s="22" t="s">
        <v>1141</v>
      </c>
      <c r="H13555" s="22" t="s">
        <v>1141</v>
      </c>
      <c r="I13555" s="26">
        <v>43657.378263888902</v>
      </c>
      <c r="J13555" s="28" t="s">
        <v>51</v>
      </c>
      <c r="K13555" s="28" t="s">
        <v>51</v>
      </c>
      <c r="L13555" s="22" t="s">
        <v>10</v>
      </c>
      <c r="M13555" s="25">
        <v>316800</v>
      </c>
      <c r="N13555" s="27">
        <v>0</v>
      </c>
    </row>
    <row r="13556" spans="1:14" x14ac:dyDescent="0.15">
      <c r="A13556" s="23" t="str">
        <f>HYPERLINK("https://www.spark-marketing.ru/Card/Person/998630", "МБОУ СОШ № 5 Г. АПАТИТЫ")</f>
        <v>МБОУ СОШ № 5 Г. АПАТИТЫ</v>
      </c>
      <c r="B13556" s="24" t="s">
        <v>18199</v>
      </c>
      <c r="C13556" s="25">
        <v>1714304</v>
      </c>
      <c r="D13556" s="22" t="s">
        <v>18200</v>
      </c>
      <c r="E13556" s="22" t="s">
        <v>48</v>
      </c>
      <c r="F13556" s="23" t="str">
        <f>HYPERLINK("https://www.spark-marketing.ru/Card/Lot/72046295", "Оказание услуг по организации питания на второе полугодие 2019 года")</f>
        <v>Оказание услуг по организации питания на второе полугодие 2019 года</v>
      </c>
      <c r="G13556" s="22" t="s">
        <v>340</v>
      </c>
      <c r="H13556" s="22" t="s">
        <v>7501</v>
      </c>
      <c r="I13556" s="26">
        <v>43657.368553240703</v>
      </c>
      <c r="J13556" s="23" t="str">
        <f>HYPERLINK("https://www.spark-marketing.ru/Card/Person/1338973", "Кругликова Наталья Васильевна")</f>
        <v>Кругликова Наталья Васильевна</v>
      </c>
      <c r="K13556" s="24" t="s">
        <v>18201</v>
      </c>
      <c r="L13556" s="22" t="s">
        <v>10</v>
      </c>
      <c r="M13556" s="28" t="s">
        <v>51</v>
      </c>
      <c r="N13556" s="28" t="s">
        <v>51</v>
      </c>
    </row>
    <row r="13557" spans="1:14" x14ac:dyDescent="0.15">
      <c r="A13557" s="23" t="str">
        <f>HYPERLINK("https://www.spark-marketing.ru/Card/Person/1743959", "УМВД РОССИИ ПО ЛИПЕЦКОЙ ОБЛАСТИ")</f>
        <v>УМВД РОССИИ ПО ЛИПЕЦКОЙ ОБЛАСТИ</v>
      </c>
      <c r="B13557" s="24" t="s">
        <v>4402</v>
      </c>
      <c r="C13557" s="25">
        <v>300000</v>
      </c>
      <c r="D13557" s="22" t="s">
        <v>18202</v>
      </c>
      <c r="E13557" s="22" t="s">
        <v>96</v>
      </c>
      <c r="F13557" s="23" t="str">
        <f>HYPERLINK("https://www.spark-marketing.ru/Card/Lot/72036857", "Услуги по обеспечению ежедневным пятиразовым горячим питанием несовершеннолетних, содержащихся в центре временного содержания для несовершеннолетних правонарушителей УМВД России по Липецкой области")</f>
        <v>Услуги по обеспечению ежедневным пятиразовым горячим питанием несовершеннолетних, содержащихся в центре временного содержания для несовершеннолетних правонарушителей УМВД России по Липецкой области</v>
      </c>
      <c r="G13557" s="22" t="s">
        <v>101</v>
      </c>
      <c r="H13557" s="22" t="s">
        <v>728</v>
      </c>
      <c r="I13557" s="26">
        <v>43657.365277777797</v>
      </c>
      <c r="J13557" s="23" t="str">
        <f>HYPERLINK("https://www.spark-marketing.ru/Card/Person/60275", "Мамедов Васиф Акиф Оглы")</f>
        <v>Мамедов Васиф Акиф Оглы</v>
      </c>
      <c r="K13557" s="24" t="s">
        <v>4404</v>
      </c>
      <c r="L13557" s="22" t="s">
        <v>10</v>
      </c>
      <c r="M13557" s="28" t="s">
        <v>51</v>
      </c>
      <c r="N13557" s="28" t="s">
        <v>51</v>
      </c>
    </row>
    <row r="13558" spans="1:14" x14ac:dyDescent="0.2">
      <c r="A13558" s="23" t="str">
        <f>HYPERLINK("https://www.spark-marketing.ru/Card/Person/53627", "ГБУЗ ""ГБ № 1 Г. КОПЕЙСК""")</f>
        <v>ГБУЗ "ГБ № 1 Г. КОПЕЙСК"</v>
      </c>
      <c r="B13558" s="24" t="s">
        <v>18203</v>
      </c>
      <c r="C13558" s="25">
        <v>22517385</v>
      </c>
      <c r="D13558" s="22" t="s">
        <v>18204</v>
      </c>
      <c r="E13558" s="22" t="s">
        <v>48</v>
      </c>
      <c r="F13558" s="23" t="str">
        <f>HYPERLINK("https://www.spark-marketing.ru/Card/Lot/72022212", "Услуги по организации готового лечебного питания")</f>
        <v>Услуги по организации готового лечебного питания</v>
      </c>
      <c r="G13558" s="22" t="s">
        <v>469</v>
      </c>
      <c r="H13558" s="22" t="s">
        <v>469</v>
      </c>
      <c r="I13558" s="26">
        <v>43657.360416666699</v>
      </c>
      <c r="J13558" s="23" t="str">
        <f>HYPERLINK("https://www.spark-marketing.ru/Card/Person/59926", "ООО ""ЦЕНТР ЗДОРОВОГО ПИТАНИЯ""")</f>
        <v>ООО "ЦЕНТР ЗДОРОВОГО ПИТАНИЯ"</v>
      </c>
      <c r="K13558" s="24" t="s">
        <v>18205</v>
      </c>
      <c r="L13558" s="28" t="s">
        <v>51</v>
      </c>
      <c r="M13558" s="25">
        <v>19788005</v>
      </c>
      <c r="N13558" s="27">
        <v>0.12121212121212122</v>
      </c>
    </row>
    <row r="13559" spans="1:14" x14ac:dyDescent="0.15">
      <c r="A13559" s="23" t="str">
        <f>HYPERLINK("https://www.spark-marketing.ru/Card/Person/75711", "ДЕПАРТАМЕНТ СОЦИАЛЬНОГО РАЗВИТИЯ АДМИНИСТРАЦИИ ТАЗОВСКОГО РАЙОНА")</f>
        <v>ДЕПАРТАМЕНТ СОЦИАЛЬНОГО РАЗВИТИЯ АДМИНИСТРАЦИИ ТАЗОВСКОГО РАЙОНА</v>
      </c>
      <c r="B13559" s="24" t="s">
        <v>18206</v>
      </c>
      <c r="C13559" s="25">
        <v>135000</v>
      </c>
      <c r="D13559" s="22" t="s">
        <v>18207</v>
      </c>
      <c r="E13559" s="22" t="s">
        <v>96</v>
      </c>
      <c r="F13559" s="23" t="str">
        <f>HYPERLINK("https://www.spark-marketing.ru/Card/Lot/72022464", "Оказание услуг по организации горячего питания")</f>
        <v>Оказание услуг по организации горячего питания</v>
      </c>
      <c r="G13559" s="22" t="s">
        <v>1056</v>
      </c>
      <c r="H13559" s="22" t="s">
        <v>9349</v>
      </c>
      <c r="I13559" s="26">
        <v>43657.363888888904</v>
      </c>
      <c r="J13559" s="23" t="str">
        <f>HYPERLINK("https://www.spark-marketing.ru/Card/Person/975862", "ООО ""АСТОРИЯ""")</f>
        <v>ООО "АСТОРИЯ"</v>
      </c>
      <c r="K13559" s="24" t="s">
        <v>18208</v>
      </c>
      <c r="L13559" s="22" t="s">
        <v>10</v>
      </c>
      <c r="M13559" s="28" t="s">
        <v>51</v>
      </c>
      <c r="N13559" s="28" t="s">
        <v>51</v>
      </c>
    </row>
    <row r="13560" spans="1:14" x14ac:dyDescent="0.15">
      <c r="A13560" s="23" t="str">
        <f>HYPERLINK("https://www.spark-marketing.ru/Card/Person/75711", "ДЕПАРТАМЕНТ СОЦИАЛЬНОГО РАЗВИТИЯ АДМИНИСТРАЦИИ ТАЗОВСКОГО РАЙОНА")</f>
        <v>ДЕПАРТАМЕНТ СОЦИАЛЬНОГО РАЗВИТИЯ АДМИНИСТРАЦИИ ТАЗОВСКОГО РАЙОНА</v>
      </c>
      <c r="B13560" s="24" t="s">
        <v>18206</v>
      </c>
      <c r="C13560" s="25">
        <v>157500</v>
      </c>
      <c r="D13560" s="22" t="s">
        <v>18209</v>
      </c>
      <c r="E13560" s="22" t="s">
        <v>96</v>
      </c>
      <c r="F13560" s="23" t="str">
        <f>HYPERLINK("https://www.spark-marketing.ru/Card/Lot/72022418", "Оказание услуг по организации горячего питания")</f>
        <v>Оказание услуг по организации горячего питания</v>
      </c>
      <c r="G13560" s="22" t="s">
        <v>1056</v>
      </c>
      <c r="H13560" s="22" t="s">
        <v>9349</v>
      </c>
      <c r="I13560" s="26">
        <v>43657.361111111102</v>
      </c>
      <c r="J13560" s="23" t="str">
        <f>HYPERLINK("https://www.spark-marketing.ru/Card/Person/975862", "ООО ""АСТОРИЯ""")</f>
        <v>ООО "АСТОРИЯ"</v>
      </c>
      <c r="K13560" s="24" t="s">
        <v>18208</v>
      </c>
      <c r="L13560" s="22" t="s">
        <v>10</v>
      </c>
      <c r="M13560" s="28" t="s">
        <v>51</v>
      </c>
      <c r="N13560" s="28" t="s">
        <v>51</v>
      </c>
    </row>
    <row r="13561" spans="1:14" x14ac:dyDescent="0.15">
      <c r="A13561" s="23" t="str">
        <f>HYPERLINK("https://www.spark-marketing.ru/Card/Person/641866", "ОМВД РОССИИ ПО УЛЕТОВСКОМУ РАЙОНУ")</f>
        <v>ОМВД РОССИИ ПО УЛЕТОВСКОМУ РАЙОНУ</v>
      </c>
      <c r="B13561" s="24" t="s">
        <v>15561</v>
      </c>
      <c r="C13561" s="25">
        <v>1789873.47</v>
      </c>
      <c r="D13561" s="22" t="s">
        <v>18210</v>
      </c>
      <c r="E13561" s="22" t="s">
        <v>96</v>
      </c>
      <c r="F13561" s="23" t="str">
        <f>HYPERLINK("https://www.spark-marketing.ru/Card/Lot/72020417", "питание ИВС")</f>
        <v>питание ИВС</v>
      </c>
      <c r="G13561" s="22" t="s">
        <v>228</v>
      </c>
      <c r="H13561" s="22" t="s">
        <v>15563</v>
      </c>
      <c r="I13561" s="26">
        <v>43657.354861111096</v>
      </c>
      <c r="J13561" s="28" t="s">
        <v>51</v>
      </c>
      <c r="K13561" s="28" t="s">
        <v>51</v>
      </c>
      <c r="L13561" s="28" t="s">
        <v>51</v>
      </c>
      <c r="M13561" s="28" t="s">
        <v>51</v>
      </c>
      <c r="N13561" s="28" t="s">
        <v>51</v>
      </c>
    </row>
    <row r="13562" spans="1:14" x14ac:dyDescent="0.15">
      <c r="A13562" s="23" t="str">
        <f>HYPERLINK("https://www.spark-marketing.ru/Card/Person/75711", "ДЕПАРТАМЕНТ СОЦИАЛЬНОГО РАЗВИТИЯ АДМИНИСТРАЦИИ ТАЗОВСКОГО РАЙОНА")</f>
        <v>ДЕПАРТАМЕНТ СОЦИАЛЬНОГО РАЗВИТИЯ АДМИНИСТРАЦИИ ТАЗОВСКОГО РАЙОНА</v>
      </c>
      <c r="B13562" s="24" t="s">
        <v>18206</v>
      </c>
      <c r="C13562" s="25">
        <v>150000</v>
      </c>
      <c r="D13562" s="22" t="s">
        <v>18211</v>
      </c>
      <c r="E13562" s="22" t="s">
        <v>96</v>
      </c>
      <c r="F13562" s="23" t="str">
        <f>HYPERLINK("https://www.spark-marketing.ru/Card/Lot/72022468", "Оказание услуг по организации горячего питания")</f>
        <v>Оказание услуг по организации горячего питания</v>
      </c>
      <c r="G13562" s="22" t="s">
        <v>1056</v>
      </c>
      <c r="H13562" s="22" t="s">
        <v>9349</v>
      </c>
      <c r="I13562" s="26">
        <v>43657.356249999997</v>
      </c>
      <c r="J13562" s="23" t="str">
        <f>HYPERLINK("https://www.spark-marketing.ru/Card/Person/975862", "ООО ""АСТОРИЯ""")</f>
        <v>ООО "АСТОРИЯ"</v>
      </c>
      <c r="K13562" s="24" t="s">
        <v>18208</v>
      </c>
      <c r="L13562" s="22" t="s">
        <v>10</v>
      </c>
      <c r="M13562" s="28" t="s">
        <v>51</v>
      </c>
      <c r="N13562" s="28" t="s">
        <v>51</v>
      </c>
    </row>
    <row r="13563" spans="1:14" x14ac:dyDescent="0.2">
      <c r="A13563" s="23" t="str">
        <f>HYPERLINK("https://www.spark-marketing.ru/Card/Person/229441", "ИПСМ РАН")</f>
        <v>ИПСМ РАН</v>
      </c>
      <c r="B13563" s="24" t="s">
        <v>18212</v>
      </c>
      <c r="C13563" s="25">
        <v>4102372.67</v>
      </c>
      <c r="D13563" s="22" t="s">
        <v>18213</v>
      </c>
      <c r="E13563" s="22" t="s">
        <v>96</v>
      </c>
      <c r="F13563" s="23" t="str">
        <f>HYPERLINK("https://www.spark-marketing.ru/Card/Lot/72021955", "Услуги по организации кофе-пауз и обедов для участников XII Всероссийского съезда по фундаментальным проблемам теоретической и прикладной механики")</f>
        <v>Услуги по организации кофе-пауз и обедов для участников XII Всероссийского съезда по фундаментальным проблемам теоретической и прикладной механики</v>
      </c>
      <c r="G13563" s="22" t="s">
        <v>145</v>
      </c>
      <c r="H13563" s="22" t="s">
        <v>436</v>
      </c>
      <c r="I13563" s="26">
        <v>43657.329166666699</v>
      </c>
      <c r="J13563" s="23" t="str">
        <f>HYPERLINK("https://www.spark-marketing.ru/Card/Person/180514", "КП РБ КОМБИНАТ ПИТАНИЯ")</f>
        <v>КП РБ КОМБИНАТ ПИТАНИЯ</v>
      </c>
      <c r="K13563" s="24" t="s">
        <v>4774</v>
      </c>
      <c r="L13563" s="28" t="s">
        <v>51</v>
      </c>
      <c r="M13563" s="25">
        <v>4102372.67</v>
      </c>
      <c r="N13563" s="27">
        <v>0</v>
      </c>
    </row>
    <row r="13564" spans="1:14" x14ac:dyDescent="0.15">
      <c r="A13564" s="23" t="str">
        <f>HYPERLINK("https://www.spark-marketing.ru/Card/Person/1017467", "МБОУ ЁЛКИНСКАЯ СОШ")</f>
        <v>МБОУ ЁЛКИНСКАЯ СОШ</v>
      </c>
      <c r="B13564" s="24" t="s">
        <v>18214</v>
      </c>
      <c r="C13564" s="25">
        <v>284400</v>
      </c>
      <c r="D13564" s="22" t="s">
        <v>18215</v>
      </c>
      <c r="E13564" s="22" t="s">
        <v>48</v>
      </c>
      <c r="F13564" s="23" t="str">
        <f>HYPERLINK("https://www.spark-marketing.ru/Card/Lot/72021903", "Оказание услуг по организации горячего питания для учащихся МБОУ Елкинская СОШ.")</f>
        <v>Оказание услуг по организации горячего питания для учащихся МБОУ Елкинская СОШ.</v>
      </c>
      <c r="G13564" s="22" t="s">
        <v>267</v>
      </c>
      <c r="H13564" s="22" t="s">
        <v>11331</v>
      </c>
      <c r="I13564" s="26">
        <v>43657.298611111102</v>
      </c>
      <c r="J13564" s="28" t="s">
        <v>51</v>
      </c>
      <c r="K13564" s="28" t="s">
        <v>51</v>
      </c>
      <c r="L13564" s="28" t="s">
        <v>51</v>
      </c>
      <c r="M13564" s="28" t="s">
        <v>51</v>
      </c>
      <c r="N13564" s="28" t="s">
        <v>51</v>
      </c>
    </row>
    <row r="13565" spans="1:14" x14ac:dyDescent="0.15">
      <c r="A13565" s="23" t="str">
        <f>HYPERLINK("https://www.spark-marketing.ru/Card/Person/1049121", "МКУ ДО ДЮЦ ""ПЛАНЕТАРИЙ""")</f>
        <v>МКУ ДО ДЮЦ "ПЛАНЕТАРИЙ"</v>
      </c>
      <c r="B13565" s="24" t="s">
        <v>18216</v>
      </c>
      <c r="C13565" s="25">
        <v>40597.660000000003</v>
      </c>
      <c r="D13565" s="22" t="s">
        <v>18217</v>
      </c>
      <c r="E13565" s="22" t="s">
        <v>7386</v>
      </c>
      <c r="F13565" s="23" t="str">
        <f>HYPERLINK("https://www.spark-marketing.ru/Card/Lot/72021361", "Оказание услуг по заправке и восстановлению картриджей")</f>
        <v>Оказание услуг по заправке и восстановлению картриджей</v>
      </c>
      <c r="G13565" s="22" t="s">
        <v>195</v>
      </c>
      <c r="H13565" s="22" t="s">
        <v>196</v>
      </c>
      <c r="I13565" s="26">
        <v>43657.237500000003</v>
      </c>
      <c r="J13565" s="28" t="s">
        <v>51</v>
      </c>
      <c r="K13565" s="28" t="s">
        <v>51</v>
      </c>
      <c r="L13565" s="28" t="s">
        <v>51</v>
      </c>
      <c r="M13565" s="28" t="s">
        <v>51</v>
      </c>
      <c r="N13565" s="28" t="s">
        <v>51</v>
      </c>
    </row>
    <row r="13566" spans="1:14" x14ac:dyDescent="0.15">
      <c r="A13566" s="23" t="str">
        <f>HYPERLINK("https://www.spark-marketing.ru/Card/Person/259295", "МБОУ ""СОШ №12"" Г.АЛЬМЕТЬЕВСКА")</f>
        <v>МБОУ "СОШ №12" Г.АЛЬМЕТЬЕВСКА</v>
      </c>
      <c r="B13566" s="24" t="s">
        <v>14127</v>
      </c>
      <c r="C13566" s="25">
        <v>473040</v>
      </c>
      <c r="D13566" s="22" t="s">
        <v>18218</v>
      </c>
      <c r="E13566" s="22" t="s">
        <v>52</v>
      </c>
      <c r="F13566" s="23" t="str">
        <f>HYPERLINK("https://www.spark-marketing.ru/Card/Lot/73768512", "Услуги по организации питания")</f>
        <v>Услуги по организации питания</v>
      </c>
      <c r="G13566" s="22" t="s">
        <v>217</v>
      </c>
      <c r="H13566" s="22" t="s">
        <v>9289</v>
      </c>
      <c r="I13566" s="26">
        <v>43657.640277777798</v>
      </c>
      <c r="J13566" s="28" t="s">
        <v>51</v>
      </c>
      <c r="K13566" s="28" t="s">
        <v>51</v>
      </c>
      <c r="L13566" s="28" t="s">
        <v>51</v>
      </c>
      <c r="M13566" s="28" t="s">
        <v>51</v>
      </c>
      <c r="N13566" s="28" t="s">
        <v>51</v>
      </c>
    </row>
    <row r="13567" spans="1:14" x14ac:dyDescent="0.15">
      <c r="A13567" s="23" t="str">
        <f>HYPERLINK("https://www.spark-marketing.ru/Card/Person/66386", "ЭКС - РЕГИОНАЛЬНЫЙ ФИЛИАЛ ЦЭКТУ Г. НИЖНИЙ НОВГОРОД")</f>
        <v>ЭКС - РЕГИОНАЛЬНЫЙ ФИЛИАЛ ЦЭКТУ Г. НИЖНИЙ НОВГОРОД</v>
      </c>
      <c r="B13567" s="24" t="s">
        <v>18219</v>
      </c>
      <c r="C13567" s="25">
        <v>53100</v>
      </c>
      <c r="D13567" s="22" t="s">
        <v>18220</v>
      </c>
      <c r="E13567" s="22" t="s">
        <v>96</v>
      </c>
      <c r="F13567" s="23" t="str">
        <f>HYPERLINK("https://www.spark-marketing.ru/Card/Lot/72015356", "Услуга по питанию, 1 шт")</f>
        <v>Услуга по питанию, 1 шт</v>
      </c>
      <c r="G13567" s="22" t="s">
        <v>217</v>
      </c>
      <c r="H13567" s="22" t="s">
        <v>937</v>
      </c>
      <c r="I13567" s="26">
        <v>43656.833622685197</v>
      </c>
      <c r="J13567" s="28" t="s">
        <v>51</v>
      </c>
      <c r="K13567" s="28" t="s">
        <v>51</v>
      </c>
      <c r="L13567" s="28" t="s">
        <v>51</v>
      </c>
      <c r="M13567" s="28" t="s">
        <v>51</v>
      </c>
      <c r="N13567" s="28" t="s">
        <v>51</v>
      </c>
    </row>
    <row r="13568" spans="1:14" x14ac:dyDescent="0.15">
      <c r="A13568" s="23" t="str">
        <f>HYPERLINK("https://www.spark-marketing.ru/Card/Person/692212", "ООО ""ССРТ""")</f>
        <v>ООО "ССРТ"</v>
      </c>
      <c r="B13568" s="24" t="s">
        <v>13085</v>
      </c>
      <c r="C13568" s="25">
        <v>591072</v>
      </c>
      <c r="D13568" s="22" t="s">
        <v>18221</v>
      </c>
      <c r="E13568" s="22" t="s">
        <v>362</v>
      </c>
      <c r="F13568" s="23" t="str">
        <f>HYPERLINK("https://www.spark-marketing.ru/Card/Lot/72007460", "Право заключения договора на оказание услуг по организации лечебно-профилактического питания")</f>
        <v>Право заключения договора на оказание услуг по организации лечебно-профилактического питания</v>
      </c>
      <c r="G13568" s="22" t="s">
        <v>228</v>
      </c>
      <c r="H13568" s="22" t="s">
        <v>13087</v>
      </c>
      <c r="I13568" s="26">
        <v>43656.808298611097</v>
      </c>
      <c r="J13568" s="28" t="s">
        <v>51</v>
      </c>
      <c r="K13568" s="28" t="s">
        <v>51</v>
      </c>
      <c r="L13568" s="28" t="s">
        <v>51</v>
      </c>
      <c r="M13568" s="28" t="s">
        <v>51</v>
      </c>
      <c r="N13568" s="28" t="s">
        <v>51</v>
      </c>
    </row>
    <row r="13569" spans="1:14" x14ac:dyDescent="0.15">
      <c r="A13569" s="23" t="str">
        <f>HYPERLINK("https://www.spark-marketing.ru/Card/Person/1019256", "ОБУССОКО ""БУКРЕЕВСКИЙ ИНТЕРНАТ""")</f>
        <v>ОБУССОКО "БУКРЕЕВСКИЙ ИНТЕРНАТ"</v>
      </c>
      <c r="B13569" s="24" t="s">
        <v>18222</v>
      </c>
      <c r="C13569" s="25">
        <v>499820.01</v>
      </c>
      <c r="D13569" s="22" t="s">
        <v>18223</v>
      </c>
      <c r="E13569" s="22" t="s">
        <v>48</v>
      </c>
      <c r="F13569" s="23" t="str">
        <f>HYPERLINK("https://www.spark-marketing.ru/Card/Lot/72015909", "Услуги по организации ежедневного четырехразового питания граждан, находящихся на стационарном социальном обслуживании в общем отделении ОБУССОКО ""Букреевский интернат""")</f>
        <v>Услуги по организации ежедневного четырехразового питания граждан, находящихся на стационарном социальном обслуживании в общем отделении ОБУССОКО "Букреевский интернат"</v>
      </c>
      <c r="G13569" s="22" t="s">
        <v>1111</v>
      </c>
      <c r="H13569" s="22" t="s">
        <v>18224</v>
      </c>
      <c r="I13569" s="26">
        <v>43656.750694444403</v>
      </c>
      <c r="J13569" s="23" t="str">
        <f>HYPERLINK("https://www.spark-marketing.ru/Card/Person/1281142", "Лобова Наталия Васильевна")</f>
        <v>Лобова Наталия Васильевна</v>
      </c>
      <c r="K13569" s="24" t="s">
        <v>18225</v>
      </c>
      <c r="L13569" s="22" t="s">
        <v>10</v>
      </c>
      <c r="M13569" s="28" t="s">
        <v>51</v>
      </c>
      <c r="N13569" s="28" t="s">
        <v>51</v>
      </c>
    </row>
    <row r="13570" spans="1:14" x14ac:dyDescent="0.15">
      <c r="A13570" s="23" t="str">
        <f>HYPERLINK("https://www.spark-marketing.ru/Card/Person/172281", "ФГУСХП ""УЛЬЯНОВСКОЕ"" ФСИН РОССИИ")</f>
        <v>ФГУСХП "УЛЬЯНОВСКОЕ" ФСИН РОССИИ</v>
      </c>
      <c r="B13570" s="24" t="s">
        <v>11778</v>
      </c>
      <c r="C13570" s="25">
        <v>747879.6</v>
      </c>
      <c r="D13570" s="22" t="s">
        <v>18226</v>
      </c>
      <c r="E13570" s="22" t="s">
        <v>2473</v>
      </c>
      <c r="F13570" s="23" t="str">
        <f>HYPERLINK("https://www.spark-marketing.ru/Card/Lot/72014231", "Оказание транспортно-экспедиционных услуг по перевозке продуктов питания для нужд ФГУСХП «Ульяновское» ФСИН России")</f>
        <v>Оказание транспортно-экспедиционных услуг по перевозке продуктов питания для нужд ФГУСХП «Ульяновское» ФСИН России</v>
      </c>
      <c r="G13570" s="22" t="s">
        <v>852</v>
      </c>
      <c r="H13570" s="22" t="s">
        <v>852</v>
      </c>
      <c r="I13570" s="26">
        <v>43656.781724537002</v>
      </c>
      <c r="J13570" s="28" t="s">
        <v>51</v>
      </c>
      <c r="K13570" s="28" t="s">
        <v>51</v>
      </c>
      <c r="L13570" s="28" t="s">
        <v>51</v>
      </c>
      <c r="M13570" s="28" t="s">
        <v>51</v>
      </c>
      <c r="N13570" s="28" t="s">
        <v>51</v>
      </c>
    </row>
    <row r="13571" spans="1:14" x14ac:dyDescent="0.15">
      <c r="A13571" s="23" t="str">
        <f>HYPERLINK("https://www.spark-marketing.ru/Card/Person/25084", "ГУ-САНКТ-ПЕТЕРБУРГСКОЕ РО ФОНДА СОЦИАЛЬНОГО СТРАХОВАНИЯ РОССИЙСКОЙ ФЕДЕРАЦИИ")</f>
        <v>ГУ-САНКТ-ПЕТЕРБУРГСКОЕ РО ФОНДА СОЦИАЛЬНОГО СТРАХОВАНИЯ РОССИЙСКОЙ ФЕДЕРАЦИИ</v>
      </c>
      <c r="B13571" s="24" t="s">
        <v>17865</v>
      </c>
      <c r="C13571" s="25">
        <v>1122930</v>
      </c>
      <c r="D13571" s="22" t="s">
        <v>18227</v>
      </c>
      <c r="E13571" s="22" t="s">
        <v>86</v>
      </c>
      <c r="F13571" s="23" t="str">
        <f>HYPERLINK("https://www.spark-marketing.ru/Card/Lot/72017555", "Оказание услуг на территории Северо-Западного федерального округа или Центрального федерального округа в 2019 году по санаторно-курортному лечению граждан - получателей набора социальных услуг с болезнями эндокринной системы, расстройством питания и ...")</f>
        <v>Оказание услуг на территории Северо-Западного федерального округа или Центрального федерального округа в 2019 году по санаторно-курортному лечению граждан - получателей набора социальных услуг с болезнями эндокринной системы, расстройством питания и ...</v>
      </c>
      <c r="G13571" s="22" t="s">
        <v>117</v>
      </c>
      <c r="H13571" s="22" t="s">
        <v>117</v>
      </c>
      <c r="I13571" s="26">
        <v>43656.768750000003</v>
      </c>
      <c r="J13571" s="28" t="s">
        <v>51</v>
      </c>
      <c r="K13571" s="28" t="s">
        <v>51</v>
      </c>
      <c r="L13571" s="28" t="s">
        <v>51</v>
      </c>
      <c r="M13571" s="28" t="s">
        <v>51</v>
      </c>
      <c r="N13571" s="28" t="s">
        <v>51</v>
      </c>
    </row>
    <row r="13572" spans="1:14" ht="12.75" hidden="1" outlineLevel="1" x14ac:dyDescent="0.2">
      <c r="A13572" s="23" t="str">
        <f>HYPERLINK("https://www.spark-marketing.ru/Card/Person/25084", "ГУ-САНКТ-ПЕТЕРБУРГСКОЕ РО ФОНДА СОЦИАЛЬНОГО СТРАХОВАНИЯ РОССИЙСКОЙ ФЕДЕРАЦИИ")</f>
        <v>ГУ-САНКТ-ПЕТЕРБУРГСКОЕ РО ФОНДА СОЦИАЛЬНОГО СТРАХОВАНИЯ РОССИЙСКОЙ ФЕДЕРАЦИИ</v>
      </c>
      <c r="B13572" s="24" t="s">
        <v>17865</v>
      </c>
      <c r="C13572" s="25">
        <v>1122930</v>
      </c>
      <c r="D13572" s="22" t="s">
        <v>18227</v>
      </c>
      <c r="E13572" s="22" t="s">
        <v>86</v>
      </c>
      <c r="F13572" s="23" t="str">
        <f>HYPERLINK("https://www.spark-marketing.ru/Card/Lot/72017555", "Оказание услуг на территории Северо-Западного федерального округа или Центрального федерального округа в 2019 году по санаторно-курортному лечению граждан - получателей набора социальных услуг с болезнями эндокринной системы, расстройством питания и ...")</f>
        <v>Оказание услуг на территории Северо-Западного федерального округа или Центрального федерального округа в 2019 году по санаторно-курортному лечению граждан - получателей набора социальных услуг с болезнями эндокринной системы, расстройством питания и ...</v>
      </c>
      <c r="G13572" s="22" t="s">
        <v>117</v>
      </c>
      <c r="H13572" s="22" t="s">
        <v>117</v>
      </c>
      <c r="I13572" s="26">
        <v>43656.768750000003</v>
      </c>
      <c r="J13572" s="23" t="str">
        <f>HYPERLINK("https://www.spark-marketing.ru/Card/Person/132681", "АО ""БРЯНСКАГРОЗДРАВНИЦА""")</f>
        <v>АО "БРЯНСКАГРОЗДРАВНИЦА"</v>
      </c>
      <c r="K13572" s="24" t="s">
        <v>2456</v>
      </c>
      <c r="L13572" s="22" t="s">
        <v>10</v>
      </c>
      <c r="M13572" s="25">
        <v>971334.45</v>
      </c>
      <c r="N13572" s="27">
        <v>0.13500000000000001</v>
      </c>
    </row>
    <row r="13573" spans="1:14" hidden="1" outlineLevel="1" x14ac:dyDescent="0.2">
      <c r="A13573" s="23" t="str">
        <f>HYPERLINK("https://www.spark-marketing.ru/Card/Person/25084", "ГУ-САНКТ-ПЕТЕРБУРГСКОЕ РО ФОНДА СОЦИАЛЬНОГО СТРАХОВАНИЯ РОССИЙСКОЙ ФЕДЕРАЦИИ")</f>
        <v>ГУ-САНКТ-ПЕТЕРБУРГСКОЕ РО ФОНДА СОЦИАЛЬНОГО СТРАХОВАНИЯ РОССИЙСКОЙ ФЕДЕРАЦИИ</v>
      </c>
      <c r="B13573" s="24" t="s">
        <v>17865</v>
      </c>
      <c r="C13573" s="25">
        <v>1122930</v>
      </c>
      <c r="D13573" s="22" t="s">
        <v>18227</v>
      </c>
      <c r="E13573" s="22" t="s">
        <v>86</v>
      </c>
      <c r="F13573" s="23" t="str">
        <f>HYPERLINK("https://www.spark-marketing.ru/Card/Lot/72017555", "Оказание услуг на территории Северо-Западного федерального округа или Центрального федерального округа в 2019 году по санаторно-курортному лечению граждан - получателей набора социальных услуг с болезнями эндокринной системы, расстройством питания и ...")</f>
        <v>Оказание услуг на территории Северо-Западного федерального округа или Центрального федерального округа в 2019 году по санаторно-курортному лечению граждан - получателей набора социальных услуг с болезнями эндокринной системы, расстройством питания и ...</v>
      </c>
      <c r="G13573" s="22" t="s">
        <v>117</v>
      </c>
      <c r="H13573" s="22" t="s">
        <v>117</v>
      </c>
      <c r="I13573" s="26">
        <v>43656.768750000003</v>
      </c>
      <c r="J13573" s="23" t="str">
        <f>HYPERLINK("https://www.spark-marketing.ru/Card/Person/410492", "АО ""КУРОРТ СТАРАЯ РУССА""")</f>
        <v>АО "КУРОРТ СТАРАЯ РУССА"</v>
      </c>
      <c r="K13573" s="24" t="s">
        <v>18228</v>
      </c>
      <c r="L13573" s="28" t="s">
        <v>51</v>
      </c>
      <c r="M13573" s="25">
        <v>1010637</v>
      </c>
      <c r="N13573" s="27">
        <v>0.1</v>
      </c>
    </row>
    <row r="13574" spans="1:14" hidden="1" outlineLevel="1" x14ac:dyDescent="0.2">
      <c r="A13574" s="23" t="str">
        <f>HYPERLINK("https://www.spark-marketing.ru/Card/Person/25084", "ГУ-САНКТ-ПЕТЕРБУРГСКОЕ РО ФОНДА СОЦИАЛЬНОГО СТРАХОВАНИЯ РОССИЙСКОЙ ФЕДЕРАЦИИ")</f>
        <v>ГУ-САНКТ-ПЕТЕРБУРГСКОЕ РО ФОНДА СОЦИАЛЬНОГО СТРАХОВАНИЯ РОССИЙСКОЙ ФЕДЕРАЦИИ</v>
      </c>
      <c r="B13574" s="24" t="s">
        <v>17865</v>
      </c>
      <c r="C13574" s="25">
        <v>1122930</v>
      </c>
      <c r="D13574" s="22" t="s">
        <v>18227</v>
      </c>
      <c r="E13574" s="22" t="s">
        <v>86</v>
      </c>
      <c r="F13574" s="23" t="str">
        <f>HYPERLINK("https://www.spark-marketing.ru/Card/Lot/72017555", "Оказание услуг на территории Северо-Западного федерального округа или Центрального федерального округа в 2019 году по санаторно-курортному лечению граждан - получателей набора социальных услуг с болезнями эндокринной системы, расстройством питания и ...")</f>
        <v>Оказание услуг на территории Северо-Западного федерального округа или Центрального федерального округа в 2019 году по санаторно-курортному лечению граждан - получателей набора социальных услуг с болезнями эндокринной системы, расстройством питания и ...</v>
      </c>
      <c r="G13574" s="22" t="s">
        <v>117</v>
      </c>
      <c r="H13574" s="22" t="s">
        <v>117</v>
      </c>
      <c r="I13574" s="26">
        <v>43656.768750000003</v>
      </c>
      <c r="J13574" s="23" t="str">
        <f>HYPERLINK("https://www.spark-marketing.ru/Card/Person/379170", "ГУП ОРЛОВСКОЙ ОБЛАСТИ ""САНАТОРИЙ ""ДУБРАВА""")</f>
        <v>ГУП ОРЛОВСКОЙ ОБЛАСТИ "САНАТОРИЙ "ДУБРАВА"</v>
      </c>
      <c r="K13574" s="24" t="s">
        <v>18229</v>
      </c>
      <c r="L13574" s="28" t="s">
        <v>51</v>
      </c>
      <c r="M13574" s="25">
        <v>965719.8</v>
      </c>
      <c r="N13574" s="27">
        <v>0.14000000000000001</v>
      </c>
    </row>
    <row r="13575" spans="1:14" x14ac:dyDescent="0.15">
      <c r="A13575" s="23" t="str">
        <f t="shared" ref="A13575:A13580" si="444">HYPERLINK("https://www.spark-marketing.ru/Card/Person/21330", "ОБУЗ ККПБ")</f>
        <v>ОБУЗ ККПБ</v>
      </c>
      <c r="B13575" s="24" t="s">
        <v>18230</v>
      </c>
      <c r="C13575" s="25">
        <v>49918440</v>
      </c>
      <c r="D13575" s="22" t="s">
        <v>18231</v>
      </c>
      <c r="E13575" s="22" t="s">
        <v>48</v>
      </c>
      <c r="F13575" s="23" t="str">
        <f t="shared" ref="F13575:F13580" si="445">HYPERLINK("https://www.spark-marketing.ru/Card/Lot/72019586", "Оказание услуг по организации питания больных")</f>
        <v>Оказание услуг по организации питания больных</v>
      </c>
      <c r="G13575" s="22" t="s">
        <v>1111</v>
      </c>
      <c r="H13575" s="22" t="s">
        <v>1111</v>
      </c>
      <c r="I13575" s="26">
        <v>43656.75</v>
      </c>
      <c r="J13575" s="28" t="s">
        <v>51</v>
      </c>
      <c r="K13575" s="28" t="s">
        <v>51</v>
      </c>
      <c r="L13575" s="28" t="s">
        <v>51</v>
      </c>
      <c r="M13575" s="28" t="s">
        <v>51</v>
      </c>
      <c r="N13575" s="28" t="s">
        <v>51</v>
      </c>
    </row>
    <row r="13576" spans="1:14" hidden="1" outlineLevel="1" x14ac:dyDescent="0.2">
      <c r="A13576" s="23" t="str">
        <f t="shared" si="444"/>
        <v>ОБУЗ ККПБ</v>
      </c>
      <c r="B13576" s="24" t="s">
        <v>18230</v>
      </c>
      <c r="C13576" s="25">
        <v>49918440</v>
      </c>
      <c r="D13576" s="22" t="s">
        <v>18231</v>
      </c>
      <c r="E13576" s="22" t="s">
        <v>48</v>
      </c>
      <c r="F13576" s="23" t="str">
        <f t="shared" si="445"/>
        <v>Оказание услуг по организации питания больных</v>
      </c>
      <c r="G13576" s="22" t="s">
        <v>1111</v>
      </c>
      <c r="H13576" s="22" t="s">
        <v>1111</v>
      </c>
      <c r="I13576" s="26">
        <v>43656.75</v>
      </c>
      <c r="J13576" s="23" t="str">
        <f>HYPERLINK("https://www.spark-marketing.ru/Card/Person/669739", "Иванова Елена Валерьевна")</f>
        <v>Иванова Елена Валерьевна</v>
      </c>
      <c r="K13576" s="24" t="s">
        <v>5757</v>
      </c>
      <c r="L13576" s="28" t="s">
        <v>51</v>
      </c>
      <c r="M13576" s="25">
        <v>38100000</v>
      </c>
      <c r="N13576" s="27">
        <v>0.236754994747432</v>
      </c>
    </row>
    <row r="13577" spans="1:14" hidden="1" outlineLevel="1" x14ac:dyDescent="0.2">
      <c r="A13577" s="23" t="str">
        <f t="shared" si="444"/>
        <v>ОБУЗ ККПБ</v>
      </c>
      <c r="B13577" s="24" t="s">
        <v>18230</v>
      </c>
      <c r="C13577" s="25">
        <v>49918440</v>
      </c>
      <c r="D13577" s="22" t="s">
        <v>18231</v>
      </c>
      <c r="E13577" s="22" t="s">
        <v>48</v>
      </c>
      <c r="F13577" s="23" t="str">
        <f t="shared" si="445"/>
        <v>Оказание услуг по организации питания больных</v>
      </c>
      <c r="G13577" s="22" t="s">
        <v>1111</v>
      </c>
      <c r="H13577" s="22" t="s">
        <v>1111</v>
      </c>
      <c r="I13577" s="26">
        <v>43656.75</v>
      </c>
      <c r="J13577" s="23" t="str">
        <f>HYPERLINK("https://www.spark-marketing.ru/Card/Person/445728", "ООО ""СТАТУС""")</f>
        <v>ООО "СТАТУС"</v>
      </c>
      <c r="K13577" s="24" t="s">
        <v>18232</v>
      </c>
      <c r="L13577" s="28" t="s">
        <v>51</v>
      </c>
      <c r="M13577" s="25">
        <v>27900000</v>
      </c>
      <c r="N13577" s="27">
        <v>0.44108830324024551</v>
      </c>
    </row>
    <row r="13578" spans="1:14" ht="12.75" hidden="1" outlineLevel="1" x14ac:dyDescent="0.2">
      <c r="A13578" s="23" t="str">
        <f t="shared" si="444"/>
        <v>ОБУЗ ККПБ</v>
      </c>
      <c r="B13578" s="24" t="s">
        <v>18230</v>
      </c>
      <c r="C13578" s="25">
        <v>49918440</v>
      </c>
      <c r="D13578" s="22" t="s">
        <v>18231</v>
      </c>
      <c r="E13578" s="22" t="s">
        <v>48</v>
      </c>
      <c r="F13578" s="23" t="str">
        <f t="shared" si="445"/>
        <v>Оказание услуг по организации питания больных</v>
      </c>
      <c r="G13578" s="22" t="s">
        <v>1111</v>
      </c>
      <c r="H13578" s="22" t="s">
        <v>1111</v>
      </c>
      <c r="I13578" s="26">
        <v>43656.75</v>
      </c>
      <c r="J13578" s="23" t="str">
        <f>HYPERLINK("https://www.spark-marketing.ru/Card/Person/16210", "ООО ""ГК ФЬЮЖЕН МЕНЕДЖМЕНТ""")</f>
        <v>ООО "ГК ФЬЮЖЕН МЕНЕДЖМЕНТ"</v>
      </c>
      <c r="K13578" s="24" t="s">
        <v>1675</v>
      </c>
      <c r="L13578" s="22" t="s">
        <v>10</v>
      </c>
      <c r="M13578" s="25">
        <v>46439250</v>
      </c>
      <c r="N13578" s="27">
        <v>6.9697490546579574E-2</v>
      </c>
    </row>
    <row r="13579" spans="1:14" hidden="1" outlineLevel="1" x14ac:dyDescent="0.15">
      <c r="A13579" s="23" t="str">
        <f t="shared" si="444"/>
        <v>ОБУЗ ККПБ</v>
      </c>
      <c r="B13579" s="24" t="s">
        <v>18230</v>
      </c>
      <c r="C13579" s="25">
        <v>49918440</v>
      </c>
      <c r="D13579" s="22" t="s">
        <v>18231</v>
      </c>
      <c r="E13579" s="22" t="s">
        <v>48</v>
      </c>
      <c r="F13579" s="23" t="str">
        <f t="shared" si="445"/>
        <v>Оказание услуг по организации питания больных</v>
      </c>
      <c r="G13579" s="22" t="s">
        <v>1111</v>
      </c>
      <c r="H13579" s="22" t="s">
        <v>1111</v>
      </c>
      <c r="I13579" s="26">
        <v>43656.75</v>
      </c>
      <c r="J13579" s="23" t="str">
        <f>HYPERLINK("https://www.spark-marketing.ru/Card/Person/83981", "Дюкарева Людмила Николаевна")</f>
        <v>Дюкарева Людмила Николаевна</v>
      </c>
      <c r="K13579" s="24" t="s">
        <v>14769</v>
      </c>
      <c r="L13579" s="28" t="s">
        <v>51</v>
      </c>
      <c r="M13579" s="28" t="s">
        <v>51</v>
      </c>
      <c r="N13579" s="28" t="s">
        <v>51</v>
      </c>
    </row>
    <row r="13580" spans="1:14" hidden="1" outlineLevel="1" x14ac:dyDescent="0.2">
      <c r="A13580" s="23" t="str">
        <f t="shared" si="444"/>
        <v>ОБУЗ ККПБ</v>
      </c>
      <c r="B13580" s="24" t="s">
        <v>18230</v>
      </c>
      <c r="C13580" s="25">
        <v>49918440</v>
      </c>
      <c r="D13580" s="22" t="s">
        <v>18231</v>
      </c>
      <c r="E13580" s="22" t="s">
        <v>48</v>
      </c>
      <c r="F13580" s="23" t="str">
        <f t="shared" si="445"/>
        <v>Оказание услуг по организации питания больных</v>
      </c>
      <c r="G13580" s="22" t="s">
        <v>1111</v>
      </c>
      <c r="H13580" s="22" t="s">
        <v>1111</v>
      </c>
      <c r="I13580" s="26">
        <v>43656.75</v>
      </c>
      <c r="J13580" s="23" t="str">
        <f>HYPERLINK("https://www.spark-marketing.ru/Card/Person/55369", "ООО ""КОМБИНАТ ОБЩЕСТВЕННОГО ПИТАНИЯ""")</f>
        <v>ООО "КОМБИНАТ ОБЩЕСТВЕННОГО ПИТАНИЯ"</v>
      </c>
      <c r="K13580" s="24" t="s">
        <v>1516</v>
      </c>
      <c r="L13580" s="28" t="s">
        <v>51</v>
      </c>
      <c r="M13580" s="25">
        <v>41505750</v>
      </c>
      <c r="N13580" s="27">
        <v>0.16852870402200068</v>
      </c>
    </row>
    <row r="13581" spans="1:14" x14ac:dyDescent="0.15">
      <c r="A13581" s="23" t="str">
        <f>HYPERLINK("https://www.spark-marketing.ru/Card/Person/1019256", "ОБУССОКО ""БУКРЕЕВСКИЙ ИНТЕРНАТ""")</f>
        <v>ОБУССОКО "БУКРЕЕВСКИЙ ИНТЕРНАТ"</v>
      </c>
      <c r="B13581" s="24" t="s">
        <v>18222</v>
      </c>
      <c r="C13581" s="25">
        <v>499982.54</v>
      </c>
      <c r="D13581" s="22" t="s">
        <v>18233</v>
      </c>
      <c r="E13581" s="22" t="s">
        <v>48</v>
      </c>
      <c r="F13581" s="23" t="str">
        <f>HYPERLINK("https://www.spark-marketing.ru/Card/Lot/72015919", "Услуги по организации ежедневного четырехразового питания граждан, находящихся на стационарном социальном обслуживании в ОБУССОКО ""Букреевский интернат""")</f>
        <v>Услуги по организации ежедневного четырехразового питания граждан, находящихся на стационарном социальном обслуживании в ОБУССОКО "Букреевский интернат"</v>
      </c>
      <c r="G13581" s="22" t="s">
        <v>1111</v>
      </c>
      <c r="H13581" s="22" t="s">
        <v>9150</v>
      </c>
      <c r="I13581" s="26">
        <v>43656.75</v>
      </c>
      <c r="J13581" s="23" t="str">
        <f>HYPERLINK("https://www.spark-marketing.ru/Card/Person/6418961", "Лобова Ольга Михайловна")</f>
        <v>Лобова Ольга Михайловна</v>
      </c>
      <c r="K13581" s="24" t="s">
        <v>18234</v>
      </c>
      <c r="L13581" s="22" t="s">
        <v>10</v>
      </c>
      <c r="M13581" s="28" t="s">
        <v>51</v>
      </c>
      <c r="N13581" s="28" t="s">
        <v>51</v>
      </c>
    </row>
    <row r="13582" spans="1:14" x14ac:dyDescent="0.15">
      <c r="A13582" s="23" t="str">
        <f>HYPERLINK("https://www.spark-marketing.ru/Card/Person/1009739", "ОТДЕЛ ЗДРАВООХРАНЕНИЯ")</f>
        <v>ОТДЕЛ ЗДРАВООХРАНЕНИЯ</v>
      </c>
      <c r="B13582" s="24" t="s">
        <v>3572</v>
      </c>
      <c r="C13582" s="25">
        <v>6740</v>
      </c>
      <c r="D13582" s="22" t="s">
        <v>18235</v>
      </c>
      <c r="E13582" s="22" t="s">
        <v>52</v>
      </c>
      <c r="F13582" s="23" t="str">
        <f>HYPERLINK("https://www.spark-marketing.ru/Card/Lot/72007617",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3582" s="22" t="s">
        <v>3574</v>
      </c>
      <c r="H13582" s="22" t="s">
        <v>3574</v>
      </c>
      <c r="I13582" s="26">
        <v>43656.725694444402</v>
      </c>
      <c r="J13582" s="28" t="s">
        <v>51</v>
      </c>
      <c r="K13582" s="28" t="s">
        <v>51</v>
      </c>
      <c r="L13582" s="28" t="s">
        <v>51</v>
      </c>
      <c r="M13582" s="28" t="s">
        <v>51</v>
      </c>
      <c r="N13582" s="28" t="s">
        <v>51</v>
      </c>
    </row>
    <row r="13583" spans="1:14" x14ac:dyDescent="0.15">
      <c r="A13583" s="23" t="str">
        <f>HYPERLINK("https://www.spark-marketing.ru/Card/Person/78187", "ГБУЗ АРХАНГЕЛЬСКОЙ ОБЛАСТИ ""ЯРЕНСКАЯ ЦРБ""")</f>
        <v>ГБУЗ АРХАНГЕЛЬСКОЙ ОБЛАСТИ "ЯРЕНСКАЯ ЦРБ"</v>
      </c>
      <c r="B13583" s="24" t="s">
        <v>4095</v>
      </c>
      <c r="C13583" s="25">
        <v>1984000</v>
      </c>
      <c r="D13583" s="22" t="s">
        <v>18236</v>
      </c>
      <c r="E13583" s="22" t="s">
        <v>48</v>
      </c>
      <c r="F13583" s="23" t="str">
        <f>HYPERLINK("https://www.spark-marketing.ru/Card/Lot/72018064", "Оказание услуг по организации питания пациентов круглосуточных стационаров  ГБУЗ Архангельской области «Яренская ЦРБ»")</f>
        <v>Оказание услуг по организации питания пациентов круглосуточных стационаров  ГБУЗ Архангельской области «Яренская ЦРБ»</v>
      </c>
      <c r="G13583" s="22" t="s">
        <v>214</v>
      </c>
      <c r="H13583" s="22" t="s">
        <v>4097</v>
      </c>
      <c r="I13583" s="26">
        <v>43656.710416666698</v>
      </c>
      <c r="J13583" s="23" t="str">
        <f>HYPERLINK("https://www.spark-marketing.ru/Card/Person/133343", "ООО ""ХЛЕБ""")</f>
        <v>ООО "ХЛЕБ"</v>
      </c>
      <c r="K13583" s="24" t="s">
        <v>18237</v>
      </c>
      <c r="L13583" s="22" t="s">
        <v>10</v>
      </c>
      <c r="M13583" s="28" t="s">
        <v>51</v>
      </c>
      <c r="N13583" s="28" t="s">
        <v>51</v>
      </c>
    </row>
    <row r="13584" spans="1:14" x14ac:dyDescent="0.15">
      <c r="A13584" s="23" t="str">
        <f>HYPERLINK("https://www.spark-marketing.ru/Card/Person/128460", "ОГБУЗ ""ДИБ ИМ. Г.Е. СИБИРЦЕВА""")</f>
        <v>ОГБУЗ "ДИБ ИМ. Г.Е. СИБИРЦЕВА"</v>
      </c>
      <c r="B13584" s="24" t="s">
        <v>16063</v>
      </c>
      <c r="C13584" s="25">
        <v>3400966.68</v>
      </c>
      <c r="D13584" s="22" t="s">
        <v>18238</v>
      </c>
      <c r="E13584" s="22" t="s">
        <v>48</v>
      </c>
      <c r="F13584" s="23" t="str">
        <f>HYPERLINK("https://www.spark-marketing.ru/Card/Lot/72018792", "ОКАЗАНИЕ УСЛУГ ПО ОРГАНИЗАЦИИ ПИТАНИЯ ПАЦИЕНТОВ ОГБУЗ «ДЕТСКАЯ ИНФЕКЦИОННАЯ БОЛЬНИЦА ИМ. Г.Е.СИБИРЦЕВА»")</f>
        <v>ОКАЗАНИЕ УСЛУГ ПО ОРГАНИЗАЦИИ ПИТАНИЯ ПАЦИЕНТОВ ОГБУЗ «ДЕТСКАЯ ИНФЕКЦИОННАЯ БОЛЬНИЦА ИМ. Г.Е.СИБИРЦЕВА»</v>
      </c>
      <c r="G13584" s="22" t="s">
        <v>149</v>
      </c>
      <c r="H13584" s="22" t="s">
        <v>496</v>
      </c>
      <c r="I13584" s="26">
        <v>43656.726388888899</v>
      </c>
      <c r="J13584" s="28" t="s">
        <v>51</v>
      </c>
      <c r="K13584" s="28" t="s">
        <v>51</v>
      </c>
      <c r="L13584" s="28" t="s">
        <v>51</v>
      </c>
      <c r="M13584" s="28" t="s">
        <v>51</v>
      </c>
      <c r="N13584" s="28" t="s">
        <v>51</v>
      </c>
    </row>
    <row r="13585" spans="1:14" hidden="1" outlineLevel="1" x14ac:dyDescent="0.2">
      <c r="A13585" s="23" t="str">
        <f>HYPERLINK("https://www.spark-marketing.ru/Card/Person/128460", "ОГБУЗ ""ДИБ ИМ. Г.Е. СИБИРЦЕВА""")</f>
        <v>ОГБУЗ "ДИБ ИМ. Г.Е. СИБИРЦЕВА"</v>
      </c>
      <c r="B13585" s="24" t="s">
        <v>16063</v>
      </c>
      <c r="C13585" s="25">
        <v>3400966.68</v>
      </c>
      <c r="D13585" s="22" t="s">
        <v>18238</v>
      </c>
      <c r="E13585" s="22" t="s">
        <v>48</v>
      </c>
      <c r="F13585" s="23" t="str">
        <f>HYPERLINK("https://www.spark-marketing.ru/Card/Lot/72018792", "ОКАЗАНИЕ УСЛУГ ПО ОРГАНИЗАЦИИ ПИТАНИЯ ПАЦИЕНТОВ ОГБУЗ «ДЕТСКАЯ ИНФЕКЦИОННАЯ БОЛЬНИЦА ИМ. Г.Е.СИБИРЦЕВА»")</f>
        <v>ОКАЗАНИЕ УСЛУГ ПО ОРГАНИЗАЦИИ ПИТАНИЯ ПАЦИЕНТОВ ОГБУЗ «ДЕТСКАЯ ИНФЕКЦИОННАЯ БОЛЬНИЦА ИМ. Г.Е.СИБИРЦЕВА»</v>
      </c>
      <c r="G13585" s="22" t="s">
        <v>149</v>
      </c>
      <c r="H13585" s="22" t="s">
        <v>496</v>
      </c>
      <c r="I13585" s="26">
        <v>43656.726388888899</v>
      </c>
      <c r="J13585" s="23" t="str">
        <f>HYPERLINK("https://www.spark-marketing.ru/Card/Person/6631755", "Резников Илья Алексеевич")</f>
        <v>Резников Илья Алексеевич</v>
      </c>
      <c r="K13585" s="24" t="s">
        <v>16367</v>
      </c>
      <c r="L13585" s="28" t="s">
        <v>51</v>
      </c>
      <c r="M13585" s="25">
        <v>3298937.64</v>
      </c>
      <c r="N13585" s="27">
        <v>3.0000011643748301E-2</v>
      </c>
    </row>
    <row r="13586" spans="1:14" ht="12.75" hidden="1" outlineLevel="1" x14ac:dyDescent="0.2">
      <c r="A13586" s="23" t="str">
        <f>HYPERLINK("https://www.spark-marketing.ru/Card/Person/128460", "ОГБУЗ ""ДИБ ИМ. Г.Е. СИБИРЦЕВА""")</f>
        <v>ОГБУЗ "ДИБ ИМ. Г.Е. СИБИРЦЕВА"</v>
      </c>
      <c r="B13586" s="24" t="s">
        <v>16063</v>
      </c>
      <c r="C13586" s="25">
        <v>3400966.68</v>
      </c>
      <c r="D13586" s="22" t="s">
        <v>18238</v>
      </c>
      <c r="E13586" s="22" t="s">
        <v>48</v>
      </c>
      <c r="F13586" s="23" t="str">
        <f>HYPERLINK("https://www.spark-marketing.ru/Card/Lot/72018792", "ОКАЗАНИЕ УСЛУГ ПО ОРГАНИЗАЦИИ ПИТАНИЯ ПАЦИЕНТОВ ОГБУЗ «ДЕТСКАЯ ИНФЕКЦИОННАЯ БОЛЬНИЦА ИМ. Г.Е.СИБИРЦЕВА»")</f>
        <v>ОКАЗАНИЕ УСЛУГ ПО ОРГАНИЗАЦИИ ПИТАНИЯ ПАЦИЕНТОВ ОГБУЗ «ДЕТСКАЯ ИНФЕКЦИОННАЯ БОЛЬНИЦА ИМ. Г.Е.СИБИРЦЕВА»</v>
      </c>
      <c r="G13586" s="22" t="s">
        <v>149</v>
      </c>
      <c r="H13586" s="22" t="s">
        <v>496</v>
      </c>
      <c r="I13586" s="26">
        <v>43656.726388888899</v>
      </c>
      <c r="J13586" s="23" t="str">
        <f>HYPERLINK("https://www.spark-marketing.ru/Card/Person/852288", "ООО ""ЗДОРОВОЕ ПИТАНИЕ""")</f>
        <v>ООО "ЗДОРОВОЕ ПИТАНИЕ"</v>
      </c>
      <c r="K13586" s="24" t="s">
        <v>4082</v>
      </c>
      <c r="L13586" s="22" t="s">
        <v>10</v>
      </c>
      <c r="M13586" s="25">
        <v>3281932.8</v>
      </c>
      <c r="N13586" s="27">
        <v>3.5000013584373019E-2</v>
      </c>
    </row>
    <row r="13587" spans="1:14" x14ac:dyDescent="0.15">
      <c r="A13587" s="23" t="str">
        <f>HYPERLINK("https://www.spark-marketing.ru/Card/Person/1009739", "ОТДЕЛ ЗДРАВООХРАНЕНИЯ")</f>
        <v>ОТДЕЛ ЗДРАВООХРАНЕНИЯ</v>
      </c>
      <c r="B13587" s="24" t="s">
        <v>3572</v>
      </c>
      <c r="C13587" s="25">
        <v>76208.399999999994</v>
      </c>
      <c r="D13587" s="22" t="s">
        <v>18239</v>
      </c>
      <c r="E13587" s="22" t="s">
        <v>52</v>
      </c>
      <c r="F13587" s="23" t="str">
        <f>HYPERLINK("https://www.spark-marketing.ru/Card/Lot/72008628",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3587" s="22" t="s">
        <v>3574</v>
      </c>
      <c r="H13587" s="22" t="s">
        <v>3574</v>
      </c>
      <c r="I13587" s="26">
        <v>43656.724999999999</v>
      </c>
      <c r="J13587" s="28" t="s">
        <v>51</v>
      </c>
      <c r="K13587" s="28" t="s">
        <v>51</v>
      </c>
      <c r="L13587" s="28" t="s">
        <v>51</v>
      </c>
      <c r="M13587" s="28" t="s">
        <v>51</v>
      </c>
      <c r="N13587" s="28" t="s">
        <v>51</v>
      </c>
    </row>
    <row r="13588" spans="1:14" x14ac:dyDescent="0.15">
      <c r="A13588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3588" s="24" t="s">
        <v>3255</v>
      </c>
      <c r="C13588" s="25">
        <v>72414</v>
      </c>
      <c r="D13588" s="22" t="s">
        <v>18240</v>
      </c>
      <c r="E13588" s="22" t="s">
        <v>52</v>
      </c>
      <c r="F13588" s="23" t="str">
        <f>HYPERLINK("https://www.spark-marketing.ru/Card/Lot/72004795", "Поставка лекарственного препарата для медицинского применения ""Симвастатин""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"Симвастатин"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3588" s="22" t="s">
        <v>210</v>
      </c>
      <c r="H13588" s="22" t="s">
        <v>3257</v>
      </c>
      <c r="I13588" s="26">
        <v>43656.718055555597</v>
      </c>
      <c r="J13588" s="23" t="str">
        <f>HYPERLINK("https://www.spark-marketing.ru/Card/Person/264137", "ОАО ""АМУРФАРМАЦИЯ""")</f>
        <v>ОАО "АМУРФАРМАЦИЯ"</v>
      </c>
      <c r="K13588" s="24" t="s">
        <v>3936</v>
      </c>
      <c r="L13588" s="22" t="s">
        <v>10</v>
      </c>
      <c r="M13588" s="28" t="s">
        <v>51</v>
      </c>
      <c r="N13588" s="28" t="s">
        <v>51</v>
      </c>
    </row>
    <row r="13589" spans="1:14" x14ac:dyDescent="0.15">
      <c r="A13589" s="23" t="str">
        <f>HYPERLINK("https://www.spark-marketing.ru/Card/Person/493846", "ГАУ АО ""ЦДО ""СЕВЕРНЫЙ АРТЕК""")</f>
        <v>ГАУ АО "ЦДО "СЕВЕРНЫЙ АРТЕК"</v>
      </c>
      <c r="B13589" s="24" t="s">
        <v>18241</v>
      </c>
      <c r="C13589" s="25">
        <v>558900</v>
      </c>
      <c r="D13589" s="22" t="s">
        <v>18242</v>
      </c>
      <c r="E13589" s="22" t="s">
        <v>362</v>
      </c>
      <c r="F13589" s="23" t="str">
        <f>HYPERLINK("https://www.spark-marketing.ru/Card/Lot/72012188", "Оказание услуг по организации горячего питания по системе «Шведский стол» и иного типа питания по заявкам Исполнителя")</f>
        <v>Оказание услуг по организации горячего питания по системе «Шведский стол» и иного типа питания по заявкам Исполнителя</v>
      </c>
      <c r="G13589" s="22" t="s">
        <v>214</v>
      </c>
      <c r="H13589" s="22" t="s">
        <v>214</v>
      </c>
      <c r="I13589" s="26">
        <v>43656.713333333297</v>
      </c>
      <c r="J13589" s="28" t="s">
        <v>51</v>
      </c>
      <c r="K13589" s="28" t="s">
        <v>51</v>
      </c>
      <c r="L13589" s="28" t="s">
        <v>51</v>
      </c>
      <c r="M13589" s="28" t="s">
        <v>51</v>
      </c>
      <c r="N13589" s="28" t="s">
        <v>51</v>
      </c>
    </row>
    <row r="13590" spans="1:14" x14ac:dyDescent="0.15">
      <c r="A13590" s="23" t="str">
        <f>HYPERLINK("https://www.spark-marketing.ru/Card/Person/1019256", "ОБУССОКО ""БУКРЕЕВСКИЙ ИНТЕРНАТ""")</f>
        <v>ОБУССОКО "БУКРЕЕВСКИЙ ИНТЕРНАТ"</v>
      </c>
      <c r="B13590" s="24" t="s">
        <v>18222</v>
      </c>
      <c r="C13590" s="25">
        <v>272561.63</v>
      </c>
      <c r="D13590" s="22" t="s">
        <v>18243</v>
      </c>
      <c r="E13590" s="22" t="s">
        <v>48</v>
      </c>
      <c r="F13590" s="23" t="str">
        <f>HYPERLINK("https://www.spark-marketing.ru/Card/Lot/72014973", "Услуги по организации ежедневного четырехразового питания граждан, находящихся на стационарном социальном обслуживании в ОБУССОКО ""Букреевский интернат""")</f>
        <v>Услуги по организации ежедневного четырехразового питания граждан, находящихся на стационарном социальном обслуживании в ОБУССОКО "Букреевский интернат"</v>
      </c>
      <c r="G13590" s="22" t="s">
        <v>1111</v>
      </c>
      <c r="H13590" s="22" t="s">
        <v>9150</v>
      </c>
      <c r="I13590" s="26">
        <v>43656.748611111099</v>
      </c>
      <c r="J13590" s="23" t="str">
        <f>HYPERLINK("https://www.spark-marketing.ru/Card/Person/6418961", "Лобова Ольга Михайловна")</f>
        <v>Лобова Ольга Михайловна</v>
      </c>
      <c r="K13590" s="24" t="s">
        <v>18234</v>
      </c>
      <c r="L13590" s="22" t="s">
        <v>10</v>
      </c>
      <c r="M13590" s="28" t="s">
        <v>51</v>
      </c>
      <c r="N13590" s="28" t="s">
        <v>51</v>
      </c>
    </row>
    <row r="13591" spans="1:14" x14ac:dyDescent="0.15">
      <c r="A13591" s="23" t="str">
        <f>HYPERLINK("https://www.spark-marketing.ru/Card/Person/93837", "УМВД РОССИИ ПО ГОРОДУ ВЛАДИМИРУ")</f>
        <v>УМВД РОССИИ ПО ГОРОДУ ВЛАДИМИРУ</v>
      </c>
      <c r="B13591" s="24" t="s">
        <v>18244</v>
      </c>
      <c r="C13591" s="25">
        <v>3687500</v>
      </c>
      <c r="D13591" s="22" t="s">
        <v>18245</v>
      </c>
      <c r="E13591" s="22" t="s">
        <v>48</v>
      </c>
      <c r="F13591" s="23" t="str">
        <f>HYPERLINK("https://www.spark-marketing.ru/Card/Lot/72018942", "Прочая закупка товаров, работ и услуг (оказание услуг по обеспечению ежедневным трехразовым горячим питанием лиц, содержащихся в изоляторе временного содержания, специальном приемнике и камерах административного содержания в УМВД России по городу Вла...")</f>
        <v>Прочая закупка товаров, работ и услуг (оказание услуг по обеспечению ежедневным трехразовым горячим питанием лиц, содержащихся в изоляторе временного содержания, специальном приемнике и камерах административного содержания в УМВД России по городу Вла...</v>
      </c>
      <c r="G13591" s="22" t="s">
        <v>663</v>
      </c>
      <c r="H13591" s="22" t="s">
        <v>664</v>
      </c>
      <c r="I13591" s="26">
        <v>43656.722916666702</v>
      </c>
      <c r="J13591" s="28" t="s">
        <v>51</v>
      </c>
      <c r="K13591" s="28" t="s">
        <v>51</v>
      </c>
      <c r="L13591" s="28" t="s">
        <v>51</v>
      </c>
      <c r="M13591" s="28" t="s">
        <v>51</v>
      </c>
      <c r="N13591" s="28" t="s">
        <v>51</v>
      </c>
    </row>
    <row r="13592" spans="1:14" ht="12.75" hidden="1" outlineLevel="1" x14ac:dyDescent="0.2">
      <c r="A13592" s="23" t="str">
        <f>HYPERLINK("https://www.spark-marketing.ru/Card/Person/93837", "УМВД РОССИИ ПО ГОРОДУ ВЛАДИМИРУ")</f>
        <v>УМВД РОССИИ ПО ГОРОДУ ВЛАДИМИРУ</v>
      </c>
      <c r="B13592" s="24" t="s">
        <v>18244</v>
      </c>
      <c r="C13592" s="25">
        <v>3687500</v>
      </c>
      <c r="D13592" s="22" t="s">
        <v>18245</v>
      </c>
      <c r="E13592" s="22" t="s">
        <v>48</v>
      </c>
      <c r="F13592" s="23" t="str">
        <f>HYPERLINK("https://www.spark-marketing.ru/Card/Lot/72018942", "Прочая закупка товаров, работ и услуг (оказание услуг по обеспечению ежедневным трехразовым горячим питанием лиц, содержащихся в изоляторе временного содержания, специальном приемнике и камерах административного содержания в УМВД России по городу Вла...")</f>
        <v>Прочая закупка товаров, работ и услуг (оказание услуг по обеспечению ежедневным трехразовым горячим питанием лиц, содержащихся в изоляторе временного содержания, специальном приемнике и камерах административного содержания в УМВД России по городу Вла...</v>
      </c>
      <c r="G13592" s="22" t="s">
        <v>663</v>
      </c>
      <c r="H13592" s="22" t="s">
        <v>664</v>
      </c>
      <c r="I13592" s="26">
        <v>43656.722916666702</v>
      </c>
      <c r="J13592" s="23" t="str">
        <f>HYPERLINK("https://www.spark-marketing.ru/Card/Person/4964658", "Климова Мария Ивановна")</f>
        <v>Климова Мария Ивановна</v>
      </c>
      <c r="K13592" s="24" t="s">
        <v>18246</v>
      </c>
      <c r="L13592" s="22" t="s">
        <v>10</v>
      </c>
      <c r="M13592" s="25">
        <v>1906.33</v>
      </c>
      <c r="N13592" s="27">
        <v>0.99948302915254239</v>
      </c>
    </row>
    <row r="13593" spans="1:14" hidden="1" outlineLevel="1" x14ac:dyDescent="0.2">
      <c r="A13593" s="23" t="str">
        <f>HYPERLINK("https://www.spark-marketing.ru/Card/Person/93837", "УМВД РОССИИ ПО ГОРОДУ ВЛАДИМИРУ")</f>
        <v>УМВД РОССИИ ПО ГОРОДУ ВЛАДИМИРУ</v>
      </c>
      <c r="B13593" s="24" t="s">
        <v>18244</v>
      </c>
      <c r="C13593" s="25">
        <v>3687500</v>
      </c>
      <c r="D13593" s="22" t="s">
        <v>18245</v>
      </c>
      <c r="E13593" s="22" t="s">
        <v>48</v>
      </c>
      <c r="F13593" s="23" t="str">
        <f>HYPERLINK("https://www.spark-marketing.ru/Card/Lot/72018942", "Прочая закупка товаров, работ и услуг (оказание услуг по обеспечению ежедневным трехразовым горячим питанием лиц, содержащихся в изоляторе временного содержания, специальном приемнике и камерах административного содержания в УМВД России по городу Вла...")</f>
        <v>Прочая закупка товаров, работ и услуг (оказание услуг по обеспечению ежедневным трехразовым горячим питанием лиц, содержащихся в изоляторе временного содержания, специальном приемнике и камерах административного содержания в УМВД России по городу Вла...</v>
      </c>
      <c r="G13593" s="22" t="s">
        <v>663</v>
      </c>
      <c r="H13593" s="22" t="s">
        <v>664</v>
      </c>
      <c r="I13593" s="26">
        <v>43656.722916666702</v>
      </c>
      <c r="J13593" s="23" t="str">
        <f>HYPERLINK("https://www.spark-marketing.ru/Card/Person/6682077", "Малинина Яна Александровна")</f>
        <v>Малинина Яна Александровна</v>
      </c>
      <c r="K13593" s="24" t="s">
        <v>18247</v>
      </c>
      <c r="L13593" s="28" t="s">
        <v>51</v>
      </c>
      <c r="M13593" s="25">
        <v>1906.33</v>
      </c>
      <c r="N13593" s="27">
        <v>0.99948302915254239</v>
      </c>
    </row>
    <row r="13594" spans="1:14" x14ac:dyDescent="0.15">
      <c r="A13594" s="23" t="str">
        <f>HYPERLINK("https://www.spark-marketing.ru/Card/Person/15665", "Администрация города Батайска")</f>
        <v>Администрация города Батайска</v>
      </c>
      <c r="B13594" s="24" t="s">
        <v>18248</v>
      </c>
      <c r="C13594" s="25">
        <v>280000</v>
      </c>
      <c r="D13594" s="22" t="s">
        <v>18249</v>
      </c>
      <c r="E13594" s="22" t="s">
        <v>1492</v>
      </c>
      <c r="F13594" s="23" t="str">
        <f>HYPERLINK("https://www.spark-marketing.ru/Card/Lot/72014977", "Определение исполнителя на оказание услуг по проживанию, питанию, экскурсионному обслуживанию выездного профильного лагеря ""Лидер""")</f>
        <v>Определение исполнителя на оказание услуг по проживанию, питанию, экскурсионному обслуживанию выездного профильного лагеря "Лидер"</v>
      </c>
      <c r="G13594" s="22" t="s">
        <v>267</v>
      </c>
      <c r="H13594" s="22" t="s">
        <v>18250</v>
      </c>
      <c r="I13594" s="26">
        <v>43656.747916666704</v>
      </c>
      <c r="J13594" s="23" t="str">
        <f>HYPERLINK("https://www.spark-marketing.ru/Card/Person/2039582", "ООО ""СПУТНИК-ТУР""")</f>
        <v>ООО "СПУТНИК-ТУР"</v>
      </c>
      <c r="K13594" s="24" t="s">
        <v>18251</v>
      </c>
      <c r="L13594" s="22" t="s">
        <v>10</v>
      </c>
      <c r="M13594" s="28" t="s">
        <v>51</v>
      </c>
      <c r="N13594" s="28" t="s">
        <v>51</v>
      </c>
    </row>
    <row r="13595" spans="1:14" x14ac:dyDescent="0.15">
      <c r="A13595" s="23" t="str">
        <f>HYPERLINK("https://www.spark-marketing.ru/Card/Person/128394", "МАОУ СШ № 7")</f>
        <v>МАОУ СШ № 7</v>
      </c>
      <c r="B13595" s="24" t="s">
        <v>18252</v>
      </c>
      <c r="C13595" s="25">
        <v>214407.2</v>
      </c>
      <c r="D13595" s="22" t="s">
        <v>18253</v>
      </c>
      <c r="E13595" s="22" t="s">
        <v>362</v>
      </c>
      <c r="F13595" s="23" t="str">
        <f>HYPERLINK("https://www.spark-marketing.ru/Card/Lot/72005434", "Оказание услуг по организации горячего питания учащихся")</f>
        <v>Оказание услуг по организации горячего питания учащихся</v>
      </c>
      <c r="G13595" s="22" t="s">
        <v>281</v>
      </c>
      <c r="H13595" s="22" t="s">
        <v>281</v>
      </c>
      <c r="I13595" s="26">
        <v>43656.727847222202</v>
      </c>
      <c r="J13595" s="28" t="s">
        <v>51</v>
      </c>
      <c r="K13595" s="28" t="s">
        <v>51</v>
      </c>
      <c r="L13595" s="28" t="s">
        <v>51</v>
      </c>
      <c r="M13595" s="28" t="s">
        <v>51</v>
      </c>
      <c r="N13595" s="28" t="s">
        <v>51</v>
      </c>
    </row>
    <row r="13596" spans="1:14" x14ac:dyDescent="0.15">
      <c r="A13596" s="23" t="str">
        <f>HYPERLINK("https://www.spark-marketing.ru/Card/Person/17591", "ОТДЕЛ МВД РОССИИ ПО ЗАТО Г. ЗЕЛЕНОГОРСК")</f>
        <v>ОТДЕЛ МВД РОССИИ ПО ЗАТО Г. ЗЕЛЕНОГОРСК</v>
      </c>
      <c r="B13596" s="24" t="s">
        <v>8347</v>
      </c>
      <c r="C13596" s="25">
        <v>1250000</v>
      </c>
      <c r="D13596" s="22" t="s">
        <v>18254</v>
      </c>
      <c r="E13596" s="22" t="s">
        <v>96</v>
      </c>
      <c r="F13596" s="23" t="str">
        <f>HYPERLINK("https://www.spark-marketing.ru/Card/Lot/72017694", "Услуги по обеспечению горячим питанием лиц, содержащихся в изоляторе временного содержания, комнате содержания задержанных лиц")</f>
        <v>Услуги по обеспечению горячим питанием лиц, содержащихся в изоляторе временного содержания, комнате содержания задержанных лиц</v>
      </c>
      <c r="G13596" s="22" t="s">
        <v>281</v>
      </c>
      <c r="H13596" s="22" t="s">
        <v>8349</v>
      </c>
      <c r="I13596" s="26">
        <v>43656.708333333299</v>
      </c>
      <c r="J13596" s="23" t="str">
        <f>HYPERLINK("https://www.spark-marketing.ru/Card/Person/4392834", "МУП ""ГЛОБУС""")</f>
        <v>МУП "ГЛОБУС"</v>
      </c>
      <c r="K13596" s="24" t="s">
        <v>18255</v>
      </c>
      <c r="L13596" s="22" t="s">
        <v>10</v>
      </c>
      <c r="M13596" s="28" t="s">
        <v>51</v>
      </c>
      <c r="N13596" s="28" t="s">
        <v>51</v>
      </c>
    </row>
    <row r="13597" spans="1:14" x14ac:dyDescent="0.15">
      <c r="A13597" s="23" t="str">
        <f>HYPERLINK("https://www.spark-marketing.ru/Card/Person/1045311", "МБУ ""КМЦ""")</f>
        <v>МБУ "КМЦ"</v>
      </c>
      <c r="B13597" s="24" t="s">
        <v>17766</v>
      </c>
      <c r="C13597" s="25">
        <v>72000</v>
      </c>
      <c r="D13597" s="22" t="s">
        <v>18256</v>
      </c>
      <c r="E13597" s="22" t="s">
        <v>48</v>
      </c>
      <c r="F13597" s="23" t="str">
        <f>HYPERLINK("https://www.spark-marketing.ru/Card/Lot/72013211", "Оказание услуг по организации питания")</f>
        <v>Оказание услуг по организации питания</v>
      </c>
      <c r="G13597" s="22" t="s">
        <v>49</v>
      </c>
      <c r="H13597" s="22" t="s">
        <v>4509</v>
      </c>
      <c r="I13597" s="26">
        <v>43656.742349537002</v>
      </c>
      <c r="J13597" s="28" t="s">
        <v>51</v>
      </c>
      <c r="K13597" s="28" t="s">
        <v>51</v>
      </c>
      <c r="L13597" s="28" t="s">
        <v>51</v>
      </c>
      <c r="M13597" s="28" t="s">
        <v>51</v>
      </c>
      <c r="N13597" s="28" t="s">
        <v>51</v>
      </c>
    </row>
    <row r="13598" spans="1:14" x14ac:dyDescent="0.15">
      <c r="A13598" s="23" t="str">
        <f>HYPERLINK("https://www.spark-marketing.ru/Card/Person/1009739", "ОТДЕЛ ЗДРАВООХРАНЕНИЯ")</f>
        <v>ОТДЕЛ ЗДРАВООХРАНЕНИЯ</v>
      </c>
      <c r="B13598" s="24" t="s">
        <v>3572</v>
      </c>
      <c r="C13598" s="25">
        <v>8856</v>
      </c>
      <c r="D13598" s="22" t="s">
        <v>18257</v>
      </c>
      <c r="E13598" s="22" t="s">
        <v>52</v>
      </c>
      <c r="F13598" s="23" t="str">
        <f>HYPERLINK("https://www.spark-marketing.ru/Card/Lot/72007706",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3598" s="22" t="s">
        <v>3574</v>
      </c>
      <c r="H13598" s="22" t="s">
        <v>3574</v>
      </c>
      <c r="I13598" s="26">
        <v>43656.726388888899</v>
      </c>
      <c r="J13598" s="28" t="s">
        <v>51</v>
      </c>
      <c r="K13598" s="28" t="s">
        <v>51</v>
      </c>
      <c r="L13598" s="28" t="s">
        <v>51</v>
      </c>
      <c r="M13598" s="28" t="s">
        <v>51</v>
      </c>
      <c r="N13598" s="28" t="s">
        <v>51</v>
      </c>
    </row>
    <row r="13599" spans="1:14" x14ac:dyDescent="0.15">
      <c r="A13599" s="23" t="str">
        <f>HYPERLINK("https://www.spark-marketing.ru/Card/Person/86115", "МЕЖМУНИЦИПАЛЬНЫЙ ОТДЕЛ МВД РОССИИ ""БЕРЕЗОВСКИЙ""")</f>
        <v>МЕЖМУНИЦИПАЛЬНЫЙ ОТДЕЛ МВД РОССИИ "БЕРЕЗОВСКИЙ"</v>
      </c>
      <c r="B13599" s="24" t="s">
        <v>18160</v>
      </c>
      <c r="C13599" s="25">
        <v>200000</v>
      </c>
      <c r="D13599" s="22" t="s">
        <v>18258</v>
      </c>
      <c r="E13599" s="22" t="s">
        <v>48</v>
      </c>
      <c r="F13599" s="23" t="str">
        <f>HYPERLINK("https://www.spark-marketing.ru/Card/Lot/72008142", "Оказание услуг по организации горячего питания для лиц содержащихся в комнатах административно задержанных лиц")</f>
        <v>Оказание услуг по организации горячего питания для лиц содержащихся в комнатах административно задержанных лиц</v>
      </c>
      <c r="G13599" s="22" t="s">
        <v>281</v>
      </c>
      <c r="H13599" s="22" t="s">
        <v>482</v>
      </c>
      <c r="I13599" s="26">
        <v>43656.743055555598</v>
      </c>
      <c r="J13599" s="23" t="str">
        <f>HYPERLINK("https://www.spark-marketing.ru/Card/Person/4887880", "ООО ""СИБИРЬ""")</f>
        <v>ООО "СИБИРЬ"</v>
      </c>
      <c r="K13599" s="24" t="s">
        <v>13666</v>
      </c>
      <c r="L13599" s="22" t="s">
        <v>10</v>
      </c>
      <c r="M13599" s="28" t="s">
        <v>51</v>
      </c>
      <c r="N13599" s="28" t="s">
        <v>51</v>
      </c>
    </row>
    <row r="13600" spans="1:14" x14ac:dyDescent="0.15">
      <c r="A13600" s="23" t="s">
        <v>114</v>
      </c>
      <c r="B13600" s="28" t="s">
        <v>51</v>
      </c>
      <c r="C13600" s="25">
        <v>16615800</v>
      </c>
      <c r="D13600" s="22" t="s">
        <v>18259</v>
      </c>
      <c r="E13600" s="22" t="s">
        <v>48</v>
      </c>
      <c r="F13600" s="23" t="str">
        <f t="shared" ref="F13600:F13607" si="446">HYPERLINK("https://www.spark-marketing.ru/Card/Lot/72019871", "Оказание услуг по организации питания детей для нужд Муниципальных бюджетных дошкольных образовательных учреждений городского округа Большой Камень")</f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00" s="22" t="s">
        <v>51</v>
      </c>
      <c r="H13600" s="22" t="s">
        <v>51</v>
      </c>
      <c r="I13600" s="26">
        <v>43656.714583333298</v>
      </c>
      <c r="J13600" s="28" t="s">
        <v>51</v>
      </c>
      <c r="K13600" s="28" t="s">
        <v>51</v>
      </c>
      <c r="L13600" s="28" t="s">
        <v>51</v>
      </c>
      <c r="M13600" s="28" t="s">
        <v>51</v>
      </c>
      <c r="N13600" s="28" t="s">
        <v>51</v>
      </c>
    </row>
    <row r="13601" spans="1:14" hidden="1" outlineLevel="1" x14ac:dyDescent="0.15">
      <c r="A13601" s="23" t="str">
        <f>HYPERLINK("https://www.spark-marketing.ru/Card/Person/73886", "МБДОУ ""ДЮЙМОВОЧКА"" ГОРОДСКОГО ОКРУГА БОЛЬШОЙ КАМЕНЬ")</f>
        <v>МБДОУ "ДЮЙМОВОЧКА" ГОРОДСКОГО ОКРУГА БОЛЬШОЙ КАМЕНЬ</v>
      </c>
      <c r="B13601" s="24" t="s">
        <v>18260</v>
      </c>
      <c r="C13601" s="25">
        <v>1935252</v>
      </c>
      <c r="D13601" s="22" t="s">
        <v>18259</v>
      </c>
      <c r="E13601" s="22" t="s">
        <v>48</v>
      </c>
      <c r="F13601" s="23" t="str">
        <f t="shared" si="446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01" s="22" t="s">
        <v>543</v>
      </c>
      <c r="H13601" s="22" t="s">
        <v>11733</v>
      </c>
      <c r="I13601" s="26">
        <v>43656.714583333298</v>
      </c>
      <c r="J13601" s="28" t="s">
        <v>51</v>
      </c>
      <c r="K13601" s="28" t="s">
        <v>51</v>
      </c>
      <c r="L13601" s="28" t="s">
        <v>51</v>
      </c>
      <c r="M13601" s="28" t="s">
        <v>51</v>
      </c>
      <c r="N13601" s="28" t="s">
        <v>51</v>
      </c>
    </row>
    <row r="13602" spans="1:14" hidden="1" outlineLevel="1" x14ac:dyDescent="0.15">
      <c r="A13602" s="23" t="str">
        <f>HYPERLINK("https://www.spark-marketing.ru/Card/Person/70927", "МБДОУ № 23 ""ЁЛОЧКА""")</f>
        <v>МБДОУ № 23 "ЁЛОЧКА"</v>
      </c>
      <c r="B13602" s="24" t="s">
        <v>18261</v>
      </c>
      <c r="C13602" s="25">
        <v>4007340</v>
      </c>
      <c r="D13602" s="22" t="s">
        <v>18259</v>
      </c>
      <c r="E13602" s="22" t="s">
        <v>48</v>
      </c>
      <c r="F13602" s="23" t="str">
        <f t="shared" si="446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02" s="22" t="s">
        <v>543</v>
      </c>
      <c r="H13602" s="22" t="s">
        <v>11733</v>
      </c>
      <c r="I13602" s="26">
        <v>43656.714583333298</v>
      </c>
      <c r="J13602" s="28" t="s">
        <v>51</v>
      </c>
      <c r="K13602" s="28" t="s">
        <v>51</v>
      </c>
      <c r="L13602" s="28" t="s">
        <v>51</v>
      </c>
      <c r="M13602" s="28" t="s">
        <v>51</v>
      </c>
      <c r="N13602" s="28" t="s">
        <v>51</v>
      </c>
    </row>
    <row r="13603" spans="1:14" hidden="1" outlineLevel="1" x14ac:dyDescent="0.15">
      <c r="A13603" s="23" t="str">
        <f>HYPERLINK("https://www.spark-marketing.ru/Card/Person/71014", "МБДОУ № 18 ""СВЕТЛЯЧОК""")</f>
        <v>МБДОУ № 18 "СВЕТЛЯЧОК"</v>
      </c>
      <c r="B13603" s="24" t="s">
        <v>18262</v>
      </c>
      <c r="C13603" s="25">
        <v>3577284</v>
      </c>
      <c r="D13603" s="22" t="s">
        <v>18259</v>
      </c>
      <c r="E13603" s="22" t="s">
        <v>48</v>
      </c>
      <c r="F13603" s="23" t="str">
        <f t="shared" si="446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03" s="22" t="s">
        <v>543</v>
      </c>
      <c r="H13603" s="22" t="s">
        <v>11733</v>
      </c>
      <c r="I13603" s="26">
        <v>43656.714583333298</v>
      </c>
      <c r="J13603" s="28" t="s">
        <v>51</v>
      </c>
      <c r="K13603" s="28" t="s">
        <v>51</v>
      </c>
      <c r="L13603" s="28" t="s">
        <v>51</v>
      </c>
      <c r="M13603" s="28" t="s">
        <v>51</v>
      </c>
      <c r="N13603" s="28" t="s">
        <v>51</v>
      </c>
    </row>
    <row r="13604" spans="1:14" hidden="1" outlineLevel="1" x14ac:dyDescent="0.15">
      <c r="A13604" s="23" t="str">
        <f>HYPERLINK("https://www.spark-marketing.ru/Card/Person/71057", "МБДОУ № 49 ""РОДНИЧОК""")</f>
        <v>МБДОУ № 49 "РОДНИЧОК"</v>
      </c>
      <c r="B13604" s="24" t="s">
        <v>18263</v>
      </c>
      <c r="C13604" s="25">
        <v>3244968</v>
      </c>
      <c r="D13604" s="22" t="s">
        <v>18259</v>
      </c>
      <c r="E13604" s="22" t="s">
        <v>48</v>
      </c>
      <c r="F13604" s="23" t="str">
        <f t="shared" si="446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04" s="22" t="s">
        <v>543</v>
      </c>
      <c r="H13604" s="22" t="s">
        <v>11733</v>
      </c>
      <c r="I13604" s="26">
        <v>43656.714583333298</v>
      </c>
      <c r="J13604" s="28" t="s">
        <v>51</v>
      </c>
      <c r="K13604" s="28" t="s">
        <v>51</v>
      </c>
      <c r="L13604" s="28" t="s">
        <v>51</v>
      </c>
      <c r="M13604" s="28" t="s">
        <v>51</v>
      </c>
      <c r="N13604" s="28" t="s">
        <v>51</v>
      </c>
    </row>
    <row r="13605" spans="1:14" hidden="1" outlineLevel="1" x14ac:dyDescent="0.15">
      <c r="A13605" s="23" t="str">
        <f>HYPERLINK("https://www.spark-marketing.ru/Card/Person/71169", "МБДОУ № 25 ""СОЛНЫШКО""")</f>
        <v>МБДОУ № 25 "СОЛНЫШКО"</v>
      </c>
      <c r="B13605" s="24" t="s">
        <v>18264</v>
      </c>
      <c r="C13605" s="25">
        <v>3850956</v>
      </c>
      <c r="D13605" s="22" t="s">
        <v>18259</v>
      </c>
      <c r="E13605" s="22" t="s">
        <v>48</v>
      </c>
      <c r="F13605" s="23" t="str">
        <f t="shared" si="446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05" s="22" t="s">
        <v>543</v>
      </c>
      <c r="H13605" s="22" t="s">
        <v>11733</v>
      </c>
      <c r="I13605" s="26">
        <v>43656.714583333298</v>
      </c>
      <c r="J13605" s="28" t="s">
        <v>51</v>
      </c>
      <c r="K13605" s="28" t="s">
        <v>51</v>
      </c>
      <c r="L13605" s="28" t="s">
        <v>51</v>
      </c>
      <c r="M13605" s="28" t="s">
        <v>51</v>
      </c>
      <c r="N13605" s="28" t="s">
        <v>51</v>
      </c>
    </row>
    <row r="13606" spans="1:14" hidden="1" outlineLevel="1" x14ac:dyDescent="0.2">
      <c r="A13606" s="28" t="s">
        <v>51</v>
      </c>
      <c r="B13606" s="28" t="s">
        <v>51</v>
      </c>
      <c r="C13606" s="28" t="s">
        <v>51</v>
      </c>
      <c r="D13606" s="22" t="s">
        <v>18259</v>
      </c>
      <c r="E13606" s="22" t="s">
        <v>48</v>
      </c>
      <c r="F13606" s="23" t="str">
        <f t="shared" si="446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06" s="22" t="s">
        <v>51</v>
      </c>
      <c r="H13606" s="22" t="s">
        <v>51</v>
      </c>
      <c r="I13606" s="26">
        <v>43656.714583333298</v>
      </c>
      <c r="J13606" s="23" t="str">
        <f>HYPERLINK("https://www.spark-marketing.ru/Card/Person/6464579", "ООО ""СОЮЗ ВОСТОК""")</f>
        <v>ООО "СОЮЗ ВОСТОК"</v>
      </c>
      <c r="K13606" s="24" t="s">
        <v>11558</v>
      </c>
      <c r="L13606" s="22" t="s">
        <v>10</v>
      </c>
      <c r="M13606" s="25">
        <v>15369615</v>
      </c>
      <c r="N13606" s="27">
        <v>7.4999999999999997E-2</v>
      </c>
    </row>
    <row r="13607" spans="1:14" hidden="1" outlineLevel="1" x14ac:dyDescent="0.2">
      <c r="A13607" s="28" t="s">
        <v>51</v>
      </c>
      <c r="B13607" s="28" t="s">
        <v>51</v>
      </c>
      <c r="C13607" s="28" t="s">
        <v>51</v>
      </c>
      <c r="D13607" s="22" t="s">
        <v>18259</v>
      </c>
      <c r="E13607" s="22" t="s">
        <v>48</v>
      </c>
      <c r="F13607" s="23" t="str">
        <f t="shared" si="446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07" s="22" t="s">
        <v>51</v>
      </c>
      <c r="H13607" s="22" t="s">
        <v>51</v>
      </c>
      <c r="I13607" s="26">
        <v>43656.714583333298</v>
      </c>
      <c r="J13607" s="23" t="str">
        <f>HYPERLINK("https://www.spark-marketing.ru/Card/Person/4016608", "ООО ""ИЛОНА-ТРЕЙД""")</f>
        <v>ООО "ИЛОНА-ТРЕЙД"</v>
      </c>
      <c r="K13607" s="24" t="s">
        <v>12890</v>
      </c>
      <c r="L13607" s="28" t="s">
        <v>51</v>
      </c>
      <c r="M13607" s="25">
        <v>15452694</v>
      </c>
      <c r="N13607" s="27">
        <v>7.0000000000000007E-2</v>
      </c>
    </row>
    <row r="13608" spans="1:14" x14ac:dyDescent="0.2">
      <c r="A13608" s="23" t="str">
        <f>HYPERLINK("https://www.spark-marketing.ru/Card/Person/1752222", "СПБ ГАУ ""ЦЕНТР ПОДГОТОВКИ""")</f>
        <v>СПБ ГАУ "ЦЕНТР ПОДГОТОВКИ"</v>
      </c>
      <c r="B13608" s="24" t="s">
        <v>9583</v>
      </c>
      <c r="C13608" s="25">
        <v>604800</v>
      </c>
      <c r="D13608" s="22" t="s">
        <v>18265</v>
      </c>
      <c r="E13608" s="22" t="s">
        <v>18266</v>
      </c>
      <c r="F13608" s="23" t="str">
        <f>HYPERLINK("https://www.spark-marketing.ru/Card/Lot/72012196", "Оказание услуг по организации проживания и питания для членов спортивной сборной команды Санкт-Петербурга по велосипедному спорту (трек) на чемпионате России по велосипедному спорту на треке")</f>
        <v>Оказание услуг по организации проживания и питания для членов спортивной сборной команды Санкт-Петербурга по велосипедному спорту (трек) на чемпионате России по велосипедному спорту на треке</v>
      </c>
      <c r="G13608" s="22" t="s">
        <v>117</v>
      </c>
      <c r="H13608" s="22" t="s">
        <v>117</v>
      </c>
      <c r="I13608" s="26">
        <v>43656.716064814798</v>
      </c>
      <c r="J13608" s="28" t="s">
        <v>51</v>
      </c>
      <c r="K13608" s="28" t="s">
        <v>51</v>
      </c>
      <c r="L13608" s="22" t="s">
        <v>10</v>
      </c>
      <c r="M13608" s="25">
        <v>604800</v>
      </c>
      <c r="N13608" s="27">
        <v>0</v>
      </c>
    </row>
    <row r="13609" spans="1:14" x14ac:dyDescent="0.15">
      <c r="A13609" s="23" t="str">
        <f>HYPERLINK("https://www.spark-marketing.ru/Card/Person/21113", "ГБУЗ ПК ""ГОРНОЗАВОДСКАЯ РБ""")</f>
        <v>ГБУЗ ПК "ГОРНОЗАВОДСКАЯ РБ"</v>
      </c>
      <c r="B13609" s="24" t="s">
        <v>11472</v>
      </c>
      <c r="C13609" s="25">
        <v>2800000</v>
      </c>
      <c r="D13609" s="22" t="s">
        <v>18267</v>
      </c>
      <c r="E13609" s="22" t="s">
        <v>96</v>
      </c>
      <c r="F13609" s="23" t="str">
        <f>HYPERLINK("https://www.spark-marketing.ru/Card/Lot/72018707", "Право заключения гражданско-правового договора на оказание услуг по организации питания для пациентов Государственного бюджетного учреждения здравоохранения Пермского края «Горнозаводская районная больница», находящихся на стационарном лечении")</f>
        <v>Право заключения гражданско-правового договора на оказание услуг по организации питания для пациентов Государственного бюджетного учреждения здравоохранения Пермского края «Горнозаводская районная больница», находящихся на стационарном лечении</v>
      </c>
      <c r="G13609" s="22" t="s">
        <v>153</v>
      </c>
      <c r="H13609" s="22" t="s">
        <v>153</v>
      </c>
      <c r="I13609" s="26">
        <v>43656.681944444397</v>
      </c>
      <c r="J13609" s="28" t="s">
        <v>51</v>
      </c>
      <c r="K13609" s="28" t="s">
        <v>51</v>
      </c>
      <c r="L13609" s="28" t="s">
        <v>51</v>
      </c>
      <c r="M13609" s="28" t="s">
        <v>51</v>
      </c>
      <c r="N13609" s="28" t="s">
        <v>51</v>
      </c>
    </row>
    <row r="13610" spans="1:14" x14ac:dyDescent="0.15">
      <c r="A13610" s="23" t="str">
        <f>HYPERLINK("https://www.spark-marketing.ru/Card/Person/878250", "ОТДЕЛ МВД РОССИИ ПО КРЫМСКОМУ РАЙОНУ")</f>
        <v>ОТДЕЛ МВД РОССИИ ПО КРЫМСКОМУ РАЙОНУ</v>
      </c>
      <c r="B13610" s="24" t="s">
        <v>18268</v>
      </c>
      <c r="C13610" s="25">
        <v>6484000</v>
      </c>
      <c r="D13610" s="22" t="s">
        <v>18269</v>
      </c>
      <c r="E13610" s="22" t="s">
        <v>96</v>
      </c>
      <c r="F13610" s="23" t="str">
        <f>HYPERLINK("https://www.spark-marketing.ru/Card/Lot/72019528", "питание арестованных и задержанных граждан")</f>
        <v>питание арестованных и задержанных граждан</v>
      </c>
      <c r="G13610" s="22" t="s">
        <v>104</v>
      </c>
      <c r="H13610" s="22" t="s">
        <v>104</v>
      </c>
      <c r="I13610" s="26">
        <v>43656.695833333302</v>
      </c>
      <c r="J13610" s="28" t="s">
        <v>51</v>
      </c>
      <c r="K13610" s="28" t="s">
        <v>51</v>
      </c>
      <c r="L13610" s="28" t="s">
        <v>51</v>
      </c>
      <c r="M13610" s="28" t="s">
        <v>51</v>
      </c>
      <c r="N13610" s="28" t="s">
        <v>51</v>
      </c>
    </row>
    <row r="13611" spans="1:14" ht="12.75" hidden="1" outlineLevel="1" x14ac:dyDescent="0.2">
      <c r="A13611" s="23" t="str">
        <f>HYPERLINK("https://www.spark-marketing.ru/Card/Person/878250", "ОТДЕЛ МВД РОССИИ ПО КРЫМСКОМУ РАЙОНУ")</f>
        <v>ОТДЕЛ МВД РОССИИ ПО КРЫМСКОМУ РАЙОНУ</v>
      </c>
      <c r="B13611" s="24" t="s">
        <v>18268</v>
      </c>
      <c r="C13611" s="25">
        <v>6484000</v>
      </c>
      <c r="D13611" s="22" t="s">
        <v>18269</v>
      </c>
      <c r="E13611" s="22" t="s">
        <v>96</v>
      </c>
      <c r="F13611" s="23" t="str">
        <f>HYPERLINK("https://www.spark-marketing.ru/Card/Lot/72019528", "питание арестованных и задержанных граждан")</f>
        <v>питание арестованных и задержанных граждан</v>
      </c>
      <c r="G13611" s="22" t="s">
        <v>104</v>
      </c>
      <c r="H13611" s="22" t="s">
        <v>104</v>
      </c>
      <c r="I13611" s="26">
        <v>43656.695833333302</v>
      </c>
      <c r="J13611" s="23" t="str">
        <f>HYPERLINK("https://www.spark-marketing.ru/Card/Person/6394407", "Ермолаев Евгений Олегович")</f>
        <v>Ермолаев Евгений Олегович</v>
      </c>
      <c r="K13611" s="24" t="s">
        <v>18270</v>
      </c>
      <c r="L13611" s="22" t="s">
        <v>10</v>
      </c>
      <c r="M13611" s="25">
        <v>298.58</v>
      </c>
      <c r="N13611" s="27">
        <v>0.99995395126465147</v>
      </c>
    </row>
    <row r="13612" spans="1:14" hidden="1" outlineLevel="1" x14ac:dyDescent="0.2">
      <c r="A13612" s="23" t="str">
        <f>HYPERLINK("https://www.spark-marketing.ru/Card/Person/878250", "ОТДЕЛ МВД РОССИИ ПО КРЫМСКОМУ РАЙОНУ")</f>
        <v>ОТДЕЛ МВД РОССИИ ПО КРЫМСКОМУ РАЙОНУ</v>
      </c>
      <c r="B13612" s="24" t="s">
        <v>18268</v>
      </c>
      <c r="C13612" s="25">
        <v>6484000</v>
      </c>
      <c r="D13612" s="22" t="s">
        <v>18269</v>
      </c>
      <c r="E13612" s="22" t="s">
        <v>96</v>
      </c>
      <c r="F13612" s="23" t="str">
        <f>HYPERLINK("https://www.spark-marketing.ru/Card/Lot/72019528", "питание арестованных и задержанных граждан")</f>
        <v>питание арестованных и задержанных граждан</v>
      </c>
      <c r="G13612" s="22" t="s">
        <v>104</v>
      </c>
      <c r="H13612" s="22" t="s">
        <v>104</v>
      </c>
      <c r="I13612" s="26">
        <v>43656.695833333302</v>
      </c>
      <c r="J13612" s="23" t="str">
        <f>HYPERLINK("https://www.spark-marketing.ru/Card/Person/91001", "Зайкова Елена Игорьевна")</f>
        <v>Зайкова Елена Игорьевна</v>
      </c>
      <c r="K13612" s="24" t="s">
        <v>7073</v>
      </c>
      <c r="L13612" s="28" t="s">
        <v>51</v>
      </c>
      <c r="M13612" s="25">
        <v>300.63</v>
      </c>
      <c r="N13612" s="27">
        <v>0.99995363510178903</v>
      </c>
    </row>
    <row r="13613" spans="1:14" x14ac:dyDescent="0.15">
      <c r="A13613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13613" s="24" t="s">
        <v>4496</v>
      </c>
      <c r="C13613" s="25">
        <v>410000</v>
      </c>
      <c r="D13613" s="22" t="s">
        <v>18271</v>
      </c>
      <c r="E13613" s="22" t="s">
        <v>48</v>
      </c>
      <c r="F13613" s="23" t="str">
        <f>HYPERLINK("https://www.spark-marketing.ru/Card/Lot/72015164", "Обеспечение горячим питанием арестованных и задержанных")</f>
        <v>Обеспечение горячим питанием арестованных и задержанных</v>
      </c>
      <c r="G13613" s="22" t="s">
        <v>469</v>
      </c>
      <c r="H13613" s="22" t="s">
        <v>469</v>
      </c>
      <c r="I13613" s="26">
        <v>43656.694444444402</v>
      </c>
      <c r="J13613" s="23" t="str">
        <f>HYPERLINK("https://www.spark-marketing.ru/Card/Person/1513407", "ООО ""ГРУЗДОВНИК""")</f>
        <v>ООО "ГРУЗДОВНИК"</v>
      </c>
      <c r="K13613" s="24" t="s">
        <v>4498</v>
      </c>
      <c r="L13613" s="28" t="s">
        <v>51</v>
      </c>
      <c r="M13613" s="28" t="s">
        <v>51</v>
      </c>
      <c r="N13613" s="28" t="s">
        <v>51</v>
      </c>
    </row>
    <row r="13614" spans="1:14" ht="12.75" hidden="1" outlineLevel="1" x14ac:dyDescent="0.2">
      <c r="A13614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13614" s="24" t="s">
        <v>4496</v>
      </c>
      <c r="C13614" s="25">
        <v>410000</v>
      </c>
      <c r="D13614" s="22" t="s">
        <v>18271</v>
      </c>
      <c r="E13614" s="22" t="s">
        <v>48</v>
      </c>
      <c r="F13614" s="23" t="str">
        <f>HYPERLINK("https://www.spark-marketing.ru/Card/Lot/72015164", "Обеспечение горячим питанием арестованных и задержанных")</f>
        <v>Обеспечение горячим питанием арестованных и задержанных</v>
      </c>
      <c r="G13614" s="22" t="s">
        <v>469</v>
      </c>
      <c r="H13614" s="22" t="s">
        <v>469</v>
      </c>
      <c r="I13614" s="26">
        <v>43656.694444444402</v>
      </c>
      <c r="J13614" s="23" t="str">
        <f>HYPERLINK("https://www.spark-marketing.ru/Card/Person/1513407", "ООО ""ГРУЗДОВНИК""")</f>
        <v>ООО "ГРУЗДОВНИК"</v>
      </c>
      <c r="K13614" s="24" t="s">
        <v>4498</v>
      </c>
      <c r="L13614" s="22" t="s">
        <v>10</v>
      </c>
      <c r="M13614" s="25">
        <v>407950</v>
      </c>
      <c r="N13614" s="27">
        <v>5.0000000000000001E-3</v>
      </c>
    </row>
    <row r="13615" spans="1:14" x14ac:dyDescent="0.15">
      <c r="A13615" s="23" t="str">
        <f>HYPERLINK("https://www.spark-marketing.ru/Card/Person/235178", "МБОУ ""МАЙКОРСКАЯ СОШ""")</f>
        <v>МБОУ "МАЙКОРСКАЯ СОШ"</v>
      </c>
      <c r="B13615" s="24" t="s">
        <v>18272</v>
      </c>
      <c r="C13615" s="25">
        <v>1127720.1000000001</v>
      </c>
      <c r="D13615" s="22" t="s">
        <v>18273</v>
      </c>
      <c r="E13615" s="22" t="s">
        <v>96</v>
      </c>
      <c r="F13615" s="23" t="str">
        <f>HYPERLINK("https://www.spark-marketing.ru/Card/Lot/72017564", "Услуги по организации питания учащихся из многодетных малоимущих и малоимущих семей")</f>
        <v>Услуги по организации питания учащихся из многодетных малоимущих и малоимущих семей</v>
      </c>
      <c r="G13615" s="22" t="s">
        <v>153</v>
      </c>
      <c r="H13615" s="22" t="s">
        <v>153</v>
      </c>
      <c r="I13615" s="26">
        <v>43656.672222222202</v>
      </c>
      <c r="J13615" s="23" t="str">
        <f>HYPERLINK("https://www.spark-marketing.ru/Card/Person/61115", "Петрова Ирина Алексеевна")</f>
        <v>Петрова Ирина Алексеевна</v>
      </c>
      <c r="K13615" s="24" t="s">
        <v>1963</v>
      </c>
      <c r="L13615" s="22" t="s">
        <v>10</v>
      </c>
      <c r="M13615" s="28" t="s">
        <v>51</v>
      </c>
      <c r="N13615" s="28" t="s">
        <v>51</v>
      </c>
    </row>
    <row r="13616" spans="1:14" x14ac:dyDescent="0.2">
      <c r="A13616" s="23" t="str">
        <f>HYPERLINK("https://www.spark-marketing.ru/Card/Person/45231", "МБОУ ""КУЕДИНСКАЯ СОШ № 1 ИМ. П.П. БАЛАХНИНА""")</f>
        <v>МБОУ "КУЕДИНСКАЯ СОШ № 1 ИМ. П.П. БАЛАХНИНА"</v>
      </c>
      <c r="B13616" s="24" t="s">
        <v>18274</v>
      </c>
      <c r="C13616" s="25">
        <v>7358908.8799999999</v>
      </c>
      <c r="D13616" s="22" t="s">
        <v>18275</v>
      </c>
      <c r="E13616" s="22" t="s">
        <v>96</v>
      </c>
      <c r="F13616" s="23" t="str">
        <f>HYPERLINK("https://www.spark-marketing.ru/Card/Lot/72019553", "оказание услуг по организации питания учащихся и сотрудников МБОУ ""Куединская СОШ № 1 им. П.П. Балахнина""")</f>
        <v>оказание услуг по организации питания учащихся и сотрудников МБОУ "Куединская СОШ № 1 им. П.П. Балахнина"</v>
      </c>
      <c r="G13616" s="22" t="s">
        <v>153</v>
      </c>
      <c r="H13616" s="22" t="s">
        <v>153</v>
      </c>
      <c r="I13616" s="26">
        <v>43656.701388888898</v>
      </c>
      <c r="J13616" s="23" t="str">
        <f>HYPERLINK("https://www.spark-marketing.ru/Card/Person/45475", "ООО ""ТРАПЕЗА""")</f>
        <v>ООО "ТРАПЕЗА"</v>
      </c>
      <c r="K13616" s="24" t="s">
        <v>7880</v>
      </c>
      <c r="L13616" s="28" t="s">
        <v>51</v>
      </c>
      <c r="M13616" s="25">
        <v>6999000</v>
      </c>
      <c r="N13616" s="27">
        <v>4.890791364167564E-2</v>
      </c>
    </row>
    <row r="13617" spans="1:14" x14ac:dyDescent="0.15">
      <c r="A13617" s="23" t="str">
        <f>HYPERLINK("https://www.spark-marketing.ru/Card/Person/393023", "МОТД МВД РОССИИ ""ЧУХЛОМСКОЕ""")</f>
        <v>МОТД МВД РОССИИ "ЧУХЛОМСКОЕ"</v>
      </c>
      <c r="B13617" s="24" t="s">
        <v>3775</v>
      </c>
      <c r="C13617" s="25">
        <v>199734.33</v>
      </c>
      <c r="D13617" s="22" t="s">
        <v>18276</v>
      </c>
      <c r="E13617" s="22" t="s">
        <v>96</v>
      </c>
      <c r="F13617" s="23" t="str">
        <f>HYPERLINK("https://www.spark-marketing.ru/Card/Lot/72012385", "Услуги по обеспечению горячим питанием лиц содержащихся в изоляторе временного содержания подозреваемых и обвиняемых и лиц  находящихся в комнате административно задержаных")</f>
        <v>Услуги по обеспечению горячим питанием лиц содержащихся в изоляторе временного содержания подозреваемых и обвиняемых и лиц  находящихся в комнате административно задержаных</v>
      </c>
      <c r="G13617" s="22" t="s">
        <v>292</v>
      </c>
      <c r="H13617" s="22" t="s">
        <v>292</v>
      </c>
      <c r="I13617" s="26">
        <v>43656.677083333299</v>
      </c>
      <c r="J13617" s="28" t="s">
        <v>51</v>
      </c>
      <c r="K13617" s="28" t="s">
        <v>51</v>
      </c>
      <c r="L13617" s="28" t="s">
        <v>51</v>
      </c>
      <c r="M13617" s="28" t="s">
        <v>51</v>
      </c>
      <c r="N13617" s="28" t="s">
        <v>51</v>
      </c>
    </row>
    <row r="13618" spans="1:14" x14ac:dyDescent="0.2">
      <c r="A13618" s="23" t="str">
        <f>HYPERLINK("https://www.spark-marketing.ru/Card/Person/1069798", "ГБОУ СШ № 10 ИМ. В.П. БАРМИНА")</f>
        <v>ГБОУ СШ № 10 ИМ. В.П. БАРМИНА</v>
      </c>
      <c r="B13618" s="24" t="s">
        <v>18277</v>
      </c>
      <c r="C13618" s="25">
        <v>973184</v>
      </c>
      <c r="D13618" s="22" t="s">
        <v>18278</v>
      </c>
      <c r="E13618" s="22" t="s">
        <v>48</v>
      </c>
      <c r="F13618" s="23" t="str">
        <f>HYPERLINK("https://www.spark-marketing.ru/Card/Lot/72017325", "Оказание услуг по организации питания")</f>
        <v>Оказание услуг по организации питания</v>
      </c>
      <c r="G13618" s="22" t="s">
        <v>3574</v>
      </c>
      <c r="H13618" s="22" t="s">
        <v>3574</v>
      </c>
      <c r="I13618" s="26">
        <v>43656.675694444399</v>
      </c>
      <c r="J13618" s="23" t="str">
        <f>HYPERLINK("https://www.spark-marketing.ru/Card/Person/433348", "ГУП ЦУР")</f>
        <v>ГУП ЦУР</v>
      </c>
      <c r="K13618" s="24" t="s">
        <v>8808</v>
      </c>
      <c r="L13618" s="28" t="s">
        <v>51</v>
      </c>
      <c r="M13618" s="25">
        <v>973184</v>
      </c>
      <c r="N13618" s="27">
        <v>0</v>
      </c>
    </row>
    <row r="13619" spans="1:14" x14ac:dyDescent="0.2">
      <c r="A13619" s="23" t="s">
        <v>114</v>
      </c>
      <c r="B13619" s="28" t="s">
        <v>51</v>
      </c>
      <c r="C13619" s="25">
        <v>18029405</v>
      </c>
      <c r="D13619" s="22" t="s">
        <v>18279</v>
      </c>
      <c r="E13619" s="22" t="s">
        <v>48</v>
      </c>
      <c r="F13619" s="23" t="str">
        <f>HYPERLINK("https://www.spark-marketing.ru/Card/Lot/72019695",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3619" s="22" t="s">
        <v>51</v>
      </c>
      <c r="H13619" s="22" t="s">
        <v>51</v>
      </c>
      <c r="I13619" s="26">
        <v>43656.704166666699</v>
      </c>
      <c r="J13619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619" s="24" t="s">
        <v>16891</v>
      </c>
      <c r="L13619" s="28" t="s">
        <v>51</v>
      </c>
      <c r="M13619" s="25">
        <v>18029405</v>
      </c>
      <c r="N13619" s="27">
        <v>0</v>
      </c>
    </row>
    <row r="13620" spans="1:14" hidden="1" outlineLevel="1" x14ac:dyDescent="0.2">
      <c r="A13620" s="23" t="str">
        <f>HYPERLINK("https://www.spark-marketing.ru/Card/Person/85431", "МБДОУ ДЕТСКИЙ САД №39")</f>
        <v>МБДОУ ДЕТСКИЙ САД №39</v>
      </c>
      <c r="B13620" s="24" t="s">
        <v>18280</v>
      </c>
      <c r="C13620" s="25">
        <v>4496142</v>
      </c>
      <c r="D13620" s="22" t="s">
        <v>18279</v>
      </c>
      <c r="E13620" s="22" t="s">
        <v>48</v>
      </c>
      <c r="F13620" s="23" t="str">
        <f>HYPERLINK("https://www.spark-marketing.ru/Card/Lot/72019695",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3620" s="22" t="s">
        <v>137</v>
      </c>
      <c r="H13620" s="22" t="s">
        <v>138</v>
      </c>
      <c r="I13620" s="26">
        <v>43656.704166666699</v>
      </c>
      <c r="J13620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620" s="24" t="s">
        <v>16891</v>
      </c>
      <c r="L13620" s="28" t="s">
        <v>51</v>
      </c>
      <c r="M13620" s="28" t="s">
        <v>51</v>
      </c>
      <c r="N13620" s="27">
        <v>0</v>
      </c>
    </row>
    <row r="13621" spans="1:14" hidden="1" outlineLevel="1" x14ac:dyDescent="0.2">
      <c r="A13621" s="23" t="str">
        <f>HYPERLINK("https://www.spark-marketing.ru/Card/Person/87971", "МБДОУ ДЕТСКИЙ САД № 149")</f>
        <v>МБДОУ ДЕТСКИЙ САД № 149</v>
      </c>
      <c r="B13621" s="24" t="s">
        <v>18281</v>
      </c>
      <c r="C13621" s="25">
        <v>6933424</v>
      </c>
      <c r="D13621" s="22" t="s">
        <v>18279</v>
      </c>
      <c r="E13621" s="22" t="s">
        <v>48</v>
      </c>
      <c r="F13621" s="23" t="str">
        <f>HYPERLINK("https://www.spark-marketing.ru/Card/Lot/72019695",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3621" s="22" t="s">
        <v>137</v>
      </c>
      <c r="H13621" s="22" t="s">
        <v>138</v>
      </c>
      <c r="I13621" s="26">
        <v>43656.704166666699</v>
      </c>
      <c r="J13621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621" s="24" t="s">
        <v>16891</v>
      </c>
      <c r="L13621" s="28" t="s">
        <v>51</v>
      </c>
      <c r="M13621" s="28" t="s">
        <v>51</v>
      </c>
      <c r="N13621" s="27">
        <v>0</v>
      </c>
    </row>
    <row r="13622" spans="1:14" hidden="1" outlineLevel="1" x14ac:dyDescent="0.2">
      <c r="A13622" s="23" t="str">
        <f>HYPERLINK("https://www.spark-marketing.ru/Card/Person/87974", "МБДОУ ДЕТСКИЙ САД № 145")</f>
        <v>МБДОУ ДЕТСКИЙ САД № 145</v>
      </c>
      <c r="B13622" s="24" t="s">
        <v>18282</v>
      </c>
      <c r="C13622" s="25">
        <v>6599839</v>
      </c>
      <c r="D13622" s="22" t="s">
        <v>18279</v>
      </c>
      <c r="E13622" s="22" t="s">
        <v>48</v>
      </c>
      <c r="F13622" s="23" t="str">
        <f>HYPERLINK("https://www.spark-marketing.ru/Card/Lot/72019695",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3622" s="22" t="s">
        <v>137</v>
      </c>
      <c r="H13622" s="22" t="s">
        <v>138</v>
      </c>
      <c r="I13622" s="26">
        <v>43656.704166666699</v>
      </c>
      <c r="J13622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622" s="24" t="s">
        <v>16891</v>
      </c>
      <c r="L13622" s="28" t="s">
        <v>51</v>
      </c>
      <c r="M13622" s="28" t="s">
        <v>51</v>
      </c>
      <c r="N13622" s="27">
        <v>0</v>
      </c>
    </row>
    <row r="13623" spans="1:14" x14ac:dyDescent="0.2">
      <c r="A13623" s="23" t="s">
        <v>114</v>
      </c>
      <c r="B13623" s="28" t="s">
        <v>51</v>
      </c>
      <c r="C13623" s="25">
        <v>10732898.4</v>
      </c>
      <c r="D13623" s="22" t="s">
        <v>18283</v>
      </c>
      <c r="E13623" s="22" t="s">
        <v>362</v>
      </c>
      <c r="F13623" s="23" t="str">
        <f t="shared" ref="F13623:F13634" si="447">HYPERLINK("https://www.spark-marketing.ru/Card/Lot/72013538", "Оказание услуг по организации горячего питания для льготной категории учащихся в 2019 г.")</f>
        <v>Оказание услуг по организации горячего питания для льготной категории учащихся в 2019 г.</v>
      </c>
      <c r="G13623" s="22" t="s">
        <v>51</v>
      </c>
      <c r="H13623" s="22" t="s">
        <v>51</v>
      </c>
      <c r="I13623" s="26">
        <v>43656.700844907398</v>
      </c>
      <c r="J13623" s="28" t="s">
        <v>51</v>
      </c>
      <c r="K13623" s="28" t="s">
        <v>51</v>
      </c>
      <c r="L13623" s="22" t="s">
        <v>10</v>
      </c>
      <c r="M13623" s="25">
        <v>10732898.4</v>
      </c>
      <c r="N13623" s="27">
        <v>0</v>
      </c>
    </row>
    <row r="13624" spans="1:14" hidden="1" outlineLevel="1" x14ac:dyDescent="0.2">
      <c r="A13624" s="23" t="str">
        <f>HYPERLINK("https://www.spark-marketing.ru/Card/Person/80788", "МАОУ ""ЛИЦЕЙ № 7 Г. ЧЕРНЯХОВСКА""")</f>
        <v>МАОУ "ЛИЦЕЙ № 7 Г. ЧЕРНЯХОВСКА"</v>
      </c>
      <c r="B13624" s="24" t="s">
        <v>18284</v>
      </c>
      <c r="C13624" s="25">
        <v>1461555.2</v>
      </c>
      <c r="D13624" s="22" t="s">
        <v>18283</v>
      </c>
      <c r="E13624" s="22" t="s">
        <v>362</v>
      </c>
      <c r="F13624" s="23" t="str">
        <f t="shared" si="447"/>
        <v>Оказание услуг по организации горячего питания для льготной категории учащихся в 2019 г.</v>
      </c>
      <c r="G13624" s="22" t="s">
        <v>400</v>
      </c>
      <c r="H13624" s="22" t="s">
        <v>400</v>
      </c>
      <c r="I13624" s="26">
        <v>43656.700844907398</v>
      </c>
      <c r="J13624" s="28" t="s">
        <v>51</v>
      </c>
      <c r="K13624" s="28" t="s">
        <v>51</v>
      </c>
      <c r="L13624" s="22" t="s">
        <v>10</v>
      </c>
      <c r="M13624" s="28" t="s">
        <v>51</v>
      </c>
      <c r="N13624" s="27">
        <v>0</v>
      </c>
    </row>
    <row r="13625" spans="1:14" hidden="1" outlineLevel="1" x14ac:dyDescent="0.2">
      <c r="A13625" s="23" t="str">
        <f>HYPERLINK("https://www.spark-marketing.ru/Card/Person/1180204", "МАОУ ""СВОБОДНЕНСКАЯ СОШ""")</f>
        <v>МАОУ "СВОБОДНЕНСКАЯ СОШ"</v>
      </c>
      <c r="B13625" s="24" t="s">
        <v>18285</v>
      </c>
      <c r="C13625" s="25">
        <v>612847.19999999995</v>
      </c>
      <c r="D13625" s="22" t="s">
        <v>18283</v>
      </c>
      <c r="E13625" s="22" t="s">
        <v>362</v>
      </c>
      <c r="F13625" s="23" t="str">
        <f t="shared" si="447"/>
        <v>Оказание услуг по организации горячего питания для льготной категории учащихся в 2019 г.</v>
      </c>
      <c r="G13625" s="22" t="s">
        <v>400</v>
      </c>
      <c r="H13625" s="22" t="s">
        <v>400</v>
      </c>
      <c r="I13625" s="26">
        <v>43656.700844907398</v>
      </c>
      <c r="J13625" s="28" t="s">
        <v>51</v>
      </c>
      <c r="K13625" s="28" t="s">
        <v>51</v>
      </c>
      <c r="L13625" s="22" t="s">
        <v>10</v>
      </c>
      <c r="M13625" s="28" t="s">
        <v>51</v>
      </c>
      <c r="N13625" s="27">
        <v>0</v>
      </c>
    </row>
    <row r="13626" spans="1:14" hidden="1" outlineLevel="1" x14ac:dyDescent="0.2">
      <c r="A13626" s="23" t="str">
        <f>HYPERLINK("https://www.spark-marketing.ru/Card/Person/1180259", "МАОУ ""ПРИВОЛЬНЕНСКАЯ СОШ""")</f>
        <v>МАОУ "ПРИВОЛЬНЕНСКАЯ СОШ"</v>
      </c>
      <c r="B13626" s="24" t="s">
        <v>18286</v>
      </c>
      <c r="C13626" s="25">
        <v>709436</v>
      </c>
      <c r="D13626" s="22" t="s">
        <v>18283</v>
      </c>
      <c r="E13626" s="22" t="s">
        <v>362</v>
      </c>
      <c r="F13626" s="23" t="str">
        <f t="shared" si="447"/>
        <v>Оказание услуг по организации горячего питания для льготной категории учащихся в 2019 г.</v>
      </c>
      <c r="G13626" s="22" t="s">
        <v>400</v>
      </c>
      <c r="H13626" s="22" t="s">
        <v>400</v>
      </c>
      <c r="I13626" s="26">
        <v>43656.700844907398</v>
      </c>
      <c r="J13626" s="28" t="s">
        <v>51</v>
      </c>
      <c r="K13626" s="28" t="s">
        <v>51</v>
      </c>
      <c r="L13626" s="22" t="s">
        <v>10</v>
      </c>
      <c r="M13626" s="28" t="s">
        <v>51</v>
      </c>
      <c r="N13626" s="27">
        <v>0</v>
      </c>
    </row>
    <row r="13627" spans="1:14" hidden="1" outlineLevel="1" x14ac:dyDescent="0.2">
      <c r="A13627" s="23" t="str">
        <f>HYPERLINK("https://www.spark-marketing.ru/Card/Person/1180320", "МАОУ ""ДОВАТОРОВСКАЯ СОШ""")</f>
        <v>МАОУ "ДОВАТОРОВСКАЯ СОШ"</v>
      </c>
      <c r="B13627" s="24" t="s">
        <v>18287</v>
      </c>
      <c r="C13627" s="25">
        <v>532358.40000000002</v>
      </c>
      <c r="D13627" s="22" t="s">
        <v>18283</v>
      </c>
      <c r="E13627" s="22" t="s">
        <v>362</v>
      </c>
      <c r="F13627" s="23" t="str">
        <f t="shared" si="447"/>
        <v>Оказание услуг по организации горячего питания для льготной категории учащихся в 2019 г.</v>
      </c>
      <c r="G13627" s="22" t="s">
        <v>400</v>
      </c>
      <c r="H13627" s="22" t="s">
        <v>400</v>
      </c>
      <c r="I13627" s="26">
        <v>43656.700844907398</v>
      </c>
      <c r="J13627" s="28" t="s">
        <v>51</v>
      </c>
      <c r="K13627" s="28" t="s">
        <v>51</v>
      </c>
      <c r="L13627" s="22" t="s">
        <v>10</v>
      </c>
      <c r="M13627" s="28" t="s">
        <v>51</v>
      </c>
      <c r="N13627" s="27">
        <v>0</v>
      </c>
    </row>
    <row r="13628" spans="1:14" hidden="1" outlineLevel="1" x14ac:dyDescent="0.2">
      <c r="A13628" s="23" t="str">
        <f>HYPERLINK("https://www.spark-marketing.ru/Card/Person/1180335", "МАОУ СОШ № 6 Г. ЧЕРНЯХОВСКА")</f>
        <v>МАОУ СОШ № 6 Г. ЧЕРНЯХОВСКА</v>
      </c>
      <c r="B13628" s="24" t="s">
        <v>18288</v>
      </c>
      <c r="C13628" s="25">
        <v>1147832</v>
      </c>
      <c r="D13628" s="22" t="s">
        <v>18283</v>
      </c>
      <c r="E13628" s="22" t="s">
        <v>362</v>
      </c>
      <c r="F13628" s="23" t="str">
        <f t="shared" si="447"/>
        <v>Оказание услуг по организации горячего питания для льготной категории учащихся в 2019 г.</v>
      </c>
      <c r="G13628" s="22" t="s">
        <v>400</v>
      </c>
      <c r="H13628" s="22" t="s">
        <v>400</v>
      </c>
      <c r="I13628" s="26">
        <v>43656.700844907398</v>
      </c>
      <c r="J13628" s="28" t="s">
        <v>51</v>
      </c>
      <c r="K13628" s="28" t="s">
        <v>51</v>
      </c>
      <c r="L13628" s="22" t="s">
        <v>10</v>
      </c>
      <c r="M13628" s="28" t="s">
        <v>51</v>
      </c>
      <c r="N13628" s="27">
        <v>0</v>
      </c>
    </row>
    <row r="13629" spans="1:14" hidden="1" outlineLevel="1" x14ac:dyDescent="0.2">
      <c r="A13629" s="23" t="str">
        <f>HYPERLINK("https://www.spark-marketing.ru/Card/Person/1180442", "МАОУ СОШ №3 Г.ЧЕРНЯХОВСКА")</f>
        <v>МАОУ СОШ №3 Г.ЧЕРНЯХОВСКА</v>
      </c>
      <c r="B13629" s="24" t="s">
        <v>18289</v>
      </c>
      <c r="C13629" s="25">
        <v>1162420</v>
      </c>
      <c r="D13629" s="22" t="s">
        <v>18283</v>
      </c>
      <c r="E13629" s="22" t="s">
        <v>362</v>
      </c>
      <c r="F13629" s="23" t="str">
        <f t="shared" si="447"/>
        <v>Оказание услуг по организации горячего питания для льготной категории учащихся в 2019 г.</v>
      </c>
      <c r="G13629" s="22" t="s">
        <v>400</v>
      </c>
      <c r="H13629" s="22" t="s">
        <v>400</v>
      </c>
      <c r="I13629" s="26">
        <v>43656.700844907398</v>
      </c>
      <c r="J13629" s="28" t="s">
        <v>51</v>
      </c>
      <c r="K13629" s="28" t="s">
        <v>51</v>
      </c>
      <c r="L13629" s="22" t="s">
        <v>10</v>
      </c>
      <c r="M13629" s="28" t="s">
        <v>51</v>
      </c>
      <c r="N13629" s="27">
        <v>0</v>
      </c>
    </row>
    <row r="13630" spans="1:14" hidden="1" outlineLevel="1" x14ac:dyDescent="0.2">
      <c r="A13630" s="23" t="str">
        <f>HYPERLINK("https://www.spark-marketing.ru/Card/Person/1180456", "МАОУ МЕЖДУРЕЧЕНСКАЯ СОШ")</f>
        <v>МАОУ МЕЖДУРЕЧЕНСКАЯ СОШ</v>
      </c>
      <c r="B13630" s="24" t="s">
        <v>18290</v>
      </c>
      <c r="C13630" s="25">
        <v>653279.19999999995</v>
      </c>
      <c r="D13630" s="22" t="s">
        <v>18283</v>
      </c>
      <c r="E13630" s="22" t="s">
        <v>362</v>
      </c>
      <c r="F13630" s="23" t="str">
        <f t="shared" si="447"/>
        <v>Оказание услуг по организации горячего питания для льготной категории учащихся в 2019 г.</v>
      </c>
      <c r="G13630" s="22" t="s">
        <v>400</v>
      </c>
      <c r="H13630" s="22" t="s">
        <v>400</v>
      </c>
      <c r="I13630" s="26">
        <v>43656.700844907398</v>
      </c>
      <c r="J13630" s="28" t="s">
        <v>51</v>
      </c>
      <c r="K13630" s="28" t="s">
        <v>51</v>
      </c>
      <c r="L13630" s="22" t="s">
        <v>10</v>
      </c>
      <c r="M13630" s="28" t="s">
        <v>51</v>
      </c>
      <c r="N13630" s="27">
        <v>0</v>
      </c>
    </row>
    <row r="13631" spans="1:14" hidden="1" outlineLevel="1" x14ac:dyDescent="0.2">
      <c r="A13631" s="23" t="str">
        <f>HYPERLINK("https://www.spark-marketing.ru/Card/Person/1180803", "МАОУ ""ГИМНАЗИЯ № 2 Г. ЧЕРНЯХОВСКА""")</f>
        <v>МАОУ "ГИМНАЗИЯ № 2 Г. ЧЕРНЯХОВСКА"</v>
      </c>
      <c r="B13631" s="24" t="s">
        <v>18291</v>
      </c>
      <c r="C13631" s="25">
        <v>825490.4</v>
      </c>
      <c r="D13631" s="22" t="s">
        <v>18283</v>
      </c>
      <c r="E13631" s="22" t="s">
        <v>362</v>
      </c>
      <c r="F13631" s="23" t="str">
        <f t="shared" si="447"/>
        <v>Оказание услуг по организации горячего питания для льготной категории учащихся в 2019 г.</v>
      </c>
      <c r="G13631" s="22" t="s">
        <v>400</v>
      </c>
      <c r="H13631" s="22" t="s">
        <v>400</v>
      </c>
      <c r="I13631" s="26">
        <v>43656.700844907398</v>
      </c>
      <c r="J13631" s="28" t="s">
        <v>51</v>
      </c>
      <c r="K13631" s="28" t="s">
        <v>51</v>
      </c>
      <c r="L13631" s="22" t="s">
        <v>10</v>
      </c>
      <c r="M13631" s="28" t="s">
        <v>51</v>
      </c>
      <c r="N13631" s="27">
        <v>0</v>
      </c>
    </row>
    <row r="13632" spans="1:14" hidden="1" outlineLevel="1" x14ac:dyDescent="0.2">
      <c r="A13632" s="23" t="str">
        <f>HYPERLINK("https://www.spark-marketing.ru/Card/Person/1190803", "МАОУ ""СОШ №1 Г.ЧЕРНЯХОВСКА ИМ. В.У.ПАНА""")</f>
        <v>МАОУ "СОШ №1 Г.ЧЕРНЯХОВСКА ИМ. В.У.ПАНА"</v>
      </c>
      <c r="B13632" s="24" t="s">
        <v>18292</v>
      </c>
      <c r="C13632" s="25">
        <v>557816</v>
      </c>
      <c r="D13632" s="22" t="s">
        <v>18283</v>
      </c>
      <c r="E13632" s="22" t="s">
        <v>362</v>
      </c>
      <c r="F13632" s="23" t="str">
        <f t="shared" si="447"/>
        <v>Оказание услуг по организации горячего питания для льготной категории учащихся в 2019 г.</v>
      </c>
      <c r="G13632" s="22" t="s">
        <v>400</v>
      </c>
      <c r="H13632" s="22" t="s">
        <v>400</v>
      </c>
      <c r="I13632" s="26">
        <v>43656.700844907398</v>
      </c>
      <c r="J13632" s="28" t="s">
        <v>51</v>
      </c>
      <c r="K13632" s="28" t="s">
        <v>51</v>
      </c>
      <c r="L13632" s="22" t="s">
        <v>10</v>
      </c>
      <c r="M13632" s="28" t="s">
        <v>51</v>
      </c>
      <c r="N13632" s="27">
        <v>0</v>
      </c>
    </row>
    <row r="13633" spans="1:14" hidden="1" outlineLevel="1" x14ac:dyDescent="0.2">
      <c r="A13633" s="23" t="str">
        <f>HYPERLINK("https://www.spark-marketing.ru/Card/Person/1760761", "МАОУ СОШ № 4 Г.ЧЕРНЯХОВСКА")</f>
        <v>МАОУ СОШ № 4 Г.ЧЕРНЯХОВСКА</v>
      </c>
      <c r="B13633" s="24" t="s">
        <v>18293</v>
      </c>
      <c r="C13633" s="25">
        <v>1366456</v>
      </c>
      <c r="D13633" s="22" t="s">
        <v>18283</v>
      </c>
      <c r="E13633" s="22" t="s">
        <v>362</v>
      </c>
      <c r="F13633" s="23" t="str">
        <f t="shared" si="447"/>
        <v>Оказание услуг по организации горячего питания для льготной категории учащихся в 2019 г.</v>
      </c>
      <c r="G13633" s="22" t="s">
        <v>400</v>
      </c>
      <c r="H13633" s="22" t="s">
        <v>400</v>
      </c>
      <c r="I13633" s="26">
        <v>43656.700844907398</v>
      </c>
      <c r="J13633" s="28" t="s">
        <v>51</v>
      </c>
      <c r="K13633" s="28" t="s">
        <v>51</v>
      </c>
      <c r="L13633" s="22" t="s">
        <v>10</v>
      </c>
      <c r="M13633" s="28" t="s">
        <v>51</v>
      </c>
      <c r="N13633" s="27">
        <v>0</v>
      </c>
    </row>
    <row r="13634" spans="1:14" hidden="1" outlineLevel="1" x14ac:dyDescent="0.2">
      <c r="A13634" s="23" t="str">
        <f>HYPERLINK("https://www.spark-marketing.ru/Card/Person/1778588", "МАОУ «СОШ № 5 ИМ. И.Д.ЧЕРНЯХОВСКОГО»")</f>
        <v>МАОУ «СОШ № 5 ИМ. И.Д.ЧЕРНЯХОВСКОГО»</v>
      </c>
      <c r="B13634" s="24" t="s">
        <v>18294</v>
      </c>
      <c r="C13634" s="25">
        <v>1703408</v>
      </c>
      <c r="D13634" s="22" t="s">
        <v>18283</v>
      </c>
      <c r="E13634" s="22" t="s">
        <v>362</v>
      </c>
      <c r="F13634" s="23" t="str">
        <f t="shared" si="447"/>
        <v>Оказание услуг по организации горячего питания для льготной категории учащихся в 2019 г.</v>
      </c>
      <c r="G13634" s="22" t="s">
        <v>400</v>
      </c>
      <c r="H13634" s="22" t="s">
        <v>400</v>
      </c>
      <c r="I13634" s="26">
        <v>43656.700844907398</v>
      </c>
      <c r="J13634" s="28" t="s">
        <v>51</v>
      </c>
      <c r="K13634" s="28" t="s">
        <v>51</v>
      </c>
      <c r="L13634" s="22" t="s">
        <v>10</v>
      </c>
      <c r="M13634" s="28" t="s">
        <v>51</v>
      </c>
      <c r="N13634" s="27">
        <v>0</v>
      </c>
    </row>
    <row r="13635" spans="1:14" x14ac:dyDescent="0.2">
      <c r="A13635" s="23" t="str">
        <f>HYPERLINK("https://www.spark-marketing.ru/Card/Person/1043360", "ГАУДО КОЦДЮТЭ")</f>
        <v>ГАУДО КОЦДЮТЭ</v>
      </c>
      <c r="B13635" s="24" t="s">
        <v>18295</v>
      </c>
      <c r="C13635" s="25">
        <v>100000</v>
      </c>
      <c r="D13635" s="22" t="s">
        <v>18296</v>
      </c>
      <c r="E13635" s="22" t="s">
        <v>362</v>
      </c>
      <c r="F13635" s="23" t="str">
        <f>HYPERLINK("https://www.spark-marketing.ru/Card/Lot/72004413", "об оказании услуг по организации питания")</f>
        <v>об оказании услуг по организации питания</v>
      </c>
      <c r="G13635" s="22" t="s">
        <v>304</v>
      </c>
      <c r="H13635" s="22" t="s">
        <v>304</v>
      </c>
      <c r="I13635" s="26">
        <v>43656.688391203701</v>
      </c>
      <c r="J13635" s="28" t="s">
        <v>51</v>
      </c>
      <c r="K13635" s="28" t="s">
        <v>51</v>
      </c>
      <c r="L13635" s="22" t="s">
        <v>10</v>
      </c>
      <c r="M13635" s="25">
        <v>100000</v>
      </c>
      <c r="N13635" s="27">
        <v>0</v>
      </c>
    </row>
    <row r="13636" spans="1:14" x14ac:dyDescent="0.2">
      <c r="A13636" s="23" t="str">
        <f>HYPERLINK("https://www.spark-marketing.ru/Card/Person/76830", "ГАУЗ ""ОПБ № 4""")</f>
        <v>ГАУЗ "ОПБ № 4"</v>
      </c>
      <c r="B13636" s="24" t="s">
        <v>18297</v>
      </c>
      <c r="C13636" s="25">
        <v>2970000</v>
      </c>
      <c r="D13636" s="22" t="s">
        <v>18298</v>
      </c>
      <c r="E13636" s="22" t="s">
        <v>362</v>
      </c>
      <c r="F13636" s="23" t="str">
        <f>HYPERLINK("https://www.spark-marketing.ru/Card/Lot/72007412", "На оказание услуг по организации горячего питания пациентам, находящимся на стационарном лечении в ГАУЗ ""ОПБ №4""")</f>
        <v>На оказание услуг по организации горячего питания пациентам, находящимся на стационарном лечении в ГАУЗ "ОПБ №4"</v>
      </c>
      <c r="G13636" s="22" t="s">
        <v>132</v>
      </c>
      <c r="H13636" s="22" t="s">
        <v>133</v>
      </c>
      <c r="I13636" s="26">
        <v>43656.682037036997</v>
      </c>
      <c r="J13636" s="28" t="s">
        <v>51</v>
      </c>
      <c r="K13636" s="28" t="s">
        <v>51</v>
      </c>
      <c r="L13636" s="22" t="s">
        <v>10</v>
      </c>
      <c r="M13636" s="25">
        <v>2970000</v>
      </c>
      <c r="N13636" s="27">
        <v>0</v>
      </c>
    </row>
    <row r="13637" spans="1:14" x14ac:dyDescent="0.15">
      <c r="A13637" s="23" t="str">
        <f>HYPERLINK("https://www.spark-marketing.ru/Card/Person/4686", "ГУ - ХАБАРОВСКОЕ РО ФОНДА СОЦИАЛЬНОГО СТРАХОВАНИЯ РОССИЙСКОЙ ФЕДЕРАЦИИ")</f>
        <v>ГУ - ХАБАРОВСКОЕ РО ФОНДА СОЦИАЛЬНОГО СТРАХОВАНИЯ РОССИЙСКОЙ ФЕДЕРАЦИИ</v>
      </c>
      <c r="B13637" s="24" t="s">
        <v>7089</v>
      </c>
      <c r="C13637" s="25">
        <v>691724.88</v>
      </c>
      <c r="D13637" s="22" t="s">
        <v>18299</v>
      </c>
      <c r="E13637" s="22" t="s">
        <v>86</v>
      </c>
      <c r="F13637" s="23" t="str">
        <f>HYPERLINK("https://www.spark-marketing.ru/Card/Lot/72016936", "Оказание в 2019 году услуг по организации санаторно-курортного лечения детей-инвалидов и сопровождающих их лиц по Классу IV МКБ-10 «Болезни эндокринной системы, расстройства питания и нарушения обмена веществ» в организации, оказывающей санаторно-кур...")</f>
        <v>Оказание в 2019 году услуг по организации санаторно-курортного лечения детей-инвалидов и сопровождающих их лиц по Классу IV МКБ-10 «Болезни эндокринной системы, расстройства питания и нарушения обмена веществ» в организации, оказывающей санаторно-кур...</v>
      </c>
      <c r="G13637" s="22" t="s">
        <v>1096</v>
      </c>
      <c r="H13637" s="22" t="s">
        <v>1097</v>
      </c>
      <c r="I13637" s="26">
        <v>43656.691666666702</v>
      </c>
      <c r="J13637" s="23" t="str">
        <f>HYPERLINK("https://www.spark-marketing.ru/Card/Person/162675", "ООО ""САНАТОРИЙ ""ИЗУМРУДНЫЙ""")</f>
        <v>ООО "САНАТОРИЙ "ИЗУМРУДНЫЙ"</v>
      </c>
      <c r="K13637" s="24" t="s">
        <v>15945</v>
      </c>
      <c r="L13637" s="22" t="s">
        <v>10</v>
      </c>
      <c r="M13637" s="28" t="s">
        <v>51</v>
      </c>
      <c r="N13637" s="28" t="s">
        <v>51</v>
      </c>
    </row>
    <row r="13638" spans="1:14" x14ac:dyDescent="0.15">
      <c r="A13638" s="23" t="str">
        <f>HYPERLINK("https://www.spark-marketing.ru/Card/Person/18712", "МГУ ИМ. АДМ. Г.И. НЕВЕЛЬСКОГО")</f>
        <v>МГУ ИМ. АДМ. Г.И. НЕВЕЛЬСКОГО</v>
      </c>
      <c r="B13638" s="24" t="s">
        <v>18300</v>
      </c>
      <c r="C13638" s="25">
        <v>18996475</v>
      </c>
      <c r="D13638" s="22" t="s">
        <v>18301</v>
      </c>
      <c r="E13638" s="22" t="s">
        <v>18302</v>
      </c>
      <c r="F13638" s="23" t="str">
        <f>HYPERLINK("https://www.spark-marketing.ru/Card/Lot/71996821", "Поставщик обязуется осуществить поставку технологического оборудования для комбината питания, столовой и кафетерия для нужд Заказчика (далее - товар), монтаж и пуско-наладку товара (далее - работы или ПНР), а Заказчик принять и оплатить товар в соотв...")</f>
        <v>Поставщик обязуется осуществить поставку технологического оборудования для комбината питания, столовой и кафетерия для нужд Заказчика (далее - товар), монтаж и пуско-наладку товара (далее - работы или ПНР), а Заказчик принять и оплатить товар в соотв...</v>
      </c>
      <c r="G13638" s="22" t="s">
        <v>543</v>
      </c>
      <c r="H13638" s="22" t="s">
        <v>1440</v>
      </c>
      <c r="I13638" s="26">
        <v>43656.631064814799</v>
      </c>
      <c r="J13638" s="28" t="s">
        <v>51</v>
      </c>
      <c r="K13638" s="28" t="s">
        <v>51</v>
      </c>
      <c r="L13638" s="28" t="s">
        <v>51</v>
      </c>
      <c r="M13638" s="28" t="s">
        <v>51</v>
      </c>
      <c r="N13638" s="28" t="s">
        <v>51</v>
      </c>
    </row>
    <row r="13639" spans="1:14" x14ac:dyDescent="0.15">
      <c r="A13639" s="23" t="str">
        <f>HYPERLINK("https://www.spark-marketing.ru/Card/Person/999530", "МБОУ НГО «СОШ № 10»")</f>
        <v>МБОУ НГО «СОШ № 10»</v>
      </c>
      <c r="B13639" s="24" t="s">
        <v>18303</v>
      </c>
      <c r="C13639" s="25">
        <v>3297910</v>
      </c>
      <c r="D13639" s="22" t="s">
        <v>18304</v>
      </c>
      <c r="E13639" s="22" t="s">
        <v>48</v>
      </c>
      <c r="F13639" s="23" t="str">
        <f>HYPERLINK("https://www.spark-marketing.ru/Card/Lot/72019033", "Услуги по предоставлению горячего питания для учащихся МБОУ НГО ""СОШ №10""")</f>
        <v>Услуги по предоставлению горячего питания для учащихся МБОУ НГО "СОШ №10"</v>
      </c>
      <c r="G13639" s="22" t="s">
        <v>174</v>
      </c>
      <c r="H13639" s="22" t="s">
        <v>8963</v>
      </c>
      <c r="I13639" s="26">
        <v>43656.65625</v>
      </c>
      <c r="J13639" s="23" t="str">
        <f>HYPERLINK("https://www.spark-marketing.ru/Card/Person/585240", "Староверова Ирина Юрьевна")</f>
        <v>Староверова Ирина Юрьевна</v>
      </c>
      <c r="K13639" s="24" t="s">
        <v>18305</v>
      </c>
      <c r="L13639" s="22" t="s">
        <v>10</v>
      </c>
      <c r="M13639" s="28" t="s">
        <v>51</v>
      </c>
      <c r="N13639" s="28" t="s">
        <v>51</v>
      </c>
    </row>
    <row r="13640" spans="1:14" x14ac:dyDescent="0.15">
      <c r="A13640" s="23" t="str">
        <f>HYPERLINK("https://www.spark-marketing.ru/Card/Person/42758", "АО ""РОССЕЛЬХОЗБАНК""")</f>
        <v>АО "РОССЕЛЬХОЗБАНК"</v>
      </c>
      <c r="B13640" s="24" t="s">
        <v>1907</v>
      </c>
      <c r="C13640" s="25">
        <v>25000</v>
      </c>
      <c r="D13640" s="22" t="s">
        <v>18306</v>
      </c>
      <c r="E13640" s="22" t="s">
        <v>16637</v>
      </c>
      <c r="F13640" s="23" t="str">
        <f>HYPERLINK("https://www.spark-marketing.ru/Card/Lot/72009250", "оказание услуг по буфетному обслуживанию (услуги питания) представительского мероприятия Бурятского РФ АО «Россельхозбанк»")</f>
        <v>оказание услуг по буфетному обслуживанию (услуги питания) представительского мероприятия Бурятского РФ АО «Россельхозбанк»</v>
      </c>
      <c r="G13640" s="22" t="s">
        <v>433</v>
      </c>
      <c r="H13640" s="22" t="s">
        <v>433</v>
      </c>
      <c r="I13640" s="26">
        <v>43656.659189814804</v>
      </c>
      <c r="J13640" s="28" t="s">
        <v>51</v>
      </c>
      <c r="K13640" s="28" t="s">
        <v>51</v>
      </c>
      <c r="L13640" s="28" t="s">
        <v>51</v>
      </c>
      <c r="M13640" s="28" t="s">
        <v>51</v>
      </c>
      <c r="N13640" s="28" t="s">
        <v>51</v>
      </c>
    </row>
    <row r="13641" spans="1:14" x14ac:dyDescent="0.15">
      <c r="A13641" s="23" t="str">
        <f>HYPERLINK("https://www.spark-marketing.ru/Card/Person/20324", "МЕЖМУНИЦИПАЛЬНЫЙ ОТДЕЛ МВД РОССИИ ""КУРАГИНСКИЙ""")</f>
        <v>МЕЖМУНИЦИПАЛЬНЫЙ ОТДЕЛ МВД РОССИИ "КУРАГИНСКИЙ"</v>
      </c>
      <c r="B13641" s="24" t="s">
        <v>18307</v>
      </c>
      <c r="C13641" s="25">
        <v>1050000</v>
      </c>
      <c r="D13641" s="22" t="s">
        <v>18308</v>
      </c>
      <c r="E13641" s="22" t="s">
        <v>48</v>
      </c>
      <c r="F13641" s="23" t="str">
        <f>HYPERLINK("https://www.spark-marketing.ru/Card/Lot/72017585", "организация 3-х разового горячего питания")</f>
        <v>организация 3-х разового горячего питания</v>
      </c>
      <c r="G13641" s="22" t="s">
        <v>281</v>
      </c>
      <c r="H13641" s="22" t="s">
        <v>18309</v>
      </c>
      <c r="I13641" s="26">
        <v>43656.629861111098</v>
      </c>
      <c r="J13641" s="23" t="str">
        <f>HYPERLINK("https://www.spark-marketing.ru/Card/Person/464059", "ООО ""ОБЩЕПИТ""")</f>
        <v>ООО "ОБЩЕПИТ"</v>
      </c>
      <c r="K13641" s="24" t="s">
        <v>18310</v>
      </c>
      <c r="L13641" s="22" t="s">
        <v>10</v>
      </c>
      <c r="M13641" s="28" t="s">
        <v>51</v>
      </c>
      <c r="N13641" s="28" t="s">
        <v>51</v>
      </c>
    </row>
    <row r="13642" spans="1:14" x14ac:dyDescent="0.15">
      <c r="A13642" s="23" t="str">
        <f>HYPERLINK("https://www.spark-marketing.ru/Card/Person/148090", "МОБУ СОШ 31")</f>
        <v>МОБУ СОШ 31</v>
      </c>
      <c r="B13642" s="24" t="s">
        <v>18311</v>
      </c>
      <c r="C13642" s="25">
        <v>1524199.68</v>
      </c>
      <c r="D13642" s="22" t="s">
        <v>18312</v>
      </c>
      <c r="E13642" s="22" t="s">
        <v>48</v>
      </c>
      <c r="F13642" s="23" t="str">
        <f>HYPERLINK("https://www.spark-marketing.ru/Card/Lot/72018183", "Оказание услуг по организации горячего питания учащихся")</f>
        <v>Оказание услуг по организации горячего питания учащихся</v>
      </c>
      <c r="G13642" s="22" t="s">
        <v>241</v>
      </c>
      <c r="H13642" s="22" t="s">
        <v>242</v>
      </c>
      <c r="I13642" s="26">
        <v>43656.637499999997</v>
      </c>
      <c r="J13642" s="28" t="s">
        <v>51</v>
      </c>
      <c r="K13642" s="28" t="s">
        <v>51</v>
      </c>
      <c r="L13642" s="28" t="s">
        <v>51</v>
      </c>
      <c r="M13642" s="28" t="s">
        <v>51</v>
      </c>
      <c r="N13642" s="28" t="s">
        <v>51</v>
      </c>
    </row>
    <row r="13643" spans="1:14" hidden="1" outlineLevel="1" x14ac:dyDescent="0.2">
      <c r="A13643" s="23" t="str">
        <f>HYPERLINK("https://www.spark-marketing.ru/Card/Person/148090", "МОБУ СОШ 31")</f>
        <v>МОБУ СОШ 31</v>
      </c>
      <c r="B13643" s="24" t="s">
        <v>18311</v>
      </c>
      <c r="C13643" s="25">
        <v>1524199.68</v>
      </c>
      <c r="D13643" s="22" t="s">
        <v>18312</v>
      </c>
      <c r="E13643" s="22" t="s">
        <v>48</v>
      </c>
      <c r="F13643" s="23" t="str">
        <f>HYPERLINK("https://www.spark-marketing.ru/Card/Lot/72018183", "Оказание услуг по организации горячего питания учащихся")</f>
        <v>Оказание услуг по организации горячего питания учащихся</v>
      </c>
      <c r="G13643" s="22" t="s">
        <v>241</v>
      </c>
      <c r="H13643" s="22" t="s">
        <v>242</v>
      </c>
      <c r="I13643" s="26">
        <v>43656.637499999997</v>
      </c>
      <c r="J13643" s="23" t="str">
        <f>HYPERLINK("https://www.spark-marketing.ru/Card/Person/458943", "ООО ""РОСА-ОБЩЕПИТ""")</f>
        <v>ООО "РОСА-ОБЩЕПИТ"</v>
      </c>
      <c r="K13643" s="24" t="s">
        <v>14748</v>
      </c>
      <c r="L13643" s="28" t="s">
        <v>51</v>
      </c>
      <c r="M13643" s="25">
        <v>1371779.72</v>
      </c>
      <c r="N13643" s="27">
        <v>9.9999994751343871E-2</v>
      </c>
    </row>
    <row r="13644" spans="1:14" hidden="1" outlineLevel="1" x14ac:dyDescent="0.15">
      <c r="A13644" s="23" t="str">
        <f>HYPERLINK("https://www.spark-marketing.ru/Card/Person/148090", "МОБУ СОШ 31")</f>
        <v>МОБУ СОШ 31</v>
      </c>
      <c r="B13644" s="24" t="s">
        <v>18311</v>
      </c>
      <c r="C13644" s="25">
        <v>1524199.68</v>
      </c>
      <c r="D13644" s="22" t="s">
        <v>18312</v>
      </c>
      <c r="E13644" s="22" t="s">
        <v>48</v>
      </c>
      <c r="F13644" s="23" t="str">
        <f>HYPERLINK("https://www.spark-marketing.ru/Card/Lot/72018183", "Оказание услуг по организации горячего питания учащихся")</f>
        <v>Оказание услуг по организации горячего питания учащихся</v>
      </c>
      <c r="G13644" s="22" t="s">
        <v>241</v>
      </c>
      <c r="H13644" s="22" t="s">
        <v>242</v>
      </c>
      <c r="I13644" s="26">
        <v>43656.637499999997</v>
      </c>
      <c r="J13644" s="23" t="str">
        <f>HYPERLINK("https://www.spark-marketing.ru/Card/Person/4452554", "Бутакова Елена Евгеньевна")</f>
        <v>Бутакова Елена Евгеньевна</v>
      </c>
      <c r="K13644" s="24" t="s">
        <v>18313</v>
      </c>
      <c r="L13644" s="28" t="s">
        <v>51</v>
      </c>
      <c r="M13644" s="28" t="s">
        <v>51</v>
      </c>
      <c r="N13644" s="28" t="s">
        <v>51</v>
      </c>
    </row>
    <row r="13645" spans="1:14" x14ac:dyDescent="0.15">
      <c r="A13645" s="23" t="str">
        <f>HYPERLINK("https://www.spark-marketing.ru/Card/Person/996661", "ФКУ УК ГУФСИН РОССИИ ПО ИРКУТСКОЙ ОБЛАСТИ")</f>
        <v>ФКУ УК ГУФСИН РОССИИ ПО ИРКУТСКОЙ ОБЛАСТИ</v>
      </c>
      <c r="B13645" s="24" t="s">
        <v>2892</v>
      </c>
      <c r="C13645" s="25">
        <v>357753.26</v>
      </c>
      <c r="D13645" s="22" t="s">
        <v>18314</v>
      </c>
      <c r="E13645" s="22" t="s">
        <v>18315</v>
      </c>
      <c r="F13645" s="23" t="str">
        <f>HYPERLINK("https://www.spark-marketing.ru/Card/Lot/72015312", "Прочая закупка товаров, работ и услуг (МЯСО+РЫБА ДБФ)")</f>
        <v>Прочая закупка товаров, работ и услуг (МЯСО+РЫБА ДБФ)</v>
      </c>
      <c r="G13645" s="22" t="s">
        <v>263</v>
      </c>
      <c r="H13645" s="22" t="s">
        <v>2768</v>
      </c>
      <c r="I13645" s="26">
        <v>43656.649305555598</v>
      </c>
      <c r="J13645" s="28" t="s">
        <v>51</v>
      </c>
      <c r="K13645" s="28" t="s">
        <v>51</v>
      </c>
      <c r="L13645" s="28" t="s">
        <v>51</v>
      </c>
      <c r="M13645" s="28" t="s">
        <v>51</v>
      </c>
      <c r="N13645" s="28" t="s">
        <v>51</v>
      </c>
    </row>
    <row r="13646" spans="1:14" x14ac:dyDescent="0.15">
      <c r="A13646" s="23" t="str">
        <f>HYPERLINK("https://www.spark-marketing.ru/Card/Person/360636", "КФ АДМИНИСТРАЦИИ ТИХВИНСКОГО РАЙОНА")</f>
        <v>КФ АДМИНИСТРАЦИИ ТИХВИНСКОГО РАЙОНА</v>
      </c>
      <c r="B13646" s="24" t="s">
        <v>18316</v>
      </c>
      <c r="C13646" s="25">
        <v>220000</v>
      </c>
      <c r="D13646" s="22" t="s">
        <v>18317</v>
      </c>
      <c r="E13646" s="22" t="s">
        <v>96</v>
      </c>
      <c r="F13646" s="23" t="str">
        <f>HYPERLINK("https://www.spark-marketing.ru/Card/Lot/72013283", "Оказание услуг общественного питания")</f>
        <v>Оказание услуг общественного питания</v>
      </c>
      <c r="G13646" s="22" t="s">
        <v>162</v>
      </c>
      <c r="H13646" s="22" t="s">
        <v>9739</v>
      </c>
      <c r="I13646" s="26">
        <v>43656.657638888901</v>
      </c>
      <c r="J13646" s="23" t="str">
        <f>HYPERLINK("https://www.spark-marketing.ru/Card/Person/674644", "ООО ""ФОБОС""")</f>
        <v>ООО "ФОБОС"</v>
      </c>
      <c r="K13646" s="24" t="s">
        <v>18318</v>
      </c>
      <c r="L13646" s="22" t="s">
        <v>10</v>
      </c>
      <c r="M13646" s="28" t="s">
        <v>51</v>
      </c>
      <c r="N13646" s="28" t="s">
        <v>51</v>
      </c>
    </row>
    <row r="13647" spans="1:14" x14ac:dyDescent="0.2">
      <c r="A13647" s="23" t="str">
        <f>HYPERLINK("https://www.spark-marketing.ru/Card/Person/4346656", "ФГБУ ""ТЦСКР ""КРЫМСКИЙ""")</f>
        <v>ФГБУ "ТЦСКР "КРЫМСКИЙ"</v>
      </c>
      <c r="B13647" s="24" t="s">
        <v>2225</v>
      </c>
      <c r="C13647" s="25">
        <v>174000</v>
      </c>
      <c r="D13647" s="22" t="s">
        <v>18319</v>
      </c>
      <c r="E13647" s="22" t="s">
        <v>769</v>
      </c>
      <c r="F13647" s="23" t="str">
        <f>HYPERLINK("https://www.spark-marketing.ru/Card/Lot/72007726", "Оказание услуг проживания и питания")</f>
        <v>Оказание услуг проживания и питания</v>
      </c>
      <c r="G13647" s="22" t="s">
        <v>108</v>
      </c>
      <c r="H13647" s="22" t="s">
        <v>375</v>
      </c>
      <c r="I13647" s="26">
        <v>43656.635914351798</v>
      </c>
      <c r="J13647" s="28" t="s">
        <v>51</v>
      </c>
      <c r="K13647" s="28" t="s">
        <v>51</v>
      </c>
      <c r="L13647" s="28" t="s">
        <v>51</v>
      </c>
      <c r="M13647" s="25">
        <v>174000</v>
      </c>
      <c r="N13647" s="27">
        <v>0</v>
      </c>
    </row>
    <row r="13648" spans="1:14" x14ac:dyDescent="0.15">
      <c r="A13648" s="23" t="str">
        <f>HYPERLINK("https://www.spark-marketing.ru/Card/Person/52358", "ГБПОУ РО ""ДОНТКИИБ""")</f>
        <v>ГБПОУ РО "ДОНТКИИБ"</v>
      </c>
      <c r="B13648" s="24" t="s">
        <v>18320</v>
      </c>
      <c r="C13648" s="25">
        <v>2326232</v>
      </c>
      <c r="D13648" s="22" t="s">
        <v>18321</v>
      </c>
      <c r="E13648" s="22" t="s">
        <v>48</v>
      </c>
      <c r="F13648" s="23" t="str">
        <f>HYPERLINK("https://www.spark-marketing.ru/Card/Lot/72046252", "Услуги по организации привозного горячего питания учащихся")</f>
        <v>Услуги по организации привозного горячего питания учащихся</v>
      </c>
      <c r="G13648" s="22" t="s">
        <v>267</v>
      </c>
      <c r="H13648" s="22" t="s">
        <v>267</v>
      </c>
      <c r="I13648" s="26">
        <v>43656.6647800926</v>
      </c>
      <c r="J13648" s="23" t="str">
        <f>HYPERLINK("https://www.spark-marketing.ru/Card/Person/6260086", "Журавлева Ольга Владимировна")</f>
        <v>Журавлева Ольга Владимировна</v>
      </c>
      <c r="K13648" s="24" t="s">
        <v>18322</v>
      </c>
      <c r="L13648" s="22" t="s">
        <v>10</v>
      </c>
      <c r="M13648" s="28" t="s">
        <v>51</v>
      </c>
      <c r="N13648" s="28" t="s">
        <v>51</v>
      </c>
    </row>
    <row r="13649" spans="1:14" x14ac:dyDescent="0.15">
      <c r="A13649" s="23" t="s">
        <v>114</v>
      </c>
      <c r="B13649" s="28" t="s">
        <v>51</v>
      </c>
      <c r="C13649" s="25">
        <v>10125864</v>
      </c>
      <c r="D13649" s="22" t="s">
        <v>18323</v>
      </c>
      <c r="E13649" s="22" t="s">
        <v>48</v>
      </c>
      <c r="F13649" s="23" t="str">
        <f t="shared" ref="F13649:F13654" si="448">HYPERLINK("https://www.spark-marketing.ru/Card/Lot/71996973", "Оказание услуг по организации питания детей для нужд Муниципальных бюджетных дошкольных образовательных учреждений городского округа Большой Камень")</f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49" s="22" t="s">
        <v>51</v>
      </c>
      <c r="H13649" s="22" t="s">
        <v>51</v>
      </c>
      <c r="I13649" s="26">
        <v>43656.625</v>
      </c>
      <c r="J13649" s="28" t="s">
        <v>51</v>
      </c>
      <c r="K13649" s="28" t="s">
        <v>51</v>
      </c>
      <c r="L13649" s="28" t="s">
        <v>51</v>
      </c>
      <c r="M13649" s="28" t="s">
        <v>51</v>
      </c>
      <c r="N13649" s="28" t="s">
        <v>51</v>
      </c>
    </row>
    <row r="13650" spans="1:14" hidden="1" outlineLevel="1" x14ac:dyDescent="0.15">
      <c r="A13650" s="23" t="str">
        <f>HYPERLINK("https://www.spark-marketing.ru/Card/Person/71368", "МБДОУ № 17 ""ЗВЕЗДОЧКА""")</f>
        <v>МБДОУ № 17 "ЗВЕЗДОЧКА"</v>
      </c>
      <c r="B13650" s="24" t="s">
        <v>18324</v>
      </c>
      <c r="C13650" s="25">
        <v>2893104</v>
      </c>
      <c r="D13650" s="22" t="s">
        <v>18323</v>
      </c>
      <c r="E13650" s="22" t="s">
        <v>48</v>
      </c>
      <c r="F13650" s="23" t="str">
        <f t="shared" si="448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50" s="22" t="s">
        <v>543</v>
      </c>
      <c r="H13650" s="22" t="s">
        <v>11733</v>
      </c>
      <c r="I13650" s="26">
        <v>43656.625</v>
      </c>
      <c r="J13650" s="28" t="s">
        <v>51</v>
      </c>
      <c r="K13650" s="28" t="s">
        <v>51</v>
      </c>
      <c r="L13650" s="28" t="s">
        <v>51</v>
      </c>
      <c r="M13650" s="28" t="s">
        <v>51</v>
      </c>
      <c r="N13650" s="28" t="s">
        <v>51</v>
      </c>
    </row>
    <row r="13651" spans="1:14" hidden="1" outlineLevel="1" x14ac:dyDescent="0.15">
      <c r="A13651" s="23" t="str">
        <f>HYPERLINK("https://www.spark-marketing.ru/Card/Person/73694", "МБДОУ № 28 ""КОРАБЛИК""")</f>
        <v>МБДОУ № 28 "КОРАБЛИК"</v>
      </c>
      <c r="B13651" s="24" t="s">
        <v>18325</v>
      </c>
      <c r="C13651" s="25">
        <v>1524744</v>
      </c>
      <c r="D13651" s="22" t="s">
        <v>18323</v>
      </c>
      <c r="E13651" s="22" t="s">
        <v>48</v>
      </c>
      <c r="F13651" s="23" t="str">
        <f t="shared" si="448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51" s="22" t="s">
        <v>543</v>
      </c>
      <c r="H13651" s="22" t="s">
        <v>11733</v>
      </c>
      <c r="I13651" s="26">
        <v>43656.625</v>
      </c>
      <c r="J13651" s="28" t="s">
        <v>51</v>
      </c>
      <c r="K13651" s="28" t="s">
        <v>51</v>
      </c>
      <c r="L13651" s="28" t="s">
        <v>51</v>
      </c>
      <c r="M13651" s="28" t="s">
        <v>51</v>
      </c>
      <c r="N13651" s="28" t="s">
        <v>51</v>
      </c>
    </row>
    <row r="13652" spans="1:14" hidden="1" outlineLevel="1" x14ac:dyDescent="0.15">
      <c r="A13652" s="23" t="str">
        <f>HYPERLINK("https://www.spark-marketing.ru/Card/Person/73964", "МБДОУ № 24 ""РУЧЕЕК""")</f>
        <v>МБДОУ № 24 "РУЧЕЕК"</v>
      </c>
      <c r="B13652" s="24" t="s">
        <v>18326</v>
      </c>
      <c r="C13652" s="25">
        <v>5708016</v>
      </c>
      <c r="D13652" s="22" t="s">
        <v>18323</v>
      </c>
      <c r="E13652" s="22" t="s">
        <v>48</v>
      </c>
      <c r="F13652" s="23" t="str">
        <f t="shared" si="448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52" s="22" t="s">
        <v>543</v>
      </c>
      <c r="H13652" s="22" t="s">
        <v>11733</v>
      </c>
      <c r="I13652" s="26">
        <v>43656.625</v>
      </c>
      <c r="J13652" s="28" t="s">
        <v>51</v>
      </c>
      <c r="K13652" s="28" t="s">
        <v>51</v>
      </c>
      <c r="L13652" s="28" t="s">
        <v>51</v>
      </c>
      <c r="M13652" s="28" t="s">
        <v>51</v>
      </c>
      <c r="N13652" s="28" t="s">
        <v>51</v>
      </c>
    </row>
    <row r="13653" spans="1:14" hidden="1" outlineLevel="1" x14ac:dyDescent="0.2">
      <c r="A13653" s="28" t="s">
        <v>51</v>
      </c>
      <c r="B13653" s="28" t="s">
        <v>51</v>
      </c>
      <c r="C13653" s="28" t="s">
        <v>51</v>
      </c>
      <c r="D13653" s="22" t="s">
        <v>18323</v>
      </c>
      <c r="E13653" s="22" t="s">
        <v>48</v>
      </c>
      <c r="F13653" s="23" t="str">
        <f t="shared" si="448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53" s="22" t="s">
        <v>51</v>
      </c>
      <c r="H13653" s="22" t="s">
        <v>51</v>
      </c>
      <c r="I13653" s="26">
        <v>43656.625</v>
      </c>
      <c r="J13653" s="23" t="str">
        <f>HYPERLINK("https://www.spark-marketing.ru/Card/Person/4016608", "ООО ""ИЛОНА-ТРЕЙД""")</f>
        <v>ООО "ИЛОНА-ТРЕЙД"</v>
      </c>
      <c r="K13653" s="24" t="s">
        <v>12890</v>
      </c>
      <c r="L13653" s="28" t="s">
        <v>51</v>
      </c>
      <c r="M13653" s="25">
        <v>9417053.5199999996</v>
      </c>
      <c r="N13653" s="27">
        <v>7.0000000000000007E-2</v>
      </c>
    </row>
    <row r="13654" spans="1:14" hidden="1" outlineLevel="1" x14ac:dyDescent="0.2">
      <c r="A13654" s="28" t="s">
        <v>51</v>
      </c>
      <c r="B13654" s="28" t="s">
        <v>51</v>
      </c>
      <c r="C13654" s="28" t="s">
        <v>51</v>
      </c>
      <c r="D13654" s="22" t="s">
        <v>18323</v>
      </c>
      <c r="E13654" s="22" t="s">
        <v>48</v>
      </c>
      <c r="F13654" s="23" t="str">
        <f t="shared" si="448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54" s="22" t="s">
        <v>51</v>
      </c>
      <c r="H13654" s="22" t="s">
        <v>51</v>
      </c>
      <c r="I13654" s="26">
        <v>43656.625</v>
      </c>
      <c r="J13654" s="23" t="str">
        <f>HYPERLINK("https://www.spark-marketing.ru/Card/Person/6464579", "ООО ""СОЮЗ ВОСТОК""")</f>
        <v>ООО "СОЮЗ ВОСТОК"</v>
      </c>
      <c r="K13654" s="24" t="s">
        <v>11558</v>
      </c>
      <c r="L13654" s="22" t="s">
        <v>10</v>
      </c>
      <c r="M13654" s="25">
        <v>9366424.1999999993</v>
      </c>
      <c r="N13654" s="27">
        <v>7.4999999999999997E-2</v>
      </c>
    </row>
    <row r="13655" spans="1:14" x14ac:dyDescent="0.15">
      <c r="A13655" s="23" t="str">
        <f>HYPERLINK("https://www.spark-marketing.ru/Card/Person/1519807", "МАУ ДО ДЮСШ ЕДИНОБОРСТВ")</f>
        <v>МАУ ДО ДЮСШ ЕДИНОБОРСТВ</v>
      </c>
      <c r="B13655" s="24" t="s">
        <v>18327</v>
      </c>
      <c r="C13655" s="25">
        <v>364000</v>
      </c>
      <c r="D13655" s="22" t="s">
        <v>18328</v>
      </c>
      <c r="E13655" s="22" t="s">
        <v>362</v>
      </c>
      <c r="F13655" s="23" t="str">
        <f>HYPERLINK("https://www.spark-marketing.ru/Card/Lot/72001739", "оказание услуг по обеспечению питанием несовершеннолетних в ДЛОЛ «Лагуна»")</f>
        <v>оказание услуг по обеспечению питанием несовершеннолетних в ДЛОЛ «Лагуна»</v>
      </c>
      <c r="G13655" s="22" t="s">
        <v>149</v>
      </c>
      <c r="H13655" s="22" t="s">
        <v>149</v>
      </c>
      <c r="I13655" s="26">
        <v>43656.627303240697</v>
      </c>
      <c r="J13655" s="28" t="s">
        <v>51</v>
      </c>
      <c r="K13655" s="28" t="s">
        <v>51</v>
      </c>
      <c r="L13655" s="28" t="s">
        <v>51</v>
      </c>
      <c r="M13655" s="28" t="s">
        <v>51</v>
      </c>
      <c r="N13655" s="28" t="s">
        <v>51</v>
      </c>
    </row>
    <row r="13656" spans="1:14" x14ac:dyDescent="0.2">
      <c r="A13656" s="23" t="str">
        <f>HYPERLINK("https://www.spark-marketing.ru/Card/Person/144257", "МОБУ СОШ № 17")</f>
        <v>МОБУ СОШ № 17</v>
      </c>
      <c r="B13656" s="24" t="s">
        <v>18329</v>
      </c>
      <c r="C13656" s="25">
        <v>2885984.64</v>
      </c>
      <c r="D13656" s="22" t="s">
        <v>18330</v>
      </c>
      <c r="E13656" s="22" t="s">
        <v>48</v>
      </c>
      <c r="F13656" s="23" t="str">
        <f>HYPERLINK("https://www.spark-marketing.ru/Card/Lot/72018765", "Оказание услуг по организации горячего питания обучающихся в МОБУ СОШ №17 ГО «город Якутск»")</f>
        <v>Оказание услуг по организации горячего питания обучающихся в МОБУ СОШ №17 ГО «город Якутск»</v>
      </c>
      <c r="G13656" s="22" t="s">
        <v>241</v>
      </c>
      <c r="H13656" s="22" t="s">
        <v>242</v>
      </c>
      <c r="I13656" s="26">
        <v>43656.637499999997</v>
      </c>
      <c r="J13656" s="23" t="str">
        <f>HYPERLINK("https://www.spark-marketing.ru/Card/Person/458943", "ООО ""РОСА-ОБЩЕПИТ""")</f>
        <v>ООО "РОСА-ОБЩЕПИТ"</v>
      </c>
      <c r="K13656" s="24" t="s">
        <v>14748</v>
      </c>
      <c r="L13656" s="28" t="s">
        <v>51</v>
      </c>
      <c r="M13656" s="25">
        <v>2885984.64</v>
      </c>
      <c r="N13656" s="27">
        <v>0</v>
      </c>
    </row>
    <row r="13657" spans="1:14" x14ac:dyDescent="0.15">
      <c r="A13657" s="23" t="str">
        <f>HYPERLINK("https://www.spark-marketing.ru/Card/Person/5951995", "ООО ИНК")</f>
        <v>ООО ИНК</v>
      </c>
      <c r="B13657" s="28" t="s">
        <v>51</v>
      </c>
      <c r="C13657" s="28" t="s">
        <v>51</v>
      </c>
      <c r="D13657" s="22" t="s">
        <v>18331</v>
      </c>
      <c r="E13657" s="22" t="s">
        <v>52</v>
      </c>
      <c r="F13657" s="23" t="str">
        <f>HYPERLINK("https://www.spark-marketing.ru/Card/Lot/72006921", "Оказание услуг по организации горячего питания на объектах ООО ""ИНК"", услуг по содержанию и комплексному обслуживанию объектов на КПХиО СУГ и ИНМ")</f>
        <v>Оказание услуг по организации горячего питания на объектах ООО "ИНК", услуг по содержанию и комплексному обслуживанию объектов на КПХиО СУГ и ИНМ</v>
      </c>
      <c r="G13657" s="22" t="s">
        <v>51</v>
      </c>
      <c r="H13657" s="22" t="s">
        <v>51</v>
      </c>
      <c r="I13657" s="26">
        <v>43656.595833333296</v>
      </c>
      <c r="J13657" s="28" t="s">
        <v>51</v>
      </c>
      <c r="K13657" s="28" t="s">
        <v>51</v>
      </c>
      <c r="L13657" s="28" t="s">
        <v>51</v>
      </c>
      <c r="M13657" s="28" t="s">
        <v>51</v>
      </c>
      <c r="N13657" s="28" t="s">
        <v>51</v>
      </c>
    </row>
    <row r="13658" spans="1:14" x14ac:dyDescent="0.15">
      <c r="A13658" s="23" t="str">
        <f>HYPERLINK("https://www.spark-marketing.ru/Card/Person/20324", "МЕЖМУНИЦИПАЛЬНЫЙ ОТДЕЛ МВД РОССИИ ""КУРАГИНСКИЙ""")</f>
        <v>МЕЖМУНИЦИПАЛЬНЫЙ ОТДЕЛ МВД РОССИИ "КУРАГИНСКИЙ"</v>
      </c>
      <c r="B13658" s="24" t="s">
        <v>18307</v>
      </c>
      <c r="C13658" s="25">
        <v>1050000</v>
      </c>
      <c r="D13658" s="22" t="s">
        <v>18332</v>
      </c>
      <c r="E13658" s="22" t="s">
        <v>48</v>
      </c>
      <c r="F13658" s="23" t="str">
        <f>HYPERLINK("https://www.spark-marketing.ru/Card/Lot/72017586", "организация 3-х разового горячего питания")</f>
        <v>организация 3-х разового горячего питания</v>
      </c>
      <c r="G13658" s="22" t="s">
        <v>281</v>
      </c>
      <c r="H13658" s="22" t="s">
        <v>18309</v>
      </c>
      <c r="I13658" s="26">
        <v>43656.620138888902</v>
      </c>
      <c r="J13658" s="23" t="str">
        <f>HYPERLINK("https://www.spark-marketing.ru/Card/Person/464059", "ООО ""ОБЩЕПИТ""")</f>
        <v>ООО "ОБЩЕПИТ"</v>
      </c>
      <c r="K13658" s="24" t="s">
        <v>18310</v>
      </c>
      <c r="L13658" s="22" t="s">
        <v>10</v>
      </c>
      <c r="M13658" s="28" t="s">
        <v>51</v>
      </c>
      <c r="N13658" s="28" t="s">
        <v>51</v>
      </c>
    </row>
    <row r="13659" spans="1:14" x14ac:dyDescent="0.15">
      <c r="A13659" s="23" t="str">
        <f>HYPERLINK("https://www.spark-marketing.ru/Card/Person/661184", "АО""НИИ""СУБМИКРОН""")</f>
        <v>АО"НИИ"СУБМИКРОН"</v>
      </c>
      <c r="B13659" s="24" t="s">
        <v>18333</v>
      </c>
      <c r="C13659" s="25">
        <v>499000</v>
      </c>
      <c r="D13659" s="22" t="s">
        <v>18334</v>
      </c>
      <c r="E13659" s="22" t="s">
        <v>18335</v>
      </c>
      <c r="F13659" s="23" t="str">
        <f>HYPERLINK("https://www.spark-marketing.ru/Card/Lot/72007324", "оказание услуг по предоставлению комплектов диетического питания")</f>
        <v>оказание услуг по предоставлению комплектов диетического питания</v>
      </c>
      <c r="G13659" s="22" t="s">
        <v>56</v>
      </c>
      <c r="H13659" s="22" t="s">
        <v>56</v>
      </c>
      <c r="I13659" s="26">
        <v>43656.606620370403</v>
      </c>
      <c r="J13659" s="28" t="s">
        <v>51</v>
      </c>
      <c r="K13659" s="28" t="s">
        <v>51</v>
      </c>
      <c r="L13659" s="28" t="s">
        <v>51</v>
      </c>
      <c r="M13659" s="28" t="s">
        <v>51</v>
      </c>
      <c r="N13659" s="28" t="s">
        <v>51</v>
      </c>
    </row>
    <row r="13660" spans="1:14" x14ac:dyDescent="0.2">
      <c r="A13660" s="23" t="str">
        <f>HYPERLINK("https://www.spark-marketing.ru/Card/Person/93825", "ФГУ ФНЦ НИИСИ РАН")</f>
        <v>ФГУ ФНЦ НИИСИ РАН</v>
      </c>
      <c r="B13660" s="24" t="s">
        <v>18336</v>
      </c>
      <c r="C13660" s="25">
        <v>490000</v>
      </c>
      <c r="D13660" s="22" t="s">
        <v>18337</v>
      </c>
      <c r="E13660" s="22" t="s">
        <v>362</v>
      </c>
      <c r="F13660" s="23" t="str">
        <f>HYPERLINK("https://www.spark-marketing.ru/Card/Lot/72007290", "Оказание услуг по организации питания для работников ФГУ ФНЦ НИИСИ РАН (подразделение ОМТ)")</f>
        <v>Оказание услуг по организации питания для работников ФГУ ФНЦ НИИСИ РАН (подразделение ОМТ)</v>
      </c>
      <c r="G13660" s="22" t="s">
        <v>56</v>
      </c>
      <c r="H13660" s="22" t="s">
        <v>56</v>
      </c>
      <c r="I13660" s="26">
        <v>43656.602592592601</v>
      </c>
      <c r="J13660" s="28" t="s">
        <v>51</v>
      </c>
      <c r="K13660" s="28" t="s">
        <v>51</v>
      </c>
      <c r="L13660" s="28" t="s">
        <v>51</v>
      </c>
      <c r="M13660" s="25">
        <v>490000</v>
      </c>
      <c r="N13660" s="27">
        <v>0</v>
      </c>
    </row>
    <row r="13661" spans="1:14" x14ac:dyDescent="0.15">
      <c r="A13661" s="23" t="str">
        <f>HYPERLINK("https://www.spark-marketing.ru/Card/Person/32071", "УПРАВЛЕНИЕ ГОЧС")</f>
        <v>УПРАВЛЕНИЕ ГОЧС</v>
      </c>
      <c r="B13661" s="24" t="s">
        <v>18338</v>
      </c>
      <c r="C13661" s="25">
        <v>337185.2</v>
      </c>
      <c r="D13661" s="22" t="s">
        <v>18339</v>
      </c>
      <c r="E13661" s="22" t="s">
        <v>48</v>
      </c>
      <c r="F13661" s="23" t="str">
        <f>HYPERLINK("https://www.spark-marketing.ru/Card/Lot/71998146", "оказание услуг по питанию населения пострадавших в результате чрезвычайной ситуации природного или техногенного характера на территории городского округа «Город Чита»")</f>
        <v>оказание услуг по питанию населения пострадавших в результате чрезвычайной ситуации природного или техногенного характера на территории городского округа «Город Чита»</v>
      </c>
      <c r="G13661" s="22" t="s">
        <v>228</v>
      </c>
      <c r="H13661" s="22" t="s">
        <v>394</v>
      </c>
      <c r="I13661" s="26">
        <v>43656.588888888902</v>
      </c>
      <c r="J13661" s="23" t="str">
        <f>HYPERLINK("https://www.spark-marketing.ru/Card/Person/658008", "ООО ""ПАНАМА СИТИ ГОЛД""")</f>
        <v>ООО "ПАНАМА СИТИ ГОЛД"</v>
      </c>
      <c r="K13661" s="24" t="s">
        <v>18340</v>
      </c>
      <c r="L13661" s="28" t="s">
        <v>51</v>
      </c>
      <c r="M13661" s="28" t="s">
        <v>51</v>
      </c>
      <c r="N13661" s="28" t="s">
        <v>51</v>
      </c>
    </row>
    <row r="13662" spans="1:14" ht="12.75" hidden="1" outlineLevel="1" x14ac:dyDescent="0.2">
      <c r="A13662" s="23" t="str">
        <f>HYPERLINK("https://www.spark-marketing.ru/Card/Person/32071", "УПРАВЛЕНИЕ ГОЧС")</f>
        <v>УПРАВЛЕНИЕ ГОЧС</v>
      </c>
      <c r="B13662" s="24" t="s">
        <v>18338</v>
      </c>
      <c r="C13662" s="25">
        <v>337185.2</v>
      </c>
      <c r="D13662" s="22" t="s">
        <v>18339</v>
      </c>
      <c r="E13662" s="22" t="s">
        <v>48</v>
      </c>
      <c r="F13662" s="23" t="str">
        <f>HYPERLINK("https://www.spark-marketing.ru/Card/Lot/71998146", "оказание услуг по питанию населения пострадавших в результате чрезвычайной ситуации природного или техногенного характера на территории городского округа «Город Чита»")</f>
        <v>оказание услуг по питанию населения пострадавших в результате чрезвычайной ситуации природного или техногенного характера на территории городского округа «Город Чита»</v>
      </c>
      <c r="G13662" s="22" t="s">
        <v>228</v>
      </c>
      <c r="H13662" s="22" t="s">
        <v>394</v>
      </c>
      <c r="I13662" s="26">
        <v>43656.588888888902</v>
      </c>
      <c r="J13662" s="23" t="str">
        <f>HYPERLINK("https://www.spark-marketing.ru/Card/Person/658008", "ООО ""ПАНАМА СИТИ ГОЛД""")</f>
        <v>ООО "ПАНАМА СИТИ ГОЛД"</v>
      </c>
      <c r="K13662" s="24" t="s">
        <v>18340</v>
      </c>
      <c r="L13662" s="22" t="s">
        <v>10</v>
      </c>
      <c r="M13662" s="25">
        <v>335499.27</v>
      </c>
      <c r="N13662" s="27">
        <v>5.0000118629168781E-3</v>
      </c>
    </row>
    <row r="13663" spans="1:14" x14ac:dyDescent="0.15">
      <c r="A13663" s="23" t="str">
        <f>HYPERLINK("https://www.spark-marketing.ru/Card/Person/1759012", "ГУ МВД РОССИИ ПО Г. МОСКВЕ")</f>
        <v>ГУ МВД РОССИИ ПО Г. МОСКВЕ</v>
      </c>
      <c r="B13663" s="24" t="s">
        <v>13730</v>
      </c>
      <c r="C13663" s="25">
        <v>14783247.24</v>
      </c>
      <c r="D13663" s="22" t="s">
        <v>18341</v>
      </c>
      <c r="E13663" s="22" t="s">
        <v>48</v>
      </c>
      <c r="F13663" s="23" t="str">
        <f>HYPERLINK("https://www.spark-marketing.ru/Card/Lot/72047155", "Оказание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Москве")</f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3663" s="22" t="s">
        <v>56</v>
      </c>
      <c r="H13663" s="22" t="s">
        <v>56</v>
      </c>
      <c r="I13663" s="26">
        <v>43656.6100462963</v>
      </c>
      <c r="J13663" s="28" t="s">
        <v>51</v>
      </c>
      <c r="K13663" s="28" t="s">
        <v>51</v>
      </c>
      <c r="L13663" s="28" t="s">
        <v>51</v>
      </c>
      <c r="M13663" s="28" t="s">
        <v>51</v>
      </c>
      <c r="N13663" s="28" t="s">
        <v>51</v>
      </c>
    </row>
    <row r="13664" spans="1:14" hidden="1" outlineLevel="1" x14ac:dyDescent="0.2">
      <c r="A13664" s="23" t="str">
        <f>HYPERLINK("https://www.spark-marketing.ru/Card/Person/1759012", "ГУ МВД РОССИИ ПО Г. МОСКВЕ")</f>
        <v>ГУ МВД РОССИИ ПО Г. МОСКВЕ</v>
      </c>
      <c r="B13664" s="24" t="s">
        <v>13730</v>
      </c>
      <c r="C13664" s="25">
        <v>14783247.24</v>
      </c>
      <c r="D13664" s="22" t="s">
        <v>18341</v>
      </c>
      <c r="E13664" s="22" t="s">
        <v>48</v>
      </c>
      <c r="F13664" s="23" t="str">
        <f>HYPERLINK("https://www.spark-marketing.ru/Card/Lot/72047155", "Оказание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Москве")</f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3664" s="22" t="s">
        <v>56</v>
      </c>
      <c r="H13664" s="22" t="s">
        <v>56</v>
      </c>
      <c r="I13664" s="26">
        <v>43656.6100462963</v>
      </c>
      <c r="J13664" s="23" t="str">
        <f>HYPERLINK("https://www.spark-marketing.ru/Card/Person/6530007", "ООО ""СИРИУС СТАР""")</f>
        <v>ООО "СИРИУС СТАР"</v>
      </c>
      <c r="K13664" s="24" t="s">
        <v>11235</v>
      </c>
      <c r="L13664" s="28" t="s">
        <v>51</v>
      </c>
      <c r="M13664" s="25">
        <v>1326.56</v>
      </c>
      <c r="N13664" s="27">
        <v>0.99991026599376553</v>
      </c>
    </row>
    <row r="13665" spans="1:14" hidden="1" outlineLevel="1" x14ac:dyDescent="0.2">
      <c r="A13665" s="23" t="str">
        <f>HYPERLINK("https://www.spark-marketing.ru/Card/Person/1759012", "ГУ МВД РОССИИ ПО Г. МОСКВЕ")</f>
        <v>ГУ МВД РОССИИ ПО Г. МОСКВЕ</v>
      </c>
      <c r="B13665" s="24" t="s">
        <v>13730</v>
      </c>
      <c r="C13665" s="25">
        <v>14783247.24</v>
      </c>
      <c r="D13665" s="22" t="s">
        <v>18341</v>
      </c>
      <c r="E13665" s="22" t="s">
        <v>48</v>
      </c>
      <c r="F13665" s="23" t="str">
        <f>HYPERLINK("https://www.spark-marketing.ru/Card/Lot/72047155", "Оказание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Москве")</f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3665" s="22" t="s">
        <v>56</v>
      </c>
      <c r="H13665" s="22" t="s">
        <v>56</v>
      </c>
      <c r="I13665" s="26">
        <v>43656.6100462963</v>
      </c>
      <c r="J13665" s="23" t="str">
        <f>HYPERLINK("https://www.spark-marketing.ru/Card/Person/4684100", "ООО ""ТЕХНОЛОГИИ ВКУСА""")</f>
        <v>ООО "ТЕХНОЛОГИИ ВКУСА"</v>
      </c>
      <c r="K13665" s="24" t="s">
        <v>9609</v>
      </c>
      <c r="L13665" s="28" t="s">
        <v>51</v>
      </c>
      <c r="M13665" s="25">
        <v>711</v>
      </c>
      <c r="N13665" s="27">
        <v>0.99995190501867026</v>
      </c>
    </row>
    <row r="13666" spans="1:14" ht="12.75" hidden="1" outlineLevel="1" x14ac:dyDescent="0.2">
      <c r="A13666" s="23" t="str">
        <f>HYPERLINK("https://www.spark-marketing.ru/Card/Person/1759012", "ГУ МВД РОССИИ ПО Г. МОСКВЕ")</f>
        <v>ГУ МВД РОССИИ ПО Г. МОСКВЕ</v>
      </c>
      <c r="B13666" s="24" t="s">
        <v>13730</v>
      </c>
      <c r="C13666" s="25">
        <v>14783247.24</v>
      </c>
      <c r="D13666" s="22" t="s">
        <v>18341</v>
      </c>
      <c r="E13666" s="22" t="s">
        <v>48</v>
      </c>
      <c r="F13666" s="23" t="str">
        <f>HYPERLINK("https://www.spark-marketing.ru/Card/Lot/72047155", "Оказание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Москве")</f>
        <v>Оказание услуг по организации комплексного горячего питания лиц, содержащихся в Центре временного содержания иностранных граждан ГУ МВД России по г. Москве</v>
      </c>
      <c r="G13666" s="22" t="s">
        <v>56</v>
      </c>
      <c r="H13666" s="22" t="s">
        <v>56</v>
      </c>
      <c r="I13666" s="26">
        <v>43656.6100462963</v>
      </c>
      <c r="J13666" s="23" t="str">
        <f>HYPERLINK("https://www.spark-marketing.ru/Card/Person/6617658", "ООО ""АЛЬБА""")</f>
        <v>ООО "АЛЬБА"</v>
      </c>
      <c r="K13666" s="24" t="s">
        <v>13028</v>
      </c>
      <c r="L13666" s="22" t="s">
        <v>10</v>
      </c>
      <c r="M13666" s="25">
        <v>704.13</v>
      </c>
      <c r="N13666" s="27">
        <v>0.99995236973389079</v>
      </c>
    </row>
    <row r="13667" spans="1:14" x14ac:dyDescent="0.15">
      <c r="A13667" s="23" t="str">
        <f>HYPERLINK("https://www.spark-marketing.ru/Card/Person/244579", "МКУ ""ЦИТИТО""")</f>
        <v>МКУ "ЦИТИТО"</v>
      </c>
      <c r="B13667" s="24" t="s">
        <v>18342</v>
      </c>
      <c r="C13667" s="25">
        <v>75500</v>
      </c>
      <c r="D13667" s="22" t="s">
        <v>18343</v>
      </c>
      <c r="E13667" s="22" t="s">
        <v>355</v>
      </c>
      <c r="F13667" s="23" t="str">
        <f>HYPERLINK("https://www.spark-marketing.ru/Card/Lot/71999022", "Оказание услуг по проведению сервисного обслуживания источника бесперебойного питания Eaton Powerware 9390")</f>
        <v>Оказание услуг по проведению сервисного обслуживания источника бесперебойного питания Eaton Powerware 9390</v>
      </c>
      <c r="G13667" s="22" t="s">
        <v>263</v>
      </c>
      <c r="H13667" s="22" t="s">
        <v>13672</v>
      </c>
      <c r="I13667" s="26">
        <v>43656.623611111099</v>
      </c>
      <c r="J13667" s="23" t="str">
        <f>HYPERLINK("https://www.spark-marketing.ru/Card/Person/4957276", "ООО ""СК""МАГИСТР""")</f>
        <v>ООО "СК"МАГИСТР"</v>
      </c>
      <c r="K13667" s="24" t="s">
        <v>18344</v>
      </c>
      <c r="L13667" s="22" t="s">
        <v>10</v>
      </c>
      <c r="M13667" s="28" t="s">
        <v>51</v>
      </c>
      <c r="N13667" s="28" t="s">
        <v>51</v>
      </c>
    </row>
    <row r="13668" spans="1:14" x14ac:dyDescent="0.15">
      <c r="A13668" s="23" t="str">
        <f>HYPERLINK("https://www.spark-marketing.ru/Card/Person/63001", "ГБУЗ ""СУОЯРВСКАЯ ЦРБ""")</f>
        <v>ГБУЗ "СУОЯРВСКАЯ ЦРБ"</v>
      </c>
      <c r="B13668" s="24" t="s">
        <v>15721</v>
      </c>
      <c r="C13668" s="25">
        <v>2840974.9</v>
      </c>
      <c r="D13668" s="22" t="s">
        <v>18345</v>
      </c>
      <c r="E13668" s="22" t="s">
        <v>48</v>
      </c>
      <c r="F13668" s="23" t="str">
        <f>HYPERLINK("https://www.spark-marketing.ru/Card/Lot/72018783", "Оказание услуг по приготовлению лечебного питания для больных, находящихся на лечении в ГБУЗ «Суоярвская центральная районная больница»")</f>
        <v>Оказание услуг по приготовлению лечебного питания для больных, находящихся на лечении в ГБУЗ «Суоярвская центральная районная больница»</v>
      </c>
      <c r="G13668" s="22" t="s">
        <v>59</v>
      </c>
      <c r="H13668" s="22" t="s">
        <v>15723</v>
      </c>
      <c r="I13668" s="26">
        <v>43656.588194444397</v>
      </c>
      <c r="J13668" s="28" t="s">
        <v>51</v>
      </c>
      <c r="K13668" s="28" t="s">
        <v>51</v>
      </c>
      <c r="L13668" s="28" t="s">
        <v>51</v>
      </c>
      <c r="M13668" s="28" t="s">
        <v>51</v>
      </c>
      <c r="N13668" s="28" t="s">
        <v>51</v>
      </c>
    </row>
    <row r="13669" spans="1:14" x14ac:dyDescent="0.15">
      <c r="A13669" s="23" t="str">
        <f>HYPERLINK("https://www.spark-marketing.ru/Card/Person/1033971", "МДОУ ДЕТСКИЙ САД КОМБИНИРОВАННОГО ВИДА №3 ""РАДУГА""")</f>
        <v>МДОУ ДЕТСКИЙ САД КОМБИНИРОВАННОГО ВИДА №3 "РАДУГА"</v>
      </c>
      <c r="B13669" s="24" t="s">
        <v>18346</v>
      </c>
      <c r="C13669" s="25">
        <v>391040</v>
      </c>
      <c r="D13669" s="22" t="s">
        <v>18347</v>
      </c>
      <c r="E13669" s="22" t="s">
        <v>48</v>
      </c>
      <c r="F13669" s="23" t="str">
        <f>HYPERLINK("https://www.spark-marketing.ru/Card/Lot/72005109",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13669" s="22" t="s">
        <v>49</v>
      </c>
      <c r="H13669" s="22" t="s">
        <v>50</v>
      </c>
      <c r="I13669" s="26">
        <v>43656.576076388897</v>
      </c>
      <c r="J13669" s="28" t="s">
        <v>51</v>
      </c>
      <c r="K13669" s="28" t="s">
        <v>51</v>
      </c>
      <c r="L13669" s="28" t="s">
        <v>51</v>
      </c>
      <c r="M13669" s="28" t="s">
        <v>51</v>
      </c>
      <c r="N13669" s="28" t="s">
        <v>51</v>
      </c>
    </row>
    <row r="13670" spans="1:14" x14ac:dyDescent="0.15">
      <c r="A13670" s="23" t="str">
        <f>HYPERLINK("https://www.spark-marketing.ru/Card/Person/1323098", "МАОУ СОШ № 31")</f>
        <v>МАОУ СОШ № 31</v>
      </c>
      <c r="B13670" s="24" t="s">
        <v>18348</v>
      </c>
      <c r="C13670" s="25">
        <v>2240810</v>
      </c>
      <c r="D13670" s="22" t="s">
        <v>18349</v>
      </c>
      <c r="E13670" s="22" t="s">
        <v>362</v>
      </c>
      <c r="F13670" s="23" t="str">
        <f>HYPERLINK("https://www.spark-marketing.ru/Card/Lot/72005376", "Организация услуг по обеспечению горячим питанием")</f>
        <v>Организация услуг по обеспечению горячим питанием</v>
      </c>
      <c r="G13670" s="22" t="s">
        <v>1370</v>
      </c>
      <c r="H13670" s="22" t="s">
        <v>1370</v>
      </c>
      <c r="I13670" s="26">
        <v>43656.553865740701</v>
      </c>
      <c r="J13670" s="28" t="s">
        <v>51</v>
      </c>
      <c r="K13670" s="28" t="s">
        <v>51</v>
      </c>
      <c r="L13670" s="28" t="s">
        <v>51</v>
      </c>
      <c r="M13670" s="28" t="s">
        <v>51</v>
      </c>
      <c r="N13670" s="28" t="s">
        <v>51</v>
      </c>
    </row>
    <row r="13671" spans="1:14" x14ac:dyDescent="0.15">
      <c r="A13671" s="23" t="str">
        <f>HYPERLINK("https://www.spark-marketing.ru/Card/Person/4347002", "ОМВД РОССИИ ПО УСТЬ-КУЛОМСКОМУ РАЙОНУ")</f>
        <v>ОМВД РОССИИ ПО УСТЬ-КУЛОМСКОМУ РАЙОНУ</v>
      </c>
      <c r="B13671" s="24" t="s">
        <v>7472</v>
      </c>
      <c r="C13671" s="25">
        <v>760000</v>
      </c>
      <c r="D13671" s="22" t="s">
        <v>18350</v>
      </c>
      <c r="E13671" s="22" t="s">
        <v>48</v>
      </c>
      <c r="F13671" s="23" t="str">
        <f>HYPERLINK("https://www.spark-marketing.ru/Card/Lot/72016736", "услуги по 3-ех разовому питанию для лиц, содержащихся в ИВС")</f>
        <v>услуги по 3-ех разовому питанию для лиц, содержащихся в ИВС</v>
      </c>
      <c r="G13671" s="22" t="s">
        <v>271</v>
      </c>
      <c r="H13671" s="22" t="s">
        <v>271</v>
      </c>
      <c r="I13671" s="26">
        <v>43656.5</v>
      </c>
      <c r="J13671" s="28" t="s">
        <v>51</v>
      </c>
      <c r="K13671" s="28" t="s">
        <v>51</v>
      </c>
      <c r="L13671" s="28" t="s">
        <v>51</v>
      </c>
      <c r="M13671" s="28" t="s">
        <v>51</v>
      </c>
      <c r="N13671" s="28" t="s">
        <v>51</v>
      </c>
    </row>
    <row r="13672" spans="1:14" x14ac:dyDescent="0.15">
      <c r="A13672" s="23" t="str">
        <f>HYPERLINK("https://www.spark-marketing.ru/Card/Person/86115", "МЕЖМУНИЦИПАЛЬНЫЙ ОТДЕЛ МВД РОССИИ ""БЕРЕЗОВСКИЙ""")</f>
        <v>МЕЖМУНИЦИПАЛЬНЫЙ ОТДЕЛ МВД РОССИИ "БЕРЕЗОВСКИЙ"</v>
      </c>
      <c r="B13672" s="24" t="s">
        <v>18160</v>
      </c>
      <c r="C13672" s="25">
        <v>200000</v>
      </c>
      <c r="D13672" s="22" t="s">
        <v>18351</v>
      </c>
      <c r="E13672" s="22" t="s">
        <v>48</v>
      </c>
      <c r="F13672" s="23" t="str">
        <f>HYPERLINK("https://www.spark-marketing.ru/Card/Lot/71995993", "Оказание услуг по организации горячего питания для лиц содержащихся в комнатах административно задержанных лиц")</f>
        <v>Оказание услуг по организации горячего питания для лиц содержащихся в комнатах административно задержанных лиц</v>
      </c>
      <c r="G13672" s="22" t="s">
        <v>281</v>
      </c>
      <c r="H13672" s="22" t="s">
        <v>482</v>
      </c>
      <c r="I13672" s="26">
        <v>43656.500694444403</v>
      </c>
      <c r="J13672" s="23" t="str">
        <f>HYPERLINK("https://www.spark-marketing.ru/Card/Person/4887880", "ООО ""СИБИРЬ""")</f>
        <v>ООО "СИБИРЬ"</v>
      </c>
      <c r="K13672" s="24" t="s">
        <v>13666</v>
      </c>
      <c r="L13672" s="22" t="s">
        <v>10</v>
      </c>
      <c r="M13672" s="28" t="s">
        <v>51</v>
      </c>
      <c r="N13672" s="28" t="s">
        <v>51</v>
      </c>
    </row>
    <row r="13673" spans="1:14" x14ac:dyDescent="0.15">
      <c r="A13673" s="23" t="str">
        <f>HYPERLINK("https://www.spark-marketing.ru/Card/Person/91929", "МУ МВД РОССИИ ""СЕРПУХОВСКОЕ""")</f>
        <v>МУ МВД РОССИИ "СЕРПУХОВСКОЕ"</v>
      </c>
      <c r="B13673" s="24" t="s">
        <v>8229</v>
      </c>
      <c r="C13673" s="25">
        <v>30490</v>
      </c>
      <c r="D13673" s="22" t="s">
        <v>18352</v>
      </c>
      <c r="E13673" s="22" t="s">
        <v>48</v>
      </c>
      <c r="F13673" s="23" t="str">
        <f>HYPERLINK("https://www.spark-marketing.ru/Card/Lot/72004440", "Оказание услуг по питанию граждан, находящихся в ИВС МУ МВД России «Серпуховское».")</f>
        <v>Оказание услуг по питанию граждан, находящихся в ИВС МУ МВД России «Серпуховское».</v>
      </c>
      <c r="G13673" s="22" t="s">
        <v>49</v>
      </c>
      <c r="H13673" s="22" t="s">
        <v>8231</v>
      </c>
      <c r="I13673" s="26">
        <v>43656.520138888904</v>
      </c>
      <c r="J13673" s="28" t="s">
        <v>51</v>
      </c>
      <c r="K13673" s="28" t="s">
        <v>51</v>
      </c>
      <c r="L13673" s="28" t="s">
        <v>51</v>
      </c>
      <c r="M13673" s="28" t="s">
        <v>51</v>
      </c>
      <c r="N13673" s="28" t="s">
        <v>51</v>
      </c>
    </row>
    <row r="13674" spans="1:14" x14ac:dyDescent="0.15">
      <c r="A13674" s="23" t="str">
        <f>HYPERLINK("https://www.spark-marketing.ru/Card/Person/20486", "ФКУ ИК-5 УФСИН РОССИИ ПО АЛТАЙСКОМУ КРАЮ")</f>
        <v>ФКУ ИК-5 УФСИН РОССИИ ПО АЛТАЙСКОМУ КРАЮ</v>
      </c>
      <c r="B13674" s="24" t="s">
        <v>18353</v>
      </c>
      <c r="C13674" s="25">
        <v>700000</v>
      </c>
      <c r="D13674" s="22" t="s">
        <v>18354</v>
      </c>
      <c r="E13674" s="22" t="s">
        <v>468</v>
      </c>
      <c r="F13674" s="23" t="str">
        <f>HYPERLINK("https://www.spark-marketing.ru/Card/Lot/72016895", "Оказание услуг по перевозке продуктов питания")</f>
        <v>Оказание услуг по перевозке продуктов питания</v>
      </c>
      <c r="G13674" s="22" t="s">
        <v>63</v>
      </c>
      <c r="H13674" s="22" t="s">
        <v>1859</v>
      </c>
      <c r="I13674" s="26">
        <v>43656.516666666699</v>
      </c>
      <c r="J13674" s="28" t="s">
        <v>51</v>
      </c>
      <c r="K13674" s="28" t="s">
        <v>51</v>
      </c>
      <c r="L13674" s="28" t="s">
        <v>51</v>
      </c>
      <c r="M13674" s="28" t="s">
        <v>51</v>
      </c>
      <c r="N13674" s="28" t="s">
        <v>51</v>
      </c>
    </row>
    <row r="13675" spans="1:14" hidden="1" outlineLevel="1" x14ac:dyDescent="0.2">
      <c r="A13675" s="23" t="str">
        <f>HYPERLINK("https://www.spark-marketing.ru/Card/Person/20486", "ФКУ ИК-5 УФСИН РОССИИ ПО АЛТАЙСКОМУ КРАЮ")</f>
        <v>ФКУ ИК-5 УФСИН РОССИИ ПО АЛТАЙСКОМУ КРАЮ</v>
      </c>
      <c r="B13675" s="24" t="s">
        <v>18353</v>
      </c>
      <c r="C13675" s="25">
        <v>700000</v>
      </c>
      <c r="D13675" s="22" t="s">
        <v>18354</v>
      </c>
      <c r="E13675" s="22" t="s">
        <v>468</v>
      </c>
      <c r="F13675" s="23" t="str">
        <f>HYPERLINK("https://www.spark-marketing.ru/Card/Lot/72016895", "Оказание услуг по перевозке продуктов питания")</f>
        <v>Оказание услуг по перевозке продуктов питания</v>
      </c>
      <c r="G13675" s="22" t="s">
        <v>63</v>
      </c>
      <c r="H13675" s="22" t="s">
        <v>1859</v>
      </c>
      <c r="I13675" s="26">
        <v>43656.516666666699</v>
      </c>
      <c r="J13675" s="23" t="str">
        <f>HYPERLINK("https://www.spark-marketing.ru/Card/Person/7773", "ООО ""ПОРТОУРАЛ""")</f>
        <v>ООО "ПОРТОУРАЛ"</v>
      </c>
      <c r="K13675" s="24" t="s">
        <v>1897</v>
      </c>
      <c r="L13675" s="28" t="s">
        <v>51</v>
      </c>
      <c r="M13675" s="25">
        <v>70383.210000000006</v>
      </c>
      <c r="N13675" s="27">
        <v>0.8994525571428571</v>
      </c>
    </row>
    <row r="13676" spans="1:14" hidden="1" outlineLevel="1" x14ac:dyDescent="0.2">
      <c r="A13676" s="23" t="str">
        <f>HYPERLINK("https://www.spark-marketing.ru/Card/Person/20486", "ФКУ ИК-5 УФСИН РОССИИ ПО АЛТАЙСКОМУ КРАЮ")</f>
        <v>ФКУ ИК-5 УФСИН РОССИИ ПО АЛТАЙСКОМУ КРАЮ</v>
      </c>
      <c r="B13676" s="24" t="s">
        <v>18353</v>
      </c>
      <c r="C13676" s="25">
        <v>700000</v>
      </c>
      <c r="D13676" s="22" t="s">
        <v>18354</v>
      </c>
      <c r="E13676" s="22" t="s">
        <v>468</v>
      </c>
      <c r="F13676" s="23" t="str">
        <f>HYPERLINK("https://www.spark-marketing.ru/Card/Lot/72016895", "Оказание услуг по перевозке продуктов питания")</f>
        <v>Оказание услуг по перевозке продуктов питания</v>
      </c>
      <c r="G13676" s="22" t="s">
        <v>63</v>
      </c>
      <c r="H13676" s="22" t="s">
        <v>1859</v>
      </c>
      <c r="I13676" s="26">
        <v>43656.516666666699</v>
      </c>
      <c r="J13676" s="23" t="str">
        <f>HYPERLINK("https://www.spark-marketing.ru/Card/Person/6582735", "ООО ""ТК СИБИРЬ""")</f>
        <v>ООО "ТК СИБИРЬ"</v>
      </c>
      <c r="K13676" s="24" t="s">
        <v>18355</v>
      </c>
      <c r="L13676" s="28" t="s">
        <v>51</v>
      </c>
      <c r="M13676" s="25">
        <v>72099.89</v>
      </c>
      <c r="N13676" s="27">
        <v>0.89700015714285719</v>
      </c>
    </row>
    <row r="13677" spans="1:14" hidden="1" outlineLevel="1" x14ac:dyDescent="0.2">
      <c r="A13677" s="23" t="str">
        <f>HYPERLINK("https://www.spark-marketing.ru/Card/Person/20486", "ФКУ ИК-5 УФСИН РОССИИ ПО АЛТАЙСКОМУ КРАЮ")</f>
        <v>ФКУ ИК-5 УФСИН РОССИИ ПО АЛТАЙСКОМУ КРАЮ</v>
      </c>
      <c r="B13677" s="24" t="s">
        <v>18353</v>
      </c>
      <c r="C13677" s="25">
        <v>700000</v>
      </c>
      <c r="D13677" s="22" t="s">
        <v>18354</v>
      </c>
      <c r="E13677" s="22" t="s">
        <v>468</v>
      </c>
      <c r="F13677" s="23" t="str">
        <f>HYPERLINK("https://www.spark-marketing.ru/Card/Lot/72016895", "Оказание услуг по перевозке продуктов питания")</f>
        <v>Оказание услуг по перевозке продуктов питания</v>
      </c>
      <c r="G13677" s="22" t="s">
        <v>63</v>
      </c>
      <c r="H13677" s="22" t="s">
        <v>1859</v>
      </c>
      <c r="I13677" s="26">
        <v>43656.516666666699</v>
      </c>
      <c r="J13677" s="23" t="str">
        <f>HYPERLINK("https://www.spark-marketing.ru/Card/Person/6497994", "Власова Вера Владимировна")</f>
        <v>Власова Вера Владимировна</v>
      </c>
      <c r="K13677" s="24" t="s">
        <v>18356</v>
      </c>
      <c r="L13677" s="28" t="s">
        <v>51</v>
      </c>
      <c r="M13677" s="25">
        <v>74245.740000000005</v>
      </c>
      <c r="N13677" s="27">
        <v>0.89393465714285714</v>
      </c>
    </row>
    <row r="13678" spans="1:14" ht="12.75" hidden="1" outlineLevel="1" x14ac:dyDescent="0.2">
      <c r="A13678" s="23" t="str">
        <f>HYPERLINK("https://www.spark-marketing.ru/Card/Person/20486", "ФКУ ИК-5 УФСИН РОССИИ ПО АЛТАЙСКОМУ КРАЮ")</f>
        <v>ФКУ ИК-5 УФСИН РОССИИ ПО АЛТАЙСКОМУ КРАЮ</v>
      </c>
      <c r="B13678" s="24" t="s">
        <v>18353</v>
      </c>
      <c r="C13678" s="25">
        <v>700000</v>
      </c>
      <c r="D13678" s="22" t="s">
        <v>18354</v>
      </c>
      <c r="E13678" s="22" t="s">
        <v>468</v>
      </c>
      <c r="F13678" s="23" t="str">
        <f>HYPERLINK("https://www.spark-marketing.ru/Card/Lot/72016895", "Оказание услуг по перевозке продуктов питания")</f>
        <v>Оказание услуг по перевозке продуктов питания</v>
      </c>
      <c r="G13678" s="22" t="s">
        <v>63</v>
      </c>
      <c r="H13678" s="22" t="s">
        <v>1859</v>
      </c>
      <c r="I13678" s="26">
        <v>43656.516666666699</v>
      </c>
      <c r="J13678" s="23" t="str">
        <f>HYPERLINK("https://www.spark-marketing.ru/Card/Person/4935135", "ООО ""ИМПЕРИЯ СВ""")</f>
        <v>ООО "ИМПЕРИЯ СВ"</v>
      </c>
      <c r="K13678" s="24" t="s">
        <v>18357</v>
      </c>
      <c r="L13678" s="22" t="s">
        <v>10</v>
      </c>
      <c r="M13678" s="25">
        <v>69954.039999999994</v>
      </c>
      <c r="N13678" s="27">
        <v>0.90006565714285713</v>
      </c>
    </row>
    <row r="13679" spans="1:14" x14ac:dyDescent="0.15">
      <c r="A13679" s="23" t="str">
        <f>HYPERLINK("https://www.spark-marketing.ru/Card/Person/120977", "МАОУ СШ № 144")</f>
        <v>МАОУ СШ № 144</v>
      </c>
      <c r="B13679" s="24" t="s">
        <v>18358</v>
      </c>
      <c r="C13679" s="25">
        <v>393533</v>
      </c>
      <c r="D13679" s="22" t="s">
        <v>18359</v>
      </c>
      <c r="E13679" s="22" t="s">
        <v>580</v>
      </c>
      <c r="F13679" s="23" t="str">
        <f>HYPERLINK("https://www.spark-marketing.ru/Card/Lot/71997956", "Оказание услуг по организации горячего питания учащихся")</f>
        <v>Оказание услуг по организации горячего питания учащихся</v>
      </c>
      <c r="G13679" s="22" t="s">
        <v>281</v>
      </c>
      <c r="H13679" s="22" t="s">
        <v>281</v>
      </c>
      <c r="I13679" s="26">
        <v>43656.534699074102</v>
      </c>
      <c r="J13679" s="28" t="s">
        <v>51</v>
      </c>
      <c r="K13679" s="28" t="s">
        <v>51</v>
      </c>
      <c r="L13679" s="28" t="s">
        <v>51</v>
      </c>
      <c r="M13679" s="28" t="s">
        <v>51</v>
      </c>
      <c r="N13679" s="28" t="s">
        <v>51</v>
      </c>
    </row>
    <row r="13680" spans="1:14" x14ac:dyDescent="0.15">
      <c r="A13680" s="23" t="str">
        <f>HYPERLINK("https://www.spark-marketing.ru/Card/Person/4686", "ГУ - ХАБАРОВСКОЕ РО ФОНДА СОЦИАЛЬНОГО СТРАХОВАНИЯ РОССИЙСКОЙ ФЕДЕРАЦИИ")</f>
        <v>ГУ - ХАБАРОВСКОЕ РО ФОНДА СОЦИАЛЬНОГО СТРАХОВАНИЯ РОССИЙСКОЙ ФЕДЕРАЦИИ</v>
      </c>
      <c r="B13680" s="24" t="s">
        <v>7089</v>
      </c>
      <c r="C13680" s="25">
        <v>691724.88</v>
      </c>
      <c r="D13680" s="22" t="s">
        <v>18360</v>
      </c>
      <c r="E13680" s="22" t="s">
        <v>86</v>
      </c>
      <c r="F13680" s="23" t="str">
        <f>HYPERLINK("https://www.spark-marketing.ru/Card/Lot/71994605", "Оказание в 2019 году услуг по организации санаторно-курортного лечения детей-инвалидов и сопровождающих их лиц по Классу IV МКБ-10 «Болезни эндокринной системы, расстройства питания и нарушения обмена веществ» в организации, оказывающей санаторно-кур...")</f>
        <v>Оказание в 2019 году услуг по организации санаторно-курортного лечения детей-инвалидов и сопровождающих их лиц по Классу IV МКБ-10 «Болезни эндокринной системы, расстройства питания и нарушения обмена веществ» в организации, оказывающей санаторно-кур...</v>
      </c>
      <c r="G13680" s="22" t="s">
        <v>1096</v>
      </c>
      <c r="H13680" s="22" t="s">
        <v>1097</v>
      </c>
      <c r="I13680" s="26">
        <v>43656.509722222203</v>
      </c>
      <c r="J13680" s="23" t="str">
        <f>HYPERLINK("https://www.spark-marketing.ru/Card/Person/162675", "ООО ""САНАТОРИЙ ""ИЗУМРУДНЫЙ""")</f>
        <v>ООО "САНАТОРИЙ "ИЗУМРУДНЫЙ"</v>
      </c>
      <c r="K13680" s="24" t="s">
        <v>15945</v>
      </c>
      <c r="L13680" s="22" t="s">
        <v>10</v>
      </c>
      <c r="M13680" s="28" t="s">
        <v>51</v>
      </c>
      <c r="N13680" s="28" t="s">
        <v>51</v>
      </c>
    </row>
    <row r="13681" spans="1:14" x14ac:dyDescent="0.15">
      <c r="A13681" s="23" t="str">
        <f>HYPERLINK("https://www.spark-marketing.ru/Card/Person/3494", "ОГКУ ""УПРАВЛЕНИЕ ДЕЛАМИ УЛЬЯНОВСКОЙ ОБЛАСТИ""")</f>
        <v>ОГКУ "УПРАВЛЕНИЕ ДЕЛАМИ УЛЬЯНОВСКОЙ ОБЛАСТИ"</v>
      </c>
      <c r="B13681" s="24" t="s">
        <v>2138</v>
      </c>
      <c r="C13681" s="25">
        <v>131100</v>
      </c>
      <c r="D13681" s="22" t="s">
        <v>18361</v>
      </c>
      <c r="E13681" s="22" t="s">
        <v>96</v>
      </c>
      <c r="F13681" s="23" t="str">
        <f>HYPERLINK("https://www.spark-marketing.ru/Card/Lot/72006128", "Услуги по организации питания и обслуживания участников мероприятий")</f>
        <v>Услуги по организации питания и обслуживания участников мероприятий</v>
      </c>
      <c r="G13681" s="22" t="s">
        <v>1918</v>
      </c>
      <c r="H13681" s="22" t="s">
        <v>2140</v>
      </c>
      <c r="I13681" s="26">
        <v>43656.526388888902</v>
      </c>
      <c r="J13681" s="23" t="str">
        <f>HYPERLINK("https://www.spark-marketing.ru/Card/Person/868386", "ОГКП ""СЛУЖБА ОБЕСПЕЧЕНИЯ ОБЩЕСТВЕННОГО ПИТАНИЯ""")</f>
        <v>ОГКП "СЛУЖБА ОБЕСПЕЧЕНИЯ ОБЩЕСТВЕННОГО ПИТАНИЯ"</v>
      </c>
      <c r="K13681" s="24" t="s">
        <v>18362</v>
      </c>
      <c r="L13681" s="22" t="s">
        <v>10</v>
      </c>
      <c r="M13681" s="28" t="s">
        <v>51</v>
      </c>
      <c r="N13681" s="28" t="s">
        <v>51</v>
      </c>
    </row>
    <row r="13682" spans="1:14" x14ac:dyDescent="0.15">
      <c r="A13682" s="23" t="s">
        <v>114</v>
      </c>
      <c r="B13682" s="28" t="s">
        <v>51</v>
      </c>
      <c r="C13682" s="25">
        <v>10849140</v>
      </c>
      <c r="D13682" s="22" t="s">
        <v>18363</v>
      </c>
      <c r="E13682" s="22" t="s">
        <v>48</v>
      </c>
      <c r="F13682" s="23" t="str">
        <f t="shared" ref="F13682:F13687" si="449">HYPERLINK("https://www.spark-marketing.ru/Card/Lot/71994679", "Оказание услуг по организации питания детей для нужд Муниципальных бюджетных дошкольных образовательных учреждений городского округа Большой Камень")</f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82" s="22" t="s">
        <v>51</v>
      </c>
      <c r="H13682" s="22" t="s">
        <v>51</v>
      </c>
      <c r="I13682" s="26">
        <v>43656.518750000003</v>
      </c>
      <c r="J13682" s="28" t="s">
        <v>51</v>
      </c>
      <c r="K13682" s="28" t="s">
        <v>51</v>
      </c>
      <c r="L13682" s="28" t="s">
        <v>51</v>
      </c>
      <c r="M13682" s="28" t="s">
        <v>51</v>
      </c>
      <c r="N13682" s="28" t="s">
        <v>51</v>
      </c>
    </row>
    <row r="13683" spans="1:14" hidden="1" outlineLevel="1" x14ac:dyDescent="0.15">
      <c r="A13683" s="23" t="str">
        <f>HYPERLINK("https://www.spark-marketing.ru/Card/Person/70937", "МБДОУ № 39 ""ЖУРАВУШКА""")</f>
        <v>МБДОУ № 39 "ЖУРАВУШКА"</v>
      </c>
      <c r="B13683" s="24" t="s">
        <v>18364</v>
      </c>
      <c r="C13683" s="25">
        <v>4026888</v>
      </c>
      <c r="D13683" s="22" t="s">
        <v>18363</v>
      </c>
      <c r="E13683" s="22" t="s">
        <v>48</v>
      </c>
      <c r="F13683" s="23" t="str">
        <f t="shared" si="449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83" s="22" t="s">
        <v>543</v>
      </c>
      <c r="H13683" s="22" t="s">
        <v>11733</v>
      </c>
      <c r="I13683" s="26">
        <v>43656.518750000003</v>
      </c>
      <c r="J13683" s="28" t="s">
        <v>51</v>
      </c>
      <c r="K13683" s="28" t="s">
        <v>51</v>
      </c>
      <c r="L13683" s="28" t="s">
        <v>51</v>
      </c>
      <c r="M13683" s="28" t="s">
        <v>51</v>
      </c>
      <c r="N13683" s="28" t="s">
        <v>51</v>
      </c>
    </row>
    <row r="13684" spans="1:14" hidden="1" outlineLevel="1" x14ac:dyDescent="0.15">
      <c r="A13684" s="23" t="str">
        <f>HYPERLINK("https://www.spark-marketing.ru/Card/Person/73933", "МБДОУ № 41 МИШУТКА")</f>
        <v>МБДОУ № 41 МИШУТКА</v>
      </c>
      <c r="B13684" s="24" t="s">
        <v>18365</v>
      </c>
      <c r="C13684" s="25">
        <v>4554684</v>
      </c>
      <c r="D13684" s="22" t="s">
        <v>18363</v>
      </c>
      <c r="E13684" s="22" t="s">
        <v>48</v>
      </c>
      <c r="F13684" s="23" t="str">
        <f t="shared" si="449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84" s="22" t="s">
        <v>543</v>
      </c>
      <c r="H13684" s="22" t="s">
        <v>11733</v>
      </c>
      <c r="I13684" s="26">
        <v>43656.518750000003</v>
      </c>
      <c r="J13684" s="28" t="s">
        <v>51</v>
      </c>
      <c r="K13684" s="28" t="s">
        <v>51</v>
      </c>
      <c r="L13684" s="28" t="s">
        <v>51</v>
      </c>
      <c r="M13684" s="28" t="s">
        <v>51</v>
      </c>
      <c r="N13684" s="28" t="s">
        <v>51</v>
      </c>
    </row>
    <row r="13685" spans="1:14" hidden="1" outlineLevel="1" x14ac:dyDescent="0.15">
      <c r="A13685" s="23" t="str">
        <f>HYPERLINK("https://www.spark-marketing.ru/Card/Person/115613", "МБДОУ № 32 ""СНЕЖИНКА""")</f>
        <v>МБДОУ № 32 "СНЕЖИНКА"</v>
      </c>
      <c r="B13685" s="24" t="s">
        <v>18366</v>
      </c>
      <c r="C13685" s="25">
        <v>2267568</v>
      </c>
      <c r="D13685" s="22" t="s">
        <v>18363</v>
      </c>
      <c r="E13685" s="22" t="s">
        <v>48</v>
      </c>
      <c r="F13685" s="23" t="str">
        <f t="shared" si="449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85" s="22" t="s">
        <v>543</v>
      </c>
      <c r="H13685" s="22" t="s">
        <v>11733</v>
      </c>
      <c r="I13685" s="26">
        <v>43656.518750000003</v>
      </c>
      <c r="J13685" s="28" t="s">
        <v>51</v>
      </c>
      <c r="K13685" s="28" t="s">
        <v>51</v>
      </c>
      <c r="L13685" s="28" t="s">
        <v>51</v>
      </c>
      <c r="M13685" s="28" t="s">
        <v>51</v>
      </c>
      <c r="N13685" s="28" t="s">
        <v>51</v>
      </c>
    </row>
    <row r="13686" spans="1:14" hidden="1" outlineLevel="1" x14ac:dyDescent="0.2">
      <c r="A13686" s="28" t="s">
        <v>51</v>
      </c>
      <c r="B13686" s="28" t="s">
        <v>51</v>
      </c>
      <c r="C13686" s="28" t="s">
        <v>51</v>
      </c>
      <c r="D13686" s="22" t="s">
        <v>18363</v>
      </c>
      <c r="E13686" s="22" t="s">
        <v>48</v>
      </c>
      <c r="F13686" s="23" t="str">
        <f t="shared" si="449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86" s="22" t="s">
        <v>51</v>
      </c>
      <c r="H13686" s="22" t="s">
        <v>51</v>
      </c>
      <c r="I13686" s="26">
        <v>43656.518750000003</v>
      </c>
      <c r="J13686" s="23" t="str">
        <f>HYPERLINK("https://www.spark-marketing.ru/Card/Person/6464579", "ООО ""СОЮЗ ВОСТОК""")</f>
        <v>ООО "СОЮЗ ВОСТОК"</v>
      </c>
      <c r="K13686" s="24" t="s">
        <v>11558</v>
      </c>
      <c r="L13686" s="22" t="s">
        <v>10</v>
      </c>
      <c r="M13686" s="25">
        <v>10035454.5</v>
      </c>
      <c r="N13686" s="27">
        <v>7.4999999999999997E-2</v>
      </c>
    </row>
    <row r="13687" spans="1:14" hidden="1" outlineLevel="1" x14ac:dyDescent="0.2">
      <c r="A13687" s="28" t="s">
        <v>51</v>
      </c>
      <c r="B13687" s="28" t="s">
        <v>51</v>
      </c>
      <c r="C13687" s="28" t="s">
        <v>51</v>
      </c>
      <c r="D13687" s="22" t="s">
        <v>18363</v>
      </c>
      <c r="E13687" s="22" t="s">
        <v>48</v>
      </c>
      <c r="F13687" s="23" t="str">
        <f t="shared" si="449"/>
        <v>Оказание услуг по организации питания детей для нужд Муниципальных бюджетных дошкольных образовательных учреждений городского округа Большой Камень</v>
      </c>
      <c r="G13687" s="22" t="s">
        <v>51</v>
      </c>
      <c r="H13687" s="22" t="s">
        <v>51</v>
      </c>
      <c r="I13687" s="26">
        <v>43656.518750000003</v>
      </c>
      <c r="J13687" s="23" t="str">
        <f>HYPERLINK("https://www.spark-marketing.ru/Card/Person/4016608", "ООО ""ИЛОНА-ТРЕЙД""")</f>
        <v>ООО "ИЛОНА-ТРЕЙД"</v>
      </c>
      <c r="K13687" s="24" t="s">
        <v>12890</v>
      </c>
      <c r="L13687" s="28" t="s">
        <v>51</v>
      </c>
      <c r="M13687" s="25">
        <v>10089700.199999999</v>
      </c>
      <c r="N13687" s="27">
        <v>7.0000000000000007E-2</v>
      </c>
    </row>
    <row r="13688" spans="1:14" x14ac:dyDescent="0.15">
      <c r="A13688" s="23" t="str">
        <f>HYPERLINK("https://www.spark-marketing.ru/Card/Person/91929", "МУ МВД РОССИИ ""СЕРПУХОВСКОЕ""")</f>
        <v>МУ МВД РОССИИ "СЕРПУХОВСКОЕ"</v>
      </c>
      <c r="B13688" s="24" t="s">
        <v>8229</v>
      </c>
      <c r="C13688" s="25">
        <v>151280</v>
      </c>
      <c r="D13688" s="22" t="s">
        <v>18367</v>
      </c>
      <c r="E13688" s="22" t="s">
        <v>48</v>
      </c>
      <c r="F13688" s="23" t="str">
        <f>HYPERLINK("https://www.spark-marketing.ru/Card/Lot/72005615", "Оказание услуг по питанию граждан, находящихся в ИВС МУ МВД России «Серпуховское».")</f>
        <v>Оказание услуг по питанию граждан, находящихся в ИВС МУ МВД России «Серпуховское».</v>
      </c>
      <c r="G13688" s="22" t="s">
        <v>49</v>
      </c>
      <c r="H13688" s="22" t="s">
        <v>8231</v>
      </c>
      <c r="I13688" s="26">
        <v>43656.521527777797</v>
      </c>
      <c r="J13688" s="28" t="s">
        <v>51</v>
      </c>
      <c r="K13688" s="28" t="s">
        <v>51</v>
      </c>
      <c r="L13688" s="28" t="s">
        <v>51</v>
      </c>
      <c r="M13688" s="28" t="s">
        <v>51</v>
      </c>
      <c r="N13688" s="28" t="s">
        <v>51</v>
      </c>
    </row>
    <row r="13689" spans="1:14" x14ac:dyDescent="0.15">
      <c r="A13689" s="23" t="str">
        <f>HYPERLINK("https://www.spark-marketing.ru/Card/Person/73015", "ГУ-САРАТОВСКОЕ РО ФОНДА СОЦИАЛЬНОГО СТРАХОВАНИЯ РОССИЙСКОЙ ФЕДЕРАЦИИ")</f>
        <v>ГУ-САРАТОВСКОЕ РО ФОНДА СОЦИАЛЬНОГО СТРАХОВАНИЯ РОССИЙСКОЙ ФЕДЕРАЦИИ</v>
      </c>
      <c r="B13689" s="24" t="s">
        <v>7054</v>
      </c>
      <c r="C13689" s="25">
        <v>2695032</v>
      </c>
      <c r="D13689" s="22" t="s">
        <v>18368</v>
      </c>
      <c r="E13689" s="22" t="s">
        <v>86</v>
      </c>
      <c r="F13689" s="23" t="str">
        <f>HYPERLINK("https://www.spark-marketing.ru/Card/Lot/72018616", "Оказание услуг по санаторно-курортному лечению граждан-получателей государственной социальной помощи в виде набора социальных услуг, а также лиц, сопровождающих граждан, имеющих инвалидность 1 группы, с болезнями эндокринной системы, расстройствами п...")</f>
        <v>Оказание услуг по санаторно-курортному лечению граждан-получателей государственной социальной помощи в виде набора социальных услуг, а также лиц, сопровождающих граждан, имеющих инвалидность 1 группы, с болезнями эндокринной системы, расстройствами п...</v>
      </c>
      <c r="G13689" s="22" t="s">
        <v>104</v>
      </c>
      <c r="H13689" s="22" t="s">
        <v>3042</v>
      </c>
      <c r="I13689" s="26">
        <v>43656.505555555603</v>
      </c>
      <c r="J13689" s="23" t="str">
        <f>HYPERLINK("https://www.spark-marketing.ru/Card/Person/508429", "АО ""БАЗОВЫЙ САНАТОРИЙ ИМ.М.В.ЛОМОНОСОВА""")</f>
        <v>АО "БАЗОВЫЙ САНАТОРИЙ ИМ.М.В.ЛОМОНОСОВА"</v>
      </c>
      <c r="K13689" s="24" t="s">
        <v>18369</v>
      </c>
      <c r="L13689" s="22" t="s">
        <v>10</v>
      </c>
      <c r="M13689" s="28" t="s">
        <v>51</v>
      </c>
      <c r="N13689" s="28" t="s">
        <v>51</v>
      </c>
    </row>
    <row r="13690" spans="1:14" x14ac:dyDescent="0.15">
      <c r="A13690" s="23" t="str">
        <f>HYPERLINK("https://www.spark-marketing.ru/Card/Person/91929", "МУ МВД РОССИИ ""СЕРПУХОВСКОЕ""")</f>
        <v>МУ МВД РОССИИ "СЕРПУХОВСКОЕ"</v>
      </c>
      <c r="B13690" s="24" t="s">
        <v>8229</v>
      </c>
      <c r="C13690" s="25">
        <v>30490</v>
      </c>
      <c r="D13690" s="22" t="s">
        <v>18370</v>
      </c>
      <c r="E13690" s="22" t="s">
        <v>48</v>
      </c>
      <c r="F13690" s="23" t="str">
        <f>HYPERLINK("https://www.spark-marketing.ru/Card/Lot/72004439", "Оказание услуг по питанию граждан, находящихся в ИВС МУ МВД России «Серпуховское».")</f>
        <v>Оказание услуг по питанию граждан, находящихся в ИВС МУ МВД России «Серпуховское».</v>
      </c>
      <c r="G13690" s="22" t="s">
        <v>49</v>
      </c>
      <c r="H13690" s="22" t="s">
        <v>3240</v>
      </c>
      <c r="I13690" s="26">
        <v>43656.520138888904</v>
      </c>
      <c r="J13690" s="28" t="s">
        <v>51</v>
      </c>
      <c r="K13690" s="28" t="s">
        <v>51</v>
      </c>
      <c r="L13690" s="28" t="s">
        <v>51</v>
      </c>
      <c r="M13690" s="28" t="s">
        <v>51</v>
      </c>
      <c r="N13690" s="28" t="s">
        <v>51</v>
      </c>
    </row>
    <row r="13691" spans="1:14" x14ac:dyDescent="0.15">
      <c r="A13691" s="23" t="str">
        <f>HYPERLINK("https://www.spark-marketing.ru/Card/Person/91929", "МУ МВД РОССИИ ""СЕРПУХОВСКОЕ""")</f>
        <v>МУ МВД РОССИИ "СЕРПУХОВСКОЕ"</v>
      </c>
      <c r="B13691" s="24" t="s">
        <v>8229</v>
      </c>
      <c r="C13691" s="25">
        <v>151280</v>
      </c>
      <c r="D13691" s="22" t="s">
        <v>18371</v>
      </c>
      <c r="E13691" s="22" t="s">
        <v>48</v>
      </c>
      <c r="F13691" s="23" t="str">
        <f>HYPERLINK("https://www.spark-marketing.ru/Card/Lot/72005614", "Оказание услуг по питанию граждан, находящихся в ИВС МУ МВД России «Серпуховское».")</f>
        <v>Оказание услуг по питанию граждан, находящихся в ИВС МУ МВД России «Серпуховское».</v>
      </c>
      <c r="G13691" s="22" t="s">
        <v>49</v>
      </c>
      <c r="H13691" s="22" t="s">
        <v>8231</v>
      </c>
      <c r="I13691" s="26">
        <v>43656.520833333299</v>
      </c>
      <c r="J13691" s="28" t="s">
        <v>51</v>
      </c>
      <c r="K13691" s="28" t="s">
        <v>51</v>
      </c>
      <c r="L13691" s="28" t="s">
        <v>51</v>
      </c>
      <c r="M13691" s="28" t="s">
        <v>51</v>
      </c>
      <c r="N13691" s="28" t="s">
        <v>51</v>
      </c>
    </row>
    <row r="13692" spans="1:14" x14ac:dyDescent="0.15">
      <c r="A13692" s="23" t="str">
        <f>HYPERLINK("https://www.spark-marketing.ru/Card/Person/80371", "ГБУЗ МО ""ЗЦРБ""")</f>
        <v>ГБУЗ МО "ЗЦРБ"</v>
      </c>
      <c r="B13692" s="24" t="s">
        <v>18372</v>
      </c>
      <c r="C13692" s="25">
        <v>37299.99</v>
      </c>
      <c r="D13692" s="22" t="s">
        <v>18373</v>
      </c>
      <c r="E13692" s="22" t="s">
        <v>152</v>
      </c>
      <c r="F13692" s="23" t="str">
        <f>HYPERLINK("https://www.spark-marketing.ru/Card/Lot/72002539", "Оказание услуг по ремонту ПК (монитор, материнская плата) для нужд ГБУЗ МО ""ЗЦРБ"" в 2019 году")</f>
        <v>Оказание услуг по ремонту ПК (монитор, материнская плата) для нужд ГБУЗ МО "ЗЦРБ" в 2019 году</v>
      </c>
      <c r="G13692" s="22" t="s">
        <v>49</v>
      </c>
      <c r="H13692" s="22" t="s">
        <v>18374</v>
      </c>
      <c r="I13692" s="26">
        <v>43656.4777777778</v>
      </c>
      <c r="J13692" s="23" t="str">
        <f>HYPERLINK("https://www.spark-marketing.ru/Card/Person/6511002", "ООО ""ОЗЕРО""")</f>
        <v>ООО "ОЗЕРО"</v>
      </c>
      <c r="K13692" s="24" t="s">
        <v>18375</v>
      </c>
      <c r="L13692" s="22" t="s">
        <v>10</v>
      </c>
      <c r="M13692" s="28" t="s">
        <v>51</v>
      </c>
      <c r="N13692" s="28" t="s">
        <v>51</v>
      </c>
    </row>
    <row r="13693" spans="1:14" x14ac:dyDescent="0.15">
      <c r="A13693" s="23" t="str">
        <f>HYPERLINK("https://www.spark-marketing.ru/Card/Person/1033919", "МДОУ ДЕТСКИЙ САД №54 ""ЖАР-ПТИЦА""")</f>
        <v>МДОУ ДЕТСКИЙ САД №54 "ЖАР-ПТИЦА"</v>
      </c>
      <c r="B13693" s="24" t="s">
        <v>18376</v>
      </c>
      <c r="C13693" s="25">
        <v>354900</v>
      </c>
      <c r="D13693" s="22" t="s">
        <v>18377</v>
      </c>
      <c r="E13693" s="22" t="s">
        <v>48</v>
      </c>
      <c r="F13693" s="23" t="str">
        <f>HYPERLINK("https://www.spark-marketing.ru/Card/Lot/72001176",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13693" s="22" t="s">
        <v>49</v>
      </c>
      <c r="H13693" s="22" t="s">
        <v>50</v>
      </c>
      <c r="I13693" s="26">
        <v>43656.482233796298</v>
      </c>
      <c r="J13693" s="28" t="s">
        <v>51</v>
      </c>
      <c r="K13693" s="28" t="s">
        <v>51</v>
      </c>
      <c r="L13693" s="28" t="s">
        <v>51</v>
      </c>
      <c r="M13693" s="28" t="s">
        <v>51</v>
      </c>
      <c r="N13693" s="28" t="s">
        <v>51</v>
      </c>
    </row>
    <row r="13694" spans="1:14" x14ac:dyDescent="0.15">
      <c r="A13694" s="23" t="str">
        <f>HYPERLINK("https://www.spark-marketing.ru/Card/Person/8111", "КГБУЗ ""ДОМ РЕБЕНКА СПЕЦИАЛИЗИРОВАННЫЙ, Г. БИЙСК"" И КГБУЗ ""ДРС, Г. БИЙСК""")</f>
        <v>КГБУЗ "ДОМ РЕБЕНКА СПЕЦИАЛИЗИРОВАННЫЙ, Г. БИЙСК" И КГБУЗ "ДРС, Г. БИЙСК"</v>
      </c>
      <c r="B13694" s="24" t="s">
        <v>11413</v>
      </c>
      <c r="C13694" s="25">
        <v>10371.66</v>
      </c>
      <c r="D13694" s="22" t="s">
        <v>18378</v>
      </c>
      <c r="E13694" s="22" t="s">
        <v>18379</v>
      </c>
      <c r="F13694" s="23" t="str">
        <f>HYPERLINK("https://www.spark-marketing.ru/Card/Lot/71998766", "Товары, работы или услуги на сумму, не превышающую 400 тыс. рублей")</f>
        <v>Товары, работы или услуги на сумму, не превышающую 400 тыс. рублей</v>
      </c>
      <c r="G13694" s="22" t="s">
        <v>63</v>
      </c>
      <c r="H13694" s="22" t="s">
        <v>1294</v>
      </c>
      <c r="I13694" s="26">
        <v>43656.468055555597</v>
      </c>
      <c r="J13694" s="28" t="s">
        <v>51</v>
      </c>
      <c r="K13694" s="28" t="s">
        <v>51</v>
      </c>
      <c r="L13694" s="28" t="s">
        <v>51</v>
      </c>
      <c r="M13694" s="28" t="s">
        <v>51</v>
      </c>
      <c r="N13694" s="28" t="s">
        <v>51</v>
      </c>
    </row>
    <row r="13695" spans="1:14" x14ac:dyDescent="0.15">
      <c r="A13695" s="23" t="str">
        <f>HYPERLINK("https://www.spark-marketing.ru/Card/Person/4347002", "ОМВД РОССИИ ПО УСТЬ-КУЛОМСКОМУ РАЙОНУ")</f>
        <v>ОМВД РОССИИ ПО УСТЬ-КУЛОМСКОМУ РАЙОНУ</v>
      </c>
      <c r="B13695" s="24" t="s">
        <v>7472</v>
      </c>
      <c r="C13695" s="25">
        <v>412000</v>
      </c>
      <c r="D13695" s="22" t="s">
        <v>18380</v>
      </c>
      <c r="E13695" s="22" t="s">
        <v>48</v>
      </c>
      <c r="F13695" s="23" t="str">
        <f>HYPERLINK("https://www.spark-marketing.ru/Card/Lot/72015173", "услуги по 3-ех разовому питанию для лиц, содержащихся в ИВС")</f>
        <v>услуги по 3-ех разовому питанию для лиц, содержащихся в ИВС</v>
      </c>
      <c r="G13695" s="22" t="s">
        <v>271</v>
      </c>
      <c r="H13695" s="22" t="s">
        <v>271</v>
      </c>
      <c r="I13695" s="26">
        <v>43656.495138888902</v>
      </c>
      <c r="J13695" s="28" t="s">
        <v>51</v>
      </c>
      <c r="K13695" s="28" t="s">
        <v>51</v>
      </c>
      <c r="L13695" s="28" t="s">
        <v>51</v>
      </c>
      <c r="M13695" s="28" t="s">
        <v>51</v>
      </c>
      <c r="N13695" s="28" t="s">
        <v>51</v>
      </c>
    </row>
    <row r="13696" spans="1:14" x14ac:dyDescent="0.15">
      <c r="A13696" s="23" t="str">
        <f>HYPERLINK("https://www.spark-marketing.ru/Card/Person/80371", "ГБУЗ МО ""ЗЦРБ""")</f>
        <v>ГБУЗ МО "ЗЦРБ"</v>
      </c>
      <c r="B13696" s="24" t="s">
        <v>18372</v>
      </c>
      <c r="C13696" s="25">
        <v>88533.32</v>
      </c>
      <c r="D13696" s="22" t="s">
        <v>18381</v>
      </c>
      <c r="E13696" s="22" t="s">
        <v>91</v>
      </c>
      <c r="F13696" s="23" t="str">
        <f>HYPERLINK("https://www.spark-marketing.ru/Card/Lot/72004707", "Оказание услуг по ремонту периферийных устройств для нужд ГБУЗ МО ""ЗЦРБ"" в 2019 году")</f>
        <v>Оказание услуг по ремонту периферийных устройств для нужд ГБУЗ МО "ЗЦРБ" в 2019 году</v>
      </c>
      <c r="G13696" s="22" t="s">
        <v>49</v>
      </c>
      <c r="H13696" s="22" t="s">
        <v>18374</v>
      </c>
      <c r="I13696" s="26">
        <v>43656.469444444403</v>
      </c>
      <c r="J13696" s="28" t="s">
        <v>51</v>
      </c>
      <c r="K13696" s="28" t="s">
        <v>51</v>
      </c>
      <c r="L13696" s="28" t="s">
        <v>51</v>
      </c>
      <c r="M13696" s="28" t="s">
        <v>51</v>
      </c>
      <c r="N13696" s="28" t="s">
        <v>51</v>
      </c>
    </row>
    <row r="13697" spans="1:14" ht="12.75" hidden="1" outlineLevel="1" x14ac:dyDescent="0.2">
      <c r="A13697" s="23" t="str">
        <f>HYPERLINK("https://www.spark-marketing.ru/Card/Person/80371", "ГБУЗ МО ""ЗЦРБ""")</f>
        <v>ГБУЗ МО "ЗЦРБ"</v>
      </c>
      <c r="B13697" s="24" t="s">
        <v>18372</v>
      </c>
      <c r="C13697" s="25">
        <v>88533.32</v>
      </c>
      <c r="D13697" s="22" t="s">
        <v>18381</v>
      </c>
      <c r="E13697" s="22" t="s">
        <v>91</v>
      </c>
      <c r="F13697" s="23" t="str">
        <f>HYPERLINK("https://www.spark-marketing.ru/Card/Lot/72004707", "Оказание услуг по ремонту периферийных устройств для нужд ГБУЗ МО ""ЗЦРБ"" в 2019 году")</f>
        <v>Оказание услуг по ремонту периферийных устройств для нужд ГБУЗ МО "ЗЦРБ" в 2019 году</v>
      </c>
      <c r="G13697" s="22" t="s">
        <v>49</v>
      </c>
      <c r="H13697" s="22" t="s">
        <v>18374</v>
      </c>
      <c r="I13697" s="26">
        <v>43656.469444444403</v>
      </c>
      <c r="J13697" s="23" t="str">
        <f>HYPERLINK("https://www.spark-marketing.ru/Card/Person/6511002", "ООО ""ОЗЕРО""")</f>
        <v>ООО "ОЗЕРО"</v>
      </c>
      <c r="K13697" s="24" t="s">
        <v>18375</v>
      </c>
      <c r="L13697" s="22" t="s">
        <v>10</v>
      </c>
      <c r="M13697" s="25">
        <v>77466.570000000007</v>
      </c>
      <c r="N13697" s="27">
        <v>0.12500096009050604</v>
      </c>
    </row>
    <row r="13698" spans="1:14" hidden="1" outlineLevel="1" x14ac:dyDescent="0.2">
      <c r="A13698" s="23" t="str">
        <f>HYPERLINK("https://www.spark-marketing.ru/Card/Person/80371", "ГБУЗ МО ""ЗЦРБ""")</f>
        <v>ГБУЗ МО "ЗЦРБ"</v>
      </c>
      <c r="B13698" s="24" t="s">
        <v>18372</v>
      </c>
      <c r="C13698" s="25">
        <v>88533.32</v>
      </c>
      <c r="D13698" s="22" t="s">
        <v>18381</v>
      </c>
      <c r="E13698" s="22" t="s">
        <v>91</v>
      </c>
      <c r="F13698" s="23" t="str">
        <f>HYPERLINK("https://www.spark-marketing.ru/Card/Lot/72004707", "Оказание услуг по ремонту периферийных устройств для нужд ГБУЗ МО ""ЗЦРБ"" в 2019 году")</f>
        <v>Оказание услуг по ремонту периферийных устройств для нужд ГБУЗ МО "ЗЦРБ" в 2019 году</v>
      </c>
      <c r="G13698" s="22" t="s">
        <v>49</v>
      </c>
      <c r="H13698" s="22" t="s">
        <v>18374</v>
      </c>
      <c r="I13698" s="26">
        <v>43656.469444444403</v>
      </c>
      <c r="J13698" s="23" t="str">
        <f>HYPERLINK("https://www.spark-marketing.ru/Card/Person/701032", "ООО ""СЕРВИС""")</f>
        <v>ООО "СЕРВИС"</v>
      </c>
      <c r="K13698" s="24" t="s">
        <v>18382</v>
      </c>
      <c r="L13698" s="28" t="s">
        <v>51</v>
      </c>
      <c r="M13698" s="25">
        <v>77909.240000000005</v>
      </c>
      <c r="N13698" s="27">
        <v>0.12000092168688579</v>
      </c>
    </row>
    <row r="13699" spans="1:14" x14ac:dyDescent="0.15">
      <c r="A13699" s="23" t="str">
        <f>HYPERLINK("https://www.spark-marketing.ru/Card/Person/4343663", "МИНЗДРАВ АЛТАЙСКОГО КРАЯ")</f>
        <v>МИНЗДРАВ АЛТАЙСКОГО КРАЯ</v>
      </c>
      <c r="B13699" s="24" t="s">
        <v>9429</v>
      </c>
      <c r="C13699" s="25">
        <v>24300</v>
      </c>
      <c r="D13699" s="22" t="s">
        <v>18383</v>
      </c>
      <c r="E13699" s="22" t="s">
        <v>336</v>
      </c>
      <c r="F13699" s="23" t="str">
        <f>HYPERLINK("https://www.spark-marketing.ru/Card/Lot/71997496",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3699" s="22" t="s">
        <v>63</v>
      </c>
      <c r="H13699" s="22" t="s">
        <v>177</v>
      </c>
      <c r="I13699" s="26">
        <v>43656.4243055556</v>
      </c>
      <c r="J13699" s="28" t="s">
        <v>51</v>
      </c>
      <c r="K13699" s="28" t="s">
        <v>51</v>
      </c>
      <c r="L13699" s="28" t="s">
        <v>51</v>
      </c>
      <c r="M13699" s="28" t="s">
        <v>51</v>
      </c>
      <c r="N13699" s="28" t="s">
        <v>51</v>
      </c>
    </row>
    <row r="13700" spans="1:14" x14ac:dyDescent="0.15">
      <c r="A13700" s="23" t="str">
        <f>HYPERLINK("https://www.spark-marketing.ru/Card/Person/4346341", "МИНЗДРАВ РЕСПУБЛИКИ МОРДОВИЯ")</f>
        <v>МИНЗДРАВ РЕСПУБЛИКИ МОРДОВИЯ</v>
      </c>
      <c r="B13700" s="24" t="s">
        <v>18384</v>
      </c>
      <c r="C13700" s="25">
        <v>4289360</v>
      </c>
      <c r="D13700" s="22" t="s">
        <v>18385</v>
      </c>
      <c r="E13700" s="22" t="s">
        <v>336</v>
      </c>
      <c r="F13700" s="23" t="str">
        <f>HYPERLINK("https://www.spark-marketing.ru/Card/Lot/72019326", "закупка специализированных продуктов лечебного питания льготным категориям граждан, имеющим право на получение государственной социальной помощи в виде набора социальных услуг в соответствии с Федеральным законом от 17.07.1999г. №178-ФЗ «О государств...")</f>
        <v>закупка специализированных продуктов лечебного питания льготным категориям граждан, имеющим право на получение государственной социальной помощи в виде набора социальных услуг в соответствии с Федеральным законом от 17.07.1999г. №178-ФЗ «О государств...</v>
      </c>
      <c r="G13700" s="22" t="s">
        <v>277</v>
      </c>
      <c r="H13700" s="22" t="s">
        <v>278</v>
      </c>
      <c r="I13700" s="26">
        <v>43656.447916666701</v>
      </c>
      <c r="J13700" s="23" t="str">
        <f>HYPERLINK("https://www.spark-marketing.ru/Card/Person/5970659", "ООО ""ФАРМЛОГИСТИКА""")</f>
        <v>ООО "ФАРМЛОГИСТИКА"</v>
      </c>
      <c r="K13700" s="24" t="s">
        <v>18386</v>
      </c>
      <c r="L13700" s="22" t="s">
        <v>10</v>
      </c>
      <c r="M13700" s="28" t="s">
        <v>51</v>
      </c>
      <c r="N13700" s="28" t="s">
        <v>51</v>
      </c>
    </row>
    <row r="13701" spans="1:14" x14ac:dyDescent="0.2">
      <c r="A13701" s="23" t="s">
        <v>114</v>
      </c>
      <c r="B13701" s="28" t="s">
        <v>51</v>
      </c>
      <c r="C13701" s="25">
        <v>19124825.600000001</v>
      </c>
      <c r="D13701" s="22" t="s">
        <v>18387</v>
      </c>
      <c r="E13701" s="22" t="s">
        <v>48</v>
      </c>
      <c r="F13701" s="23" t="str">
        <f t="shared" ref="F13701:F13712" si="450">HYPERLINK("https://www.spark-marketing.ru/Card/Lot/72019623", "Оказание услуг по организации питания")</f>
        <v>Оказание услуг по организации питания</v>
      </c>
      <c r="G13701" s="22" t="s">
        <v>51</v>
      </c>
      <c r="H13701" s="22" t="s">
        <v>51</v>
      </c>
      <c r="I13701" s="26">
        <v>43656.442361111098</v>
      </c>
      <c r="J13701" s="23" t="str">
        <f t="shared" ref="J13701:J13725" si="451">HYPERLINK("https://www.spark-marketing.ru/Card/Person/4434644", "МУП ""ГОРПИЩЕТОРГ""")</f>
        <v>МУП "ГОРПИЩЕТОРГ"</v>
      </c>
      <c r="K13701" s="24" t="s">
        <v>18388</v>
      </c>
      <c r="L13701" s="28" t="s">
        <v>51</v>
      </c>
      <c r="M13701" s="25">
        <v>19124825.600000001</v>
      </c>
      <c r="N13701" s="27">
        <v>0</v>
      </c>
    </row>
    <row r="13702" spans="1:14" hidden="1" outlineLevel="1" x14ac:dyDescent="0.2">
      <c r="A13702" s="23" t="str">
        <f>HYPERLINK("https://www.spark-marketing.ru/Card/Person/4372915", "МБОУ СОШ №13 Г. СИМФЕРОПОЛЯ")</f>
        <v>МБОУ СОШ №13 Г. СИМФЕРОПОЛЯ</v>
      </c>
      <c r="B13702" s="24" t="s">
        <v>18389</v>
      </c>
      <c r="C13702" s="25">
        <v>910809.59999999998</v>
      </c>
      <c r="D13702" s="22" t="s">
        <v>18387</v>
      </c>
      <c r="E13702" s="22" t="s">
        <v>48</v>
      </c>
      <c r="F13702" s="23" t="str">
        <f t="shared" si="450"/>
        <v>Оказание услуг по организации питания</v>
      </c>
      <c r="G13702" s="22" t="s">
        <v>108</v>
      </c>
      <c r="H13702" s="22" t="s">
        <v>1355</v>
      </c>
      <c r="I13702" s="26">
        <v>43656.442361111098</v>
      </c>
      <c r="J13702" s="23" t="str">
        <f t="shared" si="451"/>
        <v>МУП "ГОРПИЩЕТОРГ"</v>
      </c>
      <c r="K13702" s="24" t="s">
        <v>18388</v>
      </c>
      <c r="L13702" s="28" t="s">
        <v>51</v>
      </c>
      <c r="M13702" s="28" t="s">
        <v>51</v>
      </c>
      <c r="N13702" s="27">
        <v>0</v>
      </c>
    </row>
    <row r="13703" spans="1:14" hidden="1" outlineLevel="1" x14ac:dyDescent="0.2">
      <c r="A13703" s="23" t="str">
        <f>HYPERLINK("https://www.spark-marketing.ru/Card/Person/4372974", "МБОУ ""СИМФЕРОПОЛЬСКАЯ АКАДЕМИЧЕСКАЯ ГИМНАЗИЯ""")</f>
        <v>МБОУ "СИМФЕРОПОЛЬСКАЯ АКАДЕМИЧЕСКАЯ ГИМНАЗИЯ"</v>
      </c>
      <c r="B13703" s="24" t="s">
        <v>18390</v>
      </c>
      <c r="C13703" s="25">
        <v>1957555.2</v>
      </c>
      <c r="D13703" s="22" t="s">
        <v>18387</v>
      </c>
      <c r="E13703" s="22" t="s">
        <v>48</v>
      </c>
      <c r="F13703" s="23" t="str">
        <f t="shared" si="450"/>
        <v>Оказание услуг по организации питания</v>
      </c>
      <c r="G13703" s="22" t="s">
        <v>108</v>
      </c>
      <c r="H13703" s="22" t="s">
        <v>1355</v>
      </c>
      <c r="I13703" s="26">
        <v>43656.442361111098</v>
      </c>
      <c r="J13703" s="23" t="str">
        <f t="shared" si="451"/>
        <v>МУП "ГОРПИЩЕТОРГ"</v>
      </c>
      <c r="K13703" s="24" t="s">
        <v>18388</v>
      </c>
      <c r="L13703" s="28" t="s">
        <v>51</v>
      </c>
      <c r="M13703" s="28" t="s">
        <v>51</v>
      </c>
      <c r="N13703" s="27">
        <v>0</v>
      </c>
    </row>
    <row r="13704" spans="1:14" hidden="1" outlineLevel="1" x14ac:dyDescent="0.2">
      <c r="A13704" s="23" t="str">
        <f>HYPERLINK("https://www.spark-marketing.ru/Card/Person/4374335", "МБОУС(К)ОШ ""НАДЕЖДА"" Г. СИМФЕРОПОЛЯ")</f>
        <v>МБОУС(К)ОШ "НАДЕЖДА" Г. СИМФЕРОПОЛЯ</v>
      </c>
      <c r="B13704" s="24" t="s">
        <v>18391</v>
      </c>
      <c r="C13704" s="25">
        <v>1265152</v>
      </c>
      <c r="D13704" s="22" t="s">
        <v>18387</v>
      </c>
      <c r="E13704" s="22" t="s">
        <v>48</v>
      </c>
      <c r="F13704" s="23" t="str">
        <f t="shared" si="450"/>
        <v>Оказание услуг по организации питания</v>
      </c>
      <c r="G13704" s="22" t="s">
        <v>108</v>
      </c>
      <c r="H13704" s="22" t="s">
        <v>1355</v>
      </c>
      <c r="I13704" s="26">
        <v>43656.442361111098</v>
      </c>
      <c r="J13704" s="23" t="str">
        <f t="shared" si="451"/>
        <v>МУП "ГОРПИЩЕТОРГ"</v>
      </c>
      <c r="K13704" s="24" t="s">
        <v>18388</v>
      </c>
      <c r="L13704" s="28" t="s">
        <v>51</v>
      </c>
      <c r="M13704" s="28" t="s">
        <v>51</v>
      </c>
      <c r="N13704" s="27">
        <v>0</v>
      </c>
    </row>
    <row r="13705" spans="1:14" hidden="1" outlineLevel="1" x14ac:dyDescent="0.2">
      <c r="A13705" s="23" t="str">
        <f>HYPERLINK("https://www.spark-marketing.ru/Card/Person/4374904", "МБОУ «ЛИЦЕЙ №1» Г. СИМФЕРОПОЛЯ")</f>
        <v>МБОУ «ЛИЦЕЙ №1» Г. СИМФЕРОПОЛЯ</v>
      </c>
      <c r="B13705" s="24" t="s">
        <v>18392</v>
      </c>
      <c r="C13705" s="25">
        <v>933862.40000000002</v>
      </c>
      <c r="D13705" s="22" t="s">
        <v>18387</v>
      </c>
      <c r="E13705" s="22" t="s">
        <v>48</v>
      </c>
      <c r="F13705" s="23" t="str">
        <f t="shared" si="450"/>
        <v>Оказание услуг по организации питания</v>
      </c>
      <c r="G13705" s="22" t="s">
        <v>108</v>
      </c>
      <c r="H13705" s="22" t="s">
        <v>1355</v>
      </c>
      <c r="I13705" s="26">
        <v>43656.442361111098</v>
      </c>
      <c r="J13705" s="23" t="str">
        <f t="shared" si="451"/>
        <v>МУП "ГОРПИЩЕТОРГ"</v>
      </c>
      <c r="K13705" s="24" t="s">
        <v>18388</v>
      </c>
      <c r="L13705" s="28" t="s">
        <v>51</v>
      </c>
      <c r="M13705" s="28" t="s">
        <v>51</v>
      </c>
      <c r="N13705" s="27">
        <v>0</v>
      </c>
    </row>
    <row r="13706" spans="1:14" hidden="1" outlineLevel="1" x14ac:dyDescent="0.2">
      <c r="A13706" s="23" t="str">
        <f>HYPERLINK("https://www.spark-marketing.ru/Card/Person/4375874", "МБОУ «СРЕДНЯЯ ОБЩЕОБРАЗОВАТЕЛЬНАЯ ШКОЛА № 42 ИМ. ЭШРЕФА ШЕМЬИ-ЗАДЕ"" Г. СИМФЕРОПОЛЯ")</f>
        <v>МБОУ «СРЕДНЯЯ ОБЩЕОБРАЗОВАТЕЛЬНАЯ ШКОЛА № 42 ИМ. ЭШРЕФА ШЕМЬИ-ЗАДЕ" Г. СИМФЕРОПОЛЯ</v>
      </c>
      <c r="B13706" s="24" t="s">
        <v>18393</v>
      </c>
      <c r="C13706" s="25">
        <v>3436454.4</v>
      </c>
      <c r="D13706" s="22" t="s">
        <v>18387</v>
      </c>
      <c r="E13706" s="22" t="s">
        <v>48</v>
      </c>
      <c r="F13706" s="23" t="str">
        <f t="shared" si="450"/>
        <v>Оказание услуг по организации питания</v>
      </c>
      <c r="G13706" s="22" t="s">
        <v>108</v>
      </c>
      <c r="H13706" s="22" t="s">
        <v>1355</v>
      </c>
      <c r="I13706" s="26">
        <v>43656.442361111098</v>
      </c>
      <c r="J13706" s="23" t="str">
        <f t="shared" si="451"/>
        <v>МУП "ГОРПИЩЕТОРГ"</v>
      </c>
      <c r="K13706" s="24" t="s">
        <v>18388</v>
      </c>
      <c r="L13706" s="28" t="s">
        <v>51</v>
      </c>
      <c r="M13706" s="28" t="s">
        <v>51</v>
      </c>
      <c r="N13706" s="27">
        <v>0</v>
      </c>
    </row>
    <row r="13707" spans="1:14" hidden="1" outlineLevel="1" x14ac:dyDescent="0.2">
      <c r="A13707" s="23" t="str">
        <f>HYPERLINK("https://www.spark-marketing.ru/Card/Person/4376354", "МБОУ «СОШ №43» Г. СИМФЕРОПОЛЯ")</f>
        <v>МБОУ «СОШ №43» Г. СИМФЕРОПОЛЯ</v>
      </c>
      <c r="B13707" s="24" t="s">
        <v>18394</v>
      </c>
      <c r="C13707" s="25">
        <v>1578137.6000000001</v>
      </c>
      <c r="D13707" s="22" t="s">
        <v>18387</v>
      </c>
      <c r="E13707" s="22" t="s">
        <v>48</v>
      </c>
      <c r="F13707" s="23" t="str">
        <f t="shared" si="450"/>
        <v>Оказание услуг по организации питания</v>
      </c>
      <c r="G13707" s="22" t="s">
        <v>108</v>
      </c>
      <c r="H13707" s="22" t="s">
        <v>1355</v>
      </c>
      <c r="I13707" s="26">
        <v>43656.442361111098</v>
      </c>
      <c r="J13707" s="23" t="str">
        <f t="shared" si="451"/>
        <v>МУП "ГОРПИЩЕТОРГ"</v>
      </c>
      <c r="K13707" s="24" t="s">
        <v>18388</v>
      </c>
      <c r="L13707" s="28" t="s">
        <v>51</v>
      </c>
      <c r="M13707" s="28" t="s">
        <v>51</v>
      </c>
      <c r="N13707" s="27">
        <v>0</v>
      </c>
    </row>
    <row r="13708" spans="1:14" hidden="1" outlineLevel="1" x14ac:dyDescent="0.2">
      <c r="A13708" s="23" t="str">
        <f>HYPERLINK("https://www.spark-marketing.ru/Card/Person/4376738", "МБОУ «СРЕДНЯЯ ОБЩЕОБРАЗОВАТЕЛЬНАЯ ШКОЛА №38» Г. СИМФЕРОПОЛЯ")</f>
        <v>МБОУ «СРЕДНЯЯ ОБЩЕОБРАЗОВАТЕЛЬНАЯ ШКОЛА №38» Г. СИМФЕРОПОЛЯ</v>
      </c>
      <c r="B13708" s="24" t="s">
        <v>18395</v>
      </c>
      <c r="C13708" s="25">
        <v>1573670.4</v>
      </c>
      <c r="D13708" s="22" t="s">
        <v>18387</v>
      </c>
      <c r="E13708" s="22" t="s">
        <v>48</v>
      </c>
      <c r="F13708" s="23" t="str">
        <f t="shared" si="450"/>
        <v>Оказание услуг по организации питания</v>
      </c>
      <c r="G13708" s="22" t="s">
        <v>108</v>
      </c>
      <c r="H13708" s="22" t="s">
        <v>1355</v>
      </c>
      <c r="I13708" s="26">
        <v>43656.442361111098</v>
      </c>
      <c r="J13708" s="23" t="str">
        <f t="shared" si="451"/>
        <v>МУП "ГОРПИЩЕТОРГ"</v>
      </c>
      <c r="K13708" s="24" t="s">
        <v>18388</v>
      </c>
      <c r="L13708" s="28" t="s">
        <v>51</v>
      </c>
      <c r="M13708" s="28" t="s">
        <v>51</v>
      </c>
      <c r="N13708" s="27">
        <v>0</v>
      </c>
    </row>
    <row r="13709" spans="1:14" hidden="1" outlineLevel="1" x14ac:dyDescent="0.2">
      <c r="A13709" s="23" t="str">
        <f>HYPERLINK("https://www.spark-marketing.ru/Card/Person/4376973", "МБОУ «СОШ № 6 ИМ. В.А. ГОРИШНЕГО» Г. СИМФЕРОПОЛЯ")</f>
        <v>МБОУ «СОШ № 6 ИМ. В.А. ГОРИШНЕГО» Г. СИМФЕРОПОЛЯ</v>
      </c>
      <c r="B13709" s="24" t="s">
        <v>18396</v>
      </c>
      <c r="C13709" s="25">
        <v>986726.40000000002</v>
      </c>
      <c r="D13709" s="22" t="s">
        <v>18387</v>
      </c>
      <c r="E13709" s="22" t="s">
        <v>48</v>
      </c>
      <c r="F13709" s="23" t="str">
        <f t="shared" si="450"/>
        <v>Оказание услуг по организации питания</v>
      </c>
      <c r="G13709" s="22" t="s">
        <v>108</v>
      </c>
      <c r="H13709" s="22" t="s">
        <v>1355</v>
      </c>
      <c r="I13709" s="26">
        <v>43656.442361111098</v>
      </c>
      <c r="J13709" s="23" t="str">
        <f t="shared" si="451"/>
        <v>МУП "ГОРПИЩЕТОРГ"</v>
      </c>
      <c r="K13709" s="24" t="s">
        <v>18388</v>
      </c>
      <c r="L13709" s="28" t="s">
        <v>51</v>
      </c>
      <c r="M13709" s="28" t="s">
        <v>51</v>
      </c>
      <c r="N13709" s="27">
        <v>0</v>
      </c>
    </row>
    <row r="13710" spans="1:14" hidden="1" outlineLevel="1" x14ac:dyDescent="0.2">
      <c r="A13710" s="23" t="str">
        <f>HYPERLINK("https://www.spark-marketing.ru/Card/Person/4377311", "МБОУ ""ОКЛ""")</f>
        <v>МБОУ "ОКЛ"</v>
      </c>
      <c r="B13710" s="24" t="s">
        <v>18397</v>
      </c>
      <c r="C13710" s="25">
        <v>2197542.4</v>
      </c>
      <c r="D13710" s="22" t="s">
        <v>18387</v>
      </c>
      <c r="E13710" s="22" t="s">
        <v>48</v>
      </c>
      <c r="F13710" s="23" t="str">
        <f t="shared" si="450"/>
        <v>Оказание услуг по организации питания</v>
      </c>
      <c r="G13710" s="22" t="s">
        <v>108</v>
      </c>
      <c r="H13710" s="22" t="s">
        <v>1355</v>
      </c>
      <c r="I13710" s="26">
        <v>43656.442361111098</v>
      </c>
      <c r="J13710" s="23" t="str">
        <f t="shared" si="451"/>
        <v>МУП "ГОРПИЩЕТОРГ"</v>
      </c>
      <c r="K13710" s="24" t="s">
        <v>18388</v>
      </c>
      <c r="L13710" s="28" t="s">
        <v>51</v>
      </c>
      <c r="M13710" s="28" t="s">
        <v>51</v>
      </c>
      <c r="N13710" s="27">
        <v>0</v>
      </c>
    </row>
    <row r="13711" spans="1:14" hidden="1" outlineLevel="1" x14ac:dyDescent="0.2">
      <c r="A13711" s="23" t="str">
        <f>HYPERLINK("https://www.spark-marketing.ru/Card/Person/4379135", "МБОУ СОШ №40 ИМ. В.А. СКУГАРЯ Г. СИМФЕРОПОЛЯ")</f>
        <v>МБОУ СОШ №40 ИМ. В.А. СКУГАРЯ Г. СИМФЕРОПОЛЯ</v>
      </c>
      <c r="B13711" s="24" t="s">
        <v>18398</v>
      </c>
      <c r="C13711" s="25">
        <v>1313907.2</v>
      </c>
      <c r="D13711" s="22" t="s">
        <v>18387</v>
      </c>
      <c r="E13711" s="22" t="s">
        <v>48</v>
      </c>
      <c r="F13711" s="23" t="str">
        <f t="shared" si="450"/>
        <v>Оказание услуг по организации питания</v>
      </c>
      <c r="G13711" s="22" t="s">
        <v>108</v>
      </c>
      <c r="H13711" s="22" t="s">
        <v>1355</v>
      </c>
      <c r="I13711" s="26">
        <v>43656.442361111098</v>
      </c>
      <c r="J13711" s="23" t="str">
        <f t="shared" si="451"/>
        <v>МУП "ГОРПИЩЕТОРГ"</v>
      </c>
      <c r="K13711" s="24" t="s">
        <v>18388</v>
      </c>
      <c r="L13711" s="28" t="s">
        <v>51</v>
      </c>
      <c r="M13711" s="28" t="s">
        <v>51</v>
      </c>
      <c r="N13711" s="27">
        <v>0</v>
      </c>
    </row>
    <row r="13712" spans="1:14" hidden="1" outlineLevel="1" x14ac:dyDescent="0.2">
      <c r="A13712" s="23" t="str">
        <f>HYPERLINK("https://www.spark-marketing.ru/Card/Person/5895832", "МБОУ «СОШ № 44» Г. СИМФЕРОПОЛЯ")</f>
        <v>МБОУ «СОШ № 44» Г. СИМФЕРОПОЛЯ</v>
      </c>
      <c r="B13712" s="24" t="s">
        <v>18399</v>
      </c>
      <c r="C13712" s="25">
        <v>2971008</v>
      </c>
      <c r="D13712" s="22" t="s">
        <v>18387</v>
      </c>
      <c r="E13712" s="22" t="s">
        <v>48</v>
      </c>
      <c r="F13712" s="23" t="str">
        <f t="shared" si="450"/>
        <v>Оказание услуг по организации питания</v>
      </c>
      <c r="G13712" s="22" t="s">
        <v>108</v>
      </c>
      <c r="H13712" s="22" t="s">
        <v>1355</v>
      </c>
      <c r="I13712" s="26">
        <v>43656.442361111098</v>
      </c>
      <c r="J13712" s="23" t="str">
        <f t="shared" si="451"/>
        <v>МУП "ГОРПИЩЕТОРГ"</v>
      </c>
      <c r="K13712" s="24" t="s">
        <v>18388</v>
      </c>
      <c r="L13712" s="28" t="s">
        <v>51</v>
      </c>
      <c r="M13712" s="28" t="s">
        <v>51</v>
      </c>
      <c r="N13712" s="27">
        <v>0</v>
      </c>
    </row>
    <row r="13713" spans="1:14" x14ac:dyDescent="0.2">
      <c r="A13713" s="23" t="s">
        <v>114</v>
      </c>
      <c r="B13713" s="28" t="s">
        <v>51</v>
      </c>
      <c r="C13713" s="25">
        <v>18791321.600000001</v>
      </c>
      <c r="D13713" s="22" t="s">
        <v>18400</v>
      </c>
      <c r="E13713" s="22" t="s">
        <v>48</v>
      </c>
      <c r="F13713" s="23" t="str">
        <f t="shared" ref="F13713:F13725" si="452">HYPERLINK("https://www.spark-marketing.ru/Card/Lot/72019601", "Оказание услуг по организации питания")</f>
        <v>Оказание услуг по организации питания</v>
      </c>
      <c r="G13713" s="22" t="s">
        <v>51</v>
      </c>
      <c r="H13713" s="22" t="s">
        <v>51</v>
      </c>
      <c r="I13713" s="26">
        <v>43656.441666666702</v>
      </c>
      <c r="J13713" s="23" t="str">
        <f t="shared" si="451"/>
        <v>МУП "ГОРПИЩЕТОРГ"</v>
      </c>
      <c r="K13713" s="24" t="s">
        <v>18388</v>
      </c>
      <c r="L13713" s="28" t="s">
        <v>51</v>
      </c>
      <c r="M13713" s="25">
        <v>18791321.600000001</v>
      </c>
      <c r="N13713" s="27">
        <v>0</v>
      </c>
    </row>
    <row r="13714" spans="1:14" hidden="1" outlineLevel="1" x14ac:dyDescent="0.2">
      <c r="A13714" s="23" t="str">
        <f>HYPERLINK("https://www.spark-marketing.ru/Card/Person/4373018", "МБОУ ""СОШ № 30 ИМ. А.А. АМАТУНИ"" Г. СИМФЕРОПОЛЬ")</f>
        <v>МБОУ "СОШ № 30 ИМ. А.А. АМАТУНИ" Г. СИМФЕРОПОЛЬ</v>
      </c>
      <c r="B13714" s="24" t="s">
        <v>18401</v>
      </c>
      <c r="C13714" s="25">
        <v>1869760</v>
      </c>
      <c r="D13714" s="22" t="s">
        <v>18400</v>
      </c>
      <c r="E13714" s="22" t="s">
        <v>48</v>
      </c>
      <c r="F13714" s="23" t="str">
        <f t="shared" si="452"/>
        <v>Оказание услуг по организации питания</v>
      </c>
      <c r="G13714" s="22" t="s">
        <v>108</v>
      </c>
      <c r="H13714" s="22" t="s">
        <v>1355</v>
      </c>
      <c r="I13714" s="26">
        <v>43656.441666666702</v>
      </c>
      <c r="J13714" s="23" t="str">
        <f t="shared" si="451"/>
        <v>МУП "ГОРПИЩЕТОРГ"</v>
      </c>
      <c r="K13714" s="24" t="s">
        <v>18388</v>
      </c>
      <c r="L13714" s="28" t="s">
        <v>51</v>
      </c>
      <c r="M13714" s="28" t="s">
        <v>51</v>
      </c>
      <c r="N13714" s="27">
        <v>0</v>
      </c>
    </row>
    <row r="13715" spans="1:14" hidden="1" outlineLevel="1" x14ac:dyDescent="0.2">
      <c r="A13715" s="23" t="str">
        <f>HYPERLINK("https://www.spark-marketing.ru/Card/Person/4374263", "МБОУ «СОШ №26 ИМ. М.Т. КАЛАШНИКОВА» Г. СИМФЕРОПОЛЯ")</f>
        <v>МБОУ «СОШ №26 ИМ. М.Т. КАЛАШНИКОВА» Г. СИМФЕРОПОЛЯ</v>
      </c>
      <c r="B13715" s="24" t="s">
        <v>18402</v>
      </c>
      <c r="C13715" s="25">
        <v>755238.40000000002</v>
      </c>
      <c r="D13715" s="22" t="s">
        <v>18400</v>
      </c>
      <c r="E13715" s="22" t="s">
        <v>48</v>
      </c>
      <c r="F13715" s="23" t="str">
        <f t="shared" si="452"/>
        <v>Оказание услуг по организации питания</v>
      </c>
      <c r="G13715" s="22" t="s">
        <v>108</v>
      </c>
      <c r="H13715" s="22" t="s">
        <v>1355</v>
      </c>
      <c r="I13715" s="26">
        <v>43656.441666666702</v>
      </c>
      <c r="J13715" s="23" t="str">
        <f t="shared" si="451"/>
        <v>МУП "ГОРПИЩЕТОРГ"</v>
      </c>
      <c r="K13715" s="24" t="s">
        <v>18388</v>
      </c>
      <c r="L13715" s="28" t="s">
        <v>51</v>
      </c>
      <c r="M13715" s="28" t="s">
        <v>51</v>
      </c>
      <c r="N13715" s="27">
        <v>0</v>
      </c>
    </row>
    <row r="13716" spans="1:14" hidden="1" outlineLevel="1" x14ac:dyDescent="0.2">
      <c r="A13716" s="23" t="str">
        <f>HYPERLINK("https://www.spark-marketing.ru/Card/Person/4374549", "МБОУ ""ШКОЛА-ГИМНАЗИЯ, ДЕТСКИЙ САД № 25"" Г. СИМФЕРОПОЛЯ")</f>
        <v>МБОУ "ШКОЛА-ГИМНАЗИЯ, ДЕТСКИЙ САД № 25" Г. СИМФЕРОПОЛЯ</v>
      </c>
      <c r="B13716" s="24" t="s">
        <v>18403</v>
      </c>
      <c r="C13716" s="25">
        <v>3301913.6</v>
      </c>
      <c r="D13716" s="22" t="s">
        <v>18400</v>
      </c>
      <c r="E13716" s="22" t="s">
        <v>48</v>
      </c>
      <c r="F13716" s="23" t="str">
        <f t="shared" si="452"/>
        <v>Оказание услуг по организации питания</v>
      </c>
      <c r="G13716" s="22" t="s">
        <v>108</v>
      </c>
      <c r="H13716" s="22" t="s">
        <v>1355</v>
      </c>
      <c r="I13716" s="26">
        <v>43656.441666666702</v>
      </c>
      <c r="J13716" s="23" t="str">
        <f t="shared" si="451"/>
        <v>МУП "ГОРПИЩЕТОРГ"</v>
      </c>
      <c r="K13716" s="24" t="s">
        <v>18388</v>
      </c>
      <c r="L13716" s="28" t="s">
        <v>51</v>
      </c>
      <c r="M13716" s="28" t="s">
        <v>51</v>
      </c>
      <c r="N13716" s="27">
        <v>0</v>
      </c>
    </row>
    <row r="13717" spans="1:14" hidden="1" outlineLevel="1" x14ac:dyDescent="0.2">
      <c r="A13717" s="23" t="str">
        <f>HYPERLINK("https://www.spark-marketing.ru/Card/Person/4374607", "МБОУ «СОШ № 29 ИМ. Г.К. ЖУКОВА» Г.СИМФЕРОПОЛЯ")</f>
        <v>МБОУ «СОШ № 29 ИМ. Г.К. ЖУКОВА» Г.СИМФЕРОПОЛЯ</v>
      </c>
      <c r="B13717" s="24" t="s">
        <v>18404</v>
      </c>
      <c r="C13717" s="25">
        <v>2561382.3999999999</v>
      </c>
      <c r="D13717" s="22" t="s">
        <v>18400</v>
      </c>
      <c r="E13717" s="22" t="s">
        <v>48</v>
      </c>
      <c r="F13717" s="23" t="str">
        <f t="shared" si="452"/>
        <v>Оказание услуг по организации питания</v>
      </c>
      <c r="G13717" s="22" t="s">
        <v>108</v>
      </c>
      <c r="H13717" s="22" t="s">
        <v>1355</v>
      </c>
      <c r="I13717" s="26">
        <v>43656.441666666702</v>
      </c>
      <c r="J13717" s="23" t="str">
        <f t="shared" si="451"/>
        <v>МУП "ГОРПИЩЕТОРГ"</v>
      </c>
      <c r="K13717" s="24" t="s">
        <v>18388</v>
      </c>
      <c r="L13717" s="28" t="s">
        <v>51</v>
      </c>
      <c r="M13717" s="28" t="s">
        <v>51</v>
      </c>
      <c r="N13717" s="27">
        <v>0</v>
      </c>
    </row>
    <row r="13718" spans="1:14" hidden="1" outlineLevel="1" x14ac:dyDescent="0.2">
      <c r="A13718" s="23" t="str">
        <f>HYPERLINK("https://www.spark-marketing.ru/Card/Person/4375344", "МБОУ ""СОШ №31"" Г. СИМФЕРОПОЛЯ")</f>
        <v>МБОУ "СОШ №31" Г. СИМФЕРОПОЛЯ</v>
      </c>
      <c r="B13718" s="24" t="s">
        <v>18405</v>
      </c>
      <c r="C13718" s="25">
        <v>1312332.8</v>
      </c>
      <c r="D13718" s="22" t="s">
        <v>18400</v>
      </c>
      <c r="E13718" s="22" t="s">
        <v>48</v>
      </c>
      <c r="F13718" s="23" t="str">
        <f t="shared" si="452"/>
        <v>Оказание услуг по организации питания</v>
      </c>
      <c r="G13718" s="22" t="s">
        <v>108</v>
      </c>
      <c r="H13718" s="22" t="s">
        <v>1355</v>
      </c>
      <c r="I13718" s="26">
        <v>43656.441666666702</v>
      </c>
      <c r="J13718" s="23" t="str">
        <f t="shared" si="451"/>
        <v>МУП "ГОРПИЩЕТОРГ"</v>
      </c>
      <c r="K13718" s="24" t="s">
        <v>18388</v>
      </c>
      <c r="L13718" s="28" t="s">
        <v>51</v>
      </c>
      <c r="M13718" s="28" t="s">
        <v>51</v>
      </c>
      <c r="N13718" s="27">
        <v>0</v>
      </c>
    </row>
    <row r="13719" spans="1:14" hidden="1" outlineLevel="1" x14ac:dyDescent="0.2">
      <c r="A13719" s="23" t="str">
        <f>HYPERLINK("https://www.spark-marketing.ru/Card/Person/4376712", "МБОУ «СОШ-ДЕТСКИЙ САД» №36 Г.СИМФЕРОПОЛЯ")</f>
        <v>МБОУ «СОШ-ДЕТСКИЙ САД» №36 Г.СИМФЕРОПОЛЯ</v>
      </c>
      <c r="B13719" s="24" t="s">
        <v>18406</v>
      </c>
      <c r="C13719" s="25">
        <v>1379891.2</v>
      </c>
      <c r="D13719" s="22" t="s">
        <v>18400</v>
      </c>
      <c r="E13719" s="22" t="s">
        <v>48</v>
      </c>
      <c r="F13719" s="23" t="str">
        <f t="shared" si="452"/>
        <v>Оказание услуг по организации питания</v>
      </c>
      <c r="G13719" s="22" t="s">
        <v>108</v>
      </c>
      <c r="H13719" s="22" t="s">
        <v>1355</v>
      </c>
      <c r="I13719" s="26">
        <v>43656.441666666702</v>
      </c>
      <c r="J13719" s="23" t="str">
        <f t="shared" si="451"/>
        <v>МУП "ГОРПИЩЕТОРГ"</v>
      </c>
      <c r="K13719" s="24" t="s">
        <v>18388</v>
      </c>
      <c r="L13719" s="28" t="s">
        <v>51</v>
      </c>
      <c r="M13719" s="28" t="s">
        <v>51</v>
      </c>
      <c r="N13719" s="27">
        <v>0</v>
      </c>
    </row>
    <row r="13720" spans="1:14" hidden="1" outlineLevel="1" x14ac:dyDescent="0.2">
      <c r="A13720" s="23" t="str">
        <f>HYPERLINK("https://www.spark-marketing.ru/Card/Person/4377164", "МБОУ ""С (К) ОШ ""ЗЛАГОДА"" Г.СИМФЕРОПОЛЯ")</f>
        <v>МБОУ "С (К) ОШ "ЗЛАГОДА" Г.СИМФЕРОПОЛЯ</v>
      </c>
      <c r="B13720" s="24" t="s">
        <v>18407</v>
      </c>
      <c r="C13720" s="25">
        <v>997849.59999999998</v>
      </c>
      <c r="D13720" s="22" t="s">
        <v>18400</v>
      </c>
      <c r="E13720" s="22" t="s">
        <v>48</v>
      </c>
      <c r="F13720" s="23" t="str">
        <f t="shared" si="452"/>
        <v>Оказание услуг по организации питания</v>
      </c>
      <c r="G13720" s="22" t="s">
        <v>108</v>
      </c>
      <c r="H13720" s="22" t="s">
        <v>1355</v>
      </c>
      <c r="I13720" s="26">
        <v>43656.441666666702</v>
      </c>
      <c r="J13720" s="23" t="str">
        <f t="shared" si="451"/>
        <v>МУП "ГОРПИЩЕТОРГ"</v>
      </c>
      <c r="K13720" s="24" t="s">
        <v>18388</v>
      </c>
      <c r="L13720" s="28" t="s">
        <v>51</v>
      </c>
      <c r="M13720" s="28" t="s">
        <v>51</v>
      </c>
      <c r="N13720" s="27">
        <v>0</v>
      </c>
    </row>
    <row r="13721" spans="1:14" hidden="1" outlineLevel="1" x14ac:dyDescent="0.2">
      <c r="A13721" s="23" t="str">
        <f>HYPERLINK("https://www.spark-marketing.ru/Card/Person/4378418", "МБОУ «СОШ №27 ИМ. В.Ф. МАРГЕЛОВА» Г. СИМФЕРОПОЛЯ")</f>
        <v>МБОУ «СОШ №27 ИМ. В.Ф. МАРГЕЛОВА» Г. СИМФЕРОПОЛЯ</v>
      </c>
      <c r="B13721" s="24" t="s">
        <v>18408</v>
      </c>
      <c r="C13721" s="25">
        <v>794700.80000000005</v>
      </c>
      <c r="D13721" s="22" t="s">
        <v>18400</v>
      </c>
      <c r="E13721" s="22" t="s">
        <v>48</v>
      </c>
      <c r="F13721" s="23" t="str">
        <f t="shared" si="452"/>
        <v>Оказание услуг по организации питания</v>
      </c>
      <c r="G13721" s="22" t="s">
        <v>108</v>
      </c>
      <c r="H13721" s="22" t="s">
        <v>1355</v>
      </c>
      <c r="I13721" s="26">
        <v>43656.441666666702</v>
      </c>
      <c r="J13721" s="23" t="str">
        <f t="shared" si="451"/>
        <v>МУП "ГОРПИЩЕТОРГ"</v>
      </c>
      <c r="K13721" s="24" t="s">
        <v>18388</v>
      </c>
      <c r="L13721" s="28" t="s">
        <v>51</v>
      </c>
      <c r="M13721" s="28" t="s">
        <v>51</v>
      </c>
      <c r="N13721" s="27">
        <v>0</v>
      </c>
    </row>
    <row r="13722" spans="1:14" hidden="1" outlineLevel="1" x14ac:dyDescent="0.2">
      <c r="A13722" s="23" t="str">
        <f>HYPERLINK("https://www.spark-marketing.ru/Card/Person/4378864", "МБОУ СОШ №35 Г. СИМФЕРОПОЛЯ")</f>
        <v>МБОУ СОШ №35 Г. СИМФЕРОПОЛЯ</v>
      </c>
      <c r="B13722" s="24" t="s">
        <v>18409</v>
      </c>
      <c r="C13722" s="25">
        <v>584051.19999999995</v>
      </c>
      <c r="D13722" s="22" t="s">
        <v>18400</v>
      </c>
      <c r="E13722" s="22" t="s">
        <v>48</v>
      </c>
      <c r="F13722" s="23" t="str">
        <f t="shared" si="452"/>
        <v>Оказание услуг по организации питания</v>
      </c>
      <c r="G13722" s="22" t="s">
        <v>108</v>
      </c>
      <c r="H13722" s="22" t="s">
        <v>1355</v>
      </c>
      <c r="I13722" s="26">
        <v>43656.441666666702</v>
      </c>
      <c r="J13722" s="23" t="str">
        <f t="shared" si="451"/>
        <v>МУП "ГОРПИЩЕТОРГ"</v>
      </c>
      <c r="K13722" s="24" t="s">
        <v>18388</v>
      </c>
      <c r="L13722" s="28" t="s">
        <v>51</v>
      </c>
      <c r="M13722" s="28" t="s">
        <v>51</v>
      </c>
      <c r="N13722" s="27">
        <v>0</v>
      </c>
    </row>
    <row r="13723" spans="1:14" hidden="1" outlineLevel="1" x14ac:dyDescent="0.2">
      <c r="A13723" s="23" t="str">
        <f>HYPERLINK("https://www.spark-marketing.ru/Card/Person/4378878", "МБОУ ""ШКОЛА-ГИМНАЗИЯ №39"" Г. СИМФЕРОПОЛЯ")</f>
        <v>МБОУ "ШКОЛА-ГИМНАЗИЯ №39" Г. СИМФЕРОПОЛЯ</v>
      </c>
      <c r="B13723" s="24" t="s">
        <v>18410</v>
      </c>
      <c r="C13723" s="25">
        <v>1336281.6000000001</v>
      </c>
      <c r="D13723" s="22" t="s">
        <v>18400</v>
      </c>
      <c r="E13723" s="22" t="s">
        <v>48</v>
      </c>
      <c r="F13723" s="23" t="str">
        <f t="shared" si="452"/>
        <v>Оказание услуг по организации питания</v>
      </c>
      <c r="G13723" s="22" t="s">
        <v>108</v>
      </c>
      <c r="H13723" s="22" t="s">
        <v>1355</v>
      </c>
      <c r="I13723" s="26">
        <v>43656.441666666702</v>
      </c>
      <c r="J13723" s="23" t="str">
        <f t="shared" si="451"/>
        <v>МУП "ГОРПИЩЕТОРГ"</v>
      </c>
      <c r="K13723" s="24" t="s">
        <v>18388</v>
      </c>
      <c r="L13723" s="28" t="s">
        <v>51</v>
      </c>
      <c r="M13723" s="28" t="s">
        <v>51</v>
      </c>
      <c r="N13723" s="27">
        <v>0</v>
      </c>
    </row>
    <row r="13724" spans="1:14" hidden="1" outlineLevel="1" x14ac:dyDescent="0.2">
      <c r="A13724" s="23" t="str">
        <f>HYPERLINK("https://www.spark-marketing.ru/Card/Person/4379274", "МБОУ ""СОШ №34"" Г.СИМФЕРОПОЛЯ")</f>
        <v>МБОУ "СОШ №34" Г.СИМФЕРОПОЛЯ</v>
      </c>
      <c r="B13724" s="24" t="s">
        <v>18411</v>
      </c>
      <c r="C13724" s="25">
        <v>2032678.4</v>
      </c>
      <c r="D13724" s="22" t="s">
        <v>18400</v>
      </c>
      <c r="E13724" s="22" t="s">
        <v>48</v>
      </c>
      <c r="F13724" s="23" t="str">
        <f t="shared" si="452"/>
        <v>Оказание услуг по организации питания</v>
      </c>
      <c r="G13724" s="22" t="s">
        <v>108</v>
      </c>
      <c r="H13724" s="22" t="s">
        <v>1355</v>
      </c>
      <c r="I13724" s="26">
        <v>43656.441666666702</v>
      </c>
      <c r="J13724" s="23" t="str">
        <f t="shared" si="451"/>
        <v>МУП "ГОРПИЩЕТОРГ"</v>
      </c>
      <c r="K13724" s="24" t="s">
        <v>18388</v>
      </c>
      <c r="L13724" s="28" t="s">
        <v>51</v>
      </c>
      <c r="M13724" s="28" t="s">
        <v>51</v>
      </c>
      <c r="N13724" s="27">
        <v>0</v>
      </c>
    </row>
    <row r="13725" spans="1:14" hidden="1" outlineLevel="1" x14ac:dyDescent="0.2">
      <c r="A13725" s="23" t="str">
        <f>HYPERLINK("https://www.spark-marketing.ru/Card/Person/4379279", "МБОУ СОШ №28 Г. СИМФЕРОПОЛЯ")</f>
        <v>МБОУ СОШ №28 Г. СИМФЕРОПОЛЯ</v>
      </c>
      <c r="B13725" s="24" t="s">
        <v>18412</v>
      </c>
      <c r="C13725" s="25">
        <v>1865241.6000000001</v>
      </c>
      <c r="D13725" s="22" t="s">
        <v>18400</v>
      </c>
      <c r="E13725" s="22" t="s">
        <v>48</v>
      </c>
      <c r="F13725" s="23" t="str">
        <f t="shared" si="452"/>
        <v>Оказание услуг по организации питания</v>
      </c>
      <c r="G13725" s="22" t="s">
        <v>108</v>
      </c>
      <c r="H13725" s="22" t="s">
        <v>1355</v>
      </c>
      <c r="I13725" s="26">
        <v>43656.441666666702</v>
      </c>
      <c r="J13725" s="23" t="str">
        <f t="shared" si="451"/>
        <v>МУП "ГОРПИЩЕТОРГ"</v>
      </c>
      <c r="K13725" s="24" t="s">
        <v>18388</v>
      </c>
      <c r="L13725" s="28" t="s">
        <v>51</v>
      </c>
      <c r="M13725" s="28" t="s">
        <v>51</v>
      </c>
      <c r="N13725" s="27">
        <v>0</v>
      </c>
    </row>
    <row r="13726" spans="1:14" x14ac:dyDescent="0.15">
      <c r="A13726" s="23" t="str">
        <f>HYPERLINK("https://www.spark-marketing.ru/Card/Person/4346341", "МИНЗДРАВ РЕСПУБЛИКИ МОРДОВИЯ")</f>
        <v>МИНЗДРАВ РЕСПУБЛИКИ МОРДОВИЯ</v>
      </c>
      <c r="B13726" s="24" t="s">
        <v>18384</v>
      </c>
      <c r="C13726" s="25">
        <v>3507260</v>
      </c>
      <c r="D13726" s="22" t="s">
        <v>18413</v>
      </c>
      <c r="E13726" s="22" t="s">
        <v>336</v>
      </c>
      <c r="F13726" s="23" t="str">
        <f>HYPERLINK("https://www.spark-marketing.ru/Card/Lot/72018871", "закупка специализированных продуктов лечебного питания, для обеспечения граждан, имеющих право на получение государственной социальной помощи в виде набора социальных услуг в соответствии с Федеральным законом от 17 июля 1999 г. №178-ФЗ «О государств...")</f>
        <v>закупка специализированных продуктов лечебного питания, для обеспечения граждан, имеющих право на получение государственной социальной помощи в виде набора социальных услуг в соответствии с Федеральным законом от 17 июля 1999 г. №178-ФЗ «О государств...</v>
      </c>
      <c r="G13726" s="22" t="s">
        <v>277</v>
      </c>
      <c r="H13726" s="22" t="s">
        <v>278</v>
      </c>
      <c r="I13726" s="26">
        <v>43656.451388888898</v>
      </c>
      <c r="J13726" s="23" t="str">
        <f>HYPERLINK("https://www.spark-marketing.ru/Card/Person/5970659", "ООО ""ФАРМЛОГИСТИКА""")</f>
        <v>ООО "ФАРМЛОГИСТИКА"</v>
      </c>
      <c r="K13726" s="24" t="s">
        <v>18386</v>
      </c>
      <c r="L13726" s="22" t="s">
        <v>10</v>
      </c>
      <c r="M13726" s="28" t="s">
        <v>51</v>
      </c>
      <c r="N13726" s="28" t="s">
        <v>51</v>
      </c>
    </row>
    <row r="13727" spans="1:14" x14ac:dyDescent="0.2">
      <c r="A13727" s="23" t="s">
        <v>114</v>
      </c>
      <c r="B13727" s="28" t="s">
        <v>51</v>
      </c>
      <c r="C13727" s="25">
        <v>18365004.800000001</v>
      </c>
      <c r="D13727" s="22" t="s">
        <v>18414</v>
      </c>
      <c r="E13727" s="22" t="s">
        <v>48</v>
      </c>
      <c r="F13727" s="23" t="str">
        <f t="shared" ref="F13727:F13736" si="453">HYPERLINK("https://www.spark-marketing.ru/Card/Lot/72019600", "Оказание услуг по организации питания")</f>
        <v>Оказание услуг по организации питания</v>
      </c>
      <c r="G13727" s="22" t="s">
        <v>51</v>
      </c>
      <c r="H13727" s="22" t="s">
        <v>51</v>
      </c>
      <c r="I13727" s="26">
        <v>43656.441666666702</v>
      </c>
      <c r="J13727" s="23" t="str">
        <f t="shared" ref="J13727:J13748" si="454">HYPERLINK("https://www.spark-marketing.ru/Card/Person/4434644", "МУП ""ГОРПИЩЕТОРГ""")</f>
        <v>МУП "ГОРПИЩЕТОРГ"</v>
      </c>
      <c r="K13727" s="24" t="s">
        <v>18388</v>
      </c>
      <c r="L13727" s="28" t="s">
        <v>51</v>
      </c>
      <c r="M13727" s="25">
        <v>18365004.800000001</v>
      </c>
      <c r="N13727" s="27">
        <v>0</v>
      </c>
    </row>
    <row r="13728" spans="1:14" hidden="1" outlineLevel="1" x14ac:dyDescent="0.2">
      <c r="A13728" s="23" t="str">
        <f>HYPERLINK("https://www.spark-marketing.ru/Card/Person/4373812", "МБОУ ""ГИМНАЗИЯ №1 ИМ. И.В. КУРЧАТОВА"" Г. СИМФЕРОПОЛЯ")</f>
        <v>МБОУ "ГИМНАЗИЯ №1 ИМ. И.В. КУРЧАТОВА" Г. СИМФЕРОПОЛЯ</v>
      </c>
      <c r="B13728" s="24" t="s">
        <v>18415</v>
      </c>
      <c r="C13728" s="25">
        <v>2132249.6000000001</v>
      </c>
      <c r="D13728" s="22" t="s">
        <v>18414</v>
      </c>
      <c r="E13728" s="22" t="s">
        <v>48</v>
      </c>
      <c r="F13728" s="23" t="str">
        <f t="shared" si="453"/>
        <v>Оказание услуг по организации питания</v>
      </c>
      <c r="G13728" s="22" t="s">
        <v>108</v>
      </c>
      <c r="H13728" s="22" t="s">
        <v>1355</v>
      </c>
      <c r="I13728" s="26">
        <v>43656.441666666702</v>
      </c>
      <c r="J13728" s="23" t="str">
        <f t="shared" si="454"/>
        <v>МУП "ГОРПИЩЕТОРГ"</v>
      </c>
      <c r="K13728" s="24" t="s">
        <v>18388</v>
      </c>
      <c r="L13728" s="28" t="s">
        <v>51</v>
      </c>
      <c r="M13728" s="28" t="s">
        <v>51</v>
      </c>
      <c r="N13728" s="27">
        <v>0</v>
      </c>
    </row>
    <row r="13729" spans="1:14" hidden="1" outlineLevel="1" x14ac:dyDescent="0.2">
      <c r="A13729" s="23" t="str">
        <f>HYPERLINK("https://www.spark-marketing.ru/Card/Person/4374291", "МБОУ «СОШ № 4 ИМ. Ф. И. ТОЛБУХИНА» Г. СИМФЕРОПОЛЯ")</f>
        <v>МБОУ «СОШ № 4 ИМ. Ф. И. ТОЛБУХИНА» Г. СИМФЕРОПОЛЯ</v>
      </c>
      <c r="B13729" s="24" t="s">
        <v>18416</v>
      </c>
      <c r="C13729" s="25">
        <v>2448832</v>
      </c>
      <c r="D13729" s="22" t="s">
        <v>18414</v>
      </c>
      <c r="E13729" s="22" t="s">
        <v>48</v>
      </c>
      <c r="F13729" s="23" t="str">
        <f t="shared" si="453"/>
        <v>Оказание услуг по организации питания</v>
      </c>
      <c r="G13729" s="22" t="s">
        <v>108</v>
      </c>
      <c r="H13729" s="22" t="s">
        <v>1355</v>
      </c>
      <c r="I13729" s="26">
        <v>43656.441666666702</v>
      </c>
      <c r="J13729" s="23" t="str">
        <f t="shared" si="454"/>
        <v>МУП "ГОРПИЩЕТОРГ"</v>
      </c>
      <c r="K13729" s="24" t="s">
        <v>18388</v>
      </c>
      <c r="L13729" s="28" t="s">
        <v>51</v>
      </c>
      <c r="M13729" s="28" t="s">
        <v>51</v>
      </c>
      <c r="N13729" s="27">
        <v>0</v>
      </c>
    </row>
    <row r="13730" spans="1:14" hidden="1" outlineLevel="1" x14ac:dyDescent="0.2">
      <c r="A13730" s="23" t="str">
        <f>HYPERLINK("https://www.spark-marketing.ru/Card/Person/4376740", "МБОУ ""СОШ №8"" Г. СИМФЕРОПОЛЯ")</f>
        <v>МБОУ "СОШ №8" Г. СИМФЕРОПОЛЯ</v>
      </c>
      <c r="B13730" s="24" t="s">
        <v>18417</v>
      </c>
      <c r="C13730" s="25">
        <v>1391654.4</v>
      </c>
      <c r="D13730" s="22" t="s">
        <v>18414</v>
      </c>
      <c r="E13730" s="22" t="s">
        <v>48</v>
      </c>
      <c r="F13730" s="23" t="str">
        <f t="shared" si="453"/>
        <v>Оказание услуг по организации питания</v>
      </c>
      <c r="G13730" s="22" t="s">
        <v>108</v>
      </c>
      <c r="H13730" s="22" t="s">
        <v>1355</v>
      </c>
      <c r="I13730" s="26">
        <v>43656.441666666702</v>
      </c>
      <c r="J13730" s="23" t="str">
        <f t="shared" si="454"/>
        <v>МУП "ГОРПИЩЕТОРГ"</v>
      </c>
      <c r="K13730" s="24" t="s">
        <v>18388</v>
      </c>
      <c r="L13730" s="28" t="s">
        <v>51</v>
      </c>
      <c r="M13730" s="28" t="s">
        <v>51</v>
      </c>
      <c r="N13730" s="27">
        <v>0</v>
      </c>
    </row>
    <row r="13731" spans="1:14" hidden="1" outlineLevel="1" x14ac:dyDescent="0.2">
      <c r="A13731" s="23" t="str">
        <f>HYPERLINK("https://www.spark-marketing.ru/Card/Person/4377086", """СОШ №7 ИМ. А. В. МОКРОУСОВА С УГЛУБЛЕННЫМ ИЗУЧЕНИЕМ АНГЛИЙСКОГО ЯЗЫКА"" Г. СИМФЕРОПОЛЯ")</f>
        <v>"СОШ №7 ИМ. А. В. МОКРОУСОВА С УГЛУБЛЕННЫМ ИЗУЧЕНИЕМ АНГЛИЙСКОГО ЯЗЫКА" Г. СИМФЕРОПОЛЯ</v>
      </c>
      <c r="B13731" s="24" t="s">
        <v>18418</v>
      </c>
      <c r="C13731" s="25">
        <v>1753280</v>
      </c>
      <c r="D13731" s="22" t="s">
        <v>18414</v>
      </c>
      <c r="E13731" s="22" t="s">
        <v>48</v>
      </c>
      <c r="F13731" s="23" t="str">
        <f t="shared" si="453"/>
        <v>Оказание услуг по организации питания</v>
      </c>
      <c r="G13731" s="22" t="s">
        <v>108</v>
      </c>
      <c r="H13731" s="22" t="s">
        <v>1355</v>
      </c>
      <c r="I13731" s="26">
        <v>43656.441666666702</v>
      </c>
      <c r="J13731" s="23" t="str">
        <f t="shared" si="454"/>
        <v>МУП "ГОРПИЩЕТОРГ"</v>
      </c>
      <c r="K13731" s="24" t="s">
        <v>18388</v>
      </c>
      <c r="L13731" s="28" t="s">
        <v>51</v>
      </c>
      <c r="M13731" s="28" t="s">
        <v>51</v>
      </c>
      <c r="N13731" s="27">
        <v>0</v>
      </c>
    </row>
    <row r="13732" spans="1:14" hidden="1" outlineLevel="1" x14ac:dyDescent="0.2">
      <c r="A13732" s="23" t="str">
        <f>HYPERLINK("https://www.spark-marketing.ru/Card/Person/4377087", "МБОУ «ШКОЛА-ЛИЦЕЙ» №3 Г.СИМФЕРОПОЛЯ")</f>
        <v>МБОУ «ШКОЛА-ЛИЦЕЙ» №3 Г.СИМФЕРОПОЛЯ</v>
      </c>
      <c r="B13732" s="24" t="s">
        <v>18419</v>
      </c>
      <c r="C13732" s="25">
        <v>3593638.4</v>
      </c>
      <c r="D13732" s="22" t="s">
        <v>18414</v>
      </c>
      <c r="E13732" s="22" t="s">
        <v>48</v>
      </c>
      <c r="F13732" s="23" t="str">
        <f t="shared" si="453"/>
        <v>Оказание услуг по организации питания</v>
      </c>
      <c r="G13732" s="22" t="s">
        <v>108</v>
      </c>
      <c r="H13732" s="22" t="s">
        <v>1355</v>
      </c>
      <c r="I13732" s="26">
        <v>43656.441666666702</v>
      </c>
      <c r="J13732" s="23" t="str">
        <f t="shared" si="454"/>
        <v>МУП "ГОРПИЩЕТОРГ"</v>
      </c>
      <c r="K13732" s="24" t="s">
        <v>18388</v>
      </c>
      <c r="L13732" s="28" t="s">
        <v>51</v>
      </c>
      <c r="M13732" s="28" t="s">
        <v>51</v>
      </c>
      <c r="N13732" s="27">
        <v>0</v>
      </c>
    </row>
    <row r="13733" spans="1:14" hidden="1" outlineLevel="1" x14ac:dyDescent="0.2">
      <c r="A13733" s="23" t="str">
        <f>HYPERLINK("https://www.spark-marketing.ru/Card/Person/4377097", "МБОУ ""ГИМНАЗИЯ №9"" Г. СИМФЕРОПОЛЬ")</f>
        <v>МБОУ "ГИМНАЗИЯ №9" Г. СИМФЕРОПОЛЬ</v>
      </c>
      <c r="B13733" s="24" t="s">
        <v>18420</v>
      </c>
      <c r="C13733" s="25">
        <v>1020761.6</v>
      </c>
      <c r="D13733" s="22" t="s">
        <v>18414</v>
      </c>
      <c r="E13733" s="22" t="s">
        <v>48</v>
      </c>
      <c r="F13733" s="23" t="str">
        <f t="shared" si="453"/>
        <v>Оказание услуг по организации питания</v>
      </c>
      <c r="G13733" s="22" t="s">
        <v>108</v>
      </c>
      <c r="H13733" s="22" t="s">
        <v>1355</v>
      </c>
      <c r="I13733" s="26">
        <v>43656.441666666702</v>
      </c>
      <c r="J13733" s="23" t="str">
        <f t="shared" si="454"/>
        <v>МУП "ГОРПИЩЕТОРГ"</v>
      </c>
      <c r="K13733" s="24" t="s">
        <v>18388</v>
      </c>
      <c r="L13733" s="28" t="s">
        <v>51</v>
      </c>
      <c r="M13733" s="28" t="s">
        <v>51</v>
      </c>
      <c r="N13733" s="27">
        <v>0</v>
      </c>
    </row>
    <row r="13734" spans="1:14" hidden="1" outlineLevel="1" x14ac:dyDescent="0.2">
      <c r="A13734" s="23" t="str">
        <f>HYPERLINK("https://www.spark-marketing.ru/Card/Person/4378400", "МБОУ «ШКОЛА-ГИМНАЗИЯ №10 ИМ. Э.К.ПОКРОВСКОГО» Г.СИМФЕРОПОЛЯ")</f>
        <v>МБОУ «ШКОЛА-ГИМНАЗИЯ №10 ИМ. Э.К.ПОКРОВСКОГО» Г.СИМФЕРОПОЛЯ</v>
      </c>
      <c r="B13734" s="24" t="s">
        <v>18421</v>
      </c>
      <c r="C13734" s="25">
        <v>2288640</v>
      </c>
      <c r="D13734" s="22" t="s">
        <v>18414</v>
      </c>
      <c r="E13734" s="22" t="s">
        <v>48</v>
      </c>
      <c r="F13734" s="23" t="str">
        <f t="shared" si="453"/>
        <v>Оказание услуг по организации питания</v>
      </c>
      <c r="G13734" s="22" t="s">
        <v>108</v>
      </c>
      <c r="H13734" s="22" t="s">
        <v>1355</v>
      </c>
      <c r="I13734" s="26">
        <v>43656.441666666702</v>
      </c>
      <c r="J13734" s="23" t="str">
        <f t="shared" si="454"/>
        <v>МУП "ГОРПИЩЕТОРГ"</v>
      </c>
      <c r="K13734" s="24" t="s">
        <v>18388</v>
      </c>
      <c r="L13734" s="28" t="s">
        <v>51</v>
      </c>
      <c r="M13734" s="28" t="s">
        <v>51</v>
      </c>
      <c r="N13734" s="27">
        <v>0</v>
      </c>
    </row>
    <row r="13735" spans="1:14" hidden="1" outlineLevel="1" x14ac:dyDescent="0.2">
      <c r="A13735" s="23" t="str">
        <f>HYPERLINK("https://www.spark-marketing.ru/Card/Person/4378930", "МБОУ «ГИМНАЗИЯ №11 ИМ. К.А. ТРЕНЕВА» Г. СИМФЕРОПОЛЯ")</f>
        <v>МБОУ «ГИМНАЗИЯ №11 ИМ. К.А. ТРЕНЕВА» Г. СИМФЕРОПОЛЯ</v>
      </c>
      <c r="B13735" s="24" t="s">
        <v>18422</v>
      </c>
      <c r="C13735" s="25">
        <v>1894617.6</v>
      </c>
      <c r="D13735" s="22" t="s">
        <v>18414</v>
      </c>
      <c r="E13735" s="22" t="s">
        <v>48</v>
      </c>
      <c r="F13735" s="23" t="str">
        <f t="shared" si="453"/>
        <v>Оказание услуг по организации питания</v>
      </c>
      <c r="G13735" s="22" t="s">
        <v>108</v>
      </c>
      <c r="H13735" s="22" t="s">
        <v>1355</v>
      </c>
      <c r="I13735" s="26">
        <v>43656.441666666702</v>
      </c>
      <c r="J13735" s="23" t="str">
        <f t="shared" si="454"/>
        <v>МУП "ГОРПИЩЕТОРГ"</v>
      </c>
      <c r="K13735" s="24" t="s">
        <v>18388</v>
      </c>
      <c r="L13735" s="28" t="s">
        <v>51</v>
      </c>
      <c r="M13735" s="28" t="s">
        <v>51</v>
      </c>
      <c r="N13735" s="27">
        <v>0</v>
      </c>
    </row>
    <row r="13736" spans="1:14" hidden="1" outlineLevel="1" x14ac:dyDescent="0.2">
      <c r="A13736" s="23" t="str">
        <f>HYPERLINK("https://www.spark-marketing.ru/Card/Person/4379265", "МБОУ «СРЕДНЯЯ ОБЩЕОБРАЗОВАТЕЛЬНАЯ ШКОЛА №2» Г.СИМФЕРОПОЛЯ")</f>
        <v>МБОУ «СРЕДНЯЯ ОБЩЕОБРАЗОВАТЕЛЬНАЯ ШКОЛА №2» Г.СИМФЕРОПОЛЯ</v>
      </c>
      <c r="B13736" s="24" t="s">
        <v>18423</v>
      </c>
      <c r="C13736" s="25">
        <v>1841331.2</v>
      </c>
      <c r="D13736" s="22" t="s">
        <v>18414</v>
      </c>
      <c r="E13736" s="22" t="s">
        <v>48</v>
      </c>
      <c r="F13736" s="23" t="str">
        <f t="shared" si="453"/>
        <v>Оказание услуг по организации питания</v>
      </c>
      <c r="G13736" s="22" t="s">
        <v>108</v>
      </c>
      <c r="H13736" s="22" t="s">
        <v>1355</v>
      </c>
      <c r="I13736" s="26">
        <v>43656.441666666702</v>
      </c>
      <c r="J13736" s="23" t="str">
        <f t="shared" si="454"/>
        <v>МУП "ГОРПИЩЕТОРГ"</v>
      </c>
      <c r="K13736" s="24" t="s">
        <v>18388</v>
      </c>
      <c r="L13736" s="28" t="s">
        <v>51</v>
      </c>
      <c r="M13736" s="28" t="s">
        <v>51</v>
      </c>
      <c r="N13736" s="27">
        <v>0</v>
      </c>
    </row>
    <row r="13737" spans="1:14" x14ac:dyDescent="0.2">
      <c r="A13737" s="23" t="s">
        <v>114</v>
      </c>
      <c r="B13737" s="28" t="s">
        <v>51</v>
      </c>
      <c r="C13737" s="25">
        <v>18856832</v>
      </c>
      <c r="D13737" s="22" t="s">
        <v>18424</v>
      </c>
      <c r="E13737" s="22" t="s">
        <v>48</v>
      </c>
      <c r="F13737" s="23" t="str">
        <f t="shared" ref="F13737:F13748" si="455">HYPERLINK("https://www.spark-marketing.ru/Card/Lot/72019622", "Оказание услуг по организации питания")</f>
        <v>Оказание услуг по организации питания</v>
      </c>
      <c r="G13737" s="22" t="s">
        <v>51</v>
      </c>
      <c r="H13737" s="22" t="s">
        <v>51</v>
      </c>
      <c r="I13737" s="26">
        <v>43656.442361111098</v>
      </c>
      <c r="J13737" s="23" t="str">
        <f t="shared" si="454"/>
        <v>МУП "ГОРПИЩЕТОРГ"</v>
      </c>
      <c r="K13737" s="24" t="s">
        <v>18388</v>
      </c>
      <c r="L13737" s="28" t="s">
        <v>51</v>
      </c>
      <c r="M13737" s="25">
        <v>18856832</v>
      </c>
      <c r="N13737" s="27">
        <v>0</v>
      </c>
    </row>
    <row r="13738" spans="1:14" hidden="1" outlineLevel="1" x14ac:dyDescent="0.2">
      <c r="A13738" s="23" t="str">
        <f>HYPERLINK("https://www.spark-marketing.ru/Card/Person/4372847", "МБОУ ""ТАВРИЧЕСКАЯ ШКОЛА-ГИМНАЗИЯ №20 ИМ. СВТ. ЛУКИ"" Г. СИМФЕРОПОЛЯ")</f>
        <v>МБОУ "ТАВРИЧЕСКАЯ ШКОЛА-ГИМНАЗИЯ №20 ИМ. СВТ. ЛУКИ" Г. СИМФЕРОПОЛЯ</v>
      </c>
      <c r="B13738" s="24" t="s">
        <v>18425</v>
      </c>
      <c r="C13738" s="25">
        <v>1174912</v>
      </c>
      <c r="D13738" s="22" t="s">
        <v>18424</v>
      </c>
      <c r="E13738" s="22" t="s">
        <v>48</v>
      </c>
      <c r="F13738" s="23" t="str">
        <f t="shared" si="455"/>
        <v>Оказание услуг по организации питания</v>
      </c>
      <c r="G13738" s="22" t="s">
        <v>108</v>
      </c>
      <c r="H13738" s="22" t="s">
        <v>1355</v>
      </c>
      <c r="I13738" s="26">
        <v>43656.442361111098</v>
      </c>
      <c r="J13738" s="23" t="str">
        <f t="shared" si="454"/>
        <v>МУП "ГОРПИЩЕТОРГ"</v>
      </c>
      <c r="K13738" s="24" t="s">
        <v>18388</v>
      </c>
      <c r="L13738" s="28" t="s">
        <v>51</v>
      </c>
      <c r="M13738" s="28" t="s">
        <v>51</v>
      </c>
      <c r="N13738" s="27">
        <v>0</v>
      </c>
    </row>
    <row r="13739" spans="1:14" hidden="1" outlineLevel="1" x14ac:dyDescent="0.2">
      <c r="A13739" s="23" t="str">
        <f>HYPERLINK("https://www.spark-marketing.ru/Card/Person/4372961", "МБОУ СОШ №23 Г. СИМФЕРОПОЛЯ")</f>
        <v>МБОУ СОШ №23 Г. СИМФЕРОПОЛЯ</v>
      </c>
      <c r="B13739" s="24" t="s">
        <v>18426</v>
      </c>
      <c r="C13739" s="25">
        <v>4882124.7999999998</v>
      </c>
      <c r="D13739" s="22" t="s">
        <v>18424</v>
      </c>
      <c r="E13739" s="22" t="s">
        <v>48</v>
      </c>
      <c r="F13739" s="23" t="str">
        <f t="shared" si="455"/>
        <v>Оказание услуг по организации питания</v>
      </c>
      <c r="G13739" s="22" t="s">
        <v>108</v>
      </c>
      <c r="H13739" s="22" t="s">
        <v>1355</v>
      </c>
      <c r="I13739" s="26">
        <v>43656.442361111098</v>
      </c>
      <c r="J13739" s="23" t="str">
        <f t="shared" si="454"/>
        <v>МУП "ГОРПИЩЕТОРГ"</v>
      </c>
      <c r="K13739" s="24" t="s">
        <v>18388</v>
      </c>
      <c r="L13739" s="28" t="s">
        <v>51</v>
      </c>
      <c r="M13739" s="28" t="s">
        <v>51</v>
      </c>
      <c r="N13739" s="27">
        <v>0</v>
      </c>
    </row>
    <row r="13740" spans="1:14" hidden="1" outlineLevel="1" x14ac:dyDescent="0.2">
      <c r="A13740" s="23" t="str">
        <f>HYPERLINK("https://www.spark-marketing.ru/Card/Person/4373921", "МБОУ ""СОШ №24"" Г. СИМФЕРОПОЛЬ")</f>
        <v>МБОУ "СОШ №24" Г. СИМФЕРОПОЛЬ</v>
      </c>
      <c r="B13740" s="24" t="s">
        <v>18427</v>
      </c>
      <c r="C13740" s="25">
        <v>1592793.6</v>
      </c>
      <c r="D13740" s="22" t="s">
        <v>18424</v>
      </c>
      <c r="E13740" s="22" t="s">
        <v>48</v>
      </c>
      <c r="F13740" s="23" t="str">
        <f t="shared" si="455"/>
        <v>Оказание услуг по организации питания</v>
      </c>
      <c r="G13740" s="22" t="s">
        <v>108</v>
      </c>
      <c r="H13740" s="22" t="s">
        <v>1355</v>
      </c>
      <c r="I13740" s="26">
        <v>43656.442361111098</v>
      </c>
      <c r="J13740" s="23" t="str">
        <f t="shared" si="454"/>
        <v>МУП "ГОРПИЩЕТОРГ"</v>
      </c>
      <c r="K13740" s="24" t="s">
        <v>18388</v>
      </c>
      <c r="L13740" s="28" t="s">
        <v>51</v>
      </c>
      <c r="M13740" s="28" t="s">
        <v>51</v>
      </c>
      <c r="N13740" s="27">
        <v>0</v>
      </c>
    </row>
    <row r="13741" spans="1:14" hidden="1" outlineLevel="1" x14ac:dyDescent="0.2">
      <c r="A13741" s="23" t="str">
        <f>HYPERLINK("https://www.spark-marketing.ru/Card/Person/4375055", "МБОУ ""СОШ №21"" Г.СИМФЕРОПОЛЬ")</f>
        <v>МБОУ "СОШ №21" Г.СИМФЕРОПОЛЬ</v>
      </c>
      <c r="B13741" s="24" t="s">
        <v>18428</v>
      </c>
      <c r="C13741" s="25">
        <v>1692160</v>
      </c>
      <c r="D13741" s="22" t="s">
        <v>18424</v>
      </c>
      <c r="E13741" s="22" t="s">
        <v>48</v>
      </c>
      <c r="F13741" s="23" t="str">
        <f t="shared" si="455"/>
        <v>Оказание услуг по организации питания</v>
      </c>
      <c r="G13741" s="22" t="s">
        <v>108</v>
      </c>
      <c r="H13741" s="22" t="s">
        <v>1355</v>
      </c>
      <c r="I13741" s="26">
        <v>43656.442361111098</v>
      </c>
      <c r="J13741" s="23" t="str">
        <f t="shared" si="454"/>
        <v>МУП "ГОРПИЩЕТОРГ"</v>
      </c>
      <c r="K13741" s="24" t="s">
        <v>18388</v>
      </c>
      <c r="L13741" s="28" t="s">
        <v>51</v>
      </c>
      <c r="M13741" s="28" t="s">
        <v>51</v>
      </c>
      <c r="N13741" s="27">
        <v>0</v>
      </c>
    </row>
    <row r="13742" spans="1:14" hidden="1" outlineLevel="1" x14ac:dyDescent="0.2">
      <c r="A13742" s="23" t="str">
        <f>HYPERLINK("https://www.spark-marketing.ru/Card/Person/4375341", "МБОУ ""СОШ №12"" Г. СИМФЕРОПОЛЯ")</f>
        <v>МБОУ "СОШ №12" Г. СИМФЕРОПОЛЯ</v>
      </c>
      <c r="B13742" s="24" t="s">
        <v>18429</v>
      </c>
      <c r="C13742" s="25">
        <v>1494400</v>
      </c>
      <c r="D13742" s="22" t="s">
        <v>18424</v>
      </c>
      <c r="E13742" s="22" t="s">
        <v>48</v>
      </c>
      <c r="F13742" s="23" t="str">
        <f t="shared" si="455"/>
        <v>Оказание услуг по организации питания</v>
      </c>
      <c r="G13742" s="22" t="s">
        <v>108</v>
      </c>
      <c r="H13742" s="22" t="s">
        <v>1355</v>
      </c>
      <c r="I13742" s="26">
        <v>43656.442361111098</v>
      </c>
      <c r="J13742" s="23" t="str">
        <f t="shared" si="454"/>
        <v>МУП "ГОРПИЩЕТОРГ"</v>
      </c>
      <c r="K13742" s="24" t="s">
        <v>18388</v>
      </c>
      <c r="L13742" s="28" t="s">
        <v>51</v>
      </c>
      <c r="M13742" s="28" t="s">
        <v>51</v>
      </c>
      <c r="N13742" s="27">
        <v>0</v>
      </c>
    </row>
    <row r="13743" spans="1:14" hidden="1" outlineLevel="1" x14ac:dyDescent="0.2">
      <c r="A13743" s="23" t="str">
        <f>HYPERLINK("https://www.spark-marketing.ru/Card/Person/4375485", "МБОУ «ШКОЛА-ЛИЦЕЙ № 17» Г. СИМФЕРОПОЛЯ")</f>
        <v>МБОУ «ШКОЛА-ЛИЦЕЙ № 17» Г. СИМФЕРОПОЛЯ</v>
      </c>
      <c r="B13743" s="24" t="s">
        <v>18430</v>
      </c>
      <c r="C13743" s="25">
        <v>1403456</v>
      </c>
      <c r="D13743" s="22" t="s">
        <v>18424</v>
      </c>
      <c r="E13743" s="22" t="s">
        <v>48</v>
      </c>
      <c r="F13743" s="23" t="str">
        <f t="shared" si="455"/>
        <v>Оказание услуг по организации питания</v>
      </c>
      <c r="G13743" s="22" t="s">
        <v>108</v>
      </c>
      <c r="H13743" s="22" t="s">
        <v>1355</v>
      </c>
      <c r="I13743" s="26">
        <v>43656.442361111098</v>
      </c>
      <c r="J13743" s="23" t="str">
        <f t="shared" si="454"/>
        <v>МУП "ГОРПИЩЕТОРГ"</v>
      </c>
      <c r="K13743" s="24" t="s">
        <v>18388</v>
      </c>
      <c r="L13743" s="28" t="s">
        <v>51</v>
      </c>
      <c r="M13743" s="28" t="s">
        <v>51</v>
      </c>
      <c r="N13743" s="27">
        <v>0</v>
      </c>
    </row>
    <row r="13744" spans="1:14" hidden="1" outlineLevel="1" x14ac:dyDescent="0.2">
      <c r="A13744" s="23" t="str">
        <f>HYPERLINK("https://www.spark-marketing.ru/Card/Person/4376028", "МБОУ ""СОШ № 18"" Г. СИМФЕРОПОЛЯ")</f>
        <v>МБОУ "СОШ № 18" Г. СИМФЕРОПОЛЯ</v>
      </c>
      <c r="B13744" s="24" t="s">
        <v>18431</v>
      </c>
      <c r="C13744" s="25">
        <v>1609548.8</v>
      </c>
      <c r="D13744" s="22" t="s">
        <v>18424</v>
      </c>
      <c r="E13744" s="22" t="s">
        <v>48</v>
      </c>
      <c r="F13744" s="23" t="str">
        <f t="shared" si="455"/>
        <v>Оказание услуг по организации питания</v>
      </c>
      <c r="G13744" s="22" t="s">
        <v>108</v>
      </c>
      <c r="H13744" s="22" t="s">
        <v>1355</v>
      </c>
      <c r="I13744" s="26">
        <v>43656.442361111098</v>
      </c>
      <c r="J13744" s="23" t="str">
        <f t="shared" si="454"/>
        <v>МУП "ГОРПИЩЕТОРГ"</v>
      </c>
      <c r="K13744" s="24" t="s">
        <v>18388</v>
      </c>
      <c r="L13744" s="28" t="s">
        <v>51</v>
      </c>
      <c r="M13744" s="28" t="s">
        <v>51</v>
      </c>
      <c r="N13744" s="27">
        <v>0</v>
      </c>
    </row>
    <row r="13745" spans="1:14" hidden="1" outlineLevel="1" x14ac:dyDescent="0.2">
      <c r="A13745" s="23" t="str">
        <f>HYPERLINK("https://www.spark-marketing.ru/Card/Person/4376128", "МБОУ «СРЕДНЯЯ ОБЩЕОБРАЗОВАТЕЛЬНАЯ ШКОЛА № 22» Г. СИМФЕРОПОЛЯ")</f>
        <v>МБОУ «СРЕДНЯЯ ОБЩЕОБРАЗОВАТЕЛЬНАЯ ШКОЛА № 22» Г. СИМФЕРОПОЛЯ</v>
      </c>
      <c r="B13745" s="24" t="s">
        <v>18432</v>
      </c>
      <c r="C13745" s="25">
        <v>750643.19999999995</v>
      </c>
      <c r="D13745" s="22" t="s">
        <v>18424</v>
      </c>
      <c r="E13745" s="22" t="s">
        <v>48</v>
      </c>
      <c r="F13745" s="23" t="str">
        <f t="shared" si="455"/>
        <v>Оказание услуг по организации питания</v>
      </c>
      <c r="G13745" s="22" t="s">
        <v>108</v>
      </c>
      <c r="H13745" s="22" t="s">
        <v>1355</v>
      </c>
      <c r="I13745" s="26">
        <v>43656.442361111098</v>
      </c>
      <c r="J13745" s="23" t="str">
        <f t="shared" si="454"/>
        <v>МУП "ГОРПИЩЕТОРГ"</v>
      </c>
      <c r="K13745" s="24" t="s">
        <v>18388</v>
      </c>
      <c r="L13745" s="28" t="s">
        <v>51</v>
      </c>
      <c r="M13745" s="28" t="s">
        <v>51</v>
      </c>
      <c r="N13745" s="27">
        <v>0</v>
      </c>
    </row>
    <row r="13746" spans="1:14" hidden="1" outlineLevel="1" x14ac:dyDescent="0.2">
      <c r="A13746" s="23" t="str">
        <f>HYPERLINK("https://www.spark-marketing.ru/Card/Person/4378660", "МБОУ СОШДС №15 Г. СИМФЕРОПОЛЯ")</f>
        <v>МБОУ СОШДС №15 Г. СИМФЕРОПОЛЯ</v>
      </c>
      <c r="B13746" s="24" t="s">
        <v>18433</v>
      </c>
      <c r="C13746" s="25">
        <v>1550412.8</v>
      </c>
      <c r="D13746" s="22" t="s">
        <v>18424</v>
      </c>
      <c r="E13746" s="22" t="s">
        <v>48</v>
      </c>
      <c r="F13746" s="23" t="str">
        <f t="shared" si="455"/>
        <v>Оказание услуг по организации питания</v>
      </c>
      <c r="G13746" s="22" t="s">
        <v>108</v>
      </c>
      <c r="H13746" s="22" t="s">
        <v>1355</v>
      </c>
      <c r="I13746" s="26">
        <v>43656.442361111098</v>
      </c>
      <c r="J13746" s="23" t="str">
        <f t="shared" si="454"/>
        <v>МУП "ГОРПИЩЕТОРГ"</v>
      </c>
      <c r="K13746" s="24" t="s">
        <v>18388</v>
      </c>
      <c r="L13746" s="28" t="s">
        <v>51</v>
      </c>
      <c r="M13746" s="28" t="s">
        <v>51</v>
      </c>
      <c r="N13746" s="27">
        <v>0</v>
      </c>
    </row>
    <row r="13747" spans="1:14" hidden="1" outlineLevel="1" x14ac:dyDescent="0.2">
      <c r="A13747" s="23" t="str">
        <f>HYPERLINK("https://www.spark-marketing.ru/Card/Person/4378880", "МБОУ «СОШ № 14 ИМ. Б.И. ХОХЛОВА» Г. СИМФЕРОПОЛЯ")</f>
        <v>МБОУ «СОШ № 14 ИМ. Б.И. ХОХЛОВА» Г. СИМФЕРОПОЛЯ</v>
      </c>
      <c r="B13747" s="24" t="s">
        <v>18434</v>
      </c>
      <c r="C13747" s="25">
        <v>1279142.3999999999</v>
      </c>
      <c r="D13747" s="22" t="s">
        <v>18424</v>
      </c>
      <c r="E13747" s="22" t="s">
        <v>48</v>
      </c>
      <c r="F13747" s="23" t="str">
        <f t="shared" si="455"/>
        <v>Оказание услуг по организации питания</v>
      </c>
      <c r="G13747" s="22" t="s">
        <v>108</v>
      </c>
      <c r="H13747" s="22" t="s">
        <v>1355</v>
      </c>
      <c r="I13747" s="26">
        <v>43656.442361111098</v>
      </c>
      <c r="J13747" s="23" t="str">
        <f t="shared" si="454"/>
        <v>МУП "ГОРПИЩЕТОРГ"</v>
      </c>
      <c r="K13747" s="24" t="s">
        <v>18388</v>
      </c>
      <c r="L13747" s="28" t="s">
        <v>51</v>
      </c>
      <c r="M13747" s="28" t="s">
        <v>51</v>
      </c>
      <c r="N13747" s="27">
        <v>0</v>
      </c>
    </row>
    <row r="13748" spans="1:14" hidden="1" outlineLevel="1" x14ac:dyDescent="0.2">
      <c r="A13748" s="23" t="str">
        <f>HYPERLINK("https://www.spark-marketing.ru/Card/Person/4379137", "МБОУ «С(К)ОШ №16» Г. СИМФЕРОПОЛЯ")</f>
        <v>МБОУ «С(К)ОШ №16» Г. СИМФЕРОПОЛЯ</v>
      </c>
      <c r="B13748" s="24" t="s">
        <v>18435</v>
      </c>
      <c r="C13748" s="25">
        <v>1427238.4</v>
      </c>
      <c r="D13748" s="22" t="s">
        <v>18424</v>
      </c>
      <c r="E13748" s="22" t="s">
        <v>48</v>
      </c>
      <c r="F13748" s="23" t="str">
        <f t="shared" si="455"/>
        <v>Оказание услуг по организации питания</v>
      </c>
      <c r="G13748" s="22" t="s">
        <v>108</v>
      </c>
      <c r="H13748" s="22" t="s">
        <v>1355</v>
      </c>
      <c r="I13748" s="26">
        <v>43656.442361111098</v>
      </c>
      <c r="J13748" s="23" t="str">
        <f t="shared" si="454"/>
        <v>МУП "ГОРПИЩЕТОРГ"</v>
      </c>
      <c r="K13748" s="24" t="s">
        <v>18388</v>
      </c>
      <c r="L13748" s="28" t="s">
        <v>51</v>
      </c>
      <c r="M13748" s="28" t="s">
        <v>51</v>
      </c>
      <c r="N13748" s="27">
        <v>0</v>
      </c>
    </row>
    <row r="13749" spans="1:14" x14ac:dyDescent="0.15">
      <c r="A13749" s="23" t="str">
        <f>HYPERLINK("https://www.spark-marketing.ru/Card/Person/4343663", "МИНЗДРАВ АЛТАЙСКОГО КРАЯ")</f>
        <v>МИНЗДРАВ АЛТАЙСКОГО КРАЯ</v>
      </c>
      <c r="B13749" s="24" t="s">
        <v>9429</v>
      </c>
      <c r="C13749" s="25">
        <v>9600</v>
      </c>
      <c r="D13749" s="22" t="s">
        <v>18436</v>
      </c>
      <c r="E13749" s="22" t="s">
        <v>336</v>
      </c>
      <c r="F13749" s="23" t="str">
        <f>HYPERLINK("https://www.spark-marketing.ru/Card/Lot/71998465",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3749" s="22" t="s">
        <v>63</v>
      </c>
      <c r="H13749" s="22" t="s">
        <v>177</v>
      </c>
      <c r="I13749" s="26">
        <v>43656.440972222197</v>
      </c>
      <c r="J13749" s="28" t="s">
        <v>51</v>
      </c>
      <c r="K13749" s="28" t="s">
        <v>51</v>
      </c>
      <c r="L13749" s="28" t="s">
        <v>51</v>
      </c>
      <c r="M13749" s="28" t="s">
        <v>51</v>
      </c>
      <c r="N13749" s="28" t="s">
        <v>51</v>
      </c>
    </row>
    <row r="13750" spans="1:14" x14ac:dyDescent="0.15">
      <c r="A13750" s="23" t="str">
        <f>HYPERLINK("https://www.spark-marketing.ru/Card/Person/55899", "ГБУЗ ""УСТЬ-ЛАБИНСКАЯ ЦРБ"" МЗ КК")</f>
        <v>ГБУЗ "УСТЬ-ЛАБИНСКАЯ ЦРБ" МЗ КК</v>
      </c>
      <c r="B13750" s="24" t="s">
        <v>1602</v>
      </c>
      <c r="C13750" s="25">
        <v>497300</v>
      </c>
      <c r="D13750" s="22" t="s">
        <v>18437</v>
      </c>
      <c r="E13750" s="22" t="s">
        <v>48</v>
      </c>
      <c r="F13750" s="23" t="str">
        <f>HYPERLINK("https://www.spark-marketing.ru/Card/Lot/72000242", "Оказание услуг по обеспечению лечебным питанием пациентов ГБУЗ ""Усть-Лабинская ЦРБ"" МЗ КК")</f>
        <v>Оказание услуг по обеспечению лечебным питанием пациентов ГБУЗ "Усть-Лабинская ЦРБ" МЗ КК</v>
      </c>
      <c r="G13750" s="22" t="s">
        <v>104</v>
      </c>
      <c r="H13750" s="22" t="s">
        <v>1424</v>
      </c>
      <c r="I13750" s="26">
        <v>43656.434027777803</v>
      </c>
      <c r="J13750" s="23" t="str">
        <f>HYPERLINK("https://www.spark-marketing.ru/Card/Person/878131", "ООО "" АГРОПРОМСЕРВИС """)</f>
        <v>ООО " АГРОПРОМСЕРВИС "</v>
      </c>
      <c r="K13750" s="24" t="s">
        <v>1425</v>
      </c>
      <c r="L13750" s="22" t="s">
        <v>10</v>
      </c>
      <c r="M13750" s="28" t="s">
        <v>51</v>
      </c>
      <c r="N13750" s="28" t="s">
        <v>51</v>
      </c>
    </row>
    <row r="13751" spans="1:14" x14ac:dyDescent="0.15">
      <c r="A13751" s="23" t="str">
        <f>HYPERLINK("https://www.spark-marketing.ru/Card/Person/115183", "ОТДЕЛ МВД РОССИИ ПО ГОРОДУ СИБАЮ")</f>
        <v>ОТДЕЛ МВД РОССИИ ПО ГОРОДУ СИБАЮ</v>
      </c>
      <c r="B13751" s="24" t="s">
        <v>18438</v>
      </c>
      <c r="C13751" s="25">
        <v>499900</v>
      </c>
      <c r="D13751" s="22" t="s">
        <v>18439</v>
      </c>
      <c r="E13751" s="22" t="s">
        <v>96</v>
      </c>
      <c r="F13751" s="23" t="str">
        <f>HYPERLINK("https://www.spark-marketing.ru/Card/Lot/72000272", "Питание в ИВС")</f>
        <v>Питание в ИВС</v>
      </c>
      <c r="G13751" s="22" t="s">
        <v>145</v>
      </c>
      <c r="H13751" s="22" t="s">
        <v>18440</v>
      </c>
      <c r="I13751" s="26">
        <v>43656.457638888904</v>
      </c>
      <c r="J13751" s="23" t="str">
        <f>HYPERLINK("https://www.spark-marketing.ru/Card/Person/234012", "АО ""УЧАЛИНСКИЙ ГОК""")</f>
        <v>АО "УЧАЛИНСКИЙ ГОК"</v>
      </c>
      <c r="K13751" s="24" t="s">
        <v>18441</v>
      </c>
      <c r="L13751" s="22" t="s">
        <v>10</v>
      </c>
      <c r="M13751" s="28" t="s">
        <v>51</v>
      </c>
      <c r="N13751" s="28" t="s">
        <v>51</v>
      </c>
    </row>
    <row r="13752" spans="1:14" x14ac:dyDescent="0.15">
      <c r="A13752" s="23" t="str">
        <f>HYPERLINK("https://www.spark-marketing.ru/Card/Person/55899", "ГБУЗ ""УСТЬ-ЛАБИНСКАЯ ЦРБ"" МЗ КК")</f>
        <v>ГБУЗ "УСТЬ-ЛАБИНСКАЯ ЦРБ" МЗ КК</v>
      </c>
      <c r="B13752" s="24" t="s">
        <v>1602</v>
      </c>
      <c r="C13752" s="25">
        <v>497300</v>
      </c>
      <c r="D13752" s="22" t="s">
        <v>18442</v>
      </c>
      <c r="E13752" s="22" t="s">
        <v>48</v>
      </c>
      <c r="F13752" s="23" t="str">
        <f>HYPERLINK("https://www.spark-marketing.ru/Card/Lot/72000243", "Оказание услуг по обеспечению лечебным питанием пациентов ГБУЗ ""Усть-Лабинская ЦРБ"" МЗ КК")</f>
        <v>Оказание услуг по обеспечению лечебным питанием пациентов ГБУЗ "Усть-Лабинская ЦРБ" МЗ КК</v>
      </c>
      <c r="G13752" s="22" t="s">
        <v>104</v>
      </c>
      <c r="H13752" s="22" t="s">
        <v>1424</v>
      </c>
      <c r="I13752" s="26">
        <v>43656.433333333298</v>
      </c>
      <c r="J13752" s="23" t="str">
        <f>HYPERLINK("https://www.spark-marketing.ru/Card/Person/878131", "ООО "" АГРОПРОМСЕРВИС """)</f>
        <v>ООО " АГРОПРОМСЕРВИС "</v>
      </c>
      <c r="K13752" s="24" t="s">
        <v>1425</v>
      </c>
      <c r="L13752" s="22" t="s">
        <v>10</v>
      </c>
      <c r="M13752" s="28" t="s">
        <v>51</v>
      </c>
      <c r="N13752" s="28" t="s">
        <v>51</v>
      </c>
    </row>
    <row r="13753" spans="1:14" x14ac:dyDescent="0.15">
      <c r="A13753" s="23" t="str">
        <f>HYPERLINK("https://www.spark-marketing.ru/Card/Person/4343663", "МИНЗДРАВ АЛТАЙСКОГО КРАЯ")</f>
        <v>МИНЗДРАВ АЛТАЙСКОГО КРАЯ</v>
      </c>
      <c r="B13753" s="24" t="s">
        <v>9429</v>
      </c>
      <c r="C13753" s="25">
        <v>11016</v>
      </c>
      <c r="D13753" s="22" t="s">
        <v>18443</v>
      </c>
      <c r="E13753" s="22" t="s">
        <v>336</v>
      </c>
      <c r="F13753" s="23" t="str">
        <f>HYPERLINK("https://www.spark-marketing.ru/Card/Lot/71996192",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3753" s="22" t="s">
        <v>63</v>
      </c>
      <c r="H13753" s="22" t="s">
        <v>177</v>
      </c>
      <c r="I13753" s="26">
        <v>43656.379861111098</v>
      </c>
      <c r="J13753" s="28" t="s">
        <v>51</v>
      </c>
      <c r="K13753" s="28" t="s">
        <v>51</v>
      </c>
      <c r="L13753" s="28" t="s">
        <v>51</v>
      </c>
      <c r="M13753" s="28" t="s">
        <v>51</v>
      </c>
      <c r="N13753" s="28" t="s">
        <v>51</v>
      </c>
    </row>
    <row r="13754" spans="1:14" x14ac:dyDescent="0.15">
      <c r="A13754" s="23" t="str">
        <f>HYPERLINK("https://www.spark-marketing.ru/Card/Person/60222", "УМВД РОССИИ ПО Г. ЛИПЕЦКУ")</f>
        <v>УМВД РОССИИ ПО Г. ЛИПЕЦКУ</v>
      </c>
      <c r="B13754" s="24" t="s">
        <v>17974</v>
      </c>
      <c r="C13754" s="25">
        <v>3560000</v>
      </c>
      <c r="D13754" s="22" t="s">
        <v>18444</v>
      </c>
      <c r="E13754" s="22" t="s">
        <v>48</v>
      </c>
      <c r="F13754" s="23" t="str">
        <f>HYPERLINK("https://www.spark-marketing.ru/Card/Lot/72018843", "Оказание услуг по обеспечению ежедневным трехразовым горячим питанием подозреваемых и обвиняемых в совершении преступлений, содержащихся в изоляторе временного содержания УМВД России по городу Липецку, лиц, подвергнутых административному аресту, соде...")</f>
        <v>Оказание услуг по обеспечению ежедневным трехразовым горячим питанием подозреваемых и обвиняемых в совершении преступлений, содержащихся в изоляторе временного содержания УМВД России по городу Липецку, лиц, подвергнутых административному аресту, соде...</v>
      </c>
      <c r="G13754" s="22" t="s">
        <v>101</v>
      </c>
      <c r="H13754" s="22" t="s">
        <v>728</v>
      </c>
      <c r="I13754" s="26">
        <v>43656.375</v>
      </c>
      <c r="J13754" s="23" t="str">
        <f>HYPERLINK("https://www.spark-marketing.ru/Card/Person/60275", "Мамедов Васиф Акиф Оглы")</f>
        <v>Мамедов Васиф Акиф Оглы</v>
      </c>
      <c r="K13754" s="24" t="s">
        <v>4404</v>
      </c>
      <c r="L13754" s="22" t="s">
        <v>10</v>
      </c>
      <c r="M13754" s="28" t="s">
        <v>51</v>
      </c>
      <c r="N13754" s="28" t="s">
        <v>51</v>
      </c>
    </row>
    <row r="13755" spans="1:14" x14ac:dyDescent="0.15">
      <c r="A13755" s="23" t="str">
        <f>HYPERLINK("https://www.spark-marketing.ru/Card/Person/37101", "О МВД РОССИИ ПО Г. ЧАПАЕВСКУ")</f>
        <v>О МВД РОССИИ ПО Г. ЧАПАЕВСКУ</v>
      </c>
      <c r="B13755" s="24" t="s">
        <v>18445</v>
      </c>
      <c r="C13755" s="25">
        <v>1116900</v>
      </c>
      <c r="D13755" s="22" t="s">
        <v>18446</v>
      </c>
      <c r="E13755" s="22" t="s">
        <v>48</v>
      </c>
      <c r="F13755" s="23" t="str">
        <f>HYPERLINK("https://www.spark-marketing.ru/Card/Lot/72017485", "Питание ИВС и административно-заключенных")</f>
        <v>Питание ИВС и административно-заключенных</v>
      </c>
      <c r="G13755" s="22" t="s">
        <v>128</v>
      </c>
      <c r="H13755" s="22" t="s">
        <v>18004</v>
      </c>
      <c r="I13755" s="26">
        <v>43656.402777777803</v>
      </c>
      <c r="J13755" s="28" t="s">
        <v>51</v>
      </c>
      <c r="K13755" s="28" t="s">
        <v>51</v>
      </c>
      <c r="L13755" s="28" t="s">
        <v>51</v>
      </c>
      <c r="M13755" s="28" t="s">
        <v>51</v>
      </c>
      <c r="N13755" s="28" t="s">
        <v>51</v>
      </c>
    </row>
    <row r="13756" spans="1:14" hidden="1" outlineLevel="1" x14ac:dyDescent="0.2">
      <c r="A13756" s="23" t="str">
        <f>HYPERLINK("https://www.spark-marketing.ru/Card/Person/37101", "О МВД РОССИИ ПО Г. ЧАПАЕВСКУ")</f>
        <v>О МВД РОССИИ ПО Г. ЧАПАЕВСКУ</v>
      </c>
      <c r="B13756" s="24" t="s">
        <v>18445</v>
      </c>
      <c r="C13756" s="25">
        <v>1116900</v>
      </c>
      <c r="D13756" s="22" t="s">
        <v>18446</v>
      </c>
      <c r="E13756" s="22" t="s">
        <v>48</v>
      </c>
      <c r="F13756" s="23" t="str">
        <f>HYPERLINK("https://www.spark-marketing.ru/Card/Lot/72017485", "Питание ИВС и административно-заключенных")</f>
        <v>Питание ИВС и административно-заключенных</v>
      </c>
      <c r="G13756" s="22" t="s">
        <v>128</v>
      </c>
      <c r="H13756" s="22" t="s">
        <v>18004</v>
      </c>
      <c r="I13756" s="26">
        <v>43656.402777777803</v>
      </c>
      <c r="J13756" s="23" t="str">
        <f>HYPERLINK("https://www.spark-marketing.ru/Card/Person/5857414", "Денисова Ирина Ивановна")</f>
        <v>Денисова Ирина Ивановна</v>
      </c>
      <c r="K13756" s="24" t="s">
        <v>18447</v>
      </c>
      <c r="L13756" s="28" t="s">
        <v>51</v>
      </c>
      <c r="M13756" s="25">
        <v>1111315.5</v>
      </c>
      <c r="N13756" s="27">
        <v>5.0000000000000001E-3</v>
      </c>
    </row>
    <row r="13757" spans="1:14" ht="12.75" hidden="1" outlineLevel="1" x14ac:dyDescent="0.2">
      <c r="A13757" s="23" t="str">
        <f>HYPERLINK("https://www.spark-marketing.ru/Card/Person/37101", "О МВД РОССИИ ПО Г. ЧАПАЕВСКУ")</f>
        <v>О МВД РОССИИ ПО Г. ЧАПАЕВСКУ</v>
      </c>
      <c r="B13757" s="24" t="s">
        <v>18445</v>
      </c>
      <c r="C13757" s="25">
        <v>1116900</v>
      </c>
      <c r="D13757" s="22" t="s">
        <v>18446</v>
      </c>
      <c r="E13757" s="22" t="s">
        <v>48</v>
      </c>
      <c r="F13757" s="23" t="str">
        <f>HYPERLINK("https://www.spark-marketing.ru/Card/Lot/72017485", "Питание ИВС и административно-заключенных")</f>
        <v>Питание ИВС и административно-заключенных</v>
      </c>
      <c r="G13757" s="22" t="s">
        <v>128</v>
      </c>
      <c r="H13757" s="22" t="s">
        <v>18004</v>
      </c>
      <c r="I13757" s="26">
        <v>43656.402777777803</v>
      </c>
      <c r="J13757" s="23" t="str">
        <f>HYPERLINK("https://www.spark-marketing.ru/Card/Person/2532214", "ООО ""ШИК° """)</f>
        <v>ООО "ШИК° "</v>
      </c>
      <c r="K13757" s="24" t="s">
        <v>18448</v>
      </c>
      <c r="L13757" s="22" t="s">
        <v>10</v>
      </c>
      <c r="M13757" s="25">
        <v>1111315.5</v>
      </c>
      <c r="N13757" s="27">
        <v>5.0000000000000001E-3</v>
      </c>
    </row>
    <row r="13758" spans="1:14" x14ac:dyDescent="0.15">
      <c r="A13758" s="23" t="str">
        <f>HYPERLINK("https://www.spark-marketing.ru/Card/Person/5816996", "ГБУЗ ""ББСМП""")</f>
        <v>ГБУЗ "ББСМП"</v>
      </c>
      <c r="B13758" s="24" t="s">
        <v>18449</v>
      </c>
      <c r="C13758" s="25">
        <v>5948028</v>
      </c>
      <c r="D13758" s="22" t="s">
        <v>18450</v>
      </c>
      <c r="E13758" s="22" t="s">
        <v>809</v>
      </c>
      <c r="F13758" s="23" t="str">
        <f>HYPERLINK("https://www.spark-marketing.ru/Card/Lot/71996971", "На поставку Автоматизированного рабочего места")</f>
        <v>На поставку Автоматизированного рабочего места</v>
      </c>
      <c r="G13758" s="22" t="s">
        <v>132</v>
      </c>
      <c r="H13758" s="22" t="s">
        <v>133</v>
      </c>
      <c r="I13758" s="26">
        <v>43656.409722222197</v>
      </c>
      <c r="J13758" s="28" t="s">
        <v>51</v>
      </c>
      <c r="K13758" s="28" t="s">
        <v>51</v>
      </c>
      <c r="L13758" s="28" t="s">
        <v>51</v>
      </c>
      <c r="M13758" s="28" t="s">
        <v>51</v>
      </c>
      <c r="N13758" s="28" t="s">
        <v>51</v>
      </c>
    </row>
    <row r="13759" spans="1:14" hidden="1" outlineLevel="1" x14ac:dyDescent="0.2">
      <c r="A13759" s="23" t="str">
        <f>HYPERLINK("https://www.spark-marketing.ru/Card/Person/5816996", "ГБУЗ ""ББСМП""")</f>
        <v>ГБУЗ "ББСМП"</v>
      </c>
      <c r="B13759" s="24" t="s">
        <v>18449</v>
      </c>
      <c r="C13759" s="25">
        <v>5948028</v>
      </c>
      <c r="D13759" s="22" t="s">
        <v>18450</v>
      </c>
      <c r="E13759" s="22" t="s">
        <v>809</v>
      </c>
      <c r="F13759" s="23" t="str">
        <f>HYPERLINK("https://www.spark-marketing.ru/Card/Lot/71996971", "На поставку Автоматизированного рабочего места")</f>
        <v>На поставку Автоматизированного рабочего места</v>
      </c>
      <c r="G13759" s="22" t="s">
        <v>132</v>
      </c>
      <c r="H13759" s="22" t="s">
        <v>133</v>
      </c>
      <c r="I13759" s="26">
        <v>43656.409722222197</v>
      </c>
      <c r="J13759" s="23" t="str">
        <f>HYPERLINK("https://www.spark-marketing.ru/Card/Person/388807", "ООО ""АЛЕКС-СОФТ""")</f>
        <v>ООО "АЛЕКС-СОФТ"</v>
      </c>
      <c r="K13759" s="24" t="s">
        <v>12059</v>
      </c>
      <c r="L13759" s="28" t="s">
        <v>51</v>
      </c>
      <c r="M13759" s="25">
        <v>5323485.0599999996</v>
      </c>
      <c r="N13759" s="27">
        <v>0.105</v>
      </c>
    </row>
    <row r="13760" spans="1:14" ht="12.75" hidden="1" outlineLevel="1" x14ac:dyDescent="0.2">
      <c r="A13760" s="23" t="str">
        <f>HYPERLINK("https://www.spark-marketing.ru/Card/Person/5816996", "ГБУЗ ""ББСМП""")</f>
        <v>ГБУЗ "ББСМП"</v>
      </c>
      <c r="B13760" s="24" t="s">
        <v>18449</v>
      </c>
      <c r="C13760" s="25">
        <v>5948028</v>
      </c>
      <c r="D13760" s="22" t="s">
        <v>18450</v>
      </c>
      <c r="E13760" s="22" t="s">
        <v>809</v>
      </c>
      <c r="F13760" s="23" t="str">
        <f>HYPERLINK("https://www.spark-marketing.ru/Card/Lot/71996971", "На поставку Автоматизированного рабочего места")</f>
        <v>На поставку Автоматизированного рабочего места</v>
      </c>
      <c r="G13760" s="22" t="s">
        <v>132</v>
      </c>
      <c r="H13760" s="22" t="s">
        <v>133</v>
      </c>
      <c r="I13760" s="26">
        <v>43656.409722222197</v>
      </c>
      <c r="J13760" s="23" t="str">
        <f>HYPERLINK("https://www.spark-marketing.ru/Card/Person/6582396", "ООО ""ПРЕМЬЕР""")</f>
        <v>ООО "ПРЕМЬЕР"</v>
      </c>
      <c r="K13760" s="24" t="s">
        <v>18451</v>
      </c>
      <c r="L13760" s="22" t="s">
        <v>10</v>
      </c>
      <c r="M13760" s="25">
        <v>5293744.92</v>
      </c>
      <c r="N13760" s="27">
        <v>0.11</v>
      </c>
    </row>
    <row r="13761" spans="1:14" x14ac:dyDescent="0.15">
      <c r="A13761" s="23" t="str">
        <f>HYPERLINK("https://www.spark-marketing.ru/Card/Person/37101", "О МВД РОССИИ ПО Г. ЧАПАЕВСКУ")</f>
        <v>О МВД РОССИИ ПО Г. ЧАПАЕВСКУ</v>
      </c>
      <c r="B13761" s="24" t="s">
        <v>18445</v>
      </c>
      <c r="C13761" s="25">
        <v>1116900</v>
      </c>
      <c r="D13761" s="22" t="s">
        <v>18452</v>
      </c>
      <c r="E13761" s="22" t="s">
        <v>48</v>
      </c>
      <c r="F13761" s="23" t="str">
        <f>HYPERLINK("https://www.spark-marketing.ru/Card/Lot/72017484", "Питание ИВС и административно-заключенных")</f>
        <v>Питание ИВС и административно-заключенных</v>
      </c>
      <c r="G13761" s="22" t="s">
        <v>128</v>
      </c>
      <c r="H13761" s="22" t="s">
        <v>18004</v>
      </c>
      <c r="I13761" s="26">
        <v>43656.404166666704</v>
      </c>
      <c r="J13761" s="23" t="str">
        <f>HYPERLINK("https://www.spark-marketing.ru/Card/Person/5857414", "Денисова Ирина Ивановна")</f>
        <v>Денисова Ирина Ивановна</v>
      </c>
      <c r="K13761" s="24" t="s">
        <v>18447</v>
      </c>
      <c r="L13761" s="22" t="s">
        <v>10</v>
      </c>
      <c r="M13761" s="28" t="s">
        <v>51</v>
      </c>
      <c r="N13761" s="28" t="s">
        <v>51</v>
      </c>
    </row>
    <row r="13762" spans="1:14" x14ac:dyDescent="0.15">
      <c r="A13762" s="23" t="str">
        <f>HYPERLINK("https://www.spark-marketing.ru/Card/Person/4343663", "МИНЗДРАВ АЛТАЙСКОГО КРАЯ")</f>
        <v>МИНЗДРАВ АЛТАЙСКОГО КРАЯ</v>
      </c>
      <c r="B13762" s="24" t="s">
        <v>9429</v>
      </c>
      <c r="C13762" s="25">
        <v>250000</v>
      </c>
      <c r="D13762" s="22" t="s">
        <v>18453</v>
      </c>
      <c r="E13762" s="22" t="s">
        <v>336</v>
      </c>
      <c r="F13762" s="23" t="str">
        <f>HYPERLINK("https://www.spark-marketing.ru/Card/Lot/71995715",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3762" s="22" t="s">
        <v>63</v>
      </c>
      <c r="H13762" s="22" t="s">
        <v>177</v>
      </c>
      <c r="I13762" s="26">
        <v>43656.3659722222</v>
      </c>
      <c r="J13762" s="28" t="s">
        <v>51</v>
      </c>
      <c r="K13762" s="28" t="s">
        <v>51</v>
      </c>
      <c r="L13762" s="28" t="s">
        <v>51</v>
      </c>
      <c r="M13762" s="28" t="s">
        <v>51</v>
      </c>
      <c r="N13762" s="28" t="s">
        <v>51</v>
      </c>
    </row>
    <row r="13763" spans="1:14" x14ac:dyDescent="0.15">
      <c r="A13763" s="23" t="str">
        <f>HYPERLINK("https://www.spark-marketing.ru/Card/Person/60222", "УМВД РОССИИ ПО Г. ЛИПЕЦКУ")</f>
        <v>УМВД РОССИИ ПО Г. ЛИПЕЦКУ</v>
      </c>
      <c r="B13763" s="24" t="s">
        <v>17974</v>
      </c>
      <c r="C13763" s="25">
        <v>4000000</v>
      </c>
      <c r="D13763" s="22" t="s">
        <v>18454</v>
      </c>
      <c r="E13763" s="22" t="s">
        <v>48</v>
      </c>
      <c r="F13763" s="23" t="str">
        <f>HYPERLINK("https://www.spark-marketing.ru/Card/Lot/72018977", "Оказание услуг по обеспечению ежедневным трехразовым горячим питанием иностранных граждан, содержащихся в центре временного содержания иностранных граждан УМВД России по городу Липецку")</f>
        <v>Оказание услуг по обеспечению ежедневным трехразовым горячим питанием иностранных граждан, содержащихся в центре временного содержания иностранных граждан УМВД России по городу Липецку</v>
      </c>
      <c r="G13763" s="22" t="s">
        <v>101</v>
      </c>
      <c r="H13763" s="22" t="s">
        <v>728</v>
      </c>
      <c r="I13763" s="26">
        <v>43656.374305555597</v>
      </c>
      <c r="J13763" s="28" t="s">
        <v>51</v>
      </c>
      <c r="K13763" s="28" t="s">
        <v>51</v>
      </c>
      <c r="L13763" s="28" t="s">
        <v>51</v>
      </c>
      <c r="M13763" s="28" t="s">
        <v>51</v>
      </c>
      <c r="N13763" s="28" t="s">
        <v>51</v>
      </c>
    </row>
    <row r="13764" spans="1:14" ht="12.75" hidden="1" outlineLevel="1" x14ac:dyDescent="0.2">
      <c r="A13764" s="23" t="str">
        <f>HYPERLINK("https://www.spark-marketing.ru/Card/Person/60222", "УМВД РОССИИ ПО Г. ЛИПЕЦКУ")</f>
        <v>УМВД РОССИИ ПО Г. ЛИПЕЦКУ</v>
      </c>
      <c r="B13764" s="24" t="s">
        <v>17974</v>
      </c>
      <c r="C13764" s="25">
        <v>4000000</v>
      </c>
      <c r="D13764" s="22" t="s">
        <v>18454</v>
      </c>
      <c r="E13764" s="22" t="s">
        <v>48</v>
      </c>
      <c r="F13764" s="23" t="str">
        <f>HYPERLINK("https://www.spark-marketing.ru/Card/Lot/72018977", "Оказание услуг по обеспечению ежедневным трехразовым горячим питанием иностранных граждан, содержащихся в центре временного содержания иностранных граждан УМВД России по городу Липецку")</f>
        <v>Оказание услуг по обеспечению ежедневным трехразовым горячим питанием иностранных граждан, содержащихся в центре временного содержания иностранных граждан УМВД России по городу Липецку</v>
      </c>
      <c r="G13764" s="22" t="s">
        <v>101</v>
      </c>
      <c r="H13764" s="22" t="s">
        <v>728</v>
      </c>
      <c r="I13764" s="26">
        <v>43656.374305555597</v>
      </c>
      <c r="J13764" s="23" t="str">
        <f>HYPERLINK("https://www.spark-marketing.ru/Card/Person/60275", "Мамедов Васиф Акиф Оглы")</f>
        <v>Мамедов Васиф Акиф Оглы</v>
      </c>
      <c r="K13764" s="24" t="s">
        <v>4404</v>
      </c>
      <c r="L13764" s="22" t="s">
        <v>10</v>
      </c>
      <c r="M13764" s="25">
        <v>1135</v>
      </c>
      <c r="N13764" s="27">
        <v>0.99971624999999997</v>
      </c>
    </row>
    <row r="13765" spans="1:14" hidden="1" outlineLevel="1" x14ac:dyDescent="0.2">
      <c r="A13765" s="23" t="str">
        <f>HYPERLINK("https://www.spark-marketing.ru/Card/Person/60222", "УМВД РОССИИ ПО Г. ЛИПЕЦКУ")</f>
        <v>УМВД РОССИИ ПО Г. ЛИПЕЦКУ</v>
      </c>
      <c r="B13765" s="24" t="s">
        <v>17974</v>
      </c>
      <c r="C13765" s="25">
        <v>4000000</v>
      </c>
      <c r="D13765" s="22" t="s">
        <v>18454</v>
      </c>
      <c r="E13765" s="22" t="s">
        <v>48</v>
      </c>
      <c r="F13765" s="23" t="str">
        <f>HYPERLINK("https://www.spark-marketing.ru/Card/Lot/72018977", "Оказание услуг по обеспечению ежедневным трехразовым горячим питанием иностранных граждан, содержащихся в центре временного содержания иностранных граждан УМВД России по городу Липецку")</f>
        <v>Оказание услуг по обеспечению ежедневным трехразовым горячим питанием иностранных граждан, содержащихся в центре временного содержания иностранных граждан УМВД России по городу Липецку</v>
      </c>
      <c r="G13765" s="22" t="s">
        <v>101</v>
      </c>
      <c r="H13765" s="22" t="s">
        <v>728</v>
      </c>
      <c r="I13765" s="26">
        <v>43656.374305555597</v>
      </c>
      <c r="J13765" s="23" t="str">
        <f>HYPERLINK("https://www.spark-marketing.ru/Card/Person/6441136", "ООО ""ЛАЙМА Л""")</f>
        <v>ООО "ЛАЙМА Л"</v>
      </c>
      <c r="K13765" s="24" t="s">
        <v>18455</v>
      </c>
      <c r="L13765" s="28" t="s">
        <v>51</v>
      </c>
      <c r="M13765" s="25">
        <v>1135</v>
      </c>
      <c r="N13765" s="27">
        <v>0.99971624999999997</v>
      </c>
    </row>
    <row r="13766" spans="1:14" x14ac:dyDescent="0.15">
      <c r="A13766" s="23" t="str">
        <f>HYPERLINK("https://www.spark-marketing.ru/Card/Person/4343663", "МИНЗДРАВ АЛТАЙСКОГО КРАЯ")</f>
        <v>МИНЗДРАВ АЛТАЙСКОГО КРАЯ</v>
      </c>
      <c r="B13766" s="24" t="s">
        <v>9429</v>
      </c>
      <c r="C13766" s="25">
        <v>99822</v>
      </c>
      <c r="D13766" s="22" t="s">
        <v>18456</v>
      </c>
      <c r="E13766" s="22" t="s">
        <v>336</v>
      </c>
      <c r="F13766" s="23" t="str">
        <f>HYPERLINK("https://www.spark-marketing.ru/Card/Lot/71995558",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3766" s="22" t="s">
        <v>63</v>
      </c>
      <c r="H13766" s="22" t="s">
        <v>177</v>
      </c>
      <c r="I13766" s="26">
        <v>43656.337500000001</v>
      </c>
      <c r="J13766" s="28" t="s">
        <v>51</v>
      </c>
      <c r="K13766" s="28" t="s">
        <v>51</v>
      </c>
      <c r="L13766" s="28" t="s">
        <v>51</v>
      </c>
      <c r="M13766" s="28" t="s">
        <v>51</v>
      </c>
      <c r="N13766" s="28" t="s">
        <v>51</v>
      </c>
    </row>
    <row r="13767" spans="1:14" x14ac:dyDescent="0.15">
      <c r="A13767" s="23" t="str">
        <f>HYPERLINK("https://www.spark-marketing.ru/Card/Person/4343663", "МИНЗДРАВ АЛТАЙСКОГО КРАЯ")</f>
        <v>МИНЗДРАВ АЛТАЙСКОГО КРАЯ</v>
      </c>
      <c r="B13767" s="24" t="s">
        <v>9429</v>
      </c>
      <c r="C13767" s="25">
        <v>45000</v>
      </c>
      <c r="D13767" s="22" t="s">
        <v>18457</v>
      </c>
      <c r="E13767" s="22" t="s">
        <v>336</v>
      </c>
      <c r="F13767" s="23" t="str">
        <f>HYPERLINK("https://www.spark-marketing.ru/Card/Lot/71995580",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3767" s="22" t="s">
        <v>63</v>
      </c>
      <c r="H13767" s="22" t="s">
        <v>177</v>
      </c>
      <c r="I13767" s="26">
        <v>43656.348611111098</v>
      </c>
      <c r="J13767" s="28" t="s">
        <v>51</v>
      </c>
      <c r="K13767" s="28" t="s">
        <v>51</v>
      </c>
      <c r="L13767" s="28" t="s">
        <v>51</v>
      </c>
      <c r="M13767" s="28" t="s">
        <v>51</v>
      </c>
      <c r="N13767" s="28" t="s">
        <v>51</v>
      </c>
    </row>
    <row r="13768" spans="1:14" x14ac:dyDescent="0.15">
      <c r="A13768" s="23" t="str">
        <f>HYPERLINK("https://www.spark-marketing.ru/Card/Person/150477", "ОТДЕЛ МВД РОССИИ ПО КРАСНОАРМЕЙСКОМУ РАЙОНУ ЧЕЛЯБИНСКОЙ ОБЛАСТИ")</f>
        <v>ОТДЕЛ МВД РОССИИ ПО КРАСНОАРМЕЙСКОМУ РАЙОНУ ЧЕЛЯБИНСКОЙ ОБЛАСТИ</v>
      </c>
      <c r="B13768" s="24" t="s">
        <v>3944</v>
      </c>
      <c r="C13768" s="25">
        <v>30000</v>
      </c>
      <c r="D13768" s="22" t="s">
        <v>18458</v>
      </c>
      <c r="E13768" s="22" t="s">
        <v>18459</v>
      </c>
      <c r="F13768" s="23" t="str">
        <f>HYPERLINK("https://www.spark-marketing.ru/Card/Lot/71995265", "Услуги")</f>
        <v>Услуги</v>
      </c>
      <c r="G13768" s="22" t="s">
        <v>469</v>
      </c>
      <c r="H13768" s="22" t="s">
        <v>3946</v>
      </c>
      <c r="I13768" s="26">
        <v>43656.319467592599</v>
      </c>
      <c r="J13768" s="28" t="s">
        <v>51</v>
      </c>
      <c r="K13768" s="28" t="s">
        <v>51</v>
      </c>
      <c r="L13768" s="28" t="s">
        <v>51</v>
      </c>
      <c r="M13768" s="28" t="s">
        <v>51</v>
      </c>
      <c r="N13768" s="28" t="s">
        <v>51</v>
      </c>
    </row>
    <row r="13769" spans="1:14" x14ac:dyDescent="0.15">
      <c r="A13769" s="23" t="str">
        <f>HYPERLINK("https://www.spark-marketing.ru/Card/Person/550757", "ОМВД РОССИИ ПО ТОМСКОМУ РАЙОНУ УМВД РОССИИ ПО ТОМСКОЙ ОБЛАСТИ")</f>
        <v>ОМВД РОССИИ ПО ТОМСКОМУ РАЙОНУ УМВД РОССИИ ПО ТОМСКОЙ ОБЛАСТИ</v>
      </c>
      <c r="B13769" s="24" t="s">
        <v>17654</v>
      </c>
      <c r="C13769" s="25">
        <v>34000</v>
      </c>
      <c r="D13769" s="22" t="s">
        <v>18460</v>
      </c>
      <c r="E13769" s="22" t="s">
        <v>96</v>
      </c>
      <c r="F13769" s="23" t="str">
        <f>HYPERLINK("https://www.spark-marketing.ru/Card/Lot/71994746", "Оказание услуг по организации питания (приготовлению и доставке), 113 шт")</f>
        <v>Оказание услуг по организации питания (приготовлению и доставке), 113 шт</v>
      </c>
      <c r="G13769" s="22" t="s">
        <v>149</v>
      </c>
      <c r="H13769" s="22" t="s">
        <v>496</v>
      </c>
      <c r="I13769" s="26">
        <v>43656.2730787037</v>
      </c>
      <c r="J13769" s="28" t="s">
        <v>51</v>
      </c>
      <c r="K13769" s="28" t="s">
        <v>51</v>
      </c>
      <c r="L13769" s="28" t="s">
        <v>51</v>
      </c>
      <c r="M13769" s="28" t="s">
        <v>51</v>
      </c>
      <c r="N13769" s="28" t="s">
        <v>51</v>
      </c>
    </row>
    <row r="13770" spans="1:14" x14ac:dyDescent="0.15">
      <c r="A13770" s="23" t="str">
        <f>HYPERLINK("https://www.spark-marketing.ru/Card/Person/6450322", "ЗАКАЗЧИК РП БЕЛАРУСЬ")</f>
        <v>ЗАКАЗЧИК РП БЕЛАРУСЬ</v>
      </c>
      <c r="B13770" s="28" t="s">
        <v>51</v>
      </c>
      <c r="C13770" s="28" t="s">
        <v>51</v>
      </c>
      <c r="D13770" s="22" t="s">
        <v>18461</v>
      </c>
      <c r="E13770" s="22" t="s">
        <v>52</v>
      </c>
      <c r="F13770" s="23" t="str">
        <f>HYPERLINK("https://www.spark-marketing.ru/Card/Lot/72009070", "Услуги по аренде помещения, организации проживания и питания для проведения тренинга по обучению навыкам эффективной коммуникации с 29.07.2019 по 31.07.2019")</f>
        <v>Услуги по аренде помещения, организации проживания и питания для проведения тренинга по обучению навыкам эффективной коммуникации с 29.07.2019 по 31.07.2019</v>
      </c>
      <c r="G13770" s="22" t="s">
        <v>51</v>
      </c>
      <c r="H13770" s="22" t="s">
        <v>51</v>
      </c>
      <c r="I13770" s="26">
        <v>43656</v>
      </c>
      <c r="J13770" s="28" t="s">
        <v>51</v>
      </c>
      <c r="K13770" s="28" t="s">
        <v>51</v>
      </c>
      <c r="L13770" s="28" t="s">
        <v>51</v>
      </c>
      <c r="M13770" s="28" t="s">
        <v>51</v>
      </c>
      <c r="N13770" s="28" t="s">
        <v>51</v>
      </c>
    </row>
    <row r="13771" spans="1:14" x14ac:dyDescent="0.2">
      <c r="A13771" s="23" t="str">
        <f>HYPERLINK("https://www.spark-marketing.ru/Card/Person/254092", "МБДОУ ""ДЕТСКИЙ САД ОБЩЕРАЗВИВАЮЩЕГО ВИДА № 5""АЙГУЛЬ"" П.Г.Т. КАМСКИЕ ПОЛЯНЫ НМР РТ")</f>
        <v>МБДОУ "ДЕТСКИЙ САД ОБЩЕРАЗВИВАЮЩЕГО ВИДА № 5"АЙГУЛЬ" П.Г.Т. КАМСКИЕ ПОЛЯНЫ НМР РТ</v>
      </c>
      <c r="B13771" s="24" t="s">
        <v>8112</v>
      </c>
      <c r="C13771" s="25">
        <v>92066.19</v>
      </c>
      <c r="D13771" s="22" t="s">
        <v>18462</v>
      </c>
      <c r="E13771" s="22" t="s">
        <v>52</v>
      </c>
      <c r="F13771" s="23" t="str">
        <f>HYPERLINK("https://www.spark-marketing.ru/Card/Lot/73768275", "Услуги по организации питания")</f>
        <v>Услуги по организации питания</v>
      </c>
      <c r="G13771" s="22" t="s">
        <v>217</v>
      </c>
      <c r="H13771" s="22" t="s">
        <v>5604</v>
      </c>
      <c r="I13771" s="26">
        <v>43656.000694444403</v>
      </c>
      <c r="J13771" s="28" t="s">
        <v>51</v>
      </c>
      <c r="K13771" s="28" t="s">
        <v>51</v>
      </c>
      <c r="L13771" s="28" t="s">
        <v>51</v>
      </c>
      <c r="M13771" s="25">
        <v>92066.19</v>
      </c>
      <c r="N13771" s="27">
        <v>0</v>
      </c>
    </row>
    <row r="13772" spans="1:14" x14ac:dyDescent="0.2">
      <c r="A13772" s="23" t="str">
        <f>HYPERLINK("https://www.spark-marketing.ru/Card/Person/255195", "МБДОУ ""ДЕТСКИЙ САД № 4 ""СОЛНЫШКО"" ПГТ КАМСКИЕ ПОЛЯНЫ НМР РТ")</f>
        <v>МБДОУ "ДЕТСКИЙ САД № 4 "СОЛНЫШКО" ПГТ КАМСКИЕ ПОЛЯНЫ НМР РТ</v>
      </c>
      <c r="B13772" s="24" t="s">
        <v>8118</v>
      </c>
      <c r="C13772" s="25">
        <v>195900.93</v>
      </c>
      <c r="D13772" s="22" t="s">
        <v>18463</v>
      </c>
      <c r="E13772" s="22" t="s">
        <v>52</v>
      </c>
      <c r="F13772" s="23" t="str">
        <f>HYPERLINK("https://www.spark-marketing.ru/Card/Lot/73768278", "Услуги по организации питания")</f>
        <v>Услуги по организации питания</v>
      </c>
      <c r="G13772" s="22" t="s">
        <v>217</v>
      </c>
      <c r="H13772" s="22" t="s">
        <v>5604</v>
      </c>
      <c r="I13772" s="26">
        <v>43656.000694444403</v>
      </c>
      <c r="J13772" s="28" t="s">
        <v>51</v>
      </c>
      <c r="K13772" s="28" t="s">
        <v>51</v>
      </c>
      <c r="L13772" s="28" t="s">
        <v>51</v>
      </c>
      <c r="M13772" s="25">
        <v>195900.93</v>
      </c>
      <c r="N13772" s="27">
        <v>0</v>
      </c>
    </row>
    <row r="13773" spans="1:14" x14ac:dyDescent="0.15">
      <c r="A13773" s="23" t="str">
        <f>HYPERLINK("https://www.spark-marketing.ru/Card/Person/73425", "КГБУ ""ХАБАРОВСКИЙ ДПИ № 1""")</f>
        <v>КГБУ "ХАБАРОВСКИЙ ДПИ № 1"</v>
      </c>
      <c r="B13773" s="24" t="s">
        <v>11793</v>
      </c>
      <c r="C13773" s="25">
        <v>490995</v>
      </c>
      <c r="D13773" s="22" t="s">
        <v>18464</v>
      </c>
      <c r="E13773" s="22" t="s">
        <v>580</v>
      </c>
      <c r="F13773" s="23" t="str">
        <f>HYPERLINK("https://www.spark-marketing.ru/Card/Lot/71974269", "Поставка диетического питания")</f>
        <v>Поставка диетического питания</v>
      </c>
      <c r="G13773" s="22" t="s">
        <v>1096</v>
      </c>
      <c r="H13773" s="22" t="s">
        <v>1096</v>
      </c>
      <c r="I13773" s="26">
        <v>43655.832986111098</v>
      </c>
      <c r="J13773" s="28" t="s">
        <v>51</v>
      </c>
      <c r="K13773" s="28" t="s">
        <v>51</v>
      </c>
      <c r="L13773" s="28" t="s">
        <v>51</v>
      </c>
      <c r="M13773" s="28" t="s">
        <v>51</v>
      </c>
      <c r="N13773" s="28" t="s">
        <v>51</v>
      </c>
    </row>
    <row r="13774" spans="1:14" x14ac:dyDescent="0.15">
      <c r="A13774" s="23" t="str">
        <f>HYPERLINK("https://www.spark-marketing.ru/Card/Person/6168043", "ГБУ РЕСПУБЛИКИ МАРИЙ ЭЛ ""ЦСП""")</f>
        <v>ГБУ РЕСПУБЛИКИ МАРИЙ ЭЛ "ЦСП"</v>
      </c>
      <c r="B13774" s="24" t="s">
        <v>18465</v>
      </c>
      <c r="C13774" s="25">
        <v>280000</v>
      </c>
      <c r="D13774" s="22" t="s">
        <v>18466</v>
      </c>
      <c r="E13774" s="22" t="s">
        <v>362</v>
      </c>
      <c r="F13774" s="23" t="str">
        <f>HYPERLINK("https://www.spark-marketing.ru/Card/Lot/71985118", "Услуги питания")</f>
        <v>Услуги питания</v>
      </c>
      <c r="G13774" s="22" t="s">
        <v>3249</v>
      </c>
      <c r="H13774" s="22" t="s">
        <v>3249</v>
      </c>
      <c r="I13774" s="26">
        <v>43655.795740740701</v>
      </c>
      <c r="J13774" s="28" t="s">
        <v>51</v>
      </c>
      <c r="K13774" s="28" t="s">
        <v>51</v>
      </c>
      <c r="L13774" s="28" t="s">
        <v>51</v>
      </c>
      <c r="M13774" s="28" t="s">
        <v>51</v>
      </c>
      <c r="N13774" s="28" t="s">
        <v>51</v>
      </c>
    </row>
    <row r="13775" spans="1:14" x14ac:dyDescent="0.15">
      <c r="A13775" s="23" t="str">
        <f>HYPERLINK("https://www.spark-marketing.ru/Card/Person/6168043", "ГБУ РЕСПУБЛИКИ МАРИЙ ЭЛ ""ЦСП""")</f>
        <v>ГБУ РЕСПУБЛИКИ МАРИЙ ЭЛ "ЦСП"</v>
      </c>
      <c r="B13775" s="24" t="s">
        <v>18465</v>
      </c>
      <c r="C13775" s="25">
        <v>560000</v>
      </c>
      <c r="D13775" s="22" t="s">
        <v>18467</v>
      </c>
      <c r="E13775" s="22" t="s">
        <v>362</v>
      </c>
      <c r="F13775" s="23" t="str">
        <f>HYPERLINK("https://www.spark-marketing.ru/Card/Lot/71984524", "Услуги питания")</f>
        <v>Услуги питания</v>
      </c>
      <c r="G13775" s="22" t="s">
        <v>3249</v>
      </c>
      <c r="H13775" s="22" t="s">
        <v>3249</v>
      </c>
      <c r="I13775" s="26">
        <v>43655.772812499999</v>
      </c>
      <c r="J13775" s="28" t="s">
        <v>51</v>
      </c>
      <c r="K13775" s="28" t="s">
        <v>51</v>
      </c>
      <c r="L13775" s="28" t="s">
        <v>51</v>
      </c>
      <c r="M13775" s="28" t="s">
        <v>51</v>
      </c>
      <c r="N13775" s="28" t="s">
        <v>51</v>
      </c>
    </row>
    <row r="13776" spans="1:14" x14ac:dyDescent="0.2">
      <c r="A13776" s="23" t="str">
        <f>HYPERLINK("https://www.spark-marketing.ru/Card/Person/4373182", "ГАУ ""ЦСП СКС""")</f>
        <v>ГАУ "ЦСП СКС"</v>
      </c>
      <c r="B13776" s="24" t="s">
        <v>4418</v>
      </c>
      <c r="C13776" s="25">
        <v>2394000</v>
      </c>
      <c r="D13776" s="22" t="s">
        <v>18468</v>
      </c>
      <c r="E13776" s="22" t="s">
        <v>794</v>
      </c>
      <c r="F13776" s="23" t="str">
        <f>HYPERLINK("https://www.spark-marketing.ru/Card/Lot/71983258", "Оказание услуги по организации питания и проживания")</f>
        <v>Оказание услуги по организации питания и проживания</v>
      </c>
      <c r="G13776" s="22" t="s">
        <v>322</v>
      </c>
      <c r="H13776" s="22" t="s">
        <v>322</v>
      </c>
      <c r="I13776" s="26">
        <v>43655.7507638889</v>
      </c>
      <c r="J13776" s="28" t="s">
        <v>51</v>
      </c>
      <c r="K13776" s="28" t="s">
        <v>51</v>
      </c>
      <c r="L13776" s="28" t="s">
        <v>51</v>
      </c>
      <c r="M13776" s="25">
        <v>2394000</v>
      </c>
      <c r="N13776" s="27">
        <v>0</v>
      </c>
    </row>
    <row r="13777" spans="1:14" x14ac:dyDescent="0.15">
      <c r="A13777" s="23" t="str">
        <f>HYPERLINK("https://www.spark-marketing.ru/Card/Person/473890", "ММАУ МВСЦ ""ПАТРИОТ""")</f>
        <v>ММАУ МВСЦ "ПАТРИОТ"</v>
      </c>
      <c r="B13777" s="24" t="s">
        <v>18469</v>
      </c>
      <c r="C13777" s="25">
        <v>125000</v>
      </c>
      <c r="D13777" s="22" t="s">
        <v>18470</v>
      </c>
      <c r="E13777" s="22" t="s">
        <v>362</v>
      </c>
      <c r="F13777" s="23" t="str">
        <f>HYPERLINK("https://www.spark-marketing.ru/Card/Lot/71977387", "Услуги по организации питания участников проекта Пост №1")</f>
        <v>Услуги по организации питания участников проекта Пост №1</v>
      </c>
      <c r="G13777" s="22" t="s">
        <v>281</v>
      </c>
      <c r="H13777" s="22" t="s">
        <v>281</v>
      </c>
      <c r="I13777" s="26">
        <v>43655.775486111103</v>
      </c>
      <c r="J13777" s="28" t="s">
        <v>51</v>
      </c>
      <c r="K13777" s="28" t="s">
        <v>51</v>
      </c>
      <c r="L13777" s="28" t="s">
        <v>51</v>
      </c>
      <c r="M13777" s="28" t="s">
        <v>51</v>
      </c>
      <c r="N13777" s="28" t="s">
        <v>51</v>
      </c>
    </row>
    <row r="13778" spans="1:14" x14ac:dyDescent="0.2">
      <c r="A13778" s="23" t="str">
        <f>HYPERLINK("https://www.spark-marketing.ru/Card/Person/4346656", "ФГБУ ""ТЦСКР ""КРЫМСКИЙ""")</f>
        <v>ФГБУ "ТЦСКР "КРЫМСКИЙ"</v>
      </c>
      <c r="B13778" s="24" t="s">
        <v>2225</v>
      </c>
      <c r="C13778" s="25">
        <v>495000</v>
      </c>
      <c r="D13778" s="22" t="s">
        <v>18471</v>
      </c>
      <c r="E13778" s="22" t="s">
        <v>580</v>
      </c>
      <c r="F13778" s="23" t="str">
        <f>HYPERLINK("https://www.spark-marketing.ru/Card/Lot/71983132", "Оказание услуг питания")</f>
        <v>Оказание услуг питания</v>
      </c>
      <c r="G13778" s="22" t="s">
        <v>108</v>
      </c>
      <c r="H13778" s="22" t="s">
        <v>108</v>
      </c>
      <c r="I13778" s="26">
        <v>43655.743946759299</v>
      </c>
      <c r="J13778" s="28" t="s">
        <v>51</v>
      </c>
      <c r="K13778" s="28" t="s">
        <v>51</v>
      </c>
      <c r="L13778" s="28" t="s">
        <v>51</v>
      </c>
      <c r="M13778" s="25">
        <v>495000</v>
      </c>
      <c r="N13778" s="27">
        <v>0</v>
      </c>
    </row>
    <row r="13779" spans="1:14" x14ac:dyDescent="0.2">
      <c r="A13779" s="23" t="str">
        <f>HYPERLINK("https://www.spark-marketing.ru/Card/Person/1758111", "КГАУ ЦСП")</f>
        <v>КГАУ ЦСП</v>
      </c>
      <c r="B13779" s="24" t="s">
        <v>18197</v>
      </c>
      <c r="C13779" s="25">
        <v>316800</v>
      </c>
      <c r="D13779" s="22" t="s">
        <v>18472</v>
      </c>
      <c r="E13779" s="22" t="s">
        <v>6495</v>
      </c>
      <c r="F13779" s="23" t="str">
        <f>HYPERLINK("https://www.spark-marketing.ru/Card/Lot/71967550", "Оказание услуг по организации питания и проживания членов сборных команд Камчатского края по биатлону и лыжным гонкам в рамках проведения профильного спортивно-оздоровительного лагеря для сборных команд Камчатского края по биатлону и лыжным гонкам на...")</f>
        <v>Оказание услуг по организации питания и проживания членов сборных команд Камчатского края по биатлону и лыжным гонкам в рамках проведения профильного спортивно-оздоровительного лагеря для сборных команд Камчатского края по биатлону и лыжным гонкам на...</v>
      </c>
      <c r="G13779" s="22" t="s">
        <v>195</v>
      </c>
      <c r="H13779" s="22" t="s">
        <v>195</v>
      </c>
      <c r="I13779" s="26">
        <v>43655.723148148201</v>
      </c>
      <c r="J13779" s="28" t="s">
        <v>51</v>
      </c>
      <c r="K13779" s="28" t="s">
        <v>51</v>
      </c>
      <c r="L13779" s="22" t="s">
        <v>10</v>
      </c>
      <c r="M13779" s="25">
        <v>316800</v>
      </c>
      <c r="N13779" s="27">
        <v>0</v>
      </c>
    </row>
    <row r="13780" spans="1:14" x14ac:dyDescent="0.15">
      <c r="A13780" s="23" t="str">
        <f t="shared" ref="A13780:A13789" si="456">HYPERLINK("https://www.spark-marketing.ru/Card/Person/29131", "ГБУЗ ""БУГУРУСЛАНСКАЯ РБ""")</f>
        <v>ГБУЗ "БУГУРУСЛАНСКАЯ РБ"</v>
      </c>
      <c r="B13780" s="24" t="s">
        <v>18473</v>
      </c>
      <c r="C13780" s="25">
        <v>3135980.4</v>
      </c>
      <c r="D13780" s="22" t="s">
        <v>18474</v>
      </c>
      <c r="E13780" s="22" t="s">
        <v>809</v>
      </c>
      <c r="F13780" s="23" t="str">
        <f t="shared" ref="F13780:F13789" si="457">HYPERLINK("https://www.spark-marketing.ru/Card/Lot/71990935", "На поставку автоматизированного рабочего места")</f>
        <v>На поставку автоматизированного рабочего места</v>
      </c>
      <c r="G13780" s="22" t="s">
        <v>132</v>
      </c>
      <c r="H13780" s="22" t="s">
        <v>18475</v>
      </c>
      <c r="I13780" s="26">
        <v>43655.724733796298</v>
      </c>
      <c r="J13780" s="28" t="s">
        <v>51</v>
      </c>
      <c r="K13780" s="28" t="s">
        <v>51</v>
      </c>
      <c r="L13780" s="28" t="s">
        <v>51</v>
      </c>
      <c r="M13780" s="28" t="s">
        <v>51</v>
      </c>
      <c r="N13780" s="28" t="s">
        <v>51</v>
      </c>
    </row>
    <row r="13781" spans="1:14" hidden="1" outlineLevel="1" x14ac:dyDescent="0.2">
      <c r="A13781" s="23" t="str">
        <f t="shared" si="456"/>
        <v>ГБУЗ "БУГУРУСЛАНСКАЯ РБ"</v>
      </c>
      <c r="B13781" s="24" t="s">
        <v>18473</v>
      </c>
      <c r="C13781" s="25">
        <v>3135980.4</v>
      </c>
      <c r="D13781" s="22" t="s">
        <v>18474</v>
      </c>
      <c r="E13781" s="22" t="s">
        <v>809</v>
      </c>
      <c r="F13781" s="23" t="str">
        <f t="shared" si="457"/>
        <v>На поставку автоматизированного рабочего места</v>
      </c>
      <c r="G13781" s="22" t="s">
        <v>132</v>
      </c>
      <c r="H13781" s="22" t="s">
        <v>18475</v>
      </c>
      <c r="I13781" s="26">
        <v>43655.724733796298</v>
      </c>
      <c r="J13781" s="23" t="str">
        <f>HYPERLINK("https://www.spark-marketing.ru/Card/Person/1563641", "ООО ""ТИД""")</f>
        <v>ООО "ТИД"</v>
      </c>
      <c r="K13781" s="24" t="s">
        <v>18476</v>
      </c>
      <c r="L13781" s="28" t="s">
        <v>51</v>
      </c>
      <c r="M13781" s="25">
        <v>1803188.88</v>
      </c>
      <c r="N13781" s="27">
        <v>0.42499995216806841</v>
      </c>
    </row>
    <row r="13782" spans="1:14" ht="12.75" hidden="1" outlineLevel="1" x14ac:dyDescent="0.2">
      <c r="A13782" s="23" t="str">
        <f t="shared" si="456"/>
        <v>ГБУЗ "БУГУРУСЛАНСКАЯ РБ"</v>
      </c>
      <c r="B13782" s="24" t="s">
        <v>18473</v>
      </c>
      <c r="C13782" s="25">
        <v>3135980.4</v>
      </c>
      <c r="D13782" s="22" t="s">
        <v>18474</v>
      </c>
      <c r="E13782" s="22" t="s">
        <v>809</v>
      </c>
      <c r="F13782" s="23" t="str">
        <f t="shared" si="457"/>
        <v>На поставку автоматизированного рабочего места</v>
      </c>
      <c r="G13782" s="22" t="s">
        <v>132</v>
      </c>
      <c r="H13782" s="22" t="s">
        <v>18475</v>
      </c>
      <c r="I13782" s="26">
        <v>43655.724733796298</v>
      </c>
      <c r="J13782" s="23" t="str">
        <f>HYPERLINK("https://www.spark-marketing.ru/Card/Person/1555823", "ООО ""АЙДИТЕКС""")</f>
        <v>ООО "АЙДИТЕКС"</v>
      </c>
      <c r="K13782" s="24" t="s">
        <v>18477</v>
      </c>
      <c r="L13782" s="22" t="s">
        <v>10</v>
      </c>
      <c r="M13782" s="25">
        <v>1724789.38</v>
      </c>
      <c r="N13782" s="27">
        <v>0.44999994897927298</v>
      </c>
    </row>
    <row r="13783" spans="1:14" hidden="1" outlineLevel="1" x14ac:dyDescent="0.2">
      <c r="A13783" s="23" t="str">
        <f t="shared" si="456"/>
        <v>ГБУЗ "БУГУРУСЛАНСКАЯ РБ"</v>
      </c>
      <c r="B13783" s="24" t="s">
        <v>18473</v>
      </c>
      <c r="C13783" s="25">
        <v>3135980.4</v>
      </c>
      <c r="D13783" s="22" t="s">
        <v>18474</v>
      </c>
      <c r="E13783" s="22" t="s">
        <v>809</v>
      </c>
      <c r="F13783" s="23" t="str">
        <f t="shared" si="457"/>
        <v>На поставку автоматизированного рабочего места</v>
      </c>
      <c r="G13783" s="22" t="s">
        <v>132</v>
      </c>
      <c r="H13783" s="22" t="s">
        <v>18475</v>
      </c>
      <c r="I13783" s="26">
        <v>43655.724733796298</v>
      </c>
      <c r="J13783" s="23" t="str">
        <f>HYPERLINK("https://www.spark-marketing.ru/Card/Person/601574", "ООО ""ИФРИТ""")</f>
        <v>ООО "ИФРИТ"</v>
      </c>
      <c r="K13783" s="24" t="s">
        <v>8626</v>
      </c>
      <c r="L13783" s="28" t="s">
        <v>51</v>
      </c>
      <c r="M13783" s="25">
        <v>1944308</v>
      </c>
      <c r="N13783" s="27">
        <v>0.3799999515303093</v>
      </c>
    </row>
    <row r="13784" spans="1:14" hidden="1" outlineLevel="1" x14ac:dyDescent="0.2">
      <c r="A13784" s="23" t="str">
        <f t="shared" si="456"/>
        <v>ГБУЗ "БУГУРУСЛАНСКАЯ РБ"</v>
      </c>
      <c r="B13784" s="24" t="s">
        <v>18473</v>
      </c>
      <c r="C13784" s="25">
        <v>3135980.4</v>
      </c>
      <c r="D13784" s="22" t="s">
        <v>18474</v>
      </c>
      <c r="E13784" s="22" t="s">
        <v>809</v>
      </c>
      <c r="F13784" s="23" t="str">
        <f t="shared" si="457"/>
        <v>На поставку автоматизированного рабочего места</v>
      </c>
      <c r="G13784" s="22" t="s">
        <v>132</v>
      </c>
      <c r="H13784" s="22" t="s">
        <v>18475</v>
      </c>
      <c r="I13784" s="26">
        <v>43655.724733796298</v>
      </c>
      <c r="J13784" s="23" t="str">
        <f>HYPERLINK("https://www.spark-marketing.ru/Card/Person/6499259", "ООО ""АЙТИМ""")</f>
        <v>ООО "АЙТИМ"</v>
      </c>
      <c r="K13784" s="24" t="s">
        <v>12113</v>
      </c>
      <c r="L13784" s="28" t="s">
        <v>51</v>
      </c>
      <c r="M13784" s="25">
        <v>2148146.6800000002</v>
      </c>
      <c r="N13784" s="27">
        <v>0.31499996619876836</v>
      </c>
    </row>
    <row r="13785" spans="1:14" hidden="1" outlineLevel="1" x14ac:dyDescent="0.2">
      <c r="A13785" s="23" t="str">
        <f t="shared" si="456"/>
        <v>ГБУЗ "БУГУРУСЛАНСКАЯ РБ"</v>
      </c>
      <c r="B13785" s="24" t="s">
        <v>18473</v>
      </c>
      <c r="C13785" s="25">
        <v>3135980.4</v>
      </c>
      <c r="D13785" s="22" t="s">
        <v>18474</v>
      </c>
      <c r="E13785" s="22" t="s">
        <v>809</v>
      </c>
      <c r="F13785" s="23" t="str">
        <f t="shared" si="457"/>
        <v>На поставку автоматизированного рабочего места</v>
      </c>
      <c r="G13785" s="22" t="s">
        <v>132</v>
      </c>
      <c r="H13785" s="22" t="s">
        <v>18475</v>
      </c>
      <c r="I13785" s="26">
        <v>43655.724733796298</v>
      </c>
      <c r="J13785" s="23" t="str">
        <f>HYPERLINK("https://www.spark-marketing.ru/Card/Person/758891", "ООО ""КОМПЬЮТЕРНЫЙ ДОМ""")</f>
        <v>ООО "КОМПЬЮТЕРНЫЙ ДОМ"</v>
      </c>
      <c r="K13785" s="24" t="s">
        <v>18478</v>
      </c>
      <c r="L13785" s="28" t="s">
        <v>51</v>
      </c>
      <c r="M13785" s="25">
        <v>2540144.2000000002</v>
      </c>
      <c r="N13785" s="27">
        <v>0.18999997576515465</v>
      </c>
    </row>
    <row r="13786" spans="1:14" hidden="1" outlineLevel="1" x14ac:dyDescent="0.2">
      <c r="A13786" s="23" t="str">
        <f t="shared" si="456"/>
        <v>ГБУЗ "БУГУРУСЛАНСКАЯ РБ"</v>
      </c>
      <c r="B13786" s="24" t="s">
        <v>18473</v>
      </c>
      <c r="C13786" s="25">
        <v>3135980.4</v>
      </c>
      <c r="D13786" s="22" t="s">
        <v>18474</v>
      </c>
      <c r="E13786" s="22" t="s">
        <v>809</v>
      </c>
      <c r="F13786" s="23" t="str">
        <f t="shared" si="457"/>
        <v>На поставку автоматизированного рабочего места</v>
      </c>
      <c r="G13786" s="22" t="s">
        <v>132</v>
      </c>
      <c r="H13786" s="22" t="s">
        <v>18475</v>
      </c>
      <c r="I13786" s="26">
        <v>43655.724733796298</v>
      </c>
      <c r="J13786" s="23" t="str">
        <f>HYPERLINK("https://www.spark-marketing.ru/Card/Person/6518468", "ООО ""КМ СЕВЕРО-ЗАПАД""")</f>
        <v>ООО "КМ СЕВЕРО-ЗАПАД"</v>
      </c>
      <c r="K13786" s="24" t="s">
        <v>13998</v>
      </c>
      <c r="L13786" s="28" t="s">
        <v>51</v>
      </c>
      <c r="M13786" s="25">
        <v>1724789.38</v>
      </c>
      <c r="N13786" s="27">
        <v>0.44999994897927298</v>
      </c>
    </row>
    <row r="13787" spans="1:14" hidden="1" outlineLevel="1" x14ac:dyDescent="0.2">
      <c r="A13787" s="23" t="str">
        <f t="shared" si="456"/>
        <v>ГБУЗ "БУГУРУСЛАНСКАЯ РБ"</v>
      </c>
      <c r="B13787" s="24" t="s">
        <v>18473</v>
      </c>
      <c r="C13787" s="25">
        <v>3135980.4</v>
      </c>
      <c r="D13787" s="22" t="s">
        <v>18474</v>
      </c>
      <c r="E13787" s="22" t="s">
        <v>809</v>
      </c>
      <c r="F13787" s="23" t="str">
        <f t="shared" si="457"/>
        <v>На поставку автоматизированного рабочего места</v>
      </c>
      <c r="G13787" s="22" t="s">
        <v>132</v>
      </c>
      <c r="H13787" s="22" t="s">
        <v>18475</v>
      </c>
      <c r="I13787" s="26">
        <v>43655.724733796298</v>
      </c>
      <c r="J13787" s="23" t="str">
        <f>HYPERLINK("https://www.spark-marketing.ru/Card/Person/4932372", "ООО ""КМ ИНЖЕНЕРНЫЕ СИСТЕМЫ""")</f>
        <v>ООО "КМ ИНЖЕНЕРНЫЕ СИСТЕМЫ"</v>
      </c>
      <c r="K13787" s="24" t="s">
        <v>15966</v>
      </c>
      <c r="L13787" s="28" t="s">
        <v>51</v>
      </c>
      <c r="M13787" s="25">
        <v>1888000</v>
      </c>
      <c r="N13787" s="27">
        <v>0.39795542089484998</v>
      </c>
    </row>
    <row r="13788" spans="1:14" hidden="1" outlineLevel="1" x14ac:dyDescent="0.2">
      <c r="A13788" s="23" t="str">
        <f t="shared" si="456"/>
        <v>ГБУЗ "БУГУРУСЛАНСКАЯ РБ"</v>
      </c>
      <c r="B13788" s="24" t="s">
        <v>18473</v>
      </c>
      <c r="C13788" s="25">
        <v>3135980.4</v>
      </c>
      <c r="D13788" s="22" t="s">
        <v>18474</v>
      </c>
      <c r="E13788" s="22" t="s">
        <v>809</v>
      </c>
      <c r="F13788" s="23" t="str">
        <f t="shared" si="457"/>
        <v>На поставку автоматизированного рабочего места</v>
      </c>
      <c r="G13788" s="22" t="s">
        <v>132</v>
      </c>
      <c r="H13788" s="22" t="s">
        <v>18475</v>
      </c>
      <c r="I13788" s="26">
        <v>43655.724733796298</v>
      </c>
      <c r="J13788" s="23" t="str">
        <f>HYPERLINK("https://www.spark-marketing.ru/Card/Person/1688716", "ООО ""МОЛВЕРС""")</f>
        <v>ООО "МОЛВЕРС"</v>
      </c>
      <c r="K13788" s="24" t="s">
        <v>18479</v>
      </c>
      <c r="L13788" s="28" t="s">
        <v>51</v>
      </c>
      <c r="M13788" s="25">
        <v>2347000</v>
      </c>
      <c r="N13788" s="27">
        <v>0.25158971019079074</v>
      </c>
    </row>
    <row r="13789" spans="1:14" hidden="1" outlineLevel="1" x14ac:dyDescent="0.2">
      <c r="A13789" s="23" t="str">
        <f t="shared" si="456"/>
        <v>ГБУЗ "БУГУРУСЛАНСКАЯ РБ"</v>
      </c>
      <c r="B13789" s="24" t="s">
        <v>18473</v>
      </c>
      <c r="C13789" s="25">
        <v>3135980.4</v>
      </c>
      <c r="D13789" s="22" t="s">
        <v>18474</v>
      </c>
      <c r="E13789" s="22" t="s">
        <v>809</v>
      </c>
      <c r="F13789" s="23" t="str">
        <f t="shared" si="457"/>
        <v>На поставку автоматизированного рабочего места</v>
      </c>
      <c r="G13789" s="22" t="s">
        <v>132</v>
      </c>
      <c r="H13789" s="22" t="s">
        <v>18475</v>
      </c>
      <c r="I13789" s="26">
        <v>43655.724733796298</v>
      </c>
      <c r="J13789" s="23" t="str">
        <f>HYPERLINK("https://www.spark-marketing.ru/Card/Person/990909", "ООО ""НЬЮКОМП""")</f>
        <v>ООО "НЬЮКОМП"</v>
      </c>
      <c r="K13789" s="24" t="s">
        <v>18480</v>
      </c>
      <c r="L13789" s="28" t="s">
        <v>51</v>
      </c>
      <c r="M13789" s="25">
        <v>2360000</v>
      </c>
      <c r="N13789" s="27">
        <v>0.24744427611856248</v>
      </c>
    </row>
    <row r="13790" spans="1:14" x14ac:dyDescent="0.15">
      <c r="A13790" s="23" t="str">
        <f>HYPERLINK("https://www.spark-marketing.ru/Card/Person/53933", "СПБ ГБПОУ ""УОР № 2 (ТЕХНИКУМ)""")</f>
        <v>СПБ ГБПОУ "УОР № 2 (ТЕХНИКУМ)"</v>
      </c>
      <c r="B13790" s="24" t="s">
        <v>2322</v>
      </c>
      <c r="C13790" s="25">
        <v>214812</v>
      </c>
      <c r="D13790" s="22" t="s">
        <v>18481</v>
      </c>
      <c r="E13790" s="22" t="s">
        <v>51</v>
      </c>
      <c r="F13790" s="23" t="str">
        <f>HYPERLINK("https://www.spark-marketing.ru/Card/Lot/71985823", "Оказание услуг по предоставлению проживания, питания и спортивных сооружений при проведении тренировочного мероприятия по общей физической подготовке для занимающихся СПб ГБПОУ ""УОР № 2 (техникум) отделения ""Фристайл"" (ски-кросс) в 2019 году")</f>
        <v>Оказание услуг по предоставлению проживания, питания и спортивных сооружений при проведении тренировочного мероприятия по общей физической подготовке для занимающихся СПб ГБПОУ "УОР № 2 (техникум) отделения "Фристайл" (ски-кросс) в 2019 году</v>
      </c>
      <c r="G13790" s="22" t="s">
        <v>117</v>
      </c>
      <c r="H13790" s="22" t="s">
        <v>117</v>
      </c>
      <c r="I13790" s="26">
        <v>43655.721527777801</v>
      </c>
      <c r="J13790" s="28" t="s">
        <v>51</v>
      </c>
      <c r="K13790" s="28" t="s">
        <v>51</v>
      </c>
      <c r="L13790" s="28" t="s">
        <v>51</v>
      </c>
      <c r="M13790" s="28" t="s">
        <v>51</v>
      </c>
      <c r="N13790" s="28" t="s">
        <v>51</v>
      </c>
    </row>
    <row r="13791" spans="1:14" hidden="1" outlineLevel="1" x14ac:dyDescent="0.2">
      <c r="A13791" s="23" t="str">
        <f>HYPERLINK("https://www.spark-marketing.ru/Card/Person/53933", "СПБ ГБПОУ ""УОР № 2 (ТЕХНИКУМ)""")</f>
        <v>СПБ ГБПОУ "УОР № 2 (ТЕХНИКУМ)"</v>
      </c>
      <c r="B13791" s="24" t="s">
        <v>2322</v>
      </c>
      <c r="C13791" s="25">
        <v>214812</v>
      </c>
      <c r="D13791" s="22" t="s">
        <v>18481</v>
      </c>
      <c r="E13791" s="22" t="s">
        <v>51</v>
      </c>
      <c r="F13791" s="23" t="str">
        <f>HYPERLINK("https://www.spark-marketing.ru/Card/Lot/71985823", "Оказание услуг по предоставлению проживания, питания и спортивных сооружений при проведении тренировочного мероприятия по общей физической подготовке для занимающихся СПб ГБПОУ ""УОР № 2 (техникум) отделения ""Фристайл"" (ски-кросс) в 2019 году")</f>
        <v>Оказание услуг по предоставлению проживания, питания и спортивных сооружений при проведении тренировочного мероприятия по общей физической подготовке для занимающихся СПб ГБПОУ "УОР № 2 (техникум) отделения "Фристайл" (ски-кросс) в 2019 году</v>
      </c>
      <c r="G13791" s="22" t="s">
        <v>117</v>
      </c>
      <c r="H13791" s="22" t="s">
        <v>117</v>
      </c>
      <c r="I13791" s="26">
        <v>43655.721527777801</v>
      </c>
      <c r="J13791" s="23" t="str">
        <f>HYPERLINK("https://www.spark-marketing.ru/Card/Person/6327365", "ООО ""ДРИМ-ТУР""")</f>
        <v>ООО "ДРИМ-ТУР"</v>
      </c>
      <c r="K13791" s="24" t="s">
        <v>18482</v>
      </c>
      <c r="L13791" s="28" t="s">
        <v>51</v>
      </c>
      <c r="M13791" s="25">
        <v>185000</v>
      </c>
      <c r="N13791" s="27">
        <v>0.1387818185203806</v>
      </c>
    </row>
    <row r="13792" spans="1:14" hidden="1" outlineLevel="1" x14ac:dyDescent="0.2">
      <c r="A13792" s="23" t="str">
        <f>HYPERLINK("https://www.spark-marketing.ru/Card/Person/53933", "СПБ ГБПОУ ""УОР № 2 (ТЕХНИКУМ)""")</f>
        <v>СПБ ГБПОУ "УОР № 2 (ТЕХНИКУМ)"</v>
      </c>
      <c r="B13792" s="24" t="s">
        <v>2322</v>
      </c>
      <c r="C13792" s="25">
        <v>214812</v>
      </c>
      <c r="D13792" s="22" t="s">
        <v>18481</v>
      </c>
      <c r="E13792" s="22" t="s">
        <v>51</v>
      </c>
      <c r="F13792" s="23" t="str">
        <f>HYPERLINK("https://www.spark-marketing.ru/Card/Lot/71985823", "Оказание услуг по предоставлению проживания, питания и спортивных сооружений при проведении тренировочного мероприятия по общей физической подготовке для занимающихся СПб ГБПОУ ""УОР № 2 (техникум) отделения ""Фристайл"" (ски-кросс) в 2019 году")</f>
        <v>Оказание услуг по предоставлению проживания, питания и спортивных сооружений при проведении тренировочного мероприятия по общей физической подготовке для занимающихся СПб ГБПОУ "УОР № 2 (техникум) отделения "Фристайл" (ски-кросс) в 2019 году</v>
      </c>
      <c r="G13792" s="22" t="s">
        <v>117</v>
      </c>
      <c r="H13792" s="22" t="s">
        <v>117</v>
      </c>
      <c r="I13792" s="26">
        <v>43655.721527777801</v>
      </c>
      <c r="J13792" s="23" t="str">
        <f>HYPERLINK("https://www.spark-marketing.ru/Card/Person/4358897", "ООО ""ТРИНИТИ ТРЕВЕЛ""")</f>
        <v>ООО "ТРИНИТИ ТРЕВЕЛ"</v>
      </c>
      <c r="K13792" s="24" t="s">
        <v>2483</v>
      </c>
      <c r="L13792" s="28" t="s">
        <v>51</v>
      </c>
      <c r="M13792" s="25">
        <v>206880.48</v>
      </c>
      <c r="N13792" s="27">
        <v>3.6923076923076927E-2</v>
      </c>
    </row>
    <row r="13793" spans="1:14" ht="12.75" hidden="1" outlineLevel="1" x14ac:dyDescent="0.2">
      <c r="A13793" s="23" t="str">
        <f>HYPERLINK("https://www.spark-marketing.ru/Card/Person/53933", "СПБ ГБПОУ ""УОР № 2 (ТЕХНИКУМ)""")</f>
        <v>СПБ ГБПОУ "УОР № 2 (ТЕХНИКУМ)"</v>
      </c>
      <c r="B13793" s="24" t="s">
        <v>2322</v>
      </c>
      <c r="C13793" s="25">
        <v>214812</v>
      </c>
      <c r="D13793" s="22" t="s">
        <v>18481</v>
      </c>
      <c r="E13793" s="22" t="s">
        <v>51</v>
      </c>
      <c r="F13793" s="23" t="str">
        <f>HYPERLINK("https://www.spark-marketing.ru/Card/Lot/71985823", "Оказание услуг по предоставлению проживания, питания и спортивных сооружений при проведении тренировочного мероприятия по общей физической подготовке для занимающихся СПб ГБПОУ ""УОР № 2 (техникум) отделения ""Фристайл"" (ски-кросс) в 2019 году")</f>
        <v>Оказание услуг по предоставлению проживания, питания и спортивных сооружений при проведении тренировочного мероприятия по общей физической подготовке для занимающихся СПб ГБПОУ "УОР № 2 (техникум) отделения "Фристайл" (ски-кросс) в 2019 году</v>
      </c>
      <c r="G13793" s="22" t="s">
        <v>117</v>
      </c>
      <c r="H13793" s="22" t="s">
        <v>117</v>
      </c>
      <c r="I13793" s="26">
        <v>43655.721527777801</v>
      </c>
      <c r="J13793" s="23" t="str">
        <f>HYPERLINK("https://www.spark-marketing.ru/Card/Person/6514967", "ООО ""АЛЬЯНС""")</f>
        <v>ООО "АЛЬЯНС"</v>
      </c>
      <c r="K13793" s="24" t="s">
        <v>1634</v>
      </c>
      <c r="L13793" s="22" t="s">
        <v>10</v>
      </c>
      <c r="M13793" s="25">
        <v>183925.94</v>
      </c>
      <c r="N13793" s="27">
        <v>0.14378181852038061</v>
      </c>
    </row>
    <row r="13794" spans="1:14" x14ac:dyDescent="0.2">
      <c r="A13794" s="23" t="str">
        <f>HYPERLINK("https://www.spark-marketing.ru/Card/Person/4373182", "ГАУ ""ЦСП СКС""")</f>
        <v>ГАУ "ЦСП СКС"</v>
      </c>
      <c r="B13794" s="24" t="s">
        <v>4418</v>
      </c>
      <c r="C13794" s="25">
        <v>2232000</v>
      </c>
      <c r="D13794" s="22" t="s">
        <v>18483</v>
      </c>
      <c r="E13794" s="22" t="s">
        <v>794</v>
      </c>
      <c r="F13794" s="23" t="str">
        <f>HYPERLINK("https://www.spark-marketing.ru/Card/Lot/71983214", "Оказание услуги по организации питания и проживания")</f>
        <v>Оказание услуги по организации питания и проживания</v>
      </c>
      <c r="G13794" s="22" t="s">
        <v>322</v>
      </c>
      <c r="H13794" s="22" t="s">
        <v>322</v>
      </c>
      <c r="I13794" s="26">
        <v>43655.745081018496</v>
      </c>
      <c r="J13794" s="28" t="s">
        <v>51</v>
      </c>
      <c r="K13794" s="28" t="s">
        <v>51</v>
      </c>
      <c r="L13794" s="28" t="s">
        <v>51</v>
      </c>
      <c r="M13794" s="25">
        <v>2232000</v>
      </c>
      <c r="N13794" s="27">
        <v>0</v>
      </c>
    </row>
    <row r="13795" spans="1:14" x14ac:dyDescent="0.15">
      <c r="A13795" s="23" t="str">
        <f>HYPERLINK("https://www.spark-marketing.ru/Card/Person/4867758", "МАУ ""ВЦТВФСК ""ГТО""")</f>
        <v>МАУ "ВЦТВФСК "ГТО"</v>
      </c>
      <c r="B13795" s="24" t="s">
        <v>5917</v>
      </c>
      <c r="C13795" s="25">
        <v>175000</v>
      </c>
      <c r="D13795" s="22" t="s">
        <v>18484</v>
      </c>
      <c r="E13795" s="22" t="s">
        <v>580</v>
      </c>
      <c r="F13795" s="23" t="str">
        <f>HYPERLINK("https://www.spark-marketing.ru/Card/Lot/71983246", "Услуги по организации питания")</f>
        <v>Услуги по организации питания</v>
      </c>
      <c r="G13795" s="22" t="s">
        <v>59</v>
      </c>
      <c r="H13795" s="22" t="s">
        <v>59</v>
      </c>
      <c r="I13795" s="26">
        <v>43655.733715277798</v>
      </c>
      <c r="J13795" s="28" t="s">
        <v>51</v>
      </c>
      <c r="K13795" s="28" t="s">
        <v>51</v>
      </c>
      <c r="L13795" s="28" t="s">
        <v>51</v>
      </c>
      <c r="M13795" s="28" t="s">
        <v>51</v>
      </c>
      <c r="N13795" s="28" t="s">
        <v>51</v>
      </c>
    </row>
    <row r="13796" spans="1:14" x14ac:dyDescent="0.15">
      <c r="A13796" s="23" t="str">
        <f>HYPERLINK("https://www.spark-marketing.ru/Card/Person/7962", "УПРАВА РАЙОНА БОГОРОДСКОЕ ГОРОДА МОСКВЫ")</f>
        <v>УПРАВА РАЙОНА БОГОРОДСКОЕ ГОРОДА МОСКВЫ</v>
      </c>
      <c r="B13796" s="24" t="s">
        <v>18485</v>
      </c>
      <c r="C13796" s="25">
        <v>420000</v>
      </c>
      <c r="D13796" s="22" t="s">
        <v>18486</v>
      </c>
      <c r="E13796" s="22" t="s">
        <v>96</v>
      </c>
      <c r="F13796" s="23" t="str">
        <f>HYPERLINK("https://www.spark-marketing.ru/Card/Lot/71987442", "Оказание услуг по организации питания членов участковых избирательных комиссий на территории района Богородское города Москвы в 2019 году.")</f>
        <v>Оказание услуг по организации питания членов участковых избирательных комиссий на территории района Богородское города Москвы в 2019 году.</v>
      </c>
      <c r="G13796" s="22" t="s">
        <v>56</v>
      </c>
      <c r="H13796" s="22" t="s">
        <v>56</v>
      </c>
      <c r="I13796" s="26">
        <v>43655.714583333298</v>
      </c>
      <c r="J13796" s="28" t="s">
        <v>51</v>
      </c>
      <c r="K13796" s="28" t="s">
        <v>51</v>
      </c>
      <c r="L13796" s="28" t="s">
        <v>51</v>
      </c>
      <c r="M13796" s="28" t="s">
        <v>51</v>
      </c>
      <c r="N13796" s="28" t="s">
        <v>51</v>
      </c>
    </row>
    <row r="13797" spans="1:14" hidden="1" outlineLevel="1" x14ac:dyDescent="0.2">
      <c r="A13797" s="23" t="str">
        <f>HYPERLINK("https://www.spark-marketing.ru/Card/Person/7962", "УПРАВА РАЙОНА БОГОРОДСКОЕ ГОРОДА МОСКВЫ")</f>
        <v>УПРАВА РАЙОНА БОГОРОДСКОЕ ГОРОДА МОСКВЫ</v>
      </c>
      <c r="B13797" s="24" t="s">
        <v>18485</v>
      </c>
      <c r="C13797" s="25">
        <v>420000</v>
      </c>
      <c r="D13797" s="22" t="s">
        <v>18486</v>
      </c>
      <c r="E13797" s="22" t="s">
        <v>96</v>
      </c>
      <c r="F13797" s="23" t="str">
        <f>HYPERLINK("https://www.spark-marketing.ru/Card/Lot/71987442", "Оказание услуг по организации питания членов участковых избирательных комиссий на территории района Богородское города Москвы в 2019 году.")</f>
        <v>Оказание услуг по организации питания членов участковых избирательных комиссий на территории района Богородское города Москвы в 2019 году.</v>
      </c>
      <c r="G13797" s="22" t="s">
        <v>56</v>
      </c>
      <c r="H13797" s="22" t="s">
        <v>56</v>
      </c>
      <c r="I13797" s="26">
        <v>43655.714583333298</v>
      </c>
      <c r="J13797" s="23" t="str">
        <f>HYPERLINK("https://www.spark-marketing.ru/Card/Person/2042423", "ООО ""ТФ ПРОДЖЕКТ""")</f>
        <v>ООО "ТФ ПРОДЖЕКТ"</v>
      </c>
      <c r="K13797" s="24" t="s">
        <v>9610</v>
      </c>
      <c r="L13797" s="28" t="s">
        <v>51</v>
      </c>
      <c r="M13797" s="25">
        <v>382200</v>
      </c>
      <c r="N13797" s="27">
        <v>0.09</v>
      </c>
    </row>
    <row r="13798" spans="1:14" hidden="1" outlineLevel="1" x14ac:dyDescent="0.2">
      <c r="A13798" s="23" t="str">
        <f>HYPERLINK("https://www.spark-marketing.ru/Card/Person/7962", "УПРАВА РАЙОНА БОГОРОДСКОЕ ГОРОДА МОСКВЫ")</f>
        <v>УПРАВА РАЙОНА БОГОРОДСКОЕ ГОРОДА МОСКВЫ</v>
      </c>
      <c r="B13798" s="24" t="s">
        <v>18485</v>
      </c>
      <c r="C13798" s="25">
        <v>420000</v>
      </c>
      <c r="D13798" s="22" t="s">
        <v>18486</v>
      </c>
      <c r="E13798" s="22" t="s">
        <v>96</v>
      </c>
      <c r="F13798" s="23" t="str">
        <f>HYPERLINK("https://www.spark-marketing.ru/Card/Lot/71987442", "Оказание услуг по организации питания членов участковых избирательных комиссий на территории района Богородское города Москвы в 2019 году.")</f>
        <v>Оказание услуг по организации питания членов участковых избирательных комиссий на территории района Богородское города Москвы в 2019 году.</v>
      </c>
      <c r="G13798" s="22" t="s">
        <v>56</v>
      </c>
      <c r="H13798" s="22" t="s">
        <v>56</v>
      </c>
      <c r="I13798" s="26">
        <v>43655.714583333298</v>
      </c>
      <c r="J13798" s="23" t="str">
        <f>HYPERLINK("https://www.spark-marketing.ru/Card/Person/162438", "ООО ""ТЕХНО-КЛАССИК+""")</f>
        <v>ООО "ТЕХНО-КЛАССИК+"</v>
      </c>
      <c r="K13798" s="24" t="s">
        <v>13857</v>
      </c>
      <c r="L13798" s="28" t="s">
        <v>51</v>
      </c>
      <c r="M13798" s="25">
        <v>390600</v>
      </c>
      <c r="N13798" s="27">
        <v>7.0000000000000007E-2</v>
      </c>
    </row>
    <row r="13799" spans="1:14" hidden="1" outlineLevel="1" x14ac:dyDescent="0.2">
      <c r="A13799" s="23" t="str">
        <f>HYPERLINK("https://www.spark-marketing.ru/Card/Person/7962", "УПРАВА РАЙОНА БОГОРОДСКОЕ ГОРОДА МОСКВЫ")</f>
        <v>УПРАВА РАЙОНА БОГОРОДСКОЕ ГОРОДА МОСКВЫ</v>
      </c>
      <c r="B13799" s="24" t="s">
        <v>18485</v>
      </c>
      <c r="C13799" s="25">
        <v>420000</v>
      </c>
      <c r="D13799" s="22" t="s">
        <v>18486</v>
      </c>
      <c r="E13799" s="22" t="s">
        <v>96</v>
      </c>
      <c r="F13799" s="23" t="str">
        <f>HYPERLINK("https://www.spark-marketing.ru/Card/Lot/71987442", "Оказание услуг по организации питания членов участковых избирательных комиссий на территории района Богородское города Москвы в 2019 году.")</f>
        <v>Оказание услуг по организации питания членов участковых избирательных комиссий на территории района Богородское города Москвы в 2019 году.</v>
      </c>
      <c r="G13799" s="22" t="s">
        <v>56</v>
      </c>
      <c r="H13799" s="22" t="s">
        <v>56</v>
      </c>
      <c r="I13799" s="26">
        <v>43655.714583333298</v>
      </c>
      <c r="J13799" s="23" t="str">
        <f>HYPERLINK("https://www.spark-marketing.ru/Card/Person/6604981", "ООО ""ПЕРСПЕКТИВА""")</f>
        <v>ООО "ПЕРСПЕКТИВА"</v>
      </c>
      <c r="K13799" s="24" t="s">
        <v>13150</v>
      </c>
      <c r="L13799" s="28" t="s">
        <v>51</v>
      </c>
      <c r="M13799" s="25">
        <v>239400</v>
      </c>
      <c r="N13799" s="27">
        <v>0.43</v>
      </c>
    </row>
    <row r="13800" spans="1:14" ht="12.75" hidden="1" outlineLevel="1" x14ac:dyDescent="0.2">
      <c r="A13800" s="23" t="str">
        <f>HYPERLINK("https://www.spark-marketing.ru/Card/Person/7962", "УПРАВА РАЙОНА БОГОРОДСКОЕ ГОРОДА МОСКВЫ")</f>
        <v>УПРАВА РАЙОНА БОГОРОДСКОЕ ГОРОДА МОСКВЫ</v>
      </c>
      <c r="B13800" s="24" t="s">
        <v>18485</v>
      </c>
      <c r="C13800" s="25">
        <v>420000</v>
      </c>
      <c r="D13800" s="22" t="s">
        <v>18486</v>
      </c>
      <c r="E13800" s="22" t="s">
        <v>96</v>
      </c>
      <c r="F13800" s="23" t="str">
        <f>HYPERLINK("https://www.spark-marketing.ru/Card/Lot/71987442", "Оказание услуг по организации питания членов участковых избирательных комиссий на территории района Богородское города Москвы в 2019 году.")</f>
        <v>Оказание услуг по организации питания членов участковых избирательных комиссий на территории района Богородское города Москвы в 2019 году.</v>
      </c>
      <c r="G13800" s="22" t="s">
        <v>56</v>
      </c>
      <c r="H13800" s="22" t="s">
        <v>56</v>
      </c>
      <c r="I13800" s="26">
        <v>43655.714583333298</v>
      </c>
      <c r="J13800" s="23" t="str">
        <f>HYPERLINK("https://www.spark-marketing.ru/Card/Person/6578901", "ООО ""ДОРОГА""")</f>
        <v>ООО "ДОРОГА"</v>
      </c>
      <c r="K13800" s="24" t="s">
        <v>3102</v>
      </c>
      <c r="L13800" s="22" t="s">
        <v>10</v>
      </c>
      <c r="M13800" s="25">
        <v>237300</v>
      </c>
      <c r="N13800" s="27">
        <v>0.435</v>
      </c>
    </row>
    <row r="13801" spans="1:14" x14ac:dyDescent="0.15">
      <c r="A13801" s="23" t="str">
        <f>HYPERLINK("https://www.spark-marketing.ru/Card/Person/28327", "ГБУЗ ""САРАКТАШСКАЯ РБ""")</f>
        <v>ГБУЗ "САРАКТАШСКАЯ РБ"</v>
      </c>
      <c r="B13801" s="24" t="s">
        <v>518</v>
      </c>
      <c r="C13801" s="25">
        <v>116711.32</v>
      </c>
      <c r="D13801" s="22" t="s">
        <v>18487</v>
      </c>
      <c r="E13801" s="22" t="s">
        <v>809</v>
      </c>
      <c r="F13801" s="23" t="str">
        <f>HYPERLINK("https://www.spark-marketing.ru/Card/Lot/71983703", "на поставку автоматизированных рабочих мест (АРМ)")</f>
        <v>на поставку автоматизированных рабочих мест (АРМ)</v>
      </c>
      <c r="G13801" s="22" t="s">
        <v>132</v>
      </c>
      <c r="H13801" s="22" t="s">
        <v>520</v>
      </c>
      <c r="I13801" s="26">
        <v>43655.724305555603</v>
      </c>
      <c r="J13801" s="23" t="str">
        <f>HYPERLINK("https://www.spark-marketing.ru/Card/Person/117844", "ООО ""БСГ""")</f>
        <v>ООО "БСГ"</v>
      </c>
      <c r="K13801" s="24" t="s">
        <v>4855</v>
      </c>
      <c r="L13801" s="22" t="s">
        <v>10</v>
      </c>
      <c r="M13801" s="28" t="s">
        <v>51</v>
      </c>
      <c r="N13801" s="28" t="s">
        <v>51</v>
      </c>
    </row>
    <row r="13802" spans="1:14" x14ac:dyDescent="0.15">
      <c r="A13802" s="23" t="str">
        <f>HYPERLINK("https://www.spark-marketing.ru/Card/Person/953086", "ГБУ ДО ""КЦЭТК""")</f>
        <v>ГБУ ДО "КЦЭТК"</v>
      </c>
      <c r="B13802" s="24" t="s">
        <v>10600</v>
      </c>
      <c r="C13802" s="25">
        <v>599600</v>
      </c>
      <c r="D13802" s="22" t="s">
        <v>18488</v>
      </c>
      <c r="E13802" s="22" t="s">
        <v>362</v>
      </c>
      <c r="F13802" s="23" t="str">
        <f>HYPERLINK("https://www.spark-marketing.ru/Card/Lot/71983202", "услуги по организации горячим питанием детей филиала ГБУ ДО «КЦЭТК» - ДООЦ ""Солнечный""")</f>
        <v>услуги по организации горячим питанием детей филиала ГБУ ДО «КЦЭТК» - ДООЦ "Солнечный"</v>
      </c>
      <c r="G13802" s="22" t="s">
        <v>87</v>
      </c>
      <c r="H13802" s="22" t="s">
        <v>87</v>
      </c>
      <c r="I13802" s="26">
        <v>43655.721122685201</v>
      </c>
      <c r="J13802" s="28" t="s">
        <v>51</v>
      </c>
      <c r="K13802" s="28" t="s">
        <v>51</v>
      </c>
      <c r="L13802" s="28" t="s">
        <v>51</v>
      </c>
      <c r="M13802" s="28" t="s">
        <v>51</v>
      </c>
      <c r="N13802" s="28" t="s">
        <v>51</v>
      </c>
    </row>
    <row r="13803" spans="1:14" x14ac:dyDescent="0.15">
      <c r="A13803" s="23" t="str">
        <f>HYPERLINK("https://www.spark-marketing.ru/Card/Person/128460", "ОГБУЗ ""ДИБ ИМ. Г.Е. СИБИРЦЕВА""")</f>
        <v>ОГБУЗ "ДИБ ИМ. Г.Е. СИБИРЦЕВА"</v>
      </c>
      <c r="B13803" s="24" t="s">
        <v>16063</v>
      </c>
      <c r="C13803" s="25">
        <v>250899.3</v>
      </c>
      <c r="D13803" s="22" t="s">
        <v>18489</v>
      </c>
      <c r="E13803" s="22" t="s">
        <v>48</v>
      </c>
      <c r="F13803" s="23" t="str">
        <f>HYPERLINK("https://www.spark-marketing.ru/Card/Lot/71985736", "ОКАЗАНИЕ УСЛУГ ПО ОРГАНИЗАЦИИ ПИТАНИЯ ПАЦИЕНТОВ ОГБУЗ «ДЕТСКАЯ ИНФЕКЦИОННАЯ БОЛЬНИЦА ИМ. Г.Е.СИБИРЦЕВА»")</f>
        <v>ОКАЗАНИЕ УСЛУГ ПО ОРГАНИЗАЦИИ ПИТАНИЯ ПАЦИЕНТОВ ОГБУЗ «ДЕТСКАЯ ИНФЕКЦИОННАЯ БОЛЬНИЦА ИМ. Г.Е.СИБИРЦЕВА»</v>
      </c>
      <c r="G13803" s="22" t="s">
        <v>149</v>
      </c>
      <c r="H13803" s="22" t="s">
        <v>496</v>
      </c>
      <c r="I13803" s="26">
        <v>43655.726388888899</v>
      </c>
      <c r="J13803" s="28" t="s">
        <v>51</v>
      </c>
      <c r="K13803" s="28" t="s">
        <v>51</v>
      </c>
      <c r="L13803" s="28" t="s">
        <v>51</v>
      </c>
      <c r="M13803" s="28" t="s">
        <v>51</v>
      </c>
      <c r="N13803" s="28" t="s">
        <v>51</v>
      </c>
    </row>
    <row r="13804" spans="1:14" x14ac:dyDescent="0.2">
      <c r="A13804" s="23" t="str">
        <f>HYPERLINK("https://www.spark-marketing.ru/Card/Person/1777582", "МАУ ДО ДЮСШ №3 ГОРОДА ТЮМЕНИ")</f>
        <v>МАУ ДО ДЮСШ №3 ГОРОДА ТЮМЕНИ</v>
      </c>
      <c r="B13804" s="24" t="s">
        <v>15559</v>
      </c>
      <c r="C13804" s="25">
        <v>44775</v>
      </c>
      <c r="D13804" s="22" t="s">
        <v>18490</v>
      </c>
      <c r="E13804" s="22" t="s">
        <v>362</v>
      </c>
      <c r="F13804" s="23" t="str">
        <f>HYPERLINK("https://www.spark-marketing.ru/Card/Lot/71979374", "Услуги по обеспечению питанием детей летнего оздоровительного лагеря в помещении МАОУ СОШ №43 города Тюмени")</f>
        <v>Услуги по обеспечению питанием детей летнего оздоровительного лагеря в помещении МАОУ СОШ №43 города Тюмени</v>
      </c>
      <c r="G13804" s="22" t="s">
        <v>766</v>
      </c>
      <c r="H13804" s="22" t="s">
        <v>766</v>
      </c>
      <c r="I13804" s="26">
        <v>43655.745081018496</v>
      </c>
      <c r="J13804" s="28" t="s">
        <v>51</v>
      </c>
      <c r="K13804" s="28" t="s">
        <v>51</v>
      </c>
      <c r="L13804" s="22" t="s">
        <v>10</v>
      </c>
      <c r="M13804" s="25">
        <v>44775</v>
      </c>
      <c r="N13804" s="27">
        <v>0</v>
      </c>
    </row>
    <row r="13805" spans="1:14" x14ac:dyDescent="0.15">
      <c r="A13805" s="23" t="str">
        <f>HYPERLINK("https://www.spark-marketing.ru/Card/Person/1390375", "ФГАУ ""УПРАВЛЕНИЕ СПОРТМЕРОПРИЯТИЙ""")</f>
        <v>ФГАУ "УПРАВЛЕНИЕ СПОРТМЕРОПРИЯТИЙ"</v>
      </c>
      <c r="B13805" s="24" t="s">
        <v>2632</v>
      </c>
      <c r="C13805" s="25">
        <v>14284800</v>
      </c>
      <c r="D13805" s="22" t="s">
        <v>18491</v>
      </c>
      <c r="E13805" s="22" t="s">
        <v>769</v>
      </c>
      <c r="F13805" s="23" t="str">
        <f>HYPERLINK("https://www.spark-marketing.ru/Card/Lot/71980514", "Оказание услуг по организации проживания и питания участников - Всероссийских соревнования по футболу ""Кожаный мяч"" - финальные соревнования среди мальчиков 2008-2009 гг.р.")</f>
        <v>Оказание услуг по организации проживания и питания участников - Всероссийских соревнования по футболу "Кожаный мяч" - финальные соревнования среди мальчиков 2008-2009 гг.р.</v>
      </c>
      <c r="G13805" s="22" t="s">
        <v>1047</v>
      </c>
      <c r="H13805" s="22" t="s">
        <v>1047</v>
      </c>
      <c r="I13805" s="26">
        <v>43655.686435185198</v>
      </c>
      <c r="J13805" s="28" t="s">
        <v>51</v>
      </c>
      <c r="K13805" s="28" t="s">
        <v>51</v>
      </c>
      <c r="L13805" s="28" t="s">
        <v>51</v>
      </c>
      <c r="M13805" s="28" t="s">
        <v>51</v>
      </c>
      <c r="N13805" s="28" t="s">
        <v>51</v>
      </c>
    </row>
    <row r="13806" spans="1:14" x14ac:dyDescent="0.15">
      <c r="A13806" s="23" t="str">
        <f>HYPERLINK("https://www.spark-marketing.ru/Card/Person/4348382", "ООО ""ГАЗПРОМ ПИТАНИЕ""")</f>
        <v>ООО "ГАЗПРОМ ПИТАНИЕ"</v>
      </c>
      <c r="B13806" s="24" t="s">
        <v>2869</v>
      </c>
      <c r="C13806" s="25">
        <v>50</v>
      </c>
      <c r="D13806" s="22" t="s">
        <v>18492</v>
      </c>
      <c r="E13806" s="22" t="s">
        <v>52</v>
      </c>
      <c r="F13806" s="23" t="str">
        <f>HYPERLINK("https://www.spark-marketing.ru/Card/Lot/71980579", "Поставка печатей, штампов для нужд филиала ""ухтинское управление по организации общественного питания"" ооо ""газпром питание""")</f>
        <v>Поставка печатей, штампов для нужд филиала "ухтинское управление по организации общественного питания" ооо "газпром питание"</v>
      </c>
      <c r="G13806" s="22" t="s">
        <v>271</v>
      </c>
      <c r="H13806" s="22" t="s">
        <v>6958</v>
      </c>
      <c r="I13806" s="26">
        <v>43655.672916666699</v>
      </c>
      <c r="J13806" s="28" t="s">
        <v>51</v>
      </c>
      <c r="K13806" s="28" t="s">
        <v>51</v>
      </c>
      <c r="L13806" s="28" t="s">
        <v>51</v>
      </c>
      <c r="M13806" s="28" t="s">
        <v>51</v>
      </c>
      <c r="N13806" s="28" t="s">
        <v>51</v>
      </c>
    </row>
    <row r="13807" spans="1:14" x14ac:dyDescent="0.15">
      <c r="A13807" s="23" t="str">
        <f>HYPERLINK("https://www.spark-marketing.ru/Card/Person/125479", "МОМВД РОССИИ ""ЮХНОВСКИЙ""")</f>
        <v>МОМВД РОССИИ "ЮХНОВСКИЙ"</v>
      </c>
      <c r="B13807" s="24" t="s">
        <v>11705</v>
      </c>
      <c r="C13807" s="25">
        <v>140000</v>
      </c>
      <c r="D13807" s="22" t="s">
        <v>18493</v>
      </c>
      <c r="E13807" s="22" t="s">
        <v>48</v>
      </c>
      <c r="F13807" s="23" t="str">
        <f>HYPERLINK("https://www.spark-marketing.ru/Card/Lot/71983971", "Оказание услуг по обеспечению ежедневным трехразовым горячим питанием лиц, подозреваемых либо обвиняемых в совершении преступления содержащихся в ИВС.")</f>
        <v>Оказание услуг по обеспечению ежедневным трехразовым горячим питанием лиц, подозреваемых либо обвиняемых в совершении преступления содержащихся в ИВС.</v>
      </c>
      <c r="G13807" s="22" t="s">
        <v>112</v>
      </c>
      <c r="H13807" s="22" t="s">
        <v>11707</v>
      </c>
      <c r="I13807" s="26">
        <v>43655.671527777798</v>
      </c>
      <c r="J13807" s="28" t="s">
        <v>51</v>
      </c>
      <c r="K13807" s="28" t="s">
        <v>51</v>
      </c>
      <c r="L13807" s="28" t="s">
        <v>51</v>
      </c>
      <c r="M13807" s="28" t="s">
        <v>51</v>
      </c>
      <c r="N13807" s="28" t="s">
        <v>51</v>
      </c>
    </row>
    <row r="13808" spans="1:14" x14ac:dyDescent="0.15">
      <c r="A13808" s="23" t="str">
        <f>HYPERLINK("https://www.spark-marketing.ru/Card/Person/1005925", "МБДОУ ""ЦРР - ДЕТСКИЙ САД № 9""")</f>
        <v>МБДОУ "ЦРР - ДЕТСКИЙ САД № 9"</v>
      </c>
      <c r="B13808" s="24" t="s">
        <v>18494</v>
      </c>
      <c r="C13808" s="25">
        <v>4638139.8</v>
      </c>
      <c r="D13808" s="22" t="s">
        <v>18495</v>
      </c>
      <c r="E13808" s="22" t="s">
        <v>96</v>
      </c>
      <c r="F13808" s="23" t="str">
        <f>HYPERLINK("https://www.spark-marketing.ru/Card/Lot/71992151", "Оказание услуг по организации горячего питания для воспитанников МБДОУ ""ЦРР - Детский сад №9""")</f>
        <v>Оказание услуг по организации горячего питания для воспитанников МБДОУ "ЦРР - Детский сад №9"</v>
      </c>
      <c r="G13808" s="22" t="s">
        <v>153</v>
      </c>
      <c r="H13808" s="22" t="s">
        <v>153</v>
      </c>
      <c r="I13808" s="26">
        <v>43655.675706018497</v>
      </c>
      <c r="J13808" s="28" t="s">
        <v>51</v>
      </c>
      <c r="K13808" s="28" t="s">
        <v>51</v>
      </c>
      <c r="L13808" s="28" t="s">
        <v>51</v>
      </c>
      <c r="M13808" s="28" t="s">
        <v>51</v>
      </c>
      <c r="N13808" s="28" t="s">
        <v>51</v>
      </c>
    </row>
    <row r="13809" spans="1:14" hidden="1" outlineLevel="1" x14ac:dyDescent="0.2">
      <c r="A13809" s="23" t="str">
        <f>HYPERLINK("https://www.spark-marketing.ru/Card/Person/1005925", "МБДОУ ""ЦРР - ДЕТСКИЙ САД № 9""")</f>
        <v>МБДОУ "ЦРР - ДЕТСКИЙ САД № 9"</v>
      </c>
      <c r="B13809" s="24" t="s">
        <v>18494</v>
      </c>
      <c r="C13809" s="25">
        <v>4638139.8</v>
      </c>
      <c r="D13809" s="22" t="s">
        <v>18495</v>
      </c>
      <c r="E13809" s="22" t="s">
        <v>96</v>
      </c>
      <c r="F13809" s="23" t="str">
        <f>HYPERLINK("https://www.spark-marketing.ru/Card/Lot/71992151", "Оказание услуг по организации горячего питания для воспитанников МБДОУ ""ЦРР - Детский сад №9""")</f>
        <v>Оказание услуг по организации горячего питания для воспитанников МБДОУ "ЦРР - Детский сад №9"</v>
      </c>
      <c r="G13809" s="22" t="s">
        <v>153</v>
      </c>
      <c r="H13809" s="22" t="s">
        <v>153</v>
      </c>
      <c r="I13809" s="26">
        <v>43655.675706018497</v>
      </c>
      <c r="J13809" s="23" t="str">
        <f>HYPERLINK("https://www.spark-marketing.ru/Card/Person/1016854", "МБУ ""КОМБИНАТ ПИТАНИЯ""")</f>
        <v>МБУ "КОМБИНАТ ПИТАНИЯ"</v>
      </c>
      <c r="K13809" s="24" t="s">
        <v>6224</v>
      </c>
      <c r="L13809" s="28" t="s">
        <v>51</v>
      </c>
      <c r="M13809" s="25">
        <v>4567411.8</v>
      </c>
      <c r="N13809" s="27">
        <v>1.5249216938221654E-2</v>
      </c>
    </row>
    <row r="13810" spans="1:14" ht="12.75" hidden="1" outlineLevel="1" x14ac:dyDescent="0.2">
      <c r="A13810" s="23" t="str">
        <f>HYPERLINK("https://www.spark-marketing.ru/Card/Person/1005925", "МБДОУ ""ЦРР - ДЕТСКИЙ САД № 9""")</f>
        <v>МБДОУ "ЦРР - ДЕТСКИЙ САД № 9"</v>
      </c>
      <c r="B13810" s="24" t="s">
        <v>18494</v>
      </c>
      <c r="C13810" s="25">
        <v>4638139.8</v>
      </c>
      <c r="D13810" s="22" t="s">
        <v>18495</v>
      </c>
      <c r="E13810" s="22" t="s">
        <v>96</v>
      </c>
      <c r="F13810" s="23" t="str">
        <f>HYPERLINK("https://www.spark-marketing.ru/Card/Lot/71992151", "Оказание услуг по организации горячего питания для воспитанников МБДОУ ""ЦРР - Детский сад №9""")</f>
        <v>Оказание услуг по организации горячего питания для воспитанников МБДОУ "ЦРР - Детский сад №9"</v>
      </c>
      <c r="G13810" s="22" t="s">
        <v>153</v>
      </c>
      <c r="H13810" s="22" t="s">
        <v>153</v>
      </c>
      <c r="I13810" s="26">
        <v>43655.675706018497</v>
      </c>
      <c r="J13810" s="23" t="str">
        <f>HYPERLINK("https://www.spark-marketing.ru/Card/Person/788397", "Меньшатов Станислав Николаевич")</f>
        <v>Меньшатов Станислав Николаевич</v>
      </c>
      <c r="K13810" s="24" t="s">
        <v>6223</v>
      </c>
      <c r="L13810" s="22" t="s">
        <v>10</v>
      </c>
      <c r="M13810" s="25">
        <v>4536100.72</v>
      </c>
      <c r="N13810" s="27">
        <v>2.2000000948656184E-2</v>
      </c>
    </row>
    <row r="13811" spans="1:14" x14ac:dyDescent="0.15">
      <c r="A13811" s="23" t="str">
        <f>HYPERLINK("https://www.spark-marketing.ru/Card/Person/388127", "МО МВД РОССИИ ""ЩИГРОВСКИЙ""")</f>
        <v>МО МВД РОССИИ "ЩИГРОВСКИЙ"</v>
      </c>
      <c r="B13811" s="24" t="s">
        <v>14291</v>
      </c>
      <c r="C13811" s="25">
        <v>214400</v>
      </c>
      <c r="D13811" s="22" t="s">
        <v>18496</v>
      </c>
      <c r="E13811" s="22" t="s">
        <v>96</v>
      </c>
      <c r="F13811" s="23" t="str">
        <f>HYPERLINK("https://www.spark-marketing.ru/Card/Lot/71985820", "Оказание услуг по обеспечению ежедневным горячим питанием лицам, задержанным в административном порядке на срок более 3-х часов, лицам, содержащимся в изоляторе временного содержания МО МВД России «Щигровский»")</f>
        <v>Оказание услуг по обеспечению ежедневным горячим питанием лицам, задержанным в административном порядке на срок более 3-х часов, лицам, содержащимся в изоляторе временного содержания МО МВД России «Щигровский»</v>
      </c>
      <c r="G13811" s="22" t="s">
        <v>1111</v>
      </c>
      <c r="H13811" s="22" t="s">
        <v>14293</v>
      </c>
      <c r="I13811" s="26">
        <v>43655.685416666704</v>
      </c>
      <c r="J13811" s="28" t="s">
        <v>51</v>
      </c>
      <c r="K13811" s="28" t="s">
        <v>51</v>
      </c>
      <c r="L13811" s="28" t="s">
        <v>51</v>
      </c>
      <c r="M13811" s="28" t="s">
        <v>51</v>
      </c>
      <c r="N13811" s="28" t="s">
        <v>51</v>
      </c>
    </row>
    <row r="13812" spans="1:14" x14ac:dyDescent="0.15">
      <c r="A13812" s="23" t="str">
        <f>HYPERLINK("https://www.spark-marketing.ru/Card/Person/9965", "МО МВД РОССИИ ""ТЮМЕНСКИЙ""")</f>
        <v>МО МВД РОССИИ "ТЮМЕНСКИЙ"</v>
      </c>
      <c r="B13812" s="24" t="s">
        <v>18497</v>
      </c>
      <c r="C13812" s="25">
        <v>497154.9</v>
      </c>
      <c r="D13812" s="22" t="s">
        <v>18498</v>
      </c>
      <c r="E13812" s="22" t="s">
        <v>96</v>
      </c>
      <c r="F13812" s="23" t="str">
        <f>HYPERLINK("https://www.spark-marketing.ru/Card/Lot/71988066", "Оказание услуг по обеспечению трехразовым питанием лиц, содержащихся в изоляторе временного содержания ОП МО МВД России ""Тюменский""")</f>
        <v>Оказание услуг по обеспечению трехразовым питанием лиц, содержащихся в изоляторе временного содержания ОП МО МВД России "Тюменский"</v>
      </c>
      <c r="G13812" s="22" t="s">
        <v>766</v>
      </c>
      <c r="H13812" s="22" t="s">
        <v>18499</v>
      </c>
      <c r="I13812" s="26">
        <v>43655.683333333298</v>
      </c>
      <c r="J13812" s="23" t="str">
        <f>HYPERLINK("https://www.spark-marketing.ru/Card/Person/4496131", "Лапонькина Надежда Анатольевна")</f>
        <v>Лапонькина Надежда Анатольевна</v>
      </c>
      <c r="K13812" s="24" t="s">
        <v>18500</v>
      </c>
      <c r="L13812" s="22" t="s">
        <v>10</v>
      </c>
      <c r="M13812" s="28" t="s">
        <v>51</v>
      </c>
      <c r="N13812" s="28" t="s">
        <v>51</v>
      </c>
    </row>
    <row r="13813" spans="1:14" x14ac:dyDescent="0.15">
      <c r="A13813" s="23" t="str">
        <f>HYPERLINK("https://www.spark-marketing.ru/Card/Person/109912", "ФКУ ""ЦУКС ГУ МЧС РОССИИ ПО МОСКОВСКОЙ ОБЛАСТИ""")</f>
        <v>ФКУ "ЦУКС ГУ МЧС РОССИИ ПО МОСКОВСКОЙ ОБЛАСТИ"</v>
      </c>
      <c r="B13813" s="24" t="s">
        <v>8803</v>
      </c>
      <c r="C13813" s="25">
        <v>681804</v>
      </c>
      <c r="D13813" s="22" t="s">
        <v>18501</v>
      </c>
      <c r="E13813" s="22" t="s">
        <v>48</v>
      </c>
      <c r="F13813" s="23" t="str">
        <f>HYPERLINK("https://www.spark-marketing.ru/Card/Lot/71988728", "Услуги по организации и обеспечению питанием сотрудников (работников) дежурных смен")</f>
        <v>Услуги по организации и обеспечению питанием сотрудников (работников) дежурных смен</v>
      </c>
      <c r="G13813" s="22" t="s">
        <v>49</v>
      </c>
      <c r="H13813" s="22" t="s">
        <v>49</v>
      </c>
      <c r="I13813" s="26">
        <v>43655.6694444444</v>
      </c>
      <c r="J13813" s="28" t="s">
        <v>51</v>
      </c>
      <c r="K13813" s="28" t="s">
        <v>51</v>
      </c>
      <c r="L13813" s="28" t="s">
        <v>51</v>
      </c>
      <c r="M13813" s="28" t="s">
        <v>51</v>
      </c>
      <c r="N13813" s="28" t="s">
        <v>51</v>
      </c>
    </row>
    <row r="13814" spans="1:14" x14ac:dyDescent="0.15">
      <c r="A13814" s="23" t="str">
        <f>HYPERLINK("https://www.spark-marketing.ru/Card/Person/25084", "ГУ-САНКТ-ПЕТЕРБУРГСКОЕ РО ФОНДА СОЦИАЛЬНОГО СТРАХОВАНИЯ РОССИЙСКОЙ ФЕДЕРАЦИИ")</f>
        <v>ГУ-САНКТ-ПЕТЕРБУРГСКОЕ РО ФОНДА СОЦИАЛЬНОГО СТРАХОВАНИЯ РОССИЙСКОЙ ФЕДЕРАЦИИ</v>
      </c>
      <c r="B13814" s="24" t="s">
        <v>17865</v>
      </c>
      <c r="C13814" s="25">
        <v>1729312.2</v>
      </c>
      <c r="D13814" s="22" t="s">
        <v>18502</v>
      </c>
      <c r="E13814" s="22" t="s">
        <v>86</v>
      </c>
      <c r="F13814" s="23" t="str">
        <f>HYPERLINK("https://www.spark-marketing.ru/Card/Lot/71991729", "Оказание услуг на территории Ставропольского края или Республики Кабардино-Балкарии в 2019 году по санаторно-курортному лечению граждан - получателей набора социальных услуг детей-инвалидов с болезнями эндокринной системы, расстройством питания и нар...")</f>
        <v>Оказание услуг на территории Ставропольского края или Республики Кабардино-Балкарии в 2019 году по санаторно-курортному лечению граждан - получателей набора социальных услуг детей-инвалидов с болезнями эндокринной системы, расстройством питания и нар...</v>
      </c>
      <c r="G13814" s="22" t="s">
        <v>87</v>
      </c>
      <c r="H13814" s="22" t="s">
        <v>87</v>
      </c>
      <c r="I13814" s="26">
        <v>43655.681250000001</v>
      </c>
      <c r="J13814" s="23" t="str">
        <f>HYPERLINK("https://www.spark-marketing.ru/Card/Person/203500", "ООО САНАТОРИЙ ""ГОЛУБЫЕ ЕЛИ""")</f>
        <v>ООО САНАТОРИЙ "ГОЛУБЫЕ ЕЛИ"</v>
      </c>
      <c r="K13814" s="24" t="s">
        <v>18503</v>
      </c>
      <c r="L13814" s="22" t="s">
        <v>10</v>
      </c>
      <c r="M13814" s="28" t="s">
        <v>51</v>
      </c>
      <c r="N13814" s="28" t="s">
        <v>51</v>
      </c>
    </row>
    <row r="13815" spans="1:14" x14ac:dyDescent="0.15">
      <c r="A13815" s="23" t="str">
        <f>HYPERLINK("https://www.spark-marketing.ru/Card/Person/79598", "УПРАВЛЕНИЕ ОБРАЗОВАНИЯ АДМИНИСТРАЦИИ БЕЛГОРОДСКОГО РАЙОНА")</f>
        <v>УПРАВЛЕНИЕ ОБРАЗОВАНИЯ АДМИНИСТРАЦИИ БЕЛГОРОДСКОГО РАЙОНА</v>
      </c>
      <c r="B13815" s="24" t="s">
        <v>18504</v>
      </c>
      <c r="C13815" s="25">
        <v>155820</v>
      </c>
      <c r="D13815" s="22" t="s">
        <v>18505</v>
      </c>
      <c r="E13815" s="22" t="s">
        <v>513</v>
      </c>
      <c r="F13815" s="23" t="str">
        <f>HYPERLINK("https://www.spark-marketing.ru/Card/Lot/71984853", "Поставка сертификатов и абонементов на предоставление доступа к аппаратно-программному комплексу административно-хозяйственной деятельности с передачей простой (неисключительной) лицензии ПП ""Парус-Бюджет 8""")</f>
        <v>Поставка сертификатов и абонементов на предоставление доступа к аппаратно-программному комплексу административно-хозяйственной деятельности с передачей простой (неисключительной) лицензии ПП "Парус-Бюджет 8"</v>
      </c>
      <c r="G13815" s="22" t="s">
        <v>696</v>
      </c>
      <c r="H13815" s="22" t="s">
        <v>3525</v>
      </c>
      <c r="I13815" s="26">
        <v>43655.697916666701</v>
      </c>
      <c r="J13815" s="23" t="str">
        <f>HYPERLINK("https://www.spark-marketing.ru/Card/Person/261482", "ООО ""ПАРУСНИК""")</f>
        <v>ООО "ПАРУСНИК"</v>
      </c>
      <c r="K13815" s="24" t="s">
        <v>18506</v>
      </c>
      <c r="L13815" s="22" t="s">
        <v>10</v>
      </c>
      <c r="M13815" s="28" t="s">
        <v>51</v>
      </c>
      <c r="N13815" s="28" t="s">
        <v>51</v>
      </c>
    </row>
    <row r="13816" spans="1:14" x14ac:dyDescent="0.15">
      <c r="A13816" s="23" t="str">
        <f>HYPERLINK("https://www.spark-marketing.ru/Card/Person/4369400", "ООО АВИАПРЕДПРИЯТИЕ ""ГАЗПРОМ АВИА""")</f>
        <v>ООО АВИАПРЕДПРИЯТИЕ "ГАЗПРОМ АВИА"</v>
      </c>
      <c r="B13816" s="24" t="s">
        <v>1724</v>
      </c>
      <c r="C13816" s="25">
        <v>6850</v>
      </c>
      <c r="D13816" s="22" t="s">
        <v>18507</v>
      </c>
      <c r="E13816" s="22" t="s">
        <v>18508</v>
      </c>
      <c r="F13816" s="23" t="str">
        <f>HYPERLINK("https://www.spark-marketing.ru/Card/Lot/71979233", "Оплата по счету за услуги по обеспечению бортовым питанием в аэропорту г. Новый Уренгой")</f>
        <v>Оплата по счету за услуги по обеспечению бортовым питанием в аэропорту г. Новый Уренгой</v>
      </c>
      <c r="G13816" s="22" t="s">
        <v>56</v>
      </c>
      <c r="H13816" s="22" t="s">
        <v>56</v>
      </c>
      <c r="I13816" s="26">
        <v>43655.657835648097</v>
      </c>
      <c r="J13816" s="28" t="s">
        <v>51</v>
      </c>
      <c r="K13816" s="28" t="s">
        <v>51</v>
      </c>
      <c r="L13816" s="28" t="s">
        <v>51</v>
      </c>
      <c r="M13816" s="28" t="s">
        <v>51</v>
      </c>
      <c r="N13816" s="28" t="s">
        <v>51</v>
      </c>
    </row>
    <row r="13817" spans="1:14" x14ac:dyDescent="0.15">
      <c r="A13817" s="23" t="str">
        <f>HYPERLINK("https://www.spark-marketing.ru/Card/Person/1351880", "ГАУЗМО КЦВМИР")</f>
        <v>ГАУЗМО КЦВМИР</v>
      </c>
      <c r="B13817" s="24" t="s">
        <v>18509</v>
      </c>
      <c r="C13817" s="25">
        <v>32818500</v>
      </c>
      <c r="D13817" s="22" t="s">
        <v>18510</v>
      </c>
      <c r="E13817" s="22" t="s">
        <v>1412</v>
      </c>
      <c r="F13817" s="23" t="str">
        <f>HYPERLINK("https://www.spark-marketing.ru/Card/Lot/71979072", "Оказание услуг по организации лечебного питания пациентов, находящихся на стационарном лечении в ГАУЗМО КЦВМиР, МО, Одинцовский район, поселок горбольницы №45, вл. 1, г. Москва, ул. Клинская, д. 2 до 31.12.2019")</f>
        <v>Оказание услуг по организации лечебного питания пациентов, находящихся на стационарном лечении в ГАУЗМО КЦВМиР, МО, Одинцовский район, поселок горбольницы №45, вл. 1, г. Москва, ул. Клинская, д. 2 до 31.12.2019</v>
      </c>
      <c r="G13817" s="22" t="s">
        <v>49</v>
      </c>
      <c r="H13817" s="22" t="s">
        <v>49</v>
      </c>
      <c r="I13817" s="26">
        <v>43655.645439814798</v>
      </c>
      <c r="J13817" s="28" t="s">
        <v>51</v>
      </c>
      <c r="K13817" s="28" t="s">
        <v>51</v>
      </c>
      <c r="L13817" s="28" t="s">
        <v>51</v>
      </c>
      <c r="M13817" s="28" t="s">
        <v>51</v>
      </c>
      <c r="N13817" s="28" t="s">
        <v>51</v>
      </c>
    </row>
    <row r="13818" spans="1:14" x14ac:dyDescent="0.15">
      <c r="A13818" s="23" t="str">
        <f t="shared" ref="A13818:A13823" si="458">HYPERLINK("https://www.spark-marketing.ru/Card/Person/15728", "СОГБУ ""ПОЖАРНО-СПАСАТЕЛЬНЫЙ ЦЕНТР""")</f>
        <v>СОГБУ "ПОЖАРНО-СПАСАТЕЛЬНЫЙ ЦЕНТР"</v>
      </c>
      <c r="B13818" s="24" t="s">
        <v>18511</v>
      </c>
      <c r="C13818" s="25">
        <v>150000</v>
      </c>
      <c r="D13818" s="22" t="s">
        <v>18512</v>
      </c>
      <c r="E13818" s="22" t="s">
        <v>91</v>
      </c>
      <c r="F13818" s="23" t="str">
        <f t="shared" ref="F13818:F13823" si="459">HYPERLINK("https://www.spark-marketing.ru/Card/Lot/71984902", "0725-аэф/у Оказание услуг по техническому обслуживанию и ремонту компьютерной техники, заправке картриджей")</f>
        <v>0725-аэф/у Оказание услуг по техническому обслуживанию и ремонту компьютерной техники, заправке картриджей</v>
      </c>
      <c r="G13818" s="22" t="s">
        <v>460</v>
      </c>
      <c r="H13818" s="22" t="s">
        <v>461</v>
      </c>
      <c r="I13818" s="26">
        <v>43655.639583333301</v>
      </c>
      <c r="J13818" s="28" t="s">
        <v>51</v>
      </c>
      <c r="K13818" s="28" t="s">
        <v>51</v>
      </c>
      <c r="L13818" s="28" t="s">
        <v>51</v>
      </c>
      <c r="M13818" s="28" t="s">
        <v>51</v>
      </c>
      <c r="N13818" s="28" t="s">
        <v>51</v>
      </c>
    </row>
    <row r="13819" spans="1:14" hidden="1" outlineLevel="1" x14ac:dyDescent="0.2">
      <c r="A13819" s="23" t="str">
        <f t="shared" si="458"/>
        <v>СОГБУ "ПОЖАРНО-СПАСАТЕЛЬНЫЙ ЦЕНТР"</v>
      </c>
      <c r="B13819" s="24" t="s">
        <v>18511</v>
      </c>
      <c r="C13819" s="25">
        <v>150000</v>
      </c>
      <c r="D13819" s="22" t="s">
        <v>18512</v>
      </c>
      <c r="E13819" s="22" t="s">
        <v>91</v>
      </c>
      <c r="F13819" s="23" t="str">
        <f t="shared" si="459"/>
        <v>0725-аэф/у Оказание услуг по техническому обслуживанию и ремонту компьютерной техники, заправке картриджей</v>
      </c>
      <c r="G13819" s="22" t="s">
        <v>460</v>
      </c>
      <c r="H13819" s="22" t="s">
        <v>461</v>
      </c>
      <c r="I13819" s="26">
        <v>43655.639583333301</v>
      </c>
      <c r="J13819" s="23" t="str">
        <f>HYPERLINK("https://www.spark-marketing.ru/Card/Person/145531", "ООО ""МЕГАБУК""")</f>
        <v>ООО "МЕГАБУК"</v>
      </c>
      <c r="K13819" s="24" t="s">
        <v>18513</v>
      </c>
      <c r="L13819" s="28" t="s">
        <v>51</v>
      </c>
      <c r="M13819" s="25">
        <v>116160.85</v>
      </c>
      <c r="N13819" s="27">
        <v>0.22559433333333334</v>
      </c>
    </row>
    <row r="13820" spans="1:14" hidden="1" outlineLevel="1" x14ac:dyDescent="0.2">
      <c r="A13820" s="23" t="str">
        <f t="shared" si="458"/>
        <v>СОГБУ "ПОЖАРНО-СПАСАТЕЛЬНЫЙ ЦЕНТР"</v>
      </c>
      <c r="B13820" s="24" t="s">
        <v>18511</v>
      </c>
      <c r="C13820" s="25">
        <v>150000</v>
      </c>
      <c r="D13820" s="22" t="s">
        <v>18512</v>
      </c>
      <c r="E13820" s="22" t="s">
        <v>91</v>
      </c>
      <c r="F13820" s="23" t="str">
        <f t="shared" si="459"/>
        <v>0725-аэф/у Оказание услуг по техническому обслуживанию и ремонту компьютерной техники, заправке картриджей</v>
      </c>
      <c r="G13820" s="22" t="s">
        <v>460</v>
      </c>
      <c r="H13820" s="22" t="s">
        <v>461</v>
      </c>
      <c r="I13820" s="26">
        <v>43655.639583333301</v>
      </c>
      <c r="J13820" s="23" t="str">
        <f>HYPERLINK("https://www.spark-marketing.ru/Card/Person/88033", "ООО ""ЦЕНТРЭЛЕКТРОСВЯЗЬ""")</f>
        <v>ООО "ЦЕНТРЭЛЕКТРОСВЯЗЬ"</v>
      </c>
      <c r="K13820" s="24" t="s">
        <v>3397</v>
      </c>
      <c r="L13820" s="28" t="s">
        <v>51</v>
      </c>
      <c r="M13820" s="25">
        <v>122203.9</v>
      </c>
      <c r="N13820" s="27">
        <v>0.18530733333333332</v>
      </c>
    </row>
    <row r="13821" spans="1:14" hidden="1" outlineLevel="1" x14ac:dyDescent="0.2">
      <c r="A13821" s="23" t="str">
        <f t="shared" si="458"/>
        <v>СОГБУ "ПОЖАРНО-СПАСАТЕЛЬНЫЙ ЦЕНТР"</v>
      </c>
      <c r="B13821" s="24" t="s">
        <v>18511</v>
      </c>
      <c r="C13821" s="25">
        <v>150000</v>
      </c>
      <c r="D13821" s="22" t="s">
        <v>18512</v>
      </c>
      <c r="E13821" s="22" t="s">
        <v>91</v>
      </c>
      <c r="F13821" s="23" t="str">
        <f t="shared" si="459"/>
        <v>0725-аэф/у Оказание услуг по техническому обслуживанию и ремонту компьютерной техники, заправке картриджей</v>
      </c>
      <c r="G13821" s="22" t="s">
        <v>460</v>
      </c>
      <c r="H13821" s="22" t="s">
        <v>461</v>
      </c>
      <c r="I13821" s="26">
        <v>43655.639583333301</v>
      </c>
      <c r="J13821" s="23" t="str">
        <f>HYPERLINK("https://www.spark-marketing.ru/Card/Person/125183", "Дымников Юрий Петрович")</f>
        <v>Дымников Юрий Петрович</v>
      </c>
      <c r="K13821" s="24" t="s">
        <v>18514</v>
      </c>
      <c r="L13821" s="28" t="s">
        <v>51</v>
      </c>
      <c r="M13821" s="25">
        <v>131604.20000000001</v>
      </c>
      <c r="N13821" s="27">
        <v>0.12263866666666667</v>
      </c>
    </row>
    <row r="13822" spans="1:14" ht="12.75" hidden="1" outlineLevel="1" x14ac:dyDescent="0.2">
      <c r="A13822" s="23" t="str">
        <f t="shared" si="458"/>
        <v>СОГБУ "ПОЖАРНО-СПАСАТЕЛЬНЫЙ ЦЕНТР"</v>
      </c>
      <c r="B13822" s="24" t="s">
        <v>18511</v>
      </c>
      <c r="C13822" s="25">
        <v>150000</v>
      </c>
      <c r="D13822" s="22" t="s">
        <v>18512</v>
      </c>
      <c r="E13822" s="22" t="s">
        <v>91</v>
      </c>
      <c r="F13822" s="23" t="str">
        <f t="shared" si="459"/>
        <v>0725-аэф/у Оказание услуг по техническому обслуживанию и ремонту компьютерной техники, заправке картриджей</v>
      </c>
      <c r="G13822" s="22" t="s">
        <v>460</v>
      </c>
      <c r="H13822" s="22" t="s">
        <v>461</v>
      </c>
      <c r="I13822" s="26">
        <v>43655.639583333301</v>
      </c>
      <c r="J13822" s="23" t="str">
        <f>HYPERLINK("https://www.spark-marketing.ru/Card/Person/15106", "ООО ""ПКФ ""НОВАЯ ЦЕФЕЯ""")</f>
        <v>ООО "ПКФ "НОВАЯ ЦЕФЕЯ"</v>
      </c>
      <c r="K13822" s="24" t="s">
        <v>5939</v>
      </c>
      <c r="L13822" s="22" t="s">
        <v>10</v>
      </c>
      <c r="M13822" s="25">
        <v>115489.4</v>
      </c>
      <c r="N13822" s="27">
        <v>0.23007066666666667</v>
      </c>
    </row>
    <row r="13823" spans="1:14" hidden="1" outlineLevel="1" x14ac:dyDescent="0.2">
      <c r="A13823" s="23" t="str">
        <f t="shared" si="458"/>
        <v>СОГБУ "ПОЖАРНО-СПАСАТЕЛЬНЫЙ ЦЕНТР"</v>
      </c>
      <c r="B13823" s="24" t="s">
        <v>18511</v>
      </c>
      <c r="C13823" s="25">
        <v>150000</v>
      </c>
      <c r="D13823" s="22" t="s">
        <v>18512</v>
      </c>
      <c r="E13823" s="22" t="s">
        <v>91</v>
      </c>
      <c r="F13823" s="23" t="str">
        <f t="shared" si="459"/>
        <v>0725-аэф/у Оказание услуг по техническому обслуживанию и ремонту компьютерной техники, заправке картриджей</v>
      </c>
      <c r="G13823" s="22" t="s">
        <v>460</v>
      </c>
      <c r="H13823" s="22" t="s">
        <v>461</v>
      </c>
      <c r="I13823" s="26">
        <v>43655.639583333301</v>
      </c>
      <c r="J13823" s="23" t="str">
        <f>HYPERLINK("https://www.spark-marketing.ru/Card/Person/6499058", "Костин Александр Сергеевич")</f>
        <v>Костин Александр Сергеевич</v>
      </c>
      <c r="K13823" s="24" t="s">
        <v>18515</v>
      </c>
      <c r="L13823" s="28" t="s">
        <v>51</v>
      </c>
      <c r="M13823" s="25">
        <v>118846.65</v>
      </c>
      <c r="N13823" s="27">
        <v>0.20768900000000001</v>
      </c>
    </row>
    <row r="13824" spans="1:14" x14ac:dyDescent="0.15">
      <c r="A13824" s="23" t="str">
        <f>HYPERLINK("https://www.spark-marketing.ru/Card/Person/813450", "ОТДЕЛ МВД РОССИИ ПО КУКМОРСКОМУ РАЙОНУ")</f>
        <v>ОТДЕЛ МВД РОССИИ ПО КУКМОРСКОМУ РАЙОНУ</v>
      </c>
      <c r="B13824" s="24" t="s">
        <v>18516</v>
      </c>
      <c r="C13824" s="25">
        <v>492000</v>
      </c>
      <c r="D13824" s="22" t="s">
        <v>18517</v>
      </c>
      <c r="E13824" s="22" t="s">
        <v>48</v>
      </c>
      <c r="F13824" s="23" t="str">
        <f>HYPERLINK("https://www.spark-marketing.ru/Card/Lot/71988013", "Прочая закупка товаров, работ и услуг (Услуги питания лиц содержащихся в ИВС и СП)")</f>
        <v>Прочая закупка товаров, работ и услуг (Услуги питания лиц содержащихся в ИВС и СП)</v>
      </c>
      <c r="G13824" s="22" t="s">
        <v>217</v>
      </c>
      <c r="H13824" s="22" t="s">
        <v>217</v>
      </c>
      <c r="I13824" s="26">
        <v>43655.636111111096</v>
      </c>
      <c r="J13824" s="23" t="str">
        <f>HYPERLINK("https://www.spark-marketing.ru/Card/Person/6308986", "Хайруллина Розалия Узбековна")</f>
        <v>Хайруллина Розалия Узбековна</v>
      </c>
      <c r="K13824" s="24" t="s">
        <v>18518</v>
      </c>
      <c r="L13824" s="22" t="s">
        <v>10</v>
      </c>
      <c r="M13824" s="28" t="s">
        <v>51</v>
      </c>
      <c r="N13824" s="28" t="s">
        <v>51</v>
      </c>
    </row>
    <row r="13825" spans="1:14" x14ac:dyDescent="0.15">
      <c r="A13825" s="23" t="str">
        <f>HYPERLINK("https://www.spark-marketing.ru/Card/Person/10944", "ФГБОУ ВО ""МАРИЙСКИЙ ГОСУДАРСТВЕННЫЙ УНИВЕРСИТЕТ""")</f>
        <v>ФГБОУ ВО "МАРИЙСКИЙ ГОСУДАРСТВЕННЫЙ УНИВЕРСИТЕТ"</v>
      </c>
      <c r="B13825" s="24" t="s">
        <v>18027</v>
      </c>
      <c r="C13825" s="25">
        <v>560000</v>
      </c>
      <c r="D13825" s="22" t="s">
        <v>18519</v>
      </c>
      <c r="E13825" s="22" t="s">
        <v>580</v>
      </c>
      <c r="F13825" s="23" t="str">
        <f>HYPERLINK("https://www.spark-marketing.ru/Card/Lot/71979927", "Оказание услуг по организации питания волонтеров III Всероссийской летней Спартакиаде инвалидов в рамках Контракта № 59 от 17 июня 2019 г.")</f>
        <v>Оказание услуг по организации питания волонтеров III Всероссийской летней Спартакиаде инвалидов в рамках Контракта № 59 от 17 июня 2019 г.</v>
      </c>
      <c r="G13825" s="22" t="s">
        <v>3249</v>
      </c>
      <c r="H13825" s="22" t="s">
        <v>3249</v>
      </c>
      <c r="I13825" s="26">
        <v>43655.652222222197</v>
      </c>
      <c r="J13825" s="28" t="s">
        <v>51</v>
      </c>
      <c r="K13825" s="28" t="s">
        <v>51</v>
      </c>
      <c r="L13825" s="28" t="s">
        <v>51</v>
      </c>
      <c r="M13825" s="28" t="s">
        <v>51</v>
      </c>
      <c r="N13825" s="28" t="s">
        <v>51</v>
      </c>
    </row>
    <row r="13826" spans="1:14" x14ac:dyDescent="0.15">
      <c r="A13826" s="23" t="str">
        <f>HYPERLINK("https://www.spark-marketing.ru/Card/Person/103563", "АДМИНИСТРАЦИЯ ГОРОДА ЛЫСЬВЫ")</f>
        <v>АДМИНИСТРАЦИЯ ГОРОДА ЛЫСЬВЫ</v>
      </c>
      <c r="B13826" s="24" t="s">
        <v>18520</v>
      </c>
      <c r="C13826" s="25">
        <v>40000</v>
      </c>
      <c r="D13826" s="22" t="s">
        <v>18521</v>
      </c>
      <c r="E13826" s="22" t="s">
        <v>8606</v>
      </c>
      <c r="F13826" s="23" t="str">
        <f>HYPERLINK("https://www.spark-marketing.ru/Card/Lot/71975506", "Оказание услуг по организации питания при проведении официальных мероприятий, организации приемов и обслуживания делегаций")</f>
        <v>Оказание услуг по организации питания при проведении официальных мероприятий, организации приемов и обслуживания делегаций</v>
      </c>
      <c r="G13826" s="22" t="s">
        <v>153</v>
      </c>
      <c r="H13826" s="22" t="s">
        <v>153</v>
      </c>
      <c r="I13826" s="26">
        <v>43655.627083333296</v>
      </c>
      <c r="J13826" s="23" t="str">
        <f>HYPERLINK("https://www.spark-marketing.ru/Card/Person/1406838", "Микрюкова Елена Борисовна")</f>
        <v>Микрюкова Елена Борисовна</v>
      </c>
      <c r="K13826" s="24" t="s">
        <v>18522</v>
      </c>
      <c r="L13826" s="22" t="s">
        <v>10</v>
      </c>
      <c r="M13826" s="28" t="s">
        <v>51</v>
      </c>
      <c r="N13826" s="28" t="s">
        <v>51</v>
      </c>
    </row>
    <row r="13827" spans="1:14" x14ac:dyDescent="0.15">
      <c r="A13827" s="23" t="s">
        <v>114</v>
      </c>
      <c r="B13827" s="28" t="s">
        <v>51</v>
      </c>
      <c r="C13827" s="25">
        <v>6111912</v>
      </c>
      <c r="D13827" s="22" t="s">
        <v>18523</v>
      </c>
      <c r="E13827" s="22" t="s">
        <v>48</v>
      </c>
      <c r="F13827" s="23" t="str">
        <f>HYPERLINK("https://www.spark-marketing.ru/Card/Lot/71992361",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3827" s="22" t="s">
        <v>51</v>
      </c>
      <c r="H13827" s="22" t="s">
        <v>51</v>
      </c>
      <c r="I13827" s="26">
        <v>43655.658784722204</v>
      </c>
      <c r="J13827" s="28" t="s">
        <v>51</v>
      </c>
      <c r="K13827" s="28" t="s">
        <v>51</v>
      </c>
      <c r="L13827" s="28" t="s">
        <v>51</v>
      </c>
      <c r="M13827" s="28" t="s">
        <v>51</v>
      </c>
      <c r="N13827" s="28" t="s">
        <v>51</v>
      </c>
    </row>
    <row r="13828" spans="1:14" hidden="1" outlineLevel="1" x14ac:dyDescent="0.15">
      <c r="A13828" s="23" t="str">
        <f>HYPERLINK("https://www.spark-marketing.ru/Card/Person/72830", "МБДОУ ДЕТСКИЙ САД № 38")</f>
        <v>МБДОУ ДЕТСКИЙ САД № 38</v>
      </c>
      <c r="B13828" s="24" t="s">
        <v>18524</v>
      </c>
      <c r="C13828" s="25">
        <v>3357716</v>
      </c>
      <c r="D13828" s="22" t="s">
        <v>18523</v>
      </c>
      <c r="E13828" s="22" t="s">
        <v>48</v>
      </c>
      <c r="F13828" s="23" t="str">
        <f>HYPERLINK("https://www.spark-marketing.ru/Card/Lot/71992361",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3828" s="22" t="s">
        <v>137</v>
      </c>
      <c r="H13828" s="22" t="s">
        <v>138</v>
      </c>
      <c r="I13828" s="26">
        <v>43655.658784722204</v>
      </c>
      <c r="J13828" s="28" t="s">
        <v>51</v>
      </c>
      <c r="K13828" s="28" t="s">
        <v>51</v>
      </c>
      <c r="L13828" s="28" t="s">
        <v>51</v>
      </c>
      <c r="M13828" s="28" t="s">
        <v>51</v>
      </c>
      <c r="N13828" s="28" t="s">
        <v>51</v>
      </c>
    </row>
    <row r="13829" spans="1:14" hidden="1" outlineLevel="1" x14ac:dyDescent="0.15">
      <c r="A13829" s="23" t="str">
        <f>HYPERLINK("https://www.spark-marketing.ru/Card/Person/88726", "МБДОУ ДЕТСКИЙ САД №7")</f>
        <v>МБДОУ ДЕТСКИЙ САД №7</v>
      </c>
      <c r="B13829" s="24" t="s">
        <v>18525</v>
      </c>
      <c r="C13829" s="25">
        <v>2754196</v>
      </c>
      <c r="D13829" s="22" t="s">
        <v>18523</v>
      </c>
      <c r="E13829" s="22" t="s">
        <v>48</v>
      </c>
      <c r="F13829" s="23" t="str">
        <f>HYPERLINK("https://www.spark-marketing.ru/Card/Lot/71992361",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3829" s="22" t="s">
        <v>137</v>
      </c>
      <c r="H13829" s="22" t="s">
        <v>138</v>
      </c>
      <c r="I13829" s="26">
        <v>43655.658784722204</v>
      </c>
      <c r="J13829" s="28" t="s">
        <v>51</v>
      </c>
      <c r="K13829" s="28" t="s">
        <v>51</v>
      </c>
      <c r="L13829" s="28" t="s">
        <v>51</v>
      </c>
      <c r="M13829" s="28" t="s">
        <v>51</v>
      </c>
      <c r="N13829" s="28" t="s">
        <v>51</v>
      </c>
    </row>
    <row r="13830" spans="1:14" hidden="1" outlineLevel="1" x14ac:dyDescent="0.2">
      <c r="A13830" s="28" t="s">
        <v>51</v>
      </c>
      <c r="B13830" s="28" t="s">
        <v>51</v>
      </c>
      <c r="C13830" s="28" t="s">
        <v>51</v>
      </c>
      <c r="D13830" s="22" t="s">
        <v>18523</v>
      </c>
      <c r="E13830" s="22" t="s">
        <v>48</v>
      </c>
      <c r="F13830" s="23" t="str">
        <f>HYPERLINK("https://www.spark-marketing.ru/Card/Lot/71992361",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3830" s="22" t="s">
        <v>51</v>
      </c>
      <c r="H13830" s="22" t="s">
        <v>51</v>
      </c>
      <c r="I13830" s="26">
        <v>43655.658784722204</v>
      </c>
      <c r="J13830" s="23" t="str">
        <f>HYPERLINK("https://www.spark-marketing.ru/Card/Person/610902", "ООО ""РАТИБОР""")</f>
        <v>ООО "РАТИБОР"</v>
      </c>
      <c r="K13830" s="24" t="s">
        <v>17751</v>
      </c>
      <c r="L13830" s="22" t="s">
        <v>10</v>
      </c>
      <c r="M13830" s="25">
        <v>6110912</v>
      </c>
      <c r="N13830" s="27">
        <v>1.6361492115724179E-4</v>
      </c>
    </row>
    <row r="13831" spans="1:14" hidden="1" outlineLevel="1" x14ac:dyDescent="0.2">
      <c r="A13831" s="28" t="s">
        <v>51</v>
      </c>
      <c r="B13831" s="28" t="s">
        <v>51</v>
      </c>
      <c r="C13831" s="28" t="s">
        <v>51</v>
      </c>
      <c r="D13831" s="22" t="s">
        <v>18523</v>
      </c>
      <c r="E13831" s="22" t="s">
        <v>48</v>
      </c>
      <c r="F13831" s="23" t="str">
        <f>HYPERLINK("https://www.spark-marketing.ru/Card/Lot/71992361",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3831" s="22" t="s">
        <v>51</v>
      </c>
      <c r="H13831" s="22" t="s">
        <v>51</v>
      </c>
      <c r="I13831" s="26">
        <v>43655.658784722204</v>
      </c>
      <c r="J13831" s="23" t="str">
        <f>HYPERLINK("https://www.spark-marketing.ru/Card/Person/76228", "ООО ""ЛИМАН""")</f>
        <v>ООО "ЛИМАН"</v>
      </c>
      <c r="K13831" s="24" t="s">
        <v>16890</v>
      </c>
      <c r="L13831" s="28" t="s">
        <v>51</v>
      </c>
      <c r="M13831" s="25">
        <v>6111900</v>
      </c>
      <c r="N13831" s="27">
        <v>1.9633790538869014E-6</v>
      </c>
    </row>
    <row r="13832" spans="1:14" x14ac:dyDescent="0.15">
      <c r="A13832" s="23" t="str">
        <f>HYPERLINK("https://www.spark-marketing.ru/Card/Person/140579", "О МВД РОССИИ ПО КРАСНОЯРСКОМУ РАЙОНУ")</f>
        <v>О МВД РОССИИ ПО КРАСНОЯРСКОМУ РАЙОНУ</v>
      </c>
      <c r="B13832" s="24" t="s">
        <v>18526</v>
      </c>
      <c r="C13832" s="25">
        <v>15000</v>
      </c>
      <c r="D13832" s="22" t="s">
        <v>18527</v>
      </c>
      <c r="E13832" s="22" t="s">
        <v>96</v>
      </c>
      <c r="F13832" s="23" t="str">
        <f>HYPERLINK("https://www.spark-marketing.ru/Card/Lot/71975588", "Оказание услуг по организации питания (приготовлению и доставке), 50 шт")</f>
        <v>Оказание услуг по организации питания (приготовлению и доставке), 50 шт</v>
      </c>
      <c r="G13832" s="22" t="s">
        <v>128</v>
      </c>
      <c r="H13832" s="22" t="s">
        <v>7756</v>
      </c>
      <c r="I13832" s="26">
        <v>43655.626967592601</v>
      </c>
      <c r="J13832" s="28" t="s">
        <v>51</v>
      </c>
      <c r="K13832" s="28" t="s">
        <v>51</v>
      </c>
      <c r="L13832" s="28" t="s">
        <v>51</v>
      </c>
      <c r="M13832" s="28" t="s">
        <v>51</v>
      </c>
      <c r="N13832" s="28" t="s">
        <v>51</v>
      </c>
    </row>
    <row r="13833" spans="1:14" x14ac:dyDescent="0.15">
      <c r="A13833" s="23" t="str">
        <f>HYPERLINK("https://www.spark-marketing.ru/Card/Person/813450", "ОТДЕЛ МВД РОССИИ ПО КУКМОРСКОМУ РАЙОНУ")</f>
        <v>ОТДЕЛ МВД РОССИИ ПО КУКМОРСКОМУ РАЙОНУ</v>
      </c>
      <c r="B13833" s="24" t="s">
        <v>18516</v>
      </c>
      <c r="C13833" s="25">
        <v>492000</v>
      </c>
      <c r="D13833" s="22" t="s">
        <v>18528</v>
      </c>
      <c r="E13833" s="22" t="s">
        <v>48</v>
      </c>
      <c r="F13833" s="23" t="str">
        <f>HYPERLINK("https://www.spark-marketing.ru/Card/Lot/71988012", "Прочая закупка товаров, работ и услуг (Услуги питания лиц содержащихся в ИВС и СП)")</f>
        <v>Прочая закупка товаров, работ и услуг (Услуги питания лиц содержащихся в ИВС и СП)</v>
      </c>
      <c r="G13833" s="22" t="s">
        <v>217</v>
      </c>
      <c r="H13833" s="22" t="s">
        <v>217</v>
      </c>
      <c r="I13833" s="26">
        <v>43655.636805555601</v>
      </c>
      <c r="J13833" s="23" t="str">
        <f>HYPERLINK("https://www.spark-marketing.ru/Card/Person/6308986", "Хайруллина Розалия Узбековна")</f>
        <v>Хайруллина Розалия Узбековна</v>
      </c>
      <c r="K13833" s="24" t="s">
        <v>18518</v>
      </c>
      <c r="L13833" s="22" t="s">
        <v>10</v>
      </c>
      <c r="M13833" s="28" t="s">
        <v>51</v>
      </c>
      <c r="N13833" s="28" t="s">
        <v>51</v>
      </c>
    </row>
    <row r="13834" spans="1:14" x14ac:dyDescent="0.15">
      <c r="A13834" s="23" t="str">
        <f>HYPERLINK("https://www.spark-marketing.ru/Card/Person/4348382", "ООО ""ГАЗПРОМ ПИТАНИЕ""")</f>
        <v>ООО "ГАЗПРОМ ПИТАНИЕ"</v>
      </c>
      <c r="B13834" s="24" t="s">
        <v>2869</v>
      </c>
      <c r="C13834" s="25">
        <v>486000</v>
      </c>
      <c r="D13834" s="22" t="s">
        <v>18529</v>
      </c>
      <c r="E13834" s="22" t="s">
        <v>52</v>
      </c>
      <c r="F13834" s="23" t="str">
        <f>HYPERLINK("https://www.spark-marketing.ru/Card/Lot/71978901", "Оказание образовательных услуг по программе «эксперт - аудитор внутренних проверок систем менеджмента безопасности пищевой продукции на соответствие требованиям стандарта iso 22000:2018» для нужд ооо ""газпром питание""")</f>
        <v>Оказание образовательных услуг по программе «эксперт - аудитор внутренних проверок систем менеджмента безопасности пищевой продукции на соответствие требованиям стандарта iso 22000:2018» для нужд ооо "газпром питание"</v>
      </c>
      <c r="G13834" s="22" t="s">
        <v>56</v>
      </c>
      <c r="H13834" s="22" t="s">
        <v>56</v>
      </c>
      <c r="I13834" s="26">
        <v>43655.651388888902</v>
      </c>
      <c r="J13834" s="28" t="s">
        <v>51</v>
      </c>
      <c r="K13834" s="28" t="s">
        <v>51</v>
      </c>
      <c r="L13834" s="28" t="s">
        <v>51</v>
      </c>
      <c r="M13834" s="28" t="s">
        <v>51</v>
      </c>
      <c r="N13834" s="28" t="s">
        <v>51</v>
      </c>
    </row>
    <row r="13835" spans="1:14" x14ac:dyDescent="0.15">
      <c r="A13835" s="23" t="str">
        <f>HYPERLINK("https://www.spark-marketing.ru/Card/Person/4331050", "ООО БАШНЕФТЬ СЕРВИС")</f>
        <v>ООО БАШНЕФТЬ СЕРВИС</v>
      </c>
      <c r="B13835" s="28" t="s">
        <v>51</v>
      </c>
      <c r="C13835" s="28" t="s">
        <v>51</v>
      </c>
      <c r="D13835" s="22" t="s">
        <v>18530</v>
      </c>
      <c r="E13835" s="22" t="s">
        <v>362</v>
      </c>
      <c r="F13835" s="23" t="str">
        <f>HYPERLINK("https://www.spark-marketing.ru/Card/Lot/74008510", "Предоставление персонала - официантов на мероприятия, организованные ПГП ООО ""Башнефть-Сервис""")</f>
        <v>Предоставление персонала - официантов на мероприятия, организованные ПГП ООО "Башнефть-Сервис"</v>
      </c>
      <c r="G13835" s="22" t="s">
        <v>51</v>
      </c>
      <c r="H13835" s="22" t="s">
        <v>51</v>
      </c>
      <c r="I13835" s="26">
        <v>43655.595833333296</v>
      </c>
      <c r="J13835" s="28" t="s">
        <v>51</v>
      </c>
      <c r="K13835" s="28" t="s">
        <v>51</v>
      </c>
      <c r="L13835" s="28" t="s">
        <v>51</v>
      </c>
      <c r="M13835" s="28" t="s">
        <v>51</v>
      </c>
      <c r="N13835" s="28" t="s">
        <v>51</v>
      </c>
    </row>
    <row r="13836" spans="1:14" x14ac:dyDescent="0.15">
      <c r="A13836" s="23" t="str">
        <f>HYPERLINK("https://www.spark-marketing.ru/Card/Person/140579", "О МВД РОССИИ ПО КРАСНОЯРСКОМУ РАЙОНУ")</f>
        <v>О МВД РОССИИ ПО КРАСНОЯРСКОМУ РАЙОНУ</v>
      </c>
      <c r="B13836" s="24" t="s">
        <v>18526</v>
      </c>
      <c r="C13836" s="25">
        <v>15000</v>
      </c>
      <c r="D13836" s="22" t="s">
        <v>18531</v>
      </c>
      <c r="E13836" s="22" t="s">
        <v>96</v>
      </c>
      <c r="F13836" s="23" t="str">
        <f>HYPERLINK("https://www.spark-marketing.ru/Card/Lot/71975572", "Оказание услуг по организации питания (приготовлению и доставке), 50 шт")</f>
        <v>Оказание услуг по организации питания (приготовлению и доставке), 50 шт</v>
      </c>
      <c r="G13836" s="22" t="s">
        <v>128</v>
      </c>
      <c r="H13836" s="22" t="s">
        <v>7756</v>
      </c>
      <c r="I13836" s="26">
        <v>43655.623993055597</v>
      </c>
      <c r="J13836" s="28" t="s">
        <v>51</v>
      </c>
      <c r="K13836" s="28" t="s">
        <v>51</v>
      </c>
      <c r="L13836" s="28" t="s">
        <v>51</v>
      </c>
      <c r="M13836" s="28" t="s">
        <v>51</v>
      </c>
      <c r="N13836" s="28" t="s">
        <v>51</v>
      </c>
    </row>
    <row r="13837" spans="1:14" x14ac:dyDescent="0.15">
      <c r="A13837" s="23" t="str">
        <f>HYPERLINK("https://www.spark-marketing.ru/Card/Person/21114", "ГБУЗ СО ""НИЖНЕСАЛДИНСКАЯ ЦГБ""")</f>
        <v>ГБУЗ СО "НИЖНЕСАЛДИНСКАЯ ЦГБ"</v>
      </c>
      <c r="B13837" s="24" t="s">
        <v>18532</v>
      </c>
      <c r="C13837" s="25">
        <v>805200</v>
      </c>
      <c r="D13837" s="22" t="s">
        <v>18533</v>
      </c>
      <c r="E13837" s="22" t="s">
        <v>48</v>
      </c>
      <c r="F13837" s="23" t="str">
        <f>HYPERLINK("https://www.spark-marketing.ru/Card/Lot/71989203", "Оказание услуг по организации лечебно-профилактического питания пациентов в условиях круглосуточного стационара")</f>
        <v>Оказание услуг по организации лечебно-профилактического питания пациентов в условиях круглосуточного стационара</v>
      </c>
      <c r="G13837" s="22" t="s">
        <v>174</v>
      </c>
      <c r="H13837" s="22" t="s">
        <v>5129</v>
      </c>
      <c r="I13837" s="26">
        <v>43655.584027777797</v>
      </c>
      <c r="J13837" s="23" t="str">
        <f>HYPERLINK("https://www.spark-marketing.ru/Card/Person/6509711", "ООО ""ПИТАНИЕНС""")</f>
        <v>ООО "ПИТАНИЕНС"</v>
      </c>
      <c r="K13837" s="24" t="s">
        <v>18534</v>
      </c>
      <c r="L13837" s="22" t="s">
        <v>10</v>
      </c>
      <c r="M13837" s="28" t="s">
        <v>51</v>
      </c>
      <c r="N13837" s="28" t="s">
        <v>51</v>
      </c>
    </row>
    <row r="13838" spans="1:14" x14ac:dyDescent="0.15">
      <c r="A13838" s="23" t="str">
        <f>HYPERLINK("https://www.spark-marketing.ru/Card/Person/9277", "БРЯНСКАЯ ГОРОДСКАЯ АДМИНИСТРАЦИЯ")</f>
        <v>БРЯНСКАЯ ГОРОДСКАЯ АДМИНИСТРАЦИЯ</v>
      </c>
      <c r="B13838" s="24" t="s">
        <v>18535</v>
      </c>
      <c r="C13838" s="25">
        <v>330733.7</v>
      </c>
      <c r="D13838" s="22" t="s">
        <v>18536</v>
      </c>
      <c r="E13838" s="22" t="s">
        <v>67</v>
      </c>
      <c r="F13838" s="23" t="str">
        <f>HYPERLINK("https://www.spark-marketing.ru/Card/Lot/71987246", "Оказание услуг по организации питания")</f>
        <v>Оказание услуг по организации питания</v>
      </c>
      <c r="G13838" s="22" t="s">
        <v>475</v>
      </c>
      <c r="H13838" s="22" t="s">
        <v>475</v>
      </c>
      <c r="I13838" s="26">
        <v>43655.589583333298</v>
      </c>
      <c r="J13838" s="23" t="str">
        <f>HYPERLINK("https://www.spark-marketing.ru/Card/Person/4702571", "ООО ""ФРЕШ""")</f>
        <v>ООО "ФРЕШ"</v>
      </c>
      <c r="K13838" s="24" t="s">
        <v>18537</v>
      </c>
      <c r="L13838" s="28" t="s">
        <v>51</v>
      </c>
      <c r="M13838" s="28" t="s">
        <v>51</v>
      </c>
      <c r="N13838" s="28" t="s">
        <v>51</v>
      </c>
    </row>
    <row r="13839" spans="1:14" ht="12.75" hidden="1" outlineLevel="1" x14ac:dyDescent="0.2">
      <c r="A13839" s="23" t="str">
        <f>HYPERLINK("https://www.spark-marketing.ru/Card/Person/9277", "БРЯНСКАЯ ГОРОДСКАЯ АДМИНИСТРАЦИЯ")</f>
        <v>БРЯНСКАЯ ГОРОДСКАЯ АДМИНИСТРАЦИЯ</v>
      </c>
      <c r="B13839" s="24" t="s">
        <v>18535</v>
      </c>
      <c r="C13839" s="25">
        <v>330733.7</v>
      </c>
      <c r="D13839" s="22" t="s">
        <v>18536</v>
      </c>
      <c r="E13839" s="22" t="s">
        <v>67</v>
      </c>
      <c r="F13839" s="23" t="str">
        <f>HYPERLINK("https://www.spark-marketing.ru/Card/Lot/71987246", "Оказание услуг по организации питания")</f>
        <v>Оказание услуг по организации питания</v>
      </c>
      <c r="G13839" s="22" t="s">
        <v>475</v>
      </c>
      <c r="H13839" s="22" t="s">
        <v>475</v>
      </c>
      <c r="I13839" s="26">
        <v>43655.589583333298</v>
      </c>
      <c r="J13839" s="23" t="str">
        <f>HYPERLINK("https://www.spark-marketing.ru/Card/Person/4702571", "ООО ""ФРЕШ""")</f>
        <v>ООО "ФРЕШ"</v>
      </c>
      <c r="K13839" s="24" t="s">
        <v>18537</v>
      </c>
      <c r="L13839" s="22" t="s">
        <v>10</v>
      </c>
      <c r="M13839" s="25">
        <v>329080.03000000003</v>
      </c>
      <c r="N13839" s="27">
        <v>5.0000045353709045E-3</v>
      </c>
    </row>
    <row r="13840" spans="1:14" x14ac:dyDescent="0.15">
      <c r="A13840" s="23" t="str">
        <f>HYPERLINK("https://www.spark-marketing.ru/Card/Person/4376923", "ОМВД РОССИИ ПО ЧУНСКОМУ РАЙОНУ")</f>
        <v>ОМВД РОССИИ ПО ЧУНСКОМУ РАЙОНУ</v>
      </c>
      <c r="B13840" s="24" t="s">
        <v>18538</v>
      </c>
      <c r="C13840" s="25">
        <v>803730</v>
      </c>
      <c r="D13840" s="22" t="s">
        <v>18539</v>
      </c>
      <c r="E13840" s="22" t="s">
        <v>48</v>
      </c>
      <c r="F13840" s="23" t="str">
        <f>HYPERLINK("https://www.spark-marketing.ru/Card/Lot/71989202", "Прочая закупка товаров, работ и услуг (услуги по организации комплексного питания для лиц, содержащихся в изоляторе временного содержания подозреваемых и обвиняемых)")</f>
        <v>Прочая закупка товаров, работ и услуг (услуги по организации комплексного питания для лиц, содержащихся в изоляторе временного содержания подозреваемых и обвиняемых)</v>
      </c>
      <c r="G13840" s="22" t="s">
        <v>263</v>
      </c>
      <c r="H13840" s="22" t="s">
        <v>263</v>
      </c>
      <c r="I13840" s="26">
        <v>43655.585416666698</v>
      </c>
      <c r="J13840" s="23" t="str">
        <f>HYPERLINK("https://www.spark-marketing.ru/Card/Person/306298", "ООО ""ВИННЫЙ ПОГРЕБОК - ДОЛИНА ГРЕЗ""")</f>
        <v>ООО "ВИННЫЙ ПОГРЕБОК - ДОЛИНА ГРЕЗ"</v>
      </c>
      <c r="K13840" s="24" t="s">
        <v>18540</v>
      </c>
      <c r="L13840" s="22" t="s">
        <v>10</v>
      </c>
      <c r="M13840" s="28" t="s">
        <v>51</v>
      </c>
      <c r="N13840" s="28" t="s">
        <v>51</v>
      </c>
    </row>
    <row r="13841" spans="1:14" x14ac:dyDescent="0.2">
      <c r="A13841" s="23" t="str">
        <f>HYPERLINK("https://www.spark-marketing.ru/Card/Person/61780", "МБДОУ № 101")</f>
        <v>МБДОУ № 101</v>
      </c>
      <c r="B13841" s="24" t="s">
        <v>18541</v>
      </c>
      <c r="C13841" s="25">
        <v>4299183</v>
      </c>
      <c r="D13841" s="22" t="s">
        <v>18542</v>
      </c>
      <c r="E13841" s="22" t="s">
        <v>48</v>
      </c>
      <c r="F13841" s="23" t="str">
        <f>HYPERLINK("https://www.spark-marketing.ru/Card/Lot/71990545", "Оказание услуг по организации питания детей в детской дошкольной образовательной организации")</f>
        <v>Оказание услуг по организации питания детей в детской дошкольной образовательной организации</v>
      </c>
      <c r="G13841" s="22" t="s">
        <v>1918</v>
      </c>
      <c r="H13841" s="22" t="s">
        <v>2140</v>
      </c>
      <c r="I13841" s="26">
        <v>43655.574699074103</v>
      </c>
      <c r="J13841" s="23" t="str">
        <f>HYPERLINK("https://www.spark-marketing.ru/Card/Person/75328", "ООО ""АЛЬТЕРНАТИВА""")</f>
        <v>ООО "АЛЬТЕРНАТИВА"</v>
      </c>
      <c r="K13841" s="24" t="s">
        <v>7645</v>
      </c>
      <c r="L13841" s="28" t="s">
        <v>51</v>
      </c>
      <c r="M13841" s="25">
        <v>4299183</v>
      </c>
      <c r="N13841" s="27">
        <v>0</v>
      </c>
    </row>
    <row r="13842" spans="1:14" ht="12.75" x14ac:dyDescent="0.2">
      <c r="A13842" s="23" t="str">
        <f>HYPERLINK("https://www.spark-marketing.ru/Card/Person/217481", "ФКУ ИК-32 ОУХД ГУФСИН РОССИИ ПО ИРКУТСКОЙ ОБЛАСТИ")</f>
        <v>ФКУ ИК-32 ОУХД ГУФСИН РОССИИ ПО ИРКУТСКОЙ ОБЛАСТИ</v>
      </c>
      <c r="B13842" s="24" t="s">
        <v>10050</v>
      </c>
      <c r="C13842" s="25">
        <v>224715</v>
      </c>
      <c r="D13842" s="22" t="s">
        <v>18543</v>
      </c>
      <c r="E13842" s="22" t="s">
        <v>18544</v>
      </c>
      <c r="F13842" s="23" t="str">
        <f>HYPERLINK("https://www.spark-marketing.ru/Card/Lot/71985656", "Прочая закупка товаров, работ и услуг(продукты питания для пекарни)")</f>
        <v>Прочая закупка товаров, работ и услуг(продукты питания для пекарни)</v>
      </c>
      <c r="G13842" s="22" t="s">
        <v>263</v>
      </c>
      <c r="H13842" s="22" t="s">
        <v>10053</v>
      </c>
      <c r="I13842" s="26">
        <v>43655.5756944444</v>
      </c>
      <c r="J13842" s="23" t="str">
        <f>HYPERLINK("https://www.spark-marketing.ru/Card/Person/581671", "Келлер Ирина Павловна")</f>
        <v>Келлер Ирина Павловна</v>
      </c>
      <c r="K13842" s="24" t="s">
        <v>10054</v>
      </c>
      <c r="L13842" s="22" t="s">
        <v>10</v>
      </c>
      <c r="M13842" s="25">
        <v>217670</v>
      </c>
      <c r="N13842" s="27">
        <v>3.135082215250428E-2</v>
      </c>
    </row>
    <row r="13843" spans="1:14" x14ac:dyDescent="0.15">
      <c r="A13843" s="23" t="str">
        <f>HYPERLINK("https://www.spark-marketing.ru/Card/Person/4345184", "ОТДЕЛ МВД РОССИИ ПО ЗАТО Г. СНЕЖИНСК ЧЕЛЯБИНСКОЙ ОБЛАСТИ")</f>
        <v>ОТДЕЛ МВД РОССИИ ПО ЗАТО Г. СНЕЖИНСК ЧЕЛЯБИНСКОЙ ОБЛАСТИ</v>
      </c>
      <c r="B13843" s="24" t="s">
        <v>18545</v>
      </c>
      <c r="C13843" s="25">
        <v>1100000</v>
      </c>
      <c r="D13843" s="22" t="s">
        <v>18546</v>
      </c>
      <c r="E13843" s="22" t="s">
        <v>48</v>
      </c>
      <c r="F13843" s="23" t="str">
        <f>HYPERLINK("https://www.spark-marketing.ru/Card/Lot/71989988", "Оказание услуг по обеспечению трехразовым питанием лиц, содержащихся в изоляторе временного содержания, а также лиц, содержащихся в КАЗ (более 3 часов) Отдела МВД России по ЗАТО г. Снежинск Челябинской области на 202 год")</f>
        <v>Оказание услуг по обеспечению трехразовым питанием лиц, содержащихся в изоляторе временного содержания, а также лиц, содержащихся в КАЗ (более 3 часов) Отдела МВД России по ЗАТО г. Снежинск Челябинской области на 202 год</v>
      </c>
      <c r="G13843" s="22" t="s">
        <v>469</v>
      </c>
      <c r="H13843" s="22" t="s">
        <v>18547</v>
      </c>
      <c r="I13843" s="26">
        <v>43655.5003125</v>
      </c>
      <c r="J13843" s="23" t="str">
        <f>HYPERLINK("https://www.spark-marketing.ru/Card/Person/1514532", "Брусницына Анна Валерьевна")</f>
        <v>Брусницына Анна Валерьевна</v>
      </c>
      <c r="K13843" s="24" t="s">
        <v>18548</v>
      </c>
      <c r="L13843" s="22" t="s">
        <v>10</v>
      </c>
      <c r="M13843" s="28" t="s">
        <v>51</v>
      </c>
      <c r="N13843" s="28" t="s">
        <v>51</v>
      </c>
    </row>
    <row r="13844" spans="1:14" x14ac:dyDescent="0.15">
      <c r="A13844" s="23" t="str">
        <f>HYPERLINK("https://www.spark-marketing.ru/Card/Person/1100711", "МАУ ""СШ №1 Г. БЕЛОГОРСК""")</f>
        <v>МАУ "СШ №1 Г. БЕЛОГОРСК"</v>
      </c>
      <c r="B13844" s="24" t="s">
        <v>18549</v>
      </c>
      <c r="C13844" s="25">
        <v>976500</v>
      </c>
      <c r="D13844" s="22" t="s">
        <v>18550</v>
      </c>
      <c r="E13844" s="22" t="s">
        <v>18551</v>
      </c>
      <c r="F13844" s="23" t="str">
        <f>HYPERLINK("https://www.spark-marketing.ru/Card/Lot/71965451", "Оказание услуг по предоставлению мест для питания и проживания при проведении учебно-тренировочных сборов.")</f>
        <v>Оказание услуг по предоставлению мест для питания и проживания при проведении учебно-тренировочных сборов.</v>
      </c>
      <c r="G13844" s="22" t="s">
        <v>210</v>
      </c>
      <c r="H13844" s="22" t="s">
        <v>210</v>
      </c>
      <c r="I13844" s="26">
        <v>43655.482569444401</v>
      </c>
      <c r="J13844" s="28" t="s">
        <v>51</v>
      </c>
      <c r="K13844" s="28" t="s">
        <v>51</v>
      </c>
      <c r="L13844" s="28" t="s">
        <v>51</v>
      </c>
      <c r="M13844" s="28" t="s">
        <v>51</v>
      </c>
      <c r="N13844" s="28" t="s">
        <v>51</v>
      </c>
    </row>
    <row r="13845" spans="1:14" x14ac:dyDescent="0.15">
      <c r="A13845" s="23" t="str">
        <f>HYPERLINK("https://www.spark-marketing.ru/Card/Person/9359", "САНКТ-ПЕТЕРБУРГСКИЙ ГОСУДАРСТВЕННЫЙ УНИВЕРСИТЕТ, САНКТ-ПЕТЕРБУРГСКИЙ УНИВЕРСИТЕТ ИЛИ СПБГУ")</f>
        <v>САНКТ-ПЕТЕРБУРГСКИЙ ГОСУДАРСТВЕННЫЙ УНИВЕРСИТЕТ, САНКТ-ПЕТЕРБУРГСКИЙ УНИВЕРСИТЕТ ИЛИ СПБГУ</v>
      </c>
      <c r="B13845" s="24" t="s">
        <v>1357</v>
      </c>
      <c r="C13845" s="25">
        <v>6855711</v>
      </c>
      <c r="D13845" s="22" t="s">
        <v>18552</v>
      </c>
      <c r="E13845" s="22" t="s">
        <v>1359</v>
      </c>
      <c r="F13845" s="23" t="str">
        <f>HYPERLINK("https://www.spark-marketing.ru/Card/Lot/71992243", "Поставка комплекта мультимедийного оборудования и материалов для оснащения конференц-зала СПбГУ")</f>
        <v>Поставка комплекта мультимедийного оборудования и материалов для оснащения конференц-зала СПбГУ</v>
      </c>
      <c r="G13845" s="22" t="s">
        <v>117</v>
      </c>
      <c r="H13845" s="22" t="s">
        <v>117</v>
      </c>
      <c r="I13845" s="26">
        <v>43655.483333333301</v>
      </c>
      <c r="J13845" s="28" t="s">
        <v>51</v>
      </c>
      <c r="K13845" s="28" t="s">
        <v>51</v>
      </c>
      <c r="L13845" s="28" t="s">
        <v>51</v>
      </c>
      <c r="M13845" s="28" t="s">
        <v>51</v>
      </c>
      <c r="N13845" s="28" t="s">
        <v>51</v>
      </c>
    </row>
    <row r="13846" spans="1:14" ht="12.75" hidden="1" outlineLevel="1" x14ac:dyDescent="0.2">
      <c r="A13846" s="23" t="str">
        <f>HYPERLINK("https://www.spark-marketing.ru/Card/Person/9359", "САНКТ-ПЕТЕРБУРГСКИЙ ГОСУДАРСТВЕННЫЙ УНИВЕРСИТЕТ, САНКТ-ПЕТЕРБУРГСКИЙ УНИВЕРСИТЕТ ИЛИ СПБГУ")</f>
        <v>САНКТ-ПЕТЕРБУРГСКИЙ ГОСУДАРСТВЕННЫЙ УНИВЕРСИТЕТ, САНКТ-ПЕТЕРБУРГСКИЙ УНИВЕРСИТЕТ ИЛИ СПБГУ</v>
      </c>
      <c r="B13846" s="24" t="s">
        <v>1357</v>
      </c>
      <c r="C13846" s="25">
        <v>6855711</v>
      </c>
      <c r="D13846" s="22" t="s">
        <v>18552</v>
      </c>
      <c r="E13846" s="22" t="s">
        <v>1359</v>
      </c>
      <c r="F13846" s="23" t="str">
        <f>HYPERLINK("https://www.spark-marketing.ru/Card/Lot/71992243", "Поставка комплекта мультимедийного оборудования и материалов для оснащения конференц-зала СПбГУ")</f>
        <v>Поставка комплекта мультимедийного оборудования и материалов для оснащения конференц-зала СПбГУ</v>
      </c>
      <c r="G13846" s="22" t="s">
        <v>117</v>
      </c>
      <c r="H13846" s="22" t="s">
        <v>117</v>
      </c>
      <c r="I13846" s="26">
        <v>43655.483333333301</v>
      </c>
      <c r="J13846" s="23" t="str">
        <f>HYPERLINK("https://www.spark-marketing.ru/Card/Person/4347073", "ООО ""АСКРИН""")</f>
        <v>ООО "АСКРИН"</v>
      </c>
      <c r="K13846" s="24" t="s">
        <v>18553</v>
      </c>
      <c r="L13846" s="22" t="s">
        <v>10</v>
      </c>
      <c r="M13846" s="25">
        <v>5847164.3200000003</v>
      </c>
      <c r="N13846" s="27">
        <v>0.14711044266597587</v>
      </c>
    </row>
    <row r="13847" spans="1:14" hidden="1" outlineLevel="1" x14ac:dyDescent="0.2">
      <c r="A13847" s="23" t="str">
        <f>HYPERLINK("https://www.spark-marketing.ru/Card/Person/9359", "САНКТ-ПЕТЕРБУРГСКИЙ ГОСУДАРСТВЕННЫЙ УНИВЕРСИТЕТ, САНКТ-ПЕТЕРБУРГСКИЙ УНИВЕРСИТЕТ ИЛИ СПБГУ")</f>
        <v>САНКТ-ПЕТЕРБУРГСКИЙ ГОСУДАРСТВЕННЫЙ УНИВЕРСИТЕТ, САНКТ-ПЕТЕРБУРГСКИЙ УНИВЕРСИТЕТ ИЛИ СПБГУ</v>
      </c>
      <c r="B13847" s="24" t="s">
        <v>1357</v>
      </c>
      <c r="C13847" s="25">
        <v>6855711</v>
      </c>
      <c r="D13847" s="22" t="s">
        <v>18552</v>
      </c>
      <c r="E13847" s="22" t="s">
        <v>1359</v>
      </c>
      <c r="F13847" s="23" t="str">
        <f>HYPERLINK("https://www.spark-marketing.ru/Card/Lot/71992243", "Поставка комплекта мультимедийного оборудования и материалов для оснащения конференц-зала СПбГУ")</f>
        <v>Поставка комплекта мультимедийного оборудования и материалов для оснащения конференц-зала СПбГУ</v>
      </c>
      <c r="G13847" s="22" t="s">
        <v>117</v>
      </c>
      <c r="H13847" s="22" t="s">
        <v>117</v>
      </c>
      <c r="I13847" s="26">
        <v>43655.483333333301</v>
      </c>
      <c r="J13847" s="23" t="str">
        <f>HYPERLINK("https://www.spark-marketing.ru/Card/Person/50331", "ООО ""ЛАНИТ СЕВЕРО-ЗАПАД""")</f>
        <v>ООО "ЛАНИТ СЕВЕРО-ЗАПАД"</v>
      </c>
      <c r="K13847" s="24" t="s">
        <v>18554</v>
      </c>
      <c r="L13847" s="28" t="s">
        <v>51</v>
      </c>
      <c r="M13847" s="25">
        <v>6272975.4800000004</v>
      </c>
      <c r="N13847" s="27">
        <v>8.5000012398422281E-2</v>
      </c>
    </row>
    <row r="13848" spans="1:14" hidden="1" outlineLevel="1" x14ac:dyDescent="0.2">
      <c r="A13848" s="23" t="str">
        <f>HYPERLINK("https://www.spark-marketing.ru/Card/Person/9359", "САНКТ-ПЕТЕРБУРГСКИЙ ГОСУДАРСТВЕННЫЙ УНИВЕРСИТЕТ, САНКТ-ПЕТЕРБУРГСКИЙ УНИВЕРСИТЕТ ИЛИ СПБГУ")</f>
        <v>САНКТ-ПЕТЕРБУРГСКИЙ ГОСУДАРСТВЕННЫЙ УНИВЕРСИТЕТ, САНКТ-ПЕТЕРБУРГСКИЙ УНИВЕРСИТЕТ ИЛИ СПБГУ</v>
      </c>
      <c r="B13848" s="24" t="s">
        <v>1357</v>
      </c>
      <c r="C13848" s="25">
        <v>6855711</v>
      </c>
      <c r="D13848" s="22" t="s">
        <v>18552</v>
      </c>
      <c r="E13848" s="22" t="s">
        <v>1359</v>
      </c>
      <c r="F13848" s="23" t="str">
        <f>HYPERLINK("https://www.spark-marketing.ru/Card/Lot/71992243", "Поставка комплекта мультимедийного оборудования и материалов для оснащения конференц-зала СПбГУ")</f>
        <v>Поставка комплекта мультимедийного оборудования и материалов для оснащения конференц-зала СПбГУ</v>
      </c>
      <c r="G13848" s="22" t="s">
        <v>117</v>
      </c>
      <c r="H13848" s="22" t="s">
        <v>117</v>
      </c>
      <c r="I13848" s="26">
        <v>43655.483333333301</v>
      </c>
      <c r="J13848" s="23" t="str">
        <f>HYPERLINK("https://www.spark-marketing.ru/Card/Person/82865", "ООО ""ОПЕН ВИЖН""")</f>
        <v>ООО "ОПЕН ВИЖН"</v>
      </c>
      <c r="K13848" s="24" t="s">
        <v>18555</v>
      </c>
      <c r="L13848" s="28" t="s">
        <v>51</v>
      </c>
      <c r="M13848" s="25">
        <v>5881442.8799999999</v>
      </c>
      <c r="N13848" s="27">
        <v>0.14211044193665689</v>
      </c>
    </row>
    <row r="13849" spans="1:14" x14ac:dyDescent="0.15">
      <c r="A13849" s="23" t="str">
        <f>HYPERLINK("https://www.spark-marketing.ru/Card/Person/54391", "ОТДЕЛ МВД РОССИИ ПО ТУРУХАНСКОМУ РАЙОНУ")</f>
        <v>ОТДЕЛ МВД РОССИИ ПО ТУРУХАНСКОМУ РАЙОНУ</v>
      </c>
      <c r="B13849" s="24" t="s">
        <v>10761</v>
      </c>
      <c r="C13849" s="25">
        <v>1229452.8</v>
      </c>
      <c r="D13849" s="22" t="s">
        <v>18556</v>
      </c>
      <c r="E13849" s="22" t="s">
        <v>48</v>
      </c>
      <c r="F13849" s="23" t="str">
        <f>HYPERLINK("https://www.spark-marketing.ru/Card/Lot/71989983", "Оказание услуг по организации горячего трёхразового питания лиц, содержащихся в ИВС Отдела МВД России по Туруханскому району")</f>
        <v>Оказание услуг по организации горячего трёхразового питания лиц, содержащихся в ИВС Отдела МВД России по Туруханскому району</v>
      </c>
      <c r="G13849" s="22" t="s">
        <v>281</v>
      </c>
      <c r="H13849" s="22" t="s">
        <v>281</v>
      </c>
      <c r="I13849" s="26">
        <v>43655.458437499998</v>
      </c>
      <c r="J13849" s="28" t="s">
        <v>51</v>
      </c>
      <c r="K13849" s="28" t="s">
        <v>51</v>
      </c>
      <c r="L13849" s="28" t="s">
        <v>51</v>
      </c>
      <c r="M13849" s="28" t="s">
        <v>51</v>
      </c>
      <c r="N13849" s="28" t="s">
        <v>51</v>
      </c>
    </row>
    <row r="13850" spans="1:14" x14ac:dyDescent="0.15">
      <c r="A13850" s="23" t="str">
        <f>HYPERLINK("https://www.spark-marketing.ru/Card/Person/4345184", "ОТДЕЛ МВД РОССИИ ПО ЗАТО Г. СНЕЖИНСК ЧЕЛЯБИНСКОЙ ОБЛАСТИ")</f>
        <v>ОТДЕЛ МВД РОССИИ ПО ЗАТО Г. СНЕЖИНСК ЧЕЛЯБИНСКОЙ ОБЛАСТИ</v>
      </c>
      <c r="B13850" s="24" t="s">
        <v>18545</v>
      </c>
      <c r="C13850" s="25">
        <v>1100000</v>
      </c>
      <c r="D13850" s="22" t="s">
        <v>18557</v>
      </c>
      <c r="E13850" s="22" t="s">
        <v>48</v>
      </c>
      <c r="F13850" s="23" t="str">
        <f>HYPERLINK("https://www.spark-marketing.ru/Card/Lot/71989995", "Оказание услуг по обеспечению трехразовым питанием лиц, содержащихся в изоляторе временного содержания, а также лиц, содержащихся в КАЗ (более 3 часов) Отдела МВД России по ЗАТО г. Снежинск Челябинской области на 2020 год")</f>
        <v>Оказание услуг по обеспечению трехразовым питанием лиц, содержащихся в изоляторе временного содержания, а также лиц, содержащихся в КАЗ (более 3 часов) Отдела МВД России по ЗАТО г. Снежинск Челябинской области на 2020 год</v>
      </c>
      <c r="G13850" s="22" t="s">
        <v>469</v>
      </c>
      <c r="H13850" s="22" t="s">
        <v>18547</v>
      </c>
      <c r="I13850" s="26">
        <v>43655.493680555599</v>
      </c>
      <c r="J13850" s="23" t="str">
        <f>HYPERLINK("https://www.spark-marketing.ru/Card/Person/1514532", "Брусницына Анна Валерьевна")</f>
        <v>Брусницына Анна Валерьевна</v>
      </c>
      <c r="K13850" s="24" t="s">
        <v>18548</v>
      </c>
      <c r="L13850" s="22" t="s">
        <v>10</v>
      </c>
      <c r="M13850" s="28" t="s">
        <v>51</v>
      </c>
      <c r="N13850" s="28" t="s">
        <v>51</v>
      </c>
    </row>
    <row r="13851" spans="1:14" x14ac:dyDescent="0.15">
      <c r="A13851" s="23" t="str">
        <f>HYPERLINK("https://www.spark-marketing.ru/Card/Person/1390375", "ФГАУ ""УПРАВЛЕНИЕ СПОРТМЕРОПРИЯТИЙ""")</f>
        <v>ФГАУ "УПРАВЛЕНИЕ СПОРТМЕРОПРИЯТИЙ"</v>
      </c>
      <c r="B13851" s="24" t="s">
        <v>2632</v>
      </c>
      <c r="C13851" s="25">
        <v>497000</v>
      </c>
      <c r="D13851" s="22" t="s">
        <v>18558</v>
      </c>
      <c r="E13851" s="22" t="s">
        <v>580</v>
      </c>
      <c r="F13851" s="23" t="str">
        <f>HYPERLINK("https://www.spark-marketing.ru/Card/Lot/71969978", "Оказание услуг по организации питания участников 53-х Международных детских игр 2019 года")</f>
        <v>Оказание услуг по организации питания участников 53-х Международных детских игр 2019 года</v>
      </c>
      <c r="G13851" s="22" t="s">
        <v>145</v>
      </c>
      <c r="H13851" s="22" t="s">
        <v>145</v>
      </c>
      <c r="I13851" s="26">
        <v>43655.458761574097</v>
      </c>
      <c r="J13851" s="28" t="s">
        <v>51</v>
      </c>
      <c r="K13851" s="28" t="s">
        <v>51</v>
      </c>
      <c r="L13851" s="28" t="s">
        <v>51</v>
      </c>
      <c r="M13851" s="28" t="s">
        <v>51</v>
      </c>
      <c r="N13851" s="28" t="s">
        <v>51</v>
      </c>
    </row>
    <row r="13852" spans="1:14" x14ac:dyDescent="0.15">
      <c r="A13852" s="23" t="str">
        <f>HYPERLINK("https://www.spark-marketing.ru/Card/Person/8226", "ГБУЗВО ""ОКОД""")</f>
        <v>ГБУЗВО "ОКОД"</v>
      </c>
      <c r="B13852" s="24" t="s">
        <v>18559</v>
      </c>
      <c r="C13852" s="25">
        <v>45812</v>
      </c>
      <c r="D13852" s="22" t="s">
        <v>18560</v>
      </c>
      <c r="E13852" s="22" t="s">
        <v>3024</v>
      </c>
      <c r="F13852" s="23" t="str">
        <f>HYPERLINK("https://www.spark-marketing.ru/Card/Lot/71975627", "Оказание консультационных услуг по сопровождению программных продуктов 1С:Медицина.Больничная аптека, 1С:Медицина.Диетическое питание, Учет медицинских услуг, Расчет стоимости платных медицинских услуг, Тарификация на 12 месяцев для нужд ГБУЗВО ""ОКО...")</f>
        <v>Оказание консультационных услуг по сопровождению программных продуктов 1С:Медицина.Больничная аптека, 1С:Медицина.Диетическое питание, Учет медицинских услуг, Расчет стоимости платных медицинских услуг, Тарификация на 12 месяцев для нужд ГБУЗВО "ОКО...</v>
      </c>
      <c r="G13852" s="22" t="s">
        <v>663</v>
      </c>
      <c r="H13852" s="22" t="s">
        <v>664</v>
      </c>
      <c r="I13852" s="26">
        <v>43655.463888888902</v>
      </c>
      <c r="J13852" s="28" t="s">
        <v>51</v>
      </c>
      <c r="K13852" s="28" t="s">
        <v>51</v>
      </c>
      <c r="L13852" s="28" t="s">
        <v>51</v>
      </c>
      <c r="M13852" s="28" t="s">
        <v>51</v>
      </c>
      <c r="N13852" s="28" t="s">
        <v>51</v>
      </c>
    </row>
    <row r="13853" spans="1:14" x14ac:dyDescent="0.15">
      <c r="A13853" s="23" t="str">
        <f>HYPERLINK("https://www.spark-marketing.ru/Card/Person/81958", "МЕЖМУНИЦИПАЛЬНЫЙ ОТДЕЛ МВД РОССИИ ""ГУБАХИНСКИЙ""")</f>
        <v>МЕЖМУНИЦИПАЛЬНЫЙ ОТДЕЛ МВД РОССИИ "ГУБАХИНСКИЙ"</v>
      </c>
      <c r="B13853" s="24" t="s">
        <v>9521</v>
      </c>
      <c r="C13853" s="25">
        <v>629991.88</v>
      </c>
      <c r="D13853" s="22" t="s">
        <v>18561</v>
      </c>
      <c r="E13853" s="22" t="s">
        <v>48</v>
      </c>
      <c r="F13853" s="23" t="str">
        <f>HYPERLINK("https://www.spark-marketing.ru/Card/Lot/71988525", "Оказание услуг по поставке трехразового горячего питания для лиц, содержащихся в ИВС, лиц, содержащихся в специальном помещении дежурной части для задержанных более трех часов")</f>
        <v>Оказание услуг по поставке трехразового горячего питания для лиц, содержащихся в ИВС, лиц, содержащихся в специальном помещении дежурной части для задержанных более трех часов</v>
      </c>
      <c r="G13853" s="22" t="s">
        <v>153</v>
      </c>
      <c r="H13853" s="22" t="s">
        <v>1752</v>
      </c>
      <c r="I13853" s="26">
        <v>43655.454861111102</v>
      </c>
      <c r="J13853" s="23" t="str">
        <f>HYPERLINK("https://www.spark-marketing.ru/Card/Person/788890", "ООО ""МЕДИЛАЙН""")</f>
        <v>ООО "МЕДИЛАЙН"</v>
      </c>
      <c r="K13853" s="24" t="s">
        <v>3727</v>
      </c>
      <c r="L13853" s="22" t="s">
        <v>10</v>
      </c>
      <c r="M13853" s="28" t="s">
        <v>51</v>
      </c>
      <c r="N13853" s="28" t="s">
        <v>51</v>
      </c>
    </row>
    <row r="13854" spans="1:14" x14ac:dyDescent="0.15">
      <c r="A13854" s="23" t="str">
        <f>HYPERLINK("https://www.spark-marketing.ru/Card/Person/54391", "ОТДЕЛ МВД РОССИИ ПО ТУРУХАНСКОМУ РАЙОНУ")</f>
        <v>ОТДЕЛ МВД РОССИИ ПО ТУРУХАНСКОМУ РАЙОНУ</v>
      </c>
      <c r="B13854" s="24" t="s">
        <v>10761</v>
      </c>
      <c r="C13854" s="25">
        <v>819692.67</v>
      </c>
      <c r="D13854" s="22" t="s">
        <v>18562</v>
      </c>
      <c r="E13854" s="22" t="s">
        <v>48</v>
      </c>
      <c r="F13854" s="23" t="str">
        <f>HYPERLINK("https://www.spark-marketing.ru/Card/Lot/71988996", "Оказание услуг по организации горячего трёхразового питания лиц, содержащихся в ИВС Отделения полиции (дислокация г. Игарка) Отдела МВД России по Туруханскому району")</f>
        <v>Оказание услуг по организации горячего трёхразового питания лиц, содержащихся в ИВС Отделения полиции (дислокация г. Игарка) Отдела МВД России по Туруханскому району</v>
      </c>
      <c r="G13854" s="22" t="s">
        <v>281</v>
      </c>
      <c r="H13854" s="22" t="s">
        <v>281</v>
      </c>
      <c r="I13854" s="26">
        <v>43655.452083333301</v>
      </c>
      <c r="J13854" s="23" t="str">
        <f>HYPERLINK("https://www.spark-marketing.ru/Card/Person/4286975", "ООО ""АЛЕТОН""")</f>
        <v>ООО "АЛЕТОН"</v>
      </c>
      <c r="K13854" s="24" t="s">
        <v>18563</v>
      </c>
      <c r="L13854" s="22" t="s">
        <v>10</v>
      </c>
      <c r="M13854" s="28" t="s">
        <v>51</v>
      </c>
      <c r="N13854" s="28" t="s">
        <v>51</v>
      </c>
    </row>
    <row r="13855" spans="1:14" x14ac:dyDescent="0.15">
      <c r="A13855" s="23" t="str">
        <f>HYPERLINK("https://www.spark-marketing.ru/Card/Person/82829", "БУ ""СУРГУТСКИЙ ЦЕНТР СОЦИАЛЬНОЙ ПОМОЩИ СЕМЬЕ И ДЕТЯМ""")</f>
        <v>БУ "СУРГУТСКИЙ ЦЕНТР СОЦИАЛЬНОЙ ПОМОЩИ СЕМЬЕ И ДЕТЯМ"</v>
      </c>
      <c r="B13855" s="24" t="s">
        <v>18564</v>
      </c>
      <c r="C13855" s="25">
        <v>1442531.12</v>
      </c>
      <c r="D13855" s="22" t="s">
        <v>18565</v>
      </c>
      <c r="E13855" s="22" t="s">
        <v>48</v>
      </c>
      <c r="F13855" s="23" t="str">
        <f>HYPERLINK("https://www.spark-marketing.ru/Card/Lot/71989996", "Оказание услуг по организации горячего питания")</f>
        <v>Оказание услуг по организации горячего питания</v>
      </c>
      <c r="G13855" s="22" t="s">
        <v>97</v>
      </c>
      <c r="H13855" s="22" t="s">
        <v>3533</v>
      </c>
      <c r="I13855" s="26">
        <v>43655.444652777798</v>
      </c>
      <c r="J13855" s="28" t="s">
        <v>51</v>
      </c>
      <c r="K13855" s="28" t="s">
        <v>51</v>
      </c>
      <c r="L13855" s="28" t="s">
        <v>51</v>
      </c>
      <c r="M13855" s="28" t="s">
        <v>51</v>
      </c>
      <c r="N13855" s="28" t="s">
        <v>51</v>
      </c>
    </row>
    <row r="13856" spans="1:14" ht="12.75" hidden="1" outlineLevel="1" x14ac:dyDescent="0.2">
      <c r="A13856" s="23" t="str">
        <f>HYPERLINK("https://www.spark-marketing.ru/Card/Person/82829", "БУ ""СУРГУТСКИЙ ЦЕНТР СОЦИАЛЬНОЙ ПОМОЩИ СЕМЬЕ И ДЕТЯМ""")</f>
        <v>БУ "СУРГУТСКИЙ ЦЕНТР СОЦИАЛЬНОЙ ПОМОЩИ СЕМЬЕ И ДЕТЯМ"</v>
      </c>
      <c r="B13856" s="24" t="s">
        <v>18564</v>
      </c>
      <c r="C13856" s="25">
        <v>1442531.12</v>
      </c>
      <c r="D13856" s="22" t="s">
        <v>18565</v>
      </c>
      <c r="E13856" s="22" t="s">
        <v>48</v>
      </c>
      <c r="F13856" s="23" t="str">
        <f>HYPERLINK("https://www.spark-marketing.ru/Card/Lot/71989996", "Оказание услуг по организации горячего питания")</f>
        <v>Оказание услуг по организации горячего питания</v>
      </c>
      <c r="G13856" s="22" t="s">
        <v>97</v>
      </c>
      <c r="H13856" s="22" t="s">
        <v>3533</v>
      </c>
      <c r="I13856" s="26">
        <v>43655.444652777798</v>
      </c>
      <c r="J13856" s="23" t="str">
        <f>HYPERLINK("https://www.spark-marketing.ru/Card/Person/100997", "ООО ""ВКУСНОДЕЙ""")</f>
        <v>ООО "ВКУСНОДЕЙ"</v>
      </c>
      <c r="K13856" s="24" t="s">
        <v>4185</v>
      </c>
      <c r="L13856" s="22" t="s">
        <v>10</v>
      </c>
      <c r="M13856" s="25">
        <v>1291065.26</v>
      </c>
      <c r="N13856" s="27">
        <v>0.10500006405407739</v>
      </c>
    </row>
    <row r="13857" spans="1:14" hidden="1" outlineLevel="1" x14ac:dyDescent="0.2">
      <c r="A13857" s="23" t="str">
        <f>HYPERLINK("https://www.spark-marketing.ru/Card/Person/82829", "БУ ""СУРГУТСКИЙ ЦЕНТР СОЦИАЛЬНОЙ ПОМОЩИ СЕМЬЕ И ДЕТЯМ""")</f>
        <v>БУ "СУРГУТСКИЙ ЦЕНТР СОЦИАЛЬНОЙ ПОМОЩИ СЕМЬЕ И ДЕТЯМ"</v>
      </c>
      <c r="B13857" s="24" t="s">
        <v>18564</v>
      </c>
      <c r="C13857" s="25">
        <v>1442531.12</v>
      </c>
      <c r="D13857" s="22" t="s">
        <v>18565</v>
      </c>
      <c r="E13857" s="22" t="s">
        <v>48</v>
      </c>
      <c r="F13857" s="23" t="str">
        <f>HYPERLINK("https://www.spark-marketing.ru/Card/Lot/71989996", "Оказание услуг по организации горячего питания")</f>
        <v>Оказание услуг по организации горячего питания</v>
      </c>
      <c r="G13857" s="22" t="s">
        <v>97</v>
      </c>
      <c r="H13857" s="22" t="s">
        <v>3533</v>
      </c>
      <c r="I13857" s="26">
        <v>43655.444652777798</v>
      </c>
      <c r="J13857" s="23" t="str">
        <f>HYPERLINK("https://www.spark-marketing.ru/Card/Person/6458527", "Тимченко Руслан Владимирович")</f>
        <v>Тимченко Руслан Владимирович</v>
      </c>
      <c r="K13857" s="24" t="s">
        <v>18566</v>
      </c>
      <c r="L13857" s="28" t="s">
        <v>51</v>
      </c>
      <c r="M13857" s="25">
        <v>1298277.92</v>
      </c>
      <c r="N13857" s="27">
        <v>0.10000006100388323</v>
      </c>
    </row>
    <row r="13858" spans="1:14" x14ac:dyDescent="0.15">
      <c r="A13858" s="23" t="str">
        <f>HYPERLINK("https://www.spark-marketing.ru/Card/Person/54391", "ОТДЕЛ МВД РОССИИ ПО ТУРУХАНСКОМУ РАЙОНУ")</f>
        <v>ОТДЕЛ МВД РОССИИ ПО ТУРУХАНСКОМУ РАЙОНУ</v>
      </c>
      <c r="B13858" s="24" t="s">
        <v>10761</v>
      </c>
      <c r="C13858" s="25">
        <v>348482.33</v>
      </c>
      <c r="D13858" s="22" t="s">
        <v>18567</v>
      </c>
      <c r="E13858" s="22" t="s">
        <v>48</v>
      </c>
      <c r="F13858" s="23" t="str">
        <f>HYPERLINK("https://www.spark-marketing.ru/Card/Lot/71987531", "Оказание услуг по организации горячего трёхразового питания лиц, содержащихся в ИВС Отделения полиции (дислокация г. Игарка) Отдела МВД России по Туруханскому району")</f>
        <v>Оказание услуг по организации горячего трёхразового питания лиц, содержащихся в ИВС Отделения полиции (дислокация г. Игарка) Отдела МВД России по Туруханскому району</v>
      </c>
      <c r="G13858" s="22" t="s">
        <v>281</v>
      </c>
      <c r="H13858" s="22" t="s">
        <v>281</v>
      </c>
      <c r="I13858" s="26">
        <v>43655.445138888899</v>
      </c>
      <c r="J13858" s="28" t="s">
        <v>51</v>
      </c>
      <c r="K13858" s="28" t="s">
        <v>51</v>
      </c>
      <c r="L13858" s="28" t="s">
        <v>51</v>
      </c>
      <c r="M13858" s="28" t="s">
        <v>51</v>
      </c>
      <c r="N13858" s="28" t="s">
        <v>51</v>
      </c>
    </row>
    <row r="13859" spans="1:14" ht="12.75" hidden="1" outlineLevel="1" x14ac:dyDescent="0.2">
      <c r="A13859" s="23" t="str">
        <f>HYPERLINK("https://www.spark-marketing.ru/Card/Person/54391", "ОТДЕЛ МВД РОССИИ ПО ТУРУХАНСКОМУ РАЙОНУ")</f>
        <v>ОТДЕЛ МВД РОССИИ ПО ТУРУХАНСКОМУ РАЙОНУ</v>
      </c>
      <c r="B13859" s="24" t="s">
        <v>10761</v>
      </c>
      <c r="C13859" s="25">
        <v>348482.33</v>
      </c>
      <c r="D13859" s="22" t="s">
        <v>18567</v>
      </c>
      <c r="E13859" s="22" t="s">
        <v>48</v>
      </c>
      <c r="F13859" s="23" t="str">
        <f>HYPERLINK("https://www.spark-marketing.ru/Card/Lot/71987531", "Оказание услуг по организации горячего трёхразового питания лиц, содержащихся в ИВС Отделения полиции (дислокация г. Игарка) Отдела МВД России по Туруханскому району")</f>
        <v>Оказание услуг по организации горячего трёхразового питания лиц, содержащихся в ИВС Отделения полиции (дислокация г. Игарка) Отдела МВД России по Туруханскому району</v>
      </c>
      <c r="G13859" s="22" t="s">
        <v>281</v>
      </c>
      <c r="H13859" s="22" t="s">
        <v>281</v>
      </c>
      <c r="I13859" s="26">
        <v>43655.445138888899</v>
      </c>
      <c r="J13859" s="23" t="str">
        <f>HYPERLINK("https://www.spark-marketing.ru/Card/Person/453325", "ООО ""РОТЕКС-С""")</f>
        <v>ООО "РОТЕКС-С"</v>
      </c>
      <c r="K13859" s="24" t="s">
        <v>18568</v>
      </c>
      <c r="L13859" s="22" t="s">
        <v>10</v>
      </c>
      <c r="M13859" s="25">
        <v>318573.39</v>
      </c>
      <c r="N13859" s="27">
        <v>8.5826274175795372E-2</v>
      </c>
    </row>
    <row r="13860" spans="1:14" hidden="1" outlineLevel="1" x14ac:dyDescent="0.2">
      <c r="A13860" s="23" t="str">
        <f>HYPERLINK("https://www.spark-marketing.ru/Card/Person/54391", "ОТДЕЛ МВД РОССИИ ПО ТУРУХАНСКОМУ РАЙОНУ")</f>
        <v>ОТДЕЛ МВД РОССИИ ПО ТУРУХАНСКОМУ РАЙОНУ</v>
      </c>
      <c r="B13860" s="24" t="s">
        <v>10761</v>
      </c>
      <c r="C13860" s="25">
        <v>348482.33</v>
      </c>
      <c r="D13860" s="22" t="s">
        <v>18567</v>
      </c>
      <c r="E13860" s="22" t="s">
        <v>48</v>
      </c>
      <c r="F13860" s="23" t="str">
        <f>HYPERLINK("https://www.spark-marketing.ru/Card/Lot/71987531", "Оказание услуг по организации горячего трёхразового питания лиц, содержащихся в ИВС Отделения полиции (дислокация г. Игарка) Отдела МВД России по Туруханскому району")</f>
        <v>Оказание услуг по организации горячего трёхразового питания лиц, содержащихся в ИВС Отделения полиции (дислокация г. Игарка) Отдела МВД России по Туруханскому району</v>
      </c>
      <c r="G13860" s="22" t="s">
        <v>281</v>
      </c>
      <c r="H13860" s="22" t="s">
        <v>281</v>
      </c>
      <c r="I13860" s="26">
        <v>43655.445138888899</v>
      </c>
      <c r="J13860" s="23" t="str">
        <f>HYPERLINK("https://www.spark-marketing.ru/Card/Person/4286975", "ООО ""АЛЕТОН""")</f>
        <v>ООО "АЛЕТОН"</v>
      </c>
      <c r="K13860" s="24" t="s">
        <v>18563</v>
      </c>
      <c r="L13860" s="28" t="s">
        <v>51</v>
      </c>
      <c r="M13860" s="25">
        <v>320315.8</v>
      </c>
      <c r="N13860" s="27">
        <v>8.0826278910612198E-2</v>
      </c>
    </row>
    <row r="13861" spans="1:14" x14ac:dyDescent="0.15">
      <c r="A13861" s="23" t="str">
        <f>HYPERLINK("https://www.spark-marketing.ru/Card/Person/25680", "ОТДЕЛ МВД РОССИИ ПО ТОГУЧИНСКОМУ РАЙОНУ")</f>
        <v>ОТДЕЛ МВД РОССИИ ПО ТОГУЧИНСКОМУ РАЙОНУ</v>
      </c>
      <c r="B13861" s="24" t="s">
        <v>18569</v>
      </c>
      <c r="C13861" s="25">
        <v>138400</v>
      </c>
      <c r="D13861" s="22" t="s">
        <v>18570</v>
      </c>
      <c r="E13861" s="22" t="s">
        <v>96</v>
      </c>
      <c r="F13861" s="23" t="str">
        <f>HYPERLINK("https://www.spark-marketing.ru/Card/Lot/71968674", "Оказание услуг по организации питания (приготовлению и доставке), 346 шт")</f>
        <v>Оказание услуг по организации питания (приготовлению и доставке), 346 шт</v>
      </c>
      <c r="G13861" s="22" t="s">
        <v>195</v>
      </c>
      <c r="H13861" s="22" t="s">
        <v>16402</v>
      </c>
      <c r="I13861" s="26">
        <v>43655.439351851899</v>
      </c>
      <c r="J13861" s="28" t="s">
        <v>51</v>
      </c>
      <c r="K13861" s="28" t="s">
        <v>51</v>
      </c>
      <c r="L13861" s="28" t="s">
        <v>51</v>
      </c>
      <c r="M13861" s="28" t="s">
        <v>51</v>
      </c>
      <c r="N13861" s="28" t="s">
        <v>51</v>
      </c>
    </row>
    <row r="13862" spans="1:14" x14ac:dyDescent="0.15">
      <c r="A13862" s="23" t="str">
        <f>HYPERLINK("https://www.spark-marketing.ru/Card/Person/1007127", "ФКУ ""ЦУКС ГУ МЧС РОССИИ ПО ВОРОНЕЖСКОЙ ОБЛАСТИ""")</f>
        <v>ФКУ "ЦУКС ГУ МЧС РОССИИ ПО ВОРОНЕЖСКОЙ ОБЛАСТИ"</v>
      </c>
      <c r="B13862" s="24" t="s">
        <v>18571</v>
      </c>
      <c r="C13862" s="25">
        <v>23040</v>
      </c>
      <c r="D13862" s="22" t="s">
        <v>18572</v>
      </c>
      <c r="E13862" s="22" t="s">
        <v>96</v>
      </c>
      <c r="F13862" s="23" t="str">
        <f>HYPERLINK("https://www.spark-marketing.ru/Card/Lot/71968678", "Услуга по питанию, 48 шт")</f>
        <v>Услуга по питанию, 48 шт</v>
      </c>
      <c r="G13862" s="22" t="s">
        <v>82</v>
      </c>
      <c r="H13862" s="22" t="s">
        <v>83</v>
      </c>
      <c r="I13862" s="26">
        <v>43655.440474536997</v>
      </c>
      <c r="J13862" s="28" t="s">
        <v>51</v>
      </c>
      <c r="K13862" s="28" t="s">
        <v>51</v>
      </c>
      <c r="L13862" s="28" t="s">
        <v>51</v>
      </c>
      <c r="M13862" s="28" t="s">
        <v>51</v>
      </c>
      <c r="N13862" s="28" t="s">
        <v>51</v>
      </c>
    </row>
    <row r="13863" spans="1:14" x14ac:dyDescent="0.15">
      <c r="A13863" s="23" t="str">
        <f>HYPERLINK("https://www.spark-marketing.ru/Card/Person/1009267", "ГБОУ АО ""СКОШ № 5""")</f>
        <v>ГБОУ АО "СКОШ № 5"</v>
      </c>
      <c r="B13863" s="24" t="s">
        <v>18573</v>
      </c>
      <c r="C13863" s="25">
        <v>1723800</v>
      </c>
      <c r="D13863" s="22" t="s">
        <v>18574</v>
      </c>
      <c r="E13863" s="22" t="s">
        <v>48</v>
      </c>
      <c r="F13863" s="23" t="str">
        <f>HYPERLINK("https://www.spark-marketing.ru/Card/Lot/71991625", "Оказание услуг по организации общественного питания для учащихся")</f>
        <v>Оказание услуг по организации общественного питания для учащихся</v>
      </c>
      <c r="G13863" s="22" t="s">
        <v>214</v>
      </c>
      <c r="H13863" s="22" t="s">
        <v>7251</v>
      </c>
      <c r="I13863" s="26">
        <v>43655.452662037002</v>
      </c>
      <c r="J13863" s="23" t="str">
        <f>HYPERLINK("https://www.spark-marketing.ru/Card/Person/6633211", "ООО ""ПЛАГМАСС""")</f>
        <v>ООО "ПЛАГМАСС"</v>
      </c>
      <c r="K13863" s="24" t="s">
        <v>18575</v>
      </c>
      <c r="L13863" s="22" t="s">
        <v>10</v>
      </c>
      <c r="M13863" s="28" t="s">
        <v>51</v>
      </c>
      <c r="N13863" s="28" t="s">
        <v>51</v>
      </c>
    </row>
    <row r="13864" spans="1:14" x14ac:dyDescent="0.15">
      <c r="A13864" s="23" t="str">
        <f>HYPERLINK("https://www.spark-marketing.ru/Card/Person/5793", "ГБУЗ ""ООКСПК""")</f>
        <v>ГБУЗ "ООКСПК"</v>
      </c>
      <c r="B13864" s="24" t="s">
        <v>18576</v>
      </c>
      <c r="C13864" s="25">
        <v>2971779.34</v>
      </c>
      <c r="D13864" s="22" t="s">
        <v>18577</v>
      </c>
      <c r="E13864" s="22" t="s">
        <v>809</v>
      </c>
      <c r="F13864" s="23" t="str">
        <f>HYPERLINK("https://www.spark-marketing.ru/Card/Lot/71990353", "на поставку программно-аппаратного комплекса связанного с обеспечением безопасности донорской крови и ее компонентов")</f>
        <v>на поставку программно-аппаратного комплекса связанного с обеспечением безопасности донорской крови и ее компонентов</v>
      </c>
      <c r="G13864" s="22" t="s">
        <v>132</v>
      </c>
      <c r="H13864" s="22" t="s">
        <v>587</v>
      </c>
      <c r="I13864" s="26">
        <v>43655.4144212963</v>
      </c>
      <c r="J13864" s="23" t="str">
        <f>HYPERLINK("https://www.spark-marketing.ru/Card/Person/116559", "ООО ""ИНФОРМАЦИОННЫЕ ТЕХНОЛОГИИ БУДУЩЕГО""")</f>
        <v>ООО "ИНФОРМАЦИОННЫЕ ТЕХНОЛОГИИ БУДУЩЕГО"</v>
      </c>
      <c r="K13864" s="24" t="s">
        <v>18578</v>
      </c>
      <c r="L13864" s="22" t="s">
        <v>10</v>
      </c>
      <c r="M13864" s="28" t="s">
        <v>51</v>
      </c>
      <c r="N13864" s="28" t="s">
        <v>51</v>
      </c>
    </row>
    <row r="13865" spans="1:14" x14ac:dyDescent="0.15">
      <c r="A13865" s="23" t="str">
        <f>HYPERLINK("https://www.spark-marketing.ru/Card/Person/1048410", "МО МВД РОССИИ ""АБДУЛИНСКИЙ""")</f>
        <v>МО МВД РОССИИ "АБДУЛИНСКИЙ"</v>
      </c>
      <c r="B13865" s="24" t="s">
        <v>9396</v>
      </c>
      <c r="C13865" s="25">
        <v>99000</v>
      </c>
      <c r="D13865" s="22" t="s">
        <v>18579</v>
      </c>
      <c r="E13865" s="22" t="s">
        <v>48</v>
      </c>
      <c r="F13865" s="23" t="str">
        <f>HYPERLINK("https://www.spark-marketing.ru/Card/Lot/71967340",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3865" s="22" t="s">
        <v>132</v>
      </c>
      <c r="H13865" s="22" t="s">
        <v>16331</v>
      </c>
      <c r="I13865" s="26">
        <v>43655.4055787037</v>
      </c>
      <c r="J13865" s="28" t="s">
        <v>51</v>
      </c>
      <c r="K13865" s="28" t="s">
        <v>51</v>
      </c>
      <c r="L13865" s="28" t="s">
        <v>51</v>
      </c>
      <c r="M13865" s="28" t="s">
        <v>51</v>
      </c>
      <c r="N13865" s="28" t="s">
        <v>51</v>
      </c>
    </row>
    <row r="13866" spans="1:14" x14ac:dyDescent="0.15">
      <c r="A13866" s="23" t="str">
        <f>HYPERLINK("https://www.spark-marketing.ru/Card/Person/30669", "ГБУЗ ""ТОЦКАЯ РБ""")</f>
        <v>ГБУЗ "ТОЦКАЯ РБ"</v>
      </c>
      <c r="B13866" s="24" t="s">
        <v>18580</v>
      </c>
      <c r="C13866" s="25">
        <v>1750200.3</v>
      </c>
      <c r="D13866" s="22" t="s">
        <v>18581</v>
      </c>
      <c r="E13866" s="22" t="s">
        <v>809</v>
      </c>
      <c r="F13866" s="23" t="str">
        <f>HYPERLINK("https://www.spark-marketing.ru/Card/Lot/71990352", "на поставку автоматизированных рабочих мест")</f>
        <v>на поставку автоматизированных рабочих мест</v>
      </c>
      <c r="G13866" s="22" t="s">
        <v>132</v>
      </c>
      <c r="H13866" s="22" t="s">
        <v>10251</v>
      </c>
      <c r="I13866" s="26">
        <v>43655.4144212963</v>
      </c>
      <c r="J13866" s="23" t="str">
        <f>HYPERLINK("https://www.spark-marketing.ru/Card/Person/6499259", "ООО ""АЙТИМ""")</f>
        <v>ООО "АЙТИМ"</v>
      </c>
      <c r="K13866" s="24" t="s">
        <v>12113</v>
      </c>
      <c r="L13866" s="28" t="s">
        <v>51</v>
      </c>
      <c r="M13866" s="28" t="s">
        <v>51</v>
      </c>
      <c r="N13866" s="28" t="s">
        <v>51</v>
      </c>
    </row>
    <row r="13867" spans="1:14" hidden="1" outlineLevel="1" x14ac:dyDescent="0.15">
      <c r="A13867" s="23" t="str">
        <f>HYPERLINK("https://www.spark-marketing.ru/Card/Person/30669", "ГБУЗ ""ТОЦКАЯ РБ""")</f>
        <v>ГБУЗ "ТОЦКАЯ РБ"</v>
      </c>
      <c r="B13867" s="24" t="s">
        <v>18580</v>
      </c>
      <c r="C13867" s="25">
        <v>1750200.3</v>
      </c>
      <c r="D13867" s="22" t="s">
        <v>18581</v>
      </c>
      <c r="E13867" s="22" t="s">
        <v>809</v>
      </c>
      <c r="F13867" s="23" t="str">
        <f>HYPERLINK("https://www.spark-marketing.ru/Card/Lot/71990352", "на поставку автоматизированных рабочих мест")</f>
        <v>на поставку автоматизированных рабочих мест</v>
      </c>
      <c r="G13867" s="22" t="s">
        <v>132</v>
      </c>
      <c r="H13867" s="22" t="s">
        <v>10251</v>
      </c>
      <c r="I13867" s="26">
        <v>43655.4144212963</v>
      </c>
      <c r="J13867" s="23" t="str">
        <f>HYPERLINK("https://www.spark-marketing.ru/Card/Person/6499259", "ООО ""АЙТИМ""")</f>
        <v>ООО "АЙТИМ"</v>
      </c>
      <c r="K13867" s="24" t="s">
        <v>12113</v>
      </c>
      <c r="L13867" s="22" t="s">
        <v>10</v>
      </c>
      <c r="M13867" s="28" t="s">
        <v>51</v>
      </c>
      <c r="N13867" s="28" t="s">
        <v>51</v>
      </c>
    </row>
    <row r="13868" spans="1:14" x14ac:dyDescent="0.15">
      <c r="A13868" s="23" t="str">
        <f>HYPERLINK("https://www.spark-marketing.ru/Card/Person/1013934", "ОМВД РОССИИ ПО Г. ЮГОРСКУ")</f>
        <v>ОМВД РОССИИ ПО Г. ЮГОРСКУ</v>
      </c>
      <c r="B13868" s="24" t="s">
        <v>3461</v>
      </c>
      <c r="C13868" s="25">
        <v>16739</v>
      </c>
      <c r="D13868" s="22" t="s">
        <v>18582</v>
      </c>
      <c r="E13868" s="22" t="s">
        <v>48</v>
      </c>
      <c r="F13868" s="23" t="str">
        <f>HYPERLINK("https://www.spark-marketing.ru/Card/Lot/71967280",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3868" s="22" t="s">
        <v>97</v>
      </c>
      <c r="H13868" s="22" t="s">
        <v>3463</v>
      </c>
      <c r="I13868" s="26">
        <v>43655.388541666704</v>
      </c>
      <c r="J13868" s="28" t="s">
        <v>51</v>
      </c>
      <c r="K13868" s="28" t="s">
        <v>51</v>
      </c>
      <c r="L13868" s="28" t="s">
        <v>51</v>
      </c>
      <c r="M13868" s="28" t="s">
        <v>51</v>
      </c>
      <c r="N13868" s="28" t="s">
        <v>51</v>
      </c>
    </row>
    <row r="13869" spans="1:14" x14ac:dyDescent="0.15">
      <c r="A13869" s="23" t="str">
        <f>HYPERLINK("https://www.spark-marketing.ru/Card/Person/98750", "Центральная дирекция управления движением ОАО ""РЖД""")</f>
        <v>Центральная дирекция управления движением ОАО "РЖД"</v>
      </c>
      <c r="B13869" s="24" t="s">
        <v>330</v>
      </c>
      <c r="C13869" s="25">
        <v>205865</v>
      </c>
      <c r="D13869" s="28" t="s">
        <v>51</v>
      </c>
      <c r="E13869" s="22" t="s">
        <v>67</v>
      </c>
      <c r="F13869" s="23" t="str">
        <f>HYPERLINK("https://www.spark-marketing.ru/Card/Lot/72426892", "№20593 Оказание услуг по организации кофе-пауз в рамках проведения торжественного мероприятия, посвященного Дню железнодорожника")</f>
        <v>№20593 Оказание услуг по организации кофе-пауз в рамках проведения торжественного мероприятия, посвященного Дню железнодорожника</v>
      </c>
      <c r="G13869" s="22" t="s">
        <v>56</v>
      </c>
      <c r="H13869" s="22" t="s">
        <v>56</v>
      </c>
      <c r="I13869" s="26">
        <v>43655.385925925897</v>
      </c>
      <c r="J13869" s="28" t="s">
        <v>51</v>
      </c>
      <c r="K13869" s="28" t="s">
        <v>51</v>
      </c>
      <c r="L13869" s="28" t="s">
        <v>51</v>
      </c>
      <c r="M13869" s="28" t="s">
        <v>51</v>
      </c>
      <c r="N13869" s="28" t="s">
        <v>51</v>
      </c>
    </row>
    <row r="13870" spans="1:14" x14ac:dyDescent="0.15">
      <c r="A13870" s="23" t="str">
        <f>HYPERLINK("https://www.spark-marketing.ru/Card/Person/266339", "МО МВД РОССИИ ""КИМРСКИЙ""")</f>
        <v>МО МВД РОССИИ "КИМРСКИЙ"</v>
      </c>
      <c r="B13870" s="24" t="s">
        <v>17860</v>
      </c>
      <c r="C13870" s="25">
        <v>1021980.96</v>
      </c>
      <c r="D13870" s="22" t="s">
        <v>18583</v>
      </c>
      <c r="E13870" s="22" t="s">
        <v>96</v>
      </c>
      <c r="F13870" s="23" t="str">
        <f>HYPERLINK("https://www.spark-marketing.ru/Card/Lot/71989601", "Питание арестованных")</f>
        <v>Питание арестованных</v>
      </c>
      <c r="G13870" s="22" t="s">
        <v>137</v>
      </c>
      <c r="H13870" s="22" t="s">
        <v>137</v>
      </c>
      <c r="I13870" s="26">
        <v>43655.400694444397</v>
      </c>
      <c r="J13870" s="28" t="s">
        <v>51</v>
      </c>
      <c r="K13870" s="28" t="s">
        <v>51</v>
      </c>
      <c r="L13870" s="28" t="s">
        <v>51</v>
      </c>
      <c r="M13870" s="28" t="s">
        <v>51</v>
      </c>
      <c r="N13870" s="28" t="s">
        <v>51</v>
      </c>
    </row>
    <row r="13871" spans="1:14" ht="12.75" hidden="1" outlineLevel="1" x14ac:dyDescent="0.2">
      <c r="A13871" s="23" t="str">
        <f>HYPERLINK("https://www.spark-marketing.ru/Card/Person/266339", "МО МВД РОССИИ ""КИМРСКИЙ""")</f>
        <v>МО МВД РОССИИ "КИМРСКИЙ"</v>
      </c>
      <c r="B13871" s="24" t="s">
        <v>17860</v>
      </c>
      <c r="C13871" s="25">
        <v>1021980.96</v>
      </c>
      <c r="D13871" s="22" t="s">
        <v>18583</v>
      </c>
      <c r="E13871" s="22" t="s">
        <v>96</v>
      </c>
      <c r="F13871" s="23" t="str">
        <f>HYPERLINK("https://www.spark-marketing.ru/Card/Lot/71989601", "Питание арестованных")</f>
        <v>Питание арестованных</v>
      </c>
      <c r="G13871" s="22" t="s">
        <v>137</v>
      </c>
      <c r="H13871" s="22" t="s">
        <v>137</v>
      </c>
      <c r="I13871" s="26">
        <v>43655.400694444397</v>
      </c>
      <c r="J13871" s="23" t="str">
        <f>HYPERLINK("https://www.spark-marketing.ru/Card/Person/310814", "ООО ""СТОЛОВАЯ №1""")</f>
        <v>ООО "СТОЛОВАЯ №1"</v>
      </c>
      <c r="K13871" s="24" t="s">
        <v>17862</v>
      </c>
      <c r="L13871" s="22" t="s">
        <v>10</v>
      </c>
      <c r="M13871" s="25">
        <v>291265.06</v>
      </c>
      <c r="N13871" s="27">
        <v>0.71499952406158329</v>
      </c>
    </row>
    <row r="13872" spans="1:14" hidden="1" outlineLevel="1" x14ac:dyDescent="0.2">
      <c r="A13872" s="23" t="str">
        <f>HYPERLINK("https://www.spark-marketing.ru/Card/Person/266339", "МО МВД РОССИИ ""КИМРСКИЙ""")</f>
        <v>МО МВД РОССИИ "КИМРСКИЙ"</v>
      </c>
      <c r="B13872" s="24" t="s">
        <v>17860</v>
      </c>
      <c r="C13872" s="25">
        <v>1021980.96</v>
      </c>
      <c r="D13872" s="22" t="s">
        <v>18583</v>
      </c>
      <c r="E13872" s="22" t="s">
        <v>96</v>
      </c>
      <c r="F13872" s="23" t="str">
        <f>HYPERLINK("https://www.spark-marketing.ru/Card/Lot/71989601", "Питание арестованных")</f>
        <v>Питание арестованных</v>
      </c>
      <c r="G13872" s="22" t="s">
        <v>137</v>
      </c>
      <c r="H13872" s="22" t="s">
        <v>137</v>
      </c>
      <c r="I13872" s="26">
        <v>43655.400694444397</v>
      </c>
      <c r="J13872" s="23" t="str">
        <f>HYPERLINK("https://www.spark-marketing.ru/Card/Person/331373", "Платонова Елена Павловна")</f>
        <v>Платонова Елена Павловна</v>
      </c>
      <c r="K13872" s="24" t="s">
        <v>1433</v>
      </c>
      <c r="L13872" s="28" t="s">
        <v>51</v>
      </c>
      <c r="M13872" s="25">
        <v>296374.96000000002</v>
      </c>
      <c r="N13872" s="27">
        <v>0.70999952875834405</v>
      </c>
    </row>
    <row r="13873" spans="1:14" x14ac:dyDescent="0.15">
      <c r="A13873" s="23" t="str">
        <f>HYPERLINK("https://www.spark-marketing.ru/Card/Person/1005431", "МБУ ДО ""СЮТ""")</f>
        <v>МБУ ДО "СЮТ"</v>
      </c>
      <c r="B13873" s="24" t="s">
        <v>18584</v>
      </c>
      <c r="C13873" s="25">
        <v>109000</v>
      </c>
      <c r="D13873" s="22" t="s">
        <v>18585</v>
      </c>
      <c r="E13873" s="22" t="s">
        <v>48</v>
      </c>
      <c r="F13873" s="23" t="str">
        <f>HYPERLINK("https://www.spark-marketing.ru/Card/Lot/71967804", "Оказание услуг по организации питания в рамках летней оздоровительной компании.")</f>
        <v>Оказание услуг по организации питания в рамках летней оздоровительной компании.</v>
      </c>
      <c r="G13873" s="22" t="s">
        <v>49</v>
      </c>
      <c r="H13873" s="22" t="s">
        <v>18586</v>
      </c>
      <c r="I13873" s="26">
        <v>43655.409432870401</v>
      </c>
      <c r="J13873" s="28" t="s">
        <v>51</v>
      </c>
      <c r="K13873" s="28" t="s">
        <v>51</v>
      </c>
      <c r="L13873" s="28" t="s">
        <v>51</v>
      </c>
      <c r="M13873" s="28" t="s">
        <v>51</v>
      </c>
      <c r="N13873" s="28" t="s">
        <v>51</v>
      </c>
    </row>
    <row r="13874" spans="1:14" x14ac:dyDescent="0.2">
      <c r="A13874" s="23" t="s">
        <v>114</v>
      </c>
      <c r="B13874" s="28" t="s">
        <v>51</v>
      </c>
      <c r="C13874" s="25">
        <v>5491099</v>
      </c>
      <c r="D13874" s="22" t="s">
        <v>18587</v>
      </c>
      <c r="E13874" s="22" t="s">
        <v>48</v>
      </c>
      <c r="F13874" s="23" t="str">
        <f>HYPERLINK("https://www.spark-marketing.ru/Card/Lot/71992274", "Оказание услуг по организации горячего питания")</f>
        <v>Оказание услуг по организации горячего питания</v>
      </c>
      <c r="G13874" s="22" t="s">
        <v>51</v>
      </c>
      <c r="H13874" s="22" t="s">
        <v>51</v>
      </c>
      <c r="I13874" s="26">
        <v>43655.391400462999</v>
      </c>
      <c r="J13874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874" s="24" t="s">
        <v>16891</v>
      </c>
      <c r="L13874" s="28" t="s">
        <v>51</v>
      </c>
      <c r="M13874" s="25">
        <v>5491099</v>
      </c>
      <c r="N13874" s="27">
        <v>0</v>
      </c>
    </row>
    <row r="13875" spans="1:14" hidden="1" outlineLevel="1" x14ac:dyDescent="0.2">
      <c r="A13875" s="23" t="str">
        <f>HYPERLINK("https://www.spark-marketing.ru/Card/Person/93749", "МБОУ СШ № 53")</f>
        <v>МБОУ СШ № 53</v>
      </c>
      <c r="B13875" s="24" t="s">
        <v>18588</v>
      </c>
      <c r="C13875" s="25">
        <v>2944541</v>
      </c>
      <c r="D13875" s="22" t="s">
        <v>18587</v>
      </c>
      <c r="E13875" s="22" t="s">
        <v>48</v>
      </c>
      <c r="F13875" s="23" t="str">
        <f>HYPERLINK("https://www.spark-marketing.ru/Card/Lot/71992274", "Оказание услуг по организации горячего питания")</f>
        <v>Оказание услуг по организации горячего питания</v>
      </c>
      <c r="G13875" s="22" t="s">
        <v>137</v>
      </c>
      <c r="H13875" s="22" t="s">
        <v>138</v>
      </c>
      <c r="I13875" s="26">
        <v>43655.391400462999</v>
      </c>
      <c r="J13875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875" s="24" t="s">
        <v>16891</v>
      </c>
      <c r="L13875" s="28" t="s">
        <v>51</v>
      </c>
      <c r="M13875" s="28" t="s">
        <v>51</v>
      </c>
      <c r="N13875" s="27">
        <v>0</v>
      </c>
    </row>
    <row r="13876" spans="1:14" hidden="1" outlineLevel="1" x14ac:dyDescent="0.2">
      <c r="A13876" s="23" t="str">
        <f>HYPERLINK("https://www.spark-marketing.ru/Card/Person/4349381", "МОУ СОШ № 21")</f>
        <v>МОУ СОШ № 21</v>
      </c>
      <c r="B13876" s="24" t="s">
        <v>18589</v>
      </c>
      <c r="C13876" s="25">
        <v>2546558</v>
      </c>
      <c r="D13876" s="22" t="s">
        <v>18587</v>
      </c>
      <c r="E13876" s="22" t="s">
        <v>48</v>
      </c>
      <c r="F13876" s="23" t="str">
        <f>HYPERLINK("https://www.spark-marketing.ru/Card/Lot/71992274", "Оказание услуг по организации горячего питания")</f>
        <v>Оказание услуг по организации горячего питания</v>
      </c>
      <c r="G13876" s="22" t="s">
        <v>137</v>
      </c>
      <c r="H13876" s="22" t="s">
        <v>138</v>
      </c>
      <c r="I13876" s="26">
        <v>43655.391400462999</v>
      </c>
      <c r="J13876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3876" s="24" t="s">
        <v>16891</v>
      </c>
      <c r="L13876" s="28" t="s">
        <v>51</v>
      </c>
      <c r="M13876" s="28" t="s">
        <v>51</v>
      </c>
      <c r="N13876" s="27">
        <v>0</v>
      </c>
    </row>
    <row r="13877" spans="1:14" x14ac:dyDescent="0.15">
      <c r="A13877" s="23" t="str">
        <f>HYPERLINK("https://www.spark-marketing.ru/Card/Person/4343663", "МИНЗДРАВ АЛТАЙСКОГО КРАЯ")</f>
        <v>МИНЗДРАВ АЛТАЙСКОГО КРАЯ</v>
      </c>
      <c r="B13877" s="24" t="s">
        <v>9429</v>
      </c>
      <c r="C13877" s="25">
        <v>47250</v>
      </c>
      <c r="D13877" s="22" t="s">
        <v>18590</v>
      </c>
      <c r="E13877" s="22" t="s">
        <v>336</v>
      </c>
      <c r="F13877" s="23" t="str">
        <f>HYPERLINK("https://www.spark-marketing.ru/Card/Lot/71966150",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3877" s="22" t="s">
        <v>63</v>
      </c>
      <c r="H13877" s="22" t="s">
        <v>177</v>
      </c>
      <c r="I13877" s="26">
        <v>43655.324305555601</v>
      </c>
      <c r="J13877" s="28" t="s">
        <v>51</v>
      </c>
      <c r="K13877" s="28" t="s">
        <v>51</v>
      </c>
      <c r="L13877" s="28" t="s">
        <v>51</v>
      </c>
      <c r="M13877" s="28" t="s">
        <v>51</v>
      </c>
      <c r="N13877" s="28" t="s">
        <v>51</v>
      </c>
    </row>
    <row r="13878" spans="1:14" x14ac:dyDescent="0.15">
      <c r="A13878" s="23" t="str">
        <f>HYPERLINK("https://www.spark-marketing.ru/Card/Person/25796", "ОМВД РОССИИ ПО АБАНСКОМУ РАЙОНУ")</f>
        <v>ОМВД РОССИИ ПО АБАНСКОМУ РАЙОНУ</v>
      </c>
      <c r="B13878" s="24" t="s">
        <v>13241</v>
      </c>
      <c r="C13878" s="25">
        <v>99200</v>
      </c>
      <c r="D13878" s="22" t="s">
        <v>18591</v>
      </c>
      <c r="E13878" s="22" t="s">
        <v>96</v>
      </c>
      <c r="F13878" s="23" t="str">
        <f>HYPERLINK("https://www.spark-marketing.ru/Card/Lot/71965830", "Оказание услуг по организации питания (приготовлению и доставке), 248 шт")</f>
        <v>Оказание услуг по организации питания (приготовлению и доставке), 248 шт</v>
      </c>
      <c r="G13878" s="22" t="s">
        <v>281</v>
      </c>
      <c r="H13878" s="22" t="s">
        <v>13243</v>
      </c>
      <c r="I13878" s="26">
        <v>43655.313067129602</v>
      </c>
      <c r="J13878" s="28" t="s">
        <v>51</v>
      </c>
      <c r="K13878" s="28" t="s">
        <v>51</v>
      </c>
      <c r="L13878" s="28" t="s">
        <v>51</v>
      </c>
      <c r="M13878" s="28" t="s">
        <v>51</v>
      </c>
      <c r="N13878" s="28" t="s">
        <v>51</v>
      </c>
    </row>
    <row r="13879" spans="1:14" x14ac:dyDescent="0.15">
      <c r="A13879" s="23" t="str">
        <f>HYPERLINK("https://www.spark-marketing.ru/Card/Person/4347278", "ОТДЕЛ МВД РОССИИ ПО МАЙМИНСКОМУ РАЙОНУ")</f>
        <v>ОТДЕЛ МВД РОССИИ ПО МАЙМИНСКОМУ РАЙОНУ</v>
      </c>
      <c r="B13879" s="24" t="s">
        <v>18592</v>
      </c>
      <c r="C13879" s="25">
        <v>182000</v>
      </c>
      <c r="D13879" s="22" t="s">
        <v>18593</v>
      </c>
      <c r="E13879" s="22" t="s">
        <v>48</v>
      </c>
      <c r="F13879" s="23" t="str">
        <f>HYPERLINK("https://www.spark-marketing.ru/Card/Lot/71965476",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3879" s="22" t="s">
        <v>1141</v>
      </c>
      <c r="H13879" s="22" t="s">
        <v>18594</v>
      </c>
      <c r="I13879" s="26">
        <v>43655.277268518497</v>
      </c>
      <c r="J13879" s="28" t="s">
        <v>51</v>
      </c>
      <c r="K13879" s="28" t="s">
        <v>51</v>
      </c>
      <c r="L13879" s="28" t="s">
        <v>51</v>
      </c>
      <c r="M13879" s="28" t="s">
        <v>51</v>
      </c>
      <c r="N13879" s="28" t="s">
        <v>51</v>
      </c>
    </row>
    <row r="13880" spans="1:14" x14ac:dyDescent="0.2">
      <c r="A13880" s="23" t="str">
        <f>HYPERLINK("https://www.spark-marketing.ru/Card/Person/1312830", "МАДОУ Д/С № 27 ""ЧЕБУРАШКА""")</f>
        <v>МАДОУ Д/С № 27 "ЧЕБУРАШКА"</v>
      </c>
      <c r="B13880" s="24" t="s">
        <v>18595</v>
      </c>
      <c r="C13880" s="25">
        <v>14848345.84</v>
      </c>
      <c r="D13880" s="22" t="s">
        <v>18596</v>
      </c>
      <c r="E13880" s="22" t="s">
        <v>362</v>
      </c>
      <c r="F13880" s="23" t="str">
        <f>HYPERLINK("https://www.spark-marketing.ru/Card/Lot/71953133", "Оказание услуг по организации горячего питания")</f>
        <v>Оказание услуг по организации горячего питания</v>
      </c>
      <c r="G13880" s="22" t="s">
        <v>153</v>
      </c>
      <c r="H13880" s="22" t="s">
        <v>153</v>
      </c>
      <c r="I13880" s="26">
        <v>43654.846932870401</v>
      </c>
      <c r="J13880" s="28" t="s">
        <v>51</v>
      </c>
      <c r="K13880" s="28" t="s">
        <v>51</v>
      </c>
      <c r="L13880" s="28" t="s">
        <v>51</v>
      </c>
      <c r="M13880" s="25">
        <v>14848345.84</v>
      </c>
      <c r="N13880" s="27">
        <v>0</v>
      </c>
    </row>
    <row r="13881" spans="1:14" x14ac:dyDescent="0.15">
      <c r="A13881" s="23" t="str">
        <f>HYPERLINK("https://www.spark-marketing.ru/Card/Person/1029512", "МДОУ №6 Д. ГОРЕТОВО")</f>
        <v>МДОУ №6 Д. ГОРЕТОВО</v>
      </c>
      <c r="B13881" s="24" t="s">
        <v>16832</v>
      </c>
      <c r="C13881" s="25">
        <v>155540</v>
      </c>
      <c r="D13881" s="22" t="s">
        <v>18597</v>
      </c>
      <c r="E13881" s="22" t="s">
        <v>48</v>
      </c>
      <c r="F13881" s="23" t="str">
        <f>HYPERLINK("https://www.spark-marketing.ru/Card/Lot/71952155", "Оказание услуг по организации питания воспитанников во втором полугодии 2019 года")</f>
        <v>Оказание услуг по организации питания воспитанников во втором полугодии 2019 года</v>
      </c>
      <c r="G13881" s="22" t="s">
        <v>49</v>
      </c>
      <c r="H13881" s="22" t="s">
        <v>506</v>
      </c>
      <c r="I13881" s="26">
        <v>43654.753078703703</v>
      </c>
      <c r="J13881" s="28" t="s">
        <v>51</v>
      </c>
      <c r="K13881" s="28" t="s">
        <v>51</v>
      </c>
      <c r="L13881" s="28" t="s">
        <v>51</v>
      </c>
      <c r="M13881" s="28" t="s">
        <v>51</v>
      </c>
      <c r="N13881" s="28" t="s">
        <v>51</v>
      </c>
    </row>
    <row r="13882" spans="1:14" x14ac:dyDescent="0.15">
      <c r="A13882" s="23" t="str">
        <f>HYPERLINK("https://www.spark-marketing.ru/Card/Person/971733", "КГАУК ""ЦКС""")</f>
        <v>КГАУК "ЦКС"</v>
      </c>
      <c r="B13882" s="24" t="s">
        <v>9832</v>
      </c>
      <c r="C13882" s="25">
        <v>141960</v>
      </c>
      <c r="D13882" s="22" t="s">
        <v>18598</v>
      </c>
      <c r="E13882" s="22" t="s">
        <v>1412</v>
      </c>
      <c r="F13882" s="23" t="str">
        <f>HYPERLINK("https://www.spark-marketing.ru/Card/Lot/71944704", "Услуги по организации питания в столовой «Сибирь» участников Международного фестиваля этнической музыки и ремёсел «МИР Сибири»")</f>
        <v>Услуги по организации питания в столовой «Сибирь» участников Международного фестиваля этнической музыки и ремёсел «МИР Сибири»</v>
      </c>
      <c r="G13882" s="22" t="s">
        <v>281</v>
      </c>
      <c r="H13882" s="22" t="s">
        <v>281</v>
      </c>
      <c r="I13882" s="26">
        <v>43654.709305555603</v>
      </c>
      <c r="J13882" s="28" t="s">
        <v>51</v>
      </c>
      <c r="K13882" s="28" t="s">
        <v>51</v>
      </c>
      <c r="L13882" s="28" t="s">
        <v>51</v>
      </c>
      <c r="M13882" s="28" t="s">
        <v>51</v>
      </c>
      <c r="N13882" s="28" t="s">
        <v>51</v>
      </c>
    </row>
    <row r="13883" spans="1:14" x14ac:dyDescent="0.15">
      <c r="A13883" s="23" t="str">
        <f>HYPERLINK("https://www.spark-marketing.ru/Card/Person/1036567", "ОМВД РОССИИ ПО Г. УРАЮ")</f>
        <v>ОМВД РОССИИ ПО Г. УРАЮ</v>
      </c>
      <c r="B13883" s="24" t="s">
        <v>8940</v>
      </c>
      <c r="C13883" s="25">
        <v>1350000</v>
      </c>
      <c r="D13883" s="22" t="s">
        <v>18599</v>
      </c>
      <c r="E13883" s="22" t="s">
        <v>48</v>
      </c>
      <c r="F13883" s="23" t="str">
        <f>HYPERLINK("https://www.spark-marketing.ru/Card/Lot/71959171", "Оказание услуг по организации ежедневного трехразового горячего питания для содержащихся в изоляторе временного содержания ОМВД России по г.Ураю у СМП")</f>
        <v>Оказание услуг по организации ежедневного трехразового горячего питания для содержащихся в изоляторе временного содержания ОМВД России по г.Ураю у СМП</v>
      </c>
      <c r="G13883" s="22" t="s">
        <v>97</v>
      </c>
      <c r="H13883" s="22" t="s">
        <v>8942</v>
      </c>
      <c r="I13883" s="26">
        <v>43654.709224537</v>
      </c>
      <c r="J13883" s="23" t="str">
        <f>HYPERLINK("https://www.spark-marketing.ru/Card/Person/6258248", "Иноземцев Владимир Николаевич")</f>
        <v>Иноземцев Владимир Николаевич</v>
      </c>
      <c r="K13883" s="24" t="s">
        <v>17483</v>
      </c>
      <c r="L13883" s="22" t="s">
        <v>10</v>
      </c>
      <c r="M13883" s="28" t="s">
        <v>51</v>
      </c>
      <c r="N13883" s="28" t="s">
        <v>51</v>
      </c>
    </row>
    <row r="13884" spans="1:14" x14ac:dyDescent="0.15">
      <c r="A13884" s="23" t="str">
        <f>HYPERLINK("https://www.spark-marketing.ru/Card/Person/58028", "СПБ ГБУ СШОР ""КОМЕТА""")</f>
        <v>СПБ ГБУ СШОР "КОМЕТА"</v>
      </c>
      <c r="B13884" s="24" t="s">
        <v>18100</v>
      </c>
      <c r="C13884" s="25">
        <v>402560</v>
      </c>
      <c r="D13884" s="22" t="s">
        <v>18600</v>
      </c>
      <c r="E13884" s="22" t="s">
        <v>374</v>
      </c>
      <c r="F13884" s="23" t="str">
        <f>HYPERLINK("https://www.spark-marketing.ru/Card/Lot/71962832",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</v>
      </c>
      <c r="G13884" s="22" t="s">
        <v>117</v>
      </c>
      <c r="H13884" s="22" t="s">
        <v>117</v>
      </c>
      <c r="I13884" s="26">
        <v>43654.722905092603</v>
      </c>
      <c r="J13884" s="28" t="s">
        <v>51</v>
      </c>
      <c r="K13884" s="28" t="s">
        <v>51</v>
      </c>
      <c r="L13884" s="28" t="s">
        <v>51</v>
      </c>
      <c r="M13884" s="28" t="s">
        <v>51</v>
      </c>
      <c r="N13884" s="28" t="s">
        <v>51</v>
      </c>
    </row>
    <row r="13885" spans="1:14" hidden="1" outlineLevel="1" x14ac:dyDescent="0.2">
      <c r="A13885" s="23" t="str">
        <f>HYPERLINK("https://www.spark-marketing.ru/Card/Person/58028", "СПБ ГБУ СШОР ""КОМЕТА""")</f>
        <v>СПБ ГБУ СШОР "КОМЕТА"</v>
      </c>
      <c r="B13885" s="24" t="s">
        <v>18100</v>
      </c>
      <c r="C13885" s="25">
        <v>402560</v>
      </c>
      <c r="D13885" s="22" t="s">
        <v>18600</v>
      </c>
      <c r="E13885" s="22" t="s">
        <v>374</v>
      </c>
      <c r="F13885" s="23" t="str">
        <f>HYPERLINK("https://www.spark-marketing.ru/Card/Lot/71962832",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</v>
      </c>
      <c r="G13885" s="22" t="s">
        <v>117</v>
      </c>
      <c r="H13885" s="22" t="s">
        <v>117</v>
      </c>
      <c r="I13885" s="26">
        <v>43654.722905092603</v>
      </c>
      <c r="J13885" s="23" t="str">
        <f>HYPERLINK("https://www.spark-marketing.ru/Card/Person/4503332", "ООО ""АЛЬФА-ТРАНС""")</f>
        <v>ООО "АЛЬФА-ТРАНС"</v>
      </c>
      <c r="K13885" s="24" t="s">
        <v>18102</v>
      </c>
      <c r="L13885" s="28" t="s">
        <v>51</v>
      </c>
      <c r="M13885" s="25">
        <v>390483.20000000001</v>
      </c>
      <c r="N13885" s="27">
        <v>0.03</v>
      </c>
    </row>
    <row r="13886" spans="1:14" ht="12.75" hidden="1" outlineLevel="1" x14ac:dyDescent="0.2">
      <c r="A13886" s="23" t="str">
        <f>HYPERLINK("https://www.spark-marketing.ru/Card/Person/58028", "СПБ ГБУ СШОР ""КОМЕТА""")</f>
        <v>СПБ ГБУ СШОР "КОМЕТА"</v>
      </c>
      <c r="B13886" s="24" t="s">
        <v>18100</v>
      </c>
      <c r="C13886" s="25">
        <v>402560</v>
      </c>
      <c r="D13886" s="22" t="s">
        <v>18600</v>
      </c>
      <c r="E13886" s="22" t="s">
        <v>374</v>
      </c>
      <c r="F13886" s="23" t="str">
        <f>HYPERLINK("https://www.spark-marketing.ru/Card/Lot/71962832",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</v>
      </c>
      <c r="G13886" s="22" t="s">
        <v>117</v>
      </c>
      <c r="H13886" s="22" t="s">
        <v>117</v>
      </c>
      <c r="I13886" s="26">
        <v>43654.722905092603</v>
      </c>
      <c r="J13886" s="23" t="str">
        <f>HYPERLINK("https://www.spark-marketing.ru/Card/Person/6514967", "ООО ""АЛЬЯНС""")</f>
        <v>ООО "АЛЬЯНС"</v>
      </c>
      <c r="K13886" s="24" t="s">
        <v>1634</v>
      </c>
      <c r="L13886" s="22" t="s">
        <v>10</v>
      </c>
      <c r="M13886" s="25">
        <v>388470.4</v>
      </c>
      <c r="N13886" s="27">
        <v>3.5000000000000003E-2</v>
      </c>
    </row>
    <row r="13887" spans="1:14" x14ac:dyDescent="0.15">
      <c r="A13887" s="23" t="str">
        <f>HYPERLINK("https://www.spark-marketing.ru/Card/Person/257477", "ГБОУ СТЕРЛИТАМАКСКАЯ КШИ")</f>
        <v>ГБОУ СТЕРЛИТАМАКСКАЯ КШИ</v>
      </c>
      <c r="B13887" s="24" t="s">
        <v>18601</v>
      </c>
      <c r="C13887" s="25">
        <v>2721471.37</v>
      </c>
      <c r="D13887" s="22" t="s">
        <v>18602</v>
      </c>
      <c r="E13887" s="22" t="s">
        <v>48</v>
      </c>
      <c r="F13887" s="23" t="str">
        <f>HYPERLINK("https://www.spark-marketing.ru/Card/Lot/71960914", "Оказание услуг по организации питания учащихся, приходящих и проживающих в ГБОУ Стерлитамакская КШИ")</f>
        <v>Оказание услуг по организации питания учащихся, приходящих и проживающих в ГБОУ Стерлитамакская КШИ</v>
      </c>
      <c r="G13887" s="22" t="s">
        <v>145</v>
      </c>
      <c r="H13887" s="22" t="s">
        <v>7678</v>
      </c>
      <c r="I13887" s="26">
        <v>43654.711921296301</v>
      </c>
      <c r="J13887" s="28" t="s">
        <v>51</v>
      </c>
      <c r="K13887" s="28" t="s">
        <v>51</v>
      </c>
      <c r="L13887" s="28" t="s">
        <v>51</v>
      </c>
      <c r="M13887" s="28" t="s">
        <v>51</v>
      </c>
      <c r="N13887" s="28" t="s">
        <v>51</v>
      </c>
    </row>
    <row r="13888" spans="1:14" hidden="1" outlineLevel="1" x14ac:dyDescent="0.2">
      <c r="A13888" s="23" t="str">
        <f>HYPERLINK("https://www.spark-marketing.ru/Card/Person/257477", "ГБОУ СТЕРЛИТАМАКСКАЯ КШИ")</f>
        <v>ГБОУ СТЕРЛИТАМАКСКАЯ КШИ</v>
      </c>
      <c r="B13888" s="24" t="s">
        <v>18601</v>
      </c>
      <c r="C13888" s="25">
        <v>2721471.37</v>
      </c>
      <c r="D13888" s="22" t="s">
        <v>18602</v>
      </c>
      <c r="E13888" s="22" t="s">
        <v>48</v>
      </c>
      <c r="F13888" s="23" t="str">
        <f>HYPERLINK("https://www.spark-marketing.ru/Card/Lot/71960914", "Оказание услуг по организации питания учащихся, приходящих и проживающих в ГБОУ Стерлитамакская КШИ")</f>
        <v>Оказание услуг по организации питания учащихся, приходящих и проживающих в ГБОУ Стерлитамакская КШИ</v>
      </c>
      <c r="G13888" s="22" t="s">
        <v>145</v>
      </c>
      <c r="H13888" s="22" t="s">
        <v>7678</v>
      </c>
      <c r="I13888" s="26">
        <v>43654.711921296301</v>
      </c>
      <c r="J13888" s="23" t="str">
        <f>HYPERLINK("https://www.spark-marketing.ru/Card/Person/86469", "ООО ""ОБЩЕПИТ-3""")</f>
        <v>ООО "ОБЩЕПИТ-3"</v>
      </c>
      <c r="K13888" s="24" t="s">
        <v>18603</v>
      </c>
      <c r="L13888" s="28" t="s">
        <v>51</v>
      </c>
      <c r="M13888" s="25">
        <v>2281208.7000000002</v>
      </c>
      <c r="N13888" s="27">
        <v>0.16177376504974955</v>
      </c>
    </row>
    <row r="13889" spans="1:14" ht="12.75" hidden="1" outlineLevel="1" x14ac:dyDescent="0.2">
      <c r="A13889" s="23" t="str">
        <f>HYPERLINK("https://www.spark-marketing.ru/Card/Person/257477", "ГБОУ СТЕРЛИТАМАКСКАЯ КШИ")</f>
        <v>ГБОУ СТЕРЛИТАМАКСКАЯ КШИ</v>
      </c>
      <c r="B13889" s="24" t="s">
        <v>18601</v>
      </c>
      <c r="C13889" s="25">
        <v>2721471.37</v>
      </c>
      <c r="D13889" s="22" t="s">
        <v>18602</v>
      </c>
      <c r="E13889" s="22" t="s">
        <v>48</v>
      </c>
      <c r="F13889" s="23" t="str">
        <f>HYPERLINK("https://www.spark-marketing.ru/Card/Lot/71960914", "Оказание услуг по организации питания учащихся, приходящих и проживающих в ГБОУ Стерлитамакская КШИ")</f>
        <v>Оказание услуг по организации питания учащихся, приходящих и проживающих в ГБОУ Стерлитамакская КШИ</v>
      </c>
      <c r="G13889" s="22" t="s">
        <v>145</v>
      </c>
      <c r="H13889" s="22" t="s">
        <v>7678</v>
      </c>
      <c r="I13889" s="26">
        <v>43654.711921296301</v>
      </c>
      <c r="J13889" s="23" t="str">
        <f>HYPERLINK("https://www.spark-marketing.ru/Card/Person/6633897", "Баянова Александра Юрьевна")</f>
        <v>Баянова Александра Юрьевна</v>
      </c>
      <c r="K13889" s="24" t="s">
        <v>18604</v>
      </c>
      <c r="L13889" s="22" t="s">
        <v>10</v>
      </c>
      <c r="M13889" s="25">
        <v>2032705.66</v>
      </c>
      <c r="N13889" s="27">
        <v>0.25308578204884807</v>
      </c>
    </row>
    <row r="13890" spans="1:14" hidden="1" outlineLevel="1" x14ac:dyDescent="0.2">
      <c r="A13890" s="23" t="str">
        <f>HYPERLINK("https://www.spark-marketing.ru/Card/Person/257477", "ГБОУ СТЕРЛИТАМАКСКАЯ КШИ")</f>
        <v>ГБОУ СТЕРЛИТАМАКСКАЯ КШИ</v>
      </c>
      <c r="B13890" s="24" t="s">
        <v>18601</v>
      </c>
      <c r="C13890" s="25">
        <v>2721471.37</v>
      </c>
      <c r="D13890" s="22" t="s">
        <v>18602</v>
      </c>
      <c r="E13890" s="22" t="s">
        <v>48</v>
      </c>
      <c r="F13890" s="23" t="str">
        <f>HYPERLINK("https://www.spark-marketing.ru/Card/Lot/71960914", "Оказание услуг по организации питания учащихся, приходящих и проживающих в ГБОУ Стерлитамакская КШИ")</f>
        <v>Оказание услуг по организации питания учащихся, приходящих и проживающих в ГБОУ Стерлитамакская КШИ</v>
      </c>
      <c r="G13890" s="22" t="s">
        <v>145</v>
      </c>
      <c r="H13890" s="22" t="s">
        <v>7678</v>
      </c>
      <c r="I13890" s="26">
        <v>43654.711921296301</v>
      </c>
      <c r="J13890" s="23" t="str">
        <f>HYPERLINK("https://www.spark-marketing.ru/Card/Person/145110", "ООО ""ТК ""ЗК""")</f>
        <v>ООО "ТК "ЗК"</v>
      </c>
      <c r="K13890" s="24" t="s">
        <v>5800</v>
      </c>
      <c r="L13890" s="28" t="s">
        <v>51</v>
      </c>
      <c r="M13890" s="25">
        <v>2046313.02</v>
      </c>
      <c r="N13890" s="27">
        <v>0.24808578089138597</v>
      </c>
    </row>
    <row r="13891" spans="1:14" ht="12.75" x14ac:dyDescent="0.2">
      <c r="A13891" s="23" t="str">
        <f>HYPERLINK("https://www.spark-marketing.ru/Card/Person/120585", "ОМВД РОССИИ ПО ГОРОДСКОМУ ОКРУГУ ОЗЁРЫ")</f>
        <v>ОМВД РОССИИ ПО ГОРОДСКОМУ ОКРУГУ ОЗЁРЫ</v>
      </c>
      <c r="B13891" s="24" t="s">
        <v>18605</v>
      </c>
      <c r="C13891" s="25">
        <v>272600</v>
      </c>
      <c r="D13891" s="22" t="s">
        <v>18606</v>
      </c>
      <c r="E13891" s="22" t="s">
        <v>96</v>
      </c>
      <c r="F13891" s="23" t="str">
        <f>HYPERLINK("https://www.spark-marketing.ru/Card/Lot/71961168", "Оказание услуг по питанию граждан содержащихся в ИВС на 2021 год")</f>
        <v>Оказание услуг по питанию граждан содержащихся в ИВС на 2021 год</v>
      </c>
      <c r="G13891" s="22" t="s">
        <v>49</v>
      </c>
      <c r="H13891" s="22" t="s">
        <v>49</v>
      </c>
      <c r="I13891" s="26">
        <v>43654.726099537002</v>
      </c>
      <c r="J13891" s="23" t="str">
        <f>HYPERLINK("https://www.spark-marketing.ru/Card/Person/407938", "Мошкина Лариса Петровна")</f>
        <v>Мошкина Лариса Петровна</v>
      </c>
      <c r="K13891" s="24" t="s">
        <v>12770</v>
      </c>
      <c r="L13891" s="22" t="s">
        <v>10</v>
      </c>
      <c r="M13891" s="25">
        <v>261600</v>
      </c>
      <c r="N13891" s="27">
        <v>4.0352164343360232E-2</v>
      </c>
    </row>
    <row r="13892" spans="1:14" x14ac:dyDescent="0.15">
      <c r="A13892" s="23" t="str">
        <f>HYPERLINK("https://www.spark-marketing.ru/Card/Person/58028", "СПБ ГБУ СШОР ""КОМЕТА""")</f>
        <v>СПБ ГБУ СШОР "КОМЕТА"</v>
      </c>
      <c r="B13892" s="24" t="s">
        <v>18100</v>
      </c>
      <c r="C13892" s="25">
        <v>814030</v>
      </c>
      <c r="D13892" s="22" t="s">
        <v>18607</v>
      </c>
      <c r="E13892" s="22" t="s">
        <v>374</v>
      </c>
      <c r="F13892" s="23" t="str">
        <f>HYPERLINK("https://www.spark-marketing.ru/Card/Lot/71962850",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</v>
      </c>
      <c r="G13892" s="22" t="s">
        <v>117</v>
      </c>
      <c r="H13892" s="22" t="s">
        <v>117</v>
      </c>
      <c r="I13892" s="26">
        <v>43654.724409722199</v>
      </c>
      <c r="J13892" s="28" t="s">
        <v>51</v>
      </c>
      <c r="K13892" s="28" t="s">
        <v>51</v>
      </c>
      <c r="L13892" s="28" t="s">
        <v>51</v>
      </c>
      <c r="M13892" s="28" t="s">
        <v>51</v>
      </c>
      <c r="N13892" s="28" t="s">
        <v>51</v>
      </c>
    </row>
    <row r="13893" spans="1:14" ht="12.75" hidden="1" outlineLevel="1" x14ac:dyDescent="0.2">
      <c r="A13893" s="23" t="str">
        <f>HYPERLINK("https://www.spark-marketing.ru/Card/Person/58028", "СПБ ГБУ СШОР ""КОМЕТА""")</f>
        <v>СПБ ГБУ СШОР "КОМЕТА"</v>
      </c>
      <c r="B13893" s="24" t="s">
        <v>18100</v>
      </c>
      <c r="C13893" s="25">
        <v>814030</v>
      </c>
      <c r="D13893" s="22" t="s">
        <v>18607</v>
      </c>
      <c r="E13893" s="22" t="s">
        <v>374</v>
      </c>
      <c r="F13893" s="23" t="str">
        <f>HYPERLINK("https://www.spark-marketing.ru/Card/Lot/71962850",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</v>
      </c>
      <c r="G13893" s="22" t="s">
        <v>117</v>
      </c>
      <c r="H13893" s="22" t="s">
        <v>117</v>
      </c>
      <c r="I13893" s="26">
        <v>43654.724409722199</v>
      </c>
      <c r="J13893" s="23" t="str">
        <f>HYPERLINK("https://www.spark-marketing.ru/Card/Person/4420483", "ООО ""КЛУБ ПУТЕШЕСТВИЙ""")</f>
        <v>ООО "КЛУБ ПУТЕШЕСТВИЙ"</v>
      </c>
      <c r="K13893" s="24" t="s">
        <v>18608</v>
      </c>
      <c r="L13893" s="22" t="s">
        <v>10</v>
      </c>
      <c r="M13893" s="25">
        <v>724486.7</v>
      </c>
      <c r="N13893" s="27">
        <v>0.11</v>
      </c>
    </row>
    <row r="13894" spans="1:14" hidden="1" outlineLevel="1" x14ac:dyDescent="0.2">
      <c r="A13894" s="23" t="str">
        <f>HYPERLINK("https://www.spark-marketing.ru/Card/Person/58028", "СПБ ГБУ СШОР ""КОМЕТА""")</f>
        <v>СПБ ГБУ СШОР "КОМЕТА"</v>
      </c>
      <c r="B13894" s="24" t="s">
        <v>18100</v>
      </c>
      <c r="C13894" s="25">
        <v>814030</v>
      </c>
      <c r="D13894" s="22" t="s">
        <v>18607</v>
      </c>
      <c r="E13894" s="22" t="s">
        <v>374</v>
      </c>
      <c r="F13894" s="23" t="str">
        <f>HYPERLINK("https://www.spark-marketing.ru/Card/Lot/71962850",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</v>
      </c>
      <c r="G13894" s="22" t="s">
        <v>117</v>
      </c>
      <c r="H13894" s="22" t="s">
        <v>117</v>
      </c>
      <c r="I13894" s="26">
        <v>43654.724409722199</v>
      </c>
      <c r="J13894" s="23" t="str">
        <f>HYPERLINK("https://www.spark-marketing.ru/Card/Person/6369393", "ООО ""ВЕКТОР ГРУПП""")</f>
        <v>ООО "ВЕКТОР ГРУПП"</v>
      </c>
      <c r="K13894" s="24" t="s">
        <v>4733</v>
      </c>
      <c r="L13894" s="28" t="s">
        <v>51</v>
      </c>
      <c r="M13894" s="25">
        <v>728556.85</v>
      </c>
      <c r="N13894" s="27">
        <v>0.105</v>
      </c>
    </row>
    <row r="13895" spans="1:14" x14ac:dyDescent="0.15">
      <c r="A13895" s="23" t="str">
        <f>HYPERLINK("https://www.spark-marketing.ru/Card/Person/4479", "ГЛАВНОЕ УПРАВЛЕНИЕ МЧС РОССИИ ПО ХАБАРОВСКОМУ КРАЮ")</f>
        <v>ГЛАВНОЕ УПРАВЛЕНИЕ МЧС РОССИИ ПО ХАБАРОВСКОМУ КРАЮ</v>
      </c>
      <c r="B13895" s="24" t="s">
        <v>5969</v>
      </c>
      <c r="C13895" s="25">
        <v>899600</v>
      </c>
      <c r="D13895" s="22" t="s">
        <v>18609</v>
      </c>
      <c r="E13895" s="22" t="s">
        <v>48</v>
      </c>
      <c r="F13895" s="23" t="str">
        <f>HYPERLINK("https://www.spark-marketing.ru/Card/Lot/71959024", "Оказание услуг по организации питания дежурной смены")</f>
        <v>Оказание услуг по организации питания дежурной смены</v>
      </c>
      <c r="G13895" s="22" t="s">
        <v>1096</v>
      </c>
      <c r="H13895" s="22" t="s">
        <v>1097</v>
      </c>
      <c r="I13895" s="26">
        <v>43654.727430555598</v>
      </c>
      <c r="J13895" s="28" t="s">
        <v>51</v>
      </c>
      <c r="K13895" s="28" t="s">
        <v>51</v>
      </c>
      <c r="L13895" s="28" t="s">
        <v>51</v>
      </c>
      <c r="M13895" s="28" t="s">
        <v>51</v>
      </c>
      <c r="N13895" s="28" t="s">
        <v>51</v>
      </c>
    </row>
    <row r="13896" spans="1:14" ht="12.75" hidden="1" outlineLevel="1" x14ac:dyDescent="0.2">
      <c r="A13896" s="23" t="str">
        <f>HYPERLINK("https://www.spark-marketing.ru/Card/Person/4479", "ГЛАВНОЕ УПРАВЛЕНИЕ МЧС РОССИИ ПО ХАБАРОВСКОМУ КРАЮ")</f>
        <v>ГЛАВНОЕ УПРАВЛЕНИЕ МЧС РОССИИ ПО ХАБАРОВСКОМУ КРАЮ</v>
      </c>
      <c r="B13896" s="24" t="s">
        <v>5969</v>
      </c>
      <c r="C13896" s="25">
        <v>899600</v>
      </c>
      <c r="D13896" s="22" t="s">
        <v>18609</v>
      </c>
      <c r="E13896" s="22" t="s">
        <v>48</v>
      </c>
      <c r="F13896" s="23" t="str">
        <f>HYPERLINK("https://www.spark-marketing.ru/Card/Lot/71959024", "Оказание услуг по организации питания дежурной смены")</f>
        <v>Оказание услуг по организации питания дежурной смены</v>
      </c>
      <c r="G13896" s="22" t="s">
        <v>1096</v>
      </c>
      <c r="H13896" s="22" t="s">
        <v>1097</v>
      </c>
      <c r="I13896" s="26">
        <v>43654.727430555598</v>
      </c>
      <c r="J13896" s="23" t="str">
        <f>HYPERLINK("https://www.spark-marketing.ru/Card/Person/486941", "ООО ""ГРАНД-АМУР""")</f>
        <v>ООО "ГРАНД-АМУР"</v>
      </c>
      <c r="K13896" s="24" t="s">
        <v>3965</v>
      </c>
      <c r="L13896" s="22" t="s">
        <v>10</v>
      </c>
      <c r="M13896" s="25">
        <v>530764</v>
      </c>
      <c r="N13896" s="27">
        <v>0.41</v>
      </c>
    </row>
    <row r="13897" spans="1:14" hidden="1" outlineLevel="1" x14ac:dyDescent="0.2">
      <c r="A13897" s="23" t="str">
        <f>HYPERLINK("https://www.spark-marketing.ru/Card/Person/4479", "ГЛАВНОЕ УПРАВЛЕНИЕ МЧС РОССИИ ПО ХАБАРОВСКОМУ КРАЮ")</f>
        <v>ГЛАВНОЕ УПРАВЛЕНИЕ МЧС РОССИИ ПО ХАБАРОВСКОМУ КРАЮ</v>
      </c>
      <c r="B13897" s="24" t="s">
        <v>5969</v>
      </c>
      <c r="C13897" s="25">
        <v>899600</v>
      </c>
      <c r="D13897" s="22" t="s">
        <v>18609</v>
      </c>
      <c r="E13897" s="22" t="s">
        <v>48</v>
      </c>
      <c r="F13897" s="23" t="str">
        <f>HYPERLINK("https://www.spark-marketing.ru/Card/Lot/71959024", "Оказание услуг по организации питания дежурной смены")</f>
        <v>Оказание услуг по организации питания дежурной смены</v>
      </c>
      <c r="G13897" s="22" t="s">
        <v>1096</v>
      </c>
      <c r="H13897" s="22" t="s">
        <v>1097</v>
      </c>
      <c r="I13897" s="26">
        <v>43654.727430555598</v>
      </c>
      <c r="J13897" s="23" t="str">
        <f>HYPERLINK("https://www.spark-marketing.ru/Card/Person/4349415", "ООО ""РОКОС""")</f>
        <v>ООО "РОКОС"</v>
      </c>
      <c r="K13897" s="24" t="s">
        <v>4101</v>
      </c>
      <c r="L13897" s="28" t="s">
        <v>51</v>
      </c>
      <c r="M13897" s="25">
        <v>535262</v>
      </c>
      <c r="N13897" s="27">
        <v>0.40500000000000003</v>
      </c>
    </row>
    <row r="13898" spans="1:14" x14ac:dyDescent="0.15">
      <c r="A13898" s="23" t="str">
        <f>HYPERLINK("https://www.spark-marketing.ru/Card/Person/10607", "ГБУ ДСЗМ")</f>
        <v>ГБУ ДСЗМ</v>
      </c>
      <c r="B13898" s="24" t="s">
        <v>3052</v>
      </c>
      <c r="C13898" s="25">
        <v>1452500</v>
      </c>
      <c r="D13898" s="22" t="s">
        <v>18610</v>
      </c>
      <c r="E13898" s="22" t="s">
        <v>96</v>
      </c>
      <c r="F13898" s="23" t="str">
        <f>HYPERLINK("https://www.spark-marketing.ru/Card/Lot/71960889", "Услуги по организации питания и ресторанного обслуживания для подготовки и проведения Этапа Мирового тура по пляжному волейболу")</f>
        <v>Услуги по организации питания и ресторанного обслуживания для подготовки и проведения Этапа Мирового тура по пляжному волейболу</v>
      </c>
      <c r="G13898" s="22" t="s">
        <v>56</v>
      </c>
      <c r="H13898" s="22" t="s">
        <v>56</v>
      </c>
      <c r="I13898" s="26">
        <v>43654.730949074103</v>
      </c>
      <c r="J13898" s="28" t="s">
        <v>51</v>
      </c>
      <c r="K13898" s="28" t="s">
        <v>51</v>
      </c>
      <c r="L13898" s="28" t="s">
        <v>51</v>
      </c>
      <c r="M13898" s="28" t="s">
        <v>51</v>
      </c>
      <c r="N13898" s="28" t="s">
        <v>51</v>
      </c>
    </row>
    <row r="13899" spans="1:14" hidden="1" outlineLevel="1" x14ac:dyDescent="0.2">
      <c r="A13899" s="23" t="str">
        <f>HYPERLINK("https://www.spark-marketing.ru/Card/Person/10607", "ГБУ ДСЗМ")</f>
        <v>ГБУ ДСЗМ</v>
      </c>
      <c r="B13899" s="24" t="s">
        <v>3052</v>
      </c>
      <c r="C13899" s="25">
        <v>1452500</v>
      </c>
      <c r="D13899" s="22" t="s">
        <v>18610</v>
      </c>
      <c r="E13899" s="22" t="s">
        <v>96</v>
      </c>
      <c r="F13899" s="23" t="str">
        <f>HYPERLINK("https://www.spark-marketing.ru/Card/Lot/71960889", "Услуги по организации питания и ресторанного обслуживания для подготовки и проведения Этапа Мирового тура по пляжному волейболу")</f>
        <v>Услуги по организации питания и ресторанного обслуживания для подготовки и проведения Этапа Мирового тура по пляжному волейболу</v>
      </c>
      <c r="G13899" s="22" t="s">
        <v>56</v>
      </c>
      <c r="H13899" s="22" t="s">
        <v>56</v>
      </c>
      <c r="I13899" s="26">
        <v>43654.730949074103</v>
      </c>
      <c r="J13899" s="23" t="str">
        <f>HYPERLINK("https://www.spark-marketing.ru/Card/Person/5970918", "ООО ""ПРОФИ КЕЙТЕРИНГ""")</f>
        <v>ООО "ПРОФИ КЕЙТЕРИНГ"</v>
      </c>
      <c r="K13899" s="24" t="s">
        <v>11841</v>
      </c>
      <c r="L13899" s="28" t="s">
        <v>51</v>
      </c>
      <c r="M13899" s="25">
        <v>1147474</v>
      </c>
      <c r="N13899" s="27">
        <v>0.21000068846815834</v>
      </c>
    </row>
    <row r="13900" spans="1:14" ht="12.75" hidden="1" outlineLevel="1" x14ac:dyDescent="0.2">
      <c r="A13900" s="23" t="str">
        <f>HYPERLINK("https://www.spark-marketing.ru/Card/Person/10607", "ГБУ ДСЗМ")</f>
        <v>ГБУ ДСЗМ</v>
      </c>
      <c r="B13900" s="24" t="s">
        <v>3052</v>
      </c>
      <c r="C13900" s="25">
        <v>1452500</v>
      </c>
      <c r="D13900" s="22" t="s">
        <v>18610</v>
      </c>
      <c r="E13900" s="22" t="s">
        <v>96</v>
      </c>
      <c r="F13900" s="23" t="str">
        <f>HYPERLINK("https://www.spark-marketing.ru/Card/Lot/71960889", "Услуги по организации питания и ресторанного обслуживания для подготовки и проведения Этапа Мирового тура по пляжному волейболу")</f>
        <v>Услуги по организации питания и ресторанного обслуживания для подготовки и проведения Этапа Мирового тура по пляжному волейболу</v>
      </c>
      <c r="G13900" s="22" t="s">
        <v>56</v>
      </c>
      <c r="H13900" s="22" t="s">
        <v>56</v>
      </c>
      <c r="I13900" s="26">
        <v>43654.730949074103</v>
      </c>
      <c r="J13900" s="23" t="str">
        <f>HYPERLINK("https://www.spark-marketing.ru/Card/Person/5903989", "ООО ""ВОСТОК""")</f>
        <v>ООО "ВОСТОК"</v>
      </c>
      <c r="K13900" s="24" t="s">
        <v>5855</v>
      </c>
      <c r="L13900" s="22" t="s">
        <v>10</v>
      </c>
      <c r="M13900" s="25">
        <v>1162000</v>
      </c>
      <c r="N13900" s="27">
        <v>0.2</v>
      </c>
    </row>
    <row r="13901" spans="1:14" x14ac:dyDescent="0.15">
      <c r="A13901" s="23" t="str">
        <f>HYPERLINK("https://www.spark-marketing.ru/Card/Person/54391", "ОТДЕЛ МВД РОССИИ ПО ТУРУХАНСКОМУ РАЙОНУ")</f>
        <v>ОТДЕЛ МВД РОССИИ ПО ТУРУХАНСКОМУ РАЙОНУ</v>
      </c>
      <c r="B13901" s="24" t="s">
        <v>10761</v>
      </c>
      <c r="C13901" s="25">
        <v>780379.73</v>
      </c>
      <c r="D13901" s="22" t="s">
        <v>18611</v>
      </c>
      <c r="E13901" s="22" t="s">
        <v>48</v>
      </c>
      <c r="F13901" s="23" t="str">
        <f>HYPERLINK("https://www.spark-marketing.ru/Card/Lot/71958487", "Оказание услуг по организации горячего трёхразового питания лиц, содержащихся в ИВС Отделения полиции (дислокация г. Игарка) Отдела МВД России по Туруханскому району")</f>
        <v>Оказание услуг по организации горячего трёхразового питания лиц, содержащихся в ИВС Отделения полиции (дислокация г. Игарка) Отдела МВД России по Туруханскому району</v>
      </c>
      <c r="G13901" s="22" t="s">
        <v>281</v>
      </c>
      <c r="H13901" s="22" t="s">
        <v>281</v>
      </c>
      <c r="I13901" s="26">
        <v>43654.6963888889</v>
      </c>
      <c r="J13901" s="23" t="str">
        <f>HYPERLINK("https://www.spark-marketing.ru/Card/Person/4286975", "ООО ""АЛЕТОН""")</f>
        <v>ООО "АЛЕТОН"</v>
      </c>
      <c r="K13901" s="24" t="s">
        <v>18563</v>
      </c>
      <c r="L13901" s="22" t="s">
        <v>10</v>
      </c>
      <c r="M13901" s="28" t="s">
        <v>51</v>
      </c>
      <c r="N13901" s="28" t="s">
        <v>51</v>
      </c>
    </row>
    <row r="13902" spans="1:14" x14ac:dyDescent="0.15">
      <c r="A13902" s="23" t="str">
        <f>HYPERLINK("https://www.spark-marketing.ru/Card/Person/1036567", "ОМВД РОССИИ ПО Г. УРАЮ")</f>
        <v>ОМВД РОССИИ ПО Г. УРАЮ</v>
      </c>
      <c r="B13902" s="24" t="s">
        <v>8940</v>
      </c>
      <c r="C13902" s="25">
        <v>1350000</v>
      </c>
      <c r="D13902" s="22" t="s">
        <v>18612</v>
      </c>
      <c r="E13902" s="22" t="s">
        <v>48</v>
      </c>
      <c r="F13902" s="23" t="str">
        <f>HYPERLINK("https://www.spark-marketing.ru/Card/Lot/71959131", "Оказание услуг по организации ежедневного трехразового горячего питания для содержащихся в изоляторе временного содержания ОМВД России по г.Ураю у СМП")</f>
        <v>Оказание услуг по организации ежедневного трехразового горячего питания для содержащихся в изоляторе временного содержания ОМВД России по г.Ураю у СМП</v>
      </c>
      <c r="G13902" s="22" t="s">
        <v>97</v>
      </c>
      <c r="H13902" s="22" t="s">
        <v>8942</v>
      </c>
      <c r="I13902" s="26">
        <v>43654.706400463001</v>
      </c>
      <c r="J13902" s="23" t="str">
        <f>HYPERLINK("https://www.spark-marketing.ru/Card/Person/6258248", "Иноземцев Владимир Николаевич")</f>
        <v>Иноземцев Владимир Николаевич</v>
      </c>
      <c r="K13902" s="24" t="s">
        <v>17483</v>
      </c>
      <c r="L13902" s="22" t="s">
        <v>10</v>
      </c>
      <c r="M13902" s="28" t="s">
        <v>51</v>
      </c>
      <c r="N13902" s="28" t="s">
        <v>51</v>
      </c>
    </row>
    <row r="13903" spans="1:14" x14ac:dyDescent="0.15">
      <c r="A13903" s="23" t="str">
        <f>HYPERLINK("https://www.spark-marketing.ru/Card/Person/9157", "ФКУ ""ЦХИСО ГУ МВД РОССИИ ПО СВЕРДЛОВСКОЙ ОБЛАСТИ""")</f>
        <v>ФКУ "ЦХИСО ГУ МВД РОССИИ ПО СВЕРДЛОВСКОЙ ОБЛАСТИ"</v>
      </c>
      <c r="B13903" s="24" t="s">
        <v>18613</v>
      </c>
      <c r="C13903" s="25">
        <v>7500210.7400000002</v>
      </c>
      <c r="D13903" s="22" t="s">
        <v>18614</v>
      </c>
      <c r="E13903" s="22" t="s">
        <v>48</v>
      </c>
      <c r="F13903" s="23" t="str">
        <f>HYPERLINK("https://www.spark-marketing.ru/Card/Lot/71963239", "Организация питания слушателей ЦПП ГУ МВД России по Свердловской области")</f>
        <v>Организация питания слушателей ЦПП ГУ МВД России по Свердловской области</v>
      </c>
      <c r="G13903" s="22" t="s">
        <v>174</v>
      </c>
      <c r="H13903" s="22" t="s">
        <v>174</v>
      </c>
      <c r="I13903" s="26">
        <v>43654.668530092596</v>
      </c>
      <c r="J13903" s="23" t="str">
        <f>HYPERLINK("https://www.spark-marketing.ru/Card/Person/4868934", "ООО ""АЗБУКА ПИТАНИЯ""")</f>
        <v>ООО "АЗБУКА ПИТАНИЯ"</v>
      </c>
      <c r="K13903" s="24" t="s">
        <v>2534</v>
      </c>
      <c r="L13903" s="22" t="s">
        <v>10</v>
      </c>
      <c r="M13903" s="28" t="s">
        <v>51</v>
      </c>
      <c r="N13903" s="28" t="s">
        <v>51</v>
      </c>
    </row>
    <row r="13904" spans="1:14" x14ac:dyDescent="0.15">
      <c r="A13904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3904" s="24" t="s">
        <v>18074</v>
      </c>
      <c r="C13904" s="25">
        <v>2490000</v>
      </c>
      <c r="D13904" s="22" t="s">
        <v>18615</v>
      </c>
      <c r="E13904" s="22" t="s">
        <v>48</v>
      </c>
      <c r="F13904" s="23" t="str">
        <f>HYPERLINK("https://www.spark-marketing.ru/Card/Lot/71960278", "Оказание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району")</f>
        <v>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</v>
      </c>
      <c r="G13904" s="22" t="s">
        <v>925</v>
      </c>
      <c r="H13904" s="22" t="s">
        <v>18076</v>
      </c>
      <c r="I13904" s="26">
        <v>43654.692430555602</v>
      </c>
      <c r="J13904" s="28" t="s">
        <v>51</v>
      </c>
      <c r="K13904" s="28" t="s">
        <v>51</v>
      </c>
      <c r="L13904" s="28" t="s">
        <v>51</v>
      </c>
      <c r="M13904" s="28" t="s">
        <v>51</v>
      </c>
      <c r="N13904" s="28" t="s">
        <v>51</v>
      </c>
    </row>
    <row r="13905" spans="1:14" x14ac:dyDescent="0.15">
      <c r="A13905" s="23" t="str">
        <f>HYPERLINK("https://www.spark-marketing.ru/Card/Person/54391", "ОТДЕЛ МВД РОССИИ ПО ТУРУХАНСКОМУ РАЙОНУ")</f>
        <v>ОТДЕЛ МВД РОССИИ ПО ТУРУХАНСКОМУ РАЙОНУ</v>
      </c>
      <c r="B13905" s="24" t="s">
        <v>10761</v>
      </c>
      <c r="C13905" s="25">
        <v>1267929.6000000001</v>
      </c>
      <c r="D13905" s="22" t="s">
        <v>18616</v>
      </c>
      <c r="E13905" s="22" t="s">
        <v>48</v>
      </c>
      <c r="F13905" s="23" t="str">
        <f>HYPERLINK("https://www.spark-marketing.ru/Card/Lot/71958490", "Оказание услуг по организации горячего трёхразового питания лиц, содержащихся в ИВС Отдела МВД России по Туруханскому району")</f>
        <v>Оказание услуг по организации горячего трёхразового питания лиц, содержащихся в ИВС Отдела МВД России по Туруханскому району</v>
      </c>
      <c r="G13905" s="22" t="s">
        <v>281</v>
      </c>
      <c r="H13905" s="22" t="s">
        <v>281</v>
      </c>
      <c r="I13905" s="26">
        <v>43654.697476851798</v>
      </c>
      <c r="J13905" s="28" t="s">
        <v>51</v>
      </c>
      <c r="K13905" s="28" t="s">
        <v>51</v>
      </c>
      <c r="L13905" s="28" t="s">
        <v>51</v>
      </c>
      <c r="M13905" s="28" t="s">
        <v>51</v>
      </c>
      <c r="N13905" s="28" t="s">
        <v>51</v>
      </c>
    </row>
    <row r="13906" spans="1:14" x14ac:dyDescent="0.15">
      <c r="A13906" s="23" t="str">
        <f>HYPERLINK("https://www.spark-marketing.ru/Card/Person/1038835", "ОГБУЗ МАКАРЬЕВСКАЯ РБ")</f>
        <v>ОГБУЗ МАКАРЬЕВСКАЯ РБ</v>
      </c>
      <c r="B13906" s="24" t="s">
        <v>290</v>
      </c>
      <c r="C13906" s="25">
        <v>250000</v>
      </c>
      <c r="D13906" s="22" t="s">
        <v>18617</v>
      </c>
      <c r="E13906" s="22" t="s">
        <v>48</v>
      </c>
      <c r="F13906" s="23" t="str">
        <f>HYPERLINK("https://www.spark-marketing.ru/Card/Lot/71959164", "Услуги по организации питания больных, находящихся на стационарном лечении")</f>
        <v>Услуги по организации питания больных, находящихся на стационарном лечении</v>
      </c>
      <c r="G13906" s="22" t="s">
        <v>292</v>
      </c>
      <c r="H13906" s="22" t="s">
        <v>292</v>
      </c>
      <c r="I13906" s="26">
        <v>43654.6734027778</v>
      </c>
      <c r="J13906" s="23" t="str">
        <f>HYPERLINK("https://www.spark-marketing.ru/Card/Person/6363000", "Братанова Светлана Александровна")</f>
        <v>Братанова Светлана Александровна</v>
      </c>
      <c r="K13906" s="24" t="s">
        <v>6617</v>
      </c>
      <c r="L13906" s="22" t="s">
        <v>10</v>
      </c>
      <c r="M13906" s="28" t="s">
        <v>51</v>
      </c>
      <c r="N13906" s="28" t="s">
        <v>51</v>
      </c>
    </row>
    <row r="13907" spans="1:14" x14ac:dyDescent="0.15">
      <c r="A13907" s="23" t="str">
        <f>HYPERLINK("https://www.spark-marketing.ru/Card/Person/287283", "МБУ ДОЛ ""ИСКРА""")</f>
        <v>МБУ ДОЛ "ИСКРА"</v>
      </c>
      <c r="B13907" s="24" t="s">
        <v>18618</v>
      </c>
      <c r="C13907" s="25">
        <v>852830</v>
      </c>
      <c r="D13907" s="22" t="s">
        <v>18619</v>
      </c>
      <c r="E13907" s="22" t="s">
        <v>96</v>
      </c>
      <c r="F13907" s="23" t="str">
        <f>HYPERLINK("https://www.spark-marketing.ru/Card/Lot/71963188", "Оказание услуг питания для нужд муниципального бюджетного учреждения Детский оздоровительный лагерь ""Искра"" Ольховатского муниципального района Воронежской области")</f>
        <v>Оказание услуг питания для нужд муниципального бюджетного учреждения Детский оздоровительный лагерь "Искра" Ольховатского муниципального района Воронежской области</v>
      </c>
      <c r="G13907" s="22" t="s">
        <v>82</v>
      </c>
      <c r="H13907" s="22" t="s">
        <v>18620</v>
      </c>
      <c r="I13907" s="26">
        <v>43654.687569444402</v>
      </c>
      <c r="J13907" s="23" t="str">
        <f>HYPERLINK("https://www.spark-marketing.ru/Card/Person/521004", "ООО ""ОБЩЕПИТ""")</f>
        <v>ООО "ОБЩЕПИТ"</v>
      </c>
      <c r="K13907" s="24" t="s">
        <v>18621</v>
      </c>
      <c r="L13907" s="22" t="s">
        <v>10</v>
      </c>
      <c r="M13907" s="28" t="s">
        <v>51</v>
      </c>
      <c r="N13907" s="28" t="s">
        <v>51</v>
      </c>
    </row>
    <row r="13908" spans="1:14" x14ac:dyDescent="0.15">
      <c r="A13908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3908" s="24" t="s">
        <v>18074</v>
      </c>
      <c r="C13908" s="25">
        <v>2490000</v>
      </c>
      <c r="D13908" s="22" t="s">
        <v>18622</v>
      </c>
      <c r="E13908" s="22" t="s">
        <v>48</v>
      </c>
      <c r="F13908" s="23" t="str">
        <f>HYPERLINK("https://www.spark-marketing.ru/Card/Lot/71960247", "Оказание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району")</f>
        <v>Оказание услуг по приготовлению пищи из продуктов «Исполнителя» для организации питания спецконтингента, содержащегося в ИВС, и спецприемнике отдела МВД России по Майкопскому району</v>
      </c>
      <c r="G13908" s="22" t="s">
        <v>925</v>
      </c>
      <c r="H13908" s="22" t="s">
        <v>18076</v>
      </c>
      <c r="I13908" s="26">
        <v>43654.6847569444</v>
      </c>
      <c r="J13908" s="28" t="s">
        <v>51</v>
      </c>
      <c r="K13908" s="28" t="s">
        <v>51</v>
      </c>
      <c r="L13908" s="28" t="s">
        <v>51</v>
      </c>
      <c r="M13908" s="28" t="s">
        <v>51</v>
      </c>
      <c r="N13908" s="28" t="s">
        <v>51</v>
      </c>
    </row>
    <row r="13909" spans="1:14" x14ac:dyDescent="0.15">
      <c r="A13909" s="23" t="str">
        <f t="shared" ref="A13909:A13915" si="460">HYPERLINK("https://www.spark-marketing.ru/Card/Person/4347456", "ГБУЗРК ""КЕРЧЕНСКАЯ ГОРОДСКАЯ БОЛЬНИЦА №3""")</f>
        <v>ГБУЗРК "КЕРЧЕНСКАЯ ГОРОДСКАЯ БОЛЬНИЦА №3"</v>
      </c>
      <c r="B13909" s="24" t="s">
        <v>11968</v>
      </c>
      <c r="C13909" s="25">
        <v>457959.52</v>
      </c>
      <c r="D13909" s="22" t="s">
        <v>18623</v>
      </c>
      <c r="E13909" s="22" t="s">
        <v>62</v>
      </c>
      <c r="F13909" s="23" t="str">
        <f t="shared" ref="F13909:F13915" si="461">HYPERLINK("https://www.spark-marketing.ru/Card/Lot/71958529", "Бланки и журналы из бумаги и картона")</f>
        <v>Бланки и журналы из бумаги и картона</v>
      </c>
      <c r="G13909" s="22" t="s">
        <v>108</v>
      </c>
      <c r="H13909" s="22" t="s">
        <v>344</v>
      </c>
      <c r="I13909" s="26">
        <v>43654.701562499999</v>
      </c>
      <c r="J13909" s="28" t="s">
        <v>51</v>
      </c>
      <c r="K13909" s="28" t="s">
        <v>51</v>
      </c>
      <c r="L13909" s="28" t="s">
        <v>51</v>
      </c>
      <c r="M13909" s="28" t="s">
        <v>51</v>
      </c>
      <c r="N13909" s="28" t="s">
        <v>51</v>
      </c>
    </row>
    <row r="13910" spans="1:14" ht="12.75" hidden="1" outlineLevel="1" x14ac:dyDescent="0.2">
      <c r="A13910" s="23" t="str">
        <f t="shared" si="460"/>
        <v>ГБУЗРК "КЕРЧЕНСКАЯ ГОРОДСКАЯ БОЛЬНИЦА №3"</v>
      </c>
      <c r="B13910" s="24" t="s">
        <v>11968</v>
      </c>
      <c r="C13910" s="25">
        <v>457959.52</v>
      </c>
      <c r="D13910" s="22" t="s">
        <v>18623</v>
      </c>
      <c r="E13910" s="22" t="s">
        <v>62</v>
      </c>
      <c r="F13910" s="23" t="str">
        <f t="shared" si="461"/>
        <v>Бланки и журналы из бумаги и картона</v>
      </c>
      <c r="G13910" s="22" t="s">
        <v>108</v>
      </c>
      <c r="H13910" s="22" t="s">
        <v>344</v>
      </c>
      <c r="I13910" s="26">
        <v>43654.701562499999</v>
      </c>
      <c r="J13910" s="23" t="str">
        <f>HYPERLINK("https://www.spark-marketing.ru/Card/Person/63905", "ООО ""АКЦЕНТ""")</f>
        <v>ООО "АКЦЕНТ"</v>
      </c>
      <c r="K13910" s="24" t="s">
        <v>5170</v>
      </c>
      <c r="L13910" s="22" t="s">
        <v>10</v>
      </c>
      <c r="M13910" s="25">
        <v>230100</v>
      </c>
      <c r="N13910" s="27">
        <v>0.49755384493371818</v>
      </c>
    </row>
    <row r="13911" spans="1:14" hidden="1" outlineLevel="1" x14ac:dyDescent="0.2">
      <c r="A13911" s="23" t="str">
        <f t="shared" si="460"/>
        <v>ГБУЗРК "КЕРЧЕНСКАЯ ГОРОДСКАЯ БОЛЬНИЦА №3"</v>
      </c>
      <c r="B13911" s="24" t="s">
        <v>11968</v>
      </c>
      <c r="C13911" s="25">
        <v>457959.52</v>
      </c>
      <c r="D13911" s="22" t="s">
        <v>18623</v>
      </c>
      <c r="E13911" s="22" t="s">
        <v>62</v>
      </c>
      <c r="F13911" s="23" t="str">
        <f t="shared" si="461"/>
        <v>Бланки и журналы из бумаги и картона</v>
      </c>
      <c r="G13911" s="22" t="s">
        <v>108</v>
      </c>
      <c r="H13911" s="22" t="s">
        <v>344</v>
      </c>
      <c r="I13911" s="26">
        <v>43654.701562499999</v>
      </c>
      <c r="J13911" s="23" t="str">
        <f>HYPERLINK("https://www.spark-marketing.ru/Card/Person/70363", "ООО ""ВИННЕР - ПРИНТ""")</f>
        <v>ООО "ВИННЕР - ПРИНТ"</v>
      </c>
      <c r="K13911" s="24" t="s">
        <v>3048</v>
      </c>
      <c r="L13911" s="28" t="s">
        <v>51</v>
      </c>
      <c r="M13911" s="25">
        <v>260000</v>
      </c>
      <c r="N13911" s="27">
        <v>0.43226423156352334</v>
      </c>
    </row>
    <row r="13912" spans="1:14" hidden="1" outlineLevel="1" x14ac:dyDescent="0.2">
      <c r="A13912" s="23" t="str">
        <f t="shared" si="460"/>
        <v>ГБУЗРК "КЕРЧЕНСКАЯ ГОРОДСКАЯ БОЛЬНИЦА №3"</v>
      </c>
      <c r="B13912" s="24" t="s">
        <v>11968</v>
      </c>
      <c r="C13912" s="25">
        <v>457959.52</v>
      </c>
      <c r="D13912" s="22" t="s">
        <v>18623</v>
      </c>
      <c r="E13912" s="22" t="s">
        <v>62</v>
      </c>
      <c r="F13912" s="23" t="str">
        <f t="shared" si="461"/>
        <v>Бланки и журналы из бумаги и картона</v>
      </c>
      <c r="G13912" s="22" t="s">
        <v>108</v>
      </c>
      <c r="H13912" s="22" t="s">
        <v>344</v>
      </c>
      <c r="I13912" s="26">
        <v>43654.701562499999</v>
      </c>
      <c r="J13912" s="23" t="str">
        <f>HYPERLINK("https://www.spark-marketing.ru/Card/Person/6182293", "Беляев Евгений Александрович")</f>
        <v>Беляев Евгений Александрович</v>
      </c>
      <c r="K13912" s="24" t="s">
        <v>7307</v>
      </c>
      <c r="L13912" s="28" t="s">
        <v>51</v>
      </c>
      <c r="M13912" s="25">
        <v>253130.6</v>
      </c>
      <c r="N13912" s="27">
        <v>0.44726424728543696</v>
      </c>
    </row>
    <row r="13913" spans="1:14" hidden="1" outlineLevel="1" x14ac:dyDescent="0.2">
      <c r="A13913" s="23" t="str">
        <f t="shared" si="460"/>
        <v>ГБУЗРК "КЕРЧЕНСКАЯ ГОРОДСКАЯ БОЛЬНИЦА №3"</v>
      </c>
      <c r="B13913" s="24" t="s">
        <v>11968</v>
      </c>
      <c r="C13913" s="25">
        <v>457959.52</v>
      </c>
      <c r="D13913" s="22" t="s">
        <v>18623</v>
      </c>
      <c r="E13913" s="22" t="s">
        <v>62</v>
      </c>
      <c r="F13913" s="23" t="str">
        <f t="shared" si="461"/>
        <v>Бланки и журналы из бумаги и картона</v>
      </c>
      <c r="G13913" s="22" t="s">
        <v>108</v>
      </c>
      <c r="H13913" s="22" t="s">
        <v>344</v>
      </c>
      <c r="I13913" s="26">
        <v>43654.701562499999</v>
      </c>
      <c r="J13913" s="23" t="str">
        <f>HYPERLINK("https://www.spark-marketing.ru/Card/Person/932668", "Серов Дмитрий Николаевич")</f>
        <v>Серов Дмитрий Николаевич</v>
      </c>
      <c r="K13913" s="24" t="s">
        <v>18624</v>
      </c>
      <c r="L13913" s="28" t="s">
        <v>51</v>
      </c>
      <c r="M13913" s="25">
        <v>263551</v>
      </c>
      <c r="N13913" s="27">
        <v>0.4245102711261467</v>
      </c>
    </row>
    <row r="13914" spans="1:14" hidden="1" outlineLevel="1" x14ac:dyDescent="0.2">
      <c r="A13914" s="23" t="str">
        <f t="shared" si="460"/>
        <v>ГБУЗРК "КЕРЧЕНСКАЯ ГОРОДСКАЯ БОЛЬНИЦА №3"</v>
      </c>
      <c r="B13914" s="24" t="s">
        <v>11968</v>
      </c>
      <c r="C13914" s="25">
        <v>457959.52</v>
      </c>
      <c r="D13914" s="22" t="s">
        <v>18623</v>
      </c>
      <c r="E13914" s="22" t="s">
        <v>62</v>
      </c>
      <c r="F13914" s="23" t="str">
        <f t="shared" si="461"/>
        <v>Бланки и журналы из бумаги и картона</v>
      </c>
      <c r="G13914" s="22" t="s">
        <v>108</v>
      </c>
      <c r="H13914" s="22" t="s">
        <v>344</v>
      </c>
      <c r="I13914" s="26">
        <v>43654.701562499999</v>
      </c>
      <c r="J13914" s="23" t="str">
        <f>HYPERLINK("https://www.spark-marketing.ru/Card/Person/183917", "ООО ""КАНЦТОВАРЫ""")</f>
        <v>ООО "КАНЦТОВАРЫ"</v>
      </c>
      <c r="K13914" s="24" t="s">
        <v>6208</v>
      </c>
      <c r="L13914" s="28" t="s">
        <v>51</v>
      </c>
      <c r="M13914" s="25">
        <v>280000</v>
      </c>
      <c r="N13914" s="27">
        <v>0.38859224937610204</v>
      </c>
    </row>
    <row r="13915" spans="1:14" hidden="1" outlineLevel="1" x14ac:dyDescent="0.2">
      <c r="A13915" s="23" t="str">
        <f t="shared" si="460"/>
        <v>ГБУЗРК "КЕРЧЕНСКАЯ ГОРОДСКАЯ БОЛЬНИЦА №3"</v>
      </c>
      <c r="B13915" s="24" t="s">
        <v>11968</v>
      </c>
      <c r="C13915" s="25">
        <v>457959.52</v>
      </c>
      <c r="D13915" s="22" t="s">
        <v>18623</v>
      </c>
      <c r="E13915" s="22" t="s">
        <v>62</v>
      </c>
      <c r="F13915" s="23" t="str">
        <f t="shared" si="461"/>
        <v>Бланки и журналы из бумаги и картона</v>
      </c>
      <c r="G13915" s="22" t="s">
        <v>108</v>
      </c>
      <c r="H13915" s="22" t="s">
        <v>344</v>
      </c>
      <c r="I13915" s="26">
        <v>43654.701562499999</v>
      </c>
      <c r="J13915" s="23" t="str">
        <f>HYPERLINK("https://www.spark-marketing.ru/Card/Person/17889", "Будник Михаил Кириллович")</f>
        <v>Будник Михаил Кириллович</v>
      </c>
      <c r="K13915" s="24" t="s">
        <v>18625</v>
      </c>
      <c r="L13915" s="28" t="s">
        <v>51</v>
      </c>
      <c r="M13915" s="25">
        <v>232410.2</v>
      </c>
      <c r="N13915" s="27">
        <v>0.49250929427124912</v>
      </c>
    </row>
    <row r="13916" spans="1:14" x14ac:dyDescent="0.15">
      <c r="A13916" s="23" t="str">
        <f>HYPERLINK("https://www.spark-marketing.ru/Card/Person/54652", "МДОУ ДЕТСКИЙ САД №5 ""ЗВЕЗДОЧКА"" ГОРОДСКОГО ОКРУГА ВЛАСИХА")</f>
        <v>МДОУ ДЕТСКИЙ САД №5 "ЗВЕЗДОЧКА" ГОРОДСКОГО ОКРУГА ВЛАСИХА</v>
      </c>
      <c r="B13916" s="24" t="s">
        <v>18626</v>
      </c>
      <c r="C13916" s="25">
        <v>2000</v>
      </c>
      <c r="D13916" s="22" t="s">
        <v>18627</v>
      </c>
      <c r="E13916" s="22" t="s">
        <v>513</v>
      </c>
      <c r="F13916" s="23" t="str">
        <f>HYPERLINK("https://www.spark-marketing.ru/Card/Lot/71948367", "Оказание услуг по предоставлению неисключительных прав на ПО""Детский сад Питание""")</f>
        <v>Оказание услуг по предоставлению неисключительных прав на ПО"Детский сад Питание"</v>
      </c>
      <c r="G13916" s="22" t="s">
        <v>49</v>
      </c>
      <c r="H13916" s="22" t="s">
        <v>10875</v>
      </c>
      <c r="I13916" s="26">
        <v>43654.669918981497</v>
      </c>
      <c r="J13916" s="28" t="s">
        <v>51</v>
      </c>
      <c r="K13916" s="28" t="s">
        <v>51</v>
      </c>
      <c r="L13916" s="28" t="s">
        <v>51</v>
      </c>
      <c r="M13916" s="28" t="s">
        <v>51</v>
      </c>
      <c r="N13916" s="28" t="s">
        <v>51</v>
      </c>
    </row>
    <row r="13917" spans="1:14" x14ac:dyDescent="0.15">
      <c r="A13917" s="23" t="str">
        <f>HYPERLINK("https://www.spark-marketing.ru/Card/Person/1761465", "МАДОУ №8 ""ПЛАНЕТА ДЕТСТВА""")</f>
        <v>МАДОУ №8 "ПЛАНЕТА ДЕТСТВА"</v>
      </c>
      <c r="B13917" s="24" t="s">
        <v>18628</v>
      </c>
      <c r="C13917" s="25">
        <v>5560278</v>
      </c>
      <c r="D13917" s="22" t="s">
        <v>18629</v>
      </c>
      <c r="E13917" s="22" t="s">
        <v>362</v>
      </c>
      <c r="F13917" s="23" t="str">
        <f>HYPERLINK("https://www.spark-marketing.ru/Card/Lot/71947056", "Оказание услуги по организации горячего питания")</f>
        <v>Оказание услуги по организации горячего питания</v>
      </c>
      <c r="G13917" s="22" t="s">
        <v>49</v>
      </c>
      <c r="H13917" s="22" t="s">
        <v>49</v>
      </c>
      <c r="I13917" s="26">
        <v>43654.626550925903</v>
      </c>
      <c r="J13917" s="28" t="s">
        <v>51</v>
      </c>
      <c r="K13917" s="28" t="s">
        <v>51</v>
      </c>
      <c r="L13917" s="28" t="s">
        <v>51</v>
      </c>
      <c r="M13917" s="28" t="s">
        <v>51</v>
      </c>
      <c r="N13917" s="28" t="s">
        <v>51</v>
      </c>
    </row>
    <row r="13918" spans="1:14" x14ac:dyDescent="0.15">
      <c r="A13918" s="23" t="str">
        <f t="shared" ref="A13918:A13924" si="462">HYPERLINK("https://www.spark-marketing.ru/Card/Person/19690", "ГБУЗ ""ДЦ № 3 ДЗМ""")</f>
        <v>ГБУЗ "ДЦ № 3 ДЗМ"</v>
      </c>
      <c r="B13918" s="24" t="s">
        <v>7159</v>
      </c>
      <c r="C13918" s="25">
        <v>643981.51</v>
      </c>
      <c r="D13918" s="22" t="s">
        <v>18630</v>
      </c>
      <c r="E13918" s="22" t="s">
        <v>756</v>
      </c>
      <c r="F13918" s="23" t="str">
        <f t="shared" ref="F13918:F13924" si="463">HYPERLINK("https://www.spark-marketing.ru/Card/Lot/71959977", "Аукцион в электронной форме на право заключения Гражданско-правового договора на оказание услуг по техническому обслуживанию систем АПС, СОУЭ и системы дымоудаления в 2019 году для нужд Государственного бюджетного учреждения здравоохранения города Мо...")</f>
        <v>Аукцион в электронной форме на право заключения Гражданско-правового договора на оказание услуг по техническому обслуживанию систем АПС, СОУЭ и системы дымоудаления в 2019 году для нужд Государственного бюджетного учреждения здравоохранения города Мо...</v>
      </c>
      <c r="G13918" s="22" t="s">
        <v>56</v>
      </c>
      <c r="H13918" s="22" t="s">
        <v>56</v>
      </c>
      <c r="I13918" s="26">
        <v>43654.636898148201</v>
      </c>
      <c r="J13918" s="28" t="s">
        <v>51</v>
      </c>
      <c r="K13918" s="28" t="s">
        <v>51</v>
      </c>
      <c r="L13918" s="28" t="s">
        <v>51</v>
      </c>
      <c r="M13918" s="28" t="s">
        <v>51</v>
      </c>
      <c r="N13918" s="28" t="s">
        <v>51</v>
      </c>
    </row>
    <row r="13919" spans="1:14" hidden="1" outlineLevel="1" x14ac:dyDescent="0.2">
      <c r="A13919" s="23" t="str">
        <f t="shared" si="462"/>
        <v>ГБУЗ "ДЦ № 3 ДЗМ"</v>
      </c>
      <c r="B13919" s="24" t="s">
        <v>7159</v>
      </c>
      <c r="C13919" s="25">
        <v>643981.51</v>
      </c>
      <c r="D13919" s="22" t="s">
        <v>18630</v>
      </c>
      <c r="E13919" s="22" t="s">
        <v>756</v>
      </c>
      <c r="F13919" s="23" t="str">
        <f t="shared" si="463"/>
        <v>Аукцион в электронной форме на право заключения Гражданско-правового договора на оказание услуг по техническому обслуживанию систем АПС, СОУЭ и системы дымоудаления в 2019 году для нужд Государственного бюджетного учреждения здравоохранения города Мо...</v>
      </c>
      <c r="G13919" s="22" t="s">
        <v>56</v>
      </c>
      <c r="H13919" s="22" t="s">
        <v>56</v>
      </c>
      <c r="I13919" s="26">
        <v>43654.636898148201</v>
      </c>
      <c r="J13919" s="23" t="str">
        <f>HYPERLINK("https://www.spark-marketing.ru/Card/Person/65028", "ООО ""ИМПУЛЬС М""")</f>
        <v>ООО "ИМПУЛЬС М"</v>
      </c>
      <c r="K13919" s="24" t="s">
        <v>18631</v>
      </c>
      <c r="L13919" s="28" t="s">
        <v>51</v>
      </c>
      <c r="M13919" s="25">
        <v>196000</v>
      </c>
      <c r="N13919" s="27">
        <v>0.69564343547689744</v>
      </c>
    </row>
    <row r="13920" spans="1:14" hidden="1" outlineLevel="1" x14ac:dyDescent="0.2">
      <c r="A13920" s="23" t="str">
        <f t="shared" si="462"/>
        <v>ГБУЗ "ДЦ № 3 ДЗМ"</v>
      </c>
      <c r="B13920" s="24" t="s">
        <v>7159</v>
      </c>
      <c r="C13920" s="25">
        <v>643981.51</v>
      </c>
      <c r="D13920" s="22" t="s">
        <v>18630</v>
      </c>
      <c r="E13920" s="22" t="s">
        <v>756</v>
      </c>
      <c r="F13920" s="23" t="str">
        <f t="shared" si="463"/>
        <v>Аукцион в электронной форме на право заключения Гражданско-правового договора на оказание услуг по техническому обслуживанию систем АПС, СОУЭ и системы дымоудаления в 2019 году для нужд Государственного бюджетного учреждения здравоохранения города Мо...</v>
      </c>
      <c r="G13920" s="22" t="s">
        <v>56</v>
      </c>
      <c r="H13920" s="22" t="s">
        <v>56</v>
      </c>
      <c r="I13920" s="26">
        <v>43654.636898148201</v>
      </c>
      <c r="J13920" s="23" t="str">
        <f>HYPERLINK("https://www.spark-marketing.ru/Card/Person/14846", "ООО ""ФЭЗЕРА""")</f>
        <v>ООО "ФЭЗЕРА"</v>
      </c>
      <c r="K13920" s="24" t="s">
        <v>18632</v>
      </c>
      <c r="L13920" s="28" t="s">
        <v>51</v>
      </c>
      <c r="M13920" s="25">
        <v>106161.98</v>
      </c>
      <c r="N13920" s="27">
        <v>0.83514747185831473</v>
      </c>
    </row>
    <row r="13921" spans="1:14" hidden="1" outlineLevel="1" x14ac:dyDescent="0.2">
      <c r="A13921" s="23" t="str">
        <f t="shared" si="462"/>
        <v>ГБУЗ "ДЦ № 3 ДЗМ"</v>
      </c>
      <c r="B13921" s="24" t="s">
        <v>7159</v>
      </c>
      <c r="C13921" s="25">
        <v>643981.51</v>
      </c>
      <c r="D13921" s="22" t="s">
        <v>18630</v>
      </c>
      <c r="E13921" s="22" t="s">
        <v>756</v>
      </c>
      <c r="F13921" s="23" t="str">
        <f t="shared" si="463"/>
        <v>Аукцион в электронной форме на право заключения Гражданско-правового договора на оказание услуг по техническому обслуживанию систем АПС, СОУЭ и системы дымоудаления в 2019 году для нужд Государственного бюджетного учреждения здравоохранения города Мо...</v>
      </c>
      <c r="G13921" s="22" t="s">
        <v>56</v>
      </c>
      <c r="H13921" s="22" t="s">
        <v>56</v>
      </c>
      <c r="I13921" s="26">
        <v>43654.636898148201</v>
      </c>
      <c r="J13921" s="23" t="str">
        <f>HYPERLINK("https://www.spark-marketing.ru/Card/Person/58054", "ООО ""СПЕКТР-АПС""")</f>
        <v>ООО "СПЕКТР-АПС"</v>
      </c>
      <c r="K13921" s="24" t="s">
        <v>18633</v>
      </c>
      <c r="L13921" s="28" t="s">
        <v>51</v>
      </c>
      <c r="M13921" s="25">
        <v>77062.429999999993</v>
      </c>
      <c r="N13921" s="27">
        <v>0.8803344058744792</v>
      </c>
    </row>
    <row r="13922" spans="1:14" hidden="1" outlineLevel="1" x14ac:dyDescent="0.2">
      <c r="A13922" s="23" t="str">
        <f t="shared" si="462"/>
        <v>ГБУЗ "ДЦ № 3 ДЗМ"</v>
      </c>
      <c r="B13922" s="24" t="s">
        <v>7159</v>
      </c>
      <c r="C13922" s="25">
        <v>643981.51</v>
      </c>
      <c r="D13922" s="22" t="s">
        <v>18630</v>
      </c>
      <c r="E13922" s="22" t="s">
        <v>756</v>
      </c>
      <c r="F13922" s="23" t="str">
        <f t="shared" si="463"/>
        <v>Аукцион в электронной форме на право заключения Гражданско-правового договора на оказание услуг по техническому обслуживанию систем АПС, СОУЭ и системы дымоудаления в 2019 году для нужд Государственного бюджетного учреждения здравоохранения города Мо...</v>
      </c>
      <c r="G13922" s="22" t="s">
        <v>56</v>
      </c>
      <c r="H13922" s="22" t="s">
        <v>56</v>
      </c>
      <c r="I13922" s="26">
        <v>43654.636898148201</v>
      </c>
      <c r="J13922" s="23" t="str">
        <f>HYPERLINK("https://www.spark-marketing.ru/Card/Person/5921742", "ООО ""КСБ""")</f>
        <v>ООО "КСБ"</v>
      </c>
      <c r="K13922" s="24" t="s">
        <v>7553</v>
      </c>
      <c r="L13922" s="28" t="s">
        <v>51</v>
      </c>
      <c r="M13922" s="25">
        <v>138361.07999999999</v>
      </c>
      <c r="N13922" s="27">
        <v>0.78514743381374408</v>
      </c>
    </row>
    <row r="13923" spans="1:14" ht="12.75" hidden="1" outlineLevel="1" x14ac:dyDescent="0.2">
      <c r="A13923" s="23" t="str">
        <f t="shared" si="462"/>
        <v>ГБУЗ "ДЦ № 3 ДЗМ"</v>
      </c>
      <c r="B13923" s="24" t="s">
        <v>7159</v>
      </c>
      <c r="C13923" s="25">
        <v>643981.51</v>
      </c>
      <c r="D13923" s="22" t="s">
        <v>18630</v>
      </c>
      <c r="E13923" s="22" t="s">
        <v>756</v>
      </c>
      <c r="F13923" s="23" t="str">
        <f t="shared" si="463"/>
        <v>Аукцион в электронной форме на право заключения Гражданско-правового договора на оказание услуг по техническому обслуживанию систем АПС, СОУЭ и системы дымоудаления в 2019 году для нужд Государственного бюджетного учреждения здравоохранения города Мо...</v>
      </c>
      <c r="G13923" s="22" t="s">
        <v>56</v>
      </c>
      <c r="H13923" s="22" t="s">
        <v>56</v>
      </c>
      <c r="I13923" s="26">
        <v>43654.636898148201</v>
      </c>
      <c r="J13923" s="23" t="str">
        <f>HYPERLINK("https://www.spark-marketing.ru/Card/Person/6262263", "ООО ""АЛЫЙ ПАРУС ТЕХНО ПРО""")</f>
        <v>ООО "АЛЫЙ ПАРУС ТЕХНО ПРО"</v>
      </c>
      <c r="K13923" s="24" t="s">
        <v>12490</v>
      </c>
      <c r="L13923" s="22" t="s">
        <v>10</v>
      </c>
      <c r="M13923" s="25">
        <v>73842.52</v>
      </c>
      <c r="N13923" s="27">
        <v>0.88533440967893628</v>
      </c>
    </row>
    <row r="13924" spans="1:14" hidden="1" outlineLevel="1" x14ac:dyDescent="0.2">
      <c r="A13924" s="23" t="str">
        <f t="shared" si="462"/>
        <v>ГБУЗ "ДЦ № 3 ДЗМ"</v>
      </c>
      <c r="B13924" s="24" t="s">
        <v>7159</v>
      </c>
      <c r="C13924" s="25">
        <v>643981.51</v>
      </c>
      <c r="D13924" s="22" t="s">
        <v>18630</v>
      </c>
      <c r="E13924" s="22" t="s">
        <v>756</v>
      </c>
      <c r="F13924" s="23" t="str">
        <f t="shared" si="463"/>
        <v>Аукцион в электронной форме на право заключения Гражданско-правового договора на оказание услуг по техническому обслуживанию систем АПС, СОУЭ и системы дымоудаления в 2019 году для нужд Государственного бюджетного учреждения здравоохранения города Мо...</v>
      </c>
      <c r="G13924" s="22" t="s">
        <v>56</v>
      </c>
      <c r="H13924" s="22" t="s">
        <v>56</v>
      </c>
      <c r="I13924" s="26">
        <v>43654.636898148201</v>
      </c>
      <c r="J13924" s="23" t="str">
        <f>HYPERLINK("https://www.spark-marketing.ru/Card/Person/6599545", "ООО ""ИЗКОТ""")</f>
        <v>ООО "ИЗКОТ"</v>
      </c>
      <c r="K13924" s="24" t="s">
        <v>18634</v>
      </c>
      <c r="L13924" s="28" t="s">
        <v>51</v>
      </c>
      <c r="M13924" s="25">
        <v>148020.81</v>
      </c>
      <c r="N13924" s="27">
        <v>0.77014742240037293</v>
      </c>
    </row>
    <row r="13925" spans="1:14" x14ac:dyDescent="0.15">
      <c r="A13925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13925" s="24" t="s">
        <v>5772</v>
      </c>
      <c r="C13925" s="25">
        <v>130000</v>
      </c>
      <c r="D13925" s="22" t="s">
        <v>18635</v>
      </c>
      <c r="E13925" s="22" t="s">
        <v>48</v>
      </c>
      <c r="F13925" s="23" t="str">
        <f>HYPERLINK("https://www.spark-marketing.ru/Card/Lot/71956768", "Питание в ИВС")</f>
        <v>Питание в ИВС</v>
      </c>
      <c r="G13925" s="22" t="s">
        <v>351</v>
      </c>
      <c r="H13925" s="22" t="s">
        <v>5779</v>
      </c>
      <c r="I13925" s="26">
        <v>43654.655555555597</v>
      </c>
      <c r="J13925" s="23" t="str">
        <f>HYPERLINK("https://www.spark-marketing.ru/Card/Person/571327", "ГАПОУ СО ""БТА""")</f>
        <v>ГАПОУ СО "БТА"</v>
      </c>
      <c r="K13925" s="24" t="s">
        <v>5775</v>
      </c>
      <c r="L13925" s="22" t="s">
        <v>10</v>
      </c>
      <c r="M13925" s="28" t="s">
        <v>51</v>
      </c>
      <c r="N13925" s="28" t="s">
        <v>51</v>
      </c>
    </row>
    <row r="13926" spans="1:14" x14ac:dyDescent="0.15">
      <c r="A13926" s="23" t="str">
        <f>HYPERLINK("https://www.spark-marketing.ru/Card/Person/55545", "МО МВД РОССИИ ""БАРАБИНСКИЙ""")</f>
        <v>МО МВД РОССИИ "БАРАБИНСКИЙ"</v>
      </c>
      <c r="B13926" s="24" t="s">
        <v>5646</v>
      </c>
      <c r="C13926" s="25">
        <v>375354.9</v>
      </c>
      <c r="D13926" s="22" t="s">
        <v>18636</v>
      </c>
      <c r="E13926" s="22" t="s">
        <v>48</v>
      </c>
      <c r="F13926" s="23" t="str">
        <f>HYPERLINK("https://www.spark-marketing.ru/Card/Lot/71958795", "питание  арестованных")</f>
        <v>питание  арестованных</v>
      </c>
      <c r="G13926" s="22" t="s">
        <v>195</v>
      </c>
      <c r="H13926" s="22" t="s">
        <v>195</v>
      </c>
      <c r="I13926" s="26">
        <v>43654.632986111101</v>
      </c>
      <c r="J13926" s="28" t="s">
        <v>51</v>
      </c>
      <c r="K13926" s="28" t="s">
        <v>51</v>
      </c>
      <c r="L13926" s="28" t="s">
        <v>51</v>
      </c>
      <c r="M13926" s="28" t="s">
        <v>51</v>
      </c>
      <c r="N13926" s="28" t="s">
        <v>51</v>
      </c>
    </row>
    <row r="13927" spans="1:14" hidden="1" outlineLevel="1" x14ac:dyDescent="0.2">
      <c r="A13927" s="23" t="str">
        <f>HYPERLINK("https://www.spark-marketing.ru/Card/Person/55545", "МО МВД РОССИИ ""БАРАБИНСКИЙ""")</f>
        <v>МО МВД РОССИИ "БАРАБИНСКИЙ"</v>
      </c>
      <c r="B13927" s="24" t="s">
        <v>5646</v>
      </c>
      <c r="C13927" s="25">
        <v>375354.9</v>
      </c>
      <c r="D13927" s="22" t="s">
        <v>18636</v>
      </c>
      <c r="E13927" s="22" t="s">
        <v>48</v>
      </c>
      <c r="F13927" s="23" t="str">
        <f>HYPERLINK("https://www.spark-marketing.ru/Card/Lot/71958795", "питание  арестованных")</f>
        <v>питание  арестованных</v>
      </c>
      <c r="G13927" s="22" t="s">
        <v>195</v>
      </c>
      <c r="H13927" s="22" t="s">
        <v>195</v>
      </c>
      <c r="I13927" s="26">
        <v>43654.632986111101</v>
      </c>
      <c r="J13927" s="23" t="str">
        <f>HYPERLINK("https://www.spark-marketing.ru/Card/Person/438073", "ООО СТОЛОВАЯ ""ОТДЫХ""")</f>
        <v>ООО СТОЛОВАЯ "ОТДЫХ"</v>
      </c>
      <c r="K13927" s="24" t="s">
        <v>10208</v>
      </c>
      <c r="L13927" s="28" t="s">
        <v>51</v>
      </c>
      <c r="M13927" s="25">
        <v>288800</v>
      </c>
      <c r="N13927" s="27">
        <v>0.23059483171792883</v>
      </c>
    </row>
    <row r="13928" spans="1:14" hidden="1" outlineLevel="1" x14ac:dyDescent="0.2">
      <c r="A13928" s="23" t="str">
        <f>HYPERLINK("https://www.spark-marketing.ru/Card/Person/55545", "МО МВД РОССИИ ""БАРАБИНСКИЙ""")</f>
        <v>МО МВД РОССИИ "БАРАБИНСКИЙ"</v>
      </c>
      <c r="B13928" s="24" t="s">
        <v>5646</v>
      </c>
      <c r="C13928" s="25">
        <v>375354.9</v>
      </c>
      <c r="D13928" s="22" t="s">
        <v>18636</v>
      </c>
      <c r="E13928" s="22" t="s">
        <v>48</v>
      </c>
      <c r="F13928" s="23" t="str">
        <f>HYPERLINK("https://www.spark-marketing.ru/Card/Lot/71958795", "питание  арестованных")</f>
        <v>питание  арестованных</v>
      </c>
      <c r="G13928" s="22" t="s">
        <v>195</v>
      </c>
      <c r="H13928" s="22" t="s">
        <v>195</v>
      </c>
      <c r="I13928" s="26">
        <v>43654.632986111101</v>
      </c>
      <c r="J13928" s="23" t="str">
        <f>HYPERLINK("https://www.spark-marketing.ru/Card/Person/6633201", "ТИМОФЕЕВА ОЛЬГА КОНСТАНТИНОВНА")</f>
        <v>ТИМОФЕЕВА ОЛЬГА КОНСТАНТИНОВНА</v>
      </c>
      <c r="K13928" s="24" t="s">
        <v>18637</v>
      </c>
      <c r="L13928" s="28" t="s">
        <v>51</v>
      </c>
      <c r="M13928" s="25">
        <v>296400</v>
      </c>
      <c r="N13928" s="27">
        <v>0.21034732728945327</v>
      </c>
    </row>
    <row r="13929" spans="1:14" x14ac:dyDescent="0.2">
      <c r="A13929" s="23" t="str">
        <f>HYPERLINK("https://www.spark-marketing.ru/Card/Person/1763097", "КГАУ ""СШОР ПО ФУТБОЛУ ""ЕНИСЕЙ""")</f>
        <v>КГАУ "СШОР ПО ФУТБОЛУ "ЕНИСЕЙ"</v>
      </c>
      <c r="B13929" s="24" t="s">
        <v>4437</v>
      </c>
      <c r="C13929" s="25">
        <v>131700</v>
      </c>
      <c r="D13929" s="22" t="s">
        <v>18638</v>
      </c>
      <c r="E13929" s="22" t="s">
        <v>769</v>
      </c>
      <c r="F13929" s="23" t="str">
        <f>HYPERLINK("https://www.spark-marketing.ru/Card/Lot/71944111", "оказание услуг по организации проживания и питания спортсменов")</f>
        <v>оказание услуг по организации проживания и питания спортсменов</v>
      </c>
      <c r="G13929" s="22" t="s">
        <v>195</v>
      </c>
      <c r="H13929" s="22" t="s">
        <v>195</v>
      </c>
      <c r="I13929" s="26">
        <v>43654.663773148102</v>
      </c>
      <c r="J13929" s="28" t="s">
        <v>51</v>
      </c>
      <c r="K13929" s="28" t="s">
        <v>51</v>
      </c>
      <c r="L13929" s="22" t="s">
        <v>10</v>
      </c>
      <c r="M13929" s="25">
        <v>131700</v>
      </c>
      <c r="N13929" s="27">
        <v>0</v>
      </c>
    </row>
    <row r="13930" spans="1:14" x14ac:dyDescent="0.15">
      <c r="A13930" s="23" t="str">
        <f>HYPERLINK("https://www.spark-marketing.ru/Card/Person/88381", "МБОУ ""СОШ № 5""")</f>
        <v>МБОУ "СОШ № 5"</v>
      </c>
      <c r="B13930" s="24" t="s">
        <v>10077</v>
      </c>
      <c r="C13930" s="25">
        <v>399600</v>
      </c>
      <c r="D13930" s="22" t="s">
        <v>18639</v>
      </c>
      <c r="E13930" s="22" t="s">
        <v>48</v>
      </c>
      <c r="F13930" s="23" t="str">
        <f>HYPERLINK("https://www.spark-marketing.ru/Card/Lot/71947931", "Оказание услуг по организации питания воспитанников")</f>
        <v>Оказание услуг по организации питания воспитанников</v>
      </c>
      <c r="G13930" s="22" t="s">
        <v>97</v>
      </c>
      <c r="H13930" s="22" t="s">
        <v>363</v>
      </c>
      <c r="I13930" s="26">
        <v>43654.644444444399</v>
      </c>
      <c r="J13930" s="28" t="s">
        <v>51</v>
      </c>
      <c r="K13930" s="28" t="s">
        <v>51</v>
      </c>
      <c r="L13930" s="28" t="s">
        <v>51</v>
      </c>
      <c r="M13930" s="28" t="s">
        <v>51</v>
      </c>
      <c r="N13930" s="28" t="s">
        <v>51</v>
      </c>
    </row>
    <row r="13931" spans="1:14" x14ac:dyDescent="0.2">
      <c r="A13931" s="23" t="str">
        <f>HYPERLINK("https://www.spark-marketing.ru/Card/Person/28909", "ГБОУ СШ № 4 ИМ. В.П. ГЛУШКО")</f>
        <v>ГБОУ СШ № 4 ИМ. В.П. ГЛУШКО</v>
      </c>
      <c r="B13931" s="24" t="s">
        <v>18640</v>
      </c>
      <c r="C13931" s="25">
        <v>1887932</v>
      </c>
      <c r="D13931" s="22" t="s">
        <v>18641</v>
      </c>
      <c r="E13931" s="22" t="s">
        <v>48</v>
      </c>
      <c r="F13931" s="23" t="str">
        <f>HYPERLINK("https://www.spark-marketing.ru/Card/Lot/71960105", "Оказание услуг по организации питания")</f>
        <v>Оказание услуг по организации питания</v>
      </c>
      <c r="G13931" s="22" t="s">
        <v>3574</v>
      </c>
      <c r="H13931" s="22" t="s">
        <v>3574</v>
      </c>
      <c r="I13931" s="26">
        <v>43654.630601851903</v>
      </c>
      <c r="J13931" s="23" t="str">
        <f>HYPERLINK("https://www.spark-marketing.ru/Card/Person/433348", "ГУП ЦУР")</f>
        <v>ГУП ЦУР</v>
      </c>
      <c r="K13931" s="24" t="s">
        <v>8808</v>
      </c>
      <c r="L13931" s="28" t="s">
        <v>51</v>
      </c>
      <c r="M13931" s="25">
        <v>1887932</v>
      </c>
      <c r="N13931" s="27">
        <v>0</v>
      </c>
    </row>
    <row r="13932" spans="1:14" x14ac:dyDescent="0.15">
      <c r="A13932" s="23" t="str">
        <f>HYPERLINK("https://www.spark-marketing.ru/Card/Person/1759398", "ГАУ РО ""РОСТОВПАТРИОТЦЕНТР""")</f>
        <v>ГАУ РО "РОСТОВПАТРИОТЦЕНТР"</v>
      </c>
      <c r="B13932" s="24" t="s">
        <v>14627</v>
      </c>
      <c r="C13932" s="25">
        <v>1208500</v>
      </c>
      <c r="D13932" s="22" t="s">
        <v>18642</v>
      </c>
      <c r="E13932" s="22" t="s">
        <v>952</v>
      </c>
      <c r="F13932" s="23" t="str">
        <f>HYPERLINK("https://www.spark-marketing.ru/Card/Lot/71948954", "Оказание услуг по обеспечению питанием участников международного фестиваля ""Молодежь - за Союзное государство""")</f>
        <v>Оказание услуг по обеспечению питанием участников международного фестиваля "Молодежь - за Союзное государство"</v>
      </c>
      <c r="G13932" s="22" t="s">
        <v>267</v>
      </c>
      <c r="H13932" s="22" t="s">
        <v>267</v>
      </c>
      <c r="I13932" s="26">
        <v>43654.627870370401</v>
      </c>
      <c r="J13932" s="28" t="s">
        <v>51</v>
      </c>
      <c r="K13932" s="28" t="s">
        <v>51</v>
      </c>
      <c r="L13932" s="28" t="s">
        <v>51</v>
      </c>
      <c r="M13932" s="28" t="s">
        <v>51</v>
      </c>
      <c r="N13932" s="28" t="s">
        <v>51</v>
      </c>
    </row>
    <row r="13933" spans="1:14" x14ac:dyDescent="0.15">
      <c r="A13933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13933" s="24" t="s">
        <v>5772</v>
      </c>
      <c r="C13933" s="25">
        <v>120000</v>
      </c>
      <c r="D13933" s="22" t="s">
        <v>18643</v>
      </c>
      <c r="E13933" s="22" t="s">
        <v>48</v>
      </c>
      <c r="F13933" s="23" t="str">
        <f>HYPERLINK("https://www.spark-marketing.ru/Card/Lot/71956596", "Питание в спецприемниках")</f>
        <v>Питание в спецприемниках</v>
      </c>
      <c r="G13933" s="22" t="s">
        <v>351</v>
      </c>
      <c r="H13933" s="22" t="s">
        <v>5779</v>
      </c>
      <c r="I13933" s="26">
        <v>43654.652083333298</v>
      </c>
      <c r="J13933" s="23" t="str">
        <f>HYPERLINK("https://www.spark-marketing.ru/Card/Person/571327", "ГАПОУ СО ""БТА""")</f>
        <v>ГАПОУ СО "БТА"</v>
      </c>
      <c r="K13933" s="24" t="s">
        <v>5775</v>
      </c>
      <c r="L13933" s="22" t="s">
        <v>10</v>
      </c>
      <c r="M13933" s="28" t="s">
        <v>51</v>
      </c>
      <c r="N13933" s="28" t="s">
        <v>51</v>
      </c>
    </row>
    <row r="13934" spans="1:14" x14ac:dyDescent="0.15">
      <c r="A13934" s="23" t="str">
        <f>HYPERLINK("https://www.spark-marketing.ru/Card/Person/998446", "МБОУ ПЕРВОМАЙСКАЯ СОШ")</f>
        <v>МБОУ ПЕРВОМАЙСКАЯ СОШ</v>
      </c>
      <c r="B13934" s="24" t="s">
        <v>18644</v>
      </c>
      <c r="C13934" s="25">
        <v>113760</v>
      </c>
      <c r="D13934" s="22" t="s">
        <v>18645</v>
      </c>
      <c r="E13934" s="22" t="s">
        <v>48</v>
      </c>
      <c r="F13934" s="23" t="str">
        <f>HYPERLINK("https://www.spark-marketing.ru/Card/Lot/71945857", "услуга по организации горячего питания")</f>
        <v>услуга по организации горячего питания</v>
      </c>
      <c r="G13934" s="22" t="s">
        <v>267</v>
      </c>
      <c r="H13934" s="22" t="s">
        <v>11331</v>
      </c>
      <c r="I13934" s="26">
        <v>43654.619444444397</v>
      </c>
      <c r="J13934" s="28" t="s">
        <v>51</v>
      </c>
      <c r="K13934" s="28" t="s">
        <v>51</v>
      </c>
      <c r="L13934" s="28" t="s">
        <v>51</v>
      </c>
      <c r="M13934" s="28" t="s">
        <v>51</v>
      </c>
      <c r="N13934" s="28" t="s">
        <v>51</v>
      </c>
    </row>
    <row r="13935" spans="1:14" x14ac:dyDescent="0.15">
      <c r="A13935" s="23" t="str">
        <f>HYPERLINK("https://www.spark-marketing.ru/Card/Person/6516062", "МАУ ""МЦ ""АЛЬФА""")</f>
        <v>МАУ "МЦ "АЛЬФА"</v>
      </c>
      <c r="B13935" s="24" t="s">
        <v>3548</v>
      </c>
      <c r="C13935" s="25">
        <v>276000</v>
      </c>
      <c r="D13935" s="22" t="s">
        <v>18646</v>
      </c>
      <c r="E13935" s="22" t="s">
        <v>580</v>
      </c>
      <c r="F13935" s="23" t="str">
        <f>HYPERLINK("https://www.spark-marketing.ru/Card/Lot/71948771", "Услуги по организации горячего питания")</f>
        <v>Услуги по организации горячего питания</v>
      </c>
      <c r="G13935" s="22" t="s">
        <v>162</v>
      </c>
      <c r="H13935" s="22" t="s">
        <v>162</v>
      </c>
      <c r="I13935" s="26">
        <v>43654.612256944398</v>
      </c>
      <c r="J13935" s="28" t="s">
        <v>51</v>
      </c>
      <c r="K13935" s="28" t="s">
        <v>51</v>
      </c>
      <c r="L13935" s="28" t="s">
        <v>51</v>
      </c>
      <c r="M13935" s="28" t="s">
        <v>51</v>
      </c>
      <c r="N13935" s="28" t="s">
        <v>51</v>
      </c>
    </row>
    <row r="13936" spans="1:14" x14ac:dyDescent="0.15">
      <c r="A13936" s="23" t="str">
        <f>HYPERLINK("https://www.spark-marketing.ru/Card/Person/63182", "МО МВД РОССИИ ""ШУШЕНСКИЙ""")</f>
        <v>МО МВД РОССИИ "ШУШЕНСКИЙ"</v>
      </c>
      <c r="B13936" s="24" t="s">
        <v>18647</v>
      </c>
      <c r="C13936" s="25">
        <v>1030000</v>
      </c>
      <c r="D13936" s="22" t="s">
        <v>18648</v>
      </c>
      <c r="E13936" s="22" t="s">
        <v>96</v>
      </c>
      <c r="F13936" s="23" t="str">
        <f>HYPERLINK("https://www.spark-marketing.ru/Card/Lot/71961671", "Оказание услуг по обеспечению горячим питанием лиц, содержащихся под стражей, и административно-арестованных лиц содержащихся в ИВС, а также лиц, задержанных на срок более трех часов, содержащихся в специальных помещениях дежурной части Межмуниципаль...")</f>
        <v>Оказание услуг по обеспечению горячим питанием лиц, содержащихся под стражей, и административно-арестованных лиц содержащихся в ИВС, а также лиц, задержанных на срок более трех часов, содержащихся в специальных помещениях дежурной части Межмуниципаль...</v>
      </c>
      <c r="G13936" s="22" t="s">
        <v>281</v>
      </c>
      <c r="H13936" s="22" t="s">
        <v>18649</v>
      </c>
      <c r="I13936" s="26">
        <v>43654.613530092603</v>
      </c>
      <c r="J13936" s="23" t="str">
        <f>HYPERLINK("https://www.spark-marketing.ru/Card/Person/63365", "Лысов Илья Евгеньевич")</f>
        <v>Лысов Илья Евгеньевич</v>
      </c>
      <c r="K13936" s="24" t="s">
        <v>18650</v>
      </c>
      <c r="L13936" s="22" t="s">
        <v>10</v>
      </c>
      <c r="M13936" s="28" t="s">
        <v>51</v>
      </c>
      <c r="N13936" s="28" t="s">
        <v>51</v>
      </c>
    </row>
    <row r="13937" spans="1:14" x14ac:dyDescent="0.15">
      <c r="A13937" s="23" t="str">
        <f>HYPERLINK("https://www.spark-marketing.ru/Card/Person/1312823", "МОАУ ""ЛИЦЕЙ №4""")</f>
        <v>МОАУ "ЛИЦЕЙ №4"</v>
      </c>
      <c r="B13937" s="24" t="s">
        <v>18651</v>
      </c>
      <c r="C13937" s="25">
        <v>161353.07999999999</v>
      </c>
      <c r="D13937" s="22" t="s">
        <v>18652</v>
      </c>
      <c r="E13937" s="22" t="s">
        <v>1412</v>
      </c>
      <c r="F13937" s="23" t="str">
        <f>HYPERLINK("https://www.spark-marketing.ru/Card/Lot/71944082", "Оказание услуг по организации питания детей в лагере дневного пребывания на базе организации МОАУ Лицей №4")</f>
        <v>Оказание услуг по организации питания детей в лагере дневного пребывания на базе организации МОАУ Лицей №4</v>
      </c>
      <c r="G13937" s="22" t="s">
        <v>132</v>
      </c>
      <c r="H13937" s="22" t="s">
        <v>132</v>
      </c>
      <c r="I13937" s="26">
        <v>43654.601388888899</v>
      </c>
      <c r="J13937" s="28" t="s">
        <v>51</v>
      </c>
      <c r="K13937" s="28" t="s">
        <v>51</v>
      </c>
      <c r="L13937" s="28" t="s">
        <v>51</v>
      </c>
      <c r="M13937" s="28" t="s">
        <v>51</v>
      </c>
      <c r="N13937" s="28" t="s">
        <v>51</v>
      </c>
    </row>
    <row r="13938" spans="1:14" x14ac:dyDescent="0.15">
      <c r="A13938" s="23" t="str">
        <f>HYPERLINK("https://www.spark-marketing.ru/Card/Person/6516062", "МАУ ""МЦ ""АЛЬФА""")</f>
        <v>МАУ "МЦ "АЛЬФА"</v>
      </c>
      <c r="B13938" s="24" t="s">
        <v>3548</v>
      </c>
      <c r="C13938" s="25">
        <v>123625</v>
      </c>
      <c r="D13938" s="22" t="s">
        <v>18653</v>
      </c>
      <c r="E13938" s="22" t="s">
        <v>580</v>
      </c>
      <c r="F13938" s="23" t="str">
        <f>HYPERLINK("https://www.spark-marketing.ru/Card/Lot/71947813", "Услуги по организации питания участников муниципальной программы трудовой занятости подростков МО ""Город Всеволожск""")</f>
        <v>Услуги по организации питания участников муниципальной программы трудовой занятости подростков МО "Город Всеволожск"</v>
      </c>
      <c r="G13938" s="22" t="s">
        <v>162</v>
      </c>
      <c r="H13938" s="22" t="s">
        <v>162</v>
      </c>
      <c r="I13938" s="26">
        <v>43654.614432870403</v>
      </c>
      <c r="J13938" s="28" t="s">
        <v>51</v>
      </c>
      <c r="K13938" s="28" t="s">
        <v>51</v>
      </c>
      <c r="L13938" s="28" t="s">
        <v>51</v>
      </c>
      <c r="M13938" s="28" t="s">
        <v>51</v>
      </c>
      <c r="N13938" s="28" t="s">
        <v>51</v>
      </c>
    </row>
    <row r="13939" spans="1:14" x14ac:dyDescent="0.15">
      <c r="A13939" s="23" t="str">
        <f>HYPERLINK("https://www.spark-marketing.ru/Card/Person/4453931", "ООО ""РН-СНАБЖЕНИЕ-САМАРА""")</f>
        <v>ООО "РН-СНАБЖЕНИЕ-САМАРА"</v>
      </c>
      <c r="B13939" s="24" t="s">
        <v>18654</v>
      </c>
      <c r="C13939" s="28" t="s">
        <v>51</v>
      </c>
      <c r="D13939" s="22" t="s">
        <v>18655</v>
      </c>
      <c r="E13939" s="22" t="s">
        <v>362</v>
      </c>
      <c r="F13939" s="23" t="str">
        <f>HYPERLINK("https://www.spark-marketing.ru/Card/Lot/74009372", "2019-РНСС-94 «Организация питания 2-го этапа смотра-конкурса профессионального мастерства на звание «Лучший по профессии» в 2019 г.» с участием филиалов ООО «РН-Снабжение-Самара»")</f>
        <v>2019-РНСС-94 «Организация питания 2-го этапа смотра-конкурса профессионального мастерства на звание «Лучший по профессии» в 2019 г.» с участием филиалов ООО «РН-Снабжение-Самара»</v>
      </c>
      <c r="G13939" s="22" t="s">
        <v>128</v>
      </c>
      <c r="H13939" s="22" t="s">
        <v>129</v>
      </c>
      <c r="I13939" s="26">
        <v>43654.602083333302</v>
      </c>
      <c r="J13939" s="28" t="s">
        <v>51</v>
      </c>
      <c r="K13939" s="28" t="s">
        <v>51</v>
      </c>
      <c r="L13939" s="28" t="s">
        <v>51</v>
      </c>
      <c r="M13939" s="28" t="s">
        <v>51</v>
      </c>
      <c r="N13939" s="28" t="s">
        <v>51</v>
      </c>
    </row>
    <row r="13940" spans="1:14" x14ac:dyDescent="0.15">
      <c r="A13940" s="23" t="str">
        <f>HYPERLINK("https://www.spark-marketing.ru/Card/Person/63182", "МО МВД РОССИИ ""ШУШЕНСКИЙ""")</f>
        <v>МО МВД РОССИИ "ШУШЕНСКИЙ"</v>
      </c>
      <c r="B13940" s="24" t="s">
        <v>18647</v>
      </c>
      <c r="C13940" s="25">
        <v>1030000</v>
      </c>
      <c r="D13940" s="22" t="s">
        <v>18656</v>
      </c>
      <c r="E13940" s="22" t="s">
        <v>96</v>
      </c>
      <c r="F13940" s="23" t="str">
        <f>HYPERLINK("https://www.spark-marketing.ru/Card/Lot/71961687", "Оказание услуг по обеспечению горячим питанием лиц, содержащихся под стражей, и административно-арестованных лиц содержащихся в ИВС, а также лиц, задержанных на срок более трех часов, содержащихся в специальных помещениях дежурной части Межмуниципаль...")</f>
        <v>Оказание услуг по обеспечению горячим питанием лиц, содержащихся под стражей, и административно-арестованных лиц содержащихся в ИВС, а также лиц, задержанных на срок более трех часов, содержащихся в специальных помещениях дежурной части Межмуниципаль...</v>
      </c>
      <c r="G13940" s="22" t="s">
        <v>281</v>
      </c>
      <c r="H13940" s="22" t="s">
        <v>18649</v>
      </c>
      <c r="I13940" s="26">
        <v>43654.614050925898</v>
      </c>
      <c r="J13940" s="23" t="str">
        <f>HYPERLINK("https://www.spark-marketing.ru/Card/Person/63365", "Лысов Илья Евгеньевич")</f>
        <v>Лысов Илья Евгеньевич</v>
      </c>
      <c r="K13940" s="24" t="s">
        <v>18650</v>
      </c>
      <c r="L13940" s="22" t="s">
        <v>10</v>
      </c>
      <c r="M13940" s="28" t="s">
        <v>51</v>
      </c>
      <c r="N13940" s="28" t="s">
        <v>51</v>
      </c>
    </row>
    <row r="13941" spans="1:14" x14ac:dyDescent="0.15">
      <c r="A13941" s="23" t="str">
        <f>HYPERLINK("https://www.spark-marketing.ru/Card/Person/35401", "ПАО МГТС")</f>
        <v>ПАО МГТС</v>
      </c>
      <c r="B13941" s="24" t="s">
        <v>12244</v>
      </c>
      <c r="C13941" s="28" t="s">
        <v>51</v>
      </c>
      <c r="D13941" s="22" t="s">
        <v>18657</v>
      </c>
      <c r="E13941" s="22" t="s">
        <v>18658</v>
      </c>
      <c r="F13941" s="23" t="str">
        <f>HYPERLINK("https://www.spark-marketing.ru/Card/Lot/71945267", "Оказание услуг по организации (повар) и обслуживанию (официант) питания отдыхающих пансионата «Искра» в период с 01.09.2019г. по 31.08.2020г (ЛОТ 1 и ЛОТ 2)")</f>
        <v>Оказание услуг по организации (повар) и обслуживанию (официант) питания отдыхающих пансионата «Искра» в период с 01.09.2019г. по 31.08.2020г (ЛОТ 1 и ЛОТ 2)</v>
      </c>
      <c r="G13941" s="22" t="s">
        <v>56</v>
      </c>
      <c r="H13941" s="22" t="s">
        <v>56</v>
      </c>
      <c r="I13941" s="26">
        <v>43654.586111111101</v>
      </c>
      <c r="J13941" s="28" t="s">
        <v>51</v>
      </c>
      <c r="K13941" s="28" t="s">
        <v>51</v>
      </c>
      <c r="L13941" s="28" t="s">
        <v>51</v>
      </c>
      <c r="M13941" s="28" t="s">
        <v>51</v>
      </c>
      <c r="N13941" s="28" t="s">
        <v>51</v>
      </c>
    </row>
    <row r="13942" spans="1:14" x14ac:dyDescent="0.15">
      <c r="A13942" s="23" t="str">
        <f>HYPERLINK("https://www.spark-marketing.ru/Card/Person/253242", "ОМВД РОССИИ ПО БЕЛОМОРСКОМУ РАЙОНУ")</f>
        <v>ОМВД РОССИИ ПО БЕЛОМОРСКОМУ РАЙОНУ</v>
      </c>
      <c r="B13942" s="24" t="s">
        <v>3225</v>
      </c>
      <c r="C13942" s="25">
        <v>147500</v>
      </c>
      <c r="D13942" s="22" t="s">
        <v>18659</v>
      </c>
      <c r="E13942" s="22" t="s">
        <v>48</v>
      </c>
      <c r="F13942" s="23" t="str">
        <f>HYPERLINK("https://www.spark-marketing.ru/Card/Lot/71957005", "питание арестованных")</f>
        <v>питание арестованных</v>
      </c>
      <c r="G13942" s="22" t="s">
        <v>59</v>
      </c>
      <c r="H13942" s="22" t="s">
        <v>3227</v>
      </c>
      <c r="I13942" s="26">
        <v>43654.608333333301</v>
      </c>
      <c r="J13942" s="28" t="s">
        <v>51</v>
      </c>
      <c r="K13942" s="28" t="s">
        <v>51</v>
      </c>
      <c r="L13942" s="28" t="s">
        <v>51</v>
      </c>
      <c r="M13942" s="28" t="s">
        <v>51</v>
      </c>
      <c r="N13942" s="28" t="s">
        <v>51</v>
      </c>
    </row>
    <row r="13943" spans="1:14" x14ac:dyDescent="0.15">
      <c r="A13943" s="23" t="str">
        <f t="shared" ref="A13943:A13950" si="464">HYPERLINK("https://www.spark-marketing.ru/Card/Person/80341", "МУ МВД РОССИИ ""СЫЗРАНСКОЕ""")</f>
        <v>МУ МВД РОССИИ "СЫЗРАНСКОЕ"</v>
      </c>
      <c r="B13943" s="24" t="s">
        <v>306</v>
      </c>
      <c r="C13943" s="25">
        <v>370781.25</v>
      </c>
      <c r="D13943" s="22" t="s">
        <v>18660</v>
      </c>
      <c r="E13943" s="22" t="s">
        <v>48</v>
      </c>
      <c r="F13943" s="23" t="str">
        <f>HYPERLINK("https://www.spark-marketing.ru/Card/Lot/71962364", "Оказание услуг по изготовлению и поставке горячего питания для лиц, содержащихся в  СП МУ МВД России ""Сызранское""")</f>
        <v>Оказание услуг по изготовлению и поставке горячего питания для лиц, содержащихся в  СП МУ МВД России "Сызранское"</v>
      </c>
      <c r="G13943" s="22" t="s">
        <v>128</v>
      </c>
      <c r="H13943" s="22" t="s">
        <v>308</v>
      </c>
      <c r="I13943" s="26">
        <v>43654.586944444403</v>
      </c>
      <c r="J13943" s="28" t="s">
        <v>51</v>
      </c>
      <c r="K13943" s="28" t="s">
        <v>51</v>
      </c>
      <c r="L13943" s="28" t="s">
        <v>51</v>
      </c>
      <c r="M13943" s="28" t="s">
        <v>51</v>
      </c>
      <c r="N13943" s="28" t="s">
        <v>51</v>
      </c>
    </row>
    <row r="13944" spans="1:14" hidden="1" outlineLevel="1" x14ac:dyDescent="0.2">
      <c r="A13944" s="23" t="str">
        <f t="shared" si="464"/>
        <v>МУ МВД РОССИИ "СЫЗРАНСКОЕ"</v>
      </c>
      <c r="B13944" s="24" t="s">
        <v>306</v>
      </c>
      <c r="C13944" s="25">
        <v>370781.25</v>
      </c>
      <c r="D13944" s="22" t="s">
        <v>18660</v>
      </c>
      <c r="E13944" s="22" t="s">
        <v>48</v>
      </c>
      <c r="F13944" s="23" t="str">
        <f>HYPERLINK("https://www.spark-marketing.ru/Card/Lot/71962364", "Оказание услуг по изготовлению и поставке горячего питания для лиц, содержащихся в  СП МУ МВД России ""Сызранское""")</f>
        <v>Оказание услуг по изготовлению и поставке горячего питания для лиц, содержащихся в  СП МУ МВД России "Сызранское"</v>
      </c>
      <c r="G13944" s="22" t="s">
        <v>128</v>
      </c>
      <c r="H13944" s="22" t="s">
        <v>308</v>
      </c>
      <c r="I13944" s="26">
        <v>43654.586944444403</v>
      </c>
      <c r="J13944" s="23" t="str">
        <f>HYPERLINK("https://www.spark-marketing.ru/Card/Person/1240778", "ООО ""СТОЛОВАЯ 21""")</f>
        <v>ООО "СТОЛОВАЯ 21"</v>
      </c>
      <c r="K13944" s="24" t="s">
        <v>16292</v>
      </c>
      <c r="L13944" s="28" t="s">
        <v>51</v>
      </c>
      <c r="M13944" s="25">
        <v>185390.61</v>
      </c>
      <c r="N13944" s="27">
        <v>0.50000004045512014</v>
      </c>
    </row>
    <row r="13945" spans="1:14" ht="12.75" hidden="1" outlineLevel="1" x14ac:dyDescent="0.2">
      <c r="A13945" s="23" t="str">
        <f t="shared" si="464"/>
        <v>МУ МВД РОССИИ "СЫЗРАНСКОЕ"</v>
      </c>
      <c r="B13945" s="24" t="s">
        <v>306</v>
      </c>
      <c r="C13945" s="25">
        <v>370781.25</v>
      </c>
      <c r="D13945" s="22" t="s">
        <v>18660</v>
      </c>
      <c r="E13945" s="22" t="s">
        <v>48</v>
      </c>
      <c r="F13945" s="23" t="str">
        <f>HYPERLINK("https://www.spark-marketing.ru/Card/Lot/71962364", "Оказание услуг по изготовлению и поставке горячего питания для лиц, содержащихся в  СП МУ МВД России ""Сызранское""")</f>
        <v>Оказание услуг по изготовлению и поставке горячего питания для лиц, содержащихся в  СП МУ МВД России "Сызранское"</v>
      </c>
      <c r="G13945" s="22" t="s">
        <v>128</v>
      </c>
      <c r="H13945" s="22" t="s">
        <v>308</v>
      </c>
      <c r="I13945" s="26">
        <v>43654.586944444403</v>
      </c>
      <c r="J13945" s="23" t="str">
        <f>HYPERLINK("https://www.spark-marketing.ru/Card/Person/2044050", "ООО ""22 АМБАР""")</f>
        <v>ООО "22 АМБАР"</v>
      </c>
      <c r="K13945" s="24" t="s">
        <v>6702</v>
      </c>
      <c r="L13945" s="22" t="s">
        <v>10</v>
      </c>
      <c r="M13945" s="25">
        <v>183536.7</v>
      </c>
      <c r="N13945" s="27">
        <v>0.50500005056890007</v>
      </c>
    </row>
    <row r="13946" spans="1:14" hidden="1" outlineLevel="1" x14ac:dyDescent="0.2">
      <c r="A13946" s="23" t="str">
        <f t="shared" si="464"/>
        <v>МУ МВД РОССИИ "СЫЗРАНСКОЕ"</v>
      </c>
      <c r="B13946" s="24" t="s">
        <v>306</v>
      </c>
      <c r="C13946" s="25">
        <v>370781.25</v>
      </c>
      <c r="D13946" s="22" t="s">
        <v>18660</v>
      </c>
      <c r="E13946" s="22" t="s">
        <v>48</v>
      </c>
      <c r="F13946" s="23" t="str">
        <f>HYPERLINK("https://www.spark-marketing.ru/Card/Lot/71962364", "Оказание услуг по изготовлению и поставке горячего питания для лиц, содержащихся в  СП МУ МВД России ""Сызранское""")</f>
        <v>Оказание услуг по изготовлению и поставке горячего питания для лиц, содержащихся в  СП МУ МВД России "Сызранское"</v>
      </c>
      <c r="G13946" s="22" t="s">
        <v>128</v>
      </c>
      <c r="H13946" s="22" t="s">
        <v>308</v>
      </c>
      <c r="I13946" s="26">
        <v>43654.586944444403</v>
      </c>
      <c r="J13946" s="23" t="str">
        <f>HYPERLINK("https://www.spark-marketing.ru/Card/Person/2544469", "ООО ""ЛДМ ГРУПП""")</f>
        <v>ООО "ЛДМ ГРУПП"</v>
      </c>
      <c r="K13946" s="24" t="s">
        <v>6703</v>
      </c>
      <c r="L13946" s="28" t="s">
        <v>51</v>
      </c>
      <c r="M13946" s="25">
        <v>207637.49</v>
      </c>
      <c r="N13946" s="27">
        <v>0.44000002697008006</v>
      </c>
    </row>
    <row r="13947" spans="1:14" x14ac:dyDescent="0.15">
      <c r="A13947" s="23" t="str">
        <f t="shared" si="464"/>
        <v>МУ МВД РОССИИ "СЫЗРАНСКОЕ"</v>
      </c>
      <c r="B13947" s="24" t="s">
        <v>306</v>
      </c>
      <c r="C13947" s="25">
        <v>125650.09</v>
      </c>
      <c r="D13947" s="22" t="s">
        <v>18661</v>
      </c>
      <c r="E13947" s="22" t="s">
        <v>48</v>
      </c>
      <c r="F13947" s="23" t="str">
        <f>HYPERLINK("https://www.spark-marketing.ru/Card/Lot/71956614", "Оказание услуг по изготовлению и поставке горячего питания для лиц, содержащихся в ИВС МУ МВД России ""Сызранское""")</f>
        <v>Оказание услуг по изготовлению и поставке горячего питания для лиц, содержащихся в ИВС МУ МВД России "Сызранское"</v>
      </c>
      <c r="G13947" s="22" t="s">
        <v>128</v>
      </c>
      <c r="H13947" s="22" t="s">
        <v>308</v>
      </c>
      <c r="I13947" s="26">
        <v>43654.546527777798</v>
      </c>
      <c r="J13947" s="28" t="s">
        <v>51</v>
      </c>
      <c r="K13947" s="28" t="s">
        <v>51</v>
      </c>
      <c r="L13947" s="28" t="s">
        <v>51</v>
      </c>
      <c r="M13947" s="28" t="s">
        <v>51</v>
      </c>
      <c r="N13947" s="28" t="s">
        <v>51</v>
      </c>
    </row>
    <row r="13948" spans="1:14" ht="12.75" hidden="1" outlineLevel="1" x14ac:dyDescent="0.2">
      <c r="A13948" s="23" t="str">
        <f t="shared" si="464"/>
        <v>МУ МВД РОССИИ "СЫЗРАНСКОЕ"</v>
      </c>
      <c r="B13948" s="24" t="s">
        <v>306</v>
      </c>
      <c r="C13948" s="25">
        <v>125650.09</v>
      </c>
      <c r="D13948" s="22" t="s">
        <v>18661</v>
      </c>
      <c r="E13948" s="22" t="s">
        <v>48</v>
      </c>
      <c r="F13948" s="23" t="str">
        <f>HYPERLINK("https://www.spark-marketing.ru/Card/Lot/71956614", "Оказание услуг по изготовлению и поставке горячего питания для лиц, содержащихся в ИВС МУ МВД России ""Сызранское""")</f>
        <v>Оказание услуг по изготовлению и поставке горячего питания для лиц, содержащихся в ИВС МУ МВД России "Сызранское"</v>
      </c>
      <c r="G13948" s="22" t="s">
        <v>128</v>
      </c>
      <c r="H13948" s="22" t="s">
        <v>308</v>
      </c>
      <c r="I13948" s="26">
        <v>43654.546527777798</v>
      </c>
      <c r="J13948" s="23" t="str">
        <f>HYPERLINK("https://www.spark-marketing.ru/Card/Person/2044050", "ООО ""22 АМБАР""")</f>
        <v>ООО "22 АМБАР"</v>
      </c>
      <c r="K13948" s="24" t="s">
        <v>6702</v>
      </c>
      <c r="L13948" s="22" t="s">
        <v>10</v>
      </c>
      <c r="M13948" s="25">
        <v>74761.84</v>
      </c>
      <c r="N13948" s="27">
        <v>0.40499970990868372</v>
      </c>
    </row>
    <row r="13949" spans="1:14" hidden="1" outlineLevel="1" x14ac:dyDescent="0.2">
      <c r="A13949" s="23" t="str">
        <f t="shared" si="464"/>
        <v>МУ МВД РОССИИ "СЫЗРАНСКОЕ"</v>
      </c>
      <c r="B13949" s="24" t="s">
        <v>306</v>
      </c>
      <c r="C13949" s="25">
        <v>125650.09</v>
      </c>
      <c r="D13949" s="22" t="s">
        <v>18661</v>
      </c>
      <c r="E13949" s="22" t="s">
        <v>48</v>
      </c>
      <c r="F13949" s="23" t="str">
        <f>HYPERLINK("https://www.spark-marketing.ru/Card/Lot/71956614", "Оказание услуг по изготовлению и поставке горячего питания для лиц, содержащихся в ИВС МУ МВД России ""Сызранское""")</f>
        <v>Оказание услуг по изготовлению и поставке горячего питания для лиц, содержащихся в ИВС МУ МВД России "Сызранское"</v>
      </c>
      <c r="G13949" s="22" t="s">
        <v>128</v>
      </c>
      <c r="H13949" s="22" t="s">
        <v>308</v>
      </c>
      <c r="I13949" s="26">
        <v>43654.546527777798</v>
      </c>
      <c r="J13949" s="23" t="str">
        <f>HYPERLINK("https://www.spark-marketing.ru/Card/Person/2544469", "ООО ""ЛДМ ГРУПП""")</f>
        <v>ООО "ЛДМ ГРУПП"</v>
      </c>
      <c r="K13949" s="24" t="s">
        <v>6703</v>
      </c>
      <c r="L13949" s="28" t="s">
        <v>51</v>
      </c>
      <c r="M13949" s="25">
        <v>81044.34</v>
      </c>
      <c r="N13949" s="27">
        <v>0.35499974572242649</v>
      </c>
    </row>
    <row r="13950" spans="1:14" hidden="1" outlineLevel="1" x14ac:dyDescent="0.2">
      <c r="A13950" s="23" t="str">
        <f t="shared" si="464"/>
        <v>МУ МВД РОССИИ "СЫЗРАНСКОЕ"</v>
      </c>
      <c r="B13950" s="24" t="s">
        <v>306</v>
      </c>
      <c r="C13950" s="25">
        <v>125650.09</v>
      </c>
      <c r="D13950" s="22" t="s">
        <v>18661</v>
      </c>
      <c r="E13950" s="22" t="s">
        <v>48</v>
      </c>
      <c r="F13950" s="23" t="str">
        <f>HYPERLINK("https://www.spark-marketing.ru/Card/Lot/71956614", "Оказание услуг по изготовлению и поставке горячего питания для лиц, содержащихся в ИВС МУ МВД России ""Сызранское""")</f>
        <v>Оказание услуг по изготовлению и поставке горячего питания для лиц, содержащихся в ИВС МУ МВД России "Сызранское"</v>
      </c>
      <c r="G13950" s="22" t="s">
        <v>128</v>
      </c>
      <c r="H13950" s="22" t="s">
        <v>308</v>
      </c>
      <c r="I13950" s="26">
        <v>43654.546527777798</v>
      </c>
      <c r="J13950" s="23" t="str">
        <f>HYPERLINK("https://www.spark-marketing.ru/Card/Person/1240778", "ООО ""СТОЛОВАЯ 21""")</f>
        <v>ООО "СТОЛОВАЯ 21"</v>
      </c>
      <c r="K13950" s="24" t="s">
        <v>16292</v>
      </c>
      <c r="L13950" s="28" t="s">
        <v>51</v>
      </c>
      <c r="M13950" s="25">
        <v>74761.84</v>
      </c>
      <c r="N13950" s="27">
        <v>0.40499970990868372</v>
      </c>
    </row>
    <row r="13951" spans="1:14" x14ac:dyDescent="0.15">
      <c r="A13951" s="23" t="str">
        <f>HYPERLINK("https://www.spark-marketing.ru/Card/Person/656762", "АО ""АЭРОЧИТА""")</f>
        <v>АО "АЭРОЧИТА"</v>
      </c>
      <c r="B13951" s="24" t="s">
        <v>4016</v>
      </c>
      <c r="C13951" s="25">
        <v>692800</v>
      </c>
      <c r="D13951" s="22" t="s">
        <v>18662</v>
      </c>
      <c r="E13951" s="22" t="s">
        <v>580</v>
      </c>
      <c r="F13951" s="23" t="str">
        <f>HYPERLINK("https://www.spark-marketing.ru/Card/Lot/71940157", "Оказание услуг по организации питания пассажиров - держателей специальных карт и их гостей старше 2-х лет в бизнес-зале АО «АэроЧита»")</f>
        <v>Оказание услуг по организации питания пассажиров - держателей специальных карт и их гостей старше 2-х лет в бизнес-зале АО «АэроЧита»</v>
      </c>
      <c r="G13951" s="22" t="s">
        <v>228</v>
      </c>
      <c r="H13951" s="22" t="s">
        <v>394</v>
      </c>
      <c r="I13951" s="26">
        <v>43654.569803240702</v>
      </c>
      <c r="J13951" s="28" t="s">
        <v>51</v>
      </c>
      <c r="K13951" s="28" t="s">
        <v>51</v>
      </c>
      <c r="L13951" s="28" t="s">
        <v>51</v>
      </c>
      <c r="M13951" s="28" t="s">
        <v>51</v>
      </c>
      <c r="N13951" s="28" t="s">
        <v>51</v>
      </c>
    </row>
    <row r="13952" spans="1:14" x14ac:dyDescent="0.15">
      <c r="A13952" s="23" t="str">
        <f>HYPERLINK("https://www.spark-marketing.ru/Card/Person/740673", "ГБУ РК ""ЦСЗН СЫКТЫВДИНСКОГО РАЙОНА""")</f>
        <v>ГБУ РК "ЦСЗН СЫКТЫВДИНСКОГО РАЙОНА"</v>
      </c>
      <c r="B13952" s="24" t="s">
        <v>17416</v>
      </c>
      <c r="C13952" s="25">
        <v>29512.16</v>
      </c>
      <c r="D13952" s="22" t="s">
        <v>18663</v>
      </c>
      <c r="E13952" s="22" t="s">
        <v>464</v>
      </c>
      <c r="F13952" s="23" t="str">
        <f>HYPERLINK("https://www.spark-marketing.ru/Card/Lot/71952595", "Поставка продуктов питания в 3 квартале 2019 года (молочные продукты: Молоко, Йогурт, Йогурт питьевой) для нужд Государственного бюджетного учреждения Республики Коми «Центр по предоставлению государственных услуг в сфере социальной защиты населения ...")</f>
        <v>Поставка продуктов питания в 3 квартале 2019 года (молочные продукты: Молоко, Йогурт, Йогурт питьевой) для нужд Государственного бюджетного учреждения Республики Коми «Центр по предоставлению государственных услуг в сфере социальной защиты населения ...</v>
      </c>
      <c r="G13952" s="22" t="s">
        <v>271</v>
      </c>
      <c r="H13952" s="22" t="s">
        <v>10847</v>
      </c>
      <c r="I13952" s="26">
        <v>43654.530555555597</v>
      </c>
      <c r="J13952" s="23" t="str">
        <f>HYPERLINK("https://www.spark-marketing.ru/Card/Person/275284", "ООО ""СЫКТЫВКАРСКИЙ МОЛОЧНЫЙ ЗАВОД""")</f>
        <v>ООО "СЫКТЫВКАРСКИЙ МОЛОЧНЫЙ ЗАВОД"</v>
      </c>
      <c r="K13952" s="24" t="s">
        <v>17418</v>
      </c>
      <c r="L13952" s="22" t="s">
        <v>10</v>
      </c>
      <c r="M13952" s="28" t="s">
        <v>51</v>
      </c>
      <c r="N13952" s="28" t="s">
        <v>51</v>
      </c>
    </row>
    <row r="13953" spans="1:14" x14ac:dyDescent="0.15">
      <c r="A13953" s="23" t="str">
        <f>HYPERLINK("https://www.spark-marketing.ru/Card/Person/1757464", "КГАУ ""СШОР ПО РЕГБИ ""ЕНИСЕЙ - СТМ""")</f>
        <v>КГАУ "СШОР ПО РЕГБИ "ЕНИСЕЙ - СТМ"</v>
      </c>
      <c r="B13953" s="24" t="s">
        <v>3563</v>
      </c>
      <c r="C13953" s="25">
        <v>450000</v>
      </c>
      <c r="D13953" s="22" t="s">
        <v>18664</v>
      </c>
      <c r="E13953" s="22" t="s">
        <v>769</v>
      </c>
      <c r="F13953" s="23" t="str">
        <f>HYPERLINK("https://www.spark-marketing.ru/Card/Lot/71940147", "Договор на оказание услуг по проживанию (с питанием) спортсменов (для исполнения календарного плана)")</f>
        <v>Договор на оказание услуг по проживанию (с питанием) спортсменов (для исполнения календарного плана)</v>
      </c>
      <c r="G13953" s="22" t="s">
        <v>49</v>
      </c>
      <c r="H13953" s="22" t="s">
        <v>49</v>
      </c>
      <c r="I13953" s="26">
        <v>43654.539247685199</v>
      </c>
      <c r="J13953" s="28" t="s">
        <v>51</v>
      </c>
      <c r="K13953" s="28" t="s">
        <v>51</v>
      </c>
      <c r="L13953" s="28" t="s">
        <v>51</v>
      </c>
      <c r="M13953" s="28" t="s">
        <v>51</v>
      </c>
      <c r="N13953" s="28" t="s">
        <v>51</v>
      </c>
    </row>
    <row r="13954" spans="1:14" x14ac:dyDescent="0.15">
      <c r="A13954" s="23" t="str">
        <f>HYPERLINK("https://www.spark-marketing.ru/Card/Person/25833", "МУ МВД РОССИИ ""ОРСКОЕ""")</f>
        <v>МУ МВД РОССИИ "ОРСКОЕ"</v>
      </c>
      <c r="B13954" s="24" t="s">
        <v>18665</v>
      </c>
      <c r="C13954" s="25">
        <v>1933000</v>
      </c>
      <c r="D13954" s="22" t="s">
        <v>18666</v>
      </c>
      <c r="E13954" s="22" t="s">
        <v>48</v>
      </c>
      <c r="F13954" s="23" t="str">
        <f>HYPERLINK("https://www.spark-marketing.ru/Card/Lot/71959639", "Оказание услуг по организации ежедневного трехразового горячего питания для лиц, содержащихся Изоляторе временного содержания подозреваемых и обвиняемых, и Специальном приемнике для содержания лиц, подвергнутых административному аресту")</f>
        <v>Оказание услуг по организации ежедневного трехразового горячего питания для лиц, содержащихся Изоляторе временного содержания подозреваемых и обвиняемых, и Специальном приемнике для содержания лиц, подвергнутых административному аресту</v>
      </c>
      <c r="G13954" s="22" t="s">
        <v>132</v>
      </c>
      <c r="H13954" s="22" t="s">
        <v>18667</v>
      </c>
      <c r="I13954" s="26">
        <v>43654.536018518498</v>
      </c>
      <c r="J13954" s="28" t="s">
        <v>51</v>
      </c>
      <c r="K13954" s="28" t="s">
        <v>51</v>
      </c>
      <c r="L13954" s="28" t="s">
        <v>51</v>
      </c>
      <c r="M13954" s="28" t="s">
        <v>51</v>
      </c>
      <c r="N13954" s="28" t="s">
        <v>51</v>
      </c>
    </row>
    <row r="13955" spans="1:14" ht="12.75" hidden="1" outlineLevel="1" x14ac:dyDescent="0.2">
      <c r="A13955" s="23" t="str">
        <f>HYPERLINK("https://www.spark-marketing.ru/Card/Person/25833", "МУ МВД РОССИИ ""ОРСКОЕ""")</f>
        <v>МУ МВД РОССИИ "ОРСКОЕ"</v>
      </c>
      <c r="B13955" s="24" t="s">
        <v>18665</v>
      </c>
      <c r="C13955" s="25">
        <v>1933000</v>
      </c>
      <c r="D13955" s="22" t="s">
        <v>18666</v>
      </c>
      <c r="E13955" s="22" t="s">
        <v>48</v>
      </c>
      <c r="F13955" s="23" t="str">
        <f>HYPERLINK("https://www.spark-marketing.ru/Card/Lot/71959639", "Оказание услуг по организации ежедневного трехразового горячего питания для лиц, содержащихся Изоляторе временного содержания подозреваемых и обвиняемых, и Специальном приемнике для содержания лиц, подвергнутых административному аресту")</f>
        <v>Оказание услуг по организации ежедневного трехразового горячего питания для лиц, содержащихся Изоляторе временного содержания подозреваемых и обвиняемых, и Специальном приемнике для содержания лиц, подвергнутых административному аресту</v>
      </c>
      <c r="G13955" s="22" t="s">
        <v>132</v>
      </c>
      <c r="H13955" s="22" t="s">
        <v>18667</v>
      </c>
      <c r="I13955" s="26">
        <v>43654.536018518498</v>
      </c>
      <c r="J13955" s="23" t="str">
        <f>HYPERLINK("https://www.spark-marketing.ru/Card/Person/1423662", "ООО ""АВТОМИГ""")</f>
        <v>ООО "АВТОМИГ"</v>
      </c>
      <c r="K13955" s="24" t="s">
        <v>18668</v>
      </c>
      <c r="L13955" s="22" t="s">
        <v>10</v>
      </c>
      <c r="M13955" s="25">
        <v>245.67</v>
      </c>
      <c r="N13955" s="27">
        <v>0.99987290739782719</v>
      </c>
    </row>
    <row r="13956" spans="1:14" hidden="1" outlineLevel="1" x14ac:dyDescent="0.2">
      <c r="A13956" s="23" t="str">
        <f>HYPERLINK("https://www.spark-marketing.ru/Card/Person/25833", "МУ МВД РОССИИ ""ОРСКОЕ""")</f>
        <v>МУ МВД РОССИИ "ОРСКОЕ"</v>
      </c>
      <c r="B13956" s="24" t="s">
        <v>18665</v>
      </c>
      <c r="C13956" s="25">
        <v>1933000</v>
      </c>
      <c r="D13956" s="22" t="s">
        <v>18666</v>
      </c>
      <c r="E13956" s="22" t="s">
        <v>48</v>
      </c>
      <c r="F13956" s="23" t="str">
        <f>HYPERLINK("https://www.spark-marketing.ru/Card/Lot/71959639", "Оказание услуг по организации ежедневного трехразового горячего питания для лиц, содержащихся Изоляторе временного содержания подозреваемых и обвиняемых, и Специальном приемнике для содержания лиц, подвергнутых административному аресту")</f>
        <v>Оказание услуг по организации ежедневного трехразового горячего питания для лиц, содержащихся Изоляторе временного содержания подозреваемых и обвиняемых, и Специальном приемнике для содержания лиц, подвергнутых административному аресту</v>
      </c>
      <c r="G13956" s="22" t="s">
        <v>132</v>
      </c>
      <c r="H13956" s="22" t="s">
        <v>18667</v>
      </c>
      <c r="I13956" s="26">
        <v>43654.536018518498</v>
      </c>
      <c r="J13956" s="23" t="str">
        <f>HYPERLINK("https://www.spark-marketing.ru/Card/Person/6634847", "Генераленко Илья Александрович")</f>
        <v>Генераленко Илья Александрович</v>
      </c>
      <c r="K13956" s="24" t="s">
        <v>18669</v>
      </c>
      <c r="L13956" s="28" t="s">
        <v>51</v>
      </c>
      <c r="M13956" s="25">
        <v>245.67</v>
      </c>
      <c r="N13956" s="27">
        <v>0.99987290739782719</v>
      </c>
    </row>
    <row r="13957" spans="1:14" x14ac:dyDescent="0.15">
      <c r="A13957" s="23" t="str">
        <f>HYPERLINK("https://www.spark-marketing.ru/Card/Person/37995", "ГБУЗ ""ГКБ № 1""")</f>
        <v>ГБУЗ "ГКБ № 1"</v>
      </c>
      <c r="B13957" s="24" t="s">
        <v>18670</v>
      </c>
      <c r="C13957" s="25">
        <v>1945672.08</v>
      </c>
      <c r="D13957" s="22" t="s">
        <v>18671</v>
      </c>
      <c r="E13957" s="22" t="s">
        <v>86</v>
      </c>
      <c r="F13957" s="23" t="str">
        <f>HYPERLINK("https://www.spark-marketing.ru/Card/Lot/71958349", "Оказание услуг по обеспечению лекарственными средствами, медицинскими изделиями, специализированными продуктами лечебного питания, средствами для дезинфекции и иммунобиологическими препаратами")</f>
        <v>Оказание услуг по обеспечению лекарственными средствами, медицинскими изделиями, специализированными продуктами лечебного питания, средствами для дезинфекции и иммунобиологическими препаратами</v>
      </c>
      <c r="G13957" s="22" t="s">
        <v>986</v>
      </c>
      <c r="H13957" s="22" t="s">
        <v>987</v>
      </c>
      <c r="I13957" s="26">
        <v>43654.524074074099</v>
      </c>
      <c r="J13957" s="28" t="s">
        <v>51</v>
      </c>
      <c r="K13957" s="28" t="s">
        <v>51</v>
      </c>
      <c r="L13957" s="28" t="s">
        <v>51</v>
      </c>
      <c r="M13957" s="28" t="s">
        <v>51</v>
      </c>
      <c r="N13957" s="28" t="s">
        <v>51</v>
      </c>
    </row>
    <row r="13958" spans="1:14" x14ac:dyDescent="0.15">
      <c r="A13958" s="23" t="str">
        <f>HYPERLINK("https://www.spark-marketing.ru/Card/Person/32883", "УМВД РОССИИ ПО ВОЛОГОДСКОЙ ОБЛАСТИ")</f>
        <v>УМВД РОССИИ ПО ВОЛОГОДСКОЙ ОБЛАСТИ</v>
      </c>
      <c r="B13958" s="24" t="s">
        <v>1474</v>
      </c>
      <c r="C13958" s="25">
        <v>376292.49</v>
      </c>
      <c r="D13958" s="22" t="s">
        <v>18672</v>
      </c>
      <c r="E13958" s="22" t="s">
        <v>48</v>
      </c>
      <c r="F13958" s="23" t="str">
        <f>HYPERLINK("https://www.spark-marketing.ru/Card/Lot/71962998", "Оказание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УМВД России по Вологодской области осуществляющегося путем доставки готовой продук...")</f>
        <v>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УМВД России по Вологодской области осуществляющегося путем доставки готовой продук...</v>
      </c>
      <c r="G13958" s="22" t="s">
        <v>503</v>
      </c>
      <c r="H13958" s="22" t="s">
        <v>503</v>
      </c>
      <c r="I13958" s="26">
        <v>43654.530092592599</v>
      </c>
      <c r="J13958" s="28" t="s">
        <v>51</v>
      </c>
      <c r="K13958" s="28" t="s">
        <v>51</v>
      </c>
      <c r="L13958" s="28" t="s">
        <v>51</v>
      </c>
      <c r="M13958" s="28" t="s">
        <v>51</v>
      </c>
      <c r="N13958" s="28" t="s">
        <v>51</v>
      </c>
    </row>
    <row r="13959" spans="1:14" ht="12.75" hidden="1" outlineLevel="1" x14ac:dyDescent="0.2">
      <c r="A13959" s="23" t="str">
        <f>HYPERLINK("https://www.spark-marketing.ru/Card/Person/32883", "УМВД РОССИИ ПО ВОЛОГОДСКОЙ ОБЛАСТИ")</f>
        <v>УМВД РОССИИ ПО ВОЛОГОДСКОЙ ОБЛАСТИ</v>
      </c>
      <c r="B13959" s="24" t="s">
        <v>1474</v>
      </c>
      <c r="C13959" s="25">
        <v>376292.49</v>
      </c>
      <c r="D13959" s="22" t="s">
        <v>18672</v>
      </c>
      <c r="E13959" s="22" t="s">
        <v>48</v>
      </c>
      <c r="F13959" s="23" t="str">
        <f>HYPERLINK("https://www.spark-marketing.ru/Card/Lot/71962998", "Оказание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УМВД России по Вологодской области осуществляющегося путем доставки готовой продук...")</f>
        <v>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УМВД России по Вологодской области осуществляющегося путем доставки готовой продук...</v>
      </c>
      <c r="G13959" s="22" t="s">
        <v>503</v>
      </c>
      <c r="H13959" s="22" t="s">
        <v>503</v>
      </c>
      <c r="I13959" s="26">
        <v>43654.530092592599</v>
      </c>
      <c r="J13959" s="23" t="str">
        <f>HYPERLINK("https://www.spark-marketing.ru/Card/Person/105572", "ООО ""ЦЕНТРОПИТ""")</f>
        <v>ООО "ЦЕНТРОПИТ"</v>
      </c>
      <c r="K13959" s="24" t="s">
        <v>3196</v>
      </c>
      <c r="L13959" s="22" t="s">
        <v>10</v>
      </c>
      <c r="M13959" s="25">
        <v>372</v>
      </c>
      <c r="N13959" s="27">
        <v>0.99901140732306404</v>
      </c>
    </row>
    <row r="13960" spans="1:14" hidden="1" outlineLevel="1" x14ac:dyDescent="0.2">
      <c r="A13960" s="23" t="str">
        <f>HYPERLINK("https://www.spark-marketing.ru/Card/Person/32883", "УМВД РОССИИ ПО ВОЛОГОДСКОЙ ОБЛАСТИ")</f>
        <v>УМВД РОССИИ ПО ВОЛОГОДСКОЙ ОБЛАСТИ</v>
      </c>
      <c r="B13960" s="24" t="s">
        <v>1474</v>
      </c>
      <c r="C13960" s="25">
        <v>376292.49</v>
      </c>
      <c r="D13960" s="22" t="s">
        <v>18672</v>
      </c>
      <c r="E13960" s="22" t="s">
        <v>48</v>
      </c>
      <c r="F13960" s="23" t="str">
        <f>HYPERLINK("https://www.spark-marketing.ru/Card/Lot/71962998", "Оказание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УМВД России по Вологодской области осуществляющегося путем доставки готовой продук...")</f>
        <v>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УМВД России по Вологодской области осуществляющегося путем доставки готовой продук...</v>
      </c>
      <c r="G13960" s="22" t="s">
        <v>503</v>
      </c>
      <c r="H13960" s="22" t="s">
        <v>503</v>
      </c>
      <c r="I13960" s="26">
        <v>43654.530092592599</v>
      </c>
      <c r="J13960" s="23" t="str">
        <f>HYPERLINK("https://www.spark-marketing.ru/Card/Person/60999", "Эльперин Антон Яковлевич")</f>
        <v>Эльперин Антон Яковлевич</v>
      </c>
      <c r="K13960" s="24" t="s">
        <v>12632</v>
      </c>
      <c r="L13960" s="28" t="s">
        <v>51</v>
      </c>
      <c r="M13960" s="25">
        <v>372</v>
      </c>
      <c r="N13960" s="27">
        <v>0.99901140732306404</v>
      </c>
    </row>
    <row r="13961" spans="1:14" x14ac:dyDescent="0.15">
      <c r="A13961" s="23" t="str">
        <f>HYPERLINK("https://www.spark-marketing.ru/Card/Person/740673", "ГБУ РК ""ЦСЗН СЫКТЫВДИНСКОГО РАЙОНА""")</f>
        <v>ГБУ РК "ЦСЗН СЫКТЫВДИНСКОГО РАЙОНА"</v>
      </c>
      <c r="B13961" s="24" t="s">
        <v>17416</v>
      </c>
      <c r="C13961" s="25">
        <v>20654.8</v>
      </c>
      <c r="D13961" s="22" t="s">
        <v>18673</v>
      </c>
      <c r="E13961" s="22" t="s">
        <v>464</v>
      </c>
      <c r="F13961" s="23" t="str">
        <f>HYPERLINK("https://www.spark-marketing.ru/Card/Lot/71951894", "Поставка продуктов питания в 3 квартале 2019 года (масло сливочное) для нужд Государственного бюджетного учреждения Республики Коми «Центр по предоставлению государственных услуг в сфере социальной защиты населения Сыктывдинского района»")</f>
        <v>Поставка продуктов питания в 3 квартале 2019 года (масло сливочное) для нужд Государственного бюджетного учреждения Республики Коми «Центр по предоставлению государственных услуг в сфере социальной защиты населения Сыктывдинского района»</v>
      </c>
      <c r="G13961" s="22" t="s">
        <v>271</v>
      </c>
      <c r="H13961" s="22" t="s">
        <v>10847</v>
      </c>
      <c r="I13961" s="26">
        <v>43654.529166666704</v>
      </c>
      <c r="J13961" s="23" t="str">
        <f>HYPERLINK("https://www.spark-marketing.ru/Card/Person/275284", "ООО ""СЫКТЫВКАРСКИЙ МОЛОЧНЫЙ ЗАВОД""")</f>
        <v>ООО "СЫКТЫВКАРСКИЙ МОЛОЧНЫЙ ЗАВОД"</v>
      </c>
      <c r="K13961" s="24" t="s">
        <v>17418</v>
      </c>
      <c r="L13961" s="22" t="s">
        <v>10</v>
      </c>
      <c r="M13961" s="28" t="s">
        <v>51</v>
      </c>
      <c r="N13961" s="28" t="s">
        <v>51</v>
      </c>
    </row>
    <row r="13962" spans="1:14" x14ac:dyDescent="0.15">
      <c r="A13962" s="23" t="str">
        <f>HYPERLINK("https://www.spark-marketing.ru/Card/Person/3618", "ФБУ ЦЕНТР РЕАБИЛИТАЦИИ ФСС РФ ""ОМСКИЙ""")</f>
        <v>ФБУ ЦЕНТР РЕАБИЛИТАЦИИ ФСС РФ "ОМСКИЙ"</v>
      </c>
      <c r="B13962" s="24" t="s">
        <v>14912</v>
      </c>
      <c r="C13962" s="25">
        <v>595735</v>
      </c>
      <c r="D13962" s="22" t="s">
        <v>18674</v>
      </c>
      <c r="E13962" s="22" t="s">
        <v>1617</v>
      </c>
      <c r="F13962" s="23" t="str">
        <f>HYPERLINK("https://www.spark-marketing.ru/Card/Lot/71961707", "Поставка изделий колбасных вареных для нужд ФБУ Центра реабилитации ФСС РФ ""Омский""")</f>
        <v>Поставка изделий колбасных вареных для нужд ФБУ Центра реабилитации ФСС РФ "Омский"</v>
      </c>
      <c r="G13962" s="22" t="s">
        <v>487</v>
      </c>
      <c r="H13962" s="22" t="s">
        <v>488</v>
      </c>
      <c r="I13962" s="26">
        <v>43654.5211458333</v>
      </c>
      <c r="J13962" s="28" t="s">
        <v>51</v>
      </c>
      <c r="K13962" s="28" t="s">
        <v>51</v>
      </c>
      <c r="L13962" s="28" t="s">
        <v>51</v>
      </c>
      <c r="M13962" s="28" t="s">
        <v>51</v>
      </c>
      <c r="N13962" s="28" t="s">
        <v>51</v>
      </c>
    </row>
    <row r="13963" spans="1:14" hidden="1" outlineLevel="1" x14ac:dyDescent="0.2">
      <c r="A13963" s="23" t="str">
        <f>HYPERLINK("https://www.spark-marketing.ru/Card/Person/3618", "ФБУ ЦЕНТР РЕАБИЛИТАЦИИ ФСС РФ ""ОМСКИЙ""")</f>
        <v>ФБУ ЦЕНТР РЕАБИЛИТАЦИИ ФСС РФ "ОМСКИЙ"</v>
      </c>
      <c r="B13963" s="24" t="s">
        <v>14912</v>
      </c>
      <c r="C13963" s="25">
        <v>595735</v>
      </c>
      <c r="D13963" s="22" t="s">
        <v>18674</v>
      </c>
      <c r="E13963" s="22" t="s">
        <v>1617</v>
      </c>
      <c r="F13963" s="23" t="str">
        <f>HYPERLINK("https://www.spark-marketing.ru/Card/Lot/71961707", "Поставка изделий колбасных вареных для нужд ФБУ Центра реабилитации ФСС РФ ""Омский""")</f>
        <v>Поставка изделий колбасных вареных для нужд ФБУ Центра реабилитации ФСС РФ "Омский"</v>
      </c>
      <c r="G13963" s="22" t="s">
        <v>487</v>
      </c>
      <c r="H13963" s="22" t="s">
        <v>488</v>
      </c>
      <c r="I13963" s="26">
        <v>43654.5211458333</v>
      </c>
      <c r="J13963" s="23" t="str">
        <f>HYPERLINK("https://www.spark-marketing.ru/Card/Person/91179", "ООО ""ТОРГОВО-ЛОГИСТИЧЕСКАЯ КОМПАНИЯ ""ЮКОЛАЙН""")</f>
        <v>ООО "ТОРГОВО-ЛОГИСТИЧЕСКАЯ КОМПАНИЯ "ЮКОЛАЙН"</v>
      </c>
      <c r="K13963" s="24" t="s">
        <v>18675</v>
      </c>
      <c r="L13963" s="28" t="s">
        <v>51</v>
      </c>
      <c r="M13963" s="25">
        <v>595734.99</v>
      </c>
      <c r="N13963" s="27">
        <v>1.6785987058003977E-8</v>
      </c>
    </row>
    <row r="13964" spans="1:14" ht="12.75" hidden="1" outlineLevel="1" x14ac:dyDescent="0.2">
      <c r="A13964" s="23" t="str">
        <f>HYPERLINK("https://www.spark-marketing.ru/Card/Person/3618", "ФБУ ЦЕНТР РЕАБИЛИТАЦИИ ФСС РФ ""ОМСКИЙ""")</f>
        <v>ФБУ ЦЕНТР РЕАБИЛИТАЦИИ ФСС РФ "ОМСКИЙ"</v>
      </c>
      <c r="B13964" s="24" t="s">
        <v>14912</v>
      </c>
      <c r="C13964" s="25">
        <v>595735</v>
      </c>
      <c r="D13964" s="22" t="s">
        <v>18674</v>
      </c>
      <c r="E13964" s="22" t="s">
        <v>1617</v>
      </c>
      <c r="F13964" s="23" t="str">
        <f>HYPERLINK("https://www.spark-marketing.ru/Card/Lot/71961707", "Поставка изделий колбасных вареных для нужд ФБУ Центра реабилитации ФСС РФ ""Омский""")</f>
        <v>Поставка изделий колбасных вареных для нужд ФБУ Центра реабилитации ФСС РФ "Омский"</v>
      </c>
      <c r="G13964" s="22" t="s">
        <v>487</v>
      </c>
      <c r="H13964" s="22" t="s">
        <v>488</v>
      </c>
      <c r="I13964" s="26">
        <v>43654.5211458333</v>
      </c>
      <c r="J13964" s="23" t="str">
        <f>HYPERLINK("https://www.spark-marketing.ru/Card/Person/31197", "ООО ""ТГ ""МЯСНОЙ ДВОР""")</f>
        <v>ООО "ТГ "МЯСНОЙ ДВОР"</v>
      </c>
      <c r="K13964" s="24" t="s">
        <v>18676</v>
      </c>
      <c r="L13964" s="22" t="s">
        <v>10</v>
      </c>
      <c r="M13964" s="25">
        <v>437856.64</v>
      </c>
      <c r="N13964" s="27">
        <v>0.2650144107698893</v>
      </c>
    </row>
    <row r="13965" spans="1:14" hidden="1" outlineLevel="1" x14ac:dyDescent="0.2">
      <c r="A13965" s="23" t="str">
        <f>HYPERLINK("https://www.spark-marketing.ru/Card/Person/3618", "ФБУ ЦЕНТР РЕАБИЛИТАЦИИ ФСС РФ ""ОМСКИЙ""")</f>
        <v>ФБУ ЦЕНТР РЕАБИЛИТАЦИИ ФСС РФ "ОМСКИЙ"</v>
      </c>
      <c r="B13965" s="24" t="s">
        <v>14912</v>
      </c>
      <c r="C13965" s="25">
        <v>595735</v>
      </c>
      <c r="D13965" s="22" t="s">
        <v>18674</v>
      </c>
      <c r="E13965" s="22" t="s">
        <v>1617</v>
      </c>
      <c r="F13965" s="23" t="str">
        <f>HYPERLINK("https://www.spark-marketing.ru/Card/Lot/71961707", "Поставка изделий колбасных вареных для нужд ФБУ Центра реабилитации ФСС РФ ""Омский""")</f>
        <v>Поставка изделий колбасных вареных для нужд ФБУ Центра реабилитации ФСС РФ "Омский"</v>
      </c>
      <c r="G13965" s="22" t="s">
        <v>487</v>
      </c>
      <c r="H13965" s="22" t="s">
        <v>488</v>
      </c>
      <c r="I13965" s="26">
        <v>43654.5211458333</v>
      </c>
      <c r="J13965" s="23" t="str">
        <f>HYPERLINK("https://www.spark-marketing.ru/Card/Person/6440281", "Ваймер Елена Валерьевна")</f>
        <v>Ваймер Елена Валерьевна</v>
      </c>
      <c r="K13965" s="24" t="s">
        <v>18677</v>
      </c>
      <c r="L13965" s="28" t="s">
        <v>51</v>
      </c>
      <c r="M13965" s="25">
        <v>437856.64</v>
      </c>
      <c r="N13965" s="27">
        <v>0.2650144107698893</v>
      </c>
    </row>
    <row r="13966" spans="1:14" hidden="1" outlineLevel="1" x14ac:dyDescent="0.2">
      <c r="A13966" s="23" t="str">
        <f>HYPERLINK("https://www.spark-marketing.ru/Card/Person/3618", "ФБУ ЦЕНТР РЕАБИЛИТАЦИИ ФСС РФ ""ОМСКИЙ""")</f>
        <v>ФБУ ЦЕНТР РЕАБИЛИТАЦИИ ФСС РФ "ОМСКИЙ"</v>
      </c>
      <c r="B13966" s="24" t="s">
        <v>14912</v>
      </c>
      <c r="C13966" s="25">
        <v>595735</v>
      </c>
      <c r="D13966" s="22" t="s">
        <v>18674</v>
      </c>
      <c r="E13966" s="22" t="s">
        <v>1617</v>
      </c>
      <c r="F13966" s="23" t="str">
        <f>HYPERLINK("https://www.spark-marketing.ru/Card/Lot/71961707", "Поставка изделий колбасных вареных для нужд ФБУ Центра реабилитации ФСС РФ ""Омский""")</f>
        <v>Поставка изделий колбасных вареных для нужд ФБУ Центра реабилитации ФСС РФ "Омский"</v>
      </c>
      <c r="G13966" s="22" t="s">
        <v>487</v>
      </c>
      <c r="H13966" s="22" t="s">
        <v>488</v>
      </c>
      <c r="I13966" s="26">
        <v>43654.5211458333</v>
      </c>
      <c r="J13966" s="23" t="str">
        <f>HYPERLINK("https://www.spark-marketing.ru/Card/Person/6408549", "ООО ""ЗОЛОТОЕ РУНО""")</f>
        <v>ООО "ЗОЛОТОЕ РУНО"</v>
      </c>
      <c r="K13966" s="24" t="s">
        <v>18678</v>
      </c>
      <c r="L13966" s="28" t="s">
        <v>51</v>
      </c>
      <c r="M13966" s="25">
        <v>533134</v>
      </c>
      <c r="N13966" s="27">
        <v>0.1050819575818107</v>
      </c>
    </row>
    <row r="13967" spans="1:14" x14ac:dyDescent="0.15">
      <c r="A13967" s="23" t="str">
        <f>HYPERLINK("https://www.spark-marketing.ru/Card/Person/91369", "МБОУ СОШ № 1")</f>
        <v>МБОУ СОШ № 1</v>
      </c>
      <c r="B13967" s="24" t="s">
        <v>18679</v>
      </c>
      <c r="C13967" s="25">
        <v>142560</v>
      </c>
      <c r="D13967" s="22" t="s">
        <v>18680</v>
      </c>
      <c r="E13967" s="22" t="s">
        <v>48</v>
      </c>
      <c r="F13967" s="23" t="str">
        <f>HYPERLINK("https://www.spark-marketing.ru/Card/Lot/71942523", "Оказание услуг по организации питания в оздоровительном лагере с дневным пребыванием детей «Смена» на базе МБОУ СОШ № 1 городского округа Лосино-Петровский в 2019 году")</f>
        <v>Оказание услуг по организации питания в оздоровительном лагере с дневным пребыванием детей «Смена» на базе МБОУ СОШ № 1 городского округа Лосино-Петровский в 2019 году</v>
      </c>
      <c r="G13967" s="22" t="s">
        <v>49</v>
      </c>
      <c r="H13967" s="22" t="s">
        <v>875</v>
      </c>
      <c r="I13967" s="26">
        <v>43654.492337962998</v>
      </c>
      <c r="J13967" s="28" t="s">
        <v>51</v>
      </c>
      <c r="K13967" s="28" t="s">
        <v>51</v>
      </c>
      <c r="L13967" s="28" t="s">
        <v>51</v>
      </c>
      <c r="M13967" s="28" t="s">
        <v>51</v>
      </c>
      <c r="N13967" s="28" t="s">
        <v>51</v>
      </c>
    </row>
    <row r="13968" spans="1:14" x14ac:dyDescent="0.15">
      <c r="A13968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3968" s="24" t="s">
        <v>3255</v>
      </c>
      <c r="C13968" s="25">
        <v>133296</v>
      </c>
      <c r="D13968" s="22" t="s">
        <v>18681</v>
      </c>
      <c r="E13968" s="22" t="s">
        <v>52</v>
      </c>
      <c r="F13968" s="23" t="str">
        <f>HYPERLINK("https://www.spark-marketing.ru/Card/Lot/71937527", "Поставка лекарственного препарата для медицинского применения ""Инсулин лизпро""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специализированны...")</f>
        <v>Поставка лекарственного препарата для медицинского применения "Инсулин лизпро"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специализированны...</v>
      </c>
      <c r="G13968" s="22" t="s">
        <v>210</v>
      </c>
      <c r="H13968" s="22" t="s">
        <v>3257</v>
      </c>
      <c r="I13968" s="26">
        <v>43654.470138888901</v>
      </c>
      <c r="J13968" s="23" t="str">
        <f>HYPERLINK("https://www.spark-marketing.ru/Card/Person/4345864", "АО ""Р-ФАРМ""")</f>
        <v>АО "Р-ФАРМ"</v>
      </c>
      <c r="K13968" s="24" t="s">
        <v>11347</v>
      </c>
      <c r="L13968" s="22" t="s">
        <v>10</v>
      </c>
      <c r="M13968" s="28" t="s">
        <v>51</v>
      </c>
      <c r="N13968" s="28" t="s">
        <v>51</v>
      </c>
    </row>
    <row r="13969" spans="1:14" x14ac:dyDescent="0.15">
      <c r="A13969" s="23" t="str">
        <f>HYPERLINK("https://www.spark-marketing.ru/Card/Person/4344644", "УПРАВЛЕНИЕ ДЕЛАМИ ГУБЕРНАТОРА АСТРАХАНСКОЙ ОБЛАСТИ")</f>
        <v>УПРАВЛЕНИЕ ДЕЛАМИ ГУБЕРНАТОРА АСТРАХАНСКОЙ ОБЛАСТИ</v>
      </c>
      <c r="B13969" s="24" t="s">
        <v>8394</v>
      </c>
      <c r="C13969" s="25">
        <v>944000</v>
      </c>
      <c r="D13969" s="22" t="s">
        <v>18682</v>
      </c>
      <c r="E13969" s="22" t="s">
        <v>96</v>
      </c>
      <c r="F13969" s="23" t="str">
        <f>HYPERLINK("https://www.spark-marketing.ru/Card/Lot/71958160", "Оказание комплекса услуг питания при проведении официальных мероприятий")</f>
        <v>Оказание комплекса услуг питания при проведении официальных мероприятий</v>
      </c>
      <c r="G13969" s="22" t="s">
        <v>141</v>
      </c>
      <c r="H13969" s="22" t="s">
        <v>2201</v>
      </c>
      <c r="I13969" s="26">
        <v>43654.492916666699</v>
      </c>
      <c r="J13969" s="23" t="str">
        <f>HYPERLINK("https://www.spark-marketing.ru/Card/Person/279758", "КП АО ""КОМБИНАТ ОБЩЕСТВЕННОГО ПИТАНИЯ""")</f>
        <v>КП АО "КОМБИНАТ ОБЩЕСТВЕННОГО ПИТАНИЯ"</v>
      </c>
      <c r="K13969" s="24" t="s">
        <v>8396</v>
      </c>
      <c r="L13969" s="22" t="s">
        <v>10</v>
      </c>
      <c r="M13969" s="28" t="s">
        <v>51</v>
      </c>
      <c r="N13969" s="28" t="s">
        <v>51</v>
      </c>
    </row>
    <row r="13970" spans="1:14" x14ac:dyDescent="0.15">
      <c r="A13970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3970" s="24" t="s">
        <v>3255</v>
      </c>
      <c r="C13970" s="25">
        <v>11493</v>
      </c>
      <c r="D13970" s="22" t="s">
        <v>18683</v>
      </c>
      <c r="E13970" s="22" t="s">
        <v>9540</v>
      </c>
      <c r="F13970" s="23" t="str">
        <f>HYPERLINK("https://www.spark-marketing.ru/Card/Lot/71940806", "Поставка лекарственных препаратов для медицинского применения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лечеб...")</f>
        <v>Поставка лекарственных препаратов для медицинского применения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лечеб...</v>
      </c>
      <c r="G13970" s="22" t="s">
        <v>210</v>
      </c>
      <c r="H13970" s="22" t="s">
        <v>3257</v>
      </c>
      <c r="I13970" s="26">
        <v>43654.465972222199</v>
      </c>
      <c r="J13970" s="28" t="s">
        <v>51</v>
      </c>
      <c r="K13970" s="28" t="s">
        <v>51</v>
      </c>
      <c r="L13970" s="28" t="s">
        <v>51</v>
      </c>
      <c r="M13970" s="28" t="s">
        <v>51</v>
      </c>
      <c r="N13970" s="28" t="s">
        <v>51</v>
      </c>
    </row>
    <row r="13971" spans="1:14" x14ac:dyDescent="0.15">
      <c r="A13971" s="23" t="str">
        <f>HYPERLINK("https://www.spark-marketing.ru/Card/Person/4372058", "МАДОУ - ДЕТСКИЙ САД №3 ""ТРЕТЬЕ КОРОЛЕВСТВО""")</f>
        <v>МАДОУ - ДЕТСКИЙ САД №3 "ТРЕТЬЕ КОРОЛЕВСТВО"</v>
      </c>
      <c r="B13971" s="24" t="s">
        <v>2247</v>
      </c>
      <c r="C13971" s="25">
        <v>400000</v>
      </c>
      <c r="D13971" s="22" t="s">
        <v>18684</v>
      </c>
      <c r="E13971" s="22" t="s">
        <v>362</v>
      </c>
      <c r="F13971" s="23" t="str">
        <f>HYPERLINK("https://www.spark-marketing.ru/Card/Lot/71940105", "Услуги по организации детского питания")</f>
        <v>Услуги по организации детского питания</v>
      </c>
      <c r="G13971" s="22" t="s">
        <v>174</v>
      </c>
      <c r="H13971" s="22" t="s">
        <v>174</v>
      </c>
      <c r="I13971" s="26">
        <v>43654.458726851903</v>
      </c>
      <c r="J13971" s="28" t="s">
        <v>51</v>
      </c>
      <c r="K13971" s="28" t="s">
        <v>51</v>
      </c>
      <c r="L13971" s="28" t="s">
        <v>51</v>
      </c>
      <c r="M13971" s="28" t="s">
        <v>51</v>
      </c>
      <c r="N13971" s="28" t="s">
        <v>51</v>
      </c>
    </row>
    <row r="13972" spans="1:14" x14ac:dyDescent="0.15">
      <c r="A13972" s="23" t="str">
        <f>HYPERLINK("https://www.spark-marketing.ru/Card/Person/10140", "ГБПОУ МО ""РАМЕНСКИЙ КОЛЛЕДЖ""")</f>
        <v>ГБПОУ МО "РАМЕНСКИЙ КОЛЛЕДЖ"</v>
      </c>
      <c r="B13972" s="24" t="s">
        <v>18685</v>
      </c>
      <c r="C13972" s="25">
        <v>3017052</v>
      </c>
      <c r="D13972" s="22" t="s">
        <v>18686</v>
      </c>
      <c r="E13972" s="22" t="s">
        <v>48</v>
      </c>
      <c r="F13972" s="23" t="str">
        <f>HYPERLINK("https://www.spark-marketing.ru/Card/Lot/71959279", "Оказание услуг по обеспечению горячим питанием обучающихся ГБПОУ МО ""Раменский колледж""")</f>
        <v>Оказание услуг по обеспечению горячим питанием обучающихся ГБПОУ МО "Раменский колледж"</v>
      </c>
      <c r="G13972" s="22" t="s">
        <v>49</v>
      </c>
      <c r="H13972" s="22" t="s">
        <v>6942</v>
      </c>
      <c r="I13972" s="26">
        <v>43654.474328703698</v>
      </c>
      <c r="J13972" s="23" t="str">
        <f>HYPERLINK("https://www.spark-marketing.ru/Card/Person/6290196", "ООО ""РАМКЕЙТ""")</f>
        <v>ООО "РАМКЕЙТ"</v>
      </c>
      <c r="K13972" s="24" t="s">
        <v>5037</v>
      </c>
      <c r="L13972" s="28" t="s">
        <v>51</v>
      </c>
      <c r="M13972" s="28" t="s">
        <v>51</v>
      </c>
      <c r="N13972" s="28" t="s">
        <v>51</v>
      </c>
    </row>
    <row r="13973" spans="1:14" ht="12.75" hidden="1" outlineLevel="1" x14ac:dyDescent="0.2">
      <c r="A13973" s="23" t="str">
        <f>HYPERLINK("https://www.spark-marketing.ru/Card/Person/10140", "ГБПОУ МО ""РАМЕНСКИЙ КОЛЛЕДЖ""")</f>
        <v>ГБПОУ МО "РАМЕНСКИЙ КОЛЛЕДЖ"</v>
      </c>
      <c r="B13973" s="24" t="s">
        <v>18685</v>
      </c>
      <c r="C13973" s="25">
        <v>3017052</v>
      </c>
      <c r="D13973" s="22" t="s">
        <v>18686</v>
      </c>
      <c r="E13973" s="22" t="s">
        <v>48</v>
      </c>
      <c r="F13973" s="23" t="str">
        <f>HYPERLINK("https://www.spark-marketing.ru/Card/Lot/71959279", "Оказание услуг по обеспечению горячим питанием обучающихся ГБПОУ МО ""Раменский колледж""")</f>
        <v>Оказание услуг по обеспечению горячим питанием обучающихся ГБПОУ МО "Раменский колледж"</v>
      </c>
      <c r="G13973" s="22" t="s">
        <v>49</v>
      </c>
      <c r="H13973" s="22" t="s">
        <v>6942</v>
      </c>
      <c r="I13973" s="26">
        <v>43654.474328703698</v>
      </c>
      <c r="J13973" s="23" t="str">
        <f>HYPERLINK("https://www.spark-marketing.ru/Card/Person/6290196", "ООО ""РАМКЕЙТ""")</f>
        <v>ООО "РАМКЕЙТ"</v>
      </c>
      <c r="K13973" s="24" t="s">
        <v>5037</v>
      </c>
      <c r="L13973" s="22" t="s">
        <v>10</v>
      </c>
      <c r="M13973" s="25">
        <v>3001966.74</v>
      </c>
      <c r="N13973" s="27">
        <v>5.0000000000000001E-3</v>
      </c>
    </row>
    <row r="13974" spans="1:14" x14ac:dyDescent="0.15">
      <c r="A13974" s="23" t="str">
        <f>HYPERLINK("https://www.spark-marketing.ru/Card/Person/56104", "УПРАВА РАЙОНА СОКОЛЬНИКИ ГОРОДА МОСКВЫ")</f>
        <v>УПРАВА РАЙОНА СОКОЛЬНИКИ ГОРОДА МОСКВЫ</v>
      </c>
      <c r="B13974" s="24" t="s">
        <v>18687</v>
      </c>
      <c r="C13974" s="25">
        <v>247100</v>
      </c>
      <c r="D13974" s="22" t="s">
        <v>18688</v>
      </c>
      <c r="E13974" s="22" t="s">
        <v>48</v>
      </c>
      <c r="F13974" s="23" t="str">
        <f>HYPERLINK("https://www.spark-marketing.ru/Card/Lot/71961460", "Оказание услуг по организации питания членов избирательных комиссий района Сокольники для проведения выборов депутатов Московской городской Думы в 2019 году")</f>
        <v>Оказание услуг по организации питания членов избирательных комиссий района Сокольники для проведения выборов депутатов Московской городской Думы в 2019 году</v>
      </c>
      <c r="G13974" s="22" t="s">
        <v>56</v>
      </c>
      <c r="H13974" s="22" t="s">
        <v>56</v>
      </c>
      <c r="I13974" s="26">
        <v>43654.487152777801</v>
      </c>
      <c r="J13974" s="28" t="s">
        <v>51</v>
      </c>
      <c r="K13974" s="28" t="s">
        <v>51</v>
      </c>
      <c r="L13974" s="28" t="s">
        <v>51</v>
      </c>
      <c r="M13974" s="28" t="s">
        <v>51</v>
      </c>
      <c r="N13974" s="28" t="s">
        <v>51</v>
      </c>
    </row>
    <row r="13975" spans="1:14" hidden="1" outlineLevel="1" x14ac:dyDescent="0.2">
      <c r="A13975" s="23" t="str">
        <f>HYPERLINK("https://www.spark-marketing.ru/Card/Person/56104", "УПРАВА РАЙОНА СОКОЛЬНИКИ ГОРОДА МОСКВЫ")</f>
        <v>УПРАВА РАЙОНА СОКОЛЬНИКИ ГОРОДА МОСКВЫ</v>
      </c>
      <c r="B13975" s="24" t="s">
        <v>18687</v>
      </c>
      <c r="C13975" s="25">
        <v>247100</v>
      </c>
      <c r="D13975" s="22" t="s">
        <v>18688</v>
      </c>
      <c r="E13975" s="22" t="s">
        <v>48</v>
      </c>
      <c r="F13975" s="23" t="str">
        <f>HYPERLINK("https://www.spark-marketing.ru/Card/Lot/71961460", "Оказание услуг по организации питания членов избирательных комиссий района Сокольники для проведения выборов депутатов Московской городской Думы в 2019 году")</f>
        <v>Оказание услуг по организации питания членов избирательных комиссий района Сокольники для проведения выборов депутатов Московской городской Думы в 2019 году</v>
      </c>
      <c r="G13975" s="22" t="s">
        <v>56</v>
      </c>
      <c r="H13975" s="22" t="s">
        <v>56</v>
      </c>
      <c r="I13975" s="26">
        <v>43654.487152777801</v>
      </c>
      <c r="J13975" s="23" t="str">
        <f>HYPERLINK("https://www.spark-marketing.ru/Card/Person/6604981", "ООО ""ПЕРСПЕКТИВА""")</f>
        <v>ООО "ПЕРСПЕКТИВА"</v>
      </c>
      <c r="K13975" s="24" t="s">
        <v>13150</v>
      </c>
      <c r="L13975" s="28" t="s">
        <v>51</v>
      </c>
      <c r="M13975" s="25">
        <v>228567.5</v>
      </c>
      <c r="N13975" s="27">
        <v>7.4999999999999997E-2</v>
      </c>
    </row>
    <row r="13976" spans="1:14" ht="12.75" hidden="1" outlineLevel="1" x14ac:dyDescent="0.2">
      <c r="A13976" s="23" t="str">
        <f>HYPERLINK("https://www.spark-marketing.ru/Card/Person/56104", "УПРАВА РАЙОНА СОКОЛЬНИКИ ГОРОДА МОСКВЫ")</f>
        <v>УПРАВА РАЙОНА СОКОЛЬНИКИ ГОРОДА МОСКВЫ</v>
      </c>
      <c r="B13976" s="24" t="s">
        <v>18687</v>
      </c>
      <c r="C13976" s="25">
        <v>247100</v>
      </c>
      <c r="D13976" s="22" t="s">
        <v>18688</v>
      </c>
      <c r="E13976" s="22" t="s">
        <v>48</v>
      </c>
      <c r="F13976" s="23" t="str">
        <f>HYPERLINK("https://www.spark-marketing.ru/Card/Lot/71961460", "Оказание услуг по организации питания членов избирательных комиссий района Сокольники для проведения выборов депутатов Московской городской Думы в 2019 году")</f>
        <v>Оказание услуг по организации питания членов избирательных комиссий района Сокольники для проведения выборов депутатов Московской городской Думы в 2019 году</v>
      </c>
      <c r="G13976" s="22" t="s">
        <v>56</v>
      </c>
      <c r="H13976" s="22" t="s">
        <v>56</v>
      </c>
      <c r="I13976" s="26">
        <v>43654.487152777801</v>
      </c>
      <c r="J13976" s="23" t="str">
        <f>HYPERLINK("https://www.spark-marketing.ru/Card/Person/4855467", "ООО ""АВРОРА""")</f>
        <v>ООО "АВРОРА"</v>
      </c>
      <c r="K13976" s="24" t="s">
        <v>18689</v>
      </c>
      <c r="L13976" s="22" t="s">
        <v>10</v>
      </c>
      <c r="M13976" s="25">
        <v>227332</v>
      </c>
      <c r="N13976" s="27">
        <v>0.08</v>
      </c>
    </row>
    <row r="13977" spans="1:14" x14ac:dyDescent="0.15">
      <c r="A13977" s="23" t="str">
        <f>HYPERLINK("https://www.spark-marketing.ru/Card/Person/77203", "КГБСУСО ""ВОЛЧИХИНСКИЙ ДОМ-ИНТЕРНАТ МАЛОЙ ВМЕСТИМОСТИ ДЛЯ ПРЕСТАРЕЛЫХ И ИНВАЛИДОВ""")</f>
        <v>КГБСУСО "ВОЛЧИХИНСКИЙ ДОМ-ИНТЕРНАТ МАЛОЙ ВМЕСТИМОСТИ ДЛЯ ПРЕСТАРЕЛЫХ И ИНВАЛИДОВ"</v>
      </c>
      <c r="B13977" s="24" t="s">
        <v>18690</v>
      </c>
      <c r="C13977" s="25">
        <v>53460</v>
      </c>
      <c r="D13977" s="22" t="s">
        <v>18691</v>
      </c>
      <c r="E13977" s="22" t="s">
        <v>9415</v>
      </c>
      <c r="F13977" s="23" t="str">
        <f>HYPERLINK("https://www.spark-marketing.ru/Card/Lot/71940320", "(000)Товары, работы или услуги на сумму, не превышающую 100 тыс. руб. (п.4 ч.1 ст.93 Федерального закона №44-ФЗ)")</f>
        <v>(000)Товары, работы или услуги на сумму, не превышающую 100 тыс. руб. (п.4 ч.1 ст.93 Федерального закона №44-ФЗ)</v>
      </c>
      <c r="G13977" s="22" t="s">
        <v>63</v>
      </c>
      <c r="H13977" s="22" t="s">
        <v>18692</v>
      </c>
      <c r="I13977" s="26">
        <v>43654.4465277778</v>
      </c>
      <c r="J13977" s="28" t="s">
        <v>51</v>
      </c>
      <c r="K13977" s="28" t="s">
        <v>51</v>
      </c>
      <c r="L13977" s="28" t="s">
        <v>51</v>
      </c>
      <c r="M13977" s="28" t="s">
        <v>51</v>
      </c>
      <c r="N13977" s="28" t="s">
        <v>51</v>
      </c>
    </row>
    <row r="13978" spans="1:14" x14ac:dyDescent="0.15">
      <c r="A13978" s="23" t="str">
        <f>HYPERLINK("https://www.spark-marketing.ru/Card/Person/1023142", "БОУ Г. ОМСКА ""СРЕДНЯЯ ОБЩЕОБРАЗОВАТЕЛЬНАЯ ШКОЛА № 59""")</f>
        <v>БОУ Г. ОМСКА "СРЕДНЯЯ ОБЩЕОБРАЗОВАТЕЛЬНАЯ ШКОЛА № 59"</v>
      </c>
      <c r="B13978" s="24" t="s">
        <v>18693</v>
      </c>
      <c r="C13978" s="25">
        <v>4990</v>
      </c>
      <c r="D13978" s="22" t="s">
        <v>18694</v>
      </c>
      <c r="E13978" s="22" t="s">
        <v>48</v>
      </c>
      <c r="F13978" s="23" t="str">
        <f>HYPERLINK("https://www.spark-marketing.ru/Card/Lot/71940253", "Оказание услуг по организации питания обучающихся")</f>
        <v>Оказание услуг по организации питания обучающихся</v>
      </c>
      <c r="G13978" s="22" t="s">
        <v>487</v>
      </c>
      <c r="H13978" s="22" t="s">
        <v>488</v>
      </c>
      <c r="I13978" s="26">
        <v>43654.452083333301</v>
      </c>
      <c r="J13978" s="28" t="s">
        <v>51</v>
      </c>
      <c r="K13978" s="28" t="s">
        <v>51</v>
      </c>
      <c r="L13978" s="28" t="s">
        <v>51</v>
      </c>
      <c r="M13978" s="28" t="s">
        <v>51</v>
      </c>
      <c r="N13978" s="28" t="s">
        <v>51</v>
      </c>
    </row>
    <row r="13979" spans="1:14" x14ac:dyDescent="0.2">
      <c r="A13979" s="23" t="str">
        <f>HYPERLINK("https://www.spark-marketing.ru/Card/Person/1448728", "МАОУ СОШ № 9")</f>
        <v>МАОУ СОШ № 9</v>
      </c>
      <c r="B13979" s="24" t="s">
        <v>9322</v>
      </c>
      <c r="C13979" s="25">
        <v>501326</v>
      </c>
      <c r="D13979" s="22" t="s">
        <v>18695</v>
      </c>
      <c r="E13979" s="22" t="s">
        <v>362</v>
      </c>
      <c r="F13979" s="23" t="str">
        <f>HYPERLINK("https://www.spark-marketing.ru/Card/Lot/71941656", "Организация питания школьников в лагере с дневным пребыванием на базе МАОУ СОШ № 9")</f>
        <v>Организация питания школьников в лагере с дневным пребыванием на базе МАОУ СОШ № 9</v>
      </c>
      <c r="G13979" s="22" t="s">
        <v>104</v>
      </c>
      <c r="H13979" s="22" t="s">
        <v>104</v>
      </c>
      <c r="I13979" s="26">
        <v>43654.4440972222</v>
      </c>
      <c r="J13979" s="28" t="s">
        <v>51</v>
      </c>
      <c r="K13979" s="28" t="s">
        <v>51</v>
      </c>
      <c r="L13979" s="22" t="s">
        <v>10</v>
      </c>
      <c r="M13979" s="25">
        <v>501326</v>
      </c>
      <c r="N13979" s="27">
        <v>0</v>
      </c>
    </row>
    <row r="13980" spans="1:14" x14ac:dyDescent="0.15">
      <c r="A13980" s="23" t="str">
        <f>HYPERLINK("https://www.spark-marketing.ru/Card/Person/10908", "БУЗ РА ""РБ""")</f>
        <v>БУЗ РА "РБ"</v>
      </c>
      <c r="B13980" s="24" t="s">
        <v>18696</v>
      </c>
      <c r="C13980" s="25">
        <v>10219718.08</v>
      </c>
      <c r="D13980" s="22" t="s">
        <v>18697</v>
      </c>
      <c r="E13980" s="22" t="s">
        <v>48</v>
      </c>
      <c r="F13980" s="23" t="str">
        <f>HYPERLINK("https://www.spark-marketing.ru/Card/Lot/71961440", "Оказание услуг по организации лечебного питания для больных, находящихся на стационарном лечении в бюджетном учреждении здравоохранения Республики Алтай «Республиканская больница»")</f>
        <v>Оказание услуг по организации лечебного питания для больных, находящихся на стационарном лечении в бюджетном учреждении здравоохранения Республики Алтай «Республиканская больница»</v>
      </c>
      <c r="G13980" s="22" t="s">
        <v>1141</v>
      </c>
      <c r="H13980" s="22" t="s">
        <v>1142</v>
      </c>
      <c r="I13980" s="26">
        <v>43654.440069444398</v>
      </c>
      <c r="J13980" s="23" t="str">
        <f>HYPERLINK("https://www.spark-marketing.ru/Card/Person/930772", "АУЗ РА ""ЦЛПП""")</f>
        <v>АУЗ РА "ЦЛПП"</v>
      </c>
      <c r="K13980" s="24" t="s">
        <v>18698</v>
      </c>
      <c r="L13980" s="22" t="s">
        <v>10</v>
      </c>
      <c r="M13980" s="28" t="s">
        <v>51</v>
      </c>
      <c r="N13980" s="28" t="s">
        <v>51</v>
      </c>
    </row>
    <row r="13981" spans="1:14" x14ac:dyDescent="0.15">
      <c r="A13981" s="23" t="str">
        <f>HYPERLINK("https://www.spark-marketing.ru/Card/Person/30112", "ОТДЕЛ МВД РОССИИ ПО КОЧУБЕЕВСКОМУ РАЙОНУ")</f>
        <v>ОТДЕЛ МВД РОССИИ ПО КОЧУБЕЕВСКОМУ РАЙОНУ</v>
      </c>
      <c r="B13981" s="24" t="s">
        <v>12611</v>
      </c>
      <c r="C13981" s="25">
        <v>1300000</v>
      </c>
      <c r="D13981" s="22" t="s">
        <v>18699</v>
      </c>
      <c r="E13981" s="22" t="s">
        <v>67</v>
      </c>
      <c r="F13981" s="23" t="str">
        <f>HYPERLINK("https://www.spark-marketing.ru/Card/Lot/71962947", "Оказание услуг по приготовлению ежедневного трехразового горячего питания (в виде завтрака, обеда и ужина) для подозреваемых и обвиняемых лиц, административно арестованных лиц, содержащихся в ИВС Отдела МВД России по Кочубеевскому району, задержанных...")</f>
        <v>Оказание услуг по приготовлению ежедневного трехразового горячего питания (в виде завтрака, обеда и ужина) для подозреваемых и обвиняемых лиц, административно арестованных лиц, содержащихся в ИВС Отдела МВД России по Кочубеевскому району, задержанных...</v>
      </c>
      <c r="G13981" s="22" t="s">
        <v>87</v>
      </c>
      <c r="H13981" s="22" t="s">
        <v>12613</v>
      </c>
      <c r="I13981" s="26">
        <v>43654.452754629601</v>
      </c>
      <c r="J13981" s="28" t="s">
        <v>51</v>
      </c>
      <c r="K13981" s="28" t="s">
        <v>51</v>
      </c>
      <c r="L13981" s="28" t="s">
        <v>51</v>
      </c>
      <c r="M13981" s="28" t="s">
        <v>51</v>
      </c>
      <c r="N13981" s="28" t="s">
        <v>51</v>
      </c>
    </row>
    <row r="13982" spans="1:14" x14ac:dyDescent="0.15">
      <c r="A13982" s="23" t="str">
        <f>HYPERLINK("https://www.spark-marketing.ru/Card/Person/4343663", "МИНЗДРАВ АЛТАЙСКОГО КРАЯ")</f>
        <v>МИНЗДРАВ АЛТАЙСКОГО КРАЯ</v>
      </c>
      <c r="B13982" s="24" t="s">
        <v>9429</v>
      </c>
      <c r="C13982" s="25">
        <v>22500</v>
      </c>
      <c r="D13982" s="22" t="s">
        <v>18700</v>
      </c>
      <c r="E13982" s="22" t="s">
        <v>336</v>
      </c>
      <c r="F13982" s="23" t="str">
        <f>HYPERLINK("https://www.spark-marketing.ru/Card/Lot/71940312",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3982" s="22" t="s">
        <v>63</v>
      </c>
      <c r="H13982" s="22" t="s">
        <v>177</v>
      </c>
      <c r="I13982" s="26">
        <v>43654.444444444402</v>
      </c>
      <c r="J13982" s="28" t="s">
        <v>51</v>
      </c>
      <c r="K13982" s="28" t="s">
        <v>51</v>
      </c>
      <c r="L13982" s="28" t="s">
        <v>51</v>
      </c>
      <c r="M13982" s="28" t="s">
        <v>51</v>
      </c>
      <c r="N13982" s="28" t="s">
        <v>51</v>
      </c>
    </row>
    <row r="13983" spans="1:14" x14ac:dyDescent="0.15">
      <c r="A13983" s="23" t="str">
        <f>HYPERLINK("https://www.spark-marketing.ru/Card/Person/4343663", "МИНЗДРАВ АЛТАЙСКОГО КРАЯ")</f>
        <v>МИНЗДРАВ АЛТАЙСКОГО КРАЯ</v>
      </c>
      <c r="B13983" s="24" t="s">
        <v>9429</v>
      </c>
      <c r="C13983" s="25">
        <v>99390.5</v>
      </c>
      <c r="D13983" s="22" t="s">
        <v>18701</v>
      </c>
      <c r="E13983" s="22" t="s">
        <v>336</v>
      </c>
      <c r="F13983" s="23" t="str">
        <f>HYPERLINK("https://www.spark-marketing.ru/Card/Lot/71939558",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3983" s="22" t="s">
        <v>63</v>
      </c>
      <c r="H13983" s="22" t="s">
        <v>177</v>
      </c>
      <c r="I13983" s="26">
        <v>43654.418749999997</v>
      </c>
      <c r="J13983" s="28" t="s">
        <v>51</v>
      </c>
      <c r="K13983" s="28" t="s">
        <v>51</v>
      </c>
      <c r="L13983" s="28" t="s">
        <v>51</v>
      </c>
      <c r="M13983" s="28" t="s">
        <v>51</v>
      </c>
      <c r="N13983" s="28" t="s">
        <v>51</v>
      </c>
    </row>
    <row r="13984" spans="1:14" x14ac:dyDescent="0.15">
      <c r="A13984" s="23" t="str">
        <f>HYPERLINK("https://www.spark-marketing.ru/Card/Person/1067591", "ОМВД РОССИИ ПО Г. ЕЛЬЦУ")</f>
        <v>ОМВД РОССИИ ПО Г. ЕЛЬЦУ</v>
      </c>
      <c r="B13984" s="24" t="s">
        <v>2898</v>
      </c>
      <c r="C13984" s="25">
        <v>310000</v>
      </c>
      <c r="D13984" s="22" t="s">
        <v>18702</v>
      </c>
      <c r="E13984" s="22" t="s">
        <v>96</v>
      </c>
      <c r="F13984" s="23" t="str">
        <f>HYPERLINK("https://www.spark-marketing.ru/Card/Lot/71958837", "Услуги по обеспечению ежедневным трехразовым горячим питанием")</f>
        <v>Услуги по обеспечению ежедневным трехразовым горячим питанием</v>
      </c>
      <c r="G13984" s="22" t="s">
        <v>101</v>
      </c>
      <c r="H13984" s="22" t="s">
        <v>2900</v>
      </c>
      <c r="I13984" s="26">
        <v>43654.421504629601</v>
      </c>
      <c r="J13984" s="23" t="str">
        <f>HYPERLINK("https://www.spark-marketing.ru/Card/Person/4727749", "Никончук Кристина Андреевна")</f>
        <v>Никончук Кристина Андреевна</v>
      </c>
      <c r="K13984" s="24" t="s">
        <v>2901</v>
      </c>
      <c r="L13984" s="22" t="s">
        <v>10</v>
      </c>
      <c r="M13984" s="28" t="s">
        <v>51</v>
      </c>
      <c r="N13984" s="28" t="s">
        <v>51</v>
      </c>
    </row>
    <row r="13985" spans="1:14" x14ac:dyDescent="0.15">
      <c r="A13985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3985" s="24" t="s">
        <v>3255</v>
      </c>
      <c r="C13985" s="25">
        <v>893467.96</v>
      </c>
      <c r="D13985" s="22" t="s">
        <v>18703</v>
      </c>
      <c r="E13985" s="22" t="s">
        <v>52</v>
      </c>
      <c r="F13985" s="23" t="str">
        <f>HYPERLINK("https://www.spark-marketing.ru/Card/Lot/71938018", "Поставка лекарственного препарата для медицинского применения ""Клопидогрел""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"Клопидогрел"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3985" s="22" t="s">
        <v>210</v>
      </c>
      <c r="H13985" s="22" t="s">
        <v>3257</v>
      </c>
      <c r="I13985" s="26">
        <v>43654.452777777798</v>
      </c>
      <c r="J13985" s="28" t="s">
        <v>51</v>
      </c>
      <c r="K13985" s="28" t="s">
        <v>51</v>
      </c>
      <c r="L13985" s="28" t="s">
        <v>51</v>
      </c>
      <c r="M13985" s="28" t="s">
        <v>51</v>
      </c>
      <c r="N13985" s="28" t="s">
        <v>51</v>
      </c>
    </row>
    <row r="13986" spans="1:14" hidden="1" outlineLevel="1" x14ac:dyDescent="0.2">
      <c r="A13986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3986" s="24" t="s">
        <v>3255</v>
      </c>
      <c r="C13986" s="25">
        <v>893467.96</v>
      </c>
      <c r="D13986" s="22" t="s">
        <v>18703</v>
      </c>
      <c r="E13986" s="22" t="s">
        <v>52</v>
      </c>
      <c r="F13986" s="23" t="str">
        <f>HYPERLINK("https://www.spark-marketing.ru/Card/Lot/71938018", "Поставка лекарственного препарата для медицинского применения ""Клопидогрел""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"Клопидогрел"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3986" s="22" t="s">
        <v>210</v>
      </c>
      <c r="H13986" s="22" t="s">
        <v>3257</v>
      </c>
      <c r="I13986" s="26">
        <v>43654.452777777798</v>
      </c>
      <c r="J13986" s="23" t="str">
        <f>HYPERLINK("https://www.spark-marketing.ru/Card/Person/1645502", "ООО ""ТД ""ВИАЛ""")</f>
        <v>ООО "ТД "ВИАЛ"</v>
      </c>
      <c r="K13986" s="24" t="s">
        <v>2339</v>
      </c>
      <c r="L13986" s="28" t="s">
        <v>51</v>
      </c>
      <c r="M13986" s="25">
        <v>558316.38</v>
      </c>
      <c r="N13986" s="27">
        <v>0.37511314899305398</v>
      </c>
    </row>
    <row r="13987" spans="1:14" hidden="1" outlineLevel="1" x14ac:dyDescent="0.2">
      <c r="A13987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3987" s="24" t="s">
        <v>3255</v>
      </c>
      <c r="C13987" s="25">
        <v>893467.96</v>
      </c>
      <c r="D13987" s="22" t="s">
        <v>18703</v>
      </c>
      <c r="E13987" s="22" t="s">
        <v>52</v>
      </c>
      <c r="F13987" s="23" t="str">
        <f>HYPERLINK("https://www.spark-marketing.ru/Card/Lot/71938018", "Поставка лекарственного препарата для медицинского применения ""Клопидогрел""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"Клопидогрел"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3987" s="22" t="s">
        <v>210</v>
      </c>
      <c r="H13987" s="22" t="s">
        <v>3257</v>
      </c>
      <c r="I13987" s="26">
        <v>43654.452777777798</v>
      </c>
      <c r="J13987" s="23" t="str">
        <f>HYPERLINK("https://www.spark-marketing.ru/Card/Person/57167", "ООО ""АЛЬБАТРОС""")</f>
        <v>ООО "АЛЬБАТРОС"</v>
      </c>
      <c r="K13987" s="24" t="s">
        <v>18704</v>
      </c>
      <c r="L13987" s="28" t="s">
        <v>51</v>
      </c>
      <c r="M13987" s="25">
        <v>880000</v>
      </c>
      <c r="N13987" s="27">
        <v>1.5073802982258033E-2</v>
      </c>
    </row>
    <row r="13988" spans="1:14" ht="12.75" hidden="1" outlineLevel="1" x14ac:dyDescent="0.2">
      <c r="A13988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3988" s="24" t="s">
        <v>3255</v>
      </c>
      <c r="C13988" s="25">
        <v>893467.96</v>
      </c>
      <c r="D13988" s="22" t="s">
        <v>18703</v>
      </c>
      <c r="E13988" s="22" t="s">
        <v>52</v>
      </c>
      <c r="F13988" s="23" t="str">
        <f>HYPERLINK("https://www.spark-marketing.ru/Card/Lot/71938018", "Поставка лекарственного препарата для медицинского применения ""Клопидогрел""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"Клопидогрел"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3988" s="22" t="s">
        <v>210</v>
      </c>
      <c r="H13988" s="22" t="s">
        <v>3257</v>
      </c>
      <c r="I13988" s="26">
        <v>43654.452777777798</v>
      </c>
      <c r="J13988" s="23" t="str">
        <f>HYPERLINK("https://www.spark-marketing.ru/Card/Person/129282", "ООО ""КОМПАНИЯ ""ХАБАРОВСКАЯ ФАРМАЦИЯ""")</f>
        <v>ООО "КОМПАНИЯ "ХАБАРОВСКАЯ ФАРМАЦИЯ"</v>
      </c>
      <c r="K13988" s="24" t="s">
        <v>18705</v>
      </c>
      <c r="L13988" s="22" t="s">
        <v>10</v>
      </c>
      <c r="M13988" s="25">
        <v>562786.38</v>
      </c>
      <c r="N13988" s="27">
        <v>0.37011017160592979</v>
      </c>
    </row>
    <row r="13989" spans="1:14" hidden="1" outlineLevel="1" x14ac:dyDescent="0.2">
      <c r="A13989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3989" s="24" t="s">
        <v>3255</v>
      </c>
      <c r="C13989" s="25">
        <v>893467.96</v>
      </c>
      <c r="D13989" s="22" t="s">
        <v>18703</v>
      </c>
      <c r="E13989" s="22" t="s">
        <v>52</v>
      </c>
      <c r="F13989" s="23" t="str">
        <f>HYPERLINK("https://www.spark-marketing.ru/Card/Lot/71938018", "Поставка лекарственного препарата для медицинского применения ""Клопидогрел""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"Клопидогрел"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3989" s="22" t="s">
        <v>210</v>
      </c>
      <c r="H13989" s="22" t="s">
        <v>3257</v>
      </c>
      <c r="I13989" s="26">
        <v>43654.452777777798</v>
      </c>
      <c r="J13989" s="23" t="str">
        <f>HYPERLINK("https://www.spark-marketing.ru/Card/Person/4354560", "ООО ""НАДЕЖДА-ФАРМ""")</f>
        <v>ООО "НАДЕЖДА-ФАРМ"</v>
      </c>
      <c r="K13989" s="24" t="s">
        <v>15644</v>
      </c>
      <c r="L13989" s="28" t="s">
        <v>51</v>
      </c>
      <c r="M13989" s="25">
        <v>790719.14</v>
      </c>
      <c r="N13989" s="27">
        <v>0.11500000514847784</v>
      </c>
    </row>
    <row r="13990" spans="1:14" x14ac:dyDescent="0.2">
      <c r="A13990" s="23" t="str">
        <f>HYPERLINK("https://www.spark-marketing.ru/Card/Person/1075699", "КОУ ""СУРГУТСКАЯ ШКОЛА ДЛЯ ОБУЧАЮЩИХСЯ С ОГРАНИЧЕННЫМИ ВОЗМОЖНОСТЯМИ ЗДОРОВЬЯ""")</f>
        <v>КОУ "СУРГУТСКАЯ ШКОЛА ДЛЯ ОБУЧАЮЩИХСЯ С ОГРАНИЧЕННЫМИ ВОЗМОЖНОСТЯМИ ЗДОРОВЬЯ"</v>
      </c>
      <c r="B13990" s="24" t="s">
        <v>18706</v>
      </c>
      <c r="C13990" s="25">
        <v>2104704</v>
      </c>
      <c r="D13990" s="22" t="s">
        <v>18707</v>
      </c>
      <c r="E13990" s="22" t="s">
        <v>48</v>
      </c>
      <c r="F13990" s="23" t="str">
        <f>HYPERLINK("https://www.spark-marketing.ru/Card/Lot/71960875", "Услуги по организации питания учащихся")</f>
        <v>Услуги по организации питания учащихся</v>
      </c>
      <c r="G13990" s="22" t="s">
        <v>97</v>
      </c>
      <c r="H13990" s="22" t="s">
        <v>3533</v>
      </c>
      <c r="I13990" s="26">
        <v>43654.427731481497</v>
      </c>
      <c r="J13990" s="23" t="str">
        <f>HYPERLINK("https://www.spark-marketing.ru/Card/Person/100997", "ООО ""ВКУСНОДЕЙ""")</f>
        <v>ООО "ВКУСНОДЕЙ"</v>
      </c>
      <c r="K13990" s="24" t="s">
        <v>4185</v>
      </c>
      <c r="L13990" s="28" t="s">
        <v>51</v>
      </c>
      <c r="M13990" s="25">
        <v>2104704</v>
      </c>
      <c r="N13990" s="27">
        <v>0</v>
      </c>
    </row>
    <row r="13991" spans="1:14" x14ac:dyDescent="0.15">
      <c r="A13991" s="23" t="str">
        <f>HYPERLINK("https://www.spark-marketing.ru/Card/Person/25854", "УМВД РОССИИ ПО ПРИМОРСКОМУ КРАЮ")</f>
        <v>УМВД РОССИИ ПО ПРИМОРСКОМУ КРАЮ</v>
      </c>
      <c r="B13991" s="24" t="s">
        <v>12785</v>
      </c>
      <c r="C13991" s="25">
        <v>800000</v>
      </c>
      <c r="D13991" s="22" t="s">
        <v>18708</v>
      </c>
      <c r="E13991" s="22" t="s">
        <v>96</v>
      </c>
      <c r="F13991" s="23" t="str">
        <f>HYPERLINK("https://www.spark-marketing.ru/Card/Lot/71937969", "оказание услуг по доставке горячего питания")</f>
        <v>оказание услуг по доставке горячего питания</v>
      </c>
      <c r="G13991" s="22" t="s">
        <v>543</v>
      </c>
      <c r="H13991" s="22" t="s">
        <v>1440</v>
      </c>
      <c r="I13991" s="26">
        <v>43654.399305555598</v>
      </c>
      <c r="J13991" s="23" t="str">
        <f>HYPERLINK("https://www.spark-marketing.ru/Card/Person/6431449", "ООО ""ФУДСЕРВИС""")</f>
        <v>ООО "ФУДСЕРВИС"</v>
      </c>
      <c r="K13991" s="24" t="s">
        <v>7488</v>
      </c>
      <c r="L13991" s="22" t="s">
        <v>10</v>
      </c>
      <c r="M13991" s="28" t="s">
        <v>51</v>
      </c>
      <c r="N13991" s="28" t="s">
        <v>51</v>
      </c>
    </row>
    <row r="13992" spans="1:14" x14ac:dyDescent="0.15">
      <c r="A13992" s="23" t="str">
        <f>HYPERLINK("https://www.spark-marketing.ru/Card/Person/245339", "ГБУЗ ""ПКПБ №5""")</f>
        <v>ГБУЗ "ПКПБ №5"</v>
      </c>
      <c r="B13992" s="24" t="s">
        <v>18709</v>
      </c>
      <c r="C13992" s="25">
        <v>184591.44</v>
      </c>
      <c r="D13992" s="22" t="s">
        <v>18710</v>
      </c>
      <c r="E13992" s="22" t="s">
        <v>362</v>
      </c>
      <c r="F13992" s="23" t="str">
        <f>HYPERLINK("https://www.spark-marketing.ru/Card/Lot/71936195", "Услуги по приготовлению и отпуску питания больным находящихся на стационарном лечении в ГБУЗ ""ПКПБ №5""")</f>
        <v>Услуги по приготовлению и отпуску питания больным находящихся на стационарном лечении в ГБУЗ "ПКПБ №5"</v>
      </c>
      <c r="G13992" s="22" t="s">
        <v>543</v>
      </c>
      <c r="H13992" s="22" t="s">
        <v>543</v>
      </c>
      <c r="I13992" s="26">
        <v>43654.3885532407</v>
      </c>
      <c r="J13992" s="28" t="s">
        <v>51</v>
      </c>
      <c r="K13992" s="28" t="s">
        <v>51</v>
      </c>
      <c r="L13992" s="28" t="s">
        <v>51</v>
      </c>
      <c r="M13992" s="28" t="s">
        <v>51</v>
      </c>
      <c r="N13992" s="28" t="s">
        <v>51</v>
      </c>
    </row>
    <row r="13993" spans="1:14" x14ac:dyDescent="0.15">
      <c r="A13993" s="23" t="str">
        <f>HYPERLINK("https://www.spark-marketing.ru/Card/Person/137772", "ОТДЕЛ МВД РОССИИ ПО ЕЛАБУЖСКОМУ РАЙОНУ")</f>
        <v>ОТДЕЛ МВД РОССИИ ПО ЕЛАБУЖСКОМУ РАЙОНУ</v>
      </c>
      <c r="B13993" s="24" t="s">
        <v>12647</v>
      </c>
      <c r="C13993" s="25">
        <v>950000</v>
      </c>
      <c r="D13993" s="22" t="s">
        <v>18711</v>
      </c>
      <c r="E13993" s="22" t="s">
        <v>48</v>
      </c>
      <c r="F13993" s="23" t="str">
        <f>HYPERLINK("https://www.spark-marketing.ru/Card/Lot/71962814", "Прочая закупка товаров, работ и услуг (Услуги по обеспечению питание ИВС, СП, КЗСЛ)")</f>
        <v>Прочая закупка товаров, работ и услуг (Услуги по обеспечению питание ИВС, СП, КЗСЛ)</v>
      </c>
      <c r="G13993" s="22" t="s">
        <v>217</v>
      </c>
      <c r="H13993" s="22" t="s">
        <v>12649</v>
      </c>
      <c r="I13993" s="26">
        <v>43654.415219907401</v>
      </c>
      <c r="J13993" s="28" t="s">
        <v>51</v>
      </c>
      <c r="K13993" s="28" t="s">
        <v>51</v>
      </c>
      <c r="L13993" s="28" t="s">
        <v>51</v>
      </c>
      <c r="M13993" s="28" t="s">
        <v>51</v>
      </c>
      <c r="N13993" s="28" t="s">
        <v>51</v>
      </c>
    </row>
    <row r="13994" spans="1:14" x14ac:dyDescent="0.2">
      <c r="A13994" s="23" t="str">
        <f>HYPERLINK("https://www.spark-marketing.ru/Card/Person/53085", "АО ""ИООСАБ""")</f>
        <v>АО "ИООСАБ"</v>
      </c>
      <c r="B13994" s="24" t="s">
        <v>2445</v>
      </c>
      <c r="C13994" s="25">
        <v>440000</v>
      </c>
      <c r="D13994" s="22" t="s">
        <v>18712</v>
      </c>
      <c r="E13994" s="22" t="s">
        <v>3561</v>
      </c>
      <c r="F13994" s="23" t="str">
        <f>HYPERLINK("https://www.spark-marketing.ru/Card/Lot/71936433", "Оказание услуг по отпуску лекарственных препаратов, для организации обеспечения отдельных категорий граждан дополнительной бесплатной медицинской помощью в части обеспечения необходимыми лекарственными препаратами, медицинскими изделиями, а также спе...")</f>
        <v>Оказание услуг по отпуску лекарственных препаратов, для организации обеспечения отдельных категорий граждан дополнительной бесплатной медицинской помощью в части обеспечения необходимыми лекарственными препаратами, медицинскими изделиями, а также спе...</v>
      </c>
      <c r="G13994" s="22" t="s">
        <v>263</v>
      </c>
      <c r="H13994" s="22" t="s">
        <v>2768</v>
      </c>
      <c r="I13994" s="26">
        <v>43654.375601851898</v>
      </c>
      <c r="J13994" s="28" t="s">
        <v>51</v>
      </c>
      <c r="K13994" s="28" t="s">
        <v>51</v>
      </c>
      <c r="L13994" s="22" t="s">
        <v>10</v>
      </c>
      <c r="M13994" s="25">
        <v>440000</v>
      </c>
      <c r="N13994" s="27">
        <v>0</v>
      </c>
    </row>
    <row r="13995" spans="1:14" x14ac:dyDescent="0.15">
      <c r="A13995" s="23" t="str">
        <f>HYPERLINK("https://www.spark-marketing.ru/Card/Person/34275", "БУ ""СОВЕТСКАЯ ПСИХОНЕВРОЛОГИЧЕСКАЯ БОЛЬНИЦА""")</f>
        <v>БУ "СОВЕТСКАЯ ПСИХОНЕВРОЛОГИЧЕСКАЯ БОЛЬНИЦА"</v>
      </c>
      <c r="B13995" s="24" t="s">
        <v>18713</v>
      </c>
      <c r="C13995" s="25">
        <v>167646.32</v>
      </c>
      <c r="D13995" s="22" t="s">
        <v>18714</v>
      </c>
      <c r="E13995" s="22" t="s">
        <v>1807</v>
      </c>
      <c r="F13995" s="23" t="str">
        <f>HYPERLINK("https://www.spark-marketing.ru/Card/Lot/71938492", "Оказание услуг по изготовлению печатной продукции")</f>
        <v>Оказание услуг по изготовлению печатной продукции</v>
      </c>
      <c r="G13995" s="22" t="s">
        <v>97</v>
      </c>
      <c r="H13995" s="22" t="s">
        <v>869</v>
      </c>
      <c r="I13995" s="26">
        <v>43654.379166666702</v>
      </c>
      <c r="J13995" s="28" t="s">
        <v>51</v>
      </c>
      <c r="K13995" s="28" t="s">
        <v>51</v>
      </c>
      <c r="L13995" s="28" t="s">
        <v>51</v>
      </c>
      <c r="M13995" s="28" t="s">
        <v>51</v>
      </c>
      <c r="N13995" s="28" t="s">
        <v>51</v>
      </c>
    </row>
    <row r="13996" spans="1:14" ht="12.75" hidden="1" outlineLevel="1" x14ac:dyDescent="0.2">
      <c r="A13996" s="23" t="str">
        <f>HYPERLINK("https://www.spark-marketing.ru/Card/Person/34275", "БУ ""СОВЕТСКАЯ ПСИХОНЕВРОЛОГИЧЕСКАЯ БОЛЬНИЦА""")</f>
        <v>БУ "СОВЕТСКАЯ ПСИХОНЕВРОЛОГИЧЕСКАЯ БОЛЬНИЦА"</v>
      </c>
      <c r="B13996" s="24" t="s">
        <v>18713</v>
      </c>
      <c r="C13996" s="25">
        <v>167646.32</v>
      </c>
      <c r="D13996" s="22" t="s">
        <v>18714</v>
      </c>
      <c r="E13996" s="22" t="s">
        <v>1807</v>
      </c>
      <c r="F13996" s="23" t="str">
        <f>HYPERLINK("https://www.spark-marketing.ru/Card/Lot/71938492", "Оказание услуг по изготовлению печатной продукции")</f>
        <v>Оказание услуг по изготовлению печатной продукции</v>
      </c>
      <c r="G13996" s="22" t="s">
        <v>97</v>
      </c>
      <c r="H13996" s="22" t="s">
        <v>869</v>
      </c>
      <c r="I13996" s="26">
        <v>43654.379166666702</v>
      </c>
      <c r="J13996" s="23" t="str">
        <f>HYPERLINK("https://www.spark-marketing.ru/Card/Person/87072", "ООО ""ПЕЧАТНИК""")</f>
        <v>ООО "ПЕЧАТНИК"</v>
      </c>
      <c r="K13996" s="24" t="s">
        <v>7832</v>
      </c>
      <c r="L13996" s="22" t="s">
        <v>10</v>
      </c>
      <c r="M13996" s="25">
        <v>139161.76999999999</v>
      </c>
      <c r="N13996" s="27">
        <v>0.16990859089540408</v>
      </c>
    </row>
    <row r="13997" spans="1:14" hidden="1" outlineLevel="1" x14ac:dyDescent="0.2">
      <c r="A13997" s="23" t="str">
        <f>HYPERLINK("https://www.spark-marketing.ru/Card/Person/34275", "БУ ""СОВЕТСКАЯ ПСИХОНЕВРОЛОГИЧЕСКАЯ БОЛЬНИЦА""")</f>
        <v>БУ "СОВЕТСКАЯ ПСИХОНЕВРОЛОГИЧЕСКАЯ БОЛЬНИЦА"</v>
      </c>
      <c r="B13997" s="24" t="s">
        <v>18713</v>
      </c>
      <c r="C13997" s="25">
        <v>167646.32</v>
      </c>
      <c r="D13997" s="22" t="s">
        <v>18714</v>
      </c>
      <c r="E13997" s="22" t="s">
        <v>1807</v>
      </c>
      <c r="F13997" s="23" t="str">
        <f>HYPERLINK("https://www.spark-marketing.ru/Card/Lot/71938492", "Оказание услуг по изготовлению печатной продукции")</f>
        <v>Оказание услуг по изготовлению печатной продукции</v>
      </c>
      <c r="G13997" s="22" t="s">
        <v>97</v>
      </c>
      <c r="H13997" s="22" t="s">
        <v>869</v>
      </c>
      <c r="I13997" s="26">
        <v>43654.379166666702</v>
      </c>
      <c r="J13997" s="23" t="str">
        <f>HYPERLINK("https://www.spark-marketing.ru/Card/Person/63905", "ООО ""АКЦЕНТ""")</f>
        <v>ООО "АКЦЕНТ"</v>
      </c>
      <c r="K13997" s="24" t="s">
        <v>5170</v>
      </c>
      <c r="L13997" s="28" t="s">
        <v>51</v>
      </c>
      <c r="M13997" s="25">
        <v>140000</v>
      </c>
      <c r="N13997" s="27">
        <v>0.1649086004393058</v>
      </c>
    </row>
    <row r="13998" spans="1:14" x14ac:dyDescent="0.15">
      <c r="A13998" s="23" t="str">
        <f>HYPERLINK("https://www.spark-marketing.ru/Card/Person/34485", "АДМИНИСТРАЦИЯ ГЛАВЫ РЕСПУБЛИКИ КОМИ")</f>
        <v>АДМИНИСТРАЦИЯ ГЛАВЫ РЕСПУБЛИКИ КОМИ</v>
      </c>
      <c r="B13998" s="24" t="s">
        <v>18715</v>
      </c>
      <c r="C13998" s="25">
        <v>1420800</v>
      </c>
      <c r="D13998" s="22" t="s">
        <v>18716</v>
      </c>
      <c r="E13998" s="22" t="s">
        <v>67</v>
      </c>
      <c r="F13998" s="23" t="str">
        <f>HYPERLINK("https://www.spark-marketing.ru/Card/Lot/71960455", "Оказание услуг по организации питания участников официальных приемов делегаций (по мероприятиям)")</f>
        <v>Оказание услуг по организации питания участников официальных приемов делегаций (по мероприятиям)</v>
      </c>
      <c r="G13998" s="22" t="s">
        <v>271</v>
      </c>
      <c r="H13998" s="22" t="s">
        <v>271</v>
      </c>
      <c r="I13998" s="26">
        <v>43654.369756944398</v>
      </c>
      <c r="J13998" s="23" t="str">
        <f>HYPERLINK("https://www.spark-marketing.ru/Card/Person/80693", "ООО ""ДЕЛЬТА""")</f>
        <v>ООО "ДЕЛЬТА"</v>
      </c>
      <c r="K13998" s="24" t="s">
        <v>18717</v>
      </c>
      <c r="L13998" s="22" t="s">
        <v>10</v>
      </c>
      <c r="M13998" s="28" t="s">
        <v>51</v>
      </c>
      <c r="N13998" s="28" t="s">
        <v>51</v>
      </c>
    </row>
    <row r="13999" spans="1:14" x14ac:dyDescent="0.15">
      <c r="A13999" s="23" t="str">
        <f>HYPERLINK("https://www.spark-marketing.ru/Card/Person/10599", "МБУЗ ""ЦРБ"" СЕМИКАРАКОРСКОГО РАЙОНА")</f>
        <v>МБУЗ "ЦРБ" СЕМИКАРАКОРСКОГО РАЙОНА</v>
      </c>
      <c r="B13999" s="24" t="s">
        <v>16112</v>
      </c>
      <c r="C13999" s="25">
        <v>2200948.04</v>
      </c>
      <c r="D13999" s="22" t="s">
        <v>18718</v>
      </c>
      <c r="E13999" s="22" t="s">
        <v>48</v>
      </c>
      <c r="F13999" s="23" t="str">
        <f>HYPERLINK("https://www.spark-marketing.ru/Card/Lot/71962074", "Услуги по доставке и обеспечению готовыми блюдами горячего питания больных стационарных отделений МБУЗ «ЦРБ» Семикаракорского района")</f>
        <v>Услуги по доставке и обеспечению готовыми блюдами горячего питания больных стационарных отделений МБУЗ «ЦРБ» Семикаракорского района</v>
      </c>
      <c r="G13999" s="22" t="s">
        <v>267</v>
      </c>
      <c r="H13999" s="22" t="s">
        <v>267</v>
      </c>
      <c r="I13999" s="26">
        <v>43654.3464930556</v>
      </c>
      <c r="J13999" s="28" t="s">
        <v>51</v>
      </c>
      <c r="K13999" s="28" t="s">
        <v>51</v>
      </c>
      <c r="L13999" s="28" t="s">
        <v>51</v>
      </c>
      <c r="M13999" s="28" t="s">
        <v>51</v>
      </c>
      <c r="N13999" s="28" t="s">
        <v>51</v>
      </c>
    </row>
    <row r="14000" spans="1:14" x14ac:dyDescent="0.15">
      <c r="A14000" s="23" t="str">
        <f>HYPERLINK("https://www.spark-marketing.ru/Card/Person/8783", "ФГБОУ ВО ""СГУ ИМ. ПИТИРИМА СОРОКИНА""")</f>
        <v>ФГБОУ ВО "СГУ ИМ. ПИТИРИМА СОРОКИНА"</v>
      </c>
      <c r="B14000" s="24" t="s">
        <v>1919</v>
      </c>
      <c r="C14000" s="25">
        <v>215712</v>
      </c>
      <c r="D14000" s="22" t="s">
        <v>18719</v>
      </c>
      <c r="E14000" s="22" t="s">
        <v>362</v>
      </c>
      <c r="F14000" s="23" t="str">
        <f>HYPERLINK("https://www.spark-marketing.ru/Card/Lot/71939381", "Оказание услуг по организации питания для участников «Курсов финского языка и культуры - 2019»")</f>
        <v>Оказание услуг по организации питания для участников «Курсов финского языка и культуры - 2019»</v>
      </c>
      <c r="G14000" s="22" t="s">
        <v>271</v>
      </c>
      <c r="H14000" s="22" t="s">
        <v>271</v>
      </c>
      <c r="I14000" s="26">
        <v>43654.3532291667</v>
      </c>
      <c r="J14000" s="28" t="s">
        <v>51</v>
      </c>
      <c r="K14000" s="28" t="s">
        <v>51</v>
      </c>
      <c r="L14000" s="28" t="s">
        <v>51</v>
      </c>
      <c r="M14000" s="28" t="s">
        <v>51</v>
      </c>
      <c r="N14000" s="28" t="s">
        <v>51</v>
      </c>
    </row>
    <row r="14001" spans="1:14" x14ac:dyDescent="0.15">
      <c r="A14001" s="23" t="str">
        <f>HYPERLINK("https://www.spark-marketing.ru/Card/Person/4856154", "КГБУЗ ""АККПЦ""")</f>
        <v>КГБУЗ "АККПЦ"</v>
      </c>
      <c r="B14001" s="24" t="s">
        <v>175</v>
      </c>
      <c r="C14001" s="25">
        <v>963036</v>
      </c>
      <c r="D14001" s="22" t="s">
        <v>18720</v>
      </c>
      <c r="E14001" s="22" t="s">
        <v>603</v>
      </c>
      <c r="F14001" s="23" t="str">
        <f>HYPERLINK("https://www.spark-marketing.ru/Card/Lot/71938120", "Оказание услуг по метрологической поверке медицинского оборудования")</f>
        <v>Оказание услуг по метрологической поверке медицинского оборудования</v>
      </c>
      <c r="G14001" s="22" t="s">
        <v>63</v>
      </c>
      <c r="H14001" s="22" t="s">
        <v>177</v>
      </c>
      <c r="I14001" s="26">
        <v>43654.318055555603</v>
      </c>
      <c r="J14001" s="23" t="str">
        <f>HYPERLINK("https://www.spark-marketing.ru/Card/Person/718297", "ООО ""МЕДТЕХСТАНДАРТ""")</f>
        <v>ООО "МЕДТЕХСТАНДАРТ"</v>
      </c>
      <c r="K14001" s="24" t="s">
        <v>18721</v>
      </c>
      <c r="L14001" s="22" t="s">
        <v>10</v>
      </c>
      <c r="M14001" s="28" t="s">
        <v>51</v>
      </c>
      <c r="N14001" s="28" t="s">
        <v>51</v>
      </c>
    </row>
    <row r="14002" spans="1:14" x14ac:dyDescent="0.15">
      <c r="A14002" s="23" t="str">
        <f>HYPERLINK("https://www.spark-marketing.ru/Card/Person/150477", "ОТДЕЛ МВД РОССИИ ПО КРАСНОАРМЕЙСКОМУ РАЙОНУ ЧЕЛЯБИНСКОЙ ОБЛАСТИ")</f>
        <v>ОТДЕЛ МВД РОССИИ ПО КРАСНОАРМЕЙСКОМУ РАЙОНУ ЧЕЛЯБИНСКОЙ ОБЛАСТИ</v>
      </c>
      <c r="B14002" s="24" t="s">
        <v>3944</v>
      </c>
      <c r="C14002" s="25">
        <v>35000</v>
      </c>
      <c r="D14002" s="22" t="s">
        <v>18722</v>
      </c>
      <c r="E14002" s="22" t="s">
        <v>91</v>
      </c>
      <c r="F14002" s="23" t="str">
        <f>HYPERLINK("https://www.spark-marketing.ru/Card/Lot/71936889", "Услуги")</f>
        <v>Услуги</v>
      </c>
      <c r="G14002" s="22" t="s">
        <v>469</v>
      </c>
      <c r="H14002" s="22" t="s">
        <v>3946</v>
      </c>
      <c r="I14002" s="26">
        <v>43654.293761574103</v>
      </c>
      <c r="J14002" s="28" t="s">
        <v>51</v>
      </c>
      <c r="K14002" s="28" t="s">
        <v>51</v>
      </c>
      <c r="L14002" s="28" t="s">
        <v>51</v>
      </c>
      <c r="M14002" s="28" t="s">
        <v>51</v>
      </c>
      <c r="N14002" s="28" t="s">
        <v>51</v>
      </c>
    </row>
    <row r="14003" spans="1:14" x14ac:dyDescent="0.15">
      <c r="A14003" s="23" t="str">
        <f>HYPERLINK("https://www.spark-marketing.ru/Card/Person/4346769", "МИНОБРНАУКИ РД")</f>
        <v>МИНОБРНАУКИ РД</v>
      </c>
      <c r="B14003" s="24" t="s">
        <v>18723</v>
      </c>
      <c r="C14003" s="25">
        <v>126000</v>
      </c>
      <c r="D14003" s="22" t="s">
        <v>18724</v>
      </c>
      <c r="E14003" s="22" t="s">
        <v>52</v>
      </c>
      <c r="F14003" s="23" t="str">
        <f>HYPERLINK("https://www.spark-marketing.ru/Card/Lot/73767485", "Услуги по организации питания")</f>
        <v>Услуги по организации питания</v>
      </c>
      <c r="G14003" s="22" t="s">
        <v>1607</v>
      </c>
      <c r="H14003" s="22" t="s">
        <v>1608</v>
      </c>
      <c r="I14003" s="26">
        <v>43654.340972222199</v>
      </c>
      <c r="J14003" s="28" t="s">
        <v>51</v>
      </c>
      <c r="K14003" s="28" t="s">
        <v>51</v>
      </c>
      <c r="L14003" s="28" t="s">
        <v>51</v>
      </c>
      <c r="M14003" s="28" t="s">
        <v>51</v>
      </c>
      <c r="N14003" s="28" t="s">
        <v>51</v>
      </c>
    </row>
    <row r="14004" spans="1:14" x14ac:dyDescent="0.15">
      <c r="A14004" s="23" t="str">
        <f>HYPERLINK("https://www.spark-marketing.ru/Card/Person/4346769", "МИНОБРНАУКИ РД")</f>
        <v>МИНОБРНАУКИ РД</v>
      </c>
      <c r="B14004" s="24" t="s">
        <v>18723</v>
      </c>
      <c r="C14004" s="25">
        <v>252000</v>
      </c>
      <c r="D14004" s="22" t="s">
        <v>18725</v>
      </c>
      <c r="E14004" s="22" t="s">
        <v>52</v>
      </c>
      <c r="F14004" s="23" t="str">
        <f>HYPERLINK("https://www.spark-marketing.ru/Card/Lot/73767482", "Услуги по организации питания")</f>
        <v>Услуги по организации питания</v>
      </c>
      <c r="G14004" s="22" t="s">
        <v>1607</v>
      </c>
      <c r="H14004" s="22" t="s">
        <v>1608</v>
      </c>
      <c r="I14004" s="26">
        <v>43654.340972222199</v>
      </c>
      <c r="J14004" s="28" t="s">
        <v>51</v>
      </c>
      <c r="K14004" s="28" t="s">
        <v>51</v>
      </c>
      <c r="L14004" s="28" t="s">
        <v>51</v>
      </c>
      <c r="M14004" s="28" t="s">
        <v>51</v>
      </c>
      <c r="N14004" s="28" t="s">
        <v>51</v>
      </c>
    </row>
    <row r="14005" spans="1:14" x14ac:dyDescent="0.15">
      <c r="A14005" s="23" t="str">
        <f>HYPERLINK("https://www.spark-marketing.ru/Card/Person/30759", "ПАО ""МТС""")</f>
        <v>ПАО "МТС"</v>
      </c>
      <c r="B14005" s="24" t="s">
        <v>7929</v>
      </c>
      <c r="C14005" s="28" t="s">
        <v>51</v>
      </c>
      <c r="D14005" s="28" t="s">
        <v>51</v>
      </c>
      <c r="E14005" s="22" t="s">
        <v>52</v>
      </c>
      <c r="F14005" s="23" t="str">
        <f>HYPERLINK("https://www.spark-marketing.ru/Card/Lot/71946511", "-. Запрос информации (RFI): Оказание услуг по организации и обслуживания питания отдыхающих пансиона...")</f>
        <v>-. Запрос информации (RFI): Оказание услуг по организации и обслуживания питания отдыхающих пансиона...</v>
      </c>
      <c r="G14005" s="22" t="s">
        <v>56</v>
      </c>
      <c r="H14005" s="22" t="s">
        <v>56</v>
      </c>
      <c r="I14005" s="26">
        <v>43654</v>
      </c>
      <c r="J14005" s="28" t="s">
        <v>51</v>
      </c>
      <c r="K14005" s="28" t="s">
        <v>51</v>
      </c>
      <c r="L14005" s="28" t="s">
        <v>51</v>
      </c>
      <c r="M14005" s="28" t="s">
        <v>51</v>
      </c>
      <c r="N14005" s="28" t="s">
        <v>51</v>
      </c>
    </row>
    <row r="14006" spans="1:14" x14ac:dyDescent="0.15">
      <c r="A14006" s="23" t="str">
        <f t="shared" ref="A14006:A14025" si="465">HYPERLINK("https://www.spark-marketing.ru/Card/Person/4346769", "МИНОБРНАУКИ РД")</f>
        <v>МИНОБРНАУКИ РД</v>
      </c>
      <c r="B14006" s="24" t="s">
        <v>18723</v>
      </c>
      <c r="C14006" s="25">
        <v>252000</v>
      </c>
      <c r="D14006" s="22" t="s">
        <v>18726</v>
      </c>
      <c r="E14006" s="22" t="s">
        <v>52</v>
      </c>
      <c r="F14006" s="23" t="str">
        <f>HYPERLINK("https://www.spark-marketing.ru/Card/Lot/73767508", "Услуги по организации питания")</f>
        <v>Услуги по организации питания</v>
      </c>
      <c r="G14006" s="22" t="s">
        <v>1607</v>
      </c>
      <c r="H14006" s="22" t="s">
        <v>1608</v>
      </c>
      <c r="I14006" s="26">
        <v>43654.341666666704</v>
      </c>
      <c r="J14006" s="28" t="s">
        <v>51</v>
      </c>
      <c r="K14006" s="28" t="s">
        <v>51</v>
      </c>
      <c r="L14006" s="28" t="s">
        <v>51</v>
      </c>
      <c r="M14006" s="28" t="s">
        <v>51</v>
      </c>
      <c r="N14006" s="28" t="s">
        <v>51</v>
      </c>
    </row>
    <row r="14007" spans="1:14" x14ac:dyDescent="0.15">
      <c r="A14007" s="23" t="str">
        <f t="shared" si="465"/>
        <v>МИНОБРНАУКИ РД</v>
      </c>
      <c r="B14007" s="24" t="s">
        <v>18723</v>
      </c>
      <c r="C14007" s="25">
        <v>252000</v>
      </c>
      <c r="D14007" s="22" t="s">
        <v>18727</v>
      </c>
      <c r="E14007" s="22" t="s">
        <v>52</v>
      </c>
      <c r="F14007" s="23" t="str">
        <f>HYPERLINK("https://www.spark-marketing.ru/Card/Lot/73767395", "Услуги по организации питания")</f>
        <v>Услуги по организации питания</v>
      </c>
      <c r="G14007" s="22" t="s">
        <v>1607</v>
      </c>
      <c r="H14007" s="22" t="s">
        <v>1608</v>
      </c>
      <c r="I14007" s="26">
        <v>43654.334027777797</v>
      </c>
      <c r="J14007" s="28" t="s">
        <v>51</v>
      </c>
      <c r="K14007" s="28" t="s">
        <v>51</v>
      </c>
      <c r="L14007" s="28" t="s">
        <v>51</v>
      </c>
      <c r="M14007" s="28" t="s">
        <v>51</v>
      </c>
      <c r="N14007" s="28" t="s">
        <v>51</v>
      </c>
    </row>
    <row r="14008" spans="1:14" x14ac:dyDescent="0.15">
      <c r="A14008" s="23" t="str">
        <f t="shared" si="465"/>
        <v>МИНОБРНАУКИ РД</v>
      </c>
      <c r="B14008" s="24" t="s">
        <v>18723</v>
      </c>
      <c r="C14008" s="25">
        <v>252000</v>
      </c>
      <c r="D14008" s="22" t="s">
        <v>18728</v>
      </c>
      <c r="E14008" s="22" t="s">
        <v>52</v>
      </c>
      <c r="F14008" s="23" t="str">
        <f>HYPERLINK("https://www.spark-marketing.ru/Card/Lot/73767484", "Услуги по организации питания")</f>
        <v>Услуги по организации питания</v>
      </c>
      <c r="G14008" s="22" t="s">
        <v>1607</v>
      </c>
      <c r="H14008" s="22" t="s">
        <v>1608</v>
      </c>
      <c r="I14008" s="26">
        <v>43654.340972222199</v>
      </c>
      <c r="J14008" s="28" t="s">
        <v>51</v>
      </c>
      <c r="K14008" s="28" t="s">
        <v>51</v>
      </c>
      <c r="L14008" s="28" t="s">
        <v>51</v>
      </c>
      <c r="M14008" s="28" t="s">
        <v>51</v>
      </c>
      <c r="N14008" s="28" t="s">
        <v>51</v>
      </c>
    </row>
    <row r="14009" spans="1:14" x14ac:dyDescent="0.15">
      <c r="A14009" s="23" t="str">
        <f t="shared" si="465"/>
        <v>МИНОБРНАУКИ РД</v>
      </c>
      <c r="B14009" s="24" t="s">
        <v>18723</v>
      </c>
      <c r="C14009" s="25">
        <v>252000</v>
      </c>
      <c r="D14009" s="22" t="s">
        <v>18729</v>
      </c>
      <c r="E14009" s="22" t="s">
        <v>52</v>
      </c>
      <c r="F14009" s="23" t="str">
        <f>HYPERLINK("https://www.spark-marketing.ru/Card/Lot/73767427", "Услуги по организации питания")</f>
        <v>Услуги по организации питания</v>
      </c>
      <c r="G14009" s="22" t="s">
        <v>1607</v>
      </c>
      <c r="H14009" s="22" t="s">
        <v>1608</v>
      </c>
      <c r="I14009" s="26">
        <v>43654.337500000001</v>
      </c>
      <c r="J14009" s="28" t="s">
        <v>51</v>
      </c>
      <c r="K14009" s="28" t="s">
        <v>51</v>
      </c>
      <c r="L14009" s="28" t="s">
        <v>51</v>
      </c>
      <c r="M14009" s="28" t="s">
        <v>51</v>
      </c>
      <c r="N14009" s="28" t="s">
        <v>51</v>
      </c>
    </row>
    <row r="14010" spans="1:14" x14ac:dyDescent="0.2">
      <c r="A14010" s="23" t="str">
        <f t="shared" si="465"/>
        <v>МИНОБРНАУКИ РД</v>
      </c>
      <c r="B14010" s="24" t="s">
        <v>18723</v>
      </c>
      <c r="C14010" s="25">
        <v>252000</v>
      </c>
      <c r="D14010" s="22" t="s">
        <v>18730</v>
      </c>
      <c r="E14010" s="22" t="s">
        <v>52</v>
      </c>
      <c r="F14010" s="23" t="str">
        <f>HYPERLINK("https://www.spark-marketing.ru/Card/Lot/73767426", "Услуги по организации питания")</f>
        <v>Услуги по организации питания</v>
      </c>
      <c r="G14010" s="22" t="s">
        <v>1607</v>
      </c>
      <c r="H14010" s="22" t="s">
        <v>1608</v>
      </c>
      <c r="I14010" s="26">
        <v>43654.337500000001</v>
      </c>
      <c r="J14010" s="28" t="s">
        <v>51</v>
      </c>
      <c r="K14010" s="28" t="s">
        <v>51</v>
      </c>
      <c r="L14010" s="28" t="s">
        <v>51</v>
      </c>
      <c r="M14010" s="25">
        <v>252000</v>
      </c>
      <c r="N14010" s="27">
        <v>0</v>
      </c>
    </row>
    <row r="14011" spans="1:14" x14ac:dyDescent="0.15">
      <c r="A14011" s="23" t="str">
        <f t="shared" si="465"/>
        <v>МИНОБРНАУКИ РД</v>
      </c>
      <c r="B14011" s="24" t="s">
        <v>18723</v>
      </c>
      <c r="C14011" s="25">
        <v>252000</v>
      </c>
      <c r="D14011" s="22" t="s">
        <v>18731</v>
      </c>
      <c r="E14011" s="22" t="s">
        <v>52</v>
      </c>
      <c r="F14011" s="23" t="str">
        <f>HYPERLINK("https://www.spark-marketing.ru/Card/Lot/73767363", "Услуги по организации питания")</f>
        <v>Услуги по организации питания</v>
      </c>
      <c r="G14011" s="22" t="s">
        <v>1607</v>
      </c>
      <c r="H14011" s="22" t="s">
        <v>1608</v>
      </c>
      <c r="I14011" s="26">
        <v>43654.332638888904</v>
      </c>
      <c r="J14011" s="28" t="s">
        <v>51</v>
      </c>
      <c r="K14011" s="28" t="s">
        <v>51</v>
      </c>
      <c r="L14011" s="28" t="s">
        <v>51</v>
      </c>
      <c r="M14011" s="28" t="s">
        <v>51</v>
      </c>
      <c r="N14011" s="28" t="s">
        <v>51</v>
      </c>
    </row>
    <row r="14012" spans="1:14" x14ac:dyDescent="0.2">
      <c r="A14012" s="23" t="str">
        <f t="shared" si="465"/>
        <v>МИНОБРНАУКИ РД</v>
      </c>
      <c r="B14012" s="24" t="s">
        <v>18723</v>
      </c>
      <c r="C14012" s="25">
        <v>252000</v>
      </c>
      <c r="D14012" s="22" t="s">
        <v>18732</v>
      </c>
      <c r="E14012" s="22" t="s">
        <v>52</v>
      </c>
      <c r="F14012" s="23" t="str">
        <f>HYPERLINK("https://www.spark-marketing.ru/Card/Lot/73767779", "Услуги по организации питания")</f>
        <v>Услуги по организации питания</v>
      </c>
      <c r="G14012" s="22" t="s">
        <v>1607</v>
      </c>
      <c r="H14012" s="22" t="s">
        <v>1608</v>
      </c>
      <c r="I14012" s="26">
        <v>43654.331944444399</v>
      </c>
      <c r="J14012" s="28" t="s">
        <v>51</v>
      </c>
      <c r="K14012" s="28" t="s">
        <v>51</v>
      </c>
      <c r="L14012" s="28" t="s">
        <v>51</v>
      </c>
      <c r="M14012" s="25">
        <v>252000</v>
      </c>
      <c r="N14012" s="27">
        <v>0</v>
      </c>
    </row>
    <row r="14013" spans="1:14" x14ac:dyDescent="0.15">
      <c r="A14013" s="23" t="str">
        <f t="shared" si="465"/>
        <v>МИНОБРНАУКИ РД</v>
      </c>
      <c r="B14013" s="24" t="s">
        <v>18723</v>
      </c>
      <c r="C14013" s="25">
        <v>252000</v>
      </c>
      <c r="D14013" s="22" t="s">
        <v>18733</v>
      </c>
      <c r="E14013" s="22" t="s">
        <v>52</v>
      </c>
      <c r="F14013" s="23" t="str">
        <f>HYPERLINK("https://www.spark-marketing.ru/Card/Lot/73767392", "Услуги по организации питания")</f>
        <v>Услуги по организации питания</v>
      </c>
      <c r="G14013" s="22" t="s">
        <v>1607</v>
      </c>
      <c r="H14013" s="22" t="s">
        <v>1608</v>
      </c>
      <c r="I14013" s="26">
        <v>43654.334027777797</v>
      </c>
      <c r="J14013" s="28" t="s">
        <v>51</v>
      </c>
      <c r="K14013" s="28" t="s">
        <v>51</v>
      </c>
      <c r="L14013" s="28" t="s">
        <v>51</v>
      </c>
      <c r="M14013" s="28" t="s">
        <v>51</v>
      </c>
      <c r="N14013" s="28" t="s">
        <v>51</v>
      </c>
    </row>
    <row r="14014" spans="1:14" x14ac:dyDescent="0.15">
      <c r="A14014" s="23" t="str">
        <f t="shared" si="465"/>
        <v>МИНОБРНАУКИ РД</v>
      </c>
      <c r="B14014" s="24" t="s">
        <v>18723</v>
      </c>
      <c r="C14014" s="25">
        <v>252000</v>
      </c>
      <c r="D14014" s="22" t="s">
        <v>18734</v>
      </c>
      <c r="E14014" s="22" t="s">
        <v>52</v>
      </c>
      <c r="F14014" s="23" t="str">
        <f>HYPERLINK("https://www.spark-marketing.ru/Card/Lot/73767457", "Услуги по организации питания")</f>
        <v>Услуги по организации питания</v>
      </c>
      <c r="G14014" s="22" t="s">
        <v>1607</v>
      </c>
      <c r="H14014" s="22" t="s">
        <v>1608</v>
      </c>
      <c r="I14014" s="26">
        <v>43654.338194444397</v>
      </c>
      <c r="J14014" s="28" t="s">
        <v>51</v>
      </c>
      <c r="K14014" s="28" t="s">
        <v>51</v>
      </c>
      <c r="L14014" s="28" t="s">
        <v>51</v>
      </c>
      <c r="M14014" s="28" t="s">
        <v>51</v>
      </c>
      <c r="N14014" s="28" t="s">
        <v>51</v>
      </c>
    </row>
    <row r="14015" spans="1:14" x14ac:dyDescent="0.15">
      <c r="A14015" s="23" t="str">
        <f t="shared" si="465"/>
        <v>МИНОБРНАУКИ РД</v>
      </c>
      <c r="B14015" s="24" t="s">
        <v>18723</v>
      </c>
      <c r="C14015" s="25">
        <v>252000</v>
      </c>
      <c r="D14015" s="22" t="s">
        <v>18735</v>
      </c>
      <c r="E14015" s="22" t="s">
        <v>52</v>
      </c>
      <c r="F14015" s="23" t="str">
        <f>HYPERLINK("https://www.spark-marketing.ru/Card/Lot/73767425", "Услуги по организации питания")</f>
        <v>Услуги по организации питания</v>
      </c>
      <c r="G14015" s="22" t="s">
        <v>1607</v>
      </c>
      <c r="H14015" s="22" t="s">
        <v>1608</v>
      </c>
      <c r="I14015" s="26">
        <v>43654.336805555598</v>
      </c>
      <c r="J14015" s="28" t="s">
        <v>51</v>
      </c>
      <c r="K14015" s="28" t="s">
        <v>51</v>
      </c>
      <c r="L14015" s="28" t="s">
        <v>51</v>
      </c>
      <c r="M14015" s="28" t="s">
        <v>51</v>
      </c>
      <c r="N14015" s="28" t="s">
        <v>51</v>
      </c>
    </row>
    <row r="14016" spans="1:14" x14ac:dyDescent="0.15">
      <c r="A14016" s="23" t="str">
        <f t="shared" si="465"/>
        <v>МИНОБРНАУКИ РД</v>
      </c>
      <c r="B14016" s="24" t="s">
        <v>18723</v>
      </c>
      <c r="C14016" s="25">
        <v>252000</v>
      </c>
      <c r="D14016" s="22" t="s">
        <v>18736</v>
      </c>
      <c r="E14016" s="22" t="s">
        <v>52</v>
      </c>
      <c r="F14016" s="23" t="str">
        <f>HYPERLINK("https://www.spark-marketing.ru/Card/Lot/73767394", "Услуги по организации питания")</f>
        <v>Услуги по организации питания</v>
      </c>
      <c r="G14016" s="22" t="s">
        <v>1607</v>
      </c>
      <c r="H14016" s="22" t="s">
        <v>1608</v>
      </c>
      <c r="I14016" s="26">
        <v>43654.334027777797</v>
      </c>
      <c r="J14016" s="28" t="s">
        <v>51</v>
      </c>
      <c r="K14016" s="28" t="s">
        <v>51</v>
      </c>
      <c r="L14016" s="28" t="s">
        <v>51</v>
      </c>
      <c r="M14016" s="28" t="s">
        <v>51</v>
      </c>
      <c r="N14016" s="28" t="s">
        <v>51</v>
      </c>
    </row>
    <row r="14017" spans="1:14" x14ac:dyDescent="0.15">
      <c r="A14017" s="23" t="str">
        <f t="shared" si="465"/>
        <v>МИНОБРНАУКИ РД</v>
      </c>
      <c r="B14017" s="24" t="s">
        <v>18723</v>
      </c>
      <c r="C14017" s="25">
        <v>252000</v>
      </c>
      <c r="D14017" s="22" t="s">
        <v>18737</v>
      </c>
      <c r="E14017" s="22" t="s">
        <v>52</v>
      </c>
      <c r="F14017" s="23" t="str">
        <f>HYPERLINK("https://www.spark-marketing.ru/Card/Lot/73767391", "Услуги по организации питания")</f>
        <v>Услуги по организации питания</v>
      </c>
      <c r="G14017" s="22" t="s">
        <v>1607</v>
      </c>
      <c r="H14017" s="22" t="s">
        <v>1608</v>
      </c>
      <c r="I14017" s="26">
        <v>43654.334027777797</v>
      </c>
      <c r="J14017" s="28" t="s">
        <v>51</v>
      </c>
      <c r="K14017" s="28" t="s">
        <v>51</v>
      </c>
      <c r="L14017" s="28" t="s">
        <v>51</v>
      </c>
      <c r="M14017" s="28" t="s">
        <v>51</v>
      </c>
      <c r="N14017" s="28" t="s">
        <v>51</v>
      </c>
    </row>
    <row r="14018" spans="1:14" x14ac:dyDescent="0.15">
      <c r="A14018" s="23" t="str">
        <f t="shared" si="465"/>
        <v>МИНОБРНАУКИ РД</v>
      </c>
      <c r="B14018" s="24" t="s">
        <v>18723</v>
      </c>
      <c r="C14018" s="25">
        <v>252000</v>
      </c>
      <c r="D14018" s="22" t="s">
        <v>18738</v>
      </c>
      <c r="E14018" s="22" t="s">
        <v>52</v>
      </c>
      <c r="F14018" s="23" t="str">
        <f>HYPERLINK("https://www.spark-marketing.ru/Card/Lot/73767486", "Услуги по организации питания")</f>
        <v>Услуги по организации питания</v>
      </c>
      <c r="G14018" s="22" t="s">
        <v>1607</v>
      </c>
      <c r="H14018" s="22" t="s">
        <v>1608</v>
      </c>
      <c r="I14018" s="26">
        <v>43654.340972222199</v>
      </c>
      <c r="J14018" s="28" t="s">
        <v>51</v>
      </c>
      <c r="K14018" s="28" t="s">
        <v>51</v>
      </c>
      <c r="L14018" s="28" t="s">
        <v>51</v>
      </c>
      <c r="M14018" s="28" t="s">
        <v>51</v>
      </c>
      <c r="N14018" s="28" t="s">
        <v>51</v>
      </c>
    </row>
    <row r="14019" spans="1:14" x14ac:dyDescent="0.15">
      <c r="A14019" s="23" t="str">
        <f t="shared" si="465"/>
        <v>МИНОБРНАУКИ РД</v>
      </c>
      <c r="B14019" s="24" t="s">
        <v>18723</v>
      </c>
      <c r="C14019" s="25">
        <v>252000</v>
      </c>
      <c r="D14019" s="22" t="s">
        <v>18739</v>
      </c>
      <c r="E14019" s="22" t="s">
        <v>52</v>
      </c>
      <c r="F14019" s="23" t="str">
        <f>HYPERLINK("https://www.spark-marketing.ru/Card/Lot/73767783", "Услуги по организации питания")</f>
        <v>Услуги по организации питания</v>
      </c>
      <c r="G14019" s="22" t="s">
        <v>1607</v>
      </c>
      <c r="H14019" s="22" t="s">
        <v>1608</v>
      </c>
      <c r="I14019" s="26">
        <v>43654.332638888904</v>
      </c>
      <c r="J14019" s="28" t="s">
        <v>51</v>
      </c>
      <c r="K14019" s="28" t="s">
        <v>51</v>
      </c>
      <c r="L14019" s="28" t="s">
        <v>51</v>
      </c>
      <c r="M14019" s="28" t="s">
        <v>51</v>
      </c>
      <c r="N14019" s="28" t="s">
        <v>51</v>
      </c>
    </row>
    <row r="14020" spans="1:14" x14ac:dyDescent="0.15">
      <c r="A14020" s="23" t="str">
        <f t="shared" si="465"/>
        <v>МИНОБРНАУКИ РД</v>
      </c>
      <c r="B14020" s="24" t="s">
        <v>18723</v>
      </c>
      <c r="C14020" s="25">
        <v>252000</v>
      </c>
      <c r="D14020" s="22" t="s">
        <v>18740</v>
      </c>
      <c r="E14020" s="22" t="s">
        <v>52</v>
      </c>
      <c r="F14020" s="23" t="str">
        <f>HYPERLINK("https://www.spark-marketing.ru/Card/Lot/73767456", "Услуги по организации питания")</f>
        <v>Услуги по организации питания</v>
      </c>
      <c r="G14020" s="22" t="s">
        <v>1607</v>
      </c>
      <c r="H14020" s="22" t="s">
        <v>1608</v>
      </c>
      <c r="I14020" s="26">
        <v>43654.338194444397</v>
      </c>
      <c r="J14020" s="28" t="s">
        <v>51</v>
      </c>
      <c r="K14020" s="28" t="s">
        <v>51</v>
      </c>
      <c r="L14020" s="28" t="s">
        <v>51</v>
      </c>
      <c r="M14020" s="28" t="s">
        <v>51</v>
      </c>
      <c r="N14020" s="28" t="s">
        <v>51</v>
      </c>
    </row>
    <row r="14021" spans="1:14" x14ac:dyDescent="0.15">
      <c r="A14021" s="23" t="str">
        <f t="shared" si="465"/>
        <v>МИНОБРНАУКИ РД</v>
      </c>
      <c r="B14021" s="24" t="s">
        <v>18723</v>
      </c>
      <c r="C14021" s="25">
        <v>252000</v>
      </c>
      <c r="D14021" s="22" t="s">
        <v>18741</v>
      </c>
      <c r="E14021" s="22" t="s">
        <v>52</v>
      </c>
      <c r="F14021" s="23" t="str">
        <f>HYPERLINK("https://www.spark-marketing.ru/Card/Lot/73767368", "Услуги по организации питания")</f>
        <v>Услуги по организации питания</v>
      </c>
      <c r="G14021" s="22" t="s">
        <v>1607</v>
      </c>
      <c r="H14021" s="22" t="s">
        <v>1608</v>
      </c>
      <c r="I14021" s="26">
        <v>43654.333333333299</v>
      </c>
      <c r="J14021" s="28" t="s">
        <v>51</v>
      </c>
      <c r="K14021" s="28" t="s">
        <v>51</v>
      </c>
      <c r="L14021" s="28" t="s">
        <v>51</v>
      </c>
      <c r="M14021" s="28" t="s">
        <v>51</v>
      </c>
      <c r="N14021" s="28" t="s">
        <v>51</v>
      </c>
    </row>
    <row r="14022" spans="1:14" x14ac:dyDescent="0.15">
      <c r="A14022" s="23" t="str">
        <f t="shared" si="465"/>
        <v>МИНОБРНАУКИ РД</v>
      </c>
      <c r="B14022" s="24" t="s">
        <v>18723</v>
      </c>
      <c r="C14022" s="25">
        <v>176400</v>
      </c>
      <c r="D14022" s="22" t="s">
        <v>18742</v>
      </c>
      <c r="E14022" s="22" t="s">
        <v>52</v>
      </c>
      <c r="F14022" s="23" t="str">
        <f>HYPERLINK("https://www.spark-marketing.ru/Card/Lot/73767369", "Услуги по организации питания")</f>
        <v>Услуги по организации питания</v>
      </c>
      <c r="G14022" s="22" t="s">
        <v>1607</v>
      </c>
      <c r="H14022" s="22" t="s">
        <v>1608</v>
      </c>
      <c r="I14022" s="26">
        <v>43654.333333333299</v>
      </c>
      <c r="J14022" s="28" t="s">
        <v>51</v>
      </c>
      <c r="K14022" s="28" t="s">
        <v>51</v>
      </c>
      <c r="L14022" s="28" t="s">
        <v>51</v>
      </c>
      <c r="M14022" s="28" t="s">
        <v>51</v>
      </c>
      <c r="N14022" s="28" t="s">
        <v>51</v>
      </c>
    </row>
    <row r="14023" spans="1:14" x14ac:dyDescent="0.15">
      <c r="A14023" s="23" t="str">
        <f t="shared" si="465"/>
        <v>МИНОБРНАУКИ РД</v>
      </c>
      <c r="B14023" s="24" t="s">
        <v>18723</v>
      </c>
      <c r="C14023" s="25">
        <v>252000</v>
      </c>
      <c r="D14023" s="22" t="s">
        <v>18743</v>
      </c>
      <c r="E14023" s="22" t="s">
        <v>52</v>
      </c>
      <c r="F14023" s="23" t="str">
        <f>HYPERLINK("https://www.spark-marketing.ru/Card/Lot/73767483", "Услуги по организации питания")</f>
        <v>Услуги по организации питания</v>
      </c>
      <c r="G14023" s="22" t="s">
        <v>1607</v>
      </c>
      <c r="H14023" s="22" t="s">
        <v>1608</v>
      </c>
      <c r="I14023" s="26">
        <v>43654.340972222199</v>
      </c>
      <c r="J14023" s="28" t="s">
        <v>51</v>
      </c>
      <c r="K14023" s="28" t="s">
        <v>51</v>
      </c>
      <c r="L14023" s="28" t="s">
        <v>51</v>
      </c>
      <c r="M14023" s="28" t="s">
        <v>51</v>
      </c>
      <c r="N14023" s="28" t="s">
        <v>51</v>
      </c>
    </row>
    <row r="14024" spans="1:14" x14ac:dyDescent="0.15">
      <c r="A14024" s="23" t="str">
        <f t="shared" si="465"/>
        <v>МИНОБРНАУКИ РД</v>
      </c>
      <c r="B14024" s="24" t="s">
        <v>18723</v>
      </c>
      <c r="C14024" s="25">
        <v>252000</v>
      </c>
      <c r="D14024" s="22" t="s">
        <v>18744</v>
      </c>
      <c r="E14024" s="22" t="s">
        <v>52</v>
      </c>
      <c r="F14024" s="23" t="str">
        <f>HYPERLINK("https://www.spark-marketing.ru/Card/Lot/73767364", "Услуги по организации питания")</f>
        <v>Услуги по организации питания</v>
      </c>
      <c r="G14024" s="22" t="s">
        <v>1607</v>
      </c>
      <c r="H14024" s="22" t="s">
        <v>1608</v>
      </c>
      <c r="I14024" s="26">
        <v>43654.332638888904</v>
      </c>
      <c r="J14024" s="28" t="s">
        <v>51</v>
      </c>
      <c r="K14024" s="28" t="s">
        <v>51</v>
      </c>
      <c r="L14024" s="28" t="s">
        <v>51</v>
      </c>
      <c r="M14024" s="28" t="s">
        <v>51</v>
      </c>
      <c r="N14024" s="28" t="s">
        <v>51</v>
      </c>
    </row>
    <row r="14025" spans="1:14" x14ac:dyDescent="0.15">
      <c r="A14025" s="23" t="str">
        <f t="shared" si="465"/>
        <v>МИНОБРНАУКИ РД</v>
      </c>
      <c r="B14025" s="24" t="s">
        <v>18723</v>
      </c>
      <c r="C14025" s="25">
        <v>252000</v>
      </c>
      <c r="D14025" s="22" t="s">
        <v>18745</v>
      </c>
      <c r="E14025" s="22" t="s">
        <v>52</v>
      </c>
      <c r="F14025" s="23" t="str">
        <f>HYPERLINK("https://www.spark-marketing.ru/Card/Lot/73767365", "Услуги по организации питания")</f>
        <v>Услуги по организации питания</v>
      </c>
      <c r="G14025" s="22" t="s">
        <v>1607</v>
      </c>
      <c r="H14025" s="22" t="s">
        <v>1608</v>
      </c>
      <c r="I14025" s="26">
        <v>43654.332638888904</v>
      </c>
      <c r="J14025" s="28" t="s">
        <v>51</v>
      </c>
      <c r="K14025" s="28" t="s">
        <v>51</v>
      </c>
      <c r="L14025" s="28" t="s">
        <v>51</v>
      </c>
      <c r="M14025" s="28" t="s">
        <v>51</v>
      </c>
      <c r="N14025" s="28" t="s">
        <v>51</v>
      </c>
    </row>
    <row r="14026" spans="1:14" x14ac:dyDescent="0.2">
      <c r="A14026" s="23" t="str">
        <f>HYPERLINK("https://www.spark-marketing.ru/Card/Person/151026", "МУЗЕЙ-ЗАПОВЕДНИК П.И.ЧАЙКОВСКОГО")</f>
        <v>МУЗЕЙ-ЗАПОВЕДНИК П.И.ЧАЙКОВСКОГО</v>
      </c>
      <c r="B14026" s="24" t="s">
        <v>13964</v>
      </c>
      <c r="C14026" s="25">
        <v>175000</v>
      </c>
      <c r="D14026" s="22" t="s">
        <v>18746</v>
      </c>
      <c r="E14026" s="22" t="s">
        <v>580</v>
      </c>
      <c r="F14026" s="23" t="str">
        <f>HYPERLINK("https://www.spark-marketing.ru/Card/Lot/71936203", "Оказание услуг по организации питания делегаций Московской области расширенной коллегии Министерства культуры Московской области")</f>
        <v>Оказание услуг по организации питания делегаций Московской области расширенной коллегии Министерства культуры Московской области</v>
      </c>
      <c r="G14026" s="22" t="s">
        <v>49</v>
      </c>
      <c r="H14026" s="22" t="s">
        <v>18747</v>
      </c>
      <c r="I14026" s="26">
        <v>43653.971539351798</v>
      </c>
      <c r="J14026" s="28" t="s">
        <v>51</v>
      </c>
      <c r="K14026" s="28" t="s">
        <v>51</v>
      </c>
      <c r="L14026" s="28" t="s">
        <v>51</v>
      </c>
      <c r="M14026" s="25">
        <v>175000</v>
      </c>
      <c r="N14026" s="27">
        <v>0</v>
      </c>
    </row>
    <row r="14027" spans="1:14" x14ac:dyDescent="0.15">
      <c r="A14027" s="23" t="str">
        <f>HYPERLINK("https://www.spark-marketing.ru/Card/Person/1397217", "МАДОУ ""ВОЛШЕБНИЦА""")</f>
        <v>МАДОУ "ВОЛШЕБНИЦА"</v>
      </c>
      <c r="B14027" s="24" t="s">
        <v>18748</v>
      </c>
      <c r="C14027" s="25">
        <v>9243360</v>
      </c>
      <c r="D14027" s="22" t="s">
        <v>18749</v>
      </c>
      <c r="E14027" s="22" t="s">
        <v>362</v>
      </c>
      <c r="F14027" s="23" t="str">
        <f>HYPERLINK("https://www.spark-marketing.ru/Card/Lot/71933001", "Оказание услуг по организации горячего сбалансированного питания")</f>
        <v>Оказание услуг по организации горячего сбалансированного питания</v>
      </c>
      <c r="G14027" s="22" t="s">
        <v>97</v>
      </c>
      <c r="H14027" s="22" t="s">
        <v>97</v>
      </c>
      <c r="I14027" s="26">
        <v>43652.386145833298</v>
      </c>
      <c r="J14027" s="28" t="s">
        <v>51</v>
      </c>
      <c r="K14027" s="28" t="s">
        <v>51</v>
      </c>
      <c r="L14027" s="28" t="s">
        <v>51</v>
      </c>
      <c r="M14027" s="28" t="s">
        <v>51</v>
      </c>
      <c r="N14027" s="28" t="s">
        <v>51</v>
      </c>
    </row>
    <row r="14028" spans="1:14" x14ac:dyDescent="0.2">
      <c r="A14028" s="23" t="str">
        <f>HYPERLINK("https://www.spark-marketing.ru/Card/Person/124033", "МАОУ СОШ № 31 ГОРОДА ЮЖНО-САХАЛИНСКА")</f>
        <v>МАОУ СОШ № 31 ГОРОДА ЮЖНО-САХАЛИНСКА</v>
      </c>
      <c r="B14028" s="24" t="s">
        <v>18750</v>
      </c>
      <c r="C14028" s="25">
        <v>2346636.16</v>
      </c>
      <c r="D14028" s="22" t="s">
        <v>18751</v>
      </c>
      <c r="E14028" s="22" t="s">
        <v>362</v>
      </c>
      <c r="F14028" s="23" t="str">
        <f>HYPERLINK("https://www.spark-marketing.ru/Card/Lot/71917184", "Организация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малочисленных народов Севера Сахалинской области, ...")</f>
        <v>Организация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малочисленных народов Севера Сахалинской области, ...</v>
      </c>
      <c r="G14028" s="22" t="s">
        <v>260</v>
      </c>
      <c r="H14028" s="22" t="s">
        <v>804</v>
      </c>
      <c r="I14028" s="26">
        <v>43651.897812499999</v>
      </c>
      <c r="J14028" s="28" t="s">
        <v>51</v>
      </c>
      <c r="K14028" s="28" t="s">
        <v>51</v>
      </c>
      <c r="L14028" s="22" t="s">
        <v>10</v>
      </c>
      <c r="M14028" s="25">
        <v>2346636.16</v>
      </c>
      <c r="N14028" s="27">
        <v>0</v>
      </c>
    </row>
    <row r="14029" spans="1:14" x14ac:dyDescent="0.15">
      <c r="A14029" s="23" t="str">
        <f>HYPERLINK("https://www.spark-marketing.ru/Card/Person/138493", "МАОУ СОШ № 11 Г. ЮЖНО-САХАЛИНСКА")</f>
        <v>МАОУ СОШ № 11 Г. ЮЖНО-САХАЛИНСКА</v>
      </c>
      <c r="B14029" s="24" t="s">
        <v>4815</v>
      </c>
      <c r="C14029" s="25">
        <v>4486181.3899999997</v>
      </c>
      <c r="D14029" s="22" t="s">
        <v>18752</v>
      </c>
      <c r="E14029" s="22" t="s">
        <v>362</v>
      </c>
      <c r="F14029" s="23" t="str">
        <f>HYPERLINK("https://www.spark-marketing.ru/Card/Lot/71914662", "Организация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малочисленных народов Севера Сахалинской области, ...")</f>
        <v>Организация питания обучающихся, осваивающих образовательную программу начального общего образования, обучающихся из малоимущих семей, семей, находящихся в социально опасном положении, семей коренных малочисленных народов Севера Сахалинской области, ...</v>
      </c>
      <c r="G14029" s="22" t="s">
        <v>260</v>
      </c>
      <c r="H14029" s="22" t="s">
        <v>804</v>
      </c>
      <c r="I14029" s="26">
        <v>43651.849652777797</v>
      </c>
      <c r="J14029" s="28" t="s">
        <v>51</v>
      </c>
      <c r="K14029" s="28" t="s">
        <v>51</v>
      </c>
      <c r="L14029" s="22" t="s">
        <v>10</v>
      </c>
      <c r="M14029" s="28" t="s">
        <v>51</v>
      </c>
      <c r="N14029" s="28" t="s">
        <v>51</v>
      </c>
    </row>
    <row r="14030" spans="1:14" x14ac:dyDescent="0.15">
      <c r="A14030" s="23" t="str">
        <f t="shared" ref="A14030:A14036" si="466">HYPERLINK("https://www.spark-marketing.ru/Card/Person/2970", "УПРАВА РАЙОНА ХОРОШЕВО-МНЕВНИКИ ГОРОДА МОСКВЫ")</f>
        <v>УПРАВА РАЙОНА ХОРОШЕВО-МНЕВНИКИ ГОРОДА МОСКВЫ</v>
      </c>
      <c r="B14030" s="24" t="s">
        <v>18753</v>
      </c>
      <c r="C14030" s="25">
        <v>453799.22</v>
      </c>
      <c r="D14030" s="22" t="s">
        <v>18754</v>
      </c>
      <c r="E14030" s="22" t="s">
        <v>96</v>
      </c>
      <c r="F14030" s="23" t="str">
        <f t="shared" ref="F14030:F14036" si="467">HYPERLINK("https://www.spark-marketing.ru/Card/Lot/71928168", "Оказание услуг по организации питания членов избирательных комиссий (ТИК и УИК) в рамках материально-технического обеспечения выборов")</f>
        <v>Оказание услуг по организации питания членов избирательных комиссий (ТИК и УИК) в рамках материально-технического обеспечения выборов</v>
      </c>
      <c r="G14030" s="22" t="s">
        <v>56</v>
      </c>
      <c r="H14030" s="22" t="s">
        <v>56</v>
      </c>
      <c r="I14030" s="26">
        <v>43651.799953703703</v>
      </c>
      <c r="J14030" s="28" t="s">
        <v>51</v>
      </c>
      <c r="K14030" s="28" t="s">
        <v>51</v>
      </c>
      <c r="L14030" s="28" t="s">
        <v>51</v>
      </c>
      <c r="M14030" s="28" t="s">
        <v>51</v>
      </c>
      <c r="N14030" s="28" t="s">
        <v>51</v>
      </c>
    </row>
    <row r="14031" spans="1:14" hidden="1" outlineLevel="1" x14ac:dyDescent="0.2">
      <c r="A14031" s="23" t="str">
        <f t="shared" si="466"/>
        <v>УПРАВА РАЙОНА ХОРОШЕВО-МНЕВНИКИ ГОРОДА МОСКВЫ</v>
      </c>
      <c r="B14031" s="24" t="s">
        <v>18753</v>
      </c>
      <c r="C14031" s="25">
        <v>453799.22</v>
      </c>
      <c r="D14031" s="22" t="s">
        <v>18754</v>
      </c>
      <c r="E14031" s="22" t="s">
        <v>96</v>
      </c>
      <c r="F14031" s="23" t="str">
        <f t="shared" si="467"/>
        <v>Оказание услуг по организации питания членов избирательных комиссий (ТИК и УИК) в рамках материально-технического обеспечения выборов</v>
      </c>
      <c r="G14031" s="22" t="s">
        <v>56</v>
      </c>
      <c r="H14031" s="22" t="s">
        <v>56</v>
      </c>
      <c r="I14031" s="26">
        <v>43651.799953703703</v>
      </c>
      <c r="J14031" s="23" t="str">
        <f>HYPERLINK("https://www.spark-marketing.ru/Card/Person/6633255", "ООО ГРУППА КОМПАНИЙ ""АНРЕТА""")</f>
        <v>ООО ГРУППА КОМПАНИЙ "АНРЕТА"</v>
      </c>
      <c r="K14031" s="24" t="s">
        <v>18755</v>
      </c>
      <c r="L14031" s="28" t="s">
        <v>51</v>
      </c>
      <c r="M14031" s="25">
        <v>274548.3</v>
      </c>
      <c r="N14031" s="27">
        <v>0.39500050264520065</v>
      </c>
    </row>
    <row r="14032" spans="1:14" ht="12.75" hidden="1" outlineLevel="1" x14ac:dyDescent="0.2">
      <c r="A14032" s="23" t="str">
        <f t="shared" si="466"/>
        <v>УПРАВА РАЙОНА ХОРОШЕВО-МНЕВНИКИ ГОРОДА МОСКВЫ</v>
      </c>
      <c r="B14032" s="24" t="s">
        <v>18753</v>
      </c>
      <c r="C14032" s="25">
        <v>453799.22</v>
      </c>
      <c r="D14032" s="22" t="s">
        <v>18754</v>
      </c>
      <c r="E14032" s="22" t="s">
        <v>96</v>
      </c>
      <c r="F14032" s="23" t="str">
        <f t="shared" si="467"/>
        <v>Оказание услуг по организации питания членов избирательных комиссий (ТИК и УИК) в рамках материально-технического обеспечения выборов</v>
      </c>
      <c r="G14032" s="22" t="s">
        <v>56</v>
      </c>
      <c r="H14032" s="22" t="s">
        <v>56</v>
      </c>
      <c r="I14032" s="26">
        <v>43651.799953703703</v>
      </c>
      <c r="J14032" s="23" t="str">
        <f>HYPERLINK("https://www.spark-marketing.ru/Card/Person/6633289", "ООО ""СКП""")</f>
        <v>ООО "СКП"</v>
      </c>
      <c r="K14032" s="24" t="s">
        <v>18756</v>
      </c>
      <c r="L14032" s="22" t="s">
        <v>10</v>
      </c>
      <c r="M14032" s="25">
        <v>260934.3</v>
      </c>
      <c r="N14032" s="27">
        <v>0.42500055420985516</v>
      </c>
    </row>
    <row r="14033" spans="1:14" hidden="1" outlineLevel="1" x14ac:dyDescent="0.2">
      <c r="A14033" s="23" t="str">
        <f t="shared" si="466"/>
        <v>УПРАВА РАЙОНА ХОРОШЕВО-МНЕВНИКИ ГОРОДА МОСКВЫ</v>
      </c>
      <c r="B14033" s="24" t="s">
        <v>18753</v>
      </c>
      <c r="C14033" s="25">
        <v>453799.22</v>
      </c>
      <c r="D14033" s="22" t="s">
        <v>18754</v>
      </c>
      <c r="E14033" s="22" t="s">
        <v>96</v>
      </c>
      <c r="F14033" s="23" t="str">
        <f t="shared" si="467"/>
        <v>Оказание услуг по организации питания членов избирательных комиссий (ТИК и УИК) в рамках материально-технического обеспечения выборов</v>
      </c>
      <c r="G14033" s="22" t="s">
        <v>56</v>
      </c>
      <c r="H14033" s="22" t="s">
        <v>56</v>
      </c>
      <c r="I14033" s="26">
        <v>43651.799953703703</v>
      </c>
      <c r="J14033" s="23" t="str">
        <f>HYPERLINK("https://www.spark-marketing.ru/Card/Person/4012920", "ООО ""КОНДИСТОРЕ""")</f>
        <v>ООО "КОНДИСТОРЕ"</v>
      </c>
      <c r="K14033" s="24" t="s">
        <v>12451</v>
      </c>
      <c r="L14033" s="28" t="s">
        <v>51</v>
      </c>
      <c r="M14033" s="25">
        <v>353963.3</v>
      </c>
      <c r="N14033" s="27">
        <v>0.22000020185138264</v>
      </c>
    </row>
    <row r="14034" spans="1:14" hidden="1" outlineLevel="1" x14ac:dyDescent="0.2">
      <c r="A14034" s="23" t="str">
        <f t="shared" si="466"/>
        <v>УПРАВА РАЙОНА ХОРОШЕВО-МНЕВНИКИ ГОРОДА МОСКВЫ</v>
      </c>
      <c r="B14034" s="24" t="s">
        <v>18753</v>
      </c>
      <c r="C14034" s="25">
        <v>453799.22</v>
      </c>
      <c r="D14034" s="22" t="s">
        <v>18754</v>
      </c>
      <c r="E14034" s="22" t="s">
        <v>96</v>
      </c>
      <c r="F14034" s="23" t="str">
        <f t="shared" si="467"/>
        <v>Оказание услуг по организации питания членов избирательных комиссий (ТИК и УИК) в рамках материально-технического обеспечения выборов</v>
      </c>
      <c r="G14034" s="22" t="s">
        <v>56</v>
      </c>
      <c r="H14034" s="22" t="s">
        <v>56</v>
      </c>
      <c r="I14034" s="26">
        <v>43651.799953703703</v>
      </c>
      <c r="J14034" s="23" t="str">
        <f>HYPERLINK("https://www.spark-marketing.ru/Card/Person/2523959", "ООО ""КРУИЗ-ТУР""")</f>
        <v>ООО "КРУИЗ-ТУР"</v>
      </c>
      <c r="K14034" s="24" t="s">
        <v>13149</v>
      </c>
      <c r="L14034" s="28" t="s">
        <v>51</v>
      </c>
      <c r="M14034" s="25">
        <v>322197.3</v>
      </c>
      <c r="N14034" s="27">
        <v>0.29000032216890986</v>
      </c>
    </row>
    <row r="14035" spans="1:14" hidden="1" outlineLevel="1" x14ac:dyDescent="0.2">
      <c r="A14035" s="23" t="str">
        <f t="shared" si="466"/>
        <v>УПРАВА РАЙОНА ХОРОШЕВО-МНЕВНИКИ ГОРОДА МОСКВЫ</v>
      </c>
      <c r="B14035" s="24" t="s">
        <v>18753</v>
      </c>
      <c r="C14035" s="25">
        <v>453799.22</v>
      </c>
      <c r="D14035" s="22" t="s">
        <v>18754</v>
      </c>
      <c r="E14035" s="22" t="s">
        <v>96</v>
      </c>
      <c r="F14035" s="23" t="str">
        <f t="shared" si="467"/>
        <v>Оказание услуг по организации питания членов избирательных комиссий (ТИК и УИК) в рамках материально-технического обеспечения выборов</v>
      </c>
      <c r="G14035" s="22" t="s">
        <v>56</v>
      </c>
      <c r="H14035" s="22" t="s">
        <v>56</v>
      </c>
      <c r="I14035" s="26">
        <v>43651.799953703703</v>
      </c>
      <c r="J14035" s="23" t="str">
        <f>HYPERLINK("https://www.spark-marketing.ru/Card/Person/4052353", "ООО ""ЕВРОКОР""")</f>
        <v>ООО "ЕВРОКОР"</v>
      </c>
      <c r="K14035" s="24" t="s">
        <v>9698</v>
      </c>
      <c r="L14035" s="28" t="s">
        <v>51</v>
      </c>
      <c r="M14035" s="25">
        <v>417495.26</v>
      </c>
      <c r="N14035" s="27">
        <v>8.0000049361036801E-2</v>
      </c>
    </row>
    <row r="14036" spans="1:14" hidden="1" outlineLevel="1" x14ac:dyDescent="0.2">
      <c r="A14036" s="23" t="str">
        <f t="shared" si="466"/>
        <v>УПРАВА РАЙОНА ХОРОШЕВО-МНЕВНИКИ ГОРОДА МОСКВЫ</v>
      </c>
      <c r="B14036" s="24" t="s">
        <v>18753</v>
      </c>
      <c r="C14036" s="25">
        <v>453799.22</v>
      </c>
      <c r="D14036" s="22" t="s">
        <v>18754</v>
      </c>
      <c r="E14036" s="22" t="s">
        <v>96</v>
      </c>
      <c r="F14036" s="23" t="str">
        <f t="shared" si="467"/>
        <v>Оказание услуг по организации питания членов избирательных комиссий (ТИК и УИК) в рамках материально-технического обеспечения выборов</v>
      </c>
      <c r="G14036" s="22" t="s">
        <v>56</v>
      </c>
      <c r="H14036" s="22" t="s">
        <v>56</v>
      </c>
      <c r="I14036" s="26">
        <v>43651.799953703703</v>
      </c>
      <c r="J14036" s="23" t="str">
        <f>HYPERLINK("https://www.spark-marketing.ru/Card/Person/6617658", "ООО ""АЛЬБА""")</f>
        <v>ООО "АЛЬБА"</v>
      </c>
      <c r="K14036" s="24" t="s">
        <v>13028</v>
      </c>
      <c r="L14036" s="28" t="s">
        <v>51</v>
      </c>
      <c r="M14036" s="25">
        <v>263203.3</v>
      </c>
      <c r="N14036" s="27">
        <v>0.42000054561574612</v>
      </c>
    </row>
    <row r="14037" spans="1:14" x14ac:dyDescent="0.15">
      <c r="A14037" s="23" t="str">
        <f>HYPERLINK("https://www.spark-marketing.ru/Card/Person/18785", "ОГБУЗ ""ОБЛАСТНАЯ БОЛЬНИЦА""")</f>
        <v>ОГБУЗ "ОБЛАСТНАЯ БОЛЬНИЦА"</v>
      </c>
      <c r="B14037" s="24" t="s">
        <v>9921</v>
      </c>
      <c r="C14037" s="25">
        <v>45373.36</v>
      </c>
      <c r="D14037" s="22" t="s">
        <v>18757</v>
      </c>
      <c r="E14037" s="22" t="s">
        <v>86</v>
      </c>
      <c r="F14037" s="23" t="str">
        <f>HYPERLINK("https://www.spark-marketing.ru/Card/Lot/71928095", "Оказание услуги по проведению лабораторных исследований (контроль лечебного питания)")</f>
        <v>Оказание услуги по проведению лабораторных исследований (контроль лечебного питания)</v>
      </c>
      <c r="G14037" s="22" t="s">
        <v>4451</v>
      </c>
      <c r="H14037" s="22" t="s">
        <v>4452</v>
      </c>
      <c r="I14037" s="26">
        <v>43651.7663888889</v>
      </c>
      <c r="J14037" s="28" t="s">
        <v>51</v>
      </c>
      <c r="K14037" s="28" t="s">
        <v>51</v>
      </c>
      <c r="L14037" s="28" t="s">
        <v>51</v>
      </c>
      <c r="M14037" s="28" t="s">
        <v>51</v>
      </c>
      <c r="N14037" s="28" t="s">
        <v>51</v>
      </c>
    </row>
    <row r="14038" spans="1:14" x14ac:dyDescent="0.15">
      <c r="A14038" s="23" t="str">
        <f>HYPERLINK("https://www.spark-marketing.ru/Card/Person/25084", "ГУ-САНКТ-ПЕТЕРБУРГСКОЕ РО ФОНДА СОЦИАЛЬНОГО СТРАХОВАНИЯ РОССИЙСКОЙ ФЕДЕРАЦИИ")</f>
        <v>ГУ-САНКТ-ПЕТЕРБУРГСКОЕ РО ФОНДА СОЦИАЛЬНОГО СТРАХОВАНИЯ РОССИЙСКОЙ ФЕДЕРАЦИИ</v>
      </c>
      <c r="B14038" s="24" t="s">
        <v>17865</v>
      </c>
      <c r="C14038" s="25">
        <v>1938925.8</v>
      </c>
      <c r="D14038" s="22" t="s">
        <v>18758</v>
      </c>
      <c r="E14038" s="22" t="s">
        <v>86</v>
      </c>
      <c r="F14038" s="23" t="str">
        <f>HYPERLINK("https://www.spark-marketing.ru/Card/Lot/71930034", "Оказание услуг на территории Ставропольского края или Республики Кабардино-Балкарии в 2019 году по санаторно-курортному лечению граждан - получателей набора социальных услуг детей-инвалидов с болезнями эндокринной системы, расстройством питания и нар...")</f>
        <v>Оказание услуг на территории Ставропольского края или Республики Кабардино-Балкарии в 2019 году по санаторно-курортному лечению граждан - получателей набора социальных услуг детей-инвалидов с болезнями эндокринной системы, расстройством питания и нар...</v>
      </c>
      <c r="G14038" s="22" t="s">
        <v>87</v>
      </c>
      <c r="H14038" s="22" t="s">
        <v>87</v>
      </c>
      <c r="I14038" s="26">
        <v>43651.759814814803</v>
      </c>
      <c r="J14038" s="23" t="str">
        <f>HYPERLINK("https://www.spark-marketing.ru/Card/Person/203500", "ООО САНАТОРИЙ ""ГОЛУБЫЕ ЕЛИ""")</f>
        <v>ООО САНАТОРИЙ "ГОЛУБЫЕ ЕЛИ"</v>
      </c>
      <c r="K14038" s="24" t="s">
        <v>18503</v>
      </c>
      <c r="L14038" s="22" t="s">
        <v>10</v>
      </c>
      <c r="M14038" s="28" t="s">
        <v>51</v>
      </c>
      <c r="N14038" s="28" t="s">
        <v>51</v>
      </c>
    </row>
    <row r="14039" spans="1:14" x14ac:dyDescent="0.15">
      <c r="A14039" s="23" t="str">
        <f>HYPERLINK("https://www.spark-marketing.ru/Card/Person/137772", "ОТДЕЛ МВД РОССИИ ПО ЕЛАБУЖСКОМУ РАЙОНУ")</f>
        <v>ОТДЕЛ МВД РОССИИ ПО ЕЛАБУЖСКОМУ РАЙОНУ</v>
      </c>
      <c r="B14039" s="24" t="s">
        <v>12647</v>
      </c>
      <c r="C14039" s="25">
        <v>950000</v>
      </c>
      <c r="D14039" s="22" t="s">
        <v>18759</v>
      </c>
      <c r="E14039" s="22" t="s">
        <v>48</v>
      </c>
      <c r="F14039" s="23" t="str">
        <f>HYPERLINK("https://www.spark-marketing.ru/Card/Lot/71929408", "Прочая закупка товаров, работ и услуг (Услуги по обеспечению питание ИВС, СП, КЗСЛ)")</f>
        <v>Прочая закупка товаров, работ и услуг (Услуги по обеспечению питание ИВС, СП, КЗСЛ)</v>
      </c>
      <c r="G14039" s="22" t="s">
        <v>217</v>
      </c>
      <c r="H14039" s="22" t="s">
        <v>12649</v>
      </c>
      <c r="I14039" s="26">
        <v>43651.694988425901</v>
      </c>
      <c r="J14039" s="28" t="s">
        <v>51</v>
      </c>
      <c r="K14039" s="28" t="s">
        <v>51</v>
      </c>
      <c r="L14039" s="28" t="s">
        <v>51</v>
      </c>
      <c r="M14039" s="28" t="s">
        <v>51</v>
      </c>
      <c r="N14039" s="28" t="s">
        <v>51</v>
      </c>
    </row>
    <row r="14040" spans="1:14" x14ac:dyDescent="0.2">
      <c r="A14040" s="23" t="str">
        <f>HYPERLINK("https://www.spark-marketing.ru/Card/Person/4348562", "АО ""АТОМТЕХЭНЕРГО""")</f>
        <v>АО "АТОМТЕХЭНЕРГО"</v>
      </c>
      <c r="B14040" s="24" t="s">
        <v>6365</v>
      </c>
      <c r="C14040" s="25">
        <v>370374.40000000002</v>
      </c>
      <c r="D14040" s="22" t="s">
        <v>18760</v>
      </c>
      <c r="E14040" s="22" t="s">
        <v>2217</v>
      </c>
      <c r="F14040" s="23" t="str">
        <f>HYPERLINK("https://www.spark-marketing.ru/Card/Lot/71919207", "Право заключения договора на оказание услуг по обеспечению питанием и буфетным обслуживанием Калининского филиала «Калининатомтехэнерго» АО «Атомтехэнерго»")</f>
        <v>Право заключения договора на оказание услуг по обеспечению питанием и буфетным обслуживанием Калининского филиала «Калининатомтехэнерго» АО «Атомтехэнерго»</v>
      </c>
      <c r="G14040" s="22" t="s">
        <v>56</v>
      </c>
      <c r="H14040" s="22" t="s">
        <v>56</v>
      </c>
      <c r="I14040" s="26">
        <v>43651.6922569444</v>
      </c>
      <c r="J14040" s="28" t="s">
        <v>51</v>
      </c>
      <c r="K14040" s="28" t="s">
        <v>51</v>
      </c>
      <c r="L14040" s="28" t="s">
        <v>51</v>
      </c>
      <c r="M14040" s="25">
        <v>370372.8</v>
      </c>
      <c r="N14040" s="27">
        <v>4.319952998911372E-6</v>
      </c>
    </row>
    <row r="14041" spans="1:14" x14ac:dyDescent="0.2">
      <c r="A14041" s="23" t="str">
        <f>HYPERLINK("https://www.spark-marketing.ru/Card/Person/240535", "ГПОАУ АТК")</f>
        <v>ГПОАУ АТК</v>
      </c>
      <c r="B14041" s="24" t="s">
        <v>2228</v>
      </c>
      <c r="C14041" s="25">
        <v>205220</v>
      </c>
      <c r="D14041" s="22" t="s">
        <v>18761</v>
      </c>
      <c r="E14041" s="22" t="s">
        <v>362</v>
      </c>
      <c r="F14041" s="23" t="str">
        <f>HYPERLINK("https://www.spark-marketing.ru/Card/Lot/71910238", "Оказание услуг по организации горячего питания г. Шимановск")</f>
        <v>Оказание услуг по организации горячего питания г. Шимановск</v>
      </c>
      <c r="G14041" s="22" t="s">
        <v>210</v>
      </c>
      <c r="H14041" s="22" t="s">
        <v>210</v>
      </c>
      <c r="I14041" s="26">
        <v>43651.688159722202</v>
      </c>
      <c r="J14041" s="28" t="s">
        <v>51</v>
      </c>
      <c r="K14041" s="28" t="s">
        <v>51</v>
      </c>
      <c r="L14041" s="28" t="s">
        <v>51</v>
      </c>
      <c r="M14041" s="25">
        <v>205220</v>
      </c>
      <c r="N14041" s="27">
        <v>0</v>
      </c>
    </row>
    <row r="14042" spans="1:14" x14ac:dyDescent="0.15">
      <c r="A14042" s="23" t="str">
        <f>HYPERLINK("https://www.spark-marketing.ru/Card/Person/144564", "МОБУ СОШ № 2")</f>
        <v>МОБУ СОШ № 2</v>
      </c>
      <c r="B14042" s="24" t="s">
        <v>9392</v>
      </c>
      <c r="C14042" s="25">
        <v>222770</v>
      </c>
      <c r="D14042" s="22" t="s">
        <v>18762</v>
      </c>
      <c r="E14042" s="22" t="s">
        <v>48</v>
      </c>
      <c r="F14042" s="23" t="str">
        <f>HYPERLINK("https://www.spark-marketing.ru/Card/Lot/71918886", "Оказание услуг по организации питания в период летних школьных каникул в 2019 году")</f>
        <v>Оказание услуг по организации питания в период летних школьных каникул в 2019 году</v>
      </c>
      <c r="G14042" s="22" t="s">
        <v>49</v>
      </c>
      <c r="H14042" s="22" t="s">
        <v>9391</v>
      </c>
      <c r="I14042" s="26">
        <v>43651.701331018499</v>
      </c>
      <c r="J14042" s="28" t="s">
        <v>51</v>
      </c>
      <c r="K14042" s="28" t="s">
        <v>51</v>
      </c>
      <c r="L14042" s="28" t="s">
        <v>51</v>
      </c>
      <c r="M14042" s="28" t="s">
        <v>51</v>
      </c>
      <c r="N14042" s="28" t="s">
        <v>51</v>
      </c>
    </row>
    <row r="14043" spans="1:14" x14ac:dyDescent="0.15">
      <c r="A14043" s="23" t="str">
        <f>HYPERLINK("https://www.spark-marketing.ru/Card/Person/4348562", "АО ""АТОМТЕХЭНЕРГО""")</f>
        <v>АО "АТОМТЕХЭНЕРГО"</v>
      </c>
      <c r="B14043" s="24" t="s">
        <v>6365</v>
      </c>
      <c r="C14043" s="25">
        <v>370374.40000000002</v>
      </c>
      <c r="D14043" s="22" t="s">
        <v>18763</v>
      </c>
      <c r="E14043" s="22" t="s">
        <v>52</v>
      </c>
      <c r="F14043" s="23" t="str">
        <f>HYPERLINK("https://www.spark-marketing.ru/Card/Lot/71934626", "ЕИС №31908071780 Право заключения договора на оказание услуг по обеспечению питанием и буфетным обслуживанием Калининского филиала «Калининатомтехэнерго» АО «Атомтехэнерго»")</f>
        <v>ЕИС №31908071780 Право заключения договора на оказание услуг по обеспечению питанием и буфетным обслуживанием Калининского филиала «Калининатомтехэнерго» АО «Атомтехэнерго»</v>
      </c>
      <c r="G14043" s="22" t="s">
        <v>56</v>
      </c>
      <c r="H14043" s="22" t="s">
        <v>56</v>
      </c>
      <c r="I14043" s="26">
        <v>43651.701562499999</v>
      </c>
      <c r="J14043" s="28" t="s">
        <v>51</v>
      </c>
      <c r="K14043" s="28" t="s">
        <v>51</v>
      </c>
      <c r="L14043" s="28" t="s">
        <v>51</v>
      </c>
      <c r="M14043" s="28" t="s">
        <v>51</v>
      </c>
      <c r="N14043" s="28" t="s">
        <v>51</v>
      </c>
    </row>
    <row r="14044" spans="1:14" x14ac:dyDescent="0.15">
      <c r="A14044" s="23" t="str">
        <f>HYPERLINK("https://www.spark-marketing.ru/Card/Person/971733", "КГАУК ""ЦКС""")</f>
        <v>КГАУК "ЦКС"</v>
      </c>
      <c r="B14044" s="24" t="s">
        <v>9832</v>
      </c>
      <c r="C14044" s="25">
        <v>116540</v>
      </c>
      <c r="D14044" s="22" t="s">
        <v>18764</v>
      </c>
      <c r="E14044" s="22" t="s">
        <v>1412</v>
      </c>
      <c r="F14044" s="23" t="str">
        <f>HYPERLINK("https://www.spark-marketing.ru/Card/Lot/71914187", "Услуги по организации питания (завтрак и обед) в рамках проведения Международного фестиваля этнической музыки и ремесел «МИР Сибири», который состоится в период с 12 по 14 июля 2019г.")</f>
        <v>Услуги по организации питания (завтрак и обед) в рамках проведения Международного фестиваля этнической музыки и ремесел «МИР Сибири», который состоится в период с 12 по 14 июля 2019г.</v>
      </c>
      <c r="G14044" s="22" t="s">
        <v>281</v>
      </c>
      <c r="H14044" s="22" t="s">
        <v>281</v>
      </c>
      <c r="I14044" s="26">
        <v>43651.6957638889</v>
      </c>
      <c r="J14044" s="28" t="s">
        <v>51</v>
      </c>
      <c r="K14044" s="28" t="s">
        <v>51</v>
      </c>
      <c r="L14044" s="28" t="s">
        <v>51</v>
      </c>
      <c r="M14044" s="28" t="s">
        <v>51</v>
      </c>
      <c r="N14044" s="28" t="s">
        <v>51</v>
      </c>
    </row>
    <row r="14045" spans="1:14" x14ac:dyDescent="0.2">
      <c r="A14045" s="23" t="str">
        <f>HYPERLINK("https://www.spark-marketing.ru/Card/Person/1778529", "КГАУ ЦСПСКХК")</f>
        <v>КГАУ ЦСПСКХК</v>
      </c>
      <c r="B14045" s="24" t="s">
        <v>5909</v>
      </c>
      <c r="C14045" s="25">
        <v>131600</v>
      </c>
      <c r="D14045" s="22" t="s">
        <v>18765</v>
      </c>
      <c r="E14045" s="22" t="s">
        <v>2273</v>
      </c>
      <c r="F14045" s="23" t="str">
        <f>HYPERLINK("https://www.spark-marketing.ru/Card/Lot/71908911", "Оказание услуг по организации 3-х разового питания участников II этапа соревнований по футболу (юноши) IX летней Спартакиады учащихся (юношеская) России 2019 года")</f>
        <v>Оказание услуг по организации 3-х разового питания участников II этапа соревнований по футболу (юноши) IX летней Спартакиады учащихся (юношеская) России 2019 года</v>
      </c>
      <c r="G14045" s="22" t="s">
        <v>1096</v>
      </c>
      <c r="H14045" s="22" t="s">
        <v>1096</v>
      </c>
      <c r="I14045" s="26">
        <v>43651.688078703701</v>
      </c>
      <c r="J14045" s="28" t="s">
        <v>51</v>
      </c>
      <c r="K14045" s="28" t="s">
        <v>51</v>
      </c>
      <c r="L14045" s="28" t="s">
        <v>51</v>
      </c>
      <c r="M14045" s="25">
        <v>131600</v>
      </c>
      <c r="N14045" s="27">
        <v>0</v>
      </c>
    </row>
    <row r="14046" spans="1:14" x14ac:dyDescent="0.2">
      <c r="A14046" s="23" t="str">
        <f>HYPERLINK("https://www.spark-marketing.ru/Card/Person/18714", "МАОУ СШ № 152")</f>
        <v>МАОУ СШ № 152</v>
      </c>
      <c r="B14046" s="24" t="s">
        <v>18766</v>
      </c>
      <c r="C14046" s="25">
        <v>387392.72</v>
      </c>
      <c r="D14046" s="22" t="s">
        <v>18767</v>
      </c>
      <c r="E14046" s="22" t="s">
        <v>362</v>
      </c>
      <c r="F14046" s="23" t="str">
        <f>HYPERLINK("https://www.spark-marketing.ru/Card/Lot/71914866", "о проведении запроса предложений в электронной форме № 02/19 «Оказание услуг по организации горячего питания обучающихся в муниципальном автономном общеобразовательном учреждении «Средняя школа № 152 имени А.Д. Березина»")</f>
        <v>о проведении запроса предложений в электронной форме № 02/19 «Оказание услуг по организации горячего питания обучающихся в муниципальном автономном общеобразовательном учреждении «Средняя школа № 152 имени А.Д. Березина»</v>
      </c>
      <c r="G14046" s="22" t="s">
        <v>281</v>
      </c>
      <c r="H14046" s="22" t="s">
        <v>281</v>
      </c>
      <c r="I14046" s="26">
        <v>43651.700520833299</v>
      </c>
      <c r="J14046" s="28" t="s">
        <v>51</v>
      </c>
      <c r="K14046" s="28" t="s">
        <v>51</v>
      </c>
      <c r="L14046" s="22" t="s">
        <v>10</v>
      </c>
      <c r="M14046" s="25">
        <v>387392.72</v>
      </c>
      <c r="N14046" s="27">
        <v>0</v>
      </c>
    </row>
    <row r="14047" spans="1:14" x14ac:dyDescent="0.15">
      <c r="A14047" s="23" t="str">
        <f>HYPERLINK("https://www.spark-marketing.ru/Card/Person/68754", "ГКУ ""ХОЗЯЙСТВЕННОЕ УПРАВЛЕНИЕ""")</f>
        <v>ГКУ "ХОЗЯЙСТВЕННОЕ УПРАВЛЕНИЕ"</v>
      </c>
      <c r="B14047" s="24" t="s">
        <v>18768</v>
      </c>
      <c r="C14047" s="25">
        <v>3230688</v>
      </c>
      <c r="D14047" s="22" t="s">
        <v>18769</v>
      </c>
      <c r="E14047" s="22" t="s">
        <v>355</v>
      </c>
      <c r="F14047" s="23" t="str">
        <f>HYPERLINK("https://www.spark-marketing.ru/Card/Lot/71924813", "Оказание услуг по техническому обслуживанию источников бесперебойного питания с заменой расходных материалов")</f>
        <v>Оказание услуг по техническому обслуживанию источников бесперебойного питания с заменой расходных материалов</v>
      </c>
      <c r="G14047" s="22" t="s">
        <v>1983</v>
      </c>
      <c r="H14047" s="22" t="s">
        <v>1983</v>
      </c>
      <c r="I14047" s="26">
        <v>43651.700856481497</v>
      </c>
      <c r="J14047" s="23" t="str">
        <f>HYPERLINK("https://www.spark-marketing.ru/Card/Person/974157", "ООО ""АТТУ-КОМПАНИ""")</f>
        <v>ООО "АТТУ-КОМПАНИ"</v>
      </c>
      <c r="K14047" s="24" t="s">
        <v>18770</v>
      </c>
      <c r="L14047" s="22" t="s">
        <v>10</v>
      </c>
      <c r="M14047" s="28" t="s">
        <v>51</v>
      </c>
      <c r="N14047" s="28" t="s">
        <v>51</v>
      </c>
    </row>
    <row r="14048" spans="1:14" x14ac:dyDescent="0.15">
      <c r="A14048" s="23" t="str">
        <f>HYPERLINK("https://www.spark-marketing.ru/Card/Person/971733", "КГАУК ""ЦКС""")</f>
        <v>КГАУК "ЦКС"</v>
      </c>
      <c r="B14048" s="24" t="s">
        <v>9832</v>
      </c>
      <c r="C14048" s="25">
        <v>510240</v>
      </c>
      <c r="D14048" s="22" t="s">
        <v>18771</v>
      </c>
      <c r="E14048" s="22" t="s">
        <v>1412</v>
      </c>
      <c r="F14048" s="23" t="str">
        <f>HYPERLINK("https://www.spark-marketing.ru/Card/Lot/71914190", "Услуги по организации питания (завтрак, обед и ужин) участников Международного фестиваля этнической музыки и ремесел «МИР Сибири»")</f>
        <v>Услуги по организации питания (завтрак, обед и ужин) участников Международного фестиваля этнической музыки и ремесел «МИР Сибири»</v>
      </c>
      <c r="G14048" s="22" t="s">
        <v>281</v>
      </c>
      <c r="H14048" s="22" t="s">
        <v>281</v>
      </c>
      <c r="I14048" s="26">
        <v>43651.699050925898</v>
      </c>
      <c r="J14048" s="28" t="s">
        <v>51</v>
      </c>
      <c r="K14048" s="28" t="s">
        <v>51</v>
      </c>
      <c r="L14048" s="28" t="s">
        <v>51</v>
      </c>
      <c r="M14048" s="28" t="s">
        <v>51</v>
      </c>
      <c r="N14048" s="28" t="s">
        <v>51</v>
      </c>
    </row>
    <row r="14049" spans="1:14" x14ac:dyDescent="0.2">
      <c r="A14049" s="23" t="str">
        <f>HYPERLINK("https://www.spark-marketing.ru/Card/Person/20893", "ИИМК РАН")</f>
        <v>ИИМК РАН</v>
      </c>
      <c r="B14049" s="24" t="s">
        <v>18772</v>
      </c>
      <c r="C14049" s="25">
        <v>500000</v>
      </c>
      <c r="D14049" s="22" t="s">
        <v>18773</v>
      </c>
      <c r="E14049" s="22" t="s">
        <v>2227</v>
      </c>
      <c r="F14049" s="23" t="str">
        <f>HYPERLINK("https://www.spark-marketing.ru/Card/Lot/71918575", "Оказание услуг по обеспечению проживания и питания")</f>
        <v>Оказание услуг по обеспечению проживания и питания</v>
      </c>
      <c r="G14049" s="22" t="s">
        <v>117</v>
      </c>
      <c r="H14049" s="22" t="s">
        <v>117</v>
      </c>
      <c r="I14049" s="26">
        <v>43651.667812500003</v>
      </c>
      <c r="J14049" s="28" t="s">
        <v>51</v>
      </c>
      <c r="K14049" s="28" t="s">
        <v>51</v>
      </c>
      <c r="L14049" s="28" t="s">
        <v>51</v>
      </c>
      <c r="M14049" s="25">
        <v>490000</v>
      </c>
      <c r="N14049" s="27">
        <v>0.02</v>
      </c>
    </row>
    <row r="14050" spans="1:14" x14ac:dyDescent="0.15">
      <c r="A14050" s="23" t="str">
        <f>HYPERLINK("https://www.spark-marketing.ru/Card/Person/6444018", "ООО ""ОК ""ПРОМЕТЕЙ""")</f>
        <v>ООО "ОК "ПРОМЕТЕЙ"</v>
      </c>
      <c r="B14050" s="24" t="s">
        <v>18774</v>
      </c>
      <c r="C14050" s="25">
        <v>1550000</v>
      </c>
      <c r="D14050" s="22" t="s">
        <v>18775</v>
      </c>
      <c r="E14050" s="22" t="s">
        <v>18776</v>
      </c>
      <c r="F14050" s="23" t="str">
        <f>HYPERLINK("https://www.spark-marketing.ru/Card/Lot/71918335", "Выполнение услуг по монтажу системы видеонаблюдения в здании комбината питания, а также на территории водозабора и подступов к нему.")</f>
        <v>Выполнение услуг по монтажу системы видеонаблюдения в здании комбината питания, а также на территории водозабора и подступов к нему.</v>
      </c>
      <c r="G14050" s="22" t="s">
        <v>104</v>
      </c>
      <c r="H14050" s="22" t="s">
        <v>4457</v>
      </c>
      <c r="I14050" s="26">
        <v>43651.654351851903</v>
      </c>
      <c r="J14050" s="28" t="s">
        <v>51</v>
      </c>
      <c r="K14050" s="28" t="s">
        <v>51</v>
      </c>
      <c r="L14050" s="28" t="s">
        <v>51</v>
      </c>
      <c r="M14050" s="28" t="s">
        <v>51</v>
      </c>
      <c r="N14050" s="28" t="s">
        <v>51</v>
      </c>
    </row>
    <row r="14051" spans="1:14" x14ac:dyDescent="0.15">
      <c r="A14051" s="23" t="s">
        <v>114</v>
      </c>
      <c r="B14051" s="28" t="s">
        <v>51</v>
      </c>
      <c r="C14051" s="25">
        <v>109099471</v>
      </c>
      <c r="D14051" s="22" t="s">
        <v>18777</v>
      </c>
      <c r="E14051" s="22" t="s">
        <v>48</v>
      </c>
      <c r="F14051" s="23" t="str">
        <f t="shared" ref="F14051:F14079" si="468">HYPERLINK("https://www.spark-marketing.ru/Card/Lot/71923960", "Оказание услуг по организации питания")</f>
        <v>Оказание услуг по организации питания</v>
      </c>
      <c r="G14051" s="22" t="s">
        <v>51</v>
      </c>
      <c r="H14051" s="22" t="s">
        <v>51</v>
      </c>
      <c r="I14051" s="26">
        <v>43651.645474536999</v>
      </c>
      <c r="J14051" s="28" t="s">
        <v>51</v>
      </c>
      <c r="K14051" s="28" t="s">
        <v>51</v>
      </c>
      <c r="L14051" s="28" t="s">
        <v>51</v>
      </c>
      <c r="M14051" s="28" t="s">
        <v>51</v>
      </c>
      <c r="N14051" s="28" t="s">
        <v>51</v>
      </c>
    </row>
    <row r="14052" spans="1:14" hidden="1" outlineLevel="1" x14ac:dyDescent="0.15">
      <c r="A14052" s="23" t="str">
        <f>HYPERLINK("https://www.spark-marketing.ru/Card/Person/997828", "МБОУ ""СРЕДНЯЯ ОБЩЕОБРАЗОВАТЕЛЬНАЯ ГОРОДИЩЕНСКАЯ ШКОЛА С УГЛУБЛЕННЫМ ИЗУЧЕНИЕМ ОТДЕЛЬНЫХ ПРЕДМЕТОВ""")</f>
        <v>МБОУ "СРЕДНЯЯ ОБЩЕОБРАЗОВАТЕЛЬНАЯ ГОРОДИЩЕНСКАЯ ШКОЛА С УГЛУБЛЕННЫМ ИЗУЧЕНИЕМ ОТДЕЛЬНЫХ ПРЕДМЕТОВ"</v>
      </c>
      <c r="B14052" s="24" t="s">
        <v>16918</v>
      </c>
      <c r="C14052" s="25">
        <v>3500666</v>
      </c>
      <c r="D14052" s="22" t="s">
        <v>18777</v>
      </c>
      <c r="E14052" s="22" t="s">
        <v>48</v>
      </c>
      <c r="F14052" s="23" t="str">
        <f t="shared" si="468"/>
        <v>Оказание услуг по организации питания</v>
      </c>
      <c r="G14052" s="22" t="s">
        <v>696</v>
      </c>
      <c r="H14052" s="22" t="s">
        <v>4697</v>
      </c>
      <c r="I14052" s="26">
        <v>43651.645474536999</v>
      </c>
      <c r="J14052" s="28" t="s">
        <v>51</v>
      </c>
      <c r="K14052" s="28" t="s">
        <v>51</v>
      </c>
      <c r="L14052" s="28" t="s">
        <v>51</v>
      </c>
      <c r="M14052" s="28" t="s">
        <v>51</v>
      </c>
      <c r="N14052" s="28" t="s">
        <v>51</v>
      </c>
    </row>
    <row r="14053" spans="1:14" hidden="1" outlineLevel="1" x14ac:dyDescent="0.15">
      <c r="A14053" s="23" t="str">
        <f>HYPERLINK("https://www.spark-marketing.ru/Card/Person/998860", "МБОУ ""ООШ №9""")</f>
        <v>МБОУ "ООШ №9"</v>
      </c>
      <c r="B14053" s="24" t="s">
        <v>16920</v>
      </c>
      <c r="C14053" s="25">
        <v>856154</v>
      </c>
      <c r="D14053" s="22" t="s">
        <v>18777</v>
      </c>
      <c r="E14053" s="22" t="s">
        <v>48</v>
      </c>
      <c r="F14053" s="23" t="str">
        <f t="shared" si="468"/>
        <v>Оказание услуг по организации питания</v>
      </c>
      <c r="G14053" s="22" t="s">
        <v>696</v>
      </c>
      <c r="H14053" s="22" t="s">
        <v>4697</v>
      </c>
      <c r="I14053" s="26">
        <v>43651.645474536999</v>
      </c>
      <c r="J14053" s="28" t="s">
        <v>51</v>
      </c>
      <c r="K14053" s="28" t="s">
        <v>51</v>
      </c>
      <c r="L14053" s="28" t="s">
        <v>51</v>
      </c>
      <c r="M14053" s="28" t="s">
        <v>51</v>
      </c>
      <c r="N14053" s="28" t="s">
        <v>51</v>
      </c>
    </row>
    <row r="14054" spans="1:14" hidden="1" outlineLevel="1" x14ac:dyDescent="0.15">
      <c r="A14054" s="23" t="str">
        <f>HYPERLINK("https://www.spark-marketing.ru/Card/Person/998861", "МБОУ ""ГИМНАЗИЯ №18""")</f>
        <v>МБОУ "ГИМНАЗИЯ №18"</v>
      </c>
      <c r="B14054" s="24" t="s">
        <v>16921</v>
      </c>
      <c r="C14054" s="25">
        <v>5921760</v>
      </c>
      <c r="D14054" s="22" t="s">
        <v>18777</v>
      </c>
      <c r="E14054" s="22" t="s">
        <v>48</v>
      </c>
      <c r="F14054" s="23" t="str">
        <f t="shared" si="468"/>
        <v>Оказание услуг по организации питания</v>
      </c>
      <c r="G14054" s="22" t="s">
        <v>696</v>
      </c>
      <c r="H14054" s="22" t="s">
        <v>4697</v>
      </c>
      <c r="I14054" s="26">
        <v>43651.645474536999</v>
      </c>
      <c r="J14054" s="28" t="s">
        <v>51</v>
      </c>
      <c r="K14054" s="28" t="s">
        <v>51</v>
      </c>
      <c r="L14054" s="28" t="s">
        <v>51</v>
      </c>
      <c r="M14054" s="28" t="s">
        <v>51</v>
      </c>
      <c r="N14054" s="28" t="s">
        <v>51</v>
      </c>
    </row>
    <row r="14055" spans="1:14" hidden="1" outlineLevel="1" x14ac:dyDescent="0.15">
      <c r="A14055" s="23" t="str">
        <f>HYPERLINK("https://www.spark-marketing.ru/Card/Person/998957", "МБОУ ""СРЕДНЯЯ ОБЩЕОБРАЗОВАТЕЛЬНАЯ ШКОЛА №12 С УГЛУБЛЕННЫМ ИЗУЧЕНИЕМ ОТДЕЛЬНЫХ ПРЕДМЕТОВ""")</f>
        <v>МБОУ "СРЕДНЯЯ ОБЩЕОБРАЗОВАТЕЛЬНАЯ ШКОЛА №12 С УГЛУБЛЕННЫМ ИЗУЧЕНИЕМ ОТДЕЛЬНЫХ ПРЕДМЕТОВ"</v>
      </c>
      <c r="B14055" s="24" t="s">
        <v>16922</v>
      </c>
      <c r="C14055" s="25">
        <v>5434195</v>
      </c>
      <c r="D14055" s="22" t="s">
        <v>18777</v>
      </c>
      <c r="E14055" s="22" t="s">
        <v>48</v>
      </c>
      <c r="F14055" s="23" t="str">
        <f t="shared" si="468"/>
        <v>Оказание услуг по организации питания</v>
      </c>
      <c r="G14055" s="22" t="s">
        <v>696</v>
      </c>
      <c r="H14055" s="22" t="s">
        <v>4697</v>
      </c>
      <c r="I14055" s="26">
        <v>43651.645474536999</v>
      </c>
      <c r="J14055" s="28" t="s">
        <v>51</v>
      </c>
      <c r="K14055" s="28" t="s">
        <v>51</v>
      </c>
      <c r="L14055" s="28" t="s">
        <v>51</v>
      </c>
      <c r="M14055" s="28" t="s">
        <v>51</v>
      </c>
      <c r="N14055" s="28" t="s">
        <v>51</v>
      </c>
    </row>
    <row r="14056" spans="1:14" hidden="1" outlineLevel="1" x14ac:dyDescent="0.15">
      <c r="A14056" s="23" t="str">
        <f>HYPERLINK("https://www.spark-marketing.ru/Card/Person/999665", "МБОУ ""ООШ №2""")</f>
        <v>МБОУ "ООШ №2"</v>
      </c>
      <c r="B14056" s="24" t="s">
        <v>16923</v>
      </c>
      <c r="C14056" s="25">
        <v>2954627</v>
      </c>
      <c r="D14056" s="22" t="s">
        <v>18777</v>
      </c>
      <c r="E14056" s="22" t="s">
        <v>48</v>
      </c>
      <c r="F14056" s="23" t="str">
        <f t="shared" si="468"/>
        <v>Оказание услуг по организации питания</v>
      </c>
      <c r="G14056" s="22" t="s">
        <v>696</v>
      </c>
      <c r="H14056" s="22" t="s">
        <v>4697</v>
      </c>
      <c r="I14056" s="26">
        <v>43651.645474536999</v>
      </c>
      <c r="J14056" s="28" t="s">
        <v>51</v>
      </c>
      <c r="K14056" s="28" t="s">
        <v>51</v>
      </c>
      <c r="L14056" s="28" t="s">
        <v>51</v>
      </c>
      <c r="M14056" s="28" t="s">
        <v>51</v>
      </c>
      <c r="N14056" s="28" t="s">
        <v>51</v>
      </c>
    </row>
    <row r="14057" spans="1:14" hidden="1" outlineLevel="1" x14ac:dyDescent="0.15">
      <c r="A14057" s="23" t="str">
        <f>HYPERLINK("https://www.spark-marketing.ru/Card/Person/999669", "МБОУ ""СОШ №20 С УИОП""")</f>
        <v>МБОУ "СОШ №20 С УИОП"</v>
      </c>
      <c r="B14057" s="24" t="s">
        <v>16924</v>
      </c>
      <c r="C14057" s="25">
        <v>6291363</v>
      </c>
      <c r="D14057" s="22" t="s">
        <v>18777</v>
      </c>
      <c r="E14057" s="22" t="s">
        <v>48</v>
      </c>
      <c r="F14057" s="23" t="str">
        <f t="shared" si="468"/>
        <v>Оказание услуг по организации питания</v>
      </c>
      <c r="G14057" s="22" t="s">
        <v>696</v>
      </c>
      <c r="H14057" s="22" t="s">
        <v>4697</v>
      </c>
      <c r="I14057" s="26">
        <v>43651.645474536999</v>
      </c>
      <c r="J14057" s="28" t="s">
        <v>51</v>
      </c>
      <c r="K14057" s="28" t="s">
        <v>51</v>
      </c>
      <c r="L14057" s="28" t="s">
        <v>51</v>
      </c>
      <c r="M14057" s="28" t="s">
        <v>51</v>
      </c>
      <c r="N14057" s="28" t="s">
        <v>51</v>
      </c>
    </row>
    <row r="14058" spans="1:14" hidden="1" outlineLevel="1" x14ac:dyDescent="0.15">
      <c r="A14058" s="23" t="str">
        <f>HYPERLINK("https://www.spark-marketing.ru/Card/Person/999759", "МБОУ ""СОШ № 28 С УГЛУБЛЕННЫМ ИЗУЧЕНИЕМ ОТДЕЛЬНЫХ ПРЕДМЕТОВ ИМЕНИ А. А. УГАРОВА""")</f>
        <v>МБОУ "СОШ № 28 С УГЛУБЛЕННЫМ ИЗУЧЕНИЕМ ОТДЕЛЬНЫХ ПРЕДМЕТОВ ИМЕНИ А. А. УГАРОВА"</v>
      </c>
      <c r="B14058" s="24" t="s">
        <v>16925</v>
      </c>
      <c r="C14058" s="25">
        <v>7210216</v>
      </c>
      <c r="D14058" s="22" t="s">
        <v>18777</v>
      </c>
      <c r="E14058" s="22" t="s">
        <v>48</v>
      </c>
      <c r="F14058" s="23" t="str">
        <f t="shared" si="468"/>
        <v>Оказание услуг по организации питания</v>
      </c>
      <c r="G14058" s="22" t="s">
        <v>696</v>
      </c>
      <c r="H14058" s="22" t="s">
        <v>4697</v>
      </c>
      <c r="I14058" s="26">
        <v>43651.645474536999</v>
      </c>
      <c r="J14058" s="28" t="s">
        <v>51</v>
      </c>
      <c r="K14058" s="28" t="s">
        <v>51</v>
      </c>
      <c r="L14058" s="28" t="s">
        <v>51</v>
      </c>
      <c r="M14058" s="28" t="s">
        <v>51</v>
      </c>
      <c r="N14058" s="28" t="s">
        <v>51</v>
      </c>
    </row>
    <row r="14059" spans="1:14" hidden="1" outlineLevel="1" x14ac:dyDescent="0.15">
      <c r="A14059" s="23" t="str">
        <f>HYPERLINK("https://www.spark-marketing.ru/Card/Person/1001261", "МБОУ ""ШАТАЛОВСКАЯ СОШ""")</f>
        <v>МБОУ "ШАТАЛОВСКАЯ СОШ"</v>
      </c>
      <c r="B14059" s="24" t="s">
        <v>16926</v>
      </c>
      <c r="C14059" s="25">
        <v>1154777</v>
      </c>
      <c r="D14059" s="22" t="s">
        <v>18777</v>
      </c>
      <c r="E14059" s="22" t="s">
        <v>48</v>
      </c>
      <c r="F14059" s="23" t="str">
        <f t="shared" si="468"/>
        <v>Оказание услуг по организации питания</v>
      </c>
      <c r="G14059" s="22" t="s">
        <v>696</v>
      </c>
      <c r="H14059" s="22" t="s">
        <v>4697</v>
      </c>
      <c r="I14059" s="26">
        <v>43651.645474536999</v>
      </c>
      <c r="J14059" s="28" t="s">
        <v>51</v>
      </c>
      <c r="K14059" s="28" t="s">
        <v>51</v>
      </c>
      <c r="L14059" s="28" t="s">
        <v>51</v>
      </c>
      <c r="M14059" s="28" t="s">
        <v>51</v>
      </c>
      <c r="N14059" s="28" t="s">
        <v>51</v>
      </c>
    </row>
    <row r="14060" spans="1:14" hidden="1" outlineLevel="1" x14ac:dyDescent="0.15">
      <c r="A14060" s="23" t="str">
        <f>HYPERLINK("https://www.spark-marketing.ru/Card/Person/1001395", "МБОУ ""СОРОКИНСКАЯ ООШ""")</f>
        <v>МБОУ "СОРОКИНСКАЯ ООШ"</v>
      </c>
      <c r="B14060" s="24" t="s">
        <v>16927</v>
      </c>
      <c r="C14060" s="25">
        <v>985439</v>
      </c>
      <c r="D14060" s="22" t="s">
        <v>18777</v>
      </c>
      <c r="E14060" s="22" t="s">
        <v>48</v>
      </c>
      <c r="F14060" s="23" t="str">
        <f t="shared" si="468"/>
        <v>Оказание услуг по организации питания</v>
      </c>
      <c r="G14060" s="22" t="s">
        <v>696</v>
      </c>
      <c r="H14060" s="22" t="s">
        <v>4697</v>
      </c>
      <c r="I14060" s="26">
        <v>43651.645474536999</v>
      </c>
      <c r="J14060" s="28" t="s">
        <v>51</v>
      </c>
      <c r="K14060" s="28" t="s">
        <v>51</v>
      </c>
      <c r="L14060" s="28" t="s">
        <v>51</v>
      </c>
      <c r="M14060" s="28" t="s">
        <v>51</v>
      </c>
      <c r="N14060" s="28" t="s">
        <v>51</v>
      </c>
    </row>
    <row r="14061" spans="1:14" hidden="1" outlineLevel="1" x14ac:dyDescent="0.15">
      <c r="A14061" s="23" t="str">
        <f>HYPERLINK("https://www.spark-marketing.ru/Card/Person/1001429", "МБОУ ""СОШ №34""")</f>
        <v>МБОУ "СОШ №34"</v>
      </c>
      <c r="B14061" s="24" t="s">
        <v>16928</v>
      </c>
      <c r="C14061" s="25">
        <v>7696091</v>
      </c>
      <c r="D14061" s="22" t="s">
        <v>18777</v>
      </c>
      <c r="E14061" s="22" t="s">
        <v>48</v>
      </c>
      <c r="F14061" s="23" t="str">
        <f t="shared" si="468"/>
        <v>Оказание услуг по организации питания</v>
      </c>
      <c r="G14061" s="22" t="s">
        <v>696</v>
      </c>
      <c r="H14061" s="22" t="s">
        <v>4697</v>
      </c>
      <c r="I14061" s="26">
        <v>43651.645474536999</v>
      </c>
      <c r="J14061" s="28" t="s">
        <v>51</v>
      </c>
      <c r="K14061" s="28" t="s">
        <v>51</v>
      </c>
      <c r="L14061" s="28" t="s">
        <v>51</v>
      </c>
      <c r="M14061" s="28" t="s">
        <v>51</v>
      </c>
      <c r="N14061" s="28" t="s">
        <v>51</v>
      </c>
    </row>
    <row r="14062" spans="1:14" hidden="1" outlineLevel="1" x14ac:dyDescent="0.15">
      <c r="A14062" s="23" t="str">
        <f>HYPERLINK("https://www.spark-marketing.ru/Card/Person/1002060", "МБОУ ""НОШ №31""")</f>
        <v>МБОУ "НОШ №31"</v>
      </c>
      <c r="B14062" s="24" t="s">
        <v>16929</v>
      </c>
      <c r="C14062" s="25">
        <v>2048618</v>
      </c>
      <c r="D14062" s="22" t="s">
        <v>18777</v>
      </c>
      <c r="E14062" s="22" t="s">
        <v>48</v>
      </c>
      <c r="F14062" s="23" t="str">
        <f t="shared" si="468"/>
        <v>Оказание услуг по организации питания</v>
      </c>
      <c r="G14062" s="22" t="s">
        <v>696</v>
      </c>
      <c r="H14062" s="22" t="s">
        <v>4697</v>
      </c>
      <c r="I14062" s="26">
        <v>43651.645474536999</v>
      </c>
      <c r="J14062" s="28" t="s">
        <v>51</v>
      </c>
      <c r="K14062" s="28" t="s">
        <v>51</v>
      </c>
      <c r="L14062" s="28" t="s">
        <v>51</v>
      </c>
      <c r="M14062" s="28" t="s">
        <v>51</v>
      </c>
      <c r="N14062" s="28" t="s">
        <v>51</v>
      </c>
    </row>
    <row r="14063" spans="1:14" hidden="1" outlineLevel="1" x14ac:dyDescent="0.15">
      <c r="A14063" s="23" t="str">
        <f>HYPERLINK("https://www.spark-marketing.ru/Card/Person/1004478", "МБОУ ""ОШ №23 ДЛЯ ОБУЧАЮЩИХСЯ С ОВЗ""")</f>
        <v>МБОУ "ОШ №23 ДЛЯ ОБУЧАЮЩИХСЯ С ОВЗ"</v>
      </c>
      <c r="B14063" s="24" t="s">
        <v>16930</v>
      </c>
      <c r="C14063" s="25">
        <v>1818271</v>
      </c>
      <c r="D14063" s="22" t="s">
        <v>18777</v>
      </c>
      <c r="E14063" s="22" t="s">
        <v>48</v>
      </c>
      <c r="F14063" s="23" t="str">
        <f t="shared" si="468"/>
        <v>Оказание услуг по организации питания</v>
      </c>
      <c r="G14063" s="22" t="s">
        <v>696</v>
      </c>
      <c r="H14063" s="22" t="s">
        <v>4697</v>
      </c>
      <c r="I14063" s="26">
        <v>43651.645474536999</v>
      </c>
      <c r="J14063" s="28" t="s">
        <v>51</v>
      </c>
      <c r="K14063" s="28" t="s">
        <v>51</v>
      </c>
      <c r="L14063" s="28" t="s">
        <v>51</v>
      </c>
      <c r="M14063" s="28" t="s">
        <v>51</v>
      </c>
      <c r="N14063" s="28" t="s">
        <v>51</v>
      </c>
    </row>
    <row r="14064" spans="1:14" hidden="1" outlineLevel="1" x14ac:dyDescent="0.15">
      <c r="A14064" s="23" t="str">
        <f>HYPERLINK("https://www.spark-marketing.ru/Card/Person/1004690", "МБОУ ""ООШ №8""")</f>
        <v>МБОУ "ООШ №8"</v>
      </c>
      <c r="B14064" s="24" t="s">
        <v>16931</v>
      </c>
      <c r="C14064" s="25">
        <v>2260037</v>
      </c>
      <c r="D14064" s="22" t="s">
        <v>18777</v>
      </c>
      <c r="E14064" s="22" t="s">
        <v>48</v>
      </c>
      <c r="F14064" s="23" t="str">
        <f t="shared" si="468"/>
        <v>Оказание услуг по организации питания</v>
      </c>
      <c r="G14064" s="22" t="s">
        <v>696</v>
      </c>
      <c r="H14064" s="22" t="s">
        <v>4697</v>
      </c>
      <c r="I14064" s="26">
        <v>43651.645474536999</v>
      </c>
      <c r="J14064" s="28" t="s">
        <v>51</v>
      </c>
      <c r="K14064" s="28" t="s">
        <v>51</v>
      </c>
      <c r="L14064" s="28" t="s">
        <v>51</v>
      </c>
      <c r="M14064" s="28" t="s">
        <v>51</v>
      </c>
      <c r="N14064" s="28" t="s">
        <v>51</v>
      </c>
    </row>
    <row r="14065" spans="1:14" hidden="1" outlineLevel="1" x14ac:dyDescent="0.15">
      <c r="A14065" s="23" t="str">
        <f>HYPERLINK("https://www.spark-marketing.ru/Card/Person/1005161", "МБОУ ""ООШ №36""")</f>
        <v>МБОУ "ООШ №36"</v>
      </c>
      <c r="B14065" s="24" t="s">
        <v>16932</v>
      </c>
      <c r="C14065" s="25">
        <v>2542774</v>
      </c>
      <c r="D14065" s="22" t="s">
        <v>18777</v>
      </c>
      <c r="E14065" s="22" t="s">
        <v>48</v>
      </c>
      <c r="F14065" s="23" t="str">
        <f t="shared" si="468"/>
        <v>Оказание услуг по организации питания</v>
      </c>
      <c r="G14065" s="22" t="s">
        <v>696</v>
      </c>
      <c r="H14065" s="22" t="s">
        <v>4697</v>
      </c>
      <c r="I14065" s="26">
        <v>43651.645474536999</v>
      </c>
      <c r="J14065" s="28" t="s">
        <v>51</v>
      </c>
      <c r="K14065" s="28" t="s">
        <v>51</v>
      </c>
      <c r="L14065" s="28" t="s">
        <v>51</v>
      </c>
      <c r="M14065" s="28" t="s">
        <v>51</v>
      </c>
      <c r="N14065" s="28" t="s">
        <v>51</v>
      </c>
    </row>
    <row r="14066" spans="1:14" hidden="1" outlineLevel="1" x14ac:dyDescent="0.15">
      <c r="A14066" s="23" t="str">
        <f>HYPERLINK("https://www.spark-marketing.ru/Card/Person/1005165", "МБОУ ""СРЕДНЯЯ ОБЩЕОБРАЗОВАТЕЛЬНАЯ ШКОЛА №5 С УГЛУБЛЕННЫМ ИЗУЧЕНИЕМ ОТДЕЛЬНЫХ ПРЕДМЕТОВ""")</f>
        <v>МБОУ "СРЕДНЯЯ ОБЩЕОБРАЗОВАТЕЛЬНАЯ ШКОЛА №5 С УГЛУБЛЕННЫМ ИЗУЧЕНИЕМ ОТДЕЛЬНЫХ ПРЕДМЕТОВ"</v>
      </c>
      <c r="B14066" s="24" t="s">
        <v>16933</v>
      </c>
      <c r="C14066" s="25">
        <v>5100758</v>
      </c>
      <c r="D14066" s="22" t="s">
        <v>18777</v>
      </c>
      <c r="E14066" s="22" t="s">
        <v>48</v>
      </c>
      <c r="F14066" s="23" t="str">
        <f t="shared" si="468"/>
        <v>Оказание услуг по организации питания</v>
      </c>
      <c r="G14066" s="22" t="s">
        <v>696</v>
      </c>
      <c r="H14066" s="22" t="s">
        <v>4697</v>
      </c>
      <c r="I14066" s="26">
        <v>43651.645474536999</v>
      </c>
      <c r="J14066" s="28" t="s">
        <v>51</v>
      </c>
      <c r="K14066" s="28" t="s">
        <v>51</v>
      </c>
      <c r="L14066" s="28" t="s">
        <v>51</v>
      </c>
      <c r="M14066" s="28" t="s">
        <v>51</v>
      </c>
      <c r="N14066" s="28" t="s">
        <v>51</v>
      </c>
    </row>
    <row r="14067" spans="1:14" hidden="1" outlineLevel="1" x14ac:dyDescent="0.15">
      <c r="A14067" s="23" t="str">
        <f>HYPERLINK("https://www.spark-marketing.ru/Card/Person/1005173", "МБОУ ""СОШ №14"" ИМЕНИ А.М. МАМОНОВА")</f>
        <v>МБОУ "СОШ №14" ИМЕНИ А.М. МАМОНОВА</v>
      </c>
      <c r="B14067" s="24" t="s">
        <v>16934</v>
      </c>
      <c r="C14067" s="25">
        <v>5133713</v>
      </c>
      <c r="D14067" s="22" t="s">
        <v>18777</v>
      </c>
      <c r="E14067" s="22" t="s">
        <v>48</v>
      </c>
      <c r="F14067" s="23" t="str">
        <f t="shared" si="468"/>
        <v>Оказание услуг по организации питания</v>
      </c>
      <c r="G14067" s="22" t="s">
        <v>696</v>
      </c>
      <c r="H14067" s="22" t="s">
        <v>4697</v>
      </c>
      <c r="I14067" s="26">
        <v>43651.645474536999</v>
      </c>
      <c r="J14067" s="28" t="s">
        <v>51</v>
      </c>
      <c r="K14067" s="28" t="s">
        <v>51</v>
      </c>
      <c r="L14067" s="28" t="s">
        <v>51</v>
      </c>
      <c r="M14067" s="28" t="s">
        <v>51</v>
      </c>
      <c r="N14067" s="28" t="s">
        <v>51</v>
      </c>
    </row>
    <row r="14068" spans="1:14" hidden="1" outlineLevel="1" x14ac:dyDescent="0.15">
      <c r="A14068" s="23" t="str">
        <f>HYPERLINK("https://www.spark-marketing.ru/Card/Person/1005423", "МБОУ ""ООШ №7""")</f>
        <v>МБОУ "ООШ №7"</v>
      </c>
      <c r="B14068" s="24" t="s">
        <v>16935</v>
      </c>
      <c r="C14068" s="25">
        <v>1980511</v>
      </c>
      <c r="D14068" s="22" t="s">
        <v>18777</v>
      </c>
      <c r="E14068" s="22" t="s">
        <v>48</v>
      </c>
      <c r="F14068" s="23" t="str">
        <f t="shared" si="468"/>
        <v>Оказание услуг по организации питания</v>
      </c>
      <c r="G14068" s="22" t="s">
        <v>696</v>
      </c>
      <c r="H14068" s="22" t="s">
        <v>4697</v>
      </c>
      <c r="I14068" s="26">
        <v>43651.645474536999</v>
      </c>
      <c r="J14068" s="28" t="s">
        <v>51</v>
      </c>
      <c r="K14068" s="28" t="s">
        <v>51</v>
      </c>
      <c r="L14068" s="28" t="s">
        <v>51</v>
      </c>
      <c r="M14068" s="28" t="s">
        <v>51</v>
      </c>
      <c r="N14068" s="28" t="s">
        <v>51</v>
      </c>
    </row>
    <row r="14069" spans="1:14" hidden="1" outlineLevel="1" x14ac:dyDescent="0.15">
      <c r="A14069" s="23" t="str">
        <f>HYPERLINK("https://www.spark-marketing.ru/Card/Person/1005507", "МБОУ ""СОШ № 6""")</f>
        <v>МБОУ "СОШ № 6"</v>
      </c>
      <c r="B14069" s="24" t="s">
        <v>16936</v>
      </c>
      <c r="C14069" s="25">
        <v>5445518</v>
      </c>
      <c r="D14069" s="22" t="s">
        <v>18777</v>
      </c>
      <c r="E14069" s="22" t="s">
        <v>48</v>
      </c>
      <c r="F14069" s="23" t="str">
        <f t="shared" si="468"/>
        <v>Оказание услуг по организации питания</v>
      </c>
      <c r="G14069" s="22" t="s">
        <v>696</v>
      </c>
      <c r="H14069" s="22" t="s">
        <v>4697</v>
      </c>
      <c r="I14069" s="26">
        <v>43651.645474536999</v>
      </c>
      <c r="J14069" s="28" t="s">
        <v>51</v>
      </c>
      <c r="K14069" s="28" t="s">
        <v>51</v>
      </c>
      <c r="L14069" s="28" t="s">
        <v>51</v>
      </c>
      <c r="M14069" s="28" t="s">
        <v>51</v>
      </c>
      <c r="N14069" s="28" t="s">
        <v>51</v>
      </c>
    </row>
    <row r="14070" spans="1:14" hidden="1" outlineLevel="1" x14ac:dyDescent="0.15">
      <c r="A14070" s="23" t="str">
        <f>HYPERLINK("https://www.spark-marketing.ru/Card/Person/1005632", "МБОУ ""СОШ №21""")</f>
        <v>МБОУ "СОШ №21"</v>
      </c>
      <c r="B14070" s="24" t="s">
        <v>16937</v>
      </c>
      <c r="C14070" s="25">
        <v>5615870</v>
      </c>
      <c r="D14070" s="22" t="s">
        <v>18777</v>
      </c>
      <c r="E14070" s="22" t="s">
        <v>48</v>
      </c>
      <c r="F14070" s="23" t="str">
        <f t="shared" si="468"/>
        <v>Оказание услуг по организации питания</v>
      </c>
      <c r="G14070" s="22" t="s">
        <v>696</v>
      </c>
      <c r="H14070" s="22" t="s">
        <v>4697</v>
      </c>
      <c r="I14070" s="26">
        <v>43651.645474536999</v>
      </c>
      <c r="J14070" s="28" t="s">
        <v>51</v>
      </c>
      <c r="K14070" s="28" t="s">
        <v>51</v>
      </c>
      <c r="L14070" s="28" t="s">
        <v>51</v>
      </c>
      <c r="M14070" s="28" t="s">
        <v>51</v>
      </c>
      <c r="N14070" s="28" t="s">
        <v>51</v>
      </c>
    </row>
    <row r="14071" spans="1:14" hidden="1" outlineLevel="1" x14ac:dyDescent="0.15">
      <c r="A14071" s="23" t="str">
        <f>HYPERLINK("https://www.spark-marketing.ru/Card/Person/1005640", "МБОУ ""СОШ №16 С УИОП""")</f>
        <v>МБОУ "СОШ №16 С УИОП"</v>
      </c>
      <c r="B14071" s="24" t="s">
        <v>16938</v>
      </c>
      <c r="C14071" s="25">
        <v>5934435</v>
      </c>
      <c r="D14071" s="22" t="s">
        <v>18777</v>
      </c>
      <c r="E14071" s="22" t="s">
        <v>48</v>
      </c>
      <c r="F14071" s="23" t="str">
        <f t="shared" si="468"/>
        <v>Оказание услуг по организации питания</v>
      </c>
      <c r="G14071" s="22" t="s">
        <v>696</v>
      </c>
      <c r="H14071" s="22" t="s">
        <v>4697</v>
      </c>
      <c r="I14071" s="26">
        <v>43651.645474536999</v>
      </c>
      <c r="J14071" s="28" t="s">
        <v>51</v>
      </c>
      <c r="K14071" s="28" t="s">
        <v>51</v>
      </c>
      <c r="L14071" s="28" t="s">
        <v>51</v>
      </c>
      <c r="M14071" s="28" t="s">
        <v>51</v>
      </c>
      <c r="N14071" s="28" t="s">
        <v>51</v>
      </c>
    </row>
    <row r="14072" spans="1:14" hidden="1" outlineLevel="1" x14ac:dyDescent="0.15">
      <c r="A14072" s="23" t="str">
        <f>HYPERLINK("https://www.spark-marketing.ru/Card/Person/1005761", "МБОУ ""СОШ №11""")</f>
        <v>МБОУ "СОШ №11"</v>
      </c>
      <c r="B14072" s="24" t="s">
        <v>16939</v>
      </c>
      <c r="C14072" s="25">
        <v>3739970</v>
      </c>
      <c r="D14072" s="22" t="s">
        <v>18777</v>
      </c>
      <c r="E14072" s="22" t="s">
        <v>48</v>
      </c>
      <c r="F14072" s="23" t="str">
        <f t="shared" si="468"/>
        <v>Оказание услуг по организации питания</v>
      </c>
      <c r="G14072" s="22" t="s">
        <v>696</v>
      </c>
      <c r="H14072" s="22" t="s">
        <v>4697</v>
      </c>
      <c r="I14072" s="26">
        <v>43651.645474536999</v>
      </c>
      <c r="J14072" s="28" t="s">
        <v>51</v>
      </c>
      <c r="K14072" s="28" t="s">
        <v>51</v>
      </c>
      <c r="L14072" s="28" t="s">
        <v>51</v>
      </c>
      <c r="M14072" s="28" t="s">
        <v>51</v>
      </c>
      <c r="N14072" s="28" t="s">
        <v>51</v>
      </c>
    </row>
    <row r="14073" spans="1:14" hidden="1" outlineLevel="1" x14ac:dyDescent="0.15">
      <c r="A14073" s="23" t="str">
        <f>HYPERLINK("https://www.spark-marketing.ru/Card/Person/1005774", "МБОУ ""СОШ №30""")</f>
        <v>МБОУ "СОШ №30"</v>
      </c>
      <c r="B14073" s="24" t="s">
        <v>16940</v>
      </c>
      <c r="C14073" s="25">
        <v>7194330</v>
      </c>
      <c r="D14073" s="22" t="s">
        <v>18777</v>
      </c>
      <c r="E14073" s="22" t="s">
        <v>48</v>
      </c>
      <c r="F14073" s="23" t="str">
        <f t="shared" si="468"/>
        <v>Оказание услуг по организации питания</v>
      </c>
      <c r="G14073" s="22" t="s">
        <v>696</v>
      </c>
      <c r="H14073" s="22" t="s">
        <v>4697</v>
      </c>
      <c r="I14073" s="26">
        <v>43651.645474536999</v>
      </c>
      <c r="J14073" s="28" t="s">
        <v>51</v>
      </c>
      <c r="K14073" s="28" t="s">
        <v>51</v>
      </c>
      <c r="L14073" s="28" t="s">
        <v>51</v>
      </c>
      <c r="M14073" s="28" t="s">
        <v>51</v>
      </c>
      <c r="N14073" s="28" t="s">
        <v>51</v>
      </c>
    </row>
    <row r="14074" spans="1:14" hidden="1" outlineLevel="1" x14ac:dyDescent="0.15">
      <c r="A14074" s="23" t="str">
        <f>HYPERLINK("https://www.spark-marketing.ru/Card/Person/1006004", "МБОУ ""СРЕДНЯЯ ОБЩЕОБРАЗОВАТЕЛЬНАЯ ШКОЛА №17""")</f>
        <v>МБОУ "СРЕДНЯЯ ОБЩЕОБРАЗОВАТЕЛЬНАЯ ШКОЛА №17"</v>
      </c>
      <c r="B14074" s="24" t="s">
        <v>16941</v>
      </c>
      <c r="C14074" s="25">
        <v>3875001</v>
      </c>
      <c r="D14074" s="22" t="s">
        <v>18777</v>
      </c>
      <c r="E14074" s="22" t="s">
        <v>48</v>
      </c>
      <c r="F14074" s="23" t="str">
        <f t="shared" si="468"/>
        <v>Оказание услуг по организации питания</v>
      </c>
      <c r="G14074" s="22" t="s">
        <v>696</v>
      </c>
      <c r="H14074" s="22" t="s">
        <v>4697</v>
      </c>
      <c r="I14074" s="26">
        <v>43651.645474536999</v>
      </c>
      <c r="J14074" s="28" t="s">
        <v>51</v>
      </c>
      <c r="K14074" s="28" t="s">
        <v>51</v>
      </c>
      <c r="L14074" s="28" t="s">
        <v>51</v>
      </c>
      <c r="M14074" s="28" t="s">
        <v>51</v>
      </c>
      <c r="N14074" s="28" t="s">
        <v>51</v>
      </c>
    </row>
    <row r="14075" spans="1:14" hidden="1" outlineLevel="1" x14ac:dyDescent="0.15">
      <c r="A14075" s="23" t="str">
        <f>HYPERLINK("https://www.spark-marketing.ru/Card/Person/1006301", "МБОУ ""ОСНОВНАЯ ОБЩЕОБРАЗОВАТЕЛЬНАЯ КАПЛИНСКАЯ ШКОЛА""")</f>
        <v>МБОУ "ОСНОВНАЯ ОБЩЕОБРАЗОВАТЕЛЬНАЯ КАПЛИНСКАЯ ШКОЛА"</v>
      </c>
      <c r="B14075" s="24" t="s">
        <v>16942</v>
      </c>
      <c r="C14075" s="25">
        <v>2337439</v>
      </c>
      <c r="D14075" s="22" t="s">
        <v>18777</v>
      </c>
      <c r="E14075" s="22" t="s">
        <v>48</v>
      </c>
      <c r="F14075" s="23" t="str">
        <f t="shared" si="468"/>
        <v>Оказание услуг по организации питания</v>
      </c>
      <c r="G14075" s="22" t="s">
        <v>696</v>
      </c>
      <c r="H14075" s="22" t="s">
        <v>4697</v>
      </c>
      <c r="I14075" s="26">
        <v>43651.645474536999</v>
      </c>
      <c r="J14075" s="28" t="s">
        <v>51</v>
      </c>
      <c r="K14075" s="28" t="s">
        <v>51</v>
      </c>
      <c r="L14075" s="28" t="s">
        <v>51</v>
      </c>
      <c r="M14075" s="28" t="s">
        <v>51</v>
      </c>
      <c r="N14075" s="28" t="s">
        <v>51</v>
      </c>
    </row>
    <row r="14076" spans="1:14" hidden="1" outlineLevel="1" x14ac:dyDescent="0.15">
      <c r="A14076" s="23" t="str">
        <f>HYPERLINK("https://www.spark-marketing.ru/Card/Person/1006692", "МБОУ ""ООШ №15""")</f>
        <v>МБОУ "ООШ №15"</v>
      </c>
      <c r="B14076" s="24" t="s">
        <v>16943</v>
      </c>
      <c r="C14076" s="25">
        <v>2226406</v>
      </c>
      <c r="D14076" s="22" t="s">
        <v>18777</v>
      </c>
      <c r="E14076" s="22" t="s">
        <v>48</v>
      </c>
      <c r="F14076" s="23" t="str">
        <f t="shared" si="468"/>
        <v>Оказание услуг по организации питания</v>
      </c>
      <c r="G14076" s="22" t="s">
        <v>696</v>
      </c>
      <c r="H14076" s="22" t="s">
        <v>4697</v>
      </c>
      <c r="I14076" s="26">
        <v>43651.645474536999</v>
      </c>
      <c r="J14076" s="28" t="s">
        <v>51</v>
      </c>
      <c r="K14076" s="28" t="s">
        <v>51</v>
      </c>
      <c r="L14076" s="28" t="s">
        <v>51</v>
      </c>
      <c r="M14076" s="28" t="s">
        <v>51</v>
      </c>
      <c r="N14076" s="28" t="s">
        <v>51</v>
      </c>
    </row>
    <row r="14077" spans="1:14" hidden="1" outlineLevel="1" x14ac:dyDescent="0.15">
      <c r="A14077" s="23" t="str">
        <f>HYPERLINK("https://www.spark-marketing.ru/Card/Person/1067084", "МБОУ ""ОК ""ОЗЁРКИ""")</f>
        <v>МБОУ "ОК "ОЗЁРКИ"</v>
      </c>
      <c r="B14077" s="24" t="s">
        <v>16944</v>
      </c>
      <c r="C14077" s="25">
        <v>1972737</v>
      </c>
      <c r="D14077" s="22" t="s">
        <v>18777</v>
      </c>
      <c r="E14077" s="22" t="s">
        <v>48</v>
      </c>
      <c r="F14077" s="23" t="str">
        <f t="shared" si="468"/>
        <v>Оказание услуг по организации питания</v>
      </c>
      <c r="G14077" s="22" t="s">
        <v>696</v>
      </c>
      <c r="H14077" s="22" t="s">
        <v>4697</v>
      </c>
      <c r="I14077" s="26">
        <v>43651.645474536999</v>
      </c>
      <c r="J14077" s="28" t="s">
        <v>51</v>
      </c>
      <c r="K14077" s="28" t="s">
        <v>51</v>
      </c>
      <c r="L14077" s="28" t="s">
        <v>51</v>
      </c>
      <c r="M14077" s="28" t="s">
        <v>51</v>
      </c>
      <c r="N14077" s="28" t="s">
        <v>51</v>
      </c>
    </row>
    <row r="14078" spans="1:14" hidden="1" outlineLevel="1" x14ac:dyDescent="0.15">
      <c r="A14078" s="23" t="str">
        <f>HYPERLINK("https://www.spark-marketing.ru/Card/Person/6487012", "МБОУ ""ЦО ""ПЕРСПЕКТИВА""")</f>
        <v>МБОУ "ЦО "ПЕРСПЕКТИВА"</v>
      </c>
      <c r="B14078" s="24" t="s">
        <v>16916</v>
      </c>
      <c r="C14078" s="25">
        <v>2519452</v>
      </c>
      <c r="D14078" s="22" t="s">
        <v>18777</v>
      </c>
      <c r="E14078" s="22" t="s">
        <v>48</v>
      </c>
      <c r="F14078" s="23" t="str">
        <f t="shared" si="468"/>
        <v>Оказание услуг по организации питания</v>
      </c>
      <c r="G14078" s="22" t="s">
        <v>696</v>
      </c>
      <c r="H14078" s="22" t="s">
        <v>4697</v>
      </c>
      <c r="I14078" s="26">
        <v>43651.645474536999</v>
      </c>
      <c r="J14078" s="28" t="s">
        <v>51</v>
      </c>
      <c r="K14078" s="28" t="s">
        <v>51</v>
      </c>
      <c r="L14078" s="28" t="s">
        <v>51</v>
      </c>
      <c r="M14078" s="28" t="s">
        <v>51</v>
      </c>
      <c r="N14078" s="28" t="s">
        <v>51</v>
      </c>
    </row>
    <row r="14079" spans="1:14" hidden="1" outlineLevel="1" x14ac:dyDescent="0.15">
      <c r="A14079" s="23" t="str">
        <f>HYPERLINK("https://www.spark-marketing.ru/Card/Person/6487294", "МБОУ ""ЦО - СШ №22""")</f>
        <v>МБОУ "ЦО - СШ №22"</v>
      </c>
      <c r="B14079" s="24" t="s">
        <v>16917</v>
      </c>
      <c r="C14079" s="25">
        <v>5348343</v>
      </c>
      <c r="D14079" s="22" t="s">
        <v>18777</v>
      </c>
      <c r="E14079" s="22" t="s">
        <v>48</v>
      </c>
      <c r="F14079" s="23" t="str">
        <f t="shared" si="468"/>
        <v>Оказание услуг по организации питания</v>
      </c>
      <c r="G14079" s="22" t="s">
        <v>696</v>
      </c>
      <c r="H14079" s="22" t="s">
        <v>4697</v>
      </c>
      <c r="I14079" s="26">
        <v>43651.645474536999</v>
      </c>
      <c r="J14079" s="28" t="s">
        <v>51</v>
      </c>
      <c r="K14079" s="28" t="s">
        <v>51</v>
      </c>
      <c r="L14079" s="28" t="s">
        <v>51</v>
      </c>
      <c r="M14079" s="28" t="s">
        <v>51</v>
      </c>
      <c r="N14079" s="28" t="s">
        <v>51</v>
      </c>
    </row>
    <row r="14080" spans="1:14" x14ac:dyDescent="0.15">
      <c r="A14080" s="23" t="str">
        <f>HYPERLINK("https://www.spark-marketing.ru/Card/Person/142759", "МОУ СОШ №1 Г.МОЖАЙСКА")</f>
        <v>МОУ СОШ №1 Г.МОЖАЙСКА</v>
      </c>
      <c r="B14080" s="24" t="s">
        <v>7183</v>
      </c>
      <c r="C14080" s="25">
        <v>1408960</v>
      </c>
      <c r="D14080" s="22" t="s">
        <v>18778</v>
      </c>
      <c r="E14080" s="22" t="s">
        <v>362</v>
      </c>
      <c r="F14080" s="23" t="str">
        <f>HYPERLINK("https://www.spark-marketing.ru/Card/Lot/71917061", "оказание социальных услуг по организации питания отдельным категориям обучающихся (сентябрь-декабрь 2019г.)")</f>
        <v>оказание социальных услуг по организации питания отдельным категориям обучающихся (сентябрь-декабрь 2019г.)</v>
      </c>
      <c r="G14080" s="22" t="s">
        <v>49</v>
      </c>
      <c r="H14080" s="22" t="s">
        <v>49</v>
      </c>
      <c r="I14080" s="26">
        <v>43651.626087962999</v>
      </c>
      <c r="J14080" s="28" t="s">
        <v>51</v>
      </c>
      <c r="K14080" s="28" t="s">
        <v>51</v>
      </c>
      <c r="L14080" s="28" t="s">
        <v>51</v>
      </c>
      <c r="M14080" s="28" t="s">
        <v>51</v>
      </c>
      <c r="N14080" s="28" t="s">
        <v>51</v>
      </c>
    </row>
    <row r="14081" spans="1:14" x14ac:dyDescent="0.15">
      <c r="A14081" s="23" t="str">
        <f>HYPERLINK("https://www.spark-marketing.ru/Card/Person/1040942", "МДОУ Д/С № 60")</f>
        <v>МДОУ Д/С № 60</v>
      </c>
      <c r="B14081" s="24" t="s">
        <v>7193</v>
      </c>
      <c r="C14081" s="25">
        <v>638456.17000000004</v>
      </c>
      <c r="D14081" s="22" t="s">
        <v>18779</v>
      </c>
      <c r="E14081" s="22" t="s">
        <v>362</v>
      </c>
      <c r="F14081" s="23" t="str">
        <f>HYPERLINK("https://www.spark-marketing.ru/Card/Lot/71917116", "Оказание услуг по организации питания детей")</f>
        <v>Оказание услуг по организации питания детей</v>
      </c>
      <c r="G14081" s="22" t="s">
        <v>158</v>
      </c>
      <c r="H14081" s="22" t="s">
        <v>1380</v>
      </c>
      <c r="I14081" s="26">
        <v>43651.655381944402</v>
      </c>
      <c r="J14081" s="28" t="s">
        <v>51</v>
      </c>
      <c r="K14081" s="28" t="s">
        <v>51</v>
      </c>
      <c r="L14081" s="28" t="s">
        <v>51</v>
      </c>
      <c r="M14081" s="28" t="s">
        <v>51</v>
      </c>
      <c r="N14081" s="28" t="s">
        <v>51</v>
      </c>
    </row>
    <row r="14082" spans="1:14" x14ac:dyDescent="0.2">
      <c r="A14082" s="23" t="str">
        <f>HYPERLINK("https://www.spark-marketing.ru/Card/Person/765343", "КРОО (АО)")</f>
        <v>КРОО (АО)</v>
      </c>
      <c r="B14082" s="24" t="s">
        <v>17877</v>
      </c>
      <c r="C14082" s="25">
        <v>1800000</v>
      </c>
      <c r="D14082" s="22" t="s">
        <v>18780</v>
      </c>
      <c r="E14082" s="22" t="s">
        <v>554</v>
      </c>
      <c r="F14082" s="23" t="str">
        <f>HYPERLINK("https://www.spark-marketing.ru/Card/Lot/71916688", "Оказание услуг по организации участия субъектов малого и среднего предпринимательства Оренбургской области в Международной азиатской выставке импортных продуктов питания «ASIA &amp; IMPORT FOOD EXPO» (AIFE) Shanghai 2019 (коллективный стенд), 28-30 авгус...")</f>
        <v>Оказание услуг по организации участия субъектов малого и среднего предпринимательства Оренбургской области в Международной азиатской выставке импортных продуктов питания «ASIA &amp; IMPORT FOOD EXPO» (AIFE) Shanghai 2019 (коллективный стенд), 28-30 авгус...</v>
      </c>
      <c r="G14082" s="22" t="s">
        <v>132</v>
      </c>
      <c r="H14082" s="22" t="s">
        <v>132</v>
      </c>
      <c r="I14082" s="26">
        <v>43651.665462962999</v>
      </c>
      <c r="J14082" s="28" t="s">
        <v>51</v>
      </c>
      <c r="K14082" s="28" t="s">
        <v>51</v>
      </c>
      <c r="L14082" s="28" t="s">
        <v>51</v>
      </c>
      <c r="M14082" s="25">
        <v>1800000</v>
      </c>
      <c r="N14082" s="27">
        <v>0</v>
      </c>
    </row>
    <row r="14083" spans="1:14" x14ac:dyDescent="0.15">
      <c r="A14083" s="23" t="str">
        <f>HYPERLINK("https://www.spark-marketing.ru/Card/Person/22885", "КГБУЗ ""АЧИНСКАЯ МРБ""")</f>
        <v>КГБУЗ "АЧИНСКАЯ МРБ"</v>
      </c>
      <c r="B14083" s="24" t="s">
        <v>18781</v>
      </c>
      <c r="C14083" s="25">
        <v>232666.67</v>
      </c>
      <c r="D14083" s="22" t="s">
        <v>18782</v>
      </c>
      <c r="E14083" s="22" t="s">
        <v>355</v>
      </c>
      <c r="F14083" s="23" t="str">
        <f>HYPERLINK("https://www.spark-marketing.ru/Card/Lot/71925383", "ЭА 35/19 Оказание услуг по техническому обслуживанию, ремонту и обеспечению бесперебойной работы дизель-электрических станций и источников бесперебойного питания для нужд КГБУЗ ""Ачинская МРБ""")</f>
        <v>ЭА 35/19 Оказание услуг по техническому обслуживанию, ремонту и обеспечению бесперебойной работы дизель-электрических станций и источников бесперебойного питания для нужд КГБУЗ "Ачинская МРБ"</v>
      </c>
      <c r="G14083" s="22" t="s">
        <v>281</v>
      </c>
      <c r="H14083" s="22" t="s">
        <v>1657</v>
      </c>
      <c r="I14083" s="26">
        <v>43651.635648148098</v>
      </c>
      <c r="J14083" s="23" t="str">
        <f>HYPERLINK("https://www.spark-marketing.ru/Card/Person/171162", "Шестаков Сергей Николаевич")</f>
        <v>Шестаков Сергей Николаевич</v>
      </c>
      <c r="K14083" s="24" t="s">
        <v>18783</v>
      </c>
      <c r="L14083" s="28" t="s">
        <v>51</v>
      </c>
      <c r="M14083" s="28" t="s">
        <v>51</v>
      </c>
      <c r="N14083" s="28" t="s">
        <v>51</v>
      </c>
    </row>
    <row r="14084" spans="1:14" ht="12.75" hidden="1" outlineLevel="1" x14ac:dyDescent="0.2">
      <c r="A14084" s="23" t="str">
        <f>HYPERLINK("https://www.spark-marketing.ru/Card/Person/22885", "КГБУЗ ""АЧИНСКАЯ МРБ""")</f>
        <v>КГБУЗ "АЧИНСКАЯ МРБ"</v>
      </c>
      <c r="B14084" s="24" t="s">
        <v>18781</v>
      </c>
      <c r="C14084" s="25">
        <v>232666.67</v>
      </c>
      <c r="D14084" s="22" t="s">
        <v>18782</v>
      </c>
      <c r="E14084" s="22" t="s">
        <v>355</v>
      </c>
      <c r="F14084" s="23" t="str">
        <f>HYPERLINK("https://www.spark-marketing.ru/Card/Lot/71925383", "ЭА 35/19 Оказание услуг по техническому обслуживанию, ремонту и обеспечению бесперебойной работы дизель-электрических станций и источников бесперебойного питания для нужд КГБУЗ ""Ачинская МРБ""")</f>
        <v>ЭА 35/19 Оказание услуг по техническому обслуживанию, ремонту и обеспечению бесперебойной работы дизель-электрических станций и источников бесперебойного питания для нужд КГБУЗ "Ачинская МРБ"</v>
      </c>
      <c r="G14084" s="22" t="s">
        <v>281</v>
      </c>
      <c r="H14084" s="22" t="s">
        <v>1657</v>
      </c>
      <c r="I14084" s="26">
        <v>43651.635648148098</v>
      </c>
      <c r="J14084" s="23" t="str">
        <f>HYPERLINK("https://www.spark-marketing.ru/Card/Person/171162", "Шестаков Сергей Николаевич")</f>
        <v>Шестаков Сергей Николаевич</v>
      </c>
      <c r="K14084" s="24" t="s">
        <v>18783</v>
      </c>
      <c r="L14084" s="22" t="s">
        <v>10</v>
      </c>
      <c r="M14084" s="25">
        <v>231503.33</v>
      </c>
      <c r="N14084" s="27">
        <v>5.0000285816614812E-3</v>
      </c>
    </row>
    <row r="14085" spans="1:14" x14ac:dyDescent="0.15">
      <c r="A14085" s="23" t="str">
        <f>HYPERLINK("https://www.spark-marketing.ru/Card/Person/947542", "КГКУ ""РМЦ""")</f>
        <v>КГКУ "РМЦ"</v>
      </c>
      <c r="B14085" s="24" t="s">
        <v>18784</v>
      </c>
      <c r="C14085" s="25">
        <v>143353.32999999999</v>
      </c>
      <c r="D14085" s="22" t="s">
        <v>18785</v>
      </c>
      <c r="E14085" s="22" t="s">
        <v>48</v>
      </c>
      <c r="F14085" s="23" t="str">
        <f>HYPERLINK("https://www.spark-marketing.ru/Card/Lot/71924886", "ЗК № 44070/19 - Услуги по организации горячего питания в рамках проведения мероприятия, посвященного празднованию Дня Воздушно-десантных войск")</f>
        <v>ЗК № 44070/19 - Услуги по организации горячего питания в рамках проведения мероприятия, посвященного празднованию Дня Воздушно-десантных войск</v>
      </c>
      <c r="G14085" s="22" t="s">
        <v>281</v>
      </c>
      <c r="H14085" s="22" t="s">
        <v>1036</v>
      </c>
      <c r="I14085" s="26">
        <v>43651.6390046296</v>
      </c>
      <c r="J14085" s="28" t="s">
        <v>51</v>
      </c>
      <c r="K14085" s="28" t="s">
        <v>51</v>
      </c>
      <c r="L14085" s="28" t="s">
        <v>51</v>
      </c>
      <c r="M14085" s="28" t="s">
        <v>51</v>
      </c>
      <c r="N14085" s="28" t="s">
        <v>51</v>
      </c>
    </row>
    <row r="14086" spans="1:14" hidden="1" outlineLevel="1" x14ac:dyDescent="0.2">
      <c r="A14086" s="23" t="str">
        <f>HYPERLINK("https://www.spark-marketing.ru/Card/Person/947542", "КГКУ ""РМЦ""")</f>
        <v>КГКУ "РМЦ"</v>
      </c>
      <c r="B14086" s="24" t="s">
        <v>18784</v>
      </c>
      <c r="C14086" s="25">
        <v>143353.32999999999</v>
      </c>
      <c r="D14086" s="22" t="s">
        <v>18785</v>
      </c>
      <c r="E14086" s="22" t="s">
        <v>48</v>
      </c>
      <c r="F14086" s="23" t="str">
        <f>HYPERLINK("https://www.spark-marketing.ru/Card/Lot/71924886", "ЗК № 44070/19 - Услуги по организации горячего питания в рамках проведения мероприятия, посвященного празднованию Дня Воздушно-десантных войск")</f>
        <v>ЗК № 44070/19 - Услуги по организации горячего питания в рамках проведения мероприятия, посвященного празднованию Дня Воздушно-десантных войск</v>
      </c>
      <c r="G14086" s="22" t="s">
        <v>281</v>
      </c>
      <c r="H14086" s="22" t="s">
        <v>1036</v>
      </c>
      <c r="I14086" s="26">
        <v>43651.6390046296</v>
      </c>
      <c r="J14086" s="23" t="str">
        <f>HYPERLINK("https://www.spark-marketing.ru/Card/Person/1911223", "ООО ""ЛЕ РОЙ ТРЕЙДИНГ""")</f>
        <v>ООО "ЛЕ РОЙ ТРЕЙДИНГ"</v>
      </c>
      <c r="K14086" s="24" t="s">
        <v>6233</v>
      </c>
      <c r="L14086" s="28" t="s">
        <v>51</v>
      </c>
      <c r="M14086" s="25">
        <v>136200</v>
      </c>
      <c r="N14086" s="27">
        <v>4.989999185927526E-2</v>
      </c>
    </row>
    <row r="14087" spans="1:14" hidden="1" outlineLevel="1" x14ac:dyDescent="0.2">
      <c r="A14087" s="23" t="str">
        <f>HYPERLINK("https://www.spark-marketing.ru/Card/Person/947542", "КГКУ ""РМЦ""")</f>
        <v>КГКУ "РМЦ"</v>
      </c>
      <c r="B14087" s="24" t="s">
        <v>18784</v>
      </c>
      <c r="C14087" s="25">
        <v>143353.32999999999</v>
      </c>
      <c r="D14087" s="22" t="s">
        <v>18785</v>
      </c>
      <c r="E14087" s="22" t="s">
        <v>48</v>
      </c>
      <c r="F14087" s="23" t="str">
        <f>HYPERLINK("https://www.spark-marketing.ru/Card/Lot/71924886", "ЗК № 44070/19 - Услуги по организации горячего питания в рамках проведения мероприятия, посвященного празднованию Дня Воздушно-десантных войск")</f>
        <v>ЗК № 44070/19 - Услуги по организации горячего питания в рамках проведения мероприятия, посвященного празднованию Дня Воздушно-десантных войск</v>
      </c>
      <c r="G14087" s="22" t="s">
        <v>281</v>
      </c>
      <c r="H14087" s="22" t="s">
        <v>1036</v>
      </c>
      <c r="I14087" s="26">
        <v>43651.6390046296</v>
      </c>
      <c r="J14087" s="23" t="str">
        <f>HYPERLINK("https://www.spark-marketing.ru/Card/Person/4680987", "Сацик Кирилл Александрович")</f>
        <v>Сацик Кирилл Александрович</v>
      </c>
      <c r="K14087" s="24" t="s">
        <v>13786</v>
      </c>
      <c r="L14087" s="28" t="s">
        <v>51</v>
      </c>
      <c r="M14087" s="25">
        <v>138610</v>
      </c>
      <c r="N14087" s="27">
        <v>3.3088383785713243E-2</v>
      </c>
    </row>
    <row r="14088" spans="1:14" ht="12.75" hidden="1" outlineLevel="1" x14ac:dyDescent="0.2">
      <c r="A14088" s="23" t="str">
        <f>HYPERLINK("https://www.spark-marketing.ru/Card/Person/947542", "КГКУ ""РМЦ""")</f>
        <v>КГКУ "РМЦ"</v>
      </c>
      <c r="B14088" s="24" t="s">
        <v>18784</v>
      </c>
      <c r="C14088" s="25">
        <v>143353.32999999999</v>
      </c>
      <c r="D14088" s="22" t="s">
        <v>18785</v>
      </c>
      <c r="E14088" s="22" t="s">
        <v>48</v>
      </c>
      <c r="F14088" s="23" t="str">
        <f>HYPERLINK("https://www.spark-marketing.ru/Card/Lot/71924886", "ЗК № 44070/19 - Услуги по организации горячего питания в рамках проведения мероприятия, посвященного празднованию Дня Воздушно-десантных войск")</f>
        <v>ЗК № 44070/19 - Услуги по организации горячего питания в рамках проведения мероприятия, посвященного празднованию Дня Воздушно-десантных войск</v>
      </c>
      <c r="G14088" s="22" t="s">
        <v>281</v>
      </c>
      <c r="H14088" s="22" t="s">
        <v>1036</v>
      </c>
      <c r="I14088" s="26">
        <v>43651.6390046296</v>
      </c>
      <c r="J14088" s="23" t="str">
        <f>HYPERLINK("https://www.spark-marketing.ru/Card/Person/368189", "ООО ПКФ ""ВОЛГА""")</f>
        <v>ООО ПКФ "ВОЛГА"</v>
      </c>
      <c r="K14088" s="24" t="s">
        <v>18786</v>
      </c>
      <c r="L14088" s="22" t="s">
        <v>10</v>
      </c>
      <c r="M14088" s="25">
        <v>100000</v>
      </c>
      <c r="N14088" s="27">
        <v>0.3024229015119495</v>
      </c>
    </row>
    <row r="14089" spans="1:14" hidden="1" outlineLevel="1" x14ac:dyDescent="0.2">
      <c r="A14089" s="23" t="str">
        <f>HYPERLINK("https://www.spark-marketing.ru/Card/Person/947542", "КГКУ ""РМЦ""")</f>
        <v>КГКУ "РМЦ"</v>
      </c>
      <c r="B14089" s="24" t="s">
        <v>18784</v>
      </c>
      <c r="C14089" s="25">
        <v>143353.32999999999</v>
      </c>
      <c r="D14089" s="22" t="s">
        <v>18785</v>
      </c>
      <c r="E14089" s="22" t="s">
        <v>48</v>
      </c>
      <c r="F14089" s="23" t="str">
        <f>HYPERLINK("https://www.spark-marketing.ru/Card/Lot/71924886", "ЗК № 44070/19 - Услуги по организации горячего питания в рамках проведения мероприятия, посвященного празднованию Дня Воздушно-десантных войск")</f>
        <v>ЗК № 44070/19 - Услуги по организации горячего питания в рамках проведения мероприятия, посвященного празднованию Дня Воздушно-десантных войск</v>
      </c>
      <c r="G14089" s="22" t="s">
        <v>281</v>
      </c>
      <c r="H14089" s="22" t="s">
        <v>1036</v>
      </c>
      <c r="I14089" s="26">
        <v>43651.6390046296</v>
      </c>
      <c r="J14089" s="23" t="str">
        <f>HYPERLINK("https://www.spark-marketing.ru/Card/Person/968385", "Пальников Владимир Иванович")</f>
        <v>Пальников Владимир Иванович</v>
      </c>
      <c r="K14089" s="24" t="s">
        <v>18787</v>
      </c>
      <c r="L14089" s="28" t="s">
        <v>51</v>
      </c>
      <c r="M14089" s="25">
        <v>119800</v>
      </c>
      <c r="N14089" s="27">
        <v>0.16430263601131553</v>
      </c>
    </row>
    <row r="14090" spans="1:14" x14ac:dyDescent="0.15">
      <c r="A14090" s="23" t="str">
        <f>HYPERLINK("https://www.spark-marketing.ru/Card/Person/4349872", "АО ""АВИАКОМПАНИЯ ""РОССИЯ""")</f>
        <v>АО "АВИАКОМПАНИЯ "РОССИЯ"</v>
      </c>
      <c r="B14090" s="24" t="s">
        <v>785</v>
      </c>
      <c r="C14090" s="25">
        <v>9695000</v>
      </c>
      <c r="D14090" s="22" t="s">
        <v>18788</v>
      </c>
      <c r="E14090" s="22" t="s">
        <v>769</v>
      </c>
      <c r="F14090" s="23" t="str">
        <f>HYPERLINK("https://www.spark-marketing.ru/Card/Lot/71919049", "Оказание услуг по размещению, питанию, трансферу экипажей, командировочных сотрудников")</f>
        <v>Оказание услуг по размещению, питанию, трансферу экипажей, командировочных сотрудников</v>
      </c>
      <c r="G14090" s="22" t="s">
        <v>281</v>
      </c>
      <c r="H14090" s="22" t="s">
        <v>1036</v>
      </c>
      <c r="I14090" s="26">
        <v>43651.661516203698</v>
      </c>
      <c r="J14090" s="28" t="s">
        <v>51</v>
      </c>
      <c r="K14090" s="28" t="s">
        <v>51</v>
      </c>
      <c r="L14090" s="28" t="s">
        <v>51</v>
      </c>
      <c r="M14090" s="28" t="s">
        <v>51</v>
      </c>
      <c r="N14090" s="28" t="s">
        <v>51</v>
      </c>
    </row>
    <row r="14091" spans="1:14" x14ac:dyDescent="0.2">
      <c r="A14091" s="23" t="str">
        <f>HYPERLINK("https://www.spark-marketing.ru/Card/Person/106524", "МАУ ""ЗДОЛ ""ЗОЛОТОЙ ЛУГ""")</f>
        <v>МАУ "ЗДОЛ "ЗОЛОТОЙ ЛУГ"</v>
      </c>
      <c r="B14091" s="24" t="s">
        <v>9277</v>
      </c>
      <c r="C14091" s="25">
        <v>965940</v>
      </c>
      <c r="D14091" s="22" t="s">
        <v>18789</v>
      </c>
      <c r="E14091" s="22" t="s">
        <v>362</v>
      </c>
      <c r="F14091" s="23" t="str">
        <f>HYPERLINK("https://www.spark-marketing.ru/Card/Lot/71915551", "Оказание услуг по организации питания детей в загородном оздоровительном лагере МАУ «ЗДОЛ «Золотой луг» в период летних каникул 2019 года")</f>
        <v>Оказание услуг по организации питания детей в загородном оздоровительном лагере МАУ «ЗДОЛ «Золотой луг» в период летних каникул 2019 года</v>
      </c>
      <c r="G14091" s="22" t="s">
        <v>174</v>
      </c>
      <c r="H14091" s="22" t="s">
        <v>174</v>
      </c>
      <c r="I14091" s="26">
        <v>43651.636018518497</v>
      </c>
      <c r="J14091" s="28" t="s">
        <v>51</v>
      </c>
      <c r="K14091" s="28" t="s">
        <v>51</v>
      </c>
      <c r="L14091" s="22" t="s">
        <v>10</v>
      </c>
      <c r="M14091" s="25">
        <v>965940</v>
      </c>
      <c r="N14091" s="27">
        <v>0</v>
      </c>
    </row>
    <row r="14092" spans="1:14" x14ac:dyDescent="0.15">
      <c r="A14092" s="23" t="str">
        <f>HYPERLINK("https://www.spark-marketing.ru/Card/Person/4101", "ФКУ ""ЦХИСО ГУ МВД РОССИИ ПО ВОРОНЕЖСКОЙ ОБЛАСТИ""")</f>
        <v>ФКУ "ЦХИСО ГУ МВД РОССИИ ПО ВОРОНЕЖСКОЙ ОБЛАСТИ"</v>
      </c>
      <c r="B14092" s="24" t="s">
        <v>18790</v>
      </c>
      <c r="C14092" s="25">
        <v>7140000</v>
      </c>
      <c r="D14092" s="22" t="s">
        <v>18791</v>
      </c>
      <c r="E14092" s="22" t="s">
        <v>48</v>
      </c>
      <c r="F14092" s="23" t="str">
        <f>HYPERLINK("https://www.spark-marketing.ru/Card/Lot/71930557", "Оказание услуг  по организации ежедневного трехразового горячего питания иностранных граждан и лиц без гражданства, содержащихся в ЦВСИГ ГУ МВД России по Воронежской области")</f>
        <v>Оказание услуг  по организации ежедневного трехразового горячего питания иностранных граждан и лиц без гражданства, содержащихся в ЦВСИГ ГУ МВД России по Воронежской области</v>
      </c>
      <c r="G14092" s="22" t="s">
        <v>82</v>
      </c>
      <c r="H14092" s="22" t="s">
        <v>83</v>
      </c>
      <c r="I14092" s="26">
        <v>43651.597731481503</v>
      </c>
      <c r="J14092" s="28" t="s">
        <v>51</v>
      </c>
      <c r="K14092" s="28" t="s">
        <v>51</v>
      </c>
      <c r="L14092" s="28" t="s">
        <v>51</v>
      </c>
      <c r="M14092" s="28" t="s">
        <v>51</v>
      </c>
      <c r="N14092" s="28" t="s">
        <v>51</v>
      </c>
    </row>
    <row r="14093" spans="1:14" ht="12.75" hidden="1" outlineLevel="1" x14ac:dyDescent="0.2">
      <c r="A14093" s="23" t="str">
        <f>HYPERLINK("https://www.spark-marketing.ru/Card/Person/4101", "ФКУ ""ЦХИСО ГУ МВД РОССИИ ПО ВОРОНЕЖСКОЙ ОБЛАСТИ""")</f>
        <v>ФКУ "ЦХИСО ГУ МВД РОССИИ ПО ВОРОНЕЖСКОЙ ОБЛАСТИ"</v>
      </c>
      <c r="B14093" s="24" t="s">
        <v>18790</v>
      </c>
      <c r="C14093" s="25">
        <v>7140000</v>
      </c>
      <c r="D14093" s="22" t="s">
        <v>18791</v>
      </c>
      <c r="E14093" s="22" t="s">
        <v>48</v>
      </c>
      <c r="F14093" s="23" t="str">
        <f>HYPERLINK("https://www.spark-marketing.ru/Card/Lot/71930557", "Оказание услуг  по организации ежедневного трехразового горячего питания иностранных граждан и лиц без гражданства, содержащихся в ЦВСИГ ГУ МВД России по Воронежской области")</f>
        <v>Оказание услуг  по организации ежедневного трехразового горячего питания иностранных граждан и лиц без гражданства, содержащихся в ЦВСИГ ГУ МВД России по Воронежской области</v>
      </c>
      <c r="G14093" s="22" t="s">
        <v>82</v>
      </c>
      <c r="H14093" s="22" t="s">
        <v>83</v>
      </c>
      <c r="I14093" s="26">
        <v>43651.597731481503</v>
      </c>
      <c r="J14093" s="23" t="str">
        <f>HYPERLINK("https://www.spark-marketing.ru/Card/Person/1271665", "Смагина Ольга Владимировна")</f>
        <v>Смагина Ольга Владимировна</v>
      </c>
      <c r="K14093" s="24" t="s">
        <v>7175</v>
      </c>
      <c r="L14093" s="22" t="s">
        <v>10</v>
      </c>
      <c r="M14093" s="25">
        <v>1303.8</v>
      </c>
      <c r="N14093" s="27">
        <v>0.99981739495798316</v>
      </c>
    </row>
    <row r="14094" spans="1:14" hidden="1" outlineLevel="1" x14ac:dyDescent="0.2">
      <c r="A14094" s="23" t="str">
        <f>HYPERLINK("https://www.spark-marketing.ru/Card/Person/4101", "ФКУ ""ЦХИСО ГУ МВД РОССИИ ПО ВОРОНЕЖСКОЙ ОБЛАСТИ""")</f>
        <v>ФКУ "ЦХИСО ГУ МВД РОССИИ ПО ВОРОНЕЖСКОЙ ОБЛАСТИ"</v>
      </c>
      <c r="B14094" s="24" t="s">
        <v>18790</v>
      </c>
      <c r="C14094" s="25">
        <v>7140000</v>
      </c>
      <c r="D14094" s="22" t="s">
        <v>18791</v>
      </c>
      <c r="E14094" s="22" t="s">
        <v>48</v>
      </c>
      <c r="F14094" s="23" t="str">
        <f>HYPERLINK("https://www.spark-marketing.ru/Card/Lot/71930557", "Оказание услуг  по организации ежедневного трехразового горячего питания иностранных граждан и лиц без гражданства, содержащихся в ЦВСИГ ГУ МВД России по Воронежской области")</f>
        <v>Оказание услуг  по организации ежедневного трехразового горячего питания иностранных граждан и лиц без гражданства, содержащихся в ЦВСИГ ГУ МВД России по Воронежской области</v>
      </c>
      <c r="G14094" s="22" t="s">
        <v>82</v>
      </c>
      <c r="H14094" s="22" t="s">
        <v>83</v>
      </c>
      <c r="I14094" s="26">
        <v>43651.597731481503</v>
      </c>
      <c r="J14094" s="23" t="str">
        <f>HYPERLINK("https://www.spark-marketing.ru/Card/Person/527102", "ООО ""ППВ""")</f>
        <v>ООО "ППВ"</v>
      </c>
      <c r="K14094" s="24" t="s">
        <v>18792</v>
      </c>
      <c r="L14094" s="28" t="s">
        <v>51</v>
      </c>
      <c r="M14094" s="25">
        <v>1310.3800000000001</v>
      </c>
      <c r="N14094" s="27">
        <v>0.99981647338935575</v>
      </c>
    </row>
    <row r="14095" spans="1:14" x14ac:dyDescent="0.15">
      <c r="A14095" s="23" t="str">
        <f>HYPERLINK("https://www.spark-marketing.ru/Card/Person/1033926", "ГАУК ПО ""ТЕАТРАЛЬНО-КОНЦЕРТНАЯ ДИРЕКЦИЯ""")</f>
        <v>ГАУК ПО "ТЕАТРАЛЬНО-КОНЦЕРТНАЯ ДИРЕКЦИЯ"</v>
      </c>
      <c r="B14095" s="24" t="s">
        <v>18793</v>
      </c>
      <c r="C14095" s="25">
        <v>123900</v>
      </c>
      <c r="D14095" s="22" t="s">
        <v>18794</v>
      </c>
      <c r="E14095" s="22" t="s">
        <v>362</v>
      </c>
      <c r="F14095" s="23" t="str">
        <f>HYPERLINK("https://www.spark-marketing.ru/Card/Lot/71917562", "Оказание услуг по организации питания в рамках проведения Международной встречи на «Кургане дружбы»")</f>
        <v>Оказание услуг по организации питания в рамках проведения Международной встречи на «Кургане дружбы»</v>
      </c>
      <c r="G14095" s="22" t="s">
        <v>415</v>
      </c>
      <c r="H14095" s="22" t="s">
        <v>415</v>
      </c>
      <c r="I14095" s="26">
        <v>43651.6080671296</v>
      </c>
      <c r="J14095" s="28" t="s">
        <v>51</v>
      </c>
      <c r="K14095" s="28" t="s">
        <v>51</v>
      </c>
      <c r="L14095" s="28" t="s">
        <v>51</v>
      </c>
      <c r="M14095" s="28" t="s">
        <v>51</v>
      </c>
      <c r="N14095" s="28" t="s">
        <v>51</v>
      </c>
    </row>
    <row r="14096" spans="1:14" x14ac:dyDescent="0.15">
      <c r="A14096" s="23" t="str">
        <f>HYPERLINK("https://www.spark-marketing.ru/Card/Person/4101", "ФКУ ""ЦХИСО ГУ МВД РОССИИ ПО ВОРОНЕЖСКОЙ ОБЛАСТИ""")</f>
        <v>ФКУ "ЦХИСО ГУ МВД РОССИИ ПО ВОРОНЕЖСКОЙ ОБЛАСТИ"</v>
      </c>
      <c r="B14096" s="24" t="s">
        <v>18790</v>
      </c>
      <c r="C14096" s="25">
        <v>7140000</v>
      </c>
      <c r="D14096" s="22" t="s">
        <v>18795</v>
      </c>
      <c r="E14096" s="22" t="s">
        <v>48</v>
      </c>
      <c r="F14096" s="23" t="str">
        <f>HYPERLINK("https://www.spark-marketing.ru/Card/Lot/71930485", "Оказание услуг  по организации ежедневного трехразового горячего питания иностранных граждан и лиц без гражданства, содержащихся в ЦВСИГ ГУ МВД России по Воронежской области")</f>
        <v>Оказание услуг  по организации ежедневного трехразового горячего питания иностранных граждан и лиц без гражданства, содержащихся в ЦВСИГ ГУ МВД России по Воронежской области</v>
      </c>
      <c r="G14096" s="22" t="s">
        <v>82</v>
      </c>
      <c r="H14096" s="22" t="s">
        <v>83</v>
      </c>
      <c r="I14096" s="26">
        <v>43651.5846759259</v>
      </c>
      <c r="J14096" s="28" t="s">
        <v>51</v>
      </c>
      <c r="K14096" s="28" t="s">
        <v>51</v>
      </c>
      <c r="L14096" s="28" t="s">
        <v>51</v>
      </c>
      <c r="M14096" s="28" t="s">
        <v>51</v>
      </c>
      <c r="N14096" s="28" t="s">
        <v>51</v>
      </c>
    </row>
    <row r="14097" spans="1:14" ht="12.75" hidden="1" outlineLevel="1" x14ac:dyDescent="0.2">
      <c r="A14097" s="23" t="str">
        <f>HYPERLINK("https://www.spark-marketing.ru/Card/Person/4101", "ФКУ ""ЦХИСО ГУ МВД РОССИИ ПО ВОРОНЕЖСКОЙ ОБЛАСТИ""")</f>
        <v>ФКУ "ЦХИСО ГУ МВД РОССИИ ПО ВОРОНЕЖСКОЙ ОБЛАСТИ"</v>
      </c>
      <c r="B14097" s="24" t="s">
        <v>18790</v>
      </c>
      <c r="C14097" s="25">
        <v>7140000</v>
      </c>
      <c r="D14097" s="22" t="s">
        <v>18795</v>
      </c>
      <c r="E14097" s="22" t="s">
        <v>48</v>
      </c>
      <c r="F14097" s="23" t="str">
        <f>HYPERLINK("https://www.spark-marketing.ru/Card/Lot/71930485", "Оказание услуг  по организации ежедневного трехразового горячего питания иностранных граждан и лиц без гражданства, содержащихся в ЦВСИГ ГУ МВД России по Воронежской области")</f>
        <v>Оказание услуг  по организации ежедневного трехразового горячего питания иностранных граждан и лиц без гражданства, содержащихся в ЦВСИГ ГУ МВД России по Воронежской области</v>
      </c>
      <c r="G14097" s="22" t="s">
        <v>82</v>
      </c>
      <c r="H14097" s="22" t="s">
        <v>83</v>
      </c>
      <c r="I14097" s="26">
        <v>43651.5846759259</v>
      </c>
      <c r="J14097" s="23" t="str">
        <f>HYPERLINK("https://www.spark-marketing.ru/Card/Person/1271665", "Смагина Ольга Владимировна")</f>
        <v>Смагина Ольга Владимировна</v>
      </c>
      <c r="K14097" s="24" t="s">
        <v>7175</v>
      </c>
      <c r="L14097" s="22" t="s">
        <v>10</v>
      </c>
      <c r="M14097" s="25">
        <v>1303.8</v>
      </c>
      <c r="N14097" s="27">
        <v>0.99981739495798316</v>
      </c>
    </row>
    <row r="14098" spans="1:14" hidden="1" outlineLevel="1" x14ac:dyDescent="0.2">
      <c r="A14098" s="23" t="str">
        <f>HYPERLINK("https://www.spark-marketing.ru/Card/Person/4101", "ФКУ ""ЦХИСО ГУ МВД РОССИИ ПО ВОРОНЕЖСКОЙ ОБЛАСТИ""")</f>
        <v>ФКУ "ЦХИСО ГУ МВД РОССИИ ПО ВОРОНЕЖСКОЙ ОБЛАСТИ"</v>
      </c>
      <c r="B14098" s="24" t="s">
        <v>18790</v>
      </c>
      <c r="C14098" s="25">
        <v>7140000</v>
      </c>
      <c r="D14098" s="22" t="s">
        <v>18795</v>
      </c>
      <c r="E14098" s="22" t="s">
        <v>48</v>
      </c>
      <c r="F14098" s="23" t="str">
        <f>HYPERLINK("https://www.spark-marketing.ru/Card/Lot/71930485", "Оказание услуг  по организации ежедневного трехразового горячего питания иностранных граждан и лиц без гражданства, содержащихся в ЦВСИГ ГУ МВД России по Воронежской области")</f>
        <v>Оказание услуг  по организации ежедневного трехразового горячего питания иностранных граждан и лиц без гражданства, содержащихся в ЦВСИГ ГУ МВД России по Воронежской области</v>
      </c>
      <c r="G14098" s="22" t="s">
        <v>82</v>
      </c>
      <c r="H14098" s="22" t="s">
        <v>83</v>
      </c>
      <c r="I14098" s="26">
        <v>43651.5846759259</v>
      </c>
      <c r="J14098" s="23" t="str">
        <f>HYPERLINK("https://www.spark-marketing.ru/Card/Person/527102", "ООО ""ППВ""")</f>
        <v>ООО "ППВ"</v>
      </c>
      <c r="K14098" s="24" t="s">
        <v>18792</v>
      </c>
      <c r="L14098" s="28" t="s">
        <v>51</v>
      </c>
      <c r="M14098" s="25">
        <v>1310.3800000000001</v>
      </c>
      <c r="N14098" s="27">
        <v>0.99981647338935575</v>
      </c>
    </row>
    <row r="14099" spans="1:14" x14ac:dyDescent="0.15">
      <c r="A14099" s="23" t="str">
        <f>HYPERLINK("https://www.spark-marketing.ru/Card/Person/1020898", "МБУ ДО""УСТЬЯНСКАЯ ДЮСШ""")</f>
        <v>МБУ ДО"УСТЬЯНСКАЯ ДЮСШ"</v>
      </c>
      <c r="B14099" s="24" t="s">
        <v>12821</v>
      </c>
      <c r="C14099" s="25">
        <v>539000</v>
      </c>
      <c r="D14099" s="22" t="s">
        <v>18796</v>
      </c>
      <c r="E14099" s="22" t="s">
        <v>362</v>
      </c>
      <c r="F14099" s="23" t="str">
        <f>HYPERLINK("https://www.spark-marketing.ru/Card/Lot/71917047", "Услуги по организации питания спортивно-оздоровительного лагеря")</f>
        <v>Услуги по организации питания спортивно-оздоровительного лагеря</v>
      </c>
      <c r="G14099" s="22" t="s">
        <v>214</v>
      </c>
      <c r="H14099" s="22" t="s">
        <v>214</v>
      </c>
      <c r="I14099" s="26">
        <v>43651.620138888902</v>
      </c>
      <c r="J14099" s="28" t="s">
        <v>51</v>
      </c>
      <c r="K14099" s="28" t="s">
        <v>51</v>
      </c>
      <c r="L14099" s="28" t="s">
        <v>51</v>
      </c>
      <c r="M14099" s="28" t="s">
        <v>51</v>
      </c>
      <c r="N14099" s="28" t="s">
        <v>51</v>
      </c>
    </row>
    <row r="14100" spans="1:14" x14ac:dyDescent="0.15">
      <c r="A14100" s="23" t="str">
        <f>HYPERLINK("https://www.spark-marketing.ru/Card/Person/147330", "УМВД РОССИИ ПО ИВАНОВСКОЙ ОБЛАСТИ")</f>
        <v>УМВД РОССИИ ПО ИВАНОВСКОЙ ОБЛАСТИ</v>
      </c>
      <c r="B14100" s="24" t="s">
        <v>10236</v>
      </c>
      <c r="C14100" s="25">
        <v>1968938.4</v>
      </c>
      <c r="D14100" s="22" t="s">
        <v>18797</v>
      </c>
      <c r="E14100" s="22" t="s">
        <v>48</v>
      </c>
      <c r="F14100" s="23" t="str">
        <f>HYPERLINK("https://www.spark-marketing.ru/Card/Lot/71926399", "Оказание услуг по обеспечению горячим питанием лиц, содержащихся в Изоляторе временного содержания и Специальном приемнике УМВД России по Ивановской области")</f>
        <v>Оказание услуг по обеспечению горячим питанием лиц, содержащихся в Изоляторе временного содержания и Специальном приемнике УМВД России по Ивановской области</v>
      </c>
      <c r="G14100" s="22" t="s">
        <v>1047</v>
      </c>
      <c r="H14100" s="22" t="s">
        <v>1047</v>
      </c>
      <c r="I14100" s="26">
        <v>43651.584780092599</v>
      </c>
      <c r="J14100" s="28" t="s">
        <v>51</v>
      </c>
      <c r="K14100" s="28" t="s">
        <v>51</v>
      </c>
      <c r="L14100" s="28" t="s">
        <v>51</v>
      </c>
      <c r="M14100" s="28" t="s">
        <v>51</v>
      </c>
      <c r="N14100" s="28" t="s">
        <v>51</v>
      </c>
    </row>
    <row r="14101" spans="1:14" hidden="1" outlineLevel="1" x14ac:dyDescent="0.2">
      <c r="A14101" s="23" t="str">
        <f>HYPERLINK("https://www.spark-marketing.ru/Card/Person/147330", "УМВД РОССИИ ПО ИВАНОВСКОЙ ОБЛАСТИ")</f>
        <v>УМВД РОССИИ ПО ИВАНОВСКОЙ ОБЛАСТИ</v>
      </c>
      <c r="B14101" s="24" t="s">
        <v>10236</v>
      </c>
      <c r="C14101" s="25">
        <v>1968938.4</v>
      </c>
      <c r="D14101" s="22" t="s">
        <v>18797</v>
      </c>
      <c r="E14101" s="22" t="s">
        <v>48</v>
      </c>
      <c r="F14101" s="23" t="str">
        <f>HYPERLINK("https://www.spark-marketing.ru/Card/Lot/71926399", "Оказание услуг по обеспечению горячим питанием лиц, содержащихся в Изоляторе временного содержания и Специальном приемнике УМВД России по Ивановской области")</f>
        <v>Оказание услуг по обеспечению горячим питанием лиц, содержащихся в Изоляторе временного содержания и Специальном приемнике УМВД России по Ивановской области</v>
      </c>
      <c r="G14101" s="22" t="s">
        <v>1047</v>
      </c>
      <c r="H14101" s="22" t="s">
        <v>1047</v>
      </c>
      <c r="I14101" s="26">
        <v>43651.584780092599</v>
      </c>
      <c r="J14101" s="23" t="str">
        <f>HYPERLINK("https://www.spark-marketing.ru/Card/Person/4872314", "ООО ""ФОРТУНА""")</f>
        <v>ООО "ФОРТУНА"</v>
      </c>
      <c r="K14101" s="24" t="s">
        <v>1955</v>
      </c>
      <c r="L14101" s="28" t="s">
        <v>51</v>
      </c>
      <c r="M14101" s="25">
        <v>940.17</v>
      </c>
      <c r="N14101" s="27">
        <v>0.99952249902790258</v>
      </c>
    </row>
    <row r="14102" spans="1:14" ht="12.75" hidden="1" outlineLevel="1" x14ac:dyDescent="0.2">
      <c r="A14102" s="23" t="str">
        <f>HYPERLINK("https://www.spark-marketing.ru/Card/Person/147330", "УМВД РОССИИ ПО ИВАНОВСКОЙ ОБЛАСТИ")</f>
        <v>УМВД РОССИИ ПО ИВАНОВСКОЙ ОБЛАСТИ</v>
      </c>
      <c r="B14102" s="24" t="s">
        <v>10236</v>
      </c>
      <c r="C14102" s="25">
        <v>1968938.4</v>
      </c>
      <c r="D14102" s="22" t="s">
        <v>18797</v>
      </c>
      <c r="E14102" s="22" t="s">
        <v>48</v>
      </c>
      <c r="F14102" s="23" t="str">
        <f>HYPERLINK("https://www.spark-marketing.ru/Card/Lot/71926399", "Оказание услуг по обеспечению горячим питанием лиц, содержащихся в Изоляторе временного содержания и Специальном приемнике УМВД России по Ивановской области")</f>
        <v>Оказание услуг по обеспечению горячим питанием лиц, содержащихся в Изоляторе временного содержания и Специальном приемнике УМВД России по Ивановской области</v>
      </c>
      <c r="G14102" s="22" t="s">
        <v>1047</v>
      </c>
      <c r="H14102" s="22" t="s">
        <v>1047</v>
      </c>
      <c r="I14102" s="26">
        <v>43651.584780092599</v>
      </c>
      <c r="J14102" s="23" t="str">
        <f>HYPERLINK("https://www.spark-marketing.ru/Card/Person/5889048", "Левин Роман Владимирович")</f>
        <v>Левин Роман Владимирович</v>
      </c>
      <c r="K14102" s="24" t="s">
        <v>18798</v>
      </c>
      <c r="L14102" s="22" t="s">
        <v>10</v>
      </c>
      <c r="M14102" s="25">
        <v>855.47</v>
      </c>
      <c r="N14102" s="27">
        <v>0.99956551713349695</v>
      </c>
    </row>
    <row r="14103" spans="1:14" x14ac:dyDescent="0.15">
      <c r="A14103" s="23" t="str">
        <f>HYPERLINK("https://www.spark-marketing.ru/Card/Person/80341", "МУ МВД РОССИИ ""СЫЗРАНСКОЕ""")</f>
        <v>МУ МВД РОССИИ "СЫЗРАНСКОЕ"</v>
      </c>
      <c r="B14103" s="24" t="s">
        <v>306</v>
      </c>
      <c r="C14103" s="25">
        <v>145540.29999999999</v>
      </c>
      <c r="D14103" s="22" t="s">
        <v>18799</v>
      </c>
      <c r="E14103" s="22" t="s">
        <v>48</v>
      </c>
      <c r="F14103" s="23" t="str">
        <f>HYPERLINK("https://www.spark-marketing.ru/Card/Lot/71929099",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14103" s="22" t="s">
        <v>128</v>
      </c>
      <c r="H14103" s="22" t="s">
        <v>308</v>
      </c>
      <c r="I14103" s="26">
        <v>43651.571597222202</v>
      </c>
      <c r="J14103" s="28" t="s">
        <v>51</v>
      </c>
      <c r="K14103" s="28" t="s">
        <v>51</v>
      </c>
      <c r="L14103" s="28" t="s">
        <v>51</v>
      </c>
      <c r="M14103" s="28" t="s">
        <v>51</v>
      </c>
      <c r="N14103" s="28" t="s">
        <v>51</v>
      </c>
    </row>
    <row r="14104" spans="1:14" ht="12.75" hidden="1" outlineLevel="1" x14ac:dyDescent="0.2">
      <c r="A14104" s="23" t="str">
        <f>HYPERLINK("https://www.spark-marketing.ru/Card/Person/80341", "МУ МВД РОССИИ ""СЫЗРАНСКОЕ""")</f>
        <v>МУ МВД РОССИИ "СЫЗРАНСКОЕ"</v>
      </c>
      <c r="B14104" s="24" t="s">
        <v>306</v>
      </c>
      <c r="C14104" s="25">
        <v>145540.29999999999</v>
      </c>
      <c r="D14104" s="22" t="s">
        <v>18799</v>
      </c>
      <c r="E14104" s="22" t="s">
        <v>48</v>
      </c>
      <c r="F14104" s="23" t="str">
        <f>HYPERLINK("https://www.spark-marketing.ru/Card/Lot/71929099",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14104" s="22" t="s">
        <v>128</v>
      </c>
      <c r="H14104" s="22" t="s">
        <v>308</v>
      </c>
      <c r="I14104" s="26">
        <v>43651.571597222202</v>
      </c>
      <c r="J14104" s="23" t="str">
        <f>HYPERLINK("https://www.spark-marketing.ru/Card/Person/2044050", "ООО ""22 АМБАР""")</f>
        <v>ООО "22 АМБАР"</v>
      </c>
      <c r="K14104" s="24" t="s">
        <v>6702</v>
      </c>
      <c r="L14104" s="22" t="s">
        <v>10</v>
      </c>
      <c r="M14104" s="25">
        <v>144812.6</v>
      </c>
      <c r="N14104" s="27">
        <v>4.9999896935762813E-3</v>
      </c>
    </row>
    <row r="14105" spans="1:14" hidden="1" outlineLevel="1" x14ac:dyDescent="0.2">
      <c r="A14105" s="23" t="str">
        <f>HYPERLINK("https://www.spark-marketing.ru/Card/Person/80341", "МУ МВД РОССИИ ""СЫЗРАНСКОЕ""")</f>
        <v>МУ МВД РОССИИ "СЫЗРАНСКОЕ"</v>
      </c>
      <c r="B14105" s="24" t="s">
        <v>306</v>
      </c>
      <c r="C14105" s="25">
        <v>145540.29999999999</v>
      </c>
      <c r="D14105" s="22" t="s">
        <v>18799</v>
      </c>
      <c r="E14105" s="22" t="s">
        <v>48</v>
      </c>
      <c r="F14105" s="23" t="str">
        <f>HYPERLINK("https://www.spark-marketing.ru/Card/Lot/71929099", "Оказание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""Сызранское""")</f>
        <v>Оказание услуг по изготовлению и поставке горячего питания для административно-задержанных лиц, содержащихся в специальном помещении для содержания задержанных лиц МУ МВД России "Сызранское"</v>
      </c>
      <c r="G14105" s="22" t="s">
        <v>128</v>
      </c>
      <c r="H14105" s="22" t="s">
        <v>308</v>
      </c>
      <c r="I14105" s="26">
        <v>43651.571597222202</v>
      </c>
      <c r="J14105" s="23" t="str">
        <f>HYPERLINK("https://www.spark-marketing.ru/Card/Person/2544469", "ООО ""ЛДМ ГРУПП""")</f>
        <v>ООО "ЛДМ ГРУПП"</v>
      </c>
      <c r="K14105" s="24" t="s">
        <v>6703</v>
      </c>
      <c r="L14105" s="28" t="s">
        <v>51</v>
      </c>
      <c r="M14105" s="25">
        <v>144812.6</v>
      </c>
      <c r="N14105" s="27">
        <v>4.9999896935762813E-3</v>
      </c>
    </row>
    <row r="14106" spans="1:14" x14ac:dyDescent="0.2">
      <c r="A14106" s="23" t="str">
        <f>HYPERLINK("https://www.spark-marketing.ru/Card/Person/34191", "НГТУ, НОВОСИБИРСКИЙ ГОСУДАРСТВЕННЫЙ ТЕХНИЧЕСКИЙ УНИВЕРСИТЕТ, ФГБОУ ВО ""НОВОСИБИРСКИЙ ГОСУДАРСТВЕННЫЙ ТЕХНИЧЕСКИЙ УНИВЕРСИТЕТ"", ФГБОУ ВО ""НГТУ""")</f>
        <v>НГТУ, НОВОСИБИРСКИЙ ГОСУДАРСТВЕННЫЙ ТЕХНИЧЕСКИЙ УНИВЕРСИТЕТ, ФГБОУ ВО "НОВОСИБИРСКИЙ ГОСУДАРСТВЕННЫЙ ТЕХНИЧЕСКИЙ УНИВЕРСИТЕТ", ФГБОУ ВО "НГТУ"</v>
      </c>
      <c r="B14106" s="24" t="s">
        <v>1202</v>
      </c>
      <c r="C14106" s="25">
        <v>115680</v>
      </c>
      <c r="D14106" s="22" t="s">
        <v>18800</v>
      </c>
      <c r="E14106" s="22" t="s">
        <v>1307</v>
      </c>
      <c r="F14106" s="23" t="str">
        <f>HYPERLINK("https://www.spark-marketing.ru/Card/Lot/71909049", "Оказание услуг по бронированию и предоставления для проживания сотрудников и представителей Заказчика гостиничных номеров, питания и дополнительного обслуживания в гостинице ""Double by Hilton""")</f>
        <v>Оказание услуг по бронированию и предоставления для проживания сотрудников и представителей Заказчика гостиничных номеров, питания и дополнительного обслуживания в гостинице "Double by Hilton"</v>
      </c>
      <c r="G14106" s="22" t="s">
        <v>195</v>
      </c>
      <c r="H14106" s="22" t="s">
        <v>195</v>
      </c>
      <c r="I14106" s="26">
        <v>43651.579930555599</v>
      </c>
      <c r="J14106" s="28" t="s">
        <v>51</v>
      </c>
      <c r="K14106" s="28" t="s">
        <v>51</v>
      </c>
      <c r="L14106" s="22" t="s">
        <v>10</v>
      </c>
      <c r="M14106" s="25">
        <v>115680</v>
      </c>
      <c r="N14106" s="27">
        <v>0</v>
      </c>
    </row>
    <row r="14107" spans="1:14" x14ac:dyDescent="0.2">
      <c r="A14107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14107" s="24" t="s">
        <v>6649</v>
      </c>
      <c r="C14107" s="25">
        <v>2993800</v>
      </c>
      <c r="D14107" s="22" t="s">
        <v>18801</v>
      </c>
      <c r="E14107" s="22" t="s">
        <v>952</v>
      </c>
      <c r="F14107" s="23" t="str">
        <f>HYPERLINK("https://www.spark-marketing.ru/Card/Lot/71915195", "Оказание услуг по организации общественного питания в ФГАУ «Санаторий ФССП России «Зеленая долина»")</f>
        <v>Оказание услуг по организации общественного питания в ФГАУ «Санаторий ФССП России «Зеленая долина»</v>
      </c>
      <c r="G14107" s="22" t="s">
        <v>104</v>
      </c>
      <c r="H14107" s="22" t="s">
        <v>4457</v>
      </c>
      <c r="I14107" s="26">
        <v>43651.548518518503</v>
      </c>
      <c r="J14107" s="28" t="s">
        <v>51</v>
      </c>
      <c r="K14107" s="28" t="s">
        <v>51</v>
      </c>
      <c r="L14107" s="22" t="s">
        <v>10</v>
      </c>
      <c r="M14107" s="25">
        <v>2993800</v>
      </c>
      <c r="N14107" s="27">
        <v>0</v>
      </c>
    </row>
    <row r="14108" spans="1:14" x14ac:dyDescent="0.2">
      <c r="A14108" s="23" t="str">
        <f>HYPERLINK("https://www.spark-marketing.ru/Card/Person/1756753", "ГАУ МО ""ЦСП № 6""")</f>
        <v>ГАУ МО "ЦСП № 6"</v>
      </c>
      <c r="B14108" s="24" t="s">
        <v>6503</v>
      </c>
      <c r="C14108" s="25">
        <v>270000</v>
      </c>
      <c r="D14108" s="22" t="s">
        <v>18802</v>
      </c>
      <c r="E14108" s="22" t="s">
        <v>2217</v>
      </c>
      <c r="F14108" s="23" t="str">
        <f>HYPERLINK("https://www.spark-marketing.ru/Card/Lot/71914773", "Услуги по организации спортивных мероприятий (организация питания сборной команды Московской области, ТС Одинцово)")</f>
        <v>Услуги по организации спортивных мероприятий (организация питания сборной команды Московской области, ТС Одинцово)</v>
      </c>
      <c r="G14108" s="22" t="s">
        <v>49</v>
      </c>
      <c r="H14108" s="22" t="s">
        <v>577</v>
      </c>
      <c r="I14108" s="26">
        <v>43651.536076388897</v>
      </c>
      <c r="J14108" s="28" t="s">
        <v>51</v>
      </c>
      <c r="K14108" s="28" t="s">
        <v>51</v>
      </c>
      <c r="L14108" s="28" t="s">
        <v>51</v>
      </c>
      <c r="M14108" s="25">
        <v>270000</v>
      </c>
      <c r="N14108" s="27">
        <v>0</v>
      </c>
    </row>
    <row r="14109" spans="1:14" x14ac:dyDescent="0.15">
      <c r="A14109" s="23" t="str">
        <f>HYPERLINK("https://www.spark-marketing.ru/Card/Person/1359619", "МАОУ ГИМНАЗИЯ № 26 Г. ТОМСКА")</f>
        <v>МАОУ ГИМНАЗИЯ № 26 Г. ТОМСКА</v>
      </c>
      <c r="B14109" s="24" t="s">
        <v>18803</v>
      </c>
      <c r="C14109" s="25">
        <v>1389325</v>
      </c>
      <c r="D14109" s="22" t="s">
        <v>18804</v>
      </c>
      <c r="E14109" s="22" t="s">
        <v>2217</v>
      </c>
      <c r="F14109" s="23" t="str">
        <f>HYPERLINK("https://www.spark-marketing.ru/Card/Lot/71909499", "Услуги по организации питания отдельных категорий обучающихся и обучающихся с ограниченными возможностями здоровья")</f>
        <v>Услуги по организации питания отдельных категорий обучающихся и обучающихся с ограниченными возможностями здоровья</v>
      </c>
      <c r="G14109" s="22" t="s">
        <v>149</v>
      </c>
      <c r="H14109" s="22" t="s">
        <v>149</v>
      </c>
      <c r="I14109" s="26">
        <v>43651.5377546296</v>
      </c>
      <c r="J14109" s="28" t="s">
        <v>51</v>
      </c>
      <c r="K14109" s="28" t="s">
        <v>51</v>
      </c>
      <c r="L14109" s="28" t="s">
        <v>51</v>
      </c>
      <c r="M14109" s="28" t="s">
        <v>51</v>
      </c>
      <c r="N14109" s="28" t="s">
        <v>51</v>
      </c>
    </row>
    <row r="14110" spans="1:14" x14ac:dyDescent="0.15">
      <c r="A14110" s="23" t="str">
        <f>HYPERLINK("https://www.spark-marketing.ru/Card/Person/1075472", "МОАУ ""СОШ № 68""")</f>
        <v>МОАУ "СОШ № 68"</v>
      </c>
      <c r="B14110" s="24" t="s">
        <v>18805</v>
      </c>
      <c r="C14110" s="25">
        <v>204892.79999999999</v>
      </c>
      <c r="D14110" s="22" t="s">
        <v>18806</v>
      </c>
      <c r="E14110" s="22" t="s">
        <v>1412</v>
      </c>
      <c r="F14110" s="23" t="str">
        <f>HYPERLINK("https://www.spark-marketing.ru/Card/Lot/71910850", "Оказание услуг по организации питания детей в лагере дневного пребывания на базе организации МОАУ СОШ №68")</f>
        <v>Оказание услуг по организации питания детей в лагере дневного пребывания на базе организации МОАУ СОШ №68</v>
      </c>
      <c r="G14110" s="22" t="s">
        <v>132</v>
      </c>
      <c r="H14110" s="22" t="s">
        <v>132</v>
      </c>
      <c r="I14110" s="26">
        <v>43651.529548611099</v>
      </c>
      <c r="J14110" s="28" t="s">
        <v>51</v>
      </c>
      <c r="K14110" s="28" t="s">
        <v>51</v>
      </c>
      <c r="L14110" s="28" t="s">
        <v>51</v>
      </c>
      <c r="M14110" s="28" t="s">
        <v>51</v>
      </c>
      <c r="N14110" s="28" t="s">
        <v>51</v>
      </c>
    </row>
    <row r="14111" spans="1:14" x14ac:dyDescent="0.15">
      <c r="A14111" s="23" t="str">
        <f>HYPERLINK("https://www.spark-marketing.ru/Card/Person/876762", "КГКУ УСЗН ПО ВОЛЧИХИНСКОМУ РАЙОНУ")</f>
        <v>КГКУ УСЗН ПО ВОЛЧИХИНСКОМУ РАЙОНУ</v>
      </c>
      <c r="B14111" s="24" t="s">
        <v>18807</v>
      </c>
      <c r="C14111" s="25">
        <v>3000</v>
      </c>
      <c r="D14111" s="22" t="s">
        <v>18808</v>
      </c>
      <c r="E14111" s="22" t="s">
        <v>18809</v>
      </c>
      <c r="F14111" s="23" t="str">
        <f>HYPERLINK("https://www.spark-marketing.ru/Card/Lot/71913157", "(244)Товары, работы или услуги на сумму, не превышающую 100 тыс. руб. (п.4 ч.1 ст.93 Федерального закона №44-ФЗ)")</f>
        <v>(244)Товары, работы или услуги на сумму, не превышающую 100 тыс. руб. (п.4 ч.1 ст.93 Федерального закона №44-ФЗ)</v>
      </c>
      <c r="G14111" s="22" t="s">
        <v>63</v>
      </c>
      <c r="H14111" s="22" t="s">
        <v>18692</v>
      </c>
      <c r="I14111" s="26">
        <v>43651.536805555603</v>
      </c>
      <c r="J14111" s="28" t="s">
        <v>51</v>
      </c>
      <c r="K14111" s="28" t="s">
        <v>51</v>
      </c>
      <c r="L14111" s="28" t="s">
        <v>51</v>
      </c>
      <c r="M14111" s="28" t="s">
        <v>51</v>
      </c>
      <c r="N14111" s="28" t="s">
        <v>51</v>
      </c>
    </row>
    <row r="14112" spans="1:14" x14ac:dyDescent="0.15">
      <c r="A14112" s="23" t="str">
        <f>HYPERLINK("https://www.spark-marketing.ru/Card/Person/1309364", "МАОУ СОШ № 22")</f>
        <v>МАОУ СОШ № 22</v>
      </c>
      <c r="B14112" s="24" t="s">
        <v>18810</v>
      </c>
      <c r="C14112" s="25">
        <v>377760</v>
      </c>
      <c r="D14112" s="22" t="s">
        <v>18811</v>
      </c>
      <c r="E14112" s="22" t="s">
        <v>362</v>
      </c>
      <c r="F14112" s="23" t="str">
        <f>HYPERLINK("https://www.spark-marketing.ru/Card/Lot/71910797", "Услуги по организации горячего питания детей ЛДП в период летних каникул")</f>
        <v>Услуги по организации горячего питания детей ЛДП в период летних каникул</v>
      </c>
      <c r="G14112" s="22" t="s">
        <v>153</v>
      </c>
      <c r="H14112" s="22" t="s">
        <v>153</v>
      </c>
      <c r="I14112" s="26">
        <v>43651.464247685202</v>
      </c>
      <c r="J14112" s="28" t="s">
        <v>51</v>
      </c>
      <c r="K14112" s="28" t="s">
        <v>51</v>
      </c>
      <c r="L14112" s="28" t="s">
        <v>51</v>
      </c>
      <c r="M14112" s="28" t="s">
        <v>51</v>
      </c>
      <c r="N14112" s="28" t="s">
        <v>51</v>
      </c>
    </row>
    <row r="14113" spans="1:14" x14ac:dyDescent="0.2">
      <c r="A14113" s="23" t="str">
        <f>HYPERLINK("https://www.spark-marketing.ru/Card/Person/5312", "ФГАОУ ВО РУТ (МИИТ), РУТ (МИИТ)")</f>
        <v>ФГАОУ ВО РУТ (МИИТ), РУТ (МИИТ)</v>
      </c>
      <c r="B14113" s="24" t="s">
        <v>8139</v>
      </c>
      <c r="C14113" s="25">
        <v>172860</v>
      </c>
      <c r="D14113" s="22" t="s">
        <v>18812</v>
      </c>
      <c r="E14113" s="22" t="s">
        <v>362</v>
      </c>
      <c r="F14113" s="23" t="str">
        <f>HYPERLINK("https://www.spark-marketing.ru/Card/Lot/71912980", "Организация питания")</f>
        <v>Организация питания</v>
      </c>
      <c r="G14113" s="22" t="s">
        <v>56</v>
      </c>
      <c r="H14113" s="22" t="s">
        <v>56</v>
      </c>
      <c r="I14113" s="26">
        <v>43651.498206018499</v>
      </c>
      <c r="J14113" s="28" t="s">
        <v>51</v>
      </c>
      <c r="K14113" s="28" t="s">
        <v>51</v>
      </c>
      <c r="L14113" s="22" t="s">
        <v>10</v>
      </c>
      <c r="M14113" s="25">
        <v>172860</v>
      </c>
      <c r="N14113" s="27">
        <v>0</v>
      </c>
    </row>
    <row r="14114" spans="1:14" x14ac:dyDescent="0.15">
      <c r="A14114" s="23" t="str">
        <f>HYPERLINK("https://www.spark-marketing.ru/Card/Person/59773", "ГУЗ ""ГБ № 7 Г.ТУЛЫ""")</f>
        <v>ГУЗ "ГБ № 7 Г.ТУЛЫ"</v>
      </c>
      <c r="B14114" s="24" t="s">
        <v>11257</v>
      </c>
      <c r="C14114" s="25">
        <v>100000</v>
      </c>
      <c r="D14114" s="22" t="s">
        <v>18813</v>
      </c>
      <c r="E14114" s="22" t="s">
        <v>48</v>
      </c>
      <c r="F14114" s="23" t="str">
        <f>HYPERLINK("https://www.spark-marketing.ru/Card/Lot/71930224", "Оказание услуг по организации лечебного питания пациентов")</f>
        <v>Оказание услуг по организации лечебного питания пациентов</v>
      </c>
      <c r="G14114" s="22" t="s">
        <v>68</v>
      </c>
      <c r="H14114" s="22" t="s">
        <v>69</v>
      </c>
      <c r="I14114" s="26">
        <v>43651.492314814801</v>
      </c>
      <c r="J14114" s="23" t="str">
        <f>HYPERLINK("https://www.spark-marketing.ru/Card/Person/51530", "ООО ""ЛЕГЕНДА""")</f>
        <v>ООО "ЛЕГЕНДА"</v>
      </c>
      <c r="K14114" s="24" t="s">
        <v>6869</v>
      </c>
      <c r="L14114" s="22" t="s">
        <v>10</v>
      </c>
      <c r="M14114" s="28" t="s">
        <v>51</v>
      </c>
      <c r="N14114" s="28" t="s">
        <v>51</v>
      </c>
    </row>
    <row r="14115" spans="1:14" x14ac:dyDescent="0.2">
      <c r="A14115" s="23" t="s">
        <v>114</v>
      </c>
      <c r="B14115" s="28" t="s">
        <v>51</v>
      </c>
      <c r="C14115" s="25">
        <v>4351920</v>
      </c>
      <c r="D14115" s="22" t="s">
        <v>18814</v>
      </c>
      <c r="E14115" s="22" t="s">
        <v>48</v>
      </c>
      <c r="F14115" s="23" t="str">
        <f t="shared" ref="F14115:F14136" si="469">HYPERLINK("https://www.spark-marketing.ru/Card/Lot/71925967", "Оказание услуги по организации и обеспечению горячим питанием")</f>
        <v>Оказание услуги по организации и обеспечению горячим питанием</v>
      </c>
      <c r="G14115" s="22" t="s">
        <v>51</v>
      </c>
      <c r="H14115" s="22" t="s">
        <v>51</v>
      </c>
      <c r="I14115" s="26">
        <v>43651.485659722202</v>
      </c>
      <c r="J14115" s="23" t="str">
        <f t="shared" ref="J14115:J14136" si="470">HYPERLINK("https://www.spark-marketing.ru/Card/Person/529633", "ООО ""ФОРМУЛА ВКУСА""")</f>
        <v>ООО "ФОРМУЛА ВКУСА"</v>
      </c>
      <c r="K14115" s="24" t="s">
        <v>15064</v>
      </c>
      <c r="L14115" s="28" t="s">
        <v>51</v>
      </c>
      <c r="M14115" s="25">
        <v>4351920</v>
      </c>
      <c r="N14115" s="27">
        <v>0</v>
      </c>
    </row>
    <row r="14116" spans="1:14" hidden="1" outlineLevel="1" x14ac:dyDescent="0.2">
      <c r="A14116" s="23" t="str">
        <f>HYPERLINK("https://www.spark-marketing.ru/Card/Person/94592", "МБОУ СОШ № 32")</f>
        <v>МБОУ СОШ № 32</v>
      </c>
      <c r="B14116" s="24" t="s">
        <v>18815</v>
      </c>
      <c r="C14116" s="25">
        <v>414864</v>
      </c>
      <c r="D14116" s="22" t="s">
        <v>18814</v>
      </c>
      <c r="E14116" s="22" t="s">
        <v>48</v>
      </c>
      <c r="F14116" s="23" t="str">
        <f t="shared" si="469"/>
        <v>Оказание услуги по организации и обеспечению горячим питанием</v>
      </c>
      <c r="G14116" s="22" t="s">
        <v>104</v>
      </c>
      <c r="H14116" s="22" t="s">
        <v>2706</v>
      </c>
      <c r="I14116" s="26">
        <v>43651.485659722202</v>
      </c>
      <c r="J14116" s="23" t="str">
        <f t="shared" si="470"/>
        <v>ООО "ФОРМУЛА ВКУСА"</v>
      </c>
      <c r="K14116" s="24" t="s">
        <v>15064</v>
      </c>
      <c r="L14116" s="28" t="s">
        <v>51</v>
      </c>
      <c r="M14116" s="28" t="s">
        <v>51</v>
      </c>
      <c r="N14116" s="27">
        <v>0</v>
      </c>
    </row>
    <row r="14117" spans="1:14" hidden="1" outlineLevel="1" x14ac:dyDescent="0.2">
      <c r="A14117" s="23" t="str">
        <f>HYPERLINK("https://www.spark-marketing.ru/Card/Person/872449", "МБОУ СОШ № 22")</f>
        <v>МБОУ СОШ № 22</v>
      </c>
      <c r="B14117" s="24" t="s">
        <v>18816</v>
      </c>
      <c r="C14117" s="25">
        <v>181104</v>
      </c>
      <c r="D14117" s="22" t="s">
        <v>18814</v>
      </c>
      <c r="E14117" s="22" t="s">
        <v>48</v>
      </c>
      <c r="F14117" s="23" t="str">
        <f t="shared" si="469"/>
        <v>Оказание услуги по организации и обеспечению горячим питанием</v>
      </c>
      <c r="G14117" s="22" t="s">
        <v>104</v>
      </c>
      <c r="H14117" s="22" t="s">
        <v>2706</v>
      </c>
      <c r="I14117" s="26">
        <v>43651.485659722202</v>
      </c>
      <c r="J14117" s="23" t="str">
        <f t="shared" si="470"/>
        <v>ООО "ФОРМУЛА ВКУСА"</v>
      </c>
      <c r="K14117" s="24" t="s">
        <v>15064</v>
      </c>
      <c r="L14117" s="28" t="s">
        <v>51</v>
      </c>
      <c r="M14117" s="28" t="s">
        <v>51</v>
      </c>
      <c r="N14117" s="27">
        <v>0</v>
      </c>
    </row>
    <row r="14118" spans="1:14" hidden="1" outlineLevel="1" x14ac:dyDescent="0.2">
      <c r="A14118" s="23" t="str">
        <f>HYPERLINK("https://www.spark-marketing.ru/Card/Person/872485", "МБОУ ООШ № 19")</f>
        <v>МБОУ ООШ № 19</v>
      </c>
      <c r="B14118" s="24" t="s">
        <v>18817</v>
      </c>
      <c r="C14118" s="25">
        <v>47088</v>
      </c>
      <c r="D14118" s="22" t="s">
        <v>18814</v>
      </c>
      <c r="E14118" s="22" t="s">
        <v>48</v>
      </c>
      <c r="F14118" s="23" t="str">
        <f t="shared" si="469"/>
        <v>Оказание услуги по организации и обеспечению горячим питанием</v>
      </c>
      <c r="G14118" s="22" t="s">
        <v>104</v>
      </c>
      <c r="H14118" s="22" t="s">
        <v>2706</v>
      </c>
      <c r="I14118" s="26">
        <v>43651.485659722202</v>
      </c>
      <c r="J14118" s="23" t="str">
        <f t="shared" si="470"/>
        <v>ООО "ФОРМУЛА ВКУСА"</v>
      </c>
      <c r="K14118" s="24" t="s">
        <v>15064</v>
      </c>
      <c r="L14118" s="28" t="s">
        <v>51</v>
      </c>
      <c r="M14118" s="28" t="s">
        <v>51</v>
      </c>
      <c r="N14118" s="27">
        <v>0</v>
      </c>
    </row>
    <row r="14119" spans="1:14" hidden="1" outlineLevel="1" x14ac:dyDescent="0.2">
      <c r="A14119" s="23" t="str">
        <f>HYPERLINK("https://www.spark-marketing.ru/Card/Person/872487", "МБОУ ООШ № 21")</f>
        <v>МБОУ ООШ № 21</v>
      </c>
      <c r="B14119" s="24" t="s">
        <v>18818</v>
      </c>
      <c r="C14119" s="25">
        <v>50352</v>
      </c>
      <c r="D14119" s="22" t="s">
        <v>18814</v>
      </c>
      <c r="E14119" s="22" t="s">
        <v>48</v>
      </c>
      <c r="F14119" s="23" t="str">
        <f t="shared" si="469"/>
        <v>Оказание услуги по организации и обеспечению горячим питанием</v>
      </c>
      <c r="G14119" s="22" t="s">
        <v>104</v>
      </c>
      <c r="H14119" s="22" t="s">
        <v>2706</v>
      </c>
      <c r="I14119" s="26">
        <v>43651.485659722202</v>
      </c>
      <c r="J14119" s="23" t="str">
        <f t="shared" si="470"/>
        <v>ООО "ФОРМУЛА ВКУСА"</v>
      </c>
      <c r="K14119" s="24" t="s">
        <v>15064</v>
      </c>
      <c r="L14119" s="28" t="s">
        <v>51</v>
      </c>
      <c r="M14119" s="28" t="s">
        <v>51</v>
      </c>
      <c r="N14119" s="27">
        <v>0</v>
      </c>
    </row>
    <row r="14120" spans="1:14" hidden="1" outlineLevel="1" x14ac:dyDescent="0.2">
      <c r="A14120" s="23" t="str">
        <f>HYPERLINK("https://www.spark-marketing.ru/Card/Person/872529", "МБОУ ООШ № 25")</f>
        <v>МБОУ ООШ № 25</v>
      </c>
      <c r="B14120" s="24" t="s">
        <v>18819</v>
      </c>
      <c r="C14120" s="25">
        <v>166032</v>
      </c>
      <c r="D14120" s="22" t="s">
        <v>18814</v>
      </c>
      <c r="E14120" s="22" t="s">
        <v>48</v>
      </c>
      <c r="F14120" s="23" t="str">
        <f t="shared" si="469"/>
        <v>Оказание услуги по организации и обеспечению горячим питанием</v>
      </c>
      <c r="G14120" s="22" t="s">
        <v>104</v>
      </c>
      <c r="H14120" s="22" t="s">
        <v>2706</v>
      </c>
      <c r="I14120" s="26">
        <v>43651.485659722202</v>
      </c>
      <c r="J14120" s="23" t="str">
        <f t="shared" si="470"/>
        <v>ООО "ФОРМУЛА ВКУСА"</v>
      </c>
      <c r="K14120" s="24" t="s">
        <v>15064</v>
      </c>
      <c r="L14120" s="28" t="s">
        <v>51</v>
      </c>
      <c r="M14120" s="28" t="s">
        <v>51</v>
      </c>
      <c r="N14120" s="27">
        <v>0</v>
      </c>
    </row>
    <row r="14121" spans="1:14" hidden="1" outlineLevel="1" x14ac:dyDescent="0.2">
      <c r="A14121" s="23" t="str">
        <f>HYPERLINK("https://www.spark-marketing.ru/Card/Person/872537", "МБОУ СОШ № 35")</f>
        <v>МБОУ СОШ № 35</v>
      </c>
      <c r="B14121" s="24" t="s">
        <v>18820</v>
      </c>
      <c r="C14121" s="25">
        <v>163488</v>
      </c>
      <c r="D14121" s="22" t="s">
        <v>18814</v>
      </c>
      <c r="E14121" s="22" t="s">
        <v>48</v>
      </c>
      <c r="F14121" s="23" t="str">
        <f t="shared" si="469"/>
        <v>Оказание услуги по организации и обеспечению горячим питанием</v>
      </c>
      <c r="G14121" s="22" t="s">
        <v>104</v>
      </c>
      <c r="H14121" s="22" t="s">
        <v>2706</v>
      </c>
      <c r="I14121" s="26">
        <v>43651.485659722202</v>
      </c>
      <c r="J14121" s="23" t="str">
        <f t="shared" si="470"/>
        <v>ООО "ФОРМУЛА ВКУСА"</v>
      </c>
      <c r="K14121" s="24" t="s">
        <v>15064</v>
      </c>
      <c r="L14121" s="28" t="s">
        <v>51</v>
      </c>
      <c r="M14121" s="28" t="s">
        <v>51</v>
      </c>
      <c r="N14121" s="27">
        <v>0</v>
      </c>
    </row>
    <row r="14122" spans="1:14" hidden="1" outlineLevel="1" x14ac:dyDescent="0.2">
      <c r="A14122" s="23" t="str">
        <f>HYPERLINK("https://www.spark-marketing.ru/Card/Person/872564", "МБОУ ООШ № 41")</f>
        <v>МБОУ ООШ № 41</v>
      </c>
      <c r="B14122" s="24" t="s">
        <v>18821</v>
      </c>
      <c r="C14122" s="25">
        <v>106560</v>
      </c>
      <c r="D14122" s="22" t="s">
        <v>18814</v>
      </c>
      <c r="E14122" s="22" t="s">
        <v>48</v>
      </c>
      <c r="F14122" s="23" t="str">
        <f t="shared" si="469"/>
        <v>Оказание услуги по организации и обеспечению горячим питанием</v>
      </c>
      <c r="G14122" s="22" t="s">
        <v>104</v>
      </c>
      <c r="H14122" s="22" t="s">
        <v>2706</v>
      </c>
      <c r="I14122" s="26">
        <v>43651.485659722202</v>
      </c>
      <c r="J14122" s="23" t="str">
        <f t="shared" si="470"/>
        <v>ООО "ФОРМУЛА ВКУСА"</v>
      </c>
      <c r="K14122" s="24" t="s">
        <v>15064</v>
      </c>
      <c r="L14122" s="28" t="s">
        <v>51</v>
      </c>
      <c r="M14122" s="28" t="s">
        <v>51</v>
      </c>
      <c r="N14122" s="27">
        <v>0</v>
      </c>
    </row>
    <row r="14123" spans="1:14" hidden="1" outlineLevel="1" x14ac:dyDescent="0.2">
      <c r="A14123" s="23" t="str">
        <f>HYPERLINK("https://www.spark-marketing.ru/Card/Person/872587", "МБОУ СОШ № 44")</f>
        <v>МБОУ СОШ № 44</v>
      </c>
      <c r="B14123" s="24" t="s">
        <v>18822</v>
      </c>
      <c r="C14123" s="25">
        <v>366768</v>
      </c>
      <c r="D14123" s="22" t="s">
        <v>18814</v>
      </c>
      <c r="E14123" s="22" t="s">
        <v>48</v>
      </c>
      <c r="F14123" s="23" t="str">
        <f t="shared" si="469"/>
        <v>Оказание услуги по организации и обеспечению горячим питанием</v>
      </c>
      <c r="G14123" s="22" t="s">
        <v>104</v>
      </c>
      <c r="H14123" s="22" t="s">
        <v>2706</v>
      </c>
      <c r="I14123" s="26">
        <v>43651.485659722202</v>
      </c>
      <c r="J14123" s="23" t="str">
        <f t="shared" si="470"/>
        <v>ООО "ФОРМУЛА ВКУСА"</v>
      </c>
      <c r="K14123" s="24" t="s">
        <v>15064</v>
      </c>
      <c r="L14123" s="28" t="s">
        <v>51</v>
      </c>
      <c r="M14123" s="28" t="s">
        <v>51</v>
      </c>
      <c r="N14123" s="27">
        <v>0</v>
      </c>
    </row>
    <row r="14124" spans="1:14" hidden="1" outlineLevel="1" x14ac:dyDescent="0.2">
      <c r="A14124" s="23" t="str">
        <f>HYPERLINK("https://www.spark-marketing.ru/Card/Person/872661", "МБОУ ООШ №34")</f>
        <v>МБОУ ООШ №34</v>
      </c>
      <c r="B14124" s="24" t="s">
        <v>18823</v>
      </c>
      <c r="C14124" s="25">
        <v>145728</v>
      </c>
      <c r="D14124" s="22" t="s">
        <v>18814</v>
      </c>
      <c r="E14124" s="22" t="s">
        <v>48</v>
      </c>
      <c r="F14124" s="23" t="str">
        <f t="shared" si="469"/>
        <v>Оказание услуги по организации и обеспечению горячим питанием</v>
      </c>
      <c r="G14124" s="22" t="s">
        <v>104</v>
      </c>
      <c r="H14124" s="22" t="s">
        <v>2706</v>
      </c>
      <c r="I14124" s="26">
        <v>43651.485659722202</v>
      </c>
      <c r="J14124" s="23" t="str">
        <f t="shared" si="470"/>
        <v>ООО "ФОРМУЛА ВКУСА"</v>
      </c>
      <c r="K14124" s="24" t="s">
        <v>15064</v>
      </c>
      <c r="L14124" s="28" t="s">
        <v>51</v>
      </c>
      <c r="M14124" s="28" t="s">
        <v>51</v>
      </c>
      <c r="N14124" s="27">
        <v>0</v>
      </c>
    </row>
    <row r="14125" spans="1:14" hidden="1" outlineLevel="1" x14ac:dyDescent="0.2">
      <c r="A14125" s="23" t="str">
        <f>HYPERLINK("https://www.spark-marketing.ru/Card/Person/872677", "МБОУ СОШ №43")</f>
        <v>МБОУ СОШ №43</v>
      </c>
      <c r="B14125" s="24" t="s">
        <v>18824</v>
      </c>
      <c r="C14125" s="25">
        <v>292416</v>
      </c>
      <c r="D14125" s="22" t="s">
        <v>18814</v>
      </c>
      <c r="E14125" s="22" t="s">
        <v>48</v>
      </c>
      <c r="F14125" s="23" t="str">
        <f t="shared" si="469"/>
        <v>Оказание услуги по организации и обеспечению горячим питанием</v>
      </c>
      <c r="G14125" s="22" t="s">
        <v>104</v>
      </c>
      <c r="H14125" s="22" t="s">
        <v>2706</v>
      </c>
      <c r="I14125" s="26">
        <v>43651.485659722202</v>
      </c>
      <c r="J14125" s="23" t="str">
        <f t="shared" si="470"/>
        <v>ООО "ФОРМУЛА ВКУСА"</v>
      </c>
      <c r="K14125" s="24" t="s">
        <v>15064</v>
      </c>
      <c r="L14125" s="28" t="s">
        <v>51</v>
      </c>
      <c r="M14125" s="28" t="s">
        <v>51</v>
      </c>
      <c r="N14125" s="27">
        <v>0</v>
      </c>
    </row>
    <row r="14126" spans="1:14" hidden="1" outlineLevel="1" x14ac:dyDescent="0.2">
      <c r="A14126" s="23" t="str">
        <f>HYPERLINK("https://www.spark-marketing.ru/Card/Person/872724", "МБОУ ООШ №18")</f>
        <v>МБОУ ООШ №18</v>
      </c>
      <c r="B14126" s="24" t="s">
        <v>18825</v>
      </c>
      <c r="C14126" s="25">
        <v>132816</v>
      </c>
      <c r="D14126" s="22" t="s">
        <v>18814</v>
      </c>
      <c r="E14126" s="22" t="s">
        <v>48</v>
      </c>
      <c r="F14126" s="23" t="str">
        <f t="shared" si="469"/>
        <v>Оказание услуги по организации и обеспечению горячим питанием</v>
      </c>
      <c r="G14126" s="22" t="s">
        <v>104</v>
      </c>
      <c r="H14126" s="22" t="s">
        <v>2706</v>
      </c>
      <c r="I14126" s="26">
        <v>43651.485659722202</v>
      </c>
      <c r="J14126" s="23" t="str">
        <f t="shared" si="470"/>
        <v>ООО "ФОРМУЛА ВКУСА"</v>
      </c>
      <c r="K14126" s="24" t="s">
        <v>15064</v>
      </c>
      <c r="L14126" s="28" t="s">
        <v>51</v>
      </c>
      <c r="M14126" s="28" t="s">
        <v>51</v>
      </c>
      <c r="N14126" s="27">
        <v>0</v>
      </c>
    </row>
    <row r="14127" spans="1:14" hidden="1" outlineLevel="1" x14ac:dyDescent="0.2">
      <c r="A14127" s="23" t="str">
        <f>HYPERLINK("https://www.spark-marketing.ru/Card/Person/872741", "МБОУ ООШ № 16")</f>
        <v>МБОУ ООШ № 16</v>
      </c>
      <c r="B14127" s="24" t="s">
        <v>18826</v>
      </c>
      <c r="C14127" s="25">
        <v>59424</v>
      </c>
      <c r="D14127" s="22" t="s">
        <v>18814</v>
      </c>
      <c r="E14127" s="22" t="s">
        <v>48</v>
      </c>
      <c r="F14127" s="23" t="str">
        <f t="shared" si="469"/>
        <v>Оказание услуги по организации и обеспечению горячим питанием</v>
      </c>
      <c r="G14127" s="22" t="s">
        <v>104</v>
      </c>
      <c r="H14127" s="22" t="s">
        <v>2706</v>
      </c>
      <c r="I14127" s="26">
        <v>43651.485659722202</v>
      </c>
      <c r="J14127" s="23" t="str">
        <f t="shared" si="470"/>
        <v>ООО "ФОРМУЛА ВКУСА"</v>
      </c>
      <c r="K14127" s="24" t="s">
        <v>15064</v>
      </c>
      <c r="L14127" s="28" t="s">
        <v>51</v>
      </c>
      <c r="M14127" s="28" t="s">
        <v>51</v>
      </c>
      <c r="N14127" s="27">
        <v>0</v>
      </c>
    </row>
    <row r="14128" spans="1:14" hidden="1" outlineLevel="1" x14ac:dyDescent="0.2">
      <c r="A14128" s="23" t="str">
        <f>HYPERLINK("https://www.spark-marketing.ru/Card/Person/872743", "МБОУ СОШ № 10")</f>
        <v>МБОУ СОШ № 10</v>
      </c>
      <c r="B14128" s="24" t="s">
        <v>18827</v>
      </c>
      <c r="C14128" s="25">
        <v>183600</v>
      </c>
      <c r="D14128" s="22" t="s">
        <v>18814</v>
      </c>
      <c r="E14128" s="22" t="s">
        <v>48</v>
      </c>
      <c r="F14128" s="23" t="str">
        <f t="shared" si="469"/>
        <v>Оказание услуги по организации и обеспечению горячим питанием</v>
      </c>
      <c r="G14128" s="22" t="s">
        <v>104</v>
      </c>
      <c r="H14128" s="22" t="s">
        <v>2706</v>
      </c>
      <c r="I14128" s="26">
        <v>43651.485659722202</v>
      </c>
      <c r="J14128" s="23" t="str">
        <f t="shared" si="470"/>
        <v>ООО "ФОРМУЛА ВКУСА"</v>
      </c>
      <c r="K14128" s="24" t="s">
        <v>15064</v>
      </c>
      <c r="L14128" s="28" t="s">
        <v>51</v>
      </c>
      <c r="M14128" s="28" t="s">
        <v>51</v>
      </c>
      <c r="N14128" s="27">
        <v>0</v>
      </c>
    </row>
    <row r="14129" spans="1:14" hidden="1" outlineLevel="1" x14ac:dyDescent="0.2">
      <c r="A14129" s="23" t="str">
        <f>HYPERLINK("https://www.spark-marketing.ru/Card/Person/872785", "МБОУ ООШ № 36")</f>
        <v>МБОУ ООШ № 36</v>
      </c>
      <c r="B14129" s="24" t="s">
        <v>18828</v>
      </c>
      <c r="C14129" s="25">
        <v>201600</v>
      </c>
      <c r="D14129" s="22" t="s">
        <v>18814</v>
      </c>
      <c r="E14129" s="22" t="s">
        <v>48</v>
      </c>
      <c r="F14129" s="23" t="str">
        <f t="shared" si="469"/>
        <v>Оказание услуги по организации и обеспечению горячим питанием</v>
      </c>
      <c r="G14129" s="22" t="s">
        <v>104</v>
      </c>
      <c r="H14129" s="22" t="s">
        <v>2706</v>
      </c>
      <c r="I14129" s="26">
        <v>43651.485659722202</v>
      </c>
      <c r="J14129" s="23" t="str">
        <f t="shared" si="470"/>
        <v>ООО "ФОРМУЛА ВКУСА"</v>
      </c>
      <c r="K14129" s="24" t="s">
        <v>15064</v>
      </c>
      <c r="L14129" s="28" t="s">
        <v>51</v>
      </c>
      <c r="M14129" s="28" t="s">
        <v>51</v>
      </c>
      <c r="N14129" s="27">
        <v>0</v>
      </c>
    </row>
    <row r="14130" spans="1:14" hidden="1" outlineLevel="1" x14ac:dyDescent="0.2">
      <c r="A14130" s="23" t="str">
        <f>HYPERLINK("https://www.spark-marketing.ru/Card/Person/872874", "МБОУ СОШ № 11")</f>
        <v>МБОУ СОШ № 11</v>
      </c>
      <c r="B14130" s="24" t="s">
        <v>18829</v>
      </c>
      <c r="C14130" s="25">
        <v>179424</v>
      </c>
      <c r="D14130" s="22" t="s">
        <v>18814</v>
      </c>
      <c r="E14130" s="22" t="s">
        <v>48</v>
      </c>
      <c r="F14130" s="23" t="str">
        <f t="shared" si="469"/>
        <v>Оказание услуги по организации и обеспечению горячим питанием</v>
      </c>
      <c r="G14130" s="22" t="s">
        <v>104</v>
      </c>
      <c r="H14130" s="22" t="s">
        <v>2706</v>
      </c>
      <c r="I14130" s="26">
        <v>43651.485659722202</v>
      </c>
      <c r="J14130" s="23" t="str">
        <f t="shared" si="470"/>
        <v>ООО "ФОРМУЛА ВКУСА"</v>
      </c>
      <c r="K14130" s="24" t="s">
        <v>15064</v>
      </c>
      <c r="L14130" s="28" t="s">
        <v>51</v>
      </c>
      <c r="M14130" s="28" t="s">
        <v>51</v>
      </c>
      <c r="N14130" s="27">
        <v>0</v>
      </c>
    </row>
    <row r="14131" spans="1:14" hidden="1" outlineLevel="1" x14ac:dyDescent="0.2">
      <c r="A14131" s="23" t="str">
        <f>HYPERLINK("https://www.spark-marketing.ru/Card/Person/872879", "МБОУ СОШ № 5")</f>
        <v>МБОУ СОШ № 5</v>
      </c>
      <c r="B14131" s="24" t="s">
        <v>18830</v>
      </c>
      <c r="C14131" s="25">
        <v>506352</v>
      </c>
      <c r="D14131" s="22" t="s">
        <v>18814</v>
      </c>
      <c r="E14131" s="22" t="s">
        <v>48</v>
      </c>
      <c r="F14131" s="23" t="str">
        <f t="shared" si="469"/>
        <v>Оказание услуги по организации и обеспечению горячим питанием</v>
      </c>
      <c r="G14131" s="22" t="s">
        <v>104</v>
      </c>
      <c r="H14131" s="22" t="s">
        <v>2706</v>
      </c>
      <c r="I14131" s="26">
        <v>43651.485659722202</v>
      </c>
      <c r="J14131" s="23" t="str">
        <f t="shared" si="470"/>
        <v>ООО "ФОРМУЛА ВКУСА"</v>
      </c>
      <c r="K14131" s="24" t="s">
        <v>15064</v>
      </c>
      <c r="L14131" s="28" t="s">
        <v>51</v>
      </c>
      <c r="M14131" s="28" t="s">
        <v>51</v>
      </c>
      <c r="N14131" s="27">
        <v>0</v>
      </c>
    </row>
    <row r="14132" spans="1:14" hidden="1" outlineLevel="1" x14ac:dyDescent="0.2">
      <c r="A14132" s="23" t="str">
        <f>HYPERLINK("https://www.spark-marketing.ru/Card/Person/872919", "МБОУ СОШ № 15")</f>
        <v>МБОУ СОШ № 15</v>
      </c>
      <c r="B14132" s="24" t="s">
        <v>18831</v>
      </c>
      <c r="C14132" s="25">
        <v>220464</v>
      </c>
      <c r="D14132" s="22" t="s">
        <v>18814</v>
      </c>
      <c r="E14132" s="22" t="s">
        <v>48</v>
      </c>
      <c r="F14132" s="23" t="str">
        <f t="shared" si="469"/>
        <v>Оказание услуги по организации и обеспечению горячим питанием</v>
      </c>
      <c r="G14132" s="22" t="s">
        <v>104</v>
      </c>
      <c r="H14132" s="22" t="s">
        <v>2706</v>
      </c>
      <c r="I14132" s="26">
        <v>43651.485659722202</v>
      </c>
      <c r="J14132" s="23" t="str">
        <f t="shared" si="470"/>
        <v>ООО "ФОРМУЛА ВКУСА"</v>
      </c>
      <c r="K14132" s="24" t="s">
        <v>15064</v>
      </c>
      <c r="L14132" s="28" t="s">
        <v>51</v>
      </c>
      <c r="M14132" s="28" t="s">
        <v>51</v>
      </c>
      <c r="N14132" s="27">
        <v>0</v>
      </c>
    </row>
    <row r="14133" spans="1:14" hidden="1" outlineLevel="1" x14ac:dyDescent="0.2">
      <c r="A14133" s="23" t="str">
        <f>HYPERLINK("https://www.spark-marketing.ru/Card/Person/873014", "МБОУ ООШ № 20")</f>
        <v>МБОУ ООШ № 20</v>
      </c>
      <c r="B14133" s="24" t="s">
        <v>18832</v>
      </c>
      <c r="C14133" s="25">
        <v>66192</v>
      </c>
      <c r="D14133" s="22" t="s">
        <v>18814</v>
      </c>
      <c r="E14133" s="22" t="s">
        <v>48</v>
      </c>
      <c r="F14133" s="23" t="str">
        <f t="shared" si="469"/>
        <v>Оказание услуги по организации и обеспечению горячим питанием</v>
      </c>
      <c r="G14133" s="22" t="s">
        <v>104</v>
      </c>
      <c r="H14133" s="22" t="s">
        <v>2706</v>
      </c>
      <c r="I14133" s="26">
        <v>43651.485659722202</v>
      </c>
      <c r="J14133" s="23" t="str">
        <f t="shared" si="470"/>
        <v>ООО "ФОРМУЛА ВКУСА"</v>
      </c>
      <c r="K14133" s="24" t="s">
        <v>15064</v>
      </c>
      <c r="L14133" s="28" t="s">
        <v>51</v>
      </c>
      <c r="M14133" s="28" t="s">
        <v>51</v>
      </c>
      <c r="N14133" s="27">
        <v>0</v>
      </c>
    </row>
    <row r="14134" spans="1:14" hidden="1" outlineLevel="1" x14ac:dyDescent="0.2">
      <c r="A14134" s="23" t="str">
        <f>HYPERLINK("https://www.spark-marketing.ru/Card/Person/873030", "МБОУ ООШ № 9")</f>
        <v>МБОУ ООШ № 9</v>
      </c>
      <c r="B14134" s="24" t="s">
        <v>18833</v>
      </c>
      <c r="C14134" s="25">
        <v>41568</v>
      </c>
      <c r="D14134" s="22" t="s">
        <v>18814</v>
      </c>
      <c r="E14134" s="22" t="s">
        <v>48</v>
      </c>
      <c r="F14134" s="23" t="str">
        <f t="shared" si="469"/>
        <v>Оказание услуги по организации и обеспечению горячим питанием</v>
      </c>
      <c r="G14134" s="22" t="s">
        <v>104</v>
      </c>
      <c r="H14134" s="22" t="s">
        <v>2706</v>
      </c>
      <c r="I14134" s="26">
        <v>43651.485659722202</v>
      </c>
      <c r="J14134" s="23" t="str">
        <f t="shared" si="470"/>
        <v>ООО "ФОРМУЛА ВКУСА"</v>
      </c>
      <c r="K14134" s="24" t="s">
        <v>15064</v>
      </c>
      <c r="L14134" s="28" t="s">
        <v>51</v>
      </c>
      <c r="M14134" s="28" t="s">
        <v>51</v>
      </c>
      <c r="N14134" s="27">
        <v>0</v>
      </c>
    </row>
    <row r="14135" spans="1:14" hidden="1" outlineLevel="1" x14ac:dyDescent="0.2">
      <c r="A14135" s="23" t="str">
        <f>HYPERLINK("https://www.spark-marketing.ru/Card/Person/1066564", "МБОУ СОШ №13")</f>
        <v>МБОУ СОШ №13</v>
      </c>
      <c r="B14135" s="24" t="s">
        <v>18834</v>
      </c>
      <c r="C14135" s="25">
        <v>421344</v>
      </c>
      <c r="D14135" s="22" t="s">
        <v>18814</v>
      </c>
      <c r="E14135" s="22" t="s">
        <v>48</v>
      </c>
      <c r="F14135" s="23" t="str">
        <f t="shared" si="469"/>
        <v>Оказание услуги по организации и обеспечению горячим питанием</v>
      </c>
      <c r="G14135" s="22" t="s">
        <v>104</v>
      </c>
      <c r="H14135" s="22" t="s">
        <v>2706</v>
      </c>
      <c r="I14135" s="26">
        <v>43651.485659722202</v>
      </c>
      <c r="J14135" s="23" t="str">
        <f t="shared" si="470"/>
        <v>ООО "ФОРМУЛА ВКУСА"</v>
      </c>
      <c r="K14135" s="24" t="s">
        <v>15064</v>
      </c>
      <c r="L14135" s="28" t="s">
        <v>51</v>
      </c>
      <c r="M14135" s="28" t="s">
        <v>51</v>
      </c>
      <c r="N14135" s="27">
        <v>0</v>
      </c>
    </row>
    <row r="14136" spans="1:14" hidden="1" outlineLevel="1" x14ac:dyDescent="0.2">
      <c r="A14136" s="23" t="str">
        <f>HYPERLINK("https://www.spark-marketing.ru/Card/Person/4376965", "МБОУ СОШ № 26")</f>
        <v>МБОУ СОШ № 26</v>
      </c>
      <c r="B14136" s="24" t="s">
        <v>18835</v>
      </c>
      <c r="C14136" s="25">
        <v>404736</v>
      </c>
      <c r="D14136" s="22" t="s">
        <v>18814</v>
      </c>
      <c r="E14136" s="22" t="s">
        <v>48</v>
      </c>
      <c r="F14136" s="23" t="str">
        <f t="shared" si="469"/>
        <v>Оказание услуги по организации и обеспечению горячим питанием</v>
      </c>
      <c r="G14136" s="22" t="s">
        <v>104</v>
      </c>
      <c r="H14136" s="22" t="s">
        <v>2706</v>
      </c>
      <c r="I14136" s="26">
        <v>43651.485659722202</v>
      </c>
      <c r="J14136" s="23" t="str">
        <f t="shared" si="470"/>
        <v>ООО "ФОРМУЛА ВКУСА"</v>
      </c>
      <c r="K14136" s="24" t="s">
        <v>15064</v>
      </c>
      <c r="L14136" s="28" t="s">
        <v>51</v>
      </c>
      <c r="M14136" s="28" t="s">
        <v>51</v>
      </c>
      <c r="N14136" s="27">
        <v>0</v>
      </c>
    </row>
    <row r="14137" spans="1:14" x14ac:dyDescent="0.15">
      <c r="A14137" s="23" t="str">
        <f>HYPERLINK("https://www.spark-marketing.ru/Card/Person/947763", "ОМВД РОССИИ ПО УЖУРСКОМУ РАЙОНУ")</f>
        <v>ОМВД РОССИИ ПО УЖУРСКОМУ РАЙОНУ</v>
      </c>
      <c r="B14137" s="24" t="s">
        <v>18836</v>
      </c>
      <c r="C14137" s="25">
        <v>1939080</v>
      </c>
      <c r="D14137" s="22" t="s">
        <v>18837</v>
      </c>
      <c r="E14137" s="22" t="s">
        <v>48</v>
      </c>
      <c r="F14137" s="23" t="str">
        <f>HYPERLINK("https://www.spark-marketing.ru/Card/Lot/71924400", "Оказание услуг по трехразовому питанию лиц,содержащихся в ИВС")</f>
        <v>Оказание услуг по трехразовому питанию лиц,содержащихся в ИВС</v>
      </c>
      <c r="G14137" s="22" t="s">
        <v>281</v>
      </c>
      <c r="H14137" s="22" t="s">
        <v>281</v>
      </c>
      <c r="I14137" s="26">
        <v>43651.479293981502</v>
      </c>
      <c r="J14137" s="23" t="str">
        <f>HYPERLINK("https://www.spark-marketing.ru/Card/Person/951308", "ООО ""ОБЪЕДИНЕНИЕ СТОЛОВЫХ""")</f>
        <v>ООО "ОБЪЕДИНЕНИЕ СТОЛОВЫХ"</v>
      </c>
      <c r="K14137" s="24" t="s">
        <v>18838</v>
      </c>
      <c r="L14137" s="22" t="s">
        <v>10</v>
      </c>
      <c r="M14137" s="28" t="s">
        <v>51</v>
      </c>
      <c r="N14137" s="28" t="s">
        <v>51</v>
      </c>
    </row>
    <row r="14138" spans="1:14" x14ac:dyDescent="0.15">
      <c r="A14138" s="23" t="str">
        <f>HYPERLINK("https://www.spark-marketing.ru/Card/Person/79218", "КЦСОН Г. ВОТКИНСКА")</f>
        <v>КЦСОН Г. ВОТКИНСКА</v>
      </c>
      <c r="B14138" s="24" t="s">
        <v>18839</v>
      </c>
      <c r="C14138" s="25">
        <v>515200</v>
      </c>
      <c r="D14138" s="22" t="s">
        <v>18840</v>
      </c>
      <c r="E14138" s="22" t="s">
        <v>580</v>
      </c>
      <c r="F14138" s="23" t="str">
        <f>HYPERLINK("https://www.spark-marketing.ru/Card/Lot/71910802", "Оказание услуг по организации 5-ти разового питания граждан, обслуживаемых в отделении социально -реабилитационного обслуживания для граждан пожилого возраста и инвалидов со стационаром КЦСОН г.Воткинска")</f>
        <v>Оказание услуг по организации 5-ти разового питания граждан, обслуживаемых в отделении социально -реабилитационного обслуживания для граждан пожилого возраста и инвалидов со стационаром КЦСОН г.Воткинска</v>
      </c>
      <c r="G14138" s="22" t="s">
        <v>852</v>
      </c>
      <c r="H14138" s="22" t="s">
        <v>852</v>
      </c>
      <c r="I14138" s="26">
        <v>43651.470509259299</v>
      </c>
      <c r="J14138" s="28" t="s">
        <v>51</v>
      </c>
      <c r="K14138" s="28" t="s">
        <v>51</v>
      </c>
      <c r="L14138" s="28" t="s">
        <v>51</v>
      </c>
      <c r="M14138" s="28" t="s">
        <v>51</v>
      </c>
      <c r="N14138" s="28" t="s">
        <v>51</v>
      </c>
    </row>
    <row r="14139" spans="1:14" x14ac:dyDescent="0.15">
      <c r="A14139" s="23" t="str">
        <f>HYPERLINK("https://www.spark-marketing.ru/Card/Person/1180395", "МАДОУ Д/С № 1")</f>
        <v>МАДОУ Д/С № 1</v>
      </c>
      <c r="B14139" s="24" t="s">
        <v>933</v>
      </c>
      <c r="C14139" s="25">
        <v>850000</v>
      </c>
      <c r="D14139" s="22" t="s">
        <v>18841</v>
      </c>
      <c r="E14139" s="22" t="s">
        <v>362</v>
      </c>
      <c r="F14139" s="23" t="str">
        <f>HYPERLINK("https://www.spark-marketing.ru/Card/Lot/71912483", "Оказание услуг по организации горячего рационально питания на базе пищеблока заказчика")</f>
        <v>Оказание услуг по организации горячего рационально питания на базе пищеблока заказчика</v>
      </c>
      <c r="G14139" s="22" t="s">
        <v>400</v>
      </c>
      <c r="H14139" s="22" t="s">
        <v>400</v>
      </c>
      <c r="I14139" s="26">
        <v>43651.473356481503</v>
      </c>
      <c r="J14139" s="28" t="s">
        <v>51</v>
      </c>
      <c r="K14139" s="28" t="s">
        <v>51</v>
      </c>
      <c r="L14139" s="28" t="s">
        <v>51</v>
      </c>
      <c r="M14139" s="28" t="s">
        <v>51</v>
      </c>
      <c r="N14139" s="28" t="s">
        <v>51</v>
      </c>
    </row>
    <row r="14140" spans="1:14" x14ac:dyDescent="0.2">
      <c r="A14140" s="23" t="s">
        <v>114</v>
      </c>
      <c r="B14140" s="28" t="s">
        <v>51</v>
      </c>
      <c r="C14140" s="25">
        <v>3277968</v>
      </c>
      <c r="D14140" s="22" t="s">
        <v>18842</v>
      </c>
      <c r="E14140" s="22" t="s">
        <v>48</v>
      </c>
      <c r="F14140" s="23" t="str">
        <f t="shared" ref="F14140:F14148" si="471">HYPERLINK("https://www.spark-marketing.ru/Card/Lot/71925968", "Оказание услуги по организации и обеспечению горячим питанием")</f>
        <v>Оказание услуги по организации и обеспечению горячим питанием</v>
      </c>
      <c r="G14140" s="22" t="s">
        <v>51</v>
      </c>
      <c r="H14140" s="22" t="s">
        <v>51</v>
      </c>
      <c r="I14140" s="26">
        <v>43651.486157407402</v>
      </c>
      <c r="J14140" s="23" t="str">
        <f t="shared" ref="J14140:J14148" si="472">HYPERLINK("https://www.spark-marketing.ru/Card/Person/529633", "ООО ""ФОРМУЛА ВКУСА""")</f>
        <v>ООО "ФОРМУЛА ВКУСА"</v>
      </c>
      <c r="K14140" s="24" t="s">
        <v>15064</v>
      </c>
      <c r="L14140" s="28" t="s">
        <v>51</v>
      </c>
      <c r="M14140" s="25">
        <v>3277968</v>
      </c>
      <c r="N14140" s="27">
        <v>0</v>
      </c>
    </row>
    <row r="14141" spans="1:14" hidden="1" outlineLevel="1" x14ac:dyDescent="0.2">
      <c r="A14141" s="23" t="str">
        <f>HYPERLINK("https://www.spark-marketing.ru/Card/Person/144651", "МБОУ СОШ № 6")</f>
        <v>МБОУ СОШ № 6</v>
      </c>
      <c r="B14141" s="24" t="s">
        <v>18843</v>
      </c>
      <c r="C14141" s="25">
        <v>276768</v>
      </c>
      <c r="D14141" s="22" t="s">
        <v>18842</v>
      </c>
      <c r="E14141" s="22" t="s">
        <v>48</v>
      </c>
      <c r="F14141" s="23" t="str">
        <f t="shared" si="471"/>
        <v>Оказание услуги по организации и обеспечению горячим питанием</v>
      </c>
      <c r="G14141" s="22" t="s">
        <v>104</v>
      </c>
      <c r="H14141" s="22" t="s">
        <v>2706</v>
      </c>
      <c r="I14141" s="26">
        <v>43651.486157407402</v>
      </c>
      <c r="J14141" s="23" t="str">
        <f t="shared" si="472"/>
        <v>ООО "ФОРМУЛА ВКУСА"</v>
      </c>
      <c r="K14141" s="24" t="s">
        <v>15064</v>
      </c>
      <c r="L14141" s="28" t="s">
        <v>51</v>
      </c>
      <c r="M14141" s="28" t="s">
        <v>51</v>
      </c>
      <c r="N14141" s="27">
        <v>0</v>
      </c>
    </row>
    <row r="14142" spans="1:14" hidden="1" outlineLevel="1" x14ac:dyDescent="0.2">
      <c r="A14142" s="23" t="str">
        <f>HYPERLINK("https://www.spark-marketing.ru/Card/Person/244422", "МБОУ СОШ № 2")</f>
        <v>МБОУ СОШ № 2</v>
      </c>
      <c r="B14142" s="24" t="s">
        <v>18844</v>
      </c>
      <c r="C14142" s="25">
        <v>581712</v>
      </c>
      <c r="D14142" s="22" t="s">
        <v>18842</v>
      </c>
      <c r="E14142" s="22" t="s">
        <v>48</v>
      </c>
      <c r="F14142" s="23" t="str">
        <f t="shared" si="471"/>
        <v>Оказание услуги по организации и обеспечению горячим питанием</v>
      </c>
      <c r="G14142" s="22" t="s">
        <v>104</v>
      </c>
      <c r="H14142" s="22" t="s">
        <v>2706</v>
      </c>
      <c r="I14142" s="26">
        <v>43651.486157407402</v>
      </c>
      <c r="J14142" s="23" t="str">
        <f t="shared" si="472"/>
        <v>ООО "ФОРМУЛА ВКУСА"</v>
      </c>
      <c r="K14142" s="24" t="s">
        <v>15064</v>
      </c>
      <c r="L14142" s="28" t="s">
        <v>51</v>
      </c>
      <c r="M14142" s="28" t="s">
        <v>51</v>
      </c>
      <c r="N14142" s="27">
        <v>0</v>
      </c>
    </row>
    <row r="14143" spans="1:14" hidden="1" outlineLevel="1" x14ac:dyDescent="0.2">
      <c r="A14143" s="23" t="str">
        <f>HYPERLINK("https://www.spark-marketing.ru/Card/Person/872615", "МБОУ СОШ № 3")</f>
        <v>МБОУ СОШ № 3</v>
      </c>
      <c r="B14143" s="24" t="s">
        <v>18845</v>
      </c>
      <c r="C14143" s="25">
        <v>247056</v>
      </c>
      <c r="D14143" s="22" t="s">
        <v>18842</v>
      </c>
      <c r="E14143" s="22" t="s">
        <v>48</v>
      </c>
      <c r="F14143" s="23" t="str">
        <f t="shared" si="471"/>
        <v>Оказание услуги по организации и обеспечению горячим питанием</v>
      </c>
      <c r="G14143" s="22" t="s">
        <v>104</v>
      </c>
      <c r="H14143" s="22" t="s">
        <v>2706</v>
      </c>
      <c r="I14143" s="26">
        <v>43651.486157407402</v>
      </c>
      <c r="J14143" s="23" t="str">
        <f t="shared" si="472"/>
        <v>ООО "ФОРМУЛА ВКУСА"</v>
      </c>
      <c r="K14143" s="24" t="s">
        <v>15064</v>
      </c>
      <c r="L14143" s="28" t="s">
        <v>51</v>
      </c>
      <c r="M14143" s="28" t="s">
        <v>51</v>
      </c>
      <c r="N14143" s="27">
        <v>0</v>
      </c>
    </row>
    <row r="14144" spans="1:14" hidden="1" outlineLevel="1" x14ac:dyDescent="0.2">
      <c r="A14144" s="23" t="str">
        <f>HYPERLINK("https://www.spark-marketing.ru/Card/Person/872717", "МБОУ ЛИЦЕЙ")</f>
        <v>МБОУ ЛИЦЕЙ</v>
      </c>
      <c r="B14144" s="24" t="s">
        <v>18846</v>
      </c>
      <c r="C14144" s="25">
        <v>486480</v>
      </c>
      <c r="D14144" s="22" t="s">
        <v>18842</v>
      </c>
      <c r="E14144" s="22" t="s">
        <v>48</v>
      </c>
      <c r="F14144" s="23" t="str">
        <f t="shared" si="471"/>
        <v>Оказание услуги по организации и обеспечению горячим питанием</v>
      </c>
      <c r="G14144" s="22" t="s">
        <v>104</v>
      </c>
      <c r="H14144" s="22" t="s">
        <v>2706</v>
      </c>
      <c r="I14144" s="26">
        <v>43651.486157407402</v>
      </c>
      <c r="J14144" s="23" t="str">
        <f t="shared" si="472"/>
        <v>ООО "ФОРМУЛА ВКУСА"</v>
      </c>
      <c r="K14144" s="24" t="s">
        <v>15064</v>
      </c>
      <c r="L14144" s="28" t="s">
        <v>51</v>
      </c>
      <c r="M14144" s="28" t="s">
        <v>51</v>
      </c>
      <c r="N14144" s="27">
        <v>0</v>
      </c>
    </row>
    <row r="14145" spans="1:14" hidden="1" outlineLevel="1" x14ac:dyDescent="0.2">
      <c r="A14145" s="23" t="str">
        <f>HYPERLINK("https://www.spark-marketing.ru/Card/Person/872911", "МБОУ СОШ № 4")</f>
        <v>МБОУ СОШ № 4</v>
      </c>
      <c r="B14145" s="24" t="s">
        <v>18847</v>
      </c>
      <c r="C14145" s="25">
        <v>419472</v>
      </c>
      <c r="D14145" s="22" t="s">
        <v>18842</v>
      </c>
      <c r="E14145" s="22" t="s">
        <v>48</v>
      </c>
      <c r="F14145" s="23" t="str">
        <f t="shared" si="471"/>
        <v>Оказание услуги по организации и обеспечению горячим питанием</v>
      </c>
      <c r="G14145" s="22" t="s">
        <v>104</v>
      </c>
      <c r="H14145" s="22" t="s">
        <v>2706</v>
      </c>
      <c r="I14145" s="26">
        <v>43651.486157407402</v>
      </c>
      <c r="J14145" s="23" t="str">
        <f t="shared" si="472"/>
        <v>ООО "ФОРМУЛА ВКУСА"</v>
      </c>
      <c r="K14145" s="24" t="s">
        <v>15064</v>
      </c>
      <c r="L14145" s="28" t="s">
        <v>51</v>
      </c>
      <c r="M14145" s="28" t="s">
        <v>51</v>
      </c>
      <c r="N14145" s="27">
        <v>0</v>
      </c>
    </row>
    <row r="14146" spans="1:14" hidden="1" outlineLevel="1" x14ac:dyDescent="0.2">
      <c r="A14146" s="23" t="str">
        <f>HYPERLINK("https://www.spark-marketing.ru/Card/Person/946808", "МБОУ ""ГИМНАЗИЯ""")</f>
        <v>МБОУ "ГИМНАЗИЯ"</v>
      </c>
      <c r="B14146" s="24" t="s">
        <v>18848</v>
      </c>
      <c r="C14146" s="25">
        <v>407760</v>
      </c>
      <c r="D14146" s="22" t="s">
        <v>18842</v>
      </c>
      <c r="E14146" s="22" t="s">
        <v>48</v>
      </c>
      <c r="F14146" s="23" t="str">
        <f t="shared" si="471"/>
        <v>Оказание услуги по организации и обеспечению горячим питанием</v>
      </c>
      <c r="G14146" s="22" t="s">
        <v>104</v>
      </c>
      <c r="H14146" s="22" t="s">
        <v>2706</v>
      </c>
      <c r="I14146" s="26">
        <v>43651.486157407402</v>
      </c>
      <c r="J14146" s="23" t="str">
        <f t="shared" si="472"/>
        <v>ООО "ФОРМУЛА ВКУСА"</v>
      </c>
      <c r="K14146" s="24" t="s">
        <v>15064</v>
      </c>
      <c r="L14146" s="28" t="s">
        <v>51</v>
      </c>
      <c r="M14146" s="28" t="s">
        <v>51</v>
      </c>
      <c r="N14146" s="27">
        <v>0</v>
      </c>
    </row>
    <row r="14147" spans="1:14" hidden="1" outlineLevel="1" x14ac:dyDescent="0.2">
      <c r="A14147" s="23" t="str">
        <f>HYPERLINK("https://www.spark-marketing.ru/Card/Person/946861", "МБОУ НОШ № 12")</f>
        <v>МБОУ НОШ № 12</v>
      </c>
      <c r="B14147" s="24" t="s">
        <v>18849</v>
      </c>
      <c r="C14147" s="25">
        <v>157440</v>
      </c>
      <c r="D14147" s="22" t="s">
        <v>18842</v>
      </c>
      <c r="E14147" s="22" t="s">
        <v>48</v>
      </c>
      <c r="F14147" s="23" t="str">
        <f t="shared" si="471"/>
        <v>Оказание услуги по организации и обеспечению горячим питанием</v>
      </c>
      <c r="G14147" s="22" t="s">
        <v>104</v>
      </c>
      <c r="H14147" s="22" t="s">
        <v>2706</v>
      </c>
      <c r="I14147" s="26">
        <v>43651.486157407402</v>
      </c>
      <c r="J14147" s="23" t="str">
        <f t="shared" si="472"/>
        <v>ООО "ФОРМУЛА ВКУСА"</v>
      </c>
      <c r="K14147" s="24" t="s">
        <v>15064</v>
      </c>
      <c r="L14147" s="28" t="s">
        <v>51</v>
      </c>
      <c r="M14147" s="28" t="s">
        <v>51</v>
      </c>
      <c r="N14147" s="27">
        <v>0</v>
      </c>
    </row>
    <row r="14148" spans="1:14" hidden="1" outlineLevel="1" x14ac:dyDescent="0.2">
      <c r="A14148" s="23" t="str">
        <f>HYPERLINK("https://www.spark-marketing.ru/Card/Person/946865", "МБОУ СОШ № 1")</f>
        <v>МБОУ СОШ № 1</v>
      </c>
      <c r="B14148" s="24" t="s">
        <v>18850</v>
      </c>
      <c r="C14148" s="25">
        <v>701280</v>
      </c>
      <c r="D14148" s="22" t="s">
        <v>18842</v>
      </c>
      <c r="E14148" s="22" t="s">
        <v>48</v>
      </c>
      <c r="F14148" s="23" t="str">
        <f t="shared" si="471"/>
        <v>Оказание услуги по организации и обеспечению горячим питанием</v>
      </c>
      <c r="G14148" s="22" t="s">
        <v>104</v>
      </c>
      <c r="H14148" s="22" t="s">
        <v>2706</v>
      </c>
      <c r="I14148" s="26">
        <v>43651.486157407402</v>
      </c>
      <c r="J14148" s="23" t="str">
        <f t="shared" si="472"/>
        <v>ООО "ФОРМУЛА ВКУСА"</v>
      </c>
      <c r="K14148" s="24" t="s">
        <v>15064</v>
      </c>
      <c r="L14148" s="28" t="s">
        <v>51</v>
      </c>
      <c r="M14148" s="28" t="s">
        <v>51</v>
      </c>
      <c r="N14148" s="27">
        <v>0</v>
      </c>
    </row>
    <row r="14149" spans="1:14" x14ac:dyDescent="0.2">
      <c r="A14149" s="23" t="str">
        <f>HYPERLINK("https://www.spark-marketing.ru/Card/Person/1762416", "МАУК ""КМО""")</f>
        <v>МАУК "КМО"</v>
      </c>
      <c r="B14149" s="24" t="s">
        <v>18851</v>
      </c>
      <c r="C14149" s="25">
        <v>93000</v>
      </c>
      <c r="D14149" s="22" t="s">
        <v>18852</v>
      </c>
      <c r="E14149" s="22" t="s">
        <v>18853</v>
      </c>
      <c r="F14149" s="23" t="str">
        <f>HYPERLINK("https://www.spark-marketing.ru/Card/Lot/71911104", "Оказание услуг по приему группы из Белоруссии в рамках проведения фестиваля «Именины Петра»")</f>
        <v>Оказание услуг по приему группы из Белоруссии в рамках проведения фестиваля «Именины Петра»</v>
      </c>
      <c r="G14149" s="22" t="s">
        <v>49</v>
      </c>
      <c r="H14149" s="22" t="s">
        <v>18747</v>
      </c>
      <c r="I14149" s="26">
        <v>43651.468622685199</v>
      </c>
      <c r="J14149" s="28" t="s">
        <v>51</v>
      </c>
      <c r="K14149" s="28" t="s">
        <v>51</v>
      </c>
      <c r="L14149" s="28" t="s">
        <v>51</v>
      </c>
      <c r="M14149" s="25">
        <v>93000</v>
      </c>
      <c r="N14149" s="27">
        <v>0</v>
      </c>
    </row>
    <row r="14150" spans="1:14" x14ac:dyDescent="0.15">
      <c r="A14150" s="23" t="str">
        <f>HYPERLINK("https://www.spark-marketing.ru/Card/Person/6440540", "ГБКУЗ ЯО ""ЦГБ""")</f>
        <v>ГБКУЗ ЯО "ЦГБ"</v>
      </c>
      <c r="B14150" s="24" t="s">
        <v>17502</v>
      </c>
      <c r="C14150" s="25">
        <v>120000</v>
      </c>
      <c r="D14150" s="22" t="s">
        <v>18854</v>
      </c>
      <c r="E14150" s="22" t="s">
        <v>48</v>
      </c>
      <c r="F14150" s="23" t="str">
        <f>HYPERLINK("https://www.spark-marketing.ru/Card/Lot/71926078", "Оказание услуг по организации и доставке горячего питания")</f>
        <v>Оказание услуг по организации и доставке горячего питания</v>
      </c>
      <c r="G14150" s="22" t="s">
        <v>185</v>
      </c>
      <c r="H14150" s="22" t="s">
        <v>3365</v>
      </c>
      <c r="I14150" s="26">
        <v>43651.450231481504</v>
      </c>
      <c r="J14150" s="28" t="s">
        <v>51</v>
      </c>
      <c r="K14150" s="28" t="s">
        <v>51</v>
      </c>
      <c r="L14150" s="28" t="s">
        <v>51</v>
      </c>
      <c r="M14150" s="28" t="s">
        <v>51</v>
      </c>
      <c r="N14150" s="28" t="s">
        <v>51</v>
      </c>
    </row>
    <row r="14151" spans="1:14" x14ac:dyDescent="0.15">
      <c r="A14151" s="23" t="str">
        <f>HYPERLINK("https://www.spark-marketing.ru/Card/Person/95176", "МБДОУ ""ДЕТСКИЙ САД № 4""")</f>
        <v>МБДОУ "ДЕТСКИЙ САД № 4"</v>
      </c>
      <c r="B14151" s="24" t="s">
        <v>18855</v>
      </c>
      <c r="C14151" s="25">
        <v>232608.84</v>
      </c>
      <c r="D14151" s="22" t="s">
        <v>18856</v>
      </c>
      <c r="E14151" s="22" t="s">
        <v>48</v>
      </c>
      <c r="F14151" s="23" t="str">
        <f>HYPERLINK("https://www.spark-marketing.ru/Card/Lot/71906936", "оказание услуг по обеспечению горячим питанием дошкольников муниципального бюджетного дошкольного образовательного учреждения «Детский сад № 4»")</f>
        <v>оказание услуг по обеспечению горячим питанием дошкольников муниципального бюджетного дошкольного образовательного учреждения «Детский сад № 4»</v>
      </c>
      <c r="G14151" s="22" t="s">
        <v>49</v>
      </c>
      <c r="H14151" s="22" t="s">
        <v>404</v>
      </c>
      <c r="I14151" s="26">
        <v>43651.378136574102</v>
      </c>
      <c r="J14151" s="28" t="s">
        <v>51</v>
      </c>
      <c r="K14151" s="28" t="s">
        <v>51</v>
      </c>
      <c r="L14151" s="28" t="s">
        <v>51</v>
      </c>
      <c r="M14151" s="28" t="s">
        <v>51</v>
      </c>
      <c r="N14151" s="28" t="s">
        <v>51</v>
      </c>
    </row>
    <row r="14152" spans="1:14" x14ac:dyDescent="0.15">
      <c r="A14152" s="23" t="str">
        <f>HYPERLINK("https://www.spark-marketing.ru/Card/Person/38694", "ФГУП ""МОСКОВСКОЕ ПРОП"" МИНТРУДА РОССИИ")</f>
        <v>ФГУП "МОСКОВСКОЕ ПРОП" МИНТРУДА РОССИИ</v>
      </c>
      <c r="B14152" s="24" t="s">
        <v>521</v>
      </c>
      <c r="C14152" s="25">
        <v>383163</v>
      </c>
      <c r="D14152" s="22" t="s">
        <v>18857</v>
      </c>
      <c r="E14152" s="22" t="s">
        <v>48</v>
      </c>
      <c r="F14152" s="23" t="str">
        <f>HYPERLINK("https://www.spark-marketing.ru/Card/Lot/71926539", "Оказание услуг по организации и доставке горячего питания для пациентов стационара атипичного и сложного протезирования филиала «Челябинский» ФГУП «Московское ПрОП» Минтруда России")</f>
        <v>Оказание услуг по организации и доставке горячего питания для пациентов стационара атипичного и сложного протезирования филиала «Челябинский» ФГУП «Московское ПрОП» Минтруда России</v>
      </c>
      <c r="G14152" s="22" t="s">
        <v>469</v>
      </c>
      <c r="H14152" s="22" t="s">
        <v>491</v>
      </c>
      <c r="I14152" s="26">
        <v>43651.363368055601</v>
      </c>
      <c r="J14152" s="23" t="str">
        <f>HYPERLINK("https://www.spark-marketing.ru/Card/Person/2268825", "ООО КАФЕ ""ЛЮДМИЛА""")</f>
        <v>ООО КАФЕ "ЛЮДМИЛА"</v>
      </c>
      <c r="K14152" s="24" t="s">
        <v>18858</v>
      </c>
      <c r="L14152" s="28" t="s">
        <v>51</v>
      </c>
      <c r="M14152" s="28" t="s">
        <v>51</v>
      </c>
      <c r="N14152" s="28" t="s">
        <v>51</v>
      </c>
    </row>
    <row r="14153" spans="1:14" ht="12.75" hidden="1" outlineLevel="1" x14ac:dyDescent="0.2">
      <c r="A14153" s="23" t="str">
        <f>HYPERLINK("https://www.spark-marketing.ru/Card/Person/38694", "ФГУП ""МОСКОВСКОЕ ПРОП"" МИНТРУДА РОССИИ")</f>
        <v>ФГУП "МОСКОВСКОЕ ПРОП" МИНТРУДА РОССИИ</v>
      </c>
      <c r="B14153" s="24" t="s">
        <v>521</v>
      </c>
      <c r="C14153" s="25">
        <v>383163</v>
      </c>
      <c r="D14153" s="22" t="s">
        <v>18857</v>
      </c>
      <c r="E14153" s="22" t="s">
        <v>48</v>
      </c>
      <c r="F14153" s="23" t="str">
        <f>HYPERLINK("https://www.spark-marketing.ru/Card/Lot/71926539", "Оказание услуг по организации и доставке горячего питания для пациентов стационара атипичного и сложного протезирования филиала «Челябинский» ФГУП «Московское ПрОП» Минтруда России")</f>
        <v>Оказание услуг по организации и доставке горячего питания для пациентов стационара атипичного и сложного протезирования филиала «Челябинский» ФГУП «Московское ПрОП» Минтруда России</v>
      </c>
      <c r="G14153" s="22" t="s">
        <v>469</v>
      </c>
      <c r="H14153" s="22" t="s">
        <v>491</v>
      </c>
      <c r="I14153" s="26">
        <v>43651.363368055601</v>
      </c>
      <c r="J14153" s="23" t="str">
        <f>HYPERLINK("https://www.spark-marketing.ru/Card/Person/2268825", "ООО КАФЕ ""ЛЮДМИЛА""")</f>
        <v>ООО КАФЕ "ЛЮДМИЛА"</v>
      </c>
      <c r="K14153" s="24" t="s">
        <v>18858</v>
      </c>
      <c r="L14153" s="22" t="s">
        <v>10</v>
      </c>
      <c r="M14153" s="25">
        <v>381247.18</v>
      </c>
      <c r="N14153" s="27">
        <v>5.0000130492766784E-3</v>
      </c>
    </row>
    <row r="14154" spans="1:14" x14ac:dyDescent="0.15">
      <c r="A14154" s="23" t="str">
        <f>HYPERLINK("https://www.spark-marketing.ru/Card/Person/6394", "ГБУЗ МО ""ЕГОРЬЕВСКАЯ ЦРБ""")</f>
        <v>ГБУЗ МО "ЕГОРЬЕВСКАЯ ЦРБ"</v>
      </c>
      <c r="B14154" s="24" t="s">
        <v>18859</v>
      </c>
      <c r="C14154" s="25">
        <v>99900</v>
      </c>
      <c r="D14154" s="22" t="s">
        <v>18860</v>
      </c>
      <c r="E14154" s="22" t="s">
        <v>48</v>
      </c>
      <c r="F14154" s="23" t="str">
        <f>HYPERLINK("https://www.spark-marketing.ru/Card/Lot/71906924", "Оказание услуг по организации питания пациентов (0 диета) для нужд ГБУЗ МО ""Егорьевская ЦРБ"" в 2019 году")</f>
        <v>Оказание услуг по организации питания пациентов (0 диета) для нужд ГБУЗ МО "Егорьевская ЦРБ" в 2019 году</v>
      </c>
      <c r="G14154" s="22" t="s">
        <v>49</v>
      </c>
      <c r="H14154" s="22" t="s">
        <v>3562</v>
      </c>
      <c r="I14154" s="26">
        <v>43651.357604166697</v>
      </c>
      <c r="J14154" s="28" t="s">
        <v>51</v>
      </c>
      <c r="K14154" s="28" t="s">
        <v>51</v>
      </c>
      <c r="L14154" s="28" t="s">
        <v>51</v>
      </c>
      <c r="M14154" s="28" t="s">
        <v>51</v>
      </c>
      <c r="N14154" s="28" t="s">
        <v>51</v>
      </c>
    </row>
    <row r="14155" spans="1:14" x14ac:dyDescent="0.15">
      <c r="A14155" s="23" t="str">
        <f>HYPERLINK("https://www.spark-marketing.ru/Card/Person/1015790", "ФКУ ""ЦУКС ГУ МЧС РОССИИ ПО ТОМСКОЙ ОБЛАСТИ""")</f>
        <v>ФКУ "ЦУКС ГУ МЧС РОССИИ ПО ТОМСКОЙ ОБЛАСТИ"</v>
      </c>
      <c r="B14155" s="24" t="s">
        <v>10224</v>
      </c>
      <c r="C14155" s="25">
        <v>45760</v>
      </c>
      <c r="D14155" s="22" t="s">
        <v>18861</v>
      </c>
      <c r="E14155" s="22" t="s">
        <v>48</v>
      </c>
      <c r="F14155" s="23" t="str">
        <f>HYPERLINK("https://www.spark-marketing.ru/Card/Lot/71905661", "Услуги по организации трехразового питания в г.Томске, 143 усл. ед")</f>
        <v>Услуги по организации трехразового питания в г.Томске, 143 усл. ед</v>
      </c>
      <c r="G14155" s="22" t="s">
        <v>149</v>
      </c>
      <c r="H14155" s="22" t="s">
        <v>496</v>
      </c>
      <c r="I14155" s="26">
        <v>43651.302696759303</v>
      </c>
      <c r="J14155" s="28" t="s">
        <v>51</v>
      </c>
      <c r="K14155" s="28" t="s">
        <v>51</v>
      </c>
      <c r="L14155" s="28" t="s">
        <v>51</v>
      </c>
      <c r="M14155" s="28" t="s">
        <v>51</v>
      </c>
      <c r="N14155" s="28" t="s">
        <v>51</v>
      </c>
    </row>
    <row r="14156" spans="1:14" x14ac:dyDescent="0.15">
      <c r="A14156" s="23" t="str">
        <f>HYPERLINK("https://www.spark-marketing.ru/Card/Person/1751878", "УМВД РОССИИ ПО ТОМСКОЙ ОБЛАСТИ")</f>
        <v>УМВД РОССИИ ПО ТОМСКОЙ ОБЛАСТИ</v>
      </c>
      <c r="B14156" s="24" t="s">
        <v>1665</v>
      </c>
      <c r="C14156" s="25">
        <v>2249</v>
      </c>
      <c r="D14156" s="22" t="s">
        <v>18862</v>
      </c>
      <c r="E14156" s="22" t="s">
        <v>96</v>
      </c>
      <c r="F14156" s="23" t="str">
        <f>HYPERLINK("https://www.spark-marketing.ru/Card/Lot/71905487", "Оказание услуг по организации питания (приготовлению и доставке), 7 шт")</f>
        <v>Оказание услуг по организации питания (приготовлению и доставке), 7 шт</v>
      </c>
      <c r="G14156" s="22" t="s">
        <v>149</v>
      </c>
      <c r="H14156" s="22" t="s">
        <v>496</v>
      </c>
      <c r="I14156" s="26">
        <v>43651.2733449074</v>
      </c>
      <c r="J14156" s="28" t="s">
        <v>51</v>
      </c>
      <c r="K14156" s="28" t="s">
        <v>51</v>
      </c>
      <c r="L14156" s="28" t="s">
        <v>51</v>
      </c>
      <c r="M14156" s="28" t="s">
        <v>51</v>
      </c>
      <c r="N14156" s="28" t="s">
        <v>51</v>
      </c>
    </row>
    <row r="14157" spans="1:14" x14ac:dyDescent="0.15">
      <c r="A14157" s="23" t="str">
        <f>HYPERLINK("https://www.spark-marketing.ru/Card/Person/5878", "ГБУЗ НСО ""КУЙБЫШЕВСКАЯ ЦРБ""")</f>
        <v>ГБУЗ НСО "КУЙБЫШЕВСКАЯ ЦРБ"</v>
      </c>
      <c r="B14157" s="24" t="s">
        <v>16080</v>
      </c>
      <c r="C14157" s="25">
        <v>97500</v>
      </c>
      <c r="D14157" s="22" t="s">
        <v>18863</v>
      </c>
      <c r="E14157" s="22" t="s">
        <v>152</v>
      </c>
      <c r="F14157" s="23" t="str">
        <f>HYPERLINK("https://www.spark-marketing.ru/Card/Lot/71905567", "на оказание услуг по диагностике и устранению мелких неисправностей источника бесперебойного питания к компьютерному томографу")</f>
        <v>на оказание услуг по диагностике и устранению мелких неисправностей источника бесперебойного питания к компьютерному томографу</v>
      </c>
      <c r="G14157" s="22" t="s">
        <v>195</v>
      </c>
      <c r="H14157" s="22" t="s">
        <v>16082</v>
      </c>
      <c r="I14157" s="26">
        <v>43651.284722222197</v>
      </c>
      <c r="J14157" s="28" t="s">
        <v>51</v>
      </c>
      <c r="K14157" s="28" t="s">
        <v>51</v>
      </c>
      <c r="L14157" s="28" t="s">
        <v>51</v>
      </c>
      <c r="M14157" s="28" t="s">
        <v>51</v>
      </c>
      <c r="N14157" s="28" t="s">
        <v>51</v>
      </c>
    </row>
    <row r="14158" spans="1:14" x14ac:dyDescent="0.15">
      <c r="A14158" s="23" t="str">
        <f>HYPERLINK("https://www.spark-marketing.ru/Card/Person/1751878", "УМВД РОССИИ ПО ТОМСКОЙ ОБЛАСТИ")</f>
        <v>УМВД РОССИИ ПО ТОМСКОЙ ОБЛАСТИ</v>
      </c>
      <c r="B14158" s="24" t="s">
        <v>1665</v>
      </c>
      <c r="C14158" s="25">
        <v>1130</v>
      </c>
      <c r="D14158" s="22" t="s">
        <v>18864</v>
      </c>
      <c r="E14158" s="22" t="s">
        <v>48</v>
      </c>
      <c r="F14158" s="23" t="str">
        <f>HYPERLINK("https://www.spark-marketing.ru/Card/Lot/71905528", "Услуги по доставке горячего питания (завтрак, обед, ужин), 4 усл. ед")</f>
        <v>Услуги по доставке горячего питания (завтрак, обед, ужин), 4 усл. ед</v>
      </c>
      <c r="G14158" s="22" t="s">
        <v>149</v>
      </c>
      <c r="H14158" s="22" t="s">
        <v>496</v>
      </c>
      <c r="I14158" s="26">
        <v>43651.282222222202</v>
      </c>
      <c r="J14158" s="28" t="s">
        <v>51</v>
      </c>
      <c r="K14158" s="28" t="s">
        <v>51</v>
      </c>
      <c r="L14158" s="28" t="s">
        <v>51</v>
      </c>
      <c r="M14158" s="28" t="s">
        <v>51</v>
      </c>
      <c r="N14158" s="28" t="s">
        <v>51</v>
      </c>
    </row>
    <row r="14159" spans="1:14" x14ac:dyDescent="0.2">
      <c r="A14159" s="23" t="str">
        <f>HYPERLINK("https://www.spark-marketing.ru/Card/Person/4363380", "ООО ""ГАЗПРОМ НЕДРА""")</f>
        <v>ООО "ГАЗПРОМ НЕДРА"</v>
      </c>
      <c r="B14159" s="24" t="s">
        <v>18865</v>
      </c>
      <c r="C14159" s="25">
        <v>498000</v>
      </c>
      <c r="D14159" s="22" t="s">
        <v>18866</v>
      </c>
      <c r="E14159" s="22" t="s">
        <v>774</v>
      </c>
      <c r="F14159" s="23" t="str">
        <f>HYPERLINK("https://www.spark-marketing.ru/Card/Lot/71914115", "Оказание услуг по ремонту блоков питания регистраторов КАСКАД для нужд ПФ ""Севергазгеофизика""")</f>
        <v>Оказание услуг по ремонту блоков питания регистраторов КАСКАД для нужд ПФ "Севергазгеофизика"</v>
      </c>
      <c r="G14159" s="22" t="s">
        <v>56</v>
      </c>
      <c r="H14159" s="22" t="s">
        <v>56</v>
      </c>
      <c r="I14159" s="26">
        <v>43651.526377314804</v>
      </c>
      <c r="J14159" s="28" t="s">
        <v>51</v>
      </c>
      <c r="K14159" s="28" t="s">
        <v>51</v>
      </c>
      <c r="L14159" s="22" t="s">
        <v>10</v>
      </c>
      <c r="M14159" s="25">
        <v>497378.58</v>
      </c>
      <c r="N14159" s="27">
        <v>1.2478313253012048E-3</v>
      </c>
    </row>
    <row r="14160" spans="1:14" x14ac:dyDescent="0.15">
      <c r="A14160" s="23" t="str">
        <f>HYPERLINK("https://www.spark-marketing.ru/Card/Person/4346769", "МИНОБРНАУКИ РД")</f>
        <v>МИНОБРНАУКИ РД</v>
      </c>
      <c r="B14160" s="24" t="s">
        <v>18723</v>
      </c>
      <c r="C14160" s="25">
        <v>252000</v>
      </c>
      <c r="D14160" s="22" t="s">
        <v>18867</v>
      </c>
      <c r="E14160" s="22" t="s">
        <v>52</v>
      </c>
      <c r="F14160" s="23" t="str">
        <f>HYPERLINK("https://www.spark-marketing.ru/Card/Lot/73766763", "Услуги по организации питания")</f>
        <v>Услуги по организации питания</v>
      </c>
      <c r="G14160" s="22" t="s">
        <v>1607</v>
      </c>
      <c r="H14160" s="22" t="s">
        <v>1608</v>
      </c>
      <c r="I14160" s="26">
        <v>43651</v>
      </c>
      <c r="J14160" s="28" t="s">
        <v>51</v>
      </c>
      <c r="K14160" s="28" t="s">
        <v>51</v>
      </c>
      <c r="L14160" s="28" t="s">
        <v>51</v>
      </c>
      <c r="M14160" s="28" t="s">
        <v>51</v>
      </c>
      <c r="N14160" s="28" t="s">
        <v>51</v>
      </c>
    </row>
    <row r="14161" spans="1:14" x14ac:dyDescent="0.15">
      <c r="A14161" s="23" t="str">
        <f>HYPERLINK("https://www.spark-marketing.ru/Card/Person/32916", "ГУ-САХАЛИНСКОЕ РО ФОНДА СОЦИАЛЬНОГО СТРАХОВАНИЯ РОССИЙСКОЙ ФЕДЕРАЦИИ")</f>
        <v>ГУ-САХАЛИНСКОЕ РО ФОНДА СОЦИАЛЬНОГО СТРАХОВАНИЯ РОССИЙСКОЙ ФЕДЕРАЦИИ</v>
      </c>
      <c r="B14161" s="24" t="s">
        <v>18868</v>
      </c>
      <c r="C14161" s="25">
        <v>157210.20000000001</v>
      </c>
      <c r="D14161" s="22" t="s">
        <v>18869</v>
      </c>
      <c r="E14161" s="22" t="s">
        <v>86</v>
      </c>
      <c r="F14161" s="23" t="str">
        <f>HYPERLINK("https://www.spark-marketing.ru/Card/Lot/71901503", "Предоставление санаторно-курортной организацией путевок на санаторно-курортное лечение, осуществляемое в целях профилактики основных заболеваний, гражданам, имеющим право на получение государственной социальной помощи в виде набора социальных услуг (...")</f>
        <v>Предоставление санаторно-курортной организацией путевок на санаторно-курортное лечение, осуществляемое в целях профилактики основных заболеваний, гражданам, имеющим право на получение государственной социальной помощи в виде набора социальных услуг (...</v>
      </c>
      <c r="G14161" s="22" t="s">
        <v>260</v>
      </c>
      <c r="H14161" s="22" t="s">
        <v>260</v>
      </c>
      <c r="I14161" s="26">
        <v>43650.795138888898</v>
      </c>
      <c r="J14161" s="28" t="s">
        <v>51</v>
      </c>
      <c r="K14161" s="28" t="s">
        <v>51</v>
      </c>
      <c r="L14161" s="28" t="s">
        <v>51</v>
      </c>
      <c r="M14161" s="28" t="s">
        <v>51</v>
      </c>
      <c r="N14161" s="28" t="s">
        <v>51</v>
      </c>
    </row>
    <row r="14162" spans="1:14" x14ac:dyDescent="0.15">
      <c r="A14162" s="23" t="str">
        <f>HYPERLINK("https://www.spark-marketing.ru/Card/Person/1016733", "ОБУЗ ""ОКНБ""")</f>
        <v>ОБУЗ "ОКНБ"</v>
      </c>
      <c r="B14162" s="24" t="s">
        <v>15208</v>
      </c>
      <c r="C14162" s="25">
        <v>499800</v>
      </c>
      <c r="D14162" s="22" t="s">
        <v>18870</v>
      </c>
      <c r="E14162" s="22" t="s">
        <v>48</v>
      </c>
      <c r="F14162" s="23" t="str">
        <f>HYPERLINK("https://www.spark-marketing.ru/Card/Lot/71903402", "Оказание услуг по ежедневному приготовлению и поставке питания для больных")</f>
        <v>Оказание услуг по ежедневному приготовлению и поставке питания для больных</v>
      </c>
      <c r="G14162" s="22" t="s">
        <v>1111</v>
      </c>
      <c r="H14162" s="22" t="s">
        <v>1112</v>
      </c>
      <c r="I14162" s="26">
        <v>43650.751273148097</v>
      </c>
      <c r="J14162" s="23" t="str">
        <f>HYPERLINK("https://www.spark-marketing.ru/Card/Person/671861", "ООО ""КОНГРЕСС""")</f>
        <v>ООО "КОНГРЕСС"</v>
      </c>
      <c r="K14162" s="24" t="s">
        <v>4512</v>
      </c>
      <c r="L14162" s="28" t="s">
        <v>51</v>
      </c>
      <c r="M14162" s="28" t="s">
        <v>51</v>
      </c>
      <c r="N14162" s="28" t="s">
        <v>51</v>
      </c>
    </row>
    <row r="14163" spans="1:14" ht="12.75" hidden="1" outlineLevel="1" x14ac:dyDescent="0.2">
      <c r="A14163" s="23" t="str">
        <f>HYPERLINK("https://www.spark-marketing.ru/Card/Person/1016733", "ОБУЗ ""ОКНБ""")</f>
        <v>ОБУЗ "ОКНБ"</v>
      </c>
      <c r="B14163" s="24" t="s">
        <v>15208</v>
      </c>
      <c r="C14163" s="25">
        <v>499800</v>
      </c>
      <c r="D14163" s="22" t="s">
        <v>18870</v>
      </c>
      <c r="E14163" s="22" t="s">
        <v>48</v>
      </c>
      <c r="F14163" s="23" t="str">
        <f>HYPERLINK("https://www.spark-marketing.ru/Card/Lot/71903402", "Оказание услуг по ежедневному приготовлению и поставке питания для больных")</f>
        <v>Оказание услуг по ежедневному приготовлению и поставке питания для больных</v>
      </c>
      <c r="G14163" s="22" t="s">
        <v>1111</v>
      </c>
      <c r="H14163" s="22" t="s">
        <v>1112</v>
      </c>
      <c r="I14163" s="26">
        <v>43650.751273148097</v>
      </c>
      <c r="J14163" s="23" t="str">
        <f>HYPERLINK("https://www.spark-marketing.ru/Card/Person/671861", "ООО ""КОНГРЕСС""")</f>
        <v>ООО "КОНГРЕСС"</v>
      </c>
      <c r="K14163" s="24" t="s">
        <v>4512</v>
      </c>
      <c r="L14163" s="22" t="s">
        <v>10</v>
      </c>
      <c r="M14163" s="25">
        <v>497280</v>
      </c>
      <c r="N14163" s="27">
        <v>5.0420168067226894E-3</v>
      </c>
    </row>
    <row r="14164" spans="1:14" x14ac:dyDescent="0.15">
      <c r="A14164" s="23" t="str">
        <f>HYPERLINK("https://www.spark-marketing.ru/Card/Person/128727", "МБДОУ ""ДЕТСКИЙ САД № 65"" Г.ЧЕБОКСАРЫ")</f>
        <v>МБДОУ "ДЕТСКИЙ САД № 65" Г.ЧЕБОКСАРЫ</v>
      </c>
      <c r="B14164" s="24" t="s">
        <v>18871</v>
      </c>
      <c r="C14164" s="25">
        <v>21720</v>
      </c>
      <c r="D14164" s="22" t="s">
        <v>18872</v>
      </c>
      <c r="E14164" s="22" t="s">
        <v>756</v>
      </c>
      <c r="F14164" s="23" t="str">
        <f>HYPERLINK("https://www.spark-marketing.ru/Card/Lot/71894976", "оказание услуг по установке домофона")</f>
        <v>оказание услуг по установке домофона</v>
      </c>
      <c r="G14164" s="22" t="s">
        <v>618</v>
      </c>
      <c r="H14164" s="22" t="s">
        <v>2842</v>
      </c>
      <c r="I14164" s="26">
        <v>43650.762499999997</v>
      </c>
      <c r="J14164" s="28" t="s">
        <v>51</v>
      </c>
      <c r="K14164" s="28" t="s">
        <v>51</v>
      </c>
      <c r="L14164" s="28" t="s">
        <v>51</v>
      </c>
      <c r="M14164" s="28" t="s">
        <v>51</v>
      </c>
      <c r="N14164" s="28" t="s">
        <v>51</v>
      </c>
    </row>
    <row r="14165" spans="1:14" x14ac:dyDescent="0.15">
      <c r="A14165" s="23" t="str">
        <f>HYPERLINK("https://www.spark-marketing.ru/Card/Person/4365627", "ООО ""РН-БУРЕНИЕ""")</f>
        <v>ООО "РН-БУРЕНИЕ"</v>
      </c>
      <c r="B14165" s="24" t="s">
        <v>7087</v>
      </c>
      <c r="C14165" s="28" t="s">
        <v>51</v>
      </c>
      <c r="D14165" s="22" t="s">
        <v>18873</v>
      </c>
      <c r="E14165" s="22" t="s">
        <v>362</v>
      </c>
      <c r="F14165" s="23" t="str">
        <f>HYPERLINK("https://www.spark-marketing.ru/Card/Lot/71894794", "Оказание услуг по организации питания на Скважине № 2 Мадачагская Медынско-варандейский лизензионный участок в 2020г.")</f>
        <v>Оказание услуг по организации питания на Скважине № 2 Мадачагская Медынско-варандейский лизензионный участок в 2020г.</v>
      </c>
      <c r="G14165" s="22" t="s">
        <v>56</v>
      </c>
      <c r="H14165" s="22" t="s">
        <v>56</v>
      </c>
      <c r="I14165" s="26">
        <v>43650.723611111098</v>
      </c>
      <c r="J14165" s="28" t="s">
        <v>51</v>
      </c>
      <c r="K14165" s="28" t="s">
        <v>51</v>
      </c>
      <c r="L14165" s="28" t="s">
        <v>51</v>
      </c>
      <c r="M14165" s="28" t="s">
        <v>51</v>
      </c>
      <c r="N14165" s="28" t="s">
        <v>51</v>
      </c>
    </row>
    <row r="14166" spans="1:14" x14ac:dyDescent="0.15">
      <c r="A14166" s="23" t="str">
        <f>HYPERLINK("https://www.spark-marketing.ru/Card/Person/526355", "ФГБОУ ВО ""РЭУ ИМ. Г.В. ПЛЕХАНОВА"", РЭУ ИМ. Г.В. ПЛЕХАНОВА")</f>
        <v>ФГБОУ ВО "РЭУ ИМ. Г.В. ПЛЕХАНОВА", РЭУ ИМ. Г.В. ПЛЕХАНОВА</v>
      </c>
      <c r="B14166" s="24" t="s">
        <v>565</v>
      </c>
      <c r="C14166" s="25">
        <v>122500</v>
      </c>
      <c r="D14166" s="22" t="s">
        <v>18874</v>
      </c>
      <c r="E14166" s="22" t="s">
        <v>362</v>
      </c>
      <c r="F14166" s="23" t="str">
        <f>HYPERLINK("https://www.spark-marketing.ru/Card/Lot/71894520", "Оказание услуг по организации питания для участников «Летней школы студентов и молодых ученых ""Аналитика Больших данных Дубна-2019""» для нужд ФГБОУ ВО ""РЭУ им. Г.В. Плеханова""")</f>
        <v>Оказание услуг по организации питания для участников «Летней школы студентов и молодых ученых "Аналитика Больших данных Дубна-2019"» для нужд ФГБОУ ВО "РЭУ им. Г.В. Плеханова"</v>
      </c>
      <c r="G14166" s="22" t="s">
        <v>56</v>
      </c>
      <c r="H14166" s="22" t="s">
        <v>56</v>
      </c>
      <c r="I14166" s="26">
        <v>43650.721168981501</v>
      </c>
      <c r="J14166" s="28" t="s">
        <v>51</v>
      </c>
      <c r="K14166" s="28" t="s">
        <v>51</v>
      </c>
      <c r="L14166" s="28" t="s">
        <v>51</v>
      </c>
      <c r="M14166" s="28" t="s">
        <v>51</v>
      </c>
      <c r="N14166" s="28" t="s">
        <v>51</v>
      </c>
    </row>
    <row r="14167" spans="1:14" x14ac:dyDescent="0.15">
      <c r="A14167" s="23" t="str">
        <f>HYPERLINK("https://www.spark-marketing.ru/Card/Person/1055035", "МО МВД РОССИИ ""ПОХВИСТНЕВСКИЙ""")</f>
        <v>МО МВД РОССИИ "ПОХВИСТНЕВСКИЙ"</v>
      </c>
      <c r="B14167" s="24" t="s">
        <v>18875</v>
      </c>
      <c r="C14167" s="25">
        <v>782760</v>
      </c>
      <c r="D14167" s="22" t="s">
        <v>18876</v>
      </c>
      <c r="E14167" s="22" t="s">
        <v>48</v>
      </c>
      <c r="F14167" s="23" t="str">
        <f>HYPERLINK("https://www.spark-marketing.ru/Card/Lot/71903348", "Услуги по приготовлению и поставке трехразового горячего питания для граждан содержащихся в ИВС")</f>
        <v>Услуги по приготовлению и поставке трехразового горячего питания для граждан содержащихся в ИВС</v>
      </c>
      <c r="G14167" s="22" t="s">
        <v>128</v>
      </c>
      <c r="H14167" s="22" t="s">
        <v>128</v>
      </c>
      <c r="I14167" s="26">
        <v>43650.744201388901</v>
      </c>
      <c r="J14167" s="28" t="s">
        <v>51</v>
      </c>
      <c r="K14167" s="28" t="s">
        <v>51</v>
      </c>
      <c r="L14167" s="28" t="s">
        <v>51</v>
      </c>
      <c r="M14167" s="28" t="s">
        <v>51</v>
      </c>
      <c r="N14167" s="28" t="s">
        <v>51</v>
      </c>
    </row>
    <row r="14168" spans="1:14" x14ac:dyDescent="0.15">
      <c r="A14168" s="23" t="str">
        <f>HYPERLINK("https://www.spark-marketing.ru/Card/Person/145806", "ОТДЕЛ МВД РОССИИ ПО НИЖНЕИНГАШСКОМУ РАЙОНУ")</f>
        <v>ОТДЕЛ МВД РОССИИ ПО НИЖНЕИНГАШСКОМУ РАЙОНУ</v>
      </c>
      <c r="B14168" s="24" t="s">
        <v>12120</v>
      </c>
      <c r="C14168" s="25">
        <v>370000</v>
      </c>
      <c r="D14168" s="22" t="s">
        <v>18877</v>
      </c>
      <c r="E14168" s="22" t="s">
        <v>48</v>
      </c>
      <c r="F14168" s="23" t="str">
        <f>HYPERLINK("https://www.spark-marketing.ru/Card/Lot/71901089", "Услуги по обеспечению питанием лиц содержащихся в ИВС")</f>
        <v>Услуги по обеспечению питанием лиц содержащихся в ИВС</v>
      </c>
      <c r="G14168" s="22" t="s">
        <v>281</v>
      </c>
      <c r="H14168" s="22" t="s">
        <v>12122</v>
      </c>
      <c r="I14168" s="26">
        <v>43650.717719907399</v>
      </c>
      <c r="J14168" s="23" t="str">
        <f>HYPERLINK("https://www.spark-marketing.ru/Card/Person/169100", "Бегларян Сос Азатович")</f>
        <v>Бегларян Сос Азатович</v>
      </c>
      <c r="K14168" s="24" t="s">
        <v>18878</v>
      </c>
      <c r="L14168" s="22" t="s">
        <v>10</v>
      </c>
      <c r="M14168" s="28" t="s">
        <v>51</v>
      </c>
      <c r="N14168" s="28" t="s">
        <v>51</v>
      </c>
    </row>
    <row r="14169" spans="1:14" x14ac:dyDescent="0.15">
      <c r="A14169" s="23" t="str">
        <f>HYPERLINK("https://www.spark-marketing.ru/Card/Person/1055035", "МО МВД РОССИИ ""ПОХВИСТНЕВСКИЙ""")</f>
        <v>МО МВД РОССИИ "ПОХВИСТНЕВСКИЙ"</v>
      </c>
      <c r="B14169" s="24" t="s">
        <v>18875</v>
      </c>
      <c r="C14169" s="25">
        <v>782750</v>
      </c>
      <c r="D14169" s="22" t="s">
        <v>18879</v>
      </c>
      <c r="E14169" s="22" t="s">
        <v>48</v>
      </c>
      <c r="F14169" s="23" t="str">
        <f>HYPERLINK("https://www.spark-marketing.ru/Card/Lot/71903344", "Услуги по приготовлению и поставке трехразового горячего питания для граждан содержащихся в ИВС")</f>
        <v>Услуги по приготовлению и поставке трехразового горячего питания для граждан содержащихся в ИВС</v>
      </c>
      <c r="G14169" s="22" t="s">
        <v>128</v>
      </c>
      <c r="H14169" s="22" t="s">
        <v>6380</v>
      </c>
      <c r="I14169" s="26">
        <v>43650.743032407401</v>
      </c>
      <c r="J14169" s="23" t="str">
        <f>HYPERLINK("https://www.spark-marketing.ru/Card/Person/404174", "ОАО ""ОБЩЕПИТ""")</f>
        <v>ОАО "ОБЩЕПИТ"</v>
      </c>
      <c r="K14169" s="24" t="s">
        <v>18880</v>
      </c>
      <c r="L14169" s="22" t="s">
        <v>10</v>
      </c>
      <c r="M14169" s="28" t="s">
        <v>51</v>
      </c>
      <c r="N14169" s="28" t="s">
        <v>51</v>
      </c>
    </row>
    <row r="14170" spans="1:14" x14ac:dyDescent="0.2">
      <c r="A14170" s="23" t="str">
        <f>HYPERLINK("https://www.spark-marketing.ru/Card/Person/6430263", "ФГАУ ""ВИТ ""ЭРА""")</f>
        <v>ФГАУ "ВИТ "ЭРА"</v>
      </c>
      <c r="B14170" s="24" t="s">
        <v>13094</v>
      </c>
      <c r="C14170" s="25">
        <v>414108</v>
      </c>
      <c r="D14170" s="22" t="s">
        <v>18881</v>
      </c>
      <c r="E14170" s="22" t="s">
        <v>13096</v>
      </c>
      <c r="F14170" s="23" t="str">
        <f>HYPERLINK("https://www.spark-marketing.ru/Card/Lot/71894620", "Оказание услуг по техническому обслуживанию зданий, ФГАУ ""ВИТ ""ЭРА"" корпус № 1 (административный с блоком общественного питания)")</f>
        <v>Оказание услуг по техническому обслуживанию зданий, ФГАУ "ВИТ "ЭРА" корпус № 1 (административный с блоком общественного питания)</v>
      </c>
      <c r="G14170" s="22" t="s">
        <v>104</v>
      </c>
      <c r="H14170" s="22" t="s">
        <v>104</v>
      </c>
      <c r="I14170" s="26">
        <v>43650.735960648097</v>
      </c>
      <c r="J14170" s="28" t="s">
        <v>51</v>
      </c>
      <c r="K14170" s="28" t="s">
        <v>51</v>
      </c>
      <c r="L14170" s="22" t="s">
        <v>10</v>
      </c>
      <c r="M14170" s="25">
        <v>414108</v>
      </c>
      <c r="N14170" s="27">
        <v>0</v>
      </c>
    </row>
    <row r="14171" spans="1:14" x14ac:dyDescent="0.15">
      <c r="A14171" s="23" t="str">
        <f>HYPERLINK("https://www.spark-marketing.ru/Card/Person/72890", "ГУП РК ""КАРЕЛФАРМ""")</f>
        <v>ГУП РК "КАРЕЛФАРМ"</v>
      </c>
      <c r="B14171" s="24" t="s">
        <v>1668</v>
      </c>
      <c r="C14171" s="25">
        <v>1848</v>
      </c>
      <c r="D14171" s="22" t="s">
        <v>18882</v>
      </c>
      <c r="E14171" s="22" t="s">
        <v>3561</v>
      </c>
      <c r="F14171" s="23" t="str">
        <f>HYPERLINK("https://www.spark-marketing.ru/Card/Lot/71894505", "оказание услуг по приемке, хранению, комплектованию, доставке, отпуску и учёту лекарственных препаратов, изделий медицинского назначения и специализированных продуктов лечебного питания, приобретаемых за счет средств бюджета Республики Карелия для об...")</f>
        <v>оказание услуг по приемке, хранению, комплектованию, доставке, отпуску и учёту лекарственных препаратов, изделий медицинского назначения и специализированных продуктов лечебного питания, приобретаемых за счет средств бюджета Республики Карелия для об...</v>
      </c>
      <c r="G14171" s="22" t="s">
        <v>59</v>
      </c>
      <c r="H14171" s="22" t="s">
        <v>59</v>
      </c>
      <c r="I14171" s="26">
        <v>43650.715312499997</v>
      </c>
      <c r="J14171" s="28" t="s">
        <v>51</v>
      </c>
      <c r="K14171" s="28" t="s">
        <v>51</v>
      </c>
      <c r="L14171" s="28" t="s">
        <v>51</v>
      </c>
      <c r="M14171" s="28" t="s">
        <v>51</v>
      </c>
      <c r="N14171" s="28" t="s">
        <v>51</v>
      </c>
    </row>
    <row r="14172" spans="1:14" x14ac:dyDescent="0.15">
      <c r="A14172" s="23" t="str">
        <f>HYPERLINK("https://www.spark-marketing.ru/Card/Person/9066", "УПРАВА РАЙОНА ВЕШНЯКИ ГОРОДА МОСКВЫ")</f>
        <v>УПРАВА РАЙОНА ВЕШНЯКИ ГОРОДА МОСКВЫ</v>
      </c>
      <c r="B14172" s="24" t="s">
        <v>18883</v>
      </c>
      <c r="C14172" s="25">
        <v>518400</v>
      </c>
      <c r="D14172" s="22" t="s">
        <v>18884</v>
      </c>
      <c r="E14172" s="22" t="s">
        <v>48</v>
      </c>
      <c r="F14172" s="23" t="str">
        <f>HYPERLINK("https://www.spark-marketing.ru/Card/Lot/71902040", "Организация питания членов избирательных комиссий района Вешняки для проведения выборов депутатов Московской городской Думы в 2019 году")</f>
        <v>Организация питания членов избирательных комиссий района Вешняки для проведения выборов депутатов Московской городской Думы в 2019 году</v>
      </c>
      <c r="G14172" s="22" t="s">
        <v>56</v>
      </c>
      <c r="H14172" s="22" t="s">
        <v>56</v>
      </c>
      <c r="I14172" s="26">
        <v>43650.748749999999</v>
      </c>
      <c r="J14172" s="28" t="s">
        <v>51</v>
      </c>
      <c r="K14172" s="28" t="s">
        <v>51</v>
      </c>
      <c r="L14172" s="28" t="s">
        <v>51</v>
      </c>
      <c r="M14172" s="28" t="s">
        <v>51</v>
      </c>
      <c r="N14172" s="28" t="s">
        <v>51</v>
      </c>
    </row>
    <row r="14173" spans="1:14" hidden="1" outlineLevel="1" x14ac:dyDescent="0.2">
      <c r="A14173" s="23" t="str">
        <f>HYPERLINK("https://www.spark-marketing.ru/Card/Person/9066", "УПРАВА РАЙОНА ВЕШНЯКИ ГОРОДА МОСКВЫ")</f>
        <v>УПРАВА РАЙОНА ВЕШНЯКИ ГОРОДА МОСКВЫ</v>
      </c>
      <c r="B14173" s="24" t="s">
        <v>18883</v>
      </c>
      <c r="C14173" s="25">
        <v>518400</v>
      </c>
      <c r="D14173" s="22" t="s">
        <v>18884</v>
      </c>
      <c r="E14173" s="22" t="s">
        <v>48</v>
      </c>
      <c r="F14173" s="23" t="str">
        <f>HYPERLINK("https://www.spark-marketing.ru/Card/Lot/71902040", "Организация питания членов избирательных комиссий района Вешняки для проведения выборов депутатов Московской городской Думы в 2019 году")</f>
        <v>Организация питания членов избирательных комиссий района Вешняки для проведения выборов депутатов Московской городской Думы в 2019 году</v>
      </c>
      <c r="G14173" s="22" t="s">
        <v>56</v>
      </c>
      <c r="H14173" s="22" t="s">
        <v>56</v>
      </c>
      <c r="I14173" s="26">
        <v>43650.748749999999</v>
      </c>
      <c r="J14173" s="23" t="str">
        <f>HYPERLINK("https://www.spark-marketing.ru/Card/Person/2042423", "ООО ""ТФ ПРОДЖЕКТ""")</f>
        <v>ООО "ТФ ПРОДЖЕКТ"</v>
      </c>
      <c r="K14173" s="24" t="s">
        <v>9610</v>
      </c>
      <c r="L14173" s="28" t="s">
        <v>51</v>
      </c>
      <c r="M14173" s="25">
        <v>500256</v>
      </c>
      <c r="N14173" s="27">
        <v>3.5000000000000003E-2</v>
      </c>
    </row>
    <row r="14174" spans="1:14" hidden="1" outlineLevel="1" x14ac:dyDescent="0.2">
      <c r="A14174" s="23" t="str">
        <f>HYPERLINK("https://www.spark-marketing.ru/Card/Person/9066", "УПРАВА РАЙОНА ВЕШНЯКИ ГОРОДА МОСКВЫ")</f>
        <v>УПРАВА РАЙОНА ВЕШНЯКИ ГОРОДА МОСКВЫ</v>
      </c>
      <c r="B14174" s="24" t="s">
        <v>18883</v>
      </c>
      <c r="C14174" s="25">
        <v>518400</v>
      </c>
      <c r="D14174" s="22" t="s">
        <v>18884</v>
      </c>
      <c r="E14174" s="22" t="s">
        <v>48</v>
      </c>
      <c r="F14174" s="23" t="str">
        <f>HYPERLINK("https://www.spark-marketing.ru/Card/Lot/71902040", "Организация питания членов избирательных комиссий района Вешняки для проведения выборов депутатов Московской городской Думы в 2019 году")</f>
        <v>Организация питания членов избирательных комиссий района Вешняки для проведения выборов депутатов Московской городской Думы в 2019 году</v>
      </c>
      <c r="G14174" s="22" t="s">
        <v>56</v>
      </c>
      <c r="H14174" s="22" t="s">
        <v>56</v>
      </c>
      <c r="I14174" s="26">
        <v>43650.748749999999</v>
      </c>
      <c r="J14174" s="23" t="str">
        <f>HYPERLINK("https://www.spark-marketing.ru/Card/Person/2551850", "ООО ПИЦЦЕРИЯ ""КАФЕ НА КАЛИНИНА""")</f>
        <v>ООО ПИЦЦЕРИЯ "КАФЕ НА КАЛИНИНА"</v>
      </c>
      <c r="K14174" s="24" t="s">
        <v>16504</v>
      </c>
      <c r="L14174" s="28" t="s">
        <v>51</v>
      </c>
      <c r="M14174" s="25">
        <v>349920</v>
      </c>
      <c r="N14174" s="27">
        <v>0.32500000000000001</v>
      </c>
    </row>
    <row r="14175" spans="1:14" ht="12.75" hidden="1" outlineLevel="1" x14ac:dyDescent="0.2">
      <c r="A14175" s="23" t="str">
        <f>HYPERLINK("https://www.spark-marketing.ru/Card/Person/9066", "УПРАВА РАЙОНА ВЕШНЯКИ ГОРОДА МОСКВЫ")</f>
        <v>УПРАВА РАЙОНА ВЕШНЯКИ ГОРОДА МОСКВЫ</v>
      </c>
      <c r="B14175" s="24" t="s">
        <v>18883</v>
      </c>
      <c r="C14175" s="25">
        <v>518400</v>
      </c>
      <c r="D14175" s="22" t="s">
        <v>18884</v>
      </c>
      <c r="E14175" s="22" t="s">
        <v>48</v>
      </c>
      <c r="F14175" s="23" t="str">
        <f>HYPERLINK("https://www.spark-marketing.ru/Card/Lot/71902040", "Организация питания членов избирательных комиссий района Вешняки для проведения выборов депутатов Московской городской Думы в 2019 году")</f>
        <v>Организация питания членов избирательных комиссий района Вешняки для проведения выборов депутатов Московской городской Думы в 2019 году</v>
      </c>
      <c r="G14175" s="22" t="s">
        <v>56</v>
      </c>
      <c r="H14175" s="22" t="s">
        <v>56</v>
      </c>
      <c r="I14175" s="26">
        <v>43650.748749999999</v>
      </c>
      <c r="J14175" s="23" t="str">
        <f>HYPERLINK("https://www.spark-marketing.ru/Card/Person/2523959", "ООО ""КРУИЗ-ТУР""")</f>
        <v>ООО "КРУИЗ-ТУР"</v>
      </c>
      <c r="K14175" s="24" t="s">
        <v>13149</v>
      </c>
      <c r="L14175" s="22" t="s">
        <v>10</v>
      </c>
      <c r="M14175" s="25">
        <v>347328</v>
      </c>
      <c r="N14175" s="27">
        <v>0.33</v>
      </c>
    </row>
    <row r="14176" spans="1:14" hidden="1" outlineLevel="1" x14ac:dyDescent="0.2">
      <c r="A14176" s="23" t="str">
        <f>HYPERLINK("https://www.spark-marketing.ru/Card/Person/9066", "УПРАВА РАЙОНА ВЕШНЯКИ ГОРОДА МОСКВЫ")</f>
        <v>УПРАВА РАЙОНА ВЕШНЯКИ ГОРОДА МОСКВЫ</v>
      </c>
      <c r="B14176" s="24" t="s">
        <v>18883</v>
      </c>
      <c r="C14176" s="25">
        <v>518400</v>
      </c>
      <c r="D14176" s="22" t="s">
        <v>18884</v>
      </c>
      <c r="E14176" s="22" t="s">
        <v>48</v>
      </c>
      <c r="F14176" s="23" t="str">
        <f>HYPERLINK("https://www.spark-marketing.ru/Card/Lot/71902040", "Организация питания членов избирательных комиссий района Вешняки для проведения выборов депутатов Московской городской Думы в 2019 году")</f>
        <v>Организация питания членов избирательных комиссий района Вешняки для проведения выборов депутатов Московской городской Думы в 2019 году</v>
      </c>
      <c r="G14176" s="22" t="s">
        <v>56</v>
      </c>
      <c r="H14176" s="22" t="s">
        <v>56</v>
      </c>
      <c r="I14176" s="26">
        <v>43650.748749999999</v>
      </c>
      <c r="J14176" s="23" t="str">
        <f>HYPERLINK("https://www.spark-marketing.ru/Card/Person/6623964", "Даскал Александр Степанович")</f>
        <v>Даскал Александр Степанович</v>
      </c>
      <c r="K14176" s="24" t="s">
        <v>15049</v>
      </c>
      <c r="L14176" s="28" t="s">
        <v>51</v>
      </c>
      <c r="M14176" s="25">
        <v>505440</v>
      </c>
      <c r="N14176" s="27">
        <v>2.5000000000000001E-2</v>
      </c>
    </row>
    <row r="14177" spans="1:14" x14ac:dyDescent="0.15">
      <c r="A14177" s="23" t="str">
        <f>HYPERLINK("https://www.spark-marketing.ru/Card/Person/697552", "КГАУ ""КРЦСРСФУ""")</f>
        <v>КГАУ "КРЦСРСФУ"</v>
      </c>
      <c r="B14177" s="24" t="s">
        <v>18885</v>
      </c>
      <c r="C14177" s="25">
        <v>1213800</v>
      </c>
      <c r="D14177" s="22" t="s">
        <v>18886</v>
      </c>
      <c r="E14177" s="22" t="s">
        <v>362</v>
      </c>
      <c r="F14177" s="23" t="str">
        <f>HYPERLINK("https://www.spark-marketing.ru/Card/Lot/71883215", "Оказание услуг по организации питания")</f>
        <v>Оказание услуг по организации питания</v>
      </c>
      <c r="G14177" s="22" t="s">
        <v>246</v>
      </c>
      <c r="H14177" s="22" t="s">
        <v>246</v>
      </c>
      <c r="I14177" s="26">
        <v>43650.667731481502</v>
      </c>
      <c r="J14177" s="28" t="s">
        <v>51</v>
      </c>
      <c r="K14177" s="28" t="s">
        <v>51</v>
      </c>
      <c r="L14177" s="28" t="s">
        <v>51</v>
      </c>
      <c r="M14177" s="28" t="s">
        <v>51</v>
      </c>
      <c r="N14177" s="28" t="s">
        <v>51</v>
      </c>
    </row>
    <row r="14178" spans="1:14" x14ac:dyDescent="0.15">
      <c r="A14178" s="23" t="str">
        <f>HYPERLINK("https://www.spark-marketing.ru/Card/Person/27464", "ОКУ ""УПРАВЛЕНИЕ ОМ ГО, ЧС И ПБ""")</f>
        <v>ОКУ "УПРАВЛЕНИЕ ОМ ГО, ЧС И ПБ"</v>
      </c>
      <c r="B14178" s="24" t="s">
        <v>7009</v>
      </c>
      <c r="C14178" s="25">
        <v>480648.85</v>
      </c>
      <c r="D14178" s="22" t="s">
        <v>18887</v>
      </c>
      <c r="E14178" s="22" t="s">
        <v>48</v>
      </c>
      <c r="F14178" s="23" t="str">
        <f>HYPERLINK("https://www.spark-marketing.ru/Card/Lot/71903018", "Оказание услуг по предоставлению 2-х разового горячего питания дежурному экипажу и инженерно-техническому составу авиационного звена")</f>
        <v>Оказание услуг по предоставлению 2-х разового горячего питания дежурному экипажу и инженерно-техническому составу авиационного звена</v>
      </c>
      <c r="G14178" s="22" t="s">
        <v>260</v>
      </c>
      <c r="H14178" s="22" t="s">
        <v>804</v>
      </c>
      <c r="I14178" s="26">
        <v>43650.670486111099</v>
      </c>
      <c r="J14178" s="28" t="s">
        <v>51</v>
      </c>
      <c r="K14178" s="28" t="s">
        <v>51</v>
      </c>
      <c r="L14178" s="28" t="s">
        <v>51</v>
      </c>
      <c r="M14178" s="28" t="s">
        <v>51</v>
      </c>
      <c r="N14178" s="28" t="s">
        <v>51</v>
      </c>
    </row>
    <row r="14179" spans="1:14" ht="12.75" hidden="1" outlineLevel="1" x14ac:dyDescent="0.2">
      <c r="A14179" s="23" t="str">
        <f>HYPERLINK("https://www.spark-marketing.ru/Card/Person/27464", "ОКУ ""УПРАВЛЕНИЕ ОМ ГО, ЧС И ПБ""")</f>
        <v>ОКУ "УПРАВЛЕНИЕ ОМ ГО, ЧС И ПБ"</v>
      </c>
      <c r="B14179" s="24" t="s">
        <v>7009</v>
      </c>
      <c r="C14179" s="25">
        <v>480648.85</v>
      </c>
      <c r="D14179" s="22" t="s">
        <v>18887</v>
      </c>
      <c r="E14179" s="22" t="s">
        <v>48</v>
      </c>
      <c r="F14179" s="23" t="str">
        <f>HYPERLINK("https://www.spark-marketing.ru/Card/Lot/71903018", "Оказание услуг по предоставлению 2-х разового горячего питания дежурному экипажу и инженерно-техническому составу авиационного звена")</f>
        <v>Оказание услуг по предоставлению 2-х разового горячего питания дежурному экипажу и инженерно-техническому составу авиационного звена</v>
      </c>
      <c r="G14179" s="22" t="s">
        <v>260</v>
      </c>
      <c r="H14179" s="22" t="s">
        <v>804</v>
      </c>
      <c r="I14179" s="26">
        <v>43650.670486111099</v>
      </c>
      <c r="J14179" s="23" t="str">
        <f>HYPERLINK("https://www.spark-marketing.ru/Card/Person/114046", "Ко Радмила Гвансуновна")</f>
        <v>Ко Радмила Гвансуновна</v>
      </c>
      <c r="K14179" s="24" t="s">
        <v>3538</v>
      </c>
      <c r="L14179" s="22" t="s">
        <v>10</v>
      </c>
      <c r="M14179" s="25">
        <v>298000</v>
      </c>
      <c r="N14179" s="27">
        <v>0.38000475815140305</v>
      </c>
    </row>
    <row r="14180" spans="1:14" hidden="1" outlineLevel="1" x14ac:dyDescent="0.2">
      <c r="A14180" s="23" t="str">
        <f>HYPERLINK("https://www.spark-marketing.ru/Card/Person/27464", "ОКУ ""УПРАВЛЕНИЕ ОМ ГО, ЧС И ПБ""")</f>
        <v>ОКУ "УПРАВЛЕНИЕ ОМ ГО, ЧС И ПБ"</v>
      </c>
      <c r="B14180" s="24" t="s">
        <v>7009</v>
      </c>
      <c r="C14180" s="25">
        <v>480648.85</v>
      </c>
      <c r="D14180" s="22" t="s">
        <v>18887</v>
      </c>
      <c r="E14180" s="22" t="s">
        <v>48</v>
      </c>
      <c r="F14180" s="23" t="str">
        <f>HYPERLINK("https://www.spark-marketing.ru/Card/Lot/71903018", "Оказание услуг по предоставлению 2-х разового горячего питания дежурному экипажу и инженерно-техническому составу авиационного звена")</f>
        <v>Оказание услуг по предоставлению 2-х разового горячего питания дежурному экипажу и инженерно-техническому составу авиационного звена</v>
      </c>
      <c r="G14180" s="22" t="s">
        <v>260</v>
      </c>
      <c r="H14180" s="22" t="s">
        <v>804</v>
      </c>
      <c r="I14180" s="26">
        <v>43650.670486111099</v>
      </c>
      <c r="J14180" s="23" t="str">
        <f>HYPERLINK("https://www.spark-marketing.ru/Card/Person/236429", "ООО ""АЛЛЕГРА""")</f>
        <v>ООО "АЛЛЕГРА"</v>
      </c>
      <c r="K14180" s="24" t="s">
        <v>7011</v>
      </c>
      <c r="L14180" s="28" t="s">
        <v>51</v>
      </c>
      <c r="M14180" s="25">
        <v>476301.1</v>
      </c>
      <c r="N14180" s="27">
        <v>9.0455849421048236E-3</v>
      </c>
    </row>
    <row r="14181" spans="1:14" x14ac:dyDescent="0.2">
      <c r="A14181" s="23" t="str">
        <f>HYPERLINK("https://www.spark-marketing.ru/Card/Person/378723", "АО ""ОЭЗ ППТ ""ЛИПЕЦК""")</f>
        <v>АО "ОЭЗ ППТ "ЛИПЕЦК"</v>
      </c>
      <c r="B14181" s="24" t="s">
        <v>11786</v>
      </c>
      <c r="C14181" s="25">
        <v>215690</v>
      </c>
      <c r="D14181" s="22" t="s">
        <v>18888</v>
      </c>
      <c r="E14181" s="22" t="s">
        <v>11788</v>
      </c>
      <c r="F14181" s="23" t="str">
        <f>HYPERLINK("https://www.spark-marketing.ru/Card/Lot/71894276", "Выполнение комплекса услуг, связанных с организацией общественного питания")</f>
        <v>Выполнение комплекса услуг, связанных с организацией общественного питания</v>
      </c>
      <c r="G14181" s="22" t="s">
        <v>101</v>
      </c>
      <c r="H14181" s="22" t="s">
        <v>101</v>
      </c>
      <c r="I14181" s="26">
        <v>43650.690937500003</v>
      </c>
      <c r="J14181" s="28" t="s">
        <v>51</v>
      </c>
      <c r="K14181" s="28" t="s">
        <v>51</v>
      </c>
      <c r="L14181" s="28" t="s">
        <v>51</v>
      </c>
      <c r="M14181" s="25">
        <v>215690</v>
      </c>
      <c r="N14181" s="27">
        <v>0</v>
      </c>
    </row>
    <row r="14182" spans="1:14" x14ac:dyDescent="0.15">
      <c r="A14182" s="23" t="str">
        <f>HYPERLINK("https://www.spark-marketing.ru/Card/Person/2571928", "ООО ""КРОКУС НАНОЭЛЕКТРОНИКА""")</f>
        <v>ООО "КРОКУС НАНОЭЛЕКТРОНИКА"</v>
      </c>
      <c r="B14182" s="24" t="s">
        <v>1555</v>
      </c>
      <c r="C14182" s="25">
        <v>443729.17</v>
      </c>
      <c r="D14182" s="22" t="s">
        <v>18889</v>
      </c>
      <c r="E14182" s="22" t="s">
        <v>362</v>
      </c>
      <c r="F14182" s="23" t="str">
        <f>HYPERLINK("https://www.spark-marketing.ru/Card/Lot/71893560", "Оказание услуг по организации питания за июнь 2019 г.")</f>
        <v>Оказание услуг по организации питания за июнь 2019 г.</v>
      </c>
      <c r="G14182" s="22" t="s">
        <v>56</v>
      </c>
      <c r="H14182" s="22" t="s">
        <v>56</v>
      </c>
      <c r="I14182" s="26">
        <v>43650.679664351897</v>
      </c>
      <c r="J14182" s="28" t="s">
        <v>51</v>
      </c>
      <c r="K14182" s="28" t="s">
        <v>51</v>
      </c>
      <c r="L14182" s="28" t="s">
        <v>51</v>
      </c>
      <c r="M14182" s="28" t="s">
        <v>51</v>
      </c>
      <c r="N14182" s="28" t="s">
        <v>51</v>
      </c>
    </row>
    <row r="14183" spans="1:14" x14ac:dyDescent="0.2">
      <c r="A14183" s="23" t="str">
        <f>HYPERLINK("https://www.spark-marketing.ru/Card/Person/53085", "АО ""ИООСАБ""")</f>
        <v>АО "ИООСАБ"</v>
      </c>
      <c r="B14183" s="24" t="s">
        <v>2445</v>
      </c>
      <c r="C14183" s="25">
        <v>130000</v>
      </c>
      <c r="D14183" s="22" t="s">
        <v>18890</v>
      </c>
      <c r="E14183" s="22" t="s">
        <v>3561</v>
      </c>
      <c r="F14183" s="23" t="str">
        <f>HYPERLINK("https://www.spark-marketing.ru/Card/Lot/71886976", "Оказание услуг по отпуску лекарственных препаратов, для организации обеспечения отдельных категорий граждан дополнительной бесплатной медицинской помощью в части обеспечения необходимыми лекарственными препаратами, медицинскими изделиями, а также спе...")</f>
        <v>Оказание услуг по отпуску лекарственных препаратов, для организации обеспечения отдельных категорий граждан дополнительной бесплатной медицинской помощью в части обеспечения необходимыми лекарственными препаратами, медицинскими изделиями, а также спе...</v>
      </c>
      <c r="G14183" s="22" t="s">
        <v>263</v>
      </c>
      <c r="H14183" s="22" t="s">
        <v>263</v>
      </c>
      <c r="I14183" s="26">
        <v>43650.690277777801</v>
      </c>
      <c r="J14183" s="28" t="s">
        <v>51</v>
      </c>
      <c r="K14183" s="28" t="s">
        <v>51</v>
      </c>
      <c r="L14183" s="22" t="s">
        <v>10</v>
      </c>
      <c r="M14183" s="25">
        <v>130000</v>
      </c>
      <c r="N14183" s="27">
        <v>0</v>
      </c>
    </row>
    <row r="14184" spans="1:14" x14ac:dyDescent="0.15">
      <c r="A14184" s="23" t="str">
        <f>HYPERLINK("https://www.spark-marketing.ru/Card/Person/6254", "ФГКУ ""В/Ч 2430""")</f>
        <v>ФГКУ "В/Ч 2430"</v>
      </c>
      <c r="B14184" s="24" t="s">
        <v>18891</v>
      </c>
      <c r="C14184" s="25">
        <v>200000</v>
      </c>
      <c r="D14184" s="22" t="s">
        <v>18892</v>
      </c>
      <c r="E14184" s="22" t="s">
        <v>52</v>
      </c>
      <c r="F14184" s="23" t="str">
        <f>HYPERLINK("https://www.spark-marketing.ru/Card/Lot/71902846", "Оказание услуг по лабораторному исследованию качества продуктов питания")</f>
        <v>Оказание услуг по лабораторному исследованию качества продуктов питания</v>
      </c>
      <c r="G14184" s="22" t="s">
        <v>543</v>
      </c>
      <c r="H14184" s="22" t="s">
        <v>1440</v>
      </c>
      <c r="I14184" s="26">
        <v>43650.659039351798</v>
      </c>
      <c r="J14184" s="28" t="s">
        <v>51</v>
      </c>
      <c r="K14184" s="28" t="s">
        <v>51</v>
      </c>
      <c r="L14184" s="28" t="s">
        <v>51</v>
      </c>
      <c r="M14184" s="28" t="s">
        <v>51</v>
      </c>
      <c r="N14184" s="28" t="s">
        <v>51</v>
      </c>
    </row>
    <row r="14185" spans="1:14" x14ac:dyDescent="0.15">
      <c r="A14185" s="23" t="str">
        <f>HYPERLINK("https://www.spark-marketing.ru/Card/Person/4679", "ОМВД РОССИИ ПО НАДЫМСКОМУ РАЙОНУ")</f>
        <v>ОМВД РОССИИ ПО НАДЫМСКОМУ РАЙОНУ</v>
      </c>
      <c r="B14185" s="24" t="s">
        <v>4091</v>
      </c>
      <c r="C14185" s="25">
        <v>300585.25</v>
      </c>
      <c r="D14185" s="22" t="s">
        <v>18893</v>
      </c>
      <c r="E14185" s="22" t="s">
        <v>48</v>
      </c>
      <c r="F14185" s="23" t="str">
        <f>HYPERLINK("https://www.spark-marketing.ru/Card/Lot/71901165", "Оказание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району")</f>
        <v>Оказание услуг по обеспечению питанием иностранных граждан, содержащихся в Центре временного содержания иностранных граждан ОМВД России по Надымскому району</v>
      </c>
      <c r="G14185" s="22" t="s">
        <v>1056</v>
      </c>
      <c r="H14185" s="22" t="s">
        <v>2702</v>
      </c>
      <c r="I14185" s="26">
        <v>43650.627557870401</v>
      </c>
      <c r="J14185" s="23" t="str">
        <f>HYPERLINK("https://www.spark-marketing.ru/Card/Person/76164", "Гусак Жанна Алексеевна")</f>
        <v>Гусак Жанна Алексеевна</v>
      </c>
      <c r="K14185" s="24" t="s">
        <v>6149</v>
      </c>
      <c r="L14185" s="22" t="s">
        <v>10</v>
      </c>
      <c r="M14185" s="28" t="s">
        <v>51</v>
      </c>
      <c r="N14185" s="28" t="s">
        <v>51</v>
      </c>
    </row>
    <row r="14186" spans="1:14" x14ac:dyDescent="0.15">
      <c r="A14186" s="23" t="str">
        <f>HYPERLINK("https://www.spark-marketing.ru/Card/Person/234822", "МДОУ Д/С № 71")</f>
        <v>МДОУ Д/С № 71</v>
      </c>
      <c r="B14186" s="24" t="s">
        <v>18894</v>
      </c>
      <c r="C14186" s="25">
        <v>1488608.63</v>
      </c>
      <c r="D14186" s="22" t="s">
        <v>18895</v>
      </c>
      <c r="E14186" s="22" t="s">
        <v>362</v>
      </c>
      <c r="F14186" s="23" t="str">
        <f>HYPERLINK("https://www.spark-marketing.ru/Card/Lot/71889856", "Оказание услуг по организации питания детей")</f>
        <v>Оказание услуг по организации питания детей</v>
      </c>
      <c r="G14186" s="22" t="s">
        <v>158</v>
      </c>
      <c r="H14186" s="22" t="s">
        <v>158</v>
      </c>
      <c r="I14186" s="26">
        <v>43650.6096412037</v>
      </c>
      <c r="J14186" s="28" t="s">
        <v>51</v>
      </c>
      <c r="K14186" s="28" t="s">
        <v>51</v>
      </c>
      <c r="L14186" s="28" t="s">
        <v>51</v>
      </c>
      <c r="M14186" s="28" t="s">
        <v>51</v>
      </c>
      <c r="N14186" s="28" t="s">
        <v>51</v>
      </c>
    </row>
    <row r="14187" spans="1:14" x14ac:dyDescent="0.15">
      <c r="A14187" s="23" t="str">
        <f>HYPERLINK("https://www.spark-marketing.ru/Card/Person/615426", "ГАУ КО СШОР ""ОРЛЕНОК""")</f>
        <v>ГАУ КО СШОР "ОРЛЕНОК"</v>
      </c>
      <c r="B14187" s="24" t="s">
        <v>10598</v>
      </c>
      <c r="C14187" s="25">
        <v>495000</v>
      </c>
      <c r="D14187" s="22" t="s">
        <v>18896</v>
      </c>
      <c r="E14187" s="22" t="s">
        <v>362</v>
      </c>
      <c r="F14187" s="23" t="str">
        <f>HYPERLINK("https://www.spark-marketing.ru/Card/Lot/71890275", "Предоставление услуг по обеспечению горячим питанием (завтрак (в том числе свежий фрукт), обед, полдник, ужин, ужин-2) проживающих в ГАУ КО СШОР «Орленок» (в т.ч. детей)")</f>
        <v>Предоставление услуг по обеспечению горячим питанием (завтрак (в том числе свежий фрукт), обед, полдник, ужин, ужин-2) проживающих в ГАУ КО СШОР «Орленок» (в т.ч. детей)</v>
      </c>
      <c r="G14187" s="22" t="s">
        <v>112</v>
      </c>
      <c r="H14187" s="22" t="s">
        <v>112</v>
      </c>
      <c r="I14187" s="26">
        <v>43650.599571759303</v>
      </c>
      <c r="J14187" s="28" t="s">
        <v>51</v>
      </c>
      <c r="K14187" s="28" t="s">
        <v>51</v>
      </c>
      <c r="L14187" s="28" t="s">
        <v>51</v>
      </c>
      <c r="M14187" s="28" t="s">
        <v>51</v>
      </c>
      <c r="N14187" s="28" t="s">
        <v>51</v>
      </c>
    </row>
    <row r="14188" spans="1:14" x14ac:dyDescent="0.2">
      <c r="A14188" s="23" t="s">
        <v>114</v>
      </c>
      <c r="B14188" s="28" t="s">
        <v>51</v>
      </c>
      <c r="C14188" s="25">
        <v>199959270</v>
      </c>
      <c r="D14188" s="22" t="s">
        <v>18897</v>
      </c>
      <c r="E14188" s="22" t="s">
        <v>48</v>
      </c>
      <c r="F14188" s="23" t="str">
        <f t="shared" ref="F14188:F14220" si="473">HYPERLINK("https://www.spark-marketing.ru/Card/Lot/71903587", "Оказание услуг по организации питания обучающихся")</f>
        <v>Оказание услуг по организации питания обучающихся</v>
      </c>
      <c r="G14188" s="22" t="s">
        <v>51</v>
      </c>
      <c r="H14188" s="22" t="s">
        <v>51</v>
      </c>
      <c r="I14188" s="26">
        <v>43650.6098263889</v>
      </c>
      <c r="J14188" s="23" t="str">
        <f t="shared" ref="J14188:J14220" si="474">HYPERLINK("https://www.spark-marketing.ru/Card/Person/81010", "ООО ""ТД СПП""")</f>
        <v>ООО "ТД СПП"</v>
      </c>
      <c r="K14188" s="24" t="s">
        <v>7782</v>
      </c>
      <c r="L14188" s="28" t="s">
        <v>51</v>
      </c>
      <c r="M14188" s="25">
        <v>199959270</v>
      </c>
      <c r="N14188" s="27">
        <v>0</v>
      </c>
    </row>
    <row r="14189" spans="1:14" hidden="1" outlineLevel="1" x14ac:dyDescent="0.2">
      <c r="A14189" s="23" t="str">
        <f>HYPERLINK("https://www.spark-marketing.ru/Card/Person/76558", "МБОУ ""ЦО № 21""")</f>
        <v>МБОУ "ЦО № 21"</v>
      </c>
      <c r="B14189" s="24" t="s">
        <v>18898</v>
      </c>
      <c r="C14189" s="25">
        <v>9932615</v>
      </c>
      <c r="D14189" s="22" t="s">
        <v>18897</v>
      </c>
      <c r="E14189" s="22" t="s">
        <v>48</v>
      </c>
      <c r="F14189" s="23" t="str">
        <f t="shared" si="473"/>
        <v>Оказание услуг по организации питания обучающихся</v>
      </c>
      <c r="G14189" s="22" t="s">
        <v>68</v>
      </c>
      <c r="H14189" s="22" t="s">
        <v>69</v>
      </c>
      <c r="I14189" s="26">
        <v>43650.6098263889</v>
      </c>
      <c r="J14189" s="23" t="str">
        <f t="shared" si="474"/>
        <v>ООО "ТД СПП"</v>
      </c>
      <c r="K14189" s="24" t="s">
        <v>7782</v>
      </c>
      <c r="L14189" s="28" t="s">
        <v>51</v>
      </c>
      <c r="M14189" s="28" t="s">
        <v>51</v>
      </c>
      <c r="N14189" s="27">
        <v>0</v>
      </c>
    </row>
    <row r="14190" spans="1:14" hidden="1" outlineLevel="1" x14ac:dyDescent="0.2">
      <c r="A14190" s="23" t="str">
        <f>HYPERLINK("https://www.spark-marketing.ru/Card/Person/87825", "МБОУ ЦО № 56")</f>
        <v>МБОУ ЦО № 56</v>
      </c>
      <c r="B14190" s="24" t="s">
        <v>18899</v>
      </c>
      <c r="C14190" s="25">
        <v>5006085</v>
      </c>
      <c r="D14190" s="22" t="s">
        <v>18897</v>
      </c>
      <c r="E14190" s="22" t="s">
        <v>48</v>
      </c>
      <c r="F14190" s="23" t="str">
        <f t="shared" si="473"/>
        <v>Оказание услуг по организации питания обучающихся</v>
      </c>
      <c r="G14190" s="22" t="s">
        <v>68</v>
      </c>
      <c r="H14190" s="22" t="s">
        <v>654</v>
      </c>
      <c r="I14190" s="26">
        <v>43650.6098263889</v>
      </c>
      <c r="J14190" s="23" t="str">
        <f t="shared" si="474"/>
        <v>ООО "ТД СПП"</v>
      </c>
      <c r="K14190" s="24" t="s">
        <v>7782</v>
      </c>
      <c r="L14190" s="28" t="s">
        <v>51</v>
      </c>
      <c r="M14190" s="28" t="s">
        <v>51</v>
      </c>
      <c r="N14190" s="27">
        <v>0</v>
      </c>
    </row>
    <row r="14191" spans="1:14" hidden="1" outlineLevel="1" x14ac:dyDescent="0.2">
      <c r="A14191" s="23" t="str">
        <f>HYPERLINK("https://www.spark-marketing.ru/Card/Person/110540", "МБОУ ЦО № 24")</f>
        <v>МБОУ ЦО № 24</v>
      </c>
      <c r="B14191" s="24" t="s">
        <v>18900</v>
      </c>
      <c r="C14191" s="25">
        <v>7156950</v>
      </c>
      <c r="D14191" s="22" t="s">
        <v>18897</v>
      </c>
      <c r="E14191" s="22" t="s">
        <v>48</v>
      </c>
      <c r="F14191" s="23" t="str">
        <f t="shared" si="473"/>
        <v>Оказание услуг по организации питания обучающихся</v>
      </c>
      <c r="G14191" s="22" t="s">
        <v>51</v>
      </c>
      <c r="H14191" s="22" t="s">
        <v>51</v>
      </c>
      <c r="I14191" s="26">
        <v>43650.6098263889</v>
      </c>
      <c r="J14191" s="23" t="str">
        <f t="shared" si="474"/>
        <v>ООО "ТД СПП"</v>
      </c>
      <c r="K14191" s="24" t="s">
        <v>7782</v>
      </c>
      <c r="L14191" s="28" t="s">
        <v>51</v>
      </c>
      <c r="M14191" s="28" t="s">
        <v>51</v>
      </c>
      <c r="N14191" s="27">
        <v>0</v>
      </c>
    </row>
    <row r="14192" spans="1:14" hidden="1" outlineLevel="1" x14ac:dyDescent="0.2">
      <c r="A14192" s="23" t="str">
        <f>HYPERLINK("https://www.spark-marketing.ru/Card/Person/110703", "МБОУ ""ЦО - ГИМНАЗИЯ №1""")</f>
        <v>МБОУ "ЦО - ГИМНАЗИЯ №1"</v>
      </c>
      <c r="B14192" s="24" t="s">
        <v>18901</v>
      </c>
      <c r="C14192" s="25">
        <v>7263850</v>
      </c>
      <c r="D14192" s="22" t="s">
        <v>18897</v>
      </c>
      <c r="E14192" s="22" t="s">
        <v>48</v>
      </c>
      <c r="F14192" s="23" t="str">
        <f t="shared" si="473"/>
        <v>Оказание услуг по организации питания обучающихся</v>
      </c>
      <c r="G14192" s="22" t="s">
        <v>68</v>
      </c>
      <c r="H14192" s="22" t="s">
        <v>69</v>
      </c>
      <c r="I14192" s="26">
        <v>43650.6098263889</v>
      </c>
      <c r="J14192" s="23" t="str">
        <f t="shared" si="474"/>
        <v>ООО "ТД СПП"</v>
      </c>
      <c r="K14192" s="24" t="s">
        <v>7782</v>
      </c>
      <c r="L14192" s="28" t="s">
        <v>51</v>
      </c>
      <c r="M14192" s="28" t="s">
        <v>51</v>
      </c>
      <c r="N14192" s="27">
        <v>0</v>
      </c>
    </row>
    <row r="14193" spans="1:14" hidden="1" outlineLevel="1" x14ac:dyDescent="0.2">
      <c r="A14193" s="23" t="str">
        <f>HYPERLINK("https://www.spark-marketing.ru/Card/Person/111017", "МБОУ ""ЦО - ГИМНАЗИЯ № 30""")</f>
        <v>МБОУ "ЦО - ГИМНАЗИЯ № 30"</v>
      </c>
      <c r="B14193" s="24" t="s">
        <v>18902</v>
      </c>
      <c r="C14193" s="25">
        <v>4809850</v>
      </c>
      <c r="D14193" s="22" t="s">
        <v>18897</v>
      </c>
      <c r="E14193" s="22" t="s">
        <v>48</v>
      </c>
      <c r="F14193" s="23" t="str">
        <f t="shared" si="473"/>
        <v>Оказание услуг по организации питания обучающихся</v>
      </c>
      <c r="G14193" s="22" t="s">
        <v>68</v>
      </c>
      <c r="H14193" s="22" t="s">
        <v>69</v>
      </c>
      <c r="I14193" s="26">
        <v>43650.6098263889</v>
      </c>
      <c r="J14193" s="23" t="str">
        <f t="shared" si="474"/>
        <v>ООО "ТД СПП"</v>
      </c>
      <c r="K14193" s="24" t="s">
        <v>7782</v>
      </c>
      <c r="L14193" s="28" t="s">
        <v>51</v>
      </c>
      <c r="M14193" s="28" t="s">
        <v>51</v>
      </c>
      <c r="N14193" s="27">
        <v>0</v>
      </c>
    </row>
    <row r="14194" spans="1:14" hidden="1" outlineLevel="1" x14ac:dyDescent="0.2">
      <c r="A14194" s="23" t="str">
        <f>HYPERLINK("https://www.spark-marketing.ru/Card/Person/111467", "МБОУ - ЛИЦЕЙ № 2")</f>
        <v>МБОУ - ЛИЦЕЙ № 2</v>
      </c>
      <c r="B14194" s="24" t="s">
        <v>18903</v>
      </c>
      <c r="C14194" s="25">
        <v>4970630</v>
      </c>
      <c r="D14194" s="22" t="s">
        <v>18897</v>
      </c>
      <c r="E14194" s="22" t="s">
        <v>48</v>
      </c>
      <c r="F14194" s="23" t="str">
        <f t="shared" si="473"/>
        <v>Оказание услуг по организации питания обучающихся</v>
      </c>
      <c r="G14194" s="22" t="s">
        <v>68</v>
      </c>
      <c r="H14194" s="22" t="s">
        <v>69</v>
      </c>
      <c r="I14194" s="26">
        <v>43650.6098263889</v>
      </c>
      <c r="J14194" s="23" t="str">
        <f t="shared" si="474"/>
        <v>ООО "ТД СПП"</v>
      </c>
      <c r="K14194" s="24" t="s">
        <v>7782</v>
      </c>
      <c r="L14194" s="28" t="s">
        <v>51</v>
      </c>
      <c r="M14194" s="28" t="s">
        <v>51</v>
      </c>
      <c r="N14194" s="27">
        <v>0</v>
      </c>
    </row>
    <row r="14195" spans="1:14" hidden="1" outlineLevel="1" x14ac:dyDescent="0.2">
      <c r="A14195" s="23" t="str">
        <f>HYPERLINK("https://www.spark-marketing.ru/Card/Person/111478", "МБОУЦО № 25")</f>
        <v>МБОУЦО № 25</v>
      </c>
      <c r="B14195" s="24" t="s">
        <v>18904</v>
      </c>
      <c r="C14195" s="25">
        <v>11268475</v>
      </c>
      <c r="D14195" s="22" t="s">
        <v>18897</v>
      </c>
      <c r="E14195" s="22" t="s">
        <v>48</v>
      </c>
      <c r="F14195" s="23" t="str">
        <f t="shared" si="473"/>
        <v>Оказание услуг по организации питания обучающихся</v>
      </c>
      <c r="G14195" s="22" t="s">
        <v>68</v>
      </c>
      <c r="H14195" s="22" t="s">
        <v>69</v>
      </c>
      <c r="I14195" s="26">
        <v>43650.6098263889</v>
      </c>
      <c r="J14195" s="23" t="str">
        <f t="shared" si="474"/>
        <v>ООО "ТД СПП"</v>
      </c>
      <c r="K14195" s="24" t="s">
        <v>7782</v>
      </c>
      <c r="L14195" s="28" t="s">
        <v>51</v>
      </c>
      <c r="M14195" s="28" t="s">
        <v>51</v>
      </c>
      <c r="N14195" s="27">
        <v>0</v>
      </c>
    </row>
    <row r="14196" spans="1:14" hidden="1" outlineLevel="1" x14ac:dyDescent="0.2">
      <c r="A14196" s="23" t="str">
        <f>HYPERLINK("https://www.spark-marketing.ru/Card/Person/112519", "МБОУ ЦО № 41")</f>
        <v>МБОУ ЦО № 41</v>
      </c>
      <c r="B14196" s="24" t="s">
        <v>18905</v>
      </c>
      <c r="C14196" s="25">
        <v>2449245</v>
      </c>
      <c r="D14196" s="22" t="s">
        <v>18897</v>
      </c>
      <c r="E14196" s="22" t="s">
        <v>48</v>
      </c>
      <c r="F14196" s="23" t="str">
        <f t="shared" si="473"/>
        <v>Оказание услуг по организации питания обучающихся</v>
      </c>
      <c r="G14196" s="22" t="s">
        <v>68</v>
      </c>
      <c r="H14196" s="22" t="s">
        <v>69</v>
      </c>
      <c r="I14196" s="26">
        <v>43650.6098263889</v>
      </c>
      <c r="J14196" s="23" t="str">
        <f t="shared" si="474"/>
        <v>ООО "ТД СПП"</v>
      </c>
      <c r="K14196" s="24" t="s">
        <v>7782</v>
      </c>
      <c r="L14196" s="28" t="s">
        <v>51</v>
      </c>
      <c r="M14196" s="28" t="s">
        <v>51</v>
      </c>
      <c r="N14196" s="27">
        <v>0</v>
      </c>
    </row>
    <row r="14197" spans="1:14" hidden="1" outlineLevel="1" x14ac:dyDescent="0.2">
      <c r="A14197" s="23" t="str">
        <f>HYPERLINK("https://www.spark-marketing.ru/Card/Person/112546", "МБОУ ЦО № 35")</f>
        <v>МБОУ ЦО № 35</v>
      </c>
      <c r="B14197" s="24" t="s">
        <v>18906</v>
      </c>
      <c r="C14197" s="25">
        <v>4155225</v>
      </c>
      <c r="D14197" s="22" t="s">
        <v>18897</v>
      </c>
      <c r="E14197" s="22" t="s">
        <v>48</v>
      </c>
      <c r="F14197" s="23" t="str">
        <f t="shared" si="473"/>
        <v>Оказание услуг по организации питания обучающихся</v>
      </c>
      <c r="G14197" s="22" t="s">
        <v>68</v>
      </c>
      <c r="H14197" s="22" t="s">
        <v>69</v>
      </c>
      <c r="I14197" s="26">
        <v>43650.6098263889</v>
      </c>
      <c r="J14197" s="23" t="str">
        <f t="shared" si="474"/>
        <v>ООО "ТД СПП"</v>
      </c>
      <c r="K14197" s="24" t="s">
        <v>7782</v>
      </c>
      <c r="L14197" s="28" t="s">
        <v>51</v>
      </c>
      <c r="M14197" s="28" t="s">
        <v>51</v>
      </c>
      <c r="N14197" s="27">
        <v>0</v>
      </c>
    </row>
    <row r="14198" spans="1:14" hidden="1" outlineLevel="1" x14ac:dyDescent="0.2">
      <c r="A14198" s="23" t="str">
        <f>HYPERLINK("https://www.spark-marketing.ru/Card/Person/112795", "МБОУ ""ЦО №33""")</f>
        <v>МБОУ "ЦО №33"</v>
      </c>
      <c r="B14198" s="24" t="s">
        <v>18907</v>
      </c>
      <c r="C14198" s="25">
        <v>8783100</v>
      </c>
      <c r="D14198" s="22" t="s">
        <v>18897</v>
      </c>
      <c r="E14198" s="22" t="s">
        <v>48</v>
      </c>
      <c r="F14198" s="23" t="str">
        <f t="shared" si="473"/>
        <v>Оказание услуг по организации питания обучающихся</v>
      </c>
      <c r="G14198" s="22" t="s">
        <v>68</v>
      </c>
      <c r="H14198" s="22" t="s">
        <v>69</v>
      </c>
      <c r="I14198" s="26">
        <v>43650.6098263889</v>
      </c>
      <c r="J14198" s="23" t="str">
        <f t="shared" si="474"/>
        <v>ООО "ТД СПП"</v>
      </c>
      <c r="K14198" s="24" t="s">
        <v>7782</v>
      </c>
      <c r="L14198" s="28" t="s">
        <v>51</v>
      </c>
      <c r="M14198" s="28" t="s">
        <v>51</v>
      </c>
      <c r="N14198" s="27">
        <v>0</v>
      </c>
    </row>
    <row r="14199" spans="1:14" hidden="1" outlineLevel="1" x14ac:dyDescent="0.2">
      <c r="A14199" s="23" t="str">
        <f>HYPERLINK("https://www.spark-marketing.ru/Card/Person/112946", "МБОУ ЦО № 17")</f>
        <v>МБОУ ЦО № 17</v>
      </c>
      <c r="B14199" s="24" t="s">
        <v>18908</v>
      </c>
      <c r="C14199" s="25">
        <v>7160935</v>
      </c>
      <c r="D14199" s="22" t="s">
        <v>18897</v>
      </c>
      <c r="E14199" s="22" t="s">
        <v>48</v>
      </c>
      <c r="F14199" s="23" t="str">
        <f t="shared" si="473"/>
        <v>Оказание услуг по организации питания обучающихся</v>
      </c>
      <c r="G14199" s="22" t="s">
        <v>68</v>
      </c>
      <c r="H14199" s="22" t="s">
        <v>69</v>
      </c>
      <c r="I14199" s="26">
        <v>43650.6098263889</v>
      </c>
      <c r="J14199" s="23" t="str">
        <f t="shared" si="474"/>
        <v>ООО "ТД СПП"</v>
      </c>
      <c r="K14199" s="24" t="s">
        <v>7782</v>
      </c>
      <c r="L14199" s="28" t="s">
        <v>51</v>
      </c>
      <c r="M14199" s="28" t="s">
        <v>51</v>
      </c>
      <c r="N14199" s="27">
        <v>0</v>
      </c>
    </row>
    <row r="14200" spans="1:14" hidden="1" outlineLevel="1" x14ac:dyDescent="0.2">
      <c r="A14200" s="23" t="str">
        <f>HYPERLINK("https://www.spark-marketing.ru/Card/Person/113202", "МБОУ ""ЦЕНТР ОБРАЗОВАНИЯ № 3""")</f>
        <v>МБОУ "ЦЕНТР ОБРАЗОВАНИЯ № 3"</v>
      </c>
      <c r="B14200" s="24" t="s">
        <v>18909</v>
      </c>
      <c r="C14200" s="25">
        <v>9591095</v>
      </c>
      <c r="D14200" s="22" t="s">
        <v>18897</v>
      </c>
      <c r="E14200" s="22" t="s">
        <v>48</v>
      </c>
      <c r="F14200" s="23" t="str">
        <f t="shared" si="473"/>
        <v>Оказание услуг по организации питания обучающихся</v>
      </c>
      <c r="G14200" s="22" t="s">
        <v>68</v>
      </c>
      <c r="H14200" s="22" t="s">
        <v>69</v>
      </c>
      <c r="I14200" s="26">
        <v>43650.6098263889</v>
      </c>
      <c r="J14200" s="23" t="str">
        <f t="shared" si="474"/>
        <v>ООО "ТД СПП"</v>
      </c>
      <c r="K14200" s="24" t="s">
        <v>7782</v>
      </c>
      <c r="L14200" s="28" t="s">
        <v>51</v>
      </c>
      <c r="M14200" s="28" t="s">
        <v>51</v>
      </c>
      <c r="N14200" s="27">
        <v>0</v>
      </c>
    </row>
    <row r="14201" spans="1:14" hidden="1" outlineLevel="1" x14ac:dyDescent="0.2">
      <c r="A14201" s="23" t="str">
        <f>HYPERLINK("https://www.spark-marketing.ru/Card/Person/121989", "МБОУ ЦО №50")</f>
        <v>МБОУ ЦО №50</v>
      </c>
      <c r="B14201" s="24" t="s">
        <v>18910</v>
      </c>
      <c r="C14201" s="25">
        <v>5258265</v>
      </c>
      <c r="D14201" s="22" t="s">
        <v>18897</v>
      </c>
      <c r="E14201" s="22" t="s">
        <v>48</v>
      </c>
      <c r="F14201" s="23" t="str">
        <f t="shared" si="473"/>
        <v>Оказание услуг по организации питания обучающихся</v>
      </c>
      <c r="G14201" s="22" t="s">
        <v>68</v>
      </c>
      <c r="H14201" s="22" t="s">
        <v>654</v>
      </c>
      <c r="I14201" s="26">
        <v>43650.6098263889</v>
      </c>
      <c r="J14201" s="23" t="str">
        <f t="shared" si="474"/>
        <v>ООО "ТД СПП"</v>
      </c>
      <c r="K14201" s="24" t="s">
        <v>7782</v>
      </c>
      <c r="L14201" s="28" t="s">
        <v>51</v>
      </c>
      <c r="M14201" s="28" t="s">
        <v>51</v>
      </c>
      <c r="N14201" s="27">
        <v>0</v>
      </c>
    </row>
    <row r="14202" spans="1:14" hidden="1" outlineLevel="1" x14ac:dyDescent="0.2">
      <c r="A14202" s="23" t="str">
        <f>HYPERLINK("https://www.spark-marketing.ru/Card/Person/137652", "МБОУ ""ЦО № 40""")</f>
        <v>МБОУ "ЦО № 40"</v>
      </c>
      <c r="B14202" s="24" t="s">
        <v>18911</v>
      </c>
      <c r="C14202" s="25">
        <v>22037300</v>
      </c>
      <c r="D14202" s="22" t="s">
        <v>18897</v>
      </c>
      <c r="E14202" s="22" t="s">
        <v>48</v>
      </c>
      <c r="F14202" s="23" t="str">
        <f t="shared" si="473"/>
        <v>Оказание услуг по организации питания обучающихся</v>
      </c>
      <c r="G14202" s="22" t="s">
        <v>51</v>
      </c>
      <c r="H14202" s="22" t="s">
        <v>51</v>
      </c>
      <c r="I14202" s="26">
        <v>43650.6098263889</v>
      </c>
      <c r="J14202" s="23" t="str">
        <f t="shared" si="474"/>
        <v>ООО "ТД СПП"</v>
      </c>
      <c r="K14202" s="24" t="s">
        <v>7782</v>
      </c>
      <c r="L14202" s="28" t="s">
        <v>51</v>
      </c>
      <c r="M14202" s="28" t="s">
        <v>51</v>
      </c>
      <c r="N14202" s="27">
        <v>0</v>
      </c>
    </row>
    <row r="14203" spans="1:14" hidden="1" outlineLevel="1" x14ac:dyDescent="0.2">
      <c r="A14203" s="23" t="str">
        <f>HYPERLINK("https://www.spark-marketing.ru/Card/Person/138760", "МБОУ ЦО № 13 ИМ. Е.Н. ВОЛКОВА")</f>
        <v>МБОУ ЦО № 13 ИМ. Е.Н. ВОЛКОВА</v>
      </c>
      <c r="B14203" s="24" t="s">
        <v>18912</v>
      </c>
      <c r="C14203" s="25">
        <v>3168405</v>
      </c>
      <c r="D14203" s="22" t="s">
        <v>18897</v>
      </c>
      <c r="E14203" s="22" t="s">
        <v>48</v>
      </c>
      <c r="F14203" s="23" t="str">
        <f t="shared" si="473"/>
        <v>Оказание услуг по организации питания обучающихся</v>
      </c>
      <c r="G14203" s="22" t="s">
        <v>68</v>
      </c>
      <c r="H14203" s="22" t="s">
        <v>654</v>
      </c>
      <c r="I14203" s="26">
        <v>43650.6098263889</v>
      </c>
      <c r="J14203" s="23" t="str">
        <f t="shared" si="474"/>
        <v>ООО "ТД СПП"</v>
      </c>
      <c r="K14203" s="24" t="s">
        <v>7782</v>
      </c>
      <c r="L14203" s="28" t="s">
        <v>51</v>
      </c>
      <c r="M14203" s="28" t="s">
        <v>51</v>
      </c>
      <c r="N14203" s="27">
        <v>0</v>
      </c>
    </row>
    <row r="14204" spans="1:14" hidden="1" outlineLevel="1" x14ac:dyDescent="0.2">
      <c r="A14204" s="23" t="str">
        <f>HYPERLINK("https://www.spark-marketing.ru/Card/Person/138776", "МБОУ ЦО № 54")</f>
        <v>МБОУ ЦО № 54</v>
      </c>
      <c r="B14204" s="24" t="s">
        <v>18913</v>
      </c>
      <c r="C14204" s="25">
        <v>3138675</v>
      </c>
      <c r="D14204" s="22" t="s">
        <v>18897</v>
      </c>
      <c r="E14204" s="22" t="s">
        <v>48</v>
      </c>
      <c r="F14204" s="23" t="str">
        <f t="shared" si="473"/>
        <v>Оказание услуг по организации питания обучающихся</v>
      </c>
      <c r="G14204" s="22" t="s">
        <v>51</v>
      </c>
      <c r="H14204" s="22" t="s">
        <v>51</v>
      </c>
      <c r="I14204" s="26">
        <v>43650.6098263889</v>
      </c>
      <c r="J14204" s="23" t="str">
        <f t="shared" si="474"/>
        <v>ООО "ТД СПП"</v>
      </c>
      <c r="K14204" s="24" t="s">
        <v>7782</v>
      </c>
      <c r="L14204" s="28" t="s">
        <v>51</v>
      </c>
      <c r="M14204" s="28" t="s">
        <v>51</v>
      </c>
      <c r="N14204" s="27">
        <v>0</v>
      </c>
    </row>
    <row r="14205" spans="1:14" hidden="1" outlineLevel="1" x14ac:dyDescent="0.2">
      <c r="A14205" s="23" t="str">
        <f>HYPERLINK("https://www.spark-marketing.ru/Card/Person/138896", "МБОУ ЦО № 2")</f>
        <v>МБОУ ЦО № 2</v>
      </c>
      <c r="B14205" s="24" t="s">
        <v>18914</v>
      </c>
      <c r="C14205" s="25">
        <v>5471280</v>
      </c>
      <c r="D14205" s="22" t="s">
        <v>18897</v>
      </c>
      <c r="E14205" s="22" t="s">
        <v>48</v>
      </c>
      <c r="F14205" s="23" t="str">
        <f t="shared" si="473"/>
        <v>Оказание услуг по организации питания обучающихся</v>
      </c>
      <c r="G14205" s="22" t="s">
        <v>68</v>
      </c>
      <c r="H14205" s="22" t="s">
        <v>69</v>
      </c>
      <c r="I14205" s="26">
        <v>43650.6098263889</v>
      </c>
      <c r="J14205" s="23" t="str">
        <f t="shared" si="474"/>
        <v>ООО "ТД СПП"</v>
      </c>
      <c r="K14205" s="24" t="s">
        <v>7782</v>
      </c>
      <c r="L14205" s="28" t="s">
        <v>51</v>
      </c>
      <c r="M14205" s="28" t="s">
        <v>51</v>
      </c>
      <c r="N14205" s="27">
        <v>0</v>
      </c>
    </row>
    <row r="14206" spans="1:14" hidden="1" outlineLevel="1" x14ac:dyDescent="0.2">
      <c r="A14206" s="23" t="str">
        <f>HYPERLINK("https://www.spark-marketing.ru/Card/Person/138915", "МБОУ ЦО № 7")</f>
        <v>МБОУ ЦО № 7</v>
      </c>
      <c r="B14206" s="24" t="s">
        <v>18915</v>
      </c>
      <c r="C14206" s="25">
        <v>3268200</v>
      </c>
      <c r="D14206" s="22" t="s">
        <v>18897</v>
      </c>
      <c r="E14206" s="22" t="s">
        <v>48</v>
      </c>
      <c r="F14206" s="23" t="str">
        <f t="shared" si="473"/>
        <v>Оказание услуг по организации питания обучающихся</v>
      </c>
      <c r="G14206" s="22" t="s">
        <v>68</v>
      </c>
      <c r="H14206" s="22" t="s">
        <v>69</v>
      </c>
      <c r="I14206" s="26">
        <v>43650.6098263889</v>
      </c>
      <c r="J14206" s="23" t="str">
        <f t="shared" si="474"/>
        <v>ООО "ТД СПП"</v>
      </c>
      <c r="K14206" s="24" t="s">
        <v>7782</v>
      </c>
      <c r="L14206" s="28" t="s">
        <v>51</v>
      </c>
      <c r="M14206" s="28" t="s">
        <v>51</v>
      </c>
      <c r="N14206" s="27">
        <v>0</v>
      </c>
    </row>
    <row r="14207" spans="1:14" hidden="1" outlineLevel="1" x14ac:dyDescent="0.2">
      <c r="A14207" s="23" t="str">
        <f>HYPERLINK("https://www.spark-marketing.ru/Card/Person/139216", "МБОУ ЦО № 55 ИМ. А.И. МИРОНОВА")</f>
        <v>МБОУ ЦО № 55 ИМ. А.И. МИРОНОВА</v>
      </c>
      <c r="B14207" s="24" t="s">
        <v>18916</v>
      </c>
      <c r="C14207" s="25">
        <v>1066680</v>
      </c>
      <c r="D14207" s="22" t="s">
        <v>18897</v>
      </c>
      <c r="E14207" s="22" t="s">
        <v>48</v>
      </c>
      <c r="F14207" s="23" t="str">
        <f t="shared" si="473"/>
        <v>Оказание услуг по организации питания обучающихся</v>
      </c>
      <c r="G14207" s="22" t="s">
        <v>68</v>
      </c>
      <c r="H14207" s="22" t="s">
        <v>654</v>
      </c>
      <c r="I14207" s="26">
        <v>43650.6098263889</v>
      </c>
      <c r="J14207" s="23" t="str">
        <f t="shared" si="474"/>
        <v>ООО "ТД СПП"</v>
      </c>
      <c r="K14207" s="24" t="s">
        <v>7782</v>
      </c>
      <c r="L14207" s="28" t="s">
        <v>51</v>
      </c>
      <c r="M14207" s="28" t="s">
        <v>51</v>
      </c>
      <c r="N14207" s="27">
        <v>0</v>
      </c>
    </row>
    <row r="14208" spans="1:14" hidden="1" outlineLevel="1" x14ac:dyDescent="0.2">
      <c r="A14208" s="23" t="str">
        <f>HYPERLINK("https://www.spark-marketing.ru/Card/Person/144038", "МБОУ ЦО № 28")</f>
        <v>МБОУ ЦО № 28</v>
      </c>
      <c r="B14208" s="24" t="s">
        <v>18917</v>
      </c>
      <c r="C14208" s="25">
        <v>3371420</v>
      </c>
      <c r="D14208" s="22" t="s">
        <v>18897</v>
      </c>
      <c r="E14208" s="22" t="s">
        <v>48</v>
      </c>
      <c r="F14208" s="23" t="str">
        <f t="shared" si="473"/>
        <v>Оказание услуг по организации питания обучающихся</v>
      </c>
      <c r="G14208" s="22" t="s">
        <v>68</v>
      </c>
      <c r="H14208" s="22" t="s">
        <v>654</v>
      </c>
      <c r="I14208" s="26">
        <v>43650.6098263889</v>
      </c>
      <c r="J14208" s="23" t="str">
        <f t="shared" si="474"/>
        <v>ООО "ТД СПП"</v>
      </c>
      <c r="K14208" s="24" t="s">
        <v>7782</v>
      </c>
      <c r="L14208" s="28" t="s">
        <v>51</v>
      </c>
      <c r="M14208" s="28" t="s">
        <v>51</v>
      </c>
      <c r="N14208" s="27">
        <v>0</v>
      </c>
    </row>
    <row r="14209" spans="1:14" hidden="1" outlineLevel="1" x14ac:dyDescent="0.2">
      <c r="A14209" s="23" t="str">
        <f>HYPERLINK("https://www.spark-marketing.ru/Card/Person/144543", "МБОУ ""ПЛЕХАНОВСКАЯ НОШ""")</f>
        <v>МБОУ "ПЛЕХАНОВСКАЯ НОШ"</v>
      </c>
      <c r="B14209" s="24" t="s">
        <v>18918</v>
      </c>
      <c r="C14209" s="25">
        <v>2335330</v>
      </c>
      <c r="D14209" s="22" t="s">
        <v>18897</v>
      </c>
      <c r="E14209" s="22" t="s">
        <v>48</v>
      </c>
      <c r="F14209" s="23" t="str">
        <f t="shared" si="473"/>
        <v>Оказание услуг по организации питания обучающихся</v>
      </c>
      <c r="G14209" s="22" t="s">
        <v>68</v>
      </c>
      <c r="H14209" s="22" t="s">
        <v>654</v>
      </c>
      <c r="I14209" s="26">
        <v>43650.6098263889</v>
      </c>
      <c r="J14209" s="23" t="str">
        <f t="shared" si="474"/>
        <v>ООО "ТД СПП"</v>
      </c>
      <c r="K14209" s="24" t="s">
        <v>7782</v>
      </c>
      <c r="L14209" s="28" t="s">
        <v>51</v>
      </c>
      <c r="M14209" s="28" t="s">
        <v>51</v>
      </c>
      <c r="N14209" s="27">
        <v>0</v>
      </c>
    </row>
    <row r="14210" spans="1:14" hidden="1" outlineLevel="1" x14ac:dyDescent="0.2">
      <c r="A14210" s="23" t="str">
        <f>HYPERLINK("https://www.spark-marketing.ru/Card/Person/144568", "МБОУ ЦО № 57")</f>
        <v>МБОУ ЦО № 57</v>
      </c>
      <c r="B14210" s="24" t="s">
        <v>18919</v>
      </c>
      <c r="C14210" s="25">
        <v>2001810</v>
      </c>
      <c r="D14210" s="22" t="s">
        <v>18897</v>
      </c>
      <c r="E14210" s="22" t="s">
        <v>48</v>
      </c>
      <c r="F14210" s="23" t="str">
        <f t="shared" si="473"/>
        <v>Оказание услуг по организации питания обучающихся</v>
      </c>
      <c r="G14210" s="22" t="s">
        <v>68</v>
      </c>
      <c r="H14210" s="22" t="s">
        <v>654</v>
      </c>
      <c r="I14210" s="26">
        <v>43650.6098263889</v>
      </c>
      <c r="J14210" s="23" t="str">
        <f t="shared" si="474"/>
        <v>ООО "ТД СПП"</v>
      </c>
      <c r="K14210" s="24" t="s">
        <v>7782</v>
      </c>
      <c r="L14210" s="28" t="s">
        <v>51</v>
      </c>
      <c r="M14210" s="28" t="s">
        <v>51</v>
      </c>
      <c r="N14210" s="27">
        <v>0</v>
      </c>
    </row>
    <row r="14211" spans="1:14" hidden="1" outlineLevel="1" x14ac:dyDescent="0.2">
      <c r="A14211" s="23" t="str">
        <f>HYPERLINK("https://www.spark-marketing.ru/Card/Person/149527", "МБОУ ""ЦО № 49""")</f>
        <v>МБОУ "ЦО № 49"</v>
      </c>
      <c r="B14211" s="24" t="s">
        <v>18920</v>
      </c>
      <c r="C14211" s="25">
        <v>4035305</v>
      </c>
      <c r="D14211" s="22" t="s">
        <v>18897</v>
      </c>
      <c r="E14211" s="22" t="s">
        <v>48</v>
      </c>
      <c r="F14211" s="23" t="str">
        <f t="shared" si="473"/>
        <v>Оказание услуг по организации питания обучающихся</v>
      </c>
      <c r="G14211" s="22" t="s">
        <v>51</v>
      </c>
      <c r="H14211" s="22" t="s">
        <v>51</v>
      </c>
      <c r="I14211" s="26">
        <v>43650.6098263889</v>
      </c>
      <c r="J14211" s="23" t="str">
        <f t="shared" si="474"/>
        <v>ООО "ТД СПП"</v>
      </c>
      <c r="K14211" s="24" t="s">
        <v>7782</v>
      </c>
      <c r="L14211" s="28" t="s">
        <v>51</v>
      </c>
      <c r="M14211" s="28" t="s">
        <v>51</v>
      </c>
      <c r="N14211" s="27">
        <v>0</v>
      </c>
    </row>
    <row r="14212" spans="1:14" hidden="1" outlineLevel="1" x14ac:dyDescent="0.2">
      <c r="A14212" s="23" t="str">
        <f>HYPERLINK("https://www.spark-marketing.ru/Card/Person/149557", "МБОУ ЦО № 18")</f>
        <v>МБОУ ЦО № 18</v>
      </c>
      <c r="B14212" s="24" t="s">
        <v>18921</v>
      </c>
      <c r="C14212" s="25">
        <v>6728075</v>
      </c>
      <c r="D14212" s="22" t="s">
        <v>18897</v>
      </c>
      <c r="E14212" s="22" t="s">
        <v>48</v>
      </c>
      <c r="F14212" s="23" t="str">
        <f t="shared" si="473"/>
        <v>Оказание услуг по организации питания обучающихся</v>
      </c>
      <c r="G14212" s="22" t="s">
        <v>68</v>
      </c>
      <c r="H14212" s="22" t="s">
        <v>69</v>
      </c>
      <c r="I14212" s="26">
        <v>43650.6098263889</v>
      </c>
      <c r="J14212" s="23" t="str">
        <f t="shared" si="474"/>
        <v>ООО "ТД СПП"</v>
      </c>
      <c r="K14212" s="24" t="s">
        <v>7782</v>
      </c>
      <c r="L14212" s="28" t="s">
        <v>51</v>
      </c>
      <c r="M14212" s="28" t="s">
        <v>51</v>
      </c>
      <c r="N14212" s="27">
        <v>0</v>
      </c>
    </row>
    <row r="14213" spans="1:14" hidden="1" outlineLevel="1" x14ac:dyDescent="0.2">
      <c r="A14213" s="23" t="str">
        <f>HYPERLINK("https://www.spark-marketing.ru/Card/Person/149561", "МБОУ ""ЦО № 46""")</f>
        <v>МБОУ "ЦО № 46"</v>
      </c>
      <c r="B14213" s="24" t="s">
        <v>18922</v>
      </c>
      <c r="C14213" s="25">
        <v>4945720</v>
      </c>
      <c r="D14213" s="22" t="s">
        <v>18897</v>
      </c>
      <c r="E14213" s="22" t="s">
        <v>48</v>
      </c>
      <c r="F14213" s="23" t="str">
        <f t="shared" si="473"/>
        <v>Оказание услуг по организации питания обучающихся</v>
      </c>
      <c r="G14213" s="22" t="s">
        <v>51</v>
      </c>
      <c r="H14213" s="22" t="s">
        <v>51</v>
      </c>
      <c r="I14213" s="26">
        <v>43650.6098263889</v>
      </c>
      <c r="J14213" s="23" t="str">
        <f t="shared" si="474"/>
        <v>ООО "ТД СПП"</v>
      </c>
      <c r="K14213" s="24" t="s">
        <v>7782</v>
      </c>
      <c r="L14213" s="28" t="s">
        <v>51</v>
      </c>
      <c r="M14213" s="28" t="s">
        <v>51</v>
      </c>
      <c r="N14213" s="27">
        <v>0</v>
      </c>
    </row>
    <row r="14214" spans="1:14" hidden="1" outlineLevel="1" x14ac:dyDescent="0.2">
      <c r="A14214" s="23" t="str">
        <f>HYPERLINK("https://www.spark-marketing.ru/Card/Person/149603", "МБОУ ""ЦО № 22 - ЛИЦЕЙ ИСКУССТВ""")</f>
        <v>МБОУ "ЦО № 22 - ЛИЦЕЙ ИСКУССТВ"</v>
      </c>
      <c r="B14214" s="24" t="s">
        <v>18923</v>
      </c>
      <c r="C14214" s="25">
        <v>4729840</v>
      </c>
      <c r="D14214" s="22" t="s">
        <v>18897</v>
      </c>
      <c r="E14214" s="22" t="s">
        <v>48</v>
      </c>
      <c r="F14214" s="23" t="str">
        <f t="shared" si="473"/>
        <v>Оказание услуг по организации питания обучающихся</v>
      </c>
      <c r="G14214" s="22" t="s">
        <v>68</v>
      </c>
      <c r="H14214" s="22" t="s">
        <v>69</v>
      </c>
      <c r="I14214" s="26">
        <v>43650.6098263889</v>
      </c>
      <c r="J14214" s="23" t="str">
        <f t="shared" si="474"/>
        <v>ООО "ТД СПП"</v>
      </c>
      <c r="K14214" s="24" t="s">
        <v>7782</v>
      </c>
      <c r="L14214" s="28" t="s">
        <v>51</v>
      </c>
      <c r="M14214" s="28" t="s">
        <v>51</v>
      </c>
      <c r="N14214" s="27">
        <v>0</v>
      </c>
    </row>
    <row r="14215" spans="1:14" hidden="1" outlineLevel="1" x14ac:dyDescent="0.2">
      <c r="A14215" s="23" t="str">
        <f>HYPERLINK("https://www.spark-marketing.ru/Card/Person/149606", "МБОУ ЦО № 29")</f>
        <v>МБОУ ЦО № 29</v>
      </c>
      <c r="B14215" s="24" t="s">
        <v>18924</v>
      </c>
      <c r="C14215" s="25">
        <v>4135385</v>
      </c>
      <c r="D14215" s="22" t="s">
        <v>18897</v>
      </c>
      <c r="E14215" s="22" t="s">
        <v>48</v>
      </c>
      <c r="F14215" s="23" t="str">
        <f t="shared" si="473"/>
        <v>Оказание услуг по организации питания обучающихся</v>
      </c>
      <c r="G14215" s="22" t="s">
        <v>51</v>
      </c>
      <c r="H14215" s="22" t="s">
        <v>51</v>
      </c>
      <c r="I14215" s="26">
        <v>43650.6098263889</v>
      </c>
      <c r="J14215" s="23" t="str">
        <f t="shared" si="474"/>
        <v>ООО "ТД СПП"</v>
      </c>
      <c r="K14215" s="24" t="s">
        <v>7782</v>
      </c>
      <c r="L14215" s="28" t="s">
        <v>51</v>
      </c>
      <c r="M14215" s="28" t="s">
        <v>51</v>
      </c>
      <c r="N14215" s="27">
        <v>0</v>
      </c>
    </row>
    <row r="14216" spans="1:14" hidden="1" outlineLevel="1" x14ac:dyDescent="0.2">
      <c r="A14216" s="23" t="str">
        <f>HYPERLINK("https://www.spark-marketing.ru/Card/Person/149909", "МБОУ ""ЦО №38""")</f>
        <v>МБОУ "ЦО №38"</v>
      </c>
      <c r="B14216" s="24" t="s">
        <v>18925</v>
      </c>
      <c r="C14216" s="25">
        <v>6127835</v>
      </c>
      <c r="D14216" s="22" t="s">
        <v>18897</v>
      </c>
      <c r="E14216" s="22" t="s">
        <v>48</v>
      </c>
      <c r="F14216" s="23" t="str">
        <f t="shared" si="473"/>
        <v>Оказание услуг по организации питания обучающихся</v>
      </c>
      <c r="G14216" s="22" t="s">
        <v>51</v>
      </c>
      <c r="H14216" s="22" t="s">
        <v>51</v>
      </c>
      <c r="I14216" s="26">
        <v>43650.6098263889</v>
      </c>
      <c r="J14216" s="23" t="str">
        <f t="shared" si="474"/>
        <v>ООО "ТД СПП"</v>
      </c>
      <c r="K14216" s="24" t="s">
        <v>7782</v>
      </c>
      <c r="L14216" s="28" t="s">
        <v>51</v>
      </c>
      <c r="M14216" s="28" t="s">
        <v>51</v>
      </c>
      <c r="N14216" s="27">
        <v>0</v>
      </c>
    </row>
    <row r="14217" spans="1:14" hidden="1" outlineLevel="1" x14ac:dyDescent="0.2">
      <c r="A14217" s="23" t="str">
        <f>HYPERLINK("https://www.spark-marketing.ru/Card/Person/150389", "МБОУ ЦО № 31")</f>
        <v>МБОУ ЦО № 31</v>
      </c>
      <c r="B14217" s="24" t="s">
        <v>18926</v>
      </c>
      <c r="C14217" s="25">
        <v>4975840</v>
      </c>
      <c r="D14217" s="22" t="s">
        <v>18897</v>
      </c>
      <c r="E14217" s="22" t="s">
        <v>48</v>
      </c>
      <c r="F14217" s="23" t="str">
        <f t="shared" si="473"/>
        <v>Оказание услуг по организации питания обучающихся</v>
      </c>
      <c r="G14217" s="22" t="s">
        <v>68</v>
      </c>
      <c r="H14217" s="22" t="s">
        <v>69</v>
      </c>
      <c r="I14217" s="26">
        <v>43650.6098263889</v>
      </c>
      <c r="J14217" s="23" t="str">
        <f t="shared" si="474"/>
        <v>ООО "ТД СПП"</v>
      </c>
      <c r="K14217" s="24" t="s">
        <v>7782</v>
      </c>
      <c r="L14217" s="28" t="s">
        <v>51</v>
      </c>
      <c r="M14217" s="28" t="s">
        <v>51</v>
      </c>
      <c r="N14217" s="27">
        <v>0</v>
      </c>
    </row>
    <row r="14218" spans="1:14" hidden="1" outlineLevel="1" x14ac:dyDescent="0.2">
      <c r="A14218" s="23" t="str">
        <f>HYPERLINK("https://www.spark-marketing.ru/Card/Person/150390", "МБОУ ""ЦО № 12""")</f>
        <v>МБОУ "ЦО № 12"</v>
      </c>
      <c r="B14218" s="24" t="s">
        <v>18927</v>
      </c>
      <c r="C14218" s="25">
        <v>11103410</v>
      </c>
      <c r="D14218" s="22" t="s">
        <v>18897</v>
      </c>
      <c r="E14218" s="22" t="s">
        <v>48</v>
      </c>
      <c r="F14218" s="23" t="str">
        <f t="shared" si="473"/>
        <v>Оказание услуг по организации питания обучающихся</v>
      </c>
      <c r="G14218" s="22" t="s">
        <v>51</v>
      </c>
      <c r="H14218" s="22" t="s">
        <v>51</v>
      </c>
      <c r="I14218" s="26">
        <v>43650.6098263889</v>
      </c>
      <c r="J14218" s="23" t="str">
        <f t="shared" si="474"/>
        <v>ООО "ТД СПП"</v>
      </c>
      <c r="K14218" s="24" t="s">
        <v>7782</v>
      </c>
      <c r="L14218" s="28" t="s">
        <v>51</v>
      </c>
      <c r="M14218" s="28" t="s">
        <v>51</v>
      </c>
      <c r="N14218" s="27">
        <v>0</v>
      </c>
    </row>
    <row r="14219" spans="1:14" hidden="1" outlineLevel="1" x14ac:dyDescent="0.2">
      <c r="A14219" s="23" t="str">
        <f>HYPERLINK("https://www.spark-marketing.ru/Card/Person/150391", "МБОУ ЦО № 5")</f>
        <v>МБОУ ЦО № 5</v>
      </c>
      <c r="B14219" s="24" t="s">
        <v>18928</v>
      </c>
      <c r="C14219" s="25">
        <v>11683485</v>
      </c>
      <c r="D14219" s="22" t="s">
        <v>18897</v>
      </c>
      <c r="E14219" s="22" t="s">
        <v>48</v>
      </c>
      <c r="F14219" s="23" t="str">
        <f t="shared" si="473"/>
        <v>Оказание услуг по организации питания обучающихся</v>
      </c>
      <c r="G14219" s="22" t="s">
        <v>51</v>
      </c>
      <c r="H14219" s="22" t="s">
        <v>51</v>
      </c>
      <c r="I14219" s="26">
        <v>43650.6098263889</v>
      </c>
      <c r="J14219" s="23" t="str">
        <f t="shared" si="474"/>
        <v>ООО "ТД СПП"</v>
      </c>
      <c r="K14219" s="24" t="s">
        <v>7782</v>
      </c>
      <c r="L14219" s="28" t="s">
        <v>51</v>
      </c>
      <c r="M14219" s="28" t="s">
        <v>51</v>
      </c>
      <c r="N14219" s="27">
        <v>0</v>
      </c>
    </row>
    <row r="14220" spans="1:14" hidden="1" outlineLevel="1" x14ac:dyDescent="0.2">
      <c r="A14220" s="23" t="str">
        <f>HYPERLINK("https://www.spark-marketing.ru/Card/Person/1062054", "МБОУ ЦО № 45")</f>
        <v>МБОУ ЦО № 45</v>
      </c>
      <c r="B14220" s="24" t="s">
        <v>18929</v>
      </c>
      <c r="C14220" s="25">
        <v>7828955</v>
      </c>
      <c r="D14220" s="22" t="s">
        <v>18897</v>
      </c>
      <c r="E14220" s="22" t="s">
        <v>48</v>
      </c>
      <c r="F14220" s="23" t="str">
        <f t="shared" si="473"/>
        <v>Оказание услуг по организации питания обучающихся</v>
      </c>
      <c r="G14220" s="22" t="s">
        <v>51</v>
      </c>
      <c r="H14220" s="22" t="s">
        <v>51</v>
      </c>
      <c r="I14220" s="26">
        <v>43650.6098263889</v>
      </c>
      <c r="J14220" s="23" t="str">
        <f t="shared" si="474"/>
        <v>ООО "ТД СПП"</v>
      </c>
      <c r="K14220" s="24" t="s">
        <v>7782</v>
      </c>
      <c r="L14220" s="28" t="s">
        <v>51</v>
      </c>
      <c r="M14220" s="28" t="s">
        <v>51</v>
      </c>
      <c r="N14220" s="27">
        <v>0</v>
      </c>
    </row>
    <row r="14221" spans="1:14" x14ac:dyDescent="0.15">
      <c r="A14221" s="23" t="str">
        <f>HYPERLINK("https://www.spark-marketing.ru/Card/Person/18959", "МО МВД РОССИИ ""БЕЛОГОРСКИЙ""")</f>
        <v>МО МВД РОССИИ "БЕЛОГОРСКИЙ"</v>
      </c>
      <c r="B14221" s="24" t="s">
        <v>18930</v>
      </c>
      <c r="C14221" s="25">
        <v>978272.75</v>
      </c>
      <c r="D14221" s="22" t="s">
        <v>18931</v>
      </c>
      <c r="E14221" s="22" t="s">
        <v>48</v>
      </c>
      <c r="F14221" s="23" t="str">
        <f>HYPERLINK("https://www.spark-marketing.ru/Card/Lot/71900184", "Оказание услуг по приготовлению и поставке трехразового горячего питания")</f>
        <v>Оказание услуг по приготовлению и поставке трехразового горячего питания</v>
      </c>
      <c r="G14221" s="22" t="s">
        <v>210</v>
      </c>
      <c r="H14221" s="22" t="s">
        <v>18932</v>
      </c>
      <c r="I14221" s="26">
        <v>43650.624467592599</v>
      </c>
      <c r="J14221" s="23" t="str">
        <f>HYPERLINK("https://www.spark-marketing.ru/Card/Person/90159", "ООО ""ФАБРИКА-КУХНЯ""")</f>
        <v>ООО "ФАБРИКА-КУХНЯ"</v>
      </c>
      <c r="K14221" s="24" t="s">
        <v>7070</v>
      </c>
      <c r="L14221" s="22" t="s">
        <v>10</v>
      </c>
      <c r="M14221" s="28" t="s">
        <v>51</v>
      </c>
      <c r="N14221" s="28" t="s">
        <v>51</v>
      </c>
    </row>
    <row r="14222" spans="1:14" x14ac:dyDescent="0.15">
      <c r="A14222" s="23" t="str">
        <f>HYPERLINK("https://www.spark-marketing.ru/Card/Person/44828", "АДМИНИСТРАЦИЯ БОЛЬШЕУЛУЙСКОГО РАЙОНА КРАСНОЯРСКОГО КРАЯ")</f>
        <v>АДМИНИСТРАЦИЯ БОЛЬШЕУЛУЙСКОГО РАЙОНА КРАСНОЯРСКОГО КРАЯ</v>
      </c>
      <c r="B14222" s="24" t="s">
        <v>18933</v>
      </c>
      <c r="C14222" s="25">
        <v>127465</v>
      </c>
      <c r="D14222" s="22" t="s">
        <v>18934</v>
      </c>
      <c r="E14222" s="22" t="s">
        <v>18935</v>
      </c>
      <c r="F14222" s="23" t="str">
        <f>HYPERLINK("https://www.spark-marketing.ru/Card/Lot/71900900", "Услуги по поставке системного блока, периферийных устройств и расходных материалов")</f>
        <v>Услуги по поставке системного блока, периферийных устройств и расходных материалов</v>
      </c>
      <c r="G14222" s="22" t="s">
        <v>281</v>
      </c>
      <c r="H14222" s="22" t="s">
        <v>3266</v>
      </c>
      <c r="I14222" s="26">
        <v>43650.588402777801</v>
      </c>
      <c r="J14222" s="28" t="s">
        <v>51</v>
      </c>
      <c r="K14222" s="28" t="s">
        <v>51</v>
      </c>
      <c r="L14222" s="28" t="s">
        <v>51</v>
      </c>
      <c r="M14222" s="28" t="s">
        <v>51</v>
      </c>
      <c r="N14222" s="28" t="s">
        <v>51</v>
      </c>
    </row>
    <row r="14223" spans="1:14" hidden="1" outlineLevel="1" x14ac:dyDescent="0.2">
      <c r="A14223" s="23" t="str">
        <f>HYPERLINK("https://www.spark-marketing.ru/Card/Person/44828", "АДМИНИСТРАЦИЯ БОЛЬШЕУЛУЙСКОГО РАЙОНА КРАСНОЯРСКОГО КРАЯ")</f>
        <v>АДМИНИСТРАЦИЯ БОЛЬШЕУЛУЙСКОГО РАЙОНА КРАСНОЯРСКОГО КРАЯ</v>
      </c>
      <c r="B14223" s="24" t="s">
        <v>18933</v>
      </c>
      <c r="C14223" s="25">
        <v>127465</v>
      </c>
      <c r="D14223" s="22" t="s">
        <v>18934</v>
      </c>
      <c r="E14223" s="22" t="s">
        <v>18935</v>
      </c>
      <c r="F14223" s="23" t="str">
        <f>HYPERLINK("https://www.spark-marketing.ru/Card/Lot/71900900", "Услуги по поставке системного блока, периферийных устройств и расходных материалов")</f>
        <v>Услуги по поставке системного блока, периферийных устройств и расходных материалов</v>
      </c>
      <c r="G14223" s="22" t="s">
        <v>281</v>
      </c>
      <c r="H14223" s="22" t="s">
        <v>3266</v>
      </c>
      <c r="I14223" s="26">
        <v>43650.588402777801</v>
      </c>
      <c r="J14223" s="23" t="str">
        <f>HYPERLINK("https://www.spark-marketing.ru/Card/Person/8632", "ООО ""ТЕНДЕР ГРУПП""")</f>
        <v>ООО "ТЕНДЕР ГРУПП"</v>
      </c>
      <c r="K14223" s="24" t="s">
        <v>18936</v>
      </c>
      <c r="L14223" s="28" t="s">
        <v>51</v>
      </c>
      <c r="M14223" s="25">
        <v>102677</v>
      </c>
      <c r="N14223" s="27">
        <v>0.19446906994076804</v>
      </c>
    </row>
    <row r="14224" spans="1:14" ht="12.75" hidden="1" outlineLevel="1" x14ac:dyDescent="0.2">
      <c r="A14224" s="23" t="str">
        <f>HYPERLINK("https://www.spark-marketing.ru/Card/Person/44828", "АДМИНИСТРАЦИЯ БОЛЬШЕУЛУЙСКОГО РАЙОНА КРАСНОЯРСКОГО КРАЯ")</f>
        <v>АДМИНИСТРАЦИЯ БОЛЬШЕУЛУЙСКОГО РАЙОНА КРАСНОЯРСКОГО КРАЯ</v>
      </c>
      <c r="B14224" s="24" t="s">
        <v>18933</v>
      </c>
      <c r="C14224" s="25">
        <v>127465</v>
      </c>
      <c r="D14224" s="22" t="s">
        <v>18934</v>
      </c>
      <c r="E14224" s="22" t="s">
        <v>18935</v>
      </c>
      <c r="F14224" s="23" t="str">
        <f>HYPERLINK("https://www.spark-marketing.ru/Card/Lot/71900900", "Услуги по поставке системного блока, периферийных устройств и расходных материалов")</f>
        <v>Услуги по поставке системного блока, периферийных устройств и расходных материалов</v>
      </c>
      <c r="G14224" s="22" t="s">
        <v>281</v>
      </c>
      <c r="H14224" s="22" t="s">
        <v>3266</v>
      </c>
      <c r="I14224" s="26">
        <v>43650.588402777801</v>
      </c>
      <c r="J14224" s="23" t="str">
        <f>HYPERLINK("https://www.spark-marketing.ru/Card/Person/195294", "ООО ""ЭЛИК""")</f>
        <v>ООО "ЭЛИК"</v>
      </c>
      <c r="K14224" s="24" t="s">
        <v>18937</v>
      </c>
      <c r="L14224" s="22" t="s">
        <v>10</v>
      </c>
      <c r="M14224" s="25">
        <v>102609.13</v>
      </c>
      <c r="N14224" s="27">
        <v>0.19500152983171851</v>
      </c>
    </row>
    <row r="14225" spans="1:14" x14ac:dyDescent="0.15">
      <c r="A14225" s="23" t="str">
        <f>HYPERLINK("https://www.spark-marketing.ru/Card/Person/13630", "ФКУ ""ЦХИСО ГУ МВД РОССИИ ПО НИЖЕГОРОДСКОЙ ОБЛАСТИ""")</f>
        <v>ФКУ "ЦХИСО ГУ МВД РОССИИ ПО НИЖЕГОРОДСКОЙ ОБЛАСТИ"</v>
      </c>
      <c r="B14225" s="24" t="s">
        <v>5688</v>
      </c>
      <c r="C14225" s="25">
        <v>1635000</v>
      </c>
      <c r="D14225" s="22" t="s">
        <v>18938</v>
      </c>
      <c r="E14225" s="22" t="s">
        <v>48</v>
      </c>
      <c r="F14225" s="23" t="str">
        <f>HYPERLINK("https://www.spark-marketing.ru/Card/Lot/71902270", "Оказание услуг по организации питания несовершеннолетних правонарушителей, содержащихся в ЦВСНП ГУ МВД России по Нижегородской области")</f>
        <v>Оказание услуг по организации питания несовершеннолетних правонарушителей, содержащихся в ЦВСНП ГУ МВД России по Нижегородской области</v>
      </c>
      <c r="G14225" s="22" t="s">
        <v>76</v>
      </c>
      <c r="H14225" s="22" t="s">
        <v>76</v>
      </c>
      <c r="I14225" s="26">
        <v>43650.613645833299</v>
      </c>
      <c r="J14225" s="23" t="str">
        <f>HYPERLINK("https://www.spark-marketing.ru/Card/Person/1177901", "Лебедева Анастасия Ананьевна")</f>
        <v>Лебедева Анастасия Ананьевна</v>
      </c>
      <c r="K14225" s="24" t="s">
        <v>5690</v>
      </c>
      <c r="L14225" s="22" t="s">
        <v>10</v>
      </c>
      <c r="M14225" s="28" t="s">
        <v>51</v>
      </c>
      <c r="N14225" s="28" t="s">
        <v>51</v>
      </c>
    </row>
    <row r="14226" spans="1:14" x14ac:dyDescent="0.15">
      <c r="A14226" s="23" t="str">
        <f>HYPERLINK("https://www.spark-marketing.ru/Card/Person/4361", "ФГБУ ""МОРСПАССЛУЖБА""")</f>
        <v>ФГБУ "МОРСПАССЛУЖБА"</v>
      </c>
      <c r="B14226" s="24" t="s">
        <v>18939</v>
      </c>
      <c r="C14226" s="25">
        <v>188784</v>
      </c>
      <c r="D14226" s="22" t="s">
        <v>18940</v>
      </c>
      <c r="E14226" s="22" t="s">
        <v>580</v>
      </c>
      <c r="F14226" s="23" t="str">
        <f>HYPERLINK("https://www.spark-marketing.ru/Card/Lot/71890420", "Оказание услуг по организации питания экипажа судна ""Часовой"" Северного филиала ФГБУ ""Морспасслужба""")</f>
        <v>Оказание услуг по организации питания экипажа судна "Часовой" Северного филиала ФГБУ "Морспасслужба"</v>
      </c>
      <c r="G14226" s="22" t="s">
        <v>214</v>
      </c>
      <c r="H14226" s="22" t="s">
        <v>214</v>
      </c>
      <c r="I14226" s="26">
        <v>43650.610509259299</v>
      </c>
      <c r="J14226" s="28" t="s">
        <v>51</v>
      </c>
      <c r="K14226" s="28" t="s">
        <v>51</v>
      </c>
      <c r="L14226" s="22" t="s">
        <v>10</v>
      </c>
      <c r="M14226" s="28" t="s">
        <v>51</v>
      </c>
      <c r="N14226" s="28" t="s">
        <v>51</v>
      </c>
    </row>
    <row r="14227" spans="1:14" x14ac:dyDescent="0.15">
      <c r="A14227" s="23" t="str">
        <f>HYPERLINK("https://www.spark-marketing.ru/Card/Person/493985", "МАОУДО ТАМБОВСКИЙ ЦДТ")</f>
        <v>МАОУДО ТАМБОВСКИЙ ЦДТ</v>
      </c>
      <c r="B14227" s="24" t="s">
        <v>15887</v>
      </c>
      <c r="C14227" s="25">
        <v>384120</v>
      </c>
      <c r="D14227" s="22" t="s">
        <v>18941</v>
      </c>
      <c r="E14227" s="22" t="s">
        <v>362</v>
      </c>
      <c r="F14227" s="23" t="str">
        <f>HYPERLINK("https://www.spark-marketing.ru/Card/Lot/71884564", "Оказание услуг питания")</f>
        <v>Оказание услуг питания</v>
      </c>
      <c r="G14227" s="22" t="s">
        <v>210</v>
      </c>
      <c r="H14227" s="22" t="s">
        <v>210</v>
      </c>
      <c r="I14227" s="26">
        <v>43650.605706018498</v>
      </c>
      <c r="J14227" s="28" t="s">
        <v>51</v>
      </c>
      <c r="K14227" s="28" t="s">
        <v>51</v>
      </c>
      <c r="L14227" s="28" t="s">
        <v>51</v>
      </c>
      <c r="M14227" s="28" t="s">
        <v>51</v>
      </c>
      <c r="N14227" s="28" t="s">
        <v>51</v>
      </c>
    </row>
    <row r="14228" spans="1:14" x14ac:dyDescent="0.15">
      <c r="A14228" s="23" t="str">
        <f>HYPERLINK("https://www.spark-marketing.ru/Card/Person/52340", "ГУП СК ""СТАВРОПОЛЬФАРМАЦИЯ""")</f>
        <v>ГУП СК "СТАВРОПОЛЬФАРМАЦИЯ"</v>
      </c>
      <c r="B14228" s="24" t="s">
        <v>8789</v>
      </c>
      <c r="C14228" s="25">
        <v>3720000</v>
      </c>
      <c r="D14228" s="22" t="s">
        <v>18942</v>
      </c>
      <c r="E14228" s="22" t="s">
        <v>2960</v>
      </c>
      <c r="F14228" s="23" t="str">
        <f>HYPERLINK("https://www.spark-marketing.ru/Card/Lot/71890426", "оказание услуг по информационно-техническому сопровождению организации обеспечения населения Ставропольского края необходимыми лекарственными препаратами, медицинскими изделиями, а также специализированными продуктами лечебного питания для детей - ин...")</f>
        <v>оказание услуг по информационно-техническому сопровождению организации обеспечения населения Ставропольского края необходимыми лекарственными препаратами, медицинскими изделиями, а также специализированными продуктами лечебного питания для детей - ин...</v>
      </c>
      <c r="G14228" s="22" t="s">
        <v>87</v>
      </c>
      <c r="H14228" s="22" t="s">
        <v>87</v>
      </c>
      <c r="I14228" s="26">
        <v>43650.613414351901</v>
      </c>
      <c r="J14228" s="28" t="s">
        <v>51</v>
      </c>
      <c r="K14228" s="28" t="s">
        <v>51</v>
      </c>
      <c r="L14228" s="28" t="s">
        <v>51</v>
      </c>
      <c r="M14228" s="28" t="s">
        <v>51</v>
      </c>
      <c r="N14228" s="28" t="s">
        <v>51</v>
      </c>
    </row>
    <row r="14229" spans="1:14" x14ac:dyDescent="0.2">
      <c r="A14229" s="23" t="str">
        <f>HYPERLINK("https://www.spark-marketing.ru/Card/Person/1454317", "МАУДО ""ДШИ ИМ. Л. А. СТАРКОВА""")</f>
        <v>МАУДО "ДШИ ИМ. Л. А. СТАРКОВА"</v>
      </c>
      <c r="B14229" s="24" t="s">
        <v>18943</v>
      </c>
      <c r="C14229" s="25">
        <v>283320</v>
      </c>
      <c r="D14229" s="22" t="s">
        <v>18944</v>
      </c>
      <c r="E14229" s="22" t="s">
        <v>362</v>
      </c>
      <c r="F14229" s="23" t="str">
        <f>HYPERLINK("https://www.spark-marketing.ru/Card/Lot/71887087", "Услуги по организации горячего двухразового (завтрак, обед) питания детей ЛДП")</f>
        <v>Услуги по организации горячего двухразового (завтрак, обед) питания детей ЛДП</v>
      </c>
      <c r="G14229" s="22" t="s">
        <v>153</v>
      </c>
      <c r="H14229" s="22" t="s">
        <v>153</v>
      </c>
      <c r="I14229" s="26">
        <v>43650.558020833298</v>
      </c>
      <c r="J14229" s="28" t="s">
        <v>51</v>
      </c>
      <c r="K14229" s="28" t="s">
        <v>51</v>
      </c>
      <c r="L14229" s="28" t="s">
        <v>51</v>
      </c>
      <c r="M14229" s="25">
        <v>283320</v>
      </c>
      <c r="N14229" s="27">
        <v>0</v>
      </c>
    </row>
    <row r="14230" spans="1:14" x14ac:dyDescent="0.15">
      <c r="A14230" s="23" t="str">
        <f>HYPERLINK("https://www.spark-marketing.ru/Card/Person/26294", "ГБУЗ МО ""ПГБ №2""")</f>
        <v>ГБУЗ МО "ПГБ №2"</v>
      </c>
      <c r="B14230" s="24" t="s">
        <v>368</v>
      </c>
      <c r="C14230" s="25">
        <v>2448345</v>
      </c>
      <c r="D14230" s="22" t="s">
        <v>18945</v>
      </c>
      <c r="E14230" s="22" t="s">
        <v>48</v>
      </c>
      <c r="F14230" s="23" t="str">
        <f>HYPERLINK("https://www.spark-marketing.ru/Card/Lot/71902284", "Оказание услуг по организации и доставке лечебного питания  для пациентов, находящихся на лечении в стационаре")</f>
        <v>Оказание услуг по организации и доставке лечебного питания  для пациентов, находящихся на лечении в стационаре</v>
      </c>
      <c r="G14230" s="22" t="s">
        <v>49</v>
      </c>
      <c r="H14230" s="22" t="s">
        <v>50</v>
      </c>
      <c r="I14230" s="26">
        <v>43650.523784722202</v>
      </c>
      <c r="J14230" s="23" t="str">
        <f>HYPERLINK("https://www.spark-marketing.ru/Card/Person/47262", "МУП ""ПКП И ОРТ""")</f>
        <v>МУП "ПКП И ОРТ"</v>
      </c>
      <c r="K14230" s="24" t="s">
        <v>4140</v>
      </c>
      <c r="L14230" s="28" t="s">
        <v>51</v>
      </c>
      <c r="M14230" s="28" t="s">
        <v>51</v>
      </c>
      <c r="N14230" s="28" t="s">
        <v>51</v>
      </c>
    </row>
    <row r="14231" spans="1:14" hidden="1" outlineLevel="1" x14ac:dyDescent="0.15">
      <c r="A14231" s="23" t="str">
        <f>HYPERLINK("https://www.spark-marketing.ru/Card/Person/26294", "ГБУЗ МО ""ПГБ №2""")</f>
        <v>ГБУЗ МО "ПГБ №2"</v>
      </c>
      <c r="B14231" s="24" t="s">
        <v>368</v>
      </c>
      <c r="C14231" s="25">
        <v>2448345</v>
      </c>
      <c r="D14231" s="22" t="s">
        <v>18945</v>
      </c>
      <c r="E14231" s="22" t="s">
        <v>48</v>
      </c>
      <c r="F14231" s="23" t="str">
        <f>HYPERLINK("https://www.spark-marketing.ru/Card/Lot/71902284", "Оказание услуг по организации и доставке лечебного питания  для пациентов, находящихся на лечении в стационаре")</f>
        <v>Оказание услуг по организации и доставке лечебного питания  для пациентов, находящихся на лечении в стационаре</v>
      </c>
      <c r="G14231" s="22" t="s">
        <v>49</v>
      </c>
      <c r="H14231" s="22" t="s">
        <v>50</v>
      </c>
      <c r="I14231" s="26">
        <v>43650.523784722202</v>
      </c>
      <c r="J14231" s="23" t="str">
        <f>HYPERLINK("https://www.spark-marketing.ru/Card/Person/47262", "МУП ""ПКП И ОРТ""")</f>
        <v>МУП "ПКП И ОРТ"</v>
      </c>
      <c r="K14231" s="24" t="s">
        <v>4140</v>
      </c>
      <c r="L14231" s="22" t="s">
        <v>10</v>
      </c>
      <c r="M14231" s="28" t="s">
        <v>51</v>
      </c>
      <c r="N14231" s="28" t="s">
        <v>51</v>
      </c>
    </row>
    <row r="14232" spans="1:14" x14ac:dyDescent="0.15">
      <c r="A14232" s="23" t="str">
        <f>HYPERLINK("https://www.spark-marketing.ru/Card/Person/1021787", "ОМВД РОССИИ ПО КОЛЬСКОМУ РАЙОНУ")</f>
        <v>ОМВД РОССИИ ПО КОЛЬСКОМУ РАЙОНУ</v>
      </c>
      <c r="B14232" s="24" t="s">
        <v>12912</v>
      </c>
      <c r="C14232" s="25">
        <v>190301.1</v>
      </c>
      <c r="D14232" s="22" t="s">
        <v>18946</v>
      </c>
      <c r="E14232" s="22" t="s">
        <v>48</v>
      </c>
      <c r="F14232" s="23" t="str">
        <f>HYPERLINK("https://www.spark-marketing.ru/Card/Lot/71902296", "организация ежедневного горячего трехразового питания лицам, содержащихся в ЦВСИГ")</f>
        <v>организация ежедневного горячего трехразового питания лицам, содержащихся в ЦВСИГ</v>
      </c>
      <c r="G14232" s="22" t="s">
        <v>340</v>
      </c>
      <c r="H14232" s="22" t="s">
        <v>12914</v>
      </c>
      <c r="I14232" s="26">
        <v>43650.485717592601</v>
      </c>
      <c r="J14232" s="23" t="str">
        <f>HYPERLINK("https://www.spark-marketing.ru/Card/Person/718805", "ООО ""СМАК""")</f>
        <v>ООО "СМАК"</v>
      </c>
      <c r="K14232" s="24" t="s">
        <v>2393</v>
      </c>
      <c r="L14232" s="22" t="s">
        <v>10</v>
      </c>
      <c r="M14232" s="28" t="s">
        <v>51</v>
      </c>
      <c r="N14232" s="28" t="s">
        <v>51</v>
      </c>
    </row>
    <row r="14233" spans="1:14" x14ac:dyDescent="0.15">
      <c r="A14233" s="23" t="str">
        <f>HYPERLINK("https://www.spark-marketing.ru/Card/Person/145806", "ОТДЕЛ МВД РОССИИ ПО НИЖНЕИНГАШСКОМУ РАЙОНУ")</f>
        <v>ОТДЕЛ МВД РОССИИ ПО НИЖНЕИНГАШСКОМУ РАЙОНУ</v>
      </c>
      <c r="B14233" s="24" t="s">
        <v>12120</v>
      </c>
      <c r="C14233" s="25">
        <v>370000</v>
      </c>
      <c r="D14233" s="22" t="s">
        <v>18947</v>
      </c>
      <c r="E14233" s="22" t="s">
        <v>48</v>
      </c>
      <c r="F14233" s="23" t="str">
        <f>HYPERLINK("https://www.spark-marketing.ru/Card/Lot/71884961", "Услуги по обеспечению питанием лиц содержащихся в ИВС")</f>
        <v>Услуги по обеспечению питанием лиц содержащихся в ИВС</v>
      </c>
      <c r="G14233" s="22" t="s">
        <v>281</v>
      </c>
      <c r="H14233" s="22" t="s">
        <v>12122</v>
      </c>
      <c r="I14233" s="26">
        <v>43650.472222222197</v>
      </c>
      <c r="J14233" s="23" t="str">
        <f>HYPERLINK("https://www.spark-marketing.ru/Card/Person/169100", "Бегларян Сос Азатович")</f>
        <v>Бегларян Сос Азатович</v>
      </c>
      <c r="K14233" s="24" t="s">
        <v>18878</v>
      </c>
      <c r="L14233" s="22" t="s">
        <v>10</v>
      </c>
      <c r="M14233" s="28" t="s">
        <v>51</v>
      </c>
      <c r="N14233" s="28" t="s">
        <v>51</v>
      </c>
    </row>
    <row r="14234" spans="1:14" x14ac:dyDescent="0.15">
      <c r="A14234" s="23" t="str">
        <f>HYPERLINK("https://www.spark-marketing.ru/Card/Person/1403878", "МАОУ ""БАБКИНСКАЯ СРЕДНЯЯ ШКОЛА""")</f>
        <v>МАОУ "БАБКИНСКАЯ СРЕДНЯЯ ШКОЛА"</v>
      </c>
      <c r="B14234" s="24" t="s">
        <v>18948</v>
      </c>
      <c r="C14234" s="25">
        <v>740647.5</v>
      </c>
      <c r="D14234" s="22" t="s">
        <v>18949</v>
      </c>
      <c r="E14234" s="22" t="s">
        <v>362</v>
      </c>
      <c r="F14234" s="23" t="str">
        <f>HYPERLINK("https://www.spark-marketing.ru/Card/Lot/71884490", "Обеспечение горячим питанием воспитанников детского сада Пальниковского филиала ""Теремок"" здании по адресу с. Нижний Пальник ул. Южная 14 а.")</f>
        <v>Обеспечение горячим питанием воспитанников детского сада Пальниковского филиала "Теремок" здании по адресу с. Нижний Пальник ул. Южная 14 а.</v>
      </c>
      <c r="G14234" s="22" t="s">
        <v>153</v>
      </c>
      <c r="H14234" s="22" t="s">
        <v>153</v>
      </c>
      <c r="I14234" s="26">
        <v>43650.480300925898</v>
      </c>
      <c r="J14234" s="28" t="s">
        <v>51</v>
      </c>
      <c r="K14234" s="28" t="s">
        <v>51</v>
      </c>
      <c r="L14234" s="28" t="s">
        <v>51</v>
      </c>
      <c r="M14234" s="28" t="s">
        <v>51</v>
      </c>
      <c r="N14234" s="28" t="s">
        <v>51</v>
      </c>
    </row>
    <row r="14235" spans="1:14" x14ac:dyDescent="0.15">
      <c r="A14235" s="23" t="str">
        <f>HYPERLINK("https://www.spark-marketing.ru/Card/Person/1000718", "МУЧ ""ДК ""ИСТОК"" Г. ФРЯЗИНО""")</f>
        <v>МУЧ "ДК "ИСТОК" Г. ФРЯЗИНО"</v>
      </c>
      <c r="B14235" s="24" t="s">
        <v>18950</v>
      </c>
      <c r="C14235" s="25">
        <v>283725</v>
      </c>
      <c r="D14235" s="22" t="s">
        <v>18951</v>
      </c>
      <c r="E14235" s="22" t="s">
        <v>48</v>
      </c>
      <c r="F14235" s="23" t="str">
        <f>HYPERLINK("https://www.spark-marketing.ru/Card/Lot/71885688", "Оказание услуг по организации питания в городском летнем лагере дневного пребывания на базе Муниципального учреждения ""Дворец культуры ""Исток"" г. Фрязино""")</f>
        <v>Оказание услуг по организации питания в городском летнем лагере дневного пребывания на базе Муниципального учреждения "Дворец культуры "Исток" г. Фрязино"</v>
      </c>
      <c r="G14235" s="22" t="s">
        <v>49</v>
      </c>
      <c r="H14235" s="22" t="s">
        <v>18952</v>
      </c>
      <c r="I14235" s="26">
        <v>43650.441319444399</v>
      </c>
      <c r="J14235" s="28" t="s">
        <v>51</v>
      </c>
      <c r="K14235" s="28" t="s">
        <v>51</v>
      </c>
      <c r="L14235" s="28" t="s">
        <v>51</v>
      </c>
      <c r="M14235" s="28" t="s">
        <v>51</v>
      </c>
      <c r="N14235" s="28" t="s">
        <v>51</v>
      </c>
    </row>
    <row r="14236" spans="1:14" x14ac:dyDescent="0.15">
      <c r="A14236" s="23" t="str">
        <f>HYPERLINK("https://www.spark-marketing.ru/Card/Person/10908", "БУЗ РА ""РБ""")</f>
        <v>БУЗ РА "РБ"</v>
      </c>
      <c r="B14236" s="24" t="s">
        <v>18696</v>
      </c>
      <c r="C14236" s="25">
        <v>21252161.48</v>
      </c>
      <c r="D14236" s="22" t="s">
        <v>18953</v>
      </c>
      <c r="E14236" s="22" t="s">
        <v>48</v>
      </c>
      <c r="F14236" s="23" t="str">
        <f>HYPERLINK("https://www.spark-marketing.ru/Card/Lot/71886420", "Оказание услуг по организации лечебного питания для больных, находящихся на стационарном лечении в бюджетном учреждении здравоохранения Республики Алтай «Республиканская больница»")</f>
        <v>Оказание услуг по организации лечебного питания для больных, находящихся на стационарном лечении в бюджетном учреждении здравоохранения Республики Алтай «Республиканская больница»</v>
      </c>
      <c r="G14236" s="22" t="s">
        <v>1141</v>
      </c>
      <c r="H14236" s="22" t="s">
        <v>1142</v>
      </c>
      <c r="I14236" s="26">
        <v>43650.4555555556</v>
      </c>
      <c r="J14236" s="23" t="str">
        <f>HYPERLINK("https://www.spark-marketing.ru/Card/Person/930772", "АУЗ РА ""ЦЛПП""")</f>
        <v>АУЗ РА "ЦЛПП"</v>
      </c>
      <c r="K14236" s="24" t="s">
        <v>18698</v>
      </c>
      <c r="L14236" s="22" t="s">
        <v>10</v>
      </c>
      <c r="M14236" s="28" t="s">
        <v>51</v>
      </c>
      <c r="N14236" s="28" t="s">
        <v>51</v>
      </c>
    </row>
    <row r="14237" spans="1:14" x14ac:dyDescent="0.15">
      <c r="A14237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4237" s="24" t="s">
        <v>3323</v>
      </c>
      <c r="C14237" s="25">
        <v>35000</v>
      </c>
      <c r="D14237" s="22" t="s">
        <v>18954</v>
      </c>
      <c r="E14237" s="22" t="s">
        <v>18955</v>
      </c>
      <c r="F14237" s="23" t="str">
        <f>HYPERLINK("https://www.spark-marketing.ru/Card/Lot/71883855", "Услуги, Бытовая техника и электроника")</f>
        <v>Услуги, Бытовая техника и электроника</v>
      </c>
      <c r="G14237" s="22" t="s">
        <v>104</v>
      </c>
      <c r="H14237" s="22" t="s">
        <v>120</v>
      </c>
      <c r="I14237" s="26">
        <v>43650.407962963</v>
      </c>
      <c r="J14237" s="28" t="s">
        <v>51</v>
      </c>
      <c r="K14237" s="28" t="s">
        <v>51</v>
      </c>
      <c r="L14237" s="28" t="s">
        <v>51</v>
      </c>
      <c r="M14237" s="28" t="s">
        <v>51</v>
      </c>
      <c r="N14237" s="28" t="s">
        <v>51</v>
      </c>
    </row>
    <row r="14238" spans="1:14" x14ac:dyDescent="0.15">
      <c r="A14238" s="23" t="str">
        <f>HYPERLINK("https://www.spark-marketing.ru/Card/Person/64293", "ОТДЕЛ МВД РОССИИ ПО ПЕРМСКОМУ РАЙОНУ")</f>
        <v>ОТДЕЛ МВД РОССИИ ПО ПЕРМСКОМУ РАЙОНУ</v>
      </c>
      <c r="B14238" s="24" t="s">
        <v>3979</v>
      </c>
      <c r="C14238" s="25">
        <v>960000</v>
      </c>
      <c r="D14238" s="22" t="s">
        <v>18956</v>
      </c>
      <c r="E14238" s="22" t="s">
        <v>48</v>
      </c>
      <c r="F14238" s="23" t="str">
        <f>HYPERLINK("https://www.spark-marketing.ru/Card/Lot/71897664", "Оказание услуг по  организации и приготовлению  питания для лиц,  содержащихся в Изоляторе временного содержания Отдела Министерства внутренних дел Российской Федерации по Пермскому  району")</f>
        <v>Оказание услуг по  организации и приготовлению  питания для лиц,  содержащихся в Изоляторе временного содержания Отдела Министерства внутренних дел Российской Федерации по Пермскому  району</v>
      </c>
      <c r="G14238" s="22" t="s">
        <v>153</v>
      </c>
      <c r="H14238" s="22" t="s">
        <v>3981</v>
      </c>
      <c r="I14238" s="26">
        <v>43650.381249999999</v>
      </c>
      <c r="J14238" s="23" t="str">
        <f>HYPERLINK("https://www.spark-marketing.ru/Card/Person/64274", "Минрахманова Ирина Вячеславовна")</f>
        <v>Минрахманова Ирина Вячеславовна</v>
      </c>
      <c r="K14238" s="24" t="s">
        <v>16388</v>
      </c>
      <c r="L14238" s="28" t="s">
        <v>51</v>
      </c>
      <c r="M14238" s="28" t="s">
        <v>51</v>
      </c>
      <c r="N14238" s="28" t="s">
        <v>51</v>
      </c>
    </row>
    <row r="14239" spans="1:14" ht="12.75" hidden="1" outlineLevel="1" x14ac:dyDescent="0.2">
      <c r="A14239" s="23" t="str">
        <f>HYPERLINK("https://www.spark-marketing.ru/Card/Person/64293", "ОТДЕЛ МВД РОССИИ ПО ПЕРМСКОМУ РАЙОНУ")</f>
        <v>ОТДЕЛ МВД РОССИИ ПО ПЕРМСКОМУ РАЙОНУ</v>
      </c>
      <c r="B14239" s="24" t="s">
        <v>3979</v>
      </c>
      <c r="C14239" s="25">
        <v>960000</v>
      </c>
      <c r="D14239" s="22" t="s">
        <v>18956</v>
      </c>
      <c r="E14239" s="22" t="s">
        <v>48</v>
      </c>
      <c r="F14239" s="23" t="str">
        <f>HYPERLINK("https://www.spark-marketing.ru/Card/Lot/71897664", "Оказание услуг по  организации и приготовлению  питания для лиц,  содержащихся в Изоляторе временного содержания Отдела Министерства внутренних дел Российской Федерации по Пермскому  району")</f>
        <v>Оказание услуг по  организации и приготовлению  питания для лиц,  содержащихся в Изоляторе временного содержания Отдела Министерства внутренних дел Российской Федерации по Пермскому  району</v>
      </c>
      <c r="G14239" s="22" t="s">
        <v>153</v>
      </c>
      <c r="H14239" s="22" t="s">
        <v>3981</v>
      </c>
      <c r="I14239" s="26">
        <v>43650.381249999999</v>
      </c>
      <c r="J14239" s="23" t="str">
        <f>HYPERLINK("https://www.spark-marketing.ru/Card/Person/64274", "Минрахманова Ирина Вячеславовна")</f>
        <v>Минрахманова Ирина Вячеславовна</v>
      </c>
      <c r="K14239" s="24" t="s">
        <v>16388</v>
      </c>
      <c r="L14239" s="22" t="s">
        <v>10</v>
      </c>
      <c r="M14239" s="25">
        <v>991.68</v>
      </c>
      <c r="N14239" s="27">
        <v>0.99896700000000005</v>
      </c>
    </row>
    <row r="14240" spans="1:14" x14ac:dyDescent="0.15">
      <c r="A14240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4240" s="24" t="s">
        <v>3323</v>
      </c>
      <c r="C14240" s="25">
        <v>27500</v>
      </c>
      <c r="D14240" s="22" t="s">
        <v>18957</v>
      </c>
      <c r="E14240" s="22" t="s">
        <v>18955</v>
      </c>
      <c r="F14240" s="23" t="str">
        <f>HYPERLINK("https://www.spark-marketing.ru/Card/Lot/71883292", "Услуги, Бытовая техника и электроника")</f>
        <v>Услуги, Бытовая техника и электроника</v>
      </c>
      <c r="G14240" s="22" t="s">
        <v>104</v>
      </c>
      <c r="H14240" s="22" t="s">
        <v>120</v>
      </c>
      <c r="I14240" s="26">
        <v>43650.3825</v>
      </c>
      <c r="J14240" s="28" t="s">
        <v>51</v>
      </c>
      <c r="K14240" s="28" t="s">
        <v>51</v>
      </c>
      <c r="L14240" s="28" t="s">
        <v>51</v>
      </c>
      <c r="M14240" s="28" t="s">
        <v>51</v>
      </c>
      <c r="N14240" s="28" t="s">
        <v>51</v>
      </c>
    </row>
    <row r="14241" spans="1:14" x14ac:dyDescent="0.15">
      <c r="A14241" s="23" t="str">
        <f>HYPERLINK("https://www.spark-marketing.ru/Card/Person/56241", "МБУЗ ""ГОРОДСКАЯ БОЛЬНИЦА №7""")</f>
        <v>МБУЗ "ГОРОДСКАЯ БОЛЬНИЦА №7"</v>
      </c>
      <c r="B14241" s="24" t="s">
        <v>18136</v>
      </c>
      <c r="C14241" s="25">
        <v>98800</v>
      </c>
      <c r="D14241" s="22" t="s">
        <v>18958</v>
      </c>
      <c r="E14241" s="22" t="s">
        <v>48</v>
      </c>
      <c r="F14241" s="23" t="str">
        <f>HYPERLINK("https://www.spark-marketing.ru/Card/Lot/71883730", "оказание услуг по организации готового питания")</f>
        <v>оказание услуг по организации готового питания</v>
      </c>
      <c r="G14241" s="22" t="s">
        <v>267</v>
      </c>
      <c r="H14241" s="22" t="s">
        <v>1388</v>
      </c>
      <c r="I14241" s="26">
        <v>43650.398611111101</v>
      </c>
      <c r="J14241" s="28" t="s">
        <v>51</v>
      </c>
      <c r="K14241" s="28" t="s">
        <v>51</v>
      </c>
      <c r="L14241" s="28" t="s">
        <v>51</v>
      </c>
      <c r="M14241" s="28" t="s">
        <v>51</v>
      </c>
      <c r="N14241" s="28" t="s">
        <v>51</v>
      </c>
    </row>
    <row r="14242" spans="1:14" x14ac:dyDescent="0.2">
      <c r="A14242" s="23" t="s">
        <v>114</v>
      </c>
      <c r="B14242" s="28" t="s">
        <v>51</v>
      </c>
      <c r="C14242" s="25">
        <v>189785890</v>
      </c>
      <c r="D14242" s="22" t="s">
        <v>18959</v>
      </c>
      <c r="E14242" s="22" t="s">
        <v>48</v>
      </c>
      <c r="F14242" s="23" t="str">
        <f t="shared" ref="F14242:F14266" si="475">HYPERLINK("https://www.spark-marketing.ru/Card/Lot/71903413", "Оказание услуг по организации питания обучающихся")</f>
        <v>Оказание услуг по организации питания обучающихся</v>
      </c>
      <c r="G14242" s="22" t="s">
        <v>51</v>
      </c>
      <c r="H14242" s="22" t="s">
        <v>51</v>
      </c>
      <c r="I14242" s="26">
        <v>43650.401354166701</v>
      </c>
      <c r="J14242" s="23" t="str">
        <f t="shared" ref="J14242:J14266" si="476">HYPERLINK("https://www.spark-marketing.ru/Card/Person/81010", "ООО ""ТД СПП""")</f>
        <v>ООО "ТД СПП"</v>
      </c>
      <c r="K14242" s="24" t="s">
        <v>7782</v>
      </c>
      <c r="L14242" s="28" t="s">
        <v>51</v>
      </c>
      <c r="M14242" s="25">
        <v>189785890</v>
      </c>
      <c r="N14242" s="27">
        <v>0</v>
      </c>
    </row>
    <row r="14243" spans="1:14" hidden="1" outlineLevel="1" x14ac:dyDescent="0.2">
      <c r="A14243" s="23" t="str">
        <f>HYPERLINK("https://www.spark-marketing.ru/Card/Person/90795", "МБОУ ЦО № 42")</f>
        <v>МБОУ ЦО № 42</v>
      </c>
      <c r="B14243" s="24" t="s">
        <v>18960</v>
      </c>
      <c r="C14243" s="25">
        <v>7394690</v>
      </c>
      <c r="D14243" s="22" t="s">
        <v>18959</v>
      </c>
      <c r="E14243" s="22" t="s">
        <v>48</v>
      </c>
      <c r="F14243" s="23" t="str">
        <f t="shared" si="475"/>
        <v>Оказание услуг по организации питания обучающихся</v>
      </c>
      <c r="G14243" s="22" t="s">
        <v>51</v>
      </c>
      <c r="H14243" s="22" t="s">
        <v>51</v>
      </c>
      <c r="I14243" s="26">
        <v>43650.401354166701</v>
      </c>
      <c r="J14243" s="23" t="str">
        <f t="shared" si="476"/>
        <v>ООО "ТД СПП"</v>
      </c>
      <c r="K14243" s="24" t="s">
        <v>7782</v>
      </c>
      <c r="L14243" s="28" t="s">
        <v>51</v>
      </c>
      <c r="M14243" s="28" t="s">
        <v>51</v>
      </c>
      <c r="N14243" s="27">
        <v>0</v>
      </c>
    </row>
    <row r="14244" spans="1:14" hidden="1" outlineLevel="1" x14ac:dyDescent="0.2">
      <c r="A14244" s="23" t="str">
        <f>HYPERLINK("https://www.spark-marketing.ru/Card/Person/91914", "МБОУ ЦО № 53 ИМ. Л.Н. ТОЛСТОГО")</f>
        <v>МБОУ ЦО № 53 ИМ. Л.Н. ТОЛСТОГО</v>
      </c>
      <c r="B14244" s="24" t="s">
        <v>18961</v>
      </c>
      <c r="C14244" s="25">
        <v>5143320</v>
      </c>
      <c r="D14244" s="22" t="s">
        <v>18959</v>
      </c>
      <c r="E14244" s="22" t="s">
        <v>48</v>
      </c>
      <c r="F14244" s="23" t="str">
        <f t="shared" si="475"/>
        <v>Оказание услуг по организации питания обучающихся</v>
      </c>
      <c r="G14244" s="22" t="s">
        <v>68</v>
      </c>
      <c r="H14244" s="22" t="s">
        <v>654</v>
      </c>
      <c r="I14244" s="26">
        <v>43650.401354166701</v>
      </c>
      <c r="J14244" s="23" t="str">
        <f t="shared" si="476"/>
        <v>ООО "ТД СПП"</v>
      </c>
      <c r="K14244" s="24" t="s">
        <v>7782</v>
      </c>
      <c r="L14244" s="28" t="s">
        <v>51</v>
      </c>
      <c r="M14244" s="28" t="s">
        <v>51</v>
      </c>
      <c r="N14244" s="27">
        <v>0</v>
      </c>
    </row>
    <row r="14245" spans="1:14" hidden="1" outlineLevel="1" x14ac:dyDescent="0.2">
      <c r="A14245" s="23" t="str">
        <f>HYPERLINK("https://www.spark-marketing.ru/Card/Person/110583", "МБОУ ЦО № 43")</f>
        <v>МБОУ ЦО № 43</v>
      </c>
      <c r="B14245" s="24" t="s">
        <v>18962</v>
      </c>
      <c r="C14245" s="25">
        <v>5138105</v>
      </c>
      <c r="D14245" s="22" t="s">
        <v>18959</v>
      </c>
      <c r="E14245" s="22" t="s">
        <v>48</v>
      </c>
      <c r="F14245" s="23" t="str">
        <f t="shared" si="475"/>
        <v>Оказание услуг по организации питания обучающихся</v>
      </c>
      <c r="G14245" s="22" t="s">
        <v>68</v>
      </c>
      <c r="H14245" s="22" t="s">
        <v>69</v>
      </c>
      <c r="I14245" s="26">
        <v>43650.401354166701</v>
      </c>
      <c r="J14245" s="23" t="str">
        <f t="shared" si="476"/>
        <v>ООО "ТД СПП"</v>
      </c>
      <c r="K14245" s="24" t="s">
        <v>7782</v>
      </c>
      <c r="L14245" s="28" t="s">
        <v>51</v>
      </c>
      <c r="M14245" s="28" t="s">
        <v>51</v>
      </c>
      <c r="N14245" s="27">
        <v>0</v>
      </c>
    </row>
    <row r="14246" spans="1:14" hidden="1" outlineLevel="1" x14ac:dyDescent="0.2">
      <c r="A14246" s="23" t="str">
        <f>HYPERLINK("https://www.spark-marketing.ru/Card/Person/110667", "МБОУ ""ЦО - ГИМНАЗИЯ № 11""")</f>
        <v>МБОУ "ЦО - ГИМНАЗИЯ № 11"</v>
      </c>
      <c r="B14246" s="24" t="s">
        <v>18963</v>
      </c>
      <c r="C14246" s="25">
        <v>11241575</v>
      </c>
      <c r="D14246" s="22" t="s">
        <v>18959</v>
      </c>
      <c r="E14246" s="22" t="s">
        <v>48</v>
      </c>
      <c r="F14246" s="23" t="str">
        <f t="shared" si="475"/>
        <v>Оказание услуг по организации питания обучающихся</v>
      </c>
      <c r="G14246" s="22" t="s">
        <v>51</v>
      </c>
      <c r="H14246" s="22" t="s">
        <v>51</v>
      </c>
      <c r="I14246" s="26">
        <v>43650.401354166701</v>
      </c>
      <c r="J14246" s="23" t="str">
        <f t="shared" si="476"/>
        <v>ООО "ТД СПП"</v>
      </c>
      <c r="K14246" s="24" t="s">
        <v>7782</v>
      </c>
      <c r="L14246" s="28" t="s">
        <v>51</v>
      </c>
      <c r="M14246" s="28" t="s">
        <v>51</v>
      </c>
      <c r="N14246" s="27">
        <v>0</v>
      </c>
    </row>
    <row r="14247" spans="1:14" hidden="1" outlineLevel="1" x14ac:dyDescent="0.2">
      <c r="A14247" s="23" t="str">
        <f>HYPERLINK("https://www.spark-marketing.ru/Card/Person/110850", "МБОУ ""ЦО № 19""")</f>
        <v>МБОУ "ЦО № 19"</v>
      </c>
      <c r="B14247" s="24" t="s">
        <v>18964</v>
      </c>
      <c r="C14247" s="25">
        <v>7017530</v>
      </c>
      <c r="D14247" s="22" t="s">
        <v>18959</v>
      </c>
      <c r="E14247" s="22" t="s">
        <v>48</v>
      </c>
      <c r="F14247" s="23" t="str">
        <f t="shared" si="475"/>
        <v>Оказание услуг по организации питания обучающихся</v>
      </c>
      <c r="G14247" s="22" t="s">
        <v>68</v>
      </c>
      <c r="H14247" s="22" t="s">
        <v>69</v>
      </c>
      <c r="I14247" s="26">
        <v>43650.401354166701</v>
      </c>
      <c r="J14247" s="23" t="str">
        <f t="shared" si="476"/>
        <v>ООО "ТД СПП"</v>
      </c>
      <c r="K14247" s="24" t="s">
        <v>7782</v>
      </c>
      <c r="L14247" s="28" t="s">
        <v>51</v>
      </c>
      <c r="M14247" s="28" t="s">
        <v>51</v>
      </c>
      <c r="N14247" s="27">
        <v>0</v>
      </c>
    </row>
    <row r="14248" spans="1:14" hidden="1" outlineLevel="1" x14ac:dyDescent="0.2">
      <c r="A14248" s="23" t="str">
        <f>HYPERLINK("https://www.spark-marketing.ru/Card/Person/110871", "МБОУ ЦО № 39")</f>
        <v>МБОУ ЦО № 39</v>
      </c>
      <c r="B14248" s="24" t="s">
        <v>18965</v>
      </c>
      <c r="C14248" s="25">
        <v>3111135</v>
      </c>
      <c r="D14248" s="22" t="s">
        <v>18959</v>
      </c>
      <c r="E14248" s="22" t="s">
        <v>48</v>
      </c>
      <c r="F14248" s="23" t="str">
        <f t="shared" si="475"/>
        <v>Оказание услуг по организации питания обучающихся</v>
      </c>
      <c r="G14248" s="22" t="s">
        <v>68</v>
      </c>
      <c r="H14248" s="22" t="s">
        <v>69</v>
      </c>
      <c r="I14248" s="26">
        <v>43650.401354166701</v>
      </c>
      <c r="J14248" s="23" t="str">
        <f t="shared" si="476"/>
        <v>ООО "ТД СПП"</v>
      </c>
      <c r="K14248" s="24" t="s">
        <v>7782</v>
      </c>
      <c r="L14248" s="28" t="s">
        <v>51</v>
      </c>
      <c r="M14248" s="28" t="s">
        <v>51</v>
      </c>
      <c r="N14248" s="27">
        <v>0</v>
      </c>
    </row>
    <row r="14249" spans="1:14" hidden="1" outlineLevel="1" x14ac:dyDescent="0.2">
      <c r="A14249" s="23" t="str">
        <f>HYPERLINK("https://www.spark-marketing.ru/Card/Person/111021", "МБОУ ЦО № 4")</f>
        <v>МБОУ ЦО № 4</v>
      </c>
      <c r="B14249" s="24" t="s">
        <v>18966</v>
      </c>
      <c r="C14249" s="25">
        <v>6799855</v>
      </c>
      <c r="D14249" s="22" t="s">
        <v>18959</v>
      </c>
      <c r="E14249" s="22" t="s">
        <v>48</v>
      </c>
      <c r="F14249" s="23" t="str">
        <f t="shared" si="475"/>
        <v>Оказание услуг по организации питания обучающихся</v>
      </c>
      <c r="G14249" s="22" t="s">
        <v>51</v>
      </c>
      <c r="H14249" s="22" t="s">
        <v>51</v>
      </c>
      <c r="I14249" s="26">
        <v>43650.401354166701</v>
      </c>
      <c r="J14249" s="23" t="str">
        <f t="shared" si="476"/>
        <v>ООО "ТД СПП"</v>
      </c>
      <c r="K14249" s="24" t="s">
        <v>7782</v>
      </c>
      <c r="L14249" s="28" t="s">
        <v>51</v>
      </c>
      <c r="M14249" s="28" t="s">
        <v>51</v>
      </c>
      <c r="N14249" s="27">
        <v>0</v>
      </c>
    </row>
    <row r="14250" spans="1:14" hidden="1" outlineLevel="1" x14ac:dyDescent="0.2">
      <c r="A14250" s="23" t="str">
        <f>HYPERLINK("https://www.spark-marketing.ru/Card/Person/112514", "МБОУ ЦО № 16")</f>
        <v>МБОУ ЦО № 16</v>
      </c>
      <c r="B14250" s="24" t="s">
        <v>18967</v>
      </c>
      <c r="C14250" s="25">
        <v>6122070</v>
      </c>
      <c r="D14250" s="22" t="s">
        <v>18959</v>
      </c>
      <c r="E14250" s="22" t="s">
        <v>48</v>
      </c>
      <c r="F14250" s="23" t="str">
        <f t="shared" si="475"/>
        <v>Оказание услуг по организации питания обучающихся</v>
      </c>
      <c r="G14250" s="22" t="s">
        <v>68</v>
      </c>
      <c r="H14250" s="22" t="s">
        <v>69</v>
      </c>
      <c r="I14250" s="26">
        <v>43650.401354166701</v>
      </c>
      <c r="J14250" s="23" t="str">
        <f t="shared" si="476"/>
        <v>ООО "ТД СПП"</v>
      </c>
      <c r="K14250" s="24" t="s">
        <v>7782</v>
      </c>
      <c r="L14250" s="28" t="s">
        <v>51</v>
      </c>
      <c r="M14250" s="28" t="s">
        <v>51</v>
      </c>
      <c r="N14250" s="27">
        <v>0</v>
      </c>
    </row>
    <row r="14251" spans="1:14" hidden="1" outlineLevel="1" x14ac:dyDescent="0.2">
      <c r="A14251" s="23" t="str">
        <f>HYPERLINK("https://www.spark-marketing.ru/Card/Person/112629", "МБОУ ""ЦО № 14""")</f>
        <v>МБОУ "ЦО № 14"</v>
      </c>
      <c r="B14251" s="24" t="s">
        <v>18968</v>
      </c>
      <c r="C14251" s="25">
        <v>2046635</v>
      </c>
      <c r="D14251" s="22" t="s">
        <v>18959</v>
      </c>
      <c r="E14251" s="22" t="s">
        <v>48</v>
      </c>
      <c r="F14251" s="23" t="str">
        <f t="shared" si="475"/>
        <v>Оказание услуг по организации питания обучающихся</v>
      </c>
      <c r="G14251" s="22" t="s">
        <v>68</v>
      </c>
      <c r="H14251" s="22" t="s">
        <v>69</v>
      </c>
      <c r="I14251" s="26">
        <v>43650.401354166701</v>
      </c>
      <c r="J14251" s="23" t="str">
        <f t="shared" si="476"/>
        <v>ООО "ТД СПП"</v>
      </c>
      <c r="K14251" s="24" t="s">
        <v>7782</v>
      </c>
      <c r="L14251" s="28" t="s">
        <v>51</v>
      </c>
      <c r="M14251" s="28" t="s">
        <v>51</v>
      </c>
      <c r="N14251" s="27">
        <v>0</v>
      </c>
    </row>
    <row r="14252" spans="1:14" hidden="1" outlineLevel="1" x14ac:dyDescent="0.2">
      <c r="A14252" s="23" t="str">
        <f>HYPERLINK("https://www.spark-marketing.ru/Card/Person/112765", "МБОУ ЦО № 37")</f>
        <v>МБОУ ЦО № 37</v>
      </c>
      <c r="B14252" s="24" t="s">
        <v>18969</v>
      </c>
      <c r="C14252" s="25">
        <v>7389060</v>
      </c>
      <c r="D14252" s="22" t="s">
        <v>18959</v>
      </c>
      <c r="E14252" s="22" t="s">
        <v>48</v>
      </c>
      <c r="F14252" s="23" t="str">
        <f t="shared" si="475"/>
        <v>Оказание услуг по организации питания обучающихся</v>
      </c>
      <c r="G14252" s="22" t="s">
        <v>68</v>
      </c>
      <c r="H14252" s="22" t="s">
        <v>69</v>
      </c>
      <c r="I14252" s="26">
        <v>43650.401354166701</v>
      </c>
      <c r="J14252" s="23" t="str">
        <f t="shared" si="476"/>
        <v>ООО "ТД СПП"</v>
      </c>
      <c r="K14252" s="24" t="s">
        <v>7782</v>
      </c>
      <c r="L14252" s="28" t="s">
        <v>51</v>
      </c>
      <c r="M14252" s="28" t="s">
        <v>51</v>
      </c>
      <c r="N14252" s="27">
        <v>0</v>
      </c>
    </row>
    <row r="14253" spans="1:14" hidden="1" outlineLevel="1" x14ac:dyDescent="0.2">
      <c r="A14253" s="23" t="str">
        <f>HYPERLINK("https://www.spark-marketing.ru/Card/Person/112958", "МБОУ ЦО № 36")</f>
        <v>МБОУ ЦО № 36</v>
      </c>
      <c r="B14253" s="24" t="s">
        <v>18970</v>
      </c>
      <c r="C14253" s="25">
        <v>5051360</v>
      </c>
      <c r="D14253" s="22" t="s">
        <v>18959</v>
      </c>
      <c r="E14253" s="22" t="s">
        <v>48</v>
      </c>
      <c r="F14253" s="23" t="str">
        <f t="shared" si="475"/>
        <v>Оказание услуг по организации питания обучающихся</v>
      </c>
      <c r="G14253" s="22" t="s">
        <v>68</v>
      </c>
      <c r="H14253" s="22" t="s">
        <v>69</v>
      </c>
      <c r="I14253" s="26">
        <v>43650.401354166701</v>
      </c>
      <c r="J14253" s="23" t="str">
        <f t="shared" si="476"/>
        <v>ООО "ТД СПП"</v>
      </c>
      <c r="K14253" s="24" t="s">
        <v>7782</v>
      </c>
      <c r="L14253" s="28" t="s">
        <v>51</v>
      </c>
      <c r="M14253" s="28" t="s">
        <v>51</v>
      </c>
      <c r="N14253" s="27">
        <v>0</v>
      </c>
    </row>
    <row r="14254" spans="1:14" hidden="1" outlineLevel="1" x14ac:dyDescent="0.2">
      <c r="A14254" s="23" t="str">
        <f>HYPERLINK("https://www.spark-marketing.ru/Card/Person/128958", "МБОУ ""ЦО № 52 ИМ. В. В. ЛАПИНА""")</f>
        <v>МБОУ "ЦО № 52 ИМ. В. В. ЛАПИНА"</v>
      </c>
      <c r="B14254" s="24" t="s">
        <v>18971</v>
      </c>
      <c r="C14254" s="25">
        <v>3842910</v>
      </c>
      <c r="D14254" s="22" t="s">
        <v>18959</v>
      </c>
      <c r="E14254" s="22" t="s">
        <v>48</v>
      </c>
      <c r="F14254" s="23" t="str">
        <f t="shared" si="475"/>
        <v>Оказание услуг по организации питания обучающихся</v>
      </c>
      <c r="G14254" s="22" t="s">
        <v>51</v>
      </c>
      <c r="H14254" s="22" t="s">
        <v>51</v>
      </c>
      <c r="I14254" s="26">
        <v>43650.401354166701</v>
      </c>
      <c r="J14254" s="23" t="str">
        <f t="shared" si="476"/>
        <v>ООО "ТД СПП"</v>
      </c>
      <c r="K14254" s="24" t="s">
        <v>7782</v>
      </c>
      <c r="L14254" s="28" t="s">
        <v>51</v>
      </c>
      <c r="M14254" s="28" t="s">
        <v>51</v>
      </c>
      <c r="N14254" s="27">
        <v>0</v>
      </c>
    </row>
    <row r="14255" spans="1:14" hidden="1" outlineLevel="1" x14ac:dyDescent="0.2">
      <c r="A14255" s="23" t="str">
        <f>HYPERLINK("https://www.spark-marketing.ru/Card/Person/137894", "МБОУ ""ЦО № 26""")</f>
        <v>МБОУ "ЦО № 26"</v>
      </c>
      <c r="B14255" s="24" t="s">
        <v>18972</v>
      </c>
      <c r="C14255" s="25">
        <v>16957235</v>
      </c>
      <c r="D14255" s="22" t="s">
        <v>18959</v>
      </c>
      <c r="E14255" s="22" t="s">
        <v>48</v>
      </c>
      <c r="F14255" s="23" t="str">
        <f t="shared" si="475"/>
        <v>Оказание услуг по организации питания обучающихся</v>
      </c>
      <c r="G14255" s="22" t="s">
        <v>51</v>
      </c>
      <c r="H14255" s="22" t="s">
        <v>51</v>
      </c>
      <c r="I14255" s="26">
        <v>43650.401354166701</v>
      </c>
      <c r="J14255" s="23" t="str">
        <f t="shared" si="476"/>
        <v>ООО "ТД СПП"</v>
      </c>
      <c r="K14255" s="24" t="s">
        <v>7782</v>
      </c>
      <c r="L14255" s="28" t="s">
        <v>51</v>
      </c>
      <c r="M14255" s="28" t="s">
        <v>51</v>
      </c>
      <c r="N14255" s="27">
        <v>0</v>
      </c>
    </row>
    <row r="14256" spans="1:14" hidden="1" outlineLevel="1" x14ac:dyDescent="0.2">
      <c r="A14256" s="23" t="str">
        <f>HYPERLINK("https://www.spark-marketing.ru/Card/Person/138053", "МБОУ ЦО № 48")</f>
        <v>МБОУ ЦО № 48</v>
      </c>
      <c r="B14256" s="24" t="s">
        <v>18973</v>
      </c>
      <c r="C14256" s="25">
        <v>983145</v>
      </c>
      <c r="D14256" s="22" t="s">
        <v>18959</v>
      </c>
      <c r="E14256" s="22" t="s">
        <v>48</v>
      </c>
      <c r="F14256" s="23" t="str">
        <f t="shared" si="475"/>
        <v>Оказание услуг по организации питания обучающихся</v>
      </c>
      <c r="G14256" s="22" t="s">
        <v>68</v>
      </c>
      <c r="H14256" s="22" t="s">
        <v>654</v>
      </c>
      <c r="I14256" s="26">
        <v>43650.401354166701</v>
      </c>
      <c r="J14256" s="23" t="str">
        <f t="shared" si="476"/>
        <v>ООО "ТД СПП"</v>
      </c>
      <c r="K14256" s="24" t="s">
        <v>7782</v>
      </c>
      <c r="L14256" s="28" t="s">
        <v>51</v>
      </c>
      <c r="M14256" s="28" t="s">
        <v>51</v>
      </c>
      <c r="N14256" s="27">
        <v>0</v>
      </c>
    </row>
    <row r="14257" spans="1:14" hidden="1" outlineLevel="1" x14ac:dyDescent="0.2">
      <c r="A14257" s="23" t="str">
        <f>HYPERLINK("https://www.spark-marketing.ru/Card/Person/138862", "МБОУ ЦО № 58 ""ПОКОЛЕНИЕ БУДУЩЕГО""")</f>
        <v>МБОУ ЦО № 58 "ПОКОЛЕНИЕ БУДУЩЕГО"</v>
      </c>
      <c r="B14257" s="24" t="s">
        <v>18974</v>
      </c>
      <c r="C14257" s="25">
        <v>8271265</v>
      </c>
      <c r="D14257" s="22" t="s">
        <v>18959</v>
      </c>
      <c r="E14257" s="22" t="s">
        <v>48</v>
      </c>
      <c r="F14257" s="23" t="str">
        <f t="shared" si="475"/>
        <v>Оказание услуг по организации питания обучающихся</v>
      </c>
      <c r="G14257" s="22" t="s">
        <v>68</v>
      </c>
      <c r="H14257" s="22" t="s">
        <v>69</v>
      </c>
      <c r="I14257" s="26">
        <v>43650.401354166701</v>
      </c>
      <c r="J14257" s="23" t="str">
        <f t="shared" si="476"/>
        <v>ООО "ТД СПП"</v>
      </c>
      <c r="K14257" s="24" t="s">
        <v>7782</v>
      </c>
      <c r="L14257" s="28" t="s">
        <v>51</v>
      </c>
      <c r="M14257" s="28" t="s">
        <v>51</v>
      </c>
      <c r="N14257" s="27">
        <v>0</v>
      </c>
    </row>
    <row r="14258" spans="1:14" hidden="1" outlineLevel="1" x14ac:dyDescent="0.2">
      <c r="A14258" s="23" t="str">
        <f>HYPERLINK("https://www.spark-marketing.ru/Card/Person/139206", "МБОУ ЦО № 15")</f>
        <v>МБОУ ЦО № 15</v>
      </c>
      <c r="B14258" s="24" t="s">
        <v>18975</v>
      </c>
      <c r="C14258" s="25">
        <v>7585710</v>
      </c>
      <c r="D14258" s="22" t="s">
        <v>18959</v>
      </c>
      <c r="E14258" s="22" t="s">
        <v>48</v>
      </c>
      <c r="F14258" s="23" t="str">
        <f t="shared" si="475"/>
        <v>Оказание услуг по организации питания обучающихся</v>
      </c>
      <c r="G14258" s="22" t="s">
        <v>68</v>
      </c>
      <c r="H14258" s="22" t="s">
        <v>69</v>
      </c>
      <c r="I14258" s="26">
        <v>43650.401354166701</v>
      </c>
      <c r="J14258" s="23" t="str">
        <f t="shared" si="476"/>
        <v>ООО "ТД СПП"</v>
      </c>
      <c r="K14258" s="24" t="s">
        <v>7782</v>
      </c>
      <c r="L14258" s="28" t="s">
        <v>51</v>
      </c>
      <c r="M14258" s="28" t="s">
        <v>51</v>
      </c>
      <c r="N14258" s="27">
        <v>0</v>
      </c>
    </row>
    <row r="14259" spans="1:14" hidden="1" outlineLevel="1" x14ac:dyDescent="0.2">
      <c r="A14259" s="23" t="str">
        <f>HYPERLINK("https://www.spark-marketing.ru/Card/Person/139215", "МБОУ ""ЦО № 47""")</f>
        <v>МБОУ "ЦО № 47"</v>
      </c>
      <c r="B14259" s="24" t="s">
        <v>18976</v>
      </c>
      <c r="C14259" s="25">
        <v>3082050</v>
      </c>
      <c r="D14259" s="22" t="s">
        <v>18959</v>
      </c>
      <c r="E14259" s="22" t="s">
        <v>48</v>
      </c>
      <c r="F14259" s="23" t="str">
        <f t="shared" si="475"/>
        <v>Оказание услуг по организации питания обучающихся</v>
      </c>
      <c r="G14259" s="22" t="s">
        <v>68</v>
      </c>
      <c r="H14259" s="22" t="s">
        <v>654</v>
      </c>
      <c r="I14259" s="26">
        <v>43650.401354166701</v>
      </c>
      <c r="J14259" s="23" t="str">
        <f t="shared" si="476"/>
        <v>ООО "ТД СПП"</v>
      </c>
      <c r="K14259" s="24" t="s">
        <v>7782</v>
      </c>
      <c r="L14259" s="28" t="s">
        <v>51</v>
      </c>
      <c r="M14259" s="28" t="s">
        <v>51</v>
      </c>
      <c r="N14259" s="27">
        <v>0</v>
      </c>
    </row>
    <row r="14260" spans="1:14" hidden="1" outlineLevel="1" x14ac:dyDescent="0.2">
      <c r="A14260" s="23" t="str">
        <f>HYPERLINK("https://www.spark-marketing.ru/Card/Person/149528", "МБОУ ЦО № 6")</f>
        <v>МБОУ ЦО № 6</v>
      </c>
      <c r="B14260" s="24" t="s">
        <v>18977</v>
      </c>
      <c r="C14260" s="25">
        <v>13809985</v>
      </c>
      <c r="D14260" s="22" t="s">
        <v>18959</v>
      </c>
      <c r="E14260" s="22" t="s">
        <v>48</v>
      </c>
      <c r="F14260" s="23" t="str">
        <f t="shared" si="475"/>
        <v>Оказание услуг по организации питания обучающихся</v>
      </c>
      <c r="G14260" s="22" t="s">
        <v>51</v>
      </c>
      <c r="H14260" s="22" t="s">
        <v>51</v>
      </c>
      <c r="I14260" s="26">
        <v>43650.401354166701</v>
      </c>
      <c r="J14260" s="23" t="str">
        <f t="shared" si="476"/>
        <v>ООО "ТД СПП"</v>
      </c>
      <c r="K14260" s="24" t="s">
        <v>7782</v>
      </c>
      <c r="L14260" s="28" t="s">
        <v>51</v>
      </c>
      <c r="M14260" s="28" t="s">
        <v>51</v>
      </c>
      <c r="N14260" s="27">
        <v>0</v>
      </c>
    </row>
    <row r="14261" spans="1:14" hidden="1" outlineLevel="1" x14ac:dyDescent="0.2">
      <c r="A14261" s="23" t="str">
        <f>HYPERLINK("https://www.spark-marketing.ru/Card/Person/149559", "МБОУ ЦО № 9")</f>
        <v>МБОУ ЦО № 9</v>
      </c>
      <c r="B14261" s="24" t="s">
        <v>18978</v>
      </c>
      <c r="C14261" s="25">
        <v>6600680</v>
      </c>
      <c r="D14261" s="22" t="s">
        <v>18959</v>
      </c>
      <c r="E14261" s="22" t="s">
        <v>48</v>
      </c>
      <c r="F14261" s="23" t="str">
        <f t="shared" si="475"/>
        <v>Оказание услуг по организации питания обучающихся</v>
      </c>
      <c r="G14261" s="22" t="s">
        <v>51</v>
      </c>
      <c r="H14261" s="22" t="s">
        <v>51</v>
      </c>
      <c r="I14261" s="26">
        <v>43650.401354166701</v>
      </c>
      <c r="J14261" s="23" t="str">
        <f t="shared" si="476"/>
        <v>ООО "ТД СПП"</v>
      </c>
      <c r="K14261" s="24" t="s">
        <v>7782</v>
      </c>
      <c r="L14261" s="28" t="s">
        <v>51</v>
      </c>
      <c r="M14261" s="28" t="s">
        <v>51</v>
      </c>
      <c r="N14261" s="27">
        <v>0</v>
      </c>
    </row>
    <row r="14262" spans="1:14" hidden="1" outlineLevel="1" x14ac:dyDescent="0.2">
      <c r="A14262" s="23" t="str">
        <f>HYPERLINK("https://www.spark-marketing.ru/Card/Person/149612", "МБОУ ""ЦО № 32""")</f>
        <v>МБОУ "ЦО № 32"</v>
      </c>
      <c r="B14262" s="24" t="s">
        <v>18979</v>
      </c>
      <c r="C14262" s="25">
        <v>7947510</v>
      </c>
      <c r="D14262" s="22" t="s">
        <v>18959</v>
      </c>
      <c r="E14262" s="22" t="s">
        <v>48</v>
      </c>
      <c r="F14262" s="23" t="str">
        <f t="shared" si="475"/>
        <v>Оказание услуг по организации питания обучающихся</v>
      </c>
      <c r="G14262" s="22" t="s">
        <v>51</v>
      </c>
      <c r="H14262" s="22" t="s">
        <v>51</v>
      </c>
      <c r="I14262" s="26">
        <v>43650.401354166701</v>
      </c>
      <c r="J14262" s="23" t="str">
        <f t="shared" si="476"/>
        <v>ООО "ТД СПП"</v>
      </c>
      <c r="K14262" s="24" t="s">
        <v>7782</v>
      </c>
      <c r="L14262" s="28" t="s">
        <v>51</v>
      </c>
      <c r="M14262" s="28" t="s">
        <v>51</v>
      </c>
      <c r="N14262" s="27">
        <v>0</v>
      </c>
    </row>
    <row r="14263" spans="1:14" hidden="1" outlineLevel="1" x14ac:dyDescent="0.2">
      <c r="A14263" s="23" t="str">
        <f>HYPERLINK("https://www.spark-marketing.ru/Card/Person/149618", "МБОУ ""ЦО № 34""")</f>
        <v>МБОУ "ЦО № 34"</v>
      </c>
      <c r="B14263" s="24" t="s">
        <v>18980</v>
      </c>
      <c r="C14263" s="25">
        <v>12639330</v>
      </c>
      <c r="D14263" s="22" t="s">
        <v>18959</v>
      </c>
      <c r="E14263" s="22" t="s">
        <v>48</v>
      </c>
      <c r="F14263" s="23" t="str">
        <f t="shared" si="475"/>
        <v>Оказание услуг по организации питания обучающихся</v>
      </c>
      <c r="G14263" s="22" t="s">
        <v>51</v>
      </c>
      <c r="H14263" s="22" t="s">
        <v>51</v>
      </c>
      <c r="I14263" s="26">
        <v>43650.401354166701</v>
      </c>
      <c r="J14263" s="23" t="str">
        <f t="shared" si="476"/>
        <v>ООО "ТД СПП"</v>
      </c>
      <c r="K14263" s="24" t="s">
        <v>7782</v>
      </c>
      <c r="L14263" s="28" t="s">
        <v>51</v>
      </c>
      <c r="M14263" s="28" t="s">
        <v>51</v>
      </c>
      <c r="N14263" s="27">
        <v>0</v>
      </c>
    </row>
    <row r="14264" spans="1:14" hidden="1" outlineLevel="1" x14ac:dyDescent="0.2">
      <c r="A14264" s="23" t="str">
        <f>HYPERLINK("https://www.spark-marketing.ru/Card/Person/149813", "МБОУ ЦО № 27")</f>
        <v>МБОУ ЦО № 27</v>
      </c>
      <c r="B14264" s="24" t="s">
        <v>18981</v>
      </c>
      <c r="C14264" s="25">
        <v>19560190</v>
      </c>
      <c r="D14264" s="22" t="s">
        <v>18959</v>
      </c>
      <c r="E14264" s="22" t="s">
        <v>48</v>
      </c>
      <c r="F14264" s="23" t="str">
        <f t="shared" si="475"/>
        <v>Оказание услуг по организации питания обучающихся</v>
      </c>
      <c r="G14264" s="22" t="s">
        <v>51</v>
      </c>
      <c r="H14264" s="22" t="s">
        <v>51</v>
      </c>
      <c r="I14264" s="26">
        <v>43650.401354166701</v>
      </c>
      <c r="J14264" s="23" t="str">
        <f t="shared" si="476"/>
        <v>ООО "ТД СПП"</v>
      </c>
      <c r="K14264" s="24" t="s">
        <v>7782</v>
      </c>
      <c r="L14264" s="28" t="s">
        <v>51</v>
      </c>
      <c r="M14264" s="28" t="s">
        <v>51</v>
      </c>
      <c r="N14264" s="27">
        <v>0</v>
      </c>
    </row>
    <row r="14265" spans="1:14" hidden="1" outlineLevel="1" x14ac:dyDescent="0.2">
      <c r="A14265" s="23" t="str">
        <f>HYPERLINK("https://www.spark-marketing.ru/Card/Person/149827", "МБОУ ""ЦО № 51""")</f>
        <v>МБОУ "ЦО № 51"</v>
      </c>
      <c r="B14265" s="24" t="s">
        <v>18982</v>
      </c>
      <c r="C14265" s="25">
        <v>2777210</v>
      </c>
      <c r="D14265" s="22" t="s">
        <v>18959</v>
      </c>
      <c r="E14265" s="22" t="s">
        <v>48</v>
      </c>
      <c r="F14265" s="23" t="str">
        <f t="shared" si="475"/>
        <v>Оказание услуг по организации питания обучающихся</v>
      </c>
      <c r="G14265" s="22" t="s">
        <v>68</v>
      </c>
      <c r="H14265" s="22" t="s">
        <v>654</v>
      </c>
      <c r="I14265" s="26">
        <v>43650.401354166701</v>
      </c>
      <c r="J14265" s="23" t="str">
        <f t="shared" si="476"/>
        <v>ООО "ТД СПП"</v>
      </c>
      <c r="K14265" s="24" t="s">
        <v>7782</v>
      </c>
      <c r="L14265" s="28" t="s">
        <v>51</v>
      </c>
      <c r="M14265" s="28" t="s">
        <v>51</v>
      </c>
      <c r="N14265" s="27">
        <v>0</v>
      </c>
    </row>
    <row r="14266" spans="1:14" hidden="1" outlineLevel="1" x14ac:dyDescent="0.2">
      <c r="A14266" s="23" t="str">
        <f>HYPERLINK("https://www.spark-marketing.ru/Card/Person/1070489", "МБОУ ЦО № 8")</f>
        <v>МБОУ ЦО № 8</v>
      </c>
      <c r="B14266" s="24" t="s">
        <v>18983</v>
      </c>
      <c r="C14266" s="25">
        <v>19273335</v>
      </c>
      <c r="D14266" s="22" t="s">
        <v>18959</v>
      </c>
      <c r="E14266" s="22" t="s">
        <v>48</v>
      </c>
      <c r="F14266" s="23" t="str">
        <f t="shared" si="475"/>
        <v>Оказание услуг по организации питания обучающихся</v>
      </c>
      <c r="G14266" s="22" t="s">
        <v>51</v>
      </c>
      <c r="H14266" s="22" t="s">
        <v>51</v>
      </c>
      <c r="I14266" s="26">
        <v>43650.401354166701</v>
      </c>
      <c r="J14266" s="23" t="str">
        <f t="shared" si="476"/>
        <v>ООО "ТД СПП"</v>
      </c>
      <c r="K14266" s="24" t="s">
        <v>7782</v>
      </c>
      <c r="L14266" s="28" t="s">
        <v>51</v>
      </c>
      <c r="M14266" s="28" t="s">
        <v>51</v>
      </c>
      <c r="N14266" s="27">
        <v>0</v>
      </c>
    </row>
    <row r="14267" spans="1:14" x14ac:dyDescent="0.15">
      <c r="A14267" s="23" t="str">
        <f>HYPERLINK("https://www.spark-marketing.ru/Card/Person/597", "ГКУ ТЕХОБЕСПЕЧЕНИЕ МЗ РБ")</f>
        <v>ГКУ ТЕХОБЕСПЕЧЕНИЕ МЗ РБ</v>
      </c>
      <c r="B14267" s="24" t="s">
        <v>434</v>
      </c>
      <c r="C14267" s="25">
        <v>7045483.5</v>
      </c>
      <c r="D14267" s="22" t="s">
        <v>18984</v>
      </c>
      <c r="E14267" s="22" t="s">
        <v>1104</v>
      </c>
      <c r="F14267" s="23" t="str">
        <f>HYPERLINK("https://www.spark-marketing.ru/Card/Lot/71886478", "Оказание услуг по приему, хранению, учету и отпуску специализированного питания детей в возрасте до 3-х лет, беременных женщин и кормящих матерей")</f>
        <v>Оказание услуг по приему, хранению, учету и отпуску специализированного питания детей в возрасте до 3-х лет, беременных женщин и кормящих матерей</v>
      </c>
      <c r="G14267" s="22" t="s">
        <v>145</v>
      </c>
      <c r="H14267" s="22" t="s">
        <v>145</v>
      </c>
      <c r="I14267" s="26">
        <v>43650.394444444399</v>
      </c>
      <c r="J14267" s="23" t="str">
        <f>HYPERLINK("https://www.spark-marketing.ru/Card/Person/31184", "ГУП ""БАШФАРМАЦИЯ"" РБ")</f>
        <v>ГУП "БАШФАРМАЦИЯ" РБ</v>
      </c>
      <c r="K14267" s="24" t="s">
        <v>18985</v>
      </c>
      <c r="L14267" s="22" t="s">
        <v>10</v>
      </c>
      <c r="M14267" s="28" t="s">
        <v>51</v>
      </c>
      <c r="N14267" s="28" t="s">
        <v>51</v>
      </c>
    </row>
    <row r="14268" spans="1:14" x14ac:dyDescent="0.15">
      <c r="A14268" s="23" t="str">
        <f>HYPERLINK("https://www.spark-marketing.ru/Card/Person/55235", "УПРАВЛЕНИЕ МВД РОССИИ ПО ГОРОДУ НАБЕРЕЖНЫЕ ЧЕЛНЫ")</f>
        <v>УПРАВЛЕНИЕ МВД РОССИИ ПО ГОРОДУ НАБЕРЕЖНЫЕ ЧЕЛНЫ</v>
      </c>
      <c r="B14268" s="24" t="s">
        <v>13361</v>
      </c>
      <c r="C14268" s="25">
        <v>9400000</v>
      </c>
      <c r="D14268" s="22" t="s">
        <v>18986</v>
      </c>
      <c r="E14268" s="22" t="s">
        <v>48</v>
      </c>
      <c r="F14268" s="23" t="str">
        <f>HYPERLINK("https://www.spark-marketing.ru/Card/Lot/71902635", "Оказать услуги по организации готового питания лиц, содержащихся в изоляторе временного содержания, специальном приемнике для административно-арестованных лиц и лиц , задержанных за совершение административных правонарушений, содержащихся в дежурных ...")</f>
        <v>Оказать услуги по организации готового питания лиц, содержащихся в изоляторе временного содержания, специальном приемнике для административно-арестованных лиц и лиц , задержанных за совершение административных правонарушений, содержащихся в дежурных ...</v>
      </c>
      <c r="G14268" s="22" t="s">
        <v>217</v>
      </c>
      <c r="H14268" s="22" t="s">
        <v>1998</v>
      </c>
      <c r="I14268" s="26">
        <v>43650.392303240696</v>
      </c>
      <c r="J14268" s="28" t="s">
        <v>51</v>
      </c>
      <c r="K14268" s="28" t="s">
        <v>51</v>
      </c>
      <c r="L14268" s="28" t="s">
        <v>51</v>
      </c>
      <c r="M14268" s="28" t="s">
        <v>51</v>
      </c>
      <c r="N14268" s="28" t="s">
        <v>51</v>
      </c>
    </row>
    <row r="14269" spans="1:14" hidden="1" outlineLevel="1" x14ac:dyDescent="0.2">
      <c r="A14269" s="23" t="str">
        <f>HYPERLINK("https://www.spark-marketing.ru/Card/Person/55235", "УПРАВЛЕНИЕ МВД РОССИИ ПО ГОРОДУ НАБЕРЕЖНЫЕ ЧЕЛНЫ")</f>
        <v>УПРАВЛЕНИЕ МВД РОССИИ ПО ГОРОДУ НАБЕРЕЖНЫЕ ЧЕЛНЫ</v>
      </c>
      <c r="B14269" s="24" t="s">
        <v>13361</v>
      </c>
      <c r="C14269" s="25">
        <v>9400000</v>
      </c>
      <c r="D14269" s="22" t="s">
        <v>18986</v>
      </c>
      <c r="E14269" s="22" t="s">
        <v>48</v>
      </c>
      <c r="F14269" s="23" t="str">
        <f>HYPERLINK("https://www.spark-marketing.ru/Card/Lot/71902635", "Оказать услуги по организации готового питания лиц, содержащихся в изоляторе временного содержания, специальном приемнике для административно-арестованных лиц и лиц , задержанных за совершение административных правонарушений, содержащихся в дежурных ...")</f>
        <v>Оказать услуги по организации готового питания лиц, содержащихся в изоляторе временного содержания, специальном приемнике для административно-арестованных лиц и лиц , задержанных за совершение административных правонарушений, содержащихся в дежурных ...</v>
      </c>
      <c r="G14269" s="22" t="s">
        <v>217</v>
      </c>
      <c r="H14269" s="22" t="s">
        <v>1998</v>
      </c>
      <c r="I14269" s="26">
        <v>43650.392303240696</v>
      </c>
      <c r="J14269" s="23" t="str">
        <f>HYPERLINK("https://www.spark-marketing.ru/Card/Person/6084653", "ООО ""ВИТАРА""")</f>
        <v>ООО "ВИТАРА"</v>
      </c>
      <c r="K14269" s="24" t="s">
        <v>2437</v>
      </c>
      <c r="L14269" s="28" t="s">
        <v>51</v>
      </c>
      <c r="M14269" s="25">
        <v>18059.8</v>
      </c>
      <c r="N14269" s="27">
        <v>0.99807874468085112</v>
      </c>
    </row>
    <row r="14270" spans="1:14" ht="12.75" hidden="1" outlineLevel="1" x14ac:dyDescent="0.2">
      <c r="A14270" s="23" t="str">
        <f>HYPERLINK("https://www.spark-marketing.ru/Card/Person/55235", "УПРАВЛЕНИЕ МВД РОССИИ ПО ГОРОДУ НАБЕРЕЖНЫЕ ЧЕЛНЫ")</f>
        <v>УПРАВЛЕНИЕ МВД РОССИИ ПО ГОРОДУ НАБЕРЕЖНЫЕ ЧЕЛНЫ</v>
      </c>
      <c r="B14270" s="24" t="s">
        <v>13361</v>
      </c>
      <c r="C14270" s="25">
        <v>9400000</v>
      </c>
      <c r="D14270" s="22" t="s">
        <v>18986</v>
      </c>
      <c r="E14270" s="22" t="s">
        <v>48</v>
      </c>
      <c r="F14270" s="23" t="str">
        <f>HYPERLINK("https://www.spark-marketing.ru/Card/Lot/71902635", "Оказать услуги по организации готового питания лиц, содержащихся в изоляторе временного содержания, специальном приемнике для административно-арестованных лиц и лиц , задержанных за совершение административных правонарушений, содержащихся в дежурных ...")</f>
        <v>Оказать услуги по организации готового питания лиц, содержащихся в изоляторе временного содержания, специальном приемнике для административно-арестованных лиц и лиц , задержанных за совершение административных правонарушений, содержащихся в дежурных ...</v>
      </c>
      <c r="G14270" s="22" t="s">
        <v>217</v>
      </c>
      <c r="H14270" s="22" t="s">
        <v>1998</v>
      </c>
      <c r="I14270" s="26">
        <v>43650.392303240696</v>
      </c>
      <c r="J14270" s="23" t="str">
        <f>HYPERLINK("https://www.spark-marketing.ru/Card/Person/234213", "ООО ""НИГМА""")</f>
        <v>ООО "НИГМА"</v>
      </c>
      <c r="K14270" s="24" t="s">
        <v>1999</v>
      </c>
      <c r="L14270" s="22" t="s">
        <v>10</v>
      </c>
      <c r="M14270" s="25">
        <v>17952.3</v>
      </c>
      <c r="N14270" s="27">
        <v>0.99809018085106382</v>
      </c>
    </row>
    <row r="14271" spans="1:14" x14ac:dyDescent="0.15">
      <c r="A14271" s="23" t="str">
        <f>HYPERLINK("https://www.spark-marketing.ru/Card/Person/330005", "Нововоронежская АЭС - филиал АО ""Концерн Росэнергоатом""")</f>
        <v>Нововоронежская АЭС - филиал АО "Концерн Росэнергоатом"</v>
      </c>
      <c r="B14271" s="24" t="s">
        <v>908</v>
      </c>
      <c r="C14271" s="28" t="s">
        <v>51</v>
      </c>
      <c r="D14271" s="22" t="s">
        <v>18987</v>
      </c>
      <c r="E14271" s="22" t="s">
        <v>96</v>
      </c>
      <c r="F14271" s="23" t="str">
        <f>HYPERLINK("https://www.spark-marketing.ru/Card/Lot/71887229", "Оказание услуг по организации питания участников мероприятий, проживающих в санатории-профилактории «Энергетик»")</f>
        <v>Оказание услуг по организации питания участников мероприятий, проживающих в санатории-профилактории «Энергетик»</v>
      </c>
      <c r="G14271" s="22" t="s">
        <v>56</v>
      </c>
      <c r="H14271" s="22" t="s">
        <v>56</v>
      </c>
      <c r="I14271" s="26">
        <v>43650.410289351901</v>
      </c>
      <c r="J14271" s="28" t="s">
        <v>51</v>
      </c>
      <c r="K14271" s="28" t="s">
        <v>51</v>
      </c>
      <c r="L14271" s="28" t="s">
        <v>51</v>
      </c>
      <c r="M14271" s="28" t="s">
        <v>51</v>
      </c>
      <c r="N14271" s="28" t="s">
        <v>51</v>
      </c>
    </row>
    <row r="14272" spans="1:14" x14ac:dyDescent="0.15">
      <c r="A14272" s="23" t="str">
        <f>HYPERLINK("https://www.spark-marketing.ru/Card/Person/6450322", "ЗАКАЗЧИК РП БЕЛАРУСЬ")</f>
        <v>ЗАКАЗЧИК РП БЕЛАРУСЬ</v>
      </c>
      <c r="B14272" s="28" t="s">
        <v>51</v>
      </c>
      <c r="C14272" s="28" t="s">
        <v>51</v>
      </c>
      <c r="D14272" s="22" t="s">
        <v>18988</v>
      </c>
      <c r="E14272" s="22" t="s">
        <v>52</v>
      </c>
      <c r="F14272" s="23" t="str">
        <f>HYPERLINK("https://www.spark-marketing.ru/Card/Lot/71892703", "Мероприятия(проживание, аренда конференц-зала, питание)")</f>
        <v>Мероприятия(проживание, аренда конференц-зала, питание)</v>
      </c>
      <c r="G14272" s="22" t="s">
        <v>51</v>
      </c>
      <c r="H14272" s="22" t="s">
        <v>51</v>
      </c>
      <c r="I14272" s="26">
        <v>43650</v>
      </c>
      <c r="J14272" s="28" t="s">
        <v>51</v>
      </c>
      <c r="K14272" s="28" t="s">
        <v>51</v>
      </c>
      <c r="L14272" s="28" t="s">
        <v>51</v>
      </c>
      <c r="M14272" s="28" t="s">
        <v>51</v>
      </c>
      <c r="N14272" s="28" t="s">
        <v>51</v>
      </c>
    </row>
    <row r="14273" spans="1:14" x14ac:dyDescent="0.15">
      <c r="A14273" s="23" t="str">
        <f>HYPERLINK("https://www.spark-marketing.ru/Card/Person/6450322", "ЗАКАЗЧИК РП БЕЛАРУСЬ")</f>
        <v>ЗАКАЗЧИК РП БЕЛАРУСЬ</v>
      </c>
      <c r="B14273" s="28" t="s">
        <v>51</v>
      </c>
      <c r="C14273" s="28" t="s">
        <v>51</v>
      </c>
      <c r="D14273" s="22" t="s">
        <v>18989</v>
      </c>
      <c r="E14273" s="22" t="s">
        <v>52</v>
      </c>
      <c r="F14273" s="23" t="str">
        <f>HYPERLINK("https://www.spark-marketing.ru/Card/Lot/71890080", "Мероприятие(проживание, питание)")</f>
        <v>Мероприятие(проживание, питание)</v>
      </c>
      <c r="G14273" s="22" t="s">
        <v>51</v>
      </c>
      <c r="H14273" s="22" t="s">
        <v>51</v>
      </c>
      <c r="I14273" s="26">
        <v>43650</v>
      </c>
      <c r="J14273" s="28" t="s">
        <v>51</v>
      </c>
      <c r="K14273" s="28" t="s">
        <v>51</v>
      </c>
      <c r="L14273" s="28" t="s">
        <v>51</v>
      </c>
      <c r="M14273" s="28" t="s">
        <v>51</v>
      </c>
      <c r="N14273" s="28" t="s">
        <v>51</v>
      </c>
    </row>
    <row r="14274" spans="1:14" x14ac:dyDescent="0.15">
      <c r="A14274" s="23" t="str">
        <f>HYPERLINK("https://www.spark-marketing.ru/Card/Person/6450322", "ЗАКАЗЧИК РП БЕЛАРУСЬ")</f>
        <v>ЗАКАЗЧИК РП БЕЛАРУСЬ</v>
      </c>
      <c r="B14274" s="28" t="s">
        <v>51</v>
      </c>
      <c r="C14274" s="28" t="s">
        <v>51</v>
      </c>
      <c r="D14274" s="22" t="s">
        <v>18990</v>
      </c>
      <c r="E14274" s="22" t="s">
        <v>52</v>
      </c>
      <c r="F14274" s="23" t="str">
        <f>HYPERLINK("https://www.spark-marketing.ru/Card/Lot/71892702", "Мероприятие(проживание, аренда конференц-зала, питание)")</f>
        <v>Мероприятие(проживание, аренда конференц-зала, питание)</v>
      </c>
      <c r="G14274" s="22" t="s">
        <v>51</v>
      </c>
      <c r="H14274" s="22" t="s">
        <v>51</v>
      </c>
      <c r="I14274" s="26">
        <v>43650</v>
      </c>
      <c r="J14274" s="28" t="s">
        <v>51</v>
      </c>
      <c r="K14274" s="28" t="s">
        <v>51</v>
      </c>
      <c r="L14274" s="28" t="s">
        <v>51</v>
      </c>
      <c r="M14274" s="28" t="s">
        <v>51</v>
      </c>
      <c r="N14274" s="28" t="s">
        <v>51</v>
      </c>
    </row>
    <row r="14275" spans="1:14" x14ac:dyDescent="0.2">
      <c r="A14275" s="23" t="s">
        <v>114</v>
      </c>
      <c r="B14275" s="28" t="s">
        <v>51</v>
      </c>
      <c r="C14275" s="25">
        <v>167728980</v>
      </c>
      <c r="D14275" s="22" t="s">
        <v>18991</v>
      </c>
      <c r="E14275" s="22" t="s">
        <v>362</v>
      </c>
      <c r="F14275" s="23" t="str">
        <f t="shared" ref="F14275:F14282" si="477">HYPERLINK("https://www.spark-marketing.ru/Card/Lot/71875802", "Оказание услуги по обеспечению питанием обучающихся")</f>
        <v>Оказание услуги по обеспечению питанием обучающихся</v>
      </c>
      <c r="G14275" s="22" t="s">
        <v>51</v>
      </c>
      <c r="H14275" s="22" t="s">
        <v>51</v>
      </c>
      <c r="I14275" s="26">
        <v>43649.838888888902</v>
      </c>
      <c r="J14275" s="28" t="s">
        <v>51</v>
      </c>
      <c r="K14275" s="28" t="s">
        <v>51</v>
      </c>
      <c r="L14275" s="28" t="s">
        <v>51</v>
      </c>
      <c r="M14275" s="25">
        <v>164684750</v>
      </c>
      <c r="N14275" s="27">
        <v>1.8149696015560341E-2</v>
      </c>
    </row>
    <row r="14276" spans="1:14" hidden="1" outlineLevel="1" x14ac:dyDescent="0.2">
      <c r="A14276" s="23" t="str">
        <f>HYPERLINK("https://www.spark-marketing.ru/Card/Person/1761714", "МАОУ ГИМНАЗИЯ № 16 ГОРОДА ТЮМЕНИ")</f>
        <v>МАОУ ГИМНАЗИЯ № 16 ГОРОДА ТЮМЕНИ</v>
      </c>
      <c r="B14276" s="24" t="s">
        <v>18992</v>
      </c>
      <c r="C14276" s="25">
        <v>39344680</v>
      </c>
      <c r="D14276" s="22" t="s">
        <v>18991</v>
      </c>
      <c r="E14276" s="22" t="s">
        <v>362</v>
      </c>
      <c r="F14276" s="23" t="str">
        <f t="shared" si="477"/>
        <v>Оказание услуги по обеспечению питанием обучающихся</v>
      </c>
      <c r="G14276" s="22" t="s">
        <v>766</v>
      </c>
      <c r="H14276" s="22" t="s">
        <v>1028</v>
      </c>
      <c r="I14276" s="26">
        <v>43649.838888888902</v>
      </c>
      <c r="J14276" s="28" t="s">
        <v>51</v>
      </c>
      <c r="K14276" s="28" t="s">
        <v>51</v>
      </c>
      <c r="L14276" s="28" t="s">
        <v>51</v>
      </c>
      <c r="M14276" s="28" t="s">
        <v>51</v>
      </c>
      <c r="N14276" s="27">
        <v>1.8149696015560341E-2</v>
      </c>
    </row>
    <row r="14277" spans="1:14" hidden="1" outlineLevel="1" x14ac:dyDescent="0.2">
      <c r="A14277" s="23" t="str">
        <f>HYPERLINK("https://www.spark-marketing.ru/Card/Person/1762199", "МАОУ СОШ №27 ГОРОДА ТЮМЕНИ")</f>
        <v>МАОУ СОШ №27 ГОРОДА ТЮМЕНИ</v>
      </c>
      <c r="B14277" s="24" t="s">
        <v>18993</v>
      </c>
      <c r="C14277" s="25">
        <v>35248450</v>
      </c>
      <c r="D14277" s="22" t="s">
        <v>18991</v>
      </c>
      <c r="E14277" s="22" t="s">
        <v>362</v>
      </c>
      <c r="F14277" s="23" t="str">
        <f t="shared" si="477"/>
        <v>Оказание услуги по обеспечению питанием обучающихся</v>
      </c>
      <c r="G14277" s="22" t="s">
        <v>766</v>
      </c>
      <c r="H14277" s="22" t="s">
        <v>1028</v>
      </c>
      <c r="I14277" s="26">
        <v>43649.838888888902</v>
      </c>
      <c r="J14277" s="28" t="s">
        <v>51</v>
      </c>
      <c r="K14277" s="28" t="s">
        <v>51</v>
      </c>
      <c r="L14277" s="28" t="s">
        <v>51</v>
      </c>
      <c r="M14277" s="28" t="s">
        <v>51</v>
      </c>
      <c r="N14277" s="27">
        <v>1.8149696015560341E-2</v>
      </c>
    </row>
    <row r="14278" spans="1:14" hidden="1" outlineLevel="1" x14ac:dyDescent="0.2">
      <c r="A14278" s="23" t="str">
        <f>HYPERLINK("https://www.spark-marketing.ru/Card/Person/1765165", "МАОУ ГИМНАЗИЯ №5 ГОРОДА ТЮМЕНИ")</f>
        <v>МАОУ ГИМНАЗИЯ №5 ГОРОДА ТЮМЕНИ</v>
      </c>
      <c r="B14278" s="24" t="s">
        <v>18994</v>
      </c>
      <c r="C14278" s="25">
        <v>9016740</v>
      </c>
      <c r="D14278" s="22" t="s">
        <v>18991</v>
      </c>
      <c r="E14278" s="22" t="s">
        <v>362</v>
      </c>
      <c r="F14278" s="23" t="str">
        <f t="shared" si="477"/>
        <v>Оказание услуги по обеспечению питанием обучающихся</v>
      </c>
      <c r="G14278" s="22" t="s">
        <v>766</v>
      </c>
      <c r="H14278" s="22" t="s">
        <v>1028</v>
      </c>
      <c r="I14278" s="26">
        <v>43649.838888888902</v>
      </c>
      <c r="J14278" s="28" t="s">
        <v>51</v>
      </c>
      <c r="K14278" s="28" t="s">
        <v>51</v>
      </c>
      <c r="L14278" s="28" t="s">
        <v>51</v>
      </c>
      <c r="M14278" s="28" t="s">
        <v>51</v>
      </c>
      <c r="N14278" s="27">
        <v>1.8149696015560341E-2</v>
      </c>
    </row>
    <row r="14279" spans="1:14" hidden="1" outlineLevel="1" x14ac:dyDescent="0.2">
      <c r="A14279" s="23" t="str">
        <f>HYPERLINK("https://www.spark-marketing.ru/Card/Person/2386640", "МАОУ СОШ №17 ГОРОДА ТЮМЕНИ")</f>
        <v>МАОУ СОШ №17 ГОРОДА ТЮМЕНИ</v>
      </c>
      <c r="B14279" s="24" t="s">
        <v>18995</v>
      </c>
      <c r="C14279" s="25">
        <v>15667980</v>
      </c>
      <c r="D14279" s="22" t="s">
        <v>18991</v>
      </c>
      <c r="E14279" s="22" t="s">
        <v>362</v>
      </c>
      <c r="F14279" s="23" t="str">
        <f t="shared" si="477"/>
        <v>Оказание услуги по обеспечению питанием обучающихся</v>
      </c>
      <c r="G14279" s="22" t="s">
        <v>766</v>
      </c>
      <c r="H14279" s="22" t="s">
        <v>1028</v>
      </c>
      <c r="I14279" s="26">
        <v>43649.838888888902</v>
      </c>
      <c r="J14279" s="28" t="s">
        <v>51</v>
      </c>
      <c r="K14279" s="28" t="s">
        <v>51</v>
      </c>
      <c r="L14279" s="28" t="s">
        <v>51</v>
      </c>
      <c r="M14279" s="28" t="s">
        <v>51</v>
      </c>
      <c r="N14279" s="27">
        <v>1.8149696015560341E-2</v>
      </c>
    </row>
    <row r="14280" spans="1:14" hidden="1" outlineLevel="1" x14ac:dyDescent="0.2">
      <c r="A14280" s="23" t="str">
        <f>HYPERLINK("https://www.spark-marketing.ru/Card/Person/4368993", "МАОУ СОШ № 68 ГОРОДА ТЮМЕНИ")</f>
        <v>МАОУ СОШ № 68 ГОРОДА ТЮМЕНИ</v>
      </c>
      <c r="B14280" s="24" t="s">
        <v>18996</v>
      </c>
      <c r="C14280" s="25">
        <v>36031570</v>
      </c>
      <c r="D14280" s="22" t="s">
        <v>18991</v>
      </c>
      <c r="E14280" s="22" t="s">
        <v>362</v>
      </c>
      <c r="F14280" s="23" t="str">
        <f t="shared" si="477"/>
        <v>Оказание услуги по обеспечению питанием обучающихся</v>
      </c>
      <c r="G14280" s="22" t="s">
        <v>766</v>
      </c>
      <c r="H14280" s="22" t="s">
        <v>1028</v>
      </c>
      <c r="I14280" s="26">
        <v>43649.838888888902</v>
      </c>
      <c r="J14280" s="28" t="s">
        <v>51</v>
      </c>
      <c r="K14280" s="28" t="s">
        <v>51</v>
      </c>
      <c r="L14280" s="28" t="s">
        <v>51</v>
      </c>
      <c r="M14280" s="28" t="s">
        <v>51</v>
      </c>
      <c r="N14280" s="27">
        <v>1.8149696015560341E-2</v>
      </c>
    </row>
    <row r="14281" spans="1:14" hidden="1" outlineLevel="1" x14ac:dyDescent="0.2">
      <c r="A14281" s="23" t="str">
        <f>HYPERLINK("https://www.spark-marketing.ru/Card/Person/4449207", "МАОУ ГИМНАЗИЯ № 1 ГОРОДА ТЮМЕНИ")</f>
        <v>МАОУ ГИМНАЗИЯ № 1 ГОРОДА ТЮМЕНИ</v>
      </c>
      <c r="B14281" s="24" t="s">
        <v>18997</v>
      </c>
      <c r="C14281" s="25">
        <v>24593630</v>
      </c>
      <c r="D14281" s="22" t="s">
        <v>18991</v>
      </c>
      <c r="E14281" s="22" t="s">
        <v>362</v>
      </c>
      <c r="F14281" s="23" t="str">
        <f t="shared" si="477"/>
        <v>Оказание услуги по обеспечению питанием обучающихся</v>
      </c>
      <c r="G14281" s="22" t="s">
        <v>766</v>
      </c>
      <c r="H14281" s="22" t="s">
        <v>1028</v>
      </c>
      <c r="I14281" s="26">
        <v>43649.838888888902</v>
      </c>
      <c r="J14281" s="28" t="s">
        <v>51</v>
      </c>
      <c r="K14281" s="28" t="s">
        <v>51</v>
      </c>
      <c r="L14281" s="28" t="s">
        <v>51</v>
      </c>
      <c r="M14281" s="28" t="s">
        <v>51</v>
      </c>
      <c r="N14281" s="27">
        <v>1.8149696015560341E-2</v>
      </c>
    </row>
    <row r="14282" spans="1:14" hidden="1" outlineLevel="1" x14ac:dyDescent="0.2">
      <c r="A14282" s="23" t="str">
        <f>HYPERLINK("https://www.spark-marketing.ru/Card/Person/4449807", "МАОУ СОШ №58 ГОРОДА ТЮМЕНИ")</f>
        <v>МАОУ СОШ №58 ГОРОДА ТЮМЕНИ</v>
      </c>
      <c r="B14282" s="24" t="s">
        <v>18998</v>
      </c>
      <c r="C14282" s="25">
        <v>7825930</v>
      </c>
      <c r="D14282" s="22" t="s">
        <v>18991</v>
      </c>
      <c r="E14282" s="22" t="s">
        <v>362</v>
      </c>
      <c r="F14282" s="23" t="str">
        <f t="shared" si="477"/>
        <v>Оказание услуги по обеспечению питанием обучающихся</v>
      </c>
      <c r="G14282" s="22" t="s">
        <v>766</v>
      </c>
      <c r="H14282" s="22" t="s">
        <v>1028</v>
      </c>
      <c r="I14282" s="26">
        <v>43649.838888888902</v>
      </c>
      <c r="J14282" s="28" t="s">
        <v>51</v>
      </c>
      <c r="K14282" s="28" t="s">
        <v>51</v>
      </c>
      <c r="L14282" s="28" t="s">
        <v>51</v>
      </c>
      <c r="M14282" s="28" t="s">
        <v>51</v>
      </c>
      <c r="N14282" s="27">
        <v>1.8149696015560341E-2</v>
      </c>
    </row>
    <row r="14283" spans="1:14" x14ac:dyDescent="0.15">
      <c r="A14283" s="23" t="str">
        <f>HYPERLINK("https://www.spark-marketing.ru/Card/Person/1311017", "МОАУ ""НОШ №75""")</f>
        <v>МОАУ "НОШ №75"</v>
      </c>
      <c r="B14283" s="24" t="s">
        <v>18999</v>
      </c>
      <c r="C14283" s="25">
        <v>281727.59999999998</v>
      </c>
      <c r="D14283" s="22" t="s">
        <v>19000</v>
      </c>
      <c r="E14283" s="22" t="s">
        <v>362</v>
      </c>
      <c r="F14283" s="23" t="str">
        <f>HYPERLINK("https://www.spark-marketing.ru/Card/Lot/71875805", "Питание детей в лагере дневного пребывания")</f>
        <v>Питание детей в лагере дневного пребывания</v>
      </c>
      <c r="G14283" s="22" t="s">
        <v>132</v>
      </c>
      <c r="H14283" s="22" t="s">
        <v>132</v>
      </c>
      <c r="I14283" s="26">
        <v>43649.857789351903</v>
      </c>
      <c r="J14283" s="28" t="s">
        <v>51</v>
      </c>
      <c r="K14283" s="28" t="s">
        <v>51</v>
      </c>
      <c r="L14283" s="28" t="s">
        <v>51</v>
      </c>
      <c r="M14283" s="28" t="s">
        <v>51</v>
      </c>
      <c r="N14283" s="28" t="s">
        <v>51</v>
      </c>
    </row>
    <row r="14284" spans="1:14" x14ac:dyDescent="0.2">
      <c r="A14284" s="23" t="s">
        <v>114</v>
      </c>
      <c r="B14284" s="28" t="s">
        <v>51</v>
      </c>
      <c r="C14284" s="25">
        <v>139876689.5</v>
      </c>
      <c r="D14284" s="22" t="s">
        <v>19001</v>
      </c>
      <c r="E14284" s="22" t="s">
        <v>362</v>
      </c>
      <c r="F14284" s="23" t="str">
        <f t="shared" ref="F14284:F14289" si="478">HYPERLINK("https://www.spark-marketing.ru/Card/Lot/71874654", "Оказание услуги по обеспечению питанием обучающихся")</f>
        <v>Оказание услуги по обеспечению питанием обучающихся</v>
      </c>
      <c r="G14284" s="22" t="s">
        <v>51</v>
      </c>
      <c r="H14284" s="22" t="s">
        <v>51</v>
      </c>
      <c r="I14284" s="26">
        <v>43649.7967824074</v>
      </c>
      <c r="J14284" s="28" t="s">
        <v>51</v>
      </c>
      <c r="K14284" s="28" t="s">
        <v>51</v>
      </c>
      <c r="L14284" s="28" t="s">
        <v>51</v>
      </c>
      <c r="M14284" s="25">
        <v>137201944.55000001</v>
      </c>
      <c r="N14284" s="27">
        <v>1.9122163668307293E-2</v>
      </c>
    </row>
    <row r="14285" spans="1:14" hidden="1" outlineLevel="1" x14ac:dyDescent="0.2">
      <c r="A14285" s="23" t="str">
        <f>HYPERLINK("https://www.spark-marketing.ru/Card/Person/1768960", "МАОУ СОШ №13 ГОРОДА ТЮМЕНИ")</f>
        <v>МАОУ СОШ №13 ГОРОДА ТЮМЕНИ</v>
      </c>
      <c r="B14285" s="24" t="s">
        <v>19002</v>
      </c>
      <c r="C14285" s="25">
        <v>17600142</v>
      </c>
      <c r="D14285" s="22" t="s">
        <v>19001</v>
      </c>
      <c r="E14285" s="22" t="s">
        <v>362</v>
      </c>
      <c r="F14285" s="23" t="str">
        <f t="shared" si="478"/>
        <v>Оказание услуги по обеспечению питанием обучающихся</v>
      </c>
      <c r="G14285" s="22" t="s">
        <v>766</v>
      </c>
      <c r="H14285" s="22" t="s">
        <v>1028</v>
      </c>
      <c r="I14285" s="26">
        <v>43649.7967824074</v>
      </c>
      <c r="J14285" s="28" t="s">
        <v>51</v>
      </c>
      <c r="K14285" s="28" t="s">
        <v>51</v>
      </c>
      <c r="L14285" s="28" t="s">
        <v>51</v>
      </c>
      <c r="M14285" s="28" t="s">
        <v>51</v>
      </c>
      <c r="N14285" s="27">
        <v>1.9122163668307293E-2</v>
      </c>
    </row>
    <row r="14286" spans="1:14" hidden="1" outlineLevel="1" x14ac:dyDescent="0.2">
      <c r="A14286" s="23" t="str">
        <f>HYPERLINK("https://www.spark-marketing.ru/Card/Person/4367102", "МАОУ СОШ №25 Г. ТЮМЕНИ")</f>
        <v>МАОУ СОШ №25 Г. ТЮМЕНИ</v>
      </c>
      <c r="B14286" s="24" t="s">
        <v>19003</v>
      </c>
      <c r="C14286" s="25">
        <v>23218514.449999999</v>
      </c>
      <c r="D14286" s="22" t="s">
        <v>19001</v>
      </c>
      <c r="E14286" s="22" t="s">
        <v>362</v>
      </c>
      <c r="F14286" s="23" t="str">
        <f t="shared" si="478"/>
        <v>Оказание услуги по обеспечению питанием обучающихся</v>
      </c>
      <c r="G14286" s="22" t="s">
        <v>766</v>
      </c>
      <c r="H14286" s="22" t="s">
        <v>1028</v>
      </c>
      <c r="I14286" s="26">
        <v>43649.7967824074</v>
      </c>
      <c r="J14286" s="28" t="s">
        <v>51</v>
      </c>
      <c r="K14286" s="28" t="s">
        <v>51</v>
      </c>
      <c r="L14286" s="28" t="s">
        <v>51</v>
      </c>
      <c r="M14286" s="28" t="s">
        <v>51</v>
      </c>
      <c r="N14286" s="27">
        <v>1.9122163668307293E-2</v>
      </c>
    </row>
    <row r="14287" spans="1:14" hidden="1" outlineLevel="1" x14ac:dyDescent="0.2">
      <c r="A14287" s="23" t="str">
        <f>HYPERLINK("https://www.spark-marketing.ru/Card/Person/4367188", "МАОУ СОШ № 69 ГОРОДА ТЮМЕНИ")</f>
        <v>МАОУ СОШ № 69 ГОРОДА ТЮМЕНИ</v>
      </c>
      <c r="B14287" s="24" t="s">
        <v>19004</v>
      </c>
      <c r="C14287" s="25">
        <v>45089160.5</v>
      </c>
      <c r="D14287" s="22" t="s">
        <v>19001</v>
      </c>
      <c r="E14287" s="22" t="s">
        <v>362</v>
      </c>
      <c r="F14287" s="23" t="str">
        <f t="shared" si="478"/>
        <v>Оказание услуги по обеспечению питанием обучающихся</v>
      </c>
      <c r="G14287" s="22" t="s">
        <v>766</v>
      </c>
      <c r="H14287" s="22" t="s">
        <v>1028</v>
      </c>
      <c r="I14287" s="26">
        <v>43649.7967824074</v>
      </c>
      <c r="J14287" s="28" t="s">
        <v>51</v>
      </c>
      <c r="K14287" s="28" t="s">
        <v>51</v>
      </c>
      <c r="L14287" s="28" t="s">
        <v>51</v>
      </c>
      <c r="M14287" s="28" t="s">
        <v>51</v>
      </c>
      <c r="N14287" s="27">
        <v>1.9122163668307293E-2</v>
      </c>
    </row>
    <row r="14288" spans="1:14" hidden="1" outlineLevel="1" x14ac:dyDescent="0.2">
      <c r="A14288" s="23" t="str">
        <f>HYPERLINK("https://www.spark-marketing.ru/Card/Person/4434539", "МАОУ СОШ №38 ГОРОДА ТЮМЕНИ")</f>
        <v>МАОУ СОШ №38 ГОРОДА ТЮМЕНИ</v>
      </c>
      <c r="B14288" s="24" t="s">
        <v>19005</v>
      </c>
      <c r="C14288" s="25">
        <v>21890803.350000001</v>
      </c>
      <c r="D14288" s="22" t="s">
        <v>19001</v>
      </c>
      <c r="E14288" s="22" t="s">
        <v>362</v>
      </c>
      <c r="F14288" s="23" t="str">
        <f t="shared" si="478"/>
        <v>Оказание услуги по обеспечению питанием обучающихся</v>
      </c>
      <c r="G14288" s="22" t="s">
        <v>766</v>
      </c>
      <c r="H14288" s="22" t="s">
        <v>1028</v>
      </c>
      <c r="I14288" s="26">
        <v>43649.7967824074</v>
      </c>
      <c r="J14288" s="28" t="s">
        <v>51</v>
      </c>
      <c r="K14288" s="28" t="s">
        <v>51</v>
      </c>
      <c r="L14288" s="28" t="s">
        <v>51</v>
      </c>
      <c r="M14288" s="28" t="s">
        <v>51</v>
      </c>
      <c r="N14288" s="27">
        <v>1.9122163668307293E-2</v>
      </c>
    </row>
    <row r="14289" spans="1:14" hidden="1" outlineLevel="1" x14ac:dyDescent="0.2">
      <c r="A14289" s="23" t="str">
        <f>HYPERLINK("https://www.spark-marketing.ru/Card/Person/4434938", "МАОУ СОШ №89 ГОРОДА ТЮМЕНИ")</f>
        <v>МАОУ СОШ №89 ГОРОДА ТЮМЕНИ</v>
      </c>
      <c r="B14289" s="24" t="s">
        <v>19006</v>
      </c>
      <c r="C14289" s="25">
        <v>32078069.199999999</v>
      </c>
      <c r="D14289" s="22" t="s">
        <v>19001</v>
      </c>
      <c r="E14289" s="22" t="s">
        <v>362</v>
      </c>
      <c r="F14289" s="23" t="str">
        <f t="shared" si="478"/>
        <v>Оказание услуги по обеспечению питанием обучающихся</v>
      </c>
      <c r="G14289" s="22" t="s">
        <v>766</v>
      </c>
      <c r="H14289" s="22" t="s">
        <v>1028</v>
      </c>
      <c r="I14289" s="26">
        <v>43649.7967824074</v>
      </c>
      <c r="J14289" s="28" t="s">
        <v>51</v>
      </c>
      <c r="K14289" s="28" t="s">
        <v>51</v>
      </c>
      <c r="L14289" s="28" t="s">
        <v>51</v>
      </c>
      <c r="M14289" s="28" t="s">
        <v>51</v>
      </c>
      <c r="N14289" s="27">
        <v>1.9122163668307293E-2</v>
      </c>
    </row>
    <row r="14290" spans="1:14" x14ac:dyDescent="0.15">
      <c r="A14290" s="23" t="str">
        <f>HYPERLINK("https://www.spark-marketing.ru/Card/Person/22935", "КБГУ, КАБАРДИНО-БАЛКАРСКИЙ ГОСУДАРСТВЕННЫЙ УНИВЕРСИТЕТ ИМ. Х. М. БЕРБЕКОВА")</f>
        <v>КБГУ, КАБАРДИНО-БАЛКАРСКИЙ ГОСУДАРСТВЕННЫЙ УНИВЕРСИТЕТ ИМ. Х. М. БЕРБЕКОВА</v>
      </c>
      <c r="B14290" s="24" t="s">
        <v>1200</v>
      </c>
      <c r="C14290" s="25">
        <v>497016</v>
      </c>
      <c r="D14290" s="22" t="s">
        <v>19007</v>
      </c>
      <c r="E14290" s="22" t="s">
        <v>362</v>
      </c>
      <c r="F14290" s="23" t="str">
        <f>HYPERLINK("https://www.spark-marketing.ru/Card/Lot/71875702", "Услуги по организации питания комплекса мероприятий")</f>
        <v>Услуги по организации питания комплекса мероприятий</v>
      </c>
      <c r="G14290" s="22" t="s">
        <v>986</v>
      </c>
      <c r="H14290" s="22" t="s">
        <v>986</v>
      </c>
      <c r="I14290" s="26">
        <v>43649.751608796301</v>
      </c>
      <c r="J14290" s="28" t="s">
        <v>51</v>
      </c>
      <c r="K14290" s="28" t="s">
        <v>51</v>
      </c>
      <c r="L14290" s="28" t="s">
        <v>51</v>
      </c>
      <c r="M14290" s="28" t="s">
        <v>51</v>
      </c>
      <c r="N14290" s="28" t="s">
        <v>51</v>
      </c>
    </row>
    <row r="14291" spans="1:14" x14ac:dyDescent="0.2">
      <c r="A14291" s="23" t="str">
        <f>HYPERLINK("https://www.spark-marketing.ru/Card/Person/1359915", "МАОУ ""СОШ № 76""")</f>
        <v>МАОУ "СОШ № 76"</v>
      </c>
      <c r="B14291" s="24" t="s">
        <v>19008</v>
      </c>
      <c r="C14291" s="25">
        <v>998474.8</v>
      </c>
      <c r="D14291" s="22" t="s">
        <v>19009</v>
      </c>
      <c r="E14291" s="22" t="s">
        <v>362</v>
      </c>
      <c r="F14291" s="23" t="str">
        <f>HYPERLINK("https://www.spark-marketing.ru/Card/Lot/71868811", "Оказание услуг по организации питания воспитанников МАОУ «СОШ №76»")</f>
        <v>Оказание услуг по организации питания воспитанников МАОУ «СОШ №76»</v>
      </c>
      <c r="G14291" s="22" t="s">
        <v>149</v>
      </c>
      <c r="H14291" s="22" t="s">
        <v>149</v>
      </c>
      <c r="I14291" s="26">
        <v>43649.770486111098</v>
      </c>
      <c r="J14291" s="28" t="s">
        <v>51</v>
      </c>
      <c r="K14291" s="28" t="s">
        <v>51</v>
      </c>
      <c r="L14291" s="22" t="s">
        <v>10</v>
      </c>
      <c r="M14291" s="25">
        <v>945600</v>
      </c>
      <c r="N14291" s="27">
        <v>5.2955567832057453E-2</v>
      </c>
    </row>
    <row r="14292" spans="1:14" x14ac:dyDescent="0.15">
      <c r="A14292" s="23" t="str">
        <f>HYPERLINK("https://www.spark-marketing.ru/Card/Person/22935", "КБГУ, КАБАРДИНО-БАЛКАРСКИЙ ГОСУДАРСТВЕННЫЙ УНИВЕРСИТЕТ ИМ. Х. М. БЕРБЕКОВА")</f>
        <v>КБГУ, КАБАРДИНО-БАЛКАРСКИЙ ГОСУДАРСТВЕННЫЙ УНИВЕРСИТЕТ ИМ. Х. М. БЕРБЕКОВА</v>
      </c>
      <c r="B14292" s="24" t="s">
        <v>1200</v>
      </c>
      <c r="C14292" s="25">
        <v>417152</v>
      </c>
      <c r="D14292" s="22" t="s">
        <v>19010</v>
      </c>
      <c r="E14292" s="22" t="s">
        <v>362</v>
      </c>
      <c r="F14292" s="23" t="str">
        <f>HYPERLINK("https://www.spark-marketing.ru/Card/Lot/71875791", "Услуги по организации питания комплекса мероприятий")</f>
        <v>Услуги по организации питания комплекса мероприятий</v>
      </c>
      <c r="G14292" s="22" t="s">
        <v>986</v>
      </c>
      <c r="H14292" s="22" t="s">
        <v>986</v>
      </c>
      <c r="I14292" s="26">
        <v>43649.7487847222</v>
      </c>
      <c r="J14292" s="28" t="s">
        <v>51</v>
      </c>
      <c r="K14292" s="28" t="s">
        <v>51</v>
      </c>
      <c r="L14292" s="28" t="s">
        <v>51</v>
      </c>
      <c r="M14292" s="28" t="s">
        <v>51</v>
      </c>
      <c r="N14292" s="28" t="s">
        <v>51</v>
      </c>
    </row>
    <row r="14293" spans="1:14" x14ac:dyDescent="0.15">
      <c r="A14293" s="23" t="str">
        <f>HYPERLINK("https://www.spark-marketing.ru/Card/Person/12665", "КГБУЗ ""НОРИЛЬСКАЯ МБ № 1""")</f>
        <v>КГБУЗ "НОРИЛЬСКАЯ МБ № 1"</v>
      </c>
      <c r="B14293" s="24" t="s">
        <v>19011</v>
      </c>
      <c r="C14293" s="25">
        <v>261520</v>
      </c>
      <c r="D14293" s="22" t="s">
        <v>19012</v>
      </c>
      <c r="E14293" s="22" t="s">
        <v>513</v>
      </c>
      <c r="F14293" s="23" t="str">
        <f>HYPERLINK("https://www.spark-marketing.ru/Card/Lot/71877299", "Оказание услуг по предоставлению пользовательских прав на получение обновлений программного продукта «Парус-Бюджет 7» на условиях простой (неисключительной) лицензии")</f>
        <v>Оказание услуг по предоставлению пользовательских прав на получение обновлений программного продукта «Парус-Бюджет 7» на условиях простой (неисключительной) лицензии</v>
      </c>
      <c r="G14293" s="22" t="s">
        <v>281</v>
      </c>
      <c r="H14293" s="22" t="s">
        <v>281</v>
      </c>
      <c r="I14293" s="26">
        <v>43649.708333333299</v>
      </c>
      <c r="J14293" s="23" t="str">
        <f>HYPERLINK("https://www.spark-marketing.ru/Card/Person/6509846", "Набоких Марк Андреевич")</f>
        <v>Набоких Марк Андреевич</v>
      </c>
      <c r="K14293" s="24" t="s">
        <v>19013</v>
      </c>
      <c r="L14293" s="22" t="s">
        <v>10</v>
      </c>
      <c r="M14293" s="28" t="s">
        <v>51</v>
      </c>
      <c r="N14293" s="28" t="s">
        <v>51</v>
      </c>
    </row>
    <row r="14294" spans="1:14" x14ac:dyDescent="0.15">
      <c r="A14294" s="23" t="str">
        <f>HYPERLINK("https://www.spark-marketing.ru/Card/Person/4361", "ФГБУ ""МОРСПАССЛУЖБА""")</f>
        <v>ФГБУ "МОРСПАССЛУЖБА"</v>
      </c>
      <c r="B14294" s="24" t="s">
        <v>18939</v>
      </c>
      <c r="C14294" s="25">
        <v>739323.33</v>
      </c>
      <c r="D14294" s="22" t="s">
        <v>19014</v>
      </c>
      <c r="E14294" s="22" t="s">
        <v>362</v>
      </c>
      <c r="F14294" s="23" t="str">
        <f>HYPERLINK("https://www.spark-marketing.ru/Card/Lot/71874964", "Оказание услуг по организации питания обучающихся")</f>
        <v>Оказание услуг по организации питания обучающихся</v>
      </c>
      <c r="G14294" s="22" t="s">
        <v>56</v>
      </c>
      <c r="H14294" s="22" t="s">
        <v>56</v>
      </c>
      <c r="I14294" s="26">
        <v>43649.740914351903</v>
      </c>
      <c r="J14294" s="28" t="s">
        <v>51</v>
      </c>
      <c r="K14294" s="28" t="s">
        <v>51</v>
      </c>
      <c r="L14294" s="22" t="s">
        <v>10</v>
      </c>
      <c r="M14294" s="28" t="s">
        <v>51</v>
      </c>
      <c r="N14294" s="28" t="s">
        <v>51</v>
      </c>
    </row>
    <row r="14295" spans="1:14" x14ac:dyDescent="0.15">
      <c r="A14295" s="23" t="str">
        <f>HYPERLINK("https://www.spark-marketing.ru/Card/Person/1087150", "МАОУ ""СОШ № 40""")</f>
        <v>МАОУ "СОШ № 40"</v>
      </c>
      <c r="B14295" s="24" t="s">
        <v>17670</v>
      </c>
      <c r="C14295" s="25">
        <v>11394487</v>
      </c>
      <c r="D14295" s="22" t="s">
        <v>19015</v>
      </c>
      <c r="E14295" s="22" t="s">
        <v>362</v>
      </c>
      <c r="F14295" s="23" t="str">
        <f>HYPERLINK("https://www.spark-marketing.ru/Card/Lot/71874543", "Оказание услуг по организации горячего питания")</f>
        <v>Оказание услуг по организации горячего питания</v>
      </c>
      <c r="G14295" s="22" t="s">
        <v>696</v>
      </c>
      <c r="H14295" s="22" t="s">
        <v>696</v>
      </c>
      <c r="I14295" s="26">
        <v>43649.7324421296</v>
      </c>
      <c r="J14295" s="28" t="s">
        <v>51</v>
      </c>
      <c r="K14295" s="28" t="s">
        <v>51</v>
      </c>
      <c r="L14295" s="28" t="s">
        <v>51</v>
      </c>
      <c r="M14295" s="28" t="s">
        <v>51</v>
      </c>
      <c r="N14295" s="28" t="s">
        <v>51</v>
      </c>
    </row>
    <row r="14296" spans="1:14" x14ac:dyDescent="0.15">
      <c r="A14296" s="23" t="str">
        <f>HYPERLINK("https://www.spark-marketing.ru/Card/Person/1004406", "МАОУ ""СОШ №27 С УИОП""")</f>
        <v>МАОУ "СОШ №27 С УИОП"</v>
      </c>
      <c r="B14296" s="24" t="s">
        <v>17769</v>
      </c>
      <c r="C14296" s="25">
        <v>6887257</v>
      </c>
      <c r="D14296" s="22" t="s">
        <v>19016</v>
      </c>
      <c r="E14296" s="22" t="s">
        <v>362</v>
      </c>
      <c r="F14296" s="23" t="str">
        <f>HYPERLINK("https://www.spark-marketing.ru/Card/Lot/71874521", "Оказание услуг по организации питания детей")</f>
        <v>Оказание услуг по организации питания детей</v>
      </c>
      <c r="G14296" s="22" t="s">
        <v>696</v>
      </c>
      <c r="H14296" s="22" t="s">
        <v>696</v>
      </c>
      <c r="I14296" s="26">
        <v>43649.7246296296</v>
      </c>
      <c r="J14296" s="28" t="s">
        <v>51</v>
      </c>
      <c r="K14296" s="28" t="s">
        <v>51</v>
      </c>
      <c r="L14296" s="28" t="s">
        <v>51</v>
      </c>
      <c r="M14296" s="28" t="s">
        <v>51</v>
      </c>
      <c r="N14296" s="28" t="s">
        <v>51</v>
      </c>
    </row>
    <row r="14297" spans="1:14" x14ac:dyDescent="0.15">
      <c r="A14297" s="23" t="str">
        <f>HYPERLINK("https://www.spark-marketing.ru/Card/Person/95080", "ГБУ КО ПОО ""КИТИС""")</f>
        <v>ГБУ КО ПОО "КИТИС"</v>
      </c>
      <c r="B14297" s="24" t="s">
        <v>19017</v>
      </c>
      <c r="C14297" s="25">
        <v>4500</v>
      </c>
      <c r="D14297" s="22" t="s">
        <v>19018</v>
      </c>
      <c r="E14297" s="22" t="s">
        <v>48</v>
      </c>
      <c r="F14297" s="23" t="str">
        <f>HYPERLINK("https://www.spark-marketing.ru/Card/Lot/71872469", "оказание услуг по организации питания")</f>
        <v>оказание услуг по организации питания</v>
      </c>
      <c r="G14297" s="22" t="s">
        <v>400</v>
      </c>
      <c r="H14297" s="22" t="s">
        <v>401</v>
      </c>
      <c r="I14297" s="26">
        <v>43649.723611111098</v>
      </c>
      <c r="J14297" s="28" t="s">
        <v>51</v>
      </c>
      <c r="K14297" s="28" t="s">
        <v>51</v>
      </c>
      <c r="L14297" s="28" t="s">
        <v>51</v>
      </c>
      <c r="M14297" s="28" t="s">
        <v>51</v>
      </c>
      <c r="N14297" s="28" t="s">
        <v>51</v>
      </c>
    </row>
    <row r="14298" spans="1:14" x14ac:dyDescent="0.15">
      <c r="A14298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14298" s="24" t="s">
        <v>1406</v>
      </c>
      <c r="C14298" s="25">
        <v>500000</v>
      </c>
      <c r="D14298" s="22" t="s">
        <v>19019</v>
      </c>
      <c r="E14298" s="22" t="s">
        <v>15886</v>
      </c>
      <c r="F14298" s="23" t="str">
        <f>HYPERLINK("https://www.spark-marketing.ru/Card/Lot/71867672", "Оказание услуг по организации участия гостей и обучающихся НГУ в различных мероприятиях научно-образовательного, общекультурного, спортивного характера (конференции, семинары, олимпиады, школы, турниры, соревнования, региональные и общероссийские сту...")</f>
        <v>Оказание услуг по организации участия гостей и обучающихся НГУ в различных мероприятиях научно-образовательного, общекультурного, спортивного характера (конференции, семинары, олимпиады, школы, турниры, соревнования, региональные и общероссийские сту...</v>
      </c>
      <c r="G14298" s="22" t="s">
        <v>195</v>
      </c>
      <c r="H14298" s="22" t="s">
        <v>195</v>
      </c>
      <c r="I14298" s="26">
        <v>43649.740983796299</v>
      </c>
      <c r="J14298" s="28" t="s">
        <v>51</v>
      </c>
      <c r="K14298" s="28" t="s">
        <v>51</v>
      </c>
      <c r="L14298" s="28" t="s">
        <v>51</v>
      </c>
      <c r="M14298" s="28" t="s">
        <v>51</v>
      </c>
      <c r="N14298" s="28" t="s">
        <v>51</v>
      </c>
    </row>
    <row r="14299" spans="1:14" x14ac:dyDescent="0.15">
      <c r="A14299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14299" s="24" t="s">
        <v>1406</v>
      </c>
      <c r="C14299" s="25">
        <v>500000</v>
      </c>
      <c r="D14299" s="22" t="s">
        <v>19020</v>
      </c>
      <c r="E14299" s="22" t="s">
        <v>15886</v>
      </c>
      <c r="F14299" s="23" t="str">
        <f>HYPERLINK("https://www.spark-marketing.ru/Card/Lot/71867785", "Оказание услуг по организации участия гостей и обучающихся НГУ в различных мероприятиях научно-образовательного, общекультурного, спортивного характера (конференции, семинары, олимпиады, школы, турниры, соревнования, региональные и общероссийские сту...")</f>
        <v>Оказание услуг по организации участия гостей и обучающихся НГУ в различных мероприятиях научно-образовательного, общекультурного, спортивного характера (конференции, семинары, олимпиады, школы, турниры, соревнования, региональные и общероссийские сту...</v>
      </c>
      <c r="G14299" s="22" t="s">
        <v>195</v>
      </c>
      <c r="H14299" s="22" t="s">
        <v>195</v>
      </c>
      <c r="I14299" s="26">
        <v>43649.741435185198</v>
      </c>
      <c r="J14299" s="28" t="s">
        <v>51</v>
      </c>
      <c r="K14299" s="28" t="s">
        <v>51</v>
      </c>
      <c r="L14299" s="28" t="s">
        <v>51</v>
      </c>
      <c r="M14299" s="28" t="s">
        <v>51</v>
      </c>
      <c r="N14299" s="28" t="s">
        <v>51</v>
      </c>
    </row>
    <row r="14300" spans="1:14" x14ac:dyDescent="0.15">
      <c r="A14300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14300" s="24" t="s">
        <v>1406</v>
      </c>
      <c r="C14300" s="25">
        <v>500000</v>
      </c>
      <c r="D14300" s="22" t="s">
        <v>19021</v>
      </c>
      <c r="E14300" s="22" t="s">
        <v>15886</v>
      </c>
      <c r="F14300" s="23" t="str">
        <f>HYPERLINK("https://www.spark-marketing.ru/Card/Lot/71867786", "Оказание услуг по организации участия гостей и обучающихся НГУ в различных мероприятиях научно-образовательного, общекультурного, спортивного характера (конференции, семинары, олимпиады, школы, турниры, соревнования, региональные и общероссийские сту...")</f>
        <v>Оказание услуг по организации участия гостей и обучающихся НГУ в различных мероприятиях научно-образовательного, общекультурного, спортивного характера (конференции, семинары, олимпиады, школы, турниры, соревнования, региональные и общероссийские сту...</v>
      </c>
      <c r="G14300" s="22" t="s">
        <v>195</v>
      </c>
      <c r="H14300" s="22" t="s">
        <v>195</v>
      </c>
      <c r="I14300" s="26">
        <v>43649.7417824074</v>
      </c>
      <c r="J14300" s="28" t="s">
        <v>51</v>
      </c>
      <c r="K14300" s="28" t="s">
        <v>51</v>
      </c>
      <c r="L14300" s="28" t="s">
        <v>51</v>
      </c>
      <c r="M14300" s="28" t="s">
        <v>51</v>
      </c>
      <c r="N14300" s="28" t="s">
        <v>51</v>
      </c>
    </row>
    <row r="14301" spans="1:14" x14ac:dyDescent="0.15">
      <c r="A14301" s="23" t="str">
        <f>HYPERLINK("https://www.spark-marketing.ru/Card/Person/1732440", "ООО ""РТ-КОМПЛЕКТИМПЕКС""")</f>
        <v>ООО "РТ-КОМПЛЕКТИМПЕКС"</v>
      </c>
      <c r="B14301" s="24" t="s">
        <v>5520</v>
      </c>
      <c r="C14301" s="25">
        <v>3000000</v>
      </c>
      <c r="D14301" s="22" t="s">
        <v>19022</v>
      </c>
      <c r="E14301" s="22" t="s">
        <v>580</v>
      </c>
      <c r="F14301" s="23" t="str">
        <f>HYPERLINK("https://www.spark-marketing.ru/Card/Lot/71873967", "1170-2019-00017. Оказание услуг по организации питания для слушателей обучающих мероприятий (обеды)")</f>
        <v>1170-2019-00017. Оказание услуг по организации питания для слушателей обучающих мероприятий (обеды)</v>
      </c>
      <c r="G14301" s="22" t="s">
        <v>56</v>
      </c>
      <c r="H14301" s="22" t="s">
        <v>56</v>
      </c>
      <c r="I14301" s="26">
        <v>43649.698078703703</v>
      </c>
      <c r="J14301" s="28" t="s">
        <v>51</v>
      </c>
      <c r="K14301" s="28" t="s">
        <v>51</v>
      </c>
      <c r="L14301" s="28" t="s">
        <v>51</v>
      </c>
      <c r="M14301" s="28" t="s">
        <v>51</v>
      </c>
      <c r="N14301" s="28" t="s">
        <v>51</v>
      </c>
    </row>
    <row r="14302" spans="1:14" x14ac:dyDescent="0.2">
      <c r="A14302" s="23" t="str">
        <f>HYPERLINK("https://www.spark-marketing.ru/Card/Person/171890", "АО ""ГОСТИНИЧНЫЙ КОМПЛЕКС ""СЛАВЯНКА""")</f>
        <v>АО "ГОСТИНИЧНЫЙ КОМПЛЕКС "СЛАВЯНКА"</v>
      </c>
      <c r="B14302" s="24" t="s">
        <v>2064</v>
      </c>
      <c r="C14302" s="25">
        <v>508170</v>
      </c>
      <c r="D14302" s="22" t="s">
        <v>19023</v>
      </c>
      <c r="E14302" s="22" t="s">
        <v>573</v>
      </c>
      <c r="F14302" s="23" t="str">
        <f>HYPERLINK("https://www.spark-marketing.ru/Card/Lot/71873484", "Оказание комплекса услуг по организации питания для нужд «Гостиница «Cокол» - филиал открытого акционерного общества «Гостиничный комплекс «Славянка»")</f>
        <v>Оказание комплекса услуг по организации питания для нужд «Гостиница «Cокол» - филиал открытого акционерного общества «Гостиничный комплекс «Славянка»</v>
      </c>
      <c r="G14302" s="22" t="s">
        <v>56</v>
      </c>
      <c r="H14302" s="22" t="s">
        <v>56</v>
      </c>
      <c r="I14302" s="26">
        <v>43649.7046527778</v>
      </c>
      <c r="J14302" s="28" t="s">
        <v>51</v>
      </c>
      <c r="K14302" s="28" t="s">
        <v>51</v>
      </c>
      <c r="L14302" s="22" t="s">
        <v>10</v>
      </c>
      <c r="M14302" s="25">
        <v>508170</v>
      </c>
      <c r="N14302" s="27">
        <v>0</v>
      </c>
    </row>
    <row r="14303" spans="1:14" x14ac:dyDescent="0.15">
      <c r="A14303" s="23" t="str">
        <f>HYPERLINK("https://www.spark-marketing.ru/Card/Person/1080406", "МАОУ ЗАМКОВСКАЯ СОШ")</f>
        <v>МАОУ ЗАМКОВСКАЯ СОШ</v>
      </c>
      <c r="B14303" s="24" t="s">
        <v>8709</v>
      </c>
      <c r="C14303" s="25">
        <v>62475</v>
      </c>
      <c r="D14303" s="22" t="s">
        <v>19024</v>
      </c>
      <c r="E14303" s="22" t="s">
        <v>362</v>
      </c>
      <c r="F14303" s="23" t="str">
        <f>HYPERLINK("https://www.spark-marketing.ru/Card/Lot/71872555", "оказание услуг по организации горячего питания учащихся в пришкольном лагере")</f>
        <v>оказание услуг по организации горячего питания учащихся в пришкольном лагере</v>
      </c>
      <c r="G14303" s="22" t="s">
        <v>400</v>
      </c>
      <c r="H14303" s="22" t="s">
        <v>400</v>
      </c>
      <c r="I14303" s="26">
        <v>43649.6781134259</v>
      </c>
      <c r="J14303" s="28" t="s">
        <v>51</v>
      </c>
      <c r="K14303" s="28" t="s">
        <v>51</v>
      </c>
      <c r="L14303" s="28" t="s">
        <v>51</v>
      </c>
      <c r="M14303" s="28" t="s">
        <v>51</v>
      </c>
      <c r="N14303" s="28" t="s">
        <v>51</v>
      </c>
    </row>
    <row r="14304" spans="1:14" x14ac:dyDescent="0.15">
      <c r="A14304" s="23" t="str">
        <f>HYPERLINK("https://www.spark-marketing.ru/Card/Person/53940", "ГБУЗ ‹‹КБ № 3››")</f>
        <v>ГБУЗ ‹‹КБ № 3››</v>
      </c>
      <c r="B14304" s="24" t="s">
        <v>10241</v>
      </c>
      <c r="C14304" s="25">
        <v>499400</v>
      </c>
      <c r="D14304" s="22" t="s">
        <v>19025</v>
      </c>
      <c r="E14304" s="22" t="s">
        <v>48</v>
      </c>
      <c r="F14304" s="23" t="str">
        <f>HYPERLINK("https://www.spark-marketing.ru/Card/Lot/71877688", "Оказание услуг по организации и доставке горячего лечебного питания")</f>
        <v>Оказание услуг по организации и доставке горячего лечебного питания</v>
      </c>
      <c r="G14304" s="22" t="s">
        <v>104</v>
      </c>
      <c r="H14304" s="22" t="s">
        <v>120</v>
      </c>
      <c r="I14304" s="26">
        <v>43649.706944444399</v>
      </c>
      <c r="J14304" s="23" t="str">
        <f>HYPERLINK("https://www.spark-marketing.ru/Card/Person/1170194", "Соколова Виктория Сергеевна")</f>
        <v>Соколова Виктория Сергеевна</v>
      </c>
      <c r="K14304" s="24" t="s">
        <v>2331</v>
      </c>
      <c r="L14304" s="22" t="s">
        <v>10</v>
      </c>
      <c r="M14304" s="28" t="s">
        <v>51</v>
      </c>
      <c r="N14304" s="28" t="s">
        <v>51</v>
      </c>
    </row>
    <row r="14305" spans="1:14" x14ac:dyDescent="0.15">
      <c r="A14305" s="23" t="str">
        <f>HYPERLINK("https://www.spark-marketing.ru/Card/Person/1055196", "ГБУ ДО КО ""ЦЕНТР ""ОДАРЕННЫЕ ШКОЛЬНИКИ""")</f>
        <v>ГБУ ДО КО "ЦЕНТР "ОДАРЕННЫЕ ШКОЛЬНИКИ"</v>
      </c>
      <c r="B14305" s="24" t="s">
        <v>19026</v>
      </c>
      <c r="C14305" s="25">
        <v>398571</v>
      </c>
      <c r="D14305" s="22" t="s">
        <v>19027</v>
      </c>
      <c r="E14305" s="22" t="s">
        <v>81</v>
      </c>
      <c r="F14305" s="23" t="str">
        <f>HYPERLINK("https://www.spark-marketing.ru/Card/Lot/71870428", "Услуги по организации проживания и питания в период проведения Костромской областной летней многопредметной школы «Территория интеллекта»")</f>
        <v>Услуги по организации проживания и питания в период проведения Костромской областной летней многопредметной школы «Территория интеллекта»</v>
      </c>
      <c r="G14305" s="22" t="s">
        <v>292</v>
      </c>
      <c r="H14305" s="22" t="s">
        <v>14834</v>
      </c>
      <c r="I14305" s="26">
        <v>43649.660416666702</v>
      </c>
      <c r="J14305" s="28" t="s">
        <v>51</v>
      </c>
      <c r="K14305" s="28" t="s">
        <v>51</v>
      </c>
      <c r="L14305" s="28" t="s">
        <v>51</v>
      </c>
      <c r="M14305" s="28" t="s">
        <v>51</v>
      </c>
      <c r="N14305" s="28" t="s">
        <v>51</v>
      </c>
    </row>
    <row r="14306" spans="1:14" x14ac:dyDescent="0.15">
      <c r="A14306" s="23" t="str">
        <f>HYPERLINK("https://www.spark-marketing.ru/Card/Person/555246", "АО ""УЭХК""")</f>
        <v>АО "УЭХК"</v>
      </c>
      <c r="B14306" s="24" t="s">
        <v>13653</v>
      </c>
      <c r="C14306" s="25">
        <v>4950000</v>
      </c>
      <c r="D14306" s="22" t="s">
        <v>19028</v>
      </c>
      <c r="E14306" s="22" t="s">
        <v>52</v>
      </c>
      <c r="F14306" s="23" t="str">
        <f>HYPERLINK("https://www.spark-marketing.ru/Card/Lot/71871614", "оказание услуг по обеспечению питанием участников проводимых АО ""УЭХК"" приемов делегаций, банкетов, круглых столов, конференций и других корпоративных мероприятий.")</f>
        <v>оказание услуг по обеспечению питанием участников проводимых АО "УЭХК" приемов делегаций, банкетов, круглых столов, конференций и других корпоративных мероприятий.</v>
      </c>
      <c r="G14306" s="22" t="s">
        <v>174</v>
      </c>
      <c r="H14306" s="22" t="s">
        <v>7998</v>
      </c>
      <c r="I14306" s="26">
        <v>43649.647083333301</v>
      </c>
      <c r="J14306" s="28" t="s">
        <v>51</v>
      </c>
      <c r="K14306" s="28" t="s">
        <v>51</v>
      </c>
      <c r="L14306" s="28" t="s">
        <v>51</v>
      </c>
      <c r="M14306" s="28" t="s">
        <v>51</v>
      </c>
      <c r="N14306" s="28" t="s">
        <v>51</v>
      </c>
    </row>
    <row r="14307" spans="1:14" x14ac:dyDescent="0.15">
      <c r="A14307" s="23" t="str">
        <f>HYPERLINK("https://www.spark-marketing.ru/Card/Person/1092322", "МАОУ ""СОШ №24 С УГЛУБЛЕННЫМ ИЗУЧЕНИЕМ ОТДЕЛЬНЫХ ПРЕДМЕТОВ""")</f>
        <v>МАОУ "СОШ №24 С УГЛУБЛЕННЫМ ИЗУЧЕНИЕМ ОТДЕЛЬНЫХ ПРЕДМЕТОВ"</v>
      </c>
      <c r="B14307" s="24" t="s">
        <v>17783</v>
      </c>
      <c r="C14307" s="25">
        <v>9853038</v>
      </c>
      <c r="D14307" s="22" t="s">
        <v>19029</v>
      </c>
      <c r="E14307" s="22" t="s">
        <v>362</v>
      </c>
      <c r="F14307" s="23" t="str">
        <f>HYPERLINK("https://www.spark-marketing.ru/Card/Lot/71870808", "услуга по организации питания")</f>
        <v>услуга по организации питания</v>
      </c>
      <c r="G14307" s="22" t="s">
        <v>696</v>
      </c>
      <c r="H14307" s="22" t="s">
        <v>696</v>
      </c>
      <c r="I14307" s="26">
        <v>43649.639652777798</v>
      </c>
      <c r="J14307" s="28" t="s">
        <v>51</v>
      </c>
      <c r="K14307" s="28" t="s">
        <v>51</v>
      </c>
      <c r="L14307" s="28" t="s">
        <v>51</v>
      </c>
      <c r="M14307" s="28" t="s">
        <v>51</v>
      </c>
      <c r="N14307" s="28" t="s">
        <v>51</v>
      </c>
    </row>
    <row r="14308" spans="1:14" x14ac:dyDescent="0.15">
      <c r="A14308" s="23" t="str">
        <f>HYPERLINK("https://www.spark-marketing.ru/Card/Person/1055196", "ГБУ ДО КО ""ЦЕНТР ""ОДАРЕННЫЕ ШКОЛЬНИКИ""")</f>
        <v>ГБУ ДО КО "ЦЕНТР "ОДАРЕННЫЕ ШКОЛЬНИКИ"</v>
      </c>
      <c r="B14308" s="24" t="s">
        <v>19026</v>
      </c>
      <c r="C14308" s="25">
        <v>398571</v>
      </c>
      <c r="D14308" s="22" t="s">
        <v>19030</v>
      </c>
      <c r="E14308" s="22" t="s">
        <v>6949</v>
      </c>
      <c r="F14308" s="23" t="str">
        <f>HYPERLINK("https://www.spark-marketing.ru/Card/Lot/71870424", "Услуги по организации проживания и питания в период проведения Костромской областной летней многопредметной школы «Мир открытий»")</f>
        <v>Услуги по организации проживания и питания в период проведения Костромской областной летней многопредметной школы «Мир открытий»</v>
      </c>
      <c r="G14308" s="22" t="s">
        <v>292</v>
      </c>
      <c r="H14308" s="22" t="s">
        <v>14834</v>
      </c>
      <c r="I14308" s="26">
        <v>43649.659722222197</v>
      </c>
      <c r="J14308" s="28" t="s">
        <v>51</v>
      </c>
      <c r="K14308" s="28" t="s">
        <v>51</v>
      </c>
      <c r="L14308" s="28" t="s">
        <v>51</v>
      </c>
      <c r="M14308" s="28" t="s">
        <v>51</v>
      </c>
      <c r="N14308" s="28" t="s">
        <v>51</v>
      </c>
    </row>
    <row r="14309" spans="1:14" x14ac:dyDescent="0.15">
      <c r="A14309" s="23" t="str">
        <f>HYPERLINK("https://www.spark-marketing.ru/Card/Person/1777719", "МАОУ ""СПШ №33""")</f>
        <v>МАОУ "СПШ №33"</v>
      </c>
      <c r="B14309" s="24" t="s">
        <v>17812</v>
      </c>
      <c r="C14309" s="25">
        <v>13082628</v>
      </c>
      <c r="D14309" s="22" t="s">
        <v>19031</v>
      </c>
      <c r="E14309" s="22" t="s">
        <v>362</v>
      </c>
      <c r="F14309" s="23" t="str">
        <f>HYPERLINK("https://www.spark-marketing.ru/Card/Lot/71870809", "Оказание услуг по организации питания в школьной столовой")</f>
        <v>Оказание услуг по организации питания в школьной столовой</v>
      </c>
      <c r="G14309" s="22" t="s">
        <v>696</v>
      </c>
      <c r="H14309" s="22" t="s">
        <v>696</v>
      </c>
      <c r="I14309" s="26">
        <v>43649.639780092599</v>
      </c>
      <c r="J14309" s="28" t="s">
        <v>51</v>
      </c>
      <c r="K14309" s="28" t="s">
        <v>51</v>
      </c>
      <c r="L14309" s="28" t="s">
        <v>51</v>
      </c>
      <c r="M14309" s="28" t="s">
        <v>51</v>
      </c>
      <c r="N14309" s="28" t="s">
        <v>51</v>
      </c>
    </row>
    <row r="14310" spans="1:14" x14ac:dyDescent="0.15">
      <c r="A14310" s="23" t="str">
        <f>HYPERLINK("https://www.spark-marketing.ru/Card/Person/139389", "МБОУ ""ДСОШ № 2""")</f>
        <v>МБОУ "ДСОШ № 2"</v>
      </c>
      <c r="B14310" s="24" t="s">
        <v>19032</v>
      </c>
      <c r="C14310" s="25">
        <v>5084528.3</v>
      </c>
      <c r="D14310" s="22" t="s">
        <v>19033</v>
      </c>
      <c r="E14310" s="22" t="s">
        <v>96</v>
      </c>
      <c r="F14310" s="23" t="str">
        <f>HYPERLINK("https://www.spark-marketing.ru/Card/Lot/71879468", "Оказание услуг по организации питания детей МБОУ «Добрянская средняя общеобразовательная школа № 2» из малоимущих семей, малоимущих многодетных семей, обучающихся с ограниченными возможностями здоровья.")</f>
        <v>Оказание услуг по организации питания детей МБОУ «Добрянская средняя общеобразовательная школа № 2» из малоимущих семей, малоимущих многодетных семей, обучающихся с ограниченными возможностями здоровья.</v>
      </c>
      <c r="G14310" s="22" t="s">
        <v>153</v>
      </c>
      <c r="H14310" s="22" t="s">
        <v>153</v>
      </c>
      <c r="I14310" s="26">
        <v>43649.614583333299</v>
      </c>
      <c r="J14310" s="23" t="str">
        <f>HYPERLINK("https://www.spark-marketing.ru/Card/Person/143723", "Чепкасова Надежда Григорьевна")</f>
        <v>Чепкасова Надежда Григорьевна</v>
      </c>
      <c r="K14310" s="24" t="s">
        <v>19034</v>
      </c>
      <c r="L14310" s="22" t="s">
        <v>10</v>
      </c>
      <c r="M14310" s="28" t="s">
        <v>51</v>
      </c>
      <c r="N14310" s="28" t="s">
        <v>51</v>
      </c>
    </row>
    <row r="14311" spans="1:14" x14ac:dyDescent="0.15">
      <c r="A14311" s="23" t="str">
        <f>HYPERLINK("https://www.spark-marketing.ru/Card/Person/51853", "ГБУЗ АО ""ИКРЯНИНСКАЯ РБ""")</f>
        <v>ГБУЗ АО "ИКРЯНИНСКАЯ РБ"</v>
      </c>
      <c r="B14311" s="24" t="s">
        <v>19035</v>
      </c>
      <c r="C14311" s="25">
        <v>442759.12</v>
      </c>
      <c r="D14311" s="22" t="s">
        <v>19036</v>
      </c>
      <c r="E14311" s="22" t="s">
        <v>603</v>
      </c>
      <c r="F14311" s="23" t="str">
        <f>HYPERLINK("https://www.spark-marketing.ru/Card/Lot/71877748", "Оказание услуг по поверке, калибровке и инструментальному контролю технического состояния средств измерений медицинского назначения")</f>
        <v>Оказание услуг по поверке, калибровке и инструментальному контролю технического состояния средств измерений медицинского назначения</v>
      </c>
      <c r="G14311" s="22" t="s">
        <v>141</v>
      </c>
      <c r="H14311" s="22" t="s">
        <v>8311</v>
      </c>
      <c r="I14311" s="26">
        <v>43649.615277777797</v>
      </c>
      <c r="J14311" s="23" t="str">
        <f>HYPERLINK("https://www.spark-marketing.ru/Card/Person/31382", "ФБУ ""АСТРАХАНСКИЙ ЦСМ""")</f>
        <v>ФБУ "АСТРАХАНСКИЙ ЦСМ"</v>
      </c>
      <c r="K14311" s="24" t="s">
        <v>11411</v>
      </c>
      <c r="L14311" s="22" t="s">
        <v>10</v>
      </c>
      <c r="M14311" s="28" t="s">
        <v>51</v>
      </c>
      <c r="N14311" s="28" t="s">
        <v>51</v>
      </c>
    </row>
    <row r="14312" spans="1:14" x14ac:dyDescent="0.15">
      <c r="A14312" s="23" t="str">
        <f>HYPERLINK("https://www.spark-marketing.ru/Card/Person/4374689", "ФКУ ЛИУ-9 ГУФСИН РОССИИ ПО ЧЕЛЯБИНСКОЙ ОБЛАСТИ")</f>
        <v>ФКУ ЛИУ-9 ГУФСИН РОССИИ ПО ЧЕЛЯБИНСКОЙ ОБЛАСТИ</v>
      </c>
      <c r="B14312" s="24" t="s">
        <v>3913</v>
      </c>
      <c r="C14312" s="25">
        <v>5499.5</v>
      </c>
      <c r="D14312" s="22" t="s">
        <v>19037</v>
      </c>
      <c r="E14312" s="22" t="s">
        <v>468</v>
      </c>
      <c r="F14312" s="23" t="str">
        <f>HYPERLINK("https://www.spark-marketing.ru/Card/Lot/71867509", "Оказание трансп. услуг по доставке продуктов питания, по маршруту г. Бакал- г. Златоуст- г. Бакал, 1 усл. ед")</f>
        <v>Оказание трансп. услуг по доставке продуктов питания, по маршруту г. Бакал- г. Златоуст- г. Бакал, 1 усл. ед</v>
      </c>
      <c r="G14312" s="22" t="s">
        <v>469</v>
      </c>
      <c r="H14312" s="22" t="s">
        <v>3915</v>
      </c>
      <c r="I14312" s="26">
        <v>43649.607986111099</v>
      </c>
      <c r="J14312" s="28" t="s">
        <v>51</v>
      </c>
      <c r="K14312" s="28" t="s">
        <v>51</v>
      </c>
      <c r="L14312" s="28" t="s">
        <v>51</v>
      </c>
      <c r="M14312" s="28" t="s">
        <v>51</v>
      </c>
      <c r="N14312" s="28" t="s">
        <v>51</v>
      </c>
    </row>
    <row r="14313" spans="1:14" x14ac:dyDescent="0.15">
      <c r="A14313" s="23" t="str">
        <f>HYPERLINK("https://www.spark-marketing.ru/Card/Person/144152", "ОМВД РОССИИ ПО ГОРОДУ СЕВЕРОДВИНСКУ")</f>
        <v>ОМВД РОССИИ ПО ГОРОДУ СЕВЕРОДВИНСКУ</v>
      </c>
      <c r="B14313" s="24" t="s">
        <v>10179</v>
      </c>
      <c r="C14313" s="25">
        <v>5416000</v>
      </c>
      <c r="D14313" s="22" t="s">
        <v>19038</v>
      </c>
      <c r="E14313" s="22" t="s">
        <v>48</v>
      </c>
      <c r="F14313" s="23" t="str">
        <f>HYPERLINK("https://www.spark-marketing.ru/Card/Lot/71879533", "Услуги по обеспечению питанием")</f>
        <v>Услуги по обеспечению питанием</v>
      </c>
      <c r="G14313" s="22" t="s">
        <v>214</v>
      </c>
      <c r="H14313" s="22" t="s">
        <v>1178</v>
      </c>
      <c r="I14313" s="26">
        <v>43649.587500000001</v>
      </c>
      <c r="J14313" s="28" t="s">
        <v>51</v>
      </c>
      <c r="K14313" s="28" t="s">
        <v>51</v>
      </c>
      <c r="L14313" s="28" t="s">
        <v>51</v>
      </c>
      <c r="M14313" s="28" t="s">
        <v>51</v>
      </c>
      <c r="N14313" s="28" t="s">
        <v>51</v>
      </c>
    </row>
    <row r="14314" spans="1:14" x14ac:dyDescent="0.2">
      <c r="A14314" s="23" t="str">
        <f>HYPERLINK("https://www.spark-marketing.ru/Card/Person/4874743", "ГАУ ВО ""СК ""РОТОР""")</f>
        <v>ГАУ ВО "СК "РОТОР"</v>
      </c>
      <c r="B14314" s="24" t="s">
        <v>1208</v>
      </c>
      <c r="C14314" s="25">
        <v>321000</v>
      </c>
      <c r="D14314" s="22" t="s">
        <v>19039</v>
      </c>
      <c r="E14314" s="22" t="s">
        <v>769</v>
      </c>
      <c r="F14314" s="23" t="str">
        <f>HYPERLINK("https://www.spark-marketing.ru/Card/Lot/71867292", "Услуги по организации проживания и питания для футбольной команды «Ротор», в городе Курск")</f>
        <v>Услуги по организации проживания и питания для футбольной команды «Ротор», в городе Курск</v>
      </c>
      <c r="G14314" s="22" t="s">
        <v>1111</v>
      </c>
      <c r="H14314" s="22" t="s">
        <v>1111</v>
      </c>
      <c r="I14314" s="26">
        <v>43649.598703703698</v>
      </c>
      <c r="J14314" s="28" t="s">
        <v>51</v>
      </c>
      <c r="K14314" s="28" t="s">
        <v>51</v>
      </c>
      <c r="L14314" s="28" t="s">
        <v>51</v>
      </c>
      <c r="M14314" s="25">
        <v>321000</v>
      </c>
      <c r="N14314" s="27">
        <v>0</v>
      </c>
    </row>
    <row r="14315" spans="1:14" x14ac:dyDescent="0.15">
      <c r="A14315" s="23" t="str">
        <f>HYPERLINK("https://www.spark-marketing.ru/Card/Person/19855", "ОГБУ ""СЛУЖБА ХОЗЯЙСТВЕННОГО ОБЕСПЕЧЕНИЯ""")</f>
        <v>ОГБУ "СЛУЖБА ХОЗЯЙСТВЕННОГО ОБЕСПЕЧЕНИЯ"</v>
      </c>
      <c r="B14315" s="24" t="s">
        <v>12707</v>
      </c>
      <c r="C14315" s="25">
        <v>35765</v>
      </c>
      <c r="D14315" s="22" t="s">
        <v>19040</v>
      </c>
      <c r="E14315" s="22" t="s">
        <v>48</v>
      </c>
      <c r="F14315" s="23" t="str">
        <f>HYPERLINK("https://www.spark-marketing.ru/Card/Lot/71866711", "Оказание услуг по питанию")</f>
        <v>Оказание услуг по питанию</v>
      </c>
      <c r="G14315" s="22" t="s">
        <v>149</v>
      </c>
      <c r="H14315" s="22" t="s">
        <v>496</v>
      </c>
      <c r="I14315" s="26">
        <v>43649.578472222202</v>
      </c>
      <c r="J14315" s="28" t="s">
        <v>51</v>
      </c>
      <c r="K14315" s="28" t="s">
        <v>51</v>
      </c>
      <c r="L14315" s="28" t="s">
        <v>51</v>
      </c>
      <c r="M14315" s="28" t="s">
        <v>51</v>
      </c>
      <c r="N14315" s="28" t="s">
        <v>51</v>
      </c>
    </row>
    <row r="14316" spans="1:14" x14ac:dyDescent="0.15">
      <c r="A14316" s="23" t="str">
        <f>HYPERLINK("https://www.spark-marketing.ru/Card/Person/4346801", "ФГАОУ ВО ""СЕВАСТОПОЛЬСКИЙ ГОСУДАРСТВЕННЫЙ УНИВЕРСИТЕТ""")</f>
        <v>ФГАОУ ВО "СЕВАСТОПОЛЬСКИЙ ГОСУДАРСТВЕННЫЙ УНИВЕРСИТЕТ"</v>
      </c>
      <c r="B14316" s="24" t="s">
        <v>8964</v>
      </c>
      <c r="C14316" s="25">
        <v>157500</v>
      </c>
      <c r="D14316" s="22" t="s">
        <v>19041</v>
      </c>
      <c r="E14316" s="22" t="s">
        <v>562</v>
      </c>
      <c r="F14316" s="23" t="str">
        <f>HYPERLINK("https://www.spark-marketing.ru/Card/Lot/71867256", "Оказание услуг по организации проживания и питания участников культурно-просветительского мероприятия ""Летняя экспедиционная школа ""Крымская кругосветка-2019""")</f>
        <v>Оказание услуг по организации проживания и питания участников культурно-просветительского мероприятия "Летняя экспедиционная школа "Крымская кругосветка-2019"</v>
      </c>
      <c r="G14316" s="22" t="s">
        <v>322</v>
      </c>
      <c r="H14316" s="22" t="s">
        <v>322</v>
      </c>
      <c r="I14316" s="26">
        <v>43649.571331018502</v>
      </c>
      <c r="J14316" s="28" t="s">
        <v>51</v>
      </c>
      <c r="K14316" s="28" t="s">
        <v>51</v>
      </c>
      <c r="L14316" s="28" t="s">
        <v>51</v>
      </c>
      <c r="M14316" s="28" t="s">
        <v>51</v>
      </c>
      <c r="N14316" s="28" t="s">
        <v>51</v>
      </c>
    </row>
    <row r="14317" spans="1:14" x14ac:dyDescent="0.15">
      <c r="A14317" s="23" t="str">
        <f>HYPERLINK("https://www.spark-marketing.ru/Card/Person/294861", "ОТДЕЛ МВД РОССИИ ПО ЛИСКИНСКОМУ РАЙОНУ")</f>
        <v>ОТДЕЛ МВД РОССИИ ПО ЛИСКИНСКОМУ РАЙОНУ</v>
      </c>
      <c r="B14317" s="24" t="s">
        <v>17780</v>
      </c>
      <c r="C14317" s="25">
        <v>806650</v>
      </c>
      <c r="D14317" s="22" t="s">
        <v>19042</v>
      </c>
      <c r="E14317" s="22" t="s">
        <v>48</v>
      </c>
      <c r="F14317" s="23" t="str">
        <f>HYPERLINK("https://www.spark-marketing.ru/Card/Lot/71878337", "оказание услуг по питанию лиц, содержащихся в ИВС")</f>
        <v>оказание услуг по питанию лиц, содержащихся в ИВС</v>
      </c>
      <c r="G14317" s="22" t="s">
        <v>82</v>
      </c>
      <c r="H14317" s="22" t="s">
        <v>82</v>
      </c>
      <c r="I14317" s="26">
        <v>43649.569444444402</v>
      </c>
      <c r="J14317" s="28" t="s">
        <v>51</v>
      </c>
      <c r="K14317" s="28" t="s">
        <v>51</v>
      </c>
      <c r="L14317" s="28" t="s">
        <v>51</v>
      </c>
      <c r="M14317" s="28" t="s">
        <v>51</v>
      </c>
      <c r="N14317" s="28" t="s">
        <v>51</v>
      </c>
    </row>
    <row r="14318" spans="1:14" x14ac:dyDescent="0.15">
      <c r="A14318" s="23" t="str">
        <f t="shared" ref="A14318:A14328" si="479">HYPERLINK("https://www.spark-marketing.ru/Card/Person/18942", "ГБУЗ ""ГП № 6 ДЗМ""")</f>
        <v>ГБУЗ "ГП № 6 ДЗМ"</v>
      </c>
      <c r="B14318" s="24" t="s">
        <v>19043</v>
      </c>
      <c r="C14318" s="25">
        <v>2860656.89</v>
      </c>
      <c r="D14318" s="22" t="s">
        <v>19044</v>
      </c>
      <c r="E14318" s="22" t="s">
        <v>756</v>
      </c>
      <c r="F14318" s="23" t="str">
        <f t="shared" ref="F14318:F14328" si="480">HYPERLINK("https://www.spark-marketing.ru/Card/Lot/71878939", "Аукцион в электронной форме на право заключения контракта на оказание услуг по техническому обслуживанию автоматической пожарной сигнализации и системы оповещения и управления эвакуацией людей при пожаре в 2019-2020 г.")</f>
        <v>Аукцион в электронной форме на право заключения контракта на оказание услуг по техническому обслуживанию автоматической пожарной сигнализации и системы оповещения и управления эвакуацией людей при пожаре в 2019-2020 г.</v>
      </c>
      <c r="G14318" s="22" t="s">
        <v>56</v>
      </c>
      <c r="H14318" s="22" t="s">
        <v>56</v>
      </c>
      <c r="I14318" s="26">
        <v>43649.546527777798</v>
      </c>
      <c r="J14318" s="28" t="s">
        <v>51</v>
      </c>
      <c r="K14318" s="28" t="s">
        <v>51</v>
      </c>
      <c r="L14318" s="28" t="s">
        <v>51</v>
      </c>
      <c r="M14318" s="28" t="s">
        <v>51</v>
      </c>
      <c r="N14318" s="28" t="s">
        <v>51</v>
      </c>
    </row>
    <row r="14319" spans="1:14" ht="12.75" hidden="1" outlineLevel="1" x14ac:dyDescent="0.2">
      <c r="A14319" s="23" t="str">
        <f t="shared" si="479"/>
        <v>ГБУЗ "ГП № 6 ДЗМ"</v>
      </c>
      <c r="B14319" s="24" t="s">
        <v>19043</v>
      </c>
      <c r="C14319" s="25">
        <v>2860656.89</v>
      </c>
      <c r="D14319" s="22" t="s">
        <v>19044</v>
      </c>
      <c r="E14319" s="22" t="s">
        <v>756</v>
      </c>
      <c r="F14319" s="23" t="str">
        <f t="shared" si="480"/>
        <v>Аукцион в электронной форме на право заключения контракта на оказание услуг по техническому обслуживанию автоматической пожарной сигнализации и системы оповещения и управления эвакуацией людей при пожаре в 2019-2020 г.</v>
      </c>
      <c r="G14319" s="22" t="s">
        <v>56</v>
      </c>
      <c r="H14319" s="22" t="s">
        <v>56</v>
      </c>
      <c r="I14319" s="26">
        <v>43649.546527777798</v>
      </c>
      <c r="J14319" s="23" t="str">
        <f>HYPERLINK("https://www.spark-marketing.ru/Card/Person/117499", "ООО ""ПРОФИ-СИСТЕМ""")</f>
        <v>ООО "ПРОФИ-СИСТЕМ"</v>
      </c>
      <c r="K14319" s="24" t="s">
        <v>19045</v>
      </c>
      <c r="L14319" s="22" t="s">
        <v>10</v>
      </c>
      <c r="M14319" s="25">
        <v>113688.48</v>
      </c>
      <c r="N14319" s="27">
        <v>0.96025791125198523</v>
      </c>
    </row>
    <row r="14320" spans="1:14" hidden="1" outlineLevel="1" x14ac:dyDescent="0.2">
      <c r="A14320" s="23" t="str">
        <f t="shared" si="479"/>
        <v>ГБУЗ "ГП № 6 ДЗМ"</v>
      </c>
      <c r="B14320" s="24" t="s">
        <v>19043</v>
      </c>
      <c r="C14320" s="25">
        <v>2860656.89</v>
      </c>
      <c r="D14320" s="22" t="s">
        <v>19044</v>
      </c>
      <c r="E14320" s="22" t="s">
        <v>756</v>
      </c>
      <c r="F14320" s="23" t="str">
        <f t="shared" si="480"/>
        <v>Аукцион в электронной форме на право заключения контракта на оказание услуг по техническому обслуживанию автоматической пожарной сигнализации и системы оповещения и управления эвакуацией людей при пожаре в 2019-2020 г.</v>
      </c>
      <c r="G14320" s="22" t="s">
        <v>56</v>
      </c>
      <c r="H14320" s="22" t="s">
        <v>56</v>
      </c>
      <c r="I14320" s="26">
        <v>43649.546527777798</v>
      </c>
      <c r="J14320" s="23" t="str">
        <f>HYPERLINK("https://www.spark-marketing.ru/Card/Person/71664", "ООО ""КОМПЛЕКС СБ""")</f>
        <v>ООО "КОМПЛЕКС СБ"</v>
      </c>
      <c r="K14320" s="24" t="s">
        <v>19046</v>
      </c>
      <c r="L14320" s="28" t="s">
        <v>51</v>
      </c>
      <c r="M14320" s="25">
        <v>1501844.97</v>
      </c>
      <c r="N14320" s="27">
        <v>0.47499996408167638</v>
      </c>
    </row>
    <row r="14321" spans="1:14" hidden="1" outlineLevel="1" x14ac:dyDescent="0.2">
      <c r="A14321" s="23" t="str">
        <f t="shared" si="479"/>
        <v>ГБУЗ "ГП № 6 ДЗМ"</v>
      </c>
      <c r="B14321" s="24" t="s">
        <v>19043</v>
      </c>
      <c r="C14321" s="25">
        <v>2860656.89</v>
      </c>
      <c r="D14321" s="22" t="s">
        <v>19044</v>
      </c>
      <c r="E14321" s="22" t="s">
        <v>756</v>
      </c>
      <c r="F14321" s="23" t="str">
        <f t="shared" si="480"/>
        <v>Аукцион в электронной форме на право заключения контракта на оказание услуг по техническому обслуживанию автоматической пожарной сигнализации и системы оповещения и управления эвакуацией людей при пожаре в 2019-2020 г.</v>
      </c>
      <c r="G14321" s="22" t="s">
        <v>56</v>
      </c>
      <c r="H14321" s="22" t="s">
        <v>56</v>
      </c>
      <c r="I14321" s="26">
        <v>43649.546527777798</v>
      </c>
      <c r="J14321" s="23" t="str">
        <f>HYPERLINK("https://www.spark-marketing.ru/Card/Person/6632092", "ООО ""АЙТИ-КОМ""")</f>
        <v>ООО "АЙТИ-КОМ"</v>
      </c>
      <c r="K14321" s="24" t="s">
        <v>19047</v>
      </c>
      <c r="L14321" s="28" t="s">
        <v>51</v>
      </c>
      <c r="M14321" s="25">
        <v>2850656.89</v>
      </c>
      <c r="N14321" s="27">
        <v>3.4957005976344125E-3</v>
      </c>
    </row>
    <row r="14322" spans="1:14" hidden="1" outlineLevel="1" x14ac:dyDescent="0.2">
      <c r="A14322" s="23" t="str">
        <f t="shared" si="479"/>
        <v>ГБУЗ "ГП № 6 ДЗМ"</v>
      </c>
      <c r="B14322" s="24" t="s">
        <v>19043</v>
      </c>
      <c r="C14322" s="25">
        <v>2860656.89</v>
      </c>
      <c r="D14322" s="22" t="s">
        <v>19044</v>
      </c>
      <c r="E14322" s="22" t="s">
        <v>756</v>
      </c>
      <c r="F14322" s="23" t="str">
        <f t="shared" si="480"/>
        <v>Аукцион в электронной форме на право заключения контракта на оказание услуг по техническому обслуживанию автоматической пожарной сигнализации и системы оповещения и управления эвакуацией людей при пожаре в 2019-2020 г.</v>
      </c>
      <c r="G14322" s="22" t="s">
        <v>56</v>
      </c>
      <c r="H14322" s="22" t="s">
        <v>56</v>
      </c>
      <c r="I14322" s="26">
        <v>43649.546527777798</v>
      </c>
      <c r="J14322" s="23" t="str">
        <f>HYPERLINK("https://www.spark-marketing.ru/Card/Person/6262263", "ООО ""АЛЫЙ ПАРУС ТЕХНО ПРО""")</f>
        <v>ООО "АЛЫЙ ПАРУС ТЕХНО ПРО"</v>
      </c>
      <c r="K14322" s="24" t="s">
        <v>12490</v>
      </c>
      <c r="L14322" s="28" t="s">
        <v>51</v>
      </c>
      <c r="M14322" s="25">
        <v>528483.6</v>
      </c>
      <c r="N14322" s="27">
        <v>0.81525795636400145</v>
      </c>
    </row>
    <row r="14323" spans="1:14" hidden="1" outlineLevel="1" x14ac:dyDescent="0.2">
      <c r="A14323" s="23" t="str">
        <f t="shared" si="479"/>
        <v>ГБУЗ "ГП № 6 ДЗМ"</v>
      </c>
      <c r="B14323" s="24" t="s">
        <v>19043</v>
      </c>
      <c r="C14323" s="25">
        <v>2860656.89</v>
      </c>
      <c r="D14323" s="22" t="s">
        <v>19044</v>
      </c>
      <c r="E14323" s="22" t="s">
        <v>756</v>
      </c>
      <c r="F14323" s="23" t="str">
        <f t="shared" si="480"/>
        <v>Аукцион в электронной форме на право заключения контракта на оказание услуг по техническому обслуживанию автоматической пожарной сигнализации и системы оповещения и управления эвакуацией людей при пожаре в 2019-2020 г.</v>
      </c>
      <c r="G14323" s="22" t="s">
        <v>56</v>
      </c>
      <c r="H14323" s="22" t="s">
        <v>56</v>
      </c>
      <c r="I14323" s="26">
        <v>43649.546527777798</v>
      </c>
      <c r="J14323" s="23" t="str">
        <f>HYPERLINK("https://www.spark-marketing.ru/Card/Person/4708815", "ООО ""СК ""ВОССТАРХ""")</f>
        <v>ООО "СК "ВОССТАРХ"</v>
      </c>
      <c r="K14323" s="24" t="s">
        <v>19048</v>
      </c>
      <c r="L14323" s="28" t="s">
        <v>51</v>
      </c>
      <c r="M14323" s="25">
        <v>1394508.85</v>
      </c>
      <c r="N14323" s="27">
        <v>0.51252145796485227</v>
      </c>
    </row>
    <row r="14324" spans="1:14" hidden="1" outlineLevel="1" x14ac:dyDescent="0.2">
      <c r="A14324" s="23" t="str">
        <f t="shared" si="479"/>
        <v>ГБУЗ "ГП № 6 ДЗМ"</v>
      </c>
      <c r="B14324" s="24" t="s">
        <v>19043</v>
      </c>
      <c r="C14324" s="25">
        <v>2860656.89</v>
      </c>
      <c r="D14324" s="22" t="s">
        <v>19044</v>
      </c>
      <c r="E14324" s="22" t="s">
        <v>756</v>
      </c>
      <c r="F14324" s="23" t="str">
        <f t="shared" si="480"/>
        <v>Аукцион в электронной форме на право заключения контракта на оказание услуг по техническому обслуживанию автоматической пожарной сигнализации и системы оповещения и управления эвакуацией людей при пожаре в 2019-2020 г.</v>
      </c>
      <c r="G14324" s="22" t="s">
        <v>56</v>
      </c>
      <c r="H14324" s="22" t="s">
        <v>56</v>
      </c>
      <c r="I14324" s="26">
        <v>43649.546527777798</v>
      </c>
      <c r="J14324" s="23" t="str">
        <f>HYPERLINK("https://www.spark-marketing.ru/Card/Person/5885640", "ООО ""ПОЖСПЕЦСВЯЗЬ""")</f>
        <v>ООО "ПОЖСПЕЦСВЯЗЬ"</v>
      </c>
      <c r="K14324" s="24" t="s">
        <v>19049</v>
      </c>
      <c r="L14324" s="28" t="s">
        <v>51</v>
      </c>
      <c r="M14324" s="25">
        <v>1379656.89</v>
      </c>
      <c r="N14324" s="27">
        <v>0.51771325850965655</v>
      </c>
    </row>
    <row r="14325" spans="1:14" hidden="1" outlineLevel="1" x14ac:dyDescent="0.2">
      <c r="A14325" s="23" t="str">
        <f t="shared" si="479"/>
        <v>ГБУЗ "ГП № 6 ДЗМ"</v>
      </c>
      <c r="B14325" s="24" t="s">
        <v>19043</v>
      </c>
      <c r="C14325" s="25">
        <v>2860656.89</v>
      </c>
      <c r="D14325" s="22" t="s">
        <v>19044</v>
      </c>
      <c r="E14325" s="22" t="s">
        <v>756</v>
      </c>
      <c r="F14325" s="23" t="str">
        <f t="shared" si="480"/>
        <v>Аукцион в электронной форме на право заключения контракта на оказание услуг по техническому обслуживанию автоматической пожарной сигнализации и системы оповещения и управления эвакуацией людей при пожаре в 2019-2020 г.</v>
      </c>
      <c r="G14325" s="22" t="s">
        <v>56</v>
      </c>
      <c r="H14325" s="22" t="s">
        <v>56</v>
      </c>
      <c r="I14325" s="26">
        <v>43649.546527777798</v>
      </c>
      <c r="J14325" s="23" t="str">
        <f>HYPERLINK("https://www.spark-marketing.ru/Card/Person/6364371", "ООО ""ЛТБ""")</f>
        <v>ООО "ЛТБ"</v>
      </c>
      <c r="K14325" s="24" t="s">
        <v>17380</v>
      </c>
      <c r="L14325" s="28" t="s">
        <v>51</v>
      </c>
      <c r="M14325" s="25">
        <v>127991.76</v>
      </c>
      <c r="N14325" s="27">
        <v>0.955257912807572</v>
      </c>
    </row>
    <row r="14326" spans="1:14" hidden="1" outlineLevel="1" x14ac:dyDescent="0.2">
      <c r="A14326" s="23" t="str">
        <f t="shared" si="479"/>
        <v>ГБУЗ "ГП № 6 ДЗМ"</v>
      </c>
      <c r="B14326" s="24" t="s">
        <v>19043</v>
      </c>
      <c r="C14326" s="25">
        <v>2860656.89</v>
      </c>
      <c r="D14326" s="22" t="s">
        <v>19044</v>
      </c>
      <c r="E14326" s="22" t="s">
        <v>756</v>
      </c>
      <c r="F14326" s="23" t="str">
        <f t="shared" si="480"/>
        <v>Аукцион в электронной форме на право заключения контракта на оказание услуг по техническому обслуживанию автоматической пожарной сигнализации и системы оповещения и управления эвакуацией людей при пожаре в 2019-2020 г.</v>
      </c>
      <c r="G14326" s="22" t="s">
        <v>56</v>
      </c>
      <c r="H14326" s="22" t="s">
        <v>56</v>
      </c>
      <c r="I14326" s="26">
        <v>43649.546527777798</v>
      </c>
      <c r="J14326" s="23" t="str">
        <f>HYPERLINK("https://www.spark-marketing.ru/Card/Person/5921742", "ООО ""КСБ""")</f>
        <v>ООО "КСБ"</v>
      </c>
      <c r="K14326" s="24" t="s">
        <v>7553</v>
      </c>
      <c r="L14326" s="28" t="s">
        <v>51</v>
      </c>
      <c r="M14326" s="25">
        <v>299631.12</v>
      </c>
      <c r="N14326" s="27">
        <v>0.89525793147461319</v>
      </c>
    </row>
    <row r="14327" spans="1:14" hidden="1" outlineLevel="1" x14ac:dyDescent="0.2">
      <c r="A14327" s="23" t="str">
        <f t="shared" si="479"/>
        <v>ГБУЗ "ГП № 6 ДЗМ"</v>
      </c>
      <c r="B14327" s="24" t="s">
        <v>19043</v>
      </c>
      <c r="C14327" s="25">
        <v>2860656.89</v>
      </c>
      <c r="D14327" s="22" t="s">
        <v>19044</v>
      </c>
      <c r="E14327" s="22" t="s">
        <v>756</v>
      </c>
      <c r="F14327" s="23" t="str">
        <f t="shared" si="480"/>
        <v>Аукцион в электронной форме на право заключения контракта на оказание услуг по техническому обслуживанию автоматической пожарной сигнализации и системы оповещения и управления эвакуацией людей при пожаре в 2019-2020 г.</v>
      </c>
      <c r="G14327" s="22" t="s">
        <v>56</v>
      </c>
      <c r="H14327" s="22" t="s">
        <v>56</v>
      </c>
      <c r="I14327" s="26">
        <v>43649.546527777798</v>
      </c>
      <c r="J14327" s="23" t="str">
        <f>HYPERLINK("https://www.spark-marketing.ru/Card/Person/6282940", "ООО ""ПЛАТИНУМ""")</f>
        <v>ООО "ПЛАТИНУМ"</v>
      </c>
      <c r="K14327" s="24" t="s">
        <v>13885</v>
      </c>
      <c r="L14327" s="28" t="s">
        <v>51</v>
      </c>
      <c r="M14327" s="25">
        <v>1487541.69</v>
      </c>
      <c r="N14327" s="27">
        <v>0.47999996252608962</v>
      </c>
    </row>
    <row r="14328" spans="1:14" hidden="1" outlineLevel="1" x14ac:dyDescent="0.2">
      <c r="A14328" s="23" t="str">
        <f t="shared" si="479"/>
        <v>ГБУЗ "ГП № 6 ДЗМ"</v>
      </c>
      <c r="B14328" s="24" t="s">
        <v>19043</v>
      </c>
      <c r="C14328" s="25">
        <v>2860656.89</v>
      </c>
      <c r="D14328" s="22" t="s">
        <v>19044</v>
      </c>
      <c r="E14328" s="22" t="s">
        <v>756</v>
      </c>
      <c r="F14328" s="23" t="str">
        <f t="shared" si="480"/>
        <v>Аукцион в электронной форме на право заключения контракта на оказание услуг по техническому обслуживанию автоматической пожарной сигнализации и системы оповещения и управления эвакуацией людей при пожаре в 2019-2020 г.</v>
      </c>
      <c r="G14328" s="22" t="s">
        <v>56</v>
      </c>
      <c r="H14328" s="22" t="s">
        <v>56</v>
      </c>
      <c r="I14328" s="26">
        <v>43649.546527777798</v>
      </c>
      <c r="J14328" s="23" t="str">
        <f>HYPERLINK("https://www.spark-marketing.ru/Card/Person/1844754", "ООО ""ТСБ""")</f>
        <v>ООО "ТСБ"</v>
      </c>
      <c r="K14328" s="24" t="s">
        <v>7551</v>
      </c>
      <c r="L14328" s="28" t="s">
        <v>51</v>
      </c>
      <c r="M14328" s="25">
        <v>2832050.33</v>
      </c>
      <c r="N14328" s="27">
        <v>9.9999968888264679E-3</v>
      </c>
    </row>
    <row r="14329" spans="1:14" x14ac:dyDescent="0.15">
      <c r="A14329" s="23" t="str">
        <f>HYPERLINK("https://www.spark-marketing.ru/Card/Person/4365964", "ООО ""ГАЗПРОМ ЭКСПО""")</f>
        <v>ООО "ГАЗПРОМ ЭКСПО"</v>
      </c>
      <c r="B14329" s="24" t="s">
        <v>8179</v>
      </c>
      <c r="C14329" s="25">
        <v>109608</v>
      </c>
      <c r="D14329" s="22" t="s">
        <v>19050</v>
      </c>
      <c r="E14329" s="22" t="s">
        <v>769</v>
      </c>
      <c r="F14329" s="23" t="str">
        <f>HYPERLINK("https://www.spark-marketing.ru/Card/Lot/71867397", "Оказание услуг по размещению и организации питания для участников мероприятия (г.Хабаровск)")</f>
        <v>Оказание услуг по размещению и организации питания для участников мероприятия (г.Хабаровск)</v>
      </c>
      <c r="G14329" s="22" t="s">
        <v>117</v>
      </c>
      <c r="H14329" s="22" t="s">
        <v>117</v>
      </c>
      <c r="I14329" s="26">
        <v>43649.567395833299</v>
      </c>
      <c r="J14329" s="28" t="s">
        <v>51</v>
      </c>
      <c r="K14329" s="28" t="s">
        <v>51</v>
      </c>
      <c r="L14329" s="28" t="s">
        <v>51</v>
      </c>
      <c r="M14329" s="28" t="s">
        <v>51</v>
      </c>
      <c r="N14329" s="28" t="s">
        <v>51</v>
      </c>
    </row>
    <row r="14330" spans="1:14" x14ac:dyDescent="0.15">
      <c r="A14330" s="23" t="str">
        <f>HYPERLINK("https://www.spark-marketing.ru/Card/Person/4345970", "ФГУП ""ГХК""")</f>
        <v>ФГУП "ГХК"</v>
      </c>
      <c r="B14330" s="24" t="s">
        <v>5819</v>
      </c>
      <c r="C14330" s="25">
        <v>135000</v>
      </c>
      <c r="D14330" s="22" t="s">
        <v>19051</v>
      </c>
      <c r="E14330" s="22" t="s">
        <v>580</v>
      </c>
      <c r="F14330" s="23" t="str">
        <f>HYPERLINK("https://www.spark-marketing.ru/Card/Lot/71861205", "Услуги по организации и предоставлению лечебно-профилактического питания (ЛПП) работникам предприятия, направленным для работы в АО""ОДЦ УГР""")</f>
        <v>Услуги по организации и предоставлению лечебно-профилактического питания (ЛПП) работникам предприятия, направленным для работы в АО"ОДЦ УГР"</v>
      </c>
      <c r="G14330" s="22" t="s">
        <v>149</v>
      </c>
      <c r="H14330" s="22" t="s">
        <v>6361</v>
      </c>
      <c r="I14330" s="26">
        <v>43649.5547800926</v>
      </c>
      <c r="J14330" s="28" t="s">
        <v>51</v>
      </c>
      <c r="K14330" s="28" t="s">
        <v>51</v>
      </c>
      <c r="L14330" s="28" t="s">
        <v>51</v>
      </c>
      <c r="M14330" s="28" t="s">
        <v>51</v>
      </c>
      <c r="N14330" s="28" t="s">
        <v>51</v>
      </c>
    </row>
    <row r="14331" spans="1:14" x14ac:dyDescent="0.15">
      <c r="A14331" s="23" t="str">
        <f t="shared" ref="A14331:A14341" si="481">HYPERLINK("https://www.spark-marketing.ru/Card/Person/34756", "ГБУЗ ""ДГП № 130 ДЗМ""")</f>
        <v>ГБУЗ "ДГП № 130 ДЗМ"</v>
      </c>
      <c r="B14331" s="24" t="s">
        <v>19052</v>
      </c>
      <c r="C14331" s="25">
        <v>485047.8</v>
      </c>
      <c r="D14331" s="22" t="s">
        <v>19053</v>
      </c>
      <c r="E14331" s="22" t="s">
        <v>756</v>
      </c>
      <c r="F14331" s="23" t="str">
        <f t="shared" ref="F14331:F14341" si="482">HYPERLINK("https://www.spark-marketing.ru/Card/Lot/71877652", "Оказание услуг по техническому обслуживанию автоматической пожарной сигнализации (АПС), системы речевого оповещения людей о пожаре (СОУЭ) в ГБУЗ ""ДГП № 130 ДЗМ"" в 2019-2020 гг.")</f>
        <v>Оказание услуг по техническому обслуживанию автоматической пожарной сигнализации (АПС), системы речевого оповещения людей о пожаре (СОУЭ) в ГБУЗ "ДГП № 130 ДЗМ" в 2019-2020 гг.</v>
      </c>
      <c r="G14331" s="22" t="s">
        <v>56</v>
      </c>
      <c r="H14331" s="22" t="s">
        <v>56</v>
      </c>
      <c r="I14331" s="26">
        <v>43649.541666666701</v>
      </c>
      <c r="J14331" s="28" t="s">
        <v>51</v>
      </c>
      <c r="K14331" s="28" t="s">
        <v>51</v>
      </c>
      <c r="L14331" s="28" t="s">
        <v>51</v>
      </c>
      <c r="M14331" s="28" t="s">
        <v>51</v>
      </c>
      <c r="N14331" s="28" t="s">
        <v>51</v>
      </c>
    </row>
    <row r="14332" spans="1:14" hidden="1" outlineLevel="1" x14ac:dyDescent="0.2">
      <c r="A14332" s="23" t="str">
        <f t="shared" si="481"/>
        <v>ГБУЗ "ДГП № 130 ДЗМ"</v>
      </c>
      <c r="B14332" s="24" t="s">
        <v>19052</v>
      </c>
      <c r="C14332" s="25">
        <v>485047.8</v>
      </c>
      <c r="D14332" s="22" t="s">
        <v>19053</v>
      </c>
      <c r="E14332" s="22" t="s">
        <v>756</v>
      </c>
      <c r="F14332" s="23" t="str">
        <f t="shared" si="482"/>
        <v>Оказание услуг по техническому обслуживанию автоматической пожарной сигнализации (АПС), системы речевого оповещения людей о пожаре (СОУЭ) в ГБУЗ "ДГП № 130 ДЗМ" в 2019-2020 гг.</v>
      </c>
      <c r="G14332" s="22" t="s">
        <v>56</v>
      </c>
      <c r="H14332" s="22" t="s">
        <v>56</v>
      </c>
      <c r="I14332" s="26">
        <v>43649.541666666701</v>
      </c>
      <c r="J14332" s="23" t="str">
        <f>HYPERLINK("https://www.spark-marketing.ru/Card/Person/918083", "ООО ""АСИС""")</f>
        <v>ООО "АСИС"</v>
      </c>
      <c r="K14332" s="24" t="s">
        <v>19054</v>
      </c>
      <c r="L14332" s="28" t="s">
        <v>51</v>
      </c>
      <c r="M14332" s="25">
        <v>395313.95</v>
      </c>
      <c r="N14332" s="27">
        <v>0.18500001443156736</v>
      </c>
    </row>
    <row r="14333" spans="1:14" hidden="1" outlineLevel="1" x14ac:dyDescent="0.2">
      <c r="A14333" s="23" t="str">
        <f t="shared" si="481"/>
        <v>ГБУЗ "ДГП № 130 ДЗМ"</v>
      </c>
      <c r="B14333" s="24" t="s">
        <v>19052</v>
      </c>
      <c r="C14333" s="25">
        <v>485047.8</v>
      </c>
      <c r="D14333" s="22" t="s">
        <v>19053</v>
      </c>
      <c r="E14333" s="22" t="s">
        <v>756</v>
      </c>
      <c r="F14333" s="23" t="str">
        <f t="shared" si="482"/>
        <v>Оказание услуг по техническому обслуживанию автоматической пожарной сигнализации (АПС), системы речевого оповещения людей о пожаре (СОУЭ) в ГБУЗ "ДГП № 130 ДЗМ" в 2019-2020 гг.</v>
      </c>
      <c r="G14333" s="22" t="s">
        <v>56</v>
      </c>
      <c r="H14333" s="22" t="s">
        <v>56</v>
      </c>
      <c r="I14333" s="26">
        <v>43649.541666666701</v>
      </c>
      <c r="J14333" s="23" t="str">
        <f>HYPERLINK("https://www.spark-marketing.ru/Card/Person/6581370", "ООО ""СТРОЙ ТРЕЙД""")</f>
        <v>ООО "СТРОЙ ТРЕЙД"</v>
      </c>
      <c r="K14333" s="24" t="s">
        <v>19055</v>
      </c>
      <c r="L14333" s="28" t="s">
        <v>51</v>
      </c>
      <c r="M14333" s="25">
        <v>446243.97</v>
      </c>
      <c r="N14333" s="27">
        <v>8.0000012369914886E-2</v>
      </c>
    </row>
    <row r="14334" spans="1:14" hidden="1" outlineLevel="1" x14ac:dyDescent="0.2">
      <c r="A14334" s="23" t="str">
        <f t="shared" si="481"/>
        <v>ГБУЗ "ДГП № 130 ДЗМ"</v>
      </c>
      <c r="B14334" s="24" t="s">
        <v>19052</v>
      </c>
      <c r="C14334" s="25">
        <v>485047.8</v>
      </c>
      <c r="D14334" s="22" t="s">
        <v>19053</v>
      </c>
      <c r="E14334" s="22" t="s">
        <v>756</v>
      </c>
      <c r="F14334" s="23" t="str">
        <f t="shared" si="482"/>
        <v>Оказание услуг по техническому обслуживанию автоматической пожарной сигнализации (АПС), системы речевого оповещения людей о пожаре (СОУЭ) в ГБУЗ "ДГП № 130 ДЗМ" в 2019-2020 гг.</v>
      </c>
      <c r="G14334" s="22" t="s">
        <v>56</v>
      </c>
      <c r="H14334" s="22" t="s">
        <v>56</v>
      </c>
      <c r="I14334" s="26">
        <v>43649.541666666701</v>
      </c>
      <c r="J14334" s="23" t="str">
        <f>HYPERLINK("https://www.spark-marketing.ru/Card/Person/6463004", "ООО ""ГК МЕГАБАЙТ""")</f>
        <v>ООО "ГК МЕГАБАЙТ"</v>
      </c>
      <c r="K14334" s="24" t="s">
        <v>19056</v>
      </c>
      <c r="L14334" s="28" t="s">
        <v>51</v>
      </c>
      <c r="M14334" s="25">
        <v>368636.32</v>
      </c>
      <c r="N14334" s="27">
        <v>0.24000001649321984</v>
      </c>
    </row>
    <row r="14335" spans="1:14" hidden="1" outlineLevel="1" x14ac:dyDescent="0.2">
      <c r="A14335" s="23" t="str">
        <f t="shared" si="481"/>
        <v>ГБУЗ "ДГП № 130 ДЗМ"</v>
      </c>
      <c r="B14335" s="24" t="s">
        <v>19052</v>
      </c>
      <c r="C14335" s="25">
        <v>485047.8</v>
      </c>
      <c r="D14335" s="22" t="s">
        <v>19053</v>
      </c>
      <c r="E14335" s="22" t="s">
        <v>756</v>
      </c>
      <c r="F14335" s="23" t="str">
        <f t="shared" si="482"/>
        <v>Оказание услуг по техническому обслуживанию автоматической пожарной сигнализации (АПС), системы речевого оповещения людей о пожаре (СОУЭ) в ГБУЗ "ДГП № 130 ДЗМ" в 2019-2020 гг.</v>
      </c>
      <c r="G14335" s="22" t="s">
        <v>56</v>
      </c>
      <c r="H14335" s="22" t="s">
        <v>56</v>
      </c>
      <c r="I14335" s="26">
        <v>43649.541666666701</v>
      </c>
      <c r="J14335" s="23" t="str">
        <f>HYPERLINK("https://www.spark-marketing.ru/Card/Person/6262263", "ООО ""АЛЫЙ ПАРУС ТЕХНО ПРО""")</f>
        <v>ООО "АЛЫЙ ПАРУС ТЕХНО ПРО"</v>
      </c>
      <c r="K14335" s="24" t="s">
        <v>12490</v>
      </c>
      <c r="L14335" s="28" t="s">
        <v>51</v>
      </c>
      <c r="M14335" s="25">
        <v>126112.38</v>
      </c>
      <c r="N14335" s="27">
        <v>0.74000009895931906</v>
      </c>
    </row>
    <row r="14336" spans="1:14" hidden="1" outlineLevel="1" x14ac:dyDescent="0.2">
      <c r="A14336" s="23" t="str">
        <f t="shared" si="481"/>
        <v>ГБУЗ "ДГП № 130 ДЗМ"</v>
      </c>
      <c r="B14336" s="24" t="s">
        <v>19052</v>
      </c>
      <c r="C14336" s="25">
        <v>485047.8</v>
      </c>
      <c r="D14336" s="22" t="s">
        <v>19053</v>
      </c>
      <c r="E14336" s="22" t="s">
        <v>756</v>
      </c>
      <c r="F14336" s="23" t="str">
        <f t="shared" si="482"/>
        <v>Оказание услуг по техническому обслуживанию автоматической пожарной сигнализации (АПС), системы речевого оповещения людей о пожаре (СОУЭ) в ГБУЗ "ДГП № 130 ДЗМ" в 2019-2020 гг.</v>
      </c>
      <c r="G14336" s="22" t="s">
        <v>56</v>
      </c>
      <c r="H14336" s="22" t="s">
        <v>56</v>
      </c>
      <c r="I14336" s="26">
        <v>43649.541666666701</v>
      </c>
      <c r="J14336" s="23" t="str">
        <f>HYPERLINK("https://www.spark-marketing.ru/Card/Person/6462474", "ООО ""ФАВОР""")</f>
        <v>ООО "ФАВОР"</v>
      </c>
      <c r="K14336" s="24" t="s">
        <v>12488</v>
      </c>
      <c r="L14336" s="28" t="s">
        <v>51</v>
      </c>
      <c r="M14336" s="25">
        <v>240098.63</v>
      </c>
      <c r="N14336" s="27">
        <v>0.50500006391122687</v>
      </c>
    </row>
    <row r="14337" spans="1:14" hidden="1" outlineLevel="1" x14ac:dyDescent="0.2">
      <c r="A14337" s="23" t="str">
        <f t="shared" si="481"/>
        <v>ГБУЗ "ДГП № 130 ДЗМ"</v>
      </c>
      <c r="B14337" s="24" t="s">
        <v>19052</v>
      </c>
      <c r="C14337" s="25">
        <v>485047.8</v>
      </c>
      <c r="D14337" s="22" t="s">
        <v>19053</v>
      </c>
      <c r="E14337" s="22" t="s">
        <v>756</v>
      </c>
      <c r="F14337" s="23" t="str">
        <f t="shared" si="482"/>
        <v>Оказание услуг по техническому обслуживанию автоматической пожарной сигнализации (АПС), системы речевого оповещения людей о пожаре (СОУЭ) в ГБУЗ "ДГП № 130 ДЗМ" в 2019-2020 гг.</v>
      </c>
      <c r="G14337" s="22" t="s">
        <v>56</v>
      </c>
      <c r="H14337" s="22" t="s">
        <v>56</v>
      </c>
      <c r="I14337" s="26">
        <v>43649.541666666701</v>
      </c>
      <c r="J14337" s="23" t="str">
        <f>HYPERLINK("https://www.spark-marketing.ru/Card/Person/2014985", "ООО ""ПОЖТЕХАВТОМАТИКА""")</f>
        <v>ООО "ПОЖТЕХАВТОМАТИКА"</v>
      </c>
      <c r="K14337" s="24" t="s">
        <v>12486</v>
      </c>
      <c r="L14337" s="28" t="s">
        <v>51</v>
      </c>
      <c r="M14337" s="25">
        <v>329832.48</v>
      </c>
      <c r="N14337" s="27">
        <v>0.32000004947965954</v>
      </c>
    </row>
    <row r="14338" spans="1:14" hidden="1" outlineLevel="1" x14ac:dyDescent="0.2">
      <c r="A14338" s="23" t="str">
        <f t="shared" si="481"/>
        <v>ГБУЗ "ДГП № 130 ДЗМ"</v>
      </c>
      <c r="B14338" s="24" t="s">
        <v>19052</v>
      </c>
      <c r="C14338" s="25">
        <v>485047.8</v>
      </c>
      <c r="D14338" s="22" t="s">
        <v>19053</v>
      </c>
      <c r="E14338" s="22" t="s">
        <v>756</v>
      </c>
      <c r="F14338" s="23" t="str">
        <f t="shared" si="482"/>
        <v>Оказание услуг по техническому обслуживанию автоматической пожарной сигнализации (АПС), системы речевого оповещения людей о пожаре (СОУЭ) в ГБУЗ "ДГП № 130 ДЗМ" в 2019-2020 гг.</v>
      </c>
      <c r="G14338" s="22" t="s">
        <v>56</v>
      </c>
      <c r="H14338" s="22" t="s">
        <v>56</v>
      </c>
      <c r="I14338" s="26">
        <v>43649.541666666701</v>
      </c>
      <c r="J14338" s="23" t="str">
        <f>HYPERLINK("https://www.spark-marketing.ru/Card/Person/438257", "ООО ""ТЕХНО-ГАРАНТ""")</f>
        <v>ООО "ТЕХНО-ГАРАНТ"</v>
      </c>
      <c r="K14338" s="24" t="s">
        <v>19057</v>
      </c>
      <c r="L14338" s="28" t="s">
        <v>51</v>
      </c>
      <c r="M14338" s="25">
        <v>121261.9</v>
      </c>
      <c r="N14338" s="27">
        <v>0.75000010308262399</v>
      </c>
    </row>
    <row r="14339" spans="1:14" hidden="1" outlineLevel="1" x14ac:dyDescent="0.2">
      <c r="A14339" s="23" t="str">
        <f t="shared" si="481"/>
        <v>ГБУЗ "ДГП № 130 ДЗМ"</v>
      </c>
      <c r="B14339" s="24" t="s">
        <v>19052</v>
      </c>
      <c r="C14339" s="25">
        <v>485047.8</v>
      </c>
      <c r="D14339" s="22" t="s">
        <v>19053</v>
      </c>
      <c r="E14339" s="22" t="s">
        <v>756</v>
      </c>
      <c r="F14339" s="23" t="str">
        <f t="shared" si="482"/>
        <v>Оказание услуг по техническому обслуживанию автоматической пожарной сигнализации (АПС), системы речевого оповещения людей о пожаре (СОУЭ) в ГБУЗ "ДГП № 130 ДЗМ" в 2019-2020 гг.</v>
      </c>
      <c r="G14339" s="22" t="s">
        <v>56</v>
      </c>
      <c r="H14339" s="22" t="s">
        <v>56</v>
      </c>
      <c r="I14339" s="26">
        <v>43649.541666666701</v>
      </c>
      <c r="J14339" s="23" t="str">
        <f>HYPERLINK("https://www.spark-marketing.ru/Card/Person/6615547", "ООО ""МСКА ИНЖИНИРИНГ""")</f>
        <v>ООО "МСКА ИНЖИНИРИНГ"</v>
      </c>
      <c r="K14339" s="24" t="s">
        <v>12491</v>
      </c>
      <c r="L14339" s="28" t="s">
        <v>51</v>
      </c>
      <c r="M14339" s="25">
        <v>118836.66</v>
      </c>
      <c r="N14339" s="27">
        <v>0.75500010514427651</v>
      </c>
    </row>
    <row r="14340" spans="1:14" hidden="1" outlineLevel="1" x14ac:dyDescent="0.2">
      <c r="A14340" s="23" t="str">
        <f t="shared" si="481"/>
        <v>ГБУЗ "ДГП № 130 ДЗМ"</v>
      </c>
      <c r="B14340" s="24" t="s">
        <v>19052</v>
      </c>
      <c r="C14340" s="25">
        <v>485047.8</v>
      </c>
      <c r="D14340" s="22" t="s">
        <v>19053</v>
      </c>
      <c r="E14340" s="22" t="s">
        <v>756</v>
      </c>
      <c r="F14340" s="23" t="str">
        <f t="shared" si="482"/>
        <v>Оказание услуг по техническому обслуживанию автоматической пожарной сигнализации (АПС), системы речевого оповещения людей о пожаре (СОУЭ) в ГБУЗ "ДГП № 130 ДЗМ" в 2019-2020 гг.</v>
      </c>
      <c r="G14340" s="22" t="s">
        <v>56</v>
      </c>
      <c r="H14340" s="22" t="s">
        <v>56</v>
      </c>
      <c r="I14340" s="26">
        <v>43649.541666666701</v>
      </c>
      <c r="J14340" s="23" t="str">
        <f>HYPERLINK("https://www.spark-marketing.ru/Card/Person/5921742", "ООО ""КСБ""")</f>
        <v>ООО "КСБ"</v>
      </c>
      <c r="K14340" s="24" t="s">
        <v>7553</v>
      </c>
      <c r="L14340" s="28" t="s">
        <v>51</v>
      </c>
      <c r="M14340" s="25">
        <v>356510.12</v>
      </c>
      <c r="N14340" s="27">
        <v>0.26500002680148227</v>
      </c>
    </row>
    <row r="14341" spans="1:14" ht="12.75" hidden="1" outlineLevel="1" x14ac:dyDescent="0.2">
      <c r="A14341" s="23" t="str">
        <f t="shared" si="481"/>
        <v>ГБУЗ "ДГП № 130 ДЗМ"</v>
      </c>
      <c r="B14341" s="24" t="s">
        <v>19052</v>
      </c>
      <c r="C14341" s="25">
        <v>485047.8</v>
      </c>
      <c r="D14341" s="22" t="s">
        <v>19053</v>
      </c>
      <c r="E14341" s="22" t="s">
        <v>756</v>
      </c>
      <c r="F14341" s="23" t="str">
        <f t="shared" si="482"/>
        <v>Оказание услуг по техническому обслуживанию автоматической пожарной сигнализации (АПС), системы речевого оповещения людей о пожаре (СОУЭ) в ГБУЗ "ДГП № 130 ДЗМ" в 2019-2020 гг.</v>
      </c>
      <c r="G14341" s="22" t="s">
        <v>56</v>
      </c>
      <c r="H14341" s="22" t="s">
        <v>56</v>
      </c>
      <c r="I14341" s="26">
        <v>43649.541666666701</v>
      </c>
      <c r="J14341" s="23" t="str">
        <f>HYPERLINK("https://www.spark-marketing.ru/Card/Person/6364371", "ООО ""ЛТБ""")</f>
        <v>ООО "ЛТБ"</v>
      </c>
      <c r="K14341" s="24" t="s">
        <v>17380</v>
      </c>
      <c r="L14341" s="22" t="s">
        <v>10</v>
      </c>
      <c r="M14341" s="25">
        <v>94584.27</v>
      </c>
      <c r="N14341" s="27">
        <v>0.80500010514427656</v>
      </c>
    </row>
    <row r="14342" spans="1:14" x14ac:dyDescent="0.15">
      <c r="A14342" s="23" t="str">
        <f>HYPERLINK("https://www.spark-marketing.ru/Card/Person/1006852", "МБДОУ ""ДЕТСКИЙ САД ""СКАЗКА""")</f>
        <v>МБДОУ "ДЕТСКИЙ САД "СКАЗКА"</v>
      </c>
      <c r="B14342" s="24" t="s">
        <v>19058</v>
      </c>
      <c r="C14342" s="25">
        <v>66180</v>
      </c>
      <c r="D14342" s="22" t="s">
        <v>19059</v>
      </c>
      <c r="E14342" s="22" t="s">
        <v>19060</v>
      </c>
      <c r="F14342" s="23" t="str">
        <f>HYPERLINK("https://www.spark-marketing.ru/Card/Lot/71874866", "Закупка товаров, работы и услуги  по запросу котировок на основании ст.72 44-ФЗ")</f>
        <v>Закупка товаров, работы и услуги  по запросу котировок на основании ст.72 44-ФЗ</v>
      </c>
      <c r="G14342" s="22" t="s">
        <v>267</v>
      </c>
      <c r="H14342" s="22" t="s">
        <v>267</v>
      </c>
      <c r="I14342" s="26">
        <v>43649.570138888899</v>
      </c>
      <c r="J14342" s="28" t="s">
        <v>51</v>
      </c>
      <c r="K14342" s="28" t="s">
        <v>51</v>
      </c>
      <c r="L14342" s="28" t="s">
        <v>51</v>
      </c>
      <c r="M14342" s="28" t="s">
        <v>51</v>
      </c>
      <c r="N14342" s="28" t="s">
        <v>51</v>
      </c>
    </row>
    <row r="14343" spans="1:14" x14ac:dyDescent="0.15">
      <c r="A14343" s="23" t="str">
        <f>HYPERLINK("https://www.spark-marketing.ru/Card/Person/6065", "ФГКОУ ВО ""ВОЛГОГРАДСКАЯ АКАДЕМИЯ МВД РОССИИ"", ВОЛГОГРАДСКАЯ АКАДЕМИЯ МВД РОССИИ, ВА МВД РОССИИ")</f>
        <v>ФГКОУ ВО "ВОЛГОГРАДСКАЯ АКАДЕМИЯ МВД РОССИИ", ВОЛГОГРАДСКАЯ АКАДЕМИЯ МВД РОССИИ, ВА МВД РОССИИ</v>
      </c>
      <c r="B14343" s="24" t="s">
        <v>16859</v>
      </c>
      <c r="C14343" s="25">
        <v>13696891.199999999</v>
      </c>
      <c r="D14343" s="22" t="s">
        <v>19061</v>
      </c>
      <c r="E14343" s="22" t="s">
        <v>48</v>
      </c>
      <c r="F14343" s="23" t="str">
        <f>HYPERLINK("https://www.spark-marketing.ru/Card/Lot/71879431", "Оказание услуг по организации питания обучающихся из числа сотрудников правоохранительных органов зарубежных государств в федеральном государственном казенном образовательном учреждении высшего образования «Волгоградская академия Министерства внутрен...")</f>
        <v>Оказание услуг по организации питания обучающихся из числа сотрудников правоохранительных органов зарубежных государств в федеральном государственном казенном образовательном учреждении высшего образования «Волгоградская академия Министерства внутрен...</v>
      </c>
      <c r="G14343" s="22" t="s">
        <v>158</v>
      </c>
      <c r="H14343" s="22" t="s">
        <v>158</v>
      </c>
      <c r="I14343" s="26">
        <v>43649.5756944444</v>
      </c>
      <c r="J14343" s="28" t="s">
        <v>51</v>
      </c>
      <c r="K14343" s="28" t="s">
        <v>51</v>
      </c>
      <c r="L14343" s="28" t="s">
        <v>51</v>
      </c>
      <c r="M14343" s="28" t="s">
        <v>51</v>
      </c>
      <c r="N14343" s="28" t="s">
        <v>51</v>
      </c>
    </row>
    <row r="14344" spans="1:14" ht="12.75" hidden="1" outlineLevel="1" x14ac:dyDescent="0.2">
      <c r="A14344" s="23" t="str">
        <f>HYPERLINK("https://www.spark-marketing.ru/Card/Person/6065", "ФГКОУ ВО ""ВОЛГОГРАДСКАЯ АКАДЕМИЯ МВД РОССИИ"", ВОЛГОГРАДСКАЯ АКАДЕМИЯ МВД РОССИИ, ВА МВД РОССИИ")</f>
        <v>ФГКОУ ВО "ВОЛГОГРАДСКАЯ АКАДЕМИЯ МВД РОССИИ", ВОЛГОГРАДСКАЯ АКАДЕМИЯ МВД РОССИИ, ВА МВД РОССИИ</v>
      </c>
      <c r="B14344" s="24" t="s">
        <v>16859</v>
      </c>
      <c r="C14344" s="25">
        <v>13696891.199999999</v>
      </c>
      <c r="D14344" s="22" t="s">
        <v>19061</v>
      </c>
      <c r="E14344" s="22" t="s">
        <v>48</v>
      </c>
      <c r="F14344" s="23" t="str">
        <f>HYPERLINK("https://www.spark-marketing.ru/Card/Lot/71879431", "Оказание услуг по организации питания обучающихся из числа сотрудников правоохранительных органов зарубежных государств в федеральном государственном казенном образовательном учреждении высшего образования «Волгоградская академия Министерства внутрен...")</f>
        <v>Оказание услуг по организации питания обучающихся из числа сотрудников правоохранительных органов зарубежных государств в федеральном государственном казенном образовательном учреждении высшего образования «Волгоградская академия Министерства внутрен...</v>
      </c>
      <c r="G14344" s="22" t="s">
        <v>158</v>
      </c>
      <c r="H14344" s="22" t="s">
        <v>158</v>
      </c>
      <c r="I14344" s="26">
        <v>43649.5756944444</v>
      </c>
      <c r="J14344" s="23" t="str">
        <f>HYPERLINK("https://www.spark-marketing.ru/Card/Person/124102", "Ефимова Вера Ивановна")</f>
        <v>Ефимова Вера Ивановна</v>
      </c>
      <c r="K14344" s="24" t="s">
        <v>16861</v>
      </c>
      <c r="L14344" s="22" t="s">
        <v>10</v>
      </c>
      <c r="M14344" s="25">
        <v>402.4</v>
      </c>
      <c r="N14344" s="27">
        <v>0.99997062107056822</v>
      </c>
    </row>
    <row r="14345" spans="1:14" hidden="1" outlineLevel="1" x14ac:dyDescent="0.2">
      <c r="A14345" s="23" t="str">
        <f>HYPERLINK("https://www.spark-marketing.ru/Card/Person/6065", "ФГКОУ ВО ""ВОЛГОГРАДСКАЯ АКАДЕМИЯ МВД РОССИИ"", ВОЛГОГРАДСКАЯ АКАДЕМИЯ МВД РОССИИ, ВА МВД РОССИИ")</f>
        <v>ФГКОУ ВО "ВОЛГОГРАДСКАЯ АКАДЕМИЯ МВД РОССИИ", ВОЛГОГРАДСКАЯ АКАДЕМИЯ МВД РОССИИ, ВА МВД РОССИИ</v>
      </c>
      <c r="B14345" s="24" t="s">
        <v>16859</v>
      </c>
      <c r="C14345" s="25">
        <v>13696891.199999999</v>
      </c>
      <c r="D14345" s="22" t="s">
        <v>19061</v>
      </c>
      <c r="E14345" s="22" t="s">
        <v>48</v>
      </c>
      <c r="F14345" s="23" t="str">
        <f>HYPERLINK("https://www.spark-marketing.ru/Card/Lot/71879431", "Оказание услуг по организации питания обучающихся из числа сотрудников правоохранительных органов зарубежных государств в федеральном государственном казенном образовательном учреждении высшего образования «Волгоградская академия Министерства внутрен...")</f>
        <v>Оказание услуг по организации питания обучающихся из числа сотрудников правоохранительных органов зарубежных государств в федеральном государственном казенном образовательном учреждении высшего образования «Волгоградская академия Министерства внутрен...</v>
      </c>
      <c r="G14345" s="22" t="s">
        <v>158</v>
      </c>
      <c r="H14345" s="22" t="s">
        <v>158</v>
      </c>
      <c r="I14345" s="26">
        <v>43649.5756944444</v>
      </c>
      <c r="J14345" s="23" t="str">
        <f>HYPERLINK("https://www.spark-marketing.ru/Card/Person/2519355", "ООО ""ДЭЛИС""")</f>
        <v>ООО "ДЭЛИС"</v>
      </c>
      <c r="K14345" s="24" t="s">
        <v>19062</v>
      </c>
      <c r="L14345" s="28" t="s">
        <v>51</v>
      </c>
      <c r="M14345" s="25">
        <v>388.33</v>
      </c>
      <c r="N14345" s="27">
        <v>0.99997164831096852</v>
      </c>
    </row>
    <row r="14346" spans="1:14" hidden="1" outlineLevel="1" x14ac:dyDescent="0.2">
      <c r="A14346" s="23" t="str">
        <f>HYPERLINK("https://www.spark-marketing.ru/Card/Person/6065", "ФГКОУ ВО ""ВОЛГОГРАДСКАЯ АКАДЕМИЯ МВД РОССИИ"", ВОЛГОГРАДСКАЯ АКАДЕМИЯ МВД РОССИИ, ВА МВД РОССИИ")</f>
        <v>ФГКОУ ВО "ВОЛГОГРАДСКАЯ АКАДЕМИЯ МВД РОССИИ", ВОЛГОГРАДСКАЯ АКАДЕМИЯ МВД РОССИИ, ВА МВД РОССИИ</v>
      </c>
      <c r="B14346" s="24" t="s">
        <v>16859</v>
      </c>
      <c r="C14346" s="25">
        <v>13696891.199999999</v>
      </c>
      <c r="D14346" s="22" t="s">
        <v>19061</v>
      </c>
      <c r="E14346" s="22" t="s">
        <v>48</v>
      </c>
      <c r="F14346" s="23" t="str">
        <f>HYPERLINK("https://www.spark-marketing.ru/Card/Lot/71879431", "Оказание услуг по организации питания обучающихся из числа сотрудников правоохранительных органов зарубежных государств в федеральном государственном казенном образовательном учреждении высшего образования «Волгоградская академия Министерства внутрен...")</f>
        <v>Оказание услуг по организации питания обучающихся из числа сотрудников правоохранительных органов зарубежных государств в федеральном государственном казенном образовательном учреждении высшего образования «Волгоградская академия Министерства внутрен...</v>
      </c>
      <c r="G14346" s="22" t="s">
        <v>158</v>
      </c>
      <c r="H14346" s="22" t="s">
        <v>158</v>
      </c>
      <c r="I14346" s="26">
        <v>43649.5756944444</v>
      </c>
      <c r="J14346" s="23" t="str">
        <f>HYPERLINK("https://www.spark-marketing.ru/Card/Person/2158501", "ООО ""ЦАРЬ-ТУР""")</f>
        <v>ООО "ЦАРЬ-ТУР"</v>
      </c>
      <c r="K14346" s="24" t="s">
        <v>19063</v>
      </c>
      <c r="L14346" s="28" t="s">
        <v>51</v>
      </c>
      <c r="M14346" s="25">
        <v>386.32</v>
      </c>
      <c r="N14346" s="27">
        <v>0.99997179505959721</v>
      </c>
    </row>
    <row r="14347" spans="1:14" x14ac:dyDescent="0.15">
      <c r="A14347" s="23" t="str">
        <f>HYPERLINK("https://www.spark-marketing.ru/Card/Person/242935", "ГБУ НСО ""ЦМТ""")</f>
        <v>ГБУ НСО "ЦМТ"</v>
      </c>
      <c r="B14347" s="24" t="s">
        <v>4918</v>
      </c>
      <c r="C14347" s="25">
        <v>141000</v>
      </c>
      <c r="D14347" s="22" t="s">
        <v>19064</v>
      </c>
      <c r="E14347" s="22" t="s">
        <v>48</v>
      </c>
      <c r="F14347" s="23" t="str">
        <f>HYPERLINK("https://www.spark-marketing.ru/Card/Lot/71861933", "оказание услуг по организации питания для участников окружной платформы «Крылья возможностей»")</f>
        <v>оказание услуг по организации питания для участников окружной платформы «Крылья возможностей»</v>
      </c>
      <c r="G14347" s="22" t="s">
        <v>195</v>
      </c>
      <c r="H14347" s="22" t="s">
        <v>196</v>
      </c>
      <c r="I14347" s="26">
        <v>43649.5402777778</v>
      </c>
      <c r="J14347" s="28" t="s">
        <v>51</v>
      </c>
      <c r="K14347" s="28" t="s">
        <v>51</v>
      </c>
      <c r="L14347" s="28" t="s">
        <v>51</v>
      </c>
      <c r="M14347" s="28" t="s">
        <v>51</v>
      </c>
      <c r="N14347" s="28" t="s">
        <v>51</v>
      </c>
    </row>
    <row r="14348" spans="1:14" ht="12.75" hidden="1" outlineLevel="1" x14ac:dyDescent="0.2">
      <c r="A14348" s="23" t="str">
        <f>HYPERLINK("https://www.spark-marketing.ru/Card/Person/242935", "ГБУ НСО ""ЦМТ""")</f>
        <v>ГБУ НСО "ЦМТ"</v>
      </c>
      <c r="B14348" s="24" t="s">
        <v>4918</v>
      </c>
      <c r="C14348" s="25">
        <v>141000</v>
      </c>
      <c r="D14348" s="22" t="s">
        <v>19064</v>
      </c>
      <c r="E14348" s="22" t="s">
        <v>48</v>
      </c>
      <c r="F14348" s="23" t="str">
        <f>HYPERLINK("https://www.spark-marketing.ru/Card/Lot/71861933", "оказание услуг по организации питания для участников окружной платформы «Крылья возможностей»")</f>
        <v>оказание услуг по организации питания для участников окружной платформы «Крылья возможностей»</v>
      </c>
      <c r="G14348" s="22" t="s">
        <v>195</v>
      </c>
      <c r="H14348" s="22" t="s">
        <v>196</v>
      </c>
      <c r="I14348" s="26">
        <v>43649.5402777778</v>
      </c>
      <c r="J14348" s="23" t="str">
        <f>HYPERLINK("https://www.spark-marketing.ru/Card/Person/382754", "ООО "" ВИЗАНТИЯ-1""")</f>
        <v>ООО " ВИЗАНТИЯ-1"</v>
      </c>
      <c r="K14348" s="24" t="s">
        <v>19065</v>
      </c>
      <c r="L14348" s="22" t="s">
        <v>10</v>
      </c>
      <c r="M14348" s="25">
        <v>141000</v>
      </c>
      <c r="N14348" s="27">
        <v>0</v>
      </c>
    </row>
    <row r="14349" spans="1:14" hidden="1" outlineLevel="1" x14ac:dyDescent="0.2">
      <c r="A14349" s="23" t="str">
        <f>HYPERLINK("https://www.spark-marketing.ru/Card/Person/242935", "ГБУ НСО ""ЦМТ""")</f>
        <v>ГБУ НСО "ЦМТ"</v>
      </c>
      <c r="B14349" s="24" t="s">
        <v>4918</v>
      </c>
      <c r="C14349" s="25">
        <v>141000</v>
      </c>
      <c r="D14349" s="22" t="s">
        <v>19064</v>
      </c>
      <c r="E14349" s="22" t="s">
        <v>48</v>
      </c>
      <c r="F14349" s="23" t="str">
        <f>HYPERLINK("https://www.spark-marketing.ru/Card/Lot/71861933", "оказание услуг по организации питания для участников окружной платформы «Крылья возможностей»")</f>
        <v>оказание услуг по организации питания для участников окружной платформы «Крылья возможностей»</v>
      </c>
      <c r="G14349" s="22" t="s">
        <v>195</v>
      </c>
      <c r="H14349" s="22" t="s">
        <v>196</v>
      </c>
      <c r="I14349" s="26">
        <v>43649.5402777778</v>
      </c>
      <c r="J14349" s="23" t="str">
        <f>HYPERLINK("https://www.spark-marketing.ru/Card/Person/5861503", "ООО ""ПАРИТЕТ""")</f>
        <v>ООО "ПАРИТЕТ"</v>
      </c>
      <c r="K14349" s="24" t="s">
        <v>19066</v>
      </c>
      <c r="L14349" s="28" t="s">
        <v>51</v>
      </c>
      <c r="M14349" s="25">
        <v>141000</v>
      </c>
      <c r="N14349" s="27">
        <v>0</v>
      </c>
    </row>
    <row r="14350" spans="1:14" x14ac:dyDescent="0.15">
      <c r="A14350" s="23" t="str">
        <f>HYPERLINK("https://www.spark-marketing.ru/Card/Person/53322", "ГУ - ТАМБОВСКОЕ РО ФОНДА СОЦИАЛЬНОГО СТРАХОВАНИЯ РОССИЙСКОЙ ФЕДЕРАЦИИ")</f>
        <v>ГУ - ТАМБОВСКОЕ РО ФОНДА СОЦИАЛЬНОГО СТРАХОВАНИЯ РОССИЙСКОЙ ФЕДЕРАЦИИ</v>
      </c>
      <c r="B14350" s="24" t="s">
        <v>3458</v>
      </c>
      <c r="C14350" s="25">
        <v>4604013</v>
      </c>
      <c r="D14350" s="22" t="s">
        <v>19067</v>
      </c>
      <c r="E14350" s="22" t="s">
        <v>86</v>
      </c>
      <c r="F14350" s="23" t="str">
        <f>HYPERLINK("https://www.spark-marketing.ru/Card/Lot/71879354", "Оказание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нервной системы», «болезни костно-мышечной системы и соед...")</f>
        <v>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нервной системы», «болезни костно-мышечной системы и соед...</v>
      </c>
      <c r="G14350" s="22" t="s">
        <v>1370</v>
      </c>
      <c r="H14350" s="22" t="s">
        <v>1370</v>
      </c>
      <c r="I14350" s="26">
        <v>43649.538888888899</v>
      </c>
      <c r="J14350" s="23" t="str">
        <f>HYPERLINK("https://www.spark-marketing.ru/Card/Person/315730", "ОАО ""ТАМБОВКУРОРТ""")</f>
        <v>ОАО "ТАМБОВКУРОРТ"</v>
      </c>
      <c r="K14350" s="24" t="s">
        <v>3460</v>
      </c>
      <c r="L14350" s="22" t="s">
        <v>10</v>
      </c>
      <c r="M14350" s="28" t="s">
        <v>51</v>
      </c>
      <c r="N14350" s="28" t="s">
        <v>51</v>
      </c>
    </row>
    <row r="14351" spans="1:14" x14ac:dyDescent="0.15">
      <c r="A14351" s="23" t="str">
        <f>HYPERLINK("https://www.spark-marketing.ru/Card/Person/22844", "СПБ ГБУ СШОР ПО ФУТБОЛУ ""ЗЕНИТ""")</f>
        <v>СПБ ГБУ СШОР ПО ФУТБОЛУ "ЗЕНИТ"</v>
      </c>
      <c r="B14351" s="24" t="s">
        <v>19068</v>
      </c>
      <c r="C14351" s="25">
        <v>1088374.8700000001</v>
      </c>
      <c r="D14351" s="22" t="s">
        <v>19069</v>
      </c>
      <c r="E14351" s="22" t="s">
        <v>19070</v>
      </c>
      <c r="F14351" s="23" t="str">
        <f>HYPERLINK("https://www.spark-marketing.ru/Card/Lot/71878726", "Оказание услуг по бронированию, оформлению и доставке авиабилетов, бронированию номеров в гостиницах и организации питания для спортивных команд учреждения, направляемых на спортивные мероприятия в г. Калининград")</f>
        <v>Оказание услуг по бронированию, оформлению и доставке авиабилетов, бронированию номеров в гостиницах и организации питания для спортивных команд учреждения, направляемых на спортивные мероприятия в г. Калининград</v>
      </c>
      <c r="G14351" s="22" t="s">
        <v>117</v>
      </c>
      <c r="H14351" s="22" t="s">
        <v>117</v>
      </c>
      <c r="I14351" s="26">
        <v>43649.525694444397</v>
      </c>
      <c r="J14351" s="28" t="s">
        <v>51</v>
      </c>
      <c r="K14351" s="28" t="s">
        <v>51</v>
      </c>
      <c r="L14351" s="28" t="s">
        <v>51</v>
      </c>
      <c r="M14351" s="28" t="s">
        <v>51</v>
      </c>
      <c r="N14351" s="28" t="s">
        <v>51</v>
      </c>
    </row>
    <row r="14352" spans="1:14" hidden="1" outlineLevel="1" x14ac:dyDescent="0.2">
      <c r="A14352" s="23" t="str">
        <f>HYPERLINK("https://www.spark-marketing.ru/Card/Person/22844", "СПБ ГБУ СШОР ПО ФУТБОЛУ ""ЗЕНИТ""")</f>
        <v>СПБ ГБУ СШОР ПО ФУТБОЛУ "ЗЕНИТ"</v>
      </c>
      <c r="B14352" s="24" t="s">
        <v>19068</v>
      </c>
      <c r="C14352" s="25">
        <v>1088374.8700000001</v>
      </c>
      <c r="D14352" s="22" t="s">
        <v>19069</v>
      </c>
      <c r="E14352" s="22" t="s">
        <v>19070</v>
      </c>
      <c r="F14352" s="23" t="str">
        <f>HYPERLINK("https://www.spark-marketing.ru/Card/Lot/71878726", "Оказание услуг по бронированию, оформлению и доставке авиабилетов, бронированию номеров в гостиницах и организации питания для спортивных команд учреждения, направляемых на спортивные мероприятия в г. Калининград")</f>
        <v>Оказание услуг по бронированию, оформлению и доставке авиабилетов, бронированию номеров в гостиницах и организации питания для спортивных команд учреждения, направляемых на спортивные мероприятия в г. Калининград</v>
      </c>
      <c r="G14352" s="22" t="s">
        <v>117</v>
      </c>
      <c r="H14352" s="22" t="s">
        <v>117</v>
      </c>
      <c r="I14352" s="26">
        <v>43649.525694444397</v>
      </c>
      <c r="J14352" s="23" t="str">
        <f>HYPERLINK("https://www.spark-marketing.ru/Card/Person/6501154", "ООО ""ГИГАНТ""")</f>
        <v>ООО "ГИГАНТ"</v>
      </c>
      <c r="K14352" s="24" t="s">
        <v>9887</v>
      </c>
      <c r="L14352" s="28" t="s">
        <v>51</v>
      </c>
      <c r="M14352" s="25">
        <v>4038.41</v>
      </c>
      <c r="N14352" s="27">
        <v>0.99628950455278331</v>
      </c>
    </row>
    <row r="14353" spans="1:14" ht="12.75" hidden="1" outlineLevel="1" x14ac:dyDescent="0.2">
      <c r="A14353" s="23" t="str">
        <f>HYPERLINK("https://www.spark-marketing.ru/Card/Person/22844", "СПБ ГБУ СШОР ПО ФУТБОЛУ ""ЗЕНИТ""")</f>
        <v>СПБ ГБУ СШОР ПО ФУТБОЛУ "ЗЕНИТ"</v>
      </c>
      <c r="B14353" s="24" t="s">
        <v>19068</v>
      </c>
      <c r="C14353" s="25">
        <v>1088374.8700000001</v>
      </c>
      <c r="D14353" s="22" t="s">
        <v>19069</v>
      </c>
      <c r="E14353" s="22" t="s">
        <v>19070</v>
      </c>
      <c r="F14353" s="23" t="str">
        <f>HYPERLINK("https://www.spark-marketing.ru/Card/Lot/71878726", "Оказание услуг по бронированию, оформлению и доставке авиабилетов, бронированию номеров в гостиницах и организации питания для спортивных команд учреждения, направляемых на спортивные мероприятия в г. Калининград")</f>
        <v>Оказание услуг по бронированию, оформлению и доставке авиабилетов, бронированию номеров в гостиницах и организации питания для спортивных команд учреждения, направляемых на спортивные мероприятия в г. Калининград</v>
      </c>
      <c r="G14353" s="22" t="s">
        <v>117</v>
      </c>
      <c r="H14353" s="22" t="s">
        <v>117</v>
      </c>
      <c r="I14353" s="26">
        <v>43649.525694444397</v>
      </c>
      <c r="J14353" s="23" t="str">
        <f>HYPERLINK("https://www.spark-marketing.ru/Card/Person/1567791", "ООО ""ТЕРРА""")</f>
        <v>ООО "ТЕРРА"</v>
      </c>
      <c r="K14353" s="24" t="s">
        <v>6244</v>
      </c>
      <c r="L14353" s="22" t="s">
        <v>10</v>
      </c>
      <c r="M14353" s="25">
        <v>4569.28</v>
      </c>
      <c r="N14353" s="27">
        <v>0.99580174062637072</v>
      </c>
    </row>
    <row r="14354" spans="1:14" hidden="1" outlineLevel="1" x14ac:dyDescent="0.2">
      <c r="A14354" s="23" t="str">
        <f>HYPERLINK("https://www.spark-marketing.ru/Card/Person/22844", "СПБ ГБУ СШОР ПО ФУТБОЛУ ""ЗЕНИТ""")</f>
        <v>СПБ ГБУ СШОР ПО ФУТБОЛУ "ЗЕНИТ"</v>
      </c>
      <c r="B14354" s="24" t="s">
        <v>19068</v>
      </c>
      <c r="C14354" s="25">
        <v>1088374.8700000001</v>
      </c>
      <c r="D14354" s="22" t="s">
        <v>19069</v>
      </c>
      <c r="E14354" s="22" t="s">
        <v>19070</v>
      </c>
      <c r="F14354" s="23" t="str">
        <f>HYPERLINK("https://www.spark-marketing.ru/Card/Lot/71878726", "Оказание услуг по бронированию, оформлению и доставке авиабилетов, бронированию номеров в гостиницах и организации питания для спортивных команд учреждения, направляемых на спортивные мероприятия в г. Калининград")</f>
        <v>Оказание услуг по бронированию, оформлению и доставке авиабилетов, бронированию номеров в гостиницах и организации питания для спортивных команд учреждения, направляемых на спортивные мероприятия в г. Калининград</v>
      </c>
      <c r="G14354" s="22" t="s">
        <v>117</v>
      </c>
      <c r="H14354" s="22" t="s">
        <v>117</v>
      </c>
      <c r="I14354" s="26">
        <v>43649.525694444397</v>
      </c>
      <c r="J14354" s="23" t="str">
        <f>HYPERLINK("https://www.spark-marketing.ru/Card/Person/6514967", "ООО ""АЛЬЯНС""")</f>
        <v>ООО "АЛЬЯНС"</v>
      </c>
      <c r="K14354" s="24" t="s">
        <v>1634</v>
      </c>
      <c r="L14354" s="28" t="s">
        <v>51</v>
      </c>
      <c r="M14354" s="25">
        <v>4015.33</v>
      </c>
      <c r="N14354" s="27">
        <v>0.99631071048158248</v>
      </c>
    </row>
    <row r="14355" spans="1:14" x14ac:dyDescent="0.15">
      <c r="A14355" s="23" t="str">
        <f>HYPERLINK("https://www.spark-marketing.ru/Card/Person/1359581", "ОГАУЗ ""РОДИЛЬНЫЙ ДОМ №4"", ОГАУЗ ""РОДДОМ №4""")</f>
        <v>ОГАУЗ "РОДИЛЬНЫЙ ДОМ №4", ОГАУЗ "РОДДОМ №4"</v>
      </c>
      <c r="B14355" s="24" t="s">
        <v>19071</v>
      </c>
      <c r="C14355" s="25">
        <v>50400</v>
      </c>
      <c r="D14355" s="22" t="s">
        <v>19072</v>
      </c>
      <c r="E14355" s="22" t="s">
        <v>3024</v>
      </c>
      <c r="F14355" s="23" t="str">
        <f>HYPERLINK("https://www.spark-marketing.ru/Card/Lot/71865378", "Оказание услуг по модификации модуля «Учет продуктов питания» программного продукта «Парус-Бюджет 7» в программный продукт «Парус-Бюджет 8» для нужд ОГАУЗ «Родильный дом №4»")</f>
        <v>Оказание услуг по модификации модуля «Учет продуктов питания» программного продукта «Парус-Бюджет 7» в программный продукт «Парус-Бюджет 8» для нужд ОГАУЗ «Родильный дом №4»</v>
      </c>
      <c r="G14355" s="22" t="s">
        <v>149</v>
      </c>
      <c r="H14355" s="22" t="s">
        <v>496</v>
      </c>
      <c r="I14355" s="26">
        <v>43649.536111111098</v>
      </c>
      <c r="J14355" s="28" t="s">
        <v>51</v>
      </c>
      <c r="K14355" s="28" t="s">
        <v>51</v>
      </c>
      <c r="L14355" s="28" t="s">
        <v>51</v>
      </c>
      <c r="M14355" s="28" t="s">
        <v>51</v>
      </c>
      <c r="N14355" s="28" t="s">
        <v>51</v>
      </c>
    </row>
    <row r="14356" spans="1:14" x14ac:dyDescent="0.15">
      <c r="A14356" s="23" t="str">
        <f>HYPERLINK("https://www.spark-marketing.ru/Card/Person/577169", "ГАУК НСО ""НО РНД""")</f>
        <v>ГАУК НСО "НО РНД"</v>
      </c>
      <c r="B14356" s="24" t="s">
        <v>19073</v>
      </c>
      <c r="C14356" s="25">
        <v>280000</v>
      </c>
      <c r="D14356" s="22" t="s">
        <v>19074</v>
      </c>
      <c r="E14356" s="22" t="s">
        <v>48</v>
      </c>
      <c r="F14356" s="23" t="str">
        <f>HYPERLINK("https://www.spark-marketing.ru/Card/Lot/71865365", "Оказание услуг по предоставлению путевок на питание участников мероприятия")</f>
        <v>Оказание услуг по предоставлению путевок на питание участников мероприятия</v>
      </c>
      <c r="G14356" s="22" t="s">
        <v>195</v>
      </c>
      <c r="H14356" s="22" t="s">
        <v>196</v>
      </c>
      <c r="I14356" s="26">
        <v>43649.532638888901</v>
      </c>
      <c r="J14356" s="28" t="s">
        <v>51</v>
      </c>
      <c r="K14356" s="28" t="s">
        <v>51</v>
      </c>
      <c r="L14356" s="28" t="s">
        <v>51</v>
      </c>
      <c r="M14356" s="28" t="s">
        <v>51</v>
      </c>
      <c r="N14356" s="28" t="s">
        <v>51</v>
      </c>
    </row>
    <row r="14357" spans="1:14" x14ac:dyDescent="0.15">
      <c r="A14357" s="23" t="str">
        <f>HYPERLINK("https://www.spark-marketing.ru/Card/Person/104714", """ОТДЕЛ МВД РОССИИ ПО ТАХТАМУКАЙСКОМУ РАЙОНУ""")</f>
        <v>"ОТДЕЛ МВД РОССИИ ПО ТАХТАМУКАЙСКОМУ РАЙОНУ"</v>
      </c>
      <c r="B14357" s="24" t="s">
        <v>3982</v>
      </c>
      <c r="C14357" s="25">
        <v>99975</v>
      </c>
      <c r="D14357" s="22" t="s">
        <v>19075</v>
      </c>
      <c r="E14357" s="22" t="s">
        <v>48</v>
      </c>
      <c r="F14357" s="23" t="str">
        <f>HYPERLINK("https://www.spark-marketing.ru/Card/Lot/71862218", "Услуги по доставке горячего питания (завтрак, обед, ужин), 1 усл. ед")</f>
        <v>Услуги по доставке горячего питания (завтрак, обед, ужин), 1 усл. ед</v>
      </c>
      <c r="G14357" s="22" t="s">
        <v>925</v>
      </c>
      <c r="H14357" s="22" t="s">
        <v>3984</v>
      </c>
      <c r="I14357" s="26">
        <v>43649.475590277798</v>
      </c>
      <c r="J14357" s="28" t="s">
        <v>51</v>
      </c>
      <c r="K14357" s="28" t="s">
        <v>51</v>
      </c>
      <c r="L14357" s="28" t="s">
        <v>51</v>
      </c>
      <c r="M14357" s="28" t="s">
        <v>51</v>
      </c>
      <c r="N14357" s="28" t="s">
        <v>51</v>
      </c>
    </row>
    <row r="14358" spans="1:14" x14ac:dyDescent="0.15">
      <c r="A14358" s="23" t="str">
        <f>HYPERLINK("https://www.spark-marketing.ru/Card/Person/104557", "МБДОУ ДЕТСКИЙ САД № 31")</f>
        <v>МБДОУ ДЕТСКИЙ САД № 31</v>
      </c>
      <c r="B14358" s="24" t="s">
        <v>19076</v>
      </c>
      <c r="C14358" s="25">
        <v>11000</v>
      </c>
      <c r="D14358" s="22" t="s">
        <v>19077</v>
      </c>
      <c r="E14358" s="22" t="s">
        <v>3024</v>
      </c>
      <c r="F14358" s="23" t="str">
        <f>HYPERLINK("https://www.spark-marketing.ru/Card/Lot/71863777", "Закупка в 2019 году услуг по обновлению и сопровождению программного обеспечения «1С Питание» для нужд МБДОУ детского сада №31")</f>
        <v>Закупка в 2019 году услуг по обновлению и сопровождению программного обеспечения «1С Питание» для нужд МБДОУ детского сада №31</v>
      </c>
      <c r="G14358" s="22" t="s">
        <v>49</v>
      </c>
      <c r="H14358" s="22" t="s">
        <v>577</v>
      </c>
      <c r="I14358" s="26">
        <v>43649.4929050926</v>
      </c>
      <c r="J14358" s="28" t="s">
        <v>51</v>
      </c>
      <c r="K14358" s="28" t="s">
        <v>51</v>
      </c>
      <c r="L14358" s="28" t="s">
        <v>51</v>
      </c>
      <c r="M14358" s="28" t="s">
        <v>51</v>
      </c>
      <c r="N14358" s="28" t="s">
        <v>51</v>
      </c>
    </row>
    <row r="14359" spans="1:14" x14ac:dyDescent="0.15">
      <c r="A14359" s="23" t="str">
        <f>HYPERLINK("https://www.spark-marketing.ru/Card/Person/1397229", "МАОУ СОШ № 1")</f>
        <v>МАОУ СОШ № 1</v>
      </c>
      <c r="B14359" s="24" t="s">
        <v>19078</v>
      </c>
      <c r="C14359" s="25">
        <v>1709610</v>
      </c>
      <c r="D14359" s="22" t="s">
        <v>19079</v>
      </c>
      <c r="E14359" s="22" t="s">
        <v>362</v>
      </c>
      <c r="F14359" s="23" t="str">
        <f>HYPERLINK("https://www.spark-marketing.ru/Card/Lot/71859211", "Оказание услуг по организации питания")</f>
        <v>Оказание услуг по организации питания</v>
      </c>
      <c r="G14359" s="22" t="s">
        <v>1056</v>
      </c>
      <c r="H14359" s="22" t="s">
        <v>1056</v>
      </c>
      <c r="I14359" s="26">
        <v>43649.421886574099</v>
      </c>
      <c r="J14359" s="28" t="s">
        <v>51</v>
      </c>
      <c r="K14359" s="28" t="s">
        <v>51</v>
      </c>
      <c r="L14359" s="28" t="s">
        <v>51</v>
      </c>
      <c r="M14359" s="28" t="s">
        <v>51</v>
      </c>
      <c r="N14359" s="28" t="s">
        <v>51</v>
      </c>
    </row>
    <row r="14360" spans="1:14" x14ac:dyDescent="0.2">
      <c r="A14360" s="23" t="str">
        <f>HYPERLINK("https://www.spark-marketing.ru/Card/Person/4349872", "АО ""АВИАКОМПАНИЯ ""РОССИЯ""")</f>
        <v>АО "АВИАКОМПАНИЯ "РОССИЯ"</v>
      </c>
      <c r="B14360" s="24" t="s">
        <v>785</v>
      </c>
      <c r="C14360" s="25">
        <v>576000</v>
      </c>
      <c r="D14360" s="22" t="s">
        <v>19080</v>
      </c>
      <c r="E14360" s="22" t="s">
        <v>7206</v>
      </c>
      <c r="F14360" s="23" t="str">
        <f>HYPERLINK("https://www.spark-marketing.ru/Card/Lot/71861482", "Оказание услуг питания и обеспечения напитками пассажиров и экипажей в сбойных ситуациях в Международном аэропорту «Уфа» в зоне регистрации")</f>
        <v>Оказание услуг питания и обеспечения напитками пассажиров и экипажей в сбойных ситуациях в Международном аэропорту «Уфа» в зоне регистрации</v>
      </c>
      <c r="G14360" s="22" t="s">
        <v>117</v>
      </c>
      <c r="H14360" s="22" t="s">
        <v>117</v>
      </c>
      <c r="I14360" s="26">
        <v>43649.419675925899</v>
      </c>
      <c r="J14360" s="28" t="s">
        <v>51</v>
      </c>
      <c r="K14360" s="28" t="s">
        <v>51</v>
      </c>
      <c r="L14360" s="28" t="s">
        <v>51</v>
      </c>
      <c r="M14360" s="25">
        <v>691200</v>
      </c>
      <c r="N14360" s="27">
        <v>-0.2</v>
      </c>
    </row>
    <row r="14361" spans="1:14" x14ac:dyDescent="0.15">
      <c r="A14361" s="23" t="str">
        <f>HYPERLINK("https://www.spark-marketing.ru/Card/Person/4343663", "МИНЗДРАВ АЛТАЙСКОГО КРАЯ")</f>
        <v>МИНЗДРАВ АЛТАЙСКОГО КРАЯ</v>
      </c>
      <c r="B14361" s="24" t="s">
        <v>9429</v>
      </c>
      <c r="C14361" s="25">
        <v>300000</v>
      </c>
      <c r="D14361" s="22" t="s">
        <v>19081</v>
      </c>
      <c r="E14361" s="22" t="s">
        <v>336</v>
      </c>
      <c r="F14361" s="23" t="str">
        <f>HYPERLINK("https://www.spark-marketing.ru/Card/Lot/71861056",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4361" s="22" t="s">
        <v>63</v>
      </c>
      <c r="H14361" s="22" t="s">
        <v>177</v>
      </c>
      <c r="I14361" s="26">
        <v>43649.442361111098</v>
      </c>
      <c r="J14361" s="28" t="s">
        <v>51</v>
      </c>
      <c r="K14361" s="28" t="s">
        <v>51</v>
      </c>
      <c r="L14361" s="28" t="s">
        <v>51</v>
      </c>
      <c r="M14361" s="28" t="s">
        <v>51</v>
      </c>
      <c r="N14361" s="28" t="s">
        <v>51</v>
      </c>
    </row>
    <row r="14362" spans="1:14" x14ac:dyDescent="0.15">
      <c r="A14362" s="23" t="str">
        <f>HYPERLINK("https://www.spark-marketing.ru/Card/Person/4343663", "МИНЗДРАВ АЛТАЙСКОГО КРАЯ")</f>
        <v>МИНЗДРАВ АЛТАЙСКОГО КРАЯ</v>
      </c>
      <c r="B14362" s="24" t="s">
        <v>9429</v>
      </c>
      <c r="C14362" s="25">
        <v>300000</v>
      </c>
      <c r="D14362" s="22" t="s">
        <v>19082</v>
      </c>
      <c r="E14362" s="22" t="s">
        <v>9540</v>
      </c>
      <c r="F14362" s="23" t="str">
        <f>HYPERLINK("https://www.spark-marketing.ru/Card/Lot/71860519",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4362" s="22" t="s">
        <v>63</v>
      </c>
      <c r="H14362" s="22" t="s">
        <v>177</v>
      </c>
      <c r="I14362" s="26">
        <v>43649.429166666698</v>
      </c>
      <c r="J14362" s="28" t="s">
        <v>51</v>
      </c>
      <c r="K14362" s="28" t="s">
        <v>51</v>
      </c>
      <c r="L14362" s="28" t="s">
        <v>51</v>
      </c>
      <c r="M14362" s="28" t="s">
        <v>51</v>
      </c>
      <c r="N14362" s="28" t="s">
        <v>51</v>
      </c>
    </row>
    <row r="14363" spans="1:14" x14ac:dyDescent="0.2">
      <c r="A14363" s="23" t="str">
        <f>HYPERLINK("https://www.spark-marketing.ru/Card/Person/4349872", "АО ""АВИАКОМПАНИЯ ""РОССИЯ""")</f>
        <v>АО "АВИАКОМПАНИЯ "РОССИЯ"</v>
      </c>
      <c r="B14363" s="24" t="s">
        <v>785</v>
      </c>
      <c r="C14363" s="25">
        <v>576000</v>
      </c>
      <c r="D14363" s="22" t="s">
        <v>19080</v>
      </c>
      <c r="E14363" s="22" t="s">
        <v>7206</v>
      </c>
      <c r="F14363" s="23" t="str">
        <f>HYPERLINK("https://www.spark-marketing.ru/Card/Lot/71861483", "Оказание услуг питания и обеспечения напитками пассажиров и экипажей в сбойных ситуациях в Международном аэропорту «Уфа» в стерильной зоне")</f>
        <v>Оказание услуг питания и обеспечения напитками пассажиров и экипажей в сбойных ситуациях в Международном аэропорту «Уфа» в стерильной зоне</v>
      </c>
      <c r="G14363" s="22" t="s">
        <v>117</v>
      </c>
      <c r="H14363" s="22" t="s">
        <v>117</v>
      </c>
      <c r="I14363" s="26">
        <v>43649.419675925899</v>
      </c>
      <c r="J14363" s="28" t="s">
        <v>51</v>
      </c>
      <c r="K14363" s="28" t="s">
        <v>51</v>
      </c>
      <c r="L14363" s="28" t="s">
        <v>51</v>
      </c>
      <c r="M14363" s="25">
        <v>691200</v>
      </c>
      <c r="N14363" s="27">
        <v>-0.2</v>
      </c>
    </row>
    <row r="14364" spans="1:14" x14ac:dyDescent="0.15">
      <c r="A14364" s="23" t="str">
        <f>HYPERLINK("https://www.spark-marketing.ru/Card/Person/104714", """ОТДЕЛ МВД РОССИИ ПО ТАХТАМУКАЙСКОМУ РАЙОНУ""")</f>
        <v>"ОТДЕЛ МВД РОССИИ ПО ТАХТАМУКАЙСКОМУ РАЙОНУ"</v>
      </c>
      <c r="B14364" s="24" t="s">
        <v>3982</v>
      </c>
      <c r="C14364" s="25">
        <v>99975</v>
      </c>
      <c r="D14364" s="22" t="s">
        <v>19083</v>
      </c>
      <c r="E14364" s="22" t="s">
        <v>48</v>
      </c>
      <c r="F14364" s="23" t="str">
        <f>HYPERLINK("https://www.spark-marketing.ru/Card/Lot/71861793", "Услуги по доставке горячего питания (завтрак, обед, ужин), 1 усл. ед")</f>
        <v>Услуги по доставке горячего питания (завтрак, обед, ужин), 1 усл. ед</v>
      </c>
      <c r="G14364" s="22" t="s">
        <v>925</v>
      </c>
      <c r="H14364" s="22" t="s">
        <v>3984</v>
      </c>
      <c r="I14364" s="26">
        <v>43649.457789351902</v>
      </c>
      <c r="J14364" s="28" t="s">
        <v>51</v>
      </c>
      <c r="K14364" s="28" t="s">
        <v>51</v>
      </c>
      <c r="L14364" s="28" t="s">
        <v>51</v>
      </c>
      <c r="M14364" s="28" t="s">
        <v>51</v>
      </c>
      <c r="N14364" s="28" t="s">
        <v>51</v>
      </c>
    </row>
    <row r="14365" spans="1:14" x14ac:dyDescent="0.15">
      <c r="A14365" s="23" t="str">
        <f>HYPERLINK("https://www.spark-marketing.ru/Card/Person/877804", "КГБОУ ""БАРНАУЛЬСКАЯ ОБЩЕОБРАЗОВАТЕЛЬНАЯ ШКОЛА № 2""")</f>
        <v>КГБОУ "БАРНАУЛЬСКАЯ ОБЩЕОБРАЗОВАТЕЛЬНАЯ ШКОЛА № 2"</v>
      </c>
      <c r="B14365" s="24" t="s">
        <v>19084</v>
      </c>
      <c r="C14365" s="25">
        <v>399000</v>
      </c>
      <c r="D14365" s="22" t="s">
        <v>19085</v>
      </c>
      <c r="E14365" s="22" t="s">
        <v>48</v>
      </c>
      <c r="F14365" s="23" t="str">
        <f>HYPERLINK("https://www.spark-marketing.ru/Card/Lot/71860667",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4365" s="22" t="s">
        <v>63</v>
      </c>
      <c r="H14365" s="22" t="s">
        <v>177</v>
      </c>
      <c r="I14365" s="26">
        <v>43649.425000000003</v>
      </c>
      <c r="J14365" s="28" t="s">
        <v>51</v>
      </c>
      <c r="K14365" s="28" t="s">
        <v>51</v>
      </c>
      <c r="L14365" s="28" t="s">
        <v>51</v>
      </c>
      <c r="M14365" s="28" t="s">
        <v>51</v>
      </c>
      <c r="N14365" s="28" t="s">
        <v>51</v>
      </c>
    </row>
    <row r="14366" spans="1:14" x14ac:dyDescent="0.15">
      <c r="A14366" s="23" t="str">
        <f>HYPERLINK("https://www.spark-marketing.ru/Card/Person/4892513", "Управление социальной защиты населения по г. Пыть-Яху")</f>
        <v>Управление социальной защиты населения по г. Пыть-Яху</v>
      </c>
      <c r="B14366" s="24" t="s">
        <v>19086</v>
      </c>
      <c r="C14366" s="28" t="s">
        <v>51</v>
      </c>
      <c r="D14366" s="22" t="s">
        <v>19087</v>
      </c>
      <c r="E14366" s="22" t="s">
        <v>51</v>
      </c>
      <c r="F14366" s="23" t="str">
        <f>HYPERLINK("https://www.spark-marketing.ru/Card/Lot/71859774", "Оказание услуг по утилизации бумажных документов, картриджей для принтеров, мониторов, источников бесперебойного питания, системных блоков, флеш-накопителей")</f>
        <v>Оказание услуг по утилизации бумажных документов, картриджей для принтеров, мониторов, источников бесперебойного питания, системных блоков, флеш-накопителей</v>
      </c>
      <c r="G14366" s="22" t="s">
        <v>97</v>
      </c>
      <c r="H14366" s="22" t="s">
        <v>98</v>
      </c>
      <c r="I14366" s="26">
        <v>43649.401388888902</v>
      </c>
      <c r="J14366" s="28" t="s">
        <v>51</v>
      </c>
      <c r="K14366" s="28" t="s">
        <v>51</v>
      </c>
      <c r="L14366" s="28" t="s">
        <v>51</v>
      </c>
      <c r="M14366" s="28" t="s">
        <v>51</v>
      </c>
      <c r="N14366" s="28" t="s">
        <v>51</v>
      </c>
    </row>
    <row r="14367" spans="1:14" x14ac:dyDescent="0.15">
      <c r="A14367" s="23" t="str">
        <f>HYPERLINK("https://www.spark-marketing.ru/Card/Person/70495", "ОМВД РОССИИ ПО АРТЕМОВСКОМУ РАЙОНУ")</f>
        <v>ОМВД РОССИИ ПО АРТЕМОВСКОМУ РАЙОНУ</v>
      </c>
      <c r="B14367" s="24" t="s">
        <v>3231</v>
      </c>
      <c r="C14367" s="25">
        <v>231200</v>
      </c>
      <c r="D14367" s="22" t="s">
        <v>19088</v>
      </c>
      <c r="E14367" s="22" t="s">
        <v>96</v>
      </c>
      <c r="F14367" s="23" t="str">
        <f>HYPERLINK("https://www.spark-marketing.ru/Card/Lot/71858931", "Оказание услуг по организации питания (приготовлению и доставке), 578 шт")</f>
        <v>Оказание услуг по организации питания (приготовлению и доставке), 578 шт</v>
      </c>
      <c r="G14367" s="22" t="s">
        <v>174</v>
      </c>
      <c r="H14367" s="22" t="s">
        <v>3233</v>
      </c>
      <c r="I14367" s="26">
        <v>43649.381157407399</v>
      </c>
      <c r="J14367" s="28" t="s">
        <v>51</v>
      </c>
      <c r="K14367" s="28" t="s">
        <v>51</v>
      </c>
      <c r="L14367" s="28" t="s">
        <v>51</v>
      </c>
      <c r="M14367" s="28" t="s">
        <v>51</v>
      </c>
      <c r="N14367" s="28" t="s">
        <v>51</v>
      </c>
    </row>
    <row r="14368" spans="1:14" x14ac:dyDescent="0.15">
      <c r="A14368" s="23" t="str">
        <f>HYPERLINK("https://www.spark-marketing.ru/Card/Person/121728", "ГУЗ ""ХИЛОКСКАЯ ЦРБ""")</f>
        <v>ГУЗ "ХИЛОКСКАЯ ЦРБ"</v>
      </c>
      <c r="B14368" s="24" t="s">
        <v>19089</v>
      </c>
      <c r="C14368" s="25">
        <v>44198.59</v>
      </c>
      <c r="D14368" s="22" t="s">
        <v>19090</v>
      </c>
      <c r="E14368" s="22" t="s">
        <v>19091</v>
      </c>
      <c r="F14368" s="23" t="str">
        <f>HYPERLINK("https://www.spark-marketing.ru/Card/Lot/71858285", "Товары, работы или услуги на сумму, не превышающие 100 тысяч рублей")</f>
        <v>Товары, работы или услуги на сумму, не превышающие 100 тысяч рублей</v>
      </c>
      <c r="G14368" s="22" t="s">
        <v>228</v>
      </c>
      <c r="H14368" s="22" t="s">
        <v>17034</v>
      </c>
      <c r="I14368" s="26">
        <v>43649.337500000001</v>
      </c>
      <c r="J14368" s="28" t="s">
        <v>51</v>
      </c>
      <c r="K14368" s="28" t="s">
        <v>51</v>
      </c>
      <c r="L14368" s="28" t="s">
        <v>51</v>
      </c>
      <c r="M14368" s="28" t="s">
        <v>51</v>
      </c>
      <c r="N14368" s="28" t="s">
        <v>51</v>
      </c>
    </row>
    <row r="14369" spans="1:14" x14ac:dyDescent="0.15">
      <c r="A14369" s="23" t="str">
        <f>HYPERLINK("https://www.spark-marketing.ru/Card/Person/120106", "ГБУ ""СШОР № 1"" ЗАБАЙКАЛЬСКОГО КРАЯ")</f>
        <v>ГБУ "СШОР № 1" ЗАБАЙКАЛЬСКОГО КРАЯ</v>
      </c>
      <c r="B14369" s="24" t="s">
        <v>19092</v>
      </c>
      <c r="C14369" s="25">
        <v>7128.85</v>
      </c>
      <c r="D14369" s="22" t="s">
        <v>19093</v>
      </c>
      <c r="E14369" s="22" t="s">
        <v>19094</v>
      </c>
      <c r="F14369" s="23" t="str">
        <f>HYPERLINK("https://www.spark-marketing.ru/Card/Lot/71857550", "Осуществление закупки товара, работы или услуги")</f>
        <v>Осуществление закупки товара, работы или услуги</v>
      </c>
      <c r="G14369" s="22" t="s">
        <v>228</v>
      </c>
      <c r="H14369" s="22" t="s">
        <v>394</v>
      </c>
      <c r="I14369" s="26">
        <v>43649.1965277778</v>
      </c>
      <c r="J14369" s="28" t="s">
        <v>51</v>
      </c>
      <c r="K14369" s="28" t="s">
        <v>51</v>
      </c>
      <c r="L14369" s="28" t="s">
        <v>51</v>
      </c>
      <c r="M14369" s="28" t="s">
        <v>51</v>
      </c>
      <c r="N14369" s="28" t="s">
        <v>51</v>
      </c>
    </row>
    <row r="14370" spans="1:14" x14ac:dyDescent="0.15">
      <c r="A14370" s="23" t="str">
        <f>HYPERLINK("https://www.spark-marketing.ru/Card/Person/102346", "МУ МВД РОССИИ ""БРАТСКОЕ""")</f>
        <v>МУ МВД РОССИИ "БРАТСКОЕ"</v>
      </c>
      <c r="B14370" s="24" t="s">
        <v>13670</v>
      </c>
      <c r="C14370" s="25">
        <v>238000</v>
      </c>
      <c r="D14370" s="22" t="s">
        <v>19095</v>
      </c>
      <c r="E14370" s="22" t="s">
        <v>48</v>
      </c>
      <c r="F14370" s="23" t="str">
        <f>HYPERLINK("https://www.spark-marketing.ru/Card/Lot/71855462", "Прочая закупка товаров, работ и услуг (Оказание услуг по организации комплексного питания)")</f>
        <v>Прочая закупка товаров, работ и услуг (Оказание услуг по организации комплексного питания)</v>
      </c>
      <c r="G14370" s="22" t="s">
        <v>263</v>
      </c>
      <c r="H14370" s="22" t="s">
        <v>13672</v>
      </c>
      <c r="I14370" s="26">
        <v>43649.140277777798</v>
      </c>
      <c r="J14370" s="28" t="s">
        <v>51</v>
      </c>
      <c r="K14370" s="28" t="s">
        <v>51</v>
      </c>
      <c r="L14370" s="28" t="s">
        <v>51</v>
      </c>
      <c r="M14370" s="28" t="s">
        <v>51</v>
      </c>
      <c r="N14370" s="28" t="s">
        <v>51</v>
      </c>
    </row>
    <row r="14371" spans="1:14" x14ac:dyDescent="0.15">
      <c r="A14371" s="23" t="str">
        <f>HYPERLINK("https://www.spark-marketing.ru/Card/Person/4365964", "ООО ""ГАЗПРОМ ЭКСПО""")</f>
        <v>ООО "ГАЗПРОМ ЭКСПО"</v>
      </c>
      <c r="B14371" s="24" t="s">
        <v>8179</v>
      </c>
      <c r="C14371" s="25">
        <v>30000.05</v>
      </c>
      <c r="D14371" s="22" t="s">
        <v>19096</v>
      </c>
      <c r="E14371" s="22" t="s">
        <v>769</v>
      </c>
      <c r="F14371" s="23" t="str">
        <f>HYPERLINK("https://www.spark-marketing.ru/Card/Lot/71872484", "Оказание услуг по размещению и организации питания для участников мероприятия (г.Иркутск)")</f>
        <v>Оказание услуг по размещению и организации питания для участников мероприятия (г.Иркутск)</v>
      </c>
      <c r="G14371" s="22" t="s">
        <v>117</v>
      </c>
      <c r="H14371" s="22" t="s">
        <v>117</v>
      </c>
      <c r="I14371" s="26">
        <v>43649</v>
      </c>
      <c r="J14371" s="28" t="s">
        <v>51</v>
      </c>
      <c r="K14371" s="28" t="s">
        <v>51</v>
      </c>
      <c r="L14371" s="28" t="s">
        <v>51</v>
      </c>
      <c r="M14371" s="28" t="s">
        <v>51</v>
      </c>
      <c r="N14371" s="28" t="s">
        <v>51</v>
      </c>
    </row>
    <row r="14372" spans="1:14" x14ac:dyDescent="0.2">
      <c r="A14372" s="23" t="str">
        <f>HYPERLINK("https://www.spark-marketing.ru/Card/Person/768795", "МАДОУ ДЕТСКИЙ САД № 31 ""АЛЁНУШКА"" КОМБИНИРОВАННОГО ВИДА Г. ИШИМБАЯ МР ИШИМБ АЙСКИЙ РАЙОН РБ")</f>
        <v>МАДОУ ДЕТСКИЙ САД № 31 "АЛЁНУШКА" КОМБИНИРОВАННОГО ВИДА Г. ИШИМБАЯ МР ИШИМБ АЙСКИЙ РАЙОН РБ</v>
      </c>
      <c r="B14372" s="24" t="s">
        <v>19097</v>
      </c>
      <c r="C14372" s="25">
        <v>1374782</v>
      </c>
      <c r="D14372" s="22" t="s">
        <v>19098</v>
      </c>
      <c r="E14372" s="22" t="s">
        <v>362</v>
      </c>
      <c r="F14372" s="23" t="str">
        <f>HYPERLINK("https://www.spark-marketing.ru/Card/Lot/71847588", "услуги по организации горячего питания в III квартале")</f>
        <v>услуги по организации горячего питания в III квартале</v>
      </c>
      <c r="G14372" s="22" t="s">
        <v>145</v>
      </c>
      <c r="H14372" s="22" t="s">
        <v>145</v>
      </c>
      <c r="I14372" s="26">
        <v>43648.799224536997</v>
      </c>
      <c r="J14372" s="28" t="s">
        <v>51</v>
      </c>
      <c r="K14372" s="28" t="s">
        <v>51</v>
      </c>
      <c r="L14372" s="22" t="s">
        <v>10</v>
      </c>
      <c r="M14372" s="25">
        <v>1374782</v>
      </c>
      <c r="N14372" s="27">
        <v>0</v>
      </c>
    </row>
    <row r="14373" spans="1:14" x14ac:dyDescent="0.2">
      <c r="A14373" s="23" t="str">
        <f>HYPERLINK("https://www.spark-marketing.ru/Card/Person/2439514", "МАДОУ ДЕТСКИЙ САД № 27 ""РОСИНКА"" КОМБИНИРОВАННОГО ВИДА Г.ИШИМБАЯ МР ИШИМБАЙСКИЙ РАЙОН РБ")</f>
        <v>МАДОУ ДЕТСКИЙ САД № 27 "РОСИНКА" КОМБИНИРОВАННОГО ВИДА Г.ИШИМБАЯ МР ИШИМБАЙСКИЙ РАЙОН РБ</v>
      </c>
      <c r="B14373" s="24" t="s">
        <v>642</v>
      </c>
      <c r="C14373" s="25">
        <v>1687328</v>
      </c>
      <c r="D14373" s="22" t="s">
        <v>19099</v>
      </c>
      <c r="E14373" s="22" t="s">
        <v>362</v>
      </c>
      <c r="F14373" s="23" t="str">
        <f>HYPERLINK("https://www.spark-marketing.ru/Card/Lot/71847585", "услуги по организации горячего питания дошкольных организаций в III квартале")</f>
        <v>услуги по организации горячего питания дошкольных организаций в III квартале</v>
      </c>
      <c r="G14373" s="22" t="s">
        <v>145</v>
      </c>
      <c r="H14373" s="22" t="s">
        <v>145</v>
      </c>
      <c r="I14373" s="26">
        <v>43648.792465277802</v>
      </c>
      <c r="J14373" s="28" t="s">
        <v>51</v>
      </c>
      <c r="K14373" s="28" t="s">
        <v>51</v>
      </c>
      <c r="L14373" s="22" t="s">
        <v>10</v>
      </c>
      <c r="M14373" s="25">
        <v>1687328</v>
      </c>
      <c r="N14373" s="27">
        <v>0</v>
      </c>
    </row>
    <row r="14374" spans="1:14" x14ac:dyDescent="0.2">
      <c r="A14374" s="23" t="str">
        <f>HYPERLINK("https://www.spark-marketing.ru/Card/Person/2581231", "МАДОУ ДЕТСКИЙ САД №34 ""СОЛНЕЧНЫЙ"" ОБЩЕРАЗВИВАЮЩЕГО ВИДА Г. ИШИМБАЯ МР ИШИМБАЙСКИЙ РАЙОН РБ")</f>
        <v>МАДОУ ДЕТСКИЙ САД №34 "СОЛНЕЧНЫЙ" ОБЩЕРАЗВИВАЮЩЕГО ВИДА Г. ИШИМБАЯ МР ИШИМБАЙСКИЙ РАЙОН РБ</v>
      </c>
      <c r="B14374" s="24" t="s">
        <v>19100</v>
      </c>
      <c r="C14374" s="25">
        <v>1856155</v>
      </c>
      <c r="D14374" s="22" t="s">
        <v>19101</v>
      </c>
      <c r="E14374" s="22" t="s">
        <v>362</v>
      </c>
      <c r="F14374" s="23" t="str">
        <f>HYPERLINK("https://www.spark-marketing.ru/Card/Lot/71847584", "услуги по организации горячего питания в 3 кв")</f>
        <v>услуги по организации горячего питания в 3 кв</v>
      </c>
      <c r="G14374" s="22" t="s">
        <v>145</v>
      </c>
      <c r="H14374" s="22" t="s">
        <v>145</v>
      </c>
      <c r="I14374" s="26">
        <v>43648.791770833297</v>
      </c>
      <c r="J14374" s="28" t="s">
        <v>51</v>
      </c>
      <c r="K14374" s="28" t="s">
        <v>51</v>
      </c>
      <c r="L14374" s="22" t="s">
        <v>10</v>
      </c>
      <c r="M14374" s="25">
        <v>1856155</v>
      </c>
      <c r="N14374" s="27">
        <v>0</v>
      </c>
    </row>
    <row r="14375" spans="1:14" x14ac:dyDescent="0.2">
      <c r="A14375" s="23" t="str">
        <f>HYPERLINK("https://www.spark-marketing.ru/Card/Person/2255065", "МАДОУ ЦРР - ДЕТСКИЙ САД № 33 ""ЗОЛУШКА"", Г. ИШИМБАЯ МР ИШИМБАЙСКИЙ РАЙОН РБ")</f>
        <v>МАДОУ ЦРР - ДЕТСКИЙ САД № 33 "ЗОЛУШКА", Г. ИШИМБАЯ МР ИШИМБАЙСКИЙ РАЙОН РБ</v>
      </c>
      <c r="B14375" s="24" t="s">
        <v>996</v>
      </c>
      <c r="C14375" s="25">
        <v>890490</v>
      </c>
      <c r="D14375" s="22" t="s">
        <v>19102</v>
      </c>
      <c r="E14375" s="22" t="s">
        <v>362</v>
      </c>
      <c r="F14375" s="23" t="str">
        <f>HYPERLINK("https://www.spark-marketing.ru/Card/Lot/71847089", "Услуги по организации горячего питания в III квартале")</f>
        <v>Услуги по организации горячего питания в III квартале</v>
      </c>
      <c r="G14375" s="22" t="s">
        <v>145</v>
      </c>
      <c r="H14375" s="22" t="s">
        <v>145</v>
      </c>
      <c r="I14375" s="26">
        <v>43648.781828703701</v>
      </c>
      <c r="J14375" s="28" t="s">
        <v>51</v>
      </c>
      <c r="K14375" s="28" t="s">
        <v>51</v>
      </c>
      <c r="L14375" s="22" t="s">
        <v>10</v>
      </c>
      <c r="M14375" s="25">
        <v>890490</v>
      </c>
      <c r="N14375" s="27">
        <v>0</v>
      </c>
    </row>
    <row r="14376" spans="1:14" x14ac:dyDescent="0.2">
      <c r="A14376" s="23" t="str">
        <f>HYPERLINK("https://www.spark-marketing.ru/Card/Person/2468127", "МАДОУ ДЕТСКИЙ САД №26 ""РЯБИНКА"" КОМБИНИРОВАННОГО ВИДА Г. ИШИМБАЯ МР ИШИМБАЙСКИЙ РАЙОН РБ")</f>
        <v>МАДОУ ДЕТСКИЙ САД №26 "РЯБИНКА" КОМБИНИРОВАННОГО ВИДА Г. ИШИМБАЯ МР ИШИМБАЙСКИЙ РАЙОН РБ</v>
      </c>
      <c r="B14376" s="24" t="s">
        <v>997</v>
      </c>
      <c r="C14376" s="25">
        <v>1756003</v>
      </c>
      <c r="D14376" s="22" t="s">
        <v>19103</v>
      </c>
      <c r="E14376" s="22" t="s">
        <v>362</v>
      </c>
      <c r="F14376" s="23" t="str">
        <f>HYPERLINK("https://www.spark-marketing.ru/Card/Lot/71846441", "услуги по организации горячего питания в III квартале")</f>
        <v>услуги по организации горячего питания в III квартале</v>
      </c>
      <c r="G14376" s="22" t="s">
        <v>145</v>
      </c>
      <c r="H14376" s="22" t="s">
        <v>145</v>
      </c>
      <c r="I14376" s="26">
        <v>43648.761504629598</v>
      </c>
      <c r="J14376" s="28" t="s">
        <v>51</v>
      </c>
      <c r="K14376" s="28" t="s">
        <v>51</v>
      </c>
      <c r="L14376" s="22" t="s">
        <v>10</v>
      </c>
      <c r="M14376" s="25">
        <v>1756003</v>
      </c>
      <c r="N14376" s="27">
        <v>0</v>
      </c>
    </row>
    <row r="14377" spans="1:14" x14ac:dyDescent="0.15">
      <c r="A14377" s="23" t="str">
        <f>HYPERLINK("https://www.spark-marketing.ru/Card/Person/1359915", "МАОУ ""СОШ № 76""")</f>
        <v>МАОУ "СОШ № 76"</v>
      </c>
      <c r="B14377" s="24" t="s">
        <v>19008</v>
      </c>
      <c r="C14377" s="25">
        <v>890130</v>
      </c>
      <c r="D14377" s="22" t="s">
        <v>19104</v>
      </c>
      <c r="E14377" s="22" t="s">
        <v>362</v>
      </c>
      <c r="F14377" s="23" t="str">
        <f>HYPERLINK("https://www.spark-marketing.ru/Card/Lot/71844523", "Оказание услуг по организации питания обучающихся с ограниченными возможностями здоровья, льготной категории обучающихся МАОУ «СОШ №76")</f>
        <v>Оказание услуг по организации питания обучающихся с ограниченными возможностями здоровья, льготной категории обучающихся МАОУ «СОШ №76</v>
      </c>
      <c r="G14377" s="22" t="s">
        <v>149</v>
      </c>
      <c r="H14377" s="22" t="s">
        <v>149</v>
      </c>
      <c r="I14377" s="26">
        <v>43648.782071759299</v>
      </c>
      <c r="J14377" s="28" t="s">
        <v>51</v>
      </c>
      <c r="K14377" s="28" t="s">
        <v>51</v>
      </c>
      <c r="L14377" s="28" t="s">
        <v>51</v>
      </c>
      <c r="M14377" s="28" t="s">
        <v>51</v>
      </c>
      <c r="N14377" s="28" t="s">
        <v>51</v>
      </c>
    </row>
    <row r="14378" spans="1:14" x14ac:dyDescent="0.2">
      <c r="A14378" s="23" t="str">
        <f>HYPERLINK("https://www.spark-marketing.ru/Card/Person/2255069", "МАДОУ ДЕТСКИЙ САД № 30 ""ЛЕСОВИЧОК"" КОМБИНИРОВАННОГО ВИДА Г.ИШИМБАЯ МР ИШИМБАЙСКИЙ РАЙОН РБ")</f>
        <v>МАДОУ ДЕТСКИЙ САД № 30 "ЛЕСОВИЧОК" КОМБИНИРОВАННОГО ВИДА Г.ИШИМБАЯ МР ИШИМБАЙСКИЙ РАЙОН РБ</v>
      </c>
      <c r="B14378" s="24" t="s">
        <v>641</v>
      </c>
      <c r="C14378" s="25">
        <v>952199</v>
      </c>
      <c r="D14378" s="22" t="s">
        <v>19105</v>
      </c>
      <c r="E14378" s="22" t="s">
        <v>362</v>
      </c>
      <c r="F14378" s="23" t="str">
        <f>HYPERLINK("https://www.spark-marketing.ru/Card/Lot/71846988", "услуги по организации горячего питания в III квартале")</f>
        <v>услуги по организации горячего питания в III квартале</v>
      </c>
      <c r="G14378" s="22" t="s">
        <v>145</v>
      </c>
      <c r="H14378" s="22" t="s">
        <v>145</v>
      </c>
      <c r="I14378" s="26">
        <v>43648.7761805556</v>
      </c>
      <c r="J14378" s="28" t="s">
        <v>51</v>
      </c>
      <c r="K14378" s="28" t="s">
        <v>51</v>
      </c>
      <c r="L14378" s="22" t="s">
        <v>10</v>
      </c>
      <c r="M14378" s="25">
        <v>952199</v>
      </c>
      <c r="N14378" s="27">
        <v>0</v>
      </c>
    </row>
    <row r="14379" spans="1:14" x14ac:dyDescent="0.2">
      <c r="A14379" s="23" t="str">
        <f>HYPERLINK("https://www.spark-marketing.ru/Card/Person/769389", "МАДОУ ЦРР - ДЕТСКИЙ САД № 32 ""РУСАЛОЧКА"" Г. ИШИМБАЯ МР ИШИМБАЙСКИЙ РАЙОН РБ")</f>
        <v>МАДОУ ЦРР - ДЕТСКИЙ САД № 32 "РУСАЛОЧКА" Г. ИШИМБАЯ МР ИШИМБАЙСКИЙ РАЙОН РБ</v>
      </c>
      <c r="B14379" s="24" t="s">
        <v>994</v>
      </c>
      <c r="C14379" s="25">
        <v>1119979</v>
      </c>
      <c r="D14379" s="22" t="s">
        <v>19106</v>
      </c>
      <c r="E14379" s="22" t="s">
        <v>362</v>
      </c>
      <c r="F14379" s="23" t="str">
        <f>HYPERLINK("https://www.spark-marketing.ru/Card/Lot/71846437", "Услуги по организации горячего питания в III квартале")</f>
        <v>Услуги по организации горячего питания в III квартале</v>
      </c>
      <c r="G14379" s="22" t="s">
        <v>145</v>
      </c>
      <c r="H14379" s="22" t="s">
        <v>145</v>
      </c>
      <c r="I14379" s="26">
        <v>43648.755856481497</v>
      </c>
      <c r="J14379" s="28" t="s">
        <v>51</v>
      </c>
      <c r="K14379" s="28" t="s">
        <v>51</v>
      </c>
      <c r="L14379" s="22" t="s">
        <v>10</v>
      </c>
      <c r="M14379" s="25">
        <v>1119979</v>
      </c>
      <c r="N14379" s="27">
        <v>0</v>
      </c>
    </row>
    <row r="14380" spans="1:14" x14ac:dyDescent="0.15">
      <c r="A14380" s="23" t="str">
        <f>HYPERLINK("https://www.spark-marketing.ru/Card/Person/1361684", "МАОУ СФМЛ")</f>
        <v>МАОУ СФМЛ</v>
      </c>
      <c r="B14380" s="24" t="s">
        <v>19107</v>
      </c>
      <c r="C14380" s="25">
        <v>461230</v>
      </c>
      <c r="D14380" s="22" t="s">
        <v>19108</v>
      </c>
      <c r="E14380" s="22" t="s">
        <v>362</v>
      </c>
      <c r="F14380" s="23" t="str">
        <f>HYPERLINK("https://www.spark-marketing.ru/Card/Lot/71842593", "Оказание услуг по организации питания льготной категории обучающихся МАОУ СФМЛ")</f>
        <v>Оказание услуг по организации питания льготной категории обучающихся МАОУ СФМЛ</v>
      </c>
      <c r="G14380" s="22" t="s">
        <v>149</v>
      </c>
      <c r="H14380" s="22" t="s">
        <v>149</v>
      </c>
      <c r="I14380" s="26">
        <v>43648.711331018501</v>
      </c>
      <c r="J14380" s="28" t="s">
        <v>51</v>
      </c>
      <c r="K14380" s="28" t="s">
        <v>51</v>
      </c>
      <c r="L14380" s="28" t="s">
        <v>51</v>
      </c>
      <c r="M14380" s="28" t="s">
        <v>51</v>
      </c>
      <c r="N14380" s="28" t="s">
        <v>51</v>
      </c>
    </row>
    <row r="14381" spans="1:14" x14ac:dyDescent="0.15">
      <c r="A14381" s="23" t="str">
        <f>HYPERLINK("https://www.spark-marketing.ru/Card/Person/5816940", "МАУК ""ТЕАТРАЛЬНО-КОНЦЕРТНЫЙ ЦЕНТР""")</f>
        <v>МАУК "ТЕАТРАЛЬНО-КОНЦЕРТНЫЙ ЦЕНТР"</v>
      </c>
      <c r="B14381" s="24" t="s">
        <v>19109</v>
      </c>
      <c r="C14381" s="25">
        <v>380000</v>
      </c>
      <c r="D14381" s="22" t="s">
        <v>19110</v>
      </c>
      <c r="E14381" s="22" t="s">
        <v>580</v>
      </c>
      <c r="F14381" s="23" t="str">
        <f>HYPERLINK("https://www.spark-marketing.ru/Card/Lot/71847576", "Услуги, связанные с организацией питания артистов, участников ""XI Международного фестиваля уличных театров ""Театральный дворик""")</f>
        <v>Услуги, связанные с организацией питания артистов, участников "XI Международного фестиваля уличных театров "Театральный дворик"</v>
      </c>
      <c r="G14381" s="22" t="s">
        <v>68</v>
      </c>
      <c r="H14381" s="22" t="s">
        <v>68</v>
      </c>
      <c r="I14381" s="26">
        <v>43648.709016203698</v>
      </c>
      <c r="J14381" s="28" t="s">
        <v>51</v>
      </c>
      <c r="K14381" s="28" t="s">
        <v>51</v>
      </c>
      <c r="L14381" s="28" t="s">
        <v>51</v>
      </c>
      <c r="M14381" s="28" t="s">
        <v>51</v>
      </c>
      <c r="N14381" s="28" t="s">
        <v>51</v>
      </c>
    </row>
    <row r="14382" spans="1:14" x14ac:dyDescent="0.2">
      <c r="A14382" s="23" t="str">
        <f>HYPERLINK("https://www.spark-marketing.ru/Card/Person/2485296", "МАДОУ ДЕТСКИЙ САД № 29 ""АИСТ"" КОМБИНИРОВАННОГО ВИДА Г.ИШИМБАЯ МР ИШИМБАЙСКИЙ РАЙОН РБ")</f>
        <v>МАДОУ ДЕТСКИЙ САД № 29 "АИСТ" КОМБИНИРОВАННОГО ВИДА Г.ИШИМБАЯ МР ИШИМБАЙСКИЙ РАЙОН РБ</v>
      </c>
      <c r="B14382" s="24" t="s">
        <v>643</v>
      </c>
      <c r="C14382" s="25">
        <v>1379357</v>
      </c>
      <c r="D14382" s="22" t="s">
        <v>19111</v>
      </c>
      <c r="E14382" s="22" t="s">
        <v>362</v>
      </c>
      <c r="F14382" s="23" t="str">
        <f>HYPERLINK("https://www.spark-marketing.ru/Card/Lot/71846198", "услуги по организации горячего питания в III квартале")</f>
        <v>услуги по организации горячего питания в III квартале</v>
      </c>
      <c r="G14382" s="22" t="s">
        <v>145</v>
      </c>
      <c r="H14382" s="22" t="s">
        <v>145</v>
      </c>
      <c r="I14382" s="26">
        <v>43648.723715277803</v>
      </c>
      <c r="J14382" s="28" t="s">
        <v>51</v>
      </c>
      <c r="K14382" s="28" t="s">
        <v>51</v>
      </c>
      <c r="L14382" s="22" t="s">
        <v>10</v>
      </c>
      <c r="M14382" s="25">
        <v>1379357</v>
      </c>
      <c r="N14382" s="27">
        <v>0</v>
      </c>
    </row>
    <row r="14383" spans="1:14" x14ac:dyDescent="0.2">
      <c r="A14383" s="23" t="str">
        <f>HYPERLINK("https://www.spark-marketing.ru/Card/Person/49008", "АО ""ДЕПАРТАМЕНТ ПРОДОВОЛЬСТВИЯ""")</f>
        <v>АО "ДЕПАРТАМЕНТ ПРОДОВОЛЬСТВИЯ"</v>
      </c>
      <c r="B14383" s="24" t="s">
        <v>2101</v>
      </c>
      <c r="C14383" s="25">
        <v>2735208</v>
      </c>
      <c r="D14383" s="22" t="s">
        <v>19112</v>
      </c>
      <c r="E14383" s="22" t="s">
        <v>19113</v>
      </c>
      <c r="F14383" s="23" t="str">
        <f>HYPERLINK("https://www.spark-marketing.ru/Card/Lot/71847288", "Оказание услуг по стирке и глажению спецодежды АО""Департамент продовольствия и социального питания г. Казани""")</f>
        <v>Оказание услуг по стирке и глажению спецодежды АО"Департамент продовольствия и социального питания г. Казани"</v>
      </c>
      <c r="G14383" s="22" t="s">
        <v>217</v>
      </c>
      <c r="H14383" s="22" t="s">
        <v>937</v>
      </c>
      <c r="I14383" s="26">
        <v>43648.7082407407</v>
      </c>
      <c r="J14383" s="28" t="s">
        <v>51</v>
      </c>
      <c r="K14383" s="28" t="s">
        <v>51</v>
      </c>
      <c r="L14383" s="22" t="s">
        <v>10</v>
      </c>
      <c r="M14383" s="25">
        <v>2735208</v>
      </c>
      <c r="N14383" s="27">
        <v>0</v>
      </c>
    </row>
    <row r="14384" spans="1:14" x14ac:dyDescent="0.2">
      <c r="A14384" s="23" t="str">
        <f>HYPERLINK("https://www.spark-marketing.ru/Card/Person/769437", "МАДОУ ДЕТСКИЙ САД № 25 ""СКАЗКА"" КОМБИНИРОВАННОГО ВИДА Г. ИШИМБАЯ МР ИШИМБАЙСКИЙ РАЙОН РБ")</f>
        <v>МАДОУ ДЕТСКИЙ САД № 25 "СКАЗКА" КОМБИНИРОВАННОГО ВИДА Г. ИШИМБАЯ МР ИШИМБАЙСКИЙ РАЙОН РБ</v>
      </c>
      <c r="B14384" s="24" t="s">
        <v>995</v>
      </c>
      <c r="C14384" s="25">
        <v>1371893</v>
      </c>
      <c r="D14384" s="22" t="s">
        <v>19114</v>
      </c>
      <c r="E14384" s="22" t="s">
        <v>362</v>
      </c>
      <c r="F14384" s="23" t="str">
        <f>HYPERLINK("https://www.spark-marketing.ru/Card/Lot/71843565", "Услуги по организации горячего питания в III квартале")</f>
        <v>Услуги по организации горячего питания в III квартале</v>
      </c>
      <c r="G14384" s="22" t="s">
        <v>145</v>
      </c>
      <c r="H14384" s="22" t="s">
        <v>145</v>
      </c>
      <c r="I14384" s="26">
        <v>43648.673923611103</v>
      </c>
      <c r="J14384" s="28" t="s">
        <v>51</v>
      </c>
      <c r="K14384" s="28" t="s">
        <v>51</v>
      </c>
      <c r="L14384" s="28" t="s">
        <v>51</v>
      </c>
      <c r="M14384" s="25">
        <v>1371893</v>
      </c>
      <c r="N14384" s="27">
        <v>0</v>
      </c>
    </row>
    <row r="14385" spans="1:14" x14ac:dyDescent="0.2">
      <c r="A14385" s="23" t="str">
        <f>HYPERLINK("https://www.spark-marketing.ru/Card/Person/2491995", "МАДОУ ЦРР - ДЕТСКИЙ САД № 28 ""РОДНИЧОК"", Г. ИШИМБАЯ, МР ИШИМБАЙСКИЙ РАЙОН РБ")</f>
        <v>МАДОУ ЦРР - ДЕТСКИЙ САД № 28 "РОДНИЧОК", Г. ИШИМБАЯ, МР ИШИМБАЙСКИЙ РАЙОН РБ</v>
      </c>
      <c r="B14385" s="24" t="s">
        <v>19115</v>
      </c>
      <c r="C14385" s="25">
        <v>1917500</v>
      </c>
      <c r="D14385" s="22" t="s">
        <v>19116</v>
      </c>
      <c r="E14385" s="22" t="s">
        <v>362</v>
      </c>
      <c r="F14385" s="23" t="str">
        <f>HYPERLINK("https://www.spark-marketing.ru/Card/Lot/71845273", "услуги по организации горячего питания дошкольных организаций в III квартале")</f>
        <v>услуги по организации горячего питания дошкольных организаций в III квартале</v>
      </c>
      <c r="G14385" s="22" t="s">
        <v>145</v>
      </c>
      <c r="H14385" s="22" t="s">
        <v>145</v>
      </c>
      <c r="I14385" s="26">
        <v>43648.691423611097</v>
      </c>
      <c r="J14385" s="28" t="s">
        <v>51</v>
      </c>
      <c r="K14385" s="28" t="s">
        <v>51</v>
      </c>
      <c r="L14385" s="22" t="s">
        <v>10</v>
      </c>
      <c r="M14385" s="25">
        <v>1917500</v>
      </c>
      <c r="N14385" s="27">
        <v>0</v>
      </c>
    </row>
    <row r="14386" spans="1:14" x14ac:dyDescent="0.2">
      <c r="A14386" s="23" t="str">
        <f>HYPERLINK("https://www.spark-marketing.ru/Card/Person/234779", "МДОУ Д/С № 97")</f>
        <v>МДОУ Д/С № 97</v>
      </c>
      <c r="B14386" s="24" t="s">
        <v>19117</v>
      </c>
      <c r="C14386" s="25">
        <v>331355.3</v>
      </c>
      <c r="D14386" s="22" t="s">
        <v>19118</v>
      </c>
      <c r="E14386" s="22" t="s">
        <v>362</v>
      </c>
      <c r="F14386" s="23" t="str">
        <f>HYPERLINK("https://www.spark-marketing.ru/Card/Lot/71845271", "Услуга по обеспечению питанием")</f>
        <v>Услуга по обеспечению питанием</v>
      </c>
      <c r="G14386" s="22" t="s">
        <v>158</v>
      </c>
      <c r="H14386" s="22" t="s">
        <v>158</v>
      </c>
      <c r="I14386" s="26">
        <v>43648.688506944403</v>
      </c>
      <c r="J14386" s="28" t="s">
        <v>51</v>
      </c>
      <c r="K14386" s="28" t="s">
        <v>51</v>
      </c>
      <c r="L14386" s="22" t="s">
        <v>10</v>
      </c>
      <c r="M14386" s="25">
        <v>331355.3</v>
      </c>
      <c r="N14386" s="27">
        <v>0</v>
      </c>
    </row>
    <row r="14387" spans="1:14" x14ac:dyDescent="0.2">
      <c r="A14387" s="23" t="str">
        <f>HYPERLINK("https://www.spark-marketing.ru/Card/Person/1752222", "СПБ ГАУ ""ЦЕНТР ПОДГОТОВКИ""")</f>
        <v>СПБ ГАУ "ЦЕНТР ПОДГОТОВКИ"</v>
      </c>
      <c r="B14387" s="24" t="s">
        <v>9583</v>
      </c>
      <c r="C14387" s="25">
        <v>148600</v>
      </c>
      <c r="D14387" s="22" t="s">
        <v>19119</v>
      </c>
      <c r="E14387" s="22" t="s">
        <v>769</v>
      </c>
      <c r="F14387" s="23" t="str">
        <f>HYPERLINK("https://www.spark-marketing.ru/Card/Lot/71847177", "Оказание услуг по организации проживания, питания, предоставлению бани (сауны) на чемпионате России (лыжероллеры) для членов спортивной сборной команды Санкт-Петербурга по лыжным гонкам")</f>
        <v>Оказание услуг по организации проживания, питания, предоставлению бани (сауны) на чемпионате России (лыжероллеры) для членов спортивной сборной команды Санкт-Петербурга по лыжным гонкам</v>
      </c>
      <c r="G14387" s="22" t="s">
        <v>162</v>
      </c>
      <c r="H14387" s="22" t="s">
        <v>162</v>
      </c>
      <c r="I14387" s="26">
        <v>43648.676793981504</v>
      </c>
      <c r="J14387" s="28" t="s">
        <v>51</v>
      </c>
      <c r="K14387" s="28" t="s">
        <v>51</v>
      </c>
      <c r="L14387" s="22" t="s">
        <v>10</v>
      </c>
      <c r="M14387" s="25">
        <v>148600</v>
      </c>
      <c r="N14387" s="27">
        <v>0</v>
      </c>
    </row>
    <row r="14388" spans="1:14" x14ac:dyDescent="0.15">
      <c r="A14388" s="23" t="str">
        <f>HYPERLINK("https://www.spark-marketing.ru/Card/Person/996273", "ГБУЗ НСО ""НОКНД""")</f>
        <v>ГБУЗ НСО "НОКНД"</v>
      </c>
      <c r="B14388" s="24" t="s">
        <v>1341</v>
      </c>
      <c r="C14388" s="25">
        <v>1832094</v>
      </c>
      <c r="D14388" s="22" t="s">
        <v>19120</v>
      </c>
      <c r="E14388" s="22" t="s">
        <v>580</v>
      </c>
      <c r="F14388" s="23" t="str">
        <f>HYPERLINK("https://www.spark-marketing.ru/Card/Lot/71838821", "Оказание услуг по организации лечебного питания пациентов")</f>
        <v>Оказание услуг по организации лечебного питания пациентов</v>
      </c>
      <c r="G14388" s="22" t="s">
        <v>195</v>
      </c>
      <c r="H14388" s="22" t="s">
        <v>195</v>
      </c>
      <c r="I14388" s="26">
        <v>43648.5886342593</v>
      </c>
      <c r="J14388" s="28" t="s">
        <v>51</v>
      </c>
      <c r="K14388" s="28" t="s">
        <v>51</v>
      </c>
      <c r="L14388" s="28" t="s">
        <v>51</v>
      </c>
      <c r="M14388" s="28" t="s">
        <v>51</v>
      </c>
      <c r="N14388" s="28" t="s">
        <v>51</v>
      </c>
    </row>
    <row r="14389" spans="1:14" x14ac:dyDescent="0.15">
      <c r="A14389" s="23" t="str">
        <f>HYPERLINK("https://www.spark-marketing.ru/Card/Person/20980", "ГБУ РО ""ОНКОДИСПАНСЕР"" В Г. ШАХТЫ")</f>
        <v>ГБУ РО "ОНКОДИСПАНСЕР" В Г. ШАХТЫ</v>
      </c>
      <c r="B14389" s="24" t="s">
        <v>19121</v>
      </c>
      <c r="C14389" s="25">
        <v>98800</v>
      </c>
      <c r="D14389" s="22" t="s">
        <v>19122</v>
      </c>
      <c r="E14389" s="22" t="s">
        <v>62</v>
      </c>
      <c r="F14389" s="23" t="str">
        <f>HYPERLINK("https://www.spark-marketing.ru/Card/Lot/71843233", "Бланки")</f>
        <v>Бланки</v>
      </c>
      <c r="G14389" s="22" t="s">
        <v>267</v>
      </c>
      <c r="H14389" s="22" t="s">
        <v>4874</v>
      </c>
      <c r="I14389" s="26">
        <v>43648.6118055556</v>
      </c>
      <c r="J14389" s="28" t="s">
        <v>51</v>
      </c>
      <c r="K14389" s="28" t="s">
        <v>51</v>
      </c>
      <c r="L14389" s="28" t="s">
        <v>51</v>
      </c>
      <c r="M14389" s="28" t="s">
        <v>51</v>
      </c>
      <c r="N14389" s="28" t="s">
        <v>51</v>
      </c>
    </row>
    <row r="14390" spans="1:14" x14ac:dyDescent="0.2">
      <c r="A14390" s="23" t="str">
        <f>HYPERLINK("https://www.spark-marketing.ru/Card/Person/769746", "МАДОУ ДЕТСКИЙ САД № 18 ""РОМАШКА"" ОБЩЕРАЗВИВАЮЩЕГО ВИДА Г. ИШИМБАЯ МР ИШИМБАЙСКИЙ РАЙОН РБ")</f>
        <v>МАДОУ ДЕТСКИЙ САД № 18 "РОМАШКА" ОБЩЕРАЗВИВАЮЩЕГО ВИДА Г. ИШИМБАЯ МР ИШИМБАЙСКИЙ РАЙОН РБ</v>
      </c>
      <c r="B14390" s="24" t="s">
        <v>2402</v>
      </c>
      <c r="C14390" s="25">
        <v>1043267</v>
      </c>
      <c r="D14390" s="22" t="s">
        <v>19123</v>
      </c>
      <c r="E14390" s="22" t="s">
        <v>362</v>
      </c>
      <c r="F14390" s="23" t="str">
        <f>HYPERLINK("https://www.spark-marketing.ru/Card/Lot/71843092", "услуги по организации горячего питания дошкольных организаций в III квартале")</f>
        <v>услуги по организации горячего питания дошкольных организаций в III квартале</v>
      </c>
      <c r="G14390" s="22" t="s">
        <v>145</v>
      </c>
      <c r="H14390" s="22" t="s">
        <v>145</v>
      </c>
      <c r="I14390" s="26">
        <v>43648.599502314799</v>
      </c>
      <c r="J14390" s="28" t="s">
        <v>51</v>
      </c>
      <c r="K14390" s="28" t="s">
        <v>51</v>
      </c>
      <c r="L14390" s="22" t="s">
        <v>10</v>
      </c>
      <c r="M14390" s="25">
        <v>1043267</v>
      </c>
      <c r="N14390" s="27">
        <v>0</v>
      </c>
    </row>
    <row r="14391" spans="1:14" x14ac:dyDescent="0.2">
      <c r="A14391" s="23" t="str">
        <f>HYPERLINK("https://www.spark-marketing.ru/Card/Person/768985", "МАДОУ ДЕТСКИЙ САД № 23 ""СВЕТЛЯЧОК"" ОБЩЕРАЗВИВАЮЩЕГО ВИДА Г.ИШИМБАЯ МР ИШИМБАЙСКИЙ РАЙОН РБ")</f>
        <v>МАДОУ ДЕТСКИЙ САД № 23 "СВЕТЛЯЧОК" ОБЩЕРАЗВИВАЮЩЕГО ВИДА Г.ИШИМБАЯ МР ИШИМБАЙСКИЙ РАЙОН РБ</v>
      </c>
      <c r="B14391" s="24" t="s">
        <v>640</v>
      </c>
      <c r="C14391" s="25">
        <v>763690</v>
      </c>
      <c r="D14391" s="22" t="s">
        <v>19124</v>
      </c>
      <c r="E14391" s="22" t="s">
        <v>362</v>
      </c>
      <c r="F14391" s="23" t="str">
        <f>HYPERLINK("https://www.spark-marketing.ru/Card/Lot/71843105", "услуги по организации горячего питания дошкольных организаций в III квартале")</f>
        <v>услуги по организации горячего питания дошкольных организаций в III квартале</v>
      </c>
      <c r="G14391" s="22" t="s">
        <v>145</v>
      </c>
      <c r="H14391" s="22" t="s">
        <v>145</v>
      </c>
      <c r="I14391" s="26">
        <v>43648.619942129597</v>
      </c>
      <c r="J14391" s="28" t="s">
        <v>51</v>
      </c>
      <c r="K14391" s="28" t="s">
        <v>51</v>
      </c>
      <c r="L14391" s="22" t="s">
        <v>10</v>
      </c>
      <c r="M14391" s="25">
        <v>763690</v>
      </c>
      <c r="N14391" s="27">
        <v>0</v>
      </c>
    </row>
    <row r="14392" spans="1:14" x14ac:dyDescent="0.15">
      <c r="A14392" s="23" t="str">
        <f>HYPERLINK("https://www.spark-marketing.ru/Card/Person/4365986", "АО ""РОСТОВВОДОКАНАЛ""")</f>
        <v>АО "РОСТОВВОДОКАНАЛ"</v>
      </c>
      <c r="B14392" s="24" t="s">
        <v>19125</v>
      </c>
      <c r="C14392" s="25">
        <v>276000</v>
      </c>
      <c r="D14392" s="22" t="s">
        <v>19126</v>
      </c>
      <c r="E14392" s="22" t="s">
        <v>1764</v>
      </c>
      <c r="F14392" s="23" t="str">
        <f>HYPERLINK("https://www.spark-marketing.ru/Card/Lot/71842635", "Поставка продукции общественного питания")</f>
        <v>Поставка продукции общественного питания</v>
      </c>
      <c r="G14392" s="22" t="s">
        <v>267</v>
      </c>
      <c r="H14392" s="22" t="s">
        <v>267</v>
      </c>
      <c r="I14392" s="26">
        <v>43648.557673611103</v>
      </c>
      <c r="J14392" s="28" t="s">
        <v>51</v>
      </c>
      <c r="K14392" s="28" t="s">
        <v>51</v>
      </c>
      <c r="L14392" s="28" t="s">
        <v>51</v>
      </c>
      <c r="M14392" s="28" t="s">
        <v>51</v>
      </c>
      <c r="N14392" s="28" t="s">
        <v>51</v>
      </c>
    </row>
    <row r="14393" spans="1:14" x14ac:dyDescent="0.2">
      <c r="A14393" s="23" t="str">
        <f>HYPERLINK("https://www.spark-marketing.ru/Card/Person/768803", "МАДОУ ДЕТСКИЙ САД № 13 ""БЕРЕЗКА"" КОМБИНИРОВАННОГО ВИДА Г. ИШИМБАЯ МР ИШИМБАЙСКИЙ РАЙОН РБ")</f>
        <v>МАДОУ ДЕТСКИЙ САД № 13 "БЕРЕЗКА" КОМБИНИРОВАННОГО ВИДА Г. ИШИМБАЯ МР ИШИМБАЙСКИЙ РАЙОН РБ</v>
      </c>
      <c r="B14393" s="24" t="s">
        <v>19127</v>
      </c>
      <c r="C14393" s="25">
        <v>969038</v>
      </c>
      <c r="D14393" s="22" t="s">
        <v>19128</v>
      </c>
      <c r="E14393" s="22" t="s">
        <v>362</v>
      </c>
      <c r="F14393" s="23" t="str">
        <f>HYPERLINK("https://www.spark-marketing.ru/Card/Lot/71840323", "услуги по организации горячего питания в III квартале")</f>
        <v>услуги по организации горячего питания в III квартале</v>
      </c>
      <c r="G14393" s="22" t="s">
        <v>145</v>
      </c>
      <c r="H14393" s="22" t="s">
        <v>145</v>
      </c>
      <c r="I14393" s="26">
        <v>43648.572731481501</v>
      </c>
      <c r="J14393" s="28" t="s">
        <v>51</v>
      </c>
      <c r="K14393" s="28" t="s">
        <v>51</v>
      </c>
      <c r="L14393" s="22" t="s">
        <v>10</v>
      </c>
      <c r="M14393" s="25">
        <v>969038</v>
      </c>
      <c r="N14393" s="27">
        <v>0</v>
      </c>
    </row>
    <row r="14394" spans="1:14" x14ac:dyDescent="0.15">
      <c r="A14394" s="23" t="str">
        <f>HYPERLINK("https://www.spark-marketing.ru/Card/Person/1036696", "БОУ Г. ОМСКА ""СРЕДНЯЯ ОБЩЕОБРАЗОВАТЕЛЬНАЯ ШКОЛА № 34""")</f>
        <v>БОУ Г. ОМСКА "СРЕДНЯЯ ОБЩЕОБРАЗОВАТЕЛЬНАЯ ШКОЛА № 34"</v>
      </c>
      <c r="B14394" s="24" t="s">
        <v>19129</v>
      </c>
      <c r="C14394" s="25">
        <v>9180</v>
      </c>
      <c r="D14394" s="22" t="s">
        <v>19130</v>
      </c>
      <c r="E14394" s="22" t="s">
        <v>48</v>
      </c>
      <c r="F14394" s="23" t="str">
        <f>HYPERLINK("https://www.spark-marketing.ru/Card/Lot/71841132", "Оказание услуг по организации питания обучающихся")</f>
        <v>Оказание услуг по организации питания обучающихся</v>
      </c>
      <c r="G14394" s="22" t="s">
        <v>487</v>
      </c>
      <c r="H14394" s="22" t="s">
        <v>488</v>
      </c>
      <c r="I14394" s="26">
        <v>43648.554166666698</v>
      </c>
      <c r="J14394" s="28" t="s">
        <v>51</v>
      </c>
      <c r="K14394" s="28" t="s">
        <v>51</v>
      </c>
      <c r="L14394" s="28" t="s">
        <v>51</v>
      </c>
      <c r="M14394" s="28" t="s">
        <v>51</v>
      </c>
      <c r="N14394" s="28" t="s">
        <v>51</v>
      </c>
    </row>
    <row r="14395" spans="1:14" x14ac:dyDescent="0.2">
      <c r="A14395" s="23" t="str">
        <f>HYPERLINK("https://www.spark-marketing.ru/Card/Person/2255061", "МАДОУ ДЕТСКИЙ САД № 9 ""БЕЛОСНЕЖКА"", ОБЩЕРАЗВИВАЮЩЕГО ВИДА Г. ИШИМБАЯ МР ИШИМБАЙСКИЙ РАЙОН, РБ")</f>
        <v>МАДОУ ДЕТСКИЙ САД № 9 "БЕЛОСНЕЖКА", ОБЩЕРАЗВИВАЮЩЕГО ВИДА Г. ИШИМБАЯ МР ИШИМБАЙСКИЙ РАЙОН, РБ</v>
      </c>
      <c r="B14395" s="24" t="s">
        <v>2399</v>
      </c>
      <c r="C14395" s="25">
        <v>784476</v>
      </c>
      <c r="D14395" s="22" t="s">
        <v>19131</v>
      </c>
      <c r="E14395" s="22" t="s">
        <v>362</v>
      </c>
      <c r="F14395" s="23" t="str">
        <f>HYPERLINK("https://www.spark-marketing.ru/Card/Lot/71838800", "услуги по организации горячего питания в III квартале")</f>
        <v>услуги по организации горячего питания в III квартале</v>
      </c>
      <c r="G14395" s="22" t="s">
        <v>145</v>
      </c>
      <c r="H14395" s="22" t="s">
        <v>145</v>
      </c>
      <c r="I14395" s="26">
        <v>43648.502465277801</v>
      </c>
      <c r="J14395" s="28" t="s">
        <v>51</v>
      </c>
      <c r="K14395" s="28" t="s">
        <v>51</v>
      </c>
      <c r="L14395" s="28" t="s">
        <v>51</v>
      </c>
      <c r="M14395" s="25">
        <v>784476</v>
      </c>
      <c r="N14395" s="27">
        <v>0</v>
      </c>
    </row>
    <row r="14396" spans="1:14" x14ac:dyDescent="0.15">
      <c r="A14396" s="23" t="str">
        <f>HYPERLINK("https://www.spark-marketing.ru/Card/Person/1037490", "ГАУ ПО СШОР ПО ГИМНАСТИКЕ ИМ. Н.А. ЛАВРОВОЙ")</f>
        <v>ГАУ ПО СШОР ПО ГИМНАСТИКЕ ИМ. Н.А. ЛАВРОВОЙ</v>
      </c>
      <c r="B14396" s="24" t="s">
        <v>19132</v>
      </c>
      <c r="C14396" s="25">
        <v>247500</v>
      </c>
      <c r="D14396" s="22" t="s">
        <v>19133</v>
      </c>
      <c r="E14396" s="22" t="s">
        <v>1412</v>
      </c>
      <c r="F14396" s="23" t="str">
        <f>HYPERLINK("https://www.spark-marketing.ru/Card/Lot/71842217", "услуги по организации питания участникам тренировочного сбора по общей физической подготовке по художественной гимнастике")</f>
        <v>услуги по организации питания участникам тренировочного сбора по общей физической подготовке по художественной гимнастике</v>
      </c>
      <c r="G14396" s="22" t="s">
        <v>72</v>
      </c>
      <c r="H14396" s="22" t="s">
        <v>72</v>
      </c>
      <c r="I14396" s="26">
        <v>43648.507939814801</v>
      </c>
      <c r="J14396" s="28" t="s">
        <v>51</v>
      </c>
      <c r="K14396" s="28" t="s">
        <v>51</v>
      </c>
      <c r="L14396" s="28" t="s">
        <v>51</v>
      </c>
      <c r="M14396" s="28" t="s">
        <v>51</v>
      </c>
      <c r="N14396" s="28" t="s">
        <v>51</v>
      </c>
    </row>
    <row r="14397" spans="1:14" x14ac:dyDescent="0.15">
      <c r="A14397" s="23" t="str">
        <f>HYPERLINK("https://www.spark-marketing.ru/Card/Person/887281", "КГБУ ""ВОЛЧИХИНСКИЙ ЦЕНТР ПОМОЩИ ДЕТЯМ, ОСТАВШИМСЯ БЕЗ ПОПЕЧЕНИЯ РОДИТЕЛЕЙ""")</f>
        <v>КГБУ "ВОЛЧИХИНСКИЙ ЦЕНТР ПОМОЩИ ДЕТЯМ, ОСТАВШИМСЯ БЕЗ ПОПЕЧЕНИЯ РОДИТЕЛЕЙ"</v>
      </c>
      <c r="B14397" s="24" t="s">
        <v>19134</v>
      </c>
      <c r="C14397" s="25">
        <v>4800</v>
      </c>
      <c r="D14397" s="22" t="s">
        <v>19135</v>
      </c>
      <c r="E14397" s="22" t="s">
        <v>19136</v>
      </c>
      <c r="F14397" s="23" t="str">
        <f>HYPERLINK("https://www.spark-marketing.ru/Card/Lot/71840991", "(000)Товары, работы или услуги на сумму, не превышающую 100 тыс. руб. (п.4 ч.1 ст.93 Федерального закона №44-ФЗ)")</f>
        <v>(000)Товары, работы или услуги на сумму, не превышающую 100 тыс. руб. (п.4 ч.1 ст.93 Федерального закона №44-ФЗ)</v>
      </c>
      <c r="G14397" s="22" t="s">
        <v>63</v>
      </c>
      <c r="H14397" s="22" t="s">
        <v>18692</v>
      </c>
      <c r="I14397" s="26">
        <v>43648.537499999999</v>
      </c>
      <c r="J14397" s="28" t="s">
        <v>51</v>
      </c>
      <c r="K14397" s="28" t="s">
        <v>51</v>
      </c>
      <c r="L14397" s="28" t="s">
        <v>51</v>
      </c>
      <c r="M14397" s="28" t="s">
        <v>51</v>
      </c>
      <c r="N14397" s="28" t="s">
        <v>51</v>
      </c>
    </row>
    <row r="14398" spans="1:14" x14ac:dyDescent="0.2">
      <c r="A14398" s="23" t="str">
        <f>HYPERLINK("https://www.spark-marketing.ru/Card/Person/153577", "ГОАОУ ""ЦЕНТР ПОДДЕРЖКИ ОДАРЕННЫХ ДЕТЕЙ ""СТРАТЕГИЯ""")</f>
        <v>ГОАОУ "ЦЕНТР ПОДДЕРЖКИ ОДАРЕННЫХ ДЕТЕЙ "СТРАТЕГИЯ"</v>
      </c>
      <c r="B14398" s="24" t="s">
        <v>19137</v>
      </c>
      <c r="C14398" s="25">
        <v>200000</v>
      </c>
      <c r="D14398" s="22" t="s">
        <v>19138</v>
      </c>
      <c r="E14398" s="22" t="s">
        <v>774</v>
      </c>
      <c r="F14398" s="23" t="str">
        <f>HYPERLINK("https://www.spark-marketing.ru/Card/Lot/71839095", "услуги по ремонту и заправке картриджей")</f>
        <v>услуги по ремонту и заправке картриджей</v>
      </c>
      <c r="G14398" s="22" t="s">
        <v>101</v>
      </c>
      <c r="H14398" s="22" t="s">
        <v>101</v>
      </c>
      <c r="I14398" s="26">
        <v>43648.447824074101</v>
      </c>
      <c r="J14398" s="28" t="s">
        <v>51</v>
      </c>
      <c r="K14398" s="28" t="s">
        <v>51</v>
      </c>
      <c r="L14398" s="22" t="s">
        <v>10</v>
      </c>
      <c r="M14398" s="25">
        <v>200000</v>
      </c>
      <c r="N14398" s="27">
        <v>0</v>
      </c>
    </row>
    <row r="14399" spans="1:14" x14ac:dyDescent="0.15">
      <c r="A14399" s="23" t="str">
        <f>HYPERLINK("https://www.spark-marketing.ru/Card/Person/3479", "ФГБУ ""ФЦССХ"" МИНЗДРАВА РОССИИ (Г. КРАСНОЯРСК)")</f>
        <v>ФГБУ "ФЦССХ" МИНЗДРАВА РОССИИ (Г. КРАСНОЯРСК)</v>
      </c>
      <c r="B14399" s="24" t="s">
        <v>315</v>
      </c>
      <c r="C14399" s="25">
        <v>513829.05</v>
      </c>
      <c r="D14399" s="22" t="s">
        <v>19139</v>
      </c>
      <c r="E14399" s="22" t="s">
        <v>19140</v>
      </c>
      <c r="F14399" s="23" t="str">
        <f>HYPERLINK("https://www.spark-marketing.ru/Card/Lot/71835469", "На право заключения контракта на поставку канцелярских товаров")</f>
        <v>На право заключения контракта на поставку канцелярских товаров</v>
      </c>
      <c r="G14399" s="22" t="s">
        <v>281</v>
      </c>
      <c r="H14399" s="22" t="s">
        <v>281</v>
      </c>
      <c r="I14399" s="26">
        <v>43648.427777777797</v>
      </c>
      <c r="J14399" s="28" t="s">
        <v>51</v>
      </c>
      <c r="K14399" s="28" t="s">
        <v>51</v>
      </c>
      <c r="L14399" s="28" t="s">
        <v>51</v>
      </c>
      <c r="M14399" s="28" t="s">
        <v>51</v>
      </c>
      <c r="N14399" s="28" t="s">
        <v>51</v>
      </c>
    </row>
    <row r="14400" spans="1:14" hidden="1" outlineLevel="1" x14ac:dyDescent="0.2">
      <c r="A14400" s="23" t="str">
        <f>HYPERLINK("https://www.spark-marketing.ru/Card/Person/3479", "ФГБУ ""ФЦССХ"" МИНЗДРАВА РОССИИ (Г. КРАСНОЯРСК)")</f>
        <v>ФГБУ "ФЦССХ" МИНЗДРАВА РОССИИ (Г. КРАСНОЯРСК)</v>
      </c>
      <c r="B14400" s="24" t="s">
        <v>315</v>
      </c>
      <c r="C14400" s="25">
        <v>513829.05</v>
      </c>
      <c r="D14400" s="22" t="s">
        <v>19139</v>
      </c>
      <c r="E14400" s="22" t="s">
        <v>19140</v>
      </c>
      <c r="F14400" s="23" t="str">
        <f>HYPERLINK("https://www.spark-marketing.ru/Card/Lot/71835469", "На право заключения контракта на поставку канцелярских товаров")</f>
        <v>На право заключения контракта на поставку канцелярских товаров</v>
      </c>
      <c r="G14400" s="22" t="s">
        <v>281</v>
      </c>
      <c r="H14400" s="22" t="s">
        <v>281</v>
      </c>
      <c r="I14400" s="26">
        <v>43648.427777777797</v>
      </c>
      <c r="J14400" s="23" t="str">
        <f>HYPERLINK("https://www.spark-marketing.ru/Card/Person/4310080", "ООО ""ОФИСНАЯ ПЛАНЕТА КРАСНОЯРСК""")</f>
        <v>ООО "ОФИСНАЯ ПЛАНЕТА КРАСНОЯРСК"</v>
      </c>
      <c r="K14400" s="24" t="s">
        <v>19141</v>
      </c>
      <c r="L14400" s="28" t="s">
        <v>51</v>
      </c>
      <c r="M14400" s="25">
        <v>498414.15</v>
      </c>
      <c r="N14400" s="27">
        <v>3.000005546591809E-2</v>
      </c>
    </row>
    <row r="14401" spans="1:14" hidden="1" outlineLevel="1" x14ac:dyDescent="0.2">
      <c r="A14401" s="23" t="str">
        <f>HYPERLINK("https://www.spark-marketing.ru/Card/Person/3479", "ФГБУ ""ФЦССХ"" МИНЗДРАВА РОССИИ (Г. КРАСНОЯРСК)")</f>
        <v>ФГБУ "ФЦССХ" МИНЗДРАВА РОССИИ (Г. КРАСНОЯРСК)</v>
      </c>
      <c r="B14401" s="24" t="s">
        <v>315</v>
      </c>
      <c r="C14401" s="25">
        <v>513829.05</v>
      </c>
      <c r="D14401" s="22" t="s">
        <v>19139</v>
      </c>
      <c r="E14401" s="22" t="s">
        <v>19140</v>
      </c>
      <c r="F14401" s="23" t="str">
        <f>HYPERLINK("https://www.spark-marketing.ru/Card/Lot/71835469", "На право заключения контракта на поставку канцелярских товаров")</f>
        <v>На право заключения контракта на поставку канцелярских товаров</v>
      </c>
      <c r="G14401" s="22" t="s">
        <v>281</v>
      </c>
      <c r="H14401" s="22" t="s">
        <v>281</v>
      </c>
      <c r="I14401" s="26">
        <v>43648.427777777797</v>
      </c>
      <c r="J14401" s="23" t="str">
        <f>HYPERLINK("https://www.spark-marketing.ru/Card/Person/461100", "ООО ""ФОРМАТ""")</f>
        <v>ООО "ФОРМАТ"</v>
      </c>
      <c r="K14401" s="24" t="s">
        <v>19142</v>
      </c>
      <c r="L14401" s="28" t="s">
        <v>51</v>
      </c>
      <c r="M14401" s="25">
        <v>336557.7</v>
      </c>
      <c r="N14401" s="27">
        <v>0.34500063785805807</v>
      </c>
    </row>
    <row r="14402" spans="1:14" ht="12.75" hidden="1" outlineLevel="1" x14ac:dyDescent="0.2">
      <c r="A14402" s="23" t="str">
        <f>HYPERLINK("https://www.spark-marketing.ru/Card/Person/3479", "ФГБУ ""ФЦССХ"" МИНЗДРАВА РОССИИ (Г. КРАСНОЯРСК)")</f>
        <v>ФГБУ "ФЦССХ" МИНЗДРАВА РОССИИ (Г. КРАСНОЯРСК)</v>
      </c>
      <c r="B14402" s="24" t="s">
        <v>315</v>
      </c>
      <c r="C14402" s="25">
        <v>513829.05</v>
      </c>
      <c r="D14402" s="22" t="s">
        <v>19139</v>
      </c>
      <c r="E14402" s="22" t="s">
        <v>19140</v>
      </c>
      <c r="F14402" s="23" t="str">
        <f>HYPERLINK("https://www.spark-marketing.ru/Card/Lot/71835469", "На право заключения контракта на поставку канцелярских товаров")</f>
        <v>На право заключения контракта на поставку канцелярских товаров</v>
      </c>
      <c r="G14402" s="22" t="s">
        <v>281</v>
      </c>
      <c r="H14402" s="22" t="s">
        <v>281</v>
      </c>
      <c r="I14402" s="26">
        <v>43648.427777777797</v>
      </c>
      <c r="J14402" s="23" t="str">
        <f>HYPERLINK("https://www.spark-marketing.ru/Card/Person/161844", "ООО "" ЕРМАК К """)</f>
        <v>ООО " ЕРМАК К "</v>
      </c>
      <c r="K14402" s="24" t="s">
        <v>19143</v>
      </c>
      <c r="L14402" s="22" t="s">
        <v>10</v>
      </c>
      <c r="M14402" s="25">
        <v>333988.55</v>
      </c>
      <c r="N14402" s="27">
        <v>0.35000064710237772</v>
      </c>
    </row>
    <row r="14403" spans="1:14" hidden="1" outlineLevel="1" x14ac:dyDescent="0.2">
      <c r="A14403" s="23" t="str">
        <f>HYPERLINK("https://www.spark-marketing.ru/Card/Person/3479", "ФГБУ ""ФЦССХ"" МИНЗДРАВА РОССИИ (Г. КРАСНОЯРСК)")</f>
        <v>ФГБУ "ФЦССХ" МИНЗДРАВА РОССИИ (Г. КРАСНОЯРСК)</v>
      </c>
      <c r="B14403" s="24" t="s">
        <v>315</v>
      </c>
      <c r="C14403" s="25">
        <v>513829.05</v>
      </c>
      <c r="D14403" s="22" t="s">
        <v>19139</v>
      </c>
      <c r="E14403" s="22" t="s">
        <v>19140</v>
      </c>
      <c r="F14403" s="23" t="str">
        <f>HYPERLINK("https://www.spark-marketing.ru/Card/Lot/71835469", "На право заключения контракта на поставку канцелярских товаров")</f>
        <v>На право заключения контракта на поставку канцелярских товаров</v>
      </c>
      <c r="G14403" s="22" t="s">
        <v>281</v>
      </c>
      <c r="H14403" s="22" t="s">
        <v>281</v>
      </c>
      <c r="I14403" s="26">
        <v>43648.427777777797</v>
      </c>
      <c r="J14403" s="23" t="str">
        <f>HYPERLINK("https://www.spark-marketing.ru/Card/Person/6044405", "Рамонене Инна Александровна")</f>
        <v>Рамонене Инна Александровна</v>
      </c>
      <c r="K14403" s="24" t="s">
        <v>19144</v>
      </c>
      <c r="L14403" s="28" t="s">
        <v>51</v>
      </c>
      <c r="M14403" s="25">
        <v>420000</v>
      </c>
      <c r="N14403" s="27">
        <v>0.18260752287166326</v>
      </c>
    </row>
    <row r="14404" spans="1:14" x14ac:dyDescent="0.15">
      <c r="A14404" s="23" t="str">
        <f>HYPERLINK("https://www.spark-marketing.ru/Card/Person/1296829", "МОУ ГИМНАЗИЯ №4 Г.МОЖАЙСКА")</f>
        <v>МОУ ГИМНАЗИЯ №4 Г.МОЖАЙСКА</v>
      </c>
      <c r="B14404" s="24" t="s">
        <v>19145</v>
      </c>
      <c r="C14404" s="25">
        <v>1466080</v>
      </c>
      <c r="D14404" s="22" t="s">
        <v>19146</v>
      </c>
      <c r="E14404" s="22" t="s">
        <v>362</v>
      </c>
      <c r="F14404" s="23" t="str">
        <f>HYPERLINK("https://www.spark-marketing.ru/Card/Lot/71838717", "Оказание услуг по организации питания отдельных категорий обучающихся во 2 полугодии 2019 г.")</f>
        <v>Оказание услуг по организации питания отдельных категорий обучающихся во 2 полугодии 2019 г.</v>
      </c>
      <c r="G14404" s="22" t="s">
        <v>49</v>
      </c>
      <c r="H14404" s="22" t="s">
        <v>49</v>
      </c>
      <c r="I14404" s="26">
        <v>43648.422268518501</v>
      </c>
      <c r="J14404" s="28" t="s">
        <v>51</v>
      </c>
      <c r="K14404" s="28" t="s">
        <v>51</v>
      </c>
      <c r="L14404" s="28" t="s">
        <v>51</v>
      </c>
      <c r="M14404" s="28" t="s">
        <v>51</v>
      </c>
      <c r="N14404" s="28" t="s">
        <v>51</v>
      </c>
    </row>
    <row r="14405" spans="1:14" x14ac:dyDescent="0.15">
      <c r="A14405" s="23" t="str">
        <f>HYPERLINK("https://www.spark-marketing.ru/Card/Person/4365627", "ООО ""РН-БУРЕНИЕ""")</f>
        <v>ООО "РН-БУРЕНИЕ"</v>
      </c>
      <c r="B14405" s="24" t="s">
        <v>7087</v>
      </c>
      <c r="C14405" s="28" t="s">
        <v>51</v>
      </c>
      <c r="D14405" s="22" t="s">
        <v>19147</v>
      </c>
      <c r="E14405" s="22" t="s">
        <v>362</v>
      </c>
      <c r="F14405" s="23" t="str">
        <f>HYPERLINK("https://www.spark-marketing.ru/Card/Lot/71839477", "Оказание услуг по организации питания на разведочных скважинах")</f>
        <v>Оказание услуг по организации питания на разведочных скважинах</v>
      </c>
      <c r="G14405" s="22" t="s">
        <v>263</v>
      </c>
      <c r="H14405" s="22" t="s">
        <v>2768</v>
      </c>
      <c r="I14405" s="26">
        <v>43648.449305555601</v>
      </c>
      <c r="J14405" s="28" t="s">
        <v>51</v>
      </c>
      <c r="K14405" s="28" t="s">
        <v>51</v>
      </c>
      <c r="L14405" s="28" t="s">
        <v>51</v>
      </c>
      <c r="M14405" s="28" t="s">
        <v>51</v>
      </c>
      <c r="N14405" s="28" t="s">
        <v>51</v>
      </c>
    </row>
    <row r="14406" spans="1:14" x14ac:dyDescent="0.15">
      <c r="A14406" s="23" t="str">
        <f>HYPERLINK("https://www.spark-marketing.ru/Card/Person/4365627", "ООО ""РН-БУРЕНИЕ""")</f>
        <v>ООО "РН-БУРЕНИЕ"</v>
      </c>
      <c r="B14406" s="24" t="s">
        <v>7087</v>
      </c>
      <c r="C14406" s="28" t="s">
        <v>51</v>
      </c>
      <c r="D14406" s="22" t="s">
        <v>19148</v>
      </c>
      <c r="E14406" s="22" t="s">
        <v>362</v>
      </c>
      <c r="F14406" s="23" t="str">
        <f>HYPERLINK("https://www.spark-marketing.ru/Card/Lot/71839479", "Оказание услуг по организации питания на эксплуатационных объектах ЮТМ")</f>
        <v>Оказание услуг по организации питания на эксплуатационных объектах ЮТМ</v>
      </c>
      <c r="G14406" s="22" t="s">
        <v>263</v>
      </c>
      <c r="H14406" s="22" t="s">
        <v>2768</v>
      </c>
      <c r="I14406" s="26">
        <v>43648.4555555556</v>
      </c>
      <c r="J14406" s="28" t="s">
        <v>51</v>
      </c>
      <c r="K14406" s="28" t="s">
        <v>51</v>
      </c>
      <c r="L14406" s="28" t="s">
        <v>51</v>
      </c>
      <c r="M14406" s="28" t="s">
        <v>51</v>
      </c>
      <c r="N14406" s="28" t="s">
        <v>51</v>
      </c>
    </row>
    <row r="14407" spans="1:14" x14ac:dyDescent="0.15">
      <c r="A14407" s="23" t="str">
        <f>HYPERLINK("https://www.spark-marketing.ru/Card/Person/5898180", "ООО РН СЕРВИС")</f>
        <v>ООО РН СЕРВИС</v>
      </c>
      <c r="B14407" s="28" t="s">
        <v>51</v>
      </c>
      <c r="C14407" s="25">
        <v>3331049.4</v>
      </c>
      <c r="D14407" s="22" t="s">
        <v>19149</v>
      </c>
      <c r="E14407" s="22" t="s">
        <v>4218</v>
      </c>
      <c r="F14407" s="23" t="str">
        <f>HYPERLINK("https://www.spark-marketing.ru/Card/Lot/74020263", "Услуги по организации питания и проживания в общежитиях, расположенных на нефтяныхместорождениях им. Р.Требса и А.Титова Ненецкого автономного округаАрхангельской области, инженерно-технических работников филиала ООО""РН-Сервис"" в г. Уфа")</f>
        <v>Услуги по организации питания и проживания в общежитиях, расположенных на нефтяныхместорождениях им. Р.Требса и А.Титова Ненецкого автономного округаАрхангельской области, инженерно-технических работников филиала ООО"РН-Сервис" в г. Уфа</v>
      </c>
      <c r="G14407" s="22" t="s">
        <v>51</v>
      </c>
      <c r="H14407" s="22" t="s">
        <v>51</v>
      </c>
      <c r="I14407" s="26">
        <v>43648.345833333296</v>
      </c>
      <c r="J14407" s="28" t="s">
        <v>51</v>
      </c>
      <c r="K14407" s="28" t="s">
        <v>51</v>
      </c>
      <c r="L14407" s="28" t="s">
        <v>51</v>
      </c>
      <c r="M14407" s="28" t="s">
        <v>51</v>
      </c>
      <c r="N14407" s="28" t="s">
        <v>51</v>
      </c>
    </row>
    <row r="14408" spans="1:14" x14ac:dyDescent="0.15">
      <c r="A14408" s="23" t="str">
        <f>HYPERLINK("https://www.spark-marketing.ru/Card/Person/60566", "БУЗ ВО ""ВОРОБЬЕВСКАЯ РБ""")</f>
        <v>БУЗ ВО "ВОРОБЬЕВСКАЯ РБ"</v>
      </c>
      <c r="B14408" s="24" t="s">
        <v>19150</v>
      </c>
      <c r="C14408" s="25">
        <v>237279.3</v>
      </c>
      <c r="D14408" s="22" t="s">
        <v>19151</v>
      </c>
      <c r="E14408" s="22" t="s">
        <v>62</v>
      </c>
      <c r="F14408" s="23" t="str">
        <f>HYPERLINK("https://www.spark-marketing.ru/Card/Lot/71834784", "Поставка бланочной продукции (нестрогой отчетности)")</f>
        <v>Поставка бланочной продукции (нестрогой отчетности)</v>
      </c>
      <c r="G14408" s="22" t="s">
        <v>82</v>
      </c>
      <c r="H14408" s="22" t="s">
        <v>19152</v>
      </c>
      <c r="I14408" s="26">
        <v>43648.220138888901</v>
      </c>
      <c r="J14408" s="28" t="s">
        <v>51</v>
      </c>
      <c r="K14408" s="28" t="s">
        <v>51</v>
      </c>
      <c r="L14408" s="28" t="s">
        <v>51</v>
      </c>
      <c r="M14408" s="28" t="s">
        <v>51</v>
      </c>
      <c r="N14408" s="28" t="s">
        <v>51</v>
      </c>
    </row>
    <row r="14409" spans="1:14" hidden="1" outlineLevel="1" x14ac:dyDescent="0.2">
      <c r="A14409" s="23" t="str">
        <f>HYPERLINK("https://www.spark-marketing.ru/Card/Person/60566", "БУЗ ВО ""ВОРОБЬЕВСКАЯ РБ""")</f>
        <v>БУЗ ВО "ВОРОБЬЕВСКАЯ РБ"</v>
      </c>
      <c r="B14409" s="24" t="s">
        <v>19150</v>
      </c>
      <c r="C14409" s="25">
        <v>237279.3</v>
      </c>
      <c r="D14409" s="22" t="s">
        <v>19151</v>
      </c>
      <c r="E14409" s="22" t="s">
        <v>62</v>
      </c>
      <c r="F14409" s="23" t="str">
        <f>HYPERLINK("https://www.spark-marketing.ru/Card/Lot/71834784", "Поставка бланочной продукции (нестрогой отчетности)")</f>
        <v>Поставка бланочной продукции (нестрогой отчетности)</v>
      </c>
      <c r="G14409" s="22" t="s">
        <v>82</v>
      </c>
      <c r="H14409" s="22" t="s">
        <v>19152</v>
      </c>
      <c r="I14409" s="26">
        <v>43648.220138888901</v>
      </c>
      <c r="J14409" s="23" t="str">
        <f>HYPERLINK("https://www.spark-marketing.ru/Card/Person/485517", "ООО ""ЛЕГИОН""")</f>
        <v>ООО "ЛЕГИОН"</v>
      </c>
      <c r="K14409" s="24" t="s">
        <v>19153</v>
      </c>
      <c r="L14409" s="28" t="s">
        <v>51</v>
      </c>
      <c r="M14409" s="25">
        <v>132900</v>
      </c>
      <c r="N14409" s="27">
        <v>0.43990057286918832</v>
      </c>
    </row>
    <row r="14410" spans="1:14" ht="12.75" hidden="1" outlineLevel="1" x14ac:dyDescent="0.2">
      <c r="A14410" s="23" t="str">
        <f>HYPERLINK("https://www.spark-marketing.ru/Card/Person/60566", "БУЗ ВО ""ВОРОБЬЕВСКАЯ РБ""")</f>
        <v>БУЗ ВО "ВОРОБЬЕВСКАЯ РБ"</v>
      </c>
      <c r="B14410" s="24" t="s">
        <v>19150</v>
      </c>
      <c r="C14410" s="25">
        <v>237279.3</v>
      </c>
      <c r="D14410" s="22" t="s">
        <v>19151</v>
      </c>
      <c r="E14410" s="22" t="s">
        <v>62</v>
      </c>
      <c r="F14410" s="23" t="str">
        <f>HYPERLINK("https://www.spark-marketing.ru/Card/Lot/71834784", "Поставка бланочной продукции (нестрогой отчетности)")</f>
        <v>Поставка бланочной продукции (нестрогой отчетности)</v>
      </c>
      <c r="G14410" s="22" t="s">
        <v>82</v>
      </c>
      <c r="H14410" s="22" t="s">
        <v>19152</v>
      </c>
      <c r="I14410" s="26">
        <v>43648.220138888901</v>
      </c>
      <c r="J14410" s="23" t="str">
        <f>HYPERLINK("https://www.spark-marketing.ru/Card/Person/496906", "Соболев Валерий Юрьевич")</f>
        <v>Соболев Валерий Юрьевич</v>
      </c>
      <c r="K14410" s="24" t="s">
        <v>6194</v>
      </c>
      <c r="L14410" s="22" t="s">
        <v>10</v>
      </c>
      <c r="M14410" s="25">
        <v>129322</v>
      </c>
      <c r="N14410" s="27">
        <v>0.45497984864250696</v>
      </c>
    </row>
    <row r="14411" spans="1:14" hidden="1" outlineLevel="1" x14ac:dyDescent="0.2">
      <c r="A14411" s="23" t="str">
        <f>HYPERLINK("https://www.spark-marketing.ru/Card/Person/60566", "БУЗ ВО ""ВОРОБЬЕВСКАЯ РБ""")</f>
        <v>БУЗ ВО "ВОРОБЬЕВСКАЯ РБ"</v>
      </c>
      <c r="B14411" s="24" t="s">
        <v>19150</v>
      </c>
      <c r="C14411" s="25">
        <v>237279.3</v>
      </c>
      <c r="D14411" s="22" t="s">
        <v>19151</v>
      </c>
      <c r="E14411" s="22" t="s">
        <v>62</v>
      </c>
      <c r="F14411" s="23" t="str">
        <f>HYPERLINK("https://www.spark-marketing.ru/Card/Lot/71834784", "Поставка бланочной продукции (нестрогой отчетности)")</f>
        <v>Поставка бланочной продукции (нестрогой отчетности)</v>
      </c>
      <c r="G14411" s="22" t="s">
        <v>82</v>
      </c>
      <c r="H14411" s="22" t="s">
        <v>19152</v>
      </c>
      <c r="I14411" s="26">
        <v>43648.220138888901</v>
      </c>
      <c r="J14411" s="23" t="str">
        <f>HYPERLINK("https://www.spark-marketing.ru/Card/Person/70363", "ООО ""ВИННЕР - ПРИНТ""")</f>
        <v>ООО "ВИННЕР - ПРИНТ"</v>
      </c>
      <c r="K14411" s="24" t="s">
        <v>3048</v>
      </c>
      <c r="L14411" s="28" t="s">
        <v>51</v>
      </c>
      <c r="M14411" s="25">
        <v>140000</v>
      </c>
      <c r="N14411" s="27">
        <v>0.40997803011050687</v>
      </c>
    </row>
    <row r="14412" spans="1:14" hidden="1" outlineLevel="1" x14ac:dyDescent="0.2">
      <c r="A14412" s="23" t="str">
        <f>HYPERLINK("https://www.spark-marketing.ru/Card/Person/60566", "БУЗ ВО ""ВОРОБЬЕВСКАЯ РБ""")</f>
        <v>БУЗ ВО "ВОРОБЬЕВСКАЯ РБ"</v>
      </c>
      <c r="B14412" s="24" t="s">
        <v>19150</v>
      </c>
      <c r="C14412" s="25">
        <v>237279.3</v>
      </c>
      <c r="D14412" s="22" t="s">
        <v>19151</v>
      </c>
      <c r="E14412" s="22" t="s">
        <v>62</v>
      </c>
      <c r="F14412" s="23" t="str">
        <f>HYPERLINK("https://www.spark-marketing.ru/Card/Lot/71834784", "Поставка бланочной продукции (нестрогой отчетности)")</f>
        <v>Поставка бланочной продукции (нестрогой отчетности)</v>
      </c>
      <c r="G14412" s="22" t="s">
        <v>82</v>
      </c>
      <c r="H14412" s="22" t="s">
        <v>19152</v>
      </c>
      <c r="I14412" s="26">
        <v>43648.220138888901</v>
      </c>
      <c r="J14412" s="23" t="str">
        <f>HYPERLINK("https://www.spark-marketing.ru/Card/Person/4399321", "АО ""ВОРОНЕЖСКАЯ ОБЛАСТНАЯ ТИПОГРАФИЯ""")</f>
        <v>АО "ВОРОНЕЖСКАЯ ОБЛАСТНАЯ ТИПОГРАФИЯ"</v>
      </c>
      <c r="K14412" s="24" t="s">
        <v>19154</v>
      </c>
      <c r="L14412" s="28" t="s">
        <v>51</v>
      </c>
      <c r="M14412" s="25">
        <v>190000</v>
      </c>
      <c r="N14412" s="27">
        <v>0.19925589800711652</v>
      </c>
    </row>
    <row r="14413" spans="1:14" x14ac:dyDescent="0.15">
      <c r="A14413" s="23" t="str">
        <f>HYPERLINK("https://www.spark-marketing.ru/Card/Person/291431", "КАЛИНИНГРАДСКИЙ ОБЛАСТНОЙ ИНСТИТУТ РАЗВИТИЯ ОБРАЗОВАНИЯ")</f>
        <v>КАЛИНИНГРАДСКИЙ ОБЛАСТНОЙ ИНСТИТУТ РАЗВИТИЯ ОБРАЗОВАНИЯ</v>
      </c>
      <c r="B14413" s="24" t="s">
        <v>1911</v>
      </c>
      <c r="C14413" s="25">
        <v>11675</v>
      </c>
      <c r="D14413" s="22" t="s">
        <v>19155</v>
      </c>
      <c r="E14413" s="22" t="s">
        <v>67</v>
      </c>
      <c r="F14413" s="23" t="str">
        <f>HYPERLINK("https://www.spark-marketing.ru/Card/Lot/71832378", "Оказание услуг по организации и обеспечению питания")</f>
        <v>Оказание услуг по организации и обеспечению питания</v>
      </c>
      <c r="G14413" s="22" t="s">
        <v>400</v>
      </c>
      <c r="H14413" s="22" t="s">
        <v>401</v>
      </c>
      <c r="I14413" s="26">
        <v>43648.094444444403</v>
      </c>
      <c r="J14413" s="28" t="s">
        <v>51</v>
      </c>
      <c r="K14413" s="28" t="s">
        <v>51</v>
      </c>
      <c r="L14413" s="28" t="s">
        <v>51</v>
      </c>
      <c r="M14413" s="28" t="s">
        <v>51</v>
      </c>
      <c r="N14413" s="28" t="s">
        <v>51</v>
      </c>
    </row>
    <row r="14414" spans="1:14" x14ac:dyDescent="0.15">
      <c r="A14414" s="23" t="str">
        <f>HYPERLINK("https://www.spark-marketing.ru/Card/Person/6450322", "ЗАКАЗЧИК РП БЕЛАРУСЬ")</f>
        <v>ЗАКАЗЧИК РП БЕЛАРУСЬ</v>
      </c>
      <c r="B14414" s="28" t="s">
        <v>51</v>
      </c>
      <c r="C14414" s="25">
        <v>196349.736</v>
      </c>
      <c r="D14414" s="22" t="s">
        <v>19156</v>
      </c>
      <c r="E14414" s="22" t="s">
        <v>52</v>
      </c>
      <c r="F14414" s="23" t="str">
        <f>HYPERLINK("https://www.spark-marketing.ru/Card/Lot/71843771", "Услуги по организации проведения мероприятия (проживание, аренда конференц-зала, питание)")</f>
        <v>Услуги по организации проведения мероприятия (проживание, аренда конференц-зала, питание)</v>
      </c>
      <c r="G14414" s="22" t="s">
        <v>51</v>
      </c>
      <c r="H14414" s="22" t="s">
        <v>51</v>
      </c>
      <c r="I14414" s="26">
        <v>43648</v>
      </c>
      <c r="J14414" s="28" t="s">
        <v>51</v>
      </c>
      <c r="K14414" s="28" t="s">
        <v>51</v>
      </c>
      <c r="L14414" s="28" t="s">
        <v>51</v>
      </c>
      <c r="M14414" s="28" t="s">
        <v>51</v>
      </c>
      <c r="N14414" s="28" t="s">
        <v>51</v>
      </c>
    </row>
    <row r="14415" spans="1:14" x14ac:dyDescent="0.2">
      <c r="A14415" s="23" t="str">
        <f>HYPERLINK("https://www.spark-marketing.ru/Card/Person/1761752", "МАДОУ ""Д/С № 2""")</f>
        <v>МАДОУ "Д/С № 2"</v>
      </c>
      <c r="B14415" s="24" t="s">
        <v>19157</v>
      </c>
      <c r="C14415" s="25">
        <v>595980</v>
      </c>
      <c r="D14415" s="22" t="s">
        <v>19158</v>
      </c>
      <c r="E14415" s="22" t="s">
        <v>7206</v>
      </c>
      <c r="F14415" s="23" t="str">
        <f>HYPERLINK("https://www.spark-marketing.ru/Card/Lot/71835367", "оказание услуг по организации рационального горячего питания на базе пищеблока Заказчика")</f>
        <v>оказание услуг по организации рационального горячего питания на базе пищеблока Заказчика</v>
      </c>
      <c r="G14415" s="22" t="s">
        <v>400</v>
      </c>
      <c r="H14415" s="22" t="s">
        <v>400</v>
      </c>
      <c r="I14415" s="26">
        <v>43647.984351851897</v>
      </c>
      <c r="J14415" s="28" t="s">
        <v>51</v>
      </c>
      <c r="K14415" s="28" t="s">
        <v>51</v>
      </c>
      <c r="L14415" s="22" t="s">
        <v>10</v>
      </c>
      <c r="M14415" s="25">
        <v>110</v>
      </c>
      <c r="N14415" s="27">
        <v>0.99981543004798823</v>
      </c>
    </row>
    <row r="14416" spans="1:14" x14ac:dyDescent="0.2">
      <c r="A14416" s="23" t="str">
        <f>HYPERLINK("https://www.spark-marketing.ru/Card/Person/254259", "МАУ ДОЛ ""ЮНОСТЬ""")</f>
        <v>МАУ ДОЛ "ЮНОСТЬ"</v>
      </c>
      <c r="B14416" s="24" t="s">
        <v>19159</v>
      </c>
      <c r="C14416" s="25">
        <v>1142400</v>
      </c>
      <c r="D14416" s="22" t="s">
        <v>19160</v>
      </c>
      <c r="E14416" s="22" t="s">
        <v>362</v>
      </c>
      <c r="F14416" s="23" t="str">
        <f>HYPERLINK("https://www.spark-marketing.ru/Card/Lot/71830347", "Услуга по организации 5-тиразового горячего питания детей")</f>
        <v>Услуга по организации 5-тиразового горячего питания детей</v>
      </c>
      <c r="G14416" s="22" t="s">
        <v>852</v>
      </c>
      <c r="H14416" s="22" t="s">
        <v>852</v>
      </c>
      <c r="I14416" s="26">
        <v>43647.830787036997</v>
      </c>
      <c r="J14416" s="28" t="s">
        <v>51</v>
      </c>
      <c r="K14416" s="28" t="s">
        <v>51</v>
      </c>
      <c r="L14416" s="22" t="s">
        <v>10</v>
      </c>
      <c r="M14416" s="25">
        <v>1142400</v>
      </c>
      <c r="N14416" s="27">
        <v>0</v>
      </c>
    </row>
    <row r="14417" spans="1:14" x14ac:dyDescent="0.2">
      <c r="A14417" s="23" t="s">
        <v>114</v>
      </c>
      <c r="B14417" s="28" t="s">
        <v>51</v>
      </c>
      <c r="C14417" s="25">
        <v>276317280</v>
      </c>
      <c r="D14417" s="22" t="s">
        <v>19161</v>
      </c>
      <c r="E14417" s="22" t="s">
        <v>362</v>
      </c>
      <c r="F14417" s="23" t="str">
        <f t="shared" ref="F14417:F14423" si="483">HYPERLINK("https://www.spark-marketing.ru/Card/Lot/71827536", "Оказание услуги по обеспечению питанием обучающихся")</f>
        <v>Оказание услуги по обеспечению питанием обучающихся</v>
      </c>
      <c r="G14417" s="22" t="s">
        <v>51</v>
      </c>
      <c r="H14417" s="22" t="s">
        <v>51</v>
      </c>
      <c r="I14417" s="26">
        <v>43647.7516666667</v>
      </c>
      <c r="J14417" s="28" t="s">
        <v>51</v>
      </c>
      <c r="K14417" s="28" t="s">
        <v>51</v>
      </c>
      <c r="L14417" s="28" t="s">
        <v>51</v>
      </c>
      <c r="M14417" s="25">
        <v>271559480</v>
      </c>
      <c r="N14417" s="27">
        <v>1.7218611879792678E-2</v>
      </c>
    </row>
    <row r="14418" spans="1:14" hidden="1" outlineLevel="1" x14ac:dyDescent="0.2">
      <c r="A14418" s="23" t="str">
        <f>HYPERLINK("https://www.spark-marketing.ru/Card/Person/1777740", "МАОУ СОШ №30 ГОРОДА ТЮМЕНИ")</f>
        <v>МАОУ СОШ №30 ГОРОДА ТЮМЕНИ</v>
      </c>
      <c r="B14418" s="24" t="s">
        <v>19162</v>
      </c>
      <c r="C14418" s="25">
        <v>24084380</v>
      </c>
      <c r="D14418" s="22" t="s">
        <v>19161</v>
      </c>
      <c r="E14418" s="22" t="s">
        <v>362</v>
      </c>
      <c r="F14418" s="23" t="str">
        <f t="shared" si="483"/>
        <v>Оказание услуги по обеспечению питанием обучающихся</v>
      </c>
      <c r="G14418" s="22" t="s">
        <v>766</v>
      </c>
      <c r="H14418" s="22" t="s">
        <v>1028</v>
      </c>
      <c r="I14418" s="26">
        <v>43647.7516666667</v>
      </c>
      <c r="J14418" s="28" t="s">
        <v>51</v>
      </c>
      <c r="K14418" s="28" t="s">
        <v>51</v>
      </c>
      <c r="L14418" s="28" t="s">
        <v>51</v>
      </c>
      <c r="M14418" s="28" t="s">
        <v>51</v>
      </c>
      <c r="N14418" s="27">
        <v>1.7218611879792678E-2</v>
      </c>
    </row>
    <row r="14419" spans="1:14" hidden="1" outlineLevel="1" x14ac:dyDescent="0.2">
      <c r="A14419" s="23" t="str">
        <f>HYPERLINK("https://www.spark-marketing.ru/Card/Person/1777814", "МАОУ СОШ №41 ГОРОДА ТЮМЕНИ")</f>
        <v>МАОУ СОШ №41 ГОРОДА ТЮМЕНИ</v>
      </c>
      <c r="B14419" s="24" t="s">
        <v>19163</v>
      </c>
      <c r="C14419" s="25">
        <v>17562080</v>
      </c>
      <c r="D14419" s="22" t="s">
        <v>19161</v>
      </c>
      <c r="E14419" s="22" t="s">
        <v>362</v>
      </c>
      <c r="F14419" s="23" t="str">
        <f t="shared" si="483"/>
        <v>Оказание услуги по обеспечению питанием обучающихся</v>
      </c>
      <c r="G14419" s="22" t="s">
        <v>766</v>
      </c>
      <c r="H14419" s="22" t="s">
        <v>1028</v>
      </c>
      <c r="I14419" s="26">
        <v>43647.7516666667</v>
      </c>
      <c r="J14419" s="28" t="s">
        <v>51</v>
      </c>
      <c r="K14419" s="28" t="s">
        <v>51</v>
      </c>
      <c r="L14419" s="28" t="s">
        <v>51</v>
      </c>
      <c r="M14419" s="28" t="s">
        <v>51</v>
      </c>
      <c r="N14419" s="27">
        <v>1.7218611879792678E-2</v>
      </c>
    </row>
    <row r="14420" spans="1:14" hidden="1" outlineLevel="1" x14ac:dyDescent="0.2">
      <c r="A14420" s="23" t="str">
        <f>HYPERLINK("https://www.spark-marketing.ru/Card/Person/1778189", "МАОУ СОШ №67 ГОРОДА ТЮМЕНИ")</f>
        <v>МАОУ СОШ №67 ГОРОДА ТЮМЕНИ</v>
      </c>
      <c r="B14420" s="24" t="s">
        <v>19164</v>
      </c>
      <c r="C14420" s="25">
        <v>57681660</v>
      </c>
      <c r="D14420" s="22" t="s">
        <v>19161</v>
      </c>
      <c r="E14420" s="22" t="s">
        <v>362</v>
      </c>
      <c r="F14420" s="23" t="str">
        <f t="shared" si="483"/>
        <v>Оказание услуги по обеспечению питанием обучающихся</v>
      </c>
      <c r="G14420" s="22" t="s">
        <v>766</v>
      </c>
      <c r="H14420" s="22" t="s">
        <v>1028</v>
      </c>
      <c r="I14420" s="26">
        <v>43647.7516666667</v>
      </c>
      <c r="J14420" s="28" t="s">
        <v>51</v>
      </c>
      <c r="K14420" s="28" t="s">
        <v>51</v>
      </c>
      <c r="L14420" s="28" t="s">
        <v>51</v>
      </c>
      <c r="M14420" s="28" t="s">
        <v>51</v>
      </c>
      <c r="N14420" s="27">
        <v>1.7218611879792678E-2</v>
      </c>
    </row>
    <row r="14421" spans="1:14" hidden="1" outlineLevel="1" x14ac:dyDescent="0.2">
      <c r="A14421" s="23" t="str">
        <f>HYPERLINK("https://www.spark-marketing.ru/Card/Person/1778519", "МАОУ ЛИЦЕЙ № 93 ГОРОДА ТЮМЕНИ")</f>
        <v>МАОУ ЛИЦЕЙ № 93 ГОРОДА ТЮМЕНИ</v>
      </c>
      <c r="B14421" s="24" t="s">
        <v>19165</v>
      </c>
      <c r="C14421" s="25">
        <v>16742810</v>
      </c>
      <c r="D14421" s="22" t="s">
        <v>19161</v>
      </c>
      <c r="E14421" s="22" t="s">
        <v>362</v>
      </c>
      <c r="F14421" s="23" t="str">
        <f t="shared" si="483"/>
        <v>Оказание услуги по обеспечению питанием обучающихся</v>
      </c>
      <c r="G14421" s="22" t="s">
        <v>766</v>
      </c>
      <c r="H14421" s="22" t="s">
        <v>1028</v>
      </c>
      <c r="I14421" s="26">
        <v>43647.7516666667</v>
      </c>
      <c r="J14421" s="28" t="s">
        <v>51</v>
      </c>
      <c r="K14421" s="28" t="s">
        <v>51</v>
      </c>
      <c r="L14421" s="28" t="s">
        <v>51</v>
      </c>
      <c r="M14421" s="28" t="s">
        <v>51</v>
      </c>
      <c r="N14421" s="27">
        <v>1.7218611879792678E-2</v>
      </c>
    </row>
    <row r="14422" spans="1:14" hidden="1" outlineLevel="1" x14ac:dyDescent="0.2">
      <c r="A14422" s="23" t="str">
        <f>HYPERLINK("https://www.spark-marketing.ru/Card/Person/4434902", "МАОУ СОШ № 88 ГОРОДА ТЮМЕНИ")</f>
        <v>МАОУ СОШ № 88 ГОРОДА ТЮМЕНИ</v>
      </c>
      <c r="B14422" s="24" t="s">
        <v>19166</v>
      </c>
      <c r="C14422" s="25">
        <v>47639730</v>
      </c>
      <c r="D14422" s="22" t="s">
        <v>19161</v>
      </c>
      <c r="E14422" s="22" t="s">
        <v>362</v>
      </c>
      <c r="F14422" s="23" t="str">
        <f t="shared" si="483"/>
        <v>Оказание услуги по обеспечению питанием обучающихся</v>
      </c>
      <c r="G14422" s="22" t="s">
        <v>766</v>
      </c>
      <c r="H14422" s="22" t="s">
        <v>1028</v>
      </c>
      <c r="I14422" s="26">
        <v>43647.7516666667</v>
      </c>
      <c r="J14422" s="28" t="s">
        <v>51</v>
      </c>
      <c r="K14422" s="28" t="s">
        <v>51</v>
      </c>
      <c r="L14422" s="28" t="s">
        <v>51</v>
      </c>
      <c r="M14422" s="28" t="s">
        <v>51</v>
      </c>
      <c r="N14422" s="27">
        <v>1.7218611879792678E-2</v>
      </c>
    </row>
    <row r="14423" spans="1:14" hidden="1" outlineLevel="1" x14ac:dyDescent="0.2">
      <c r="A14423" s="23" t="str">
        <f>HYPERLINK("https://www.spark-marketing.ru/Card/Person/4434954", "МАОУ СОШ № 63 ГОРОДА ТЮМЕНИ")</f>
        <v>МАОУ СОШ № 63 ГОРОДА ТЮМЕНИ</v>
      </c>
      <c r="B14423" s="24" t="s">
        <v>19167</v>
      </c>
      <c r="C14423" s="25">
        <v>112606620</v>
      </c>
      <c r="D14423" s="22" t="s">
        <v>19161</v>
      </c>
      <c r="E14423" s="22" t="s">
        <v>362</v>
      </c>
      <c r="F14423" s="23" t="str">
        <f t="shared" si="483"/>
        <v>Оказание услуги по обеспечению питанием обучающихся</v>
      </c>
      <c r="G14423" s="22" t="s">
        <v>766</v>
      </c>
      <c r="H14423" s="22" t="s">
        <v>1028</v>
      </c>
      <c r="I14423" s="26">
        <v>43647.7516666667</v>
      </c>
      <c r="J14423" s="28" t="s">
        <v>51</v>
      </c>
      <c r="K14423" s="28" t="s">
        <v>51</v>
      </c>
      <c r="L14423" s="28" t="s">
        <v>51</v>
      </c>
      <c r="M14423" s="28" t="s">
        <v>51</v>
      </c>
      <c r="N14423" s="27">
        <v>1.7218611879792678E-2</v>
      </c>
    </row>
    <row r="14424" spans="1:14" x14ac:dyDescent="0.15">
      <c r="A14424" s="23" t="str">
        <f>HYPERLINK("https://www.spark-marketing.ru/Card/Person/236446", "МАОУ ГИМНАЗИЯ №1 ИМ. А.С.ПУШКИНА Г.ЮЖНО-САХАЛИНСКА")</f>
        <v>МАОУ ГИМНАЗИЯ №1 ИМ. А.С.ПУШКИНА Г.ЮЖНО-САХАЛИНСКА</v>
      </c>
      <c r="B14424" s="24" t="s">
        <v>3305</v>
      </c>
      <c r="C14424" s="25">
        <v>171150</v>
      </c>
      <c r="D14424" s="22" t="s">
        <v>19168</v>
      </c>
      <c r="E14424" s="22" t="s">
        <v>362</v>
      </c>
      <c r="F14424" s="23" t="str">
        <f>HYPERLINK("https://www.spark-marketing.ru/Card/Lot/71818901", "Услуги по организации питания детей, находящихся в оздоровительных лагерях с дневным пребыванием, профильных лагерях в период летних каникул в 2019 году при МАОУ Гимназия №1 им.А.С.Пушкина г.Южно-Сахалинска")</f>
        <v>Услуги по организации питания детей, находящихся в оздоровительных лагерях с дневным пребыванием, профильных лагерях в период летних каникул в 2019 году при МАОУ Гимназия №1 им.А.С.Пушкина г.Южно-Сахалинска</v>
      </c>
      <c r="G14424" s="22" t="s">
        <v>260</v>
      </c>
      <c r="H14424" s="22" t="s">
        <v>260</v>
      </c>
      <c r="I14424" s="26">
        <v>43647.751840277801</v>
      </c>
      <c r="J14424" s="28" t="s">
        <v>51</v>
      </c>
      <c r="K14424" s="28" t="s">
        <v>51</v>
      </c>
      <c r="L14424" s="28" t="s">
        <v>51</v>
      </c>
      <c r="M14424" s="28" t="s">
        <v>51</v>
      </c>
      <c r="N14424" s="28" t="s">
        <v>51</v>
      </c>
    </row>
    <row r="14425" spans="1:14" x14ac:dyDescent="0.15">
      <c r="A14425" s="23" t="str">
        <f>HYPERLINK("https://www.spark-marketing.ru/Card/Person/1312041", "МОАУ ""НОШ № 33""")</f>
        <v>МОАУ "НОШ № 33"</v>
      </c>
      <c r="B14425" s="24" t="s">
        <v>19169</v>
      </c>
      <c r="C14425" s="25">
        <v>217698.6</v>
      </c>
      <c r="D14425" s="22" t="s">
        <v>19170</v>
      </c>
      <c r="E14425" s="22" t="s">
        <v>1412</v>
      </c>
      <c r="F14425" s="23" t="str">
        <f>HYPERLINK("https://www.spark-marketing.ru/Card/Lot/71829535", "Оказание услуг по организации питания детей в лагере дневного пребывания на базе организации МОАУ НОШ №33")</f>
        <v>Оказание услуг по организации питания детей в лагере дневного пребывания на базе организации МОАУ НОШ №33</v>
      </c>
      <c r="G14425" s="22" t="s">
        <v>132</v>
      </c>
      <c r="H14425" s="22" t="s">
        <v>132</v>
      </c>
      <c r="I14425" s="26">
        <v>43647.7561458333</v>
      </c>
      <c r="J14425" s="28" t="s">
        <v>51</v>
      </c>
      <c r="K14425" s="28" t="s">
        <v>51</v>
      </c>
      <c r="L14425" s="28" t="s">
        <v>51</v>
      </c>
      <c r="M14425" s="28" t="s">
        <v>51</v>
      </c>
      <c r="N14425" s="28" t="s">
        <v>51</v>
      </c>
    </row>
    <row r="14426" spans="1:14" x14ac:dyDescent="0.2">
      <c r="A14426" s="23" t="str">
        <f>HYPERLINK("https://www.spark-marketing.ru/Card/Person/769026", "МАДОУ ДЕТСКИЙ САД №14 ""ТЕРЕМОК"" КОМБИНИРОВАННОГО ВИДА Г. ИШИМБАЯ МР ИШИМБАЙСКИЙ РАЙОН РБ")</f>
        <v>МАДОУ ДЕТСКИЙ САД №14 "ТЕРЕМОК" КОМБИНИРОВАННОГО ВИДА Г. ИШИМБАЯ МР ИШИМБАЙСКИЙ РАЙОН РБ</v>
      </c>
      <c r="B14426" s="24" t="s">
        <v>2401</v>
      </c>
      <c r="C14426" s="25">
        <v>1290994</v>
      </c>
      <c r="D14426" s="22" t="s">
        <v>19171</v>
      </c>
      <c r="E14426" s="22" t="s">
        <v>362</v>
      </c>
      <c r="F14426" s="23" t="str">
        <f>HYPERLINK("https://www.spark-marketing.ru/Card/Lot/71828470", "услуги по организации горячего питания дошкольных организаций в III квартале")</f>
        <v>услуги по организации горячего питания дошкольных организаций в III квартале</v>
      </c>
      <c r="G14426" s="22" t="s">
        <v>145</v>
      </c>
      <c r="H14426" s="22" t="s">
        <v>145</v>
      </c>
      <c r="I14426" s="26">
        <v>43647.750127314801</v>
      </c>
      <c r="J14426" s="28" t="s">
        <v>51</v>
      </c>
      <c r="K14426" s="28" t="s">
        <v>51</v>
      </c>
      <c r="L14426" s="22" t="s">
        <v>10</v>
      </c>
      <c r="M14426" s="25">
        <v>1290994</v>
      </c>
      <c r="N14426" s="27">
        <v>0</v>
      </c>
    </row>
    <row r="14427" spans="1:14" x14ac:dyDescent="0.2">
      <c r="A14427" s="23" t="str">
        <f>HYPERLINK("https://www.spark-marketing.ru/Card/Person/6430263", "ФГАУ ""ВИТ ""ЭРА""")</f>
        <v>ФГАУ "ВИТ "ЭРА"</v>
      </c>
      <c r="B14427" s="24" t="s">
        <v>13094</v>
      </c>
      <c r="C14427" s="25">
        <v>184673.44</v>
      </c>
      <c r="D14427" s="22" t="s">
        <v>19172</v>
      </c>
      <c r="E14427" s="22" t="s">
        <v>13096</v>
      </c>
      <c r="F14427" s="23" t="str">
        <f>HYPERLINK("https://www.spark-marketing.ru/Card/Lot/71829475", "Оказание услуг по санитарно-гигиеническому (клининговые услуги) обслуживанию зданий,благоустройству ФГАУ ""ВИТ "" ""ЭРА"" Корпус № 1(административный корпус с блоком общественного питания)")</f>
        <v>Оказание услуг по санитарно-гигиеническому (клининговые услуги) обслуживанию зданий,благоустройству ФГАУ "ВИТ " "ЭРА" Корпус № 1(административный корпус с блоком общественного питания)</v>
      </c>
      <c r="G14427" s="22" t="s">
        <v>104</v>
      </c>
      <c r="H14427" s="22" t="s">
        <v>104</v>
      </c>
      <c r="I14427" s="26">
        <v>43647.722245370402</v>
      </c>
      <c r="J14427" s="28" t="s">
        <v>51</v>
      </c>
      <c r="K14427" s="28" t="s">
        <v>51</v>
      </c>
      <c r="L14427" s="22" t="s">
        <v>10</v>
      </c>
      <c r="M14427" s="25">
        <v>184673.44</v>
      </c>
      <c r="N14427" s="27">
        <v>0</v>
      </c>
    </row>
    <row r="14428" spans="1:14" x14ac:dyDescent="0.15">
      <c r="A14428" s="23" t="str">
        <f>HYPERLINK("https://www.spark-marketing.ru/Card/Person/131962", "АО ""КРАСАВИА""")</f>
        <v>АО "КРАСАВИА"</v>
      </c>
      <c r="B14428" s="24" t="s">
        <v>19173</v>
      </c>
      <c r="C14428" s="25">
        <v>986290.58</v>
      </c>
      <c r="D14428" s="22" t="s">
        <v>19174</v>
      </c>
      <c r="E14428" s="22" t="s">
        <v>580</v>
      </c>
      <c r="F14428" s="23" t="str">
        <f>HYPERLINK("https://www.spark-marketing.ru/Card/Lot/71822441", "Обеспечение пассажиров и экипажей ВС бортовым питанием и наземным питанием в случае задержки рейсов, а также предоставление услуг по комплектации экипировочным инвентарем и санитарной обработки ВС в аэропорту г Самара (Курумоч)")</f>
        <v>Обеспечение пассажиров и экипажей ВС бортовым питанием и наземным питанием в случае задержки рейсов, а также предоставление услуг по комплектации экипировочным инвентарем и санитарной обработки ВС в аэропорту г Самара (Курумоч)</v>
      </c>
      <c r="G14428" s="22" t="s">
        <v>128</v>
      </c>
      <c r="H14428" s="22" t="s">
        <v>128</v>
      </c>
      <c r="I14428" s="26">
        <v>43647.730624999997</v>
      </c>
      <c r="J14428" s="28" t="s">
        <v>51</v>
      </c>
      <c r="K14428" s="28" t="s">
        <v>51</v>
      </c>
      <c r="L14428" s="28" t="s">
        <v>51</v>
      </c>
      <c r="M14428" s="28" t="s">
        <v>51</v>
      </c>
      <c r="N14428" s="28" t="s">
        <v>51</v>
      </c>
    </row>
    <row r="14429" spans="1:14" x14ac:dyDescent="0.15">
      <c r="A14429" s="23" t="str">
        <f>HYPERLINK("https://www.spark-marketing.ru/Card/Person/1834396", "ООО ""УСИНСК-СНАБСЕРВИС""")</f>
        <v>ООО "УСИНСК-СНАБСЕРВИС"</v>
      </c>
      <c r="B14429" s="24" t="s">
        <v>1591</v>
      </c>
      <c r="C14429" s="28" t="s">
        <v>51</v>
      </c>
      <c r="D14429" s="22" t="s">
        <v>19175</v>
      </c>
      <c r="E14429" s="22" t="s">
        <v>362</v>
      </c>
      <c r="F14429" s="23" t="str">
        <f>HYPERLINK("https://www.spark-marketing.ru/Card/Lot/71829834", "Предоставление услуг питания для ООО ""Усинск-Снабсервис"" на 2020 г.")</f>
        <v>Предоставление услуг питания для ООО "Усинск-Снабсервис" на 2020 г.</v>
      </c>
      <c r="G14429" s="22" t="s">
        <v>271</v>
      </c>
      <c r="H14429" s="22" t="s">
        <v>479</v>
      </c>
      <c r="I14429" s="26">
        <v>43647.737500000003</v>
      </c>
      <c r="J14429" s="28" t="s">
        <v>51</v>
      </c>
      <c r="K14429" s="28" t="s">
        <v>51</v>
      </c>
      <c r="L14429" s="28" t="s">
        <v>51</v>
      </c>
      <c r="M14429" s="28" t="s">
        <v>51</v>
      </c>
      <c r="N14429" s="28" t="s">
        <v>51</v>
      </c>
    </row>
    <row r="14430" spans="1:14" x14ac:dyDescent="0.2">
      <c r="A14430" s="23" t="str">
        <f>HYPERLINK("https://www.spark-marketing.ru/Card/Person/768941", "МАДОУ ДЕТСКИЙ САД № 16 ""ВАСИЛЕК"" ОБЩЕРАЗВИВАЮЩЕГО ВИДА Г.ИШИМБАЯ МР ИШИМБАЙСКИЙ РАЙОН РБ")</f>
        <v>МАДОУ ДЕТСКИЙ САД № 16 "ВАСИЛЕК" ОБЩЕРАЗВИВАЮЩЕГО ВИДА Г.ИШИМБАЯ МР ИШИМБАЙСКИЙ РАЙОН РБ</v>
      </c>
      <c r="B14430" s="24" t="s">
        <v>2400</v>
      </c>
      <c r="C14430" s="25">
        <v>537194</v>
      </c>
      <c r="D14430" s="22" t="s">
        <v>19176</v>
      </c>
      <c r="E14430" s="22" t="s">
        <v>362</v>
      </c>
      <c r="F14430" s="23" t="str">
        <f>HYPERLINK("https://www.spark-marketing.ru/Card/Lot/71827473", "услуги по организации горячего питания дошкольных организаций в III квартале")</f>
        <v>услуги по организации горячего питания дошкольных организаций в III квартале</v>
      </c>
      <c r="G14430" s="22" t="s">
        <v>145</v>
      </c>
      <c r="H14430" s="22" t="s">
        <v>145</v>
      </c>
      <c r="I14430" s="26">
        <v>43647.740671296298</v>
      </c>
      <c r="J14430" s="28" t="s">
        <v>51</v>
      </c>
      <c r="K14430" s="28" t="s">
        <v>51</v>
      </c>
      <c r="L14430" s="22" t="s">
        <v>10</v>
      </c>
      <c r="M14430" s="25">
        <v>537194</v>
      </c>
      <c r="N14430" s="27">
        <v>0</v>
      </c>
    </row>
    <row r="14431" spans="1:14" x14ac:dyDescent="0.2">
      <c r="A14431" s="23" t="str">
        <f>HYPERLINK("https://www.spark-marketing.ru/Card/Person/1756243", "АО ""УВЗ-ТРАНС""")</f>
        <v>АО "УВЗ-ТРАНС"</v>
      </c>
      <c r="B14431" s="24" t="s">
        <v>19177</v>
      </c>
      <c r="C14431" s="25">
        <v>720000</v>
      </c>
      <c r="D14431" s="22" t="s">
        <v>19178</v>
      </c>
      <c r="E14431" s="22" t="s">
        <v>580</v>
      </c>
      <c r="F14431" s="23" t="str">
        <f>HYPERLINK("https://www.spark-marketing.ru/Card/Lot/71829034", "Оказание услуг по организации и предоставлению питания")</f>
        <v>Оказание услуг по организации и предоставлению питания</v>
      </c>
      <c r="G14431" s="22" t="s">
        <v>56</v>
      </c>
      <c r="H14431" s="22" t="s">
        <v>56</v>
      </c>
      <c r="I14431" s="26">
        <v>43647.709374999999</v>
      </c>
      <c r="J14431" s="28" t="s">
        <v>51</v>
      </c>
      <c r="K14431" s="28" t="s">
        <v>51</v>
      </c>
      <c r="L14431" s="28" t="s">
        <v>51</v>
      </c>
      <c r="M14431" s="25">
        <v>720000</v>
      </c>
      <c r="N14431" s="27">
        <v>0</v>
      </c>
    </row>
    <row r="14432" spans="1:14" x14ac:dyDescent="0.2">
      <c r="A14432" s="23" t="str">
        <f>HYPERLINK("https://www.spark-marketing.ru/Card/Person/234400", "МДОУ Д/С № 30")</f>
        <v>МДОУ Д/С № 30</v>
      </c>
      <c r="B14432" s="24" t="s">
        <v>7220</v>
      </c>
      <c r="C14432" s="25">
        <v>480534.88</v>
      </c>
      <c r="D14432" s="22" t="s">
        <v>19179</v>
      </c>
      <c r="E14432" s="22" t="s">
        <v>362</v>
      </c>
      <c r="F14432" s="23" t="str">
        <f>HYPERLINK("https://www.spark-marketing.ru/Card/Lot/71827351", "Оказание услуг по организации питания детей")</f>
        <v>Оказание услуг по организации питания детей</v>
      </c>
      <c r="G14432" s="22" t="s">
        <v>158</v>
      </c>
      <c r="H14432" s="22" t="s">
        <v>158</v>
      </c>
      <c r="I14432" s="26">
        <v>43647.673587963</v>
      </c>
      <c r="J14432" s="28" t="s">
        <v>51</v>
      </c>
      <c r="K14432" s="28" t="s">
        <v>51</v>
      </c>
      <c r="L14432" s="22" t="s">
        <v>10</v>
      </c>
      <c r="M14432" s="25">
        <v>480534.88</v>
      </c>
      <c r="N14432" s="27">
        <v>0</v>
      </c>
    </row>
    <row r="14433" spans="1:14" x14ac:dyDescent="0.2">
      <c r="A14433" s="23" t="str">
        <f>HYPERLINK("https://www.spark-marketing.ru/Card/Person/1008058", "МДОУ Д/С № 105")</f>
        <v>МДОУ Д/С № 105</v>
      </c>
      <c r="B14433" s="24" t="s">
        <v>2249</v>
      </c>
      <c r="C14433" s="25">
        <v>1472439.76</v>
      </c>
      <c r="D14433" s="22" t="s">
        <v>19180</v>
      </c>
      <c r="E14433" s="22" t="s">
        <v>362</v>
      </c>
      <c r="F14433" s="23" t="str">
        <f>HYPERLINK("https://www.spark-marketing.ru/Card/Lot/71828449", "Оказание услуг по организации питания детей")</f>
        <v>Оказание услуг по организации питания детей</v>
      </c>
      <c r="G14433" s="22" t="s">
        <v>158</v>
      </c>
      <c r="H14433" s="22" t="s">
        <v>158</v>
      </c>
      <c r="I14433" s="26">
        <v>43647.691956018498</v>
      </c>
      <c r="J14433" s="28" t="s">
        <v>51</v>
      </c>
      <c r="K14433" s="28" t="s">
        <v>51</v>
      </c>
      <c r="L14433" s="22" t="s">
        <v>10</v>
      </c>
      <c r="M14433" s="25">
        <v>1472439.76</v>
      </c>
      <c r="N14433" s="27">
        <v>0</v>
      </c>
    </row>
    <row r="14434" spans="1:14" x14ac:dyDescent="0.15">
      <c r="A14434" s="23" t="str">
        <f>HYPERLINK("https://www.spark-marketing.ru/Card/Person/13490", "ОМВД РОССИИ ПО ЛОДЕЙНОПОЛЬСКОМУ РАЙОНУ ЛО")</f>
        <v>ОМВД РОССИИ ПО ЛОДЕЙНОПОЛЬСКОМУ РАЙОНУ ЛО</v>
      </c>
      <c r="B14434" s="24" t="s">
        <v>19181</v>
      </c>
      <c r="C14434" s="25">
        <v>167505.79999999999</v>
      </c>
      <c r="D14434" s="22" t="s">
        <v>19182</v>
      </c>
      <c r="E14434" s="22" t="s">
        <v>48</v>
      </c>
      <c r="F14434" s="23" t="str">
        <f>HYPERLINK("https://www.spark-marketing.ru/Card/Lot/71826624", "Услуги по обеспечению питания лиц содержащихся в спец. помещениях задержанных лиц, 12 усл. ед")</f>
        <v>Услуги по обеспечению питания лиц содержащихся в спец. помещениях задержанных лиц, 12 усл. ед</v>
      </c>
      <c r="G14434" s="22" t="s">
        <v>162</v>
      </c>
      <c r="H14434" s="22" t="s">
        <v>12727</v>
      </c>
      <c r="I14434" s="26">
        <v>43647.685578703698</v>
      </c>
      <c r="J14434" s="28" t="s">
        <v>51</v>
      </c>
      <c r="K14434" s="28" t="s">
        <v>51</v>
      </c>
      <c r="L14434" s="28" t="s">
        <v>51</v>
      </c>
      <c r="M14434" s="28" t="s">
        <v>51</v>
      </c>
      <c r="N14434" s="28" t="s">
        <v>51</v>
      </c>
    </row>
    <row r="14435" spans="1:14" x14ac:dyDescent="0.2">
      <c r="A14435" s="23" t="str">
        <f>HYPERLINK("https://www.spark-marketing.ru/Card/Person/1006849", "МДОУ Д/С № 111")</f>
        <v>МДОУ Д/С № 111</v>
      </c>
      <c r="B14435" s="24" t="s">
        <v>7215</v>
      </c>
      <c r="C14435" s="25">
        <v>954823.43</v>
      </c>
      <c r="D14435" s="22" t="s">
        <v>19183</v>
      </c>
      <c r="E14435" s="22" t="s">
        <v>362</v>
      </c>
      <c r="F14435" s="23" t="str">
        <f>HYPERLINK("https://www.spark-marketing.ru/Card/Lot/71826966", "Оказание услуг по организации питания детей")</f>
        <v>Оказание услуг по организации питания детей</v>
      </c>
      <c r="G14435" s="22" t="s">
        <v>158</v>
      </c>
      <c r="H14435" s="22" t="s">
        <v>158</v>
      </c>
      <c r="I14435" s="26">
        <v>43647.699768518498</v>
      </c>
      <c r="J14435" s="28" t="s">
        <v>51</v>
      </c>
      <c r="K14435" s="28" t="s">
        <v>51</v>
      </c>
      <c r="L14435" s="22" t="s">
        <v>10</v>
      </c>
      <c r="M14435" s="25">
        <v>954823.43</v>
      </c>
      <c r="N14435" s="27">
        <v>0</v>
      </c>
    </row>
    <row r="14436" spans="1:14" x14ac:dyDescent="0.15">
      <c r="A14436" s="23" t="str">
        <f>HYPERLINK("https://www.spark-marketing.ru/Card/Person/1778207", "МАУДО «ЦТДТ»")</f>
        <v>МАУДО «ЦТДТ»</v>
      </c>
      <c r="B14436" s="24" t="s">
        <v>15606</v>
      </c>
      <c r="C14436" s="25">
        <v>176400</v>
      </c>
      <c r="D14436" s="22" t="s">
        <v>19184</v>
      </c>
      <c r="E14436" s="22" t="s">
        <v>362</v>
      </c>
      <c r="F14436" s="23" t="str">
        <f>HYPERLINK("https://www.spark-marketing.ru/Card/Lot/71826031", "Организация питания детей в загородном палаточном лагере 3 смена ""Ратники""")</f>
        <v>Организация питания детей в загородном палаточном лагере 3 смена "Ратники"</v>
      </c>
      <c r="G14436" s="22" t="s">
        <v>766</v>
      </c>
      <c r="H14436" s="22" t="s">
        <v>766</v>
      </c>
      <c r="I14436" s="26">
        <v>43647.692418981504</v>
      </c>
      <c r="J14436" s="28" t="s">
        <v>51</v>
      </c>
      <c r="K14436" s="28" t="s">
        <v>51</v>
      </c>
      <c r="L14436" s="28" t="s">
        <v>51</v>
      </c>
      <c r="M14436" s="28" t="s">
        <v>51</v>
      </c>
      <c r="N14436" s="28" t="s">
        <v>51</v>
      </c>
    </row>
    <row r="14437" spans="1:14" x14ac:dyDescent="0.2">
      <c r="A14437" s="23" t="str">
        <f>HYPERLINK("https://www.spark-marketing.ru/Card/Person/1046254", "МДОУ Д/С № 102")</f>
        <v>МДОУ Д/С № 102</v>
      </c>
      <c r="B14437" s="24" t="s">
        <v>2237</v>
      </c>
      <c r="C14437" s="25">
        <v>984922.65</v>
      </c>
      <c r="D14437" s="22" t="s">
        <v>19185</v>
      </c>
      <c r="E14437" s="22" t="s">
        <v>362</v>
      </c>
      <c r="F14437" s="23" t="str">
        <f>HYPERLINK("https://www.spark-marketing.ru/Card/Lot/71827517", "Оказание услуг по организации питания детей")</f>
        <v>Оказание услуг по организации питания детей</v>
      </c>
      <c r="G14437" s="22" t="s">
        <v>158</v>
      </c>
      <c r="H14437" s="22" t="s">
        <v>158</v>
      </c>
      <c r="I14437" s="26">
        <v>43647.685497685197</v>
      </c>
      <c r="J14437" s="28" t="s">
        <v>51</v>
      </c>
      <c r="K14437" s="28" t="s">
        <v>51</v>
      </c>
      <c r="L14437" s="22" t="s">
        <v>10</v>
      </c>
      <c r="M14437" s="25">
        <v>984922.65</v>
      </c>
      <c r="N14437" s="27">
        <v>0</v>
      </c>
    </row>
    <row r="14438" spans="1:14" x14ac:dyDescent="0.15">
      <c r="A14438" s="23" t="str">
        <f>HYPERLINK("https://www.spark-marketing.ru/Card/Person/874768", "МАДОУ МО Г.КРАСНОДАР ""ДЕТСКИЙ САД № 136 ""ТОПОЛЁК""")</f>
        <v>МАДОУ МО Г.КРАСНОДАР "ДЕТСКИЙ САД № 136 "ТОПОЛЁК"</v>
      </c>
      <c r="B14438" s="24" t="s">
        <v>2047</v>
      </c>
      <c r="C14438" s="25">
        <v>784416</v>
      </c>
      <c r="D14438" s="22" t="s">
        <v>19186</v>
      </c>
      <c r="E14438" s="22" t="s">
        <v>2049</v>
      </c>
      <c r="F14438" s="23" t="str">
        <f>HYPERLINK("https://www.spark-marketing.ru/Card/Lot/71829024", "Оказание услуг по организации горячего питания воспитанников (07)")</f>
        <v>Оказание услуг по организации горячего питания воспитанников (07)</v>
      </c>
      <c r="G14438" s="22" t="s">
        <v>104</v>
      </c>
      <c r="H14438" s="22" t="s">
        <v>104</v>
      </c>
      <c r="I14438" s="26">
        <v>43647.707731481503</v>
      </c>
      <c r="J14438" s="28" t="s">
        <v>51</v>
      </c>
      <c r="K14438" s="28" t="s">
        <v>51</v>
      </c>
      <c r="L14438" s="28" t="s">
        <v>51</v>
      </c>
      <c r="M14438" s="28" t="s">
        <v>51</v>
      </c>
      <c r="N14438" s="28" t="s">
        <v>51</v>
      </c>
    </row>
    <row r="14439" spans="1:14" x14ac:dyDescent="0.2">
      <c r="A14439" s="23" t="str">
        <f>HYPERLINK("https://www.spark-marketing.ru/Card/Person/953783", "КГАУ ""ЦМИ ""ФОРУМ""")</f>
        <v>КГАУ "ЦМИ "ФОРУМ"</v>
      </c>
      <c r="B14439" s="24" t="s">
        <v>19187</v>
      </c>
      <c r="C14439" s="25">
        <v>316200</v>
      </c>
      <c r="D14439" s="22" t="s">
        <v>19188</v>
      </c>
      <c r="E14439" s="22" t="s">
        <v>769</v>
      </c>
      <c r="F14439" s="23" t="str">
        <f>HYPERLINK("https://www.spark-marketing.ru/Card/Lot/71821590", "На право оказания услуг по организации проживания и питания гостей и преподавателей мероприятия «Международный молодежный форум «ТИМ «Бирюса 2019» в гостинице»")</f>
        <v>На право оказания услуг по организации проживания и питания гостей и преподавателей мероприятия «Международный молодежный форум «ТИМ «Бирюса 2019» в гостинице»</v>
      </c>
      <c r="G14439" s="22" t="s">
        <v>281</v>
      </c>
      <c r="H14439" s="22" t="s">
        <v>281</v>
      </c>
      <c r="I14439" s="26">
        <v>43647.684108796297</v>
      </c>
      <c r="J14439" s="28" t="s">
        <v>51</v>
      </c>
      <c r="K14439" s="28" t="s">
        <v>51</v>
      </c>
      <c r="L14439" s="22" t="s">
        <v>10</v>
      </c>
      <c r="M14439" s="25">
        <v>316200</v>
      </c>
      <c r="N14439" s="27">
        <v>0</v>
      </c>
    </row>
    <row r="14440" spans="1:14" x14ac:dyDescent="0.2">
      <c r="A14440" s="23" t="str">
        <f>HYPERLINK("https://www.spark-marketing.ru/Card/Person/234815", "МДОУ Д/С № 62")</f>
        <v>МДОУ Д/С № 62</v>
      </c>
      <c r="B14440" s="24" t="s">
        <v>7234</v>
      </c>
      <c r="C14440" s="25">
        <v>951036.36</v>
      </c>
      <c r="D14440" s="22" t="s">
        <v>19189</v>
      </c>
      <c r="E14440" s="22" t="s">
        <v>362</v>
      </c>
      <c r="F14440" s="23" t="str">
        <f>HYPERLINK("https://www.spark-marketing.ru/Card/Lot/71825968", "Оказание услуг по организации питания детей")</f>
        <v>Оказание услуг по организации питания детей</v>
      </c>
      <c r="G14440" s="22" t="s">
        <v>158</v>
      </c>
      <c r="H14440" s="22" t="s">
        <v>158</v>
      </c>
      <c r="I14440" s="26">
        <v>43647.637199074103</v>
      </c>
      <c r="J14440" s="28" t="s">
        <v>51</v>
      </c>
      <c r="K14440" s="28" t="s">
        <v>51</v>
      </c>
      <c r="L14440" s="22" t="s">
        <v>10</v>
      </c>
      <c r="M14440" s="25">
        <v>951036.36</v>
      </c>
      <c r="N14440" s="27">
        <v>0</v>
      </c>
    </row>
    <row r="14441" spans="1:14" x14ac:dyDescent="0.2">
      <c r="A14441" s="23" t="str">
        <f>HYPERLINK("https://www.spark-marketing.ru/Card/Person/1064033", "МДОУ Д/С № 104")</f>
        <v>МДОУ Д/С № 104</v>
      </c>
      <c r="B14441" s="24" t="s">
        <v>2630</v>
      </c>
      <c r="C14441" s="25">
        <v>437614.75</v>
      </c>
      <c r="D14441" s="22" t="s">
        <v>19190</v>
      </c>
      <c r="E14441" s="22" t="s">
        <v>362</v>
      </c>
      <c r="F14441" s="23" t="str">
        <f>HYPERLINK("https://www.spark-marketing.ru/Card/Lot/71827261", "оказание услуг по организации питания детей")</f>
        <v>оказание услуг по организации питания детей</v>
      </c>
      <c r="G14441" s="22" t="s">
        <v>158</v>
      </c>
      <c r="H14441" s="22" t="s">
        <v>158</v>
      </c>
      <c r="I14441" s="26">
        <v>43647.662152777797</v>
      </c>
      <c r="J14441" s="28" t="s">
        <v>51</v>
      </c>
      <c r="K14441" s="28" t="s">
        <v>51</v>
      </c>
      <c r="L14441" s="22" t="s">
        <v>10</v>
      </c>
      <c r="M14441" s="25">
        <v>437614.75</v>
      </c>
      <c r="N14441" s="27">
        <v>0</v>
      </c>
    </row>
    <row r="14442" spans="1:14" x14ac:dyDescent="0.15">
      <c r="A14442" s="23" t="str">
        <f>HYPERLINK("https://www.spark-marketing.ru/Card/Person/1454114", "МАОУ ""КОНДРАТОВСКАЯ СРЕДНЯЯ ШКОЛА""")</f>
        <v>МАОУ "КОНДРАТОВСКАЯ СРЕДНЯЯ ШКОЛА"</v>
      </c>
      <c r="B14442" s="24" t="s">
        <v>19191</v>
      </c>
      <c r="C14442" s="25">
        <v>1152168</v>
      </c>
      <c r="D14442" s="22" t="s">
        <v>19192</v>
      </c>
      <c r="E14442" s="22" t="s">
        <v>362</v>
      </c>
      <c r="F14442" s="23" t="str">
        <f>HYPERLINK("https://www.spark-marketing.ru/Card/Lot/71823107", "Оказание услуг по обеспечению горячим питанием обучающихся в период лагеря дневного пребывания")</f>
        <v>Оказание услуг по обеспечению горячим питанием обучающихся в период лагеря дневного пребывания</v>
      </c>
      <c r="G14442" s="22" t="s">
        <v>153</v>
      </c>
      <c r="H14442" s="22" t="s">
        <v>153</v>
      </c>
      <c r="I14442" s="26">
        <v>43647.635520833297</v>
      </c>
      <c r="J14442" s="28" t="s">
        <v>51</v>
      </c>
      <c r="K14442" s="28" t="s">
        <v>51</v>
      </c>
      <c r="L14442" s="28" t="s">
        <v>51</v>
      </c>
      <c r="M14442" s="28" t="s">
        <v>51</v>
      </c>
      <c r="N14442" s="28" t="s">
        <v>51</v>
      </c>
    </row>
    <row r="14443" spans="1:14" x14ac:dyDescent="0.2">
      <c r="A14443" s="23" t="str">
        <f>HYPERLINK("https://www.spark-marketing.ru/Card/Person/234820", "МДОУ Д/С № 98")</f>
        <v>МДОУ Д/С № 98</v>
      </c>
      <c r="B14443" s="24" t="s">
        <v>2218</v>
      </c>
      <c r="C14443" s="25">
        <v>1211646.01</v>
      </c>
      <c r="D14443" s="22" t="s">
        <v>19193</v>
      </c>
      <c r="E14443" s="22" t="s">
        <v>362</v>
      </c>
      <c r="F14443" s="23" t="str">
        <f>HYPERLINK("https://www.spark-marketing.ru/Card/Lot/71827393", "Оказание услуг по организации питания детей")</f>
        <v>Оказание услуг по организации питания детей</v>
      </c>
      <c r="G14443" s="22" t="s">
        <v>158</v>
      </c>
      <c r="H14443" s="22" t="s">
        <v>158</v>
      </c>
      <c r="I14443" s="26">
        <v>43647.663078703699</v>
      </c>
      <c r="J14443" s="28" t="s">
        <v>51</v>
      </c>
      <c r="K14443" s="28" t="s">
        <v>51</v>
      </c>
      <c r="L14443" s="22" t="s">
        <v>10</v>
      </c>
      <c r="M14443" s="25">
        <v>1211646.01</v>
      </c>
      <c r="N14443" s="27">
        <v>0</v>
      </c>
    </row>
    <row r="14444" spans="1:14" x14ac:dyDescent="0.15">
      <c r="A14444" s="23" t="str">
        <f>HYPERLINK("https://www.spark-marketing.ru/Card/Person/1029554", "МДОУ №8 Г. МОЖАЙСКА")</f>
        <v>МДОУ №8 Г. МОЖАЙСКА</v>
      </c>
      <c r="B14444" s="24" t="s">
        <v>16880</v>
      </c>
      <c r="C14444" s="25">
        <v>279708</v>
      </c>
      <c r="D14444" s="22" t="s">
        <v>19194</v>
      </c>
      <c r="E14444" s="22" t="s">
        <v>48</v>
      </c>
      <c r="F14444" s="23" t="str">
        <f>HYPERLINK("https://www.spark-marketing.ru/Card/Lot/71824133", "Оказание услуг по организации питания воспитанников")</f>
        <v>Оказание услуг по организации питания воспитанников</v>
      </c>
      <c r="G14444" s="22" t="s">
        <v>49</v>
      </c>
      <c r="H14444" s="22" t="s">
        <v>3718</v>
      </c>
      <c r="I14444" s="26">
        <v>43647.649097222202</v>
      </c>
      <c r="J14444" s="28" t="s">
        <v>51</v>
      </c>
      <c r="K14444" s="28" t="s">
        <v>51</v>
      </c>
      <c r="L14444" s="28" t="s">
        <v>51</v>
      </c>
      <c r="M14444" s="28" t="s">
        <v>51</v>
      </c>
      <c r="N14444" s="28" t="s">
        <v>51</v>
      </c>
    </row>
    <row r="14445" spans="1:14" x14ac:dyDescent="0.2">
      <c r="A14445" s="23" t="str">
        <f>HYPERLINK("https://www.spark-marketing.ru/Card/Person/234419", "МДОУ Д/С № 88")</f>
        <v>МДОУ Д/С № 88</v>
      </c>
      <c r="B14445" s="24" t="s">
        <v>7226</v>
      </c>
      <c r="C14445" s="25">
        <v>1304685.42</v>
      </c>
      <c r="D14445" s="22" t="s">
        <v>19195</v>
      </c>
      <c r="E14445" s="22" t="s">
        <v>362</v>
      </c>
      <c r="F14445" s="23" t="str">
        <f>HYPERLINK("https://www.spark-marketing.ru/Card/Lot/71827336", "Оказание услуг по организации питания детей")</f>
        <v>Оказание услуг по организации питания детей</v>
      </c>
      <c r="G14445" s="22" t="s">
        <v>158</v>
      </c>
      <c r="H14445" s="22" t="s">
        <v>158</v>
      </c>
      <c r="I14445" s="26">
        <v>43647.649768518502</v>
      </c>
      <c r="J14445" s="28" t="s">
        <v>51</v>
      </c>
      <c r="K14445" s="28" t="s">
        <v>51</v>
      </c>
      <c r="L14445" s="22" t="s">
        <v>10</v>
      </c>
      <c r="M14445" s="25">
        <v>1304685.42</v>
      </c>
      <c r="N14445" s="27">
        <v>0</v>
      </c>
    </row>
    <row r="14446" spans="1:14" x14ac:dyDescent="0.2">
      <c r="A14446" s="23" t="str">
        <f>HYPERLINK("https://www.spark-marketing.ru/Card/Person/129308", "АО ""НИИИ""")</f>
        <v>АО "НИИИ"</v>
      </c>
      <c r="B14446" s="24" t="s">
        <v>19196</v>
      </c>
      <c r="C14446" s="25">
        <v>127000</v>
      </c>
      <c r="D14446" s="22" t="s">
        <v>19197</v>
      </c>
      <c r="E14446" s="22" t="s">
        <v>554</v>
      </c>
      <c r="F14446" s="23" t="str">
        <f>HYPERLINK("https://www.spark-marketing.ru/Card/Lot/71826240", "0818-2019-00321. Оказание услуг по размещению и питанию в отеле ""Золотая бухта""")</f>
        <v>0818-2019-00321. Оказание услуг по размещению и питанию в отеле "Золотая бухта"</v>
      </c>
      <c r="G14446" s="22" t="s">
        <v>49</v>
      </c>
      <c r="H14446" s="22" t="s">
        <v>7442</v>
      </c>
      <c r="I14446" s="26">
        <v>43647.619629629597</v>
      </c>
      <c r="J14446" s="28" t="s">
        <v>51</v>
      </c>
      <c r="K14446" s="28" t="s">
        <v>51</v>
      </c>
      <c r="L14446" s="28" t="s">
        <v>51</v>
      </c>
      <c r="M14446" s="25">
        <v>127000</v>
      </c>
      <c r="N14446" s="27">
        <v>0</v>
      </c>
    </row>
    <row r="14447" spans="1:14" x14ac:dyDescent="0.15">
      <c r="A14447" s="23" t="str">
        <f>HYPERLINK("https://www.spark-marketing.ru/Card/Person/4348376", "АО ""ЖТК""")</f>
        <v>АО "ЖТК"</v>
      </c>
      <c r="B14447" s="24" t="s">
        <v>2312</v>
      </c>
      <c r="C14447" s="25">
        <v>1068500</v>
      </c>
      <c r="D14447" s="22" t="s">
        <v>19198</v>
      </c>
      <c r="E14447" s="22" t="s">
        <v>567</v>
      </c>
      <c r="F14447" s="23" t="str">
        <f>HYPERLINK("https://www.spark-marketing.ru/Card/Lot/71825286", "Поставка молока для предприятий общественного питания Читинского ТПО, оказывающих услуги питания работникам ОАО ""РЖД""")</f>
        <v>Поставка молока для предприятий общественного питания Читинского ТПО, оказывающих услуги питания работникам ОАО "РЖД"</v>
      </c>
      <c r="G14447" s="22" t="s">
        <v>228</v>
      </c>
      <c r="H14447" s="22" t="s">
        <v>228</v>
      </c>
      <c r="I14447" s="26">
        <v>43647.598078703697</v>
      </c>
      <c r="J14447" s="28" t="s">
        <v>51</v>
      </c>
      <c r="K14447" s="28" t="s">
        <v>51</v>
      </c>
      <c r="L14447" s="28" t="s">
        <v>51</v>
      </c>
      <c r="M14447" s="28" t="s">
        <v>51</v>
      </c>
      <c r="N14447" s="28" t="s">
        <v>51</v>
      </c>
    </row>
    <row r="14448" spans="1:14" x14ac:dyDescent="0.15">
      <c r="A14448" s="23" t="str">
        <f>HYPERLINK("https://www.spark-marketing.ru/Card/Person/4349872", "АО ""АВИАКОМПАНИЯ ""РОССИЯ""")</f>
        <v>АО "АВИАКОМПАНИЯ "РОССИЯ"</v>
      </c>
      <c r="B14448" s="24" t="s">
        <v>785</v>
      </c>
      <c r="C14448" s="25">
        <v>144900000</v>
      </c>
      <c r="D14448" s="22" t="s">
        <v>19199</v>
      </c>
      <c r="E14448" s="22" t="s">
        <v>769</v>
      </c>
      <c r="F14448" s="23" t="str">
        <f>HYPERLINK("https://www.spark-marketing.ru/Card/Lot/71826664", "Оказание услуг по трансферу, питанию и размещению пассажиров и членов экипажей ВС Заказчика в сбойных ситуациях на территории иностранных государств")</f>
        <v>Оказание услуг по трансферу, питанию и размещению пассажиров и членов экипажей ВС Заказчика в сбойных ситуациях на территории иностранных государств</v>
      </c>
      <c r="G14448" s="22" t="s">
        <v>117</v>
      </c>
      <c r="H14448" s="22" t="s">
        <v>117</v>
      </c>
      <c r="I14448" s="26">
        <v>43647.586574074099</v>
      </c>
      <c r="J14448" s="28" t="s">
        <v>51</v>
      </c>
      <c r="K14448" s="28" t="s">
        <v>51</v>
      </c>
      <c r="L14448" s="28" t="s">
        <v>51</v>
      </c>
      <c r="M14448" s="28" t="s">
        <v>51</v>
      </c>
      <c r="N14448" s="28" t="s">
        <v>51</v>
      </c>
    </row>
    <row r="14449" spans="1:14" x14ac:dyDescent="0.15">
      <c r="A14449" s="23" t="str">
        <f>HYPERLINK("https://www.spark-marketing.ru/Card/Person/1030490", "ОМВД РОССИИ ПО НИЖНЕОМСКОМУ РАЙОНУ")</f>
        <v>ОМВД РОССИИ ПО НИЖНЕОМСКОМУ РАЙОНУ</v>
      </c>
      <c r="B14449" s="24" t="s">
        <v>19200</v>
      </c>
      <c r="C14449" s="25">
        <v>100000</v>
      </c>
      <c r="D14449" s="22" t="s">
        <v>19201</v>
      </c>
      <c r="E14449" s="22" t="s">
        <v>48</v>
      </c>
      <c r="F14449" s="23" t="str">
        <f>HYPERLINK("https://www.spark-marketing.ru/Card/Lot/71822709", "Услуги по обеспечению питания лиц содержащихся в спец. помещениях задержанных лиц, 8 усл. ед")</f>
        <v>Услуги по обеспечению питания лиц содержащихся в спец. помещениях задержанных лиц, 8 усл. ед</v>
      </c>
      <c r="G14449" s="22" t="s">
        <v>487</v>
      </c>
      <c r="H14449" s="22" t="s">
        <v>19202</v>
      </c>
      <c r="I14449" s="26">
        <v>43647.624722222201</v>
      </c>
      <c r="J14449" s="28" t="s">
        <v>51</v>
      </c>
      <c r="K14449" s="28" t="s">
        <v>51</v>
      </c>
      <c r="L14449" s="28" t="s">
        <v>51</v>
      </c>
      <c r="M14449" s="28" t="s">
        <v>51</v>
      </c>
      <c r="N14449" s="28" t="s">
        <v>51</v>
      </c>
    </row>
    <row r="14450" spans="1:14" x14ac:dyDescent="0.2">
      <c r="A14450" s="23" t="str">
        <f>HYPERLINK("https://www.spark-marketing.ru/Card/Person/439621", "ГАУ ""ЦИК СО""")</f>
        <v>ГАУ "ЦИК СО"</v>
      </c>
      <c r="B14450" s="24" t="s">
        <v>19203</v>
      </c>
      <c r="C14450" s="25">
        <v>251600</v>
      </c>
      <c r="D14450" s="22" t="s">
        <v>19204</v>
      </c>
      <c r="E14450" s="22" t="s">
        <v>562</v>
      </c>
      <c r="F14450" s="23" t="str">
        <f>HYPERLINK("https://www.spark-marketing.ru/Card/Lot/71821902", "Оказание услуги по организации питания участников Всероссийского форума-совещания по развития моногородов Российской Федерации.")</f>
        <v>Оказание услуги по организации питания участников Всероссийского форума-совещания по развития моногородов Российской Федерации.</v>
      </c>
      <c r="G14450" s="22" t="s">
        <v>128</v>
      </c>
      <c r="H14450" s="22" t="s">
        <v>128</v>
      </c>
      <c r="I14450" s="26">
        <v>43647.592326388898</v>
      </c>
      <c r="J14450" s="28" t="s">
        <v>51</v>
      </c>
      <c r="K14450" s="28" t="s">
        <v>51</v>
      </c>
      <c r="L14450" s="22" t="s">
        <v>10</v>
      </c>
      <c r="M14450" s="25">
        <v>251600</v>
      </c>
      <c r="N14450" s="27">
        <v>0</v>
      </c>
    </row>
    <row r="14451" spans="1:14" x14ac:dyDescent="0.15">
      <c r="A14451" s="23" t="str">
        <f>HYPERLINK("https://www.spark-marketing.ru/Card/Person/149150", "МАДОУ-Д/С № 1 СТ. КАЛИНИНСКОЙ")</f>
        <v>МАДОУ-Д/С № 1 СТ. КАЛИНИНСКОЙ</v>
      </c>
      <c r="B14451" s="24" t="s">
        <v>19205</v>
      </c>
      <c r="C14451" s="25">
        <v>1627405</v>
      </c>
      <c r="D14451" s="22" t="s">
        <v>19206</v>
      </c>
      <c r="E14451" s="22" t="s">
        <v>362</v>
      </c>
      <c r="F14451" s="23" t="str">
        <f>HYPERLINK("https://www.spark-marketing.ru/Card/Lot/71825798", "оказание услуг по организации горячего питания воспитанников")</f>
        <v>оказание услуг по организации горячего питания воспитанников</v>
      </c>
      <c r="G14451" s="22" t="s">
        <v>104</v>
      </c>
      <c r="H14451" s="22" t="s">
        <v>104</v>
      </c>
      <c r="I14451" s="26">
        <v>43647.610532407401</v>
      </c>
      <c r="J14451" s="28" t="s">
        <v>51</v>
      </c>
      <c r="K14451" s="28" t="s">
        <v>51</v>
      </c>
      <c r="L14451" s="28" t="s">
        <v>51</v>
      </c>
      <c r="M14451" s="28" t="s">
        <v>51</v>
      </c>
      <c r="N14451" s="28" t="s">
        <v>51</v>
      </c>
    </row>
    <row r="14452" spans="1:14" x14ac:dyDescent="0.15">
      <c r="A14452" s="23" t="str">
        <f>HYPERLINK("https://www.spark-marketing.ru/Card/Person/1228764", "МУП ""КРАСНОЯРСКОЕ ЖКХ""")</f>
        <v>МУП "КРАСНОЯРСКОЕ ЖКХ"</v>
      </c>
      <c r="B14452" s="24" t="s">
        <v>19207</v>
      </c>
      <c r="C14452" s="25">
        <v>180000</v>
      </c>
      <c r="D14452" s="22" t="s">
        <v>19208</v>
      </c>
      <c r="E14452" s="22" t="s">
        <v>570</v>
      </c>
      <c r="F14452" s="23" t="str">
        <f>HYPERLINK("https://www.spark-marketing.ru/Card/Lot/71822059", "Поверка приборов учёта котельных МУП ""Красноярское ЖКХ""")</f>
        <v>Поверка приборов учёта котельных МУП "Красноярское ЖКХ"</v>
      </c>
      <c r="G14452" s="22" t="s">
        <v>128</v>
      </c>
      <c r="H14452" s="22" t="s">
        <v>7756</v>
      </c>
      <c r="I14452" s="26">
        <v>43647.605439814797</v>
      </c>
      <c r="J14452" s="28" t="s">
        <v>51</v>
      </c>
      <c r="K14452" s="28" t="s">
        <v>51</v>
      </c>
      <c r="L14452" s="28" t="s">
        <v>51</v>
      </c>
      <c r="M14452" s="28" t="s">
        <v>51</v>
      </c>
      <c r="N14452" s="28" t="s">
        <v>51</v>
      </c>
    </row>
    <row r="14453" spans="1:14" x14ac:dyDescent="0.15">
      <c r="A14453" s="23" t="str">
        <f>HYPERLINK("https://www.spark-marketing.ru/Card/Person/1030490", "ОМВД РОССИИ ПО НИЖНЕОМСКОМУ РАЙОНУ")</f>
        <v>ОМВД РОССИИ ПО НИЖНЕОМСКОМУ РАЙОНУ</v>
      </c>
      <c r="B14453" s="24" t="s">
        <v>19200</v>
      </c>
      <c r="C14453" s="25">
        <v>100000</v>
      </c>
      <c r="D14453" s="22" t="s">
        <v>19209</v>
      </c>
      <c r="E14453" s="22" t="s">
        <v>48</v>
      </c>
      <c r="F14453" s="23" t="str">
        <f>HYPERLINK("https://www.spark-marketing.ru/Card/Lot/71822804", "Услуги по обеспечению питания лиц содержащихся в спец. помещениях задержанных лиц, 8 усл. ед")</f>
        <v>Услуги по обеспечению питания лиц содержащихся в спец. помещениях задержанных лиц, 8 усл. ед</v>
      </c>
      <c r="G14453" s="22" t="s">
        <v>487</v>
      </c>
      <c r="H14453" s="22" t="s">
        <v>19202</v>
      </c>
      <c r="I14453" s="26">
        <v>43647.612962963001</v>
      </c>
      <c r="J14453" s="28" t="s">
        <v>51</v>
      </c>
      <c r="K14453" s="28" t="s">
        <v>51</v>
      </c>
      <c r="L14453" s="28" t="s">
        <v>51</v>
      </c>
      <c r="M14453" s="28" t="s">
        <v>51</v>
      </c>
      <c r="N14453" s="28" t="s">
        <v>51</v>
      </c>
    </row>
    <row r="14454" spans="1:14" x14ac:dyDescent="0.15">
      <c r="A14454" s="23" t="str">
        <f>HYPERLINK("https://www.spark-marketing.ru/Card/Person/953086", "ГБУ ДО ""КЦЭТК""")</f>
        <v>ГБУ ДО "КЦЭТК"</v>
      </c>
      <c r="B14454" s="24" t="s">
        <v>10600</v>
      </c>
      <c r="C14454" s="25">
        <v>176400</v>
      </c>
      <c r="D14454" s="22" t="s">
        <v>19210</v>
      </c>
      <c r="E14454" s="22" t="s">
        <v>362</v>
      </c>
      <c r="F14454" s="23" t="str">
        <f>HYPERLINK("https://www.spark-marketing.ru/Card/Lot/71827681", "Оказание услуг по организации горячим обслуживающего персонала филиала ГБУ ДО ""КЦЭТК"" - ДООЦ ""Солнечный""")</f>
        <v>Оказание услуг по организации горячим обслуживающего персонала филиала ГБУ ДО "КЦЭТК" - ДООЦ "Солнечный"</v>
      </c>
      <c r="G14454" s="22" t="s">
        <v>87</v>
      </c>
      <c r="H14454" s="22" t="s">
        <v>87</v>
      </c>
      <c r="I14454" s="26">
        <v>43647.624317129601</v>
      </c>
      <c r="J14454" s="28" t="s">
        <v>51</v>
      </c>
      <c r="K14454" s="28" t="s">
        <v>51</v>
      </c>
      <c r="L14454" s="28" t="s">
        <v>51</v>
      </c>
      <c r="M14454" s="28" t="s">
        <v>51</v>
      </c>
      <c r="N14454" s="28" t="s">
        <v>51</v>
      </c>
    </row>
    <row r="14455" spans="1:14" x14ac:dyDescent="0.15">
      <c r="A14455" s="23" t="str">
        <f>HYPERLINK("https://www.spark-marketing.ru/Card/Person/6444019", "ГАУ НСО ""СШОР ПО ХУДОЖЕСТВЕННОЙ ГИМНАСТИКЕ""")</f>
        <v>ГАУ НСО "СШОР ПО ХУДОЖЕСТВЕННОЙ ГИМНАСТИКЕ"</v>
      </c>
      <c r="B14455" s="24" t="s">
        <v>19211</v>
      </c>
      <c r="C14455" s="25">
        <v>210125</v>
      </c>
      <c r="D14455" s="22" t="s">
        <v>19212</v>
      </c>
      <c r="E14455" s="22" t="s">
        <v>96</v>
      </c>
      <c r="F14455" s="23" t="str">
        <f>HYPERLINK("https://www.spark-marketing.ru/Card/Lot/71821097", "Услуги по организации питания")</f>
        <v>Услуги по организации питания</v>
      </c>
      <c r="G14455" s="22" t="s">
        <v>195</v>
      </c>
      <c r="H14455" s="22" t="s">
        <v>196</v>
      </c>
      <c r="I14455" s="26">
        <v>43647.546527777798</v>
      </c>
      <c r="J14455" s="28" t="s">
        <v>51</v>
      </c>
      <c r="K14455" s="28" t="s">
        <v>51</v>
      </c>
      <c r="L14455" s="28" t="s">
        <v>51</v>
      </c>
      <c r="M14455" s="28" t="s">
        <v>51</v>
      </c>
      <c r="N14455" s="28" t="s">
        <v>51</v>
      </c>
    </row>
    <row r="14456" spans="1:14" x14ac:dyDescent="0.2">
      <c r="A14456" s="23" t="str">
        <f>HYPERLINK("https://www.spark-marketing.ru/Card/Person/805", "РУДН, РОССИЙСКИЙ УНИВЕРСИТЕТ ДРУЖБЫ НАРОДОВ, ФГАОУ ВО РУДН,ФГАОУ ВО ""РОССИЙСКИЙ УНИВЕРСИТЕТ ДРУЖБЫ НАРОДОВ""")</f>
        <v>РУДН, РОССИЙСКИЙ УНИВЕРСИТЕТ ДРУЖБЫ НАРОДОВ, ФГАОУ ВО РУДН,ФГАОУ ВО "РОССИЙСКИЙ УНИВЕРСИТЕТ ДРУЖБЫ НАРОДОВ"</v>
      </c>
      <c r="B14456" s="24" t="s">
        <v>19213</v>
      </c>
      <c r="C14456" s="25">
        <v>2500000</v>
      </c>
      <c r="D14456" s="22" t="s">
        <v>19214</v>
      </c>
      <c r="E14456" s="22" t="s">
        <v>362</v>
      </c>
      <c r="F14456" s="23" t="str">
        <f>HYPERLINK("https://www.spark-marketing.ru/Card/Lot/71819356", "Оказание услуг по организации питания. № 332-19")</f>
        <v>Оказание услуг по организации питания. № 332-19</v>
      </c>
      <c r="G14456" s="22" t="s">
        <v>56</v>
      </c>
      <c r="H14456" s="22" t="s">
        <v>56</v>
      </c>
      <c r="I14456" s="26">
        <v>43647.501319444404</v>
      </c>
      <c r="J14456" s="28" t="s">
        <v>51</v>
      </c>
      <c r="K14456" s="28" t="s">
        <v>51</v>
      </c>
      <c r="L14456" s="22" t="s">
        <v>10</v>
      </c>
      <c r="M14456" s="25">
        <v>2080</v>
      </c>
      <c r="N14456" s="27">
        <v>0.99916799999999995</v>
      </c>
    </row>
    <row r="14457" spans="1:14" x14ac:dyDescent="0.15">
      <c r="A14457" s="23" t="str">
        <f>HYPERLINK("https://www.spark-marketing.ru/Card/Person/879093", "КГБПОУ ""АЛТАЙСКИЙ АРХИТЕКТУРНО-СТРОИТЕЛЬНЫЙ КОЛЛЕДЖ""")</f>
        <v>КГБПОУ "АЛТАЙСКИЙ АРХИТЕКТУРНО-СТРОИТЕЛЬНЫЙ КОЛЛЕДЖ"</v>
      </c>
      <c r="B14457" s="24" t="s">
        <v>19215</v>
      </c>
      <c r="C14457" s="25">
        <v>99000</v>
      </c>
      <c r="D14457" s="22" t="s">
        <v>19216</v>
      </c>
      <c r="E14457" s="22" t="s">
        <v>6508</v>
      </c>
      <c r="F14457" s="23" t="str">
        <f>HYPERLINK("https://www.spark-marketing.ru/Card/Lot/71819866", "Оказание услуг по техническому обслуживанию установок пожарной автоматики")</f>
        <v>Оказание услуг по техническому обслуживанию установок пожарной автоматики</v>
      </c>
      <c r="G14457" s="22" t="s">
        <v>63</v>
      </c>
      <c r="H14457" s="22" t="s">
        <v>177</v>
      </c>
      <c r="I14457" s="26">
        <v>43647.520138888904</v>
      </c>
      <c r="J14457" s="28" t="s">
        <v>51</v>
      </c>
      <c r="K14457" s="28" t="s">
        <v>51</v>
      </c>
      <c r="L14457" s="28" t="s">
        <v>51</v>
      </c>
      <c r="M14457" s="28" t="s">
        <v>51</v>
      </c>
      <c r="N14457" s="28" t="s">
        <v>51</v>
      </c>
    </row>
    <row r="14458" spans="1:14" x14ac:dyDescent="0.15">
      <c r="A14458" s="23" t="str">
        <f>HYPERLINK("https://www.spark-marketing.ru/Card/Person/6220059", "ГКУ НСО ""ЦЕНТР ПАТРИОТИЧЕСКОГО ВОСПИТАНИЯ""")</f>
        <v>ГКУ НСО "ЦЕНТР ПАТРИОТИЧЕСКОГО ВОСПИТАНИЯ"</v>
      </c>
      <c r="B14458" s="24" t="s">
        <v>1887</v>
      </c>
      <c r="C14458" s="25">
        <v>30000</v>
      </c>
      <c r="D14458" s="22" t="s">
        <v>19217</v>
      </c>
      <c r="E14458" s="22" t="s">
        <v>48</v>
      </c>
      <c r="F14458" s="23" t="str">
        <f>HYPERLINK("https://www.spark-marketing.ru/Card/Lot/71819720", "Оказание услуг по организации питания (кофе-брейк) для участников расширенного пленарного заседания Общественной палаты Новосибирской области")</f>
        <v>Оказание услуг по организации питания (кофе-брейк) для участников расширенного пленарного заседания Общественной палаты Новосибирской области</v>
      </c>
      <c r="G14458" s="22" t="s">
        <v>195</v>
      </c>
      <c r="H14458" s="22" t="s">
        <v>196</v>
      </c>
      <c r="I14458" s="26">
        <v>43647.506249999999</v>
      </c>
      <c r="J14458" s="28" t="s">
        <v>51</v>
      </c>
      <c r="K14458" s="28" t="s">
        <v>51</v>
      </c>
      <c r="L14458" s="28" t="s">
        <v>51</v>
      </c>
      <c r="M14458" s="28" t="s">
        <v>51</v>
      </c>
      <c r="N14458" s="28" t="s">
        <v>51</v>
      </c>
    </row>
    <row r="14459" spans="1:14" x14ac:dyDescent="0.15">
      <c r="A14459" s="23" t="str">
        <f>HYPERLINK("https://www.spark-marketing.ru/Card/Person/1310874", "МОАУ ""СОШ № 69""")</f>
        <v>МОАУ "СОШ № 69"</v>
      </c>
      <c r="B14459" s="24" t="s">
        <v>19218</v>
      </c>
      <c r="C14459" s="25">
        <v>281727.59999999998</v>
      </c>
      <c r="D14459" s="22" t="s">
        <v>19219</v>
      </c>
      <c r="E14459" s="22" t="s">
        <v>362</v>
      </c>
      <c r="F14459" s="23" t="str">
        <f>HYPERLINK("https://www.spark-marketing.ru/Card/Lot/71819056", "Оказание услуг по организации питания детей в лагере дневного пребывания на базе образовательной организации МОАУ ""СОШ № 69""")</f>
        <v>Оказание услуг по организации питания детей в лагере дневного пребывания на базе образовательной организации МОАУ "СОШ № 69"</v>
      </c>
      <c r="G14459" s="22" t="s">
        <v>132</v>
      </c>
      <c r="H14459" s="22" t="s">
        <v>132</v>
      </c>
      <c r="I14459" s="26">
        <v>43647.516446759299</v>
      </c>
      <c r="J14459" s="28" t="s">
        <v>51</v>
      </c>
      <c r="K14459" s="28" t="s">
        <v>51</v>
      </c>
      <c r="L14459" s="28" t="s">
        <v>51</v>
      </c>
      <c r="M14459" s="28" t="s">
        <v>51</v>
      </c>
      <c r="N14459" s="28" t="s">
        <v>51</v>
      </c>
    </row>
    <row r="14460" spans="1:14" x14ac:dyDescent="0.2">
      <c r="A14460" s="23" t="str">
        <f>HYPERLINK("https://www.spark-marketing.ru/Card/Person/1067924", "МДОУ Д/С № 8")</f>
        <v>МДОУ Д/С № 8</v>
      </c>
      <c r="B14460" s="24" t="s">
        <v>7232</v>
      </c>
      <c r="C14460" s="25">
        <v>994116.63</v>
      </c>
      <c r="D14460" s="22" t="s">
        <v>19220</v>
      </c>
      <c r="E14460" s="22" t="s">
        <v>362</v>
      </c>
      <c r="F14460" s="23" t="str">
        <f>HYPERLINK("https://www.spark-marketing.ru/Card/Lot/71819358", "Оказание услуг по организации питания детей")</f>
        <v>Оказание услуг по организации питания детей</v>
      </c>
      <c r="G14460" s="22" t="s">
        <v>158</v>
      </c>
      <c r="H14460" s="22" t="s">
        <v>158</v>
      </c>
      <c r="I14460" s="26">
        <v>43647.503460648099</v>
      </c>
      <c r="J14460" s="28" t="s">
        <v>51</v>
      </c>
      <c r="K14460" s="28" t="s">
        <v>51</v>
      </c>
      <c r="L14460" s="22" t="s">
        <v>10</v>
      </c>
      <c r="M14460" s="25">
        <v>994116.63</v>
      </c>
      <c r="N14460" s="27">
        <v>0</v>
      </c>
    </row>
    <row r="14461" spans="1:14" x14ac:dyDescent="0.15">
      <c r="A14461" s="23" t="str">
        <f>HYPERLINK("https://www.spark-marketing.ru/Card/Person/4378741", "МУСО ""СРЦ ДЛЯ НЕСОВЕРШЕННОЛЕТНИХ Г. МАГНИТОГОРСКА""")</f>
        <v>МУСО "СРЦ ДЛЯ НЕСОВЕРШЕННОЛЕТНИХ Г. МАГНИТОГОРСКА"</v>
      </c>
      <c r="B14461" s="24" t="s">
        <v>19221</v>
      </c>
      <c r="C14461" s="28" t="s">
        <v>51</v>
      </c>
      <c r="D14461" s="22" t="s">
        <v>19222</v>
      </c>
      <c r="E14461" s="22" t="s">
        <v>621</v>
      </c>
      <c r="F14461" s="23" t="str">
        <f>HYPERLINK("https://www.spark-marketing.ru/Card/Lot/71819935", "Оказание услуг по ежемесячному обслуживанию программного продукта (далее - ПП):»1С:Предприятие 8» ( ""1С:Бухгалтерия государственного учреждения8» - 5 рабочих мест"", «1С:Школьное питание 8» - 1 рабочее место), принадлежащего Заказчику на праве собст...")</f>
        <v>Оказание услуг по ежемесячному обслуживанию программного продукта (далее - ПП):»1С:Предприятие 8» ( "1С:Бухгалтерия государственного учреждения8» - 5 рабочих мест", «1С:Школьное питание 8» - 1 рабочее место), принадлежащего Заказчику на праве собст...</v>
      </c>
      <c r="G14461" s="22" t="s">
        <v>469</v>
      </c>
      <c r="H14461" s="22" t="s">
        <v>470</v>
      </c>
      <c r="I14461" s="26">
        <v>43647.527083333298</v>
      </c>
      <c r="J14461" s="28" t="s">
        <v>51</v>
      </c>
      <c r="K14461" s="28" t="s">
        <v>51</v>
      </c>
      <c r="L14461" s="28" t="s">
        <v>51</v>
      </c>
      <c r="M14461" s="28" t="s">
        <v>51</v>
      </c>
      <c r="N14461" s="28" t="s">
        <v>51</v>
      </c>
    </row>
    <row r="14462" spans="1:14" x14ac:dyDescent="0.15">
      <c r="A14462" s="23" t="str">
        <f>HYPERLINK("https://www.spark-marketing.ru/Card/Person/362516", "ОТДЕЛ МВД РОССИИ ПО КОЧЕНЕВСКОМУ РАЙОНУ")</f>
        <v>ОТДЕЛ МВД РОССИИ ПО КОЧЕНЕВСКОМУ РАЙОНУ</v>
      </c>
      <c r="B14462" s="24" t="s">
        <v>9818</v>
      </c>
      <c r="C14462" s="25">
        <v>300000</v>
      </c>
      <c r="D14462" s="22" t="s">
        <v>19223</v>
      </c>
      <c r="E14462" s="22" t="s">
        <v>48</v>
      </c>
      <c r="F14462" s="23" t="str">
        <f>HYPERLINK("https://www.spark-marketing.ru/Card/Lot/71819138", "Услуги по доставке горячего питания (завтрак, обед, ужин), 1 усл. ед")</f>
        <v>Услуги по доставке горячего питания (завтрак, обед, ужин), 1 усл. ед</v>
      </c>
      <c r="G14462" s="22" t="s">
        <v>195</v>
      </c>
      <c r="H14462" s="22" t="s">
        <v>9820</v>
      </c>
      <c r="I14462" s="26">
        <v>43647.493368055599</v>
      </c>
      <c r="J14462" s="28" t="s">
        <v>51</v>
      </c>
      <c r="K14462" s="28" t="s">
        <v>51</v>
      </c>
      <c r="L14462" s="28" t="s">
        <v>51</v>
      </c>
      <c r="M14462" s="28" t="s">
        <v>51</v>
      </c>
      <c r="N14462" s="28" t="s">
        <v>51</v>
      </c>
    </row>
    <row r="14463" spans="1:14" x14ac:dyDescent="0.2">
      <c r="A14463" s="23" t="str">
        <f>HYPERLINK("https://www.spark-marketing.ru/Card/Person/4358306", "ПАО ""ФОРТУМ""")</f>
        <v>ПАО "ФОРТУМ"</v>
      </c>
      <c r="B14463" s="24" t="s">
        <v>763</v>
      </c>
      <c r="C14463" s="25">
        <v>1395000</v>
      </c>
      <c r="D14463" s="22" t="s">
        <v>19224</v>
      </c>
      <c r="E14463" s="22" t="s">
        <v>19225</v>
      </c>
      <c r="F14463" s="23" t="str">
        <f>HYPERLINK("https://www.spark-marketing.ru/Card/Lot/71819305", "Оказание услуг по предоставлению помещения и организации питания для празднования Дня Энергетика в 2019")</f>
        <v>Оказание услуг по предоставлению помещения и организации питания для празднования Дня Энергетика в 2019</v>
      </c>
      <c r="G14463" s="22" t="s">
        <v>469</v>
      </c>
      <c r="H14463" s="22" t="s">
        <v>469</v>
      </c>
      <c r="I14463" s="26">
        <v>43647.485312500001</v>
      </c>
      <c r="J14463" s="28" t="s">
        <v>51</v>
      </c>
      <c r="K14463" s="28" t="s">
        <v>51</v>
      </c>
      <c r="L14463" s="28" t="s">
        <v>51</v>
      </c>
      <c r="M14463" s="25">
        <v>1376829</v>
      </c>
      <c r="N14463" s="27">
        <v>1.3025806451612902E-2</v>
      </c>
    </row>
    <row r="14464" spans="1:14" x14ac:dyDescent="0.15">
      <c r="A14464" s="23" t="str">
        <f>HYPERLINK("https://www.spark-marketing.ru/Card/Person/72218", "ПФИЦ УРО РАН")</f>
        <v>ПФИЦ УРО РАН</v>
      </c>
      <c r="B14464" s="24" t="s">
        <v>15469</v>
      </c>
      <c r="C14464" s="25">
        <v>1280000</v>
      </c>
      <c r="D14464" s="22" t="s">
        <v>19226</v>
      </c>
      <c r="E14464" s="22" t="s">
        <v>362</v>
      </c>
      <c r="F14464" s="23" t="str">
        <f>HYPERLINK("https://www.spark-marketing.ru/Card/Lot/71817128", "Оказание услуг по организации питания сотрудников «ГИ УрО РАН».")</f>
        <v>Оказание услуг по организации питания сотрудников «ГИ УрО РАН».</v>
      </c>
      <c r="G14464" s="22" t="s">
        <v>153</v>
      </c>
      <c r="H14464" s="22" t="s">
        <v>3981</v>
      </c>
      <c r="I14464" s="26">
        <v>43647.4915162037</v>
      </c>
      <c r="J14464" s="28" t="s">
        <v>51</v>
      </c>
      <c r="K14464" s="28" t="s">
        <v>51</v>
      </c>
      <c r="L14464" s="28" t="s">
        <v>51</v>
      </c>
      <c r="M14464" s="28" t="s">
        <v>51</v>
      </c>
      <c r="N14464" s="28" t="s">
        <v>51</v>
      </c>
    </row>
    <row r="14465" spans="1:14" x14ac:dyDescent="0.2">
      <c r="A14465" s="23" t="str">
        <f>HYPERLINK("https://www.spark-marketing.ru/Card/Person/234778", "МДОУ Д/С № 90")</f>
        <v>МДОУ Д/С № 90</v>
      </c>
      <c r="B14465" s="24" t="s">
        <v>2220</v>
      </c>
      <c r="C14465" s="25">
        <v>383186.82</v>
      </c>
      <c r="D14465" s="22" t="s">
        <v>19227</v>
      </c>
      <c r="E14465" s="22" t="s">
        <v>362</v>
      </c>
      <c r="F14465" s="23" t="str">
        <f>HYPERLINK("https://www.spark-marketing.ru/Card/Lot/71819051", "Оказание услуг по организации питания детей")</f>
        <v>Оказание услуг по организации питания детей</v>
      </c>
      <c r="G14465" s="22" t="s">
        <v>158</v>
      </c>
      <c r="H14465" s="22" t="s">
        <v>158</v>
      </c>
      <c r="I14465" s="26">
        <v>43647.4999074074</v>
      </c>
      <c r="J14465" s="28" t="s">
        <v>51</v>
      </c>
      <c r="K14465" s="28" t="s">
        <v>51</v>
      </c>
      <c r="L14465" s="28" t="s">
        <v>51</v>
      </c>
      <c r="M14465" s="25">
        <v>383186.82</v>
      </c>
      <c r="N14465" s="27">
        <v>0</v>
      </c>
    </row>
    <row r="14466" spans="1:14" x14ac:dyDescent="0.15">
      <c r="A14466" s="23" t="str">
        <f>HYPERLINK("https://www.spark-marketing.ru/Card/Person/111738", "ОГАУЗ ""РОДИЛЬНЫЙ ДОМ ИМ. Н.А. СЕМАШКО""")</f>
        <v>ОГАУЗ "РОДИЛЬНЫЙ ДОМ ИМ. Н.А. СЕМАШКО"</v>
      </c>
      <c r="B14466" s="24" t="s">
        <v>19228</v>
      </c>
      <c r="C14466" s="25">
        <v>99970</v>
      </c>
      <c r="D14466" s="22" t="s">
        <v>19229</v>
      </c>
      <c r="E14466" s="22" t="s">
        <v>355</v>
      </c>
      <c r="F14466" s="23" t="str">
        <f>HYPERLINK("https://www.spark-marketing.ru/Card/Lot/71818521", "Услуги по ремонт источника бесперебойного питания, включая замену аккумуляторных батарей и утилизацию неисправных аккумуляторных батарей для ОГАУЗ «Родильный дом им. Н. А. Семашко».")</f>
        <v>Услуги по ремонт источника бесперебойного питания, включая замену аккумуляторных батарей и утилизацию неисправных аккумуляторных батарей для ОГАУЗ «Родильный дом им. Н. А. Семашко».</v>
      </c>
      <c r="G14466" s="22" t="s">
        <v>149</v>
      </c>
      <c r="H14466" s="22" t="s">
        <v>496</v>
      </c>
      <c r="I14466" s="26">
        <v>43647.479861111096</v>
      </c>
      <c r="J14466" s="28" t="s">
        <v>51</v>
      </c>
      <c r="K14466" s="28" t="s">
        <v>51</v>
      </c>
      <c r="L14466" s="28" t="s">
        <v>51</v>
      </c>
      <c r="M14466" s="28" t="s">
        <v>51</v>
      </c>
      <c r="N14466" s="28" t="s">
        <v>51</v>
      </c>
    </row>
    <row r="14467" spans="1:14" x14ac:dyDescent="0.15">
      <c r="A14467" s="23" t="str">
        <f>HYPERLINK("https://www.spark-marketing.ru/Card/Person/101884", "КГБУСО ""КРАЕВОЙ РЕАБИЛИТАЦИОННЫЙ ЦЕНТР ДЛЯ ДЕТЕЙ И ПОДРОСТКОВ С ОГРАНИЧЕННЫМИ ВОЗМОЖНОСТЯМИ ""РАДУГА""")</f>
        <v>КГБУСО "КРАЕВОЙ РЕАБИЛИТАЦИОННЫЙ ЦЕНТР ДЛЯ ДЕТЕЙ И ПОДРОСТКОВ С ОГРАНИЧЕННЫМИ ВОЗМОЖНОСТЯМИ "РАДУГА"</v>
      </c>
      <c r="B14467" s="24" t="s">
        <v>19230</v>
      </c>
      <c r="C14467" s="25">
        <v>7521</v>
      </c>
      <c r="D14467" s="22" t="s">
        <v>19231</v>
      </c>
      <c r="E14467" s="22" t="s">
        <v>595</v>
      </c>
      <c r="F14467" s="23" t="str">
        <f>HYPERLINK("https://www.spark-marketing.ru/Card/Lot/71819691", "Товары,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</v>
      </c>
      <c r="G14467" s="22" t="s">
        <v>63</v>
      </c>
      <c r="H14467" s="22" t="s">
        <v>18667</v>
      </c>
      <c r="I14467" s="26">
        <v>43647.494444444397</v>
      </c>
      <c r="J14467" s="28" t="s">
        <v>51</v>
      </c>
      <c r="K14467" s="28" t="s">
        <v>51</v>
      </c>
      <c r="L14467" s="28" t="s">
        <v>51</v>
      </c>
      <c r="M14467" s="28" t="s">
        <v>51</v>
      </c>
      <c r="N14467" s="28" t="s">
        <v>51</v>
      </c>
    </row>
    <row r="14468" spans="1:14" x14ac:dyDescent="0.15">
      <c r="A14468" s="23" t="str">
        <f>HYPERLINK("https://www.spark-marketing.ru/Card/Person/120502", "КГБПОУ ""БАРНАУЛЬСКИЙ ГОСУДАРСТВЕННЫЙ ПЕДАГОГИЧЕСКИЙ КОЛЛЕДЖ""")</f>
        <v>КГБПОУ "БАРНАУЛЬСКИЙ ГОСУДАРСТВЕННЫЙ ПЕДАГОГИЧЕСКИЙ КОЛЛЕДЖ"</v>
      </c>
      <c r="B14468" s="24" t="s">
        <v>19232</v>
      </c>
      <c r="C14468" s="25">
        <v>139200</v>
      </c>
      <c r="D14468" s="22" t="s">
        <v>19233</v>
      </c>
      <c r="E14468" s="22" t="s">
        <v>48</v>
      </c>
      <c r="F14468" s="23" t="str">
        <f>HYPERLINK("https://www.spark-marketing.ru/Card/Lot/71819806",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4468" s="22" t="s">
        <v>217</v>
      </c>
      <c r="H14468" s="22" t="s">
        <v>937</v>
      </c>
      <c r="I14468" s="26">
        <v>43647.489583333299</v>
      </c>
      <c r="J14468" s="28" t="s">
        <v>51</v>
      </c>
      <c r="K14468" s="28" t="s">
        <v>51</v>
      </c>
      <c r="L14468" s="28" t="s">
        <v>51</v>
      </c>
      <c r="M14468" s="28" t="s">
        <v>51</v>
      </c>
      <c r="N14468" s="28" t="s">
        <v>51</v>
      </c>
    </row>
    <row r="14469" spans="1:14" x14ac:dyDescent="0.15">
      <c r="A14469" s="23" t="str">
        <f>HYPERLINK("https://www.spark-marketing.ru/Card/Person/4929567", "ОМВД РОССИИ ПО ЖЕЛЕЗНОДОРОЖНОМУ РАЙОНУ Г РЯЗАНИ")</f>
        <v>ОМВД РОССИИ ПО ЖЕЛЕЗНОДОРОЖНОМУ РАЙОНУ Г РЯЗАНИ</v>
      </c>
      <c r="B14469" s="24" t="s">
        <v>19234</v>
      </c>
      <c r="C14469" s="25">
        <v>15000</v>
      </c>
      <c r="D14469" s="22" t="s">
        <v>19235</v>
      </c>
      <c r="E14469" s="22" t="s">
        <v>96</v>
      </c>
      <c r="F14469" s="23" t="str">
        <f>HYPERLINK("https://www.spark-marketing.ru/Card/Lot/71816873",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4469" s="22" t="s">
        <v>1522</v>
      </c>
      <c r="H14469" s="22" t="s">
        <v>1523</v>
      </c>
      <c r="I14469" s="26">
        <v>43647.432893518497</v>
      </c>
      <c r="J14469" s="28" t="s">
        <v>51</v>
      </c>
      <c r="K14469" s="28" t="s">
        <v>51</v>
      </c>
      <c r="L14469" s="28" t="s">
        <v>51</v>
      </c>
      <c r="M14469" s="28" t="s">
        <v>51</v>
      </c>
      <c r="N14469" s="28" t="s">
        <v>51</v>
      </c>
    </row>
    <row r="14470" spans="1:14" x14ac:dyDescent="0.15">
      <c r="A14470" s="23" t="str">
        <f>HYPERLINK("https://www.spark-marketing.ru/Card/Person/1398938", "МАОУ ДО ЦТТ")</f>
        <v>МАОУ ДО ЦТТ</v>
      </c>
      <c r="B14470" s="24" t="s">
        <v>19236</v>
      </c>
      <c r="C14470" s="25">
        <v>420750</v>
      </c>
      <c r="D14470" s="22" t="s">
        <v>19237</v>
      </c>
      <c r="E14470" s="22" t="s">
        <v>362</v>
      </c>
      <c r="F14470" s="23" t="str">
        <f>HYPERLINK("https://www.spark-marketing.ru/Card/Lot/71816413", "Оказание услуг по организации сбалансированного питания детей и подростков в профильном оздоровительном лагере с дневным пребыванием детей и подростков")</f>
        <v>Оказание услуг по организации сбалансированного питания детей и подростков в профильном оздоровительном лагере с дневным пребыванием детей и подростков</v>
      </c>
      <c r="G14470" s="22" t="s">
        <v>1056</v>
      </c>
      <c r="H14470" s="22" t="s">
        <v>1056</v>
      </c>
      <c r="I14470" s="26">
        <v>43647.441782407397</v>
      </c>
      <c r="J14470" s="28" t="s">
        <v>51</v>
      </c>
      <c r="K14470" s="28" t="s">
        <v>51</v>
      </c>
      <c r="L14470" s="28" t="s">
        <v>51</v>
      </c>
      <c r="M14470" s="28" t="s">
        <v>51</v>
      </c>
      <c r="N14470" s="28" t="s">
        <v>51</v>
      </c>
    </row>
    <row r="14471" spans="1:14" x14ac:dyDescent="0.15">
      <c r="A14471" s="23" t="str">
        <f>HYPERLINK("https://www.spark-marketing.ru/Card/Person/4929567", "ОМВД РОССИИ ПО ЖЕЛЕЗНОДОРОЖНОМУ РАЙОНУ Г РЯЗАНИ")</f>
        <v>ОМВД РОССИИ ПО ЖЕЛЕЗНОДОРОЖНОМУ РАЙОНУ Г РЯЗАНИ</v>
      </c>
      <c r="B14471" s="24" t="s">
        <v>19234</v>
      </c>
      <c r="C14471" s="25">
        <v>15000</v>
      </c>
      <c r="D14471" s="22" t="s">
        <v>19238</v>
      </c>
      <c r="E14471" s="22" t="s">
        <v>96</v>
      </c>
      <c r="F14471" s="23" t="str">
        <f>HYPERLINK("https://www.spark-marketing.ru/Card/Lot/71816879",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4471" s="22" t="s">
        <v>1522</v>
      </c>
      <c r="H14471" s="22" t="s">
        <v>1523</v>
      </c>
      <c r="I14471" s="26">
        <v>43647.435393518499</v>
      </c>
      <c r="J14471" s="28" t="s">
        <v>51</v>
      </c>
      <c r="K14471" s="28" t="s">
        <v>51</v>
      </c>
      <c r="L14471" s="28" t="s">
        <v>51</v>
      </c>
      <c r="M14471" s="28" t="s">
        <v>51</v>
      </c>
      <c r="N14471" s="28" t="s">
        <v>51</v>
      </c>
    </row>
    <row r="14472" spans="1:14" x14ac:dyDescent="0.15">
      <c r="A14472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4472" s="24" t="s">
        <v>3255</v>
      </c>
      <c r="C14472" s="25">
        <v>10169.280000000001</v>
      </c>
      <c r="D14472" s="22" t="s">
        <v>19239</v>
      </c>
      <c r="E14472" s="22" t="s">
        <v>9540</v>
      </c>
      <c r="F14472" s="23" t="str">
        <f>HYPERLINK("https://www.spark-marketing.ru/Card/Lot/71816606", "Поставка лекарственного препарата для медицинского применения ""Инсулин-изофан [человеческий генно-инженерный]"" для оказания отдельным категориям граждан социальной услуги по обеспечению лекарственными препаратами для медицинского применения по реце...")</f>
        <v>Поставка лекарственного препарата для медицинского применения "Инсулин-изофан [человеческий генно-инженерный]" для оказания отдельным категориям граждан социальной услуги по обеспечению лекарственными препаратами для медицинского применения по реце...</v>
      </c>
      <c r="G14472" s="22" t="s">
        <v>210</v>
      </c>
      <c r="H14472" s="22" t="s">
        <v>3257</v>
      </c>
      <c r="I14472" s="26">
        <v>43647.426388888904</v>
      </c>
      <c r="J14472" s="28" t="s">
        <v>51</v>
      </c>
      <c r="K14472" s="28" t="s">
        <v>51</v>
      </c>
      <c r="L14472" s="28" t="s">
        <v>51</v>
      </c>
      <c r="M14472" s="28" t="s">
        <v>51</v>
      </c>
      <c r="N14472" s="28" t="s">
        <v>51</v>
      </c>
    </row>
    <row r="14473" spans="1:14" x14ac:dyDescent="0.2">
      <c r="A14473" s="23" t="str">
        <f>HYPERLINK("https://www.spark-marketing.ru/Card/Person/436416", "МАОУ ""ГИМНАЗИЯ №1 Г. РУЗЫ""")</f>
        <v>МАОУ "ГИМНАЗИЯ №1 Г. РУЗЫ"</v>
      </c>
      <c r="B14473" s="24" t="s">
        <v>17804</v>
      </c>
      <c r="C14473" s="25">
        <v>418320</v>
      </c>
      <c r="D14473" s="22" t="s">
        <v>19240</v>
      </c>
      <c r="E14473" s="22" t="s">
        <v>2217</v>
      </c>
      <c r="F14473" s="23" t="str">
        <f>HYPERLINK("https://www.spark-marketing.ru/Card/Lot/71818739", "Оказание услуги по организации питания в летнем оздоровительном лагере с дневным пребыванием детей на базе МАОУ «Гимназия № 1 г. Рузы» в период летних каникул 2019 г")</f>
        <v>Оказание услуги по организации питания в летнем оздоровительном лагере с дневным пребыванием детей на базе МАОУ «Гимназия № 1 г. Рузы» в период летних каникул 2019 г</v>
      </c>
      <c r="G14473" s="22" t="s">
        <v>49</v>
      </c>
      <c r="H14473" s="22" t="s">
        <v>49</v>
      </c>
      <c r="I14473" s="26">
        <v>43647.418564814798</v>
      </c>
      <c r="J14473" s="28" t="s">
        <v>51</v>
      </c>
      <c r="K14473" s="28" t="s">
        <v>51</v>
      </c>
      <c r="L14473" s="22" t="s">
        <v>10</v>
      </c>
      <c r="M14473" s="25">
        <v>418320</v>
      </c>
      <c r="N14473" s="27">
        <v>0</v>
      </c>
    </row>
    <row r="14474" spans="1:14" x14ac:dyDescent="0.15">
      <c r="A1447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4474" s="24" t="s">
        <v>3255</v>
      </c>
      <c r="C14474" s="25">
        <v>116400</v>
      </c>
      <c r="D14474" s="22" t="s">
        <v>19241</v>
      </c>
      <c r="E14474" s="22" t="s">
        <v>9540</v>
      </c>
      <c r="F14474" s="23" t="str">
        <f>HYPERLINK("https://www.spark-marketing.ru/Card/Lot/71815572", "Поставка лекарственного препарата для медицинского применения ""Клопидогрел""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"Клопидогрел"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4474" s="22" t="s">
        <v>210</v>
      </c>
      <c r="H14474" s="22" t="s">
        <v>3257</v>
      </c>
      <c r="I14474" s="26">
        <v>43647.390277777798</v>
      </c>
      <c r="J14474" s="28" t="s">
        <v>51</v>
      </c>
      <c r="K14474" s="28" t="s">
        <v>51</v>
      </c>
      <c r="L14474" s="28" t="s">
        <v>51</v>
      </c>
      <c r="M14474" s="28" t="s">
        <v>51</v>
      </c>
      <c r="N14474" s="28" t="s">
        <v>51</v>
      </c>
    </row>
    <row r="14475" spans="1:14" x14ac:dyDescent="0.15">
      <c r="A14475" s="23" t="str">
        <f>HYPERLINK("https://www.spark-marketing.ru/Card/Person/253221", "ОТДЕЛЕНИЕ МВД РОССИИ ПО АРХАНГЕЛЬСКОМУ РАЙОНУ")</f>
        <v>ОТДЕЛЕНИЕ МВД РОССИИ ПО АРХАНГЕЛЬСКОМУ РАЙОНУ</v>
      </c>
      <c r="B14475" s="24" t="s">
        <v>11188</v>
      </c>
      <c r="C14475" s="25">
        <v>190000</v>
      </c>
      <c r="D14475" s="22" t="s">
        <v>19242</v>
      </c>
      <c r="E14475" s="22" t="s">
        <v>48</v>
      </c>
      <c r="F14475" s="23" t="str">
        <f>HYPERLINK("https://www.spark-marketing.ru/Card/Lot/71816173",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4475" s="22" t="s">
        <v>145</v>
      </c>
      <c r="H14475" s="22" t="s">
        <v>11190</v>
      </c>
      <c r="I14475" s="26">
        <v>43647.409479166701</v>
      </c>
      <c r="J14475" s="28" t="s">
        <v>51</v>
      </c>
      <c r="K14475" s="28" t="s">
        <v>51</v>
      </c>
      <c r="L14475" s="28" t="s">
        <v>51</v>
      </c>
      <c r="M14475" s="28" t="s">
        <v>51</v>
      </c>
      <c r="N14475" s="28" t="s">
        <v>51</v>
      </c>
    </row>
    <row r="14476" spans="1:14" x14ac:dyDescent="0.15">
      <c r="A14476" s="23" t="str">
        <f>HYPERLINK("https://www.spark-marketing.ru/Card/Person/253221", "ОТДЕЛЕНИЕ МВД РОССИИ ПО АРХАНГЕЛЬСКОМУ РАЙОНУ")</f>
        <v>ОТДЕЛЕНИЕ МВД РОССИИ ПО АРХАНГЕЛЬСКОМУ РАЙОНУ</v>
      </c>
      <c r="B14476" s="24" t="s">
        <v>11188</v>
      </c>
      <c r="C14476" s="25">
        <v>200000</v>
      </c>
      <c r="D14476" s="22" t="s">
        <v>19243</v>
      </c>
      <c r="E14476" s="22" t="s">
        <v>48</v>
      </c>
      <c r="F14476" s="23" t="str">
        <f>HYPERLINK("https://www.spark-marketing.ru/Card/Lot/71816153",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4476" s="22" t="s">
        <v>145</v>
      </c>
      <c r="H14476" s="22" t="s">
        <v>11190</v>
      </c>
      <c r="I14476" s="26">
        <v>43647.407361111102</v>
      </c>
      <c r="J14476" s="28" t="s">
        <v>51</v>
      </c>
      <c r="K14476" s="28" t="s">
        <v>51</v>
      </c>
      <c r="L14476" s="28" t="s">
        <v>51</v>
      </c>
      <c r="M14476" s="28" t="s">
        <v>51</v>
      </c>
      <c r="N14476" s="28" t="s">
        <v>51</v>
      </c>
    </row>
    <row r="14477" spans="1:14" x14ac:dyDescent="0.15">
      <c r="A14477" s="23" t="str">
        <f>HYPERLINK("https://www.spark-marketing.ru/Card/Person/4343663", "МИНЗДРАВ АЛТАЙСКОГО КРАЯ")</f>
        <v>МИНЗДРАВ АЛТАЙСКОГО КРАЯ</v>
      </c>
      <c r="B14477" s="24" t="s">
        <v>9429</v>
      </c>
      <c r="C14477" s="25">
        <v>99729.35</v>
      </c>
      <c r="D14477" s="22" t="s">
        <v>19244</v>
      </c>
      <c r="E14477" s="22" t="s">
        <v>336</v>
      </c>
      <c r="F14477" s="23" t="str">
        <f>HYPERLINK("https://www.spark-marketing.ru/Card/Lot/71815397",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4477" s="22" t="s">
        <v>63</v>
      </c>
      <c r="H14477" s="22" t="s">
        <v>177</v>
      </c>
      <c r="I14477" s="26">
        <v>43647.356249999997</v>
      </c>
      <c r="J14477" s="28" t="s">
        <v>51</v>
      </c>
      <c r="K14477" s="28" t="s">
        <v>51</v>
      </c>
      <c r="L14477" s="28" t="s">
        <v>51</v>
      </c>
      <c r="M14477" s="28" t="s">
        <v>51</v>
      </c>
      <c r="N14477" s="28" t="s">
        <v>51</v>
      </c>
    </row>
    <row r="14478" spans="1:14" x14ac:dyDescent="0.15">
      <c r="A14478" s="23" t="str">
        <f>HYPERLINK("https://www.spark-marketing.ru/Card/Person/1071647", "ОМВД РОССИИ ПО Г. ПЫТЬ-ЯХ")</f>
        <v>ОМВД РОССИИ ПО Г. ПЫТЬ-ЯХ</v>
      </c>
      <c r="B14478" s="24" t="s">
        <v>16116</v>
      </c>
      <c r="C14478" s="25">
        <v>1057080</v>
      </c>
      <c r="D14478" s="22" t="s">
        <v>19245</v>
      </c>
      <c r="E14478" s="22" t="s">
        <v>48</v>
      </c>
      <c r="F14478" s="23" t="str">
        <f>HYPERLINK("https://www.spark-marketing.ru/Card/Lot/71825569", "Оказание услуг по организации питания лиц, содержащихся в изоляторе временного содержания и помещениях для административно задержанных")</f>
        <v>Оказание услуг по организации питания лиц, содержащихся в изоляторе временного содержания и помещениях для административно задержанных</v>
      </c>
      <c r="G14478" s="22" t="s">
        <v>97</v>
      </c>
      <c r="H14478" s="22" t="s">
        <v>12638</v>
      </c>
      <c r="I14478" s="26">
        <v>43647.363194444399</v>
      </c>
      <c r="J14478" s="23" t="str">
        <f>HYPERLINK("https://www.spark-marketing.ru/Card/Person/238973", "МУП ""ПЫТЬ-ЯХТОРГСЕРВИС"" МО Г.ПЫТЬ-ЯХ")</f>
        <v>МУП "ПЫТЬ-ЯХТОРГСЕРВИС" МО Г.ПЫТЬ-ЯХ</v>
      </c>
      <c r="K14478" s="24" t="s">
        <v>12639</v>
      </c>
      <c r="L14478" s="22" t="s">
        <v>10</v>
      </c>
      <c r="M14478" s="28" t="s">
        <v>51</v>
      </c>
      <c r="N14478" s="28" t="s">
        <v>51</v>
      </c>
    </row>
    <row r="14479" spans="1:14" x14ac:dyDescent="0.15">
      <c r="A14479" s="23" t="str">
        <f>HYPERLINK("https://www.spark-marketing.ru/Card/Person/4860", "КГБУЗ ""ГОРБОЛЬНИЦА № 12, Г. БАРНАУЛ""")</f>
        <v>КГБУЗ "ГОРБОЛЬНИЦА № 12, Г. БАРНАУЛ"</v>
      </c>
      <c r="B14479" s="24" t="s">
        <v>19246</v>
      </c>
      <c r="C14479" s="25">
        <v>25140</v>
      </c>
      <c r="D14479" s="22" t="s">
        <v>19247</v>
      </c>
      <c r="E14479" s="22" t="s">
        <v>10080</v>
      </c>
      <c r="F14479" s="23" t="str">
        <f>HYPERLINK("https://www.spark-marketing.ru/Card/Lot/71814815", "Поставка товаров, работ, услуг, не превышающую 100 тыс. рублей")</f>
        <v>Поставка товаров, работ, услуг, не превышающую 100 тыс. рублей</v>
      </c>
      <c r="G14479" s="22" t="s">
        <v>63</v>
      </c>
      <c r="H14479" s="22" t="s">
        <v>177</v>
      </c>
      <c r="I14479" s="26">
        <v>43647.320833333302</v>
      </c>
      <c r="J14479" s="28" t="s">
        <v>51</v>
      </c>
      <c r="K14479" s="28" t="s">
        <v>51</v>
      </c>
      <c r="L14479" s="28" t="s">
        <v>51</v>
      </c>
      <c r="M14479" s="28" t="s">
        <v>51</v>
      </c>
      <c r="N14479" s="28" t="s">
        <v>51</v>
      </c>
    </row>
    <row r="14480" spans="1:14" x14ac:dyDescent="0.15">
      <c r="A14480" s="23" t="str">
        <f>HYPERLINK("https://www.spark-marketing.ru/Card/Person/4348491", "ООО ""БЗФ""")</f>
        <v>ООО "БЗФ"</v>
      </c>
      <c r="B14480" s="24" t="s">
        <v>19248</v>
      </c>
      <c r="C14480" s="28" t="s">
        <v>51</v>
      </c>
      <c r="D14480" s="22" t="s">
        <v>19249</v>
      </c>
      <c r="E14480" s="22" t="s">
        <v>86</v>
      </c>
      <c r="F14480" s="23" t="str">
        <f>HYPERLINK("https://www.spark-marketing.ru/Card/Lot/71813905", "Услуги по санаторно-курортному лечению предоставляются физическим лицам, которые являются представителями Заказчика, прибывшими на санаторно-курортное лечение по путевкам и включают в себя медицинскую помощь (включая медицинские услуги), организацию ...")</f>
        <v>Услуги по санаторно-курортному лечению предоставляются физическим лицам, которые являются представителями Заказчика, прибывшими на санаторно-курортное лечение по путевкам и включают в себя медицинскую помощь (включая медицинские услуги), организацию ...</v>
      </c>
      <c r="G14480" s="22" t="s">
        <v>263</v>
      </c>
      <c r="H14480" s="22" t="s">
        <v>13672</v>
      </c>
      <c r="I14480" s="26">
        <v>43647.274305555598</v>
      </c>
      <c r="J14480" s="28" t="s">
        <v>51</v>
      </c>
      <c r="K14480" s="28" t="s">
        <v>51</v>
      </c>
      <c r="L14480" s="28" t="s">
        <v>51</v>
      </c>
      <c r="M14480" s="28" t="s">
        <v>51</v>
      </c>
      <c r="N14480" s="28" t="s">
        <v>51</v>
      </c>
    </row>
    <row r="14481" spans="1:14" x14ac:dyDescent="0.15">
      <c r="A14481" s="23" t="str">
        <f>HYPERLINK("https://www.spark-marketing.ru/Card/Person/887281", "КГБУ ""ВОЛЧИХИНСКИЙ ЦЕНТР ПОМОЩИ ДЕТЯМ, ОСТАВШИМСЯ БЕЗ ПОПЕЧЕНИЯ РОДИТЕЛЕЙ""")</f>
        <v>КГБУ "ВОЛЧИХИНСКИЙ ЦЕНТР ПОМОЩИ ДЕТЯМ, ОСТАВШИМСЯ БЕЗ ПОПЕЧЕНИЯ РОДИТЕЛЕЙ"</v>
      </c>
      <c r="B14481" s="24" t="s">
        <v>19134</v>
      </c>
      <c r="C14481" s="25">
        <v>82980</v>
      </c>
      <c r="D14481" s="22" t="s">
        <v>19250</v>
      </c>
      <c r="E14481" s="22" t="s">
        <v>464</v>
      </c>
      <c r="F14481" s="23" t="str">
        <f>HYPERLINK("https://www.spark-marketing.ru/Card/Lot/71813581", "(000)Товары, работы или услуги на сумму, не превышающую 100 тыс. руб. (п.4 ч.1 ст.93 Федерального закона №44-ФЗ)")</f>
        <v>(000)Товары, работы или услуги на сумму, не превышающую 100 тыс. руб. (п.4 ч.1 ст.93 Федерального закона №44-ФЗ)</v>
      </c>
      <c r="G14481" s="22" t="s">
        <v>63</v>
      </c>
      <c r="H14481" s="22" t="s">
        <v>18692</v>
      </c>
      <c r="I14481" s="26">
        <v>43647.204861111102</v>
      </c>
      <c r="J14481" s="28" t="s">
        <v>51</v>
      </c>
      <c r="K14481" s="28" t="s">
        <v>51</v>
      </c>
      <c r="L14481" s="28" t="s">
        <v>51</v>
      </c>
      <c r="M14481" s="28" t="s">
        <v>51</v>
      </c>
      <c r="N14481" s="28" t="s">
        <v>51</v>
      </c>
    </row>
    <row r="14482" spans="1:14" x14ac:dyDescent="0.15">
      <c r="A14482" s="23" t="str">
        <f>HYPERLINK("https://www.spark-marketing.ru/Card/Person/4348376", "АО ""ЖТК""")</f>
        <v>АО "ЖТК"</v>
      </c>
      <c r="B14482" s="24" t="s">
        <v>2312</v>
      </c>
      <c r="C14482" s="25">
        <v>549956</v>
      </c>
      <c r="D14482" s="22" t="s">
        <v>19251</v>
      </c>
      <c r="E14482" s="22" t="s">
        <v>2370</v>
      </c>
      <c r="F14482" s="23" t="str">
        <f>HYPERLINK("https://www.spark-marketing.ru/Card/Lot/71809057", "Поставка хлеба, хлебобулочных изделий для предприятия общественного питания, оказывающего услуги питания работникам ОАО ""РЖД"" в ""окна"" ст. Дрогошевск")</f>
        <v>Поставка хлеба, хлебобулочных изделий для предприятия общественного питания, оказывающего услуги питания работникам ОАО "РЖД" в "окна" ст. Дрогошевск</v>
      </c>
      <c r="G14482" s="22" t="s">
        <v>210</v>
      </c>
      <c r="H14482" s="22" t="s">
        <v>210</v>
      </c>
      <c r="I14482" s="26">
        <v>43646.796319444402</v>
      </c>
      <c r="J14482" s="28" t="s">
        <v>51</v>
      </c>
      <c r="K14482" s="28" t="s">
        <v>51</v>
      </c>
      <c r="L14482" s="28" t="s">
        <v>51</v>
      </c>
      <c r="M14482" s="28" t="s">
        <v>51</v>
      </c>
      <c r="N14482" s="28" t="s">
        <v>51</v>
      </c>
    </row>
    <row r="14483" spans="1:14" x14ac:dyDescent="0.15">
      <c r="A14483" s="23" t="str">
        <f>HYPERLINK("https://www.spark-marketing.ru/Card/Person/4348376", "АО ""ЖТК""")</f>
        <v>АО "ЖТК"</v>
      </c>
      <c r="B14483" s="24" t="s">
        <v>2312</v>
      </c>
      <c r="C14483" s="25">
        <v>549950.5</v>
      </c>
      <c r="D14483" s="22" t="s">
        <v>19252</v>
      </c>
      <c r="E14483" s="22" t="s">
        <v>2370</v>
      </c>
      <c r="F14483" s="23" t="str">
        <f>HYPERLINK("https://www.spark-marketing.ru/Card/Lot/71809055", "Поставка хлеба, хлебобулочных изделий для предприятия общественного питания, оказывающего услуги питания работникам ОАО ""РЖД"" в ""окна"" с. Олекма")</f>
        <v>Поставка хлеба, хлебобулочных изделий для предприятия общественного питания, оказывающего услуги питания работникам ОАО "РЖД" в "окна" с. Олекма</v>
      </c>
      <c r="G14483" s="22" t="s">
        <v>210</v>
      </c>
      <c r="H14483" s="22" t="s">
        <v>210</v>
      </c>
      <c r="I14483" s="26">
        <v>43646.793483796297</v>
      </c>
      <c r="J14483" s="28" t="s">
        <v>51</v>
      </c>
      <c r="K14483" s="28" t="s">
        <v>51</v>
      </c>
      <c r="L14483" s="28" t="s">
        <v>51</v>
      </c>
      <c r="M14483" s="28" t="s">
        <v>51</v>
      </c>
      <c r="N14483" s="28" t="s">
        <v>51</v>
      </c>
    </row>
    <row r="14484" spans="1:14" x14ac:dyDescent="0.15">
      <c r="A14484" s="23" t="str">
        <f>HYPERLINK("https://www.spark-marketing.ru/Card/Person/1053704", "МАОУ СОШ № 3 ИМ. ПУШКИНА")</f>
        <v>МАОУ СОШ № 3 ИМ. ПУШКИНА</v>
      </c>
      <c r="B14484" s="24" t="s">
        <v>6806</v>
      </c>
      <c r="C14484" s="25">
        <v>4948042.5</v>
      </c>
      <c r="D14484" s="22" t="s">
        <v>19253</v>
      </c>
      <c r="E14484" s="22" t="s">
        <v>362</v>
      </c>
      <c r="F14484" s="23" t="str">
        <f>HYPERLINK("https://www.spark-marketing.ru/Card/Lot/71807172", "Оказание услуги по организации питания обучающихся МАОУ СОШ № 3 им. Пушкина в 1 полугодии 2019-2020 учебного года")</f>
        <v>Оказание услуги по организации питания обучающихся МАОУ СОШ № 3 им. Пушкина в 1 полугодии 2019-2020 учебного года</v>
      </c>
      <c r="G14484" s="22" t="s">
        <v>104</v>
      </c>
      <c r="H14484" s="22" t="s">
        <v>104</v>
      </c>
      <c r="I14484" s="26">
        <v>43646.705474536997</v>
      </c>
      <c r="J14484" s="28" t="s">
        <v>51</v>
      </c>
      <c r="K14484" s="28" t="s">
        <v>51</v>
      </c>
      <c r="L14484" s="28" t="s">
        <v>51</v>
      </c>
      <c r="M14484" s="28" t="s">
        <v>51</v>
      </c>
      <c r="N14484" s="28" t="s">
        <v>51</v>
      </c>
    </row>
    <row r="14485" spans="1:14" x14ac:dyDescent="0.2">
      <c r="A14485" s="23" t="str">
        <f>HYPERLINK("https://www.spark-marketing.ru/Card/Person/4348376", "АО ""ЖТК""")</f>
        <v>АО "ЖТК"</v>
      </c>
      <c r="B14485" s="24" t="s">
        <v>2312</v>
      </c>
      <c r="C14485" s="25">
        <v>358350</v>
      </c>
      <c r="D14485" s="22" t="s">
        <v>19254</v>
      </c>
      <c r="E14485" s="22" t="s">
        <v>2314</v>
      </c>
      <c r="F14485" s="23" t="str">
        <f>HYPERLINK("https://www.spark-marketing.ru/Card/Lot/71808993", "Поставка рыбы копченой и соленой для предприятий общественного питания, оказывающих услуги питания работникам ОАО ""РЖД""")</f>
        <v>Поставка рыбы копченой и соленой для предприятий общественного питания, оказывающих услуги питания работникам ОАО "РЖД"</v>
      </c>
      <c r="G14485" s="22" t="s">
        <v>228</v>
      </c>
      <c r="H14485" s="22" t="s">
        <v>228</v>
      </c>
      <c r="I14485" s="26">
        <v>43646.343692129602</v>
      </c>
      <c r="J14485" s="28" t="s">
        <v>51</v>
      </c>
      <c r="K14485" s="28" t="s">
        <v>51</v>
      </c>
      <c r="L14485" s="22" t="s">
        <v>10</v>
      </c>
      <c r="M14485" s="25">
        <v>358350</v>
      </c>
      <c r="N14485" s="27">
        <v>0</v>
      </c>
    </row>
    <row r="14486" spans="1:14" x14ac:dyDescent="0.2">
      <c r="A14486" s="23" t="str">
        <f>HYPERLINK("https://www.spark-marketing.ru/Card/Person/4348376", "АО ""ЖТК""")</f>
        <v>АО "ЖТК"</v>
      </c>
      <c r="B14486" s="24" t="s">
        <v>2312</v>
      </c>
      <c r="C14486" s="25">
        <v>234000</v>
      </c>
      <c r="D14486" s="22" t="s">
        <v>19255</v>
      </c>
      <c r="E14486" s="22" t="s">
        <v>1234</v>
      </c>
      <c r="F14486" s="23" t="str">
        <f>HYPERLINK("https://www.spark-marketing.ru/Card/Lot/71808994", "Поставка яиц куриных для предприятий общественного питания, оказывающих услуги питания работникам РЖД")</f>
        <v>Поставка яиц куриных для предприятий общественного питания, оказывающих услуги питания работникам РЖД</v>
      </c>
      <c r="G14486" s="22" t="s">
        <v>228</v>
      </c>
      <c r="H14486" s="22" t="s">
        <v>228</v>
      </c>
      <c r="I14486" s="26">
        <v>43646.350543981498</v>
      </c>
      <c r="J14486" s="28" t="s">
        <v>51</v>
      </c>
      <c r="K14486" s="28" t="s">
        <v>51</v>
      </c>
      <c r="L14486" s="22" t="s">
        <v>10</v>
      </c>
      <c r="M14486" s="25">
        <v>234000</v>
      </c>
      <c r="N14486" s="27">
        <v>0</v>
      </c>
    </row>
    <row r="14487" spans="1:14" x14ac:dyDescent="0.15">
      <c r="A14487" s="23" t="str">
        <f>HYPERLINK("https://www.spark-marketing.ru/Card/Person/1659541", "ЦПКИО ИМ.М.ГОРЬКОГО")</f>
        <v>ЦПКИО ИМ.М.ГОРЬКОГО</v>
      </c>
      <c r="B14487" s="24" t="s">
        <v>19256</v>
      </c>
      <c r="C14487" s="25">
        <v>199931</v>
      </c>
      <c r="D14487" s="22" t="s">
        <v>19257</v>
      </c>
      <c r="E14487" s="22" t="s">
        <v>52</v>
      </c>
      <c r="F14487" s="23" t="str">
        <f>HYPERLINK("https://www.spark-marketing.ru/Card/Lot/71805571", "Право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57) Пушкинская набереж...")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57) Пушкинская набереж...</v>
      </c>
      <c r="G14487" s="22" t="s">
        <v>56</v>
      </c>
      <c r="H14487" s="22" t="s">
        <v>56</v>
      </c>
      <c r="I14487" s="26">
        <v>43645</v>
      </c>
      <c r="J14487" s="28" t="s">
        <v>51</v>
      </c>
      <c r="K14487" s="28" t="s">
        <v>51</v>
      </c>
      <c r="L14487" s="28" t="s">
        <v>51</v>
      </c>
      <c r="M14487" s="28" t="s">
        <v>51</v>
      </c>
      <c r="N14487" s="28" t="s">
        <v>51</v>
      </c>
    </row>
    <row r="14488" spans="1:14" x14ac:dyDescent="0.15">
      <c r="A14488" s="23" t="str">
        <f>HYPERLINK("https://www.spark-marketing.ru/Card/Person/1659541", "ЦПКИО ИМ.М.ГОРЬКОГО")</f>
        <v>ЦПКИО ИМ.М.ГОРЬКОГО</v>
      </c>
      <c r="B14488" s="24" t="s">
        <v>19256</v>
      </c>
      <c r="C14488" s="25">
        <v>199931</v>
      </c>
      <c r="D14488" s="22" t="s">
        <v>19258</v>
      </c>
      <c r="E14488" s="22" t="s">
        <v>52</v>
      </c>
      <c r="F14488" s="23" t="str">
        <f>HYPERLINK("https://www.spark-marketing.ru/Card/Lot/71805572", "Право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221) Возле Пионерского...")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221) Возле Пионерского...</v>
      </c>
      <c r="G14488" s="22" t="s">
        <v>56</v>
      </c>
      <c r="H14488" s="22" t="s">
        <v>56</v>
      </c>
      <c r="I14488" s="26">
        <v>43645</v>
      </c>
      <c r="J14488" s="28" t="s">
        <v>51</v>
      </c>
      <c r="K14488" s="28" t="s">
        <v>51</v>
      </c>
      <c r="L14488" s="28" t="s">
        <v>51</v>
      </c>
      <c r="M14488" s="28" t="s">
        <v>51</v>
      </c>
      <c r="N14488" s="28" t="s">
        <v>51</v>
      </c>
    </row>
    <row r="14489" spans="1:14" x14ac:dyDescent="0.15">
      <c r="A14489" s="23" t="str">
        <f>HYPERLINK("https://www.spark-marketing.ru/Card/Person/1659541", "ЦПКИО ИМ.М.ГОРЬКОГО")</f>
        <v>ЦПКИО ИМ.М.ГОРЬКОГО</v>
      </c>
      <c r="B14489" s="24" t="s">
        <v>19256</v>
      </c>
      <c r="C14489" s="25">
        <v>199931</v>
      </c>
      <c r="D14489" s="22" t="s">
        <v>19259</v>
      </c>
      <c r="E14489" s="22" t="s">
        <v>52</v>
      </c>
      <c r="F14489" s="23" t="str">
        <f>HYPERLINK("https://www.spark-marketing.ru/Card/Lot/71805566", "Право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20) Пушкинская набереж...")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20) Пушкинская набереж...</v>
      </c>
      <c r="G14489" s="22" t="s">
        <v>56</v>
      </c>
      <c r="H14489" s="22" t="s">
        <v>56</v>
      </c>
      <c r="I14489" s="26">
        <v>43645</v>
      </c>
      <c r="J14489" s="28" t="s">
        <v>51</v>
      </c>
      <c r="K14489" s="28" t="s">
        <v>51</v>
      </c>
      <c r="L14489" s="28" t="s">
        <v>51</v>
      </c>
      <c r="M14489" s="28" t="s">
        <v>51</v>
      </c>
      <c r="N14489" s="28" t="s">
        <v>51</v>
      </c>
    </row>
    <row r="14490" spans="1:14" x14ac:dyDescent="0.15">
      <c r="A14490" s="23" t="str">
        <f>HYPERLINK("https://www.spark-marketing.ru/Card/Person/1662274", "ГАУК Г. МОСКВЫ ПКИО ""ЛИАНОЗОВСКИЙ""")</f>
        <v>ГАУК Г. МОСКВЫ ПКИО "ЛИАНОЗОВСКИЙ"</v>
      </c>
      <c r="B14490" s="24" t="s">
        <v>5715</v>
      </c>
      <c r="C14490" s="25">
        <v>157500</v>
      </c>
      <c r="D14490" s="22" t="s">
        <v>19260</v>
      </c>
      <c r="E14490" s="22" t="s">
        <v>52</v>
      </c>
      <c r="F14490" s="23" t="str">
        <f>HYPERLINK("https://www.spark-marketing.ru/Card/Lot/71805562", "Право заключения договора на размещение нестационарного торгового объекта «Павильон» по адресу: г. Москва, ул. Угличская 13, основная территория ГАУК г. Москвы ПКиО «Лианозовский» (парк «Лианозовский»), с правой стороны от центрального входа (НТО 15)...")</f>
        <v>Право заключения договора на размещение нестационарного торгового объекта «Павильон» по адресу: г. Москва, ул. Угличская 13, основная территория ГАУК г. Москвы ПКиО «Лианозовский» (парк «Лианозовский»), с правой стороны от центрального входа (НТО 15)...</v>
      </c>
      <c r="G14490" s="22" t="s">
        <v>56</v>
      </c>
      <c r="H14490" s="22" t="s">
        <v>56</v>
      </c>
      <c r="I14490" s="26">
        <v>43645</v>
      </c>
      <c r="J14490" s="28" t="s">
        <v>51</v>
      </c>
      <c r="K14490" s="28" t="s">
        <v>51</v>
      </c>
      <c r="L14490" s="28" t="s">
        <v>51</v>
      </c>
      <c r="M14490" s="28" t="s">
        <v>51</v>
      </c>
      <c r="N14490" s="28" t="s">
        <v>51</v>
      </c>
    </row>
    <row r="14491" spans="1:14" x14ac:dyDescent="0.15">
      <c r="A14491" s="23" t="str">
        <f>HYPERLINK("https://www.spark-marketing.ru/Card/Person/1659541", "ЦПКИО ИМ.М.ГОРЬКОГО")</f>
        <v>ЦПКИО ИМ.М.ГОРЬКОГО</v>
      </c>
      <c r="B14491" s="24" t="s">
        <v>19256</v>
      </c>
      <c r="C14491" s="25">
        <v>199931</v>
      </c>
      <c r="D14491" s="22" t="s">
        <v>19261</v>
      </c>
      <c r="E14491" s="22" t="s">
        <v>52</v>
      </c>
      <c r="F14491" s="23" t="str">
        <f>HYPERLINK("https://www.spark-marketing.ru/Card/Lot/71805565", "Право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17) Пушкинская набереж...")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17) Пушкинская набереж...</v>
      </c>
      <c r="G14491" s="22" t="s">
        <v>56</v>
      </c>
      <c r="H14491" s="22" t="s">
        <v>56</v>
      </c>
      <c r="I14491" s="26">
        <v>43645</v>
      </c>
      <c r="J14491" s="28" t="s">
        <v>51</v>
      </c>
      <c r="K14491" s="28" t="s">
        <v>51</v>
      </c>
      <c r="L14491" s="28" t="s">
        <v>51</v>
      </c>
      <c r="M14491" s="28" t="s">
        <v>51</v>
      </c>
      <c r="N14491" s="28" t="s">
        <v>51</v>
      </c>
    </row>
    <row r="14492" spans="1:14" x14ac:dyDescent="0.15">
      <c r="A14492" s="23" t="str">
        <f>HYPERLINK("https://www.spark-marketing.ru/Card/Person/1659541", "ЦПКИО ИМ.М.ГОРЬКОГО")</f>
        <v>ЦПКИО ИМ.М.ГОРЬКОГО</v>
      </c>
      <c r="B14492" s="24" t="s">
        <v>19256</v>
      </c>
      <c r="C14492" s="25">
        <v>199931</v>
      </c>
      <c r="D14492" s="22" t="s">
        <v>19262</v>
      </c>
      <c r="E14492" s="22" t="s">
        <v>52</v>
      </c>
      <c r="F14492" s="23" t="str">
        <f>HYPERLINK("https://www.spark-marketing.ru/Card/Lot/71805567", "Право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21) между Фонтанной пл...")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21) между Фонтанной пл...</v>
      </c>
      <c r="G14492" s="22" t="s">
        <v>56</v>
      </c>
      <c r="H14492" s="22" t="s">
        <v>56</v>
      </c>
      <c r="I14492" s="26">
        <v>43645</v>
      </c>
      <c r="J14492" s="28" t="s">
        <v>51</v>
      </c>
      <c r="K14492" s="28" t="s">
        <v>51</v>
      </c>
      <c r="L14492" s="28" t="s">
        <v>51</v>
      </c>
      <c r="M14492" s="28" t="s">
        <v>51</v>
      </c>
      <c r="N14492" s="28" t="s">
        <v>51</v>
      </c>
    </row>
    <row r="14493" spans="1:14" x14ac:dyDescent="0.15">
      <c r="A14493" s="23" t="str">
        <f>HYPERLINK("https://www.spark-marketing.ru/Card/Person/1662274", "ГАУК Г. МОСКВЫ ПКИО ""ЛИАНОЗОВСКИЙ""")</f>
        <v>ГАУК Г. МОСКВЫ ПКИО "ЛИАНОЗОВСКИЙ"</v>
      </c>
      <c r="B14493" s="24" t="s">
        <v>5715</v>
      </c>
      <c r="C14493" s="25">
        <v>170100</v>
      </c>
      <c r="D14493" s="22" t="s">
        <v>19263</v>
      </c>
      <c r="E14493" s="22" t="s">
        <v>52</v>
      </c>
      <c r="F14493" s="23" t="str">
        <f>HYPERLINK("https://www.spark-marketing.ru/Card/Lot/71805563", "Право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Угличская 13, основная территория ГАУК г. Москвы ПКиО «Лианозовский» (парк «Лианозовский»), запад...")</f>
        <v>Право заключения договора на осуществление торговой деятельности (оказание услуг) в нестационарном торговом объекте «Павильон» по адресу: г. Москва, ул. Угличская 13, основная территория ГАУК г. Москвы ПКиО «Лианозовский» (парк «Лианозовский»), запад...</v>
      </c>
      <c r="G14493" s="22" t="s">
        <v>56</v>
      </c>
      <c r="H14493" s="22" t="s">
        <v>56</v>
      </c>
      <c r="I14493" s="26">
        <v>43645</v>
      </c>
      <c r="J14493" s="28" t="s">
        <v>51</v>
      </c>
      <c r="K14493" s="28" t="s">
        <v>51</v>
      </c>
      <c r="L14493" s="28" t="s">
        <v>51</v>
      </c>
      <c r="M14493" s="28" t="s">
        <v>51</v>
      </c>
      <c r="N14493" s="28" t="s">
        <v>51</v>
      </c>
    </row>
    <row r="14494" spans="1:14" x14ac:dyDescent="0.15">
      <c r="A14494" s="23" t="str">
        <f>HYPERLINK("https://www.spark-marketing.ru/Card/Person/1659541", "ЦПКИО ИМ.М.ГОРЬКОГО")</f>
        <v>ЦПКИО ИМ.М.ГОРЬКОГО</v>
      </c>
      <c r="B14494" s="24" t="s">
        <v>19256</v>
      </c>
      <c r="C14494" s="25">
        <v>199931</v>
      </c>
      <c r="D14494" s="22" t="s">
        <v>19264</v>
      </c>
      <c r="E14494" s="22" t="s">
        <v>52</v>
      </c>
      <c r="F14494" s="23" t="str">
        <f>HYPERLINK("https://www.spark-marketing.ru/Card/Lot/71805568", "Право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34) на Пушкинской набе...")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34) на Пушкинской набе...</v>
      </c>
      <c r="G14494" s="22" t="s">
        <v>56</v>
      </c>
      <c r="H14494" s="22" t="s">
        <v>56</v>
      </c>
      <c r="I14494" s="26">
        <v>43645</v>
      </c>
      <c r="J14494" s="28" t="s">
        <v>51</v>
      </c>
      <c r="K14494" s="28" t="s">
        <v>51</v>
      </c>
      <c r="L14494" s="28" t="s">
        <v>51</v>
      </c>
      <c r="M14494" s="28" t="s">
        <v>51</v>
      </c>
      <c r="N14494" s="28" t="s">
        <v>51</v>
      </c>
    </row>
    <row r="14495" spans="1:14" x14ac:dyDescent="0.15">
      <c r="A14495" s="23" t="str">
        <f>HYPERLINK("https://www.spark-marketing.ru/Card/Person/1659541", "ЦПКИО ИМ.М.ГОРЬКОГО")</f>
        <v>ЦПКИО ИМ.М.ГОРЬКОГО</v>
      </c>
      <c r="B14495" s="24" t="s">
        <v>19256</v>
      </c>
      <c r="C14495" s="25">
        <v>199931</v>
      </c>
      <c r="D14495" s="22" t="s">
        <v>19265</v>
      </c>
      <c r="E14495" s="22" t="s">
        <v>52</v>
      </c>
      <c r="F14495" s="23" t="str">
        <f>HYPERLINK("https://www.spark-marketing.ru/Card/Lot/71805569", "Право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35) на Пушкинской набе...")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35) на Пушкинской набе...</v>
      </c>
      <c r="G14495" s="22" t="s">
        <v>56</v>
      </c>
      <c r="H14495" s="22" t="s">
        <v>56</v>
      </c>
      <c r="I14495" s="26">
        <v>43645</v>
      </c>
      <c r="J14495" s="28" t="s">
        <v>51</v>
      </c>
      <c r="K14495" s="28" t="s">
        <v>51</v>
      </c>
      <c r="L14495" s="28" t="s">
        <v>51</v>
      </c>
      <c r="M14495" s="28" t="s">
        <v>51</v>
      </c>
      <c r="N14495" s="28" t="s">
        <v>51</v>
      </c>
    </row>
    <row r="14496" spans="1:14" x14ac:dyDescent="0.15">
      <c r="A14496" s="23" t="str">
        <f>HYPERLINK("https://www.spark-marketing.ru/Card/Person/1659541", "ЦПКИО ИМ.М.ГОРЬКОГО")</f>
        <v>ЦПКИО ИМ.М.ГОРЬКОГО</v>
      </c>
      <c r="B14496" s="24" t="s">
        <v>19256</v>
      </c>
      <c r="C14496" s="25">
        <v>199931</v>
      </c>
      <c r="D14496" s="22" t="s">
        <v>19266</v>
      </c>
      <c r="E14496" s="22" t="s">
        <v>52</v>
      </c>
      <c r="F14496" s="23" t="str">
        <f>HYPERLINK("https://www.spark-marketing.ru/Card/Lot/71805570", "Право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56) Пушкинская набереж...")</f>
        <v>Право заключения договора на осуществление торговой деятельности (оказание услуг) в нестационарном торговом объекте «Киоск» по адресу: г. Москва, на территории ГАУК г. Москвы «ЦПКиО им. М. Горького», ул. Крымский вал, д. 9 (НТО 56) Пушкинская набереж...</v>
      </c>
      <c r="G14496" s="22" t="s">
        <v>56</v>
      </c>
      <c r="H14496" s="22" t="s">
        <v>56</v>
      </c>
      <c r="I14496" s="26">
        <v>43645</v>
      </c>
      <c r="J14496" s="28" t="s">
        <v>51</v>
      </c>
      <c r="K14496" s="28" t="s">
        <v>51</v>
      </c>
      <c r="L14496" s="28" t="s">
        <v>51</v>
      </c>
      <c r="M14496" s="28" t="s">
        <v>51</v>
      </c>
      <c r="N14496" s="28" t="s">
        <v>51</v>
      </c>
    </row>
    <row r="14497" spans="1:14" x14ac:dyDescent="0.2">
      <c r="A14497" s="23" t="str">
        <f>HYPERLINK("https://www.spark-marketing.ru/Card/Person/1197817", "АО ""ИЗДАТЕЛЬСКИЙ ДОМ ""ГУДОК""")</f>
        <v>АО "ИЗДАТЕЛЬСКИЙ ДОМ "ГУДОК"</v>
      </c>
      <c r="B14497" s="24" t="s">
        <v>7747</v>
      </c>
      <c r="C14497" s="25">
        <v>291000</v>
      </c>
      <c r="D14497" s="22" t="s">
        <v>19267</v>
      </c>
      <c r="E14497" s="22" t="s">
        <v>554</v>
      </c>
      <c r="F14497" s="23" t="str">
        <f>HYPERLINK("https://www.spark-marketing.ru/Card/Lot/71805868", "Оказание комплексных услуг по организации питания в рамках проведения транспортно-логистической конференции ""PRO//Движение.Юг""")</f>
        <v>Оказание комплексных услуг по организации питания в рамках проведения транспортно-логистической конференции "PRO//Движение.Юг"</v>
      </c>
      <c r="G14497" s="22" t="s">
        <v>267</v>
      </c>
      <c r="H14497" s="22" t="s">
        <v>590</v>
      </c>
      <c r="I14497" s="26">
        <v>43644.923333333303</v>
      </c>
      <c r="J14497" s="28" t="s">
        <v>51</v>
      </c>
      <c r="K14497" s="28" t="s">
        <v>51</v>
      </c>
      <c r="L14497" s="28" t="s">
        <v>51</v>
      </c>
      <c r="M14497" s="25">
        <v>245448.5</v>
      </c>
      <c r="N14497" s="27">
        <v>0.15653436426116837</v>
      </c>
    </row>
    <row r="14498" spans="1:14" x14ac:dyDescent="0.15">
      <c r="A14498" s="23" t="str">
        <f>HYPERLINK("https://www.spark-marketing.ru/Card/Person/5960719", "МДОУ ДЕТСКИЙ САД №67 ""ИВУШКА""")</f>
        <v>МДОУ ДЕТСКИЙ САД №67 "ИВУШКА"</v>
      </c>
      <c r="B14498" s="24" t="s">
        <v>19268</v>
      </c>
      <c r="C14498" s="25">
        <v>4417388</v>
      </c>
      <c r="D14498" s="22" t="s">
        <v>19269</v>
      </c>
      <c r="E14498" s="22" t="s">
        <v>362</v>
      </c>
      <c r="F14498" s="23" t="str">
        <f>HYPERLINK("https://www.spark-marketing.ru/Card/Lot/71795428", "Оказание услуг по организации горячего питания воспитанников")</f>
        <v>Оказание услуг по организации горячего питания воспитанников</v>
      </c>
      <c r="G14498" s="22" t="s">
        <v>49</v>
      </c>
      <c r="H14498" s="22" t="s">
        <v>49</v>
      </c>
      <c r="I14498" s="26">
        <v>43644.8383680556</v>
      </c>
      <c r="J14498" s="28" t="s">
        <v>51</v>
      </c>
      <c r="K14498" s="28" t="s">
        <v>51</v>
      </c>
      <c r="L14498" s="28" t="s">
        <v>51</v>
      </c>
      <c r="M14498" s="28" t="s">
        <v>51</v>
      </c>
      <c r="N14498" s="28" t="s">
        <v>51</v>
      </c>
    </row>
    <row r="14499" spans="1:14" x14ac:dyDescent="0.15">
      <c r="A14499" s="23" t="str">
        <f>HYPERLINK("https://www.spark-marketing.ru/Card/Person/1061801", "МАОУ ""ОК ""ЛИЦЕЙ №3"" ИМЕНИ С.П. УГАРОВОЙ""")</f>
        <v>МАОУ "ОК "ЛИЦЕЙ №3" ИМЕНИ С.П. УГАРОВОЙ"</v>
      </c>
      <c r="B14499" s="24" t="s">
        <v>17902</v>
      </c>
      <c r="C14499" s="25">
        <v>6957223</v>
      </c>
      <c r="D14499" s="22" t="s">
        <v>19270</v>
      </c>
      <c r="E14499" s="22" t="s">
        <v>362</v>
      </c>
      <c r="F14499" s="23" t="str">
        <f>HYPERLINK("https://www.spark-marketing.ru/Card/Lot/71794181", "Оказание услуг по организации питания учащихся на сентябрь-май 2019-2020гг")</f>
        <v>Оказание услуг по организации питания учащихся на сентябрь-май 2019-2020гг</v>
      </c>
      <c r="G14499" s="22" t="s">
        <v>696</v>
      </c>
      <c r="H14499" s="22" t="s">
        <v>696</v>
      </c>
      <c r="I14499" s="26">
        <v>43644.845138888901</v>
      </c>
      <c r="J14499" s="28" t="s">
        <v>51</v>
      </c>
      <c r="K14499" s="28" t="s">
        <v>51</v>
      </c>
      <c r="L14499" s="28" t="s">
        <v>51</v>
      </c>
      <c r="M14499" s="28" t="s">
        <v>51</v>
      </c>
      <c r="N14499" s="28" t="s">
        <v>51</v>
      </c>
    </row>
    <row r="14500" spans="1:14" x14ac:dyDescent="0.15">
      <c r="A14500" s="23" t="str">
        <f>HYPERLINK("https://www.spark-marketing.ru/Card/Person/1072598", "МАОУ ""СОШ №20""")</f>
        <v>МАОУ "СОШ №20"</v>
      </c>
      <c r="B14500" s="24" t="s">
        <v>12013</v>
      </c>
      <c r="C14500" s="25">
        <v>436800</v>
      </c>
      <c r="D14500" s="22" t="s">
        <v>19271</v>
      </c>
      <c r="E14500" s="22" t="s">
        <v>362</v>
      </c>
      <c r="F14500" s="23" t="str">
        <f>HYPERLINK("https://www.spark-marketing.ru/Card/Lot/71784376", "Оказание услуг по организации питания воспитанников групп по присмотру и уходу за детьми дошкольного возраста")</f>
        <v>Оказание услуг по организации питания воспитанников групп по присмотру и уходу за детьми дошкольного возраста</v>
      </c>
      <c r="G14500" s="22" t="s">
        <v>1972</v>
      </c>
      <c r="H14500" s="22" t="s">
        <v>1972</v>
      </c>
      <c r="I14500" s="26">
        <v>43644.794398148202</v>
      </c>
      <c r="J14500" s="28" t="s">
        <v>51</v>
      </c>
      <c r="K14500" s="28" t="s">
        <v>51</v>
      </c>
      <c r="L14500" s="28" t="s">
        <v>51</v>
      </c>
      <c r="M14500" s="28" t="s">
        <v>51</v>
      </c>
      <c r="N14500" s="28" t="s">
        <v>51</v>
      </c>
    </row>
    <row r="14501" spans="1:14" x14ac:dyDescent="0.15">
      <c r="A14501" s="23" t="str">
        <f>HYPERLINK("https://www.spark-marketing.ru/Card/Person/1028073", "МАДОУ ""ПИНГВИН""")</f>
        <v>МАДОУ "ПИНГВИН"</v>
      </c>
      <c r="B14501" s="24" t="s">
        <v>19272</v>
      </c>
      <c r="C14501" s="25">
        <v>2475900</v>
      </c>
      <c r="D14501" s="22" t="s">
        <v>19273</v>
      </c>
      <c r="E14501" s="22" t="s">
        <v>362</v>
      </c>
      <c r="F14501" s="23" t="str">
        <f>HYPERLINK("https://www.spark-marketing.ru/Card/Lot/71789493", "Оказание услуг по организации горячего сбалансированного питания воспитанников МАДОУ ""Пингвин"".")</f>
        <v>Оказание услуг по организации горячего сбалансированного питания воспитанников МАДОУ "Пингвин".</v>
      </c>
      <c r="G14501" s="22" t="s">
        <v>1056</v>
      </c>
      <c r="H14501" s="22" t="s">
        <v>1056</v>
      </c>
      <c r="I14501" s="26">
        <v>43644.805277777799</v>
      </c>
      <c r="J14501" s="28" t="s">
        <v>51</v>
      </c>
      <c r="K14501" s="28" t="s">
        <v>51</v>
      </c>
      <c r="L14501" s="28" t="s">
        <v>51</v>
      </c>
      <c r="M14501" s="28" t="s">
        <v>51</v>
      </c>
      <c r="N14501" s="28" t="s">
        <v>51</v>
      </c>
    </row>
    <row r="14502" spans="1:14" x14ac:dyDescent="0.15">
      <c r="A14502" s="23" t="str">
        <f>HYPERLINK("https://www.spark-marketing.ru/Card/Person/879104", "ОТДЕЛ МВД РОССИИ ПО КУРГАНИНСКОМУ РАЙОНУ")</f>
        <v>ОТДЕЛ МВД РОССИИ ПО КУРГАНИНСКОМУ РАЙОНУ</v>
      </c>
      <c r="B14502" s="24" t="s">
        <v>2141</v>
      </c>
      <c r="C14502" s="25">
        <v>600000</v>
      </c>
      <c r="D14502" s="22" t="s">
        <v>19274</v>
      </c>
      <c r="E14502" s="22" t="s">
        <v>48</v>
      </c>
      <c r="F14502" s="23" t="str">
        <f>HYPERLINK("https://www.spark-marketing.ru/Card/Lot/71799998", "Услуги по обеспечению питанием лиц, содержащихся в ИВС, КАА и СПСЗЛ Отдела МВД России по Курганинскому району")</f>
        <v>Услуги по обеспечению питанием лиц, содержащихся в ИВС, КАА и СПСЗЛ Отдела МВД России по Курганинскому району</v>
      </c>
      <c r="G14502" s="22" t="s">
        <v>104</v>
      </c>
      <c r="H14502" s="22" t="s">
        <v>2143</v>
      </c>
      <c r="I14502" s="26">
        <v>43644.793958333299</v>
      </c>
      <c r="J14502" s="23" t="str">
        <f>HYPERLINK("https://www.spark-marketing.ru/Card/Person/6426744", "Терещенко Людмила Николаевна")</f>
        <v>Терещенко Людмила Николаевна</v>
      </c>
      <c r="K14502" s="24" t="s">
        <v>10286</v>
      </c>
      <c r="L14502" s="22" t="s">
        <v>10</v>
      </c>
      <c r="M14502" s="28" t="s">
        <v>51</v>
      </c>
      <c r="N14502" s="28" t="s">
        <v>51</v>
      </c>
    </row>
    <row r="14503" spans="1:14" x14ac:dyDescent="0.2">
      <c r="A14503" s="23" t="str">
        <f>HYPERLINK("https://www.spark-marketing.ru/Card/Person/1039766", "КГАУ КМЦСВИЗ")</f>
        <v>КГАУ КМЦСВИЗ</v>
      </c>
      <c r="B14503" s="24" t="s">
        <v>19275</v>
      </c>
      <c r="C14503" s="25">
        <v>741000</v>
      </c>
      <c r="D14503" s="22" t="s">
        <v>19276</v>
      </c>
      <c r="E14503" s="22" t="s">
        <v>362</v>
      </c>
      <c r="F14503" s="23" t="str">
        <f>HYPERLINK("https://www.spark-marketing.ru/Card/Lot/71766257", "Услуги по организации питания участников Окружного форума молодых семей Дальнего Восток")</f>
        <v>Услуги по организации питания участников Окружного форума молодых семей Дальнего Восток</v>
      </c>
      <c r="G14503" s="22" t="s">
        <v>1096</v>
      </c>
      <c r="H14503" s="22" t="s">
        <v>1096</v>
      </c>
      <c r="I14503" s="26">
        <v>43644.763032407398</v>
      </c>
      <c r="J14503" s="28" t="s">
        <v>51</v>
      </c>
      <c r="K14503" s="28" t="s">
        <v>51</v>
      </c>
      <c r="L14503" s="28" t="s">
        <v>51</v>
      </c>
      <c r="M14503" s="25">
        <v>741000</v>
      </c>
      <c r="N14503" s="27">
        <v>0</v>
      </c>
    </row>
    <row r="14504" spans="1:14" x14ac:dyDescent="0.2">
      <c r="A14504" s="23" t="s">
        <v>114</v>
      </c>
      <c r="B14504" s="28" t="s">
        <v>51</v>
      </c>
      <c r="C14504" s="25">
        <v>28399301</v>
      </c>
      <c r="D14504" s="22" t="s">
        <v>19277</v>
      </c>
      <c r="E14504" s="22" t="s">
        <v>362</v>
      </c>
      <c r="F14504" s="23" t="str">
        <f>HYPERLINK("https://www.spark-marketing.ru/Card/Lot/71781760", "Оказание услуги обеспечения питанием обучающихся")</f>
        <v>Оказание услуги обеспечения питанием обучающихся</v>
      </c>
      <c r="G14504" s="22" t="s">
        <v>51</v>
      </c>
      <c r="H14504" s="22" t="s">
        <v>51</v>
      </c>
      <c r="I14504" s="26">
        <v>43644.728888888902</v>
      </c>
      <c r="J14504" s="28" t="s">
        <v>51</v>
      </c>
      <c r="K14504" s="28" t="s">
        <v>51</v>
      </c>
      <c r="L14504" s="28" t="s">
        <v>51</v>
      </c>
      <c r="M14504" s="25">
        <v>27429840</v>
      </c>
      <c r="N14504" s="27">
        <v>3.4136790902001425E-2</v>
      </c>
    </row>
    <row r="14505" spans="1:14" hidden="1" outlineLevel="1" x14ac:dyDescent="0.2">
      <c r="A14505" s="23" t="str">
        <f>HYPERLINK("https://www.spark-marketing.ru/Card/Person/4384960", "МАОУВ(С)ОШ № 2 ГОРОДА ТЮМЕНИ")</f>
        <v>МАОУВ(С)ОШ № 2 ГОРОДА ТЮМЕНИ</v>
      </c>
      <c r="B14505" s="24" t="s">
        <v>19278</v>
      </c>
      <c r="C14505" s="25">
        <v>578265</v>
      </c>
      <c r="D14505" s="22" t="s">
        <v>19277</v>
      </c>
      <c r="E14505" s="22" t="s">
        <v>362</v>
      </c>
      <c r="F14505" s="23" t="str">
        <f>HYPERLINK("https://www.spark-marketing.ru/Card/Lot/71781760", "Оказание услуги обеспечения питанием обучающихся")</f>
        <v>Оказание услуги обеспечения питанием обучающихся</v>
      </c>
      <c r="G14505" s="22" t="s">
        <v>766</v>
      </c>
      <c r="H14505" s="22" t="s">
        <v>1028</v>
      </c>
      <c r="I14505" s="26">
        <v>43644.728888888902</v>
      </c>
      <c r="J14505" s="28" t="s">
        <v>51</v>
      </c>
      <c r="K14505" s="28" t="s">
        <v>51</v>
      </c>
      <c r="L14505" s="28" t="s">
        <v>51</v>
      </c>
      <c r="M14505" s="28" t="s">
        <v>51</v>
      </c>
      <c r="N14505" s="27">
        <v>3.4136790902001425E-2</v>
      </c>
    </row>
    <row r="14506" spans="1:14" hidden="1" outlineLevel="1" x14ac:dyDescent="0.2">
      <c r="A14506" s="23" t="str">
        <f>HYPERLINK("https://www.spark-marketing.ru/Card/Person/4388771", "МАОУ СОШ №26 ГОРОДА ТЮМЕНИ")</f>
        <v>МАОУ СОШ №26 ГОРОДА ТЮМЕНИ</v>
      </c>
      <c r="B14506" s="24" t="s">
        <v>19279</v>
      </c>
      <c r="C14506" s="25">
        <v>15307126</v>
      </c>
      <c r="D14506" s="22" t="s">
        <v>19277</v>
      </c>
      <c r="E14506" s="22" t="s">
        <v>362</v>
      </c>
      <c r="F14506" s="23" t="str">
        <f>HYPERLINK("https://www.spark-marketing.ru/Card/Lot/71781760", "Оказание услуги обеспечения питанием обучающихся")</f>
        <v>Оказание услуги обеспечения питанием обучающихся</v>
      </c>
      <c r="G14506" s="22" t="s">
        <v>766</v>
      </c>
      <c r="H14506" s="22" t="s">
        <v>1028</v>
      </c>
      <c r="I14506" s="26">
        <v>43644.728888888902</v>
      </c>
      <c r="J14506" s="28" t="s">
        <v>51</v>
      </c>
      <c r="K14506" s="28" t="s">
        <v>51</v>
      </c>
      <c r="L14506" s="28" t="s">
        <v>51</v>
      </c>
      <c r="M14506" s="28" t="s">
        <v>51</v>
      </c>
      <c r="N14506" s="27">
        <v>3.4136790902001425E-2</v>
      </c>
    </row>
    <row r="14507" spans="1:14" hidden="1" outlineLevel="1" x14ac:dyDescent="0.2">
      <c r="A14507" s="23" t="str">
        <f>HYPERLINK("https://www.spark-marketing.ru/Card/Person/4389116", "МАОУ СОШ №60 ГОРОДА ТЮМЕНИ")</f>
        <v>МАОУ СОШ №60 ГОРОДА ТЮМЕНИ</v>
      </c>
      <c r="B14507" s="24" t="s">
        <v>19280</v>
      </c>
      <c r="C14507" s="25">
        <v>12513910</v>
      </c>
      <c r="D14507" s="22" t="s">
        <v>19277</v>
      </c>
      <c r="E14507" s="22" t="s">
        <v>362</v>
      </c>
      <c r="F14507" s="23" t="str">
        <f>HYPERLINK("https://www.spark-marketing.ru/Card/Lot/71781760", "Оказание услуги обеспечения питанием обучающихся")</f>
        <v>Оказание услуги обеспечения питанием обучающихся</v>
      </c>
      <c r="G14507" s="22" t="s">
        <v>766</v>
      </c>
      <c r="H14507" s="22" t="s">
        <v>1028</v>
      </c>
      <c r="I14507" s="26">
        <v>43644.728888888902</v>
      </c>
      <c r="J14507" s="28" t="s">
        <v>51</v>
      </c>
      <c r="K14507" s="28" t="s">
        <v>51</v>
      </c>
      <c r="L14507" s="28" t="s">
        <v>51</v>
      </c>
      <c r="M14507" s="28" t="s">
        <v>51</v>
      </c>
      <c r="N14507" s="27">
        <v>3.4136790902001425E-2</v>
      </c>
    </row>
    <row r="14508" spans="1:14" x14ac:dyDescent="0.2">
      <c r="A14508" s="23" t="str">
        <f>HYPERLINK("https://www.spark-marketing.ru/Card/Person/1384851", "МАУ ""ЛЕДОВЫЙ ДВОРЕЦ СПОРТА""")</f>
        <v>МАУ "ЛЕДОВЫЙ ДВОРЕЦ СПОРТА"</v>
      </c>
      <c r="B14508" s="24" t="s">
        <v>4202</v>
      </c>
      <c r="C14508" s="25">
        <v>684800</v>
      </c>
      <c r="D14508" s="22" t="s">
        <v>19281</v>
      </c>
      <c r="E14508" s="22" t="s">
        <v>1418</v>
      </c>
      <c r="F14508" s="23" t="str">
        <f>HYPERLINK("https://www.spark-marketing.ru/Card/Lot/71779174", "Оказание услуг по организации проживания и питания занимающихся хоккейной команды ""Олимпиец"" 2008 г.р.")</f>
        <v>Оказание услуг по организации проживания и питания занимающихся хоккейной команды "Олимпиец" 2008 г.р.</v>
      </c>
      <c r="G14508" s="22" t="s">
        <v>217</v>
      </c>
      <c r="H14508" s="22" t="s">
        <v>217</v>
      </c>
      <c r="I14508" s="26">
        <v>43644.715509259302</v>
      </c>
      <c r="J14508" s="28" t="s">
        <v>51</v>
      </c>
      <c r="K14508" s="28" t="s">
        <v>51</v>
      </c>
      <c r="L14508" s="22" t="s">
        <v>10</v>
      </c>
      <c r="M14508" s="25">
        <v>684800</v>
      </c>
      <c r="N14508" s="27">
        <v>0</v>
      </c>
    </row>
    <row r="14509" spans="1:14" x14ac:dyDescent="0.15">
      <c r="A14509" s="23" t="str">
        <f>HYPERLINK("https://www.spark-marketing.ru/Card/Person/19087", "ОГБУЗ ""ГОРОДСКАЯ БОЛЬНИЦА №2 Г. БЕЛГОРОДА""")</f>
        <v>ОГБУЗ "ГОРОДСКАЯ БОЛЬНИЦА №2 Г. БЕЛГОРОДА"</v>
      </c>
      <c r="B14509" s="24" t="s">
        <v>19282</v>
      </c>
      <c r="C14509" s="25">
        <v>147762040</v>
      </c>
      <c r="D14509" s="22" t="s">
        <v>19283</v>
      </c>
      <c r="E14509" s="22" t="s">
        <v>51</v>
      </c>
      <c r="F14509" s="23" t="str">
        <f>HYPERLINK("https://www.spark-marketing.ru/Card/Lot/71798848", "Оказание услуг по приготовлению и доставке готового лечебного питания")</f>
        <v>Оказание услуг по приготовлению и доставке готового лечебного питания</v>
      </c>
      <c r="G14509" s="22" t="s">
        <v>696</v>
      </c>
      <c r="H14509" s="22" t="s">
        <v>1163</v>
      </c>
      <c r="I14509" s="26">
        <v>43644.711504629602</v>
      </c>
      <c r="J14509" s="23" t="str">
        <f>HYPERLINK("https://www.spark-marketing.ru/Card/Person/6635294", "ООО ""ФСП""")</f>
        <v>ООО "ФСП"</v>
      </c>
      <c r="K14509" s="24" t="s">
        <v>1596</v>
      </c>
      <c r="L14509" s="22" t="s">
        <v>10</v>
      </c>
      <c r="M14509" s="28" t="s">
        <v>51</v>
      </c>
      <c r="N14509" s="28" t="s">
        <v>51</v>
      </c>
    </row>
    <row r="14510" spans="1:14" x14ac:dyDescent="0.15">
      <c r="A14510" s="23" t="str">
        <f>HYPERLINK("https://www.spark-marketing.ru/Card/Person/893941", "МОКУ С(К)ОШ № 4")</f>
        <v>МОКУ С(К)ОШ № 4</v>
      </c>
      <c r="B14510" s="24" t="s">
        <v>14746</v>
      </c>
      <c r="C14510" s="25">
        <v>996030</v>
      </c>
      <c r="D14510" s="22" t="s">
        <v>19284</v>
      </c>
      <c r="E14510" s="22" t="s">
        <v>48</v>
      </c>
      <c r="F14510" s="23" t="str">
        <f>HYPERLINK("https://www.spark-marketing.ru/Card/Lot/71810704", "Оказание услуг по организации горячего питания")</f>
        <v>Оказание услуг по организации горячего питания</v>
      </c>
      <c r="G14510" s="22" t="s">
        <v>241</v>
      </c>
      <c r="H14510" s="22" t="s">
        <v>242</v>
      </c>
      <c r="I14510" s="26">
        <v>43644.718055555597</v>
      </c>
      <c r="J14510" s="23" t="str">
        <f>HYPERLINK("https://www.spark-marketing.ru/Card/Person/456440", "ООО ""ЯНИС""")</f>
        <v>ООО "ЯНИС"</v>
      </c>
      <c r="K14510" s="24" t="s">
        <v>7902</v>
      </c>
      <c r="L14510" s="28" t="s">
        <v>51</v>
      </c>
      <c r="M14510" s="28" t="s">
        <v>51</v>
      </c>
      <c r="N14510" s="28" t="s">
        <v>51</v>
      </c>
    </row>
    <row r="14511" spans="1:14" x14ac:dyDescent="0.15">
      <c r="A14511" s="23" t="str">
        <f>HYPERLINK("https://www.spark-marketing.ru/Card/Person/1007186", "МБДОУ №32 Г.ШАХТЫ")</f>
        <v>МБДОУ №32 Г.ШАХТЫ</v>
      </c>
      <c r="B14511" s="24" t="s">
        <v>11083</v>
      </c>
      <c r="C14511" s="25">
        <v>170213.48</v>
      </c>
      <c r="D14511" s="22" t="s">
        <v>19285</v>
      </c>
      <c r="E14511" s="22" t="s">
        <v>48</v>
      </c>
      <c r="F14511" s="23" t="str">
        <f>HYPERLINK("https://www.spark-marketing.ru/Card/Lot/71780792", "Услуга организации питания")</f>
        <v>Услуга организации питания</v>
      </c>
      <c r="G14511" s="22" t="s">
        <v>267</v>
      </c>
      <c r="H14511" s="22" t="s">
        <v>4874</v>
      </c>
      <c r="I14511" s="26">
        <v>43644.708333333299</v>
      </c>
      <c r="J14511" s="28" t="s">
        <v>51</v>
      </c>
      <c r="K14511" s="28" t="s">
        <v>51</v>
      </c>
      <c r="L14511" s="28" t="s">
        <v>51</v>
      </c>
      <c r="M14511" s="28" t="s">
        <v>51</v>
      </c>
      <c r="N14511" s="28" t="s">
        <v>51</v>
      </c>
    </row>
    <row r="14512" spans="1:14" x14ac:dyDescent="0.15">
      <c r="A14512" s="23" t="str">
        <f>HYPERLINK("https://www.spark-marketing.ru/Card/Person/1324928", "МАОУ ""ЛИЦЕЙ №14 ИМЕНИ ЗАСЛУЖЕННОГО УЧИТЕЛЯ РОССИЙСКОЙ ФЕДЕРАЦИИ А.М. КУЗЬМИНА""")</f>
        <v>МАОУ "ЛИЦЕЙ №14 ИМЕНИ ЗАСЛУЖЕННОГО УЧИТЕЛЯ РОССИЙСКОЙ ФЕДЕРАЦИИ А.М. КУЗЬМИНА"</v>
      </c>
      <c r="B14512" s="24" t="s">
        <v>19286</v>
      </c>
      <c r="C14512" s="25">
        <v>939000</v>
      </c>
      <c r="D14512" s="22" t="s">
        <v>19287</v>
      </c>
      <c r="E14512" s="22" t="s">
        <v>362</v>
      </c>
      <c r="F14512" s="23" t="str">
        <f>HYPERLINK("https://www.spark-marketing.ru/Card/Lot/71788769", "Оказание услуг по организации питания обучающихся в МАОУ ""Лицей №14 имени Заслуженного учителя Российской Федерации А.М.Кузьмина""")</f>
        <v>Оказание услуг по организации питания обучающихся в МАОУ "Лицей №14 имени Заслуженного учителя Российской Федерации А.М.Кузьмина"</v>
      </c>
      <c r="G14512" s="22" t="s">
        <v>1370</v>
      </c>
      <c r="H14512" s="22" t="s">
        <v>1370</v>
      </c>
      <c r="I14512" s="26">
        <v>43644.709756944401</v>
      </c>
      <c r="J14512" s="28" t="s">
        <v>51</v>
      </c>
      <c r="K14512" s="28" t="s">
        <v>51</v>
      </c>
      <c r="L14512" s="28" t="s">
        <v>51</v>
      </c>
      <c r="M14512" s="28" t="s">
        <v>51</v>
      </c>
      <c r="N14512" s="28" t="s">
        <v>51</v>
      </c>
    </row>
    <row r="14513" spans="1:14" x14ac:dyDescent="0.2">
      <c r="A14513" s="23" t="str">
        <f>HYPERLINK("https://www.spark-marketing.ru/Card/Person/1384851", "МАУ ""ЛЕДОВЫЙ ДВОРЕЦ СПОРТА""")</f>
        <v>МАУ "ЛЕДОВЫЙ ДВОРЕЦ СПОРТА"</v>
      </c>
      <c r="B14513" s="24" t="s">
        <v>4202</v>
      </c>
      <c r="C14513" s="25">
        <v>730800</v>
      </c>
      <c r="D14513" s="22" t="s">
        <v>19288</v>
      </c>
      <c r="E14513" s="22" t="s">
        <v>1418</v>
      </c>
      <c r="F14513" s="23" t="str">
        <f>HYPERLINK("https://www.spark-marketing.ru/Card/Lot/71781480", "Оказание услуг по организации проживания и питания занимающихся хокейной команды ""Олимпиец"" 2009 г.р.")</f>
        <v>Оказание услуг по организации проживания и питания занимающихся хокейной команды "Олимпиец" 2009 г.р.</v>
      </c>
      <c r="G14513" s="22" t="s">
        <v>217</v>
      </c>
      <c r="H14513" s="22" t="s">
        <v>217</v>
      </c>
      <c r="I14513" s="26">
        <v>43644.725138888898</v>
      </c>
      <c r="J14513" s="28" t="s">
        <v>51</v>
      </c>
      <c r="K14513" s="28" t="s">
        <v>51</v>
      </c>
      <c r="L14513" s="22" t="s">
        <v>10</v>
      </c>
      <c r="M14513" s="25">
        <v>730800</v>
      </c>
      <c r="N14513" s="27">
        <v>0</v>
      </c>
    </row>
    <row r="14514" spans="1:14" x14ac:dyDescent="0.15">
      <c r="A14514" s="23" t="str">
        <f>HYPERLINK("https://www.spark-marketing.ru/Card/Person/1363233", "МАОУ ""СОШ № 80""")</f>
        <v>МАОУ "СОШ № 80"</v>
      </c>
      <c r="B14514" s="24" t="s">
        <v>19289</v>
      </c>
      <c r="C14514" s="25">
        <v>793525</v>
      </c>
      <c r="D14514" s="22" t="s">
        <v>19290</v>
      </c>
      <c r="E14514" s="22" t="s">
        <v>362</v>
      </c>
      <c r="F14514" s="23" t="str">
        <f>HYPERLINK("https://www.spark-marketing.ru/Card/Lot/71774818", "Оказание услуг по организации питания обучающихся с ограниченными возможностями здоровья, льготной категории обучающихся МАОУ «СОШ №80»")</f>
        <v>Оказание услуг по организации питания обучающихся с ограниченными возможностями здоровья, льготной категории обучающихся МАОУ «СОШ №80»</v>
      </c>
      <c r="G14514" s="22" t="s">
        <v>149</v>
      </c>
      <c r="H14514" s="22" t="s">
        <v>149</v>
      </c>
      <c r="I14514" s="26">
        <v>43644.745763888903</v>
      </c>
      <c r="J14514" s="28" t="s">
        <v>51</v>
      </c>
      <c r="K14514" s="28" t="s">
        <v>51</v>
      </c>
      <c r="L14514" s="28" t="s">
        <v>51</v>
      </c>
      <c r="M14514" s="28" t="s">
        <v>51</v>
      </c>
      <c r="N14514" s="28" t="s">
        <v>51</v>
      </c>
    </row>
    <row r="14515" spans="1:14" x14ac:dyDescent="0.2">
      <c r="A14515" s="23" t="str">
        <f>HYPERLINK("https://www.spark-marketing.ru/Card/Person/6248498", "МАУ ""СШ ""ЛИДЕР""")</f>
        <v>МАУ "СШ "ЛИДЕР"</v>
      </c>
      <c r="B14515" s="24" t="s">
        <v>19291</v>
      </c>
      <c r="C14515" s="25">
        <v>310000</v>
      </c>
      <c r="D14515" s="22" t="s">
        <v>19292</v>
      </c>
      <c r="E14515" s="22" t="s">
        <v>580</v>
      </c>
      <c r="F14515" s="23" t="str">
        <f>HYPERLINK("https://www.spark-marketing.ru/Card/Lot/71774898", "Оказание услуг по организации питания занимающихся в спортивной школе ""Лидер""")</f>
        <v>Оказание услуг по организации питания занимающихся в спортивной школе "Лидер"</v>
      </c>
      <c r="G14515" s="22" t="s">
        <v>174</v>
      </c>
      <c r="H14515" s="22" t="s">
        <v>174</v>
      </c>
      <c r="I14515" s="26">
        <v>43644.673472222203</v>
      </c>
      <c r="J14515" s="28" t="s">
        <v>51</v>
      </c>
      <c r="K14515" s="28" t="s">
        <v>51</v>
      </c>
      <c r="L14515" s="28" t="s">
        <v>51</v>
      </c>
      <c r="M14515" s="25">
        <v>303200</v>
      </c>
      <c r="N14515" s="27">
        <v>2.1935483870967741E-2</v>
      </c>
    </row>
    <row r="14516" spans="1:14" x14ac:dyDescent="0.15">
      <c r="A14516" s="23" t="str">
        <f>HYPERLINK("https://www.spark-marketing.ru/Card/Person/92847", "УПРАВА РАЙОНА МЕТРОГОРОДОК ГОРОДА МОСКВЫ")</f>
        <v>УПРАВА РАЙОНА МЕТРОГОРОДОК ГОРОДА МОСКВЫ</v>
      </c>
      <c r="B14516" s="24" t="s">
        <v>19293</v>
      </c>
      <c r="C14516" s="25">
        <v>189000</v>
      </c>
      <c r="D14516" s="22" t="s">
        <v>19294</v>
      </c>
      <c r="E14516" s="22" t="s">
        <v>96</v>
      </c>
      <c r="F14516" s="23" t="str">
        <f>HYPERLINK("https://www.spark-marketing.ru/Card/Lot/71802578", "Оказание услуг по организации горячего питания в единый день голосования 2019 года для УИК района Метрогородок города Москвы")</f>
        <v>Оказание услуг по организации горячего питания в единый день голосования 2019 года для УИК района Метрогородок города Москвы</v>
      </c>
      <c r="G14516" s="22" t="s">
        <v>56</v>
      </c>
      <c r="H14516" s="22" t="s">
        <v>56</v>
      </c>
      <c r="I14516" s="26">
        <v>43644.673865740697</v>
      </c>
      <c r="J14516" s="28" t="s">
        <v>51</v>
      </c>
      <c r="K14516" s="28" t="s">
        <v>51</v>
      </c>
      <c r="L14516" s="28" t="s">
        <v>51</v>
      </c>
      <c r="M14516" s="28" t="s">
        <v>51</v>
      </c>
      <c r="N14516" s="28" t="s">
        <v>51</v>
      </c>
    </row>
    <row r="14517" spans="1:14" ht="12.75" hidden="1" outlineLevel="1" x14ac:dyDescent="0.2">
      <c r="A14517" s="23" t="str">
        <f>HYPERLINK("https://www.spark-marketing.ru/Card/Person/92847", "УПРАВА РАЙОНА МЕТРОГОРОДОК ГОРОДА МОСКВЫ")</f>
        <v>УПРАВА РАЙОНА МЕТРОГОРОДОК ГОРОДА МОСКВЫ</v>
      </c>
      <c r="B14517" s="24" t="s">
        <v>19293</v>
      </c>
      <c r="C14517" s="25">
        <v>189000</v>
      </c>
      <c r="D14517" s="22" t="s">
        <v>19294</v>
      </c>
      <c r="E14517" s="22" t="s">
        <v>96</v>
      </c>
      <c r="F14517" s="23" t="str">
        <f>HYPERLINK("https://www.spark-marketing.ru/Card/Lot/71802578", "Оказание услуг по организации горячего питания в единый день голосования 2019 года для УИК района Метрогородок города Москвы")</f>
        <v>Оказание услуг по организации горячего питания в единый день голосования 2019 года для УИК района Метрогородок города Москвы</v>
      </c>
      <c r="G14517" s="22" t="s">
        <v>56</v>
      </c>
      <c r="H14517" s="22" t="s">
        <v>56</v>
      </c>
      <c r="I14517" s="26">
        <v>43644.673865740697</v>
      </c>
      <c r="J14517" s="23" t="str">
        <f>HYPERLINK("https://www.spark-marketing.ru/Card/Person/6617658", "ООО ""АЛЬБА""")</f>
        <v>ООО "АЛЬБА"</v>
      </c>
      <c r="K14517" s="24" t="s">
        <v>13028</v>
      </c>
      <c r="L14517" s="22" t="s">
        <v>10</v>
      </c>
      <c r="M14517" s="25">
        <v>188055</v>
      </c>
      <c r="N14517" s="27">
        <v>5.0000000000000001E-3</v>
      </c>
    </row>
    <row r="14518" spans="1:14" hidden="1" outlineLevel="1" x14ac:dyDescent="0.2">
      <c r="A14518" s="23" t="str">
        <f>HYPERLINK("https://www.spark-marketing.ru/Card/Person/92847", "УПРАВА РАЙОНА МЕТРОГОРОДОК ГОРОДА МОСКВЫ")</f>
        <v>УПРАВА РАЙОНА МЕТРОГОРОДОК ГОРОДА МОСКВЫ</v>
      </c>
      <c r="B14518" s="24" t="s">
        <v>19293</v>
      </c>
      <c r="C14518" s="25">
        <v>189000</v>
      </c>
      <c r="D14518" s="22" t="s">
        <v>19294</v>
      </c>
      <c r="E14518" s="22" t="s">
        <v>96</v>
      </c>
      <c r="F14518" s="23" t="str">
        <f>HYPERLINK("https://www.spark-marketing.ru/Card/Lot/71802578", "Оказание услуг по организации горячего питания в единый день голосования 2019 года для УИК района Метрогородок города Москвы")</f>
        <v>Оказание услуг по организации горячего питания в единый день голосования 2019 года для УИК района Метрогородок города Москвы</v>
      </c>
      <c r="G14518" s="22" t="s">
        <v>56</v>
      </c>
      <c r="H14518" s="22" t="s">
        <v>56</v>
      </c>
      <c r="I14518" s="26">
        <v>43644.673865740697</v>
      </c>
      <c r="J14518" s="23" t="str">
        <f>HYPERLINK("https://www.spark-marketing.ru/Card/Person/2588321", "ООО ""МПИТ""")</f>
        <v>ООО "МПИТ"</v>
      </c>
      <c r="K14518" s="24" t="s">
        <v>19295</v>
      </c>
      <c r="L14518" s="28" t="s">
        <v>51</v>
      </c>
      <c r="M14518" s="25">
        <v>188055</v>
      </c>
      <c r="N14518" s="27">
        <v>5.0000000000000001E-3</v>
      </c>
    </row>
    <row r="14519" spans="1:14" x14ac:dyDescent="0.15">
      <c r="A14519" s="23" t="str">
        <f>HYPERLINK("https://www.spark-marketing.ru/Card/Person/1476", "ГУ-БРЯНСКОЕ РО ФОНДА СОЦИАЛЬНОГО СТРАХОВАНИЯ РОССИЙСКОЙ ФЕДЕРАЦИИ")</f>
        <v>ГУ-БРЯНСКОЕ РО ФОНДА СОЦИАЛЬНОГО СТРАХОВАНИЯ РОССИЙСКОЙ ФЕДЕРАЦИИ</v>
      </c>
      <c r="B14519" s="24" t="s">
        <v>2454</v>
      </c>
      <c r="C14519" s="25">
        <v>2096136</v>
      </c>
      <c r="D14519" s="22" t="s">
        <v>19296</v>
      </c>
      <c r="E14519" s="22" t="s">
        <v>86</v>
      </c>
      <c r="F14519" s="23" t="str">
        <f>HYPERLINK("https://www.spark-marketing.ru/Card/Lot/71797098", "Оказание услуг по санаторно-курортному лечению граждан-получателей набора социальных услуг в организациях, оказывающих санаторно-курортные услуги по профилям заболеваний: заболевания по Классу VI МКБ-10 «Болезни нервной системы», заболевания по Класс...")</f>
        <v>Оказание услуг по санаторно-курортному лечению граждан-получателей набора социальных услуг в организациях, оказывающих санаторно-курортные услуги по профилям заболеваний: заболевания по Классу VI МКБ-10 «Болезни нервной системы», заболевания по Класс...</v>
      </c>
      <c r="G14519" s="22" t="s">
        <v>475</v>
      </c>
      <c r="H14519" s="22" t="s">
        <v>476</v>
      </c>
      <c r="I14519" s="26">
        <v>43644.692557870403</v>
      </c>
      <c r="J14519" s="23" t="str">
        <f>HYPERLINK("https://www.spark-marketing.ru/Card/Person/177813", "ООО ""КСКК ""АКВАЛОО""")</f>
        <v>ООО "КСКК "АКВАЛОО"</v>
      </c>
      <c r="K14519" s="24" t="s">
        <v>4517</v>
      </c>
      <c r="L14519" s="22" t="s">
        <v>10</v>
      </c>
      <c r="M14519" s="28" t="s">
        <v>51</v>
      </c>
      <c r="N14519" s="28" t="s">
        <v>51</v>
      </c>
    </row>
    <row r="14520" spans="1:14" x14ac:dyDescent="0.2">
      <c r="A14520" s="23" t="str">
        <f>HYPERLINK("https://www.spark-marketing.ru/Card/Person/142517", "МАОУ СОШ № 3 ИМЕНИ ГЕРОЯ РОССИИ СЕРГЕЯ РОМАШИНА Г. ЮЖНО-САХАЛИНСКА")</f>
        <v>МАОУ СОШ № 3 ИМЕНИ ГЕРОЯ РОССИИ СЕРГЕЯ РОМАШИНА Г. ЮЖНО-САХАЛИНСКА</v>
      </c>
      <c r="B14520" s="24" t="s">
        <v>963</v>
      </c>
      <c r="C14520" s="25">
        <v>513450</v>
      </c>
      <c r="D14520" s="22" t="s">
        <v>19297</v>
      </c>
      <c r="E14520" s="22" t="s">
        <v>580</v>
      </c>
      <c r="F14520" s="23" t="str">
        <f>HYPERLINK("https://www.spark-marketing.ru/Card/Lot/71762165", "Оказание услуг по организации питания учащихся, находящихся в оздоровительных лагерях с дневным пребыванием в период летних каникул (2 смена)")</f>
        <v>Оказание услуг по организации питания учащихся, находящихся в оздоровительных лагерях с дневным пребыванием в период летних каникул (2 смена)</v>
      </c>
      <c r="G14520" s="22" t="s">
        <v>260</v>
      </c>
      <c r="H14520" s="22" t="s">
        <v>260</v>
      </c>
      <c r="I14520" s="26">
        <v>43644.693414351903</v>
      </c>
      <c r="J14520" s="28" t="s">
        <v>51</v>
      </c>
      <c r="K14520" s="28" t="s">
        <v>51</v>
      </c>
      <c r="L14520" s="28" t="s">
        <v>51</v>
      </c>
      <c r="M14520" s="25">
        <v>513450</v>
      </c>
      <c r="N14520" s="27">
        <v>0</v>
      </c>
    </row>
    <row r="14521" spans="1:14" x14ac:dyDescent="0.15">
      <c r="A14521" s="23" t="str">
        <f>HYPERLINK("https://www.spark-marketing.ru/Card/Person/1476", "ГУ-БРЯНСКОЕ РО ФОНДА СОЦИАЛЬНОГО СТРАХОВАНИЯ РОССИЙСКОЙ ФЕДЕРАЦИИ")</f>
        <v>ГУ-БРЯНСКОЕ РО ФОНДА СОЦИАЛЬНОГО СТРАХОВАНИЯ РОССИЙСКОЙ ФЕДЕРАЦИИ</v>
      </c>
      <c r="B14521" s="24" t="s">
        <v>2454</v>
      </c>
      <c r="C14521" s="25">
        <v>2096136</v>
      </c>
      <c r="D14521" s="22" t="s">
        <v>19298</v>
      </c>
      <c r="E14521" s="22" t="s">
        <v>86</v>
      </c>
      <c r="F14521" s="23" t="str">
        <f>HYPERLINK("https://www.spark-marketing.ru/Card/Lot/71797097", "Оказание услуг по санаторно-курортному лечению граждан-получателей набора социальных услуг в организациях, оказывающих санаторно-курортные услуги по профилям заболеваний: заболевания по Классу XI МКБ-10 «Болезни органов пищеварения», заболевания по К...")</f>
        <v>Оказание услуг по санаторно-курортному лечению граждан-получателей набора социальных услуг в организациях, оказывающих санаторно-курортные услуги по профилям заболеваний: заболевания по Классу XI МКБ-10 «Болезни органов пищеварения», заболевания по К...</v>
      </c>
      <c r="G14521" s="22" t="s">
        <v>475</v>
      </c>
      <c r="H14521" s="22" t="s">
        <v>476</v>
      </c>
      <c r="I14521" s="26">
        <v>43644.692245370403</v>
      </c>
      <c r="J14521" s="28" t="s">
        <v>51</v>
      </c>
      <c r="K14521" s="28" t="s">
        <v>51</v>
      </c>
      <c r="L14521" s="28" t="s">
        <v>51</v>
      </c>
      <c r="M14521" s="28" t="s">
        <v>51</v>
      </c>
      <c r="N14521" s="28" t="s">
        <v>51</v>
      </c>
    </row>
    <row r="14522" spans="1:14" x14ac:dyDescent="0.15">
      <c r="A14522" s="23" t="str">
        <f>HYPERLINK("https://www.spark-marketing.ru/Card/Person/27857", "ФГБУ ""САКСКИЙ ВКС ИМ. Н.И. ПИРОГОВА"" МИНОБОРОНЫ РОССИИ")</f>
        <v>ФГБУ "САКСКИЙ ВКС ИМ. Н.И. ПИРОГОВА" МИНОБОРОНЫ РОССИИ</v>
      </c>
      <c r="B14522" s="24" t="s">
        <v>19299</v>
      </c>
      <c r="C14522" s="25">
        <v>1930650.01</v>
      </c>
      <c r="D14522" s="22" t="s">
        <v>19300</v>
      </c>
      <c r="E14522" s="22" t="s">
        <v>19301</v>
      </c>
      <c r="F14522" s="23" t="str">
        <f>HYPERLINK("https://www.spark-marketing.ru/Card/Lot/71800374", "Оказание услуг по изготовлению и монтажу фасадных вывесок")</f>
        <v>Оказание услуг по изготовлению и монтажу фасадных вывесок</v>
      </c>
      <c r="G14522" s="22" t="s">
        <v>108</v>
      </c>
      <c r="H14522" s="22" t="s">
        <v>19302</v>
      </c>
      <c r="I14522" s="26">
        <v>43644.692442129599</v>
      </c>
      <c r="J14522" s="28" t="s">
        <v>51</v>
      </c>
      <c r="K14522" s="28" t="s">
        <v>51</v>
      </c>
      <c r="L14522" s="28" t="s">
        <v>51</v>
      </c>
      <c r="M14522" s="28" t="s">
        <v>51</v>
      </c>
      <c r="N14522" s="28" t="s">
        <v>51</v>
      </c>
    </row>
    <row r="14523" spans="1:14" x14ac:dyDescent="0.15">
      <c r="A14523" s="23" t="str">
        <f>HYPERLINK("https://www.spark-marketing.ru/Card/Person/31947", "ГБУЗ МО ""НРБ № 1""")</f>
        <v>ГБУЗ МО "НРБ № 1"</v>
      </c>
      <c r="B14523" s="24" t="s">
        <v>19303</v>
      </c>
      <c r="C14523" s="25">
        <v>1026957.98</v>
      </c>
      <c r="D14523" s="22" t="s">
        <v>19304</v>
      </c>
      <c r="E14523" s="22" t="s">
        <v>19305</v>
      </c>
      <c r="F14523" s="23" t="str">
        <f>HYPERLINK("https://www.spark-marketing.ru/Card/Lot/71801724", "Поставка типографской продукции (журналы, бланки)")</f>
        <v>Поставка типографской продукции (журналы, бланки)</v>
      </c>
      <c r="G14523" s="22" t="s">
        <v>49</v>
      </c>
      <c r="H14523" s="22" t="s">
        <v>15701</v>
      </c>
      <c r="I14523" s="26">
        <v>43644.676782407398</v>
      </c>
      <c r="J14523" s="28" t="s">
        <v>51</v>
      </c>
      <c r="K14523" s="28" t="s">
        <v>51</v>
      </c>
      <c r="L14523" s="28" t="s">
        <v>51</v>
      </c>
      <c r="M14523" s="28" t="s">
        <v>51</v>
      </c>
      <c r="N14523" s="28" t="s">
        <v>51</v>
      </c>
    </row>
    <row r="14524" spans="1:14" hidden="1" outlineLevel="1" x14ac:dyDescent="0.2">
      <c r="A14524" s="23" t="str">
        <f>HYPERLINK("https://www.spark-marketing.ru/Card/Person/31947", "ГБУЗ МО ""НРБ № 1""")</f>
        <v>ГБУЗ МО "НРБ № 1"</v>
      </c>
      <c r="B14524" s="24" t="s">
        <v>19303</v>
      </c>
      <c r="C14524" s="25">
        <v>1026957.98</v>
      </c>
      <c r="D14524" s="22" t="s">
        <v>19304</v>
      </c>
      <c r="E14524" s="22" t="s">
        <v>19305</v>
      </c>
      <c r="F14524" s="23" t="str">
        <f>HYPERLINK("https://www.spark-marketing.ru/Card/Lot/71801724", "Поставка типографской продукции (журналы, бланки)")</f>
        <v>Поставка типографской продукции (журналы, бланки)</v>
      </c>
      <c r="G14524" s="22" t="s">
        <v>49</v>
      </c>
      <c r="H14524" s="22" t="s">
        <v>15701</v>
      </c>
      <c r="I14524" s="26">
        <v>43644.676782407398</v>
      </c>
      <c r="J14524" s="23" t="str">
        <f>HYPERLINK("https://www.spark-marketing.ru/Card/Person/183917", "ООО ""КАНЦТОВАРЫ""")</f>
        <v>ООО "КАНЦТОВАРЫ"</v>
      </c>
      <c r="K14524" s="24" t="s">
        <v>6208</v>
      </c>
      <c r="L14524" s="28" t="s">
        <v>51</v>
      </c>
      <c r="M14524" s="25">
        <v>600000</v>
      </c>
      <c r="N14524" s="27">
        <v>0.41575019456979145</v>
      </c>
    </row>
    <row r="14525" spans="1:14" hidden="1" outlineLevel="1" x14ac:dyDescent="0.2">
      <c r="A14525" s="23" t="str">
        <f>HYPERLINK("https://www.spark-marketing.ru/Card/Person/31947", "ГБУЗ МО ""НРБ № 1""")</f>
        <v>ГБУЗ МО "НРБ № 1"</v>
      </c>
      <c r="B14525" s="24" t="s">
        <v>19303</v>
      </c>
      <c r="C14525" s="25">
        <v>1026957.98</v>
      </c>
      <c r="D14525" s="22" t="s">
        <v>19304</v>
      </c>
      <c r="E14525" s="22" t="s">
        <v>19305</v>
      </c>
      <c r="F14525" s="23" t="str">
        <f>HYPERLINK("https://www.spark-marketing.ru/Card/Lot/71801724", "Поставка типографской продукции (журналы, бланки)")</f>
        <v>Поставка типографской продукции (журналы, бланки)</v>
      </c>
      <c r="G14525" s="22" t="s">
        <v>49</v>
      </c>
      <c r="H14525" s="22" t="s">
        <v>15701</v>
      </c>
      <c r="I14525" s="26">
        <v>43644.676782407398</v>
      </c>
      <c r="J14525" s="23" t="str">
        <f>HYPERLINK("https://www.spark-marketing.ru/Card/Person/6631976", "ООО ""ТИПОГРАФИЯ ФОРМАТ""")</f>
        <v>ООО "ТИПОГРАФИЯ ФОРМАТ"</v>
      </c>
      <c r="K14525" s="24" t="s">
        <v>6193</v>
      </c>
      <c r="L14525" s="28" t="s">
        <v>51</v>
      </c>
      <c r="M14525" s="25">
        <v>709730</v>
      </c>
      <c r="N14525" s="27">
        <v>0.30890064265336348</v>
      </c>
    </row>
    <row r="14526" spans="1:14" ht="12.75" hidden="1" outlineLevel="1" x14ac:dyDescent="0.2">
      <c r="A14526" s="23" t="str">
        <f>HYPERLINK("https://www.spark-marketing.ru/Card/Person/31947", "ГБУЗ МО ""НРБ № 1""")</f>
        <v>ГБУЗ МО "НРБ № 1"</v>
      </c>
      <c r="B14526" s="24" t="s">
        <v>19303</v>
      </c>
      <c r="C14526" s="25">
        <v>1026957.98</v>
      </c>
      <c r="D14526" s="22" t="s">
        <v>19304</v>
      </c>
      <c r="E14526" s="22" t="s">
        <v>19305</v>
      </c>
      <c r="F14526" s="23" t="str">
        <f>HYPERLINK("https://www.spark-marketing.ru/Card/Lot/71801724", "Поставка типографской продукции (журналы, бланки)")</f>
        <v>Поставка типографской продукции (журналы, бланки)</v>
      </c>
      <c r="G14526" s="22" t="s">
        <v>49</v>
      </c>
      <c r="H14526" s="22" t="s">
        <v>15701</v>
      </c>
      <c r="I14526" s="26">
        <v>43644.676782407398</v>
      </c>
      <c r="J14526" s="23" t="str">
        <f>HYPERLINK("https://www.spark-marketing.ru/Card/Person/6444850", "ДМИТРИЕВ АЛЕКСАНДР ВАСИЛЬЕВИЧ")</f>
        <v>ДМИТРИЕВ АЛЕКСАНДР ВАСИЛЬЕВИЧ</v>
      </c>
      <c r="K14526" s="24" t="s">
        <v>12763</v>
      </c>
      <c r="L14526" s="22" t="s">
        <v>10</v>
      </c>
      <c r="M14526" s="25">
        <v>594865</v>
      </c>
      <c r="N14526" s="27">
        <v>0.42075039915459833</v>
      </c>
    </row>
    <row r="14527" spans="1:14" hidden="1" outlineLevel="1" x14ac:dyDescent="0.2">
      <c r="A14527" s="23" t="str">
        <f>HYPERLINK("https://www.spark-marketing.ru/Card/Person/31947", "ГБУЗ МО ""НРБ № 1""")</f>
        <v>ГБУЗ МО "НРБ № 1"</v>
      </c>
      <c r="B14527" s="24" t="s">
        <v>19303</v>
      </c>
      <c r="C14527" s="25">
        <v>1026957.98</v>
      </c>
      <c r="D14527" s="22" t="s">
        <v>19304</v>
      </c>
      <c r="E14527" s="22" t="s">
        <v>19305</v>
      </c>
      <c r="F14527" s="23" t="str">
        <f>HYPERLINK("https://www.spark-marketing.ru/Card/Lot/71801724", "Поставка типографской продукции (журналы, бланки)")</f>
        <v>Поставка типографской продукции (журналы, бланки)</v>
      </c>
      <c r="G14527" s="22" t="s">
        <v>49</v>
      </c>
      <c r="H14527" s="22" t="s">
        <v>15701</v>
      </c>
      <c r="I14527" s="26">
        <v>43644.676782407398</v>
      </c>
      <c r="J14527" s="23" t="str">
        <f>HYPERLINK("https://www.spark-marketing.ru/Card/Person/69489", "Мочалов Сергей Вячеславович")</f>
        <v>Мочалов Сергей Вячеславович</v>
      </c>
      <c r="K14527" s="24" t="s">
        <v>19306</v>
      </c>
      <c r="L14527" s="28" t="s">
        <v>51</v>
      </c>
      <c r="M14527" s="25">
        <v>699000</v>
      </c>
      <c r="N14527" s="27">
        <v>0.31934897667380702</v>
      </c>
    </row>
    <row r="14528" spans="1:14" x14ac:dyDescent="0.15">
      <c r="A14528" s="23" t="str">
        <f>HYPERLINK("https://www.spark-marketing.ru/Card/Person/31172", "ГБУЗ МО ""ПГКБ""")</f>
        <v>ГБУЗ МО "ПГКБ"</v>
      </c>
      <c r="B14528" s="24" t="s">
        <v>4883</v>
      </c>
      <c r="C14528" s="25">
        <v>9690638.4499999993</v>
      </c>
      <c r="D14528" s="22" t="s">
        <v>19307</v>
      </c>
      <c r="E14528" s="22" t="s">
        <v>48</v>
      </c>
      <c r="F14528" s="23" t="str">
        <f>HYPERLINK("https://www.spark-marketing.ru/Card/Lot/71801788",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14528" s="22" t="s">
        <v>49</v>
      </c>
      <c r="H14528" s="22" t="s">
        <v>50</v>
      </c>
      <c r="I14528" s="26">
        <v>43644.701435185198</v>
      </c>
      <c r="J14528" s="28" t="s">
        <v>51</v>
      </c>
      <c r="K14528" s="28" t="s">
        <v>51</v>
      </c>
      <c r="L14528" s="28" t="s">
        <v>51</v>
      </c>
      <c r="M14528" s="28" t="s">
        <v>51</v>
      </c>
      <c r="N14528" s="28" t="s">
        <v>51</v>
      </c>
    </row>
    <row r="14529" spans="1:14" ht="12.75" hidden="1" outlineLevel="1" x14ac:dyDescent="0.2">
      <c r="A14529" s="23" t="str">
        <f>HYPERLINK("https://www.spark-marketing.ru/Card/Person/31172", "ГБУЗ МО ""ПГКБ""")</f>
        <v>ГБУЗ МО "ПГКБ"</v>
      </c>
      <c r="B14529" s="24" t="s">
        <v>4883</v>
      </c>
      <c r="C14529" s="25">
        <v>9690638.4499999993</v>
      </c>
      <c r="D14529" s="22" t="s">
        <v>19307</v>
      </c>
      <c r="E14529" s="22" t="s">
        <v>48</v>
      </c>
      <c r="F14529" s="23" t="str">
        <f>HYPERLINK("https://www.spark-marketing.ru/Card/Lot/71801788",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14529" s="22" t="s">
        <v>49</v>
      </c>
      <c r="H14529" s="22" t="s">
        <v>50</v>
      </c>
      <c r="I14529" s="26">
        <v>43644.701435185198</v>
      </c>
      <c r="J14529" s="23" t="str">
        <f>HYPERLINK("https://www.spark-marketing.ru/Card/Person/47262", "МУП ""ПКП И ОРТ""")</f>
        <v>МУП "ПКП И ОРТ"</v>
      </c>
      <c r="K14529" s="24" t="s">
        <v>4140</v>
      </c>
      <c r="L14529" s="22" t="s">
        <v>10</v>
      </c>
      <c r="M14529" s="25">
        <v>6686540.21</v>
      </c>
      <c r="N14529" s="27">
        <v>0.31000003307315627</v>
      </c>
    </row>
    <row r="14530" spans="1:14" hidden="1" outlineLevel="1" x14ac:dyDescent="0.2">
      <c r="A14530" s="23" t="str">
        <f>HYPERLINK("https://www.spark-marketing.ru/Card/Person/31172", "ГБУЗ МО ""ПГКБ""")</f>
        <v>ГБУЗ МО "ПГКБ"</v>
      </c>
      <c r="B14530" s="24" t="s">
        <v>4883</v>
      </c>
      <c r="C14530" s="25">
        <v>9690638.4499999993</v>
      </c>
      <c r="D14530" s="22" t="s">
        <v>19307</v>
      </c>
      <c r="E14530" s="22" t="s">
        <v>48</v>
      </c>
      <c r="F14530" s="23" t="str">
        <f>HYPERLINK("https://www.spark-marketing.ru/Card/Lot/71801788",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14530" s="22" t="s">
        <v>49</v>
      </c>
      <c r="H14530" s="22" t="s">
        <v>50</v>
      </c>
      <c r="I14530" s="26">
        <v>43644.701435185198</v>
      </c>
      <c r="J14530" s="23" t="str">
        <f>HYPERLINK("https://www.spark-marketing.ru/Card/Person/4688348", "ООО ""КОМБИНАТ ПИТАНИЯ ""МК""")</f>
        <v>ООО "КОМБИНАТ ПИТАНИЯ "МК"</v>
      </c>
      <c r="K14530" s="24" t="s">
        <v>11806</v>
      </c>
      <c r="L14530" s="28" t="s">
        <v>51</v>
      </c>
      <c r="M14530" s="25">
        <v>7752510.6100000003</v>
      </c>
      <c r="N14530" s="27">
        <v>0.20000001547885629</v>
      </c>
    </row>
    <row r="14531" spans="1:14" hidden="1" outlineLevel="1" x14ac:dyDescent="0.2">
      <c r="A14531" s="23" t="str">
        <f>HYPERLINK("https://www.spark-marketing.ru/Card/Person/31172", "ГБУЗ МО ""ПГКБ""")</f>
        <v>ГБУЗ МО "ПГКБ"</v>
      </c>
      <c r="B14531" s="24" t="s">
        <v>4883</v>
      </c>
      <c r="C14531" s="25">
        <v>9690638.4499999993</v>
      </c>
      <c r="D14531" s="22" t="s">
        <v>19307</v>
      </c>
      <c r="E14531" s="22" t="s">
        <v>48</v>
      </c>
      <c r="F14531" s="23" t="str">
        <f>HYPERLINK("https://www.spark-marketing.ru/Card/Lot/71801788",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14531" s="22" t="s">
        <v>49</v>
      </c>
      <c r="H14531" s="22" t="s">
        <v>50</v>
      </c>
      <c r="I14531" s="26">
        <v>43644.701435185198</v>
      </c>
      <c r="J14531" s="23" t="str">
        <f>HYPERLINK("https://www.spark-marketing.ru/Card/Person/593174", "ООО ""А.М.К.+""")</f>
        <v>ООО "А.М.К.+"</v>
      </c>
      <c r="K14531" s="24" t="s">
        <v>7364</v>
      </c>
      <c r="L14531" s="28" t="s">
        <v>51</v>
      </c>
      <c r="M14531" s="25">
        <v>6734993.4100000001</v>
      </c>
      <c r="N14531" s="27">
        <v>0.30500003227341538</v>
      </c>
    </row>
    <row r="14532" spans="1:14" x14ac:dyDescent="0.15">
      <c r="A14532" s="23" t="str">
        <f>HYPERLINK("https://www.spark-marketing.ru/Card/Person/117469", "ОТДЕЛ МВД РОССИИ ПО КРАСНОАРМЕЙСКОМУ РАЙОНУ САРАТОВСКОЙ ОБЛАСТИ")</f>
        <v>ОТДЕЛ МВД РОССИИ ПО КРАСНОАРМЕЙСКОМУ РАЙОНУ САРАТОВСКОЙ ОБЛАСТИ</v>
      </c>
      <c r="B14532" s="24" t="s">
        <v>3616</v>
      </c>
      <c r="C14532" s="25">
        <v>422433</v>
      </c>
      <c r="D14532" s="22" t="s">
        <v>19308</v>
      </c>
      <c r="E14532" s="22" t="s">
        <v>96</v>
      </c>
      <c r="F14532" s="23" t="str">
        <f>HYPERLINK("https://www.spark-marketing.ru/Card/Lot/71809483", "Оказание услуг по организации трехразового горячего питания лиц, содержащихся в изоляторе временного содержания подозреваемых и обвиняемых Отдела МВД России по Красноармейскому району Саратовской области")</f>
        <v>Оказание услуг по организации трехразового горячего питания лиц, содержащихся в изоляторе временного содержания подозреваемых и обвиняемых Отдела МВД России по Красноармейскому району Саратовской области</v>
      </c>
      <c r="G14532" s="22" t="s">
        <v>351</v>
      </c>
      <c r="H14532" s="22" t="s">
        <v>3618</v>
      </c>
      <c r="I14532" s="26">
        <v>43644.688888888901</v>
      </c>
      <c r="J14532" s="23" t="str">
        <f>HYPERLINK("https://www.spark-marketing.ru/Card/Person/535831", "ООО ""РУССКИЙ ТРАКТИР""")</f>
        <v>ООО "РУССКИЙ ТРАКТИР"</v>
      </c>
      <c r="K14532" s="24" t="s">
        <v>3619</v>
      </c>
      <c r="L14532" s="22" t="s">
        <v>10</v>
      </c>
      <c r="M14532" s="28" t="s">
        <v>51</v>
      </c>
      <c r="N14532" s="28" t="s">
        <v>51</v>
      </c>
    </row>
    <row r="14533" spans="1:14" x14ac:dyDescent="0.2">
      <c r="A14533" s="23" t="str">
        <f>HYPERLINK("https://www.spark-marketing.ru/Card/Person/1384851", "МАУ ""ЛЕДОВЫЙ ДВОРЕЦ СПОРТА""")</f>
        <v>МАУ "ЛЕДОВЫЙ ДВОРЕЦ СПОРТА"</v>
      </c>
      <c r="B14533" s="24" t="s">
        <v>4202</v>
      </c>
      <c r="C14533" s="25">
        <v>684000</v>
      </c>
      <c r="D14533" s="22" t="s">
        <v>19309</v>
      </c>
      <c r="E14533" s="22" t="s">
        <v>1210</v>
      </c>
      <c r="F14533" s="23" t="str">
        <f>HYPERLINK("https://www.spark-marketing.ru/Card/Lot/71776884", "Оказание услуг по организации проживания и питания занимающихся хоккейной команды ""Олимпиец"" 2003 г.р.")</f>
        <v>Оказание услуг по организации проживания и питания занимающихся хоккейной команды "Олимпиец" 2003 г.р.</v>
      </c>
      <c r="G14533" s="22" t="s">
        <v>217</v>
      </c>
      <c r="H14533" s="22" t="s">
        <v>217</v>
      </c>
      <c r="I14533" s="26">
        <v>43644.670925925901</v>
      </c>
      <c r="J14533" s="28" t="s">
        <v>51</v>
      </c>
      <c r="K14533" s="28" t="s">
        <v>51</v>
      </c>
      <c r="L14533" s="22" t="s">
        <v>10</v>
      </c>
      <c r="M14533" s="25">
        <v>684000</v>
      </c>
      <c r="N14533" s="27">
        <v>0</v>
      </c>
    </row>
    <row r="14534" spans="1:14" x14ac:dyDescent="0.15">
      <c r="A14534" s="23" t="str">
        <f>HYPERLINK("https://www.spark-marketing.ru/Card/Person/62146", "ГБУ МО ""СШОР ПО ЛЕТНИМ ВИДАМ СПОРТА""")</f>
        <v>ГБУ МО "СШОР ПО ЛЕТНИМ ВИДАМ СПОРТА"</v>
      </c>
      <c r="B14534" s="24" t="s">
        <v>19310</v>
      </c>
      <c r="C14534" s="25">
        <v>1149750</v>
      </c>
      <c r="D14534" s="22" t="s">
        <v>19311</v>
      </c>
      <c r="E14534" s="22" t="s">
        <v>374</v>
      </c>
      <c r="F14534" s="23" t="str">
        <f>HYPERLINK("https://www.spark-marketing.ru/Card/Lot/71801723", "Оказание услуг по обеспечению питания и проживания лиц, проходящих спортивную подготовку")</f>
        <v>Оказание услуг по обеспечению питания и проживания лиц, проходящих спортивную подготовку</v>
      </c>
      <c r="G14534" s="22" t="s">
        <v>49</v>
      </c>
      <c r="H14534" s="22" t="s">
        <v>1185</v>
      </c>
      <c r="I14534" s="26">
        <v>43644.676678240699</v>
      </c>
      <c r="J14534" s="23" t="str">
        <f>HYPERLINK("https://www.spark-marketing.ru/Card/Person/6635183", "ООО ""КСК ""СЕРГИЕВ ПОСАД""")</f>
        <v>ООО "КСК "СЕРГИЕВ ПОСАД"</v>
      </c>
      <c r="K14534" s="24" t="s">
        <v>19312</v>
      </c>
      <c r="L14534" s="28" t="s">
        <v>51</v>
      </c>
      <c r="M14534" s="28" t="s">
        <v>51</v>
      </c>
      <c r="N14534" s="28" t="s">
        <v>51</v>
      </c>
    </row>
    <row r="14535" spans="1:14" ht="12.75" hidden="1" outlineLevel="1" x14ac:dyDescent="0.2">
      <c r="A14535" s="23" t="str">
        <f>HYPERLINK("https://www.spark-marketing.ru/Card/Person/62146", "ГБУ МО ""СШОР ПО ЛЕТНИМ ВИДАМ СПОРТА""")</f>
        <v>ГБУ МО "СШОР ПО ЛЕТНИМ ВИДАМ СПОРТА"</v>
      </c>
      <c r="B14535" s="24" t="s">
        <v>19310</v>
      </c>
      <c r="C14535" s="25">
        <v>1149750</v>
      </c>
      <c r="D14535" s="22" t="s">
        <v>19311</v>
      </c>
      <c r="E14535" s="22" t="s">
        <v>374</v>
      </c>
      <c r="F14535" s="23" t="str">
        <f>HYPERLINK("https://www.spark-marketing.ru/Card/Lot/71801723", "Оказание услуг по обеспечению питания и проживания лиц, проходящих спортивную подготовку")</f>
        <v>Оказание услуг по обеспечению питания и проживания лиц, проходящих спортивную подготовку</v>
      </c>
      <c r="G14535" s="22" t="s">
        <v>49</v>
      </c>
      <c r="H14535" s="22" t="s">
        <v>1185</v>
      </c>
      <c r="I14535" s="26">
        <v>43644.676678240699</v>
      </c>
      <c r="J14535" s="23" t="str">
        <f>HYPERLINK("https://www.spark-marketing.ru/Card/Person/6635183", "ООО ""КСК ""СЕРГИЕВ ПОСАД""")</f>
        <v>ООО "КСК "СЕРГИЕВ ПОСАД"</v>
      </c>
      <c r="K14535" s="24" t="s">
        <v>19312</v>
      </c>
      <c r="L14535" s="22" t="s">
        <v>10</v>
      </c>
      <c r="M14535" s="25">
        <v>1144001</v>
      </c>
      <c r="N14535" s="27">
        <v>5.0002174385736032E-3</v>
      </c>
    </row>
    <row r="14536" spans="1:14" x14ac:dyDescent="0.15">
      <c r="A14536" s="23" t="str">
        <f>HYPERLINK("https://www.spark-marketing.ru/Card/Person/32254", "ФКУ ДПО МУЦ УФСИН РОССИИ ПО МОСКОВСКОЙ ОБЛАСТИ")</f>
        <v>ФКУ ДПО МУЦ УФСИН РОССИИ ПО МОСКОВСКОЙ ОБЛАСТИ</v>
      </c>
      <c r="B14536" s="24" t="s">
        <v>2525</v>
      </c>
      <c r="C14536" s="25">
        <v>499875</v>
      </c>
      <c r="D14536" s="22" t="s">
        <v>19313</v>
      </c>
      <c r="E14536" s="22" t="s">
        <v>48</v>
      </c>
      <c r="F14536" s="23" t="str">
        <f>HYPERLINK("https://www.spark-marketing.ru/Card/Lot/71801766", "услуги по организации питания для слушателей, прибывающих на специальное первоначальное обучение")</f>
        <v>услуги по организации питания для слушателей, прибывающих на специальное первоначальное обучение</v>
      </c>
      <c r="G14536" s="22" t="s">
        <v>49</v>
      </c>
      <c r="H14536" s="22" t="s">
        <v>742</v>
      </c>
      <c r="I14536" s="26">
        <v>43644.692488425899</v>
      </c>
      <c r="J14536" s="23" t="str">
        <f>HYPERLINK("https://www.spark-marketing.ru/Card/Person/5909954", "Кан Юрий Иннокентьевич")</f>
        <v>Кан Юрий Иннокентьевич</v>
      </c>
      <c r="K14536" s="24" t="s">
        <v>2527</v>
      </c>
      <c r="L14536" s="22" t="s">
        <v>10</v>
      </c>
      <c r="M14536" s="28" t="s">
        <v>51</v>
      </c>
      <c r="N14536" s="28" t="s">
        <v>51</v>
      </c>
    </row>
    <row r="14537" spans="1:14" x14ac:dyDescent="0.15">
      <c r="A14537" s="23" t="str">
        <f>HYPERLINK("https://www.spark-marketing.ru/Card/Person/418059", "ГКАУ ""ЦСП ПЕРМСКОГО КРАЯ""")</f>
        <v>ГКАУ "ЦСП ПЕРМСКОГО КРАЯ"</v>
      </c>
      <c r="B14537" s="24" t="s">
        <v>10611</v>
      </c>
      <c r="C14537" s="25">
        <v>308420</v>
      </c>
      <c r="D14537" s="22" t="s">
        <v>19314</v>
      </c>
      <c r="E14537" s="22" t="s">
        <v>19315</v>
      </c>
      <c r="F14537" s="23" t="str">
        <f>HYPERLINK("https://www.spark-marketing.ru/Card/Lot/71777734", "Услуги по предоставлению спортивного сооружения, ежедневного горячего питания, временного проживания в период проведения ТМ в составе сборной команды Пермского края (мужчины, юниоры, юниорки, старший возраст) по лыжным гонкам (44/51)")</f>
        <v>Услуги по предоставлению спортивного сооружения, ежедневного горячего питания, временного проживания в период проведения ТМ в составе сборной команды Пермского края (мужчины, юниоры, юниорки, старший возраст) по лыжным гонкам (44/51)</v>
      </c>
      <c r="G14537" s="22" t="s">
        <v>153</v>
      </c>
      <c r="H14537" s="22" t="s">
        <v>153</v>
      </c>
      <c r="I14537" s="26">
        <v>43644.707152777803</v>
      </c>
      <c r="J14537" s="28" t="s">
        <v>51</v>
      </c>
      <c r="K14537" s="28" t="s">
        <v>51</v>
      </c>
      <c r="L14537" s="28" t="s">
        <v>51</v>
      </c>
      <c r="M14537" s="28" t="s">
        <v>51</v>
      </c>
      <c r="N14537" s="28" t="s">
        <v>51</v>
      </c>
    </row>
    <row r="14538" spans="1:14" x14ac:dyDescent="0.2">
      <c r="A14538" s="23" t="str">
        <f>HYPERLINK("https://www.spark-marketing.ru/Card/Person/1384851", "МАУ ""ЛЕДОВЫЙ ДВОРЕЦ СПОРТА""")</f>
        <v>МАУ "ЛЕДОВЫЙ ДВОРЕЦ СПОРТА"</v>
      </c>
      <c r="B14538" s="24" t="s">
        <v>4202</v>
      </c>
      <c r="C14538" s="25">
        <v>648000</v>
      </c>
      <c r="D14538" s="22" t="s">
        <v>19316</v>
      </c>
      <c r="E14538" s="22" t="s">
        <v>1418</v>
      </c>
      <c r="F14538" s="23" t="str">
        <f>HYPERLINK("https://www.spark-marketing.ru/Card/Lot/71777725", "Оказание услуг по организации проживания и питания занимающихся хоккейной команды ""Олимпиец"" 2005 г.р.")</f>
        <v>Оказание услуг по организации проживания и питания занимающихся хоккейной команды "Олимпиец" 2005 г.р.</v>
      </c>
      <c r="G14538" s="22" t="s">
        <v>217</v>
      </c>
      <c r="H14538" s="22" t="s">
        <v>217</v>
      </c>
      <c r="I14538" s="26">
        <v>43644.701701388898</v>
      </c>
      <c r="J14538" s="28" t="s">
        <v>51</v>
      </c>
      <c r="K14538" s="28" t="s">
        <v>51</v>
      </c>
      <c r="L14538" s="22" t="s">
        <v>10</v>
      </c>
      <c r="M14538" s="25">
        <v>648000</v>
      </c>
      <c r="N14538" s="27">
        <v>0</v>
      </c>
    </row>
    <row r="14539" spans="1:14" x14ac:dyDescent="0.15">
      <c r="A14539" s="23" t="str">
        <f>HYPERLINK("https://www.spark-marketing.ru/Card/Person/118752", "МО МВД РОССИИ ""КАРГАТСКИЙ""")</f>
        <v>МО МВД РОССИИ "КАРГАТСКИЙ"</v>
      </c>
      <c r="B14539" s="24" t="s">
        <v>5680</v>
      </c>
      <c r="C14539" s="25">
        <v>263784</v>
      </c>
      <c r="D14539" s="22" t="s">
        <v>19317</v>
      </c>
      <c r="E14539" s="22" t="s">
        <v>48</v>
      </c>
      <c r="F14539" s="23" t="str">
        <f>HYPERLINK("https://www.spark-marketing.ru/Card/Lot/71803138", "услуги по обеспечению горячим питанием")</f>
        <v>услуги по обеспечению горячим питанием</v>
      </c>
      <c r="G14539" s="22" t="s">
        <v>195</v>
      </c>
      <c r="H14539" s="22" t="s">
        <v>19318</v>
      </c>
      <c r="I14539" s="26">
        <v>43644.668553240699</v>
      </c>
      <c r="J14539" s="23" t="str">
        <f>HYPERLINK("https://www.spark-marketing.ru/Card/Person/6625902", "Волкова Алена Викторовна")</f>
        <v>Волкова Алена Викторовна</v>
      </c>
      <c r="K14539" s="24" t="s">
        <v>19319</v>
      </c>
      <c r="L14539" s="22" t="s">
        <v>10</v>
      </c>
      <c r="M14539" s="28" t="s">
        <v>51</v>
      </c>
      <c r="N14539" s="28" t="s">
        <v>51</v>
      </c>
    </row>
    <row r="14540" spans="1:14" x14ac:dyDescent="0.2">
      <c r="A14540" s="23" t="str">
        <f>HYPERLINK("https://www.spark-marketing.ru/Card/Person/1384851", "МАУ ""ЛЕДОВЫЙ ДВОРЕЦ СПОРТА""")</f>
        <v>МАУ "ЛЕДОВЫЙ ДВОРЕЦ СПОРТА"</v>
      </c>
      <c r="B14540" s="24" t="s">
        <v>4202</v>
      </c>
      <c r="C14540" s="25">
        <v>418000</v>
      </c>
      <c r="D14540" s="22" t="s">
        <v>19320</v>
      </c>
      <c r="E14540" s="22" t="s">
        <v>1210</v>
      </c>
      <c r="F14540" s="23" t="str">
        <f>HYPERLINK("https://www.spark-marketing.ru/Card/Lot/71776958", "Оказание услуг по организации проживания и питания занимающихся хоккейной команды ""Олимпиец"" 2004 г.р.")</f>
        <v>Оказание услуг по организации проживания и питания занимающихся хоккейной команды "Олимпиец" 2004 г.р.</v>
      </c>
      <c r="G14540" s="22" t="s">
        <v>217</v>
      </c>
      <c r="H14540" s="22" t="s">
        <v>217</v>
      </c>
      <c r="I14540" s="26">
        <v>43644.685011574104</v>
      </c>
      <c r="J14540" s="28" t="s">
        <v>51</v>
      </c>
      <c r="K14540" s="28" t="s">
        <v>51</v>
      </c>
      <c r="L14540" s="22" t="s">
        <v>10</v>
      </c>
      <c r="M14540" s="25">
        <v>418000</v>
      </c>
      <c r="N14540" s="27">
        <v>0</v>
      </c>
    </row>
    <row r="14541" spans="1:14" x14ac:dyDescent="0.15">
      <c r="A14541" s="23" t="str">
        <f>HYPERLINK("https://www.spark-marketing.ru/Card/Person/88541", "ГБУЗ ""ДГБ Г. НОВОРОССИЙСКА"" МЗ КК")</f>
        <v>ГБУЗ "ДГБ Г. НОВОРОССИЙСКА" МЗ КК</v>
      </c>
      <c r="B14541" s="24" t="s">
        <v>1687</v>
      </c>
      <c r="C14541" s="25">
        <v>499800</v>
      </c>
      <c r="D14541" s="22" t="s">
        <v>19321</v>
      </c>
      <c r="E14541" s="22" t="s">
        <v>96</v>
      </c>
      <c r="F14541" s="23" t="str">
        <f>HYPERLINK("https://www.spark-marketing.ru/Card/Lot/71799775", "Оказание услуг по обеспечению трехразовым лечебным горячим питанием пациентов, находящихся на стационарном лечении")</f>
        <v>Оказание услуг по обеспечению трехразовым лечебным горячим питанием пациентов, находящихся на стационарном лечении</v>
      </c>
      <c r="G14541" s="22" t="s">
        <v>104</v>
      </c>
      <c r="H14541" s="22" t="s">
        <v>1689</v>
      </c>
      <c r="I14541" s="26">
        <v>43644.683240740698</v>
      </c>
      <c r="J14541" s="28" t="s">
        <v>51</v>
      </c>
      <c r="K14541" s="28" t="s">
        <v>51</v>
      </c>
      <c r="L14541" s="28" t="s">
        <v>51</v>
      </c>
      <c r="M14541" s="28" t="s">
        <v>51</v>
      </c>
      <c r="N14541" s="28" t="s">
        <v>51</v>
      </c>
    </row>
    <row r="14542" spans="1:14" ht="12.75" hidden="1" outlineLevel="1" x14ac:dyDescent="0.2">
      <c r="A14542" s="23" t="str">
        <f>HYPERLINK("https://www.spark-marketing.ru/Card/Person/88541", "ГБУЗ ""ДГБ Г. НОВОРОССИЙСКА"" МЗ КК")</f>
        <v>ГБУЗ "ДГБ Г. НОВОРОССИЙСКА" МЗ КК</v>
      </c>
      <c r="B14542" s="24" t="s">
        <v>1687</v>
      </c>
      <c r="C14542" s="25">
        <v>499800</v>
      </c>
      <c r="D14542" s="22" t="s">
        <v>19321</v>
      </c>
      <c r="E14542" s="22" t="s">
        <v>96</v>
      </c>
      <c r="F14542" s="23" t="str">
        <f>HYPERLINK("https://www.spark-marketing.ru/Card/Lot/71799775", "Оказание услуг по обеспечению трехразовым лечебным горячим питанием пациентов, находящихся на стационарном лечении")</f>
        <v>Оказание услуг по обеспечению трехразовым лечебным горячим питанием пациентов, находящихся на стационарном лечении</v>
      </c>
      <c r="G14542" s="22" t="s">
        <v>104</v>
      </c>
      <c r="H14542" s="22" t="s">
        <v>1689</v>
      </c>
      <c r="I14542" s="26">
        <v>43644.683240740698</v>
      </c>
      <c r="J14542" s="23" t="str">
        <f>HYPERLINK("https://www.spark-marketing.ru/Card/Person/54395", "Третьяков Вячеслав Викторович")</f>
        <v>Третьяков Вячеслав Викторович</v>
      </c>
      <c r="K14542" s="24" t="s">
        <v>1690</v>
      </c>
      <c r="L14542" s="22" t="s">
        <v>10</v>
      </c>
      <c r="M14542" s="25">
        <v>289884</v>
      </c>
      <c r="N14542" s="27">
        <v>0.42</v>
      </c>
    </row>
    <row r="14543" spans="1:14" hidden="1" outlineLevel="1" x14ac:dyDescent="0.2">
      <c r="A14543" s="23" t="str">
        <f>HYPERLINK("https://www.spark-marketing.ru/Card/Person/88541", "ГБУЗ ""ДГБ Г. НОВОРОССИЙСКА"" МЗ КК")</f>
        <v>ГБУЗ "ДГБ Г. НОВОРОССИЙСКА" МЗ КК</v>
      </c>
      <c r="B14543" s="24" t="s">
        <v>1687</v>
      </c>
      <c r="C14543" s="25">
        <v>499800</v>
      </c>
      <c r="D14543" s="22" t="s">
        <v>19321</v>
      </c>
      <c r="E14543" s="22" t="s">
        <v>96</v>
      </c>
      <c r="F14543" s="23" t="str">
        <f>HYPERLINK("https://www.spark-marketing.ru/Card/Lot/71799775", "Оказание услуг по обеспечению трехразовым лечебным горячим питанием пациентов, находящихся на стационарном лечении")</f>
        <v>Оказание услуг по обеспечению трехразовым лечебным горячим питанием пациентов, находящихся на стационарном лечении</v>
      </c>
      <c r="G14543" s="22" t="s">
        <v>104</v>
      </c>
      <c r="H14543" s="22" t="s">
        <v>1689</v>
      </c>
      <c r="I14543" s="26">
        <v>43644.683240740698</v>
      </c>
      <c r="J14543" s="23" t="str">
        <f>HYPERLINK("https://www.spark-marketing.ru/Card/Person/2461569", "ООО ""КОНСТАНТИНОВ""")</f>
        <v>ООО "КОНСТАНТИНОВ"</v>
      </c>
      <c r="K14543" s="24" t="s">
        <v>1691</v>
      </c>
      <c r="L14543" s="28" t="s">
        <v>51</v>
      </c>
      <c r="M14543" s="25">
        <v>292383</v>
      </c>
      <c r="N14543" s="27">
        <v>0.41499999999999998</v>
      </c>
    </row>
    <row r="14544" spans="1:14" x14ac:dyDescent="0.15">
      <c r="A14544" s="23" t="str">
        <f>HYPERLINK("https://www.spark-marketing.ru/Card/Person/998240", "МОУ ""СРЕДНЯЯ ШКОЛА № 4""")</f>
        <v>МОУ "СРЕДНЯЯ ШКОЛА № 4"</v>
      </c>
      <c r="B14544" s="24" t="s">
        <v>19322</v>
      </c>
      <c r="C14544" s="25">
        <v>382887</v>
      </c>
      <c r="D14544" s="22" t="s">
        <v>19323</v>
      </c>
      <c r="E14544" s="22" t="s">
        <v>48</v>
      </c>
      <c r="F14544" s="23" t="str">
        <f>HYPERLINK("https://www.spark-marketing.ru/Card/Lot/71809424", "Услуги по организации горячего питания учащихся муниципального общеобразовательного учреждения «Средняя школа № 4» города Кимры Тверской области")</f>
        <v>Услуги по организации горячего питания учащихся муниципального общеобразовательного учреждения «Средняя школа № 4» города Кимры Тверской области</v>
      </c>
      <c r="G14544" s="22" t="s">
        <v>137</v>
      </c>
      <c r="H14544" s="22" t="s">
        <v>1431</v>
      </c>
      <c r="I14544" s="26">
        <v>43644.670833333301</v>
      </c>
      <c r="J14544" s="28" t="s">
        <v>51</v>
      </c>
      <c r="K14544" s="28" t="s">
        <v>51</v>
      </c>
      <c r="L14544" s="28" t="s">
        <v>51</v>
      </c>
      <c r="M14544" s="28" t="s">
        <v>51</v>
      </c>
      <c r="N14544" s="28" t="s">
        <v>51</v>
      </c>
    </row>
    <row r="14545" spans="1:14" ht="12.75" hidden="1" outlineLevel="1" x14ac:dyDescent="0.2">
      <c r="A14545" s="23" t="str">
        <f>HYPERLINK("https://www.spark-marketing.ru/Card/Person/998240", "МОУ ""СРЕДНЯЯ ШКОЛА № 4""")</f>
        <v>МОУ "СРЕДНЯЯ ШКОЛА № 4"</v>
      </c>
      <c r="B14545" s="24" t="s">
        <v>19322</v>
      </c>
      <c r="C14545" s="25">
        <v>382887</v>
      </c>
      <c r="D14545" s="22" t="s">
        <v>19323</v>
      </c>
      <c r="E14545" s="22" t="s">
        <v>48</v>
      </c>
      <c r="F14545" s="23" t="str">
        <f>HYPERLINK("https://www.spark-marketing.ru/Card/Lot/71809424", "Услуги по организации горячего питания учащихся муниципального общеобразовательного учреждения «Средняя школа № 4» города Кимры Тверской области")</f>
        <v>Услуги по организации горячего питания учащихся муниципального общеобразовательного учреждения «Средняя школа № 4» города Кимры Тверской области</v>
      </c>
      <c r="G14545" s="22" t="s">
        <v>137</v>
      </c>
      <c r="H14545" s="22" t="s">
        <v>1431</v>
      </c>
      <c r="I14545" s="26">
        <v>43644.670833333301</v>
      </c>
      <c r="J14545" s="23" t="str">
        <f>HYPERLINK("https://www.spark-marketing.ru/Card/Person/331373", "Платонова Елена Павловна")</f>
        <v>Платонова Елена Павловна</v>
      </c>
      <c r="K14545" s="24" t="s">
        <v>1433</v>
      </c>
      <c r="L14545" s="22" t="s">
        <v>10</v>
      </c>
      <c r="M14545" s="25">
        <v>225450</v>
      </c>
      <c r="N14545" s="27">
        <v>0.41118397856286582</v>
      </c>
    </row>
    <row r="14546" spans="1:14" hidden="1" outlineLevel="1" x14ac:dyDescent="0.2">
      <c r="A14546" s="23" t="str">
        <f>HYPERLINK("https://www.spark-marketing.ru/Card/Person/998240", "МОУ ""СРЕДНЯЯ ШКОЛА № 4""")</f>
        <v>МОУ "СРЕДНЯЯ ШКОЛА № 4"</v>
      </c>
      <c r="B14546" s="24" t="s">
        <v>19322</v>
      </c>
      <c r="C14546" s="25">
        <v>382887</v>
      </c>
      <c r="D14546" s="22" t="s">
        <v>19323</v>
      </c>
      <c r="E14546" s="22" t="s">
        <v>48</v>
      </c>
      <c r="F14546" s="23" t="str">
        <f>HYPERLINK("https://www.spark-marketing.ru/Card/Lot/71809424", "Услуги по организации горячего питания учащихся муниципального общеобразовательного учреждения «Средняя школа № 4» города Кимры Тверской области")</f>
        <v>Услуги по организации горячего питания учащихся муниципального общеобразовательного учреждения «Средняя школа № 4» города Кимры Тверской области</v>
      </c>
      <c r="G14546" s="22" t="s">
        <v>137</v>
      </c>
      <c r="H14546" s="22" t="s">
        <v>1431</v>
      </c>
      <c r="I14546" s="26">
        <v>43644.670833333301</v>
      </c>
      <c r="J14546" s="23" t="str">
        <f>HYPERLINK("https://www.spark-marketing.ru/Card/Person/622548", "Лукьянова Мария Анатольевна")</f>
        <v>Лукьянова Мария Анатольевна</v>
      </c>
      <c r="K14546" s="24" t="s">
        <v>1432</v>
      </c>
      <c r="L14546" s="28" t="s">
        <v>51</v>
      </c>
      <c r="M14546" s="25">
        <v>306309</v>
      </c>
      <c r="N14546" s="27">
        <v>0.20000156704197322</v>
      </c>
    </row>
    <row r="14547" spans="1:14" x14ac:dyDescent="0.15">
      <c r="A14547" s="23" t="str">
        <f>HYPERLINK("https://www.spark-marketing.ru/Card/Person/44240", "УПРАВА РАЙОНА ИВАНОВСКОЕ ГОРОДА МОСКВЫ")</f>
        <v>УПРАВА РАЙОНА ИВАНОВСКОЕ ГОРОДА МОСКВЫ</v>
      </c>
      <c r="B14547" s="24" t="s">
        <v>19324</v>
      </c>
      <c r="C14547" s="25">
        <v>597800</v>
      </c>
      <c r="D14547" s="22" t="s">
        <v>19325</v>
      </c>
      <c r="E14547" s="22" t="s">
        <v>96</v>
      </c>
      <c r="F14547" s="23" t="str">
        <f>HYPERLINK("https://www.spark-marketing.ru/Card/Lot/71802575", "Оказание услуг по организации питания членов территориальной (окружной), участковых избирательных комиссий района Ивановское города Москвы и привлеченных лиц, задействованных в обеспечении и проведении выборов в Московскую городскую Думу 08 сентября ...")</f>
        <v>Оказание услуг по организации питания членов территориальной (окружной), участковых избирательных комиссий района Ивановское города Москвы и привлеченных лиц, задействованных в обеспечении и проведении выборов в Московскую городскую Думу 08 сентября ...</v>
      </c>
      <c r="G14547" s="22" t="s">
        <v>56</v>
      </c>
      <c r="H14547" s="22" t="s">
        <v>56</v>
      </c>
      <c r="I14547" s="26">
        <v>43644.673634259299</v>
      </c>
      <c r="J14547" s="28" t="s">
        <v>51</v>
      </c>
      <c r="K14547" s="28" t="s">
        <v>51</v>
      </c>
      <c r="L14547" s="28" t="s">
        <v>51</v>
      </c>
      <c r="M14547" s="28" t="s">
        <v>51</v>
      </c>
      <c r="N14547" s="28" t="s">
        <v>51</v>
      </c>
    </row>
    <row r="14548" spans="1:14" ht="12.75" hidden="1" outlineLevel="1" x14ac:dyDescent="0.2">
      <c r="A14548" s="23" t="str">
        <f>HYPERLINK("https://www.spark-marketing.ru/Card/Person/44240", "УПРАВА РАЙОНА ИВАНОВСКОЕ ГОРОДА МОСКВЫ")</f>
        <v>УПРАВА РАЙОНА ИВАНОВСКОЕ ГОРОДА МОСКВЫ</v>
      </c>
      <c r="B14548" s="24" t="s">
        <v>19324</v>
      </c>
      <c r="C14548" s="25">
        <v>597800</v>
      </c>
      <c r="D14548" s="22" t="s">
        <v>19325</v>
      </c>
      <c r="E14548" s="22" t="s">
        <v>96</v>
      </c>
      <c r="F14548" s="23" t="str">
        <f>HYPERLINK("https://www.spark-marketing.ru/Card/Lot/71802575", "Оказание услуг по организации питания членов территориальной (окружной), участковых избирательных комиссий района Ивановское города Москвы и привлеченных лиц, задействованных в обеспечении и проведении выборов в Московскую городскую Думу 08 сентября ...")</f>
        <v>Оказание услуг по организации питания членов территориальной (окружной), участковых избирательных комиссий района Ивановское города Москвы и привлеченных лиц, задействованных в обеспечении и проведении выборов в Московскую городскую Думу 08 сентября ...</v>
      </c>
      <c r="G14548" s="22" t="s">
        <v>56</v>
      </c>
      <c r="H14548" s="22" t="s">
        <v>56</v>
      </c>
      <c r="I14548" s="26">
        <v>43644.673634259299</v>
      </c>
      <c r="J14548" s="23" t="str">
        <f>HYPERLINK("https://www.spark-marketing.ru/Card/Person/4052353", "ООО ""ЕВРОКОР""")</f>
        <v>ООО "ЕВРОКОР"</v>
      </c>
      <c r="K14548" s="24" t="s">
        <v>9698</v>
      </c>
      <c r="L14548" s="22" t="s">
        <v>10</v>
      </c>
      <c r="M14548" s="25">
        <v>502152</v>
      </c>
      <c r="N14548" s="27">
        <v>0.16</v>
      </c>
    </row>
    <row r="14549" spans="1:14" hidden="1" outlineLevel="1" x14ac:dyDescent="0.2">
      <c r="A14549" s="23" t="str">
        <f>HYPERLINK("https://www.spark-marketing.ru/Card/Person/44240", "УПРАВА РАЙОНА ИВАНОВСКОЕ ГОРОДА МОСКВЫ")</f>
        <v>УПРАВА РАЙОНА ИВАНОВСКОЕ ГОРОДА МОСКВЫ</v>
      </c>
      <c r="B14549" s="24" t="s">
        <v>19324</v>
      </c>
      <c r="C14549" s="25">
        <v>597800</v>
      </c>
      <c r="D14549" s="22" t="s">
        <v>19325</v>
      </c>
      <c r="E14549" s="22" t="s">
        <v>96</v>
      </c>
      <c r="F14549" s="23" t="str">
        <f>HYPERLINK("https://www.spark-marketing.ru/Card/Lot/71802575", "Оказание услуг по организации питания членов территориальной (окружной), участковых избирательных комиссий района Ивановское города Москвы и привлеченных лиц, задействованных в обеспечении и проведении выборов в Московскую городскую Думу 08 сентября ...")</f>
        <v>Оказание услуг по организации питания членов территориальной (окружной), участковых избирательных комиссий района Ивановское города Москвы и привлеченных лиц, задействованных в обеспечении и проведении выборов в Московскую городскую Думу 08 сентября ...</v>
      </c>
      <c r="G14549" s="22" t="s">
        <v>56</v>
      </c>
      <c r="H14549" s="22" t="s">
        <v>56</v>
      </c>
      <c r="I14549" s="26">
        <v>43644.673634259299</v>
      </c>
      <c r="J14549" s="23" t="str">
        <f>HYPERLINK("https://www.spark-marketing.ru/Card/Person/2042423", "ООО ""ТФ ПРОДЖЕКТ""")</f>
        <v>ООО "ТФ ПРОДЖЕКТ"</v>
      </c>
      <c r="K14549" s="24" t="s">
        <v>9610</v>
      </c>
      <c r="L14549" s="28" t="s">
        <v>51</v>
      </c>
      <c r="M14549" s="25">
        <v>505141</v>
      </c>
      <c r="N14549" s="27">
        <v>0.155</v>
      </c>
    </row>
    <row r="14550" spans="1:14" x14ac:dyDescent="0.2">
      <c r="A14550" s="23" t="str">
        <f>HYPERLINK("https://www.spark-marketing.ru/Card/Person/4348787", "КРЫМСКИЙ ФЕДЕРАЛЬНЫЙ УНИВЕРСИТЕТ ИМЕНИ В.И. ВЕРНАДСКОГО, ФГАОУ ВО ""КФУ ИМ. В.И. ВЕРНАДСКОГО""")</f>
        <v>КРЫМСКИЙ ФЕДЕРАЛЬНЫЙ УНИВЕРСИТЕТ ИМЕНИ В.И. ВЕРНАДСКОГО, ФГАОУ ВО "КФУ ИМ. В.И. ВЕРНАДСКОГО"</v>
      </c>
      <c r="B14550" s="24" t="s">
        <v>11772</v>
      </c>
      <c r="C14550" s="25">
        <v>968000</v>
      </c>
      <c r="D14550" s="22" t="s">
        <v>19326</v>
      </c>
      <c r="E14550" s="22" t="s">
        <v>362</v>
      </c>
      <c r="F14550" s="23" t="str">
        <f>HYPERLINK("https://www.spark-marketing.ru/Card/Lot/71788711", "Услуги по организации 3-х разового горячего питания обучающихся в летний период 2019 года")</f>
        <v>Услуги по организации 3-х разового горячего питания обучающихся в летний период 2019 года</v>
      </c>
      <c r="G14550" s="22" t="s">
        <v>108</v>
      </c>
      <c r="H14550" s="22" t="s">
        <v>108</v>
      </c>
      <c r="I14550" s="26">
        <v>43644.705995370401</v>
      </c>
      <c r="J14550" s="28" t="s">
        <v>51</v>
      </c>
      <c r="K14550" s="28" t="s">
        <v>51</v>
      </c>
      <c r="L14550" s="22" t="s">
        <v>10</v>
      </c>
      <c r="M14550" s="25">
        <v>960000</v>
      </c>
      <c r="N14550" s="27">
        <v>8.2644628099173556E-3</v>
      </c>
    </row>
    <row r="14551" spans="1:14" x14ac:dyDescent="0.2">
      <c r="A14551" s="23" t="str">
        <f>HYPERLINK("https://www.spark-marketing.ru/Card/Person/44967", "ФГАОУ ВО ""ДАЛЬНЕВОСТОЧНЫЙ ФЕДЕРАЛЬНЫЙ УНИВЕРСИТЕТ"", ДАЛЬНЕВОСТОЧНЫЙ ФЕДЕРАЛЬНЫЙ УНИВЕРСИТЕТ, ФГАОУ ВО ДВФУ, ДВФУ")</f>
        <v>ФГАОУ ВО "ДАЛЬНЕВОСТОЧНЫЙ ФЕДЕРАЛЬНЫЙ УНИВЕРСИТЕТ", ДАЛЬНЕВОСТОЧНЫЙ ФЕДЕРАЛЬНЫЙ УНИВЕРСИТЕТ, ФГАОУ ВО ДВФУ, ДВФУ</v>
      </c>
      <c r="B14551" s="24" t="s">
        <v>19327</v>
      </c>
      <c r="C14551" s="25">
        <v>883874</v>
      </c>
      <c r="D14551" s="22" t="s">
        <v>19328</v>
      </c>
      <c r="E14551" s="22" t="s">
        <v>19329</v>
      </c>
      <c r="F14551" s="23" t="str">
        <f>HYPERLINK("https://www.spark-marketing.ru/Card/Lot/71762955", "Оказание услуг по восстановлению работоспособности источника бесперебойного питания для нужд Медицинского центра ДВФУ")</f>
        <v>Оказание услуг по восстановлению работоспособности источника бесперебойного питания для нужд Медицинского центра ДВФУ</v>
      </c>
      <c r="G14551" s="22" t="s">
        <v>543</v>
      </c>
      <c r="H14551" s="22" t="s">
        <v>543</v>
      </c>
      <c r="I14551" s="26">
        <v>43644.681597222203</v>
      </c>
      <c r="J14551" s="28" t="s">
        <v>51</v>
      </c>
      <c r="K14551" s="28" t="s">
        <v>51</v>
      </c>
      <c r="L14551" s="22" t="s">
        <v>10</v>
      </c>
      <c r="M14551" s="25">
        <v>883874</v>
      </c>
      <c r="N14551" s="27">
        <v>0</v>
      </c>
    </row>
    <row r="14552" spans="1:14" x14ac:dyDescent="0.15">
      <c r="A14552" s="23" t="str">
        <f>HYPERLINK("https://www.spark-marketing.ru/Card/Person/4343631", "КРАСНОДАРСКАЯ ТАМОЖНЯ")</f>
        <v>КРАСНОДАРСКАЯ ТАМОЖНЯ</v>
      </c>
      <c r="B14552" s="24" t="s">
        <v>19330</v>
      </c>
      <c r="C14552" s="25">
        <v>2580664</v>
      </c>
      <c r="D14552" s="22" t="s">
        <v>19331</v>
      </c>
      <c r="E14552" s="22" t="s">
        <v>355</v>
      </c>
      <c r="F14552" s="23" t="str">
        <f>HYPERLINK("https://www.spark-marketing.ru/Card/Lot/71799426", "оказание услуг по техническому обслуживанию дизель-генераторных установок и источников бесперебойного питания на объектах Краснодарской таможни.")</f>
        <v>оказание услуг по техническому обслуживанию дизель-генераторных установок и источников бесперебойного питания на объектах Краснодарской таможни.</v>
      </c>
      <c r="G14552" s="22" t="s">
        <v>104</v>
      </c>
      <c r="H14552" s="22" t="s">
        <v>104</v>
      </c>
      <c r="I14552" s="26">
        <v>43644.668657407397</v>
      </c>
      <c r="J14552" s="28" t="s">
        <v>51</v>
      </c>
      <c r="K14552" s="28" t="s">
        <v>51</v>
      </c>
      <c r="L14552" s="28" t="s">
        <v>51</v>
      </c>
      <c r="M14552" s="28" t="s">
        <v>51</v>
      </c>
      <c r="N14552" s="28" t="s">
        <v>51</v>
      </c>
    </row>
    <row r="14553" spans="1:14" hidden="1" outlineLevel="1" x14ac:dyDescent="0.2">
      <c r="A14553" s="23" t="str">
        <f>HYPERLINK("https://www.spark-marketing.ru/Card/Person/4343631", "КРАСНОДАРСКАЯ ТАМОЖНЯ")</f>
        <v>КРАСНОДАРСКАЯ ТАМОЖНЯ</v>
      </c>
      <c r="B14553" s="24" t="s">
        <v>19330</v>
      </c>
      <c r="C14553" s="25">
        <v>2580664</v>
      </c>
      <c r="D14553" s="22" t="s">
        <v>19331</v>
      </c>
      <c r="E14553" s="22" t="s">
        <v>355</v>
      </c>
      <c r="F14553" s="23" t="str">
        <f>HYPERLINK("https://www.spark-marketing.ru/Card/Lot/71799426", "оказание услуг по техническому обслуживанию дизель-генераторных установок и источников бесперебойного питания на объектах Краснодарской таможни.")</f>
        <v>оказание услуг по техническому обслуживанию дизель-генераторных установок и источников бесперебойного питания на объектах Краснодарской таможни.</v>
      </c>
      <c r="G14553" s="22" t="s">
        <v>104</v>
      </c>
      <c r="H14553" s="22" t="s">
        <v>104</v>
      </c>
      <c r="I14553" s="26">
        <v>43644.668657407397</v>
      </c>
      <c r="J14553" s="23" t="str">
        <f>HYPERLINK("https://www.spark-marketing.ru/Card/Person/4411740", "Труфанов Евгений Сергеевич")</f>
        <v>Труфанов Евгений Сергеевич</v>
      </c>
      <c r="K14553" s="24" t="s">
        <v>19332</v>
      </c>
      <c r="L14553" s="28" t="s">
        <v>51</v>
      </c>
      <c r="M14553" s="25">
        <v>980652.32</v>
      </c>
      <c r="N14553" s="27">
        <v>0.62</v>
      </c>
    </row>
    <row r="14554" spans="1:14" hidden="1" outlineLevel="1" x14ac:dyDescent="0.2">
      <c r="A14554" s="23" t="str">
        <f>HYPERLINK("https://www.spark-marketing.ru/Card/Person/4343631", "КРАСНОДАРСКАЯ ТАМОЖНЯ")</f>
        <v>КРАСНОДАРСКАЯ ТАМОЖНЯ</v>
      </c>
      <c r="B14554" s="24" t="s">
        <v>19330</v>
      </c>
      <c r="C14554" s="25">
        <v>2580664</v>
      </c>
      <c r="D14554" s="22" t="s">
        <v>19331</v>
      </c>
      <c r="E14554" s="22" t="s">
        <v>355</v>
      </c>
      <c r="F14554" s="23" t="str">
        <f>HYPERLINK("https://www.spark-marketing.ru/Card/Lot/71799426", "оказание услуг по техническому обслуживанию дизель-генераторных установок и источников бесперебойного питания на объектах Краснодарской таможни.")</f>
        <v>оказание услуг по техническому обслуживанию дизель-генераторных установок и источников бесперебойного питания на объектах Краснодарской таможни.</v>
      </c>
      <c r="G14554" s="22" t="s">
        <v>104</v>
      </c>
      <c r="H14554" s="22" t="s">
        <v>104</v>
      </c>
      <c r="I14554" s="26">
        <v>43644.668657407397</v>
      </c>
      <c r="J14554" s="23" t="str">
        <f>HYPERLINK("https://www.spark-marketing.ru/Card/Person/1493609", "ООО ""ГИЛЬДИЯ""")</f>
        <v>ООО "ГИЛЬДИЯ"</v>
      </c>
      <c r="K14554" s="24" t="s">
        <v>19333</v>
      </c>
      <c r="L14554" s="28" t="s">
        <v>51</v>
      </c>
      <c r="M14554" s="25">
        <v>993555.64</v>
      </c>
      <c r="N14554" s="27">
        <v>0.61499999999999999</v>
      </c>
    </row>
    <row r="14555" spans="1:14" x14ac:dyDescent="0.15">
      <c r="A14555" s="23" t="str">
        <f>HYPERLINK("https://www.spark-marketing.ru/Card/Person/4346801", "ФГАОУ ВО ""СЕВАСТОПОЛЬСКИЙ ГОСУДАРСТВЕННЫЙ УНИВЕРСИТЕТ""")</f>
        <v>ФГАОУ ВО "СЕВАСТОПОЛЬСКИЙ ГОСУДАРСТВЕННЫЙ УНИВЕРСИТЕТ"</v>
      </c>
      <c r="B14555" s="24" t="s">
        <v>8964</v>
      </c>
      <c r="C14555" s="25">
        <v>200000</v>
      </c>
      <c r="D14555" s="22" t="s">
        <v>19334</v>
      </c>
      <c r="E14555" s="22" t="s">
        <v>562</v>
      </c>
      <c r="F14555" s="23" t="str">
        <f>HYPERLINK("https://www.spark-marketing.ru/Card/Lot/71789215", "Оказание услуг по организации проживания и питания летнего образовательного интенсива (школы)")</f>
        <v>Оказание услуг по организации проживания и питания летнего образовательного интенсива (школы)</v>
      </c>
      <c r="G14555" s="22" t="s">
        <v>322</v>
      </c>
      <c r="H14555" s="22" t="s">
        <v>322</v>
      </c>
      <c r="I14555" s="26">
        <v>43644.679108796299</v>
      </c>
      <c r="J14555" s="28" t="s">
        <v>51</v>
      </c>
      <c r="K14555" s="28" t="s">
        <v>51</v>
      </c>
      <c r="L14555" s="28" t="s">
        <v>51</v>
      </c>
      <c r="M14555" s="28" t="s">
        <v>51</v>
      </c>
      <c r="N14555" s="28" t="s">
        <v>51</v>
      </c>
    </row>
    <row r="14556" spans="1:14" x14ac:dyDescent="0.2">
      <c r="A14556" s="23" t="str">
        <f>HYPERLINK("https://www.spark-marketing.ru/Card/Person/1384851", "МАУ ""ЛЕДОВЫЙ ДВОРЕЦ СПОРТА""")</f>
        <v>МАУ "ЛЕДОВЫЙ ДВОРЕЦ СПОРТА"</v>
      </c>
      <c r="B14556" s="24" t="s">
        <v>4202</v>
      </c>
      <c r="C14556" s="25">
        <v>359100</v>
      </c>
      <c r="D14556" s="22" t="s">
        <v>19335</v>
      </c>
      <c r="E14556" s="22" t="s">
        <v>362</v>
      </c>
      <c r="F14556" s="23" t="str">
        <f>HYPERLINK("https://www.spark-marketing.ru/Card/Lot/71777736", "Оказание услуг по организации питания при проведении тренировочных мероприятий занимающихся отделения ""хоккей с шайбой"" ""Олимпиец"" 2006 г.р.")</f>
        <v>Оказание услуг по организации питания при проведении тренировочных мероприятий занимающихся отделения "хоккей с шайбой" "Олимпиец" 2006 г.р.</v>
      </c>
      <c r="G14556" s="22" t="s">
        <v>766</v>
      </c>
      <c r="H14556" s="22" t="s">
        <v>766</v>
      </c>
      <c r="I14556" s="26">
        <v>43644.707650463002</v>
      </c>
      <c r="J14556" s="28" t="s">
        <v>51</v>
      </c>
      <c r="K14556" s="28" t="s">
        <v>51</v>
      </c>
      <c r="L14556" s="22" t="s">
        <v>10</v>
      </c>
      <c r="M14556" s="25">
        <v>359100</v>
      </c>
      <c r="N14556" s="27">
        <v>0</v>
      </c>
    </row>
    <row r="14557" spans="1:14" x14ac:dyDescent="0.2">
      <c r="A14557" s="23" t="str">
        <f>HYPERLINK("https://www.spark-marketing.ru/Card/Person/1390375", "ФГАУ ""УПРАВЛЕНИЕ СПОРТМЕРОПРИЯТИЙ""")</f>
        <v>ФГАУ "УПРАВЛЕНИЕ СПОРТМЕРОПРИЯТИЙ"</v>
      </c>
      <c r="B14557" s="24" t="s">
        <v>2632</v>
      </c>
      <c r="C14557" s="25">
        <v>3427200</v>
      </c>
      <c r="D14557" s="22" t="s">
        <v>19336</v>
      </c>
      <c r="E14557" s="22" t="s">
        <v>769</v>
      </c>
      <c r="F14557" s="23" t="str">
        <f>HYPERLINK("https://www.spark-marketing.ru/Card/Lot/71784463", "Оказание услуг по организации проживания и питания участников Всероссийских соревнований по футболу ""Кожаный мяч"" - финальные соревнования среди девочек 2004-2005 гг.р.")</f>
        <v>Оказание услуг по организации проживания и питания участников Всероссийских соревнований по футболу "Кожаный мяч" - финальные соревнования среди девочек 2004-2005 гг.р.</v>
      </c>
      <c r="G14557" s="22" t="s">
        <v>104</v>
      </c>
      <c r="H14557" s="22" t="s">
        <v>104</v>
      </c>
      <c r="I14557" s="26">
        <v>43644.682546296302</v>
      </c>
      <c r="J14557" s="28" t="s">
        <v>51</v>
      </c>
      <c r="K14557" s="28" t="s">
        <v>51</v>
      </c>
      <c r="L14557" s="28" t="s">
        <v>51</v>
      </c>
      <c r="M14557" s="25">
        <v>3427200</v>
      </c>
      <c r="N14557" s="27">
        <v>0</v>
      </c>
    </row>
    <row r="14558" spans="1:14" x14ac:dyDescent="0.15">
      <c r="A14558" s="23" t="str">
        <f>HYPERLINK("https://www.spark-marketing.ru/Card/Person/1066710", "МОАУ КОНСТАНТИНОВСКАЯ СОШ")</f>
        <v>МОАУ КОНСТАНТИНОВСКАЯ СОШ</v>
      </c>
      <c r="B14558" s="24" t="s">
        <v>3275</v>
      </c>
      <c r="C14558" s="25">
        <v>426486</v>
      </c>
      <c r="D14558" s="22" t="s">
        <v>19337</v>
      </c>
      <c r="E14558" s="22" t="s">
        <v>362</v>
      </c>
      <c r="F14558" s="23" t="str">
        <f>HYPERLINK("https://www.spark-marketing.ru/Card/Lot/71762949", "Услуги школьных столовых по организации питания детей, посещающих пришкольный лагерь.")</f>
        <v>Услуги школьных столовых по организации питания детей, посещающих пришкольный лагерь.</v>
      </c>
      <c r="G14558" s="22" t="s">
        <v>210</v>
      </c>
      <c r="H14558" s="22" t="s">
        <v>210</v>
      </c>
      <c r="I14558" s="26">
        <v>43644.661307870403</v>
      </c>
      <c r="J14558" s="28" t="s">
        <v>51</v>
      </c>
      <c r="K14558" s="28" t="s">
        <v>51</v>
      </c>
      <c r="L14558" s="28" t="s">
        <v>51</v>
      </c>
      <c r="M14558" s="28" t="s">
        <v>51</v>
      </c>
      <c r="N14558" s="28" t="s">
        <v>51</v>
      </c>
    </row>
    <row r="14559" spans="1:14" x14ac:dyDescent="0.15">
      <c r="A14559" s="23" t="str">
        <f>HYPERLINK("https://www.spark-marketing.ru/Card/Person/1758508", "МАУ ""СШОР ""КРАСНЫЙ ЯР""")</f>
        <v>МАУ "СШОР "КРАСНЫЙ ЯР"</v>
      </c>
      <c r="B14559" s="24" t="s">
        <v>2680</v>
      </c>
      <c r="C14559" s="25">
        <v>383400</v>
      </c>
      <c r="D14559" s="22" t="s">
        <v>19338</v>
      </c>
      <c r="E14559" s="22" t="s">
        <v>2682</v>
      </c>
      <c r="F14559" s="23" t="str">
        <f>HYPERLINK("https://www.spark-marketing.ru/Card/Lot/71767569", "Гостиничные услуги по размещению, питанию и услугтрансфера")</f>
        <v>Гостиничные услуги по размещению, питанию и услугтрансфера</v>
      </c>
      <c r="G14559" s="22" t="s">
        <v>49</v>
      </c>
      <c r="H14559" s="22" t="s">
        <v>49</v>
      </c>
      <c r="I14559" s="26">
        <v>43644.627881944398</v>
      </c>
      <c r="J14559" s="28" t="s">
        <v>51</v>
      </c>
      <c r="K14559" s="28" t="s">
        <v>51</v>
      </c>
      <c r="L14559" s="28" t="s">
        <v>51</v>
      </c>
      <c r="M14559" s="28" t="s">
        <v>51</v>
      </c>
      <c r="N14559" s="28" t="s">
        <v>51</v>
      </c>
    </row>
    <row r="14560" spans="1:14" x14ac:dyDescent="0.2">
      <c r="A14560" s="23" t="str">
        <f>HYPERLINK("https://www.spark-marketing.ru/Card/Person/80615", "ЦЕНТР КУЛЬТУРЫ ""РЕКОРД"", ЦК ""РЕКОРД""")</f>
        <v>ЦЕНТР КУЛЬТУРЫ "РЕКОРД", ЦК "РЕКОРД"</v>
      </c>
      <c r="B14560" s="24" t="s">
        <v>19339</v>
      </c>
      <c r="C14560" s="25">
        <v>1350124</v>
      </c>
      <c r="D14560" s="22" t="s">
        <v>19340</v>
      </c>
      <c r="E14560" s="22" t="s">
        <v>19341</v>
      </c>
      <c r="F14560" s="23" t="str">
        <f>HYPERLINK("https://www.spark-marketing.ru/Card/Lot/71779587", "Услуги питания гостей и участников мероприятия в рамках проведения Всероссийского театрального марафона")</f>
        <v>Услуги питания гостей и участников мероприятия в рамках проведения Всероссийского театрального марафона</v>
      </c>
      <c r="G14560" s="22" t="s">
        <v>76</v>
      </c>
      <c r="H14560" s="22" t="s">
        <v>76</v>
      </c>
      <c r="I14560" s="26">
        <v>43644.635983796303</v>
      </c>
      <c r="J14560" s="28" t="s">
        <v>51</v>
      </c>
      <c r="K14560" s="28" t="s">
        <v>51</v>
      </c>
      <c r="L14560" s="28" t="s">
        <v>51</v>
      </c>
      <c r="M14560" s="25">
        <v>1350124</v>
      </c>
      <c r="N14560" s="27">
        <v>0</v>
      </c>
    </row>
    <row r="14561" spans="1:14" x14ac:dyDescent="0.2">
      <c r="A14561" s="23" t="str">
        <f>HYPERLINK("https://www.spark-marketing.ru/Card/Person/80615", "ЦЕНТР КУЛЬТУРЫ ""РЕКОРД"", ЦК ""РЕКОРД""")</f>
        <v>ЦЕНТР КУЛЬТУРЫ "РЕКОРД", ЦК "РЕКОРД"</v>
      </c>
      <c r="B14561" s="24" t="s">
        <v>19339</v>
      </c>
      <c r="C14561" s="25">
        <v>183876</v>
      </c>
      <c r="D14561" s="22" t="s">
        <v>19342</v>
      </c>
      <c r="E14561" s="22" t="s">
        <v>562</v>
      </c>
      <c r="F14561" s="23" t="str">
        <f>HYPERLINK("https://www.spark-marketing.ru/Card/Lot/71779746", "Услуги питания гостей и участников мероприятия в рамках проведения Всероссийского театрального марафона")</f>
        <v>Услуги питания гостей и участников мероприятия в рамках проведения Всероссийского театрального марафона</v>
      </c>
      <c r="G14561" s="22" t="s">
        <v>76</v>
      </c>
      <c r="H14561" s="22" t="s">
        <v>76</v>
      </c>
      <c r="I14561" s="26">
        <v>43644.646759259304</v>
      </c>
      <c r="J14561" s="28" t="s">
        <v>51</v>
      </c>
      <c r="K14561" s="28" t="s">
        <v>51</v>
      </c>
      <c r="L14561" s="28" t="s">
        <v>51</v>
      </c>
      <c r="M14561" s="25">
        <v>183876</v>
      </c>
      <c r="N14561" s="27">
        <v>0</v>
      </c>
    </row>
    <row r="14562" spans="1:14" x14ac:dyDescent="0.15">
      <c r="A14562" s="23" t="str">
        <f>HYPERLINK("https://www.spark-marketing.ru/Card/Person/11601", "АДМИНИСТРАЦИЯ ГОРОДСКОГО ОКРУГА ИСТРА")</f>
        <v>АДМИНИСТРАЦИЯ ГОРОДСКОГО ОКРУГА ИСТРА</v>
      </c>
      <c r="B14562" s="24" t="s">
        <v>19343</v>
      </c>
      <c r="C14562" s="25">
        <v>741249.9</v>
      </c>
      <c r="D14562" s="22" t="s">
        <v>19344</v>
      </c>
      <c r="E14562" s="22" t="s">
        <v>1632</v>
      </c>
      <c r="F14562" s="23" t="str">
        <f>HYPERLINK("https://www.spark-marketing.ru/Card/Lot/71801447", "Оказание услуг по организации проживания и питания для членов официальных иностранных делегаций, прибывающих из городов-побратимов на празднование Дней города Истра и городского округа Истра")</f>
        <v>Оказание услуг по организации проживания и питания для членов официальных иностранных делегаций, прибывающих из городов-побратимов на празднование Дней города Истра и городского округа Истра</v>
      </c>
      <c r="G14562" s="22" t="s">
        <v>49</v>
      </c>
      <c r="H14562" s="22" t="s">
        <v>4820</v>
      </c>
      <c r="I14562" s="26">
        <v>43644.654444444401</v>
      </c>
      <c r="J14562" s="23" t="str">
        <f>HYPERLINK("https://www.spark-marketing.ru/Card/Person/4358897", "ООО ""ТРИНИТИ ТРЕВЕЛ""")</f>
        <v>ООО "ТРИНИТИ ТРЕВЕЛ"</v>
      </c>
      <c r="K14562" s="24" t="s">
        <v>2483</v>
      </c>
      <c r="L14562" s="28" t="s">
        <v>51</v>
      </c>
      <c r="M14562" s="28" t="s">
        <v>51</v>
      </c>
      <c r="N14562" s="28" t="s">
        <v>51</v>
      </c>
    </row>
    <row r="14563" spans="1:14" ht="12.75" hidden="1" outlineLevel="1" x14ac:dyDescent="0.2">
      <c r="A14563" s="23" t="str">
        <f>HYPERLINK("https://www.spark-marketing.ru/Card/Person/11601", "АДМИНИСТРАЦИЯ ГОРОДСКОГО ОКРУГА ИСТРА")</f>
        <v>АДМИНИСТРАЦИЯ ГОРОДСКОГО ОКРУГА ИСТРА</v>
      </c>
      <c r="B14563" s="24" t="s">
        <v>19343</v>
      </c>
      <c r="C14563" s="25">
        <v>741249.9</v>
      </c>
      <c r="D14563" s="22" t="s">
        <v>19344</v>
      </c>
      <c r="E14563" s="22" t="s">
        <v>1632</v>
      </c>
      <c r="F14563" s="23" t="str">
        <f>HYPERLINK("https://www.spark-marketing.ru/Card/Lot/71801447", "Оказание услуг по организации проживания и питания для членов официальных иностранных делегаций, прибывающих из городов-побратимов на празднование Дней города Истра и городского округа Истра")</f>
        <v>Оказание услуг по организации проживания и питания для членов официальных иностранных делегаций, прибывающих из городов-побратимов на празднование Дней города Истра и городского округа Истра</v>
      </c>
      <c r="G14563" s="22" t="s">
        <v>49</v>
      </c>
      <c r="H14563" s="22" t="s">
        <v>4820</v>
      </c>
      <c r="I14563" s="26">
        <v>43644.654444444401</v>
      </c>
      <c r="J14563" s="23" t="str">
        <f>HYPERLINK("https://www.spark-marketing.ru/Card/Person/4358897", "ООО ""ТРИНИТИ ТРЕВЕЛ""")</f>
        <v>ООО "ТРИНИТИ ТРЕВЕЛ"</v>
      </c>
      <c r="K14563" s="24" t="s">
        <v>2483</v>
      </c>
      <c r="L14563" s="22" t="s">
        <v>10</v>
      </c>
      <c r="M14563" s="25">
        <v>737543.65</v>
      </c>
      <c r="N14563" s="27">
        <v>5.000000674536347E-3</v>
      </c>
    </row>
    <row r="14564" spans="1:14" x14ac:dyDescent="0.15">
      <c r="A14564" s="23" t="str">
        <f>HYPERLINK("https://www.spark-marketing.ru/Card/Person/812636", "ОТДЕЛ МВД РОССИИ ПО АГРЫЗСКОМУ РАЙОНУ")</f>
        <v>ОТДЕЛ МВД РОССИИ ПО АГРЫЗСКОМУ РАЙОНУ</v>
      </c>
      <c r="B14564" s="24" t="s">
        <v>9199</v>
      </c>
      <c r="C14564" s="25">
        <v>771000</v>
      </c>
      <c r="D14564" s="22" t="s">
        <v>19345</v>
      </c>
      <c r="E14564" s="22" t="s">
        <v>48</v>
      </c>
      <c r="F14564" s="23" t="str">
        <f>HYPERLINK("https://www.spark-marketing.ru/Card/Lot/71810307", "Прочая закупка услуг (питание лиц, содержащихся в ИВС, СП и КСЗЛ)")</f>
        <v>Прочая закупка услуг (питание лиц, содержащихся в ИВС, СП и КСЗЛ)</v>
      </c>
      <c r="G14564" s="22" t="s">
        <v>217</v>
      </c>
      <c r="H14564" s="22" t="s">
        <v>9201</v>
      </c>
      <c r="I14564" s="26">
        <v>43644.65</v>
      </c>
      <c r="J14564" s="23" t="str">
        <f>HYPERLINK("https://www.spark-marketing.ru/Card/Person/835574", "Насыров Рустам Ринатович")</f>
        <v>Насыров Рустам Ринатович</v>
      </c>
      <c r="K14564" s="24" t="s">
        <v>9202</v>
      </c>
      <c r="L14564" s="22" t="s">
        <v>10</v>
      </c>
      <c r="M14564" s="28" t="s">
        <v>51</v>
      </c>
      <c r="N14564" s="28" t="s">
        <v>51</v>
      </c>
    </row>
    <row r="14565" spans="1:14" x14ac:dyDescent="0.15">
      <c r="A14565" s="23" t="str">
        <f>HYPERLINK("https://www.spark-marketing.ru/Card/Person/781926", "МАОУ ""ТЕХНО-ШКОЛА ИМ. В.П. САВИНЫХ"" Г. ПЕРМИ")</f>
        <v>МАОУ "ТЕХНО-ШКОЛА ИМ. В.П. САВИНЫХ" Г. ПЕРМИ</v>
      </c>
      <c r="B14565" s="24" t="s">
        <v>19346</v>
      </c>
      <c r="C14565" s="25">
        <v>475020</v>
      </c>
      <c r="D14565" s="22" t="s">
        <v>19347</v>
      </c>
      <c r="E14565" s="22" t="s">
        <v>362</v>
      </c>
      <c r="F14565" s="23" t="str">
        <f>HYPERLINK("https://www.spark-marketing.ru/Card/Lot/71771260", "Оказание услуг по организации питания детей ,посещающих лагерь досуга и отдыха на базе МАОУ «Техно-Школа им. В.П. Савиных»г. Перми")</f>
        <v>Оказание услуг по организации питания детей ,посещающих лагерь досуга и отдыха на базе МАОУ «Техно-Школа им. В.П. Савиных»г. Перми</v>
      </c>
      <c r="G14565" s="22" t="s">
        <v>153</v>
      </c>
      <c r="H14565" s="22" t="s">
        <v>153</v>
      </c>
      <c r="I14565" s="26">
        <v>43644.6403587963</v>
      </c>
      <c r="J14565" s="28" t="s">
        <v>51</v>
      </c>
      <c r="K14565" s="28" t="s">
        <v>51</v>
      </c>
      <c r="L14565" s="28" t="s">
        <v>51</v>
      </c>
      <c r="M14565" s="28" t="s">
        <v>51</v>
      </c>
      <c r="N14565" s="28" t="s">
        <v>51</v>
      </c>
    </row>
    <row r="14566" spans="1:14" x14ac:dyDescent="0.2">
      <c r="A14566" s="23" t="str">
        <f>HYPERLINK("https://www.spark-marketing.ru/Card/Person/4348376", "АО ""ЖТК""")</f>
        <v>АО "ЖТК"</v>
      </c>
      <c r="B14566" s="24" t="s">
        <v>2312</v>
      </c>
      <c r="C14566" s="25">
        <v>1008130</v>
      </c>
      <c r="D14566" s="22" t="s">
        <v>19348</v>
      </c>
      <c r="E14566" s="22" t="s">
        <v>19349</v>
      </c>
      <c r="F14566" s="23" t="str">
        <f>HYPERLINK("https://www.spark-marketing.ru/Card/Lot/71778956", "Поставка овощей и фруктов свежих для предприятий общественного питания Свободненского ТПО, оказывающих услуги питания работникам ОАО ""РЖД""")</f>
        <v>Поставка овощей и фруктов свежих для предприятий общественного питания Свободненского ТПО, оказывающих услуги питания работникам ОАО "РЖД"</v>
      </c>
      <c r="G14566" s="22" t="s">
        <v>210</v>
      </c>
      <c r="H14566" s="22" t="s">
        <v>210</v>
      </c>
      <c r="I14566" s="26">
        <v>43644.655011574097</v>
      </c>
      <c r="J14566" s="28" t="s">
        <v>51</v>
      </c>
      <c r="K14566" s="28" t="s">
        <v>51</v>
      </c>
      <c r="L14566" s="22" t="s">
        <v>10</v>
      </c>
      <c r="M14566" s="25">
        <v>905000</v>
      </c>
      <c r="N14566" s="27">
        <v>0.10229831470147699</v>
      </c>
    </row>
    <row r="14567" spans="1:14" x14ac:dyDescent="0.2">
      <c r="A14567" s="23" t="str">
        <f>HYPERLINK("https://www.spark-marketing.ru/Card/Person/4346656", "ФГБУ ""ТЦСКР ""КРЫМСКИЙ""")</f>
        <v>ФГБУ "ТЦСКР "КРЫМСКИЙ"</v>
      </c>
      <c r="B14567" s="24" t="s">
        <v>2225</v>
      </c>
      <c r="C14567" s="25">
        <v>155120</v>
      </c>
      <c r="D14567" s="22" t="s">
        <v>19350</v>
      </c>
      <c r="E14567" s="22" t="s">
        <v>580</v>
      </c>
      <c r="F14567" s="23" t="str">
        <f>HYPERLINK("https://www.spark-marketing.ru/Card/Lot/71777812", "Оказание услуг питания")</f>
        <v>Оказание услуг питания</v>
      </c>
      <c r="G14567" s="22" t="s">
        <v>108</v>
      </c>
      <c r="H14567" s="22" t="s">
        <v>108</v>
      </c>
      <c r="I14567" s="26">
        <v>43644.629236111097</v>
      </c>
      <c r="J14567" s="28" t="s">
        <v>51</v>
      </c>
      <c r="K14567" s="28" t="s">
        <v>51</v>
      </c>
      <c r="L14567" s="28" t="s">
        <v>51</v>
      </c>
      <c r="M14567" s="25">
        <v>155120</v>
      </c>
      <c r="N14567" s="27">
        <v>0</v>
      </c>
    </row>
    <row r="14568" spans="1:14" x14ac:dyDescent="0.15">
      <c r="A14568" s="23" t="str">
        <f>HYPERLINK("https://www.spark-marketing.ru/Card/Person/11733", "РТУ МИРЭА")</f>
        <v>РТУ МИРЭА</v>
      </c>
      <c r="B14568" s="24" t="s">
        <v>1305</v>
      </c>
      <c r="C14568" s="25">
        <v>494000</v>
      </c>
      <c r="D14568" s="22" t="s">
        <v>19351</v>
      </c>
      <c r="E14568" s="22" t="s">
        <v>580</v>
      </c>
      <c r="F14568" s="23" t="str">
        <f>HYPERLINK("https://www.spark-marketing.ru/Card/Lot/71780266", "Оказание услуг по организации питания")</f>
        <v>Оказание услуг по организации питания</v>
      </c>
      <c r="G14568" s="22" t="s">
        <v>49</v>
      </c>
      <c r="H14568" s="22" t="s">
        <v>49</v>
      </c>
      <c r="I14568" s="26">
        <v>43644.658125000002</v>
      </c>
      <c r="J14568" s="28" t="s">
        <v>51</v>
      </c>
      <c r="K14568" s="28" t="s">
        <v>51</v>
      </c>
      <c r="L14568" s="28" t="s">
        <v>51</v>
      </c>
      <c r="M14568" s="28" t="s">
        <v>51</v>
      </c>
      <c r="N14568" s="28" t="s">
        <v>51</v>
      </c>
    </row>
    <row r="14569" spans="1:14" x14ac:dyDescent="0.15">
      <c r="A14569" s="23" t="str">
        <f>HYPERLINK("https://www.spark-marketing.ru/Card/Person/1752292", "СПБ ГАУ ЦЗН")</f>
        <v>СПБ ГАУ ЦЗН</v>
      </c>
      <c r="B14569" s="24" t="s">
        <v>19352</v>
      </c>
      <c r="C14569" s="25">
        <v>45000</v>
      </c>
      <c r="D14569" s="22" t="s">
        <v>19353</v>
      </c>
      <c r="E14569" s="22" t="s">
        <v>8428</v>
      </c>
      <c r="F14569" s="23" t="str">
        <f>HYPERLINK("https://www.spark-marketing.ru/Card/Lot/71779050", "Оказание услуг по дополнительному профессиональному образованию лиц предпенсионного возраста по программе повышения квалификации «Организация питания детей: современные требования к технологическим процессам, производству и реализации продукции»")</f>
        <v>Оказание услуг по дополнительному профессиональному образованию лиц предпенсионного возраста по программе повышения квалификации «Организация питания детей: современные требования к технологическим процессам, производству и реализации продукции»</v>
      </c>
      <c r="G14569" s="22" t="s">
        <v>117</v>
      </c>
      <c r="H14569" s="22" t="s">
        <v>117</v>
      </c>
      <c r="I14569" s="26">
        <v>43644.661539351902</v>
      </c>
      <c r="J14569" s="28" t="s">
        <v>51</v>
      </c>
      <c r="K14569" s="28" t="s">
        <v>51</v>
      </c>
      <c r="L14569" s="28" t="s">
        <v>51</v>
      </c>
      <c r="M14569" s="28" t="s">
        <v>51</v>
      </c>
      <c r="N14569" s="28" t="s">
        <v>51</v>
      </c>
    </row>
    <row r="14570" spans="1:14" x14ac:dyDescent="0.2">
      <c r="A14570" s="23" t="str">
        <f>HYPERLINK("https://www.spark-marketing.ru/Card/Person/234769", "МДОУ Д/С № 74")</f>
        <v>МДОУ Д/С № 74</v>
      </c>
      <c r="B14570" s="24" t="s">
        <v>3301</v>
      </c>
      <c r="C14570" s="25">
        <v>1223529.8999999999</v>
      </c>
      <c r="D14570" s="22" t="s">
        <v>19354</v>
      </c>
      <c r="E14570" s="22" t="s">
        <v>362</v>
      </c>
      <c r="F14570" s="23" t="str">
        <f>HYPERLINK("https://www.spark-marketing.ru/Card/Lot/71774883", "Оказание услуг по организации питания")</f>
        <v>Оказание услуг по организации питания</v>
      </c>
      <c r="G14570" s="22" t="s">
        <v>158</v>
      </c>
      <c r="H14570" s="22" t="s">
        <v>158</v>
      </c>
      <c r="I14570" s="26">
        <v>43644.649479166699</v>
      </c>
      <c r="J14570" s="28" t="s">
        <v>51</v>
      </c>
      <c r="K14570" s="28" t="s">
        <v>51</v>
      </c>
      <c r="L14570" s="28" t="s">
        <v>51</v>
      </c>
      <c r="M14570" s="25">
        <v>1223529.8999999999</v>
      </c>
      <c r="N14570" s="27">
        <v>0</v>
      </c>
    </row>
    <row r="14571" spans="1:14" x14ac:dyDescent="0.15">
      <c r="A14571" s="23" t="str">
        <f>HYPERLINK("https://www.spark-marketing.ru/Card/Person/1013194", "ОМВД РОССИИ ПО НЕВЕЛЬСКОМУ ГОРОДСКОМУ ОКРУГУ")</f>
        <v>ОМВД РОССИИ ПО НЕВЕЛЬСКОМУ ГОРОДСКОМУ ОКРУГУ</v>
      </c>
      <c r="B14571" s="24" t="s">
        <v>2008</v>
      </c>
      <c r="C14571" s="25">
        <v>538218</v>
      </c>
      <c r="D14571" s="22" t="s">
        <v>19355</v>
      </c>
      <c r="E14571" s="22" t="s">
        <v>48</v>
      </c>
      <c r="F14571" s="23" t="str">
        <f>HYPERLINK("https://www.spark-marketing.ru/Card/Lot/71759053", "Оказание услуг по организации питания спецконтингента")</f>
        <v>Оказание услуг по организации питания спецконтингента</v>
      </c>
      <c r="G14571" s="22" t="s">
        <v>260</v>
      </c>
      <c r="H14571" s="22" t="s">
        <v>260</v>
      </c>
      <c r="I14571" s="26">
        <v>43644.634722222203</v>
      </c>
      <c r="J14571" s="28" t="s">
        <v>51</v>
      </c>
      <c r="K14571" s="28" t="s">
        <v>51</v>
      </c>
      <c r="L14571" s="28" t="s">
        <v>51</v>
      </c>
      <c r="M14571" s="28" t="s">
        <v>51</v>
      </c>
      <c r="N14571" s="28" t="s">
        <v>51</v>
      </c>
    </row>
    <row r="14572" spans="1:14" x14ac:dyDescent="0.15">
      <c r="A14572" s="23" t="str">
        <f t="shared" ref="A14572:A14578" si="484">HYPERLINK("https://www.spark-marketing.ru/Card/Person/132266", "ГКУ КО ""ХОЗКОМПЛЕКС АКО""")</f>
        <v>ГКУ КО "ХОЗКОМПЛЕКС АКО"</v>
      </c>
      <c r="B14572" s="24" t="s">
        <v>19356</v>
      </c>
      <c r="C14572" s="25">
        <v>162427.26999999999</v>
      </c>
      <c r="D14572" s="22" t="s">
        <v>19357</v>
      </c>
      <c r="E14572" s="22" t="s">
        <v>1166</v>
      </c>
      <c r="F14572" s="23" t="str">
        <f t="shared" ref="F14572:F14578" si="485">HYPERLINK("https://www.spark-marketing.ru/Card/Lot/71797738", "Оказание услуг по утилизации офисной и бытовой техники")</f>
        <v>Оказание услуг по утилизации офисной и бытовой техники</v>
      </c>
      <c r="G14572" s="22" t="s">
        <v>304</v>
      </c>
      <c r="H14572" s="22" t="s">
        <v>1154</v>
      </c>
      <c r="I14572" s="26">
        <v>43644.651226851798</v>
      </c>
      <c r="J14572" s="28" t="s">
        <v>51</v>
      </c>
      <c r="K14572" s="28" t="s">
        <v>51</v>
      </c>
      <c r="L14572" s="28" t="s">
        <v>51</v>
      </c>
      <c r="M14572" s="28" t="s">
        <v>51</v>
      </c>
      <c r="N14572" s="28" t="s">
        <v>51</v>
      </c>
    </row>
    <row r="14573" spans="1:14" hidden="1" outlineLevel="1" x14ac:dyDescent="0.2">
      <c r="A14573" s="23" t="str">
        <f t="shared" si="484"/>
        <v>ГКУ КО "ХОЗКОМПЛЕКС АКО"</v>
      </c>
      <c r="B14573" s="24" t="s">
        <v>19356</v>
      </c>
      <c r="C14573" s="25">
        <v>162427.26999999999</v>
      </c>
      <c r="D14573" s="22" t="s">
        <v>19357</v>
      </c>
      <c r="E14573" s="22" t="s">
        <v>1166</v>
      </c>
      <c r="F14573" s="23" t="str">
        <f t="shared" si="485"/>
        <v>Оказание услуг по утилизации офисной и бытовой техники</v>
      </c>
      <c r="G14573" s="22" t="s">
        <v>304</v>
      </c>
      <c r="H14573" s="22" t="s">
        <v>1154</v>
      </c>
      <c r="I14573" s="26">
        <v>43644.651226851798</v>
      </c>
      <c r="J14573" s="23" t="str">
        <f>HYPERLINK("https://www.spark-marketing.ru/Card/Person/278046", "ООО ""ЭКОПРОФ""")</f>
        <v>ООО "ЭКОПРОФ"</v>
      </c>
      <c r="K14573" s="24" t="s">
        <v>12792</v>
      </c>
      <c r="L14573" s="28" t="s">
        <v>51</v>
      </c>
      <c r="M14573" s="25">
        <v>130736.61</v>
      </c>
      <c r="N14573" s="27">
        <v>0.19510676994078643</v>
      </c>
    </row>
    <row r="14574" spans="1:14" hidden="1" outlineLevel="1" x14ac:dyDescent="0.2">
      <c r="A14574" s="23" t="str">
        <f t="shared" si="484"/>
        <v>ГКУ КО "ХОЗКОМПЛЕКС АКО"</v>
      </c>
      <c r="B14574" s="24" t="s">
        <v>19356</v>
      </c>
      <c r="C14574" s="25">
        <v>162427.26999999999</v>
      </c>
      <c r="D14574" s="22" t="s">
        <v>19357</v>
      </c>
      <c r="E14574" s="22" t="s">
        <v>1166</v>
      </c>
      <c r="F14574" s="23" t="str">
        <f t="shared" si="485"/>
        <v>Оказание услуг по утилизации офисной и бытовой техники</v>
      </c>
      <c r="G14574" s="22" t="s">
        <v>304</v>
      </c>
      <c r="H14574" s="22" t="s">
        <v>1154</v>
      </c>
      <c r="I14574" s="26">
        <v>43644.651226851798</v>
      </c>
      <c r="J14574" s="23" t="str">
        <f>HYPERLINK("https://www.spark-marketing.ru/Card/Person/1235510", "ООО ""ЭРЦ - КЕМЕРОВО""")</f>
        <v>ООО "ЭРЦ - КЕМЕРОВО"</v>
      </c>
      <c r="K14574" s="24" t="s">
        <v>19358</v>
      </c>
      <c r="L14574" s="28" t="s">
        <v>51</v>
      </c>
      <c r="M14574" s="25">
        <v>61000</v>
      </c>
      <c r="N14574" s="27">
        <v>0.62444729878178706</v>
      </c>
    </row>
    <row r="14575" spans="1:14" hidden="1" outlineLevel="1" x14ac:dyDescent="0.2">
      <c r="A14575" s="23" t="str">
        <f t="shared" si="484"/>
        <v>ГКУ КО "ХОЗКОМПЛЕКС АКО"</v>
      </c>
      <c r="B14575" s="24" t="s">
        <v>19356</v>
      </c>
      <c r="C14575" s="25">
        <v>162427.26999999999</v>
      </c>
      <c r="D14575" s="22" t="s">
        <v>19357</v>
      </c>
      <c r="E14575" s="22" t="s">
        <v>1166</v>
      </c>
      <c r="F14575" s="23" t="str">
        <f t="shared" si="485"/>
        <v>Оказание услуг по утилизации офисной и бытовой техники</v>
      </c>
      <c r="G14575" s="22" t="s">
        <v>304</v>
      </c>
      <c r="H14575" s="22" t="s">
        <v>1154</v>
      </c>
      <c r="I14575" s="26">
        <v>43644.651226851798</v>
      </c>
      <c r="J14575" s="23" t="str">
        <f>HYPERLINK("https://www.spark-marketing.ru/Card/Person/222249", "ООО ""ВЕДУЩАЯ УТИЛИЗИРУЮЩАЯ КОМПАНИЯ""")</f>
        <v>ООО "ВЕДУЩАЯ УТИЛИЗИРУЮЩАЯ КОМПАНИЯ"</v>
      </c>
      <c r="K14575" s="24" t="s">
        <v>11253</v>
      </c>
      <c r="L14575" s="28" t="s">
        <v>51</v>
      </c>
      <c r="M14575" s="25">
        <v>80000</v>
      </c>
      <c r="N14575" s="27">
        <v>0.50747186725480276</v>
      </c>
    </row>
    <row r="14576" spans="1:14" hidden="1" outlineLevel="1" x14ac:dyDescent="0.2">
      <c r="A14576" s="23" t="str">
        <f t="shared" si="484"/>
        <v>ГКУ КО "ХОЗКОМПЛЕКС АКО"</v>
      </c>
      <c r="B14576" s="24" t="s">
        <v>19356</v>
      </c>
      <c r="C14576" s="25">
        <v>162427.26999999999</v>
      </c>
      <c r="D14576" s="22" t="s">
        <v>19357</v>
      </c>
      <c r="E14576" s="22" t="s">
        <v>1166</v>
      </c>
      <c r="F14576" s="23" t="str">
        <f t="shared" si="485"/>
        <v>Оказание услуг по утилизации офисной и бытовой техники</v>
      </c>
      <c r="G14576" s="22" t="s">
        <v>304</v>
      </c>
      <c r="H14576" s="22" t="s">
        <v>1154</v>
      </c>
      <c r="I14576" s="26">
        <v>43644.651226851798</v>
      </c>
      <c r="J14576" s="23" t="str">
        <f>HYPERLINK("https://www.spark-marketing.ru/Card/Person/632573", "ООО ""КВАРЦ""")</f>
        <v>ООО "КВАРЦ"</v>
      </c>
      <c r="K14576" s="24" t="s">
        <v>19359</v>
      </c>
      <c r="L14576" s="28" t="s">
        <v>51</v>
      </c>
      <c r="M14576" s="25">
        <v>25000</v>
      </c>
      <c r="N14576" s="27">
        <v>0.84608495851712584</v>
      </c>
    </row>
    <row r="14577" spans="1:14" hidden="1" outlineLevel="1" x14ac:dyDescent="0.2">
      <c r="A14577" s="23" t="str">
        <f t="shared" si="484"/>
        <v>ГКУ КО "ХОЗКОМПЛЕКС АКО"</v>
      </c>
      <c r="B14577" s="24" t="s">
        <v>19356</v>
      </c>
      <c r="C14577" s="25">
        <v>162427.26999999999</v>
      </c>
      <c r="D14577" s="22" t="s">
        <v>19357</v>
      </c>
      <c r="E14577" s="22" t="s">
        <v>1166</v>
      </c>
      <c r="F14577" s="23" t="str">
        <f t="shared" si="485"/>
        <v>Оказание услуг по утилизации офисной и бытовой техники</v>
      </c>
      <c r="G14577" s="22" t="s">
        <v>304</v>
      </c>
      <c r="H14577" s="22" t="s">
        <v>1154</v>
      </c>
      <c r="I14577" s="26">
        <v>43644.651226851798</v>
      </c>
      <c r="J14577" s="23" t="str">
        <f>HYPERLINK("https://www.spark-marketing.ru/Card/Person/132514", "ООО ""ЦВЕТМЕТ""")</f>
        <v>ООО "ЦВЕТМЕТ"</v>
      </c>
      <c r="K14577" s="24" t="s">
        <v>4785</v>
      </c>
      <c r="L14577" s="28" t="s">
        <v>51</v>
      </c>
      <c r="M14577" s="25">
        <v>32563.58</v>
      </c>
      <c r="N14577" s="27">
        <v>0.79951900933876441</v>
      </c>
    </row>
    <row r="14578" spans="1:14" hidden="1" outlineLevel="1" x14ac:dyDescent="0.2">
      <c r="A14578" s="23" t="str">
        <f t="shared" si="484"/>
        <v>ГКУ КО "ХОЗКОМПЛЕКС АКО"</v>
      </c>
      <c r="B14578" s="24" t="s">
        <v>19356</v>
      </c>
      <c r="C14578" s="25">
        <v>162427.26999999999</v>
      </c>
      <c r="D14578" s="22" t="s">
        <v>19357</v>
      </c>
      <c r="E14578" s="22" t="s">
        <v>1166</v>
      </c>
      <c r="F14578" s="23" t="str">
        <f t="shared" si="485"/>
        <v>Оказание услуг по утилизации офисной и бытовой техники</v>
      </c>
      <c r="G14578" s="22" t="s">
        <v>304</v>
      </c>
      <c r="H14578" s="22" t="s">
        <v>1154</v>
      </c>
      <c r="I14578" s="26">
        <v>43644.651226851798</v>
      </c>
      <c r="J14578" s="23" t="str">
        <f>HYPERLINK("https://www.spark-marketing.ru/Card/Person/6296731", "ООО ""МЕТАЛЛИНВЕСТ""")</f>
        <v>ООО "МЕТАЛЛИНВЕСТ"</v>
      </c>
      <c r="K14578" s="24" t="s">
        <v>11250</v>
      </c>
      <c r="L14578" s="28" t="s">
        <v>51</v>
      </c>
      <c r="M14578" s="25">
        <v>130000</v>
      </c>
      <c r="N14578" s="27">
        <v>0.19964178428905441</v>
      </c>
    </row>
    <row r="14579" spans="1:14" x14ac:dyDescent="0.2">
      <c r="A14579" s="23" t="str">
        <f>HYPERLINK("https://www.spark-marketing.ru/Card/Person/1338802", "ФГАУ ""ОК ""ПЛАНЕРНОЕ""")</f>
        <v>ФГАУ "ОК "ПЛАНЕРНОЕ"</v>
      </c>
      <c r="B14579" s="24" t="s">
        <v>19360</v>
      </c>
      <c r="C14579" s="25">
        <v>33000000</v>
      </c>
      <c r="D14579" s="22" t="s">
        <v>19361</v>
      </c>
      <c r="E14579" s="22" t="s">
        <v>4023</v>
      </c>
      <c r="F14579" s="23" t="str">
        <f>HYPERLINK("https://www.spark-marketing.ru/Card/Lot/71781720", "Оказание услуг по питанию (Кейтеринг)")</f>
        <v>Оказание услуг по питанию (Кейтеринг)</v>
      </c>
      <c r="G14579" s="22" t="s">
        <v>49</v>
      </c>
      <c r="H14579" s="22" t="s">
        <v>631</v>
      </c>
      <c r="I14579" s="26">
        <v>43644.651145833297</v>
      </c>
      <c r="J14579" s="23" t="str">
        <f>HYPERLINK("https://www.spark-marketing.ru/Card/Person/230292", "ФГУП ""ПРЕЗИДЕНТ-ОТЕЛЬ""")</f>
        <v>ФГУП "ПРЕЗИДЕНТ-ОТЕЛЬ"</v>
      </c>
      <c r="K14579" s="24" t="s">
        <v>19362</v>
      </c>
      <c r="L14579" s="28" t="s">
        <v>51</v>
      </c>
      <c r="M14579" s="25">
        <v>33000000</v>
      </c>
      <c r="N14579" s="27">
        <v>0</v>
      </c>
    </row>
    <row r="14580" spans="1:14" x14ac:dyDescent="0.15">
      <c r="A14580" s="23" t="str">
        <f>HYPERLINK("https://www.spark-marketing.ru/Card/Person/71839", "КГБУ СО ""КРАСНОЯРСКИЙ РЕАБИЛИТАЦИОННЫЙ ЦЕНТР ДЛЯ ЛИЦ, СТРАДАЮЩИХ ПСИХИЧЕСКИМИ РАССТРОЙСТВАМИ""")</f>
        <v>КГБУ СО "КРАСНОЯРСКИЙ РЕАБИЛИТАЦИОННЫЙ ЦЕНТР ДЛЯ ЛИЦ, СТРАДАЮЩИХ ПСИХИЧЕСКИМИ РАССТРОЙСТВАМИ"</v>
      </c>
      <c r="B14580" s="24" t="s">
        <v>2986</v>
      </c>
      <c r="C14580" s="25">
        <v>2889306</v>
      </c>
      <c r="D14580" s="22" t="s">
        <v>19363</v>
      </c>
      <c r="E14580" s="22" t="s">
        <v>362</v>
      </c>
      <c r="F14580" s="23" t="str">
        <f>HYPERLINK("https://www.spark-marketing.ru/Card/Lot/71766155", "Оказание услуг по организации готового горячего питания для КГБУ СО ""Красноярский реабилитационный центр для лиц, страдающих психическими расстройствами"" в 3 квартале 2019 года")</f>
        <v>Оказание услуг по организации готового горячего питания для КГБУ СО "Красноярский реабилитационный центр для лиц, страдающих психическими расстройствами" в 3 квартале 2019 года</v>
      </c>
      <c r="G14580" s="22" t="s">
        <v>281</v>
      </c>
      <c r="H14580" s="22" t="s">
        <v>281</v>
      </c>
      <c r="I14580" s="26">
        <v>43644.619583333297</v>
      </c>
      <c r="J14580" s="28" t="s">
        <v>51</v>
      </c>
      <c r="K14580" s="28" t="s">
        <v>51</v>
      </c>
      <c r="L14580" s="28" t="s">
        <v>51</v>
      </c>
      <c r="M14580" s="28" t="s">
        <v>51</v>
      </c>
      <c r="N14580" s="28" t="s">
        <v>51</v>
      </c>
    </row>
    <row r="14581" spans="1:14" x14ac:dyDescent="0.15">
      <c r="A14581" s="23" t="str">
        <f>HYPERLINK("https://www.spark-marketing.ru/Card/Person/5003", "УМВД РОССИИ ПО МУРМАНСКОЙ ОБЛАСТИ")</f>
        <v>УМВД РОССИИ ПО МУРМАНСКОЙ ОБЛАСТИ</v>
      </c>
      <c r="B14581" s="24" t="s">
        <v>1683</v>
      </c>
      <c r="C14581" s="25">
        <v>865977.8</v>
      </c>
      <c r="D14581" s="22" t="s">
        <v>19364</v>
      </c>
      <c r="E14581" s="22" t="s">
        <v>48</v>
      </c>
      <c r="F14581" s="23" t="str">
        <f>HYPERLINK("https://www.spark-marketing.ru/Card/Lot/71801835", "Оказание услуг по организации питания лиц, содержащихся в ЦВСНП УМВД России по Мурманской области")</f>
        <v>Оказание услуг по организации питания лиц, содержащихся в ЦВСНП УМВД России по Мурманской области</v>
      </c>
      <c r="G14581" s="22" t="s">
        <v>340</v>
      </c>
      <c r="H14581" s="22" t="s">
        <v>340</v>
      </c>
      <c r="I14581" s="26">
        <v>43644.593067129601</v>
      </c>
      <c r="J14581" s="28" t="s">
        <v>51</v>
      </c>
      <c r="K14581" s="28" t="s">
        <v>51</v>
      </c>
      <c r="L14581" s="28" t="s">
        <v>51</v>
      </c>
      <c r="M14581" s="28" t="s">
        <v>51</v>
      </c>
      <c r="N14581" s="28" t="s">
        <v>51</v>
      </c>
    </row>
    <row r="14582" spans="1:14" x14ac:dyDescent="0.15">
      <c r="A14582" s="23" t="str">
        <f>HYPERLINK("https://www.spark-marketing.ru/Card/Person/56266", "СПБ ГБПОУ ""МК №1""")</f>
        <v>СПБ ГБПОУ "МК №1"</v>
      </c>
      <c r="B14582" s="24" t="s">
        <v>18165</v>
      </c>
      <c r="C14582" s="25">
        <v>450800</v>
      </c>
      <c r="D14582" s="22" t="s">
        <v>19365</v>
      </c>
      <c r="E14582" s="22" t="s">
        <v>48</v>
      </c>
      <c r="F14582" s="23" t="str">
        <f>HYPERLINK("https://www.spark-marketing.ru/Card/Lot/71809642", "Оказание услуг по организации социального питания в СПб ГБПОУ ""МК №1""во 2-ом полугодии 2019 года")</f>
        <v>Оказание услуг по организации социального питания в СПб ГБПОУ "МК №1"во 2-ом полугодии 2019 года</v>
      </c>
      <c r="G14582" s="22" t="s">
        <v>117</v>
      </c>
      <c r="H14582" s="22" t="s">
        <v>117</v>
      </c>
      <c r="I14582" s="26">
        <v>43644.602083333302</v>
      </c>
      <c r="J14582" s="28" t="s">
        <v>51</v>
      </c>
      <c r="K14582" s="28" t="s">
        <v>51</v>
      </c>
      <c r="L14582" s="28" t="s">
        <v>51</v>
      </c>
      <c r="M14582" s="28" t="s">
        <v>51</v>
      </c>
      <c r="N14582" s="28" t="s">
        <v>51</v>
      </c>
    </row>
    <row r="14583" spans="1:14" x14ac:dyDescent="0.15">
      <c r="A14583" s="23" t="str">
        <f>HYPERLINK("https://www.spark-marketing.ru/Card/Person/87389", "ОМВД РОССИИ ПО КИНГИСЕППСКОМУ РАЙОНУ ЛО")</f>
        <v>ОМВД РОССИИ ПО КИНГИСЕППСКОМУ РАЙОНУ ЛО</v>
      </c>
      <c r="B14583" s="24" t="s">
        <v>19366</v>
      </c>
      <c r="C14583" s="25">
        <v>2400000</v>
      </c>
      <c r="D14583" s="22" t="s">
        <v>19367</v>
      </c>
      <c r="E14583" s="22" t="s">
        <v>96</v>
      </c>
      <c r="F14583" s="23" t="str">
        <f>HYPERLINK("https://www.spark-marketing.ru/Card/Lot/71801049", "оказание услуг по организации 3-х разового горячего питания в сутки для лиц, содержащихся в изоляторе временного содержания и в специальном приемнике, для лиц, арестованных в административном порядке, а так же лиц, задержанных за административное пра...")</f>
        <v>оказание услуг по организации 3-х разового горячего питания в сутки для лиц, содержащихся в изоляторе временного содержания и в специальном приемнике, для лиц, арестованных в административном порядке, а так же лиц, задержанных за административное пра...</v>
      </c>
      <c r="G14583" s="22" t="s">
        <v>162</v>
      </c>
      <c r="H14583" s="22" t="s">
        <v>162</v>
      </c>
      <c r="I14583" s="26">
        <v>43644.621203703697</v>
      </c>
      <c r="J14583" s="23" t="str">
        <f>HYPERLINK("https://www.spark-marketing.ru/Card/Person/1280352", "Говоркова Нина Яковлевна")</f>
        <v>Говоркова Нина Яковлевна</v>
      </c>
      <c r="K14583" s="24" t="s">
        <v>19368</v>
      </c>
      <c r="L14583" s="22" t="s">
        <v>10</v>
      </c>
      <c r="M14583" s="28" t="s">
        <v>51</v>
      </c>
      <c r="N14583" s="28" t="s">
        <v>51</v>
      </c>
    </row>
    <row r="14584" spans="1:14" x14ac:dyDescent="0.15">
      <c r="A14584" s="23" t="str">
        <f>HYPERLINK("https://www.spark-marketing.ru/Card/Person/17859", "УМВД РОССИИ ПО ГОРОДУ ТВЕРИ")</f>
        <v>УМВД РОССИИ ПО ГОРОДУ ТВЕРИ</v>
      </c>
      <c r="B14584" s="24" t="s">
        <v>19369</v>
      </c>
      <c r="C14584" s="25">
        <v>1170000</v>
      </c>
      <c r="D14584" s="22" t="s">
        <v>19370</v>
      </c>
      <c r="E14584" s="22" t="s">
        <v>48</v>
      </c>
      <c r="F14584" s="23" t="str">
        <f>HYPERLINK("https://www.spark-marketing.ru/Card/Lot/71811003", "Оказание услуг по организации горячего питания для лиц, задержанных за административное правонарушение на срок более трех часов и содержащихся в дежурных частях подразделений УМВД России по городу Твери")</f>
        <v>Оказание услуг по организации горячего питания для лиц, задержанных за административное правонарушение на срок более трех часов и содержащихся в дежурных частях подразделений УМВД России по городу Твери</v>
      </c>
      <c r="G14584" s="22" t="s">
        <v>137</v>
      </c>
      <c r="H14584" s="22" t="s">
        <v>138</v>
      </c>
      <c r="I14584" s="26">
        <v>43644.598611111098</v>
      </c>
      <c r="J14584" s="23" t="str">
        <f>HYPERLINK("https://www.spark-marketing.ru/Card/Person/104352", "Долотова Елена Петровна")</f>
        <v>Долотова Елена Петровна</v>
      </c>
      <c r="K14584" s="24" t="s">
        <v>17519</v>
      </c>
      <c r="L14584" s="22" t="s">
        <v>10</v>
      </c>
      <c r="M14584" s="28" t="s">
        <v>51</v>
      </c>
      <c r="N14584" s="28" t="s">
        <v>51</v>
      </c>
    </row>
    <row r="14585" spans="1:14" x14ac:dyDescent="0.15">
      <c r="A14585" s="23" t="str">
        <f>HYPERLINK("https://www.spark-marketing.ru/Card/Person/52999", "СПБ ГБПОУ ""МК ИМ. В.М.БЕХТЕРЕВА""")</f>
        <v>СПБ ГБПОУ "МК ИМ. В.М.БЕХТЕРЕВА"</v>
      </c>
      <c r="B14585" s="24" t="s">
        <v>19371</v>
      </c>
      <c r="C14585" s="25">
        <v>886788</v>
      </c>
      <c r="D14585" s="22" t="s">
        <v>19372</v>
      </c>
      <c r="E14585" s="22" t="s">
        <v>48</v>
      </c>
      <c r="F14585" s="23" t="str">
        <f>HYPERLINK("https://www.spark-marketing.ru/Card/Lot/71810286", "Оказание услуг по организации социального питания в СПб ГБПОУ ""МК им. В.М. Бехтерева"" во 2-ом полугодии 2019 года")</f>
        <v>Оказание услуг по организации социального питания в СПб ГБПОУ "МК им. В.М. Бехтерева" во 2-ом полугодии 2019 года</v>
      </c>
      <c r="G14585" s="22" t="s">
        <v>117</v>
      </c>
      <c r="H14585" s="22" t="s">
        <v>117</v>
      </c>
      <c r="I14585" s="26">
        <v>43644.613194444399</v>
      </c>
      <c r="J14585" s="23" t="str">
        <f>HYPERLINK("https://www.spark-marketing.ru/Card/Person/138742", "ООО ""ФУД-СЕРВИС""")</f>
        <v>ООО "ФУД-СЕРВИС"</v>
      </c>
      <c r="K14585" s="24" t="s">
        <v>15589</v>
      </c>
      <c r="L14585" s="28" t="s">
        <v>51</v>
      </c>
      <c r="M14585" s="28" t="s">
        <v>51</v>
      </c>
      <c r="N14585" s="28" t="s">
        <v>51</v>
      </c>
    </row>
    <row r="14586" spans="1:14" hidden="1" outlineLevel="1" x14ac:dyDescent="0.15">
      <c r="A14586" s="23" t="str">
        <f>HYPERLINK("https://www.spark-marketing.ru/Card/Person/52999", "СПБ ГБПОУ ""МК ИМ. В.М.БЕХТЕРЕВА""")</f>
        <v>СПБ ГБПОУ "МК ИМ. В.М.БЕХТЕРЕВА"</v>
      </c>
      <c r="B14586" s="24" t="s">
        <v>19371</v>
      </c>
      <c r="C14586" s="25">
        <v>886788</v>
      </c>
      <c r="D14586" s="22" t="s">
        <v>19372</v>
      </c>
      <c r="E14586" s="22" t="s">
        <v>48</v>
      </c>
      <c r="F14586" s="23" t="str">
        <f>HYPERLINK("https://www.spark-marketing.ru/Card/Lot/71810286", "Оказание услуг по организации социального питания в СПб ГБПОУ ""МК им. В.М. Бехтерева"" во 2-ом полугодии 2019 года")</f>
        <v>Оказание услуг по организации социального питания в СПб ГБПОУ "МК им. В.М. Бехтерева" во 2-ом полугодии 2019 года</v>
      </c>
      <c r="G14586" s="22" t="s">
        <v>117</v>
      </c>
      <c r="H14586" s="22" t="s">
        <v>117</v>
      </c>
      <c r="I14586" s="26">
        <v>43644.613194444399</v>
      </c>
      <c r="J14586" s="23" t="str">
        <f>HYPERLINK("https://www.spark-marketing.ru/Card/Person/138742", "ООО ""ФУД-СЕРВИС""")</f>
        <v>ООО "ФУД-СЕРВИС"</v>
      </c>
      <c r="K14586" s="24" t="s">
        <v>15589</v>
      </c>
      <c r="L14586" s="22" t="s">
        <v>10</v>
      </c>
      <c r="M14586" s="28" t="s">
        <v>51</v>
      </c>
      <c r="N14586" s="28" t="s">
        <v>51</v>
      </c>
    </row>
    <row r="14587" spans="1:14" x14ac:dyDescent="0.15">
      <c r="A14587" s="23" t="str">
        <f>HYPERLINK("https://www.spark-marketing.ru/Card/Person/131785", "ФГБУ ""РЕДАКЦИЯ ""РОССИЙСКОЙ ГАЗЕТЫ""")</f>
        <v>ФГБУ "РЕДАКЦИЯ "РОССИЙСКОЙ ГАЗЕТЫ"</v>
      </c>
      <c r="B14587" s="24" t="s">
        <v>19373</v>
      </c>
      <c r="C14587" s="25">
        <v>498800</v>
      </c>
      <c r="D14587" s="22" t="s">
        <v>19374</v>
      </c>
      <c r="E14587" s="22" t="s">
        <v>580</v>
      </c>
      <c r="F14587" s="23" t="str">
        <f>HYPERLINK("https://www.spark-marketing.ru/Card/Lot/71776093", "Оказание услуг по обеспечению питанием и обслуживанию мероприятий для нужд ФГБУ ""Редакция ""Российской газеты""")</f>
        <v>Оказание услуг по обеспечению питанием и обслуживанию мероприятий для нужд ФГБУ "Редакция "Российской газеты"</v>
      </c>
      <c r="G14587" s="22" t="s">
        <v>56</v>
      </c>
      <c r="H14587" s="22" t="s">
        <v>56</v>
      </c>
      <c r="I14587" s="26">
        <v>43644.601458333302</v>
      </c>
      <c r="J14587" s="28" t="s">
        <v>51</v>
      </c>
      <c r="K14587" s="28" t="s">
        <v>51</v>
      </c>
      <c r="L14587" s="28" t="s">
        <v>51</v>
      </c>
      <c r="M14587" s="28" t="s">
        <v>51</v>
      </c>
      <c r="N14587" s="28" t="s">
        <v>51</v>
      </c>
    </row>
    <row r="14588" spans="1:14" x14ac:dyDescent="0.15">
      <c r="A14588" s="23" t="str">
        <f>HYPERLINK("https://www.spark-marketing.ru/Card/Person/4356406", "ОБУЗ ""РОДНИКОВСКАЯ ЦРБ""")</f>
        <v>ОБУЗ "РОДНИКОВСКАЯ ЦРБ"</v>
      </c>
      <c r="B14588" s="24" t="s">
        <v>19375</v>
      </c>
      <c r="C14588" s="25">
        <v>3640000</v>
      </c>
      <c r="D14588" s="22" t="s">
        <v>19376</v>
      </c>
      <c r="E14588" s="22" t="s">
        <v>48</v>
      </c>
      <c r="F14588" s="23" t="str">
        <f>HYPERLINK("https://www.spark-marketing.ru/Card/Lot/71796933", "Оказание услуг по организации лечебного питания для ОБУЗ «Родниковская ЦРБ»")</f>
        <v>Оказание услуг по организации лечебного питания для ОБУЗ «Родниковская ЦРБ»</v>
      </c>
      <c r="G14588" s="22" t="s">
        <v>1047</v>
      </c>
      <c r="H14588" s="22" t="s">
        <v>7541</v>
      </c>
      <c r="I14588" s="26">
        <v>43644.5940162037</v>
      </c>
      <c r="J14588" s="23" t="str">
        <f>HYPERLINK("https://www.spark-marketing.ru/Card/Person/342659", "ООО КАФЕ ""ВСТРЕЧА""")</f>
        <v>ООО КАФЕ "ВСТРЕЧА"</v>
      </c>
      <c r="K14588" s="24" t="s">
        <v>19377</v>
      </c>
      <c r="L14588" s="22" t="s">
        <v>10</v>
      </c>
      <c r="M14588" s="28" t="s">
        <v>51</v>
      </c>
      <c r="N14588" s="28" t="s">
        <v>51</v>
      </c>
    </row>
    <row r="14589" spans="1:14" x14ac:dyDescent="0.15">
      <c r="A14589" s="23" t="str">
        <f>HYPERLINK("https://www.spark-marketing.ru/Card/Person/22222", "ФГБУ ""ЦНИИСИЧЛХ"" МИНЗДРАВА РОССИИ")</f>
        <v>ФГБУ "ЦНИИСИЧЛХ" МИНЗДРАВА РОССИИ</v>
      </c>
      <c r="B14589" s="24" t="s">
        <v>19378</v>
      </c>
      <c r="C14589" s="25">
        <v>679980.03</v>
      </c>
      <c r="D14589" s="22" t="s">
        <v>19379</v>
      </c>
      <c r="E14589" s="22" t="s">
        <v>583</v>
      </c>
      <c r="F14589" s="23" t="str">
        <f>HYPERLINK("https://www.spark-marketing.ru/Card/Lot/71801875", "Оказание услуг по ремонту медицинского оборудования")</f>
        <v>Оказание услуг по ремонту медицинского оборудования</v>
      </c>
      <c r="G14589" s="22" t="s">
        <v>56</v>
      </c>
      <c r="H14589" s="22" t="s">
        <v>56</v>
      </c>
      <c r="I14589" s="26">
        <v>43644.617812500001</v>
      </c>
      <c r="J14589" s="23" t="str">
        <f>HYPERLINK("https://www.spark-marketing.ru/Card/Person/660234", "ООО ""ПАРТНЕР""")</f>
        <v>ООО "ПАРТНЕР"</v>
      </c>
      <c r="K14589" s="24" t="s">
        <v>19380</v>
      </c>
      <c r="L14589" s="22" t="s">
        <v>10</v>
      </c>
      <c r="M14589" s="28" t="s">
        <v>51</v>
      </c>
      <c r="N14589" s="28" t="s">
        <v>51</v>
      </c>
    </row>
    <row r="14590" spans="1:14" x14ac:dyDescent="0.2">
      <c r="A14590" s="23" t="str">
        <f>HYPERLINK("https://www.spark-marketing.ru/Card/Person/49568", "АО ""ТАТАВТОДОР""")</f>
        <v>АО "ТАТАВТОДОР"</v>
      </c>
      <c r="B14590" s="24" t="s">
        <v>2978</v>
      </c>
      <c r="C14590" s="25">
        <v>2700000</v>
      </c>
      <c r="D14590" s="22" t="s">
        <v>19381</v>
      </c>
      <c r="E14590" s="22" t="s">
        <v>362</v>
      </c>
      <c r="F14590" s="23" t="str">
        <f>HYPERLINK("https://www.spark-marketing.ru/Card/Lot/71774736", "Оказание услуг по обеспечению комплексным горячим питанием работников заказчика в соответствии с техническим заданием")</f>
        <v>Оказание услуг по обеспечению комплексным горячим питанием работников заказчика в соответствии с техническим заданием</v>
      </c>
      <c r="G14590" s="22" t="s">
        <v>217</v>
      </c>
      <c r="H14590" s="22" t="s">
        <v>217</v>
      </c>
      <c r="I14590" s="26">
        <v>43644.603020833303</v>
      </c>
      <c r="J14590" s="28" t="s">
        <v>51</v>
      </c>
      <c r="K14590" s="28" t="s">
        <v>51</v>
      </c>
      <c r="L14590" s="22" t="s">
        <v>10</v>
      </c>
      <c r="M14590" s="25">
        <v>703</v>
      </c>
      <c r="N14590" s="27">
        <v>0.99973962962962959</v>
      </c>
    </row>
    <row r="14591" spans="1:14" x14ac:dyDescent="0.15">
      <c r="A14591" s="23" t="str">
        <f>HYPERLINK("https://www.spark-marketing.ru/Card/Person/49837", "АО ""ГНЦ РФ - ФЭИ""")</f>
        <v>АО "ГНЦ РФ - ФЭИ"</v>
      </c>
      <c r="B14591" s="24" t="s">
        <v>12693</v>
      </c>
      <c r="C14591" s="25">
        <v>524595</v>
      </c>
      <c r="D14591" s="22" t="s">
        <v>19382</v>
      </c>
      <c r="E14591" s="22" t="s">
        <v>576</v>
      </c>
      <c r="F14591" s="23" t="str">
        <f>HYPERLINK("https://www.spark-marketing.ru/Card/Lot/71777783", "Услуга по организации и проведению питания в формате: фуршет.")</f>
        <v>Услуга по организации и проведению питания в формате: фуршет.</v>
      </c>
      <c r="G14591" s="22" t="s">
        <v>112</v>
      </c>
      <c r="H14591" s="22" t="s">
        <v>1663</v>
      </c>
      <c r="I14591" s="26">
        <v>43644.624074074098</v>
      </c>
      <c r="J14591" s="28" t="s">
        <v>51</v>
      </c>
      <c r="K14591" s="28" t="s">
        <v>51</v>
      </c>
      <c r="L14591" s="28" t="s">
        <v>51</v>
      </c>
      <c r="M14591" s="28" t="s">
        <v>51</v>
      </c>
      <c r="N14591" s="28" t="s">
        <v>51</v>
      </c>
    </row>
    <row r="14592" spans="1:14" x14ac:dyDescent="0.15">
      <c r="A14592" s="23" t="str">
        <f>HYPERLINK("https://www.spark-marketing.ru/Card/Person/4375568", "МУДО ""КОНСТАНТИНОВСКАЯ ДЮСШ""")</f>
        <v>МУДО "КОНСТАНТИНОВСКАЯ ДЮСШ"</v>
      </c>
      <c r="B14592" s="24" t="s">
        <v>19383</v>
      </c>
      <c r="C14592" s="25">
        <v>426486</v>
      </c>
      <c r="D14592" s="22" t="s">
        <v>19384</v>
      </c>
      <c r="E14592" s="22" t="s">
        <v>362</v>
      </c>
      <c r="F14592" s="23" t="str">
        <f>HYPERLINK("https://www.spark-marketing.ru/Card/Lot/71759492", "Услуги школьных столовых по организации питания детей, посещающих пришкольный лагерь.")</f>
        <v>Услуги школьных столовых по организации питания детей, посещающих пришкольный лагерь.</v>
      </c>
      <c r="G14592" s="22" t="s">
        <v>210</v>
      </c>
      <c r="H14592" s="22" t="s">
        <v>210</v>
      </c>
      <c r="I14592" s="26">
        <v>43644.6043055556</v>
      </c>
      <c r="J14592" s="28" t="s">
        <v>51</v>
      </c>
      <c r="K14592" s="28" t="s">
        <v>51</v>
      </c>
      <c r="L14592" s="28" t="s">
        <v>51</v>
      </c>
      <c r="M14592" s="28" t="s">
        <v>51</v>
      </c>
      <c r="N14592" s="28" t="s">
        <v>51</v>
      </c>
    </row>
    <row r="14593" spans="1:14" x14ac:dyDescent="0.15">
      <c r="A14593" s="23" t="str">
        <f>HYPERLINK("https://www.spark-marketing.ru/Card/Person/4877376", "ГБУЗ СК ""СККПЦ № 1""")</f>
        <v>ГБУЗ СК "СККПЦ № 1"</v>
      </c>
      <c r="B14593" s="24" t="s">
        <v>19385</v>
      </c>
      <c r="C14593" s="25">
        <v>712112.5</v>
      </c>
      <c r="D14593" s="22" t="s">
        <v>19386</v>
      </c>
      <c r="E14593" s="22" t="s">
        <v>603</v>
      </c>
      <c r="F14593" s="23" t="str">
        <f>HYPERLINK("https://www.spark-marketing.ru/Card/Lot/71809898", "оказание услуг по аттестации медицинского оборудования и поверке средств измерений медицинского назначения")</f>
        <v>оказание услуг по аттестации медицинского оборудования и поверке средств измерений медицинского назначения</v>
      </c>
      <c r="G14593" s="22" t="s">
        <v>87</v>
      </c>
      <c r="H14593" s="22" t="s">
        <v>686</v>
      </c>
      <c r="I14593" s="26">
        <v>43644.622916666704</v>
      </c>
      <c r="J14593" s="23" t="str">
        <f>HYPERLINK("https://www.spark-marketing.ru/Card/Person/246671", "ООО ""ЮМЦ""")</f>
        <v>ООО "ЮМЦ"</v>
      </c>
      <c r="K14593" s="24" t="s">
        <v>6585</v>
      </c>
      <c r="L14593" s="28" t="s">
        <v>51</v>
      </c>
      <c r="M14593" s="28" t="s">
        <v>51</v>
      </c>
      <c r="N14593" s="28" t="s">
        <v>51</v>
      </c>
    </row>
    <row r="14594" spans="1:14" ht="12.75" hidden="1" outlineLevel="1" x14ac:dyDescent="0.2">
      <c r="A14594" s="23" t="str">
        <f>HYPERLINK("https://www.spark-marketing.ru/Card/Person/4877376", "ГБУЗ СК ""СККПЦ № 1""")</f>
        <v>ГБУЗ СК "СККПЦ № 1"</v>
      </c>
      <c r="B14594" s="24" t="s">
        <v>19385</v>
      </c>
      <c r="C14594" s="25">
        <v>712112.5</v>
      </c>
      <c r="D14594" s="22" t="s">
        <v>19386</v>
      </c>
      <c r="E14594" s="22" t="s">
        <v>603</v>
      </c>
      <c r="F14594" s="23" t="str">
        <f>HYPERLINK("https://www.spark-marketing.ru/Card/Lot/71809898", "оказание услуг по аттестации медицинского оборудования и поверке средств измерений медицинского назначения")</f>
        <v>оказание услуг по аттестации медицинского оборудования и поверке средств измерений медицинского назначения</v>
      </c>
      <c r="G14594" s="22" t="s">
        <v>87</v>
      </c>
      <c r="H14594" s="22" t="s">
        <v>686</v>
      </c>
      <c r="I14594" s="26">
        <v>43644.622916666704</v>
      </c>
      <c r="J14594" s="23" t="str">
        <f>HYPERLINK("https://www.spark-marketing.ru/Card/Person/246671", "ООО ""ЮМЦ""")</f>
        <v>ООО "ЮМЦ"</v>
      </c>
      <c r="K14594" s="24" t="s">
        <v>6585</v>
      </c>
      <c r="L14594" s="22" t="s">
        <v>10</v>
      </c>
      <c r="M14594" s="25">
        <v>708551.94</v>
      </c>
      <c r="N14594" s="27">
        <v>4.9999964893187527E-3</v>
      </c>
    </row>
    <row r="14595" spans="1:14" x14ac:dyDescent="0.15">
      <c r="A14595" s="23" t="str">
        <f t="shared" ref="A14595:A14600" si="486">HYPERLINK("https://www.spark-marketing.ru/Card/Person/1052508", "ОГБПОУ ""КОЛЛЕДЖ ИНДУСТРИИ ПИТАНИЯ, ТОРГОВЛИ И СФЕРЫ УСЛУГ"", ОГБПОУ ""КИПТСУ""")</f>
        <v>ОГБПОУ "КОЛЛЕДЖ ИНДУСТРИИ ПИТАНИЯ, ТОРГОВЛИ И СФЕРЫ УСЛУГ", ОГБПОУ "КИПТСУ"</v>
      </c>
      <c r="B14595" s="24" t="s">
        <v>19387</v>
      </c>
      <c r="C14595" s="25">
        <v>860597.46</v>
      </c>
      <c r="D14595" s="22" t="s">
        <v>19388</v>
      </c>
      <c r="E14595" s="22" t="s">
        <v>19389</v>
      </c>
      <c r="F14595" s="23" t="str">
        <f t="shared" ref="F14595:F14600" si="487">HYPERLINK("https://www.spark-marketing.ru/Card/Lot/71810259", "Выполнение работ по текущему ремонту аудиторий в здании ОГБПОУ «Колледж индустрии питания, торговли и сферы услуг»")</f>
        <v>Выполнение работ по текущему ремонту аудиторий в здании ОГБПОУ «Колледж индустрии питания, торговли и сферы услуг»</v>
      </c>
      <c r="G14595" s="22" t="s">
        <v>149</v>
      </c>
      <c r="H14595" s="22" t="s">
        <v>496</v>
      </c>
      <c r="I14595" s="26">
        <v>43644.605555555601</v>
      </c>
      <c r="J14595" s="28" t="s">
        <v>51</v>
      </c>
      <c r="K14595" s="28" t="s">
        <v>51</v>
      </c>
      <c r="L14595" s="28" t="s">
        <v>51</v>
      </c>
      <c r="M14595" s="28" t="s">
        <v>51</v>
      </c>
      <c r="N14595" s="28" t="s">
        <v>51</v>
      </c>
    </row>
    <row r="14596" spans="1:14" hidden="1" outlineLevel="1" x14ac:dyDescent="0.2">
      <c r="A14596" s="23" t="str">
        <f t="shared" si="486"/>
        <v>ОГБПОУ "КОЛЛЕДЖ ИНДУСТРИИ ПИТАНИЯ, ТОРГОВЛИ И СФЕРЫ УСЛУГ", ОГБПОУ "КИПТСУ"</v>
      </c>
      <c r="B14596" s="24" t="s">
        <v>19387</v>
      </c>
      <c r="C14596" s="25">
        <v>860597.46</v>
      </c>
      <c r="D14596" s="22" t="s">
        <v>19388</v>
      </c>
      <c r="E14596" s="22" t="s">
        <v>19389</v>
      </c>
      <c r="F14596" s="23" t="str">
        <f t="shared" si="487"/>
        <v>Выполнение работ по текущему ремонту аудиторий в здании ОГБПОУ «Колледж индустрии питания, торговли и сферы услуг»</v>
      </c>
      <c r="G14596" s="22" t="s">
        <v>149</v>
      </c>
      <c r="H14596" s="22" t="s">
        <v>496</v>
      </c>
      <c r="I14596" s="26">
        <v>43644.605555555601</v>
      </c>
      <c r="J14596" s="23" t="str">
        <f>HYPERLINK("https://www.spark-marketing.ru/Card/Person/851050", "Меренков Константин Львович")</f>
        <v>Меренков Константин Львович</v>
      </c>
      <c r="K14596" s="24" t="s">
        <v>19390</v>
      </c>
      <c r="L14596" s="28" t="s">
        <v>51</v>
      </c>
      <c r="M14596" s="25">
        <v>744416.73</v>
      </c>
      <c r="N14596" s="27">
        <v>0.13500008470859304</v>
      </c>
    </row>
    <row r="14597" spans="1:14" ht="12.75" hidden="1" outlineLevel="1" x14ac:dyDescent="0.2">
      <c r="A14597" s="23" t="str">
        <f t="shared" si="486"/>
        <v>ОГБПОУ "КОЛЛЕДЖ ИНДУСТРИИ ПИТАНИЯ, ТОРГОВЛИ И СФЕРЫ УСЛУГ", ОГБПОУ "КИПТСУ"</v>
      </c>
      <c r="B14597" s="24" t="s">
        <v>19387</v>
      </c>
      <c r="C14597" s="25">
        <v>860597.46</v>
      </c>
      <c r="D14597" s="22" t="s">
        <v>19388</v>
      </c>
      <c r="E14597" s="22" t="s">
        <v>19389</v>
      </c>
      <c r="F14597" s="23" t="str">
        <f t="shared" si="487"/>
        <v>Выполнение работ по текущему ремонту аудиторий в здании ОГБПОУ «Колледж индустрии питания, торговли и сферы услуг»</v>
      </c>
      <c r="G14597" s="22" t="s">
        <v>149</v>
      </c>
      <c r="H14597" s="22" t="s">
        <v>496</v>
      </c>
      <c r="I14597" s="26">
        <v>43644.605555555601</v>
      </c>
      <c r="J14597" s="23" t="str">
        <f>HYPERLINK("https://www.spark-marketing.ru/Card/Person/125839", "ООО ""С.Т.С.""")</f>
        <v>ООО "С.Т.С."</v>
      </c>
      <c r="K14597" s="24" t="s">
        <v>19391</v>
      </c>
      <c r="L14597" s="22" t="s">
        <v>10</v>
      </c>
      <c r="M14597" s="25">
        <v>692780.85</v>
      </c>
      <c r="N14597" s="27">
        <v>0.1950001223568566</v>
      </c>
    </row>
    <row r="14598" spans="1:14" hidden="1" outlineLevel="1" x14ac:dyDescent="0.2">
      <c r="A14598" s="23" t="str">
        <f t="shared" si="486"/>
        <v>ОГБПОУ "КОЛЛЕДЖ ИНДУСТРИИ ПИТАНИЯ, ТОРГОВЛИ И СФЕРЫ УСЛУГ", ОГБПОУ "КИПТСУ"</v>
      </c>
      <c r="B14598" s="24" t="s">
        <v>19387</v>
      </c>
      <c r="C14598" s="25">
        <v>860597.46</v>
      </c>
      <c r="D14598" s="22" t="s">
        <v>19388</v>
      </c>
      <c r="E14598" s="22" t="s">
        <v>19389</v>
      </c>
      <c r="F14598" s="23" t="str">
        <f t="shared" si="487"/>
        <v>Выполнение работ по текущему ремонту аудиторий в здании ОГБПОУ «Колледж индустрии питания, торговли и сферы услуг»</v>
      </c>
      <c r="G14598" s="22" t="s">
        <v>149</v>
      </c>
      <c r="H14598" s="22" t="s">
        <v>496</v>
      </c>
      <c r="I14598" s="26">
        <v>43644.605555555601</v>
      </c>
      <c r="J14598" s="23" t="str">
        <f>HYPERLINK("https://www.spark-marketing.ru/Card/Person/532127", "ООО ""СТИЛЬ XXI ВЕК""")</f>
        <v>ООО "СТИЛЬ XXI ВЕК"</v>
      </c>
      <c r="K14598" s="24" t="s">
        <v>19392</v>
      </c>
      <c r="L14598" s="28" t="s">
        <v>51</v>
      </c>
      <c r="M14598" s="25">
        <v>774537.66</v>
      </c>
      <c r="N14598" s="27">
        <v>0.10000006274710595</v>
      </c>
    </row>
    <row r="14599" spans="1:14" hidden="1" outlineLevel="1" x14ac:dyDescent="0.2">
      <c r="A14599" s="23" t="str">
        <f t="shared" si="486"/>
        <v>ОГБПОУ "КОЛЛЕДЖ ИНДУСТРИИ ПИТАНИЯ, ТОРГОВЛИ И СФЕРЫ УСЛУГ", ОГБПОУ "КИПТСУ"</v>
      </c>
      <c r="B14599" s="24" t="s">
        <v>19387</v>
      </c>
      <c r="C14599" s="25">
        <v>860597.46</v>
      </c>
      <c r="D14599" s="22" t="s">
        <v>19388</v>
      </c>
      <c r="E14599" s="22" t="s">
        <v>19389</v>
      </c>
      <c r="F14599" s="23" t="str">
        <f t="shared" si="487"/>
        <v>Выполнение работ по текущему ремонту аудиторий в здании ОГБПОУ «Колледж индустрии питания, торговли и сферы услуг»</v>
      </c>
      <c r="G14599" s="22" t="s">
        <v>149</v>
      </c>
      <c r="H14599" s="22" t="s">
        <v>496</v>
      </c>
      <c r="I14599" s="26">
        <v>43644.605555555601</v>
      </c>
      <c r="J14599" s="23" t="str">
        <f>HYPERLINK("https://www.spark-marketing.ru/Card/Person/6510885", "ООО ""СИБИРЬ""")</f>
        <v>ООО "СИБИРЬ"</v>
      </c>
      <c r="K14599" s="24" t="s">
        <v>19393</v>
      </c>
      <c r="L14599" s="28" t="s">
        <v>51</v>
      </c>
      <c r="M14599" s="25">
        <v>778840.65</v>
      </c>
      <c r="N14599" s="27">
        <v>9.5000059609750651E-2</v>
      </c>
    </row>
    <row r="14600" spans="1:14" hidden="1" outlineLevel="1" x14ac:dyDescent="0.2">
      <c r="A14600" s="23" t="str">
        <f t="shared" si="486"/>
        <v>ОГБПОУ "КОЛЛЕДЖ ИНДУСТРИИ ПИТАНИЯ, ТОРГОВЛИ И СФЕРЫ УСЛУГ", ОГБПОУ "КИПТСУ"</v>
      </c>
      <c r="B14600" s="24" t="s">
        <v>19387</v>
      </c>
      <c r="C14600" s="25">
        <v>860597.46</v>
      </c>
      <c r="D14600" s="22" t="s">
        <v>19388</v>
      </c>
      <c r="E14600" s="22" t="s">
        <v>19389</v>
      </c>
      <c r="F14600" s="23" t="str">
        <f t="shared" si="487"/>
        <v>Выполнение работ по текущему ремонту аудиторий в здании ОГБПОУ «Колледж индустрии питания, торговли и сферы услуг»</v>
      </c>
      <c r="G14600" s="22" t="s">
        <v>149</v>
      </c>
      <c r="H14600" s="22" t="s">
        <v>496</v>
      </c>
      <c r="I14600" s="26">
        <v>43644.605555555601</v>
      </c>
      <c r="J14600" s="23" t="str">
        <f>HYPERLINK("https://www.spark-marketing.ru/Card/Person/244232", "ООО ""СИБСТРОЙНОВА""")</f>
        <v>ООО "СИБСТРОЙНОВА"</v>
      </c>
      <c r="K14600" s="24" t="s">
        <v>19394</v>
      </c>
      <c r="L14600" s="28" t="s">
        <v>51</v>
      </c>
      <c r="M14600" s="25">
        <v>697083.84</v>
      </c>
      <c r="N14600" s="27">
        <v>0.1900001192195013</v>
      </c>
    </row>
    <row r="14601" spans="1:14" x14ac:dyDescent="0.15">
      <c r="A14601" s="23" t="str">
        <f>HYPERLINK("https://www.spark-marketing.ru/Card/Person/17859", "УМВД РОССИИ ПО ГОРОДУ ТВЕРИ")</f>
        <v>УМВД РОССИИ ПО ГОРОДУ ТВЕРИ</v>
      </c>
      <c r="B14601" s="24" t="s">
        <v>19369</v>
      </c>
      <c r="C14601" s="25">
        <v>1102500</v>
      </c>
      <c r="D14601" s="22" t="s">
        <v>19395</v>
      </c>
      <c r="E14601" s="22" t="s">
        <v>48</v>
      </c>
      <c r="F14601" s="23" t="str">
        <f>HYPERLINK("https://www.spark-marketing.ru/Card/Lot/71810800", "Оказание услуг по организации горячего питания для лиц, задержанных за административное правонарушение на срок более трех часов и содержащихся в дежурных частях подразделений УМВД России по городу Твери")</f>
        <v>Оказание услуг по организации горячего питания для лиц, задержанных за административное правонарушение на срок более трех часов и содержащихся в дежурных частях подразделений УМВД России по городу Твери</v>
      </c>
      <c r="G14601" s="22" t="s">
        <v>137</v>
      </c>
      <c r="H14601" s="22" t="s">
        <v>138</v>
      </c>
      <c r="I14601" s="26">
        <v>43644.600694444402</v>
      </c>
      <c r="J14601" s="23" t="str">
        <f>HYPERLINK("https://www.spark-marketing.ru/Card/Person/104352", "Долотова Елена Петровна")</f>
        <v>Долотова Елена Петровна</v>
      </c>
      <c r="K14601" s="24" t="s">
        <v>17519</v>
      </c>
      <c r="L14601" s="22" t="s">
        <v>10</v>
      </c>
      <c r="M14601" s="28" t="s">
        <v>51</v>
      </c>
      <c r="N14601" s="28" t="s">
        <v>51</v>
      </c>
    </row>
    <row r="14602" spans="1:14" x14ac:dyDescent="0.2">
      <c r="A14602" s="23" t="str">
        <f>HYPERLINK("https://www.spark-marketing.ru/Card/Person/4348376", "АО ""ЖТК""")</f>
        <v>АО "ЖТК"</v>
      </c>
      <c r="B14602" s="24" t="s">
        <v>2312</v>
      </c>
      <c r="C14602" s="25">
        <v>2166065</v>
      </c>
      <c r="D14602" s="22" t="s">
        <v>19396</v>
      </c>
      <c r="E14602" s="22" t="s">
        <v>7035</v>
      </c>
      <c r="F14602" s="23" t="str">
        <f>HYPERLINK("https://www.spark-marketing.ru/Card/Lot/71774574", "Поставка кондитерской продукции для предприятий общественного питания Шилкинского ТПО, оказывающих услуги питания работникам РЖД")</f>
        <v>Поставка кондитерской продукции для предприятий общественного питания Шилкинского ТПО, оказывающих услуги питания работникам РЖД</v>
      </c>
      <c r="G14602" s="22" t="s">
        <v>228</v>
      </c>
      <c r="H14602" s="22" t="s">
        <v>228</v>
      </c>
      <c r="I14602" s="26">
        <v>43644.580856481502</v>
      </c>
      <c r="J14602" s="28" t="s">
        <v>51</v>
      </c>
      <c r="K14602" s="28" t="s">
        <v>51</v>
      </c>
      <c r="L14602" s="22" t="s">
        <v>10</v>
      </c>
      <c r="M14602" s="25">
        <v>2166065</v>
      </c>
      <c r="N14602" s="27">
        <v>0</v>
      </c>
    </row>
    <row r="14603" spans="1:14" x14ac:dyDescent="0.15">
      <c r="A14603" s="23" t="str">
        <f>HYPERLINK("https://www.spark-marketing.ru/Card/Person/873235", "ГКУ КК ""КУБАНЬПАТРИОТЦЕНТР""")</f>
        <v>ГКУ КК "КУБАНЬПАТРИОТЦЕНТР"</v>
      </c>
      <c r="B14603" s="24" t="s">
        <v>19397</v>
      </c>
      <c r="C14603" s="25">
        <v>308000</v>
      </c>
      <c r="D14603" s="22" t="s">
        <v>19398</v>
      </c>
      <c r="E14603" s="22" t="s">
        <v>81</v>
      </c>
      <c r="F14603" s="23" t="str">
        <f>HYPERLINK("https://www.spark-marketing.ru/Card/Lot/71799581", "Услуга по организации проживания и питания участников мероприятия")</f>
        <v>Услуга по организации проживания и питания участников мероприятия</v>
      </c>
      <c r="G14603" s="22" t="s">
        <v>104</v>
      </c>
      <c r="H14603" s="22" t="s">
        <v>120</v>
      </c>
      <c r="I14603" s="26">
        <v>43644.571041666699</v>
      </c>
      <c r="J14603" s="23" t="str">
        <f>HYPERLINK("https://www.spark-marketing.ru/Card/Person/6297120", "Ежова Дина Робертовна")</f>
        <v>Ежова Дина Робертовна</v>
      </c>
      <c r="K14603" s="24" t="s">
        <v>10130</v>
      </c>
      <c r="L14603" s="22" t="s">
        <v>10</v>
      </c>
      <c r="M14603" s="28" t="s">
        <v>51</v>
      </c>
      <c r="N14603" s="28" t="s">
        <v>51</v>
      </c>
    </row>
    <row r="14604" spans="1:14" x14ac:dyDescent="0.2">
      <c r="A14604" s="23" t="str">
        <f>HYPERLINK("https://www.spark-marketing.ru/Card/Person/4415390", "МАОУ ДО ЦДО ""СПЕКТР""")</f>
        <v>МАОУ ДО ЦДО "СПЕКТР"</v>
      </c>
      <c r="B14604" s="24" t="s">
        <v>14916</v>
      </c>
      <c r="C14604" s="25">
        <v>156906</v>
      </c>
      <c r="D14604" s="22" t="s">
        <v>19399</v>
      </c>
      <c r="E14604" s="22" t="s">
        <v>362</v>
      </c>
      <c r="F14604" s="23" t="str">
        <f>HYPERLINK("https://www.spark-marketing.ru/Card/Lot/71765156", "Оказать услуги по организации качественного горячего питания детей в условиях оздоровительного лагеря с дневным пребыванием в период летних каникул")</f>
        <v>Оказать услуги по организации качественного горячего питания детей в условиях оздоровительного лагеря с дневным пребыванием в период летних каникул</v>
      </c>
      <c r="G14604" s="22" t="s">
        <v>174</v>
      </c>
      <c r="H14604" s="22" t="s">
        <v>174</v>
      </c>
      <c r="I14604" s="26">
        <v>43644.547337962998</v>
      </c>
      <c r="J14604" s="28" t="s">
        <v>51</v>
      </c>
      <c r="K14604" s="28" t="s">
        <v>51</v>
      </c>
      <c r="L14604" s="28" t="s">
        <v>51</v>
      </c>
      <c r="M14604" s="25">
        <v>156906</v>
      </c>
      <c r="N14604" s="27">
        <v>0</v>
      </c>
    </row>
    <row r="14605" spans="1:14" x14ac:dyDescent="0.2">
      <c r="A14605" s="23" t="str">
        <f>HYPERLINK("https://www.spark-marketing.ru/Card/Person/4415390", "МАОУ ДО ЦДО ""СПЕКТР""")</f>
        <v>МАОУ ДО ЦДО "СПЕКТР"</v>
      </c>
      <c r="B14605" s="24" t="s">
        <v>14916</v>
      </c>
      <c r="C14605" s="25">
        <v>234540</v>
      </c>
      <c r="D14605" s="22" t="s">
        <v>19400</v>
      </c>
      <c r="E14605" s="22" t="s">
        <v>362</v>
      </c>
      <c r="F14605" s="23" t="str">
        <f>HYPERLINK("https://www.spark-marketing.ru/Card/Lot/71767476", "Оказать услуги по организации качественного горячего питания детей в условиях оздоровительного лагеря с дневным пребыванием в период летних каникул")</f>
        <v>Оказать услуги по организации качественного горячего питания детей в условиях оздоровительного лагеря с дневным пребыванием в период летних каникул</v>
      </c>
      <c r="G14605" s="22" t="s">
        <v>174</v>
      </c>
      <c r="H14605" s="22" t="s">
        <v>174</v>
      </c>
      <c r="I14605" s="26">
        <v>43644.541724536997</v>
      </c>
      <c r="J14605" s="28" t="s">
        <v>51</v>
      </c>
      <c r="K14605" s="28" t="s">
        <v>51</v>
      </c>
      <c r="L14605" s="28" t="s">
        <v>51</v>
      </c>
      <c r="M14605" s="25">
        <v>235944</v>
      </c>
      <c r="N14605" s="27">
        <v>-5.9861857252494245E-3</v>
      </c>
    </row>
    <row r="14606" spans="1:14" x14ac:dyDescent="0.15">
      <c r="A14606" s="23" t="str">
        <f>HYPERLINK("https://www.spark-marketing.ru/Card/Person/4348376", "АО ""ЖТК""")</f>
        <v>АО "ЖТК"</v>
      </c>
      <c r="B14606" s="24" t="s">
        <v>2312</v>
      </c>
      <c r="C14606" s="25">
        <v>4954194.2</v>
      </c>
      <c r="D14606" s="22" t="s">
        <v>19401</v>
      </c>
      <c r="E14606" s="22" t="s">
        <v>2314</v>
      </c>
      <c r="F14606" s="23" t="str">
        <f>HYPERLINK("https://www.spark-marketing.ru/Card/Lot/71773098", "Поставка бакалейной продукции для предприятий общественного питания, оказывающих услуги питания работникам ОАО ""РЖД"" ( Ст Хилок)")</f>
        <v>Поставка бакалейной продукции для предприятий общественного питания, оказывающих услуги питания работникам ОАО "РЖД" ( Ст Хилок)</v>
      </c>
      <c r="G14606" s="22" t="s">
        <v>228</v>
      </c>
      <c r="H14606" s="22" t="s">
        <v>228</v>
      </c>
      <c r="I14606" s="26">
        <v>43644.564988425896</v>
      </c>
      <c r="J14606" s="28" t="s">
        <v>51</v>
      </c>
      <c r="K14606" s="28" t="s">
        <v>51</v>
      </c>
      <c r="L14606" s="28" t="s">
        <v>51</v>
      </c>
      <c r="M14606" s="28" t="s">
        <v>51</v>
      </c>
      <c r="N14606" s="28" t="s">
        <v>51</v>
      </c>
    </row>
    <row r="14607" spans="1:14" x14ac:dyDescent="0.15">
      <c r="A14607" s="23" t="str">
        <f>HYPERLINK("https://www.spark-marketing.ru/Card/Person/95245", "ОАО ""РЖД""")</f>
        <v>ОАО "РЖД"</v>
      </c>
      <c r="B14607" s="24" t="s">
        <v>330</v>
      </c>
      <c r="C14607" s="25">
        <v>27382680</v>
      </c>
      <c r="D14607" s="22" t="s">
        <v>19402</v>
      </c>
      <c r="E14607" s="22" t="s">
        <v>580</v>
      </c>
      <c r="F14607" s="23" t="str">
        <f>HYPERLINK("https://www.spark-marketing.ru/Card/Lot/71773102", "На право заключения договора на оказание услуг по предоставлению гарантированного питания в вагонах бизнес-класса скоростных электропоездов «Ласточка» на направлении Санкт-Петербург - Сортавала - Маткаселькя.")</f>
        <v>На право заключения договора на оказание услуг по предоставлению гарантированного питания в вагонах бизнес-класса скоростных электропоездов «Ласточка» на направлении Санкт-Петербург - Сортавала - Маткаселькя.</v>
      </c>
      <c r="G14607" s="22" t="s">
        <v>117</v>
      </c>
      <c r="H14607" s="22" t="s">
        <v>117</v>
      </c>
      <c r="I14607" s="26">
        <v>43644.567800925899</v>
      </c>
      <c r="J14607" s="28" t="s">
        <v>51</v>
      </c>
      <c r="K14607" s="28" t="s">
        <v>51</v>
      </c>
      <c r="L14607" s="22" t="s">
        <v>10</v>
      </c>
      <c r="M14607" s="28" t="s">
        <v>51</v>
      </c>
      <c r="N14607" s="28" t="s">
        <v>51</v>
      </c>
    </row>
    <row r="14608" spans="1:14" x14ac:dyDescent="0.15">
      <c r="A14608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14608" s="24" t="s">
        <v>6649</v>
      </c>
      <c r="C14608" s="25">
        <v>2993800</v>
      </c>
      <c r="D14608" s="22" t="s">
        <v>19403</v>
      </c>
      <c r="E14608" s="22" t="s">
        <v>952</v>
      </c>
      <c r="F14608" s="23" t="str">
        <f>HYPERLINK("https://www.spark-marketing.ru/Card/Lot/71772456", "Оказание услуг по организации общественного питания в ФГАУ «Санаторий ФССП России «Зеленая долина»")</f>
        <v>Оказание услуг по организации общественного питания в ФГАУ «Санаторий ФССП России «Зеленая долина»</v>
      </c>
      <c r="G14608" s="22" t="s">
        <v>104</v>
      </c>
      <c r="H14608" s="22" t="s">
        <v>104</v>
      </c>
      <c r="I14608" s="26">
        <v>43644.552164351902</v>
      </c>
      <c r="J14608" s="28" t="s">
        <v>51</v>
      </c>
      <c r="K14608" s="28" t="s">
        <v>51</v>
      </c>
      <c r="L14608" s="28" t="s">
        <v>51</v>
      </c>
      <c r="M14608" s="28" t="s">
        <v>51</v>
      </c>
      <c r="N14608" s="28" t="s">
        <v>51</v>
      </c>
    </row>
    <row r="14609" spans="1:14" x14ac:dyDescent="0.15">
      <c r="A14609" s="23" t="str">
        <f t="shared" ref="A14609:A14614" si="488">HYPERLINK("https://www.spark-marketing.ru/Card/Person/136780", "ГБОУ КК ШИСП")</f>
        <v>ГБОУ КК ШИСП</v>
      </c>
      <c r="B14609" s="24" t="s">
        <v>19404</v>
      </c>
      <c r="C14609" s="25">
        <v>12005400</v>
      </c>
      <c r="D14609" s="22" t="s">
        <v>19405</v>
      </c>
      <c r="E14609" s="22" t="s">
        <v>48</v>
      </c>
      <c r="F14609" s="23" t="str">
        <f t="shared" ref="F14609:F14614" si="489">HYPERLINK("https://www.spark-marketing.ru/Card/Lot/71799542", "Оказание услуг по организации пятиразового питания")</f>
        <v>Оказание услуг по организации пятиразового питания</v>
      </c>
      <c r="G14609" s="22" t="s">
        <v>104</v>
      </c>
      <c r="H14609" s="22" t="s">
        <v>120</v>
      </c>
      <c r="I14609" s="26">
        <v>43644.562025462998</v>
      </c>
      <c r="J14609" s="28" t="s">
        <v>51</v>
      </c>
      <c r="K14609" s="28" t="s">
        <v>51</v>
      </c>
      <c r="L14609" s="28" t="s">
        <v>51</v>
      </c>
      <c r="M14609" s="28" t="s">
        <v>51</v>
      </c>
      <c r="N14609" s="28" t="s">
        <v>51</v>
      </c>
    </row>
    <row r="14610" spans="1:14" hidden="1" outlineLevel="1" x14ac:dyDescent="0.15">
      <c r="A14610" s="23" t="str">
        <f t="shared" si="488"/>
        <v>ГБОУ КК ШИСП</v>
      </c>
      <c r="B14610" s="24" t="s">
        <v>19404</v>
      </c>
      <c r="C14610" s="25">
        <v>12005400</v>
      </c>
      <c r="D14610" s="22" t="s">
        <v>19405</v>
      </c>
      <c r="E14610" s="22" t="s">
        <v>48</v>
      </c>
      <c r="F14610" s="23" t="str">
        <f t="shared" si="489"/>
        <v>Оказание услуг по организации пятиразового питания</v>
      </c>
      <c r="G14610" s="22" t="s">
        <v>104</v>
      </c>
      <c r="H14610" s="22" t="s">
        <v>120</v>
      </c>
      <c r="I14610" s="26">
        <v>43644.562025462998</v>
      </c>
      <c r="J14610" s="23" t="str">
        <f>HYPERLINK("https://www.spark-marketing.ru/Card/Person/50415", "ООО ""ЮГ-ПРОДСЕРВИС""")</f>
        <v>ООО "ЮГ-ПРОДСЕРВИС"</v>
      </c>
      <c r="K14610" s="24" t="s">
        <v>11363</v>
      </c>
      <c r="L14610" s="28" t="s">
        <v>51</v>
      </c>
      <c r="M14610" s="28" t="s">
        <v>51</v>
      </c>
      <c r="N14610" s="28" t="s">
        <v>51</v>
      </c>
    </row>
    <row r="14611" spans="1:14" ht="12.75" hidden="1" outlineLevel="1" x14ac:dyDescent="0.2">
      <c r="A14611" s="23" t="str">
        <f t="shared" si="488"/>
        <v>ГБОУ КК ШИСП</v>
      </c>
      <c r="B14611" s="24" t="s">
        <v>19404</v>
      </c>
      <c r="C14611" s="25">
        <v>12005400</v>
      </c>
      <c r="D14611" s="22" t="s">
        <v>19405</v>
      </c>
      <c r="E14611" s="22" t="s">
        <v>48</v>
      </c>
      <c r="F14611" s="23" t="str">
        <f t="shared" si="489"/>
        <v>Оказание услуг по организации пятиразового питания</v>
      </c>
      <c r="G14611" s="22" t="s">
        <v>104</v>
      </c>
      <c r="H14611" s="22" t="s">
        <v>120</v>
      </c>
      <c r="I14611" s="26">
        <v>43644.562025462998</v>
      </c>
      <c r="J14611" s="23" t="str">
        <f>HYPERLINK("https://www.spark-marketing.ru/Card/Person/5794442", "Тульментьева Валерия Алексеевна")</f>
        <v>Тульментьева Валерия Алексеевна</v>
      </c>
      <c r="K14611" s="24" t="s">
        <v>19406</v>
      </c>
      <c r="L14611" s="22" t="s">
        <v>10</v>
      </c>
      <c r="M14611" s="25">
        <v>10368300</v>
      </c>
      <c r="N14611" s="27">
        <v>0.13636363636363635</v>
      </c>
    </row>
    <row r="14612" spans="1:14" hidden="1" outlineLevel="1" x14ac:dyDescent="0.2">
      <c r="A14612" s="23" t="str">
        <f t="shared" si="488"/>
        <v>ГБОУ КК ШИСП</v>
      </c>
      <c r="B14612" s="24" t="s">
        <v>19404</v>
      </c>
      <c r="C14612" s="25">
        <v>12005400</v>
      </c>
      <c r="D14612" s="22" t="s">
        <v>19405</v>
      </c>
      <c r="E14612" s="22" t="s">
        <v>48</v>
      </c>
      <c r="F14612" s="23" t="str">
        <f t="shared" si="489"/>
        <v>Оказание услуг по организации пятиразового питания</v>
      </c>
      <c r="G14612" s="22" t="s">
        <v>104</v>
      </c>
      <c r="H14612" s="22" t="s">
        <v>120</v>
      </c>
      <c r="I14612" s="26">
        <v>43644.562025462998</v>
      </c>
      <c r="J14612" s="23" t="str">
        <f>HYPERLINK("https://www.spark-marketing.ru/Card/Person/4343445", "ООО ""ТОРГОВЫЙ ДОМ ""КУБАНЬ""")</f>
        <v>ООО "ТОРГОВЫЙ ДОМ "КУБАНЬ"</v>
      </c>
      <c r="K14612" s="24" t="s">
        <v>19407</v>
      </c>
      <c r="L14612" s="28" t="s">
        <v>51</v>
      </c>
      <c r="M14612" s="25">
        <v>10850000</v>
      </c>
      <c r="N14612" s="27">
        <v>9.6240025321938455E-2</v>
      </c>
    </row>
    <row r="14613" spans="1:14" hidden="1" outlineLevel="1" x14ac:dyDescent="0.2">
      <c r="A14613" s="23" t="str">
        <f t="shared" si="488"/>
        <v>ГБОУ КК ШИСП</v>
      </c>
      <c r="B14613" s="24" t="s">
        <v>19404</v>
      </c>
      <c r="C14613" s="25">
        <v>12005400</v>
      </c>
      <c r="D14613" s="22" t="s">
        <v>19405</v>
      </c>
      <c r="E14613" s="22" t="s">
        <v>48</v>
      </c>
      <c r="F14613" s="23" t="str">
        <f t="shared" si="489"/>
        <v>Оказание услуг по организации пятиразового питания</v>
      </c>
      <c r="G14613" s="22" t="s">
        <v>104</v>
      </c>
      <c r="H14613" s="22" t="s">
        <v>120</v>
      </c>
      <c r="I14613" s="26">
        <v>43644.562025462998</v>
      </c>
      <c r="J14613" s="23" t="str">
        <f>HYPERLINK("https://www.spark-marketing.ru/Card/Person/6450011", "ООО ""ДОМ""")</f>
        <v>ООО "ДОМ"</v>
      </c>
      <c r="K14613" s="24" t="s">
        <v>19408</v>
      </c>
      <c r="L14613" s="28" t="s">
        <v>51</v>
      </c>
      <c r="M14613" s="25">
        <v>9800772</v>
      </c>
      <c r="N14613" s="27">
        <v>0.18363636363636363</v>
      </c>
    </row>
    <row r="14614" spans="1:14" hidden="1" outlineLevel="1" x14ac:dyDescent="0.2">
      <c r="A14614" s="23" t="str">
        <f t="shared" si="488"/>
        <v>ГБОУ КК ШИСП</v>
      </c>
      <c r="B14614" s="24" t="s">
        <v>19404</v>
      </c>
      <c r="C14614" s="25">
        <v>12005400</v>
      </c>
      <c r="D14614" s="22" t="s">
        <v>19405</v>
      </c>
      <c r="E14614" s="22" t="s">
        <v>48</v>
      </c>
      <c r="F14614" s="23" t="str">
        <f t="shared" si="489"/>
        <v>Оказание услуг по организации пятиразового питания</v>
      </c>
      <c r="G14614" s="22" t="s">
        <v>104</v>
      </c>
      <c r="H14614" s="22" t="s">
        <v>120</v>
      </c>
      <c r="I14614" s="26">
        <v>43644.562025462998</v>
      </c>
      <c r="J14614" s="23" t="str">
        <f>HYPERLINK("https://www.spark-marketing.ru/Card/Person/239062", "ООО ""А-СЕРВИС""")</f>
        <v>ООО "А-СЕРВИС"</v>
      </c>
      <c r="K14614" s="24" t="s">
        <v>19409</v>
      </c>
      <c r="L14614" s="28" t="s">
        <v>51</v>
      </c>
      <c r="M14614" s="25">
        <v>10914000</v>
      </c>
      <c r="N14614" s="27">
        <v>9.0909090909090912E-2</v>
      </c>
    </row>
    <row r="14615" spans="1:14" x14ac:dyDescent="0.15">
      <c r="A14615" s="23" t="str">
        <f>HYPERLINK("https://www.spark-marketing.ru/Card/Person/13630", "ФКУ ""ЦХИСО ГУ МВД РОССИИ ПО НИЖЕГОРОДСКОЙ ОБЛАСТИ""")</f>
        <v>ФКУ "ЦХИСО ГУ МВД РОССИИ ПО НИЖЕГОРОДСКОЙ ОБЛАСТИ"</v>
      </c>
      <c r="B14615" s="24" t="s">
        <v>5688</v>
      </c>
      <c r="C14615" s="25">
        <v>10140000</v>
      </c>
      <c r="D14615" s="22" t="s">
        <v>19410</v>
      </c>
      <c r="E14615" s="22" t="s">
        <v>48</v>
      </c>
      <c r="F14615" s="23" t="str">
        <f>HYPERLINK("https://www.spark-marketing.ru/Card/Lot/71802798", "Оказание услуг по организации питания иностранных граждан и лиц без гражданства, содержащихся в центре временного содержания иностранных граждан ГУ МВД России по Нижегородской области")</f>
        <v>Оказание услуг по организации питания иностранных граждан и лиц без гражданства, содержащихся в центре временного содержания иностранных граждан ГУ МВД России по Нижегородской области</v>
      </c>
      <c r="G14615" s="22" t="s">
        <v>76</v>
      </c>
      <c r="H14615" s="22" t="s">
        <v>76</v>
      </c>
      <c r="I14615" s="26">
        <v>43644.577152777798</v>
      </c>
      <c r="J14615" s="28" t="s">
        <v>51</v>
      </c>
      <c r="K14615" s="28" t="s">
        <v>51</v>
      </c>
      <c r="L14615" s="28" t="s">
        <v>51</v>
      </c>
      <c r="M14615" s="28" t="s">
        <v>51</v>
      </c>
      <c r="N14615" s="28" t="s">
        <v>51</v>
      </c>
    </row>
    <row r="14616" spans="1:14" ht="12.75" hidden="1" outlineLevel="1" x14ac:dyDescent="0.2">
      <c r="A14616" s="23" t="str">
        <f>HYPERLINK("https://www.spark-marketing.ru/Card/Person/13630", "ФКУ ""ЦХИСО ГУ МВД РОССИИ ПО НИЖЕГОРОДСКОЙ ОБЛАСТИ""")</f>
        <v>ФКУ "ЦХИСО ГУ МВД РОССИИ ПО НИЖЕГОРОДСКОЙ ОБЛАСТИ"</v>
      </c>
      <c r="B14616" s="24" t="s">
        <v>5688</v>
      </c>
      <c r="C14616" s="25">
        <v>10140000</v>
      </c>
      <c r="D14616" s="22" t="s">
        <v>19410</v>
      </c>
      <c r="E14616" s="22" t="s">
        <v>48</v>
      </c>
      <c r="F14616" s="23" t="str">
        <f>HYPERLINK("https://www.spark-marketing.ru/Card/Lot/71802798", "Оказание услуг по организации питания иностранных граждан и лиц без гражданства, содержащихся в центре временного содержания иностранных граждан ГУ МВД России по Нижегородской области")</f>
        <v>Оказание услуг по организации питания иностранных граждан и лиц без гражданства, содержащихся в центре временного содержания иностранных граждан ГУ МВД России по Нижегородской области</v>
      </c>
      <c r="G14616" s="22" t="s">
        <v>76</v>
      </c>
      <c r="H14616" s="22" t="s">
        <v>76</v>
      </c>
      <c r="I14616" s="26">
        <v>43644.577152777798</v>
      </c>
      <c r="J14616" s="23" t="str">
        <f>HYPERLINK("https://www.spark-marketing.ru/Card/Person/6081973", "Румянцев Михаил Данилович")</f>
        <v>Румянцев Михаил Данилович</v>
      </c>
      <c r="K14616" s="24" t="s">
        <v>5787</v>
      </c>
      <c r="L14616" s="22" t="s">
        <v>10</v>
      </c>
      <c r="M14616" s="25">
        <v>2615.36</v>
      </c>
      <c r="N14616" s="27">
        <v>0.99974207495069034</v>
      </c>
    </row>
    <row r="14617" spans="1:14" hidden="1" outlineLevel="1" x14ac:dyDescent="0.2">
      <c r="A14617" s="23" t="str">
        <f>HYPERLINK("https://www.spark-marketing.ru/Card/Person/13630", "ФКУ ""ЦХИСО ГУ МВД РОССИИ ПО НИЖЕГОРОДСКОЙ ОБЛАСТИ""")</f>
        <v>ФКУ "ЦХИСО ГУ МВД РОССИИ ПО НИЖЕГОРОДСКОЙ ОБЛАСТИ"</v>
      </c>
      <c r="B14617" s="24" t="s">
        <v>5688</v>
      </c>
      <c r="C14617" s="25">
        <v>10140000</v>
      </c>
      <c r="D14617" s="22" t="s">
        <v>19410</v>
      </c>
      <c r="E14617" s="22" t="s">
        <v>48</v>
      </c>
      <c r="F14617" s="23" t="str">
        <f>HYPERLINK("https://www.spark-marketing.ru/Card/Lot/71802798", "Оказание услуг по организации питания иностранных граждан и лиц без гражданства, содержащихся в центре временного содержания иностранных граждан ГУ МВД России по Нижегородской области")</f>
        <v>Оказание услуг по организации питания иностранных граждан и лиц без гражданства, содержащихся в центре временного содержания иностранных граждан ГУ МВД России по Нижегородской области</v>
      </c>
      <c r="G14617" s="22" t="s">
        <v>76</v>
      </c>
      <c r="H14617" s="22" t="s">
        <v>76</v>
      </c>
      <c r="I14617" s="26">
        <v>43644.577152777798</v>
      </c>
      <c r="J14617" s="23" t="str">
        <f>HYPERLINK("https://www.spark-marketing.ru/Card/Person/6634118", "Матвеева Ольга Юрьевна")</f>
        <v>Матвеева Ольга Юрьевна</v>
      </c>
      <c r="K14617" s="24" t="s">
        <v>5786</v>
      </c>
      <c r="L14617" s="28" t="s">
        <v>51</v>
      </c>
      <c r="M14617" s="25">
        <v>2715.36</v>
      </c>
      <c r="N14617" s="27">
        <v>0.9997322130177515</v>
      </c>
    </row>
    <row r="14618" spans="1:14" ht="12.75" x14ac:dyDescent="0.2">
      <c r="A14618" s="23" t="str">
        <f>HYPERLINK("https://www.spark-marketing.ru/Card/Person/223418", "ФКУ КП-3 УФСИН РОССИИ ПО РЕСПУБЛИКЕ БУРЯТИЯ")</f>
        <v>ФКУ КП-3 УФСИН РОССИИ ПО РЕСПУБЛИКЕ БУРЯТИЯ</v>
      </c>
      <c r="B14618" s="24" t="s">
        <v>15433</v>
      </c>
      <c r="C14618" s="25">
        <v>54659.05</v>
      </c>
      <c r="D14618" s="22" t="s">
        <v>19411</v>
      </c>
      <c r="E14618" s="22" t="s">
        <v>19412</v>
      </c>
      <c r="F14618" s="23" t="str">
        <f>HYPERLINK("https://www.spark-marketing.ru/Card/Lot/71790722", "Оказание услуг лабораторно-диагностических ветеринарных услуг")</f>
        <v>Оказание услуг лабораторно-диагностических ветеринарных услуг</v>
      </c>
      <c r="G14618" s="22" t="s">
        <v>433</v>
      </c>
      <c r="H14618" s="22" t="s">
        <v>433</v>
      </c>
      <c r="I14618" s="26">
        <v>43644.579861111102</v>
      </c>
      <c r="J14618" s="23" t="str">
        <f>HYPERLINK("https://www.spark-marketing.ru/Card/Person/95104", "БУ ВЕТЕРИНАРИИ ""БРНПВЛ""")</f>
        <v>БУ ВЕТЕРИНАРИИ "БРНПВЛ"</v>
      </c>
      <c r="K14618" s="24" t="s">
        <v>19413</v>
      </c>
      <c r="L14618" s="22" t="s">
        <v>10</v>
      </c>
      <c r="M14618" s="25">
        <v>25187</v>
      </c>
      <c r="N14618" s="27">
        <v>0.53919799191533702</v>
      </c>
    </row>
    <row r="14619" spans="1:14" x14ac:dyDescent="0.2">
      <c r="A14619" s="23" t="str">
        <f>HYPERLINK("https://www.spark-marketing.ru/Card/Person/4344342", "ФГБОУ ВО ЯКУТСКАЯ ГСХА")</f>
        <v>ФГБОУ ВО ЯКУТСКАЯ ГСХА</v>
      </c>
      <c r="B14619" s="24" t="s">
        <v>19414</v>
      </c>
      <c r="C14619" s="25">
        <v>171000</v>
      </c>
      <c r="D14619" s="22" t="s">
        <v>19415</v>
      </c>
      <c r="E14619" s="22" t="s">
        <v>362</v>
      </c>
      <c r="F14619" s="23" t="str">
        <f>HYPERLINK("https://www.spark-marketing.ru/Card/Lot/71756682", "Оказание услуг по обеспечению питанием участников Спортивных игр")</f>
        <v>Оказание услуг по обеспечению питанием участников Спортивных игр</v>
      </c>
      <c r="G14619" s="22" t="s">
        <v>241</v>
      </c>
      <c r="H14619" s="22" t="s">
        <v>241</v>
      </c>
      <c r="I14619" s="26">
        <v>43644.5167013889</v>
      </c>
      <c r="J14619" s="28" t="s">
        <v>51</v>
      </c>
      <c r="K14619" s="28" t="s">
        <v>51</v>
      </c>
      <c r="L14619" s="28" t="s">
        <v>51</v>
      </c>
      <c r="M14619" s="25">
        <v>171000</v>
      </c>
      <c r="N14619" s="27">
        <v>0</v>
      </c>
    </row>
    <row r="14620" spans="1:14" x14ac:dyDescent="0.15">
      <c r="A14620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4620" s="24" t="s">
        <v>3323</v>
      </c>
      <c r="C14620" s="25">
        <v>2310714</v>
      </c>
      <c r="D14620" s="22" t="s">
        <v>19416</v>
      </c>
      <c r="E14620" s="22" t="s">
        <v>48</v>
      </c>
      <c r="F14620" s="23" t="str">
        <f>HYPERLINK("https://www.spark-marketing.ru/Card/Lot/71799860", "Оказание услуг по организации питания (оказание услуг общественного питания, поставку готовых блюд) для граждан, впервые поступающих на службу в органы внутренних дел, проходящих профессиональное обучение в загородной учебной базе г. Майкоп Краснодар...")</f>
        <v>Оказание услуг по организации питания (оказание услуг общественного питания, поставку готовых блюд) для граждан, впервые поступающих на службу в органы внутренних дел, проходящих профессиональное обучение в загородной учебной базе г. Майкоп Краснодар...</v>
      </c>
      <c r="G14620" s="22" t="s">
        <v>925</v>
      </c>
      <c r="H14620" s="22" t="s">
        <v>926</v>
      </c>
      <c r="I14620" s="26">
        <v>43644.532245370399</v>
      </c>
      <c r="J14620" s="28" t="s">
        <v>51</v>
      </c>
      <c r="K14620" s="28" t="s">
        <v>51</v>
      </c>
      <c r="L14620" s="28" t="s">
        <v>51</v>
      </c>
      <c r="M14620" s="28" t="s">
        <v>51</v>
      </c>
      <c r="N14620" s="28" t="s">
        <v>51</v>
      </c>
    </row>
    <row r="14621" spans="1:14" hidden="1" outlineLevel="1" x14ac:dyDescent="0.2">
      <c r="A14621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4621" s="24" t="s">
        <v>3323</v>
      </c>
      <c r="C14621" s="25">
        <v>2310714</v>
      </c>
      <c r="D14621" s="22" t="s">
        <v>19416</v>
      </c>
      <c r="E14621" s="22" t="s">
        <v>48</v>
      </c>
      <c r="F14621" s="23" t="str">
        <f>HYPERLINK("https://www.spark-marketing.ru/Card/Lot/71799860", "Оказание услуг по организации питания (оказание услуг общественного питания, поставку готовых блюд) для граждан, впервые поступающих на службу в органы внутренних дел, проходящих профессиональное обучение в загородной учебной базе г. Майкоп Краснодар...")</f>
        <v>Оказание услуг по организации питания (оказание услуг общественного питания, поставку готовых блюд) для граждан, впервые поступающих на службу в органы внутренних дел, проходящих профессиональное обучение в загородной учебной базе г. Майкоп Краснодар...</v>
      </c>
      <c r="G14621" s="22" t="s">
        <v>925</v>
      </c>
      <c r="H14621" s="22" t="s">
        <v>926</v>
      </c>
      <c r="I14621" s="26">
        <v>43644.532245370399</v>
      </c>
      <c r="J14621" s="23" t="str">
        <f>HYPERLINK("https://www.spark-marketing.ru/Card/Person/941707", "Христенко Людмила Владимировна")</f>
        <v>Христенко Людмила Владимировна</v>
      </c>
      <c r="K14621" s="24" t="s">
        <v>8586</v>
      </c>
      <c r="L14621" s="28" t="s">
        <v>51</v>
      </c>
      <c r="M14621" s="25">
        <v>1595759.95</v>
      </c>
      <c r="N14621" s="27">
        <v>0.30940828246161145</v>
      </c>
    </row>
    <row r="14622" spans="1:14" hidden="1" outlineLevel="1" x14ac:dyDescent="0.2">
      <c r="A14622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4622" s="24" t="s">
        <v>3323</v>
      </c>
      <c r="C14622" s="25">
        <v>2310714</v>
      </c>
      <c r="D14622" s="22" t="s">
        <v>19416</v>
      </c>
      <c r="E14622" s="22" t="s">
        <v>48</v>
      </c>
      <c r="F14622" s="23" t="str">
        <f>HYPERLINK("https://www.spark-marketing.ru/Card/Lot/71799860", "Оказание услуг по организации питания (оказание услуг общественного питания, поставку готовых блюд) для граждан, впервые поступающих на службу в органы внутренних дел, проходящих профессиональное обучение в загородной учебной базе г. Майкоп Краснодар...")</f>
        <v>Оказание услуг по организации питания (оказание услуг общественного питания, поставку готовых блюд) для граждан, впервые поступающих на службу в органы внутренних дел, проходящих профессиональное обучение в загородной учебной базе г. Майкоп Краснодар...</v>
      </c>
      <c r="G14622" s="22" t="s">
        <v>925</v>
      </c>
      <c r="H14622" s="22" t="s">
        <v>926</v>
      </c>
      <c r="I14622" s="26">
        <v>43644.532245370399</v>
      </c>
      <c r="J14622" s="23" t="str">
        <f>HYPERLINK("https://www.spark-marketing.ru/Card/Person/943735", "Сиюхова Бэла Каплановна")</f>
        <v>Сиюхова Бэла Каплановна</v>
      </c>
      <c r="K14622" s="24" t="s">
        <v>11121</v>
      </c>
      <c r="L14622" s="28" t="s">
        <v>51</v>
      </c>
      <c r="M14622" s="25">
        <v>1446110.45</v>
      </c>
      <c r="N14622" s="27">
        <v>0.37417159804285599</v>
      </c>
    </row>
    <row r="14623" spans="1:14" ht="12.75" hidden="1" outlineLevel="1" x14ac:dyDescent="0.2">
      <c r="A14623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4623" s="24" t="s">
        <v>3323</v>
      </c>
      <c r="C14623" s="25">
        <v>2310714</v>
      </c>
      <c r="D14623" s="22" t="s">
        <v>19416</v>
      </c>
      <c r="E14623" s="22" t="s">
        <v>48</v>
      </c>
      <c r="F14623" s="23" t="str">
        <f>HYPERLINK("https://www.spark-marketing.ru/Card/Lot/71799860", "Оказание услуг по организации питания (оказание услуг общественного питания, поставку готовых блюд) для граждан, впервые поступающих на службу в органы внутренних дел, проходящих профессиональное обучение в загородной учебной базе г. Майкоп Краснодар...")</f>
        <v>Оказание услуг по организации питания (оказание услуг общественного питания, поставку готовых блюд) для граждан, впервые поступающих на службу в органы внутренних дел, проходящих профессиональное обучение в загородной учебной базе г. Майкоп Краснодар...</v>
      </c>
      <c r="G14623" s="22" t="s">
        <v>925</v>
      </c>
      <c r="H14623" s="22" t="s">
        <v>926</v>
      </c>
      <c r="I14623" s="26">
        <v>43644.532245370399</v>
      </c>
      <c r="J14623" s="23" t="str">
        <f>HYPERLINK("https://www.spark-marketing.ru/Card/Person/6617631", "Провоторова Мария Кирилловна")</f>
        <v>Провоторова Мария Кирилловна</v>
      </c>
      <c r="K14623" s="24" t="s">
        <v>3949</v>
      </c>
      <c r="L14623" s="22" t="s">
        <v>10</v>
      </c>
      <c r="M14623" s="25">
        <v>1446110.45</v>
      </c>
      <c r="N14623" s="27">
        <v>0.37417159804285599</v>
      </c>
    </row>
    <row r="14624" spans="1:14" hidden="1" outlineLevel="1" x14ac:dyDescent="0.2">
      <c r="A14624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4624" s="24" t="s">
        <v>3323</v>
      </c>
      <c r="C14624" s="25">
        <v>2310714</v>
      </c>
      <c r="D14624" s="22" t="s">
        <v>19416</v>
      </c>
      <c r="E14624" s="22" t="s">
        <v>48</v>
      </c>
      <c r="F14624" s="23" t="str">
        <f>HYPERLINK("https://www.spark-marketing.ru/Card/Lot/71799860", "Оказание услуг по организации питания (оказание услуг общественного питания, поставку готовых блюд) для граждан, впервые поступающих на службу в органы внутренних дел, проходящих профессиональное обучение в загородной учебной базе г. Майкоп Краснодар...")</f>
        <v>Оказание услуг по организации питания (оказание услуг общественного питания, поставку готовых блюд) для граждан, впервые поступающих на службу в органы внутренних дел, проходящих профессиональное обучение в загородной учебной базе г. Майкоп Краснодар...</v>
      </c>
      <c r="G14624" s="22" t="s">
        <v>925</v>
      </c>
      <c r="H14624" s="22" t="s">
        <v>926</v>
      </c>
      <c r="I14624" s="26">
        <v>43644.532245370399</v>
      </c>
      <c r="J14624" s="23" t="str">
        <f>HYPERLINK("https://www.spark-marketing.ru/Card/Person/664135", "Хакунов Аскер Аминович")</f>
        <v>Хакунов Аскер Аминович</v>
      </c>
      <c r="K14624" s="24" t="s">
        <v>19417</v>
      </c>
      <c r="L14624" s="28" t="s">
        <v>51</v>
      </c>
      <c r="M14624" s="25">
        <v>1837017.63</v>
      </c>
      <c r="N14624" s="27">
        <v>0.20499999999999999</v>
      </c>
    </row>
    <row r="14625" spans="1:14" x14ac:dyDescent="0.15">
      <c r="A14625" s="23" t="str">
        <f>HYPERLINK("https://www.spark-marketing.ru/Card/Person/4353880", "ОМВД РОССИИ ПО Г. УХТЕ")</f>
        <v>ОМВД РОССИИ ПО Г. УХТЕ</v>
      </c>
      <c r="B14625" s="24" t="s">
        <v>3351</v>
      </c>
      <c r="C14625" s="25">
        <v>2125000</v>
      </c>
      <c r="D14625" s="22" t="s">
        <v>19418</v>
      </c>
      <c r="E14625" s="22" t="s">
        <v>48</v>
      </c>
      <c r="F14625" s="23" t="str">
        <f>HYPERLINK("https://www.spark-marketing.ru/Card/Lot/71769549", "Оказание услуг по организации трехразового питания для лиц, находящихся в центре временного содержания иностранных граждан (ЦВСИГ) отдела Министерства внутренних дел Российской Федерации по городу Ухте")</f>
        <v>Оказание услуг по организации трехразового питания для лиц, находящихся в центре временного содержания иностранных граждан (ЦВСИГ) отдела Министерства внутренних дел Российской Федерации по городу Ухте</v>
      </c>
      <c r="G14625" s="22" t="s">
        <v>271</v>
      </c>
      <c r="H14625" s="22" t="s">
        <v>271</v>
      </c>
      <c r="I14625" s="26">
        <v>43644.536111111098</v>
      </c>
      <c r="J14625" s="23" t="str">
        <f>HYPERLINK("https://www.spark-marketing.ru/Card/Person/1960707", "Кустов Александр Владимирович")</f>
        <v>Кустов Александр Владимирович</v>
      </c>
      <c r="K14625" s="24" t="s">
        <v>9088</v>
      </c>
      <c r="L14625" s="22" t="s">
        <v>10</v>
      </c>
      <c r="M14625" s="28" t="s">
        <v>51</v>
      </c>
      <c r="N14625" s="28" t="s">
        <v>51</v>
      </c>
    </row>
    <row r="14626" spans="1:14" x14ac:dyDescent="0.15">
      <c r="A14626" s="23" t="str">
        <f>HYPERLINK("https://www.spark-marketing.ru/Card/Person/1022366", "ГКУЗ ""ОСДР""")</f>
        <v>ГКУЗ "ОСДР"</v>
      </c>
      <c r="B14626" s="24" t="s">
        <v>17436</v>
      </c>
      <c r="C14626" s="25">
        <v>56545.2</v>
      </c>
      <c r="D14626" s="22" t="s">
        <v>19419</v>
      </c>
      <c r="E14626" s="22" t="s">
        <v>336</v>
      </c>
      <c r="F14626" s="23" t="str">
        <f>HYPERLINK("https://www.spark-marketing.ru/Card/Lot/71791474", "на поставку фруктового пюре для детского питания")</f>
        <v>на поставку фруктового пюре для детского питания</v>
      </c>
      <c r="G14626" s="22" t="s">
        <v>132</v>
      </c>
      <c r="H14626" s="22" t="s">
        <v>4057</v>
      </c>
      <c r="I14626" s="26">
        <v>43644.504861111098</v>
      </c>
      <c r="J14626" s="23" t="str">
        <f>HYPERLINK("https://www.spark-marketing.ru/Card/Person/67213", "ООО ""РЕАЛ""")</f>
        <v>ООО "РЕАЛ"</v>
      </c>
      <c r="K14626" s="24" t="s">
        <v>8739</v>
      </c>
      <c r="L14626" s="22" t="s">
        <v>10</v>
      </c>
      <c r="M14626" s="28" t="s">
        <v>51</v>
      </c>
      <c r="N14626" s="28" t="s">
        <v>51</v>
      </c>
    </row>
    <row r="14627" spans="1:14" x14ac:dyDescent="0.15">
      <c r="A14627" s="23" t="str">
        <f>HYPERLINK("https://www.spark-marketing.ru/Card/Person/1030056", "МДОУ №34 П. УВАРОВКА")</f>
        <v>МДОУ №34 П. УВАРОВКА</v>
      </c>
      <c r="B14627" s="24" t="s">
        <v>16834</v>
      </c>
      <c r="C14627" s="25">
        <v>391184</v>
      </c>
      <c r="D14627" s="22" t="s">
        <v>19420</v>
      </c>
      <c r="E14627" s="22" t="s">
        <v>48</v>
      </c>
      <c r="F14627" s="23" t="str">
        <f>HYPERLINK("https://www.spark-marketing.ru/Card/Lot/71770139", "Оказание услуг по организации питания воспитанников")</f>
        <v>Оказание услуг по организации питания воспитанников</v>
      </c>
      <c r="G14627" s="22" t="s">
        <v>49</v>
      </c>
      <c r="H14627" s="22" t="s">
        <v>506</v>
      </c>
      <c r="I14627" s="26">
        <v>43644.503553240698</v>
      </c>
      <c r="J14627" s="28" t="s">
        <v>51</v>
      </c>
      <c r="K14627" s="28" t="s">
        <v>51</v>
      </c>
      <c r="L14627" s="28" t="s">
        <v>51</v>
      </c>
      <c r="M14627" s="28" t="s">
        <v>51</v>
      </c>
      <c r="N14627" s="28" t="s">
        <v>51</v>
      </c>
    </row>
    <row r="14628" spans="1:14" x14ac:dyDescent="0.15">
      <c r="A14628" s="23" t="str">
        <f>HYPERLINK("https://www.spark-marketing.ru/Card/Person/1084910", "МБДОУ №31 Г.ШАХТЫ")</f>
        <v>МБДОУ №31 Г.ШАХТЫ</v>
      </c>
      <c r="B14628" s="24" t="s">
        <v>13648</v>
      </c>
      <c r="C14628" s="25">
        <v>387072.98</v>
      </c>
      <c r="D14628" s="22" t="s">
        <v>19421</v>
      </c>
      <c r="E14628" s="22" t="s">
        <v>48</v>
      </c>
      <c r="F14628" s="23" t="str">
        <f>HYPERLINK("https://www.spark-marketing.ru/Card/Lot/71767105", "услуги по организации питания")</f>
        <v>услуги по организации питания</v>
      </c>
      <c r="G14628" s="22" t="s">
        <v>267</v>
      </c>
      <c r="H14628" s="22" t="s">
        <v>4874</v>
      </c>
      <c r="I14628" s="26">
        <v>43644.512499999997</v>
      </c>
      <c r="J14628" s="28" t="s">
        <v>51</v>
      </c>
      <c r="K14628" s="28" t="s">
        <v>51</v>
      </c>
      <c r="L14628" s="28" t="s">
        <v>51</v>
      </c>
      <c r="M14628" s="28" t="s">
        <v>51</v>
      </c>
      <c r="N14628" s="28" t="s">
        <v>51</v>
      </c>
    </row>
    <row r="14629" spans="1:14" x14ac:dyDescent="0.15">
      <c r="A14629" s="23" t="str">
        <f>HYPERLINK("https://www.spark-marketing.ru/Card/Person/1069927", "ОТДЕЛ МВД РОССИИ ПО ВЕРХНЕУФАЛЕЙСКОМУ ГОРОДСКОМУ ОКРУГУ ЧЕЛЯБИНСКОЙ ОБЛАСТИ")</f>
        <v>ОТДЕЛ МВД РОССИИ ПО ВЕРХНЕУФАЛЕЙСКОМУ ГОРОДСКОМУ ОКРУГУ ЧЕЛЯБИНСКОЙ ОБЛАСТИ</v>
      </c>
      <c r="B14629" s="24" t="s">
        <v>19422</v>
      </c>
      <c r="C14629" s="25">
        <v>622500</v>
      </c>
      <c r="D14629" s="22" t="s">
        <v>19423</v>
      </c>
      <c r="E14629" s="22" t="s">
        <v>48</v>
      </c>
      <c r="F14629" s="23" t="str">
        <f>HYPERLINK("https://www.spark-marketing.ru/Card/Lot/71797483", "оказание услуг по обеспечению трёхразовым питанием лиц (3-х разовое комплексное горячее питание: завтрак, обед, ужин), содержащихся в изоляторе временного содержания Отдела МВД России по Верхнеуфалейскому городскому округу Челябинской области")</f>
        <v>оказание услуг по обеспечению трёхразовым питанием лиц (3-х разовое комплексное горячее питание: завтрак, обед, ужин), содержащихся в изоляторе временного содержания Отдела МВД России по Верхнеуфалейскому городскому округу Челябинской области</v>
      </c>
      <c r="G14629" s="22" t="s">
        <v>469</v>
      </c>
      <c r="H14629" s="22" t="s">
        <v>19424</v>
      </c>
      <c r="I14629" s="26">
        <v>43644.509236111102</v>
      </c>
      <c r="J14629" s="23" t="str">
        <f>HYPERLINK("https://www.spark-marketing.ru/Card/Person/865200", "Максимова Татьяна Викторовна")</f>
        <v>Максимова Татьяна Викторовна</v>
      </c>
      <c r="K14629" s="24" t="s">
        <v>19425</v>
      </c>
      <c r="L14629" s="22" t="s">
        <v>10</v>
      </c>
      <c r="M14629" s="28" t="s">
        <v>51</v>
      </c>
      <c r="N14629" s="28" t="s">
        <v>51</v>
      </c>
    </row>
    <row r="14630" spans="1:14" x14ac:dyDescent="0.15">
      <c r="A14630" s="23" t="str">
        <f>HYPERLINK("https://www.spark-marketing.ru/Card/Person/1022366", "ГКУЗ ""ОСДР""")</f>
        <v>ГКУЗ "ОСДР"</v>
      </c>
      <c r="B14630" s="24" t="s">
        <v>17436</v>
      </c>
      <c r="C14630" s="25">
        <v>61584.93</v>
      </c>
      <c r="D14630" s="22" t="s">
        <v>19426</v>
      </c>
      <c r="E14630" s="22" t="s">
        <v>336</v>
      </c>
      <c r="F14630" s="23" t="str">
        <f>HYPERLINK("https://www.spark-marketing.ru/Card/Lot/71792573", "На поставку пюре для детского питания")</f>
        <v>На поставку пюре для детского питания</v>
      </c>
      <c r="G14630" s="22" t="s">
        <v>132</v>
      </c>
      <c r="H14630" s="22" t="s">
        <v>4057</v>
      </c>
      <c r="I14630" s="26">
        <v>43644.505555555603</v>
      </c>
      <c r="J14630" s="23" t="str">
        <f>HYPERLINK("https://www.spark-marketing.ru/Card/Person/67213", "ООО ""РЕАЛ""")</f>
        <v>ООО "РЕАЛ"</v>
      </c>
      <c r="K14630" s="24" t="s">
        <v>8739</v>
      </c>
      <c r="L14630" s="22" t="s">
        <v>10</v>
      </c>
      <c r="M14630" s="28" t="s">
        <v>51</v>
      </c>
      <c r="N14630" s="28" t="s">
        <v>51</v>
      </c>
    </row>
    <row r="14631" spans="1:14" x14ac:dyDescent="0.15">
      <c r="A14631" s="23" t="str">
        <f>HYPERLINK("https://www.spark-marketing.ru/Card/Person/10421", "СПБ ГБУ СШОР ""ШВСМ ПО ВВС""")</f>
        <v>СПБ ГБУ СШОР "ШВСМ ПО ВВС"</v>
      </c>
      <c r="B14631" s="24" t="s">
        <v>379</v>
      </c>
      <c r="C14631" s="25">
        <v>525627.22</v>
      </c>
      <c r="D14631" s="22" t="s">
        <v>19427</v>
      </c>
      <c r="E14631" s="22" t="s">
        <v>48</v>
      </c>
      <c r="F14631" s="23" t="str">
        <f>HYPERLINK("https://www.spark-marketing.ru/Card/Lot/71809769", "Оказание услуг по обеспечению участия спортсменов государственных бюджетных учреждений в тренировочных мероприятиях в Санкт-Петербурге с учетом затрат на организацию питания (суточное питание) в 2019г.")</f>
        <v>Оказание услуг по обеспечению участия спортсменов государственных бюджетных учреждений в тренировочных мероприятиях в Санкт-Петербурге с учетом затрат на организацию питания (суточное питание) в 2019г.</v>
      </c>
      <c r="G14631" s="22" t="s">
        <v>117</v>
      </c>
      <c r="H14631" s="22" t="s">
        <v>117</v>
      </c>
      <c r="I14631" s="26">
        <v>43644.507638888899</v>
      </c>
      <c r="J14631" s="28" t="s">
        <v>51</v>
      </c>
      <c r="K14631" s="28" t="s">
        <v>51</v>
      </c>
      <c r="L14631" s="28" t="s">
        <v>51</v>
      </c>
      <c r="M14631" s="28" t="s">
        <v>51</v>
      </c>
      <c r="N14631" s="28" t="s">
        <v>51</v>
      </c>
    </row>
    <row r="14632" spans="1:14" x14ac:dyDescent="0.15">
      <c r="A14632" s="23" t="str">
        <f>HYPERLINK("https://www.spark-marketing.ru/Card/Person/418059", "ГКАУ ""ЦСП ПЕРМСКОГО КРАЯ""")</f>
        <v>ГКАУ "ЦСП ПЕРМСКОГО КРАЯ"</v>
      </c>
      <c r="B14632" s="24" t="s">
        <v>10611</v>
      </c>
      <c r="C14632" s="25">
        <v>104300</v>
      </c>
      <c r="D14632" s="22" t="s">
        <v>19428</v>
      </c>
      <c r="E14632" s="22" t="s">
        <v>580</v>
      </c>
      <c r="F14632" s="23" t="str">
        <f>HYPERLINK("https://www.spark-marketing.ru/Card/Lot/71764337", "Услуги по организации ежедневного горячего питания в период проведения Первенства России по хоккею на траве")</f>
        <v>Услуги по организации ежедневного горячего питания в период проведения Первенства России по хоккею на траве</v>
      </c>
      <c r="G14632" s="22" t="s">
        <v>153</v>
      </c>
      <c r="H14632" s="22" t="s">
        <v>153</v>
      </c>
      <c r="I14632" s="26">
        <v>43644.511192129597</v>
      </c>
      <c r="J14632" s="28" t="s">
        <v>51</v>
      </c>
      <c r="K14632" s="28" t="s">
        <v>51</v>
      </c>
      <c r="L14632" s="28" t="s">
        <v>51</v>
      </c>
      <c r="M14632" s="28" t="s">
        <v>51</v>
      </c>
      <c r="N14632" s="28" t="s">
        <v>51</v>
      </c>
    </row>
    <row r="14633" spans="1:14" x14ac:dyDescent="0.15">
      <c r="A14633" s="23" t="str">
        <f>HYPERLINK("https://www.spark-marketing.ru/Card/Person/1002394", "СПБ ГБУ СШОР ПО ШАХМАТАМ И ШАШКАМ")</f>
        <v>СПБ ГБУ СШОР ПО ШАХМАТАМ И ШАШКАМ</v>
      </c>
      <c r="B14633" s="24" t="s">
        <v>19429</v>
      </c>
      <c r="C14633" s="25">
        <v>2100000</v>
      </c>
      <c r="D14633" s="22" t="s">
        <v>19430</v>
      </c>
      <c r="E14633" s="22" t="s">
        <v>19431</v>
      </c>
      <c r="F14633" s="23" t="str">
        <f>HYPERLINK("https://www.spark-marketing.ru/Card/Lot/71811871", "Оказание услуг по бронированию и оформлению проездных документов, организации питания и проживания спортсменов СПБ ГБУ СШОР по шахматам и шашкам, в том числе за пределами РФ в 2019 году")</f>
        <v>Оказание услуг по бронированию и оформлению проездных документов, организации питания и проживания спортсменов СПБ ГБУ СШОР по шахматам и шашкам, в том числе за пределами РФ в 2019 году</v>
      </c>
      <c r="G14633" s="22" t="s">
        <v>117</v>
      </c>
      <c r="H14633" s="22" t="s">
        <v>117</v>
      </c>
      <c r="I14633" s="26">
        <v>43644.5180555556</v>
      </c>
      <c r="J14633" s="23" t="str">
        <f>HYPERLINK("https://www.spark-marketing.ru/Card/Person/2232828", "ООО ""АРПИНА""")</f>
        <v>ООО "АРПИНА"</v>
      </c>
      <c r="K14633" s="24" t="s">
        <v>3380</v>
      </c>
      <c r="L14633" s="28" t="s">
        <v>51</v>
      </c>
      <c r="M14633" s="28" t="s">
        <v>51</v>
      </c>
      <c r="N14633" s="28" t="s">
        <v>51</v>
      </c>
    </row>
    <row r="14634" spans="1:14" ht="12.75" hidden="1" outlineLevel="1" x14ac:dyDescent="0.2">
      <c r="A14634" s="23" t="str">
        <f>HYPERLINK("https://www.spark-marketing.ru/Card/Person/1002394", "СПБ ГБУ СШОР ПО ШАХМАТАМ И ШАШКАМ")</f>
        <v>СПБ ГБУ СШОР ПО ШАХМАТАМ И ШАШКАМ</v>
      </c>
      <c r="B14634" s="24" t="s">
        <v>19429</v>
      </c>
      <c r="C14634" s="25">
        <v>2100000</v>
      </c>
      <c r="D14634" s="22" t="s">
        <v>19430</v>
      </c>
      <c r="E14634" s="22" t="s">
        <v>19431</v>
      </c>
      <c r="F14634" s="23" t="str">
        <f>HYPERLINK("https://www.spark-marketing.ru/Card/Lot/71811871", "Оказание услуг по бронированию и оформлению проездных документов, организации питания и проживания спортсменов СПБ ГБУ СШОР по шахматам и шашкам, в том числе за пределами РФ в 2019 году")</f>
        <v>Оказание услуг по бронированию и оформлению проездных документов, организации питания и проживания спортсменов СПБ ГБУ СШОР по шахматам и шашкам, в том числе за пределами РФ в 2019 году</v>
      </c>
      <c r="G14634" s="22" t="s">
        <v>117</v>
      </c>
      <c r="H14634" s="22" t="s">
        <v>117</v>
      </c>
      <c r="I14634" s="26">
        <v>43644.5180555556</v>
      </c>
      <c r="J14634" s="23" t="str">
        <f>HYPERLINK("https://www.spark-marketing.ru/Card/Person/2232828", "ООО ""АРПИНА""")</f>
        <v>ООО "АРПИНА"</v>
      </c>
      <c r="K14634" s="24" t="s">
        <v>3380</v>
      </c>
      <c r="L14634" s="22" t="s">
        <v>10</v>
      </c>
      <c r="M14634" s="25">
        <v>18900.02</v>
      </c>
      <c r="N14634" s="27">
        <v>0.99099999047619047</v>
      </c>
    </row>
    <row r="14635" spans="1:14" x14ac:dyDescent="0.15">
      <c r="A14635" s="23" t="str">
        <f>HYPERLINK("https://www.spark-marketing.ru/Card/Person/32242", "МБОУ ""СОШ № 7""")</f>
        <v>МБОУ "СОШ № 7"</v>
      </c>
      <c r="B14635" s="24" t="s">
        <v>15360</v>
      </c>
      <c r="C14635" s="25">
        <v>381600</v>
      </c>
      <c r="D14635" s="22" t="s">
        <v>19432</v>
      </c>
      <c r="E14635" s="22" t="s">
        <v>48</v>
      </c>
      <c r="F14635" s="23" t="str">
        <f>HYPERLINK("https://www.spark-marketing.ru/Card/Lot/71766970", "ОКАЗАНИЕ УСЛУГ ПО ОРГАНИЗАЦИИ ПИТАНИЯ ВОСПИТАННИКОВ (12 ЧАСОВОЙ РЕЖИМ ПРЕБЫВАНИЯ)")</f>
        <v>ОКАЗАНИЕ УСЛУГ ПО ОРГАНИЗАЦИИ ПИТАНИЯ ВОСПИТАННИКОВ (12 ЧАСОВОЙ РЕЖИМ ПРЕБЫВАНИЯ)</v>
      </c>
      <c r="G14635" s="22" t="s">
        <v>97</v>
      </c>
      <c r="H14635" s="22" t="s">
        <v>363</v>
      </c>
      <c r="I14635" s="26">
        <v>43644.502083333296</v>
      </c>
      <c r="J14635" s="28" t="s">
        <v>51</v>
      </c>
      <c r="K14635" s="28" t="s">
        <v>51</v>
      </c>
      <c r="L14635" s="28" t="s">
        <v>51</v>
      </c>
      <c r="M14635" s="28" t="s">
        <v>51</v>
      </c>
      <c r="N14635" s="28" t="s">
        <v>51</v>
      </c>
    </row>
    <row r="14636" spans="1:14" x14ac:dyDescent="0.2">
      <c r="A14636" s="23" t="str">
        <f>HYPERLINK("https://www.spark-marketing.ru/Card/Person/16510", "ФГБОУ ВО СЗГМУ ИМ. И.И. МЕЧНИКОВА МИНЗДРАВА РОССИИ")</f>
        <v>ФГБОУ ВО СЗГМУ ИМ. И.И. МЕЧНИКОВА МИНЗДРАВА РОССИИ</v>
      </c>
      <c r="B14636" s="24" t="s">
        <v>9564</v>
      </c>
      <c r="C14636" s="25">
        <v>500000</v>
      </c>
      <c r="D14636" s="22" t="s">
        <v>19433</v>
      </c>
      <c r="E14636" s="22" t="s">
        <v>362</v>
      </c>
      <c r="F14636" s="23" t="str">
        <f>HYPERLINK("https://www.spark-marketing.ru/Card/Lot/71766006", "Услуги по организации питания приемной комиссии 2019 для нужд ФГБОУ ВО СЗГМУ им. И.И. Мечникова Минздрава России")</f>
        <v>Услуги по организации питания приемной комиссии 2019 для нужд ФГБОУ ВО СЗГМУ им. И.И. Мечникова Минздрава России</v>
      </c>
      <c r="G14636" s="22" t="s">
        <v>117</v>
      </c>
      <c r="H14636" s="22" t="s">
        <v>117</v>
      </c>
      <c r="I14636" s="26">
        <v>43644.470694444397</v>
      </c>
      <c r="J14636" s="28" t="s">
        <v>51</v>
      </c>
      <c r="K14636" s="28" t="s">
        <v>51</v>
      </c>
      <c r="L14636" s="28" t="s">
        <v>51</v>
      </c>
      <c r="M14636" s="25">
        <v>500000</v>
      </c>
      <c r="N14636" s="27">
        <v>0</v>
      </c>
    </row>
    <row r="14637" spans="1:14" x14ac:dyDescent="0.15">
      <c r="A14637" s="23" t="str">
        <f>HYPERLINK("https://www.spark-marketing.ru/Card/Person/1034131", "МЕЖМУНИЦИПАЛЬНЫЙ ОТДЕЛ МВД РОССИИ ""ТУРОЧАКСКИЙ""")</f>
        <v>МЕЖМУНИЦИПАЛЬНЫЙ ОТДЕЛ МВД РОССИИ "ТУРОЧАКСКИЙ"</v>
      </c>
      <c r="B14637" s="24" t="s">
        <v>14014</v>
      </c>
      <c r="C14637" s="25">
        <v>80636.990000000005</v>
      </c>
      <c r="D14637" s="22" t="s">
        <v>19434</v>
      </c>
      <c r="E14637" s="22" t="s">
        <v>48</v>
      </c>
      <c r="F14637" s="23" t="str">
        <f>HYPERLINK("https://www.spark-marketing.ru/Card/Lot/71758869", "Питание лиц задержанных за административное правонарушение")</f>
        <v>Питание лиц задержанных за административное правонарушение</v>
      </c>
      <c r="G14637" s="22" t="s">
        <v>1141</v>
      </c>
      <c r="H14637" s="22" t="s">
        <v>14016</v>
      </c>
      <c r="I14637" s="26">
        <v>43644.479166666701</v>
      </c>
      <c r="J14637" s="28" t="s">
        <v>51</v>
      </c>
      <c r="K14637" s="28" t="s">
        <v>51</v>
      </c>
      <c r="L14637" s="28" t="s">
        <v>51</v>
      </c>
      <c r="M14637" s="28" t="s">
        <v>51</v>
      </c>
      <c r="N14637" s="28" t="s">
        <v>51</v>
      </c>
    </row>
    <row r="14638" spans="1:14" x14ac:dyDescent="0.15">
      <c r="A14638" s="23" t="str">
        <f>HYPERLINK("https://www.spark-marketing.ru/Card/Person/49629", "УМВД РОССИИ ПО УЛЬЯНОВСКОЙ ОБЛАСТИ")</f>
        <v>УМВД РОССИИ ПО УЛЬЯНОВСКОЙ ОБЛАСТИ</v>
      </c>
      <c r="B14638" s="24" t="s">
        <v>2757</v>
      </c>
      <c r="C14638" s="25">
        <v>4500000</v>
      </c>
      <c r="D14638" s="22" t="s">
        <v>19435</v>
      </c>
      <c r="E14638" s="22" t="s">
        <v>48</v>
      </c>
      <c r="F14638" s="23" t="str">
        <f>HYPERLINK("https://www.spark-marketing.ru/Card/Lot/71772532", "Оказание услуг по организации питания слушателей ЦПП УМВД России по Ульяновской области")</f>
        <v>Оказание услуг по организации питания слушателей ЦПП УМВД России по Ульяновской области</v>
      </c>
      <c r="G14638" s="22" t="s">
        <v>1918</v>
      </c>
      <c r="H14638" s="22" t="s">
        <v>1918</v>
      </c>
      <c r="I14638" s="26">
        <v>43644.4597222222</v>
      </c>
      <c r="J14638" s="28" t="s">
        <v>51</v>
      </c>
      <c r="K14638" s="28" t="s">
        <v>51</v>
      </c>
      <c r="L14638" s="28" t="s">
        <v>51</v>
      </c>
      <c r="M14638" s="28" t="s">
        <v>51</v>
      </c>
      <c r="N14638" s="28" t="s">
        <v>51</v>
      </c>
    </row>
    <row r="14639" spans="1:14" hidden="1" outlineLevel="1" x14ac:dyDescent="0.2">
      <c r="A14639" s="23" t="str">
        <f>HYPERLINK("https://www.spark-marketing.ru/Card/Person/49629", "УМВД РОССИИ ПО УЛЬЯНОВСКОЙ ОБЛАСТИ")</f>
        <v>УМВД РОССИИ ПО УЛЬЯНОВСКОЙ ОБЛАСТИ</v>
      </c>
      <c r="B14639" s="24" t="s">
        <v>2757</v>
      </c>
      <c r="C14639" s="25">
        <v>4500000</v>
      </c>
      <c r="D14639" s="22" t="s">
        <v>19435</v>
      </c>
      <c r="E14639" s="22" t="s">
        <v>48</v>
      </c>
      <c r="F14639" s="23" t="str">
        <f>HYPERLINK("https://www.spark-marketing.ru/Card/Lot/71772532", "Оказание услуг по организации питания слушателей ЦПП УМВД России по Ульяновской области")</f>
        <v>Оказание услуг по организации питания слушателей ЦПП УМВД России по Ульяновской области</v>
      </c>
      <c r="G14639" s="22" t="s">
        <v>1918</v>
      </c>
      <c r="H14639" s="22" t="s">
        <v>1918</v>
      </c>
      <c r="I14639" s="26">
        <v>43644.4597222222</v>
      </c>
      <c r="J14639" s="23" t="str">
        <f>HYPERLINK("https://www.spark-marketing.ru/Card/Person/859908", "Бабаев Сергей Николаевич")</f>
        <v>Бабаев Сергей Николаевич</v>
      </c>
      <c r="K14639" s="24" t="s">
        <v>8856</v>
      </c>
      <c r="L14639" s="28" t="s">
        <v>51</v>
      </c>
      <c r="M14639" s="25">
        <v>291.67</v>
      </c>
      <c r="N14639" s="27">
        <v>0.9999351844444444</v>
      </c>
    </row>
    <row r="14640" spans="1:14" ht="12.75" hidden="1" outlineLevel="1" x14ac:dyDescent="0.2">
      <c r="A14640" s="23" t="str">
        <f>HYPERLINK("https://www.spark-marketing.ru/Card/Person/49629", "УМВД РОССИИ ПО УЛЬЯНОВСКОЙ ОБЛАСТИ")</f>
        <v>УМВД РОССИИ ПО УЛЬЯНОВСКОЙ ОБЛАСТИ</v>
      </c>
      <c r="B14640" s="24" t="s">
        <v>2757</v>
      </c>
      <c r="C14640" s="25">
        <v>4500000</v>
      </c>
      <c r="D14640" s="22" t="s">
        <v>19435</v>
      </c>
      <c r="E14640" s="22" t="s">
        <v>48</v>
      </c>
      <c r="F14640" s="23" t="str">
        <f>HYPERLINK("https://www.spark-marketing.ru/Card/Lot/71772532", "Оказание услуг по организации питания слушателей ЦПП УМВД России по Ульяновской области")</f>
        <v>Оказание услуг по организации питания слушателей ЦПП УМВД России по Ульяновской области</v>
      </c>
      <c r="G14640" s="22" t="s">
        <v>1918</v>
      </c>
      <c r="H14640" s="22" t="s">
        <v>1918</v>
      </c>
      <c r="I14640" s="26">
        <v>43644.4597222222</v>
      </c>
      <c r="J14640" s="23" t="str">
        <f>HYPERLINK("https://www.spark-marketing.ru/Card/Person/4894819", "ООО ""УСПЕХ""")</f>
        <v>ООО "УСПЕХ"</v>
      </c>
      <c r="K14640" s="24" t="s">
        <v>2759</v>
      </c>
      <c r="L14640" s="22" t="s">
        <v>10</v>
      </c>
      <c r="M14640" s="25">
        <v>291.67</v>
      </c>
      <c r="N14640" s="27">
        <v>0.9999351844444444</v>
      </c>
    </row>
    <row r="14641" spans="1:14" x14ac:dyDescent="0.15">
      <c r="A14641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14641" s="24" t="s">
        <v>2084</v>
      </c>
      <c r="C14641" s="25">
        <v>1499990.85</v>
      </c>
      <c r="D14641" s="22" t="s">
        <v>19436</v>
      </c>
      <c r="E14641" s="22" t="s">
        <v>48</v>
      </c>
      <c r="F14641" s="23" t="str">
        <f>HYPERLINK("https://www.spark-marketing.ru/Card/Lot/71811284", "Оказание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РФ в форме принудительного выдворения за пределы РФ, депортации или реадмиссии, содержащихся в Це...")</f>
        <v>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РФ в форме принудительного выдворения за пределы РФ, депортации или реадмиссии, содержащихся в Це...</v>
      </c>
      <c r="G14641" s="22" t="s">
        <v>158</v>
      </c>
      <c r="H14641" s="22" t="s">
        <v>171</v>
      </c>
      <c r="I14641" s="26">
        <v>43644.474305555603</v>
      </c>
      <c r="J14641" s="28" t="s">
        <v>51</v>
      </c>
      <c r="K14641" s="28" t="s">
        <v>51</v>
      </c>
      <c r="L14641" s="28" t="s">
        <v>51</v>
      </c>
      <c r="M14641" s="28" t="s">
        <v>51</v>
      </c>
      <c r="N14641" s="28" t="s">
        <v>51</v>
      </c>
    </row>
    <row r="14642" spans="1:14" ht="12.75" hidden="1" outlineLevel="1" x14ac:dyDescent="0.2">
      <c r="A14642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14642" s="24" t="s">
        <v>2084</v>
      </c>
      <c r="C14642" s="25">
        <v>1499990.85</v>
      </c>
      <c r="D14642" s="22" t="s">
        <v>19436</v>
      </c>
      <c r="E14642" s="22" t="s">
        <v>48</v>
      </c>
      <c r="F14642" s="23" t="str">
        <f>HYPERLINK("https://www.spark-marketing.ru/Card/Lot/71811284", "Оказание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РФ в форме принудительного выдворения за пределы РФ, депортации или реадмиссии, содержащихся в Це...")</f>
        <v>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РФ в форме принудительного выдворения за пределы РФ, депортации или реадмиссии, содержащихся в Це...</v>
      </c>
      <c r="G14642" s="22" t="s">
        <v>158</v>
      </c>
      <c r="H14642" s="22" t="s">
        <v>171</v>
      </c>
      <c r="I14642" s="26">
        <v>43644.474305555603</v>
      </c>
      <c r="J14642" s="23" t="str">
        <f>HYPERLINK("https://www.spark-marketing.ru/Card/Person/6059347", "Цуцунава Владимир Степанович")</f>
        <v>Цуцунава Владимир Степанович</v>
      </c>
      <c r="K14642" s="24" t="s">
        <v>5859</v>
      </c>
      <c r="L14642" s="22" t="s">
        <v>10</v>
      </c>
      <c r="M14642" s="25">
        <v>1055097.3600000001</v>
      </c>
      <c r="N14642" s="27">
        <v>0.29659746924456237</v>
      </c>
    </row>
    <row r="14643" spans="1:14" hidden="1" outlineLevel="1" x14ac:dyDescent="0.2">
      <c r="A14643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14643" s="24" t="s">
        <v>2084</v>
      </c>
      <c r="C14643" s="25">
        <v>1499990.85</v>
      </c>
      <c r="D14643" s="22" t="s">
        <v>19436</v>
      </c>
      <c r="E14643" s="22" t="s">
        <v>48</v>
      </c>
      <c r="F14643" s="23" t="str">
        <f>HYPERLINK("https://www.spark-marketing.ru/Card/Lot/71811284", "Оказание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РФ в форме принудительного выдворения за пределы РФ, депортации или реадмиссии, содержащихся в Це...")</f>
        <v>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РФ в форме принудительного выдворения за пределы РФ, депортации или реадмиссии, содержащихся в Це...</v>
      </c>
      <c r="G14643" s="22" t="s">
        <v>158</v>
      </c>
      <c r="H14643" s="22" t="s">
        <v>171</v>
      </c>
      <c r="I14643" s="26">
        <v>43644.474305555603</v>
      </c>
      <c r="J14643" s="23" t="str">
        <f>HYPERLINK("https://www.spark-marketing.ru/Card/Person/520670", "ООО ""СОЮЗ К""")</f>
        <v>ООО "СОЮЗ К"</v>
      </c>
      <c r="K14643" s="24" t="s">
        <v>10035</v>
      </c>
      <c r="L14643" s="28" t="s">
        <v>51</v>
      </c>
      <c r="M14643" s="25">
        <v>1062597.31</v>
      </c>
      <c r="N14643" s="27">
        <v>0.29159747207791303</v>
      </c>
    </row>
    <row r="14644" spans="1:14" hidden="1" outlineLevel="1" x14ac:dyDescent="0.2">
      <c r="A14644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14644" s="24" t="s">
        <v>2084</v>
      </c>
      <c r="C14644" s="25">
        <v>1499990.85</v>
      </c>
      <c r="D14644" s="22" t="s">
        <v>19436</v>
      </c>
      <c r="E14644" s="22" t="s">
        <v>48</v>
      </c>
      <c r="F14644" s="23" t="str">
        <f>HYPERLINK("https://www.spark-marketing.ru/Card/Lot/71811284", "Оказание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РФ в форме принудительного выдворения за пределы РФ, депортации или реадмиссии, содержащихся в Це...")</f>
        <v>Оказание услуг по обеспечению трехразовым горячим питанием иностранных граждан и лиц без гражданства, подлежащих административному выдворению за пределы РФ в форме принудительного выдворения за пределы РФ, депортации или реадмиссии, содержащихся в Це...</v>
      </c>
      <c r="G14644" s="22" t="s">
        <v>158</v>
      </c>
      <c r="H14644" s="22" t="s">
        <v>171</v>
      </c>
      <c r="I14644" s="26">
        <v>43644.474305555603</v>
      </c>
      <c r="J14644" s="23" t="str">
        <f>HYPERLINK("https://www.spark-marketing.ru/Card/Person/56423", "ООО ""ВОЛГАСЕРВИСПРОДУКТ""")</f>
        <v>ООО "ВОЛГАСЕРВИСПРОДУКТ"</v>
      </c>
      <c r="K14644" s="24" t="s">
        <v>3035</v>
      </c>
      <c r="L14644" s="28" t="s">
        <v>51</v>
      </c>
      <c r="M14644" s="25">
        <v>1212596.31</v>
      </c>
      <c r="N14644" s="27">
        <v>0.19159752874492533</v>
      </c>
    </row>
    <row r="14645" spans="1:14" x14ac:dyDescent="0.15">
      <c r="A14645" s="23" t="str">
        <f>HYPERLINK("https://www.spark-marketing.ru/Card/Person/337294", "ФГБОУ ВО ""НИУ ""МЭИ""")</f>
        <v>ФГБОУ ВО "НИУ "МЭИ"</v>
      </c>
      <c r="B14645" s="24" t="s">
        <v>15309</v>
      </c>
      <c r="C14645" s="25">
        <v>7600000</v>
      </c>
      <c r="D14645" s="22" t="s">
        <v>19437</v>
      </c>
      <c r="E14645" s="22" t="s">
        <v>362</v>
      </c>
      <c r="F14645" s="23" t="str">
        <f>HYPERLINK("https://www.spark-marketing.ru/Card/Lot/71768073", "Оказание услуг по организации питания")</f>
        <v>Оказание услуг по организации питания</v>
      </c>
      <c r="G14645" s="22" t="s">
        <v>108</v>
      </c>
      <c r="H14645" s="22" t="s">
        <v>108</v>
      </c>
      <c r="I14645" s="26">
        <v>43644.481458333299</v>
      </c>
      <c r="J14645" s="28" t="s">
        <v>51</v>
      </c>
      <c r="K14645" s="28" t="s">
        <v>51</v>
      </c>
      <c r="L14645" s="28" t="s">
        <v>51</v>
      </c>
      <c r="M14645" s="28" t="s">
        <v>51</v>
      </c>
      <c r="N14645" s="28" t="s">
        <v>51</v>
      </c>
    </row>
    <row r="14646" spans="1:14" x14ac:dyDescent="0.15">
      <c r="A14646" s="23" t="str">
        <f>HYPERLINK("https://www.spark-marketing.ru/Card/Person/49629", "УМВД РОССИИ ПО УЛЬЯНОВСКОЙ ОБЛАСТИ")</f>
        <v>УМВД РОССИИ ПО УЛЬЯНОВСКОЙ ОБЛАСТИ</v>
      </c>
      <c r="B14646" s="24" t="s">
        <v>2757</v>
      </c>
      <c r="C14646" s="25">
        <v>4500000</v>
      </c>
      <c r="D14646" s="22" t="s">
        <v>19438</v>
      </c>
      <c r="E14646" s="22" t="s">
        <v>48</v>
      </c>
      <c r="F14646" s="23" t="str">
        <f>HYPERLINK("https://www.spark-marketing.ru/Card/Lot/71772533", "Оказание услуг по организации питания слушателей ЦПП УМВД России по Ульяновской области")</f>
        <v>Оказание услуг по организации питания слушателей ЦПП УМВД России по Ульяновской области</v>
      </c>
      <c r="G14646" s="22" t="s">
        <v>1918</v>
      </c>
      <c r="H14646" s="22" t="s">
        <v>1918</v>
      </c>
      <c r="I14646" s="26">
        <v>43644.459027777797</v>
      </c>
      <c r="J14646" s="28" t="s">
        <v>51</v>
      </c>
      <c r="K14646" s="28" t="s">
        <v>51</v>
      </c>
      <c r="L14646" s="28" t="s">
        <v>51</v>
      </c>
      <c r="M14646" s="28" t="s">
        <v>51</v>
      </c>
      <c r="N14646" s="28" t="s">
        <v>51</v>
      </c>
    </row>
    <row r="14647" spans="1:14" ht="12.75" hidden="1" outlineLevel="1" x14ac:dyDescent="0.2">
      <c r="A14647" s="23" t="str">
        <f>HYPERLINK("https://www.spark-marketing.ru/Card/Person/49629", "УМВД РОССИИ ПО УЛЬЯНОВСКОЙ ОБЛАСТИ")</f>
        <v>УМВД РОССИИ ПО УЛЬЯНОВСКОЙ ОБЛАСТИ</v>
      </c>
      <c r="B14647" s="24" t="s">
        <v>2757</v>
      </c>
      <c r="C14647" s="25">
        <v>4500000</v>
      </c>
      <c r="D14647" s="22" t="s">
        <v>19438</v>
      </c>
      <c r="E14647" s="22" t="s">
        <v>48</v>
      </c>
      <c r="F14647" s="23" t="str">
        <f>HYPERLINK("https://www.spark-marketing.ru/Card/Lot/71772533", "Оказание услуг по организации питания слушателей ЦПП УМВД России по Ульяновской области")</f>
        <v>Оказание услуг по организации питания слушателей ЦПП УМВД России по Ульяновской области</v>
      </c>
      <c r="G14647" s="22" t="s">
        <v>1918</v>
      </c>
      <c r="H14647" s="22" t="s">
        <v>1918</v>
      </c>
      <c r="I14647" s="26">
        <v>43644.459027777797</v>
      </c>
      <c r="J14647" s="23" t="str">
        <f>HYPERLINK("https://www.spark-marketing.ru/Card/Person/4894819", "ООО ""УСПЕХ""")</f>
        <v>ООО "УСПЕХ"</v>
      </c>
      <c r="K14647" s="24" t="s">
        <v>2759</v>
      </c>
      <c r="L14647" s="22" t="s">
        <v>10</v>
      </c>
      <c r="M14647" s="25">
        <v>263</v>
      </c>
      <c r="N14647" s="27">
        <v>0.99994155555555553</v>
      </c>
    </row>
    <row r="14648" spans="1:14" hidden="1" outlineLevel="1" x14ac:dyDescent="0.2">
      <c r="A14648" s="23" t="str">
        <f>HYPERLINK("https://www.spark-marketing.ru/Card/Person/49629", "УМВД РОССИИ ПО УЛЬЯНОВСКОЙ ОБЛАСТИ")</f>
        <v>УМВД РОССИИ ПО УЛЬЯНОВСКОЙ ОБЛАСТИ</v>
      </c>
      <c r="B14648" s="24" t="s">
        <v>2757</v>
      </c>
      <c r="C14648" s="25">
        <v>4500000</v>
      </c>
      <c r="D14648" s="22" t="s">
        <v>19438</v>
      </c>
      <c r="E14648" s="22" t="s">
        <v>48</v>
      </c>
      <c r="F14648" s="23" t="str">
        <f>HYPERLINK("https://www.spark-marketing.ru/Card/Lot/71772533", "Оказание услуг по организации питания слушателей ЦПП УМВД России по Ульяновской области")</f>
        <v>Оказание услуг по организации питания слушателей ЦПП УМВД России по Ульяновской области</v>
      </c>
      <c r="G14648" s="22" t="s">
        <v>1918</v>
      </c>
      <c r="H14648" s="22" t="s">
        <v>1918</v>
      </c>
      <c r="I14648" s="26">
        <v>43644.459027777797</v>
      </c>
      <c r="J14648" s="23" t="str">
        <f>HYPERLINK("https://www.spark-marketing.ru/Card/Person/132671", "ООО ""ВОЛГАПРОДУКТСЕРВИС""")</f>
        <v>ООО "ВОЛГАПРОДУКТСЕРВИС"</v>
      </c>
      <c r="K14648" s="24" t="s">
        <v>19439</v>
      </c>
      <c r="L14648" s="28" t="s">
        <v>51</v>
      </c>
      <c r="M14648" s="25">
        <v>300</v>
      </c>
      <c r="N14648" s="27">
        <v>0.99993333333333334</v>
      </c>
    </row>
    <row r="14649" spans="1:14" x14ac:dyDescent="0.15">
      <c r="A14649" s="23" t="str">
        <f>HYPERLINK("https://www.spark-marketing.ru/Card/Person/418059", "ГКАУ ""ЦСП ПЕРМСКОГО КРАЯ""")</f>
        <v>ГКАУ "ЦСП ПЕРМСКОГО КРАЯ"</v>
      </c>
      <c r="B14649" s="24" t="s">
        <v>10611</v>
      </c>
      <c r="C14649" s="25">
        <v>154700</v>
      </c>
      <c r="D14649" s="22" t="s">
        <v>19440</v>
      </c>
      <c r="E14649" s="22" t="s">
        <v>580</v>
      </c>
      <c r="F14649" s="23" t="str">
        <f>HYPERLINK("https://www.spark-marketing.ru/Card/Lot/71762026", "Услуги по организации ежедневного горячего питания в период проведения тренировочного мероприятия в составе команды Пермского края по гандболу")</f>
        <v>Услуги по организации ежедневного горячего питания в период проведения тренировочного мероприятия в составе команды Пермского края по гандболу</v>
      </c>
      <c r="G14649" s="22" t="s">
        <v>153</v>
      </c>
      <c r="H14649" s="22" t="s">
        <v>153</v>
      </c>
      <c r="I14649" s="26">
        <v>43644.466655092598</v>
      </c>
      <c r="J14649" s="28" t="s">
        <v>51</v>
      </c>
      <c r="K14649" s="28" t="s">
        <v>51</v>
      </c>
      <c r="L14649" s="28" t="s">
        <v>51</v>
      </c>
      <c r="M14649" s="28" t="s">
        <v>51</v>
      </c>
      <c r="N14649" s="28" t="s">
        <v>51</v>
      </c>
    </row>
    <row r="14650" spans="1:14" x14ac:dyDescent="0.2">
      <c r="A14650" s="23" t="str">
        <f>HYPERLINK("https://www.spark-marketing.ru/Card/Person/4348376", "АО ""ЖТК""")</f>
        <v>АО "ЖТК"</v>
      </c>
      <c r="B14650" s="24" t="s">
        <v>2312</v>
      </c>
      <c r="C14650" s="25">
        <v>56364000</v>
      </c>
      <c r="D14650" s="22" t="s">
        <v>19441</v>
      </c>
      <c r="E14650" s="22" t="s">
        <v>580</v>
      </c>
      <c r="F14650" s="23" t="str">
        <f>HYPERLINK("https://www.spark-marketing.ru/Card/Lot/71768023", "Оказание услуг по организации питания работников, занятых на проведении работ по реконструкции инфраструктуры в границах Сахалинского территориального управления.")</f>
        <v>Оказание услуг по организации питания работников, занятых на проведении работ по реконструкции инфраструктуры в границах Сахалинского территориального управления.</v>
      </c>
      <c r="G14650" s="22" t="s">
        <v>260</v>
      </c>
      <c r="H14650" s="22" t="s">
        <v>260</v>
      </c>
      <c r="I14650" s="26">
        <v>43644.474398148202</v>
      </c>
      <c r="J14650" s="28" t="s">
        <v>51</v>
      </c>
      <c r="K14650" s="28" t="s">
        <v>51</v>
      </c>
      <c r="L14650" s="28" t="s">
        <v>51</v>
      </c>
      <c r="M14650" s="25">
        <v>56364000</v>
      </c>
      <c r="N14650" s="27">
        <v>0</v>
      </c>
    </row>
    <row r="14651" spans="1:14" x14ac:dyDescent="0.2">
      <c r="A14651" s="23" t="s">
        <v>114</v>
      </c>
      <c r="B14651" s="28" t="s">
        <v>51</v>
      </c>
      <c r="C14651" s="25">
        <v>13523654</v>
      </c>
      <c r="D14651" s="22" t="s">
        <v>19442</v>
      </c>
      <c r="E14651" s="22" t="s">
        <v>48</v>
      </c>
      <c r="F14651" s="23" t="str">
        <f t="shared" ref="F14651:F14656" si="490">HYPERLINK("https://www.spark-marketing.ru/Card/Lot/71772682",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651" s="22" t="s">
        <v>51</v>
      </c>
      <c r="H14651" s="22" t="s">
        <v>51</v>
      </c>
      <c r="I14651" s="26">
        <v>43644.461111111101</v>
      </c>
      <c r="J14651" s="23" t="str">
        <f t="shared" ref="J14651:J14656" si="491">HYPERLINK("https://www.spark-marketing.ru/Card/Person/33643", "ООО ""ТВЕРСКОЙ КОМБИНАТ ШКОЛЬНОГО ПИТАНИЯ""")</f>
        <v>ООО "ТВЕРСКОЙ КОМБИНАТ ШКОЛЬНОГО ПИТАНИЯ"</v>
      </c>
      <c r="K14651" s="24" t="s">
        <v>16891</v>
      </c>
      <c r="L14651" s="22" t="s">
        <v>10</v>
      </c>
      <c r="M14651" s="25">
        <v>13523654</v>
      </c>
      <c r="N14651" s="27">
        <v>0</v>
      </c>
    </row>
    <row r="14652" spans="1:14" hidden="1" outlineLevel="1" x14ac:dyDescent="0.2">
      <c r="A14652" s="23" t="str">
        <f>HYPERLINK("https://www.spark-marketing.ru/Card/Person/93271", "МБДОУ ДЕТСКИЙ САД № 100")</f>
        <v>МБДОУ ДЕТСКИЙ САД № 100</v>
      </c>
      <c r="B14652" s="24" t="s">
        <v>19443</v>
      </c>
      <c r="C14652" s="25">
        <v>2012021</v>
      </c>
      <c r="D14652" s="22" t="s">
        <v>19442</v>
      </c>
      <c r="E14652" s="22" t="s">
        <v>48</v>
      </c>
      <c r="F14652" s="23" t="str">
        <f t="shared" si="490"/>
        <v>Оказание услуг по организации питания в дошкольных образовательных учреждениях г. Твери</v>
      </c>
      <c r="G14652" s="22" t="s">
        <v>137</v>
      </c>
      <c r="H14652" s="22" t="s">
        <v>138</v>
      </c>
      <c r="I14652" s="26">
        <v>43644.461111111101</v>
      </c>
      <c r="J14652" s="23" t="str">
        <f t="shared" si="491"/>
        <v>ООО "ТВЕРСКОЙ КОМБИНАТ ШКОЛЬНОГО ПИТАНИЯ"</v>
      </c>
      <c r="K14652" s="24" t="s">
        <v>16891</v>
      </c>
      <c r="L14652" s="22" t="s">
        <v>10</v>
      </c>
      <c r="M14652" s="28" t="s">
        <v>51</v>
      </c>
      <c r="N14652" s="27">
        <v>0</v>
      </c>
    </row>
    <row r="14653" spans="1:14" hidden="1" outlineLevel="1" x14ac:dyDescent="0.2">
      <c r="A14653" s="23" t="str">
        <f>HYPERLINK("https://www.spark-marketing.ru/Card/Person/85463", "МБДОУ ДЕТСКИЙ САД № 140")</f>
        <v>МБДОУ ДЕТСКИЙ САД № 140</v>
      </c>
      <c r="B14653" s="24" t="s">
        <v>19444</v>
      </c>
      <c r="C14653" s="25">
        <v>4049784</v>
      </c>
      <c r="D14653" s="22" t="s">
        <v>19442</v>
      </c>
      <c r="E14653" s="22" t="s">
        <v>48</v>
      </c>
      <c r="F14653" s="23" t="str">
        <f t="shared" si="490"/>
        <v>Оказание услуг по организации питания в дошкольных образовательных учреждениях г. Твери</v>
      </c>
      <c r="G14653" s="22" t="s">
        <v>137</v>
      </c>
      <c r="H14653" s="22" t="s">
        <v>138</v>
      </c>
      <c r="I14653" s="26">
        <v>43644.461111111101</v>
      </c>
      <c r="J14653" s="23" t="str">
        <f t="shared" si="491"/>
        <v>ООО "ТВЕРСКОЙ КОМБИНАТ ШКОЛЬНОГО ПИТАНИЯ"</v>
      </c>
      <c r="K14653" s="24" t="s">
        <v>16891</v>
      </c>
      <c r="L14653" s="22" t="s">
        <v>10</v>
      </c>
      <c r="M14653" s="28" t="s">
        <v>51</v>
      </c>
      <c r="N14653" s="27">
        <v>0</v>
      </c>
    </row>
    <row r="14654" spans="1:14" hidden="1" outlineLevel="1" x14ac:dyDescent="0.2">
      <c r="A14654" s="23" t="str">
        <f>HYPERLINK("https://www.spark-marketing.ru/Card/Person/88448", "МБДОУ ДЕТСКИЙ САД №115")</f>
        <v>МБДОУ ДЕТСКИЙ САД №115</v>
      </c>
      <c r="B14654" s="24" t="s">
        <v>19445</v>
      </c>
      <c r="C14654" s="25">
        <v>2972025</v>
      </c>
      <c r="D14654" s="22" t="s">
        <v>19442</v>
      </c>
      <c r="E14654" s="22" t="s">
        <v>48</v>
      </c>
      <c r="F14654" s="23" t="str">
        <f t="shared" si="490"/>
        <v>Оказание услуг по организации питания в дошкольных образовательных учреждениях г. Твери</v>
      </c>
      <c r="G14654" s="22" t="s">
        <v>137</v>
      </c>
      <c r="H14654" s="22" t="s">
        <v>138</v>
      </c>
      <c r="I14654" s="26">
        <v>43644.461111111101</v>
      </c>
      <c r="J14654" s="23" t="str">
        <f t="shared" si="491"/>
        <v>ООО "ТВЕРСКОЙ КОМБИНАТ ШКОЛЬНОГО ПИТАНИЯ"</v>
      </c>
      <c r="K14654" s="24" t="s">
        <v>16891</v>
      </c>
      <c r="L14654" s="22" t="s">
        <v>10</v>
      </c>
      <c r="M14654" s="28" t="s">
        <v>51</v>
      </c>
      <c r="N14654" s="27">
        <v>0</v>
      </c>
    </row>
    <row r="14655" spans="1:14" hidden="1" outlineLevel="1" x14ac:dyDescent="0.2">
      <c r="A14655" s="23" t="str">
        <f>HYPERLINK("https://www.spark-marketing.ru/Card/Person/88781", "МБДОУ ДЕТСКИЙ САД № 104")</f>
        <v>МБДОУ ДЕТСКИЙ САД № 104</v>
      </c>
      <c r="B14655" s="24" t="s">
        <v>19446</v>
      </c>
      <c r="C14655" s="25">
        <v>3012208</v>
      </c>
      <c r="D14655" s="22" t="s">
        <v>19442</v>
      </c>
      <c r="E14655" s="22" t="s">
        <v>48</v>
      </c>
      <c r="F14655" s="23" t="str">
        <f t="shared" si="490"/>
        <v>Оказание услуг по организации питания в дошкольных образовательных учреждениях г. Твери</v>
      </c>
      <c r="G14655" s="22" t="s">
        <v>137</v>
      </c>
      <c r="H14655" s="22" t="s">
        <v>138</v>
      </c>
      <c r="I14655" s="26">
        <v>43644.461111111101</v>
      </c>
      <c r="J14655" s="23" t="str">
        <f t="shared" si="491"/>
        <v>ООО "ТВЕРСКОЙ КОМБИНАТ ШКОЛЬНОГО ПИТАНИЯ"</v>
      </c>
      <c r="K14655" s="24" t="s">
        <v>16891</v>
      </c>
      <c r="L14655" s="22" t="s">
        <v>10</v>
      </c>
      <c r="M14655" s="28" t="s">
        <v>51</v>
      </c>
      <c r="N14655" s="27">
        <v>0</v>
      </c>
    </row>
    <row r="14656" spans="1:14" hidden="1" outlineLevel="1" x14ac:dyDescent="0.2">
      <c r="A14656" s="23" t="str">
        <f>HYPERLINK("https://www.spark-marketing.ru/Card/Person/93213", "МБДОУ ДЕТСКИЙ САД № 73")</f>
        <v>МБДОУ ДЕТСКИЙ САД № 73</v>
      </c>
      <c r="B14656" s="24" t="s">
        <v>19447</v>
      </c>
      <c r="C14656" s="25">
        <v>1477616</v>
      </c>
      <c r="D14656" s="22" t="s">
        <v>19442</v>
      </c>
      <c r="E14656" s="22" t="s">
        <v>48</v>
      </c>
      <c r="F14656" s="23" t="str">
        <f t="shared" si="490"/>
        <v>Оказание услуг по организации питания в дошкольных образовательных учреждениях г. Твери</v>
      </c>
      <c r="G14656" s="22" t="s">
        <v>137</v>
      </c>
      <c r="H14656" s="22" t="s">
        <v>138</v>
      </c>
      <c r="I14656" s="26">
        <v>43644.461111111101</v>
      </c>
      <c r="J14656" s="23" t="str">
        <f t="shared" si="491"/>
        <v>ООО "ТВЕРСКОЙ КОМБИНАТ ШКОЛЬНОГО ПИТАНИЯ"</v>
      </c>
      <c r="K14656" s="24" t="s">
        <v>16891</v>
      </c>
      <c r="L14656" s="22" t="s">
        <v>10</v>
      </c>
      <c r="M14656" s="28" t="s">
        <v>51</v>
      </c>
      <c r="N14656" s="27">
        <v>0</v>
      </c>
    </row>
    <row r="14657" spans="1:14" x14ac:dyDescent="0.15">
      <c r="A14657" s="23" t="str">
        <f>HYPERLINK("https://www.spark-marketing.ru/Card/Person/5542", "АДМИНИСТРАЦИЯ МУНИЦИПАЛЬНОГО ОБРАЗОВАНИЯ КРАСНОАРМЕЙСКИЙ РАЙОН")</f>
        <v>АДМИНИСТРАЦИЯ МУНИЦИПАЛЬНОГО ОБРАЗОВАНИЯ КРАСНОАРМЕЙСКИЙ РАЙОН</v>
      </c>
      <c r="B14657" s="24" t="s">
        <v>8027</v>
      </c>
      <c r="C14657" s="25">
        <v>66300</v>
      </c>
      <c r="D14657" s="22" t="s">
        <v>19448</v>
      </c>
      <c r="E14657" s="22" t="s">
        <v>96</v>
      </c>
      <c r="F14657" s="23" t="str">
        <f>HYPERLINK("https://www.spark-marketing.ru/Card/Lot/71792975", "Услуги по питанию участников мероприятия")</f>
        <v>Услуги по питанию участников мероприятия</v>
      </c>
      <c r="G14657" s="22" t="s">
        <v>104</v>
      </c>
      <c r="H14657" s="22" t="s">
        <v>104</v>
      </c>
      <c r="I14657" s="26">
        <v>43644.496527777803</v>
      </c>
      <c r="J14657" s="23" t="str">
        <f>HYPERLINK("https://www.spark-marketing.ru/Card/Person/1203559", "Гаряев Андрей Анатольевич")</f>
        <v>Гаряев Андрей Анатольевич</v>
      </c>
      <c r="K14657" s="24" t="s">
        <v>8029</v>
      </c>
      <c r="L14657" s="22" t="s">
        <v>10</v>
      </c>
      <c r="M14657" s="28" t="s">
        <v>51</v>
      </c>
      <c r="N14657" s="28" t="s">
        <v>51</v>
      </c>
    </row>
    <row r="14658" spans="1:14" x14ac:dyDescent="0.15">
      <c r="A14658" s="23" t="str">
        <f>HYPERLINK("https://www.spark-marketing.ru/Card/Person/72068", "ОГБУСО ""СЕРГИНСКИЙ ПСИХОНЕВРОЛОГИЧЕСКИЙ ИНТЕРНАТ""")</f>
        <v>ОГБУСО "СЕРГИНСКИЙ ПСИХОНЕВРОЛОГИЧЕСКИЙ ИНТЕРНАТ"</v>
      </c>
      <c r="B14658" s="24" t="s">
        <v>3241</v>
      </c>
      <c r="C14658" s="25">
        <v>2972336</v>
      </c>
      <c r="D14658" s="22" t="s">
        <v>19449</v>
      </c>
      <c r="E14658" s="22" t="s">
        <v>48</v>
      </c>
      <c r="F14658" s="23" t="str">
        <f>HYPERLINK("https://www.spark-marketing.ru/Card/Lot/71757252", "Оказание услуг по обеспечению горячим питанием")</f>
        <v>Оказание услуг по обеспечению горячим питанием</v>
      </c>
      <c r="G14658" s="22" t="s">
        <v>263</v>
      </c>
      <c r="H14658" s="22" t="s">
        <v>19450</v>
      </c>
      <c r="I14658" s="26">
        <v>43644.454166666699</v>
      </c>
      <c r="J14658" s="28" t="s">
        <v>51</v>
      </c>
      <c r="K14658" s="28" t="s">
        <v>51</v>
      </c>
      <c r="L14658" s="28" t="s">
        <v>51</v>
      </c>
      <c r="M14658" s="28" t="s">
        <v>51</v>
      </c>
      <c r="N14658" s="28" t="s">
        <v>51</v>
      </c>
    </row>
    <row r="14659" spans="1:14" x14ac:dyDescent="0.15">
      <c r="A14659" s="23" t="str">
        <f>HYPERLINK("https://www.spark-marketing.ru/Card/Person/1061004", "ОМВД РОССИИ ПО ПОНЫРОВСКОМУ РАЙОНУ")</f>
        <v>ОМВД РОССИИ ПО ПОНЫРОВСКОМУ РАЙОНУ</v>
      </c>
      <c r="B14659" s="24" t="s">
        <v>19451</v>
      </c>
      <c r="C14659" s="25">
        <v>5000</v>
      </c>
      <c r="D14659" s="22" t="s">
        <v>19452</v>
      </c>
      <c r="E14659" s="22" t="s">
        <v>48</v>
      </c>
      <c r="F14659" s="23" t="str">
        <f>HYPERLINK("https://www.spark-marketing.ru/Card/Lot/71761810", "Услуги общественного питания, 20 усл. ед")</f>
        <v>Услуги общественного питания, 20 усл. ед</v>
      </c>
      <c r="G14659" s="22" t="s">
        <v>1111</v>
      </c>
      <c r="H14659" s="22" t="s">
        <v>19453</v>
      </c>
      <c r="I14659" s="26">
        <v>43644.431064814802</v>
      </c>
      <c r="J14659" s="28" t="s">
        <v>51</v>
      </c>
      <c r="K14659" s="28" t="s">
        <v>51</v>
      </c>
      <c r="L14659" s="28" t="s">
        <v>51</v>
      </c>
      <c r="M14659" s="28" t="s">
        <v>51</v>
      </c>
      <c r="N14659" s="28" t="s">
        <v>51</v>
      </c>
    </row>
    <row r="14660" spans="1:14" x14ac:dyDescent="0.15">
      <c r="A14660" s="23" t="str">
        <f>HYPERLINK("https://www.spark-marketing.ru/Card/Person/1488052", "ГАУ ""КЦСОН Г. КАРПИНСКА""")</f>
        <v>ГАУ "КЦСОН Г. КАРПИНСКА"</v>
      </c>
      <c r="B14660" s="24" t="s">
        <v>13279</v>
      </c>
      <c r="C14660" s="25">
        <v>342700</v>
      </c>
      <c r="D14660" s="22" t="s">
        <v>19454</v>
      </c>
      <c r="E14660" s="22" t="s">
        <v>6493</v>
      </c>
      <c r="F14660" s="23" t="str">
        <f>HYPERLINK("https://www.spark-marketing.ru/Card/Lot/71759380", "оказание услуг по организации горячего питания граждан пожилого возраста и инвалидов")</f>
        <v>оказание услуг по организации горячего питания граждан пожилого возраста и инвалидов</v>
      </c>
      <c r="G14660" s="22" t="s">
        <v>174</v>
      </c>
      <c r="H14660" s="22" t="s">
        <v>174</v>
      </c>
      <c r="I14660" s="26">
        <v>43644.443252314799</v>
      </c>
      <c r="J14660" s="28" t="s">
        <v>51</v>
      </c>
      <c r="K14660" s="28" t="s">
        <v>51</v>
      </c>
      <c r="L14660" s="28" t="s">
        <v>51</v>
      </c>
      <c r="M14660" s="28" t="s">
        <v>51</v>
      </c>
      <c r="N14660" s="28" t="s">
        <v>51</v>
      </c>
    </row>
    <row r="14661" spans="1:14" x14ac:dyDescent="0.15">
      <c r="A14661" s="23" t="str">
        <f>HYPERLINK("https://www.spark-marketing.ru/Card/Person/17859", "УМВД РОССИИ ПО ГОРОДУ ТВЕРИ")</f>
        <v>УМВД РОССИИ ПО ГОРОДУ ТВЕРИ</v>
      </c>
      <c r="B14661" s="24" t="s">
        <v>19369</v>
      </c>
      <c r="C14661" s="25">
        <v>4332335</v>
      </c>
      <c r="D14661" s="22" t="s">
        <v>19455</v>
      </c>
      <c r="E14661" s="22" t="s">
        <v>48</v>
      </c>
      <c r="F14661" s="23" t="str">
        <f>HYPERLINK("https://www.spark-marketing.ru/Card/Lot/71772545", "Оказание услуг общественного питания (поставка комплексных обедов) для лиц, подвергнутых административному аресту, а также подозреваемых и обвиняемых")</f>
        <v>Оказание услуг общественного питания (поставка комплексных обедов) для лиц, подвергнутых административному аресту, а также подозреваемых и обвиняемых</v>
      </c>
      <c r="G14661" s="22" t="s">
        <v>137</v>
      </c>
      <c r="H14661" s="22" t="s">
        <v>138</v>
      </c>
      <c r="I14661" s="26">
        <v>43644.4375</v>
      </c>
      <c r="J14661" s="23" t="str">
        <f>HYPERLINK("https://www.spark-marketing.ru/Card/Person/104352", "Долотова Елена Петровна")</f>
        <v>Долотова Елена Петровна</v>
      </c>
      <c r="K14661" s="24" t="s">
        <v>17519</v>
      </c>
      <c r="L14661" s="22" t="s">
        <v>10</v>
      </c>
      <c r="M14661" s="28" t="s">
        <v>51</v>
      </c>
      <c r="N14661" s="28" t="s">
        <v>51</v>
      </c>
    </row>
    <row r="14662" spans="1:14" x14ac:dyDescent="0.15">
      <c r="A14662" s="23" t="str">
        <f>HYPERLINK("https://www.spark-marketing.ru/Card/Person/56010", "ГКУЗ ""ККПБ ИМ. В.Х. КАНДИНСКОГО""")</f>
        <v>ГКУЗ "ККПБ ИМ. В.Х. КАНДИНСКОГО"</v>
      </c>
      <c r="B14662" s="24" t="s">
        <v>17362</v>
      </c>
      <c r="C14662" s="25">
        <v>36255</v>
      </c>
      <c r="D14662" s="22" t="s">
        <v>19456</v>
      </c>
      <c r="E14662" s="22" t="s">
        <v>19457</v>
      </c>
      <c r="F14662" s="23" t="str">
        <f>HYPERLINK("https://www.spark-marketing.ru/Card/Lot/71761562", "Товары, работы, услуги на сумму, не превыщающую 100 тысяч рублей")</f>
        <v>Товары, работы, услуги на сумму, не превыщающую 100 тысяч рублей</v>
      </c>
      <c r="G14662" s="22" t="s">
        <v>228</v>
      </c>
      <c r="H14662" s="22" t="s">
        <v>394</v>
      </c>
      <c r="I14662" s="26">
        <v>43644.418749999997</v>
      </c>
      <c r="J14662" s="28" t="s">
        <v>51</v>
      </c>
      <c r="K14662" s="28" t="s">
        <v>51</v>
      </c>
      <c r="L14662" s="28" t="s">
        <v>51</v>
      </c>
      <c r="M14662" s="28" t="s">
        <v>51</v>
      </c>
      <c r="N14662" s="28" t="s">
        <v>51</v>
      </c>
    </row>
    <row r="14663" spans="1:14" ht="12.75" x14ac:dyDescent="0.2">
      <c r="A14663" s="23" t="str">
        <f>HYPERLINK("https://www.spark-marketing.ru/Card/Person/4346984", "МБОУ СШ № 36")</f>
        <v>МБОУ СШ № 36</v>
      </c>
      <c r="B14663" s="24" t="s">
        <v>19458</v>
      </c>
      <c r="C14663" s="25">
        <v>2428690</v>
      </c>
      <c r="D14663" s="22" t="s">
        <v>19459</v>
      </c>
      <c r="E14663" s="22" t="s">
        <v>48</v>
      </c>
      <c r="F14663" s="23" t="str">
        <f>HYPERLINK("https://www.spark-marketing.ru/Card/Lot/71769849", "Оказание услуг по организации горячего питания")</f>
        <v>Оказание услуг по организации горячего питания</v>
      </c>
      <c r="G14663" s="22" t="s">
        <v>137</v>
      </c>
      <c r="H14663" s="22" t="s">
        <v>138</v>
      </c>
      <c r="I14663" s="26">
        <v>43644.430555555598</v>
      </c>
      <c r="J14663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663" s="24" t="s">
        <v>16891</v>
      </c>
      <c r="L14663" s="22" t="s">
        <v>10</v>
      </c>
      <c r="M14663" s="25">
        <v>2428690</v>
      </c>
      <c r="N14663" s="27">
        <v>0</v>
      </c>
    </row>
    <row r="14664" spans="1:14" ht="12.75" x14ac:dyDescent="0.2">
      <c r="A14664" s="23" t="str">
        <f>HYPERLINK("https://www.spark-marketing.ru/Card/Person/13246", "ФБУ ЦЕНТР РЕАБИЛИТАЦИИ ФСС РФ ""ТИНАКИ""")</f>
        <v>ФБУ ЦЕНТР РЕАБИЛИТАЦИИ ФСС РФ "ТИНАКИ"</v>
      </c>
      <c r="B14664" s="24" t="s">
        <v>19460</v>
      </c>
      <c r="C14664" s="25">
        <v>205806.14</v>
      </c>
      <c r="D14664" s="22" t="s">
        <v>19461</v>
      </c>
      <c r="E14664" s="22" t="s">
        <v>86</v>
      </c>
      <c r="F14664" s="23" t="str">
        <f>HYPERLINK("https://www.spark-marketing.ru/Card/Lot/71796773", "Оказание услуг по лабораторно-инструментальным исследованиям по программе производственного контроля в 2019 году.")</f>
        <v>Оказание услуг по лабораторно-инструментальным исследованиям по программе производственного контроля в 2019 году.</v>
      </c>
      <c r="G14664" s="22" t="s">
        <v>141</v>
      </c>
      <c r="H14664" s="22" t="s">
        <v>3060</v>
      </c>
      <c r="I14664" s="26">
        <v>43644.453854166699</v>
      </c>
      <c r="J14664" s="23" t="str">
        <f>HYPERLINK("https://www.spark-marketing.ru/Card/Person/1019682", "ФБУЗ ""ЦЕНТР ГИГИЕНЫ И ЭПИДЕМИОЛОГИИ В АСТРАХАНСКОЙ ОБЛАСТИ""")</f>
        <v>ФБУЗ "ЦЕНТР ГИГИЕНЫ И ЭПИДЕМИОЛОГИИ В АСТРАХАНСКОЙ ОБЛАСТИ"</v>
      </c>
      <c r="K14664" s="24" t="s">
        <v>19462</v>
      </c>
      <c r="L14664" s="22" t="s">
        <v>10</v>
      </c>
      <c r="M14664" s="25">
        <v>87574.73</v>
      </c>
      <c r="N14664" s="27">
        <v>0.57447950775423906</v>
      </c>
    </row>
    <row r="14665" spans="1:14" x14ac:dyDescent="0.15">
      <c r="A14665" s="23" t="str">
        <f>HYPERLINK("https://www.spark-marketing.ru/Card/Person/1759404", "МАОУ ""ЛИЦЕЙ""")</f>
        <v>МАОУ "ЛИЦЕЙ"</v>
      </c>
      <c r="B14665" s="24" t="s">
        <v>19463</v>
      </c>
      <c r="C14665" s="25">
        <v>214800</v>
      </c>
      <c r="D14665" s="22" t="s">
        <v>19464</v>
      </c>
      <c r="E14665" s="22" t="s">
        <v>362</v>
      </c>
      <c r="F14665" s="23" t="str">
        <f>HYPERLINK("https://www.spark-marketing.ru/Card/Lot/71759378", "Услуги по организации питания учащихся в летнем оздоровительном лагере")</f>
        <v>Услуги по организации питания учащихся в летнем оздоровительном лагере</v>
      </c>
      <c r="G14665" s="22" t="s">
        <v>766</v>
      </c>
      <c r="H14665" s="22" t="s">
        <v>766</v>
      </c>
      <c r="I14665" s="26">
        <v>43644.440254629597</v>
      </c>
      <c r="J14665" s="28" t="s">
        <v>51</v>
      </c>
      <c r="K14665" s="28" t="s">
        <v>51</v>
      </c>
      <c r="L14665" s="28" t="s">
        <v>51</v>
      </c>
      <c r="M14665" s="28" t="s">
        <v>51</v>
      </c>
      <c r="N14665" s="28" t="s">
        <v>51</v>
      </c>
    </row>
    <row r="14666" spans="1:14" x14ac:dyDescent="0.15">
      <c r="A14666" s="23" t="str">
        <f>HYPERLINK("https://www.spark-marketing.ru/Card/Person/244729", "МБОУ ПРОГИМНАЗИЯ № 131")</f>
        <v>МБОУ ПРОГИМНАЗИЯ № 131</v>
      </c>
      <c r="B14666" s="24" t="s">
        <v>9222</v>
      </c>
      <c r="C14666" s="25">
        <v>1932578.4</v>
      </c>
      <c r="D14666" s="22" t="s">
        <v>19465</v>
      </c>
      <c r="E14666" s="22" t="s">
        <v>48</v>
      </c>
      <c r="F14666" s="23" t="str">
        <f>HYPERLINK("https://www.spark-marketing.ru/Card/Lot/71757776", "Оказание услуг по организации горячего питания для воспитанников детского сада в муниципальном бюджетном общеобразовательном учреждении «Прогимназия № 131 с приоритетным осуществлением интеллектуально-эстетического развития воспитанников и обучающихс...")</f>
        <v>Оказание услуг по организации горячего питания для воспитанников детского сада в муниципальном бюджетном общеобразовательном учреждении «Прогимназия № 131 с приоритетным осуществлением интеллектуально-эстетического развития воспитанников и обучающихс...</v>
      </c>
      <c r="G14666" s="22" t="s">
        <v>281</v>
      </c>
      <c r="H14666" s="22" t="s">
        <v>281</v>
      </c>
      <c r="I14666" s="26">
        <v>43644.444444444402</v>
      </c>
      <c r="J14666" s="28" t="s">
        <v>51</v>
      </c>
      <c r="K14666" s="28" t="s">
        <v>51</v>
      </c>
      <c r="L14666" s="28" t="s">
        <v>51</v>
      </c>
      <c r="M14666" s="28" t="s">
        <v>51</v>
      </c>
      <c r="N14666" s="28" t="s">
        <v>51</v>
      </c>
    </row>
    <row r="14667" spans="1:14" x14ac:dyDescent="0.15">
      <c r="A14667" s="23" t="str">
        <f>HYPERLINK("https://www.spark-marketing.ru/Card/Person/9157", "ФКУ ""ЦХИСО ГУ МВД РОССИИ ПО СВЕРДЛОВСКОЙ ОБЛАСТИ""")</f>
        <v>ФКУ "ЦХИСО ГУ МВД РОССИИ ПО СВЕРДЛОВСКОЙ ОБЛАСТИ"</v>
      </c>
      <c r="B14667" s="24" t="s">
        <v>18613</v>
      </c>
      <c r="C14667" s="25">
        <v>24684514.66</v>
      </c>
      <c r="D14667" s="22" t="s">
        <v>19466</v>
      </c>
      <c r="E14667" s="22" t="s">
        <v>48</v>
      </c>
      <c r="F14667" s="23" t="str">
        <f>HYPERLINK("https://www.spark-marketing.ru/Card/Lot/71773415", "Закупка услуг по организации питания  слушателей ЦПП ГУ МВД России по Свердловской области.")</f>
        <v>Закупка услуг по организации питания  слушателей ЦПП ГУ МВД России по Свердловской области.</v>
      </c>
      <c r="G14667" s="22" t="s">
        <v>174</v>
      </c>
      <c r="H14667" s="22" t="s">
        <v>174</v>
      </c>
      <c r="I14667" s="26">
        <v>43644.425694444399</v>
      </c>
      <c r="J14667" s="23" t="str">
        <f>HYPERLINK("https://www.spark-marketing.ru/Card/Person/4868934", "ООО ""АЗБУКА ПИТАНИЯ""")</f>
        <v>ООО "АЗБУКА ПИТАНИЯ"</v>
      </c>
      <c r="K14667" s="24" t="s">
        <v>2534</v>
      </c>
      <c r="L14667" s="22" t="s">
        <v>10</v>
      </c>
      <c r="M14667" s="28" t="s">
        <v>51</v>
      </c>
      <c r="N14667" s="28" t="s">
        <v>51</v>
      </c>
    </row>
    <row r="14668" spans="1:14" x14ac:dyDescent="0.15">
      <c r="A14668" s="23" t="str">
        <f>HYPERLINK("https://www.spark-marketing.ru/Card/Person/387684", "ОТД МВД РОССИИ ПО СОВЕТСКОМУ РАЙОНУ")</f>
        <v>ОТД МВД РОССИИ ПО СОВЕТСКОМУ РАЙОНУ</v>
      </c>
      <c r="B14668" s="24" t="s">
        <v>19467</v>
      </c>
      <c r="C14668" s="25">
        <v>562900</v>
      </c>
      <c r="D14668" s="22" t="s">
        <v>19468</v>
      </c>
      <c r="E14668" s="22" t="s">
        <v>48</v>
      </c>
      <c r="F14668" s="23" t="str">
        <f>HYPERLINK("https://www.spark-marketing.ru/Card/Lot/71800805", "Питание ИВС")</f>
        <v>Питание ИВС</v>
      </c>
      <c r="G14668" s="22" t="s">
        <v>1111</v>
      </c>
      <c r="H14668" s="22" t="s">
        <v>869</v>
      </c>
      <c r="I14668" s="26">
        <v>43644.443124999998</v>
      </c>
      <c r="J14668" s="23" t="str">
        <f>HYPERLINK("https://www.spark-marketing.ru/Card/Person/692161", "Давыдова Елена Геннадиевна")</f>
        <v>Давыдова Елена Геннадиевна</v>
      </c>
      <c r="K14668" s="24" t="s">
        <v>19469</v>
      </c>
      <c r="L14668" s="28" t="s">
        <v>51</v>
      </c>
      <c r="M14668" s="28" t="s">
        <v>51</v>
      </c>
      <c r="N14668" s="28" t="s">
        <v>51</v>
      </c>
    </row>
    <row r="14669" spans="1:14" x14ac:dyDescent="0.2">
      <c r="A14669" s="23" t="s">
        <v>114</v>
      </c>
      <c r="B14669" s="28" t="s">
        <v>51</v>
      </c>
      <c r="C14669" s="25">
        <v>10669824</v>
      </c>
      <c r="D14669" s="22" t="s">
        <v>19470</v>
      </c>
      <c r="E14669" s="22" t="s">
        <v>48</v>
      </c>
      <c r="F14669" s="23" t="str">
        <f t="shared" ref="F14669:F14674" si="492">HYPERLINK("https://www.spark-marketing.ru/Card/Lot/71772982",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669" s="22" t="s">
        <v>51</v>
      </c>
      <c r="H14669" s="22" t="s">
        <v>51</v>
      </c>
      <c r="I14669" s="26">
        <v>43644.430555555598</v>
      </c>
      <c r="J14669" s="23" t="str">
        <f t="shared" ref="J14669:J14674" si="493">HYPERLINK("https://www.spark-marketing.ru/Card/Person/33643", "ООО ""ТВЕРСКОЙ КОМБИНАТ ШКОЛЬНОГО ПИТАНИЯ""")</f>
        <v>ООО "ТВЕРСКОЙ КОМБИНАТ ШКОЛЬНОГО ПИТАНИЯ"</v>
      </c>
      <c r="K14669" s="24" t="s">
        <v>16891</v>
      </c>
      <c r="L14669" s="22" t="s">
        <v>10</v>
      </c>
      <c r="M14669" s="25">
        <v>10669824</v>
      </c>
      <c r="N14669" s="27">
        <v>0</v>
      </c>
    </row>
    <row r="14670" spans="1:14" hidden="1" outlineLevel="1" x14ac:dyDescent="0.2">
      <c r="A14670" s="23" t="str">
        <f>HYPERLINK("https://www.spark-marketing.ru/Card/Person/87306", "МБДОУ ДЕТСКИЙ САД № 51")</f>
        <v>МБДОУ ДЕТСКИЙ САД № 51</v>
      </c>
      <c r="B14670" s="24" t="s">
        <v>19471</v>
      </c>
      <c r="C14670" s="25">
        <v>3020028</v>
      </c>
      <c r="D14670" s="22" t="s">
        <v>19470</v>
      </c>
      <c r="E14670" s="22" t="s">
        <v>48</v>
      </c>
      <c r="F14670" s="23" t="str">
        <f t="shared" si="492"/>
        <v>Оказание услуг по организации питания в дошкольных образовательных учреждениях г. Твери</v>
      </c>
      <c r="G14670" s="22" t="s">
        <v>137</v>
      </c>
      <c r="H14670" s="22" t="s">
        <v>138</v>
      </c>
      <c r="I14670" s="26">
        <v>43644.430555555598</v>
      </c>
      <c r="J14670" s="23" t="str">
        <f t="shared" si="493"/>
        <v>ООО "ТВЕРСКОЙ КОМБИНАТ ШКОЛЬНОГО ПИТАНИЯ"</v>
      </c>
      <c r="K14670" s="24" t="s">
        <v>16891</v>
      </c>
      <c r="L14670" s="22" t="s">
        <v>10</v>
      </c>
      <c r="M14670" s="28" t="s">
        <v>51</v>
      </c>
      <c r="N14670" s="27">
        <v>0</v>
      </c>
    </row>
    <row r="14671" spans="1:14" hidden="1" outlineLevel="1" x14ac:dyDescent="0.2">
      <c r="A14671" s="23" t="str">
        <f>HYPERLINK("https://www.spark-marketing.ru/Card/Person/88973", "МБДОУ ДЕТСКИЙ САД № 152")</f>
        <v>МБДОУ ДЕТСКИЙ САД № 152</v>
      </c>
      <c r="B14671" s="24" t="s">
        <v>19472</v>
      </c>
      <c r="C14671" s="25">
        <v>1614659</v>
      </c>
      <c r="D14671" s="22" t="s">
        <v>19470</v>
      </c>
      <c r="E14671" s="22" t="s">
        <v>48</v>
      </c>
      <c r="F14671" s="23" t="str">
        <f t="shared" si="492"/>
        <v>Оказание услуг по организации питания в дошкольных образовательных учреждениях г. Твери</v>
      </c>
      <c r="G14671" s="22" t="s">
        <v>137</v>
      </c>
      <c r="H14671" s="22" t="s">
        <v>138</v>
      </c>
      <c r="I14671" s="26">
        <v>43644.430555555598</v>
      </c>
      <c r="J14671" s="23" t="str">
        <f t="shared" si="493"/>
        <v>ООО "ТВЕРСКОЙ КОМБИНАТ ШКОЛЬНОГО ПИТАНИЯ"</v>
      </c>
      <c r="K14671" s="24" t="s">
        <v>16891</v>
      </c>
      <c r="L14671" s="22" t="s">
        <v>10</v>
      </c>
      <c r="M14671" s="28" t="s">
        <v>51</v>
      </c>
      <c r="N14671" s="27">
        <v>0</v>
      </c>
    </row>
    <row r="14672" spans="1:14" hidden="1" outlineLevel="1" x14ac:dyDescent="0.2">
      <c r="A14672" s="23" t="str">
        <f>HYPERLINK("https://www.spark-marketing.ru/Card/Person/89239", "МБДОУ ДЕТСКИЙ САД № 24")</f>
        <v>МБДОУ ДЕТСКИЙ САД № 24</v>
      </c>
      <c r="B14672" s="24" t="s">
        <v>19473</v>
      </c>
      <c r="C14672" s="25">
        <v>2107797</v>
      </c>
      <c r="D14672" s="22" t="s">
        <v>19470</v>
      </c>
      <c r="E14672" s="22" t="s">
        <v>48</v>
      </c>
      <c r="F14672" s="23" t="str">
        <f t="shared" si="492"/>
        <v>Оказание услуг по организации питания в дошкольных образовательных учреждениях г. Твери</v>
      </c>
      <c r="G14672" s="22" t="s">
        <v>137</v>
      </c>
      <c r="H14672" s="22" t="s">
        <v>138</v>
      </c>
      <c r="I14672" s="26">
        <v>43644.430555555598</v>
      </c>
      <c r="J14672" s="23" t="str">
        <f t="shared" si="493"/>
        <v>ООО "ТВЕРСКОЙ КОМБИНАТ ШКОЛЬНОГО ПИТАНИЯ"</v>
      </c>
      <c r="K14672" s="24" t="s">
        <v>16891</v>
      </c>
      <c r="L14672" s="22" t="s">
        <v>10</v>
      </c>
      <c r="M14672" s="28" t="s">
        <v>51</v>
      </c>
      <c r="N14672" s="27">
        <v>0</v>
      </c>
    </row>
    <row r="14673" spans="1:14" hidden="1" outlineLevel="1" x14ac:dyDescent="0.2">
      <c r="A14673" s="23" t="str">
        <f>HYPERLINK("https://www.spark-marketing.ru/Card/Person/89947", "МБДОУ ДЕТСКИЙ САД № 4")</f>
        <v>МБДОУ ДЕТСКИЙ САД № 4</v>
      </c>
      <c r="B14673" s="24" t="s">
        <v>19474</v>
      </c>
      <c r="C14673" s="25">
        <v>1647324</v>
      </c>
      <c r="D14673" s="22" t="s">
        <v>19470</v>
      </c>
      <c r="E14673" s="22" t="s">
        <v>48</v>
      </c>
      <c r="F14673" s="23" t="str">
        <f t="shared" si="492"/>
        <v>Оказание услуг по организации питания в дошкольных образовательных учреждениях г. Твери</v>
      </c>
      <c r="G14673" s="22" t="s">
        <v>137</v>
      </c>
      <c r="H14673" s="22" t="s">
        <v>138</v>
      </c>
      <c r="I14673" s="26">
        <v>43644.430555555598</v>
      </c>
      <c r="J14673" s="23" t="str">
        <f t="shared" si="493"/>
        <v>ООО "ТВЕРСКОЙ КОМБИНАТ ШКОЛЬНОГО ПИТАНИЯ"</v>
      </c>
      <c r="K14673" s="24" t="s">
        <v>16891</v>
      </c>
      <c r="L14673" s="22" t="s">
        <v>10</v>
      </c>
      <c r="M14673" s="28" t="s">
        <v>51</v>
      </c>
      <c r="N14673" s="27">
        <v>0</v>
      </c>
    </row>
    <row r="14674" spans="1:14" hidden="1" outlineLevel="1" x14ac:dyDescent="0.2">
      <c r="A14674" s="23" t="str">
        <f>HYPERLINK("https://www.spark-marketing.ru/Card/Person/4349321", "МБДОУ ДЕТСКИЙ САД №23")</f>
        <v>МБДОУ ДЕТСКИЙ САД №23</v>
      </c>
      <c r="B14674" s="24" t="s">
        <v>19475</v>
      </c>
      <c r="C14674" s="25">
        <v>2280016</v>
      </c>
      <c r="D14674" s="22" t="s">
        <v>19470</v>
      </c>
      <c r="E14674" s="22" t="s">
        <v>48</v>
      </c>
      <c r="F14674" s="23" t="str">
        <f t="shared" si="492"/>
        <v>Оказание услуг по организации питания в дошкольных образовательных учреждениях г. Твери</v>
      </c>
      <c r="G14674" s="22" t="s">
        <v>137</v>
      </c>
      <c r="H14674" s="22" t="s">
        <v>138</v>
      </c>
      <c r="I14674" s="26">
        <v>43644.430555555598</v>
      </c>
      <c r="J14674" s="23" t="str">
        <f t="shared" si="493"/>
        <v>ООО "ТВЕРСКОЙ КОМБИНАТ ШКОЛЬНОГО ПИТАНИЯ"</v>
      </c>
      <c r="K14674" s="24" t="s">
        <v>16891</v>
      </c>
      <c r="L14674" s="22" t="s">
        <v>10</v>
      </c>
      <c r="M14674" s="28" t="s">
        <v>51</v>
      </c>
      <c r="N14674" s="27">
        <v>0</v>
      </c>
    </row>
    <row r="14675" spans="1:14" ht="12.75" x14ac:dyDescent="0.2">
      <c r="A14675" s="23" t="str">
        <f>HYPERLINK("https://www.spark-marketing.ru/Card/Person/52566", "КОГБУЗ ""КИРОВСКИЙ ОБЛАСТНОЙ КЛИНИЧЕСКИЙ ПЕРИНАТАЛЬНЫЙ ЦЕНТР "" КОГБУЗ ""КОКПЦ""")</f>
        <v>КОГБУЗ "КИРОВСКИЙ ОБЛАСТНОЙ КЛИНИЧЕСКИЙ ПЕРИНАТАЛЬНЫЙ ЦЕНТР " КОГБУЗ "КОКПЦ"</v>
      </c>
      <c r="B14675" s="24" t="s">
        <v>19476</v>
      </c>
      <c r="C14675" s="25">
        <v>48768506</v>
      </c>
      <c r="D14675" s="22" t="s">
        <v>19477</v>
      </c>
      <c r="E14675" s="22" t="s">
        <v>96</v>
      </c>
      <c r="F14675" s="23" t="str">
        <f>HYPERLINK("https://www.spark-marketing.ru/Card/Lot/71773489", "Оказание услуг по приготовлению и передаче ежедневного лечебного питания для нужд КОГБУЗ «Кировский областной клинический перинатальный центр»")</f>
        <v>Оказание услуг по приготовлению и передаче ежедневного лечебного питания для нужд КОГБУЗ «Кировский областной клинический перинатальный центр»</v>
      </c>
      <c r="G14675" s="22" t="s">
        <v>224</v>
      </c>
      <c r="H14675" s="22" t="s">
        <v>225</v>
      </c>
      <c r="I14675" s="26">
        <v>43644.432638888902</v>
      </c>
      <c r="J14675" s="23" t="str">
        <f>HYPERLINK("https://www.spark-marketing.ru/Card/Person/51950", "ООО ""ЗДОРОВОЕ ПИТАНИЕ""")</f>
        <v>ООО "ЗДОРОВОЕ ПИТАНИЕ"</v>
      </c>
      <c r="K14675" s="24" t="s">
        <v>2336</v>
      </c>
      <c r="L14675" s="22" t="s">
        <v>10</v>
      </c>
      <c r="M14675" s="25">
        <v>48768506</v>
      </c>
      <c r="N14675" s="27">
        <v>0</v>
      </c>
    </row>
    <row r="14676" spans="1:14" x14ac:dyDescent="0.2">
      <c r="A14676" s="23" t="s">
        <v>114</v>
      </c>
      <c r="B14676" s="28" t="s">
        <v>51</v>
      </c>
      <c r="C14676" s="25">
        <v>13203037</v>
      </c>
      <c r="D14676" s="22" t="s">
        <v>19478</v>
      </c>
      <c r="E14676" s="22" t="s">
        <v>48</v>
      </c>
      <c r="F14676" s="23" t="str">
        <f>HYPERLINK("https://www.spark-marketing.ru/Card/Lot/71772990",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676" s="22" t="s">
        <v>51</v>
      </c>
      <c r="H14676" s="22" t="s">
        <v>51</v>
      </c>
      <c r="I14676" s="26">
        <v>43644.429861111101</v>
      </c>
      <c r="J14676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676" s="24" t="s">
        <v>16891</v>
      </c>
      <c r="L14676" s="22" t="s">
        <v>10</v>
      </c>
      <c r="M14676" s="25">
        <v>13203037</v>
      </c>
      <c r="N14676" s="27">
        <v>0</v>
      </c>
    </row>
    <row r="14677" spans="1:14" hidden="1" outlineLevel="1" x14ac:dyDescent="0.2">
      <c r="A14677" s="23" t="str">
        <f>HYPERLINK("https://www.spark-marketing.ru/Card/Person/85465", "МБДОУ ДЕТСКИЙ САД № 138")</f>
        <v>МБДОУ ДЕТСКИЙ САД № 138</v>
      </c>
      <c r="B14677" s="24" t="s">
        <v>19479</v>
      </c>
      <c r="C14677" s="25">
        <v>3748174</v>
      </c>
      <c r="D14677" s="22" t="s">
        <v>19478</v>
      </c>
      <c r="E14677" s="22" t="s">
        <v>48</v>
      </c>
      <c r="F14677" s="23" t="str">
        <f>HYPERLINK("https://www.spark-marketing.ru/Card/Lot/71772990",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677" s="22" t="s">
        <v>137</v>
      </c>
      <c r="H14677" s="22" t="s">
        <v>138</v>
      </c>
      <c r="I14677" s="26">
        <v>43644.429861111101</v>
      </c>
      <c r="J14677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677" s="24" t="s">
        <v>16891</v>
      </c>
      <c r="L14677" s="22" t="s">
        <v>10</v>
      </c>
      <c r="M14677" s="28" t="s">
        <v>51</v>
      </c>
      <c r="N14677" s="27">
        <v>0</v>
      </c>
    </row>
    <row r="14678" spans="1:14" hidden="1" outlineLevel="1" x14ac:dyDescent="0.2">
      <c r="A14678" s="23" t="str">
        <f>HYPERLINK("https://www.spark-marketing.ru/Card/Person/85696", "МБДОУ ДЕТСКИЙ САД № 130")</f>
        <v>МБДОУ ДЕТСКИЙ САД № 130</v>
      </c>
      <c r="B14678" s="24" t="s">
        <v>19480</v>
      </c>
      <c r="C14678" s="25">
        <v>3374257</v>
      </c>
      <c r="D14678" s="22" t="s">
        <v>19478</v>
      </c>
      <c r="E14678" s="22" t="s">
        <v>48</v>
      </c>
      <c r="F14678" s="23" t="str">
        <f>HYPERLINK("https://www.spark-marketing.ru/Card/Lot/71772990",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678" s="22" t="s">
        <v>137</v>
      </c>
      <c r="H14678" s="22" t="s">
        <v>138</v>
      </c>
      <c r="I14678" s="26">
        <v>43644.429861111101</v>
      </c>
      <c r="J14678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678" s="24" t="s">
        <v>16891</v>
      </c>
      <c r="L14678" s="22" t="s">
        <v>10</v>
      </c>
      <c r="M14678" s="28" t="s">
        <v>51</v>
      </c>
      <c r="N14678" s="27">
        <v>0</v>
      </c>
    </row>
    <row r="14679" spans="1:14" hidden="1" outlineLevel="1" x14ac:dyDescent="0.2">
      <c r="A14679" s="23" t="str">
        <f>HYPERLINK("https://www.spark-marketing.ru/Card/Person/87432", "МБДОУ ДЕТСКИЙ САД № 5")</f>
        <v>МБДОУ ДЕТСКИЙ САД № 5</v>
      </c>
      <c r="B14679" s="24" t="s">
        <v>19481</v>
      </c>
      <c r="C14679" s="25">
        <v>6080606</v>
      </c>
      <c r="D14679" s="22" t="s">
        <v>19478</v>
      </c>
      <c r="E14679" s="22" t="s">
        <v>48</v>
      </c>
      <c r="F14679" s="23" t="str">
        <f>HYPERLINK("https://www.spark-marketing.ru/Card/Lot/71772990",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679" s="22" t="s">
        <v>137</v>
      </c>
      <c r="H14679" s="22" t="s">
        <v>138</v>
      </c>
      <c r="I14679" s="26">
        <v>43644.429861111101</v>
      </c>
      <c r="J14679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679" s="24" t="s">
        <v>16891</v>
      </c>
      <c r="L14679" s="22" t="s">
        <v>10</v>
      </c>
      <c r="M14679" s="28" t="s">
        <v>51</v>
      </c>
      <c r="N14679" s="27">
        <v>0</v>
      </c>
    </row>
    <row r="14680" spans="1:14" x14ac:dyDescent="0.15">
      <c r="A14680" s="23" t="str">
        <f>HYPERLINK("https://www.spark-marketing.ru/Card/Person/4430223", "МАОУ СОШ №64")</f>
        <v>МАОУ СОШ №64</v>
      </c>
      <c r="B14680" s="24" t="s">
        <v>19482</v>
      </c>
      <c r="C14680" s="25">
        <v>541005</v>
      </c>
      <c r="D14680" s="22" t="s">
        <v>19483</v>
      </c>
      <c r="E14680" s="22" t="s">
        <v>362</v>
      </c>
      <c r="F14680" s="23" t="str">
        <f>HYPERLINK("https://www.spark-marketing.ru/Card/Lot/71759389", "Оказание услуг по организации питания детей")</f>
        <v>Оказание услуг по организации питания детей</v>
      </c>
      <c r="G14680" s="22" t="s">
        <v>174</v>
      </c>
      <c r="H14680" s="22" t="s">
        <v>174</v>
      </c>
      <c r="I14680" s="26">
        <v>43644.452824074098</v>
      </c>
      <c r="J14680" s="28" t="s">
        <v>51</v>
      </c>
      <c r="K14680" s="28" t="s">
        <v>51</v>
      </c>
      <c r="L14680" s="28" t="s">
        <v>51</v>
      </c>
      <c r="M14680" s="28" t="s">
        <v>51</v>
      </c>
      <c r="N14680" s="28" t="s">
        <v>51</v>
      </c>
    </row>
    <row r="14681" spans="1:14" x14ac:dyDescent="0.15">
      <c r="A14681" s="23" t="str">
        <f>HYPERLINK("https://www.spark-marketing.ru/Card/Person/374323", "ОМВД РОССИИ ПО ПОРХОВСКОМУ РАЙОНУ")</f>
        <v>ОМВД РОССИИ ПО ПОРХОВСКОМУ РАЙОНУ</v>
      </c>
      <c r="B14681" s="24" t="s">
        <v>3660</v>
      </c>
      <c r="C14681" s="25">
        <v>200000</v>
      </c>
      <c r="D14681" s="22" t="s">
        <v>19484</v>
      </c>
      <c r="E14681" s="22" t="s">
        <v>48</v>
      </c>
      <c r="F14681" s="23" t="str">
        <f>HYPERLINK("https://www.spark-marketing.ru/Card/Lot/71807998", "Оказание услуг по организации приготовления  и передаче комплексного горячего питания арестованных, административно-арестованных, содержащихся в ИВС и административно-задержанных, содержащихся в СПСЗЛ ОМВД России по Порховскому району более трех часо...")</f>
        <v>Оказание услуг по организации приготовления  и передаче комплексного горячего питания арестованных, административно-арестованных, содержащихся в ИВС и административно-задержанных, содержащихся в СПСЗЛ ОМВД России по Порховскому району более трех часо...</v>
      </c>
      <c r="G14681" s="22" t="s">
        <v>415</v>
      </c>
      <c r="H14681" s="22" t="s">
        <v>415</v>
      </c>
      <c r="I14681" s="26">
        <v>43644.443749999999</v>
      </c>
      <c r="J14681" s="28" t="s">
        <v>51</v>
      </c>
      <c r="K14681" s="28" t="s">
        <v>51</v>
      </c>
      <c r="L14681" s="28" t="s">
        <v>51</v>
      </c>
      <c r="M14681" s="28" t="s">
        <v>51</v>
      </c>
      <c r="N14681" s="28" t="s">
        <v>51</v>
      </c>
    </row>
    <row r="14682" spans="1:14" ht="12.75" x14ac:dyDescent="0.2">
      <c r="A14682" s="23" t="str">
        <f>HYPERLINK("https://www.spark-marketing.ru/Card/Person/134727", "МБОУ ДО ЦДТ № 4")</f>
        <v>МБОУ ДО ЦДТ № 4</v>
      </c>
      <c r="B14682" s="24" t="s">
        <v>19485</v>
      </c>
      <c r="C14682" s="25">
        <v>808500</v>
      </c>
      <c r="D14682" s="22" t="s">
        <v>19486</v>
      </c>
      <c r="E14682" s="22" t="s">
        <v>48</v>
      </c>
      <c r="F14682" s="23" t="str">
        <f>HYPERLINK("https://www.spark-marketing.ru/Card/Lot/71757716", "Оказание услуг по организации горячего питания детей в структурном подразделении муниципального бюджетного образовательного учреждения дополнительного образования ""Центр детского творчества № 4""- загородном стационарном детском оздоровительном лаге...")</f>
        <v>Оказание услуг по организации горячего питания детей в структурном подразделении муниципального бюджетного образовательного учреждения дополнительного образования "Центр детского творчества № 4"- загородном стационарном детском оздоровительном лаге...</v>
      </c>
      <c r="G14682" s="22" t="s">
        <v>281</v>
      </c>
      <c r="H14682" s="22" t="s">
        <v>281</v>
      </c>
      <c r="I14682" s="26">
        <v>43644.456944444399</v>
      </c>
      <c r="J14682" s="23" t="str">
        <f>HYPERLINK("https://www.spark-marketing.ru/Card/Person/227190", "ООО ""РИЧ""")</f>
        <v>ООО "РИЧ"</v>
      </c>
      <c r="K14682" s="24" t="s">
        <v>1437</v>
      </c>
      <c r="L14682" s="22" t="s">
        <v>10</v>
      </c>
      <c r="M14682" s="25">
        <v>808500</v>
      </c>
      <c r="N14682" s="27">
        <v>0</v>
      </c>
    </row>
    <row r="14683" spans="1:14" x14ac:dyDescent="0.15">
      <c r="A14683" s="23" t="str">
        <f>HYPERLINK("https://www.spark-marketing.ru/Card/Person/141275", "МО МВД РОССИИ ""АЛАПАЕВСКИЙ""")</f>
        <v>МО МВД РОССИИ "АЛАПАЕВСКИЙ"</v>
      </c>
      <c r="B14683" s="24" t="s">
        <v>4333</v>
      </c>
      <c r="C14683" s="25">
        <v>1197207</v>
      </c>
      <c r="D14683" s="22" t="s">
        <v>19487</v>
      </c>
      <c r="E14683" s="22" t="s">
        <v>48</v>
      </c>
      <c r="F14683" s="23" t="str">
        <f>HYPERLINK("https://www.spark-marketing.ru/Card/Lot/71766307", "Оказание услуг по обеспечению бесперебойного ежедневного трехразового горячего питания лиц подозреваемых и обвиняемых, содержащихся  в специальном приемнике для содержания лиц подвергнутых административному аресту (СП) и изоляторе временного содержан...")</f>
        <v>Оказание услуг по обеспечению бесперебойного ежедневного трехразового горячего питания лиц подозреваемых и обвиняемых, содержащихся  в специальном приемнике для содержания лиц подвергнутых административному аресту (СП) и изоляторе временного содержан...</v>
      </c>
      <c r="G14683" s="22" t="s">
        <v>174</v>
      </c>
      <c r="H14683" s="22" t="s">
        <v>4335</v>
      </c>
      <c r="I14683" s="26">
        <v>43644.448611111096</v>
      </c>
      <c r="J14683" s="28" t="s">
        <v>51</v>
      </c>
      <c r="K14683" s="28" t="s">
        <v>51</v>
      </c>
      <c r="L14683" s="28" t="s">
        <v>51</v>
      </c>
      <c r="M14683" s="28" t="s">
        <v>51</v>
      </c>
      <c r="N14683" s="28" t="s">
        <v>51</v>
      </c>
    </row>
    <row r="14684" spans="1:14" ht="12.75" hidden="1" outlineLevel="1" x14ac:dyDescent="0.2">
      <c r="A14684" s="23" t="str">
        <f>HYPERLINK("https://www.spark-marketing.ru/Card/Person/141275", "МО МВД РОССИИ ""АЛАПАЕВСКИЙ""")</f>
        <v>МО МВД РОССИИ "АЛАПАЕВСКИЙ"</v>
      </c>
      <c r="B14684" s="24" t="s">
        <v>4333</v>
      </c>
      <c r="C14684" s="25">
        <v>1197207</v>
      </c>
      <c r="D14684" s="22" t="s">
        <v>19487</v>
      </c>
      <c r="E14684" s="22" t="s">
        <v>48</v>
      </c>
      <c r="F14684" s="23" t="str">
        <f>HYPERLINK("https://www.spark-marketing.ru/Card/Lot/71766307", "Оказание услуг по обеспечению бесперебойного ежедневного трехразового горячего питания лиц подозреваемых и обвиняемых, содержащихся  в специальном приемнике для содержания лиц подвергнутых административному аресту (СП) и изоляторе временного содержан...")</f>
        <v>Оказание услуг по обеспечению бесперебойного ежедневного трехразового горячего питания лиц подозреваемых и обвиняемых, содержащихся  в специальном приемнике для содержания лиц подвергнутых административному аресту (СП) и изоляторе временного содержан...</v>
      </c>
      <c r="G14684" s="22" t="s">
        <v>174</v>
      </c>
      <c r="H14684" s="22" t="s">
        <v>4335</v>
      </c>
      <c r="I14684" s="26">
        <v>43644.448611111096</v>
      </c>
      <c r="J14684" s="23" t="str">
        <f>HYPERLINK("https://www.spark-marketing.ru/Card/Person/6251153", "Тарасова Надежда Сергеевна")</f>
        <v>Тарасова Надежда Сергеевна</v>
      </c>
      <c r="K14684" s="24" t="s">
        <v>4337</v>
      </c>
      <c r="L14684" s="22" t="s">
        <v>10</v>
      </c>
      <c r="M14684" s="25">
        <v>1197207</v>
      </c>
      <c r="N14684" s="27">
        <v>0</v>
      </c>
    </row>
    <row r="14685" spans="1:14" hidden="1" outlineLevel="1" x14ac:dyDescent="0.2">
      <c r="A14685" s="23" t="str">
        <f>HYPERLINK("https://www.spark-marketing.ru/Card/Person/141275", "МО МВД РОССИИ ""АЛАПАЕВСКИЙ""")</f>
        <v>МО МВД РОССИИ "АЛАПАЕВСКИЙ"</v>
      </c>
      <c r="B14685" s="24" t="s">
        <v>4333</v>
      </c>
      <c r="C14685" s="25">
        <v>1197207</v>
      </c>
      <c r="D14685" s="22" t="s">
        <v>19487</v>
      </c>
      <c r="E14685" s="22" t="s">
        <v>48</v>
      </c>
      <c r="F14685" s="23" t="str">
        <f>HYPERLINK("https://www.spark-marketing.ru/Card/Lot/71766307", "Оказание услуг по обеспечению бесперебойного ежедневного трехразового горячего питания лиц подозреваемых и обвиняемых, содержащихся  в специальном приемнике для содержания лиц подвергнутых административному аресту (СП) и изоляторе временного содержан...")</f>
        <v>Оказание услуг по обеспечению бесперебойного ежедневного трехразового горячего питания лиц подозреваемых и обвиняемых, содержащихся  в специальном приемнике для содержания лиц подвергнутых административному аресту (СП) и изоляторе временного содержан...</v>
      </c>
      <c r="G14685" s="22" t="s">
        <v>174</v>
      </c>
      <c r="H14685" s="22" t="s">
        <v>4335</v>
      </c>
      <c r="I14685" s="26">
        <v>43644.448611111096</v>
      </c>
      <c r="J14685" s="23" t="str">
        <f>HYPERLINK("https://www.spark-marketing.ru/Card/Person/537477", "Сурнин Сергей Николаевич")</f>
        <v>Сурнин Сергей Николаевич</v>
      </c>
      <c r="K14685" s="24" t="s">
        <v>4336</v>
      </c>
      <c r="L14685" s="28" t="s">
        <v>51</v>
      </c>
      <c r="M14685" s="25">
        <v>1197207</v>
      </c>
      <c r="N14685" s="27">
        <v>0</v>
      </c>
    </row>
    <row r="14686" spans="1:14" x14ac:dyDescent="0.2">
      <c r="A14686" s="23" t="s">
        <v>114</v>
      </c>
      <c r="B14686" s="28" t="s">
        <v>51</v>
      </c>
      <c r="C14686" s="25">
        <v>10023192</v>
      </c>
      <c r="D14686" s="22" t="s">
        <v>19488</v>
      </c>
      <c r="E14686" s="22" t="s">
        <v>48</v>
      </c>
      <c r="F14686" s="23" t="str">
        <f>HYPERLINK("https://www.spark-marketing.ru/Card/Lot/71772969",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686" s="22" t="s">
        <v>51</v>
      </c>
      <c r="H14686" s="22" t="s">
        <v>51</v>
      </c>
      <c r="I14686" s="26">
        <v>43644.429166666698</v>
      </c>
      <c r="J14686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686" s="24" t="s">
        <v>16891</v>
      </c>
      <c r="L14686" s="22" t="s">
        <v>10</v>
      </c>
      <c r="M14686" s="25">
        <v>10023192</v>
      </c>
      <c r="N14686" s="27">
        <v>0</v>
      </c>
    </row>
    <row r="14687" spans="1:14" hidden="1" outlineLevel="1" x14ac:dyDescent="0.2">
      <c r="A14687" s="23" t="str">
        <f>HYPERLINK("https://www.spark-marketing.ru/Card/Person/87672", "МБДОУ ДЕТСКИЙ САД №123")</f>
        <v>МБДОУ ДЕТСКИЙ САД №123</v>
      </c>
      <c r="B14687" s="24" t="s">
        <v>19489</v>
      </c>
      <c r="C14687" s="25">
        <v>5217142</v>
      </c>
      <c r="D14687" s="22" t="s">
        <v>19488</v>
      </c>
      <c r="E14687" s="22" t="s">
        <v>48</v>
      </c>
      <c r="F14687" s="23" t="str">
        <f>HYPERLINK("https://www.spark-marketing.ru/Card/Lot/71772969",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687" s="22" t="s">
        <v>137</v>
      </c>
      <c r="H14687" s="22" t="s">
        <v>138</v>
      </c>
      <c r="I14687" s="26">
        <v>43644.429166666698</v>
      </c>
      <c r="J14687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687" s="24" t="s">
        <v>16891</v>
      </c>
      <c r="L14687" s="22" t="s">
        <v>10</v>
      </c>
      <c r="M14687" s="28" t="s">
        <v>51</v>
      </c>
      <c r="N14687" s="27">
        <v>0</v>
      </c>
    </row>
    <row r="14688" spans="1:14" hidden="1" outlineLevel="1" x14ac:dyDescent="0.2">
      <c r="A14688" s="23" t="str">
        <f>HYPERLINK("https://www.spark-marketing.ru/Card/Person/87929", "МБДОУ ДЕТСКИЙ САД № 88 КОМБИНИРОВАННОГО ВИДА")</f>
        <v>МБДОУ ДЕТСКИЙ САД № 88 КОМБИНИРОВАННОГО ВИДА</v>
      </c>
      <c r="B14688" s="24" t="s">
        <v>19490</v>
      </c>
      <c r="C14688" s="25">
        <v>4806050</v>
      </c>
      <c r="D14688" s="22" t="s">
        <v>19488</v>
      </c>
      <c r="E14688" s="22" t="s">
        <v>48</v>
      </c>
      <c r="F14688" s="23" t="str">
        <f>HYPERLINK("https://www.spark-marketing.ru/Card/Lot/71772969",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688" s="22" t="s">
        <v>137</v>
      </c>
      <c r="H14688" s="22" t="s">
        <v>138</v>
      </c>
      <c r="I14688" s="26">
        <v>43644.429166666698</v>
      </c>
      <c r="J14688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688" s="24" t="s">
        <v>16891</v>
      </c>
      <c r="L14688" s="22" t="s">
        <v>10</v>
      </c>
      <c r="M14688" s="28" t="s">
        <v>51</v>
      </c>
      <c r="N14688" s="27">
        <v>0</v>
      </c>
    </row>
    <row r="14689" spans="1:14" x14ac:dyDescent="0.15">
      <c r="A14689" s="23" t="str">
        <f>HYPERLINK("https://www.spark-marketing.ru/Card/Person/4597", "ГУ-АЛТАЙСКОЕ РО ФОНДА СОЦИАЛЬНОГО СТРАХОВАНИЯ РОССИЙСКОЙ ФЕДЕРАЦИИ")</f>
        <v>ГУ-АЛТАЙСКОЕ РО ФОНДА СОЦИАЛЬНОГО СТРАХОВАНИЯ РОССИЙСКОЙ ФЕДЕРАЦИИ</v>
      </c>
      <c r="B14689" s="24" t="s">
        <v>1854</v>
      </c>
      <c r="C14689" s="25">
        <v>602641.19999999995</v>
      </c>
      <c r="D14689" s="22" t="s">
        <v>19491</v>
      </c>
      <c r="E14689" s="22" t="s">
        <v>86</v>
      </c>
      <c r="F14689" s="23" t="str">
        <f>HYPERLINK("https://www.spark-marketing.ru/Card/Lot/71757353", "Оказание услуг по санаторно-курортному лечению детей-инвалидов с заболеваниями по Классу IV МКБ-10 «Болезни эндокринной системы, расстройства питания и нарушения обмена веществ»")</f>
        <v>Оказание услуг по санаторно-курортному лечению детей-инвалидов с заболеваниями по Классу IV МКБ-10 «Болезни эндокринной системы, расстройства питания и нарушения обмена веществ»</v>
      </c>
      <c r="G14689" s="22" t="s">
        <v>63</v>
      </c>
      <c r="H14689" s="22" t="s">
        <v>63</v>
      </c>
      <c r="I14689" s="26">
        <v>43644.401388888902</v>
      </c>
      <c r="J14689" s="23" t="str">
        <f>HYPERLINK("https://www.spark-marketing.ru/Card/Person/95245", "ОАО ""РЖД""")</f>
        <v>ОАО "РЖД"</v>
      </c>
      <c r="K14689" s="24" t="s">
        <v>330</v>
      </c>
      <c r="L14689" s="28" t="s">
        <v>51</v>
      </c>
      <c r="M14689" s="28" t="s">
        <v>51</v>
      </c>
      <c r="N14689" s="28" t="s">
        <v>51</v>
      </c>
    </row>
    <row r="14690" spans="1:14" ht="12.75" hidden="1" outlineLevel="1" x14ac:dyDescent="0.2">
      <c r="A14690" s="23" t="str">
        <f>HYPERLINK("https://www.spark-marketing.ru/Card/Person/4597", "ГУ-АЛТАЙСКОЕ РО ФОНДА СОЦИАЛЬНОГО СТРАХОВАНИЯ РОССИЙСКОЙ ФЕДЕРАЦИИ")</f>
        <v>ГУ-АЛТАЙСКОЕ РО ФОНДА СОЦИАЛЬНОГО СТРАХОВАНИЯ РОССИЙСКОЙ ФЕДЕРАЦИИ</v>
      </c>
      <c r="B14690" s="24" t="s">
        <v>1854</v>
      </c>
      <c r="C14690" s="25">
        <v>602641.19999999995</v>
      </c>
      <c r="D14690" s="22" t="s">
        <v>19491</v>
      </c>
      <c r="E14690" s="22" t="s">
        <v>86</v>
      </c>
      <c r="F14690" s="23" t="str">
        <f>HYPERLINK("https://www.spark-marketing.ru/Card/Lot/71757353", "Оказание услуг по санаторно-курортному лечению детей-инвалидов с заболеваниями по Классу IV МКБ-10 «Болезни эндокринной системы, расстройства питания и нарушения обмена веществ»")</f>
        <v>Оказание услуг по санаторно-курортному лечению детей-инвалидов с заболеваниями по Классу IV МКБ-10 «Болезни эндокринной системы, расстройства питания и нарушения обмена веществ»</v>
      </c>
      <c r="G14690" s="22" t="s">
        <v>63</v>
      </c>
      <c r="H14690" s="22" t="s">
        <v>63</v>
      </c>
      <c r="I14690" s="26">
        <v>43644.401388888902</v>
      </c>
      <c r="J14690" s="23" t="str">
        <f>HYPERLINK("https://www.spark-marketing.ru/Card/Person/95245", "ОАО ""РЖД""")</f>
        <v>ОАО "РЖД"</v>
      </c>
      <c r="K14690" s="24" t="s">
        <v>330</v>
      </c>
      <c r="L14690" s="22" t="s">
        <v>10</v>
      </c>
      <c r="M14690" s="25">
        <v>599627.99</v>
      </c>
      <c r="N14690" s="27">
        <v>5.0000066374486177E-3</v>
      </c>
    </row>
    <row r="14691" spans="1:14" x14ac:dyDescent="0.15">
      <c r="A14691" s="23" t="str">
        <f>HYPERLINK("https://www.spark-marketing.ru/Card/Person/17859", "УМВД РОССИИ ПО ГОРОДУ ТВЕРИ")</f>
        <v>УМВД РОССИИ ПО ГОРОДУ ТВЕРИ</v>
      </c>
      <c r="B14691" s="24" t="s">
        <v>19369</v>
      </c>
      <c r="C14691" s="25">
        <v>4264780</v>
      </c>
      <c r="D14691" s="22" t="s">
        <v>19492</v>
      </c>
      <c r="E14691" s="22" t="s">
        <v>48</v>
      </c>
      <c r="F14691" s="23" t="str">
        <f>HYPERLINK("https://www.spark-marketing.ru/Card/Lot/71772544", "Оказание услуг общественного питания (поставка комплексных обедов) для лиц, подвергнутых административному аресту, а также подозреваемых и обвиняемых")</f>
        <v>Оказание услуг общественного питания (поставка комплексных обедов) для лиц, подвергнутых административному аресту, а также подозреваемых и обвиняемых</v>
      </c>
      <c r="G14691" s="22" t="s">
        <v>137</v>
      </c>
      <c r="H14691" s="22" t="s">
        <v>138</v>
      </c>
      <c r="I14691" s="26">
        <v>43644.404861111099</v>
      </c>
      <c r="J14691" s="23" t="str">
        <f>HYPERLINK("https://www.spark-marketing.ru/Card/Person/104352", "Долотова Елена Петровна")</f>
        <v>Долотова Елена Петровна</v>
      </c>
      <c r="K14691" s="24" t="s">
        <v>17519</v>
      </c>
      <c r="L14691" s="22" t="s">
        <v>10</v>
      </c>
      <c r="M14691" s="28" t="s">
        <v>51</v>
      </c>
      <c r="N14691" s="28" t="s">
        <v>51</v>
      </c>
    </row>
    <row r="14692" spans="1:14" x14ac:dyDescent="0.15">
      <c r="A14692" s="23" t="str">
        <f>HYPERLINK("https://www.spark-marketing.ru/Card/Person/28002", "ГБУЗ ""СОКОБ ИМ. Т. И. ЕРОШЕВСКОГО""")</f>
        <v>ГБУЗ "СОКОБ ИМ. Т. И. ЕРОШЕВСКОГО"</v>
      </c>
      <c r="B14692" s="24" t="s">
        <v>19493</v>
      </c>
      <c r="C14692" s="25">
        <v>1699965</v>
      </c>
      <c r="D14692" s="22" t="s">
        <v>19494</v>
      </c>
      <c r="E14692" s="22" t="s">
        <v>48</v>
      </c>
      <c r="F14692" s="23" t="str">
        <f>HYPERLINK("https://www.spark-marketing.ru/Card/Lot/71767272", "Оказание услуг по организации диетического лечебного питания для больных отделения Государственного бюджетного учреждения здравоохранения ""Самарская областная клиническая офтальмологическая больница имени Т.И. Ерошевского"" расположенного по адресу:...")</f>
        <v>Оказание услуг по организации диетического лечебного питания для больных отделения Государственного бюджетного учреждения здравоохранения "Самарская областная клиническая офтальмологическая больница имени Т.И. Ерошевского" расположенного по адресу:...</v>
      </c>
      <c r="G14692" s="22" t="s">
        <v>128</v>
      </c>
      <c r="H14692" s="22" t="s">
        <v>129</v>
      </c>
      <c r="I14692" s="26">
        <v>43644.404166666704</v>
      </c>
      <c r="J14692" s="23" t="str">
        <f>HYPERLINK("https://www.spark-marketing.ru/Card/Person/2544469", "ООО ""ЛДМ ГРУПП""")</f>
        <v>ООО "ЛДМ ГРУПП"</v>
      </c>
      <c r="K14692" s="24" t="s">
        <v>6703</v>
      </c>
      <c r="L14692" s="22" t="s">
        <v>10</v>
      </c>
      <c r="M14692" s="28" t="s">
        <v>51</v>
      </c>
      <c r="N14692" s="28" t="s">
        <v>51</v>
      </c>
    </row>
    <row r="14693" spans="1:14" x14ac:dyDescent="0.15">
      <c r="A14693" s="23" t="s">
        <v>114</v>
      </c>
      <c r="B14693" s="28" t="s">
        <v>51</v>
      </c>
      <c r="C14693" s="25">
        <v>7399540.1699999999</v>
      </c>
      <c r="D14693" s="22" t="s">
        <v>19495</v>
      </c>
      <c r="E14693" s="22" t="s">
        <v>19496</v>
      </c>
      <c r="F14693" s="23" t="str">
        <f t="shared" ref="F14693:F14732" si="494">HYPERLINK("https://www.spark-marketing.ru/Card/Lot/71772641", "Поставка электротехнических товаров")</f>
        <v>Поставка электротехнических товаров</v>
      </c>
      <c r="G14693" s="22" t="s">
        <v>51</v>
      </c>
      <c r="H14693" s="22" t="s">
        <v>51</v>
      </c>
      <c r="I14693" s="26">
        <v>43644.385416666701</v>
      </c>
      <c r="J14693" s="28" t="s">
        <v>51</v>
      </c>
      <c r="K14693" s="28" t="s">
        <v>51</v>
      </c>
      <c r="L14693" s="28" t="s">
        <v>51</v>
      </c>
      <c r="M14693" s="28" t="s">
        <v>51</v>
      </c>
      <c r="N14693" s="28" t="s">
        <v>51</v>
      </c>
    </row>
    <row r="14694" spans="1:14" hidden="1" outlineLevel="1" x14ac:dyDescent="0.15">
      <c r="A14694" s="23" t="str">
        <f>HYPERLINK("https://www.spark-marketing.ru/Card/Person/7279", "СПБ ГБСУСО ""ПСИХОНЕВРОЛОГИЧЕСКИЙ ИНТЕРНАТ №2""")</f>
        <v>СПБ ГБСУСО "ПСИХОНЕВРОЛОГИЧЕСКИЙ ИНТЕРНАТ №2"</v>
      </c>
      <c r="B14694" s="24" t="s">
        <v>19497</v>
      </c>
      <c r="C14694" s="25">
        <v>592579.63</v>
      </c>
      <c r="D14694" s="22" t="s">
        <v>19495</v>
      </c>
      <c r="E14694" s="22" t="s">
        <v>19496</v>
      </c>
      <c r="F14694" s="23" t="str">
        <f t="shared" si="494"/>
        <v>Поставка электротехнических товаров</v>
      </c>
      <c r="G14694" s="22" t="s">
        <v>117</v>
      </c>
      <c r="H14694" s="22" t="s">
        <v>117</v>
      </c>
      <c r="I14694" s="26">
        <v>43644.385416666701</v>
      </c>
      <c r="J14694" s="28" t="s">
        <v>51</v>
      </c>
      <c r="K14694" s="28" t="s">
        <v>51</v>
      </c>
      <c r="L14694" s="28" t="s">
        <v>51</v>
      </c>
      <c r="M14694" s="28" t="s">
        <v>51</v>
      </c>
      <c r="N14694" s="28" t="s">
        <v>51</v>
      </c>
    </row>
    <row r="14695" spans="1:14" hidden="1" outlineLevel="1" x14ac:dyDescent="0.15">
      <c r="A14695" s="23" t="str">
        <f>HYPERLINK("https://www.spark-marketing.ru/Card/Person/8758", "СПБ ГБСУСО ""ДИПИ №1""")</f>
        <v>СПБ ГБСУСО "ДИПИ №1"</v>
      </c>
      <c r="B14695" s="24" t="s">
        <v>19498</v>
      </c>
      <c r="C14695" s="25">
        <v>12874.48</v>
      </c>
      <c r="D14695" s="22" t="s">
        <v>19495</v>
      </c>
      <c r="E14695" s="22" t="s">
        <v>19496</v>
      </c>
      <c r="F14695" s="23" t="str">
        <f t="shared" si="494"/>
        <v>Поставка электротехнических товаров</v>
      </c>
      <c r="G14695" s="22" t="s">
        <v>117</v>
      </c>
      <c r="H14695" s="22" t="s">
        <v>117</v>
      </c>
      <c r="I14695" s="26">
        <v>43644.385416666701</v>
      </c>
      <c r="J14695" s="28" t="s">
        <v>51</v>
      </c>
      <c r="K14695" s="28" t="s">
        <v>51</v>
      </c>
      <c r="L14695" s="28" t="s">
        <v>51</v>
      </c>
      <c r="M14695" s="28" t="s">
        <v>51</v>
      </c>
      <c r="N14695" s="28" t="s">
        <v>51</v>
      </c>
    </row>
    <row r="14696" spans="1:14" hidden="1" outlineLevel="1" x14ac:dyDescent="0.15">
      <c r="A14696" s="23" t="str">
        <f>HYPERLINK("https://www.spark-marketing.ru/Card/Person/13189", "СПБ ГБСУСО ""ПСИХОНЕВРОЛОГИЧЕСКИЙ ИНТЕРНАТ №4""")</f>
        <v>СПБ ГБСУСО "ПСИХОНЕВРОЛОГИЧЕСКИЙ ИНТЕРНАТ №4"</v>
      </c>
      <c r="B14696" s="24" t="s">
        <v>19499</v>
      </c>
      <c r="C14696" s="25">
        <v>109215.71</v>
      </c>
      <c r="D14696" s="22" t="s">
        <v>19495</v>
      </c>
      <c r="E14696" s="22" t="s">
        <v>19496</v>
      </c>
      <c r="F14696" s="23" t="str">
        <f t="shared" si="494"/>
        <v>Поставка электротехнических товаров</v>
      </c>
      <c r="G14696" s="22" t="s">
        <v>117</v>
      </c>
      <c r="H14696" s="22" t="s">
        <v>117</v>
      </c>
      <c r="I14696" s="26">
        <v>43644.385416666701</v>
      </c>
      <c r="J14696" s="28" t="s">
        <v>51</v>
      </c>
      <c r="K14696" s="28" t="s">
        <v>51</v>
      </c>
      <c r="L14696" s="28" t="s">
        <v>51</v>
      </c>
      <c r="M14696" s="28" t="s">
        <v>51</v>
      </c>
      <c r="N14696" s="28" t="s">
        <v>51</v>
      </c>
    </row>
    <row r="14697" spans="1:14" hidden="1" outlineLevel="1" x14ac:dyDescent="0.15">
      <c r="A14697" s="23" t="str">
        <f>HYPERLINK("https://www.spark-marketing.ru/Card/Person/13863", "СПБ ГКУ ""ДОМ ВЕТЕРАНОВ""")</f>
        <v>СПБ ГКУ "ДОМ ВЕТЕРАНОВ"</v>
      </c>
      <c r="B14697" s="24" t="s">
        <v>19500</v>
      </c>
      <c r="C14697" s="25">
        <v>44307.24</v>
      </c>
      <c r="D14697" s="22" t="s">
        <v>19495</v>
      </c>
      <c r="E14697" s="22" t="s">
        <v>19496</v>
      </c>
      <c r="F14697" s="23" t="str">
        <f t="shared" si="494"/>
        <v>Поставка электротехнических товаров</v>
      </c>
      <c r="G14697" s="22" t="s">
        <v>117</v>
      </c>
      <c r="H14697" s="22" t="s">
        <v>117</v>
      </c>
      <c r="I14697" s="26">
        <v>43644.385416666701</v>
      </c>
      <c r="J14697" s="28" t="s">
        <v>51</v>
      </c>
      <c r="K14697" s="28" t="s">
        <v>51</v>
      </c>
      <c r="L14697" s="28" t="s">
        <v>51</v>
      </c>
      <c r="M14697" s="28" t="s">
        <v>51</v>
      </c>
      <c r="N14697" s="28" t="s">
        <v>51</v>
      </c>
    </row>
    <row r="14698" spans="1:14" hidden="1" outlineLevel="1" x14ac:dyDescent="0.15">
      <c r="A14698" s="23" t="str">
        <f>HYPERLINK("https://www.spark-marketing.ru/Card/Person/14256", "СПБ ГБСУСО ""ПСИХОНЕВРОЛОГИЧЕСКИЙ ИНТЕРНАТ № 3""")</f>
        <v>СПБ ГБСУСО "ПСИХОНЕВРОЛОГИЧЕСКИЙ ИНТЕРНАТ № 3"</v>
      </c>
      <c r="B14698" s="24" t="s">
        <v>19501</v>
      </c>
      <c r="C14698" s="25">
        <v>327957.64</v>
      </c>
      <c r="D14698" s="22" t="s">
        <v>19495</v>
      </c>
      <c r="E14698" s="22" t="s">
        <v>19496</v>
      </c>
      <c r="F14698" s="23" t="str">
        <f t="shared" si="494"/>
        <v>Поставка электротехнических товаров</v>
      </c>
      <c r="G14698" s="22" t="s">
        <v>117</v>
      </c>
      <c r="H14698" s="22" t="s">
        <v>117</v>
      </c>
      <c r="I14698" s="26">
        <v>43644.385416666701</v>
      </c>
      <c r="J14698" s="28" t="s">
        <v>51</v>
      </c>
      <c r="K14698" s="28" t="s">
        <v>51</v>
      </c>
      <c r="L14698" s="28" t="s">
        <v>51</v>
      </c>
      <c r="M14698" s="28" t="s">
        <v>51</v>
      </c>
      <c r="N14698" s="28" t="s">
        <v>51</v>
      </c>
    </row>
    <row r="14699" spans="1:14" hidden="1" outlineLevel="1" x14ac:dyDescent="0.15">
      <c r="A14699" s="23" t="str">
        <f>HYPERLINK("https://www.spark-marketing.ru/Card/Person/14800", "СПБ ГБСУСО ""ПНИ № 7""")</f>
        <v>СПБ ГБСУСО "ПНИ № 7"</v>
      </c>
      <c r="B14699" s="24" t="s">
        <v>19502</v>
      </c>
      <c r="C14699" s="25">
        <v>775479.3</v>
      </c>
      <c r="D14699" s="22" t="s">
        <v>19495</v>
      </c>
      <c r="E14699" s="22" t="s">
        <v>19496</v>
      </c>
      <c r="F14699" s="23" t="str">
        <f t="shared" si="494"/>
        <v>Поставка электротехнических товаров</v>
      </c>
      <c r="G14699" s="22" t="s">
        <v>117</v>
      </c>
      <c r="H14699" s="22" t="s">
        <v>117</v>
      </c>
      <c r="I14699" s="26">
        <v>43644.385416666701</v>
      </c>
      <c r="J14699" s="28" t="s">
        <v>51</v>
      </c>
      <c r="K14699" s="28" t="s">
        <v>51</v>
      </c>
      <c r="L14699" s="28" t="s">
        <v>51</v>
      </c>
      <c r="M14699" s="28" t="s">
        <v>51</v>
      </c>
      <c r="N14699" s="28" t="s">
        <v>51</v>
      </c>
    </row>
    <row r="14700" spans="1:14" hidden="1" outlineLevel="1" x14ac:dyDescent="0.15">
      <c r="A14700" s="23" t="str">
        <f>HYPERLINK("https://www.spark-marketing.ru/Card/Person/14997", "СПБ ГБСУСО ""СПЕЦИНТЕРНАТ""")</f>
        <v>СПБ ГБСУСО "СПЕЦИНТЕРНАТ"</v>
      </c>
      <c r="B14700" s="24" t="s">
        <v>19503</v>
      </c>
      <c r="C14700" s="25">
        <v>309684.61</v>
      </c>
      <c r="D14700" s="22" t="s">
        <v>19495</v>
      </c>
      <c r="E14700" s="22" t="s">
        <v>19496</v>
      </c>
      <c r="F14700" s="23" t="str">
        <f t="shared" si="494"/>
        <v>Поставка электротехнических товаров</v>
      </c>
      <c r="G14700" s="22" t="s">
        <v>117</v>
      </c>
      <c r="H14700" s="22" t="s">
        <v>117</v>
      </c>
      <c r="I14700" s="26">
        <v>43644.385416666701</v>
      </c>
      <c r="J14700" s="28" t="s">
        <v>51</v>
      </c>
      <c r="K14700" s="28" t="s">
        <v>51</v>
      </c>
      <c r="L14700" s="28" t="s">
        <v>51</v>
      </c>
      <c r="M14700" s="28" t="s">
        <v>51</v>
      </c>
      <c r="N14700" s="28" t="s">
        <v>51</v>
      </c>
    </row>
    <row r="14701" spans="1:14" hidden="1" outlineLevel="1" x14ac:dyDescent="0.15">
      <c r="A14701" s="23" t="str">
        <f>HYPERLINK("https://www.spark-marketing.ru/Card/Person/16742", "СПБ ГБСУСО ""ДОМ-ИНТЕРНАТ ""КРАСНАЯ ЗВЕЗДА""")</f>
        <v>СПБ ГБСУСО "ДОМ-ИНТЕРНАТ "КРАСНАЯ ЗВЕЗДА"</v>
      </c>
      <c r="B14701" s="24" t="s">
        <v>19504</v>
      </c>
      <c r="C14701" s="25">
        <v>13589.67</v>
      </c>
      <c r="D14701" s="22" t="s">
        <v>19495</v>
      </c>
      <c r="E14701" s="22" t="s">
        <v>19496</v>
      </c>
      <c r="F14701" s="23" t="str">
        <f t="shared" si="494"/>
        <v>Поставка электротехнических товаров</v>
      </c>
      <c r="G14701" s="22" t="s">
        <v>117</v>
      </c>
      <c r="H14701" s="22" t="s">
        <v>117</v>
      </c>
      <c r="I14701" s="26">
        <v>43644.385416666701</v>
      </c>
      <c r="J14701" s="28" t="s">
        <v>51</v>
      </c>
      <c r="K14701" s="28" t="s">
        <v>51</v>
      </c>
      <c r="L14701" s="28" t="s">
        <v>51</v>
      </c>
      <c r="M14701" s="28" t="s">
        <v>51</v>
      </c>
      <c r="N14701" s="28" t="s">
        <v>51</v>
      </c>
    </row>
    <row r="14702" spans="1:14" hidden="1" outlineLevel="1" x14ac:dyDescent="0.15">
      <c r="A14702" s="23" t="str">
        <f>HYPERLINK("https://www.spark-marketing.ru/Card/Person/16950", "СПБ ГБУ ГИМЦ ""ДОСТУПНАЯ СРЕДА""")</f>
        <v>СПБ ГБУ ГИМЦ "ДОСТУПНАЯ СРЕДА"</v>
      </c>
      <c r="B14702" s="24" t="s">
        <v>19505</v>
      </c>
      <c r="C14702" s="25">
        <v>23345.07</v>
      </c>
      <c r="D14702" s="22" t="s">
        <v>19495</v>
      </c>
      <c r="E14702" s="22" t="s">
        <v>19496</v>
      </c>
      <c r="F14702" s="23" t="str">
        <f t="shared" si="494"/>
        <v>Поставка электротехнических товаров</v>
      </c>
      <c r="G14702" s="22" t="s">
        <v>117</v>
      </c>
      <c r="H14702" s="22" t="s">
        <v>117</v>
      </c>
      <c r="I14702" s="26">
        <v>43644.385416666701</v>
      </c>
      <c r="J14702" s="28" t="s">
        <v>51</v>
      </c>
      <c r="K14702" s="28" t="s">
        <v>51</v>
      </c>
      <c r="L14702" s="28" t="s">
        <v>51</v>
      </c>
      <c r="M14702" s="28" t="s">
        <v>51</v>
      </c>
      <c r="N14702" s="28" t="s">
        <v>51</v>
      </c>
    </row>
    <row r="14703" spans="1:14" hidden="1" outlineLevel="1" x14ac:dyDescent="0.15">
      <c r="A14703" s="23" t="str">
        <f>HYPERLINK("https://www.spark-marketing.ru/Card/Person/17467", "СПБ ГБУ ""ЦЕНТР СОДЕЙСТВИЯ СЕМЕЙНОМУ ВОСПИТАНИЮ № 15""")</f>
        <v>СПБ ГБУ "ЦЕНТР СОДЕЙСТВИЯ СЕМЕЙНОМУ ВОСПИТАНИЮ № 15"</v>
      </c>
      <c r="B14703" s="24" t="s">
        <v>19506</v>
      </c>
      <c r="C14703" s="25">
        <v>66487.58</v>
      </c>
      <c r="D14703" s="22" t="s">
        <v>19495</v>
      </c>
      <c r="E14703" s="22" t="s">
        <v>19496</v>
      </c>
      <c r="F14703" s="23" t="str">
        <f t="shared" si="494"/>
        <v>Поставка электротехнических товаров</v>
      </c>
      <c r="G14703" s="22" t="s">
        <v>117</v>
      </c>
      <c r="H14703" s="22" t="s">
        <v>117</v>
      </c>
      <c r="I14703" s="26">
        <v>43644.385416666701</v>
      </c>
      <c r="J14703" s="28" t="s">
        <v>51</v>
      </c>
      <c r="K14703" s="28" t="s">
        <v>51</v>
      </c>
      <c r="L14703" s="28" t="s">
        <v>51</v>
      </c>
      <c r="M14703" s="28" t="s">
        <v>51</v>
      </c>
      <c r="N14703" s="28" t="s">
        <v>51</v>
      </c>
    </row>
    <row r="14704" spans="1:14" hidden="1" outlineLevel="1" x14ac:dyDescent="0.15">
      <c r="A14704" s="23" t="str">
        <f>HYPERLINK("https://www.spark-marketing.ru/Card/Person/17832", "СПБ ГБСУСО ""ДДИ №4""")</f>
        <v>СПБ ГБСУСО "ДДИ №4"</v>
      </c>
      <c r="B14704" s="24" t="s">
        <v>19507</v>
      </c>
      <c r="C14704" s="25">
        <v>365287.67</v>
      </c>
      <c r="D14704" s="22" t="s">
        <v>19495</v>
      </c>
      <c r="E14704" s="22" t="s">
        <v>19496</v>
      </c>
      <c r="F14704" s="23" t="str">
        <f t="shared" si="494"/>
        <v>Поставка электротехнических товаров</v>
      </c>
      <c r="G14704" s="22" t="s">
        <v>117</v>
      </c>
      <c r="H14704" s="22" t="s">
        <v>117</v>
      </c>
      <c r="I14704" s="26">
        <v>43644.385416666701</v>
      </c>
      <c r="J14704" s="28" t="s">
        <v>51</v>
      </c>
      <c r="K14704" s="28" t="s">
        <v>51</v>
      </c>
      <c r="L14704" s="28" t="s">
        <v>51</v>
      </c>
      <c r="M14704" s="28" t="s">
        <v>51</v>
      </c>
      <c r="N14704" s="28" t="s">
        <v>51</v>
      </c>
    </row>
    <row r="14705" spans="1:14" hidden="1" outlineLevel="1" x14ac:dyDescent="0.15">
      <c r="A14705" s="23" t="str">
        <f>HYPERLINK("https://www.spark-marketing.ru/Card/Person/19195", "СПБ ГБУ ""ДОМ-ИНТЕРНАТ № 5""")</f>
        <v>СПБ ГБУ "ДОМ-ИНТЕРНАТ № 5"</v>
      </c>
      <c r="B14705" s="24" t="s">
        <v>19508</v>
      </c>
      <c r="C14705" s="25">
        <v>83272.149999999994</v>
      </c>
      <c r="D14705" s="22" t="s">
        <v>19495</v>
      </c>
      <c r="E14705" s="22" t="s">
        <v>19496</v>
      </c>
      <c r="F14705" s="23" t="str">
        <f t="shared" si="494"/>
        <v>Поставка электротехнических товаров</v>
      </c>
      <c r="G14705" s="22" t="s">
        <v>117</v>
      </c>
      <c r="H14705" s="22" t="s">
        <v>117</v>
      </c>
      <c r="I14705" s="26">
        <v>43644.385416666701</v>
      </c>
      <c r="J14705" s="28" t="s">
        <v>51</v>
      </c>
      <c r="K14705" s="28" t="s">
        <v>51</v>
      </c>
      <c r="L14705" s="28" t="s">
        <v>51</v>
      </c>
      <c r="M14705" s="28" t="s">
        <v>51</v>
      </c>
      <c r="N14705" s="28" t="s">
        <v>51</v>
      </c>
    </row>
    <row r="14706" spans="1:14" hidden="1" outlineLevel="1" x14ac:dyDescent="0.15">
      <c r="A14706" s="23" t="str">
        <f>HYPERLINK("https://www.spark-marketing.ru/Card/Person/19370", "СПБ ГБУ ""ПАНСИОНАТ ""ЗАРЯ""")</f>
        <v>СПБ ГБУ "ПАНСИОНАТ "ЗАРЯ"</v>
      </c>
      <c r="B14706" s="24" t="s">
        <v>19509</v>
      </c>
      <c r="C14706" s="25">
        <v>1031756.75</v>
      </c>
      <c r="D14706" s="22" t="s">
        <v>19495</v>
      </c>
      <c r="E14706" s="22" t="s">
        <v>19496</v>
      </c>
      <c r="F14706" s="23" t="str">
        <f t="shared" si="494"/>
        <v>Поставка электротехнических товаров</v>
      </c>
      <c r="G14706" s="22" t="s">
        <v>117</v>
      </c>
      <c r="H14706" s="22" t="s">
        <v>117</v>
      </c>
      <c r="I14706" s="26">
        <v>43644.385416666701</v>
      </c>
      <c r="J14706" s="28" t="s">
        <v>51</v>
      </c>
      <c r="K14706" s="28" t="s">
        <v>51</v>
      </c>
      <c r="L14706" s="28" t="s">
        <v>51</v>
      </c>
      <c r="M14706" s="28" t="s">
        <v>51</v>
      </c>
      <c r="N14706" s="28" t="s">
        <v>51</v>
      </c>
    </row>
    <row r="14707" spans="1:14" hidden="1" outlineLevel="1" x14ac:dyDescent="0.15">
      <c r="A14707" s="23" t="str">
        <f>HYPERLINK("https://www.spark-marketing.ru/Card/Person/21116", "СПБ ГБСУСО ""ДОМ-ИНТЕРНАТ ВЕТЕРАНОВ ВОЙНЫ И ТРУДА № 2""")</f>
        <v>СПБ ГБСУСО "ДОМ-ИНТЕРНАТ ВЕТЕРАНОВ ВОЙНЫ И ТРУДА № 2"</v>
      </c>
      <c r="B14707" s="24" t="s">
        <v>19510</v>
      </c>
      <c r="C14707" s="25">
        <v>145140.35999999999</v>
      </c>
      <c r="D14707" s="22" t="s">
        <v>19495</v>
      </c>
      <c r="E14707" s="22" t="s">
        <v>19496</v>
      </c>
      <c r="F14707" s="23" t="str">
        <f t="shared" si="494"/>
        <v>Поставка электротехнических товаров</v>
      </c>
      <c r="G14707" s="22" t="s">
        <v>117</v>
      </c>
      <c r="H14707" s="22" t="s">
        <v>117</v>
      </c>
      <c r="I14707" s="26">
        <v>43644.385416666701</v>
      </c>
      <c r="J14707" s="28" t="s">
        <v>51</v>
      </c>
      <c r="K14707" s="28" t="s">
        <v>51</v>
      </c>
      <c r="L14707" s="28" t="s">
        <v>51</v>
      </c>
      <c r="M14707" s="28" t="s">
        <v>51</v>
      </c>
      <c r="N14707" s="28" t="s">
        <v>51</v>
      </c>
    </row>
    <row r="14708" spans="1:14" hidden="1" outlineLevel="1" x14ac:dyDescent="0.15">
      <c r="A14708" s="23" t="str">
        <f>HYPERLINK("https://www.spark-marketing.ru/Card/Person/21420", "СПБ ГБУ ""ЦЕНТР СОДЕЙСТВИЯ СЕМЕЙНОМУ ВОСПИТАНИЮ № 4""")</f>
        <v>СПБ ГБУ "ЦЕНТР СОДЕЙСТВИЯ СЕМЕЙНОМУ ВОСПИТАНИЮ № 4"</v>
      </c>
      <c r="B14708" s="24" t="s">
        <v>19511</v>
      </c>
      <c r="C14708" s="25">
        <v>12830.79</v>
      </c>
      <c r="D14708" s="22" t="s">
        <v>19495</v>
      </c>
      <c r="E14708" s="22" t="s">
        <v>19496</v>
      </c>
      <c r="F14708" s="23" t="str">
        <f t="shared" si="494"/>
        <v>Поставка электротехнических товаров</v>
      </c>
      <c r="G14708" s="22" t="s">
        <v>117</v>
      </c>
      <c r="H14708" s="22" t="s">
        <v>117</v>
      </c>
      <c r="I14708" s="26">
        <v>43644.385416666701</v>
      </c>
      <c r="J14708" s="28" t="s">
        <v>51</v>
      </c>
      <c r="K14708" s="28" t="s">
        <v>51</v>
      </c>
      <c r="L14708" s="28" t="s">
        <v>51</v>
      </c>
      <c r="M14708" s="28" t="s">
        <v>51</v>
      </c>
      <c r="N14708" s="28" t="s">
        <v>51</v>
      </c>
    </row>
    <row r="14709" spans="1:14" hidden="1" outlineLevel="1" x14ac:dyDescent="0.15">
      <c r="A14709" s="23" t="str">
        <f>HYPERLINK("https://www.spark-marketing.ru/Card/Person/22381", "СПБ ГБСУСО ""ДДИ № 1""")</f>
        <v>СПБ ГБСУСО "ДДИ № 1"</v>
      </c>
      <c r="B14709" s="24" t="s">
        <v>19512</v>
      </c>
      <c r="C14709" s="25">
        <v>13165.66</v>
      </c>
      <c r="D14709" s="22" t="s">
        <v>19495</v>
      </c>
      <c r="E14709" s="22" t="s">
        <v>19496</v>
      </c>
      <c r="F14709" s="23" t="str">
        <f t="shared" si="494"/>
        <v>Поставка электротехнических товаров</v>
      </c>
      <c r="G14709" s="22" t="s">
        <v>117</v>
      </c>
      <c r="H14709" s="22" t="s">
        <v>117</v>
      </c>
      <c r="I14709" s="26">
        <v>43644.385416666701</v>
      </c>
      <c r="J14709" s="28" t="s">
        <v>51</v>
      </c>
      <c r="K14709" s="28" t="s">
        <v>51</v>
      </c>
      <c r="L14709" s="28" t="s">
        <v>51</v>
      </c>
      <c r="M14709" s="28" t="s">
        <v>51</v>
      </c>
      <c r="N14709" s="28" t="s">
        <v>51</v>
      </c>
    </row>
    <row r="14710" spans="1:14" hidden="1" outlineLevel="1" x14ac:dyDescent="0.15">
      <c r="A14710" s="23" t="str">
        <f>HYPERLINK("https://www.spark-marketing.ru/Card/Person/22640", "СПБ ГБСУСО ""ПСИХОНЕВРОЛОГИЧЕСКИЙ ИНТЕРНАТ № 6""")</f>
        <v>СПБ ГБСУСО "ПСИХОНЕВРОЛОГИЧЕСКИЙ ИНТЕРНАТ № 6"</v>
      </c>
      <c r="B14710" s="24" t="s">
        <v>19513</v>
      </c>
      <c r="C14710" s="25">
        <v>333855.90000000002</v>
      </c>
      <c r="D14710" s="22" t="s">
        <v>19495</v>
      </c>
      <c r="E14710" s="22" t="s">
        <v>19496</v>
      </c>
      <c r="F14710" s="23" t="str">
        <f t="shared" si="494"/>
        <v>Поставка электротехнических товаров</v>
      </c>
      <c r="G14710" s="22" t="s">
        <v>117</v>
      </c>
      <c r="H14710" s="22" t="s">
        <v>117</v>
      </c>
      <c r="I14710" s="26">
        <v>43644.385416666701</v>
      </c>
      <c r="J14710" s="28" t="s">
        <v>51</v>
      </c>
      <c r="K14710" s="28" t="s">
        <v>51</v>
      </c>
      <c r="L14710" s="28" t="s">
        <v>51</v>
      </c>
      <c r="M14710" s="28" t="s">
        <v>51</v>
      </c>
      <c r="N14710" s="28" t="s">
        <v>51</v>
      </c>
    </row>
    <row r="14711" spans="1:14" hidden="1" outlineLevel="1" x14ac:dyDescent="0.15">
      <c r="A14711" s="23" t="str">
        <f>HYPERLINK("https://www.spark-marketing.ru/Card/Person/24729", "СПБ ГБСУСО ""ПНИ №1""")</f>
        <v>СПБ ГБСУСО "ПНИ №1"</v>
      </c>
      <c r="B14711" s="24" t="s">
        <v>19514</v>
      </c>
      <c r="C14711" s="25">
        <v>505233.38</v>
      </c>
      <c r="D14711" s="22" t="s">
        <v>19495</v>
      </c>
      <c r="E14711" s="22" t="s">
        <v>19496</v>
      </c>
      <c r="F14711" s="23" t="str">
        <f t="shared" si="494"/>
        <v>Поставка электротехнических товаров</v>
      </c>
      <c r="G14711" s="22" t="s">
        <v>117</v>
      </c>
      <c r="H14711" s="22" t="s">
        <v>117</v>
      </c>
      <c r="I14711" s="26">
        <v>43644.385416666701</v>
      </c>
      <c r="J14711" s="28" t="s">
        <v>51</v>
      </c>
      <c r="K14711" s="28" t="s">
        <v>51</v>
      </c>
      <c r="L14711" s="28" t="s">
        <v>51</v>
      </c>
      <c r="M14711" s="28" t="s">
        <v>51</v>
      </c>
      <c r="N14711" s="28" t="s">
        <v>51</v>
      </c>
    </row>
    <row r="14712" spans="1:14" hidden="1" outlineLevel="1" x14ac:dyDescent="0.15">
      <c r="A14712" s="23" t="str">
        <f>HYPERLINK("https://www.spark-marketing.ru/Card/Person/31762", "СПБ ГБСУ СО ДИПИ № 2")</f>
        <v>СПБ ГБСУ СО ДИПИ № 2</v>
      </c>
      <c r="B14712" s="24" t="s">
        <v>19515</v>
      </c>
      <c r="C14712" s="25">
        <v>45050.69</v>
      </c>
      <c r="D14712" s="22" t="s">
        <v>19495</v>
      </c>
      <c r="E14712" s="22" t="s">
        <v>19496</v>
      </c>
      <c r="F14712" s="23" t="str">
        <f t="shared" si="494"/>
        <v>Поставка электротехнических товаров</v>
      </c>
      <c r="G14712" s="22" t="s">
        <v>117</v>
      </c>
      <c r="H14712" s="22" t="s">
        <v>117</v>
      </c>
      <c r="I14712" s="26">
        <v>43644.385416666701</v>
      </c>
      <c r="J14712" s="28" t="s">
        <v>51</v>
      </c>
      <c r="K14712" s="28" t="s">
        <v>51</v>
      </c>
      <c r="L14712" s="28" t="s">
        <v>51</v>
      </c>
      <c r="M14712" s="28" t="s">
        <v>51</v>
      </c>
      <c r="N14712" s="28" t="s">
        <v>51</v>
      </c>
    </row>
    <row r="14713" spans="1:14" hidden="1" outlineLevel="1" x14ac:dyDescent="0.15">
      <c r="A14713" s="23" t="str">
        <f>HYPERLINK("https://www.spark-marketing.ru/Card/Person/35135", "СПБ ГБУ ""ЦЕНТР СОДЕЙСТВИЯ СЕМЕЙНОМУ ВОСПИТАНИЮ № 9""")</f>
        <v>СПБ ГБУ "ЦЕНТР СОДЕЙСТВИЯ СЕМЕЙНОМУ ВОСПИТАНИЮ № 9"</v>
      </c>
      <c r="B14713" s="24" t="s">
        <v>19516</v>
      </c>
      <c r="C14713" s="25">
        <v>200823.67</v>
      </c>
      <c r="D14713" s="22" t="s">
        <v>19495</v>
      </c>
      <c r="E14713" s="22" t="s">
        <v>19496</v>
      </c>
      <c r="F14713" s="23" t="str">
        <f t="shared" si="494"/>
        <v>Поставка электротехнических товаров</v>
      </c>
      <c r="G14713" s="22" t="s">
        <v>117</v>
      </c>
      <c r="H14713" s="22" t="s">
        <v>117</v>
      </c>
      <c r="I14713" s="26">
        <v>43644.385416666701</v>
      </c>
      <c r="J14713" s="28" t="s">
        <v>51</v>
      </c>
      <c r="K14713" s="28" t="s">
        <v>51</v>
      </c>
      <c r="L14713" s="28" t="s">
        <v>51</v>
      </c>
      <c r="M14713" s="28" t="s">
        <v>51</v>
      </c>
      <c r="N14713" s="28" t="s">
        <v>51</v>
      </c>
    </row>
    <row r="14714" spans="1:14" hidden="1" outlineLevel="1" x14ac:dyDescent="0.15">
      <c r="A14714" s="23" t="str">
        <f>HYPERLINK("https://www.spark-marketing.ru/Card/Person/35146", "СПБ ГБУ ""ЦЕНТР СОДЕЙСТВИЯ СЕМЕЙНОМУ ВОСПИТАНИЮ № 8""")</f>
        <v>СПБ ГБУ "ЦЕНТР СОДЕЙСТВИЯ СЕМЕЙНОМУ ВОСПИТАНИЮ № 8"</v>
      </c>
      <c r="B14714" s="24" t="s">
        <v>19517</v>
      </c>
      <c r="C14714" s="25">
        <v>152463.4</v>
      </c>
      <c r="D14714" s="22" t="s">
        <v>19495</v>
      </c>
      <c r="E14714" s="22" t="s">
        <v>19496</v>
      </c>
      <c r="F14714" s="23" t="str">
        <f t="shared" si="494"/>
        <v>Поставка электротехнических товаров</v>
      </c>
      <c r="G14714" s="22" t="s">
        <v>117</v>
      </c>
      <c r="H14714" s="22" t="s">
        <v>117</v>
      </c>
      <c r="I14714" s="26">
        <v>43644.385416666701</v>
      </c>
      <c r="J14714" s="28" t="s">
        <v>51</v>
      </c>
      <c r="K14714" s="28" t="s">
        <v>51</v>
      </c>
      <c r="L14714" s="28" t="s">
        <v>51</v>
      </c>
      <c r="M14714" s="28" t="s">
        <v>51</v>
      </c>
      <c r="N14714" s="28" t="s">
        <v>51</v>
      </c>
    </row>
    <row r="14715" spans="1:14" hidden="1" outlineLevel="1" x14ac:dyDescent="0.15">
      <c r="A14715" s="23" t="str">
        <f>HYPERLINK("https://www.spark-marketing.ru/Card/Person/37738", "СПБ ГБСУСО ""ДЕТСКИЙ ДОМ-ИНТЕРНАТ № 2""")</f>
        <v>СПБ ГБСУСО "ДЕТСКИЙ ДОМ-ИНТЕРНАТ № 2"</v>
      </c>
      <c r="B14715" s="24" t="s">
        <v>19518</v>
      </c>
      <c r="C14715" s="25">
        <v>6434.86</v>
      </c>
      <c r="D14715" s="22" t="s">
        <v>19495</v>
      </c>
      <c r="E14715" s="22" t="s">
        <v>19496</v>
      </c>
      <c r="F14715" s="23" t="str">
        <f t="shared" si="494"/>
        <v>Поставка электротехнических товаров</v>
      </c>
      <c r="G14715" s="22" t="s">
        <v>117</v>
      </c>
      <c r="H14715" s="22" t="s">
        <v>117</v>
      </c>
      <c r="I14715" s="26">
        <v>43644.385416666701</v>
      </c>
      <c r="J14715" s="28" t="s">
        <v>51</v>
      </c>
      <c r="K14715" s="28" t="s">
        <v>51</v>
      </c>
      <c r="L14715" s="28" t="s">
        <v>51</v>
      </c>
      <c r="M14715" s="28" t="s">
        <v>51</v>
      </c>
      <c r="N14715" s="28" t="s">
        <v>51</v>
      </c>
    </row>
    <row r="14716" spans="1:14" hidden="1" outlineLevel="1" x14ac:dyDescent="0.15">
      <c r="A14716" s="23" t="str">
        <f>HYPERLINK("https://www.spark-marketing.ru/Card/Person/37791", "СПБ ГБУ ""ДОК ""ДРУЖНЫХ""")</f>
        <v>СПБ ГБУ "ДОК "ДРУЖНЫХ"</v>
      </c>
      <c r="B14716" s="24" t="s">
        <v>19519</v>
      </c>
      <c r="C14716" s="25">
        <v>53542.78</v>
      </c>
      <c r="D14716" s="22" t="s">
        <v>19495</v>
      </c>
      <c r="E14716" s="22" t="s">
        <v>19496</v>
      </c>
      <c r="F14716" s="23" t="str">
        <f t="shared" si="494"/>
        <v>Поставка электротехнических товаров</v>
      </c>
      <c r="G14716" s="22" t="s">
        <v>117</v>
      </c>
      <c r="H14716" s="22" t="s">
        <v>117</v>
      </c>
      <c r="I14716" s="26">
        <v>43644.385416666701</v>
      </c>
      <c r="J14716" s="28" t="s">
        <v>51</v>
      </c>
      <c r="K14716" s="28" t="s">
        <v>51</v>
      </c>
      <c r="L14716" s="28" t="s">
        <v>51</v>
      </c>
      <c r="M14716" s="28" t="s">
        <v>51</v>
      </c>
      <c r="N14716" s="28" t="s">
        <v>51</v>
      </c>
    </row>
    <row r="14717" spans="1:14" hidden="1" outlineLevel="1" x14ac:dyDescent="0.15">
      <c r="A14717" s="23" t="str">
        <f>HYPERLINK("https://www.spark-marketing.ru/Card/Person/38359", "СПБ ГБУ ""КЦПЖ""")</f>
        <v>СПБ ГБУ "КЦПЖ"</v>
      </c>
      <c r="B14717" s="24" t="s">
        <v>19520</v>
      </c>
      <c r="C14717" s="25">
        <v>68583.759999999995</v>
      </c>
      <c r="D14717" s="22" t="s">
        <v>19495</v>
      </c>
      <c r="E14717" s="22" t="s">
        <v>19496</v>
      </c>
      <c r="F14717" s="23" t="str">
        <f t="shared" si="494"/>
        <v>Поставка электротехнических товаров</v>
      </c>
      <c r="G14717" s="22" t="s">
        <v>117</v>
      </c>
      <c r="H14717" s="22" t="s">
        <v>117</v>
      </c>
      <c r="I14717" s="26">
        <v>43644.385416666701</v>
      </c>
      <c r="J14717" s="28" t="s">
        <v>51</v>
      </c>
      <c r="K14717" s="28" t="s">
        <v>51</v>
      </c>
      <c r="L14717" s="28" t="s">
        <v>51</v>
      </c>
      <c r="M14717" s="28" t="s">
        <v>51</v>
      </c>
      <c r="N14717" s="28" t="s">
        <v>51</v>
      </c>
    </row>
    <row r="14718" spans="1:14" hidden="1" outlineLevel="1" x14ac:dyDescent="0.15">
      <c r="A14718" s="23" t="str">
        <f>HYPERLINK("https://www.spark-marketing.ru/Card/Person/44951", "СПБ ГБУ СО ЦСА")</f>
        <v>СПБ ГБУ СО ЦСА</v>
      </c>
      <c r="B14718" s="24" t="s">
        <v>19521</v>
      </c>
      <c r="C14718" s="25">
        <v>20942.439999999999</v>
      </c>
      <c r="D14718" s="22" t="s">
        <v>19495</v>
      </c>
      <c r="E14718" s="22" t="s">
        <v>19496</v>
      </c>
      <c r="F14718" s="23" t="str">
        <f t="shared" si="494"/>
        <v>Поставка электротехнических товаров</v>
      </c>
      <c r="G14718" s="22" t="s">
        <v>117</v>
      </c>
      <c r="H14718" s="22" t="s">
        <v>117</v>
      </c>
      <c r="I14718" s="26">
        <v>43644.385416666701</v>
      </c>
      <c r="J14718" s="28" t="s">
        <v>51</v>
      </c>
      <c r="K14718" s="28" t="s">
        <v>51</v>
      </c>
      <c r="L14718" s="28" t="s">
        <v>51</v>
      </c>
      <c r="M14718" s="28" t="s">
        <v>51</v>
      </c>
      <c r="N14718" s="28" t="s">
        <v>51</v>
      </c>
    </row>
    <row r="14719" spans="1:14" hidden="1" outlineLevel="1" x14ac:dyDescent="0.15">
      <c r="A14719" s="23" t="str">
        <f>HYPERLINK("https://www.spark-marketing.ru/Card/Person/49281", "СПБ ГБСУСО ""ДИПИ""")</f>
        <v>СПБ ГБСУСО "ДИПИ"</v>
      </c>
      <c r="B14719" s="24" t="s">
        <v>19522</v>
      </c>
      <c r="C14719" s="25">
        <v>354665.6</v>
      </c>
      <c r="D14719" s="22" t="s">
        <v>19495</v>
      </c>
      <c r="E14719" s="22" t="s">
        <v>19496</v>
      </c>
      <c r="F14719" s="23" t="str">
        <f t="shared" si="494"/>
        <v>Поставка электротехнических товаров</v>
      </c>
      <c r="G14719" s="22" t="s">
        <v>117</v>
      </c>
      <c r="H14719" s="22" t="s">
        <v>117</v>
      </c>
      <c r="I14719" s="26">
        <v>43644.385416666701</v>
      </c>
      <c r="J14719" s="28" t="s">
        <v>51</v>
      </c>
      <c r="K14719" s="28" t="s">
        <v>51</v>
      </c>
      <c r="L14719" s="28" t="s">
        <v>51</v>
      </c>
      <c r="M14719" s="28" t="s">
        <v>51</v>
      </c>
      <c r="N14719" s="28" t="s">
        <v>51</v>
      </c>
    </row>
    <row r="14720" spans="1:14" hidden="1" outlineLevel="1" x14ac:dyDescent="0.15">
      <c r="A14720" s="23" t="str">
        <f>HYPERLINK("https://www.spark-marketing.ru/Card/Person/55859", "СПБ ГКУ ""ЦЕНТР УЧЕТА""")</f>
        <v>СПБ ГКУ "ЦЕНТР УЧЕТА"</v>
      </c>
      <c r="B14720" s="24" t="s">
        <v>19523</v>
      </c>
      <c r="C14720" s="25">
        <v>161115.57</v>
      </c>
      <c r="D14720" s="22" t="s">
        <v>19495</v>
      </c>
      <c r="E14720" s="22" t="s">
        <v>19496</v>
      </c>
      <c r="F14720" s="23" t="str">
        <f t="shared" si="494"/>
        <v>Поставка электротехнических товаров</v>
      </c>
      <c r="G14720" s="22" t="s">
        <v>117</v>
      </c>
      <c r="H14720" s="22" t="s">
        <v>117</v>
      </c>
      <c r="I14720" s="26">
        <v>43644.385416666701</v>
      </c>
      <c r="J14720" s="28" t="s">
        <v>51</v>
      </c>
      <c r="K14720" s="28" t="s">
        <v>51</v>
      </c>
      <c r="L14720" s="28" t="s">
        <v>51</v>
      </c>
      <c r="M14720" s="28" t="s">
        <v>51</v>
      </c>
      <c r="N14720" s="28" t="s">
        <v>51</v>
      </c>
    </row>
    <row r="14721" spans="1:14" hidden="1" outlineLevel="1" x14ac:dyDescent="0.15">
      <c r="A14721" s="23" t="str">
        <f>HYPERLINK("https://www.spark-marketing.ru/Card/Person/59969", "СПБ ГБУ ""ЦЕНТР СОДЕЙСТВИЯ СЕМЕЙНОМУ ВОСПИТАНИЮ №5""")</f>
        <v>СПБ ГБУ "ЦЕНТР СОДЕЙСТВИЯ СЕМЕЙНОМУ ВОСПИТАНИЮ №5"</v>
      </c>
      <c r="B14721" s="24" t="s">
        <v>19524</v>
      </c>
      <c r="C14721" s="25">
        <v>12009.6</v>
      </c>
      <c r="D14721" s="22" t="s">
        <v>19495</v>
      </c>
      <c r="E14721" s="22" t="s">
        <v>19496</v>
      </c>
      <c r="F14721" s="23" t="str">
        <f t="shared" si="494"/>
        <v>Поставка электротехнических товаров</v>
      </c>
      <c r="G14721" s="22" t="s">
        <v>117</v>
      </c>
      <c r="H14721" s="22" t="s">
        <v>117</v>
      </c>
      <c r="I14721" s="26">
        <v>43644.385416666701</v>
      </c>
      <c r="J14721" s="28" t="s">
        <v>51</v>
      </c>
      <c r="K14721" s="28" t="s">
        <v>51</v>
      </c>
      <c r="L14721" s="28" t="s">
        <v>51</v>
      </c>
      <c r="M14721" s="28" t="s">
        <v>51</v>
      </c>
      <c r="N14721" s="28" t="s">
        <v>51</v>
      </c>
    </row>
    <row r="14722" spans="1:14" hidden="1" outlineLevel="1" x14ac:dyDescent="0.15">
      <c r="A14722" s="23" t="str">
        <f>HYPERLINK("https://www.spark-marketing.ru/Card/Person/60536", "СПБ ГБУ ""ЦЕНТР СОДЕЙСТВИЯ СЕМЕЙНОМУ ВОСПИТАНИЮ № 11""")</f>
        <v>СПБ ГБУ "ЦЕНТР СОДЕЙСТВИЯ СЕМЕЙНОМУ ВОСПИТАНИЮ № 11"</v>
      </c>
      <c r="B14722" s="24" t="s">
        <v>19525</v>
      </c>
      <c r="C14722" s="25">
        <v>308920.69</v>
      </c>
      <c r="D14722" s="22" t="s">
        <v>19495</v>
      </c>
      <c r="E14722" s="22" t="s">
        <v>19496</v>
      </c>
      <c r="F14722" s="23" t="str">
        <f t="shared" si="494"/>
        <v>Поставка электротехнических товаров</v>
      </c>
      <c r="G14722" s="22" t="s">
        <v>117</v>
      </c>
      <c r="H14722" s="22" t="s">
        <v>117</v>
      </c>
      <c r="I14722" s="26">
        <v>43644.385416666701</v>
      </c>
      <c r="J14722" s="28" t="s">
        <v>51</v>
      </c>
      <c r="K14722" s="28" t="s">
        <v>51</v>
      </c>
      <c r="L14722" s="28" t="s">
        <v>51</v>
      </c>
      <c r="M14722" s="28" t="s">
        <v>51</v>
      </c>
      <c r="N14722" s="28" t="s">
        <v>51</v>
      </c>
    </row>
    <row r="14723" spans="1:14" hidden="1" outlineLevel="1" x14ac:dyDescent="0.15">
      <c r="A14723" s="23" t="str">
        <f>HYPERLINK("https://www.spark-marketing.ru/Card/Person/61238", "СПБ ГБУ ""ЦЕНТР СОДЕЙСТВИЯ СЕМЕЙНОМУ ВОСПИТАНИЮ № 3""")</f>
        <v>СПБ ГБУ "ЦЕНТР СОДЕЙСТВИЯ СЕМЕЙНОМУ ВОСПИТАНИЮ № 3"</v>
      </c>
      <c r="B14723" s="24" t="s">
        <v>19526</v>
      </c>
      <c r="C14723" s="25">
        <v>417496.07</v>
      </c>
      <c r="D14723" s="22" t="s">
        <v>19495</v>
      </c>
      <c r="E14723" s="22" t="s">
        <v>19496</v>
      </c>
      <c r="F14723" s="23" t="str">
        <f t="shared" si="494"/>
        <v>Поставка электротехнических товаров</v>
      </c>
      <c r="G14723" s="22" t="s">
        <v>117</v>
      </c>
      <c r="H14723" s="22" t="s">
        <v>117</v>
      </c>
      <c r="I14723" s="26">
        <v>43644.385416666701</v>
      </c>
      <c r="J14723" s="28" t="s">
        <v>51</v>
      </c>
      <c r="K14723" s="28" t="s">
        <v>51</v>
      </c>
      <c r="L14723" s="28" t="s">
        <v>51</v>
      </c>
      <c r="M14723" s="28" t="s">
        <v>51</v>
      </c>
      <c r="N14723" s="28" t="s">
        <v>51</v>
      </c>
    </row>
    <row r="14724" spans="1:14" hidden="1" outlineLevel="1" x14ac:dyDescent="0.15">
      <c r="A14724" s="23" t="str">
        <f>HYPERLINK("https://www.spark-marketing.ru/Card/Person/65971", "СПБ ГБСУСО ""ДДИ № 3 """)</f>
        <v>СПБ ГБСУСО "ДДИ № 3 "</v>
      </c>
      <c r="B14724" s="24" t="s">
        <v>19527</v>
      </c>
      <c r="C14724" s="25">
        <v>19872.439999999999</v>
      </c>
      <c r="D14724" s="22" t="s">
        <v>19495</v>
      </c>
      <c r="E14724" s="22" t="s">
        <v>19496</v>
      </c>
      <c r="F14724" s="23" t="str">
        <f t="shared" si="494"/>
        <v>Поставка электротехнических товаров</v>
      </c>
      <c r="G14724" s="22" t="s">
        <v>117</v>
      </c>
      <c r="H14724" s="22" t="s">
        <v>117</v>
      </c>
      <c r="I14724" s="26">
        <v>43644.385416666701</v>
      </c>
      <c r="J14724" s="28" t="s">
        <v>51</v>
      </c>
      <c r="K14724" s="28" t="s">
        <v>51</v>
      </c>
      <c r="L14724" s="28" t="s">
        <v>51</v>
      </c>
      <c r="M14724" s="28" t="s">
        <v>51</v>
      </c>
      <c r="N14724" s="28" t="s">
        <v>51</v>
      </c>
    </row>
    <row r="14725" spans="1:14" hidden="1" outlineLevel="1" x14ac:dyDescent="0.15">
      <c r="A14725" s="23" t="str">
        <f>HYPERLINK("https://www.spark-marketing.ru/Card/Person/66604", "СПБ ГБУ ""ЦСРИ""")</f>
        <v>СПБ ГБУ "ЦСРИ"</v>
      </c>
      <c r="B14725" s="24" t="s">
        <v>19528</v>
      </c>
      <c r="C14725" s="25">
        <v>215215.62</v>
      </c>
      <c r="D14725" s="22" t="s">
        <v>19495</v>
      </c>
      <c r="E14725" s="22" t="s">
        <v>19496</v>
      </c>
      <c r="F14725" s="23" t="str">
        <f t="shared" si="494"/>
        <v>Поставка электротехнических товаров</v>
      </c>
      <c r="G14725" s="22" t="s">
        <v>117</v>
      </c>
      <c r="H14725" s="22" t="s">
        <v>117</v>
      </c>
      <c r="I14725" s="26">
        <v>43644.385416666701</v>
      </c>
      <c r="J14725" s="28" t="s">
        <v>51</v>
      </c>
      <c r="K14725" s="28" t="s">
        <v>51</v>
      </c>
      <c r="L14725" s="28" t="s">
        <v>51</v>
      </c>
      <c r="M14725" s="28" t="s">
        <v>51</v>
      </c>
      <c r="N14725" s="28" t="s">
        <v>51</v>
      </c>
    </row>
    <row r="14726" spans="1:14" hidden="1" outlineLevel="1" x14ac:dyDescent="0.15">
      <c r="A14726" s="23" t="str">
        <f>HYPERLINK("https://www.spark-marketing.ru/Card/Person/90622", "СПБ ГБУ ""ЦЕНТР СОДЕЙСТВИЯ СЕМЕЙНОМУ ВОСПИТАНИЮ № 14""")</f>
        <v>СПБ ГБУ "ЦЕНТР СОДЕЙСТВИЯ СЕМЕЙНОМУ ВОСПИТАНИЮ № 14"</v>
      </c>
      <c r="B14726" s="24" t="s">
        <v>19529</v>
      </c>
      <c r="C14726" s="25">
        <v>431725.68</v>
      </c>
      <c r="D14726" s="22" t="s">
        <v>19495</v>
      </c>
      <c r="E14726" s="22" t="s">
        <v>19496</v>
      </c>
      <c r="F14726" s="23" t="str">
        <f t="shared" si="494"/>
        <v>Поставка электротехнических товаров</v>
      </c>
      <c r="G14726" s="22" t="s">
        <v>117</v>
      </c>
      <c r="H14726" s="22" t="s">
        <v>117</v>
      </c>
      <c r="I14726" s="26">
        <v>43644.385416666701</v>
      </c>
      <c r="J14726" s="28" t="s">
        <v>51</v>
      </c>
      <c r="K14726" s="28" t="s">
        <v>51</v>
      </c>
      <c r="L14726" s="28" t="s">
        <v>51</v>
      </c>
      <c r="M14726" s="28" t="s">
        <v>51</v>
      </c>
      <c r="N14726" s="28" t="s">
        <v>51</v>
      </c>
    </row>
    <row r="14727" spans="1:14" hidden="1" outlineLevel="1" x14ac:dyDescent="0.15">
      <c r="A14727" s="23" t="str">
        <f>HYPERLINK("https://www.spark-marketing.ru/Card/Person/103674", "СПБ ГБУСО СОЦИАЛЬНЫЙ ПРИЮТ ДЛЯ ДЕТЕЙ ""ТРАНЗИТ""")</f>
        <v>СПБ ГБУСО СОЦИАЛЬНЫЙ ПРИЮТ ДЛЯ ДЕТЕЙ "ТРАНЗИТ"</v>
      </c>
      <c r="B14727" s="24" t="s">
        <v>19530</v>
      </c>
      <c r="C14727" s="25">
        <v>70214.929999999993</v>
      </c>
      <c r="D14727" s="22" t="s">
        <v>19495</v>
      </c>
      <c r="E14727" s="22" t="s">
        <v>19496</v>
      </c>
      <c r="F14727" s="23" t="str">
        <f t="shared" si="494"/>
        <v>Поставка электротехнических товаров</v>
      </c>
      <c r="G14727" s="22" t="s">
        <v>117</v>
      </c>
      <c r="H14727" s="22" t="s">
        <v>117</v>
      </c>
      <c r="I14727" s="26">
        <v>43644.385416666701</v>
      </c>
      <c r="J14727" s="28" t="s">
        <v>51</v>
      </c>
      <c r="K14727" s="28" t="s">
        <v>51</v>
      </c>
      <c r="L14727" s="28" t="s">
        <v>51</v>
      </c>
      <c r="M14727" s="28" t="s">
        <v>51</v>
      </c>
      <c r="N14727" s="28" t="s">
        <v>51</v>
      </c>
    </row>
    <row r="14728" spans="1:14" hidden="1" outlineLevel="1" x14ac:dyDescent="0.15">
      <c r="A14728" s="23" t="str">
        <f>HYPERLINK("https://www.spark-marketing.ru/Card/Person/126898", "СПБ ГБУ ""ЦЕНТР СОДЕЙСТВИЯ СЕМЕЙНОМУ ВОСПИТАНИЮ № 10""")</f>
        <v>СПБ ГБУ "ЦЕНТР СОДЕЙСТВИЯ СЕМЕЙНОМУ ВОСПИТАНИЮ № 10"</v>
      </c>
      <c r="B14728" s="24" t="s">
        <v>19531</v>
      </c>
      <c r="C14728" s="25">
        <v>39211.32</v>
      </c>
      <c r="D14728" s="22" t="s">
        <v>19495</v>
      </c>
      <c r="E14728" s="22" t="s">
        <v>19496</v>
      </c>
      <c r="F14728" s="23" t="str">
        <f t="shared" si="494"/>
        <v>Поставка электротехнических товаров</v>
      </c>
      <c r="G14728" s="22" t="s">
        <v>162</v>
      </c>
      <c r="H14728" s="22" t="s">
        <v>163</v>
      </c>
      <c r="I14728" s="26">
        <v>43644.385416666701</v>
      </c>
      <c r="J14728" s="28" t="s">
        <v>51</v>
      </c>
      <c r="K14728" s="28" t="s">
        <v>51</v>
      </c>
      <c r="L14728" s="28" t="s">
        <v>51</v>
      </c>
      <c r="M14728" s="28" t="s">
        <v>51</v>
      </c>
      <c r="N14728" s="28" t="s">
        <v>51</v>
      </c>
    </row>
    <row r="14729" spans="1:14" hidden="1" outlineLevel="1" x14ac:dyDescent="0.15">
      <c r="A14729" s="23" t="str">
        <f>HYPERLINK("https://www.spark-marketing.ru/Card/Person/140633", "ЦМГС")</f>
        <v>ЦМГС</v>
      </c>
      <c r="B14729" s="24" t="s">
        <v>19532</v>
      </c>
      <c r="C14729" s="25">
        <v>55187.46</v>
      </c>
      <c r="D14729" s="22" t="s">
        <v>19495</v>
      </c>
      <c r="E14729" s="22" t="s">
        <v>19496</v>
      </c>
      <c r="F14729" s="23" t="str">
        <f t="shared" si="494"/>
        <v>Поставка электротехнических товаров</v>
      </c>
      <c r="G14729" s="22" t="s">
        <v>117</v>
      </c>
      <c r="H14729" s="22" t="s">
        <v>117</v>
      </c>
      <c r="I14729" s="26">
        <v>43644.385416666701</v>
      </c>
      <c r="J14729" s="28" t="s">
        <v>51</v>
      </c>
      <c r="K14729" s="28" t="s">
        <v>51</v>
      </c>
      <c r="L14729" s="28" t="s">
        <v>51</v>
      </c>
      <c r="M14729" s="28" t="s">
        <v>51</v>
      </c>
      <c r="N14729" s="28" t="s">
        <v>51</v>
      </c>
    </row>
    <row r="14730" spans="1:14" hidden="1" outlineLevel="1" x14ac:dyDescent="0.2">
      <c r="A14730" s="28" t="s">
        <v>51</v>
      </c>
      <c r="B14730" s="28" t="s">
        <v>51</v>
      </c>
      <c r="C14730" s="28" t="s">
        <v>51</v>
      </c>
      <c r="D14730" s="22" t="s">
        <v>19495</v>
      </c>
      <c r="E14730" s="22" t="s">
        <v>19496</v>
      </c>
      <c r="F14730" s="23" t="str">
        <f t="shared" si="494"/>
        <v>Поставка электротехнических товаров</v>
      </c>
      <c r="G14730" s="22" t="s">
        <v>51</v>
      </c>
      <c r="H14730" s="22" t="s">
        <v>51</v>
      </c>
      <c r="I14730" s="26">
        <v>43644.385416666701</v>
      </c>
      <c r="J14730" s="23" t="str">
        <f>HYPERLINK("https://www.spark-marketing.ru/Card/Person/6299870", "ООО ""ПЕГАС""")</f>
        <v>ООО "ПЕГАС"</v>
      </c>
      <c r="K14730" s="24" t="s">
        <v>19533</v>
      </c>
      <c r="L14730" s="28" t="s">
        <v>51</v>
      </c>
      <c r="M14730" s="25">
        <v>7251549.3700000001</v>
      </c>
      <c r="N14730" s="27">
        <v>1.9999999540511987E-2</v>
      </c>
    </row>
    <row r="14731" spans="1:14" hidden="1" outlineLevel="1" x14ac:dyDescent="0.2">
      <c r="A14731" s="28" t="s">
        <v>51</v>
      </c>
      <c r="B14731" s="28" t="s">
        <v>51</v>
      </c>
      <c r="C14731" s="28" t="s">
        <v>51</v>
      </c>
      <c r="D14731" s="22" t="s">
        <v>19495</v>
      </c>
      <c r="E14731" s="22" t="s">
        <v>19496</v>
      </c>
      <c r="F14731" s="23" t="str">
        <f t="shared" si="494"/>
        <v>Поставка электротехнических товаров</v>
      </c>
      <c r="G14731" s="22" t="s">
        <v>51</v>
      </c>
      <c r="H14731" s="22" t="s">
        <v>51</v>
      </c>
      <c r="I14731" s="26">
        <v>43644.385416666701</v>
      </c>
      <c r="J14731" s="23" t="str">
        <f>HYPERLINK("https://www.spark-marketing.ru/Card/Person/132028", "ООО ""ПРИНТПРОФФ""")</f>
        <v>ООО "ПРИНТПРОФФ"</v>
      </c>
      <c r="K14731" s="24" t="s">
        <v>19534</v>
      </c>
      <c r="L14731" s="28" t="s">
        <v>51</v>
      </c>
      <c r="M14731" s="25">
        <v>7103558.5700000003</v>
      </c>
      <c r="N14731" s="27">
        <v>3.9999999081023974E-2</v>
      </c>
    </row>
    <row r="14732" spans="1:14" hidden="1" outlineLevel="1" x14ac:dyDescent="0.2">
      <c r="A14732" s="28" t="s">
        <v>51</v>
      </c>
      <c r="B14732" s="28" t="s">
        <v>51</v>
      </c>
      <c r="C14732" s="28" t="s">
        <v>51</v>
      </c>
      <c r="D14732" s="22" t="s">
        <v>19495</v>
      </c>
      <c r="E14732" s="22" t="s">
        <v>19496</v>
      </c>
      <c r="F14732" s="23" t="str">
        <f t="shared" si="494"/>
        <v>Поставка электротехнических товаров</v>
      </c>
      <c r="G14732" s="22" t="s">
        <v>51</v>
      </c>
      <c r="H14732" s="22" t="s">
        <v>51</v>
      </c>
      <c r="I14732" s="26">
        <v>43644.385416666701</v>
      </c>
      <c r="J14732" s="23" t="str">
        <f>HYPERLINK("https://www.spark-marketing.ru/Card/Person/1806792", "Чапоргин Игорь Олегович")</f>
        <v>Чапоргин Игорь Олегович</v>
      </c>
      <c r="K14732" s="24" t="s">
        <v>19535</v>
      </c>
      <c r="L14732" s="22" t="s">
        <v>10</v>
      </c>
      <c r="M14732" s="25">
        <v>7066560.8700000001</v>
      </c>
      <c r="N14732" s="27">
        <v>4.499999896615197E-2</v>
      </c>
    </row>
    <row r="14733" spans="1:14" x14ac:dyDescent="0.2">
      <c r="A14733" s="23" t="s">
        <v>114</v>
      </c>
      <c r="B14733" s="28" t="s">
        <v>51</v>
      </c>
      <c r="C14733" s="25">
        <v>18836660</v>
      </c>
      <c r="D14733" s="22" t="s">
        <v>19536</v>
      </c>
      <c r="E14733" s="22" t="s">
        <v>48</v>
      </c>
      <c r="F14733" s="23" t="str">
        <f t="shared" ref="F14733:F14739" si="495">HYPERLINK("https://www.spark-marketing.ru/Card/Lot/71773527",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733" s="22" t="s">
        <v>51</v>
      </c>
      <c r="H14733" s="22" t="s">
        <v>51</v>
      </c>
      <c r="I14733" s="26">
        <v>43644.382638888899</v>
      </c>
      <c r="J14733" s="23" t="str">
        <f t="shared" ref="J14733:J14739" si="496">HYPERLINK("https://www.spark-marketing.ru/Card/Person/33643", "ООО ""ТВЕРСКОЙ КОМБИНАТ ШКОЛЬНОГО ПИТАНИЯ""")</f>
        <v>ООО "ТВЕРСКОЙ КОМБИНАТ ШКОЛЬНОГО ПИТАНИЯ"</v>
      </c>
      <c r="K14733" s="24" t="s">
        <v>16891</v>
      </c>
      <c r="L14733" s="22" t="s">
        <v>10</v>
      </c>
      <c r="M14733" s="25">
        <v>18836660</v>
      </c>
      <c r="N14733" s="27">
        <v>0</v>
      </c>
    </row>
    <row r="14734" spans="1:14" hidden="1" outlineLevel="1" x14ac:dyDescent="0.2">
      <c r="A14734" s="23" t="str">
        <f>HYPERLINK("https://www.spark-marketing.ru/Card/Person/87304", "МБДОУ ДЕТСКИЙ САД № 116")</f>
        <v>МБДОУ ДЕТСКИЙ САД № 116</v>
      </c>
      <c r="B14734" s="24" t="s">
        <v>19537</v>
      </c>
      <c r="C14734" s="25">
        <v>3111124</v>
      </c>
      <c r="D14734" s="22" t="s">
        <v>19536</v>
      </c>
      <c r="E14734" s="22" t="s">
        <v>48</v>
      </c>
      <c r="F14734" s="23" t="str">
        <f t="shared" si="495"/>
        <v>Оказание услуг по организации питания в дошкольных образовательных учреждениях г. Твери</v>
      </c>
      <c r="G14734" s="22" t="s">
        <v>137</v>
      </c>
      <c r="H14734" s="22" t="s">
        <v>138</v>
      </c>
      <c r="I14734" s="26">
        <v>43644.382638888899</v>
      </c>
      <c r="J14734" s="23" t="str">
        <f t="shared" si="496"/>
        <v>ООО "ТВЕРСКОЙ КОМБИНАТ ШКОЛЬНОГО ПИТАНИЯ"</v>
      </c>
      <c r="K14734" s="24" t="s">
        <v>16891</v>
      </c>
      <c r="L14734" s="22" t="s">
        <v>10</v>
      </c>
      <c r="M14734" s="28" t="s">
        <v>51</v>
      </c>
      <c r="N14734" s="27">
        <v>0</v>
      </c>
    </row>
    <row r="14735" spans="1:14" hidden="1" outlineLevel="1" x14ac:dyDescent="0.2">
      <c r="A14735" s="23" t="str">
        <f>HYPERLINK("https://www.spark-marketing.ru/Card/Person/87308", "МБДОУ ДЕТСКИЙ САД № 148")</f>
        <v>МБДОУ ДЕТСКИЙ САД № 148</v>
      </c>
      <c r="B14735" s="24" t="s">
        <v>19538</v>
      </c>
      <c r="C14735" s="25">
        <v>2700603</v>
      </c>
      <c r="D14735" s="22" t="s">
        <v>19536</v>
      </c>
      <c r="E14735" s="22" t="s">
        <v>48</v>
      </c>
      <c r="F14735" s="23" t="str">
        <f t="shared" si="495"/>
        <v>Оказание услуг по организации питания в дошкольных образовательных учреждениях г. Твери</v>
      </c>
      <c r="G14735" s="22" t="s">
        <v>137</v>
      </c>
      <c r="H14735" s="22" t="s">
        <v>138</v>
      </c>
      <c r="I14735" s="26">
        <v>43644.382638888899</v>
      </c>
      <c r="J14735" s="23" t="str">
        <f t="shared" si="496"/>
        <v>ООО "ТВЕРСКОЙ КОМБИНАТ ШКОЛЬНОГО ПИТАНИЯ"</v>
      </c>
      <c r="K14735" s="24" t="s">
        <v>16891</v>
      </c>
      <c r="L14735" s="22" t="s">
        <v>10</v>
      </c>
      <c r="M14735" s="28" t="s">
        <v>51</v>
      </c>
      <c r="N14735" s="27">
        <v>0</v>
      </c>
    </row>
    <row r="14736" spans="1:14" hidden="1" outlineLevel="1" x14ac:dyDescent="0.2">
      <c r="A14736" s="23" t="str">
        <f>HYPERLINK("https://www.spark-marketing.ru/Card/Person/87310", "МБДОУ ДЕТСКИЙ САД №118")</f>
        <v>МБДОУ ДЕТСКИЙ САД №118</v>
      </c>
      <c r="B14736" s="24" t="s">
        <v>19539</v>
      </c>
      <c r="C14736" s="25">
        <v>3017490</v>
      </c>
      <c r="D14736" s="22" t="s">
        <v>19536</v>
      </c>
      <c r="E14736" s="22" t="s">
        <v>48</v>
      </c>
      <c r="F14736" s="23" t="str">
        <f t="shared" si="495"/>
        <v>Оказание услуг по организации питания в дошкольных образовательных учреждениях г. Твери</v>
      </c>
      <c r="G14736" s="22" t="s">
        <v>137</v>
      </c>
      <c r="H14736" s="22" t="s">
        <v>138</v>
      </c>
      <c r="I14736" s="26">
        <v>43644.382638888899</v>
      </c>
      <c r="J14736" s="23" t="str">
        <f t="shared" si="496"/>
        <v>ООО "ТВЕРСКОЙ КОМБИНАТ ШКОЛЬНОГО ПИТАНИЯ"</v>
      </c>
      <c r="K14736" s="24" t="s">
        <v>16891</v>
      </c>
      <c r="L14736" s="22" t="s">
        <v>10</v>
      </c>
      <c r="M14736" s="28" t="s">
        <v>51</v>
      </c>
      <c r="N14736" s="27">
        <v>0</v>
      </c>
    </row>
    <row r="14737" spans="1:14" hidden="1" outlineLevel="1" x14ac:dyDescent="0.2">
      <c r="A14737" s="23" t="str">
        <f>HYPERLINK("https://www.spark-marketing.ru/Card/Person/87673", "МБДОУ ДЕТСКИЙ САД № 35")</f>
        <v>МБДОУ ДЕТСКИЙ САД № 35</v>
      </c>
      <c r="B14737" s="24" t="s">
        <v>19540</v>
      </c>
      <c r="C14737" s="25">
        <v>4685039</v>
      </c>
      <c r="D14737" s="22" t="s">
        <v>19536</v>
      </c>
      <c r="E14737" s="22" t="s">
        <v>48</v>
      </c>
      <c r="F14737" s="23" t="str">
        <f t="shared" si="495"/>
        <v>Оказание услуг по организации питания в дошкольных образовательных учреждениях г. Твери</v>
      </c>
      <c r="G14737" s="22" t="s">
        <v>137</v>
      </c>
      <c r="H14737" s="22" t="s">
        <v>138</v>
      </c>
      <c r="I14737" s="26">
        <v>43644.382638888899</v>
      </c>
      <c r="J14737" s="23" t="str">
        <f t="shared" si="496"/>
        <v>ООО "ТВЕРСКОЙ КОМБИНАТ ШКОЛЬНОГО ПИТАНИЯ"</v>
      </c>
      <c r="K14737" s="24" t="s">
        <v>16891</v>
      </c>
      <c r="L14737" s="22" t="s">
        <v>10</v>
      </c>
      <c r="M14737" s="28" t="s">
        <v>51</v>
      </c>
      <c r="N14737" s="27">
        <v>0</v>
      </c>
    </row>
    <row r="14738" spans="1:14" hidden="1" outlineLevel="1" x14ac:dyDescent="0.2">
      <c r="A14738" s="23" t="str">
        <f>HYPERLINK("https://www.spark-marketing.ru/Card/Person/87710", "МБДОУ ДЕТСКИЙ САД №15")</f>
        <v>МБДОУ ДЕТСКИЙ САД №15</v>
      </c>
      <c r="B14738" s="24" t="s">
        <v>19541</v>
      </c>
      <c r="C14738" s="25">
        <v>3334329</v>
      </c>
      <c r="D14738" s="22" t="s">
        <v>19536</v>
      </c>
      <c r="E14738" s="22" t="s">
        <v>48</v>
      </c>
      <c r="F14738" s="23" t="str">
        <f t="shared" si="495"/>
        <v>Оказание услуг по организации питания в дошкольных образовательных учреждениях г. Твери</v>
      </c>
      <c r="G14738" s="22" t="s">
        <v>137</v>
      </c>
      <c r="H14738" s="22" t="s">
        <v>138</v>
      </c>
      <c r="I14738" s="26">
        <v>43644.382638888899</v>
      </c>
      <c r="J14738" s="23" t="str">
        <f t="shared" si="496"/>
        <v>ООО "ТВЕРСКОЙ КОМБИНАТ ШКОЛЬНОГО ПИТАНИЯ"</v>
      </c>
      <c r="K14738" s="24" t="s">
        <v>16891</v>
      </c>
      <c r="L14738" s="22" t="s">
        <v>10</v>
      </c>
      <c r="M14738" s="28" t="s">
        <v>51</v>
      </c>
      <c r="N14738" s="27">
        <v>0</v>
      </c>
    </row>
    <row r="14739" spans="1:14" hidden="1" outlineLevel="1" x14ac:dyDescent="0.2">
      <c r="A14739" s="23" t="str">
        <f>HYPERLINK("https://www.spark-marketing.ru/Card/Person/89154", "МБДОУ ДЕТСКИЙ САД № 105")</f>
        <v>МБДОУ ДЕТСКИЙ САД № 105</v>
      </c>
      <c r="B14739" s="24" t="s">
        <v>19542</v>
      </c>
      <c r="C14739" s="25">
        <v>1988075</v>
      </c>
      <c r="D14739" s="22" t="s">
        <v>19536</v>
      </c>
      <c r="E14739" s="22" t="s">
        <v>48</v>
      </c>
      <c r="F14739" s="23" t="str">
        <f t="shared" si="495"/>
        <v>Оказание услуг по организации питания в дошкольных образовательных учреждениях г. Твери</v>
      </c>
      <c r="G14739" s="22" t="s">
        <v>137</v>
      </c>
      <c r="H14739" s="22" t="s">
        <v>138</v>
      </c>
      <c r="I14739" s="26">
        <v>43644.382638888899</v>
      </c>
      <c r="J14739" s="23" t="str">
        <f t="shared" si="496"/>
        <v>ООО "ТВЕРСКОЙ КОМБИНАТ ШКОЛЬНОГО ПИТАНИЯ"</v>
      </c>
      <c r="K14739" s="24" t="s">
        <v>16891</v>
      </c>
      <c r="L14739" s="22" t="s">
        <v>10</v>
      </c>
      <c r="M14739" s="28" t="s">
        <v>51</v>
      </c>
      <c r="N14739" s="27">
        <v>0</v>
      </c>
    </row>
    <row r="14740" spans="1:14" x14ac:dyDescent="0.15">
      <c r="A14740" s="23" t="str">
        <f>HYPERLINK("https://www.spark-marketing.ru/Card/Person/1759562", "МАДОУ ДЕТСКИЙ САД № 37")</f>
        <v>МАДОУ ДЕТСКИЙ САД № 37</v>
      </c>
      <c r="B14740" s="24" t="s">
        <v>2037</v>
      </c>
      <c r="C14740" s="25">
        <v>127466</v>
      </c>
      <c r="D14740" s="22" t="s">
        <v>19543</v>
      </c>
      <c r="E14740" s="22" t="s">
        <v>1412</v>
      </c>
      <c r="F14740" s="23" t="str">
        <f>HYPERLINK("https://www.spark-marketing.ru/Card/Lot/71758030", "Услуги организации питания")</f>
        <v>Услуги организации питания</v>
      </c>
      <c r="G14740" s="22" t="s">
        <v>145</v>
      </c>
      <c r="H14740" s="22" t="s">
        <v>145</v>
      </c>
      <c r="I14740" s="26">
        <v>43644.400486111103</v>
      </c>
      <c r="J14740" s="28" t="s">
        <v>51</v>
      </c>
      <c r="K14740" s="28" t="s">
        <v>51</v>
      </c>
      <c r="L14740" s="28" t="s">
        <v>51</v>
      </c>
      <c r="M14740" s="28" t="s">
        <v>51</v>
      </c>
      <c r="N14740" s="28" t="s">
        <v>51</v>
      </c>
    </row>
    <row r="14741" spans="1:14" ht="12.75" x14ac:dyDescent="0.2">
      <c r="A14741" s="23" t="str">
        <f>HYPERLINK("https://www.spark-marketing.ru/Card/Person/7291", "АДМИНИСТРАЦИЯ ЛЕНИНСКОГО РАЙОНА МОСКОВСКОЙ ОБЛАСТИ")</f>
        <v>АДМИНИСТРАЦИЯ ЛЕНИНСКОГО РАЙОНА МОСКОВСКОЙ ОБЛАСТИ</v>
      </c>
      <c r="B14741" s="24" t="s">
        <v>15282</v>
      </c>
      <c r="C14741" s="25">
        <v>499190</v>
      </c>
      <c r="D14741" s="22" t="s">
        <v>19544</v>
      </c>
      <c r="E14741" s="22" t="s">
        <v>48</v>
      </c>
      <c r="F14741" s="23" t="str">
        <f>HYPERLINK("https://www.spark-marketing.ru/Card/Lot/71801220", "Оказание услуг по организации питания участников мероприятий, проводимых в сельском поселении Молоковское")</f>
        <v>Оказание услуг по организации питания участников мероприятий, проводимых в сельском поселении Молоковское</v>
      </c>
      <c r="G14741" s="22" t="s">
        <v>49</v>
      </c>
      <c r="H14741" s="22" t="s">
        <v>654</v>
      </c>
      <c r="I14741" s="26">
        <v>43644.404976851903</v>
      </c>
      <c r="J14741" s="23" t="str">
        <f>HYPERLINK("https://www.spark-marketing.ru/Card/Person/5887989", "Логвинова Татьяна Сергеевна")</f>
        <v>Логвинова Татьяна Сергеевна</v>
      </c>
      <c r="K14741" s="24" t="s">
        <v>19545</v>
      </c>
      <c r="L14741" s="22" t="s">
        <v>10</v>
      </c>
      <c r="M14741" s="25">
        <v>380700</v>
      </c>
      <c r="N14741" s="27">
        <v>0.23736453053947396</v>
      </c>
    </row>
    <row r="14742" spans="1:14" x14ac:dyDescent="0.15">
      <c r="A14742" s="23" t="str">
        <f>HYPERLINK("https://www.spark-marketing.ru/Card/Person/949311", "ОМВД РОССИИ ПО ПОГРАНИЧНОМУ РАЙОНУ")</f>
        <v>ОМВД РОССИИ ПО ПОГРАНИЧНОМУ РАЙОНУ</v>
      </c>
      <c r="B14742" s="24" t="s">
        <v>541</v>
      </c>
      <c r="C14742" s="25">
        <v>99600</v>
      </c>
      <c r="D14742" s="22" t="s">
        <v>19546</v>
      </c>
      <c r="E14742" s="22" t="s">
        <v>48</v>
      </c>
      <c r="F14742" s="23" t="str">
        <f>HYPERLINK("https://www.spark-marketing.ru/Card/Lot/71760543", "Услуги по обеспечению питанием, осуществляемые по договору, 249 усл. ед")</f>
        <v>Услуги по обеспечению питанием, осуществляемые по договору, 249 усл. ед</v>
      </c>
      <c r="G14742" s="22" t="s">
        <v>543</v>
      </c>
      <c r="H14742" s="22" t="s">
        <v>544</v>
      </c>
      <c r="I14742" s="26">
        <v>43644.387604166703</v>
      </c>
      <c r="J14742" s="28" t="s">
        <v>51</v>
      </c>
      <c r="K14742" s="28" t="s">
        <v>51</v>
      </c>
      <c r="L14742" s="28" t="s">
        <v>51</v>
      </c>
      <c r="M14742" s="28" t="s">
        <v>51</v>
      </c>
      <c r="N14742" s="28" t="s">
        <v>51</v>
      </c>
    </row>
    <row r="14743" spans="1:14" x14ac:dyDescent="0.15">
      <c r="A14743" s="23" t="str">
        <f>HYPERLINK("https://www.spark-marketing.ru/Card/Person/29335", "УМВД РОССИИ ПО ПСКОВСКОЙ ОБЛАСТИ")</f>
        <v>УМВД РОССИИ ПО ПСКОВСКОЙ ОБЛАСТИ</v>
      </c>
      <c r="B14743" s="24" t="s">
        <v>4993</v>
      </c>
      <c r="C14743" s="25">
        <v>99889.2</v>
      </c>
      <c r="D14743" s="22" t="s">
        <v>19547</v>
      </c>
      <c r="E14743" s="22" t="s">
        <v>48</v>
      </c>
      <c r="F14743" s="23" t="str">
        <f>HYPERLINK("https://www.spark-marketing.ru/Card/Lot/71795189", "Обеспечение пятиразовым горячим питанием несовершеннолетних правонарушителей")</f>
        <v>Обеспечение пятиразовым горячим питанием несовершеннолетних правонарушителей</v>
      </c>
      <c r="G14743" s="22" t="s">
        <v>415</v>
      </c>
      <c r="H14743" s="22" t="s">
        <v>415</v>
      </c>
      <c r="I14743" s="26">
        <v>43644.379166666702</v>
      </c>
      <c r="J14743" s="28" t="s">
        <v>51</v>
      </c>
      <c r="K14743" s="28" t="s">
        <v>51</v>
      </c>
      <c r="L14743" s="28" t="s">
        <v>51</v>
      </c>
      <c r="M14743" s="28" t="s">
        <v>51</v>
      </c>
      <c r="N14743" s="28" t="s">
        <v>51</v>
      </c>
    </row>
    <row r="14744" spans="1:14" x14ac:dyDescent="0.2">
      <c r="A14744" s="23" t="s">
        <v>114</v>
      </c>
      <c r="B14744" s="28" t="s">
        <v>51</v>
      </c>
      <c r="C14744" s="25">
        <v>18214662</v>
      </c>
      <c r="D14744" s="22" t="s">
        <v>19548</v>
      </c>
      <c r="E14744" s="22" t="s">
        <v>48</v>
      </c>
      <c r="F14744" s="23" t="str">
        <f t="shared" ref="F14744:F14750" si="497">HYPERLINK("https://www.spark-marketing.ru/Card/Lot/71772868",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744" s="22" t="s">
        <v>51</v>
      </c>
      <c r="H14744" s="22" t="s">
        <v>51</v>
      </c>
      <c r="I14744" s="26">
        <v>43644.381944444402</v>
      </c>
      <c r="J14744" s="23" t="str">
        <f t="shared" ref="J14744:J14750" si="498">HYPERLINK("https://www.spark-marketing.ru/Card/Person/76228", "ООО ""ЛИМАН""")</f>
        <v>ООО "ЛИМАН"</v>
      </c>
      <c r="K14744" s="24" t="s">
        <v>16890</v>
      </c>
      <c r="L14744" s="22" t="s">
        <v>10</v>
      </c>
      <c r="M14744" s="25">
        <v>18213000</v>
      </c>
      <c r="N14744" s="27">
        <v>9.1245173805585848E-5</v>
      </c>
    </row>
    <row r="14745" spans="1:14" hidden="1" outlineLevel="1" x14ac:dyDescent="0.2">
      <c r="A14745" s="23" t="str">
        <f>HYPERLINK("https://www.spark-marketing.ru/Card/Person/85697", "МБДОУ ДЕТСКИЙ САД № 62")</f>
        <v>МБДОУ ДЕТСКИЙ САД № 62</v>
      </c>
      <c r="B14745" s="24" t="s">
        <v>19549</v>
      </c>
      <c r="C14745" s="25">
        <v>3073768</v>
      </c>
      <c r="D14745" s="22" t="s">
        <v>19548</v>
      </c>
      <c r="E14745" s="22" t="s">
        <v>48</v>
      </c>
      <c r="F14745" s="23" t="str">
        <f t="shared" si="497"/>
        <v>Оказание услуг по организации питания в дошкольных образовательных учреждениях г. Твери</v>
      </c>
      <c r="G14745" s="22" t="s">
        <v>137</v>
      </c>
      <c r="H14745" s="22" t="s">
        <v>138</v>
      </c>
      <c r="I14745" s="26">
        <v>43644.381944444402</v>
      </c>
      <c r="J14745" s="23" t="str">
        <f t="shared" si="498"/>
        <v>ООО "ЛИМАН"</v>
      </c>
      <c r="K14745" s="24" t="s">
        <v>16890</v>
      </c>
      <c r="L14745" s="22" t="s">
        <v>10</v>
      </c>
      <c r="M14745" s="28" t="s">
        <v>51</v>
      </c>
      <c r="N14745" s="27">
        <v>9.1245173805585848E-5</v>
      </c>
    </row>
    <row r="14746" spans="1:14" hidden="1" outlineLevel="1" x14ac:dyDescent="0.2">
      <c r="A14746" s="23" t="str">
        <f>HYPERLINK("https://www.spark-marketing.ru/Card/Person/85699", "МБДОУ ДЕТСКИЙ САД № 129")</f>
        <v>МБДОУ ДЕТСКИЙ САД № 129</v>
      </c>
      <c r="B14746" s="24" t="s">
        <v>19550</v>
      </c>
      <c r="C14746" s="25">
        <v>3225709</v>
      </c>
      <c r="D14746" s="22" t="s">
        <v>19548</v>
      </c>
      <c r="E14746" s="22" t="s">
        <v>48</v>
      </c>
      <c r="F14746" s="23" t="str">
        <f t="shared" si="497"/>
        <v>Оказание услуг по организации питания в дошкольных образовательных учреждениях г. Твери</v>
      </c>
      <c r="G14746" s="22" t="s">
        <v>137</v>
      </c>
      <c r="H14746" s="22" t="s">
        <v>138</v>
      </c>
      <c r="I14746" s="26">
        <v>43644.381944444402</v>
      </c>
      <c r="J14746" s="23" t="str">
        <f t="shared" si="498"/>
        <v>ООО "ЛИМАН"</v>
      </c>
      <c r="K14746" s="24" t="s">
        <v>16890</v>
      </c>
      <c r="L14746" s="22" t="s">
        <v>10</v>
      </c>
      <c r="M14746" s="28" t="s">
        <v>51</v>
      </c>
      <c r="N14746" s="27">
        <v>9.1245173805585848E-5</v>
      </c>
    </row>
    <row r="14747" spans="1:14" hidden="1" outlineLevel="1" x14ac:dyDescent="0.2">
      <c r="A14747" s="23" t="str">
        <f>HYPERLINK("https://www.spark-marketing.ru/Card/Person/88868", "МБДОУ ДЕТСКИЙ САД № 157")</f>
        <v>МБДОУ ДЕТСКИЙ САД № 157</v>
      </c>
      <c r="B14747" s="24" t="s">
        <v>19551</v>
      </c>
      <c r="C14747" s="25">
        <v>3232330</v>
      </c>
      <c r="D14747" s="22" t="s">
        <v>19548</v>
      </c>
      <c r="E14747" s="22" t="s">
        <v>48</v>
      </c>
      <c r="F14747" s="23" t="str">
        <f t="shared" si="497"/>
        <v>Оказание услуг по организации питания в дошкольных образовательных учреждениях г. Твери</v>
      </c>
      <c r="G14747" s="22" t="s">
        <v>137</v>
      </c>
      <c r="H14747" s="22" t="s">
        <v>138</v>
      </c>
      <c r="I14747" s="26">
        <v>43644.381944444402</v>
      </c>
      <c r="J14747" s="23" t="str">
        <f t="shared" si="498"/>
        <v>ООО "ЛИМАН"</v>
      </c>
      <c r="K14747" s="24" t="s">
        <v>16890</v>
      </c>
      <c r="L14747" s="22" t="s">
        <v>10</v>
      </c>
      <c r="M14747" s="28" t="s">
        <v>51</v>
      </c>
      <c r="N14747" s="27">
        <v>9.1245173805585848E-5</v>
      </c>
    </row>
    <row r="14748" spans="1:14" hidden="1" outlineLevel="1" x14ac:dyDescent="0.2">
      <c r="A14748" s="23" t="str">
        <f>HYPERLINK("https://www.spark-marketing.ru/Card/Person/92321", "МБДОУ ДЕТСКИЙ САД № 91")</f>
        <v>МБДОУ ДЕТСКИЙ САД № 91</v>
      </c>
      <c r="B14748" s="24" t="s">
        <v>19552</v>
      </c>
      <c r="C14748" s="25">
        <v>1384508</v>
      </c>
      <c r="D14748" s="22" t="s">
        <v>19548</v>
      </c>
      <c r="E14748" s="22" t="s">
        <v>48</v>
      </c>
      <c r="F14748" s="23" t="str">
        <f t="shared" si="497"/>
        <v>Оказание услуг по организации питания в дошкольных образовательных учреждениях г. Твери</v>
      </c>
      <c r="G14748" s="22" t="s">
        <v>137</v>
      </c>
      <c r="H14748" s="22" t="s">
        <v>138</v>
      </c>
      <c r="I14748" s="26">
        <v>43644.381944444402</v>
      </c>
      <c r="J14748" s="23" t="str">
        <f t="shared" si="498"/>
        <v>ООО "ЛИМАН"</v>
      </c>
      <c r="K14748" s="24" t="s">
        <v>16890</v>
      </c>
      <c r="L14748" s="22" t="s">
        <v>10</v>
      </c>
      <c r="M14748" s="28" t="s">
        <v>51</v>
      </c>
      <c r="N14748" s="27">
        <v>9.1245173805585848E-5</v>
      </c>
    </row>
    <row r="14749" spans="1:14" hidden="1" outlineLevel="1" x14ac:dyDescent="0.2">
      <c r="A14749" s="23" t="str">
        <f>HYPERLINK("https://www.spark-marketing.ru/Card/Person/4345089", "МБДОУ ДЕТСКИЙ САД № 101")</f>
        <v>МБДОУ ДЕТСКИЙ САД № 101</v>
      </c>
      <c r="B14749" s="24" t="s">
        <v>19553</v>
      </c>
      <c r="C14749" s="25">
        <v>3292291</v>
      </c>
      <c r="D14749" s="22" t="s">
        <v>19548</v>
      </c>
      <c r="E14749" s="22" t="s">
        <v>48</v>
      </c>
      <c r="F14749" s="23" t="str">
        <f t="shared" si="497"/>
        <v>Оказание услуг по организации питания в дошкольных образовательных учреждениях г. Твери</v>
      </c>
      <c r="G14749" s="22" t="s">
        <v>137</v>
      </c>
      <c r="H14749" s="22" t="s">
        <v>138</v>
      </c>
      <c r="I14749" s="26">
        <v>43644.381944444402</v>
      </c>
      <c r="J14749" s="23" t="str">
        <f t="shared" si="498"/>
        <v>ООО "ЛИМАН"</v>
      </c>
      <c r="K14749" s="24" t="s">
        <v>16890</v>
      </c>
      <c r="L14749" s="22" t="s">
        <v>10</v>
      </c>
      <c r="M14749" s="28" t="s">
        <v>51</v>
      </c>
      <c r="N14749" s="27">
        <v>9.1245173805585848E-5</v>
      </c>
    </row>
    <row r="14750" spans="1:14" hidden="1" outlineLevel="1" x14ac:dyDescent="0.2">
      <c r="A14750" s="23" t="str">
        <f>HYPERLINK("https://www.spark-marketing.ru/Card/Person/4348882", "МБДОУ ДЕТСКИЙ САД № 134")</f>
        <v>МБДОУ ДЕТСКИЙ САД № 134</v>
      </c>
      <c r="B14750" s="24" t="s">
        <v>19554</v>
      </c>
      <c r="C14750" s="25">
        <v>4006056</v>
      </c>
      <c r="D14750" s="22" t="s">
        <v>19548</v>
      </c>
      <c r="E14750" s="22" t="s">
        <v>48</v>
      </c>
      <c r="F14750" s="23" t="str">
        <f t="shared" si="497"/>
        <v>Оказание услуг по организации питания в дошкольных образовательных учреждениях г. Твери</v>
      </c>
      <c r="G14750" s="22" t="s">
        <v>137</v>
      </c>
      <c r="H14750" s="22" t="s">
        <v>138</v>
      </c>
      <c r="I14750" s="26">
        <v>43644.381944444402</v>
      </c>
      <c r="J14750" s="23" t="str">
        <f t="shared" si="498"/>
        <v>ООО "ЛИМАН"</v>
      </c>
      <c r="K14750" s="24" t="s">
        <v>16890</v>
      </c>
      <c r="L14750" s="22" t="s">
        <v>10</v>
      </c>
      <c r="M14750" s="28" t="s">
        <v>51</v>
      </c>
      <c r="N14750" s="27">
        <v>9.1245173805585848E-5</v>
      </c>
    </row>
    <row r="14751" spans="1:14" x14ac:dyDescent="0.15">
      <c r="A14751" s="23" t="s">
        <v>114</v>
      </c>
      <c r="B14751" s="28" t="s">
        <v>51</v>
      </c>
      <c r="C14751" s="25">
        <v>5021885</v>
      </c>
      <c r="D14751" s="22" t="s">
        <v>19555</v>
      </c>
      <c r="E14751" s="22" t="s">
        <v>48</v>
      </c>
      <c r="F14751" s="23" t="str">
        <f>HYPERLINK("https://www.spark-marketing.ru/Card/Lot/71771769",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751" s="22" t="s">
        <v>51</v>
      </c>
      <c r="H14751" s="22" t="s">
        <v>51</v>
      </c>
      <c r="I14751" s="26">
        <v>43644.382638888899</v>
      </c>
      <c r="J14751" s="28" t="s">
        <v>51</v>
      </c>
      <c r="K14751" s="28" t="s">
        <v>51</v>
      </c>
      <c r="L14751" s="28" t="s">
        <v>51</v>
      </c>
      <c r="M14751" s="28" t="s">
        <v>51</v>
      </c>
      <c r="N14751" s="28" t="s">
        <v>51</v>
      </c>
    </row>
    <row r="14752" spans="1:14" hidden="1" outlineLevel="1" x14ac:dyDescent="0.15">
      <c r="A14752" s="23" t="str">
        <f>HYPERLINK("https://www.spark-marketing.ru/Card/Person/87928", "МБДОУ ДЕТСКИЙ САД №136")</f>
        <v>МБДОУ ДЕТСКИЙ САД №136</v>
      </c>
      <c r="B14752" s="24" t="s">
        <v>19556</v>
      </c>
      <c r="C14752" s="25">
        <v>3859941</v>
      </c>
      <c r="D14752" s="22" t="s">
        <v>19555</v>
      </c>
      <c r="E14752" s="22" t="s">
        <v>48</v>
      </c>
      <c r="F14752" s="23" t="str">
        <f>HYPERLINK("https://www.spark-marketing.ru/Card/Lot/71771769",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752" s="22" t="s">
        <v>137</v>
      </c>
      <c r="H14752" s="22" t="s">
        <v>138</v>
      </c>
      <c r="I14752" s="26">
        <v>43644.382638888899</v>
      </c>
      <c r="J14752" s="28" t="s">
        <v>51</v>
      </c>
      <c r="K14752" s="28" t="s">
        <v>51</v>
      </c>
      <c r="L14752" s="28" t="s">
        <v>51</v>
      </c>
      <c r="M14752" s="28" t="s">
        <v>51</v>
      </c>
      <c r="N14752" s="28" t="s">
        <v>51</v>
      </c>
    </row>
    <row r="14753" spans="1:14" hidden="1" outlineLevel="1" x14ac:dyDescent="0.15">
      <c r="A14753" s="23" t="str">
        <f>HYPERLINK("https://www.spark-marketing.ru/Card/Person/89126", "МБДОУ ДЕТСКИЙ САД № 11")</f>
        <v>МБДОУ ДЕТСКИЙ САД № 11</v>
      </c>
      <c r="B14753" s="24" t="s">
        <v>19557</v>
      </c>
      <c r="C14753" s="25">
        <v>1161944</v>
      </c>
      <c r="D14753" s="22" t="s">
        <v>19555</v>
      </c>
      <c r="E14753" s="22" t="s">
        <v>48</v>
      </c>
      <c r="F14753" s="23" t="str">
        <f>HYPERLINK("https://www.spark-marketing.ru/Card/Lot/71771769",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753" s="22" t="s">
        <v>137</v>
      </c>
      <c r="H14753" s="22" t="s">
        <v>138</v>
      </c>
      <c r="I14753" s="26">
        <v>43644.382638888899</v>
      </c>
      <c r="J14753" s="28" t="s">
        <v>51</v>
      </c>
      <c r="K14753" s="28" t="s">
        <v>51</v>
      </c>
      <c r="L14753" s="28" t="s">
        <v>51</v>
      </c>
      <c r="M14753" s="28" t="s">
        <v>51</v>
      </c>
      <c r="N14753" s="28" t="s">
        <v>51</v>
      </c>
    </row>
    <row r="14754" spans="1:14" hidden="1" outlineLevel="1" x14ac:dyDescent="0.2">
      <c r="A14754" s="28" t="s">
        <v>51</v>
      </c>
      <c r="B14754" s="28" t="s">
        <v>51</v>
      </c>
      <c r="C14754" s="28" t="s">
        <v>51</v>
      </c>
      <c r="D14754" s="22" t="s">
        <v>19555</v>
      </c>
      <c r="E14754" s="22" t="s">
        <v>48</v>
      </c>
      <c r="F14754" s="23" t="str">
        <f>HYPERLINK("https://www.spark-marketing.ru/Card/Lot/71771769",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754" s="22" t="s">
        <v>51</v>
      </c>
      <c r="H14754" s="22" t="s">
        <v>51</v>
      </c>
      <c r="I14754" s="26">
        <v>43644.382638888899</v>
      </c>
      <c r="J14754" s="23" t="str">
        <f>HYPERLINK("https://www.spark-marketing.ru/Card/Person/76228", "ООО ""ЛИМАН""")</f>
        <v>ООО "ЛИМАН"</v>
      </c>
      <c r="K14754" s="24" t="s">
        <v>16890</v>
      </c>
      <c r="L14754" s="28" t="s">
        <v>51</v>
      </c>
      <c r="M14754" s="25">
        <v>5021000</v>
      </c>
      <c r="N14754" s="27">
        <v>1.7622864721115677E-4</v>
      </c>
    </row>
    <row r="14755" spans="1:14" hidden="1" outlineLevel="1" x14ac:dyDescent="0.2">
      <c r="A14755" s="28" t="s">
        <v>51</v>
      </c>
      <c r="B14755" s="28" t="s">
        <v>51</v>
      </c>
      <c r="C14755" s="28" t="s">
        <v>51</v>
      </c>
      <c r="D14755" s="22" t="s">
        <v>19555</v>
      </c>
      <c r="E14755" s="22" t="s">
        <v>48</v>
      </c>
      <c r="F14755" s="23" t="str">
        <f>HYPERLINK("https://www.spark-marketing.ru/Card/Lot/71771769",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755" s="22" t="s">
        <v>51</v>
      </c>
      <c r="H14755" s="22" t="s">
        <v>51</v>
      </c>
      <c r="I14755" s="26">
        <v>43644.382638888899</v>
      </c>
      <c r="J14755" s="23" t="str">
        <f>HYPERLINK("https://www.spark-marketing.ru/Card/Person/610902", "ООО ""РАТИБОР""")</f>
        <v>ООО "РАТИБОР"</v>
      </c>
      <c r="K14755" s="24" t="s">
        <v>17751</v>
      </c>
      <c r="L14755" s="22" t="s">
        <v>10</v>
      </c>
      <c r="M14755" s="25">
        <v>5019885</v>
      </c>
      <c r="N14755" s="27">
        <v>3.9825682985572151E-4</v>
      </c>
    </row>
    <row r="14756" spans="1:14" x14ac:dyDescent="0.15">
      <c r="A14756" s="23" t="str">
        <f>HYPERLINK("https://www.spark-marketing.ru/Card/Person/13495", "ФГБОУ ВДЦ ""ОРЛЁНОК""")</f>
        <v>ФГБОУ ВДЦ "ОРЛЁНОК"</v>
      </c>
      <c r="B14756" s="24" t="s">
        <v>11713</v>
      </c>
      <c r="C14756" s="25">
        <v>398422.5</v>
      </c>
      <c r="D14756" s="22" t="s">
        <v>19558</v>
      </c>
      <c r="E14756" s="22" t="s">
        <v>48</v>
      </c>
      <c r="F14756" s="23" t="str">
        <f>HYPERLINK("https://www.spark-marketing.ru/Card/Lot/71762693", "Оказание услуг общественного питания")</f>
        <v>Оказание услуг общественного питания</v>
      </c>
      <c r="G14756" s="22" t="s">
        <v>104</v>
      </c>
      <c r="H14756" s="22" t="s">
        <v>104</v>
      </c>
      <c r="I14756" s="26">
        <v>43644.385416666701</v>
      </c>
      <c r="J14756" s="23" t="str">
        <f>HYPERLINK("https://www.spark-marketing.ru/Card/Person/878576", "Ходькина Юлия Анатольевна")</f>
        <v>Ходькина Юлия Анатольевна</v>
      </c>
      <c r="K14756" s="24" t="s">
        <v>8506</v>
      </c>
      <c r="L14756" s="22" t="s">
        <v>10</v>
      </c>
      <c r="M14756" s="28" t="s">
        <v>51</v>
      </c>
      <c r="N14756" s="28" t="s">
        <v>51</v>
      </c>
    </row>
    <row r="14757" spans="1:14" x14ac:dyDescent="0.15">
      <c r="A14757" s="23" t="str">
        <f>HYPERLINK("https://www.spark-marketing.ru/Card/Person/19966", "МВД ПО РЕСПУБЛИКЕ ХАКАСИЯ")</f>
        <v>МВД ПО РЕСПУБЛИКЕ ХАКАСИЯ</v>
      </c>
      <c r="B14757" s="24" t="s">
        <v>5740</v>
      </c>
      <c r="C14757" s="25">
        <v>306500.07</v>
      </c>
      <c r="D14757" s="22" t="s">
        <v>19559</v>
      </c>
      <c r="E14757" s="22" t="s">
        <v>603</v>
      </c>
      <c r="F14757" s="23" t="str">
        <f>HYPERLINK("https://www.spark-marketing.ru/Card/Lot/71755253", "Оказание услуг по ремонту средств измерений, для нужд МВД по Республике Хакасия")</f>
        <v>Оказание услуг по ремонту средств измерений, для нужд МВД по Республике Хакасия</v>
      </c>
      <c r="G14757" s="22" t="s">
        <v>92</v>
      </c>
      <c r="H14757" s="22" t="s">
        <v>92</v>
      </c>
      <c r="I14757" s="26">
        <v>43644.353472222203</v>
      </c>
      <c r="J14757" s="23" t="str">
        <f>HYPERLINK("https://www.spark-marketing.ru/Card/Person/36661", "ООО ""ПРЕДПРИЯТИЕ ЭМАН""")</f>
        <v>ООО "ПРЕДПРИЯТИЕ ЭМАН"</v>
      </c>
      <c r="K14757" s="24" t="s">
        <v>19560</v>
      </c>
      <c r="L14757" s="22" t="s">
        <v>10</v>
      </c>
      <c r="M14757" s="28" t="s">
        <v>51</v>
      </c>
      <c r="N14757" s="28" t="s">
        <v>51</v>
      </c>
    </row>
    <row r="14758" spans="1:14" x14ac:dyDescent="0.15">
      <c r="A14758" s="23" t="str">
        <f>HYPERLINK("https://www.spark-marketing.ru/Card/Person/10635", "БУЗ ОРЛОВСКОЙ ОБЛАСТИ ""ГОРОДСКАЯ БОЛЬНИЦА ИМ. С. П. БОТКИНА""")</f>
        <v>БУЗ ОРЛОВСКОЙ ОБЛАСТИ "ГОРОДСКАЯ БОЛЬНИЦА ИМ. С. П. БОТКИНА"</v>
      </c>
      <c r="B14758" s="24" t="s">
        <v>19561</v>
      </c>
      <c r="C14758" s="25">
        <v>1972598.5</v>
      </c>
      <c r="D14758" s="22" t="s">
        <v>19562</v>
      </c>
      <c r="E14758" s="22" t="s">
        <v>62</v>
      </c>
      <c r="F14758" s="23" t="str">
        <f>HYPERLINK("https://www.spark-marketing.ru/Card/Lot/71767260", "закупка бланочной продукции")</f>
        <v>закупка бланочной продукции</v>
      </c>
      <c r="G14758" s="22" t="s">
        <v>1066</v>
      </c>
      <c r="H14758" s="22" t="s">
        <v>1066</v>
      </c>
      <c r="I14758" s="26">
        <v>43644.368750000001</v>
      </c>
      <c r="J14758" s="23" t="str">
        <f>HYPERLINK("https://www.spark-marketing.ru/Card/Person/70363", "ООО ""ВИННЕР - ПРИНТ""")</f>
        <v>ООО "ВИННЕР - ПРИНТ"</v>
      </c>
      <c r="K14758" s="24" t="s">
        <v>3048</v>
      </c>
      <c r="L14758" s="28" t="s">
        <v>51</v>
      </c>
      <c r="M14758" s="28" t="s">
        <v>51</v>
      </c>
      <c r="N14758" s="28" t="s">
        <v>51</v>
      </c>
    </row>
    <row r="14759" spans="1:14" ht="12.75" hidden="1" outlineLevel="1" x14ac:dyDescent="0.2">
      <c r="A14759" s="23" t="str">
        <f>HYPERLINK("https://www.spark-marketing.ru/Card/Person/10635", "БУЗ ОРЛОВСКОЙ ОБЛАСТИ ""ГОРОДСКАЯ БОЛЬНИЦА ИМ. С. П. БОТКИНА""")</f>
        <v>БУЗ ОРЛОВСКОЙ ОБЛАСТИ "ГОРОДСКАЯ БОЛЬНИЦА ИМ. С. П. БОТКИНА"</v>
      </c>
      <c r="B14759" s="24" t="s">
        <v>19561</v>
      </c>
      <c r="C14759" s="25">
        <v>1972598.5</v>
      </c>
      <c r="D14759" s="22" t="s">
        <v>19562</v>
      </c>
      <c r="E14759" s="22" t="s">
        <v>62</v>
      </c>
      <c r="F14759" s="23" t="str">
        <f>HYPERLINK("https://www.spark-marketing.ru/Card/Lot/71767260", "закупка бланочной продукции")</f>
        <v>закупка бланочной продукции</v>
      </c>
      <c r="G14759" s="22" t="s">
        <v>1066</v>
      </c>
      <c r="H14759" s="22" t="s">
        <v>1066</v>
      </c>
      <c r="I14759" s="26">
        <v>43644.368750000001</v>
      </c>
      <c r="J14759" s="23" t="str">
        <f>HYPERLINK("https://www.spark-marketing.ru/Card/Person/70363", "ООО ""ВИННЕР - ПРИНТ""")</f>
        <v>ООО "ВИННЕР - ПРИНТ"</v>
      </c>
      <c r="K14759" s="24" t="s">
        <v>3048</v>
      </c>
      <c r="L14759" s="22" t="s">
        <v>10</v>
      </c>
      <c r="M14759" s="25">
        <v>1962698.5</v>
      </c>
      <c r="N14759" s="27">
        <v>5.0187607868504413E-3</v>
      </c>
    </row>
    <row r="14760" spans="1:14" x14ac:dyDescent="0.15">
      <c r="A14760" s="23" t="str">
        <f>HYPERLINK("https://www.spark-marketing.ru/Card/Person/4345974", "МИНЗДРАВ ЗАБАЙКАЛЬСКОГО КРАЯ")</f>
        <v>МИНЗДРАВ ЗАБАЙКАЛЬСКОГО КРАЯ</v>
      </c>
      <c r="B14760" s="24" t="s">
        <v>671</v>
      </c>
      <c r="C14760" s="25">
        <v>73260</v>
      </c>
      <c r="D14760" s="22" t="s">
        <v>19563</v>
      </c>
      <c r="E14760" s="22" t="s">
        <v>336</v>
      </c>
      <c r="F14760" s="23" t="str">
        <f>HYPERLINK("https://www.spark-marketing.ru/Card/Lot/71758414", "Товары, работы или услуги на сумму, не превышающие 100 тыс. руб. (п.4 ч.1 ст.93 44-ФЗ)")</f>
        <v>Товары, работы или услуги на сумму, не превышающие 100 тыс. руб. (п.4 ч.1 ст.93 44-ФЗ)</v>
      </c>
      <c r="G14760" s="22" t="s">
        <v>228</v>
      </c>
      <c r="H14760" s="22" t="s">
        <v>394</v>
      </c>
      <c r="I14760" s="26">
        <v>43644.338194444397</v>
      </c>
      <c r="J14760" s="28" t="s">
        <v>51</v>
      </c>
      <c r="K14760" s="28" t="s">
        <v>51</v>
      </c>
      <c r="L14760" s="28" t="s">
        <v>51</v>
      </c>
      <c r="M14760" s="28" t="s">
        <v>51</v>
      </c>
      <c r="N14760" s="28" t="s">
        <v>51</v>
      </c>
    </row>
    <row r="14761" spans="1:14" x14ac:dyDescent="0.15">
      <c r="A14761" s="23" t="str">
        <f>HYPERLINK("https://www.spark-marketing.ru/Card/Person/267554", "ОМВД РОССИИ ""НЯНДОМСКИЙ""")</f>
        <v>ОМВД РОССИИ "НЯНДОМСКИЙ"</v>
      </c>
      <c r="B14761" s="24" t="s">
        <v>5793</v>
      </c>
      <c r="C14761" s="25">
        <v>187389.93</v>
      </c>
      <c r="D14761" s="22" t="s">
        <v>19564</v>
      </c>
      <c r="E14761" s="22" t="s">
        <v>48</v>
      </c>
      <c r="F14761" s="23" t="str">
        <f>HYPERLINK("https://www.spark-marketing.ru/Card/Lot/71762213", "Услуги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ОМВД России «Няндомский», в соответствии с нормой суточного довольствия, а т...")</f>
        <v>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ОМВД России «Няндомский», в соответствии с нормой суточного довольствия, а т...</v>
      </c>
      <c r="G14761" s="22" t="s">
        <v>214</v>
      </c>
      <c r="H14761" s="22" t="s">
        <v>214</v>
      </c>
      <c r="I14761" s="26">
        <v>43644.372916666704</v>
      </c>
      <c r="J14761" s="23" t="str">
        <f>HYPERLINK("https://www.spark-marketing.ru/Card/Person/6204506", "ООО ""ТРАНСАВТО""")</f>
        <v>ООО "ТРАНСАВТО"</v>
      </c>
      <c r="K14761" s="24" t="s">
        <v>5795</v>
      </c>
      <c r="L14761" s="22" t="s">
        <v>10</v>
      </c>
      <c r="M14761" s="28" t="s">
        <v>51</v>
      </c>
      <c r="N14761" s="28" t="s">
        <v>51</v>
      </c>
    </row>
    <row r="14762" spans="1:14" x14ac:dyDescent="0.15">
      <c r="A14762" s="23" t="str">
        <f>HYPERLINK("https://www.spark-marketing.ru/Card/Person/1030176", "ОТДЕЛЕНИЕ МВД РОССИИ ПО БОЛЬШЕЧЕРНИГОВСКОМУ РАЙОНУ")</f>
        <v>ОТДЕЛЕНИЕ МВД РОССИИ ПО БОЛЬШЕЧЕРНИГОВСКОМУ РАЙОНУ</v>
      </c>
      <c r="B14762" s="24" t="s">
        <v>19565</v>
      </c>
      <c r="C14762" s="25">
        <v>99000</v>
      </c>
      <c r="D14762" s="22" t="s">
        <v>19566</v>
      </c>
      <c r="E14762" s="22" t="s">
        <v>96</v>
      </c>
      <c r="F14762" s="23" t="str">
        <f>HYPERLINK("https://www.spark-marketing.ru/Card/Lot/71758485", "Оказание услуг по организации питания (приготовлению и доставке), 330 шт")</f>
        <v>Оказание услуг по организации питания (приготовлению и доставке), 330 шт</v>
      </c>
      <c r="G14762" s="22" t="s">
        <v>128</v>
      </c>
      <c r="H14762" s="22" t="s">
        <v>1119</v>
      </c>
      <c r="I14762" s="26">
        <v>43644.343460648102</v>
      </c>
      <c r="J14762" s="28" t="s">
        <v>51</v>
      </c>
      <c r="K14762" s="28" t="s">
        <v>51</v>
      </c>
      <c r="L14762" s="28" t="s">
        <v>51</v>
      </c>
      <c r="M14762" s="28" t="s">
        <v>51</v>
      </c>
      <c r="N14762" s="28" t="s">
        <v>51</v>
      </c>
    </row>
    <row r="14763" spans="1:14" x14ac:dyDescent="0.15">
      <c r="A14763" s="23" t="str">
        <f>HYPERLINK("https://www.spark-marketing.ru/Card/Person/29335", "УМВД РОССИИ ПО ПСКОВСКОЙ ОБЛАСТИ")</f>
        <v>УМВД РОССИИ ПО ПСКОВСКОЙ ОБЛАСТИ</v>
      </c>
      <c r="B14763" s="24" t="s">
        <v>4993</v>
      </c>
      <c r="C14763" s="25">
        <v>99840.06</v>
      </c>
      <c r="D14763" s="22" t="s">
        <v>19567</v>
      </c>
      <c r="E14763" s="22" t="s">
        <v>48</v>
      </c>
      <c r="F14763" s="23" t="str">
        <f>HYPERLINK("https://www.spark-marketing.ru/Card/Lot/71795166", "Обеспечение пятиразовым горячим питанием несовершеннолетних правонарушителей")</f>
        <v>Обеспечение пятиразовым горячим питанием несовершеннолетних правонарушителей</v>
      </c>
      <c r="G14763" s="22" t="s">
        <v>415</v>
      </c>
      <c r="H14763" s="22" t="s">
        <v>415</v>
      </c>
      <c r="I14763" s="26">
        <v>43644.372916666704</v>
      </c>
      <c r="J14763" s="28" t="s">
        <v>51</v>
      </c>
      <c r="K14763" s="28" t="s">
        <v>51</v>
      </c>
      <c r="L14763" s="28" t="s">
        <v>51</v>
      </c>
      <c r="M14763" s="28" t="s">
        <v>51</v>
      </c>
      <c r="N14763" s="28" t="s">
        <v>51</v>
      </c>
    </row>
    <row r="14764" spans="1:14" x14ac:dyDescent="0.15">
      <c r="A14764" s="23" t="str">
        <f>HYPERLINK("https://www.spark-marketing.ru/Card/Person/246974", "ОТДЕЛ МВД РОССИИ ПО ЯШКИНСКОМУ РАЙОНУ")</f>
        <v>ОТДЕЛ МВД РОССИИ ПО ЯШКИНСКОМУ РАЙОНУ</v>
      </c>
      <c r="B14764" s="24" t="s">
        <v>11961</v>
      </c>
      <c r="C14764" s="25">
        <v>510000</v>
      </c>
      <c r="D14764" s="22" t="s">
        <v>19568</v>
      </c>
      <c r="E14764" s="22" t="s">
        <v>48</v>
      </c>
      <c r="F14764" s="23" t="str">
        <f>HYPERLINK("https://www.spark-marketing.ru/Card/Lot/71755942", "услуги по организации ежедневного комплексного горячего питания лиц, находящихся в изоляторе временного содержания")</f>
        <v>услуги по организации ежедневного комплексного горячего питания лиц, находящихся в изоляторе временного содержания</v>
      </c>
      <c r="G14764" s="22" t="s">
        <v>304</v>
      </c>
      <c r="H14764" s="22" t="s">
        <v>11963</v>
      </c>
      <c r="I14764" s="26">
        <v>43644.363888888904</v>
      </c>
      <c r="J14764" s="28" t="s">
        <v>51</v>
      </c>
      <c r="K14764" s="28" t="s">
        <v>51</v>
      </c>
      <c r="L14764" s="28" t="s">
        <v>51</v>
      </c>
      <c r="M14764" s="28" t="s">
        <v>51</v>
      </c>
      <c r="N14764" s="28" t="s">
        <v>51</v>
      </c>
    </row>
    <row r="14765" spans="1:14" x14ac:dyDescent="0.15">
      <c r="A14765" s="23" t="str">
        <f>HYPERLINK("https://www.spark-marketing.ru/Card/Person/267554", "ОМВД РОССИИ ""НЯНДОМСКИЙ""")</f>
        <v>ОМВД РОССИИ "НЯНДОМСКИЙ"</v>
      </c>
      <c r="B14765" s="24" t="s">
        <v>5793</v>
      </c>
      <c r="C14765" s="25">
        <v>494985.72</v>
      </c>
      <c r="D14765" s="22" t="s">
        <v>19569</v>
      </c>
      <c r="E14765" s="22" t="s">
        <v>48</v>
      </c>
      <c r="F14765" s="23" t="str">
        <f>HYPERLINK("https://www.spark-marketing.ru/Card/Lot/71798668", "Услуги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ОМВД России «Няндомский», в соответствии с нормой суточного довольствия, а т...")</f>
        <v>Услуги по организации трехразового ежедневного горячего питания для лиц, содержащихся в изоляторе временного содержания и в комнате содержания задержанных лиц дежурной части ОМВД России «Няндомский», в соответствии с нормой суточного довольствия, а т...</v>
      </c>
      <c r="G14765" s="22" t="s">
        <v>214</v>
      </c>
      <c r="H14765" s="22" t="s">
        <v>19570</v>
      </c>
      <c r="I14765" s="26">
        <v>43644.3736921296</v>
      </c>
      <c r="J14765" s="23" t="str">
        <f>HYPERLINK("https://www.spark-marketing.ru/Card/Person/6204506", "ООО ""ТРАНСАВТО""")</f>
        <v>ООО "ТРАНСАВТО"</v>
      </c>
      <c r="K14765" s="24" t="s">
        <v>5795</v>
      </c>
      <c r="L14765" s="22" t="s">
        <v>10</v>
      </c>
      <c r="M14765" s="28" t="s">
        <v>51</v>
      </c>
      <c r="N14765" s="28" t="s">
        <v>51</v>
      </c>
    </row>
    <row r="14766" spans="1:14" x14ac:dyDescent="0.15">
      <c r="A14766" s="23" t="str">
        <f>HYPERLINK("https://www.spark-marketing.ru/Card/Person/90853", "ГБУСО МО ""КЦСОР ""ПОДОЛЬСКИЙ""")</f>
        <v>ГБУСО МО "КЦСОР "ПОДОЛЬСКИЙ"</v>
      </c>
      <c r="B14766" s="24" t="s">
        <v>17349</v>
      </c>
      <c r="C14766" s="25">
        <v>540000</v>
      </c>
      <c r="D14766" s="22" t="s">
        <v>19571</v>
      </c>
      <c r="E14766" s="22" t="s">
        <v>48</v>
      </c>
      <c r="F14766" s="23" t="str">
        <f>HYPERLINK("https://www.spark-marketing.ru/Card/Lot/71765805", "Оказание услуги по обеспечению горячим питанием")</f>
        <v>Оказание услуги по обеспечению горячим питанием</v>
      </c>
      <c r="G14766" s="22" t="s">
        <v>49</v>
      </c>
      <c r="H14766" s="22" t="s">
        <v>50</v>
      </c>
      <c r="I14766" s="26">
        <v>43644.372916666704</v>
      </c>
      <c r="J14766" s="28" t="s">
        <v>51</v>
      </c>
      <c r="K14766" s="28" t="s">
        <v>51</v>
      </c>
      <c r="L14766" s="28" t="s">
        <v>51</v>
      </c>
      <c r="M14766" s="28" t="s">
        <v>51</v>
      </c>
      <c r="N14766" s="28" t="s">
        <v>51</v>
      </c>
    </row>
    <row r="14767" spans="1:14" x14ac:dyDescent="0.15">
      <c r="A14767" s="23" t="str">
        <f>HYPERLINK("https://www.spark-marketing.ru/Card/Person/6442579", "УПРАВЛЕНИЕ РЕГИОНАЛЬНОГО РАЗВИТИЯ И ПОДДЕРЖКИ ИНВЕСТИЦИОННОЙ ДЕЯТЕЛЬНОСТИ ТАМБОВСКОЙ ОБЛАСТИ")</f>
        <v>УПРАВЛЕНИЕ РЕГИОНАЛЬНОГО РАЗВИТИЯ И ПОДДЕРЖКИ ИНВЕСТИЦИОННОЙ ДЕЯТЕЛЬНОСТИ ТАМБОВСКОЙ ОБЛАСТИ</v>
      </c>
      <c r="B14767" s="24" t="s">
        <v>19572</v>
      </c>
      <c r="C14767" s="25">
        <v>500000</v>
      </c>
      <c r="D14767" s="22" t="s">
        <v>19573</v>
      </c>
      <c r="E14767" s="22" t="s">
        <v>96</v>
      </c>
      <c r="F14767" s="23" t="str">
        <f>HYPERLINK("https://www.spark-marketing.ru/Card/Lot/71763666", "Оказание услуг по предоставлению питания в рамках организации приема главой администрации области, его заместителями иностранных делегаций высшего и высокого уровня; приема администрацией области иных иностранных делегаций или партнеров")</f>
        <v>Оказание услуг по предоставлению питания в рамках организации приема главой администрации области, его заместителями иностранных делегаций высшего и высокого уровня; приема администрацией области иных иностранных делегаций или партнеров</v>
      </c>
      <c r="G14767" s="22" t="s">
        <v>1370</v>
      </c>
      <c r="H14767" s="22" t="s">
        <v>2025</v>
      </c>
      <c r="I14767" s="26">
        <v>43644.351388888899</v>
      </c>
      <c r="J14767" s="23" t="str">
        <f>HYPERLINK("https://www.spark-marketing.ru/Card/Person/537182", "АО ""СТОЛОВАЯ № 1""")</f>
        <v>АО "СТОЛОВАЯ № 1"</v>
      </c>
      <c r="K14767" s="24" t="s">
        <v>12233</v>
      </c>
      <c r="L14767" s="22" t="s">
        <v>10</v>
      </c>
      <c r="M14767" s="28" t="s">
        <v>51</v>
      </c>
      <c r="N14767" s="28" t="s">
        <v>51</v>
      </c>
    </row>
    <row r="14768" spans="1:14" x14ac:dyDescent="0.15">
      <c r="A14768" s="23" t="str">
        <f>HYPERLINK("https://www.spark-marketing.ru/Card/Person/49715", "МБОУ ""СОШ № 10""")</f>
        <v>МБОУ "СОШ № 10"</v>
      </c>
      <c r="B14768" s="24" t="s">
        <v>19574</v>
      </c>
      <c r="C14768" s="25">
        <v>112860</v>
      </c>
      <c r="D14768" s="22" t="s">
        <v>19575</v>
      </c>
      <c r="E14768" s="22" t="s">
        <v>48</v>
      </c>
      <c r="F14768" s="23" t="str">
        <f>HYPERLINK("https://www.spark-marketing.ru/Card/Lot/71759848", "«Оказание услуг по организации питания детей в детском оздоровительном лагере с дневным пребыванием в период летних каникул 2019 года на базе муниципального бюджетного общеобразовательного учреждения «Средняя общеобразовательная школа №10» городского...")</f>
        <v>«Оказание услуг по организации питания детей в детском оздоровительном лагере с дневным пребыванием в период летних каникул 2019 года на базе муниципального бюджетного общеобразовательного учреждения «Средняя общеобразовательная школа №10» городского...</v>
      </c>
      <c r="G14768" s="22" t="s">
        <v>49</v>
      </c>
      <c r="H14768" s="22" t="s">
        <v>404</v>
      </c>
      <c r="I14768" s="26">
        <v>43644.367673611101</v>
      </c>
      <c r="J14768" s="28" t="s">
        <v>51</v>
      </c>
      <c r="K14768" s="28" t="s">
        <v>51</v>
      </c>
      <c r="L14768" s="28" t="s">
        <v>51</v>
      </c>
      <c r="M14768" s="28" t="s">
        <v>51</v>
      </c>
      <c r="N14768" s="28" t="s">
        <v>51</v>
      </c>
    </row>
    <row r="14769" spans="1:14" x14ac:dyDescent="0.15">
      <c r="A14769" s="23" t="str">
        <f>HYPERLINK("https://www.spark-marketing.ru/Card/Person/150314", "АДМИНИСТРАЦИЯ ЮЖСКОГО МУНИЦИПАЛЬНОГО РАЙОНА")</f>
        <v>АДМИНИСТРАЦИЯ ЮЖСКОГО МУНИЦИПАЛЬНОГО РАЙОНА</v>
      </c>
      <c r="B14769" s="24" t="s">
        <v>19576</v>
      </c>
      <c r="C14769" s="28" t="s">
        <v>51</v>
      </c>
      <c r="D14769" s="22" t="s">
        <v>19577</v>
      </c>
      <c r="E14769" s="22" t="s">
        <v>6508</v>
      </c>
      <c r="F14769" s="23" t="str">
        <f>HYPERLINK("https://www.spark-marketing.ru/Card/Lot/71777513", "Предварительный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(поставка продуктов питания)")</f>
        <v>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(поставка продуктов питания)</v>
      </c>
      <c r="G14769" s="22" t="s">
        <v>1047</v>
      </c>
      <c r="H14769" s="22" t="s">
        <v>19578</v>
      </c>
      <c r="I14769" s="26">
        <v>43644.369444444397</v>
      </c>
      <c r="J14769" s="28" t="s">
        <v>51</v>
      </c>
      <c r="K14769" s="28" t="s">
        <v>51</v>
      </c>
      <c r="L14769" s="28" t="s">
        <v>51</v>
      </c>
      <c r="M14769" s="28" t="s">
        <v>51</v>
      </c>
      <c r="N14769" s="28" t="s">
        <v>51</v>
      </c>
    </row>
    <row r="14770" spans="1:14" hidden="1" outlineLevel="1" x14ac:dyDescent="0.15">
      <c r="A14770" s="23" t="str">
        <f>HYPERLINK("https://www.spark-marketing.ru/Card/Person/150314", "АДМИНИСТРАЦИЯ ЮЖСКОГО МУНИЦИПАЛЬНОГО РАЙОНА")</f>
        <v>АДМИНИСТРАЦИЯ ЮЖСКОГО МУНИЦИПАЛЬНОГО РАЙОНА</v>
      </c>
      <c r="B14770" s="24" t="s">
        <v>19576</v>
      </c>
      <c r="C14770" s="28" t="s">
        <v>51</v>
      </c>
      <c r="D14770" s="22" t="s">
        <v>19577</v>
      </c>
      <c r="E14770" s="22" t="s">
        <v>6508</v>
      </c>
      <c r="F14770" s="23" t="str">
        <f>HYPERLINK("https://www.spark-marketing.ru/Card/Lot/71777513", "Предварительный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(поставка продуктов питания)")</f>
        <v>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(поставка продуктов питания)</v>
      </c>
      <c r="G14770" s="22" t="s">
        <v>1047</v>
      </c>
      <c r="H14770" s="22" t="s">
        <v>19578</v>
      </c>
      <c r="I14770" s="26">
        <v>43644.369444444397</v>
      </c>
      <c r="J14770" s="23" t="str">
        <f>HYPERLINK("https://www.spark-marketing.ru/Card/Person/5866939", "Панов Александр Евгеньевич")</f>
        <v>Панов Александр Евгеньевич</v>
      </c>
      <c r="K14770" s="24" t="s">
        <v>19579</v>
      </c>
      <c r="L14770" s="28" t="s">
        <v>51</v>
      </c>
      <c r="M14770" s="28" t="s">
        <v>51</v>
      </c>
      <c r="N14770" s="28" t="s">
        <v>51</v>
      </c>
    </row>
    <row r="14771" spans="1:14" hidden="1" outlineLevel="1" x14ac:dyDescent="0.15">
      <c r="A14771" s="23" t="str">
        <f>HYPERLINK("https://www.spark-marketing.ru/Card/Person/150314", "АДМИНИСТРАЦИЯ ЮЖСКОГО МУНИЦИПАЛЬНОГО РАЙОНА")</f>
        <v>АДМИНИСТРАЦИЯ ЮЖСКОГО МУНИЦИПАЛЬНОГО РАЙОНА</v>
      </c>
      <c r="B14771" s="24" t="s">
        <v>19576</v>
      </c>
      <c r="C14771" s="28" t="s">
        <v>51</v>
      </c>
      <c r="D14771" s="22" t="s">
        <v>19577</v>
      </c>
      <c r="E14771" s="22" t="s">
        <v>6508</v>
      </c>
      <c r="F14771" s="23" t="str">
        <f>HYPERLINK("https://www.spark-marketing.ru/Card/Lot/71777513", "Предварительный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(поставка продуктов питания)")</f>
        <v>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(поставка продуктов питания)</v>
      </c>
      <c r="G14771" s="22" t="s">
        <v>1047</v>
      </c>
      <c r="H14771" s="22" t="s">
        <v>19578</v>
      </c>
      <c r="I14771" s="26">
        <v>43644.369444444397</v>
      </c>
      <c r="J14771" s="23" t="str">
        <f>HYPERLINK("https://www.spark-marketing.ru/Card/Person/6634526", "Гаджиев Халик Дашдемирович")</f>
        <v>Гаджиев Халик Дашдемирович</v>
      </c>
      <c r="K14771" s="24" t="s">
        <v>19580</v>
      </c>
      <c r="L14771" s="28" t="s">
        <v>51</v>
      </c>
      <c r="M14771" s="28" t="s">
        <v>51</v>
      </c>
      <c r="N14771" s="28" t="s">
        <v>51</v>
      </c>
    </row>
    <row r="14772" spans="1:14" x14ac:dyDescent="0.15">
      <c r="A14772" s="23" t="str">
        <f>HYPERLINK("https://www.spark-marketing.ru/Card/Person/9157", "ФКУ ""ЦХИСО ГУ МВД РОССИИ ПО СВЕРДЛОВСКОЙ ОБЛАСТИ""")</f>
        <v>ФКУ "ЦХИСО ГУ МВД РОССИИ ПО СВЕРДЛОВСКОЙ ОБЛАСТИ"</v>
      </c>
      <c r="B14772" s="24" t="s">
        <v>18613</v>
      </c>
      <c r="C14772" s="25">
        <v>24684862.640000001</v>
      </c>
      <c r="D14772" s="22" t="s">
        <v>19581</v>
      </c>
      <c r="E14772" s="22" t="s">
        <v>48</v>
      </c>
      <c r="F14772" s="23" t="str">
        <f>HYPERLINK("https://www.spark-marketing.ru/Card/Lot/71758540", "Закупка услуг по организации питания  слушателей ЦПП ГУ МВД России по Свердловской области.")</f>
        <v>Закупка услуг по организации питания  слушателей ЦПП ГУ МВД России по Свердловской области.</v>
      </c>
      <c r="G14772" s="22" t="s">
        <v>174</v>
      </c>
      <c r="H14772" s="22" t="s">
        <v>174</v>
      </c>
      <c r="I14772" s="26">
        <v>43644.370833333298</v>
      </c>
      <c r="J14772" s="23" t="str">
        <f>HYPERLINK("https://www.spark-marketing.ru/Card/Person/4868934", "ООО ""АЗБУКА ПИТАНИЯ""")</f>
        <v>ООО "АЗБУКА ПИТАНИЯ"</v>
      </c>
      <c r="K14772" s="24" t="s">
        <v>2534</v>
      </c>
      <c r="L14772" s="22" t="s">
        <v>10</v>
      </c>
      <c r="M14772" s="28" t="s">
        <v>51</v>
      </c>
      <c r="N14772" s="28" t="s">
        <v>51</v>
      </c>
    </row>
    <row r="14773" spans="1:14" x14ac:dyDescent="0.15">
      <c r="A14773" s="23" t="str">
        <f>HYPERLINK("https://www.spark-marketing.ru/Card/Person/108558", "МУ МВД РОССИИ ""ЯКУТСКОЕ""")</f>
        <v>МУ МВД РОССИИ "ЯКУТСКОЕ"</v>
      </c>
      <c r="B14773" s="24" t="s">
        <v>6165</v>
      </c>
      <c r="C14773" s="25">
        <v>41429.4</v>
      </c>
      <c r="D14773" s="22" t="s">
        <v>19582</v>
      </c>
      <c r="E14773" s="22" t="s">
        <v>48</v>
      </c>
      <c r="F14773" s="23" t="str">
        <f>HYPERLINK("https://www.spark-marketing.ru/Card/Lot/71757247",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4773" s="22" t="s">
        <v>241</v>
      </c>
      <c r="H14773" s="22" t="s">
        <v>242</v>
      </c>
      <c r="I14773" s="26">
        <v>43644.311041666697</v>
      </c>
      <c r="J14773" s="28" t="s">
        <v>51</v>
      </c>
      <c r="K14773" s="28" t="s">
        <v>51</v>
      </c>
      <c r="L14773" s="28" t="s">
        <v>51</v>
      </c>
      <c r="M14773" s="28" t="s">
        <v>51</v>
      </c>
      <c r="N14773" s="28" t="s">
        <v>51</v>
      </c>
    </row>
    <row r="14774" spans="1:14" x14ac:dyDescent="0.15">
      <c r="A14774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14774" s="24" t="s">
        <v>850</v>
      </c>
      <c r="C14774" s="25">
        <v>3390000</v>
      </c>
      <c r="D14774" s="22" t="s">
        <v>19583</v>
      </c>
      <c r="E14774" s="22" t="s">
        <v>48</v>
      </c>
      <c r="F14774" s="23" t="str">
        <f>HYPERLINK("https://www.spark-marketing.ru/Card/Lot/71758479", "Оказание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МВД по Удмуртской Республике осуществляющегося путем доставки готовой продукции на...")</f>
        <v>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МВД по Удмуртской Республике осуществляющегося путем доставки готовой продукции на...</v>
      </c>
      <c r="G14774" s="22" t="s">
        <v>852</v>
      </c>
      <c r="H14774" s="22" t="s">
        <v>852</v>
      </c>
      <c r="I14774" s="26">
        <v>43644.329166666699</v>
      </c>
      <c r="J14774" s="23" t="str">
        <f>HYPERLINK("https://www.spark-marketing.ru/Card/Person/818589", "Дунаева Елена Евгеньевна")</f>
        <v>Дунаева Елена Евгеньевна</v>
      </c>
      <c r="K14774" s="24" t="s">
        <v>4356</v>
      </c>
      <c r="L14774" s="22" t="s">
        <v>10</v>
      </c>
      <c r="M14774" s="28" t="s">
        <v>51</v>
      </c>
      <c r="N14774" s="28" t="s">
        <v>51</v>
      </c>
    </row>
    <row r="14775" spans="1:14" x14ac:dyDescent="0.15">
      <c r="A14775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14775" s="24" t="s">
        <v>850</v>
      </c>
      <c r="C14775" s="25">
        <v>22290000</v>
      </c>
      <c r="D14775" s="22" t="s">
        <v>19584</v>
      </c>
      <c r="E14775" s="22" t="s">
        <v>48</v>
      </c>
      <c r="F14775" s="23" t="str">
        <f>HYPERLINK("https://www.spark-marketing.ru/Card/Lot/71758536", "Оказание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 на 2020-2021 года")</f>
        <v>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 на 2020-2021 года</v>
      </c>
      <c r="G14775" s="22" t="s">
        <v>852</v>
      </c>
      <c r="H14775" s="22" t="s">
        <v>852</v>
      </c>
      <c r="I14775" s="26">
        <v>43644.328472222202</v>
      </c>
      <c r="J14775" s="28" t="s">
        <v>51</v>
      </c>
      <c r="K14775" s="28" t="s">
        <v>51</v>
      </c>
      <c r="L14775" s="28" t="s">
        <v>51</v>
      </c>
      <c r="M14775" s="28" t="s">
        <v>51</v>
      </c>
      <c r="N14775" s="28" t="s">
        <v>51</v>
      </c>
    </row>
    <row r="14776" spans="1:14" x14ac:dyDescent="0.15">
      <c r="A14776" s="23" t="str">
        <f>HYPERLINK("https://www.spark-marketing.ru/Card/Person/4449632", "МОУ ""СОШ № 67"" ГОРОДА МАГНИТОГОРСКА")</f>
        <v>МОУ "СОШ № 67" ГОРОДА МАГНИТОГОРСКА</v>
      </c>
      <c r="B14776" s="24" t="s">
        <v>19585</v>
      </c>
      <c r="C14776" s="25">
        <v>541046</v>
      </c>
      <c r="D14776" s="22" t="s">
        <v>19586</v>
      </c>
      <c r="E14776" s="22" t="s">
        <v>362</v>
      </c>
      <c r="F14776" s="23" t="str">
        <f>HYPERLINK("https://www.spark-marketing.ru/Card/Lot/71755719", "Услуги по организации питания")</f>
        <v>Услуги по организации питания</v>
      </c>
      <c r="G14776" s="22" t="s">
        <v>469</v>
      </c>
      <c r="H14776" s="22" t="s">
        <v>469</v>
      </c>
      <c r="I14776" s="26">
        <v>43644.2944907407</v>
      </c>
      <c r="J14776" s="28" t="s">
        <v>51</v>
      </c>
      <c r="K14776" s="28" t="s">
        <v>51</v>
      </c>
      <c r="L14776" s="28" t="s">
        <v>51</v>
      </c>
      <c r="M14776" s="28" t="s">
        <v>51</v>
      </c>
      <c r="N14776" s="28" t="s">
        <v>51</v>
      </c>
    </row>
    <row r="14777" spans="1:14" x14ac:dyDescent="0.15">
      <c r="A14777" s="23" t="str">
        <f>HYPERLINK("https://www.spark-marketing.ru/Card/Person/1043239", "ОМВД РОССИИ ПО ЧЕРЛАКСКОМУ РАЙОНУ")</f>
        <v>ОМВД РОССИИ ПО ЧЕРЛАКСКОМУ РАЙОНУ</v>
      </c>
      <c r="B14777" s="24" t="s">
        <v>11089</v>
      </c>
      <c r="C14777" s="25">
        <v>12372.5</v>
      </c>
      <c r="D14777" s="22" t="s">
        <v>19587</v>
      </c>
      <c r="E14777" s="22" t="s">
        <v>48</v>
      </c>
      <c r="F14777" s="23" t="str">
        <f>HYPERLINK("https://www.spark-marketing.ru/Card/Lot/71756013",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4777" s="22" t="s">
        <v>487</v>
      </c>
      <c r="H14777" s="22" t="s">
        <v>11091</v>
      </c>
      <c r="I14777" s="26">
        <v>43644.278749999998</v>
      </c>
      <c r="J14777" s="28" t="s">
        <v>51</v>
      </c>
      <c r="K14777" s="28" t="s">
        <v>51</v>
      </c>
      <c r="L14777" s="28" t="s">
        <v>51</v>
      </c>
      <c r="M14777" s="28" t="s">
        <v>51</v>
      </c>
      <c r="N14777" s="28" t="s">
        <v>51</v>
      </c>
    </row>
    <row r="14778" spans="1:14" x14ac:dyDescent="0.15">
      <c r="A14778" s="23" t="str">
        <f>HYPERLINK("https://www.spark-marketing.ru/Card/Person/4343663", "МИНЗДРАВ АЛТАЙСКОГО КРАЯ")</f>
        <v>МИНЗДРАВ АЛТАЙСКОГО КРАЯ</v>
      </c>
      <c r="B14778" s="24" t="s">
        <v>9429</v>
      </c>
      <c r="C14778" s="25">
        <v>99120</v>
      </c>
      <c r="D14778" s="22" t="s">
        <v>19588</v>
      </c>
      <c r="E14778" s="22" t="s">
        <v>336</v>
      </c>
      <c r="F14778" s="23" t="str">
        <f>HYPERLINK("https://www.spark-marketing.ru/Card/Lot/71756793",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4778" s="22" t="s">
        <v>63</v>
      </c>
      <c r="H14778" s="22" t="s">
        <v>177</v>
      </c>
      <c r="I14778" s="26">
        <v>43644.290972222203</v>
      </c>
      <c r="J14778" s="28" t="s">
        <v>51</v>
      </c>
      <c r="K14778" s="28" t="s">
        <v>51</v>
      </c>
      <c r="L14778" s="28" t="s">
        <v>51</v>
      </c>
      <c r="M14778" s="28" t="s">
        <v>51</v>
      </c>
      <c r="N14778" s="28" t="s">
        <v>51</v>
      </c>
    </row>
    <row r="14779" spans="1:14" x14ac:dyDescent="0.15">
      <c r="A14779" s="23" t="str">
        <f>HYPERLINK("https://www.spark-marketing.ru/Card/Person/1081023", "ФКУ ""ЦУКС ГУ МЧС РОССИИ ПО КАМЧАТСКОМУ КРАЮ""")</f>
        <v>ФКУ "ЦУКС ГУ МЧС РОССИИ ПО КАМЧАТСКОМУ КРАЮ"</v>
      </c>
      <c r="B14779" s="24" t="s">
        <v>19589</v>
      </c>
      <c r="C14779" s="25">
        <v>84163.199999999997</v>
      </c>
      <c r="D14779" s="22" t="s">
        <v>19590</v>
      </c>
      <c r="E14779" s="22" t="s">
        <v>96</v>
      </c>
      <c r="F14779" s="23" t="str">
        <f>HYPERLINK("https://www.spark-marketing.ru/Card/Lot/71753189", "Услуга по питанию, 196 шт")</f>
        <v>Услуга по питанию, 196 шт</v>
      </c>
      <c r="G14779" s="22" t="s">
        <v>246</v>
      </c>
      <c r="H14779" s="22" t="s">
        <v>247</v>
      </c>
      <c r="I14779" s="26">
        <v>43644.1244560185</v>
      </c>
      <c r="J14779" s="28" t="s">
        <v>51</v>
      </c>
      <c r="K14779" s="28" t="s">
        <v>51</v>
      </c>
      <c r="L14779" s="28" t="s">
        <v>51</v>
      </c>
      <c r="M14779" s="28" t="s">
        <v>51</v>
      </c>
      <c r="N14779" s="28" t="s">
        <v>51</v>
      </c>
    </row>
    <row r="14780" spans="1:14" x14ac:dyDescent="0.15">
      <c r="A14780" s="23" t="str">
        <f>HYPERLINK("https://www.spark-marketing.ru/Card/Person/6450322", "ЗАКАЗЧИК РП БЕЛАРУСЬ")</f>
        <v>ЗАКАЗЧИК РП БЕЛАРУСЬ</v>
      </c>
      <c r="B14780" s="28" t="s">
        <v>51</v>
      </c>
      <c r="C14780" s="25">
        <v>24710320</v>
      </c>
      <c r="D14780" s="22" t="s">
        <v>19591</v>
      </c>
      <c r="E14780" s="22" t="s">
        <v>52</v>
      </c>
      <c r="F14780" s="23" t="str">
        <f>HYPERLINK("https://www.spark-marketing.ru/Card/Lot/71810867", "Услуги по перевозке продуктов питания. с пункта загрузки до пункта назначения транспортным средством грузоподъемностью _от 1,5т до 3 т, объем транспортного средства от 10 м 3 до 15 м 3 По Минскому району.")</f>
        <v>Услуги по перевозке продуктов питания. с пункта загрузки до пункта назначения транспортным средством грузоподъемностью _от 1,5т до 3 т, объем транспортного средства от 10 м 3 до 15 м 3 По Минскому району.</v>
      </c>
      <c r="G14780" s="22" t="s">
        <v>51</v>
      </c>
      <c r="H14780" s="22" t="s">
        <v>51</v>
      </c>
      <c r="I14780" s="26">
        <v>43644</v>
      </c>
      <c r="J14780" s="28" t="s">
        <v>51</v>
      </c>
      <c r="K14780" s="28" t="s">
        <v>51</v>
      </c>
      <c r="L14780" s="28" t="s">
        <v>51</v>
      </c>
      <c r="M14780" s="28" t="s">
        <v>51</v>
      </c>
      <c r="N14780" s="28" t="s">
        <v>51</v>
      </c>
    </row>
    <row r="14781" spans="1:14" x14ac:dyDescent="0.15">
      <c r="A14781" s="23" t="str">
        <f>HYPERLINK("https://www.spark-marketing.ru/Card/Person/6450322", "ЗАКАЗЧИК РП БЕЛАРУСЬ")</f>
        <v>ЗАКАЗЧИК РП БЕЛАРУСЬ</v>
      </c>
      <c r="B14781" s="28" t="s">
        <v>51</v>
      </c>
      <c r="C14781" s="25">
        <v>18532740</v>
      </c>
      <c r="D14781" s="22" t="s">
        <v>19591</v>
      </c>
      <c r="E14781" s="22" t="s">
        <v>52</v>
      </c>
      <c r="F14781" s="23" t="str">
        <f>HYPERLINK("https://www.spark-marketing.ru/Card/Lot/71810864", "Услуги по перевозке продуктов питания. с пункта загрузки до пункта назначения транспортным средством грузоподъемностью _от 1,5т до 3 т, объем транспортного средства от 10 м 3 до 15 м 3 По г.Минску")</f>
        <v>Услуги по перевозке продуктов питания. с пункта загрузки до пункта назначения транспортным средством грузоподъемностью _от 1,5т до 3 т, объем транспортного средства от 10 м 3 до 15 м 3 По г.Минску</v>
      </c>
      <c r="G14781" s="22" t="s">
        <v>51</v>
      </c>
      <c r="H14781" s="22" t="s">
        <v>51</v>
      </c>
      <c r="I14781" s="26">
        <v>43644</v>
      </c>
      <c r="J14781" s="28" t="s">
        <v>51</v>
      </c>
      <c r="K14781" s="28" t="s">
        <v>51</v>
      </c>
      <c r="L14781" s="28" t="s">
        <v>51</v>
      </c>
      <c r="M14781" s="28" t="s">
        <v>51</v>
      </c>
      <c r="N14781" s="28" t="s">
        <v>51</v>
      </c>
    </row>
    <row r="14782" spans="1:14" x14ac:dyDescent="0.15">
      <c r="A14782" s="23" t="str">
        <f>HYPERLINK("https://www.spark-marketing.ru/Card/Person/6450322", "ЗАКАЗЧИК РП БЕЛАРУСЬ")</f>
        <v>ЗАКАЗЧИК РП БЕЛАРУСЬ</v>
      </c>
      <c r="B14782" s="28" t="s">
        <v>51</v>
      </c>
      <c r="C14782" s="25">
        <v>1235516</v>
      </c>
      <c r="D14782" s="22" t="s">
        <v>19592</v>
      </c>
      <c r="E14782" s="22" t="s">
        <v>52</v>
      </c>
      <c r="F14782" s="23" t="str">
        <f>HYPERLINK("https://www.spark-marketing.ru/Card/Lot/71774424", "Работы (услуги) по ремонту источника бесперебойного питания Riello UPS Master Dialog RT к томографу ядерно-магнитно-резонансному компьютерному GYROSCAN INTERA 1,0Т, производства Philips (Нидерланды)")</f>
        <v>Работы (услуги) по ремонту источника бесперебойного питания Riello UPS Master Dialog RT к томографу ядерно-магнитно-резонансному компьютерному GYROSCAN INTERA 1,0Т, производства Philips (Нидерланды)</v>
      </c>
      <c r="G14782" s="22" t="s">
        <v>51</v>
      </c>
      <c r="H14782" s="22" t="s">
        <v>51</v>
      </c>
      <c r="I14782" s="26">
        <v>43644</v>
      </c>
      <c r="J14782" s="28" t="s">
        <v>51</v>
      </c>
      <c r="K14782" s="28" t="s">
        <v>51</v>
      </c>
      <c r="L14782" s="28" t="s">
        <v>51</v>
      </c>
      <c r="M14782" s="28" t="s">
        <v>51</v>
      </c>
      <c r="N14782" s="28" t="s">
        <v>51</v>
      </c>
    </row>
    <row r="14783" spans="1:14" x14ac:dyDescent="0.15">
      <c r="A14783" s="23" t="str">
        <f>HYPERLINK("https://www.spark-marketing.ru/Card/Person/1078100", "МБДОУ №84 Г.ШАХТЫ")</f>
        <v>МБДОУ №84 Г.ШАХТЫ</v>
      </c>
      <c r="B14783" s="24" t="s">
        <v>16505</v>
      </c>
      <c r="C14783" s="25">
        <v>193765.8</v>
      </c>
      <c r="D14783" s="22" t="s">
        <v>19593</v>
      </c>
      <c r="E14783" s="22" t="s">
        <v>48</v>
      </c>
      <c r="F14783" s="23" t="str">
        <f>HYPERLINK("https://www.spark-marketing.ru/Card/Lot/71750396", "Услуги по организации питания")</f>
        <v>Услуги по организации питания</v>
      </c>
      <c r="G14783" s="22" t="s">
        <v>267</v>
      </c>
      <c r="H14783" s="22" t="s">
        <v>4874</v>
      </c>
      <c r="I14783" s="26">
        <v>43643.885416666701</v>
      </c>
      <c r="J14783" s="28" t="s">
        <v>51</v>
      </c>
      <c r="K14783" s="28" t="s">
        <v>51</v>
      </c>
      <c r="L14783" s="28" t="s">
        <v>51</v>
      </c>
      <c r="M14783" s="28" t="s">
        <v>51</v>
      </c>
      <c r="N14783" s="28" t="s">
        <v>51</v>
      </c>
    </row>
    <row r="14784" spans="1:14" x14ac:dyDescent="0.2">
      <c r="A14784" s="23" t="str">
        <f>HYPERLINK("https://www.spark-marketing.ru/Card/Person/741139", "ГОУ РК ""ФМЛИ""")</f>
        <v>ГОУ РК "ФМЛИ"</v>
      </c>
      <c r="B14784" s="24" t="s">
        <v>19594</v>
      </c>
      <c r="C14784" s="25">
        <v>5203169.4000000004</v>
      </c>
      <c r="D14784" s="22" t="s">
        <v>19595</v>
      </c>
      <c r="E14784" s="22" t="s">
        <v>362</v>
      </c>
      <c r="F14784" s="23" t="str">
        <f>HYPERLINK("https://www.spark-marketing.ru/Card/Lot/71746799", "Оказание услуг по организации, приготовлению и предоставлению питания обучающимся")</f>
        <v>Оказание услуг по организации, приготовлению и предоставлению питания обучающимся</v>
      </c>
      <c r="G14784" s="22" t="s">
        <v>271</v>
      </c>
      <c r="H14784" s="22" t="s">
        <v>271</v>
      </c>
      <c r="I14784" s="26">
        <v>43643.809155092596</v>
      </c>
      <c r="J14784" s="28" t="s">
        <v>51</v>
      </c>
      <c r="K14784" s="28" t="s">
        <v>51</v>
      </c>
      <c r="L14784" s="22" t="s">
        <v>10</v>
      </c>
      <c r="M14784" s="25">
        <v>5191470</v>
      </c>
      <c r="N14784" s="27">
        <v>2.2485141460126209E-3</v>
      </c>
    </row>
    <row r="14785" spans="1:14" x14ac:dyDescent="0.2">
      <c r="A14785" s="23" t="str">
        <f>HYPERLINK("https://www.spark-marketing.ru/Card/Person/101584", "РГУ НЕФТИ И ГАЗА (НИУ) ИМЕНИ И.М. ГУБКИНА; ФГАОУ ВО ""РГУ НЕФТИ И ГАЗА (НИУ) ИМЕНИ И.М. ГУБКИНА""; ГУБКИНСКИЙ УНИВЕРСИТЕТ")</f>
        <v>РГУ НЕФТИ И ГАЗА (НИУ) ИМЕНИ И.М. ГУБКИНА; ФГАОУ ВО "РГУ НЕФТИ И ГАЗА (НИУ) ИМЕНИ И.М. ГУБКИНА"; ГУБКИНСКИЙ УНИВЕРСИТЕТ</v>
      </c>
      <c r="B14785" s="24" t="s">
        <v>19596</v>
      </c>
      <c r="C14785" s="25">
        <v>4179330</v>
      </c>
      <c r="D14785" s="22" t="s">
        <v>19597</v>
      </c>
      <c r="E14785" s="22" t="s">
        <v>580</v>
      </c>
      <c r="F14785" s="23" t="str">
        <f>HYPERLINK("https://www.spark-marketing.ru/Card/Lot/71747843", "Закупка услуг по организации питания работников и обучающихся РГУ нефти и газа (НИУ) имени И.М. Губкина")</f>
        <v>Закупка услуг по организации питания работников и обучающихся РГУ нефти и газа (НИУ) имени И.М. Губкина</v>
      </c>
      <c r="G14785" s="22" t="s">
        <v>56</v>
      </c>
      <c r="H14785" s="22" t="s">
        <v>56</v>
      </c>
      <c r="I14785" s="26">
        <v>43643.821469907401</v>
      </c>
      <c r="J14785" s="28" t="s">
        <v>51</v>
      </c>
      <c r="K14785" s="28" t="s">
        <v>51</v>
      </c>
      <c r="L14785" s="22" t="s">
        <v>10</v>
      </c>
      <c r="M14785" s="25">
        <v>4000000</v>
      </c>
      <c r="N14785" s="27">
        <v>4.2908791600567556E-2</v>
      </c>
    </row>
    <row r="14786" spans="1:14" x14ac:dyDescent="0.15">
      <c r="A14786" s="23" t="str">
        <f>HYPERLINK("https://www.spark-marketing.ru/Card/Person/4414853", "ГАУК АО ""АГТОБ""")</f>
        <v>ГАУК АО "АГТОБ"</v>
      </c>
      <c r="B14786" s="24" t="s">
        <v>4813</v>
      </c>
      <c r="C14786" s="25">
        <v>310700</v>
      </c>
      <c r="D14786" s="22" t="s">
        <v>19598</v>
      </c>
      <c r="E14786" s="22" t="s">
        <v>769</v>
      </c>
      <c r="F14786" s="23" t="str">
        <f>HYPERLINK("https://www.spark-marketing.ru/Card/Lot/71746782", "Оказание услуг по проживанию и питанию гостей Театра в отеле")</f>
        <v>Оказание услуг по проживанию и питанию гостей Театра в отеле</v>
      </c>
      <c r="G14786" s="22" t="s">
        <v>141</v>
      </c>
      <c r="H14786" s="22" t="s">
        <v>141</v>
      </c>
      <c r="I14786" s="26">
        <v>43643.803645833301</v>
      </c>
      <c r="J14786" s="28" t="s">
        <v>51</v>
      </c>
      <c r="K14786" s="28" t="s">
        <v>51</v>
      </c>
      <c r="L14786" s="28" t="s">
        <v>51</v>
      </c>
      <c r="M14786" s="28" t="s">
        <v>51</v>
      </c>
      <c r="N14786" s="28" t="s">
        <v>51</v>
      </c>
    </row>
    <row r="14787" spans="1:14" x14ac:dyDescent="0.15">
      <c r="A14787" s="23" t="str">
        <f>HYPERLINK("https://www.spark-marketing.ru/Card/Person/6484384", "ОГБУЗ ""СТАРООСКОЛЬСКАЯ ОКРУЖНАЯ БОЛЬНИЦА СВЯТИТЕЛЯ ЛУКИ КРЫМСКОГО""")</f>
        <v>ОГБУЗ "СТАРООСКОЛЬСКАЯ ОКРУЖНАЯ БОЛЬНИЦА СВЯТИТЕЛЯ ЛУКИ КРЫМСКОГО"</v>
      </c>
      <c r="B14787" s="24" t="s">
        <v>19599</v>
      </c>
      <c r="C14787" s="25">
        <v>2000320</v>
      </c>
      <c r="D14787" s="22" t="s">
        <v>19600</v>
      </c>
      <c r="E14787" s="22" t="s">
        <v>51</v>
      </c>
      <c r="F14787" s="23" t="str">
        <f>HYPERLINK("https://www.spark-marketing.ru/Card/Lot/71749992", "Оказание услуг по ремонту компьютерного томографа «Aquilion 16» Тoshiba  с заменой источника бесперебойного питания")</f>
        <v>Оказание услуг по ремонту компьютерного томографа «Aquilion 16» Тoshiba  с заменой источника бесперебойного питания</v>
      </c>
      <c r="G14787" s="22" t="s">
        <v>696</v>
      </c>
      <c r="H14787" s="22" t="s">
        <v>696</v>
      </c>
      <c r="I14787" s="26">
        <v>43643.752083333296</v>
      </c>
      <c r="J14787" s="28" t="s">
        <v>51</v>
      </c>
      <c r="K14787" s="28" t="s">
        <v>51</v>
      </c>
      <c r="L14787" s="28" t="s">
        <v>51</v>
      </c>
      <c r="M14787" s="28" t="s">
        <v>51</v>
      </c>
      <c r="N14787" s="28" t="s">
        <v>51</v>
      </c>
    </row>
    <row r="14788" spans="1:14" x14ac:dyDescent="0.2">
      <c r="A14788" s="23" t="str">
        <f>HYPERLINK("https://www.spark-marketing.ru/Card/Person/221643", "ГАУЗ ""ДКБ Г. УЛАН-УДЭ""")</f>
        <v>ГАУЗ "ДКБ Г. УЛАН-УДЭ"</v>
      </c>
      <c r="B14788" s="24" t="s">
        <v>19601</v>
      </c>
      <c r="C14788" s="25">
        <v>6998690</v>
      </c>
      <c r="D14788" s="22" t="s">
        <v>19602</v>
      </c>
      <c r="E14788" s="22" t="s">
        <v>362</v>
      </c>
      <c r="F14788" s="23" t="str">
        <f>HYPERLINK("https://www.spark-marketing.ru/Card/Lot/71731184", "Оказание услуг по организации горячего лечебного питания пациентов, находящихся на стационарном лечении в ГАУЗ «ДКБ г. Улан-Удэ»")</f>
        <v>Оказание услуг по организации горячего лечебного питания пациентов, находящихся на стационарном лечении в ГАУЗ «ДКБ г. Улан-Удэ»</v>
      </c>
      <c r="G14788" s="22" t="s">
        <v>433</v>
      </c>
      <c r="H14788" s="22" t="s">
        <v>433</v>
      </c>
      <c r="I14788" s="26">
        <v>43643.767615740697</v>
      </c>
      <c r="J14788" s="28" t="s">
        <v>51</v>
      </c>
      <c r="K14788" s="28" t="s">
        <v>51</v>
      </c>
      <c r="L14788" s="22" t="s">
        <v>10</v>
      </c>
      <c r="M14788" s="25">
        <v>6633661</v>
      </c>
      <c r="N14788" s="27">
        <v>5.2156760765228918E-2</v>
      </c>
    </row>
    <row r="14789" spans="1:14" x14ac:dyDescent="0.15">
      <c r="A14789" s="23" t="str">
        <f>HYPERLINK("https://www.spark-marketing.ru/Card/Person/24236", "ТЫВИНСКАЯ ТАМОЖНЯ")</f>
        <v>ТЫВИНСКАЯ ТАМОЖНЯ</v>
      </c>
      <c r="B14789" s="24" t="s">
        <v>19603</v>
      </c>
      <c r="C14789" s="25">
        <v>69600</v>
      </c>
      <c r="D14789" s="22" t="s">
        <v>19604</v>
      </c>
      <c r="E14789" s="22" t="s">
        <v>355</v>
      </c>
      <c r="F14789" s="23" t="str">
        <f>HYPERLINK("https://www.spark-marketing.ru/Card/Lot/71741940", "Оказание услуг по техническому обслуживанию источника бесперебойного питания Chloride NX 60 кВа системы бесперебойного гарантированного электроснабжения")</f>
        <v>Оказание услуг по техническому обслуживанию источника бесперебойного питания Chloride NX 60 кВа системы бесперебойного гарантированного электроснабжения</v>
      </c>
      <c r="G14789" s="22" t="s">
        <v>327</v>
      </c>
      <c r="H14789" s="22" t="s">
        <v>328</v>
      </c>
      <c r="I14789" s="26">
        <v>43643.766666666699</v>
      </c>
      <c r="J14789" s="23" t="str">
        <f>HYPERLINK("https://www.spark-marketing.ru/Card/Person/364476", "Монге Сергей Бурбушевич")</f>
        <v>Монге Сергей Бурбушевич</v>
      </c>
      <c r="K14789" s="24" t="s">
        <v>19605</v>
      </c>
      <c r="L14789" s="22" t="s">
        <v>10</v>
      </c>
      <c r="M14789" s="28" t="s">
        <v>51</v>
      </c>
      <c r="N14789" s="28" t="s">
        <v>51</v>
      </c>
    </row>
    <row r="14790" spans="1:14" x14ac:dyDescent="0.15">
      <c r="A14790" s="23" t="str">
        <f>HYPERLINK("https://www.spark-marketing.ru/Card/Person/813638", "ОТДЕЛ МВД РОССИИ ПО ДРОЖЖАНОВСКОМУ РАЙОНУ")</f>
        <v>ОТДЕЛ МВД РОССИИ ПО ДРОЖЖАНОВСКОМУ РАЙОНУ</v>
      </c>
      <c r="B14790" s="24" t="s">
        <v>19606</v>
      </c>
      <c r="C14790" s="25">
        <v>35000</v>
      </c>
      <c r="D14790" s="22" t="s">
        <v>19607</v>
      </c>
      <c r="E14790" s="22" t="s">
        <v>48</v>
      </c>
      <c r="F14790" s="23" t="str">
        <f>HYPERLINK("https://www.spark-marketing.ru/Card/Lot/71740313", "Услуги по обеспечению питания лиц содержащихся в спец. помещениях задержанных лиц, 2 усл. ед")</f>
        <v>Услуги по обеспечению питания лиц содержащихся в спец. помещениях задержанных лиц, 2 усл. ед</v>
      </c>
      <c r="G14790" s="22" t="s">
        <v>217</v>
      </c>
      <c r="H14790" s="22" t="s">
        <v>19608</v>
      </c>
      <c r="I14790" s="26">
        <v>43643.717025462996</v>
      </c>
      <c r="J14790" s="28" t="s">
        <v>51</v>
      </c>
      <c r="K14790" s="28" t="s">
        <v>51</v>
      </c>
      <c r="L14790" s="28" t="s">
        <v>51</v>
      </c>
      <c r="M14790" s="28" t="s">
        <v>51</v>
      </c>
      <c r="N14790" s="28" t="s">
        <v>51</v>
      </c>
    </row>
    <row r="14791" spans="1:14" x14ac:dyDescent="0.15">
      <c r="A14791" s="23" t="str">
        <f>HYPERLINK("https://www.spark-marketing.ru/Card/Person/2867", "ФГБУ ""НМИЦ ГБ ИМ. ГЕЛЬМГОЛЬЦА"" МИНЗДРАВА РОССИИ")</f>
        <v>ФГБУ "НМИЦ ГБ ИМ. ГЕЛЬМГОЛЬЦА" МИНЗДРАВА РОССИИ</v>
      </c>
      <c r="B14791" s="24" t="s">
        <v>11055</v>
      </c>
      <c r="C14791" s="25">
        <v>580709.93000000005</v>
      </c>
      <c r="D14791" s="22" t="s">
        <v>19609</v>
      </c>
      <c r="E14791" s="22" t="s">
        <v>152</v>
      </c>
      <c r="F14791" s="23" t="str">
        <f>HYPERLINK("https://www.spark-marketing.ru/Card/Lot/71748315", "Оказание услуг по ремонту медицинского оборудования №3")</f>
        <v>Оказание услуг по ремонту медицинского оборудования №3</v>
      </c>
      <c r="G14791" s="22" t="s">
        <v>56</v>
      </c>
      <c r="H14791" s="22" t="s">
        <v>56</v>
      </c>
      <c r="I14791" s="26">
        <v>43643.725694444402</v>
      </c>
      <c r="J14791" s="28" t="s">
        <v>51</v>
      </c>
      <c r="K14791" s="28" t="s">
        <v>51</v>
      </c>
      <c r="L14791" s="28" t="s">
        <v>51</v>
      </c>
      <c r="M14791" s="28" t="s">
        <v>51</v>
      </c>
      <c r="N14791" s="28" t="s">
        <v>51</v>
      </c>
    </row>
    <row r="14792" spans="1:14" ht="12.75" hidden="1" outlineLevel="1" x14ac:dyDescent="0.2">
      <c r="A14792" s="23" t="str">
        <f>HYPERLINK("https://www.spark-marketing.ru/Card/Person/2867", "ФГБУ ""НМИЦ ГБ ИМ. ГЕЛЬМГОЛЬЦА"" МИНЗДРАВА РОССИИ")</f>
        <v>ФГБУ "НМИЦ ГБ ИМ. ГЕЛЬМГОЛЬЦА" МИНЗДРАВА РОССИИ</v>
      </c>
      <c r="B14792" s="24" t="s">
        <v>11055</v>
      </c>
      <c r="C14792" s="25">
        <v>580709.93000000005</v>
      </c>
      <c r="D14792" s="22" t="s">
        <v>19609</v>
      </c>
      <c r="E14792" s="22" t="s">
        <v>152</v>
      </c>
      <c r="F14792" s="23" t="str">
        <f>HYPERLINK("https://www.spark-marketing.ru/Card/Lot/71748315", "Оказание услуг по ремонту медицинского оборудования №3")</f>
        <v>Оказание услуг по ремонту медицинского оборудования №3</v>
      </c>
      <c r="G14792" s="22" t="s">
        <v>56</v>
      </c>
      <c r="H14792" s="22" t="s">
        <v>56</v>
      </c>
      <c r="I14792" s="26">
        <v>43643.725694444402</v>
      </c>
      <c r="J14792" s="23" t="str">
        <f>HYPERLINK("https://www.spark-marketing.ru/Card/Person/1328364", "ООО ""МЕДИКОМ СИ""")</f>
        <v>ООО "МЕДИКОМ СИ"</v>
      </c>
      <c r="K14792" s="24" t="s">
        <v>19610</v>
      </c>
      <c r="L14792" s="22" t="s">
        <v>10</v>
      </c>
      <c r="M14792" s="25">
        <v>560075.82999999996</v>
      </c>
      <c r="N14792" s="27">
        <v>3.5532542038673252E-2</v>
      </c>
    </row>
    <row r="14793" spans="1:14" hidden="1" outlineLevel="1" x14ac:dyDescent="0.2">
      <c r="A14793" s="23" t="str">
        <f>HYPERLINK("https://www.spark-marketing.ru/Card/Person/2867", "ФГБУ ""НМИЦ ГБ ИМ. ГЕЛЬМГОЛЬЦА"" МИНЗДРАВА РОССИИ")</f>
        <v>ФГБУ "НМИЦ ГБ ИМ. ГЕЛЬМГОЛЬЦА" МИНЗДРАВА РОССИИ</v>
      </c>
      <c r="B14793" s="24" t="s">
        <v>11055</v>
      </c>
      <c r="C14793" s="25">
        <v>580709.93000000005</v>
      </c>
      <c r="D14793" s="22" t="s">
        <v>19609</v>
      </c>
      <c r="E14793" s="22" t="s">
        <v>152</v>
      </c>
      <c r="F14793" s="23" t="str">
        <f>HYPERLINK("https://www.spark-marketing.ru/Card/Lot/71748315", "Оказание услуг по ремонту медицинского оборудования №3")</f>
        <v>Оказание услуг по ремонту медицинского оборудования №3</v>
      </c>
      <c r="G14793" s="22" t="s">
        <v>56</v>
      </c>
      <c r="H14793" s="22" t="s">
        <v>56</v>
      </c>
      <c r="I14793" s="26">
        <v>43643.725694444402</v>
      </c>
      <c r="J14793" s="23" t="str">
        <f>HYPERLINK("https://www.spark-marketing.ru/Card/Person/6597156", "ООО ""АЛЬФА МЕДИКА""")</f>
        <v>ООО "АЛЬФА МЕДИКА"</v>
      </c>
      <c r="K14793" s="24" t="s">
        <v>19611</v>
      </c>
      <c r="L14793" s="28" t="s">
        <v>51</v>
      </c>
      <c r="M14793" s="25">
        <v>562979.38</v>
      </c>
      <c r="N14793" s="27">
        <v>3.0532541435962703E-2</v>
      </c>
    </row>
    <row r="14794" spans="1:14" x14ac:dyDescent="0.15">
      <c r="A14794" s="23" t="str">
        <f>HYPERLINK("https://www.spark-marketing.ru/Card/Person/813638", "ОТДЕЛ МВД РОССИИ ПО ДРОЖЖАНОВСКОМУ РАЙОНУ")</f>
        <v>ОТДЕЛ МВД РОССИИ ПО ДРОЖЖАНОВСКОМУ РАЙОНУ</v>
      </c>
      <c r="B14794" s="24" t="s">
        <v>19606</v>
      </c>
      <c r="C14794" s="25">
        <v>95000</v>
      </c>
      <c r="D14794" s="22" t="s">
        <v>19612</v>
      </c>
      <c r="E14794" s="22" t="s">
        <v>48</v>
      </c>
      <c r="F14794" s="23" t="str">
        <f>HYPERLINK("https://www.spark-marketing.ru/Card/Lot/71740300", "Услуги по обеспечению питания лиц содержащихся в спец. помещениях задержанных лиц, 6 усл. ед")</f>
        <v>Услуги по обеспечению питания лиц содержащихся в спец. помещениях задержанных лиц, 6 усл. ед</v>
      </c>
      <c r="G14794" s="22" t="s">
        <v>217</v>
      </c>
      <c r="H14794" s="22" t="s">
        <v>19608</v>
      </c>
      <c r="I14794" s="26">
        <v>43643.714166666701</v>
      </c>
      <c r="J14794" s="28" t="s">
        <v>51</v>
      </c>
      <c r="K14794" s="28" t="s">
        <v>51</v>
      </c>
      <c r="L14794" s="28" t="s">
        <v>51</v>
      </c>
      <c r="M14794" s="28" t="s">
        <v>51</v>
      </c>
      <c r="N14794" s="28" t="s">
        <v>51</v>
      </c>
    </row>
    <row r="14795" spans="1:14" x14ac:dyDescent="0.15">
      <c r="A14795" s="23" t="str">
        <f>HYPERLINK("https://www.spark-marketing.ru/Card/Person/28252", "ОТДЕЛ МВД РОССИИ ПО БУДЕННОВСКОМУ РАЙОНУ")</f>
        <v>ОТДЕЛ МВД РОССИИ ПО БУДЕННОВСКОМУ РАЙОНУ</v>
      </c>
      <c r="B14795" s="24" t="s">
        <v>19613</v>
      </c>
      <c r="C14795" s="25">
        <v>2420000</v>
      </c>
      <c r="D14795" s="22" t="s">
        <v>19614</v>
      </c>
      <c r="E14795" s="22" t="s">
        <v>48</v>
      </c>
      <c r="F14795" s="23" t="str">
        <f>HYPERLINK("https://www.spark-marketing.ru/Card/Lot/71750290", "Питание арестованных")</f>
        <v>Питание арестованных</v>
      </c>
      <c r="G14795" s="22" t="s">
        <v>87</v>
      </c>
      <c r="H14795" s="22" t="s">
        <v>87</v>
      </c>
      <c r="I14795" s="26">
        <v>43643.717361111099</v>
      </c>
      <c r="J14795" s="23" t="str">
        <f>HYPERLINK("https://www.spark-marketing.ru/Card/Person/474972", "Асриян Александр Григорьевич")</f>
        <v>Асриян Александр Григорьевич</v>
      </c>
      <c r="K14795" s="24" t="s">
        <v>19615</v>
      </c>
      <c r="L14795" s="22" t="s">
        <v>10</v>
      </c>
      <c r="M14795" s="28" t="s">
        <v>51</v>
      </c>
      <c r="N14795" s="28" t="s">
        <v>51</v>
      </c>
    </row>
    <row r="14796" spans="1:14" x14ac:dyDescent="0.15">
      <c r="A14796" s="23" t="str">
        <f t="shared" ref="A14796:A14801" si="499">HYPERLINK("https://www.spark-marketing.ru/Card/Person/56849", "КГБУЗ ""АЛЕЙСКАЯ ЦРБ""")</f>
        <v>КГБУЗ "АЛЕЙСКАЯ ЦРБ"</v>
      </c>
      <c r="B14796" s="24" t="s">
        <v>19616</v>
      </c>
      <c r="C14796" s="25">
        <v>318190.40000000002</v>
      </c>
      <c r="D14796" s="22" t="s">
        <v>19617</v>
      </c>
      <c r="E14796" s="22" t="s">
        <v>62</v>
      </c>
      <c r="F14796" s="23" t="str">
        <f t="shared" ref="F14796:F14801" si="500">HYPERLINK("https://www.spark-marketing.ru/Card/Lot/71746550", "Поставка бланочной продукции на 2019-2020 годы")</f>
        <v>Поставка бланочной продукции на 2019-2020 годы</v>
      </c>
      <c r="G14796" s="22" t="s">
        <v>63</v>
      </c>
      <c r="H14796" s="22" t="s">
        <v>8780</v>
      </c>
      <c r="I14796" s="26">
        <v>43643.725694444402</v>
      </c>
      <c r="J14796" s="28" t="s">
        <v>51</v>
      </c>
      <c r="K14796" s="28" t="s">
        <v>51</v>
      </c>
      <c r="L14796" s="28" t="s">
        <v>51</v>
      </c>
      <c r="M14796" s="28" t="s">
        <v>51</v>
      </c>
      <c r="N14796" s="28" t="s">
        <v>51</v>
      </c>
    </row>
    <row r="14797" spans="1:14" hidden="1" outlineLevel="1" x14ac:dyDescent="0.2">
      <c r="A14797" s="23" t="str">
        <f t="shared" si="499"/>
        <v>КГБУЗ "АЛЕЙСКАЯ ЦРБ"</v>
      </c>
      <c r="B14797" s="24" t="s">
        <v>19616</v>
      </c>
      <c r="C14797" s="25">
        <v>318190.40000000002</v>
      </c>
      <c r="D14797" s="22" t="s">
        <v>19617</v>
      </c>
      <c r="E14797" s="22" t="s">
        <v>62</v>
      </c>
      <c r="F14797" s="23" t="str">
        <f t="shared" si="500"/>
        <v>Поставка бланочной продукции на 2019-2020 годы</v>
      </c>
      <c r="G14797" s="22" t="s">
        <v>63</v>
      </c>
      <c r="H14797" s="22" t="s">
        <v>8780</v>
      </c>
      <c r="I14797" s="26">
        <v>43643.725694444402</v>
      </c>
      <c r="J14797" s="23" t="str">
        <f>HYPERLINK("https://www.spark-marketing.ru/Card/Person/18182", "ЗАО ""КОМПАНИЯ ГРАФ""")</f>
        <v>ЗАО "КОМПАНИЯ ГРАФ"</v>
      </c>
      <c r="K14797" s="24" t="s">
        <v>19618</v>
      </c>
      <c r="L14797" s="28" t="s">
        <v>51</v>
      </c>
      <c r="M14797" s="25">
        <v>198866.84</v>
      </c>
      <c r="N14797" s="27">
        <v>0.37500678838833607</v>
      </c>
    </row>
    <row r="14798" spans="1:14" hidden="1" outlineLevel="1" x14ac:dyDescent="0.2">
      <c r="A14798" s="23" t="str">
        <f t="shared" si="499"/>
        <v>КГБУЗ "АЛЕЙСКАЯ ЦРБ"</v>
      </c>
      <c r="B14798" s="24" t="s">
        <v>19616</v>
      </c>
      <c r="C14798" s="25">
        <v>318190.40000000002</v>
      </c>
      <c r="D14798" s="22" t="s">
        <v>19617</v>
      </c>
      <c r="E14798" s="22" t="s">
        <v>62</v>
      </c>
      <c r="F14798" s="23" t="str">
        <f t="shared" si="500"/>
        <v>Поставка бланочной продукции на 2019-2020 годы</v>
      </c>
      <c r="G14798" s="22" t="s">
        <v>63</v>
      </c>
      <c r="H14798" s="22" t="s">
        <v>8780</v>
      </c>
      <c r="I14798" s="26">
        <v>43643.725694444402</v>
      </c>
      <c r="J14798" s="23" t="str">
        <f>HYPERLINK("https://www.spark-marketing.ru/Card/Person/447785", "Третьяков Александр Владиславович")</f>
        <v>Третьяков Александр Владиславович</v>
      </c>
      <c r="K14798" s="24" t="s">
        <v>5952</v>
      </c>
      <c r="L14798" s="28" t="s">
        <v>51</v>
      </c>
      <c r="M14798" s="25">
        <v>300000</v>
      </c>
      <c r="N14798" s="27">
        <v>5.7168286661068345E-2</v>
      </c>
    </row>
    <row r="14799" spans="1:14" ht="12.75" hidden="1" outlineLevel="1" x14ac:dyDescent="0.2">
      <c r="A14799" s="23" t="str">
        <f t="shared" si="499"/>
        <v>КГБУЗ "АЛЕЙСКАЯ ЦРБ"</v>
      </c>
      <c r="B14799" s="24" t="s">
        <v>19616</v>
      </c>
      <c r="C14799" s="25">
        <v>318190.40000000002</v>
      </c>
      <c r="D14799" s="22" t="s">
        <v>19617</v>
      </c>
      <c r="E14799" s="22" t="s">
        <v>62</v>
      </c>
      <c r="F14799" s="23" t="str">
        <f t="shared" si="500"/>
        <v>Поставка бланочной продукции на 2019-2020 годы</v>
      </c>
      <c r="G14799" s="22" t="s">
        <v>63</v>
      </c>
      <c r="H14799" s="22" t="s">
        <v>8780</v>
      </c>
      <c r="I14799" s="26">
        <v>43643.725694444402</v>
      </c>
      <c r="J14799" s="23" t="str">
        <f>HYPERLINK("https://www.spark-marketing.ru/Card/Person/6626088", "Шмелева Лилия Анатольевна")</f>
        <v>Шмелева Лилия Анатольевна</v>
      </c>
      <c r="K14799" s="24" t="s">
        <v>5169</v>
      </c>
      <c r="L14799" s="22" t="s">
        <v>10</v>
      </c>
      <c r="M14799" s="25">
        <v>176593.24</v>
      </c>
      <c r="N14799" s="27">
        <v>0.44500764322242281</v>
      </c>
    </row>
    <row r="14800" spans="1:14" hidden="1" outlineLevel="1" x14ac:dyDescent="0.2">
      <c r="A14800" s="23" t="str">
        <f t="shared" si="499"/>
        <v>КГБУЗ "АЛЕЙСКАЯ ЦРБ"</v>
      </c>
      <c r="B14800" s="24" t="s">
        <v>19616</v>
      </c>
      <c r="C14800" s="25">
        <v>318190.40000000002</v>
      </c>
      <c r="D14800" s="22" t="s">
        <v>19617</v>
      </c>
      <c r="E14800" s="22" t="s">
        <v>62</v>
      </c>
      <c r="F14800" s="23" t="str">
        <f t="shared" si="500"/>
        <v>Поставка бланочной продукции на 2019-2020 годы</v>
      </c>
      <c r="G14800" s="22" t="s">
        <v>63</v>
      </c>
      <c r="H14800" s="22" t="s">
        <v>8780</v>
      </c>
      <c r="I14800" s="26">
        <v>43643.725694444402</v>
      </c>
      <c r="J14800" s="23" t="str">
        <f>HYPERLINK("https://www.spark-marketing.ru/Card/Person/148599", "ООО ""БАРАБИНСКАЯ ТИПОГРАФИЯ""")</f>
        <v>ООО "БАРАБИНСКАЯ ТИПОГРАФИЯ"</v>
      </c>
      <c r="K14800" s="24" t="s">
        <v>4915</v>
      </c>
      <c r="L14800" s="28" t="s">
        <v>51</v>
      </c>
      <c r="M14800" s="25">
        <v>178184.2</v>
      </c>
      <c r="N14800" s="27">
        <v>0.4400076180802438</v>
      </c>
    </row>
    <row r="14801" spans="1:14" hidden="1" outlineLevel="1" x14ac:dyDescent="0.2">
      <c r="A14801" s="23" t="str">
        <f t="shared" si="499"/>
        <v>КГБУЗ "АЛЕЙСКАЯ ЦРБ"</v>
      </c>
      <c r="B14801" s="24" t="s">
        <v>19616</v>
      </c>
      <c r="C14801" s="25">
        <v>318190.40000000002</v>
      </c>
      <c r="D14801" s="22" t="s">
        <v>19617</v>
      </c>
      <c r="E14801" s="22" t="s">
        <v>62</v>
      </c>
      <c r="F14801" s="23" t="str">
        <f t="shared" si="500"/>
        <v>Поставка бланочной продукции на 2019-2020 годы</v>
      </c>
      <c r="G14801" s="22" t="s">
        <v>63</v>
      </c>
      <c r="H14801" s="22" t="s">
        <v>8780</v>
      </c>
      <c r="I14801" s="26">
        <v>43643.725694444402</v>
      </c>
      <c r="J14801" s="23" t="str">
        <f>HYPERLINK("https://www.spark-marketing.ru/Card/Person/722569", "ООО ИЗДАТЕЛЬСКИЙ ДОМ ""СИБИРЬ""")</f>
        <v>ООО ИЗДАТЕЛЬСКИЙ ДОМ "СИБИРЬ"</v>
      </c>
      <c r="K14801" s="24" t="s">
        <v>19619</v>
      </c>
      <c r="L14801" s="28" t="s">
        <v>51</v>
      </c>
      <c r="M14801" s="25">
        <v>280006.8</v>
      </c>
      <c r="N14801" s="27">
        <v>0.1200023633648281</v>
      </c>
    </row>
    <row r="14802" spans="1:14" x14ac:dyDescent="0.15">
      <c r="A14802" s="23" t="str">
        <f>HYPERLINK("https://www.spark-marketing.ru/Card/Person/387684", "ОТД МВД РОССИИ ПО СОВЕТСКОМУ РАЙОНУ")</f>
        <v>ОТД МВД РОССИИ ПО СОВЕТСКОМУ РАЙОНУ</v>
      </c>
      <c r="B14802" s="24" t="s">
        <v>19467</v>
      </c>
      <c r="C14802" s="25">
        <v>538900</v>
      </c>
      <c r="D14802" s="22" t="s">
        <v>19620</v>
      </c>
      <c r="E14802" s="22" t="s">
        <v>48</v>
      </c>
      <c r="F14802" s="23" t="str">
        <f>HYPERLINK("https://www.spark-marketing.ru/Card/Lot/71748250", "Питание ИВС")</f>
        <v>Питание ИВС</v>
      </c>
      <c r="G14802" s="22" t="s">
        <v>1111</v>
      </c>
      <c r="H14802" s="22" t="s">
        <v>869</v>
      </c>
      <c r="I14802" s="26">
        <v>43643.735416666699</v>
      </c>
      <c r="J14802" s="23" t="str">
        <f>HYPERLINK("https://www.spark-marketing.ru/Card/Person/692161", "Давыдова Елена Геннадиевна")</f>
        <v>Давыдова Елена Геннадиевна</v>
      </c>
      <c r="K14802" s="24" t="s">
        <v>19469</v>
      </c>
      <c r="L14802" s="28" t="s">
        <v>51</v>
      </c>
      <c r="M14802" s="28" t="s">
        <v>51</v>
      </c>
      <c r="N14802" s="28" t="s">
        <v>51</v>
      </c>
    </row>
    <row r="14803" spans="1:14" x14ac:dyDescent="0.15">
      <c r="A14803" s="23" t="str">
        <f>HYPERLINK("https://www.spark-marketing.ru/Card/Person/28252", "ОТДЕЛ МВД РОССИИ ПО БУДЕННОВСКОМУ РАЙОНУ")</f>
        <v>ОТДЕЛ МВД РОССИИ ПО БУДЕННОВСКОМУ РАЙОНУ</v>
      </c>
      <c r="B14803" s="24" t="s">
        <v>19613</v>
      </c>
      <c r="C14803" s="25">
        <v>2880000</v>
      </c>
      <c r="D14803" s="22" t="s">
        <v>19621</v>
      </c>
      <c r="E14803" s="22" t="s">
        <v>48</v>
      </c>
      <c r="F14803" s="23" t="str">
        <f>HYPERLINK("https://www.spark-marketing.ru/Card/Lot/71750335", "Питание арестованных")</f>
        <v>Питание арестованных</v>
      </c>
      <c r="G14803" s="22" t="s">
        <v>87</v>
      </c>
      <c r="H14803" s="22" t="s">
        <v>87</v>
      </c>
      <c r="I14803" s="26">
        <v>43643.719444444403</v>
      </c>
      <c r="J14803" s="23" t="str">
        <f>HYPERLINK("https://www.spark-marketing.ru/Card/Person/474972", "Асриян Александр Григорьевич")</f>
        <v>Асриян Александр Григорьевич</v>
      </c>
      <c r="K14803" s="24" t="s">
        <v>19615</v>
      </c>
      <c r="L14803" s="22" t="s">
        <v>10</v>
      </c>
      <c r="M14803" s="28" t="s">
        <v>51</v>
      </c>
      <c r="N14803" s="28" t="s">
        <v>51</v>
      </c>
    </row>
    <row r="14804" spans="1:14" x14ac:dyDescent="0.2">
      <c r="A14804" s="23" t="str">
        <f>HYPERLINK("https://www.spark-marketing.ru/Card/Person/526355", "ФГБОУ ВО ""РЭУ ИМ. Г.В. ПЛЕХАНОВА"", РЭУ ИМ. Г.В. ПЛЕХАНОВА")</f>
        <v>ФГБОУ ВО "РЭУ ИМ. Г.В. ПЛЕХАНОВА", РЭУ ИМ. Г.В. ПЛЕХАНОВА</v>
      </c>
      <c r="B14804" s="24" t="s">
        <v>565</v>
      </c>
      <c r="C14804" s="25">
        <v>3729600</v>
      </c>
      <c r="D14804" s="22" t="s">
        <v>19622</v>
      </c>
      <c r="E14804" s="22" t="s">
        <v>19623</v>
      </c>
      <c r="F14804" s="23" t="str">
        <f>HYPERLINK("https://www.spark-marketing.ru/Card/Lot/71744079", "оказание услуг по сопровождению и развитию автоматизированной информационной системы «Комбинат общественного питания» и предоставление лицензий (неисключительных прав на использование) на базовое прикладное программное обеспечение для нужд федерально...")</f>
        <v>оказание услуг по сопровождению и развитию автоматизированной информационной системы «Комбинат общественного питания» и предоставление лицензий (неисключительных прав на использование) на базовое прикладное программное обеспечение для нужд федерально...</v>
      </c>
      <c r="G14804" s="22" t="s">
        <v>56</v>
      </c>
      <c r="H14804" s="22" t="s">
        <v>56</v>
      </c>
      <c r="I14804" s="26">
        <v>43643.744421296302</v>
      </c>
      <c r="J14804" s="28" t="s">
        <v>51</v>
      </c>
      <c r="K14804" s="28" t="s">
        <v>51</v>
      </c>
      <c r="L14804" s="22" t="s">
        <v>10</v>
      </c>
      <c r="M14804" s="25">
        <v>3629700</v>
      </c>
      <c r="N14804" s="27">
        <v>2.6785714285714284E-2</v>
      </c>
    </row>
    <row r="14805" spans="1:14" x14ac:dyDescent="0.15">
      <c r="A14805" s="23" t="str">
        <f>HYPERLINK("https://www.spark-marketing.ru/Card/Person/13412", "МИНИСТЕРСТВО ЗДРАВООХРАНЕНИЯ РЕСПУБЛИКИ КОМИ")</f>
        <v>МИНИСТЕРСТВО ЗДРАВООХРАНЕНИЯ РЕСПУБЛИКИ КОМИ</v>
      </c>
      <c r="B14805" s="24" t="s">
        <v>19624</v>
      </c>
      <c r="C14805" s="25">
        <v>12219476.5</v>
      </c>
      <c r="D14805" s="22" t="s">
        <v>19625</v>
      </c>
      <c r="E14805" s="22" t="s">
        <v>1104</v>
      </c>
      <c r="F14805" s="23" t="str">
        <f>HYPERLINK("https://www.spark-marketing.ru/Card/Lot/71750520", "Оказание услуг по приемке, хранению, комплектованию, доставке, отпуску и учету лекарственных препаратов, медицинских изделий и специализированных продуктов лечебного питания для обеспечения граждан в Республике Коми в 2019 году, имеющих право на бесп...")</f>
        <v>Оказание услуг по приемке, хранению, комплектованию, доставке, отпуску и учету лекарственных препаратов, медицинских изделий и специализированных продуктов лечебного питания для обеспечения граждан в Республике Коми в 2019 году, имеющих право на бесп...</v>
      </c>
      <c r="G14805" s="22" t="s">
        <v>271</v>
      </c>
      <c r="H14805" s="22" t="s">
        <v>271</v>
      </c>
      <c r="I14805" s="26">
        <v>43643.711805555598</v>
      </c>
      <c r="J14805" s="23" t="str">
        <f>HYPERLINK("https://www.spark-marketing.ru/Card/Person/63132", "ГУП РК ""ГАРК""")</f>
        <v>ГУП РК "ГАРК"</v>
      </c>
      <c r="K14805" s="24" t="s">
        <v>19626</v>
      </c>
      <c r="L14805" s="22" t="s">
        <v>10</v>
      </c>
      <c r="M14805" s="28" t="s">
        <v>51</v>
      </c>
      <c r="N14805" s="28" t="s">
        <v>51</v>
      </c>
    </row>
    <row r="14806" spans="1:14" x14ac:dyDescent="0.15">
      <c r="A14806" s="23" t="s">
        <v>114</v>
      </c>
      <c r="B14806" s="28" t="s">
        <v>51</v>
      </c>
      <c r="C14806" s="25">
        <v>34863636.299999997</v>
      </c>
      <c r="D14806" s="22" t="s">
        <v>19627</v>
      </c>
      <c r="E14806" s="22" t="s">
        <v>48</v>
      </c>
      <c r="F14806" s="23" t="str">
        <f t="shared" ref="F14806:F14813" si="501">HYPERLINK("https://www.spark-marketing.ru/Card/Lot/71750725", "Оказание услуг по организации питания обучающихся в государственных бюджетных общеобразовательных учреждениях Пушкинского района Санкт-Петербурга, которым законодательством Санкт-Петербурга установлены дополнительные меры поддержки по обеспечению пит...")</f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Санкт-Петербурга, которым законодательством Санкт-Петербурга установлены дополнительные меры поддержки по обеспечению пит...</v>
      </c>
      <c r="G14806" s="22" t="s">
        <v>51</v>
      </c>
      <c r="H14806" s="22" t="s">
        <v>51</v>
      </c>
      <c r="I14806" s="26">
        <v>43643.736111111102</v>
      </c>
      <c r="J14806" s="28" t="s">
        <v>51</v>
      </c>
      <c r="K14806" s="28" t="s">
        <v>51</v>
      </c>
      <c r="L14806" s="28" t="s">
        <v>51</v>
      </c>
      <c r="M14806" s="28" t="s">
        <v>51</v>
      </c>
      <c r="N14806" s="28" t="s">
        <v>51</v>
      </c>
    </row>
    <row r="14807" spans="1:14" hidden="1" outlineLevel="1" x14ac:dyDescent="0.15">
      <c r="A14807" s="23" t="str">
        <f>HYPERLINK("https://www.spark-marketing.ru/Card/Person/19364", "ГБОУ ШКОЛА № 93 ПУШКИНСКОГО РАЙОНА САНКТ-ПЕТЕРБУРГА")</f>
        <v>ГБОУ ШКОЛА № 93 ПУШКИНСКОГО РАЙОНА САНКТ-ПЕТЕРБУРГА</v>
      </c>
      <c r="B14807" s="24" t="s">
        <v>19628</v>
      </c>
      <c r="C14807" s="25">
        <v>24531148.300000001</v>
      </c>
      <c r="D14807" s="22" t="s">
        <v>19627</v>
      </c>
      <c r="E14807" s="22" t="s">
        <v>48</v>
      </c>
      <c r="F14807" s="23" t="str">
        <f t="shared" si="501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Санкт-Петербурга, которым законодательством Санкт-Петербурга установлены дополнительные меры поддержки по обеспечению пит...</v>
      </c>
      <c r="G14807" s="22" t="s">
        <v>117</v>
      </c>
      <c r="H14807" s="22" t="s">
        <v>117</v>
      </c>
      <c r="I14807" s="26">
        <v>43643.736111111102</v>
      </c>
      <c r="J14807" s="28" t="s">
        <v>51</v>
      </c>
      <c r="K14807" s="28" t="s">
        <v>51</v>
      </c>
      <c r="L14807" s="28" t="s">
        <v>51</v>
      </c>
      <c r="M14807" s="28" t="s">
        <v>51</v>
      </c>
      <c r="N14807" s="28" t="s">
        <v>51</v>
      </c>
    </row>
    <row r="14808" spans="1:14" hidden="1" outlineLevel="1" x14ac:dyDescent="0.15">
      <c r="A14808" s="23" t="str">
        <f>HYPERLINK("https://www.spark-marketing.ru/Card/Person/51507", "ГБОУ ШКОЛА № 407 ПУШКИНСКОГО РАЙОНА САНКТ-ПЕТЕРБУРГА")</f>
        <v>ГБОУ ШКОЛА № 407 ПУШКИНСКОГО РАЙОНА САНКТ-ПЕТЕРБУРГА</v>
      </c>
      <c r="B14808" s="24" t="s">
        <v>19629</v>
      </c>
      <c r="C14808" s="25">
        <v>9806074.5</v>
      </c>
      <c r="D14808" s="22" t="s">
        <v>19627</v>
      </c>
      <c r="E14808" s="22" t="s">
        <v>48</v>
      </c>
      <c r="F14808" s="23" t="str">
        <f t="shared" si="501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Санкт-Петербурга, которым законодательством Санкт-Петербурга установлены дополнительные меры поддержки по обеспечению пит...</v>
      </c>
      <c r="G14808" s="22" t="s">
        <v>117</v>
      </c>
      <c r="H14808" s="22" t="s">
        <v>117</v>
      </c>
      <c r="I14808" s="26">
        <v>43643.736111111102</v>
      </c>
      <c r="J14808" s="28" t="s">
        <v>51</v>
      </c>
      <c r="K14808" s="28" t="s">
        <v>51</v>
      </c>
      <c r="L14808" s="28" t="s">
        <v>51</v>
      </c>
      <c r="M14808" s="28" t="s">
        <v>51</v>
      </c>
      <c r="N14808" s="28" t="s">
        <v>51</v>
      </c>
    </row>
    <row r="14809" spans="1:14" hidden="1" outlineLevel="1" x14ac:dyDescent="0.15">
      <c r="A14809" s="23" t="str">
        <f>HYPERLINK("https://www.spark-marketing.ru/Card/Person/59537", "ГБОУ ГИМНАЗИЯ № 406 ПУШКИНСКОГО РАЙОНА САНКТ-ПЕТЕРБУРГА")</f>
        <v>ГБОУ ГИМНАЗИЯ № 406 ПУШКИНСКОГО РАЙОНА САНКТ-ПЕТЕРБУРГА</v>
      </c>
      <c r="B14809" s="24" t="s">
        <v>19630</v>
      </c>
      <c r="C14809" s="25">
        <v>526413.5</v>
      </c>
      <c r="D14809" s="22" t="s">
        <v>19627</v>
      </c>
      <c r="E14809" s="22" t="s">
        <v>48</v>
      </c>
      <c r="F14809" s="23" t="str">
        <f t="shared" si="501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Санкт-Петербурга, которым законодательством Санкт-Петербурга установлены дополнительные меры поддержки по обеспечению пит...</v>
      </c>
      <c r="G14809" s="22" t="s">
        <v>117</v>
      </c>
      <c r="H14809" s="22" t="s">
        <v>117</v>
      </c>
      <c r="I14809" s="26">
        <v>43643.736111111102</v>
      </c>
      <c r="J14809" s="28" t="s">
        <v>51</v>
      </c>
      <c r="K14809" s="28" t="s">
        <v>51</v>
      </c>
      <c r="L14809" s="28" t="s">
        <v>51</v>
      </c>
      <c r="M14809" s="28" t="s">
        <v>51</v>
      </c>
      <c r="N14809" s="28" t="s">
        <v>51</v>
      </c>
    </row>
    <row r="14810" spans="1:14" hidden="1" outlineLevel="1" x14ac:dyDescent="0.2">
      <c r="A14810" s="28" t="s">
        <v>51</v>
      </c>
      <c r="B14810" s="28" t="s">
        <v>51</v>
      </c>
      <c r="C14810" s="28" t="s">
        <v>51</v>
      </c>
      <c r="D14810" s="22" t="s">
        <v>19627</v>
      </c>
      <c r="E14810" s="22" t="s">
        <v>48</v>
      </c>
      <c r="F14810" s="23" t="str">
        <f t="shared" si="501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Санкт-Петербурга, которым законодательством Санкт-Петербурга установлены дополнительные меры поддержки по обеспечению пит...</v>
      </c>
      <c r="G14810" s="22" t="s">
        <v>51</v>
      </c>
      <c r="H14810" s="22" t="s">
        <v>51</v>
      </c>
      <c r="I14810" s="26">
        <v>43643.736111111102</v>
      </c>
      <c r="J14810" s="23" t="str">
        <f>HYPERLINK("https://www.spark-marketing.ru/Card/Person/133962", "ООО ""НОВЫЙ ВЕК""")</f>
        <v>ООО "НОВЫЙ ВЕК"</v>
      </c>
      <c r="K14810" s="24" t="s">
        <v>3583</v>
      </c>
      <c r="L14810" s="28" t="s">
        <v>51</v>
      </c>
      <c r="M14810" s="25">
        <v>26323387.199999999</v>
      </c>
      <c r="N14810" s="27">
        <v>0.24496151309380199</v>
      </c>
    </row>
    <row r="14811" spans="1:14" hidden="1" outlineLevel="1" x14ac:dyDescent="0.2">
      <c r="A14811" s="28" t="s">
        <v>51</v>
      </c>
      <c r="B14811" s="28" t="s">
        <v>51</v>
      </c>
      <c r="C14811" s="28" t="s">
        <v>51</v>
      </c>
      <c r="D14811" s="22" t="s">
        <v>19627</v>
      </c>
      <c r="E14811" s="22" t="s">
        <v>48</v>
      </c>
      <c r="F14811" s="23" t="str">
        <f t="shared" si="501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Санкт-Петербурга, которым законодательством Санкт-Петербурга установлены дополнительные меры поддержки по обеспечению пит...</v>
      </c>
      <c r="G14811" s="22" t="s">
        <v>51</v>
      </c>
      <c r="H14811" s="22" t="s">
        <v>51</v>
      </c>
      <c r="I14811" s="26">
        <v>43643.736111111102</v>
      </c>
      <c r="J14811" s="23" t="str">
        <f>HYPERLINK("https://www.spark-marketing.ru/Card/Person/59608", "АО ""АРТИС-ДЕТСКОЕ ПИТАНИЕ""")</f>
        <v>АО "АРТИС-ДЕТСКОЕ ПИТАНИЕ"</v>
      </c>
      <c r="K14811" s="24" t="s">
        <v>19631</v>
      </c>
      <c r="L14811" s="22" t="s">
        <v>10</v>
      </c>
      <c r="M14811" s="25">
        <v>11504999.98</v>
      </c>
      <c r="N14811" s="27">
        <v>0.66999999997131687</v>
      </c>
    </row>
    <row r="14812" spans="1:14" hidden="1" outlineLevel="1" x14ac:dyDescent="0.2">
      <c r="A14812" s="28" t="s">
        <v>51</v>
      </c>
      <c r="B14812" s="28" t="s">
        <v>51</v>
      </c>
      <c r="C14812" s="28" t="s">
        <v>51</v>
      </c>
      <c r="D14812" s="22" t="s">
        <v>19627</v>
      </c>
      <c r="E14812" s="22" t="s">
        <v>48</v>
      </c>
      <c r="F14812" s="23" t="str">
        <f t="shared" si="501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Санкт-Петербурга, которым законодательством Санкт-Петербурга установлены дополнительные меры поддержки по обеспечению пит...</v>
      </c>
      <c r="G14812" s="22" t="s">
        <v>51</v>
      </c>
      <c r="H14812" s="22" t="s">
        <v>51</v>
      </c>
      <c r="I14812" s="26">
        <v>43643.736111111102</v>
      </c>
      <c r="J14812" s="23" t="str">
        <f>HYPERLINK("https://www.spark-marketing.ru/Card/Person/53199", "ООО ""НУР""")</f>
        <v>ООО "НУР"</v>
      </c>
      <c r="K14812" s="24" t="s">
        <v>19632</v>
      </c>
      <c r="L14812" s="28" t="s">
        <v>51</v>
      </c>
      <c r="M14812" s="25">
        <v>31133300</v>
      </c>
      <c r="N14812" s="27">
        <v>0.10699791232046556</v>
      </c>
    </row>
    <row r="14813" spans="1:14" hidden="1" outlineLevel="1" x14ac:dyDescent="0.2">
      <c r="A14813" s="28" t="s">
        <v>51</v>
      </c>
      <c r="B14813" s="28" t="s">
        <v>51</v>
      </c>
      <c r="C14813" s="28" t="s">
        <v>51</v>
      </c>
      <c r="D14813" s="22" t="s">
        <v>19627</v>
      </c>
      <c r="E14813" s="22" t="s">
        <v>48</v>
      </c>
      <c r="F14813" s="23" t="str">
        <f t="shared" si="501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Санкт-Петербурга, которым законодательством Санкт-Петербурга установлены дополнительные меры поддержки по обеспечению пит...</v>
      </c>
      <c r="G14813" s="22" t="s">
        <v>51</v>
      </c>
      <c r="H14813" s="22" t="s">
        <v>51</v>
      </c>
      <c r="I14813" s="26">
        <v>43643.736111111102</v>
      </c>
      <c r="J14813" s="23" t="str">
        <f>HYPERLINK("https://www.spark-marketing.ru/Card/Person/62355", "ООО ""ТД ""ЛЕНИНГРАДСКИЙ""")</f>
        <v>ООО "ТД "ЛЕНИНГРАДСКИЙ"</v>
      </c>
      <c r="K14813" s="24" t="s">
        <v>8005</v>
      </c>
      <c r="L14813" s="28" t="s">
        <v>51</v>
      </c>
      <c r="M14813" s="25">
        <v>34863636.299999997</v>
      </c>
      <c r="N14813" s="27">
        <v>0</v>
      </c>
    </row>
    <row r="14814" spans="1:14" x14ac:dyDescent="0.15">
      <c r="A14814" s="23" t="str">
        <f>HYPERLINK("https://www.spark-marketing.ru/Card/Person/127230", "ГБУ РО НД")</f>
        <v>ГБУ РО НД</v>
      </c>
      <c r="B14814" s="24" t="s">
        <v>12891</v>
      </c>
      <c r="C14814" s="25">
        <v>99887.039999999994</v>
      </c>
      <c r="D14814" s="22" t="s">
        <v>19633</v>
      </c>
      <c r="E14814" s="22" t="s">
        <v>48</v>
      </c>
      <c r="F14814" s="23" t="str">
        <f>HYPERLINK("https://www.spark-marketing.ru/Card/Lot/71741853", "Оказание услуги по предоставлению готового питания для пациентов круглосуточного стационара № 1г. Гуково")</f>
        <v>Оказание услуги по предоставлению готового питания для пациентов круглосуточного стационара № 1г. Гуково</v>
      </c>
      <c r="G14814" s="22" t="s">
        <v>267</v>
      </c>
      <c r="H14814" s="22" t="s">
        <v>590</v>
      </c>
      <c r="I14814" s="26">
        <v>43643.729861111096</v>
      </c>
      <c r="J14814" s="28" t="s">
        <v>51</v>
      </c>
      <c r="K14814" s="28" t="s">
        <v>51</v>
      </c>
      <c r="L14814" s="28" t="s">
        <v>51</v>
      </c>
      <c r="M14814" s="28" t="s">
        <v>51</v>
      </c>
      <c r="N14814" s="28" t="s">
        <v>51</v>
      </c>
    </row>
    <row r="14815" spans="1:14" x14ac:dyDescent="0.15">
      <c r="A14815" s="23" t="str">
        <f>HYPERLINK("https://www.spark-marketing.ru/Card/Person/37657", "МВД ПО РЕСПУБЛИКЕ КАЛМЫКИЯ")</f>
        <v>МВД ПО РЕСПУБЛИКЕ КАЛМЫКИЯ</v>
      </c>
      <c r="B14815" s="24" t="s">
        <v>8511</v>
      </c>
      <c r="C14815" s="25">
        <v>380000</v>
      </c>
      <c r="D14815" s="22" t="s">
        <v>19634</v>
      </c>
      <c r="E14815" s="22" t="s">
        <v>48</v>
      </c>
      <c r="F14815" s="23" t="str">
        <f>HYPERLINK("https://www.spark-marketing.ru/Card/Lot/71747205", "Оказание услуг по обеспечению ежедневным трёхразовым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 за пределы Российской Федераци...")</f>
        <v>Оказание услуг по обеспечению ежедневным трёхразовым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 за пределы Российской Федераци...</v>
      </c>
      <c r="G14815" s="22" t="s">
        <v>8513</v>
      </c>
      <c r="H14815" s="22" t="s">
        <v>8760</v>
      </c>
      <c r="I14815" s="26">
        <v>43643.676388888904</v>
      </c>
      <c r="J14815" s="23" t="str">
        <f>HYPERLINK("https://www.spark-marketing.ru/Card/Person/4921569", "Степкина Заяна Петровна")</f>
        <v>Степкина Заяна Петровна</v>
      </c>
      <c r="K14815" s="24" t="s">
        <v>19635</v>
      </c>
      <c r="L14815" s="22" t="s">
        <v>10</v>
      </c>
      <c r="M14815" s="28" t="s">
        <v>51</v>
      </c>
      <c r="N14815" s="28" t="s">
        <v>51</v>
      </c>
    </row>
    <row r="14816" spans="1:14" x14ac:dyDescent="0.15">
      <c r="A14816" s="23" t="str">
        <f>HYPERLINK("https://www.spark-marketing.ru/Card/Person/1042068", "МБОУ СОШ №18 Г. СТАВРОПОЛЯ")</f>
        <v>МБОУ СОШ №18 Г. СТАВРОПОЛЯ</v>
      </c>
      <c r="B14816" s="24" t="s">
        <v>19636</v>
      </c>
      <c r="C14816" s="25">
        <v>426720</v>
      </c>
      <c r="D14816" s="22" t="s">
        <v>19637</v>
      </c>
      <c r="E14816" s="22" t="s">
        <v>48</v>
      </c>
      <c r="F14816" s="23" t="str">
        <f>HYPERLINK("https://www.spark-marketing.ru/Card/Lot/71747249", "Услуги по организации питания учащихся МБОУ СОШ №18 г.Ставрополя в сентябре-декабре 2019 года")</f>
        <v>Услуги по организации питания учащихся МБОУ СОШ №18 г.Ставрополя в сентябре-декабре 2019 года</v>
      </c>
      <c r="G14816" s="22" t="s">
        <v>87</v>
      </c>
      <c r="H14816" s="22" t="s">
        <v>87</v>
      </c>
      <c r="I14816" s="26">
        <v>43643.670833333301</v>
      </c>
      <c r="J14816" s="23" t="str">
        <f>HYPERLINK("https://www.spark-marketing.ru/Card/Person/213142", "Звягина Надежда Ильинична")</f>
        <v>Звягина Надежда Ильинична</v>
      </c>
      <c r="K14816" s="24" t="s">
        <v>12311</v>
      </c>
      <c r="L14816" s="22" t="s">
        <v>10</v>
      </c>
      <c r="M14816" s="28" t="s">
        <v>51</v>
      </c>
      <c r="N14816" s="28" t="s">
        <v>51</v>
      </c>
    </row>
    <row r="14817" spans="1:14" x14ac:dyDescent="0.15">
      <c r="A14817" s="23" t="str">
        <f>HYPERLINK("https://www.spark-marketing.ru/Card/Person/64154", "МАМОНОВСКАЯ ГБ")</f>
        <v>МАМОНОВСКАЯ ГБ</v>
      </c>
      <c r="B14817" s="24" t="s">
        <v>19638</v>
      </c>
      <c r="C14817" s="25">
        <v>501800</v>
      </c>
      <c r="D14817" s="22" t="s">
        <v>19639</v>
      </c>
      <c r="E14817" s="22" t="s">
        <v>48</v>
      </c>
      <c r="F14817" s="23" t="str">
        <f>HYPERLINK("https://www.spark-marketing.ru/Card/Lot/71747940", "на оказание услуг по организации питания пациентов Государственного бюджетного учреждения здравоохранения Калининградской области «Мамоновская городская больница»")</f>
        <v>на оказание услуг по организации питания пациентов Государственного бюджетного учреждения здравоохранения Калининградской области «Мамоновская городская больница»</v>
      </c>
      <c r="G14817" s="22" t="s">
        <v>400</v>
      </c>
      <c r="H14817" s="22" t="s">
        <v>19640</v>
      </c>
      <c r="I14817" s="26">
        <v>43643.675694444399</v>
      </c>
      <c r="J14817" s="23" t="str">
        <f>HYPERLINK("https://www.spark-marketing.ru/Card/Person/592880", "Прохорова Валентина Валентиновна")</f>
        <v>Прохорова Валентина Валентиновна</v>
      </c>
      <c r="K14817" s="24" t="s">
        <v>17278</v>
      </c>
      <c r="L14817" s="22" t="s">
        <v>10</v>
      </c>
      <c r="M14817" s="28" t="s">
        <v>51</v>
      </c>
      <c r="N14817" s="28" t="s">
        <v>51</v>
      </c>
    </row>
    <row r="14818" spans="1:14" x14ac:dyDescent="0.15">
      <c r="A14818" s="23" t="str">
        <f>HYPERLINK("https://www.spark-marketing.ru/Card/Person/813638", "ОТДЕЛ МВД РОССИИ ПО ДРОЖЖАНОВСКОМУ РАЙОНУ")</f>
        <v>ОТДЕЛ МВД РОССИИ ПО ДРОЖЖАНОВСКОМУ РАЙОНУ</v>
      </c>
      <c r="B14818" s="24" t="s">
        <v>19606</v>
      </c>
      <c r="C14818" s="25">
        <v>35000</v>
      </c>
      <c r="D14818" s="22" t="s">
        <v>19641</v>
      </c>
      <c r="E14818" s="22" t="s">
        <v>48</v>
      </c>
      <c r="F14818" s="23" t="str">
        <f>HYPERLINK("https://www.spark-marketing.ru/Card/Lot/71739302", "Услуги по обеспечению питания лиц содержащихся в спец. помещениях задержанных лиц, 2 усл. ед")</f>
        <v>Услуги по обеспечению питания лиц содержащихся в спец. помещениях задержанных лиц, 2 усл. ед</v>
      </c>
      <c r="G14818" s="22" t="s">
        <v>217</v>
      </c>
      <c r="H14818" s="22" t="s">
        <v>19608</v>
      </c>
      <c r="I14818" s="26">
        <v>43643.703368055598</v>
      </c>
      <c r="J14818" s="28" t="s">
        <v>51</v>
      </c>
      <c r="K14818" s="28" t="s">
        <v>51</v>
      </c>
      <c r="L14818" s="28" t="s">
        <v>51</v>
      </c>
      <c r="M14818" s="28" t="s">
        <v>51</v>
      </c>
      <c r="N14818" s="28" t="s">
        <v>51</v>
      </c>
    </row>
    <row r="14819" spans="1:14" x14ac:dyDescent="0.15">
      <c r="A14819" s="23" t="str">
        <f>HYPERLINK("https://www.spark-marketing.ru/Card/Person/1054175", "МОМВД РОССИИ ПО ЗАТО ЗНАМЕНСК")</f>
        <v>МОМВД РОССИИ ПО ЗАТО ЗНАМЕНСК</v>
      </c>
      <c r="B14819" s="24" t="s">
        <v>139</v>
      </c>
      <c r="C14819" s="25">
        <v>42100</v>
      </c>
      <c r="D14819" s="22" t="s">
        <v>19642</v>
      </c>
      <c r="E14819" s="22" t="s">
        <v>48</v>
      </c>
      <c r="F14819" s="23" t="str">
        <f>HYPERLINK("https://www.spark-marketing.ru/Card/Lot/71739167", "Услуги по обеспечению питания лиц содержащихся в спец. помещениях задержанных лиц, 3 усл. ед")</f>
        <v>Услуги по обеспечению питания лиц содержащихся в спец. помещениях задержанных лиц, 3 усл. ед</v>
      </c>
      <c r="G14819" s="22" t="s">
        <v>141</v>
      </c>
      <c r="H14819" s="22" t="s">
        <v>142</v>
      </c>
      <c r="I14819" s="26">
        <v>43643.691030092603</v>
      </c>
      <c r="J14819" s="28" t="s">
        <v>51</v>
      </c>
      <c r="K14819" s="28" t="s">
        <v>51</v>
      </c>
      <c r="L14819" s="28" t="s">
        <v>51</v>
      </c>
      <c r="M14819" s="28" t="s">
        <v>51</v>
      </c>
      <c r="N14819" s="28" t="s">
        <v>51</v>
      </c>
    </row>
    <row r="14820" spans="1:14" x14ac:dyDescent="0.15">
      <c r="A14820" s="23" t="str">
        <f>HYPERLINK("https://www.spark-marketing.ru/Card/Person/238862", "МБОУ СОШ № 3")</f>
        <v>МБОУ СОШ № 3</v>
      </c>
      <c r="B14820" s="24" t="s">
        <v>19643</v>
      </c>
      <c r="C14820" s="25">
        <v>200600</v>
      </c>
      <c r="D14820" s="22" t="s">
        <v>19644</v>
      </c>
      <c r="E14820" s="22" t="s">
        <v>48</v>
      </c>
      <c r="F14820" s="23" t="str">
        <f>HYPERLINK("https://www.spark-marketing.ru/Card/Lot/71745313", "Оказание услуг по организации питания детей льготных категорий , обучающихся в МБОУ СОШ №3")</f>
        <v>Оказание услуг по организации питания детей льготных категорий , обучающихся в МБОУ СОШ №3</v>
      </c>
      <c r="G14820" s="22" t="s">
        <v>1370</v>
      </c>
      <c r="H14820" s="22" t="s">
        <v>13154</v>
      </c>
      <c r="I14820" s="26">
        <v>43643.6743055556</v>
      </c>
      <c r="J14820" s="23" t="str">
        <f>HYPERLINK("https://www.spark-marketing.ru/Card/Person/837113", "МУП ""ШКОЛЬНИК""")</f>
        <v>МУП "ШКОЛЬНИК"</v>
      </c>
      <c r="K14820" s="24" t="s">
        <v>19645</v>
      </c>
      <c r="L14820" s="22" t="s">
        <v>10</v>
      </c>
      <c r="M14820" s="28" t="s">
        <v>51</v>
      </c>
      <c r="N14820" s="28" t="s">
        <v>51</v>
      </c>
    </row>
    <row r="14821" spans="1:14" x14ac:dyDescent="0.15">
      <c r="A14821" s="23" t="str">
        <f>HYPERLINK("https://www.spark-marketing.ru/Card/Person/9368", "ГБУЗ ""ООКОД""")</f>
        <v>ГБУЗ "ООКОД"</v>
      </c>
      <c r="B14821" s="24" t="s">
        <v>810</v>
      </c>
      <c r="C14821" s="25">
        <v>15363.6</v>
      </c>
      <c r="D14821" s="22" t="s">
        <v>19646</v>
      </c>
      <c r="E14821" s="22" t="s">
        <v>595</v>
      </c>
      <c r="F14821" s="23" t="str">
        <f>HYPERLINK("https://www.spark-marketing.ru/Card/Lot/71738268", "на поставку продуктов питания (томатная паста)")</f>
        <v>на поставку продуктов питания (томатная паста)</v>
      </c>
      <c r="G14821" s="22" t="s">
        <v>132</v>
      </c>
      <c r="H14821" s="22" t="s">
        <v>587</v>
      </c>
      <c r="I14821" s="26">
        <v>43643.680555555598</v>
      </c>
      <c r="J14821" s="28" t="s">
        <v>51</v>
      </c>
      <c r="K14821" s="28" t="s">
        <v>51</v>
      </c>
      <c r="L14821" s="28" t="s">
        <v>51</v>
      </c>
      <c r="M14821" s="28" t="s">
        <v>51</v>
      </c>
      <c r="N14821" s="28" t="s">
        <v>51</v>
      </c>
    </row>
    <row r="14822" spans="1:14" hidden="1" outlineLevel="1" x14ac:dyDescent="0.2">
      <c r="A14822" s="23" t="str">
        <f>HYPERLINK("https://www.spark-marketing.ru/Card/Person/9368", "ГБУЗ ""ООКОД""")</f>
        <v>ГБУЗ "ООКОД"</v>
      </c>
      <c r="B14822" s="24" t="s">
        <v>810</v>
      </c>
      <c r="C14822" s="25">
        <v>15363.6</v>
      </c>
      <c r="D14822" s="22" t="s">
        <v>19646</v>
      </c>
      <c r="E14822" s="22" t="s">
        <v>595</v>
      </c>
      <c r="F14822" s="23" t="str">
        <f>HYPERLINK("https://www.spark-marketing.ru/Card/Lot/71738268", "на поставку продуктов питания (томатная паста)")</f>
        <v>на поставку продуктов питания (томатная паста)</v>
      </c>
      <c r="G14822" s="22" t="s">
        <v>132</v>
      </c>
      <c r="H14822" s="22" t="s">
        <v>587</v>
      </c>
      <c r="I14822" s="26">
        <v>43643.680555555598</v>
      </c>
      <c r="J14822" s="23" t="str">
        <f>HYPERLINK("https://www.spark-marketing.ru/Card/Person/748049", "ООО ""МПТОРГ""")</f>
        <v>ООО "МПТОРГ"</v>
      </c>
      <c r="K14822" s="24" t="s">
        <v>19647</v>
      </c>
      <c r="L14822" s="28" t="s">
        <v>51</v>
      </c>
      <c r="M14822" s="25">
        <v>7786.34</v>
      </c>
      <c r="N14822" s="27">
        <v>0.49319560519669869</v>
      </c>
    </row>
    <row r="14823" spans="1:14" hidden="1" outlineLevel="1" x14ac:dyDescent="0.2">
      <c r="A14823" s="23" t="str">
        <f>HYPERLINK("https://www.spark-marketing.ru/Card/Person/9368", "ГБУЗ ""ООКОД""")</f>
        <v>ГБУЗ "ООКОД"</v>
      </c>
      <c r="B14823" s="24" t="s">
        <v>810</v>
      </c>
      <c r="C14823" s="25">
        <v>15363.6</v>
      </c>
      <c r="D14823" s="22" t="s">
        <v>19646</v>
      </c>
      <c r="E14823" s="22" t="s">
        <v>595</v>
      </c>
      <c r="F14823" s="23" t="str">
        <f>HYPERLINK("https://www.spark-marketing.ru/Card/Lot/71738268", "на поставку продуктов питания (томатная паста)")</f>
        <v>на поставку продуктов питания (томатная паста)</v>
      </c>
      <c r="G14823" s="22" t="s">
        <v>132</v>
      </c>
      <c r="H14823" s="22" t="s">
        <v>587</v>
      </c>
      <c r="I14823" s="26">
        <v>43643.680555555598</v>
      </c>
      <c r="J14823" s="23" t="str">
        <f>HYPERLINK("https://www.spark-marketing.ru/Card/Person/365580", "ООО МАГАЗИН ""НЕФТЯНИК""")</f>
        <v>ООО МАГАЗИН "НЕФТЯНИК"</v>
      </c>
      <c r="K14823" s="24" t="s">
        <v>19648</v>
      </c>
      <c r="L14823" s="28" t="s">
        <v>51</v>
      </c>
      <c r="M14823" s="25">
        <v>9154.52</v>
      </c>
      <c r="N14823" s="27">
        <v>0.40414225832487177</v>
      </c>
    </row>
    <row r="14824" spans="1:14" hidden="1" outlineLevel="1" x14ac:dyDescent="0.2">
      <c r="A14824" s="23" t="str">
        <f>HYPERLINK("https://www.spark-marketing.ru/Card/Person/9368", "ГБУЗ ""ООКОД""")</f>
        <v>ГБУЗ "ООКОД"</v>
      </c>
      <c r="B14824" s="24" t="s">
        <v>810</v>
      </c>
      <c r="C14824" s="25">
        <v>15363.6</v>
      </c>
      <c r="D14824" s="22" t="s">
        <v>19646</v>
      </c>
      <c r="E14824" s="22" t="s">
        <v>595</v>
      </c>
      <c r="F14824" s="23" t="str">
        <f>HYPERLINK("https://www.spark-marketing.ru/Card/Lot/71738268", "на поставку продуктов питания (томатная паста)")</f>
        <v>на поставку продуктов питания (томатная паста)</v>
      </c>
      <c r="G14824" s="22" t="s">
        <v>132</v>
      </c>
      <c r="H14824" s="22" t="s">
        <v>587</v>
      </c>
      <c r="I14824" s="26">
        <v>43643.680555555598</v>
      </c>
      <c r="J14824" s="23" t="str">
        <f>HYPERLINK("https://www.spark-marketing.ru/Card/Person/747639", "Аверина Татьяна Владимировна")</f>
        <v>Аверина Татьяна Владимировна</v>
      </c>
      <c r="K14824" s="24" t="s">
        <v>19649</v>
      </c>
      <c r="L14824" s="28" t="s">
        <v>51</v>
      </c>
      <c r="M14824" s="25">
        <v>8386.34</v>
      </c>
      <c r="N14824" s="27">
        <v>0.45414225832487176</v>
      </c>
    </row>
    <row r="14825" spans="1:14" ht="12.75" hidden="1" outlineLevel="1" x14ac:dyDescent="0.2">
      <c r="A14825" s="23" t="str">
        <f>HYPERLINK("https://www.spark-marketing.ru/Card/Person/9368", "ГБУЗ ""ООКОД""")</f>
        <v>ГБУЗ "ООКОД"</v>
      </c>
      <c r="B14825" s="24" t="s">
        <v>810</v>
      </c>
      <c r="C14825" s="25">
        <v>15363.6</v>
      </c>
      <c r="D14825" s="22" t="s">
        <v>19646</v>
      </c>
      <c r="E14825" s="22" t="s">
        <v>595</v>
      </c>
      <c r="F14825" s="23" t="str">
        <f>HYPERLINK("https://www.spark-marketing.ru/Card/Lot/71738268", "на поставку продуктов питания (томатная паста)")</f>
        <v>на поставку продуктов питания (томатная паста)</v>
      </c>
      <c r="G14825" s="22" t="s">
        <v>132</v>
      </c>
      <c r="H14825" s="22" t="s">
        <v>587</v>
      </c>
      <c r="I14825" s="26">
        <v>43643.680555555598</v>
      </c>
      <c r="J14825" s="23" t="str">
        <f>HYPERLINK("https://www.spark-marketing.ru/Card/Person/383412", "ООО ""ВАЮР""")</f>
        <v>ООО "ВАЮР"</v>
      </c>
      <c r="K14825" s="24" t="s">
        <v>19650</v>
      </c>
      <c r="L14825" s="22" t="s">
        <v>10</v>
      </c>
      <c r="M14825" s="25">
        <v>7686.34</v>
      </c>
      <c r="N14825" s="27">
        <v>0.4997044963420032</v>
      </c>
    </row>
    <row r="14826" spans="1:14" x14ac:dyDescent="0.15">
      <c r="A14826" s="23" t="str">
        <f>HYPERLINK("https://www.spark-marketing.ru/Card/Person/813638", "ОТДЕЛ МВД РОССИИ ПО ДРОЖЖАНОВСКОМУ РАЙОНУ")</f>
        <v>ОТДЕЛ МВД РОССИИ ПО ДРОЖЖАНОВСКОМУ РАЙОНУ</v>
      </c>
      <c r="B14826" s="24" t="s">
        <v>19606</v>
      </c>
      <c r="C14826" s="25">
        <v>95000</v>
      </c>
      <c r="D14826" s="22" t="s">
        <v>19651</v>
      </c>
      <c r="E14826" s="22" t="s">
        <v>48</v>
      </c>
      <c r="F14826" s="23" t="str">
        <f>HYPERLINK("https://www.spark-marketing.ru/Card/Lot/71738358", "Услуги по обеспечению питания лиц содержащихся в спец. помещениях задержанных лиц, 6 усл. ед")</f>
        <v>Услуги по обеспечению питания лиц содержащихся в спец. помещениях задержанных лиц, 6 усл. ед</v>
      </c>
      <c r="G14826" s="22" t="s">
        <v>217</v>
      </c>
      <c r="H14826" s="22" t="s">
        <v>19608</v>
      </c>
      <c r="I14826" s="26">
        <v>43643.697037037004</v>
      </c>
      <c r="J14826" s="28" t="s">
        <v>51</v>
      </c>
      <c r="K14826" s="28" t="s">
        <v>51</v>
      </c>
      <c r="L14826" s="28" t="s">
        <v>51</v>
      </c>
      <c r="M14826" s="28" t="s">
        <v>51</v>
      </c>
      <c r="N14826" s="28" t="s">
        <v>51</v>
      </c>
    </row>
    <row r="14827" spans="1:14" x14ac:dyDescent="0.15">
      <c r="A14827" s="23" t="str">
        <f>HYPERLINK("https://www.spark-marketing.ru/Card/Person/526355", "ФГБОУ ВО ""РЭУ ИМ. Г.В. ПЛЕХАНОВА"", РЭУ ИМ. Г.В. ПЛЕХАНОВА")</f>
        <v>ФГБОУ ВО "РЭУ ИМ. Г.В. ПЛЕХАНОВА", РЭУ ИМ. Г.В. ПЛЕХАНОВА</v>
      </c>
      <c r="B14827" s="24" t="s">
        <v>565</v>
      </c>
      <c r="C14827" s="25">
        <v>281985</v>
      </c>
      <c r="D14827" s="22" t="s">
        <v>19652</v>
      </c>
      <c r="E14827" s="22" t="s">
        <v>19653</v>
      </c>
      <c r="F14827" s="23" t="str">
        <f>HYPERLINK("https://www.spark-marketing.ru/Card/Lot/71741443", "Поставка печатных изданий (учебной, учебно-методической и научной литературы) для нужд ФГБОУ ВО ""РЭУ им. Г.В. Плеханова""")</f>
        <v>Поставка печатных изданий (учебной, учебно-методической и научной литературы) для нужд ФГБОУ ВО "РЭУ им. Г.В. Плеханова"</v>
      </c>
      <c r="G14827" s="22" t="s">
        <v>56</v>
      </c>
      <c r="H14827" s="22" t="s">
        <v>56</v>
      </c>
      <c r="I14827" s="26">
        <v>43643.708043981504</v>
      </c>
      <c r="J14827" s="28" t="s">
        <v>51</v>
      </c>
      <c r="K14827" s="28" t="s">
        <v>51</v>
      </c>
      <c r="L14827" s="28" t="s">
        <v>51</v>
      </c>
      <c r="M14827" s="28" t="s">
        <v>51</v>
      </c>
      <c r="N14827" s="28" t="s">
        <v>51</v>
      </c>
    </row>
    <row r="14828" spans="1:14" x14ac:dyDescent="0.15">
      <c r="A14828" s="23" t="str">
        <f>HYPERLINK("https://www.spark-marketing.ru/Card/Person/152178", "МБОУ СОШ № 28 Г.СТАВРОПОЛЯ")</f>
        <v>МБОУ СОШ № 28 Г.СТАВРОПОЛЯ</v>
      </c>
      <c r="B14828" s="24" t="s">
        <v>19654</v>
      </c>
      <c r="C14828" s="25">
        <v>656000</v>
      </c>
      <c r="D14828" s="22" t="s">
        <v>19655</v>
      </c>
      <c r="E14828" s="22" t="s">
        <v>48</v>
      </c>
      <c r="F14828" s="23" t="str">
        <f>HYPERLINK("https://www.spark-marketing.ru/Card/Lot/71748011", "Услуги по организации питания учащихся МБОУ СОШ № 28 г.Ставрополя в сентябре-декабре 2019 года")</f>
        <v>Услуги по организации питания учащихся МБОУ СОШ № 28 г.Ставрополя в сентябре-декабре 2019 года</v>
      </c>
      <c r="G14828" s="22" t="s">
        <v>87</v>
      </c>
      <c r="H14828" s="22" t="s">
        <v>87</v>
      </c>
      <c r="I14828" s="26">
        <v>43643.670833333301</v>
      </c>
      <c r="J14828" s="23" t="str">
        <f>HYPERLINK("https://www.spark-marketing.ru/Card/Person/217327", "Карпачев Валерий Борисович")</f>
        <v>Карпачев Валерий Борисович</v>
      </c>
      <c r="K14828" s="24" t="s">
        <v>19656</v>
      </c>
      <c r="L14828" s="22" t="s">
        <v>10</v>
      </c>
      <c r="M14828" s="28" t="s">
        <v>51</v>
      </c>
      <c r="N14828" s="28" t="s">
        <v>51</v>
      </c>
    </row>
    <row r="14829" spans="1:14" x14ac:dyDescent="0.15">
      <c r="A14829" s="23" t="str">
        <f>HYPERLINK("https://www.spark-marketing.ru/Card/Person/4365569", "ФГУП ""РОСМОРПОРТ""")</f>
        <v>ФГУП "РОСМОРПОРТ"</v>
      </c>
      <c r="B14829" s="24" t="s">
        <v>1266</v>
      </c>
      <c r="C14829" s="28" t="s">
        <v>51</v>
      </c>
      <c r="D14829" s="22" t="s">
        <v>19657</v>
      </c>
      <c r="E14829" s="22" t="s">
        <v>860</v>
      </c>
      <c r="F14829" s="23" t="str">
        <f>HYPERLINK("https://www.spark-marketing.ru/Card/Lot/74009581", "Услуга по поставке продуктов питания для судов Сочинского управления АЧБФ ФГУП ""Росморпорт""")</f>
        <v>Услуга по поставке продуктов питания для судов Сочинского управления АЧБФ ФГУП "Росморпорт"</v>
      </c>
      <c r="G14829" s="22" t="s">
        <v>56</v>
      </c>
      <c r="H14829" s="22" t="s">
        <v>56</v>
      </c>
      <c r="I14829" s="26">
        <v>43643.682638888902</v>
      </c>
      <c r="J14829" s="28" t="s">
        <v>51</v>
      </c>
      <c r="K14829" s="28" t="s">
        <v>51</v>
      </c>
      <c r="L14829" s="28" t="s">
        <v>51</v>
      </c>
      <c r="M14829" s="28" t="s">
        <v>51</v>
      </c>
      <c r="N14829" s="28" t="s">
        <v>51</v>
      </c>
    </row>
    <row r="14830" spans="1:14" x14ac:dyDescent="0.15">
      <c r="A14830" s="23" t="str">
        <f>HYPERLINK("https://www.spark-marketing.ru/Card/Person/1078548", "МБДОУ №5 ""ЖАВОРОНОК"" Г.ШАХТЫ")</f>
        <v>МБДОУ №5 "ЖАВОРОНОК" Г.ШАХТЫ</v>
      </c>
      <c r="B14830" s="24" t="s">
        <v>14269</v>
      </c>
      <c r="C14830" s="25">
        <v>460067.62</v>
      </c>
      <c r="D14830" s="22" t="s">
        <v>19658</v>
      </c>
      <c r="E14830" s="22" t="s">
        <v>48</v>
      </c>
      <c r="F14830" s="23" t="str">
        <f>HYPERLINK("https://www.spark-marketing.ru/Card/Lot/71739095", "Услуги по организации питания")</f>
        <v>Услуги по организации питания</v>
      </c>
      <c r="G14830" s="22" t="s">
        <v>267</v>
      </c>
      <c r="H14830" s="22" t="s">
        <v>4874</v>
      </c>
      <c r="I14830" s="26">
        <v>43643.692361111098</v>
      </c>
      <c r="J14830" s="28" t="s">
        <v>51</v>
      </c>
      <c r="K14830" s="28" t="s">
        <v>51</v>
      </c>
      <c r="L14830" s="28" t="s">
        <v>51</v>
      </c>
      <c r="M14830" s="28" t="s">
        <v>51</v>
      </c>
      <c r="N14830" s="28" t="s">
        <v>51</v>
      </c>
    </row>
    <row r="14831" spans="1:14" x14ac:dyDescent="0.15">
      <c r="A14831" s="23" t="str">
        <f>HYPERLINK("https://www.spark-marketing.ru/Card/Person/238862", "МБОУ СОШ № 3")</f>
        <v>МБОУ СОШ № 3</v>
      </c>
      <c r="B14831" s="24" t="s">
        <v>19643</v>
      </c>
      <c r="C14831" s="25">
        <v>472000</v>
      </c>
      <c r="D14831" s="22" t="s">
        <v>19659</v>
      </c>
      <c r="E14831" s="22" t="s">
        <v>48</v>
      </c>
      <c r="F14831" s="23" t="str">
        <f>HYPERLINK("https://www.spark-marketing.ru/Card/Lot/71747489", "Оказание услуг по организации питания детей из многодетных семей")</f>
        <v>Оказание услуг по организации питания детей из многодетных семей</v>
      </c>
      <c r="G14831" s="22" t="s">
        <v>1370</v>
      </c>
      <c r="H14831" s="22" t="s">
        <v>13154</v>
      </c>
      <c r="I14831" s="26">
        <v>43643.675694444399</v>
      </c>
      <c r="J14831" s="23" t="str">
        <f>HYPERLINK("https://www.spark-marketing.ru/Card/Person/837113", "МУП ""ШКОЛЬНИК""")</f>
        <v>МУП "ШКОЛЬНИК"</v>
      </c>
      <c r="K14831" s="24" t="s">
        <v>19645</v>
      </c>
      <c r="L14831" s="22" t="s">
        <v>10</v>
      </c>
      <c r="M14831" s="28" t="s">
        <v>51</v>
      </c>
      <c r="N14831" s="28" t="s">
        <v>51</v>
      </c>
    </row>
    <row r="14832" spans="1:14" x14ac:dyDescent="0.15">
      <c r="A14832" s="23" t="str">
        <f>HYPERLINK("https://www.spark-marketing.ru/Card/Person/1055101", "МБДОУ №40 Г.ШАХТЫ")</f>
        <v>МБДОУ №40 Г.ШАХТЫ</v>
      </c>
      <c r="B14832" s="24" t="s">
        <v>19660</v>
      </c>
      <c r="C14832" s="25">
        <v>365262.54</v>
      </c>
      <c r="D14832" s="22" t="s">
        <v>19661</v>
      </c>
      <c r="E14832" s="22" t="s">
        <v>48</v>
      </c>
      <c r="F14832" s="23" t="str">
        <f>HYPERLINK("https://www.spark-marketing.ru/Card/Lot/71739105", "услуги по организации питания")</f>
        <v>услуги по организации питания</v>
      </c>
      <c r="G14832" s="22" t="s">
        <v>267</v>
      </c>
      <c r="H14832" s="22" t="s">
        <v>4874</v>
      </c>
      <c r="I14832" s="26">
        <v>43643.694444444402</v>
      </c>
      <c r="J14832" s="28" t="s">
        <v>51</v>
      </c>
      <c r="K14832" s="28" t="s">
        <v>51</v>
      </c>
      <c r="L14832" s="28" t="s">
        <v>51</v>
      </c>
      <c r="M14832" s="28" t="s">
        <v>51</v>
      </c>
      <c r="N14832" s="28" t="s">
        <v>51</v>
      </c>
    </row>
    <row r="14833" spans="1:14" x14ac:dyDescent="0.15">
      <c r="A14833" s="23" t="str">
        <f>HYPERLINK("https://www.spark-marketing.ru/Card/Person/37657", "МВД ПО РЕСПУБЛИКЕ КАЛМЫКИЯ")</f>
        <v>МВД ПО РЕСПУБЛИКЕ КАЛМЫКИЯ</v>
      </c>
      <c r="B14833" s="24" t="s">
        <v>8511</v>
      </c>
      <c r="C14833" s="25">
        <v>380000</v>
      </c>
      <c r="D14833" s="22" t="s">
        <v>19662</v>
      </c>
      <c r="E14833" s="22" t="s">
        <v>48</v>
      </c>
      <c r="F14833" s="23" t="str">
        <f>HYPERLINK("https://www.spark-marketing.ru/Card/Lot/71747206", "Оказание услуг по обеспечению ежедневным трёхразовым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 за пределы Российской Федераци...")</f>
        <v>Оказание услуг по обеспечению ежедневным трёхразовым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 за пределы Российской Федераци...</v>
      </c>
      <c r="G14833" s="22" t="s">
        <v>8513</v>
      </c>
      <c r="H14833" s="22" t="s">
        <v>8760</v>
      </c>
      <c r="I14833" s="26">
        <v>43643.677083333299</v>
      </c>
      <c r="J14833" s="23" t="str">
        <f>HYPERLINK("https://www.spark-marketing.ru/Card/Person/4921569", "Степкина Заяна Петровна")</f>
        <v>Степкина Заяна Петровна</v>
      </c>
      <c r="K14833" s="24" t="s">
        <v>19635</v>
      </c>
      <c r="L14833" s="22" t="s">
        <v>10</v>
      </c>
      <c r="M14833" s="28" t="s">
        <v>51</v>
      </c>
      <c r="N14833" s="28" t="s">
        <v>51</v>
      </c>
    </row>
    <row r="14834" spans="1:14" x14ac:dyDescent="0.15">
      <c r="A14834" s="23" t="str">
        <f>HYPERLINK("https://www.spark-marketing.ru/Card/Person/1029891", "ГОКУ СКШ № 10")</f>
        <v>ГОКУ СКШ № 10</v>
      </c>
      <c r="B14834" s="24" t="s">
        <v>19663</v>
      </c>
      <c r="C14834" s="25">
        <v>532875</v>
      </c>
      <c r="D14834" s="22" t="s">
        <v>19664</v>
      </c>
      <c r="E14834" s="22" t="s">
        <v>48</v>
      </c>
      <c r="F14834" s="23" t="str">
        <f>HYPERLINK("https://www.spark-marketing.ru/Card/Lot/71731739", "Услуги по организации питания")</f>
        <v>Услуги по организации питания</v>
      </c>
      <c r="G14834" s="22" t="s">
        <v>263</v>
      </c>
      <c r="H14834" s="22" t="s">
        <v>2768</v>
      </c>
      <c r="I14834" s="26">
        <v>43643.6784722222</v>
      </c>
      <c r="J14834" s="23" t="str">
        <f>HYPERLINK("https://www.spark-marketing.ru/Card/Person/606062", "Месяцева Олеся Владимировна")</f>
        <v>Месяцева Олеся Владимировна</v>
      </c>
      <c r="K14834" s="24" t="s">
        <v>19665</v>
      </c>
      <c r="L14834" s="22" t="s">
        <v>10</v>
      </c>
      <c r="M14834" s="28" t="s">
        <v>51</v>
      </c>
      <c r="N14834" s="28" t="s">
        <v>51</v>
      </c>
    </row>
    <row r="14835" spans="1:14" x14ac:dyDescent="0.15">
      <c r="A14835" s="23" t="str">
        <f>HYPERLINK("https://www.spark-marketing.ru/Card/Person/61806", "МБДОУ №174")</f>
        <v>МБДОУ №174</v>
      </c>
      <c r="B14835" s="24" t="s">
        <v>19666</v>
      </c>
      <c r="C14835" s="25">
        <v>8484895.5</v>
      </c>
      <c r="D14835" s="22" t="s">
        <v>19667</v>
      </c>
      <c r="E14835" s="22" t="s">
        <v>48</v>
      </c>
      <c r="F14835" s="23" t="str">
        <f>HYPERLINK("https://www.spark-marketing.ru/Card/Lot/71750844", "Оказание услуг по организации питания детей в детской дошкольной образовательной организации")</f>
        <v>Оказание услуг по организации питания детей в детской дошкольной образовательной организации</v>
      </c>
      <c r="G14835" s="22" t="s">
        <v>1918</v>
      </c>
      <c r="H14835" s="22" t="s">
        <v>2140</v>
      </c>
      <c r="I14835" s="26">
        <v>43643.695138888899</v>
      </c>
      <c r="J14835" s="23" t="str">
        <f>HYPERLINK("https://www.spark-marketing.ru/Card/Person/75328", "ООО ""АЛЬТЕРНАТИВА""")</f>
        <v>ООО "АЛЬТЕРНАТИВА"</v>
      </c>
      <c r="K14835" s="24" t="s">
        <v>7645</v>
      </c>
      <c r="L14835" s="28" t="s">
        <v>51</v>
      </c>
      <c r="M14835" s="28" t="s">
        <v>51</v>
      </c>
      <c r="N14835" s="28" t="s">
        <v>51</v>
      </c>
    </row>
    <row r="14836" spans="1:14" hidden="1" outlineLevel="1" x14ac:dyDescent="0.2">
      <c r="A14836" s="23" t="str">
        <f>HYPERLINK("https://www.spark-marketing.ru/Card/Person/61806", "МБДОУ №174")</f>
        <v>МБДОУ №174</v>
      </c>
      <c r="B14836" s="24" t="s">
        <v>19666</v>
      </c>
      <c r="C14836" s="25">
        <v>8484895.5</v>
      </c>
      <c r="D14836" s="22" t="s">
        <v>19667</v>
      </c>
      <c r="E14836" s="22" t="s">
        <v>48</v>
      </c>
      <c r="F14836" s="23" t="str">
        <f>HYPERLINK("https://www.spark-marketing.ru/Card/Lot/71750844", "Оказание услуг по организации питания детей в детской дошкольной образовательной организации")</f>
        <v>Оказание услуг по организации питания детей в детской дошкольной образовательной организации</v>
      </c>
      <c r="G14836" s="22" t="s">
        <v>1918</v>
      </c>
      <c r="H14836" s="22" t="s">
        <v>2140</v>
      </c>
      <c r="I14836" s="26">
        <v>43643.695138888899</v>
      </c>
      <c r="J14836" s="23" t="str">
        <f>HYPERLINK("https://www.spark-marketing.ru/Card/Person/75328", "ООО ""АЛЬТЕРНАТИВА""")</f>
        <v>ООО "АЛЬТЕРНАТИВА"</v>
      </c>
      <c r="K14836" s="24" t="s">
        <v>7645</v>
      </c>
      <c r="L14836" s="28" t="s">
        <v>51</v>
      </c>
      <c r="M14836" s="25">
        <v>8484895.5</v>
      </c>
      <c r="N14836" s="27">
        <v>0</v>
      </c>
    </row>
    <row r="14837" spans="1:14" ht="12.75" x14ac:dyDescent="0.2">
      <c r="A14837" s="23" t="str">
        <f>HYPERLINK("https://www.spark-marketing.ru/Card/Person/119237", "МБОУ ДО ЦДО № 4")</f>
        <v>МБОУ ДО ЦДО № 4</v>
      </c>
      <c r="B14837" s="24" t="s">
        <v>19668</v>
      </c>
      <c r="C14837" s="25">
        <v>808500</v>
      </c>
      <c r="D14837" s="22" t="s">
        <v>19669</v>
      </c>
      <c r="E14837" s="22" t="s">
        <v>48</v>
      </c>
      <c r="F14837" s="23" t="str">
        <f>HYPERLINK("https://www.spark-marketing.ru/Card/Lot/71748563", "Оказание услуг по организации горячего питания детей в структурном подразделении муниципального бюджетного образовательного учреждения дополнительного образования ""Центр дополнительного образования № 4""- загородном стационарном детском оздоровитель...")</f>
        <v>Оказание услуг по организации горячего питания детей в структурном подразделении муниципального бюджетного образовательного учреждения дополнительного образования "Центр дополнительного образования № 4"- загородном стационарном детском оздоровитель...</v>
      </c>
      <c r="G14837" s="22" t="s">
        <v>281</v>
      </c>
      <c r="H14837" s="22" t="s">
        <v>281</v>
      </c>
      <c r="I14837" s="26">
        <v>43643.663888888899</v>
      </c>
      <c r="J14837" s="23" t="str">
        <f>HYPERLINK("https://www.spark-marketing.ru/Card/Person/227190", "ООО ""РИЧ""")</f>
        <v>ООО "РИЧ"</v>
      </c>
      <c r="K14837" s="24" t="s">
        <v>1437</v>
      </c>
      <c r="L14837" s="22" t="s">
        <v>10</v>
      </c>
      <c r="M14837" s="25">
        <v>808500</v>
      </c>
      <c r="N14837" s="27">
        <v>0</v>
      </c>
    </row>
    <row r="14838" spans="1:14" x14ac:dyDescent="0.15">
      <c r="A14838" s="23" t="str">
        <f t="shared" ref="A14838:A14844" si="502">HYPERLINK("https://www.spark-marketing.ru/Card/Person/24501", "ГБУЗ ""ГБ"" Г.МЕДНОГОРСКА")</f>
        <v>ГБУЗ "ГБ" Г.МЕДНОГОРСКА</v>
      </c>
      <c r="B14838" s="24" t="s">
        <v>19670</v>
      </c>
      <c r="C14838" s="25">
        <v>1751700</v>
      </c>
      <c r="D14838" s="22" t="s">
        <v>19671</v>
      </c>
      <c r="E14838" s="22" t="s">
        <v>809</v>
      </c>
      <c r="F14838" s="23" t="str">
        <f t="shared" ref="F14838:F14844" si="503">HYPERLINK("https://www.spark-marketing.ru/Card/Lot/71734394", "На поставку Автоматизированного рабочего места")</f>
        <v>На поставку Автоматизированного рабочего места</v>
      </c>
      <c r="G14838" s="22" t="s">
        <v>132</v>
      </c>
      <c r="H14838" s="22" t="s">
        <v>19672</v>
      </c>
      <c r="I14838" s="26">
        <v>43643.65</v>
      </c>
      <c r="J14838" s="28" t="s">
        <v>51</v>
      </c>
      <c r="K14838" s="28" t="s">
        <v>51</v>
      </c>
      <c r="L14838" s="28" t="s">
        <v>51</v>
      </c>
      <c r="M14838" s="28" t="s">
        <v>51</v>
      </c>
      <c r="N14838" s="28" t="s">
        <v>51</v>
      </c>
    </row>
    <row r="14839" spans="1:14" hidden="1" outlineLevel="1" x14ac:dyDescent="0.2">
      <c r="A14839" s="23" t="str">
        <f t="shared" si="502"/>
        <v>ГБУЗ "ГБ" Г.МЕДНОГОРСКА</v>
      </c>
      <c r="B14839" s="24" t="s">
        <v>19670</v>
      </c>
      <c r="C14839" s="25">
        <v>1751700</v>
      </c>
      <c r="D14839" s="22" t="s">
        <v>19671</v>
      </c>
      <c r="E14839" s="22" t="s">
        <v>809</v>
      </c>
      <c r="F14839" s="23" t="str">
        <f t="shared" si="503"/>
        <v>На поставку Автоматизированного рабочего места</v>
      </c>
      <c r="G14839" s="22" t="s">
        <v>132</v>
      </c>
      <c r="H14839" s="22" t="s">
        <v>19672</v>
      </c>
      <c r="I14839" s="26">
        <v>43643.65</v>
      </c>
      <c r="J14839" s="23" t="str">
        <f>HYPERLINK("https://www.spark-marketing.ru/Card/Person/6441784", "ООО ""ЦИФРОВЫЕ РЕШЕНИЯ""")</f>
        <v>ООО "ЦИФРОВЫЕ РЕШЕНИЯ"</v>
      </c>
      <c r="K14839" s="24" t="s">
        <v>14005</v>
      </c>
      <c r="L14839" s="28" t="s">
        <v>51</v>
      </c>
      <c r="M14839" s="25">
        <v>1313775</v>
      </c>
      <c r="N14839" s="27">
        <v>0.25</v>
      </c>
    </row>
    <row r="14840" spans="1:14" hidden="1" outlineLevel="1" x14ac:dyDescent="0.2">
      <c r="A14840" s="23" t="str">
        <f t="shared" si="502"/>
        <v>ГБУЗ "ГБ" Г.МЕДНОГОРСКА</v>
      </c>
      <c r="B14840" s="24" t="s">
        <v>19670</v>
      </c>
      <c r="C14840" s="25">
        <v>1751700</v>
      </c>
      <c r="D14840" s="22" t="s">
        <v>19671</v>
      </c>
      <c r="E14840" s="22" t="s">
        <v>809</v>
      </c>
      <c r="F14840" s="23" t="str">
        <f t="shared" si="503"/>
        <v>На поставку Автоматизированного рабочего места</v>
      </c>
      <c r="G14840" s="22" t="s">
        <v>132</v>
      </c>
      <c r="H14840" s="22" t="s">
        <v>19672</v>
      </c>
      <c r="I14840" s="26">
        <v>43643.65</v>
      </c>
      <c r="J14840" s="23" t="str">
        <f>HYPERLINK("https://www.spark-marketing.ru/Card/Person/6494601", "ООО ""КОМПТЕХ НН""")</f>
        <v>ООО "КОМПТЕХ НН"</v>
      </c>
      <c r="K14840" s="24" t="s">
        <v>15968</v>
      </c>
      <c r="L14840" s="28" t="s">
        <v>51</v>
      </c>
      <c r="M14840" s="25">
        <v>1296258</v>
      </c>
      <c r="N14840" s="27">
        <v>0.26</v>
      </c>
    </row>
    <row r="14841" spans="1:14" ht="12.75" hidden="1" outlineLevel="1" x14ac:dyDescent="0.2">
      <c r="A14841" s="23" t="str">
        <f t="shared" si="502"/>
        <v>ГБУЗ "ГБ" Г.МЕДНОГОРСКА</v>
      </c>
      <c r="B14841" s="24" t="s">
        <v>19670</v>
      </c>
      <c r="C14841" s="25">
        <v>1751700</v>
      </c>
      <c r="D14841" s="22" t="s">
        <v>19671</v>
      </c>
      <c r="E14841" s="22" t="s">
        <v>809</v>
      </c>
      <c r="F14841" s="23" t="str">
        <f t="shared" si="503"/>
        <v>На поставку Автоматизированного рабочего места</v>
      </c>
      <c r="G14841" s="22" t="s">
        <v>132</v>
      </c>
      <c r="H14841" s="22" t="s">
        <v>19672</v>
      </c>
      <c r="I14841" s="26">
        <v>43643.65</v>
      </c>
      <c r="J14841" s="23" t="str">
        <f>HYPERLINK("https://www.spark-marketing.ru/Card/Person/390597", "ООО ""КОМПЛЕКС-СНАСТ""")</f>
        <v>ООО "КОМПЛЕКС-СНАСТ"</v>
      </c>
      <c r="K14841" s="24" t="s">
        <v>10667</v>
      </c>
      <c r="L14841" s="22" t="s">
        <v>10</v>
      </c>
      <c r="M14841" s="25">
        <v>1156122</v>
      </c>
      <c r="N14841" s="27">
        <v>0.34</v>
      </c>
    </row>
    <row r="14842" spans="1:14" hidden="1" outlineLevel="1" x14ac:dyDescent="0.2">
      <c r="A14842" s="23" t="str">
        <f t="shared" si="502"/>
        <v>ГБУЗ "ГБ" Г.МЕДНОГОРСКА</v>
      </c>
      <c r="B14842" s="24" t="s">
        <v>19670</v>
      </c>
      <c r="C14842" s="25">
        <v>1751700</v>
      </c>
      <c r="D14842" s="22" t="s">
        <v>19671</v>
      </c>
      <c r="E14842" s="22" t="s">
        <v>809</v>
      </c>
      <c r="F14842" s="23" t="str">
        <f t="shared" si="503"/>
        <v>На поставку Автоматизированного рабочего места</v>
      </c>
      <c r="G14842" s="22" t="s">
        <v>132</v>
      </c>
      <c r="H14842" s="22" t="s">
        <v>19672</v>
      </c>
      <c r="I14842" s="26">
        <v>43643.65</v>
      </c>
      <c r="J14842" s="23" t="str">
        <f>HYPERLINK("https://www.spark-marketing.ru/Card/Person/24373", "ООО ""ЦИФРА.РУ""")</f>
        <v>ООО "ЦИФРА.РУ"</v>
      </c>
      <c r="K14842" s="24" t="s">
        <v>19673</v>
      </c>
      <c r="L14842" s="28" t="s">
        <v>51</v>
      </c>
      <c r="M14842" s="25">
        <v>1263000</v>
      </c>
      <c r="N14842" s="27">
        <v>0.27898612776160303</v>
      </c>
    </row>
    <row r="14843" spans="1:14" hidden="1" outlineLevel="1" x14ac:dyDescent="0.2">
      <c r="A14843" s="23" t="str">
        <f t="shared" si="502"/>
        <v>ГБУЗ "ГБ" Г.МЕДНОГОРСКА</v>
      </c>
      <c r="B14843" s="24" t="s">
        <v>19670</v>
      </c>
      <c r="C14843" s="25">
        <v>1751700</v>
      </c>
      <c r="D14843" s="22" t="s">
        <v>19671</v>
      </c>
      <c r="E14843" s="22" t="s">
        <v>809</v>
      </c>
      <c r="F14843" s="23" t="str">
        <f t="shared" si="503"/>
        <v>На поставку Автоматизированного рабочего места</v>
      </c>
      <c r="G14843" s="22" t="s">
        <v>132</v>
      </c>
      <c r="H14843" s="22" t="s">
        <v>19672</v>
      </c>
      <c r="I14843" s="26">
        <v>43643.65</v>
      </c>
      <c r="J14843" s="23" t="str">
        <f>HYPERLINK("https://www.spark-marketing.ru/Card/Person/5686", "Рыбальченко Сергей Николаевич")</f>
        <v>Рыбальченко Сергей Николаевич</v>
      </c>
      <c r="K14843" s="24" t="s">
        <v>17464</v>
      </c>
      <c r="L14843" s="28" t="s">
        <v>51</v>
      </c>
      <c r="M14843" s="25">
        <v>1164880.5</v>
      </c>
      <c r="N14843" s="27">
        <v>0.33500000000000002</v>
      </c>
    </row>
    <row r="14844" spans="1:14" hidden="1" outlineLevel="1" x14ac:dyDescent="0.2">
      <c r="A14844" s="23" t="str">
        <f t="shared" si="502"/>
        <v>ГБУЗ "ГБ" Г.МЕДНОГОРСКА</v>
      </c>
      <c r="B14844" s="24" t="s">
        <v>19670</v>
      </c>
      <c r="C14844" s="25">
        <v>1751700</v>
      </c>
      <c r="D14844" s="22" t="s">
        <v>19671</v>
      </c>
      <c r="E14844" s="22" t="s">
        <v>809</v>
      </c>
      <c r="F14844" s="23" t="str">
        <f t="shared" si="503"/>
        <v>На поставку Автоматизированного рабочего места</v>
      </c>
      <c r="G14844" s="22" t="s">
        <v>132</v>
      </c>
      <c r="H14844" s="22" t="s">
        <v>19672</v>
      </c>
      <c r="I14844" s="26">
        <v>43643.65</v>
      </c>
      <c r="J14844" s="23" t="str">
        <f>HYPERLINK("https://www.spark-marketing.ru/Card/Person/6086183", "ООО ""СЕРВЕРНЫЕ СИСТЕМЫ""")</f>
        <v>ООО "СЕРВЕРНЫЕ СИСТЕМЫ"</v>
      </c>
      <c r="K14844" s="24" t="s">
        <v>19674</v>
      </c>
      <c r="L14844" s="28" t="s">
        <v>51</v>
      </c>
      <c r="M14844" s="25">
        <v>1208673</v>
      </c>
      <c r="N14844" s="27">
        <v>0.31</v>
      </c>
    </row>
    <row r="14845" spans="1:14" x14ac:dyDescent="0.15">
      <c r="A14845" s="23" t="str">
        <f>HYPERLINK("https://www.spark-marketing.ru/Card/Person/73206", "ГОБПОУ ""ЛИПЕЦКИЙ ТЕХНИКУМ ГОРОДСКОГО ХОЗЯЙСТВА И ОТРАСЛЕВЫХ ТЕХНОЛОГИЙ""")</f>
        <v>ГОБПОУ "ЛИПЕЦКИЙ ТЕХНИКУМ ГОРОДСКОГО ХОЗЯЙСТВА И ОТРАСЛЕВЫХ ТЕХНОЛОГИЙ"</v>
      </c>
      <c r="B14845" s="24" t="s">
        <v>19675</v>
      </c>
      <c r="C14845" s="25">
        <v>705560</v>
      </c>
      <c r="D14845" s="22" t="s">
        <v>19676</v>
      </c>
      <c r="E14845" s="22" t="s">
        <v>51</v>
      </c>
      <c r="F14845" s="23" t="str">
        <f>HYPERLINK("https://www.spark-marketing.ru/Card/Lot/71747579", "Оказание услуг по обеспечению питанием обучающихся")</f>
        <v>Оказание услуг по обеспечению питанием обучающихся</v>
      </c>
      <c r="G14845" s="22" t="s">
        <v>101</v>
      </c>
      <c r="H14845" s="22" t="s">
        <v>728</v>
      </c>
      <c r="I14845" s="26">
        <v>43643.635416666701</v>
      </c>
      <c r="J14845" s="23" t="str">
        <f>HYPERLINK("https://www.spark-marketing.ru/Card/Person/1353752", "Кушнаренко Александр Борисович")</f>
        <v>Кушнаренко Александр Борисович</v>
      </c>
      <c r="K14845" s="24" t="s">
        <v>15255</v>
      </c>
      <c r="L14845" s="22" t="s">
        <v>10</v>
      </c>
      <c r="M14845" s="28" t="s">
        <v>51</v>
      </c>
      <c r="N14845" s="28" t="s">
        <v>51</v>
      </c>
    </row>
    <row r="14846" spans="1:14" x14ac:dyDescent="0.15">
      <c r="A14846" s="23" t="str">
        <f>HYPERLINK("https://www.spark-marketing.ru/Card/Person/334634", "ФКУ СИЗО-3 ГУФСИН РОССИИ ПО ИРКУТСКОЙ ОБЛАСТИ")</f>
        <v>ФКУ СИЗО-3 ГУФСИН РОССИИ ПО ИРКУТСКОЙ ОБЛАСТИ</v>
      </c>
      <c r="B14846" s="24" t="s">
        <v>19677</v>
      </c>
      <c r="C14846" s="25">
        <v>83890</v>
      </c>
      <c r="D14846" s="22" t="s">
        <v>19678</v>
      </c>
      <c r="E14846" s="22" t="s">
        <v>19679</v>
      </c>
      <c r="F14846" s="23" t="str">
        <f>HYPERLINK("https://www.spark-marketing.ru/Card/Lot/71729451", "Прочая закупка товаров, работ услуг  (продукты питания);")</f>
        <v>Прочая закупка товаров, работ услуг  (продукты питания);</v>
      </c>
      <c r="G14846" s="22" t="s">
        <v>263</v>
      </c>
      <c r="H14846" s="22" t="s">
        <v>19450</v>
      </c>
      <c r="I14846" s="26">
        <v>43643.639583333301</v>
      </c>
      <c r="J14846" s="23" t="str">
        <f>HYPERLINK("https://www.spark-marketing.ru/Card/Person/4362567", "ООО ""СИБТОРГПЛАТО""")</f>
        <v>ООО "СИБТОРГПЛАТО"</v>
      </c>
      <c r="K14846" s="24" t="s">
        <v>19680</v>
      </c>
      <c r="L14846" s="22" t="s">
        <v>10</v>
      </c>
      <c r="M14846" s="28" t="s">
        <v>51</v>
      </c>
      <c r="N14846" s="28" t="s">
        <v>51</v>
      </c>
    </row>
    <row r="14847" spans="1:14" x14ac:dyDescent="0.15">
      <c r="A14847" s="23" t="str">
        <f>HYPERLINK("https://www.spark-marketing.ru/Card/Person/11603", "ГБУЗ РБ ИГЛИНСКАЯ ЦРБ")</f>
        <v>ГБУЗ РБ ИГЛИНСКАЯ ЦРБ</v>
      </c>
      <c r="B14847" s="24" t="s">
        <v>17478</v>
      </c>
      <c r="C14847" s="25">
        <v>2885080</v>
      </c>
      <c r="D14847" s="22" t="s">
        <v>19681</v>
      </c>
      <c r="E14847" s="22" t="s">
        <v>48</v>
      </c>
      <c r="F14847" s="23" t="str">
        <f>HYPERLINK("https://www.spark-marketing.ru/Card/Lot/71734644", "Оказание услуг по организации лечебного питания стационарных больных (с. Улу-Теляк).")</f>
        <v>Оказание услуг по организации лечебного питания стационарных больных (с. Улу-Теляк).</v>
      </c>
      <c r="G14847" s="22" t="s">
        <v>145</v>
      </c>
      <c r="H14847" s="22" t="s">
        <v>17480</v>
      </c>
      <c r="I14847" s="26">
        <v>43643.652777777803</v>
      </c>
      <c r="J14847" s="23" t="str">
        <f>HYPERLINK("https://www.spark-marketing.ru/Card/Person/61415", "ООО ""ПЕЛИКАН""")</f>
        <v>ООО "ПЕЛИКАН"</v>
      </c>
      <c r="K14847" s="24" t="s">
        <v>7334</v>
      </c>
      <c r="L14847" s="22" t="s">
        <v>10</v>
      </c>
      <c r="M14847" s="28" t="s">
        <v>51</v>
      </c>
      <c r="N14847" s="28" t="s">
        <v>51</v>
      </c>
    </row>
    <row r="14848" spans="1:14" x14ac:dyDescent="0.15">
      <c r="A14848" s="23" t="str">
        <f>HYPERLINK("https://www.spark-marketing.ru/Card/Person/19011", "УВД ПО СВАО ГУ МВД РОССИИ ПО Г. МОСКВЕ")</f>
        <v>УВД ПО СВАО ГУ МВД РОССИИ ПО Г. МОСКВЕ</v>
      </c>
      <c r="B14848" s="24" t="s">
        <v>11233</v>
      </c>
      <c r="C14848" s="25">
        <v>94300</v>
      </c>
      <c r="D14848" s="22" t="s">
        <v>19682</v>
      </c>
      <c r="E14848" s="22" t="s">
        <v>19683</v>
      </c>
      <c r="F14848" s="23" t="str">
        <f>HYPERLINK("https://www.spark-marketing.ru/Card/Lot/71735702", "оказание услуг по ремонту бегущей строки с заменой блока питания, демонтажа, чистки и монтажа букв для нужд УВД по СВАО ГУ МВД России по г. Москве")</f>
        <v>оказание услуг по ремонту бегущей строки с заменой блока питания, демонтажа, чистки и монтажа букв для нужд УВД по СВАО ГУ МВД России по г. Москве</v>
      </c>
      <c r="G14848" s="22" t="s">
        <v>56</v>
      </c>
      <c r="H14848" s="22" t="s">
        <v>56</v>
      </c>
      <c r="I14848" s="26">
        <v>43643.651759259301</v>
      </c>
      <c r="J14848" s="28" t="s">
        <v>51</v>
      </c>
      <c r="K14848" s="28" t="s">
        <v>51</v>
      </c>
      <c r="L14848" s="28" t="s">
        <v>51</v>
      </c>
      <c r="M14848" s="28" t="s">
        <v>51</v>
      </c>
      <c r="N14848" s="28" t="s">
        <v>51</v>
      </c>
    </row>
    <row r="14849" spans="1:14" x14ac:dyDescent="0.15">
      <c r="A14849" s="23" t="str">
        <f>HYPERLINK("https://www.spark-marketing.ru/Card/Person/11603", "ГБУЗ РБ ИГЛИНСКАЯ ЦРБ")</f>
        <v>ГБУЗ РБ ИГЛИНСКАЯ ЦРБ</v>
      </c>
      <c r="B14849" s="24" t="s">
        <v>17478</v>
      </c>
      <c r="C14849" s="25">
        <v>2928904</v>
      </c>
      <c r="D14849" s="22" t="s">
        <v>19684</v>
      </c>
      <c r="E14849" s="22" t="s">
        <v>48</v>
      </c>
      <c r="F14849" s="23" t="str">
        <f>HYPERLINK("https://www.spark-marketing.ru/Card/Lot/71734592", "Оказание услуг по организации лечебного питания стационарных больных с.Иглино")</f>
        <v>Оказание услуг по организации лечебного питания стационарных больных с.Иглино</v>
      </c>
      <c r="G14849" s="22" t="s">
        <v>145</v>
      </c>
      <c r="H14849" s="22" t="s">
        <v>17480</v>
      </c>
      <c r="I14849" s="26">
        <v>43643.654861111099</v>
      </c>
      <c r="J14849" s="28" t="s">
        <v>51</v>
      </c>
      <c r="K14849" s="28" t="s">
        <v>51</v>
      </c>
      <c r="L14849" s="28" t="s">
        <v>51</v>
      </c>
      <c r="M14849" s="28" t="s">
        <v>51</v>
      </c>
      <c r="N14849" s="28" t="s">
        <v>51</v>
      </c>
    </row>
    <row r="14850" spans="1:14" x14ac:dyDescent="0.15">
      <c r="A14850" s="23" t="str">
        <f>HYPERLINK("https://www.spark-marketing.ru/Card/Person/61354", "МБУЗ ""ЦРБ"" ПЕСЧАНОКОПСКОГО РАЙОНА")</f>
        <v>МБУЗ "ЦРБ" ПЕСЧАНОКОПСКОГО РАЙОНА</v>
      </c>
      <c r="B14850" s="24" t="s">
        <v>19685</v>
      </c>
      <c r="C14850" s="25">
        <v>25957.5</v>
      </c>
      <c r="D14850" s="22" t="s">
        <v>19686</v>
      </c>
      <c r="E14850" s="22" t="s">
        <v>1807</v>
      </c>
      <c r="F14850" s="23" t="str">
        <f>HYPERLINK("https://www.spark-marketing.ru/Card/Lot/71736037", "услуги по изготовлению бланков")</f>
        <v>услуги по изготовлению бланков</v>
      </c>
      <c r="G14850" s="22" t="s">
        <v>267</v>
      </c>
      <c r="H14850" s="22" t="s">
        <v>19687</v>
      </c>
      <c r="I14850" s="26">
        <v>43643.662499999999</v>
      </c>
      <c r="J14850" s="28" t="s">
        <v>51</v>
      </c>
      <c r="K14850" s="28" t="s">
        <v>51</v>
      </c>
      <c r="L14850" s="28" t="s">
        <v>51</v>
      </c>
      <c r="M14850" s="28" t="s">
        <v>51</v>
      </c>
      <c r="N14850" s="28" t="s">
        <v>51</v>
      </c>
    </row>
    <row r="14851" spans="1:14" x14ac:dyDescent="0.15">
      <c r="A14851" s="23" t="str">
        <f>HYPERLINK("https://www.spark-marketing.ru/Card/Person/51173", "МКУ ""УКС""")</f>
        <v>МКУ "УКС"</v>
      </c>
      <c r="B14851" s="24" t="s">
        <v>14818</v>
      </c>
      <c r="C14851" s="25">
        <v>1655094.5</v>
      </c>
      <c r="D14851" s="22" t="s">
        <v>19688</v>
      </c>
      <c r="E14851" s="22" t="s">
        <v>14820</v>
      </c>
      <c r="F14851" s="23" t="str">
        <f>HYPERLINK("https://www.spark-marketing.ru/Card/Lot/71734586", "Оказание услуг по изготовлению, доставке и монтажу шкафов металлических  для детского сада по ул. Спортивной, 19/1 в Ленинском районе")</f>
        <v>Оказание услуг по изготовлению, доставке и монтажу шкафов металлических  для детского сада по ул. Спортивной, 19/1 в Ленинском районе</v>
      </c>
      <c r="G14851" s="22" t="s">
        <v>195</v>
      </c>
      <c r="H14851" s="22" t="s">
        <v>196</v>
      </c>
      <c r="I14851" s="26">
        <v>43643.623611111099</v>
      </c>
      <c r="J14851" s="28" t="s">
        <v>51</v>
      </c>
      <c r="K14851" s="28" t="s">
        <v>51</v>
      </c>
      <c r="L14851" s="28" t="s">
        <v>51</v>
      </c>
      <c r="M14851" s="28" t="s">
        <v>51</v>
      </c>
      <c r="N14851" s="28" t="s">
        <v>51</v>
      </c>
    </row>
    <row r="14852" spans="1:14" ht="12.75" hidden="1" outlineLevel="1" x14ac:dyDescent="0.2">
      <c r="A14852" s="23" t="str">
        <f>HYPERLINK("https://www.spark-marketing.ru/Card/Person/51173", "МКУ ""УКС""")</f>
        <v>МКУ "УКС"</v>
      </c>
      <c r="B14852" s="24" t="s">
        <v>14818</v>
      </c>
      <c r="C14852" s="25">
        <v>1655094.5</v>
      </c>
      <c r="D14852" s="22" t="s">
        <v>19688</v>
      </c>
      <c r="E14852" s="22" t="s">
        <v>14820</v>
      </c>
      <c r="F14852" s="23" t="str">
        <f>HYPERLINK("https://www.spark-marketing.ru/Card/Lot/71734586", "Оказание услуг по изготовлению, доставке и монтажу шкафов металлических  для детского сада по ул. Спортивной, 19/1 в Ленинском районе")</f>
        <v>Оказание услуг по изготовлению, доставке и монтажу шкафов металлических  для детского сада по ул. Спортивной, 19/1 в Ленинском районе</v>
      </c>
      <c r="G14852" s="22" t="s">
        <v>195</v>
      </c>
      <c r="H14852" s="22" t="s">
        <v>196</v>
      </c>
      <c r="I14852" s="26">
        <v>43643.623611111099</v>
      </c>
      <c r="J14852" s="23" t="str">
        <f>HYPERLINK("https://www.spark-marketing.ru/Card/Person/86879", "ООО ""РУСКО""")</f>
        <v>ООО "РУСКО"</v>
      </c>
      <c r="K14852" s="24" t="s">
        <v>19689</v>
      </c>
      <c r="L14852" s="22" t="s">
        <v>10</v>
      </c>
      <c r="M14852" s="25">
        <v>926853.14</v>
      </c>
      <c r="N14852" s="27">
        <v>0.43999986707707628</v>
      </c>
    </row>
    <row r="14853" spans="1:14" hidden="1" outlineLevel="1" x14ac:dyDescent="0.2">
      <c r="A14853" s="23" t="str">
        <f>HYPERLINK("https://www.spark-marketing.ru/Card/Person/51173", "МКУ ""УКС""")</f>
        <v>МКУ "УКС"</v>
      </c>
      <c r="B14853" s="24" t="s">
        <v>14818</v>
      </c>
      <c r="C14853" s="25">
        <v>1655094.5</v>
      </c>
      <c r="D14853" s="22" t="s">
        <v>19688</v>
      </c>
      <c r="E14853" s="22" t="s">
        <v>14820</v>
      </c>
      <c r="F14853" s="23" t="str">
        <f>HYPERLINK("https://www.spark-marketing.ru/Card/Lot/71734586", "Оказание услуг по изготовлению, доставке и монтажу шкафов металлических  для детского сада по ул. Спортивной, 19/1 в Ленинском районе")</f>
        <v>Оказание услуг по изготовлению, доставке и монтажу шкафов металлических  для детского сада по ул. Спортивной, 19/1 в Ленинском районе</v>
      </c>
      <c r="G14853" s="22" t="s">
        <v>195</v>
      </c>
      <c r="H14853" s="22" t="s">
        <v>196</v>
      </c>
      <c r="I14853" s="26">
        <v>43643.623611111099</v>
      </c>
      <c r="J14853" s="23" t="str">
        <f>HYPERLINK("https://www.spark-marketing.ru/Card/Person/168834", "Трифонов Алексей Анатольевич")</f>
        <v>Трифонов Алексей Анатольевич</v>
      </c>
      <c r="K14853" s="24" t="s">
        <v>15031</v>
      </c>
      <c r="L14853" s="28" t="s">
        <v>51</v>
      </c>
      <c r="M14853" s="25">
        <v>1158500</v>
      </c>
      <c r="N14853" s="27">
        <v>0.30003996750638712</v>
      </c>
    </row>
    <row r="14854" spans="1:14" hidden="1" outlineLevel="1" x14ac:dyDescent="0.2">
      <c r="A14854" s="23" t="str">
        <f>HYPERLINK("https://www.spark-marketing.ru/Card/Person/51173", "МКУ ""УКС""")</f>
        <v>МКУ "УКС"</v>
      </c>
      <c r="B14854" s="24" t="s">
        <v>14818</v>
      </c>
      <c r="C14854" s="25">
        <v>1655094.5</v>
      </c>
      <c r="D14854" s="22" t="s">
        <v>19688</v>
      </c>
      <c r="E14854" s="22" t="s">
        <v>14820</v>
      </c>
      <c r="F14854" s="23" t="str">
        <f>HYPERLINK("https://www.spark-marketing.ru/Card/Lot/71734586", "Оказание услуг по изготовлению, доставке и монтажу шкафов металлических  для детского сада по ул. Спортивной, 19/1 в Ленинском районе")</f>
        <v>Оказание услуг по изготовлению, доставке и монтажу шкафов металлических  для детского сада по ул. Спортивной, 19/1 в Ленинском районе</v>
      </c>
      <c r="G14854" s="22" t="s">
        <v>195</v>
      </c>
      <c r="H14854" s="22" t="s">
        <v>196</v>
      </c>
      <c r="I14854" s="26">
        <v>43643.623611111099</v>
      </c>
      <c r="J14854" s="23" t="str">
        <f>HYPERLINK("https://www.spark-marketing.ru/Card/Person/170433", "Яковлева Людмила Аркадьевна")</f>
        <v>Яковлева Людмила Аркадьевна</v>
      </c>
      <c r="K14854" s="24" t="s">
        <v>15032</v>
      </c>
      <c r="L14854" s="28" t="s">
        <v>51</v>
      </c>
      <c r="M14854" s="25">
        <v>1158566.3</v>
      </c>
      <c r="N14854" s="27">
        <v>0.29999990937073384</v>
      </c>
    </row>
    <row r="14855" spans="1:14" hidden="1" outlineLevel="1" x14ac:dyDescent="0.2">
      <c r="A14855" s="23" t="str">
        <f>HYPERLINK("https://www.spark-marketing.ru/Card/Person/51173", "МКУ ""УКС""")</f>
        <v>МКУ "УКС"</v>
      </c>
      <c r="B14855" s="24" t="s">
        <v>14818</v>
      </c>
      <c r="C14855" s="25">
        <v>1655094.5</v>
      </c>
      <c r="D14855" s="22" t="s">
        <v>19688</v>
      </c>
      <c r="E14855" s="22" t="s">
        <v>14820</v>
      </c>
      <c r="F14855" s="23" t="str">
        <f>HYPERLINK("https://www.spark-marketing.ru/Card/Lot/71734586", "Оказание услуг по изготовлению, доставке и монтажу шкафов металлических  для детского сада по ул. Спортивной, 19/1 в Ленинском районе")</f>
        <v>Оказание услуг по изготовлению, доставке и монтажу шкафов металлических  для детского сада по ул. Спортивной, 19/1 в Ленинском районе</v>
      </c>
      <c r="G14855" s="22" t="s">
        <v>195</v>
      </c>
      <c r="H14855" s="22" t="s">
        <v>196</v>
      </c>
      <c r="I14855" s="26">
        <v>43643.623611111099</v>
      </c>
      <c r="J14855" s="23" t="str">
        <f>HYPERLINK("https://www.spark-marketing.ru/Card/Person/4562066", "ООО ""МЕБЕЛЬТРЕЙД""")</f>
        <v>ООО "МЕБЕЛЬТРЕЙД"</v>
      </c>
      <c r="K14855" s="24" t="s">
        <v>19690</v>
      </c>
      <c r="L14855" s="28" t="s">
        <v>51</v>
      </c>
      <c r="M14855" s="25">
        <v>926853.14</v>
      </c>
      <c r="N14855" s="27">
        <v>0.43999986707707628</v>
      </c>
    </row>
    <row r="14856" spans="1:14" x14ac:dyDescent="0.15">
      <c r="A14856" s="23" t="str">
        <f>HYPERLINK("https://www.spark-marketing.ru/Card/Person/1084328", "МАОУ ООШ №15")</f>
        <v>МАОУ ООШ №15</v>
      </c>
      <c r="B14856" s="24" t="s">
        <v>7703</v>
      </c>
      <c r="C14856" s="25">
        <v>120750</v>
      </c>
      <c r="D14856" s="22" t="s">
        <v>19691</v>
      </c>
      <c r="E14856" s="22" t="s">
        <v>362</v>
      </c>
      <c r="F14856" s="23" t="str">
        <f>HYPERLINK("https://www.spark-marketing.ru/Card/Lot/71735916", "Оказание услуг по организации горячего питания.")</f>
        <v>Оказание услуг по организации горячего питания.</v>
      </c>
      <c r="G14856" s="22" t="s">
        <v>400</v>
      </c>
      <c r="H14856" s="22" t="s">
        <v>400</v>
      </c>
      <c r="I14856" s="26">
        <v>43643.622511574104</v>
      </c>
      <c r="J14856" s="28" t="s">
        <v>51</v>
      </c>
      <c r="K14856" s="28" t="s">
        <v>51</v>
      </c>
      <c r="L14856" s="28" t="s">
        <v>51</v>
      </c>
      <c r="M14856" s="28" t="s">
        <v>51</v>
      </c>
      <c r="N14856" s="28" t="s">
        <v>51</v>
      </c>
    </row>
    <row r="14857" spans="1:14" x14ac:dyDescent="0.15">
      <c r="A14857" s="23" t="str">
        <f>HYPERLINK("https://www.spark-marketing.ru/Card/Person/56241", "МБУЗ ""ГОРОДСКАЯ БОЛЬНИЦА №7""")</f>
        <v>МБУЗ "ГОРОДСКАЯ БОЛЬНИЦА №7"</v>
      </c>
      <c r="B14857" s="24" t="s">
        <v>18136</v>
      </c>
      <c r="C14857" s="25">
        <v>98800</v>
      </c>
      <c r="D14857" s="22" t="s">
        <v>19692</v>
      </c>
      <c r="E14857" s="22" t="s">
        <v>48</v>
      </c>
      <c r="F14857" s="23" t="str">
        <f>HYPERLINK("https://www.spark-marketing.ru/Card/Lot/71732395", "оказание услуг по организации готового питания")</f>
        <v>оказание услуг по организации готового питания</v>
      </c>
      <c r="G14857" s="22" t="s">
        <v>267</v>
      </c>
      <c r="H14857" s="22" t="s">
        <v>1388</v>
      </c>
      <c r="I14857" s="26">
        <v>43643.597916666702</v>
      </c>
      <c r="J14857" s="28" t="s">
        <v>51</v>
      </c>
      <c r="K14857" s="28" t="s">
        <v>51</v>
      </c>
      <c r="L14857" s="28" t="s">
        <v>51</v>
      </c>
      <c r="M14857" s="28" t="s">
        <v>51</v>
      </c>
      <c r="N14857" s="28" t="s">
        <v>51</v>
      </c>
    </row>
    <row r="14858" spans="1:14" x14ac:dyDescent="0.15">
      <c r="A14858" s="23" t="str">
        <f>HYPERLINK("https://www.spark-marketing.ru/Card/Person/48248", "ГУП ""МОСГОРТРАНС""")</f>
        <v>ГУП "МОСГОРТРАНС"</v>
      </c>
      <c r="B14858" s="24" t="s">
        <v>15467</v>
      </c>
      <c r="C14858" s="25">
        <v>310200</v>
      </c>
      <c r="D14858" s="22" t="s">
        <v>19693</v>
      </c>
      <c r="E14858" s="22" t="s">
        <v>96</v>
      </c>
      <c r="F14858" s="23" t="str">
        <f>HYPERLINK("https://www.spark-marketing.ru/Card/Lot/71746574", "Оказание услуг по организации питания во время массовых перевозок для нужд филиала Южный ГУП «Мосгортранс»")</f>
        <v>Оказание услуг по организации питания во время массовых перевозок для нужд филиала Южный ГУП «Мосгортранс»</v>
      </c>
      <c r="G14858" s="22" t="s">
        <v>56</v>
      </c>
      <c r="H14858" s="22" t="s">
        <v>56</v>
      </c>
      <c r="I14858" s="26">
        <v>43643.607638888898</v>
      </c>
      <c r="J14858" s="28" t="s">
        <v>51</v>
      </c>
      <c r="K14858" s="28" t="s">
        <v>51</v>
      </c>
      <c r="L14858" s="28" t="s">
        <v>51</v>
      </c>
      <c r="M14858" s="28" t="s">
        <v>51</v>
      </c>
      <c r="N14858" s="28" t="s">
        <v>51</v>
      </c>
    </row>
    <row r="14859" spans="1:14" hidden="1" outlineLevel="1" x14ac:dyDescent="0.2">
      <c r="A14859" s="23" t="str">
        <f>HYPERLINK("https://www.spark-marketing.ru/Card/Person/48248", "ГУП ""МОСГОРТРАНС""")</f>
        <v>ГУП "МОСГОРТРАНС"</v>
      </c>
      <c r="B14859" s="24" t="s">
        <v>15467</v>
      </c>
      <c r="C14859" s="25">
        <v>310200</v>
      </c>
      <c r="D14859" s="22" t="s">
        <v>19693</v>
      </c>
      <c r="E14859" s="22" t="s">
        <v>96</v>
      </c>
      <c r="F14859" s="23" t="str">
        <f>HYPERLINK("https://www.spark-marketing.ru/Card/Lot/71746574", "Оказание услуг по организации питания во время массовых перевозок для нужд филиала Южный ГУП «Мосгортранс»")</f>
        <v>Оказание услуг по организации питания во время массовых перевозок для нужд филиала Южный ГУП «Мосгортранс»</v>
      </c>
      <c r="G14859" s="22" t="s">
        <v>56</v>
      </c>
      <c r="H14859" s="22" t="s">
        <v>56</v>
      </c>
      <c r="I14859" s="26">
        <v>43643.607638888898</v>
      </c>
      <c r="J14859" s="23" t="str">
        <f>HYPERLINK("https://www.spark-marketing.ru/Card/Person/6494443", "ООО ""ФУД СЕРВИС""")</f>
        <v>ООО "ФУД СЕРВИС"</v>
      </c>
      <c r="K14859" s="24" t="s">
        <v>9697</v>
      </c>
      <c r="L14859" s="28" t="s">
        <v>51</v>
      </c>
      <c r="M14859" s="25">
        <v>307098</v>
      </c>
      <c r="N14859" s="27">
        <v>0.01</v>
      </c>
    </row>
    <row r="14860" spans="1:14" ht="12.75" hidden="1" outlineLevel="1" x14ac:dyDescent="0.2">
      <c r="A14860" s="23" t="str">
        <f>HYPERLINK("https://www.spark-marketing.ru/Card/Person/48248", "ГУП ""МОСГОРТРАНС""")</f>
        <v>ГУП "МОСГОРТРАНС"</v>
      </c>
      <c r="B14860" s="24" t="s">
        <v>15467</v>
      </c>
      <c r="C14860" s="25">
        <v>310200</v>
      </c>
      <c r="D14860" s="22" t="s">
        <v>19693</v>
      </c>
      <c r="E14860" s="22" t="s">
        <v>96</v>
      </c>
      <c r="F14860" s="23" t="str">
        <f>HYPERLINK("https://www.spark-marketing.ru/Card/Lot/71746574", "Оказание услуг по организации питания во время массовых перевозок для нужд филиала Южный ГУП «Мосгортранс»")</f>
        <v>Оказание услуг по организации питания во время массовых перевозок для нужд филиала Южный ГУП «Мосгортранс»</v>
      </c>
      <c r="G14860" s="22" t="s">
        <v>56</v>
      </c>
      <c r="H14860" s="22" t="s">
        <v>56</v>
      </c>
      <c r="I14860" s="26">
        <v>43643.607638888898</v>
      </c>
      <c r="J14860" s="23" t="str">
        <f>HYPERLINK("https://www.spark-marketing.ru/Card/Person/1599314", "Савенкова Нина Ивановна")</f>
        <v>Савенкова Нина Ивановна</v>
      </c>
      <c r="K14860" s="24" t="s">
        <v>19694</v>
      </c>
      <c r="L14860" s="22" t="s">
        <v>10</v>
      </c>
      <c r="M14860" s="25">
        <v>92491</v>
      </c>
      <c r="N14860" s="27">
        <v>0.70183430045132178</v>
      </c>
    </row>
    <row r="14861" spans="1:14" hidden="1" outlineLevel="1" x14ac:dyDescent="0.2">
      <c r="A14861" s="23" t="str">
        <f>HYPERLINK("https://www.spark-marketing.ru/Card/Person/48248", "ГУП ""МОСГОРТРАНС""")</f>
        <v>ГУП "МОСГОРТРАНС"</v>
      </c>
      <c r="B14861" s="24" t="s">
        <v>15467</v>
      </c>
      <c r="C14861" s="25">
        <v>310200</v>
      </c>
      <c r="D14861" s="22" t="s">
        <v>19693</v>
      </c>
      <c r="E14861" s="22" t="s">
        <v>96</v>
      </c>
      <c r="F14861" s="23" t="str">
        <f>HYPERLINK("https://www.spark-marketing.ru/Card/Lot/71746574", "Оказание услуг по организации питания во время массовых перевозок для нужд филиала Южный ГУП «Мосгортранс»")</f>
        <v>Оказание услуг по организации питания во время массовых перевозок для нужд филиала Южный ГУП «Мосгортранс»</v>
      </c>
      <c r="G14861" s="22" t="s">
        <v>56</v>
      </c>
      <c r="H14861" s="22" t="s">
        <v>56</v>
      </c>
      <c r="I14861" s="26">
        <v>43643.607638888898</v>
      </c>
      <c r="J14861" s="23" t="str">
        <f>HYPERLINK("https://www.spark-marketing.ru/Card/Person/6075017", "Макеева Оксана Юрьевна")</f>
        <v>Макеева Оксана Юрьевна</v>
      </c>
      <c r="K14861" s="24" t="s">
        <v>19695</v>
      </c>
      <c r="L14861" s="28" t="s">
        <v>51</v>
      </c>
      <c r="M14861" s="25">
        <v>180898</v>
      </c>
      <c r="N14861" s="27">
        <v>0.41683430045132175</v>
      </c>
    </row>
    <row r="14862" spans="1:14" hidden="1" outlineLevel="1" x14ac:dyDescent="0.2">
      <c r="A14862" s="23" t="str">
        <f>HYPERLINK("https://www.spark-marketing.ru/Card/Person/48248", "ГУП ""МОСГОРТРАНС""")</f>
        <v>ГУП "МОСГОРТРАНС"</v>
      </c>
      <c r="B14862" s="24" t="s">
        <v>15467</v>
      </c>
      <c r="C14862" s="25">
        <v>310200</v>
      </c>
      <c r="D14862" s="22" t="s">
        <v>19693</v>
      </c>
      <c r="E14862" s="22" t="s">
        <v>96</v>
      </c>
      <c r="F14862" s="23" t="str">
        <f>HYPERLINK("https://www.spark-marketing.ru/Card/Lot/71746574", "Оказание услуг по организации питания во время массовых перевозок для нужд филиала Южный ГУП «Мосгортранс»")</f>
        <v>Оказание услуг по организации питания во время массовых перевозок для нужд филиала Южный ГУП «Мосгортранс»</v>
      </c>
      <c r="G14862" s="22" t="s">
        <v>56</v>
      </c>
      <c r="H14862" s="22" t="s">
        <v>56</v>
      </c>
      <c r="I14862" s="26">
        <v>43643.607638888898</v>
      </c>
      <c r="J14862" s="23" t="str">
        <f>HYPERLINK("https://www.spark-marketing.ru/Card/Person/6624373", "Деткина Мария Владимировна")</f>
        <v>Деткина Мария Владимировна</v>
      </c>
      <c r="K14862" s="24" t="s">
        <v>17351</v>
      </c>
      <c r="L14862" s="28" t="s">
        <v>51</v>
      </c>
      <c r="M14862" s="25">
        <v>94042</v>
      </c>
      <c r="N14862" s="27">
        <v>0.69683430045132178</v>
      </c>
    </row>
    <row r="14863" spans="1:14" x14ac:dyDescent="0.15">
      <c r="A14863" s="23" t="str">
        <f>HYPERLINK("https://www.spark-marketing.ru/Card/Person/1499934", "МАУ ДО ЦРТДИЮ ""КОНТАКТ"" ГОРОДА ТЮМЕНИ")</f>
        <v>МАУ ДО ЦРТДИЮ "КОНТАКТ" ГОРОДА ТЮМЕНИ</v>
      </c>
      <c r="B14863" s="24" t="s">
        <v>19696</v>
      </c>
      <c r="C14863" s="25">
        <v>182085</v>
      </c>
      <c r="D14863" s="22" t="s">
        <v>19697</v>
      </c>
      <c r="E14863" s="22" t="s">
        <v>362</v>
      </c>
      <c r="F14863" s="23" t="str">
        <f>HYPERLINK("https://www.spark-marketing.ru/Card/Lot/71728094", "Оказание услуг по обеспечению питанием получателей услуг летнего оздоровительного лагеря по адресу ул. Станционная, 22 в помещении столовой, закрепленном на праве оперативного управления за МАОУ СОШ №72, в период второй смены с 1 по 21 июля 2019 года...")</f>
        <v>Оказание услуг по обеспечению питанием получателей услуг летнего оздоровительного лагеря по адресу ул. Станционная, 22 в помещении столовой, закрепленном на праве оперативного управления за МАОУ СОШ №72, в период второй смены с 1 по 21 июля 2019 года...</v>
      </c>
      <c r="G14863" s="22" t="s">
        <v>766</v>
      </c>
      <c r="H14863" s="22" t="s">
        <v>766</v>
      </c>
      <c r="I14863" s="26">
        <v>43643.549004629604</v>
      </c>
      <c r="J14863" s="28" t="s">
        <v>51</v>
      </c>
      <c r="K14863" s="28" t="s">
        <v>51</v>
      </c>
      <c r="L14863" s="28" t="s">
        <v>51</v>
      </c>
      <c r="M14863" s="28" t="s">
        <v>51</v>
      </c>
      <c r="N14863" s="28" t="s">
        <v>51</v>
      </c>
    </row>
    <row r="14864" spans="1:14" x14ac:dyDescent="0.15">
      <c r="A14864" s="23" t="str">
        <f>HYPERLINK("https://www.spark-marketing.ru/Card/Person/9849", "ГБУ ""ХОЗУ""")</f>
        <v>ГБУ "ХОЗУ"</v>
      </c>
      <c r="B14864" s="24" t="s">
        <v>1532</v>
      </c>
      <c r="C14864" s="25">
        <v>1500000</v>
      </c>
      <c r="D14864" s="22" t="s">
        <v>19698</v>
      </c>
      <c r="E14864" s="22" t="s">
        <v>51</v>
      </c>
      <c r="F14864" s="23" t="str">
        <f>HYPERLINK("https://www.spark-marketing.ru/Card/Lot/71719062", "Оказание услуг по организации питания и обслуживанию мероприятий")</f>
        <v>Оказание услуг по организации питания и обслуживанию мероприятий</v>
      </c>
      <c r="G14864" s="22" t="s">
        <v>543</v>
      </c>
      <c r="H14864" s="22" t="s">
        <v>543</v>
      </c>
      <c r="I14864" s="26">
        <v>43643.570138888899</v>
      </c>
      <c r="J14864" s="23" t="str">
        <f>HYPERLINK("https://www.spark-marketing.ru/Card/Person/2548612", "ООО ""ШОКОЛАД""")</f>
        <v>ООО "ШОКОЛАД"</v>
      </c>
      <c r="K14864" s="24" t="s">
        <v>5434</v>
      </c>
      <c r="L14864" s="28" t="s">
        <v>51</v>
      </c>
      <c r="M14864" s="28" t="s">
        <v>51</v>
      </c>
      <c r="N14864" s="28" t="s">
        <v>51</v>
      </c>
    </row>
    <row r="14865" spans="1:14" hidden="1" outlineLevel="1" x14ac:dyDescent="0.15">
      <c r="A14865" s="23" t="str">
        <f>HYPERLINK("https://www.spark-marketing.ru/Card/Person/9849", "ГБУ ""ХОЗУ""")</f>
        <v>ГБУ "ХОЗУ"</v>
      </c>
      <c r="B14865" s="24" t="s">
        <v>1532</v>
      </c>
      <c r="C14865" s="25">
        <v>1500000</v>
      </c>
      <c r="D14865" s="22" t="s">
        <v>19698</v>
      </c>
      <c r="E14865" s="22" t="s">
        <v>51</v>
      </c>
      <c r="F14865" s="23" t="str">
        <f>HYPERLINK("https://www.spark-marketing.ru/Card/Lot/71719062", "Оказание услуг по организации питания и обслуживанию мероприятий")</f>
        <v>Оказание услуг по организации питания и обслуживанию мероприятий</v>
      </c>
      <c r="G14865" s="22" t="s">
        <v>543</v>
      </c>
      <c r="H14865" s="22" t="s">
        <v>543</v>
      </c>
      <c r="I14865" s="26">
        <v>43643.570138888899</v>
      </c>
      <c r="J14865" s="23" t="str">
        <f>HYPERLINK("https://www.spark-marketing.ru/Card/Person/2548612", "ООО ""ШОКОЛАД""")</f>
        <v>ООО "ШОКОЛАД"</v>
      </c>
      <c r="K14865" s="24" t="s">
        <v>5434</v>
      </c>
      <c r="L14865" s="22" t="s">
        <v>10</v>
      </c>
      <c r="M14865" s="28" t="s">
        <v>51</v>
      </c>
      <c r="N14865" s="28" t="s">
        <v>51</v>
      </c>
    </row>
    <row r="14866" spans="1:14" x14ac:dyDescent="0.2">
      <c r="A14866" s="23" t="str">
        <f>HYPERLINK("https://www.spark-marketing.ru/Card/Person/1020588", "ГБОУ АО АСШИ № 1")</f>
        <v>ГБОУ АО АСШИ № 1</v>
      </c>
      <c r="B14866" s="24" t="s">
        <v>19699</v>
      </c>
      <c r="C14866" s="25">
        <v>8170787.5</v>
      </c>
      <c r="D14866" s="22" t="s">
        <v>19700</v>
      </c>
      <c r="E14866" s="22" t="s">
        <v>96</v>
      </c>
      <c r="F14866" s="23" t="str">
        <f>HYPERLINK("https://www.spark-marketing.ru/Card/Lot/71736639", "Оказание услуг по приготовлению и организации питания учащихся ГБОУ АО АСШИ № 1")</f>
        <v>Оказание услуг по приготовлению и организации питания учащихся ГБОУ АО АСШИ № 1</v>
      </c>
      <c r="G14866" s="22" t="s">
        <v>214</v>
      </c>
      <c r="H14866" s="22" t="s">
        <v>523</v>
      </c>
      <c r="I14866" s="26">
        <v>43643.576388888898</v>
      </c>
      <c r="J14866" s="23" t="str">
        <f>HYPERLINK("https://www.spark-marketing.ru/Card/Person/487096", "ООО ""ДИЕТА29""")</f>
        <v>ООО "ДИЕТА29"</v>
      </c>
      <c r="K14866" s="24" t="s">
        <v>10028</v>
      </c>
      <c r="L14866" s="28" t="s">
        <v>51</v>
      </c>
      <c r="M14866" s="25">
        <v>7921800</v>
      </c>
      <c r="N14866" s="27">
        <v>3.0472888935124062E-2</v>
      </c>
    </row>
    <row r="14867" spans="1:14" x14ac:dyDescent="0.2">
      <c r="A14867" s="23" t="str">
        <f>HYPERLINK("https://www.spark-marketing.ru/Card/Person/4415317", "МАОУ ""ГИМНАЗИЯ Г.ТРОИЦКА""")</f>
        <v>МАОУ "ГИМНАЗИЯ Г.ТРОИЦКА"</v>
      </c>
      <c r="B14867" s="24" t="s">
        <v>19701</v>
      </c>
      <c r="C14867" s="25">
        <v>76805245.400000006</v>
      </c>
      <c r="D14867" s="22" t="s">
        <v>19702</v>
      </c>
      <c r="E14867" s="22" t="s">
        <v>362</v>
      </c>
      <c r="F14867" s="23" t="str">
        <f>HYPERLINK("https://www.spark-marketing.ru/Card/Lot/71732756", "Оказание услуг по организации питания и обеспечение питьевого режима обучающихся МАОУ ""Гимназия г.Троицка"" на период с 01.09.2019 г. по 31.05.2021 г.")</f>
        <v>Оказание услуг по организации питания и обеспечение питьевого режима обучающихся МАОУ "Гимназия г.Троицка" на период с 01.09.2019 г. по 31.05.2021 г.</v>
      </c>
      <c r="G14867" s="22" t="s">
        <v>56</v>
      </c>
      <c r="H14867" s="22" t="s">
        <v>56</v>
      </c>
      <c r="I14867" s="26">
        <v>43643.549212963</v>
      </c>
      <c r="J14867" s="28" t="s">
        <v>51</v>
      </c>
      <c r="K14867" s="28" t="s">
        <v>51</v>
      </c>
      <c r="L14867" s="28" t="s">
        <v>51</v>
      </c>
      <c r="M14867" s="25">
        <v>66422980.5</v>
      </c>
      <c r="N14867" s="27">
        <v>0.13517650840029735</v>
      </c>
    </row>
    <row r="14868" spans="1:14" x14ac:dyDescent="0.15">
      <c r="A14868" s="23" t="str">
        <f>HYPERLINK("https://www.spark-marketing.ru/Card/Person/953086", "ГБУ ДО ""КЦЭТК""")</f>
        <v>ГБУ ДО "КЦЭТК"</v>
      </c>
      <c r="B14868" s="24" t="s">
        <v>10600</v>
      </c>
      <c r="C14868" s="25">
        <v>480000</v>
      </c>
      <c r="D14868" s="22" t="s">
        <v>19703</v>
      </c>
      <c r="E14868" s="22" t="s">
        <v>362</v>
      </c>
      <c r="F14868" s="23" t="str">
        <f>HYPERLINK("https://www.spark-marketing.ru/Card/Lot/71732752", "Оказание услуг по организации горячим питанием детей филиала ГБУ ДО ""КЦЭТК"" - ДООЦ ""Солнечный""")</f>
        <v>Оказание услуг по организации горячим питанием детей филиала ГБУ ДО "КЦЭТК" - ДООЦ "Солнечный"</v>
      </c>
      <c r="G14868" s="22" t="s">
        <v>87</v>
      </c>
      <c r="H14868" s="22" t="s">
        <v>87</v>
      </c>
      <c r="I14868" s="26">
        <v>43643.548414351899</v>
      </c>
      <c r="J14868" s="28" t="s">
        <v>51</v>
      </c>
      <c r="K14868" s="28" t="s">
        <v>51</v>
      </c>
      <c r="L14868" s="28" t="s">
        <v>51</v>
      </c>
      <c r="M14868" s="28" t="s">
        <v>51</v>
      </c>
      <c r="N14868" s="28" t="s">
        <v>51</v>
      </c>
    </row>
    <row r="14869" spans="1:14" x14ac:dyDescent="0.15">
      <c r="A14869" s="23" t="str">
        <f>HYPERLINK("https://www.spark-marketing.ru/Card/Person/1045337", "МАУ ЦЕНТР ""ЗАРЯ"" Г.О. САМАРА")</f>
        <v>МАУ ЦЕНТР "ЗАРЯ" Г.О. САМАРА</v>
      </c>
      <c r="B14869" s="24" t="s">
        <v>15128</v>
      </c>
      <c r="C14869" s="25">
        <v>852880</v>
      </c>
      <c r="D14869" s="22" t="s">
        <v>19704</v>
      </c>
      <c r="E14869" s="22" t="s">
        <v>362</v>
      </c>
      <c r="F14869" s="23" t="str">
        <f>HYPERLINK("https://www.spark-marketing.ru/Card/Lot/71728082", "услуги по организации горячего питания детей и сотрудников")</f>
        <v>услуги по организации горячего питания детей и сотрудников</v>
      </c>
      <c r="G14869" s="22" t="s">
        <v>128</v>
      </c>
      <c r="H14869" s="22" t="s">
        <v>128</v>
      </c>
      <c r="I14869" s="26">
        <v>43643.5231712963</v>
      </c>
      <c r="J14869" s="28" t="s">
        <v>51</v>
      </c>
      <c r="K14869" s="28" t="s">
        <v>51</v>
      </c>
      <c r="L14869" s="28" t="s">
        <v>51</v>
      </c>
      <c r="M14869" s="28" t="s">
        <v>51</v>
      </c>
      <c r="N14869" s="28" t="s">
        <v>51</v>
      </c>
    </row>
    <row r="14870" spans="1:14" x14ac:dyDescent="0.15">
      <c r="A14870" s="23" t="str">
        <f>HYPERLINK("https://www.spark-marketing.ru/Card/Person/53933", "СПБ ГБПОУ ""УОР № 2 (ТЕХНИКУМ)""")</f>
        <v>СПБ ГБПОУ "УОР № 2 (ТЕХНИКУМ)"</v>
      </c>
      <c r="B14870" s="24" t="s">
        <v>2322</v>
      </c>
      <c r="C14870" s="25">
        <v>1056600</v>
      </c>
      <c r="D14870" s="22" t="s">
        <v>19705</v>
      </c>
      <c r="E14870" s="22" t="s">
        <v>16468</v>
      </c>
      <c r="F14870" s="23" t="str">
        <f>HYPERLINK("https://www.spark-marketing.ru/Card/Lot/71733325", "Оказание услуг по предоставлению проживания, питания и спортивных сооружений при проведении тренировочного мероприятия к Всероссийским соревнованиям для занимающихся СПб ГБПОУ ""УОР № 2 (техникум) отделения ""Бокс"" в 2019 году")</f>
        <v>Оказание услуг по предоставлению проживания, питания и спортивных сооружений при проведении тренировочного мероприятия к Всероссийским соревнованиям для занимающихся СПб ГБПОУ "УОР № 2 (техникум) отделения "Бокс" в 2019 году</v>
      </c>
      <c r="G14870" s="22" t="s">
        <v>117</v>
      </c>
      <c r="H14870" s="22" t="s">
        <v>117</v>
      </c>
      <c r="I14870" s="26">
        <v>43643.511111111096</v>
      </c>
      <c r="J14870" s="28" t="s">
        <v>51</v>
      </c>
      <c r="K14870" s="28" t="s">
        <v>51</v>
      </c>
      <c r="L14870" s="28" t="s">
        <v>51</v>
      </c>
      <c r="M14870" s="28" t="s">
        <v>51</v>
      </c>
      <c r="N14870" s="28" t="s">
        <v>51</v>
      </c>
    </row>
    <row r="14871" spans="1:14" ht="12.75" hidden="1" outlineLevel="1" x14ac:dyDescent="0.2">
      <c r="A14871" s="23" t="str">
        <f>HYPERLINK("https://www.spark-marketing.ru/Card/Person/53933", "СПБ ГБПОУ ""УОР № 2 (ТЕХНИКУМ)""")</f>
        <v>СПБ ГБПОУ "УОР № 2 (ТЕХНИКУМ)"</v>
      </c>
      <c r="B14871" s="24" t="s">
        <v>2322</v>
      </c>
      <c r="C14871" s="25">
        <v>1056600</v>
      </c>
      <c r="D14871" s="22" t="s">
        <v>19705</v>
      </c>
      <c r="E14871" s="22" t="s">
        <v>16468</v>
      </c>
      <c r="F14871" s="23" t="str">
        <f>HYPERLINK("https://www.spark-marketing.ru/Card/Lot/71733325", "Оказание услуг по предоставлению проживания, питания и спортивных сооружений при проведении тренировочного мероприятия к Всероссийским соревнованиям для занимающихся СПб ГБПОУ ""УОР № 2 (техникум) отделения ""Бокс"" в 2019 году")</f>
        <v>Оказание услуг по предоставлению проживания, питания и спортивных сооружений при проведении тренировочного мероприятия к Всероссийским соревнованиям для занимающихся СПб ГБПОУ "УОР № 2 (техникум) отделения "Бокс" в 2019 году</v>
      </c>
      <c r="G14871" s="22" t="s">
        <v>117</v>
      </c>
      <c r="H14871" s="22" t="s">
        <v>117</v>
      </c>
      <c r="I14871" s="26">
        <v>43643.511111111096</v>
      </c>
      <c r="J14871" s="23" t="str">
        <f>HYPERLINK("https://www.spark-marketing.ru/Card/Person/202247", "ООО ""ЭЛЬБРУС-ТУР ПАНСИОНАТ ""ЭЛЬБРУС""")</f>
        <v>ООО "ЭЛЬБРУС-ТУР ПАНСИОНАТ "ЭЛЬБРУС"</v>
      </c>
      <c r="K14871" s="24" t="s">
        <v>19706</v>
      </c>
      <c r="L14871" s="22" t="s">
        <v>10</v>
      </c>
      <c r="M14871" s="25">
        <v>924525</v>
      </c>
      <c r="N14871" s="27">
        <v>0.125</v>
      </c>
    </row>
    <row r="14872" spans="1:14" hidden="1" outlineLevel="1" x14ac:dyDescent="0.2">
      <c r="A14872" s="23" t="str">
        <f>HYPERLINK("https://www.spark-marketing.ru/Card/Person/53933", "СПБ ГБПОУ ""УОР № 2 (ТЕХНИКУМ)""")</f>
        <v>СПБ ГБПОУ "УОР № 2 (ТЕХНИКУМ)"</v>
      </c>
      <c r="B14872" s="24" t="s">
        <v>2322</v>
      </c>
      <c r="C14872" s="25">
        <v>1056600</v>
      </c>
      <c r="D14872" s="22" t="s">
        <v>19705</v>
      </c>
      <c r="E14872" s="22" t="s">
        <v>16468</v>
      </c>
      <c r="F14872" s="23" t="str">
        <f>HYPERLINK("https://www.spark-marketing.ru/Card/Lot/71733325", "Оказание услуг по предоставлению проживания, питания и спортивных сооружений при проведении тренировочного мероприятия к Всероссийским соревнованиям для занимающихся СПб ГБПОУ ""УОР № 2 (техникум) отделения ""Бокс"" в 2019 году")</f>
        <v>Оказание услуг по предоставлению проживания, питания и спортивных сооружений при проведении тренировочного мероприятия к Всероссийским соревнованиям для занимающихся СПб ГБПОУ "УОР № 2 (техникум) отделения "Бокс" в 2019 году</v>
      </c>
      <c r="G14872" s="22" t="s">
        <v>117</v>
      </c>
      <c r="H14872" s="22" t="s">
        <v>117</v>
      </c>
      <c r="I14872" s="26">
        <v>43643.511111111096</v>
      </c>
      <c r="J14872" s="23" t="str">
        <f>HYPERLINK("https://www.spark-marketing.ru/Card/Person/1567791", "ООО ""ТЕРРА""")</f>
        <v>ООО "ТЕРРА"</v>
      </c>
      <c r="K14872" s="24" t="s">
        <v>6244</v>
      </c>
      <c r="L14872" s="28" t="s">
        <v>51</v>
      </c>
      <c r="M14872" s="25">
        <v>1051317</v>
      </c>
      <c r="N14872" s="27">
        <v>5.0000000000000001E-3</v>
      </c>
    </row>
    <row r="14873" spans="1:14" hidden="1" outlineLevel="1" x14ac:dyDescent="0.2">
      <c r="A14873" s="23" t="str">
        <f>HYPERLINK("https://www.spark-marketing.ru/Card/Person/53933", "СПБ ГБПОУ ""УОР № 2 (ТЕХНИКУМ)""")</f>
        <v>СПБ ГБПОУ "УОР № 2 (ТЕХНИКУМ)"</v>
      </c>
      <c r="B14873" s="24" t="s">
        <v>2322</v>
      </c>
      <c r="C14873" s="25">
        <v>1056600</v>
      </c>
      <c r="D14873" s="22" t="s">
        <v>19705</v>
      </c>
      <c r="E14873" s="22" t="s">
        <v>16468</v>
      </c>
      <c r="F14873" s="23" t="str">
        <f>HYPERLINK("https://www.spark-marketing.ru/Card/Lot/71733325", "Оказание услуг по предоставлению проживания, питания и спортивных сооружений при проведении тренировочного мероприятия к Всероссийским соревнованиям для занимающихся СПб ГБПОУ ""УОР № 2 (техникум) отделения ""Бокс"" в 2019 году")</f>
        <v>Оказание услуг по предоставлению проживания, питания и спортивных сооружений при проведении тренировочного мероприятия к Всероссийским соревнованиям для занимающихся СПб ГБПОУ "УОР № 2 (техникум) отделения "Бокс" в 2019 году</v>
      </c>
      <c r="G14873" s="22" t="s">
        <v>117</v>
      </c>
      <c r="H14873" s="22" t="s">
        <v>117</v>
      </c>
      <c r="I14873" s="26">
        <v>43643.511111111096</v>
      </c>
      <c r="J14873" s="23" t="str">
        <f>HYPERLINK("https://www.spark-marketing.ru/Card/Person/6369393", "ООО ""ВЕКТОР ГРУПП""")</f>
        <v>ООО "ВЕКТОР ГРУПП"</v>
      </c>
      <c r="K14873" s="24" t="s">
        <v>4733</v>
      </c>
      <c r="L14873" s="28" t="s">
        <v>51</v>
      </c>
      <c r="M14873" s="25">
        <v>929808</v>
      </c>
      <c r="N14873" s="27">
        <v>0.12</v>
      </c>
    </row>
    <row r="14874" spans="1:14" x14ac:dyDescent="0.15">
      <c r="A14874" s="23" t="str">
        <f>HYPERLINK("https://www.spark-marketing.ru/Card/Person/1033989", "МБУ ГОЩ ""СК ""ГРЕБНЕВО""")</f>
        <v>МБУ ГОЩ "СК "ГРЕБНЕВО"</v>
      </c>
      <c r="B14874" s="24" t="s">
        <v>19707</v>
      </c>
      <c r="C14874" s="25">
        <v>70000</v>
      </c>
      <c r="D14874" s="22" t="s">
        <v>19708</v>
      </c>
      <c r="E14874" s="22" t="s">
        <v>48</v>
      </c>
      <c r="F14874" s="23" t="str">
        <f>HYPERLINK("https://www.spark-marketing.ru/Card/Lot/71730308", "Оказание услуг по организации питания на спортивные мероприятия")</f>
        <v>Оказание услуг по организации питания на спортивные мероприятия</v>
      </c>
      <c r="G14874" s="22" t="s">
        <v>49</v>
      </c>
      <c r="H14874" s="22" t="s">
        <v>4644</v>
      </c>
      <c r="I14874" s="26">
        <v>43643.535173611097</v>
      </c>
      <c r="J14874" s="28" t="s">
        <v>51</v>
      </c>
      <c r="K14874" s="28" t="s">
        <v>51</v>
      </c>
      <c r="L14874" s="28" t="s">
        <v>51</v>
      </c>
      <c r="M14874" s="28" t="s">
        <v>51</v>
      </c>
      <c r="N14874" s="28" t="s">
        <v>51</v>
      </c>
    </row>
    <row r="14875" spans="1:14" x14ac:dyDescent="0.15">
      <c r="A14875" s="23" t="str">
        <f>HYPERLINK("https://www.spark-marketing.ru/Card/Person/6232063", "МБОУ СОШ № 45 Г. СТАВРОПОЛЯ")</f>
        <v>МБОУ СОШ № 45 Г. СТАВРОПОЛЯ</v>
      </c>
      <c r="B14875" s="24" t="s">
        <v>19709</v>
      </c>
      <c r="C14875" s="25">
        <v>1119324</v>
      </c>
      <c r="D14875" s="22" t="s">
        <v>19710</v>
      </c>
      <c r="E14875" s="22" t="s">
        <v>48</v>
      </c>
      <c r="F14875" s="23" t="str">
        <f>HYPERLINK("https://www.spark-marketing.ru/Card/Lot/71733339", "Услуги по организации питания учащихся МБОУ СОШ № 45 г. Ставрополя в сентябре-декабре 2019 года")</f>
        <v>Услуги по организации питания учащихся МБОУ СОШ № 45 г. Ставрополя в сентябре-декабре 2019 года</v>
      </c>
      <c r="G14875" s="22" t="s">
        <v>87</v>
      </c>
      <c r="H14875" s="22" t="s">
        <v>87</v>
      </c>
      <c r="I14875" s="26">
        <v>43643.524305555598</v>
      </c>
      <c r="J14875" s="23" t="str">
        <f>HYPERLINK("https://www.spark-marketing.ru/Card/Person/217327", "Карпачев Валерий Борисович")</f>
        <v>Карпачев Валерий Борисович</v>
      </c>
      <c r="K14875" s="24" t="s">
        <v>19656</v>
      </c>
      <c r="L14875" s="22" t="s">
        <v>10</v>
      </c>
      <c r="M14875" s="28" t="s">
        <v>51</v>
      </c>
      <c r="N14875" s="28" t="s">
        <v>51</v>
      </c>
    </row>
    <row r="14876" spans="1:14" x14ac:dyDescent="0.15">
      <c r="A14876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4876" s="24" t="s">
        <v>3255</v>
      </c>
      <c r="C14876" s="25">
        <v>1154400</v>
      </c>
      <c r="D14876" s="22" t="s">
        <v>19711</v>
      </c>
      <c r="E14876" s="22" t="s">
        <v>52</v>
      </c>
      <c r="F14876" s="23" t="str">
        <f>HYPERLINK("https://www.spark-marketing.ru/Card/Lot/71717989", "Поставка лекарственного препарата для медицинского применения ""Вальпроевая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специализиро...")</f>
        <v>Поставка лекарственного препарата для медицинского применения "Вальпроевая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</v>
      </c>
      <c r="G14876" s="22" t="s">
        <v>210</v>
      </c>
      <c r="H14876" s="22" t="s">
        <v>3257</v>
      </c>
      <c r="I14876" s="26">
        <v>43643.505555555603</v>
      </c>
      <c r="J14876" s="28" t="s">
        <v>51</v>
      </c>
      <c r="K14876" s="28" t="s">
        <v>51</v>
      </c>
      <c r="L14876" s="28" t="s">
        <v>51</v>
      </c>
      <c r="M14876" s="28" t="s">
        <v>51</v>
      </c>
      <c r="N14876" s="28" t="s">
        <v>51</v>
      </c>
    </row>
    <row r="14877" spans="1:14" hidden="1" outlineLevel="1" x14ac:dyDescent="0.2">
      <c r="A14877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4877" s="24" t="s">
        <v>3255</v>
      </c>
      <c r="C14877" s="25">
        <v>1154400</v>
      </c>
      <c r="D14877" s="22" t="s">
        <v>19711</v>
      </c>
      <c r="E14877" s="22" t="s">
        <v>52</v>
      </c>
      <c r="F14877" s="23" t="str">
        <f>HYPERLINK("https://www.spark-marketing.ru/Card/Lot/71717989", "Поставка лекарственного препарата для медицинского применения ""Вальпроевая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специализиро...")</f>
        <v>Поставка лекарственного препарата для медицинского применения "Вальпроевая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</v>
      </c>
      <c r="G14877" s="22" t="s">
        <v>210</v>
      </c>
      <c r="H14877" s="22" t="s">
        <v>3257</v>
      </c>
      <c r="I14877" s="26">
        <v>43643.505555555603</v>
      </c>
      <c r="J14877" s="23" t="str">
        <f>HYPERLINK("https://www.spark-marketing.ru/Card/Person/57167", "ООО ""АЛЬБАТРОС""")</f>
        <v>ООО "АЛЬБАТРОС"</v>
      </c>
      <c r="K14877" s="24" t="s">
        <v>18704</v>
      </c>
      <c r="L14877" s="28" t="s">
        <v>51</v>
      </c>
      <c r="M14877" s="25">
        <v>1021641.04</v>
      </c>
      <c r="N14877" s="27">
        <v>0.1150025641025641</v>
      </c>
    </row>
    <row r="14878" spans="1:14" hidden="1" outlineLevel="1" x14ac:dyDescent="0.2">
      <c r="A14878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4878" s="24" t="s">
        <v>3255</v>
      </c>
      <c r="C14878" s="25">
        <v>1154400</v>
      </c>
      <c r="D14878" s="22" t="s">
        <v>19711</v>
      </c>
      <c r="E14878" s="22" t="s">
        <v>52</v>
      </c>
      <c r="F14878" s="23" t="str">
        <f>HYPERLINK("https://www.spark-marketing.ru/Card/Lot/71717989", "Поставка лекарственного препарата для медицинского применения ""Вальпроевая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специализиро...")</f>
        <v>Поставка лекарственного препарата для медицинского применения "Вальпроевая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</v>
      </c>
      <c r="G14878" s="22" t="s">
        <v>210</v>
      </c>
      <c r="H14878" s="22" t="s">
        <v>3257</v>
      </c>
      <c r="I14878" s="26">
        <v>43643.505555555603</v>
      </c>
      <c r="J14878" s="23" t="str">
        <f>HYPERLINK("https://www.spark-marketing.ru/Card/Person/4354560", "ООО ""НАДЕЖДА-ФАРМ""")</f>
        <v>ООО "НАДЕЖДА-ФАРМ"</v>
      </c>
      <c r="K14878" s="24" t="s">
        <v>15644</v>
      </c>
      <c r="L14878" s="28" t="s">
        <v>51</v>
      </c>
      <c r="M14878" s="25">
        <v>1085136</v>
      </c>
      <c r="N14878" s="27">
        <v>0.06</v>
      </c>
    </row>
    <row r="14879" spans="1:14" ht="12.75" hidden="1" outlineLevel="1" x14ac:dyDescent="0.2">
      <c r="A14879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4879" s="24" t="s">
        <v>3255</v>
      </c>
      <c r="C14879" s="25">
        <v>1154400</v>
      </c>
      <c r="D14879" s="22" t="s">
        <v>19711</v>
      </c>
      <c r="E14879" s="22" t="s">
        <v>52</v>
      </c>
      <c r="F14879" s="23" t="str">
        <f>HYPERLINK("https://www.spark-marketing.ru/Card/Lot/71717989", "Поставка лекарственного препарата для медицинского применения ""Вальпроевая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специализиро...")</f>
        <v>Поставка лекарственного препарата для медицинского применения "Вальпроевая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</v>
      </c>
      <c r="G14879" s="22" t="s">
        <v>210</v>
      </c>
      <c r="H14879" s="22" t="s">
        <v>3257</v>
      </c>
      <c r="I14879" s="26">
        <v>43643.505555555603</v>
      </c>
      <c r="J14879" s="23" t="str">
        <f>HYPERLINK("https://www.spark-marketing.ru/Card/Person/6231467", "ООО ""ОБЛФАРМ АЛЬЯНС""")</f>
        <v>ООО "ОБЛФАРМ АЛЬЯНС"</v>
      </c>
      <c r="K14879" s="24" t="s">
        <v>2175</v>
      </c>
      <c r="L14879" s="22" t="s">
        <v>10</v>
      </c>
      <c r="M14879" s="25">
        <v>1015869.04</v>
      </c>
      <c r="N14879" s="27">
        <v>0.1200025641025641</v>
      </c>
    </row>
    <row r="14880" spans="1:14" x14ac:dyDescent="0.15">
      <c r="A14880" s="23" t="str">
        <f>HYPERLINK("https://www.spark-marketing.ru/Card/Person/94656", "МБОУ ""ПЕРВОМАЙСКАЯ СРЕДНЯЯ ОБЩЕОБРАЗОВАТЕЛЬНАЯ ШКОЛА""")</f>
        <v>МБОУ "ПЕРВОМАЙСКАЯ СРЕДНЯЯ ОБЩЕОБРАЗОВАТЕЛЬНАЯ ШКОЛА"</v>
      </c>
      <c r="B14880" s="24" t="s">
        <v>19712</v>
      </c>
      <c r="C14880" s="25">
        <v>4869260</v>
      </c>
      <c r="D14880" s="22" t="s">
        <v>19713</v>
      </c>
      <c r="E14880" s="22" t="s">
        <v>48</v>
      </c>
      <c r="F14880" s="23" t="str">
        <f>HYPERLINK("https://www.spark-marketing.ru/Card/Lot/71736525", "Услуги по обеспечению горячим питание учащихся учебных корпусов №1, №2, №3 МБОУ ""Первомайская средняя общеобразовательная школа"" Первомайского района Тамбовской области на период с 01 сентября 2019 года по 31 декабря 2019 года")</f>
        <v>Услуги по обеспечению горячим питание учащихся учебных корпусов №1, №2, №3 МБОУ "Первомайская средняя общеобразовательная школа" Первомайского района Тамбовской области на период с 01 сентября 2019 года по 31 декабря 2019 года</v>
      </c>
      <c r="G14880" s="22" t="s">
        <v>1370</v>
      </c>
      <c r="H14880" s="22" t="s">
        <v>18667</v>
      </c>
      <c r="I14880" s="26">
        <v>43643.539583333302</v>
      </c>
      <c r="J14880" s="28" t="s">
        <v>51</v>
      </c>
      <c r="K14880" s="28" t="s">
        <v>51</v>
      </c>
      <c r="L14880" s="28" t="s">
        <v>51</v>
      </c>
      <c r="M14880" s="28" t="s">
        <v>51</v>
      </c>
      <c r="N14880" s="28" t="s">
        <v>51</v>
      </c>
    </row>
    <row r="14881" spans="1:14" x14ac:dyDescent="0.15">
      <c r="A14881" s="23" t="str">
        <f>HYPERLINK("https://www.spark-marketing.ru/Card/Person/146262", "ФКУ ""ЦХИСО УМВД РОССИИ ПО ЧУКОТСКОМУ АВТОНОМНОМУ ОКРУГУ""")</f>
        <v>ФКУ "ЦХИСО УМВД РОССИИ ПО ЧУКОТСКОМУ АВТОНОМНОМУ ОКРУГУ"</v>
      </c>
      <c r="B14881" s="24" t="s">
        <v>17658</v>
      </c>
      <c r="C14881" s="25">
        <v>2000000</v>
      </c>
      <c r="D14881" s="22" t="s">
        <v>19714</v>
      </c>
      <c r="E14881" s="22" t="s">
        <v>96</v>
      </c>
      <c r="F14881" s="23" t="str">
        <f>HYPERLINK("https://www.spark-marketing.ru/Card/Lot/71715163", "Питание ИВС г.Певек")</f>
        <v>Питание ИВС г.Певек</v>
      </c>
      <c r="G14881" s="22" t="s">
        <v>2674</v>
      </c>
      <c r="H14881" s="22" t="s">
        <v>19715</v>
      </c>
      <c r="I14881" s="26">
        <v>43643.507638888899</v>
      </c>
      <c r="J14881" s="23" t="str">
        <f>HYPERLINK("https://www.spark-marketing.ru/Card/Person/677717", "ООО ""НОВЫЙ""")</f>
        <v>ООО "НОВЫЙ"</v>
      </c>
      <c r="K14881" s="24" t="s">
        <v>17721</v>
      </c>
      <c r="L14881" s="22" t="s">
        <v>10</v>
      </c>
      <c r="M14881" s="28" t="s">
        <v>51</v>
      </c>
      <c r="N14881" s="28" t="s">
        <v>51</v>
      </c>
    </row>
    <row r="14882" spans="1:14" x14ac:dyDescent="0.15">
      <c r="A14882" s="23" t="str">
        <f>HYPERLINK("https://www.spark-marketing.ru/Card/Person/116123", "БОУ Г. ОМСКА ""ГИМНАЗИЯ № 12 ИМЕНИ ГЕРОЯ СОВЕТСКОГО СОЮЗА В.П. ГОРЯЧЕВА""")</f>
        <v>БОУ Г. ОМСКА "ГИМНАЗИЯ № 12 ИМЕНИ ГЕРОЯ СОВЕТСКОГО СОЮЗА В.П. ГОРЯЧЕВА"</v>
      </c>
      <c r="B14882" s="24" t="s">
        <v>19716</v>
      </c>
      <c r="C14882" s="25">
        <v>24470</v>
      </c>
      <c r="D14882" s="22" t="s">
        <v>19717</v>
      </c>
      <c r="E14882" s="22" t="s">
        <v>48</v>
      </c>
      <c r="F14882" s="23" t="str">
        <f>HYPERLINK("https://www.spark-marketing.ru/Card/Lot/71725874", "Услуги по организации питания обучающихся")</f>
        <v>Услуги по организации питания обучающихся</v>
      </c>
      <c r="G14882" s="22" t="s">
        <v>487</v>
      </c>
      <c r="H14882" s="22" t="s">
        <v>488</v>
      </c>
      <c r="I14882" s="26">
        <v>43643.467361111099</v>
      </c>
      <c r="J14882" s="28" t="s">
        <v>51</v>
      </c>
      <c r="K14882" s="28" t="s">
        <v>51</v>
      </c>
      <c r="L14882" s="28" t="s">
        <v>51</v>
      </c>
      <c r="M14882" s="28" t="s">
        <v>51</v>
      </c>
      <c r="N14882" s="28" t="s">
        <v>51</v>
      </c>
    </row>
    <row r="14883" spans="1:14" x14ac:dyDescent="0.2">
      <c r="A14883" s="23" t="s">
        <v>114</v>
      </c>
      <c r="B14883" s="28" t="s">
        <v>51</v>
      </c>
      <c r="C14883" s="25">
        <v>5972701.1699999999</v>
      </c>
      <c r="D14883" s="22" t="s">
        <v>19718</v>
      </c>
      <c r="E14883" s="22" t="s">
        <v>96</v>
      </c>
      <c r="F14883" s="23" t="str">
        <f>HYPERLINK("https://www.spark-marketing.ru/Card/Lot/71715554", "Оказание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сем...")</f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83" s="22" t="s">
        <v>51</v>
      </c>
      <c r="H14883" s="22" t="s">
        <v>51</v>
      </c>
      <c r="I14883" s="26">
        <v>43643.481249999997</v>
      </c>
      <c r="J14883" s="23" t="str">
        <f t="shared" ref="J14883:J14893" si="504">HYPERLINK("https://www.spark-marketing.ru/Card/Person/2108319", "Кухтина Екатерина Сергеевна")</f>
        <v>Кухтина Екатерина Сергеевна</v>
      </c>
      <c r="K14883" s="24" t="s">
        <v>6647</v>
      </c>
      <c r="L14883" s="22" t="s">
        <v>10</v>
      </c>
      <c r="M14883" s="25">
        <v>5972701.1699999999</v>
      </c>
      <c r="N14883" s="27">
        <v>0</v>
      </c>
    </row>
    <row r="14884" spans="1:14" hidden="1" outlineLevel="1" x14ac:dyDescent="0.2">
      <c r="A14884" s="23" t="str">
        <f>HYPERLINK("https://www.spark-marketing.ru/Card/Person/65841", "МБОУ СОШ № 23 Г. ЮЖНО-САХАЛИНСКА")</f>
        <v>МБОУ СОШ № 23 Г. ЮЖНО-САХАЛИНСКА</v>
      </c>
      <c r="B14884" s="24" t="s">
        <v>19719</v>
      </c>
      <c r="C14884" s="25">
        <v>3247159.11</v>
      </c>
      <c r="D14884" s="22" t="s">
        <v>19718</v>
      </c>
      <c r="E14884" s="22" t="s">
        <v>96</v>
      </c>
      <c r="F14884" s="23" t="str">
        <f>HYPERLINK("https://www.spark-marketing.ru/Card/Lot/71715554", "Оказание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сем...")</f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84" s="22" t="s">
        <v>260</v>
      </c>
      <c r="H14884" s="22" t="s">
        <v>804</v>
      </c>
      <c r="I14884" s="26">
        <v>43643.481249999997</v>
      </c>
      <c r="J14884" s="23" t="str">
        <f t="shared" si="504"/>
        <v>Кухтина Екатерина Сергеевна</v>
      </c>
      <c r="K14884" s="24" t="s">
        <v>6647</v>
      </c>
      <c r="L14884" s="22" t="s">
        <v>10</v>
      </c>
      <c r="M14884" s="28" t="s">
        <v>51</v>
      </c>
      <c r="N14884" s="27">
        <v>0</v>
      </c>
    </row>
    <row r="14885" spans="1:14" hidden="1" outlineLevel="1" x14ac:dyDescent="0.2">
      <c r="A14885" s="23" t="str">
        <f>HYPERLINK("https://www.spark-marketing.ru/Card/Person/71266", "МБОУ СОШ № 34 С.БЕРЕЗНЯКИ")</f>
        <v>МБОУ СОШ № 34 С.БЕРЕЗНЯКИ</v>
      </c>
      <c r="B14885" s="24" t="s">
        <v>19720</v>
      </c>
      <c r="C14885" s="25">
        <v>844598.88</v>
      </c>
      <c r="D14885" s="22" t="s">
        <v>19718</v>
      </c>
      <c r="E14885" s="22" t="s">
        <v>96</v>
      </c>
      <c r="F14885" s="23" t="str">
        <f>HYPERLINK("https://www.spark-marketing.ru/Card/Lot/71715554", "Оказание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сем...")</f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85" s="22" t="s">
        <v>260</v>
      </c>
      <c r="H14885" s="22" t="s">
        <v>804</v>
      </c>
      <c r="I14885" s="26">
        <v>43643.481249999997</v>
      </c>
      <c r="J14885" s="23" t="str">
        <f t="shared" si="504"/>
        <v>Кухтина Екатерина Сергеевна</v>
      </c>
      <c r="K14885" s="24" t="s">
        <v>6647</v>
      </c>
      <c r="L14885" s="22" t="s">
        <v>10</v>
      </c>
      <c r="M14885" s="28" t="s">
        <v>51</v>
      </c>
      <c r="N14885" s="27">
        <v>0</v>
      </c>
    </row>
    <row r="14886" spans="1:14" hidden="1" outlineLevel="1" x14ac:dyDescent="0.2">
      <c r="A14886" s="23" t="str">
        <f>HYPERLINK("https://www.spark-marketing.ru/Card/Person/143316", "МБОУ СОШ № 22 ГОРОДА ЮЖНО-САХАЛИНСКА")</f>
        <v>МБОУ СОШ № 22 ГОРОДА ЮЖНО-САХАЛИНСКА</v>
      </c>
      <c r="B14886" s="24" t="s">
        <v>19721</v>
      </c>
      <c r="C14886" s="25">
        <v>1129545.46</v>
      </c>
      <c r="D14886" s="22" t="s">
        <v>19718</v>
      </c>
      <c r="E14886" s="22" t="s">
        <v>96</v>
      </c>
      <c r="F14886" s="23" t="str">
        <f>HYPERLINK("https://www.spark-marketing.ru/Card/Lot/71715554", "Оказание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сем...")</f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86" s="22" t="s">
        <v>51</v>
      </c>
      <c r="H14886" s="22" t="s">
        <v>51</v>
      </c>
      <c r="I14886" s="26">
        <v>43643.481249999997</v>
      </c>
      <c r="J14886" s="23" t="str">
        <f t="shared" si="504"/>
        <v>Кухтина Екатерина Сергеевна</v>
      </c>
      <c r="K14886" s="24" t="s">
        <v>6647</v>
      </c>
      <c r="L14886" s="22" t="s">
        <v>10</v>
      </c>
      <c r="M14886" s="28" t="s">
        <v>51</v>
      </c>
      <c r="N14886" s="27">
        <v>0</v>
      </c>
    </row>
    <row r="14887" spans="1:14" hidden="1" outlineLevel="1" x14ac:dyDescent="0.2">
      <c r="A14887" s="23" t="str">
        <f>HYPERLINK("https://www.spark-marketing.ru/Card/Person/242139", "МБОУ СОШ № 18 СЕЛА СИНЕГОРСК")</f>
        <v>МБОУ СОШ № 18 СЕЛА СИНЕГОРСК</v>
      </c>
      <c r="B14887" s="24" t="s">
        <v>19722</v>
      </c>
      <c r="C14887" s="25">
        <v>751397.72</v>
      </c>
      <c r="D14887" s="22" t="s">
        <v>19718</v>
      </c>
      <c r="E14887" s="22" t="s">
        <v>96</v>
      </c>
      <c r="F14887" s="23" t="str">
        <f>HYPERLINK("https://www.spark-marketing.ru/Card/Lot/71715554", "Оказание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сем...")</f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87" s="22" t="s">
        <v>260</v>
      </c>
      <c r="H14887" s="22" t="s">
        <v>804</v>
      </c>
      <c r="I14887" s="26">
        <v>43643.481249999997</v>
      </c>
      <c r="J14887" s="23" t="str">
        <f t="shared" si="504"/>
        <v>Кухтина Екатерина Сергеевна</v>
      </c>
      <c r="K14887" s="24" t="s">
        <v>6647</v>
      </c>
      <c r="L14887" s="22" t="s">
        <v>10</v>
      </c>
      <c r="M14887" s="28" t="s">
        <v>51</v>
      </c>
      <c r="N14887" s="27">
        <v>0</v>
      </c>
    </row>
    <row r="14888" spans="1:14" x14ac:dyDescent="0.2">
      <c r="A14888" s="23" t="s">
        <v>114</v>
      </c>
      <c r="B14888" s="28" t="s">
        <v>51</v>
      </c>
      <c r="C14888" s="25">
        <v>16948043.18</v>
      </c>
      <c r="D14888" s="22" t="s">
        <v>19723</v>
      </c>
      <c r="E14888" s="22" t="s">
        <v>96</v>
      </c>
      <c r="F14888" s="23" t="str">
        <f t="shared" ref="F14888:F14893" si="505">HYPERLINK("https://www.spark-marketing.ru/Card/Lot/71715557", "Оказание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сем...")</f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88" s="22" t="s">
        <v>51</v>
      </c>
      <c r="H14888" s="22" t="s">
        <v>51</v>
      </c>
      <c r="I14888" s="26">
        <v>43643.482638888898</v>
      </c>
      <c r="J14888" s="23" t="str">
        <f t="shared" si="504"/>
        <v>Кухтина Екатерина Сергеевна</v>
      </c>
      <c r="K14888" s="24" t="s">
        <v>6647</v>
      </c>
      <c r="L14888" s="22" t="s">
        <v>10</v>
      </c>
      <c r="M14888" s="25">
        <v>16948043.18</v>
      </c>
      <c r="N14888" s="27">
        <v>0</v>
      </c>
    </row>
    <row r="14889" spans="1:14" hidden="1" outlineLevel="1" x14ac:dyDescent="0.2">
      <c r="A14889" s="23" t="str">
        <f>HYPERLINK("https://www.spark-marketing.ru/Card/Person/65770", "МБОУ СОШ №16 Г. ЮЖНО-САХАЛИНСКА")</f>
        <v>МБОУ СОШ №16 Г. ЮЖНО-САХАЛИНСКА</v>
      </c>
      <c r="B14889" s="24" t="s">
        <v>19724</v>
      </c>
      <c r="C14889" s="25">
        <v>2720060</v>
      </c>
      <c r="D14889" s="22" t="s">
        <v>19723</v>
      </c>
      <c r="E14889" s="22" t="s">
        <v>96</v>
      </c>
      <c r="F14889" s="23" t="str">
        <f t="shared" si="505"/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89" s="22" t="s">
        <v>260</v>
      </c>
      <c r="H14889" s="22" t="s">
        <v>804</v>
      </c>
      <c r="I14889" s="26">
        <v>43643.482638888898</v>
      </c>
      <c r="J14889" s="23" t="str">
        <f t="shared" si="504"/>
        <v>Кухтина Екатерина Сергеевна</v>
      </c>
      <c r="K14889" s="24" t="s">
        <v>6647</v>
      </c>
      <c r="L14889" s="22" t="s">
        <v>10</v>
      </c>
      <c r="M14889" s="28" t="s">
        <v>51</v>
      </c>
      <c r="N14889" s="27">
        <v>0</v>
      </c>
    </row>
    <row r="14890" spans="1:14" hidden="1" outlineLevel="1" x14ac:dyDescent="0.2">
      <c r="A14890" s="23" t="str">
        <f>HYPERLINK("https://www.spark-marketing.ru/Card/Person/65772", "МБОУ НОШ № 21 Г.ЮЖНО-САХАЛИНСКА")</f>
        <v>МБОУ НОШ № 21 Г.ЮЖНО-САХАЛИНСКА</v>
      </c>
      <c r="B14890" s="24" t="s">
        <v>19725</v>
      </c>
      <c r="C14890" s="25">
        <v>8692765</v>
      </c>
      <c r="D14890" s="22" t="s">
        <v>19723</v>
      </c>
      <c r="E14890" s="22" t="s">
        <v>96</v>
      </c>
      <c r="F14890" s="23" t="str">
        <f t="shared" si="505"/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90" s="22" t="s">
        <v>51</v>
      </c>
      <c r="H14890" s="22" t="s">
        <v>51</v>
      </c>
      <c r="I14890" s="26">
        <v>43643.482638888898</v>
      </c>
      <c r="J14890" s="23" t="str">
        <f t="shared" si="504"/>
        <v>Кухтина Екатерина Сергеевна</v>
      </c>
      <c r="K14890" s="24" t="s">
        <v>6647</v>
      </c>
      <c r="L14890" s="22" t="s">
        <v>10</v>
      </c>
      <c r="M14890" s="28" t="s">
        <v>51</v>
      </c>
      <c r="N14890" s="27">
        <v>0</v>
      </c>
    </row>
    <row r="14891" spans="1:14" hidden="1" outlineLevel="1" x14ac:dyDescent="0.2">
      <c r="A14891" s="23" t="str">
        <f>HYPERLINK("https://www.spark-marketing.ru/Card/Person/65792", "МБОУ СОШ № 1 ГОРОДА ЮЖНО-САХАЛИНСКА")</f>
        <v>МБОУ СОШ № 1 ГОРОДА ЮЖНО-САХАЛИНСКА</v>
      </c>
      <c r="B14891" s="24" t="s">
        <v>19726</v>
      </c>
      <c r="C14891" s="25">
        <v>3034945.44</v>
      </c>
      <c r="D14891" s="22" t="s">
        <v>19723</v>
      </c>
      <c r="E14891" s="22" t="s">
        <v>96</v>
      </c>
      <c r="F14891" s="23" t="str">
        <f t="shared" si="505"/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91" s="22" t="s">
        <v>260</v>
      </c>
      <c r="H14891" s="22" t="s">
        <v>804</v>
      </c>
      <c r="I14891" s="26">
        <v>43643.482638888898</v>
      </c>
      <c r="J14891" s="23" t="str">
        <f t="shared" si="504"/>
        <v>Кухтина Екатерина Сергеевна</v>
      </c>
      <c r="K14891" s="24" t="s">
        <v>6647</v>
      </c>
      <c r="L14891" s="22" t="s">
        <v>10</v>
      </c>
      <c r="M14891" s="28" t="s">
        <v>51</v>
      </c>
      <c r="N14891" s="27">
        <v>0</v>
      </c>
    </row>
    <row r="14892" spans="1:14" hidden="1" outlineLevel="1" x14ac:dyDescent="0.2">
      <c r="A14892" s="23" t="str">
        <f>HYPERLINK("https://www.spark-marketing.ru/Card/Person/68306", "МБОУ СОШ № 4 Г. ЮЖНО - САХАЛИНСКА")</f>
        <v>МБОУ СОШ № 4 Г. ЮЖНО - САХАЛИНСКА</v>
      </c>
      <c r="B14892" s="24" t="s">
        <v>19727</v>
      </c>
      <c r="C14892" s="25">
        <v>1270436.3500000001</v>
      </c>
      <c r="D14892" s="22" t="s">
        <v>19723</v>
      </c>
      <c r="E14892" s="22" t="s">
        <v>96</v>
      </c>
      <c r="F14892" s="23" t="str">
        <f t="shared" si="505"/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92" s="22" t="s">
        <v>260</v>
      </c>
      <c r="H14892" s="22" t="s">
        <v>804</v>
      </c>
      <c r="I14892" s="26">
        <v>43643.482638888898</v>
      </c>
      <c r="J14892" s="23" t="str">
        <f t="shared" si="504"/>
        <v>Кухтина Екатерина Сергеевна</v>
      </c>
      <c r="K14892" s="24" t="s">
        <v>6647</v>
      </c>
      <c r="L14892" s="22" t="s">
        <v>10</v>
      </c>
      <c r="M14892" s="28" t="s">
        <v>51</v>
      </c>
      <c r="N14892" s="27">
        <v>0</v>
      </c>
    </row>
    <row r="14893" spans="1:14" hidden="1" outlineLevel="1" x14ac:dyDescent="0.2">
      <c r="A14893" s="23" t="str">
        <f>HYPERLINK("https://www.spark-marketing.ru/Card/Person/124268", "МБОУ ООШ № 14 Г. ЮЖНО-САХАЛИНСКА")</f>
        <v>МБОУ ООШ № 14 Г. ЮЖНО-САХАЛИНСКА</v>
      </c>
      <c r="B14893" s="24" t="s">
        <v>19728</v>
      </c>
      <c r="C14893" s="25">
        <v>1229836.3899999999</v>
      </c>
      <c r="D14893" s="22" t="s">
        <v>19723</v>
      </c>
      <c r="E14893" s="22" t="s">
        <v>96</v>
      </c>
      <c r="F14893" s="23" t="str">
        <f t="shared" si="505"/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93" s="22" t="s">
        <v>260</v>
      </c>
      <c r="H14893" s="22" t="s">
        <v>804</v>
      </c>
      <c r="I14893" s="26">
        <v>43643.482638888898</v>
      </c>
      <c r="J14893" s="23" t="str">
        <f t="shared" si="504"/>
        <v>Кухтина Екатерина Сергеевна</v>
      </c>
      <c r="K14893" s="24" t="s">
        <v>6647</v>
      </c>
      <c r="L14893" s="22" t="s">
        <v>10</v>
      </c>
      <c r="M14893" s="28" t="s">
        <v>51</v>
      </c>
      <c r="N14893" s="27">
        <v>0</v>
      </c>
    </row>
    <row r="14894" spans="1:14" x14ac:dyDescent="0.2">
      <c r="A14894" s="23" t="s">
        <v>114</v>
      </c>
      <c r="B14894" s="28" t="s">
        <v>51</v>
      </c>
      <c r="C14894" s="25">
        <v>8454124.0899999999</v>
      </c>
      <c r="D14894" s="22" t="s">
        <v>19729</v>
      </c>
      <c r="E14894" s="22" t="s">
        <v>96</v>
      </c>
      <c r="F14894" s="23" t="str">
        <f>HYPERLINK("https://www.spark-marketing.ru/Card/Lot/71715316", "Оказание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сем...")</f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94" s="22" t="s">
        <v>51</v>
      </c>
      <c r="H14894" s="22" t="s">
        <v>51</v>
      </c>
      <c r="I14894" s="26">
        <v>43643.479166666701</v>
      </c>
      <c r="J14894" s="23" t="str">
        <f>HYPERLINK("https://www.spark-marketing.ru/Card/Person/236429", "ООО ""АЛЛЕГРА""")</f>
        <v>ООО "АЛЛЕГРА"</v>
      </c>
      <c r="K14894" s="24" t="s">
        <v>7011</v>
      </c>
      <c r="L14894" s="22" t="s">
        <v>10</v>
      </c>
      <c r="M14894" s="25">
        <v>8454124.0899999999</v>
      </c>
      <c r="N14894" s="27">
        <v>0</v>
      </c>
    </row>
    <row r="14895" spans="1:14" hidden="1" outlineLevel="1" x14ac:dyDescent="0.2">
      <c r="A14895" s="23" t="str">
        <f>HYPERLINK("https://www.spark-marketing.ru/Card/Person/106779", "МБОУ СОШ № 5 ГОРОДА ЮЖНО-САХАЛИНСКА")</f>
        <v>МБОУ СОШ № 5 ГОРОДА ЮЖНО-САХАЛИНСКА</v>
      </c>
      <c r="B14895" s="24" t="s">
        <v>19730</v>
      </c>
      <c r="C14895" s="25">
        <v>3363788.65</v>
      </c>
      <c r="D14895" s="22" t="s">
        <v>19729</v>
      </c>
      <c r="E14895" s="22" t="s">
        <v>96</v>
      </c>
      <c r="F14895" s="23" t="str">
        <f>HYPERLINK("https://www.spark-marketing.ru/Card/Lot/71715316", "Оказание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сем...")</f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95" s="22" t="s">
        <v>260</v>
      </c>
      <c r="H14895" s="22" t="s">
        <v>804</v>
      </c>
      <c r="I14895" s="26">
        <v>43643.479166666701</v>
      </c>
      <c r="J14895" s="23" t="str">
        <f>HYPERLINK("https://www.spark-marketing.ru/Card/Person/236429", "ООО ""АЛЛЕГРА""")</f>
        <v>ООО "АЛЛЕГРА"</v>
      </c>
      <c r="K14895" s="24" t="s">
        <v>7011</v>
      </c>
      <c r="L14895" s="22" t="s">
        <v>10</v>
      </c>
      <c r="M14895" s="28" t="s">
        <v>51</v>
      </c>
      <c r="N14895" s="27">
        <v>0</v>
      </c>
    </row>
    <row r="14896" spans="1:14" hidden="1" outlineLevel="1" x14ac:dyDescent="0.2">
      <c r="A14896" s="23" t="str">
        <f>HYPERLINK("https://www.spark-marketing.ru/Card/Person/124154", "МБОУ КАДЕТСКАЯ ШКОЛА Г. ЮЖНО-САХАЛИНСКА")</f>
        <v>МБОУ КАДЕТСКАЯ ШКОЛА Г. ЮЖНО-САХАЛИНСКА</v>
      </c>
      <c r="B14896" s="24" t="s">
        <v>19731</v>
      </c>
      <c r="C14896" s="25">
        <v>1729735.45</v>
      </c>
      <c r="D14896" s="22" t="s">
        <v>19729</v>
      </c>
      <c r="E14896" s="22" t="s">
        <v>96</v>
      </c>
      <c r="F14896" s="23" t="str">
        <f>HYPERLINK("https://www.spark-marketing.ru/Card/Lot/71715316", "Оказание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сем...")</f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96" s="22" t="s">
        <v>260</v>
      </c>
      <c r="H14896" s="22" t="s">
        <v>804</v>
      </c>
      <c r="I14896" s="26">
        <v>43643.479166666701</v>
      </c>
      <c r="J14896" s="23" t="str">
        <f>HYPERLINK("https://www.spark-marketing.ru/Card/Person/236429", "ООО ""АЛЛЕГРА""")</f>
        <v>ООО "АЛЛЕГРА"</v>
      </c>
      <c r="K14896" s="24" t="s">
        <v>7011</v>
      </c>
      <c r="L14896" s="22" t="s">
        <v>10</v>
      </c>
      <c r="M14896" s="28" t="s">
        <v>51</v>
      </c>
      <c r="N14896" s="27">
        <v>0</v>
      </c>
    </row>
    <row r="14897" spans="1:14" hidden="1" outlineLevel="1" x14ac:dyDescent="0.2">
      <c r="A14897" s="23" t="str">
        <f>HYPERLINK("https://www.spark-marketing.ru/Card/Person/236485", "МБОУ СОШ № 30 Г. ЮЖНО-САХАЛИНСКА")</f>
        <v>МБОУ СОШ № 30 Г. ЮЖНО-САХАЛИНСКА</v>
      </c>
      <c r="B14897" s="24" t="s">
        <v>19732</v>
      </c>
      <c r="C14897" s="25">
        <v>3360599.99</v>
      </c>
      <c r="D14897" s="22" t="s">
        <v>19729</v>
      </c>
      <c r="E14897" s="22" t="s">
        <v>96</v>
      </c>
      <c r="F14897" s="23" t="str">
        <f>HYPERLINK("https://www.spark-marketing.ru/Card/Lot/71715316", "Оказание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сем...")</f>
        <v>Оказание услуг по организации питания обучающихся, осваивающих образовательную программу начального общего образования в муниципальной образовательной организации, обучающихся из малоимущих семей, семей, находящихся в социально опасном положении, сем...</v>
      </c>
      <c r="G14897" s="22" t="s">
        <v>51</v>
      </c>
      <c r="H14897" s="22" t="s">
        <v>51</v>
      </c>
      <c r="I14897" s="26">
        <v>43643.479166666701</v>
      </c>
      <c r="J14897" s="23" t="str">
        <f>HYPERLINK("https://www.spark-marketing.ru/Card/Person/236429", "ООО ""АЛЛЕГРА""")</f>
        <v>ООО "АЛЛЕГРА"</v>
      </c>
      <c r="K14897" s="24" t="s">
        <v>7011</v>
      </c>
      <c r="L14897" s="22" t="s">
        <v>10</v>
      </c>
      <c r="M14897" s="28" t="s">
        <v>51</v>
      </c>
      <c r="N14897" s="27">
        <v>0</v>
      </c>
    </row>
    <row r="14898" spans="1:14" x14ac:dyDescent="0.15">
      <c r="A14898" s="23" t="str">
        <f>HYPERLINK("https://www.spark-marketing.ru/Card/Person/1301657", "ГОАУК ""МОТК""")</f>
        <v>ГОАУК "МОТК"</v>
      </c>
      <c r="B14898" s="24" t="s">
        <v>19733</v>
      </c>
      <c r="C14898" s="25">
        <v>459000</v>
      </c>
      <c r="D14898" s="22" t="s">
        <v>19734</v>
      </c>
      <c r="E14898" s="22" t="s">
        <v>580</v>
      </c>
      <c r="F14898" s="23" t="str">
        <f>HYPERLINK("https://www.spark-marketing.ru/Card/Lot/71728955", "Оказание услуг по организации и обслуживанию мероприятия с обеспечением питания в рамках проведения IX Международного фестиваля театров кукол стран Баренцева региона")</f>
        <v>Оказание услуг по организации и обслуживанию мероприятия с обеспечением питания в рамках проведения IX Международного фестиваля театров кукол стран Баренцева региона</v>
      </c>
      <c r="G14898" s="22" t="s">
        <v>340</v>
      </c>
      <c r="H14898" s="22" t="s">
        <v>340</v>
      </c>
      <c r="I14898" s="26">
        <v>43643.484247685199</v>
      </c>
      <c r="J14898" s="28" t="s">
        <v>51</v>
      </c>
      <c r="K14898" s="28" t="s">
        <v>51</v>
      </c>
      <c r="L14898" s="28" t="s">
        <v>51</v>
      </c>
      <c r="M14898" s="28" t="s">
        <v>51</v>
      </c>
      <c r="N14898" s="28" t="s">
        <v>51</v>
      </c>
    </row>
    <row r="14899" spans="1:14" x14ac:dyDescent="0.15">
      <c r="A14899" s="23" t="str">
        <f>HYPERLINK("https://www.spark-marketing.ru/Card/Person/905066", "КГБУ ДО ""АЛТАЙСКИЙ КРАЕВОЙ ДЕТСКИЙ ЭКОЛОГИЧЕСКИЙ ЦЕНТР""")</f>
        <v>КГБУ ДО "АЛТАЙСКИЙ КРАЕВОЙ ДЕТСКИЙ ЭКОЛОГИЧЕСКИЙ ЦЕНТР"</v>
      </c>
      <c r="B14899" s="24" t="s">
        <v>10003</v>
      </c>
      <c r="C14899" s="25">
        <v>360000</v>
      </c>
      <c r="D14899" s="22" t="s">
        <v>19735</v>
      </c>
      <c r="E14899" s="22" t="s">
        <v>48</v>
      </c>
      <c r="F14899" s="23" t="str">
        <f>HYPERLINK("https://www.spark-marketing.ru/Card/Lot/71726549", "Организация питания")</f>
        <v>Организация питания</v>
      </c>
      <c r="G14899" s="22" t="s">
        <v>63</v>
      </c>
      <c r="H14899" s="22" t="s">
        <v>177</v>
      </c>
      <c r="I14899" s="26">
        <v>43643.491666666698</v>
      </c>
      <c r="J14899" s="28" t="s">
        <v>51</v>
      </c>
      <c r="K14899" s="28" t="s">
        <v>51</v>
      </c>
      <c r="L14899" s="28" t="s">
        <v>51</v>
      </c>
      <c r="M14899" s="28" t="s">
        <v>51</v>
      </c>
      <c r="N14899" s="28" t="s">
        <v>51</v>
      </c>
    </row>
    <row r="14900" spans="1:14" x14ac:dyDescent="0.15">
      <c r="A14900" s="23" t="str">
        <f>HYPERLINK("https://www.spark-marketing.ru/Card/Person/4346989", "У МВД РОССИИ ПО Г.ТОЛЬЯТТИ")</f>
        <v>У МВД РОССИИ ПО Г.ТОЛЬЯТТИ</v>
      </c>
      <c r="B14900" s="24" t="s">
        <v>15938</v>
      </c>
      <c r="C14900" s="25">
        <v>4321839.6500000004</v>
      </c>
      <c r="D14900" s="22" t="s">
        <v>19736</v>
      </c>
      <c r="E14900" s="22" t="s">
        <v>48</v>
      </c>
      <c r="F14900" s="23" t="str">
        <f>HYPERLINK("https://www.spark-marketing.ru/Card/Lot/71736545", "Оказание услуг по организации горячего питания в ИВС У МВД России по г.Тольятти,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соде...")</f>
        <v>Оказание услуг по организации горячего питания в ИВС У МВД России по г.Тольятти,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соде...</v>
      </c>
      <c r="G14900" s="22" t="s">
        <v>128</v>
      </c>
      <c r="H14900" s="22" t="s">
        <v>128</v>
      </c>
      <c r="I14900" s="26">
        <v>43643.4909722222</v>
      </c>
      <c r="J14900" s="28" t="s">
        <v>51</v>
      </c>
      <c r="K14900" s="28" t="s">
        <v>51</v>
      </c>
      <c r="L14900" s="28" t="s">
        <v>51</v>
      </c>
      <c r="M14900" s="28" t="s">
        <v>51</v>
      </c>
      <c r="N14900" s="28" t="s">
        <v>51</v>
      </c>
    </row>
    <row r="14901" spans="1:14" ht="12.75" hidden="1" outlineLevel="1" x14ac:dyDescent="0.2">
      <c r="A14901" s="23" t="str">
        <f>HYPERLINK("https://www.spark-marketing.ru/Card/Person/4346989", "У МВД РОССИИ ПО Г.ТОЛЬЯТТИ")</f>
        <v>У МВД РОССИИ ПО Г.ТОЛЬЯТТИ</v>
      </c>
      <c r="B14901" s="24" t="s">
        <v>15938</v>
      </c>
      <c r="C14901" s="25">
        <v>4321839.6500000004</v>
      </c>
      <c r="D14901" s="22" t="s">
        <v>19736</v>
      </c>
      <c r="E14901" s="22" t="s">
        <v>48</v>
      </c>
      <c r="F14901" s="23" t="str">
        <f>HYPERLINK("https://www.spark-marketing.ru/Card/Lot/71736545", "Оказание услуг по организации горячего питания в ИВС У МВД России по г.Тольятти,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соде...")</f>
        <v>Оказание услуг по организации горячего питания в ИВС У МВД России по г.Тольятти,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соде...</v>
      </c>
      <c r="G14901" s="22" t="s">
        <v>128</v>
      </c>
      <c r="H14901" s="22" t="s">
        <v>128</v>
      </c>
      <c r="I14901" s="26">
        <v>43643.4909722222</v>
      </c>
      <c r="J14901" s="23" t="str">
        <f>HYPERLINK("https://www.spark-marketing.ru/Card/Person/6437703", "ООО ""ФЛАГМАН""")</f>
        <v>ООО "ФЛАГМАН"</v>
      </c>
      <c r="K14901" s="24" t="s">
        <v>14165</v>
      </c>
      <c r="L14901" s="22" t="s">
        <v>10</v>
      </c>
      <c r="M14901" s="25">
        <v>4148966.05</v>
      </c>
      <c r="N14901" s="27">
        <v>4.0000003239361273E-2</v>
      </c>
    </row>
    <row r="14902" spans="1:14" hidden="1" outlineLevel="1" x14ac:dyDescent="0.2">
      <c r="A14902" s="23" t="str">
        <f>HYPERLINK("https://www.spark-marketing.ru/Card/Person/4346989", "У МВД РОССИИ ПО Г.ТОЛЬЯТТИ")</f>
        <v>У МВД РОССИИ ПО Г.ТОЛЬЯТТИ</v>
      </c>
      <c r="B14902" s="24" t="s">
        <v>15938</v>
      </c>
      <c r="C14902" s="25">
        <v>4321839.6500000004</v>
      </c>
      <c r="D14902" s="22" t="s">
        <v>19736</v>
      </c>
      <c r="E14902" s="22" t="s">
        <v>48</v>
      </c>
      <c r="F14902" s="23" t="str">
        <f>HYPERLINK("https://www.spark-marketing.ru/Card/Lot/71736545", "Оказание услуг по организации горячего питания в ИВС У МВД России по г.Тольятти,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соде...")</f>
        <v>Оказание услуг по организации горячего питания в ИВС У МВД России по г.Тольятти,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соде...</v>
      </c>
      <c r="G14902" s="22" t="s">
        <v>128</v>
      </c>
      <c r="H14902" s="22" t="s">
        <v>128</v>
      </c>
      <c r="I14902" s="26">
        <v>43643.4909722222</v>
      </c>
      <c r="J14902" s="23" t="str">
        <f>HYPERLINK("https://www.spark-marketing.ru/Card/Person/87599", "ООО ""ФУД-СОЮЗ""")</f>
        <v>ООО "ФУД-СОЮЗ"</v>
      </c>
      <c r="K14902" s="24" t="s">
        <v>19737</v>
      </c>
      <c r="L14902" s="28" t="s">
        <v>51</v>
      </c>
      <c r="M14902" s="25">
        <v>4148966.05</v>
      </c>
      <c r="N14902" s="27">
        <v>4.0000003239361273E-2</v>
      </c>
    </row>
    <row r="14903" spans="1:14" x14ac:dyDescent="0.15">
      <c r="A14903" s="23" t="str">
        <f>HYPERLINK("https://www.spark-marketing.ru/Card/Person/4863124", "Межрегиональный филиал ФКУ ""ЦОКР"" в г. Санкт-Петербурге")</f>
        <v>Межрегиональный филиал ФКУ "ЦОКР" в г. Санкт-Петербурге</v>
      </c>
      <c r="B14903" s="24" t="s">
        <v>2576</v>
      </c>
      <c r="C14903" s="25">
        <v>180000</v>
      </c>
      <c r="D14903" s="22" t="s">
        <v>19738</v>
      </c>
      <c r="E14903" s="22" t="s">
        <v>91</v>
      </c>
      <c r="F14903" s="23" t="str">
        <f>HYPERLINK("https://www.spark-marketing.ru/Card/Lot/71744633", "Оказание услуг по проведению регламентно-профилактического ремонта источника бесперебойного питания для обеспечения нужд Управления Федерального казначейства по Псковской области")</f>
        <v>Оказание услуг по проведению регламентно-профилактического ремонта источника бесперебойного питания для обеспечения нужд Управления Федерального казначейства по Псковской области</v>
      </c>
      <c r="G14903" s="22" t="s">
        <v>415</v>
      </c>
      <c r="H14903" s="22" t="s">
        <v>415</v>
      </c>
      <c r="I14903" s="26">
        <v>43643.472916666702</v>
      </c>
      <c r="J14903" s="28" t="s">
        <v>51</v>
      </c>
      <c r="K14903" s="28" t="s">
        <v>51</v>
      </c>
      <c r="L14903" s="28" t="s">
        <v>51</v>
      </c>
      <c r="M14903" s="28" t="s">
        <v>51</v>
      </c>
      <c r="N14903" s="28" t="s">
        <v>51</v>
      </c>
    </row>
    <row r="14904" spans="1:14" ht="12.75" hidden="1" outlineLevel="1" x14ac:dyDescent="0.2">
      <c r="A14904" s="23" t="str">
        <f>HYPERLINK("https://www.spark-marketing.ru/Card/Person/4863124", "Межрегиональный филиал ФКУ ""ЦОКР"" в г. Санкт-Петербурге")</f>
        <v>Межрегиональный филиал ФКУ "ЦОКР" в г. Санкт-Петербурге</v>
      </c>
      <c r="B14904" s="24" t="s">
        <v>2576</v>
      </c>
      <c r="C14904" s="25">
        <v>180000</v>
      </c>
      <c r="D14904" s="22" t="s">
        <v>19738</v>
      </c>
      <c r="E14904" s="22" t="s">
        <v>91</v>
      </c>
      <c r="F14904" s="23" t="str">
        <f>HYPERLINK("https://www.spark-marketing.ru/Card/Lot/71744633", "Оказание услуг по проведению регламентно-профилактического ремонта источника бесперебойного питания для обеспечения нужд Управления Федерального казначейства по Псковской области")</f>
        <v>Оказание услуг по проведению регламентно-профилактического ремонта источника бесперебойного питания для обеспечения нужд Управления Федерального казначейства по Псковской области</v>
      </c>
      <c r="G14904" s="22" t="s">
        <v>415</v>
      </c>
      <c r="H14904" s="22" t="s">
        <v>415</v>
      </c>
      <c r="I14904" s="26">
        <v>43643.472916666702</v>
      </c>
      <c r="J14904" s="23" t="str">
        <f>HYPERLINK("https://www.spark-marketing.ru/Card/Person/6248294", "ООО""ТЕХНОКРАФТ РУС""")</f>
        <v>ООО"ТЕХНОКРАФТ РУС"</v>
      </c>
      <c r="K14904" s="24" t="s">
        <v>19739</v>
      </c>
      <c r="L14904" s="22" t="s">
        <v>10</v>
      </c>
      <c r="M14904" s="25">
        <v>130500</v>
      </c>
      <c r="N14904" s="27">
        <v>0.27500000000000002</v>
      </c>
    </row>
    <row r="14905" spans="1:14" hidden="1" outlineLevel="1" x14ac:dyDescent="0.2">
      <c r="A14905" s="23" t="str">
        <f>HYPERLINK("https://www.spark-marketing.ru/Card/Person/4863124", "Межрегиональный филиал ФКУ ""ЦОКР"" в г. Санкт-Петербурге")</f>
        <v>Межрегиональный филиал ФКУ "ЦОКР" в г. Санкт-Петербурге</v>
      </c>
      <c r="B14905" s="24" t="s">
        <v>2576</v>
      </c>
      <c r="C14905" s="25">
        <v>180000</v>
      </c>
      <c r="D14905" s="22" t="s">
        <v>19738</v>
      </c>
      <c r="E14905" s="22" t="s">
        <v>91</v>
      </c>
      <c r="F14905" s="23" t="str">
        <f>HYPERLINK("https://www.spark-marketing.ru/Card/Lot/71744633", "Оказание услуг по проведению регламентно-профилактического ремонта источника бесперебойного питания для обеспечения нужд Управления Федерального казначейства по Псковской области")</f>
        <v>Оказание услуг по проведению регламентно-профилактического ремонта источника бесперебойного питания для обеспечения нужд Управления Федерального казначейства по Псковской области</v>
      </c>
      <c r="G14905" s="22" t="s">
        <v>415</v>
      </c>
      <c r="H14905" s="22" t="s">
        <v>415</v>
      </c>
      <c r="I14905" s="26">
        <v>43643.472916666702</v>
      </c>
      <c r="J14905" s="23" t="str">
        <f>HYPERLINK("https://www.spark-marketing.ru/Card/Person/5865140", "ООО ""ТЕХНОКОМ""")</f>
        <v>ООО "ТЕХНОКОМ"</v>
      </c>
      <c r="K14905" s="24" t="s">
        <v>19740</v>
      </c>
      <c r="L14905" s="28" t="s">
        <v>51</v>
      </c>
      <c r="M14905" s="25">
        <v>131400</v>
      </c>
      <c r="N14905" s="27">
        <v>0.27</v>
      </c>
    </row>
    <row r="14906" spans="1:14" x14ac:dyDescent="0.15">
      <c r="A14906" s="23" t="str">
        <f>HYPERLINK("https://www.spark-marketing.ru/Card/Person/146262", "ФКУ ""ЦХИСО УМВД РОССИИ ПО ЧУКОТСКОМУ АВТОНОМНОМУ ОКРУГУ""")</f>
        <v>ФКУ "ЦХИСО УМВД РОССИИ ПО ЧУКОТСКОМУ АВТОНОМНОМУ ОКРУГУ"</v>
      </c>
      <c r="B14906" s="24" t="s">
        <v>17658</v>
      </c>
      <c r="C14906" s="25">
        <v>2000000</v>
      </c>
      <c r="D14906" s="22" t="s">
        <v>19741</v>
      </c>
      <c r="E14906" s="22" t="s">
        <v>96</v>
      </c>
      <c r="F14906" s="23" t="str">
        <f>HYPERLINK("https://www.spark-marketing.ru/Card/Lot/71715165", "Питание ИВС г.Билибино на 2020 год")</f>
        <v>Питание ИВС г.Билибино на 2020 год</v>
      </c>
      <c r="G14906" s="22" t="s">
        <v>2674</v>
      </c>
      <c r="H14906" s="22" t="s">
        <v>17660</v>
      </c>
      <c r="I14906" s="26">
        <v>43643.486111111102</v>
      </c>
      <c r="J14906" s="23" t="str">
        <f>HYPERLINK("https://www.spark-marketing.ru/Card/Person/979604", "Арутюнян Валери Викторович")</f>
        <v>Арутюнян Валери Викторович</v>
      </c>
      <c r="K14906" s="24" t="s">
        <v>17661</v>
      </c>
      <c r="L14906" s="22" t="s">
        <v>10</v>
      </c>
      <c r="M14906" s="28" t="s">
        <v>51</v>
      </c>
      <c r="N14906" s="28" t="s">
        <v>51</v>
      </c>
    </row>
    <row r="14907" spans="1:14" x14ac:dyDescent="0.15">
      <c r="A14907" s="23" t="str">
        <f>HYPERLINK("https://www.spark-marketing.ru/Card/Person/4863124", "Межрегиональный филиал ФКУ ""ЦОКР"" в г. Санкт-Петербурге")</f>
        <v>Межрегиональный филиал ФКУ "ЦОКР" в г. Санкт-Петербурге</v>
      </c>
      <c r="B14907" s="24" t="s">
        <v>2576</v>
      </c>
      <c r="C14907" s="25">
        <v>883340.64</v>
      </c>
      <c r="D14907" s="22" t="s">
        <v>19742</v>
      </c>
      <c r="E14907" s="22" t="s">
        <v>91</v>
      </c>
      <c r="F14907" s="23" t="str">
        <f>HYPERLINK("https://www.spark-marketing.ru/Card/Lot/71732646", "Оказание услуг по техническому обслуживанию и регламентно-профилактическому ремонту систем бесперебойного питания тип 3 для обеспечения нужд территориальных органов Федерального казначейства")</f>
        <v>Оказание услуг по техническому обслуживанию и регламентно-профилактическому ремонту систем бесперебойного питания тип 3 для обеспечения нужд территориальных органов Федерального казначейства</v>
      </c>
      <c r="G14907" s="22" t="s">
        <v>59</v>
      </c>
      <c r="H14907" s="22" t="s">
        <v>59</v>
      </c>
      <c r="I14907" s="26">
        <v>43643.474305555603</v>
      </c>
      <c r="J14907" s="23" t="str">
        <f>HYPERLINK("https://www.spark-marketing.ru/Card/Person/6057539", "ООО ""БАЗИС""")</f>
        <v>ООО "БАЗИС"</v>
      </c>
      <c r="K14907" s="24" t="s">
        <v>2578</v>
      </c>
      <c r="L14907" s="22" t="s">
        <v>10</v>
      </c>
      <c r="M14907" s="28" t="s">
        <v>51</v>
      </c>
      <c r="N14907" s="28" t="s">
        <v>51</v>
      </c>
    </row>
    <row r="14908" spans="1:14" x14ac:dyDescent="0.15">
      <c r="A14908" s="23" t="str">
        <f>HYPERLINK("https://www.spark-marketing.ru/Card/Person/77064", "ГАУЗ ""КЛИНИКА МЕДИЦИНСКОГО УНИВЕРСИТЕТА""")</f>
        <v>ГАУЗ "КЛИНИКА МЕДИЦИНСКОГО УНИВЕРСИТЕТА"</v>
      </c>
      <c r="B14908" s="24" t="s">
        <v>19743</v>
      </c>
      <c r="C14908" s="25">
        <v>7830270</v>
      </c>
      <c r="D14908" s="22" t="s">
        <v>19744</v>
      </c>
      <c r="E14908" s="22" t="s">
        <v>48</v>
      </c>
      <c r="F14908" s="23" t="str">
        <f>HYPERLINK("https://www.spark-marketing.ru/Card/Lot/71736578", "Оказание услуг по организации питания пациентов для ГАУЗ ""Клиника медицинского университета"" в 2019 году")</f>
        <v>Оказание услуг по организации питания пациентов для ГАУЗ "Клиника медицинского университета" в 2019 году</v>
      </c>
      <c r="G14908" s="22" t="s">
        <v>217</v>
      </c>
      <c r="H14908" s="22" t="s">
        <v>937</v>
      </c>
      <c r="I14908" s="26">
        <v>43643.470833333296</v>
      </c>
      <c r="J14908" s="23" t="str">
        <f>HYPERLINK("https://www.spark-marketing.ru/Card/Person/6084653", "ООО ""ВИТАРА""")</f>
        <v>ООО "ВИТАРА"</v>
      </c>
      <c r="K14908" s="24" t="s">
        <v>2437</v>
      </c>
      <c r="L14908" s="22" t="s">
        <v>10</v>
      </c>
      <c r="M14908" s="28" t="s">
        <v>51</v>
      </c>
      <c r="N14908" s="28" t="s">
        <v>51</v>
      </c>
    </row>
    <row r="14909" spans="1:14" x14ac:dyDescent="0.15">
      <c r="A14909" s="23" t="str">
        <f>HYPERLINK("https://www.spark-marketing.ru/Card/Person/146262", "ФКУ ""ЦХИСО УМВД РОССИИ ПО ЧУКОТСКОМУ АВТОНОМНОМУ ОКРУГУ""")</f>
        <v>ФКУ "ЦХИСО УМВД РОССИИ ПО ЧУКОТСКОМУ АВТОНОМНОМУ ОКРУГУ"</v>
      </c>
      <c r="B14909" s="24" t="s">
        <v>17658</v>
      </c>
      <c r="C14909" s="25">
        <v>2000000</v>
      </c>
      <c r="D14909" s="22" t="s">
        <v>19745</v>
      </c>
      <c r="E14909" s="22" t="s">
        <v>96</v>
      </c>
      <c r="F14909" s="23" t="str">
        <f>HYPERLINK("https://www.spark-marketing.ru/Card/Lot/71715164", "Питание ИВС для нужд МОМВД России ""Билибинский"" (г.Билибино) на 2021 год")</f>
        <v>Питание ИВС для нужд МОМВД России "Билибинский" (г.Билибино) на 2021 год</v>
      </c>
      <c r="G14909" s="22" t="s">
        <v>2674</v>
      </c>
      <c r="H14909" s="22" t="s">
        <v>17660</v>
      </c>
      <c r="I14909" s="26">
        <v>43643.488194444399</v>
      </c>
      <c r="J14909" s="28" t="s">
        <v>51</v>
      </c>
      <c r="K14909" s="28" t="s">
        <v>51</v>
      </c>
      <c r="L14909" s="28" t="s">
        <v>51</v>
      </c>
      <c r="M14909" s="28" t="s">
        <v>51</v>
      </c>
      <c r="N14909" s="28" t="s">
        <v>51</v>
      </c>
    </row>
    <row r="14910" spans="1:14" x14ac:dyDescent="0.15">
      <c r="A14910" s="23" t="str">
        <f>HYPERLINK("https://www.spark-marketing.ru/Card/Person/1028945", "МБОУ СОШ №39 Г.ШАХТЫ")</f>
        <v>МБОУ СОШ №39 Г.ШАХТЫ</v>
      </c>
      <c r="B14910" s="24" t="s">
        <v>14545</v>
      </c>
      <c r="C14910" s="25">
        <v>121037.96</v>
      </c>
      <c r="D14910" s="22" t="s">
        <v>19746</v>
      </c>
      <c r="E14910" s="22" t="s">
        <v>48</v>
      </c>
      <c r="F14910" s="23" t="str">
        <f>HYPERLINK("https://www.spark-marketing.ru/Card/Lot/71722935", "услуги по организации питания")</f>
        <v>услуги по организации питания</v>
      </c>
      <c r="G14910" s="22" t="s">
        <v>267</v>
      </c>
      <c r="H14910" s="22" t="s">
        <v>4874</v>
      </c>
      <c r="I14910" s="26">
        <v>43643.434722222199</v>
      </c>
      <c r="J14910" s="28" t="s">
        <v>51</v>
      </c>
      <c r="K14910" s="28" t="s">
        <v>51</v>
      </c>
      <c r="L14910" s="28" t="s">
        <v>51</v>
      </c>
      <c r="M14910" s="28" t="s">
        <v>51</v>
      </c>
      <c r="N14910" s="28" t="s">
        <v>51</v>
      </c>
    </row>
    <row r="14911" spans="1:14" x14ac:dyDescent="0.15">
      <c r="A14911" s="23" t="s">
        <v>114</v>
      </c>
      <c r="B14911" s="28" t="s">
        <v>51</v>
      </c>
      <c r="C14911" s="25">
        <v>3334420</v>
      </c>
      <c r="D14911" s="22" t="s">
        <v>19747</v>
      </c>
      <c r="E14911" s="22" t="s">
        <v>48</v>
      </c>
      <c r="F14911" s="23" t="str">
        <f>HYPERLINK("https://www.spark-marketing.ru/Card/Lot/71735225",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11" s="22" t="s">
        <v>51</v>
      </c>
      <c r="H14911" s="22" t="s">
        <v>51</v>
      </c>
      <c r="I14911" s="26">
        <v>43643.425694444399</v>
      </c>
      <c r="J14911" s="28" t="s">
        <v>51</v>
      </c>
      <c r="K14911" s="28" t="s">
        <v>51</v>
      </c>
      <c r="L14911" s="28" t="s">
        <v>51</v>
      </c>
      <c r="M14911" s="28" t="s">
        <v>51</v>
      </c>
      <c r="N14911" s="28" t="s">
        <v>51</v>
      </c>
    </row>
    <row r="14912" spans="1:14" hidden="1" outlineLevel="1" x14ac:dyDescent="0.15">
      <c r="A14912" s="23" t="str">
        <f>HYPERLINK("https://www.spark-marketing.ru/Card/Person/87309", "МБДОУ ДЕТСКИЙ САД № 94")</f>
        <v>МБДОУ ДЕТСКИЙ САД № 94</v>
      </c>
      <c r="B14912" s="24" t="s">
        <v>19748</v>
      </c>
      <c r="C14912" s="25">
        <v>1166071</v>
      </c>
      <c r="D14912" s="22" t="s">
        <v>19747</v>
      </c>
      <c r="E14912" s="22" t="s">
        <v>48</v>
      </c>
      <c r="F14912" s="23" t="str">
        <f>HYPERLINK("https://www.spark-marketing.ru/Card/Lot/71735225",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12" s="22" t="s">
        <v>137</v>
      </c>
      <c r="H14912" s="22" t="s">
        <v>138</v>
      </c>
      <c r="I14912" s="26">
        <v>43643.425694444399</v>
      </c>
      <c r="J14912" s="28" t="s">
        <v>51</v>
      </c>
      <c r="K14912" s="28" t="s">
        <v>51</v>
      </c>
      <c r="L14912" s="28" t="s">
        <v>51</v>
      </c>
      <c r="M14912" s="28" t="s">
        <v>51</v>
      </c>
      <c r="N14912" s="28" t="s">
        <v>51</v>
      </c>
    </row>
    <row r="14913" spans="1:14" hidden="1" outlineLevel="1" x14ac:dyDescent="0.15">
      <c r="A14913" s="23" t="str">
        <f>HYPERLINK("https://www.spark-marketing.ru/Card/Person/88609", "МБДОУ ДЕТСКИЙ САД №96")</f>
        <v>МБДОУ ДЕТСКИЙ САД №96</v>
      </c>
      <c r="B14913" s="24" t="s">
        <v>19749</v>
      </c>
      <c r="C14913" s="25">
        <v>2168349</v>
      </c>
      <c r="D14913" s="22" t="s">
        <v>19747</v>
      </c>
      <c r="E14913" s="22" t="s">
        <v>48</v>
      </c>
      <c r="F14913" s="23" t="str">
        <f>HYPERLINK("https://www.spark-marketing.ru/Card/Lot/71735225",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13" s="22" t="s">
        <v>137</v>
      </c>
      <c r="H14913" s="22" t="s">
        <v>138</v>
      </c>
      <c r="I14913" s="26">
        <v>43643.425694444399</v>
      </c>
      <c r="J14913" s="28" t="s">
        <v>51</v>
      </c>
      <c r="K14913" s="28" t="s">
        <v>51</v>
      </c>
      <c r="L14913" s="28" t="s">
        <v>51</v>
      </c>
      <c r="M14913" s="28" t="s">
        <v>51</v>
      </c>
      <c r="N14913" s="28" t="s">
        <v>51</v>
      </c>
    </row>
    <row r="14914" spans="1:14" hidden="1" outlineLevel="1" x14ac:dyDescent="0.2">
      <c r="A14914" s="28" t="s">
        <v>51</v>
      </c>
      <c r="B14914" s="28" t="s">
        <v>51</v>
      </c>
      <c r="C14914" s="28" t="s">
        <v>51</v>
      </c>
      <c r="D14914" s="22" t="s">
        <v>19747</v>
      </c>
      <c r="E14914" s="22" t="s">
        <v>48</v>
      </c>
      <c r="F14914" s="23" t="str">
        <f>HYPERLINK("https://www.spark-marketing.ru/Card/Lot/71735225",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14" s="22" t="s">
        <v>51</v>
      </c>
      <c r="H14914" s="22" t="s">
        <v>51</v>
      </c>
      <c r="I14914" s="26">
        <v>43643.425694444399</v>
      </c>
      <c r="J14914" s="23" t="str">
        <f>HYPERLINK("https://www.spark-marketing.ru/Card/Person/610902", "ООО ""РАТИБОР""")</f>
        <v>ООО "РАТИБОР"</v>
      </c>
      <c r="K14914" s="24" t="s">
        <v>17751</v>
      </c>
      <c r="L14914" s="22" t="s">
        <v>10</v>
      </c>
      <c r="M14914" s="25">
        <v>3332000</v>
      </c>
      <c r="N14914" s="27">
        <v>7.2576340113123124E-4</v>
      </c>
    </row>
    <row r="14915" spans="1:14" hidden="1" outlineLevel="1" x14ac:dyDescent="0.2">
      <c r="A14915" s="28" t="s">
        <v>51</v>
      </c>
      <c r="B14915" s="28" t="s">
        <v>51</v>
      </c>
      <c r="C14915" s="28" t="s">
        <v>51</v>
      </c>
      <c r="D14915" s="22" t="s">
        <v>19747</v>
      </c>
      <c r="E14915" s="22" t="s">
        <v>48</v>
      </c>
      <c r="F14915" s="23" t="str">
        <f>HYPERLINK("https://www.spark-marketing.ru/Card/Lot/71735225",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15" s="22" t="s">
        <v>51</v>
      </c>
      <c r="H14915" s="22" t="s">
        <v>51</v>
      </c>
      <c r="I14915" s="26">
        <v>43643.425694444399</v>
      </c>
      <c r="J14915" s="23" t="str">
        <f>HYPERLINK("https://www.spark-marketing.ru/Card/Person/76228", "ООО ""ЛИМАН""")</f>
        <v>ООО "ЛИМАН"</v>
      </c>
      <c r="K14915" s="24" t="s">
        <v>16890</v>
      </c>
      <c r="L14915" s="28" t="s">
        <v>51</v>
      </c>
      <c r="M14915" s="25">
        <v>3333000</v>
      </c>
      <c r="N14915" s="27">
        <v>4.2586116925882162E-4</v>
      </c>
    </row>
    <row r="14916" spans="1:14" x14ac:dyDescent="0.15">
      <c r="A14916" s="23" t="str">
        <f>HYPERLINK("https://www.spark-marketing.ru/Card/Person/997638", "МБУ ""ЦФКИС ГОРОДА ЛОБНЯ""")</f>
        <v>МБУ "ЦФКИС ГОРОДА ЛОБНЯ"</v>
      </c>
      <c r="B14916" s="24" t="s">
        <v>19750</v>
      </c>
      <c r="C14916" s="25">
        <v>1000000</v>
      </c>
      <c r="D14916" s="22" t="s">
        <v>19751</v>
      </c>
      <c r="E14916" s="22" t="s">
        <v>1632</v>
      </c>
      <c r="F14916" s="23" t="str">
        <f>HYPERLINK("https://www.spark-marketing.ru/Card/Lot/71725619", "Оказание услуг по организации проживания и питания спортсменов в период проведения тренировочных мероприятий по хоккею")</f>
        <v>Оказание услуг по организации проживания и питания спортсменов в период проведения тренировочных мероприятий по хоккею</v>
      </c>
      <c r="G14916" s="22" t="s">
        <v>76</v>
      </c>
      <c r="H14916" s="22" t="s">
        <v>19752</v>
      </c>
      <c r="I14916" s="26">
        <v>43643.429861111101</v>
      </c>
      <c r="J14916" s="28" t="s">
        <v>51</v>
      </c>
      <c r="K14916" s="28" t="s">
        <v>51</v>
      </c>
      <c r="L14916" s="28" t="s">
        <v>51</v>
      </c>
      <c r="M14916" s="28" t="s">
        <v>51</v>
      </c>
      <c r="N14916" s="28" t="s">
        <v>51</v>
      </c>
    </row>
    <row r="14917" spans="1:14" x14ac:dyDescent="0.15">
      <c r="A14917" s="23" t="s">
        <v>114</v>
      </c>
      <c r="B14917" s="28" t="s">
        <v>51</v>
      </c>
      <c r="C14917" s="25">
        <v>7479840</v>
      </c>
      <c r="D14917" s="22" t="s">
        <v>19753</v>
      </c>
      <c r="E14917" s="22" t="s">
        <v>48</v>
      </c>
      <c r="F14917" s="23" t="str">
        <f t="shared" ref="F14917:F14925" si="506">HYPERLINK("https://www.spark-marketing.ru/Card/Lot/71726375", "Оказание услуг по организации горячего питания")</f>
        <v>Оказание услуг по организации горячего питания</v>
      </c>
      <c r="G14917" s="22" t="s">
        <v>51</v>
      </c>
      <c r="H14917" s="22" t="s">
        <v>51</v>
      </c>
      <c r="I14917" s="26">
        <v>43643.4243055556</v>
      </c>
      <c r="J14917" s="28" t="s">
        <v>51</v>
      </c>
      <c r="K14917" s="28" t="s">
        <v>51</v>
      </c>
      <c r="L14917" s="28" t="s">
        <v>51</v>
      </c>
      <c r="M14917" s="28" t="s">
        <v>51</v>
      </c>
      <c r="N14917" s="28" t="s">
        <v>51</v>
      </c>
    </row>
    <row r="14918" spans="1:14" hidden="1" outlineLevel="1" x14ac:dyDescent="0.15">
      <c r="A14918" s="23" t="str">
        <f>HYPERLINK("https://www.spark-marketing.ru/Card/Person/7109", "МБОУ СШ №41")</f>
        <v>МБОУ СШ №41</v>
      </c>
      <c r="B14918" s="24" t="s">
        <v>19754</v>
      </c>
      <c r="C14918" s="25">
        <v>568800</v>
      </c>
      <c r="D14918" s="22" t="s">
        <v>19753</v>
      </c>
      <c r="E14918" s="22" t="s">
        <v>48</v>
      </c>
      <c r="F14918" s="23" t="str">
        <f t="shared" si="506"/>
        <v>Оказание услуг по организации горячего питания</v>
      </c>
      <c r="G14918" s="22" t="s">
        <v>137</v>
      </c>
      <c r="H14918" s="22" t="s">
        <v>138</v>
      </c>
      <c r="I14918" s="26">
        <v>43643.4243055556</v>
      </c>
      <c r="J14918" s="28" t="s">
        <v>51</v>
      </c>
      <c r="K14918" s="28" t="s">
        <v>51</v>
      </c>
      <c r="L14918" s="28" t="s">
        <v>51</v>
      </c>
      <c r="M14918" s="28" t="s">
        <v>51</v>
      </c>
      <c r="N14918" s="28" t="s">
        <v>51</v>
      </c>
    </row>
    <row r="14919" spans="1:14" hidden="1" outlineLevel="1" x14ac:dyDescent="0.15">
      <c r="A14919" s="23" t="str">
        <f>HYPERLINK("https://www.spark-marketing.ru/Card/Person/50303", "МОУ СОШ № 20")</f>
        <v>МОУ СОШ № 20</v>
      </c>
      <c r="B14919" s="24" t="s">
        <v>19755</v>
      </c>
      <c r="C14919" s="25">
        <v>1587900</v>
      </c>
      <c r="D14919" s="22" t="s">
        <v>19753</v>
      </c>
      <c r="E14919" s="22" t="s">
        <v>48</v>
      </c>
      <c r="F14919" s="23" t="str">
        <f t="shared" si="506"/>
        <v>Оказание услуг по организации горячего питания</v>
      </c>
      <c r="G14919" s="22" t="s">
        <v>51</v>
      </c>
      <c r="H14919" s="22" t="s">
        <v>51</v>
      </c>
      <c r="I14919" s="26">
        <v>43643.4243055556</v>
      </c>
      <c r="J14919" s="28" t="s">
        <v>51</v>
      </c>
      <c r="K14919" s="28" t="s">
        <v>51</v>
      </c>
      <c r="L14919" s="28" t="s">
        <v>51</v>
      </c>
      <c r="M14919" s="28" t="s">
        <v>51</v>
      </c>
      <c r="N14919" s="28" t="s">
        <v>51</v>
      </c>
    </row>
    <row r="14920" spans="1:14" hidden="1" outlineLevel="1" x14ac:dyDescent="0.15">
      <c r="A14920" s="23" t="str">
        <f>HYPERLINK("https://www.spark-marketing.ru/Card/Person/88146", "МОУ СОШ № 52")</f>
        <v>МОУ СОШ № 52</v>
      </c>
      <c r="B14920" s="24" t="s">
        <v>19756</v>
      </c>
      <c r="C14920" s="25">
        <v>2298900</v>
      </c>
      <c r="D14920" s="22" t="s">
        <v>19753</v>
      </c>
      <c r="E14920" s="22" t="s">
        <v>48</v>
      </c>
      <c r="F14920" s="23" t="str">
        <f t="shared" si="506"/>
        <v>Оказание услуг по организации горячего питания</v>
      </c>
      <c r="G14920" s="22" t="s">
        <v>137</v>
      </c>
      <c r="H14920" s="22" t="s">
        <v>138</v>
      </c>
      <c r="I14920" s="26">
        <v>43643.4243055556</v>
      </c>
      <c r="J14920" s="28" t="s">
        <v>51</v>
      </c>
      <c r="K14920" s="28" t="s">
        <v>51</v>
      </c>
      <c r="L14920" s="28" t="s">
        <v>51</v>
      </c>
      <c r="M14920" s="28" t="s">
        <v>51</v>
      </c>
      <c r="N14920" s="28" t="s">
        <v>51</v>
      </c>
    </row>
    <row r="14921" spans="1:14" hidden="1" outlineLevel="1" x14ac:dyDescent="0.15">
      <c r="A14921" s="23" t="str">
        <f>HYPERLINK("https://www.spark-marketing.ru/Card/Person/4354081", "МБОУ СШ № 19")</f>
        <v>МБОУ СШ № 19</v>
      </c>
      <c r="B14921" s="24" t="s">
        <v>19757</v>
      </c>
      <c r="C14921" s="25">
        <v>1042800</v>
      </c>
      <c r="D14921" s="22" t="s">
        <v>19753</v>
      </c>
      <c r="E14921" s="22" t="s">
        <v>48</v>
      </c>
      <c r="F14921" s="23" t="str">
        <f t="shared" si="506"/>
        <v>Оказание услуг по организации горячего питания</v>
      </c>
      <c r="G14921" s="22" t="s">
        <v>137</v>
      </c>
      <c r="H14921" s="22" t="s">
        <v>138</v>
      </c>
      <c r="I14921" s="26">
        <v>43643.4243055556</v>
      </c>
      <c r="J14921" s="28" t="s">
        <v>51</v>
      </c>
      <c r="K14921" s="28" t="s">
        <v>51</v>
      </c>
      <c r="L14921" s="28" t="s">
        <v>51</v>
      </c>
      <c r="M14921" s="28" t="s">
        <v>51</v>
      </c>
      <c r="N14921" s="28" t="s">
        <v>51</v>
      </c>
    </row>
    <row r="14922" spans="1:14" hidden="1" outlineLevel="1" x14ac:dyDescent="0.15">
      <c r="A14922" s="23" t="str">
        <f>HYPERLINK("https://www.spark-marketing.ru/Card/Person/4354661", "МОУ СОШ № 25")</f>
        <v>МОУ СОШ № 25</v>
      </c>
      <c r="B14922" s="24" t="s">
        <v>19758</v>
      </c>
      <c r="C14922" s="25">
        <v>497700</v>
      </c>
      <c r="D14922" s="22" t="s">
        <v>19753</v>
      </c>
      <c r="E14922" s="22" t="s">
        <v>48</v>
      </c>
      <c r="F14922" s="23" t="str">
        <f t="shared" si="506"/>
        <v>Оказание услуг по организации горячего питания</v>
      </c>
      <c r="G14922" s="22" t="s">
        <v>51</v>
      </c>
      <c r="H14922" s="22" t="s">
        <v>51</v>
      </c>
      <c r="I14922" s="26">
        <v>43643.4243055556</v>
      </c>
      <c r="J14922" s="28" t="s">
        <v>51</v>
      </c>
      <c r="K14922" s="28" t="s">
        <v>51</v>
      </c>
      <c r="L14922" s="28" t="s">
        <v>51</v>
      </c>
      <c r="M14922" s="28" t="s">
        <v>51</v>
      </c>
      <c r="N14922" s="28" t="s">
        <v>51</v>
      </c>
    </row>
    <row r="14923" spans="1:14" hidden="1" outlineLevel="1" x14ac:dyDescent="0.15">
      <c r="A14923" s="23" t="str">
        <f>HYPERLINK("https://www.spark-marketing.ru/Card/Person/4356065", "МОУ СОШ № 1")</f>
        <v>МОУ СОШ № 1</v>
      </c>
      <c r="B14923" s="24" t="s">
        <v>19759</v>
      </c>
      <c r="C14923" s="25">
        <v>1483740</v>
      </c>
      <c r="D14923" s="22" t="s">
        <v>19753</v>
      </c>
      <c r="E14923" s="22" t="s">
        <v>48</v>
      </c>
      <c r="F14923" s="23" t="str">
        <f t="shared" si="506"/>
        <v>Оказание услуг по организации горячего питания</v>
      </c>
      <c r="G14923" s="22" t="s">
        <v>137</v>
      </c>
      <c r="H14923" s="22" t="s">
        <v>138</v>
      </c>
      <c r="I14923" s="26">
        <v>43643.4243055556</v>
      </c>
      <c r="J14923" s="28" t="s">
        <v>51</v>
      </c>
      <c r="K14923" s="28" t="s">
        <v>51</v>
      </c>
      <c r="L14923" s="28" t="s">
        <v>51</v>
      </c>
      <c r="M14923" s="28" t="s">
        <v>51</v>
      </c>
      <c r="N14923" s="28" t="s">
        <v>51</v>
      </c>
    </row>
    <row r="14924" spans="1:14" hidden="1" outlineLevel="1" x14ac:dyDescent="0.2">
      <c r="A14924" s="28" t="s">
        <v>51</v>
      </c>
      <c r="B14924" s="28" t="s">
        <v>51</v>
      </c>
      <c r="C14924" s="28" t="s">
        <v>51</v>
      </c>
      <c r="D14924" s="22" t="s">
        <v>19753</v>
      </c>
      <c r="E14924" s="22" t="s">
        <v>48</v>
      </c>
      <c r="F14924" s="23" t="str">
        <f t="shared" si="506"/>
        <v>Оказание услуг по организации горячего питания</v>
      </c>
      <c r="G14924" s="22" t="s">
        <v>51</v>
      </c>
      <c r="H14924" s="22" t="s">
        <v>51</v>
      </c>
      <c r="I14924" s="26">
        <v>43643.4243055556</v>
      </c>
      <c r="J14924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924" s="24" t="s">
        <v>16891</v>
      </c>
      <c r="L14924" s="28" t="s">
        <v>51</v>
      </c>
      <c r="M14924" s="25">
        <v>7479840</v>
      </c>
      <c r="N14924" s="27">
        <v>0</v>
      </c>
    </row>
    <row r="14925" spans="1:14" hidden="1" outlineLevel="1" x14ac:dyDescent="0.2">
      <c r="A14925" s="28" t="s">
        <v>51</v>
      </c>
      <c r="B14925" s="28" t="s">
        <v>51</v>
      </c>
      <c r="C14925" s="28" t="s">
        <v>51</v>
      </c>
      <c r="D14925" s="22" t="s">
        <v>19753</v>
      </c>
      <c r="E14925" s="22" t="s">
        <v>48</v>
      </c>
      <c r="F14925" s="23" t="str">
        <f t="shared" si="506"/>
        <v>Оказание услуг по организации горячего питания</v>
      </c>
      <c r="G14925" s="22" t="s">
        <v>51</v>
      </c>
      <c r="H14925" s="22" t="s">
        <v>51</v>
      </c>
      <c r="I14925" s="26">
        <v>43643.4243055556</v>
      </c>
      <c r="J14925" s="23" t="str">
        <f>HYPERLINK("https://www.spark-marketing.ru/Card/Person/76228", "ООО ""ЛИМАН""")</f>
        <v>ООО "ЛИМАН"</v>
      </c>
      <c r="K14925" s="24" t="s">
        <v>16890</v>
      </c>
      <c r="L14925" s="22" t="s">
        <v>10</v>
      </c>
      <c r="M14925" s="25">
        <v>7475000</v>
      </c>
      <c r="N14925" s="27">
        <v>6.4707266465592844E-4</v>
      </c>
    </row>
    <row r="14926" spans="1:14" x14ac:dyDescent="0.15">
      <c r="A14926" s="23" t="str">
        <f>HYPERLINK("https://www.spark-marketing.ru/Card/Person/150314", "АДМИНИСТРАЦИЯ ЮЖСКОГО МУНИЦИПАЛЬНОГО РАЙОНА")</f>
        <v>АДМИНИСТРАЦИЯ ЮЖСКОГО МУНИЦИПАЛЬНОГО РАЙОНА</v>
      </c>
      <c r="B14926" s="24" t="s">
        <v>19576</v>
      </c>
      <c r="C14926" s="28" t="s">
        <v>51</v>
      </c>
      <c r="D14926" s="22" t="s">
        <v>19760</v>
      </c>
      <c r="E14926" s="22" t="s">
        <v>6508</v>
      </c>
      <c r="F14926" s="23" t="str">
        <f>HYPERLINK("https://www.spark-marketing.ru/Card/Lot/71726935", "Предварительный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(поставка продуктов питания)")</f>
        <v>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(поставка продуктов питания)</v>
      </c>
      <c r="G14926" s="22" t="s">
        <v>1047</v>
      </c>
      <c r="H14926" s="22" t="s">
        <v>19578</v>
      </c>
      <c r="I14926" s="26">
        <v>43643.417361111096</v>
      </c>
      <c r="J14926" s="28" t="s">
        <v>51</v>
      </c>
      <c r="K14926" s="28" t="s">
        <v>51</v>
      </c>
      <c r="L14926" s="28" t="s">
        <v>51</v>
      </c>
      <c r="M14926" s="28" t="s">
        <v>51</v>
      </c>
      <c r="N14926" s="28" t="s">
        <v>51</v>
      </c>
    </row>
    <row r="14927" spans="1:14" hidden="1" outlineLevel="1" x14ac:dyDescent="0.15">
      <c r="A14927" s="23" t="str">
        <f>HYPERLINK("https://www.spark-marketing.ru/Card/Person/150314", "АДМИНИСТРАЦИЯ ЮЖСКОГО МУНИЦИПАЛЬНОГО РАЙОНА")</f>
        <v>АДМИНИСТРАЦИЯ ЮЖСКОГО МУНИЦИПАЛЬНОГО РАЙОНА</v>
      </c>
      <c r="B14927" s="24" t="s">
        <v>19576</v>
      </c>
      <c r="C14927" s="28" t="s">
        <v>51</v>
      </c>
      <c r="D14927" s="22" t="s">
        <v>19760</v>
      </c>
      <c r="E14927" s="22" t="s">
        <v>6508</v>
      </c>
      <c r="F14927" s="23" t="str">
        <f>HYPERLINK("https://www.spark-marketing.ru/Card/Lot/71726935", "Предварительный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(поставка продуктов питания)")</f>
        <v>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(поставка продуктов питания)</v>
      </c>
      <c r="G14927" s="22" t="s">
        <v>1047</v>
      </c>
      <c r="H14927" s="22" t="s">
        <v>19578</v>
      </c>
      <c r="I14927" s="26">
        <v>43643.417361111096</v>
      </c>
      <c r="J14927" s="23" t="str">
        <f>HYPERLINK("https://www.spark-marketing.ru/Card/Person/6634526", "Гаджиев Халик Дашдемирович")</f>
        <v>Гаджиев Халик Дашдемирович</v>
      </c>
      <c r="K14927" s="24" t="s">
        <v>19580</v>
      </c>
      <c r="L14927" s="28" t="s">
        <v>51</v>
      </c>
      <c r="M14927" s="28" t="s">
        <v>51</v>
      </c>
      <c r="N14927" s="28" t="s">
        <v>51</v>
      </c>
    </row>
    <row r="14928" spans="1:14" hidden="1" outlineLevel="1" x14ac:dyDescent="0.15">
      <c r="A14928" s="23" t="str">
        <f>HYPERLINK("https://www.spark-marketing.ru/Card/Person/150314", "АДМИНИСТРАЦИЯ ЮЖСКОГО МУНИЦИПАЛЬНОГО РАЙОНА")</f>
        <v>АДМИНИСТРАЦИЯ ЮЖСКОГО МУНИЦИПАЛЬНОГО РАЙОНА</v>
      </c>
      <c r="B14928" s="24" t="s">
        <v>19576</v>
      </c>
      <c r="C14928" s="28" t="s">
        <v>51</v>
      </c>
      <c r="D14928" s="22" t="s">
        <v>19760</v>
      </c>
      <c r="E14928" s="22" t="s">
        <v>6508</v>
      </c>
      <c r="F14928" s="23" t="str">
        <f>HYPERLINK("https://www.spark-marketing.ru/Card/Lot/71726935", "Предварительный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(поставка продуктов питания)")</f>
        <v>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(поставка продуктов питания)</v>
      </c>
      <c r="G14928" s="22" t="s">
        <v>1047</v>
      </c>
      <c r="H14928" s="22" t="s">
        <v>19578</v>
      </c>
      <c r="I14928" s="26">
        <v>43643.417361111096</v>
      </c>
      <c r="J14928" s="23" t="str">
        <f>HYPERLINK("https://www.spark-marketing.ru/Card/Person/5866939", "Панов Александр Евгеньевич")</f>
        <v>Панов Александр Евгеньевич</v>
      </c>
      <c r="K14928" s="24" t="s">
        <v>19579</v>
      </c>
      <c r="L14928" s="28" t="s">
        <v>51</v>
      </c>
      <c r="M14928" s="28" t="s">
        <v>51</v>
      </c>
      <c r="N14928" s="28" t="s">
        <v>51</v>
      </c>
    </row>
    <row r="14929" spans="1:14" x14ac:dyDescent="0.2">
      <c r="A14929" s="23" t="s">
        <v>114</v>
      </c>
      <c r="B14929" s="28" t="s">
        <v>51</v>
      </c>
      <c r="C14929" s="25">
        <v>7213553</v>
      </c>
      <c r="D14929" s="22" t="s">
        <v>19761</v>
      </c>
      <c r="E14929" s="22" t="s">
        <v>48</v>
      </c>
      <c r="F14929" s="23" t="str">
        <f>HYPERLINK("https://www.spark-marketing.ru/Card/Lot/71726373",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29" s="22" t="s">
        <v>51</v>
      </c>
      <c r="H14929" s="22" t="s">
        <v>51</v>
      </c>
      <c r="I14929" s="26">
        <v>43643.4243055556</v>
      </c>
      <c r="J14929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929" s="24" t="s">
        <v>16891</v>
      </c>
      <c r="L14929" s="22" t="s">
        <v>10</v>
      </c>
      <c r="M14929" s="25">
        <v>7213553</v>
      </c>
      <c r="N14929" s="27">
        <v>0</v>
      </c>
    </row>
    <row r="14930" spans="1:14" hidden="1" outlineLevel="1" x14ac:dyDescent="0.2">
      <c r="A14930" s="23" t="str">
        <f>HYPERLINK("https://www.spark-marketing.ru/Card/Person/85464", "МБДОУ ДЕТСКИЙ САД № 131")</f>
        <v>МБДОУ ДЕТСКИЙ САД № 131</v>
      </c>
      <c r="B14930" s="24" t="s">
        <v>19762</v>
      </c>
      <c r="C14930" s="25">
        <v>4013390</v>
      </c>
      <c r="D14930" s="22" t="s">
        <v>19761</v>
      </c>
      <c r="E14930" s="22" t="s">
        <v>48</v>
      </c>
      <c r="F14930" s="23" t="str">
        <f>HYPERLINK("https://www.spark-marketing.ru/Card/Lot/71726373",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30" s="22" t="s">
        <v>137</v>
      </c>
      <c r="H14930" s="22" t="s">
        <v>138</v>
      </c>
      <c r="I14930" s="26">
        <v>43643.4243055556</v>
      </c>
      <c r="J14930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930" s="24" t="s">
        <v>16891</v>
      </c>
      <c r="L14930" s="22" t="s">
        <v>10</v>
      </c>
      <c r="M14930" s="28" t="s">
        <v>51</v>
      </c>
      <c r="N14930" s="27">
        <v>0</v>
      </c>
    </row>
    <row r="14931" spans="1:14" hidden="1" outlineLevel="1" x14ac:dyDescent="0.2">
      <c r="A14931" s="23" t="str">
        <f>HYPERLINK("https://www.spark-marketing.ru/Card/Person/88887", "МБДОУ ДЕТСКИЙ САД № 125")</f>
        <v>МБДОУ ДЕТСКИЙ САД № 125</v>
      </c>
      <c r="B14931" s="24" t="s">
        <v>19763</v>
      </c>
      <c r="C14931" s="25">
        <v>3200163</v>
      </c>
      <c r="D14931" s="22" t="s">
        <v>19761</v>
      </c>
      <c r="E14931" s="22" t="s">
        <v>48</v>
      </c>
      <c r="F14931" s="23" t="str">
        <f>HYPERLINK("https://www.spark-marketing.ru/Card/Lot/71726373",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31" s="22" t="s">
        <v>137</v>
      </c>
      <c r="H14931" s="22" t="s">
        <v>138</v>
      </c>
      <c r="I14931" s="26">
        <v>43643.4243055556</v>
      </c>
      <c r="J14931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931" s="24" t="s">
        <v>16891</v>
      </c>
      <c r="L14931" s="22" t="s">
        <v>10</v>
      </c>
      <c r="M14931" s="28" t="s">
        <v>51</v>
      </c>
      <c r="N14931" s="27">
        <v>0</v>
      </c>
    </row>
    <row r="14932" spans="1:14" x14ac:dyDescent="0.15">
      <c r="A14932" s="23" t="str">
        <f>HYPERLINK("https://www.spark-marketing.ru/Card/Person/30194", "УФКС ГОРОДА РОСТОВА-НА-ДОНУ")</f>
        <v>УФКС ГОРОДА РОСТОВА-НА-ДОНУ</v>
      </c>
      <c r="B14932" s="24" t="s">
        <v>17299</v>
      </c>
      <c r="C14932" s="25">
        <v>419200</v>
      </c>
      <c r="D14932" s="22" t="s">
        <v>19764</v>
      </c>
      <c r="E14932" s="22" t="s">
        <v>51</v>
      </c>
      <c r="F14932" s="23" t="str">
        <f>HYPERLINK("https://www.spark-marketing.ru/Card/Lot/71731444", "Оказание услуг по организации проживания и питания для членов сборной команды города Ростова-на-Дону по фехтованию при проведении тренировочного мероприятия в рамках подготовки к открытому областному турниру «Донская осень»")</f>
        <v>Оказание услуг по организации проживания и питания для членов сборной команды города Ростова-на-Дону по фехтованию при проведении тренировочного мероприятия в рамках подготовки к открытому областному турниру «Донская осень»</v>
      </c>
      <c r="G14932" s="22" t="s">
        <v>267</v>
      </c>
      <c r="H14932" s="22" t="s">
        <v>267</v>
      </c>
      <c r="I14932" s="26">
        <v>43643.434027777803</v>
      </c>
      <c r="J14932" s="23" t="str">
        <f>HYPERLINK("https://www.spark-marketing.ru/Card/Person/784344", "Линник Ирина Константиновна")</f>
        <v>Линник Ирина Константиновна</v>
      </c>
      <c r="K14932" s="24" t="s">
        <v>19765</v>
      </c>
      <c r="L14932" s="22" t="s">
        <v>10</v>
      </c>
      <c r="M14932" s="28" t="s">
        <v>51</v>
      </c>
      <c r="N14932" s="28" t="s">
        <v>51</v>
      </c>
    </row>
    <row r="14933" spans="1:14" x14ac:dyDescent="0.2">
      <c r="A14933" s="23" t="s">
        <v>114</v>
      </c>
      <c r="B14933" s="28" t="s">
        <v>51</v>
      </c>
      <c r="C14933" s="25">
        <v>9130155</v>
      </c>
      <c r="D14933" s="22" t="s">
        <v>19766</v>
      </c>
      <c r="E14933" s="22" t="s">
        <v>48</v>
      </c>
      <c r="F14933" s="23" t="str">
        <f>HYPERLINK("https://www.spark-marketing.ru/Card/Lot/71725892",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33" s="22" t="s">
        <v>51</v>
      </c>
      <c r="H14933" s="22" t="s">
        <v>51</v>
      </c>
      <c r="I14933" s="26">
        <v>43643.4243055556</v>
      </c>
      <c r="J14933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933" s="24" t="s">
        <v>16891</v>
      </c>
      <c r="L14933" s="22" t="s">
        <v>10</v>
      </c>
      <c r="M14933" s="25">
        <v>9130155</v>
      </c>
      <c r="N14933" s="27">
        <v>0</v>
      </c>
    </row>
    <row r="14934" spans="1:14" hidden="1" outlineLevel="1" x14ac:dyDescent="0.2">
      <c r="A14934" s="23" t="str">
        <f>HYPERLINK("https://www.spark-marketing.ru/Card/Person/87433", "МБДОУ ДЕТСКИЙ САД № 165")</f>
        <v>МБДОУ ДЕТСКИЙ САД № 165</v>
      </c>
      <c r="B14934" s="24" t="s">
        <v>19767</v>
      </c>
      <c r="C14934" s="25">
        <v>5700193</v>
      </c>
      <c r="D14934" s="22" t="s">
        <v>19766</v>
      </c>
      <c r="E14934" s="22" t="s">
        <v>48</v>
      </c>
      <c r="F14934" s="23" t="str">
        <f>HYPERLINK("https://www.spark-marketing.ru/Card/Lot/71725892",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34" s="22" t="s">
        <v>137</v>
      </c>
      <c r="H14934" s="22" t="s">
        <v>138</v>
      </c>
      <c r="I14934" s="26">
        <v>43643.4243055556</v>
      </c>
      <c r="J14934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934" s="24" t="s">
        <v>16891</v>
      </c>
      <c r="L14934" s="22" t="s">
        <v>10</v>
      </c>
      <c r="M14934" s="28" t="s">
        <v>51</v>
      </c>
      <c r="N14934" s="27">
        <v>0</v>
      </c>
    </row>
    <row r="14935" spans="1:14" hidden="1" outlineLevel="1" x14ac:dyDescent="0.2">
      <c r="A14935" s="23" t="str">
        <f>HYPERLINK("https://www.spark-marketing.ru/Card/Person/88888", "МБДОУ ДЕТСКИЙ САД №160")</f>
        <v>МБДОУ ДЕТСКИЙ САД №160</v>
      </c>
      <c r="B14935" s="24" t="s">
        <v>19768</v>
      </c>
      <c r="C14935" s="25">
        <v>3429962</v>
      </c>
      <c r="D14935" s="22" t="s">
        <v>19766</v>
      </c>
      <c r="E14935" s="22" t="s">
        <v>48</v>
      </c>
      <c r="F14935" s="23" t="str">
        <f>HYPERLINK("https://www.spark-marketing.ru/Card/Lot/71725892",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35" s="22" t="s">
        <v>137</v>
      </c>
      <c r="H14935" s="22" t="s">
        <v>138</v>
      </c>
      <c r="I14935" s="26">
        <v>43643.4243055556</v>
      </c>
      <c r="J14935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4935" s="24" t="s">
        <v>16891</v>
      </c>
      <c r="L14935" s="22" t="s">
        <v>10</v>
      </c>
      <c r="M14935" s="28" t="s">
        <v>51</v>
      </c>
      <c r="N14935" s="27">
        <v>0</v>
      </c>
    </row>
    <row r="14936" spans="1:14" x14ac:dyDescent="0.15">
      <c r="A14936" s="23" t="str">
        <f>HYPERLINK("https://www.spark-marketing.ru/Card/Person/4376562", "МКУ СКЦ")</f>
        <v>МКУ СКЦ</v>
      </c>
      <c r="B14936" s="24" t="s">
        <v>19769</v>
      </c>
      <c r="C14936" s="25">
        <v>398152</v>
      </c>
      <c r="D14936" s="22" t="s">
        <v>19770</v>
      </c>
      <c r="E14936" s="22" t="s">
        <v>48</v>
      </c>
      <c r="F14936" s="23" t="str">
        <f>HYPERLINK("https://www.spark-marketing.ru/Card/Lot/71724107", "Организация питания для участников мероприятий")</f>
        <v>Организация питания для участников мероприятий</v>
      </c>
      <c r="G14936" s="22" t="s">
        <v>195</v>
      </c>
      <c r="H14936" s="22" t="s">
        <v>19771</v>
      </c>
      <c r="I14936" s="26">
        <v>43643.447916666701</v>
      </c>
      <c r="J14936" s="28" t="s">
        <v>51</v>
      </c>
      <c r="K14936" s="28" t="s">
        <v>51</v>
      </c>
      <c r="L14936" s="28" t="s">
        <v>51</v>
      </c>
      <c r="M14936" s="28" t="s">
        <v>51</v>
      </c>
      <c r="N14936" s="28" t="s">
        <v>51</v>
      </c>
    </row>
    <row r="14937" spans="1:14" x14ac:dyDescent="0.15">
      <c r="A14937" s="23" t="str">
        <f>HYPERLINK("https://www.spark-marketing.ru/Card/Person/116123", "БОУ Г. ОМСКА ""ГИМНАЗИЯ № 12 ИМЕНИ ГЕРОЯ СОВЕТСКОГО СОЮЗА В.П. ГОРЯЧЕВА""")</f>
        <v>БОУ Г. ОМСКА "ГИМНАЗИЯ № 12 ИМЕНИ ГЕРОЯ СОВЕТСКОГО СОЮЗА В.П. ГОРЯЧЕВА"</v>
      </c>
      <c r="B14937" s="24" t="s">
        <v>19716</v>
      </c>
      <c r="C14937" s="25">
        <v>4420</v>
      </c>
      <c r="D14937" s="22" t="s">
        <v>19772</v>
      </c>
      <c r="E14937" s="22" t="s">
        <v>48</v>
      </c>
      <c r="F14937" s="23" t="str">
        <f>HYPERLINK("https://www.spark-marketing.ru/Card/Lot/71724084", "Услуги по организации питания обучающихся с ОВЗ")</f>
        <v>Услуги по организации питания обучающихся с ОВЗ</v>
      </c>
      <c r="G14937" s="22" t="s">
        <v>487</v>
      </c>
      <c r="H14937" s="22" t="s">
        <v>488</v>
      </c>
      <c r="I14937" s="26">
        <v>43643.445138888899</v>
      </c>
      <c r="J14937" s="28" t="s">
        <v>51</v>
      </c>
      <c r="K14937" s="28" t="s">
        <v>51</v>
      </c>
      <c r="L14937" s="28" t="s">
        <v>51</v>
      </c>
      <c r="M14937" s="28" t="s">
        <v>51</v>
      </c>
      <c r="N14937" s="28" t="s">
        <v>51</v>
      </c>
    </row>
    <row r="14938" spans="1:14" x14ac:dyDescent="0.2">
      <c r="A14938" s="23" t="s">
        <v>114</v>
      </c>
      <c r="B14938" s="28" t="s">
        <v>51</v>
      </c>
      <c r="C14938" s="25">
        <v>3083912</v>
      </c>
      <c r="D14938" s="22" t="s">
        <v>19773</v>
      </c>
      <c r="E14938" s="22" t="s">
        <v>48</v>
      </c>
      <c r="F14938" s="23" t="str">
        <f>HYPERLINK("https://www.spark-marketing.ru/Card/Lot/71726105",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38" s="22" t="s">
        <v>51</v>
      </c>
      <c r="H14938" s="22" t="s">
        <v>51</v>
      </c>
      <c r="I14938" s="26">
        <v>43643.4243055556</v>
      </c>
      <c r="J14938" s="23" t="str">
        <f t="shared" ref="J14938:J14944" si="507">HYPERLINK("https://www.spark-marketing.ru/Card/Person/33643", "ООО ""ТВЕРСКОЙ КОМБИНАТ ШКОЛЬНОГО ПИТАНИЯ""")</f>
        <v>ООО "ТВЕРСКОЙ КОМБИНАТ ШКОЛЬНОГО ПИТАНИЯ"</v>
      </c>
      <c r="K14938" s="24" t="s">
        <v>16891</v>
      </c>
      <c r="L14938" s="22" t="s">
        <v>10</v>
      </c>
      <c r="M14938" s="25">
        <v>3083912</v>
      </c>
      <c r="N14938" s="27">
        <v>0</v>
      </c>
    </row>
    <row r="14939" spans="1:14" hidden="1" outlineLevel="1" x14ac:dyDescent="0.2">
      <c r="A14939" s="23" t="str">
        <f>HYPERLINK("https://www.spark-marketing.ru/Card/Person/85728", "МБДОУ ДЕТСКИЙ САД № 45")</f>
        <v>МБДОУ ДЕТСКИЙ САД № 45</v>
      </c>
      <c r="B14939" s="24" t="s">
        <v>19774</v>
      </c>
      <c r="C14939" s="25">
        <v>1239902</v>
      </c>
      <c r="D14939" s="22" t="s">
        <v>19773</v>
      </c>
      <c r="E14939" s="22" t="s">
        <v>48</v>
      </c>
      <c r="F14939" s="23" t="str">
        <f>HYPERLINK("https://www.spark-marketing.ru/Card/Lot/71726105",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39" s="22" t="s">
        <v>137</v>
      </c>
      <c r="H14939" s="22" t="s">
        <v>138</v>
      </c>
      <c r="I14939" s="26">
        <v>43643.4243055556</v>
      </c>
      <c r="J14939" s="23" t="str">
        <f t="shared" si="507"/>
        <v>ООО "ТВЕРСКОЙ КОМБИНАТ ШКОЛЬНОГО ПИТАНИЯ"</v>
      </c>
      <c r="K14939" s="24" t="s">
        <v>16891</v>
      </c>
      <c r="L14939" s="22" t="s">
        <v>10</v>
      </c>
      <c r="M14939" s="28" t="s">
        <v>51</v>
      </c>
      <c r="N14939" s="27">
        <v>0</v>
      </c>
    </row>
    <row r="14940" spans="1:14" hidden="1" outlineLevel="1" x14ac:dyDescent="0.2">
      <c r="A14940" s="23" t="str">
        <f>HYPERLINK("https://www.spark-marketing.ru/Card/Person/87436", "МБДОУ ДЕТСКИЙ САД №26")</f>
        <v>МБДОУ ДЕТСКИЙ САД №26</v>
      </c>
      <c r="B14940" s="24" t="s">
        <v>19775</v>
      </c>
      <c r="C14940" s="25">
        <v>1844010</v>
      </c>
      <c r="D14940" s="22" t="s">
        <v>19773</v>
      </c>
      <c r="E14940" s="22" t="s">
        <v>48</v>
      </c>
      <c r="F14940" s="23" t="str">
        <f>HYPERLINK("https://www.spark-marketing.ru/Card/Lot/71726105",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40" s="22" t="s">
        <v>137</v>
      </c>
      <c r="H14940" s="22" t="s">
        <v>138</v>
      </c>
      <c r="I14940" s="26">
        <v>43643.4243055556</v>
      </c>
      <c r="J14940" s="23" t="str">
        <f t="shared" si="507"/>
        <v>ООО "ТВЕРСКОЙ КОМБИНАТ ШКОЛЬНОГО ПИТАНИЯ"</v>
      </c>
      <c r="K14940" s="24" t="s">
        <v>16891</v>
      </c>
      <c r="L14940" s="22" t="s">
        <v>10</v>
      </c>
      <c r="M14940" s="28" t="s">
        <v>51</v>
      </c>
      <c r="N14940" s="27">
        <v>0</v>
      </c>
    </row>
    <row r="14941" spans="1:14" x14ac:dyDescent="0.2">
      <c r="A14941" s="23" t="s">
        <v>114</v>
      </c>
      <c r="B14941" s="28" t="s">
        <v>51</v>
      </c>
      <c r="C14941" s="25">
        <v>17155692</v>
      </c>
      <c r="D14941" s="22" t="s">
        <v>19776</v>
      </c>
      <c r="E14941" s="22" t="s">
        <v>48</v>
      </c>
      <c r="F14941" s="23" t="str">
        <f>HYPERLINK("https://www.spark-marketing.ru/Card/Lot/71736516",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41" s="22" t="s">
        <v>51</v>
      </c>
      <c r="H14941" s="22" t="s">
        <v>51</v>
      </c>
      <c r="I14941" s="26">
        <v>43643.425694444399</v>
      </c>
      <c r="J14941" s="23" t="str">
        <f t="shared" si="507"/>
        <v>ООО "ТВЕРСКОЙ КОМБИНАТ ШКОЛЬНОГО ПИТАНИЯ"</v>
      </c>
      <c r="K14941" s="24" t="s">
        <v>16891</v>
      </c>
      <c r="L14941" s="22" t="s">
        <v>10</v>
      </c>
      <c r="M14941" s="25">
        <v>17155692</v>
      </c>
      <c r="N14941" s="27">
        <v>0</v>
      </c>
    </row>
    <row r="14942" spans="1:14" hidden="1" outlineLevel="1" x14ac:dyDescent="0.2">
      <c r="A14942" s="23" t="str">
        <f>HYPERLINK("https://www.spark-marketing.ru/Card/Person/87854", "МБДОУ ДЕТСКИЙ САД № 155")</f>
        <v>МБДОУ ДЕТСКИЙ САД № 155</v>
      </c>
      <c r="B14942" s="24" t="s">
        <v>19777</v>
      </c>
      <c r="C14942" s="25">
        <v>6171816</v>
      </c>
      <c r="D14942" s="22" t="s">
        <v>19776</v>
      </c>
      <c r="E14942" s="22" t="s">
        <v>48</v>
      </c>
      <c r="F14942" s="23" t="str">
        <f>HYPERLINK("https://www.spark-marketing.ru/Card/Lot/71736516",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42" s="22" t="s">
        <v>137</v>
      </c>
      <c r="H14942" s="22" t="s">
        <v>138</v>
      </c>
      <c r="I14942" s="26">
        <v>43643.425694444399</v>
      </c>
      <c r="J14942" s="23" t="str">
        <f t="shared" si="507"/>
        <v>ООО "ТВЕРСКОЙ КОМБИНАТ ШКОЛЬНОГО ПИТАНИЯ"</v>
      </c>
      <c r="K14942" s="24" t="s">
        <v>16891</v>
      </c>
      <c r="L14942" s="22" t="s">
        <v>10</v>
      </c>
      <c r="M14942" s="28" t="s">
        <v>51</v>
      </c>
      <c r="N14942" s="27">
        <v>0</v>
      </c>
    </row>
    <row r="14943" spans="1:14" hidden="1" outlineLevel="1" x14ac:dyDescent="0.2">
      <c r="A14943" s="23" t="str">
        <f>HYPERLINK("https://www.spark-marketing.ru/Card/Person/87924", "МБДОУ ДЕТСКИЙ САД № 55")</f>
        <v>МБДОУ ДЕТСКИЙ САД № 55</v>
      </c>
      <c r="B14943" s="24" t="s">
        <v>19778</v>
      </c>
      <c r="C14943" s="25">
        <v>4264402</v>
      </c>
      <c r="D14943" s="22" t="s">
        <v>19776</v>
      </c>
      <c r="E14943" s="22" t="s">
        <v>48</v>
      </c>
      <c r="F14943" s="23" t="str">
        <f>HYPERLINK("https://www.spark-marketing.ru/Card/Lot/71736516",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43" s="22" t="s">
        <v>137</v>
      </c>
      <c r="H14943" s="22" t="s">
        <v>138</v>
      </c>
      <c r="I14943" s="26">
        <v>43643.425694444399</v>
      </c>
      <c r="J14943" s="23" t="str">
        <f t="shared" si="507"/>
        <v>ООО "ТВЕРСКОЙ КОМБИНАТ ШКОЛЬНОГО ПИТАНИЯ"</v>
      </c>
      <c r="K14943" s="24" t="s">
        <v>16891</v>
      </c>
      <c r="L14943" s="22" t="s">
        <v>10</v>
      </c>
      <c r="M14943" s="28" t="s">
        <v>51</v>
      </c>
      <c r="N14943" s="27">
        <v>0</v>
      </c>
    </row>
    <row r="14944" spans="1:14" hidden="1" outlineLevel="1" x14ac:dyDescent="0.2">
      <c r="A14944" s="23" t="str">
        <f>HYPERLINK("https://www.spark-marketing.ru/Card/Person/88097", "МБДОУ ДЕТСКИЙ САД № 65")</f>
        <v>МБДОУ ДЕТСКИЙ САД № 65</v>
      </c>
      <c r="B14944" s="24" t="s">
        <v>19779</v>
      </c>
      <c r="C14944" s="25">
        <v>6719474</v>
      </c>
      <c r="D14944" s="22" t="s">
        <v>19776</v>
      </c>
      <c r="E14944" s="22" t="s">
        <v>48</v>
      </c>
      <c r="F14944" s="23" t="str">
        <f>HYPERLINK("https://www.spark-marketing.ru/Card/Lot/71736516",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44" s="22" t="s">
        <v>137</v>
      </c>
      <c r="H14944" s="22" t="s">
        <v>138</v>
      </c>
      <c r="I14944" s="26">
        <v>43643.425694444399</v>
      </c>
      <c r="J14944" s="23" t="str">
        <f t="shared" si="507"/>
        <v>ООО "ТВЕРСКОЙ КОМБИНАТ ШКОЛЬНОГО ПИТАНИЯ"</v>
      </c>
      <c r="K14944" s="24" t="s">
        <v>16891</v>
      </c>
      <c r="L14944" s="22" t="s">
        <v>10</v>
      </c>
      <c r="M14944" s="28" t="s">
        <v>51</v>
      </c>
      <c r="N14944" s="27">
        <v>0</v>
      </c>
    </row>
    <row r="14945" spans="1:14" x14ac:dyDescent="0.15">
      <c r="A14945" s="23" t="str">
        <f t="shared" ref="A14945:A14951" si="508">HYPERLINK("https://www.spark-marketing.ru/Card/Person/28039", "СПБ ГБУЗ ""ГОРОДСКАЯ ПОЛИКЛИНИКА № 107""")</f>
        <v>СПБ ГБУЗ "ГОРОДСКАЯ ПОЛИКЛИНИКА № 107"</v>
      </c>
      <c r="B14945" s="24" t="s">
        <v>19780</v>
      </c>
      <c r="C14945" s="25">
        <v>64093.39</v>
      </c>
      <c r="D14945" s="22" t="s">
        <v>19781</v>
      </c>
      <c r="E14945" s="22" t="s">
        <v>1862</v>
      </c>
      <c r="F14945" s="23" t="str">
        <f t="shared" ref="F14945:F14951" si="509">HYPERLINK("https://www.spark-marketing.ru/Card/Lot/71728535", "Оказание услуг по утилизации компьютерной и оргтехники для Санкт-Петербургского государственного бюджетного учреждения здравоохранения ""Городская поликлиника № 107"" для нужд Санкт-Петербурга в 2019 году")</f>
        <v>Оказание услуг по утилизации компьютерной и оргтехники для Санкт-Петербургского государственного бюджетного учреждения здравоохранения "Городская поликлиника № 107" для нужд Санкт-Петербурга в 2019 году</v>
      </c>
      <c r="G14945" s="22" t="s">
        <v>117</v>
      </c>
      <c r="H14945" s="22" t="s">
        <v>117</v>
      </c>
      <c r="I14945" s="26">
        <v>43643.447916666701</v>
      </c>
      <c r="J14945" s="28" t="s">
        <v>51</v>
      </c>
      <c r="K14945" s="28" t="s">
        <v>51</v>
      </c>
      <c r="L14945" s="28" t="s">
        <v>51</v>
      </c>
      <c r="M14945" s="28" t="s">
        <v>51</v>
      </c>
      <c r="N14945" s="28" t="s">
        <v>51</v>
      </c>
    </row>
    <row r="14946" spans="1:14" hidden="1" outlineLevel="1" x14ac:dyDescent="0.2">
      <c r="A14946" s="23" t="str">
        <f t="shared" si="508"/>
        <v>СПБ ГБУЗ "ГОРОДСКАЯ ПОЛИКЛИНИКА № 107"</v>
      </c>
      <c r="B14946" s="24" t="s">
        <v>19780</v>
      </c>
      <c r="C14946" s="25">
        <v>64093.39</v>
      </c>
      <c r="D14946" s="22" t="s">
        <v>19781</v>
      </c>
      <c r="E14946" s="22" t="s">
        <v>1862</v>
      </c>
      <c r="F14946" s="23" t="str">
        <f t="shared" si="509"/>
        <v>Оказание услуг по утилизации компьютерной и оргтехники для Санкт-Петербургского государственного бюджетного учреждения здравоохранения "Городская поликлиника № 107" для нужд Санкт-Петербурга в 2019 году</v>
      </c>
      <c r="G14946" s="22" t="s">
        <v>117</v>
      </c>
      <c r="H14946" s="22" t="s">
        <v>117</v>
      </c>
      <c r="I14946" s="26">
        <v>43643.447916666701</v>
      </c>
      <c r="J14946" s="23" t="str">
        <f>HYPERLINK("https://www.spark-marketing.ru/Card/Person/761407", "ООО ""ЭКОСПЕЦСЕРВИС""")</f>
        <v>ООО "ЭКОСПЕЦСЕРВИС"</v>
      </c>
      <c r="K14946" s="24" t="s">
        <v>19782</v>
      </c>
      <c r="L14946" s="28" t="s">
        <v>51</v>
      </c>
      <c r="M14946" s="25">
        <v>18587.04</v>
      </c>
      <c r="N14946" s="27">
        <v>0.71000067245623921</v>
      </c>
    </row>
    <row r="14947" spans="1:14" hidden="1" outlineLevel="1" x14ac:dyDescent="0.2">
      <c r="A14947" s="23" t="str">
        <f t="shared" si="508"/>
        <v>СПБ ГБУЗ "ГОРОДСКАЯ ПОЛИКЛИНИКА № 107"</v>
      </c>
      <c r="B14947" s="24" t="s">
        <v>19780</v>
      </c>
      <c r="C14947" s="25">
        <v>64093.39</v>
      </c>
      <c r="D14947" s="22" t="s">
        <v>19781</v>
      </c>
      <c r="E14947" s="22" t="s">
        <v>1862</v>
      </c>
      <c r="F14947" s="23" t="str">
        <f t="shared" si="509"/>
        <v>Оказание услуг по утилизации компьютерной и оргтехники для Санкт-Петербургского государственного бюджетного учреждения здравоохранения "Городская поликлиника № 107" для нужд Санкт-Петербурга в 2019 году</v>
      </c>
      <c r="G14947" s="22" t="s">
        <v>117</v>
      </c>
      <c r="H14947" s="22" t="s">
        <v>117</v>
      </c>
      <c r="I14947" s="26">
        <v>43643.447916666701</v>
      </c>
      <c r="J14947" s="23" t="str">
        <f>HYPERLINK("https://www.spark-marketing.ru/Card/Person/278046", "ООО ""ЭКОПРОФ""")</f>
        <v>ООО "ЭКОПРОФ"</v>
      </c>
      <c r="K14947" s="24" t="s">
        <v>12792</v>
      </c>
      <c r="L14947" s="28" t="s">
        <v>51</v>
      </c>
      <c r="M14947" s="25">
        <v>63772.92</v>
      </c>
      <c r="N14947" s="27">
        <v>5.0000475868104341E-3</v>
      </c>
    </row>
    <row r="14948" spans="1:14" hidden="1" outlineLevel="1" x14ac:dyDescent="0.2">
      <c r="A14948" s="23" t="str">
        <f t="shared" si="508"/>
        <v>СПБ ГБУЗ "ГОРОДСКАЯ ПОЛИКЛИНИКА № 107"</v>
      </c>
      <c r="B14948" s="24" t="s">
        <v>19780</v>
      </c>
      <c r="C14948" s="25">
        <v>64093.39</v>
      </c>
      <c r="D14948" s="22" t="s">
        <v>19781</v>
      </c>
      <c r="E14948" s="22" t="s">
        <v>1862</v>
      </c>
      <c r="F14948" s="23" t="str">
        <f t="shared" si="509"/>
        <v>Оказание услуг по утилизации компьютерной и оргтехники для Санкт-Петербургского государственного бюджетного учреждения здравоохранения "Городская поликлиника № 107" для нужд Санкт-Петербурга в 2019 году</v>
      </c>
      <c r="G14948" s="22" t="s">
        <v>117</v>
      </c>
      <c r="H14948" s="22" t="s">
        <v>117</v>
      </c>
      <c r="I14948" s="26">
        <v>43643.447916666701</v>
      </c>
      <c r="J14948" s="23" t="str">
        <f>HYPERLINK("https://www.spark-marketing.ru/Card/Person/1598085", "ООО ЦИР ""СОФТ- АВ""")</f>
        <v>ООО ЦИР "СОФТ- АВ"</v>
      </c>
      <c r="K14948" s="24" t="s">
        <v>19783</v>
      </c>
      <c r="L14948" s="28" t="s">
        <v>51</v>
      </c>
      <c r="M14948" s="25">
        <v>13000</v>
      </c>
      <c r="N14948" s="27">
        <v>0.79717097192081743</v>
      </c>
    </row>
    <row r="14949" spans="1:14" hidden="1" outlineLevel="1" x14ac:dyDescent="0.2">
      <c r="A14949" s="23" t="str">
        <f t="shared" si="508"/>
        <v>СПБ ГБУЗ "ГОРОДСКАЯ ПОЛИКЛИНИКА № 107"</v>
      </c>
      <c r="B14949" s="24" t="s">
        <v>19780</v>
      </c>
      <c r="C14949" s="25">
        <v>64093.39</v>
      </c>
      <c r="D14949" s="22" t="s">
        <v>19781</v>
      </c>
      <c r="E14949" s="22" t="s">
        <v>1862</v>
      </c>
      <c r="F14949" s="23" t="str">
        <f t="shared" si="509"/>
        <v>Оказание услуг по утилизации компьютерной и оргтехники для Санкт-Петербургского государственного бюджетного учреждения здравоохранения "Городская поликлиника № 107" для нужд Санкт-Петербурга в 2019 году</v>
      </c>
      <c r="G14949" s="22" t="s">
        <v>117</v>
      </c>
      <c r="H14949" s="22" t="s">
        <v>117</v>
      </c>
      <c r="I14949" s="26">
        <v>43643.447916666701</v>
      </c>
      <c r="J14949" s="23" t="str">
        <f>HYPERLINK("https://www.spark-marketing.ru/Card/Person/6296731", "ООО ""МЕТАЛЛИНВЕСТ""")</f>
        <v>ООО "МЕТАЛЛИНВЕСТ"</v>
      </c>
      <c r="K14949" s="24" t="s">
        <v>11250</v>
      </c>
      <c r="L14949" s="28" t="s">
        <v>51</v>
      </c>
      <c r="M14949" s="25">
        <v>15038.59</v>
      </c>
      <c r="N14949" s="27">
        <v>0.76536441589374504</v>
      </c>
    </row>
    <row r="14950" spans="1:14" hidden="1" outlineLevel="1" x14ac:dyDescent="0.2">
      <c r="A14950" s="23" t="str">
        <f t="shared" si="508"/>
        <v>СПБ ГБУЗ "ГОРОДСКАЯ ПОЛИКЛИНИКА № 107"</v>
      </c>
      <c r="B14950" s="24" t="s">
        <v>19780</v>
      </c>
      <c r="C14950" s="25">
        <v>64093.39</v>
      </c>
      <c r="D14950" s="22" t="s">
        <v>19781</v>
      </c>
      <c r="E14950" s="22" t="s">
        <v>1862</v>
      </c>
      <c r="F14950" s="23" t="str">
        <f t="shared" si="509"/>
        <v>Оказание услуг по утилизации компьютерной и оргтехники для Санкт-Петербургского государственного бюджетного учреждения здравоохранения "Городская поликлиника № 107" для нужд Санкт-Петербурга в 2019 году</v>
      </c>
      <c r="G14950" s="22" t="s">
        <v>117</v>
      </c>
      <c r="H14950" s="22" t="s">
        <v>117</v>
      </c>
      <c r="I14950" s="26">
        <v>43643.447916666701</v>
      </c>
      <c r="J14950" s="23" t="str">
        <f>HYPERLINK("https://www.spark-marketing.ru/Card/Person/707428", "ООО НТО ""ЦЕНТР УТИЛИЗАЦИИ ОРГТЕХНИКИ И ОБОРУДОВАНИЯ""")</f>
        <v>ООО НТО "ЦЕНТР УТИЛИЗАЦИИ ОРГТЕХНИКИ И ОБОРУДОВАНИЯ"</v>
      </c>
      <c r="K14950" s="24" t="s">
        <v>19784</v>
      </c>
      <c r="L14950" s="28" t="s">
        <v>51</v>
      </c>
      <c r="M14950" s="25">
        <v>15359.06</v>
      </c>
      <c r="N14950" s="27">
        <v>0.76036436830693466</v>
      </c>
    </row>
    <row r="14951" spans="1:14" ht="12.75" hidden="1" outlineLevel="1" x14ac:dyDescent="0.2">
      <c r="A14951" s="23" t="str">
        <f t="shared" si="508"/>
        <v>СПБ ГБУЗ "ГОРОДСКАЯ ПОЛИКЛИНИКА № 107"</v>
      </c>
      <c r="B14951" s="24" t="s">
        <v>19780</v>
      </c>
      <c r="C14951" s="25">
        <v>64093.39</v>
      </c>
      <c r="D14951" s="22" t="s">
        <v>19781</v>
      </c>
      <c r="E14951" s="22" t="s">
        <v>1862</v>
      </c>
      <c r="F14951" s="23" t="str">
        <f t="shared" si="509"/>
        <v>Оказание услуг по утилизации компьютерной и оргтехники для Санкт-Петербургского государственного бюджетного учреждения здравоохранения "Городская поликлиника № 107" для нужд Санкт-Петербурга в 2019 году</v>
      </c>
      <c r="G14951" s="22" t="s">
        <v>117</v>
      </c>
      <c r="H14951" s="22" t="s">
        <v>117</v>
      </c>
      <c r="I14951" s="26">
        <v>43643.447916666701</v>
      </c>
      <c r="J14951" s="23" t="str">
        <f>HYPERLINK("https://www.spark-marketing.ru/Card/Person/4719465", "ООО ""ПК ""ЭКОВТОР""")</f>
        <v>ООО "ПК "ЭКОВТОР"</v>
      </c>
      <c r="K14951" s="24" t="s">
        <v>2465</v>
      </c>
      <c r="L14951" s="22" t="s">
        <v>10</v>
      </c>
      <c r="M14951" s="25">
        <v>12679.53</v>
      </c>
      <c r="N14951" s="27">
        <v>0.80217101950762781</v>
      </c>
    </row>
    <row r="14952" spans="1:14" ht="12.75" x14ac:dyDescent="0.2">
      <c r="A14952" s="23" t="str">
        <f>HYPERLINK("https://www.spark-marketing.ru/Card/Person/137794", "ГБУ АО ""ЦВКП""")</f>
        <v>ГБУ АО "ЦВКП"</v>
      </c>
      <c r="B14952" s="24" t="s">
        <v>2199</v>
      </c>
      <c r="C14952" s="25">
        <v>320000</v>
      </c>
      <c r="D14952" s="22" t="s">
        <v>19785</v>
      </c>
      <c r="E14952" s="22" t="s">
        <v>1632</v>
      </c>
      <c r="F14952" s="23" t="str">
        <f>HYPERLINK("https://www.spark-marketing.ru/Card/Lot/71723859", "Оказание услуг по обеспечению питанием и проживанием участников профильных детских казачьих смен (3 смена)")</f>
        <v>Оказание услуг по обеспечению питанием и проживанием участников профильных детских казачьих смен (3 смена)</v>
      </c>
      <c r="G14952" s="22" t="s">
        <v>141</v>
      </c>
      <c r="H14952" s="22" t="s">
        <v>2201</v>
      </c>
      <c r="I14952" s="26">
        <v>43643.432638888902</v>
      </c>
      <c r="J14952" s="23" t="str">
        <f>HYPERLINK("https://www.spark-marketing.ru/Card/Person/276402", "ООО СОЛКД ""АСТРАХАНСКИЕ ЗОРИ""")</f>
        <v>ООО СОЛКД "АСТРАХАНСКИЕ ЗОРИ"</v>
      </c>
      <c r="K14952" s="24" t="s">
        <v>19786</v>
      </c>
      <c r="L14952" s="22" t="s">
        <v>10</v>
      </c>
      <c r="M14952" s="25">
        <v>320000</v>
      </c>
      <c r="N14952" s="27">
        <v>0</v>
      </c>
    </row>
    <row r="14953" spans="1:14" x14ac:dyDescent="0.2">
      <c r="A14953" s="23" t="s">
        <v>114</v>
      </c>
      <c r="B14953" s="28" t="s">
        <v>51</v>
      </c>
      <c r="C14953" s="25">
        <v>5316184</v>
      </c>
      <c r="D14953" s="22" t="s">
        <v>19787</v>
      </c>
      <c r="E14953" s="22" t="s">
        <v>48</v>
      </c>
      <c r="F14953" s="23" t="str">
        <f>HYPERLINK("https://www.spark-marketing.ru/Card/Lot/71726244",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53" s="22" t="s">
        <v>51</v>
      </c>
      <c r="H14953" s="22" t="s">
        <v>51</v>
      </c>
      <c r="I14953" s="26">
        <v>43643.425000000003</v>
      </c>
      <c r="J14953" s="23" t="str">
        <f>HYPERLINK("https://www.spark-marketing.ru/Card/Person/76228", "ООО ""ЛИМАН""")</f>
        <v>ООО "ЛИМАН"</v>
      </c>
      <c r="K14953" s="24" t="s">
        <v>16890</v>
      </c>
      <c r="L14953" s="22" t="s">
        <v>10</v>
      </c>
      <c r="M14953" s="25">
        <v>5316000</v>
      </c>
      <c r="N14953" s="27">
        <v>3.4611292611391929E-5</v>
      </c>
    </row>
    <row r="14954" spans="1:14" hidden="1" outlineLevel="1" x14ac:dyDescent="0.2">
      <c r="A14954" s="23" t="str">
        <f>HYPERLINK("https://www.spark-marketing.ru/Card/Person/2495", "МБДОУ ДЕТСКИЙ САД № 135")</f>
        <v>МБДОУ ДЕТСКИЙ САД № 135</v>
      </c>
      <c r="B14954" s="24" t="s">
        <v>19788</v>
      </c>
      <c r="C14954" s="25">
        <v>2351460</v>
      </c>
      <c r="D14954" s="22" t="s">
        <v>19787</v>
      </c>
      <c r="E14954" s="22" t="s">
        <v>48</v>
      </c>
      <c r="F14954" s="23" t="str">
        <f>HYPERLINK("https://www.spark-marketing.ru/Card/Lot/71726244",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54" s="22" t="s">
        <v>137</v>
      </c>
      <c r="H14954" s="22" t="s">
        <v>138</v>
      </c>
      <c r="I14954" s="26">
        <v>43643.425000000003</v>
      </c>
      <c r="J14954" s="23" t="str">
        <f>HYPERLINK("https://www.spark-marketing.ru/Card/Person/76228", "ООО ""ЛИМАН""")</f>
        <v>ООО "ЛИМАН"</v>
      </c>
      <c r="K14954" s="24" t="s">
        <v>16890</v>
      </c>
      <c r="L14954" s="22" t="s">
        <v>10</v>
      </c>
      <c r="M14954" s="28" t="s">
        <v>51</v>
      </c>
      <c r="N14954" s="27">
        <v>3.4611292611391929E-5</v>
      </c>
    </row>
    <row r="14955" spans="1:14" hidden="1" outlineLevel="1" x14ac:dyDescent="0.2">
      <c r="A14955" s="23" t="str">
        <f>HYPERLINK("https://www.spark-marketing.ru/Card/Person/79441", "МБДОУ ДЕТСКИЙ САД № 48")</f>
        <v>МБДОУ ДЕТСКИЙ САД № 48</v>
      </c>
      <c r="B14955" s="24" t="s">
        <v>19789</v>
      </c>
      <c r="C14955" s="25">
        <v>1203196</v>
      </c>
      <c r="D14955" s="22" t="s">
        <v>19787</v>
      </c>
      <c r="E14955" s="22" t="s">
        <v>48</v>
      </c>
      <c r="F14955" s="23" t="str">
        <f>HYPERLINK("https://www.spark-marketing.ru/Card/Lot/71726244",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55" s="22" t="s">
        <v>137</v>
      </c>
      <c r="H14955" s="22" t="s">
        <v>138</v>
      </c>
      <c r="I14955" s="26">
        <v>43643.425000000003</v>
      </c>
      <c r="J14955" s="23" t="str">
        <f>HYPERLINK("https://www.spark-marketing.ru/Card/Person/76228", "ООО ""ЛИМАН""")</f>
        <v>ООО "ЛИМАН"</v>
      </c>
      <c r="K14955" s="24" t="s">
        <v>16890</v>
      </c>
      <c r="L14955" s="22" t="s">
        <v>10</v>
      </c>
      <c r="M14955" s="28" t="s">
        <v>51</v>
      </c>
      <c r="N14955" s="27">
        <v>3.4611292611391929E-5</v>
      </c>
    </row>
    <row r="14956" spans="1:14" hidden="1" outlineLevel="1" x14ac:dyDescent="0.2">
      <c r="A14956" s="23" t="str">
        <f>HYPERLINK("https://www.spark-marketing.ru/Card/Person/88784", "МБДОУ ДЕТСКИЙ САД № 8")</f>
        <v>МБДОУ ДЕТСКИЙ САД № 8</v>
      </c>
      <c r="B14956" s="24" t="s">
        <v>19790</v>
      </c>
      <c r="C14956" s="25">
        <v>1116495</v>
      </c>
      <c r="D14956" s="22" t="s">
        <v>19787</v>
      </c>
      <c r="E14956" s="22" t="s">
        <v>48</v>
      </c>
      <c r="F14956" s="23" t="str">
        <f>HYPERLINK("https://www.spark-marketing.ru/Card/Lot/71726244",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56" s="22" t="s">
        <v>137</v>
      </c>
      <c r="H14956" s="22" t="s">
        <v>138</v>
      </c>
      <c r="I14956" s="26">
        <v>43643.425000000003</v>
      </c>
      <c r="J14956" s="23" t="str">
        <f>HYPERLINK("https://www.spark-marketing.ru/Card/Person/76228", "ООО ""ЛИМАН""")</f>
        <v>ООО "ЛИМАН"</v>
      </c>
      <c r="K14956" s="24" t="s">
        <v>16890</v>
      </c>
      <c r="L14956" s="22" t="s">
        <v>10</v>
      </c>
      <c r="M14956" s="28" t="s">
        <v>51</v>
      </c>
      <c r="N14956" s="27">
        <v>3.4611292611391929E-5</v>
      </c>
    </row>
    <row r="14957" spans="1:14" hidden="1" outlineLevel="1" x14ac:dyDescent="0.2">
      <c r="A14957" s="23" t="str">
        <f>HYPERLINK("https://www.spark-marketing.ru/Card/Person/92673", "МБДОУ ДЕТСКИЙ САД № 63")</f>
        <v>МБДОУ ДЕТСКИЙ САД № 63</v>
      </c>
      <c r="B14957" s="24" t="s">
        <v>19791</v>
      </c>
      <c r="C14957" s="25">
        <v>645033</v>
      </c>
      <c r="D14957" s="22" t="s">
        <v>19787</v>
      </c>
      <c r="E14957" s="22" t="s">
        <v>48</v>
      </c>
      <c r="F14957" s="23" t="str">
        <f>HYPERLINK("https://www.spark-marketing.ru/Card/Lot/71726244",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4957" s="22" t="s">
        <v>137</v>
      </c>
      <c r="H14957" s="22" t="s">
        <v>138</v>
      </c>
      <c r="I14957" s="26">
        <v>43643.425000000003</v>
      </c>
      <c r="J14957" s="23" t="str">
        <f>HYPERLINK("https://www.spark-marketing.ru/Card/Person/76228", "ООО ""ЛИМАН""")</f>
        <v>ООО "ЛИМАН"</v>
      </c>
      <c r="K14957" s="24" t="s">
        <v>16890</v>
      </c>
      <c r="L14957" s="22" t="s">
        <v>10</v>
      </c>
      <c r="M14957" s="28" t="s">
        <v>51</v>
      </c>
      <c r="N14957" s="27">
        <v>3.4611292611391929E-5</v>
      </c>
    </row>
    <row r="14958" spans="1:14" x14ac:dyDescent="0.15">
      <c r="A14958" s="23" t="str">
        <f>HYPERLINK("https://www.spark-marketing.ru/Card/Person/947002", "ОМВД РОССИИ ПО Г.АРТЕМУ")</f>
        <v>ОМВД РОССИИ ПО Г.АРТЕМУ</v>
      </c>
      <c r="B14958" s="24" t="s">
        <v>5663</v>
      </c>
      <c r="C14958" s="25">
        <v>2978545.04</v>
      </c>
      <c r="D14958" s="22" t="s">
        <v>19792</v>
      </c>
      <c r="E14958" s="22" t="s">
        <v>48</v>
      </c>
      <c r="F14958" s="23" t="str">
        <f>HYPERLINK("https://www.spark-marketing.ru/Card/Lot/71715312", "услуги по организации горячего питания лиц, содержащихся в ЦВСИГ ОМВД России по г.Артему")</f>
        <v>услуги по организации горячего питания лиц, содержащихся в ЦВСИГ ОМВД России по г.Артему</v>
      </c>
      <c r="G14958" s="22" t="s">
        <v>543</v>
      </c>
      <c r="H14958" s="22" t="s">
        <v>5665</v>
      </c>
      <c r="I14958" s="26">
        <v>43643.436111111099</v>
      </c>
      <c r="J14958" s="23" t="str">
        <f>HYPERLINK("https://www.spark-marketing.ru/Card/Person/472786", "Дарявин Андрей Алексеевич")</f>
        <v>Дарявин Андрей Алексеевич</v>
      </c>
      <c r="K14958" s="24" t="s">
        <v>19793</v>
      </c>
      <c r="L14958" s="22" t="s">
        <v>10</v>
      </c>
      <c r="M14958" s="28" t="s">
        <v>51</v>
      </c>
      <c r="N14958" s="28" t="s">
        <v>51</v>
      </c>
    </row>
    <row r="14959" spans="1:14" x14ac:dyDescent="0.2">
      <c r="A14959" s="23" t="s">
        <v>114</v>
      </c>
      <c r="B14959" s="28" t="s">
        <v>51</v>
      </c>
      <c r="C14959" s="25">
        <v>7064940</v>
      </c>
      <c r="D14959" s="22" t="s">
        <v>19794</v>
      </c>
      <c r="E14959" s="22" t="s">
        <v>48</v>
      </c>
      <c r="F14959" s="23" t="str">
        <f t="shared" ref="F14959:F14964" si="510">HYPERLINK("https://www.spark-marketing.ru/Card/Lot/71726370", "Оказание услуг по организации горячего питания")</f>
        <v>Оказание услуг по организации горячего питания</v>
      </c>
      <c r="G14959" s="22" t="s">
        <v>51</v>
      </c>
      <c r="H14959" s="22" t="s">
        <v>51</v>
      </c>
      <c r="I14959" s="26">
        <v>43643.425000000003</v>
      </c>
      <c r="J14959" s="23" t="str">
        <f t="shared" ref="J14959:J14964" si="511">HYPERLINK("https://www.spark-marketing.ru/Card/Person/33643", "ООО ""ТВЕРСКОЙ КОМБИНАТ ШКОЛЬНОГО ПИТАНИЯ""")</f>
        <v>ООО "ТВЕРСКОЙ КОМБИНАТ ШКОЛЬНОГО ПИТАНИЯ"</v>
      </c>
      <c r="K14959" s="24" t="s">
        <v>16891</v>
      </c>
      <c r="L14959" s="22" t="s">
        <v>10</v>
      </c>
      <c r="M14959" s="25">
        <v>7064940</v>
      </c>
      <c r="N14959" s="27">
        <v>0</v>
      </c>
    </row>
    <row r="14960" spans="1:14" hidden="1" outlineLevel="1" x14ac:dyDescent="0.2">
      <c r="A14960" s="23" t="str">
        <f>HYPERLINK("https://www.spark-marketing.ru/Card/Person/73855", "МОУ СОШ №15")</f>
        <v>МОУ СОШ №15</v>
      </c>
      <c r="B14960" s="24" t="s">
        <v>19795</v>
      </c>
      <c r="C14960" s="25">
        <v>1379340</v>
      </c>
      <c r="D14960" s="22" t="s">
        <v>19794</v>
      </c>
      <c r="E14960" s="22" t="s">
        <v>48</v>
      </c>
      <c r="F14960" s="23" t="str">
        <f t="shared" si="510"/>
        <v>Оказание услуг по организации горячего питания</v>
      </c>
      <c r="G14960" s="22" t="s">
        <v>137</v>
      </c>
      <c r="H14960" s="22" t="s">
        <v>138</v>
      </c>
      <c r="I14960" s="26">
        <v>43643.425000000003</v>
      </c>
      <c r="J14960" s="23" t="str">
        <f t="shared" si="511"/>
        <v>ООО "ТВЕРСКОЙ КОМБИНАТ ШКОЛЬНОГО ПИТАНИЯ"</v>
      </c>
      <c r="K14960" s="24" t="s">
        <v>16891</v>
      </c>
      <c r="L14960" s="22" t="s">
        <v>10</v>
      </c>
      <c r="M14960" s="28" t="s">
        <v>51</v>
      </c>
      <c r="N14960" s="27">
        <v>0</v>
      </c>
    </row>
    <row r="14961" spans="1:14" hidden="1" outlineLevel="1" x14ac:dyDescent="0.2">
      <c r="A14961" s="23" t="str">
        <f>HYPERLINK("https://www.spark-marketing.ru/Card/Person/81716", "МОУ СОШ № 40")</f>
        <v>МОУ СОШ № 40</v>
      </c>
      <c r="B14961" s="24" t="s">
        <v>19796</v>
      </c>
      <c r="C14961" s="25">
        <v>1493070</v>
      </c>
      <c r="D14961" s="22" t="s">
        <v>19794</v>
      </c>
      <c r="E14961" s="22" t="s">
        <v>48</v>
      </c>
      <c r="F14961" s="23" t="str">
        <f t="shared" si="510"/>
        <v>Оказание услуг по организации горячего питания</v>
      </c>
      <c r="G14961" s="22" t="s">
        <v>137</v>
      </c>
      <c r="H14961" s="22" t="s">
        <v>138</v>
      </c>
      <c r="I14961" s="26">
        <v>43643.425000000003</v>
      </c>
      <c r="J14961" s="23" t="str">
        <f t="shared" si="511"/>
        <v>ООО "ТВЕРСКОЙ КОМБИНАТ ШКОЛЬНОГО ПИТАНИЯ"</v>
      </c>
      <c r="K14961" s="24" t="s">
        <v>16891</v>
      </c>
      <c r="L14961" s="22" t="s">
        <v>10</v>
      </c>
      <c r="M14961" s="28" t="s">
        <v>51</v>
      </c>
      <c r="N14961" s="27">
        <v>0</v>
      </c>
    </row>
    <row r="14962" spans="1:14" hidden="1" outlineLevel="1" x14ac:dyDescent="0.2">
      <c r="A14962" s="23" t="str">
        <f>HYPERLINK("https://www.spark-marketing.ru/Card/Person/105540", "ГИМНАЗИЯ №8")</f>
        <v>ГИМНАЗИЯ №8</v>
      </c>
      <c r="B14962" s="24" t="s">
        <v>19797</v>
      </c>
      <c r="C14962" s="25">
        <v>1085460</v>
      </c>
      <c r="D14962" s="22" t="s">
        <v>19794</v>
      </c>
      <c r="E14962" s="22" t="s">
        <v>48</v>
      </c>
      <c r="F14962" s="23" t="str">
        <f t="shared" si="510"/>
        <v>Оказание услуг по организации горячего питания</v>
      </c>
      <c r="G14962" s="22" t="s">
        <v>137</v>
      </c>
      <c r="H14962" s="22" t="s">
        <v>138</v>
      </c>
      <c r="I14962" s="26">
        <v>43643.425000000003</v>
      </c>
      <c r="J14962" s="23" t="str">
        <f t="shared" si="511"/>
        <v>ООО "ТВЕРСКОЙ КОМБИНАТ ШКОЛЬНОГО ПИТАНИЯ"</v>
      </c>
      <c r="K14962" s="24" t="s">
        <v>16891</v>
      </c>
      <c r="L14962" s="22" t="s">
        <v>10</v>
      </c>
      <c r="M14962" s="28" t="s">
        <v>51</v>
      </c>
      <c r="N14962" s="27">
        <v>0</v>
      </c>
    </row>
    <row r="14963" spans="1:14" hidden="1" outlineLevel="1" x14ac:dyDescent="0.2">
      <c r="A14963" s="23" t="str">
        <f>HYPERLINK("https://www.spark-marketing.ru/Card/Person/146600", "МОУ СОШ № 50")</f>
        <v>МОУ СОШ № 50</v>
      </c>
      <c r="B14963" s="24" t="s">
        <v>19798</v>
      </c>
      <c r="C14963" s="25">
        <v>1777500</v>
      </c>
      <c r="D14963" s="22" t="s">
        <v>19794</v>
      </c>
      <c r="E14963" s="22" t="s">
        <v>48</v>
      </c>
      <c r="F14963" s="23" t="str">
        <f t="shared" si="510"/>
        <v>Оказание услуг по организации горячего питания</v>
      </c>
      <c r="G14963" s="22" t="s">
        <v>137</v>
      </c>
      <c r="H14963" s="22" t="s">
        <v>138</v>
      </c>
      <c r="I14963" s="26">
        <v>43643.425000000003</v>
      </c>
      <c r="J14963" s="23" t="str">
        <f t="shared" si="511"/>
        <v>ООО "ТВЕРСКОЙ КОМБИНАТ ШКОЛЬНОГО ПИТАНИЯ"</v>
      </c>
      <c r="K14963" s="24" t="s">
        <v>16891</v>
      </c>
      <c r="L14963" s="22" t="s">
        <v>10</v>
      </c>
      <c r="M14963" s="28" t="s">
        <v>51</v>
      </c>
      <c r="N14963" s="27">
        <v>0</v>
      </c>
    </row>
    <row r="14964" spans="1:14" hidden="1" outlineLevel="1" x14ac:dyDescent="0.2">
      <c r="A14964" s="23" t="str">
        <f>HYPERLINK("https://www.spark-marketing.ru/Card/Person/999525", "МОУ СОШ №7")</f>
        <v>МОУ СОШ №7</v>
      </c>
      <c r="B14964" s="24" t="s">
        <v>19799</v>
      </c>
      <c r="C14964" s="25">
        <v>1329570</v>
      </c>
      <c r="D14964" s="22" t="s">
        <v>19794</v>
      </c>
      <c r="E14964" s="22" t="s">
        <v>48</v>
      </c>
      <c r="F14964" s="23" t="str">
        <f t="shared" si="510"/>
        <v>Оказание услуг по организации горячего питания</v>
      </c>
      <c r="G14964" s="22" t="s">
        <v>137</v>
      </c>
      <c r="H14964" s="22" t="s">
        <v>138</v>
      </c>
      <c r="I14964" s="26">
        <v>43643.425000000003</v>
      </c>
      <c r="J14964" s="23" t="str">
        <f t="shared" si="511"/>
        <v>ООО "ТВЕРСКОЙ КОМБИНАТ ШКОЛЬНОГО ПИТАНИЯ"</v>
      </c>
      <c r="K14964" s="24" t="s">
        <v>16891</v>
      </c>
      <c r="L14964" s="22" t="s">
        <v>10</v>
      </c>
      <c r="M14964" s="28" t="s">
        <v>51</v>
      </c>
      <c r="N14964" s="27">
        <v>0</v>
      </c>
    </row>
    <row r="14965" spans="1:14" x14ac:dyDescent="0.15">
      <c r="A14965" s="23" t="str">
        <f>HYPERLINK("https://www.spark-marketing.ru/Card/Person/4453825", "ООО ""НЗМП""")</f>
        <v>ООО "НЗМП"</v>
      </c>
      <c r="B14965" s="24" t="s">
        <v>17758</v>
      </c>
      <c r="C14965" s="28" t="s">
        <v>51</v>
      </c>
      <c r="D14965" s="22" t="s">
        <v>19800</v>
      </c>
      <c r="E14965" s="22" t="s">
        <v>17760</v>
      </c>
      <c r="F14965" s="23" t="str">
        <f>HYPERLINK("https://www.spark-marketing.ru/Card/Lot/71722516", "Услуги по организации питания и раздаче молока для работников ООО «НЗМП» в 2020-2022гг.")</f>
        <v>Услуги по организации питания и раздаче молока для работников ООО «НЗМП» в 2020-2022гг.</v>
      </c>
      <c r="G14965" s="22" t="s">
        <v>128</v>
      </c>
      <c r="H14965" s="22" t="s">
        <v>15996</v>
      </c>
      <c r="I14965" s="26">
        <v>43643.386805555601</v>
      </c>
      <c r="J14965" s="28" t="s">
        <v>51</v>
      </c>
      <c r="K14965" s="28" t="s">
        <v>51</v>
      </c>
      <c r="L14965" s="28" t="s">
        <v>51</v>
      </c>
      <c r="M14965" s="28" t="s">
        <v>51</v>
      </c>
      <c r="N14965" s="28" t="s">
        <v>51</v>
      </c>
    </row>
    <row r="14966" spans="1:14" x14ac:dyDescent="0.15">
      <c r="A14966" s="23" t="s">
        <v>114</v>
      </c>
      <c r="B14966" s="28" t="s">
        <v>51</v>
      </c>
      <c r="C14966" s="25">
        <v>179683582.5</v>
      </c>
      <c r="D14966" s="22" t="s">
        <v>19801</v>
      </c>
      <c r="E14966" s="22" t="s">
        <v>48</v>
      </c>
      <c r="F14966" s="23" t="str">
        <f t="shared" ref="F14966:F14994" si="512">HYPERLINK("https://www.spark-marketing.ru/Card/Lot/71737634", "Оказание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под...")</f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66" s="22" t="s">
        <v>51</v>
      </c>
      <c r="H14966" s="22" t="s">
        <v>51</v>
      </c>
      <c r="I14966" s="26">
        <v>43643.4152777778</v>
      </c>
      <c r="J14966" s="28" t="s">
        <v>51</v>
      </c>
      <c r="K14966" s="28" t="s">
        <v>51</v>
      </c>
      <c r="L14966" s="28" t="s">
        <v>51</v>
      </c>
      <c r="M14966" s="28" t="s">
        <v>51</v>
      </c>
      <c r="N14966" s="28" t="s">
        <v>51</v>
      </c>
    </row>
    <row r="14967" spans="1:14" hidden="1" outlineLevel="1" x14ac:dyDescent="0.15">
      <c r="A14967" s="23" t="str">
        <f>HYPERLINK("https://www.spark-marketing.ru/Card/Person/13858", "ГБОУ ШКОЛА № 552 ПУШКИНСКОГО РАЙОНА САНКТ-ПЕТЕРБУРГА")</f>
        <v>ГБОУ ШКОЛА № 552 ПУШКИНСКОГО РАЙОНА САНКТ-ПЕТЕРБУРГА</v>
      </c>
      <c r="B14967" s="24" t="s">
        <v>19802</v>
      </c>
      <c r="C14967" s="25">
        <v>6505390</v>
      </c>
      <c r="D14967" s="22" t="s">
        <v>19801</v>
      </c>
      <c r="E14967" s="22" t="s">
        <v>48</v>
      </c>
      <c r="F14967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67" s="22" t="s">
        <v>117</v>
      </c>
      <c r="H14967" s="22" t="s">
        <v>117</v>
      </c>
      <c r="I14967" s="26">
        <v>43643.4152777778</v>
      </c>
      <c r="J14967" s="28" t="s">
        <v>51</v>
      </c>
      <c r="K14967" s="28" t="s">
        <v>51</v>
      </c>
      <c r="L14967" s="28" t="s">
        <v>51</v>
      </c>
      <c r="M14967" s="28" t="s">
        <v>51</v>
      </c>
      <c r="N14967" s="28" t="s">
        <v>51</v>
      </c>
    </row>
    <row r="14968" spans="1:14" hidden="1" outlineLevel="1" x14ac:dyDescent="0.15">
      <c r="A14968" s="23" t="str">
        <f>HYPERLINK("https://www.spark-marketing.ru/Card/Person/14189", "ГБОУ ШКОЛА № 695 ""РАДУГА"" ПУШКИНСКОГО РАЙОНА САНКТ-ПЕТЕРБУРГА")</f>
        <v>ГБОУ ШКОЛА № 695 "РАДУГА" ПУШКИНСКОГО РАЙОНА САНКТ-ПЕТЕРБУРГА</v>
      </c>
      <c r="B14968" s="24" t="s">
        <v>19803</v>
      </c>
      <c r="C14968" s="25">
        <v>5398635.5999999996</v>
      </c>
      <c r="D14968" s="22" t="s">
        <v>19801</v>
      </c>
      <c r="E14968" s="22" t="s">
        <v>48</v>
      </c>
      <c r="F14968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68" s="22" t="s">
        <v>117</v>
      </c>
      <c r="H14968" s="22" t="s">
        <v>117</v>
      </c>
      <c r="I14968" s="26">
        <v>43643.4152777778</v>
      </c>
      <c r="J14968" s="28" t="s">
        <v>51</v>
      </c>
      <c r="K14968" s="28" t="s">
        <v>51</v>
      </c>
      <c r="L14968" s="28" t="s">
        <v>51</v>
      </c>
      <c r="M14968" s="28" t="s">
        <v>51</v>
      </c>
      <c r="N14968" s="28" t="s">
        <v>51</v>
      </c>
    </row>
    <row r="14969" spans="1:14" hidden="1" outlineLevel="1" x14ac:dyDescent="0.15">
      <c r="A14969" s="23" t="str">
        <f>HYPERLINK("https://www.spark-marketing.ru/Card/Person/19094", "ГБОУ ШКОЛА № 335 ПУШКИНСКОГО РАЙОНА САНКТ-ПЕТЕРБУРГА")</f>
        <v>ГБОУ ШКОЛА № 335 ПУШКИНСКОГО РАЙОНА САНКТ-ПЕТЕРБУРГА</v>
      </c>
      <c r="B14969" s="24" t="s">
        <v>19804</v>
      </c>
      <c r="C14969" s="25">
        <v>7963019.2999999998</v>
      </c>
      <c r="D14969" s="22" t="s">
        <v>19801</v>
      </c>
      <c r="E14969" s="22" t="s">
        <v>48</v>
      </c>
      <c r="F14969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69" s="22" t="s">
        <v>117</v>
      </c>
      <c r="H14969" s="22" t="s">
        <v>117</v>
      </c>
      <c r="I14969" s="26">
        <v>43643.4152777778</v>
      </c>
      <c r="J14969" s="28" t="s">
        <v>51</v>
      </c>
      <c r="K14969" s="28" t="s">
        <v>51</v>
      </c>
      <c r="L14969" s="28" t="s">
        <v>51</v>
      </c>
      <c r="M14969" s="28" t="s">
        <v>51</v>
      </c>
      <c r="N14969" s="28" t="s">
        <v>51</v>
      </c>
    </row>
    <row r="14970" spans="1:14" hidden="1" outlineLevel="1" x14ac:dyDescent="0.15">
      <c r="A14970" s="23" t="str">
        <f>HYPERLINK("https://www.spark-marketing.ru/Card/Person/34363", "ГБОУ ЛИЦЕЙ № 410 ПУШКИНСКОГО РАЙОНА САНКТ-ПЕТЕРБУРГА")</f>
        <v>ГБОУ ЛИЦЕЙ № 410 ПУШКИНСКОГО РАЙОНА САНКТ-ПЕТЕРБУРГА</v>
      </c>
      <c r="B14970" s="24" t="s">
        <v>19805</v>
      </c>
      <c r="C14970" s="25">
        <v>9174131.5999999996</v>
      </c>
      <c r="D14970" s="22" t="s">
        <v>19801</v>
      </c>
      <c r="E14970" s="22" t="s">
        <v>48</v>
      </c>
      <c r="F14970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70" s="22" t="s">
        <v>117</v>
      </c>
      <c r="H14970" s="22" t="s">
        <v>117</v>
      </c>
      <c r="I14970" s="26">
        <v>43643.4152777778</v>
      </c>
      <c r="J14970" s="28" t="s">
        <v>51</v>
      </c>
      <c r="K14970" s="28" t="s">
        <v>51</v>
      </c>
      <c r="L14970" s="28" t="s">
        <v>51</v>
      </c>
      <c r="M14970" s="28" t="s">
        <v>51</v>
      </c>
      <c r="N14970" s="28" t="s">
        <v>51</v>
      </c>
    </row>
    <row r="14971" spans="1:14" hidden="1" outlineLevel="1" x14ac:dyDescent="0.15">
      <c r="A14971" s="23" t="str">
        <f>HYPERLINK("https://www.spark-marketing.ru/Card/Person/44831", "ГБОУ ШКОЛА № 500 ПУШКИНСКОГО РАЙОНА САНКТ-ПЕТЕРБУРГА")</f>
        <v>ГБОУ ШКОЛА № 500 ПУШКИНСКОГО РАЙОНА САНКТ-ПЕТЕРБУРГА</v>
      </c>
      <c r="B14971" s="24" t="s">
        <v>19806</v>
      </c>
      <c r="C14971" s="25">
        <v>7992612.9000000004</v>
      </c>
      <c r="D14971" s="22" t="s">
        <v>19801</v>
      </c>
      <c r="E14971" s="22" t="s">
        <v>48</v>
      </c>
      <c r="F14971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71" s="22" t="s">
        <v>117</v>
      </c>
      <c r="H14971" s="22" t="s">
        <v>117</v>
      </c>
      <c r="I14971" s="26">
        <v>43643.4152777778</v>
      </c>
      <c r="J14971" s="28" t="s">
        <v>51</v>
      </c>
      <c r="K14971" s="28" t="s">
        <v>51</v>
      </c>
      <c r="L14971" s="28" t="s">
        <v>51</v>
      </c>
      <c r="M14971" s="28" t="s">
        <v>51</v>
      </c>
      <c r="N14971" s="28" t="s">
        <v>51</v>
      </c>
    </row>
    <row r="14972" spans="1:14" hidden="1" outlineLevel="1" x14ac:dyDescent="0.15">
      <c r="A14972" s="23" t="str">
        <f>HYPERLINK("https://www.spark-marketing.ru/Card/Person/44974", "ГБОУ СРЕДНЯЯ ШКОЛА № 511 ПУШКИНСКОГО РАЙОНА САНКТ-ПЕТЕРБУРГА")</f>
        <v>ГБОУ СРЕДНЯЯ ШКОЛА № 511 ПУШКИНСКОГО РАЙОНА САНКТ-ПЕТЕРБУРГА</v>
      </c>
      <c r="B14972" s="24" t="s">
        <v>19807</v>
      </c>
      <c r="C14972" s="25">
        <v>14468756.1</v>
      </c>
      <c r="D14972" s="22" t="s">
        <v>19801</v>
      </c>
      <c r="E14972" s="22" t="s">
        <v>48</v>
      </c>
      <c r="F14972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72" s="22" t="s">
        <v>117</v>
      </c>
      <c r="H14972" s="22" t="s">
        <v>117</v>
      </c>
      <c r="I14972" s="26">
        <v>43643.4152777778</v>
      </c>
      <c r="J14972" s="28" t="s">
        <v>51</v>
      </c>
      <c r="K14972" s="28" t="s">
        <v>51</v>
      </c>
      <c r="L14972" s="28" t="s">
        <v>51</v>
      </c>
      <c r="M14972" s="28" t="s">
        <v>51</v>
      </c>
      <c r="N14972" s="28" t="s">
        <v>51</v>
      </c>
    </row>
    <row r="14973" spans="1:14" hidden="1" outlineLevel="1" x14ac:dyDescent="0.15">
      <c r="A14973" s="23" t="str">
        <f>HYPERLINK("https://www.spark-marketing.ru/Card/Person/46397", "ГБОУ ШКОЛА № 297 ПУШКИНСКОГО РАЙОНА")</f>
        <v>ГБОУ ШКОЛА № 297 ПУШКИНСКОГО РАЙОНА</v>
      </c>
      <c r="B14973" s="24" t="s">
        <v>19808</v>
      </c>
      <c r="C14973" s="25">
        <v>9167426.8000000007</v>
      </c>
      <c r="D14973" s="22" t="s">
        <v>19801</v>
      </c>
      <c r="E14973" s="22" t="s">
        <v>48</v>
      </c>
      <c r="F14973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73" s="22" t="s">
        <v>117</v>
      </c>
      <c r="H14973" s="22" t="s">
        <v>117</v>
      </c>
      <c r="I14973" s="26">
        <v>43643.4152777778</v>
      </c>
      <c r="J14973" s="28" t="s">
        <v>51</v>
      </c>
      <c r="K14973" s="28" t="s">
        <v>51</v>
      </c>
      <c r="L14973" s="28" t="s">
        <v>51</v>
      </c>
      <c r="M14973" s="28" t="s">
        <v>51</v>
      </c>
      <c r="N14973" s="28" t="s">
        <v>51</v>
      </c>
    </row>
    <row r="14974" spans="1:14" hidden="1" outlineLevel="1" x14ac:dyDescent="0.15">
      <c r="A14974" s="23" t="str">
        <f>HYPERLINK("https://www.spark-marketing.ru/Card/Person/49841", "ГБОУ ШКОЛА № 638 ПУШКИНСКОГО РАЙОНА САНКТ-ПЕТЕРБУРГА")</f>
        <v>ГБОУ ШКОЛА № 638 ПУШКИНСКОГО РАЙОНА САНКТ-ПЕТЕРБУРГА</v>
      </c>
      <c r="B14974" s="24" t="s">
        <v>19809</v>
      </c>
      <c r="C14974" s="25">
        <v>4793007.2</v>
      </c>
      <c r="D14974" s="22" t="s">
        <v>19801</v>
      </c>
      <c r="E14974" s="22" t="s">
        <v>48</v>
      </c>
      <c r="F14974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74" s="22" t="s">
        <v>117</v>
      </c>
      <c r="H14974" s="22" t="s">
        <v>117</v>
      </c>
      <c r="I14974" s="26">
        <v>43643.4152777778</v>
      </c>
      <c r="J14974" s="28" t="s">
        <v>51</v>
      </c>
      <c r="K14974" s="28" t="s">
        <v>51</v>
      </c>
      <c r="L14974" s="28" t="s">
        <v>51</v>
      </c>
      <c r="M14974" s="28" t="s">
        <v>51</v>
      </c>
      <c r="N14974" s="28" t="s">
        <v>51</v>
      </c>
    </row>
    <row r="14975" spans="1:14" hidden="1" outlineLevel="1" x14ac:dyDescent="0.15">
      <c r="A14975" s="23" t="str">
        <f>HYPERLINK("https://www.spark-marketing.ru/Card/Person/50669", "ГБОУ ШКОЛА № 464 ПУШКИНСКОГО РАЙОНА САНКТ-ПЕТЕРБУРГА")</f>
        <v>ГБОУ ШКОЛА № 464 ПУШКИНСКОГО РАЙОНА САНКТ-ПЕТЕРБУРГА</v>
      </c>
      <c r="B14975" s="24" t="s">
        <v>19810</v>
      </c>
      <c r="C14975" s="25">
        <v>7666823.2000000002</v>
      </c>
      <c r="D14975" s="22" t="s">
        <v>19801</v>
      </c>
      <c r="E14975" s="22" t="s">
        <v>48</v>
      </c>
      <c r="F14975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75" s="22" t="s">
        <v>117</v>
      </c>
      <c r="H14975" s="22" t="s">
        <v>117</v>
      </c>
      <c r="I14975" s="26">
        <v>43643.4152777778</v>
      </c>
      <c r="J14975" s="28" t="s">
        <v>51</v>
      </c>
      <c r="K14975" s="28" t="s">
        <v>51</v>
      </c>
      <c r="L14975" s="28" t="s">
        <v>51</v>
      </c>
      <c r="M14975" s="28" t="s">
        <v>51</v>
      </c>
      <c r="N14975" s="28" t="s">
        <v>51</v>
      </c>
    </row>
    <row r="14976" spans="1:14" hidden="1" outlineLevel="1" x14ac:dyDescent="0.15">
      <c r="A14976" s="23" t="str">
        <f>HYPERLINK("https://www.spark-marketing.ru/Card/Person/51336", "ГБОУ ШКОЛА № 606 ПУШКИНСКОГО РАЙОНА САНКТ-ПЕТЕРБУРГА")</f>
        <v>ГБОУ ШКОЛА № 606 ПУШКИНСКОГО РАЙОНА САНКТ-ПЕТЕРБУРГА</v>
      </c>
      <c r="B14976" s="24" t="s">
        <v>19811</v>
      </c>
      <c r="C14976" s="25">
        <v>5959064.4000000004</v>
      </c>
      <c r="D14976" s="22" t="s">
        <v>19801</v>
      </c>
      <c r="E14976" s="22" t="s">
        <v>48</v>
      </c>
      <c r="F14976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76" s="22" t="s">
        <v>117</v>
      </c>
      <c r="H14976" s="22" t="s">
        <v>117</v>
      </c>
      <c r="I14976" s="26">
        <v>43643.4152777778</v>
      </c>
      <c r="J14976" s="28" t="s">
        <v>51</v>
      </c>
      <c r="K14976" s="28" t="s">
        <v>51</v>
      </c>
      <c r="L14976" s="28" t="s">
        <v>51</v>
      </c>
      <c r="M14976" s="28" t="s">
        <v>51</v>
      </c>
      <c r="N14976" s="28" t="s">
        <v>51</v>
      </c>
    </row>
    <row r="14977" spans="1:14" hidden="1" outlineLevel="1" x14ac:dyDescent="0.15">
      <c r="A14977" s="23" t="str">
        <f>HYPERLINK("https://www.spark-marketing.ru/Card/Person/52649", "ГБОУ ШКОЛА № 449 ПУШКИНСКОГО РАЙОНА САНКТ-ПЕТЕРБУРГА")</f>
        <v>ГБОУ ШКОЛА № 449 ПУШКИНСКОГО РАЙОНА САНКТ-ПЕТЕРБУРГА</v>
      </c>
      <c r="B14977" s="24" t="s">
        <v>19812</v>
      </c>
      <c r="C14977" s="25">
        <v>3172237.4</v>
      </c>
      <c r="D14977" s="22" t="s">
        <v>19801</v>
      </c>
      <c r="E14977" s="22" t="s">
        <v>48</v>
      </c>
      <c r="F14977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77" s="22" t="s">
        <v>117</v>
      </c>
      <c r="H14977" s="22" t="s">
        <v>117</v>
      </c>
      <c r="I14977" s="26">
        <v>43643.4152777778</v>
      </c>
      <c r="J14977" s="28" t="s">
        <v>51</v>
      </c>
      <c r="K14977" s="28" t="s">
        <v>51</v>
      </c>
      <c r="L14977" s="28" t="s">
        <v>51</v>
      </c>
      <c r="M14977" s="28" t="s">
        <v>51</v>
      </c>
      <c r="N14977" s="28" t="s">
        <v>51</v>
      </c>
    </row>
    <row r="14978" spans="1:14" hidden="1" outlineLevel="1" x14ac:dyDescent="0.15">
      <c r="A14978" s="23" t="str">
        <f>HYPERLINK("https://www.spark-marketing.ru/Card/Person/52875", "ГБОУ ШКОЛА № 459 ПУШКИНСКОГО РАЙОНА САНКТ-ПЕТЕРБУРГА")</f>
        <v>ГБОУ ШКОЛА № 459 ПУШКИНСКОГО РАЙОНА САНКТ-ПЕТЕРБУРГА</v>
      </c>
      <c r="B14978" s="24" t="s">
        <v>19813</v>
      </c>
      <c r="C14978" s="25">
        <v>7718438.5999999996</v>
      </c>
      <c r="D14978" s="22" t="s">
        <v>19801</v>
      </c>
      <c r="E14978" s="22" t="s">
        <v>48</v>
      </c>
      <c r="F14978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78" s="22" t="s">
        <v>117</v>
      </c>
      <c r="H14978" s="22" t="s">
        <v>117</v>
      </c>
      <c r="I14978" s="26">
        <v>43643.4152777778</v>
      </c>
      <c r="J14978" s="28" t="s">
        <v>51</v>
      </c>
      <c r="K14978" s="28" t="s">
        <v>51</v>
      </c>
      <c r="L14978" s="28" t="s">
        <v>51</v>
      </c>
      <c r="M14978" s="28" t="s">
        <v>51</v>
      </c>
      <c r="N14978" s="28" t="s">
        <v>51</v>
      </c>
    </row>
    <row r="14979" spans="1:14" hidden="1" outlineLevel="1" x14ac:dyDescent="0.15">
      <c r="A14979" s="23" t="str">
        <f>HYPERLINK("https://www.spark-marketing.ru/Card/Person/59537", "ГБОУ ГИМНАЗИЯ № 406 ПУШКИНСКОГО РАЙОНА САНКТ-ПЕТЕРБУРГА")</f>
        <v>ГБОУ ГИМНАЗИЯ № 406 ПУШКИНСКОГО РАЙОНА САНКТ-ПЕТЕРБУРГА</v>
      </c>
      <c r="B14979" s="24" t="s">
        <v>19630</v>
      </c>
      <c r="C14979" s="25">
        <v>5064638.3</v>
      </c>
      <c r="D14979" s="22" t="s">
        <v>19801</v>
      </c>
      <c r="E14979" s="22" t="s">
        <v>48</v>
      </c>
      <c r="F14979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79" s="22" t="s">
        <v>117</v>
      </c>
      <c r="H14979" s="22" t="s">
        <v>117</v>
      </c>
      <c r="I14979" s="26">
        <v>43643.4152777778</v>
      </c>
      <c r="J14979" s="28" t="s">
        <v>51</v>
      </c>
      <c r="K14979" s="28" t="s">
        <v>51</v>
      </c>
      <c r="L14979" s="28" t="s">
        <v>51</v>
      </c>
      <c r="M14979" s="28" t="s">
        <v>51</v>
      </c>
      <c r="N14979" s="28" t="s">
        <v>51</v>
      </c>
    </row>
    <row r="14980" spans="1:14" hidden="1" outlineLevel="1" x14ac:dyDescent="0.15">
      <c r="A14980" s="23" t="str">
        <f>HYPERLINK("https://www.spark-marketing.ru/Card/Person/64906", "ГБОУ КАДЕТСКАЯ ШКОЛА САНКТ-ПЕТЕРБУРГА")</f>
        <v>ГБОУ КАДЕТСКАЯ ШКОЛА САНКТ-ПЕТЕРБУРГА</v>
      </c>
      <c r="B14980" s="24" t="s">
        <v>19814</v>
      </c>
      <c r="C14980" s="25">
        <v>11660167.4</v>
      </c>
      <c r="D14980" s="22" t="s">
        <v>19801</v>
      </c>
      <c r="E14980" s="22" t="s">
        <v>48</v>
      </c>
      <c r="F14980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80" s="22" t="s">
        <v>117</v>
      </c>
      <c r="H14980" s="22" t="s">
        <v>117</v>
      </c>
      <c r="I14980" s="26">
        <v>43643.4152777778</v>
      </c>
      <c r="J14980" s="28" t="s">
        <v>51</v>
      </c>
      <c r="K14980" s="28" t="s">
        <v>51</v>
      </c>
      <c r="L14980" s="28" t="s">
        <v>51</v>
      </c>
      <c r="M14980" s="28" t="s">
        <v>51</v>
      </c>
      <c r="N14980" s="28" t="s">
        <v>51</v>
      </c>
    </row>
    <row r="14981" spans="1:14" hidden="1" outlineLevel="1" x14ac:dyDescent="0.15">
      <c r="A14981" s="23" t="str">
        <f>HYPERLINK("https://www.spark-marketing.ru/Card/Person/68083", "ГБОУ ШКОЛА № 409 ПУШКИНСКОГО РАЙОНА САНКТ-ПЕТЕРБУРГА")</f>
        <v>ГБОУ ШКОЛА № 409 ПУШКИНСКОГО РАЙОНА САНКТ-ПЕТЕРБУРГА</v>
      </c>
      <c r="B14981" s="24" t="s">
        <v>19815</v>
      </c>
      <c r="C14981" s="25">
        <v>4917248.3</v>
      </c>
      <c r="D14981" s="22" t="s">
        <v>19801</v>
      </c>
      <c r="E14981" s="22" t="s">
        <v>48</v>
      </c>
      <c r="F14981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81" s="22" t="s">
        <v>117</v>
      </c>
      <c r="H14981" s="22" t="s">
        <v>117</v>
      </c>
      <c r="I14981" s="26">
        <v>43643.4152777778</v>
      </c>
      <c r="J14981" s="28" t="s">
        <v>51</v>
      </c>
      <c r="K14981" s="28" t="s">
        <v>51</v>
      </c>
      <c r="L14981" s="28" t="s">
        <v>51</v>
      </c>
      <c r="M14981" s="28" t="s">
        <v>51</v>
      </c>
      <c r="N14981" s="28" t="s">
        <v>51</v>
      </c>
    </row>
    <row r="14982" spans="1:14" hidden="1" outlineLevel="1" x14ac:dyDescent="0.15">
      <c r="A14982" s="23" t="str">
        <f>HYPERLINK("https://www.spark-marketing.ru/Card/Person/89383", "ГБОУ ООШ № 460 ПУШКИНСКОГО РАЙОНА САНКТ-ПЕТЕРБУРГА")</f>
        <v>ГБОУ ООШ № 460 ПУШКИНСКОГО РАЙОНА САНКТ-ПЕТЕРБУРГА</v>
      </c>
      <c r="B14982" s="24" t="s">
        <v>19816</v>
      </c>
      <c r="C14982" s="25">
        <v>6637000.5999999996</v>
      </c>
      <c r="D14982" s="22" t="s">
        <v>19801</v>
      </c>
      <c r="E14982" s="22" t="s">
        <v>48</v>
      </c>
      <c r="F14982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82" s="22" t="s">
        <v>117</v>
      </c>
      <c r="H14982" s="22" t="s">
        <v>117</v>
      </c>
      <c r="I14982" s="26">
        <v>43643.4152777778</v>
      </c>
      <c r="J14982" s="28" t="s">
        <v>51</v>
      </c>
      <c r="K14982" s="28" t="s">
        <v>51</v>
      </c>
      <c r="L14982" s="28" t="s">
        <v>51</v>
      </c>
      <c r="M14982" s="28" t="s">
        <v>51</v>
      </c>
      <c r="N14982" s="28" t="s">
        <v>51</v>
      </c>
    </row>
    <row r="14983" spans="1:14" hidden="1" outlineLevel="1" x14ac:dyDescent="0.15">
      <c r="A14983" s="23" t="str">
        <f>HYPERLINK("https://www.spark-marketing.ru/Card/Person/90897", "ГБОУ ШКОЛА № 607")</f>
        <v>ГБОУ ШКОЛА № 607</v>
      </c>
      <c r="B14983" s="24" t="s">
        <v>19817</v>
      </c>
      <c r="C14983" s="25">
        <v>1702672.4</v>
      </c>
      <c r="D14983" s="22" t="s">
        <v>19801</v>
      </c>
      <c r="E14983" s="22" t="s">
        <v>48</v>
      </c>
      <c r="F14983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83" s="22" t="s">
        <v>117</v>
      </c>
      <c r="H14983" s="22" t="s">
        <v>117</v>
      </c>
      <c r="I14983" s="26">
        <v>43643.4152777778</v>
      </c>
      <c r="J14983" s="28" t="s">
        <v>51</v>
      </c>
      <c r="K14983" s="28" t="s">
        <v>51</v>
      </c>
      <c r="L14983" s="28" t="s">
        <v>51</v>
      </c>
      <c r="M14983" s="28" t="s">
        <v>51</v>
      </c>
      <c r="N14983" s="28" t="s">
        <v>51</v>
      </c>
    </row>
    <row r="14984" spans="1:14" hidden="1" outlineLevel="1" x14ac:dyDescent="0.15">
      <c r="A14984" s="23" t="str">
        <f>HYPERLINK("https://www.spark-marketing.ru/Card/Person/103695", "ГБОУ ШКОЛА № 477 ПУШКИНСКОГО РАЙОНА САНКТ-ПЕТЕРБУРГА")</f>
        <v>ГБОУ ШКОЛА № 477 ПУШКИНСКОГО РАЙОНА САНКТ-ПЕТЕРБУРГА</v>
      </c>
      <c r="B14984" s="24" t="s">
        <v>19818</v>
      </c>
      <c r="C14984" s="25">
        <v>6404557.9000000004</v>
      </c>
      <c r="D14984" s="22" t="s">
        <v>19801</v>
      </c>
      <c r="E14984" s="22" t="s">
        <v>48</v>
      </c>
      <c r="F14984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84" s="22" t="s">
        <v>117</v>
      </c>
      <c r="H14984" s="22" t="s">
        <v>117</v>
      </c>
      <c r="I14984" s="26">
        <v>43643.4152777778</v>
      </c>
      <c r="J14984" s="28" t="s">
        <v>51</v>
      </c>
      <c r="K14984" s="28" t="s">
        <v>51</v>
      </c>
      <c r="L14984" s="28" t="s">
        <v>51</v>
      </c>
      <c r="M14984" s="28" t="s">
        <v>51</v>
      </c>
      <c r="N14984" s="28" t="s">
        <v>51</v>
      </c>
    </row>
    <row r="14985" spans="1:14" hidden="1" outlineLevel="1" x14ac:dyDescent="0.15">
      <c r="A14985" s="23" t="str">
        <f>HYPERLINK("https://www.spark-marketing.ru/Card/Person/114822", "ГБОУ ЛИЦЕЙ № 408 ПУШКИНСКОГО РАЙОНА САНКТ-ПЕТЕРБУРГА")</f>
        <v>ГБОУ ЛИЦЕЙ № 408 ПУШКИНСКОГО РАЙОНА САНКТ-ПЕТЕРБУРГА</v>
      </c>
      <c r="B14985" s="24" t="s">
        <v>19819</v>
      </c>
      <c r="C14985" s="25">
        <v>5324536</v>
      </c>
      <c r="D14985" s="22" t="s">
        <v>19801</v>
      </c>
      <c r="E14985" s="22" t="s">
        <v>48</v>
      </c>
      <c r="F14985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85" s="22" t="s">
        <v>117</v>
      </c>
      <c r="H14985" s="22" t="s">
        <v>117</v>
      </c>
      <c r="I14985" s="26">
        <v>43643.4152777778</v>
      </c>
      <c r="J14985" s="28" t="s">
        <v>51</v>
      </c>
      <c r="K14985" s="28" t="s">
        <v>51</v>
      </c>
      <c r="L14985" s="28" t="s">
        <v>51</v>
      </c>
      <c r="M14985" s="28" t="s">
        <v>51</v>
      </c>
      <c r="N14985" s="28" t="s">
        <v>51</v>
      </c>
    </row>
    <row r="14986" spans="1:14" hidden="1" outlineLevel="1" x14ac:dyDescent="0.15">
      <c r="A14986" s="23" t="str">
        <f>HYPERLINK("https://www.spark-marketing.ru/Card/Person/117080", "ГБОУ ШКОЛА № 645 ПУШКИНСКОГО РАЙОНА САНКТ-ПЕТЕРБУРГА")</f>
        <v>ГБОУ ШКОЛА № 645 ПУШКИНСКОГО РАЙОНА САНКТ-ПЕТЕРБУРГА</v>
      </c>
      <c r="B14986" s="24" t="s">
        <v>19820</v>
      </c>
      <c r="C14986" s="25">
        <v>13228743.800000001</v>
      </c>
      <c r="D14986" s="22" t="s">
        <v>19801</v>
      </c>
      <c r="E14986" s="22" t="s">
        <v>48</v>
      </c>
      <c r="F14986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86" s="22" t="s">
        <v>117</v>
      </c>
      <c r="H14986" s="22" t="s">
        <v>117</v>
      </c>
      <c r="I14986" s="26">
        <v>43643.4152777778</v>
      </c>
      <c r="J14986" s="28" t="s">
        <v>51</v>
      </c>
      <c r="K14986" s="28" t="s">
        <v>51</v>
      </c>
      <c r="L14986" s="28" t="s">
        <v>51</v>
      </c>
      <c r="M14986" s="28" t="s">
        <v>51</v>
      </c>
      <c r="N14986" s="28" t="s">
        <v>51</v>
      </c>
    </row>
    <row r="14987" spans="1:14" hidden="1" outlineLevel="1" x14ac:dyDescent="0.15">
      <c r="A14987" s="23" t="str">
        <f>HYPERLINK("https://www.spark-marketing.ru/Card/Person/127020", "ГБОУ ШКОЛА № 315 ПУШКИНСКОГО РАЙОНА САНКТ-ПЕТЕРБУРГА")</f>
        <v>ГБОУ ШКОЛА № 315 ПУШКИНСКОГО РАЙОНА САНКТ-ПЕТЕРБУРГА</v>
      </c>
      <c r="B14987" s="24" t="s">
        <v>19821</v>
      </c>
      <c r="C14987" s="25">
        <v>5973427.7000000002</v>
      </c>
      <c r="D14987" s="22" t="s">
        <v>19801</v>
      </c>
      <c r="E14987" s="22" t="s">
        <v>48</v>
      </c>
      <c r="F14987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87" s="22" t="s">
        <v>117</v>
      </c>
      <c r="H14987" s="22" t="s">
        <v>117</v>
      </c>
      <c r="I14987" s="26">
        <v>43643.4152777778</v>
      </c>
      <c r="J14987" s="28" t="s">
        <v>51</v>
      </c>
      <c r="K14987" s="28" t="s">
        <v>51</v>
      </c>
      <c r="L14987" s="28" t="s">
        <v>51</v>
      </c>
      <c r="M14987" s="28" t="s">
        <v>51</v>
      </c>
      <c r="N14987" s="28" t="s">
        <v>51</v>
      </c>
    </row>
    <row r="14988" spans="1:14" hidden="1" outlineLevel="1" x14ac:dyDescent="0.15">
      <c r="A14988" s="23" t="str">
        <f>HYPERLINK("https://www.spark-marketing.ru/Card/Person/129248", "ГБОУ № 604 ПУШКИНСКОГО РАЙОНА САНКТ-ПЕТЕРБУРГА")</f>
        <v>ГБОУ № 604 ПУШКИНСКОГО РАЙОНА САНКТ-ПЕТЕРБУРГА</v>
      </c>
      <c r="B14988" s="24" t="s">
        <v>19822</v>
      </c>
      <c r="C14988" s="25">
        <v>16642700.800000001</v>
      </c>
      <c r="D14988" s="22" t="s">
        <v>19801</v>
      </c>
      <c r="E14988" s="22" t="s">
        <v>48</v>
      </c>
      <c r="F14988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88" s="22" t="s">
        <v>117</v>
      </c>
      <c r="H14988" s="22" t="s">
        <v>117</v>
      </c>
      <c r="I14988" s="26">
        <v>43643.4152777778</v>
      </c>
      <c r="J14988" s="28" t="s">
        <v>51</v>
      </c>
      <c r="K14988" s="28" t="s">
        <v>51</v>
      </c>
      <c r="L14988" s="28" t="s">
        <v>51</v>
      </c>
      <c r="M14988" s="28" t="s">
        <v>51</v>
      </c>
      <c r="N14988" s="28" t="s">
        <v>51</v>
      </c>
    </row>
    <row r="14989" spans="1:14" hidden="1" outlineLevel="1" x14ac:dyDescent="0.15">
      <c r="A14989" s="23" t="str">
        <f>HYPERLINK("https://www.spark-marketing.ru/Card/Person/135193", "ГБОУ ШКОЛА № 530 ПУШКИНСКОГО РАЙОНА САНКТ-ПЕТЕРБУРГА")</f>
        <v>ГБОУ ШКОЛА № 530 ПУШКИНСКОГО РАЙОНА САНКТ-ПЕТЕРБУРГА</v>
      </c>
      <c r="B14989" s="24" t="s">
        <v>19823</v>
      </c>
      <c r="C14989" s="25">
        <v>6538133.7000000002</v>
      </c>
      <c r="D14989" s="22" t="s">
        <v>19801</v>
      </c>
      <c r="E14989" s="22" t="s">
        <v>48</v>
      </c>
      <c r="F14989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89" s="22" t="s">
        <v>117</v>
      </c>
      <c r="H14989" s="22" t="s">
        <v>117</v>
      </c>
      <c r="I14989" s="26">
        <v>43643.4152777778</v>
      </c>
      <c r="J14989" s="28" t="s">
        <v>51</v>
      </c>
      <c r="K14989" s="28" t="s">
        <v>51</v>
      </c>
      <c r="L14989" s="28" t="s">
        <v>51</v>
      </c>
      <c r="M14989" s="28" t="s">
        <v>51</v>
      </c>
      <c r="N14989" s="28" t="s">
        <v>51</v>
      </c>
    </row>
    <row r="14990" spans="1:14" hidden="1" outlineLevel="1" x14ac:dyDescent="0.15">
      <c r="A14990" s="23" t="str">
        <f>HYPERLINK("https://www.spark-marketing.ru/Card/Person/136151", "ГБОУ ШКОЛА № 403 ПУШКИНСКОГО РАЙОНА САНКТ-ПЕТЕРБУРГА")</f>
        <v>ГБОУ ШКОЛА № 403 ПУШКИНСКОГО РАЙОНА САНКТ-ПЕТЕРБУРГА</v>
      </c>
      <c r="B14990" s="24" t="s">
        <v>19824</v>
      </c>
      <c r="C14990" s="25">
        <v>3144580.1</v>
      </c>
      <c r="D14990" s="22" t="s">
        <v>19801</v>
      </c>
      <c r="E14990" s="22" t="s">
        <v>48</v>
      </c>
      <c r="F14990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90" s="22" t="s">
        <v>117</v>
      </c>
      <c r="H14990" s="22" t="s">
        <v>117</v>
      </c>
      <c r="I14990" s="26">
        <v>43643.4152777778</v>
      </c>
      <c r="J14990" s="28" t="s">
        <v>51</v>
      </c>
      <c r="K14990" s="28" t="s">
        <v>51</v>
      </c>
      <c r="L14990" s="28" t="s">
        <v>51</v>
      </c>
      <c r="M14990" s="28" t="s">
        <v>51</v>
      </c>
      <c r="N14990" s="28" t="s">
        <v>51</v>
      </c>
    </row>
    <row r="14991" spans="1:14" hidden="1" outlineLevel="1" x14ac:dyDescent="0.15">
      <c r="A14991" s="23" t="str">
        <f>HYPERLINK("https://www.spark-marketing.ru/Card/Person/1003363", "ГБОУ ШКОЛА № 462 ПУШКИНСКОГО РАЙОНА САНКТ-ПЕТЕРБУРГА")</f>
        <v>ГБОУ ШКОЛА № 462 ПУШКИНСКОГО РАЙОНА САНКТ-ПЕТЕРБУРГА</v>
      </c>
      <c r="B14991" s="24" t="s">
        <v>19825</v>
      </c>
      <c r="C14991" s="25">
        <v>2465632.4</v>
      </c>
      <c r="D14991" s="22" t="s">
        <v>19801</v>
      </c>
      <c r="E14991" s="22" t="s">
        <v>48</v>
      </c>
      <c r="F14991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91" s="22" t="s">
        <v>117</v>
      </c>
      <c r="H14991" s="22" t="s">
        <v>117</v>
      </c>
      <c r="I14991" s="26">
        <v>43643.4152777778</v>
      </c>
      <c r="J14991" s="28" t="s">
        <v>51</v>
      </c>
      <c r="K14991" s="28" t="s">
        <v>51</v>
      </c>
      <c r="L14991" s="28" t="s">
        <v>51</v>
      </c>
      <c r="M14991" s="28" t="s">
        <v>51</v>
      </c>
      <c r="N14991" s="28" t="s">
        <v>51</v>
      </c>
    </row>
    <row r="14992" spans="1:14" hidden="1" outlineLevel="1" x14ac:dyDescent="0.2">
      <c r="A14992" s="28" t="s">
        <v>51</v>
      </c>
      <c r="B14992" s="28" t="s">
        <v>51</v>
      </c>
      <c r="C14992" s="28" t="s">
        <v>51</v>
      </c>
      <c r="D14992" s="22" t="s">
        <v>19801</v>
      </c>
      <c r="E14992" s="22" t="s">
        <v>48</v>
      </c>
      <c r="F14992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92" s="22" t="s">
        <v>51</v>
      </c>
      <c r="H14992" s="22" t="s">
        <v>51</v>
      </c>
      <c r="I14992" s="26">
        <v>43643.4152777778</v>
      </c>
      <c r="J14992" s="23" t="str">
        <f>HYPERLINK("https://www.spark-marketing.ru/Card/Person/133962", "ООО ""НОВЫЙ ВЕК""")</f>
        <v>ООО "НОВЫЙ ВЕК"</v>
      </c>
      <c r="K14992" s="24" t="s">
        <v>3583</v>
      </c>
      <c r="L14992" s="22" t="s">
        <v>10</v>
      </c>
      <c r="M14992" s="25">
        <v>135670201.83000001</v>
      </c>
      <c r="N14992" s="27">
        <v>0.24494937187708843</v>
      </c>
    </row>
    <row r="14993" spans="1:14" hidden="1" outlineLevel="1" x14ac:dyDescent="0.2">
      <c r="A14993" s="28" t="s">
        <v>51</v>
      </c>
      <c r="B14993" s="28" t="s">
        <v>51</v>
      </c>
      <c r="C14993" s="28" t="s">
        <v>51</v>
      </c>
      <c r="D14993" s="22" t="s">
        <v>19801</v>
      </c>
      <c r="E14993" s="22" t="s">
        <v>48</v>
      </c>
      <c r="F14993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93" s="22" t="s">
        <v>51</v>
      </c>
      <c r="H14993" s="22" t="s">
        <v>51</v>
      </c>
      <c r="I14993" s="26">
        <v>43643.4152777778</v>
      </c>
      <c r="J14993" s="23" t="str">
        <f>HYPERLINK("https://www.spark-marketing.ru/Card/Person/5435260", "ООО ""КОМБИНАТ ПИТАНИЯ ВЕЛЕС""")</f>
        <v>ООО "КОМБИНАТ ПИТАНИЯ ВЕЛЕС"</v>
      </c>
      <c r="K14993" s="24" t="s">
        <v>15025</v>
      </c>
      <c r="L14993" s="28" t="s">
        <v>51</v>
      </c>
      <c r="M14993" s="25">
        <v>101521224.09999999</v>
      </c>
      <c r="N14993" s="27">
        <v>0.43500000006956674</v>
      </c>
    </row>
    <row r="14994" spans="1:14" hidden="1" outlineLevel="1" x14ac:dyDescent="0.2">
      <c r="A14994" s="28" t="s">
        <v>51</v>
      </c>
      <c r="B14994" s="28" t="s">
        <v>51</v>
      </c>
      <c r="C14994" s="28" t="s">
        <v>51</v>
      </c>
      <c r="D14994" s="22" t="s">
        <v>19801</v>
      </c>
      <c r="E14994" s="22" t="s">
        <v>48</v>
      </c>
      <c r="F14994" s="23" t="str">
        <f t="shared" si="512"/>
        <v>Оказание услуг по организации питания обучающихся в государственных бюджетных общеобразовательных учреждениях Пушкинского района Санкт-Петербурга в 2019-2020 учебном году, которым законодательством Санкт-Петербурга установлены дополнительные меры под...</v>
      </c>
      <c r="G14994" s="22" t="s">
        <v>51</v>
      </c>
      <c r="H14994" s="22" t="s">
        <v>51</v>
      </c>
      <c r="I14994" s="26">
        <v>43643.4152777778</v>
      </c>
      <c r="J14994" s="23" t="str">
        <f>HYPERLINK("https://www.spark-marketing.ru/Card/Person/53199", "ООО ""НУР""")</f>
        <v>ООО "НУР"</v>
      </c>
      <c r="K14994" s="24" t="s">
        <v>19632</v>
      </c>
      <c r="L14994" s="28" t="s">
        <v>51</v>
      </c>
      <c r="M14994" s="25">
        <v>161715225</v>
      </c>
      <c r="N14994" s="27">
        <v>9.999999582599596E-2</v>
      </c>
    </row>
    <row r="14995" spans="1:14" x14ac:dyDescent="0.15">
      <c r="A14995" s="23" t="str">
        <f>HYPERLINK("https://www.spark-marketing.ru/Card/Person/385714", "МБУ ДО ""ЦЕНТР ""БРИГАНТИНА""")</f>
        <v>МБУ ДО "ЦЕНТР "БРИГАНТИНА"</v>
      </c>
      <c r="B14995" s="24" t="s">
        <v>19826</v>
      </c>
      <c r="C14995" s="25">
        <v>934920</v>
      </c>
      <c r="D14995" s="22" t="s">
        <v>19827</v>
      </c>
      <c r="E14995" s="22" t="s">
        <v>48</v>
      </c>
      <c r="F14995" s="23" t="str">
        <f>HYPERLINK("https://www.spark-marketing.ru/Card/Lot/71723959", "оказание услуг по организации питания детей в МБУ ДО «Центр «Бригантина» на 4 смену 2019 года.")</f>
        <v>оказание услуг по организации питания детей в МБУ ДО «Центр «Бригантина» на 4 смену 2019 года.</v>
      </c>
      <c r="G14995" s="22" t="s">
        <v>162</v>
      </c>
      <c r="H14995" s="22" t="s">
        <v>162</v>
      </c>
      <c r="I14995" s="26">
        <v>43643.377777777801</v>
      </c>
      <c r="J14995" s="23" t="str">
        <f>HYPERLINK("https://www.spark-marketing.ru/Card/Person/4957274", "Кошевой Алексей Геннадьевич")</f>
        <v>Кошевой Алексей Геннадьевич</v>
      </c>
      <c r="K14995" s="24" t="s">
        <v>9341</v>
      </c>
      <c r="L14995" s="22" t="s">
        <v>10</v>
      </c>
      <c r="M14995" s="28" t="s">
        <v>51</v>
      </c>
      <c r="N14995" s="28" t="s">
        <v>51</v>
      </c>
    </row>
    <row r="14996" spans="1:14" x14ac:dyDescent="0.15">
      <c r="A14996" s="23" t="s">
        <v>114</v>
      </c>
      <c r="B14996" s="28" t="s">
        <v>51</v>
      </c>
      <c r="C14996" s="25">
        <v>1435944</v>
      </c>
      <c r="D14996" s="22" t="s">
        <v>19828</v>
      </c>
      <c r="E14996" s="22" t="s">
        <v>48</v>
      </c>
      <c r="F14996" s="23" t="str">
        <f>HYPERLINK("https://www.spark-marketing.ru/Card/Lot/71725660", "Оказание услуг по организации питания учащихся муниципальных общеобразовательных организаций")</f>
        <v>Оказание услуг по организации питания учащихся муниципальных общеобразовательных организаций</v>
      </c>
      <c r="G14996" s="22" t="s">
        <v>51</v>
      </c>
      <c r="H14996" s="22" t="s">
        <v>51</v>
      </c>
      <c r="I14996" s="26">
        <v>43643.401388888902</v>
      </c>
      <c r="J14996" s="23" t="str">
        <f>HYPERLINK("https://www.spark-marketing.ru/Card/Person/862752", "Безрукова Ольга Владимировна")</f>
        <v>Безрукова Ольга Владимировна</v>
      </c>
      <c r="K14996" s="24" t="s">
        <v>19829</v>
      </c>
      <c r="L14996" s="22" t="s">
        <v>10</v>
      </c>
      <c r="M14996" s="28" t="s">
        <v>51</v>
      </c>
      <c r="N14996" s="28" t="s">
        <v>51</v>
      </c>
    </row>
    <row r="14997" spans="1:14" hidden="1" outlineLevel="1" x14ac:dyDescent="0.15">
      <c r="A14997" s="23" t="str">
        <f>HYPERLINK("https://www.spark-marketing.ru/Card/Person/132106", "МБОУ ""СОШ №18""")</f>
        <v>МБОУ "СОШ №18"</v>
      </c>
      <c r="B14997" s="24" t="s">
        <v>19830</v>
      </c>
      <c r="C14997" s="25">
        <v>623784</v>
      </c>
      <c r="D14997" s="22" t="s">
        <v>19828</v>
      </c>
      <c r="E14997" s="22" t="s">
        <v>48</v>
      </c>
      <c r="F14997" s="23" t="str">
        <f>HYPERLINK("https://www.spark-marketing.ru/Card/Lot/71725660", "Оказание услуг по организации питания учащихся муниципальных общеобразовательных организаций")</f>
        <v>Оказание услуг по организации питания учащихся муниципальных общеобразовательных организаций</v>
      </c>
      <c r="G14997" s="22" t="s">
        <v>68</v>
      </c>
      <c r="H14997" s="22" t="s">
        <v>2012</v>
      </c>
      <c r="I14997" s="26">
        <v>43643.401388888902</v>
      </c>
      <c r="J14997" s="23" t="str">
        <f>HYPERLINK("https://www.spark-marketing.ru/Card/Person/862752", "Безрукова Ольга Владимировна")</f>
        <v>Безрукова Ольга Владимировна</v>
      </c>
      <c r="K14997" s="24" t="s">
        <v>19829</v>
      </c>
      <c r="L14997" s="22" t="s">
        <v>10</v>
      </c>
      <c r="M14997" s="28" t="s">
        <v>51</v>
      </c>
      <c r="N14997" s="28" t="s">
        <v>51</v>
      </c>
    </row>
    <row r="14998" spans="1:14" hidden="1" outlineLevel="1" x14ac:dyDescent="0.15">
      <c r="A14998" s="23" t="str">
        <f>HYPERLINK("https://www.spark-marketing.ru/Card/Person/1001635", "МБОУ ""ЦЕНТР ОБРАЗОВАНИЯ № 4""")</f>
        <v>МБОУ "ЦЕНТР ОБРАЗОВАНИЯ № 4"</v>
      </c>
      <c r="B14998" s="24" t="s">
        <v>19831</v>
      </c>
      <c r="C14998" s="25">
        <v>812160</v>
      </c>
      <c r="D14998" s="22" t="s">
        <v>19828</v>
      </c>
      <c r="E14998" s="22" t="s">
        <v>48</v>
      </c>
      <c r="F14998" s="23" t="str">
        <f>HYPERLINK("https://www.spark-marketing.ru/Card/Lot/71725660", "Оказание услуг по организации питания учащихся муниципальных общеобразовательных организаций")</f>
        <v>Оказание услуг по организации питания учащихся муниципальных общеобразовательных организаций</v>
      </c>
      <c r="G14998" s="22" t="s">
        <v>68</v>
      </c>
      <c r="H14998" s="22" t="s">
        <v>2012</v>
      </c>
      <c r="I14998" s="26">
        <v>43643.401388888902</v>
      </c>
      <c r="J14998" s="23" t="str">
        <f>HYPERLINK("https://www.spark-marketing.ru/Card/Person/862752", "Безрукова Ольга Владимировна")</f>
        <v>Безрукова Ольга Владимировна</v>
      </c>
      <c r="K14998" s="24" t="s">
        <v>19829</v>
      </c>
      <c r="L14998" s="22" t="s">
        <v>10</v>
      </c>
      <c r="M14998" s="28" t="s">
        <v>51</v>
      </c>
      <c r="N14998" s="28" t="s">
        <v>51</v>
      </c>
    </row>
    <row r="14999" spans="1:14" x14ac:dyDescent="0.15">
      <c r="A14999" s="23" t="str">
        <f>HYPERLINK("https://www.spark-marketing.ru/Card/Person/359790", "ОМВД РОССИИ ПО ДОБРИНСКОМУ РАЙОНУ")</f>
        <v>ОМВД РОССИИ ПО ДОБРИНСКОМУ РАЙОНУ</v>
      </c>
      <c r="B14999" s="24" t="s">
        <v>19832</v>
      </c>
      <c r="C14999" s="25">
        <v>357344.91</v>
      </c>
      <c r="D14999" s="22" t="s">
        <v>19833</v>
      </c>
      <c r="E14999" s="22" t="s">
        <v>48</v>
      </c>
      <c r="F14999" s="23" t="str">
        <f>HYPERLINK("https://www.spark-marketing.ru/Card/Lot/71723969", "услуги по обеспечению питанием")</f>
        <v>услуги по обеспечению питанием</v>
      </c>
      <c r="G14999" s="22" t="s">
        <v>101</v>
      </c>
      <c r="H14999" s="22" t="s">
        <v>1303</v>
      </c>
      <c r="I14999" s="26">
        <v>43643.386805555601</v>
      </c>
      <c r="J14999" s="23" t="str">
        <f>HYPERLINK("https://www.spark-marketing.ru/Card/Person/403490", "ООО ""ДОБРИНСКИЙ ОБЩЕПИТ""")</f>
        <v>ООО "ДОБРИНСКИЙ ОБЩЕПИТ"</v>
      </c>
      <c r="K14999" s="24" t="s">
        <v>13923</v>
      </c>
      <c r="L14999" s="22" t="s">
        <v>10</v>
      </c>
      <c r="M14999" s="28" t="s">
        <v>51</v>
      </c>
      <c r="N14999" s="28" t="s">
        <v>51</v>
      </c>
    </row>
    <row r="15000" spans="1:14" x14ac:dyDescent="0.15">
      <c r="A15000" s="23" t="str">
        <f>HYPERLINK("https://www.spark-marketing.ru/Card/Person/4348382", "ООО ""ГАЗПРОМ ПИТАНИЕ""")</f>
        <v>ООО "ГАЗПРОМ ПИТАНИЕ"</v>
      </c>
      <c r="B15000" s="24" t="s">
        <v>2869</v>
      </c>
      <c r="C15000" s="25">
        <v>66666.67</v>
      </c>
      <c r="D15000" s="22" t="s">
        <v>19834</v>
      </c>
      <c r="E15000" s="22" t="s">
        <v>52</v>
      </c>
      <c r="F15000" s="23" t="str">
        <f>HYPERLINK("https://www.spark-marketing.ru/Card/Lot/71722469", "Оказание услуг по экспресс доставке корреспонденции для нужд филиала ухтинское уооп ооо ""газпром питание""")</f>
        <v>Оказание услуг по экспресс доставке корреспонденции для нужд филиала ухтинское уооп ооо "газпром питание"</v>
      </c>
      <c r="G15000" s="22" t="s">
        <v>271</v>
      </c>
      <c r="H15000" s="22" t="s">
        <v>6958</v>
      </c>
      <c r="I15000" s="26">
        <v>43643.402083333298</v>
      </c>
      <c r="J15000" s="28" t="s">
        <v>51</v>
      </c>
      <c r="K15000" s="28" t="s">
        <v>51</v>
      </c>
      <c r="L15000" s="28" t="s">
        <v>51</v>
      </c>
      <c r="M15000" s="28" t="s">
        <v>51</v>
      </c>
      <c r="N15000" s="28" t="s">
        <v>51</v>
      </c>
    </row>
    <row r="15001" spans="1:14" x14ac:dyDescent="0.15">
      <c r="A15001" s="23" t="s">
        <v>114</v>
      </c>
      <c r="B15001" s="28" t="s">
        <v>51</v>
      </c>
      <c r="C15001" s="25">
        <v>10174531.800000001</v>
      </c>
      <c r="D15001" s="22" t="s">
        <v>19835</v>
      </c>
      <c r="E15001" s="22" t="s">
        <v>48</v>
      </c>
      <c r="F15001" s="23" t="str">
        <f t="shared" ref="F15001:F15012" si="513">HYPERLINK("https://www.spark-marketing.ru/Card/Lot/71725954", "Оказание услуг по организации питания учащихся муниципальных общеобразовательных организаций")</f>
        <v>Оказание услуг по организации питания учащихся муниципальных общеобразовательных организаций</v>
      </c>
      <c r="G15001" s="22" t="s">
        <v>51</v>
      </c>
      <c r="H15001" s="22" t="s">
        <v>51</v>
      </c>
      <c r="I15001" s="26">
        <v>43643.398611111101</v>
      </c>
      <c r="J15001" s="23" t="str">
        <f t="shared" ref="J15001:J15012" si="514">HYPERLINK("https://www.spark-marketing.ru/Card/Person/862752", "Безрукова Ольга Владимировна")</f>
        <v>Безрукова Ольга Владимировна</v>
      </c>
      <c r="K15001" s="24" t="s">
        <v>19829</v>
      </c>
      <c r="L15001" s="22" t="s">
        <v>10</v>
      </c>
      <c r="M15001" s="28" t="s">
        <v>51</v>
      </c>
      <c r="N15001" s="28" t="s">
        <v>51</v>
      </c>
    </row>
    <row r="15002" spans="1:14" hidden="1" outlineLevel="1" x14ac:dyDescent="0.15">
      <c r="A15002" s="23" t="str">
        <f>HYPERLINK("https://www.spark-marketing.ru/Card/Person/69037", "МБОУ ""ГИМНАЗИЯ №1""")</f>
        <v>МБОУ "ГИМНАЗИЯ №1"</v>
      </c>
      <c r="B15002" s="24" t="s">
        <v>19836</v>
      </c>
      <c r="C15002" s="25">
        <v>538281.6</v>
      </c>
      <c r="D15002" s="22" t="s">
        <v>19835</v>
      </c>
      <c r="E15002" s="22" t="s">
        <v>48</v>
      </c>
      <c r="F15002" s="23" t="str">
        <f t="shared" si="513"/>
        <v>Оказание услуг по организации питания учащихся муниципальных общеобразовательных организаций</v>
      </c>
      <c r="G15002" s="22" t="s">
        <v>68</v>
      </c>
      <c r="H15002" s="22" t="s">
        <v>2012</v>
      </c>
      <c r="I15002" s="26">
        <v>43643.398611111101</v>
      </c>
      <c r="J15002" s="23" t="str">
        <f t="shared" si="514"/>
        <v>Безрукова Ольга Владимировна</v>
      </c>
      <c r="K15002" s="24" t="s">
        <v>19829</v>
      </c>
      <c r="L15002" s="22" t="s">
        <v>10</v>
      </c>
      <c r="M15002" s="28" t="s">
        <v>51</v>
      </c>
      <c r="N15002" s="28" t="s">
        <v>51</v>
      </c>
    </row>
    <row r="15003" spans="1:14" hidden="1" outlineLevel="1" x14ac:dyDescent="0.15">
      <c r="A15003" s="23" t="str">
        <f>HYPERLINK("https://www.spark-marketing.ru/Card/Person/108758", "МБОУ ""ЦЕНТР ОБРАЗОВАНИЯ №23""")</f>
        <v>МБОУ "ЦЕНТР ОБРАЗОВАНИЯ №23"</v>
      </c>
      <c r="B15003" s="24" t="s">
        <v>19837</v>
      </c>
      <c r="C15003" s="25">
        <v>762528</v>
      </c>
      <c r="D15003" s="22" t="s">
        <v>19835</v>
      </c>
      <c r="E15003" s="22" t="s">
        <v>48</v>
      </c>
      <c r="F15003" s="23" t="str">
        <f t="shared" si="513"/>
        <v>Оказание услуг по организации питания учащихся муниципальных общеобразовательных организаций</v>
      </c>
      <c r="G15003" s="22" t="s">
        <v>68</v>
      </c>
      <c r="H15003" s="22" t="s">
        <v>2012</v>
      </c>
      <c r="I15003" s="26">
        <v>43643.398611111101</v>
      </c>
      <c r="J15003" s="23" t="str">
        <f t="shared" si="514"/>
        <v>Безрукова Ольга Владимировна</v>
      </c>
      <c r="K15003" s="24" t="s">
        <v>19829</v>
      </c>
      <c r="L15003" s="22" t="s">
        <v>10</v>
      </c>
      <c r="M15003" s="28" t="s">
        <v>51</v>
      </c>
      <c r="N15003" s="28" t="s">
        <v>51</v>
      </c>
    </row>
    <row r="15004" spans="1:14" hidden="1" outlineLevel="1" x14ac:dyDescent="0.15">
      <c r="A15004" s="23" t="str">
        <f>HYPERLINK("https://www.spark-marketing.ru/Card/Person/149308", "МБОУ ""СОШ № 8""")</f>
        <v>МБОУ "СОШ № 8"</v>
      </c>
      <c r="B15004" s="24" t="s">
        <v>19838</v>
      </c>
      <c r="C15004" s="25">
        <v>759679.8</v>
      </c>
      <c r="D15004" s="22" t="s">
        <v>19835</v>
      </c>
      <c r="E15004" s="22" t="s">
        <v>48</v>
      </c>
      <c r="F15004" s="23" t="str">
        <f t="shared" si="513"/>
        <v>Оказание услуг по организации питания учащихся муниципальных общеобразовательных организаций</v>
      </c>
      <c r="G15004" s="22" t="s">
        <v>68</v>
      </c>
      <c r="H15004" s="22" t="s">
        <v>2012</v>
      </c>
      <c r="I15004" s="26">
        <v>43643.398611111101</v>
      </c>
      <c r="J15004" s="23" t="str">
        <f t="shared" si="514"/>
        <v>Безрукова Ольга Владимировна</v>
      </c>
      <c r="K15004" s="24" t="s">
        <v>19829</v>
      </c>
      <c r="L15004" s="22" t="s">
        <v>10</v>
      </c>
      <c r="M15004" s="28" t="s">
        <v>51</v>
      </c>
      <c r="N15004" s="28" t="s">
        <v>51</v>
      </c>
    </row>
    <row r="15005" spans="1:14" hidden="1" outlineLevel="1" x14ac:dyDescent="0.15">
      <c r="A15005" s="23" t="str">
        <f>HYPERLINK("https://www.spark-marketing.ru/Card/Person/999572", "МБОУ ""ГИМНАЗИЯ № 13""")</f>
        <v>МБОУ "ГИМНАЗИЯ № 13"</v>
      </c>
      <c r="B15005" s="24" t="s">
        <v>19839</v>
      </c>
      <c r="C15005" s="25">
        <v>753504</v>
      </c>
      <c r="D15005" s="22" t="s">
        <v>19835</v>
      </c>
      <c r="E15005" s="22" t="s">
        <v>48</v>
      </c>
      <c r="F15005" s="23" t="str">
        <f t="shared" si="513"/>
        <v>Оказание услуг по организации питания учащихся муниципальных общеобразовательных организаций</v>
      </c>
      <c r="G15005" s="22" t="s">
        <v>68</v>
      </c>
      <c r="H15005" s="22" t="s">
        <v>2012</v>
      </c>
      <c r="I15005" s="26">
        <v>43643.398611111101</v>
      </c>
      <c r="J15005" s="23" t="str">
        <f t="shared" si="514"/>
        <v>Безрукова Ольга Владимировна</v>
      </c>
      <c r="K15005" s="24" t="s">
        <v>19829</v>
      </c>
      <c r="L15005" s="22" t="s">
        <v>10</v>
      </c>
      <c r="M15005" s="28" t="s">
        <v>51</v>
      </c>
      <c r="N15005" s="28" t="s">
        <v>51</v>
      </c>
    </row>
    <row r="15006" spans="1:14" hidden="1" outlineLevel="1" x14ac:dyDescent="0.15">
      <c r="A15006" s="23" t="str">
        <f>HYPERLINK("https://www.spark-marketing.ru/Card/Person/1002860", "МБОУ ""ЦЕНТР ОБРАЗОВАНИЯ №1""")</f>
        <v>МБОУ "ЦЕНТР ОБРАЗОВАНИЯ №1"</v>
      </c>
      <c r="B15006" s="24" t="s">
        <v>19840</v>
      </c>
      <c r="C15006" s="25">
        <v>980232</v>
      </c>
      <c r="D15006" s="22" t="s">
        <v>19835</v>
      </c>
      <c r="E15006" s="22" t="s">
        <v>48</v>
      </c>
      <c r="F15006" s="23" t="str">
        <f t="shared" si="513"/>
        <v>Оказание услуг по организации питания учащихся муниципальных общеобразовательных организаций</v>
      </c>
      <c r="G15006" s="22" t="s">
        <v>68</v>
      </c>
      <c r="H15006" s="22" t="s">
        <v>2012</v>
      </c>
      <c r="I15006" s="26">
        <v>43643.398611111101</v>
      </c>
      <c r="J15006" s="23" t="str">
        <f t="shared" si="514"/>
        <v>Безрукова Ольга Владимировна</v>
      </c>
      <c r="K15006" s="24" t="s">
        <v>19829</v>
      </c>
      <c r="L15006" s="22" t="s">
        <v>10</v>
      </c>
      <c r="M15006" s="28" t="s">
        <v>51</v>
      </c>
      <c r="N15006" s="28" t="s">
        <v>51</v>
      </c>
    </row>
    <row r="15007" spans="1:14" hidden="1" outlineLevel="1" x14ac:dyDescent="0.15">
      <c r="A15007" s="23" t="str">
        <f>HYPERLINK("https://www.spark-marketing.ru/Card/Person/1003710", "МБОУ ""СОШ № 17""")</f>
        <v>МБОУ "СОШ № 17"</v>
      </c>
      <c r="B15007" s="24" t="s">
        <v>19841</v>
      </c>
      <c r="C15007" s="25">
        <v>1232509.2</v>
      </c>
      <c r="D15007" s="22" t="s">
        <v>19835</v>
      </c>
      <c r="E15007" s="22" t="s">
        <v>48</v>
      </c>
      <c r="F15007" s="23" t="str">
        <f t="shared" si="513"/>
        <v>Оказание услуг по организации питания учащихся муниципальных общеобразовательных организаций</v>
      </c>
      <c r="G15007" s="22" t="s">
        <v>68</v>
      </c>
      <c r="H15007" s="22" t="s">
        <v>2012</v>
      </c>
      <c r="I15007" s="26">
        <v>43643.398611111101</v>
      </c>
      <c r="J15007" s="23" t="str">
        <f t="shared" si="514"/>
        <v>Безрукова Ольга Владимировна</v>
      </c>
      <c r="K15007" s="24" t="s">
        <v>19829</v>
      </c>
      <c r="L15007" s="22" t="s">
        <v>10</v>
      </c>
      <c r="M15007" s="28" t="s">
        <v>51</v>
      </c>
      <c r="N15007" s="28" t="s">
        <v>51</v>
      </c>
    </row>
    <row r="15008" spans="1:14" hidden="1" outlineLevel="1" x14ac:dyDescent="0.15">
      <c r="A15008" s="23" t="str">
        <f>HYPERLINK("https://www.spark-marketing.ru/Card/Person/1007699", "МБОУ ""СОШ № 12""")</f>
        <v>МБОУ "СОШ № 12"</v>
      </c>
      <c r="B15008" s="24" t="s">
        <v>19842</v>
      </c>
      <c r="C15008" s="25">
        <v>1229125.2</v>
      </c>
      <c r="D15008" s="22" t="s">
        <v>19835</v>
      </c>
      <c r="E15008" s="22" t="s">
        <v>48</v>
      </c>
      <c r="F15008" s="23" t="str">
        <f t="shared" si="513"/>
        <v>Оказание услуг по организации питания учащихся муниципальных общеобразовательных организаций</v>
      </c>
      <c r="G15008" s="22" t="s">
        <v>68</v>
      </c>
      <c r="H15008" s="22" t="s">
        <v>2012</v>
      </c>
      <c r="I15008" s="26">
        <v>43643.398611111101</v>
      </c>
      <c r="J15008" s="23" t="str">
        <f t="shared" si="514"/>
        <v>Безрукова Ольга Владимировна</v>
      </c>
      <c r="K15008" s="24" t="s">
        <v>19829</v>
      </c>
      <c r="L15008" s="22" t="s">
        <v>10</v>
      </c>
      <c r="M15008" s="28" t="s">
        <v>51</v>
      </c>
      <c r="N15008" s="28" t="s">
        <v>51</v>
      </c>
    </row>
    <row r="15009" spans="1:14" hidden="1" outlineLevel="1" x14ac:dyDescent="0.15">
      <c r="A15009" s="23" t="str">
        <f>HYPERLINK("https://www.spark-marketing.ru/Card/Person/1029275", "МБОУ СОШ № 20")</f>
        <v>МБОУ СОШ № 20</v>
      </c>
      <c r="B15009" s="24" t="s">
        <v>19843</v>
      </c>
      <c r="C15009" s="25">
        <v>1179042</v>
      </c>
      <c r="D15009" s="22" t="s">
        <v>19835</v>
      </c>
      <c r="E15009" s="22" t="s">
        <v>48</v>
      </c>
      <c r="F15009" s="23" t="str">
        <f t="shared" si="513"/>
        <v>Оказание услуг по организации питания учащихся муниципальных общеобразовательных организаций</v>
      </c>
      <c r="G15009" s="22" t="s">
        <v>68</v>
      </c>
      <c r="H15009" s="22" t="s">
        <v>2012</v>
      </c>
      <c r="I15009" s="26">
        <v>43643.398611111101</v>
      </c>
      <c r="J15009" s="23" t="str">
        <f t="shared" si="514"/>
        <v>Безрукова Ольга Владимировна</v>
      </c>
      <c r="K15009" s="24" t="s">
        <v>19829</v>
      </c>
      <c r="L15009" s="22" t="s">
        <v>10</v>
      </c>
      <c r="M15009" s="28" t="s">
        <v>51</v>
      </c>
      <c r="N15009" s="28" t="s">
        <v>51</v>
      </c>
    </row>
    <row r="15010" spans="1:14" hidden="1" outlineLevel="1" x14ac:dyDescent="0.15">
      <c r="A15010" s="23" t="str">
        <f>HYPERLINK("https://www.spark-marketing.ru/Card/Person/1029996", "МБОУ ""СОШ № 25""")</f>
        <v>МБОУ "СОШ № 25"</v>
      </c>
      <c r="B15010" s="24" t="s">
        <v>19844</v>
      </c>
      <c r="C15010" s="25">
        <v>789600</v>
      </c>
      <c r="D15010" s="22" t="s">
        <v>19835</v>
      </c>
      <c r="E15010" s="22" t="s">
        <v>48</v>
      </c>
      <c r="F15010" s="23" t="str">
        <f t="shared" si="513"/>
        <v>Оказание услуг по организации питания учащихся муниципальных общеобразовательных организаций</v>
      </c>
      <c r="G15010" s="22" t="s">
        <v>68</v>
      </c>
      <c r="H15010" s="22" t="s">
        <v>2012</v>
      </c>
      <c r="I15010" s="26">
        <v>43643.398611111101</v>
      </c>
      <c r="J15010" s="23" t="str">
        <f t="shared" si="514"/>
        <v>Безрукова Ольга Владимировна</v>
      </c>
      <c r="K15010" s="24" t="s">
        <v>19829</v>
      </c>
      <c r="L15010" s="22" t="s">
        <v>10</v>
      </c>
      <c r="M15010" s="28" t="s">
        <v>51</v>
      </c>
      <c r="N15010" s="28" t="s">
        <v>51</v>
      </c>
    </row>
    <row r="15011" spans="1:14" hidden="1" outlineLevel="1" x14ac:dyDescent="0.15">
      <c r="A15011" s="23" t="str">
        <f>HYPERLINK("https://www.spark-marketing.ru/Card/Person/1070213", "МБОУ ""СОШ № 14""")</f>
        <v>МБОУ "СОШ № 14"</v>
      </c>
      <c r="B15011" s="24" t="s">
        <v>19845</v>
      </c>
      <c r="C15011" s="25">
        <v>744790.2</v>
      </c>
      <c r="D15011" s="22" t="s">
        <v>19835</v>
      </c>
      <c r="E15011" s="22" t="s">
        <v>48</v>
      </c>
      <c r="F15011" s="23" t="str">
        <f t="shared" si="513"/>
        <v>Оказание услуг по организации питания учащихся муниципальных общеобразовательных организаций</v>
      </c>
      <c r="G15011" s="22" t="s">
        <v>68</v>
      </c>
      <c r="H15011" s="22" t="s">
        <v>2012</v>
      </c>
      <c r="I15011" s="26">
        <v>43643.398611111101</v>
      </c>
      <c r="J15011" s="23" t="str">
        <f t="shared" si="514"/>
        <v>Безрукова Ольга Владимировна</v>
      </c>
      <c r="K15011" s="24" t="s">
        <v>19829</v>
      </c>
      <c r="L15011" s="22" t="s">
        <v>10</v>
      </c>
      <c r="M15011" s="28" t="s">
        <v>51</v>
      </c>
      <c r="N15011" s="28" t="s">
        <v>51</v>
      </c>
    </row>
    <row r="15012" spans="1:14" hidden="1" outlineLevel="1" x14ac:dyDescent="0.15">
      <c r="A15012" s="23" t="str">
        <f>HYPERLINK("https://www.spark-marketing.ru/Card/Person/1077997", "МБОУ ""СОШ № 2""")</f>
        <v>МБОУ "СОШ № 2"</v>
      </c>
      <c r="B15012" s="24" t="s">
        <v>19846</v>
      </c>
      <c r="C15012" s="25">
        <v>1205239.8</v>
      </c>
      <c r="D15012" s="22" t="s">
        <v>19835</v>
      </c>
      <c r="E15012" s="22" t="s">
        <v>48</v>
      </c>
      <c r="F15012" s="23" t="str">
        <f t="shared" si="513"/>
        <v>Оказание услуг по организации питания учащихся муниципальных общеобразовательных организаций</v>
      </c>
      <c r="G15012" s="22" t="s">
        <v>68</v>
      </c>
      <c r="H15012" s="22" t="s">
        <v>2012</v>
      </c>
      <c r="I15012" s="26">
        <v>43643.398611111101</v>
      </c>
      <c r="J15012" s="23" t="str">
        <f t="shared" si="514"/>
        <v>Безрукова Ольга Владимировна</v>
      </c>
      <c r="K15012" s="24" t="s">
        <v>19829</v>
      </c>
      <c r="L15012" s="22" t="s">
        <v>10</v>
      </c>
      <c r="M15012" s="28" t="s">
        <v>51</v>
      </c>
      <c r="N15012" s="28" t="s">
        <v>51</v>
      </c>
    </row>
    <row r="15013" spans="1:14" x14ac:dyDescent="0.2">
      <c r="A15013" s="23" t="str">
        <f>HYPERLINK("https://www.spark-marketing.ru/Card/Person/70482", "КОМИТЕТ ПО ПЕЧАТИ ЛЕНИНГРАДСКОЙ ОБЛАСТИ")</f>
        <v>КОМИТЕТ ПО ПЕЧАТИ ЛЕНИНГРАДСКОЙ ОБЛАСТИ</v>
      </c>
      <c r="B15013" s="24" t="s">
        <v>19847</v>
      </c>
      <c r="C15013" s="25">
        <v>1046400</v>
      </c>
      <c r="D15013" s="22" t="s">
        <v>19848</v>
      </c>
      <c r="E15013" s="22" t="s">
        <v>55</v>
      </c>
      <c r="F15013" s="23" t="str">
        <f>HYPERLINK("https://www.spark-marketing.ru/Card/Lot/71724122", "Оказание услуг по организации размещения и питания участников Балтийского форума соотечественников")</f>
        <v>Оказание услуг по организации размещения и питания участников Балтийского форума соотечественников</v>
      </c>
      <c r="G15013" s="22" t="s">
        <v>117</v>
      </c>
      <c r="H15013" s="22" t="s">
        <v>117</v>
      </c>
      <c r="I15013" s="26">
        <v>43643.379166666702</v>
      </c>
      <c r="J15013" s="23" t="str">
        <f>HYPERLINK("https://www.spark-marketing.ru/Card/Person/4432577", "ООО ""ОЗОН""")</f>
        <v>ООО "ОЗОН"</v>
      </c>
      <c r="K15013" s="24" t="s">
        <v>19849</v>
      </c>
      <c r="L15013" s="28" t="s">
        <v>51</v>
      </c>
      <c r="M15013" s="25">
        <v>996400</v>
      </c>
      <c r="N15013" s="27">
        <v>4.7782874617737003E-2</v>
      </c>
    </row>
    <row r="15014" spans="1:14" x14ac:dyDescent="0.15">
      <c r="A15014" s="23" t="str">
        <f>HYPERLINK("https://www.spark-marketing.ru/Card/Person/60471", "МБОУ СОШ № 7 Г. АПАТИТЫ")</f>
        <v>МБОУ СОШ № 7 Г. АПАТИТЫ</v>
      </c>
      <c r="B15014" s="24" t="s">
        <v>19850</v>
      </c>
      <c r="C15014" s="25">
        <v>3207948</v>
      </c>
      <c r="D15014" s="22" t="s">
        <v>19851</v>
      </c>
      <c r="E15014" s="22" t="s">
        <v>48</v>
      </c>
      <c r="F15014" s="23" t="str">
        <f>HYPERLINK("https://www.spark-marketing.ru/Card/Lot/71725881", "Оказание услуг по обеспечению питанием обучающихся льготной категории во втором полугодии 2019 года")</f>
        <v>Оказание услуг по обеспечению питанием обучающихся льготной категории во втором полугодии 2019 года</v>
      </c>
      <c r="G15014" s="22" t="s">
        <v>340</v>
      </c>
      <c r="H15014" s="22" t="s">
        <v>7501</v>
      </c>
      <c r="I15014" s="26">
        <v>43643.383333333302</v>
      </c>
      <c r="J15014" s="23" t="str">
        <f>HYPERLINK("https://www.spark-marketing.ru/Card/Person/60286", "Зернов Валерий Николаевич")</f>
        <v>Зернов Валерий Николаевич</v>
      </c>
      <c r="K15014" s="24" t="s">
        <v>19852</v>
      </c>
      <c r="L15014" s="22" t="s">
        <v>10</v>
      </c>
      <c r="M15014" s="28" t="s">
        <v>51</v>
      </c>
      <c r="N15014" s="28" t="s">
        <v>51</v>
      </c>
    </row>
    <row r="15015" spans="1:14" x14ac:dyDescent="0.15">
      <c r="A15015" s="23" t="str">
        <f>HYPERLINK("https://www.spark-marketing.ru/Card/Person/1001257", "МБОУ СШ № 14 Г. ЛИПЕЦКА")</f>
        <v>МБОУ СШ № 14 Г. ЛИПЕЦКА</v>
      </c>
      <c r="B15015" s="24" t="s">
        <v>3138</v>
      </c>
      <c r="C15015" s="25">
        <v>619650</v>
      </c>
      <c r="D15015" s="22" t="s">
        <v>19853</v>
      </c>
      <c r="E15015" s="22" t="s">
        <v>48</v>
      </c>
      <c r="F15015" s="23" t="str">
        <f>HYPERLINK("https://www.spark-marketing.ru/Card/Lot/71722015", "Оказание услуги по организации питания учащихся.")</f>
        <v>Оказание услуги по организации питания учащихся.</v>
      </c>
      <c r="G15015" s="22" t="s">
        <v>101</v>
      </c>
      <c r="H15015" s="22" t="s">
        <v>728</v>
      </c>
      <c r="I15015" s="26">
        <v>43643.363888888904</v>
      </c>
      <c r="J15015" s="23" t="str">
        <f>HYPERLINK("https://www.spark-marketing.ru/Card/Person/16210", "ООО ""ГК ФЬЮЖЕН МЕНЕДЖМЕНТ""")</f>
        <v>ООО "ГК ФЬЮЖЕН МЕНЕДЖМЕНТ"</v>
      </c>
      <c r="K15015" s="24" t="s">
        <v>1675</v>
      </c>
      <c r="L15015" s="22" t="s">
        <v>10</v>
      </c>
      <c r="M15015" s="28" t="s">
        <v>51</v>
      </c>
      <c r="N15015" s="28" t="s">
        <v>51</v>
      </c>
    </row>
    <row r="15016" spans="1:14" x14ac:dyDescent="0.15">
      <c r="A15016" s="23" t="str">
        <f>HYPERLINK("https://www.spark-marketing.ru/Card/Person/357229", "ОТДЕЛ МВД РОССИИ ПО Г. ГУКОВО")</f>
        <v>ОТДЕЛ МВД РОССИИ ПО Г. ГУКОВО</v>
      </c>
      <c r="B15016" s="24" t="s">
        <v>4052</v>
      </c>
      <c r="C15016" s="25">
        <v>46000</v>
      </c>
      <c r="D15016" s="22" t="s">
        <v>19854</v>
      </c>
      <c r="E15016" s="22" t="s">
        <v>48</v>
      </c>
      <c r="F15016" s="23" t="str">
        <f>HYPERLINK("https://www.spark-marketing.ru/Card/Lot/71718991", "Услуги по обеспечению питания лиц содержащихся в спец. помещениях задержанных лиц, 3 усл. ед")</f>
        <v>Услуги по обеспечению питания лиц содержащихся в спец. помещениях задержанных лиц, 3 усл. ед</v>
      </c>
      <c r="G15016" s="22" t="s">
        <v>267</v>
      </c>
      <c r="H15016" s="22" t="s">
        <v>4054</v>
      </c>
      <c r="I15016" s="26">
        <v>43643.334097222199</v>
      </c>
      <c r="J15016" s="28" t="s">
        <v>51</v>
      </c>
      <c r="K15016" s="28" t="s">
        <v>51</v>
      </c>
      <c r="L15016" s="28" t="s">
        <v>51</v>
      </c>
      <c r="M15016" s="28" t="s">
        <v>51</v>
      </c>
      <c r="N15016" s="28" t="s">
        <v>51</v>
      </c>
    </row>
    <row r="15017" spans="1:14" x14ac:dyDescent="0.2">
      <c r="A15017" s="23" t="str">
        <f>HYPERLINK("https://www.spark-marketing.ru/Card/Person/2097942", "АО ""КОНЦЕРН РОСЭНЕРГОАТОМ""")</f>
        <v>АО "КОНЦЕРН РОСЭНЕРГОАТОМ"</v>
      </c>
      <c r="B15017" s="24" t="s">
        <v>908</v>
      </c>
      <c r="C15017" s="25">
        <v>5388000</v>
      </c>
      <c r="D15017" s="22" t="s">
        <v>19855</v>
      </c>
      <c r="E15017" s="22" t="s">
        <v>580</v>
      </c>
      <c r="F15017" s="23" t="str">
        <f>HYPERLINK("https://www.spark-marketing.ru/Card/Lot/71720327", "Право заключения договора на Оказание услуг по организации питания для участников деловых встреч и представительских мероприятий филиала АО ""Концерн Росэнергоатом"" ""Балаковская атомная станция""")</f>
        <v>Право заключения договора на Оказание услуг по организации питания для участников деловых встреч и представительских мероприятий филиала АО "Концерн Росэнергоатом" "Балаковская атомная станция"</v>
      </c>
      <c r="G15017" s="22" t="s">
        <v>56</v>
      </c>
      <c r="H15017" s="22" t="s">
        <v>56</v>
      </c>
      <c r="I15017" s="26">
        <v>43643.335752314801</v>
      </c>
      <c r="J15017" s="28" t="s">
        <v>51</v>
      </c>
      <c r="K15017" s="28" t="s">
        <v>51</v>
      </c>
      <c r="L15017" s="22" t="s">
        <v>10</v>
      </c>
      <c r="M15017" s="25">
        <v>5388000</v>
      </c>
      <c r="N15017" s="27">
        <v>0</v>
      </c>
    </row>
    <row r="15018" spans="1:14" x14ac:dyDescent="0.15">
      <c r="A15018" s="23" t="str">
        <f>HYPERLINK("https://www.spark-marketing.ru/Card/Person/1030176", "ОТДЕЛЕНИЕ МВД РОССИИ ПО БОЛЬШЕЧЕРНИГОВСКОМУ РАЙОНУ")</f>
        <v>ОТДЕЛЕНИЕ МВД РОССИИ ПО БОЛЬШЕЧЕРНИГОВСКОМУ РАЙОНУ</v>
      </c>
      <c r="B15018" s="24" t="s">
        <v>19565</v>
      </c>
      <c r="C15018" s="25">
        <v>99000</v>
      </c>
      <c r="D15018" s="22" t="s">
        <v>19856</v>
      </c>
      <c r="E15018" s="22" t="s">
        <v>96</v>
      </c>
      <c r="F15018" s="23" t="str">
        <f>HYPERLINK("https://www.spark-marketing.ru/Card/Lot/71719162", "Оказание услуг по организации питания (приготовлению и доставке), 330 шт")</f>
        <v>Оказание услуг по организации питания (приготовлению и доставке), 330 шт</v>
      </c>
      <c r="G15018" s="22" t="s">
        <v>128</v>
      </c>
      <c r="H15018" s="22" t="s">
        <v>1119</v>
      </c>
      <c r="I15018" s="26">
        <v>43643.3342708333</v>
      </c>
      <c r="J15018" s="28" t="s">
        <v>51</v>
      </c>
      <c r="K15018" s="28" t="s">
        <v>51</v>
      </c>
      <c r="L15018" s="28" t="s">
        <v>51</v>
      </c>
      <c r="M15018" s="28" t="s">
        <v>51</v>
      </c>
      <c r="N15018" s="28" t="s">
        <v>51</v>
      </c>
    </row>
    <row r="15019" spans="1:14" x14ac:dyDescent="0.15">
      <c r="A15019" s="23" t="str">
        <f>HYPERLINK("https://www.spark-marketing.ru/Card/Person/170788", "ОТДЕЛЕНИЕ МВД РОССИИ ПО МОТЫГИНСКОМУ РАЙОНУ")</f>
        <v>ОТДЕЛЕНИЕ МВД РОССИИ ПО МОТЫГИНСКОМУ РАЙОНУ</v>
      </c>
      <c r="B15019" s="24" t="s">
        <v>421</v>
      </c>
      <c r="C15019" s="25">
        <v>100000</v>
      </c>
      <c r="D15019" s="22" t="s">
        <v>19857</v>
      </c>
      <c r="E15019" s="22" t="s">
        <v>48</v>
      </c>
      <c r="F15019" s="23" t="str">
        <f>HYPERLINK("https://www.spark-marketing.ru/Card/Lot/71718961", "Услуга организации трехразового питания в г.Орел и Орловской области, 285 усл. ед")</f>
        <v>Услуга организации трехразового питания в г.Орел и Орловской области, 285 усл. ед</v>
      </c>
      <c r="G15019" s="22" t="s">
        <v>281</v>
      </c>
      <c r="H15019" s="22" t="s">
        <v>423</v>
      </c>
      <c r="I15019" s="26">
        <v>43643.327037037001</v>
      </c>
      <c r="J15019" s="28" t="s">
        <v>51</v>
      </c>
      <c r="K15019" s="28" t="s">
        <v>51</v>
      </c>
      <c r="L15019" s="28" t="s">
        <v>51</v>
      </c>
      <c r="M15019" s="28" t="s">
        <v>51</v>
      </c>
      <c r="N15019" s="28" t="s">
        <v>51</v>
      </c>
    </row>
    <row r="15020" spans="1:14" x14ac:dyDescent="0.15">
      <c r="A15020" s="23" t="str">
        <f>HYPERLINK("https://www.spark-marketing.ru/Card/Person/170788", "ОТДЕЛЕНИЕ МВД РОССИИ ПО МОТЫГИНСКОМУ РАЙОНУ")</f>
        <v>ОТДЕЛЕНИЕ МВД РОССИИ ПО МОТЫГИНСКОМУ РАЙОНУ</v>
      </c>
      <c r="B15020" s="24" t="s">
        <v>421</v>
      </c>
      <c r="C15020" s="25">
        <v>87202</v>
      </c>
      <c r="D15020" s="22" t="s">
        <v>19858</v>
      </c>
      <c r="E15020" s="22" t="s">
        <v>48</v>
      </c>
      <c r="F15020" s="23" t="str">
        <f>HYPERLINK("https://www.spark-marketing.ru/Card/Lot/71718490", "Услуга организации трехразового питания в г.Орел и Орловской области, 249 усл. ед")</f>
        <v>Услуга организации трехразового питания в г.Орел и Орловской области, 249 усл. ед</v>
      </c>
      <c r="G15020" s="22" t="s">
        <v>281</v>
      </c>
      <c r="H15020" s="22" t="s">
        <v>423</v>
      </c>
      <c r="I15020" s="26">
        <v>43643.308078703703</v>
      </c>
      <c r="J15020" s="28" t="s">
        <v>51</v>
      </c>
      <c r="K15020" s="28" t="s">
        <v>51</v>
      </c>
      <c r="L15020" s="28" t="s">
        <v>51</v>
      </c>
      <c r="M15020" s="28" t="s">
        <v>51</v>
      </c>
      <c r="N15020" s="28" t="s">
        <v>51</v>
      </c>
    </row>
    <row r="15021" spans="1:14" x14ac:dyDescent="0.15">
      <c r="A15021" s="23" t="str">
        <f>HYPERLINK("https://www.spark-marketing.ru/Card/Person/7206", "КГБУЗ ""ГОРОДСКАЯ ДЕТСКАЯ БОЛЬНИЦА, Г. БИЙСК""")</f>
        <v>КГБУЗ "ГОРОДСКАЯ ДЕТСКАЯ БОЛЬНИЦА, Г. БИЙСК"</v>
      </c>
      <c r="B15021" s="24" t="s">
        <v>8664</v>
      </c>
      <c r="C15021" s="25">
        <v>9680</v>
      </c>
      <c r="D15021" s="22" t="s">
        <v>19859</v>
      </c>
      <c r="E15021" s="22" t="s">
        <v>10080</v>
      </c>
      <c r="F15021" s="23" t="str">
        <f>HYPERLINK("https://www.spark-marketing.ru/Card/Lot/71718166", "Товары, работы или услуги на сумму, не превышающие 100 тыс. руб. (п.4 ч.1 ст.93 44-ФЗ)")</f>
        <v>Товары, работы или услуги на сумму, не превышающие 100 тыс. руб. (п.4 ч.1 ст.93 44-ФЗ)</v>
      </c>
      <c r="G15021" s="22" t="s">
        <v>63</v>
      </c>
      <c r="H15021" s="22" t="s">
        <v>1294</v>
      </c>
      <c r="I15021" s="26">
        <v>43643.265277777798</v>
      </c>
      <c r="J15021" s="28" t="s">
        <v>51</v>
      </c>
      <c r="K15021" s="28" t="s">
        <v>51</v>
      </c>
      <c r="L15021" s="28" t="s">
        <v>51</v>
      </c>
      <c r="M15021" s="28" t="s">
        <v>51</v>
      </c>
      <c r="N15021" s="28" t="s">
        <v>51</v>
      </c>
    </row>
    <row r="15022" spans="1:14" x14ac:dyDescent="0.15">
      <c r="A15022" s="23" t="str">
        <f>HYPERLINK("https://www.spark-marketing.ru/Card/Person/46649", "КГКУ ГААК")</f>
        <v>КГКУ ГААК</v>
      </c>
      <c r="B15022" s="24" t="s">
        <v>19860</v>
      </c>
      <c r="C15022" s="25">
        <v>4200</v>
      </c>
      <c r="D15022" s="22" t="s">
        <v>19861</v>
      </c>
      <c r="E15022" s="22" t="s">
        <v>1018</v>
      </c>
      <c r="F15022" s="23" t="str">
        <f>HYPERLINK("https://www.spark-marketing.ru/Card/Lot/71717647", "Товары, работы или услуги на сумму, не превышающую 400 тыс. рублей (п.5 ч.1 ст.93 Федерального закона № 44-ФЗ)")</f>
        <v>Товары, работы или услуги на сумму, не превышающую 400 тыс. рублей (п.5 ч.1 ст.93 Федерального закона № 44-ФЗ)</v>
      </c>
      <c r="G15022" s="22" t="s">
        <v>63</v>
      </c>
      <c r="H15022" s="22" t="s">
        <v>177</v>
      </c>
      <c r="I15022" s="26">
        <v>43643.256249999999</v>
      </c>
      <c r="J15022" s="28" t="s">
        <v>51</v>
      </c>
      <c r="K15022" s="28" t="s">
        <v>51</v>
      </c>
      <c r="L15022" s="28" t="s">
        <v>51</v>
      </c>
      <c r="M15022" s="28" t="s">
        <v>51</v>
      </c>
      <c r="N15022" s="28" t="s">
        <v>51</v>
      </c>
    </row>
    <row r="15023" spans="1:14" x14ac:dyDescent="0.15">
      <c r="A15023" s="23" t="str">
        <f>HYPERLINK("https://www.spark-marketing.ru/Card/Person/1134202", "МАОУ ""СОШ №2""")</f>
        <v>МАОУ "СОШ №2"</v>
      </c>
      <c r="B15023" s="24" t="s">
        <v>6830</v>
      </c>
      <c r="C15023" s="25">
        <v>243295.5</v>
      </c>
      <c r="D15023" s="22" t="s">
        <v>19862</v>
      </c>
      <c r="E15023" s="22" t="s">
        <v>362</v>
      </c>
      <c r="F15023" s="23" t="str">
        <f>HYPERLINK("https://www.spark-marketing.ru/Card/Lot/71715249", "Оказание услуг по организации питания")</f>
        <v>Оказание услуг по организации питания</v>
      </c>
      <c r="G15023" s="22" t="s">
        <v>663</v>
      </c>
      <c r="H15023" s="22" t="s">
        <v>663</v>
      </c>
      <c r="I15023" s="26">
        <v>43643.120011574101</v>
      </c>
      <c r="J15023" s="28" t="s">
        <v>51</v>
      </c>
      <c r="K15023" s="28" t="s">
        <v>51</v>
      </c>
      <c r="L15023" s="28" t="s">
        <v>51</v>
      </c>
      <c r="M15023" s="28" t="s">
        <v>51</v>
      </c>
      <c r="N15023" s="28" t="s">
        <v>51</v>
      </c>
    </row>
    <row r="15024" spans="1:14" x14ac:dyDescent="0.15">
      <c r="A15024" s="23" t="str">
        <f>HYPERLINK("https://www.spark-marketing.ru/Card/Person/255195", "МБДОУ ""ДЕТСКИЙ САД № 4 ""СОЛНЫШКО"" ПГТ КАМСКИЕ ПОЛЯНЫ НМР РТ")</f>
        <v>МБДОУ "ДЕТСКИЙ САД № 4 "СОЛНЫШКО" ПГТ КАМСКИЕ ПОЛЯНЫ НМР РТ</v>
      </c>
      <c r="B15024" s="24" t="s">
        <v>8118</v>
      </c>
      <c r="C15024" s="25">
        <v>128910.08</v>
      </c>
      <c r="D15024" s="22" t="s">
        <v>19863</v>
      </c>
      <c r="E15024" s="22" t="s">
        <v>52</v>
      </c>
      <c r="F15024" s="23" t="str">
        <f>HYPERLINK("https://www.spark-marketing.ru/Card/Lot/73761080", "Услуги по организации питания")</f>
        <v>Услуги по организации питания</v>
      </c>
      <c r="G15024" s="22" t="s">
        <v>217</v>
      </c>
      <c r="H15024" s="22" t="s">
        <v>5604</v>
      </c>
      <c r="I15024" s="26">
        <v>43643</v>
      </c>
      <c r="J15024" s="28" t="s">
        <v>51</v>
      </c>
      <c r="K15024" s="28" t="s">
        <v>51</v>
      </c>
      <c r="L15024" s="28" t="s">
        <v>51</v>
      </c>
      <c r="M15024" s="28" t="s">
        <v>51</v>
      </c>
      <c r="N15024" s="28" t="s">
        <v>51</v>
      </c>
    </row>
    <row r="15025" spans="1:14" x14ac:dyDescent="0.15">
      <c r="A15025" s="23" t="str">
        <f>HYPERLINK("https://www.spark-marketing.ru/Card/Person/1311008", "МОАУ ""СОШ №52""")</f>
        <v>МОАУ "СОШ №52"</v>
      </c>
      <c r="B15025" s="24" t="s">
        <v>19864</v>
      </c>
      <c r="C15025" s="25">
        <v>204892.79999999999</v>
      </c>
      <c r="D15025" s="22" t="s">
        <v>19865</v>
      </c>
      <c r="E15025" s="22" t="s">
        <v>1412</v>
      </c>
      <c r="F15025" s="23" t="str">
        <f>HYPERLINK("https://www.spark-marketing.ru/Card/Lot/71708969", "Оказание услуг по организации питания детей в лагере дневного пребывания на базе организации МОАУ СОШ №52")</f>
        <v>Оказание услуг по организации питания детей в лагере дневного пребывания на базе организации МОАУ СОШ №52</v>
      </c>
      <c r="G15025" s="22" t="s">
        <v>132</v>
      </c>
      <c r="H15025" s="22" t="s">
        <v>132</v>
      </c>
      <c r="I15025" s="26">
        <v>43642.917627314797</v>
      </c>
      <c r="J15025" s="28" t="s">
        <v>51</v>
      </c>
      <c r="K15025" s="28" t="s">
        <v>51</v>
      </c>
      <c r="L15025" s="28" t="s">
        <v>51</v>
      </c>
      <c r="M15025" s="28" t="s">
        <v>51</v>
      </c>
      <c r="N15025" s="28" t="s">
        <v>51</v>
      </c>
    </row>
    <row r="15026" spans="1:14" x14ac:dyDescent="0.15">
      <c r="A15026" s="23" t="str">
        <f>HYPERLINK("https://www.spark-marketing.ru/Card/Person/6618644", "МАУ ""КРАСНОГОРСК АРЕНА ИМ. В.В.ПЕТРОВА""")</f>
        <v>МАУ "КРАСНОГОРСК АРЕНА ИМ. В.В.ПЕТРОВА"</v>
      </c>
      <c r="B15026" s="24" t="s">
        <v>19866</v>
      </c>
      <c r="C15026" s="25">
        <v>400000</v>
      </c>
      <c r="D15026" s="22" t="s">
        <v>19867</v>
      </c>
      <c r="E15026" s="22" t="s">
        <v>48</v>
      </c>
      <c r="F15026" s="23" t="str">
        <f>HYPERLINK("https://www.spark-marketing.ru/Card/Lot/71712455", "Оказание услуг по организации питания участников мероприятия (Церемония открытия) для нужд МАУ «Красногорск Арена им. В.В. Петрова» в 2019 году")</f>
        <v>Оказание услуг по организации питания участников мероприятия (Церемония открытия) для нужд МАУ «Красногорск Арена им. В.В. Петрова» в 2019 году</v>
      </c>
      <c r="G15026" s="22" t="s">
        <v>49</v>
      </c>
      <c r="H15026" s="22" t="s">
        <v>10272</v>
      </c>
      <c r="I15026" s="26">
        <v>43642.909537036998</v>
      </c>
      <c r="J15026" s="28" t="s">
        <v>51</v>
      </c>
      <c r="K15026" s="28" t="s">
        <v>51</v>
      </c>
      <c r="L15026" s="28" t="s">
        <v>51</v>
      </c>
      <c r="M15026" s="28" t="s">
        <v>51</v>
      </c>
      <c r="N15026" s="28" t="s">
        <v>51</v>
      </c>
    </row>
    <row r="15027" spans="1:14" x14ac:dyDescent="0.2">
      <c r="A15027" s="23" t="str">
        <f>HYPERLINK("https://www.spark-marketing.ru/Card/Person/1752331", "ГАУКО ""ОКЦПЖ""")</f>
        <v>ГАУКО "ОКЦПЖ"</v>
      </c>
      <c r="B15027" s="24" t="s">
        <v>19868</v>
      </c>
      <c r="C15027" s="25">
        <v>496800</v>
      </c>
      <c r="D15027" s="22" t="s">
        <v>19869</v>
      </c>
      <c r="E15027" s="22" t="s">
        <v>362</v>
      </c>
      <c r="F15027" s="23" t="str">
        <f>HYPERLINK("https://www.spark-marketing.ru/Card/Lot/71708953", "оказание услуг по организации горячего питания для нужд государственного автономного учреждения Калининградской области ""Областной кризисный центр помощи женщинам""")</f>
        <v>оказание услуг по организации горячего питания для нужд государственного автономного учреждения Калининградской области "Областной кризисный центр помощи женщинам"</v>
      </c>
      <c r="G15027" s="22" t="s">
        <v>400</v>
      </c>
      <c r="H15027" s="22" t="s">
        <v>400</v>
      </c>
      <c r="I15027" s="26">
        <v>43642.837488425903</v>
      </c>
      <c r="J15027" s="28" t="s">
        <v>51</v>
      </c>
      <c r="K15027" s="28" t="s">
        <v>51</v>
      </c>
      <c r="L15027" s="22" t="s">
        <v>10</v>
      </c>
      <c r="M15027" s="25">
        <v>496800</v>
      </c>
      <c r="N15027" s="27">
        <v>0</v>
      </c>
    </row>
    <row r="15028" spans="1:14" x14ac:dyDescent="0.15">
      <c r="A15028" s="23" t="str">
        <f>HYPERLINK("https://www.spark-marketing.ru/Card/Person/1359733", "МАОУ ""СОШ №15""")</f>
        <v>МАОУ "СОШ №15"</v>
      </c>
      <c r="B15028" s="24" t="s">
        <v>19870</v>
      </c>
      <c r="C15028" s="25">
        <v>280800</v>
      </c>
      <c r="D15028" s="22" t="s">
        <v>19871</v>
      </c>
      <c r="E15028" s="22" t="s">
        <v>362</v>
      </c>
      <c r="F15028" s="23" t="str">
        <f>HYPERLINK("https://www.spark-marketing.ru/Card/Lot/71706134", "оказание услуг по организации двухразового питания в лагере с дневным пребыванием детей")</f>
        <v>оказание услуг по организации двухразового питания в лагере с дневным пребыванием детей</v>
      </c>
      <c r="G15028" s="22" t="s">
        <v>469</v>
      </c>
      <c r="H15028" s="22" t="s">
        <v>469</v>
      </c>
      <c r="I15028" s="26">
        <v>43642.851886574099</v>
      </c>
      <c r="J15028" s="28" t="s">
        <v>51</v>
      </c>
      <c r="K15028" s="28" t="s">
        <v>51</v>
      </c>
      <c r="L15028" s="28" t="s">
        <v>51</v>
      </c>
      <c r="M15028" s="28" t="s">
        <v>51</v>
      </c>
      <c r="N15028" s="28" t="s">
        <v>51</v>
      </c>
    </row>
    <row r="15029" spans="1:14" x14ac:dyDescent="0.15">
      <c r="A15029" s="23" t="str">
        <f>HYPERLINK("https://www.spark-marketing.ru/Card/Person/1086577", "ОМВД РОССИИ ПО УГЛИЧСКОМУ РАЙОНУ")</f>
        <v>ОМВД РОССИИ ПО УГЛИЧСКОМУ РАЙОНУ</v>
      </c>
      <c r="B15029" s="24" t="s">
        <v>252</v>
      </c>
      <c r="C15029" s="25">
        <v>99000</v>
      </c>
      <c r="D15029" s="22" t="s">
        <v>19872</v>
      </c>
      <c r="E15029" s="22" t="s">
        <v>96</v>
      </c>
      <c r="F15029" s="23" t="str">
        <f>HYPERLINK("https://www.spark-marketing.ru/Card/Lot/71706790", "Оказание услуг по организации питания (приготовлению и доставке), 330 шт")</f>
        <v>Оказание услуг по организации питания (приготовлению и доставке), 330 шт</v>
      </c>
      <c r="G15029" s="22" t="s">
        <v>185</v>
      </c>
      <c r="H15029" s="22" t="s">
        <v>2121</v>
      </c>
      <c r="I15029" s="26">
        <v>43642.803645833301</v>
      </c>
      <c r="J15029" s="28" t="s">
        <v>51</v>
      </c>
      <c r="K15029" s="28" t="s">
        <v>51</v>
      </c>
      <c r="L15029" s="28" t="s">
        <v>51</v>
      </c>
      <c r="M15029" s="28" t="s">
        <v>51</v>
      </c>
      <c r="N15029" s="28" t="s">
        <v>51</v>
      </c>
    </row>
    <row r="15030" spans="1:14" x14ac:dyDescent="0.2">
      <c r="A15030" s="23" t="str">
        <f>HYPERLINK("https://www.spark-marketing.ru/Card/Person/64896", "ФИЦ КНЦ РАН")</f>
        <v>ФИЦ КНЦ РАН</v>
      </c>
      <c r="B15030" s="24" t="s">
        <v>19873</v>
      </c>
      <c r="C15030" s="25">
        <v>135374</v>
      </c>
      <c r="D15030" s="22" t="s">
        <v>19874</v>
      </c>
      <c r="E15030" s="22" t="s">
        <v>1079</v>
      </c>
      <c r="F15030" s="23" t="str">
        <f>HYPERLINK("https://www.spark-marketing.ru/Card/Lot/71708469", "Оказание услуг по организации проживания, питания и отдыха в гостиничном комплексе в рамках мероприятия ХIХ Международного совещания по кристаллографии, рентгенографии и спектроскопии минералов")</f>
        <v>Оказание услуг по организации проживания, питания и отдыха в гостиничном комплексе в рамках мероприятия ХIХ Международного совещания по кристаллографии, рентгенографии и спектроскопии минералов</v>
      </c>
      <c r="G15030" s="22" t="s">
        <v>340</v>
      </c>
      <c r="H15030" s="22" t="s">
        <v>340</v>
      </c>
      <c r="I15030" s="26">
        <v>43642.826469907399</v>
      </c>
      <c r="J15030" s="23" t="str">
        <f>HYPERLINK("https://www.spark-marketing.ru/Card/Person/5948949", "ООО ""БРИЗ""")</f>
        <v>ООО "БРИЗ"</v>
      </c>
      <c r="K15030" s="24" t="s">
        <v>19875</v>
      </c>
      <c r="L15030" s="28" t="s">
        <v>51</v>
      </c>
      <c r="M15030" s="25">
        <v>301600</v>
      </c>
      <c r="N15030" s="27">
        <v>-1.2279019604946297</v>
      </c>
    </row>
    <row r="15031" spans="1:14" x14ac:dyDescent="0.2">
      <c r="A15031" s="23" t="str">
        <f>HYPERLINK("https://www.spark-marketing.ru/Card/Person/1298049", "МАОУ ""ЛИЦЕЙ ГОРОДА ТРОИЦКА""")</f>
        <v>МАОУ "ЛИЦЕЙ ГОРОДА ТРОИЦКА"</v>
      </c>
      <c r="B15031" s="24" t="s">
        <v>19876</v>
      </c>
      <c r="C15031" s="25">
        <v>91122554</v>
      </c>
      <c r="D15031" s="22" t="s">
        <v>19877</v>
      </c>
      <c r="E15031" s="22" t="s">
        <v>362</v>
      </c>
      <c r="F15031" s="23" t="str">
        <f>HYPERLINK("https://www.spark-marketing.ru/Card/Lot/71706130", "Оказание услуг по организации питания и обеспечению питьевого режима обучающихся МАОУ «Лицей города Троицка»")</f>
        <v>Оказание услуг по организации питания и обеспечению питьевого режима обучающихся МАОУ «Лицей города Троицка»</v>
      </c>
      <c r="G15031" s="22" t="s">
        <v>56</v>
      </c>
      <c r="H15031" s="22" t="s">
        <v>56</v>
      </c>
      <c r="I15031" s="26">
        <v>43642.795624999999</v>
      </c>
      <c r="J15031" s="28" t="s">
        <v>51</v>
      </c>
      <c r="K15031" s="28" t="s">
        <v>51</v>
      </c>
      <c r="L15031" s="28" t="s">
        <v>51</v>
      </c>
      <c r="M15031" s="25">
        <v>78777921</v>
      </c>
      <c r="N15031" s="27">
        <v>0.13547285999029396</v>
      </c>
    </row>
    <row r="15032" spans="1:14" x14ac:dyDescent="0.2">
      <c r="A15032" s="23" t="s">
        <v>114</v>
      </c>
      <c r="B15032" s="28" t="s">
        <v>51</v>
      </c>
      <c r="C15032" s="25">
        <v>318888410</v>
      </c>
      <c r="D15032" s="22" t="s">
        <v>19878</v>
      </c>
      <c r="E15032" s="22" t="s">
        <v>362</v>
      </c>
      <c r="F15032" s="23" t="str">
        <f t="shared" ref="F15032:F15041" si="515">HYPERLINK("https://www.spark-marketing.ru/Card/Lot/71701697", "Оказание услуги по обеспечению питанием обучающихся")</f>
        <v>Оказание услуги по обеспечению питанием обучающихся</v>
      </c>
      <c r="G15032" s="22" t="s">
        <v>51</v>
      </c>
      <c r="H15032" s="22" t="s">
        <v>51</v>
      </c>
      <c r="I15032" s="26">
        <v>43642.793182870402</v>
      </c>
      <c r="J15032" s="28" t="s">
        <v>51</v>
      </c>
      <c r="K15032" s="28" t="s">
        <v>51</v>
      </c>
      <c r="L15032" s="28" t="s">
        <v>51</v>
      </c>
      <c r="M15032" s="25">
        <v>312106871</v>
      </c>
      <c r="N15032" s="27">
        <v>2.1266182110538292E-2</v>
      </c>
    </row>
    <row r="15033" spans="1:14" hidden="1" outlineLevel="1" x14ac:dyDescent="0.2">
      <c r="A15033" s="23" t="str">
        <f>HYPERLINK("https://www.spark-marketing.ru/Card/Person/1763028", "МАОУ СОШ №62 ГОРОДА ТЮМЕНИ")</f>
        <v>МАОУ СОШ №62 ГОРОДА ТЮМЕНИ</v>
      </c>
      <c r="B15033" s="24" t="s">
        <v>19879</v>
      </c>
      <c r="C15033" s="25">
        <v>24421850</v>
      </c>
      <c r="D15033" s="22" t="s">
        <v>19878</v>
      </c>
      <c r="E15033" s="22" t="s">
        <v>362</v>
      </c>
      <c r="F15033" s="23" t="str">
        <f t="shared" si="515"/>
        <v>Оказание услуги по обеспечению питанием обучающихся</v>
      </c>
      <c r="G15033" s="22" t="s">
        <v>766</v>
      </c>
      <c r="H15033" s="22" t="s">
        <v>1028</v>
      </c>
      <c r="I15033" s="26">
        <v>43642.793182870402</v>
      </c>
      <c r="J15033" s="28" t="s">
        <v>51</v>
      </c>
      <c r="K15033" s="28" t="s">
        <v>51</v>
      </c>
      <c r="L15033" s="28" t="s">
        <v>51</v>
      </c>
      <c r="M15033" s="28" t="s">
        <v>51</v>
      </c>
      <c r="N15033" s="27">
        <v>2.1266182110538292E-2</v>
      </c>
    </row>
    <row r="15034" spans="1:14" hidden="1" outlineLevel="1" x14ac:dyDescent="0.2">
      <c r="A15034" s="23" t="str">
        <f>HYPERLINK("https://www.spark-marketing.ru/Card/Person/1763110", "МАОУ СОШ №72 ГОРОДА ТЮМЕНИ")</f>
        <v>МАОУ СОШ №72 ГОРОДА ТЮМЕНИ</v>
      </c>
      <c r="B15034" s="24" t="s">
        <v>19880</v>
      </c>
      <c r="C15034" s="25">
        <v>34999200</v>
      </c>
      <c r="D15034" s="22" t="s">
        <v>19878</v>
      </c>
      <c r="E15034" s="22" t="s">
        <v>362</v>
      </c>
      <c r="F15034" s="23" t="str">
        <f t="shared" si="515"/>
        <v>Оказание услуги по обеспечению питанием обучающихся</v>
      </c>
      <c r="G15034" s="22" t="s">
        <v>766</v>
      </c>
      <c r="H15034" s="22" t="s">
        <v>1028</v>
      </c>
      <c r="I15034" s="26">
        <v>43642.793182870402</v>
      </c>
      <c r="J15034" s="28" t="s">
        <v>51</v>
      </c>
      <c r="K15034" s="28" t="s">
        <v>51</v>
      </c>
      <c r="L15034" s="28" t="s">
        <v>51</v>
      </c>
      <c r="M15034" s="28" t="s">
        <v>51</v>
      </c>
      <c r="N15034" s="27">
        <v>2.1266182110538292E-2</v>
      </c>
    </row>
    <row r="15035" spans="1:14" hidden="1" outlineLevel="1" x14ac:dyDescent="0.2">
      <c r="A15035" s="23" t="str">
        <f>HYPERLINK("https://www.spark-marketing.ru/Card/Person/1763333", "МАОУ СОШ № 48 ГОРОДА ТЮМЕНИ")</f>
        <v>МАОУ СОШ № 48 ГОРОДА ТЮМЕНИ</v>
      </c>
      <c r="B15035" s="24" t="s">
        <v>19881</v>
      </c>
      <c r="C15035" s="25">
        <v>67447820</v>
      </c>
      <c r="D15035" s="22" t="s">
        <v>19878</v>
      </c>
      <c r="E15035" s="22" t="s">
        <v>362</v>
      </c>
      <c r="F15035" s="23" t="str">
        <f t="shared" si="515"/>
        <v>Оказание услуги по обеспечению питанием обучающихся</v>
      </c>
      <c r="G15035" s="22" t="s">
        <v>766</v>
      </c>
      <c r="H15035" s="22" t="s">
        <v>1028</v>
      </c>
      <c r="I15035" s="26">
        <v>43642.793182870402</v>
      </c>
      <c r="J15035" s="28" t="s">
        <v>51</v>
      </c>
      <c r="K15035" s="28" t="s">
        <v>51</v>
      </c>
      <c r="L15035" s="28" t="s">
        <v>51</v>
      </c>
      <c r="M15035" s="28" t="s">
        <v>51</v>
      </c>
      <c r="N15035" s="27">
        <v>2.1266182110538292E-2</v>
      </c>
    </row>
    <row r="15036" spans="1:14" hidden="1" outlineLevel="1" x14ac:dyDescent="0.2">
      <c r="A15036" s="23" t="str">
        <f>HYPERLINK("https://www.spark-marketing.ru/Card/Person/1763334", "МАОУ СОШ №5 ГОРОДА ТЮМЕНИ")</f>
        <v>МАОУ СОШ №5 ГОРОДА ТЮМЕНИ</v>
      </c>
      <c r="B15036" s="24" t="s">
        <v>19882</v>
      </c>
      <c r="C15036" s="25">
        <v>34722980</v>
      </c>
      <c r="D15036" s="22" t="s">
        <v>19878</v>
      </c>
      <c r="E15036" s="22" t="s">
        <v>362</v>
      </c>
      <c r="F15036" s="23" t="str">
        <f t="shared" si="515"/>
        <v>Оказание услуги по обеспечению питанием обучающихся</v>
      </c>
      <c r="G15036" s="22" t="s">
        <v>766</v>
      </c>
      <c r="H15036" s="22" t="s">
        <v>1028</v>
      </c>
      <c r="I15036" s="26">
        <v>43642.793182870402</v>
      </c>
      <c r="J15036" s="28" t="s">
        <v>51</v>
      </c>
      <c r="K15036" s="28" t="s">
        <v>51</v>
      </c>
      <c r="L15036" s="28" t="s">
        <v>51</v>
      </c>
      <c r="M15036" s="28" t="s">
        <v>51</v>
      </c>
      <c r="N15036" s="27">
        <v>2.1266182110538292E-2</v>
      </c>
    </row>
    <row r="15037" spans="1:14" hidden="1" outlineLevel="1" x14ac:dyDescent="0.2">
      <c r="A15037" s="23" t="str">
        <f>HYPERLINK("https://www.spark-marketing.ru/Card/Person/1777656", "МАОУ ГИМНАЗИЯ № 12 ГОРОДА ТЮМЕНИ")</f>
        <v>МАОУ ГИМНАЗИЯ № 12 ГОРОДА ТЮМЕНИ</v>
      </c>
      <c r="B15037" s="24" t="s">
        <v>19883</v>
      </c>
      <c r="C15037" s="25">
        <v>21853020</v>
      </c>
      <c r="D15037" s="22" t="s">
        <v>19878</v>
      </c>
      <c r="E15037" s="22" t="s">
        <v>362</v>
      </c>
      <c r="F15037" s="23" t="str">
        <f t="shared" si="515"/>
        <v>Оказание услуги по обеспечению питанием обучающихся</v>
      </c>
      <c r="G15037" s="22" t="s">
        <v>766</v>
      </c>
      <c r="H15037" s="22" t="s">
        <v>1028</v>
      </c>
      <c r="I15037" s="26">
        <v>43642.793182870402</v>
      </c>
      <c r="J15037" s="28" t="s">
        <v>51</v>
      </c>
      <c r="K15037" s="28" t="s">
        <v>51</v>
      </c>
      <c r="L15037" s="28" t="s">
        <v>51</v>
      </c>
      <c r="M15037" s="28" t="s">
        <v>51</v>
      </c>
      <c r="N15037" s="27">
        <v>2.1266182110538292E-2</v>
      </c>
    </row>
    <row r="15038" spans="1:14" hidden="1" outlineLevel="1" x14ac:dyDescent="0.2">
      <c r="A15038" s="23" t="str">
        <f>HYPERLINK("https://www.spark-marketing.ru/Card/Person/1777914", "МАОУ СОШ №9 ГОРОДА ТЮМЕНИ С УГЛУБЛЕННЫМ ИЗУЧЕНИЕМ КРАЕВЕДЕНИЯ")</f>
        <v>МАОУ СОШ №9 ГОРОДА ТЮМЕНИ С УГЛУБЛЕННЫМ ИЗУЧЕНИЕМ КРАЕВЕДЕНИЯ</v>
      </c>
      <c r="B15038" s="24" t="s">
        <v>19884</v>
      </c>
      <c r="C15038" s="25">
        <v>34660550</v>
      </c>
      <c r="D15038" s="22" t="s">
        <v>19878</v>
      </c>
      <c r="E15038" s="22" t="s">
        <v>362</v>
      </c>
      <c r="F15038" s="23" t="str">
        <f t="shared" si="515"/>
        <v>Оказание услуги по обеспечению питанием обучающихся</v>
      </c>
      <c r="G15038" s="22" t="s">
        <v>766</v>
      </c>
      <c r="H15038" s="22" t="s">
        <v>1028</v>
      </c>
      <c r="I15038" s="26">
        <v>43642.793182870402</v>
      </c>
      <c r="J15038" s="28" t="s">
        <v>51</v>
      </c>
      <c r="K15038" s="28" t="s">
        <v>51</v>
      </c>
      <c r="L15038" s="28" t="s">
        <v>51</v>
      </c>
      <c r="M15038" s="28" t="s">
        <v>51</v>
      </c>
      <c r="N15038" s="27">
        <v>2.1266182110538292E-2</v>
      </c>
    </row>
    <row r="15039" spans="1:14" hidden="1" outlineLevel="1" x14ac:dyDescent="0.2">
      <c r="A15039" s="23" t="str">
        <f>HYPERLINK("https://www.spark-marketing.ru/Card/Person/2282564", "МАОУ ООШ № 52 ГОРОДА ТЮМЕНИ")</f>
        <v>МАОУ ООШ № 52 ГОРОДА ТЮМЕНИ</v>
      </c>
      <c r="B15039" s="24" t="s">
        <v>19885</v>
      </c>
      <c r="C15039" s="25">
        <v>6174040</v>
      </c>
      <c r="D15039" s="22" t="s">
        <v>19878</v>
      </c>
      <c r="E15039" s="22" t="s">
        <v>362</v>
      </c>
      <c r="F15039" s="23" t="str">
        <f t="shared" si="515"/>
        <v>Оказание услуги по обеспечению питанием обучающихся</v>
      </c>
      <c r="G15039" s="22" t="s">
        <v>766</v>
      </c>
      <c r="H15039" s="22" t="s">
        <v>1028</v>
      </c>
      <c r="I15039" s="26">
        <v>43642.793182870402</v>
      </c>
      <c r="J15039" s="28" t="s">
        <v>51</v>
      </c>
      <c r="K15039" s="28" t="s">
        <v>51</v>
      </c>
      <c r="L15039" s="28" t="s">
        <v>51</v>
      </c>
      <c r="M15039" s="28" t="s">
        <v>51</v>
      </c>
      <c r="N15039" s="27">
        <v>2.1266182110538292E-2</v>
      </c>
    </row>
    <row r="15040" spans="1:14" hidden="1" outlineLevel="1" x14ac:dyDescent="0.2">
      <c r="A15040" s="23" t="str">
        <f>HYPERLINK("https://www.spark-marketing.ru/Card/Person/4434565", "МАОУ СОШ №45 ГОРОДА ТЮМЕНИ")</f>
        <v>МАОУ СОШ №45 ГОРОДА ТЮМЕНИ</v>
      </c>
      <c r="B15040" s="24" t="s">
        <v>19886</v>
      </c>
      <c r="C15040" s="25">
        <v>35442400</v>
      </c>
      <c r="D15040" s="22" t="s">
        <v>19878</v>
      </c>
      <c r="E15040" s="22" t="s">
        <v>362</v>
      </c>
      <c r="F15040" s="23" t="str">
        <f t="shared" si="515"/>
        <v>Оказание услуги по обеспечению питанием обучающихся</v>
      </c>
      <c r="G15040" s="22" t="s">
        <v>766</v>
      </c>
      <c r="H15040" s="22" t="s">
        <v>1028</v>
      </c>
      <c r="I15040" s="26">
        <v>43642.793182870402</v>
      </c>
      <c r="J15040" s="28" t="s">
        <v>51</v>
      </c>
      <c r="K15040" s="28" t="s">
        <v>51</v>
      </c>
      <c r="L15040" s="28" t="s">
        <v>51</v>
      </c>
      <c r="M15040" s="28" t="s">
        <v>51</v>
      </c>
      <c r="N15040" s="27">
        <v>2.1266182110538292E-2</v>
      </c>
    </row>
    <row r="15041" spans="1:14" hidden="1" outlineLevel="1" x14ac:dyDescent="0.2">
      <c r="A15041" s="23" t="str">
        <f>HYPERLINK("https://www.spark-marketing.ru/Card/Person/4450735", "МАОУ ЛИЦЕЙ №81 ГОРОДА ТЮМЕНИ")</f>
        <v>МАОУ ЛИЦЕЙ №81 ГОРОДА ТЮМЕНИ</v>
      </c>
      <c r="B15041" s="24" t="s">
        <v>19887</v>
      </c>
      <c r="C15041" s="25">
        <v>59166550</v>
      </c>
      <c r="D15041" s="22" t="s">
        <v>19878</v>
      </c>
      <c r="E15041" s="22" t="s">
        <v>362</v>
      </c>
      <c r="F15041" s="23" t="str">
        <f t="shared" si="515"/>
        <v>Оказание услуги по обеспечению питанием обучающихся</v>
      </c>
      <c r="G15041" s="22" t="s">
        <v>766</v>
      </c>
      <c r="H15041" s="22" t="s">
        <v>1028</v>
      </c>
      <c r="I15041" s="26">
        <v>43642.793182870402</v>
      </c>
      <c r="J15041" s="28" t="s">
        <v>51</v>
      </c>
      <c r="K15041" s="28" t="s">
        <v>51</v>
      </c>
      <c r="L15041" s="28" t="s">
        <v>51</v>
      </c>
      <c r="M15041" s="28" t="s">
        <v>51</v>
      </c>
      <c r="N15041" s="27">
        <v>2.1266182110538292E-2</v>
      </c>
    </row>
    <row r="15042" spans="1:14" x14ac:dyDescent="0.2">
      <c r="A15042" s="23" t="str">
        <f>HYPERLINK("https://www.spark-marketing.ru/Card/Person/68855", "АО ""АК ""ЖДЯ""")</f>
        <v>АО "АК "ЖДЯ"</v>
      </c>
      <c r="B15042" s="24" t="s">
        <v>19888</v>
      </c>
      <c r="C15042" s="25">
        <v>16254000</v>
      </c>
      <c r="D15042" s="22" t="s">
        <v>19889</v>
      </c>
      <c r="E15042" s="22" t="s">
        <v>1412</v>
      </c>
      <c r="F15042" s="23" t="str">
        <f>HYPERLINK("https://www.spark-marketing.ru/Card/Lot/71690447", "Оказание услуг по обеспечению питанием пассажиров в беспересадочных вагонах Нижний Бестях - Нерюнгри-пасс. формирования АО «АК «ЖДЯ»")</f>
        <v>Оказание услуг по обеспечению питанием пассажиров в беспересадочных вагонах Нижний Бестях - Нерюнгри-пасс. формирования АО «АК «ЖДЯ»</v>
      </c>
      <c r="G15042" s="22" t="s">
        <v>241</v>
      </c>
      <c r="H15042" s="22" t="s">
        <v>241</v>
      </c>
      <c r="I15042" s="26">
        <v>43642.7827777778</v>
      </c>
      <c r="J15042" s="28" t="s">
        <v>51</v>
      </c>
      <c r="K15042" s="28" t="s">
        <v>51</v>
      </c>
      <c r="L15042" s="22" t="s">
        <v>10</v>
      </c>
      <c r="M15042" s="25">
        <v>16254000</v>
      </c>
      <c r="N15042" s="27">
        <v>0</v>
      </c>
    </row>
    <row r="15043" spans="1:14" x14ac:dyDescent="0.15">
      <c r="A15043" s="23" t="str">
        <f>HYPERLINK("https://www.spark-marketing.ru/Card/Person/5948466", "МОАУ ""СОШ № 86""")</f>
        <v>МОАУ "СОШ № 86"</v>
      </c>
      <c r="B15043" s="24" t="s">
        <v>19890</v>
      </c>
      <c r="C15043" s="25">
        <v>332950.8</v>
      </c>
      <c r="D15043" s="22" t="s">
        <v>19891</v>
      </c>
      <c r="E15043" s="22" t="s">
        <v>362</v>
      </c>
      <c r="F15043" s="23" t="str">
        <f>HYPERLINK("https://www.spark-marketing.ru/Card/Lot/71701032", "оказание услуг по организации питания в лагере дневного пребывания")</f>
        <v>оказание услуг по организации питания в лагере дневного пребывания</v>
      </c>
      <c r="G15043" s="22" t="s">
        <v>132</v>
      </c>
      <c r="H15043" s="22" t="s">
        <v>132</v>
      </c>
      <c r="I15043" s="26">
        <v>43642.750914351898</v>
      </c>
      <c r="J15043" s="28" t="s">
        <v>51</v>
      </c>
      <c r="K15043" s="28" t="s">
        <v>51</v>
      </c>
      <c r="L15043" s="28" t="s">
        <v>51</v>
      </c>
      <c r="M15043" s="28" t="s">
        <v>51</v>
      </c>
      <c r="N15043" s="28" t="s">
        <v>51</v>
      </c>
    </row>
    <row r="15044" spans="1:14" x14ac:dyDescent="0.15">
      <c r="A15044" s="23" t="str">
        <f>HYPERLINK("https://www.spark-marketing.ru/Card/Person/91929", "МУ МВД РОССИИ ""СЕРПУХОВСКОЕ""")</f>
        <v>МУ МВД РОССИИ "СЕРПУХОВСКОЕ"</v>
      </c>
      <c r="B15044" s="24" t="s">
        <v>8229</v>
      </c>
      <c r="C15044" s="25">
        <v>30490</v>
      </c>
      <c r="D15044" s="22" t="s">
        <v>19892</v>
      </c>
      <c r="E15044" s="22" t="s">
        <v>48</v>
      </c>
      <c r="F15044" s="23" t="str">
        <f>HYPERLINK("https://www.spark-marketing.ru/Card/Lot/71711729", "Оказание услуг по питанию граждан, находящихся в ИВС МУ МВД России «Серпуховское».")</f>
        <v>Оказание услуг по питанию граждан, находящихся в ИВС МУ МВД России «Серпуховское».</v>
      </c>
      <c r="G15044" s="22" t="s">
        <v>49</v>
      </c>
      <c r="H15044" s="22" t="s">
        <v>8231</v>
      </c>
      <c r="I15044" s="26">
        <v>43642.740277777797</v>
      </c>
      <c r="J15044" s="28" t="s">
        <v>51</v>
      </c>
      <c r="K15044" s="28" t="s">
        <v>51</v>
      </c>
      <c r="L15044" s="28" t="s">
        <v>51</v>
      </c>
      <c r="M15044" s="28" t="s">
        <v>51</v>
      </c>
      <c r="N15044" s="28" t="s">
        <v>51</v>
      </c>
    </row>
    <row r="15045" spans="1:14" x14ac:dyDescent="0.15">
      <c r="A15045" s="23" t="str">
        <f>HYPERLINK("https://www.spark-marketing.ru/Card/Person/10607", "ГБУ ДСЗМ")</f>
        <v>ГБУ ДСЗМ</v>
      </c>
      <c r="B15045" s="24" t="s">
        <v>3052</v>
      </c>
      <c r="C15045" s="25">
        <v>3265500</v>
      </c>
      <c r="D15045" s="22" t="s">
        <v>19893</v>
      </c>
      <c r="E15045" s="22" t="s">
        <v>96</v>
      </c>
      <c r="F15045" s="23" t="str">
        <f>HYPERLINK("https://www.spark-marketing.ru/Card/Lot/71709961", "Услуги по организации питания и ресторанного обслуживания для подготовки и проведения Чемпионата Европы по пляжному волейболу")</f>
        <v>Услуги по организации питания и ресторанного обслуживания для подготовки и проведения Чемпионата Европы по пляжному волейболу</v>
      </c>
      <c r="G15045" s="22" t="s">
        <v>56</v>
      </c>
      <c r="H15045" s="22" t="s">
        <v>56</v>
      </c>
      <c r="I15045" s="26">
        <v>43642.71875</v>
      </c>
      <c r="J15045" s="28" t="s">
        <v>51</v>
      </c>
      <c r="K15045" s="28" t="s">
        <v>51</v>
      </c>
      <c r="L15045" s="28" t="s">
        <v>51</v>
      </c>
      <c r="M15045" s="28" t="s">
        <v>51</v>
      </c>
      <c r="N15045" s="28" t="s">
        <v>51</v>
      </c>
    </row>
    <row r="15046" spans="1:14" hidden="1" outlineLevel="1" x14ac:dyDescent="0.2">
      <c r="A15046" s="23" t="str">
        <f>HYPERLINK("https://www.spark-marketing.ru/Card/Person/10607", "ГБУ ДСЗМ")</f>
        <v>ГБУ ДСЗМ</v>
      </c>
      <c r="B15046" s="24" t="s">
        <v>3052</v>
      </c>
      <c r="C15046" s="25">
        <v>3265500</v>
      </c>
      <c r="D15046" s="22" t="s">
        <v>19893</v>
      </c>
      <c r="E15046" s="22" t="s">
        <v>96</v>
      </c>
      <c r="F15046" s="23" t="str">
        <f>HYPERLINK("https://www.spark-marketing.ru/Card/Lot/71709961", "Услуги по организации питания и ресторанного обслуживания для подготовки и проведения Чемпионата Европы по пляжному волейболу")</f>
        <v>Услуги по организации питания и ресторанного обслуживания для подготовки и проведения Чемпионата Европы по пляжному волейболу</v>
      </c>
      <c r="G15046" s="22" t="s">
        <v>56</v>
      </c>
      <c r="H15046" s="22" t="s">
        <v>56</v>
      </c>
      <c r="I15046" s="26">
        <v>43642.71875</v>
      </c>
      <c r="J15046" s="23" t="str">
        <f>HYPERLINK("https://www.spark-marketing.ru/Card/Person/5970918", "ООО ""ПРОФИ КЕЙТЕРИНГ""")</f>
        <v>ООО "ПРОФИ КЕЙТЕРИНГ"</v>
      </c>
      <c r="K15046" s="24" t="s">
        <v>11841</v>
      </c>
      <c r="L15046" s="28" t="s">
        <v>51</v>
      </c>
      <c r="M15046" s="25">
        <v>2650000</v>
      </c>
      <c r="N15046" s="27">
        <v>0.18848568366253254</v>
      </c>
    </row>
    <row r="15047" spans="1:14" hidden="1" outlineLevel="1" x14ac:dyDescent="0.2">
      <c r="A15047" s="23" t="str">
        <f>HYPERLINK("https://www.spark-marketing.ru/Card/Person/10607", "ГБУ ДСЗМ")</f>
        <v>ГБУ ДСЗМ</v>
      </c>
      <c r="B15047" s="24" t="s">
        <v>3052</v>
      </c>
      <c r="C15047" s="25">
        <v>3265500</v>
      </c>
      <c r="D15047" s="22" t="s">
        <v>19893</v>
      </c>
      <c r="E15047" s="22" t="s">
        <v>96</v>
      </c>
      <c r="F15047" s="23" t="str">
        <f>HYPERLINK("https://www.spark-marketing.ru/Card/Lot/71709961", "Услуги по организации питания и ресторанного обслуживания для подготовки и проведения Чемпионата Европы по пляжному волейболу")</f>
        <v>Услуги по организации питания и ресторанного обслуживания для подготовки и проведения Чемпионата Европы по пляжному волейболу</v>
      </c>
      <c r="G15047" s="22" t="s">
        <v>56</v>
      </c>
      <c r="H15047" s="22" t="s">
        <v>56</v>
      </c>
      <c r="I15047" s="26">
        <v>43642.71875</v>
      </c>
      <c r="J15047" s="23" t="str">
        <f>HYPERLINK("https://www.spark-marketing.ru/Card/Person/6391853", "ООО ""АЛЬДЖЕНСА""")</f>
        <v>ООО "АЛЬДЖЕНСА"</v>
      </c>
      <c r="K15047" s="24" t="s">
        <v>2499</v>
      </c>
      <c r="L15047" s="28" t="s">
        <v>51</v>
      </c>
      <c r="M15047" s="25">
        <v>3000000</v>
      </c>
      <c r="N15047" s="27">
        <v>8.1304547542489669E-2</v>
      </c>
    </row>
    <row r="15048" spans="1:14" ht="12.75" hidden="1" outlineLevel="1" x14ac:dyDescent="0.2">
      <c r="A15048" s="23" t="str">
        <f>HYPERLINK("https://www.spark-marketing.ru/Card/Person/10607", "ГБУ ДСЗМ")</f>
        <v>ГБУ ДСЗМ</v>
      </c>
      <c r="B15048" s="24" t="s">
        <v>3052</v>
      </c>
      <c r="C15048" s="25">
        <v>3265500</v>
      </c>
      <c r="D15048" s="22" t="s">
        <v>19893</v>
      </c>
      <c r="E15048" s="22" t="s">
        <v>96</v>
      </c>
      <c r="F15048" s="23" t="str">
        <f>HYPERLINK("https://www.spark-marketing.ru/Card/Lot/71709961", "Услуги по организации питания и ресторанного обслуживания для подготовки и проведения Чемпионата Европы по пляжному волейболу")</f>
        <v>Услуги по организации питания и ресторанного обслуживания для подготовки и проведения Чемпионата Европы по пляжному волейболу</v>
      </c>
      <c r="G15048" s="22" t="s">
        <v>56</v>
      </c>
      <c r="H15048" s="22" t="s">
        <v>56</v>
      </c>
      <c r="I15048" s="26">
        <v>43642.71875</v>
      </c>
      <c r="J15048" s="23" t="str">
        <f>HYPERLINK("https://www.spark-marketing.ru/Card/Person/5903989", "ООО ""ВОСТОК""")</f>
        <v>ООО "ВОСТОК"</v>
      </c>
      <c r="K15048" s="24" t="s">
        <v>5855</v>
      </c>
      <c r="L15048" s="22" t="s">
        <v>10</v>
      </c>
      <c r="M15048" s="25">
        <v>2612400</v>
      </c>
      <c r="N15048" s="27">
        <v>0.2</v>
      </c>
    </row>
    <row r="15049" spans="1:14" hidden="1" outlineLevel="1" x14ac:dyDescent="0.2">
      <c r="A15049" s="23" t="str">
        <f>HYPERLINK("https://www.spark-marketing.ru/Card/Person/10607", "ГБУ ДСЗМ")</f>
        <v>ГБУ ДСЗМ</v>
      </c>
      <c r="B15049" s="24" t="s">
        <v>3052</v>
      </c>
      <c r="C15049" s="25">
        <v>3265500</v>
      </c>
      <c r="D15049" s="22" t="s">
        <v>19893</v>
      </c>
      <c r="E15049" s="22" t="s">
        <v>96</v>
      </c>
      <c r="F15049" s="23" t="str">
        <f>HYPERLINK("https://www.spark-marketing.ru/Card/Lot/71709961", "Услуги по организации питания и ресторанного обслуживания для подготовки и проведения Чемпионата Европы по пляжному волейболу")</f>
        <v>Услуги по организации питания и ресторанного обслуживания для подготовки и проведения Чемпионата Европы по пляжному волейболу</v>
      </c>
      <c r="G15049" s="22" t="s">
        <v>56</v>
      </c>
      <c r="H15049" s="22" t="s">
        <v>56</v>
      </c>
      <c r="I15049" s="26">
        <v>43642.71875</v>
      </c>
      <c r="J15049" s="23" t="str">
        <f>HYPERLINK("https://www.spark-marketing.ru/Card/Person/721103", "ООО ""ЕСЛ ГРУПП""")</f>
        <v>ООО "ЕСЛ ГРУПП"</v>
      </c>
      <c r="K15049" s="24" t="s">
        <v>10836</v>
      </c>
      <c r="L15049" s="28" t="s">
        <v>51</v>
      </c>
      <c r="M15049" s="25">
        <v>2775600</v>
      </c>
      <c r="N15049" s="27">
        <v>0.15002296738631143</v>
      </c>
    </row>
    <row r="15050" spans="1:14" x14ac:dyDescent="0.15">
      <c r="A15050" s="23" t="str">
        <f>HYPERLINK("https://www.spark-marketing.ru/Card/Person/150223", "БУ ""РЕСУРСНЫЙ ЦЕНТР РАЗВИТИЯ СОЦИАЛЬНОГО ОБСЛУЖИВАНИЯ""")</f>
        <v>БУ "РЕСУРСНЫЙ ЦЕНТР РАЗВИТИЯ СОЦИАЛЬНОГО ОБСЛУЖИВАНИЯ"</v>
      </c>
      <c r="B15050" s="24" t="s">
        <v>19894</v>
      </c>
      <c r="C15050" s="25">
        <v>40000</v>
      </c>
      <c r="D15050" s="22" t="s">
        <v>19895</v>
      </c>
      <c r="E15050" s="22" t="s">
        <v>51</v>
      </c>
      <c r="F15050" s="23" t="str">
        <f>HYPERLINK("https://www.spark-marketing.ru/Card/Lot/71699214", "Оказание услуг по проведению семинара «Управление качеством и безопасностью продуктов питания»")</f>
        <v>Оказание услуг по проведению семинара «Управление качеством и безопасностью продуктов питания»</v>
      </c>
      <c r="G15050" s="22" t="s">
        <v>97</v>
      </c>
      <c r="H15050" s="22" t="s">
        <v>3533</v>
      </c>
      <c r="I15050" s="26">
        <v>43642.716666666704</v>
      </c>
      <c r="J15050" s="28" t="s">
        <v>51</v>
      </c>
      <c r="K15050" s="28" t="s">
        <v>51</v>
      </c>
      <c r="L15050" s="28" t="s">
        <v>51</v>
      </c>
      <c r="M15050" s="28" t="s">
        <v>51</v>
      </c>
      <c r="N15050" s="28" t="s">
        <v>51</v>
      </c>
    </row>
    <row r="15051" spans="1:14" ht="12.75" hidden="1" outlineLevel="1" x14ac:dyDescent="0.2">
      <c r="A15051" s="23" t="str">
        <f>HYPERLINK("https://www.spark-marketing.ru/Card/Person/150223", "БУ ""РЕСУРСНЫЙ ЦЕНТР РАЗВИТИЯ СОЦИАЛЬНОГО ОБСЛУЖИВАНИЯ""")</f>
        <v>БУ "РЕСУРСНЫЙ ЦЕНТР РАЗВИТИЯ СОЦИАЛЬНОГО ОБСЛУЖИВАНИЯ"</v>
      </c>
      <c r="B15051" s="24" t="s">
        <v>19894</v>
      </c>
      <c r="C15051" s="25">
        <v>40000</v>
      </c>
      <c r="D15051" s="22" t="s">
        <v>19895</v>
      </c>
      <c r="E15051" s="22" t="s">
        <v>51</v>
      </c>
      <c r="F15051" s="23" t="str">
        <f>HYPERLINK("https://www.spark-marketing.ru/Card/Lot/71699214", "Оказание услуг по проведению семинара «Управление качеством и безопасностью продуктов питания»")</f>
        <v>Оказание услуг по проведению семинара «Управление качеством и безопасностью продуктов питания»</v>
      </c>
      <c r="G15051" s="22" t="s">
        <v>97</v>
      </c>
      <c r="H15051" s="22" t="s">
        <v>3533</v>
      </c>
      <c r="I15051" s="26">
        <v>43642.716666666704</v>
      </c>
      <c r="J15051" s="23" t="str">
        <f>HYPERLINK("https://www.spark-marketing.ru/Card/Person/149703", "НОЧУ ""ИНСТИТУТ ПРОФЕССИОНАЛЬНОЙ ПЕРЕПОДГОТОВКИ И ДОПОЛНИТЕЛЬНОГО ОБРАЗОВАНИЯ""")</f>
        <v>НОЧУ "ИНСТИТУТ ПРОФЕССИОНАЛЬНОЙ ПЕРЕПОДГОТОВКИ И ДОПОЛНИТЕЛЬНОГО ОБРАЗОВАНИЯ"</v>
      </c>
      <c r="K15051" s="24" t="s">
        <v>19896</v>
      </c>
      <c r="L15051" s="22" t="s">
        <v>10</v>
      </c>
      <c r="M15051" s="25">
        <v>34800</v>
      </c>
      <c r="N15051" s="27">
        <v>0.13</v>
      </c>
    </row>
    <row r="15052" spans="1:14" hidden="1" outlineLevel="1" x14ac:dyDescent="0.2">
      <c r="A15052" s="23" t="str">
        <f>HYPERLINK("https://www.spark-marketing.ru/Card/Person/150223", "БУ ""РЕСУРСНЫЙ ЦЕНТР РАЗВИТИЯ СОЦИАЛЬНОГО ОБСЛУЖИВАНИЯ""")</f>
        <v>БУ "РЕСУРСНЫЙ ЦЕНТР РАЗВИТИЯ СОЦИАЛЬНОГО ОБСЛУЖИВАНИЯ"</v>
      </c>
      <c r="B15052" s="24" t="s">
        <v>19894</v>
      </c>
      <c r="C15052" s="25">
        <v>40000</v>
      </c>
      <c r="D15052" s="22" t="s">
        <v>19895</v>
      </c>
      <c r="E15052" s="22" t="s">
        <v>51</v>
      </c>
      <c r="F15052" s="23" t="str">
        <f>HYPERLINK("https://www.spark-marketing.ru/Card/Lot/71699214", "Оказание услуг по проведению семинара «Управление качеством и безопасностью продуктов питания»")</f>
        <v>Оказание услуг по проведению семинара «Управление качеством и безопасностью продуктов питания»</v>
      </c>
      <c r="G15052" s="22" t="s">
        <v>97</v>
      </c>
      <c r="H15052" s="22" t="s">
        <v>3533</v>
      </c>
      <c r="I15052" s="26">
        <v>43642.716666666704</v>
      </c>
      <c r="J15052" s="23" t="str">
        <f>HYPERLINK("https://www.spark-marketing.ru/Card/Person/6203740", "АНО ДПО ""НПУЦ""")</f>
        <v>АНО ДПО "НПУЦ"</v>
      </c>
      <c r="K15052" s="24" t="s">
        <v>19897</v>
      </c>
      <c r="L15052" s="28" t="s">
        <v>51</v>
      </c>
      <c r="M15052" s="25">
        <v>35000</v>
      </c>
      <c r="N15052" s="27">
        <v>0.125</v>
      </c>
    </row>
    <row r="15053" spans="1:14" x14ac:dyDescent="0.15">
      <c r="A15053" s="23" t="str">
        <f>HYPERLINK("https://www.spark-marketing.ru/Card/Person/70482", "КОМИТЕТ ПО ПЕЧАТИ ЛЕНИНГРАДСКОЙ ОБЛАСТИ")</f>
        <v>КОМИТЕТ ПО ПЕЧАТИ ЛЕНИНГРАДСКОЙ ОБЛАСТИ</v>
      </c>
      <c r="B15053" s="24" t="s">
        <v>19847</v>
      </c>
      <c r="C15053" s="25">
        <v>1715000</v>
      </c>
      <c r="D15053" s="22" t="s">
        <v>19898</v>
      </c>
      <c r="E15053" s="22" t="s">
        <v>55</v>
      </c>
      <c r="F15053" s="23" t="str">
        <f>HYPERLINK("https://www.spark-marketing.ru/Card/Lot/71709647", "Оказание услуг по организации размещения и питания участников Гражданского форума Ленинградской области")</f>
        <v>Оказание услуг по организации размещения и питания участников Гражданского форума Ленинградской области</v>
      </c>
      <c r="G15053" s="22" t="s">
        <v>117</v>
      </c>
      <c r="H15053" s="22" t="s">
        <v>117</v>
      </c>
      <c r="I15053" s="26">
        <v>43642.712500000001</v>
      </c>
      <c r="J15053" s="28" t="s">
        <v>51</v>
      </c>
      <c r="K15053" s="28" t="s">
        <v>51</v>
      </c>
      <c r="L15053" s="28" t="s">
        <v>51</v>
      </c>
      <c r="M15053" s="28" t="s">
        <v>51</v>
      </c>
      <c r="N15053" s="28" t="s">
        <v>51</v>
      </c>
    </row>
    <row r="15054" spans="1:14" hidden="1" outlineLevel="1" x14ac:dyDescent="0.2">
      <c r="A15054" s="23" t="str">
        <f>HYPERLINK("https://www.spark-marketing.ru/Card/Person/70482", "КОМИТЕТ ПО ПЕЧАТИ ЛЕНИНГРАДСКОЙ ОБЛАСТИ")</f>
        <v>КОМИТЕТ ПО ПЕЧАТИ ЛЕНИНГРАДСКОЙ ОБЛАСТИ</v>
      </c>
      <c r="B15054" s="24" t="s">
        <v>19847</v>
      </c>
      <c r="C15054" s="25">
        <v>1715000</v>
      </c>
      <c r="D15054" s="22" t="s">
        <v>19898</v>
      </c>
      <c r="E15054" s="22" t="s">
        <v>55</v>
      </c>
      <c r="F15054" s="23" t="str">
        <f>HYPERLINK("https://www.spark-marketing.ru/Card/Lot/71709647", "Оказание услуг по организации размещения и питания участников Гражданского форума Ленинградской области")</f>
        <v>Оказание услуг по организации размещения и питания участников Гражданского форума Ленинградской области</v>
      </c>
      <c r="G15054" s="22" t="s">
        <v>117</v>
      </c>
      <c r="H15054" s="22" t="s">
        <v>117</v>
      </c>
      <c r="I15054" s="26">
        <v>43642.712500000001</v>
      </c>
      <c r="J15054" s="23" t="str">
        <f>HYPERLINK("https://www.spark-marketing.ru/Card/Person/135848", "ООО ""ИНТЕЛМЕДИА""")</f>
        <v>ООО "ИНТЕЛМЕДИА"</v>
      </c>
      <c r="K15054" s="24" t="s">
        <v>19899</v>
      </c>
      <c r="L15054" s="28" t="s">
        <v>51</v>
      </c>
      <c r="M15054" s="25">
        <v>1710000</v>
      </c>
      <c r="N15054" s="27">
        <v>2.9154518950437317E-3</v>
      </c>
    </row>
    <row r="15055" spans="1:14" ht="12.75" hidden="1" outlineLevel="1" x14ac:dyDescent="0.2">
      <c r="A15055" s="23" t="str">
        <f>HYPERLINK("https://www.spark-marketing.ru/Card/Person/70482", "КОМИТЕТ ПО ПЕЧАТИ ЛЕНИНГРАДСКОЙ ОБЛАСТИ")</f>
        <v>КОМИТЕТ ПО ПЕЧАТИ ЛЕНИНГРАДСКОЙ ОБЛАСТИ</v>
      </c>
      <c r="B15055" s="24" t="s">
        <v>19847</v>
      </c>
      <c r="C15055" s="25">
        <v>1715000</v>
      </c>
      <c r="D15055" s="22" t="s">
        <v>19898</v>
      </c>
      <c r="E15055" s="22" t="s">
        <v>55</v>
      </c>
      <c r="F15055" s="23" t="str">
        <f>HYPERLINK("https://www.spark-marketing.ru/Card/Lot/71709647", "Оказание услуг по организации размещения и питания участников Гражданского форума Ленинградской области")</f>
        <v>Оказание услуг по организации размещения и питания участников Гражданского форума Ленинградской области</v>
      </c>
      <c r="G15055" s="22" t="s">
        <v>117</v>
      </c>
      <c r="H15055" s="22" t="s">
        <v>117</v>
      </c>
      <c r="I15055" s="26">
        <v>43642.712500000001</v>
      </c>
      <c r="J15055" s="23" t="str">
        <f>HYPERLINK("https://www.spark-marketing.ru/Card/Person/4432577", "ООО ""ОЗОН""")</f>
        <v>ООО "ОЗОН"</v>
      </c>
      <c r="K15055" s="24" t="s">
        <v>19849</v>
      </c>
      <c r="L15055" s="22" t="s">
        <v>10</v>
      </c>
      <c r="M15055" s="25">
        <v>1665000</v>
      </c>
      <c r="N15055" s="27">
        <v>2.9154518950437316E-2</v>
      </c>
    </row>
    <row r="15056" spans="1:14" x14ac:dyDescent="0.15">
      <c r="A15056" s="23" t="str">
        <f>HYPERLINK("https://www.spark-marketing.ru/Card/Person/91929", "МУ МВД РОССИИ ""СЕРПУХОВСКОЕ""")</f>
        <v>МУ МВД РОССИИ "СЕРПУХОВСКОЕ"</v>
      </c>
      <c r="B15056" s="24" t="s">
        <v>8229</v>
      </c>
      <c r="C15056" s="25">
        <v>30490</v>
      </c>
      <c r="D15056" s="22" t="s">
        <v>19900</v>
      </c>
      <c r="E15056" s="22" t="s">
        <v>48</v>
      </c>
      <c r="F15056" s="23" t="str">
        <f>HYPERLINK("https://www.spark-marketing.ru/Card/Lot/71711730", "Оказание услуг по питанию граждан, находящихся в ИВС МУ МВД России «Серпуховское».")</f>
        <v>Оказание услуг по питанию граждан, находящихся в ИВС МУ МВД России «Серпуховское».</v>
      </c>
      <c r="G15056" s="22" t="s">
        <v>49</v>
      </c>
      <c r="H15056" s="22" t="s">
        <v>8231</v>
      </c>
      <c r="I15056" s="26">
        <v>43642.740277777797</v>
      </c>
      <c r="J15056" s="28" t="s">
        <v>51</v>
      </c>
      <c r="K15056" s="28" t="s">
        <v>51</v>
      </c>
      <c r="L15056" s="28" t="s">
        <v>51</v>
      </c>
      <c r="M15056" s="28" t="s">
        <v>51</v>
      </c>
      <c r="N15056" s="28" t="s">
        <v>51</v>
      </c>
    </row>
    <row r="15057" spans="1:14" x14ac:dyDescent="0.15">
      <c r="A15057" s="23" t="str">
        <f>HYPERLINK("https://www.spark-marketing.ru/Card/Person/91929", "МУ МВД РОССИИ ""СЕРПУХОВСКОЕ""")</f>
        <v>МУ МВД РОССИИ "СЕРПУХОВСКОЕ"</v>
      </c>
      <c r="B15057" s="24" t="s">
        <v>8229</v>
      </c>
      <c r="C15057" s="25">
        <v>151280</v>
      </c>
      <c r="D15057" s="22" t="s">
        <v>19901</v>
      </c>
      <c r="E15057" s="22" t="s">
        <v>48</v>
      </c>
      <c r="F15057" s="23" t="str">
        <f>HYPERLINK("https://www.spark-marketing.ru/Card/Lot/71703680", "Оказание услуг по питанию граждан, находящихся в ИВС МУ МВД России «Серпуховское».")</f>
        <v>Оказание услуг по питанию граждан, находящихся в ИВС МУ МВД России «Серпуховское».</v>
      </c>
      <c r="G15057" s="22" t="s">
        <v>49</v>
      </c>
      <c r="H15057" s="22" t="s">
        <v>8231</v>
      </c>
      <c r="I15057" s="26">
        <v>43642.741666666698</v>
      </c>
      <c r="J15057" s="28" t="s">
        <v>51</v>
      </c>
      <c r="K15057" s="28" t="s">
        <v>51</v>
      </c>
      <c r="L15057" s="28" t="s">
        <v>51</v>
      </c>
      <c r="M15057" s="28" t="s">
        <v>51</v>
      </c>
      <c r="N15057" s="28" t="s">
        <v>51</v>
      </c>
    </row>
    <row r="15058" spans="1:14" x14ac:dyDescent="0.15">
      <c r="A15058" s="23" t="str">
        <f>HYPERLINK("https://www.spark-marketing.ru/Card/Person/91929", "МУ МВД РОССИИ ""СЕРПУХОВСКОЕ""")</f>
        <v>МУ МВД РОССИИ "СЕРПУХОВСКОЕ"</v>
      </c>
      <c r="B15058" s="24" t="s">
        <v>8229</v>
      </c>
      <c r="C15058" s="25">
        <v>151280</v>
      </c>
      <c r="D15058" s="22" t="s">
        <v>19902</v>
      </c>
      <c r="E15058" s="22" t="s">
        <v>48</v>
      </c>
      <c r="F15058" s="23" t="str">
        <f>HYPERLINK("https://www.spark-marketing.ru/Card/Lot/71703681", "Оказание услуг по питанию граждан, находящихся в ИВС МУ МВД России «Серпуховское».")</f>
        <v>Оказание услуг по питанию граждан, находящихся в ИВС МУ МВД России «Серпуховское».</v>
      </c>
      <c r="G15058" s="22" t="s">
        <v>49</v>
      </c>
      <c r="H15058" s="22" t="s">
        <v>8231</v>
      </c>
      <c r="I15058" s="26">
        <v>43642.7409722222</v>
      </c>
      <c r="J15058" s="28" t="s">
        <v>51</v>
      </c>
      <c r="K15058" s="28" t="s">
        <v>51</v>
      </c>
      <c r="L15058" s="28" t="s">
        <v>51</v>
      </c>
      <c r="M15058" s="28" t="s">
        <v>51</v>
      </c>
      <c r="N15058" s="28" t="s">
        <v>51</v>
      </c>
    </row>
    <row r="15059" spans="1:14" ht="12.75" x14ac:dyDescent="0.2">
      <c r="A15059" s="23" t="str">
        <f>HYPERLINK("https://www.spark-marketing.ru/Card/Person/4374115", "МБОУ ""СРЕДНЯЯ ОБЩЕОБРАЗОВАТЕЛЬНАЯ ШКОЛА №3 С КРЫМСКОТАТАРСКИМ ЯЗЫКОМ ОБУЧЕНИЯ"" ГОРОДСКОГО ОКРУГА СУДАК")</f>
        <v>МБОУ "СРЕДНЯЯ ОБЩЕОБРАЗОВАТЕЛЬНАЯ ШКОЛА №3 С КРЫМСКОТАТАРСКИМ ЯЗЫКОМ ОБУЧЕНИЯ" ГОРОДСКОГО ОКРУГА СУДАК</v>
      </c>
      <c r="B15059" s="24" t="s">
        <v>19903</v>
      </c>
      <c r="C15059" s="25">
        <v>1702665</v>
      </c>
      <c r="D15059" s="22" t="s">
        <v>19904</v>
      </c>
      <c r="E15059" s="22" t="s">
        <v>48</v>
      </c>
      <c r="F15059" s="23" t="str">
        <f>HYPERLINK("https://www.spark-marketing.ru/Card/Lot/71709613", "Услуги по организации питания для учащихся")</f>
        <v>Услуги по организации питания для учащихся</v>
      </c>
      <c r="G15059" s="22" t="s">
        <v>108</v>
      </c>
      <c r="H15059" s="22" t="s">
        <v>4593</v>
      </c>
      <c r="I15059" s="26">
        <v>43642.71875</v>
      </c>
      <c r="J15059" s="23" t="str">
        <f>HYPERLINK("https://www.spark-marketing.ru/Card/Person/5789450", "Шмакова Наталия Владимировна")</f>
        <v>Шмакова Наталия Владимировна</v>
      </c>
      <c r="K15059" s="24" t="s">
        <v>4594</v>
      </c>
      <c r="L15059" s="22" t="s">
        <v>10</v>
      </c>
      <c r="M15059" s="25">
        <v>1702665</v>
      </c>
      <c r="N15059" s="27">
        <v>0</v>
      </c>
    </row>
    <row r="15060" spans="1:14" x14ac:dyDescent="0.15">
      <c r="A15060" s="23" t="str">
        <f>HYPERLINK("https://www.spark-marketing.ru/Card/Person/769", "ФКУ ""ЦОКР""")</f>
        <v>ФКУ "ЦОКР"</v>
      </c>
      <c r="B15060" s="24" t="s">
        <v>2576</v>
      </c>
      <c r="C15060" s="25">
        <v>3994335.32</v>
      </c>
      <c r="D15060" s="22" t="s">
        <v>19905</v>
      </c>
      <c r="E15060" s="22" t="s">
        <v>91</v>
      </c>
      <c r="F15060" s="23" t="str">
        <f>HYPERLINK("https://www.spark-marketing.ru/Card/Lot/71711162", "Оказание услуг по проведению технического обслуживания и регламентно-профилактического ремонта систем бесперебойного питания для обеспечения государственных нужд территориальных органов Федерального казначейства")</f>
        <v>Оказание услуг по проведению технического обслуживания и регламентно-профилактического ремонта систем бесперебойного питания для обеспечения государственных нужд территориальных органов Федерального казначейства</v>
      </c>
      <c r="G15060" s="22" t="s">
        <v>195</v>
      </c>
      <c r="H15060" s="22" t="s">
        <v>195</v>
      </c>
      <c r="I15060" s="26">
        <v>43642.737500000003</v>
      </c>
      <c r="J15060" s="23" t="str">
        <f>HYPERLINK("https://www.spark-marketing.ru/Card/Person/132986", "ООО ""ЦИБ""")</f>
        <v>ООО "ЦИБ"</v>
      </c>
      <c r="K15060" s="24" t="s">
        <v>17269</v>
      </c>
      <c r="L15060" s="22" t="s">
        <v>10</v>
      </c>
      <c r="M15060" s="28" t="s">
        <v>51</v>
      </c>
      <c r="N15060" s="28" t="s">
        <v>51</v>
      </c>
    </row>
    <row r="15061" spans="1:14" x14ac:dyDescent="0.15">
      <c r="A15061" s="23" t="str">
        <f>HYPERLINK("https://www.spark-marketing.ru/Card/Person/90893", "УМВД РОССИИ ПО ГОРОДСКОМУ ОКРУГУ ПОДОЛЬСК")</f>
        <v>УМВД РОССИИ ПО ГОРОДСКОМУ ОКРУГУ ПОДОЛЬСК</v>
      </c>
      <c r="B15061" s="24" t="s">
        <v>13395</v>
      </c>
      <c r="C15061" s="25">
        <v>710000</v>
      </c>
      <c r="D15061" s="22" t="s">
        <v>19906</v>
      </c>
      <c r="E15061" s="22" t="s">
        <v>19907</v>
      </c>
      <c r="F15061" s="23" t="str">
        <f>HYPERLINK("https://www.spark-marketing.ru/Card/Lot/71708598", "Подготовка административного здания УМВД России по городскому округу Подольск к отопительному сезону.")</f>
        <v>Подготовка административного здания УМВД России по городскому округу Подольск к отопительному сезону.</v>
      </c>
      <c r="G15061" s="22" t="s">
        <v>49</v>
      </c>
      <c r="H15061" s="22" t="s">
        <v>50</v>
      </c>
      <c r="I15061" s="26">
        <v>43642.691666666702</v>
      </c>
      <c r="J15061" s="23" t="str">
        <f>HYPERLINK("https://www.spark-marketing.ru/Card/Person/4716748", "Ерин Вячеслав Юрьевич")</f>
        <v>Ерин Вячеслав Юрьевич</v>
      </c>
      <c r="K15061" s="24" t="s">
        <v>19908</v>
      </c>
      <c r="L15061" s="28" t="s">
        <v>51</v>
      </c>
      <c r="M15061" s="28" t="s">
        <v>51</v>
      </c>
      <c r="N15061" s="28" t="s">
        <v>51</v>
      </c>
    </row>
    <row r="15062" spans="1:14" hidden="1" outlineLevel="1" x14ac:dyDescent="0.15">
      <c r="A15062" s="23" t="str">
        <f>HYPERLINK("https://www.spark-marketing.ru/Card/Person/90893", "УМВД РОССИИ ПО ГОРОДСКОМУ ОКРУГУ ПОДОЛЬСК")</f>
        <v>УМВД РОССИИ ПО ГОРОДСКОМУ ОКРУГУ ПОДОЛЬСК</v>
      </c>
      <c r="B15062" s="24" t="s">
        <v>13395</v>
      </c>
      <c r="C15062" s="25">
        <v>710000</v>
      </c>
      <c r="D15062" s="22" t="s">
        <v>19906</v>
      </c>
      <c r="E15062" s="22" t="s">
        <v>19907</v>
      </c>
      <c r="F15062" s="23" t="str">
        <f>HYPERLINK("https://www.spark-marketing.ru/Card/Lot/71708598", "Подготовка административного здания УМВД России по городскому округу Подольск к отопительному сезону.")</f>
        <v>Подготовка административного здания УМВД России по городскому округу Подольск к отопительному сезону.</v>
      </c>
      <c r="G15062" s="22" t="s">
        <v>49</v>
      </c>
      <c r="H15062" s="22" t="s">
        <v>50</v>
      </c>
      <c r="I15062" s="26">
        <v>43642.691666666702</v>
      </c>
      <c r="J15062" s="23" t="str">
        <f>HYPERLINK("https://www.spark-marketing.ru/Card/Person/4716748", "Ерин Вячеслав Юрьевич")</f>
        <v>Ерин Вячеслав Юрьевич</v>
      </c>
      <c r="K15062" s="24" t="s">
        <v>19908</v>
      </c>
      <c r="L15062" s="22" t="s">
        <v>10</v>
      </c>
      <c r="M15062" s="28" t="s">
        <v>51</v>
      </c>
      <c r="N15062" s="28" t="s">
        <v>51</v>
      </c>
    </row>
    <row r="15063" spans="1:14" x14ac:dyDescent="0.15">
      <c r="A15063" s="23" t="str">
        <f>HYPERLINK("https://www.spark-marketing.ru/Card/Person/1047025", "ОТДМВД РОССИИ ПО ПАЧЕЛМСКОМУ РАЙОНУ")</f>
        <v>ОТДМВД РОССИИ ПО ПАЧЕЛМСКОМУ РАЙОНУ</v>
      </c>
      <c r="B15063" s="24" t="s">
        <v>8612</v>
      </c>
      <c r="C15063" s="25">
        <v>36425</v>
      </c>
      <c r="D15063" s="22" t="s">
        <v>19909</v>
      </c>
      <c r="E15063" s="22" t="s">
        <v>48</v>
      </c>
      <c r="F15063" s="23" t="str">
        <f>HYPERLINK("https://www.spark-marketing.ru/Card/Lot/71699853",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5063" s="22" t="s">
        <v>72</v>
      </c>
      <c r="H15063" s="22" t="s">
        <v>8614</v>
      </c>
      <c r="I15063" s="26">
        <v>43642.7039814815</v>
      </c>
      <c r="J15063" s="28" t="s">
        <v>51</v>
      </c>
      <c r="K15063" s="28" t="s">
        <v>51</v>
      </c>
      <c r="L15063" s="28" t="s">
        <v>51</v>
      </c>
      <c r="M15063" s="28" t="s">
        <v>51</v>
      </c>
      <c r="N15063" s="28" t="s">
        <v>51</v>
      </c>
    </row>
    <row r="15064" spans="1:14" x14ac:dyDescent="0.2">
      <c r="A15064" s="23" t="str">
        <f>HYPERLINK("https://www.spark-marketing.ru/Card/Person/113843", "ОБСУСО ""ДОМ-ИНТЕРНАТ ДЛЯ ВЕТЕРАНОВ ВОЙНЫ И ТРУДА ""ЛЕСНОЕ""")</f>
        <v>ОБСУСО "ДОМ-ИНТЕРНАТ ДЛЯ ВЕТЕРАНОВ ВОЙНЫ И ТРУДА "ЛЕСНОЕ"</v>
      </c>
      <c r="B15064" s="24" t="s">
        <v>19910</v>
      </c>
      <c r="C15064" s="25">
        <v>984151.35</v>
      </c>
      <c r="D15064" s="22" t="s">
        <v>19911</v>
      </c>
      <c r="E15064" s="22" t="s">
        <v>362</v>
      </c>
      <c r="F15064" s="23" t="str">
        <f>HYPERLINK("https://www.spark-marketing.ru/Card/Lot/71701543", "Оказание услуг по организации готового горячего питания")</f>
        <v>Оказание услуг по организации готового горячего питания</v>
      </c>
      <c r="G15064" s="22" t="s">
        <v>1047</v>
      </c>
      <c r="H15064" s="22" t="s">
        <v>1953</v>
      </c>
      <c r="I15064" s="26">
        <v>43642.688854166699</v>
      </c>
      <c r="J15064" s="28" t="s">
        <v>51</v>
      </c>
      <c r="K15064" s="28" t="s">
        <v>51</v>
      </c>
      <c r="L15064" s="22" t="s">
        <v>10</v>
      </c>
      <c r="M15064" s="25">
        <v>901000</v>
      </c>
      <c r="N15064" s="27">
        <v>8.4490408919319165E-2</v>
      </c>
    </row>
    <row r="15065" spans="1:14" x14ac:dyDescent="0.15">
      <c r="A15065" s="23" t="str">
        <f>HYPERLINK("https://www.spark-marketing.ru/Card/Person/5904504", "ГБУЗ ""ОДКБ""")</f>
        <v>ГБУЗ "ОДКБ"</v>
      </c>
      <c r="B15065" s="24" t="s">
        <v>2289</v>
      </c>
      <c r="C15065" s="25">
        <v>5190900.3</v>
      </c>
      <c r="D15065" s="22" t="s">
        <v>19912</v>
      </c>
      <c r="E15065" s="22" t="s">
        <v>809</v>
      </c>
      <c r="F15065" s="23" t="str">
        <f>HYPERLINK("https://www.spark-marketing.ru/Card/Lot/71711636", "На поставку автоматизированного рабочего места для нужд ГБУЗ «ОДКБ»")</f>
        <v>На поставку автоматизированного рабочего места для нужд ГБУЗ «ОДКБ»</v>
      </c>
      <c r="G15065" s="22" t="s">
        <v>132</v>
      </c>
      <c r="H15065" s="22" t="s">
        <v>587</v>
      </c>
      <c r="I15065" s="26">
        <v>43642.704861111102</v>
      </c>
      <c r="J15065" s="28" t="s">
        <v>51</v>
      </c>
      <c r="K15065" s="28" t="s">
        <v>51</v>
      </c>
      <c r="L15065" s="28" t="s">
        <v>51</v>
      </c>
      <c r="M15065" s="28" t="s">
        <v>51</v>
      </c>
      <c r="N15065" s="28" t="s">
        <v>51</v>
      </c>
    </row>
    <row r="15066" spans="1:14" hidden="1" outlineLevel="1" x14ac:dyDescent="0.2">
      <c r="A15066" s="23" t="str">
        <f>HYPERLINK("https://www.spark-marketing.ru/Card/Person/5904504", "ГБУЗ ""ОДКБ""")</f>
        <v>ГБУЗ "ОДКБ"</v>
      </c>
      <c r="B15066" s="24" t="s">
        <v>2289</v>
      </c>
      <c r="C15066" s="25">
        <v>5190900.3</v>
      </c>
      <c r="D15066" s="22" t="s">
        <v>19912</v>
      </c>
      <c r="E15066" s="22" t="s">
        <v>809</v>
      </c>
      <c r="F15066" s="23" t="str">
        <f>HYPERLINK("https://www.spark-marketing.ru/Card/Lot/71711636", "На поставку автоматизированного рабочего места для нужд ГБУЗ «ОДКБ»")</f>
        <v>На поставку автоматизированного рабочего места для нужд ГБУЗ «ОДКБ»</v>
      </c>
      <c r="G15066" s="22" t="s">
        <v>132</v>
      </c>
      <c r="H15066" s="22" t="s">
        <v>587</v>
      </c>
      <c r="I15066" s="26">
        <v>43642.704861111102</v>
      </c>
      <c r="J15066" s="23" t="str">
        <f>HYPERLINK("https://www.spark-marketing.ru/Card/Person/104579", "ООО ""ГАЛАРД""")</f>
        <v>ООО "ГАЛАРД"</v>
      </c>
      <c r="K15066" s="24" t="s">
        <v>19913</v>
      </c>
      <c r="L15066" s="28" t="s">
        <v>51</v>
      </c>
      <c r="M15066" s="25">
        <v>4098814.45</v>
      </c>
      <c r="N15066" s="27">
        <v>0.2103846706514475</v>
      </c>
    </row>
    <row r="15067" spans="1:14" ht="12.75" hidden="1" outlineLevel="1" x14ac:dyDescent="0.2">
      <c r="A15067" s="23" t="str">
        <f>HYPERLINK("https://www.spark-marketing.ru/Card/Person/5904504", "ГБУЗ ""ОДКБ""")</f>
        <v>ГБУЗ "ОДКБ"</v>
      </c>
      <c r="B15067" s="24" t="s">
        <v>2289</v>
      </c>
      <c r="C15067" s="25">
        <v>5190900.3</v>
      </c>
      <c r="D15067" s="22" t="s">
        <v>19912</v>
      </c>
      <c r="E15067" s="22" t="s">
        <v>809</v>
      </c>
      <c r="F15067" s="23" t="str">
        <f>HYPERLINK("https://www.spark-marketing.ru/Card/Lot/71711636", "На поставку автоматизированного рабочего места для нужд ГБУЗ «ОДКБ»")</f>
        <v>На поставку автоматизированного рабочего места для нужд ГБУЗ «ОДКБ»</v>
      </c>
      <c r="G15067" s="22" t="s">
        <v>132</v>
      </c>
      <c r="H15067" s="22" t="s">
        <v>587</v>
      </c>
      <c r="I15067" s="26">
        <v>43642.704861111102</v>
      </c>
      <c r="J15067" s="23" t="str">
        <f>HYPERLINK("https://www.spark-marketing.ru/Card/Person/117844", "ООО ""БСГ""")</f>
        <v>ООО "БСГ"</v>
      </c>
      <c r="K15067" s="24" t="s">
        <v>4855</v>
      </c>
      <c r="L15067" s="22" t="s">
        <v>10</v>
      </c>
      <c r="M15067" s="25">
        <v>4072859</v>
      </c>
      <c r="N15067" s="27">
        <v>0.21538485337504942</v>
      </c>
    </row>
    <row r="15068" spans="1:14" x14ac:dyDescent="0.15">
      <c r="A15068" s="23" t="str">
        <f>HYPERLINK("https://www.spark-marketing.ru/Card/Person/65418", "УМВД РОССИИ ПО Г.КОСТРОМЕ")</f>
        <v>УМВД РОССИИ ПО Г.КОСТРОМЕ</v>
      </c>
      <c r="B15068" s="24" t="s">
        <v>3507</v>
      </c>
      <c r="C15068" s="25">
        <v>489679.2</v>
      </c>
      <c r="D15068" s="22" t="s">
        <v>19914</v>
      </c>
      <c r="E15068" s="22" t="s">
        <v>48</v>
      </c>
      <c r="F15068" s="23" t="str">
        <f>HYPERLINK("https://www.spark-marketing.ru/Card/Lot/71707152", "Оказание услуг по организации горячего  питания для лиц, содержащихся в СПСЛПАА и ИВС ПиО УМВД России по г. Костроме")</f>
        <v>Оказание услуг по организации горячего  питания для лиц, содержащихся в СПСЛПАА и ИВС ПиО УМВД России по г. Костроме</v>
      </c>
      <c r="G15068" s="22" t="s">
        <v>292</v>
      </c>
      <c r="H15068" s="22" t="s">
        <v>292</v>
      </c>
      <c r="I15068" s="26">
        <v>43642.675694444399</v>
      </c>
      <c r="J15068" s="28" t="s">
        <v>51</v>
      </c>
      <c r="K15068" s="28" t="s">
        <v>51</v>
      </c>
      <c r="L15068" s="28" t="s">
        <v>51</v>
      </c>
      <c r="M15068" s="28" t="s">
        <v>51</v>
      </c>
      <c r="N15068" s="28" t="s">
        <v>51</v>
      </c>
    </row>
    <row r="15069" spans="1:14" ht="12.75" hidden="1" outlineLevel="1" x14ac:dyDescent="0.2">
      <c r="A15069" s="23" t="str">
        <f>HYPERLINK("https://www.spark-marketing.ru/Card/Person/65418", "УМВД РОССИИ ПО Г.КОСТРОМЕ")</f>
        <v>УМВД РОССИИ ПО Г.КОСТРОМЕ</v>
      </c>
      <c r="B15069" s="24" t="s">
        <v>3507</v>
      </c>
      <c r="C15069" s="25">
        <v>489679.2</v>
      </c>
      <c r="D15069" s="22" t="s">
        <v>19914</v>
      </c>
      <c r="E15069" s="22" t="s">
        <v>48</v>
      </c>
      <c r="F15069" s="23" t="str">
        <f>HYPERLINK("https://www.spark-marketing.ru/Card/Lot/71707152", "Оказание услуг по организации горячего  питания для лиц, содержащихся в СПСЛПАА и ИВС ПиО УМВД России по г. Костроме")</f>
        <v>Оказание услуг по организации горячего  питания для лиц, содержащихся в СПСЛПАА и ИВС ПиО УМВД России по г. Костроме</v>
      </c>
      <c r="G15069" s="22" t="s">
        <v>292</v>
      </c>
      <c r="H15069" s="22" t="s">
        <v>292</v>
      </c>
      <c r="I15069" s="26">
        <v>43642.675694444399</v>
      </c>
      <c r="J15069" s="23" t="str">
        <f>HYPERLINK("https://www.spark-marketing.ru/Card/Person/234123", "ООО ""ЛИКА""")</f>
        <v>ООО "ЛИКА"</v>
      </c>
      <c r="K15069" s="24" t="s">
        <v>3509</v>
      </c>
      <c r="L15069" s="22" t="s">
        <v>10</v>
      </c>
      <c r="M15069" s="25">
        <v>288722.68</v>
      </c>
      <c r="N15069" s="27">
        <v>0.41038402284597753</v>
      </c>
    </row>
    <row r="15070" spans="1:14" hidden="1" outlineLevel="1" x14ac:dyDescent="0.2">
      <c r="A15070" s="23" t="str">
        <f>HYPERLINK("https://www.spark-marketing.ru/Card/Person/65418", "УМВД РОССИИ ПО Г.КОСТРОМЕ")</f>
        <v>УМВД РОССИИ ПО Г.КОСТРОМЕ</v>
      </c>
      <c r="B15070" s="24" t="s">
        <v>3507</v>
      </c>
      <c r="C15070" s="25">
        <v>489679.2</v>
      </c>
      <c r="D15070" s="22" t="s">
        <v>19914</v>
      </c>
      <c r="E15070" s="22" t="s">
        <v>48</v>
      </c>
      <c r="F15070" s="23" t="str">
        <f>HYPERLINK("https://www.spark-marketing.ru/Card/Lot/71707152", "Оказание услуг по организации горячего  питания для лиц, содержащихся в СПСЛПАА и ИВС ПиО УМВД России по г. Костроме")</f>
        <v>Оказание услуг по организации горячего  питания для лиц, содержащихся в СПСЛПАА и ИВС ПиО УМВД России по г. Костроме</v>
      </c>
      <c r="G15070" s="22" t="s">
        <v>292</v>
      </c>
      <c r="H15070" s="22" t="s">
        <v>292</v>
      </c>
      <c r="I15070" s="26">
        <v>43642.675694444399</v>
      </c>
      <c r="J15070" s="23" t="str">
        <f>HYPERLINK("https://www.spark-marketing.ru/Card/Person/630031", "Овечкин Евгений Александрович")</f>
        <v>Овечкин Евгений Александрович</v>
      </c>
      <c r="K15070" s="24" t="s">
        <v>19915</v>
      </c>
      <c r="L15070" s="28" t="s">
        <v>51</v>
      </c>
      <c r="M15070" s="25">
        <v>291171.08</v>
      </c>
      <c r="N15070" s="27">
        <v>0.40538401467736429</v>
      </c>
    </row>
    <row r="15071" spans="1:14" x14ac:dyDescent="0.15">
      <c r="A1507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5071" s="24" t="s">
        <v>3255</v>
      </c>
      <c r="C15071" s="25">
        <v>371127.2</v>
      </c>
      <c r="D15071" s="22" t="s">
        <v>19916</v>
      </c>
      <c r="E15071" s="22" t="s">
        <v>52</v>
      </c>
      <c r="F15071" s="23" t="str">
        <f>HYPERLINK("https://www.spark-marketing.ru/Card/Lot/71687897", "Поставка лекарственного препарата для медицинского применения ""Ипратропия бромид""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специализирова...")</f>
        <v>Поставка лекарственного препарата для медицинского применения "Ипратропия бромид"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специализирова...</v>
      </c>
      <c r="G15071" s="22" t="s">
        <v>210</v>
      </c>
      <c r="H15071" s="22" t="s">
        <v>3257</v>
      </c>
      <c r="I15071" s="26">
        <v>43642.688888888901</v>
      </c>
      <c r="J15071" s="23" t="str">
        <f>HYPERLINK("https://www.spark-marketing.ru/Card/Person/4354560", "ООО ""НАДЕЖДА-ФАРМ""")</f>
        <v>ООО "НАДЕЖДА-ФАРМ"</v>
      </c>
      <c r="K15071" s="24" t="s">
        <v>15644</v>
      </c>
      <c r="L15071" s="22" t="s">
        <v>10</v>
      </c>
      <c r="M15071" s="28" t="s">
        <v>51</v>
      </c>
      <c r="N15071" s="28" t="s">
        <v>51</v>
      </c>
    </row>
    <row r="15072" spans="1:14" x14ac:dyDescent="0.15">
      <c r="A15072" s="23" t="str">
        <f>HYPERLINK("https://www.spark-marketing.ru/Card/Person/37108", "КГАУ ""СШОР ПО ХОККЕЮ С МЯЧОМ ""ЕНИСЕЙ""")</f>
        <v>КГАУ "СШОР ПО ХОККЕЮ С МЯЧОМ "ЕНИСЕЙ"</v>
      </c>
      <c r="B15072" s="24" t="s">
        <v>4625</v>
      </c>
      <c r="C15072" s="25">
        <v>585585</v>
      </c>
      <c r="D15072" s="22" t="s">
        <v>19917</v>
      </c>
      <c r="E15072" s="22" t="s">
        <v>769</v>
      </c>
      <c r="F15072" s="23" t="str">
        <f>HYPERLINK("https://www.spark-marketing.ru/Card/Lot/71689468", "Оказание услуг по проживанию и питанию спортсменов на период проведения тренировочных мероприятий")</f>
        <v>Оказание услуг по проживанию и питанию спортсменов на период проведения тренировочных мероприятий</v>
      </c>
      <c r="G15072" s="22" t="s">
        <v>281</v>
      </c>
      <c r="H15072" s="22" t="s">
        <v>1036</v>
      </c>
      <c r="I15072" s="26">
        <v>43642.677222222199</v>
      </c>
      <c r="J15072" s="28" t="s">
        <v>51</v>
      </c>
      <c r="K15072" s="28" t="s">
        <v>51</v>
      </c>
      <c r="L15072" s="28" t="s">
        <v>51</v>
      </c>
      <c r="M15072" s="28" t="s">
        <v>51</v>
      </c>
      <c r="N15072" s="28" t="s">
        <v>51</v>
      </c>
    </row>
    <row r="15073" spans="1:14" x14ac:dyDescent="0.15">
      <c r="A15073" s="23" t="str">
        <f>HYPERLINK("https://www.spark-marketing.ru/Card/Person/18146", "ГБУЗ ""ОГКПТД""")</f>
        <v>ГБУЗ "ОГКПТД"</v>
      </c>
      <c r="B15073" s="24" t="s">
        <v>19918</v>
      </c>
      <c r="C15073" s="25">
        <v>135240.64000000001</v>
      </c>
      <c r="D15073" s="22" t="s">
        <v>19919</v>
      </c>
      <c r="E15073" s="22" t="s">
        <v>809</v>
      </c>
      <c r="F15073" s="23" t="str">
        <f>HYPERLINK("https://www.spark-marketing.ru/Card/Lot/71703277", "на поставку комплектующих для компьютерной техники")</f>
        <v>на поставку комплектующих для компьютерной техники</v>
      </c>
      <c r="G15073" s="22" t="s">
        <v>132</v>
      </c>
      <c r="H15073" s="22" t="s">
        <v>587</v>
      </c>
      <c r="I15073" s="26">
        <v>43642.706250000003</v>
      </c>
      <c r="J15073" s="23" t="str">
        <f>HYPERLINK("https://www.spark-marketing.ru/Card/Person/6499259", "ООО ""АЙТИМ""")</f>
        <v>ООО "АЙТИМ"</v>
      </c>
      <c r="K15073" s="24" t="s">
        <v>12113</v>
      </c>
      <c r="L15073" s="22" t="s">
        <v>10</v>
      </c>
      <c r="M15073" s="28" t="s">
        <v>51</v>
      </c>
      <c r="N15073" s="28" t="s">
        <v>51</v>
      </c>
    </row>
    <row r="15074" spans="1:14" x14ac:dyDescent="0.15">
      <c r="A15074" s="23" t="str">
        <f>HYPERLINK("https://www.spark-marketing.ru/Card/Person/64988", "ГУП ""МЦМС""")</f>
        <v>ГУП "МЦМС"</v>
      </c>
      <c r="B15074" s="24" t="s">
        <v>552</v>
      </c>
      <c r="C15074" s="25">
        <v>2681100</v>
      </c>
      <c r="D15074" s="22" t="s">
        <v>19920</v>
      </c>
      <c r="E15074" s="22" t="s">
        <v>554</v>
      </c>
      <c r="F15074" s="23" t="str">
        <f>HYPERLINK("https://www.spark-marketing.ru/Card/Lot/71700771", "Комплекс услуг по обеспечению транспортным обслуживанием, авиабилетами, проживанием и трехразовым питанием участников комплекса мероприятий, в рамках проведения Дней Москвы в Хорватии.")</f>
        <v>Комплекс услуг по обеспечению транспортным обслуживанием, авиабилетами, проживанием и трехразовым питанием участников комплекса мероприятий, в рамках проведения Дней Москвы в Хорватии.</v>
      </c>
      <c r="G15074" s="22" t="s">
        <v>56</v>
      </c>
      <c r="H15074" s="22" t="s">
        <v>56</v>
      </c>
      <c r="I15074" s="26">
        <v>43642.6902430556</v>
      </c>
      <c r="J15074" s="28" t="s">
        <v>51</v>
      </c>
      <c r="K15074" s="28" t="s">
        <v>51</v>
      </c>
      <c r="L15074" s="28" t="s">
        <v>51</v>
      </c>
      <c r="M15074" s="28" t="s">
        <v>51</v>
      </c>
      <c r="N15074" s="28" t="s">
        <v>51</v>
      </c>
    </row>
    <row r="15075" spans="1:14" x14ac:dyDescent="0.15">
      <c r="A15075" s="23" t="str">
        <f>HYPERLINK("https://www.spark-marketing.ru/Card/Person/145382", "ОТДЕЛ МВД РОССИИ ПО ТАТИЩЕВСКОМУ РАЙОНУ САРАТОВСКОЙ ОБЛАСТИ")</f>
        <v>ОТДЕЛ МВД РОССИИ ПО ТАТИЩЕВСКОМУ РАЙОНУ САРАТОВСКОЙ ОБЛАСТИ</v>
      </c>
      <c r="B15075" s="24" t="s">
        <v>8655</v>
      </c>
      <c r="C15075" s="25">
        <v>999040</v>
      </c>
      <c r="D15075" s="22" t="s">
        <v>19921</v>
      </c>
      <c r="E15075" s="22" t="s">
        <v>48</v>
      </c>
      <c r="F15075" s="23" t="str">
        <f>HYPERLINK("https://www.spark-marketing.ru/Card/Lot/71709118", "услуги по обеспечению питания")</f>
        <v>услуги по обеспечению питания</v>
      </c>
      <c r="G15075" s="22" t="s">
        <v>351</v>
      </c>
      <c r="H15075" s="22" t="s">
        <v>8657</v>
      </c>
      <c r="I15075" s="26">
        <v>43642.698611111096</v>
      </c>
      <c r="J15075" s="28" t="s">
        <v>51</v>
      </c>
      <c r="K15075" s="28" t="s">
        <v>51</v>
      </c>
      <c r="L15075" s="28" t="s">
        <v>51</v>
      </c>
      <c r="M15075" s="28" t="s">
        <v>51</v>
      </c>
      <c r="N15075" s="28" t="s">
        <v>51</v>
      </c>
    </row>
    <row r="15076" spans="1:14" x14ac:dyDescent="0.15">
      <c r="A15076" s="23" t="str">
        <f>HYPERLINK("https://www.spark-marketing.ru/Card/Person/13011", "УМВД РОССИИ ПО Г. БАРНАУЛУ")</f>
        <v>УМВД РОССИИ ПО Г. БАРНАУЛУ</v>
      </c>
      <c r="B15076" s="24" t="s">
        <v>19922</v>
      </c>
      <c r="C15076" s="25">
        <v>414000</v>
      </c>
      <c r="D15076" s="22" t="s">
        <v>19923</v>
      </c>
      <c r="E15076" s="22" t="s">
        <v>48</v>
      </c>
      <c r="F15076" s="23" t="str">
        <f>HYPERLINK("https://www.spark-marketing.ru/Card/Lot/71707327", "Оказание услуг по организации ежедневного комплексного горячего питания (завтрак, обед, ужин) лиц, содержащихся в изоляторе временного содержания подозреваемых и обвиняемых УМВД России по г. Барнаулу и в специальном приемнике для содержания лиц, подв...")</f>
        <v>Оказание услуг по организации ежедневного комплексного горячего питания (завтрак, обед, ужин) лиц, содержащихся в изоляторе временного содержания подозреваемых и обвиняемых УМВД России по г. Барнаулу и в специальном приемнике для содержания лиц, подв...</v>
      </c>
      <c r="G15076" s="22" t="s">
        <v>63</v>
      </c>
      <c r="H15076" s="22" t="s">
        <v>177</v>
      </c>
      <c r="I15076" s="26">
        <v>43642.672222222202</v>
      </c>
      <c r="J15076" s="28" t="s">
        <v>51</v>
      </c>
      <c r="K15076" s="28" t="s">
        <v>51</v>
      </c>
      <c r="L15076" s="28" t="s">
        <v>51</v>
      </c>
      <c r="M15076" s="28" t="s">
        <v>51</v>
      </c>
      <c r="N15076" s="28" t="s">
        <v>51</v>
      </c>
    </row>
    <row r="15077" spans="1:14" hidden="1" outlineLevel="1" x14ac:dyDescent="0.2">
      <c r="A15077" s="23" t="str">
        <f>HYPERLINK("https://www.spark-marketing.ru/Card/Person/13011", "УМВД РОССИИ ПО Г. БАРНАУЛУ")</f>
        <v>УМВД РОССИИ ПО Г. БАРНАУЛУ</v>
      </c>
      <c r="B15077" s="24" t="s">
        <v>19922</v>
      </c>
      <c r="C15077" s="25">
        <v>414000</v>
      </c>
      <c r="D15077" s="22" t="s">
        <v>19923</v>
      </c>
      <c r="E15077" s="22" t="s">
        <v>48</v>
      </c>
      <c r="F15077" s="23" t="str">
        <f>HYPERLINK("https://www.spark-marketing.ru/Card/Lot/71707327", "Оказание услуг по организации ежедневного комплексного горячего питания (завтрак, обед, ужин) лиц, содержащихся в изоляторе временного содержания подозреваемых и обвиняемых УМВД России по г. Барнаулу и в специальном приемнике для содержания лиц, подв...")</f>
        <v>Оказание услуг по организации ежедневного комплексного горячего питания (завтрак, обед, ужин) лиц, содержащихся в изоляторе временного содержания подозреваемых и обвиняемых УМВД России по г. Барнаулу и в специальном приемнике для содержания лиц, подв...</v>
      </c>
      <c r="G15077" s="22" t="s">
        <v>63</v>
      </c>
      <c r="H15077" s="22" t="s">
        <v>177</v>
      </c>
      <c r="I15077" s="26">
        <v>43642.672222222202</v>
      </c>
      <c r="J15077" s="23" t="str">
        <f>HYPERLINK("https://www.spark-marketing.ru/Card/Person/4683109", "Татаринцев Роман Сергеевич")</f>
        <v>Татаринцев Роман Сергеевич</v>
      </c>
      <c r="K15077" s="24" t="s">
        <v>19924</v>
      </c>
      <c r="L15077" s="28" t="s">
        <v>51</v>
      </c>
      <c r="M15077" s="25">
        <v>407790</v>
      </c>
      <c r="N15077" s="27">
        <v>1.4999999999999999E-2</v>
      </c>
    </row>
    <row r="15078" spans="1:14" ht="12.75" hidden="1" outlineLevel="1" x14ac:dyDescent="0.2">
      <c r="A15078" s="23" t="str">
        <f>HYPERLINK("https://www.spark-marketing.ru/Card/Person/13011", "УМВД РОССИИ ПО Г. БАРНАУЛУ")</f>
        <v>УМВД РОССИИ ПО Г. БАРНАУЛУ</v>
      </c>
      <c r="B15078" s="24" t="s">
        <v>19922</v>
      </c>
      <c r="C15078" s="25">
        <v>414000</v>
      </c>
      <c r="D15078" s="22" t="s">
        <v>19923</v>
      </c>
      <c r="E15078" s="22" t="s">
        <v>48</v>
      </c>
      <c r="F15078" s="23" t="str">
        <f>HYPERLINK("https://www.spark-marketing.ru/Card/Lot/71707327", "Оказание услуг по организации ежедневного комплексного горячего питания (завтрак, обед, ужин) лиц, содержащихся в изоляторе временного содержания подозреваемых и обвиняемых УМВД России по г. Барнаулу и в специальном приемнике для содержания лиц, подв...")</f>
        <v>Оказание услуг по организации ежедневного комплексного горячего питания (завтрак, обед, ужин) лиц, содержащихся в изоляторе временного содержания подозреваемых и обвиняемых УМВД России по г. Барнаулу и в специальном приемнике для содержания лиц, подв...</v>
      </c>
      <c r="G15078" s="22" t="s">
        <v>63</v>
      </c>
      <c r="H15078" s="22" t="s">
        <v>177</v>
      </c>
      <c r="I15078" s="26">
        <v>43642.672222222202</v>
      </c>
      <c r="J15078" s="23" t="str">
        <f>HYPERLINK("https://www.spark-marketing.ru/Card/Person/6115445", "ООО ""АЛТАЙ МАРКЕТ""")</f>
        <v>ООО "АЛТАЙ МАРКЕТ"</v>
      </c>
      <c r="K15078" s="24" t="s">
        <v>3263</v>
      </c>
      <c r="L15078" s="22" t="s">
        <v>10</v>
      </c>
      <c r="M15078" s="25">
        <v>405720</v>
      </c>
      <c r="N15078" s="27">
        <v>0.02</v>
      </c>
    </row>
    <row r="15079" spans="1:14" x14ac:dyDescent="0.15">
      <c r="A15079" s="23" t="str">
        <f>HYPERLINK("https://www.spark-marketing.ru/Card/Person/1047025", "ОТДМВД РОССИИ ПО ПАЧЕЛМСКОМУ РАЙОНУ")</f>
        <v>ОТДМВД РОССИИ ПО ПАЧЕЛМСКОМУ РАЙОНУ</v>
      </c>
      <c r="B15079" s="24" t="s">
        <v>8612</v>
      </c>
      <c r="C15079" s="25">
        <v>74090</v>
      </c>
      <c r="D15079" s="22" t="s">
        <v>19925</v>
      </c>
      <c r="E15079" s="22" t="s">
        <v>48</v>
      </c>
      <c r="F15079" s="23" t="str">
        <f>HYPERLINK("https://www.spark-marketing.ru/Card/Lot/71699575",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5079" s="22" t="s">
        <v>72</v>
      </c>
      <c r="H15079" s="22" t="s">
        <v>8614</v>
      </c>
      <c r="I15079" s="26">
        <v>43642.697465277801</v>
      </c>
      <c r="J15079" s="28" t="s">
        <v>51</v>
      </c>
      <c r="K15079" s="28" t="s">
        <v>51</v>
      </c>
      <c r="L15079" s="28" t="s">
        <v>51</v>
      </c>
      <c r="M15079" s="28" t="s">
        <v>51</v>
      </c>
      <c r="N15079" s="28" t="s">
        <v>51</v>
      </c>
    </row>
    <row r="15080" spans="1:14" x14ac:dyDescent="0.15">
      <c r="A15080" s="23" t="str">
        <f>HYPERLINK("https://www.spark-marketing.ru/Card/Person/110391", "МБОУ ЛИЦЕЙ № 8 Г.СТАВРОПОЛЯ ИМ. Н.Г.ГОЛОДНИКОВА")</f>
        <v>МБОУ ЛИЦЕЙ № 8 Г.СТАВРОПОЛЯ ИМ. Н.Г.ГОЛОДНИКОВА</v>
      </c>
      <c r="B15080" s="24" t="s">
        <v>19926</v>
      </c>
      <c r="C15080" s="25">
        <v>455909</v>
      </c>
      <c r="D15080" s="22" t="s">
        <v>19927</v>
      </c>
      <c r="E15080" s="22" t="s">
        <v>48</v>
      </c>
      <c r="F15080" s="23" t="str">
        <f>HYPERLINK("https://www.spark-marketing.ru/Card/Lot/71706974", "Услуги по организации питания учащихся МБОУ лицея № 8 г. Ставрополя им. Н.Г.Голодникова в сентябре-декабре 2019 года")</f>
        <v>Услуги по организации питания учащихся МБОУ лицея № 8 г. Ставрополя им. Н.Г.Голодникова в сентябре-декабре 2019 года</v>
      </c>
      <c r="G15080" s="22" t="s">
        <v>87</v>
      </c>
      <c r="H15080" s="22" t="s">
        <v>87</v>
      </c>
      <c r="I15080" s="26">
        <v>43642.703472222202</v>
      </c>
      <c r="J15080" s="23" t="str">
        <f>HYPERLINK("https://www.spark-marketing.ru/Card/Person/217327", "Карпачев Валерий Борисович")</f>
        <v>Карпачев Валерий Борисович</v>
      </c>
      <c r="K15080" s="24" t="s">
        <v>19656</v>
      </c>
      <c r="L15080" s="22" t="s">
        <v>10</v>
      </c>
      <c r="M15080" s="28" t="s">
        <v>51</v>
      </c>
      <c r="N15080" s="28" t="s">
        <v>51</v>
      </c>
    </row>
    <row r="15081" spans="1:14" x14ac:dyDescent="0.15">
      <c r="A15081" s="23" t="str">
        <f>HYPERLINK("https://www.spark-marketing.ru/Card/Person/1042822", "МБОУ СОШ № 20 Г. СТАВРОПОЛЯ")</f>
        <v>МБОУ СОШ № 20 Г. СТАВРОПОЛЯ</v>
      </c>
      <c r="B15081" s="24" t="s">
        <v>19928</v>
      </c>
      <c r="C15081" s="25">
        <v>513700</v>
      </c>
      <c r="D15081" s="22" t="s">
        <v>19929</v>
      </c>
      <c r="E15081" s="22" t="s">
        <v>48</v>
      </c>
      <c r="F15081" s="23" t="str">
        <f>HYPERLINK("https://www.spark-marketing.ru/Card/Lot/71707871", "Услуги по организации питания учащихся муниципального бюджетного общеобразовательного учреждения средней общеобразовательной школы № 20 города Ставрополя в сентябре-декабре 2019 года.")</f>
        <v>Услуги по организации питания учащихся муниципального бюджетного общеобразовательного учреждения средней общеобразовательной школы № 20 города Ставрополя в сентябре-декабре 2019 года.</v>
      </c>
      <c r="G15081" s="22" t="s">
        <v>87</v>
      </c>
      <c r="H15081" s="22" t="s">
        <v>87</v>
      </c>
      <c r="I15081" s="26">
        <v>43642.702777777798</v>
      </c>
      <c r="J15081" s="23" t="str">
        <f>HYPERLINK("https://www.spark-marketing.ru/Card/Person/217327", "Карпачев Валерий Борисович")</f>
        <v>Карпачев Валерий Борисович</v>
      </c>
      <c r="K15081" s="24" t="s">
        <v>19656</v>
      </c>
      <c r="L15081" s="22" t="s">
        <v>10</v>
      </c>
      <c r="M15081" s="28" t="s">
        <v>51</v>
      </c>
      <c r="N15081" s="28" t="s">
        <v>51</v>
      </c>
    </row>
    <row r="15082" spans="1:14" x14ac:dyDescent="0.15">
      <c r="A15082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15082" s="24" t="s">
        <v>2576</v>
      </c>
      <c r="C15082" s="25">
        <v>351690</v>
      </c>
      <c r="D15082" s="22" t="s">
        <v>19930</v>
      </c>
      <c r="E15082" s="22" t="s">
        <v>19931</v>
      </c>
      <c r="F15082" s="23" t="str">
        <f>HYPERLINK("https://www.spark-marketing.ru/Card/Lot/71707438", "Техническое обслуживание, регламентно-профилактический ремонт и оценка технического состояния средств вычислительной техники и систем бесперебойного питания для нужд УФК по Кировской области")</f>
        <v>Техническое обслуживание, регламентно-профилактический ремонт и оценка технического состояния средств вычислительной техники и систем бесперебойного питания для нужд УФК по Кировской области</v>
      </c>
      <c r="G15082" s="22" t="s">
        <v>224</v>
      </c>
      <c r="H15082" s="22" t="s">
        <v>224</v>
      </c>
      <c r="I15082" s="26">
        <v>43642.693055555603</v>
      </c>
      <c r="J15082" s="28" t="s">
        <v>51</v>
      </c>
      <c r="K15082" s="28" t="s">
        <v>51</v>
      </c>
      <c r="L15082" s="28" t="s">
        <v>51</v>
      </c>
      <c r="M15082" s="28" t="s">
        <v>51</v>
      </c>
      <c r="N15082" s="28" t="s">
        <v>51</v>
      </c>
    </row>
    <row r="15083" spans="1:14" ht="12.75" hidden="1" outlineLevel="1" x14ac:dyDescent="0.2">
      <c r="A15083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15083" s="24" t="s">
        <v>2576</v>
      </c>
      <c r="C15083" s="25">
        <v>351690</v>
      </c>
      <c r="D15083" s="22" t="s">
        <v>19930</v>
      </c>
      <c r="E15083" s="22" t="s">
        <v>19931</v>
      </c>
      <c r="F15083" s="23" t="str">
        <f>HYPERLINK("https://www.spark-marketing.ru/Card/Lot/71707438", "Техническое обслуживание, регламентно-профилактический ремонт и оценка технического состояния средств вычислительной техники и систем бесперебойного питания для нужд УФК по Кировской области")</f>
        <v>Техническое обслуживание, регламентно-профилактический ремонт и оценка технического состояния средств вычислительной техники и систем бесперебойного питания для нужд УФК по Кировской области</v>
      </c>
      <c r="G15083" s="22" t="s">
        <v>224</v>
      </c>
      <c r="H15083" s="22" t="s">
        <v>224</v>
      </c>
      <c r="I15083" s="26">
        <v>43642.693055555603</v>
      </c>
      <c r="J15083" s="23" t="str">
        <f>HYPERLINK("https://www.spark-marketing.ru/Card/Person/625270", "ООО ""МНОЖИТЕЛЬНАЯ ТЕХНИКА""")</f>
        <v>ООО "МНОЖИТЕЛЬНАЯ ТЕХНИКА"</v>
      </c>
      <c r="K15083" s="24" t="s">
        <v>19932</v>
      </c>
      <c r="L15083" s="22" t="s">
        <v>10</v>
      </c>
      <c r="M15083" s="25">
        <v>53090.97</v>
      </c>
      <c r="N15083" s="27">
        <v>0.84904043333617674</v>
      </c>
    </row>
    <row r="15084" spans="1:14" hidden="1" outlineLevel="1" x14ac:dyDescent="0.2">
      <c r="A15084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15084" s="24" t="s">
        <v>2576</v>
      </c>
      <c r="C15084" s="25">
        <v>351690</v>
      </c>
      <c r="D15084" s="22" t="s">
        <v>19930</v>
      </c>
      <c r="E15084" s="22" t="s">
        <v>19931</v>
      </c>
      <c r="F15084" s="23" t="str">
        <f>HYPERLINK("https://www.spark-marketing.ru/Card/Lot/71707438", "Техническое обслуживание, регламентно-профилактический ремонт и оценка технического состояния средств вычислительной техники и систем бесперебойного питания для нужд УФК по Кировской области")</f>
        <v>Техническое обслуживание, регламентно-профилактический ремонт и оценка технического состояния средств вычислительной техники и систем бесперебойного питания для нужд УФК по Кировской области</v>
      </c>
      <c r="G15084" s="22" t="s">
        <v>224</v>
      </c>
      <c r="H15084" s="22" t="s">
        <v>224</v>
      </c>
      <c r="I15084" s="26">
        <v>43642.693055555603</v>
      </c>
      <c r="J15084" s="23" t="str">
        <f>HYPERLINK("https://www.spark-marketing.ru/Card/Person/5866896", "ООО ""А3""")</f>
        <v>ООО "А3"</v>
      </c>
      <c r="K15084" s="24" t="s">
        <v>19933</v>
      </c>
      <c r="L15084" s="28" t="s">
        <v>51</v>
      </c>
      <c r="M15084" s="25">
        <v>53500</v>
      </c>
      <c r="N15084" s="27">
        <v>0.84787739202138246</v>
      </c>
    </row>
    <row r="15085" spans="1:14" hidden="1" outlineLevel="1" x14ac:dyDescent="0.2">
      <c r="A15085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15085" s="24" t="s">
        <v>2576</v>
      </c>
      <c r="C15085" s="25">
        <v>351690</v>
      </c>
      <c r="D15085" s="22" t="s">
        <v>19930</v>
      </c>
      <c r="E15085" s="22" t="s">
        <v>19931</v>
      </c>
      <c r="F15085" s="23" t="str">
        <f>HYPERLINK("https://www.spark-marketing.ru/Card/Lot/71707438", "Техническое обслуживание, регламентно-профилактический ремонт и оценка технического состояния средств вычислительной техники и систем бесперебойного питания для нужд УФК по Кировской области")</f>
        <v>Техническое обслуживание, регламентно-профилактический ремонт и оценка технического состояния средств вычислительной техники и систем бесперебойного питания для нужд УФК по Кировской области</v>
      </c>
      <c r="G15085" s="22" t="s">
        <v>224</v>
      </c>
      <c r="H15085" s="22" t="s">
        <v>224</v>
      </c>
      <c r="I15085" s="26">
        <v>43642.693055555603</v>
      </c>
      <c r="J15085" s="23" t="str">
        <f>HYPERLINK("https://www.spark-marketing.ru/Card/Person/625736", "ООО ""РОСТ-ВЯТКА""")</f>
        <v>ООО "РОСТ-ВЯТКА"</v>
      </c>
      <c r="K15085" s="24" t="s">
        <v>7771</v>
      </c>
      <c r="L15085" s="28" t="s">
        <v>51</v>
      </c>
      <c r="M15085" s="25">
        <v>72275.009999999995</v>
      </c>
      <c r="N15085" s="27">
        <v>0.79449228013307172</v>
      </c>
    </row>
    <row r="15086" spans="1:14" x14ac:dyDescent="0.15">
      <c r="A15086" s="23" t="str">
        <f>HYPERLINK("https://www.spark-marketing.ru/Card/Person/1028232", "МАДОУ ""ЯГОДКА""")</f>
        <v>МАДОУ "ЯГОДКА"</v>
      </c>
      <c r="B15086" s="24" t="s">
        <v>19934</v>
      </c>
      <c r="C15086" s="25">
        <v>2817000</v>
      </c>
      <c r="D15086" s="22" t="s">
        <v>19935</v>
      </c>
      <c r="E15086" s="22" t="s">
        <v>362</v>
      </c>
      <c r="F15086" s="23" t="str">
        <f>HYPERLINK("https://www.spark-marketing.ru/Card/Lot/71699655", "оказание услуг по организации горячего сбалансированного питания воспитанников МАДОУ «Ягодка»")</f>
        <v>оказание услуг по организации горячего сбалансированного питания воспитанников МАДОУ «Ягодка»</v>
      </c>
      <c r="G15086" s="22" t="s">
        <v>1056</v>
      </c>
      <c r="H15086" s="22" t="s">
        <v>6990</v>
      </c>
      <c r="I15086" s="26">
        <v>43642.7</v>
      </c>
      <c r="J15086" s="28" t="s">
        <v>51</v>
      </c>
      <c r="K15086" s="28" t="s">
        <v>51</v>
      </c>
      <c r="L15086" s="28" t="s">
        <v>51</v>
      </c>
      <c r="M15086" s="28" t="s">
        <v>51</v>
      </c>
      <c r="N15086" s="28" t="s">
        <v>51</v>
      </c>
    </row>
    <row r="15087" spans="1:14" x14ac:dyDescent="0.15">
      <c r="A15087" s="23" t="str">
        <f>HYPERLINK("https://www.spark-marketing.ru/Card/Person/25151", "БУЗ ОРЛОВСКОЙ ОБЛАСТИ ""ООКБ""")</f>
        <v>БУЗ ОРЛОВСКОЙ ОБЛАСТИ "ООКБ"</v>
      </c>
      <c r="B15087" s="24" t="s">
        <v>19936</v>
      </c>
      <c r="C15087" s="25">
        <v>392943.49</v>
      </c>
      <c r="D15087" s="22" t="s">
        <v>19937</v>
      </c>
      <c r="E15087" s="22" t="s">
        <v>62</v>
      </c>
      <c r="F15087" s="23" t="str">
        <f>HYPERLINK("https://www.spark-marketing.ru/Card/Lot/71707526", "Закупка бланочной продукции")</f>
        <v>Закупка бланочной продукции</v>
      </c>
      <c r="G15087" s="22" t="s">
        <v>1066</v>
      </c>
      <c r="H15087" s="22" t="s">
        <v>1066</v>
      </c>
      <c r="I15087" s="26">
        <v>43642.704166666699</v>
      </c>
      <c r="J15087" s="28" t="s">
        <v>51</v>
      </c>
      <c r="K15087" s="28" t="s">
        <v>51</v>
      </c>
      <c r="L15087" s="28" t="s">
        <v>51</v>
      </c>
      <c r="M15087" s="28" t="s">
        <v>51</v>
      </c>
      <c r="N15087" s="28" t="s">
        <v>51</v>
      </c>
    </row>
    <row r="15088" spans="1:14" hidden="1" outlineLevel="1" x14ac:dyDescent="0.2">
      <c r="A15088" s="23" t="str">
        <f>HYPERLINK("https://www.spark-marketing.ru/Card/Person/25151", "БУЗ ОРЛОВСКОЙ ОБЛАСТИ ""ООКБ""")</f>
        <v>БУЗ ОРЛОВСКОЙ ОБЛАСТИ "ООКБ"</v>
      </c>
      <c r="B15088" s="24" t="s">
        <v>19936</v>
      </c>
      <c r="C15088" s="25">
        <v>392943.49</v>
      </c>
      <c r="D15088" s="22" t="s">
        <v>19937</v>
      </c>
      <c r="E15088" s="22" t="s">
        <v>62</v>
      </c>
      <c r="F15088" s="23" t="str">
        <f>HYPERLINK("https://www.spark-marketing.ru/Card/Lot/71707526", "Закупка бланочной продукции")</f>
        <v>Закупка бланочной продукции</v>
      </c>
      <c r="G15088" s="22" t="s">
        <v>1066</v>
      </c>
      <c r="H15088" s="22" t="s">
        <v>1066</v>
      </c>
      <c r="I15088" s="26">
        <v>43642.704166666699</v>
      </c>
      <c r="J15088" s="23" t="str">
        <f>HYPERLINK("https://www.spark-marketing.ru/Card/Person/70363", "ООО ""ВИННЕР - ПРИНТ""")</f>
        <v>ООО "ВИННЕР - ПРИНТ"</v>
      </c>
      <c r="K15088" s="24" t="s">
        <v>3048</v>
      </c>
      <c r="L15088" s="28" t="s">
        <v>51</v>
      </c>
      <c r="M15088" s="25">
        <v>292460.65000000002</v>
      </c>
      <c r="N15088" s="27">
        <v>0.25571829679631541</v>
      </c>
    </row>
    <row r="15089" spans="1:14" ht="12.75" hidden="1" outlineLevel="1" x14ac:dyDescent="0.2">
      <c r="A15089" s="23" t="str">
        <f>HYPERLINK("https://www.spark-marketing.ru/Card/Person/25151", "БУЗ ОРЛОВСКОЙ ОБЛАСТИ ""ООКБ""")</f>
        <v>БУЗ ОРЛОВСКОЙ ОБЛАСТИ "ООКБ"</v>
      </c>
      <c r="B15089" s="24" t="s">
        <v>19936</v>
      </c>
      <c r="C15089" s="25">
        <v>392943.49</v>
      </c>
      <c r="D15089" s="22" t="s">
        <v>19937</v>
      </c>
      <c r="E15089" s="22" t="s">
        <v>62</v>
      </c>
      <c r="F15089" s="23" t="str">
        <f>HYPERLINK("https://www.spark-marketing.ru/Card/Lot/71707526", "Закупка бланочной продукции")</f>
        <v>Закупка бланочной продукции</v>
      </c>
      <c r="G15089" s="22" t="s">
        <v>1066</v>
      </c>
      <c r="H15089" s="22" t="s">
        <v>1066</v>
      </c>
      <c r="I15089" s="26">
        <v>43642.704166666699</v>
      </c>
      <c r="J15089" s="23" t="str">
        <f>HYPERLINK("https://www.spark-marketing.ru/Card/Person/1086913", "ГАУ ""ИД ""АВАНГАРД""")</f>
        <v>ГАУ "ИД "АВАНГАРД"</v>
      </c>
      <c r="K15089" s="24" t="s">
        <v>19938</v>
      </c>
      <c r="L15089" s="22" t="s">
        <v>10</v>
      </c>
      <c r="M15089" s="25">
        <v>272813.48</v>
      </c>
      <c r="N15089" s="27">
        <v>0.30571828534428702</v>
      </c>
    </row>
    <row r="15090" spans="1:14" x14ac:dyDescent="0.15">
      <c r="A15090" s="23" t="str">
        <f>HYPERLINK("https://www.spark-marketing.ru/Card/Person/162155", "ОТДЕЛ МВД РОССИИ ПО ИПАТОВСКОМУ ГОРОДСКОМУ ОКРУГУ")</f>
        <v>ОТДЕЛ МВД РОССИИ ПО ИПАТОВСКОМУ ГОРОДСКОМУ ОКРУГУ</v>
      </c>
      <c r="B15090" s="24" t="s">
        <v>2365</v>
      </c>
      <c r="C15090" s="25">
        <v>250000</v>
      </c>
      <c r="D15090" s="22" t="s">
        <v>19939</v>
      </c>
      <c r="E15090" s="22" t="s">
        <v>48</v>
      </c>
      <c r="F15090" s="23" t="str">
        <f>HYPERLINK("https://www.spark-marketing.ru/Card/Lot/71704735", "Питание СП")</f>
        <v>Питание СП</v>
      </c>
      <c r="G15090" s="22" t="s">
        <v>87</v>
      </c>
      <c r="H15090" s="22" t="s">
        <v>2367</v>
      </c>
      <c r="I15090" s="26">
        <v>43642.629166666702</v>
      </c>
      <c r="J15090" s="23" t="str">
        <f>HYPERLINK("https://www.spark-marketing.ru/Card/Person/227619", "Мелеш Сергей Алексеевич")</f>
        <v>Мелеш Сергей Алексеевич</v>
      </c>
      <c r="K15090" s="24" t="s">
        <v>2368</v>
      </c>
      <c r="L15090" s="22" t="s">
        <v>10</v>
      </c>
      <c r="M15090" s="28" t="s">
        <v>51</v>
      </c>
      <c r="N15090" s="28" t="s">
        <v>51</v>
      </c>
    </row>
    <row r="15091" spans="1:14" x14ac:dyDescent="0.15">
      <c r="A15091" s="23" t="str">
        <f>HYPERLINK("https://www.spark-marketing.ru/Card/Person/84291", "УМВД РОССИИ ПО КРАСНОГВАРДЕЙСКОМУ РАЙОНУ Г. СПБ")</f>
        <v>УМВД РОССИИ ПО КРАСНОГВАРДЕЙСКОМУ РАЙОНУ Г. СПБ</v>
      </c>
      <c r="B15091" s="24" t="s">
        <v>19940</v>
      </c>
      <c r="C15091" s="25">
        <v>195000</v>
      </c>
      <c r="D15091" s="22" t="s">
        <v>19941</v>
      </c>
      <c r="E15091" s="22" t="s">
        <v>48</v>
      </c>
      <c r="F15091" s="23" t="str">
        <f>HYPERLINK("https://www.spark-marketing.ru/Card/Lot/71704035", "Питание административно-задержанных лиц")</f>
        <v>Питание административно-задержанных лиц</v>
      </c>
      <c r="G15091" s="22" t="s">
        <v>117</v>
      </c>
      <c r="H15091" s="22" t="s">
        <v>117</v>
      </c>
      <c r="I15091" s="26">
        <v>43642.635416666701</v>
      </c>
      <c r="J15091" s="23" t="str">
        <f>HYPERLINK("https://www.spark-marketing.ru/Card/Person/6280007", "ООО ""ЛОГИСТИК-МЕДИ""")</f>
        <v>ООО "ЛОГИСТИК-МЕДИ"</v>
      </c>
      <c r="K15091" s="24" t="s">
        <v>19942</v>
      </c>
      <c r="L15091" s="22" t="s">
        <v>10</v>
      </c>
      <c r="M15091" s="28" t="s">
        <v>51</v>
      </c>
      <c r="N15091" s="28" t="s">
        <v>51</v>
      </c>
    </row>
    <row r="15092" spans="1:14" x14ac:dyDescent="0.15">
      <c r="A15092" s="23" t="str">
        <f>HYPERLINK("https://www.spark-marketing.ru/Card/Person/9359", "САНКТ-ПЕТЕРБУРГСКИЙ ГОСУДАРСТВЕННЫЙ УНИВЕРСИТЕТ, САНКТ-ПЕТЕРБУРГСКИЙ УНИВЕРСИТЕТ ИЛИ СПБГУ")</f>
        <v>САНКТ-ПЕТЕРБУРГСКИЙ ГОСУДАРСТВЕННЫЙ УНИВЕРСИТЕТ, САНКТ-ПЕТЕРБУРГСКИЙ УНИВЕРСИТЕТ ИЛИ СПБГУ</v>
      </c>
      <c r="B15092" s="24" t="s">
        <v>1357</v>
      </c>
      <c r="C15092" s="25">
        <v>6737829</v>
      </c>
      <c r="D15092" s="22" t="s">
        <v>19943</v>
      </c>
      <c r="E15092" s="22" t="s">
        <v>19944</v>
      </c>
      <c r="F15092" s="23" t="str">
        <f>HYPERLINK("https://www.spark-marketing.ru/Card/Lot/71711159", "Поставка комплекта мультимедийного оборудования и материалов для оснащения конференц-зала СПбГУ")</f>
        <v>Поставка комплекта мультимедийного оборудования и материалов для оснащения конференц-зала СПбГУ</v>
      </c>
      <c r="G15092" s="22" t="s">
        <v>117</v>
      </c>
      <c r="H15092" s="22" t="s">
        <v>117</v>
      </c>
      <c r="I15092" s="26">
        <v>43642.637499999997</v>
      </c>
      <c r="J15092" s="28" t="s">
        <v>51</v>
      </c>
      <c r="K15092" s="28" t="s">
        <v>51</v>
      </c>
      <c r="L15092" s="28" t="s">
        <v>51</v>
      </c>
      <c r="M15092" s="28" t="s">
        <v>51</v>
      </c>
      <c r="N15092" s="28" t="s">
        <v>51</v>
      </c>
    </row>
    <row r="15093" spans="1:14" hidden="1" outlineLevel="1" x14ac:dyDescent="0.2">
      <c r="A15093" s="23" t="str">
        <f>HYPERLINK("https://www.spark-marketing.ru/Card/Person/9359", "САНКТ-ПЕТЕРБУРГСКИЙ ГОСУДАРСТВЕННЫЙ УНИВЕРСИТЕТ, САНКТ-ПЕТЕРБУРГСКИЙ УНИВЕРСИТЕТ ИЛИ СПБГУ")</f>
        <v>САНКТ-ПЕТЕРБУРГСКИЙ ГОСУДАРСТВЕННЫЙ УНИВЕРСИТЕТ, САНКТ-ПЕТЕРБУРГСКИЙ УНИВЕРСИТЕТ ИЛИ СПБГУ</v>
      </c>
      <c r="B15093" s="24" t="s">
        <v>1357</v>
      </c>
      <c r="C15093" s="25">
        <v>6737829</v>
      </c>
      <c r="D15093" s="22" t="s">
        <v>19943</v>
      </c>
      <c r="E15093" s="22" t="s">
        <v>19944</v>
      </c>
      <c r="F15093" s="23" t="str">
        <f>HYPERLINK("https://www.spark-marketing.ru/Card/Lot/71711159", "Поставка комплекта мультимедийного оборудования и материалов для оснащения конференц-зала СПбГУ")</f>
        <v>Поставка комплекта мультимедийного оборудования и материалов для оснащения конференц-зала СПбГУ</v>
      </c>
      <c r="G15093" s="22" t="s">
        <v>117</v>
      </c>
      <c r="H15093" s="22" t="s">
        <v>117</v>
      </c>
      <c r="I15093" s="26">
        <v>43642.637499999997</v>
      </c>
      <c r="J15093" s="23" t="str">
        <f>HYPERLINK("https://www.spark-marketing.ru/Card/Person/4353085", "ООО ""ТСС""")</f>
        <v>ООО "ТСС"</v>
      </c>
      <c r="K15093" s="24" t="s">
        <v>19945</v>
      </c>
      <c r="L15093" s="28" t="s">
        <v>51</v>
      </c>
      <c r="M15093" s="25">
        <v>6019687.8399999999</v>
      </c>
      <c r="N15093" s="27">
        <v>0.1065834647925912</v>
      </c>
    </row>
    <row r="15094" spans="1:14" hidden="1" outlineLevel="1" x14ac:dyDescent="0.2">
      <c r="A15094" s="23" t="str">
        <f>HYPERLINK("https://www.spark-marketing.ru/Card/Person/9359", "САНКТ-ПЕТЕРБУРГСКИЙ ГОСУДАРСТВЕННЫЙ УНИВЕРСИТЕТ, САНКТ-ПЕТЕРБУРГСКИЙ УНИВЕРСИТЕТ ИЛИ СПБГУ")</f>
        <v>САНКТ-ПЕТЕРБУРГСКИЙ ГОСУДАРСТВЕННЫЙ УНИВЕРСИТЕТ, САНКТ-ПЕТЕРБУРГСКИЙ УНИВЕРСИТЕТ ИЛИ СПБГУ</v>
      </c>
      <c r="B15094" s="24" t="s">
        <v>1357</v>
      </c>
      <c r="C15094" s="25">
        <v>6737829</v>
      </c>
      <c r="D15094" s="22" t="s">
        <v>19943</v>
      </c>
      <c r="E15094" s="22" t="s">
        <v>19944</v>
      </c>
      <c r="F15094" s="23" t="str">
        <f>HYPERLINK("https://www.spark-marketing.ru/Card/Lot/71711159", "Поставка комплекта мультимедийного оборудования и материалов для оснащения конференц-зала СПбГУ")</f>
        <v>Поставка комплекта мультимедийного оборудования и материалов для оснащения конференц-зала СПбГУ</v>
      </c>
      <c r="G15094" s="22" t="s">
        <v>117</v>
      </c>
      <c r="H15094" s="22" t="s">
        <v>117</v>
      </c>
      <c r="I15094" s="26">
        <v>43642.637499999997</v>
      </c>
      <c r="J15094" s="23" t="str">
        <f>HYPERLINK("https://www.spark-marketing.ru/Card/Person/20056", "ООО ""ДИСПЛЕЙ БАЛТИКА""")</f>
        <v>ООО "ДИСПЛЕЙ БАЛТИКА"</v>
      </c>
      <c r="K15094" s="24" t="s">
        <v>19946</v>
      </c>
      <c r="L15094" s="28" t="s">
        <v>51</v>
      </c>
      <c r="M15094" s="25">
        <v>5952309.54</v>
      </c>
      <c r="N15094" s="27">
        <v>0.11658346627674879</v>
      </c>
    </row>
    <row r="15095" spans="1:14" ht="12.75" hidden="1" outlineLevel="1" x14ac:dyDescent="0.2">
      <c r="A15095" s="23" t="str">
        <f>HYPERLINK("https://www.spark-marketing.ru/Card/Person/9359", "САНКТ-ПЕТЕРБУРГСКИЙ ГОСУДАРСТВЕННЫЙ УНИВЕРСИТЕТ, САНКТ-ПЕТЕРБУРГСКИЙ УНИВЕРСИТЕТ ИЛИ СПБГУ")</f>
        <v>САНКТ-ПЕТЕРБУРГСКИЙ ГОСУДАРСТВЕННЫЙ УНИВЕРСИТЕТ, САНКТ-ПЕТЕРБУРГСКИЙ УНИВЕРСИТЕТ ИЛИ СПБГУ</v>
      </c>
      <c r="B15095" s="24" t="s">
        <v>1357</v>
      </c>
      <c r="C15095" s="25">
        <v>6737829</v>
      </c>
      <c r="D15095" s="22" t="s">
        <v>19943</v>
      </c>
      <c r="E15095" s="22" t="s">
        <v>19944</v>
      </c>
      <c r="F15095" s="23" t="str">
        <f>HYPERLINK("https://www.spark-marketing.ru/Card/Lot/71711159", "Поставка комплекта мультимедийного оборудования и материалов для оснащения конференц-зала СПбГУ")</f>
        <v>Поставка комплекта мультимедийного оборудования и материалов для оснащения конференц-зала СПбГУ</v>
      </c>
      <c r="G15095" s="22" t="s">
        <v>117</v>
      </c>
      <c r="H15095" s="22" t="s">
        <v>117</v>
      </c>
      <c r="I15095" s="26">
        <v>43642.637499999997</v>
      </c>
      <c r="J15095" s="23" t="str">
        <f>HYPERLINK("https://www.spark-marketing.ru/Card/Person/4347073", "ООО ""АСКРИН""")</f>
        <v>ООО "АСКРИН"</v>
      </c>
      <c r="K15095" s="24" t="s">
        <v>18553</v>
      </c>
      <c r="L15095" s="22" t="s">
        <v>10</v>
      </c>
      <c r="M15095" s="25">
        <v>5918620.3899999997</v>
      </c>
      <c r="N15095" s="27">
        <v>0.12158346701882758</v>
      </c>
    </row>
    <row r="15096" spans="1:14" x14ac:dyDescent="0.15">
      <c r="A15096" s="23" t="str">
        <f>HYPERLINK("https://www.spark-marketing.ru/Card/Person/94783", "АДМИНИСТРАЦИЯ СЕЛИЖАРОВСКОГО РАЙОНА")</f>
        <v>АДМИНИСТРАЦИЯ СЕЛИЖАРОВСКОГО РАЙОНА</v>
      </c>
      <c r="B15096" s="24" t="s">
        <v>19947</v>
      </c>
      <c r="C15096" s="28" t="s">
        <v>51</v>
      </c>
      <c r="D15096" s="22" t="s">
        <v>19948</v>
      </c>
      <c r="E15096" s="22" t="s">
        <v>19949</v>
      </c>
      <c r="F15096" s="23" t="str">
        <f>HYPERLINK("https://www.spark-marketing.ru/Card/Lot/71711539", "Предварительный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для включения в перечень поставщиков, подрядчиков, исполнителей в целях последующего...")</f>
        <v>Предварительный отбор участников закупки в целях оказания гуманитарной помощи либо ликвидации последствий чрезвычайных ситуаций природного или техногенного характера для включения в перечень поставщиков, подрядчиков, исполнителей в целях последующего...</v>
      </c>
      <c r="G15096" s="22" t="s">
        <v>137</v>
      </c>
      <c r="H15096" s="22" t="s">
        <v>19950</v>
      </c>
      <c r="I15096" s="26">
        <v>43642.636805555601</v>
      </c>
      <c r="J15096" s="23" t="str">
        <f>HYPERLINK("https://www.spark-marketing.ru/Card/Person/347536", "Александрова Марина Михайловна")</f>
        <v>Александрова Марина Михайловна</v>
      </c>
      <c r="K15096" s="24" t="s">
        <v>19951</v>
      </c>
      <c r="L15096" s="28" t="s">
        <v>51</v>
      </c>
      <c r="M15096" s="28" t="s">
        <v>51</v>
      </c>
      <c r="N15096" s="28" t="s">
        <v>51</v>
      </c>
    </row>
    <row r="15097" spans="1:14" x14ac:dyDescent="0.15">
      <c r="A15097" s="23" t="str">
        <f>HYPERLINK("https://www.spark-marketing.ru/Card/Person/110449", "ОМВД РОССИИ ПО ГОРОДСКОМУ ОКРУГУ ЗАРАЙСК")</f>
        <v>ОМВД РОССИИ ПО ГОРОДСКОМУ ОКРУГУ ЗАРАЙСК</v>
      </c>
      <c r="B15097" s="24" t="s">
        <v>12768</v>
      </c>
      <c r="C15097" s="25">
        <v>331658</v>
      </c>
      <c r="D15097" s="22" t="s">
        <v>19952</v>
      </c>
      <c r="E15097" s="22" t="s">
        <v>48</v>
      </c>
      <c r="F15097" s="23" t="str">
        <f>HYPERLINK("https://www.spark-marketing.ru/Card/Lot/71705303", "оказание услуг по питанию граждан, содержащихся в ИВС подозреваемых и обвиняемых")</f>
        <v>оказание услуг по питанию граждан, содержащихся в ИВС подозреваемых и обвиняемых</v>
      </c>
      <c r="G15097" s="22" t="s">
        <v>49</v>
      </c>
      <c r="H15097" s="22" t="s">
        <v>49</v>
      </c>
      <c r="I15097" s="26">
        <v>43642.644444444399</v>
      </c>
      <c r="J15097" s="28" t="s">
        <v>51</v>
      </c>
      <c r="K15097" s="28" t="s">
        <v>51</v>
      </c>
      <c r="L15097" s="28" t="s">
        <v>51</v>
      </c>
      <c r="M15097" s="28" t="s">
        <v>51</v>
      </c>
      <c r="N15097" s="28" t="s">
        <v>51</v>
      </c>
    </row>
    <row r="15098" spans="1:14" x14ac:dyDescent="0.15">
      <c r="A15098" s="23" t="str">
        <f t="shared" ref="A15098:A15106" si="516">HYPERLINK("https://www.spark-marketing.ru/Card/Person/59403", "ГУЗ ""ГОРОДСКАЯ БОЛЬНИЦА № 2""")</f>
        <v>ГУЗ "ГОРОДСКАЯ БОЛЬНИЦА № 2"</v>
      </c>
      <c r="B15098" s="24" t="s">
        <v>19953</v>
      </c>
      <c r="C15098" s="25">
        <v>366953.5</v>
      </c>
      <c r="D15098" s="22" t="s">
        <v>19954</v>
      </c>
      <c r="E15098" s="22" t="s">
        <v>62</v>
      </c>
      <c r="F15098" s="23" t="str">
        <f t="shared" ref="F15098:F15106" si="517">HYPERLINK("https://www.spark-marketing.ru/Card/Lot/71707283", "Печатная продукция")</f>
        <v>Печатная продукция</v>
      </c>
      <c r="G15098" s="22" t="s">
        <v>1918</v>
      </c>
      <c r="H15098" s="22" t="s">
        <v>2140</v>
      </c>
      <c r="I15098" s="26">
        <v>43642.627777777801</v>
      </c>
      <c r="J15098" s="28" t="s">
        <v>51</v>
      </c>
      <c r="K15098" s="28" t="s">
        <v>51</v>
      </c>
      <c r="L15098" s="28" t="s">
        <v>51</v>
      </c>
      <c r="M15098" s="28" t="s">
        <v>51</v>
      </c>
      <c r="N15098" s="28" t="s">
        <v>51</v>
      </c>
    </row>
    <row r="15099" spans="1:14" hidden="1" outlineLevel="1" x14ac:dyDescent="0.2">
      <c r="A15099" s="23" t="str">
        <f t="shared" si="516"/>
        <v>ГУЗ "ГОРОДСКАЯ БОЛЬНИЦА № 2"</v>
      </c>
      <c r="B15099" s="24" t="s">
        <v>19953</v>
      </c>
      <c r="C15099" s="25">
        <v>366953.5</v>
      </c>
      <c r="D15099" s="22" t="s">
        <v>19954</v>
      </c>
      <c r="E15099" s="22" t="s">
        <v>62</v>
      </c>
      <c r="F15099" s="23" t="str">
        <f t="shared" si="517"/>
        <v>Печатная продукция</v>
      </c>
      <c r="G15099" s="22" t="s">
        <v>1918</v>
      </c>
      <c r="H15099" s="22" t="s">
        <v>2140</v>
      </c>
      <c r="I15099" s="26">
        <v>43642.627777777801</v>
      </c>
      <c r="J15099" s="23" t="str">
        <f>HYPERLINK("https://www.spark-marketing.ru/Card/Person/594306", "Макаров Сергей Владимирович")</f>
        <v>Макаров Сергей Владимирович</v>
      </c>
      <c r="K15099" s="24" t="s">
        <v>19955</v>
      </c>
      <c r="L15099" s="28" t="s">
        <v>51</v>
      </c>
      <c r="M15099" s="25">
        <v>243000</v>
      </c>
      <c r="N15099" s="27">
        <v>0.33779075550444404</v>
      </c>
    </row>
    <row r="15100" spans="1:14" hidden="1" outlineLevel="1" x14ac:dyDescent="0.2">
      <c r="A15100" s="23" t="str">
        <f t="shared" si="516"/>
        <v>ГУЗ "ГОРОДСКАЯ БОЛЬНИЦА № 2"</v>
      </c>
      <c r="B15100" s="24" t="s">
        <v>19953</v>
      </c>
      <c r="C15100" s="25">
        <v>366953.5</v>
      </c>
      <c r="D15100" s="22" t="s">
        <v>19954</v>
      </c>
      <c r="E15100" s="22" t="s">
        <v>62</v>
      </c>
      <c r="F15100" s="23" t="str">
        <f t="shared" si="517"/>
        <v>Печатная продукция</v>
      </c>
      <c r="G15100" s="22" t="s">
        <v>1918</v>
      </c>
      <c r="H15100" s="22" t="s">
        <v>2140</v>
      </c>
      <c r="I15100" s="26">
        <v>43642.627777777801</v>
      </c>
      <c r="J15100" s="23" t="str">
        <f>HYPERLINK("https://www.spark-marketing.ru/Card/Person/497064", "ООО ИПК ""АВАНТА-ПРИНТ""")</f>
        <v>ООО ИПК "АВАНТА-ПРИНТ"</v>
      </c>
      <c r="K15100" s="24" t="s">
        <v>6192</v>
      </c>
      <c r="L15100" s="28" t="s">
        <v>51</v>
      </c>
      <c r="M15100" s="25">
        <v>276165.23</v>
      </c>
      <c r="N15100" s="27">
        <v>0.24741082998254546</v>
      </c>
    </row>
    <row r="15101" spans="1:14" hidden="1" outlineLevel="1" x14ac:dyDescent="0.2">
      <c r="A15101" s="23" t="str">
        <f t="shared" si="516"/>
        <v>ГУЗ "ГОРОДСКАЯ БОЛЬНИЦА № 2"</v>
      </c>
      <c r="B15101" s="24" t="s">
        <v>19953</v>
      </c>
      <c r="C15101" s="25">
        <v>366953.5</v>
      </c>
      <c r="D15101" s="22" t="s">
        <v>19954</v>
      </c>
      <c r="E15101" s="22" t="s">
        <v>62</v>
      </c>
      <c r="F15101" s="23" t="str">
        <f t="shared" si="517"/>
        <v>Печатная продукция</v>
      </c>
      <c r="G15101" s="22" t="s">
        <v>1918</v>
      </c>
      <c r="H15101" s="22" t="s">
        <v>2140</v>
      </c>
      <c r="I15101" s="26">
        <v>43642.627777777801</v>
      </c>
      <c r="J15101" s="23" t="str">
        <f>HYPERLINK("https://www.spark-marketing.ru/Card/Person/535014", "ООО ""ВЕГА-МЦ""")</f>
        <v>ООО "ВЕГА-МЦ"</v>
      </c>
      <c r="K15101" s="24" t="s">
        <v>19956</v>
      </c>
      <c r="L15101" s="28" t="s">
        <v>51</v>
      </c>
      <c r="M15101" s="25">
        <v>365118.73</v>
      </c>
      <c r="N15101" s="27">
        <v>5.0000068128523093E-3</v>
      </c>
    </row>
    <row r="15102" spans="1:14" ht="12.75" hidden="1" outlineLevel="1" x14ac:dyDescent="0.2">
      <c r="A15102" s="23" t="str">
        <f t="shared" si="516"/>
        <v>ГУЗ "ГОРОДСКАЯ БОЛЬНИЦА № 2"</v>
      </c>
      <c r="B15102" s="24" t="s">
        <v>19953</v>
      </c>
      <c r="C15102" s="25">
        <v>366953.5</v>
      </c>
      <c r="D15102" s="22" t="s">
        <v>19954</v>
      </c>
      <c r="E15102" s="22" t="s">
        <v>62</v>
      </c>
      <c r="F15102" s="23" t="str">
        <f t="shared" si="517"/>
        <v>Печатная продукция</v>
      </c>
      <c r="G15102" s="22" t="s">
        <v>1918</v>
      </c>
      <c r="H15102" s="22" t="s">
        <v>2140</v>
      </c>
      <c r="I15102" s="26">
        <v>43642.627777777801</v>
      </c>
      <c r="J15102" s="23" t="str">
        <f>HYPERLINK("https://www.spark-marketing.ru/Card/Person/6321795", "Прохорова Виктория Сергеевна")</f>
        <v>Прохорова Виктория Сергеевна</v>
      </c>
      <c r="K15102" s="24" t="s">
        <v>19957</v>
      </c>
      <c r="L15102" s="22" t="s">
        <v>10</v>
      </c>
      <c r="M15102" s="25">
        <v>194000</v>
      </c>
      <c r="N15102" s="27">
        <v>0.4713226607730952</v>
      </c>
    </row>
    <row r="15103" spans="1:14" hidden="1" outlineLevel="1" x14ac:dyDescent="0.2">
      <c r="A15103" s="23" t="str">
        <f t="shared" si="516"/>
        <v>ГУЗ "ГОРОДСКАЯ БОЛЬНИЦА № 2"</v>
      </c>
      <c r="B15103" s="24" t="s">
        <v>19953</v>
      </c>
      <c r="C15103" s="25">
        <v>366953.5</v>
      </c>
      <c r="D15103" s="22" t="s">
        <v>19954</v>
      </c>
      <c r="E15103" s="22" t="s">
        <v>62</v>
      </c>
      <c r="F15103" s="23" t="str">
        <f t="shared" si="517"/>
        <v>Печатная продукция</v>
      </c>
      <c r="G15103" s="22" t="s">
        <v>1918</v>
      </c>
      <c r="H15103" s="22" t="s">
        <v>2140</v>
      </c>
      <c r="I15103" s="26">
        <v>43642.627777777801</v>
      </c>
      <c r="J15103" s="23" t="str">
        <f>HYPERLINK("https://www.spark-marketing.ru/Card/Person/4370767", "ООО ""МТ-ТИПОГРАФИЯ""")</f>
        <v>ООО "МТ-ТИПОГРАФИЯ"</v>
      </c>
      <c r="K15103" s="24" t="s">
        <v>19958</v>
      </c>
      <c r="L15103" s="28" t="s">
        <v>51</v>
      </c>
      <c r="M15103" s="25">
        <v>338000</v>
      </c>
      <c r="N15103" s="27">
        <v>7.8902367738691692E-2</v>
      </c>
    </row>
    <row r="15104" spans="1:14" hidden="1" outlineLevel="1" x14ac:dyDescent="0.2">
      <c r="A15104" s="23" t="str">
        <f t="shared" si="516"/>
        <v>ГУЗ "ГОРОДСКАЯ БОЛЬНИЦА № 2"</v>
      </c>
      <c r="B15104" s="24" t="s">
        <v>19953</v>
      </c>
      <c r="C15104" s="25">
        <v>366953.5</v>
      </c>
      <c r="D15104" s="22" t="s">
        <v>19954</v>
      </c>
      <c r="E15104" s="22" t="s">
        <v>62</v>
      </c>
      <c r="F15104" s="23" t="str">
        <f t="shared" si="517"/>
        <v>Печатная продукция</v>
      </c>
      <c r="G15104" s="22" t="s">
        <v>1918</v>
      </c>
      <c r="H15104" s="22" t="s">
        <v>2140</v>
      </c>
      <c r="I15104" s="26">
        <v>43642.627777777801</v>
      </c>
      <c r="J15104" s="23" t="str">
        <f>HYPERLINK("https://www.spark-marketing.ru/Card/Person/183917", "ООО ""КАНЦТОВАРЫ""")</f>
        <v>ООО "КАНЦТОВАРЫ"</v>
      </c>
      <c r="K15104" s="24" t="s">
        <v>6208</v>
      </c>
      <c r="L15104" s="28" t="s">
        <v>51</v>
      </c>
      <c r="M15104" s="25">
        <v>317000</v>
      </c>
      <c r="N15104" s="27">
        <v>0.13613032713954221</v>
      </c>
    </row>
    <row r="15105" spans="1:14" hidden="1" outlineLevel="1" x14ac:dyDescent="0.2">
      <c r="A15105" s="23" t="str">
        <f t="shared" si="516"/>
        <v>ГУЗ "ГОРОДСКАЯ БОЛЬНИЦА № 2"</v>
      </c>
      <c r="B15105" s="24" t="s">
        <v>19953</v>
      </c>
      <c r="C15105" s="25">
        <v>366953.5</v>
      </c>
      <c r="D15105" s="22" t="s">
        <v>19954</v>
      </c>
      <c r="E15105" s="22" t="s">
        <v>62</v>
      </c>
      <c r="F15105" s="23" t="str">
        <f t="shared" si="517"/>
        <v>Печатная продукция</v>
      </c>
      <c r="G15105" s="22" t="s">
        <v>1918</v>
      </c>
      <c r="H15105" s="22" t="s">
        <v>2140</v>
      </c>
      <c r="I15105" s="26">
        <v>43642.627777777801</v>
      </c>
      <c r="J15105" s="23" t="str">
        <f>HYPERLINK("https://www.spark-marketing.ru/Card/Person/408821", "ООО ""СЕЛИНА""")</f>
        <v>ООО "СЕЛИНА"</v>
      </c>
      <c r="K15105" s="24" t="s">
        <v>19959</v>
      </c>
      <c r="L15105" s="28" t="s">
        <v>51</v>
      </c>
      <c r="M15105" s="25">
        <v>196330.46</v>
      </c>
      <c r="N15105" s="27">
        <v>0.46497182885569971</v>
      </c>
    </row>
    <row r="15106" spans="1:14" hidden="1" outlineLevel="1" x14ac:dyDescent="0.2">
      <c r="A15106" s="23" t="str">
        <f t="shared" si="516"/>
        <v>ГУЗ "ГОРОДСКАЯ БОЛЬНИЦА № 2"</v>
      </c>
      <c r="B15106" s="24" t="s">
        <v>19953</v>
      </c>
      <c r="C15106" s="25">
        <v>366953.5</v>
      </c>
      <c r="D15106" s="22" t="s">
        <v>19954</v>
      </c>
      <c r="E15106" s="22" t="s">
        <v>62</v>
      </c>
      <c r="F15106" s="23" t="str">
        <f t="shared" si="517"/>
        <v>Печатная продукция</v>
      </c>
      <c r="G15106" s="22" t="s">
        <v>1918</v>
      </c>
      <c r="H15106" s="22" t="s">
        <v>2140</v>
      </c>
      <c r="I15106" s="26">
        <v>43642.627777777801</v>
      </c>
      <c r="J15106" s="23" t="str">
        <f>HYPERLINK("https://www.spark-marketing.ru/Card/Person/856831", "Захаров Сергей Николаевич")</f>
        <v>Захаров Сергей Николаевич</v>
      </c>
      <c r="K15106" s="24" t="s">
        <v>19960</v>
      </c>
      <c r="L15106" s="28" t="s">
        <v>51</v>
      </c>
      <c r="M15106" s="25">
        <v>198165.23</v>
      </c>
      <c r="N15106" s="27">
        <v>0.45997182204284737</v>
      </c>
    </row>
    <row r="15107" spans="1:14" x14ac:dyDescent="0.15">
      <c r="A15107" s="23" t="str">
        <f>HYPERLINK("https://www.spark-marketing.ru/Card/Person/18251", "МБОУ ГИМНАЗИЯ №25 Г. СТАВРОПОЛЯ")</f>
        <v>МБОУ ГИМНАЗИЯ №25 Г. СТАВРОПОЛЯ</v>
      </c>
      <c r="B15107" s="24" t="s">
        <v>19961</v>
      </c>
      <c r="C15107" s="25">
        <v>511017</v>
      </c>
      <c r="D15107" s="22" t="s">
        <v>19962</v>
      </c>
      <c r="E15107" s="22" t="s">
        <v>48</v>
      </c>
      <c r="F15107" s="23" t="str">
        <f>HYPERLINK("https://www.spark-marketing.ru/Card/Lot/71707790", "Услуги по организации питания учащихся МБОУ гимназии №25 г. Ставрополя в сентябре-декабре 2019 года")</f>
        <v>Услуги по организации питания учащихся МБОУ гимназии №25 г. Ставрополя в сентябре-декабре 2019 года</v>
      </c>
      <c r="G15107" s="22" t="s">
        <v>87</v>
      </c>
      <c r="H15107" s="22" t="s">
        <v>87</v>
      </c>
      <c r="I15107" s="26">
        <v>43642.658333333296</v>
      </c>
      <c r="J15107" s="23" t="str">
        <f>HYPERLINK("https://www.spark-marketing.ru/Card/Person/213142", "Звягина Надежда Ильинична")</f>
        <v>Звягина Надежда Ильинична</v>
      </c>
      <c r="K15107" s="24" t="s">
        <v>12311</v>
      </c>
      <c r="L15107" s="22" t="s">
        <v>10</v>
      </c>
      <c r="M15107" s="28" t="s">
        <v>51</v>
      </c>
      <c r="N15107" s="28" t="s">
        <v>51</v>
      </c>
    </row>
    <row r="15108" spans="1:14" x14ac:dyDescent="0.15">
      <c r="A15108" s="23" t="str">
        <f>HYPERLINK("https://www.spark-marketing.ru/Card/Person/826981", "ОТДЕЛ МВД РОССИИ ПО РЫБНО-СЛОБОДСКОМУ РАЙОНУ")</f>
        <v>ОТДЕЛ МВД РОССИИ ПО РЫБНО-СЛОБОДСКОМУ РАЙОНУ</v>
      </c>
      <c r="B15108" s="24" t="s">
        <v>10390</v>
      </c>
      <c r="C15108" s="25">
        <v>15000</v>
      </c>
      <c r="D15108" s="22" t="s">
        <v>19963</v>
      </c>
      <c r="E15108" s="22" t="s">
        <v>48</v>
      </c>
      <c r="F15108" s="23" t="str">
        <f>HYPERLINK("https://www.spark-marketing.ru/Card/Lot/71695059",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5108" s="22" t="s">
        <v>217</v>
      </c>
      <c r="H15108" s="22" t="s">
        <v>10392</v>
      </c>
      <c r="I15108" s="26">
        <v>43642.632222222201</v>
      </c>
      <c r="J15108" s="28" t="s">
        <v>51</v>
      </c>
      <c r="K15108" s="28" t="s">
        <v>51</v>
      </c>
      <c r="L15108" s="28" t="s">
        <v>51</v>
      </c>
      <c r="M15108" s="28" t="s">
        <v>51</v>
      </c>
      <c r="N15108" s="28" t="s">
        <v>51</v>
      </c>
    </row>
    <row r="15109" spans="1:14" x14ac:dyDescent="0.15">
      <c r="A15109" s="23" t="str">
        <f>HYPERLINK("https://www.spark-marketing.ru/Card/Person/1047988", "ОТДМВД РОССИИ ПО СПАССКОМУ РАЙОНУ")</f>
        <v>ОТДМВД РОССИИ ПО СПАССКОМУ РАЙОНУ</v>
      </c>
      <c r="B15109" s="24" t="s">
        <v>4072</v>
      </c>
      <c r="C15109" s="25">
        <v>50380</v>
      </c>
      <c r="D15109" s="22" t="s">
        <v>19964</v>
      </c>
      <c r="E15109" s="22" t="s">
        <v>48</v>
      </c>
      <c r="F15109" s="23" t="str">
        <f>HYPERLINK("https://www.spark-marketing.ru/Card/Lot/71696965", "Услуги по обеспечению питания лиц содержащихся в спец. помещениях задержанных лиц, 220 усл. ед")</f>
        <v>Услуги по обеспечению питания лиц содержащихся в спец. помещениях задержанных лиц, 220 усл. ед</v>
      </c>
      <c r="G15109" s="22" t="s">
        <v>72</v>
      </c>
      <c r="H15109" s="22" t="s">
        <v>622</v>
      </c>
      <c r="I15109" s="26">
        <v>43642.646944444401</v>
      </c>
      <c r="J15109" s="28" t="s">
        <v>51</v>
      </c>
      <c r="K15109" s="28" t="s">
        <v>51</v>
      </c>
      <c r="L15109" s="28" t="s">
        <v>51</v>
      </c>
      <c r="M15109" s="28" t="s">
        <v>51</v>
      </c>
      <c r="N15109" s="28" t="s">
        <v>51</v>
      </c>
    </row>
    <row r="15110" spans="1:14" x14ac:dyDescent="0.15">
      <c r="A15110" s="23" t="str">
        <f>HYPERLINK("https://www.spark-marketing.ru/Card/Person/6514818", "БАНК РОССИИ УРАЛЬСКОЕ ГУ")</f>
        <v>БАНК РОССИИ УРАЛЬСКОЕ ГУ</v>
      </c>
      <c r="B15110" s="28" t="s">
        <v>51</v>
      </c>
      <c r="C15110" s="28" t="s">
        <v>51</v>
      </c>
      <c r="D15110" s="22" t="s">
        <v>19965</v>
      </c>
      <c r="E15110" s="22" t="s">
        <v>52</v>
      </c>
      <c r="F15110" s="23" t="str">
        <f>HYPERLINK("https://www.spark-marketing.ru/Card/Lot/71698623", "Запрос информации в электронной форме о ценах и условиях оказания услуг связанных с перевозкой имущества отделения пермь грузовыми бортовыми, тентованными автомобилями в пределах г. перми, пермского края, российской федерации и обеспечения работы сто...")</f>
        <v>Запрос информации в электронной форме о ценах и условиях оказания услуг связанных с перевозкой имущества отделения пермь грузовыми бортовыми, тентованными автомобилями в пределах г. перми, пермского края, российской федерации и обеспечения работы сто...</v>
      </c>
      <c r="G15110" s="22" t="s">
        <v>153</v>
      </c>
      <c r="H15110" s="22" t="s">
        <v>3981</v>
      </c>
      <c r="I15110" s="26">
        <v>43642.663888888899</v>
      </c>
      <c r="J15110" s="28" t="s">
        <v>51</v>
      </c>
      <c r="K15110" s="28" t="s">
        <v>51</v>
      </c>
      <c r="L15110" s="28" t="s">
        <v>51</v>
      </c>
      <c r="M15110" s="28" t="s">
        <v>51</v>
      </c>
      <c r="N15110" s="28" t="s">
        <v>51</v>
      </c>
    </row>
    <row r="15111" spans="1:14" x14ac:dyDescent="0.15">
      <c r="A15111" s="23" t="str">
        <f>HYPERLINK("https://www.spark-marketing.ru/Card/Person/4346598", "ДЕПАРТАМЕНТ ЗДРАВООХРАНЕНИЯ АДМИНИСТРАЦИИ ВЛАДИМИРСКОЙ ОБЛАСТИ")</f>
        <v>ДЕПАРТАМЕНТ ЗДРАВООХРАНЕНИЯ АДМИНИСТРАЦИИ ВЛАДИМИРСКОЙ ОБЛАСТИ</v>
      </c>
      <c r="B15111" s="24" t="s">
        <v>19966</v>
      </c>
      <c r="C15111" s="25">
        <v>42174207.100000001</v>
      </c>
      <c r="D15111" s="22" t="s">
        <v>19967</v>
      </c>
      <c r="E15111" s="22" t="s">
        <v>1153</v>
      </c>
      <c r="F15111" s="23" t="str">
        <f>HYPERLINK("https://www.spark-marketing.ru/Card/Lot/71710863", "Услуга по обеспечению лекарственными препаратами, изделиями медицинского назначения, а также специализированными продуктами лечебного питания отдельных категорий граждан, проживающих на территории Владимирской области, имеющих право на получение госу...")</f>
        <v>Услуга по обеспечению лекарственными препаратами, изделиями медицинского назначения, а также специализированными продуктами лечебного питания отдельных категорий граждан, проживающих на территории Владимирской области, имеющих право на получение госу...</v>
      </c>
      <c r="G15111" s="22" t="s">
        <v>663</v>
      </c>
      <c r="H15111" s="22" t="s">
        <v>663</v>
      </c>
      <c r="I15111" s="26">
        <v>43642.643750000003</v>
      </c>
      <c r="J15111" s="23" t="str">
        <f>HYPERLINK("https://www.spark-marketing.ru/Card/Person/49894", "ООО ""МЕДИЛОН-ФАРМИМЭКС""")</f>
        <v>ООО "МЕДИЛОН-ФАРМИМЭКС"</v>
      </c>
      <c r="K15111" s="24" t="s">
        <v>13754</v>
      </c>
      <c r="L15111" s="22" t="s">
        <v>10</v>
      </c>
      <c r="M15111" s="28" t="s">
        <v>51</v>
      </c>
      <c r="N15111" s="28" t="s">
        <v>51</v>
      </c>
    </row>
    <row r="15112" spans="1:14" x14ac:dyDescent="0.15">
      <c r="A15112" s="23" t="str">
        <f>HYPERLINK("https://www.spark-marketing.ru/Card/Person/1036690", "МБОУ ЛИЦЕЙ № 35 Г. СТАВРОПОЛЯ")</f>
        <v>МБОУ ЛИЦЕЙ № 35 Г. СТАВРОПОЛЯ</v>
      </c>
      <c r="B15112" s="24" t="s">
        <v>19968</v>
      </c>
      <c r="C15112" s="25">
        <v>1131240</v>
      </c>
      <c r="D15112" s="22" t="s">
        <v>19969</v>
      </c>
      <c r="E15112" s="22" t="s">
        <v>48</v>
      </c>
      <c r="F15112" s="23" t="str">
        <f>HYPERLINK("https://www.spark-marketing.ru/Card/Lot/71709286", "Услуги по организации питания учащихся муниципального бюджетного общеобразовательного учреждения лицея № 35 города Ставрополя в сентябре-декабре 2019 года.")</f>
        <v>Услуги по организации питания учащихся муниципального бюджетного общеобразовательного учреждения лицея № 35 города Ставрополя в сентябре-декабре 2019 года.</v>
      </c>
      <c r="G15112" s="22" t="s">
        <v>87</v>
      </c>
      <c r="H15112" s="22" t="s">
        <v>87</v>
      </c>
      <c r="I15112" s="26">
        <v>43642.657638888901</v>
      </c>
      <c r="J15112" s="23" t="str">
        <f>HYPERLINK("https://www.spark-marketing.ru/Card/Person/213142", "Звягина Надежда Ильинична")</f>
        <v>Звягина Надежда Ильинична</v>
      </c>
      <c r="K15112" s="24" t="s">
        <v>12311</v>
      </c>
      <c r="L15112" s="22" t="s">
        <v>10</v>
      </c>
      <c r="M15112" s="28" t="s">
        <v>51</v>
      </c>
      <c r="N15112" s="28" t="s">
        <v>51</v>
      </c>
    </row>
    <row r="15113" spans="1:14" x14ac:dyDescent="0.15">
      <c r="A15113" s="23" t="str">
        <f>HYPERLINK("https://www.spark-marketing.ru/Card/Person/1024498", "СЕМЕНОВСКАЯ СРЕДНЯЯ ШКОЛА")</f>
        <v>СЕМЕНОВСКАЯ СРЕДНЯЯ ШКОЛА</v>
      </c>
      <c r="B15113" s="24" t="s">
        <v>2164</v>
      </c>
      <c r="C15113" s="25">
        <v>201600</v>
      </c>
      <c r="D15113" s="22" t="s">
        <v>19970</v>
      </c>
      <c r="E15113" s="22" t="s">
        <v>48</v>
      </c>
      <c r="F15113" s="23" t="str">
        <f>HYPERLINK("https://www.spark-marketing.ru/Card/Lot/71698278", "Оказание услуг по организации питания в летних оздоровительных лагерях с дневным пребыванием на базе общеобразовательных организаций")</f>
        <v>Оказание услуг по организации питания в летних оздоровительных лагерях с дневным пребыванием на базе общеобразовательных организаций</v>
      </c>
      <c r="G15113" s="22" t="s">
        <v>49</v>
      </c>
      <c r="H15113" s="22" t="s">
        <v>3718</v>
      </c>
      <c r="I15113" s="26">
        <v>43642.6391435185</v>
      </c>
      <c r="J15113" s="28" t="s">
        <v>51</v>
      </c>
      <c r="K15113" s="28" t="s">
        <v>51</v>
      </c>
      <c r="L15113" s="28" t="s">
        <v>51</v>
      </c>
      <c r="M15113" s="28" t="s">
        <v>51</v>
      </c>
      <c r="N15113" s="28" t="s">
        <v>51</v>
      </c>
    </row>
    <row r="15114" spans="1:14" x14ac:dyDescent="0.15">
      <c r="A15114" s="23" t="str">
        <f>HYPERLINK("https://www.spark-marketing.ru/Card/Person/4866689", "МБОУ СОШ № 44 Г. СТАВРОПОЛЯ")</f>
        <v>МБОУ СОШ № 44 Г. СТАВРОПОЛЯ</v>
      </c>
      <c r="B15114" s="24" t="s">
        <v>19971</v>
      </c>
      <c r="C15114" s="25">
        <v>1027950</v>
      </c>
      <c r="D15114" s="22" t="s">
        <v>19972</v>
      </c>
      <c r="E15114" s="22" t="s">
        <v>48</v>
      </c>
      <c r="F15114" s="23" t="str">
        <f>HYPERLINK("https://www.spark-marketing.ru/Card/Lot/71709044", "Услуги по организации питания учащихся муниципального бюджетного общеобразовательного учреждения средней общеобразовательной школы № 44 города Ставрополя в сентябре-декабре 2019 года.")</f>
        <v>Услуги по организации питания учащихся муниципального бюджетного общеобразовательного учреждения средней общеобразовательной школы № 44 города Ставрополя в сентябре-декабре 2019 года.</v>
      </c>
      <c r="G15114" s="22" t="s">
        <v>87</v>
      </c>
      <c r="H15114" s="22" t="s">
        <v>87</v>
      </c>
      <c r="I15114" s="26">
        <v>43642.65625</v>
      </c>
      <c r="J15114" s="23" t="str">
        <f>HYPERLINK("https://www.spark-marketing.ru/Card/Person/217327", "Карпачев Валерий Борисович")</f>
        <v>Карпачев Валерий Борисович</v>
      </c>
      <c r="K15114" s="24" t="s">
        <v>19656</v>
      </c>
      <c r="L15114" s="22" t="s">
        <v>10</v>
      </c>
      <c r="M15114" s="28" t="s">
        <v>51</v>
      </c>
      <c r="N15114" s="28" t="s">
        <v>51</v>
      </c>
    </row>
    <row r="15115" spans="1:14" x14ac:dyDescent="0.15">
      <c r="A15115" s="23" t="str">
        <f>HYPERLINK("https://www.spark-marketing.ru/Card/Person/4886788", "УРАЛЬСКОЕ ГУ БАНКА РОССИИ")</f>
        <v>УРАЛЬСКОЕ ГУ БАНКА РОССИИ</v>
      </c>
      <c r="B15115" s="24" t="s">
        <v>19973</v>
      </c>
      <c r="C15115" s="25">
        <v>0</v>
      </c>
      <c r="D15115" s="22" t="s">
        <v>19974</v>
      </c>
      <c r="E15115" s="22" t="s">
        <v>468</v>
      </c>
      <c r="F15115" s="23" t="str">
        <f>HYPERLINK("https://www.spark-marketing.ru/Card/Lot/71699099", "Запрос информации в электронной форме о ценах и условиях оказания услуг связанных с перевозкой имущества Отделения Пермь грузовыми бортовыми, тентованными автомобилями в пределах г. Перми, Пермского края, Российской Федерации и обеспечения работы сто...")</f>
        <v>Запрос информации в электронной форме о ценах и условиях оказания услуг связанных с перевозкой имущества Отделения Пермь грузовыми бортовыми, тентованными автомобилями в пределах г. Перми, Пермского края, Российской Федерации и обеспечения работы сто...</v>
      </c>
      <c r="G15115" s="22" t="s">
        <v>56</v>
      </c>
      <c r="H15115" s="22" t="s">
        <v>56</v>
      </c>
      <c r="I15115" s="26">
        <v>43642.659768518497</v>
      </c>
      <c r="J15115" s="28" t="s">
        <v>51</v>
      </c>
      <c r="K15115" s="28" t="s">
        <v>51</v>
      </c>
      <c r="L15115" s="28" t="s">
        <v>51</v>
      </c>
      <c r="M15115" s="28" t="s">
        <v>51</v>
      </c>
      <c r="N15115" s="28" t="s">
        <v>51</v>
      </c>
    </row>
    <row r="15116" spans="1:14" x14ac:dyDescent="0.15">
      <c r="A15116" s="23" t="str">
        <f>HYPERLINK("https://www.spark-marketing.ru/Card/Person/4372570", "МАУ ДО ДЮСШ")</f>
        <v>МАУ ДО ДЮСШ</v>
      </c>
      <c r="B15116" s="24" t="s">
        <v>14375</v>
      </c>
      <c r="C15116" s="25">
        <v>307815.2</v>
      </c>
      <c r="D15116" s="22" t="s">
        <v>19975</v>
      </c>
      <c r="E15116" s="22" t="s">
        <v>362</v>
      </c>
      <c r="F15116" s="23" t="str">
        <f>HYPERLINK("https://www.spark-marketing.ru/Card/Lot/71694682", "оказание услуг по организации и обеспечению питанием детей, оздоравливаемых и отдыхающих в городском оздоровительном лагере с дневным пребыванием детей")</f>
        <v>оказание услуг по организации и обеспечению питанием детей, оздоравливаемых и отдыхающих в городском оздоровительном лагере с дневным пребыванием детей</v>
      </c>
      <c r="G15116" s="22" t="s">
        <v>174</v>
      </c>
      <c r="H15116" s="22" t="s">
        <v>174</v>
      </c>
      <c r="I15116" s="26">
        <v>43642.644537036998</v>
      </c>
      <c r="J15116" s="28" t="s">
        <v>51</v>
      </c>
      <c r="K15116" s="28" t="s">
        <v>51</v>
      </c>
      <c r="L15116" s="28" t="s">
        <v>51</v>
      </c>
      <c r="M15116" s="28" t="s">
        <v>51</v>
      </c>
      <c r="N15116" s="28" t="s">
        <v>51</v>
      </c>
    </row>
    <row r="15117" spans="1:14" x14ac:dyDescent="0.15">
      <c r="A15117" s="23" t="str">
        <f>HYPERLINK("https://www.spark-marketing.ru/Card/Person/18135", "МБОУ СОШ №32 Г. СТАВРОПОЛЯ")</f>
        <v>МБОУ СОШ №32 Г. СТАВРОПОЛЯ</v>
      </c>
      <c r="B15117" s="24" t="s">
        <v>19976</v>
      </c>
      <c r="C15117" s="25">
        <v>835000</v>
      </c>
      <c r="D15117" s="22" t="s">
        <v>19977</v>
      </c>
      <c r="E15117" s="22" t="s">
        <v>48</v>
      </c>
      <c r="F15117" s="23" t="str">
        <f>HYPERLINK("https://www.spark-marketing.ru/Card/Lot/71708856", "Услуги по организации питания учащихся муниципального бюджетного общеобразовательного учреждения средней общеобразовательной школы № 32 города Ставрополя в сентябре-декабре 2019 года.")</f>
        <v>Услуги по организации питания учащихся муниципального бюджетного общеобразовательного учреждения средней общеобразовательной школы № 32 города Ставрополя в сентябре-декабре 2019 года.</v>
      </c>
      <c r="G15117" s="22" t="s">
        <v>87</v>
      </c>
      <c r="H15117" s="22" t="s">
        <v>87</v>
      </c>
      <c r="I15117" s="26">
        <v>43642.657638888901</v>
      </c>
      <c r="J15117" s="23" t="str">
        <f>HYPERLINK("https://www.spark-marketing.ru/Card/Person/217327", "Карпачев Валерий Борисович")</f>
        <v>Карпачев Валерий Борисович</v>
      </c>
      <c r="K15117" s="24" t="s">
        <v>19656</v>
      </c>
      <c r="L15117" s="22" t="s">
        <v>10</v>
      </c>
      <c r="M15117" s="28" t="s">
        <v>51</v>
      </c>
      <c r="N15117" s="28" t="s">
        <v>51</v>
      </c>
    </row>
    <row r="15118" spans="1:14" x14ac:dyDescent="0.15">
      <c r="A15118" s="23" t="str">
        <f>HYPERLINK("https://www.spark-marketing.ru/Card/Person/6445177", "ГБУ ЦСКР ДИАНЫ ГУРЦКАЯ")</f>
        <v>ГБУ ЦСКР ДИАНЫ ГУРЦКАЯ</v>
      </c>
      <c r="B15118" s="24" t="s">
        <v>19978</v>
      </c>
      <c r="C15118" s="25">
        <v>1325450</v>
      </c>
      <c r="D15118" s="22" t="s">
        <v>19979</v>
      </c>
      <c r="E15118" s="22" t="s">
        <v>55</v>
      </c>
      <c r="F15118" s="23" t="str">
        <f>HYPERLINK("https://www.spark-marketing.ru/Card/Lot/71709819", "Оказание услуг по организации и проведению общегородских культурно-массовых мероприятий, направленных на социокультурную реабилитацию и творческое развитие лиц с инвалидностью и другими ограничениями жизнедеятельности, постоянно проживающих в городе ...")</f>
        <v>Оказание услуг по организации и проведению общегородских культурно-массовых мероприятий, направленных на социокультурную реабилитацию и творческое развитие лиц с инвалидностью и другими ограничениями жизнедеятельности, постоянно проживающих в городе ...</v>
      </c>
      <c r="G15118" s="22" t="s">
        <v>56</v>
      </c>
      <c r="H15118" s="22" t="s">
        <v>56</v>
      </c>
      <c r="I15118" s="26">
        <v>43642.618750000001</v>
      </c>
      <c r="J15118" s="28" t="s">
        <v>51</v>
      </c>
      <c r="K15118" s="28" t="s">
        <v>51</v>
      </c>
      <c r="L15118" s="28" t="s">
        <v>51</v>
      </c>
      <c r="M15118" s="28" t="s">
        <v>51</v>
      </c>
      <c r="N15118" s="28" t="s">
        <v>51</v>
      </c>
    </row>
    <row r="15119" spans="1:14" hidden="1" outlineLevel="1" x14ac:dyDescent="0.2">
      <c r="A15119" s="23" t="str">
        <f>HYPERLINK("https://www.spark-marketing.ru/Card/Person/6445177", "ГБУ ЦСКР ДИАНЫ ГУРЦКАЯ")</f>
        <v>ГБУ ЦСКР ДИАНЫ ГУРЦКАЯ</v>
      </c>
      <c r="B15119" s="24" t="s">
        <v>19978</v>
      </c>
      <c r="C15119" s="25">
        <v>1325450</v>
      </c>
      <c r="D15119" s="22" t="s">
        <v>19979</v>
      </c>
      <c r="E15119" s="22" t="s">
        <v>55</v>
      </c>
      <c r="F15119" s="23" t="str">
        <f>HYPERLINK("https://www.spark-marketing.ru/Card/Lot/71709819", "Оказание услуг по организации и проведению общегородских культурно-массовых мероприятий, направленных на социокультурную реабилитацию и творческое развитие лиц с инвалидностью и другими ограничениями жизнедеятельности, постоянно проживающих в городе ...")</f>
        <v>Оказание услуг по организации и проведению общегородских культурно-массовых мероприятий, направленных на социокультурную реабилитацию и творческое развитие лиц с инвалидностью и другими ограничениями жизнедеятельности, постоянно проживающих в городе ...</v>
      </c>
      <c r="G15119" s="22" t="s">
        <v>56</v>
      </c>
      <c r="H15119" s="22" t="s">
        <v>56</v>
      </c>
      <c r="I15119" s="26">
        <v>43642.618750000001</v>
      </c>
      <c r="J15119" s="23" t="str">
        <f>HYPERLINK("https://www.spark-marketing.ru/Card/Person/6085395", "ООО ""ПРОЖЕКТОР""")</f>
        <v>ООО "ПРОЖЕКТОР"</v>
      </c>
      <c r="K15119" s="24" t="s">
        <v>19980</v>
      </c>
      <c r="L15119" s="28" t="s">
        <v>51</v>
      </c>
      <c r="M15119" s="25">
        <v>974205.75</v>
      </c>
      <c r="N15119" s="27">
        <v>0.26500000000000001</v>
      </c>
    </row>
    <row r="15120" spans="1:14" hidden="1" outlineLevel="1" x14ac:dyDescent="0.2">
      <c r="A15120" s="23" t="str">
        <f>HYPERLINK("https://www.spark-marketing.ru/Card/Person/6445177", "ГБУ ЦСКР ДИАНЫ ГУРЦКАЯ")</f>
        <v>ГБУ ЦСКР ДИАНЫ ГУРЦКАЯ</v>
      </c>
      <c r="B15120" s="24" t="s">
        <v>19978</v>
      </c>
      <c r="C15120" s="25">
        <v>1325450</v>
      </c>
      <c r="D15120" s="22" t="s">
        <v>19979</v>
      </c>
      <c r="E15120" s="22" t="s">
        <v>55</v>
      </c>
      <c r="F15120" s="23" t="str">
        <f>HYPERLINK("https://www.spark-marketing.ru/Card/Lot/71709819", "Оказание услуг по организации и проведению общегородских культурно-массовых мероприятий, направленных на социокультурную реабилитацию и творческое развитие лиц с инвалидностью и другими ограничениями жизнедеятельности, постоянно проживающих в городе ...")</f>
        <v>Оказание услуг по организации и проведению общегородских культурно-массовых мероприятий, направленных на социокультурную реабилитацию и творческое развитие лиц с инвалидностью и другими ограничениями жизнедеятельности, постоянно проживающих в городе ...</v>
      </c>
      <c r="G15120" s="22" t="s">
        <v>56</v>
      </c>
      <c r="H15120" s="22" t="s">
        <v>56</v>
      </c>
      <c r="I15120" s="26">
        <v>43642.618750000001</v>
      </c>
      <c r="J15120" s="23" t="str">
        <f>HYPERLINK("https://www.spark-marketing.ru/Card/Person/4426275", "ООО ""МЕЧТЫ СБЫВАЮТСЯ""")</f>
        <v>ООО "МЕЧТЫ СБЫВАЮТСЯ"</v>
      </c>
      <c r="K15120" s="24" t="s">
        <v>19981</v>
      </c>
      <c r="L15120" s="28" t="s">
        <v>51</v>
      </c>
      <c r="M15120" s="25">
        <v>821779</v>
      </c>
      <c r="N15120" s="27">
        <v>0.38</v>
      </c>
    </row>
    <row r="15121" spans="1:14" ht="12.75" hidden="1" outlineLevel="1" x14ac:dyDescent="0.2">
      <c r="A15121" s="23" t="str">
        <f>HYPERLINK("https://www.spark-marketing.ru/Card/Person/6445177", "ГБУ ЦСКР ДИАНЫ ГУРЦКАЯ")</f>
        <v>ГБУ ЦСКР ДИАНЫ ГУРЦКАЯ</v>
      </c>
      <c r="B15121" s="24" t="s">
        <v>19978</v>
      </c>
      <c r="C15121" s="25">
        <v>1325450</v>
      </c>
      <c r="D15121" s="22" t="s">
        <v>19979</v>
      </c>
      <c r="E15121" s="22" t="s">
        <v>55</v>
      </c>
      <c r="F15121" s="23" t="str">
        <f>HYPERLINK("https://www.spark-marketing.ru/Card/Lot/71709819", "Оказание услуг по организации и проведению общегородских культурно-массовых мероприятий, направленных на социокультурную реабилитацию и творческое развитие лиц с инвалидностью и другими ограничениями жизнедеятельности, постоянно проживающих в городе ...")</f>
        <v>Оказание услуг по организации и проведению общегородских культурно-массовых мероприятий, направленных на социокультурную реабилитацию и творческое развитие лиц с инвалидностью и другими ограничениями жизнедеятельности, постоянно проживающих в городе ...</v>
      </c>
      <c r="G15121" s="22" t="s">
        <v>56</v>
      </c>
      <c r="H15121" s="22" t="s">
        <v>56</v>
      </c>
      <c r="I15121" s="26">
        <v>43642.618750000001</v>
      </c>
      <c r="J15121" s="23" t="str">
        <f>HYPERLINK("https://www.spark-marketing.ru/Card/Person/6339505", "Корионов Дмитрий Витальевич")</f>
        <v>Корионов Дмитрий Витальевич</v>
      </c>
      <c r="K15121" s="24" t="s">
        <v>19982</v>
      </c>
      <c r="L15121" s="22" t="s">
        <v>10</v>
      </c>
      <c r="M15121" s="25">
        <v>815151.75</v>
      </c>
      <c r="N15121" s="27">
        <v>0.38500000000000001</v>
      </c>
    </row>
    <row r="15122" spans="1:14" x14ac:dyDescent="0.2">
      <c r="A15122" s="23" t="str">
        <f>HYPERLINK("https://www.spark-marketing.ru/Card/Person/28992", "ФГБОУ ВО «РГЭУ (РИНХ)», РОСТОВСКИЙ ГОСУДАРСТВЕННЫЙ ЭКОНОМИЧЕСКИЙ УНИВЕРСИТЕТ (РИНХ), РГЭУ (РИНХ)")</f>
        <v>ФГБОУ ВО «РГЭУ (РИНХ)», РОСТОВСКИЙ ГОСУДАРСТВЕННЫЙ ЭКОНОМИЧЕСКИЙ УНИВЕРСИТЕТ (РИНХ), РГЭУ (РИНХ)</v>
      </c>
      <c r="B15122" s="24" t="s">
        <v>3545</v>
      </c>
      <c r="C15122" s="25">
        <v>267200</v>
      </c>
      <c r="D15122" s="22" t="s">
        <v>19983</v>
      </c>
      <c r="E15122" s="22" t="s">
        <v>580</v>
      </c>
      <c r="F15122" s="23" t="str">
        <f>HYPERLINK("https://www.spark-marketing.ru/Card/Lot/71695307", "Оказание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«Ивушка».")</f>
        <v>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</v>
      </c>
      <c r="G15122" s="22" t="s">
        <v>267</v>
      </c>
      <c r="H15122" s="22" t="s">
        <v>267</v>
      </c>
      <c r="I15122" s="26">
        <v>43642.617037037002</v>
      </c>
      <c r="J15122" s="28" t="s">
        <v>51</v>
      </c>
      <c r="K15122" s="28" t="s">
        <v>51</v>
      </c>
      <c r="L15122" s="28" t="s">
        <v>51</v>
      </c>
      <c r="M15122" s="25">
        <v>267200</v>
      </c>
      <c r="N15122" s="27">
        <v>0</v>
      </c>
    </row>
    <row r="15123" spans="1:14" x14ac:dyDescent="0.2">
      <c r="A15123" s="23" t="str">
        <f>HYPERLINK("https://www.spark-marketing.ru/Card/Person/28992", "ФГБОУ ВО «РГЭУ (РИНХ)», РОСТОВСКИЙ ГОСУДАРСТВЕННЫЙ ЭКОНОМИЧЕСКИЙ УНИВЕРСИТЕТ (РИНХ), РГЭУ (РИНХ)")</f>
        <v>ФГБОУ ВО «РГЭУ (РИНХ)», РОСТОВСКИЙ ГОСУДАРСТВЕННЫЙ ЭКОНОМИЧЕСКИЙ УНИВЕРСИТЕТ (РИНХ), РГЭУ (РИНХ)</v>
      </c>
      <c r="B15123" s="24" t="s">
        <v>3545</v>
      </c>
      <c r="C15123" s="25">
        <v>394120</v>
      </c>
      <c r="D15123" s="22" t="s">
        <v>19984</v>
      </c>
      <c r="E15123" s="22" t="s">
        <v>580</v>
      </c>
      <c r="F15123" s="23" t="str">
        <f>HYPERLINK("https://www.spark-marketing.ru/Card/Lot/71695255", "Оказание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«Ивушка».")</f>
        <v>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</v>
      </c>
      <c r="G15123" s="22" t="s">
        <v>267</v>
      </c>
      <c r="H15123" s="22" t="s">
        <v>267</v>
      </c>
      <c r="I15123" s="26">
        <v>43642.6144444444</v>
      </c>
      <c r="J15123" s="28" t="s">
        <v>51</v>
      </c>
      <c r="K15123" s="28" t="s">
        <v>51</v>
      </c>
      <c r="L15123" s="28" t="s">
        <v>51</v>
      </c>
      <c r="M15123" s="25">
        <v>394120</v>
      </c>
      <c r="N15123" s="27">
        <v>0</v>
      </c>
    </row>
    <row r="15124" spans="1:14" ht="12.75" x14ac:dyDescent="0.2">
      <c r="A15124" s="23" t="str">
        <f>HYPERLINK("https://www.spark-marketing.ru/Card/Person/73017", "ГБДОУ ДЕТСКИЙ САД № 35 КРАСНОГВАРДЕЙСКОГО РАЙОНА САНКТ-ПЕТЕРБУРГА")</f>
        <v>ГБДОУ ДЕТСКИЙ САД № 35 КРАСНОГВАРДЕЙСКОГО РАЙОНА САНКТ-ПЕТЕРБУРГА</v>
      </c>
      <c r="B15124" s="24" t="s">
        <v>19985</v>
      </c>
      <c r="C15124" s="25">
        <v>28709690.149999999</v>
      </c>
      <c r="D15124" s="22" t="s">
        <v>19986</v>
      </c>
      <c r="E15124" s="22" t="s">
        <v>48</v>
      </c>
      <c r="F15124" s="23" t="str">
        <f>HYPERLINK("https://www.spark-marketing.ru/Card/Lot/71711340", "Оказание услуг по организации питания для Государственного бюджетного дошкольного образовательного учреждения детский сад № 35 Красногвардейского района Санкт-Петербурга, для нужд Санкт-Петербурга в 2020 году")</f>
        <v>Оказание услуг по организации питания для Государственного бюджетного дошкольного образовательного учреждения детский сад № 35 Красногвардейского района Санкт-Петербурга, для нужд Санкт-Петербурга в 2020 году</v>
      </c>
      <c r="G15124" s="22" t="s">
        <v>117</v>
      </c>
      <c r="H15124" s="22" t="s">
        <v>117</v>
      </c>
      <c r="I15124" s="26">
        <v>43642.6</v>
      </c>
      <c r="J15124" s="23" t="str">
        <f>HYPERLINK("https://www.spark-marketing.ru/Card/Person/570890", "АО ""КСП ""ОХТА""")</f>
        <v>АО "КСП "ОХТА"</v>
      </c>
      <c r="K15124" s="24" t="s">
        <v>19987</v>
      </c>
      <c r="L15124" s="22" t="s">
        <v>10</v>
      </c>
      <c r="M15124" s="25">
        <v>28709690</v>
      </c>
      <c r="N15124" s="27">
        <v>5.2247167843432821E-9</v>
      </c>
    </row>
    <row r="15125" spans="1:14" x14ac:dyDescent="0.15">
      <c r="A15125" s="23" t="str">
        <f>HYPERLINK("https://www.spark-marketing.ru/Card/Person/90144", "ГБУЗ ЦЕНТР ОХРАНЫ ЗДОРОВЬЯ СЕМЬИ")</f>
        <v>ГБУЗ ЦЕНТР ОХРАНЫ ЗДОРОВЬЯ СЕМЬИ</v>
      </c>
      <c r="B15125" s="24" t="s">
        <v>19988</v>
      </c>
      <c r="C15125" s="25">
        <v>368550</v>
      </c>
      <c r="D15125" s="22" t="s">
        <v>19989</v>
      </c>
      <c r="E15125" s="22" t="s">
        <v>96</v>
      </c>
      <c r="F15125" s="23" t="str">
        <f>HYPERLINK("https://www.spark-marketing.ru/Card/Lot/71707291", "Оказание услуг по обеспечению лечебным питанием пациентов")</f>
        <v>Оказание услуг по обеспечению лечебным питанием пациентов</v>
      </c>
      <c r="G15125" s="22" t="s">
        <v>104</v>
      </c>
      <c r="H15125" s="22" t="s">
        <v>120</v>
      </c>
      <c r="I15125" s="26">
        <v>43642.6118055556</v>
      </c>
      <c r="J15125" s="23" t="str">
        <f>HYPERLINK("https://www.spark-marketing.ru/Card/Person/1170194", "Соколова Виктория Сергеевна")</f>
        <v>Соколова Виктория Сергеевна</v>
      </c>
      <c r="K15125" s="24" t="s">
        <v>2331</v>
      </c>
      <c r="L15125" s="22" t="s">
        <v>10</v>
      </c>
      <c r="M15125" s="28" t="s">
        <v>51</v>
      </c>
      <c r="N15125" s="28" t="s">
        <v>51</v>
      </c>
    </row>
    <row r="15126" spans="1:14" x14ac:dyDescent="0.2">
      <c r="A15126" s="23" t="str">
        <f>HYPERLINK("https://www.spark-marketing.ru/Card/Person/28992", "ФГБОУ ВО «РГЭУ (РИНХ)», РОСТОВСКИЙ ГОСУДАРСТВЕННЫЙ ЭКОНОМИЧЕСКИЙ УНИВЕРСИТЕТ (РИНХ), РГЭУ (РИНХ)")</f>
        <v>ФГБОУ ВО «РГЭУ (РИНХ)», РОСТОВСКИЙ ГОСУДАРСТВЕННЫЙ ЭКОНОМИЧЕСКИЙ УНИВЕРСИТЕТ (РИНХ), РГЭУ (РИНХ)</v>
      </c>
      <c r="B15126" s="24" t="s">
        <v>3545</v>
      </c>
      <c r="C15126" s="25">
        <v>394120</v>
      </c>
      <c r="D15126" s="22" t="s">
        <v>19990</v>
      </c>
      <c r="E15126" s="22" t="s">
        <v>580</v>
      </c>
      <c r="F15126" s="23" t="str">
        <f>HYPERLINK("https://www.spark-marketing.ru/Card/Lot/71695311", "Оказание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«Ивушка».")</f>
        <v>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</v>
      </c>
      <c r="G15126" s="22" t="s">
        <v>267</v>
      </c>
      <c r="H15126" s="22" t="s">
        <v>267</v>
      </c>
      <c r="I15126" s="26">
        <v>43642.619108796302</v>
      </c>
      <c r="J15126" s="28" t="s">
        <v>51</v>
      </c>
      <c r="K15126" s="28" t="s">
        <v>51</v>
      </c>
      <c r="L15126" s="28" t="s">
        <v>51</v>
      </c>
      <c r="M15126" s="25">
        <v>394120</v>
      </c>
      <c r="N15126" s="27">
        <v>0</v>
      </c>
    </row>
    <row r="15127" spans="1:14" x14ac:dyDescent="0.2">
      <c r="A15127" s="23" t="str">
        <f>HYPERLINK("https://www.spark-marketing.ru/Card/Person/150124", "ГАУ СО СШОР ПО ВЕЛОСПОРТУ ""ВЕЛОГОР""")</f>
        <v>ГАУ СО СШОР ПО ВЕЛОСПОРТУ "ВЕЛОГОР"</v>
      </c>
      <c r="B15127" s="24" t="s">
        <v>19991</v>
      </c>
      <c r="C15127" s="25">
        <v>283500</v>
      </c>
      <c r="D15127" s="22" t="s">
        <v>19992</v>
      </c>
      <c r="E15127" s="22" t="s">
        <v>362</v>
      </c>
      <c r="F15127" s="23" t="str">
        <f>HYPERLINK("https://www.spark-marketing.ru/Card/Lot/71692383", "Договор оказания услуг обеспечения горячего питания в период оздоровительной компании для нужд Заказчика.")</f>
        <v>Договор оказания услуг обеспечения горячего питания в период оздоровительной компании для нужд Заказчика.</v>
      </c>
      <c r="G15127" s="22" t="s">
        <v>174</v>
      </c>
      <c r="H15127" s="22" t="s">
        <v>174</v>
      </c>
      <c r="I15127" s="26">
        <v>43642.623368055603</v>
      </c>
      <c r="J15127" s="28" t="s">
        <v>51</v>
      </c>
      <c r="K15127" s="28" t="s">
        <v>51</v>
      </c>
      <c r="L15127" s="28" t="s">
        <v>51</v>
      </c>
      <c r="M15127" s="25">
        <v>283500</v>
      </c>
      <c r="N15127" s="27">
        <v>0</v>
      </c>
    </row>
    <row r="15128" spans="1:14" x14ac:dyDescent="0.15">
      <c r="A15128" s="23" t="str">
        <f>HYPERLINK("https://www.spark-marketing.ru/Card/Person/46816", "МАУЗ ДГКБ № 8")</f>
        <v>МАУЗ ДГКБ № 8</v>
      </c>
      <c r="B15128" s="24" t="s">
        <v>19993</v>
      </c>
      <c r="C15128" s="25">
        <v>400000</v>
      </c>
      <c r="D15128" s="22" t="s">
        <v>19994</v>
      </c>
      <c r="E15128" s="22" t="s">
        <v>362</v>
      </c>
      <c r="F15128" s="23" t="str">
        <f>HYPERLINK("https://www.spark-marketing.ru/Card/Lot/71694223", "Услуги по организации лечебного питания для пациентов круглосуточного стационара")</f>
        <v>Услуги по организации лечебного питания для пациентов круглосуточного стационара</v>
      </c>
      <c r="G15128" s="22" t="s">
        <v>469</v>
      </c>
      <c r="H15128" s="22" t="s">
        <v>491</v>
      </c>
      <c r="I15128" s="26">
        <v>43642.614583333299</v>
      </c>
      <c r="J15128" s="28" t="s">
        <v>51</v>
      </c>
      <c r="K15128" s="28" t="s">
        <v>51</v>
      </c>
      <c r="L15128" s="28" t="s">
        <v>51</v>
      </c>
      <c r="M15128" s="28" t="s">
        <v>51</v>
      </c>
      <c r="N15128" s="28" t="s">
        <v>51</v>
      </c>
    </row>
    <row r="15129" spans="1:14" ht="12.75" x14ac:dyDescent="0.2">
      <c r="A15129" s="23" t="str">
        <f>HYPERLINK("https://www.spark-marketing.ru/Card/Person/94984", "ГБДОУ ДЕТСКИЙ САД №5 КОМБИНИРОВАННОГО ВИДА КРАСНОГВАРДЕЙСКОГО РАЙОНА САНКТ-ПЕТЕРБУРГА")</f>
        <v>ГБДОУ ДЕТСКИЙ САД №5 КОМБИНИРОВАННОГО ВИДА КРАСНОГВАРДЕЙСКОГО РАЙОНА САНКТ-ПЕТЕРБУРГА</v>
      </c>
      <c r="B15129" s="24" t="s">
        <v>19995</v>
      </c>
      <c r="C15129" s="25">
        <v>30634577.039999999</v>
      </c>
      <c r="D15129" s="22" t="s">
        <v>19996</v>
      </c>
      <c r="E15129" s="22" t="s">
        <v>48</v>
      </c>
      <c r="F15129" s="23" t="str">
        <f>HYPERLINK("https://www.spark-marketing.ru/Card/Lot/71711360", "Оказание услуг по организации питания для Государственного бюджетного дошкольного образовательного учреждения детский сад № №5 комбинированного вида Красногвардейского района Санкт-Петербурга, для нужд Санкт-Петербурга в 2020 году")</f>
        <v>Оказание услуг по организации питания для Государственного бюджетного дошкольного образовательного учреждения детский сад № №5 комбинированного вида Красногвардейского района Санкт-Петербурга, для нужд Санкт-Петербурга в 2020 году</v>
      </c>
      <c r="G15129" s="22" t="s">
        <v>117</v>
      </c>
      <c r="H15129" s="22" t="s">
        <v>117</v>
      </c>
      <c r="I15129" s="26">
        <v>43642.599305555603</v>
      </c>
      <c r="J15129" s="23" t="str">
        <f>HYPERLINK("https://www.spark-marketing.ru/Card/Person/570890", "АО ""КСП ""ОХТА""")</f>
        <v>АО "КСП "ОХТА"</v>
      </c>
      <c r="K15129" s="24" t="s">
        <v>19987</v>
      </c>
      <c r="L15129" s="22" t="s">
        <v>10</v>
      </c>
      <c r="M15129" s="25">
        <v>30634577</v>
      </c>
      <c r="N15129" s="27">
        <v>1.3057141264843133E-9</v>
      </c>
    </row>
    <row r="15130" spans="1:14" ht="12.75" x14ac:dyDescent="0.2">
      <c r="A15130" s="23" t="str">
        <f>HYPERLINK("https://www.spark-marketing.ru/Card/Person/70564", "ГБДОУ ДЕТСКИЙ САД № 26 КРАСНОГВАРДЕЙСКОГО РАЙОНА САНКТ-ПЕТЕРБУРГА")</f>
        <v>ГБДОУ ДЕТСКИЙ САД № 26 КРАСНОГВАРДЕЙСКОГО РАЙОНА САНКТ-ПЕТЕРБУРГА</v>
      </c>
      <c r="B15130" s="24" t="s">
        <v>19997</v>
      </c>
      <c r="C15130" s="25">
        <v>28468536.079999998</v>
      </c>
      <c r="D15130" s="22" t="s">
        <v>19998</v>
      </c>
      <c r="E15130" s="22" t="s">
        <v>48</v>
      </c>
      <c r="F15130" s="23" t="str">
        <f>HYPERLINK("https://www.spark-marketing.ru/Card/Lot/71711333", "Оказание услуг по организации питания для Государственного бюджетного дошкольного образовательного учреждения детского сада № 26 Красногвардейского района Санкт-Петербурга, для нужд Санкт-Петербурга в 2020 году")</f>
        <v>Оказание услуг по организации питания для Государственного бюджетного дошкольного образовательного учреждения детского сада № 26 Красногвардейского района Санкт-Петербурга, для нужд Санкт-Петербурга в 2020 году</v>
      </c>
      <c r="G15130" s="22" t="s">
        <v>117</v>
      </c>
      <c r="H15130" s="22" t="s">
        <v>117</v>
      </c>
      <c r="I15130" s="26">
        <v>43642.6027777778</v>
      </c>
      <c r="J15130" s="23" t="str">
        <f>HYPERLINK("https://www.spark-marketing.ru/Card/Person/570890", "АО ""КСП ""ОХТА""")</f>
        <v>АО "КСП "ОХТА"</v>
      </c>
      <c r="K15130" s="24" t="s">
        <v>19987</v>
      </c>
      <c r="L15130" s="22" t="s">
        <v>10</v>
      </c>
      <c r="M15130" s="25">
        <v>28468536</v>
      </c>
      <c r="N15130" s="27">
        <v>2.810119908350412E-9</v>
      </c>
    </row>
    <row r="15131" spans="1:14" ht="12.75" x14ac:dyDescent="0.2">
      <c r="A15131" s="23" t="str">
        <f>HYPERLINK("https://www.spark-marketing.ru/Card/Person/48483", "ГБДОУ ДЕТСКИЙ САД № 95 КРАСНОГВАРДЕЙСКОГО РАЙОНА САНКТ-ПЕТЕРБУРГА")</f>
        <v>ГБДОУ ДЕТСКИЙ САД № 95 КРАСНОГВАРДЕЙСКОГО РАЙОНА САНКТ-ПЕТЕРБУРГА</v>
      </c>
      <c r="B15131" s="24" t="s">
        <v>19999</v>
      </c>
      <c r="C15131" s="25">
        <v>23960899.93</v>
      </c>
      <c r="D15131" s="22" t="s">
        <v>20000</v>
      </c>
      <c r="E15131" s="22" t="s">
        <v>48</v>
      </c>
      <c r="F15131" s="23" t="str">
        <f>HYPERLINK("https://www.spark-marketing.ru/Card/Lot/71711651", "Оказание услуг по организации питания для Государственного бюджетного дошкольного образовательного учреждения детский сад № 95 Красногвардейского района Санкт-Петербурга, для нужд Санкт-Петербурга в 2020 году")</f>
        <v>Оказание услуг по организации питания для Государственного бюджетного дошкольного образовательного учреждения детский сад № 95 Красногвардейского района Санкт-Петербурга, для нужд Санкт-Петербурга в 2020 году</v>
      </c>
      <c r="G15131" s="22" t="s">
        <v>117</v>
      </c>
      <c r="H15131" s="22" t="s">
        <v>117</v>
      </c>
      <c r="I15131" s="26">
        <v>43642.615277777797</v>
      </c>
      <c r="J15131" s="23" t="str">
        <f>HYPERLINK("https://www.spark-marketing.ru/Card/Person/570890", "АО ""КСП ""ОХТА""")</f>
        <v>АО "КСП "ОХТА"</v>
      </c>
      <c r="K15131" s="24" t="s">
        <v>19987</v>
      </c>
      <c r="L15131" s="22" t="s">
        <v>10</v>
      </c>
      <c r="M15131" s="25">
        <v>23960899</v>
      </c>
      <c r="N15131" s="27">
        <v>3.8813233339187021E-8</v>
      </c>
    </row>
    <row r="15132" spans="1:14" x14ac:dyDescent="0.15">
      <c r="A15132" s="23" t="str">
        <f>HYPERLINK("https://www.spark-marketing.ru/Card/Person/25095", "АДМИНИСТРАЦИЯ ГОРОДА БЕЛГОРОДА")</f>
        <v>АДМИНИСТРАЦИЯ ГОРОДА БЕЛГОРОДА</v>
      </c>
      <c r="B15132" s="24" t="s">
        <v>20001</v>
      </c>
      <c r="C15132" s="25">
        <v>1000000</v>
      </c>
      <c r="D15132" s="22" t="s">
        <v>20002</v>
      </c>
      <c r="E15132" s="22" t="s">
        <v>51</v>
      </c>
      <c r="F15132" s="23" t="str">
        <f>HYPERLINK("https://www.spark-marketing.ru/Card/Lot/71709209", "Оказание услуг общественного питания при проведении общегородских праздничных мероприятий, посвященных Дню города Белгорода")</f>
        <v>Оказание услуг общественного питания при проведении общегородских праздничных мероприятий, посвященных Дню города Белгорода</v>
      </c>
      <c r="G15132" s="22" t="s">
        <v>696</v>
      </c>
      <c r="H15132" s="22" t="s">
        <v>1163</v>
      </c>
      <c r="I15132" s="26">
        <v>43642.616666666698</v>
      </c>
      <c r="J15132" s="23" t="str">
        <f>HYPERLINK("https://www.spark-marketing.ru/Card/Person/5928173", "ООО ""СИТИС-ГУРМАН""")</f>
        <v>ООО "СИТИС-ГУРМАН"</v>
      </c>
      <c r="K15132" s="24" t="s">
        <v>20003</v>
      </c>
      <c r="L15132" s="22" t="s">
        <v>10</v>
      </c>
      <c r="M15132" s="28" t="s">
        <v>51</v>
      </c>
      <c r="N15132" s="28" t="s">
        <v>51</v>
      </c>
    </row>
    <row r="15133" spans="1:14" x14ac:dyDescent="0.15">
      <c r="A15133" s="23" t="str">
        <f>HYPERLINK("https://www.spark-marketing.ru/Card/Person/83489", "ГБПОУ АО ""АРХАНГЕЛЬСКИЙ ФИНАНСОВО-ПРОМЫШЛЕННЫЙ КОЛЛЕДЖ""")</f>
        <v>ГБПОУ АО "АРХАНГЕЛЬСКИЙ ФИНАНСОВО-ПРОМЫШЛЕННЫЙ КОЛЛЕДЖ"</v>
      </c>
      <c r="B15133" s="24" t="s">
        <v>20004</v>
      </c>
      <c r="C15133" s="25">
        <v>324129.12</v>
      </c>
      <c r="D15133" s="22" t="s">
        <v>20005</v>
      </c>
      <c r="E15133" s="22" t="s">
        <v>48</v>
      </c>
      <c r="F15133" s="23" t="str">
        <f>HYPERLINK("https://www.spark-marketing.ru/Card/Lot/71705242", "Оказание услуг по организации горячего питания обучающихся")</f>
        <v>Оказание услуг по организации горячего питания обучающихся</v>
      </c>
      <c r="G15133" s="22" t="s">
        <v>214</v>
      </c>
      <c r="H15133" s="22" t="s">
        <v>523</v>
      </c>
      <c r="I15133" s="26">
        <v>43642.609722222202</v>
      </c>
      <c r="J15133" s="23" t="str">
        <f>HYPERLINK("https://www.spark-marketing.ru/Card/Person/35455", "Бурова Диана Муллануровна")</f>
        <v>Бурова Диана Муллануровна</v>
      </c>
      <c r="K15133" s="24" t="s">
        <v>20006</v>
      </c>
      <c r="L15133" s="22" t="s">
        <v>10</v>
      </c>
      <c r="M15133" s="28" t="s">
        <v>51</v>
      </c>
      <c r="N15133" s="28" t="s">
        <v>51</v>
      </c>
    </row>
    <row r="15134" spans="1:14" x14ac:dyDescent="0.15">
      <c r="A15134" s="23" t="str">
        <f>HYPERLINK("https://www.spark-marketing.ru/Card/Person/402898", "БУК ""ТЕАТР КУКОЛ ""АРЛЕКИН""")</f>
        <v>БУК "ТЕАТР КУКОЛ "АРЛЕКИН"</v>
      </c>
      <c r="B15134" s="24" t="s">
        <v>20007</v>
      </c>
      <c r="C15134" s="25">
        <v>2500000</v>
      </c>
      <c r="D15134" s="22" t="s">
        <v>20008</v>
      </c>
      <c r="E15134" s="22" t="s">
        <v>1632</v>
      </c>
      <c r="F15134" s="23" t="str">
        <f>HYPERLINK("https://www.spark-marketing.ru/Card/Lot/71692947", "«Оказание услуг по размещению и питанию в гостинице города Омска участников VI-го Международного фестиваля театров кукол «В гостях у «Арлекина» (Реестровый номер ""19.32.1082"")")</f>
        <v>«Оказание услуг по размещению и питанию в гостинице города Омска участников VI-го Международного фестиваля театров кукол «В гостях у «Арлекина» (Реестровый номер "19.32.1082")</v>
      </c>
      <c r="G15134" s="22" t="s">
        <v>487</v>
      </c>
      <c r="H15134" s="22" t="s">
        <v>488</v>
      </c>
      <c r="I15134" s="26">
        <v>43642.5493055556</v>
      </c>
      <c r="J15134" s="23" t="str">
        <f>HYPERLINK("https://www.spark-marketing.ru/Card/Person/2516189", "ООО ""ДЕЛЬТА""")</f>
        <v>ООО "ДЕЛЬТА"</v>
      </c>
      <c r="K15134" s="24" t="s">
        <v>20009</v>
      </c>
      <c r="L15134" s="22" t="s">
        <v>10</v>
      </c>
      <c r="M15134" s="28" t="s">
        <v>51</v>
      </c>
      <c r="N15134" s="28" t="s">
        <v>51</v>
      </c>
    </row>
    <row r="15135" spans="1:14" x14ac:dyDescent="0.15">
      <c r="A15135" s="23" t="str">
        <f>HYPERLINK("https://www.spark-marketing.ru/Card/Person/4341", "ГУ-КИРОВСКОЕ РО ФОНДА СОЦИАЛЬНОГО СТРАХОВАНИЯ РОССИЙСКОЙ ФЕДЕРАЦИИ")</f>
        <v>ГУ-КИРОВСКОЕ РО ФОНДА СОЦИАЛЬНОГО СТРАХОВАНИЯ РОССИЙСКОЙ ФЕДЕРАЦИИ</v>
      </c>
      <c r="B15135" s="24" t="s">
        <v>4330</v>
      </c>
      <c r="C15135" s="25">
        <v>2410564.7999999998</v>
      </c>
      <c r="D15135" s="22" t="s">
        <v>20010</v>
      </c>
      <c r="E15135" s="22" t="s">
        <v>86</v>
      </c>
      <c r="F15135" s="23" t="str">
        <f>HYPERLINK("https://www.spark-marketing.ru/Card/Lot/71710351", "оказание услуг по санаторно-курортному лечению граждан-получателей государственной социальной помощи в виде набора социальных услуг, в том числе для детей-инвалидов и сопровождающих лиц, по профилям заболеваний: болезни системы кровообращения, болезн...")</f>
        <v>оказание услуг по санаторно-курортному лечению граждан-получателей государственной социальной помощи в виде набора социальных услуг, в том числе для детей-инвалидов и сопровождающих лиц, по профилям заболеваний: болезни системы кровообращения, болезн...</v>
      </c>
      <c r="G15135" s="22" t="s">
        <v>224</v>
      </c>
      <c r="H15135" s="22" t="s">
        <v>225</v>
      </c>
      <c r="I15135" s="26">
        <v>43642.566666666702</v>
      </c>
      <c r="J15135" s="28" t="s">
        <v>51</v>
      </c>
      <c r="K15135" s="28" t="s">
        <v>51</v>
      </c>
      <c r="L15135" s="28" t="s">
        <v>51</v>
      </c>
      <c r="M15135" s="28" t="s">
        <v>51</v>
      </c>
      <c r="N15135" s="28" t="s">
        <v>51</v>
      </c>
    </row>
    <row r="15136" spans="1:14" x14ac:dyDescent="0.15">
      <c r="A15136" s="23" t="str">
        <f>HYPERLINK("https://www.spark-marketing.ru/Card/Person/3509669", "БАНК РОССИИ")</f>
        <v>БАНК РОССИИ</v>
      </c>
      <c r="B15136" s="24" t="s">
        <v>19973</v>
      </c>
      <c r="C15136" s="28" t="s">
        <v>51</v>
      </c>
      <c r="D15136" s="22" t="s">
        <v>20011</v>
      </c>
      <c r="E15136" s="22" t="s">
        <v>20012</v>
      </c>
      <c r="F15136" s="23" t="str">
        <f>HYPERLINK("https://www.spark-marketing.ru/Card/Lot/71700928", "Запрос информации в электронной форме о ценах и условиях оказания услуг связанных с перевозкой имущества Отделения Пермь грузовыми бортовыми, тентованными автомобилями в пределах г. Перми, Пермского края, Российской Федерации и обеспечения работы сто...")</f>
        <v>Запрос информации в электронной форме о ценах и условиях оказания услуг связанных с перевозкой имущества Отделения Пермь грузовыми бортовыми, тентованными автомобилями в пределах г. Перми, Пермского края, Российской Федерации и обеспечения работы сто...</v>
      </c>
      <c r="G15136" s="22" t="s">
        <v>153</v>
      </c>
      <c r="H15136" s="22" t="s">
        <v>3981</v>
      </c>
      <c r="I15136" s="26">
        <v>43642.543483796297</v>
      </c>
      <c r="J15136" s="28" t="s">
        <v>51</v>
      </c>
      <c r="K15136" s="28" t="s">
        <v>51</v>
      </c>
      <c r="L15136" s="28" t="s">
        <v>51</v>
      </c>
      <c r="M15136" s="28" t="s">
        <v>51</v>
      </c>
      <c r="N15136" s="28" t="s">
        <v>51</v>
      </c>
    </row>
    <row r="15137" spans="1:14" x14ac:dyDescent="0.15">
      <c r="A15137" s="23" t="str">
        <f>HYPERLINK("https://www.spark-marketing.ru/Card/Person/4365569", "ФГУП ""РОСМОРПОРТ""")</f>
        <v>ФГУП "РОСМОРПОРТ"</v>
      </c>
      <c r="B15137" s="24" t="s">
        <v>1266</v>
      </c>
      <c r="C15137" s="28" t="s">
        <v>51</v>
      </c>
      <c r="D15137" s="22" t="s">
        <v>20013</v>
      </c>
      <c r="E15137" s="22" t="s">
        <v>580</v>
      </c>
      <c r="F15137" s="23" t="str">
        <f>HYPERLINK("https://www.spark-marketing.ru/Card/Lot/74010157", "организация коллективного горячего питания в столовой для членов экипажей судов, находящихся в ремонте на территории судоремонтного завода «Красная Кузница"", по адресу г. Архангельск, ул. Краснофлотская, д.1.для нужд Архангельского филиала ФГУП Росм...")</f>
        <v>организация коллективного горячего питания в столовой для членов экипажей судов, находящихся в ремонте на территории судоремонтного завода «Красная Кузница", по адресу г. Архангельск, ул. Краснофлотская, д.1.для нужд Архангельского филиала ФГУП Росм...</v>
      </c>
      <c r="G15137" s="22" t="s">
        <v>56</v>
      </c>
      <c r="H15137" s="22" t="s">
        <v>56</v>
      </c>
      <c r="I15137" s="26">
        <v>43642.551388888904</v>
      </c>
      <c r="J15137" s="28" t="s">
        <v>51</v>
      </c>
      <c r="K15137" s="28" t="s">
        <v>51</v>
      </c>
      <c r="L15137" s="28" t="s">
        <v>51</v>
      </c>
      <c r="M15137" s="28" t="s">
        <v>51</v>
      </c>
      <c r="N15137" s="28" t="s">
        <v>51</v>
      </c>
    </row>
    <row r="15138" spans="1:14" x14ac:dyDescent="0.15">
      <c r="A15138" s="23" t="str">
        <f>HYPERLINK("https://www.spark-marketing.ru/Card/Person/1682238", "АО РАОС, АО ""РУСАТОМ ОВЕРСИЗ""")</f>
        <v>АО РАОС, АО "РУСАТОМ ОВЕРСИЗ"</v>
      </c>
      <c r="B15138" s="24" t="s">
        <v>20014</v>
      </c>
      <c r="C15138" s="28" t="s">
        <v>51</v>
      </c>
      <c r="D15138" s="22" t="s">
        <v>20015</v>
      </c>
      <c r="E15138" s="22" t="s">
        <v>12645</v>
      </c>
      <c r="F15138" s="23" t="str">
        <f>HYPERLINK("https://www.spark-marketing.ru/Card/Lot/71698916", "Оказание услуг по организации представительских, корпоративных и иных мероприятий")</f>
        <v>Оказание услуг по организации представительских, корпоративных и иных мероприятий</v>
      </c>
      <c r="G15138" s="22" t="s">
        <v>56</v>
      </c>
      <c r="H15138" s="22" t="s">
        <v>56</v>
      </c>
      <c r="I15138" s="26">
        <v>43642.5792476852</v>
      </c>
      <c r="J15138" s="28" t="s">
        <v>51</v>
      </c>
      <c r="K15138" s="28" t="s">
        <v>51</v>
      </c>
      <c r="L15138" s="28" t="s">
        <v>51</v>
      </c>
      <c r="M15138" s="28" t="s">
        <v>51</v>
      </c>
      <c r="N15138" s="28" t="s">
        <v>51</v>
      </c>
    </row>
    <row r="15139" spans="1:14" ht="12.75" x14ac:dyDescent="0.2">
      <c r="A15139" s="23" t="str">
        <f>HYPERLINK("https://www.spark-marketing.ru/Card/Person/69976", "ГБДОУ ДЕТСКИЙ САД № 47 КРАСНОГВАРДЕЙСКОГО РАЙОНА САНКТ-ПЕТЕРБУРГА")</f>
        <v>ГБДОУ ДЕТСКИЙ САД № 47 КРАСНОГВАРДЕЙСКОГО РАЙОНА САНКТ-ПЕТЕРБУРГА</v>
      </c>
      <c r="B15139" s="24" t="s">
        <v>20016</v>
      </c>
      <c r="C15139" s="25">
        <v>23892961.890000001</v>
      </c>
      <c r="D15139" s="22" t="s">
        <v>20017</v>
      </c>
      <c r="E15139" s="22" t="s">
        <v>48</v>
      </c>
      <c r="F15139" s="23" t="str">
        <f>HYPERLINK("https://www.spark-marketing.ru/Card/Lot/71711650", "Оказание услуг по организации питания для Государственного бюджетного дошкольного образовательного учреждения детский сад № 47 комбинированного вида Красногвардейского района Санкт-Петербурга, для нужд Санкт-Петербурга в 2020 году")</f>
        <v>Оказание услуг по организации питания для Государственного бюджетного дошкольного образовательного учреждения детский сад № 47 комбинированного вида Красногвардейского района Санкт-Петербурга, для нужд Санкт-Петербурга в 2020 году</v>
      </c>
      <c r="G15139" s="22" t="s">
        <v>117</v>
      </c>
      <c r="H15139" s="22" t="s">
        <v>117</v>
      </c>
      <c r="I15139" s="26">
        <v>43642.582638888904</v>
      </c>
      <c r="J15139" s="23" t="str">
        <f>HYPERLINK("https://www.spark-marketing.ru/Card/Person/570890", "АО ""КСП ""ОХТА""")</f>
        <v>АО "КСП "ОХТА"</v>
      </c>
      <c r="K15139" s="24" t="s">
        <v>19987</v>
      </c>
      <c r="L15139" s="22" t="s">
        <v>10</v>
      </c>
      <c r="M15139" s="25">
        <v>23892961</v>
      </c>
      <c r="N15139" s="27">
        <v>3.7249463004940158E-8</v>
      </c>
    </row>
    <row r="15140" spans="1:14" x14ac:dyDescent="0.15">
      <c r="A15140" s="23" t="str">
        <f>HYPERLINK("https://www.spark-marketing.ru/Card/Person/4365810", "АО ""ТВ ЦЕНТР""")</f>
        <v>АО "ТВ ЦЕНТР"</v>
      </c>
      <c r="B15140" s="24" t="s">
        <v>2622</v>
      </c>
      <c r="C15140" s="25">
        <v>3898163.2000000002</v>
      </c>
      <c r="D15140" s="22" t="s">
        <v>20018</v>
      </c>
      <c r="E15140" s="22" t="s">
        <v>1403</v>
      </c>
      <c r="F15140" s="23" t="str">
        <f>HYPERLINK("https://www.spark-marketing.ru/Card/Lot/71693740", "Оказание услуг по замене аккумуляторных батарей на источнике бесперебойного питания")</f>
        <v>Оказание услуг по замене аккумуляторных батарей на источнике бесперебойного питания</v>
      </c>
      <c r="G15140" s="22" t="s">
        <v>56</v>
      </c>
      <c r="H15140" s="22" t="s">
        <v>56</v>
      </c>
      <c r="I15140" s="26">
        <v>43642.554560185199</v>
      </c>
      <c r="J15140" s="28" t="s">
        <v>51</v>
      </c>
      <c r="K15140" s="28" t="s">
        <v>51</v>
      </c>
      <c r="L15140" s="28" t="s">
        <v>51</v>
      </c>
      <c r="M15140" s="28" t="s">
        <v>51</v>
      </c>
      <c r="N15140" s="28" t="s">
        <v>51</v>
      </c>
    </row>
    <row r="15141" spans="1:14" x14ac:dyDescent="0.15">
      <c r="A15141" s="23" t="str">
        <f>HYPERLINK("https://www.spark-marketing.ru/Card/Person/79554", "ГБУЗ ЦЕНТР ИМ. В.П. АВАЕВА")</f>
        <v>ГБУЗ ЦЕНТР ИМ. В.П. АВАЕВА</v>
      </c>
      <c r="B15141" s="24" t="s">
        <v>20019</v>
      </c>
      <c r="C15141" s="25">
        <v>200000</v>
      </c>
      <c r="D15141" s="22" t="s">
        <v>20020</v>
      </c>
      <c r="E15141" s="22" t="s">
        <v>62</v>
      </c>
      <c r="F15141" s="23" t="str">
        <f>HYPERLINK("https://www.spark-marketing.ru/Card/Lot/71704142", "Поставка бланочной продукции для нужд Государственного бюджетного учреждения здравоохранения Тверской области «Центр специализированных видов медицинской помощи имени В.П. Аваева»")</f>
        <v>Поставка бланочной продукции для нужд Государственного бюджетного учреждения здравоохранения Тверской области «Центр специализированных видов медицинской помощи имени В.П. Аваева»</v>
      </c>
      <c r="G15141" s="22" t="s">
        <v>137</v>
      </c>
      <c r="H15141" s="22" t="s">
        <v>138</v>
      </c>
      <c r="I15141" s="26">
        <v>43642.582638888904</v>
      </c>
      <c r="J15141" s="28" t="s">
        <v>51</v>
      </c>
      <c r="K15141" s="28" t="s">
        <v>51</v>
      </c>
      <c r="L15141" s="28" t="s">
        <v>51</v>
      </c>
      <c r="M15141" s="28" t="s">
        <v>51</v>
      </c>
      <c r="N15141" s="28" t="s">
        <v>51</v>
      </c>
    </row>
    <row r="15142" spans="1:14" hidden="1" outlineLevel="1" x14ac:dyDescent="0.2">
      <c r="A15142" s="23" t="str">
        <f>HYPERLINK("https://www.spark-marketing.ru/Card/Person/79554", "ГБУЗ ЦЕНТР ИМ. В.П. АВАЕВА")</f>
        <v>ГБУЗ ЦЕНТР ИМ. В.П. АВАЕВА</v>
      </c>
      <c r="B15142" s="24" t="s">
        <v>20019</v>
      </c>
      <c r="C15142" s="25">
        <v>200000</v>
      </c>
      <c r="D15142" s="22" t="s">
        <v>20020</v>
      </c>
      <c r="E15142" s="22" t="s">
        <v>62</v>
      </c>
      <c r="F15142" s="23" t="str">
        <f>HYPERLINK("https://www.spark-marketing.ru/Card/Lot/71704142", "Поставка бланочной продукции для нужд Государственного бюджетного учреждения здравоохранения Тверской области «Центр специализированных видов медицинской помощи имени В.П. Аваева»")</f>
        <v>Поставка бланочной продукции для нужд Государственного бюджетного учреждения здравоохранения Тверской области «Центр специализированных видов медицинской помощи имени В.П. Аваева»</v>
      </c>
      <c r="G15142" s="22" t="s">
        <v>137</v>
      </c>
      <c r="H15142" s="22" t="s">
        <v>138</v>
      </c>
      <c r="I15142" s="26">
        <v>43642.582638888904</v>
      </c>
      <c r="J15142" s="23" t="str">
        <f>HYPERLINK("https://www.spark-marketing.ru/Card/Person/497064", "ООО ИПК ""АВАНТА-ПРИНТ""")</f>
        <v>ООО ИПК "АВАНТА-ПРИНТ"</v>
      </c>
      <c r="K15142" s="24" t="s">
        <v>6192</v>
      </c>
      <c r="L15142" s="28" t="s">
        <v>51</v>
      </c>
      <c r="M15142" s="25">
        <v>179000</v>
      </c>
      <c r="N15142" s="27">
        <v>0.105</v>
      </c>
    </row>
    <row r="15143" spans="1:14" ht="12.75" hidden="1" outlineLevel="1" x14ac:dyDescent="0.2">
      <c r="A15143" s="23" t="str">
        <f>HYPERLINK("https://www.spark-marketing.ru/Card/Person/79554", "ГБУЗ ЦЕНТР ИМ. В.П. АВАЕВА")</f>
        <v>ГБУЗ ЦЕНТР ИМ. В.П. АВАЕВА</v>
      </c>
      <c r="B15143" s="24" t="s">
        <v>20019</v>
      </c>
      <c r="C15143" s="25">
        <v>200000</v>
      </c>
      <c r="D15143" s="22" t="s">
        <v>20020</v>
      </c>
      <c r="E15143" s="22" t="s">
        <v>62</v>
      </c>
      <c r="F15143" s="23" t="str">
        <f>HYPERLINK("https://www.spark-marketing.ru/Card/Lot/71704142", "Поставка бланочной продукции для нужд Государственного бюджетного учреждения здравоохранения Тверской области «Центр специализированных видов медицинской помощи имени В.П. Аваева»")</f>
        <v>Поставка бланочной продукции для нужд Государственного бюджетного учреждения здравоохранения Тверской области «Центр специализированных видов медицинской помощи имени В.П. Аваева»</v>
      </c>
      <c r="G15143" s="22" t="s">
        <v>137</v>
      </c>
      <c r="H15143" s="22" t="s">
        <v>138</v>
      </c>
      <c r="I15143" s="26">
        <v>43642.582638888904</v>
      </c>
      <c r="J15143" s="23" t="str">
        <f>HYPERLINK("https://www.spark-marketing.ru/Card/Person/269597", "Смирнов Вячеслав Владимирович")</f>
        <v>Смирнов Вячеслав Владимирович</v>
      </c>
      <c r="K15143" s="24" t="s">
        <v>20021</v>
      </c>
      <c r="L15143" s="22" t="s">
        <v>10</v>
      </c>
      <c r="M15143" s="25">
        <v>179000</v>
      </c>
      <c r="N15143" s="27">
        <v>0.105</v>
      </c>
    </row>
    <row r="15144" spans="1:14" x14ac:dyDescent="0.15">
      <c r="A15144" s="23" t="str">
        <f>HYPERLINK("https://www.spark-marketing.ru/Card/Person/2050888", "КЧПСО МЧС России ФЛ ФГКУ ""СК РПСО МЧС России""")</f>
        <v>КЧПСО МЧС России ФЛ ФГКУ "СК РПСО МЧС России"</v>
      </c>
      <c r="B15144" s="24" t="s">
        <v>8900</v>
      </c>
      <c r="C15144" s="25">
        <v>400000</v>
      </c>
      <c r="D15144" s="22" t="s">
        <v>20022</v>
      </c>
      <c r="E15144" s="22" t="s">
        <v>48</v>
      </c>
      <c r="F15144" s="23" t="str">
        <f>HYPERLINK("https://www.spark-marketing.ru/Card/Lot/71707250", "Питание спасателей дежурных смен")</f>
        <v>Питание спасателей дежурных смен</v>
      </c>
      <c r="G15144" s="22" t="s">
        <v>7976</v>
      </c>
      <c r="H15144" s="22" t="s">
        <v>7977</v>
      </c>
      <c r="I15144" s="26">
        <v>43642.535416666702</v>
      </c>
      <c r="J15144" s="23" t="str">
        <f>HYPERLINK("https://www.spark-marketing.ru/Card/Person/1645047", "Чикатуев Расим Абдул-Керимович")</f>
        <v>Чикатуев Расим Абдул-Керимович</v>
      </c>
      <c r="K15144" s="24" t="s">
        <v>20023</v>
      </c>
      <c r="L15144" s="22" t="s">
        <v>10</v>
      </c>
      <c r="M15144" s="28" t="s">
        <v>51</v>
      </c>
      <c r="N15144" s="28" t="s">
        <v>51</v>
      </c>
    </row>
    <row r="15145" spans="1:14" x14ac:dyDescent="0.15">
      <c r="A15145" s="23" t="str">
        <f>HYPERLINK("https://www.spark-marketing.ru/Card/Person/1013460", "МАУ ДО ""ЦДТ""")</f>
        <v>МАУ ДО "ЦДТ"</v>
      </c>
      <c r="B15145" s="24" t="s">
        <v>20024</v>
      </c>
      <c r="C15145" s="25">
        <v>489706</v>
      </c>
      <c r="D15145" s="22" t="s">
        <v>20025</v>
      </c>
      <c r="E15145" s="22" t="s">
        <v>362</v>
      </c>
      <c r="F15145" s="23" t="str">
        <f>HYPERLINK("https://www.spark-marketing.ru/Card/Lot/71684179", "оказание услуг по организации и обеспечению питанием детей, оздоравливаемых и отдыхающих в городском оздоровительном лагере с дневным пребыванием детей")</f>
        <v>оказание услуг по организации и обеспечению питанием детей, оздоравливаемых и отдыхающих в городском оздоровительном лагере с дневным пребыванием детей</v>
      </c>
      <c r="G15145" s="22" t="s">
        <v>174</v>
      </c>
      <c r="H15145" s="22" t="s">
        <v>174</v>
      </c>
      <c r="I15145" s="26">
        <v>43642.504641203697</v>
      </c>
      <c r="J15145" s="28" t="s">
        <v>51</v>
      </c>
      <c r="K15145" s="28" t="s">
        <v>51</v>
      </c>
      <c r="L15145" s="28" t="s">
        <v>51</v>
      </c>
      <c r="M15145" s="28" t="s">
        <v>51</v>
      </c>
      <c r="N15145" s="28" t="s">
        <v>51</v>
      </c>
    </row>
    <row r="15146" spans="1:14" x14ac:dyDescent="0.15">
      <c r="A15146" s="23" t="str">
        <f>HYPERLINK("https://www.spark-marketing.ru/Card/Person/1067591", "ОМВД РОССИИ ПО Г. ЕЛЬЦУ")</f>
        <v>ОМВД РОССИИ ПО Г. ЕЛЬЦУ</v>
      </c>
      <c r="B15146" s="24" t="s">
        <v>2898</v>
      </c>
      <c r="C15146" s="25">
        <v>97497.99</v>
      </c>
      <c r="D15146" s="22" t="s">
        <v>20026</v>
      </c>
      <c r="E15146" s="22" t="s">
        <v>96</v>
      </c>
      <c r="F15146" s="23" t="str">
        <f>HYPERLINK("https://www.spark-marketing.ru/Card/Lot/71689127", "Оказание услуг по организации питания (приготовлению и доставке), 390 шт")</f>
        <v>Оказание услуг по организации питания (приготовлению и доставке), 390 шт</v>
      </c>
      <c r="G15146" s="22" t="s">
        <v>101</v>
      </c>
      <c r="H15146" s="22" t="s">
        <v>2900</v>
      </c>
      <c r="I15146" s="26">
        <v>43642.529074074097</v>
      </c>
      <c r="J15146" s="28" t="s">
        <v>51</v>
      </c>
      <c r="K15146" s="28" t="s">
        <v>51</v>
      </c>
      <c r="L15146" s="28" t="s">
        <v>51</v>
      </c>
      <c r="M15146" s="28" t="s">
        <v>51</v>
      </c>
      <c r="N15146" s="28" t="s">
        <v>51</v>
      </c>
    </row>
    <row r="15147" spans="1:14" x14ac:dyDescent="0.15">
      <c r="A15147" s="23" t="str">
        <f>HYPERLINK("https://www.spark-marketing.ru/Card/Person/4893333", "ГАОУ ""ШКОЛА ИННОПОЛИС""")</f>
        <v>ГАОУ "ШКОЛА ИННОПОЛИС"</v>
      </c>
      <c r="B15147" s="24" t="s">
        <v>20027</v>
      </c>
      <c r="C15147" s="25">
        <v>4249280.4000000004</v>
      </c>
      <c r="D15147" s="22" t="s">
        <v>20028</v>
      </c>
      <c r="E15147" s="22" t="s">
        <v>48</v>
      </c>
      <c r="F15147" s="23" t="str">
        <f>HYPERLINK("https://www.spark-marketing.ru/Card/Lot/71711258", "Оказание услуг по организации питания детей")</f>
        <v>Оказание услуг по организации питания детей</v>
      </c>
      <c r="G15147" s="22" t="s">
        <v>217</v>
      </c>
      <c r="H15147" s="22" t="s">
        <v>1145</v>
      </c>
      <c r="I15147" s="26">
        <v>43642.510416666701</v>
      </c>
      <c r="J15147" s="28" t="s">
        <v>51</v>
      </c>
      <c r="K15147" s="28" t="s">
        <v>51</v>
      </c>
      <c r="L15147" s="28" t="s">
        <v>51</v>
      </c>
      <c r="M15147" s="28" t="s">
        <v>51</v>
      </c>
      <c r="N15147" s="28" t="s">
        <v>51</v>
      </c>
    </row>
    <row r="15148" spans="1:14" ht="12.75" hidden="1" outlineLevel="1" x14ac:dyDescent="0.2">
      <c r="A15148" s="23" t="str">
        <f>HYPERLINK("https://www.spark-marketing.ru/Card/Person/4893333", "ГАОУ ""ШКОЛА ИННОПОЛИС""")</f>
        <v>ГАОУ "ШКОЛА ИННОПОЛИС"</v>
      </c>
      <c r="B15148" s="24" t="s">
        <v>20027</v>
      </c>
      <c r="C15148" s="25">
        <v>4249280.4000000004</v>
      </c>
      <c r="D15148" s="22" t="s">
        <v>20028</v>
      </c>
      <c r="E15148" s="22" t="s">
        <v>48</v>
      </c>
      <c r="F15148" s="23" t="str">
        <f>HYPERLINK("https://www.spark-marketing.ru/Card/Lot/71711258", "Оказание услуг по организации питания детей")</f>
        <v>Оказание услуг по организации питания детей</v>
      </c>
      <c r="G15148" s="22" t="s">
        <v>217</v>
      </c>
      <c r="H15148" s="22" t="s">
        <v>1145</v>
      </c>
      <c r="I15148" s="26">
        <v>43642.510416666701</v>
      </c>
      <c r="J15148" s="23" t="str">
        <f>HYPERLINK("https://www.spark-marketing.ru/Card/Person/6084653", "ООО ""ВИТАРА""")</f>
        <v>ООО "ВИТАРА"</v>
      </c>
      <c r="K15148" s="24" t="s">
        <v>2437</v>
      </c>
      <c r="L15148" s="22" t="s">
        <v>10</v>
      </c>
      <c r="M15148" s="25">
        <v>3314438.8</v>
      </c>
      <c r="N15148" s="27">
        <v>0.21999997929061119</v>
      </c>
    </row>
    <row r="15149" spans="1:14" hidden="1" outlineLevel="1" x14ac:dyDescent="0.2">
      <c r="A15149" s="23" t="str">
        <f>HYPERLINK("https://www.spark-marketing.ru/Card/Person/4893333", "ГАОУ ""ШКОЛА ИННОПОЛИС""")</f>
        <v>ГАОУ "ШКОЛА ИННОПОЛИС"</v>
      </c>
      <c r="B15149" s="24" t="s">
        <v>20027</v>
      </c>
      <c r="C15149" s="25">
        <v>4249280.4000000004</v>
      </c>
      <c r="D15149" s="22" t="s">
        <v>20028</v>
      </c>
      <c r="E15149" s="22" t="s">
        <v>48</v>
      </c>
      <c r="F15149" s="23" t="str">
        <f>HYPERLINK("https://www.spark-marketing.ru/Card/Lot/71711258", "Оказание услуг по организации питания детей")</f>
        <v>Оказание услуг по организации питания детей</v>
      </c>
      <c r="G15149" s="22" t="s">
        <v>217</v>
      </c>
      <c r="H15149" s="22" t="s">
        <v>1145</v>
      </c>
      <c r="I15149" s="26">
        <v>43642.510416666701</v>
      </c>
      <c r="J15149" s="23" t="str">
        <f>HYPERLINK("https://www.spark-marketing.ru/Card/Person/5895498", "ООО ""ТРАПЕЗА КОМПАНИ""")</f>
        <v>ООО "ТРАПЕЗА КОМПАНИ"</v>
      </c>
      <c r="K15149" s="24" t="s">
        <v>14538</v>
      </c>
      <c r="L15149" s="28" t="s">
        <v>51</v>
      </c>
      <c r="M15149" s="25">
        <v>3335685.2</v>
      </c>
      <c r="N15149" s="27">
        <v>0.2149999797612791</v>
      </c>
    </row>
    <row r="15150" spans="1:14" x14ac:dyDescent="0.15">
      <c r="A15150" s="23" t="str">
        <f>HYPERLINK("https://www.spark-marketing.ru/Card/Person/535855", "МОТД МВД РОССИИ ""ВЕЛИЖСКОЕ""")</f>
        <v>МОТД МВД РОССИИ "ВЕЛИЖСКОЕ"</v>
      </c>
      <c r="B15150" s="24" t="s">
        <v>20029</v>
      </c>
      <c r="C15150" s="25">
        <v>117951.09</v>
      </c>
      <c r="D15150" s="22" t="s">
        <v>20030</v>
      </c>
      <c r="E15150" s="22" t="s">
        <v>48</v>
      </c>
      <c r="F15150" s="23" t="str">
        <f>HYPERLINK("https://www.spark-marketing.ru/Card/Lot/71702638", "Услуги по питанию арестованных")</f>
        <v>Услуги по питанию арестованных</v>
      </c>
      <c r="G15150" s="22" t="s">
        <v>460</v>
      </c>
      <c r="H15150" s="22" t="s">
        <v>20031</v>
      </c>
      <c r="I15150" s="26">
        <v>43642.520138888904</v>
      </c>
      <c r="J15150" s="28" t="s">
        <v>51</v>
      </c>
      <c r="K15150" s="28" t="s">
        <v>51</v>
      </c>
      <c r="L15150" s="28" t="s">
        <v>51</v>
      </c>
      <c r="M15150" s="28" t="s">
        <v>51</v>
      </c>
      <c r="N15150" s="28" t="s">
        <v>51</v>
      </c>
    </row>
    <row r="15151" spans="1:14" x14ac:dyDescent="0.15">
      <c r="A15151" s="23" t="str">
        <f>HYPERLINK("https://www.spark-marketing.ru/Card/Person/5555", "ГБУЗ РХ ""РДКБ""")</f>
        <v>ГБУЗ РХ "РДКБ"</v>
      </c>
      <c r="B15151" s="24" t="s">
        <v>356</v>
      </c>
      <c r="C15151" s="25">
        <v>1018554.56</v>
      </c>
      <c r="D15151" s="22" t="s">
        <v>20032</v>
      </c>
      <c r="E15151" s="22" t="s">
        <v>603</v>
      </c>
      <c r="F15151" s="23" t="str">
        <f>HYPERLINK("https://www.spark-marketing.ru/Card/Lot/71692178", "Оказание метрологических услуг по поверке средств измерений и медицинского оборудования")</f>
        <v>Оказание метрологических услуг по поверке средств измерений и медицинского оборудования</v>
      </c>
      <c r="G15151" s="22" t="s">
        <v>92</v>
      </c>
      <c r="H15151" s="22" t="s">
        <v>93</v>
      </c>
      <c r="I15151" s="26">
        <v>43642.540972222203</v>
      </c>
      <c r="J15151" s="23" t="str">
        <f>HYPERLINK("https://www.spark-marketing.ru/Card/Person/16220", "ФБУ ""КРАСНОЯРСКИЙ ЦСМ""")</f>
        <v>ФБУ "КРАСНОЯРСКИЙ ЦСМ"</v>
      </c>
      <c r="K15151" s="24" t="s">
        <v>20033</v>
      </c>
      <c r="L15151" s="22" t="s">
        <v>10</v>
      </c>
      <c r="M15151" s="28" t="s">
        <v>51</v>
      </c>
      <c r="N15151" s="28" t="s">
        <v>51</v>
      </c>
    </row>
    <row r="15152" spans="1:14" x14ac:dyDescent="0.15">
      <c r="A15152" s="23" t="str">
        <f>HYPERLINK("https://www.spark-marketing.ru/Card/Person/59055", "ГБОУ ЛИЦЕЙ № 373 МОСКОВСКОГО РАЙОНА САНКТ-ПЕТЕРБУРГА")</f>
        <v>ГБОУ ЛИЦЕЙ № 373 МОСКОВСКОГО РАЙОНА САНКТ-ПЕТЕРБУРГА</v>
      </c>
      <c r="B15152" s="24" t="s">
        <v>20034</v>
      </c>
      <c r="C15152" s="25">
        <v>2995251</v>
      </c>
      <c r="D15152" s="22" t="s">
        <v>20035</v>
      </c>
      <c r="E15152" s="22" t="s">
        <v>48</v>
      </c>
      <c r="F15152" s="23" t="str">
        <f>HYPERLINK("https://www.spark-marketing.ru/Card/Lot/71693212", "Оказание услуг по организации питания детей в структурном подразделении Отделение дошкольного образования Государственного бюджетного общеобразовательного учреждения лицей № 373 Московского района Санкт-Петербурга ""Экономический лицей"" в период: се...")</f>
        <v>Оказание услуг по организации питания детей в структурном подразделении Отделение дошкольного образования Государственного бюджетного общеобразовательного учреждения лицей № 373 Московского района Санкт-Петербурга "Экономический лицей" в период: се...</v>
      </c>
      <c r="G15152" s="22" t="s">
        <v>117</v>
      </c>
      <c r="H15152" s="22" t="s">
        <v>117</v>
      </c>
      <c r="I15152" s="26">
        <v>43642.522916666698</v>
      </c>
      <c r="J15152" s="28" t="s">
        <v>51</v>
      </c>
      <c r="K15152" s="28" t="s">
        <v>51</v>
      </c>
      <c r="L15152" s="28" t="s">
        <v>51</v>
      </c>
      <c r="M15152" s="28" t="s">
        <v>51</v>
      </c>
      <c r="N15152" s="28" t="s">
        <v>51</v>
      </c>
    </row>
    <row r="15153" spans="1:14" ht="12.75" hidden="1" outlineLevel="1" x14ac:dyDescent="0.2">
      <c r="A15153" s="23" t="str">
        <f>HYPERLINK("https://www.spark-marketing.ru/Card/Person/59055", "ГБОУ ЛИЦЕЙ № 373 МОСКОВСКОГО РАЙОНА САНКТ-ПЕТЕРБУРГА")</f>
        <v>ГБОУ ЛИЦЕЙ № 373 МОСКОВСКОГО РАЙОНА САНКТ-ПЕТЕРБУРГА</v>
      </c>
      <c r="B15153" s="24" t="s">
        <v>20034</v>
      </c>
      <c r="C15153" s="25">
        <v>2995251</v>
      </c>
      <c r="D15153" s="22" t="s">
        <v>20035</v>
      </c>
      <c r="E15153" s="22" t="s">
        <v>48</v>
      </c>
      <c r="F15153" s="23" t="str">
        <f>HYPERLINK("https://www.spark-marketing.ru/Card/Lot/71693212", "Оказание услуг по организации питания детей в структурном подразделении Отделение дошкольного образования Государственного бюджетного общеобразовательного учреждения лицей № 373 Московского района Санкт-Петербурга ""Экономический лицей"" в период: се...")</f>
        <v>Оказание услуг по организации питания детей в структурном подразделении Отделение дошкольного образования Государственного бюджетного общеобразовательного учреждения лицей № 373 Московского района Санкт-Петербурга "Экономический лицей" в период: се...</v>
      </c>
      <c r="G15153" s="22" t="s">
        <v>117</v>
      </c>
      <c r="H15153" s="22" t="s">
        <v>117</v>
      </c>
      <c r="I15153" s="26">
        <v>43642.522916666698</v>
      </c>
      <c r="J15153" s="23" t="str">
        <f>HYPERLINK("https://www.spark-marketing.ru/Card/Person/59608", "АО ""АРТИС-ДЕТСКОЕ ПИТАНИЕ""")</f>
        <v>АО "АРТИС-ДЕТСКОЕ ПИТАНИЕ"</v>
      </c>
      <c r="K15153" s="24" t="s">
        <v>19631</v>
      </c>
      <c r="L15153" s="22" t="s">
        <v>10</v>
      </c>
      <c r="M15153" s="25">
        <v>2486058.33</v>
      </c>
      <c r="N15153" s="27">
        <v>0.17</v>
      </c>
    </row>
    <row r="15154" spans="1:14" hidden="1" outlineLevel="1" x14ac:dyDescent="0.2">
      <c r="A15154" s="23" t="str">
        <f>HYPERLINK("https://www.spark-marketing.ru/Card/Person/59055", "ГБОУ ЛИЦЕЙ № 373 МОСКОВСКОГО РАЙОНА САНКТ-ПЕТЕРБУРГА")</f>
        <v>ГБОУ ЛИЦЕЙ № 373 МОСКОВСКОГО РАЙОНА САНКТ-ПЕТЕРБУРГА</v>
      </c>
      <c r="B15154" s="24" t="s">
        <v>20034</v>
      </c>
      <c r="C15154" s="25">
        <v>2995251</v>
      </c>
      <c r="D15154" s="22" t="s">
        <v>20035</v>
      </c>
      <c r="E15154" s="22" t="s">
        <v>48</v>
      </c>
      <c r="F15154" s="23" t="str">
        <f>HYPERLINK("https://www.spark-marketing.ru/Card/Lot/71693212", "Оказание услуг по организации питания детей в структурном подразделении Отделение дошкольного образования Государственного бюджетного общеобразовательного учреждения лицей № 373 Московского района Санкт-Петербурга ""Экономический лицей"" в период: се...")</f>
        <v>Оказание услуг по организации питания детей в структурном подразделении Отделение дошкольного образования Государственного бюджетного общеобразовательного учреждения лицей № 373 Московского района Санкт-Петербурга "Экономический лицей" в период: се...</v>
      </c>
      <c r="G15154" s="22" t="s">
        <v>117</v>
      </c>
      <c r="H15154" s="22" t="s">
        <v>117</v>
      </c>
      <c r="I15154" s="26">
        <v>43642.522916666698</v>
      </c>
      <c r="J15154" s="23" t="str">
        <f>HYPERLINK("https://www.spark-marketing.ru/Card/Person/243197", "АО ""КСП ""ЮНОСТЬ""")</f>
        <v>АО "КСП "ЮНОСТЬ"</v>
      </c>
      <c r="K15154" s="24" t="s">
        <v>15376</v>
      </c>
      <c r="L15154" s="28" t="s">
        <v>51</v>
      </c>
      <c r="M15154" s="25">
        <v>2545963.35</v>
      </c>
      <c r="N15154" s="27">
        <v>0.15</v>
      </c>
    </row>
    <row r="15155" spans="1:14" x14ac:dyDescent="0.15">
      <c r="A15155" s="23" t="str">
        <f>HYPERLINK("https://www.spark-marketing.ru/Card/Person/27404", "ФКУ ""ЦХИСО МВД ПО РЕСПУБЛИКЕ МАРИЙ ЭЛ""")</f>
        <v>ФКУ "ЦХИСО МВД ПО РЕСПУБЛИКЕ МАРИЙ ЭЛ"</v>
      </c>
      <c r="B15155" s="24" t="s">
        <v>14697</v>
      </c>
      <c r="C15155" s="25">
        <v>1155000</v>
      </c>
      <c r="D15155" s="22" t="s">
        <v>20036</v>
      </c>
      <c r="E15155" s="22" t="s">
        <v>48</v>
      </c>
      <c r="F15155" s="23" t="str">
        <f>HYPERLINK("https://www.spark-marketing.ru/Card/Lot/71692534", "Оказание услуг по организации питания слушателей ЦПП МВД по Республике Марий Эл")</f>
        <v>Оказание услуг по организации питания слушателей ЦПП МВД по Республике Марий Эл</v>
      </c>
      <c r="G15155" s="22" t="s">
        <v>3249</v>
      </c>
      <c r="H15155" s="22" t="s">
        <v>3249</v>
      </c>
      <c r="I15155" s="26">
        <v>43642.495138888902</v>
      </c>
      <c r="J15155" s="28" t="s">
        <v>51</v>
      </c>
      <c r="K15155" s="28" t="s">
        <v>51</v>
      </c>
      <c r="L15155" s="28" t="s">
        <v>51</v>
      </c>
      <c r="M15155" s="28" t="s">
        <v>51</v>
      </c>
      <c r="N15155" s="28" t="s">
        <v>51</v>
      </c>
    </row>
    <row r="15156" spans="1:14" ht="12.75" hidden="1" outlineLevel="1" x14ac:dyDescent="0.2">
      <c r="A15156" s="23" t="str">
        <f>HYPERLINK("https://www.spark-marketing.ru/Card/Person/27404", "ФКУ ""ЦХИСО МВД ПО РЕСПУБЛИКЕ МАРИЙ ЭЛ""")</f>
        <v>ФКУ "ЦХИСО МВД ПО РЕСПУБЛИКЕ МАРИЙ ЭЛ"</v>
      </c>
      <c r="B15156" s="24" t="s">
        <v>14697</v>
      </c>
      <c r="C15156" s="25">
        <v>1155000</v>
      </c>
      <c r="D15156" s="22" t="s">
        <v>20036</v>
      </c>
      <c r="E15156" s="22" t="s">
        <v>48</v>
      </c>
      <c r="F15156" s="23" t="str">
        <f>HYPERLINK("https://www.spark-marketing.ru/Card/Lot/71692534", "Оказание услуг по организации питания слушателей ЦПП МВД по Республике Марий Эл")</f>
        <v>Оказание услуг по организации питания слушателей ЦПП МВД по Республике Марий Эл</v>
      </c>
      <c r="G15156" s="22" t="s">
        <v>3249</v>
      </c>
      <c r="H15156" s="22" t="s">
        <v>3249</v>
      </c>
      <c r="I15156" s="26">
        <v>43642.495138888902</v>
      </c>
      <c r="J15156" s="23" t="str">
        <f>HYPERLINK("https://www.spark-marketing.ru/Card/Person/2177288", "Волокитин Максим Сергеевич")</f>
        <v>Волокитин Максим Сергеевич</v>
      </c>
      <c r="K15156" s="24" t="s">
        <v>20037</v>
      </c>
      <c r="L15156" s="22" t="s">
        <v>10</v>
      </c>
      <c r="M15156" s="25">
        <v>595.66999999999996</v>
      </c>
      <c r="N15156" s="27">
        <v>0.99948426839826843</v>
      </c>
    </row>
    <row r="15157" spans="1:14" hidden="1" outlineLevel="1" x14ac:dyDescent="0.2">
      <c r="A15157" s="23" t="str">
        <f>HYPERLINK("https://www.spark-marketing.ru/Card/Person/27404", "ФКУ ""ЦХИСО МВД ПО РЕСПУБЛИКЕ МАРИЙ ЭЛ""")</f>
        <v>ФКУ "ЦХИСО МВД ПО РЕСПУБЛИКЕ МАРИЙ ЭЛ"</v>
      </c>
      <c r="B15157" s="24" t="s">
        <v>14697</v>
      </c>
      <c r="C15157" s="25">
        <v>1155000</v>
      </c>
      <c r="D15157" s="22" t="s">
        <v>20036</v>
      </c>
      <c r="E15157" s="22" t="s">
        <v>48</v>
      </c>
      <c r="F15157" s="23" t="str">
        <f>HYPERLINK("https://www.spark-marketing.ru/Card/Lot/71692534", "Оказание услуг по организации питания слушателей ЦПП МВД по Республике Марий Эл")</f>
        <v>Оказание услуг по организации питания слушателей ЦПП МВД по Республике Марий Эл</v>
      </c>
      <c r="G15157" s="22" t="s">
        <v>3249</v>
      </c>
      <c r="H15157" s="22" t="s">
        <v>3249</v>
      </c>
      <c r="I15157" s="26">
        <v>43642.495138888902</v>
      </c>
      <c r="J15157" s="23" t="str">
        <f>HYPERLINK("https://www.spark-marketing.ru/Card/Person/2503411", "ООО ""МЦ""")</f>
        <v>ООО "МЦ"</v>
      </c>
      <c r="K15157" s="24" t="s">
        <v>9454</v>
      </c>
      <c r="L15157" s="28" t="s">
        <v>51</v>
      </c>
      <c r="M15157" s="25">
        <v>595.66999999999996</v>
      </c>
      <c r="N15157" s="27">
        <v>0.99948426839826843</v>
      </c>
    </row>
    <row r="15158" spans="1:14" x14ac:dyDescent="0.15">
      <c r="A15158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5158" s="24" t="s">
        <v>16017</v>
      </c>
      <c r="C15158" s="25">
        <v>439178.04</v>
      </c>
      <c r="D15158" s="22" t="s">
        <v>20038</v>
      </c>
      <c r="E15158" s="22" t="s">
        <v>48</v>
      </c>
      <c r="F15158" s="23" t="str">
        <f>HYPERLINK("https://www.spark-marketing.ru/Card/Lot/71707138", "Оказание услуг по организации ежедневного горячего питания для лиц, содержащихся в ЦВСНП УМВД России по Калининградской области")</f>
        <v>Оказание услуг по организации ежедневного горячего питания для лиц, содержащихся в ЦВСНП УМВД России по Калининградской области</v>
      </c>
      <c r="G15158" s="22" t="s">
        <v>400</v>
      </c>
      <c r="H15158" s="22" t="s">
        <v>400</v>
      </c>
      <c r="I15158" s="26">
        <v>43642.472222222197</v>
      </c>
      <c r="J15158" s="28" t="s">
        <v>51</v>
      </c>
      <c r="K15158" s="28" t="s">
        <v>51</v>
      </c>
      <c r="L15158" s="28" t="s">
        <v>51</v>
      </c>
      <c r="M15158" s="28" t="s">
        <v>51</v>
      </c>
      <c r="N15158" s="28" t="s">
        <v>51</v>
      </c>
    </row>
    <row r="15159" spans="1:14" ht="12.75" hidden="1" outlineLevel="1" x14ac:dyDescent="0.2">
      <c r="A15159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5159" s="24" t="s">
        <v>16017</v>
      </c>
      <c r="C15159" s="25">
        <v>439178.04</v>
      </c>
      <c r="D15159" s="22" t="s">
        <v>20038</v>
      </c>
      <c r="E15159" s="22" t="s">
        <v>48</v>
      </c>
      <c r="F15159" s="23" t="str">
        <f>HYPERLINK("https://www.spark-marketing.ru/Card/Lot/71707138", "Оказание услуг по организации ежедневного горячего питания для лиц, содержащихся в ЦВСНП УМВД России по Калининградской области")</f>
        <v>Оказание услуг по организации ежедневного горячего питания для лиц, содержащихся в ЦВСНП УМВД России по Калининградской области</v>
      </c>
      <c r="G15159" s="22" t="s">
        <v>400</v>
      </c>
      <c r="H15159" s="22" t="s">
        <v>400</v>
      </c>
      <c r="I15159" s="26">
        <v>43642.472222222197</v>
      </c>
      <c r="J15159" s="23" t="str">
        <f>HYPERLINK("https://www.spark-marketing.ru/Card/Person/1296104", "ООО ""АППЕТИТ""")</f>
        <v>ООО "АППЕТИТ"</v>
      </c>
      <c r="K15159" s="24" t="s">
        <v>20039</v>
      </c>
      <c r="L15159" s="22" t="s">
        <v>10</v>
      </c>
      <c r="M15159" s="25">
        <v>439178.04</v>
      </c>
      <c r="N15159" s="27">
        <v>0</v>
      </c>
    </row>
    <row r="15160" spans="1:14" hidden="1" outlineLevel="1" x14ac:dyDescent="0.2">
      <c r="A15160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5160" s="24" t="s">
        <v>16017</v>
      </c>
      <c r="C15160" s="25">
        <v>439178.04</v>
      </c>
      <c r="D15160" s="22" t="s">
        <v>20038</v>
      </c>
      <c r="E15160" s="22" t="s">
        <v>48</v>
      </c>
      <c r="F15160" s="23" t="str">
        <f>HYPERLINK("https://www.spark-marketing.ru/Card/Lot/71707138", "Оказание услуг по организации ежедневного горячего питания для лиц, содержащихся в ЦВСНП УМВД России по Калининградской области")</f>
        <v>Оказание услуг по организации ежедневного горячего питания для лиц, содержащихся в ЦВСНП УМВД России по Калининградской области</v>
      </c>
      <c r="G15160" s="22" t="s">
        <v>400</v>
      </c>
      <c r="H15160" s="22" t="s">
        <v>400</v>
      </c>
      <c r="I15160" s="26">
        <v>43642.472222222197</v>
      </c>
      <c r="J15160" s="23" t="str">
        <f>HYPERLINK("https://www.spark-marketing.ru/Card/Person/579207", "ООО ""ВИЛКАЛОЖКА""")</f>
        <v>ООО "ВИЛКАЛОЖКА"</v>
      </c>
      <c r="K15160" s="24" t="s">
        <v>16175</v>
      </c>
      <c r="L15160" s="28" t="s">
        <v>51</v>
      </c>
      <c r="M15160" s="25">
        <v>439178.04</v>
      </c>
      <c r="N15160" s="27">
        <v>0</v>
      </c>
    </row>
    <row r="15161" spans="1:14" x14ac:dyDescent="0.15">
      <c r="A15161" s="23" t="str">
        <f>HYPERLINK("https://www.spark-marketing.ru/Card/Person/54206", "ФКУЗ ""МСЧ МВД РОССИИ ПО ХАБАРОВСКОМУ КРАЮ""")</f>
        <v>ФКУЗ "МСЧ МВД РОССИИ ПО ХАБАРОВСКОМУ КРАЮ"</v>
      </c>
      <c r="B15161" s="24" t="s">
        <v>20040</v>
      </c>
      <c r="C15161" s="25">
        <v>132900</v>
      </c>
      <c r="D15161" s="22" t="s">
        <v>20041</v>
      </c>
      <c r="E15161" s="22" t="s">
        <v>152</v>
      </c>
      <c r="F15161" s="23" t="str">
        <f>HYPERLINK("https://www.spark-marketing.ru/Card/Lot/71678004", "Оказание услуг по техническому обслуживанию и ремонту холодильного и технологического оборудования")</f>
        <v>Оказание услуг по техническому обслуживанию и ремонту холодильного и технологического оборудования</v>
      </c>
      <c r="G15161" s="22" t="s">
        <v>1096</v>
      </c>
      <c r="H15161" s="22" t="s">
        <v>1097</v>
      </c>
      <c r="I15161" s="26">
        <v>43642.4819444444</v>
      </c>
      <c r="J15161" s="28" t="s">
        <v>51</v>
      </c>
      <c r="K15161" s="28" t="s">
        <v>51</v>
      </c>
      <c r="L15161" s="28" t="s">
        <v>51</v>
      </c>
      <c r="M15161" s="28" t="s">
        <v>51</v>
      </c>
      <c r="N15161" s="28" t="s">
        <v>51</v>
      </c>
    </row>
    <row r="15162" spans="1:14" hidden="1" outlineLevel="1" x14ac:dyDescent="0.2">
      <c r="A15162" s="23" t="str">
        <f>HYPERLINK("https://www.spark-marketing.ru/Card/Person/54206", "ФКУЗ ""МСЧ МВД РОССИИ ПО ХАБАРОВСКОМУ КРАЮ""")</f>
        <v>ФКУЗ "МСЧ МВД РОССИИ ПО ХАБАРОВСКОМУ КРАЮ"</v>
      </c>
      <c r="B15162" s="24" t="s">
        <v>20040</v>
      </c>
      <c r="C15162" s="25">
        <v>132900</v>
      </c>
      <c r="D15162" s="22" t="s">
        <v>20041</v>
      </c>
      <c r="E15162" s="22" t="s">
        <v>152</v>
      </c>
      <c r="F15162" s="23" t="str">
        <f>HYPERLINK("https://www.spark-marketing.ru/Card/Lot/71678004", "Оказание услуг по техническому обслуживанию и ремонту холодильного и технологического оборудования")</f>
        <v>Оказание услуг по техническому обслуживанию и ремонту холодильного и технологического оборудования</v>
      </c>
      <c r="G15162" s="22" t="s">
        <v>1096</v>
      </c>
      <c r="H15162" s="22" t="s">
        <v>1097</v>
      </c>
      <c r="I15162" s="26">
        <v>43642.4819444444</v>
      </c>
      <c r="J15162" s="23" t="str">
        <f>HYPERLINK("https://www.spark-marketing.ru/Card/Person/1475764", "ООО ТК ""ФАРТЕЛИТ""")</f>
        <v>ООО ТК "ФАРТЕЛИТ"</v>
      </c>
      <c r="K15162" s="24" t="s">
        <v>20042</v>
      </c>
      <c r="L15162" s="28" t="s">
        <v>51</v>
      </c>
      <c r="M15162" s="25">
        <v>120274.5</v>
      </c>
      <c r="N15162" s="27">
        <v>9.5000000000000001E-2</v>
      </c>
    </row>
    <row r="15163" spans="1:14" ht="12.75" hidden="1" outlineLevel="1" x14ac:dyDescent="0.2">
      <c r="A15163" s="23" t="str">
        <f>HYPERLINK("https://www.spark-marketing.ru/Card/Person/54206", "ФКУЗ ""МСЧ МВД РОССИИ ПО ХАБАРОВСКОМУ КРАЮ""")</f>
        <v>ФКУЗ "МСЧ МВД РОССИИ ПО ХАБАРОВСКОМУ КРАЮ"</v>
      </c>
      <c r="B15163" s="24" t="s">
        <v>20040</v>
      </c>
      <c r="C15163" s="25">
        <v>132900</v>
      </c>
      <c r="D15163" s="22" t="s">
        <v>20041</v>
      </c>
      <c r="E15163" s="22" t="s">
        <v>152</v>
      </c>
      <c r="F15163" s="23" t="str">
        <f>HYPERLINK("https://www.spark-marketing.ru/Card/Lot/71678004", "Оказание услуг по техническому обслуживанию и ремонту холодильного и технологического оборудования")</f>
        <v>Оказание услуг по техническому обслуживанию и ремонту холодильного и технологического оборудования</v>
      </c>
      <c r="G15163" s="22" t="s">
        <v>1096</v>
      </c>
      <c r="H15163" s="22" t="s">
        <v>1097</v>
      </c>
      <c r="I15163" s="26">
        <v>43642.4819444444</v>
      </c>
      <c r="J15163" s="23" t="str">
        <f>HYPERLINK("https://www.spark-marketing.ru/Card/Person/116322", "ООО ""ПРОФИТ""")</f>
        <v>ООО "ПРОФИТ"</v>
      </c>
      <c r="K15163" s="24" t="s">
        <v>20043</v>
      </c>
      <c r="L15163" s="22" t="s">
        <v>10</v>
      </c>
      <c r="M15163" s="25">
        <v>120274.5</v>
      </c>
      <c r="N15163" s="27">
        <v>9.5000000000000001E-2</v>
      </c>
    </row>
    <row r="15164" spans="1:14" x14ac:dyDescent="0.15">
      <c r="A15164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5164" s="24" t="s">
        <v>16017</v>
      </c>
      <c r="C15164" s="25">
        <v>3745058.4</v>
      </c>
      <c r="D15164" s="22" t="s">
        <v>20044</v>
      </c>
      <c r="E15164" s="22" t="s">
        <v>48</v>
      </c>
      <c r="F15164" s="23" t="str">
        <f>HYPERLINK("https://www.spark-marketing.ru/Card/Lot/71692794", "Оказание услуг по организации ежедневного горячего питания для лиц, содержащихся в СПАА УМВД России по Калининградской области")</f>
        <v>Оказание услуг по организации ежедневного горячего питания для лиц, содержащихся в СПАА УМВД России по Калининградской области</v>
      </c>
      <c r="G15164" s="22" t="s">
        <v>400</v>
      </c>
      <c r="H15164" s="22" t="s">
        <v>400</v>
      </c>
      <c r="I15164" s="26">
        <v>43642.461805555598</v>
      </c>
      <c r="J15164" s="28" t="s">
        <v>51</v>
      </c>
      <c r="K15164" s="28" t="s">
        <v>51</v>
      </c>
      <c r="L15164" s="28" t="s">
        <v>51</v>
      </c>
      <c r="M15164" s="28" t="s">
        <v>51</v>
      </c>
      <c r="N15164" s="28" t="s">
        <v>51</v>
      </c>
    </row>
    <row r="15165" spans="1:14" ht="12.75" hidden="1" outlineLevel="1" x14ac:dyDescent="0.2">
      <c r="A15165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5165" s="24" t="s">
        <v>16017</v>
      </c>
      <c r="C15165" s="25">
        <v>3745058.4</v>
      </c>
      <c r="D15165" s="22" t="s">
        <v>20044</v>
      </c>
      <c r="E15165" s="22" t="s">
        <v>48</v>
      </c>
      <c r="F15165" s="23" t="str">
        <f>HYPERLINK("https://www.spark-marketing.ru/Card/Lot/71692794", "Оказание услуг по организации ежедневного горячего питания для лиц, содержащихся в СПАА УМВД России по Калининградской области")</f>
        <v>Оказание услуг по организации ежедневного горячего питания для лиц, содержащихся в СПАА УМВД России по Калининградской области</v>
      </c>
      <c r="G15165" s="22" t="s">
        <v>400</v>
      </c>
      <c r="H15165" s="22" t="s">
        <v>400</v>
      </c>
      <c r="I15165" s="26">
        <v>43642.461805555598</v>
      </c>
      <c r="J15165" s="23" t="str">
        <f>HYPERLINK("https://www.spark-marketing.ru/Card/Person/1296104", "ООО ""АППЕТИТ""")</f>
        <v>ООО "АППЕТИТ"</v>
      </c>
      <c r="K15165" s="24" t="s">
        <v>20039</v>
      </c>
      <c r="L15165" s="22" t="s">
        <v>10</v>
      </c>
      <c r="M15165" s="25">
        <v>3745058.4</v>
      </c>
      <c r="N15165" s="27">
        <v>0</v>
      </c>
    </row>
    <row r="15166" spans="1:14" hidden="1" outlineLevel="1" x14ac:dyDescent="0.2">
      <c r="A15166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5166" s="24" t="s">
        <v>16017</v>
      </c>
      <c r="C15166" s="25">
        <v>3745058.4</v>
      </c>
      <c r="D15166" s="22" t="s">
        <v>20044</v>
      </c>
      <c r="E15166" s="22" t="s">
        <v>48</v>
      </c>
      <c r="F15166" s="23" t="str">
        <f>HYPERLINK("https://www.spark-marketing.ru/Card/Lot/71692794", "Оказание услуг по организации ежедневного горячего питания для лиц, содержащихся в СПАА УМВД России по Калининградской области")</f>
        <v>Оказание услуг по организации ежедневного горячего питания для лиц, содержащихся в СПАА УМВД России по Калининградской области</v>
      </c>
      <c r="G15166" s="22" t="s">
        <v>400</v>
      </c>
      <c r="H15166" s="22" t="s">
        <v>400</v>
      </c>
      <c r="I15166" s="26">
        <v>43642.461805555598</v>
      </c>
      <c r="J15166" s="23" t="str">
        <f>HYPERLINK("https://www.spark-marketing.ru/Card/Person/579207", "ООО ""ВИЛКАЛОЖКА""")</f>
        <v>ООО "ВИЛКАЛОЖКА"</v>
      </c>
      <c r="K15166" s="24" t="s">
        <v>16175</v>
      </c>
      <c r="L15166" s="28" t="s">
        <v>51</v>
      </c>
      <c r="M15166" s="25">
        <v>3745058.4</v>
      </c>
      <c r="N15166" s="27">
        <v>0</v>
      </c>
    </row>
    <row r="15167" spans="1:14" x14ac:dyDescent="0.15">
      <c r="A15167" s="23" t="str">
        <f>HYPERLINK("https://www.spark-marketing.ru/Card/Person/4917004", "МЕЖРЕГИОНАЛЬНЫЙ ФИЛИАЛ ФКУ ""ЦОКР"" В Г.КАЗАНИ")</f>
        <v>МЕЖРЕГИОНАЛЬНЫЙ ФИЛИАЛ ФКУ "ЦОКР" В Г.КАЗАНИ</v>
      </c>
      <c r="B15167" s="24" t="s">
        <v>2576</v>
      </c>
      <c r="C15167" s="25">
        <v>415135</v>
      </c>
      <c r="D15167" s="22" t="s">
        <v>20045</v>
      </c>
      <c r="E15167" s="22" t="s">
        <v>91</v>
      </c>
      <c r="F15167" s="23" t="str">
        <f>HYPERLINK("https://www.spark-marketing.ru/Card/Lot/71707333", "Оказание услуг по восстановлению работоспособности источника бесперебойного питания для нужд Управления Федерального казначейства по Республике Марий Эл")</f>
        <v>Оказание услуг по восстановлению работоспособности источника бесперебойного питания для нужд Управления Федерального казначейства по Республике Марий Эл</v>
      </c>
      <c r="G15167" s="22" t="s">
        <v>3249</v>
      </c>
      <c r="H15167" s="22" t="s">
        <v>3249</v>
      </c>
      <c r="I15167" s="26">
        <v>43642.492361111101</v>
      </c>
      <c r="J15167" s="28" t="s">
        <v>51</v>
      </c>
      <c r="K15167" s="28" t="s">
        <v>51</v>
      </c>
      <c r="L15167" s="28" t="s">
        <v>51</v>
      </c>
      <c r="M15167" s="28" t="s">
        <v>51</v>
      </c>
      <c r="N15167" s="28" t="s">
        <v>51</v>
      </c>
    </row>
    <row r="15168" spans="1:14" ht="12.75" hidden="1" outlineLevel="1" x14ac:dyDescent="0.2">
      <c r="A15168" s="23" t="str">
        <f>HYPERLINK("https://www.spark-marketing.ru/Card/Person/4917004", "МЕЖРЕГИОНАЛЬНЫЙ ФИЛИАЛ ФКУ ""ЦОКР"" В Г.КАЗАНИ")</f>
        <v>МЕЖРЕГИОНАЛЬНЫЙ ФИЛИАЛ ФКУ "ЦОКР" В Г.КАЗАНИ</v>
      </c>
      <c r="B15168" s="24" t="s">
        <v>2576</v>
      </c>
      <c r="C15168" s="25">
        <v>415135</v>
      </c>
      <c r="D15168" s="22" t="s">
        <v>20045</v>
      </c>
      <c r="E15168" s="22" t="s">
        <v>91</v>
      </c>
      <c r="F15168" s="23" t="str">
        <f>HYPERLINK("https://www.spark-marketing.ru/Card/Lot/71707333", "Оказание услуг по восстановлению работоспособности источника бесперебойного питания для нужд Управления Федерального казначейства по Республике Марий Эл")</f>
        <v>Оказание услуг по восстановлению работоспособности источника бесперебойного питания для нужд Управления Федерального казначейства по Республике Марий Эл</v>
      </c>
      <c r="G15168" s="22" t="s">
        <v>3249</v>
      </c>
      <c r="H15168" s="22" t="s">
        <v>3249</v>
      </c>
      <c r="I15168" s="26">
        <v>43642.492361111101</v>
      </c>
      <c r="J15168" s="23" t="str">
        <f>HYPERLINK("https://www.spark-marketing.ru/Card/Person/370331", "ООО ""ПРИНТ-К""")</f>
        <v>ООО "ПРИНТ-К"</v>
      </c>
      <c r="K15168" s="24" t="s">
        <v>20046</v>
      </c>
      <c r="L15168" s="22" t="s">
        <v>10</v>
      </c>
      <c r="M15168" s="25">
        <v>415135</v>
      </c>
      <c r="N15168" s="27">
        <v>0</v>
      </c>
    </row>
    <row r="15169" spans="1:14" hidden="1" outlineLevel="1" x14ac:dyDescent="0.2">
      <c r="A15169" s="23" t="str">
        <f>HYPERLINK("https://www.spark-marketing.ru/Card/Person/4917004", "МЕЖРЕГИОНАЛЬНЫЙ ФИЛИАЛ ФКУ ""ЦОКР"" В Г.КАЗАНИ")</f>
        <v>МЕЖРЕГИОНАЛЬНЫЙ ФИЛИАЛ ФКУ "ЦОКР" В Г.КАЗАНИ</v>
      </c>
      <c r="B15169" s="24" t="s">
        <v>2576</v>
      </c>
      <c r="C15169" s="25">
        <v>415135</v>
      </c>
      <c r="D15169" s="22" t="s">
        <v>20045</v>
      </c>
      <c r="E15169" s="22" t="s">
        <v>91</v>
      </c>
      <c r="F15169" s="23" t="str">
        <f>HYPERLINK("https://www.spark-marketing.ru/Card/Lot/71707333", "Оказание услуг по восстановлению работоспособности источника бесперебойного питания для нужд Управления Федерального казначейства по Республике Марий Эл")</f>
        <v>Оказание услуг по восстановлению работоспособности источника бесперебойного питания для нужд Управления Федерального казначейства по Республике Марий Эл</v>
      </c>
      <c r="G15169" s="22" t="s">
        <v>3249</v>
      </c>
      <c r="H15169" s="22" t="s">
        <v>3249</v>
      </c>
      <c r="I15169" s="26">
        <v>43642.492361111101</v>
      </c>
      <c r="J15169" s="23" t="str">
        <f>HYPERLINK("https://www.spark-marketing.ru/Card/Person/159546", "ООО ""АСТРА-СЕРВИС""")</f>
        <v>ООО "АСТРА-СЕРВИС"</v>
      </c>
      <c r="K15169" s="24" t="s">
        <v>14700</v>
      </c>
      <c r="L15169" s="28" t="s">
        <v>51</v>
      </c>
      <c r="M15169" s="25">
        <v>415135</v>
      </c>
      <c r="N15169" s="27">
        <v>0</v>
      </c>
    </row>
    <row r="15170" spans="1:14" x14ac:dyDescent="0.15">
      <c r="A15170" s="23" t="str">
        <f>HYPERLINK("https://www.spark-marketing.ru/Card/Person/119357", "МАОУ ""СОШ №24""")</f>
        <v>МАОУ "СОШ №24"</v>
      </c>
      <c r="B15170" s="24" t="s">
        <v>4435</v>
      </c>
      <c r="C15170" s="25">
        <v>307650</v>
      </c>
      <c r="D15170" s="22" t="s">
        <v>20047</v>
      </c>
      <c r="E15170" s="22" t="s">
        <v>362</v>
      </c>
      <c r="F15170" s="23" t="str">
        <f>HYPERLINK("https://www.spark-marketing.ru/Card/Lot/71676984", "Оказание услуг по организации питания детей в ЛОУ дневного пребывания 1 сезон")</f>
        <v>Оказание услуг по организации питания детей в ЛОУ дневного пребывания 1 сезон</v>
      </c>
      <c r="G15170" s="22" t="s">
        <v>241</v>
      </c>
      <c r="H15170" s="22" t="s">
        <v>241</v>
      </c>
      <c r="I15170" s="26">
        <v>43642.4621064815</v>
      </c>
      <c r="J15170" s="28" t="s">
        <v>51</v>
      </c>
      <c r="K15170" s="28" t="s">
        <v>51</v>
      </c>
      <c r="L15170" s="28" t="s">
        <v>51</v>
      </c>
      <c r="M15170" s="28" t="s">
        <v>51</v>
      </c>
      <c r="N15170" s="28" t="s">
        <v>51</v>
      </c>
    </row>
    <row r="15171" spans="1:14" x14ac:dyDescent="0.15">
      <c r="A15171" s="23" t="str">
        <f>HYPERLINK("https://www.spark-marketing.ru/Card/Person/6509111", "МБДОУ ЦРР ДЕТСКИЙ САД №19 ""ЛАСТОЧКА""")</f>
        <v>МБДОУ ЦРР ДЕТСКИЙ САД №19 "ЛАСТОЧКА"</v>
      </c>
      <c r="B15171" s="24" t="s">
        <v>20048</v>
      </c>
      <c r="C15171" s="25">
        <v>1086912</v>
      </c>
      <c r="D15171" s="22" t="s">
        <v>20049</v>
      </c>
      <c r="E15171" s="22" t="s">
        <v>48</v>
      </c>
      <c r="F15171" s="23" t="str">
        <f>HYPERLINK("https://www.spark-marketing.ru/Card/Lot/71692299", "Оказание услуг по организации горячего питания для Муниципальное бюджетное дошкольное образовательное учреждение центр развития ребенка - детский сад № 19 ""Ласточка""")</f>
        <v>Оказание услуг по организации горячего питания для Муниципальное бюджетное дошкольное образовательное учреждение центр развития ребенка - детский сад № 19 "Ласточка"</v>
      </c>
      <c r="G15171" s="22" t="s">
        <v>49</v>
      </c>
      <c r="H15171" s="22" t="s">
        <v>378</v>
      </c>
      <c r="I15171" s="26">
        <v>43642.484722222202</v>
      </c>
      <c r="J15171" s="28" t="s">
        <v>51</v>
      </c>
      <c r="K15171" s="28" t="s">
        <v>51</v>
      </c>
      <c r="L15171" s="28" t="s">
        <v>51</v>
      </c>
      <c r="M15171" s="28" t="s">
        <v>51</v>
      </c>
      <c r="N15171" s="28" t="s">
        <v>51</v>
      </c>
    </row>
    <row r="15172" spans="1:14" ht="12.75" hidden="1" outlineLevel="1" x14ac:dyDescent="0.2">
      <c r="A15172" s="23" t="str">
        <f>HYPERLINK("https://www.spark-marketing.ru/Card/Person/6509111", "МБДОУ ЦРР ДЕТСКИЙ САД №19 ""ЛАСТОЧКА""")</f>
        <v>МБДОУ ЦРР ДЕТСКИЙ САД №19 "ЛАСТОЧКА"</v>
      </c>
      <c r="B15172" s="24" t="s">
        <v>20048</v>
      </c>
      <c r="C15172" s="25">
        <v>1086912</v>
      </c>
      <c r="D15172" s="22" t="s">
        <v>20049</v>
      </c>
      <c r="E15172" s="22" t="s">
        <v>48</v>
      </c>
      <c r="F15172" s="23" t="str">
        <f>HYPERLINK("https://www.spark-marketing.ru/Card/Lot/71692299", "Оказание услуг по организации горячего питания для Муниципальное бюджетное дошкольное образовательное учреждение центр развития ребенка - детский сад № 19 ""Ласточка""")</f>
        <v>Оказание услуг по организации горячего питания для Муниципальное бюджетное дошкольное образовательное учреждение центр развития ребенка - детский сад № 19 "Ласточка"</v>
      </c>
      <c r="G15172" s="22" t="s">
        <v>49</v>
      </c>
      <c r="H15172" s="22" t="s">
        <v>378</v>
      </c>
      <c r="I15172" s="26">
        <v>43642.484722222202</v>
      </c>
      <c r="J15172" s="23" t="str">
        <f>HYPERLINK("https://www.spark-marketing.ru/Card/Person/87627", "ООО ""КШП""")</f>
        <v>ООО "КШП"</v>
      </c>
      <c r="K15172" s="24" t="s">
        <v>20050</v>
      </c>
      <c r="L15172" s="22" t="s">
        <v>10</v>
      </c>
      <c r="M15172" s="25">
        <v>1086912</v>
      </c>
      <c r="N15172" s="27">
        <v>0</v>
      </c>
    </row>
    <row r="15173" spans="1:14" hidden="1" outlineLevel="1" x14ac:dyDescent="0.2">
      <c r="A15173" s="23" t="str">
        <f>HYPERLINK("https://www.spark-marketing.ru/Card/Person/6509111", "МБДОУ ЦРР ДЕТСКИЙ САД №19 ""ЛАСТОЧКА""")</f>
        <v>МБДОУ ЦРР ДЕТСКИЙ САД №19 "ЛАСТОЧКА"</v>
      </c>
      <c r="B15173" s="24" t="s">
        <v>20048</v>
      </c>
      <c r="C15173" s="25">
        <v>1086912</v>
      </c>
      <c r="D15173" s="22" t="s">
        <v>20049</v>
      </c>
      <c r="E15173" s="22" t="s">
        <v>48</v>
      </c>
      <c r="F15173" s="23" t="str">
        <f>HYPERLINK("https://www.spark-marketing.ru/Card/Lot/71692299", "Оказание услуг по организации горячего питания для Муниципальное бюджетное дошкольное образовательное учреждение центр развития ребенка - детский сад № 19 ""Ласточка""")</f>
        <v>Оказание услуг по организации горячего питания для Муниципальное бюджетное дошкольное образовательное учреждение центр развития ребенка - детский сад № 19 "Ласточка"</v>
      </c>
      <c r="G15173" s="22" t="s">
        <v>49</v>
      </c>
      <c r="H15173" s="22" t="s">
        <v>378</v>
      </c>
      <c r="I15173" s="26">
        <v>43642.484722222202</v>
      </c>
      <c r="J15173" s="23" t="str">
        <f>HYPERLINK("https://www.spark-marketing.ru/Card/Person/4412747", "ООО ""КШП Г. ЛОБНЯ""")</f>
        <v>ООО "КШП Г. ЛОБНЯ"</v>
      </c>
      <c r="K15173" s="24" t="s">
        <v>20051</v>
      </c>
      <c r="L15173" s="28" t="s">
        <v>51</v>
      </c>
      <c r="M15173" s="25">
        <v>1086912</v>
      </c>
      <c r="N15173" s="27">
        <v>0</v>
      </c>
    </row>
    <row r="15174" spans="1:14" x14ac:dyDescent="0.15">
      <c r="A15174" s="23" t="str">
        <f>HYPERLINK("https://www.spark-marketing.ru/Card/Person/131945", "ФКУ ""ЦУКС ГУ МЧС РОССИИ ПО РЕСПУБЛИКЕ ХАКАСИЯ""")</f>
        <v>ФКУ "ЦУКС ГУ МЧС РОССИИ ПО РЕСПУБЛИКЕ ХАКАСИЯ"</v>
      </c>
      <c r="B15174" s="24" t="s">
        <v>17357</v>
      </c>
      <c r="C15174" s="25">
        <v>98550</v>
      </c>
      <c r="D15174" s="22" t="s">
        <v>20052</v>
      </c>
      <c r="E15174" s="22" t="s">
        <v>48</v>
      </c>
      <c r="F15174" s="23" t="str">
        <f>HYPERLINK("https://www.spark-marketing.ru/Card/Lot/71680803", "Оказание услуг по организации питания оперативно-дежурной смены")</f>
        <v>Оказание услуг по организации питания оперативно-дежурной смены</v>
      </c>
      <c r="G15174" s="22" t="s">
        <v>92</v>
      </c>
      <c r="H15174" s="22" t="s">
        <v>92</v>
      </c>
      <c r="I15174" s="26">
        <v>43642.463194444397</v>
      </c>
      <c r="J15174" s="23" t="str">
        <f>HYPERLINK("https://www.spark-marketing.ru/Card/Person/4466818", "Пешинас Юлия Александровна")</f>
        <v>Пешинас Юлия Александровна</v>
      </c>
      <c r="K15174" s="24" t="s">
        <v>20053</v>
      </c>
      <c r="L15174" s="22" t="s">
        <v>10</v>
      </c>
      <c r="M15174" s="28" t="s">
        <v>51</v>
      </c>
      <c r="N15174" s="28" t="s">
        <v>51</v>
      </c>
    </row>
    <row r="15175" spans="1:14" x14ac:dyDescent="0.15">
      <c r="A15175" s="23" t="str">
        <f>HYPERLINK("https://www.spark-marketing.ru/Card/Person/648137", "ОТД МВД РОССИИ ПО ТАШТЫПСКОМУ РАЙОНУ")</f>
        <v>ОТД МВД РОССИИ ПО ТАШТЫПСКОМУ РАЙОНУ</v>
      </c>
      <c r="B15175" s="24" t="s">
        <v>20054</v>
      </c>
      <c r="C15175" s="25">
        <v>692600</v>
      </c>
      <c r="D15175" s="22" t="s">
        <v>20055</v>
      </c>
      <c r="E15175" s="22" t="s">
        <v>96</v>
      </c>
      <c r="F15175" s="23" t="str">
        <f>HYPERLINK("https://www.spark-marketing.ru/Card/Lot/71680732", "Услуги по питанию")</f>
        <v>Услуги по питанию</v>
      </c>
      <c r="G15175" s="22" t="s">
        <v>92</v>
      </c>
      <c r="H15175" s="22" t="s">
        <v>20056</v>
      </c>
      <c r="I15175" s="26">
        <v>43642.469444444403</v>
      </c>
      <c r="J15175" s="23" t="str">
        <f>HYPERLINK("https://www.spark-marketing.ru/Card/Person/5969298", "Абатурова Нина Викторовна")</f>
        <v>Абатурова Нина Викторовна</v>
      </c>
      <c r="K15175" s="24" t="s">
        <v>20057</v>
      </c>
      <c r="L15175" s="22" t="s">
        <v>10</v>
      </c>
      <c r="M15175" s="28" t="s">
        <v>51</v>
      </c>
      <c r="N15175" s="28" t="s">
        <v>51</v>
      </c>
    </row>
    <row r="15176" spans="1:14" x14ac:dyDescent="0.15">
      <c r="A15176" s="23" t="str">
        <f>HYPERLINK("https://www.spark-marketing.ru/Card/Person/128977", "КГАУ ХКСШОР")</f>
        <v>КГАУ ХКСШОР</v>
      </c>
      <c r="B15176" s="24" t="s">
        <v>20058</v>
      </c>
      <c r="C15176" s="25">
        <v>151200</v>
      </c>
      <c r="D15176" s="22" t="s">
        <v>20059</v>
      </c>
      <c r="E15176" s="22" t="s">
        <v>1921</v>
      </c>
      <c r="F15176" s="23" t="str">
        <f>HYPERLINK("https://www.spark-marketing.ru/Card/Lot/71677065", "услуги по организации тренировочных мероприятий (вольная борьба) в городе Находка")</f>
        <v>услуги по организации тренировочных мероприятий (вольная борьба) в городе Находка</v>
      </c>
      <c r="G15176" s="22" t="s">
        <v>543</v>
      </c>
      <c r="H15176" s="22" t="s">
        <v>543</v>
      </c>
      <c r="I15176" s="26">
        <v>43642.491076388898</v>
      </c>
      <c r="J15176" s="28" t="s">
        <v>51</v>
      </c>
      <c r="K15176" s="28" t="s">
        <v>51</v>
      </c>
      <c r="L15176" s="28" t="s">
        <v>51</v>
      </c>
      <c r="M15176" s="28" t="s">
        <v>51</v>
      </c>
      <c r="N15176" s="28" t="s">
        <v>51</v>
      </c>
    </row>
    <row r="15177" spans="1:14" x14ac:dyDescent="0.15">
      <c r="A15177" s="23" t="str">
        <f>HYPERLINK("https://www.spark-marketing.ru/Card/Person/4929568", "ОМВД РОССИИ ПО СОВЕТСКОМУ РАЙОНУ Г РЯЗАНИ")</f>
        <v>ОМВД РОССИИ ПО СОВЕТСКОМУ РАЙОНУ Г РЯЗАНИ</v>
      </c>
      <c r="B15177" s="24" t="s">
        <v>20060</v>
      </c>
      <c r="C15177" s="25">
        <v>51480</v>
      </c>
      <c r="D15177" s="22" t="s">
        <v>20061</v>
      </c>
      <c r="E15177" s="22" t="s">
        <v>96</v>
      </c>
      <c r="F15177" s="23" t="str">
        <f>HYPERLINK("https://www.spark-marketing.ru/Card/Lot/71684867",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5177" s="22" t="s">
        <v>1522</v>
      </c>
      <c r="H15177" s="22" t="s">
        <v>1523</v>
      </c>
      <c r="I15177" s="26">
        <v>43642.459606481498</v>
      </c>
      <c r="J15177" s="28" t="s">
        <v>51</v>
      </c>
      <c r="K15177" s="28" t="s">
        <v>51</v>
      </c>
      <c r="L15177" s="28" t="s">
        <v>51</v>
      </c>
      <c r="M15177" s="28" t="s">
        <v>51</v>
      </c>
      <c r="N15177" s="28" t="s">
        <v>51</v>
      </c>
    </row>
    <row r="15178" spans="1:14" x14ac:dyDescent="0.15">
      <c r="A15178" s="23" t="str">
        <f>HYPERLINK("https://www.spark-marketing.ru/Card/Person/4335980", "МАУ СШ ""ДЕЛЬФИН""")</f>
        <v>МАУ СШ "ДЕЛЬФИН"</v>
      </c>
      <c r="B15178" s="24" t="s">
        <v>20062</v>
      </c>
      <c r="C15178" s="25">
        <v>312908.79999999999</v>
      </c>
      <c r="D15178" s="22" t="s">
        <v>20063</v>
      </c>
      <c r="E15178" s="22" t="s">
        <v>362</v>
      </c>
      <c r="F15178" s="23" t="str">
        <f>HYPERLINK("https://www.spark-marketing.ru/Card/Lot/71675931", "услуги по организации питания детей в городском оздоровительном лагере с дневным пребыванием")</f>
        <v>услуги по организации питания детей в городском оздоровительном лагере с дневным пребыванием</v>
      </c>
      <c r="G15178" s="22" t="s">
        <v>1096</v>
      </c>
      <c r="H15178" s="22" t="s">
        <v>1096</v>
      </c>
      <c r="I15178" s="26">
        <v>43642.4558680556</v>
      </c>
      <c r="J15178" s="28" t="s">
        <v>51</v>
      </c>
      <c r="K15178" s="28" t="s">
        <v>51</v>
      </c>
      <c r="L15178" s="28" t="s">
        <v>51</v>
      </c>
      <c r="M15178" s="28" t="s">
        <v>51</v>
      </c>
      <c r="N15178" s="28" t="s">
        <v>51</v>
      </c>
    </row>
    <row r="15179" spans="1:14" x14ac:dyDescent="0.15">
      <c r="A15179" s="23" t="str">
        <f>HYPERLINK("https://www.spark-marketing.ru/Card/Person/1031539", "ГПОУ ЯО РЫБИНСКИЙ КОЛЛЕДЖ ГОРОДСКОЙ ИНФРАСТРУКТУРЫ")</f>
        <v>ГПОУ ЯО РЫБИНСКИЙ КОЛЛЕДЖ ГОРОДСКОЙ ИНФРАСТРУКТУРЫ</v>
      </c>
      <c r="B15179" s="24" t="s">
        <v>20064</v>
      </c>
      <c r="C15179" s="25">
        <v>989000</v>
      </c>
      <c r="D15179" s="22" t="s">
        <v>20065</v>
      </c>
      <c r="E15179" s="22" t="s">
        <v>96</v>
      </c>
      <c r="F15179" s="23" t="str">
        <f>HYPERLINK("https://www.spark-marketing.ru/Card/Lot/71691599", "организация горячего питания учащихся")</f>
        <v>организация горячего питания учащихся</v>
      </c>
      <c r="G15179" s="22" t="s">
        <v>185</v>
      </c>
      <c r="H15179" s="22" t="s">
        <v>9142</v>
      </c>
      <c r="I15179" s="26">
        <v>43642.439583333296</v>
      </c>
      <c r="J15179" s="23" t="str">
        <f>HYPERLINK("https://www.spark-marketing.ru/Card/Person/6625328", "Небаева Елена Викторовна")</f>
        <v>Небаева Елена Викторовна</v>
      </c>
      <c r="K15179" s="24" t="s">
        <v>20066</v>
      </c>
      <c r="L15179" s="22" t="s">
        <v>10</v>
      </c>
      <c r="M15179" s="28" t="s">
        <v>51</v>
      </c>
      <c r="N15179" s="28" t="s">
        <v>51</v>
      </c>
    </row>
    <row r="15180" spans="1:14" x14ac:dyDescent="0.15">
      <c r="A15180" s="23" t="str">
        <f>HYPERLINK("https://www.spark-marketing.ru/Card/Person/4349622", "КГБУЗ ""ДОМ РЕБЕНКА СПЕЦИАЛИЗИРОВАННЫЙ, Г. БАРНАУЛ""")</f>
        <v>КГБУЗ "ДОМ РЕБЕНКА СПЕЦИАЛИЗИРОВАННЫЙ, Г. БАРНАУЛ"</v>
      </c>
      <c r="B15180" s="24" t="s">
        <v>20067</v>
      </c>
      <c r="C15180" s="25">
        <v>336</v>
      </c>
      <c r="D15180" s="22" t="s">
        <v>20068</v>
      </c>
      <c r="E15180" s="22" t="s">
        <v>10080</v>
      </c>
      <c r="F15180" s="23" t="str">
        <f>HYPERLINK("https://www.spark-marketing.ru/Card/Lot/71684045", "Товары, работы или услуги на сумму, не превышающие 100 тыс. руб(п.4 ч.1 ст.93 44ФЗ)")</f>
        <v>Товары, работы или услуги на сумму, не превышающие 100 тыс. руб(п.4 ч.1 ст.93 44ФЗ)</v>
      </c>
      <c r="G15180" s="22" t="s">
        <v>63</v>
      </c>
      <c r="H15180" s="22" t="s">
        <v>177</v>
      </c>
      <c r="I15180" s="26">
        <v>43642.438888888901</v>
      </c>
      <c r="J15180" s="28" t="s">
        <v>51</v>
      </c>
      <c r="K15180" s="28" t="s">
        <v>51</v>
      </c>
      <c r="L15180" s="28" t="s">
        <v>51</v>
      </c>
      <c r="M15180" s="28" t="s">
        <v>51</v>
      </c>
      <c r="N15180" s="28" t="s">
        <v>51</v>
      </c>
    </row>
    <row r="15181" spans="1:14" x14ac:dyDescent="0.15">
      <c r="A15181" s="23" t="str">
        <f>HYPERLINK("https://www.spark-marketing.ru/Card/Person/4929568", "ОМВД РОССИИ ПО СОВЕТСКОМУ РАЙОНУ Г РЯЗАНИ")</f>
        <v>ОМВД РОССИИ ПО СОВЕТСКОМУ РАЙОНУ Г РЯЗАНИ</v>
      </c>
      <c r="B15181" s="24" t="s">
        <v>20060</v>
      </c>
      <c r="C15181" s="25">
        <v>51480</v>
      </c>
      <c r="D15181" s="22" t="s">
        <v>20069</v>
      </c>
      <c r="E15181" s="22" t="s">
        <v>96</v>
      </c>
      <c r="F15181" s="23" t="str">
        <f>HYPERLINK("https://www.spark-marketing.ru/Card/Lot/71684684",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5181" s="22" t="s">
        <v>1522</v>
      </c>
      <c r="H15181" s="22" t="s">
        <v>1523</v>
      </c>
      <c r="I15181" s="26">
        <v>43642.457337963002</v>
      </c>
      <c r="J15181" s="28" t="s">
        <v>51</v>
      </c>
      <c r="K15181" s="28" t="s">
        <v>51</v>
      </c>
      <c r="L15181" s="28" t="s">
        <v>51</v>
      </c>
      <c r="M15181" s="28" t="s">
        <v>51</v>
      </c>
      <c r="N15181" s="28" t="s">
        <v>51</v>
      </c>
    </row>
    <row r="15182" spans="1:14" x14ac:dyDescent="0.15">
      <c r="A15182" s="23" t="str">
        <f>HYPERLINK("https://www.spark-marketing.ru/Card/Person/1397254", "МАДОУ ""КАТЮША""")</f>
        <v>МАДОУ "КАТЮША"</v>
      </c>
      <c r="B15182" s="24" t="s">
        <v>20070</v>
      </c>
      <c r="C15182" s="25">
        <v>4743270</v>
      </c>
      <c r="D15182" s="22" t="s">
        <v>20071</v>
      </c>
      <c r="E15182" s="22" t="s">
        <v>580</v>
      </c>
      <c r="F15182" s="23" t="str">
        <f>HYPERLINK("https://www.spark-marketing.ru/Card/Lot/71682457", "оказание услуг по организации горячего питания воспитанников МАДОУ «Катюша»")</f>
        <v>оказание услуг по организации горячего питания воспитанников МАДОУ «Катюша»</v>
      </c>
      <c r="G15182" s="22" t="s">
        <v>1056</v>
      </c>
      <c r="H15182" s="22" t="s">
        <v>1056</v>
      </c>
      <c r="I15182" s="26">
        <v>43642.443136574097</v>
      </c>
      <c r="J15182" s="28" t="s">
        <v>51</v>
      </c>
      <c r="K15182" s="28" t="s">
        <v>51</v>
      </c>
      <c r="L15182" s="28" t="s">
        <v>51</v>
      </c>
      <c r="M15182" s="28" t="s">
        <v>51</v>
      </c>
      <c r="N15182" s="28" t="s">
        <v>51</v>
      </c>
    </row>
    <row r="15183" spans="1:14" x14ac:dyDescent="0.15">
      <c r="A15183" s="23" t="str">
        <f>HYPERLINK("https://www.spark-marketing.ru/Card/Person/1018661", "МКОУ ОЗЕРСКАЯ СОШ ИМ.СЕРГЕЯ АНИКИНА")</f>
        <v>МКОУ ОЗЕРСКАЯ СОШ ИМ.СЕРГЕЯ АНИКИНА</v>
      </c>
      <c r="B15183" s="24" t="s">
        <v>20072</v>
      </c>
      <c r="C15183" s="25">
        <v>16600</v>
      </c>
      <c r="D15183" s="22" t="s">
        <v>20073</v>
      </c>
      <c r="E15183" s="22" t="s">
        <v>3907</v>
      </c>
      <c r="F15183" s="23" t="str">
        <f>HYPERLINK("https://www.spark-marketing.ru/Card/Lot/71696827", "Приобретение продуктов питания (рыба свежемороженая (минтай)) для нужд МКОУ Озерская СОШ им. Сергея Аникина у субъектов малого предпринимательства и социально ориентированных некоммерческих организаций")</f>
        <v>Приобретение продуктов питания (рыба свежемороженая (минтай)) для нужд МКОУ Озерская СОШ им. Сергея Аникина у субъектов малого предпринимательства и социально ориентированных некоммерческих организаций</v>
      </c>
      <c r="G15183" s="22" t="s">
        <v>82</v>
      </c>
      <c r="H15183" s="22" t="s">
        <v>82</v>
      </c>
      <c r="I15183" s="26">
        <v>43642.4243055556</v>
      </c>
      <c r="J15183" s="28" t="s">
        <v>51</v>
      </c>
      <c r="K15183" s="28" t="s">
        <v>51</v>
      </c>
      <c r="L15183" s="28" t="s">
        <v>51</v>
      </c>
      <c r="M15183" s="28" t="s">
        <v>51</v>
      </c>
      <c r="N15183" s="28" t="s">
        <v>51</v>
      </c>
    </row>
    <row r="15184" spans="1:14" ht="12.75" hidden="1" outlineLevel="1" x14ac:dyDescent="0.2">
      <c r="A15184" s="23" t="str">
        <f>HYPERLINK("https://www.spark-marketing.ru/Card/Person/1018661", "МКОУ ОЗЕРСКАЯ СОШ ИМ.СЕРГЕЯ АНИКИНА")</f>
        <v>МКОУ ОЗЕРСКАЯ СОШ ИМ.СЕРГЕЯ АНИКИНА</v>
      </c>
      <c r="B15184" s="24" t="s">
        <v>20072</v>
      </c>
      <c r="C15184" s="25">
        <v>16600</v>
      </c>
      <c r="D15184" s="22" t="s">
        <v>20073</v>
      </c>
      <c r="E15184" s="22" t="s">
        <v>3907</v>
      </c>
      <c r="F15184" s="23" t="str">
        <f>HYPERLINK("https://www.spark-marketing.ru/Card/Lot/71696827", "Приобретение продуктов питания (рыба свежемороженая (минтай)) для нужд МКОУ Озерская СОШ им. Сергея Аникина у субъектов малого предпринимательства и социально ориентированных некоммерческих организаций")</f>
        <v>Приобретение продуктов питания (рыба свежемороженая (минтай)) для нужд МКОУ Озерская СОШ им. Сергея Аникина у субъектов малого предпринимательства и социально ориентированных некоммерческих организаций</v>
      </c>
      <c r="G15184" s="22" t="s">
        <v>82</v>
      </c>
      <c r="H15184" s="22" t="s">
        <v>82</v>
      </c>
      <c r="I15184" s="26">
        <v>43642.4243055556</v>
      </c>
      <c r="J15184" s="23" t="str">
        <f>HYPERLINK("https://www.spark-marketing.ru/Card/Person/1151519", "Колесниченко Тамара Михайловна")</f>
        <v>Колесниченко Тамара Михайловна</v>
      </c>
      <c r="K15184" s="24" t="s">
        <v>20074</v>
      </c>
      <c r="L15184" s="22" t="s">
        <v>10</v>
      </c>
      <c r="M15184" s="25">
        <v>14900</v>
      </c>
      <c r="N15184" s="27">
        <v>0.10240963855421686</v>
      </c>
    </row>
    <row r="15185" spans="1:14" hidden="1" outlineLevel="1" x14ac:dyDescent="0.2">
      <c r="A15185" s="23" t="str">
        <f>HYPERLINK("https://www.spark-marketing.ru/Card/Person/1018661", "МКОУ ОЗЕРСКАЯ СОШ ИМ.СЕРГЕЯ АНИКИНА")</f>
        <v>МКОУ ОЗЕРСКАЯ СОШ ИМ.СЕРГЕЯ АНИКИНА</v>
      </c>
      <c r="B15185" s="24" t="s">
        <v>20072</v>
      </c>
      <c r="C15185" s="25">
        <v>16600</v>
      </c>
      <c r="D15185" s="22" t="s">
        <v>20073</v>
      </c>
      <c r="E15185" s="22" t="s">
        <v>3907</v>
      </c>
      <c r="F15185" s="23" t="str">
        <f>HYPERLINK("https://www.spark-marketing.ru/Card/Lot/71696827", "Приобретение продуктов питания (рыба свежемороженая (минтай)) для нужд МКОУ Озерская СОШ им. Сергея Аникина у субъектов малого предпринимательства и социально ориентированных некоммерческих организаций")</f>
        <v>Приобретение продуктов питания (рыба свежемороженая (минтай)) для нужд МКОУ Озерская СОШ им. Сергея Аникина у субъектов малого предпринимательства и социально ориентированных некоммерческих организаций</v>
      </c>
      <c r="G15185" s="22" t="s">
        <v>82</v>
      </c>
      <c r="H15185" s="22" t="s">
        <v>82</v>
      </c>
      <c r="I15185" s="26">
        <v>43642.4243055556</v>
      </c>
      <c r="J15185" s="23" t="str">
        <f>HYPERLINK("https://www.spark-marketing.ru/Card/Person/304776", "ООО ""ПРЕМИУМ""")</f>
        <v>ООО "ПРЕМИУМ"</v>
      </c>
      <c r="K15185" s="24" t="s">
        <v>20075</v>
      </c>
      <c r="L15185" s="28" t="s">
        <v>51</v>
      </c>
      <c r="M15185" s="25">
        <v>15000</v>
      </c>
      <c r="N15185" s="27">
        <v>9.6385542168674704E-2</v>
      </c>
    </row>
    <row r="15186" spans="1:14" ht="12.75" x14ac:dyDescent="0.2">
      <c r="A15186" s="23" t="str">
        <f>HYPERLINK("https://www.spark-marketing.ru/Card/Person/4349251", "МБОУ СШ № 47")</f>
        <v>МБОУ СШ № 47</v>
      </c>
      <c r="B15186" s="24" t="s">
        <v>20076</v>
      </c>
      <c r="C15186" s="25">
        <v>3560156</v>
      </c>
      <c r="D15186" s="22" t="s">
        <v>20077</v>
      </c>
      <c r="E15186" s="22" t="s">
        <v>48</v>
      </c>
      <c r="F15186" s="23" t="str">
        <f>HYPERLINK("https://www.spark-marketing.ru/Card/Lot/71692758", "Оказание услуг по организации горячего питания")</f>
        <v>Оказание услуг по организации горячего питания</v>
      </c>
      <c r="G15186" s="22" t="s">
        <v>137</v>
      </c>
      <c r="H15186" s="22" t="s">
        <v>138</v>
      </c>
      <c r="I15186" s="26">
        <v>43642.452777777798</v>
      </c>
      <c r="J15186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5186" s="24" t="s">
        <v>16891</v>
      </c>
      <c r="L15186" s="22" t="s">
        <v>10</v>
      </c>
      <c r="M15186" s="25">
        <v>3560156</v>
      </c>
      <c r="N15186" s="27">
        <v>0</v>
      </c>
    </row>
    <row r="15187" spans="1:14" x14ac:dyDescent="0.15">
      <c r="A15187" s="23" t="str">
        <f>HYPERLINK("https://www.spark-marketing.ru/Card/Person/4341", "ГУ-КИРОВСКОЕ РО ФОНДА СОЦИАЛЬНОГО СТРАХОВАНИЯ РОССИЙСКОЙ ФЕДЕРАЦИИ")</f>
        <v>ГУ-КИРОВСКОЕ РО ФОНДА СОЦИАЛЬНОГО СТРАХОВАНИЯ РОССИЙСКОЙ ФЕДЕРАЦИИ</v>
      </c>
      <c r="B15187" s="24" t="s">
        <v>4330</v>
      </c>
      <c r="C15187" s="25">
        <v>8316448.5599999996</v>
      </c>
      <c r="D15187" s="22" t="s">
        <v>20078</v>
      </c>
      <c r="E15187" s="22" t="s">
        <v>86</v>
      </c>
      <c r="F15187" s="23" t="str">
        <f>HYPERLINK("https://www.spark-marketing.ru/Card/Lot/71711149", "оказание услуг по санаторно-курортному лечению граждан-получателей государственной социальной помощи в виде набора социальных услуг, в том числе, детей-инвалидов и сопровождающих лиц, по профилям заболеваний: болезни эндокринной системы, расстройство...")</f>
        <v>оказание услуг по санаторно-курортному лечению граждан-получателей государственной социальной помощи в виде набора социальных услуг, в том числе, детей-инвалидов и сопровождающих лиц, по профилям заболеваний: болезни эндокринной системы, расстройство...</v>
      </c>
      <c r="G15187" s="22" t="s">
        <v>224</v>
      </c>
      <c r="H15187" s="22" t="s">
        <v>225</v>
      </c>
      <c r="I15187" s="26">
        <v>43642.435416666704</v>
      </c>
      <c r="J15187" s="23" t="str">
        <f>HYPERLINK("https://www.spark-marketing.ru/Card/Person/273531", "ООО САНАТОРИЙ ""АВИТЕК""")</f>
        <v>ООО САНАТОРИЙ "АВИТЕК"</v>
      </c>
      <c r="K15187" s="24" t="s">
        <v>4332</v>
      </c>
      <c r="L15187" s="22" t="s">
        <v>10</v>
      </c>
      <c r="M15187" s="28" t="s">
        <v>51</v>
      </c>
      <c r="N15187" s="28" t="s">
        <v>51</v>
      </c>
    </row>
    <row r="15188" spans="1:14" x14ac:dyDescent="0.15">
      <c r="A15188" s="23" t="str">
        <f>HYPERLINK("https://www.spark-marketing.ru/Card/Person/26610", "ФКУ ИК-25 ГУФСИН РОССИИ ПО ИРКУТСКОЙ ОБЛАСТИ")</f>
        <v>ФКУ ИК-25 ГУФСИН РОССИИ ПО ИРКУТСКОЙ ОБЛАСТИ</v>
      </c>
      <c r="B15188" s="24" t="s">
        <v>20079</v>
      </c>
      <c r="C15188" s="25">
        <v>21500</v>
      </c>
      <c r="D15188" s="22" t="s">
        <v>20080</v>
      </c>
      <c r="E15188" s="22" t="s">
        <v>20081</v>
      </c>
      <c r="F15188" s="23" t="str">
        <f>HYPERLINK("https://www.spark-marketing.ru/Card/Lot/71677712", "поставка материалов для восстановления сервера №1 ИСБ ""Пахра-М"" (прочая закупка товаров, работ и услуг);")</f>
        <v>поставка материалов для восстановления сервера №1 ИСБ "Пахра-М" (прочая закупка товаров, работ и услуг);</v>
      </c>
      <c r="G15188" s="22" t="s">
        <v>263</v>
      </c>
      <c r="H15188" s="22" t="s">
        <v>20082</v>
      </c>
      <c r="I15188" s="26">
        <v>43642.416666666701</v>
      </c>
      <c r="J15188" s="23" t="str">
        <f>HYPERLINK("https://www.spark-marketing.ru/Card/Person/294049", "ООО ""ИНЖЕНЕРНЫЕ СИСТЕМЫ""")</f>
        <v>ООО "ИНЖЕНЕРНЫЕ СИСТЕМЫ"</v>
      </c>
      <c r="K15188" s="24" t="s">
        <v>9137</v>
      </c>
      <c r="L15188" s="22" t="s">
        <v>10</v>
      </c>
      <c r="M15188" s="28" t="s">
        <v>51</v>
      </c>
      <c r="N15188" s="28" t="s">
        <v>51</v>
      </c>
    </row>
    <row r="15189" spans="1:14" x14ac:dyDescent="0.15">
      <c r="A15189" s="23" t="str">
        <f>HYPERLINK("https://www.spark-marketing.ru/Card/Person/128460", "ОГБУЗ ""ДИБ ИМ. Г.Е. СИБИРЦЕВА""")</f>
        <v>ОГБУЗ "ДИБ ИМ. Г.Е. СИБИРЦЕВА"</v>
      </c>
      <c r="B15189" s="24" t="s">
        <v>16063</v>
      </c>
      <c r="C15189" s="25">
        <v>93836.06</v>
      </c>
      <c r="D15189" s="22" t="s">
        <v>20083</v>
      </c>
      <c r="E15189" s="22" t="s">
        <v>48</v>
      </c>
      <c r="F15189" s="23" t="str">
        <f>HYPERLINK("https://www.spark-marketing.ru/Card/Lot/71684209", "Оказание услуг по организации питания пациентов ОГБУЗ «Детская инфекционная больница имени Г.Е.Сибирцева»")</f>
        <v>Оказание услуг по организации питания пациентов ОГБУЗ «Детская инфекционная больница имени Г.Е.Сибирцева»</v>
      </c>
      <c r="G15189" s="22" t="s">
        <v>149</v>
      </c>
      <c r="H15189" s="22" t="s">
        <v>496</v>
      </c>
      <c r="I15189" s="26">
        <v>43642.448611111096</v>
      </c>
      <c r="J15189" s="28" t="s">
        <v>51</v>
      </c>
      <c r="K15189" s="28" t="s">
        <v>51</v>
      </c>
      <c r="L15189" s="28" t="s">
        <v>51</v>
      </c>
      <c r="M15189" s="28" t="s">
        <v>51</v>
      </c>
      <c r="N15189" s="28" t="s">
        <v>51</v>
      </c>
    </row>
    <row r="15190" spans="1:14" ht="12.75" x14ac:dyDescent="0.2">
      <c r="A15190" s="23" t="str">
        <f>HYPERLINK("https://www.spark-marketing.ru/Card/Person/59465", "МБОУ СОШ № 1")</f>
        <v>МБОУ СОШ № 1</v>
      </c>
      <c r="B15190" s="24" t="s">
        <v>20084</v>
      </c>
      <c r="C15190" s="25">
        <v>2137550</v>
      </c>
      <c r="D15190" s="22" t="s">
        <v>20085</v>
      </c>
      <c r="E15190" s="22" t="s">
        <v>48</v>
      </c>
      <c r="F15190" s="23" t="str">
        <f>HYPERLINK("https://www.spark-marketing.ru/Card/Lot/71692944", "Оказание услуг по организации питания для льготных категорий обучающихся и обеспечение молоком (кисломолочными продуктами) обучающихся 1-4 классов")</f>
        <v>Оказание услуг по организации питания для льготных категорий обучающихся и обеспечение молоком (кисломолочными продуктами) обучающихся 1-4 классов</v>
      </c>
      <c r="G15190" s="22" t="s">
        <v>162</v>
      </c>
      <c r="H15190" s="22" t="s">
        <v>10137</v>
      </c>
      <c r="I15190" s="26">
        <v>43642.375694444403</v>
      </c>
      <c r="J15190" s="23" t="str">
        <f>HYPERLINK("https://www.spark-marketing.ru/Card/Person/42095", "ООО ""КОМБИНАТ СОЦИАЛЬНОГО ПИТАНИЯ""")</f>
        <v>ООО "КОМБИНАТ СОЦИАЛЬНОГО ПИТАНИЯ"</v>
      </c>
      <c r="K15190" s="24" t="s">
        <v>12318</v>
      </c>
      <c r="L15190" s="22" t="s">
        <v>10</v>
      </c>
      <c r="M15190" s="25">
        <v>2137550</v>
      </c>
      <c r="N15190" s="27">
        <v>0</v>
      </c>
    </row>
    <row r="15191" spans="1:14" x14ac:dyDescent="0.15">
      <c r="A15191" s="23" t="str">
        <f>HYPERLINK("https://www.spark-marketing.ru/Card/Person/4365569", "ФГУП ""РОСМОРПОРТ""")</f>
        <v>ФГУП "РОСМОРПОРТ"</v>
      </c>
      <c r="B15191" s="24" t="s">
        <v>1266</v>
      </c>
      <c r="C15191" s="28" t="s">
        <v>51</v>
      </c>
      <c r="D15191" s="22" t="s">
        <v>20086</v>
      </c>
      <c r="E15191" s="22" t="s">
        <v>860</v>
      </c>
      <c r="F15191" s="23" t="str">
        <f>HYPERLINK("https://www.spark-marketing.ru/Card/Lot/74010097", "Услуги по поставке продуктов питания по утвержденным нормам для судов Туапсинского управления")</f>
        <v>Услуги по поставке продуктов питания по утвержденным нормам для судов Туапсинского управления</v>
      </c>
      <c r="G15191" s="22" t="s">
        <v>104</v>
      </c>
      <c r="H15191" s="22" t="s">
        <v>1721</v>
      </c>
      <c r="I15191" s="26">
        <v>43642.3930555556</v>
      </c>
      <c r="J15191" s="28" t="s">
        <v>51</v>
      </c>
      <c r="K15191" s="28" t="s">
        <v>51</v>
      </c>
      <c r="L15191" s="28" t="s">
        <v>51</v>
      </c>
      <c r="M15191" s="28" t="s">
        <v>51</v>
      </c>
      <c r="N15191" s="28" t="s">
        <v>51</v>
      </c>
    </row>
    <row r="15192" spans="1:14" x14ac:dyDescent="0.2">
      <c r="A15192" s="23" t="str">
        <f>HYPERLINK("https://www.spark-marketing.ru/Card/Person/4701510", "МАУ ГОЩ ФОК")</f>
        <v>МАУ ГОЩ ФОК</v>
      </c>
      <c r="B15192" s="24" t="s">
        <v>20087</v>
      </c>
      <c r="C15192" s="25">
        <v>466975</v>
      </c>
      <c r="D15192" s="22" t="s">
        <v>20088</v>
      </c>
      <c r="E15192" s="22" t="s">
        <v>20089</v>
      </c>
      <c r="F15192" s="23" t="str">
        <f>HYPERLINK("https://www.spark-marketing.ru/Card/Lot/71683803", "Оказание услуг по организации питания на мероприятиях, проводимых МАУ ГПЩ «ФОК» в соответствии с Календарным планом физкультурно-оздоровительных и спортивно массовых мероприятий на 2019 год.")</f>
        <v>Оказание услуг по организации питания на мероприятиях, проводимых МАУ ГПЩ «ФОК» в соответствии с Календарным планом физкультурно-оздоровительных и спортивно массовых мероприятий на 2019 год.</v>
      </c>
      <c r="G15192" s="22" t="s">
        <v>49</v>
      </c>
      <c r="H15192" s="22" t="s">
        <v>49</v>
      </c>
      <c r="I15192" s="26">
        <v>43642.381990740701</v>
      </c>
      <c r="J15192" s="28" t="s">
        <v>51</v>
      </c>
      <c r="K15192" s="28" t="s">
        <v>51</v>
      </c>
      <c r="L15192" s="22" t="s">
        <v>10</v>
      </c>
      <c r="M15192" s="25">
        <v>443629.02</v>
      </c>
      <c r="N15192" s="27">
        <v>4.9994068204936022E-2</v>
      </c>
    </row>
    <row r="15193" spans="1:14" x14ac:dyDescent="0.15">
      <c r="A15193" s="23" t="str">
        <f>HYPERLINK("https://www.spark-marketing.ru/Card/Person/5461", "КГБОУ ""КАДЕТСКАЯ ШКОЛА-ИНТЕРНАТ ""АЛТАЙСКИЙ КАДЕТСКИЙ КОРПУС""")</f>
        <v>КГБОУ "КАДЕТСКАЯ ШКОЛА-ИНТЕРНАТ "АЛТАЙСКИЙ КАДЕТСКИЙ КОРПУС"</v>
      </c>
      <c r="B15193" s="24" t="s">
        <v>20090</v>
      </c>
      <c r="C15193" s="25">
        <v>5605233</v>
      </c>
      <c r="D15193" s="22" t="s">
        <v>20091</v>
      </c>
      <c r="E15193" s="22" t="s">
        <v>48</v>
      </c>
      <c r="F15193" s="23" t="str">
        <f>HYPERLINK("https://www.spark-marketing.ru/Card/Lot/71678791", "Оказание услуг по организации горячего питания")</f>
        <v>Оказание услуг по организации горячего питания</v>
      </c>
      <c r="G15193" s="22" t="s">
        <v>63</v>
      </c>
      <c r="H15193" s="22" t="s">
        <v>20092</v>
      </c>
      <c r="I15193" s="26">
        <v>43642.40625</v>
      </c>
      <c r="J15193" s="23" t="str">
        <f>HYPERLINK("https://www.spark-marketing.ru/Card/Person/876590", "МБОУ СОШ ГО ЗАТО СИБИРСКИЙ АЛТАЙСКОГО КРАЯ")</f>
        <v>МБОУ СОШ ГО ЗАТО СИБИРСКИЙ АЛТАЙСКОГО КРАЯ</v>
      </c>
      <c r="K15193" s="24" t="s">
        <v>20093</v>
      </c>
      <c r="L15193" s="22" t="s">
        <v>10</v>
      </c>
      <c r="M15193" s="28" t="s">
        <v>51</v>
      </c>
      <c r="N15193" s="28" t="s">
        <v>51</v>
      </c>
    </row>
    <row r="15194" spans="1:14" x14ac:dyDescent="0.15">
      <c r="A15194" s="23" t="str">
        <f>HYPERLINK("https://www.spark-marketing.ru/Card/Person/163598", "ОТДЕЛ МВД РОССИИ ПО ГЕОРГИЕВСКОМУ ГОРОДСКОМУ ОКРУГУ")</f>
        <v>ОТДЕЛ МВД РОССИИ ПО ГЕОРГИЕВСКОМУ ГОРОДСКОМУ ОКРУГУ</v>
      </c>
      <c r="B15194" s="24" t="s">
        <v>3076</v>
      </c>
      <c r="C15194" s="25">
        <v>2060000</v>
      </c>
      <c r="D15194" s="22" t="s">
        <v>20094</v>
      </c>
      <c r="E15194" s="22" t="s">
        <v>48</v>
      </c>
      <c r="F15194" s="23" t="str">
        <f>HYPERLINK("https://www.spark-marketing.ru/Card/Lot/71692885", "Оказание услуг по организации питания лиц, содержащихся в ИВС и Спецприемнике")</f>
        <v>Оказание услуг по организации питания лиц, содержащихся в ИВС и Спецприемнике</v>
      </c>
      <c r="G15194" s="22" t="s">
        <v>87</v>
      </c>
      <c r="H15194" s="22" t="s">
        <v>3078</v>
      </c>
      <c r="I15194" s="26">
        <v>43642.401388888902</v>
      </c>
      <c r="J15194" s="23" t="str">
        <f>HYPERLINK("https://www.spark-marketing.ru/Card/Person/6489237", "Лихоманова Галина Михайловна")</f>
        <v>Лихоманова Галина Михайловна</v>
      </c>
      <c r="K15194" s="24" t="s">
        <v>3079</v>
      </c>
      <c r="L15194" s="28" t="s">
        <v>51</v>
      </c>
      <c r="M15194" s="28" t="s">
        <v>51</v>
      </c>
      <c r="N15194" s="28" t="s">
        <v>51</v>
      </c>
    </row>
    <row r="15195" spans="1:14" hidden="1" outlineLevel="1" x14ac:dyDescent="0.15">
      <c r="A15195" s="23" t="str">
        <f>HYPERLINK("https://www.spark-marketing.ru/Card/Person/163598", "ОТДЕЛ МВД РОССИИ ПО ГЕОРГИЕВСКОМУ ГОРОДСКОМУ ОКРУГУ")</f>
        <v>ОТДЕЛ МВД РОССИИ ПО ГЕОРГИЕВСКОМУ ГОРОДСКОМУ ОКРУГУ</v>
      </c>
      <c r="B15195" s="24" t="s">
        <v>3076</v>
      </c>
      <c r="C15195" s="25">
        <v>2060000</v>
      </c>
      <c r="D15195" s="22" t="s">
        <v>20094</v>
      </c>
      <c r="E15195" s="22" t="s">
        <v>48</v>
      </c>
      <c r="F15195" s="23" t="str">
        <f>HYPERLINK("https://www.spark-marketing.ru/Card/Lot/71692885", "Оказание услуг по организации питания лиц, содержащихся в ИВС и Спецприемнике")</f>
        <v>Оказание услуг по организации питания лиц, содержащихся в ИВС и Спецприемнике</v>
      </c>
      <c r="G15195" s="22" t="s">
        <v>87</v>
      </c>
      <c r="H15195" s="22" t="s">
        <v>3078</v>
      </c>
      <c r="I15195" s="26">
        <v>43642.401388888902</v>
      </c>
      <c r="J15195" s="23" t="str">
        <f>HYPERLINK("https://www.spark-marketing.ru/Card/Person/6489237", "Лихоманова Галина Михайловна")</f>
        <v>Лихоманова Галина Михайловна</v>
      </c>
      <c r="K15195" s="24" t="s">
        <v>3079</v>
      </c>
      <c r="L15195" s="22" t="s">
        <v>10</v>
      </c>
      <c r="M15195" s="28" t="s">
        <v>51</v>
      </c>
      <c r="N15195" s="28" t="s">
        <v>51</v>
      </c>
    </row>
    <row r="15196" spans="1:14" x14ac:dyDescent="0.15">
      <c r="A15196" s="23" t="str">
        <f>HYPERLINK("https://www.spark-marketing.ru/Card/Person/1018661", "МКОУ ОЗЕРСКАЯ СОШ ИМ.СЕРГЕЯ АНИКИНА")</f>
        <v>МКОУ ОЗЕРСКАЯ СОШ ИМ.СЕРГЕЯ АНИКИНА</v>
      </c>
      <c r="B15196" s="24" t="s">
        <v>20072</v>
      </c>
      <c r="C15196" s="25">
        <v>53082.5</v>
      </c>
      <c r="D15196" s="22" t="s">
        <v>20095</v>
      </c>
      <c r="E15196" s="22" t="s">
        <v>20096</v>
      </c>
      <c r="F15196" s="23" t="str">
        <f>HYPERLINK("https://www.spark-marketing.ru/Card/Lot/71685226", "приобретение продуктов питания (грудка куриная) для нужд МКОУ Озерская СОШ им. Сергея Аникина у субъектов малого предпринимательства и социально ориентированных некоммерческих организаций")</f>
        <v>приобретение продуктов питания (грудка куриная) для нужд МКОУ Озерская СОШ им. Сергея Аникина у субъектов малого предпринимательства и социально ориентированных некоммерческих организаций</v>
      </c>
      <c r="G15196" s="22" t="s">
        <v>82</v>
      </c>
      <c r="H15196" s="22" t="s">
        <v>82</v>
      </c>
      <c r="I15196" s="26">
        <v>43642.409027777801</v>
      </c>
      <c r="J15196" s="28" t="s">
        <v>51</v>
      </c>
      <c r="K15196" s="28" t="s">
        <v>51</v>
      </c>
      <c r="L15196" s="28" t="s">
        <v>51</v>
      </c>
      <c r="M15196" s="28" t="s">
        <v>51</v>
      </c>
      <c r="N15196" s="28" t="s">
        <v>51</v>
      </c>
    </row>
    <row r="15197" spans="1:14" ht="12.75" hidden="1" outlineLevel="1" x14ac:dyDescent="0.2">
      <c r="A15197" s="23" t="str">
        <f>HYPERLINK("https://www.spark-marketing.ru/Card/Person/1018661", "МКОУ ОЗЕРСКАЯ СОШ ИМ.СЕРГЕЯ АНИКИНА")</f>
        <v>МКОУ ОЗЕРСКАЯ СОШ ИМ.СЕРГЕЯ АНИКИНА</v>
      </c>
      <c r="B15197" s="24" t="s">
        <v>20072</v>
      </c>
      <c r="C15197" s="25">
        <v>53082.5</v>
      </c>
      <c r="D15197" s="22" t="s">
        <v>20095</v>
      </c>
      <c r="E15197" s="22" t="s">
        <v>20096</v>
      </c>
      <c r="F15197" s="23" t="str">
        <f>HYPERLINK("https://www.spark-marketing.ru/Card/Lot/71685226", "приобретение продуктов питания (грудка куриная) для нужд МКОУ Озерская СОШ им. Сергея Аникина у субъектов малого предпринимательства и социально ориентированных некоммерческих организаций")</f>
        <v>приобретение продуктов питания (грудка куриная) для нужд МКОУ Озерская СОШ им. Сергея Аникина у субъектов малого предпринимательства и социально ориентированных некоммерческих организаций</v>
      </c>
      <c r="G15197" s="22" t="s">
        <v>82</v>
      </c>
      <c r="H15197" s="22" t="s">
        <v>82</v>
      </c>
      <c r="I15197" s="26">
        <v>43642.409027777801</v>
      </c>
      <c r="J15197" s="23" t="str">
        <f>HYPERLINK("https://www.spark-marketing.ru/Card/Person/1263721", "Быкова Нина Васильевна")</f>
        <v>Быкова Нина Васильевна</v>
      </c>
      <c r="K15197" s="24" t="s">
        <v>20097</v>
      </c>
      <c r="L15197" s="22" t="s">
        <v>10</v>
      </c>
      <c r="M15197" s="25">
        <v>49225</v>
      </c>
      <c r="N15197" s="27">
        <v>7.2669900626383455E-2</v>
      </c>
    </row>
    <row r="15198" spans="1:14" hidden="1" outlineLevel="1" x14ac:dyDescent="0.2">
      <c r="A15198" s="23" t="str">
        <f>HYPERLINK("https://www.spark-marketing.ru/Card/Person/1018661", "МКОУ ОЗЕРСКАЯ СОШ ИМ.СЕРГЕЯ АНИКИНА")</f>
        <v>МКОУ ОЗЕРСКАЯ СОШ ИМ.СЕРГЕЯ АНИКИНА</v>
      </c>
      <c r="B15198" s="24" t="s">
        <v>20072</v>
      </c>
      <c r="C15198" s="25">
        <v>53082.5</v>
      </c>
      <c r="D15198" s="22" t="s">
        <v>20095</v>
      </c>
      <c r="E15198" s="22" t="s">
        <v>20096</v>
      </c>
      <c r="F15198" s="23" t="str">
        <f>HYPERLINK("https://www.spark-marketing.ru/Card/Lot/71685226", "приобретение продуктов питания (грудка куриная) для нужд МКОУ Озерская СОШ им. Сергея Аникина у субъектов малого предпринимательства и социально ориентированных некоммерческих организаций")</f>
        <v>приобретение продуктов питания (грудка куриная) для нужд МКОУ Озерская СОШ им. Сергея Аникина у субъектов малого предпринимательства и социально ориентированных некоммерческих организаций</v>
      </c>
      <c r="G15198" s="22" t="s">
        <v>82</v>
      </c>
      <c r="H15198" s="22" t="s">
        <v>82</v>
      </c>
      <c r="I15198" s="26">
        <v>43642.409027777801</v>
      </c>
      <c r="J15198" s="23" t="str">
        <f>HYPERLINK("https://www.spark-marketing.ru/Card/Person/304776", "ООО ""ПРЕМИУМ""")</f>
        <v>ООО "ПРЕМИУМ"</v>
      </c>
      <c r="K15198" s="24" t="s">
        <v>20075</v>
      </c>
      <c r="L15198" s="28" t="s">
        <v>51</v>
      </c>
      <c r="M15198" s="25">
        <v>52500</v>
      </c>
      <c r="N15198" s="27">
        <v>1.0973484670089012E-2</v>
      </c>
    </row>
    <row r="15199" spans="1:14" x14ac:dyDescent="0.15">
      <c r="A15199" s="23" t="str">
        <f>HYPERLINK("https://www.spark-marketing.ru/Card/Person/133438", "ГОКУ СКШ № 11 Г. ИРКУТСКА")</f>
        <v>ГОКУ СКШ № 11 Г. ИРКУТСКА</v>
      </c>
      <c r="B15199" s="24" t="s">
        <v>20098</v>
      </c>
      <c r="C15199" s="25">
        <v>1232400</v>
      </c>
      <c r="D15199" s="22" t="s">
        <v>20099</v>
      </c>
      <c r="E15199" s="22" t="s">
        <v>48</v>
      </c>
      <c r="F15199" s="23" t="str">
        <f>HYPERLINK("https://www.spark-marketing.ru/Card/Lot/71677624", "Услуги по обеспечению питанием, осуществляемые по договору")</f>
        <v>Услуги по обеспечению питанием, осуществляемые по договору</v>
      </c>
      <c r="G15199" s="22" t="s">
        <v>263</v>
      </c>
      <c r="H15199" s="22" t="s">
        <v>2768</v>
      </c>
      <c r="I15199" s="26">
        <v>43642.390972222202</v>
      </c>
      <c r="J15199" s="23" t="str">
        <f>HYPERLINK("https://www.spark-marketing.ru/Card/Person/233976", "ООО ""КАРИ""")</f>
        <v>ООО "КАРИ"</v>
      </c>
      <c r="K15199" s="24" t="s">
        <v>11344</v>
      </c>
      <c r="L15199" s="22" t="s">
        <v>10</v>
      </c>
      <c r="M15199" s="28" t="s">
        <v>51</v>
      </c>
      <c r="N15199" s="28" t="s">
        <v>51</v>
      </c>
    </row>
    <row r="15200" spans="1:14" x14ac:dyDescent="0.15">
      <c r="A15200" s="23" t="str">
        <f>HYPERLINK("https://www.spark-marketing.ru/Card/Person/163598", "ОТДЕЛ МВД РОССИИ ПО ГЕОРГИЕВСКОМУ ГОРОДСКОМУ ОКРУГУ")</f>
        <v>ОТДЕЛ МВД РОССИИ ПО ГЕОРГИЕВСКОМУ ГОРОДСКОМУ ОКРУГУ</v>
      </c>
      <c r="B15200" s="24" t="s">
        <v>3076</v>
      </c>
      <c r="C15200" s="25">
        <v>2060000</v>
      </c>
      <c r="D15200" s="22" t="s">
        <v>20100</v>
      </c>
      <c r="E15200" s="22" t="s">
        <v>48</v>
      </c>
      <c r="F15200" s="23" t="str">
        <f>HYPERLINK("https://www.spark-marketing.ru/Card/Lot/71692884", "Оказание услуг по организации питания лиц, содержащихся в ИВС и Спецприемнике")</f>
        <v>Оказание услуг по организации питания лиц, содержащихся в ИВС и Спецприемнике</v>
      </c>
      <c r="G15200" s="22" t="s">
        <v>87</v>
      </c>
      <c r="H15200" s="22" t="s">
        <v>3078</v>
      </c>
      <c r="I15200" s="26">
        <v>43642.402777777803</v>
      </c>
      <c r="J15200" s="23" t="str">
        <f>HYPERLINK("https://www.spark-marketing.ru/Card/Person/6489237", "Лихоманова Галина Михайловна")</f>
        <v>Лихоманова Галина Михайловна</v>
      </c>
      <c r="K15200" s="24" t="s">
        <v>3079</v>
      </c>
      <c r="L15200" s="28" t="s">
        <v>51</v>
      </c>
      <c r="M15200" s="28" t="s">
        <v>51</v>
      </c>
      <c r="N15200" s="28" t="s">
        <v>51</v>
      </c>
    </row>
    <row r="15201" spans="1:14" hidden="1" outlineLevel="1" x14ac:dyDescent="0.15">
      <c r="A15201" s="23" t="str">
        <f>HYPERLINK("https://www.spark-marketing.ru/Card/Person/163598", "ОТДЕЛ МВД РОССИИ ПО ГЕОРГИЕВСКОМУ ГОРОДСКОМУ ОКРУГУ")</f>
        <v>ОТДЕЛ МВД РОССИИ ПО ГЕОРГИЕВСКОМУ ГОРОДСКОМУ ОКРУГУ</v>
      </c>
      <c r="B15201" s="24" t="s">
        <v>3076</v>
      </c>
      <c r="C15201" s="25">
        <v>2060000</v>
      </c>
      <c r="D15201" s="22" t="s">
        <v>20100</v>
      </c>
      <c r="E15201" s="22" t="s">
        <v>48</v>
      </c>
      <c r="F15201" s="23" t="str">
        <f>HYPERLINK("https://www.spark-marketing.ru/Card/Lot/71692884", "Оказание услуг по организации питания лиц, содержащихся в ИВС и Спецприемнике")</f>
        <v>Оказание услуг по организации питания лиц, содержащихся в ИВС и Спецприемнике</v>
      </c>
      <c r="G15201" s="22" t="s">
        <v>87</v>
      </c>
      <c r="H15201" s="22" t="s">
        <v>3078</v>
      </c>
      <c r="I15201" s="26">
        <v>43642.402777777803</v>
      </c>
      <c r="J15201" s="23" t="str">
        <f>HYPERLINK("https://www.spark-marketing.ru/Card/Person/6489237", "Лихоманова Галина Михайловна")</f>
        <v>Лихоманова Галина Михайловна</v>
      </c>
      <c r="K15201" s="24" t="s">
        <v>3079</v>
      </c>
      <c r="L15201" s="22" t="s">
        <v>10</v>
      </c>
      <c r="M15201" s="28" t="s">
        <v>51</v>
      </c>
      <c r="N15201" s="28" t="s">
        <v>51</v>
      </c>
    </row>
    <row r="15202" spans="1:14" x14ac:dyDescent="0.15">
      <c r="A15202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15202" s="24" t="s">
        <v>850</v>
      </c>
      <c r="C15202" s="25">
        <v>2665000</v>
      </c>
      <c r="D15202" s="22" t="s">
        <v>20101</v>
      </c>
      <c r="E15202" s="22" t="s">
        <v>48</v>
      </c>
      <c r="F15202" s="23" t="str">
        <f>HYPERLINK("https://www.spark-marketing.ru/Card/Lot/71680779", "Оказание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продукции")</f>
        <v>Оказание услуг по организации трехразового питания сотрудников, проходящих специальное профессиональное обучение в Центре профессиональной подготовки МВД по Удмуртской Республике, осуществляющегося путем доставки готовой продукции</v>
      </c>
      <c r="G15202" s="22" t="s">
        <v>852</v>
      </c>
      <c r="H15202" s="22" t="s">
        <v>852</v>
      </c>
      <c r="I15202" s="26">
        <v>43642.342361111099</v>
      </c>
      <c r="J15202" s="23" t="str">
        <f>HYPERLINK("https://www.spark-marketing.ru/Card/Person/138888", "ООО ""РАИДА""")</f>
        <v>ООО "РАИДА"</v>
      </c>
      <c r="K15202" s="24" t="s">
        <v>7310</v>
      </c>
      <c r="L15202" s="22" t="s">
        <v>10</v>
      </c>
      <c r="M15202" s="28" t="s">
        <v>51</v>
      </c>
      <c r="N15202" s="28" t="s">
        <v>51</v>
      </c>
    </row>
    <row r="15203" spans="1:14" x14ac:dyDescent="0.15">
      <c r="A15203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15203" s="24" t="s">
        <v>850</v>
      </c>
      <c r="C15203" s="25">
        <v>961303.59</v>
      </c>
      <c r="D15203" s="22" t="s">
        <v>20102</v>
      </c>
      <c r="E15203" s="22" t="s">
        <v>48</v>
      </c>
      <c r="F15203" s="23" t="str">
        <f>HYPERLINK("https://www.spark-marketing.ru/Card/Lot/71680715", "Оказание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МВД по Удмуртской Республике осуществляющегося путем доставки готовой продукции на...")</f>
        <v>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МВД по Удмуртской Республике осуществляющегося путем доставки готовой продукции на...</v>
      </c>
      <c r="G15203" s="22" t="s">
        <v>852</v>
      </c>
      <c r="H15203" s="22" t="s">
        <v>852</v>
      </c>
      <c r="I15203" s="26">
        <v>43642.342361111099</v>
      </c>
      <c r="J15203" s="23" t="str">
        <f>HYPERLINK("https://www.spark-marketing.ru/Card/Person/818589", "Дунаева Елена Евгеньевна")</f>
        <v>Дунаева Елена Евгеньевна</v>
      </c>
      <c r="K15203" s="24" t="s">
        <v>4356</v>
      </c>
      <c r="L15203" s="28" t="s">
        <v>51</v>
      </c>
      <c r="M15203" s="28" t="s">
        <v>51</v>
      </c>
      <c r="N15203" s="28" t="s">
        <v>51</v>
      </c>
    </row>
    <row r="15204" spans="1:14" ht="12.75" hidden="1" outlineLevel="1" x14ac:dyDescent="0.2">
      <c r="A15204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15204" s="24" t="s">
        <v>850</v>
      </c>
      <c r="C15204" s="25">
        <v>961303.59</v>
      </c>
      <c r="D15204" s="22" t="s">
        <v>20102</v>
      </c>
      <c r="E15204" s="22" t="s">
        <v>48</v>
      </c>
      <c r="F15204" s="23" t="str">
        <f>HYPERLINK("https://www.spark-marketing.ru/Card/Lot/71680715", "Оказание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МВД по Удмуртской Республике осуществляющегося путем доставки готовой продукции на...")</f>
        <v>Оказание услуг по организации и обеспечению пятиразовым питанием несовершеннолетних, находящихся в Центре временного содержания для несовершеннолетних правонарушителей МВД по Удмуртской Республике осуществляющегося путем доставки готовой продукции на...</v>
      </c>
      <c r="G15204" s="22" t="s">
        <v>852</v>
      </c>
      <c r="H15204" s="22" t="s">
        <v>852</v>
      </c>
      <c r="I15204" s="26">
        <v>43642.342361111099</v>
      </c>
      <c r="J15204" s="23" t="str">
        <f>HYPERLINK("https://www.spark-marketing.ru/Card/Person/818589", "Дунаева Елена Евгеньевна")</f>
        <v>Дунаева Елена Евгеньевна</v>
      </c>
      <c r="K15204" s="24" t="s">
        <v>4356</v>
      </c>
      <c r="L15204" s="22" t="s">
        <v>10</v>
      </c>
      <c r="M15204" s="25">
        <v>2799.89</v>
      </c>
      <c r="N15204" s="27">
        <v>0.99708740295040399</v>
      </c>
    </row>
    <row r="15205" spans="1:14" x14ac:dyDescent="0.2">
      <c r="A15205" s="23" t="s">
        <v>114</v>
      </c>
      <c r="B15205" s="28" t="s">
        <v>51</v>
      </c>
      <c r="C15205" s="25">
        <v>15008400</v>
      </c>
      <c r="D15205" s="22" t="s">
        <v>20103</v>
      </c>
      <c r="E15205" s="22" t="s">
        <v>48</v>
      </c>
      <c r="F15205" s="23" t="str">
        <f t="shared" ref="F15205:F15210" si="518">HYPERLINK("https://www.spark-marketing.ru/Card/Lot/71693921",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5205" s="22" t="s">
        <v>51</v>
      </c>
      <c r="H15205" s="22" t="s">
        <v>51</v>
      </c>
      <c r="I15205" s="26">
        <v>43642.370833333298</v>
      </c>
      <c r="J15205" s="23" t="str">
        <f t="shared" ref="J15205:J15210" si="519">HYPERLINK("https://www.spark-marketing.ru/Card/Person/76228", "ООО ""ЛИМАН""")</f>
        <v>ООО "ЛИМАН"</v>
      </c>
      <c r="K15205" s="24" t="s">
        <v>16890</v>
      </c>
      <c r="L15205" s="22" t="s">
        <v>10</v>
      </c>
      <c r="M15205" s="25">
        <v>15007400</v>
      </c>
      <c r="N15205" s="27">
        <v>6.6629354228298822E-5</v>
      </c>
    </row>
    <row r="15206" spans="1:14" hidden="1" outlineLevel="1" x14ac:dyDescent="0.2">
      <c r="A15206" s="23" t="str">
        <f>HYPERLINK("https://www.spark-marketing.ru/Card/Person/81768", "МБДОУ ДЕТСКИЙ САД № 107")</f>
        <v>МБДОУ ДЕТСКИЙ САД № 107</v>
      </c>
      <c r="B15206" s="24" t="s">
        <v>20104</v>
      </c>
      <c r="C15206" s="25">
        <v>5970815</v>
      </c>
      <c r="D15206" s="22" t="s">
        <v>20103</v>
      </c>
      <c r="E15206" s="22" t="s">
        <v>48</v>
      </c>
      <c r="F15206" s="23" t="str">
        <f t="shared" si="518"/>
        <v>Оказание услуг по организации питания в дошкольных образовательных учреждениях г. Твери</v>
      </c>
      <c r="G15206" s="22" t="s">
        <v>137</v>
      </c>
      <c r="H15206" s="22" t="s">
        <v>138</v>
      </c>
      <c r="I15206" s="26">
        <v>43642.370833333298</v>
      </c>
      <c r="J15206" s="23" t="str">
        <f t="shared" si="519"/>
        <v>ООО "ЛИМАН"</v>
      </c>
      <c r="K15206" s="24" t="s">
        <v>16890</v>
      </c>
      <c r="L15206" s="22" t="s">
        <v>10</v>
      </c>
      <c r="M15206" s="28" t="s">
        <v>51</v>
      </c>
      <c r="N15206" s="27">
        <v>6.6629354228298822E-5</v>
      </c>
    </row>
    <row r="15207" spans="1:14" hidden="1" outlineLevel="1" x14ac:dyDescent="0.2">
      <c r="A15207" s="23" t="str">
        <f>HYPERLINK("https://www.spark-marketing.ru/Card/Person/87307", "МБДОУ ДЕТСКИЙ САД № 108")</f>
        <v>МБДОУ ДЕТСКИЙ САД № 108</v>
      </c>
      <c r="B15207" s="24" t="s">
        <v>20105</v>
      </c>
      <c r="C15207" s="25">
        <v>3140279</v>
      </c>
      <c r="D15207" s="22" t="s">
        <v>20103</v>
      </c>
      <c r="E15207" s="22" t="s">
        <v>48</v>
      </c>
      <c r="F15207" s="23" t="str">
        <f t="shared" si="518"/>
        <v>Оказание услуг по организации питания в дошкольных образовательных учреждениях г. Твери</v>
      </c>
      <c r="G15207" s="22" t="s">
        <v>137</v>
      </c>
      <c r="H15207" s="22" t="s">
        <v>138</v>
      </c>
      <c r="I15207" s="26">
        <v>43642.370833333298</v>
      </c>
      <c r="J15207" s="23" t="str">
        <f t="shared" si="519"/>
        <v>ООО "ЛИМАН"</v>
      </c>
      <c r="K15207" s="24" t="s">
        <v>16890</v>
      </c>
      <c r="L15207" s="22" t="s">
        <v>10</v>
      </c>
      <c r="M15207" s="28" t="s">
        <v>51</v>
      </c>
      <c r="N15207" s="27">
        <v>6.6629354228298822E-5</v>
      </c>
    </row>
    <row r="15208" spans="1:14" hidden="1" outlineLevel="1" x14ac:dyDescent="0.2">
      <c r="A15208" s="23" t="str">
        <f>HYPERLINK("https://www.spark-marketing.ru/Card/Person/87322", "МБДОУ ДЕТСКИЙ САД № 144")</f>
        <v>МБДОУ ДЕТСКИЙ САД № 144</v>
      </c>
      <c r="B15208" s="24" t="s">
        <v>20106</v>
      </c>
      <c r="C15208" s="25">
        <v>2794261</v>
      </c>
      <c r="D15208" s="22" t="s">
        <v>20103</v>
      </c>
      <c r="E15208" s="22" t="s">
        <v>48</v>
      </c>
      <c r="F15208" s="23" t="str">
        <f t="shared" si="518"/>
        <v>Оказание услуг по организации питания в дошкольных образовательных учреждениях г. Твери</v>
      </c>
      <c r="G15208" s="22" t="s">
        <v>137</v>
      </c>
      <c r="H15208" s="22" t="s">
        <v>138</v>
      </c>
      <c r="I15208" s="26">
        <v>43642.370833333298</v>
      </c>
      <c r="J15208" s="23" t="str">
        <f t="shared" si="519"/>
        <v>ООО "ЛИМАН"</v>
      </c>
      <c r="K15208" s="24" t="s">
        <v>16890</v>
      </c>
      <c r="L15208" s="22" t="s">
        <v>10</v>
      </c>
      <c r="M15208" s="28" t="s">
        <v>51</v>
      </c>
      <c r="N15208" s="27">
        <v>6.6629354228298822E-5</v>
      </c>
    </row>
    <row r="15209" spans="1:14" hidden="1" outlineLevel="1" x14ac:dyDescent="0.2">
      <c r="A15209" s="23" t="str">
        <f>HYPERLINK("https://www.spark-marketing.ru/Card/Person/89128", "МБДОУ ДЕТСКИЙ САД № 79")</f>
        <v>МБДОУ ДЕТСКИЙ САД № 79</v>
      </c>
      <c r="B15209" s="24" t="s">
        <v>20107</v>
      </c>
      <c r="C15209" s="25">
        <v>1618727</v>
      </c>
      <c r="D15209" s="22" t="s">
        <v>20103</v>
      </c>
      <c r="E15209" s="22" t="s">
        <v>48</v>
      </c>
      <c r="F15209" s="23" t="str">
        <f t="shared" si="518"/>
        <v>Оказание услуг по организации питания в дошкольных образовательных учреждениях г. Твери</v>
      </c>
      <c r="G15209" s="22" t="s">
        <v>137</v>
      </c>
      <c r="H15209" s="22" t="s">
        <v>138</v>
      </c>
      <c r="I15209" s="26">
        <v>43642.370833333298</v>
      </c>
      <c r="J15209" s="23" t="str">
        <f t="shared" si="519"/>
        <v>ООО "ЛИМАН"</v>
      </c>
      <c r="K15209" s="24" t="s">
        <v>16890</v>
      </c>
      <c r="L15209" s="22" t="s">
        <v>10</v>
      </c>
      <c r="M15209" s="28" t="s">
        <v>51</v>
      </c>
      <c r="N15209" s="27">
        <v>6.6629354228298822E-5</v>
      </c>
    </row>
    <row r="15210" spans="1:14" hidden="1" outlineLevel="1" x14ac:dyDescent="0.2">
      <c r="A15210" s="23" t="str">
        <f>HYPERLINK("https://www.spark-marketing.ru/Card/Person/89129", "МБДОУ ДЕТСКИЙ САД № 80")</f>
        <v>МБДОУ ДЕТСКИЙ САД № 80</v>
      </c>
      <c r="B15210" s="24" t="s">
        <v>20108</v>
      </c>
      <c r="C15210" s="25">
        <v>1484318</v>
      </c>
      <c r="D15210" s="22" t="s">
        <v>20103</v>
      </c>
      <c r="E15210" s="22" t="s">
        <v>48</v>
      </c>
      <c r="F15210" s="23" t="str">
        <f t="shared" si="518"/>
        <v>Оказание услуг по организации питания в дошкольных образовательных учреждениях г. Твери</v>
      </c>
      <c r="G15210" s="22" t="s">
        <v>137</v>
      </c>
      <c r="H15210" s="22" t="s">
        <v>138</v>
      </c>
      <c r="I15210" s="26">
        <v>43642.370833333298</v>
      </c>
      <c r="J15210" s="23" t="str">
        <f t="shared" si="519"/>
        <v>ООО "ЛИМАН"</v>
      </c>
      <c r="K15210" s="24" t="s">
        <v>16890</v>
      </c>
      <c r="L15210" s="22" t="s">
        <v>10</v>
      </c>
      <c r="M15210" s="28" t="s">
        <v>51</v>
      </c>
      <c r="N15210" s="27">
        <v>6.6629354228298822E-5</v>
      </c>
    </row>
    <row r="15211" spans="1:14" x14ac:dyDescent="0.15">
      <c r="A15211" s="23" t="str">
        <f>HYPERLINK("https://www.spark-marketing.ru/Card/Person/51537", "АППАРАТ ПРАВИТЕЛЬСТВА ПЕРМСКОГО КРАЯ")</f>
        <v>АППАРАТ ПРАВИТЕЛЬСТВА ПЕРМСКОГО КРАЯ</v>
      </c>
      <c r="B15211" s="24" t="s">
        <v>1649</v>
      </c>
      <c r="C15211" s="25">
        <v>5500000</v>
      </c>
      <c r="D15211" s="22" t="s">
        <v>20109</v>
      </c>
      <c r="E15211" s="22" t="s">
        <v>96</v>
      </c>
      <c r="F15211" s="23" t="str">
        <f>HYPERLINK("https://www.spark-marketing.ru/Card/Lot/71678787", "Оказание услуг по организации обслуживания визитов делегаций, официальных мероприятий, проводимых Правительством Пермского края")</f>
        <v>Оказание услуг по организации обслуживания визитов делегаций, официальных мероприятий, проводимых Правительством Пермского края</v>
      </c>
      <c r="G15211" s="22" t="s">
        <v>153</v>
      </c>
      <c r="H15211" s="22" t="s">
        <v>153</v>
      </c>
      <c r="I15211" s="26">
        <v>43642.340277777803</v>
      </c>
      <c r="J15211" s="28" t="s">
        <v>51</v>
      </c>
      <c r="K15211" s="28" t="s">
        <v>51</v>
      </c>
      <c r="L15211" s="28" t="s">
        <v>51</v>
      </c>
      <c r="M15211" s="28" t="s">
        <v>51</v>
      </c>
      <c r="N15211" s="28" t="s">
        <v>51</v>
      </c>
    </row>
    <row r="15212" spans="1:14" hidden="1" outlineLevel="1" x14ac:dyDescent="0.2">
      <c r="A15212" s="23" t="str">
        <f>HYPERLINK("https://www.spark-marketing.ru/Card/Person/51537", "АППАРАТ ПРАВИТЕЛЬСТВА ПЕРМСКОГО КРАЯ")</f>
        <v>АППАРАТ ПРАВИТЕЛЬСТВА ПЕРМСКОГО КРАЯ</v>
      </c>
      <c r="B15212" s="24" t="s">
        <v>1649</v>
      </c>
      <c r="C15212" s="25">
        <v>5500000</v>
      </c>
      <c r="D15212" s="22" t="s">
        <v>20109</v>
      </c>
      <c r="E15212" s="22" t="s">
        <v>96</v>
      </c>
      <c r="F15212" s="23" t="str">
        <f>HYPERLINK("https://www.spark-marketing.ru/Card/Lot/71678787", "Оказание услуг по организации обслуживания визитов делегаций, официальных мероприятий, проводимых Правительством Пермского края")</f>
        <v>Оказание услуг по организации обслуживания визитов делегаций, официальных мероприятий, проводимых Правительством Пермского края</v>
      </c>
      <c r="G15212" s="22" t="s">
        <v>153</v>
      </c>
      <c r="H15212" s="22" t="s">
        <v>153</v>
      </c>
      <c r="I15212" s="26">
        <v>43642.340277777803</v>
      </c>
      <c r="J15212" s="23" t="str">
        <f>HYPERLINK("https://www.spark-marketing.ru/Card/Person/6327425", "ООО ""ЛОФТ ПОРТ""")</f>
        <v>ООО "ЛОФТ ПОРТ"</v>
      </c>
      <c r="K15212" s="24" t="s">
        <v>20110</v>
      </c>
      <c r="L15212" s="28" t="s">
        <v>51</v>
      </c>
      <c r="M15212" s="25">
        <v>5200000</v>
      </c>
      <c r="N15212" s="27">
        <v>5.4545454545454543E-2</v>
      </c>
    </row>
    <row r="15213" spans="1:14" ht="12.75" hidden="1" outlineLevel="1" x14ac:dyDescent="0.2">
      <c r="A15213" s="23" t="str">
        <f>HYPERLINK("https://www.spark-marketing.ru/Card/Person/51537", "АППАРАТ ПРАВИТЕЛЬСТВА ПЕРМСКОГО КРАЯ")</f>
        <v>АППАРАТ ПРАВИТЕЛЬСТВА ПЕРМСКОГО КРАЯ</v>
      </c>
      <c r="B15213" s="24" t="s">
        <v>1649</v>
      </c>
      <c r="C15213" s="25">
        <v>5500000</v>
      </c>
      <c r="D15213" s="22" t="s">
        <v>20109</v>
      </c>
      <c r="E15213" s="22" t="s">
        <v>96</v>
      </c>
      <c r="F15213" s="23" t="str">
        <f>HYPERLINK("https://www.spark-marketing.ru/Card/Lot/71678787", "Оказание услуг по организации обслуживания визитов делегаций, официальных мероприятий, проводимых Правительством Пермского края")</f>
        <v>Оказание услуг по организации обслуживания визитов делегаций, официальных мероприятий, проводимых Правительством Пермского края</v>
      </c>
      <c r="G15213" s="22" t="s">
        <v>153</v>
      </c>
      <c r="H15213" s="22" t="s">
        <v>153</v>
      </c>
      <c r="I15213" s="26">
        <v>43642.340277777803</v>
      </c>
      <c r="J15213" s="23" t="str">
        <f>HYPERLINK("https://www.spark-marketing.ru/Card/Person/5911508", "ООО ""ОБЪЕДИНЁННАЯ РЕСТОРАННАЯ ГРУППА""")</f>
        <v>ООО "ОБЪЕДИНЁННАЯ РЕСТОРАННАЯ ГРУППА"</v>
      </c>
      <c r="K15213" s="24" t="s">
        <v>4615</v>
      </c>
      <c r="L15213" s="22" t="s">
        <v>10</v>
      </c>
      <c r="M15213" s="25">
        <v>4995000</v>
      </c>
      <c r="N15213" s="27">
        <v>9.1818181818181813E-2</v>
      </c>
    </row>
    <row r="15214" spans="1:14" x14ac:dyDescent="0.15">
      <c r="A15214" s="23" t="str">
        <f>HYPERLINK("https://www.spark-marketing.ru/Card/Person/4343663", "МИНЗДРАВ АЛТАЙСКОГО КРАЯ")</f>
        <v>МИНЗДРАВ АЛТАЙСКОГО КРАЯ</v>
      </c>
      <c r="B15214" s="24" t="s">
        <v>9429</v>
      </c>
      <c r="C15214" s="25">
        <v>8040</v>
      </c>
      <c r="D15214" s="22" t="s">
        <v>20111</v>
      </c>
      <c r="E15214" s="22" t="s">
        <v>336</v>
      </c>
      <c r="F15214" s="23" t="str">
        <f>HYPERLINK("https://www.spark-marketing.ru/Card/Lot/71679742",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5214" s="22" t="s">
        <v>63</v>
      </c>
      <c r="H15214" s="22" t="s">
        <v>177</v>
      </c>
      <c r="I15214" s="26">
        <v>43642.313194444403</v>
      </c>
      <c r="J15214" s="28" t="s">
        <v>51</v>
      </c>
      <c r="K15214" s="28" t="s">
        <v>51</v>
      </c>
      <c r="L15214" s="28" t="s">
        <v>51</v>
      </c>
      <c r="M15214" s="28" t="s">
        <v>51</v>
      </c>
      <c r="N15214" s="28" t="s">
        <v>51</v>
      </c>
    </row>
    <row r="15215" spans="1:14" x14ac:dyDescent="0.15">
      <c r="A15215" s="23" t="str">
        <f>HYPERLINK("https://www.spark-marketing.ru/Card/Person/1073865", "МДОУ Д/С № 113")</f>
        <v>МДОУ Д/С № 113</v>
      </c>
      <c r="B15215" s="24" t="s">
        <v>2676</v>
      </c>
      <c r="C15215" s="25">
        <v>1320386.17</v>
      </c>
      <c r="D15215" s="22" t="s">
        <v>20112</v>
      </c>
      <c r="E15215" s="22" t="s">
        <v>362</v>
      </c>
      <c r="F15215" s="23" t="str">
        <f>HYPERLINK("https://www.spark-marketing.ru/Card/Lot/71678326", "Оказание услуг по организации питания")</f>
        <v>Оказание услуг по организации питания</v>
      </c>
      <c r="G15215" s="22" t="s">
        <v>158</v>
      </c>
      <c r="H15215" s="22" t="s">
        <v>158</v>
      </c>
      <c r="I15215" s="26">
        <v>43642.3073842593</v>
      </c>
      <c r="J15215" s="28" t="s">
        <v>51</v>
      </c>
      <c r="K15215" s="28" t="s">
        <v>51</v>
      </c>
      <c r="L15215" s="28" t="s">
        <v>51</v>
      </c>
      <c r="M15215" s="28" t="s">
        <v>51</v>
      </c>
      <c r="N15215" s="28" t="s">
        <v>51</v>
      </c>
    </row>
    <row r="15216" spans="1:14" x14ac:dyDescent="0.15">
      <c r="A15216" s="23" t="str">
        <f>HYPERLINK("https://www.spark-marketing.ru/Card/Person/6450322", "ЗАКАЗЧИК РП БЕЛАРУСЬ")</f>
        <v>ЗАКАЗЧИК РП БЕЛАРУСЬ</v>
      </c>
      <c r="B15216" s="28" t="s">
        <v>51</v>
      </c>
      <c r="C15216" s="25">
        <v>245802.4</v>
      </c>
      <c r="D15216" s="22" t="s">
        <v>20113</v>
      </c>
      <c r="E15216" s="22" t="s">
        <v>52</v>
      </c>
      <c r="F15216" s="23" t="str">
        <f>HYPERLINK("https://www.spark-marketing.ru/Card/Lot/71694762", "услуга по организации питания учащихся")</f>
        <v>услуга по организации питания учащихся</v>
      </c>
      <c r="G15216" s="22" t="s">
        <v>51</v>
      </c>
      <c r="H15216" s="22" t="s">
        <v>51</v>
      </c>
      <c r="I15216" s="26">
        <v>43642</v>
      </c>
      <c r="J15216" s="28" t="s">
        <v>51</v>
      </c>
      <c r="K15216" s="28" t="s">
        <v>51</v>
      </c>
      <c r="L15216" s="28" t="s">
        <v>51</v>
      </c>
      <c r="M15216" s="28" t="s">
        <v>51</v>
      </c>
      <c r="N15216" s="28" t="s">
        <v>51</v>
      </c>
    </row>
    <row r="15217" spans="1:14" x14ac:dyDescent="0.15">
      <c r="A15217" s="23" t="str">
        <f>HYPERLINK("https://www.spark-marketing.ru/Card/Person/6450322", "ЗАКАЗЧИК РП БЕЛАРУСЬ")</f>
        <v>ЗАКАЗЧИК РП БЕЛАРУСЬ</v>
      </c>
      <c r="B15217" s="28" t="s">
        <v>51</v>
      </c>
      <c r="C15217" s="28" t="s">
        <v>51</v>
      </c>
      <c r="D15217" s="22" t="s">
        <v>20114</v>
      </c>
      <c r="E15217" s="22" t="s">
        <v>52</v>
      </c>
      <c r="F15217" s="23" t="str">
        <f>HYPERLINK("https://www.spark-marketing.ru/Card/Lot/71682789", "Услуги по приготовлению горячего питания")</f>
        <v>Услуги по приготовлению горячего питания</v>
      </c>
      <c r="G15217" s="22" t="s">
        <v>51</v>
      </c>
      <c r="H15217" s="22" t="s">
        <v>51</v>
      </c>
      <c r="I15217" s="26">
        <v>43642</v>
      </c>
      <c r="J15217" s="28" t="s">
        <v>51</v>
      </c>
      <c r="K15217" s="28" t="s">
        <v>51</v>
      </c>
      <c r="L15217" s="28" t="s">
        <v>51</v>
      </c>
      <c r="M15217" s="28" t="s">
        <v>51</v>
      </c>
      <c r="N15217" s="28" t="s">
        <v>51</v>
      </c>
    </row>
    <row r="15218" spans="1:14" x14ac:dyDescent="0.15">
      <c r="A15218" s="23" t="str">
        <f>HYPERLINK("https://www.spark-marketing.ru/Card/Person/6450322", "ЗАКАЗЧИК РП БЕЛАРУСЬ")</f>
        <v>ЗАКАЗЧИК РП БЕЛАРУСЬ</v>
      </c>
      <c r="B15218" s="28" t="s">
        <v>51</v>
      </c>
      <c r="C15218" s="25">
        <v>1843518</v>
      </c>
      <c r="D15218" s="22" t="s">
        <v>20115</v>
      </c>
      <c r="E15218" s="22" t="s">
        <v>52</v>
      </c>
      <c r="F15218" s="23" t="str">
        <f>HYPERLINK("https://www.spark-marketing.ru/Card/Lot/71697941", "организация питания")</f>
        <v>организация питания</v>
      </c>
      <c r="G15218" s="22" t="s">
        <v>51</v>
      </c>
      <c r="H15218" s="22" t="s">
        <v>51</v>
      </c>
      <c r="I15218" s="26">
        <v>43642</v>
      </c>
      <c r="J15218" s="28" t="s">
        <v>51</v>
      </c>
      <c r="K15218" s="28" t="s">
        <v>51</v>
      </c>
      <c r="L15218" s="28" t="s">
        <v>51</v>
      </c>
      <c r="M15218" s="28" t="s">
        <v>51</v>
      </c>
      <c r="N15218" s="28" t="s">
        <v>51</v>
      </c>
    </row>
    <row r="15219" spans="1:14" x14ac:dyDescent="0.15">
      <c r="A15219" s="23" t="str">
        <f>HYPERLINK("https://www.spark-marketing.ru/Card/Person/49008", "АО ""ДЕПАРТАМЕНТ ПРОДОВОЛЬСТВИЯ""")</f>
        <v>АО "ДЕПАРТАМЕНТ ПРОДОВОЛЬСТВИЯ"</v>
      </c>
      <c r="B15219" s="24" t="s">
        <v>2101</v>
      </c>
      <c r="C15219" s="25">
        <v>1729400</v>
      </c>
      <c r="D15219" s="22" t="s">
        <v>20116</v>
      </c>
      <c r="E15219" s="22" t="s">
        <v>5837</v>
      </c>
      <c r="F15219" s="23" t="str">
        <f>HYPERLINK("https://www.spark-marketing.ru/Card/Lot/71665614", "Оказание услуг по перевозке сотрудников АО ""Департамент продовольствия и социального питания г. Казани"" по маршруту на рабочие места и обратно")</f>
        <v>Оказание услуг по перевозке сотрудников АО "Департамент продовольствия и социального питания г. Казани" по маршруту на рабочие места и обратно</v>
      </c>
      <c r="G15219" s="22" t="s">
        <v>217</v>
      </c>
      <c r="H15219" s="22" t="s">
        <v>937</v>
      </c>
      <c r="I15219" s="26">
        <v>43641.8410069444</v>
      </c>
      <c r="J15219" s="28" t="s">
        <v>51</v>
      </c>
      <c r="K15219" s="28" t="s">
        <v>51</v>
      </c>
      <c r="L15219" s="22" t="s">
        <v>10</v>
      </c>
      <c r="M15219" s="28" t="s">
        <v>51</v>
      </c>
      <c r="N15219" s="28" t="s">
        <v>51</v>
      </c>
    </row>
    <row r="15220" spans="1:14" x14ac:dyDescent="0.15">
      <c r="A15220" s="23" t="str">
        <f>HYPERLINK("https://www.spark-marketing.ru/Card/Person/15665", "Администрация города Батайска")</f>
        <v>Администрация города Батайска</v>
      </c>
      <c r="B15220" s="24" t="s">
        <v>18248</v>
      </c>
      <c r="C15220" s="25">
        <v>280000</v>
      </c>
      <c r="D15220" s="22" t="s">
        <v>20117</v>
      </c>
      <c r="E15220" s="22" t="s">
        <v>1492</v>
      </c>
      <c r="F15220" s="23" t="str">
        <f>HYPERLINK("https://www.spark-marketing.ru/Card/Lot/71675180", "Определение исполнителя на оказание услуг по проживанию, питанию, экскурсионному обслуживанию выездного профильного лагеря ""Лидер""")</f>
        <v>Определение исполнителя на оказание услуг по проживанию, питанию, экскурсионному обслуживанию выездного профильного лагеря "Лидер"</v>
      </c>
      <c r="G15220" s="22" t="s">
        <v>7976</v>
      </c>
      <c r="H15220" s="22" t="s">
        <v>7977</v>
      </c>
      <c r="I15220" s="26">
        <v>43641.861944444398</v>
      </c>
      <c r="J15220" s="28" t="s">
        <v>51</v>
      </c>
      <c r="K15220" s="28" t="s">
        <v>51</v>
      </c>
      <c r="L15220" s="28" t="s">
        <v>51</v>
      </c>
      <c r="M15220" s="28" t="s">
        <v>51</v>
      </c>
      <c r="N15220" s="28" t="s">
        <v>51</v>
      </c>
    </row>
    <row r="15221" spans="1:14" x14ac:dyDescent="0.2">
      <c r="A15221" s="23" t="str">
        <f>HYPERLINK("https://www.spark-marketing.ru/Card/Person/49008", "АО ""ДЕПАРТАМЕНТ ПРОДОВОЛЬСТВИЯ""")</f>
        <v>АО "ДЕПАРТАМЕНТ ПРОДОВОЛЬСТВИЯ"</v>
      </c>
      <c r="B15221" s="24" t="s">
        <v>2101</v>
      </c>
      <c r="C15221" s="25">
        <v>104706896.52</v>
      </c>
      <c r="D15221" s="22" t="s">
        <v>20118</v>
      </c>
      <c r="E15221" s="22" t="s">
        <v>362</v>
      </c>
      <c r="F15221" s="23" t="str">
        <f>HYPERLINK("https://www.spark-marketing.ru/Card/Lot/71665792", "Оказание комплекса услуг по организации питания представителей Клиентских групп в рамках подготовки и проведения 45-го мирового чемпионата по профессиональному мастерству по стандартам ""Ворлдскилс"" в г. Казани в 2019 году")</f>
        <v>Оказание комплекса услуг по организации питания представителей Клиентских групп в рамках подготовки и проведения 45-го мирового чемпионата по профессиональному мастерству по стандартам "Ворлдскилс" в г. Казани в 2019 году</v>
      </c>
      <c r="G15221" s="22" t="s">
        <v>217</v>
      </c>
      <c r="H15221" s="22" t="s">
        <v>217</v>
      </c>
      <c r="I15221" s="26">
        <v>43641.865914351903</v>
      </c>
      <c r="J15221" s="28" t="s">
        <v>51</v>
      </c>
      <c r="K15221" s="28" t="s">
        <v>51</v>
      </c>
      <c r="L15221" s="22" t="s">
        <v>10</v>
      </c>
      <c r="M15221" s="25">
        <v>104706896.52</v>
      </c>
      <c r="N15221" s="27">
        <v>0</v>
      </c>
    </row>
    <row r="15222" spans="1:14" x14ac:dyDescent="0.15">
      <c r="A15222" s="23" t="str">
        <f>HYPERLINK("https://www.spark-marketing.ru/Card/Person/1051454", "ОМВД РОССИИ ПО ЕНОТАЕВСКОМУ РАЙОНУ")</f>
        <v>ОМВД РОССИИ ПО ЕНОТАЕВСКОМУ РАЙОНУ</v>
      </c>
      <c r="B15222" s="24" t="s">
        <v>4186</v>
      </c>
      <c r="C15222" s="25">
        <v>170</v>
      </c>
      <c r="D15222" s="22" t="s">
        <v>20119</v>
      </c>
      <c r="E15222" s="22" t="s">
        <v>48</v>
      </c>
      <c r="F15222" s="23" t="str">
        <f>HYPERLINK("https://www.spark-marketing.ru/Card/Lot/71664079",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5222" s="22" t="s">
        <v>141</v>
      </c>
      <c r="H15222" s="22" t="s">
        <v>4188</v>
      </c>
      <c r="I15222" s="26">
        <v>43641.807476851798</v>
      </c>
      <c r="J15222" s="28" t="s">
        <v>51</v>
      </c>
      <c r="K15222" s="28" t="s">
        <v>51</v>
      </c>
      <c r="L15222" s="28" t="s">
        <v>51</v>
      </c>
      <c r="M15222" s="28" t="s">
        <v>51</v>
      </c>
      <c r="N15222" s="28" t="s">
        <v>51</v>
      </c>
    </row>
    <row r="15223" spans="1:14" x14ac:dyDescent="0.15">
      <c r="A15223" s="23" t="str">
        <f>HYPERLINK("https://www.spark-marketing.ru/Card/Person/1903077", "ФОНД ""СКОЛКОВО""")</f>
        <v>ФОНД "СКОЛКОВО"</v>
      </c>
      <c r="B15223" s="24" t="s">
        <v>20120</v>
      </c>
      <c r="C15223" s="25">
        <v>28757685</v>
      </c>
      <c r="D15223" s="22" t="s">
        <v>20121</v>
      </c>
      <c r="E15223" s="22" t="s">
        <v>67</v>
      </c>
      <c r="F15223" s="23" t="str">
        <f>HYPERLINK("https://www.spark-marketing.ru/Card/Lot/71664776", "Оказание услуг по организации питания в рамках мероприятия ""Образовательный интенсив «Остров 10-22»"".")</f>
        <v>Оказание услуг по организации питания в рамках мероприятия "Образовательный интенсив «Остров 10-22»".</v>
      </c>
      <c r="G15223" s="22" t="s">
        <v>56</v>
      </c>
      <c r="H15223" s="22" t="s">
        <v>56</v>
      </c>
      <c r="I15223" s="26">
        <v>43641.816666666702</v>
      </c>
      <c r="J15223" s="28" t="s">
        <v>51</v>
      </c>
      <c r="K15223" s="28" t="s">
        <v>51</v>
      </c>
      <c r="L15223" s="28" t="s">
        <v>51</v>
      </c>
      <c r="M15223" s="28" t="s">
        <v>51</v>
      </c>
      <c r="N15223" s="28" t="s">
        <v>51</v>
      </c>
    </row>
    <row r="15224" spans="1:14" x14ac:dyDescent="0.15">
      <c r="A15224" s="23" t="str">
        <f>HYPERLINK("https://www.spark-marketing.ru/Card/Person/1009739", "ОТДЕЛ ЗДРАВООХРАНЕНИЯ")</f>
        <v>ОТДЕЛ ЗДРАВООХРАНЕНИЯ</v>
      </c>
      <c r="B15224" s="24" t="s">
        <v>3572</v>
      </c>
      <c r="C15224" s="25">
        <v>76208.399999999994</v>
      </c>
      <c r="D15224" s="22" t="s">
        <v>20122</v>
      </c>
      <c r="E15224" s="22" t="s">
        <v>52</v>
      </c>
      <c r="F15224" s="23" t="str">
        <f>HYPERLINK("https://www.spark-marketing.ru/Card/Lot/71671360",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5224" s="22" t="s">
        <v>3574</v>
      </c>
      <c r="H15224" s="22" t="s">
        <v>3574</v>
      </c>
      <c r="I15224" s="26">
        <v>43641.792731481502</v>
      </c>
      <c r="J15224" s="28" t="s">
        <v>51</v>
      </c>
      <c r="K15224" s="28" t="s">
        <v>51</v>
      </c>
      <c r="L15224" s="28" t="s">
        <v>51</v>
      </c>
      <c r="M15224" s="28" t="s">
        <v>51</v>
      </c>
      <c r="N15224" s="28" t="s">
        <v>51</v>
      </c>
    </row>
    <row r="15225" spans="1:14" x14ac:dyDescent="0.15">
      <c r="A15225" s="23" t="str">
        <f>HYPERLINK("https://www.spark-marketing.ru/Card/Person/1009739", "ОТДЕЛ ЗДРАВООХРАНЕНИЯ")</f>
        <v>ОТДЕЛ ЗДРАВООХРАНЕНИЯ</v>
      </c>
      <c r="B15225" s="24" t="s">
        <v>3572</v>
      </c>
      <c r="C15225" s="25">
        <v>6740</v>
      </c>
      <c r="D15225" s="22" t="s">
        <v>20123</v>
      </c>
      <c r="E15225" s="22" t="s">
        <v>52</v>
      </c>
      <c r="F15225" s="23" t="str">
        <f>HYPERLINK("https://www.spark-marketing.ru/Card/Lot/71671359",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5225" s="22" t="s">
        <v>3574</v>
      </c>
      <c r="H15225" s="22" t="s">
        <v>3574</v>
      </c>
      <c r="I15225" s="26">
        <v>43641.791388888902</v>
      </c>
      <c r="J15225" s="28" t="s">
        <v>51</v>
      </c>
      <c r="K15225" s="28" t="s">
        <v>51</v>
      </c>
      <c r="L15225" s="28" t="s">
        <v>51</v>
      </c>
      <c r="M15225" s="28" t="s">
        <v>51</v>
      </c>
      <c r="N15225" s="28" t="s">
        <v>51</v>
      </c>
    </row>
    <row r="15226" spans="1:14" x14ac:dyDescent="0.15">
      <c r="A15226" s="23" t="str">
        <f>HYPERLINK("https://www.spark-marketing.ru/Card/Person/1009739", "ОТДЕЛ ЗДРАВООХРАНЕНИЯ")</f>
        <v>ОТДЕЛ ЗДРАВООХРАНЕНИЯ</v>
      </c>
      <c r="B15226" s="24" t="s">
        <v>3572</v>
      </c>
      <c r="C15226" s="25">
        <v>272</v>
      </c>
      <c r="D15226" s="22" t="s">
        <v>20124</v>
      </c>
      <c r="E15226" s="22" t="s">
        <v>52</v>
      </c>
      <c r="F15226" s="23" t="str">
        <f>HYPERLINK("https://www.spark-marketing.ru/Card/Lot/71671352",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5226" s="22" t="s">
        <v>3574</v>
      </c>
      <c r="H15226" s="22" t="s">
        <v>3574</v>
      </c>
      <c r="I15226" s="26">
        <v>43641.7897800926</v>
      </c>
      <c r="J15226" s="28" t="s">
        <v>51</v>
      </c>
      <c r="K15226" s="28" t="s">
        <v>51</v>
      </c>
      <c r="L15226" s="28" t="s">
        <v>51</v>
      </c>
      <c r="M15226" s="28" t="s">
        <v>51</v>
      </c>
      <c r="N15226" s="28" t="s">
        <v>51</v>
      </c>
    </row>
    <row r="15227" spans="1:14" x14ac:dyDescent="0.15">
      <c r="A15227" s="23" t="str">
        <f>HYPERLINK("https://www.spark-marketing.ru/Card/Person/1009739", "ОТДЕЛ ЗДРАВООХРАНЕНИЯ")</f>
        <v>ОТДЕЛ ЗДРАВООХРАНЕНИЯ</v>
      </c>
      <c r="B15227" s="24" t="s">
        <v>3572</v>
      </c>
      <c r="C15227" s="25">
        <v>340.8</v>
      </c>
      <c r="D15227" s="22" t="s">
        <v>20125</v>
      </c>
      <c r="E15227" s="22" t="s">
        <v>52</v>
      </c>
      <c r="F15227" s="23" t="str">
        <f>HYPERLINK("https://www.spark-marketing.ru/Card/Lot/71671358",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5227" s="22" t="s">
        <v>3574</v>
      </c>
      <c r="H15227" s="22" t="s">
        <v>3574</v>
      </c>
      <c r="I15227" s="26">
        <v>43641.791087963</v>
      </c>
      <c r="J15227" s="28" t="s">
        <v>51</v>
      </c>
      <c r="K15227" s="28" t="s">
        <v>51</v>
      </c>
      <c r="L15227" s="28" t="s">
        <v>51</v>
      </c>
      <c r="M15227" s="28" t="s">
        <v>51</v>
      </c>
      <c r="N15227" s="28" t="s">
        <v>51</v>
      </c>
    </row>
    <row r="15228" spans="1:14" x14ac:dyDescent="0.15">
      <c r="A15228" s="23" t="str">
        <f>HYPERLINK("https://www.spark-marketing.ru/Card/Person/1009739", "ОТДЕЛ ЗДРАВООХРАНЕНИЯ")</f>
        <v>ОТДЕЛ ЗДРАВООХРАНЕНИЯ</v>
      </c>
      <c r="B15228" s="24" t="s">
        <v>3572</v>
      </c>
      <c r="C15228" s="25">
        <v>5221.2</v>
      </c>
      <c r="D15228" s="22" t="s">
        <v>20126</v>
      </c>
      <c r="E15228" s="22" t="s">
        <v>52</v>
      </c>
      <c r="F15228" s="23" t="str">
        <f>HYPERLINK("https://www.spark-marketing.ru/Card/Lot/71671356",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5228" s="22" t="s">
        <v>3574</v>
      </c>
      <c r="H15228" s="22" t="s">
        <v>3574</v>
      </c>
      <c r="I15228" s="26">
        <v>43641.790405092601</v>
      </c>
      <c r="J15228" s="28" t="s">
        <v>51</v>
      </c>
      <c r="K15228" s="28" t="s">
        <v>51</v>
      </c>
      <c r="L15228" s="28" t="s">
        <v>51</v>
      </c>
      <c r="M15228" s="28" t="s">
        <v>51</v>
      </c>
      <c r="N15228" s="28" t="s">
        <v>51</v>
      </c>
    </row>
    <row r="15229" spans="1:14" x14ac:dyDescent="0.15">
      <c r="A15229" s="23" t="str">
        <f>HYPERLINK("https://www.spark-marketing.ru/Card/Person/127342", "ГБУЗ КККВД")</f>
        <v>ГБУЗ КККВД</v>
      </c>
      <c r="B15229" s="24" t="s">
        <v>20127</v>
      </c>
      <c r="C15229" s="25">
        <v>4702500</v>
      </c>
      <c r="D15229" s="22" t="s">
        <v>20128</v>
      </c>
      <c r="E15229" s="22" t="s">
        <v>48</v>
      </c>
      <c r="F15229" s="23" t="str">
        <f>HYPERLINK("https://www.spark-marketing.ru/Card/Lot/71670040", "Оказание услуг по приготовлению готовых блюд для больных ГБУЗ «Камчатский краевой кожно-венерологический диспансер»")</f>
        <v>Оказание услуг по приготовлению готовых блюд для больных ГБУЗ «Камчатский краевой кожно-венерологический диспансер»</v>
      </c>
      <c r="G15229" s="22" t="s">
        <v>246</v>
      </c>
      <c r="H15229" s="22" t="s">
        <v>247</v>
      </c>
      <c r="I15229" s="26">
        <v>43641.764583333301</v>
      </c>
      <c r="J15229" s="23" t="str">
        <f>HYPERLINK("https://www.spark-marketing.ru/Card/Person/115255", "АО ""СТОЛОВАЯ № 5""")</f>
        <v>АО "СТОЛОВАЯ № 5"</v>
      </c>
      <c r="K15229" s="24" t="s">
        <v>17282</v>
      </c>
      <c r="L15229" s="22" t="s">
        <v>10</v>
      </c>
      <c r="M15229" s="28" t="s">
        <v>51</v>
      </c>
      <c r="N15229" s="28" t="s">
        <v>51</v>
      </c>
    </row>
    <row r="15230" spans="1:14" x14ac:dyDescent="0.15">
      <c r="A15230" s="23" t="str">
        <f>HYPERLINK("https://www.spark-marketing.ru/Card/Person/1009739", "ОТДЕЛ ЗДРАВООХРАНЕНИЯ")</f>
        <v>ОТДЕЛ ЗДРАВООХРАНЕНИЯ</v>
      </c>
      <c r="B15230" s="24" t="s">
        <v>3572</v>
      </c>
      <c r="C15230" s="25">
        <v>970.5</v>
      </c>
      <c r="D15230" s="22" t="s">
        <v>20129</v>
      </c>
      <c r="E15230" s="22" t="s">
        <v>52</v>
      </c>
      <c r="F15230" s="23" t="str">
        <f>HYPERLINK("https://www.spark-marketing.ru/Card/Lot/71671357",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5230" s="22" t="s">
        <v>3574</v>
      </c>
      <c r="H15230" s="22" t="s">
        <v>3574</v>
      </c>
      <c r="I15230" s="26">
        <v>43641.790810185201</v>
      </c>
      <c r="J15230" s="28" t="s">
        <v>51</v>
      </c>
      <c r="K15230" s="28" t="s">
        <v>51</v>
      </c>
      <c r="L15230" s="28" t="s">
        <v>51</v>
      </c>
      <c r="M15230" s="28" t="s">
        <v>51</v>
      </c>
      <c r="N15230" s="28" t="s">
        <v>51</v>
      </c>
    </row>
    <row r="15231" spans="1:14" x14ac:dyDescent="0.15">
      <c r="A15231" s="23" t="str">
        <f>HYPERLINK("https://www.spark-marketing.ru/Card/Person/11733", "РТУ МИРЭА")</f>
        <v>РТУ МИРЭА</v>
      </c>
      <c r="B15231" s="24" t="s">
        <v>1305</v>
      </c>
      <c r="C15231" s="25">
        <v>818118</v>
      </c>
      <c r="D15231" s="22" t="s">
        <v>20130</v>
      </c>
      <c r="E15231" s="22" t="s">
        <v>48</v>
      </c>
      <c r="F15231" s="23" t="str">
        <f>HYPERLINK("https://www.spark-marketing.ru/Card/Lot/71667061", "Оказание услуг по организации питания")</f>
        <v>Оказание услуг по организации питания</v>
      </c>
      <c r="G15231" s="22" t="s">
        <v>49</v>
      </c>
      <c r="H15231" s="22" t="s">
        <v>49</v>
      </c>
      <c r="I15231" s="26">
        <v>43641.783333333296</v>
      </c>
      <c r="J15231" s="23" t="str">
        <f>HYPERLINK("https://www.spark-marketing.ru/Card/Person/6351599", "ООО ""ВИКРАМА""")</f>
        <v>ООО "ВИКРАМА"</v>
      </c>
      <c r="K15231" s="24" t="s">
        <v>20131</v>
      </c>
      <c r="L15231" s="22" t="s">
        <v>10</v>
      </c>
      <c r="M15231" s="28" t="s">
        <v>51</v>
      </c>
      <c r="N15231" s="28" t="s">
        <v>51</v>
      </c>
    </row>
    <row r="15232" spans="1:14" x14ac:dyDescent="0.15">
      <c r="A15232" s="23" t="str">
        <f>HYPERLINK("https://www.spark-marketing.ru/Card/Person/1009739", "ОТДЕЛ ЗДРАВООХРАНЕНИЯ")</f>
        <v>ОТДЕЛ ЗДРАВООХРАНЕНИЯ</v>
      </c>
      <c r="B15232" s="24" t="s">
        <v>3572</v>
      </c>
      <c r="C15232" s="25">
        <v>8856</v>
      </c>
      <c r="D15232" s="22" t="s">
        <v>20132</v>
      </c>
      <c r="E15232" s="22" t="s">
        <v>52</v>
      </c>
      <c r="F15232" s="23" t="str">
        <f>HYPERLINK("https://www.spark-marketing.ru/Card/Lot/71671345",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5232" s="22" t="s">
        <v>3574</v>
      </c>
      <c r="H15232" s="22" t="s">
        <v>3574</v>
      </c>
      <c r="I15232" s="26">
        <v>43641.774861111102</v>
      </c>
      <c r="J15232" s="28" t="s">
        <v>51</v>
      </c>
      <c r="K15232" s="28" t="s">
        <v>51</v>
      </c>
      <c r="L15232" s="28" t="s">
        <v>51</v>
      </c>
      <c r="M15232" s="28" t="s">
        <v>51</v>
      </c>
      <c r="N15232" s="28" t="s">
        <v>51</v>
      </c>
    </row>
    <row r="15233" spans="1:14" x14ac:dyDescent="0.15">
      <c r="A15233" s="23" t="str">
        <f>HYPERLINK("https://www.spark-marketing.ru/Card/Person/2097942", "АО ""КОНЦЕРН РОСЭНЕРГОАТОМ""")</f>
        <v>АО "КОНЦЕРН РОСЭНЕРГОАТОМ"</v>
      </c>
      <c r="B15233" s="24" t="s">
        <v>908</v>
      </c>
      <c r="C15233" s="25">
        <v>836903</v>
      </c>
      <c r="D15233" s="22" t="s">
        <v>20133</v>
      </c>
      <c r="E15233" s="22" t="s">
        <v>362</v>
      </c>
      <c r="F15233" s="23" t="str">
        <f>HYPERLINK("https://www.spark-marketing.ru/Card/Lot/71663066", "Оказание услуг по обеспечению наличия запаса продуктов питания для личного состава формирований при проведении спасательных и других неотложных работ в случае возникновения чрезвычайных ситуаций природного и техногенного характера в мирное и военное ...")</f>
        <v>Оказание услуг по обеспечению наличия запаса продуктов питания для личного состава формирований при проведении спасательных и других неотложных работ в случае возникновения чрезвычайных ситуаций природного и техногенного характера в мирное и военное ...</v>
      </c>
      <c r="G15233" s="22" t="s">
        <v>56</v>
      </c>
      <c r="H15233" s="22" t="s">
        <v>56</v>
      </c>
      <c r="I15233" s="26">
        <v>43641.771273148202</v>
      </c>
      <c r="J15233" s="28" t="s">
        <v>51</v>
      </c>
      <c r="K15233" s="28" t="s">
        <v>51</v>
      </c>
      <c r="L15233" s="28" t="s">
        <v>51</v>
      </c>
      <c r="M15233" s="28" t="s">
        <v>51</v>
      </c>
      <c r="N15233" s="28" t="s">
        <v>51</v>
      </c>
    </row>
    <row r="15234" spans="1:14" x14ac:dyDescent="0.15">
      <c r="A15234" s="23" t="str">
        <f>HYPERLINK("https://www.spark-marketing.ru/Card/Person/1009739", "ОТДЕЛ ЗДРАВООХРАНЕНИЯ")</f>
        <v>ОТДЕЛ ЗДРАВООХРАНЕНИЯ</v>
      </c>
      <c r="B15234" s="24" t="s">
        <v>3572</v>
      </c>
      <c r="C15234" s="25">
        <v>76163.399999999994</v>
      </c>
      <c r="D15234" s="22" t="s">
        <v>20134</v>
      </c>
      <c r="E15234" s="22" t="s">
        <v>52</v>
      </c>
      <c r="F15234" s="23" t="str">
        <f>HYPERLINK("https://www.spark-marketing.ru/Card/Lot/71671340",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5234" s="22" t="s">
        <v>3574</v>
      </c>
      <c r="H15234" s="22" t="s">
        <v>3574</v>
      </c>
      <c r="I15234" s="26">
        <v>43641.773668981499</v>
      </c>
      <c r="J15234" s="23" t="str">
        <f>HYPERLINK("https://www.spark-marketing.ru/Card/Person/132918", "ООО ""БИСКОМ""")</f>
        <v>ООО "БИСКОМ"</v>
      </c>
      <c r="K15234" s="24" t="s">
        <v>20135</v>
      </c>
      <c r="L15234" s="22" t="s">
        <v>10</v>
      </c>
      <c r="M15234" s="28" t="s">
        <v>51</v>
      </c>
      <c r="N15234" s="28" t="s">
        <v>51</v>
      </c>
    </row>
    <row r="15235" spans="1:14" x14ac:dyDescent="0.15">
      <c r="A15235" s="23" t="str">
        <f>HYPERLINK("https://www.spark-marketing.ru/Card/Person/29123", "УПРАВА САВЕЛОВСКОГО РАЙОНА ГОРОДА МОСКВЫ")</f>
        <v>УПРАВА САВЕЛОВСКОГО РАЙОНА ГОРОДА МОСКВЫ</v>
      </c>
      <c r="B15235" s="24" t="s">
        <v>20136</v>
      </c>
      <c r="C15235" s="25">
        <v>170000</v>
      </c>
      <c r="D15235" s="22" t="s">
        <v>20137</v>
      </c>
      <c r="E15235" s="22" t="s">
        <v>48</v>
      </c>
      <c r="F15235" s="23" t="str">
        <f>HYPERLINK("https://www.spark-marketing.ru/Card/Lot/71673959", "Оказание услуг по организации питания членов участковых избирательный комиссий Савеловского района города Москвы")</f>
        <v>Оказание услуг по организации питания членов участковых избирательный комиссий Савеловского района города Москвы</v>
      </c>
      <c r="G15235" s="22" t="s">
        <v>56</v>
      </c>
      <c r="H15235" s="22" t="s">
        <v>56</v>
      </c>
      <c r="I15235" s="26">
        <v>43641.756851851896</v>
      </c>
      <c r="J15235" s="28" t="s">
        <v>51</v>
      </c>
      <c r="K15235" s="28" t="s">
        <v>51</v>
      </c>
      <c r="L15235" s="28" t="s">
        <v>51</v>
      </c>
      <c r="M15235" s="28" t="s">
        <v>51</v>
      </c>
      <c r="N15235" s="28" t="s">
        <v>51</v>
      </c>
    </row>
    <row r="15236" spans="1:14" hidden="1" outlineLevel="1" x14ac:dyDescent="0.2">
      <c r="A15236" s="23" t="str">
        <f>HYPERLINK("https://www.spark-marketing.ru/Card/Person/29123", "УПРАВА САВЕЛОВСКОГО РАЙОНА ГОРОДА МОСКВЫ")</f>
        <v>УПРАВА САВЕЛОВСКОГО РАЙОНА ГОРОДА МОСКВЫ</v>
      </c>
      <c r="B15236" s="24" t="s">
        <v>20136</v>
      </c>
      <c r="C15236" s="25">
        <v>170000</v>
      </c>
      <c r="D15236" s="22" t="s">
        <v>20137</v>
      </c>
      <c r="E15236" s="22" t="s">
        <v>48</v>
      </c>
      <c r="F15236" s="23" t="str">
        <f>HYPERLINK("https://www.spark-marketing.ru/Card/Lot/71673959", "Оказание услуг по организации питания членов участковых избирательный комиссий Савеловского района города Москвы")</f>
        <v>Оказание услуг по организации питания членов участковых избирательный комиссий Савеловского района города Москвы</v>
      </c>
      <c r="G15236" s="22" t="s">
        <v>56</v>
      </c>
      <c r="H15236" s="22" t="s">
        <v>56</v>
      </c>
      <c r="I15236" s="26">
        <v>43641.756851851896</v>
      </c>
      <c r="J15236" s="23" t="str">
        <f>HYPERLINK("https://www.spark-marketing.ru/Card/Person/6393577", "Агапов Станислав Александрович")</f>
        <v>Агапов Станислав Александрович</v>
      </c>
      <c r="K15236" s="24" t="s">
        <v>20138</v>
      </c>
      <c r="L15236" s="28" t="s">
        <v>51</v>
      </c>
      <c r="M15236" s="25">
        <v>153000</v>
      </c>
      <c r="N15236" s="27">
        <v>0.1</v>
      </c>
    </row>
    <row r="15237" spans="1:14" ht="12.75" hidden="1" outlineLevel="1" x14ac:dyDescent="0.2">
      <c r="A15237" s="23" t="str">
        <f>HYPERLINK("https://www.spark-marketing.ru/Card/Person/29123", "УПРАВА САВЕЛОВСКОГО РАЙОНА ГОРОДА МОСКВЫ")</f>
        <v>УПРАВА САВЕЛОВСКОГО РАЙОНА ГОРОДА МОСКВЫ</v>
      </c>
      <c r="B15237" s="24" t="s">
        <v>20136</v>
      </c>
      <c r="C15237" s="25">
        <v>170000</v>
      </c>
      <c r="D15237" s="22" t="s">
        <v>20137</v>
      </c>
      <c r="E15237" s="22" t="s">
        <v>48</v>
      </c>
      <c r="F15237" s="23" t="str">
        <f>HYPERLINK("https://www.spark-marketing.ru/Card/Lot/71673959", "Оказание услуг по организации питания членов участковых избирательный комиссий Савеловского района города Москвы")</f>
        <v>Оказание услуг по организации питания членов участковых избирательный комиссий Савеловского района города Москвы</v>
      </c>
      <c r="G15237" s="22" t="s">
        <v>56</v>
      </c>
      <c r="H15237" s="22" t="s">
        <v>56</v>
      </c>
      <c r="I15237" s="26">
        <v>43641.756851851896</v>
      </c>
      <c r="J15237" s="23" t="str">
        <f>HYPERLINK("https://www.spark-marketing.ru/Card/Person/4052353", "ООО ""ЕВРОКОР""")</f>
        <v>ООО "ЕВРОКОР"</v>
      </c>
      <c r="K15237" s="24" t="s">
        <v>9698</v>
      </c>
      <c r="L15237" s="22" t="s">
        <v>10</v>
      </c>
      <c r="M15237" s="25">
        <v>152150</v>
      </c>
      <c r="N15237" s="27">
        <v>0.105</v>
      </c>
    </row>
    <row r="15238" spans="1:14" x14ac:dyDescent="0.15">
      <c r="A15238" s="23" t="str">
        <f>HYPERLINK("https://www.spark-marketing.ru/Card/Person/1009739", "ОТДЕЛ ЗДРАВООХРАНЕНИЯ")</f>
        <v>ОТДЕЛ ЗДРАВООХРАНЕНИЯ</v>
      </c>
      <c r="B15238" s="24" t="s">
        <v>3572</v>
      </c>
      <c r="C15238" s="25">
        <v>2916</v>
      </c>
      <c r="D15238" s="22" t="s">
        <v>20139</v>
      </c>
      <c r="E15238" s="22" t="s">
        <v>52</v>
      </c>
      <c r="F15238" s="23" t="str">
        <f>HYPERLINK("https://www.spark-marketing.ru/Card/Lot/71671355", "Приобретение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медицинс...")</f>
        <v>Приобретение лекарственных средств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на медицинс...</v>
      </c>
      <c r="G15238" s="22" t="s">
        <v>3574</v>
      </c>
      <c r="H15238" s="22" t="s">
        <v>3574</v>
      </c>
      <c r="I15238" s="26">
        <v>43641.790104166699</v>
      </c>
      <c r="J15238" s="28" t="s">
        <v>51</v>
      </c>
      <c r="K15238" s="28" t="s">
        <v>51</v>
      </c>
      <c r="L15238" s="28" t="s">
        <v>51</v>
      </c>
      <c r="M15238" s="28" t="s">
        <v>51</v>
      </c>
      <c r="N15238" s="28" t="s">
        <v>51</v>
      </c>
    </row>
    <row r="15239" spans="1:14" x14ac:dyDescent="0.2">
      <c r="A15239" s="23" t="s">
        <v>114</v>
      </c>
      <c r="B15239" s="28" t="s">
        <v>51</v>
      </c>
      <c r="C15239" s="25">
        <v>257910818</v>
      </c>
      <c r="D15239" s="22" t="s">
        <v>20140</v>
      </c>
      <c r="E15239" s="22" t="s">
        <v>362</v>
      </c>
      <c r="F15239" s="23" t="str">
        <f t="shared" ref="F15239:F15247" si="520">HYPERLINK("https://www.spark-marketing.ru/Card/Lot/71660337", "Оказание услуги по обеспечению питанием обучающихся")</f>
        <v>Оказание услуги по обеспечению питанием обучающихся</v>
      </c>
      <c r="G15239" s="22" t="s">
        <v>51</v>
      </c>
      <c r="H15239" s="22" t="s">
        <v>51</v>
      </c>
      <c r="I15239" s="26">
        <v>43641.769513888903</v>
      </c>
      <c r="J15239" s="28" t="s">
        <v>51</v>
      </c>
      <c r="K15239" s="28" t="s">
        <v>51</v>
      </c>
      <c r="L15239" s="28" t="s">
        <v>51</v>
      </c>
      <c r="M15239" s="25">
        <v>252256767.5</v>
      </c>
      <c r="N15239" s="27">
        <v>2.1922502296898613E-2</v>
      </c>
    </row>
    <row r="15240" spans="1:14" hidden="1" outlineLevel="1" x14ac:dyDescent="0.2">
      <c r="A15240" s="23" t="str">
        <f>HYPERLINK("https://www.spark-marketing.ru/Card/Person/1760557", "МАОУ СОШ №7 ГОРОДА ТЮМЕНИ")</f>
        <v>МАОУ СОШ №7 ГОРОДА ТЮМЕНИ</v>
      </c>
      <c r="B15240" s="24" t="s">
        <v>20141</v>
      </c>
      <c r="C15240" s="25">
        <v>39774060</v>
      </c>
      <c r="D15240" s="22" t="s">
        <v>20140</v>
      </c>
      <c r="E15240" s="22" t="s">
        <v>362</v>
      </c>
      <c r="F15240" s="23" t="str">
        <f t="shared" si="520"/>
        <v>Оказание услуги по обеспечению питанием обучающихся</v>
      </c>
      <c r="G15240" s="22" t="s">
        <v>766</v>
      </c>
      <c r="H15240" s="22" t="s">
        <v>1028</v>
      </c>
      <c r="I15240" s="26">
        <v>43641.769513888903</v>
      </c>
      <c r="J15240" s="28" t="s">
        <v>51</v>
      </c>
      <c r="K15240" s="28" t="s">
        <v>51</v>
      </c>
      <c r="L15240" s="28" t="s">
        <v>51</v>
      </c>
      <c r="M15240" s="28" t="s">
        <v>51</v>
      </c>
      <c r="N15240" s="27">
        <v>2.1922502296898613E-2</v>
      </c>
    </row>
    <row r="15241" spans="1:14" hidden="1" outlineLevel="1" x14ac:dyDescent="0.2">
      <c r="A15241" s="23" t="str">
        <f>HYPERLINK("https://www.spark-marketing.ru/Card/Person/1763041", "МАОУ СОШ №22 ГОРОДА ТЮМЕНИ")</f>
        <v>МАОУ СОШ №22 ГОРОДА ТЮМЕНИ</v>
      </c>
      <c r="B15241" s="24" t="s">
        <v>20142</v>
      </c>
      <c r="C15241" s="25">
        <v>35318330</v>
      </c>
      <c r="D15241" s="22" t="s">
        <v>20140</v>
      </c>
      <c r="E15241" s="22" t="s">
        <v>362</v>
      </c>
      <c r="F15241" s="23" t="str">
        <f t="shared" si="520"/>
        <v>Оказание услуги по обеспечению питанием обучающихся</v>
      </c>
      <c r="G15241" s="22" t="s">
        <v>766</v>
      </c>
      <c r="H15241" s="22" t="s">
        <v>1028</v>
      </c>
      <c r="I15241" s="26">
        <v>43641.769513888903</v>
      </c>
      <c r="J15241" s="28" t="s">
        <v>51</v>
      </c>
      <c r="K15241" s="28" t="s">
        <v>51</v>
      </c>
      <c r="L15241" s="28" t="s">
        <v>51</v>
      </c>
      <c r="M15241" s="28" t="s">
        <v>51</v>
      </c>
      <c r="N15241" s="27">
        <v>2.1922502296898613E-2</v>
      </c>
    </row>
    <row r="15242" spans="1:14" hidden="1" outlineLevel="1" x14ac:dyDescent="0.2">
      <c r="A15242" s="23" t="str">
        <f>HYPERLINK("https://www.spark-marketing.ru/Card/Person/1763693", "МАОУ ГИМНАЗИЯ № 83 ГОРОДА ТЮМЕНИ")</f>
        <v>МАОУ ГИМНАЗИЯ № 83 ГОРОДА ТЮМЕНИ</v>
      </c>
      <c r="B15242" s="24" t="s">
        <v>20143</v>
      </c>
      <c r="C15242" s="25">
        <v>47188558</v>
      </c>
      <c r="D15242" s="22" t="s">
        <v>20140</v>
      </c>
      <c r="E15242" s="22" t="s">
        <v>362</v>
      </c>
      <c r="F15242" s="23" t="str">
        <f t="shared" si="520"/>
        <v>Оказание услуги по обеспечению питанием обучающихся</v>
      </c>
      <c r="G15242" s="22" t="s">
        <v>766</v>
      </c>
      <c r="H15242" s="22" t="s">
        <v>1028</v>
      </c>
      <c r="I15242" s="26">
        <v>43641.769513888903</v>
      </c>
      <c r="J15242" s="28" t="s">
        <v>51</v>
      </c>
      <c r="K15242" s="28" t="s">
        <v>51</v>
      </c>
      <c r="L15242" s="28" t="s">
        <v>51</v>
      </c>
      <c r="M15242" s="28" t="s">
        <v>51</v>
      </c>
      <c r="N15242" s="27">
        <v>2.1922502296898613E-2</v>
      </c>
    </row>
    <row r="15243" spans="1:14" hidden="1" outlineLevel="1" x14ac:dyDescent="0.2">
      <c r="A15243" s="23" t="str">
        <f>HYPERLINK("https://www.spark-marketing.ru/Card/Person/4366891", "МАОУ СОШ № 94 ГОРОДА ТЮМЕНИ")</f>
        <v>МАОУ СОШ № 94 ГОРОДА ТЮМЕНИ</v>
      </c>
      <c r="B15243" s="24" t="s">
        <v>20144</v>
      </c>
      <c r="C15243" s="25">
        <v>37711200</v>
      </c>
      <c r="D15243" s="22" t="s">
        <v>20140</v>
      </c>
      <c r="E15243" s="22" t="s">
        <v>362</v>
      </c>
      <c r="F15243" s="23" t="str">
        <f t="shared" si="520"/>
        <v>Оказание услуги по обеспечению питанием обучающихся</v>
      </c>
      <c r="G15243" s="22" t="s">
        <v>766</v>
      </c>
      <c r="H15243" s="22" t="s">
        <v>1028</v>
      </c>
      <c r="I15243" s="26">
        <v>43641.769513888903</v>
      </c>
      <c r="J15243" s="28" t="s">
        <v>51</v>
      </c>
      <c r="K15243" s="28" t="s">
        <v>51</v>
      </c>
      <c r="L15243" s="28" t="s">
        <v>51</v>
      </c>
      <c r="M15243" s="28" t="s">
        <v>51</v>
      </c>
      <c r="N15243" s="27">
        <v>2.1922502296898613E-2</v>
      </c>
    </row>
    <row r="15244" spans="1:14" hidden="1" outlineLevel="1" x14ac:dyDescent="0.2">
      <c r="A15244" s="23" t="str">
        <f>HYPERLINK("https://www.spark-marketing.ru/Card/Person/4370075", "МАОУ СОШ №65 ГОРОДА ТЮМЕНИ")</f>
        <v>МАОУ СОШ №65 ГОРОДА ТЮМЕНИ</v>
      </c>
      <c r="B15244" s="24" t="s">
        <v>20145</v>
      </c>
      <c r="C15244" s="25">
        <v>60676340</v>
      </c>
      <c r="D15244" s="22" t="s">
        <v>20140</v>
      </c>
      <c r="E15244" s="22" t="s">
        <v>362</v>
      </c>
      <c r="F15244" s="23" t="str">
        <f t="shared" si="520"/>
        <v>Оказание услуги по обеспечению питанием обучающихся</v>
      </c>
      <c r="G15244" s="22" t="s">
        <v>766</v>
      </c>
      <c r="H15244" s="22" t="s">
        <v>1028</v>
      </c>
      <c r="I15244" s="26">
        <v>43641.769513888903</v>
      </c>
      <c r="J15244" s="28" t="s">
        <v>51</v>
      </c>
      <c r="K15244" s="28" t="s">
        <v>51</v>
      </c>
      <c r="L15244" s="28" t="s">
        <v>51</v>
      </c>
      <c r="M15244" s="28" t="s">
        <v>51</v>
      </c>
      <c r="N15244" s="27">
        <v>2.1922502296898613E-2</v>
      </c>
    </row>
    <row r="15245" spans="1:14" hidden="1" outlineLevel="1" x14ac:dyDescent="0.2">
      <c r="A15245" s="23" t="str">
        <f>HYPERLINK("https://www.spark-marketing.ru/Card/Person/4370802", "МАОУ СОШ №37 ГОРОДА ТЮМЕНИ ИМЕНИ ГЕРОЯ СОВЕТСКОГО СОЮЗА Н.И.КУЗНЕЦОВА")</f>
        <v>МАОУ СОШ №37 ГОРОДА ТЮМЕНИ ИМЕНИ ГЕРОЯ СОВЕТСКОГО СОЮЗА Н.И.КУЗНЕЦОВА</v>
      </c>
      <c r="B15245" s="24" t="s">
        <v>20146</v>
      </c>
      <c r="C15245" s="25">
        <v>14951850</v>
      </c>
      <c r="D15245" s="22" t="s">
        <v>20140</v>
      </c>
      <c r="E15245" s="22" t="s">
        <v>362</v>
      </c>
      <c r="F15245" s="23" t="str">
        <f t="shared" si="520"/>
        <v>Оказание услуги по обеспечению питанием обучающихся</v>
      </c>
      <c r="G15245" s="22" t="s">
        <v>766</v>
      </c>
      <c r="H15245" s="22" t="s">
        <v>1028</v>
      </c>
      <c r="I15245" s="26">
        <v>43641.769513888903</v>
      </c>
      <c r="J15245" s="28" t="s">
        <v>51</v>
      </c>
      <c r="K15245" s="28" t="s">
        <v>51</v>
      </c>
      <c r="L15245" s="28" t="s">
        <v>51</v>
      </c>
      <c r="M15245" s="28" t="s">
        <v>51</v>
      </c>
      <c r="N15245" s="27">
        <v>2.1922502296898613E-2</v>
      </c>
    </row>
    <row r="15246" spans="1:14" hidden="1" outlineLevel="1" x14ac:dyDescent="0.2">
      <c r="A15246" s="23" t="str">
        <f>HYPERLINK("https://www.spark-marketing.ru/Card/Person/4434613", "МАОУ СОШ №40 ГОРОДА ТЮМЕНИ")</f>
        <v>МАОУ СОШ №40 ГОРОДА ТЮМЕНИ</v>
      </c>
      <c r="B15246" s="24" t="s">
        <v>20147</v>
      </c>
      <c r="C15246" s="25">
        <v>18251380</v>
      </c>
      <c r="D15246" s="22" t="s">
        <v>20140</v>
      </c>
      <c r="E15246" s="22" t="s">
        <v>362</v>
      </c>
      <c r="F15246" s="23" t="str">
        <f t="shared" si="520"/>
        <v>Оказание услуги по обеспечению питанием обучающихся</v>
      </c>
      <c r="G15246" s="22" t="s">
        <v>766</v>
      </c>
      <c r="H15246" s="22" t="s">
        <v>1028</v>
      </c>
      <c r="I15246" s="26">
        <v>43641.769513888903</v>
      </c>
      <c r="J15246" s="28" t="s">
        <v>51</v>
      </c>
      <c r="K15246" s="28" t="s">
        <v>51</v>
      </c>
      <c r="L15246" s="28" t="s">
        <v>51</v>
      </c>
      <c r="M15246" s="28" t="s">
        <v>51</v>
      </c>
      <c r="N15246" s="27">
        <v>2.1922502296898613E-2</v>
      </c>
    </row>
    <row r="15247" spans="1:14" hidden="1" outlineLevel="1" x14ac:dyDescent="0.2">
      <c r="A15247" s="23" t="str">
        <f>HYPERLINK("https://www.spark-marketing.ru/Card/Person/4434709", "МАОУ СОШ №73 ""ЛИРА"" ГОРОДА ТЮМЕНИ")</f>
        <v>МАОУ СОШ №73 "ЛИРА" ГОРОДА ТЮМЕНИ</v>
      </c>
      <c r="B15247" s="24" t="s">
        <v>20148</v>
      </c>
      <c r="C15247" s="25">
        <v>4039100</v>
      </c>
      <c r="D15247" s="22" t="s">
        <v>20140</v>
      </c>
      <c r="E15247" s="22" t="s">
        <v>362</v>
      </c>
      <c r="F15247" s="23" t="str">
        <f t="shared" si="520"/>
        <v>Оказание услуги по обеспечению питанием обучающихся</v>
      </c>
      <c r="G15247" s="22" t="s">
        <v>766</v>
      </c>
      <c r="H15247" s="22" t="s">
        <v>1028</v>
      </c>
      <c r="I15247" s="26">
        <v>43641.769513888903</v>
      </c>
      <c r="J15247" s="28" t="s">
        <v>51</v>
      </c>
      <c r="K15247" s="28" t="s">
        <v>51</v>
      </c>
      <c r="L15247" s="28" t="s">
        <v>51</v>
      </c>
      <c r="M15247" s="28" t="s">
        <v>51</v>
      </c>
      <c r="N15247" s="27">
        <v>2.1922502296898613E-2</v>
      </c>
    </row>
    <row r="15248" spans="1:14" x14ac:dyDescent="0.15">
      <c r="A15248" s="23" t="str">
        <f>HYPERLINK("https://www.spark-marketing.ru/Card/Person/91314", "ГБУЗ ""ХОСПИС Г. КРАСНОДАРА"" МЗ КК")</f>
        <v>ГБУЗ "ХОСПИС Г. КРАСНОДАРА" МЗ КК</v>
      </c>
      <c r="B15248" s="24" t="s">
        <v>20149</v>
      </c>
      <c r="C15248" s="25">
        <v>2085777.75</v>
      </c>
      <c r="D15248" s="22" t="s">
        <v>20150</v>
      </c>
      <c r="E15248" s="22" t="s">
        <v>48</v>
      </c>
      <c r="F15248" s="23" t="str">
        <f>HYPERLINK("https://www.spark-marketing.ru/Card/Lot/71668643", "Оказание услуг по обеспечению питания")</f>
        <v>Оказание услуг по обеспечению питания</v>
      </c>
      <c r="G15248" s="22" t="s">
        <v>104</v>
      </c>
      <c r="H15248" s="22" t="s">
        <v>120</v>
      </c>
      <c r="I15248" s="26">
        <v>43641.719444444403</v>
      </c>
      <c r="J15248" s="28" t="s">
        <v>51</v>
      </c>
      <c r="K15248" s="28" t="s">
        <v>51</v>
      </c>
      <c r="L15248" s="28" t="s">
        <v>51</v>
      </c>
      <c r="M15248" s="28" t="s">
        <v>51</v>
      </c>
      <c r="N15248" s="28" t="s">
        <v>51</v>
      </c>
    </row>
    <row r="15249" spans="1:14" ht="12.75" hidden="1" outlineLevel="1" x14ac:dyDescent="0.2">
      <c r="A15249" s="23" t="str">
        <f>HYPERLINK("https://www.spark-marketing.ru/Card/Person/91314", "ГБУЗ ""ХОСПИС Г. КРАСНОДАРА"" МЗ КК")</f>
        <v>ГБУЗ "ХОСПИС Г. КРАСНОДАРА" МЗ КК</v>
      </c>
      <c r="B15249" s="24" t="s">
        <v>20149</v>
      </c>
      <c r="C15249" s="25">
        <v>2085777.75</v>
      </c>
      <c r="D15249" s="22" t="s">
        <v>20150</v>
      </c>
      <c r="E15249" s="22" t="s">
        <v>48</v>
      </c>
      <c r="F15249" s="23" t="str">
        <f>HYPERLINK("https://www.spark-marketing.ru/Card/Lot/71668643", "Оказание услуг по обеспечению питания")</f>
        <v>Оказание услуг по обеспечению питания</v>
      </c>
      <c r="G15249" s="22" t="s">
        <v>104</v>
      </c>
      <c r="H15249" s="22" t="s">
        <v>120</v>
      </c>
      <c r="I15249" s="26">
        <v>43641.719444444403</v>
      </c>
      <c r="J15249" s="23" t="str">
        <f>HYPERLINK("https://www.spark-marketing.ru/Card/Person/839334", "ООО ""БЕЗЕ""")</f>
        <v>ООО "БЕЗЕ"</v>
      </c>
      <c r="K15249" s="24" t="s">
        <v>3938</v>
      </c>
      <c r="L15249" s="22" t="s">
        <v>10</v>
      </c>
      <c r="M15249" s="25">
        <v>1981488.85</v>
      </c>
      <c r="N15249" s="27">
        <v>5.0000005992968333E-2</v>
      </c>
    </row>
    <row r="15250" spans="1:14" hidden="1" outlineLevel="1" x14ac:dyDescent="0.2">
      <c r="A15250" s="23" t="str">
        <f>HYPERLINK("https://www.spark-marketing.ru/Card/Person/91314", "ГБУЗ ""ХОСПИС Г. КРАСНОДАРА"" МЗ КК")</f>
        <v>ГБУЗ "ХОСПИС Г. КРАСНОДАРА" МЗ КК</v>
      </c>
      <c r="B15250" s="24" t="s">
        <v>20149</v>
      </c>
      <c r="C15250" s="25">
        <v>2085777.75</v>
      </c>
      <c r="D15250" s="22" t="s">
        <v>20150</v>
      </c>
      <c r="E15250" s="22" t="s">
        <v>48</v>
      </c>
      <c r="F15250" s="23" t="str">
        <f>HYPERLINK("https://www.spark-marketing.ru/Card/Lot/71668643", "Оказание услуг по обеспечению питания")</f>
        <v>Оказание услуг по обеспечению питания</v>
      </c>
      <c r="G15250" s="22" t="s">
        <v>104</v>
      </c>
      <c r="H15250" s="22" t="s">
        <v>120</v>
      </c>
      <c r="I15250" s="26">
        <v>43641.719444444403</v>
      </c>
      <c r="J15250" s="23" t="str">
        <f>HYPERLINK("https://www.spark-marketing.ru/Card/Person/91407", "МП ""КОМБИНАТ ЛЕЧЕБНОГО ПИТАНИЯ""")</f>
        <v>МП "КОМБИНАТ ЛЕЧЕБНОГО ПИТАНИЯ"</v>
      </c>
      <c r="K15250" s="24" t="s">
        <v>20151</v>
      </c>
      <c r="L15250" s="28" t="s">
        <v>51</v>
      </c>
      <c r="M15250" s="25">
        <v>1991917.74</v>
      </c>
      <c r="N15250" s="27">
        <v>4.5000005393671501E-2</v>
      </c>
    </row>
    <row r="15251" spans="1:14" x14ac:dyDescent="0.15">
      <c r="A15251" s="23" t="str">
        <f>HYPERLINK("https://www.spark-marketing.ru/Card/Person/818028", "МКОУ ""ШКОЛА-ИНТЕРНАТ""")</f>
        <v>МКОУ "ШКОЛА-ИНТЕРНАТ"</v>
      </c>
      <c r="B15251" s="24" t="s">
        <v>20152</v>
      </c>
      <c r="C15251" s="25">
        <v>1198000</v>
      </c>
      <c r="D15251" s="22" t="s">
        <v>20153</v>
      </c>
      <c r="E15251" s="22" t="s">
        <v>48</v>
      </c>
      <c r="F15251" s="23" t="str">
        <f>HYPERLINK("https://www.spark-marketing.ru/Card/Lot/71668079", "Услуги по организации горячего пятиразового питания льготной категории учащихся")</f>
        <v>Услуги по организации горячего пятиразового питания льготной категории учащихся</v>
      </c>
      <c r="G15251" s="22" t="s">
        <v>241</v>
      </c>
      <c r="H15251" s="22" t="s">
        <v>3697</v>
      </c>
      <c r="I15251" s="26">
        <v>43641.725694444402</v>
      </c>
      <c r="J15251" s="28" t="s">
        <v>51</v>
      </c>
      <c r="K15251" s="28" t="s">
        <v>51</v>
      </c>
      <c r="L15251" s="28" t="s">
        <v>51</v>
      </c>
      <c r="M15251" s="28" t="s">
        <v>51</v>
      </c>
      <c r="N15251" s="28" t="s">
        <v>51</v>
      </c>
    </row>
    <row r="15252" spans="1:14" ht="12.75" hidden="1" outlineLevel="1" x14ac:dyDescent="0.2">
      <c r="A15252" s="23" t="str">
        <f>HYPERLINK("https://www.spark-marketing.ru/Card/Person/818028", "МКОУ ""ШКОЛА-ИНТЕРНАТ""")</f>
        <v>МКОУ "ШКОЛА-ИНТЕРНАТ"</v>
      </c>
      <c r="B15252" s="24" t="s">
        <v>20152</v>
      </c>
      <c r="C15252" s="25">
        <v>1198000</v>
      </c>
      <c r="D15252" s="22" t="s">
        <v>20153</v>
      </c>
      <c r="E15252" s="22" t="s">
        <v>48</v>
      </c>
      <c r="F15252" s="23" t="str">
        <f>HYPERLINK("https://www.spark-marketing.ru/Card/Lot/71668079", "Услуги по организации горячего пятиразового питания льготной категории учащихся")</f>
        <v>Услуги по организации горячего пятиразового питания льготной категории учащихся</v>
      </c>
      <c r="G15252" s="22" t="s">
        <v>241</v>
      </c>
      <c r="H15252" s="22" t="s">
        <v>3697</v>
      </c>
      <c r="I15252" s="26">
        <v>43641.725694444402</v>
      </c>
      <c r="J15252" s="23" t="str">
        <f>HYPERLINK("https://www.spark-marketing.ru/Card/Person/232597", "Кляус Наталья Владимировна")</f>
        <v>Кляус Наталья Владимировна</v>
      </c>
      <c r="K15252" s="24" t="s">
        <v>3698</v>
      </c>
      <c r="L15252" s="22" t="s">
        <v>10</v>
      </c>
      <c r="M15252" s="25">
        <v>782757.53</v>
      </c>
      <c r="N15252" s="27">
        <v>0.34661308013355591</v>
      </c>
    </row>
    <row r="15253" spans="1:14" hidden="1" outlineLevel="1" x14ac:dyDescent="0.2">
      <c r="A15253" s="23" t="str">
        <f>HYPERLINK("https://www.spark-marketing.ru/Card/Person/818028", "МКОУ ""ШКОЛА-ИНТЕРНАТ""")</f>
        <v>МКОУ "ШКОЛА-ИНТЕРНАТ"</v>
      </c>
      <c r="B15253" s="24" t="s">
        <v>20152</v>
      </c>
      <c r="C15253" s="25">
        <v>1198000</v>
      </c>
      <c r="D15253" s="22" t="s">
        <v>20153</v>
      </c>
      <c r="E15253" s="22" t="s">
        <v>48</v>
      </c>
      <c r="F15253" s="23" t="str">
        <f>HYPERLINK("https://www.spark-marketing.ru/Card/Lot/71668079", "Услуги по организации горячего пятиразового питания льготной категории учащихся")</f>
        <v>Услуги по организации горячего пятиразового питания льготной категории учащихся</v>
      </c>
      <c r="G15253" s="22" t="s">
        <v>241</v>
      </c>
      <c r="H15253" s="22" t="s">
        <v>3697</v>
      </c>
      <c r="I15253" s="26">
        <v>43641.725694444402</v>
      </c>
      <c r="J15253" s="23" t="str">
        <f>HYPERLINK("https://www.spark-marketing.ru/Card/Person/458156", "ООО ""МИРЯНКА""")</f>
        <v>ООО "МИРЯНКА"</v>
      </c>
      <c r="K15253" s="24" t="s">
        <v>11406</v>
      </c>
      <c r="L15253" s="28" t="s">
        <v>51</v>
      </c>
      <c r="M15253" s="25">
        <v>788747.53</v>
      </c>
      <c r="N15253" s="27">
        <v>0.3416130801335559</v>
      </c>
    </row>
    <row r="15254" spans="1:14" hidden="1" outlineLevel="1" x14ac:dyDescent="0.2">
      <c r="A15254" s="23" t="str">
        <f>HYPERLINK("https://www.spark-marketing.ru/Card/Person/818028", "МКОУ ""ШКОЛА-ИНТЕРНАТ""")</f>
        <v>МКОУ "ШКОЛА-ИНТЕРНАТ"</v>
      </c>
      <c r="B15254" s="24" t="s">
        <v>20152</v>
      </c>
      <c r="C15254" s="25">
        <v>1198000</v>
      </c>
      <c r="D15254" s="22" t="s">
        <v>20153</v>
      </c>
      <c r="E15254" s="22" t="s">
        <v>48</v>
      </c>
      <c r="F15254" s="23" t="str">
        <f>HYPERLINK("https://www.spark-marketing.ru/Card/Lot/71668079", "Услуги по организации горячего пятиразового питания льготной категории учащихся")</f>
        <v>Услуги по организации горячего пятиразового питания льготной категории учащихся</v>
      </c>
      <c r="G15254" s="22" t="s">
        <v>241</v>
      </c>
      <c r="H15254" s="22" t="s">
        <v>3697</v>
      </c>
      <c r="I15254" s="26">
        <v>43641.725694444402</v>
      </c>
      <c r="J15254" s="23" t="str">
        <f>HYPERLINK("https://www.spark-marketing.ru/Card/Person/135032", "ООО ""РЯБИНУШКА""")</f>
        <v>ООО "РЯБИНУШКА"</v>
      </c>
      <c r="K15254" s="24" t="s">
        <v>3699</v>
      </c>
      <c r="L15254" s="28" t="s">
        <v>51</v>
      </c>
      <c r="M15254" s="25">
        <v>1016382.54</v>
      </c>
      <c r="N15254" s="27">
        <v>0.15160055091819699</v>
      </c>
    </row>
    <row r="15255" spans="1:14" x14ac:dyDescent="0.15">
      <c r="A15255" s="23" t="str">
        <f>HYPERLINK("https://www.spark-marketing.ru/Card/Person/540172", "ОГАУ ""ФК ""САХАЛИН""")</f>
        <v>ОГАУ "ФК "САХАЛИН"</v>
      </c>
      <c r="B15255" s="24" t="s">
        <v>1416</v>
      </c>
      <c r="C15255" s="25">
        <v>130200</v>
      </c>
      <c r="D15255" s="22" t="s">
        <v>20154</v>
      </c>
      <c r="E15255" s="22" t="s">
        <v>362</v>
      </c>
      <c r="F15255" s="23" t="str">
        <f>HYPERLINK("https://www.spark-marketing.ru/Card/Lot/71641989", "Оказание услуг по организации питания")</f>
        <v>Оказание услуг по организации питания</v>
      </c>
      <c r="G15255" s="22" t="s">
        <v>260</v>
      </c>
      <c r="H15255" s="22" t="s">
        <v>260</v>
      </c>
      <c r="I15255" s="26">
        <v>43641.739282407398</v>
      </c>
      <c r="J15255" s="28" t="s">
        <v>51</v>
      </c>
      <c r="K15255" s="28" t="s">
        <v>51</v>
      </c>
      <c r="L15255" s="28" t="s">
        <v>51</v>
      </c>
      <c r="M15255" s="28" t="s">
        <v>51</v>
      </c>
      <c r="N15255" s="28" t="s">
        <v>51</v>
      </c>
    </row>
    <row r="15256" spans="1:14" x14ac:dyDescent="0.15">
      <c r="A15256" s="23" t="str">
        <f>HYPERLINK("https://www.spark-marketing.ru/Card/Person/11733", "РТУ МИРЭА")</f>
        <v>РТУ МИРЭА</v>
      </c>
      <c r="B15256" s="24" t="s">
        <v>1305</v>
      </c>
      <c r="C15256" s="25">
        <v>205700</v>
      </c>
      <c r="D15256" s="22" t="s">
        <v>20155</v>
      </c>
      <c r="E15256" s="22" t="s">
        <v>562</v>
      </c>
      <c r="F15256" s="23" t="str">
        <f>HYPERLINK("https://www.spark-marketing.ru/Card/Lot/71660861", "Оказание услуг по организации питания")</f>
        <v>Оказание услуг по организации питания</v>
      </c>
      <c r="G15256" s="22" t="s">
        <v>56</v>
      </c>
      <c r="H15256" s="22" t="s">
        <v>56</v>
      </c>
      <c r="I15256" s="26">
        <v>43641.723449074103</v>
      </c>
      <c r="J15256" s="28" t="s">
        <v>51</v>
      </c>
      <c r="K15256" s="28" t="s">
        <v>51</v>
      </c>
      <c r="L15256" s="28" t="s">
        <v>51</v>
      </c>
      <c r="M15256" s="28" t="s">
        <v>51</v>
      </c>
      <c r="N15256" s="28" t="s">
        <v>51</v>
      </c>
    </row>
    <row r="15257" spans="1:14" x14ac:dyDescent="0.15">
      <c r="A15257" s="23" t="str">
        <f>HYPERLINK("https://www.spark-marketing.ru/Card/Person/9007", "УСД В РЕСПУБЛИКЕ БАШКОРТОСТАН")</f>
        <v>УСД В РЕСПУБЛИКЕ БАШКОРТОСТАН</v>
      </c>
      <c r="B15257" s="24" t="s">
        <v>20156</v>
      </c>
      <c r="C15257" s="25">
        <v>3930000</v>
      </c>
      <c r="D15257" s="22" t="s">
        <v>20157</v>
      </c>
      <c r="E15257" s="22" t="s">
        <v>756</v>
      </c>
      <c r="F15257" s="23" t="str">
        <f>HYPERLINK("https://www.spark-marketing.ru/Card/Lot/71670225", "Оказание услуг по техническому обслуживанию систем охранно-пожарной сигнализации, систем оповещения и управления эвакуацией, систем автоматического пожаротушения, систем тревожной сигнализации, систем видеонаблюдения, систем контроля управления досту...")</f>
        <v>Оказание услуг по техническому обслуживанию систем охранно-пожарной сигнализации, систем оповещения и управления эвакуацией, систем автоматического пожаротушения, систем тревожной сигнализации, систем видеонаблюдения, систем контроля управления досту...</v>
      </c>
      <c r="G15257" s="22" t="s">
        <v>145</v>
      </c>
      <c r="H15257" s="22" t="s">
        <v>145</v>
      </c>
      <c r="I15257" s="26">
        <v>43641.724999999999</v>
      </c>
      <c r="J15257" s="28" t="s">
        <v>51</v>
      </c>
      <c r="K15257" s="28" t="s">
        <v>51</v>
      </c>
      <c r="L15257" s="28" t="s">
        <v>51</v>
      </c>
      <c r="M15257" s="28" t="s">
        <v>51</v>
      </c>
      <c r="N15257" s="28" t="s">
        <v>51</v>
      </c>
    </row>
    <row r="15258" spans="1:14" hidden="1" outlineLevel="1" x14ac:dyDescent="0.2">
      <c r="A15258" s="23" t="str">
        <f>HYPERLINK("https://www.spark-marketing.ru/Card/Person/9007", "УСД В РЕСПУБЛИКЕ БАШКОРТОСТАН")</f>
        <v>УСД В РЕСПУБЛИКЕ БАШКОРТОСТАН</v>
      </c>
      <c r="B15258" s="24" t="s">
        <v>20156</v>
      </c>
      <c r="C15258" s="25">
        <v>3930000</v>
      </c>
      <c r="D15258" s="22" t="s">
        <v>20157</v>
      </c>
      <c r="E15258" s="22" t="s">
        <v>756</v>
      </c>
      <c r="F15258" s="23" t="str">
        <f>HYPERLINK("https://www.spark-marketing.ru/Card/Lot/71670225", "Оказание услуг по техническому обслуживанию систем охранно-пожарной сигнализации, систем оповещения и управления эвакуацией, систем автоматического пожаротушения, систем тревожной сигнализации, систем видеонаблюдения, систем контроля управления досту...")</f>
        <v>Оказание услуг по техническому обслуживанию систем охранно-пожарной сигнализации, систем оповещения и управления эвакуацией, систем автоматического пожаротушения, систем тревожной сигнализации, систем видеонаблюдения, систем контроля управления досту...</v>
      </c>
      <c r="G15258" s="22" t="s">
        <v>145</v>
      </c>
      <c r="H15258" s="22" t="s">
        <v>145</v>
      </c>
      <c r="I15258" s="26">
        <v>43641.724999999999</v>
      </c>
      <c r="J15258" s="23" t="str">
        <f>HYPERLINK("https://www.spark-marketing.ru/Card/Person/88754", "ООО ""АРСЕНАЛ-ТСБ""")</f>
        <v>ООО "АРСЕНАЛ-ТСБ"</v>
      </c>
      <c r="K15258" s="24" t="s">
        <v>20158</v>
      </c>
      <c r="L15258" s="28" t="s">
        <v>51</v>
      </c>
      <c r="M15258" s="25">
        <v>1871988.01</v>
      </c>
      <c r="N15258" s="27">
        <v>0.52366717302798982</v>
      </c>
    </row>
    <row r="15259" spans="1:14" ht="12.75" hidden="1" outlineLevel="1" x14ac:dyDescent="0.2">
      <c r="A15259" s="23" t="str">
        <f>HYPERLINK("https://www.spark-marketing.ru/Card/Person/9007", "УСД В РЕСПУБЛИКЕ БАШКОРТОСТАН")</f>
        <v>УСД В РЕСПУБЛИКЕ БАШКОРТОСТАН</v>
      </c>
      <c r="B15259" s="24" t="s">
        <v>20156</v>
      </c>
      <c r="C15259" s="25">
        <v>3930000</v>
      </c>
      <c r="D15259" s="22" t="s">
        <v>20157</v>
      </c>
      <c r="E15259" s="22" t="s">
        <v>756</v>
      </c>
      <c r="F15259" s="23" t="str">
        <f>HYPERLINK("https://www.spark-marketing.ru/Card/Lot/71670225", "Оказание услуг по техническому обслуживанию систем охранно-пожарной сигнализации, систем оповещения и управления эвакуацией, систем автоматического пожаротушения, систем тревожной сигнализации, систем видеонаблюдения, систем контроля управления досту...")</f>
        <v>Оказание услуг по техническому обслуживанию систем охранно-пожарной сигнализации, систем оповещения и управления эвакуацией, систем автоматического пожаротушения, систем тревожной сигнализации, систем видеонаблюдения, систем контроля управления досту...</v>
      </c>
      <c r="G15259" s="22" t="s">
        <v>145</v>
      </c>
      <c r="H15259" s="22" t="s">
        <v>145</v>
      </c>
      <c r="I15259" s="26">
        <v>43641.724999999999</v>
      </c>
      <c r="J15259" s="23" t="str">
        <f>HYPERLINK("https://www.spark-marketing.ru/Card/Person/121453", "ООО ""СФЕРА ИНЖИНИРИНГ""")</f>
        <v>ООО "СФЕРА ИНЖИНИРИНГ"</v>
      </c>
      <c r="K15259" s="24" t="s">
        <v>20159</v>
      </c>
      <c r="L15259" s="22" t="s">
        <v>10</v>
      </c>
      <c r="M15259" s="25">
        <v>1860095.92</v>
      </c>
      <c r="N15259" s="27">
        <v>0.52669315012722651</v>
      </c>
    </row>
    <row r="15260" spans="1:14" x14ac:dyDescent="0.15">
      <c r="A15260" s="23" t="str">
        <f>HYPERLINK("https://www.spark-marketing.ru/Card/Person/55570", "ЦЕНТР СПЕЦИАЛЬНОЙ СВЯЗИ И ИНФОРМАЦИИ ФЕДЕРАЛЬНОЙ СЛУЖБЫ ОХРАНЫ РОССИЙСКОЙ ФЕДЕРАЦИИ В КАЛИНИНГРАДСКОЙ ОБЛАСТИ")</f>
        <v>ЦЕНТР СПЕЦИАЛЬНОЙ СВЯЗИ И ИНФОРМАЦИИ ФЕДЕРАЛЬНОЙ СЛУЖБЫ ОХРАНЫ РОССИЙСКОЙ ФЕДЕРАЦИИ В КАЛИНИНГРАДСКОЙ ОБЛАСТИ</v>
      </c>
      <c r="B15260" s="24" t="s">
        <v>20160</v>
      </c>
      <c r="C15260" s="25">
        <v>146120</v>
      </c>
      <c r="D15260" s="22" t="s">
        <v>20161</v>
      </c>
      <c r="E15260" s="22" t="s">
        <v>152</v>
      </c>
      <c r="F15260" s="23" t="str">
        <f>HYPERLINK("https://www.spark-marketing.ru/Card/Lot/71673038", "Услуги по текущему ремонту источников бесперебойного питания в сфере информационно-коммуникационных технологий")</f>
        <v>Услуги по текущему ремонту источников бесперебойного питания в сфере информационно-коммуникационных технологий</v>
      </c>
      <c r="G15260" s="22" t="s">
        <v>400</v>
      </c>
      <c r="H15260" s="22" t="s">
        <v>400</v>
      </c>
      <c r="I15260" s="26">
        <v>43641.708634259303</v>
      </c>
      <c r="J15260" s="23" t="str">
        <f>HYPERLINK("https://www.spark-marketing.ru/Card/Person/579210", "ООО ""ПЕЧАТНИК""")</f>
        <v>ООО "ПЕЧАТНИК"</v>
      </c>
      <c r="K15260" s="24" t="s">
        <v>20162</v>
      </c>
      <c r="L15260" s="22" t="s">
        <v>10</v>
      </c>
      <c r="M15260" s="28" t="s">
        <v>51</v>
      </c>
      <c r="N15260" s="28" t="s">
        <v>51</v>
      </c>
    </row>
    <row r="15261" spans="1:14" x14ac:dyDescent="0.15">
      <c r="A15261" s="23" t="str">
        <f>HYPERLINK("https://www.spark-marketing.ru/Card/Person/121861", "ГБУ ВО ""ОМЦ""")</f>
        <v>ГБУ ВО "ОМЦ"</v>
      </c>
      <c r="B15261" s="24" t="s">
        <v>79</v>
      </c>
      <c r="C15261" s="25">
        <v>2500000</v>
      </c>
      <c r="D15261" s="22" t="s">
        <v>20163</v>
      </c>
      <c r="E15261" s="22" t="s">
        <v>81</v>
      </c>
      <c r="F15261" s="23" t="str">
        <f>HYPERLINK("https://www.spark-marketing.ru/Card/Lot/71668875", "2019-03853/Оказание услуг по организации проживания с питанием участников, организаторов и гостей Форума добровольцев Центрального федерального округа")</f>
        <v>2019-03853/Оказание услуг по организации проживания с питанием участников, организаторов и гостей Форума добровольцев Центрального федерального округа</v>
      </c>
      <c r="G15261" s="22" t="s">
        <v>82</v>
      </c>
      <c r="H15261" s="22" t="s">
        <v>83</v>
      </c>
      <c r="I15261" s="26">
        <v>43641.715277777803</v>
      </c>
      <c r="J15261" s="23" t="str">
        <f>HYPERLINK("https://www.spark-marketing.ru/Card/Person/2128797", "ООО ""ОЛИВА""")</f>
        <v>ООО "ОЛИВА"</v>
      </c>
      <c r="K15261" s="24" t="s">
        <v>17712</v>
      </c>
      <c r="L15261" s="22" t="s">
        <v>10</v>
      </c>
      <c r="M15261" s="28" t="s">
        <v>51</v>
      </c>
      <c r="N15261" s="28" t="s">
        <v>51</v>
      </c>
    </row>
    <row r="15262" spans="1:14" x14ac:dyDescent="0.15">
      <c r="A15262" s="23" t="str">
        <f>HYPERLINK("https://www.spark-marketing.ru/Card/Person/51795", "УМВД РОССИИ ПО ОДИНЦОВСКОМУ ГОРОДСКОМУ ОКРУГУ")</f>
        <v>УМВД РОССИИ ПО ОДИНЦОВСКОМУ ГОРОДСКОМУ ОКРУГУ</v>
      </c>
      <c r="B15262" s="24" t="s">
        <v>20164</v>
      </c>
      <c r="C15262" s="25">
        <v>4541760</v>
      </c>
      <c r="D15262" s="22" t="s">
        <v>20165</v>
      </c>
      <c r="E15262" s="22" t="s">
        <v>48</v>
      </c>
      <c r="F15262" s="23" t="str">
        <f>HYPERLINK("https://www.spark-marketing.ru/Card/Lot/71670021", "оказание услуг по питанию граждан, содержащихся в ИВС")</f>
        <v>оказание услуг по питанию граждан, содержащихся в ИВС</v>
      </c>
      <c r="G15262" s="22" t="s">
        <v>49</v>
      </c>
      <c r="H15262" s="22" t="s">
        <v>577</v>
      </c>
      <c r="I15262" s="26">
        <v>43641.736111111102</v>
      </c>
      <c r="J15262" s="28" t="s">
        <v>51</v>
      </c>
      <c r="K15262" s="28" t="s">
        <v>51</v>
      </c>
      <c r="L15262" s="28" t="s">
        <v>51</v>
      </c>
      <c r="M15262" s="28" t="s">
        <v>51</v>
      </c>
      <c r="N15262" s="28" t="s">
        <v>51</v>
      </c>
    </row>
    <row r="15263" spans="1:14" hidden="1" outlineLevel="1" x14ac:dyDescent="0.2">
      <c r="A15263" s="23" t="str">
        <f>HYPERLINK("https://www.spark-marketing.ru/Card/Person/51795", "УМВД РОССИИ ПО ОДИНЦОВСКОМУ ГОРОДСКОМУ ОКРУГУ")</f>
        <v>УМВД РОССИИ ПО ОДИНЦОВСКОМУ ГОРОДСКОМУ ОКРУГУ</v>
      </c>
      <c r="B15263" s="24" t="s">
        <v>20164</v>
      </c>
      <c r="C15263" s="25">
        <v>4541760</v>
      </c>
      <c r="D15263" s="22" t="s">
        <v>20165</v>
      </c>
      <c r="E15263" s="22" t="s">
        <v>48</v>
      </c>
      <c r="F15263" s="23" t="str">
        <f>HYPERLINK("https://www.spark-marketing.ru/Card/Lot/71670021", "оказание услуг по питанию граждан, содержащихся в ИВС")</f>
        <v>оказание услуг по питанию граждан, содержащихся в ИВС</v>
      </c>
      <c r="G15263" s="22" t="s">
        <v>49</v>
      </c>
      <c r="H15263" s="22" t="s">
        <v>577</v>
      </c>
      <c r="I15263" s="26">
        <v>43641.736111111102</v>
      </c>
      <c r="J15263" s="23" t="str">
        <f>HYPERLINK("https://www.spark-marketing.ru/Card/Person/115242", "Башмаков Николай Николаевич")</f>
        <v>Башмаков Николай Николаевич</v>
      </c>
      <c r="K15263" s="24" t="s">
        <v>5812</v>
      </c>
      <c r="L15263" s="28" t="s">
        <v>51</v>
      </c>
      <c r="M15263" s="25">
        <v>221</v>
      </c>
      <c r="N15263" s="27">
        <v>0.99995134044951739</v>
      </c>
    </row>
    <row r="15264" spans="1:14" ht="12.75" hidden="1" outlineLevel="1" x14ac:dyDescent="0.2">
      <c r="A15264" s="23" t="str">
        <f>HYPERLINK("https://www.spark-marketing.ru/Card/Person/51795", "УМВД РОССИИ ПО ОДИНЦОВСКОМУ ГОРОДСКОМУ ОКРУГУ")</f>
        <v>УМВД РОССИИ ПО ОДИНЦОВСКОМУ ГОРОДСКОМУ ОКРУГУ</v>
      </c>
      <c r="B15264" s="24" t="s">
        <v>20164</v>
      </c>
      <c r="C15264" s="25">
        <v>4541760</v>
      </c>
      <c r="D15264" s="22" t="s">
        <v>20165</v>
      </c>
      <c r="E15264" s="22" t="s">
        <v>48</v>
      </c>
      <c r="F15264" s="23" t="str">
        <f>HYPERLINK("https://www.spark-marketing.ru/Card/Lot/71670021", "оказание услуг по питанию граждан, содержащихся в ИВС")</f>
        <v>оказание услуг по питанию граждан, содержащихся в ИВС</v>
      </c>
      <c r="G15264" s="22" t="s">
        <v>49</v>
      </c>
      <c r="H15264" s="22" t="s">
        <v>577</v>
      </c>
      <c r="I15264" s="26">
        <v>43641.736111111102</v>
      </c>
      <c r="J15264" s="23" t="str">
        <f>HYPERLINK("https://www.spark-marketing.ru/Card/Person/6578901", "ООО ""ДОРОГА""")</f>
        <v>ООО "ДОРОГА"</v>
      </c>
      <c r="K15264" s="24" t="s">
        <v>3102</v>
      </c>
      <c r="L15264" s="22" t="s">
        <v>10</v>
      </c>
      <c r="M15264" s="25">
        <v>221</v>
      </c>
      <c r="N15264" s="27">
        <v>0.99995134044951739</v>
      </c>
    </row>
    <row r="15265" spans="1:14" x14ac:dyDescent="0.15">
      <c r="A15265" s="23" t="str">
        <f t="shared" ref="A15265:A15275" si="521">HYPERLINK("https://www.spark-marketing.ru/Card/Person/16469", "ГБУЗ СО ""ПТД""")</f>
        <v>ГБУЗ СО "ПТД"</v>
      </c>
      <c r="B15265" s="24" t="s">
        <v>2531</v>
      </c>
      <c r="C15265" s="25">
        <v>643416.76</v>
      </c>
      <c r="D15265" s="22" t="s">
        <v>20166</v>
      </c>
      <c r="E15265" s="22" t="s">
        <v>62</v>
      </c>
      <c r="F15265" s="23" t="str">
        <f t="shared" ref="F15265:F15275" si="522">HYPERLINK("https://www.spark-marketing.ru/Card/Lot/71666660", "Поставка печатной продукции по макетам заказчика (бланки, анкеты) для ГБУЗ СО «ПТД» в 2019 году")</f>
        <v>Поставка печатной продукции по макетам заказчика (бланки, анкеты) для ГБУЗ СО «ПТД» в 2019 году</v>
      </c>
      <c r="G15265" s="22" t="s">
        <v>174</v>
      </c>
      <c r="H15265" s="22" t="s">
        <v>530</v>
      </c>
      <c r="I15265" s="26">
        <v>43641.728472222203</v>
      </c>
      <c r="J15265" s="28" t="s">
        <v>51</v>
      </c>
      <c r="K15265" s="28" t="s">
        <v>51</v>
      </c>
      <c r="L15265" s="28" t="s">
        <v>51</v>
      </c>
      <c r="M15265" s="28" t="s">
        <v>51</v>
      </c>
      <c r="N15265" s="28" t="s">
        <v>51</v>
      </c>
    </row>
    <row r="15266" spans="1:14" hidden="1" outlineLevel="1" x14ac:dyDescent="0.2">
      <c r="A15266" s="23" t="str">
        <f t="shared" si="521"/>
        <v>ГБУЗ СО "ПТД"</v>
      </c>
      <c r="B15266" s="24" t="s">
        <v>2531</v>
      </c>
      <c r="C15266" s="25">
        <v>643416.76</v>
      </c>
      <c r="D15266" s="22" t="s">
        <v>20166</v>
      </c>
      <c r="E15266" s="22" t="s">
        <v>62</v>
      </c>
      <c r="F15266" s="23" t="str">
        <f t="shared" si="522"/>
        <v>Поставка печатной продукции по макетам заказчика (бланки, анкеты) для ГБУЗ СО «ПТД» в 2019 году</v>
      </c>
      <c r="G15266" s="22" t="s">
        <v>174</v>
      </c>
      <c r="H15266" s="22" t="s">
        <v>530</v>
      </c>
      <c r="I15266" s="26">
        <v>43641.728472222203</v>
      </c>
      <c r="J15266" s="23" t="str">
        <f>HYPERLINK("https://www.spark-marketing.ru/Card/Person/62815", "ООО ""КУНГУРСКАЯ ТИПОГРАФИЯ""")</f>
        <v>ООО "КУНГУРСКАЯ ТИПОГРАФИЯ"</v>
      </c>
      <c r="K15266" s="24" t="s">
        <v>6201</v>
      </c>
      <c r="L15266" s="28" t="s">
        <v>51</v>
      </c>
      <c r="M15266" s="25">
        <v>259572.84</v>
      </c>
      <c r="N15266" s="27">
        <v>0.5965712176972201</v>
      </c>
    </row>
    <row r="15267" spans="1:14" hidden="1" outlineLevel="1" x14ac:dyDescent="0.2">
      <c r="A15267" s="23" t="str">
        <f t="shared" si="521"/>
        <v>ГБУЗ СО "ПТД"</v>
      </c>
      <c r="B15267" s="24" t="s">
        <v>2531</v>
      </c>
      <c r="C15267" s="25">
        <v>643416.76</v>
      </c>
      <c r="D15267" s="22" t="s">
        <v>20166</v>
      </c>
      <c r="E15267" s="22" t="s">
        <v>62</v>
      </c>
      <c r="F15267" s="23" t="str">
        <f t="shared" si="522"/>
        <v>Поставка печатной продукции по макетам заказчика (бланки, анкеты) для ГБУЗ СО «ПТД» в 2019 году</v>
      </c>
      <c r="G15267" s="22" t="s">
        <v>174</v>
      </c>
      <c r="H15267" s="22" t="s">
        <v>530</v>
      </c>
      <c r="I15267" s="26">
        <v>43641.728472222203</v>
      </c>
      <c r="J15267" s="23" t="str">
        <f>HYPERLINK("https://www.spark-marketing.ru/Card/Person/754067", "Катасонова Ирина Евгеньевна")</f>
        <v>Катасонова Ирина Евгеньевна</v>
      </c>
      <c r="K15267" s="24" t="s">
        <v>20167</v>
      </c>
      <c r="L15267" s="28" t="s">
        <v>51</v>
      </c>
      <c r="M15267" s="25">
        <v>240000</v>
      </c>
      <c r="N15267" s="27">
        <v>0.62699137647580083</v>
      </c>
    </row>
    <row r="15268" spans="1:14" hidden="1" outlineLevel="1" x14ac:dyDescent="0.2">
      <c r="A15268" s="23" t="str">
        <f t="shared" si="521"/>
        <v>ГБУЗ СО "ПТД"</v>
      </c>
      <c r="B15268" s="24" t="s">
        <v>2531</v>
      </c>
      <c r="C15268" s="25">
        <v>643416.76</v>
      </c>
      <c r="D15268" s="22" t="s">
        <v>20166</v>
      </c>
      <c r="E15268" s="22" t="s">
        <v>62</v>
      </c>
      <c r="F15268" s="23" t="str">
        <f t="shared" si="522"/>
        <v>Поставка печатной продукции по макетам заказчика (бланки, анкеты) для ГБУЗ СО «ПТД» в 2019 году</v>
      </c>
      <c r="G15268" s="22" t="s">
        <v>174</v>
      </c>
      <c r="H15268" s="22" t="s">
        <v>530</v>
      </c>
      <c r="I15268" s="26">
        <v>43641.728472222203</v>
      </c>
      <c r="J15268" s="23" t="str">
        <f>HYPERLINK("https://www.spark-marketing.ru/Card/Person/594725", "ООО ""ФОТОХУДОЖНИК""")</f>
        <v>ООО "ФОТОХУДОЖНИК"</v>
      </c>
      <c r="K15268" s="24" t="s">
        <v>20168</v>
      </c>
      <c r="L15268" s="28" t="s">
        <v>51</v>
      </c>
      <c r="M15268" s="25">
        <v>301395</v>
      </c>
      <c r="N15268" s="27">
        <v>0.53157110797051665</v>
      </c>
    </row>
    <row r="15269" spans="1:14" hidden="1" outlineLevel="1" x14ac:dyDescent="0.2">
      <c r="A15269" s="23" t="str">
        <f t="shared" si="521"/>
        <v>ГБУЗ СО "ПТД"</v>
      </c>
      <c r="B15269" s="24" t="s">
        <v>2531</v>
      </c>
      <c r="C15269" s="25">
        <v>643416.76</v>
      </c>
      <c r="D15269" s="22" t="s">
        <v>20166</v>
      </c>
      <c r="E15269" s="22" t="s">
        <v>62</v>
      </c>
      <c r="F15269" s="23" t="str">
        <f t="shared" si="522"/>
        <v>Поставка печатной продукции по макетам заказчика (бланки, анкеты) для ГБУЗ СО «ПТД» в 2019 году</v>
      </c>
      <c r="G15269" s="22" t="s">
        <v>174</v>
      </c>
      <c r="H15269" s="22" t="s">
        <v>530</v>
      </c>
      <c r="I15269" s="26">
        <v>43641.728472222203</v>
      </c>
      <c r="J15269" s="23" t="str">
        <f>HYPERLINK("https://www.spark-marketing.ru/Card/Person/6512097", "Шарохин Кирилл Александрович")</f>
        <v>Шарохин Кирилл Александрович</v>
      </c>
      <c r="K15269" s="24" t="s">
        <v>20169</v>
      </c>
      <c r="L15269" s="28" t="s">
        <v>51</v>
      </c>
      <c r="M15269" s="25">
        <v>198177.6</v>
      </c>
      <c r="N15269" s="27">
        <v>0.69199185921112782</v>
      </c>
    </row>
    <row r="15270" spans="1:14" hidden="1" outlineLevel="1" x14ac:dyDescent="0.2">
      <c r="A15270" s="23" t="str">
        <f t="shared" si="521"/>
        <v>ГБУЗ СО "ПТД"</v>
      </c>
      <c r="B15270" s="24" t="s">
        <v>2531</v>
      </c>
      <c r="C15270" s="25">
        <v>643416.76</v>
      </c>
      <c r="D15270" s="22" t="s">
        <v>20166</v>
      </c>
      <c r="E15270" s="22" t="s">
        <v>62</v>
      </c>
      <c r="F15270" s="23" t="str">
        <f t="shared" si="522"/>
        <v>Поставка печатной продукции по макетам заказчика (бланки, анкеты) для ГБУЗ СО «ПТД» в 2019 году</v>
      </c>
      <c r="G15270" s="22" t="s">
        <v>174</v>
      </c>
      <c r="H15270" s="22" t="s">
        <v>530</v>
      </c>
      <c r="I15270" s="26">
        <v>43641.728472222203</v>
      </c>
      <c r="J15270" s="23" t="str">
        <f>HYPERLINK("https://www.spark-marketing.ru/Card/Person/14191", "ФГУП ""ПО ""ОКТЯБРЬ""")</f>
        <v>ФГУП "ПО "ОКТЯБРЬ"</v>
      </c>
      <c r="K15270" s="24" t="s">
        <v>20170</v>
      </c>
      <c r="L15270" s="28" t="s">
        <v>51</v>
      </c>
      <c r="M15270" s="25">
        <v>175657.2</v>
      </c>
      <c r="N15270" s="27">
        <v>0.72699312339952105</v>
      </c>
    </row>
    <row r="15271" spans="1:14" hidden="1" outlineLevel="1" x14ac:dyDescent="0.2">
      <c r="A15271" s="23" t="str">
        <f t="shared" si="521"/>
        <v>ГБУЗ СО "ПТД"</v>
      </c>
      <c r="B15271" s="24" t="s">
        <v>2531</v>
      </c>
      <c r="C15271" s="25">
        <v>643416.76</v>
      </c>
      <c r="D15271" s="22" t="s">
        <v>20166</v>
      </c>
      <c r="E15271" s="22" t="s">
        <v>62</v>
      </c>
      <c r="F15271" s="23" t="str">
        <f t="shared" si="522"/>
        <v>Поставка печатной продукции по макетам заказчика (бланки, анкеты) для ГБУЗ СО «ПТД» в 2019 году</v>
      </c>
      <c r="G15271" s="22" t="s">
        <v>174</v>
      </c>
      <c r="H15271" s="22" t="s">
        <v>530</v>
      </c>
      <c r="I15271" s="26">
        <v>43641.728472222203</v>
      </c>
      <c r="J15271" s="23" t="str">
        <f>HYPERLINK("https://www.spark-marketing.ru/Card/Person/110731", "ООО ""ТИПОГРАФИЯ""")</f>
        <v>ООО "ТИПОГРАФИЯ"</v>
      </c>
      <c r="K15271" s="24" t="s">
        <v>5953</v>
      </c>
      <c r="L15271" s="28" t="s">
        <v>51</v>
      </c>
      <c r="M15271" s="25">
        <v>256355.76</v>
      </c>
      <c r="N15271" s="27">
        <v>0.60157121179125017</v>
      </c>
    </row>
    <row r="15272" spans="1:14" hidden="1" outlineLevel="1" x14ac:dyDescent="0.2">
      <c r="A15272" s="23" t="str">
        <f t="shared" si="521"/>
        <v>ГБУЗ СО "ПТД"</v>
      </c>
      <c r="B15272" s="24" t="s">
        <v>2531</v>
      </c>
      <c r="C15272" s="25">
        <v>643416.76</v>
      </c>
      <c r="D15272" s="22" t="s">
        <v>20166</v>
      </c>
      <c r="E15272" s="22" t="s">
        <v>62</v>
      </c>
      <c r="F15272" s="23" t="str">
        <f t="shared" si="522"/>
        <v>Поставка печатной продукции по макетам заказчика (бланки, анкеты) для ГБУЗ СО «ПТД» в 2019 году</v>
      </c>
      <c r="G15272" s="22" t="s">
        <v>174</v>
      </c>
      <c r="H15272" s="22" t="s">
        <v>530</v>
      </c>
      <c r="I15272" s="26">
        <v>43641.728472222203</v>
      </c>
      <c r="J15272" s="23" t="str">
        <f>HYPERLINK("https://www.spark-marketing.ru/Card/Person/6438869", "ООО ""ТИПОГРАФИЯ КОЛОРИТ""")</f>
        <v>ООО "ТИПОГРАФИЯ КОЛОРИТ"</v>
      </c>
      <c r="K15272" s="24" t="s">
        <v>20171</v>
      </c>
      <c r="L15272" s="28" t="s">
        <v>51</v>
      </c>
      <c r="M15272" s="25">
        <v>483487.52</v>
      </c>
      <c r="N15272" s="27">
        <v>0.24856244030696373</v>
      </c>
    </row>
    <row r="15273" spans="1:14" hidden="1" outlineLevel="1" x14ac:dyDescent="0.2">
      <c r="A15273" s="23" t="str">
        <f t="shared" si="521"/>
        <v>ГБУЗ СО "ПТД"</v>
      </c>
      <c r="B15273" s="24" t="s">
        <v>2531</v>
      </c>
      <c r="C15273" s="25">
        <v>643416.76</v>
      </c>
      <c r="D15273" s="22" t="s">
        <v>20166</v>
      </c>
      <c r="E15273" s="22" t="s">
        <v>62</v>
      </c>
      <c r="F15273" s="23" t="str">
        <f t="shared" si="522"/>
        <v>Поставка печатной продукции по макетам заказчика (бланки, анкеты) для ГБУЗ СО «ПТД» в 2019 году</v>
      </c>
      <c r="G15273" s="22" t="s">
        <v>174</v>
      </c>
      <c r="H15273" s="22" t="s">
        <v>530</v>
      </c>
      <c r="I15273" s="26">
        <v>43641.728472222203</v>
      </c>
      <c r="J15273" s="23" t="str">
        <f>HYPERLINK("https://www.spark-marketing.ru/Card/Person/183917", "ООО ""КАНЦТОВАРЫ""")</f>
        <v>ООО "КАНЦТОВАРЫ"</v>
      </c>
      <c r="K15273" s="24" t="s">
        <v>6208</v>
      </c>
      <c r="L15273" s="28" t="s">
        <v>51</v>
      </c>
      <c r="M15273" s="25">
        <v>340000</v>
      </c>
      <c r="N15273" s="27">
        <v>0.47157111667405122</v>
      </c>
    </row>
    <row r="15274" spans="1:14" ht="12.75" hidden="1" outlineLevel="1" x14ac:dyDescent="0.2">
      <c r="A15274" s="23" t="str">
        <f t="shared" si="521"/>
        <v>ГБУЗ СО "ПТД"</v>
      </c>
      <c r="B15274" s="24" t="s">
        <v>2531</v>
      </c>
      <c r="C15274" s="25">
        <v>643416.76</v>
      </c>
      <c r="D15274" s="22" t="s">
        <v>20166</v>
      </c>
      <c r="E15274" s="22" t="s">
        <v>62</v>
      </c>
      <c r="F15274" s="23" t="str">
        <f t="shared" si="522"/>
        <v>Поставка печатной продукции по макетам заказчика (бланки, анкеты) для ГБУЗ СО «ПТД» в 2019 году</v>
      </c>
      <c r="G15274" s="22" t="s">
        <v>174</v>
      </c>
      <c r="H15274" s="22" t="s">
        <v>530</v>
      </c>
      <c r="I15274" s="26">
        <v>43641.728472222203</v>
      </c>
      <c r="J15274" s="23" t="str">
        <f>HYPERLINK("https://www.spark-marketing.ru/Card/Person/799158", "ОАО ""КАМЕНСК-УРАЛЬСКАЯ ТИПОГРАФИЯ""")</f>
        <v>ОАО "КАМЕНСК-УРАЛЬСКАЯ ТИПОГРАФИЯ"</v>
      </c>
      <c r="K15274" s="24" t="s">
        <v>20172</v>
      </c>
      <c r="L15274" s="22" t="s">
        <v>10</v>
      </c>
      <c r="M15274" s="25">
        <v>172440.12</v>
      </c>
      <c r="N15274" s="27">
        <v>0.73199311749355112</v>
      </c>
    </row>
    <row r="15275" spans="1:14" hidden="1" outlineLevel="1" x14ac:dyDescent="0.2">
      <c r="A15275" s="23" t="str">
        <f t="shared" si="521"/>
        <v>ГБУЗ СО "ПТД"</v>
      </c>
      <c r="B15275" s="24" t="s">
        <v>2531</v>
      </c>
      <c r="C15275" s="25">
        <v>643416.76</v>
      </c>
      <c r="D15275" s="22" t="s">
        <v>20166</v>
      </c>
      <c r="E15275" s="22" t="s">
        <v>62</v>
      </c>
      <c r="F15275" s="23" t="str">
        <f t="shared" si="522"/>
        <v>Поставка печатной продукции по макетам заказчика (бланки, анкеты) для ГБУЗ СО «ПТД» в 2019 году</v>
      </c>
      <c r="G15275" s="22" t="s">
        <v>174</v>
      </c>
      <c r="H15275" s="22" t="s">
        <v>530</v>
      </c>
      <c r="I15275" s="26">
        <v>43641.728472222203</v>
      </c>
      <c r="J15275" s="23" t="str">
        <f>HYPERLINK("https://www.spark-marketing.ru/Card/Person/848555", "ООО""ТИПОГРАФИЯ НИЖНЕТАГИЛЬСКАЯ""")</f>
        <v>ООО"ТИПОГРАФИЯ НИЖНЕТАГИЛЬСКАЯ"</v>
      </c>
      <c r="K15275" s="24" t="s">
        <v>9526</v>
      </c>
      <c r="L15275" s="28" t="s">
        <v>51</v>
      </c>
      <c r="M15275" s="25">
        <v>451316.68</v>
      </c>
      <c r="N15275" s="27">
        <v>0.29856244341536892</v>
      </c>
    </row>
    <row r="15276" spans="1:14" x14ac:dyDescent="0.15">
      <c r="A15276" s="23" t="str">
        <f>HYPERLINK("https://www.spark-marketing.ru/Card/Person/426033", "ГАУ ЦСП ПО")</f>
        <v>ГАУ ЦСП ПО</v>
      </c>
      <c r="B15276" s="24" t="s">
        <v>8447</v>
      </c>
      <c r="C15276" s="25">
        <v>283500</v>
      </c>
      <c r="D15276" s="22" t="s">
        <v>20173</v>
      </c>
      <c r="E15276" s="22" t="s">
        <v>362</v>
      </c>
      <c r="F15276" s="23" t="str">
        <f>HYPERLINK("https://www.spark-marketing.ru/Card/Lot/71662474", "Услуги по ежедневному трехразовому питанию участников IX летней Спартакиады учащихся (юношеская) России 2019 года II этап (спортивные соревнования в федеральных округах), тхэквондо ВТФ")</f>
        <v>Услуги по ежедневному трехразовому питанию участников IX летней Спартакиады учащихся (юношеская) России 2019 года II этап (спортивные соревнования в федеральных округах), тхэквондо ВТФ</v>
      </c>
      <c r="G15276" s="22" t="s">
        <v>72</v>
      </c>
      <c r="H15276" s="22" t="s">
        <v>72</v>
      </c>
      <c r="I15276" s="26">
        <v>43641.744965277801</v>
      </c>
      <c r="J15276" s="28" t="s">
        <v>51</v>
      </c>
      <c r="K15276" s="28" t="s">
        <v>51</v>
      </c>
      <c r="L15276" s="28" t="s">
        <v>51</v>
      </c>
      <c r="M15276" s="28" t="s">
        <v>51</v>
      </c>
      <c r="N15276" s="28" t="s">
        <v>51</v>
      </c>
    </row>
    <row r="15277" spans="1:14" x14ac:dyDescent="0.15">
      <c r="A15277" s="23" t="str">
        <f>HYPERLINK("https://www.spark-marketing.ru/Card/Person/51795", "УМВД РОССИИ ПО ОДИНЦОВСКОМУ ГОРОДСКОМУ ОКРУГУ")</f>
        <v>УМВД РОССИИ ПО ОДИНЦОВСКОМУ ГОРОДСКОМУ ОКРУГУ</v>
      </c>
      <c r="B15277" s="24" t="s">
        <v>20164</v>
      </c>
      <c r="C15277" s="25">
        <v>4519051</v>
      </c>
      <c r="D15277" s="22" t="s">
        <v>20174</v>
      </c>
      <c r="E15277" s="22" t="s">
        <v>48</v>
      </c>
      <c r="F15277" s="23" t="str">
        <f>HYPERLINK("https://www.spark-marketing.ru/Card/Lot/71670017", "оказание услуг по питанию граждан, содержащихся в ИВС")</f>
        <v>оказание услуг по питанию граждан, содержащихся в ИВС</v>
      </c>
      <c r="G15277" s="22" t="s">
        <v>49</v>
      </c>
      <c r="H15277" s="22" t="s">
        <v>577</v>
      </c>
      <c r="I15277" s="26">
        <v>43641.7368055556</v>
      </c>
      <c r="J15277" s="28" t="s">
        <v>51</v>
      </c>
      <c r="K15277" s="28" t="s">
        <v>51</v>
      </c>
      <c r="L15277" s="28" t="s">
        <v>51</v>
      </c>
      <c r="M15277" s="28" t="s">
        <v>51</v>
      </c>
      <c r="N15277" s="28" t="s">
        <v>51</v>
      </c>
    </row>
    <row r="15278" spans="1:14" ht="12.75" hidden="1" outlineLevel="1" x14ac:dyDescent="0.2">
      <c r="A15278" s="23" t="str">
        <f>HYPERLINK("https://www.spark-marketing.ru/Card/Person/51795", "УМВД РОССИИ ПО ОДИНЦОВСКОМУ ГОРОДСКОМУ ОКРУГУ")</f>
        <v>УМВД РОССИИ ПО ОДИНЦОВСКОМУ ГОРОДСКОМУ ОКРУГУ</v>
      </c>
      <c r="B15278" s="24" t="s">
        <v>20164</v>
      </c>
      <c r="C15278" s="25">
        <v>4519051</v>
      </c>
      <c r="D15278" s="22" t="s">
        <v>20174</v>
      </c>
      <c r="E15278" s="22" t="s">
        <v>48</v>
      </c>
      <c r="F15278" s="23" t="str">
        <f>HYPERLINK("https://www.spark-marketing.ru/Card/Lot/71670017", "оказание услуг по питанию граждан, содержащихся в ИВС")</f>
        <v>оказание услуг по питанию граждан, содержащихся в ИВС</v>
      </c>
      <c r="G15278" s="22" t="s">
        <v>49</v>
      </c>
      <c r="H15278" s="22" t="s">
        <v>577</v>
      </c>
      <c r="I15278" s="26">
        <v>43641.7368055556</v>
      </c>
      <c r="J15278" s="23" t="str">
        <f>HYPERLINK("https://www.spark-marketing.ru/Card/Person/115242", "Башмаков Николай Николаевич")</f>
        <v>Башмаков Николай Николаевич</v>
      </c>
      <c r="K15278" s="24" t="s">
        <v>5812</v>
      </c>
      <c r="L15278" s="22" t="s">
        <v>10</v>
      </c>
      <c r="M15278" s="25">
        <v>320</v>
      </c>
      <c r="N15278" s="27">
        <v>0.99992918867257752</v>
      </c>
    </row>
    <row r="15279" spans="1:14" hidden="1" outlineLevel="1" x14ac:dyDescent="0.2">
      <c r="A15279" s="23" t="str">
        <f>HYPERLINK("https://www.spark-marketing.ru/Card/Person/51795", "УМВД РОССИИ ПО ОДИНЦОВСКОМУ ГОРОДСКОМУ ОКРУГУ")</f>
        <v>УМВД РОССИИ ПО ОДИНЦОВСКОМУ ГОРОДСКОМУ ОКРУГУ</v>
      </c>
      <c r="B15279" s="24" t="s">
        <v>20164</v>
      </c>
      <c r="C15279" s="25">
        <v>4519051</v>
      </c>
      <c r="D15279" s="22" t="s">
        <v>20174</v>
      </c>
      <c r="E15279" s="22" t="s">
        <v>48</v>
      </c>
      <c r="F15279" s="23" t="str">
        <f>HYPERLINK("https://www.spark-marketing.ru/Card/Lot/71670017", "оказание услуг по питанию граждан, содержащихся в ИВС")</f>
        <v>оказание услуг по питанию граждан, содержащихся в ИВС</v>
      </c>
      <c r="G15279" s="22" t="s">
        <v>49</v>
      </c>
      <c r="H15279" s="22" t="s">
        <v>577</v>
      </c>
      <c r="I15279" s="26">
        <v>43641.7368055556</v>
      </c>
      <c r="J15279" s="23" t="str">
        <f>HYPERLINK("https://www.spark-marketing.ru/Card/Person/4964092", "Крючков Александр Юрьевич")</f>
        <v>Крючков Александр Юрьевич</v>
      </c>
      <c r="K15279" s="24" t="s">
        <v>20175</v>
      </c>
      <c r="L15279" s="28" t="s">
        <v>51</v>
      </c>
      <c r="M15279" s="25">
        <v>320</v>
      </c>
      <c r="N15279" s="27">
        <v>0.99992918867257752</v>
      </c>
    </row>
    <row r="15280" spans="1:14" x14ac:dyDescent="0.15">
      <c r="A15280" s="23" t="str">
        <f>HYPERLINK("https://www.spark-marketing.ru/Card/Person/1072792", "ОТД МВД РОССИИ ПО КИРЖАЧСКОМУ РАЙОНУ")</f>
        <v>ОТД МВД РОССИИ ПО КИРЖАЧСКОМУ РАЙОНУ</v>
      </c>
      <c r="B15280" s="24" t="s">
        <v>20176</v>
      </c>
      <c r="C15280" s="25">
        <v>1012770</v>
      </c>
      <c r="D15280" s="22" t="s">
        <v>20177</v>
      </c>
      <c r="E15280" s="22" t="s">
        <v>48</v>
      </c>
      <c r="F15280" s="23" t="str">
        <f>HYPERLINK("https://www.spark-marketing.ru/Card/Lot/71667154", "Организация трехразового горячего питания лиц, содержащихся в изоляторе временного содержания, камере административного задержания Отд МВД")</f>
        <v>Организация трехразового горячего питания лиц, содержащихся в изоляторе временного содержания, камере административного задержания Отд МВД</v>
      </c>
      <c r="G15280" s="22" t="s">
        <v>663</v>
      </c>
      <c r="H15280" s="22" t="s">
        <v>8920</v>
      </c>
      <c r="I15280" s="26">
        <v>43641.732638888898</v>
      </c>
      <c r="J15280" s="23" t="str">
        <f>HYPERLINK("https://www.spark-marketing.ru/Card/Person/284151", "ООО""МИР""")</f>
        <v>ООО"МИР"</v>
      </c>
      <c r="K15280" s="24" t="s">
        <v>20178</v>
      </c>
      <c r="L15280" s="22" t="s">
        <v>10</v>
      </c>
      <c r="M15280" s="28" t="s">
        <v>51</v>
      </c>
      <c r="N15280" s="28" t="s">
        <v>51</v>
      </c>
    </row>
    <row r="15281" spans="1:14" x14ac:dyDescent="0.15">
      <c r="A15281" s="23" t="str">
        <f>HYPERLINK("https://www.spark-marketing.ru/Card/Person/426033", "ГАУ ЦСП ПО")</f>
        <v>ГАУ ЦСП ПО</v>
      </c>
      <c r="B15281" s="24" t="s">
        <v>8447</v>
      </c>
      <c r="C15281" s="25">
        <v>216000</v>
      </c>
      <c r="D15281" s="22" t="s">
        <v>20179</v>
      </c>
      <c r="E15281" s="22" t="s">
        <v>362</v>
      </c>
      <c r="F15281" s="23" t="str">
        <f>HYPERLINK("https://www.spark-marketing.ru/Card/Lot/71662650", "Услуги по ежедневному трехразовому питанию участников IX летней Спартакиады учащихся (юношеская) России 2019 года II этап (спортивные соревнования в федеральных округах), тхэквондо ВТФ")</f>
        <v>Услуги по ежедневному трехразовому питанию участников IX летней Спартакиады учащихся (юношеская) России 2019 года II этап (спортивные соревнования в федеральных округах), тхэквондо ВТФ</v>
      </c>
      <c r="G15281" s="22" t="s">
        <v>72</v>
      </c>
      <c r="H15281" s="22" t="s">
        <v>72</v>
      </c>
      <c r="I15281" s="26">
        <v>43641.740578703699</v>
      </c>
      <c r="J15281" s="28" t="s">
        <v>51</v>
      </c>
      <c r="K15281" s="28" t="s">
        <v>51</v>
      </c>
      <c r="L15281" s="28" t="s">
        <v>51</v>
      </c>
      <c r="M15281" s="28" t="s">
        <v>51</v>
      </c>
      <c r="N15281" s="28" t="s">
        <v>51</v>
      </c>
    </row>
    <row r="15282" spans="1:14" x14ac:dyDescent="0.15">
      <c r="A15282" s="23" t="str">
        <f>HYPERLINK("https://www.spark-marketing.ru/Card/Person/4343479", "МИНТРУД ОБЛАСТИ")</f>
        <v>МИНТРУД ОБЛАСТИ</v>
      </c>
      <c r="B15282" s="24" t="s">
        <v>20180</v>
      </c>
      <c r="C15282" s="25">
        <v>1663200</v>
      </c>
      <c r="D15282" s="22" t="s">
        <v>20181</v>
      </c>
      <c r="E15282" s="22" t="s">
        <v>48</v>
      </c>
      <c r="F15282" s="23" t="str">
        <f>HYPERLINK("https://www.spark-marketing.ru/Card/Lot/71668545", "Закупка услуги  по организации питания малоимущих граждан области в столовой при министерстве труда и социального развития Ростовской области в 2019 году")</f>
        <v>Закупка услуги  по организации питания малоимущих граждан области в столовой при министерстве труда и социального развития Ростовской области в 2019 году</v>
      </c>
      <c r="G15282" s="22" t="s">
        <v>267</v>
      </c>
      <c r="H15282" s="22" t="s">
        <v>590</v>
      </c>
      <c r="I15282" s="26">
        <v>43641.738194444399</v>
      </c>
      <c r="J15282" s="23" t="str">
        <f>HYPERLINK("https://www.spark-marketing.ru/Card/Person/1445034", "ООО ""ОБЕД КАФЕ""")</f>
        <v>ООО "ОБЕД КАФЕ"</v>
      </c>
      <c r="K15282" s="24" t="s">
        <v>20182</v>
      </c>
      <c r="L15282" s="22" t="s">
        <v>10</v>
      </c>
      <c r="M15282" s="28" t="s">
        <v>51</v>
      </c>
      <c r="N15282" s="28" t="s">
        <v>51</v>
      </c>
    </row>
    <row r="15283" spans="1:14" x14ac:dyDescent="0.15">
      <c r="A15283" s="23" t="str">
        <f>HYPERLINK("https://www.spark-marketing.ru/Card/Person/112325", "МАОУ СОШ № 7")</f>
        <v>МАОУ СОШ № 7</v>
      </c>
      <c r="B15283" s="24" t="s">
        <v>20183</v>
      </c>
      <c r="C15283" s="25">
        <v>1152425</v>
      </c>
      <c r="D15283" s="22" t="s">
        <v>20184</v>
      </c>
      <c r="E15283" s="22" t="s">
        <v>362</v>
      </c>
      <c r="F15283" s="23" t="str">
        <f>HYPERLINK("https://www.spark-marketing.ru/Card/Lot/71654761", "Оказание услуг по организации питания в оздоровительном лагере с дневным пребыванием детей на базе МАОУ СОШ № 7")</f>
        <v>Оказание услуг по организации питания в оздоровительном лагере с дневным пребыванием детей на базе МАОУ СОШ № 7</v>
      </c>
      <c r="G15283" s="22" t="s">
        <v>97</v>
      </c>
      <c r="H15283" s="22" t="s">
        <v>97</v>
      </c>
      <c r="I15283" s="26">
        <v>43641.667002314804</v>
      </c>
      <c r="J15283" s="28" t="s">
        <v>51</v>
      </c>
      <c r="K15283" s="28" t="s">
        <v>51</v>
      </c>
      <c r="L15283" s="28" t="s">
        <v>51</v>
      </c>
      <c r="M15283" s="28" t="s">
        <v>51</v>
      </c>
      <c r="N15283" s="28" t="s">
        <v>51</v>
      </c>
    </row>
    <row r="15284" spans="1:14" x14ac:dyDescent="0.15">
      <c r="A15284" s="23" t="str">
        <f>HYPERLINK("https://www.spark-marketing.ru/Card/Person/1042870", "МБОУ ЛИЦЕЙ № 16 Г.СТАВРОПОЛЯ")</f>
        <v>МБОУ ЛИЦЕЙ № 16 Г.СТАВРОПОЛЯ</v>
      </c>
      <c r="B15284" s="24" t="s">
        <v>20185</v>
      </c>
      <c r="C15284" s="25">
        <v>338013</v>
      </c>
      <c r="D15284" s="22" t="s">
        <v>20186</v>
      </c>
      <c r="E15284" s="22" t="s">
        <v>48</v>
      </c>
      <c r="F15284" s="23" t="str">
        <f>HYPERLINK("https://www.spark-marketing.ru/Card/Lot/71663287", "Услуги по организации питания учащихся МБОУ лицея № 16 г. Ставрополя в сентябре-декабре 2019 года")</f>
        <v>Услуги по организации питания учащихся МБОУ лицея № 16 г. Ставрополя в сентябре-декабре 2019 года</v>
      </c>
      <c r="G15284" s="22" t="s">
        <v>87</v>
      </c>
      <c r="H15284" s="22" t="s">
        <v>87</v>
      </c>
      <c r="I15284" s="26">
        <v>43641.701388888898</v>
      </c>
      <c r="J15284" s="23" t="str">
        <f>HYPERLINK("https://www.spark-marketing.ru/Card/Person/217327", "Карпачев Валерий Борисович")</f>
        <v>Карпачев Валерий Борисович</v>
      </c>
      <c r="K15284" s="24" t="s">
        <v>19656</v>
      </c>
      <c r="L15284" s="22" t="s">
        <v>10</v>
      </c>
      <c r="M15284" s="28" t="s">
        <v>51</v>
      </c>
      <c r="N15284" s="28" t="s">
        <v>51</v>
      </c>
    </row>
    <row r="15285" spans="1:14" x14ac:dyDescent="0.15">
      <c r="A15285" s="23" t="str">
        <f>HYPERLINK("https://www.spark-marketing.ru/Card/Person/68688", "МЕЖМУНИЦИПАЛЬНЫЙ ОТДЕЛ МВД РОССИИ ""КАНСКИЙ""")</f>
        <v>МЕЖМУНИЦИПАЛЬНЫЙ ОТДЕЛ МВД РОССИИ "КАНСКИЙ"</v>
      </c>
      <c r="B15285" s="24" t="s">
        <v>20187</v>
      </c>
      <c r="C15285" s="25">
        <v>1300000</v>
      </c>
      <c r="D15285" s="22" t="s">
        <v>20188</v>
      </c>
      <c r="E15285" s="22" t="s">
        <v>96</v>
      </c>
      <c r="F15285" s="23" t="str">
        <f>HYPERLINK("https://www.spark-marketing.ru/Card/Lot/71667948", "Организация питания ИВС")</f>
        <v>Организация питания ИВС</v>
      </c>
      <c r="G15285" s="22" t="s">
        <v>281</v>
      </c>
      <c r="H15285" s="22" t="s">
        <v>14184</v>
      </c>
      <c r="I15285" s="26">
        <v>43641.692361111098</v>
      </c>
      <c r="J15285" s="23" t="str">
        <f>HYPERLINK("https://www.spark-marketing.ru/Card/Person/200493", "Федоров Юрий Васильевич")</f>
        <v>Федоров Юрий Васильевич</v>
      </c>
      <c r="K15285" s="24" t="s">
        <v>11695</v>
      </c>
      <c r="L15285" s="22" t="s">
        <v>10</v>
      </c>
      <c r="M15285" s="28" t="s">
        <v>51</v>
      </c>
      <c r="N15285" s="28" t="s">
        <v>51</v>
      </c>
    </row>
    <row r="15286" spans="1:14" x14ac:dyDescent="0.15">
      <c r="A15286" s="23" t="str">
        <f>HYPERLINK("https://www.spark-marketing.ru/Card/Person/744", "МИНЗДРАВ ОРЕНБУРГСКОЙ ОБЛАСТИ")</f>
        <v>МИНЗДРАВ ОРЕНБУРГСКОЙ ОБЛАСТИ</v>
      </c>
      <c r="B15286" s="24" t="s">
        <v>15851</v>
      </c>
      <c r="C15286" s="25">
        <v>30625000</v>
      </c>
      <c r="D15286" s="22" t="s">
        <v>20189</v>
      </c>
      <c r="E15286" s="22" t="s">
        <v>336</v>
      </c>
      <c r="F15286" s="23" t="str">
        <f>HYPERLINK("https://www.spark-marketing.ru/Card/Lot/71670978", "На поставку адаптированной молочной смеси для нужд Оренбургской области")</f>
        <v>На поставку адаптированной молочной смеси для нужд Оренбургской области</v>
      </c>
      <c r="G15286" s="22" t="s">
        <v>132</v>
      </c>
      <c r="H15286" s="22" t="s">
        <v>587</v>
      </c>
      <c r="I15286" s="26">
        <v>43641.702083333301</v>
      </c>
      <c r="J15286" s="28" t="s">
        <v>51</v>
      </c>
      <c r="K15286" s="28" t="s">
        <v>51</v>
      </c>
      <c r="L15286" s="28" t="s">
        <v>51</v>
      </c>
      <c r="M15286" s="28" t="s">
        <v>51</v>
      </c>
      <c r="N15286" s="28" t="s">
        <v>51</v>
      </c>
    </row>
    <row r="15287" spans="1:14" ht="12.75" hidden="1" outlineLevel="1" x14ac:dyDescent="0.2">
      <c r="A15287" s="23" t="str">
        <f>HYPERLINK("https://www.spark-marketing.ru/Card/Person/744", "МИНЗДРАВ ОРЕНБУРГСКОЙ ОБЛАСТИ")</f>
        <v>МИНЗДРАВ ОРЕНБУРГСКОЙ ОБЛАСТИ</v>
      </c>
      <c r="B15287" s="24" t="s">
        <v>15851</v>
      </c>
      <c r="C15287" s="25">
        <v>30625000</v>
      </c>
      <c r="D15287" s="22" t="s">
        <v>20189</v>
      </c>
      <c r="E15287" s="22" t="s">
        <v>336</v>
      </c>
      <c r="F15287" s="23" t="str">
        <f>HYPERLINK("https://www.spark-marketing.ru/Card/Lot/71670978", "На поставку адаптированной молочной смеси для нужд Оренбургской области")</f>
        <v>На поставку адаптированной молочной смеси для нужд Оренбургской области</v>
      </c>
      <c r="G15287" s="22" t="s">
        <v>132</v>
      </c>
      <c r="H15287" s="22" t="s">
        <v>587</v>
      </c>
      <c r="I15287" s="26">
        <v>43641.702083333301</v>
      </c>
      <c r="J15287" s="23" t="str">
        <f>HYPERLINK("https://www.spark-marketing.ru/Card/Person/4466962", "ООО ""ВЕКТОР МЕД""")</f>
        <v>ООО "ВЕКТОР МЕД"</v>
      </c>
      <c r="K15287" s="24" t="s">
        <v>17438</v>
      </c>
      <c r="L15287" s="22" t="s">
        <v>10</v>
      </c>
      <c r="M15287" s="25">
        <v>30471875</v>
      </c>
      <c r="N15287" s="27">
        <v>5.0000000000000001E-3</v>
      </c>
    </row>
    <row r="15288" spans="1:14" hidden="1" outlineLevel="1" x14ac:dyDescent="0.2">
      <c r="A15288" s="23" t="str">
        <f>HYPERLINK("https://www.spark-marketing.ru/Card/Person/744", "МИНЗДРАВ ОРЕНБУРГСКОЙ ОБЛАСТИ")</f>
        <v>МИНЗДРАВ ОРЕНБУРГСКОЙ ОБЛАСТИ</v>
      </c>
      <c r="B15288" s="24" t="s">
        <v>15851</v>
      </c>
      <c r="C15288" s="25">
        <v>30625000</v>
      </c>
      <c r="D15288" s="22" t="s">
        <v>20189</v>
      </c>
      <c r="E15288" s="22" t="s">
        <v>336</v>
      </c>
      <c r="F15288" s="23" t="str">
        <f>HYPERLINK("https://www.spark-marketing.ru/Card/Lot/71670978", "На поставку адаптированной молочной смеси для нужд Оренбургской области")</f>
        <v>На поставку адаптированной молочной смеси для нужд Оренбургской области</v>
      </c>
      <c r="G15288" s="22" t="s">
        <v>132</v>
      </c>
      <c r="H15288" s="22" t="s">
        <v>587</v>
      </c>
      <c r="I15288" s="26">
        <v>43641.702083333301</v>
      </c>
      <c r="J15288" s="23" t="str">
        <f>HYPERLINK("https://www.spark-marketing.ru/Card/Person/53682", "ООО ""ИФК""")</f>
        <v>ООО "ИФК"</v>
      </c>
      <c r="K15288" s="24" t="s">
        <v>17853</v>
      </c>
      <c r="L15288" s="28" t="s">
        <v>51</v>
      </c>
      <c r="M15288" s="25">
        <v>30624900</v>
      </c>
      <c r="N15288" s="27">
        <v>3.2653061224489794E-6</v>
      </c>
    </row>
    <row r="15289" spans="1:14" x14ac:dyDescent="0.15">
      <c r="A15289" s="23" t="str">
        <f>HYPERLINK("https://www.spark-marketing.ru/Card/Person/1709782", "АО ""РУСАТОМ СЕРВИС""")</f>
        <v>АО "РУСАТОМ СЕРВИС"</v>
      </c>
      <c r="B15289" s="24" t="s">
        <v>8724</v>
      </c>
      <c r="C15289" s="28" t="s">
        <v>51</v>
      </c>
      <c r="D15289" s="22" t="s">
        <v>20190</v>
      </c>
      <c r="E15289" s="22" t="s">
        <v>55</v>
      </c>
      <c r="F15289" s="23" t="str">
        <f>HYPERLINK("https://www.spark-marketing.ru/Card/Lot/71664965", "Оказание услуг по разработке и реализации концепции летнего командообразующего мероприятия")</f>
        <v>Оказание услуг по разработке и реализации концепции летнего командообразующего мероприятия</v>
      </c>
      <c r="G15289" s="22" t="s">
        <v>56</v>
      </c>
      <c r="H15289" s="22" t="s">
        <v>56</v>
      </c>
      <c r="I15289" s="26">
        <v>43641.688078703701</v>
      </c>
      <c r="J15289" s="28" t="s">
        <v>51</v>
      </c>
      <c r="K15289" s="28" t="s">
        <v>51</v>
      </c>
      <c r="L15289" s="28" t="s">
        <v>51</v>
      </c>
      <c r="M15289" s="28" t="s">
        <v>51</v>
      </c>
      <c r="N15289" s="28" t="s">
        <v>51</v>
      </c>
    </row>
    <row r="15290" spans="1:14" x14ac:dyDescent="0.15">
      <c r="A15290" s="23" t="str">
        <f>HYPERLINK("https://www.spark-marketing.ru/Card/Person/6481765", "ОГБУЗ ""ДОКБ""")</f>
        <v>ОГБУЗ "ДОКБ"</v>
      </c>
      <c r="B15290" s="24" t="s">
        <v>20191</v>
      </c>
      <c r="C15290" s="25">
        <v>61747.6</v>
      </c>
      <c r="D15290" s="22" t="s">
        <v>20192</v>
      </c>
      <c r="E15290" s="22" t="s">
        <v>20193</v>
      </c>
      <c r="F15290" s="23" t="str">
        <f>HYPERLINK("https://www.spark-marketing.ru/Card/Lot/71656395", "Поставка системы видеонаблюдения и оказание услуг по монтажу и пуско-наладке для нужд ОГБУЗ «Детская областная клиническая больница».")</f>
        <v>Поставка системы видеонаблюдения и оказание услуг по монтажу и пуско-наладке для нужд ОГБУЗ «Детская областная клиническая больница».</v>
      </c>
      <c r="G15290" s="22" t="s">
        <v>696</v>
      </c>
      <c r="H15290" s="22" t="s">
        <v>1163</v>
      </c>
      <c r="I15290" s="26">
        <v>43641.672916666699</v>
      </c>
      <c r="J15290" s="28" t="s">
        <v>51</v>
      </c>
      <c r="K15290" s="28" t="s">
        <v>51</v>
      </c>
      <c r="L15290" s="28" t="s">
        <v>51</v>
      </c>
      <c r="M15290" s="28" t="s">
        <v>51</v>
      </c>
      <c r="N15290" s="28" t="s">
        <v>51</v>
      </c>
    </row>
    <row r="15291" spans="1:14" x14ac:dyDescent="0.15">
      <c r="A15291" s="23" t="str">
        <f>HYPERLINK("https://www.spark-marketing.ru/Card/Person/646859", "АО ""ФГК""")</f>
        <v>АО "ФГК"</v>
      </c>
      <c r="B15291" s="24" t="s">
        <v>20194</v>
      </c>
      <c r="C15291" s="25">
        <v>14550</v>
      </c>
      <c r="D15291" s="28" t="s">
        <v>51</v>
      </c>
      <c r="E15291" s="22" t="s">
        <v>152</v>
      </c>
      <c r="F15291" s="23" t="str">
        <f>HYPERLINK("https://www.spark-marketing.ru/Card/Lot/71658728", "№19767 Оказание услуг по техническому обслуживанию ИТ оборудования и оргтехники")</f>
        <v>№19767 Оказание услуг по техническому обслуживанию ИТ оборудования и оргтехники</v>
      </c>
      <c r="G15291" s="22" t="s">
        <v>174</v>
      </c>
      <c r="H15291" s="22" t="s">
        <v>530</v>
      </c>
      <c r="I15291" s="26">
        <v>43641.6952662037</v>
      </c>
      <c r="J15291" s="28" t="s">
        <v>51</v>
      </c>
      <c r="K15291" s="28" t="s">
        <v>51</v>
      </c>
      <c r="L15291" s="28" t="s">
        <v>51</v>
      </c>
      <c r="M15291" s="28" t="s">
        <v>51</v>
      </c>
      <c r="N15291" s="28" t="s">
        <v>51</v>
      </c>
    </row>
    <row r="15292" spans="1:14" x14ac:dyDescent="0.15">
      <c r="A15292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5292" s="24" t="s">
        <v>3255</v>
      </c>
      <c r="C15292" s="25">
        <v>453600.12</v>
      </c>
      <c r="D15292" s="22" t="s">
        <v>20195</v>
      </c>
      <c r="E15292" s="22" t="s">
        <v>52</v>
      </c>
      <c r="F15292" s="23" t="str">
        <f>HYPERLINK("https://www.spark-marketing.ru/Card/Lot/71664700", "Поставка лекарственных препаратов для медицинского применения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лечеб...")</f>
        <v>Поставка лекарственных препаратов для медицинского применения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лечеб...</v>
      </c>
      <c r="G15292" s="22" t="s">
        <v>210</v>
      </c>
      <c r="H15292" s="22" t="s">
        <v>3257</v>
      </c>
      <c r="I15292" s="26">
        <v>43641.704166666699</v>
      </c>
      <c r="J15292" s="23" t="str">
        <f>HYPERLINK("https://www.spark-marketing.ru/Card/Person/6231467", "ООО ""ОБЛФАРМ АЛЬЯНС""")</f>
        <v>ООО "ОБЛФАРМ АЛЬЯНС"</v>
      </c>
      <c r="K15292" s="24" t="s">
        <v>2175</v>
      </c>
      <c r="L15292" s="22" t="s">
        <v>10</v>
      </c>
      <c r="M15292" s="28" t="s">
        <v>51</v>
      </c>
      <c r="N15292" s="28" t="s">
        <v>51</v>
      </c>
    </row>
    <row r="15293" spans="1:14" x14ac:dyDescent="0.15">
      <c r="A15293" s="23" t="str">
        <f>HYPERLINK("https://www.spark-marketing.ru/Card/Person/4929570", "ОМВД РОССИИ ПО МОСКОВСКОМУ РАЙОНУ Г РЯЗАНИ")</f>
        <v>ОМВД РОССИИ ПО МОСКОВСКОМУ РАЙОНУ Г РЯЗАНИ</v>
      </c>
      <c r="B15293" s="24" t="s">
        <v>20196</v>
      </c>
      <c r="C15293" s="25">
        <v>51480</v>
      </c>
      <c r="D15293" s="22" t="s">
        <v>20197</v>
      </c>
      <c r="E15293" s="22" t="s">
        <v>96</v>
      </c>
      <c r="F15293" s="23" t="str">
        <f>HYPERLINK("https://www.spark-marketing.ru/Card/Lot/71657264",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5293" s="22" t="s">
        <v>1522</v>
      </c>
      <c r="H15293" s="22" t="s">
        <v>1523</v>
      </c>
      <c r="I15293" s="26">
        <v>43641.693726851903</v>
      </c>
      <c r="J15293" s="28" t="s">
        <v>51</v>
      </c>
      <c r="K15293" s="28" t="s">
        <v>51</v>
      </c>
      <c r="L15293" s="28" t="s">
        <v>51</v>
      </c>
      <c r="M15293" s="28" t="s">
        <v>51</v>
      </c>
      <c r="N15293" s="28" t="s">
        <v>51</v>
      </c>
    </row>
    <row r="15294" spans="1:14" x14ac:dyDescent="0.15">
      <c r="A15294" s="23" t="str">
        <f>HYPERLINK("https://www.spark-marketing.ru/Card/Person/14941", "ФГКУ ""СК РПСО МЧС РОССИИ""")</f>
        <v>ФГКУ "СК РПСО МЧС РОССИИ"</v>
      </c>
      <c r="B15294" s="24" t="s">
        <v>8900</v>
      </c>
      <c r="C15294" s="25">
        <v>299759.8</v>
      </c>
      <c r="D15294" s="22" t="s">
        <v>20198</v>
      </c>
      <c r="E15294" s="22" t="s">
        <v>48</v>
      </c>
      <c r="F15294" s="23" t="str">
        <f>HYPERLINK("https://www.spark-marketing.ru/Card/Lot/71662803", "Организация  горячего, готового питания, виде талонов, работников отряда")</f>
        <v>Организация  горячего, готового питания, виде талонов, работников отряда</v>
      </c>
      <c r="G15294" s="22" t="s">
        <v>1607</v>
      </c>
      <c r="H15294" s="22" t="s">
        <v>1608</v>
      </c>
      <c r="I15294" s="26">
        <v>43641.688194444403</v>
      </c>
      <c r="J15294" s="23" t="str">
        <f>HYPERLINK("https://www.spark-marketing.ru/Card/Person/760751", "ООО ""ЭВЕРЕСТ""")</f>
        <v>ООО "ЭВЕРЕСТ"</v>
      </c>
      <c r="K15294" s="24" t="s">
        <v>20199</v>
      </c>
      <c r="L15294" s="22" t="s">
        <v>10</v>
      </c>
      <c r="M15294" s="28" t="s">
        <v>51</v>
      </c>
      <c r="N15294" s="28" t="s">
        <v>51</v>
      </c>
    </row>
    <row r="15295" spans="1:14" x14ac:dyDescent="0.15">
      <c r="A15295" s="23" t="str">
        <f>HYPERLINK("https://www.spark-marketing.ru/Card/Person/68688", "МЕЖМУНИЦИПАЛЬНЫЙ ОТДЕЛ МВД РОССИИ ""КАНСКИЙ""")</f>
        <v>МЕЖМУНИЦИПАЛЬНЫЙ ОТДЕЛ МВД РОССИИ "КАНСКИЙ"</v>
      </c>
      <c r="B15295" s="24" t="s">
        <v>20187</v>
      </c>
      <c r="C15295" s="25">
        <v>1200000</v>
      </c>
      <c r="D15295" s="22" t="s">
        <v>20200</v>
      </c>
      <c r="E15295" s="22" t="s">
        <v>96</v>
      </c>
      <c r="F15295" s="23" t="str">
        <f>HYPERLINK("https://www.spark-marketing.ru/Card/Lot/71667870", "Организация питания СП")</f>
        <v>Организация питания СП</v>
      </c>
      <c r="G15295" s="22" t="s">
        <v>281</v>
      </c>
      <c r="H15295" s="22" t="s">
        <v>14184</v>
      </c>
      <c r="I15295" s="26">
        <v>43641.671527777798</v>
      </c>
      <c r="J15295" s="23" t="str">
        <f>HYPERLINK("https://www.spark-marketing.ru/Card/Person/200493", "Федоров Юрий Васильевич")</f>
        <v>Федоров Юрий Васильевич</v>
      </c>
      <c r="K15295" s="24" t="s">
        <v>11695</v>
      </c>
      <c r="L15295" s="22" t="s">
        <v>10</v>
      </c>
      <c r="M15295" s="28" t="s">
        <v>51</v>
      </c>
      <c r="N15295" s="28" t="s">
        <v>51</v>
      </c>
    </row>
    <row r="15296" spans="1:14" x14ac:dyDescent="0.15">
      <c r="A15296" s="23" t="str">
        <f>HYPERLINK("https://www.spark-marketing.ru/Card/Person/629806", "ГПОУ НТСТИСО")</f>
        <v>ГПОУ НТСТИСО</v>
      </c>
      <c r="B15296" s="24" t="s">
        <v>20201</v>
      </c>
      <c r="C15296" s="25">
        <v>406860</v>
      </c>
      <c r="D15296" s="22" t="s">
        <v>20202</v>
      </c>
      <c r="E15296" s="22" t="s">
        <v>48</v>
      </c>
      <c r="F15296" s="23" t="str">
        <f>HYPERLINK("https://www.spark-marketing.ru/Card/Lot/71663949", "Услуги по организации и обеспечение пятидневным одноразовым питанием для студентов техникума обучающихся по программе подготовке квалифицированных рабочих")</f>
        <v>Услуги по организации и обеспечение пятидневным одноразовым питанием для студентов техникума обучающихся по программе подготовке квалифицированных рабочих</v>
      </c>
      <c r="G15296" s="22" t="s">
        <v>304</v>
      </c>
      <c r="H15296" s="22" t="s">
        <v>3190</v>
      </c>
      <c r="I15296" s="26">
        <v>43641.7</v>
      </c>
      <c r="J15296" s="23" t="str">
        <f>HYPERLINK("https://www.spark-marketing.ru/Card/Person/6399591", "Шадрина Ксения Владимировна")</f>
        <v>Шадрина Ксения Владимировна</v>
      </c>
      <c r="K15296" s="24" t="s">
        <v>20203</v>
      </c>
      <c r="L15296" s="22" t="s">
        <v>10</v>
      </c>
      <c r="M15296" s="28" t="s">
        <v>51</v>
      </c>
      <c r="N15296" s="28" t="s">
        <v>51</v>
      </c>
    </row>
    <row r="15297" spans="1:14" x14ac:dyDescent="0.15">
      <c r="A15297" s="23" t="str">
        <f>HYPERLINK("https://www.spark-marketing.ru/Card/Person/1077940", "ОТДЕЛ МВД РОССИИ ПО Г. АРЗАМАСУ")</f>
        <v>ОТДЕЛ МВД РОССИИ ПО Г. АРЗАМАСУ</v>
      </c>
      <c r="B15297" s="24" t="s">
        <v>9186</v>
      </c>
      <c r="C15297" s="25">
        <v>980000</v>
      </c>
      <c r="D15297" s="22" t="s">
        <v>20204</v>
      </c>
      <c r="E15297" s="22" t="s">
        <v>48</v>
      </c>
      <c r="F15297" s="23" t="str">
        <f>HYPERLINK("https://www.spark-marketing.ru/Card/Lot/71667406", "Обеспечение трехразовым горячим питанием подозреваемых и обвиняемых в совершении преступлений, находящихся в изоляторах временного содержания подозреваемых и обвиняемых органов внутренних дел РФ, лиц, подвергнутых административному аресту")</f>
        <v>Обеспечение трехразовым горячим питанием подозреваемых и обвиняемых в совершении преступлений, находящихся в изоляторах временного содержания подозреваемых и обвиняемых органов внутренних дел РФ, лиц, подвергнутых административному аресту</v>
      </c>
      <c r="G15297" s="22" t="s">
        <v>76</v>
      </c>
      <c r="H15297" s="22" t="s">
        <v>9188</v>
      </c>
      <c r="I15297" s="26">
        <v>43641.704861111102</v>
      </c>
      <c r="J15297" s="23" t="str">
        <f>HYPERLINK("https://www.spark-marketing.ru/Card/Person/4907144", "Калева Татьяна Петровна")</f>
        <v>Калева Татьяна Петровна</v>
      </c>
      <c r="K15297" s="24" t="s">
        <v>20205</v>
      </c>
      <c r="L15297" s="22" t="s">
        <v>10</v>
      </c>
      <c r="M15297" s="28" t="s">
        <v>51</v>
      </c>
      <c r="N15297" s="28" t="s">
        <v>51</v>
      </c>
    </row>
    <row r="15298" spans="1:14" x14ac:dyDescent="0.15">
      <c r="A15298" s="23" t="str">
        <f t="shared" ref="A15298:A15308" si="523">HYPERLINK("https://www.spark-marketing.ru/Card/Person/51121", "СПБ ГБУСОН ""КЦСОН ЦЕНТРАЛЬНОГО РАЙОНА""")</f>
        <v>СПБ ГБУСОН "КЦСОН ЦЕНТРАЛЬНОГО РАЙОНА"</v>
      </c>
      <c r="B15298" s="24" t="s">
        <v>20206</v>
      </c>
      <c r="C15298" s="25">
        <v>38699.980000000003</v>
      </c>
      <c r="D15298" s="22" t="s">
        <v>20207</v>
      </c>
      <c r="E15298" s="22" t="s">
        <v>1018</v>
      </c>
      <c r="F15298" s="23" t="str">
        <f t="shared" ref="F15298:F15308" si="524">HYPERLINK("https://www.spark-marketing.ru/Card/Lot/71674491", "Оказание услуг по разработке паспортов опасных отходов для Санкт-Петербургского государственного бюджетного учреждения социального обслуживания населения «Комплексный центр социального обслуживания населения Центрального района Санкт-Петербурга» в 20...")</f>
        <v>Оказание услуг по разработке паспортов опасных отходов для Санкт-Петербургского государственного бюджетного учреждения социального обслуживания населения «Комплексный центр социального обслуживания населения Центрального района Санкт-Петербурга» в 20...</v>
      </c>
      <c r="G15298" s="22" t="s">
        <v>117</v>
      </c>
      <c r="H15298" s="22" t="s">
        <v>117</v>
      </c>
      <c r="I15298" s="26">
        <v>43641.688888888901</v>
      </c>
      <c r="J15298" s="28" t="s">
        <v>51</v>
      </c>
      <c r="K15298" s="28" t="s">
        <v>51</v>
      </c>
      <c r="L15298" s="28" t="s">
        <v>51</v>
      </c>
      <c r="M15298" s="28" t="s">
        <v>51</v>
      </c>
      <c r="N15298" s="28" t="s">
        <v>51</v>
      </c>
    </row>
    <row r="15299" spans="1:14" hidden="1" outlineLevel="1" x14ac:dyDescent="0.2">
      <c r="A15299" s="23" t="str">
        <f t="shared" si="523"/>
        <v>СПБ ГБУСОН "КЦСОН ЦЕНТРАЛЬНОГО РАЙОНА"</v>
      </c>
      <c r="B15299" s="24" t="s">
        <v>20206</v>
      </c>
      <c r="C15299" s="25">
        <v>38699.980000000003</v>
      </c>
      <c r="D15299" s="22" t="s">
        <v>20207</v>
      </c>
      <c r="E15299" s="22" t="s">
        <v>1018</v>
      </c>
      <c r="F15299" s="23" t="str">
        <f t="shared" si="524"/>
        <v>Оказание услуг по разработке паспортов опасных отходов для Санкт-Петербургского государственного бюджетного учреждения социального обслуживания населения «Комплексный центр социального обслуживания населения Центрального района Санкт-Петербурга» в 20...</v>
      </c>
      <c r="G15299" s="22" t="s">
        <v>117</v>
      </c>
      <c r="H15299" s="22" t="s">
        <v>117</v>
      </c>
      <c r="I15299" s="26">
        <v>43641.688888888901</v>
      </c>
      <c r="J15299" s="23" t="str">
        <f>HYPERLINK("https://www.spark-marketing.ru/Card/Person/4935838", "Сетракова Полина Андреевна")</f>
        <v>Сетракова Полина Андреевна</v>
      </c>
      <c r="K15299" s="24" t="s">
        <v>12181</v>
      </c>
      <c r="L15299" s="28" t="s">
        <v>51</v>
      </c>
      <c r="M15299" s="25">
        <v>11067.26</v>
      </c>
      <c r="N15299" s="27">
        <v>0.71402414161454342</v>
      </c>
    </row>
    <row r="15300" spans="1:14" hidden="1" outlineLevel="1" x14ac:dyDescent="0.2">
      <c r="A15300" s="23" t="str">
        <f t="shared" si="523"/>
        <v>СПБ ГБУСОН "КЦСОН ЦЕНТРАЛЬНОГО РАЙОНА"</v>
      </c>
      <c r="B15300" s="24" t="s">
        <v>20206</v>
      </c>
      <c r="C15300" s="25">
        <v>38699.980000000003</v>
      </c>
      <c r="D15300" s="22" t="s">
        <v>20207</v>
      </c>
      <c r="E15300" s="22" t="s">
        <v>1018</v>
      </c>
      <c r="F15300" s="23" t="str">
        <f t="shared" si="524"/>
        <v>Оказание услуг по разработке паспортов опасных отходов для Санкт-Петербургского государственного бюджетного учреждения социального обслуживания населения «Комплексный центр социального обслуживания населения Центрального района Санкт-Петербурга» в 20...</v>
      </c>
      <c r="G15300" s="22" t="s">
        <v>117</v>
      </c>
      <c r="H15300" s="22" t="s">
        <v>117</v>
      </c>
      <c r="I15300" s="26">
        <v>43641.688888888901</v>
      </c>
      <c r="J15300" s="23" t="str">
        <f>HYPERLINK("https://www.spark-marketing.ru/Card/Person/6512131", "Чибизова Юлия Викторовна")</f>
        <v>Чибизова Юлия Викторовна</v>
      </c>
      <c r="K15300" s="24" t="s">
        <v>12178</v>
      </c>
      <c r="L15300" s="28" t="s">
        <v>51</v>
      </c>
      <c r="M15300" s="25">
        <v>8358.26</v>
      </c>
      <c r="N15300" s="27">
        <v>0.78402417779027278</v>
      </c>
    </row>
    <row r="15301" spans="1:14" hidden="1" outlineLevel="1" x14ac:dyDescent="0.2">
      <c r="A15301" s="23" t="str">
        <f t="shared" si="523"/>
        <v>СПБ ГБУСОН "КЦСОН ЦЕНТРАЛЬНОГО РАЙОНА"</v>
      </c>
      <c r="B15301" s="24" t="s">
        <v>20206</v>
      </c>
      <c r="C15301" s="25">
        <v>38699.980000000003</v>
      </c>
      <c r="D15301" s="22" t="s">
        <v>20207</v>
      </c>
      <c r="E15301" s="22" t="s">
        <v>1018</v>
      </c>
      <c r="F15301" s="23" t="str">
        <f t="shared" si="524"/>
        <v>Оказание услуг по разработке паспортов опасных отходов для Санкт-Петербургского государственного бюджетного учреждения социального обслуживания населения «Комплексный центр социального обслуживания населения Центрального района Санкт-Петербурга» в 20...</v>
      </c>
      <c r="G15301" s="22" t="s">
        <v>117</v>
      </c>
      <c r="H15301" s="22" t="s">
        <v>117</v>
      </c>
      <c r="I15301" s="26">
        <v>43641.688888888901</v>
      </c>
      <c r="J15301" s="23" t="str">
        <f>HYPERLINK("https://www.spark-marketing.ru/Card/Person/6457972", "ООО ""ПАНДА ПРОДЖЕКТ""")</f>
        <v>ООО "ПАНДА ПРОДЖЕКТ"</v>
      </c>
      <c r="K15301" s="24" t="s">
        <v>20208</v>
      </c>
      <c r="L15301" s="28" t="s">
        <v>51</v>
      </c>
      <c r="M15301" s="25">
        <v>32894.980000000003</v>
      </c>
      <c r="N15301" s="27">
        <v>0.15000007751941991</v>
      </c>
    </row>
    <row r="15302" spans="1:14" hidden="1" outlineLevel="1" x14ac:dyDescent="0.2">
      <c r="A15302" s="23" t="str">
        <f t="shared" si="523"/>
        <v>СПБ ГБУСОН "КЦСОН ЦЕНТРАЛЬНОГО РАЙОНА"</v>
      </c>
      <c r="B15302" s="24" t="s">
        <v>20206</v>
      </c>
      <c r="C15302" s="25">
        <v>38699.980000000003</v>
      </c>
      <c r="D15302" s="22" t="s">
        <v>20207</v>
      </c>
      <c r="E15302" s="22" t="s">
        <v>1018</v>
      </c>
      <c r="F15302" s="23" t="str">
        <f t="shared" si="524"/>
        <v>Оказание услуг по разработке паспортов опасных отходов для Санкт-Петербургского государственного бюджетного учреждения социального обслуживания населения «Комплексный центр социального обслуживания населения Центрального района Санкт-Петербурга» в 20...</v>
      </c>
      <c r="G15302" s="22" t="s">
        <v>117</v>
      </c>
      <c r="H15302" s="22" t="s">
        <v>117</v>
      </c>
      <c r="I15302" s="26">
        <v>43641.688888888901</v>
      </c>
      <c r="J15302" s="23" t="str">
        <f>HYPERLINK("https://www.spark-marketing.ru/Card/Person/1548784", "ООО ""ЭКО-СПБ""")</f>
        <v>ООО "ЭКО-СПБ"</v>
      </c>
      <c r="K15302" s="24" t="s">
        <v>20209</v>
      </c>
      <c r="L15302" s="28" t="s">
        <v>51</v>
      </c>
      <c r="M15302" s="25">
        <v>13195.76</v>
      </c>
      <c r="N15302" s="27">
        <v>0.65902411319075616</v>
      </c>
    </row>
    <row r="15303" spans="1:14" hidden="1" outlineLevel="1" x14ac:dyDescent="0.2">
      <c r="A15303" s="23" t="str">
        <f t="shared" si="523"/>
        <v>СПБ ГБУСОН "КЦСОН ЦЕНТРАЛЬНОГО РАЙОНА"</v>
      </c>
      <c r="B15303" s="24" t="s">
        <v>20206</v>
      </c>
      <c r="C15303" s="25">
        <v>38699.980000000003</v>
      </c>
      <c r="D15303" s="22" t="s">
        <v>20207</v>
      </c>
      <c r="E15303" s="22" t="s">
        <v>1018</v>
      </c>
      <c r="F15303" s="23" t="str">
        <f t="shared" si="524"/>
        <v>Оказание услуг по разработке паспортов опасных отходов для Санкт-Петербургского государственного бюджетного учреждения социального обслуживания населения «Комплексный центр социального обслуживания населения Центрального района Санкт-Петербурга» в 20...</v>
      </c>
      <c r="G15303" s="22" t="s">
        <v>117</v>
      </c>
      <c r="H15303" s="22" t="s">
        <v>117</v>
      </c>
      <c r="I15303" s="26">
        <v>43641.688888888901</v>
      </c>
      <c r="J15303" s="23" t="str">
        <f>HYPERLINK("https://www.spark-marketing.ru/Card/Person/6225035", "Бочаров Владимир Геннадьевич")</f>
        <v>Бочаров Владимир Геннадьевич</v>
      </c>
      <c r="K15303" s="24" t="s">
        <v>20210</v>
      </c>
      <c r="L15303" s="28" t="s">
        <v>51</v>
      </c>
      <c r="M15303" s="25">
        <v>12930</v>
      </c>
      <c r="N15303" s="27">
        <v>0.66589130020222231</v>
      </c>
    </row>
    <row r="15304" spans="1:14" hidden="1" outlineLevel="1" x14ac:dyDescent="0.2">
      <c r="A15304" s="23" t="str">
        <f t="shared" si="523"/>
        <v>СПБ ГБУСОН "КЦСОН ЦЕНТРАЛЬНОГО РАЙОНА"</v>
      </c>
      <c r="B15304" s="24" t="s">
        <v>20206</v>
      </c>
      <c r="C15304" s="25">
        <v>38699.980000000003</v>
      </c>
      <c r="D15304" s="22" t="s">
        <v>20207</v>
      </c>
      <c r="E15304" s="22" t="s">
        <v>1018</v>
      </c>
      <c r="F15304" s="23" t="str">
        <f t="shared" si="524"/>
        <v>Оказание услуг по разработке паспортов опасных отходов для Санкт-Петербургского государственного бюджетного учреждения социального обслуживания населения «Комплексный центр социального обслуживания населения Центрального района Санкт-Петербурга» в 20...</v>
      </c>
      <c r="G15304" s="22" t="s">
        <v>117</v>
      </c>
      <c r="H15304" s="22" t="s">
        <v>117</v>
      </c>
      <c r="I15304" s="26">
        <v>43641.688888888901</v>
      </c>
      <c r="J15304" s="23" t="str">
        <f>HYPERLINK("https://www.spark-marketing.ru/Card/Person/408164", "ООО ""ЦЭС ""РУБИКОН""")</f>
        <v>ООО "ЦЭС "РУБИКОН"</v>
      </c>
      <c r="K15304" s="24" t="s">
        <v>20211</v>
      </c>
      <c r="L15304" s="28" t="s">
        <v>51</v>
      </c>
      <c r="M15304" s="25">
        <v>38312.980000000003</v>
      </c>
      <c r="N15304" s="27">
        <v>1.0000005167961326E-2</v>
      </c>
    </row>
    <row r="15305" spans="1:14" hidden="1" outlineLevel="1" x14ac:dyDescent="0.2">
      <c r="A15305" s="23" t="str">
        <f t="shared" si="523"/>
        <v>СПБ ГБУСОН "КЦСОН ЦЕНТРАЛЬНОГО РАЙОНА"</v>
      </c>
      <c r="B15305" s="24" t="s">
        <v>20206</v>
      </c>
      <c r="C15305" s="25">
        <v>38699.980000000003</v>
      </c>
      <c r="D15305" s="22" t="s">
        <v>20207</v>
      </c>
      <c r="E15305" s="22" t="s">
        <v>1018</v>
      </c>
      <c r="F15305" s="23" t="str">
        <f t="shared" si="524"/>
        <v>Оказание услуг по разработке паспортов опасных отходов для Санкт-Петербургского государственного бюджетного учреждения социального обслуживания населения «Комплексный центр социального обслуживания населения Центрального района Санкт-Петербурга» в 20...</v>
      </c>
      <c r="G15305" s="22" t="s">
        <v>117</v>
      </c>
      <c r="H15305" s="22" t="s">
        <v>117</v>
      </c>
      <c r="I15305" s="26">
        <v>43641.688888888901</v>
      </c>
      <c r="J15305" s="23" t="str">
        <f>HYPERLINK("https://www.spark-marketing.ru/Card/Person/6434163", "ООО ""ЭКОВЛИЯНИЕ""")</f>
        <v>ООО "ЭКОВЛИЯНИЕ"</v>
      </c>
      <c r="K15305" s="24" t="s">
        <v>20212</v>
      </c>
      <c r="L15305" s="28" t="s">
        <v>51</v>
      </c>
      <c r="M15305" s="25">
        <v>11841.26</v>
      </c>
      <c r="N15305" s="27">
        <v>0.69402413127862084</v>
      </c>
    </row>
    <row r="15306" spans="1:14" hidden="1" outlineLevel="1" x14ac:dyDescent="0.2">
      <c r="A15306" s="23" t="str">
        <f t="shared" si="523"/>
        <v>СПБ ГБУСОН "КЦСОН ЦЕНТРАЛЬНОГО РАЙОНА"</v>
      </c>
      <c r="B15306" s="24" t="s">
        <v>20206</v>
      </c>
      <c r="C15306" s="25">
        <v>38699.980000000003</v>
      </c>
      <c r="D15306" s="22" t="s">
        <v>20207</v>
      </c>
      <c r="E15306" s="22" t="s">
        <v>1018</v>
      </c>
      <c r="F15306" s="23" t="str">
        <f t="shared" si="524"/>
        <v>Оказание услуг по разработке паспортов опасных отходов для Санкт-Петербургского государственного бюджетного учреждения социального обслуживания населения «Комплексный центр социального обслуживания населения Центрального района Санкт-Петербурга» в 20...</v>
      </c>
      <c r="G15306" s="22" t="s">
        <v>117</v>
      </c>
      <c r="H15306" s="22" t="s">
        <v>117</v>
      </c>
      <c r="I15306" s="26">
        <v>43641.688888888901</v>
      </c>
      <c r="J15306" s="23" t="str">
        <f>HYPERLINK("https://www.spark-marketing.ru/Card/Person/6615610", "ООО ""ЭКОСНАБ""")</f>
        <v>ООО "ЭКОСНАБ"</v>
      </c>
      <c r="K15306" s="24" t="s">
        <v>20213</v>
      </c>
      <c r="L15306" s="28" t="s">
        <v>51</v>
      </c>
      <c r="M15306" s="25">
        <v>36184.480000000003</v>
      </c>
      <c r="N15306" s="27">
        <v>6.5000033591748621E-2</v>
      </c>
    </row>
    <row r="15307" spans="1:14" ht="12.75" hidden="1" outlineLevel="1" x14ac:dyDescent="0.2">
      <c r="A15307" s="23" t="str">
        <f t="shared" si="523"/>
        <v>СПБ ГБУСОН "КЦСОН ЦЕНТРАЛЬНОГО РАЙОНА"</v>
      </c>
      <c r="B15307" s="24" t="s">
        <v>20206</v>
      </c>
      <c r="C15307" s="25">
        <v>38699.980000000003</v>
      </c>
      <c r="D15307" s="22" t="s">
        <v>20207</v>
      </c>
      <c r="E15307" s="22" t="s">
        <v>1018</v>
      </c>
      <c r="F15307" s="23" t="str">
        <f t="shared" si="524"/>
        <v>Оказание услуг по разработке паспортов опасных отходов для Санкт-Петербургского государственного бюджетного учреждения социального обслуживания населения «Комплексный центр социального обслуживания населения Центрального района Санкт-Петербурга» в 20...</v>
      </c>
      <c r="G15307" s="22" t="s">
        <v>117</v>
      </c>
      <c r="H15307" s="22" t="s">
        <v>117</v>
      </c>
      <c r="I15307" s="26">
        <v>43641.688888888901</v>
      </c>
      <c r="J15307" s="23" t="str">
        <f>HYPERLINK("https://www.spark-marketing.ru/Card/Person/6245095", "ООО ""ЭКОСФЕРА""")</f>
        <v>ООО "ЭКОСФЕРА"</v>
      </c>
      <c r="K15307" s="24" t="s">
        <v>20214</v>
      </c>
      <c r="L15307" s="22" t="s">
        <v>10</v>
      </c>
      <c r="M15307" s="25">
        <v>8164.76</v>
      </c>
      <c r="N15307" s="27">
        <v>0.78902418037425337</v>
      </c>
    </row>
    <row r="15308" spans="1:14" hidden="1" outlineLevel="1" x14ac:dyDescent="0.2">
      <c r="A15308" s="23" t="str">
        <f t="shared" si="523"/>
        <v>СПБ ГБУСОН "КЦСОН ЦЕНТРАЛЬНОГО РАЙОНА"</v>
      </c>
      <c r="B15308" s="24" t="s">
        <v>20206</v>
      </c>
      <c r="C15308" s="25">
        <v>38699.980000000003</v>
      </c>
      <c r="D15308" s="22" t="s">
        <v>20207</v>
      </c>
      <c r="E15308" s="22" t="s">
        <v>1018</v>
      </c>
      <c r="F15308" s="23" t="str">
        <f t="shared" si="524"/>
        <v>Оказание услуг по разработке паспортов опасных отходов для Санкт-Петербургского государственного бюджетного учреждения социального обслуживания населения «Комплексный центр социального обслуживания населения Центрального района Санкт-Петербурга» в 20...</v>
      </c>
      <c r="G15308" s="22" t="s">
        <v>117</v>
      </c>
      <c r="H15308" s="22" t="s">
        <v>117</v>
      </c>
      <c r="I15308" s="26">
        <v>43641.688888888901</v>
      </c>
      <c r="J15308" s="23" t="str">
        <f>HYPERLINK("https://www.spark-marketing.ru/Card/Person/6428250", "ООО ""РЕГИОНАЛЬНАЯ СЛУЖБА ЭКОЛОГИЧЕСКОГО МОНИТОРИНГА""")</f>
        <v>ООО "РЕГИОНАЛЬНАЯ СЛУЖБА ЭКОЛОГИЧЕСКОГО МОНИТОРИНГА"</v>
      </c>
      <c r="K15308" s="24" t="s">
        <v>20215</v>
      </c>
      <c r="L15308" s="28" t="s">
        <v>51</v>
      </c>
      <c r="M15308" s="25">
        <v>19930.48</v>
      </c>
      <c r="N15308" s="27">
        <v>0.48500025064612434</v>
      </c>
    </row>
    <row r="15309" spans="1:14" x14ac:dyDescent="0.15">
      <c r="A15309" s="23" t="str">
        <f>HYPERLINK("https://www.spark-marketing.ru/Card/Person/152179", "МБОУ СОШ № 6 Г. СТАВРОПОЛЯ")</f>
        <v>МБОУ СОШ № 6 Г. СТАВРОПОЛЯ</v>
      </c>
      <c r="B15309" s="24" t="s">
        <v>20216</v>
      </c>
      <c r="C15309" s="25">
        <v>456400</v>
      </c>
      <c r="D15309" s="22" t="s">
        <v>20217</v>
      </c>
      <c r="E15309" s="22" t="s">
        <v>48</v>
      </c>
      <c r="F15309" s="23" t="str">
        <f>HYPERLINK("https://www.spark-marketing.ru/Card/Lot/71664655", "Услуги по организации питания учащихся МБОУ СОШ № 6 г. Ставрополя в сентябре-декабре 2019 года")</f>
        <v>Услуги по организации питания учащихся МБОУ СОШ № 6 г. Ставрополя в сентябре-декабре 2019 года</v>
      </c>
      <c r="G15309" s="22" t="s">
        <v>87</v>
      </c>
      <c r="H15309" s="22" t="s">
        <v>87</v>
      </c>
      <c r="I15309" s="26">
        <v>43641.702083333301</v>
      </c>
      <c r="J15309" s="23" t="str">
        <f>HYPERLINK("https://www.spark-marketing.ru/Card/Person/217327", "Карпачев Валерий Борисович")</f>
        <v>Карпачев Валерий Борисович</v>
      </c>
      <c r="K15309" s="24" t="s">
        <v>19656</v>
      </c>
      <c r="L15309" s="22" t="s">
        <v>10</v>
      </c>
      <c r="M15309" s="28" t="s">
        <v>51</v>
      </c>
      <c r="N15309" s="28" t="s">
        <v>51</v>
      </c>
    </row>
    <row r="15310" spans="1:14" x14ac:dyDescent="0.15">
      <c r="A15310" s="23" t="str">
        <f>HYPERLINK("https://www.spark-marketing.ru/Card/Person/1036964", "МБОУ СОШ № 39 ГОРОДА СТАВРОПОЛЯ")</f>
        <v>МБОУ СОШ № 39 ГОРОДА СТАВРОПОЛЯ</v>
      </c>
      <c r="B15310" s="24" t="s">
        <v>20218</v>
      </c>
      <c r="C15310" s="25">
        <v>1449000</v>
      </c>
      <c r="D15310" s="22" t="s">
        <v>20219</v>
      </c>
      <c r="E15310" s="22" t="s">
        <v>48</v>
      </c>
      <c r="F15310" s="23" t="str">
        <f>HYPERLINK("https://www.spark-marketing.ru/Card/Lot/71668282", "Услуги по организации питания учащихся МБОУ СОШ № 39 города Ставрополя в сентябре-декабре 2019 года")</f>
        <v>Услуги по организации питания учащихся МБОУ СОШ № 39 города Ставрополя в сентябре-декабре 2019 года</v>
      </c>
      <c r="G15310" s="22" t="s">
        <v>87</v>
      </c>
      <c r="H15310" s="22" t="s">
        <v>87</v>
      </c>
      <c r="I15310" s="26">
        <v>43641.702083333301</v>
      </c>
      <c r="J15310" s="23" t="str">
        <f>HYPERLINK("https://www.spark-marketing.ru/Card/Person/213142", "Звягина Надежда Ильинична")</f>
        <v>Звягина Надежда Ильинична</v>
      </c>
      <c r="K15310" s="24" t="s">
        <v>12311</v>
      </c>
      <c r="L15310" s="22" t="s">
        <v>10</v>
      </c>
      <c r="M15310" s="28" t="s">
        <v>51</v>
      </c>
      <c r="N15310" s="28" t="s">
        <v>51</v>
      </c>
    </row>
    <row r="15311" spans="1:14" x14ac:dyDescent="0.15">
      <c r="A15311" s="23" t="str">
        <f>HYPERLINK("https://www.spark-marketing.ru/Card/Person/158376", "ОМВД РОССИИ ПО Г. НОВОЧЕБОКСАРСК")</f>
        <v>ОМВД РОССИИ ПО Г. НОВОЧЕБОКСАРСК</v>
      </c>
      <c r="B15311" s="24" t="s">
        <v>7410</v>
      </c>
      <c r="C15311" s="25">
        <v>400040</v>
      </c>
      <c r="D15311" s="22" t="s">
        <v>20220</v>
      </c>
      <c r="E15311" s="22" t="s">
        <v>48</v>
      </c>
      <c r="F15311" s="23" t="str">
        <f>HYPERLINK("https://www.spark-marketing.ru/Card/Lot/71664316", "Услуги по обеспечению горячим питанием лиц содержащихся в ИВС и КЗЛ")</f>
        <v>Услуги по обеспечению горячим питанием лиц содержащихся в ИВС и КЗЛ</v>
      </c>
      <c r="G15311" s="22" t="s">
        <v>618</v>
      </c>
      <c r="H15311" s="22" t="s">
        <v>7412</v>
      </c>
      <c r="I15311" s="26">
        <v>43641.688194444403</v>
      </c>
      <c r="J15311" s="28" t="s">
        <v>51</v>
      </c>
      <c r="K15311" s="28" t="s">
        <v>51</v>
      </c>
      <c r="L15311" s="28" t="s">
        <v>51</v>
      </c>
      <c r="M15311" s="28" t="s">
        <v>51</v>
      </c>
      <c r="N15311" s="28" t="s">
        <v>51</v>
      </c>
    </row>
    <row r="15312" spans="1:14" hidden="1" outlineLevel="1" x14ac:dyDescent="0.2">
      <c r="A15312" s="23" t="str">
        <f>HYPERLINK("https://www.spark-marketing.ru/Card/Person/158376", "ОМВД РОССИИ ПО Г. НОВОЧЕБОКСАРСК")</f>
        <v>ОМВД РОССИИ ПО Г. НОВОЧЕБОКСАРСК</v>
      </c>
      <c r="B15312" s="24" t="s">
        <v>7410</v>
      </c>
      <c r="C15312" s="25">
        <v>400040</v>
      </c>
      <c r="D15312" s="22" t="s">
        <v>20220</v>
      </c>
      <c r="E15312" s="22" t="s">
        <v>48</v>
      </c>
      <c r="F15312" s="23" t="str">
        <f>HYPERLINK("https://www.spark-marketing.ru/Card/Lot/71664316", "Услуги по обеспечению горячим питанием лиц содержащихся в ИВС и КЗЛ")</f>
        <v>Услуги по обеспечению горячим питанием лиц содержащихся в ИВС и КЗЛ</v>
      </c>
      <c r="G15312" s="22" t="s">
        <v>618</v>
      </c>
      <c r="H15312" s="22" t="s">
        <v>7412</v>
      </c>
      <c r="I15312" s="26">
        <v>43641.688194444403</v>
      </c>
      <c r="J15312" s="23" t="str">
        <f>HYPERLINK("https://www.spark-marketing.ru/Card/Person/449724", "ООО ""СТОЛОВАЯ № 2""")</f>
        <v>ООО "СТОЛОВАЯ № 2"</v>
      </c>
      <c r="K15312" s="24" t="s">
        <v>7413</v>
      </c>
      <c r="L15312" s="28" t="s">
        <v>51</v>
      </c>
      <c r="M15312" s="25">
        <v>1165.98</v>
      </c>
      <c r="N15312" s="27">
        <v>0.99708534146585337</v>
      </c>
    </row>
    <row r="15313" spans="1:14" ht="12.75" hidden="1" outlineLevel="1" x14ac:dyDescent="0.2">
      <c r="A15313" s="23" t="str">
        <f>HYPERLINK("https://www.spark-marketing.ru/Card/Person/158376", "ОМВД РОССИИ ПО Г. НОВОЧЕБОКСАРСК")</f>
        <v>ОМВД РОССИИ ПО Г. НОВОЧЕБОКСАРСК</v>
      </c>
      <c r="B15313" s="24" t="s">
        <v>7410</v>
      </c>
      <c r="C15313" s="25">
        <v>400040</v>
      </c>
      <c r="D15313" s="22" t="s">
        <v>20220</v>
      </c>
      <c r="E15313" s="22" t="s">
        <v>48</v>
      </c>
      <c r="F15313" s="23" t="str">
        <f>HYPERLINK("https://www.spark-marketing.ru/Card/Lot/71664316", "Услуги по обеспечению горячим питанием лиц содержащихся в ИВС и КЗЛ")</f>
        <v>Услуги по обеспечению горячим питанием лиц содержащихся в ИВС и КЗЛ</v>
      </c>
      <c r="G15313" s="22" t="s">
        <v>618</v>
      </c>
      <c r="H15313" s="22" t="s">
        <v>7412</v>
      </c>
      <c r="I15313" s="26">
        <v>43641.688194444403</v>
      </c>
      <c r="J15313" s="23" t="str">
        <f>HYPERLINK("https://www.spark-marketing.ru/Card/Person/2046621", "Якимов Виктор Николаевич")</f>
        <v>Якимов Виктор Николаевич</v>
      </c>
      <c r="K15313" s="24" t="s">
        <v>7415</v>
      </c>
      <c r="L15313" s="22" t="s">
        <v>10</v>
      </c>
      <c r="M15313" s="25">
        <v>1165.98</v>
      </c>
      <c r="N15313" s="27">
        <v>0.99708534146585337</v>
      </c>
    </row>
    <row r="15314" spans="1:14" x14ac:dyDescent="0.15">
      <c r="A15314" s="23" t="str">
        <f>HYPERLINK("https://www.spark-marketing.ru/Card/Person/68688", "МЕЖМУНИЦИПАЛЬНЫЙ ОТДЕЛ МВД РОССИИ ""КАНСКИЙ""")</f>
        <v>МЕЖМУНИЦИПАЛЬНЫЙ ОТДЕЛ МВД РОССИИ "КАНСКИЙ"</v>
      </c>
      <c r="B15314" s="24" t="s">
        <v>20187</v>
      </c>
      <c r="C15314" s="25">
        <v>1300000</v>
      </c>
      <c r="D15314" s="22" t="s">
        <v>20221</v>
      </c>
      <c r="E15314" s="22" t="s">
        <v>96</v>
      </c>
      <c r="F15314" s="23" t="str">
        <f>HYPERLINK("https://www.spark-marketing.ru/Card/Lot/71667949", "Организация питания ИВС")</f>
        <v>Организация питания ИВС</v>
      </c>
      <c r="G15314" s="22" t="s">
        <v>281</v>
      </c>
      <c r="H15314" s="22" t="s">
        <v>14184</v>
      </c>
      <c r="I15314" s="26">
        <v>43641.679861111101</v>
      </c>
      <c r="J15314" s="23" t="str">
        <f>HYPERLINK("https://www.spark-marketing.ru/Card/Person/200493", "Федоров Юрий Васильевич")</f>
        <v>Федоров Юрий Васильевич</v>
      </c>
      <c r="K15314" s="24" t="s">
        <v>11695</v>
      </c>
      <c r="L15314" s="22" t="s">
        <v>10</v>
      </c>
      <c r="M15314" s="28" t="s">
        <v>51</v>
      </c>
      <c r="N15314" s="28" t="s">
        <v>51</v>
      </c>
    </row>
    <row r="15315" spans="1:14" x14ac:dyDescent="0.15">
      <c r="A15315" s="23" t="str">
        <f>HYPERLINK("https://www.spark-marketing.ru/Card/Person/1038525", "МБОУ СОШ №64 Г.СТАВРОПОЛЯ")</f>
        <v>МБОУ СОШ №64 Г.СТАВРОПОЛЯ</v>
      </c>
      <c r="B15315" s="24" t="s">
        <v>20222</v>
      </c>
      <c r="C15315" s="25">
        <v>781705</v>
      </c>
      <c r="D15315" s="22" t="s">
        <v>20223</v>
      </c>
      <c r="E15315" s="22" t="s">
        <v>48</v>
      </c>
      <c r="F15315" s="23" t="str">
        <f>HYPERLINK("https://www.spark-marketing.ru/Card/Lot/71666455", "Услуги по организации питания учащихся МБОУ СОШ №64 г. Ставрополя в сентябре-декабре 2019 года")</f>
        <v>Услуги по организации питания учащихся МБОУ СОШ №64 г. Ставрополя в сентябре-декабре 2019 года</v>
      </c>
      <c r="G15315" s="22" t="s">
        <v>87</v>
      </c>
      <c r="H15315" s="22" t="s">
        <v>87</v>
      </c>
      <c r="I15315" s="26">
        <v>43641.702083333301</v>
      </c>
      <c r="J15315" s="23" t="str">
        <f>HYPERLINK("https://www.spark-marketing.ru/Card/Person/213142", "Звягина Надежда Ильинична")</f>
        <v>Звягина Надежда Ильинична</v>
      </c>
      <c r="K15315" s="24" t="s">
        <v>12311</v>
      </c>
      <c r="L15315" s="22" t="s">
        <v>10</v>
      </c>
      <c r="M15315" s="28" t="s">
        <v>51</v>
      </c>
      <c r="N15315" s="28" t="s">
        <v>51</v>
      </c>
    </row>
    <row r="15316" spans="1:14" x14ac:dyDescent="0.15">
      <c r="A15316" s="23" t="str">
        <f>HYPERLINK("https://www.spark-marketing.ru/Card/Person/176670", "ОМВД РОССИИ ПО ВАНИНСКОМУ РАЙОНУ")</f>
        <v>ОМВД РОССИИ ПО ВАНИНСКОМУ РАЙОНУ</v>
      </c>
      <c r="B15316" s="24" t="s">
        <v>20224</v>
      </c>
      <c r="C15316" s="25">
        <v>1476480</v>
      </c>
      <c r="D15316" s="22" t="s">
        <v>20225</v>
      </c>
      <c r="E15316" s="22" t="s">
        <v>96</v>
      </c>
      <c r="F15316" s="23" t="str">
        <f>HYPERLINK("https://www.spark-marketing.ru/Card/Lot/71645287", "Прочая закупка товаров, работ и услуг (услуги по организации питания арестованных в ИВС ОМВД РФ)")</f>
        <v>Прочая закупка товаров, работ и услуг (услуги по организации питания арестованных в ИВС ОМВД РФ)</v>
      </c>
      <c r="G15316" s="22" t="s">
        <v>1096</v>
      </c>
      <c r="H15316" s="22" t="s">
        <v>20226</v>
      </c>
      <c r="I15316" s="26">
        <v>43641.671527777798</v>
      </c>
      <c r="J15316" s="23" t="str">
        <f>HYPERLINK("https://www.spark-marketing.ru/Card/Person/222268", "Маилова Ольга Владимировна")</f>
        <v>Маилова Ольга Владимировна</v>
      </c>
      <c r="K15316" s="24" t="s">
        <v>20227</v>
      </c>
      <c r="L15316" s="22" t="s">
        <v>10</v>
      </c>
      <c r="M15316" s="28" t="s">
        <v>51</v>
      </c>
      <c r="N15316" s="28" t="s">
        <v>51</v>
      </c>
    </row>
    <row r="15317" spans="1:14" x14ac:dyDescent="0.15">
      <c r="A15317" s="23" t="str">
        <f>HYPERLINK("https://www.spark-marketing.ru/Card/Person/1007298", "ОТДЕЛЕНИЕ МВД РОССИИ ПО УСТЬ-КАНСКОМУ РАЙОНУ")</f>
        <v>ОТДЕЛЕНИЕ МВД РОССИИ ПО УСТЬ-КАНСКОМУ РАЙОНУ</v>
      </c>
      <c r="B15317" s="24" t="s">
        <v>13327</v>
      </c>
      <c r="C15317" s="25">
        <v>1058000</v>
      </c>
      <c r="D15317" s="22" t="s">
        <v>20228</v>
      </c>
      <c r="E15317" s="22" t="s">
        <v>48</v>
      </c>
      <c r="F15317" s="23" t="str">
        <f>HYPERLINK("https://www.spark-marketing.ru/Card/Lot/71667247", "Оказание услуг по обеспечению горячим питанием лиц, содержащихся в ИВС")</f>
        <v>Оказание услуг по обеспечению горячим питанием лиц, содержащихся в ИВС</v>
      </c>
      <c r="G15317" s="22" t="s">
        <v>1141</v>
      </c>
      <c r="H15317" s="22" t="s">
        <v>13329</v>
      </c>
      <c r="I15317" s="26">
        <v>43641.680555555598</v>
      </c>
      <c r="J15317" s="28" t="s">
        <v>51</v>
      </c>
      <c r="K15317" s="28" t="s">
        <v>51</v>
      </c>
      <c r="L15317" s="28" t="s">
        <v>51</v>
      </c>
      <c r="M15317" s="28" t="s">
        <v>51</v>
      </c>
      <c r="N15317" s="28" t="s">
        <v>51</v>
      </c>
    </row>
    <row r="15318" spans="1:14" x14ac:dyDescent="0.15">
      <c r="A15318" s="23" t="str">
        <f>HYPERLINK("https://www.spark-marketing.ru/Card/Person/4929570", "ОМВД РОССИИ ПО МОСКОВСКОМУ РАЙОНУ Г РЯЗАНИ")</f>
        <v>ОМВД РОССИИ ПО МОСКОВСКОМУ РАЙОНУ Г РЯЗАНИ</v>
      </c>
      <c r="B15318" s="24" t="s">
        <v>20196</v>
      </c>
      <c r="C15318" s="25">
        <v>50310</v>
      </c>
      <c r="D15318" s="22" t="s">
        <v>20229</v>
      </c>
      <c r="E15318" s="22" t="s">
        <v>96</v>
      </c>
      <c r="F15318" s="23" t="str">
        <f>HYPERLINK("https://www.spark-marketing.ru/Card/Lot/71657195",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5318" s="22" t="s">
        <v>1522</v>
      </c>
      <c r="H15318" s="22" t="s">
        <v>1523</v>
      </c>
      <c r="I15318" s="26">
        <v>43641.691701388903</v>
      </c>
      <c r="J15318" s="28" t="s">
        <v>51</v>
      </c>
      <c r="K15318" s="28" t="s">
        <v>51</v>
      </c>
      <c r="L15318" s="28" t="s">
        <v>51</v>
      </c>
      <c r="M15318" s="28" t="s">
        <v>51</v>
      </c>
      <c r="N15318" s="28" t="s">
        <v>51</v>
      </c>
    </row>
    <row r="15319" spans="1:14" x14ac:dyDescent="0.15">
      <c r="A15319" s="23" t="str">
        <f>HYPERLINK("https://www.spark-marketing.ru/Card/Person/149782", "ВОЙСКОВАЯ ЧАСТЬ 3059")</f>
        <v>ВОЙСКОВАЯ ЧАСТЬ 3059</v>
      </c>
      <c r="B15319" s="24" t="s">
        <v>20230</v>
      </c>
      <c r="C15319" s="25">
        <v>29700</v>
      </c>
      <c r="D15319" s="22" t="s">
        <v>20231</v>
      </c>
      <c r="E15319" s="22" t="s">
        <v>86</v>
      </c>
      <c r="F15319" s="23" t="str">
        <f>HYPERLINK("https://www.spark-marketing.ru/Card/Lot/71673999", "Услуги по исследованию воды и смывов с рабочих поверхностей объектов питания")</f>
        <v>Услуги по исследованию воды и смывов с рабочих поверхностей объектов питания</v>
      </c>
      <c r="G15319" s="22" t="s">
        <v>766</v>
      </c>
      <c r="H15319" s="22" t="s">
        <v>766</v>
      </c>
      <c r="I15319" s="26">
        <v>43641.684722222199</v>
      </c>
      <c r="J15319" s="28" t="s">
        <v>51</v>
      </c>
      <c r="K15319" s="28" t="s">
        <v>51</v>
      </c>
      <c r="L15319" s="28" t="s">
        <v>51</v>
      </c>
      <c r="M15319" s="28" t="s">
        <v>51</v>
      </c>
      <c r="N15319" s="28" t="s">
        <v>51</v>
      </c>
    </row>
    <row r="15320" spans="1:14" x14ac:dyDescent="0.15">
      <c r="A15320" s="23" t="str">
        <f>HYPERLINK("https://www.spark-marketing.ru/Card/Person/4929570", "ОМВД РОССИИ ПО МОСКОВСКОМУ РАЙОНУ Г РЯЗАНИ")</f>
        <v>ОМВД РОССИИ ПО МОСКОВСКОМУ РАЙОНУ Г РЯЗАНИ</v>
      </c>
      <c r="B15320" s="24" t="s">
        <v>20196</v>
      </c>
      <c r="C15320" s="25">
        <v>50310</v>
      </c>
      <c r="D15320" s="22" t="s">
        <v>20232</v>
      </c>
      <c r="E15320" s="22" t="s">
        <v>96</v>
      </c>
      <c r="F15320" s="23" t="str">
        <f>HYPERLINK("https://www.spark-marketing.ru/Card/Lot/71657221",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5320" s="22" t="s">
        <v>1522</v>
      </c>
      <c r="H15320" s="22" t="s">
        <v>1523</v>
      </c>
      <c r="I15320" s="26">
        <v>43641.697476851798</v>
      </c>
      <c r="J15320" s="28" t="s">
        <v>51</v>
      </c>
      <c r="K15320" s="28" t="s">
        <v>51</v>
      </c>
      <c r="L15320" s="28" t="s">
        <v>51</v>
      </c>
      <c r="M15320" s="28" t="s">
        <v>51</v>
      </c>
      <c r="N15320" s="28" t="s">
        <v>51</v>
      </c>
    </row>
    <row r="15321" spans="1:14" x14ac:dyDescent="0.15">
      <c r="A15321" s="23" t="str">
        <f>HYPERLINK("https://www.spark-marketing.ru/Card/Person/17526", "ГБУЗ ""ВОККВД""")</f>
        <v>ГБУЗ "ВОККВД"</v>
      </c>
      <c r="B15321" s="24" t="s">
        <v>20233</v>
      </c>
      <c r="C15321" s="25">
        <v>1217160</v>
      </c>
      <c r="D15321" s="22" t="s">
        <v>20234</v>
      </c>
      <c r="E15321" s="22" t="s">
        <v>48</v>
      </c>
      <c r="F15321" s="23" t="str">
        <f>HYPERLINK("https://www.spark-marketing.ru/Card/Lot/71667927", "Оказание услуг по приготовлению и доставке лечебно-диетического питания в Камышинском филиале ГБУЗ ""ВОККВД""")</f>
        <v>Оказание услуг по приготовлению и доставке лечебно-диетического питания в Камышинском филиале ГБУЗ "ВОККВД"</v>
      </c>
      <c r="G15321" s="22" t="s">
        <v>158</v>
      </c>
      <c r="H15321" s="22" t="s">
        <v>171</v>
      </c>
      <c r="I15321" s="26">
        <v>43641.690277777801</v>
      </c>
      <c r="J15321" s="23" t="str">
        <f>HYPERLINK("https://www.spark-marketing.ru/Card/Person/520670", "ООО ""СОЮЗ К""")</f>
        <v>ООО "СОЮЗ К"</v>
      </c>
      <c r="K15321" s="24" t="s">
        <v>10035</v>
      </c>
      <c r="L15321" s="22" t="s">
        <v>10</v>
      </c>
      <c r="M15321" s="28" t="s">
        <v>51</v>
      </c>
      <c r="N15321" s="28" t="s">
        <v>51</v>
      </c>
    </row>
    <row r="15322" spans="1:14" x14ac:dyDescent="0.15">
      <c r="A15322" s="23" t="str">
        <f>HYPERLINK("https://www.spark-marketing.ru/Card/Person/1071838", "МОАУ ""СОШ № 64""")</f>
        <v>МОАУ "СОШ № 64"</v>
      </c>
      <c r="B15322" s="24" t="s">
        <v>20235</v>
      </c>
      <c r="C15322" s="25">
        <v>102446.39999999999</v>
      </c>
      <c r="D15322" s="22" t="s">
        <v>20236</v>
      </c>
      <c r="E15322" s="22" t="s">
        <v>1412</v>
      </c>
      <c r="F15322" s="23" t="str">
        <f>HYPERLINK("https://www.spark-marketing.ru/Card/Lot/71655366", "Оказание услуг по организации питания детей в лагере дневного пребывания на базе организации МОАУ СОШ №64")</f>
        <v>Оказание услуг по организации питания детей в лагере дневного пребывания на базе организации МОАУ СОШ №64</v>
      </c>
      <c r="G15322" s="22" t="s">
        <v>132</v>
      </c>
      <c r="H15322" s="22" t="s">
        <v>132</v>
      </c>
      <c r="I15322" s="26">
        <v>43641.699155092603</v>
      </c>
      <c r="J15322" s="28" t="s">
        <v>51</v>
      </c>
      <c r="K15322" s="28" t="s">
        <v>51</v>
      </c>
      <c r="L15322" s="28" t="s">
        <v>51</v>
      </c>
      <c r="M15322" s="28" t="s">
        <v>51</v>
      </c>
      <c r="N15322" s="28" t="s">
        <v>51</v>
      </c>
    </row>
    <row r="15323" spans="1:14" x14ac:dyDescent="0.15">
      <c r="A15323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5323" s="24" t="s">
        <v>3255</v>
      </c>
      <c r="C15323" s="25">
        <v>62578.2</v>
      </c>
      <c r="D15323" s="22" t="s">
        <v>20237</v>
      </c>
      <c r="E15323" s="22" t="s">
        <v>52</v>
      </c>
      <c r="F15323" s="23" t="str">
        <f>HYPERLINK("https://www.spark-marketing.ru/Card/Lot/71651646", "Поставка лекарственного препарата для медицинского применения ""Будесонид""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пр...")</f>
        <v>Поставка лекарственного препарата для медицинского применения "Будесонид"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</v>
      </c>
      <c r="G15323" s="22" t="s">
        <v>210</v>
      </c>
      <c r="H15323" s="22" t="s">
        <v>3257</v>
      </c>
      <c r="I15323" s="26">
        <v>43641.649305555598</v>
      </c>
      <c r="J15323" s="23" t="str">
        <f>HYPERLINK("https://www.spark-marketing.ru/Card/Person/6219611", "ООО ""ДОКТОР АЙБОЛИТ""")</f>
        <v>ООО "ДОКТОР АЙБОЛИТ"</v>
      </c>
      <c r="K15323" s="24" t="s">
        <v>20238</v>
      </c>
      <c r="L15323" s="28" t="s">
        <v>51</v>
      </c>
      <c r="M15323" s="28" t="s">
        <v>51</v>
      </c>
      <c r="N15323" s="28" t="s">
        <v>51</v>
      </c>
    </row>
    <row r="15324" spans="1:14" hidden="1" outlineLevel="1" x14ac:dyDescent="0.15">
      <c r="A1532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5324" s="24" t="s">
        <v>3255</v>
      </c>
      <c r="C15324" s="25">
        <v>62578.2</v>
      </c>
      <c r="D15324" s="22" t="s">
        <v>20237</v>
      </c>
      <c r="E15324" s="22" t="s">
        <v>52</v>
      </c>
      <c r="F15324" s="23" t="str">
        <f>HYPERLINK("https://www.spark-marketing.ru/Card/Lot/71651646", "Поставка лекарственного препарата для медицинского применения ""Будесонид""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пр...")</f>
        <v>Поставка лекарственного препарата для медицинского применения "Будесонид"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пр...</v>
      </c>
      <c r="G15324" s="22" t="s">
        <v>210</v>
      </c>
      <c r="H15324" s="22" t="s">
        <v>3257</v>
      </c>
      <c r="I15324" s="26">
        <v>43641.649305555598</v>
      </c>
      <c r="J15324" s="23" t="str">
        <f>HYPERLINK("https://www.spark-marketing.ru/Card/Person/6219611", "ООО ""ДОКТОР АЙБОЛИТ""")</f>
        <v>ООО "ДОКТОР АЙБОЛИТ"</v>
      </c>
      <c r="K15324" s="24" t="s">
        <v>20238</v>
      </c>
      <c r="L15324" s="22" t="s">
        <v>10</v>
      </c>
      <c r="M15324" s="28" t="s">
        <v>51</v>
      </c>
      <c r="N15324" s="28" t="s">
        <v>51</v>
      </c>
    </row>
    <row r="15325" spans="1:14" x14ac:dyDescent="0.15">
      <c r="A15325" s="23" t="str">
        <f>HYPERLINK("https://www.spark-marketing.ru/Card/Person/1015214", "МБОУ СОШ № 4 Г. СТАВРОПОЛЯ ИМЕНИ И.Д.СУРГУЧЁВА")</f>
        <v>МБОУ СОШ № 4 Г. СТАВРОПОЛЯ ИМЕНИ И.Д.СУРГУЧЁВА</v>
      </c>
      <c r="B15325" s="24" t="s">
        <v>20239</v>
      </c>
      <c r="C15325" s="25">
        <v>388880</v>
      </c>
      <c r="D15325" s="22" t="s">
        <v>20240</v>
      </c>
      <c r="E15325" s="22" t="s">
        <v>48</v>
      </c>
      <c r="F15325" s="23" t="str">
        <f>HYPERLINK("https://www.spark-marketing.ru/Card/Lot/71663943", "Услуги по организации питания учащихся МБОУ СОШ № 4 г. Ставрополя имени И.Д.Сургучёва в сентябре - декабре 2019 года")</f>
        <v>Услуги по организации питания учащихся МБОУ СОШ № 4 г. Ставрополя имени И.Д.Сургучёва в сентябре - декабре 2019 года</v>
      </c>
      <c r="G15325" s="22" t="s">
        <v>87</v>
      </c>
      <c r="H15325" s="22" t="s">
        <v>87</v>
      </c>
      <c r="I15325" s="26">
        <v>43641.664583333302</v>
      </c>
      <c r="J15325" s="23" t="str">
        <f>HYPERLINK("https://www.spark-marketing.ru/Card/Person/217327", "Карпачев Валерий Борисович")</f>
        <v>Карпачев Валерий Борисович</v>
      </c>
      <c r="K15325" s="24" t="s">
        <v>19656</v>
      </c>
      <c r="L15325" s="22" t="s">
        <v>10</v>
      </c>
      <c r="M15325" s="28" t="s">
        <v>51</v>
      </c>
      <c r="N15325" s="28" t="s">
        <v>51</v>
      </c>
    </row>
    <row r="15326" spans="1:14" x14ac:dyDescent="0.2">
      <c r="A15326" s="23" t="str">
        <f>HYPERLINK("https://www.spark-marketing.ru/Card/Person/83281", "МУП ""КАЛУГАТЕПЛОСЕТЬ"" Г КАЛУГИ")</f>
        <v>МУП "КАЛУГАТЕПЛОСЕТЬ" Г КАЛУГИ</v>
      </c>
      <c r="B15326" s="24" t="s">
        <v>20241</v>
      </c>
      <c r="C15326" s="25">
        <v>168000</v>
      </c>
      <c r="D15326" s="22" t="s">
        <v>20242</v>
      </c>
      <c r="E15326" s="22" t="s">
        <v>3561</v>
      </c>
      <c r="F15326" s="23" t="str">
        <f>HYPERLINK("https://www.spark-marketing.ru/Card/Lot/71657982", "Оказание услуг по: - обеспечению проживания Заказчика на территории филиала Исполнителя; - покупке авиабилетов и оплата трансфера ; - заключению договора на оказание Заказчику услуг по санаторно-курортному лечению и 3-х разовому питанию Заказчика")</f>
        <v>Оказание услуг по: - обеспечению проживания Заказчика на территории филиала Исполнителя; - покупке авиабилетов и оплата трансфера ; - заключению договора на оказание Заказчику услуг по санаторно-курортному лечению и 3-х разовому питанию Заказчика</v>
      </c>
      <c r="G15326" s="22" t="s">
        <v>112</v>
      </c>
      <c r="H15326" s="22" t="s">
        <v>112</v>
      </c>
      <c r="I15326" s="26">
        <v>43641.662905092599</v>
      </c>
      <c r="J15326" s="28" t="s">
        <v>51</v>
      </c>
      <c r="K15326" s="28" t="s">
        <v>51</v>
      </c>
      <c r="L15326" s="28" t="s">
        <v>51</v>
      </c>
      <c r="M15326" s="25">
        <v>168000</v>
      </c>
      <c r="N15326" s="27">
        <v>0</v>
      </c>
    </row>
    <row r="15327" spans="1:14" x14ac:dyDescent="0.15">
      <c r="A15327" s="23" t="str">
        <f>HYPERLINK("https://www.spark-marketing.ru/Card/Person/1760883", "ГУ-СВЕРДЛОВСКОЕ РО ФОНДА СОЦИАЛЬНОГО СТРАХОВАНИЯ РОССИЙСКОЙ ФЕДЕРАЦИИ")</f>
        <v>ГУ-СВЕРДЛОВСКОЕ РО ФОНДА СОЦИАЛЬНОГО СТРАХОВАНИЯ РОССИЙСКОЙ ФЕДЕРАЦИИ</v>
      </c>
      <c r="B15327" s="24" t="s">
        <v>20243</v>
      </c>
      <c r="C15327" s="25">
        <v>2825550</v>
      </c>
      <c r="D15327" s="22" t="s">
        <v>20244</v>
      </c>
      <c r="E15327" s="22" t="s">
        <v>86</v>
      </c>
      <c r="F15327" s="23" t="str">
        <f>HYPERLINK("https://www.spark-marketing.ru/Card/Lot/71669628", "Оказание услуг по санаторно-курортному лечению граждан-пострадавших вследствие несчастных случаев на производстве и профессиональных заболеваний")</f>
        <v>Оказание услуг по санаторно-курортному лечению граждан-пострадавших вследствие несчастных случаев на производстве и профессиональных заболеваний</v>
      </c>
      <c r="G15327" s="22" t="s">
        <v>174</v>
      </c>
      <c r="H15327" s="22" t="s">
        <v>174</v>
      </c>
      <c r="I15327" s="26">
        <v>43641.665972222203</v>
      </c>
      <c r="J15327" s="28" t="s">
        <v>51</v>
      </c>
      <c r="K15327" s="28" t="s">
        <v>51</v>
      </c>
      <c r="L15327" s="28" t="s">
        <v>51</v>
      </c>
      <c r="M15327" s="28" t="s">
        <v>51</v>
      </c>
      <c r="N15327" s="28" t="s">
        <v>51</v>
      </c>
    </row>
    <row r="15328" spans="1:14" hidden="1" outlineLevel="1" x14ac:dyDescent="0.2">
      <c r="A15328" s="23" t="str">
        <f>HYPERLINK("https://www.spark-marketing.ru/Card/Person/1760883", "ГУ-СВЕРДЛОВСКОЕ РО ФОНДА СОЦИАЛЬНОГО СТРАХОВАНИЯ РОССИЙСКОЙ ФЕДЕРАЦИИ")</f>
        <v>ГУ-СВЕРДЛОВСКОЕ РО ФОНДА СОЦИАЛЬНОГО СТРАХОВАНИЯ РОССИЙСКОЙ ФЕДЕРАЦИИ</v>
      </c>
      <c r="B15328" s="24" t="s">
        <v>20243</v>
      </c>
      <c r="C15328" s="25">
        <v>2825550</v>
      </c>
      <c r="D15328" s="22" t="s">
        <v>20244</v>
      </c>
      <c r="E15328" s="22" t="s">
        <v>86</v>
      </c>
      <c r="F15328" s="23" t="str">
        <f>HYPERLINK("https://www.spark-marketing.ru/Card/Lot/71669628", "Оказание услуг по санаторно-курортному лечению граждан-пострадавших вследствие несчастных случаев на производстве и профессиональных заболеваний")</f>
        <v>Оказание услуг по санаторно-курортному лечению граждан-пострадавших вследствие несчастных случаев на производстве и профессиональных заболеваний</v>
      </c>
      <c r="G15328" s="22" t="s">
        <v>174</v>
      </c>
      <c r="H15328" s="22" t="s">
        <v>174</v>
      </c>
      <c r="I15328" s="26">
        <v>43641.665972222203</v>
      </c>
      <c r="J15328" s="23" t="str">
        <f>HYPERLINK("https://www.spark-marketing.ru/Card/Person/536793", "ГАМУ СО ""ОСЦМР""САНАТОРИЙ РУШ""")</f>
        <v>ГАМУ СО "ОСЦМР"САНАТОРИЙ РУШ"</v>
      </c>
      <c r="K15328" s="24" t="s">
        <v>20245</v>
      </c>
      <c r="L15328" s="28" t="s">
        <v>51</v>
      </c>
      <c r="M15328" s="25">
        <v>2571250.5</v>
      </c>
      <c r="N15328" s="27">
        <v>0.09</v>
      </c>
    </row>
    <row r="15329" spans="1:14" ht="12.75" hidden="1" outlineLevel="1" x14ac:dyDescent="0.2">
      <c r="A15329" s="23" t="str">
        <f>HYPERLINK("https://www.spark-marketing.ru/Card/Person/1760883", "ГУ-СВЕРДЛОВСКОЕ РО ФОНДА СОЦИАЛЬНОГО СТРАХОВАНИЯ РОССИЙСКОЙ ФЕДЕРАЦИИ")</f>
        <v>ГУ-СВЕРДЛОВСКОЕ РО ФОНДА СОЦИАЛЬНОГО СТРАХОВАНИЯ РОССИЙСКОЙ ФЕДЕРАЦИИ</v>
      </c>
      <c r="B15329" s="24" t="s">
        <v>20243</v>
      </c>
      <c r="C15329" s="25">
        <v>2825550</v>
      </c>
      <c r="D15329" s="22" t="s">
        <v>20244</v>
      </c>
      <c r="E15329" s="22" t="s">
        <v>86</v>
      </c>
      <c r="F15329" s="23" t="str">
        <f>HYPERLINK("https://www.spark-marketing.ru/Card/Lot/71669628", "Оказание услуг по санаторно-курортному лечению граждан-пострадавших вследствие несчастных случаев на производстве и профессиональных заболеваний")</f>
        <v>Оказание услуг по санаторно-курортному лечению граждан-пострадавших вследствие несчастных случаев на производстве и профессиональных заболеваний</v>
      </c>
      <c r="G15329" s="22" t="s">
        <v>174</v>
      </c>
      <c r="H15329" s="22" t="s">
        <v>174</v>
      </c>
      <c r="I15329" s="26">
        <v>43641.665972222203</v>
      </c>
      <c r="J15329" s="23" t="str">
        <f>HYPERLINK("https://www.spark-marketing.ru/Card/Person/408013", "АО ""САНАТОРИЙ-ПРОФИЛАКТОРИЙ ""ЛУКОМОРЬЕ""")</f>
        <v>АО "САНАТОРИЙ-ПРОФИЛАКТОРИЙ "ЛУКОМОРЬЕ"</v>
      </c>
      <c r="K15329" s="24" t="s">
        <v>20246</v>
      </c>
      <c r="L15329" s="22" t="s">
        <v>10</v>
      </c>
      <c r="M15329" s="25">
        <v>2429973</v>
      </c>
      <c r="N15329" s="27">
        <v>0.14000000000000001</v>
      </c>
    </row>
    <row r="15330" spans="1:14" x14ac:dyDescent="0.2">
      <c r="A15330" s="23" t="str">
        <f>HYPERLINK("https://www.spark-marketing.ru/Card/Person/4345826", "ПАО СБЕРБАНК")</f>
        <v>ПАО СБЕРБАНК</v>
      </c>
      <c r="B15330" s="24" t="s">
        <v>2945</v>
      </c>
      <c r="C15330" s="25">
        <v>10000</v>
      </c>
      <c r="D15330" s="22" t="s">
        <v>20247</v>
      </c>
      <c r="E15330" s="22" t="s">
        <v>1593</v>
      </c>
      <c r="F15330" s="23" t="str">
        <f>HYPERLINK("https://www.spark-marketing.ru/Card/Lot/71655924", "Оказание услуг питания, 1 комплект.")</f>
        <v>Оказание услуг питания, 1 комплект.</v>
      </c>
      <c r="G15330" s="22" t="s">
        <v>128</v>
      </c>
      <c r="H15330" s="22" t="s">
        <v>128</v>
      </c>
      <c r="I15330" s="26">
        <v>43641.634467592601</v>
      </c>
      <c r="J15330" s="28" t="s">
        <v>51</v>
      </c>
      <c r="K15330" s="28" t="s">
        <v>51</v>
      </c>
      <c r="L15330" s="22" t="s">
        <v>10</v>
      </c>
      <c r="M15330" s="25">
        <v>10000</v>
      </c>
      <c r="N15330" s="27">
        <v>0</v>
      </c>
    </row>
    <row r="15331" spans="1:14" x14ac:dyDescent="0.2">
      <c r="A15331" s="23" t="str">
        <f>HYPERLINK("https://www.spark-marketing.ru/Card/Person/16508", "ГБУ РД ""ХАСАВЮРТОВСКАЯ ЦГБ ИМ.Р.П.АСКЕРХАНОВА""")</f>
        <v>ГБУ РД "ХАСАВЮРТОВСКАЯ ЦГБ ИМ.Р.П.АСКЕРХАНОВА"</v>
      </c>
      <c r="B15331" s="24" t="s">
        <v>20248</v>
      </c>
      <c r="C15331" s="25">
        <v>20362784</v>
      </c>
      <c r="D15331" s="22" t="s">
        <v>20249</v>
      </c>
      <c r="E15331" s="22" t="s">
        <v>48</v>
      </c>
      <c r="F15331" s="23" t="str">
        <f>HYPERLINK("https://www.spark-marketing.ru/Card/Lot/71670977",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5331" s="22" t="s">
        <v>1607</v>
      </c>
      <c r="H15331" s="22" t="s">
        <v>1607</v>
      </c>
      <c r="I15331" s="26">
        <v>43641.659027777801</v>
      </c>
      <c r="J15331" s="23" t="str">
        <f>HYPERLINK("https://www.spark-marketing.ru/Card/Person/280517", "МБУ ""ПРОМЖИЛСТРОЙТОРГ""")</f>
        <v>МБУ "ПРОМЖИЛСТРОЙТОРГ"</v>
      </c>
      <c r="K15331" s="24" t="s">
        <v>7515</v>
      </c>
      <c r="L15331" s="28" t="s">
        <v>51</v>
      </c>
      <c r="M15331" s="25">
        <v>20362784</v>
      </c>
      <c r="N15331" s="27">
        <v>0</v>
      </c>
    </row>
    <row r="15332" spans="1:14" x14ac:dyDescent="0.15">
      <c r="A15332" s="23" t="str">
        <f>HYPERLINK("https://www.spark-marketing.ru/Card/Person/4434826", "МАОУ ""БИГИЛИНСКАЯ СОШ""")</f>
        <v>МАОУ "БИГИЛИНСКАЯ СОШ"</v>
      </c>
      <c r="B15332" s="24" t="s">
        <v>20250</v>
      </c>
      <c r="C15332" s="25">
        <v>316000</v>
      </c>
      <c r="D15332" s="22" t="s">
        <v>20251</v>
      </c>
      <c r="E15332" s="22" t="s">
        <v>362</v>
      </c>
      <c r="F15332" s="23" t="str">
        <f>HYPERLINK("https://www.spark-marketing.ru/Card/Lot/71652590", "Оказание услуг по организации питания")</f>
        <v>Оказание услуг по организации питания</v>
      </c>
      <c r="G15332" s="22" t="s">
        <v>766</v>
      </c>
      <c r="H15332" s="22" t="s">
        <v>766</v>
      </c>
      <c r="I15332" s="26">
        <v>43641.660370370402</v>
      </c>
      <c r="J15332" s="28" t="s">
        <v>51</v>
      </c>
      <c r="K15332" s="28" t="s">
        <v>51</v>
      </c>
      <c r="L15332" s="28" t="s">
        <v>51</v>
      </c>
      <c r="M15332" s="28" t="s">
        <v>51</v>
      </c>
      <c r="N15332" s="28" t="s">
        <v>51</v>
      </c>
    </row>
    <row r="15333" spans="1:14" x14ac:dyDescent="0.15">
      <c r="A15333" s="23" t="str">
        <f>HYPERLINK("https://www.spark-marketing.ru/Card/Person/109417", "МБОУ ЛИЦЕЙ № 15 Г. СТАВРОПОЛЯ")</f>
        <v>МБОУ ЛИЦЕЙ № 15 Г. СТАВРОПОЛЯ</v>
      </c>
      <c r="B15333" s="24" t="s">
        <v>20252</v>
      </c>
      <c r="C15333" s="25">
        <v>1006480</v>
      </c>
      <c r="D15333" s="22" t="s">
        <v>20253</v>
      </c>
      <c r="E15333" s="22" t="s">
        <v>48</v>
      </c>
      <c r="F15333" s="23" t="str">
        <f>HYPERLINK("https://www.spark-marketing.ru/Card/Lot/71667543", "Услуги по организации питания учащихся МБОУ лицея № 15 г. Ставрополя в сентябре - декабре 2019 года")</f>
        <v>Услуги по организации питания учащихся МБОУ лицея № 15 г. Ставрополя в сентябре - декабре 2019 года</v>
      </c>
      <c r="G15333" s="22" t="s">
        <v>87</v>
      </c>
      <c r="H15333" s="22" t="s">
        <v>87</v>
      </c>
      <c r="I15333" s="26">
        <v>43641.664583333302</v>
      </c>
      <c r="J15333" s="23" t="str">
        <f>HYPERLINK("https://www.spark-marketing.ru/Card/Person/213142", "Звягина Надежда Ильинична")</f>
        <v>Звягина Надежда Ильинична</v>
      </c>
      <c r="K15333" s="24" t="s">
        <v>12311</v>
      </c>
      <c r="L15333" s="22" t="s">
        <v>10</v>
      </c>
      <c r="M15333" s="28" t="s">
        <v>51</v>
      </c>
      <c r="N15333" s="28" t="s">
        <v>51</v>
      </c>
    </row>
    <row r="15334" spans="1:14" x14ac:dyDescent="0.15">
      <c r="A15334" s="23" t="str">
        <f>HYPERLINK("https://www.spark-marketing.ru/Card/Person/1073611", "ОМВД РОССИИ ПО СОЛНЕЧНОГОРСКОМУ РАЙОНУ")</f>
        <v>ОМВД РОССИИ ПО СОЛНЕЧНОГОРСКОМУ РАЙОНУ</v>
      </c>
      <c r="B15334" s="24" t="s">
        <v>20254</v>
      </c>
      <c r="C15334" s="25">
        <v>1482147</v>
      </c>
      <c r="D15334" s="22" t="s">
        <v>20255</v>
      </c>
      <c r="E15334" s="22" t="s">
        <v>48</v>
      </c>
      <c r="F15334" s="23" t="str">
        <f>HYPERLINK("https://www.spark-marketing.ru/Card/Lot/71668351", "Оказание услуг по питанию граждан для нужд ОМВД по Солнечногорскому району")</f>
        <v>Оказание услуг по питанию граждан для нужд ОМВД по Солнечногорскому району</v>
      </c>
      <c r="G15334" s="22" t="s">
        <v>49</v>
      </c>
      <c r="H15334" s="22" t="s">
        <v>49</v>
      </c>
      <c r="I15334" s="26">
        <v>43641.640972222202</v>
      </c>
      <c r="J15334" s="23" t="str">
        <f>HYPERLINK("https://www.spark-marketing.ru/Card/Person/115242", "Башмаков Николай Николаевич")</f>
        <v>Башмаков Николай Николаевич</v>
      </c>
      <c r="K15334" s="24" t="s">
        <v>5812</v>
      </c>
      <c r="L15334" s="28" t="s">
        <v>51</v>
      </c>
      <c r="M15334" s="28" t="s">
        <v>51</v>
      </c>
      <c r="N15334" s="28" t="s">
        <v>51</v>
      </c>
    </row>
    <row r="15335" spans="1:14" hidden="1" outlineLevel="1" x14ac:dyDescent="0.15">
      <c r="A15335" s="23" t="str">
        <f>HYPERLINK("https://www.spark-marketing.ru/Card/Person/1073611", "ОМВД РОССИИ ПО СОЛНЕЧНОГОРСКОМУ РАЙОНУ")</f>
        <v>ОМВД РОССИИ ПО СОЛНЕЧНОГОРСКОМУ РАЙОНУ</v>
      </c>
      <c r="B15335" s="24" t="s">
        <v>20254</v>
      </c>
      <c r="C15335" s="25">
        <v>1482147</v>
      </c>
      <c r="D15335" s="22" t="s">
        <v>20255</v>
      </c>
      <c r="E15335" s="22" t="s">
        <v>48</v>
      </c>
      <c r="F15335" s="23" t="str">
        <f>HYPERLINK("https://www.spark-marketing.ru/Card/Lot/71668351", "Оказание услуг по питанию граждан для нужд ОМВД по Солнечногорскому району")</f>
        <v>Оказание услуг по питанию граждан для нужд ОМВД по Солнечногорскому району</v>
      </c>
      <c r="G15335" s="22" t="s">
        <v>49</v>
      </c>
      <c r="H15335" s="22" t="s">
        <v>49</v>
      </c>
      <c r="I15335" s="26">
        <v>43641.640972222202</v>
      </c>
      <c r="J15335" s="23" t="str">
        <f>HYPERLINK("https://www.spark-marketing.ru/Card/Person/115242", "Башмаков Николай Николаевич")</f>
        <v>Башмаков Николай Николаевич</v>
      </c>
      <c r="K15335" s="24" t="s">
        <v>5812</v>
      </c>
      <c r="L15335" s="22" t="s">
        <v>10</v>
      </c>
      <c r="M15335" s="28" t="s">
        <v>51</v>
      </c>
      <c r="N15335" s="28" t="s">
        <v>51</v>
      </c>
    </row>
    <row r="15336" spans="1:14" x14ac:dyDescent="0.15">
      <c r="A15336" s="23" t="str">
        <f>HYPERLINK("https://www.spark-marketing.ru/Card/Person/128858", "МБОУ СОШ № 27 Г. СТАВРОПОЛЯ")</f>
        <v>МБОУ СОШ № 27 Г. СТАВРОПОЛЯ</v>
      </c>
      <c r="B15336" s="24" t="s">
        <v>20256</v>
      </c>
      <c r="C15336" s="25">
        <v>518400</v>
      </c>
      <c r="D15336" s="22" t="s">
        <v>20257</v>
      </c>
      <c r="E15336" s="22" t="s">
        <v>48</v>
      </c>
      <c r="F15336" s="23" t="str">
        <f>HYPERLINK("https://www.spark-marketing.ru/Card/Lot/71665244", "Услуги по организации питания учащихся МБОУ СОШ № 27 г. Ставрополя в сентябре-декабре 2019 года")</f>
        <v>Услуги по организации питания учащихся МБОУ СОШ № 27 г. Ставрополя в сентябре-декабре 2019 года</v>
      </c>
      <c r="G15336" s="22" t="s">
        <v>87</v>
      </c>
      <c r="H15336" s="22" t="s">
        <v>87</v>
      </c>
      <c r="I15336" s="26">
        <v>43641.663194444402</v>
      </c>
      <c r="J15336" s="23" t="str">
        <f>HYPERLINK("https://www.spark-marketing.ru/Card/Person/217327", "Карпачев Валерий Борисович")</f>
        <v>Карпачев Валерий Борисович</v>
      </c>
      <c r="K15336" s="24" t="s">
        <v>19656</v>
      </c>
      <c r="L15336" s="22" t="s">
        <v>10</v>
      </c>
      <c r="M15336" s="28" t="s">
        <v>51</v>
      </c>
      <c r="N15336" s="28" t="s">
        <v>51</v>
      </c>
    </row>
    <row r="15337" spans="1:14" x14ac:dyDescent="0.15">
      <c r="A15337" s="23" t="str">
        <f>HYPERLINK("https://www.spark-marketing.ru/Card/Person/1038331", "МБОУ КШ Г.СТАВРОПОЛЯ")</f>
        <v>МБОУ КШ Г.СТАВРОПОЛЯ</v>
      </c>
      <c r="B15337" s="24" t="s">
        <v>20258</v>
      </c>
      <c r="C15337" s="25">
        <v>2885330</v>
      </c>
      <c r="D15337" s="22" t="s">
        <v>20259</v>
      </c>
      <c r="E15337" s="22" t="s">
        <v>48</v>
      </c>
      <c r="F15337" s="23" t="str">
        <f>HYPERLINK("https://www.spark-marketing.ru/Card/Lot/71669676", "Услуги по организации питания учащихся МБОУ КШ г. Ставрополя в сентябре-декабре 2019 года")</f>
        <v>Услуги по организации питания учащихся МБОУ КШ г. Ставрополя в сентябре-декабре 2019 года</v>
      </c>
      <c r="G15337" s="22" t="s">
        <v>87</v>
      </c>
      <c r="H15337" s="22" t="s">
        <v>87</v>
      </c>
      <c r="I15337" s="26">
        <v>43641.663194444402</v>
      </c>
      <c r="J15337" s="23" t="str">
        <f>HYPERLINK("https://www.spark-marketing.ru/Card/Person/217327", "Карпачев Валерий Борисович")</f>
        <v>Карпачев Валерий Борисович</v>
      </c>
      <c r="K15337" s="24" t="s">
        <v>19656</v>
      </c>
      <c r="L15337" s="22" t="s">
        <v>10</v>
      </c>
      <c r="M15337" s="28" t="s">
        <v>51</v>
      </c>
      <c r="N15337" s="28" t="s">
        <v>51</v>
      </c>
    </row>
    <row r="15338" spans="1:14" x14ac:dyDescent="0.15">
      <c r="A15338" s="23" t="str">
        <f>HYPERLINK("https://www.spark-marketing.ru/Card/Person/948187", "ОТДЕЛ МВД РОССИИ ПО КУРСКОМУ РАЙОНУ")</f>
        <v>ОТДЕЛ МВД РОССИИ ПО КУРСКОМУ РАЙОНУ</v>
      </c>
      <c r="B15338" s="24" t="s">
        <v>9148</v>
      </c>
      <c r="C15338" s="25">
        <v>624660</v>
      </c>
      <c r="D15338" s="22" t="s">
        <v>20260</v>
      </c>
      <c r="E15338" s="22" t="s">
        <v>48</v>
      </c>
      <c r="F15338" s="23" t="str">
        <f>HYPERLINK("https://www.spark-marketing.ru/Card/Lot/71666570", "Организация питания лиц, содержащихся в ИВС")</f>
        <v>Организация питания лиц, содержащихся в ИВС</v>
      </c>
      <c r="G15338" s="22" t="s">
        <v>87</v>
      </c>
      <c r="H15338" s="22" t="s">
        <v>9150</v>
      </c>
      <c r="I15338" s="26">
        <v>43641.632638888899</v>
      </c>
      <c r="J15338" s="28" t="s">
        <v>51</v>
      </c>
      <c r="K15338" s="28" t="s">
        <v>51</v>
      </c>
      <c r="L15338" s="28" t="s">
        <v>51</v>
      </c>
      <c r="M15338" s="28" t="s">
        <v>51</v>
      </c>
      <c r="N15338" s="28" t="s">
        <v>51</v>
      </c>
    </row>
    <row r="15339" spans="1:14" x14ac:dyDescent="0.2">
      <c r="A15339" s="23" t="str">
        <f>HYPERLINK("https://www.spark-marketing.ru/Card/Person/95245", "ОАО ""РЖД""")</f>
        <v>ОАО "РЖД"</v>
      </c>
      <c r="B15339" s="24" t="s">
        <v>330</v>
      </c>
      <c r="C15339" s="25">
        <v>1270560.96</v>
      </c>
      <c r="D15339" s="22" t="s">
        <v>20261</v>
      </c>
      <c r="E15339" s="22" t="s">
        <v>774</v>
      </c>
      <c r="F15339" s="23" t="str">
        <f>HYPERLINK("https://www.spark-marketing.ru/Card/Lot/71657289", "На право заключения договора на оказание услуг по техническому обслуживанию и текущему ремонту технологического и холодильного оборудования на производствах отдела общественного питания и торговли АХУ ОАО ""РЖД""")</f>
        <v>На право заключения договора на оказание услуг по техническому обслуживанию и текущему ремонту технологического и холодильного оборудования на производствах отдела общественного питания и торговли АХУ ОАО "РЖД"</v>
      </c>
      <c r="G15339" s="22" t="s">
        <v>56</v>
      </c>
      <c r="H15339" s="22" t="s">
        <v>56</v>
      </c>
      <c r="I15339" s="26">
        <v>43641.659062500003</v>
      </c>
      <c r="J15339" s="28" t="s">
        <v>51</v>
      </c>
      <c r="K15339" s="28" t="s">
        <v>51</v>
      </c>
      <c r="L15339" s="22" t="s">
        <v>10</v>
      </c>
      <c r="M15339" s="25">
        <v>1016448.77</v>
      </c>
      <c r="N15339" s="27">
        <v>0.19999999842589214</v>
      </c>
    </row>
    <row r="15340" spans="1:14" x14ac:dyDescent="0.15">
      <c r="A15340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5340" s="24" t="s">
        <v>3255</v>
      </c>
      <c r="C15340" s="25">
        <v>246298.5</v>
      </c>
      <c r="D15340" s="22" t="s">
        <v>20262</v>
      </c>
      <c r="E15340" s="22" t="s">
        <v>52</v>
      </c>
      <c r="F15340" s="23" t="str">
        <f>HYPERLINK("https://www.spark-marketing.ru/Card/Lot/71661768", "Поставка лекарственного препарата для медицинского применения ""Периндоприл""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"Периндоприл"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5340" s="22" t="s">
        <v>210</v>
      </c>
      <c r="H15340" s="22" t="s">
        <v>3257</v>
      </c>
      <c r="I15340" s="26">
        <v>43641.635416666701</v>
      </c>
      <c r="J15340" s="28" t="s">
        <v>51</v>
      </c>
      <c r="K15340" s="28" t="s">
        <v>51</v>
      </c>
      <c r="L15340" s="28" t="s">
        <v>51</v>
      </c>
      <c r="M15340" s="28" t="s">
        <v>51</v>
      </c>
      <c r="N15340" s="28" t="s">
        <v>51</v>
      </c>
    </row>
    <row r="15341" spans="1:14" x14ac:dyDescent="0.15">
      <c r="A15341" s="23" t="str">
        <f>HYPERLINK("https://www.spark-marketing.ru/Card/Person/4434826", "МАОУ ""БИГИЛИНСКАЯ СОШ""")</f>
        <v>МАОУ "БИГИЛИНСКАЯ СОШ"</v>
      </c>
      <c r="B15341" s="24" t="s">
        <v>20250</v>
      </c>
      <c r="C15341" s="25">
        <v>574000</v>
      </c>
      <c r="D15341" s="22" t="s">
        <v>20263</v>
      </c>
      <c r="E15341" s="22" t="s">
        <v>362</v>
      </c>
      <c r="F15341" s="23" t="str">
        <f>HYPERLINK("https://www.spark-marketing.ru/Card/Lot/71654123", "Оказание услуг по организации питания")</f>
        <v>Оказание услуг по организации питания</v>
      </c>
      <c r="G15341" s="22" t="s">
        <v>766</v>
      </c>
      <c r="H15341" s="22" t="s">
        <v>766</v>
      </c>
      <c r="I15341" s="26">
        <v>43641.661655092597</v>
      </c>
      <c r="J15341" s="28" t="s">
        <v>51</v>
      </c>
      <c r="K15341" s="28" t="s">
        <v>51</v>
      </c>
      <c r="L15341" s="28" t="s">
        <v>51</v>
      </c>
      <c r="M15341" s="28" t="s">
        <v>51</v>
      </c>
      <c r="N15341" s="28" t="s">
        <v>51</v>
      </c>
    </row>
    <row r="15342" spans="1:14" x14ac:dyDescent="0.15">
      <c r="A15342" s="23" t="str">
        <f>HYPERLINK("https://www.spark-marketing.ru/Card/Person/4434826", "МАОУ ""БИГИЛИНСКАЯ СОШ""")</f>
        <v>МАОУ "БИГИЛИНСКАЯ СОШ"</v>
      </c>
      <c r="B15342" s="24" t="s">
        <v>20250</v>
      </c>
      <c r="C15342" s="25">
        <v>38800</v>
      </c>
      <c r="D15342" s="22" t="s">
        <v>20264</v>
      </c>
      <c r="E15342" s="22" t="s">
        <v>362</v>
      </c>
      <c r="F15342" s="23" t="str">
        <f>HYPERLINK("https://www.spark-marketing.ru/Card/Lot/71653045", "Оказание услуг по организации питания")</f>
        <v>Оказание услуг по организации питания</v>
      </c>
      <c r="G15342" s="22" t="s">
        <v>766</v>
      </c>
      <c r="H15342" s="22" t="s">
        <v>766</v>
      </c>
      <c r="I15342" s="26">
        <v>43641.657303240703</v>
      </c>
      <c r="J15342" s="28" t="s">
        <v>51</v>
      </c>
      <c r="K15342" s="28" t="s">
        <v>51</v>
      </c>
      <c r="L15342" s="28" t="s">
        <v>51</v>
      </c>
      <c r="M15342" s="28" t="s">
        <v>51</v>
      </c>
      <c r="N15342" s="28" t="s">
        <v>51</v>
      </c>
    </row>
    <row r="15343" spans="1:14" x14ac:dyDescent="0.15">
      <c r="A15343" s="23" t="str">
        <f>HYPERLINK("https://www.spark-marketing.ru/Card/Person/1073611", "ОМВД РОССИИ ПО СОЛНЕЧНОГОРСКОМУ РАЙОНУ")</f>
        <v>ОМВД РОССИИ ПО СОЛНЕЧНОГОРСКОМУ РАЙОНУ</v>
      </c>
      <c r="B15343" s="24" t="s">
        <v>20254</v>
      </c>
      <c r="C15343" s="25">
        <v>1581897</v>
      </c>
      <c r="D15343" s="22" t="s">
        <v>20265</v>
      </c>
      <c r="E15343" s="22" t="s">
        <v>48</v>
      </c>
      <c r="F15343" s="23" t="str">
        <f>HYPERLINK("https://www.spark-marketing.ru/Card/Lot/71668408", "Оказание услуг по питанию граждан для нужд ОМВД по Солнечногорскому району")</f>
        <v>Оказание услуг по питанию граждан для нужд ОМВД по Солнечногорскому району</v>
      </c>
      <c r="G15343" s="22" t="s">
        <v>49</v>
      </c>
      <c r="H15343" s="22" t="s">
        <v>49</v>
      </c>
      <c r="I15343" s="26">
        <v>43641.640972222202</v>
      </c>
      <c r="J15343" s="23" t="str">
        <f>HYPERLINK("https://www.spark-marketing.ru/Card/Person/115242", "Башмаков Николай Николаевич")</f>
        <v>Башмаков Николай Николаевич</v>
      </c>
      <c r="K15343" s="24" t="s">
        <v>5812</v>
      </c>
      <c r="L15343" s="28" t="s">
        <v>51</v>
      </c>
      <c r="M15343" s="28" t="s">
        <v>51</v>
      </c>
      <c r="N15343" s="28" t="s">
        <v>51</v>
      </c>
    </row>
    <row r="15344" spans="1:14" hidden="1" outlineLevel="1" x14ac:dyDescent="0.15">
      <c r="A15344" s="23" t="str">
        <f>HYPERLINK("https://www.spark-marketing.ru/Card/Person/1073611", "ОМВД РОССИИ ПО СОЛНЕЧНОГОРСКОМУ РАЙОНУ")</f>
        <v>ОМВД РОССИИ ПО СОЛНЕЧНОГОРСКОМУ РАЙОНУ</v>
      </c>
      <c r="B15344" s="24" t="s">
        <v>20254</v>
      </c>
      <c r="C15344" s="25">
        <v>1581897</v>
      </c>
      <c r="D15344" s="22" t="s">
        <v>20265</v>
      </c>
      <c r="E15344" s="22" t="s">
        <v>48</v>
      </c>
      <c r="F15344" s="23" t="str">
        <f>HYPERLINK("https://www.spark-marketing.ru/Card/Lot/71668408", "Оказание услуг по питанию граждан для нужд ОМВД по Солнечногорскому району")</f>
        <v>Оказание услуг по питанию граждан для нужд ОМВД по Солнечногорскому району</v>
      </c>
      <c r="G15344" s="22" t="s">
        <v>49</v>
      </c>
      <c r="H15344" s="22" t="s">
        <v>49</v>
      </c>
      <c r="I15344" s="26">
        <v>43641.640972222202</v>
      </c>
      <c r="J15344" s="23" t="str">
        <f>HYPERLINK("https://www.spark-marketing.ru/Card/Person/115242", "Башмаков Николай Николаевич")</f>
        <v>Башмаков Николай Николаевич</v>
      </c>
      <c r="K15344" s="24" t="s">
        <v>5812</v>
      </c>
      <c r="L15344" s="22" t="s">
        <v>10</v>
      </c>
      <c r="M15344" s="28" t="s">
        <v>51</v>
      </c>
      <c r="N15344" s="28" t="s">
        <v>51</v>
      </c>
    </row>
    <row r="15345" spans="1:14" x14ac:dyDescent="0.15">
      <c r="A15345" s="23" t="str">
        <f>HYPERLINK("https://www.spark-marketing.ru/Card/Person/4434826", "МАОУ ""БИГИЛИНСКАЯ СОШ""")</f>
        <v>МАОУ "БИГИЛИНСКАЯ СОШ"</v>
      </c>
      <c r="B15345" s="24" t="s">
        <v>20250</v>
      </c>
      <c r="C15345" s="25">
        <v>280000</v>
      </c>
      <c r="D15345" s="22" t="s">
        <v>20266</v>
      </c>
      <c r="E15345" s="22" t="s">
        <v>362</v>
      </c>
      <c r="F15345" s="23" t="str">
        <f>HYPERLINK("https://www.spark-marketing.ru/Card/Lot/71652525", "Оказание услуг по организации питания")</f>
        <v>Оказание услуг по организации питания</v>
      </c>
      <c r="G15345" s="22" t="s">
        <v>766</v>
      </c>
      <c r="H15345" s="22" t="s">
        <v>766</v>
      </c>
      <c r="I15345" s="26">
        <v>43641.652129629598</v>
      </c>
      <c r="J15345" s="28" t="s">
        <v>51</v>
      </c>
      <c r="K15345" s="28" t="s">
        <v>51</v>
      </c>
      <c r="L15345" s="28" t="s">
        <v>51</v>
      </c>
      <c r="M15345" s="28" t="s">
        <v>51</v>
      </c>
      <c r="N15345" s="28" t="s">
        <v>51</v>
      </c>
    </row>
    <row r="15346" spans="1:14" x14ac:dyDescent="0.15">
      <c r="A15346" s="23" t="str">
        <f>HYPERLINK("https://www.spark-marketing.ru/Card/Person/4434826", "МАОУ ""БИГИЛИНСКАЯ СОШ""")</f>
        <v>МАОУ "БИГИЛИНСКАЯ СОШ"</v>
      </c>
      <c r="B15346" s="24" t="s">
        <v>20250</v>
      </c>
      <c r="C15346" s="25">
        <v>340000</v>
      </c>
      <c r="D15346" s="22" t="s">
        <v>20267</v>
      </c>
      <c r="E15346" s="22" t="s">
        <v>362</v>
      </c>
      <c r="F15346" s="23" t="str">
        <f>HYPERLINK("https://www.spark-marketing.ru/Card/Lot/71652531", "Оказание услуг по организации питания")</f>
        <v>Оказание услуг по организации питания</v>
      </c>
      <c r="G15346" s="22" t="s">
        <v>766</v>
      </c>
      <c r="H15346" s="22" t="s">
        <v>766</v>
      </c>
      <c r="I15346" s="26">
        <v>43641.654965277798</v>
      </c>
      <c r="J15346" s="28" t="s">
        <v>51</v>
      </c>
      <c r="K15346" s="28" t="s">
        <v>51</v>
      </c>
      <c r="L15346" s="28" t="s">
        <v>51</v>
      </c>
      <c r="M15346" s="28" t="s">
        <v>51</v>
      </c>
      <c r="N15346" s="28" t="s">
        <v>51</v>
      </c>
    </row>
    <row r="15347" spans="1:14" x14ac:dyDescent="0.15">
      <c r="A15347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15347" s="24" t="s">
        <v>1406</v>
      </c>
      <c r="C15347" s="25">
        <v>169825.2</v>
      </c>
      <c r="D15347" s="22" t="s">
        <v>20268</v>
      </c>
      <c r="E15347" s="22" t="s">
        <v>362</v>
      </c>
      <c r="F15347" s="23" t="str">
        <f>HYPERLINK("https://www.spark-marketing.ru/Card/Lot/71648092", "Услуги по организации и проведению учебных специальной геолого-съёмочной и полевой минералого-петрографической практик в рамках учебного плана ГГФ: организация питания студентов на базе НГУ (с. Колодезный, Ширинский район, Республика Хакасия) и при в...")</f>
        <v>Услуги по организации и проведению учебных специальной геолого-съёмочной и полевой минералого-петрографической практик в рамках учебного плана ГГФ: организация питания студентов на базе НГУ (с. Колодезный, Ширинский район, Республика Хакасия) и при в...</v>
      </c>
      <c r="G15347" s="22" t="s">
        <v>195</v>
      </c>
      <c r="H15347" s="22" t="s">
        <v>195</v>
      </c>
      <c r="I15347" s="26">
        <v>43641.6571527778</v>
      </c>
      <c r="J15347" s="28" t="s">
        <v>51</v>
      </c>
      <c r="K15347" s="28" t="s">
        <v>51</v>
      </c>
      <c r="L15347" s="28" t="s">
        <v>51</v>
      </c>
      <c r="M15347" s="28" t="s">
        <v>51</v>
      </c>
      <c r="N15347" s="28" t="s">
        <v>51</v>
      </c>
    </row>
    <row r="15348" spans="1:14" x14ac:dyDescent="0.15">
      <c r="A15348" s="23" t="str">
        <f>HYPERLINK("https://www.spark-marketing.ru/Card/Person/68688", "МЕЖМУНИЦИПАЛЬНЫЙ ОТДЕЛ МВД РОССИИ ""КАНСКИЙ""")</f>
        <v>МЕЖМУНИЦИПАЛЬНЫЙ ОТДЕЛ МВД РОССИИ "КАНСКИЙ"</v>
      </c>
      <c r="B15348" s="24" t="s">
        <v>20187</v>
      </c>
      <c r="C15348" s="25">
        <v>2006000</v>
      </c>
      <c r="D15348" s="22" t="s">
        <v>20269</v>
      </c>
      <c r="E15348" s="22" t="s">
        <v>96</v>
      </c>
      <c r="F15348" s="23" t="str">
        <f>HYPERLINK("https://www.spark-marketing.ru/Card/Lot/71668919", "Организация питания")</f>
        <v>Организация питания</v>
      </c>
      <c r="G15348" s="22" t="s">
        <v>281</v>
      </c>
      <c r="H15348" s="22" t="s">
        <v>14184</v>
      </c>
      <c r="I15348" s="26">
        <v>43641.655555555597</v>
      </c>
      <c r="J15348" s="23" t="str">
        <f>HYPERLINK("https://www.spark-marketing.ru/Card/Person/200493", "Федоров Юрий Васильевич")</f>
        <v>Федоров Юрий Васильевич</v>
      </c>
      <c r="K15348" s="24" t="s">
        <v>11695</v>
      </c>
      <c r="L15348" s="22" t="s">
        <v>10</v>
      </c>
      <c r="M15348" s="28" t="s">
        <v>51</v>
      </c>
      <c r="N15348" s="28" t="s">
        <v>51</v>
      </c>
    </row>
    <row r="15349" spans="1:14" x14ac:dyDescent="0.15">
      <c r="A15349" s="23" t="str">
        <f>HYPERLINK("https://www.spark-marketing.ru/Card/Person/1015675", "МБОУ СОШ № 42 Г. СТАВРОПОЛЯ")</f>
        <v>МБОУ СОШ № 42 Г. СТАВРОПОЛЯ</v>
      </c>
      <c r="B15349" s="24" t="s">
        <v>20270</v>
      </c>
      <c r="C15349" s="25">
        <v>637472</v>
      </c>
      <c r="D15349" s="22" t="s">
        <v>20271</v>
      </c>
      <c r="E15349" s="22" t="s">
        <v>48</v>
      </c>
      <c r="F15349" s="23" t="str">
        <f>HYPERLINK("https://www.spark-marketing.ru/Card/Lot/71666376", "Услуги по организации питания учащихся МБОУ СОШ № 42 г. Ставрополя в сентябре-декабре 2019 года")</f>
        <v>Услуги по организации питания учащихся МБОУ СОШ № 42 г. Ставрополя в сентябре-декабре 2019 года</v>
      </c>
      <c r="G15349" s="22" t="s">
        <v>87</v>
      </c>
      <c r="H15349" s="22" t="s">
        <v>87</v>
      </c>
      <c r="I15349" s="26">
        <v>43641.663194444402</v>
      </c>
      <c r="J15349" s="23" t="str">
        <f>HYPERLINK("https://www.spark-marketing.ru/Card/Person/217327", "Карпачев Валерий Борисович")</f>
        <v>Карпачев Валерий Борисович</v>
      </c>
      <c r="K15349" s="24" t="s">
        <v>19656</v>
      </c>
      <c r="L15349" s="22" t="s">
        <v>10</v>
      </c>
      <c r="M15349" s="28" t="s">
        <v>51</v>
      </c>
      <c r="N15349" s="28" t="s">
        <v>51</v>
      </c>
    </row>
    <row r="15350" spans="1:14" x14ac:dyDescent="0.15">
      <c r="A15350" s="23" t="str">
        <f>HYPERLINK("https://www.spark-marketing.ru/Card/Person/1021170", "МБДОУ - ДЕТСКИЙ САД № 15 ""СКАЗКА""")</f>
        <v>МБДОУ - ДЕТСКИЙ САД № 15 "СКАЗКА"</v>
      </c>
      <c r="B15350" s="24" t="s">
        <v>20272</v>
      </c>
      <c r="C15350" s="25">
        <v>388531</v>
      </c>
      <c r="D15350" s="22" t="s">
        <v>20273</v>
      </c>
      <c r="E15350" s="22" t="s">
        <v>48</v>
      </c>
      <c r="F15350" s="23" t="str">
        <f>HYPERLINK("https://www.spark-marketing.ru/Card/Lot/71655743", "Оказание услуг по организации питания для воспитанников дошкольной образовательной организации")</f>
        <v>Оказание услуг по организации питания для воспитанников дошкольной образовательной организации</v>
      </c>
      <c r="G15350" s="22" t="s">
        <v>49</v>
      </c>
      <c r="H15350" s="22" t="s">
        <v>50</v>
      </c>
      <c r="I15350" s="26">
        <v>43641.659456018497</v>
      </c>
      <c r="J15350" s="28" t="s">
        <v>51</v>
      </c>
      <c r="K15350" s="28" t="s">
        <v>51</v>
      </c>
      <c r="L15350" s="28" t="s">
        <v>51</v>
      </c>
      <c r="M15350" s="28" t="s">
        <v>51</v>
      </c>
      <c r="N15350" s="28" t="s">
        <v>51</v>
      </c>
    </row>
    <row r="15351" spans="1:14" x14ac:dyDescent="0.15">
      <c r="A15351" s="23" t="str">
        <f>HYPERLINK("https://www.spark-marketing.ru/Card/Person/4434826", "МАОУ ""БИГИЛИНСКАЯ СОШ""")</f>
        <v>МАОУ "БИГИЛИНСКАЯ СОШ"</v>
      </c>
      <c r="B15351" s="24" t="s">
        <v>20250</v>
      </c>
      <c r="C15351" s="25">
        <v>600000</v>
      </c>
      <c r="D15351" s="22" t="s">
        <v>20274</v>
      </c>
      <c r="E15351" s="22" t="s">
        <v>362</v>
      </c>
      <c r="F15351" s="23" t="str">
        <f>HYPERLINK("https://www.spark-marketing.ru/Card/Lot/71650780", "Оказание услуг по организации питания")</f>
        <v>Оказание услуг по организации питания</v>
      </c>
      <c r="G15351" s="22" t="s">
        <v>766</v>
      </c>
      <c r="H15351" s="22" t="s">
        <v>766</v>
      </c>
      <c r="I15351" s="26">
        <v>43641.649467592601</v>
      </c>
      <c r="J15351" s="28" t="s">
        <v>51</v>
      </c>
      <c r="K15351" s="28" t="s">
        <v>51</v>
      </c>
      <c r="L15351" s="28" t="s">
        <v>51</v>
      </c>
      <c r="M15351" s="28" t="s">
        <v>51</v>
      </c>
      <c r="N15351" s="28" t="s">
        <v>51</v>
      </c>
    </row>
    <row r="15352" spans="1:14" x14ac:dyDescent="0.15">
      <c r="A15352" s="23" t="str">
        <f>HYPERLINK("https://www.spark-marketing.ru/Card/Person/4434826", "МАОУ ""БИГИЛИНСКАЯ СОШ""")</f>
        <v>МАОУ "БИГИЛИНСКАЯ СОШ"</v>
      </c>
      <c r="B15352" s="24" t="s">
        <v>20250</v>
      </c>
      <c r="C15352" s="25">
        <v>1300000</v>
      </c>
      <c r="D15352" s="22" t="s">
        <v>20275</v>
      </c>
      <c r="E15352" s="22" t="s">
        <v>20276</v>
      </c>
      <c r="F15352" s="23" t="str">
        <f>HYPERLINK("https://www.spark-marketing.ru/Card/Lot/71652997", "Поставка электроэнергии")</f>
        <v>Поставка электроэнергии</v>
      </c>
      <c r="G15352" s="22" t="s">
        <v>766</v>
      </c>
      <c r="H15352" s="22" t="s">
        <v>20277</v>
      </c>
      <c r="I15352" s="26">
        <v>43641.645532407398</v>
      </c>
      <c r="J15352" s="28" t="s">
        <v>51</v>
      </c>
      <c r="K15352" s="28" t="s">
        <v>51</v>
      </c>
      <c r="L15352" s="28" t="s">
        <v>51</v>
      </c>
      <c r="M15352" s="28" t="s">
        <v>51</v>
      </c>
      <c r="N15352" s="28" t="s">
        <v>51</v>
      </c>
    </row>
    <row r="15353" spans="1:14" x14ac:dyDescent="0.15">
      <c r="A15353" s="23" t="str">
        <f>HYPERLINK("https://www.spark-marketing.ru/Card/Person/4373932", "МБОУ СОШ № 19")</f>
        <v>МБОУ СОШ № 19</v>
      </c>
      <c r="B15353" s="24" t="s">
        <v>20278</v>
      </c>
      <c r="C15353" s="25">
        <v>2893178.68</v>
      </c>
      <c r="D15353" s="22" t="s">
        <v>20279</v>
      </c>
      <c r="E15353" s="22" t="s">
        <v>48</v>
      </c>
      <c r="F15353" s="23" t="str">
        <f>HYPERLINK("https://www.spark-marketing.ru/Card/Lot/71669680", "организация горячего питания для учащихся школы")</f>
        <v>организация горячего питания для учащихся школы</v>
      </c>
      <c r="G15353" s="22" t="s">
        <v>174</v>
      </c>
      <c r="H15353" s="22" t="s">
        <v>174</v>
      </c>
      <c r="I15353" s="26">
        <v>43641.642361111102</v>
      </c>
      <c r="J15353" s="23" t="str">
        <f>HYPERLINK("https://www.spark-marketing.ru/Card/Person/568284", "ООО ""КОМБИНАТ ПИТАНИЯ""")</f>
        <v>ООО "КОМБИНАТ ПИТАНИЯ"</v>
      </c>
      <c r="K15353" s="24" t="s">
        <v>20280</v>
      </c>
      <c r="L15353" s="22" t="s">
        <v>10</v>
      </c>
      <c r="M15353" s="28" t="s">
        <v>51</v>
      </c>
      <c r="N15353" s="28" t="s">
        <v>51</v>
      </c>
    </row>
    <row r="15354" spans="1:14" ht="12.75" x14ac:dyDescent="0.2">
      <c r="A15354" s="23" t="str">
        <f>HYPERLINK("https://www.spark-marketing.ru/Card/Person/1028510", "КГКОУ ШКОЛА 2")</f>
        <v>КГКОУ ШКОЛА 2</v>
      </c>
      <c r="B15354" s="24" t="s">
        <v>20281</v>
      </c>
      <c r="C15354" s="25">
        <v>405200</v>
      </c>
      <c r="D15354" s="22" t="s">
        <v>20282</v>
      </c>
      <c r="E15354" s="22" t="s">
        <v>48</v>
      </c>
      <c r="F15354" s="23" t="str">
        <f>HYPERLINK("https://www.spark-marketing.ru/Card/Lot/71643764", "Оказание услуг по организации питания")</f>
        <v>Оказание услуг по организации питания</v>
      </c>
      <c r="G15354" s="22" t="s">
        <v>1096</v>
      </c>
      <c r="H15354" s="22" t="s">
        <v>4299</v>
      </c>
      <c r="I15354" s="26">
        <v>43641.635416666701</v>
      </c>
      <c r="J15354" s="23" t="str">
        <f>HYPERLINK("https://www.spark-marketing.ru/Card/Person/172134", "МУП КШП ""МОЛОДЕЖНЫЙ""")</f>
        <v>МУП КШП "МОЛОДЕЖНЫЙ"</v>
      </c>
      <c r="K15354" s="24" t="s">
        <v>17064</v>
      </c>
      <c r="L15354" s="22" t="s">
        <v>10</v>
      </c>
      <c r="M15354" s="25">
        <v>405200</v>
      </c>
      <c r="N15354" s="27">
        <v>0</v>
      </c>
    </row>
    <row r="15355" spans="1:14" x14ac:dyDescent="0.15">
      <c r="A15355" s="23" t="str">
        <f>HYPERLINK("https://www.spark-marketing.ru/Card/Person/260484", "ОМВД РОССИИ ПО РОВЕНЬСКОМУ РАЙОНУ")</f>
        <v>ОМВД РОССИИ ПО РОВЕНЬСКОМУ РАЙОНУ</v>
      </c>
      <c r="B15355" s="24" t="s">
        <v>20283</v>
      </c>
      <c r="C15355" s="25">
        <v>90000</v>
      </c>
      <c r="D15355" s="22" t="s">
        <v>20284</v>
      </c>
      <c r="E15355" s="22" t="s">
        <v>48</v>
      </c>
      <c r="F15355" s="23" t="str">
        <f>HYPERLINK("https://www.spark-marketing.ru/Card/Lot/71652933", "Услуги по обеспечению питания лиц содержащихся в спец. помещениях задержанных лиц, 6 усл. ед")</f>
        <v>Услуги по обеспечению питания лиц содержащихся в спец. помещениях задержанных лиц, 6 усл. ед</v>
      </c>
      <c r="G15355" s="22" t="s">
        <v>696</v>
      </c>
      <c r="H15355" s="22" t="s">
        <v>13769</v>
      </c>
      <c r="I15355" s="26">
        <v>43641.613900463002</v>
      </c>
      <c r="J15355" s="28" t="s">
        <v>51</v>
      </c>
      <c r="K15355" s="28" t="s">
        <v>51</v>
      </c>
      <c r="L15355" s="28" t="s">
        <v>51</v>
      </c>
      <c r="M15355" s="28" t="s">
        <v>51</v>
      </c>
      <c r="N15355" s="28" t="s">
        <v>51</v>
      </c>
    </row>
    <row r="15356" spans="1:14" x14ac:dyDescent="0.15">
      <c r="A15356" s="23" t="str">
        <f>HYPERLINK("https://www.spark-marketing.ru/Card/Person/88607", "ГАУЗ ""РККВД""")</f>
        <v>ГАУЗ "РККВД"</v>
      </c>
      <c r="B15356" s="24" t="s">
        <v>2144</v>
      </c>
      <c r="C15356" s="25">
        <v>96720</v>
      </c>
      <c r="D15356" s="22" t="s">
        <v>20285</v>
      </c>
      <c r="E15356" s="22" t="s">
        <v>48</v>
      </c>
      <c r="F15356" s="23" t="str">
        <f>HYPERLINK("https://www.spark-marketing.ru/Card/Lot/71674869", "Услуги по организации готового лечебного питания для пациентов, находящихся на стационарном лечении в Лениногорском КВД.")</f>
        <v>Услуги по организации готового лечебного питания для пациентов, находящихся на стационарном лечении в Лениногорском КВД.</v>
      </c>
      <c r="G15356" s="22" t="s">
        <v>217</v>
      </c>
      <c r="H15356" s="22" t="s">
        <v>20286</v>
      </c>
      <c r="I15356" s="26">
        <v>43641.623900462997</v>
      </c>
      <c r="J15356" s="23" t="str">
        <f>HYPERLINK("https://www.spark-marketing.ru/Card/Person/6084653", "ООО ""ВИТАРА""")</f>
        <v>ООО "ВИТАРА"</v>
      </c>
      <c r="K15356" s="24" t="s">
        <v>2437</v>
      </c>
      <c r="L15356" s="22" t="s">
        <v>10</v>
      </c>
      <c r="M15356" s="28" t="s">
        <v>51</v>
      </c>
      <c r="N15356" s="28" t="s">
        <v>51</v>
      </c>
    </row>
    <row r="15357" spans="1:14" x14ac:dyDescent="0.15">
      <c r="A15357" s="23" t="str">
        <f>HYPERLINK("https://www.spark-marketing.ru/Card/Person/34132", "СПБ ГБПОУ ""УОР № 1""")</f>
        <v>СПБ ГБПОУ "УОР № 1"</v>
      </c>
      <c r="B15357" s="24" t="s">
        <v>632</v>
      </c>
      <c r="C15357" s="25">
        <v>726308.64</v>
      </c>
      <c r="D15357" s="22" t="s">
        <v>20287</v>
      </c>
      <c r="E15357" s="22" t="s">
        <v>51</v>
      </c>
      <c r="F15357" s="23" t="str">
        <f>HYPERLINK("https://www.spark-marketing.ru/Card/Lot/71666227", "Оказание услуг по обеспечению участия занимающихся государственных бюджетных учреждений в тренировочных мероприятиях в Ленинградской области с учетом затрат на организацию питания, проживание и предоставление спортивного сооружения для отделения воле...")</f>
        <v>Оказание услуг по обеспечению участия занимающихся государственных бюджетных учреждений в тренировочных мероприятиях в Ленинградской области с учетом затрат на организацию питания, проживание и предоставление спортивного сооружения для отделения воле...</v>
      </c>
      <c r="G15357" s="22" t="s">
        <v>117</v>
      </c>
      <c r="H15357" s="22" t="s">
        <v>117</v>
      </c>
      <c r="I15357" s="26">
        <v>43641.606249999997</v>
      </c>
      <c r="J15357" s="23" t="str">
        <f>HYPERLINK("https://www.spark-marketing.ru/Card/Person/4510660", "ООО ""ПАНСИОНАТ ""ОЗЕРО ЗЕРКАЛЬНОЕ""")</f>
        <v>ООО "ПАНСИОНАТ "ОЗЕРО ЗЕРКАЛЬНОЕ"</v>
      </c>
      <c r="K15357" s="24" t="s">
        <v>20288</v>
      </c>
      <c r="L15357" s="22" t="s">
        <v>10</v>
      </c>
      <c r="M15357" s="28" t="s">
        <v>51</v>
      </c>
      <c r="N15357" s="28" t="s">
        <v>51</v>
      </c>
    </row>
    <row r="15358" spans="1:14" x14ac:dyDescent="0.15">
      <c r="A15358" s="23" t="str">
        <f>HYPERLINK("https://www.spark-marketing.ru/Card/Person/79735", "ГУЗ ""ПЕТРОВСК-ЗАБАЙКАЛЬСКАЯ ЦРБ""")</f>
        <v>ГУЗ "ПЕТРОВСК-ЗАБАЙКАЛЬСКАЯ ЦРБ"</v>
      </c>
      <c r="B15358" s="24" t="s">
        <v>20289</v>
      </c>
      <c r="C15358" s="25">
        <v>436827.82</v>
      </c>
      <c r="D15358" s="22" t="s">
        <v>20290</v>
      </c>
      <c r="E15358" s="22" t="s">
        <v>20291</v>
      </c>
      <c r="F15358" s="23" t="str">
        <f>HYPERLINK("https://www.spark-marketing.ru/Card/Lot/71643709", "Поставка бланков и журналов (7326-ЭА)")</f>
        <v>Поставка бланков и журналов (7326-ЭА)</v>
      </c>
      <c r="G15358" s="22" t="s">
        <v>228</v>
      </c>
      <c r="H15358" s="22" t="s">
        <v>20292</v>
      </c>
      <c r="I15358" s="26">
        <v>43641.586805555598</v>
      </c>
      <c r="J15358" s="28" t="s">
        <v>51</v>
      </c>
      <c r="K15358" s="28" t="s">
        <v>51</v>
      </c>
      <c r="L15358" s="28" t="s">
        <v>51</v>
      </c>
      <c r="M15358" s="28" t="s">
        <v>51</v>
      </c>
      <c r="N15358" s="28" t="s">
        <v>51</v>
      </c>
    </row>
    <row r="15359" spans="1:14" ht="12.75" hidden="1" outlineLevel="1" x14ac:dyDescent="0.2">
      <c r="A15359" s="23" t="str">
        <f>HYPERLINK("https://www.spark-marketing.ru/Card/Person/79735", "ГУЗ ""ПЕТРОВСК-ЗАБАЙКАЛЬСКАЯ ЦРБ""")</f>
        <v>ГУЗ "ПЕТРОВСК-ЗАБАЙКАЛЬСКАЯ ЦРБ"</v>
      </c>
      <c r="B15359" s="24" t="s">
        <v>20289</v>
      </c>
      <c r="C15359" s="25">
        <v>436827.82</v>
      </c>
      <c r="D15359" s="22" t="s">
        <v>20290</v>
      </c>
      <c r="E15359" s="22" t="s">
        <v>20291</v>
      </c>
      <c r="F15359" s="23" t="str">
        <f>HYPERLINK("https://www.spark-marketing.ru/Card/Lot/71643709", "Поставка бланков и журналов (7326-ЭА)")</f>
        <v>Поставка бланков и журналов (7326-ЭА)</v>
      </c>
      <c r="G15359" s="22" t="s">
        <v>228</v>
      </c>
      <c r="H15359" s="22" t="s">
        <v>20292</v>
      </c>
      <c r="I15359" s="26">
        <v>43641.586805555598</v>
      </c>
      <c r="J15359" s="23" t="str">
        <f>HYPERLINK("https://www.spark-marketing.ru/Card/Person/182593", "ООО ""ДОМИНАНТА""")</f>
        <v>ООО "ДОМИНАНТА"</v>
      </c>
      <c r="K15359" s="24" t="s">
        <v>6888</v>
      </c>
      <c r="L15359" s="22" t="s">
        <v>10</v>
      </c>
      <c r="M15359" s="25">
        <v>430275.4</v>
      </c>
      <c r="N15359" s="27">
        <v>1.5000006180925016E-2</v>
      </c>
    </row>
    <row r="15360" spans="1:14" hidden="1" outlineLevel="1" x14ac:dyDescent="0.2">
      <c r="A15360" s="23" t="str">
        <f>HYPERLINK("https://www.spark-marketing.ru/Card/Person/79735", "ГУЗ ""ПЕТРОВСК-ЗАБАЙКАЛЬСКАЯ ЦРБ""")</f>
        <v>ГУЗ "ПЕТРОВСК-ЗАБАЙКАЛЬСКАЯ ЦРБ"</v>
      </c>
      <c r="B15360" s="24" t="s">
        <v>20289</v>
      </c>
      <c r="C15360" s="25">
        <v>436827.82</v>
      </c>
      <c r="D15360" s="22" t="s">
        <v>20290</v>
      </c>
      <c r="E15360" s="22" t="s">
        <v>20291</v>
      </c>
      <c r="F15360" s="23" t="str">
        <f>HYPERLINK("https://www.spark-marketing.ru/Card/Lot/71643709", "Поставка бланков и журналов (7326-ЭА)")</f>
        <v>Поставка бланков и журналов (7326-ЭА)</v>
      </c>
      <c r="G15360" s="22" t="s">
        <v>228</v>
      </c>
      <c r="H15360" s="22" t="s">
        <v>20292</v>
      </c>
      <c r="I15360" s="26">
        <v>43641.586805555598</v>
      </c>
      <c r="J15360" s="23" t="str">
        <f>HYPERLINK("https://www.spark-marketing.ru/Card/Person/47381", "ПАО ""РЕСПУБЛИКАНСКАЯ ТИПОГРАФИЯ""")</f>
        <v>ПАО "РЕСПУБЛИКАНСКАЯ ТИПОГРАФИЯ"</v>
      </c>
      <c r="K15360" s="24" t="s">
        <v>20293</v>
      </c>
      <c r="L15360" s="28" t="s">
        <v>51</v>
      </c>
      <c r="M15360" s="25">
        <v>432459.54</v>
      </c>
      <c r="N15360" s="27">
        <v>1.0000004120616676E-2</v>
      </c>
    </row>
    <row r="15361" spans="1:14" x14ac:dyDescent="0.15">
      <c r="A15361" s="23" t="str">
        <f>HYPERLINK("https://www.spark-marketing.ru/Card/Person/134346", "ГОБПОУ ""ЛПТ""")</f>
        <v>ГОБПОУ "ЛПТ"</v>
      </c>
      <c r="B15361" s="24" t="s">
        <v>20294</v>
      </c>
      <c r="C15361" s="25">
        <v>1570720</v>
      </c>
      <c r="D15361" s="22" t="s">
        <v>20295</v>
      </c>
      <c r="E15361" s="22" t="s">
        <v>51</v>
      </c>
      <c r="F15361" s="23" t="str">
        <f>HYPERLINK("https://www.spark-marketing.ru/Card/Lot/71668365", "Услуги по обеспечению студентов горячим питанием")</f>
        <v>Услуги по обеспечению студентов горячим питанием</v>
      </c>
      <c r="G15361" s="22" t="s">
        <v>101</v>
      </c>
      <c r="H15361" s="22" t="s">
        <v>101</v>
      </c>
      <c r="I15361" s="26">
        <v>43641.604861111096</v>
      </c>
      <c r="J15361" s="28" t="s">
        <v>51</v>
      </c>
      <c r="K15361" s="28" t="s">
        <v>51</v>
      </c>
      <c r="L15361" s="28" t="s">
        <v>51</v>
      </c>
      <c r="M15361" s="28" t="s">
        <v>51</v>
      </c>
      <c r="N15361" s="28" t="s">
        <v>51</v>
      </c>
    </row>
    <row r="15362" spans="1:14" hidden="1" outlineLevel="1" x14ac:dyDescent="0.2">
      <c r="A15362" s="23" t="str">
        <f>HYPERLINK("https://www.spark-marketing.ru/Card/Person/134346", "ГОБПОУ ""ЛПТ""")</f>
        <v>ГОБПОУ "ЛПТ"</v>
      </c>
      <c r="B15362" s="24" t="s">
        <v>20294</v>
      </c>
      <c r="C15362" s="25">
        <v>1570720</v>
      </c>
      <c r="D15362" s="22" t="s">
        <v>20295</v>
      </c>
      <c r="E15362" s="22" t="s">
        <v>51</v>
      </c>
      <c r="F15362" s="23" t="str">
        <f>HYPERLINK("https://www.spark-marketing.ru/Card/Lot/71668365", "Услуги по обеспечению студентов горячим питанием")</f>
        <v>Услуги по обеспечению студентов горячим питанием</v>
      </c>
      <c r="G15362" s="22" t="s">
        <v>101</v>
      </c>
      <c r="H15362" s="22" t="s">
        <v>101</v>
      </c>
      <c r="I15362" s="26">
        <v>43641.604861111096</v>
      </c>
      <c r="J15362" s="23" t="str">
        <f>HYPERLINK("https://www.spark-marketing.ru/Card/Person/6455374", "Алиев Исмаил Фазил Оглы")</f>
        <v>Алиев Исмаил Фазил Оглы</v>
      </c>
      <c r="K15362" s="24" t="s">
        <v>20296</v>
      </c>
      <c r="L15362" s="28" t="s">
        <v>51</v>
      </c>
      <c r="M15362" s="25">
        <v>1562866.4</v>
      </c>
      <c r="N15362" s="27">
        <v>5.0000000000000001E-3</v>
      </c>
    </row>
    <row r="15363" spans="1:14" ht="12.75" hidden="1" outlineLevel="1" x14ac:dyDescent="0.2">
      <c r="A15363" s="23" t="str">
        <f>HYPERLINK("https://www.spark-marketing.ru/Card/Person/134346", "ГОБПОУ ""ЛПТ""")</f>
        <v>ГОБПОУ "ЛПТ"</v>
      </c>
      <c r="B15363" s="24" t="s">
        <v>20294</v>
      </c>
      <c r="C15363" s="25">
        <v>1570720</v>
      </c>
      <c r="D15363" s="22" t="s">
        <v>20295</v>
      </c>
      <c r="E15363" s="22" t="s">
        <v>51</v>
      </c>
      <c r="F15363" s="23" t="str">
        <f>HYPERLINK("https://www.spark-marketing.ru/Card/Lot/71668365", "Услуги по обеспечению студентов горячим питанием")</f>
        <v>Услуги по обеспечению студентов горячим питанием</v>
      </c>
      <c r="G15363" s="22" t="s">
        <v>101</v>
      </c>
      <c r="H15363" s="22" t="s">
        <v>101</v>
      </c>
      <c r="I15363" s="26">
        <v>43641.604861111096</v>
      </c>
      <c r="J15363" s="23" t="str">
        <f>HYPERLINK("https://www.spark-marketing.ru/Card/Person/4573122", "ООО ""КАРТ-БЛАНШ""")</f>
        <v>ООО "КАРТ-БЛАНШ"</v>
      </c>
      <c r="K15363" s="24" t="s">
        <v>20297</v>
      </c>
      <c r="L15363" s="22" t="s">
        <v>10</v>
      </c>
      <c r="M15363" s="25">
        <v>1555012.8</v>
      </c>
      <c r="N15363" s="27">
        <v>0.01</v>
      </c>
    </row>
    <row r="15364" spans="1:14" x14ac:dyDescent="0.15">
      <c r="A15364" s="23" t="str">
        <f>HYPERLINK("https://www.spark-marketing.ru/Card/Person/63001", "ГБУЗ ""СУОЯРВСКАЯ ЦРБ""")</f>
        <v>ГБУЗ "СУОЯРВСКАЯ ЦРБ"</v>
      </c>
      <c r="B15364" s="24" t="s">
        <v>15721</v>
      </c>
      <c r="C15364" s="25">
        <v>2840974.9</v>
      </c>
      <c r="D15364" s="22" t="s">
        <v>20298</v>
      </c>
      <c r="E15364" s="22" t="s">
        <v>48</v>
      </c>
      <c r="F15364" s="23" t="str">
        <f>HYPERLINK("https://www.spark-marketing.ru/Card/Lot/71669599", "Оказание услуг по приготовлению лечебного питания для больных, находящихся на лечении в ГБУЗ «Суоярвская центральная районная больница»")</f>
        <v>Оказание услуг по приготовлению лечебного питания для больных, находящихся на лечении в ГБУЗ «Суоярвская центральная районная больница»</v>
      </c>
      <c r="G15364" s="22" t="s">
        <v>59</v>
      </c>
      <c r="H15364" s="22" t="s">
        <v>15723</v>
      </c>
      <c r="I15364" s="26">
        <v>43641.590277777803</v>
      </c>
      <c r="J15364" s="28" t="s">
        <v>51</v>
      </c>
      <c r="K15364" s="28" t="s">
        <v>51</v>
      </c>
      <c r="L15364" s="28" t="s">
        <v>51</v>
      </c>
      <c r="M15364" s="28" t="s">
        <v>51</v>
      </c>
      <c r="N15364" s="28" t="s">
        <v>51</v>
      </c>
    </row>
    <row r="15365" spans="1:14" x14ac:dyDescent="0.15">
      <c r="A15365" s="23" t="str">
        <f>HYPERLINK("https://www.spark-marketing.ru/Card/Person/15730", "ВОРОНЕЖСКИЙ ИНСТИТУТ МВД РОССИИ; ВИ МВД РОССИИ")</f>
        <v>ВОРОНЕЖСКИЙ ИНСТИТУТ МВД РОССИИ; ВИ МВД РОССИИ</v>
      </c>
      <c r="B15365" s="24" t="s">
        <v>20299</v>
      </c>
      <c r="C15365" s="25">
        <v>8000</v>
      </c>
      <c r="D15365" s="22" t="s">
        <v>20300</v>
      </c>
      <c r="E15365" s="22" t="s">
        <v>96</v>
      </c>
      <c r="F15365" s="23" t="str">
        <f>HYPERLINK("https://www.spark-marketing.ru/Card/Lot/71652080", "Оказание услуг по организации питания (приготовлению и доставке), 2 шт")</f>
        <v>Оказание услуг по организации питания (приготовлению и доставке), 2 шт</v>
      </c>
      <c r="G15365" s="22" t="s">
        <v>82</v>
      </c>
      <c r="H15365" s="22" t="s">
        <v>83</v>
      </c>
      <c r="I15365" s="26">
        <v>43641.602037037002</v>
      </c>
      <c r="J15365" s="28" t="s">
        <v>51</v>
      </c>
      <c r="K15365" s="28" t="s">
        <v>51</v>
      </c>
      <c r="L15365" s="28" t="s">
        <v>51</v>
      </c>
      <c r="M15365" s="28" t="s">
        <v>51</v>
      </c>
      <c r="N15365" s="28" t="s">
        <v>51</v>
      </c>
    </row>
    <row r="15366" spans="1:14" x14ac:dyDescent="0.15">
      <c r="A15366" s="23" t="str">
        <f>HYPERLINK("https://www.spark-marketing.ru/Card/Person/1755020", "МАУ ""СШОР ""ОРЛЕНОК"" Г.ПЕРМИ")</f>
        <v>МАУ "СШОР "ОРЛЕНОК" Г.ПЕРМИ</v>
      </c>
      <c r="B15366" s="24" t="s">
        <v>20301</v>
      </c>
      <c r="C15366" s="25">
        <v>244494</v>
      </c>
      <c r="D15366" s="22" t="s">
        <v>20302</v>
      </c>
      <c r="E15366" s="22" t="s">
        <v>362</v>
      </c>
      <c r="F15366" s="23" t="str">
        <f>HYPERLINK("https://www.spark-marketing.ru/Card/Lot/71649490", "оказание услуг по организации питания детей лагеря дневного пребывания (3 смена)")</f>
        <v>оказание услуг по организации питания детей лагеря дневного пребывания (3 смена)</v>
      </c>
      <c r="G15366" s="22" t="s">
        <v>153</v>
      </c>
      <c r="H15366" s="22" t="s">
        <v>153</v>
      </c>
      <c r="I15366" s="26">
        <v>43641.6071296296</v>
      </c>
      <c r="J15366" s="28" t="s">
        <v>51</v>
      </c>
      <c r="K15366" s="28" t="s">
        <v>51</v>
      </c>
      <c r="L15366" s="28" t="s">
        <v>51</v>
      </c>
      <c r="M15366" s="28" t="s">
        <v>51</v>
      </c>
      <c r="N15366" s="28" t="s">
        <v>51</v>
      </c>
    </row>
    <row r="15367" spans="1:14" ht="12.75" x14ac:dyDescent="0.2">
      <c r="A15367" s="23" t="str">
        <f>HYPERLINK("https://www.spark-marketing.ru/Card/Person/4346477", "ГБУЗ ЛО ""ЛОМОНОСОВСКАЯ МБ""")</f>
        <v>ГБУЗ ЛО "ЛОМОНОСОВСКАЯ МБ"</v>
      </c>
      <c r="B15367" s="24" t="s">
        <v>20303</v>
      </c>
      <c r="C15367" s="25">
        <v>9809746.5600000005</v>
      </c>
      <c r="D15367" s="22" t="s">
        <v>20304</v>
      </c>
      <c r="E15367" s="22" t="s">
        <v>48</v>
      </c>
      <c r="F15367" s="23" t="str">
        <f>HYPERLINK("https://www.spark-marketing.ru/Card/Lot/71670615", "Оказание услуг по организации питания пациентов, находящихся на лечении в ГБУЗ ЛО ""Ломоносовская МБ"" во втором полугодии 2019 года")</f>
        <v>Оказание услуг по организации питания пациентов, находящихся на лечении в ГБУЗ ЛО "Ломоносовская МБ" во втором полугодии 2019 года</v>
      </c>
      <c r="G15367" s="22" t="s">
        <v>162</v>
      </c>
      <c r="H15367" s="22" t="s">
        <v>1404</v>
      </c>
      <c r="I15367" s="26">
        <v>43641.606249999997</v>
      </c>
      <c r="J15367" s="23" t="str">
        <f>HYPERLINK("https://www.spark-marketing.ru/Card/Person/59608", "АО ""АРТИС-ДЕТСКОЕ ПИТАНИЕ""")</f>
        <v>АО "АРТИС-ДЕТСКОЕ ПИТАНИЕ"</v>
      </c>
      <c r="K15367" s="24" t="s">
        <v>19631</v>
      </c>
      <c r="L15367" s="22" t="s">
        <v>10</v>
      </c>
      <c r="M15367" s="25">
        <v>9809745.5600000005</v>
      </c>
      <c r="N15367" s="27">
        <v>1.0193943277572301E-7</v>
      </c>
    </row>
    <row r="15368" spans="1:14" x14ac:dyDescent="0.15">
      <c r="A15368" s="23" t="str">
        <f>HYPERLINK("https://www.spark-marketing.ru/Card/Person/65787", "УМВД РОССИИ ПО Г. ТЮМЕНИ")</f>
        <v>УМВД РОССИИ ПО Г. ТЮМЕНИ</v>
      </c>
      <c r="B15368" s="24" t="s">
        <v>20305</v>
      </c>
      <c r="C15368" s="25">
        <v>4469777.42</v>
      </c>
      <c r="D15368" s="22" t="s">
        <v>20306</v>
      </c>
      <c r="E15368" s="22" t="s">
        <v>48</v>
      </c>
      <c r="F15368" s="23" t="str">
        <f>HYPERLINK("https://www.spark-marketing.ru/Card/Lot/71670010", "оказание услуг по обеспечению ежедневным горячим трехразовым питанием лиц,  содержащихся в изоляторе временного содержания подозреваемых и обвиняемых, лиц арестованных в административном порядке и содержащихся в специальном приёмнике УМВД России по г...")</f>
        <v>оказание услуг по обеспечению ежедневным горячим трехразовым питанием лиц,  содержащихся в изоляторе временного содержания подозреваемых и обвиняемых, лиц арестованных в административном порядке и содержащихся в специальном приёмнике УМВД России по г...</v>
      </c>
      <c r="G15368" s="22" t="s">
        <v>766</v>
      </c>
      <c r="H15368" s="22" t="s">
        <v>1028</v>
      </c>
      <c r="I15368" s="26">
        <v>43641.588194444397</v>
      </c>
      <c r="J15368" s="28" t="s">
        <v>51</v>
      </c>
      <c r="K15368" s="28" t="s">
        <v>51</v>
      </c>
      <c r="L15368" s="28" t="s">
        <v>51</v>
      </c>
      <c r="M15368" s="28" t="s">
        <v>51</v>
      </c>
      <c r="N15368" s="28" t="s">
        <v>51</v>
      </c>
    </row>
    <row r="15369" spans="1:14" x14ac:dyDescent="0.15">
      <c r="A15369" s="23" t="str">
        <f>HYPERLINK("https://www.spark-marketing.ru/Card/Person/437664", "ГБУЗ ПК ""КПБ №7""")</f>
        <v>ГБУЗ ПК "КПБ №7"</v>
      </c>
      <c r="B15369" s="24" t="s">
        <v>6637</v>
      </c>
      <c r="C15369" s="25">
        <v>484764.5</v>
      </c>
      <c r="D15369" s="22" t="s">
        <v>20307</v>
      </c>
      <c r="E15369" s="22" t="s">
        <v>96</v>
      </c>
      <c r="F15369" s="23" t="str">
        <f>HYPERLINK("https://www.spark-marketing.ru/Card/Lot/71664880", "ПРАВО ЗАКЛЮЧЕНИЯ ДОГОВОРА ГРАЖДАНСКО-ПРАВОВОГО ХАРАКТЕРА БЮДЖЕТНОГО УЧРЕЖДЕНИЯ НА ОКАЗАНИЕ УСЛУГ ПО ОРГАНИЗАЦИИ ЕЖЕДНЕВНОГО ГОРЯЧЕГО ПИТАНИЯ ПАЦИЕНТОВ, НАХОДЯЩИХСЯ НА СТАЦИОНАРНОМ ЛЕЧЕНИИ В ГБУЗ ПК «КРАЕВАЯ ПСИХИАТРИЧЕСКАЯ БОЛЬНИЦА №7»")</f>
        <v>ПРАВО ЗАКЛЮЧЕНИЯ ДОГОВОРА ГРАЖДАНСКО-ПРАВОВОГО ХАРАКТЕРА БЮДЖЕТНОГО УЧРЕЖДЕНИЯ НА ОКАЗАНИЕ УСЛУГ ПО ОРГАНИЗАЦИИ ЕЖЕДНЕВНОГО ГОРЯЧЕГО ПИТАНИЯ ПАЦИЕНТОВ, НАХОДЯЩИХСЯ НА СТАЦИОНАРНОМ ЛЕЧЕНИИ В ГБУЗ ПК «КРАЕВАЯ ПСИХИАТРИЧЕСКАЯ БОЛЬНИЦА №7»</v>
      </c>
      <c r="G15369" s="22" t="s">
        <v>153</v>
      </c>
      <c r="H15369" s="22" t="s">
        <v>153</v>
      </c>
      <c r="I15369" s="26">
        <v>43641.583333333299</v>
      </c>
      <c r="J15369" s="28" t="s">
        <v>51</v>
      </c>
      <c r="K15369" s="28" t="s">
        <v>51</v>
      </c>
      <c r="L15369" s="28" t="s">
        <v>51</v>
      </c>
      <c r="M15369" s="28" t="s">
        <v>51</v>
      </c>
      <c r="N15369" s="28" t="s">
        <v>51</v>
      </c>
    </row>
    <row r="15370" spans="1:14" ht="12.75" hidden="1" outlineLevel="1" x14ac:dyDescent="0.2">
      <c r="A15370" s="23" t="str">
        <f>HYPERLINK("https://www.spark-marketing.ru/Card/Person/437664", "ГБУЗ ПК ""КПБ №7""")</f>
        <v>ГБУЗ ПК "КПБ №7"</v>
      </c>
      <c r="B15370" s="24" t="s">
        <v>6637</v>
      </c>
      <c r="C15370" s="25">
        <v>484764.5</v>
      </c>
      <c r="D15370" s="22" t="s">
        <v>20307</v>
      </c>
      <c r="E15370" s="22" t="s">
        <v>96</v>
      </c>
      <c r="F15370" s="23" t="str">
        <f>HYPERLINK("https://www.spark-marketing.ru/Card/Lot/71664880", "ПРАВО ЗАКЛЮЧЕНИЯ ДОГОВОРА ГРАЖДАНСКО-ПРАВОВОГО ХАРАКТЕРА БЮДЖЕТНОГО УЧРЕЖДЕНИЯ НА ОКАЗАНИЕ УСЛУГ ПО ОРГАНИЗАЦИИ ЕЖЕДНЕВНОГО ГОРЯЧЕГО ПИТАНИЯ ПАЦИЕНТОВ, НАХОДЯЩИХСЯ НА СТАЦИОНАРНОМ ЛЕЧЕНИИ В ГБУЗ ПК «КРАЕВАЯ ПСИХИАТРИЧЕСКАЯ БОЛЬНИЦА №7»")</f>
        <v>ПРАВО ЗАКЛЮЧЕНИЯ ДОГОВОРА ГРАЖДАНСКО-ПРАВОВОГО ХАРАКТЕРА БЮДЖЕТНОГО УЧРЕЖДЕНИЯ НА ОКАЗАНИЕ УСЛУГ ПО ОРГАНИЗАЦИИ ЕЖЕДНЕВНОГО ГОРЯЧЕГО ПИТАНИЯ ПАЦИЕНТОВ, НАХОДЯЩИХСЯ НА СТАЦИОНАРНОМ ЛЕЧЕНИИ В ГБУЗ ПК «КРАЕВАЯ ПСИХИАТРИЧЕСКАЯ БОЛЬНИЦА №7»</v>
      </c>
      <c r="G15370" s="22" t="s">
        <v>153</v>
      </c>
      <c r="H15370" s="22" t="s">
        <v>153</v>
      </c>
      <c r="I15370" s="26">
        <v>43641.583333333299</v>
      </c>
      <c r="J15370" s="23" t="str">
        <f>HYPERLINK("https://www.spark-marketing.ru/Card/Person/6577318", "Иванов Алексей Насимович")</f>
        <v>Иванов Алексей Насимович</v>
      </c>
      <c r="K15370" s="24" t="s">
        <v>6639</v>
      </c>
      <c r="L15370" s="22" t="s">
        <v>10</v>
      </c>
      <c r="M15370" s="25">
        <v>484764.5</v>
      </c>
      <c r="N15370" s="27">
        <v>0</v>
      </c>
    </row>
    <row r="15371" spans="1:14" hidden="1" outlineLevel="1" x14ac:dyDescent="0.15">
      <c r="A15371" s="23" t="str">
        <f>HYPERLINK("https://www.spark-marketing.ru/Card/Person/437664", "ГБУЗ ПК ""КПБ №7""")</f>
        <v>ГБУЗ ПК "КПБ №7"</v>
      </c>
      <c r="B15371" s="24" t="s">
        <v>6637</v>
      </c>
      <c r="C15371" s="25">
        <v>484764.5</v>
      </c>
      <c r="D15371" s="22" t="s">
        <v>20307</v>
      </c>
      <c r="E15371" s="22" t="s">
        <v>96</v>
      </c>
      <c r="F15371" s="23" t="str">
        <f>HYPERLINK("https://www.spark-marketing.ru/Card/Lot/71664880", "ПРАВО ЗАКЛЮЧЕНИЯ ДОГОВОРА ГРАЖДАНСКО-ПРАВОВОГО ХАРАКТЕРА БЮДЖЕТНОГО УЧРЕЖДЕНИЯ НА ОКАЗАНИЕ УСЛУГ ПО ОРГАНИЗАЦИИ ЕЖЕДНЕВНОГО ГОРЯЧЕГО ПИТАНИЯ ПАЦИЕНТОВ, НАХОДЯЩИХСЯ НА СТАЦИОНАРНОМ ЛЕЧЕНИИ В ГБУЗ ПК «КРАЕВАЯ ПСИХИАТРИЧЕСКАЯ БОЛЬНИЦА №7»")</f>
        <v>ПРАВО ЗАКЛЮЧЕНИЯ ДОГОВОРА ГРАЖДАНСКО-ПРАВОВОГО ХАРАКТЕРА БЮДЖЕТНОГО УЧРЕЖДЕНИЯ НА ОКАЗАНИЕ УСЛУГ ПО ОРГАНИЗАЦИИ ЕЖЕДНЕВНОГО ГОРЯЧЕГО ПИТАНИЯ ПАЦИЕНТОВ, НАХОДЯЩИХСЯ НА СТАЦИОНАРНОМ ЛЕЧЕНИИ В ГБУЗ ПК «КРАЕВАЯ ПСИХИАТРИЧЕСКАЯ БОЛЬНИЦА №7»</v>
      </c>
      <c r="G15371" s="22" t="s">
        <v>153</v>
      </c>
      <c r="H15371" s="22" t="s">
        <v>153</v>
      </c>
      <c r="I15371" s="26">
        <v>43641.583333333299</v>
      </c>
      <c r="J15371" s="23" t="str">
        <f>HYPERLINK("https://www.spark-marketing.ru/Card/Person/788397", "Меньшатов Станислав Николаевич")</f>
        <v>Меньшатов Станислав Николаевич</v>
      </c>
      <c r="K15371" s="24" t="s">
        <v>6223</v>
      </c>
      <c r="L15371" s="28" t="s">
        <v>51</v>
      </c>
      <c r="M15371" s="28" t="s">
        <v>51</v>
      </c>
      <c r="N15371" s="28" t="s">
        <v>51</v>
      </c>
    </row>
    <row r="15372" spans="1:14" x14ac:dyDescent="0.15">
      <c r="A15372" s="23" t="str">
        <f>HYPERLINK("https://www.spark-marketing.ru/Card/Person/260484", "ОМВД РОССИИ ПО РОВЕНЬСКОМУ РАЙОНУ")</f>
        <v>ОМВД РОССИИ ПО РОВЕНЬСКОМУ РАЙОНУ</v>
      </c>
      <c r="B15372" s="24" t="s">
        <v>20283</v>
      </c>
      <c r="C15372" s="25">
        <v>47299</v>
      </c>
      <c r="D15372" s="22" t="s">
        <v>20308</v>
      </c>
      <c r="E15372" s="22" t="s">
        <v>48</v>
      </c>
      <c r="F15372" s="23" t="str">
        <f>HYPERLINK("https://www.spark-marketing.ru/Card/Lot/71654162", "Услуги по обеспечению питания лиц содержащихся в спец. помещениях задержанных лиц, 3 усл. ед")</f>
        <v>Услуги по обеспечению питания лиц содержащихся в спец. помещениях задержанных лиц, 3 усл. ед</v>
      </c>
      <c r="G15372" s="22" t="s">
        <v>696</v>
      </c>
      <c r="H15372" s="22" t="s">
        <v>13769</v>
      </c>
      <c r="I15372" s="26">
        <v>43641.622997685197</v>
      </c>
      <c r="J15372" s="28" t="s">
        <v>51</v>
      </c>
      <c r="K15372" s="28" t="s">
        <v>51</v>
      </c>
      <c r="L15372" s="28" t="s">
        <v>51</v>
      </c>
      <c r="M15372" s="28" t="s">
        <v>51</v>
      </c>
      <c r="N15372" s="28" t="s">
        <v>51</v>
      </c>
    </row>
    <row r="15373" spans="1:14" x14ac:dyDescent="0.15">
      <c r="A15373" s="23" t="str">
        <f>HYPERLINK("https://www.spark-marketing.ru/Card/Person/4761681", "ПРАВИТЕЛЬСТВО САХАЛИНСКОЙ ОБЛАСТИ")</f>
        <v>ПРАВИТЕЛЬСТВО САХАЛИНСКОЙ ОБЛАСТИ</v>
      </c>
      <c r="B15373" s="24" t="s">
        <v>1903</v>
      </c>
      <c r="C15373" s="25">
        <v>225000</v>
      </c>
      <c r="D15373" s="22" t="s">
        <v>20309</v>
      </c>
      <c r="E15373" s="22" t="s">
        <v>96</v>
      </c>
      <c r="F15373" s="23" t="str">
        <f>HYPERLINK("https://www.spark-marketing.ru/Card/Lot/71636680", "Оказание услуг по организации питания участников официальных мероприятий Сахалинской области в 2019 году (празднование памятных и юбилейных дат, проведение торжественных церемоний, выставок, конференций, форумов, конкурсов, семинаров, ""круглых столо...")</f>
        <v>Оказание услуг по организации питания участников официальных мероприятий Сахалинской области в 2019 году (празднование памятных и юбилейных дат, проведение торжественных церемоний, выставок, конференций, форумов, конкурсов, семинаров, "круглых столо...</v>
      </c>
      <c r="G15373" s="22" t="s">
        <v>260</v>
      </c>
      <c r="H15373" s="22" t="s">
        <v>804</v>
      </c>
      <c r="I15373" s="26">
        <v>43641.552777777797</v>
      </c>
      <c r="J15373" s="28" t="s">
        <v>51</v>
      </c>
      <c r="K15373" s="28" t="s">
        <v>51</v>
      </c>
      <c r="L15373" s="28" t="s">
        <v>51</v>
      </c>
      <c r="M15373" s="28" t="s">
        <v>51</v>
      </c>
      <c r="N15373" s="28" t="s">
        <v>51</v>
      </c>
    </row>
    <row r="15374" spans="1:14" ht="12.75" hidden="1" outlineLevel="1" x14ac:dyDescent="0.2">
      <c r="A15374" s="23" t="str">
        <f>HYPERLINK("https://www.spark-marketing.ru/Card/Person/4761681", "ПРАВИТЕЛЬСТВО САХАЛИНСКОЙ ОБЛАСТИ")</f>
        <v>ПРАВИТЕЛЬСТВО САХАЛИНСКОЙ ОБЛАСТИ</v>
      </c>
      <c r="B15374" s="24" t="s">
        <v>1903</v>
      </c>
      <c r="C15374" s="25">
        <v>225000</v>
      </c>
      <c r="D15374" s="22" t="s">
        <v>20309</v>
      </c>
      <c r="E15374" s="22" t="s">
        <v>96</v>
      </c>
      <c r="F15374" s="23" t="str">
        <f>HYPERLINK("https://www.spark-marketing.ru/Card/Lot/71636680", "Оказание услуг по организации питания участников официальных мероприятий Сахалинской области в 2019 году (празднование памятных и юбилейных дат, проведение торжественных церемоний, выставок, конференций, форумов, конкурсов, семинаров, ""круглых столо...")</f>
        <v>Оказание услуг по организации питания участников официальных мероприятий Сахалинской области в 2019 году (празднование памятных и юбилейных дат, проведение торжественных церемоний, выставок, конференций, форумов, конкурсов, семинаров, "круглых столо...</v>
      </c>
      <c r="G15374" s="22" t="s">
        <v>260</v>
      </c>
      <c r="H15374" s="22" t="s">
        <v>804</v>
      </c>
      <c r="I15374" s="26">
        <v>43641.552777777797</v>
      </c>
      <c r="J15374" s="23" t="str">
        <f>HYPERLINK("https://www.spark-marketing.ru/Card/Person/602807", "ООО ""ЗИМА СЕРВИС ПЛЮС""")</f>
        <v>ООО "ЗИМА СЕРВИС ПЛЮС"</v>
      </c>
      <c r="K15374" s="24" t="s">
        <v>20310</v>
      </c>
      <c r="L15374" s="22" t="s">
        <v>10</v>
      </c>
      <c r="M15374" s="25">
        <v>221250</v>
      </c>
      <c r="N15374" s="27">
        <v>1.6666666666666666E-2</v>
      </c>
    </row>
    <row r="15375" spans="1:14" hidden="1" outlineLevel="1" x14ac:dyDescent="0.2">
      <c r="A15375" s="23" t="str">
        <f>HYPERLINK("https://www.spark-marketing.ru/Card/Person/4761681", "ПРАВИТЕЛЬСТВО САХАЛИНСКОЙ ОБЛАСТИ")</f>
        <v>ПРАВИТЕЛЬСТВО САХАЛИНСКОЙ ОБЛАСТИ</v>
      </c>
      <c r="B15375" s="24" t="s">
        <v>1903</v>
      </c>
      <c r="C15375" s="25">
        <v>225000</v>
      </c>
      <c r="D15375" s="22" t="s">
        <v>20309</v>
      </c>
      <c r="E15375" s="22" t="s">
        <v>96</v>
      </c>
      <c r="F15375" s="23" t="str">
        <f>HYPERLINK("https://www.spark-marketing.ru/Card/Lot/71636680", "Оказание услуг по организации питания участников официальных мероприятий Сахалинской области в 2019 году (празднование памятных и юбилейных дат, проведение торжественных церемоний, выставок, конференций, форумов, конкурсов, семинаров, ""круглых столо...")</f>
        <v>Оказание услуг по организации питания участников официальных мероприятий Сахалинской области в 2019 году (празднование памятных и юбилейных дат, проведение торжественных церемоний, выставок, конференций, форумов, конкурсов, семинаров, "круглых столо...</v>
      </c>
      <c r="G15375" s="22" t="s">
        <v>260</v>
      </c>
      <c r="H15375" s="22" t="s">
        <v>804</v>
      </c>
      <c r="I15375" s="26">
        <v>43641.552777777797</v>
      </c>
      <c r="J15375" s="23" t="str">
        <f>HYPERLINK("https://www.spark-marketing.ru/Card/Person/797550", "Герасимов Виктор Юрьевич")</f>
        <v>Герасимов Виктор Юрьевич</v>
      </c>
      <c r="K15375" s="24" t="s">
        <v>3539</v>
      </c>
      <c r="L15375" s="28" t="s">
        <v>51</v>
      </c>
      <c r="M15375" s="25">
        <v>223000</v>
      </c>
      <c r="N15375" s="27">
        <v>8.8888888888888889E-3</v>
      </c>
    </row>
    <row r="15376" spans="1:14" x14ac:dyDescent="0.15">
      <c r="A15376" s="23" t="str">
        <f>HYPERLINK("https://www.spark-marketing.ru/Card/Person/18461", "УМВД РОССИИ ПО ВЛАДИМИРСКОЙ ОБЛАСТИ")</f>
        <v>УМВД РОССИИ ПО ВЛАДИМИРСКОЙ ОБЛАСТИ</v>
      </c>
      <c r="B15376" s="24" t="s">
        <v>6925</v>
      </c>
      <c r="C15376" s="25">
        <v>3200000</v>
      </c>
      <c r="D15376" s="22" t="s">
        <v>20311</v>
      </c>
      <c r="E15376" s="22" t="s">
        <v>48</v>
      </c>
      <c r="F15376" s="23" t="str">
        <f>HYPERLINK("https://www.spark-marketing.ru/Card/Lot/71669786", "Прочая закупка товаров, работ и услуг (услуги по обеспечению ежедневным трехразовым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выдворения...")</f>
        <v>Прочая закупка товаров, работ и услуг (услуги по обеспечению ежедневным трехразовым горячим питанием иностранных граждан и лиц без гражданства, подлежащих административному выдворению за пределы Российской Федерации в форме принудительного выдворения...</v>
      </c>
      <c r="G15376" s="22" t="s">
        <v>663</v>
      </c>
      <c r="H15376" s="22" t="s">
        <v>663</v>
      </c>
      <c r="I15376" s="26">
        <v>43641.579166666699</v>
      </c>
      <c r="J15376" s="23" t="str">
        <f>HYPERLINK("https://www.spark-marketing.ru/Card/Person/234123", "ООО ""ЛИКА""")</f>
        <v>ООО "ЛИКА"</v>
      </c>
      <c r="K15376" s="24" t="s">
        <v>3509</v>
      </c>
      <c r="L15376" s="22" t="s">
        <v>10</v>
      </c>
      <c r="M15376" s="28" t="s">
        <v>51</v>
      </c>
      <c r="N15376" s="28" t="s">
        <v>51</v>
      </c>
    </row>
    <row r="15377" spans="1:14" x14ac:dyDescent="0.2">
      <c r="A15377" s="23" t="str">
        <f>HYPERLINK("https://www.spark-marketing.ru/Card/Person/1761905", "МА ДОУ № 44 Г.БЕЛОРЕЦК")</f>
        <v>МА ДОУ № 44 Г.БЕЛОРЕЦК</v>
      </c>
      <c r="B15377" s="24" t="s">
        <v>1740</v>
      </c>
      <c r="C15377" s="25">
        <v>789880</v>
      </c>
      <c r="D15377" s="22" t="s">
        <v>20312</v>
      </c>
      <c r="E15377" s="22" t="s">
        <v>362</v>
      </c>
      <c r="F15377" s="23" t="str">
        <f>HYPERLINK("https://www.spark-marketing.ru/Card/Lot/71648680", "услуга по организации горячего питания")</f>
        <v>услуга по организации горячего питания</v>
      </c>
      <c r="G15377" s="22" t="s">
        <v>145</v>
      </c>
      <c r="H15377" s="22" t="s">
        <v>145</v>
      </c>
      <c r="I15377" s="26">
        <v>43641.5777662037</v>
      </c>
      <c r="J15377" s="28" t="s">
        <v>51</v>
      </c>
      <c r="K15377" s="28" t="s">
        <v>51</v>
      </c>
      <c r="L15377" s="28" t="s">
        <v>51</v>
      </c>
      <c r="M15377" s="25">
        <v>789880</v>
      </c>
      <c r="N15377" s="27">
        <v>0</v>
      </c>
    </row>
    <row r="15378" spans="1:14" x14ac:dyDescent="0.15">
      <c r="A15378" s="23" t="str">
        <f>HYPERLINK("https://www.spark-marketing.ru/Card/Person/30112", "ОТДЕЛ МВД РОССИИ ПО КОЧУБЕЕВСКОМУ РАЙОНУ")</f>
        <v>ОТДЕЛ МВД РОССИИ ПО КОЧУБЕЕВСКОМУ РАЙОНУ</v>
      </c>
      <c r="B15378" s="24" t="s">
        <v>12611</v>
      </c>
      <c r="C15378" s="25">
        <v>1300000</v>
      </c>
      <c r="D15378" s="22" t="s">
        <v>20313</v>
      </c>
      <c r="E15378" s="22" t="s">
        <v>67</v>
      </c>
      <c r="F15378" s="23" t="str">
        <f>HYPERLINK("https://www.spark-marketing.ru/Card/Lot/71667947", "Услуги по обеспечению горячим ежедневным трехразовым (включая выходные и нерабочие праздничные дни) питанием лиц, содержащихся в ИВС и СПСЗЛ в 2020 году")</f>
        <v>Услуги по обеспечению горячим ежедневным трехразовым (включая выходные и нерабочие праздничные дни) питанием лиц, содержащихся в ИВС и СПСЗЛ в 2020 году</v>
      </c>
      <c r="G15378" s="22" t="s">
        <v>87</v>
      </c>
      <c r="H15378" s="22" t="s">
        <v>12613</v>
      </c>
      <c r="I15378" s="26">
        <v>43641.551388888904</v>
      </c>
      <c r="J15378" s="23" t="str">
        <f>HYPERLINK("https://www.spark-marketing.ru/Card/Person/196162", "Швайкин Владислав Владимирович")</f>
        <v>Швайкин Владислав Владимирович</v>
      </c>
      <c r="K15378" s="24" t="s">
        <v>12614</v>
      </c>
      <c r="L15378" s="22" t="s">
        <v>10</v>
      </c>
      <c r="M15378" s="28" t="s">
        <v>51</v>
      </c>
      <c r="N15378" s="28" t="s">
        <v>51</v>
      </c>
    </row>
    <row r="15379" spans="1:14" x14ac:dyDescent="0.15">
      <c r="A15379" s="23" t="str">
        <f>HYPERLINK("https://www.spark-marketing.ru/Card/Person/5639", "ГБУЗ РХ ""ЧЕРНОГОРСКАЯ МБ""")</f>
        <v>ГБУЗ РХ "ЧЕРНОГОРСКАЯ МБ"</v>
      </c>
      <c r="B15379" s="24" t="s">
        <v>20314</v>
      </c>
      <c r="C15379" s="25">
        <v>308762.96000000002</v>
      </c>
      <c r="D15379" s="22" t="s">
        <v>20315</v>
      </c>
      <c r="E15379" s="22" t="s">
        <v>91</v>
      </c>
      <c r="F15379" s="23" t="str">
        <f>HYPERLINK("https://www.spark-marketing.ru/Card/Lot/71643795", "Оказание услуг по техническому обслуживанию и ремонту офисной техники")</f>
        <v>Оказание услуг по техническому обслуживанию и ремонту офисной техники</v>
      </c>
      <c r="G15379" s="22" t="s">
        <v>92</v>
      </c>
      <c r="H15379" s="22" t="s">
        <v>13803</v>
      </c>
      <c r="I15379" s="26">
        <v>43641.538888888899</v>
      </c>
      <c r="J15379" s="28" t="s">
        <v>51</v>
      </c>
      <c r="K15379" s="28" t="s">
        <v>51</v>
      </c>
      <c r="L15379" s="28" t="s">
        <v>51</v>
      </c>
      <c r="M15379" s="28" t="s">
        <v>51</v>
      </c>
      <c r="N15379" s="28" t="s">
        <v>51</v>
      </c>
    </row>
    <row r="15380" spans="1:14" hidden="1" outlineLevel="1" x14ac:dyDescent="0.2">
      <c r="A15380" s="23" t="str">
        <f>HYPERLINK("https://www.spark-marketing.ru/Card/Person/5639", "ГБУЗ РХ ""ЧЕРНОГОРСКАЯ МБ""")</f>
        <v>ГБУЗ РХ "ЧЕРНОГОРСКАЯ МБ"</v>
      </c>
      <c r="B15380" s="24" t="s">
        <v>20314</v>
      </c>
      <c r="C15380" s="25">
        <v>308762.96000000002</v>
      </c>
      <c r="D15380" s="22" t="s">
        <v>20315</v>
      </c>
      <c r="E15380" s="22" t="s">
        <v>91</v>
      </c>
      <c r="F15380" s="23" t="str">
        <f>HYPERLINK("https://www.spark-marketing.ru/Card/Lot/71643795", "Оказание услуг по техническому обслуживанию и ремонту офисной техники")</f>
        <v>Оказание услуг по техническому обслуживанию и ремонту офисной техники</v>
      </c>
      <c r="G15380" s="22" t="s">
        <v>92</v>
      </c>
      <c r="H15380" s="22" t="s">
        <v>13803</v>
      </c>
      <c r="I15380" s="26">
        <v>43641.538888888899</v>
      </c>
      <c r="J15380" s="23" t="str">
        <f>HYPERLINK("https://www.spark-marketing.ru/Card/Person/450320", "ЗАО ""ИНФОЦЕНТР""")</f>
        <v>ЗАО "ИНФОЦЕНТР"</v>
      </c>
      <c r="K15380" s="24" t="s">
        <v>20316</v>
      </c>
      <c r="L15380" s="28" t="s">
        <v>51</v>
      </c>
      <c r="M15380" s="25">
        <v>281000</v>
      </c>
      <c r="N15380" s="27">
        <v>8.9916743899592103E-2</v>
      </c>
    </row>
    <row r="15381" spans="1:14" hidden="1" outlineLevel="1" x14ac:dyDescent="0.2">
      <c r="A15381" s="23" t="str">
        <f>HYPERLINK("https://www.spark-marketing.ru/Card/Person/5639", "ГБУЗ РХ ""ЧЕРНОГОРСКАЯ МБ""")</f>
        <v>ГБУЗ РХ "ЧЕРНОГОРСКАЯ МБ"</v>
      </c>
      <c r="B15381" s="24" t="s">
        <v>20314</v>
      </c>
      <c r="C15381" s="25">
        <v>308762.96000000002</v>
      </c>
      <c r="D15381" s="22" t="s">
        <v>20315</v>
      </c>
      <c r="E15381" s="22" t="s">
        <v>91</v>
      </c>
      <c r="F15381" s="23" t="str">
        <f>HYPERLINK("https://www.spark-marketing.ru/Card/Lot/71643795", "Оказание услуг по техническому обслуживанию и ремонту офисной техники")</f>
        <v>Оказание услуг по техническому обслуживанию и ремонту офисной техники</v>
      </c>
      <c r="G15381" s="22" t="s">
        <v>92</v>
      </c>
      <c r="H15381" s="22" t="s">
        <v>13803</v>
      </c>
      <c r="I15381" s="26">
        <v>43641.538888888899</v>
      </c>
      <c r="J15381" s="23" t="str">
        <f>HYPERLINK("https://www.spark-marketing.ru/Card/Person/407883", "Плотин Валерий Иванович")</f>
        <v>Плотин Валерий Иванович</v>
      </c>
      <c r="K15381" s="24" t="s">
        <v>20317</v>
      </c>
      <c r="L15381" s="28" t="s">
        <v>51</v>
      </c>
      <c r="M15381" s="25">
        <v>232312.78</v>
      </c>
      <c r="N15381" s="27">
        <v>0.24760152577886932</v>
      </c>
    </row>
    <row r="15382" spans="1:14" ht="12.75" hidden="1" outlineLevel="1" x14ac:dyDescent="0.2">
      <c r="A15382" s="23" t="str">
        <f>HYPERLINK("https://www.spark-marketing.ru/Card/Person/5639", "ГБУЗ РХ ""ЧЕРНОГОРСКАЯ МБ""")</f>
        <v>ГБУЗ РХ "ЧЕРНОГОРСКАЯ МБ"</v>
      </c>
      <c r="B15382" s="24" t="s">
        <v>20314</v>
      </c>
      <c r="C15382" s="25">
        <v>308762.96000000002</v>
      </c>
      <c r="D15382" s="22" t="s">
        <v>20315</v>
      </c>
      <c r="E15382" s="22" t="s">
        <v>91</v>
      </c>
      <c r="F15382" s="23" t="str">
        <f>HYPERLINK("https://www.spark-marketing.ru/Card/Lot/71643795", "Оказание услуг по техническому обслуживанию и ремонту офисной техники")</f>
        <v>Оказание услуг по техническому обслуживанию и ремонту офисной техники</v>
      </c>
      <c r="G15382" s="22" t="s">
        <v>92</v>
      </c>
      <c r="H15382" s="22" t="s">
        <v>13803</v>
      </c>
      <c r="I15382" s="26">
        <v>43641.538888888899</v>
      </c>
      <c r="J15382" s="23" t="str">
        <f>HYPERLINK("https://www.spark-marketing.ru/Card/Person/656440", "Борисов Леонид Евгеньевич")</f>
        <v>Борисов Леонид Евгеньевич</v>
      </c>
      <c r="K15382" s="24" t="s">
        <v>20318</v>
      </c>
      <c r="L15382" s="22" t="s">
        <v>10</v>
      </c>
      <c r="M15382" s="25">
        <v>133508.29999999999</v>
      </c>
      <c r="N15382" s="27">
        <v>0.56760260362836268</v>
      </c>
    </row>
    <row r="15383" spans="1:14" hidden="1" outlineLevel="1" x14ac:dyDescent="0.2">
      <c r="A15383" s="23" t="str">
        <f>HYPERLINK("https://www.spark-marketing.ru/Card/Person/5639", "ГБУЗ РХ ""ЧЕРНОГОРСКАЯ МБ""")</f>
        <v>ГБУЗ РХ "ЧЕРНОГОРСКАЯ МБ"</v>
      </c>
      <c r="B15383" s="24" t="s">
        <v>20314</v>
      </c>
      <c r="C15383" s="25">
        <v>308762.96000000002</v>
      </c>
      <c r="D15383" s="22" t="s">
        <v>20315</v>
      </c>
      <c r="E15383" s="22" t="s">
        <v>91</v>
      </c>
      <c r="F15383" s="23" t="str">
        <f>HYPERLINK("https://www.spark-marketing.ru/Card/Lot/71643795", "Оказание услуг по техническому обслуживанию и ремонту офисной техники")</f>
        <v>Оказание услуг по техническому обслуживанию и ремонту офисной техники</v>
      </c>
      <c r="G15383" s="22" t="s">
        <v>92</v>
      </c>
      <c r="H15383" s="22" t="s">
        <v>13803</v>
      </c>
      <c r="I15383" s="26">
        <v>43641.538888888899</v>
      </c>
      <c r="J15383" s="23" t="str">
        <f>HYPERLINK("https://www.spark-marketing.ru/Card/Person/6085142", "ООО ""КЛАСТЕР""")</f>
        <v>ООО "КЛАСТЕР"</v>
      </c>
      <c r="K15383" s="24" t="s">
        <v>20319</v>
      </c>
      <c r="L15383" s="28" t="s">
        <v>51</v>
      </c>
      <c r="M15383" s="25">
        <v>135052.12</v>
      </c>
      <c r="N15383" s="27">
        <v>0.5626025867869644</v>
      </c>
    </row>
    <row r="15384" spans="1:14" x14ac:dyDescent="0.2">
      <c r="A15384" s="23" t="s">
        <v>114</v>
      </c>
      <c r="B15384" s="28" t="s">
        <v>51</v>
      </c>
      <c r="C15384" s="25">
        <v>3340888</v>
      </c>
      <c r="D15384" s="22" t="s">
        <v>20320</v>
      </c>
      <c r="E15384" s="22" t="s">
        <v>48</v>
      </c>
      <c r="F15384" s="23" t="str">
        <f>HYPERLINK("https://www.spark-marketing.ru/Card/Lot/71669830", "Оказание услуг по организации горячего питания")</f>
        <v>Оказание услуг по организации горячего питания</v>
      </c>
      <c r="G15384" s="22" t="s">
        <v>51</v>
      </c>
      <c r="H15384" s="22" t="s">
        <v>51</v>
      </c>
      <c r="I15384" s="26">
        <v>43641.501388888901</v>
      </c>
      <c r="J15384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5384" s="24" t="s">
        <v>16891</v>
      </c>
      <c r="L15384" s="22" t="s">
        <v>10</v>
      </c>
      <c r="M15384" s="25">
        <v>3340888</v>
      </c>
      <c r="N15384" s="27">
        <v>0</v>
      </c>
    </row>
    <row r="15385" spans="1:14" hidden="1" outlineLevel="1" x14ac:dyDescent="0.2">
      <c r="A15385" s="23" t="str">
        <f>HYPERLINK("https://www.spark-marketing.ru/Card/Person/87953", "МБОУ ""ООШ № 28""")</f>
        <v>МБОУ "ООШ № 28"</v>
      </c>
      <c r="B15385" s="24" t="s">
        <v>20321</v>
      </c>
      <c r="C15385" s="25">
        <v>2428438</v>
      </c>
      <c r="D15385" s="22" t="s">
        <v>20320</v>
      </c>
      <c r="E15385" s="22" t="s">
        <v>48</v>
      </c>
      <c r="F15385" s="23" t="str">
        <f>HYPERLINK("https://www.spark-marketing.ru/Card/Lot/71669830", "Оказание услуг по организации горячего питания")</f>
        <v>Оказание услуг по организации горячего питания</v>
      </c>
      <c r="G15385" s="22" t="s">
        <v>51</v>
      </c>
      <c r="H15385" s="22" t="s">
        <v>51</v>
      </c>
      <c r="I15385" s="26">
        <v>43641.501388888901</v>
      </c>
      <c r="J15385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5385" s="24" t="s">
        <v>16891</v>
      </c>
      <c r="L15385" s="22" t="s">
        <v>10</v>
      </c>
      <c r="M15385" s="28" t="s">
        <v>51</v>
      </c>
      <c r="N15385" s="27">
        <v>0</v>
      </c>
    </row>
    <row r="15386" spans="1:14" hidden="1" outlineLevel="1" x14ac:dyDescent="0.2">
      <c r="A15386" s="23" t="str">
        <f>HYPERLINK("https://www.spark-marketing.ru/Card/Person/1004420", "МОУ СОШ № 37")</f>
        <v>МОУ СОШ № 37</v>
      </c>
      <c r="B15386" s="24" t="s">
        <v>20322</v>
      </c>
      <c r="C15386" s="25">
        <v>912450</v>
      </c>
      <c r="D15386" s="22" t="s">
        <v>20320</v>
      </c>
      <c r="E15386" s="22" t="s">
        <v>48</v>
      </c>
      <c r="F15386" s="23" t="str">
        <f>HYPERLINK("https://www.spark-marketing.ru/Card/Lot/71669830", "Оказание услуг по организации горячего питания")</f>
        <v>Оказание услуг по организации горячего питания</v>
      </c>
      <c r="G15386" s="22" t="s">
        <v>137</v>
      </c>
      <c r="H15386" s="22" t="s">
        <v>138</v>
      </c>
      <c r="I15386" s="26">
        <v>43641.501388888901</v>
      </c>
      <c r="J15386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5386" s="24" t="s">
        <v>16891</v>
      </c>
      <c r="L15386" s="22" t="s">
        <v>10</v>
      </c>
      <c r="M15386" s="28" t="s">
        <v>51</v>
      </c>
      <c r="N15386" s="27">
        <v>0</v>
      </c>
    </row>
    <row r="15387" spans="1:14" x14ac:dyDescent="0.15">
      <c r="A15387" s="23" t="s">
        <v>114</v>
      </c>
      <c r="B15387" s="28" t="s">
        <v>51</v>
      </c>
      <c r="C15387" s="25">
        <v>3678155</v>
      </c>
      <c r="D15387" s="22" t="s">
        <v>20323</v>
      </c>
      <c r="E15387" s="22" t="s">
        <v>48</v>
      </c>
      <c r="F15387" s="23" t="str">
        <f t="shared" ref="F15387:F15392" si="525">HYPERLINK("https://www.spark-marketing.ru/Card/Lot/71670161", "Оказание услуг по организации горячего питания")</f>
        <v>Оказание услуг по организации горячего питания</v>
      </c>
      <c r="G15387" s="22" t="s">
        <v>51</v>
      </c>
      <c r="H15387" s="22" t="s">
        <v>51</v>
      </c>
      <c r="I15387" s="26">
        <v>43641.502083333296</v>
      </c>
      <c r="J15387" s="28" t="s">
        <v>51</v>
      </c>
      <c r="K15387" s="28" t="s">
        <v>51</v>
      </c>
      <c r="L15387" s="28" t="s">
        <v>51</v>
      </c>
      <c r="M15387" s="28" t="s">
        <v>51</v>
      </c>
      <c r="N15387" s="28" t="s">
        <v>51</v>
      </c>
    </row>
    <row r="15388" spans="1:14" hidden="1" outlineLevel="1" x14ac:dyDescent="0.15">
      <c r="A15388" s="23" t="str">
        <f>HYPERLINK("https://www.spark-marketing.ru/Card/Person/87315", "МБОУ ""СШ №9""")</f>
        <v>МБОУ "СШ №9"</v>
      </c>
      <c r="B15388" s="24" t="s">
        <v>20324</v>
      </c>
      <c r="C15388" s="25">
        <v>2283999</v>
      </c>
      <c r="D15388" s="22" t="s">
        <v>20323</v>
      </c>
      <c r="E15388" s="22" t="s">
        <v>48</v>
      </c>
      <c r="F15388" s="23" t="str">
        <f t="shared" si="525"/>
        <v>Оказание услуг по организации горячего питания</v>
      </c>
      <c r="G15388" s="22" t="s">
        <v>137</v>
      </c>
      <c r="H15388" s="22" t="s">
        <v>138</v>
      </c>
      <c r="I15388" s="26">
        <v>43641.502083333296</v>
      </c>
      <c r="J15388" s="28" t="s">
        <v>51</v>
      </c>
      <c r="K15388" s="28" t="s">
        <v>51</v>
      </c>
      <c r="L15388" s="28" t="s">
        <v>51</v>
      </c>
      <c r="M15388" s="28" t="s">
        <v>51</v>
      </c>
      <c r="N15388" s="28" t="s">
        <v>51</v>
      </c>
    </row>
    <row r="15389" spans="1:14" hidden="1" outlineLevel="1" x14ac:dyDescent="0.15">
      <c r="A15389" s="23" t="str">
        <f>HYPERLINK("https://www.spark-marketing.ru/Card/Person/88928", "МОУ СОШ №2")</f>
        <v>МОУ СОШ №2</v>
      </c>
      <c r="B15389" s="24" t="s">
        <v>20325</v>
      </c>
      <c r="C15389" s="25">
        <v>1394156</v>
      </c>
      <c r="D15389" s="22" t="s">
        <v>20323</v>
      </c>
      <c r="E15389" s="22" t="s">
        <v>48</v>
      </c>
      <c r="F15389" s="23" t="str">
        <f t="shared" si="525"/>
        <v>Оказание услуг по организации горячего питания</v>
      </c>
      <c r="G15389" s="22" t="s">
        <v>137</v>
      </c>
      <c r="H15389" s="22" t="s">
        <v>138</v>
      </c>
      <c r="I15389" s="26">
        <v>43641.502083333296</v>
      </c>
      <c r="J15389" s="28" t="s">
        <v>51</v>
      </c>
      <c r="K15389" s="28" t="s">
        <v>51</v>
      </c>
      <c r="L15389" s="28" t="s">
        <v>51</v>
      </c>
      <c r="M15389" s="28" t="s">
        <v>51</v>
      </c>
      <c r="N15389" s="28" t="s">
        <v>51</v>
      </c>
    </row>
    <row r="15390" spans="1:14" hidden="1" outlineLevel="1" x14ac:dyDescent="0.2">
      <c r="A15390" s="28" t="s">
        <v>51</v>
      </c>
      <c r="B15390" s="28" t="s">
        <v>51</v>
      </c>
      <c r="C15390" s="28" t="s">
        <v>51</v>
      </c>
      <c r="D15390" s="22" t="s">
        <v>20323</v>
      </c>
      <c r="E15390" s="22" t="s">
        <v>48</v>
      </c>
      <c r="F15390" s="23" t="str">
        <f t="shared" si="525"/>
        <v>Оказание услуг по организации горячего питания</v>
      </c>
      <c r="G15390" s="22" t="s">
        <v>51</v>
      </c>
      <c r="H15390" s="22" t="s">
        <v>51</v>
      </c>
      <c r="I15390" s="26">
        <v>43641.502083333296</v>
      </c>
      <c r="J15390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5390" s="24" t="s">
        <v>16891</v>
      </c>
      <c r="L15390" s="28" t="s">
        <v>51</v>
      </c>
      <c r="M15390" s="25">
        <v>3678155</v>
      </c>
      <c r="N15390" s="27">
        <v>0</v>
      </c>
    </row>
    <row r="15391" spans="1:14" hidden="1" outlineLevel="1" x14ac:dyDescent="0.2">
      <c r="A15391" s="28" t="s">
        <v>51</v>
      </c>
      <c r="B15391" s="28" t="s">
        <v>51</v>
      </c>
      <c r="C15391" s="28" t="s">
        <v>51</v>
      </c>
      <c r="D15391" s="22" t="s">
        <v>20323</v>
      </c>
      <c r="E15391" s="22" t="s">
        <v>48</v>
      </c>
      <c r="F15391" s="23" t="str">
        <f t="shared" si="525"/>
        <v>Оказание услуг по организации горячего питания</v>
      </c>
      <c r="G15391" s="22" t="s">
        <v>51</v>
      </c>
      <c r="H15391" s="22" t="s">
        <v>51</v>
      </c>
      <c r="I15391" s="26">
        <v>43641.502083333296</v>
      </c>
      <c r="J15391" s="23" t="str">
        <f>HYPERLINK("https://www.spark-marketing.ru/Card/Person/76228", "ООО ""ЛИМАН""")</f>
        <v>ООО "ЛИМАН"</v>
      </c>
      <c r="K15391" s="24" t="s">
        <v>16890</v>
      </c>
      <c r="L15391" s="28" t="s">
        <v>51</v>
      </c>
      <c r="M15391" s="25">
        <v>3678155</v>
      </c>
      <c r="N15391" s="27">
        <v>0</v>
      </c>
    </row>
    <row r="15392" spans="1:14" hidden="1" outlineLevel="1" x14ac:dyDescent="0.2">
      <c r="A15392" s="28" t="s">
        <v>51</v>
      </c>
      <c r="B15392" s="28" t="s">
        <v>51</v>
      </c>
      <c r="C15392" s="28" t="s">
        <v>51</v>
      </c>
      <c r="D15392" s="22" t="s">
        <v>20323</v>
      </c>
      <c r="E15392" s="22" t="s">
        <v>48</v>
      </c>
      <c r="F15392" s="23" t="str">
        <f t="shared" si="525"/>
        <v>Оказание услуг по организации горячего питания</v>
      </c>
      <c r="G15392" s="22" t="s">
        <v>51</v>
      </c>
      <c r="H15392" s="22" t="s">
        <v>51</v>
      </c>
      <c r="I15392" s="26">
        <v>43641.502083333296</v>
      </c>
      <c r="J15392" s="23" t="str">
        <f>HYPERLINK("https://www.spark-marketing.ru/Card/Person/610902", "ООО ""РАТИБОР""")</f>
        <v>ООО "РАТИБОР"</v>
      </c>
      <c r="K15392" s="24" t="s">
        <v>17751</v>
      </c>
      <c r="L15392" s="22" t="s">
        <v>10</v>
      </c>
      <c r="M15392" s="25">
        <v>3677150</v>
      </c>
      <c r="N15392" s="27">
        <v>2.7323481473727999E-4</v>
      </c>
    </row>
    <row r="15393" spans="1:14" x14ac:dyDescent="0.15">
      <c r="A15393" s="23" t="str">
        <f>HYPERLINK("https://www.spark-marketing.ru/Card/Person/125479", "МОМВД РОССИИ ""ЮХНОВСКИЙ""")</f>
        <v>МОМВД РОССИИ "ЮХНОВСКИЙ"</v>
      </c>
      <c r="B15393" s="24" t="s">
        <v>11705</v>
      </c>
      <c r="C15393" s="25">
        <v>98601.32</v>
      </c>
      <c r="D15393" s="22" t="s">
        <v>20326</v>
      </c>
      <c r="E15393" s="22" t="s">
        <v>96</v>
      </c>
      <c r="F15393" s="23" t="str">
        <f>HYPERLINK("https://www.spark-marketing.ru/Card/Lot/71647268", "Оказание услуг по организации питания (приготовлению и доставке), 329 шт")</f>
        <v>Оказание услуг по организации питания (приготовлению и доставке), 329 шт</v>
      </c>
      <c r="G15393" s="22" t="s">
        <v>112</v>
      </c>
      <c r="H15393" s="22" t="s">
        <v>11707</v>
      </c>
      <c r="I15393" s="26">
        <v>43641.5222222222</v>
      </c>
      <c r="J15393" s="28" t="s">
        <v>51</v>
      </c>
      <c r="K15393" s="28" t="s">
        <v>51</v>
      </c>
      <c r="L15393" s="28" t="s">
        <v>51</v>
      </c>
      <c r="M15393" s="28" t="s">
        <v>51</v>
      </c>
      <c r="N15393" s="28" t="s">
        <v>51</v>
      </c>
    </row>
    <row r="15394" spans="1:14" x14ac:dyDescent="0.2">
      <c r="A15394" s="23" t="str">
        <f>HYPERLINK("https://www.spark-marketing.ru/Card/Person/4348382", "ООО ""ГАЗПРОМ ПИТАНИЕ""")</f>
        <v>ООО "ГАЗПРОМ ПИТАНИЕ"</v>
      </c>
      <c r="B15394" s="24" t="s">
        <v>2869</v>
      </c>
      <c r="C15394" s="25">
        <v>312000.27</v>
      </c>
      <c r="D15394" s="22" t="s">
        <v>20327</v>
      </c>
      <c r="E15394" s="22" t="s">
        <v>1268</v>
      </c>
      <c r="F15394" s="23" t="str">
        <f>HYPERLINK("https://www.spark-marketing.ru/Card/Lot/71648628", "Оказание услуг по заправке, ремонту и восстановлению картриджей от принтеров для нужд Филиала «Ставропольское управление по организации общественного питания» ООО «Газпром питание» в 2019-2021 годах")</f>
        <v>Оказание услуг по заправке, ремонту и восстановлению картриджей от принтеров для нужд Филиала «Ставропольское управление по организации общественного питания» ООО «Газпром питание» в 2019-2021 годах</v>
      </c>
      <c r="G15394" s="22" t="s">
        <v>56</v>
      </c>
      <c r="H15394" s="22" t="s">
        <v>56</v>
      </c>
      <c r="I15394" s="26">
        <v>43641.5301736111</v>
      </c>
      <c r="J15394" s="28" t="s">
        <v>51</v>
      </c>
      <c r="K15394" s="28" t="s">
        <v>51</v>
      </c>
      <c r="L15394" s="22" t="s">
        <v>10</v>
      </c>
      <c r="M15394" s="25">
        <v>311355</v>
      </c>
      <c r="N15394" s="27">
        <v>2.068171287159463E-3</v>
      </c>
    </row>
    <row r="15395" spans="1:14" x14ac:dyDescent="0.15">
      <c r="A15395" s="23" t="str">
        <f>HYPERLINK("https://www.spark-marketing.ru/Card/Person/21498", "БУЗ РА ""МАЙМИНСКАЯ РБ""")</f>
        <v>БУЗ РА "МАЙМИНСКАЯ РБ"</v>
      </c>
      <c r="B15395" s="24" t="s">
        <v>20328</v>
      </c>
      <c r="C15395" s="25">
        <v>3977500</v>
      </c>
      <c r="D15395" s="22" t="s">
        <v>20329</v>
      </c>
      <c r="E15395" s="22" t="s">
        <v>48</v>
      </c>
      <c r="F15395" s="23" t="str">
        <f>HYPERLINK("https://www.spark-marketing.ru/Card/Lot/71646157", "Оказание услуг по организации лечебного питания для больных, находящихся на стационарном лечении в БУЗ РА «Майминская РБ» в 2019 году")</f>
        <v>Оказание услуг по организации лечебного питания для больных, находящихся на стационарном лечении в БУЗ РА «Майминская РБ» в 2019 году</v>
      </c>
      <c r="G15395" s="22" t="s">
        <v>1141</v>
      </c>
      <c r="H15395" s="22" t="s">
        <v>18594</v>
      </c>
      <c r="I15395" s="26">
        <v>43641.501388888901</v>
      </c>
      <c r="J15395" s="23" t="str">
        <f>HYPERLINK("https://www.spark-marketing.ru/Card/Person/930772", "АУЗ РА ""ЦЛПП""")</f>
        <v>АУЗ РА "ЦЛПП"</v>
      </c>
      <c r="K15395" s="24" t="s">
        <v>18698</v>
      </c>
      <c r="L15395" s="22" t="s">
        <v>10</v>
      </c>
      <c r="M15395" s="28" t="s">
        <v>51</v>
      </c>
      <c r="N15395" s="28" t="s">
        <v>51</v>
      </c>
    </row>
    <row r="15396" spans="1:14" x14ac:dyDescent="0.2">
      <c r="A15396" s="23" t="s">
        <v>114</v>
      </c>
      <c r="B15396" s="28" t="s">
        <v>51</v>
      </c>
      <c r="C15396" s="25">
        <v>2826155</v>
      </c>
      <c r="D15396" s="22" t="s">
        <v>20330</v>
      </c>
      <c r="E15396" s="22" t="s">
        <v>48</v>
      </c>
      <c r="F15396" s="23" t="str">
        <f>HYPERLINK("https://www.spark-marketing.ru/Card/Lot/71669630",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5396" s="22" t="s">
        <v>51</v>
      </c>
      <c r="H15396" s="22" t="s">
        <v>51</v>
      </c>
      <c r="I15396" s="26">
        <v>43641.498611111099</v>
      </c>
      <c r="J15396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5396" s="24" t="s">
        <v>16891</v>
      </c>
      <c r="L15396" s="22" t="s">
        <v>10</v>
      </c>
      <c r="M15396" s="25">
        <v>2826155</v>
      </c>
      <c r="N15396" s="27">
        <v>0</v>
      </c>
    </row>
    <row r="15397" spans="1:14" hidden="1" outlineLevel="1" x14ac:dyDescent="0.2">
      <c r="A15397" s="23" t="str">
        <f>HYPERLINK("https://www.spark-marketing.ru/Card/Person/78756", "МБДОУ ДЕТСКИЙ САД №2")</f>
        <v>МБДОУ ДЕТСКИЙ САД №2</v>
      </c>
      <c r="B15397" s="24" t="s">
        <v>20331</v>
      </c>
      <c r="C15397" s="25">
        <v>2058512</v>
      </c>
      <c r="D15397" s="22" t="s">
        <v>20330</v>
      </c>
      <c r="E15397" s="22" t="s">
        <v>48</v>
      </c>
      <c r="F15397" s="23" t="str">
        <f>HYPERLINK("https://www.spark-marketing.ru/Card/Lot/71669630",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5397" s="22" t="s">
        <v>137</v>
      </c>
      <c r="H15397" s="22" t="s">
        <v>138</v>
      </c>
      <c r="I15397" s="26">
        <v>43641.498611111099</v>
      </c>
      <c r="J15397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5397" s="24" t="s">
        <v>16891</v>
      </c>
      <c r="L15397" s="22" t="s">
        <v>10</v>
      </c>
      <c r="M15397" s="28" t="s">
        <v>51</v>
      </c>
      <c r="N15397" s="27">
        <v>0</v>
      </c>
    </row>
    <row r="15398" spans="1:14" hidden="1" outlineLevel="1" x14ac:dyDescent="0.2">
      <c r="A15398" s="23" t="str">
        <f>HYPERLINK("https://www.spark-marketing.ru/Card/Person/89079", "МБДОУ ДЕТСКИЙ САД № 67")</f>
        <v>МБДОУ ДЕТСКИЙ САД № 67</v>
      </c>
      <c r="B15398" s="24" t="s">
        <v>20332</v>
      </c>
      <c r="C15398" s="25">
        <v>767643</v>
      </c>
      <c r="D15398" s="22" t="s">
        <v>20330</v>
      </c>
      <c r="E15398" s="22" t="s">
        <v>48</v>
      </c>
      <c r="F15398" s="23" t="str">
        <f>HYPERLINK("https://www.spark-marketing.ru/Card/Lot/71669630", "Оказание услуг по организации питания в дошкольных образовательных учреждениях г. Твери")</f>
        <v>Оказание услуг по организации питания в дошкольных образовательных учреждениях г. Твери</v>
      </c>
      <c r="G15398" s="22" t="s">
        <v>137</v>
      </c>
      <c r="H15398" s="22" t="s">
        <v>138</v>
      </c>
      <c r="I15398" s="26">
        <v>43641.498611111099</v>
      </c>
      <c r="J15398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5398" s="24" t="s">
        <v>16891</v>
      </c>
      <c r="L15398" s="22" t="s">
        <v>10</v>
      </c>
      <c r="M15398" s="28" t="s">
        <v>51</v>
      </c>
      <c r="N15398" s="27">
        <v>0</v>
      </c>
    </row>
    <row r="15399" spans="1:14" x14ac:dyDescent="0.15">
      <c r="A15399" s="23" t="str">
        <f>HYPERLINK("https://www.spark-marketing.ru/Card/Person/6509111", "МБДОУ ЦРР ДЕТСКИЙ САД №19 ""ЛАСТОЧКА""")</f>
        <v>МБДОУ ЦРР ДЕТСКИЙ САД №19 "ЛАСТОЧКА"</v>
      </c>
      <c r="B15399" s="24" t="s">
        <v>20048</v>
      </c>
      <c r="C15399" s="25">
        <v>397528</v>
      </c>
      <c r="D15399" s="22" t="s">
        <v>20333</v>
      </c>
      <c r="E15399" s="22" t="s">
        <v>48</v>
      </c>
      <c r="F15399" s="23" t="str">
        <f>HYPERLINK("https://www.spark-marketing.ru/Card/Lot/71646891", "оказание услуги по организации горячего питания")</f>
        <v>оказание услуги по организации горячего питания</v>
      </c>
      <c r="G15399" s="22" t="s">
        <v>49</v>
      </c>
      <c r="H15399" s="22" t="s">
        <v>378</v>
      </c>
      <c r="I15399" s="26">
        <v>43641.482476851903</v>
      </c>
      <c r="J15399" s="28" t="s">
        <v>51</v>
      </c>
      <c r="K15399" s="28" t="s">
        <v>51</v>
      </c>
      <c r="L15399" s="28" t="s">
        <v>51</v>
      </c>
      <c r="M15399" s="28" t="s">
        <v>51</v>
      </c>
      <c r="N15399" s="28" t="s">
        <v>51</v>
      </c>
    </row>
    <row r="15400" spans="1:14" x14ac:dyDescent="0.15">
      <c r="A15400" s="23" t="str">
        <f>HYPERLINK("https://www.spark-marketing.ru/Card/Person/1072406", "БОУ Г. ОМСКА ""СРЕДНЯЯ ОБЩЕОБРАЗОВАТЕЛЬНАЯ ШКОЛА № 11""")</f>
        <v>БОУ Г. ОМСКА "СРЕДНЯЯ ОБЩЕОБРАЗОВАТЕЛЬНАЯ ШКОЛА № 11"</v>
      </c>
      <c r="B15400" s="24" t="s">
        <v>20334</v>
      </c>
      <c r="C15400" s="25">
        <v>29201</v>
      </c>
      <c r="D15400" s="22" t="s">
        <v>20335</v>
      </c>
      <c r="E15400" s="22" t="s">
        <v>48</v>
      </c>
      <c r="F15400" s="23" t="str">
        <f>HYPERLINK("https://www.spark-marketing.ru/Card/Lot/71646288", "Оказание услуг по организации питания обучающихся")</f>
        <v>Оказание услуг по организации питания обучающихся</v>
      </c>
      <c r="G15400" s="22" t="s">
        <v>487</v>
      </c>
      <c r="H15400" s="22" t="s">
        <v>488</v>
      </c>
      <c r="I15400" s="26">
        <v>43641.494444444397</v>
      </c>
      <c r="J15400" s="28" t="s">
        <v>51</v>
      </c>
      <c r="K15400" s="28" t="s">
        <v>51</v>
      </c>
      <c r="L15400" s="28" t="s">
        <v>51</v>
      </c>
      <c r="M15400" s="28" t="s">
        <v>51</v>
      </c>
      <c r="N15400" s="28" t="s">
        <v>51</v>
      </c>
    </row>
    <row r="15401" spans="1:14" x14ac:dyDescent="0.15">
      <c r="A15401" s="23" t="str">
        <f>HYPERLINK("https://www.spark-marketing.ru/Card/Person/13011", "УМВД РОССИИ ПО Г. БАРНАУЛУ")</f>
        <v>УМВД РОССИИ ПО Г. БАРНАУЛУ</v>
      </c>
      <c r="B15401" s="24" t="s">
        <v>19922</v>
      </c>
      <c r="C15401" s="25">
        <v>391230</v>
      </c>
      <c r="D15401" s="22" t="s">
        <v>20336</v>
      </c>
      <c r="E15401" s="22" t="s">
        <v>48</v>
      </c>
      <c r="F15401" s="23" t="str">
        <f>HYPERLINK("https://www.spark-marketing.ru/Card/Lot/71639588", "Оказание услуг по организации горячего питания для лиц, задержанных за административное правонарушение на срок более трех часов и содержащихся в дежурных частях подразделений УМВД России по г. Барнаулу")</f>
        <v>Оказание услуг по организации горячего питания для лиц, задержанных за административное правонарушение на срок более трех часов и содержащихся в дежурных частях подразделений УМВД России по г. Барнаулу</v>
      </c>
      <c r="G15401" s="22" t="s">
        <v>63</v>
      </c>
      <c r="H15401" s="22" t="s">
        <v>177</v>
      </c>
      <c r="I15401" s="26">
        <v>43641.4868055556</v>
      </c>
      <c r="J15401" s="23" t="str">
        <f>HYPERLINK("https://www.spark-marketing.ru/Card/Person/4683109", "Татаринцев Роман Сергеевич")</f>
        <v>Татаринцев Роман Сергеевич</v>
      </c>
      <c r="K15401" s="24" t="s">
        <v>19924</v>
      </c>
      <c r="L15401" s="28" t="s">
        <v>51</v>
      </c>
      <c r="M15401" s="28" t="s">
        <v>51</v>
      </c>
      <c r="N15401" s="28" t="s">
        <v>51</v>
      </c>
    </row>
    <row r="15402" spans="1:14" ht="12.75" hidden="1" outlineLevel="1" x14ac:dyDescent="0.2">
      <c r="A15402" s="23" t="str">
        <f>HYPERLINK("https://www.spark-marketing.ru/Card/Person/13011", "УМВД РОССИИ ПО Г. БАРНАУЛУ")</f>
        <v>УМВД РОССИИ ПО Г. БАРНАУЛУ</v>
      </c>
      <c r="B15402" s="24" t="s">
        <v>19922</v>
      </c>
      <c r="C15402" s="25">
        <v>391230</v>
      </c>
      <c r="D15402" s="22" t="s">
        <v>20336</v>
      </c>
      <c r="E15402" s="22" t="s">
        <v>48</v>
      </c>
      <c r="F15402" s="23" t="str">
        <f>HYPERLINK("https://www.spark-marketing.ru/Card/Lot/71639588", "Оказание услуг по организации горячего питания для лиц, задержанных за административное правонарушение на срок более трех часов и содержащихся в дежурных частях подразделений УМВД России по г. Барнаулу")</f>
        <v>Оказание услуг по организации горячего питания для лиц, задержанных за административное правонарушение на срок более трех часов и содержащихся в дежурных частях подразделений УМВД России по г. Барнаулу</v>
      </c>
      <c r="G15402" s="22" t="s">
        <v>63</v>
      </c>
      <c r="H15402" s="22" t="s">
        <v>177</v>
      </c>
      <c r="I15402" s="26">
        <v>43641.4868055556</v>
      </c>
      <c r="J15402" s="23" t="str">
        <f>HYPERLINK("https://www.spark-marketing.ru/Card/Person/4683109", "Татаринцев Роман Сергеевич")</f>
        <v>Татаринцев Роман Сергеевич</v>
      </c>
      <c r="K15402" s="24" t="s">
        <v>19924</v>
      </c>
      <c r="L15402" s="22" t="s">
        <v>10</v>
      </c>
      <c r="M15402" s="25">
        <v>389273.85</v>
      </c>
      <c r="N15402" s="27">
        <v>5.0000000000000001E-3</v>
      </c>
    </row>
    <row r="15403" spans="1:14" x14ac:dyDescent="0.15">
      <c r="A15403" s="23" t="str">
        <f>HYPERLINK("https://www.spark-marketing.ru/Card/Person/1048410", "МО МВД РОССИИ ""АБДУЛИНСКИЙ""")</f>
        <v>МО МВД РОССИИ "АБДУЛИНСКИЙ"</v>
      </c>
      <c r="B15403" s="24" t="s">
        <v>9396</v>
      </c>
      <c r="C15403" s="25">
        <v>521178.75</v>
      </c>
      <c r="D15403" s="22" t="s">
        <v>20337</v>
      </c>
      <c r="E15403" s="22" t="s">
        <v>48</v>
      </c>
      <c r="F15403" s="23" t="str">
        <f>HYPERLINK("https://www.spark-marketing.ru/Card/Lot/71643967", "Оказание услуг по предоставлению горячего трехразового питания в 2019 году")</f>
        <v>Оказание услуг по предоставлению горячего трехразового питания в 2019 году</v>
      </c>
      <c r="G15403" s="22" t="s">
        <v>132</v>
      </c>
      <c r="H15403" s="22" t="s">
        <v>132</v>
      </c>
      <c r="I15403" s="26">
        <v>43641.461111111101</v>
      </c>
      <c r="J15403" s="28" t="s">
        <v>51</v>
      </c>
      <c r="K15403" s="28" t="s">
        <v>51</v>
      </c>
      <c r="L15403" s="28" t="s">
        <v>51</v>
      </c>
      <c r="M15403" s="28" t="s">
        <v>51</v>
      </c>
      <c r="N15403" s="28" t="s">
        <v>51</v>
      </c>
    </row>
    <row r="15404" spans="1:14" x14ac:dyDescent="0.15">
      <c r="A15404" s="23" t="str">
        <f>HYPERLINK("https://www.spark-marketing.ru/Card/Person/37268", "ГУ-РО ФОНДА СОЦИАЛЬНОГО СТРАХОВАНИЯ РОССИЙСКОЙ ФЕДЕРАЦИИ ПО РЕСПУБЛИКЕ КАРЕЛИЯ")</f>
        <v>ГУ-РО ФОНДА СОЦИАЛЬНОГО СТРАХОВАНИЯ РОССИЙСКОЙ ФЕДЕРАЦИИ ПО РЕСПУБЛИКЕ КАРЕЛИЯ</v>
      </c>
      <c r="B15404" s="24" t="s">
        <v>4515</v>
      </c>
      <c r="C15404" s="25">
        <v>1055554.2</v>
      </c>
      <c r="D15404" s="22" t="s">
        <v>20338</v>
      </c>
      <c r="E15404" s="22" t="s">
        <v>86</v>
      </c>
      <c r="F15404" s="23" t="str">
        <f>HYPERLINK("https://www.spark-marketing.ru/Card/Lot/71667243", "Предоставление отдельным категориям граждан государственной социальной помощи в виде набора социальных услуг в части санаторно курортного лечения, проезда к месту лечения и обратно, а также проезда на железнодорожном транспорте пригородного сообщения...")</f>
        <v>Предоставление отдельным категориям граждан государственной социальной помощи в виде набора социальных услуг в части санаторно курортного лечения, проезда к месту лечения и обратно, а также проезда на железнодорожном транспорте пригородного сообщения...</v>
      </c>
      <c r="G15404" s="22" t="s">
        <v>59</v>
      </c>
      <c r="H15404" s="22" t="s">
        <v>314</v>
      </c>
      <c r="I15404" s="26">
        <v>43641.466666666704</v>
      </c>
      <c r="J15404" s="23" t="str">
        <f>HYPERLINK("https://www.spark-marketing.ru/Card/Person/410492", "АО ""КУРОРТ СТАРАЯ РУССА""")</f>
        <v>АО "КУРОРТ СТАРАЯ РУССА"</v>
      </c>
      <c r="K15404" s="24" t="s">
        <v>18228</v>
      </c>
      <c r="L15404" s="22" t="s">
        <v>10</v>
      </c>
      <c r="M15404" s="28" t="s">
        <v>51</v>
      </c>
      <c r="N15404" s="28" t="s">
        <v>51</v>
      </c>
    </row>
    <row r="15405" spans="1:14" x14ac:dyDescent="0.15">
      <c r="A15405" s="23" t="str">
        <f>HYPERLINK("https://www.spark-marketing.ru/Card/Person/134457", "МЕЖМУНИЦИПАЛЬНЫЙ ОТДЕЛ МВД РОССИИ ""ТРОИЦКИЙ"" ЧЕЛЯБИНСКОЙ ОБЛАСТИ")</f>
        <v>МЕЖМУНИЦИПАЛЬНЫЙ ОТДЕЛ МВД РОССИИ "ТРОИЦКИЙ" ЧЕЛЯБИНСКОЙ ОБЛАСТИ</v>
      </c>
      <c r="B15405" s="24" t="s">
        <v>20339</v>
      </c>
      <c r="C15405" s="25">
        <v>325089.40999999997</v>
      </c>
      <c r="D15405" s="22" t="s">
        <v>20340</v>
      </c>
      <c r="E15405" s="22" t="s">
        <v>48</v>
      </c>
      <c r="F15405" s="23" t="str">
        <f>HYPERLINK("https://www.spark-marketing.ru/Card/Lot/71642454",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5405" s="22" t="s">
        <v>469</v>
      </c>
      <c r="H15405" s="22" t="s">
        <v>20341</v>
      </c>
      <c r="I15405" s="26">
        <v>43641.431250000001</v>
      </c>
      <c r="J15405" s="23" t="str">
        <f>HYPERLINK("https://www.spark-marketing.ru/Card/Person/5372959", "Коренная Анастасия Владимировна")</f>
        <v>Коренная Анастасия Владимировна</v>
      </c>
      <c r="K15405" s="24" t="s">
        <v>20342</v>
      </c>
      <c r="L15405" s="22" t="s">
        <v>10</v>
      </c>
      <c r="M15405" s="28" t="s">
        <v>51</v>
      </c>
      <c r="N15405" s="28" t="s">
        <v>51</v>
      </c>
    </row>
    <row r="15406" spans="1:14" x14ac:dyDescent="0.15">
      <c r="A15406" s="23" t="str">
        <f>HYPERLINK("https://www.spark-marketing.ru/Card/Person/105092", "КГБУСО ""КОМПЛЕКСНЫЙ ЦЕНТР СОЦИАЛЬНОГО ОБСЛУЖИВАНИЯ НАСЕЛЕНИЯ ГОРОДА БАРНАУЛА""")</f>
        <v>КГБУСО "КОМПЛЕКСНЫЙ ЦЕНТР СОЦИАЛЬНОГО ОБСЛУЖИВАНИЯ НАСЕЛЕНИЯ ГОРОДА БАРНАУЛА"</v>
      </c>
      <c r="B15406" s="24" t="s">
        <v>20343</v>
      </c>
      <c r="C15406" s="25">
        <v>30745</v>
      </c>
      <c r="D15406" s="22" t="s">
        <v>20344</v>
      </c>
      <c r="E15406" s="22" t="s">
        <v>48</v>
      </c>
      <c r="F15406" s="23" t="str">
        <f>HYPERLINK("https://www.spark-marketing.ru/Card/Lot/71642377",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5406" s="22" t="s">
        <v>63</v>
      </c>
      <c r="H15406" s="22" t="s">
        <v>20345</v>
      </c>
      <c r="I15406" s="26">
        <v>43641.427083333299</v>
      </c>
      <c r="J15406" s="28" t="s">
        <v>51</v>
      </c>
      <c r="K15406" s="28" t="s">
        <v>51</v>
      </c>
      <c r="L15406" s="28" t="s">
        <v>51</v>
      </c>
      <c r="M15406" s="28" t="s">
        <v>51</v>
      </c>
      <c r="N15406" s="28" t="s">
        <v>51</v>
      </c>
    </row>
    <row r="15407" spans="1:14" x14ac:dyDescent="0.2">
      <c r="A15407" s="23" t="str">
        <f>HYPERLINK("https://www.spark-marketing.ru/Card/Person/997634", "МАОУ ""НИЖНЕМУЛЛИНСКАЯ СРЕДНЯЯ ШКОЛА""")</f>
        <v>МАОУ "НИЖНЕМУЛЛИНСКАЯ СРЕДНЯЯ ШКОЛА"</v>
      </c>
      <c r="B15407" s="24" t="s">
        <v>20346</v>
      </c>
      <c r="C15407" s="25">
        <v>423063</v>
      </c>
      <c r="D15407" s="22" t="s">
        <v>20347</v>
      </c>
      <c r="E15407" s="22" t="s">
        <v>362</v>
      </c>
      <c r="F15407" s="23" t="str">
        <f>HYPERLINK("https://www.spark-marketing.ru/Card/Lot/71640335", "оказание услуг по организации питания учащихся, находящихся в лагере с дневным пребыванием")</f>
        <v>оказание услуг по организации питания учащихся, находящихся в лагере с дневным пребыванием</v>
      </c>
      <c r="G15407" s="22" t="s">
        <v>153</v>
      </c>
      <c r="H15407" s="22" t="s">
        <v>153</v>
      </c>
      <c r="I15407" s="26">
        <v>43641.448981481502</v>
      </c>
      <c r="J15407" s="23" t="str">
        <f>HYPERLINK("https://www.spark-marketing.ru/Card/Person/780179", "ООО ""ФЕНИКС""")</f>
        <v>ООО "ФЕНИКС"</v>
      </c>
      <c r="K15407" s="24" t="s">
        <v>20348</v>
      </c>
      <c r="L15407" s="28" t="s">
        <v>51</v>
      </c>
      <c r="M15407" s="25">
        <v>423063</v>
      </c>
      <c r="N15407" s="27">
        <v>0</v>
      </c>
    </row>
    <row r="15408" spans="1:14" x14ac:dyDescent="0.15">
      <c r="A15408" s="23" t="str">
        <f>HYPERLINK("https://www.spark-marketing.ru/Card/Person/4349622", "КГБУЗ ""ДОМ РЕБЕНКА СПЕЦИАЛИЗИРОВАННЫЙ, Г. БАРНАУЛ""")</f>
        <v>КГБУЗ "ДОМ РЕБЕНКА СПЕЦИАЛИЗИРОВАННЫЙ, Г. БАРНАУЛ"</v>
      </c>
      <c r="B15408" s="24" t="s">
        <v>20067</v>
      </c>
      <c r="C15408" s="25">
        <v>791</v>
      </c>
      <c r="D15408" s="22" t="s">
        <v>20349</v>
      </c>
      <c r="E15408" s="22" t="s">
        <v>336</v>
      </c>
      <c r="F15408" s="23" t="str">
        <f>HYPERLINK("https://www.spark-marketing.ru/Card/Lot/71643222", "Товары, работы или услуги на сумму, не превышающие 100 тыс. руб(п.4 ч.1 ст.93 44ФЗ)")</f>
        <v>Товары, работы или услуги на сумму, не превышающие 100 тыс. руб(п.4 ч.1 ст.93 44ФЗ)</v>
      </c>
      <c r="G15408" s="22" t="s">
        <v>63</v>
      </c>
      <c r="H15408" s="22" t="s">
        <v>177</v>
      </c>
      <c r="I15408" s="26">
        <v>43641.448611111096</v>
      </c>
      <c r="J15408" s="28" t="s">
        <v>51</v>
      </c>
      <c r="K15408" s="28" t="s">
        <v>51</v>
      </c>
      <c r="L15408" s="28" t="s">
        <v>51</v>
      </c>
      <c r="M15408" s="28" t="s">
        <v>51</v>
      </c>
      <c r="N15408" s="28" t="s">
        <v>51</v>
      </c>
    </row>
    <row r="15409" spans="1:14" x14ac:dyDescent="0.15">
      <c r="A15409" s="23" t="s">
        <v>114</v>
      </c>
      <c r="B15409" s="28" t="s">
        <v>51</v>
      </c>
      <c r="C15409" s="25">
        <v>4321396.2</v>
      </c>
      <c r="D15409" s="22" t="s">
        <v>20350</v>
      </c>
      <c r="E15409" s="22" t="s">
        <v>48</v>
      </c>
      <c r="F15409" s="23" t="str">
        <f t="shared" ref="F15409:F15415" si="526">HYPERLINK("https://www.spark-marketing.ru/Card/Lot/71670278", "Оказание услуг по организации питания учащихся муниципальных общеобразовательных организаций")</f>
        <v>Оказание услуг по организации питания учащихся муниципальных общеобразовательных организаций</v>
      </c>
      <c r="G15409" s="22" t="s">
        <v>51</v>
      </c>
      <c r="H15409" s="22" t="s">
        <v>51</v>
      </c>
      <c r="I15409" s="26">
        <v>43641.448611111096</v>
      </c>
      <c r="J15409" s="23" t="str">
        <f t="shared" ref="J15409:J15415" si="527">HYPERLINK("https://www.spark-marketing.ru/Card/Person/4715784", "ООО ""КИМПРОД""")</f>
        <v>ООО "КИМПРОД"</v>
      </c>
      <c r="K15409" s="24" t="s">
        <v>9735</v>
      </c>
      <c r="L15409" s="22" t="s">
        <v>10</v>
      </c>
      <c r="M15409" s="28" t="s">
        <v>51</v>
      </c>
      <c r="N15409" s="28" t="s">
        <v>51</v>
      </c>
    </row>
    <row r="15410" spans="1:14" hidden="1" outlineLevel="1" x14ac:dyDescent="0.15">
      <c r="A15410" s="23" t="str">
        <f>HYPERLINK("https://www.spark-marketing.ru/Card/Person/109821", "МБОУ ""СОШ № 6""")</f>
        <v>МБОУ "СОШ № 6"</v>
      </c>
      <c r="B15410" s="24" t="s">
        <v>20351</v>
      </c>
      <c r="C15410" s="25">
        <v>804235.8</v>
      </c>
      <c r="D15410" s="22" t="s">
        <v>20350</v>
      </c>
      <c r="E15410" s="22" t="s">
        <v>48</v>
      </c>
      <c r="F15410" s="23" t="str">
        <f t="shared" si="526"/>
        <v>Оказание услуг по организации питания учащихся муниципальных общеобразовательных организаций</v>
      </c>
      <c r="G15410" s="22" t="s">
        <v>68</v>
      </c>
      <c r="H15410" s="22" t="s">
        <v>2012</v>
      </c>
      <c r="I15410" s="26">
        <v>43641.448611111096</v>
      </c>
      <c r="J15410" s="23" t="str">
        <f t="shared" si="527"/>
        <v>ООО "КИМПРОД"</v>
      </c>
      <c r="K15410" s="24" t="s">
        <v>9735</v>
      </c>
      <c r="L15410" s="22" t="s">
        <v>10</v>
      </c>
      <c r="M15410" s="28" t="s">
        <v>51</v>
      </c>
      <c r="N15410" s="28" t="s">
        <v>51</v>
      </c>
    </row>
    <row r="15411" spans="1:14" hidden="1" outlineLevel="1" x14ac:dyDescent="0.15">
      <c r="A15411" s="23" t="str">
        <f>HYPERLINK("https://www.spark-marketing.ru/Card/Person/127832", "МКОУ ""СОШ № 19""")</f>
        <v>МКОУ "СОШ № 19"</v>
      </c>
      <c r="B15411" s="24" t="s">
        <v>20352</v>
      </c>
      <c r="C15411" s="25">
        <v>866614.2</v>
      </c>
      <c r="D15411" s="22" t="s">
        <v>20350</v>
      </c>
      <c r="E15411" s="22" t="s">
        <v>48</v>
      </c>
      <c r="F15411" s="23" t="str">
        <f t="shared" si="526"/>
        <v>Оказание услуг по организации питания учащихся муниципальных общеобразовательных организаций</v>
      </c>
      <c r="G15411" s="22" t="s">
        <v>51</v>
      </c>
      <c r="H15411" s="22" t="s">
        <v>51</v>
      </c>
      <c r="I15411" s="26">
        <v>43641.448611111096</v>
      </c>
      <c r="J15411" s="23" t="str">
        <f t="shared" si="527"/>
        <v>ООО "КИМПРОД"</v>
      </c>
      <c r="K15411" s="24" t="s">
        <v>9735</v>
      </c>
      <c r="L15411" s="22" t="s">
        <v>10</v>
      </c>
      <c r="M15411" s="28" t="s">
        <v>51</v>
      </c>
      <c r="N15411" s="28" t="s">
        <v>51</v>
      </c>
    </row>
    <row r="15412" spans="1:14" hidden="1" outlineLevel="1" x14ac:dyDescent="0.15">
      <c r="A15412" s="23" t="str">
        <f>HYPERLINK("https://www.spark-marketing.ru/Card/Person/151918", "МБОУ ""СОШ № 15""")</f>
        <v>МБОУ "СОШ № 15"</v>
      </c>
      <c r="B15412" s="24" t="s">
        <v>20353</v>
      </c>
      <c r="C15412" s="25">
        <v>815374.8</v>
      </c>
      <c r="D15412" s="22" t="s">
        <v>20350</v>
      </c>
      <c r="E15412" s="22" t="s">
        <v>48</v>
      </c>
      <c r="F15412" s="23" t="str">
        <f t="shared" si="526"/>
        <v>Оказание услуг по организации питания учащихся муниципальных общеобразовательных организаций</v>
      </c>
      <c r="G15412" s="22" t="s">
        <v>68</v>
      </c>
      <c r="H15412" s="22" t="s">
        <v>2012</v>
      </c>
      <c r="I15412" s="26">
        <v>43641.448611111096</v>
      </c>
      <c r="J15412" s="23" t="str">
        <f t="shared" si="527"/>
        <v>ООО "КИМПРОД"</v>
      </c>
      <c r="K15412" s="24" t="s">
        <v>9735</v>
      </c>
      <c r="L15412" s="22" t="s">
        <v>10</v>
      </c>
      <c r="M15412" s="28" t="s">
        <v>51</v>
      </c>
      <c r="N15412" s="28" t="s">
        <v>51</v>
      </c>
    </row>
    <row r="15413" spans="1:14" hidden="1" outlineLevel="1" x14ac:dyDescent="0.15">
      <c r="A15413" s="23" t="str">
        <f>HYPERLINK("https://www.spark-marketing.ru/Card/Person/1029041", "МБОУ ""ЦЕНТР ОБРАЗОВАНИЯ №9""")</f>
        <v>МБОУ "ЦЕНТР ОБРАЗОВАНИЯ №9"</v>
      </c>
      <c r="B15413" s="24" t="s">
        <v>20354</v>
      </c>
      <c r="C15413" s="25">
        <v>642057.6</v>
      </c>
      <c r="D15413" s="22" t="s">
        <v>20350</v>
      </c>
      <c r="E15413" s="22" t="s">
        <v>48</v>
      </c>
      <c r="F15413" s="23" t="str">
        <f t="shared" si="526"/>
        <v>Оказание услуг по организации питания учащихся муниципальных общеобразовательных организаций</v>
      </c>
      <c r="G15413" s="22" t="s">
        <v>68</v>
      </c>
      <c r="H15413" s="22" t="s">
        <v>2012</v>
      </c>
      <c r="I15413" s="26">
        <v>43641.448611111096</v>
      </c>
      <c r="J15413" s="23" t="str">
        <f t="shared" si="527"/>
        <v>ООО "КИМПРОД"</v>
      </c>
      <c r="K15413" s="24" t="s">
        <v>9735</v>
      </c>
      <c r="L15413" s="22" t="s">
        <v>10</v>
      </c>
      <c r="M15413" s="28" t="s">
        <v>51</v>
      </c>
      <c r="N15413" s="28" t="s">
        <v>51</v>
      </c>
    </row>
    <row r="15414" spans="1:14" hidden="1" outlineLevel="1" x14ac:dyDescent="0.15">
      <c r="A15414" s="23" t="str">
        <f>HYPERLINK("https://www.spark-marketing.ru/Card/Person/1061236", "МКОУ ""СОШ № 3""")</f>
        <v>МКОУ "СОШ № 3"</v>
      </c>
      <c r="B15414" s="24" t="s">
        <v>20355</v>
      </c>
      <c r="C15414" s="25">
        <v>1003609.8</v>
      </c>
      <c r="D15414" s="22" t="s">
        <v>20350</v>
      </c>
      <c r="E15414" s="22" t="s">
        <v>48</v>
      </c>
      <c r="F15414" s="23" t="str">
        <f t="shared" si="526"/>
        <v>Оказание услуг по организации питания учащихся муниципальных общеобразовательных организаций</v>
      </c>
      <c r="G15414" s="22" t="s">
        <v>51</v>
      </c>
      <c r="H15414" s="22" t="s">
        <v>51</v>
      </c>
      <c r="I15414" s="26">
        <v>43641.448611111096</v>
      </c>
      <c r="J15414" s="23" t="str">
        <f t="shared" si="527"/>
        <v>ООО "КИМПРОД"</v>
      </c>
      <c r="K15414" s="24" t="s">
        <v>9735</v>
      </c>
      <c r="L15414" s="22" t="s">
        <v>10</v>
      </c>
      <c r="M15414" s="28" t="s">
        <v>51</v>
      </c>
      <c r="N15414" s="28" t="s">
        <v>51</v>
      </c>
    </row>
    <row r="15415" spans="1:14" hidden="1" outlineLevel="1" x14ac:dyDescent="0.15">
      <c r="A15415" s="23" t="str">
        <f>HYPERLINK("https://www.spark-marketing.ru/Card/Person/1081207", "МБОУ ""ЛИЦЕЙ""")</f>
        <v>МБОУ "ЛИЦЕЙ"</v>
      </c>
      <c r="B15415" s="24" t="s">
        <v>20356</v>
      </c>
      <c r="C15415" s="25">
        <v>189504</v>
      </c>
      <c r="D15415" s="22" t="s">
        <v>20350</v>
      </c>
      <c r="E15415" s="22" t="s">
        <v>48</v>
      </c>
      <c r="F15415" s="23" t="str">
        <f t="shared" si="526"/>
        <v>Оказание услуг по организации питания учащихся муниципальных общеобразовательных организаций</v>
      </c>
      <c r="G15415" s="22" t="s">
        <v>68</v>
      </c>
      <c r="H15415" s="22" t="s">
        <v>2012</v>
      </c>
      <c r="I15415" s="26">
        <v>43641.448611111096</v>
      </c>
      <c r="J15415" s="23" t="str">
        <f t="shared" si="527"/>
        <v>ООО "КИМПРОД"</v>
      </c>
      <c r="K15415" s="24" t="s">
        <v>9735</v>
      </c>
      <c r="L15415" s="22" t="s">
        <v>10</v>
      </c>
      <c r="M15415" s="28" t="s">
        <v>51</v>
      </c>
      <c r="N15415" s="28" t="s">
        <v>51</v>
      </c>
    </row>
    <row r="15416" spans="1:14" x14ac:dyDescent="0.15">
      <c r="A15416" s="23" t="str">
        <f>HYPERLINK("https://www.spark-marketing.ru/Card/Person/1029866", "ГБУСО МО ""ДМИТРОВСКИЙ ЦСПСИД""")</f>
        <v>ГБУСО МО "ДМИТРОВСКИЙ ЦСПСИД"</v>
      </c>
      <c r="B15416" s="24" t="s">
        <v>719</v>
      </c>
      <c r="C15416" s="25">
        <v>100000</v>
      </c>
      <c r="D15416" s="22" t="s">
        <v>20357</v>
      </c>
      <c r="E15416" s="22" t="s">
        <v>48</v>
      </c>
      <c r="F15416" s="23" t="str">
        <f>HYPERLINK("https://www.spark-marketing.ru/Card/Lot/71644050", "Услуги по организации горячего питания")</f>
        <v>Услуги по организации горячего питания</v>
      </c>
      <c r="G15416" s="22" t="s">
        <v>49</v>
      </c>
      <c r="H15416" s="22" t="s">
        <v>721</v>
      </c>
      <c r="I15416" s="26">
        <v>43641.431388888901</v>
      </c>
      <c r="J15416" s="28" t="s">
        <v>51</v>
      </c>
      <c r="K15416" s="28" t="s">
        <v>51</v>
      </c>
      <c r="L15416" s="28" t="s">
        <v>51</v>
      </c>
      <c r="M15416" s="28" t="s">
        <v>51</v>
      </c>
      <c r="N15416" s="28" t="s">
        <v>51</v>
      </c>
    </row>
    <row r="15417" spans="1:14" x14ac:dyDescent="0.15">
      <c r="A15417" s="23" t="str">
        <f>HYPERLINK("https://www.spark-marketing.ru/Card/Person/17915", "ГБУЗ ""РАЙОННАЯ БОЛЬНИЦА С. ДОЛГОДЕРЕВЕНСКОЕ""")</f>
        <v>ГБУЗ "РАЙОННАЯ БОЛЬНИЦА С. ДОЛГОДЕРЕВЕНСКОЕ"</v>
      </c>
      <c r="B15417" s="24" t="s">
        <v>20358</v>
      </c>
      <c r="C15417" s="25">
        <v>202370.65</v>
      </c>
      <c r="D15417" s="22" t="s">
        <v>20359</v>
      </c>
      <c r="E15417" s="22" t="s">
        <v>20360</v>
      </c>
      <c r="F15417" s="23" t="str">
        <f>HYPERLINK("https://www.spark-marketing.ru/Card/Lot/71642333", "Оказание услуг по техническому обслуживанию, диагностике и ремонту рентгеновского оборудования")</f>
        <v>Оказание услуг по техническому обслуживанию, диагностике и ремонту рентгеновского оборудования</v>
      </c>
      <c r="G15417" s="22" t="s">
        <v>469</v>
      </c>
      <c r="H15417" s="22" t="s">
        <v>15539</v>
      </c>
      <c r="I15417" s="26">
        <v>43641.448611111096</v>
      </c>
      <c r="J15417" s="23" t="str">
        <f>HYPERLINK("https://www.spark-marketing.ru/Card/Person/47269", "АО ""АМГ""")</f>
        <v>АО "АМГ"</v>
      </c>
      <c r="K15417" s="24" t="s">
        <v>20361</v>
      </c>
      <c r="L15417" s="22" t="s">
        <v>10</v>
      </c>
      <c r="M15417" s="28" t="s">
        <v>51</v>
      </c>
      <c r="N15417" s="28" t="s">
        <v>51</v>
      </c>
    </row>
    <row r="15418" spans="1:14" x14ac:dyDescent="0.15">
      <c r="A15418" s="23" t="str">
        <f>HYPERLINK("https://www.spark-marketing.ru/Card/Person/1033537", "МБОУ "" ШКОЛА № 6"" Г. ЛИПЕЦКА")</f>
        <v>МБОУ " ШКОЛА № 6" Г. ЛИПЕЦКА</v>
      </c>
      <c r="B15418" s="24" t="s">
        <v>3166</v>
      </c>
      <c r="C15418" s="25">
        <v>618720</v>
      </c>
      <c r="D15418" s="22" t="s">
        <v>20362</v>
      </c>
      <c r="E15418" s="22" t="s">
        <v>48</v>
      </c>
      <c r="F15418" s="23" t="str">
        <f>HYPERLINK("https://www.spark-marketing.ru/Card/Lot/71643982", "оказание услуги по организации питания учащихся")</f>
        <v>оказание услуги по организации питания учащихся</v>
      </c>
      <c r="G15418" s="22" t="s">
        <v>101</v>
      </c>
      <c r="H15418" s="22" t="s">
        <v>728</v>
      </c>
      <c r="I15418" s="26">
        <v>43641.388888888898</v>
      </c>
      <c r="J15418" s="23" t="str">
        <f>HYPERLINK("https://www.spark-marketing.ru/Card/Person/16210", "ООО ""ГК ФЬЮЖЕН МЕНЕДЖМЕНТ""")</f>
        <v>ООО "ГК ФЬЮЖЕН МЕНЕДЖМЕНТ"</v>
      </c>
      <c r="K15418" s="24" t="s">
        <v>1675</v>
      </c>
      <c r="L15418" s="22" t="s">
        <v>10</v>
      </c>
      <c r="M15418" s="28" t="s">
        <v>51</v>
      </c>
      <c r="N15418" s="28" t="s">
        <v>51</v>
      </c>
    </row>
    <row r="15419" spans="1:14" x14ac:dyDescent="0.15">
      <c r="A15419" s="23" t="str">
        <f>HYPERLINK("https://www.spark-marketing.ru/Card/Person/78166", "ГУ ""УПРАВЛЕНИЕ МВД РОССИИ ПО Г. ИЖЕВСКУ""")</f>
        <v>ГУ "УПРАВЛЕНИЕ МВД РОССИИ ПО Г. ИЖЕВСКУ"</v>
      </c>
      <c r="B15419" s="24" t="s">
        <v>20363</v>
      </c>
      <c r="C15419" s="25">
        <v>16473600</v>
      </c>
      <c r="D15419" s="22" t="s">
        <v>20364</v>
      </c>
      <c r="E15419" s="22" t="s">
        <v>48</v>
      </c>
      <c r="F15419" s="23" t="str">
        <f>HYPERLINK("https://www.spark-marketing.ru/Card/Lot/71645691", "Оказание услуг по организации трехразового питания лиц, арестованных в административном порядке, содержащихся в Специальном приемнике, и подозреваемых и обвиняемых в совершении преступлений, содержащихся в Изоляторе временного содержания подозреваемы...")</f>
        <v>Оказание услуг по организации трехразового питания лиц, арестованных в административном порядке, содержащихся в Специальном приемнике, и подозреваемых и обвиняемых в совершении преступлений, содержащихся в Изоляторе временного содержания подозреваемы...</v>
      </c>
      <c r="G15419" s="22" t="s">
        <v>852</v>
      </c>
      <c r="H15419" s="22" t="s">
        <v>2477</v>
      </c>
      <c r="I15419" s="26">
        <v>43641.384722222203</v>
      </c>
      <c r="J15419" s="23" t="str">
        <f>HYPERLINK("https://www.spark-marketing.ru/Card/Person/88165", "ООО ""МЕГА""")</f>
        <v>ООО "МЕГА"</v>
      </c>
      <c r="K15419" s="24" t="s">
        <v>20365</v>
      </c>
      <c r="L15419" s="22" t="s">
        <v>10</v>
      </c>
      <c r="M15419" s="28" t="s">
        <v>51</v>
      </c>
      <c r="N15419" s="28" t="s">
        <v>51</v>
      </c>
    </row>
    <row r="15420" spans="1:14" x14ac:dyDescent="0.15">
      <c r="A15420" s="23" t="str">
        <f>HYPERLINK("https://www.spark-marketing.ru/Card/Person/998794", "МБОУ СШ № 33 Г. ЛИПЕЦКА")</f>
        <v>МБОУ СШ № 33 Г. ЛИПЕЦКА</v>
      </c>
      <c r="B15420" s="24" t="s">
        <v>3122</v>
      </c>
      <c r="C15420" s="25">
        <v>779790</v>
      </c>
      <c r="D15420" s="22" t="s">
        <v>20366</v>
      </c>
      <c r="E15420" s="22" t="s">
        <v>48</v>
      </c>
      <c r="F15420" s="23" t="str">
        <f>HYPERLINK("https://www.spark-marketing.ru/Card/Lot/71643936", "Оказание услуги по организации питания учащихся")</f>
        <v>Оказание услуги по организации питания учащихся</v>
      </c>
      <c r="G15420" s="22" t="s">
        <v>101</v>
      </c>
      <c r="H15420" s="22" t="s">
        <v>728</v>
      </c>
      <c r="I15420" s="26">
        <v>43641.402777777803</v>
      </c>
      <c r="J15420" s="23" t="str">
        <f>HYPERLINK("https://www.spark-marketing.ru/Card/Person/16210", "ООО ""ГК ФЬЮЖЕН МЕНЕДЖМЕНТ""")</f>
        <v>ООО "ГК ФЬЮЖЕН МЕНЕДЖМЕНТ"</v>
      </c>
      <c r="K15420" s="24" t="s">
        <v>1675</v>
      </c>
      <c r="L15420" s="22" t="s">
        <v>10</v>
      </c>
      <c r="M15420" s="28" t="s">
        <v>51</v>
      </c>
      <c r="N15420" s="28" t="s">
        <v>51</v>
      </c>
    </row>
    <row r="15421" spans="1:14" x14ac:dyDescent="0.15">
      <c r="A15421" s="23" t="str">
        <f>HYPERLINK("https://www.spark-marketing.ru/Card/Person/4343853", "ГБУЗ СО ""СОКПБ""")</f>
        <v>ГБУЗ СО "СОКПБ"</v>
      </c>
      <c r="B15421" s="24" t="s">
        <v>970</v>
      </c>
      <c r="C15421" s="25">
        <v>621670</v>
      </c>
      <c r="D15421" s="22" t="s">
        <v>20367</v>
      </c>
      <c r="E15421" s="22" t="s">
        <v>51</v>
      </c>
      <c r="F15421" s="23" t="str">
        <f>HYPERLINK("https://www.spark-marketing.ru/Card/Lot/71639500", "Услуги по организации питания пациентов (филиал ""Детство"")")</f>
        <v>Услуги по организации питания пациентов (филиал "Детство")</v>
      </c>
      <c r="G15421" s="22" t="s">
        <v>174</v>
      </c>
      <c r="H15421" s="22" t="s">
        <v>530</v>
      </c>
      <c r="I15421" s="26">
        <v>43641.384722222203</v>
      </c>
      <c r="J15421" s="28" t="s">
        <v>51</v>
      </c>
      <c r="K15421" s="28" t="s">
        <v>51</v>
      </c>
      <c r="L15421" s="28" t="s">
        <v>51</v>
      </c>
      <c r="M15421" s="28" t="s">
        <v>51</v>
      </c>
      <c r="N15421" s="28" t="s">
        <v>51</v>
      </c>
    </row>
    <row r="15422" spans="1:14" hidden="1" outlineLevel="1" x14ac:dyDescent="0.2">
      <c r="A15422" s="23" t="str">
        <f>HYPERLINK("https://www.spark-marketing.ru/Card/Person/4343853", "ГБУЗ СО ""СОКПБ""")</f>
        <v>ГБУЗ СО "СОКПБ"</v>
      </c>
      <c r="B15422" s="24" t="s">
        <v>970</v>
      </c>
      <c r="C15422" s="25">
        <v>621670</v>
      </c>
      <c r="D15422" s="22" t="s">
        <v>20367</v>
      </c>
      <c r="E15422" s="22" t="s">
        <v>51</v>
      </c>
      <c r="F15422" s="23" t="str">
        <f>HYPERLINK("https://www.spark-marketing.ru/Card/Lot/71639500", "Услуги по организации питания пациентов (филиал ""Детство"")")</f>
        <v>Услуги по организации питания пациентов (филиал "Детство")</v>
      </c>
      <c r="G15422" s="22" t="s">
        <v>174</v>
      </c>
      <c r="H15422" s="22" t="s">
        <v>530</v>
      </c>
      <c r="I15422" s="26">
        <v>43641.384722222203</v>
      </c>
      <c r="J15422" s="23" t="str">
        <f>HYPERLINK("https://www.spark-marketing.ru/Card/Person/4439378", "ООО ""АНТОНОВКА""")</f>
        <v>ООО "АНТОНОВКА"</v>
      </c>
      <c r="K15422" s="24" t="s">
        <v>20368</v>
      </c>
      <c r="L15422" s="28" t="s">
        <v>51</v>
      </c>
      <c r="M15422" s="25">
        <v>568828.05000000005</v>
      </c>
      <c r="N15422" s="27">
        <v>8.5000000000000006E-2</v>
      </c>
    </row>
    <row r="15423" spans="1:14" ht="12.75" hidden="1" outlineLevel="1" x14ac:dyDescent="0.2">
      <c r="A15423" s="23" t="str">
        <f>HYPERLINK("https://www.spark-marketing.ru/Card/Person/4343853", "ГБУЗ СО ""СОКПБ""")</f>
        <v>ГБУЗ СО "СОКПБ"</v>
      </c>
      <c r="B15423" s="24" t="s">
        <v>970</v>
      </c>
      <c r="C15423" s="25">
        <v>621670</v>
      </c>
      <c r="D15423" s="22" t="s">
        <v>20367</v>
      </c>
      <c r="E15423" s="22" t="s">
        <v>51</v>
      </c>
      <c r="F15423" s="23" t="str">
        <f>HYPERLINK("https://www.spark-marketing.ru/Card/Lot/71639500", "Услуги по организации питания пациентов (филиал ""Детство"")")</f>
        <v>Услуги по организации питания пациентов (филиал "Детство")</v>
      </c>
      <c r="G15423" s="22" t="s">
        <v>174</v>
      </c>
      <c r="H15423" s="22" t="s">
        <v>530</v>
      </c>
      <c r="I15423" s="26">
        <v>43641.384722222203</v>
      </c>
      <c r="J15423" s="23" t="str">
        <f>HYPERLINK("https://www.spark-marketing.ru/Card/Person/142277", "ООО ""ОКЕЙТЕРИНГ""")</f>
        <v>ООО "ОКЕЙТЕРИНГ"</v>
      </c>
      <c r="K15423" s="24" t="s">
        <v>2533</v>
      </c>
      <c r="L15423" s="22" t="s">
        <v>10</v>
      </c>
      <c r="M15423" s="25">
        <v>537744.55000000005</v>
      </c>
      <c r="N15423" s="27">
        <v>0.13500000000000001</v>
      </c>
    </row>
    <row r="15424" spans="1:14" x14ac:dyDescent="0.15">
      <c r="A15424" s="23" t="str">
        <f>HYPERLINK("https://www.spark-marketing.ru/Card/Person/1067997", "МАОУ СОШ № 8 Г. ХОЛМСКА")</f>
        <v>МАОУ СОШ № 8 Г. ХОЛМСКА</v>
      </c>
      <c r="B15424" s="24" t="s">
        <v>8690</v>
      </c>
      <c r="C15424" s="25">
        <v>249480</v>
      </c>
      <c r="D15424" s="22" t="s">
        <v>20369</v>
      </c>
      <c r="E15424" s="22" t="s">
        <v>362</v>
      </c>
      <c r="F15424" s="23" t="str">
        <f>HYPERLINK("https://www.spark-marketing.ru/Card/Lot/71634687", "услуги по организации горячего питания детей силами и средствами Исполнителя в детских оздоровительных лагерях с дневным пребыванием в период летних каникул 2019 года (2 смена)")</f>
        <v>услуги по организации горячего питания детей силами и средствами Исполнителя в детских оздоровительных лагерях с дневным пребыванием в период летних каникул 2019 года (2 смена)</v>
      </c>
      <c r="G15424" s="22" t="s">
        <v>260</v>
      </c>
      <c r="H15424" s="22" t="s">
        <v>260</v>
      </c>
      <c r="I15424" s="26">
        <v>43641.408854166701</v>
      </c>
      <c r="J15424" s="28" t="s">
        <v>51</v>
      </c>
      <c r="K15424" s="28" t="s">
        <v>51</v>
      </c>
      <c r="L15424" s="28" t="s">
        <v>51</v>
      </c>
      <c r="M15424" s="28" t="s">
        <v>51</v>
      </c>
      <c r="N15424" s="28" t="s">
        <v>51</v>
      </c>
    </row>
    <row r="15425" spans="1:14" x14ac:dyDescent="0.15">
      <c r="A15425" s="23" t="str">
        <f>HYPERLINK("https://www.spark-marketing.ru/Card/Person/997496", "МБОУ СШ № 54 Г.ЛИПЕЦКА")</f>
        <v>МБОУ СШ № 54 Г.ЛИПЕЦКА</v>
      </c>
      <c r="B15425" s="24" t="s">
        <v>3125</v>
      </c>
      <c r="C15425" s="25">
        <v>1122750</v>
      </c>
      <c r="D15425" s="22" t="s">
        <v>20370</v>
      </c>
      <c r="E15425" s="22" t="s">
        <v>48</v>
      </c>
      <c r="F15425" s="23" t="str">
        <f>HYPERLINK("https://www.spark-marketing.ru/Card/Lot/71667738", "Оказание услуги по организации питания учащихся")</f>
        <v>Оказание услуги по организации питания учащихся</v>
      </c>
      <c r="G15425" s="22" t="s">
        <v>101</v>
      </c>
      <c r="H15425" s="22" t="s">
        <v>728</v>
      </c>
      <c r="I15425" s="26">
        <v>43641.404166666704</v>
      </c>
      <c r="J15425" s="23" t="str">
        <f>HYPERLINK("https://www.spark-marketing.ru/Card/Person/16210", "ООО ""ГК ФЬЮЖЕН МЕНЕДЖМЕНТ""")</f>
        <v>ООО "ГК ФЬЮЖЕН МЕНЕДЖМЕНТ"</v>
      </c>
      <c r="K15425" s="24" t="s">
        <v>1675</v>
      </c>
      <c r="L15425" s="22" t="s">
        <v>10</v>
      </c>
      <c r="M15425" s="28" t="s">
        <v>51</v>
      </c>
      <c r="N15425" s="28" t="s">
        <v>51</v>
      </c>
    </row>
    <row r="15426" spans="1:14" x14ac:dyDescent="0.15">
      <c r="A15426" s="23" t="str">
        <f>HYPERLINK("https://www.spark-marketing.ru/Card/Person/1072578", "ОМВД РОССИИ ПО ШИРИНСКОМУ РАЙОНУ")</f>
        <v>ОМВД РОССИИ ПО ШИРИНСКОМУ РАЙОНУ</v>
      </c>
      <c r="B15426" s="24" t="s">
        <v>7859</v>
      </c>
      <c r="C15426" s="25">
        <v>320500</v>
      </c>
      <c r="D15426" s="22" t="s">
        <v>20371</v>
      </c>
      <c r="E15426" s="22" t="s">
        <v>48</v>
      </c>
      <c r="F15426" s="23" t="str">
        <f>HYPERLINK("https://www.spark-marketing.ru/Card/Lot/71635656", "Оказание услуг по организации готового трехразового питания для лиц, содержащихся в ИВС")</f>
        <v>Оказание услуг по организации готового трехразового питания для лиц, содержащихся в ИВС</v>
      </c>
      <c r="G15426" s="22" t="s">
        <v>92</v>
      </c>
      <c r="H15426" s="22" t="s">
        <v>1336</v>
      </c>
      <c r="I15426" s="26">
        <v>43641.3347222222</v>
      </c>
      <c r="J15426" s="23" t="str">
        <f>HYPERLINK("https://www.spark-marketing.ru/Card/Person/1645831", "ПО ""ЦЕНТР""")</f>
        <v>ПО "ЦЕНТР"</v>
      </c>
      <c r="K15426" s="24" t="s">
        <v>7861</v>
      </c>
      <c r="L15426" s="22" t="s">
        <v>10</v>
      </c>
      <c r="M15426" s="28" t="s">
        <v>51</v>
      </c>
      <c r="N15426" s="28" t="s">
        <v>51</v>
      </c>
    </row>
    <row r="15427" spans="1:14" x14ac:dyDescent="0.15">
      <c r="A15427" s="23" t="str">
        <f>HYPERLINK("https://www.spark-marketing.ru/Card/Person/81958", "МЕЖМУНИЦИПАЛЬНЫЙ ОТДЕЛ МВД РОССИИ ""ГУБАХИНСКИЙ""")</f>
        <v>МЕЖМУНИЦИПАЛЬНЫЙ ОТДЕЛ МВД РОССИИ "ГУБАХИНСКИЙ"</v>
      </c>
      <c r="B15427" s="24" t="s">
        <v>9521</v>
      </c>
      <c r="C15427" s="25">
        <v>629991.88</v>
      </c>
      <c r="D15427" s="22" t="s">
        <v>20372</v>
      </c>
      <c r="E15427" s="22" t="s">
        <v>48</v>
      </c>
      <c r="F15427" s="23" t="str">
        <f>HYPERLINK("https://www.spark-marketing.ru/Card/Lot/71638215", "Оказание услуг по поставке трехразового горячего питания для лиц, содержащихся в ИВС, лиц, содержащихся в специальном помещении дежурной части для задержанных более трех часов")</f>
        <v>Оказание услуг по поставке трехразового горячего питания для лиц, содержащихся в ИВС, лиц, содержащихся в специальном помещении дежурной части для задержанных более трех часов</v>
      </c>
      <c r="G15427" s="22" t="s">
        <v>153</v>
      </c>
      <c r="H15427" s="22" t="s">
        <v>1752</v>
      </c>
      <c r="I15427" s="26">
        <v>43641.353472222203</v>
      </c>
      <c r="J15427" s="23" t="str">
        <f>HYPERLINK("https://www.spark-marketing.ru/Card/Person/788890", "ООО ""МЕДИЛАЙН""")</f>
        <v>ООО "МЕДИЛАЙН"</v>
      </c>
      <c r="K15427" s="24" t="s">
        <v>3727</v>
      </c>
      <c r="L15427" s="22" t="s">
        <v>10</v>
      </c>
      <c r="M15427" s="28" t="s">
        <v>51</v>
      </c>
      <c r="N15427" s="28" t="s">
        <v>51</v>
      </c>
    </row>
    <row r="15428" spans="1:14" x14ac:dyDescent="0.15">
      <c r="A15428" s="23" t="str">
        <f>HYPERLINK("https://www.spark-marketing.ru/Card/Person/144372", "АДМИНИСТРАЦИЯ РАЙОНА")</f>
        <v>АДМИНИСТРАЦИЯ РАЙОНА</v>
      </c>
      <c r="B15428" s="24" t="s">
        <v>20373</v>
      </c>
      <c r="C15428" s="25">
        <v>100000</v>
      </c>
      <c r="D15428" s="22" t="s">
        <v>20374</v>
      </c>
      <c r="E15428" s="22" t="s">
        <v>96</v>
      </c>
      <c r="F15428" s="23" t="str">
        <f>HYPERLINK("https://www.spark-marketing.ru/Card/Lot/71641681", "Оказание услуг общественного питания при проведении официальных мероприятий Администрации Хвойнинского муниципального района")</f>
        <v>Оказание услуг общественного питания при проведении официальных мероприятий Администрации Хвойнинского муниципального района</v>
      </c>
      <c r="G15428" s="22" t="s">
        <v>849</v>
      </c>
      <c r="H15428" s="22" t="s">
        <v>20375</v>
      </c>
      <c r="I15428" s="26">
        <v>43641.336805555598</v>
      </c>
      <c r="J15428" s="23" t="str">
        <f>HYPERLINK("https://www.spark-marketing.ru/Card/Person/2330051", "ХВОЙНИНСКОЕ РАЙПО")</f>
        <v>ХВОЙНИНСКОЕ РАЙПО</v>
      </c>
      <c r="K15428" s="24" t="s">
        <v>20376</v>
      </c>
      <c r="L15428" s="22" t="s">
        <v>10</v>
      </c>
      <c r="M15428" s="28" t="s">
        <v>51</v>
      </c>
      <c r="N15428" s="28" t="s">
        <v>51</v>
      </c>
    </row>
    <row r="15429" spans="1:14" x14ac:dyDescent="0.15">
      <c r="A15429" s="23" t="str">
        <f>HYPERLINK("https://www.spark-marketing.ru/Card/Person/6083849", "ГБУК Г. МОСКВЫ ""МКЗ ""ЗАРЯДЬЕ""")</f>
        <v>ГБУК Г. МОСКВЫ "МКЗ "ЗАРЯДЬЕ"</v>
      </c>
      <c r="B15429" s="24" t="s">
        <v>9376</v>
      </c>
      <c r="C15429" s="25">
        <v>165397</v>
      </c>
      <c r="D15429" s="22" t="s">
        <v>20377</v>
      </c>
      <c r="E15429" s="22" t="s">
        <v>136</v>
      </c>
      <c r="F15429" s="23" t="str">
        <f>HYPERLINK("https://www.spark-marketing.ru/Card/Lot/71642237", "Оказание услуг по вывозу и утилизации отработанных элементов питания и ламп для нужд ГБУК г. Москвы «МКЗ «Зарядье».")</f>
        <v>Оказание услуг по вывозу и утилизации отработанных элементов питания и ламп для нужд ГБУК г. Москвы «МКЗ «Зарядье».</v>
      </c>
      <c r="G15429" s="22" t="s">
        <v>56</v>
      </c>
      <c r="H15429" s="22" t="s">
        <v>56</v>
      </c>
      <c r="I15429" s="26">
        <v>43641.337500000001</v>
      </c>
      <c r="J15429" s="28" t="s">
        <v>51</v>
      </c>
      <c r="K15429" s="28" t="s">
        <v>51</v>
      </c>
      <c r="L15429" s="28" t="s">
        <v>51</v>
      </c>
      <c r="M15429" s="28" t="s">
        <v>51</v>
      </c>
      <c r="N15429" s="28" t="s">
        <v>51</v>
      </c>
    </row>
    <row r="15430" spans="1:14" hidden="1" outlineLevel="1" x14ac:dyDescent="0.2">
      <c r="A15430" s="23" t="str">
        <f>HYPERLINK("https://www.spark-marketing.ru/Card/Person/6083849", "ГБУК Г. МОСКВЫ ""МКЗ ""ЗАРЯДЬЕ""")</f>
        <v>ГБУК Г. МОСКВЫ "МКЗ "ЗАРЯДЬЕ"</v>
      </c>
      <c r="B15430" s="24" t="s">
        <v>9376</v>
      </c>
      <c r="C15430" s="25">
        <v>165397</v>
      </c>
      <c r="D15430" s="22" t="s">
        <v>20377</v>
      </c>
      <c r="E15430" s="22" t="s">
        <v>136</v>
      </c>
      <c r="F15430" s="23" t="str">
        <f>HYPERLINK("https://www.spark-marketing.ru/Card/Lot/71642237", "Оказание услуг по вывозу и утилизации отработанных элементов питания и ламп для нужд ГБУК г. Москвы «МКЗ «Зарядье».")</f>
        <v>Оказание услуг по вывозу и утилизации отработанных элементов питания и ламп для нужд ГБУК г. Москвы «МКЗ «Зарядье».</v>
      </c>
      <c r="G15430" s="22" t="s">
        <v>56</v>
      </c>
      <c r="H15430" s="22" t="s">
        <v>56</v>
      </c>
      <c r="I15430" s="26">
        <v>43641.337500000001</v>
      </c>
      <c r="J15430" s="23" t="str">
        <f>HYPERLINK("https://www.spark-marketing.ru/Card/Person/761407", "ООО ""ЭКОСПЕЦСЕРВИС""")</f>
        <v>ООО "ЭКОСПЕЦСЕРВИС"</v>
      </c>
      <c r="K15430" s="24" t="s">
        <v>19782</v>
      </c>
      <c r="L15430" s="28" t="s">
        <v>51</v>
      </c>
      <c r="M15430" s="25">
        <v>119085.71</v>
      </c>
      <c r="N15430" s="27">
        <v>0.28000078598765393</v>
      </c>
    </row>
    <row r="15431" spans="1:14" hidden="1" outlineLevel="1" x14ac:dyDescent="0.2">
      <c r="A15431" s="23" t="str">
        <f>HYPERLINK("https://www.spark-marketing.ru/Card/Person/6083849", "ГБУК Г. МОСКВЫ ""МКЗ ""ЗАРЯДЬЕ""")</f>
        <v>ГБУК Г. МОСКВЫ "МКЗ "ЗАРЯДЬЕ"</v>
      </c>
      <c r="B15431" s="24" t="s">
        <v>9376</v>
      </c>
      <c r="C15431" s="25">
        <v>165397</v>
      </c>
      <c r="D15431" s="22" t="s">
        <v>20377</v>
      </c>
      <c r="E15431" s="22" t="s">
        <v>136</v>
      </c>
      <c r="F15431" s="23" t="str">
        <f>HYPERLINK("https://www.spark-marketing.ru/Card/Lot/71642237", "Оказание услуг по вывозу и утилизации отработанных элементов питания и ламп для нужд ГБУК г. Москвы «МКЗ «Зарядье».")</f>
        <v>Оказание услуг по вывозу и утилизации отработанных элементов питания и ламп для нужд ГБУК г. Москвы «МКЗ «Зарядье».</v>
      </c>
      <c r="G15431" s="22" t="s">
        <v>56</v>
      </c>
      <c r="H15431" s="22" t="s">
        <v>56</v>
      </c>
      <c r="I15431" s="26">
        <v>43641.337500000001</v>
      </c>
      <c r="J15431" s="23" t="str">
        <f>HYPERLINK("https://www.spark-marketing.ru/Card/Person/278046", "ООО ""ЭКОПРОФ""")</f>
        <v>ООО "ЭКОПРОФ"</v>
      </c>
      <c r="K15431" s="24" t="s">
        <v>12792</v>
      </c>
      <c r="L15431" s="28" t="s">
        <v>51</v>
      </c>
      <c r="M15431" s="25">
        <v>160435.06</v>
      </c>
      <c r="N15431" s="27">
        <v>3.0000181381766296E-2</v>
      </c>
    </row>
    <row r="15432" spans="1:14" ht="12.75" hidden="1" outlineLevel="1" x14ac:dyDescent="0.2">
      <c r="A15432" s="23" t="str">
        <f>HYPERLINK("https://www.spark-marketing.ru/Card/Person/6083849", "ГБУК Г. МОСКВЫ ""МКЗ ""ЗАРЯДЬЕ""")</f>
        <v>ГБУК Г. МОСКВЫ "МКЗ "ЗАРЯДЬЕ"</v>
      </c>
      <c r="B15432" s="24" t="s">
        <v>9376</v>
      </c>
      <c r="C15432" s="25">
        <v>165397</v>
      </c>
      <c r="D15432" s="22" t="s">
        <v>20377</v>
      </c>
      <c r="E15432" s="22" t="s">
        <v>136</v>
      </c>
      <c r="F15432" s="23" t="str">
        <f>HYPERLINK("https://www.spark-marketing.ru/Card/Lot/71642237", "Оказание услуг по вывозу и утилизации отработанных элементов питания и ламп для нужд ГБУК г. Москвы «МКЗ «Зарядье».")</f>
        <v>Оказание услуг по вывозу и утилизации отработанных элементов питания и ламп для нужд ГБУК г. Москвы «МКЗ «Зарядье».</v>
      </c>
      <c r="G15432" s="22" t="s">
        <v>56</v>
      </c>
      <c r="H15432" s="22" t="s">
        <v>56</v>
      </c>
      <c r="I15432" s="26">
        <v>43641.337500000001</v>
      </c>
      <c r="J15432" s="23" t="str">
        <f>HYPERLINK("https://www.spark-marketing.ru/Card/Person/4719465", "ООО ""ПК ""ЭКОВТОР""")</f>
        <v>ООО "ПК "ЭКОВТОР"</v>
      </c>
      <c r="K15432" s="24" t="s">
        <v>2465</v>
      </c>
      <c r="L15432" s="22" t="s">
        <v>10</v>
      </c>
      <c r="M15432" s="25">
        <v>118258.72</v>
      </c>
      <c r="N15432" s="27">
        <v>0.28500081621794832</v>
      </c>
    </row>
    <row r="15433" spans="1:14" x14ac:dyDescent="0.15">
      <c r="A15433" s="23" t="str">
        <f>HYPERLINK("https://www.spark-marketing.ru/Card/Person/127314", "ГБУЗ ""ЕПНД""")</f>
        <v>ГБУЗ "ЕПНД"</v>
      </c>
      <c r="B15433" s="24" t="s">
        <v>102</v>
      </c>
      <c r="C15433" s="25">
        <v>2908758</v>
      </c>
      <c r="D15433" s="22" t="s">
        <v>20378</v>
      </c>
      <c r="E15433" s="22" t="s">
        <v>96</v>
      </c>
      <c r="F15433" s="23" t="str">
        <f>HYPERLINK("https://www.spark-marketing.ru/Card/Lot/71645896", "Услуги по обеспечению лечебным питанием")</f>
        <v>Услуги по обеспечению лечебным питанием</v>
      </c>
      <c r="G15433" s="22" t="s">
        <v>104</v>
      </c>
      <c r="H15433" s="22" t="s">
        <v>105</v>
      </c>
      <c r="I15433" s="26">
        <v>43641.370138888902</v>
      </c>
      <c r="J15433" s="23" t="str">
        <f>HYPERLINK("https://www.spark-marketing.ru/Card/Person/4922904", "ООО ""КЕЙТЕРИНГ-ЮГ""")</f>
        <v>ООО "КЕЙТЕРИНГ-ЮГ"</v>
      </c>
      <c r="K15433" s="24" t="s">
        <v>7134</v>
      </c>
      <c r="L15433" s="22" t="s">
        <v>10</v>
      </c>
      <c r="M15433" s="28" t="s">
        <v>51</v>
      </c>
      <c r="N15433" s="28" t="s">
        <v>51</v>
      </c>
    </row>
    <row r="15434" spans="1:14" x14ac:dyDescent="0.15">
      <c r="A15434" s="23" t="str">
        <f>HYPERLINK("https://www.spark-marketing.ru/Card/Person/150419", "ОМВД РОССИИ ПО Г. КРАСНОКАМЕНСКУ И КРАСНОКАМЕНСКОМУ РАЙОНУ")</f>
        <v>ОМВД РОССИИ ПО Г. КРАСНОКАМЕНСКУ И КРАСНОКАМЕНСКОМУ РАЙОНУ</v>
      </c>
      <c r="B15434" s="24" t="s">
        <v>16732</v>
      </c>
      <c r="C15434" s="25">
        <v>1099991.8799999999</v>
      </c>
      <c r="D15434" s="22" t="s">
        <v>20379</v>
      </c>
      <c r="E15434" s="22" t="s">
        <v>48</v>
      </c>
      <c r="F15434" s="23" t="str">
        <f>HYPERLINK("https://www.spark-marketing.ru/Card/Lot/71635056", "Оказание услуг по приготовлению горячего питания для лиц административно арестованных, подозреваемых и обвиняемых, содержащихся в КСЗЛ и изоляторе временного содержания")</f>
        <v>Оказание услуг по приготовлению горячего питания для лиц административно арестованных, подозреваемых и обвиняемых, содержащихся в КСЗЛ и изоляторе временного содержания</v>
      </c>
      <c r="G15434" s="22" t="s">
        <v>228</v>
      </c>
      <c r="H15434" s="22" t="s">
        <v>228</v>
      </c>
      <c r="I15434" s="26">
        <v>43641.359722222202</v>
      </c>
      <c r="J15434" s="23" t="str">
        <f>HYPERLINK("https://www.spark-marketing.ru/Card/Person/652310", "ФКУ ИК-10 УФСИН РОССИИ ПО ЗАБАЙКАЛЬСКОМУ КРАЮ")</f>
        <v>ФКУ ИК-10 УФСИН РОССИИ ПО ЗАБАЙКАЛЬСКОМУ КРАЮ</v>
      </c>
      <c r="K15434" s="24" t="s">
        <v>16734</v>
      </c>
      <c r="L15434" s="22" t="s">
        <v>10</v>
      </c>
      <c r="M15434" s="28" t="s">
        <v>51</v>
      </c>
      <c r="N15434" s="28" t="s">
        <v>51</v>
      </c>
    </row>
    <row r="15435" spans="1:14" x14ac:dyDescent="0.15">
      <c r="A15435" s="23" t="str">
        <f>HYPERLINK("https://www.spark-marketing.ru/Card/Person/1072578", "ОМВД РОССИИ ПО ШИРИНСКОМУ РАЙОНУ")</f>
        <v>ОМВД РОССИИ ПО ШИРИНСКОМУ РАЙОНУ</v>
      </c>
      <c r="B15435" s="24" t="s">
        <v>7859</v>
      </c>
      <c r="C15435" s="25">
        <v>425600</v>
      </c>
      <c r="D15435" s="22" t="s">
        <v>20380</v>
      </c>
      <c r="E15435" s="22" t="s">
        <v>48</v>
      </c>
      <c r="F15435" s="23" t="str">
        <f>HYPERLINK("https://www.spark-marketing.ru/Card/Lot/71636639", "Оказание услуг по организации готового трехразового питания для лиц, содержащихся в ИВС")</f>
        <v>Оказание услуг по организации готового трехразового питания для лиц, содержащихся в ИВС</v>
      </c>
      <c r="G15435" s="22" t="s">
        <v>92</v>
      </c>
      <c r="H15435" s="22" t="s">
        <v>1336</v>
      </c>
      <c r="I15435" s="26">
        <v>43641.336111111101</v>
      </c>
      <c r="J15435" s="23" t="str">
        <f>HYPERLINK("https://www.spark-marketing.ru/Card/Person/1645831", "ПО ""ЦЕНТР""")</f>
        <v>ПО "ЦЕНТР"</v>
      </c>
      <c r="K15435" s="24" t="s">
        <v>7861</v>
      </c>
      <c r="L15435" s="22" t="s">
        <v>10</v>
      </c>
      <c r="M15435" s="28" t="s">
        <v>51</v>
      </c>
      <c r="N15435" s="28" t="s">
        <v>51</v>
      </c>
    </row>
    <row r="15436" spans="1:14" x14ac:dyDescent="0.15">
      <c r="A15436" s="23" t="str">
        <f>HYPERLINK("https://www.spark-marketing.ru/Card/Person/4343663", "МИНЗДРАВ АЛТАЙСКОГО КРАЯ")</f>
        <v>МИНЗДРАВ АЛТАЙСКОГО КРАЯ</v>
      </c>
      <c r="B15436" s="24" t="s">
        <v>9429</v>
      </c>
      <c r="C15436" s="25">
        <v>50460</v>
      </c>
      <c r="D15436" s="22" t="s">
        <v>20381</v>
      </c>
      <c r="E15436" s="22" t="s">
        <v>336</v>
      </c>
      <c r="F15436" s="23" t="str">
        <f>HYPERLINK("https://www.spark-marketing.ru/Card/Lot/71638909",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5436" s="22" t="s">
        <v>63</v>
      </c>
      <c r="H15436" s="22" t="s">
        <v>177</v>
      </c>
      <c r="I15436" s="26">
        <v>43641.318749999999</v>
      </c>
      <c r="J15436" s="28" t="s">
        <v>51</v>
      </c>
      <c r="K15436" s="28" t="s">
        <v>51</v>
      </c>
      <c r="L15436" s="28" t="s">
        <v>51</v>
      </c>
      <c r="M15436" s="28" t="s">
        <v>51</v>
      </c>
      <c r="N15436" s="28" t="s">
        <v>51</v>
      </c>
    </row>
    <row r="15437" spans="1:14" x14ac:dyDescent="0.15">
      <c r="A15437" s="23" t="str">
        <f>HYPERLINK("https://www.spark-marketing.ru/Card/Person/905066", "КГБУ ДО ""АЛТАЙСКИЙ КРАЕВОЙ ДЕТСКИЙ ЭКОЛОГИЧЕСКИЙ ЦЕНТР""")</f>
        <v>КГБУ ДО "АЛТАЙСКИЙ КРАЕВОЙ ДЕТСКИЙ ЭКОЛОГИЧЕСКИЙ ЦЕНТР"</v>
      </c>
      <c r="B15437" s="24" t="s">
        <v>10003</v>
      </c>
      <c r="C15437" s="25">
        <v>8118</v>
      </c>
      <c r="D15437" s="22" t="s">
        <v>20382</v>
      </c>
      <c r="E15437" s="22" t="s">
        <v>7386</v>
      </c>
      <c r="F15437" s="23" t="str">
        <f>HYPERLINK("https://www.spark-marketing.ru/Card/Lot/71637948",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5437" s="22" t="s">
        <v>63</v>
      </c>
      <c r="H15437" s="22" t="s">
        <v>177</v>
      </c>
      <c r="I15437" s="26">
        <v>43641.304861111101</v>
      </c>
      <c r="J15437" s="28" t="s">
        <v>51</v>
      </c>
      <c r="K15437" s="28" t="s">
        <v>51</v>
      </c>
      <c r="L15437" s="28" t="s">
        <v>51</v>
      </c>
      <c r="M15437" s="28" t="s">
        <v>51</v>
      </c>
      <c r="N15437" s="28" t="s">
        <v>51</v>
      </c>
    </row>
    <row r="15438" spans="1:14" x14ac:dyDescent="0.2">
      <c r="A15438" s="23" t="str">
        <f>HYPERLINK("https://www.spark-marketing.ru/Card/Person/257319", "МБУ СШ АЛЬКЕЕВСКОГО МР РТ")</f>
        <v>МБУ СШ АЛЬКЕЕВСКОГО МР РТ</v>
      </c>
      <c r="B15438" s="24" t="s">
        <v>20383</v>
      </c>
      <c r="C15438" s="25">
        <v>44100</v>
      </c>
      <c r="D15438" s="22" t="s">
        <v>20384</v>
      </c>
      <c r="E15438" s="22" t="s">
        <v>52</v>
      </c>
      <c r="F15438" s="23" t="str">
        <f>HYPERLINK("https://www.spark-marketing.ru/Card/Lot/73759848", "Услуги по организации питания")</f>
        <v>Услуги по организации питания</v>
      </c>
      <c r="G15438" s="22" t="s">
        <v>217</v>
      </c>
      <c r="H15438" s="22" t="s">
        <v>10375</v>
      </c>
      <c r="I15438" s="26">
        <v>43641.4152777778</v>
      </c>
      <c r="J15438" s="28" t="s">
        <v>51</v>
      </c>
      <c r="K15438" s="28" t="s">
        <v>51</v>
      </c>
      <c r="L15438" s="28" t="s">
        <v>51</v>
      </c>
      <c r="M15438" s="25">
        <v>44090</v>
      </c>
      <c r="N15438" s="27">
        <v>2.2675736961451248E-4</v>
      </c>
    </row>
    <row r="15439" spans="1:14" x14ac:dyDescent="0.15">
      <c r="A15439" s="23" t="str">
        <f>HYPERLINK("https://www.spark-marketing.ru/Card/Person/1765731", "МАОУ ""СОШ № 4""")</f>
        <v>МАОУ "СОШ № 4"</v>
      </c>
      <c r="B15439" s="24" t="s">
        <v>20385</v>
      </c>
      <c r="C15439" s="25">
        <v>3500000</v>
      </c>
      <c r="D15439" s="22" t="s">
        <v>20386</v>
      </c>
      <c r="E15439" s="22" t="s">
        <v>362</v>
      </c>
      <c r="F15439" s="23" t="str">
        <f>HYPERLINK("https://www.spark-marketing.ru/Card/Lot/71628468", "Услуги по обеспечению питания по договору на оказание услуг по организации питания")</f>
        <v>Услуги по обеспечению питания по договору на оказание услуг по организации питания</v>
      </c>
      <c r="G15439" s="22" t="s">
        <v>766</v>
      </c>
      <c r="H15439" s="22" t="s">
        <v>766</v>
      </c>
      <c r="I15439" s="26">
        <v>43640.963506944398</v>
      </c>
      <c r="J15439" s="28" t="s">
        <v>51</v>
      </c>
      <c r="K15439" s="28" t="s">
        <v>51</v>
      </c>
      <c r="L15439" s="28" t="s">
        <v>51</v>
      </c>
      <c r="M15439" s="28" t="s">
        <v>51</v>
      </c>
      <c r="N15439" s="28" t="s">
        <v>51</v>
      </c>
    </row>
    <row r="15440" spans="1:14" x14ac:dyDescent="0.15">
      <c r="A15440" s="23" t="str">
        <f>HYPERLINK("https://www.spark-marketing.ru/Card/Person/1682238", "АО РАОС, АО ""РУСАТОМ ОВЕРСИЗ""")</f>
        <v>АО РАОС, АО "РУСАТОМ ОВЕРСИЗ"</v>
      </c>
      <c r="B15440" s="24" t="s">
        <v>20014</v>
      </c>
      <c r="C15440" s="25">
        <v>131178.70395</v>
      </c>
      <c r="D15440" s="22" t="s">
        <v>20387</v>
      </c>
      <c r="E15440" s="22" t="s">
        <v>362</v>
      </c>
      <c r="F15440" s="23" t="str">
        <f>HYPERLINK("https://www.spark-marketing.ru/Card/Lot/71623250", "Оказание услуг столовой по обеспечению питанием работников НУКЕМ Технолоджис Сейлз Интернешнл, независимого филиала АО РАОС")</f>
        <v>Оказание услуг столовой по обеспечению питанием работников НУКЕМ Технолоджис Сейлз Интернешнл, независимого филиала АО РАОС</v>
      </c>
      <c r="G15440" s="22" t="s">
        <v>56</v>
      </c>
      <c r="H15440" s="22" t="s">
        <v>56</v>
      </c>
      <c r="I15440" s="26">
        <v>43640.755601851903</v>
      </c>
      <c r="J15440" s="28" t="s">
        <v>51</v>
      </c>
      <c r="K15440" s="28" t="s">
        <v>51</v>
      </c>
      <c r="L15440" s="28" t="s">
        <v>51</v>
      </c>
      <c r="M15440" s="28" t="s">
        <v>51</v>
      </c>
      <c r="N15440" s="28" t="s">
        <v>51</v>
      </c>
    </row>
    <row r="15441" spans="1:14" x14ac:dyDescent="0.15">
      <c r="A15441" s="23" t="str">
        <f>HYPERLINK("https://www.spark-marketing.ru/Card/Person/1014273", "ФБУЗ ""ЦЕНТР ГИГИЕНИЧЕСКОГО ОБРАЗОВАНИЯ НАСЕЛЕНИЯ"" РОСПОТРЕБНАДЗОРА")</f>
        <v>ФБУЗ "ЦЕНТР ГИГИЕНИЧЕСКОГО ОБРАЗОВАНИЯ НАСЕЛЕНИЯ" РОСПОТРЕБНАДЗОРА</v>
      </c>
      <c r="B15441" s="24" t="s">
        <v>20388</v>
      </c>
      <c r="C15441" s="25">
        <v>2748933.33</v>
      </c>
      <c r="D15441" s="22" t="s">
        <v>20389</v>
      </c>
      <c r="E15441" s="22" t="s">
        <v>388</v>
      </c>
      <c r="F15441" s="23" t="str">
        <f>HYPERLINK("https://www.spark-marketing.ru/Card/Lot/71632565", "Оказание услуг по разработке информационной концепции и плана реализации информационно-коммуникационной кампании с использованием основных телекоммуникационных каналов для всех целевых аудиторий для формирования системы мотивации граждан к здоровому ...")</f>
        <v>Оказание услуг по разработке информационной концепции и плана реализации информационно-коммуникационной кампании с использованием основных телекоммуникационных каналов для всех целевых аудиторий для формирования системы мотивации граждан к здоровому ...</v>
      </c>
      <c r="G15441" s="22" t="s">
        <v>56</v>
      </c>
      <c r="H15441" s="22" t="s">
        <v>56</v>
      </c>
      <c r="I15441" s="26">
        <v>43640.761307870402</v>
      </c>
      <c r="J15441" s="28" t="s">
        <v>51</v>
      </c>
      <c r="K15441" s="28" t="s">
        <v>51</v>
      </c>
      <c r="L15441" s="28" t="s">
        <v>51</v>
      </c>
      <c r="M15441" s="28" t="s">
        <v>51</v>
      </c>
      <c r="N15441" s="28" t="s">
        <v>51</v>
      </c>
    </row>
    <row r="15442" spans="1:14" hidden="1" outlineLevel="1" x14ac:dyDescent="0.2">
      <c r="A15442" s="23" t="str">
        <f>HYPERLINK("https://www.spark-marketing.ru/Card/Person/1014273", "ФБУЗ ""ЦЕНТР ГИГИЕНИЧЕСКОГО ОБРАЗОВАНИЯ НАСЕЛЕНИЯ"" РОСПОТРЕБНАДЗОРА")</f>
        <v>ФБУЗ "ЦЕНТР ГИГИЕНИЧЕСКОГО ОБРАЗОВАНИЯ НАСЕЛЕНИЯ" РОСПОТРЕБНАДЗОРА</v>
      </c>
      <c r="B15442" s="24" t="s">
        <v>20388</v>
      </c>
      <c r="C15442" s="25">
        <v>2748933.33</v>
      </c>
      <c r="D15442" s="22" t="s">
        <v>20389</v>
      </c>
      <c r="E15442" s="22" t="s">
        <v>388</v>
      </c>
      <c r="F15442" s="23" t="str">
        <f>HYPERLINK("https://www.spark-marketing.ru/Card/Lot/71632565", "Оказание услуг по разработке информационной концепции и плана реализации информационно-коммуникационной кампании с использованием основных телекоммуникационных каналов для всех целевых аудиторий для формирования системы мотивации граждан к здоровому ...")</f>
        <v>Оказание услуг по разработке информационной концепции и плана реализации информационно-коммуникационной кампании с использованием основных телекоммуникационных каналов для всех целевых аудиторий для формирования системы мотивации граждан к здоровому ...</v>
      </c>
      <c r="G15442" s="22" t="s">
        <v>56</v>
      </c>
      <c r="H15442" s="22" t="s">
        <v>56</v>
      </c>
      <c r="I15442" s="26">
        <v>43640.761307870402</v>
      </c>
      <c r="J15442" s="23" t="str">
        <f>HYPERLINK("https://www.spark-marketing.ru/Card/Person/4705888", "ООО ""ЦЕНТР РАЗВИТИЯ КОММУНИКАЦИОННЫХ ТЕХНОЛОГИЙ""")</f>
        <v>ООО "ЦЕНТР РАЗВИТИЯ КОММУНИКАЦИОННЫХ ТЕХНОЛОГИЙ"</v>
      </c>
      <c r="K15442" s="24" t="s">
        <v>20390</v>
      </c>
      <c r="L15442" s="28" t="s">
        <v>51</v>
      </c>
      <c r="M15442" s="25">
        <v>2671444</v>
      </c>
      <c r="N15442" s="27">
        <v>2.8188872081521162E-2</v>
      </c>
    </row>
    <row r="15443" spans="1:14" ht="12.75" hidden="1" outlineLevel="1" x14ac:dyDescent="0.2">
      <c r="A15443" s="23" t="str">
        <f>HYPERLINK("https://www.spark-marketing.ru/Card/Person/1014273", "ФБУЗ ""ЦЕНТР ГИГИЕНИЧЕСКОГО ОБРАЗОВАНИЯ НАСЕЛЕНИЯ"" РОСПОТРЕБНАДЗОРА")</f>
        <v>ФБУЗ "ЦЕНТР ГИГИЕНИЧЕСКОГО ОБРАЗОВАНИЯ НАСЕЛЕНИЯ" РОСПОТРЕБНАДЗОРА</v>
      </c>
      <c r="B15443" s="24" t="s">
        <v>20388</v>
      </c>
      <c r="C15443" s="25">
        <v>2748933.33</v>
      </c>
      <c r="D15443" s="22" t="s">
        <v>20389</v>
      </c>
      <c r="E15443" s="22" t="s">
        <v>388</v>
      </c>
      <c r="F15443" s="23" t="str">
        <f>HYPERLINK("https://www.spark-marketing.ru/Card/Lot/71632565", "Оказание услуг по разработке информационной концепции и плана реализации информационно-коммуникационной кампании с использованием основных телекоммуникационных каналов для всех целевых аудиторий для формирования системы мотивации граждан к здоровому ...")</f>
        <v>Оказание услуг по разработке информационной концепции и плана реализации информационно-коммуникационной кампании с использованием основных телекоммуникационных каналов для всех целевых аудиторий для формирования системы мотивации граждан к здоровому ...</v>
      </c>
      <c r="G15443" s="22" t="s">
        <v>56</v>
      </c>
      <c r="H15443" s="22" t="s">
        <v>56</v>
      </c>
      <c r="I15443" s="26">
        <v>43640.761307870402</v>
      </c>
      <c r="J15443" s="23" t="str">
        <f>HYPERLINK("https://www.spark-marketing.ru/Card/Person/77318", "ООО КА ""ИМА-ПРЕСС""")</f>
        <v>ООО КА "ИМА-ПРЕСС"</v>
      </c>
      <c r="K15443" s="24" t="s">
        <v>20391</v>
      </c>
      <c r="L15443" s="22" t="s">
        <v>10</v>
      </c>
      <c r="M15443" s="25">
        <v>2500000</v>
      </c>
      <c r="N15443" s="27">
        <v>9.0556335900660062E-2</v>
      </c>
    </row>
    <row r="15444" spans="1:14" hidden="1" outlineLevel="1" x14ac:dyDescent="0.2">
      <c r="A15444" s="23" t="str">
        <f>HYPERLINK("https://www.spark-marketing.ru/Card/Person/1014273", "ФБУЗ ""ЦЕНТР ГИГИЕНИЧЕСКОГО ОБРАЗОВАНИЯ НАСЕЛЕНИЯ"" РОСПОТРЕБНАДЗОРА")</f>
        <v>ФБУЗ "ЦЕНТР ГИГИЕНИЧЕСКОГО ОБРАЗОВАНИЯ НАСЕЛЕНИЯ" РОСПОТРЕБНАДЗОРА</v>
      </c>
      <c r="B15444" s="24" t="s">
        <v>20388</v>
      </c>
      <c r="C15444" s="25">
        <v>2748933.33</v>
      </c>
      <c r="D15444" s="22" t="s">
        <v>20389</v>
      </c>
      <c r="E15444" s="22" t="s">
        <v>388</v>
      </c>
      <c r="F15444" s="23" t="str">
        <f>HYPERLINK("https://www.spark-marketing.ru/Card/Lot/71632565", "Оказание услуг по разработке информационной концепции и плана реализации информационно-коммуникационной кампании с использованием основных телекоммуникационных каналов для всех целевых аудиторий для формирования системы мотивации граждан к здоровому ...")</f>
        <v>Оказание услуг по разработке информационной концепции и плана реализации информационно-коммуникационной кампании с использованием основных телекоммуникационных каналов для всех целевых аудиторий для формирования системы мотивации граждан к здоровому ...</v>
      </c>
      <c r="G15444" s="22" t="s">
        <v>56</v>
      </c>
      <c r="H15444" s="22" t="s">
        <v>56</v>
      </c>
      <c r="I15444" s="26">
        <v>43640.761307870402</v>
      </c>
      <c r="J15444" s="23" t="str">
        <f>HYPERLINK("https://www.spark-marketing.ru/Card/Person/36519", "ООО ""ЦЕНТР НАУЧНЫХ ИССЛЕДОВАНИЙ И ПЕРСПЕКТИВНЫХ РАЗРАБОТОК""")</f>
        <v>ООО "ЦЕНТР НАУЧНЫХ ИССЛЕДОВАНИЙ И ПЕРСПЕКТИВНЫХ РАЗРАБОТОК"</v>
      </c>
      <c r="K15444" s="24" t="s">
        <v>20392</v>
      </c>
      <c r="L15444" s="28" t="s">
        <v>51</v>
      </c>
      <c r="M15444" s="25">
        <v>2748933</v>
      </c>
      <c r="N15444" s="27">
        <v>1.2004656366111286E-7</v>
      </c>
    </row>
    <row r="15445" spans="1:14" x14ac:dyDescent="0.15">
      <c r="A15445" s="23" t="str">
        <f>HYPERLINK("https://www.spark-marketing.ru/Card/Person/4376923", "ОМВД РОССИИ ПО ЧУНСКОМУ РАЙОНУ")</f>
        <v>ОМВД РОССИИ ПО ЧУНСКОМУ РАЙОНУ</v>
      </c>
      <c r="B15445" s="24" t="s">
        <v>18538</v>
      </c>
      <c r="C15445" s="25">
        <v>803730</v>
      </c>
      <c r="D15445" s="22" t="s">
        <v>20393</v>
      </c>
      <c r="E15445" s="22" t="s">
        <v>48</v>
      </c>
      <c r="F15445" s="23" t="str">
        <f>HYPERLINK("https://www.spark-marketing.ru/Card/Lot/71615655", "Прочая закупка товаров, работ и услуг (услуги по организации комплексного питания для лиц, содержащихся в изоляторе временного содержания подозреваемых и обвиняемых)")</f>
        <v>Прочая закупка товаров, работ и услуг (услуги по организации комплексного питания для лиц, содержащихся в изоляторе временного содержания подозреваемых и обвиняемых)</v>
      </c>
      <c r="G15445" s="22" t="s">
        <v>263</v>
      </c>
      <c r="H15445" s="22" t="s">
        <v>263</v>
      </c>
      <c r="I15445" s="26">
        <v>43640.783333333296</v>
      </c>
      <c r="J15445" s="28" t="s">
        <v>51</v>
      </c>
      <c r="K15445" s="28" t="s">
        <v>51</v>
      </c>
      <c r="L15445" s="28" t="s">
        <v>51</v>
      </c>
      <c r="M15445" s="28" t="s">
        <v>51</v>
      </c>
      <c r="N15445" s="28" t="s">
        <v>51</v>
      </c>
    </row>
    <row r="15446" spans="1:14" hidden="1" outlineLevel="1" x14ac:dyDescent="0.2">
      <c r="A15446" s="23" t="str">
        <f>HYPERLINK("https://www.spark-marketing.ru/Card/Person/4376923", "ОМВД РОССИИ ПО ЧУНСКОМУ РАЙОНУ")</f>
        <v>ОМВД РОССИИ ПО ЧУНСКОМУ РАЙОНУ</v>
      </c>
      <c r="B15446" s="24" t="s">
        <v>18538</v>
      </c>
      <c r="C15446" s="25">
        <v>803730</v>
      </c>
      <c r="D15446" s="22" t="s">
        <v>20393</v>
      </c>
      <c r="E15446" s="22" t="s">
        <v>48</v>
      </c>
      <c r="F15446" s="23" t="str">
        <f>HYPERLINK("https://www.spark-marketing.ru/Card/Lot/71615655", "Прочая закупка товаров, работ и услуг (услуги по организации комплексного питания для лиц, содержащихся в изоляторе временного содержания подозреваемых и обвиняемых)")</f>
        <v>Прочая закупка товаров, работ и услуг (услуги по организации комплексного питания для лиц, содержащихся в изоляторе временного содержания подозреваемых и обвиняемых)</v>
      </c>
      <c r="G15446" s="22" t="s">
        <v>263</v>
      </c>
      <c r="H15446" s="22" t="s">
        <v>263</v>
      </c>
      <c r="I15446" s="26">
        <v>43640.783333333296</v>
      </c>
      <c r="J15446" s="23" t="str">
        <f>HYPERLINK("https://www.spark-marketing.ru/Card/Person/6624535", "Натаров Антон Александрович")</f>
        <v>Натаров Антон Александрович</v>
      </c>
      <c r="K15446" s="24" t="s">
        <v>20394</v>
      </c>
      <c r="L15446" s="28" t="s">
        <v>51</v>
      </c>
      <c r="M15446" s="25">
        <v>763543.5</v>
      </c>
      <c r="N15446" s="27">
        <v>0.05</v>
      </c>
    </row>
    <row r="15447" spans="1:14" ht="12.75" hidden="1" outlineLevel="1" x14ac:dyDescent="0.2">
      <c r="A15447" s="23" t="str">
        <f>HYPERLINK("https://www.spark-marketing.ru/Card/Person/4376923", "ОМВД РОССИИ ПО ЧУНСКОМУ РАЙОНУ")</f>
        <v>ОМВД РОССИИ ПО ЧУНСКОМУ РАЙОНУ</v>
      </c>
      <c r="B15447" s="24" t="s">
        <v>18538</v>
      </c>
      <c r="C15447" s="25">
        <v>803730</v>
      </c>
      <c r="D15447" s="22" t="s">
        <v>20393</v>
      </c>
      <c r="E15447" s="22" t="s">
        <v>48</v>
      </c>
      <c r="F15447" s="23" t="str">
        <f>HYPERLINK("https://www.spark-marketing.ru/Card/Lot/71615655", "Прочая закупка товаров, работ и услуг (услуги по организации комплексного питания для лиц, содержащихся в изоляторе временного содержания подозреваемых и обвиняемых)")</f>
        <v>Прочая закупка товаров, работ и услуг (услуги по организации комплексного питания для лиц, содержащихся в изоляторе временного содержания подозреваемых и обвиняемых)</v>
      </c>
      <c r="G15447" s="22" t="s">
        <v>263</v>
      </c>
      <c r="H15447" s="22" t="s">
        <v>263</v>
      </c>
      <c r="I15447" s="26">
        <v>43640.783333333296</v>
      </c>
      <c r="J15447" s="23" t="str">
        <f>HYPERLINK("https://www.spark-marketing.ru/Card/Person/306298", "ООО ""ВИННЫЙ ПОГРЕБОК - ДОЛИНА ГРЕЗ""")</f>
        <v>ООО "ВИННЫЙ ПОГРЕБОК - ДОЛИНА ГРЕЗ"</v>
      </c>
      <c r="K15447" s="24" t="s">
        <v>18540</v>
      </c>
      <c r="L15447" s="22" t="s">
        <v>10</v>
      </c>
      <c r="M15447" s="25">
        <v>763543.5</v>
      </c>
      <c r="N15447" s="27">
        <v>0.05</v>
      </c>
    </row>
    <row r="15448" spans="1:14" x14ac:dyDescent="0.15">
      <c r="A15448" s="23" t="str">
        <f>HYPERLINK("https://www.spark-marketing.ru/Card/Person/102694", "МУ МВД РОССИИ ""ИРКУТСКОЕ""")</f>
        <v>МУ МВД РОССИИ "ИРКУТСКОЕ"</v>
      </c>
      <c r="B15448" s="24" t="s">
        <v>2766</v>
      </c>
      <c r="C15448" s="25">
        <v>900000</v>
      </c>
      <c r="D15448" s="22" t="s">
        <v>20395</v>
      </c>
      <c r="E15448" s="22" t="s">
        <v>48</v>
      </c>
      <c r="F15448" s="23" t="str">
        <f>HYPERLINK("https://www.spark-marketing.ru/Card/Lot/71615663", "Прочая закупка товаров, работ и услуг (оказание услуг по организации комплексного питания для лиц, содержащихся в специальном приемнике для содержания лиц, подвергнутых административному аресту МУ МВД России «Иркутское»)")</f>
        <v>Прочая закупка товаров, работ и услуг (оказание услуг по организации комплексного питания для лиц, содержащихся в специальном приемнике для содержания лиц, подвергнутых административному аресту МУ МВД России «Иркутское»)</v>
      </c>
      <c r="G15448" s="22" t="s">
        <v>263</v>
      </c>
      <c r="H15448" s="22" t="s">
        <v>2768</v>
      </c>
      <c r="I15448" s="26">
        <v>43640.772916666698</v>
      </c>
      <c r="J15448" s="28" t="s">
        <v>51</v>
      </c>
      <c r="K15448" s="28" t="s">
        <v>51</v>
      </c>
      <c r="L15448" s="28" t="s">
        <v>51</v>
      </c>
      <c r="M15448" s="28" t="s">
        <v>51</v>
      </c>
      <c r="N15448" s="28" t="s">
        <v>51</v>
      </c>
    </row>
    <row r="15449" spans="1:14" x14ac:dyDescent="0.2">
      <c r="A15449" s="23" t="str">
        <f>HYPERLINK("https://www.spark-marketing.ru/Card/Person/123695", "АО ""ЛИИ ИМ.М.М.ГРОМОВА""")</f>
        <v>АО "ЛИИ ИМ.М.М.ГРОМОВА"</v>
      </c>
      <c r="B15449" s="24" t="s">
        <v>20396</v>
      </c>
      <c r="C15449" s="25">
        <v>4125000</v>
      </c>
      <c r="D15449" s="22" t="s">
        <v>20397</v>
      </c>
      <c r="E15449" s="22" t="s">
        <v>580</v>
      </c>
      <c r="F15449" s="23" t="str">
        <f>HYPERLINK("https://www.spark-marketing.ru/Card/Lot/71625467", "Оказание услуг общественного питания для проживающих в гостинице ""Стрела""")</f>
        <v>Оказание услуг общественного питания для проживающих в гостинице "Стрела"</v>
      </c>
      <c r="G15449" s="22" t="s">
        <v>49</v>
      </c>
      <c r="H15449" s="22" t="s">
        <v>207</v>
      </c>
      <c r="I15449" s="26">
        <v>43640.786134259302</v>
      </c>
      <c r="J15449" s="28" t="s">
        <v>51</v>
      </c>
      <c r="K15449" s="28" t="s">
        <v>51</v>
      </c>
      <c r="L15449" s="22" t="s">
        <v>10</v>
      </c>
      <c r="M15449" s="25">
        <v>165</v>
      </c>
      <c r="N15449" s="27">
        <v>0.99995999999999996</v>
      </c>
    </row>
    <row r="15450" spans="1:14" x14ac:dyDescent="0.15">
      <c r="A15450" s="23" t="str">
        <f>HYPERLINK("https://www.spark-marketing.ru/Card/Person/125017", "ФГАОУ ВО ""СЕВЕРО-ВОСТОЧНЫЙ ФЕДЕРАЛЬНЫЙ УНИВЕРСИТЕТ ИМ. М.К. АММОСОВА"" СЕВЕРО-ВОСТОЧНЫЙ ФЕДЕРАЛЬНЫЙ УНИВЕРСИТЕТ СВФУ")</f>
        <v>ФГАОУ ВО "СЕВЕРО-ВОСТОЧНЫЙ ФЕДЕРАЛЬНЫЙ УНИВЕРСИТЕТ ИМ. М.К. АММОСОВА" СЕВЕРО-ВОСТОЧНЫЙ ФЕДЕРАЛЬНЫЙ УНИВЕРСИТЕТ СВФУ</v>
      </c>
      <c r="B15450" s="24" t="s">
        <v>15138</v>
      </c>
      <c r="C15450" s="25">
        <v>327500</v>
      </c>
      <c r="D15450" s="22" t="s">
        <v>20398</v>
      </c>
      <c r="E15450" s="22" t="s">
        <v>580</v>
      </c>
      <c r="F15450" s="23" t="str">
        <f>HYPERLINK("https://www.spark-marketing.ru/Card/Lot/71608907", "Оказание услуг по организации питания участников мероприятий")</f>
        <v>Оказание услуг по организации питания участников мероприятий</v>
      </c>
      <c r="G15450" s="22" t="s">
        <v>241</v>
      </c>
      <c r="H15450" s="22" t="s">
        <v>241</v>
      </c>
      <c r="I15450" s="26">
        <v>43640.765451388899</v>
      </c>
      <c r="J15450" s="28" t="s">
        <v>51</v>
      </c>
      <c r="K15450" s="28" t="s">
        <v>51</v>
      </c>
      <c r="L15450" s="28" t="s">
        <v>51</v>
      </c>
      <c r="M15450" s="28" t="s">
        <v>51</v>
      </c>
      <c r="N15450" s="28" t="s">
        <v>51</v>
      </c>
    </row>
    <row r="15451" spans="1:14" x14ac:dyDescent="0.15">
      <c r="A15451" s="23" t="str">
        <f>HYPERLINK("https://www.spark-marketing.ru/Card/Person/102694", "МУ МВД РОССИИ ""ИРКУТСКОЕ""")</f>
        <v>МУ МВД РОССИИ "ИРКУТСКОЕ"</v>
      </c>
      <c r="B15451" s="24" t="s">
        <v>2766</v>
      </c>
      <c r="C15451" s="25">
        <v>119548</v>
      </c>
      <c r="D15451" s="22" t="s">
        <v>20399</v>
      </c>
      <c r="E15451" s="22" t="s">
        <v>96</v>
      </c>
      <c r="F15451" s="23" t="str">
        <f>HYPERLINK("https://www.spark-marketing.ru/Card/Lot/71629034", "Приобретение продуктовых наборов питания для задержанных на срок более трех часов, содержащихся в ДЧ территориальных отделов полиции МУ МВД России «Иркутское», прочая закупка товаров, работ, услуг")</f>
        <v>Приобретение продуктовых наборов питания для задержанных на срок более трех часов, содержащихся в ДЧ территориальных отделов полиции МУ МВД России «Иркутское», прочая закупка товаров, работ, услуг</v>
      </c>
      <c r="G15451" s="22" t="s">
        <v>263</v>
      </c>
      <c r="H15451" s="22" t="s">
        <v>2768</v>
      </c>
      <c r="I15451" s="26">
        <v>43640.771527777797</v>
      </c>
      <c r="J15451" s="28" t="s">
        <v>51</v>
      </c>
      <c r="K15451" s="28" t="s">
        <v>51</v>
      </c>
      <c r="L15451" s="28" t="s">
        <v>51</v>
      </c>
      <c r="M15451" s="28" t="s">
        <v>51</v>
      </c>
      <c r="N15451" s="28" t="s">
        <v>51</v>
      </c>
    </row>
    <row r="15452" spans="1:14" x14ac:dyDescent="0.15">
      <c r="A15452" s="23" t="str">
        <f>HYPERLINK("https://www.spark-marketing.ru/Card/Person/102694", "МУ МВД РОССИИ ""ИРКУТСКОЕ""")</f>
        <v>МУ МВД РОССИИ "ИРКУТСКОЕ"</v>
      </c>
      <c r="B15452" s="24" t="s">
        <v>2766</v>
      </c>
      <c r="C15452" s="25">
        <v>320000</v>
      </c>
      <c r="D15452" s="22" t="s">
        <v>20400</v>
      </c>
      <c r="E15452" s="22" t="s">
        <v>48</v>
      </c>
      <c r="F15452" s="23" t="str">
        <f>HYPERLINK("https://www.spark-marketing.ru/Card/Lot/71631105", "Прочая закупка товаров, работ и услуг (оказание услуг по организации комплексного питания для лиц, содержащихся в изоляторе временного содержания подозреваемых и обвиняемых МУ МВД России «Иркутское»)")</f>
        <v>Прочая закупка товаров, работ и услуг (оказание услуг по организации комплексного питания для лиц, содержащихся в изоляторе временного содержания подозреваемых и обвиняемых МУ МВД России «Иркутское»)</v>
      </c>
      <c r="G15452" s="22" t="s">
        <v>263</v>
      </c>
      <c r="H15452" s="22" t="s">
        <v>2768</v>
      </c>
      <c r="I15452" s="26">
        <v>43640.772916666698</v>
      </c>
      <c r="J15452" s="28" t="s">
        <v>51</v>
      </c>
      <c r="K15452" s="28" t="s">
        <v>51</v>
      </c>
      <c r="L15452" s="28" t="s">
        <v>51</v>
      </c>
      <c r="M15452" s="28" t="s">
        <v>51</v>
      </c>
      <c r="N15452" s="28" t="s">
        <v>51</v>
      </c>
    </row>
    <row r="15453" spans="1:14" x14ac:dyDescent="0.2">
      <c r="A15453" s="23" t="str">
        <f>HYPERLINK("https://www.spark-marketing.ru/Card/Person/64896", "ФИЦ КНЦ РАН")</f>
        <v>ФИЦ КНЦ РАН</v>
      </c>
      <c r="B15453" s="24" t="s">
        <v>19873</v>
      </c>
      <c r="C15453" s="25">
        <v>301600</v>
      </c>
      <c r="D15453" s="22" t="s">
        <v>20401</v>
      </c>
      <c r="E15453" s="22" t="s">
        <v>562</v>
      </c>
      <c r="F15453" s="23" t="str">
        <f>HYPERLINK("https://www.spark-marketing.ru/Card/Lot/71625371", "Оказание услуг по общественному питанию")</f>
        <v>Оказание услуг по общественному питанию</v>
      </c>
      <c r="G15453" s="22" t="s">
        <v>340</v>
      </c>
      <c r="H15453" s="22" t="s">
        <v>340</v>
      </c>
      <c r="I15453" s="26">
        <v>43640.789189814801</v>
      </c>
      <c r="J15453" s="23" t="str">
        <f>HYPERLINK("https://www.spark-marketing.ru/Card/Person/419313", "Ванюхина Наталия Ивановна")</f>
        <v>Ванюхина Наталия Ивановна</v>
      </c>
      <c r="K15453" s="24" t="s">
        <v>20402</v>
      </c>
      <c r="L15453" s="28" t="s">
        <v>51</v>
      </c>
      <c r="M15453" s="25">
        <v>301600</v>
      </c>
      <c r="N15453" s="27">
        <v>0</v>
      </c>
    </row>
    <row r="15454" spans="1:14" x14ac:dyDescent="0.2">
      <c r="A15454" s="23" t="str">
        <f>HYPERLINK("https://www.spark-marketing.ru/Card/Person/4755393", "ООО ""МЕЖДУНАРОДНЫЙ АЭРОПОРТ БЕЛГОРОД""")</f>
        <v>ООО "МЕЖДУНАРОДНЫЙ АЭРОПОРТ БЕЛГОРОД"</v>
      </c>
      <c r="B15454" s="24" t="s">
        <v>1727</v>
      </c>
      <c r="C15454" s="25">
        <v>700000</v>
      </c>
      <c r="D15454" s="22" t="s">
        <v>20403</v>
      </c>
      <c r="E15454" s="22" t="s">
        <v>580</v>
      </c>
      <c r="F15454" s="23" t="str">
        <f>HYPERLINK("https://www.spark-marketing.ru/Card/Lot/71621886", "Оказание услуг по организации питания пассажиров бизнес-класса аэропорта г.Белгород")</f>
        <v>Оказание услуг по организации питания пассажиров бизнес-класса аэропорта г.Белгород</v>
      </c>
      <c r="G15454" s="22" t="s">
        <v>696</v>
      </c>
      <c r="H15454" s="22" t="s">
        <v>696</v>
      </c>
      <c r="I15454" s="26">
        <v>43640.724537037</v>
      </c>
      <c r="J15454" s="28" t="s">
        <v>51</v>
      </c>
      <c r="K15454" s="28" t="s">
        <v>51</v>
      </c>
      <c r="L15454" s="28" t="s">
        <v>51</v>
      </c>
      <c r="M15454" s="25">
        <v>700000</v>
      </c>
      <c r="N15454" s="27">
        <v>0</v>
      </c>
    </row>
    <row r="15455" spans="1:14" x14ac:dyDescent="0.2">
      <c r="A15455" s="23" t="s">
        <v>114</v>
      </c>
      <c r="B15455" s="28" t="s">
        <v>51</v>
      </c>
      <c r="C15455" s="25">
        <v>39854100.25</v>
      </c>
      <c r="D15455" s="22" t="s">
        <v>20404</v>
      </c>
      <c r="E15455" s="22" t="s">
        <v>48</v>
      </c>
      <c r="F15455" s="23" t="str">
        <f>HYPERLINK("https://www.spark-marketing.ru/Card/Lot/71634160",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</v>
      </c>
      <c r="G15455" s="22" t="s">
        <v>51</v>
      </c>
      <c r="H15455" s="22" t="s">
        <v>51</v>
      </c>
      <c r="I15455" s="26">
        <v>43640.728437500002</v>
      </c>
      <c r="J15455" s="23" t="str">
        <f>HYPERLINK("https://www.spark-marketing.ru/Card/Person/571043", "АО ""КОМБИНАТ ПИТАНИЯ ""КИРОВСКИЙ""")</f>
        <v>АО "КОМБИНАТ ПИТАНИЯ "КИРОВСКИЙ"</v>
      </c>
      <c r="K15455" s="24" t="s">
        <v>20405</v>
      </c>
      <c r="L15455" s="22" t="s">
        <v>10</v>
      </c>
      <c r="M15455" s="25">
        <v>39854100.25</v>
      </c>
      <c r="N15455" s="27">
        <v>0</v>
      </c>
    </row>
    <row r="15456" spans="1:14" hidden="1" outlineLevel="1" x14ac:dyDescent="0.2">
      <c r="A15456" s="23" t="str">
        <f>HYPERLINK("https://www.spark-marketing.ru/Card/Person/91772", "ГБОУ ЛИЦЕЙ № 389 ""ЦЭО"" КИРОВСКОГО РАЙОНА САНКТ-ПЕТЕРБУРГА")</f>
        <v>ГБОУ ЛИЦЕЙ № 389 "ЦЭО" КИРОВСКОГО РАЙОНА САНКТ-ПЕТЕРБУРГА</v>
      </c>
      <c r="B15456" s="24" t="s">
        <v>20406</v>
      </c>
      <c r="C15456" s="25">
        <v>12947834.82</v>
      </c>
      <c r="D15456" s="22" t="s">
        <v>20404</v>
      </c>
      <c r="E15456" s="22" t="s">
        <v>48</v>
      </c>
      <c r="F15456" s="23" t="str">
        <f>HYPERLINK("https://www.spark-marketing.ru/Card/Lot/71634160",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</v>
      </c>
      <c r="G15456" s="22" t="s">
        <v>117</v>
      </c>
      <c r="H15456" s="22" t="s">
        <v>117</v>
      </c>
      <c r="I15456" s="26">
        <v>43640.728437500002</v>
      </c>
      <c r="J15456" s="23" t="str">
        <f>HYPERLINK("https://www.spark-marketing.ru/Card/Person/571043", "АО ""КОМБИНАТ ПИТАНИЯ ""КИРОВСКИЙ""")</f>
        <v>АО "КОМБИНАТ ПИТАНИЯ "КИРОВСКИЙ"</v>
      </c>
      <c r="K15456" s="24" t="s">
        <v>20405</v>
      </c>
      <c r="L15456" s="22" t="s">
        <v>10</v>
      </c>
      <c r="M15456" s="28" t="s">
        <v>51</v>
      </c>
      <c r="N15456" s="27">
        <v>0</v>
      </c>
    </row>
    <row r="15457" spans="1:14" hidden="1" outlineLevel="1" x14ac:dyDescent="0.2">
      <c r="A15457" s="23" t="str">
        <f>HYPERLINK("https://www.spark-marketing.ru/Card/Person/91909", "ГБОУ СОШ №269 ""ШКОЛА ЗДОРОВЬЯ"" КИРОВСКОГО РАЙОНА САНКТ-ПЕТЕРБУРГА")</f>
        <v>ГБОУ СОШ №269 "ШКОЛА ЗДОРОВЬЯ" КИРОВСКОГО РАЙОНА САНКТ-ПЕТЕРБУРГА</v>
      </c>
      <c r="B15457" s="24" t="s">
        <v>20407</v>
      </c>
      <c r="C15457" s="25">
        <v>12795588.300000001</v>
      </c>
      <c r="D15457" s="22" t="s">
        <v>20404</v>
      </c>
      <c r="E15457" s="22" t="s">
        <v>48</v>
      </c>
      <c r="F15457" s="23" t="str">
        <f>HYPERLINK("https://www.spark-marketing.ru/Card/Lot/71634160",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</v>
      </c>
      <c r="G15457" s="22" t="s">
        <v>117</v>
      </c>
      <c r="H15457" s="22" t="s">
        <v>117</v>
      </c>
      <c r="I15457" s="26">
        <v>43640.728437500002</v>
      </c>
      <c r="J15457" s="23" t="str">
        <f>HYPERLINK("https://www.spark-marketing.ru/Card/Person/571043", "АО ""КОМБИНАТ ПИТАНИЯ ""КИРОВСКИЙ""")</f>
        <v>АО "КОМБИНАТ ПИТАНИЯ "КИРОВСКИЙ"</v>
      </c>
      <c r="K15457" s="24" t="s">
        <v>20405</v>
      </c>
      <c r="L15457" s="22" t="s">
        <v>10</v>
      </c>
      <c r="M15457" s="28" t="s">
        <v>51</v>
      </c>
      <c r="N15457" s="27">
        <v>0</v>
      </c>
    </row>
    <row r="15458" spans="1:14" hidden="1" outlineLevel="1" x14ac:dyDescent="0.2">
      <c r="A15458" s="23" t="str">
        <f>HYPERLINK("https://www.spark-marketing.ru/Card/Person/4349297", "ГБОУ ШКОЛА № 480 КИРОВСКОГО РАЙОНА САНКТ-ПЕТЕРБУРГА")</f>
        <v>ГБОУ ШКОЛА № 480 КИРОВСКОГО РАЙОНА САНКТ-ПЕТЕРБУРГА</v>
      </c>
      <c r="B15458" s="24" t="s">
        <v>20408</v>
      </c>
      <c r="C15458" s="25">
        <v>14110677.130000001</v>
      </c>
      <c r="D15458" s="22" t="s">
        <v>20404</v>
      </c>
      <c r="E15458" s="22" t="s">
        <v>48</v>
      </c>
      <c r="F15458" s="23" t="str">
        <f>HYPERLINK("https://www.spark-marketing.ru/Card/Lot/71634160",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</v>
      </c>
      <c r="G15458" s="22" t="s">
        <v>117</v>
      </c>
      <c r="H15458" s="22" t="s">
        <v>117</v>
      </c>
      <c r="I15458" s="26">
        <v>43640.728437500002</v>
      </c>
      <c r="J15458" s="23" t="str">
        <f>HYPERLINK("https://www.spark-marketing.ru/Card/Person/571043", "АО ""КОМБИНАТ ПИТАНИЯ ""КИРОВСКИЙ""")</f>
        <v>АО "КОМБИНАТ ПИТАНИЯ "КИРОВСКИЙ"</v>
      </c>
      <c r="K15458" s="24" t="s">
        <v>20405</v>
      </c>
      <c r="L15458" s="22" t="s">
        <v>10</v>
      </c>
      <c r="M15458" s="28" t="s">
        <v>51</v>
      </c>
      <c r="N15458" s="27">
        <v>0</v>
      </c>
    </row>
    <row r="15459" spans="1:14" x14ac:dyDescent="0.15">
      <c r="A15459" s="23" t="str">
        <f>HYPERLINK("https://www.spark-marketing.ru/Card/Person/1003382", "ОМВД РОССИИ ПО БЕЛОЯРСКОМУ РАЙОНУ")</f>
        <v>ОМВД РОССИИ ПО БЕЛОЯРСКОМУ РАЙОНУ</v>
      </c>
      <c r="B15459" s="24" t="s">
        <v>9113</v>
      </c>
      <c r="C15459" s="25">
        <v>2950460</v>
      </c>
      <c r="D15459" s="22" t="s">
        <v>20409</v>
      </c>
      <c r="E15459" s="22" t="s">
        <v>48</v>
      </c>
      <c r="F15459" s="23" t="str">
        <f>HYPERLINK("https://www.spark-marketing.ru/Card/Lot/71621197", "Оказание услуг по приготовлению и поставке питания для подозреваемых, обвиняемых и административно арестованных, содержащихся в ИВС ОМВД России по Белоярскому району, а также лиц находящихся в комнате административно задержанных в 2021 году")</f>
        <v>Оказание услуг по приготовлению и поставке питания для подозреваемых, обвиняемых и административно арестованных, содержащихся в ИВС ОМВД России по Белоярскому району, а также лиц находящихся в комнате административно задержанных в 2021 году</v>
      </c>
      <c r="G15459" s="22" t="s">
        <v>97</v>
      </c>
      <c r="H15459" s="22" t="s">
        <v>9115</v>
      </c>
      <c r="I15459" s="26">
        <v>43640.710416666698</v>
      </c>
      <c r="J15459" s="23" t="str">
        <f>HYPERLINK("https://www.spark-marketing.ru/Card/Person/1644259", "Скоробогатова Наталья Николаевна")</f>
        <v>Скоробогатова Наталья Николаевна</v>
      </c>
      <c r="K15459" s="24" t="s">
        <v>9116</v>
      </c>
      <c r="L15459" s="22" t="s">
        <v>10</v>
      </c>
      <c r="M15459" s="28" t="s">
        <v>51</v>
      </c>
      <c r="N15459" s="28" t="s">
        <v>51</v>
      </c>
    </row>
    <row r="15460" spans="1:14" x14ac:dyDescent="0.2">
      <c r="A15460" s="23" t="s">
        <v>114</v>
      </c>
      <c r="B15460" s="28" t="s">
        <v>51</v>
      </c>
      <c r="C15460" s="25">
        <v>39586829.450000003</v>
      </c>
      <c r="D15460" s="22" t="s">
        <v>20410</v>
      </c>
      <c r="E15460" s="22" t="s">
        <v>48</v>
      </c>
      <c r="F15460" s="23" t="str">
        <f>HYPERLINK("https://www.spark-marketing.ru/Card/Lot/71622878",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60" s="22" t="s">
        <v>51</v>
      </c>
      <c r="H15460" s="22" t="s">
        <v>51</v>
      </c>
      <c r="I15460" s="26">
        <v>43640.720833333296</v>
      </c>
      <c r="J15460" s="23" t="str">
        <f>HYPERLINK("https://www.spark-marketing.ru/Card/Person/571043", "АО ""КОМБИНАТ ПИТАНИЯ ""КИРОВСКИЙ""")</f>
        <v>АО "КОМБИНАТ ПИТАНИЯ "КИРОВСКИЙ"</v>
      </c>
      <c r="K15460" s="24" t="s">
        <v>20405</v>
      </c>
      <c r="L15460" s="22" t="s">
        <v>10</v>
      </c>
      <c r="M15460" s="25">
        <v>39586829.450000003</v>
      </c>
      <c r="N15460" s="27">
        <v>0</v>
      </c>
    </row>
    <row r="15461" spans="1:14" hidden="1" outlineLevel="1" x14ac:dyDescent="0.2">
      <c r="A15461" s="23" t="str">
        <f>HYPERLINK("https://www.spark-marketing.ru/Card/Person/92317", "ГБОУ СРЕДНЯЯ ШКОЛА №264 КИРОВСКОГО РАЙОНА САНКТ-ПЕТЕРБУРГА")</f>
        <v>ГБОУ СРЕДНЯЯ ШКОЛА №264 КИРОВСКОГО РАЙОНА САНКТ-ПЕТЕРБУРГА</v>
      </c>
      <c r="B15461" s="24" t="s">
        <v>20411</v>
      </c>
      <c r="C15461" s="25">
        <v>14803019.83</v>
      </c>
      <c r="D15461" s="22" t="s">
        <v>20410</v>
      </c>
      <c r="E15461" s="22" t="s">
        <v>48</v>
      </c>
      <c r="F15461" s="23" t="str">
        <f>HYPERLINK("https://www.spark-marketing.ru/Card/Lot/71622878",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61" s="22" t="s">
        <v>117</v>
      </c>
      <c r="H15461" s="22" t="s">
        <v>117</v>
      </c>
      <c r="I15461" s="26">
        <v>43640.720833333296</v>
      </c>
      <c r="J15461" s="23" t="str">
        <f>HYPERLINK("https://www.spark-marketing.ru/Card/Person/571043", "АО ""КОМБИНАТ ПИТАНИЯ ""КИРОВСКИЙ""")</f>
        <v>АО "КОМБИНАТ ПИТАНИЯ "КИРОВСКИЙ"</v>
      </c>
      <c r="K15461" s="24" t="s">
        <v>20405</v>
      </c>
      <c r="L15461" s="22" t="s">
        <v>10</v>
      </c>
      <c r="M15461" s="28" t="s">
        <v>51</v>
      </c>
      <c r="N15461" s="27">
        <v>0</v>
      </c>
    </row>
    <row r="15462" spans="1:14" hidden="1" outlineLevel="1" x14ac:dyDescent="0.2">
      <c r="A15462" s="23" t="str">
        <f>HYPERLINK("https://www.spark-marketing.ru/Card/Person/92468", "ГБОУ СОШ № 282 САНКТ-ПЕТЕРБУРГА")</f>
        <v>ГБОУ СОШ № 282 САНКТ-ПЕТЕРБУРГА</v>
      </c>
      <c r="B15462" s="24" t="s">
        <v>20412</v>
      </c>
      <c r="C15462" s="25">
        <v>7586402.0899999999</v>
      </c>
      <c r="D15462" s="22" t="s">
        <v>20410</v>
      </c>
      <c r="E15462" s="22" t="s">
        <v>48</v>
      </c>
      <c r="F15462" s="23" t="str">
        <f>HYPERLINK("https://www.spark-marketing.ru/Card/Lot/71622878",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62" s="22" t="s">
        <v>117</v>
      </c>
      <c r="H15462" s="22" t="s">
        <v>117</v>
      </c>
      <c r="I15462" s="26">
        <v>43640.720833333296</v>
      </c>
      <c r="J15462" s="23" t="str">
        <f>HYPERLINK("https://www.spark-marketing.ru/Card/Person/571043", "АО ""КОМБИНАТ ПИТАНИЯ ""КИРОВСКИЙ""")</f>
        <v>АО "КОМБИНАТ ПИТАНИЯ "КИРОВСКИЙ"</v>
      </c>
      <c r="K15462" s="24" t="s">
        <v>20405</v>
      </c>
      <c r="L15462" s="22" t="s">
        <v>10</v>
      </c>
      <c r="M15462" s="28" t="s">
        <v>51</v>
      </c>
      <c r="N15462" s="27">
        <v>0</v>
      </c>
    </row>
    <row r="15463" spans="1:14" hidden="1" outlineLevel="1" x14ac:dyDescent="0.2">
      <c r="A15463" s="23" t="str">
        <f>HYPERLINK("https://www.spark-marketing.ru/Card/Person/92790", "ГБОУ ШКОЛА № 565 КИРОВСКОГО РАЙОНА САНКТ-ПЕТЕРБУРГА")</f>
        <v>ГБОУ ШКОЛА № 565 КИРОВСКОГО РАЙОНА САНКТ-ПЕТЕРБУРГА</v>
      </c>
      <c r="B15463" s="24" t="s">
        <v>20413</v>
      </c>
      <c r="C15463" s="25">
        <v>6740926.7199999997</v>
      </c>
      <c r="D15463" s="22" t="s">
        <v>20410</v>
      </c>
      <c r="E15463" s="22" t="s">
        <v>48</v>
      </c>
      <c r="F15463" s="23" t="str">
        <f>HYPERLINK("https://www.spark-marketing.ru/Card/Lot/71622878",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63" s="22" t="s">
        <v>117</v>
      </c>
      <c r="H15463" s="22" t="s">
        <v>117</v>
      </c>
      <c r="I15463" s="26">
        <v>43640.720833333296</v>
      </c>
      <c r="J15463" s="23" t="str">
        <f>HYPERLINK("https://www.spark-marketing.ru/Card/Person/571043", "АО ""КОМБИНАТ ПИТАНИЯ ""КИРОВСКИЙ""")</f>
        <v>АО "КОМБИНАТ ПИТАНИЯ "КИРОВСКИЙ"</v>
      </c>
      <c r="K15463" s="24" t="s">
        <v>20405</v>
      </c>
      <c r="L15463" s="22" t="s">
        <v>10</v>
      </c>
      <c r="M15463" s="28" t="s">
        <v>51</v>
      </c>
      <c r="N15463" s="27">
        <v>0</v>
      </c>
    </row>
    <row r="15464" spans="1:14" hidden="1" outlineLevel="1" x14ac:dyDescent="0.2">
      <c r="A15464" s="23" t="str">
        <f>HYPERLINK("https://www.spark-marketing.ru/Card/Person/92935", "ГБОУ ШКОЛА № 502 КИРОВСКОГО РАЙОНА САНКТ-ПЕТЕРБУРГА")</f>
        <v>ГБОУ ШКОЛА № 502 КИРОВСКОГО РАЙОНА САНКТ-ПЕТЕРБУРГА</v>
      </c>
      <c r="B15464" s="24" t="s">
        <v>20414</v>
      </c>
      <c r="C15464" s="25">
        <v>10456480.810000001</v>
      </c>
      <c r="D15464" s="22" t="s">
        <v>20410</v>
      </c>
      <c r="E15464" s="22" t="s">
        <v>48</v>
      </c>
      <c r="F15464" s="23" t="str">
        <f>HYPERLINK("https://www.spark-marketing.ru/Card/Lot/71622878",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64" s="22" t="s">
        <v>117</v>
      </c>
      <c r="H15464" s="22" t="s">
        <v>117</v>
      </c>
      <c r="I15464" s="26">
        <v>43640.720833333296</v>
      </c>
      <c r="J15464" s="23" t="str">
        <f>HYPERLINK("https://www.spark-marketing.ru/Card/Person/571043", "АО ""КОМБИНАТ ПИТАНИЯ ""КИРОВСКИЙ""")</f>
        <v>АО "КОМБИНАТ ПИТАНИЯ "КИРОВСКИЙ"</v>
      </c>
      <c r="K15464" s="24" t="s">
        <v>20405</v>
      </c>
      <c r="L15464" s="22" t="s">
        <v>10</v>
      </c>
      <c r="M15464" s="28" t="s">
        <v>51</v>
      </c>
      <c r="N15464" s="27">
        <v>0</v>
      </c>
    </row>
    <row r="15465" spans="1:14" x14ac:dyDescent="0.15">
      <c r="A15465" s="23" t="str">
        <f>HYPERLINK("https://www.spark-marketing.ru/Card/Person/75423", "МЕЖМУНИЦИПАЛЬНЫЙ ОТДЕЛ МВД РОССИИ ""КУДЫМКАРСКИЙ""")</f>
        <v>МЕЖМУНИЦИПАЛЬНЫЙ ОТДЕЛ МВД РОССИИ "КУДЫМКАРСКИЙ"</v>
      </c>
      <c r="B15465" s="24" t="s">
        <v>17510</v>
      </c>
      <c r="C15465" s="25">
        <v>450000</v>
      </c>
      <c r="D15465" s="22" t="s">
        <v>20415</v>
      </c>
      <c r="E15465" s="22" t="s">
        <v>48</v>
      </c>
      <c r="F15465" s="23" t="str">
        <f>HYPERLINK("https://www.spark-marketing.ru/Card/Lot/71631777", "оказание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лиц")</f>
        <v>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</v>
      </c>
      <c r="G15465" s="22" t="s">
        <v>153</v>
      </c>
      <c r="H15465" s="22" t="s">
        <v>20416</v>
      </c>
      <c r="I15465" s="26">
        <v>43640.709027777797</v>
      </c>
      <c r="J15465" s="28" t="s">
        <v>51</v>
      </c>
      <c r="K15465" s="28" t="s">
        <v>51</v>
      </c>
      <c r="L15465" s="28" t="s">
        <v>51</v>
      </c>
      <c r="M15465" s="28" t="s">
        <v>51</v>
      </c>
      <c r="N15465" s="28" t="s">
        <v>51</v>
      </c>
    </row>
    <row r="15466" spans="1:14" ht="12.75" hidden="1" outlineLevel="1" x14ac:dyDescent="0.2">
      <c r="A15466" s="23" t="str">
        <f>HYPERLINK("https://www.spark-marketing.ru/Card/Person/75423", "МЕЖМУНИЦИПАЛЬНЫЙ ОТДЕЛ МВД РОССИИ ""КУДЫМКАРСКИЙ""")</f>
        <v>МЕЖМУНИЦИПАЛЬНЫЙ ОТДЕЛ МВД РОССИИ "КУДЫМКАРСКИЙ"</v>
      </c>
      <c r="B15466" s="24" t="s">
        <v>17510</v>
      </c>
      <c r="C15466" s="25">
        <v>450000</v>
      </c>
      <c r="D15466" s="22" t="s">
        <v>20415</v>
      </c>
      <c r="E15466" s="22" t="s">
        <v>48</v>
      </c>
      <c r="F15466" s="23" t="str">
        <f>HYPERLINK("https://www.spark-marketing.ru/Card/Lot/71631777", "оказание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лиц")</f>
        <v>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</v>
      </c>
      <c r="G15466" s="22" t="s">
        <v>153</v>
      </c>
      <c r="H15466" s="22" t="s">
        <v>20416</v>
      </c>
      <c r="I15466" s="26">
        <v>43640.709027777797</v>
      </c>
      <c r="J15466" s="23" t="str">
        <f>HYPERLINK("https://www.spark-marketing.ru/Card/Person/2025480", "Четин Анатолий Николаевич")</f>
        <v>Четин Анатолий Николаевич</v>
      </c>
      <c r="K15466" s="24" t="s">
        <v>1964</v>
      </c>
      <c r="L15466" s="22" t="s">
        <v>10</v>
      </c>
      <c r="M15466" s="25">
        <v>778</v>
      </c>
      <c r="N15466" s="27">
        <v>0.99827111111111111</v>
      </c>
    </row>
    <row r="15467" spans="1:14" hidden="1" outlineLevel="1" x14ac:dyDescent="0.2">
      <c r="A15467" s="23" t="str">
        <f>HYPERLINK("https://www.spark-marketing.ru/Card/Person/75423", "МЕЖМУНИЦИПАЛЬНЫЙ ОТДЕЛ МВД РОССИИ ""КУДЫМКАРСКИЙ""")</f>
        <v>МЕЖМУНИЦИПАЛЬНЫЙ ОТДЕЛ МВД РОССИИ "КУДЫМКАРСКИЙ"</v>
      </c>
      <c r="B15467" s="24" t="s">
        <v>17510</v>
      </c>
      <c r="C15467" s="25">
        <v>450000</v>
      </c>
      <c r="D15467" s="22" t="s">
        <v>20415</v>
      </c>
      <c r="E15467" s="22" t="s">
        <v>48</v>
      </c>
      <c r="F15467" s="23" t="str">
        <f>HYPERLINK("https://www.spark-marketing.ru/Card/Lot/71631777", "оказание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лиц")</f>
        <v>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</v>
      </c>
      <c r="G15467" s="22" t="s">
        <v>153</v>
      </c>
      <c r="H15467" s="22" t="s">
        <v>20416</v>
      </c>
      <c r="I15467" s="26">
        <v>43640.709027777797</v>
      </c>
      <c r="J15467" s="23" t="str">
        <f>HYPERLINK("https://www.spark-marketing.ru/Card/Person/783758", "Отинов Никита Иванович")</f>
        <v>Отинов Никита Иванович</v>
      </c>
      <c r="K15467" s="24" t="s">
        <v>20417</v>
      </c>
      <c r="L15467" s="28" t="s">
        <v>51</v>
      </c>
      <c r="M15467" s="25">
        <v>878</v>
      </c>
      <c r="N15467" s="27">
        <v>0.99804888888888887</v>
      </c>
    </row>
    <row r="15468" spans="1:14" hidden="1" outlineLevel="1" x14ac:dyDescent="0.2">
      <c r="A15468" s="23" t="str">
        <f>HYPERLINK("https://www.spark-marketing.ru/Card/Person/75423", "МЕЖМУНИЦИПАЛЬНЫЙ ОТДЕЛ МВД РОССИИ ""КУДЫМКАРСКИЙ""")</f>
        <v>МЕЖМУНИЦИПАЛЬНЫЙ ОТДЕЛ МВД РОССИИ "КУДЫМКАРСКИЙ"</v>
      </c>
      <c r="B15468" s="24" t="s">
        <v>17510</v>
      </c>
      <c r="C15468" s="25">
        <v>450000</v>
      </c>
      <c r="D15468" s="22" t="s">
        <v>20415</v>
      </c>
      <c r="E15468" s="22" t="s">
        <v>48</v>
      </c>
      <c r="F15468" s="23" t="str">
        <f>HYPERLINK("https://www.spark-marketing.ru/Card/Lot/71631777", "оказание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лиц")</f>
        <v>оказание услуг по обеспечению трехразовым горячим питанием лиц, содержащихся в изоляторе временного содержания ежедневно подозреваемых и обвиняемых а так же лиц содержащихся в специальном помещении содержания задержанных лиц</v>
      </c>
      <c r="G15468" s="22" t="s">
        <v>153</v>
      </c>
      <c r="H15468" s="22" t="s">
        <v>20416</v>
      </c>
      <c r="I15468" s="26">
        <v>43640.709027777797</v>
      </c>
      <c r="J15468" s="23" t="str">
        <f>HYPERLINK("https://www.spark-marketing.ru/Card/Person/245836", "ООО ""АМЕГА""")</f>
        <v>ООО "АМЕГА"</v>
      </c>
      <c r="K15468" s="24" t="s">
        <v>1841</v>
      </c>
      <c r="L15468" s="28" t="s">
        <v>51</v>
      </c>
      <c r="M15468" s="25">
        <v>978</v>
      </c>
      <c r="N15468" s="27">
        <v>0.99782666666666664</v>
      </c>
    </row>
    <row r="15469" spans="1:14" x14ac:dyDescent="0.15">
      <c r="A15469" s="23" t="str">
        <f>HYPERLINK("https://www.spark-marketing.ru/Card/Person/20208", "КГБУЗ ККОКБ ИМ. ПРОФЕССОРА П.Г.МАКАРОВА")</f>
        <v>КГБУЗ ККОКБ ИМ. ПРОФЕССОРА П.Г.МАКАРОВА</v>
      </c>
      <c r="B15469" s="24" t="s">
        <v>1784</v>
      </c>
      <c r="C15469" s="25">
        <v>499961.25</v>
      </c>
      <c r="D15469" s="22" t="s">
        <v>20418</v>
      </c>
      <c r="E15469" s="22" t="s">
        <v>48</v>
      </c>
      <c r="F15469" s="23" t="str">
        <f>HYPERLINK("https://www.spark-marketing.ru/Card/Lot/71633617", "Услуги по организации и обеспечению питанием пациентов стационара (взрослых и детей)")</f>
        <v>Услуги по организации и обеспечению питанием пациентов стационара (взрослых и детей)</v>
      </c>
      <c r="G15469" s="22" t="s">
        <v>281</v>
      </c>
      <c r="H15469" s="22" t="s">
        <v>1036</v>
      </c>
      <c r="I15469" s="26">
        <v>43640.739513888897</v>
      </c>
      <c r="J15469" s="23" t="str">
        <f>HYPERLINK("https://www.spark-marketing.ru/Card/Person/10897", "КГБУЗ ККБ")</f>
        <v>КГБУЗ ККБ</v>
      </c>
      <c r="K15469" s="24" t="s">
        <v>1786</v>
      </c>
      <c r="L15469" s="22" t="s">
        <v>10</v>
      </c>
      <c r="M15469" s="28" t="s">
        <v>51</v>
      </c>
      <c r="N15469" s="28" t="s">
        <v>51</v>
      </c>
    </row>
    <row r="15470" spans="1:14" x14ac:dyDescent="0.15">
      <c r="A15470" s="23" t="str">
        <f>HYPERLINK("https://www.spark-marketing.ru/Card/Person/6460082", "МКУ ""ЦЕНТР УСЛУГ""")</f>
        <v>МКУ "ЦЕНТР УСЛУГ"</v>
      </c>
      <c r="B15470" s="24" t="s">
        <v>20419</v>
      </c>
      <c r="C15470" s="25">
        <v>75333</v>
      </c>
      <c r="D15470" s="22" t="s">
        <v>20420</v>
      </c>
      <c r="E15470" s="22" t="s">
        <v>96</v>
      </c>
      <c r="F15470" s="23" t="str">
        <f>HYPERLINK("https://www.spark-marketing.ru/Card/Lot/71628069", "Услуги по буфетному обслуживанию и питанию участников официальных приемов и мероприятий, проводимых администрацией Ковдорского района")</f>
        <v>Услуги по буфетному обслуживанию и питанию участников официальных приемов и мероприятий, проводимых администрацией Ковдорского района</v>
      </c>
      <c r="G15470" s="22" t="s">
        <v>340</v>
      </c>
      <c r="H15470" s="22" t="s">
        <v>340</v>
      </c>
      <c r="I15470" s="26">
        <v>43640.737500000003</v>
      </c>
      <c r="J15470" s="23" t="str">
        <f>HYPERLINK("https://www.spark-marketing.ru/Card/Person/4538150", "ООО ""ГОСТИНИЦА ""УЮТ""")</f>
        <v>ООО "ГОСТИНИЦА "УЮТ"</v>
      </c>
      <c r="K15470" s="24" t="s">
        <v>20421</v>
      </c>
      <c r="L15470" s="22" t="s">
        <v>10</v>
      </c>
      <c r="M15470" s="28" t="s">
        <v>51</v>
      </c>
      <c r="N15470" s="28" t="s">
        <v>51</v>
      </c>
    </row>
    <row r="15471" spans="1:14" x14ac:dyDescent="0.15">
      <c r="A15471" s="23" t="s">
        <v>114</v>
      </c>
      <c r="B15471" s="28" t="s">
        <v>51</v>
      </c>
      <c r="C15471" s="25">
        <v>38989777.409999996</v>
      </c>
      <c r="D15471" s="22" t="s">
        <v>20422</v>
      </c>
      <c r="E15471" s="22" t="s">
        <v>48</v>
      </c>
      <c r="F15471" s="23" t="str">
        <f t="shared" ref="F15471:F15476" si="528">HYPERLINK("https://www.spark-marketing.ru/Card/Lot/71622861",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71" s="22" t="s">
        <v>51</v>
      </c>
      <c r="H15471" s="22" t="s">
        <v>51</v>
      </c>
      <c r="I15471" s="26">
        <v>43640.719444444403</v>
      </c>
      <c r="J15471" s="28" t="s">
        <v>51</v>
      </c>
      <c r="K15471" s="28" t="s">
        <v>51</v>
      </c>
      <c r="L15471" s="28" t="s">
        <v>51</v>
      </c>
      <c r="M15471" s="28" t="s">
        <v>51</v>
      </c>
      <c r="N15471" s="28" t="s">
        <v>51</v>
      </c>
    </row>
    <row r="15472" spans="1:14" hidden="1" outlineLevel="1" x14ac:dyDescent="0.15">
      <c r="A15472" s="23" t="str">
        <f>HYPERLINK("https://www.spark-marketing.ru/Card/Person/16964", "ГБОУ СОШ №386 КИРОВСКОГО РАЙОНА САНКТ-ПЕТЕРБУРГА")</f>
        <v>ГБОУ СОШ №386 КИРОВСКОГО РАЙОНА САНКТ-ПЕТЕРБУРГА</v>
      </c>
      <c r="B15472" s="24" t="s">
        <v>20423</v>
      </c>
      <c r="C15472" s="25">
        <v>6658270.1600000001</v>
      </c>
      <c r="D15472" s="22" t="s">
        <v>20422</v>
      </c>
      <c r="E15472" s="22" t="s">
        <v>48</v>
      </c>
      <c r="F15472" s="23" t="str">
        <f t="shared" si="528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72" s="22" t="s">
        <v>117</v>
      </c>
      <c r="H15472" s="22" t="s">
        <v>117</v>
      </c>
      <c r="I15472" s="26">
        <v>43640.719444444403</v>
      </c>
      <c r="J15472" s="28" t="s">
        <v>51</v>
      </c>
      <c r="K15472" s="28" t="s">
        <v>51</v>
      </c>
      <c r="L15472" s="28" t="s">
        <v>51</v>
      </c>
      <c r="M15472" s="28" t="s">
        <v>51</v>
      </c>
      <c r="N15472" s="28" t="s">
        <v>51</v>
      </c>
    </row>
    <row r="15473" spans="1:14" hidden="1" outlineLevel="1" x14ac:dyDescent="0.15">
      <c r="A15473" s="23" t="str">
        <f>HYPERLINK("https://www.spark-marketing.ru/Card/Person/89396", "ГБОУ ЛИЦЕЙ №378 КИРОВСКОГО РАЙОНА САНКТ-ПЕТЕРБУРГА")</f>
        <v>ГБОУ ЛИЦЕЙ №378 КИРОВСКОГО РАЙОНА САНКТ-ПЕТЕРБУРГА</v>
      </c>
      <c r="B15473" s="24" t="s">
        <v>20424</v>
      </c>
      <c r="C15473" s="25">
        <v>16085715.449999999</v>
      </c>
      <c r="D15473" s="22" t="s">
        <v>20422</v>
      </c>
      <c r="E15473" s="22" t="s">
        <v>48</v>
      </c>
      <c r="F15473" s="23" t="str">
        <f t="shared" si="528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73" s="22" t="s">
        <v>117</v>
      </c>
      <c r="H15473" s="22" t="s">
        <v>117</v>
      </c>
      <c r="I15473" s="26">
        <v>43640.719444444403</v>
      </c>
      <c r="J15473" s="28" t="s">
        <v>51</v>
      </c>
      <c r="K15473" s="28" t="s">
        <v>51</v>
      </c>
      <c r="L15473" s="28" t="s">
        <v>51</v>
      </c>
      <c r="M15473" s="28" t="s">
        <v>51</v>
      </c>
      <c r="N15473" s="28" t="s">
        <v>51</v>
      </c>
    </row>
    <row r="15474" spans="1:14" hidden="1" outlineLevel="1" x14ac:dyDescent="0.15">
      <c r="A15474" s="23" t="str">
        <f>HYPERLINK("https://www.spark-marketing.ru/Card/Person/92145", "ГБОУ СОШ № 501 С УГЛУБЛЕННЫМ ИЗУЧЕНИЕМ ИНФОРМАТИКИ И ИКТ КИРОВСКОГО РАЙОНА САНКТ-ПЕТЕРБУРГА")</f>
        <v>ГБОУ СОШ № 501 С УГЛУБЛЕННЫМ ИЗУЧЕНИЕМ ИНФОРМАТИКИ И ИКТ КИРОВСКОГО РАЙОНА САНКТ-ПЕТЕРБУРГА</v>
      </c>
      <c r="B15474" s="24" t="s">
        <v>20425</v>
      </c>
      <c r="C15474" s="25">
        <v>16245791.800000001</v>
      </c>
      <c r="D15474" s="22" t="s">
        <v>20422</v>
      </c>
      <c r="E15474" s="22" t="s">
        <v>48</v>
      </c>
      <c r="F15474" s="23" t="str">
        <f t="shared" si="528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74" s="22" t="s">
        <v>117</v>
      </c>
      <c r="H15474" s="22" t="s">
        <v>117</v>
      </c>
      <c r="I15474" s="26">
        <v>43640.719444444403</v>
      </c>
      <c r="J15474" s="28" t="s">
        <v>51</v>
      </c>
      <c r="K15474" s="28" t="s">
        <v>51</v>
      </c>
      <c r="L15474" s="28" t="s">
        <v>51</v>
      </c>
      <c r="M15474" s="28" t="s">
        <v>51</v>
      </c>
      <c r="N15474" s="28" t="s">
        <v>51</v>
      </c>
    </row>
    <row r="15475" spans="1:14" hidden="1" outlineLevel="1" x14ac:dyDescent="0.2">
      <c r="A15475" s="28" t="s">
        <v>51</v>
      </c>
      <c r="B15475" s="28" t="s">
        <v>51</v>
      </c>
      <c r="C15475" s="28" t="s">
        <v>51</v>
      </c>
      <c r="D15475" s="22" t="s">
        <v>20422</v>
      </c>
      <c r="E15475" s="22" t="s">
        <v>48</v>
      </c>
      <c r="F15475" s="23" t="str">
        <f t="shared" si="528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75" s="22" t="s">
        <v>51</v>
      </c>
      <c r="H15475" s="22" t="s">
        <v>51</v>
      </c>
      <c r="I15475" s="26">
        <v>43640.719444444403</v>
      </c>
      <c r="J15475" s="23" t="str">
        <f>HYPERLINK("https://www.spark-marketing.ru/Card/Person/571043", "АО ""КОМБИНАТ ПИТАНИЯ ""КИРОВСКИЙ""")</f>
        <v>АО "КОМБИНАТ ПИТАНИЯ "КИРОВСКИЙ"</v>
      </c>
      <c r="K15475" s="24" t="s">
        <v>20405</v>
      </c>
      <c r="L15475" s="28" t="s">
        <v>51</v>
      </c>
      <c r="M15475" s="25">
        <v>32751808.460000001</v>
      </c>
      <c r="N15475" s="27">
        <v>0.15998985796723481</v>
      </c>
    </row>
    <row r="15476" spans="1:14" hidden="1" outlineLevel="1" x14ac:dyDescent="0.2">
      <c r="A15476" s="28" t="s">
        <v>51</v>
      </c>
      <c r="B15476" s="28" t="s">
        <v>51</v>
      </c>
      <c r="C15476" s="28" t="s">
        <v>51</v>
      </c>
      <c r="D15476" s="22" t="s">
        <v>20422</v>
      </c>
      <c r="E15476" s="22" t="s">
        <v>48</v>
      </c>
      <c r="F15476" s="23" t="str">
        <f t="shared" si="528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76" s="22" t="s">
        <v>51</v>
      </c>
      <c r="H15476" s="22" t="s">
        <v>51</v>
      </c>
      <c r="I15476" s="26">
        <v>43640.719444444403</v>
      </c>
      <c r="J15476" s="23" t="str">
        <f>HYPERLINK("https://www.spark-marketing.ru/Card/Person/59608", "АО ""АРТИС-ДЕТСКОЕ ПИТАНИЕ""")</f>
        <v>АО "АРТИС-ДЕТСКОЕ ПИТАНИЕ"</v>
      </c>
      <c r="K15476" s="24" t="s">
        <v>19631</v>
      </c>
      <c r="L15476" s="22" t="s">
        <v>10</v>
      </c>
      <c r="M15476" s="25">
        <v>10527239.9</v>
      </c>
      <c r="N15476" s="27">
        <v>0.7300000000179534</v>
      </c>
    </row>
    <row r="15477" spans="1:14" x14ac:dyDescent="0.2">
      <c r="A15477" s="23" t="str">
        <f>HYPERLINK("https://www.spark-marketing.ru/Card/Person/4755393", "ООО ""МЕЖДУНАРОДНЫЙ АЭРОПОРТ БЕЛГОРОД""")</f>
        <v>ООО "МЕЖДУНАРОДНЫЙ АЭРОПОРТ БЕЛГОРОД"</v>
      </c>
      <c r="B15477" s="24" t="s">
        <v>1727</v>
      </c>
      <c r="C15477" s="25">
        <v>700000</v>
      </c>
      <c r="D15477" s="22" t="s">
        <v>20426</v>
      </c>
      <c r="E15477" s="22" t="s">
        <v>580</v>
      </c>
      <c r="F15477" s="23" t="str">
        <f>HYPERLINK("https://www.spark-marketing.ru/Card/Lot/71622216", "Оказание услуг по организации питания пассажиров владельцев карт программ лояльности Priority Pass и Diners Club в VIP-зале аэропорта Белгород")</f>
        <v>Оказание услуг по организации питания пассажиров владельцев карт программ лояльности Priority Pass и Diners Club в VIP-зале аэропорта Белгород</v>
      </c>
      <c r="G15477" s="22" t="s">
        <v>696</v>
      </c>
      <c r="H15477" s="22" t="s">
        <v>696</v>
      </c>
      <c r="I15477" s="26">
        <v>43640.732268518499</v>
      </c>
      <c r="J15477" s="28" t="s">
        <v>51</v>
      </c>
      <c r="K15477" s="28" t="s">
        <v>51</v>
      </c>
      <c r="L15477" s="28" t="s">
        <v>51</v>
      </c>
      <c r="M15477" s="25">
        <v>700000</v>
      </c>
      <c r="N15477" s="27">
        <v>0</v>
      </c>
    </row>
    <row r="15478" spans="1:14" x14ac:dyDescent="0.15">
      <c r="A15478" s="23" t="str">
        <f>HYPERLINK("https://www.spark-marketing.ru/Card/Person/4383469", "ГАУ НО ""ДИРЕКЦИЯ ПО ПРОВЕДЕНИЮ СПОРТИВНЫХ И ЗРЕЛИЩНЫХ МЕРОПРИЯТИЙ""")</f>
        <v>ГАУ НО "ДИРЕКЦИЯ ПО ПРОВЕДЕНИЮ СПОРТИВНЫХ И ЗРЕЛИЩНЫХ МЕРОПРИЯТИЙ"</v>
      </c>
      <c r="B15478" s="24" t="s">
        <v>4236</v>
      </c>
      <c r="C15478" s="25">
        <v>312000</v>
      </c>
      <c r="D15478" s="22" t="s">
        <v>20427</v>
      </c>
      <c r="E15478" s="22" t="s">
        <v>769</v>
      </c>
      <c r="F15478" s="23" t="str">
        <f>HYPERLINK("https://www.spark-marketing.ru/Card/Lot/71622747", "оказание услуг Исполнителемпо временному проживанию судей и участников, а также питанию участниковВсероссийских соревнований по футболу «Кожаный мяч» (II этап соревнований средимальчиков), которые состоятся в период с 24 по 30 июня 2019 года.")</f>
        <v>оказание услуг Исполнителемпо временному проживанию судей и участников, а также питанию участниковВсероссийских соревнований по футболу «Кожаный мяч» (II этап соревнований средимальчиков), которые состоятся в период с 24 по 30 июня 2019 года.</v>
      </c>
      <c r="G15478" s="22" t="s">
        <v>76</v>
      </c>
      <c r="H15478" s="22" t="s">
        <v>76</v>
      </c>
      <c r="I15478" s="26">
        <v>43640.738425925898</v>
      </c>
      <c r="J15478" s="28" t="s">
        <v>51</v>
      </c>
      <c r="K15478" s="28" t="s">
        <v>51</v>
      </c>
      <c r="L15478" s="28" t="s">
        <v>51</v>
      </c>
      <c r="M15478" s="28" t="s">
        <v>51</v>
      </c>
      <c r="N15478" s="28" t="s">
        <v>51</v>
      </c>
    </row>
    <row r="15479" spans="1:14" x14ac:dyDescent="0.15">
      <c r="A15479" s="23" t="str">
        <f>HYPERLINK("https://www.spark-marketing.ru/Card/Person/4478", "ГБУ ""ЦЕНТР МОЛОДЕЖИ""")</f>
        <v>ГБУ "ЦЕНТР МОЛОДЕЖИ"</v>
      </c>
      <c r="B15479" s="24" t="s">
        <v>16872</v>
      </c>
      <c r="C15479" s="25">
        <v>480690</v>
      </c>
      <c r="D15479" s="22" t="s">
        <v>20428</v>
      </c>
      <c r="E15479" s="22" t="s">
        <v>96</v>
      </c>
      <c r="F15479" s="23" t="str">
        <f>HYPERLINK("https://www.spark-marketing.ru/Card/Lot/71632292", "Оказание услуг по организации питания в пути следования поездами для детей и молодежи Калининградской области по городам России")</f>
        <v>Оказание услуг по организации питания в пути следования поездами для детей и молодежи Калининградской области по городам России</v>
      </c>
      <c r="G15479" s="22" t="s">
        <v>400</v>
      </c>
      <c r="H15479" s="22" t="s">
        <v>401</v>
      </c>
      <c r="I15479" s="26">
        <v>43640.710046296299</v>
      </c>
      <c r="J15479" s="28" t="s">
        <v>51</v>
      </c>
      <c r="K15479" s="28" t="s">
        <v>51</v>
      </c>
      <c r="L15479" s="28" t="s">
        <v>51</v>
      </c>
      <c r="M15479" s="28" t="s">
        <v>51</v>
      </c>
      <c r="N15479" s="28" t="s">
        <v>51</v>
      </c>
    </row>
    <row r="15480" spans="1:14" ht="12.75" hidden="1" outlineLevel="1" x14ac:dyDescent="0.2">
      <c r="A15480" s="23" t="str">
        <f>HYPERLINK("https://www.spark-marketing.ru/Card/Person/4478", "ГБУ ""ЦЕНТР МОЛОДЕЖИ""")</f>
        <v>ГБУ "ЦЕНТР МОЛОДЕЖИ"</v>
      </c>
      <c r="B15480" s="24" t="s">
        <v>16872</v>
      </c>
      <c r="C15480" s="25">
        <v>480690</v>
      </c>
      <c r="D15480" s="22" t="s">
        <v>20428</v>
      </c>
      <c r="E15480" s="22" t="s">
        <v>96</v>
      </c>
      <c r="F15480" s="23" t="str">
        <f>HYPERLINK("https://www.spark-marketing.ru/Card/Lot/71632292", "Оказание услуг по организации питания в пути следования поездами для детей и молодежи Калининградской области по городам России")</f>
        <v>Оказание услуг по организации питания в пути следования поездами для детей и молодежи Калининградской области по городам России</v>
      </c>
      <c r="G15480" s="22" t="s">
        <v>400</v>
      </c>
      <c r="H15480" s="22" t="s">
        <v>401</v>
      </c>
      <c r="I15480" s="26">
        <v>43640.710046296299</v>
      </c>
      <c r="J15480" s="23" t="str">
        <f>HYPERLINK("https://www.spark-marketing.ru/Card/Person/144774", "ООО ""ТДМ""")</f>
        <v>ООО "ТДМ"</v>
      </c>
      <c r="K15480" s="24" t="s">
        <v>16874</v>
      </c>
      <c r="L15480" s="22" t="s">
        <v>10</v>
      </c>
      <c r="M15480" s="25">
        <v>480690</v>
      </c>
      <c r="N15480" s="27">
        <v>0</v>
      </c>
    </row>
    <row r="15481" spans="1:14" hidden="1" outlineLevel="1" x14ac:dyDescent="0.2">
      <c r="A15481" s="23" t="str">
        <f>HYPERLINK("https://www.spark-marketing.ru/Card/Person/4478", "ГБУ ""ЦЕНТР МОЛОДЕЖИ""")</f>
        <v>ГБУ "ЦЕНТР МОЛОДЕЖИ"</v>
      </c>
      <c r="B15481" s="24" t="s">
        <v>16872</v>
      </c>
      <c r="C15481" s="25">
        <v>480690</v>
      </c>
      <c r="D15481" s="22" t="s">
        <v>20428</v>
      </c>
      <c r="E15481" s="22" t="s">
        <v>96</v>
      </c>
      <c r="F15481" s="23" t="str">
        <f>HYPERLINK("https://www.spark-marketing.ru/Card/Lot/71632292", "Оказание услуг по организации питания в пути следования поездами для детей и молодежи Калининградской области по городам России")</f>
        <v>Оказание услуг по организации питания в пути следования поездами для детей и молодежи Калининградской области по городам России</v>
      </c>
      <c r="G15481" s="22" t="s">
        <v>400</v>
      </c>
      <c r="H15481" s="22" t="s">
        <v>401</v>
      </c>
      <c r="I15481" s="26">
        <v>43640.710046296299</v>
      </c>
      <c r="J15481" s="23" t="str">
        <f>HYPERLINK("https://www.spark-marketing.ru/Card/Person/135341", "ООО ""ГРУППА КОМПАНИЙ ""АНТАЛИЯ""")</f>
        <v>ООО "ГРУППА КОМПАНИЙ "АНТАЛИЯ"</v>
      </c>
      <c r="K15481" s="24" t="s">
        <v>16875</v>
      </c>
      <c r="L15481" s="28" t="s">
        <v>51</v>
      </c>
      <c r="M15481" s="25">
        <v>480690</v>
      </c>
      <c r="N15481" s="27">
        <v>0</v>
      </c>
    </row>
    <row r="15482" spans="1:14" x14ac:dyDescent="0.2">
      <c r="A15482" s="23" t="s">
        <v>114</v>
      </c>
      <c r="B15482" s="28" t="s">
        <v>51</v>
      </c>
      <c r="C15482" s="25">
        <v>37435750.329999998</v>
      </c>
      <c r="D15482" s="22" t="s">
        <v>20429</v>
      </c>
      <c r="E15482" s="22" t="s">
        <v>48</v>
      </c>
      <c r="F15482" s="23" t="str">
        <f>HYPERLINK("https://www.spark-marketing.ru/Card/Lot/71634185",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82" s="22" t="s">
        <v>51</v>
      </c>
      <c r="H15482" s="22" t="s">
        <v>51</v>
      </c>
      <c r="I15482" s="26">
        <v>43640.720497685201</v>
      </c>
      <c r="J15482" s="23" t="str">
        <f>HYPERLINK("https://www.spark-marketing.ru/Card/Person/571043", "АО ""КОМБИНАТ ПИТАНИЯ ""КИРОВСКИЙ""")</f>
        <v>АО "КОМБИНАТ ПИТАНИЯ "КИРОВСКИЙ"</v>
      </c>
      <c r="K15482" s="24" t="s">
        <v>20405</v>
      </c>
      <c r="L15482" s="22" t="s">
        <v>10</v>
      </c>
      <c r="M15482" s="25">
        <v>37435750.329999998</v>
      </c>
      <c r="N15482" s="27">
        <v>0</v>
      </c>
    </row>
    <row r="15483" spans="1:14" hidden="1" outlineLevel="1" x14ac:dyDescent="0.2">
      <c r="A15483" s="23" t="str">
        <f>HYPERLINK("https://www.spark-marketing.ru/Card/Person/44588", "ГБОУ СОШ № 240 КИРОВСКОГО РАЙОНА САНКТ-ПЕТЕРБУРГА")</f>
        <v>ГБОУ СОШ № 240 КИРОВСКОГО РАЙОНА САНКТ-ПЕТЕРБУРГА</v>
      </c>
      <c r="B15483" s="24" t="s">
        <v>20430</v>
      </c>
      <c r="C15483" s="25">
        <v>12198234.66</v>
      </c>
      <c r="D15483" s="22" t="s">
        <v>20429</v>
      </c>
      <c r="E15483" s="22" t="s">
        <v>48</v>
      </c>
      <c r="F15483" s="23" t="str">
        <f>HYPERLINK("https://www.spark-marketing.ru/Card/Lot/71634185",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83" s="22" t="s">
        <v>117</v>
      </c>
      <c r="H15483" s="22" t="s">
        <v>117</v>
      </c>
      <c r="I15483" s="26">
        <v>43640.720497685201</v>
      </c>
      <c r="J15483" s="23" t="str">
        <f>HYPERLINK("https://www.spark-marketing.ru/Card/Person/571043", "АО ""КОМБИНАТ ПИТАНИЯ ""КИРОВСКИЙ""")</f>
        <v>АО "КОМБИНАТ ПИТАНИЯ "КИРОВСКИЙ"</v>
      </c>
      <c r="K15483" s="24" t="s">
        <v>20405</v>
      </c>
      <c r="L15483" s="22" t="s">
        <v>10</v>
      </c>
      <c r="M15483" s="28" t="s">
        <v>51</v>
      </c>
      <c r="N15483" s="27">
        <v>0</v>
      </c>
    </row>
    <row r="15484" spans="1:14" hidden="1" outlineLevel="1" x14ac:dyDescent="0.2">
      <c r="A15484" s="23" t="str">
        <f>HYPERLINK("https://www.spark-marketing.ru/Card/Person/91723", "ГБОУ ЛИЦЕЙ № 393 КИРОВСКОГО РАЙОНА САНКТ-ПЕТЕРБУРГА")</f>
        <v>ГБОУ ЛИЦЕЙ № 393 КИРОВСКОГО РАЙОНА САНКТ-ПЕТЕРБУРГА</v>
      </c>
      <c r="B15484" s="24" t="s">
        <v>20431</v>
      </c>
      <c r="C15484" s="25">
        <v>11304577.449999999</v>
      </c>
      <c r="D15484" s="22" t="s">
        <v>20429</v>
      </c>
      <c r="E15484" s="22" t="s">
        <v>48</v>
      </c>
      <c r="F15484" s="23" t="str">
        <f>HYPERLINK("https://www.spark-marketing.ru/Card/Lot/71634185",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84" s="22" t="s">
        <v>117</v>
      </c>
      <c r="H15484" s="22" t="s">
        <v>117</v>
      </c>
      <c r="I15484" s="26">
        <v>43640.720497685201</v>
      </c>
      <c r="J15484" s="23" t="str">
        <f>HYPERLINK("https://www.spark-marketing.ru/Card/Person/571043", "АО ""КОМБИНАТ ПИТАНИЯ ""КИРОВСКИЙ""")</f>
        <v>АО "КОМБИНАТ ПИТАНИЯ "КИРОВСКИЙ"</v>
      </c>
      <c r="K15484" s="24" t="s">
        <v>20405</v>
      </c>
      <c r="L15484" s="22" t="s">
        <v>10</v>
      </c>
      <c r="M15484" s="28" t="s">
        <v>51</v>
      </c>
      <c r="N15484" s="27">
        <v>0</v>
      </c>
    </row>
    <row r="15485" spans="1:14" hidden="1" outlineLevel="1" x14ac:dyDescent="0.2">
      <c r="A15485" s="23" t="str">
        <f>HYPERLINK("https://www.spark-marketing.ru/Card/Person/92009", "ГБОУ ЛИЦЕЙ № 387 ИМЕНИ Н.В.БЕЛОУСОВА КИРОВСКОГО РАЙОНА САНКТ-ПЕТЕРБУРГА")</f>
        <v>ГБОУ ЛИЦЕЙ № 387 ИМЕНИ Н.В.БЕЛОУСОВА КИРОВСКОГО РАЙОНА САНКТ-ПЕТЕРБУРГА</v>
      </c>
      <c r="B15485" s="24" t="s">
        <v>20432</v>
      </c>
      <c r="C15485" s="25">
        <v>13932938.220000001</v>
      </c>
      <c r="D15485" s="22" t="s">
        <v>20429</v>
      </c>
      <c r="E15485" s="22" t="s">
        <v>48</v>
      </c>
      <c r="F15485" s="23" t="str">
        <f>HYPERLINK("https://www.spark-marketing.ru/Card/Lot/71634185",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85" s="22" t="s">
        <v>117</v>
      </c>
      <c r="H15485" s="22" t="s">
        <v>117</v>
      </c>
      <c r="I15485" s="26">
        <v>43640.720497685201</v>
      </c>
      <c r="J15485" s="23" t="str">
        <f>HYPERLINK("https://www.spark-marketing.ru/Card/Person/571043", "АО ""КОМБИНАТ ПИТАНИЯ ""КИРОВСКИЙ""")</f>
        <v>АО "КОМБИНАТ ПИТАНИЯ "КИРОВСКИЙ"</v>
      </c>
      <c r="K15485" s="24" t="s">
        <v>20405</v>
      </c>
      <c r="L15485" s="22" t="s">
        <v>10</v>
      </c>
      <c r="M15485" s="28" t="s">
        <v>51</v>
      </c>
      <c r="N15485" s="27">
        <v>0</v>
      </c>
    </row>
    <row r="15486" spans="1:14" x14ac:dyDescent="0.15">
      <c r="A15486" s="23" t="str">
        <f>HYPERLINK("https://www.spark-marketing.ru/Card/Person/1036230", "МБОУ СОШ № 33 Г. ТОМСКА")</f>
        <v>МБОУ СОШ № 33 Г. ТОМСКА</v>
      </c>
      <c r="B15486" s="24" t="s">
        <v>20433</v>
      </c>
      <c r="C15486" s="25">
        <v>637419</v>
      </c>
      <c r="D15486" s="22" t="s">
        <v>20434</v>
      </c>
      <c r="E15486" s="22" t="s">
        <v>48</v>
      </c>
      <c r="F15486" s="23" t="str">
        <f>HYPERLINK("https://www.spark-marketing.ru/Card/Lot/71633601", "Услуги по обеспечению питанием отдельных категорий обучающихся и обучающихся с ограниченными возможностями здоровья МБОУ СОШ №33 г. Томска")</f>
        <v>Услуги по обеспечению питанием отдельных категорий обучающихся и обучающихся с ограниченными возможностями здоровья МБОУ СОШ №33 г. Томска</v>
      </c>
      <c r="G15486" s="22" t="s">
        <v>149</v>
      </c>
      <c r="H15486" s="22" t="s">
        <v>496</v>
      </c>
      <c r="I15486" s="26">
        <v>43640.736111111102</v>
      </c>
      <c r="J15486" s="23" t="str">
        <f>HYPERLINK("https://www.spark-marketing.ru/Card/Person/837643", "Шнурко Наталья Александровна")</f>
        <v>Шнурко Наталья Александровна</v>
      </c>
      <c r="K15486" s="24" t="s">
        <v>17859</v>
      </c>
      <c r="L15486" s="22" t="s">
        <v>10</v>
      </c>
      <c r="M15486" s="28" t="s">
        <v>51</v>
      </c>
      <c r="N15486" s="28" t="s">
        <v>51</v>
      </c>
    </row>
    <row r="15487" spans="1:14" x14ac:dyDescent="0.15">
      <c r="A15487" s="23" t="str">
        <f>HYPERLINK("https://www.spark-marketing.ru/Card/Person/5792", "ГБУЗ ""КУЩЕВСКАЯ ЦРБ"" МЗ КК")</f>
        <v>ГБУЗ "КУЩЕВСКАЯ ЦРБ" МЗ КК</v>
      </c>
      <c r="B15487" s="24" t="s">
        <v>20435</v>
      </c>
      <c r="C15487" s="25">
        <v>17499.93</v>
      </c>
      <c r="D15487" s="22" t="s">
        <v>20436</v>
      </c>
      <c r="E15487" s="22" t="s">
        <v>355</v>
      </c>
      <c r="F15487" s="23" t="str">
        <f>HYPERLINK("https://www.spark-marketing.ru/Card/Lot/71625339", "Оказание услуг по ТО резервного источника питания дизельгениратора")</f>
        <v>Оказание услуг по ТО резервного источника питания дизельгениратора</v>
      </c>
      <c r="G15487" s="22" t="s">
        <v>104</v>
      </c>
      <c r="H15487" s="22" t="s">
        <v>12790</v>
      </c>
      <c r="I15487" s="26">
        <v>43640.720833333296</v>
      </c>
      <c r="J15487" s="28" t="s">
        <v>51</v>
      </c>
      <c r="K15487" s="28" t="s">
        <v>51</v>
      </c>
      <c r="L15487" s="28" t="s">
        <v>51</v>
      </c>
      <c r="M15487" s="28" t="s">
        <v>51</v>
      </c>
      <c r="N15487" s="28" t="s">
        <v>51</v>
      </c>
    </row>
    <row r="15488" spans="1:14" ht="12.75" x14ac:dyDescent="0.2">
      <c r="A15488" s="23" t="str">
        <f>HYPERLINK("https://www.spark-marketing.ru/Card/Person/125989", "МБОУ ""ЦО""ППК""")</f>
        <v>МБОУ "ЦО"ППК"</v>
      </c>
      <c r="B15488" s="24" t="s">
        <v>20437</v>
      </c>
      <c r="C15488" s="25">
        <v>7527752</v>
      </c>
      <c r="D15488" s="22" t="s">
        <v>20438</v>
      </c>
      <c r="E15488" s="22" t="s">
        <v>48</v>
      </c>
      <c r="F15488" s="23" t="str">
        <f>HYPERLINK("https://www.spark-marketing.ru/Card/Lot/71634189", "Услуга общественного питания")</f>
        <v>Услуга общественного питания</v>
      </c>
      <c r="G15488" s="22" t="s">
        <v>415</v>
      </c>
      <c r="H15488" s="22" t="s">
        <v>415</v>
      </c>
      <c r="I15488" s="26">
        <v>43640.711041666698</v>
      </c>
      <c r="J15488" s="23" t="str">
        <f>HYPERLINK("https://www.spark-marketing.ru/Card/Person/125717", "ООО ""РЕГИОН-ПЛЮС""")</f>
        <v>ООО "РЕГИОН-ПЛЮС"</v>
      </c>
      <c r="K15488" s="24" t="s">
        <v>20439</v>
      </c>
      <c r="L15488" s="22" t="s">
        <v>10</v>
      </c>
      <c r="M15488" s="25">
        <v>7000000</v>
      </c>
      <c r="N15488" s="27">
        <v>7.0107516825740276E-2</v>
      </c>
    </row>
    <row r="15489" spans="1:14" x14ac:dyDescent="0.15">
      <c r="A15489" s="23" t="str">
        <f>HYPERLINK("https://www.spark-marketing.ru/Card/Person/4343853", "ГБУЗ СО ""СОКПБ""")</f>
        <v>ГБУЗ СО "СОКПБ"</v>
      </c>
      <c r="B15489" s="24" t="s">
        <v>970</v>
      </c>
      <c r="C15489" s="25">
        <v>4965840</v>
      </c>
      <c r="D15489" s="22" t="s">
        <v>20440</v>
      </c>
      <c r="E15489" s="22" t="s">
        <v>51</v>
      </c>
      <c r="F15489" s="23" t="str">
        <f>HYPERLINK("https://www.spark-marketing.ru/Card/Lot/71621601", "Услуги по организации питания пациентов (филиал «Полевская психиатрическая больница»)")</f>
        <v>Услуги по организации питания пациентов (филиал «Полевская психиатрическая больница»)</v>
      </c>
      <c r="G15489" s="22" t="s">
        <v>174</v>
      </c>
      <c r="H15489" s="22" t="s">
        <v>530</v>
      </c>
      <c r="I15489" s="26">
        <v>43640.725694444402</v>
      </c>
      <c r="J15489" s="28" t="s">
        <v>51</v>
      </c>
      <c r="K15489" s="28" t="s">
        <v>51</v>
      </c>
      <c r="L15489" s="28" t="s">
        <v>51</v>
      </c>
      <c r="M15489" s="28" t="s">
        <v>51</v>
      </c>
      <c r="N15489" s="28" t="s">
        <v>51</v>
      </c>
    </row>
    <row r="15490" spans="1:14" hidden="1" outlineLevel="1" x14ac:dyDescent="0.2">
      <c r="A15490" s="23" t="str">
        <f>HYPERLINK("https://www.spark-marketing.ru/Card/Person/4343853", "ГБУЗ СО ""СОКПБ""")</f>
        <v>ГБУЗ СО "СОКПБ"</v>
      </c>
      <c r="B15490" s="24" t="s">
        <v>970</v>
      </c>
      <c r="C15490" s="25">
        <v>4965840</v>
      </c>
      <c r="D15490" s="22" t="s">
        <v>20440</v>
      </c>
      <c r="E15490" s="22" t="s">
        <v>51</v>
      </c>
      <c r="F15490" s="23" t="str">
        <f>HYPERLINK("https://www.spark-marketing.ru/Card/Lot/71621601", "Услуги по организации питания пациентов (филиал «Полевская психиатрическая больница»)")</f>
        <v>Услуги по организации питания пациентов (филиал «Полевская психиатрическая больница»)</v>
      </c>
      <c r="G15490" s="22" t="s">
        <v>174</v>
      </c>
      <c r="H15490" s="22" t="s">
        <v>530</v>
      </c>
      <c r="I15490" s="26">
        <v>43640.725694444402</v>
      </c>
      <c r="J15490" s="23" t="str">
        <f>HYPERLINK("https://www.spark-marketing.ru/Card/Person/4868934", "ООО ""АЗБУКА ПИТАНИЯ""")</f>
        <v>ООО "АЗБУКА ПИТАНИЯ"</v>
      </c>
      <c r="K15490" s="24" t="s">
        <v>2534</v>
      </c>
      <c r="L15490" s="28" t="s">
        <v>51</v>
      </c>
      <c r="M15490" s="25">
        <v>3724380</v>
      </c>
      <c r="N15490" s="27">
        <v>0.25</v>
      </c>
    </row>
    <row r="15491" spans="1:14" ht="12.75" hidden="1" outlineLevel="1" x14ac:dyDescent="0.2">
      <c r="A15491" s="23" t="str">
        <f>HYPERLINK("https://www.spark-marketing.ru/Card/Person/4343853", "ГБУЗ СО ""СОКПБ""")</f>
        <v>ГБУЗ СО "СОКПБ"</v>
      </c>
      <c r="B15491" s="24" t="s">
        <v>970</v>
      </c>
      <c r="C15491" s="25">
        <v>4965840</v>
      </c>
      <c r="D15491" s="22" t="s">
        <v>20440</v>
      </c>
      <c r="E15491" s="22" t="s">
        <v>51</v>
      </c>
      <c r="F15491" s="23" t="str">
        <f>HYPERLINK("https://www.spark-marketing.ru/Card/Lot/71621601", "Услуги по организации питания пациентов (филиал «Полевская психиатрическая больница»)")</f>
        <v>Услуги по организации питания пациентов (филиал «Полевская психиатрическая больница»)</v>
      </c>
      <c r="G15491" s="22" t="s">
        <v>174</v>
      </c>
      <c r="H15491" s="22" t="s">
        <v>530</v>
      </c>
      <c r="I15491" s="26">
        <v>43640.725694444402</v>
      </c>
      <c r="J15491" s="23" t="str">
        <f>HYPERLINK("https://www.spark-marketing.ru/Card/Person/142277", "ООО ""ОКЕЙТЕРИНГ""")</f>
        <v>ООО "ОКЕЙТЕРИНГ"</v>
      </c>
      <c r="K15491" s="24" t="s">
        <v>2533</v>
      </c>
      <c r="L15491" s="22" t="s">
        <v>10</v>
      </c>
      <c r="M15491" s="25">
        <v>3699550.8</v>
      </c>
      <c r="N15491" s="27">
        <v>0.255</v>
      </c>
    </row>
    <row r="15492" spans="1:14" x14ac:dyDescent="0.15">
      <c r="A15492" s="23" t="str">
        <f>HYPERLINK("https://www.spark-marketing.ru/Card/Person/4478", "ГБУ ""ЦЕНТР МОЛОДЕЖИ""")</f>
        <v>ГБУ "ЦЕНТР МОЛОДЕЖИ"</v>
      </c>
      <c r="B15492" s="24" t="s">
        <v>16872</v>
      </c>
      <c r="C15492" s="25">
        <v>446400</v>
      </c>
      <c r="D15492" s="22" t="s">
        <v>20441</v>
      </c>
      <c r="E15492" s="22" t="s">
        <v>96</v>
      </c>
      <c r="F15492" s="23" t="str">
        <f>HYPERLINK("https://www.spark-marketing.ru/Card/Lot/71631763", "Оказание услуг по организации питания в пути следования поездами для детей и молодежи Калининградской области по городам России")</f>
        <v>Оказание услуг по организации питания в пути следования поездами для детей и молодежи Калининградской области по городам России</v>
      </c>
      <c r="G15492" s="22" t="s">
        <v>400</v>
      </c>
      <c r="H15492" s="22" t="s">
        <v>401</v>
      </c>
      <c r="I15492" s="26">
        <v>43640.716666666704</v>
      </c>
      <c r="J15492" s="28" t="s">
        <v>51</v>
      </c>
      <c r="K15492" s="28" t="s">
        <v>51</v>
      </c>
      <c r="L15492" s="28" t="s">
        <v>51</v>
      </c>
      <c r="M15492" s="28" t="s">
        <v>51</v>
      </c>
      <c r="N15492" s="28" t="s">
        <v>51</v>
      </c>
    </row>
    <row r="15493" spans="1:14" ht="12.75" hidden="1" outlineLevel="1" x14ac:dyDescent="0.2">
      <c r="A15493" s="23" t="str">
        <f>HYPERLINK("https://www.spark-marketing.ru/Card/Person/4478", "ГБУ ""ЦЕНТР МОЛОДЕЖИ""")</f>
        <v>ГБУ "ЦЕНТР МОЛОДЕЖИ"</v>
      </c>
      <c r="B15493" s="24" t="s">
        <v>16872</v>
      </c>
      <c r="C15493" s="25">
        <v>446400</v>
      </c>
      <c r="D15493" s="22" t="s">
        <v>20441</v>
      </c>
      <c r="E15493" s="22" t="s">
        <v>96</v>
      </c>
      <c r="F15493" s="23" t="str">
        <f>HYPERLINK("https://www.spark-marketing.ru/Card/Lot/71631763", "Оказание услуг по организации питания в пути следования поездами для детей и молодежи Калининградской области по городам России")</f>
        <v>Оказание услуг по организации питания в пути следования поездами для детей и молодежи Калининградской области по городам России</v>
      </c>
      <c r="G15493" s="22" t="s">
        <v>400</v>
      </c>
      <c r="H15493" s="22" t="s">
        <v>401</v>
      </c>
      <c r="I15493" s="26">
        <v>43640.716666666704</v>
      </c>
      <c r="J15493" s="23" t="str">
        <f>HYPERLINK("https://www.spark-marketing.ru/Card/Person/144774", "ООО ""ТДМ""")</f>
        <v>ООО "ТДМ"</v>
      </c>
      <c r="K15493" s="24" t="s">
        <v>16874</v>
      </c>
      <c r="L15493" s="22" t="s">
        <v>10</v>
      </c>
      <c r="M15493" s="25">
        <v>446400</v>
      </c>
      <c r="N15493" s="27">
        <v>0</v>
      </c>
    </row>
    <row r="15494" spans="1:14" hidden="1" outlineLevel="1" x14ac:dyDescent="0.2">
      <c r="A15494" s="23" t="str">
        <f>HYPERLINK("https://www.spark-marketing.ru/Card/Person/4478", "ГБУ ""ЦЕНТР МОЛОДЕЖИ""")</f>
        <v>ГБУ "ЦЕНТР МОЛОДЕЖИ"</v>
      </c>
      <c r="B15494" s="24" t="s">
        <v>16872</v>
      </c>
      <c r="C15494" s="25">
        <v>446400</v>
      </c>
      <c r="D15494" s="22" t="s">
        <v>20441</v>
      </c>
      <c r="E15494" s="22" t="s">
        <v>96</v>
      </c>
      <c r="F15494" s="23" t="str">
        <f>HYPERLINK("https://www.spark-marketing.ru/Card/Lot/71631763", "Оказание услуг по организации питания в пути следования поездами для детей и молодежи Калининградской области по городам России")</f>
        <v>Оказание услуг по организации питания в пути следования поездами для детей и молодежи Калининградской области по городам России</v>
      </c>
      <c r="G15494" s="22" t="s">
        <v>400</v>
      </c>
      <c r="H15494" s="22" t="s">
        <v>401</v>
      </c>
      <c r="I15494" s="26">
        <v>43640.716666666704</v>
      </c>
      <c r="J15494" s="23" t="str">
        <f>HYPERLINK("https://www.spark-marketing.ru/Card/Person/135341", "ООО ""ГРУППА КОМПАНИЙ ""АНТАЛИЯ""")</f>
        <v>ООО "ГРУППА КОМПАНИЙ "АНТАЛИЯ"</v>
      </c>
      <c r="K15494" s="24" t="s">
        <v>16875</v>
      </c>
      <c r="L15494" s="28" t="s">
        <v>51</v>
      </c>
      <c r="M15494" s="25">
        <v>446400</v>
      </c>
      <c r="N15494" s="27">
        <v>0</v>
      </c>
    </row>
    <row r="15495" spans="1:14" x14ac:dyDescent="0.2">
      <c r="A15495" s="23" t="s">
        <v>114</v>
      </c>
      <c r="B15495" s="28" t="s">
        <v>51</v>
      </c>
      <c r="C15495" s="25">
        <v>39960889.689999998</v>
      </c>
      <c r="D15495" s="22" t="s">
        <v>20442</v>
      </c>
      <c r="E15495" s="22" t="s">
        <v>48</v>
      </c>
      <c r="F15495" s="23" t="str">
        <f>HYPERLINK("https://www.spark-marketing.ru/Card/Lot/71622884",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95" s="22" t="s">
        <v>51</v>
      </c>
      <c r="H15495" s="22" t="s">
        <v>51</v>
      </c>
      <c r="I15495" s="26">
        <v>43640.689583333296</v>
      </c>
      <c r="J15495" s="23" t="str">
        <f t="shared" ref="J15495:J15504" si="529">HYPERLINK("https://www.spark-marketing.ru/Card/Person/571043", "АО ""КОМБИНАТ ПИТАНИЯ ""КИРОВСКИЙ""")</f>
        <v>АО "КОМБИНАТ ПИТАНИЯ "КИРОВСКИЙ"</v>
      </c>
      <c r="K15495" s="24" t="s">
        <v>20405</v>
      </c>
      <c r="L15495" s="22" t="s">
        <v>10</v>
      </c>
      <c r="M15495" s="25">
        <v>39960889.689999998</v>
      </c>
      <c r="N15495" s="27">
        <v>0</v>
      </c>
    </row>
    <row r="15496" spans="1:14" hidden="1" outlineLevel="1" x14ac:dyDescent="0.2">
      <c r="A15496" s="23" t="str">
        <f>HYPERLINK("https://www.spark-marketing.ru/Card/Person/61392", "ГБОУ СОШ №221 КИРОВСКОГО РАЙОНА САНКТ-ПЕТЕРБУРГА")</f>
        <v>ГБОУ СОШ №221 КИРОВСКОГО РАЙОНА САНКТ-ПЕТЕРБУРГА</v>
      </c>
      <c r="B15496" s="24" t="s">
        <v>20443</v>
      </c>
      <c r="C15496" s="25">
        <v>14261094.4</v>
      </c>
      <c r="D15496" s="22" t="s">
        <v>20442</v>
      </c>
      <c r="E15496" s="22" t="s">
        <v>48</v>
      </c>
      <c r="F15496" s="23" t="str">
        <f>HYPERLINK("https://www.spark-marketing.ru/Card/Lot/71622884",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96" s="22" t="s">
        <v>117</v>
      </c>
      <c r="H15496" s="22" t="s">
        <v>117</v>
      </c>
      <c r="I15496" s="26">
        <v>43640.689583333296</v>
      </c>
      <c r="J15496" s="23" t="str">
        <f t="shared" si="529"/>
        <v>АО "КОМБИНАТ ПИТАНИЯ "КИРОВСКИЙ"</v>
      </c>
      <c r="K15496" s="24" t="s">
        <v>20405</v>
      </c>
      <c r="L15496" s="22" t="s">
        <v>10</v>
      </c>
      <c r="M15496" s="28" t="s">
        <v>51</v>
      </c>
      <c r="N15496" s="27">
        <v>0</v>
      </c>
    </row>
    <row r="15497" spans="1:14" hidden="1" outlineLevel="1" x14ac:dyDescent="0.2">
      <c r="A15497" s="23" t="str">
        <f>HYPERLINK("https://www.spark-marketing.ru/Card/Person/91764", "ГБОУ ЦО № 162 КИРОВСКОГО РАЙОНА САНКТ-ПЕТЕРБУРГА")</f>
        <v>ГБОУ ЦО № 162 КИРОВСКОГО РАЙОНА САНКТ-ПЕТЕРБУРГА</v>
      </c>
      <c r="B15497" s="24" t="s">
        <v>20444</v>
      </c>
      <c r="C15497" s="25">
        <v>1683447.23</v>
      </c>
      <c r="D15497" s="22" t="s">
        <v>20442</v>
      </c>
      <c r="E15497" s="22" t="s">
        <v>48</v>
      </c>
      <c r="F15497" s="23" t="str">
        <f>HYPERLINK("https://www.spark-marketing.ru/Card/Lot/71622884",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97" s="22" t="s">
        <v>117</v>
      </c>
      <c r="H15497" s="22" t="s">
        <v>117</v>
      </c>
      <c r="I15497" s="26">
        <v>43640.689583333296</v>
      </c>
      <c r="J15497" s="23" t="str">
        <f t="shared" si="529"/>
        <v>АО "КОМБИНАТ ПИТАНИЯ "КИРОВСКИЙ"</v>
      </c>
      <c r="K15497" s="24" t="s">
        <v>20405</v>
      </c>
      <c r="L15497" s="22" t="s">
        <v>10</v>
      </c>
      <c r="M15497" s="28" t="s">
        <v>51</v>
      </c>
      <c r="N15497" s="27">
        <v>0</v>
      </c>
    </row>
    <row r="15498" spans="1:14" hidden="1" outlineLevel="1" x14ac:dyDescent="0.2">
      <c r="A15498" s="23" t="str">
        <f>HYPERLINK("https://www.spark-marketing.ru/Card/Person/91969", "ГБОУ СОШ № 223 С УГЛУБЛЕННЫМ ИЗУЧЕНИЕМ НЕМЕЦКОГО ЯЗЫКА КИРОВСКОГО РАЙОНА САНКТ-ПЕТЕРБУРГА")</f>
        <v>ГБОУ СОШ № 223 С УГЛУБЛЕННЫМ ИЗУЧЕНИЕМ НЕМЕЦКОГО ЯЗЫКА КИРОВСКОГО РАЙОНА САНКТ-ПЕТЕРБУРГА</v>
      </c>
      <c r="B15498" s="24" t="s">
        <v>20445</v>
      </c>
      <c r="C15498" s="25">
        <v>10805080.449999999</v>
      </c>
      <c r="D15498" s="22" t="s">
        <v>20442</v>
      </c>
      <c r="E15498" s="22" t="s">
        <v>48</v>
      </c>
      <c r="F15498" s="23" t="str">
        <f>HYPERLINK("https://www.spark-marketing.ru/Card/Lot/71622884",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98" s="22" t="s">
        <v>117</v>
      </c>
      <c r="H15498" s="22" t="s">
        <v>117</v>
      </c>
      <c r="I15498" s="26">
        <v>43640.689583333296</v>
      </c>
      <c r="J15498" s="23" t="str">
        <f t="shared" si="529"/>
        <v>АО "КОМБИНАТ ПИТАНИЯ "КИРОВСКИЙ"</v>
      </c>
      <c r="K15498" s="24" t="s">
        <v>20405</v>
      </c>
      <c r="L15498" s="22" t="s">
        <v>10</v>
      </c>
      <c r="M15498" s="28" t="s">
        <v>51</v>
      </c>
      <c r="N15498" s="27">
        <v>0</v>
      </c>
    </row>
    <row r="15499" spans="1:14" hidden="1" outlineLevel="1" x14ac:dyDescent="0.2">
      <c r="A15499" s="23" t="str">
        <f>HYPERLINK("https://www.spark-marketing.ru/Card/Person/92418", "ГБОУ ЛИЦЕЙ № 384 КИРОВСКОГО РАЙОНА САНКТ-ПЕТЕРБУРГА")</f>
        <v>ГБОУ ЛИЦЕЙ № 384 КИРОВСКОГО РАЙОНА САНКТ-ПЕТЕРБУРГА</v>
      </c>
      <c r="B15499" s="24" t="s">
        <v>20446</v>
      </c>
      <c r="C15499" s="25">
        <v>13211267.609999999</v>
      </c>
      <c r="D15499" s="22" t="s">
        <v>20442</v>
      </c>
      <c r="E15499" s="22" t="s">
        <v>48</v>
      </c>
      <c r="F15499" s="23" t="str">
        <f>HYPERLINK("https://www.spark-marketing.ru/Card/Lot/71622884",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499" s="22" t="s">
        <v>117</v>
      </c>
      <c r="H15499" s="22" t="s">
        <v>117</v>
      </c>
      <c r="I15499" s="26">
        <v>43640.689583333296</v>
      </c>
      <c r="J15499" s="23" t="str">
        <f t="shared" si="529"/>
        <v>АО "КОМБИНАТ ПИТАНИЯ "КИРОВСКИЙ"</v>
      </c>
      <c r="K15499" s="24" t="s">
        <v>20405</v>
      </c>
      <c r="L15499" s="22" t="s">
        <v>10</v>
      </c>
      <c r="M15499" s="28" t="s">
        <v>51</v>
      </c>
      <c r="N15499" s="27">
        <v>0</v>
      </c>
    </row>
    <row r="15500" spans="1:14" x14ac:dyDescent="0.2">
      <c r="A15500" s="23" t="s">
        <v>114</v>
      </c>
      <c r="B15500" s="28" t="s">
        <v>51</v>
      </c>
      <c r="C15500" s="25">
        <v>39845656.789999999</v>
      </c>
      <c r="D15500" s="22" t="s">
        <v>20447</v>
      </c>
      <c r="E15500" s="22" t="s">
        <v>48</v>
      </c>
      <c r="F15500" s="23" t="str">
        <f>HYPERLINK("https://www.spark-marketing.ru/Card/Lot/71622880",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00" s="22" t="s">
        <v>51</v>
      </c>
      <c r="H15500" s="22" t="s">
        <v>51</v>
      </c>
      <c r="I15500" s="26">
        <v>43640.668055555601</v>
      </c>
      <c r="J15500" s="23" t="str">
        <f t="shared" si="529"/>
        <v>АО "КОМБИНАТ ПИТАНИЯ "КИРОВСКИЙ"</v>
      </c>
      <c r="K15500" s="24" t="s">
        <v>20405</v>
      </c>
      <c r="L15500" s="22" t="s">
        <v>10</v>
      </c>
      <c r="M15500" s="25">
        <v>39845656.789999999</v>
      </c>
      <c r="N15500" s="27">
        <v>0</v>
      </c>
    </row>
    <row r="15501" spans="1:14" hidden="1" outlineLevel="1" x14ac:dyDescent="0.2">
      <c r="A15501" s="23" t="str">
        <f>HYPERLINK("https://www.spark-marketing.ru/Card/Person/19270", "ГБОУ СОШ № 585 КИРОВСКОГО РАЙОНА САНКТ-ПЕТЕРБУРГА")</f>
        <v>ГБОУ СОШ № 585 КИРОВСКОГО РАЙОНА САНКТ-ПЕТЕРБУРГА</v>
      </c>
      <c r="B15501" s="24" t="s">
        <v>20448</v>
      </c>
      <c r="C15501" s="25">
        <v>11638811.67</v>
      </c>
      <c r="D15501" s="22" t="s">
        <v>20447</v>
      </c>
      <c r="E15501" s="22" t="s">
        <v>48</v>
      </c>
      <c r="F15501" s="23" t="str">
        <f>HYPERLINK("https://www.spark-marketing.ru/Card/Lot/71622880",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01" s="22" t="s">
        <v>117</v>
      </c>
      <c r="H15501" s="22" t="s">
        <v>117</v>
      </c>
      <c r="I15501" s="26">
        <v>43640.668055555601</v>
      </c>
      <c r="J15501" s="23" t="str">
        <f t="shared" si="529"/>
        <v>АО "КОМБИНАТ ПИТАНИЯ "КИРОВСКИЙ"</v>
      </c>
      <c r="K15501" s="24" t="s">
        <v>20405</v>
      </c>
      <c r="L15501" s="22" t="s">
        <v>10</v>
      </c>
      <c r="M15501" s="28" t="s">
        <v>51</v>
      </c>
      <c r="N15501" s="27">
        <v>0</v>
      </c>
    </row>
    <row r="15502" spans="1:14" hidden="1" outlineLevel="1" x14ac:dyDescent="0.2">
      <c r="A15502" s="23" t="str">
        <f>HYPERLINK("https://www.spark-marketing.ru/Card/Person/80722", "ГБОУ СОШ № 274 С УГЛУБЛЕННЫМ ИЗУЧЕНИЕМ ИНОСТРАННЫХ ЯЗЫКОВ КИРОВСКОГО РАЙОНА САНКТ-ПЕТЕРБУРГА")</f>
        <v>ГБОУ СОШ № 274 С УГЛУБЛЕННЫМ ИЗУЧЕНИЕМ ИНОСТРАННЫХ ЯЗЫКОВ КИРОВСКОГО РАЙОНА САНКТ-ПЕТЕРБУРГА</v>
      </c>
      <c r="B15502" s="24" t="s">
        <v>20449</v>
      </c>
      <c r="C15502" s="25">
        <v>8966707.1500000004</v>
      </c>
      <c r="D15502" s="22" t="s">
        <v>20447</v>
      </c>
      <c r="E15502" s="22" t="s">
        <v>48</v>
      </c>
      <c r="F15502" s="23" t="str">
        <f>HYPERLINK("https://www.spark-marketing.ru/Card/Lot/71622880",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02" s="22" t="s">
        <v>117</v>
      </c>
      <c r="H15502" s="22" t="s">
        <v>117</v>
      </c>
      <c r="I15502" s="26">
        <v>43640.668055555601</v>
      </c>
      <c r="J15502" s="23" t="str">
        <f t="shared" si="529"/>
        <v>АО "КОМБИНАТ ПИТАНИЯ "КИРОВСКИЙ"</v>
      </c>
      <c r="K15502" s="24" t="s">
        <v>20405</v>
      </c>
      <c r="L15502" s="22" t="s">
        <v>10</v>
      </c>
      <c r="M15502" s="28" t="s">
        <v>51</v>
      </c>
      <c r="N15502" s="27">
        <v>0</v>
      </c>
    </row>
    <row r="15503" spans="1:14" hidden="1" outlineLevel="1" x14ac:dyDescent="0.2">
      <c r="A15503" s="23" t="str">
        <f>HYPERLINK("https://www.spark-marketing.ru/Card/Person/92021", "ГБОУ СОШ № 506 С УГЛУБЛЕННЫМ ИЗУЧЕНИЕМ ИНОСТРАННЫХ ЯЗЫКОВ КИРОВСКОГО РАЙОНА САНКТ-ПЕТЕРБУРГА")</f>
        <v>ГБОУ СОШ № 506 С УГЛУБЛЕННЫМ ИЗУЧЕНИЕМ ИНОСТРАННЫХ ЯЗЫКОВ КИРОВСКОГО РАЙОНА САНКТ-ПЕТЕРБУРГА</v>
      </c>
      <c r="B15503" s="24" t="s">
        <v>20450</v>
      </c>
      <c r="C15503" s="25">
        <v>8368875.7599999998</v>
      </c>
      <c r="D15503" s="22" t="s">
        <v>20447</v>
      </c>
      <c r="E15503" s="22" t="s">
        <v>48</v>
      </c>
      <c r="F15503" s="23" t="str">
        <f>HYPERLINK("https://www.spark-marketing.ru/Card/Lot/71622880",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03" s="22" t="s">
        <v>117</v>
      </c>
      <c r="H15503" s="22" t="s">
        <v>117</v>
      </c>
      <c r="I15503" s="26">
        <v>43640.668055555601</v>
      </c>
      <c r="J15503" s="23" t="str">
        <f t="shared" si="529"/>
        <v>АО "КОМБИНАТ ПИТАНИЯ "КИРОВСКИЙ"</v>
      </c>
      <c r="K15503" s="24" t="s">
        <v>20405</v>
      </c>
      <c r="L15503" s="22" t="s">
        <v>10</v>
      </c>
      <c r="M15503" s="28" t="s">
        <v>51</v>
      </c>
      <c r="N15503" s="27">
        <v>0</v>
      </c>
    </row>
    <row r="15504" spans="1:14" hidden="1" outlineLevel="1" x14ac:dyDescent="0.2">
      <c r="A15504" s="23" t="str">
        <f>HYPERLINK("https://www.spark-marketing.ru/Card/Person/92475", "ГБОУ ГИМНАЗИЯ № 248 САНКТ-ПЕТЕРБУРГА")</f>
        <v>ГБОУ ГИМНАЗИЯ № 248 САНКТ-ПЕТЕРБУРГА</v>
      </c>
      <c r="B15504" s="24" t="s">
        <v>20451</v>
      </c>
      <c r="C15504" s="25">
        <v>10871262.210000001</v>
      </c>
      <c r="D15504" s="22" t="s">
        <v>20447</v>
      </c>
      <c r="E15504" s="22" t="s">
        <v>48</v>
      </c>
      <c r="F15504" s="23" t="str">
        <f>HYPERLINK("https://www.spark-marketing.ru/Card/Lot/71622880",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04" s="22" t="s">
        <v>117</v>
      </c>
      <c r="H15504" s="22" t="s">
        <v>117</v>
      </c>
      <c r="I15504" s="26">
        <v>43640.668055555601</v>
      </c>
      <c r="J15504" s="23" t="str">
        <f t="shared" si="529"/>
        <v>АО "КОМБИНАТ ПИТАНИЯ "КИРОВСКИЙ"</v>
      </c>
      <c r="K15504" s="24" t="s">
        <v>20405</v>
      </c>
      <c r="L15504" s="22" t="s">
        <v>10</v>
      </c>
      <c r="M15504" s="28" t="s">
        <v>51</v>
      </c>
      <c r="N15504" s="27">
        <v>0</v>
      </c>
    </row>
    <row r="15505" spans="1:14" x14ac:dyDescent="0.2">
      <c r="A15505" s="23" t="str">
        <f>HYPERLINK("https://www.spark-marketing.ru/Card/Person/268823", "ГАУ АО ""РЦСП ""ВОЛГАРЬ""")</f>
        <v>ГАУ АО "РЦСП "ВОЛГАРЬ"</v>
      </c>
      <c r="B15505" s="24" t="s">
        <v>767</v>
      </c>
      <c r="C15505" s="25">
        <v>1560000</v>
      </c>
      <c r="D15505" s="22" t="s">
        <v>20452</v>
      </c>
      <c r="E15505" s="22" t="s">
        <v>769</v>
      </c>
      <c r="F15505" s="23" t="str">
        <f>HYPERLINK("https://www.spark-marketing.ru/Card/Lot/71616292", "Услуги гостиниц с различными типами предприятий общественного питания")</f>
        <v>Услуги гостиниц с различными типами предприятий общественного питания</v>
      </c>
      <c r="G15505" s="22" t="s">
        <v>141</v>
      </c>
      <c r="H15505" s="22" t="s">
        <v>141</v>
      </c>
      <c r="I15505" s="26">
        <v>43640.678993055597</v>
      </c>
      <c r="J15505" s="23" t="str">
        <f>HYPERLINK("https://www.spark-marketing.ru/Card/Person/2084312", "ООО ""КМВ ТУР""")</f>
        <v>ООО "КМВ ТУР"</v>
      </c>
      <c r="K15505" s="24" t="s">
        <v>20453</v>
      </c>
      <c r="L15505" s="28" t="s">
        <v>51</v>
      </c>
      <c r="M15505" s="25">
        <v>1560000</v>
      </c>
      <c r="N15505" s="27">
        <v>0</v>
      </c>
    </row>
    <row r="15506" spans="1:14" x14ac:dyDescent="0.15">
      <c r="A15506" s="23" t="str">
        <f>HYPERLINK("https://www.spark-marketing.ru/Card/Person/137405", "МБОУ СОШ №22 Г. СТАВРОПОЛЯ")</f>
        <v>МБОУ СОШ №22 Г. СТАВРОПОЛЯ</v>
      </c>
      <c r="B15506" s="24" t="s">
        <v>20454</v>
      </c>
      <c r="C15506" s="25">
        <v>1499694</v>
      </c>
      <c r="D15506" s="22" t="s">
        <v>20455</v>
      </c>
      <c r="E15506" s="22" t="s">
        <v>48</v>
      </c>
      <c r="F15506" s="23" t="str">
        <f>HYPERLINK("https://www.spark-marketing.ru/Card/Lot/71634120", "услуги по организации питания учащихся МБОУ СОШ №22 г. Ставрополя в сентябре-декабре 2019")</f>
        <v>услуги по организации питания учащихся МБОУ СОШ №22 г. Ставрополя в сентябре-декабре 2019</v>
      </c>
      <c r="G15506" s="22" t="s">
        <v>87</v>
      </c>
      <c r="H15506" s="22" t="s">
        <v>87</v>
      </c>
      <c r="I15506" s="26">
        <v>43640.686168981498</v>
      </c>
      <c r="J15506" s="23" t="str">
        <f>HYPERLINK("https://www.spark-marketing.ru/Card/Person/213142", "Звягина Надежда Ильинична")</f>
        <v>Звягина Надежда Ильинична</v>
      </c>
      <c r="K15506" s="24" t="s">
        <v>12311</v>
      </c>
      <c r="L15506" s="22" t="s">
        <v>10</v>
      </c>
      <c r="M15506" s="28" t="s">
        <v>51</v>
      </c>
      <c r="N15506" s="28" t="s">
        <v>51</v>
      </c>
    </row>
    <row r="15507" spans="1:14" x14ac:dyDescent="0.2">
      <c r="A15507" s="23" t="s">
        <v>114</v>
      </c>
      <c r="B15507" s="28" t="s">
        <v>51</v>
      </c>
      <c r="C15507" s="25">
        <v>39953574.799999997</v>
      </c>
      <c r="D15507" s="22" t="s">
        <v>20456</v>
      </c>
      <c r="E15507" s="22" t="s">
        <v>48</v>
      </c>
      <c r="F15507" s="23" t="str">
        <f>HYPERLINK("https://www.spark-marketing.ru/Card/Lot/71622882",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07" s="22" t="s">
        <v>51</v>
      </c>
      <c r="H15507" s="22" t="s">
        <v>51</v>
      </c>
      <c r="I15507" s="26">
        <v>43640.688194444403</v>
      </c>
      <c r="J15507" s="23" t="str">
        <f>HYPERLINK("https://www.spark-marketing.ru/Card/Person/571043", "АО ""КОМБИНАТ ПИТАНИЯ ""КИРОВСКИЙ""")</f>
        <v>АО "КОМБИНАТ ПИТАНИЯ "КИРОВСКИЙ"</v>
      </c>
      <c r="K15507" s="24" t="s">
        <v>20405</v>
      </c>
      <c r="L15507" s="22" t="s">
        <v>10</v>
      </c>
      <c r="M15507" s="25">
        <v>39953574.799999997</v>
      </c>
      <c r="N15507" s="27">
        <v>0</v>
      </c>
    </row>
    <row r="15508" spans="1:14" hidden="1" outlineLevel="1" x14ac:dyDescent="0.2">
      <c r="A15508" s="23" t="str">
        <f>HYPERLINK("https://www.spark-marketing.ru/Card/Person/81701", "ГБОУ СОШ № 283 КИРОВСКОГО РАЙОНА САНКТ-ПЕТЕРБУРГА")</f>
        <v>ГБОУ СОШ № 283 КИРОВСКОГО РАЙОНА САНКТ-ПЕТЕРБУРГА</v>
      </c>
      <c r="B15508" s="24" t="s">
        <v>20457</v>
      </c>
      <c r="C15508" s="25">
        <v>15980646.720000001</v>
      </c>
      <c r="D15508" s="22" t="s">
        <v>20456</v>
      </c>
      <c r="E15508" s="22" t="s">
        <v>48</v>
      </c>
      <c r="F15508" s="23" t="str">
        <f>HYPERLINK("https://www.spark-marketing.ru/Card/Lot/71622882",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08" s="22" t="s">
        <v>117</v>
      </c>
      <c r="H15508" s="22" t="s">
        <v>117</v>
      </c>
      <c r="I15508" s="26">
        <v>43640.688194444403</v>
      </c>
      <c r="J15508" s="23" t="str">
        <f>HYPERLINK("https://www.spark-marketing.ru/Card/Person/571043", "АО ""КОМБИНАТ ПИТАНИЯ ""КИРОВСКИЙ""")</f>
        <v>АО "КОМБИНАТ ПИТАНИЯ "КИРОВСКИЙ"</v>
      </c>
      <c r="K15508" s="24" t="s">
        <v>20405</v>
      </c>
      <c r="L15508" s="22" t="s">
        <v>10</v>
      </c>
      <c r="M15508" s="28" t="s">
        <v>51</v>
      </c>
      <c r="N15508" s="27">
        <v>0</v>
      </c>
    </row>
    <row r="15509" spans="1:14" hidden="1" outlineLevel="1" x14ac:dyDescent="0.2">
      <c r="A15509" s="23" t="str">
        <f>HYPERLINK("https://www.spark-marketing.ru/Card/Person/91610", "ГБОУ СОШ № 481 С УГЛУБЛЕННЫМ ИЗУЧЕНИЕМ НЕМЕЦКОГО ЯЗЫКА КИРОВСКОГО РАЙОНА САНКТ-ПЕТЕРБУРГА")</f>
        <v>ГБОУ СОШ № 481 С УГЛУБЛЕННЫМ ИЗУЧЕНИЕМ НЕМЕЦКОГО ЯЗЫКА КИРОВСКОГО РАЙОНА САНКТ-ПЕТЕРБУРГА</v>
      </c>
      <c r="B15509" s="24" t="s">
        <v>20458</v>
      </c>
      <c r="C15509" s="25">
        <v>9416911.5399999991</v>
      </c>
      <c r="D15509" s="22" t="s">
        <v>20456</v>
      </c>
      <c r="E15509" s="22" t="s">
        <v>48</v>
      </c>
      <c r="F15509" s="23" t="str">
        <f>HYPERLINK("https://www.spark-marketing.ru/Card/Lot/71622882",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09" s="22" t="s">
        <v>117</v>
      </c>
      <c r="H15509" s="22" t="s">
        <v>117</v>
      </c>
      <c r="I15509" s="26">
        <v>43640.688194444403</v>
      </c>
      <c r="J15509" s="23" t="str">
        <f>HYPERLINK("https://www.spark-marketing.ru/Card/Person/571043", "АО ""КОМБИНАТ ПИТАНИЯ ""КИРОВСКИЙ""")</f>
        <v>АО "КОМБИНАТ ПИТАНИЯ "КИРОВСКИЙ"</v>
      </c>
      <c r="K15509" s="24" t="s">
        <v>20405</v>
      </c>
      <c r="L15509" s="22" t="s">
        <v>10</v>
      </c>
      <c r="M15509" s="28" t="s">
        <v>51</v>
      </c>
      <c r="N15509" s="27">
        <v>0</v>
      </c>
    </row>
    <row r="15510" spans="1:14" hidden="1" outlineLevel="1" x14ac:dyDescent="0.2">
      <c r="A15510" s="23" t="str">
        <f>HYPERLINK("https://www.spark-marketing.ru/Card/Person/92821", "ГБОУ СОШ № 504 С УГЛУБЛЕННЫМ ИЗУЧЕНИЕМ АНГЛИЙСКОГО ЯЗЫКА КИРОВСКОГО РАЙОНА САНКТ-ПЕТЕРБУРГА")</f>
        <v>ГБОУ СОШ № 504 С УГЛУБЛЕННЫМ ИЗУЧЕНИЕМ АНГЛИЙСКОГО ЯЗЫКА КИРОВСКОГО РАЙОНА САНКТ-ПЕТЕРБУРГА</v>
      </c>
      <c r="B15510" s="24" t="s">
        <v>20459</v>
      </c>
      <c r="C15510" s="25">
        <v>14556016.539999999</v>
      </c>
      <c r="D15510" s="22" t="s">
        <v>20456</v>
      </c>
      <c r="E15510" s="22" t="s">
        <v>48</v>
      </c>
      <c r="F15510" s="23" t="str">
        <f>HYPERLINK("https://www.spark-marketing.ru/Card/Lot/71622882",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10" s="22" t="s">
        <v>117</v>
      </c>
      <c r="H15510" s="22" t="s">
        <v>117</v>
      </c>
      <c r="I15510" s="26">
        <v>43640.688194444403</v>
      </c>
      <c r="J15510" s="23" t="str">
        <f>HYPERLINK("https://www.spark-marketing.ru/Card/Person/571043", "АО ""КОМБИНАТ ПИТАНИЯ ""КИРОВСКИЙ""")</f>
        <v>АО "КОМБИНАТ ПИТАНИЯ "КИРОВСКИЙ"</v>
      </c>
      <c r="K15510" s="24" t="s">
        <v>20405</v>
      </c>
      <c r="L15510" s="22" t="s">
        <v>10</v>
      </c>
      <c r="M15510" s="28" t="s">
        <v>51</v>
      </c>
      <c r="N15510" s="27">
        <v>0</v>
      </c>
    </row>
    <row r="15511" spans="1:14" x14ac:dyDescent="0.15">
      <c r="A15511" s="23" t="str">
        <f>HYPERLINK("https://www.spark-marketing.ru/Card/Person/129851", """УПРАВА АВТОДОРОЖНОГО ОКРУГА"" МКУ ГО ""ГОРОД ЯКУТСК""")</f>
        <v>"УПРАВА АВТОДОРОЖНОГО ОКРУГА" МКУ ГО "ГОРОД ЯКУТСК"</v>
      </c>
      <c r="B15511" s="24" t="s">
        <v>20460</v>
      </c>
      <c r="C15511" s="25">
        <v>100000</v>
      </c>
      <c r="D15511" s="22" t="s">
        <v>20461</v>
      </c>
      <c r="E15511" s="22" t="s">
        <v>20462</v>
      </c>
      <c r="F15511" s="23" t="str">
        <f>HYPERLINK("https://www.spark-marketing.ru/Card/Lot/71609768", "Оказание услуг по организации культурных мероприятий")</f>
        <v>Оказание услуг по организации культурных мероприятий</v>
      </c>
      <c r="G15511" s="22" t="s">
        <v>241</v>
      </c>
      <c r="H15511" s="22" t="s">
        <v>242</v>
      </c>
      <c r="I15511" s="26">
        <v>43640.695138888899</v>
      </c>
      <c r="J15511" s="28" t="s">
        <v>51</v>
      </c>
      <c r="K15511" s="28" t="s">
        <v>51</v>
      </c>
      <c r="L15511" s="28" t="s">
        <v>51</v>
      </c>
      <c r="M15511" s="28" t="s">
        <v>51</v>
      </c>
      <c r="N15511" s="28" t="s">
        <v>51</v>
      </c>
    </row>
    <row r="15512" spans="1:14" x14ac:dyDescent="0.15">
      <c r="A15512" s="23" t="str">
        <f>HYPERLINK("https://www.spark-marketing.ru/Card/Person/1033926", "ГАУК ПО ""ТЕАТРАЛЬНО-КОНЦЕРТНАЯ ДИРЕКЦИЯ""")</f>
        <v>ГАУК ПО "ТЕАТРАЛЬНО-КОНЦЕРТНАЯ ДИРЕКЦИЯ"</v>
      </c>
      <c r="B15512" s="24" t="s">
        <v>18793</v>
      </c>
      <c r="C15512" s="25">
        <v>170100</v>
      </c>
      <c r="D15512" s="22" t="s">
        <v>20463</v>
      </c>
      <c r="E15512" s="22" t="s">
        <v>362</v>
      </c>
      <c r="F15512" s="23" t="str">
        <f>HYPERLINK("https://www.spark-marketing.ru/Card/Lot/71618321", "Оказание услуг по организации питания в рамках проведения Международных Ганзейских дней Нового времени")</f>
        <v>Оказание услуг по организации питания в рамках проведения Международных Ганзейских дней Нового времени</v>
      </c>
      <c r="G15512" s="22" t="s">
        <v>415</v>
      </c>
      <c r="H15512" s="22" t="s">
        <v>415</v>
      </c>
      <c r="I15512" s="26">
        <v>43640.6694907407</v>
      </c>
      <c r="J15512" s="28" t="s">
        <v>51</v>
      </c>
      <c r="K15512" s="28" t="s">
        <v>51</v>
      </c>
      <c r="L15512" s="28" t="s">
        <v>51</v>
      </c>
      <c r="M15512" s="28" t="s">
        <v>51</v>
      </c>
      <c r="N15512" s="28" t="s">
        <v>51</v>
      </c>
    </row>
    <row r="15513" spans="1:14" x14ac:dyDescent="0.15">
      <c r="A15513" s="23" t="s">
        <v>114</v>
      </c>
      <c r="B15513" s="28" t="s">
        <v>51</v>
      </c>
      <c r="C15513" s="25">
        <v>38844354.789999999</v>
      </c>
      <c r="D15513" s="22" t="s">
        <v>20464</v>
      </c>
      <c r="E15513" s="22" t="s">
        <v>48</v>
      </c>
      <c r="F15513" s="23" t="str">
        <f t="shared" ref="F15513:F15518" si="530">HYPERLINK("https://www.spark-marketing.ru/Card/Lot/71622860",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13" s="22" t="s">
        <v>51</v>
      </c>
      <c r="H15513" s="22" t="s">
        <v>51</v>
      </c>
      <c r="I15513" s="26">
        <v>43640.692361111098</v>
      </c>
      <c r="J15513" s="28" t="s">
        <v>51</v>
      </c>
      <c r="K15513" s="28" t="s">
        <v>51</v>
      </c>
      <c r="L15513" s="28" t="s">
        <v>51</v>
      </c>
      <c r="M15513" s="28" t="s">
        <v>51</v>
      </c>
      <c r="N15513" s="28" t="s">
        <v>51</v>
      </c>
    </row>
    <row r="15514" spans="1:14" hidden="1" outlineLevel="1" x14ac:dyDescent="0.15">
      <c r="A15514" s="23" t="str">
        <f>HYPERLINK("https://www.spark-marketing.ru/Card/Person/24920", "ГБОУ СОШ № 654 С УГЛУБЛЕННЫМ ИЗУЧЕНИЕМ ПРЕДМЕТОВ ХУДОЖЕСТВЕННО-ЭСТЕТИЧЕСКОГО ЦИКЛА ""ХОРЕОГРАФИЯ"" КИРОВСКОГО РАЙОНА САНКТ-ПЕТЕРБУРГА")</f>
        <v>ГБОУ СОШ № 654 С УГЛУБЛЕННЫМ ИЗУЧЕНИЕМ ПРЕДМЕТОВ ХУДОЖЕСТВЕННО-ЭСТЕТИЧЕСКОГО ЦИКЛА "ХОРЕОГРАФИЯ" КИРОВСКОГО РАЙОНА САНКТ-ПЕТЕРБУРГА</v>
      </c>
      <c r="B15514" s="24" t="s">
        <v>20465</v>
      </c>
      <c r="C15514" s="25">
        <v>11527005.359999999</v>
      </c>
      <c r="D15514" s="22" t="s">
        <v>20464</v>
      </c>
      <c r="E15514" s="22" t="s">
        <v>48</v>
      </c>
      <c r="F15514" s="23" t="str">
        <f t="shared" si="530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14" s="22" t="s">
        <v>117</v>
      </c>
      <c r="H15514" s="22" t="s">
        <v>117</v>
      </c>
      <c r="I15514" s="26">
        <v>43640.692361111098</v>
      </c>
      <c r="J15514" s="28" t="s">
        <v>51</v>
      </c>
      <c r="K15514" s="28" t="s">
        <v>51</v>
      </c>
      <c r="L15514" s="28" t="s">
        <v>51</v>
      </c>
      <c r="M15514" s="28" t="s">
        <v>51</v>
      </c>
      <c r="N15514" s="28" t="s">
        <v>51</v>
      </c>
    </row>
    <row r="15515" spans="1:14" hidden="1" outlineLevel="1" x14ac:dyDescent="0.15">
      <c r="A15515" s="23" t="str">
        <f>HYPERLINK("https://www.spark-marketing.ru/Card/Person/64444", "ГБОУ ГИМНАЗИЯ №261 КИРОВСКОГО РАЙОНА САНКТ-ПЕТЕРБУРГА")</f>
        <v>ГБОУ ГИМНАЗИЯ №261 КИРОВСКОГО РАЙОНА САНКТ-ПЕТЕРБУРГА</v>
      </c>
      <c r="B15515" s="24" t="s">
        <v>20466</v>
      </c>
      <c r="C15515" s="25">
        <v>17578422.640000001</v>
      </c>
      <c r="D15515" s="22" t="s">
        <v>20464</v>
      </c>
      <c r="E15515" s="22" t="s">
        <v>48</v>
      </c>
      <c r="F15515" s="23" t="str">
        <f t="shared" si="530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15" s="22" t="s">
        <v>117</v>
      </c>
      <c r="H15515" s="22" t="s">
        <v>117</v>
      </c>
      <c r="I15515" s="26">
        <v>43640.692361111098</v>
      </c>
      <c r="J15515" s="28" t="s">
        <v>51</v>
      </c>
      <c r="K15515" s="28" t="s">
        <v>51</v>
      </c>
      <c r="L15515" s="28" t="s">
        <v>51</v>
      </c>
      <c r="M15515" s="28" t="s">
        <v>51</v>
      </c>
      <c r="N15515" s="28" t="s">
        <v>51</v>
      </c>
    </row>
    <row r="15516" spans="1:14" hidden="1" outlineLevel="1" x14ac:dyDescent="0.15">
      <c r="A15516" s="23" t="str">
        <f>HYPERLINK("https://www.spark-marketing.ru/Card/Person/91880", "ГБОУ СОШ № 538 КИРОВСКОГО РАЙОНА САНКТ-ПЕТЕРБУРГА")</f>
        <v>ГБОУ СОШ № 538 КИРОВСКОГО РАЙОНА САНКТ-ПЕТЕРБУРГА</v>
      </c>
      <c r="B15516" s="24" t="s">
        <v>20467</v>
      </c>
      <c r="C15516" s="25">
        <v>9738926.7899999991</v>
      </c>
      <c r="D15516" s="22" t="s">
        <v>20464</v>
      </c>
      <c r="E15516" s="22" t="s">
        <v>48</v>
      </c>
      <c r="F15516" s="23" t="str">
        <f t="shared" si="530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16" s="22" t="s">
        <v>117</v>
      </c>
      <c r="H15516" s="22" t="s">
        <v>117</v>
      </c>
      <c r="I15516" s="26">
        <v>43640.692361111098</v>
      </c>
      <c r="J15516" s="28" t="s">
        <v>51</v>
      </c>
      <c r="K15516" s="28" t="s">
        <v>51</v>
      </c>
      <c r="L15516" s="28" t="s">
        <v>51</v>
      </c>
      <c r="M15516" s="28" t="s">
        <v>51</v>
      </c>
      <c r="N15516" s="28" t="s">
        <v>51</v>
      </c>
    </row>
    <row r="15517" spans="1:14" hidden="1" outlineLevel="1" x14ac:dyDescent="0.2">
      <c r="A15517" s="28" t="s">
        <v>51</v>
      </c>
      <c r="B15517" s="28" t="s">
        <v>51</v>
      </c>
      <c r="C15517" s="28" t="s">
        <v>51</v>
      </c>
      <c r="D15517" s="22" t="s">
        <v>20464</v>
      </c>
      <c r="E15517" s="22" t="s">
        <v>48</v>
      </c>
      <c r="F15517" s="23" t="str">
        <f t="shared" si="530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17" s="22" t="s">
        <v>51</v>
      </c>
      <c r="H15517" s="22" t="s">
        <v>51</v>
      </c>
      <c r="I15517" s="26">
        <v>43640.692361111098</v>
      </c>
      <c r="J15517" s="23" t="str">
        <f>HYPERLINK("https://www.spark-marketing.ru/Card/Person/59608", "АО ""АРТИС-ДЕТСКОЕ ПИТАНИЕ""")</f>
        <v>АО "АРТИС-ДЕТСКОЕ ПИТАНИЕ"</v>
      </c>
      <c r="K15517" s="24" t="s">
        <v>19631</v>
      </c>
      <c r="L15517" s="22" t="s">
        <v>10</v>
      </c>
      <c r="M15517" s="25">
        <v>12430193.529999999</v>
      </c>
      <c r="N15517" s="27">
        <v>0.6800000000720825</v>
      </c>
    </row>
    <row r="15518" spans="1:14" hidden="1" outlineLevel="1" x14ac:dyDescent="0.2">
      <c r="A15518" s="28" t="s">
        <v>51</v>
      </c>
      <c r="B15518" s="28" t="s">
        <v>51</v>
      </c>
      <c r="C15518" s="28" t="s">
        <v>51</v>
      </c>
      <c r="D15518" s="22" t="s">
        <v>20464</v>
      </c>
      <c r="E15518" s="22" t="s">
        <v>48</v>
      </c>
      <c r="F15518" s="23" t="str">
        <f t="shared" si="530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18" s="22" t="s">
        <v>51</v>
      </c>
      <c r="H15518" s="22" t="s">
        <v>51</v>
      </c>
      <c r="I15518" s="26">
        <v>43640.692361111098</v>
      </c>
      <c r="J15518" s="23" t="str">
        <f t="shared" ref="J15518:J15523" si="531">HYPERLINK("https://www.spark-marketing.ru/Card/Person/571043", "АО ""КОМБИНАТ ПИТАНИЯ ""КИРОВСКИЙ""")</f>
        <v>АО "КОМБИНАТ ПИТАНИЯ "КИРОВСКИЙ"</v>
      </c>
      <c r="K15518" s="24" t="s">
        <v>20405</v>
      </c>
      <c r="L15518" s="28" t="s">
        <v>51</v>
      </c>
      <c r="M15518" s="25">
        <v>38649824.299999997</v>
      </c>
      <c r="N15518" s="27">
        <v>5.0079475139095239E-3</v>
      </c>
    </row>
    <row r="15519" spans="1:14" x14ac:dyDescent="0.2">
      <c r="A15519" s="23" t="s">
        <v>114</v>
      </c>
      <c r="B15519" s="28" t="s">
        <v>51</v>
      </c>
      <c r="C15519" s="25">
        <v>39342122.530000001</v>
      </c>
      <c r="D15519" s="22" t="s">
        <v>20468</v>
      </c>
      <c r="E15519" s="22" t="s">
        <v>48</v>
      </c>
      <c r="F15519" s="23" t="str">
        <f>HYPERLINK("https://www.spark-marketing.ru/Card/Lot/71622862",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19" s="22" t="s">
        <v>51</v>
      </c>
      <c r="H15519" s="22" t="s">
        <v>51</v>
      </c>
      <c r="I15519" s="26">
        <v>43640.691666666702</v>
      </c>
      <c r="J15519" s="23" t="str">
        <f t="shared" si="531"/>
        <v>АО "КОМБИНАТ ПИТАНИЯ "КИРОВСКИЙ"</v>
      </c>
      <c r="K15519" s="24" t="s">
        <v>20405</v>
      </c>
      <c r="L15519" s="22" t="s">
        <v>10</v>
      </c>
      <c r="M15519" s="25">
        <v>39342122.530000001</v>
      </c>
      <c r="N15519" s="27">
        <v>0</v>
      </c>
    </row>
    <row r="15520" spans="1:14" hidden="1" outlineLevel="1" x14ac:dyDescent="0.2">
      <c r="A15520" s="23" t="str">
        <f>HYPERLINK("https://www.spark-marketing.ru/Card/Person/44692", "ГБОУ ГИМНАЗИЯ № 397 ИМ. Г.В. СТАРОВОЙТОВОЙ")</f>
        <v>ГБОУ ГИМНАЗИЯ № 397 ИМ. Г.В. СТАРОВОЙТОВОЙ</v>
      </c>
      <c r="B15520" s="24" t="s">
        <v>20469</v>
      </c>
      <c r="C15520" s="25">
        <v>9687787.2300000004</v>
      </c>
      <c r="D15520" s="22" t="s">
        <v>20468</v>
      </c>
      <c r="E15520" s="22" t="s">
        <v>48</v>
      </c>
      <c r="F15520" s="23" t="str">
        <f>HYPERLINK("https://www.spark-marketing.ru/Card/Lot/71622862",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20" s="22" t="s">
        <v>117</v>
      </c>
      <c r="H15520" s="22" t="s">
        <v>117</v>
      </c>
      <c r="I15520" s="26">
        <v>43640.691666666702</v>
      </c>
      <c r="J15520" s="23" t="str">
        <f t="shared" si="531"/>
        <v>АО "КОМБИНАТ ПИТАНИЯ "КИРОВСКИЙ"</v>
      </c>
      <c r="K15520" s="24" t="s">
        <v>20405</v>
      </c>
      <c r="L15520" s="22" t="s">
        <v>10</v>
      </c>
      <c r="M15520" s="28" t="s">
        <v>51</v>
      </c>
      <c r="N15520" s="27">
        <v>0</v>
      </c>
    </row>
    <row r="15521" spans="1:14" hidden="1" outlineLevel="1" x14ac:dyDescent="0.2">
      <c r="A15521" s="23" t="str">
        <f>HYPERLINK("https://www.spark-marketing.ru/Card/Person/56943", "ГБОУ СОШ №388 КИРОВСКОГО РАЙОНА САНКТ-ПЕТЕРБУРГА")</f>
        <v>ГБОУ СОШ №388 КИРОВСКОГО РАЙОНА САНКТ-ПЕТЕРБУРГА</v>
      </c>
      <c r="B15521" s="24" t="s">
        <v>20470</v>
      </c>
      <c r="C15521" s="25">
        <v>8057228.3600000003</v>
      </c>
      <c r="D15521" s="22" t="s">
        <v>20468</v>
      </c>
      <c r="E15521" s="22" t="s">
        <v>48</v>
      </c>
      <c r="F15521" s="23" t="str">
        <f>HYPERLINK("https://www.spark-marketing.ru/Card/Lot/71622862",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21" s="22" t="s">
        <v>117</v>
      </c>
      <c r="H15521" s="22" t="s">
        <v>117</v>
      </c>
      <c r="I15521" s="26">
        <v>43640.691666666702</v>
      </c>
      <c r="J15521" s="23" t="str">
        <f t="shared" si="531"/>
        <v>АО "КОМБИНАТ ПИТАНИЯ "КИРОВСКИЙ"</v>
      </c>
      <c r="K15521" s="24" t="s">
        <v>20405</v>
      </c>
      <c r="L15521" s="22" t="s">
        <v>10</v>
      </c>
      <c r="M15521" s="28" t="s">
        <v>51</v>
      </c>
      <c r="N15521" s="27">
        <v>0</v>
      </c>
    </row>
    <row r="15522" spans="1:14" hidden="1" outlineLevel="1" x14ac:dyDescent="0.2">
      <c r="A15522" s="23" t="str">
        <f>HYPERLINK("https://www.spark-marketing.ru/Card/Person/87923", "ГБОУ СОШ № 503 КИРОВСКОГО РАЙОНА САНКТ-ПЕТЕРБУРГА")</f>
        <v>ГБОУ СОШ № 503 КИРОВСКОГО РАЙОНА САНКТ-ПЕТЕРБУРГА</v>
      </c>
      <c r="B15522" s="24" t="s">
        <v>20471</v>
      </c>
      <c r="C15522" s="25">
        <v>9538826.8100000005</v>
      </c>
      <c r="D15522" s="22" t="s">
        <v>20468</v>
      </c>
      <c r="E15522" s="22" t="s">
        <v>48</v>
      </c>
      <c r="F15522" s="23" t="str">
        <f>HYPERLINK("https://www.spark-marketing.ru/Card/Lot/71622862",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22" s="22" t="s">
        <v>117</v>
      </c>
      <c r="H15522" s="22" t="s">
        <v>117</v>
      </c>
      <c r="I15522" s="26">
        <v>43640.691666666702</v>
      </c>
      <c r="J15522" s="23" t="str">
        <f t="shared" si="531"/>
        <v>АО "КОМБИНАТ ПИТАНИЯ "КИРОВСКИЙ"</v>
      </c>
      <c r="K15522" s="24" t="s">
        <v>20405</v>
      </c>
      <c r="L15522" s="22" t="s">
        <v>10</v>
      </c>
      <c r="M15522" s="28" t="s">
        <v>51</v>
      </c>
      <c r="N15522" s="27">
        <v>0</v>
      </c>
    </row>
    <row r="15523" spans="1:14" hidden="1" outlineLevel="1" x14ac:dyDescent="0.2">
      <c r="A15523" s="23" t="str">
        <f>HYPERLINK("https://www.spark-marketing.ru/Card/Person/91773", "ГБОУ СОШ № 493 КИРОВСКОГО РАЙОНА САНКТ-ПЕТЕРБУРГА")</f>
        <v>ГБОУ СОШ № 493 КИРОВСКОГО РАЙОНА САНКТ-ПЕТЕРБУРГА</v>
      </c>
      <c r="B15523" s="24" t="s">
        <v>20472</v>
      </c>
      <c r="C15523" s="25">
        <v>12058280.130000001</v>
      </c>
      <c r="D15523" s="22" t="s">
        <v>20468</v>
      </c>
      <c r="E15523" s="22" t="s">
        <v>48</v>
      </c>
      <c r="F15523" s="23" t="str">
        <f>HYPERLINK("https://www.spark-marketing.ru/Card/Lot/71622862",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23" s="22" t="s">
        <v>117</v>
      </c>
      <c r="H15523" s="22" t="s">
        <v>117</v>
      </c>
      <c r="I15523" s="26">
        <v>43640.691666666702</v>
      </c>
      <c r="J15523" s="23" t="str">
        <f t="shared" si="531"/>
        <v>АО "КОМБИНАТ ПИТАНИЯ "КИРОВСКИЙ"</v>
      </c>
      <c r="K15523" s="24" t="s">
        <v>20405</v>
      </c>
      <c r="L15523" s="22" t="s">
        <v>10</v>
      </c>
      <c r="M15523" s="28" t="s">
        <v>51</v>
      </c>
      <c r="N15523" s="27">
        <v>0</v>
      </c>
    </row>
    <row r="15524" spans="1:14" ht="12.75" x14ac:dyDescent="0.2">
      <c r="A15524" s="23" t="str">
        <f>HYPERLINK("https://www.spark-marketing.ru/Card/Person/126701", "МБОУ ""СОШ № 24 ИМЕНИ Л.И. МАЛЯКОВА""")</f>
        <v>МБОУ "СОШ № 24 ИМЕНИ Л.И. МАЛЯКОВА"</v>
      </c>
      <c r="B15524" s="24" t="s">
        <v>20473</v>
      </c>
      <c r="C15524" s="25">
        <v>3099920.5</v>
      </c>
      <c r="D15524" s="22" t="s">
        <v>20474</v>
      </c>
      <c r="E15524" s="22" t="s">
        <v>48</v>
      </c>
      <c r="F15524" s="23" t="str">
        <f>HYPERLINK("https://www.spark-marketing.ru/Card/Lot/71634114", "Услуга общественного питания")</f>
        <v>Услуга общественного питания</v>
      </c>
      <c r="G15524" s="22" t="s">
        <v>415</v>
      </c>
      <c r="H15524" s="22" t="s">
        <v>415</v>
      </c>
      <c r="I15524" s="26">
        <v>43640.696736111102</v>
      </c>
      <c r="J15524" s="23" t="str">
        <f>HYPERLINK("https://www.spark-marketing.ru/Card/Person/126483", "ООО ""СЕРВИС-КОМПЛЕКС""")</f>
        <v>ООО "СЕРВИС-КОМПЛЕКС"</v>
      </c>
      <c r="K15524" s="24" t="s">
        <v>20475</v>
      </c>
      <c r="L15524" s="22" t="s">
        <v>10</v>
      </c>
      <c r="M15524" s="25">
        <v>2950000</v>
      </c>
      <c r="N15524" s="27">
        <v>4.8362691881936974E-2</v>
      </c>
    </row>
    <row r="15525" spans="1:14" x14ac:dyDescent="0.15">
      <c r="A15525" s="23" t="str">
        <f>HYPERLINK("https://www.spark-marketing.ru/Card/Person/330013", "Фл АО ""Концерн Росэнергоатом"" Смоленская атомная станция")</f>
        <v>Фл АО "Концерн Росэнергоатом" Смоленская атомная станция</v>
      </c>
      <c r="B15525" s="24" t="s">
        <v>908</v>
      </c>
      <c r="C15525" s="28" t="s">
        <v>51</v>
      </c>
      <c r="D15525" s="22" t="s">
        <v>20476</v>
      </c>
      <c r="E15525" s="22" t="s">
        <v>67</v>
      </c>
      <c r="F15525" s="23" t="str">
        <f>HYPERLINK("https://www.spark-marketing.ru/Card/Lot/71626154", "Организация и обеспечение питанием участников деловых встреч и мероприятий, проводимых на Смоленской АЭС")</f>
        <v>Организация и обеспечение питанием участников деловых встреч и мероприятий, проводимых на Смоленской АЭС</v>
      </c>
      <c r="G15525" s="22" t="s">
        <v>56</v>
      </c>
      <c r="H15525" s="22" t="s">
        <v>56</v>
      </c>
      <c r="I15525" s="26">
        <v>43640.668587963002</v>
      </c>
      <c r="J15525" s="28" t="s">
        <v>51</v>
      </c>
      <c r="K15525" s="28" t="s">
        <v>51</v>
      </c>
      <c r="L15525" s="28" t="s">
        <v>51</v>
      </c>
      <c r="M15525" s="28" t="s">
        <v>51</v>
      </c>
      <c r="N15525" s="28" t="s">
        <v>51</v>
      </c>
    </row>
    <row r="15526" spans="1:14" x14ac:dyDescent="0.15">
      <c r="A15526" s="23" t="str">
        <f>HYPERLINK("https://www.spark-marketing.ru/Card/Person/4478", "ГБУ ""ЦЕНТР МОЛОДЕЖИ""")</f>
        <v>ГБУ "ЦЕНТР МОЛОДЕЖИ"</v>
      </c>
      <c r="B15526" s="24" t="s">
        <v>16872</v>
      </c>
      <c r="C15526" s="25">
        <v>446310</v>
      </c>
      <c r="D15526" s="22" t="s">
        <v>20477</v>
      </c>
      <c r="E15526" s="22" t="s">
        <v>96</v>
      </c>
      <c r="F15526" s="23" t="str">
        <f>HYPERLINK("https://www.spark-marketing.ru/Card/Lot/71631762", "Оказание услуг по организации питания в пути следования поездами для детей и молодежи Калининградской области по городам России")</f>
        <v>Оказание услуг по организации питания в пути следования поездами для детей и молодежи Калининградской области по городам России</v>
      </c>
      <c r="G15526" s="22" t="s">
        <v>400</v>
      </c>
      <c r="H15526" s="22" t="s">
        <v>401</v>
      </c>
      <c r="I15526" s="26">
        <v>43640.707638888904</v>
      </c>
      <c r="J15526" s="28" t="s">
        <v>51</v>
      </c>
      <c r="K15526" s="28" t="s">
        <v>51</v>
      </c>
      <c r="L15526" s="28" t="s">
        <v>51</v>
      </c>
      <c r="M15526" s="28" t="s">
        <v>51</v>
      </c>
      <c r="N15526" s="28" t="s">
        <v>51</v>
      </c>
    </row>
    <row r="15527" spans="1:14" ht="12.75" hidden="1" outlineLevel="1" x14ac:dyDescent="0.2">
      <c r="A15527" s="23" t="str">
        <f>HYPERLINK("https://www.spark-marketing.ru/Card/Person/4478", "ГБУ ""ЦЕНТР МОЛОДЕЖИ""")</f>
        <v>ГБУ "ЦЕНТР МОЛОДЕЖИ"</v>
      </c>
      <c r="B15527" s="24" t="s">
        <v>16872</v>
      </c>
      <c r="C15527" s="25">
        <v>446310</v>
      </c>
      <c r="D15527" s="22" t="s">
        <v>20477</v>
      </c>
      <c r="E15527" s="22" t="s">
        <v>96</v>
      </c>
      <c r="F15527" s="23" t="str">
        <f>HYPERLINK("https://www.spark-marketing.ru/Card/Lot/71631762", "Оказание услуг по организации питания в пути следования поездами для детей и молодежи Калининградской области по городам России")</f>
        <v>Оказание услуг по организации питания в пути следования поездами для детей и молодежи Калининградской области по городам России</v>
      </c>
      <c r="G15527" s="22" t="s">
        <v>400</v>
      </c>
      <c r="H15527" s="22" t="s">
        <v>401</v>
      </c>
      <c r="I15527" s="26">
        <v>43640.707638888904</v>
      </c>
      <c r="J15527" s="23" t="str">
        <f>HYPERLINK("https://www.spark-marketing.ru/Card/Person/144774", "ООО ""ТДМ""")</f>
        <v>ООО "ТДМ"</v>
      </c>
      <c r="K15527" s="24" t="s">
        <v>16874</v>
      </c>
      <c r="L15527" s="22" t="s">
        <v>10</v>
      </c>
      <c r="M15527" s="25">
        <v>446310</v>
      </c>
      <c r="N15527" s="27">
        <v>0</v>
      </c>
    </row>
    <row r="15528" spans="1:14" hidden="1" outlineLevel="1" x14ac:dyDescent="0.2">
      <c r="A15528" s="23" t="str">
        <f>HYPERLINK("https://www.spark-marketing.ru/Card/Person/4478", "ГБУ ""ЦЕНТР МОЛОДЕЖИ""")</f>
        <v>ГБУ "ЦЕНТР МОЛОДЕЖИ"</v>
      </c>
      <c r="B15528" s="24" t="s">
        <v>16872</v>
      </c>
      <c r="C15528" s="25">
        <v>446310</v>
      </c>
      <c r="D15528" s="22" t="s">
        <v>20477</v>
      </c>
      <c r="E15528" s="22" t="s">
        <v>96</v>
      </c>
      <c r="F15528" s="23" t="str">
        <f>HYPERLINK("https://www.spark-marketing.ru/Card/Lot/71631762", "Оказание услуг по организации питания в пути следования поездами для детей и молодежи Калининградской области по городам России")</f>
        <v>Оказание услуг по организации питания в пути следования поездами для детей и молодежи Калининградской области по городам России</v>
      </c>
      <c r="G15528" s="22" t="s">
        <v>400</v>
      </c>
      <c r="H15528" s="22" t="s">
        <v>401</v>
      </c>
      <c r="I15528" s="26">
        <v>43640.707638888904</v>
      </c>
      <c r="J15528" s="23" t="str">
        <f>HYPERLINK("https://www.spark-marketing.ru/Card/Person/135341", "ООО ""ГРУППА КОМПАНИЙ ""АНТАЛИЯ""")</f>
        <v>ООО "ГРУППА КОМПАНИЙ "АНТАЛИЯ"</v>
      </c>
      <c r="K15528" s="24" t="s">
        <v>16875</v>
      </c>
      <c r="L15528" s="28" t="s">
        <v>51</v>
      </c>
      <c r="M15528" s="25">
        <v>446310</v>
      </c>
      <c r="N15528" s="27">
        <v>0</v>
      </c>
    </row>
    <row r="15529" spans="1:14" x14ac:dyDescent="0.15">
      <c r="A15529" s="23" t="str">
        <f>HYPERLINK("https://www.spark-marketing.ru/Card/Person/31909", "ОГБУЗ ""КЛИНИЧЕСКИЙ РОДИЛЬНЫЙ ДОМ""")</f>
        <v>ОГБУЗ "КЛИНИЧЕСКИЙ РОДИЛЬНЫЙ ДОМ"</v>
      </c>
      <c r="B15529" s="24" t="s">
        <v>20478</v>
      </c>
      <c r="C15529" s="25">
        <v>196557.9</v>
      </c>
      <c r="D15529" s="22" t="s">
        <v>20479</v>
      </c>
      <c r="E15529" s="22" t="s">
        <v>62</v>
      </c>
      <c r="F15529" s="23" t="str">
        <f>HYPERLINK("https://www.spark-marketing.ru/Card/Lot/71630127", "{2825}-аэф/т Поставка бланочной продукции для нужд ОГБУЗ «Клинический родильный дом» в 2019 году")</f>
        <v>{2825}-аэф/т Поставка бланочной продукции для нужд ОГБУЗ «Клинический родильный дом» в 2019 году</v>
      </c>
      <c r="G15529" s="22" t="s">
        <v>460</v>
      </c>
      <c r="H15529" s="22" t="s">
        <v>461</v>
      </c>
      <c r="I15529" s="26">
        <v>43640.677777777797</v>
      </c>
      <c r="J15529" s="28" t="s">
        <v>51</v>
      </c>
      <c r="K15529" s="28" t="s">
        <v>51</v>
      </c>
      <c r="L15529" s="28" t="s">
        <v>51</v>
      </c>
      <c r="M15529" s="28" t="s">
        <v>51</v>
      </c>
      <c r="N15529" s="28" t="s">
        <v>51</v>
      </c>
    </row>
    <row r="15530" spans="1:14" hidden="1" outlineLevel="1" x14ac:dyDescent="0.2">
      <c r="A15530" s="23" t="str">
        <f>HYPERLINK("https://www.spark-marketing.ru/Card/Person/31909", "ОГБУЗ ""КЛИНИЧЕСКИЙ РОДИЛЬНЫЙ ДОМ""")</f>
        <v>ОГБУЗ "КЛИНИЧЕСКИЙ РОДИЛЬНЫЙ ДОМ"</v>
      </c>
      <c r="B15530" s="24" t="s">
        <v>20478</v>
      </c>
      <c r="C15530" s="25">
        <v>196557.9</v>
      </c>
      <c r="D15530" s="22" t="s">
        <v>20479</v>
      </c>
      <c r="E15530" s="22" t="s">
        <v>62</v>
      </c>
      <c r="F15530" s="23" t="str">
        <f>HYPERLINK("https://www.spark-marketing.ru/Card/Lot/71630127", "{2825}-аэф/т Поставка бланочной продукции для нужд ОГБУЗ «Клинический родильный дом» в 2019 году")</f>
        <v>{2825}-аэф/т Поставка бланочной продукции для нужд ОГБУЗ «Клинический родильный дом» в 2019 году</v>
      </c>
      <c r="G15530" s="22" t="s">
        <v>460</v>
      </c>
      <c r="H15530" s="22" t="s">
        <v>461</v>
      </c>
      <c r="I15530" s="26">
        <v>43640.677777777797</v>
      </c>
      <c r="J15530" s="23" t="str">
        <f>HYPERLINK("https://www.spark-marketing.ru/Card/Person/183917", "ООО ""КАНЦТОВАРЫ""")</f>
        <v>ООО "КАНЦТОВАРЫ"</v>
      </c>
      <c r="K15530" s="24" t="s">
        <v>6208</v>
      </c>
      <c r="L15530" s="28" t="s">
        <v>51</v>
      </c>
      <c r="M15530" s="25">
        <v>130000</v>
      </c>
      <c r="N15530" s="27">
        <v>0.33861727256955837</v>
      </c>
    </row>
    <row r="15531" spans="1:14" hidden="1" outlineLevel="1" x14ac:dyDescent="0.2">
      <c r="A15531" s="23" t="str">
        <f>HYPERLINK("https://www.spark-marketing.ru/Card/Person/31909", "ОГБУЗ ""КЛИНИЧЕСКИЙ РОДИЛЬНЫЙ ДОМ""")</f>
        <v>ОГБУЗ "КЛИНИЧЕСКИЙ РОДИЛЬНЫЙ ДОМ"</v>
      </c>
      <c r="B15531" s="24" t="s">
        <v>20478</v>
      </c>
      <c r="C15531" s="25">
        <v>196557.9</v>
      </c>
      <c r="D15531" s="22" t="s">
        <v>20479</v>
      </c>
      <c r="E15531" s="22" t="s">
        <v>62</v>
      </c>
      <c r="F15531" s="23" t="str">
        <f>HYPERLINK("https://www.spark-marketing.ru/Card/Lot/71630127", "{2825}-аэф/т Поставка бланочной продукции для нужд ОГБУЗ «Клинический родильный дом» в 2019 году")</f>
        <v>{2825}-аэф/т Поставка бланочной продукции для нужд ОГБУЗ «Клинический родильный дом» в 2019 году</v>
      </c>
      <c r="G15531" s="22" t="s">
        <v>460</v>
      </c>
      <c r="H15531" s="22" t="s">
        <v>461</v>
      </c>
      <c r="I15531" s="26">
        <v>43640.677777777797</v>
      </c>
      <c r="J15531" s="23" t="str">
        <f>HYPERLINK("https://www.spark-marketing.ru/Card/Person/317671", "ООО ""МАРС-ПРИНТ""")</f>
        <v>ООО "МАРС-ПРИНТ"</v>
      </c>
      <c r="K15531" s="24" t="s">
        <v>7306</v>
      </c>
      <c r="L15531" s="28" t="s">
        <v>51</v>
      </c>
      <c r="M15531" s="25">
        <v>114017.21</v>
      </c>
      <c r="N15531" s="27">
        <v>0.41993066673992752</v>
      </c>
    </row>
    <row r="15532" spans="1:14" ht="12.75" hidden="1" outlineLevel="1" x14ac:dyDescent="0.2">
      <c r="A15532" s="23" t="str">
        <f>HYPERLINK("https://www.spark-marketing.ru/Card/Person/31909", "ОГБУЗ ""КЛИНИЧЕСКИЙ РОДИЛЬНЫЙ ДОМ""")</f>
        <v>ОГБУЗ "КЛИНИЧЕСКИЙ РОДИЛЬНЫЙ ДОМ"</v>
      </c>
      <c r="B15532" s="24" t="s">
        <v>20478</v>
      </c>
      <c r="C15532" s="25">
        <v>196557.9</v>
      </c>
      <c r="D15532" s="22" t="s">
        <v>20479</v>
      </c>
      <c r="E15532" s="22" t="s">
        <v>62</v>
      </c>
      <c r="F15532" s="23" t="str">
        <f>HYPERLINK("https://www.spark-marketing.ru/Card/Lot/71630127", "{2825}-аэф/т Поставка бланочной продукции для нужд ОГБУЗ «Клинический родильный дом» в 2019 году")</f>
        <v>{2825}-аэф/т Поставка бланочной продукции для нужд ОГБУЗ «Клинический родильный дом» в 2019 году</v>
      </c>
      <c r="G15532" s="22" t="s">
        <v>460</v>
      </c>
      <c r="H15532" s="22" t="s">
        <v>461</v>
      </c>
      <c r="I15532" s="26">
        <v>43640.677777777797</v>
      </c>
      <c r="J15532" s="23" t="str">
        <f>HYPERLINK("https://www.spark-marketing.ru/Card/Person/141119", "ОАО ""СМОЛГОРТИПОГРАФИЯ""")</f>
        <v>ОАО "СМОЛГОРТИПОГРАФИЯ"</v>
      </c>
      <c r="K15532" s="24" t="s">
        <v>20480</v>
      </c>
      <c r="L15532" s="22" t="s">
        <v>10</v>
      </c>
      <c r="M15532" s="25">
        <v>110000</v>
      </c>
      <c r="N15532" s="27">
        <v>0.44036846140501096</v>
      </c>
    </row>
    <row r="15533" spans="1:14" hidden="1" outlineLevel="1" x14ac:dyDescent="0.2">
      <c r="A15533" s="23" t="str">
        <f>HYPERLINK("https://www.spark-marketing.ru/Card/Person/31909", "ОГБУЗ ""КЛИНИЧЕСКИЙ РОДИЛЬНЫЙ ДОМ""")</f>
        <v>ОГБУЗ "КЛИНИЧЕСКИЙ РОДИЛЬНЫЙ ДОМ"</v>
      </c>
      <c r="B15533" s="24" t="s">
        <v>20478</v>
      </c>
      <c r="C15533" s="25">
        <v>196557.9</v>
      </c>
      <c r="D15533" s="22" t="s">
        <v>20479</v>
      </c>
      <c r="E15533" s="22" t="s">
        <v>62</v>
      </c>
      <c r="F15533" s="23" t="str">
        <f>HYPERLINK("https://www.spark-marketing.ru/Card/Lot/71630127", "{2825}-аэф/т Поставка бланочной продукции для нужд ОГБУЗ «Клинический родильный дом» в 2019 году")</f>
        <v>{2825}-аэф/т Поставка бланочной продукции для нужд ОГБУЗ «Клинический родильный дом» в 2019 году</v>
      </c>
      <c r="G15533" s="22" t="s">
        <v>460</v>
      </c>
      <c r="H15533" s="22" t="s">
        <v>461</v>
      </c>
      <c r="I15533" s="26">
        <v>43640.677777777797</v>
      </c>
      <c r="J15533" s="23" t="str">
        <f>HYPERLINK("https://www.spark-marketing.ru/Card/Person/839774", "ООО ""ПОЛИГРАФИНТЕР""")</f>
        <v>ООО "ПОЛИГРАФИНТЕР"</v>
      </c>
      <c r="K15533" s="24" t="s">
        <v>20481</v>
      </c>
      <c r="L15533" s="28" t="s">
        <v>51</v>
      </c>
      <c r="M15533" s="25">
        <v>190000</v>
      </c>
      <c r="N15533" s="27">
        <v>3.3363706063200715E-2</v>
      </c>
    </row>
    <row r="15534" spans="1:14" x14ac:dyDescent="0.2">
      <c r="A15534" s="23" t="s">
        <v>114</v>
      </c>
      <c r="B15534" s="28" t="s">
        <v>51</v>
      </c>
      <c r="C15534" s="25">
        <v>39748320.590000004</v>
      </c>
      <c r="D15534" s="22" t="s">
        <v>20482</v>
      </c>
      <c r="E15534" s="22" t="s">
        <v>48</v>
      </c>
      <c r="F15534" s="23" t="str">
        <f>HYPERLINK("https://www.spark-marketing.ru/Card/Lot/71622879",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</v>
      </c>
      <c r="G15534" s="22" t="s">
        <v>51</v>
      </c>
      <c r="H15534" s="22" t="s">
        <v>51</v>
      </c>
      <c r="I15534" s="26">
        <v>43640.667361111096</v>
      </c>
      <c r="J15534" s="23" t="str">
        <f>HYPERLINK("https://www.spark-marketing.ru/Card/Person/571043", "АО ""КОМБИНАТ ПИТАНИЯ ""КИРОВСКИЙ""")</f>
        <v>АО "КОМБИНАТ ПИТАНИЯ "КИРОВСКИЙ"</v>
      </c>
      <c r="K15534" s="24" t="s">
        <v>20405</v>
      </c>
      <c r="L15534" s="22" t="s">
        <v>10</v>
      </c>
      <c r="M15534" s="25">
        <v>39748320.590000004</v>
      </c>
      <c r="N15534" s="27">
        <v>0</v>
      </c>
    </row>
    <row r="15535" spans="1:14" hidden="1" outlineLevel="1" x14ac:dyDescent="0.2">
      <c r="A15535" s="23" t="str">
        <f>HYPERLINK("https://www.spark-marketing.ru/Card/Person/53861", "ГБОУ ЛИЦЕЙ №244 КИРОВСКОГО РАЙОНА САНКТ-ПЕТЕРБУРГА")</f>
        <v>ГБОУ ЛИЦЕЙ №244 КИРОВСКОГО РАЙОНА САНКТ-ПЕТЕРБУРГА</v>
      </c>
      <c r="B15535" s="24" t="s">
        <v>20483</v>
      </c>
      <c r="C15535" s="25">
        <v>10485590.109999999</v>
      </c>
      <c r="D15535" s="22" t="s">
        <v>20482</v>
      </c>
      <c r="E15535" s="22" t="s">
        <v>48</v>
      </c>
      <c r="F15535" s="23" t="str">
        <f>HYPERLINK("https://www.spark-marketing.ru/Card/Lot/71622879",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</v>
      </c>
      <c r="G15535" s="22" t="s">
        <v>117</v>
      </c>
      <c r="H15535" s="22" t="s">
        <v>117</v>
      </c>
      <c r="I15535" s="26">
        <v>43640.667361111096</v>
      </c>
      <c r="J15535" s="23" t="str">
        <f>HYPERLINK("https://www.spark-marketing.ru/Card/Person/571043", "АО ""КОМБИНАТ ПИТАНИЯ ""КИРОВСКИЙ""")</f>
        <v>АО "КОМБИНАТ ПИТАНИЯ "КИРОВСКИЙ"</v>
      </c>
      <c r="K15535" s="24" t="s">
        <v>20405</v>
      </c>
      <c r="L15535" s="22" t="s">
        <v>10</v>
      </c>
      <c r="M15535" s="28" t="s">
        <v>51</v>
      </c>
      <c r="N15535" s="27">
        <v>0</v>
      </c>
    </row>
    <row r="15536" spans="1:14" hidden="1" outlineLevel="1" x14ac:dyDescent="0.2">
      <c r="A15536" s="23" t="str">
        <f>HYPERLINK("https://www.spark-marketing.ru/Card/Person/72148", "ГБОУ СОШ № 392 С УГЛУБЛЕННЫМ ИЗУЧЕНИЕМ ФРАНЦУЗСКОГО ЯЗЫКА КИРОВСКОГО РАЙОНА САНКТ-ПЕТЕРБУРГА")</f>
        <v>ГБОУ СОШ № 392 С УГЛУБЛЕННЫМ ИЗУЧЕНИЕМ ФРАНЦУЗСКОГО ЯЗЫКА КИРОВСКОГО РАЙОНА САНКТ-ПЕТЕРБУРГА</v>
      </c>
      <c r="B15536" s="24" t="s">
        <v>20484</v>
      </c>
      <c r="C15536" s="25">
        <v>9953877.9800000004</v>
      </c>
      <c r="D15536" s="22" t="s">
        <v>20482</v>
      </c>
      <c r="E15536" s="22" t="s">
        <v>48</v>
      </c>
      <c r="F15536" s="23" t="str">
        <f>HYPERLINK("https://www.spark-marketing.ru/Card/Lot/71622879",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</v>
      </c>
      <c r="G15536" s="22" t="s">
        <v>117</v>
      </c>
      <c r="H15536" s="22" t="s">
        <v>117</v>
      </c>
      <c r="I15536" s="26">
        <v>43640.667361111096</v>
      </c>
      <c r="J15536" s="23" t="str">
        <f>HYPERLINK("https://www.spark-marketing.ru/Card/Person/571043", "АО ""КОМБИНАТ ПИТАНИЯ ""КИРОВСКИЙ""")</f>
        <v>АО "КОМБИНАТ ПИТАНИЯ "КИРОВСКИЙ"</v>
      </c>
      <c r="K15536" s="24" t="s">
        <v>20405</v>
      </c>
      <c r="L15536" s="22" t="s">
        <v>10</v>
      </c>
      <c r="M15536" s="28" t="s">
        <v>51</v>
      </c>
      <c r="N15536" s="27">
        <v>0</v>
      </c>
    </row>
    <row r="15537" spans="1:14" hidden="1" outlineLevel="1" x14ac:dyDescent="0.2">
      <c r="A15537" s="23" t="str">
        <f>HYPERLINK("https://www.spark-marketing.ru/Card/Person/81504", "ГБОУ СОШ № 608 ИМЕНИ ГЕРОЯ СОВЕТСКОГО СОЮЗА ЗИНЫ ПОРТНОВОЙ КИРОВСКОГО РАЙОНА САНКТ-ПЕТЕРБУРГА")</f>
        <v>ГБОУ СОШ № 608 ИМЕНИ ГЕРОЯ СОВЕТСКОГО СОЮЗА ЗИНЫ ПОРТНОВОЙ КИРОВСКОГО РАЙОНА САНКТ-ПЕТЕРБУРГА</v>
      </c>
      <c r="B15537" s="24" t="s">
        <v>20485</v>
      </c>
      <c r="C15537" s="25">
        <v>7929265.9900000002</v>
      </c>
      <c r="D15537" s="22" t="s">
        <v>20482</v>
      </c>
      <c r="E15537" s="22" t="s">
        <v>48</v>
      </c>
      <c r="F15537" s="23" t="str">
        <f>HYPERLINK("https://www.spark-marketing.ru/Card/Lot/71622879",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</v>
      </c>
      <c r="G15537" s="22" t="s">
        <v>117</v>
      </c>
      <c r="H15537" s="22" t="s">
        <v>117</v>
      </c>
      <c r="I15537" s="26">
        <v>43640.667361111096</v>
      </c>
      <c r="J15537" s="23" t="str">
        <f>HYPERLINK("https://www.spark-marketing.ru/Card/Person/571043", "АО ""КОМБИНАТ ПИТАНИЯ ""КИРОВСКИЙ""")</f>
        <v>АО "КОМБИНАТ ПИТАНИЯ "КИРОВСКИЙ"</v>
      </c>
      <c r="K15537" s="24" t="s">
        <v>20405</v>
      </c>
      <c r="L15537" s="22" t="s">
        <v>10</v>
      </c>
      <c r="M15537" s="28" t="s">
        <v>51</v>
      </c>
      <c r="N15537" s="27">
        <v>0</v>
      </c>
    </row>
    <row r="15538" spans="1:14" hidden="1" outlineLevel="1" x14ac:dyDescent="0.2">
      <c r="A15538" s="23" t="str">
        <f>HYPERLINK("https://www.spark-marketing.ru/Card/Person/91713", "ГБОУ СОШ №551 КИРОВСКОГО РАЙОНА САНКТ-ПЕТЕРБУРГА")</f>
        <v>ГБОУ СОШ №551 КИРОВСКОГО РАЙОНА САНКТ-ПЕТЕРБУРГА</v>
      </c>
      <c r="B15538" s="24" t="s">
        <v>20486</v>
      </c>
      <c r="C15538" s="25">
        <v>11379586.51</v>
      </c>
      <c r="D15538" s="22" t="s">
        <v>20482</v>
      </c>
      <c r="E15538" s="22" t="s">
        <v>48</v>
      </c>
      <c r="F15538" s="23" t="str">
        <f>HYPERLINK("https://www.spark-marketing.ru/Card/Lot/71622879",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ГОДАХ(совместные торги)</v>
      </c>
      <c r="G15538" s="22" t="s">
        <v>117</v>
      </c>
      <c r="H15538" s="22" t="s">
        <v>117</v>
      </c>
      <c r="I15538" s="26">
        <v>43640.667361111096</v>
      </c>
      <c r="J15538" s="23" t="str">
        <f>HYPERLINK("https://www.spark-marketing.ru/Card/Person/571043", "АО ""КОМБИНАТ ПИТАНИЯ ""КИРОВСКИЙ""")</f>
        <v>АО "КОМБИНАТ ПИТАНИЯ "КИРОВСКИЙ"</v>
      </c>
      <c r="K15538" s="24" t="s">
        <v>20405</v>
      </c>
      <c r="L15538" s="22" t="s">
        <v>10</v>
      </c>
      <c r="M15538" s="28" t="s">
        <v>51</v>
      </c>
      <c r="N15538" s="27">
        <v>0</v>
      </c>
    </row>
    <row r="15539" spans="1:14" x14ac:dyDescent="0.15">
      <c r="A15539" s="23" t="str">
        <f>HYPERLINK("https://www.spark-marketing.ru/Card/Person/104259", "ГБУЗ ""НИКОЛЬСКАЯ РБ""")</f>
        <v>ГБУЗ "НИКОЛЬСКАЯ РБ"</v>
      </c>
      <c r="B15539" s="24" t="s">
        <v>186</v>
      </c>
      <c r="C15539" s="25">
        <v>2962650</v>
      </c>
      <c r="D15539" s="22" t="s">
        <v>20487</v>
      </c>
      <c r="E15539" s="22" t="s">
        <v>48</v>
      </c>
      <c r="F15539" s="23" t="str">
        <f>HYPERLINK("https://www.spark-marketing.ru/Card/Lot/71634140", "Оказание услуг по организации и доставке лечебного питания в ГБУЗ «Никольская РБ» для пациентов, находящихся на лечении в круглосуточных стационарах, лиц находящихся по уходу за больным ребенком в стационарах на 2 полугодие 2019 года.")</f>
        <v>Оказание услуг по организации и доставке лечебного питания в ГБУЗ «Никольская РБ» для пациентов, находящихся на лечении в круглосуточных стационарах, лиц находящихся по уходу за больным ребенком в стационарах на 2 полугодие 2019 года.</v>
      </c>
      <c r="G15539" s="22" t="s">
        <v>72</v>
      </c>
      <c r="H15539" s="22" t="s">
        <v>188</v>
      </c>
      <c r="I15539" s="26">
        <v>43640.693148148202</v>
      </c>
      <c r="J15539" s="23" t="str">
        <f>HYPERLINK("https://www.spark-marketing.ru/Card/Person/426485", "Коннова Лидия Константиновна")</f>
        <v>Коннова Лидия Константиновна</v>
      </c>
      <c r="K15539" s="24" t="s">
        <v>20488</v>
      </c>
      <c r="L15539" s="22" t="s">
        <v>10</v>
      </c>
      <c r="M15539" s="28" t="s">
        <v>51</v>
      </c>
      <c r="N15539" s="28" t="s">
        <v>51</v>
      </c>
    </row>
    <row r="15540" spans="1:14" x14ac:dyDescent="0.15">
      <c r="A15540" s="23" t="str">
        <f>HYPERLINK("https://www.spark-marketing.ru/Card/Person/167153", "МАУ ""ЦМПИТ"" РУЗАЕВСКОГО МР")</f>
        <v>МАУ "ЦМПИТ" РУЗАЕВСКОГО МР</v>
      </c>
      <c r="B15540" s="24" t="s">
        <v>20489</v>
      </c>
      <c r="C15540" s="25">
        <v>4221000</v>
      </c>
      <c r="D15540" s="22" t="s">
        <v>20490</v>
      </c>
      <c r="E15540" s="22" t="s">
        <v>362</v>
      </c>
      <c r="F15540" s="23" t="str">
        <f>HYPERLINK("https://www.spark-marketing.ru/Card/Lot/71621917", "организация питания детей и обслуживающего персонала в детском оздоровительном лагере ""им. В. Дубинина"".")</f>
        <v>организация питания детей и обслуживающего персонала в детском оздоровительном лагере "им. В. Дубинина".</v>
      </c>
      <c r="G15540" s="22" t="s">
        <v>277</v>
      </c>
      <c r="H15540" s="22" t="s">
        <v>277</v>
      </c>
      <c r="I15540" s="26">
        <v>43640.704409722202</v>
      </c>
      <c r="J15540" s="28" t="s">
        <v>51</v>
      </c>
      <c r="K15540" s="28" t="s">
        <v>51</v>
      </c>
      <c r="L15540" s="28" t="s">
        <v>51</v>
      </c>
      <c r="M15540" s="28" t="s">
        <v>51</v>
      </c>
      <c r="N15540" s="28" t="s">
        <v>51</v>
      </c>
    </row>
    <row r="15541" spans="1:14" ht="12.75" x14ac:dyDescent="0.2">
      <c r="A15541" s="23" t="str">
        <f>HYPERLINK("https://www.spark-marketing.ru/Card/Person/1013237", "ГКОУ СО ""ЕКАТЕРИНБУРГСКАЯ ШКОЛА № 1""")</f>
        <v>ГКОУ СО "ЕКАТЕРИНБУРГСКАЯ ШКОЛА № 1"</v>
      </c>
      <c r="B15541" s="24" t="s">
        <v>20491</v>
      </c>
      <c r="C15541" s="25">
        <v>495075.36</v>
      </c>
      <c r="D15541" s="22" t="s">
        <v>20492</v>
      </c>
      <c r="E15541" s="22" t="s">
        <v>51</v>
      </c>
      <c r="F15541" s="23" t="str">
        <f>HYPERLINK("https://www.spark-marketing.ru/Card/Lot/71633545", "услуга по обеспечению питания")</f>
        <v>услуга по обеспечению питания</v>
      </c>
      <c r="G15541" s="22" t="s">
        <v>174</v>
      </c>
      <c r="H15541" s="22" t="s">
        <v>530</v>
      </c>
      <c r="I15541" s="26">
        <v>43640.701388888898</v>
      </c>
      <c r="J15541" s="23" t="str">
        <f>HYPERLINK("https://www.spark-marketing.ru/Card/Person/1490997", "Миронова Татьяна Владимировна")</f>
        <v>Миронова Татьяна Владимировна</v>
      </c>
      <c r="K15541" s="24" t="s">
        <v>20493</v>
      </c>
      <c r="L15541" s="22" t="s">
        <v>10</v>
      </c>
      <c r="M15541" s="25">
        <v>493272</v>
      </c>
      <c r="N15541" s="27">
        <v>3.6425969573601886E-3</v>
      </c>
    </row>
    <row r="15542" spans="1:14" x14ac:dyDescent="0.2">
      <c r="A15542" s="23" t="str">
        <f>HYPERLINK("https://www.spark-marketing.ru/Card/Person/1744077", "АО ""ЯЖДК""")</f>
        <v>АО "ЯЖДК"</v>
      </c>
      <c r="B15542" s="24" t="s">
        <v>20494</v>
      </c>
      <c r="C15542" s="25">
        <v>128050</v>
      </c>
      <c r="D15542" s="22" t="s">
        <v>20495</v>
      </c>
      <c r="E15542" s="22" t="s">
        <v>562</v>
      </c>
      <c r="F15542" s="23" t="str">
        <f>HYPERLINK("https://www.spark-marketing.ru/Card/Lot/71613435", "Договор возмездного оказания услуг")</f>
        <v>Договор возмездного оказания услуг</v>
      </c>
      <c r="G15542" s="22" t="s">
        <v>1056</v>
      </c>
      <c r="H15542" s="22" t="s">
        <v>1056</v>
      </c>
      <c r="I15542" s="26">
        <v>43640.680636574099</v>
      </c>
      <c r="J15542" s="23" t="str">
        <f>HYPERLINK("https://www.spark-marketing.ru/Card/Person/6620340", "Жалолов Жамил Жамолович")</f>
        <v>Жалолов Жамил Жамолович</v>
      </c>
      <c r="K15542" s="24" t="s">
        <v>20496</v>
      </c>
      <c r="L15542" s="28" t="s">
        <v>51</v>
      </c>
      <c r="M15542" s="25">
        <v>128050</v>
      </c>
      <c r="N15542" s="27">
        <v>0</v>
      </c>
    </row>
    <row r="15543" spans="1:14" ht="12.75" x14ac:dyDescent="0.2">
      <c r="A15543" s="23" t="str">
        <f>HYPERLINK("https://www.spark-marketing.ru/Card/Person/126956", "МБОУ ""СЭЛ № 21""")</f>
        <v>МБОУ "СЭЛ № 21"</v>
      </c>
      <c r="B15543" s="24" t="s">
        <v>20497</v>
      </c>
      <c r="C15543" s="25">
        <v>3027556.5</v>
      </c>
      <c r="D15543" s="22" t="s">
        <v>20498</v>
      </c>
      <c r="E15543" s="22" t="s">
        <v>48</v>
      </c>
      <c r="F15543" s="23" t="str">
        <f>HYPERLINK("https://www.spark-marketing.ru/Card/Lot/71634113", "Услуга общественного питания")</f>
        <v>Услуга общественного питания</v>
      </c>
      <c r="G15543" s="22" t="s">
        <v>415</v>
      </c>
      <c r="H15543" s="22" t="s">
        <v>415</v>
      </c>
      <c r="I15543" s="26">
        <v>43640.6964814815</v>
      </c>
      <c r="J15543" s="23" t="str">
        <f>HYPERLINK("https://www.spark-marketing.ru/Card/Person/126483", "ООО ""СЕРВИС-КОМПЛЕКС""")</f>
        <v>ООО "СЕРВИС-КОМПЛЕКС"</v>
      </c>
      <c r="K15543" s="24" t="s">
        <v>20475</v>
      </c>
      <c r="L15543" s="22" t="s">
        <v>10</v>
      </c>
      <c r="M15543" s="25">
        <v>2880000</v>
      </c>
      <c r="N15543" s="27">
        <v>4.8737818765727414E-2</v>
      </c>
    </row>
    <row r="15544" spans="1:14" x14ac:dyDescent="0.2">
      <c r="A15544" s="23" t="str">
        <f>HYPERLINK("https://www.spark-marketing.ru/Card/Person/4371011", "МАОУ ""ЯРКОВСКАЯ СОШ""")</f>
        <v>МАОУ "ЯРКОВСКАЯ СОШ"</v>
      </c>
      <c r="B15544" s="24" t="s">
        <v>2637</v>
      </c>
      <c r="C15544" s="25">
        <v>784750</v>
      </c>
      <c r="D15544" s="22" t="s">
        <v>20499</v>
      </c>
      <c r="E15544" s="22" t="s">
        <v>362</v>
      </c>
      <c r="F15544" s="23" t="str">
        <f>HYPERLINK("https://www.spark-marketing.ru/Card/Lot/71615151", "Оказание услуг по организации питания детей в оздоровительном лагере с дневным пребыванием")</f>
        <v>Оказание услуг по организации питания детей в оздоровительном лагере с дневным пребыванием</v>
      </c>
      <c r="G15544" s="22" t="s">
        <v>766</v>
      </c>
      <c r="H15544" s="22" t="s">
        <v>766</v>
      </c>
      <c r="I15544" s="26">
        <v>43640.690173611103</v>
      </c>
      <c r="J15544" s="23" t="str">
        <f>HYPERLINK("https://www.spark-marketing.ru/Card/Person/6329414", "Иванов Сергей Михайлович")</f>
        <v>Иванов Сергей Михайлович</v>
      </c>
      <c r="K15544" s="24" t="s">
        <v>2639</v>
      </c>
      <c r="L15544" s="28" t="s">
        <v>51</v>
      </c>
      <c r="M15544" s="25">
        <v>784750</v>
      </c>
      <c r="N15544" s="27">
        <v>0</v>
      </c>
    </row>
    <row r="15545" spans="1:14" ht="12.75" x14ac:dyDescent="0.2">
      <c r="A15545" s="23" t="str">
        <f>HYPERLINK("https://www.spark-marketing.ru/Card/Person/126493", "МБОУ ""СОШ №18 ИМЕНИ ГЕРОЯ СОВЕТСКОГО СОЮЗА ГЕНЕРАЛА АРМИИ В.Ф. МАРГЕЛОВА""")</f>
        <v>МБОУ "СОШ №18 ИМЕНИ ГЕРОЯ СОВЕТСКОГО СОЮЗА ГЕНЕРАЛА АРМИИ В.Ф. МАРГЕЛОВА"</v>
      </c>
      <c r="B15545" s="24" t="s">
        <v>20500</v>
      </c>
      <c r="C15545" s="25">
        <v>2906370.5</v>
      </c>
      <c r="D15545" s="22" t="s">
        <v>20501</v>
      </c>
      <c r="E15545" s="22" t="s">
        <v>48</v>
      </c>
      <c r="F15545" s="23" t="str">
        <f>HYPERLINK("https://www.spark-marketing.ru/Card/Lot/71634143", "Услуга общественного питания")</f>
        <v>Услуга общественного питания</v>
      </c>
      <c r="G15545" s="22" t="s">
        <v>415</v>
      </c>
      <c r="H15545" s="22" t="s">
        <v>415</v>
      </c>
      <c r="I15545" s="26">
        <v>43640.672557870399</v>
      </c>
      <c r="J15545" s="23" t="str">
        <f>HYPERLINK("https://www.spark-marketing.ru/Card/Person/126483", "ООО ""СЕРВИС-КОМПЛЕКС""")</f>
        <v>ООО "СЕРВИС-КОМПЛЕКС"</v>
      </c>
      <c r="K15545" s="24" t="s">
        <v>20475</v>
      </c>
      <c r="L15545" s="22" t="s">
        <v>10</v>
      </c>
      <c r="M15545" s="25">
        <v>2600000</v>
      </c>
      <c r="N15545" s="27">
        <v>0.10541343576120113</v>
      </c>
    </row>
    <row r="15546" spans="1:14" x14ac:dyDescent="0.15">
      <c r="A15546" s="23" t="str">
        <f>HYPERLINK("https://www.spark-marketing.ru/Card/Person/34855", "МО МВД РОССИИ ""ШИМАНОВСКИЙ""")</f>
        <v>МО МВД РОССИИ "ШИМАНОВСКИЙ"</v>
      </c>
      <c r="B15546" s="24" t="s">
        <v>11462</v>
      </c>
      <c r="C15546" s="25">
        <v>150000</v>
      </c>
      <c r="D15546" s="22" t="s">
        <v>20502</v>
      </c>
      <c r="E15546" s="22" t="s">
        <v>48</v>
      </c>
      <c r="F15546" s="23" t="str">
        <f>HYPERLINK("https://www.spark-marketing.ru/Card/Lot/71609559", "Услуги по обеспечению питанием, осуществляемые по договору, лиц, содержащихся в ИВС МО МВД России ""Шимановский""")</f>
        <v>Услуги по обеспечению питанием, осуществляемые по договору, лиц, содержащихся в ИВС МО МВД России "Шимановский"</v>
      </c>
      <c r="G15546" s="22" t="s">
        <v>210</v>
      </c>
      <c r="H15546" s="22" t="s">
        <v>11464</v>
      </c>
      <c r="I15546" s="26">
        <v>43640.648611111101</v>
      </c>
      <c r="J15546" s="23" t="str">
        <f>HYPERLINK("https://www.spark-marketing.ru/Card/Person/327930", "Никогосян Жулета Воскановна")</f>
        <v>Никогосян Жулета Воскановна</v>
      </c>
      <c r="K15546" s="24" t="s">
        <v>11465</v>
      </c>
      <c r="L15546" s="22" t="s">
        <v>10</v>
      </c>
      <c r="M15546" s="28" t="s">
        <v>51</v>
      </c>
      <c r="N15546" s="28" t="s">
        <v>51</v>
      </c>
    </row>
    <row r="15547" spans="1:14" x14ac:dyDescent="0.15">
      <c r="A15547" s="23" t="str">
        <f>HYPERLINK("https://www.spark-marketing.ru/Card/Person/4346989", "У МВД РОССИИ ПО Г.ТОЛЬЯТТИ")</f>
        <v>У МВД РОССИИ ПО Г.ТОЛЬЯТТИ</v>
      </c>
      <c r="B15547" s="24" t="s">
        <v>15938</v>
      </c>
      <c r="C15547" s="25">
        <v>4321839.6500000004</v>
      </c>
      <c r="D15547" s="22" t="s">
        <v>20503</v>
      </c>
      <c r="E15547" s="22" t="s">
        <v>48</v>
      </c>
      <c r="F15547" s="23" t="str">
        <f>HYPERLINK("https://www.spark-marketing.ru/Card/Lot/71620933", "Оказание услуг по организации горячего питания в ИВС У МВД России по г.Тольятти,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соде...")</f>
        <v>Оказание услуг по организации горячего питания в ИВС У МВД России по г.Тольятти,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соде...</v>
      </c>
      <c r="G15547" s="22" t="s">
        <v>128</v>
      </c>
      <c r="H15547" s="22" t="s">
        <v>128</v>
      </c>
      <c r="I15547" s="26">
        <v>43640.65</v>
      </c>
      <c r="J15547" s="28" t="s">
        <v>51</v>
      </c>
      <c r="K15547" s="28" t="s">
        <v>51</v>
      </c>
      <c r="L15547" s="28" t="s">
        <v>51</v>
      </c>
      <c r="M15547" s="28" t="s">
        <v>51</v>
      </c>
      <c r="N15547" s="28" t="s">
        <v>51</v>
      </c>
    </row>
    <row r="15548" spans="1:14" hidden="1" outlineLevel="1" x14ac:dyDescent="0.2">
      <c r="A15548" s="23" t="str">
        <f>HYPERLINK("https://www.spark-marketing.ru/Card/Person/4346989", "У МВД РОССИИ ПО Г.ТОЛЬЯТТИ")</f>
        <v>У МВД РОССИИ ПО Г.ТОЛЬЯТТИ</v>
      </c>
      <c r="B15548" s="24" t="s">
        <v>15938</v>
      </c>
      <c r="C15548" s="25">
        <v>4321839.6500000004</v>
      </c>
      <c r="D15548" s="22" t="s">
        <v>20503</v>
      </c>
      <c r="E15548" s="22" t="s">
        <v>48</v>
      </c>
      <c r="F15548" s="23" t="str">
        <f>HYPERLINK("https://www.spark-marketing.ru/Card/Lot/71620933", "Оказание услуг по организации горячего питания в ИВС У МВД России по г.Тольятти,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соде...")</f>
        <v>Оказание услуг по организации горячего питания в ИВС У МВД России по г.Тольятти,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соде...</v>
      </c>
      <c r="G15548" s="22" t="s">
        <v>128</v>
      </c>
      <c r="H15548" s="22" t="s">
        <v>128</v>
      </c>
      <c r="I15548" s="26">
        <v>43640.65</v>
      </c>
      <c r="J15548" s="23" t="str">
        <f>HYPERLINK("https://www.spark-marketing.ru/Card/Person/87599", "ООО ""ФУД-СОЮЗ""")</f>
        <v>ООО "ФУД-СОЮЗ"</v>
      </c>
      <c r="K15548" s="24" t="s">
        <v>19737</v>
      </c>
      <c r="L15548" s="28" t="s">
        <v>51</v>
      </c>
      <c r="M15548" s="25">
        <v>4084138.45</v>
      </c>
      <c r="N15548" s="27">
        <v>5.5000004454121752E-2</v>
      </c>
    </row>
    <row r="15549" spans="1:14" ht="12.75" hidden="1" outlineLevel="1" x14ac:dyDescent="0.2">
      <c r="A15549" s="23" t="str">
        <f>HYPERLINK("https://www.spark-marketing.ru/Card/Person/4346989", "У МВД РОССИИ ПО Г.ТОЛЬЯТТИ")</f>
        <v>У МВД РОССИИ ПО Г.ТОЛЬЯТТИ</v>
      </c>
      <c r="B15549" s="24" t="s">
        <v>15938</v>
      </c>
      <c r="C15549" s="25">
        <v>4321839.6500000004</v>
      </c>
      <c r="D15549" s="22" t="s">
        <v>20503</v>
      </c>
      <c r="E15549" s="22" t="s">
        <v>48</v>
      </c>
      <c r="F15549" s="23" t="str">
        <f>HYPERLINK("https://www.spark-marketing.ru/Card/Lot/71620933", "Оказание услуг по организации горячего питания в ИВС У МВД России по г.Тольятти,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соде...")</f>
        <v>Оказание услуг по организации горячего питания в ИВС У МВД России по г.Тольятти, ИВС ОП № 24 У МВД России по г. Тольятти, Специальном приемнике для содержания лиц, арестованных в административном порядке У МВД России по г. Тольятти, комнатах для соде...</v>
      </c>
      <c r="G15549" s="22" t="s">
        <v>128</v>
      </c>
      <c r="H15549" s="22" t="s">
        <v>128</v>
      </c>
      <c r="I15549" s="26">
        <v>43640.65</v>
      </c>
      <c r="J15549" s="23" t="str">
        <f>HYPERLINK("https://www.spark-marketing.ru/Card/Person/6437703", "ООО ""ФЛАГМАН""")</f>
        <v>ООО "ФЛАГМАН"</v>
      </c>
      <c r="K15549" s="24" t="s">
        <v>14165</v>
      </c>
      <c r="L15549" s="22" t="s">
        <v>10</v>
      </c>
      <c r="M15549" s="25">
        <v>4062529.25</v>
      </c>
      <c r="N15549" s="27">
        <v>6.000000485904191E-2</v>
      </c>
    </row>
    <row r="15550" spans="1:14" x14ac:dyDescent="0.15">
      <c r="A15550" s="23" t="str">
        <f>HYPERLINK("https://www.spark-marketing.ru/Card/Person/120226", "МБОУ СОШ №41 Г.СТАВРОПОЛЯ")</f>
        <v>МБОУ СОШ №41 Г.СТАВРОПОЛЯ</v>
      </c>
      <c r="B15550" s="24" t="s">
        <v>20504</v>
      </c>
      <c r="C15550" s="25">
        <v>453126</v>
      </c>
      <c r="D15550" s="22" t="s">
        <v>20505</v>
      </c>
      <c r="E15550" s="22" t="s">
        <v>48</v>
      </c>
      <c r="F15550" s="23" t="str">
        <f>HYPERLINK("https://www.spark-marketing.ru/Card/Lot/71631787", "Услуги по организации питания учащихся МБОУ СОШ №41 г. Ставрополя в сентябре-декабре 2019 года.")</f>
        <v>Услуги по организации питания учащихся МБОУ СОШ №41 г. Ставрополя в сентябре-декабре 2019 года.</v>
      </c>
      <c r="G15550" s="22" t="s">
        <v>87</v>
      </c>
      <c r="H15550" s="22" t="s">
        <v>87</v>
      </c>
      <c r="I15550" s="26">
        <v>43640.644444444399</v>
      </c>
      <c r="J15550" s="23" t="str">
        <f>HYPERLINK("https://www.spark-marketing.ru/Card/Person/217327", "Карпачев Валерий Борисович")</f>
        <v>Карпачев Валерий Борисович</v>
      </c>
      <c r="K15550" s="24" t="s">
        <v>19656</v>
      </c>
      <c r="L15550" s="22" t="s">
        <v>10</v>
      </c>
      <c r="M15550" s="28" t="s">
        <v>51</v>
      </c>
      <c r="N15550" s="28" t="s">
        <v>51</v>
      </c>
    </row>
    <row r="15551" spans="1:14" x14ac:dyDescent="0.2">
      <c r="A15551" s="23" t="str">
        <f>HYPERLINK("https://www.spark-marketing.ru/Card/Person/28992", "ФГБОУ ВО «РГЭУ (РИНХ)», РОСТОВСКИЙ ГОСУДАРСТВЕННЫЙ ЭКОНОМИЧЕСКИЙ УНИВЕРСИТЕТ (РИНХ), РГЭУ (РИНХ)")</f>
        <v>ФГБОУ ВО «РГЭУ (РИНХ)», РОСТОВСКИЙ ГОСУДАРСТВЕННЫЙ ЭКОНОМИЧЕСКИЙ УНИВЕРСИТЕТ (РИНХ), РГЭУ (РИНХ)</v>
      </c>
      <c r="B15551" s="24" t="s">
        <v>3545</v>
      </c>
      <c r="C15551" s="25">
        <v>374080</v>
      </c>
      <c r="D15551" s="22" t="s">
        <v>20506</v>
      </c>
      <c r="E15551" s="22" t="s">
        <v>580</v>
      </c>
      <c r="F15551" s="23" t="str">
        <f>HYPERLINK("https://www.spark-marketing.ru/Card/Lot/71617387", "Оказание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«Ивушка».")</f>
        <v>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</v>
      </c>
      <c r="G15551" s="22" t="s">
        <v>267</v>
      </c>
      <c r="H15551" s="22" t="s">
        <v>267</v>
      </c>
      <c r="I15551" s="26">
        <v>43640.643194444398</v>
      </c>
      <c r="J15551" s="28" t="s">
        <v>51</v>
      </c>
      <c r="K15551" s="28" t="s">
        <v>51</v>
      </c>
      <c r="L15551" s="28" t="s">
        <v>51</v>
      </c>
      <c r="M15551" s="25">
        <v>374080</v>
      </c>
      <c r="N15551" s="27">
        <v>0</v>
      </c>
    </row>
    <row r="15552" spans="1:14" x14ac:dyDescent="0.15">
      <c r="A15552" s="23" t="str">
        <f>HYPERLINK("https://www.spark-marketing.ru/Card/Person/4349427", "АЛТАЙСКОЕ КРАЕВОЕ ЗАКОНОДАТЕЛЬНОЕ СОБРАНИЕ")</f>
        <v>АЛТАЙСКОЕ КРАЕВОЕ ЗАКОНОДАТЕЛЬНОЕ СОБРАНИЕ</v>
      </c>
      <c r="B15552" s="24" t="s">
        <v>17492</v>
      </c>
      <c r="C15552" s="25">
        <v>200000</v>
      </c>
      <c r="D15552" s="22" t="s">
        <v>20507</v>
      </c>
      <c r="E15552" s="22" t="s">
        <v>67</v>
      </c>
      <c r="F15552" s="23" t="str">
        <f>HYPERLINK("https://www.spark-marketing.ru/Card/Lot/71609330", "Оказание услуг по организации питания и обслуживанию участников мероприятий, проводимых Заказчиком")</f>
        <v>Оказание услуг по организации питания и обслуживанию участников мероприятий, проводимых Заказчиком</v>
      </c>
      <c r="G15552" s="22" t="s">
        <v>63</v>
      </c>
      <c r="H15552" s="22" t="s">
        <v>177</v>
      </c>
      <c r="I15552" s="26">
        <v>43640.629861111098</v>
      </c>
      <c r="J15552" s="23" t="str">
        <f>HYPERLINK("https://www.spark-marketing.ru/Card/Person/162257", "АГКУП "" СТОЛОВАЯ АДМИНИСТРАЦИИ КРАЯ """)</f>
        <v>АГКУП " СТОЛОВАЯ АДМИНИСТРАЦИИ КРАЯ "</v>
      </c>
      <c r="K15552" s="24" t="s">
        <v>20508</v>
      </c>
      <c r="L15552" s="22" t="s">
        <v>10</v>
      </c>
      <c r="M15552" s="28" t="s">
        <v>51</v>
      </c>
      <c r="N15552" s="28" t="s">
        <v>51</v>
      </c>
    </row>
    <row r="15553" spans="1:14" ht="12.75" x14ac:dyDescent="0.2">
      <c r="A15553" s="23" t="str">
        <f>HYPERLINK("https://www.spark-marketing.ru/Card/Person/126957", "МБОУ ""СОШ № 9 ИМ. А.С. ПУШКИНА""")</f>
        <v>МБОУ "СОШ № 9 ИМ. А.С. ПУШКИНА"</v>
      </c>
      <c r="B15553" s="24" t="s">
        <v>20509</v>
      </c>
      <c r="C15553" s="25">
        <v>2290684</v>
      </c>
      <c r="D15553" s="22" t="s">
        <v>20510</v>
      </c>
      <c r="E15553" s="22" t="s">
        <v>48</v>
      </c>
      <c r="F15553" s="23" t="str">
        <f>HYPERLINK("https://www.spark-marketing.ru/Card/Lot/71619134", "Услуга общественного питания")</f>
        <v>Услуга общественного питания</v>
      </c>
      <c r="G15553" s="22" t="s">
        <v>415</v>
      </c>
      <c r="H15553" s="22" t="s">
        <v>415</v>
      </c>
      <c r="I15553" s="26">
        <v>43640.65625</v>
      </c>
      <c r="J15553" s="23" t="str">
        <f>HYPERLINK("https://www.spark-marketing.ru/Card/Person/126483", "ООО ""СЕРВИС-КОМПЛЕКС""")</f>
        <v>ООО "СЕРВИС-КОМПЛЕКС"</v>
      </c>
      <c r="K15553" s="24" t="s">
        <v>20475</v>
      </c>
      <c r="L15553" s="22" t="s">
        <v>10</v>
      </c>
      <c r="M15553" s="25">
        <v>2110000</v>
      </c>
      <c r="N15553" s="27">
        <v>7.8877750051949552E-2</v>
      </c>
    </row>
    <row r="15554" spans="1:14" ht="12.75" x14ac:dyDescent="0.2">
      <c r="A15554" s="23" t="str">
        <f>HYPERLINK("https://www.spark-marketing.ru/Card/Person/433990", "МОУ ""ДЖАТИЕВСКАЯ ООШ""")</f>
        <v>МОУ "ДЖАТИЕВСКАЯ ООШ"</v>
      </c>
      <c r="B15554" s="24" t="s">
        <v>20511</v>
      </c>
      <c r="C15554" s="25">
        <v>603797</v>
      </c>
      <c r="D15554" s="22" t="s">
        <v>20512</v>
      </c>
      <c r="E15554" s="22" t="s">
        <v>96</v>
      </c>
      <c r="F15554" s="23" t="str">
        <f>HYPERLINK("https://www.spark-marketing.ru/Card/Lot/71632789", "услуги по организации горячего питания школьников")</f>
        <v>услуги по организации горячего питания школьников</v>
      </c>
      <c r="G15554" s="22" t="s">
        <v>162</v>
      </c>
      <c r="H15554" s="22" t="s">
        <v>14517</v>
      </c>
      <c r="I15554" s="26">
        <v>43640.632557870398</v>
      </c>
      <c r="J15554" s="23" t="str">
        <f>HYPERLINK("https://www.spark-marketing.ru/Card/Person/1278347", "Василисков Сергей Николаевич")</f>
        <v>Василисков Сергей Николаевич</v>
      </c>
      <c r="K15554" s="24" t="s">
        <v>17497</v>
      </c>
      <c r="L15554" s="22" t="s">
        <v>10</v>
      </c>
      <c r="M15554" s="25">
        <v>603797</v>
      </c>
      <c r="N15554" s="27">
        <v>0</v>
      </c>
    </row>
    <row r="15555" spans="1:14" x14ac:dyDescent="0.15">
      <c r="A15555" s="23" t="str">
        <f>HYPERLINK("https://www.spark-marketing.ru/Card/Person/143770", "МОАУ ""ЛИЦЕЙ № 3""")</f>
        <v>МОАУ "ЛИЦЕЙ № 3"</v>
      </c>
      <c r="B15555" s="24" t="s">
        <v>20513</v>
      </c>
      <c r="C15555" s="25">
        <v>230540.4</v>
      </c>
      <c r="D15555" s="22" t="s">
        <v>20514</v>
      </c>
      <c r="E15555" s="22" t="s">
        <v>1412</v>
      </c>
      <c r="F15555" s="23" t="str">
        <f>HYPERLINK("https://www.spark-marketing.ru/Card/Lot/71611703", "Оказание услуг по организации питания детей в лагере дневного пребывания на базе организации МОАУ Лицей №3")</f>
        <v>Оказание услуг по организации питания детей в лагере дневного пребывания на базе организации МОАУ Лицей №3</v>
      </c>
      <c r="G15555" s="22" t="s">
        <v>132</v>
      </c>
      <c r="H15555" s="22" t="s">
        <v>132</v>
      </c>
      <c r="I15555" s="26">
        <v>43640.640300925901</v>
      </c>
      <c r="J15555" s="28" t="s">
        <v>51</v>
      </c>
      <c r="K15555" s="28" t="s">
        <v>51</v>
      </c>
      <c r="L15555" s="28" t="s">
        <v>51</v>
      </c>
      <c r="M15555" s="28" t="s">
        <v>51</v>
      </c>
      <c r="N15555" s="28" t="s">
        <v>51</v>
      </c>
    </row>
    <row r="15556" spans="1:14" ht="12.75" x14ac:dyDescent="0.2">
      <c r="A15556" s="23" t="str">
        <f>HYPERLINK("https://www.spark-marketing.ru/Card/Person/126554", "МУНИЦИПАЛЬНОЕ БЮДЖЕТНОЕ ОБЩЕОБРАЗОВАТЕЛЬНОЕ УЧРЕЖДЕНИЕ ""МНОГОПРОФИЛЬНЫЙ ПРАВОВОЙ ЛИЦЕЙ №8""")</f>
        <v>МУНИЦИПАЛЬНОЕ БЮДЖЕТНОЕ ОБЩЕОБРАЗОВАТЕЛЬНОЕ УЧРЕЖДЕНИЕ "МНОГОПРОФИЛЬНЫЙ ПРАВОВОЙ ЛИЦЕЙ №8"</v>
      </c>
      <c r="B15556" s="24" t="s">
        <v>20515</v>
      </c>
      <c r="C15556" s="25">
        <v>3348810</v>
      </c>
      <c r="D15556" s="22" t="s">
        <v>20516</v>
      </c>
      <c r="E15556" s="22" t="s">
        <v>48</v>
      </c>
      <c r="F15556" s="23" t="str">
        <f>HYPERLINK("https://www.spark-marketing.ru/Card/Lot/71621226", "Услуга общественного питания")</f>
        <v>Услуга общественного питания</v>
      </c>
      <c r="G15556" s="22" t="s">
        <v>415</v>
      </c>
      <c r="H15556" s="22" t="s">
        <v>415</v>
      </c>
      <c r="I15556" s="26">
        <v>43640.65625</v>
      </c>
      <c r="J15556" s="23" t="str">
        <f>HYPERLINK("https://www.spark-marketing.ru/Card/Person/126483", "ООО ""СЕРВИС-КОМПЛЕКС""")</f>
        <v>ООО "СЕРВИС-КОМПЛЕКС"</v>
      </c>
      <c r="K15556" s="24" t="s">
        <v>20475</v>
      </c>
      <c r="L15556" s="22" t="s">
        <v>10</v>
      </c>
      <c r="M15556" s="25">
        <v>3015000</v>
      </c>
      <c r="N15556" s="27">
        <v>9.9680184901502322E-2</v>
      </c>
    </row>
    <row r="15557" spans="1:14" ht="12.75" x14ac:dyDescent="0.2">
      <c r="A15557" s="23" t="str">
        <f>HYPERLINK("https://www.spark-marketing.ru/Card/Person/126491", "МУНИЦИПАЛЬНОЕ БЮДЖЕТНОЕ ОБЩЕОБРАЗОВАТЕЛЬНОЕ УЧРЕЖДЕНИЕ ""СРЕДНЯЯ ОБЩЕОБРАЗОВАТЕЛЬНАЯ ШКОЛА №5 ИМЕНИ ГЕРОЯ РФ М.Н.ЕВТЮХИНА""")</f>
        <v>МУНИЦИПАЛЬНОЕ БЮДЖЕТНОЕ ОБЩЕОБРАЗОВАТЕЛЬНОЕ УЧРЕЖДЕНИЕ "СРЕДНЯЯ ОБЩЕОБРАЗОВАТЕЛЬНАЯ ШКОЛА №5 ИМЕНИ ГЕРОЯ РФ М.Н.ЕВТЮХИНА"</v>
      </c>
      <c r="B15557" s="24" t="s">
        <v>20517</v>
      </c>
      <c r="C15557" s="25">
        <v>2122295.5</v>
      </c>
      <c r="D15557" s="22" t="s">
        <v>20518</v>
      </c>
      <c r="E15557" s="22" t="s">
        <v>48</v>
      </c>
      <c r="F15557" s="23" t="str">
        <f>HYPERLINK("https://www.spark-marketing.ru/Card/Lot/71634086", "Услуга общественного питания")</f>
        <v>Услуга общественного питания</v>
      </c>
      <c r="G15557" s="22" t="s">
        <v>415</v>
      </c>
      <c r="H15557" s="22" t="s">
        <v>415</v>
      </c>
      <c r="I15557" s="26">
        <v>43640.655960648102</v>
      </c>
      <c r="J15557" s="23" t="str">
        <f>HYPERLINK("https://www.spark-marketing.ru/Card/Person/126483", "ООО ""СЕРВИС-КОМПЛЕКС""")</f>
        <v>ООО "СЕРВИС-КОМПЛЕКС"</v>
      </c>
      <c r="K15557" s="24" t="s">
        <v>20475</v>
      </c>
      <c r="L15557" s="22" t="s">
        <v>10</v>
      </c>
      <c r="M15557" s="25">
        <v>1930000</v>
      </c>
      <c r="N15557" s="27">
        <v>9.0607316464648771E-2</v>
      </c>
    </row>
    <row r="15558" spans="1:14" x14ac:dyDescent="0.15">
      <c r="A15558" s="23" t="str">
        <f>HYPERLINK("https://www.spark-marketing.ru/Card/Person/135606", "ГБУ СШОР № 1 МОСКОВСКОГО РАЙОНА")</f>
        <v>ГБУ СШОР № 1 МОСКОВСКОГО РАЙОНА</v>
      </c>
      <c r="B15558" s="24" t="s">
        <v>1821</v>
      </c>
      <c r="C15558" s="25">
        <v>715134</v>
      </c>
      <c r="D15558" s="22" t="s">
        <v>20519</v>
      </c>
      <c r="E15558" s="22" t="s">
        <v>374</v>
      </c>
      <c r="F15558" s="23" t="str">
        <f>HYPERLINK("https://www.spark-marketing.ru/Card/Lot/71633713", "Оказание услуг по обеспечению участия занимающихся в ГБУ СШОР № 1 Московского района в тренировочных сборах (тренировочных мероприятиях) за пределами Санкт-Петербурга и Ленинградской области с учетом затрат на организацию питания, проживания и предос...")</f>
        <v>Оказание услуг по обеспечению участия занимающихся в ГБУ СШОР № 1 Московского района в тренировочных сборах (тренировочных мероприятиях) за пределами Санкт-Петербурга и Ленинградской области с учетом затрат на организацию питания, проживания и предос...</v>
      </c>
      <c r="G15558" s="22" t="s">
        <v>117</v>
      </c>
      <c r="H15558" s="22" t="s">
        <v>117</v>
      </c>
      <c r="I15558" s="26">
        <v>43640.626388888901</v>
      </c>
      <c r="J15558" s="23" t="str">
        <f>HYPERLINK("https://www.spark-marketing.ru/Card/Person/1567791", "ООО ""ТЕРРА""")</f>
        <v>ООО "ТЕРРА"</v>
      </c>
      <c r="K15558" s="24" t="s">
        <v>6244</v>
      </c>
      <c r="L15558" s="22" t="s">
        <v>10</v>
      </c>
      <c r="M15558" s="28" t="s">
        <v>51</v>
      </c>
      <c r="N15558" s="28" t="s">
        <v>51</v>
      </c>
    </row>
    <row r="15559" spans="1:14" x14ac:dyDescent="0.15">
      <c r="A15559" s="23" t="str">
        <f>HYPERLINK("https://www.spark-marketing.ru/Card/Person/737864", "МО МВД РОССИИ ""ВОЛЖСКИЙ""")</f>
        <v>МО МВД РОССИИ "ВОЛЖСКИЙ"</v>
      </c>
      <c r="B15559" s="24" t="s">
        <v>5225</v>
      </c>
      <c r="C15559" s="25">
        <v>485420</v>
      </c>
      <c r="D15559" s="22" t="s">
        <v>20520</v>
      </c>
      <c r="E15559" s="22" t="s">
        <v>48</v>
      </c>
      <c r="F15559" s="23" t="str">
        <f>HYPERLINK("https://www.spark-marketing.ru/Card/Lot/71632796", "Оказание услуг по обеспечению трехразовым питанием подозреваемых и обвиняемых в совершении преступлений, лиц подвергнутых административному аресту, находящихся в ИВС ПиО МО МВД России «Волжский» (по адресу: Республика Марий Эл, г. Волжск, ул. 1-ая Пр...")</f>
        <v>Оказание услуг по обеспечению трехразовым питанием подозреваемых и обвиняемых в совершении преступлений, лиц подвергнутых административному аресту, находящихся в ИВС ПиО МО МВД России «Волжский» (по адресу: Республика Марий Эл, г. Волжск, ул. 1-ая Пр...</v>
      </c>
      <c r="G15559" s="22" t="s">
        <v>3249</v>
      </c>
      <c r="H15559" s="22" t="s">
        <v>5227</v>
      </c>
      <c r="I15559" s="26">
        <v>43640.635428240697</v>
      </c>
      <c r="J15559" s="23" t="str">
        <f>HYPERLINK("https://www.spark-marketing.ru/Card/Person/124965", "Потапова Наталья Павловна")</f>
        <v>Потапова Наталья Павловна</v>
      </c>
      <c r="K15559" s="24" t="s">
        <v>8331</v>
      </c>
      <c r="L15559" s="22" t="s">
        <v>10</v>
      </c>
      <c r="M15559" s="28" t="s">
        <v>51</v>
      </c>
      <c r="N15559" s="28" t="s">
        <v>51</v>
      </c>
    </row>
    <row r="15560" spans="1:14" x14ac:dyDescent="0.15">
      <c r="A15560" s="23" t="str">
        <f>HYPERLINK("https://www.spark-marketing.ru/Card/Person/79680", "МБОУ ГИМНАЗИЯ №12 ИМ.БЕЛОКОНЯ В.Э. Г. СТАВРОПОЛЯ")</f>
        <v>МБОУ ГИМНАЗИЯ №12 ИМ.БЕЛОКОНЯ В.Э. Г. СТАВРОПОЛЯ</v>
      </c>
      <c r="B15560" s="24" t="s">
        <v>20521</v>
      </c>
      <c r="C15560" s="25">
        <v>716293</v>
      </c>
      <c r="D15560" s="22" t="s">
        <v>20522</v>
      </c>
      <c r="E15560" s="22" t="s">
        <v>48</v>
      </c>
      <c r="F15560" s="23" t="str">
        <f>HYPERLINK("https://www.spark-marketing.ru/Card/Lot/71633714", "Услуги по организации питания учащихся МБОУ гимназии № 12 им. Белоконя В.Э. г. Ставрополя в сентябре-декабре 2019 года")</f>
        <v>Услуги по организации питания учащихся МБОУ гимназии № 12 им. Белоконя В.Э. г. Ставрополя в сентябре-декабре 2019 года</v>
      </c>
      <c r="G15560" s="22" t="s">
        <v>87</v>
      </c>
      <c r="H15560" s="22" t="s">
        <v>87</v>
      </c>
      <c r="I15560" s="26">
        <v>43640.644444444399</v>
      </c>
      <c r="J15560" s="23" t="str">
        <f>HYPERLINK("https://www.spark-marketing.ru/Card/Person/217327", "Карпачев Валерий Борисович")</f>
        <v>Карпачев Валерий Борисович</v>
      </c>
      <c r="K15560" s="24" t="s">
        <v>19656</v>
      </c>
      <c r="L15560" s="22" t="s">
        <v>10</v>
      </c>
      <c r="M15560" s="28" t="s">
        <v>51</v>
      </c>
      <c r="N15560" s="28" t="s">
        <v>51</v>
      </c>
    </row>
    <row r="15561" spans="1:14" x14ac:dyDescent="0.2">
      <c r="A15561" s="23" t="str">
        <f>HYPERLINK("https://www.spark-marketing.ru/Card/Person/28992", "ФГБОУ ВО «РГЭУ (РИНХ)», РОСТОВСКИЙ ГОСУДАРСТВЕННЫЙ ЭКОНОМИЧЕСКИЙ УНИВЕРСИТЕТ (РИНХ), РГЭУ (РИНХ)")</f>
        <v>ФГБОУ ВО «РГЭУ (РИНХ)», РОСТОВСКИЙ ГОСУДАРСТВЕННЫЙ ЭКОНОМИЧЕСКИЙ УНИВЕРСИТЕТ (РИНХ), РГЭУ (РИНХ)</v>
      </c>
      <c r="B15561" s="24" t="s">
        <v>3545</v>
      </c>
      <c r="C15561" s="25">
        <v>334000</v>
      </c>
      <c r="D15561" s="22" t="s">
        <v>20523</v>
      </c>
      <c r="E15561" s="22" t="s">
        <v>580</v>
      </c>
      <c r="F15561" s="23" t="str">
        <f>HYPERLINK("https://www.spark-marketing.ru/Card/Lot/71617426", "Оказание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«Ивушка».")</f>
        <v>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</v>
      </c>
      <c r="G15561" s="22" t="s">
        <v>267</v>
      </c>
      <c r="H15561" s="22" t="s">
        <v>267</v>
      </c>
      <c r="I15561" s="26">
        <v>43640.6577314815</v>
      </c>
      <c r="J15561" s="28" t="s">
        <v>51</v>
      </c>
      <c r="K15561" s="28" t="s">
        <v>51</v>
      </c>
      <c r="L15561" s="28" t="s">
        <v>51</v>
      </c>
      <c r="M15561" s="25">
        <v>334000</v>
      </c>
      <c r="N15561" s="27">
        <v>0</v>
      </c>
    </row>
    <row r="15562" spans="1:14" x14ac:dyDescent="0.15">
      <c r="A15562" s="23" t="str">
        <f>HYPERLINK("https://www.spark-marketing.ru/Card/Person/135606", "ГБУ СШОР № 1 МОСКОВСКОГО РАЙОНА")</f>
        <v>ГБУ СШОР № 1 МОСКОВСКОГО РАЙОНА</v>
      </c>
      <c r="B15562" s="24" t="s">
        <v>1821</v>
      </c>
      <c r="C15562" s="25">
        <v>649062</v>
      </c>
      <c r="D15562" s="22" t="s">
        <v>20524</v>
      </c>
      <c r="E15562" s="22" t="s">
        <v>374</v>
      </c>
      <c r="F15562" s="23" t="str">
        <f>HYPERLINK("https://www.spark-marketing.ru/Card/Lot/71633630", "Оказание услуг по обеспечению участия занимающихся в ГБУ СШОР № 1 Московского района в тренировочных сборах (тренировочных мероприятиях) за пределами Санкт-Петербурга и Ленинградской области с учетом затрат на организацию питания, проживания, проезда...")</f>
        <v>Оказание услуг по обеспечению участия занимающихся в ГБУ СШОР № 1 Московского района в тренировочных сборах (тренировочных мероприятиях) за пределами Санкт-Петербурга и Ленинградской области с учетом затрат на организацию питания, проживания, проезда...</v>
      </c>
      <c r="G15562" s="22" t="s">
        <v>117</v>
      </c>
      <c r="H15562" s="22" t="s">
        <v>117</v>
      </c>
      <c r="I15562" s="26">
        <v>43640.627777777801</v>
      </c>
      <c r="J15562" s="23" t="str">
        <f>HYPERLINK("https://www.spark-marketing.ru/Card/Person/1567791", "ООО ""ТЕРРА""")</f>
        <v>ООО "ТЕРРА"</v>
      </c>
      <c r="K15562" s="24" t="s">
        <v>6244</v>
      </c>
      <c r="L15562" s="22" t="s">
        <v>10</v>
      </c>
      <c r="M15562" s="28" t="s">
        <v>51</v>
      </c>
      <c r="N15562" s="28" t="s">
        <v>51</v>
      </c>
    </row>
    <row r="15563" spans="1:14" x14ac:dyDescent="0.15">
      <c r="A15563" s="23" t="str">
        <f>HYPERLINK("https://www.spark-marketing.ru/Card/Person/49870", "МБОУ ЛИЦЕЙ № 10 Г. СТАВРОПОЛЯ")</f>
        <v>МБОУ ЛИЦЕЙ № 10 Г. СТАВРОПОЛЯ</v>
      </c>
      <c r="B15563" s="24" t="s">
        <v>20525</v>
      </c>
      <c r="C15563" s="25">
        <v>665200</v>
      </c>
      <c r="D15563" s="22" t="s">
        <v>20526</v>
      </c>
      <c r="E15563" s="22" t="s">
        <v>48</v>
      </c>
      <c r="F15563" s="23" t="str">
        <f>HYPERLINK("https://www.spark-marketing.ru/Card/Lot/71633671", "Услуги по организации питания учащихся МБОУ лицея № 10 г. Ставрополя в сентябре-декабре 2019 года.")</f>
        <v>Услуги по организации питания учащихся МБОУ лицея № 10 г. Ставрополя в сентябре-декабре 2019 года.</v>
      </c>
      <c r="G15563" s="22" t="s">
        <v>87</v>
      </c>
      <c r="H15563" s="22" t="s">
        <v>87</v>
      </c>
      <c r="I15563" s="26">
        <v>43640.643750000003</v>
      </c>
      <c r="J15563" s="23" t="str">
        <f>HYPERLINK("https://www.spark-marketing.ru/Card/Person/217327", "Карпачев Валерий Борисович")</f>
        <v>Карпачев Валерий Борисович</v>
      </c>
      <c r="K15563" s="24" t="s">
        <v>19656</v>
      </c>
      <c r="L15563" s="22" t="s">
        <v>10</v>
      </c>
      <c r="M15563" s="28" t="s">
        <v>51</v>
      </c>
      <c r="N15563" s="28" t="s">
        <v>51</v>
      </c>
    </row>
    <row r="15564" spans="1:14" x14ac:dyDescent="0.2">
      <c r="A15564" s="23" t="str">
        <f>HYPERLINK("https://www.spark-marketing.ru/Card/Person/28992", "ФГБОУ ВО «РГЭУ (РИНХ)», РОСТОВСКИЙ ГОСУДАРСТВЕННЫЙ ЭКОНОМИЧЕСКИЙ УНИВЕРСИТЕТ (РИНХ), РГЭУ (РИНХ)")</f>
        <v>ФГБОУ ВО «РГЭУ (РИНХ)», РОСТОВСКИЙ ГОСУДАРСТВЕННЫЙ ЭКОНОМИЧЕСКИЙ УНИВЕРСИТЕТ (РИНХ), РГЭУ (РИНХ)</v>
      </c>
      <c r="B15564" s="24" t="s">
        <v>3545</v>
      </c>
      <c r="C15564" s="25">
        <v>293920</v>
      </c>
      <c r="D15564" s="22" t="s">
        <v>20527</v>
      </c>
      <c r="E15564" s="22" t="s">
        <v>580</v>
      </c>
      <c r="F15564" s="23" t="str">
        <f>HYPERLINK("https://www.spark-marketing.ru/Card/Lot/71617383", "Оказание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«Ивушка».")</f>
        <v>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</v>
      </c>
      <c r="G15564" s="22" t="s">
        <v>267</v>
      </c>
      <c r="H15564" s="22" t="s">
        <v>267</v>
      </c>
      <c r="I15564" s="26">
        <v>43640.640474537002</v>
      </c>
      <c r="J15564" s="28" t="s">
        <v>51</v>
      </c>
      <c r="K15564" s="28" t="s">
        <v>51</v>
      </c>
      <c r="L15564" s="28" t="s">
        <v>51</v>
      </c>
      <c r="M15564" s="25">
        <v>293920</v>
      </c>
      <c r="N15564" s="27">
        <v>0</v>
      </c>
    </row>
    <row r="15565" spans="1:14" x14ac:dyDescent="0.15">
      <c r="A15565" s="23" t="str">
        <f>HYPERLINK("https://www.spark-marketing.ru/Card/Person/816480", "ОТДЕЛ МВД РОССИИ ПО СПАССКОМУ РАЙОНУ")</f>
        <v>ОТДЕЛ МВД РОССИИ ПО СПАССКОМУ РАЙОНУ</v>
      </c>
      <c r="B15565" s="24" t="s">
        <v>17773</v>
      </c>
      <c r="C15565" s="25">
        <v>75000</v>
      </c>
      <c r="D15565" s="22" t="s">
        <v>20528</v>
      </c>
      <c r="E15565" s="22" t="s">
        <v>96</v>
      </c>
      <c r="F15565" s="23" t="str">
        <f>HYPERLINK("https://www.spark-marketing.ru/Card/Lot/71614756", "Оказание услуг по организации питания (приготовлению и доставке), 250 шт")</f>
        <v>Оказание услуг по организации питания (приготовлению и доставке), 250 шт</v>
      </c>
      <c r="G15565" s="22" t="s">
        <v>217</v>
      </c>
      <c r="H15565" s="22" t="s">
        <v>622</v>
      </c>
      <c r="I15565" s="26">
        <v>43640.642071759299</v>
      </c>
      <c r="J15565" s="28" t="s">
        <v>51</v>
      </c>
      <c r="K15565" s="28" t="s">
        <v>51</v>
      </c>
      <c r="L15565" s="28" t="s">
        <v>51</v>
      </c>
      <c r="M15565" s="28" t="s">
        <v>51</v>
      </c>
      <c r="N15565" s="28" t="s">
        <v>51</v>
      </c>
    </row>
    <row r="15566" spans="1:14" x14ac:dyDescent="0.15">
      <c r="A15566" s="23" t="str">
        <f>HYPERLINK("https://www.spark-marketing.ru/Card/Person/129229", "ОТДЕЛ МВД РОССИИ ПО КУПИНСКОМУ РАЙОНУ")</f>
        <v>ОТДЕЛ МВД РОССИИ ПО КУПИНСКОМУ РАЙОНУ</v>
      </c>
      <c r="B15566" s="24" t="s">
        <v>20529</v>
      </c>
      <c r="C15566" s="25">
        <v>200000</v>
      </c>
      <c r="D15566" s="22" t="s">
        <v>20530</v>
      </c>
      <c r="E15566" s="22" t="s">
        <v>48</v>
      </c>
      <c r="F15566" s="23" t="str">
        <f>HYPERLINK("https://www.spark-marketing.ru/Card/Lot/71609888", "оказание услуг по приготовлению горячего питания для подозреваемых и обвиняемых содержащихся в изоляторе временного содержания, в том числе для лиц арестованных, задержанных в административном порядке и помещенных в Отдел МВД России по Купинскому рай...")</f>
        <v>оказание услуг по приготовлению горячего питания для подозреваемых и обвиняемых содержащихся в изоляторе временного содержания, в том числе для лиц арестованных, задержанных в административном порядке и помещенных в Отдел МВД России по Купинскому рай...</v>
      </c>
      <c r="G15566" s="22" t="s">
        <v>195</v>
      </c>
      <c r="H15566" s="22" t="s">
        <v>195</v>
      </c>
      <c r="I15566" s="26">
        <v>43640.652777777803</v>
      </c>
      <c r="J15566" s="28" t="s">
        <v>51</v>
      </c>
      <c r="K15566" s="28" t="s">
        <v>51</v>
      </c>
      <c r="L15566" s="28" t="s">
        <v>51</v>
      </c>
      <c r="M15566" s="28" t="s">
        <v>51</v>
      </c>
      <c r="N15566" s="28" t="s">
        <v>51</v>
      </c>
    </row>
    <row r="15567" spans="1:14" hidden="1" outlineLevel="1" x14ac:dyDescent="0.2">
      <c r="A15567" s="23" t="str">
        <f>HYPERLINK("https://www.spark-marketing.ru/Card/Person/129229", "ОТДЕЛ МВД РОССИИ ПО КУПИНСКОМУ РАЙОНУ")</f>
        <v>ОТДЕЛ МВД РОССИИ ПО КУПИНСКОМУ РАЙОНУ</v>
      </c>
      <c r="B15567" s="24" t="s">
        <v>20529</v>
      </c>
      <c r="C15567" s="25">
        <v>200000</v>
      </c>
      <c r="D15567" s="22" t="s">
        <v>20530</v>
      </c>
      <c r="E15567" s="22" t="s">
        <v>48</v>
      </c>
      <c r="F15567" s="23" t="str">
        <f>HYPERLINK("https://www.spark-marketing.ru/Card/Lot/71609888", "оказание услуг по приготовлению горячего питания для подозреваемых и обвиняемых содержащихся в изоляторе временного содержания, в том числе для лиц арестованных, задержанных в административном порядке и помещенных в Отдел МВД России по Купинскому рай...")</f>
        <v>оказание услуг по приготовлению горячего питания для подозреваемых и обвиняемых содержащихся в изоляторе временного содержания, в том числе для лиц арестованных, задержанных в административном порядке и помещенных в Отдел МВД России по Купинскому рай...</v>
      </c>
      <c r="G15567" s="22" t="s">
        <v>195</v>
      </c>
      <c r="H15567" s="22" t="s">
        <v>195</v>
      </c>
      <c r="I15567" s="26">
        <v>43640.652777777803</v>
      </c>
      <c r="J15567" s="23" t="str">
        <f>HYPERLINK("https://www.spark-marketing.ru/Card/Person/6625803", "Доронина Марина Александровна")</f>
        <v>Доронина Марина Александровна</v>
      </c>
      <c r="K15567" s="24" t="s">
        <v>20531</v>
      </c>
      <c r="L15567" s="28" t="s">
        <v>51</v>
      </c>
      <c r="M15567" s="25">
        <v>768</v>
      </c>
      <c r="N15567" s="27">
        <v>0.99616000000000005</v>
      </c>
    </row>
    <row r="15568" spans="1:14" ht="12.75" hidden="1" outlineLevel="1" x14ac:dyDescent="0.2">
      <c r="A15568" s="23" t="str">
        <f>HYPERLINK("https://www.spark-marketing.ru/Card/Person/129229", "ОТДЕЛ МВД РОССИИ ПО КУПИНСКОМУ РАЙОНУ")</f>
        <v>ОТДЕЛ МВД РОССИИ ПО КУПИНСКОМУ РАЙОНУ</v>
      </c>
      <c r="B15568" s="24" t="s">
        <v>20529</v>
      </c>
      <c r="C15568" s="25">
        <v>200000</v>
      </c>
      <c r="D15568" s="22" t="s">
        <v>20530</v>
      </c>
      <c r="E15568" s="22" t="s">
        <v>48</v>
      </c>
      <c r="F15568" s="23" t="str">
        <f>HYPERLINK("https://www.spark-marketing.ru/Card/Lot/71609888", "оказание услуг по приготовлению горячего питания для подозреваемых и обвиняемых содержащихся в изоляторе временного содержания, в том числе для лиц арестованных, задержанных в административном порядке и помещенных в Отдел МВД России по Купинскому рай...")</f>
        <v>оказание услуг по приготовлению горячего питания для подозреваемых и обвиняемых содержащихся в изоляторе временного содержания, в том числе для лиц арестованных, задержанных в административном порядке и помещенных в Отдел МВД России по Купинскому рай...</v>
      </c>
      <c r="G15568" s="22" t="s">
        <v>195</v>
      </c>
      <c r="H15568" s="22" t="s">
        <v>195</v>
      </c>
      <c r="I15568" s="26">
        <v>43640.652777777803</v>
      </c>
      <c r="J15568" s="23" t="str">
        <f>HYPERLINK("https://www.spark-marketing.ru/Card/Person/6625799", "Верезуб Иван Владимирович")</f>
        <v>Верезуб Иван Владимирович</v>
      </c>
      <c r="K15568" s="24" t="s">
        <v>20532</v>
      </c>
      <c r="L15568" s="22" t="s">
        <v>10</v>
      </c>
      <c r="M15568" s="25">
        <v>668</v>
      </c>
      <c r="N15568" s="27">
        <v>0.99665999999999999</v>
      </c>
    </row>
    <row r="15569" spans="1:14" x14ac:dyDescent="0.15">
      <c r="A15569" s="23" t="s">
        <v>114</v>
      </c>
      <c r="B15569" s="28" t="s">
        <v>51</v>
      </c>
      <c r="C15569" s="25">
        <v>39955545.780000001</v>
      </c>
      <c r="D15569" s="22" t="s">
        <v>20533</v>
      </c>
      <c r="E15569" s="22" t="s">
        <v>48</v>
      </c>
      <c r="F15569" s="23" t="str">
        <f>HYPERLINK("https://www.spark-marketing.ru/Card/Lot/71622883",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69" s="22" t="s">
        <v>51</v>
      </c>
      <c r="H15569" s="22" t="s">
        <v>51</v>
      </c>
      <c r="I15569" s="26">
        <v>43640.65625</v>
      </c>
      <c r="J15569" s="23" t="str">
        <f>HYPERLINK("https://www.spark-marketing.ru/Card/Person/571043", "АО ""КОМБИНАТ ПИТАНИЯ ""КИРОВСКИЙ""")</f>
        <v>АО "КОМБИНАТ ПИТАНИЯ "КИРОВСКИЙ"</v>
      </c>
      <c r="K15569" s="24" t="s">
        <v>20405</v>
      </c>
      <c r="L15569" s="28" t="s">
        <v>51</v>
      </c>
      <c r="M15569" s="28" t="s">
        <v>51</v>
      </c>
      <c r="N15569" s="28" t="s">
        <v>51</v>
      </c>
    </row>
    <row r="15570" spans="1:14" hidden="1" outlineLevel="1" x14ac:dyDescent="0.15">
      <c r="A15570" s="23" t="str">
        <f>HYPERLINK("https://www.spark-marketing.ru/Card/Person/82018", "ГБОУ СОШ №277 КИРОВСКОГО РАЙОНА САНКТ-ПЕТЕРБУРГА")</f>
        <v>ГБОУ СОШ №277 КИРОВСКОГО РАЙОНА САНКТ-ПЕТЕРБУРГА</v>
      </c>
      <c r="B15570" s="24" t="s">
        <v>20534</v>
      </c>
      <c r="C15570" s="25">
        <v>18128667.050000001</v>
      </c>
      <c r="D15570" s="22" t="s">
        <v>20533</v>
      </c>
      <c r="E15570" s="22" t="s">
        <v>48</v>
      </c>
      <c r="F15570" s="23" t="str">
        <f>HYPERLINK("https://www.spark-marketing.ru/Card/Lot/71622883",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70" s="22" t="s">
        <v>117</v>
      </c>
      <c r="H15570" s="22" t="s">
        <v>117</v>
      </c>
      <c r="I15570" s="26">
        <v>43640.65625</v>
      </c>
      <c r="J15570" s="23" t="str">
        <f>HYPERLINK("https://www.spark-marketing.ru/Card/Person/571043", "АО ""КОМБИНАТ ПИТАНИЯ ""КИРОВСКИЙ""")</f>
        <v>АО "КОМБИНАТ ПИТАНИЯ "КИРОВСКИЙ"</v>
      </c>
      <c r="K15570" s="24" t="s">
        <v>20405</v>
      </c>
      <c r="L15570" s="28" t="s">
        <v>51</v>
      </c>
      <c r="M15570" s="28" t="s">
        <v>51</v>
      </c>
      <c r="N15570" s="28" t="s">
        <v>51</v>
      </c>
    </row>
    <row r="15571" spans="1:14" hidden="1" outlineLevel="1" x14ac:dyDescent="0.15">
      <c r="A15571" s="23" t="str">
        <f>HYPERLINK("https://www.spark-marketing.ru/Card/Person/85424", "ГБОУ СОШ №251 КИРОВСКОГО РАЙОНА САНКТ-ПЕТЕРБУРГА")</f>
        <v>ГБОУ СОШ №251 КИРОВСКОГО РАЙОНА САНКТ-ПЕТЕРБУРГА</v>
      </c>
      <c r="B15571" s="24" t="s">
        <v>20535</v>
      </c>
      <c r="C15571" s="25">
        <v>9802984.8100000005</v>
      </c>
      <c r="D15571" s="22" t="s">
        <v>20533</v>
      </c>
      <c r="E15571" s="22" t="s">
        <v>48</v>
      </c>
      <c r="F15571" s="23" t="str">
        <f>HYPERLINK("https://www.spark-marketing.ru/Card/Lot/71622883",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71" s="22" t="s">
        <v>117</v>
      </c>
      <c r="H15571" s="22" t="s">
        <v>117</v>
      </c>
      <c r="I15571" s="26">
        <v>43640.65625</v>
      </c>
      <c r="J15571" s="23" t="str">
        <f>HYPERLINK("https://www.spark-marketing.ru/Card/Person/571043", "АО ""КОМБИНАТ ПИТАНИЯ ""КИРОВСКИЙ""")</f>
        <v>АО "КОМБИНАТ ПИТАНИЯ "КИРОВСКИЙ"</v>
      </c>
      <c r="K15571" s="24" t="s">
        <v>20405</v>
      </c>
      <c r="L15571" s="28" t="s">
        <v>51</v>
      </c>
      <c r="M15571" s="28" t="s">
        <v>51</v>
      </c>
      <c r="N15571" s="28" t="s">
        <v>51</v>
      </c>
    </row>
    <row r="15572" spans="1:14" hidden="1" outlineLevel="1" x14ac:dyDescent="0.15">
      <c r="A15572" s="23" t="str">
        <f>HYPERLINK("https://www.spark-marketing.ru/Card/Person/91541", "ГБОУ СОШ № 254 С УГЛУБЛЕННЫМ ИЗУЧЕНИЕМ АНГЛИЙСКОГО ЯЗЫКА КИРОВСКОГО РАЙОНА САНКТ-ПЕТЕРБУРГА")</f>
        <v>ГБОУ СОШ № 254 С УГЛУБЛЕННЫМ ИЗУЧЕНИЕМ АНГЛИЙСКОГО ЯЗЫКА КИРОВСКОГО РАЙОНА САНКТ-ПЕТЕРБУРГА</v>
      </c>
      <c r="B15572" s="24" t="s">
        <v>20536</v>
      </c>
      <c r="C15572" s="25">
        <v>12023893.92</v>
      </c>
      <c r="D15572" s="22" t="s">
        <v>20533</v>
      </c>
      <c r="E15572" s="22" t="s">
        <v>48</v>
      </c>
      <c r="F15572" s="23" t="str">
        <f>HYPERLINK("https://www.spark-marketing.ru/Card/Lot/71622883",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72" s="22" t="s">
        <v>117</v>
      </c>
      <c r="H15572" s="22" t="s">
        <v>117</v>
      </c>
      <c r="I15572" s="26">
        <v>43640.65625</v>
      </c>
      <c r="J15572" s="23" t="str">
        <f>HYPERLINK("https://www.spark-marketing.ru/Card/Person/571043", "АО ""КОМБИНАТ ПИТАНИЯ ""КИРОВСКИЙ""")</f>
        <v>АО "КОМБИНАТ ПИТАНИЯ "КИРОВСКИЙ"</v>
      </c>
      <c r="K15572" s="24" t="s">
        <v>20405</v>
      </c>
      <c r="L15572" s="28" t="s">
        <v>51</v>
      </c>
      <c r="M15572" s="28" t="s">
        <v>51</v>
      </c>
      <c r="N15572" s="28" t="s">
        <v>51</v>
      </c>
    </row>
    <row r="15573" spans="1:14" hidden="1" outlineLevel="1" x14ac:dyDescent="0.2">
      <c r="A15573" s="28" t="s">
        <v>51</v>
      </c>
      <c r="B15573" s="28" t="s">
        <v>51</v>
      </c>
      <c r="C15573" s="28" t="s">
        <v>51</v>
      </c>
      <c r="D15573" s="22" t="s">
        <v>20533</v>
      </c>
      <c r="E15573" s="22" t="s">
        <v>48</v>
      </c>
      <c r="F15573" s="23" t="str">
        <f>HYPERLINK("https://www.spark-marketing.ru/Card/Lot/71622883",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73" s="22" t="s">
        <v>51</v>
      </c>
      <c r="H15573" s="22" t="s">
        <v>51</v>
      </c>
      <c r="I15573" s="26">
        <v>43640.65625</v>
      </c>
      <c r="J15573" s="23" t="str">
        <f>HYPERLINK("https://www.spark-marketing.ru/Card/Person/571043", "АО ""КОМБИНАТ ПИТАНИЯ ""КИРОВСКИЙ""")</f>
        <v>АО "КОМБИНАТ ПИТАНИЯ "КИРОВСКИЙ"</v>
      </c>
      <c r="K15573" s="24" t="s">
        <v>20405</v>
      </c>
      <c r="L15573" s="28" t="s">
        <v>51</v>
      </c>
      <c r="M15573" s="25">
        <v>39955545.780000001</v>
      </c>
      <c r="N15573" s="27">
        <v>0</v>
      </c>
    </row>
    <row r="15574" spans="1:14" x14ac:dyDescent="0.15">
      <c r="A15574" s="23" t="str">
        <f>HYPERLINK("https://www.spark-marketing.ru/Card/Person/25082", "ГБУЗ РК ""УСТЬ-КУЛОМСКАЯ ЦРБ""")</f>
        <v>ГБУЗ РК "УСТЬ-КУЛОМСКАЯ ЦРБ"</v>
      </c>
      <c r="B15574" s="24" t="s">
        <v>6000</v>
      </c>
      <c r="C15574" s="25">
        <v>990605</v>
      </c>
      <c r="D15574" s="22" t="s">
        <v>20537</v>
      </c>
      <c r="E15574" s="22" t="s">
        <v>48</v>
      </c>
      <c r="F15574" s="23" t="str">
        <f>HYPERLINK("https://www.spark-marketing.ru/Card/Lot/71632130", "Оказание услуг по организации питания пациентов ГБУЗ РК «Усть-Куломская центральная районная больница» в 2019 году-7")</f>
        <v>Оказание услуг по организации питания пациентов ГБУЗ РК «Усть-Куломская центральная районная больница» в 2019 году-7</v>
      </c>
      <c r="G15574" s="22" t="s">
        <v>271</v>
      </c>
      <c r="H15574" s="22" t="s">
        <v>6002</v>
      </c>
      <c r="I15574" s="26">
        <v>43640.643402777801</v>
      </c>
      <c r="J15574" s="23" t="str">
        <f>HYPERLINK("https://www.spark-marketing.ru/Card/Person/776948", "Першин Василий Степанович")</f>
        <v>Першин Василий Степанович</v>
      </c>
      <c r="K15574" s="24" t="s">
        <v>6003</v>
      </c>
      <c r="L15574" s="22" t="s">
        <v>10</v>
      </c>
      <c r="M15574" s="28" t="s">
        <v>51</v>
      </c>
      <c r="N15574" s="28" t="s">
        <v>51</v>
      </c>
    </row>
    <row r="15575" spans="1:14" ht="12.75" x14ac:dyDescent="0.2">
      <c r="A15575" s="23" t="str">
        <f>HYPERLINK("https://www.spark-marketing.ru/Card/Person/27856", "ГУ - КАЛИНИНГРАДСКОЕ РО ФОНДА СОЦИАЛЬНОГО СТРАХОВАНИЯ РОССИЙСКОЙ ФЕДЕРАЦИИ")</f>
        <v>ГУ - КАЛИНИНГРАДСКОЕ РО ФОНДА СОЦИАЛЬНОГО СТРАХОВАНИЯ РОССИЙСКОЙ ФЕДЕРАЦИИ</v>
      </c>
      <c r="B15575" s="24" t="s">
        <v>10131</v>
      </c>
      <c r="C15575" s="25">
        <v>898344</v>
      </c>
      <c r="D15575" s="22" t="s">
        <v>20538</v>
      </c>
      <c r="E15575" s="22" t="s">
        <v>86</v>
      </c>
      <c r="F15575" s="23" t="str">
        <f>HYPERLINK("https://www.spark-marketing.ru/Card/Lot/71632220", "Оказание услуг по санаторно-курортному лечению отдельных категорий граждан по болезни эндокринной системы, расстройства питания и нарушения обмена веществ")</f>
        <v>Оказание услуг по санаторно-курортному лечению отдельных категорий граждан по болезни эндокринной системы, расстройства питания и нарушения обмена веществ</v>
      </c>
      <c r="G15575" s="22" t="s">
        <v>400</v>
      </c>
      <c r="H15575" s="22" t="s">
        <v>401</v>
      </c>
      <c r="I15575" s="26">
        <v>43640.635405092602</v>
      </c>
      <c r="J15575" s="23" t="str">
        <f>HYPERLINK("https://www.spark-marketing.ru/Card/Person/75630", "ООО ""САНАТОРИЙ ""ЯНТАРНЫЙ БЕРЕГ""")</f>
        <v>ООО "САНАТОРИЙ "ЯНТАРНЫЙ БЕРЕГ"</v>
      </c>
      <c r="K15575" s="24" t="s">
        <v>20539</v>
      </c>
      <c r="L15575" s="22" t="s">
        <v>10</v>
      </c>
      <c r="M15575" s="25">
        <v>898344</v>
      </c>
      <c r="N15575" s="27">
        <v>0</v>
      </c>
    </row>
    <row r="15576" spans="1:14" x14ac:dyDescent="0.15">
      <c r="A15576" s="23" t="str">
        <f>HYPERLINK("https://www.spark-marketing.ru/Card/Person/6619440", "ГБУЗ ПК ""ПЦРБ""")</f>
        <v>ГБУЗ ПК "ПЦРБ"</v>
      </c>
      <c r="B15576" s="24" t="s">
        <v>3719</v>
      </c>
      <c r="C15576" s="25">
        <v>494000</v>
      </c>
      <c r="D15576" s="22" t="s">
        <v>20540</v>
      </c>
      <c r="E15576" s="22" t="s">
        <v>96</v>
      </c>
      <c r="F15576" s="23" t="str">
        <f>HYPERLINK("https://www.spark-marketing.ru/Card/Lot/71633543", "Оказание услуг по организации лечебного питания для пациентов стационара ГБУЗ ПК ""ПЦРБ"" ЗАТО Звездный")</f>
        <v>Оказание услуг по организации лечебного питания для пациентов стационара ГБУЗ ПК "ПЦРБ" ЗАТО Звездный</v>
      </c>
      <c r="G15576" s="22" t="s">
        <v>153</v>
      </c>
      <c r="H15576" s="22" t="s">
        <v>153</v>
      </c>
      <c r="I15576" s="26">
        <v>43640.637499999997</v>
      </c>
      <c r="J15576" s="23" t="str">
        <f>HYPERLINK("https://www.spark-marketing.ru/Card/Person/437999", "Йосипчук Юрий Юрьевич")</f>
        <v>Йосипчук Юрий Юрьевич</v>
      </c>
      <c r="K15576" s="24" t="s">
        <v>20541</v>
      </c>
      <c r="L15576" s="22" t="s">
        <v>10</v>
      </c>
      <c r="M15576" s="28" t="s">
        <v>51</v>
      </c>
      <c r="N15576" s="28" t="s">
        <v>51</v>
      </c>
    </row>
    <row r="15577" spans="1:14" x14ac:dyDescent="0.2">
      <c r="A15577" s="23" t="str">
        <f>HYPERLINK("https://www.spark-marketing.ru/Card/Person/28992", "ФГБОУ ВО «РГЭУ (РИНХ)», РОСТОВСКИЙ ГОСУДАРСТВЕННЫЙ ЭКОНОМИЧЕСКИЙ УНИВЕРСИТЕТ (РИНХ), РГЭУ (РИНХ)")</f>
        <v>ФГБОУ ВО «РГЭУ (РИНХ)», РОСТОВСКИЙ ГОСУДАРСТВЕННЫЙ ЭКОНОМИЧЕСКИЙ УНИВЕРСИТЕТ (РИНХ), РГЭУ (РИНХ)</v>
      </c>
      <c r="B15577" s="24" t="s">
        <v>3545</v>
      </c>
      <c r="C15577" s="25">
        <v>334000</v>
      </c>
      <c r="D15577" s="22" t="s">
        <v>20542</v>
      </c>
      <c r="E15577" s="22" t="s">
        <v>580</v>
      </c>
      <c r="F15577" s="23" t="str">
        <f>HYPERLINK("https://www.spark-marketing.ru/Card/Lot/71617521", "Оказание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«Ивушка».")</f>
        <v>Оказание услуг по организации питания студентов очной формы обучения ФГБОУ ВО «РГЭУ (РИНХ)», пребывающих в студенческом спортивно-оздоровительном лагере «Ивушка».</v>
      </c>
      <c r="G15577" s="22" t="s">
        <v>267</v>
      </c>
      <c r="H15577" s="22" t="s">
        <v>267</v>
      </c>
      <c r="I15577" s="26">
        <v>43640.637708333299</v>
      </c>
      <c r="J15577" s="28" t="s">
        <v>51</v>
      </c>
      <c r="K15577" s="28" t="s">
        <v>51</v>
      </c>
      <c r="L15577" s="28" t="s">
        <v>51</v>
      </c>
      <c r="M15577" s="25">
        <v>334000</v>
      </c>
      <c r="N15577" s="27">
        <v>0</v>
      </c>
    </row>
    <row r="15578" spans="1:14" x14ac:dyDescent="0.15">
      <c r="A15578" s="23" t="str">
        <f>HYPERLINK("https://www.spark-marketing.ru/Card/Person/137370", """ГБУСО МО ЦСО""СЕРПУХОВСКИЙ ГОРОДСКОЙ ДОМ ВЕТЕРАНОВ""")</f>
        <v>"ГБУСО МО ЦСО"СЕРПУХОВСКИЙ ГОРОДСКОЙ ДОМ ВЕТЕРАНОВ"</v>
      </c>
      <c r="B15578" s="24" t="s">
        <v>12596</v>
      </c>
      <c r="C15578" s="25">
        <v>179550</v>
      </c>
      <c r="D15578" s="22" t="s">
        <v>20543</v>
      </c>
      <c r="E15578" s="22" t="s">
        <v>362</v>
      </c>
      <c r="F15578" s="23" t="str">
        <f>HYPERLINK("https://www.spark-marketing.ru/Card/Lot/71614999", "Оказание услуг по обеспечению ежедневным готовым горячим питанием граждан пожилого возраста и инвалидов, находящихся в отделении дневного пребывания ГБУСО МО ЦСО «Серпуховский городской дом ветеранов»")</f>
        <v>Оказание услуг по обеспечению ежедневным готовым горячим питанием граждан пожилого возраста и инвалидов, находящихся в отделении дневного пребывания ГБУСО МО ЦСО «Серпуховский городской дом ветеранов»</v>
      </c>
      <c r="G15578" s="22" t="s">
        <v>49</v>
      </c>
      <c r="H15578" s="22" t="s">
        <v>49</v>
      </c>
      <c r="I15578" s="26">
        <v>43640.624409722201</v>
      </c>
      <c r="J15578" s="28" t="s">
        <v>51</v>
      </c>
      <c r="K15578" s="28" t="s">
        <v>51</v>
      </c>
      <c r="L15578" s="28" t="s">
        <v>51</v>
      </c>
      <c r="M15578" s="28" t="s">
        <v>51</v>
      </c>
      <c r="N15578" s="28" t="s">
        <v>51</v>
      </c>
    </row>
    <row r="15579" spans="1:14" x14ac:dyDescent="0.15">
      <c r="A15579" s="23" t="str">
        <f>HYPERLINK("https://www.spark-marketing.ru/Card/Person/21213", "ГБУЗ ""МЕЖРАЙОННАЯ БОЛЬНИЦА № 1""")</f>
        <v>ГБУЗ "МЕЖРАЙОННАЯ БОЛЬНИЦА № 1"</v>
      </c>
      <c r="B15579" s="24" t="s">
        <v>20544</v>
      </c>
      <c r="C15579" s="25">
        <v>222000</v>
      </c>
      <c r="D15579" s="22" t="s">
        <v>20545</v>
      </c>
      <c r="E15579" s="22" t="s">
        <v>583</v>
      </c>
      <c r="F15579" s="23" t="str">
        <f>HYPERLINK("https://www.spark-marketing.ru/Card/Lot/71630653", "Ремонт источника бесперебойного питания (ИБП) компьютерного томографа Bright Speed 16 с заменой запасных частей")</f>
        <v>Ремонт источника бесперебойного питания (ИБП) компьютерного томографа Bright Speed 16 с заменой запасных частей</v>
      </c>
      <c r="G15579" s="22" t="s">
        <v>59</v>
      </c>
      <c r="H15579" s="22" t="s">
        <v>8526</v>
      </c>
      <c r="I15579" s="26">
        <v>43640.603472222203</v>
      </c>
      <c r="J15579" s="28" t="s">
        <v>51</v>
      </c>
      <c r="K15579" s="28" t="s">
        <v>51</v>
      </c>
      <c r="L15579" s="28" t="s">
        <v>51</v>
      </c>
      <c r="M15579" s="28" t="s">
        <v>51</v>
      </c>
      <c r="N15579" s="28" t="s">
        <v>51</v>
      </c>
    </row>
    <row r="15580" spans="1:14" ht="12.75" hidden="1" outlineLevel="1" x14ac:dyDescent="0.2">
      <c r="A15580" s="23" t="str">
        <f>HYPERLINK("https://www.spark-marketing.ru/Card/Person/21213", "ГБУЗ ""МЕЖРАЙОННАЯ БОЛЬНИЦА № 1""")</f>
        <v>ГБУЗ "МЕЖРАЙОННАЯ БОЛЬНИЦА № 1"</v>
      </c>
      <c r="B15580" s="24" t="s">
        <v>20544</v>
      </c>
      <c r="C15580" s="25">
        <v>222000</v>
      </c>
      <c r="D15580" s="22" t="s">
        <v>20545</v>
      </c>
      <c r="E15580" s="22" t="s">
        <v>583</v>
      </c>
      <c r="F15580" s="23" t="str">
        <f>HYPERLINK("https://www.spark-marketing.ru/Card/Lot/71630653", "Ремонт источника бесперебойного питания (ИБП) компьютерного томографа Bright Speed 16 с заменой запасных частей")</f>
        <v>Ремонт источника бесперебойного питания (ИБП) компьютерного томографа Bright Speed 16 с заменой запасных частей</v>
      </c>
      <c r="G15580" s="22" t="s">
        <v>59</v>
      </c>
      <c r="H15580" s="22" t="s">
        <v>8526</v>
      </c>
      <c r="I15580" s="26">
        <v>43640.603472222203</v>
      </c>
      <c r="J15580" s="23" t="str">
        <f>HYPERLINK("https://www.spark-marketing.ru/Card/Person/19065", "ООО ""ДЕЛЬРУС-В""")</f>
        <v>ООО "ДЕЛЬРУС-В"</v>
      </c>
      <c r="K15580" s="24" t="s">
        <v>20546</v>
      </c>
      <c r="L15580" s="22" t="s">
        <v>10</v>
      </c>
      <c r="M15580" s="25">
        <v>145410</v>
      </c>
      <c r="N15580" s="27">
        <v>0.34499999999999997</v>
      </c>
    </row>
    <row r="15581" spans="1:14" hidden="1" outlineLevel="1" x14ac:dyDescent="0.2">
      <c r="A15581" s="23" t="str">
        <f>HYPERLINK("https://www.spark-marketing.ru/Card/Person/21213", "ГБУЗ ""МЕЖРАЙОННАЯ БОЛЬНИЦА № 1""")</f>
        <v>ГБУЗ "МЕЖРАЙОННАЯ БОЛЬНИЦА № 1"</v>
      </c>
      <c r="B15581" s="24" t="s">
        <v>20544</v>
      </c>
      <c r="C15581" s="25">
        <v>222000</v>
      </c>
      <c r="D15581" s="22" t="s">
        <v>20545</v>
      </c>
      <c r="E15581" s="22" t="s">
        <v>583</v>
      </c>
      <c r="F15581" s="23" t="str">
        <f>HYPERLINK("https://www.spark-marketing.ru/Card/Lot/71630653", "Ремонт источника бесперебойного питания (ИБП) компьютерного томографа Bright Speed 16 с заменой запасных частей")</f>
        <v>Ремонт источника бесперебойного питания (ИБП) компьютерного томографа Bright Speed 16 с заменой запасных частей</v>
      </c>
      <c r="G15581" s="22" t="s">
        <v>59</v>
      </c>
      <c r="H15581" s="22" t="s">
        <v>8526</v>
      </c>
      <c r="I15581" s="26">
        <v>43640.603472222203</v>
      </c>
      <c r="J15581" s="23" t="str">
        <f>HYPERLINK("https://www.spark-marketing.ru/Card/Person/5767614", "ООО ""РУСЕЛФ""")</f>
        <v>ООО "РУСЕЛФ"</v>
      </c>
      <c r="K15581" s="24" t="s">
        <v>9382</v>
      </c>
      <c r="L15581" s="28" t="s">
        <v>51</v>
      </c>
      <c r="M15581" s="25">
        <v>156510</v>
      </c>
      <c r="N15581" s="27">
        <v>0.29499999999999998</v>
      </c>
    </row>
    <row r="15582" spans="1:14" x14ac:dyDescent="0.15">
      <c r="A15582" s="23" t="str">
        <f>HYPERLINK("https://www.spark-marketing.ru/Card/Person/1077922", "МБДОУ №52 Г.ШАХТЫ")</f>
        <v>МБДОУ №52 Г.ШАХТЫ</v>
      </c>
      <c r="B15582" s="24" t="s">
        <v>14535</v>
      </c>
      <c r="C15582" s="25">
        <v>167317.18</v>
      </c>
      <c r="D15582" s="22" t="s">
        <v>20547</v>
      </c>
      <c r="E15582" s="22" t="s">
        <v>48</v>
      </c>
      <c r="F15582" s="23" t="str">
        <f>HYPERLINK("https://www.spark-marketing.ru/Card/Lot/71612958", "услуги по организации питания")</f>
        <v>услуги по организации питания</v>
      </c>
      <c r="G15582" s="22" t="s">
        <v>267</v>
      </c>
      <c r="H15582" s="22" t="s">
        <v>4874</v>
      </c>
      <c r="I15582" s="26">
        <v>43640.613194444399</v>
      </c>
      <c r="J15582" s="28" t="s">
        <v>51</v>
      </c>
      <c r="K15582" s="28" t="s">
        <v>51</v>
      </c>
      <c r="L15582" s="28" t="s">
        <v>51</v>
      </c>
      <c r="M15582" s="28" t="s">
        <v>51</v>
      </c>
      <c r="N15582" s="28" t="s">
        <v>51</v>
      </c>
    </row>
    <row r="15583" spans="1:14" x14ac:dyDescent="0.15">
      <c r="A15583" s="23" t="str">
        <f>HYPERLINK("https://www.spark-marketing.ru/Card/Person/737290", "ГКУ «ЦБЗ ПРИ МИНЗДРАВЕ КАРЕЛИИ»")</f>
        <v>ГКУ «ЦБЗ ПРИ МИНЗДРАВЕ КАРЕЛИИ»</v>
      </c>
      <c r="B15583" s="24" t="s">
        <v>312</v>
      </c>
      <c r="C15583" s="25">
        <v>1675232.4</v>
      </c>
      <c r="D15583" s="22" t="s">
        <v>20548</v>
      </c>
      <c r="E15583" s="22" t="s">
        <v>52</v>
      </c>
      <c r="F15583" s="23" t="str">
        <f>HYPERLINK("https://www.spark-marketing.ru/Card/Lot/71618389", "Поставка лекарственного препарата Дабигатрана этексилат,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...")</f>
        <v>Поставка лекарственного препарата Дабигатрана этексилат, для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...</v>
      </c>
      <c r="G15583" s="22" t="s">
        <v>59</v>
      </c>
      <c r="H15583" s="22" t="s">
        <v>314</v>
      </c>
      <c r="I15583" s="26">
        <v>43640.595138888901</v>
      </c>
      <c r="J15583" s="23" t="str">
        <f>HYPERLINK("https://www.spark-marketing.ru/Card/Person/6441363", "ООО ""ИРВИН""")</f>
        <v>ООО "ИРВИН"</v>
      </c>
      <c r="K15583" s="24" t="s">
        <v>4849</v>
      </c>
      <c r="L15583" s="22" t="s">
        <v>10</v>
      </c>
      <c r="M15583" s="28" t="s">
        <v>51</v>
      </c>
      <c r="N15583" s="28" t="s">
        <v>51</v>
      </c>
    </row>
    <row r="15584" spans="1:14" x14ac:dyDescent="0.15">
      <c r="A15584" s="23" t="s">
        <v>114</v>
      </c>
      <c r="B15584" s="28" t="s">
        <v>51</v>
      </c>
      <c r="C15584" s="25">
        <v>39867635.829999998</v>
      </c>
      <c r="D15584" s="22" t="s">
        <v>20549</v>
      </c>
      <c r="E15584" s="22" t="s">
        <v>48</v>
      </c>
      <c r="F15584" s="23" t="str">
        <f t="shared" ref="F15584:F15590" si="532">HYPERLINK("https://www.spark-marketing.ru/Card/Lot/71622881",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84" s="22" t="s">
        <v>51</v>
      </c>
      <c r="H15584" s="22" t="s">
        <v>51</v>
      </c>
      <c r="I15584" s="26">
        <v>43640.617361111101</v>
      </c>
      <c r="J15584" s="28" t="s">
        <v>51</v>
      </c>
      <c r="K15584" s="28" t="s">
        <v>51</v>
      </c>
      <c r="L15584" s="28" t="s">
        <v>51</v>
      </c>
      <c r="M15584" s="28" t="s">
        <v>51</v>
      </c>
      <c r="N15584" s="28" t="s">
        <v>51</v>
      </c>
    </row>
    <row r="15585" spans="1:14" hidden="1" outlineLevel="1" x14ac:dyDescent="0.15">
      <c r="A15585" s="23" t="str">
        <f>HYPERLINK("https://www.spark-marketing.ru/Card/Person/27255", "ГБОУ ГИМНАЗИЯ №284 КИРОВСКОГО РАЙОНА САНКТ-ПЕТЕРБУРГА")</f>
        <v>ГБОУ ГИМНАЗИЯ №284 КИРОВСКОГО РАЙОНА САНКТ-ПЕТЕРБУРГА</v>
      </c>
      <c r="B15585" s="24" t="s">
        <v>20550</v>
      </c>
      <c r="C15585" s="25">
        <v>9185618.7300000004</v>
      </c>
      <c r="D15585" s="22" t="s">
        <v>20549</v>
      </c>
      <c r="E15585" s="22" t="s">
        <v>48</v>
      </c>
      <c r="F15585" s="23" t="str">
        <f t="shared" si="532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85" s="22" t="s">
        <v>117</v>
      </c>
      <c r="H15585" s="22" t="s">
        <v>117</v>
      </c>
      <c r="I15585" s="26">
        <v>43640.617361111101</v>
      </c>
      <c r="J15585" s="28" t="s">
        <v>51</v>
      </c>
      <c r="K15585" s="28" t="s">
        <v>51</v>
      </c>
      <c r="L15585" s="28" t="s">
        <v>51</v>
      </c>
      <c r="M15585" s="28" t="s">
        <v>51</v>
      </c>
      <c r="N15585" s="28" t="s">
        <v>51</v>
      </c>
    </row>
    <row r="15586" spans="1:14" hidden="1" outlineLevel="1" x14ac:dyDescent="0.15">
      <c r="A15586" s="23" t="str">
        <f>HYPERLINK("https://www.spark-marketing.ru/Card/Person/66794", "ГБОУ СОШ №377 КИРОВСКОГО РАЙОНА САНКТ-ПЕТЕРБУРГА")</f>
        <v>ГБОУ СОШ №377 КИРОВСКОГО РАЙОНА САНКТ-ПЕТЕРБУРГА</v>
      </c>
      <c r="B15586" s="24" t="s">
        <v>20551</v>
      </c>
      <c r="C15586" s="25">
        <v>17101805.170000002</v>
      </c>
      <c r="D15586" s="22" t="s">
        <v>20549</v>
      </c>
      <c r="E15586" s="22" t="s">
        <v>48</v>
      </c>
      <c r="F15586" s="23" t="str">
        <f t="shared" si="532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86" s="22" t="s">
        <v>117</v>
      </c>
      <c r="H15586" s="22" t="s">
        <v>117</v>
      </c>
      <c r="I15586" s="26">
        <v>43640.617361111101</v>
      </c>
      <c r="J15586" s="28" t="s">
        <v>51</v>
      </c>
      <c r="K15586" s="28" t="s">
        <v>51</v>
      </c>
      <c r="L15586" s="28" t="s">
        <v>51</v>
      </c>
      <c r="M15586" s="28" t="s">
        <v>51</v>
      </c>
      <c r="N15586" s="28" t="s">
        <v>51</v>
      </c>
    </row>
    <row r="15587" spans="1:14" hidden="1" outlineLevel="1" x14ac:dyDescent="0.15">
      <c r="A15587" s="23" t="str">
        <f>HYPERLINK("https://www.spark-marketing.ru/Card/Person/91636", "ГБОУ СОШ № 379 КИРОВСКОГО РАЙОНА САНКТ-ПЕТЕРБУРГА")</f>
        <v>ГБОУ СОШ № 379 КИРОВСКОГО РАЙОНА САНКТ-ПЕТЕРБУРГА</v>
      </c>
      <c r="B15587" s="24" t="s">
        <v>20552</v>
      </c>
      <c r="C15587" s="25">
        <v>4577802.1399999997</v>
      </c>
      <c r="D15587" s="22" t="s">
        <v>20549</v>
      </c>
      <c r="E15587" s="22" t="s">
        <v>48</v>
      </c>
      <c r="F15587" s="23" t="str">
        <f t="shared" si="532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87" s="22" t="s">
        <v>117</v>
      </c>
      <c r="H15587" s="22" t="s">
        <v>117</v>
      </c>
      <c r="I15587" s="26">
        <v>43640.617361111101</v>
      </c>
      <c r="J15587" s="28" t="s">
        <v>51</v>
      </c>
      <c r="K15587" s="28" t="s">
        <v>51</v>
      </c>
      <c r="L15587" s="28" t="s">
        <v>51</v>
      </c>
      <c r="M15587" s="28" t="s">
        <v>51</v>
      </c>
      <c r="N15587" s="28" t="s">
        <v>51</v>
      </c>
    </row>
    <row r="15588" spans="1:14" hidden="1" outlineLevel="1" x14ac:dyDescent="0.15">
      <c r="A15588" s="23" t="str">
        <f>HYPERLINK("https://www.spark-marketing.ru/Card/Person/92680", "ГБОУ СОШ № 539 С УГЛУБЛЕННЫМ ИЗУЧЕНИЕМ ИНОСТРАННЫХ ЯЗЫКОВ КИРОВСКОГО РАЙОНА САНКТ-ПЕТЕРБУРГА")</f>
        <v>ГБОУ СОШ № 539 С УГЛУБЛЕННЫМ ИЗУЧЕНИЕМ ИНОСТРАННЫХ ЯЗЫКОВ КИРОВСКОГО РАЙОНА САНКТ-ПЕТЕРБУРГА</v>
      </c>
      <c r="B15588" s="24" t="s">
        <v>20553</v>
      </c>
      <c r="C15588" s="25">
        <v>9002409.7899999991</v>
      </c>
      <c r="D15588" s="22" t="s">
        <v>20549</v>
      </c>
      <c r="E15588" s="22" t="s">
        <v>48</v>
      </c>
      <c r="F15588" s="23" t="str">
        <f t="shared" si="532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88" s="22" t="s">
        <v>117</v>
      </c>
      <c r="H15588" s="22" t="s">
        <v>117</v>
      </c>
      <c r="I15588" s="26">
        <v>43640.617361111101</v>
      </c>
      <c r="J15588" s="28" t="s">
        <v>51</v>
      </c>
      <c r="K15588" s="28" t="s">
        <v>51</v>
      </c>
      <c r="L15588" s="28" t="s">
        <v>51</v>
      </c>
      <c r="M15588" s="28" t="s">
        <v>51</v>
      </c>
      <c r="N15588" s="28" t="s">
        <v>51</v>
      </c>
    </row>
    <row r="15589" spans="1:14" hidden="1" outlineLevel="1" x14ac:dyDescent="0.2">
      <c r="A15589" s="28" t="s">
        <v>51</v>
      </c>
      <c r="B15589" s="28" t="s">
        <v>51</v>
      </c>
      <c r="C15589" s="28" t="s">
        <v>51</v>
      </c>
      <c r="D15589" s="22" t="s">
        <v>20549</v>
      </c>
      <c r="E15589" s="22" t="s">
        <v>48</v>
      </c>
      <c r="F15589" s="23" t="str">
        <f t="shared" si="532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89" s="22" t="s">
        <v>51</v>
      </c>
      <c r="H15589" s="22" t="s">
        <v>51</v>
      </c>
      <c r="I15589" s="26">
        <v>43640.617361111101</v>
      </c>
      <c r="J15589" s="23" t="str">
        <f>HYPERLINK("https://www.spark-marketing.ru/Card/Person/59608", "АО ""АРТИС-ДЕТСКОЕ ПИТАНИЕ""")</f>
        <v>АО "АРТИС-ДЕТСКОЕ ПИТАНИЕ"</v>
      </c>
      <c r="K15589" s="24" t="s">
        <v>19631</v>
      </c>
      <c r="L15589" s="28" t="s">
        <v>51</v>
      </c>
      <c r="M15589" s="25">
        <v>39827768</v>
      </c>
      <c r="N15589" s="27">
        <v>1.0000048703665506E-3</v>
      </c>
    </row>
    <row r="15590" spans="1:14" hidden="1" outlineLevel="1" x14ac:dyDescent="0.2">
      <c r="A15590" s="28" t="s">
        <v>51</v>
      </c>
      <c r="B15590" s="28" t="s">
        <v>51</v>
      </c>
      <c r="C15590" s="28" t="s">
        <v>51</v>
      </c>
      <c r="D15590" s="22" t="s">
        <v>20549</v>
      </c>
      <c r="E15590" s="22" t="s">
        <v>48</v>
      </c>
      <c r="F15590" s="23" t="str">
        <f t="shared" si="532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90" s="22" t="s">
        <v>51</v>
      </c>
      <c r="H15590" s="22" t="s">
        <v>51</v>
      </c>
      <c r="I15590" s="26">
        <v>43640.617361111101</v>
      </c>
      <c r="J15590" s="23" t="str">
        <f>HYPERLINK("https://www.spark-marketing.ru/Card/Person/571043", "АО ""КОМБИНАТ ПИТАНИЯ ""КИРОВСКИЙ""")</f>
        <v>АО "КОМБИНАТ ПИТАНИЯ "КИРОВСКИЙ"</v>
      </c>
      <c r="K15590" s="24" t="s">
        <v>20405</v>
      </c>
      <c r="L15590" s="22" t="s">
        <v>10</v>
      </c>
      <c r="M15590" s="25">
        <v>39671122.329999998</v>
      </c>
      <c r="N15590" s="27">
        <v>4.929148566470188E-3</v>
      </c>
    </row>
    <row r="15591" spans="1:14" x14ac:dyDescent="0.15">
      <c r="A15591" s="23" t="str">
        <f>HYPERLINK("https://www.spark-marketing.ru/Card/Person/6166814", "УПРАВЛЕНИЕ РОСГВАРДИИ ПО КРАСНОЯРСКОМУ КРАЮ")</f>
        <v>УПРАВЛЕНИЕ РОСГВАРДИИ ПО КРАСНОЯРСКОМУ КРАЮ</v>
      </c>
      <c r="B15591" s="24" t="s">
        <v>4974</v>
      </c>
      <c r="C15591" s="25">
        <v>142561.65</v>
      </c>
      <c r="D15591" s="22" t="s">
        <v>20554</v>
      </c>
      <c r="E15591" s="22" t="s">
        <v>48</v>
      </c>
      <c r="F15591" s="23" t="str">
        <f>HYPERLINK("https://www.spark-marketing.ru/Card/Lot/71609116", "Оказание услуг питания")</f>
        <v>Оказание услуг питания</v>
      </c>
      <c r="G15591" s="22" t="s">
        <v>281</v>
      </c>
      <c r="H15591" s="22" t="s">
        <v>281</v>
      </c>
      <c r="I15591" s="26">
        <v>43640.611111111102</v>
      </c>
      <c r="J15591" s="23" t="str">
        <f>HYPERLINK("https://www.spark-marketing.ru/Card/Person/90829", "ООО ""КОМБИНАТ ПИТАНИЯ ""ВЕТЕРАН""")</f>
        <v>ООО "КОМБИНАТ ПИТАНИЯ "ВЕТЕРАН"</v>
      </c>
      <c r="K15591" s="24" t="s">
        <v>2510</v>
      </c>
      <c r="L15591" s="22" t="s">
        <v>10</v>
      </c>
      <c r="M15591" s="28" t="s">
        <v>51</v>
      </c>
      <c r="N15591" s="28" t="s">
        <v>51</v>
      </c>
    </row>
    <row r="15592" spans="1:14" x14ac:dyDescent="0.15">
      <c r="A15592" s="23" t="str">
        <f>HYPERLINK("https://www.spark-marketing.ru/Card/Person/2838", "ФГБОУ ВО ""КНИТУ""")</f>
        <v>ФГБОУ ВО "КНИТУ"</v>
      </c>
      <c r="B15592" s="24" t="s">
        <v>20555</v>
      </c>
      <c r="C15592" s="25">
        <v>3320650.67</v>
      </c>
      <c r="D15592" s="22" t="s">
        <v>20556</v>
      </c>
      <c r="E15592" s="22" t="s">
        <v>362</v>
      </c>
      <c r="F15592" s="23" t="str">
        <f>HYPERLINK("https://www.spark-marketing.ru/Card/Lot/71617497", "Оказание услуг по организации питания в лицее-интернате для одаренных детей с углубленным изучением химии - филиал федерального государственного бюджетного образовательного учреждения высшего образования «Казанский национальный исследовательский техн...")</f>
        <v>Оказание услуг по организации питания в лицее-интернате для одаренных детей с углубленным изучением химии - филиал федерального государственного бюджетного образовательного учреждения высшего образования «Казанский национальный исследовательский техн...</v>
      </c>
      <c r="G15592" s="22" t="s">
        <v>217</v>
      </c>
      <c r="H15592" s="22" t="s">
        <v>937</v>
      </c>
      <c r="I15592" s="26">
        <v>43640.624571759297</v>
      </c>
      <c r="J15592" s="28" t="s">
        <v>51</v>
      </c>
      <c r="K15592" s="28" t="s">
        <v>51</v>
      </c>
      <c r="L15592" s="28" t="s">
        <v>51</v>
      </c>
      <c r="M15592" s="28" t="s">
        <v>51</v>
      </c>
      <c r="N15592" s="28" t="s">
        <v>51</v>
      </c>
    </row>
    <row r="15593" spans="1:14" x14ac:dyDescent="0.15">
      <c r="A15593" s="23" t="s">
        <v>114</v>
      </c>
      <c r="B15593" s="28" t="s">
        <v>51</v>
      </c>
      <c r="C15593" s="25">
        <v>39506482.880000003</v>
      </c>
      <c r="D15593" s="22" t="s">
        <v>20557</v>
      </c>
      <c r="E15593" s="22" t="s">
        <v>48</v>
      </c>
      <c r="F15593" s="23" t="str">
        <f t="shared" ref="F15593:F15599" si="533">HYPERLINK("https://www.spark-marketing.ru/Card/Lot/71622877", "УСЛУГИ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торги)")</f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93" s="22" t="s">
        <v>51</v>
      </c>
      <c r="H15593" s="22" t="s">
        <v>51</v>
      </c>
      <c r="I15593" s="26">
        <v>43640.618750000001</v>
      </c>
      <c r="J15593" s="28" t="s">
        <v>51</v>
      </c>
      <c r="K15593" s="28" t="s">
        <v>51</v>
      </c>
      <c r="L15593" s="28" t="s">
        <v>51</v>
      </c>
      <c r="M15593" s="28" t="s">
        <v>51</v>
      </c>
      <c r="N15593" s="28" t="s">
        <v>51</v>
      </c>
    </row>
    <row r="15594" spans="1:14" hidden="1" outlineLevel="1" x14ac:dyDescent="0.15">
      <c r="A15594" s="23" t="str">
        <f>HYPERLINK("https://www.spark-marketing.ru/Card/Person/66754", "ГБОУ СОШ № 249 ИМ. М.В. МАНЕВИЧА КИРОВСКОГО РАЙОНА САНКТ-ПЕТЕРБУРГА")</f>
        <v>ГБОУ СОШ № 249 ИМ. М.В. МАНЕВИЧА КИРОВСКОГО РАЙОНА САНКТ-ПЕТЕРБУРГА</v>
      </c>
      <c r="B15594" s="24" t="s">
        <v>20558</v>
      </c>
      <c r="C15594" s="25">
        <v>11255024.24</v>
      </c>
      <c r="D15594" s="22" t="s">
        <v>20557</v>
      </c>
      <c r="E15594" s="22" t="s">
        <v>48</v>
      </c>
      <c r="F15594" s="23" t="str">
        <f t="shared" si="533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94" s="22" t="s">
        <v>117</v>
      </c>
      <c r="H15594" s="22" t="s">
        <v>117</v>
      </c>
      <c r="I15594" s="26">
        <v>43640.618750000001</v>
      </c>
      <c r="J15594" s="28" t="s">
        <v>51</v>
      </c>
      <c r="K15594" s="28" t="s">
        <v>51</v>
      </c>
      <c r="L15594" s="28" t="s">
        <v>51</v>
      </c>
      <c r="M15594" s="28" t="s">
        <v>51</v>
      </c>
      <c r="N15594" s="28" t="s">
        <v>51</v>
      </c>
    </row>
    <row r="15595" spans="1:14" hidden="1" outlineLevel="1" x14ac:dyDescent="0.15">
      <c r="A15595" s="23" t="str">
        <f>HYPERLINK("https://www.spark-marketing.ru/Card/Person/89051", "ГБОУ СОШ №250 КИРОВСКОГО РАЙОНА САНКТ-ПЕТЕРБУРГА")</f>
        <v>ГБОУ СОШ №250 КИРОВСКОГО РАЙОНА САНКТ-ПЕТЕРБУРГА</v>
      </c>
      <c r="B15595" s="24" t="s">
        <v>20559</v>
      </c>
      <c r="C15595" s="25">
        <v>12679142.289999999</v>
      </c>
      <c r="D15595" s="22" t="s">
        <v>20557</v>
      </c>
      <c r="E15595" s="22" t="s">
        <v>48</v>
      </c>
      <c r="F15595" s="23" t="str">
        <f t="shared" si="533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95" s="22" t="s">
        <v>117</v>
      </c>
      <c r="H15595" s="22" t="s">
        <v>117</v>
      </c>
      <c r="I15595" s="26">
        <v>43640.618750000001</v>
      </c>
      <c r="J15595" s="28" t="s">
        <v>51</v>
      </c>
      <c r="K15595" s="28" t="s">
        <v>51</v>
      </c>
      <c r="L15595" s="28" t="s">
        <v>51</v>
      </c>
      <c r="M15595" s="28" t="s">
        <v>51</v>
      </c>
      <c r="N15595" s="28" t="s">
        <v>51</v>
      </c>
    </row>
    <row r="15596" spans="1:14" hidden="1" outlineLevel="1" x14ac:dyDescent="0.15">
      <c r="A15596" s="23" t="str">
        <f>HYPERLINK("https://www.spark-marketing.ru/Card/Person/91585", "ГБОУ СОШ № 658 КИРОВСКОГО РАЙОНА САНКТ-ПЕТЕРБУРГА")</f>
        <v>ГБОУ СОШ № 658 КИРОВСКОГО РАЙОНА САНКТ-ПЕТЕРБУРГА</v>
      </c>
      <c r="B15596" s="24" t="s">
        <v>20560</v>
      </c>
      <c r="C15596" s="25">
        <v>7113473.6399999997</v>
      </c>
      <c r="D15596" s="22" t="s">
        <v>20557</v>
      </c>
      <c r="E15596" s="22" t="s">
        <v>48</v>
      </c>
      <c r="F15596" s="23" t="str">
        <f t="shared" si="533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96" s="22" t="s">
        <v>117</v>
      </c>
      <c r="H15596" s="22" t="s">
        <v>117</v>
      </c>
      <c r="I15596" s="26">
        <v>43640.618750000001</v>
      </c>
      <c r="J15596" s="28" t="s">
        <v>51</v>
      </c>
      <c r="K15596" s="28" t="s">
        <v>51</v>
      </c>
      <c r="L15596" s="28" t="s">
        <v>51</v>
      </c>
      <c r="M15596" s="28" t="s">
        <v>51</v>
      </c>
      <c r="N15596" s="28" t="s">
        <v>51</v>
      </c>
    </row>
    <row r="15597" spans="1:14" hidden="1" outlineLevel="1" x14ac:dyDescent="0.15">
      <c r="A15597" s="23" t="str">
        <f>HYPERLINK("https://www.spark-marketing.ru/Card/Person/91911", "ГБОУ СОШ №381 КИРОВСКОГО РАЙОНА САНКТ-ПЕТЕРБУРГА")</f>
        <v>ГБОУ СОШ №381 КИРОВСКОГО РАЙОНА САНКТ-ПЕТЕРБУРГА</v>
      </c>
      <c r="B15597" s="24" t="s">
        <v>20561</v>
      </c>
      <c r="C15597" s="25">
        <v>8458842.7100000009</v>
      </c>
      <c r="D15597" s="22" t="s">
        <v>20557</v>
      </c>
      <c r="E15597" s="22" t="s">
        <v>48</v>
      </c>
      <c r="F15597" s="23" t="str">
        <f t="shared" si="533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97" s="22" t="s">
        <v>117</v>
      </c>
      <c r="H15597" s="22" t="s">
        <v>117</v>
      </c>
      <c r="I15597" s="26">
        <v>43640.618750000001</v>
      </c>
      <c r="J15597" s="28" t="s">
        <v>51</v>
      </c>
      <c r="K15597" s="28" t="s">
        <v>51</v>
      </c>
      <c r="L15597" s="28" t="s">
        <v>51</v>
      </c>
      <c r="M15597" s="28" t="s">
        <v>51</v>
      </c>
      <c r="N15597" s="28" t="s">
        <v>51</v>
      </c>
    </row>
    <row r="15598" spans="1:14" hidden="1" outlineLevel="1" x14ac:dyDescent="0.2">
      <c r="A15598" s="28" t="s">
        <v>51</v>
      </c>
      <c r="B15598" s="28" t="s">
        <v>51</v>
      </c>
      <c r="C15598" s="28" t="s">
        <v>51</v>
      </c>
      <c r="D15598" s="22" t="s">
        <v>20557</v>
      </c>
      <c r="E15598" s="22" t="s">
        <v>48</v>
      </c>
      <c r="F15598" s="23" t="str">
        <f t="shared" si="533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98" s="22" t="s">
        <v>51</v>
      </c>
      <c r="H15598" s="22" t="s">
        <v>51</v>
      </c>
      <c r="I15598" s="26">
        <v>43640.618750000001</v>
      </c>
      <c r="J15598" s="23" t="str">
        <f>HYPERLINK("https://www.spark-marketing.ru/Card/Person/59608", "АО ""АРТИС-ДЕТСКОЕ ПИТАНИЕ""")</f>
        <v>АО "АРТИС-ДЕТСКОЕ ПИТАНИЕ"</v>
      </c>
      <c r="K15598" s="24" t="s">
        <v>19631</v>
      </c>
      <c r="L15598" s="28" t="s">
        <v>51</v>
      </c>
      <c r="M15598" s="25">
        <v>27654538</v>
      </c>
      <c r="N15598" s="27">
        <v>0.3000000004049968</v>
      </c>
    </row>
    <row r="15599" spans="1:14" hidden="1" outlineLevel="1" x14ac:dyDescent="0.2">
      <c r="A15599" s="28" t="s">
        <v>51</v>
      </c>
      <c r="B15599" s="28" t="s">
        <v>51</v>
      </c>
      <c r="C15599" s="28" t="s">
        <v>51</v>
      </c>
      <c r="D15599" s="22" t="s">
        <v>20557</v>
      </c>
      <c r="E15599" s="22" t="s">
        <v>48</v>
      </c>
      <c r="F15599" s="23" t="str">
        <f t="shared" si="533"/>
        <v>УСЛУГИ ПО ОРГАНИЗАЦИИ ПИТАНИЯ В ГОСУДАРСТВЕННЫХ БЮДЖЕТНЫХ ОБРАЗОВАТЕЛЬНЫХ УЧРЕЖДЕНИЯХ, ПОДВЕДОМСТВЕННЫХ АДМИНИСТРАЦИИ КИРОВСКОГО РАЙОНА САНКТ-ПЕТЕРБУРГА, В 2019-2021 ГОДАХ (совместные торги)</v>
      </c>
      <c r="G15599" s="22" t="s">
        <v>51</v>
      </c>
      <c r="H15599" s="22" t="s">
        <v>51</v>
      </c>
      <c r="I15599" s="26">
        <v>43640.618750000001</v>
      </c>
      <c r="J15599" s="23" t="str">
        <f>HYPERLINK("https://www.spark-marketing.ru/Card/Person/571043", "АО ""КОМБИНАТ ПИТАНИЯ ""КИРОВСКИЙ""")</f>
        <v>АО "КОМБИНАТ ПИТАНИЯ "КИРОВСКИЙ"</v>
      </c>
      <c r="K15599" s="24" t="s">
        <v>20405</v>
      </c>
      <c r="L15599" s="22" t="s">
        <v>10</v>
      </c>
      <c r="M15599" s="25">
        <v>39308671.640000001</v>
      </c>
      <c r="N15599" s="27">
        <v>5.0070577176117379E-3</v>
      </c>
    </row>
    <row r="15600" spans="1:14" x14ac:dyDescent="0.15">
      <c r="A15600" s="23" t="str">
        <f>HYPERLINK("https://www.spark-marketing.ru/Card/Person/1751878", "УМВД РОССИИ ПО ТОМСКОЙ ОБЛАСТИ")</f>
        <v>УМВД РОССИИ ПО ТОМСКОЙ ОБЛАСТИ</v>
      </c>
      <c r="B15600" s="24" t="s">
        <v>1665</v>
      </c>
      <c r="C15600" s="25">
        <v>439652.78</v>
      </c>
      <c r="D15600" s="22" t="s">
        <v>20562</v>
      </c>
      <c r="E15600" s="22" t="s">
        <v>48</v>
      </c>
      <c r="F15600" s="23" t="str">
        <f>HYPERLINK("https://www.spark-marketing.ru/Card/Lot/71612811", "Оказание услуг по организации и доставке ежедневного, пятиразового, горячего питания несовершеннолетних лиц, содержащихся в ЦВСНП УМВД России по Томской области")</f>
        <v>Оказание услуг по организации и доставке ежедневного, пятиразового, горячего питания несовершеннолетних лиц, содержащихся в ЦВСНП УМВД России по Томской области</v>
      </c>
      <c r="G15600" s="22" t="s">
        <v>149</v>
      </c>
      <c r="H15600" s="22" t="s">
        <v>496</v>
      </c>
      <c r="I15600" s="26">
        <v>43640.552777777797</v>
      </c>
      <c r="J15600" s="23" t="str">
        <f>HYPERLINK("https://www.spark-marketing.ru/Card/Person/839334", "ООО ""БЕЗЕ""")</f>
        <v>ООО "БЕЗЕ"</v>
      </c>
      <c r="K15600" s="24" t="s">
        <v>3938</v>
      </c>
      <c r="L15600" s="22" t="s">
        <v>10</v>
      </c>
      <c r="M15600" s="28" t="s">
        <v>51</v>
      </c>
      <c r="N15600" s="28" t="s">
        <v>51</v>
      </c>
    </row>
    <row r="15601" spans="1:14" x14ac:dyDescent="0.15">
      <c r="A15601" s="23" t="str">
        <f>HYPERLINK("https://www.spark-marketing.ru/Card/Person/55851", "ГБУЗ КВД")</f>
        <v>ГБУЗ КВД</v>
      </c>
      <c r="B15601" s="24" t="s">
        <v>6337</v>
      </c>
      <c r="C15601" s="25">
        <v>385735.59</v>
      </c>
      <c r="D15601" s="22" t="s">
        <v>20563</v>
      </c>
      <c r="E15601" s="22" t="s">
        <v>48</v>
      </c>
      <c r="F15601" s="23" t="str">
        <f>HYPERLINK("https://www.spark-marketing.ru/Card/Lot/71631525", "Оказание услуг по приготовлению и поставке готового питания для пациентов круглосуточного стационара Филиала «Великолукский» ГБУЗ «Кожно-венерологический диспансер Псковской области» (идентификационный номер: 3728-А-ГЗ-Л)")</f>
        <v>Оказание услуг по приготовлению и поставке готового питания для пациентов круглосуточного стационара Филиала «Великолукский» ГБУЗ «Кожно-венерологический диспансер Псковской области» (идентификационный номер: 3728-А-ГЗ-Л)</v>
      </c>
      <c r="G15601" s="22" t="s">
        <v>415</v>
      </c>
      <c r="H15601" s="22" t="s">
        <v>3840</v>
      </c>
      <c r="I15601" s="26">
        <v>43640.541666666701</v>
      </c>
      <c r="J15601" s="23" t="str">
        <f>HYPERLINK("https://www.spark-marketing.ru/Card/Person/6457099", "Веркеенко Наталия Николаевна")</f>
        <v>Веркеенко Наталия Николаевна</v>
      </c>
      <c r="K15601" s="24" t="s">
        <v>3841</v>
      </c>
      <c r="L15601" s="22" t="s">
        <v>10</v>
      </c>
      <c r="M15601" s="28" t="s">
        <v>51</v>
      </c>
      <c r="N15601" s="28" t="s">
        <v>51</v>
      </c>
    </row>
    <row r="15602" spans="1:14" x14ac:dyDescent="0.15">
      <c r="A15602" s="23" t="str">
        <f>HYPERLINK("https://www.spark-marketing.ru/Card/Person/152653", "МБОУ СОШ №1")</f>
        <v>МБОУ СОШ №1</v>
      </c>
      <c r="B15602" s="24" t="s">
        <v>20564</v>
      </c>
      <c r="C15602" s="25">
        <v>893025</v>
      </c>
      <c r="D15602" s="22" t="s">
        <v>20565</v>
      </c>
      <c r="E15602" s="22" t="s">
        <v>51</v>
      </c>
      <c r="F15602" s="23" t="str">
        <f>HYPERLINK("https://www.spark-marketing.ru/Card/Lot/71599799", "Питание (летний отдых)")</f>
        <v>Питание (летний отдых)</v>
      </c>
      <c r="G15602" s="22" t="s">
        <v>241</v>
      </c>
      <c r="H15602" s="22" t="s">
        <v>915</v>
      </c>
      <c r="I15602" s="26">
        <v>43640.574999999997</v>
      </c>
      <c r="J15602" s="23" t="str">
        <f>HYPERLINK("https://www.spark-marketing.ru/Card/Person/448987", "МУП БЦ ""КЕМЕ""")</f>
        <v>МУП БЦ "КЕМЕ"</v>
      </c>
      <c r="K15602" s="24" t="s">
        <v>4764</v>
      </c>
      <c r="L15602" s="22" t="s">
        <v>10</v>
      </c>
      <c r="M15602" s="28" t="s">
        <v>51</v>
      </c>
      <c r="N15602" s="28" t="s">
        <v>51</v>
      </c>
    </row>
    <row r="15603" spans="1:14" x14ac:dyDescent="0.15">
      <c r="A15603" s="23" t="str">
        <f>HYPERLINK("https://www.spark-marketing.ru/Card/Person/4860208", "ГБОУ ""МЕНЗЕЛИНСКАЯ ШКОЛА-ИНТЕРНАТ""")</f>
        <v>ГБОУ "МЕНЗЕЛИНСКАЯ ШКОЛА-ИНТЕРНАТ"</v>
      </c>
      <c r="B15603" s="24" t="s">
        <v>20566</v>
      </c>
      <c r="C15603" s="25">
        <v>1007760</v>
      </c>
      <c r="D15603" s="22" t="s">
        <v>20567</v>
      </c>
      <c r="E15603" s="22" t="s">
        <v>48</v>
      </c>
      <c r="F15603" s="23" t="str">
        <f>HYPERLINK("https://www.spark-marketing.ru/Card/Lot/71615567",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5603" s="22" t="s">
        <v>217</v>
      </c>
      <c r="H15603" s="22" t="s">
        <v>10504</v>
      </c>
      <c r="I15603" s="26">
        <v>43640.5715277778</v>
      </c>
      <c r="J15603" s="28" t="s">
        <v>51</v>
      </c>
      <c r="K15603" s="28" t="s">
        <v>51</v>
      </c>
      <c r="L15603" s="28" t="s">
        <v>51</v>
      </c>
      <c r="M15603" s="28" t="s">
        <v>51</v>
      </c>
      <c r="N15603" s="28" t="s">
        <v>51</v>
      </c>
    </row>
    <row r="15604" spans="1:14" ht="12.75" hidden="1" outlineLevel="1" x14ac:dyDescent="0.2">
      <c r="A15604" s="23" t="str">
        <f>HYPERLINK("https://www.spark-marketing.ru/Card/Person/4860208", "ГБОУ ""МЕНЗЕЛИНСКАЯ ШКОЛА-ИНТЕРНАТ""")</f>
        <v>ГБОУ "МЕНЗЕЛИНСКАЯ ШКОЛА-ИНТЕРНАТ"</v>
      </c>
      <c r="B15604" s="24" t="s">
        <v>20566</v>
      </c>
      <c r="C15604" s="25">
        <v>1007760</v>
      </c>
      <c r="D15604" s="22" t="s">
        <v>20567</v>
      </c>
      <c r="E15604" s="22" t="s">
        <v>48</v>
      </c>
      <c r="F15604" s="23" t="str">
        <f>HYPERLINK("https://www.spark-marketing.ru/Card/Lot/71615567",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5604" s="22" t="s">
        <v>217</v>
      </c>
      <c r="H15604" s="22" t="s">
        <v>10504</v>
      </c>
      <c r="I15604" s="26">
        <v>43640.5715277778</v>
      </c>
      <c r="J15604" s="23" t="str">
        <f>HYPERLINK("https://www.spark-marketing.ru/Card/Person/829408", "Ефремова Ирина Ивановна")</f>
        <v>Ефремова Ирина Ивановна</v>
      </c>
      <c r="K15604" s="24" t="s">
        <v>12876</v>
      </c>
      <c r="L15604" s="22" t="s">
        <v>10</v>
      </c>
      <c r="M15604" s="25">
        <v>760858.8</v>
      </c>
      <c r="N15604" s="27">
        <v>0.245</v>
      </c>
    </row>
    <row r="15605" spans="1:14" hidden="1" outlineLevel="1" x14ac:dyDescent="0.2">
      <c r="A15605" s="23" t="str">
        <f>HYPERLINK("https://www.spark-marketing.ru/Card/Person/4860208", "ГБОУ ""МЕНЗЕЛИНСКАЯ ШКОЛА-ИНТЕРНАТ""")</f>
        <v>ГБОУ "МЕНЗЕЛИНСКАЯ ШКОЛА-ИНТЕРНАТ"</v>
      </c>
      <c r="B15605" s="24" t="s">
        <v>20566</v>
      </c>
      <c r="C15605" s="25">
        <v>1007760</v>
      </c>
      <c r="D15605" s="22" t="s">
        <v>20567</v>
      </c>
      <c r="E15605" s="22" t="s">
        <v>48</v>
      </c>
      <c r="F15605" s="23" t="str">
        <f>HYPERLINK("https://www.spark-marketing.ru/Card/Lot/71615567",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5605" s="22" t="s">
        <v>217</v>
      </c>
      <c r="H15605" s="22" t="s">
        <v>10504</v>
      </c>
      <c r="I15605" s="26">
        <v>43640.5715277778</v>
      </c>
      <c r="J15605" s="23" t="str">
        <f>HYPERLINK("https://www.spark-marketing.ru/Card/Person/6084653", "ООО ""ВИТАРА""")</f>
        <v>ООО "ВИТАРА"</v>
      </c>
      <c r="K15605" s="24" t="s">
        <v>2437</v>
      </c>
      <c r="L15605" s="28" t="s">
        <v>51</v>
      </c>
      <c r="M15605" s="25">
        <v>765897.6</v>
      </c>
      <c r="N15605" s="27">
        <v>0.24</v>
      </c>
    </row>
    <row r="15606" spans="1:14" x14ac:dyDescent="0.15">
      <c r="A15606" s="23" t="str">
        <f>HYPERLINK("https://www.spark-marketing.ru/Card/Person/1751878", "УМВД РОССИИ ПО ТОМСКОЙ ОБЛАСТИ")</f>
        <v>УМВД РОССИИ ПО ТОМСКОЙ ОБЛАСТИ</v>
      </c>
      <c r="B15606" s="24" t="s">
        <v>1665</v>
      </c>
      <c r="C15606" s="25">
        <v>3762200</v>
      </c>
      <c r="D15606" s="22" t="s">
        <v>20568</v>
      </c>
      <c r="E15606" s="22" t="s">
        <v>48</v>
      </c>
      <c r="F15606" s="23" t="str">
        <f>HYPERLINK("https://www.spark-marketing.ru/Card/Lot/71620801", "Оказание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области")</f>
        <v>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</v>
      </c>
      <c r="G15606" s="22" t="s">
        <v>149</v>
      </c>
      <c r="H15606" s="22" t="s">
        <v>496</v>
      </c>
      <c r="I15606" s="26">
        <v>43640.554166666698</v>
      </c>
      <c r="J15606" s="28" t="s">
        <v>51</v>
      </c>
      <c r="K15606" s="28" t="s">
        <v>51</v>
      </c>
      <c r="L15606" s="28" t="s">
        <v>51</v>
      </c>
      <c r="M15606" s="28" t="s">
        <v>51</v>
      </c>
      <c r="N15606" s="28" t="s">
        <v>51</v>
      </c>
    </row>
    <row r="15607" spans="1:14" hidden="1" outlineLevel="1" x14ac:dyDescent="0.2">
      <c r="A15607" s="23" t="str">
        <f>HYPERLINK("https://www.spark-marketing.ru/Card/Person/1751878", "УМВД РОССИИ ПО ТОМСКОЙ ОБЛАСТИ")</f>
        <v>УМВД РОССИИ ПО ТОМСКОЙ ОБЛАСТИ</v>
      </c>
      <c r="B15607" s="24" t="s">
        <v>1665</v>
      </c>
      <c r="C15607" s="25">
        <v>3762200</v>
      </c>
      <c r="D15607" s="22" t="s">
        <v>20568</v>
      </c>
      <c r="E15607" s="22" t="s">
        <v>48</v>
      </c>
      <c r="F15607" s="23" t="str">
        <f>HYPERLINK("https://www.spark-marketing.ru/Card/Lot/71620801", "Оказание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области")</f>
        <v>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</v>
      </c>
      <c r="G15607" s="22" t="s">
        <v>149</v>
      </c>
      <c r="H15607" s="22" t="s">
        <v>496</v>
      </c>
      <c r="I15607" s="26">
        <v>43640.554166666698</v>
      </c>
      <c r="J15607" s="23" t="str">
        <f>HYPERLINK("https://www.spark-marketing.ru/Card/Person/839334", "ООО ""БЕЗЕ""")</f>
        <v>ООО "БЕЗЕ"</v>
      </c>
      <c r="K15607" s="24" t="s">
        <v>3938</v>
      </c>
      <c r="L15607" s="28" t="s">
        <v>51</v>
      </c>
      <c r="M15607" s="25">
        <v>973.4</v>
      </c>
      <c r="N15607" s="27">
        <v>0.99974126840678323</v>
      </c>
    </row>
    <row r="15608" spans="1:14" ht="12.75" hidden="1" outlineLevel="1" x14ac:dyDescent="0.2">
      <c r="A15608" s="23" t="str">
        <f>HYPERLINK("https://www.spark-marketing.ru/Card/Person/1751878", "УМВД РОССИИ ПО ТОМСКОЙ ОБЛАСТИ")</f>
        <v>УМВД РОССИИ ПО ТОМСКОЙ ОБЛАСТИ</v>
      </c>
      <c r="B15608" s="24" t="s">
        <v>1665</v>
      </c>
      <c r="C15608" s="25">
        <v>3762200</v>
      </c>
      <c r="D15608" s="22" t="s">
        <v>20568</v>
      </c>
      <c r="E15608" s="22" t="s">
        <v>48</v>
      </c>
      <c r="F15608" s="23" t="str">
        <f>HYPERLINK("https://www.spark-marketing.ru/Card/Lot/71620801", "Оказание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области")</f>
        <v>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</v>
      </c>
      <c r="G15608" s="22" t="s">
        <v>149</v>
      </c>
      <c r="H15608" s="22" t="s">
        <v>496</v>
      </c>
      <c r="I15608" s="26">
        <v>43640.554166666698</v>
      </c>
      <c r="J15608" s="23" t="str">
        <f>HYPERLINK("https://www.spark-marketing.ru/Card/Person/1510007", "ООО ""УКП""")</f>
        <v>ООО "УКП"</v>
      </c>
      <c r="K15608" s="24" t="s">
        <v>3939</v>
      </c>
      <c r="L15608" s="22" t="s">
        <v>10</v>
      </c>
      <c r="M15608" s="25">
        <v>873.4</v>
      </c>
      <c r="N15608" s="27">
        <v>0.99976784859922385</v>
      </c>
    </row>
    <row r="15609" spans="1:14" x14ac:dyDescent="0.15">
      <c r="A15609" s="23" t="str">
        <f>HYPERLINK("https://www.spark-marketing.ru/Card/Person/55851", "ГБУЗ КВД")</f>
        <v>ГБУЗ КВД</v>
      </c>
      <c r="B15609" s="24" t="s">
        <v>6337</v>
      </c>
      <c r="C15609" s="25">
        <v>343441.8</v>
      </c>
      <c r="D15609" s="22" t="s">
        <v>20569</v>
      </c>
      <c r="E15609" s="22" t="s">
        <v>48</v>
      </c>
      <c r="F15609" s="23" t="str">
        <f>HYPERLINK("https://www.spark-marketing.ru/Card/Lot/71631235", "Оказание услуг по приготовлению и поставке готового питания для пациентов круглосуточного стационара ГБУЗ «Кожно-венерологический диспансер Псковской области» (идентификационный номер: 3731-А-ГЗ-Л)")</f>
        <v>Оказание услуг по приготовлению и поставке готового питания для пациентов круглосуточного стационара ГБУЗ «Кожно-венерологический диспансер Псковской области» (идентификационный номер: 3731-А-ГЗ-Л)</v>
      </c>
      <c r="G15609" s="22" t="s">
        <v>415</v>
      </c>
      <c r="H15609" s="22" t="s">
        <v>4542</v>
      </c>
      <c r="I15609" s="26">
        <v>43640.541666666701</v>
      </c>
      <c r="J15609" s="23" t="str">
        <f>HYPERLINK("https://www.spark-marketing.ru/Card/Person/393246", "ООО ""ЛАРНАКА""")</f>
        <v>ООО "ЛАРНАКА"</v>
      </c>
      <c r="K15609" s="24" t="s">
        <v>6339</v>
      </c>
      <c r="L15609" s="22" t="s">
        <v>10</v>
      </c>
      <c r="M15609" s="28" t="s">
        <v>51</v>
      </c>
      <c r="N15609" s="28" t="s">
        <v>51</v>
      </c>
    </row>
    <row r="15610" spans="1:14" x14ac:dyDescent="0.15">
      <c r="A15610" s="23" t="str">
        <f>HYPERLINK("https://www.spark-marketing.ru/Card/Person/894568", "МБОУСОШ № 17")</f>
        <v>МБОУСОШ № 17</v>
      </c>
      <c r="B15610" s="24" t="s">
        <v>20570</v>
      </c>
      <c r="C15610" s="25">
        <v>875670</v>
      </c>
      <c r="D15610" s="22" t="s">
        <v>20571</v>
      </c>
      <c r="E15610" s="22" t="s">
        <v>48</v>
      </c>
      <c r="F15610" s="23" t="str">
        <f>HYPERLINK("https://www.spark-marketing.ru/Card/Lot/71614879", "Оказание услуг по организации питания учащихся МБОУСОШ № 17")</f>
        <v>Оказание услуг по организации питания учащихся МБОУСОШ № 17</v>
      </c>
      <c r="G15610" s="22" t="s">
        <v>104</v>
      </c>
      <c r="H15610" s="22" t="s">
        <v>20572</v>
      </c>
      <c r="I15610" s="26">
        <v>43640.556944444397</v>
      </c>
      <c r="J15610" s="23" t="str">
        <f>HYPERLINK("https://www.spark-marketing.ru/Card/Person/892368", "Калужин Владимир Александрович")</f>
        <v>Калужин Владимир Александрович</v>
      </c>
      <c r="K15610" s="24" t="s">
        <v>20573</v>
      </c>
      <c r="L15610" s="22" t="s">
        <v>10</v>
      </c>
      <c r="M15610" s="28" t="s">
        <v>51</v>
      </c>
      <c r="N15610" s="28" t="s">
        <v>51</v>
      </c>
    </row>
    <row r="15611" spans="1:14" x14ac:dyDescent="0.15">
      <c r="A15611" s="23" t="str">
        <f t="shared" ref="A15611:A15618" si="534">HYPERLINK("https://www.spark-marketing.ru/Card/Person/1751878", "УМВД РОССИИ ПО ТОМСКОЙ ОБЛАСТИ")</f>
        <v>УМВД РОССИИ ПО ТОМСКОЙ ОБЛАСТИ</v>
      </c>
      <c r="B15611" s="24" t="s">
        <v>1665</v>
      </c>
      <c r="C15611" s="25">
        <v>3762200</v>
      </c>
      <c r="D15611" s="22" t="s">
        <v>20574</v>
      </c>
      <c r="E15611" s="22" t="s">
        <v>48</v>
      </c>
      <c r="F15611" s="23" t="str">
        <f>HYPERLINK("https://www.spark-marketing.ru/Card/Lot/71620802", "Оказание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области")</f>
        <v>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</v>
      </c>
      <c r="G15611" s="22" t="s">
        <v>149</v>
      </c>
      <c r="H15611" s="22" t="s">
        <v>496</v>
      </c>
      <c r="I15611" s="26">
        <v>43640.554166666698</v>
      </c>
      <c r="J15611" s="28" t="s">
        <v>51</v>
      </c>
      <c r="K15611" s="28" t="s">
        <v>51</v>
      </c>
      <c r="L15611" s="28" t="s">
        <v>51</v>
      </c>
      <c r="M15611" s="28" t="s">
        <v>51</v>
      </c>
      <c r="N15611" s="28" t="s">
        <v>51</v>
      </c>
    </row>
    <row r="15612" spans="1:14" ht="12.75" hidden="1" outlineLevel="1" x14ac:dyDescent="0.2">
      <c r="A15612" s="23" t="str">
        <f t="shared" si="534"/>
        <v>УМВД РОССИИ ПО ТОМСКОЙ ОБЛАСТИ</v>
      </c>
      <c r="B15612" s="24" t="s">
        <v>1665</v>
      </c>
      <c r="C15612" s="25">
        <v>3762200</v>
      </c>
      <c r="D15612" s="22" t="s">
        <v>20574</v>
      </c>
      <c r="E15612" s="22" t="s">
        <v>48</v>
      </c>
      <c r="F15612" s="23" t="str">
        <f>HYPERLINK("https://www.spark-marketing.ru/Card/Lot/71620802", "Оказание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области")</f>
        <v>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</v>
      </c>
      <c r="G15612" s="22" t="s">
        <v>149</v>
      </c>
      <c r="H15612" s="22" t="s">
        <v>496</v>
      </c>
      <c r="I15612" s="26">
        <v>43640.554166666698</v>
      </c>
      <c r="J15612" s="23" t="str">
        <f>HYPERLINK("https://www.spark-marketing.ru/Card/Person/839334", "ООО ""БЕЗЕ""")</f>
        <v>ООО "БЕЗЕ"</v>
      </c>
      <c r="K15612" s="24" t="s">
        <v>3938</v>
      </c>
      <c r="L15612" s="22" t="s">
        <v>10</v>
      </c>
      <c r="M15612" s="25">
        <v>973.4</v>
      </c>
      <c r="N15612" s="27">
        <v>0.99974126840678323</v>
      </c>
    </row>
    <row r="15613" spans="1:14" hidden="1" outlineLevel="1" x14ac:dyDescent="0.2">
      <c r="A15613" s="23" t="str">
        <f t="shared" si="534"/>
        <v>УМВД РОССИИ ПО ТОМСКОЙ ОБЛАСТИ</v>
      </c>
      <c r="B15613" s="24" t="s">
        <v>1665</v>
      </c>
      <c r="C15613" s="25">
        <v>3762200</v>
      </c>
      <c r="D15613" s="22" t="s">
        <v>20574</v>
      </c>
      <c r="E15613" s="22" t="s">
        <v>48</v>
      </c>
      <c r="F15613" s="23" t="str">
        <f>HYPERLINK("https://www.spark-marketing.ru/Card/Lot/71620802", "Оказание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области")</f>
        <v>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</v>
      </c>
      <c r="G15613" s="22" t="s">
        <v>149</v>
      </c>
      <c r="H15613" s="22" t="s">
        <v>496</v>
      </c>
      <c r="I15613" s="26">
        <v>43640.554166666698</v>
      </c>
      <c r="J15613" s="23" t="str">
        <f>HYPERLINK("https://www.spark-marketing.ru/Card/Person/6631755", "Резников Илья Алексеевич")</f>
        <v>Резников Илья Алексеевич</v>
      </c>
      <c r="K15613" s="24" t="s">
        <v>16367</v>
      </c>
      <c r="L15613" s="28" t="s">
        <v>51</v>
      </c>
      <c r="M15613" s="25">
        <v>1073.3900000000001</v>
      </c>
      <c r="N15613" s="27">
        <v>0.99971469087236187</v>
      </c>
    </row>
    <row r="15614" spans="1:14" hidden="1" outlineLevel="1" x14ac:dyDescent="0.2">
      <c r="A15614" s="23" t="str">
        <f t="shared" si="534"/>
        <v>УМВД РОССИИ ПО ТОМСКОЙ ОБЛАСТИ</v>
      </c>
      <c r="B15614" s="24" t="s">
        <v>1665</v>
      </c>
      <c r="C15614" s="25">
        <v>3762200</v>
      </c>
      <c r="D15614" s="22" t="s">
        <v>20574</v>
      </c>
      <c r="E15614" s="22" t="s">
        <v>48</v>
      </c>
      <c r="F15614" s="23" t="str">
        <f>HYPERLINK("https://www.spark-marketing.ru/Card/Lot/71620802", "Оказание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области")</f>
        <v>Оказание услуг по организации и доставке ежедневного, горячего, трехразового питания лицам, содержащимся в специальном приемнике содержания лиц, подвергнутых административному аресту УМВД России по Томской области</v>
      </c>
      <c r="G15614" s="22" t="s">
        <v>149</v>
      </c>
      <c r="H15614" s="22" t="s">
        <v>496</v>
      </c>
      <c r="I15614" s="26">
        <v>43640.554166666698</v>
      </c>
      <c r="J15614" s="23" t="str">
        <f>HYPERLINK("https://www.spark-marketing.ru/Card/Person/1510007", "ООО ""УКП""")</f>
        <v>ООО "УКП"</v>
      </c>
      <c r="K15614" s="24" t="s">
        <v>3939</v>
      </c>
      <c r="L15614" s="28" t="s">
        <v>51</v>
      </c>
      <c r="M15614" s="25">
        <v>1073.4000000000001</v>
      </c>
      <c r="N15614" s="27">
        <v>0.99971468821434262</v>
      </c>
    </row>
    <row r="15615" spans="1:14" x14ac:dyDescent="0.15">
      <c r="A15615" s="23" t="str">
        <f t="shared" si="534"/>
        <v>УМВД РОССИИ ПО ТОМСКОЙ ОБЛАСТИ</v>
      </c>
      <c r="B15615" s="24" t="s">
        <v>1665</v>
      </c>
      <c r="C15615" s="25">
        <v>2370000</v>
      </c>
      <c r="D15615" s="22" t="s">
        <v>20575</v>
      </c>
      <c r="E15615" s="22" t="s">
        <v>48</v>
      </c>
      <c r="F15615" s="23" t="str">
        <f>HYPERLINK("https://www.spark-marketing.ru/Card/Lot/71619229", "Оказание услуг по организации и доставке ежедневного, трехразового, горячего питания лиц, содержащихся в ЦВСИГ УМВД России по Томской области")</f>
        <v>Оказание услуг по организации и доставке ежедневного, трехразового, горячего питания лиц, содержащихся в ЦВСИГ УМВД России по Томской области</v>
      </c>
      <c r="G15615" s="22" t="s">
        <v>149</v>
      </c>
      <c r="H15615" s="22" t="s">
        <v>496</v>
      </c>
      <c r="I15615" s="26">
        <v>43640.5534722222</v>
      </c>
      <c r="J15615" s="23" t="str">
        <f>HYPERLINK("https://www.spark-marketing.ru/Card/Person/839334", "ООО ""БЕЗЕ""")</f>
        <v>ООО "БЕЗЕ"</v>
      </c>
      <c r="K15615" s="24" t="s">
        <v>3938</v>
      </c>
      <c r="L15615" s="22" t="s">
        <v>10</v>
      </c>
      <c r="M15615" s="28" t="s">
        <v>51</v>
      </c>
      <c r="N15615" s="28" t="s">
        <v>51</v>
      </c>
    </row>
    <row r="15616" spans="1:14" x14ac:dyDescent="0.15">
      <c r="A15616" s="23" t="str">
        <f t="shared" si="534"/>
        <v>УМВД РОССИИ ПО ТОМСКОЙ ОБЛАСТИ</v>
      </c>
      <c r="B15616" s="24" t="s">
        <v>1665</v>
      </c>
      <c r="C15616" s="25">
        <v>439556.25</v>
      </c>
      <c r="D15616" s="22" t="s">
        <v>20576</v>
      </c>
      <c r="E15616" s="22" t="s">
        <v>48</v>
      </c>
      <c r="F15616" s="23" t="str">
        <f>HYPERLINK("https://www.spark-marketing.ru/Card/Lot/71612810", "Оказание услуг по организации и доставке ежедневного, пятиразового, горячего питания несовершеннолетних лиц, содержащихся в ЦВСНП УМВД России по Томской области")</f>
        <v>Оказание услуг по организации и доставке ежедневного, пятиразового, горячего питания несовершеннолетних лиц, содержащихся в ЦВСНП УМВД России по Томской области</v>
      </c>
      <c r="G15616" s="22" t="s">
        <v>149</v>
      </c>
      <c r="H15616" s="22" t="s">
        <v>496</v>
      </c>
      <c r="I15616" s="26">
        <v>43640.5534722222</v>
      </c>
      <c r="J15616" s="23" t="str">
        <f>HYPERLINK("https://www.spark-marketing.ru/Card/Person/839334", "ООО ""БЕЗЕ""")</f>
        <v>ООО "БЕЗЕ"</v>
      </c>
      <c r="K15616" s="24" t="s">
        <v>3938</v>
      </c>
      <c r="L15616" s="22" t="s">
        <v>10</v>
      </c>
      <c r="M15616" s="28" t="s">
        <v>51</v>
      </c>
      <c r="N15616" s="28" t="s">
        <v>51</v>
      </c>
    </row>
    <row r="15617" spans="1:14" x14ac:dyDescent="0.15">
      <c r="A15617" s="23" t="str">
        <f t="shared" si="534"/>
        <v>УМВД РОССИИ ПО ТОМСКОЙ ОБЛАСТИ</v>
      </c>
      <c r="B15617" s="24" t="s">
        <v>1665</v>
      </c>
      <c r="C15617" s="25">
        <v>2370000</v>
      </c>
      <c r="D15617" s="22" t="s">
        <v>20577</v>
      </c>
      <c r="E15617" s="22" t="s">
        <v>48</v>
      </c>
      <c r="F15617" s="23" t="str">
        <f>HYPERLINK("https://www.spark-marketing.ru/Card/Lot/71619215", "Оказание услуг по организации и доставке ежедневного, трехразового, горячего питания лиц, содержащихся в ЦВСИГ УМВД России по Томской области")</f>
        <v>Оказание услуг по организации и доставке ежедневного, трехразового, горячего питания лиц, содержащихся в ЦВСИГ УМВД России по Томской области</v>
      </c>
      <c r="G15617" s="22" t="s">
        <v>149</v>
      </c>
      <c r="H15617" s="22" t="s">
        <v>496</v>
      </c>
      <c r="I15617" s="26">
        <v>43640.5534722222</v>
      </c>
      <c r="J15617" s="23" t="str">
        <f>HYPERLINK("https://www.spark-marketing.ru/Card/Person/839334", "ООО ""БЕЗЕ""")</f>
        <v>ООО "БЕЗЕ"</v>
      </c>
      <c r="K15617" s="24" t="s">
        <v>3938</v>
      </c>
      <c r="L15617" s="28" t="s">
        <v>51</v>
      </c>
      <c r="M15617" s="28" t="s">
        <v>51</v>
      </c>
      <c r="N15617" s="28" t="s">
        <v>51</v>
      </c>
    </row>
    <row r="15618" spans="1:14" ht="12.75" hidden="1" outlineLevel="1" x14ac:dyDescent="0.2">
      <c r="A15618" s="23" t="str">
        <f t="shared" si="534"/>
        <v>УМВД РОССИИ ПО ТОМСКОЙ ОБЛАСТИ</v>
      </c>
      <c r="B15618" s="24" t="s">
        <v>1665</v>
      </c>
      <c r="C15618" s="25">
        <v>2370000</v>
      </c>
      <c r="D15618" s="22" t="s">
        <v>20577</v>
      </c>
      <c r="E15618" s="22" t="s">
        <v>48</v>
      </c>
      <c r="F15618" s="23" t="str">
        <f>HYPERLINK("https://www.spark-marketing.ru/Card/Lot/71619215", "Оказание услуг по организации и доставке ежедневного, трехразового, горячего питания лиц, содержащихся в ЦВСИГ УМВД России по Томской области")</f>
        <v>Оказание услуг по организации и доставке ежедневного, трехразового, горячего питания лиц, содержащихся в ЦВСИГ УМВД России по Томской области</v>
      </c>
      <c r="G15618" s="22" t="s">
        <v>149</v>
      </c>
      <c r="H15618" s="22" t="s">
        <v>496</v>
      </c>
      <c r="I15618" s="26">
        <v>43640.5534722222</v>
      </c>
      <c r="J15618" s="23" t="str">
        <f>HYPERLINK("https://www.spark-marketing.ru/Card/Person/839334", "ООО ""БЕЗЕ""")</f>
        <v>ООО "БЕЗЕ"</v>
      </c>
      <c r="K15618" s="24" t="s">
        <v>3938</v>
      </c>
      <c r="L15618" s="22" t="s">
        <v>10</v>
      </c>
      <c r="M15618" s="25">
        <v>2379.8000000000002</v>
      </c>
      <c r="N15618" s="27">
        <v>0.99899586497890291</v>
      </c>
    </row>
    <row r="15619" spans="1:14" x14ac:dyDescent="0.15">
      <c r="A15619" s="23" t="str">
        <f>HYPERLINK("https://www.spark-marketing.ru/Card/Person/1049106", "СРЕДНЯЯ ШКОЛА № 20")</f>
        <v>СРЕДНЯЯ ШКОЛА № 20</v>
      </c>
      <c r="B15619" s="24" t="s">
        <v>20578</v>
      </c>
      <c r="C15619" s="25">
        <v>1711600</v>
      </c>
      <c r="D15619" s="22" t="s">
        <v>20579</v>
      </c>
      <c r="E15619" s="22" t="s">
        <v>51</v>
      </c>
      <c r="F15619" s="23" t="str">
        <f>HYPERLINK("https://www.spark-marketing.ru/Card/Lot/71618118", "Оказание услуг по организации питания учащихся")</f>
        <v>Оказание услуг по организации питания учащихся</v>
      </c>
      <c r="G15619" s="22" t="s">
        <v>174</v>
      </c>
      <c r="H15619" s="22" t="s">
        <v>7668</v>
      </c>
      <c r="I15619" s="26">
        <v>43640.504166666702</v>
      </c>
      <c r="J15619" s="28" t="s">
        <v>51</v>
      </c>
      <c r="K15619" s="28" t="s">
        <v>51</v>
      </c>
      <c r="L15619" s="28" t="s">
        <v>51</v>
      </c>
      <c r="M15619" s="28" t="s">
        <v>51</v>
      </c>
      <c r="N15619" s="28" t="s">
        <v>51</v>
      </c>
    </row>
    <row r="15620" spans="1:14" ht="12.75" hidden="1" outlineLevel="1" x14ac:dyDescent="0.2">
      <c r="A15620" s="23" t="str">
        <f>HYPERLINK("https://www.spark-marketing.ru/Card/Person/1049106", "СРЕДНЯЯ ШКОЛА № 20")</f>
        <v>СРЕДНЯЯ ШКОЛА № 20</v>
      </c>
      <c r="B15620" s="24" t="s">
        <v>20578</v>
      </c>
      <c r="C15620" s="25">
        <v>1711600</v>
      </c>
      <c r="D15620" s="22" t="s">
        <v>20579</v>
      </c>
      <c r="E15620" s="22" t="s">
        <v>51</v>
      </c>
      <c r="F15620" s="23" t="str">
        <f>HYPERLINK("https://www.spark-marketing.ru/Card/Lot/71618118", "Оказание услуг по организации питания учащихся")</f>
        <v>Оказание услуг по организации питания учащихся</v>
      </c>
      <c r="G15620" s="22" t="s">
        <v>174</v>
      </c>
      <c r="H15620" s="22" t="s">
        <v>7668</v>
      </c>
      <c r="I15620" s="26">
        <v>43640.504166666702</v>
      </c>
      <c r="J15620" s="23" t="str">
        <f>HYPERLINK("https://www.spark-marketing.ru/Card/Person/4425563", "ООО ""КРАСНОГОРСКОЕ""")</f>
        <v>ООО "КРАСНОГОРСКОЕ"</v>
      </c>
      <c r="K15620" s="24" t="s">
        <v>20580</v>
      </c>
      <c r="L15620" s="22" t="s">
        <v>10</v>
      </c>
      <c r="M15620" s="25">
        <v>1626020</v>
      </c>
      <c r="N15620" s="27">
        <v>0.05</v>
      </c>
    </row>
    <row r="15621" spans="1:14" hidden="1" outlineLevel="1" x14ac:dyDescent="0.2">
      <c r="A15621" s="23" t="str">
        <f>HYPERLINK("https://www.spark-marketing.ru/Card/Person/1049106", "СРЕДНЯЯ ШКОЛА № 20")</f>
        <v>СРЕДНЯЯ ШКОЛА № 20</v>
      </c>
      <c r="B15621" s="24" t="s">
        <v>20578</v>
      </c>
      <c r="C15621" s="25">
        <v>1711600</v>
      </c>
      <c r="D15621" s="22" t="s">
        <v>20579</v>
      </c>
      <c r="E15621" s="22" t="s">
        <v>51</v>
      </c>
      <c r="F15621" s="23" t="str">
        <f>HYPERLINK("https://www.spark-marketing.ru/Card/Lot/71618118", "Оказание услуг по организации питания учащихся")</f>
        <v>Оказание услуг по организации питания учащихся</v>
      </c>
      <c r="G15621" s="22" t="s">
        <v>174</v>
      </c>
      <c r="H15621" s="22" t="s">
        <v>7668</v>
      </c>
      <c r="I15621" s="26">
        <v>43640.504166666702</v>
      </c>
      <c r="J15621" s="23" t="str">
        <f>HYPERLINK("https://www.spark-marketing.ru/Card/Person/4952099", "ООО ""ТОП""")</f>
        <v>ООО "ТОП"</v>
      </c>
      <c r="K15621" s="24" t="s">
        <v>15133</v>
      </c>
      <c r="L15621" s="28" t="s">
        <v>51</v>
      </c>
      <c r="M15621" s="25">
        <v>1711600</v>
      </c>
      <c r="N15621" s="27">
        <v>0</v>
      </c>
    </row>
    <row r="15622" spans="1:14" x14ac:dyDescent="0.15">
      <c r="A15622" s="23" t="str">
        <f>HYPERLINK("https://www.spark-marketing.ru/Card/Person/45336", "УМВД РОССИИ ПО Г. ПЕНЗЕ")</f>
        <v>УМВД РОССИИ ПО Г. ПЕНЗЕ</v>
      </c>
      <c r="B15622" s="24" t="s">
        <v>20581</v>
      </c>
      <c r="C15622" s="25">
        <v>3662739</v>
      </c>
      <c r="D15622" s="22" t="s">
        <v>20582</v>
      </c>
      <c r="E15622" s="22" t="s">
        <v>96</v>
      </c>
      <c r="F15622" s="23" t="str">
        <f>HYPERLINK("https://www.spark-marketing.ru/Card/Lot/71621248", "Оказание услуг по обеспечению трехразовым горячим питанием лиц, содержащихся  в специальном приемнике для содержания лиц, подвергнутых административному аресту и в изоляторе временного содержания УМВД России по г.Пензе.")</f>
        <v>Оказание услуг по обеспечению трехразовым горячим питанием лиц, содержащихся  в специальном приемнике для содержания лиц, подвергнутых административному аресту и в изоляторе временного содержания УМВД России по г.Пензе.</v>
      </c>
      <c r="G15622" s="22" t="s">
        <v>72</v>
      </c>
      <c r="H15622" s="22" t="s">
        <v>4552</v>
      </c>
      <c r="I15622" s="26">
        <v>43640.511805555601</v>
      </c>
      <c r="J15622" s="23" t="str">
        <f>HYPERLINK("https://www.spark-marketing.ru/Card/Person/63472", "ООО ""ДЕЛО ВКУСА""")</f>
        <v>ООО "ДЕЛО ВКУСА"</v>
      </c>
      <c r="K15622" s="24" t="s">
        <v>9145</v>
      </c>
      <c r="L15622" s="28" t="s">
        <v>51</v>
      </c>
      <c r="M15622" s="28" t="s">
        <v>51</v>
      </c>
      <c r="N15622" s="28" t="s">
        <v>51</v>
      </c>
    </row>
    <row r="15623" spans="1:14" ht="12.75" hidden="1" outlineLevel="1" x14ac:dyDescent="0.2">
      <c r="A15623" s="23" t="str">
        <f>HYPERLINK("https://www.spark-marketing.ru/Card/Person/45336", "УМВД РОССИИ ПО Г. ПЕНЗЕ")</f>
        <v>УМВД РОССИИ ПО Г. ПЕНЗЕ</v>
      </c>
      <c r="B15623" s="24" t="s">
        <v>20581</v>
      </c>
      <c r="C15623" s="25">
        <v>3662739</v>
      </c>
      <c r="D15623" s="22" t="s">
        <v>20582</v>
      </c>
      <c r="E15623" s="22" t="s">
        <v>96</v>
      </c>
      <c r="F15623" s="23" t="str">
        <f>HYPERLINK("https://www.spark-marketing.ru/Card/Lot/71621248", "Оказание услуг по обеспечению трехразовым горячим питанием лиц, содержащихся  в специальном приемнике для содержания лиц, подвергнутых административному аресту и в изоляторе временного содержания УМВД России по г.Пензе.")</f>
        <v>Оказание услуг по обеспечению трехразовым горячим питанием лиц, содержащихся  в специальном приемнике для содержания лиц, подвергнутых административному аресту и в изоляторе временного содержания УМВД России по г.Пензе.</v>
      </c>
      <c r="G15623" s="22" t="s">
        <v>72</v>
      </c>
      <c r="H15623" s="22" t="s">
        <v>4552</v>
      </c>
      <c r="I15623" s="26">
        <v>43640.511805555601</v>
      </c>
      <c r="J15623" s="23" t="str">
        <f>HYPERLINK("https://www.spark-marketing.ru/Card/Person/63472", "ООО ""ДЕЛО ВКУСА""")</f>
        <v>ООО "ДЕЛО ВКУСА"</v>
      </c>
      <c r="K15623" s="24" t="s">
        <v>9145</v>
      </c>
      <c r="L15623" s="22" t="s">
        <v>10</v>
      </c>
      <c r="M15623" s="25">
        <v>3644425.3</v>
      </c>
      <c r="N15623" s="27">
        <v>5.0000013650986323E-3</v>
      </c>
    </row>
    <row r="15624" spans="1:14" x14ac:dyDescent="0.15">
      <c r="A15624" s="23" t="str">
        <f>HYPERLINK("https://www.spark-marketing.ru/Card/Person/4347757", "ПУ ФСБ РОССИИ ПО БЕЛГОРОДСКОЙ И ВОРОНЕЖСКОЙ ОБЛАСТЯМ")</f>
        <v>ПУ ФСБ РОССИИ ПО БЕЛГОРОДСКОЙ И ВОРОНЕЖСКОЙ ОБЛАСТЯМ</v>
      </c>
      <c r="B15624" s="24" t="s">
        <v>3108</v>
      </c>
      <c r="C15624" s="25">
        <v>851213.5</v>
      </c>
      <c r="D15624" s="22" t="s">
        <v>20583</v>
      </c>
      <c r="E15624" s="22" t="s">
        <v>48</v>
      </c>
      <c r="F15624" s="23" t="str">
        <f>HYPERLINK("https://www.spark-marketing.ru/Card/Lot/71615256", "Оказание услуг по организации питания сотрудников Заказчика горячей пищей (кпп «Грайворон»)")</f>
        <v>Оказание услуг по организации питания сотрудников Заказчика горячей пищей (кпп «Грайворон»)</v>
      </c>
      <c r="G15624" s="22" t="s">
        <v>696</v>
      </c>
      <c r="H15624" s="22" t="s">
        <v>1163</v>
      </c>
      <c r="I15624" s="26">
        <v>43640.539583333302</v>
      </c>
      <c r="J15624" s="28" t="s">
        <v>51</v>
      </c>
      <c r="K15624" s="28" t="s">
        <v>51</v>
      </c>
      <c r="L15624" s="28" t="s">
        <v>51</v>
      </c>
      <c r="M15624" s="28" t="s">
        <v>51</v>
      </c>
      <c r="N15624" s="28" t="s">
        <v>51</v>
      </c>
    </row>
    <row r="15625" spans="1:14" x14ac:dyDescent="0.15">
      <c r="A15625" s="23" t="str">
        <f>HYPERLINK("https://www.spark-marketing.ru/Card/Person/45336", "УМВД РОССИИ ПО Г. ПЕНЗЕ")</f>
        <v>УМВД РОССИИ ПО Г. ПЕНЗЕ</v>
      </c>
      <c r="B15625" s="24" t="s">
        <v>20581</v>
      </c>
      <c r="C15625" s="25">
        <v>2059995</v>
      </c>
      <c r="D15625" s="22" t="s">
        <v>20584</v>
      </c>
      <c r="E15625" s="22" t="s">
        <v>96</v>
      </c>
      <c r="F15625" s="23" t="str">
        <f>HYPERLINK("https://www.spark-marketing.ru/Card/Lot/71618615", "Оказание услуг по обеспечению питанием лиц, содержащихся  в комнатах     административно задержанных УМВД России по г.Пензе, и отделов полиции УМВД России по г.Пензе.")</f>
        <v>Оказание услуг по обеспечению питанием лиц, содержащихся  в комнатах     административно задержанных УМВД России по г.Пензе, и отделов полиции УМВД России по г.Пензе.</v>
      </c>
      <c r="G15625" s="22" t="s">
        <v>72</v>
      </c>
      <c r="H15625" s="22" t="s">
        <v>4552</v>
      </c>
      <c r="I15625" s="26">
        <v>43640.5</v>
      </c>
      <c r="J15625" s="23" t="str">
        <f>HYPERLINK("https://www.spark-marketing.ru/Card/Person/233681", "ООО ""РЕССТРОЙ""")</f>
        <v>ООО "РЕССТРОЙ"</v>
      </c>
      <c r="K15625" s="24" t="s">
        <v>20585</v>
      </c>
      <c r="L15625" s="28" t="s">
        <v>51</v>
      </c>
      <c r="M15625" s="28" t="s">
        <v>51</v>
      </c>
      <c r="N15625" s="28" t="s">
        <v>51</v>
      </c>
    </row>
    <row r="15626" spans="1:14" ht="12.75" hidden="1" outlineLevel="1" x14ac:dyDescent="0.2">
      <c r="A15626" s="23" t="str">
        <f>HYPERLINK("https://www.spark-marketing.ru/Card/Person/45336", "УМВД РОССИИ ПО Г. ПЕНЗЕ")</f>
        <v>УМВД РОССИИ ПО Г. ПЕНЗЕ</v>
      </c>
      <c r="B15626" s="24" t="s">
        <v>20581</v>
      </c>
      <c r="C15626" s="25">
        <v>2059995</v>
      </c>
      <c r="D15626" s="22" t="s">
        <v>20584</v>
      </c>
      <c r="E15626" s="22" t="s">
        <v>96</v>
      </c>
      <c r="F15626" s="23" t="str">
        <f>HYPERLINK("https://www.spark-marketing.ru/Card/Lot/71618615", "Оказание услуг по обеспечению питанием лиц, содержащихся  в комнатах     административно задержанных УМВД России по г.Пензе, и отделов полиции УМВД России по г.Пензе.")</f>
        <v>Оказание услуг по обеспечению питанием лиц, содержащихся  в комнатах     административно задержанных УМВД России по г.Пензе, и отделов полиции УМВД России по г.Пензе.</v>
      </c>
      <c r="G15626" s="22" t="s">
        <v>72</v>
      </c>
      <c r="H15626" s="22" t="s">
        <v>4552</v>
      </c>
      <c r="I15626" s="26">
        <v>43640.5</v>
      </c>
      <c r="J15626" s="23" t="str">
        <f>HYPERLINK("https://www.spark-marketing.ru/Card/Person/233681", "ООО ""РЕССТРОЙ""")</f>
        <v>ООО "РЕССТРОЙ"</v>
      </c>
      <c r="K15626" s="24" t="s">
        <v>20585</v>
      </c>
      <c r="L15626" s="22" t="s">
        <v>10</v>
      </c>
      <c r="M15626" s="25">
        <v>2049695.02</v>
      </c>
      <c r="N15626" s="27">
        <v>5.0000024271903577E-3</v>
      </c>
    </row>
    <row r="15627" spans="1:14" x14ac:dyDescent="0.2">
      <c r="A15627" s="23" t="str">
        <f>HYPERLINK("https://www.spark-marketing.ru/Card/Person/1025151", "МОУ СШ № 17")</f>
        <v>МОУ СШ № 17</v>
      </c>
      <c r="B15627" s="24" t="s">
        <v>9270</v>
      </c>
      <c r="C15627" s="25">
        <v>101439</v>
      </c>
      <c r="D15627" s="22" t="s">
        <v>20586</v>
      </c>
      <c r="E15627" s="22" t="s">
        <v>362</v>
      </c>
      <c r="F15627" s="23" t="str">
        <f>HYPERLINK("https://www.spark-marketing.ru/Card/Lot/71605639", "оказание услуг по организации питания учащихся в пришкольном лагере дневного пребывания на базе МОУ СШ № 17 (двухразовое питание)")</f>
        <v>оказание услуг по организации питания учащихся в пришкольном лагере дневного пребывания на базе МОУ СШ № 17 (двухразовое питание)</v>
      </c>
      <c r="G15627" s="22" t="s">
        <v>158</v>
      </c>
      <c r="H15627" s="22" t="s">
        <v>158</v>
      </c>
      <c r="I15627" s="26">
        <v>43640.514490740701</v>
      </c>
      <c r="J15627" s="28" t="s">
        <v>51</v>
      </c>
      <c r="K15627" s="28" t="s">
        <v>51</v>
      </c>
      <c r="L15627" s="28" t="s">
        <v>51</v>
      </c>
      <c r="M15627" s="25">
        <v>101439</v>
      </c>
      <c r="N15627" s="27">
        <v>0</v>
      </c>
    </row>
    <row r="15628" spans="1:14" x14ac:dyDescent="0.15">
      <c r="A15628" s="23" t="str">
        <f>HYPERLINK("https://www.spark-marketing.ru/Card/Person/144310", "КГБУ ""АЛТАЙСКИЙ ЦЕНТР ПОМОЩИ ДЕТЯМ, ОСТАВШИМСЯ БЕЗ ПОПЕЧЕНИЯ РОДИТЕЛЕЙ, ИМ. В.С. ЕРШОВА""")</f>
        <v>КГБУ "АЛТАЙСКИЙ ЦЕНТР ПОМОЩИ ДЕТЯМ, ОСТАВШИМСЯ БЕЗ ПОПЕЧЕНИЯ РОДИТЕЛЕЙ, ИМ. В.С. ЕРШОВА"</v>
      </c>
      <c r="B15628" s="24" t="s">
        <v>14352</v>
      </c>
      <c r="C15628" s="25">
        <v>11078.19</v>
      </c>
      <c r="D15628" s="22" t="s">
        <v>20587</v>
      </c>
      <c r="E15628" s="22" t="s">
        <v>48</v>
      </c>
      <c r="F15628" s="23" t="str">
        <f>HYPERLINK("https://www.spark-marketing.ru/Card/Lot/71607113", "Товары,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</v>
      </c>
      <c r="G15628" s="22" t="s">
        <v>63</v>
      </c>
      <c r="H15628" s="22" t="s">
        <v>8604</v>
      </c>
      <c r="I15628" s="26">
        <v>43640.502777777801</v>
      </c>
      <c r="J15628" s="28" t="s">
        <v>51</v>
      </c>
      <c r="K15628" s="28" t="s">
        <v>51</v>
      </c>
      <c r="L15628" s="28" t="s">
        <v>51</v>
      </c>
      <c r="M15628" s="28" t="s">
        <v>51</v>
      </c>
      <c r="N15628" s="28" t="s">
        <v>51</v>
      </c>
    </row>
    <row r="15629" spans="1:14" x14ac:dyDescent="0.15">
      <c r="A15629" s="23" t="str">
        <f>HYPERLINK("https://www.spark-marketing.ru/Card/Person/1036846", "МБОУ ЛИЦЕЙ № 14 Г. СТАВРОПОЛЯ ИМ. ГЕРОЯ РФ В.В. НУРГАЛИЕВА")</f>
        <v>МБОУ ЛИЦЕЙ № 14 Г. СТАВРОПОЛЯ ИМ. ГЕРОЯ РФ В.В. НУРГАЛИЕВА</v>
      </c>
      <c r="B15629" s="24" t="s">
        <v>20588</v>
      </c>
      <c r="C15629" s="25">
        <v>648880</v>
      </c>
      <c r="D15629" s="22" t="s">
        <v>20589</v>
      </c>
      <c r="E15629" s="22" t="s">
        <v>48</v>
      </c>
      <c r="F15629" s="23" t="str">
        <f>HYPERLINK("https://www.spark-marketing.ru/Card/Lot/71633629", "Услуги по организации питания учащихся МБОУ лицея № 14 г. Ставрополя им. Героя РФ В.В. Нургалиева в сентябре-декабре 2019 года")</f>
        <v>Услуги по организации питания учащихся МБОУ лицея № 14 г. Ставрополя им. Героя РФ В.В. Нургалиева в сентябре-декабре 2019 года</v>
      </c>
      <c r="G15629" s="22" t="s">
        <v>87</v>
      </c>
      <c r="H15629" s="22" t="s">
        <v>87</v>
      </c>
      <c r="I15629" s="26">
        <v>43640.531944444403</v>
      </c>
      <c r="J15629" s="23" t="str">
        <f>HYPERLINK("https://www.spark-marketing.ru/Card/Person/217327", "Карпачев Валерий Борисович")</f>
        <v>Карпачев Валерий Борисович</v>
      </c>
      <c r="K15629" s="24" t="s">
        <v>19656</v>
      </c>
      <c r="L15629" s="22" t="s">
        <v>10</v>
      </c>
      <c r="M15629" s="28" t="s">
        <v>51</v>
      </c>
      <c r="N15629" s="28" t="s">
        <v>51</v>
      </c>
    </row>
    <row r="15630" spans="1:14" x14ac:dyDescent="0.15">
      <c r="A15630" s="23" t="str">
        <f>HYPERLINK("https://www.spark-marketing.ru/Card/Person/1025977", "МБОУ ""СОШ № 14""")</f>
        <v>МБОУ "СОШ № 14"</v>
      </c>
      <c r="B15630" s="24" t="s">
        <v>20590</v>
      </c>
      <c r="C15630" s="25">
        <v>2869470.33</v>
      </c>
      <c r="D15630" s="22" t="s">
        <v>20591</v>
      </c>
      <c r="E15630" s="22" t="s">
        <v>48</v>
      </c>
      <c r="F15630" s="23" t="str">
        <f>HYPERLINK("https://www.spark-marketing.ru/Card/Lot/71621165", "организация горячего питания учащихся школы")</f>
        <v>организация горячего питания учащихся школы</v>
      </c>
      <c r="G15630" s="22" t="s">
        <v>174</v>
      </c>
      <c r="H15630" s="22" t="s">
        <v>174</v>
      </c>
      <c r="I15630" s="26">
        <v>43640.520833333299</v>
      </c>
      <c r="J15630" s="23" t="str">
        <f>HYPERLINK("https://www.spark-marketing.ru/Card/Person/568284", "ООО ""КОМБИНАТ ПИТАНИЯ""")</f>
        <v>ООО "КОМБИНАТ ПИТАНИЯ"</v>
      </c>
      <c r="K15630" s="24" t="s">
        <v>20280</v>
      </c>
      <c r="L15630" s="22" t="s">
        <v>10</v>
      </c>
      <c r="M15630" s="28" t="s">
        <v>51</v>
      </c>
      <c r="N15630" s="28" t="s">
        <v>51</v>
      </c>
    </row>
    <row r="15631" spans="1:14" x14ac:dyDescent="0.15">
      <c r="A15631" s="23" t="str">
        <f>HYPERLINK("https://www.spark-marketing.ru/Card/Person/45336", "УМВД РОССИИ ПО Г. ПЕНЗЕ")</f>
        <v>УМВД РОССИИ ПО Г. ПЕНЗЕ</v>
      </c>
      <c r="B15631" s="24" t="s">
        <v>20581</v>
      </c>
      <c r="C15631" s="25">
        <v>543603.52</v>
      </c>
      <c r="D15631" s="22" t="s">
        <v>20592</v>
      </c>
      <c r="E15631" s="22" t="s">
        <v>96</v>
      </c>
      <c r="F15631" s="23" t="str">
        <f>HYPERLINK("https://www.spark-marketing.ru/Card/Lot/71633357", "Оказание услуг по обеспечению трехразовым горячим питанием лиц, содержащихся  в специальном приемнике для содержания лиц, подвергнутых административному аресту и в изоляторе временного содержания УМВД России по г.Пензе.")</f>
        <v>Оказание услуг по обеспечению трехразовым горячим питанием лиц, содержащихся  в специальном приемнике для содержания лиц, подвергнутых административному аресту и в изоляторе временного содержания УМВД России по г.Пензе.</v>
      </c>
      <c r="G15631" s="22" t="s">
        <v>72</v>
      </c>
      <c r="H15631" s="22" t="s">
        <v>4552</v>
      </c>
      <c r="I15631" s="26">
        <v>43640.506944444402</v>
      </c>
      <c r="J15631" s="23" t="str">
        <f>HYPERLINK("https://www.spark-marketing.ru/Card/Person/63472", "ООО ""ДЕЛО ВКУСА""")</f>
        <v>ООО "ДЕЛО ВКУСА"</v>
      </c>
      <c r="K15631" s="24" t="s">
        <v>9145</v>
      </c>
      <c r="L15631" s="28" t="s">
        <v>51</v>
      </c>
      <c r="M15631" s="28" t="s">
        <v>51</v>
      </c>
      <c r="N15631" s="28" t="s">
        <v>51</v>
      </c>
    </row>
    <row r="15632" spans="1:14" ht="12.75" hidden="1" outlineLevel="1" x14ac:dyDescent="0.2">
      <c r="A15632" s="23" t="str">
        <f>HYPERLINK("https://www.spark-marketing.ru/Card/Person/45336", "УМВД РОССИИ ПО Г. ПЕНЗЕ")</f>
        <v>УМВД РОССИИ ПО Г. ПЕНЗЕ</v>
      </c>
      <c r="B15632" s="24" t="s">
        <v>20581</v>
      </c>
      <c r="C15632" s="25">
        <v>543603.52</v>
      </c>
      <c r="D15632" s="22" t="s">
        <v>20592</v>
      </c>
      <c r="E15632" s="22" t="s">
        <v>96</v>
      </c>
      <c r="F15632" s="23" t="str">
        <f>HYPERLINK("https://www.spark-marketing.ru/Card/Lot/71633357", "Оказание услуг по обеспечению трехразовым горячим питанием лиц, содержащихся  в специальном приемнике для содержания лиц, подвергнутых административному аресту и в изоляторе временного содержания УМВД России по г.Пензе.")</f>
        <v>Оказание услуг по обеспечению трехразовым горячим питанием лиц, содержащихся  в специальном приемнике для содержания лиц, подвергнутых административному аресту и в изоляторе временного содержания УМВД России по г.Пензе.</v>
      </c>
      <c r="G15632" s="22" t="s">
        <v>72</v>
      </c>
      <c r="H15632" s="22" t="s">
        <v>4552</v>
      </c>
      <c r="I15632" s="26">
        <v>43640.506944444402</v>
      </c>
      <c r="J15632" s="23" t="str">
        <f>HYPERLINK("https://www.spark-marketing.ru/Card/Person/63472", "ООО ""ДЕЛО ВКУСА""")</f>
        <v>ООО "ДЕЛО ВКУСА"</v>
      </c>
      <c r="K15632" s="24" t="s">
        <v>9145</v>
      </c>
      <c r="L15632" s="22" t="s">
        <v>10</v>
      </c>
      <c r="M15632" s="25">
        <v>540885.5</v>
      </c>
      <c r="N15632" s="27">
        <v>5.0000044149824492E-3</v>
      </c>
    </row>
    <row r="15633" spans="1:14" x14ac:dyDescent="0.15">
      <c r="A15633" s="23" t="str">
        <f>HYPERLINK("https://www.spark-marketing.ru/Card/Person/4347757", "ПУ ФСБ РОССИИ ПО БЕЛГОРОДСКОЙ И ВОРОНЕЖСКОЙ ОБЛАСТЯМ")</f>
        <v>ПУ ФСБ РОССИИ ПО БЕЛГОРОДСКОЙ И ВОРОНЕЖСКОЙ ОБЛАСТЯМ</v>
      </c>
      <c r="B15633" s="24" t="s">
        <v>3108</v>
      </c>
      <c r="C15633" s="25">
        <v>857600</v>
      </c>
      <c r="D15633" s="22" t="s">
        <v>20593</v>
      </c>
      <c r="E15633" s="22" t="s">
        <v>48</v>
      </c>
      <c r="F15633" s="23" t="str">
        <f>HYPERLINK("https://www.spark-marketing.ru/Card/Lot/71615273", "Оказание услуг по организации питания сотрудников Заказчика горячей пищей (опк «Ровеньки»)")</f>
        <v>Оказание услуг по организации питания сотрудников Заказчика горячей пищей (опк «Ровеньки»)</v>
      </c>
      <c r="G15633" s="22" t="s">
        <v>696</v>
      </c>
      <c r="H15633" s="22" t="s">
        <v>1163</v>
      </c>
      <c r="I15633" s="26">
        <v>43640.487500000003</v>
      </c>
      <c r="J15633" s="28" t="s">
        <v>51</v>
      </c>
      <c r="K15633" s="28" t="s">
        <v>51</v>
      </c>
      <c r="L15633" s="28" t="s">
        <v>51</v>
      </c>
      <c r="M15633" s="28" t="s">
        <v>51</v>
      </c>
      <c r="N15633" s="28" t="s">
        <v>51</v>
      </c>
    </row>
    <row r="15634" spans="1:14" x14ac:dyDescent="0.15">
      <c r="A15634" s="23" t="str">
        <f>HYPERLINK("https://www.spark-marketing.ru/Card/Person/815400", "МОУ СКШИ Г. НЕРЮНГРИ")</f>
        <v>МОУ СКШИ Г. НЕРЮНГРИ</v>
      </c>
      <c r="B15634" s="24" t="s">
        <v>20594</v>
      </c>
      <c r="C15634" s="25">
        <v>2149850</v>
      </c>
      <c r="D15634" s="22" t="s">
        <v>20595</v>
      </c>
      <c r="E15634" s="22" t="s">
        <v>48</v>
      </c>
      <c r="F15634" s="23" t="str">
        <f>HYPERLINK("https://www.spark-marketing.ru/Card/Lot/71596375", "Оказание услуг по приготовлению и организации горячего питания")</f>
        <v>Оказание услуг по приготовлению и организации горячего питания</v>
      </c>
      <c r="G15634" s="22" t="s">
        <v>241</v>
      </c>
      <c r="H15634" s="22" t="s">
        <v>745</v>
      </c>
      <c r="I15634" s="26">
        <v>43640.4597222222</v>
      </c>
      <c r="J15634" s="23" t="str">
        <f>HYPERLINK("https://www.spark-marketing.ru/Card/Person/446861", "ООО ""АССОРТИ""")</f>
        <v>ООО "АССОРТИ"</v>
      </c>
      <c r="K15634" s="24" t="s">
        <v>20596</v>
      </c>
      <c r="L15634" s="22" t="s">
        <v>10</v>
      </c>
      <c r="M15634" s="28" t="s">
        <v>51</v>
      </c>
      <c r="N15634" s="28" t="s">
        <v>51</v>
      </c>
    </row>
    <row r="15635" spans="1:14" x14ac:dyDescent="0.15">
      <c r="A15635" s="23" t="str">
        <f>HYPERLINK("https://www.spark-marketing.ru/Card/Person/4347757", "ПУ ФСБ РОССИИ ПО БЕЛГОРОДСКОЙ И ВОРОНЕЖСКОЙ ОБЛАСТЯМ")</f>
        <v>ПУ ФСБ РОССИИ ПО БЕЛГОРОДСКОЙ И ВОРОНЕЖСКОЙ ОБЛАСТЯМ</v>
      </c>
      <c r="B15635" s="24" t="s">
        <v>3108</v>
      </c>
      <c r="C15635" s="25">
        <v>800369.96</v>
      </c>
      <c r="D15635" s="22" t="s">
        <v>20597</v>
      </c>
      <c r="E15635" s="22" t="s">
        <v>48</v>
      </c>
      <c r="F15635" s="23" t="str">
        <f>HYPERLINK("https://www.spark-marketing.ru/Card/Lot/71615075", "Оказание услуг по организации питания сотрудников Заказчика горячей пищей (опк «Логачевка»)")</f>
        <v>Оказание услуг по организации питания сотрудников Заказчика горячей пищей (опк «Логачевка»)</v>
      </c>
      <c r="G15635" s="22" t="s">
        <v>696</v>
      </c>
      <c r="H15635" s="22" t="s">
        <v>1163</v>
      </c>
      <c r="I15635" s="26">
        <v>43640.485416666699</v>
      </c>
      <c r="J15635" s="28" t="s">
        <v>51</v>
      </c>
      <c r="K15635" s="28" t="s">
        <v>51</v>
      </c>
      <c r="L15635" s="28" t="s">
        <v>51</v>
      </c>
      <c r="M15635" s="28" t="s">
        <v>51</v>
      </c>
      <c r="N15635" s="28" t="s">
        <v>51</v>
      </c>
    </row>
    <row r="15636" spans="1:14" x14ac:dyDescent="0.15">
      <c r="A15636" s="23" t="str">
        <f>HYPERLINK("https://www.spark-marketing.ru/Card/Person/948562", "МОМВД РОССИИ ""ПАРТИЗАНСКИЙ""")</f>
        <v>МОМВД РОССИИ "ПАРТИЗАНСКИЙ"</v>
      </c>
      <c r="B15636" s="24" t="s">
        <v>20598</v>
      </c>
      <c r="C15636" s="25">
        <v>90000</v>
      </c>
      <c r="D15636" s="22" t="s">
        <v>20599</v>
      </c>
      <c r="E15636" s="22" t="s">
        <v>96</v>
      </c>
      <c r="F15636" s="23" t="str">
        <f>HYPERLINK("https://www.spark-marketing.ru/Card/Lot/71606149", "Оказание услуг по организации питания (приготовлению и доставке), 25 шт")</f>
        <v>Оказание услуг по организации питания (приготовлению и доставке), 25 шт</v>
      </c>
      <c r="G15636" s="22" t="s">
        <v>543</v>
      </c>
      <c r="H15636" s="22" t="s">
        <v>6370</v>
      </c>
      <c r="I15636" s="26">
        <v>43640.494293981501</v>
      </c>
      <c r="J15636" s="28" t="s">
        <v>51</v>
      </c>
      <c r="K15636" s="28" t="s">
        <v>51</v>
      </c>
      <c r="L15636" s="28" t="s">
        <v>51</v>
      </c>
      <c r="M15636" s="28" t="s">
        <v>51</v>
      </c>
      <c r="N15636" s="28" t="s">
        <v>51</v>
      </c>
    </row>
    <row r="15637" spans="1:14" x14ac:dyDescent="0.15">
      <c r="A15637" s="23" t="str">
        <f>HYPERLINK("https://www.spark-marketing.ru/Card/Person/150233", "ФГКУ ""АСУНЦ ""ВЫТЕГРА""")</f>
        <v>ФГКУ "АСУНЦ "ВЫТЕГРА"</v>
      </c>
      <c r="B15637" s="24" t="s">
        <v>20600</v>
      </c>
      <c r="C15637" s="25">
        <v>446600</v>
      </c>
      <c r="D15637" s="22" t="s">
        <v>20601</v>
      </c>
      <c r="E15637" s="22" t="s">
        <v>48</v>
      </c>
      <c r="F15637" s="23" t="str">
        <f>HYPERLINK("https://www.spark-marketing.ru/Card/Lot/71612816", "организация питания участников соревнований")</f>
        <v>организация питания участников соревнований</v>
      </c>
      <c r="G15637" s="22" t="s">
        <v>503</v>
      </c>
      <c r="H15637" s="22" t="s">
        <v>8339</v>
      </c>
      <c r="I15637" s="26">
        <v>43640.495833333298</v>
      </c>
      <c r="J15637" s="23" t="str">
        <f>HYPERLINK("https://www.spark-marketing.ru/Card/Person/264995", "ОАО ТПЦ ""РЕЧФЛОТ""")</f>
        <v>ОАО ТПЦ "РЕЧФЛОТ"</v>
      </c>
      <c r="K15637" s="24" t="s">
        <v>20602</v>
      </c>
      <c r="L15637" s="28" t="s">
        <v>51</v>
      </c>
      <c r="M15637" s="28" t="s">
        <v>51</v>
      </c>
      <c r="N15637" s="28" t="s">
        <v>51</v>
      </c>
    </row>
    <row r="15638" spans="1:14" ht="12.75" hidden="1" outlineLevel="1" x14ac:dyDescent="0.2">
      <c r="A15638" s="23" t="str">
        <f>HYPERLINK("https://www.spark-marketing.ru/Card/Person/150233", "ФГКУ ""АСУНЦ ""ВЫТЕГРА""")</f>
        <v>ФГКУ "АСУНЦ "ВЫТЕГРА"</v>
      </c>
      <c r="B15638" s="24" t="s">
        <v>20600</v>
      </c>
      <c r="C15638" s="25">
        <v>446600</v>
      </c>
      <c r="D15638" s="22" t="s">
        <v>20601</v>
      </c>
      <c r="E15638" s="22" t="s">
        <v>48</v>
      </c>
      <c r="F15638" s="23" t="str">
        <f>HYPERLINK("https://www.spark-marketing.ru/Card/Lot/71612816", "организация питания участников соревнований")</f>
        <v>организация питания участников соревнований</v>
      </c>
      <c r="G15638" s="22" t="s">
        <v>503</v>
      </c>
      <c r="H15638" s="22" t="s">
        <v>8339</v>
      </c>
      <c r="I15638" s="26">
        <v>43640.495833333298</v>
      </c>
      <c r="J15638" s="23" t="str">
        <f>HYPERLINK("https://www.spark-marketing.ru/Card/Person/264995", "ОАО ТПЦ ""РЕЧФЛОТ""")</f>
        <v>ОАО ТПЦ "РЕЧФЛОТ"</v>
      </c>
      <c r="K15638" s="24" t="s">
        <v>20602</v>
      </c>
      <c r="L15638" s="22" t="s">
        <v>10</v>
      </c>
      <c r="M15638" s="25">
        <v>424270</v>
      </c>
      <c r="N15638" s="27">
        <v>0.05</v>
      </c>
    </row>
    <row r="15639" spans="1:14" x14ac:dyDescent="0.15">
      <c r="A15639" s="23" t="str">
        <f>HYPERLINK("https://www.spark-marketing.ru/Card/Person/4347757", "ПУ ФСБ РОССИИ ПО БЕЛГОРОДСКОЙ И ВОРОНЕЖСКОЙ ОБЛАСТЯМ")</f>
        <v>ПУ ФСБ РОССИИ ПО БЕЛГОРОДСКОЙ И ВОРОНЕЖСКОЙ ОБЛАСТЯМ</v>
      </c>
      <c r="B15639" s="24" t="s">
        <v>3108</v>
      </c>
      <c r="C15639" s="25">
        <v>820199.88</v>
      </c>
      <c r="D15639" s="22" t="s">
        <v>20603</v>
      </c>
      <c r="E15639" s="22" t="s">
        <v>48</v>
      </c>
      <c r="F15639" s="23" t="str">
        <f>HYPERLINK("https://www.spark-marketing.ru/Card/Lot/71615132", "Оказание услуг по организации питания сотрудников Заказчика горячей пищей (опк «Вериговка»)")</f>
        <v>Оказание услуг по организации питания сотрудников Заказчика горячей пищей (опк «Вериговка»)</v>
      </c>
      <c r="G15639" s="22" t="s">
        <v>696</v>
      </c>
      <c r="H15639" s="22" t="s">
        <v>1163</v>
      </c>
      <c r="I15639" s="26">
        <v>43640.4868055556</v>
      </c>
      <c r="J15639" s="28" t="s">
        <v>51</v>
      </c>
      <c r="K15639" s="28" t="s">
        <v>51</v>
      </c>
      <c r="L15639" s="28" t="s">
        <v>51</v>
      </c>
      <c r="M15639" s="28" t="s">
        <v>51</v>
      </c>
      <c r="N15639" s="28" t="s">
        <v>51</v>
      </c>
    </row>
    <row r="15640" spans="1:14" x14ac:dyDescent="0.15">
      <c r="A15640" s="23" t="str">
        <f>HYPERLINK("https://www.spark-marketing.ru/Card/Person/4347757", "ПУ ФСБ РОССИИ ПО БЕЛГОРОДСКОЙ И ВОРОНЕЖСКОЙ ОБЛАСТЯМ")</f>
        <v>ПУ ФСБ РОССИИ ПО БЕЛГОРОДСКОЙ И ВОРОНЕЖСКОЙ ОБЛАСТЯМ</v>
      </c>
      <c r="B15640" s="24" t="s">
        <v>3108</v>
      </c>
      <c r="C15640" s="25">
        <v>787216.4</v>
      </c>
      <c r="D15640" s="22" t="s">
        <v>20604</v>
      </c>
      <c r="E15640" s="22" t="s">
        <v>48</v>
      </c>
      <c r="F15640" s="23" t="str">
        <f>HYPERLINK("https://www.spark-marketing.ru/Card/Lot/71614975", "Оказание услуг по организации питания сотрудников Заказчика горячей пищей (мапп «Колотиловка»)")</f>
        <v>Оказание услуг по организации питания сотрудников Заказчика горячей пищей (мапп «Колотиловка»)</v>
      </c>
      <c r="G15640" s="22" t="s">
        <v>696</v>
      </c>
      <c r="H15640" s="22" t="s">
        <v>1163</v>
      </c>
      <c r="I15640" s="26">
        <v>43640.461805555598</v>
      </c>
      <c r="J15640" s="28" t="s">
        <v>51</v>
      </c>
      <c r="K15640" s="28" t="s">
        <v>51</v>
      </c>
      <c r="L15640" s="28" t="s">
        <v>51</v>
      </c>
      <c r="M15640" s="28" t="s">
        <v>51</v>
      </c>
      <c r="N15640" s="28" t="s">
        <v>51</v>
      </c>
    </row>
    <row r="15641" spans="1:14" x14ac:dyDescent="0.15">
      <c r="A15641" s="23" t="str">
        <f>HYPERLINK("https://www.spark-marketing.ru/Card/Person/53085", "АО ""ИООСАБ""")</f>
        <v>АО "ИООСАБ"</v>
      </c>
      <c r="B15641" s="24" t="s">
        <v>2445</v>
      </c>
      <c r="C15641" s="25">
        <v>260000</v>
      </c>
      <c r="D15641" s="22" t="s">
        <v>20605</v>
      </c>
      <c r="E15641" s="22" t="s">
        <v>3561</v>
      </c>
      <c r="F15641" s="23" t="str">
        <f>HYPERLINK("https://www.spark-marketing.ru/Card/Lot/71597024", "Оказание услуг по отпуску лекарственных препаратов, для организации обеспечения отдельных категорий граждан дополнительной бесплатной медицинской помощью в части обеспечения необходимыми лекарственными препаратами, медицинскими изделиями, а также спе...")</f>
        <v>Оказание услуг по отпуску лекарственных препаратов, для организации обеспечения отдельных категорий граждан дополнительной бесплатной медицинской помощью в части обеспечения необходимыми лекарственными препаратами, медицинскими изделиями, а также спе...</v>
      </c>
      <c r="G15641" s="22" t="s">
        <v>263</v>
      </c>
      <c r="H15641" s="22" t="s">
        <v>263</v>
      </c>
      <c r="I15641" s="26">
        <v>43640.469733796301</v>
      </c>
      <c r="J15641" s="28" t="s">
        <v>51</v>
      </c>
      <c r="K15641" s="28" t="s">
        <v>51</v>
      </c>
      <c r="L15641" s="28" t="s">
        <v>51</v>
      </c>
      <c r="M15641" s="28" t="s">
        <v>51</v>
      </c>
      <c r="N15641" s="28" t="s">
        <v>51</v>
      </c>
    </row>
    <row r="15642" spans="1:14" x14ac:dyDescent="0.2">
      <c r="A15642" s="23" t="str">
        <f>HYPERLINK("https://www.spark-marketing.ru/Card/Person/1759138", "МАОУ «ЛИЦЕЙ ЭКОНОМИЧЕСКИЙ № 14»")</f>
        <v>МАОУ «ЛИЦЕЙ ЭКОНОМИЧЕСКИЙ № 14»</v>
      </c>
      <c r="B15642" s="24" t="s">
        <v>20606</v>
      </c>
      <c r="C15642" s="25">
        <v>367710.84</v>
      </c>
      <c r="D15642" s="22" t="s">
        <v>20607</v>
      </c>
      <c r="E15642" s="22" t="s">
        <v>362</v>
      </c>
      <c r="F15642" s="23" t="str">
        <f>HYPERLINK("https://www.spark-marketing.ru/Card/Lot/71605723", "Оказание услуг по организации горячим питанием школьников из малообеспеченных семей")</f>
        <v>Оказание услуг по организации горячим питанием школьников из малообеспеченных семей</v>
      </c>
      <c r="G15642" s="22" t="s">
        <v>267</v>
      </c>
      <c r="H15642" s="22" t="s">
        <v>267</v>
      </c>
      <c r="I15642" s="26">
        <v>43640.4585069444</v>
      </c>
      <c r="J15642" s="28" t="s">
        <v>51</v>
      </c>
      <c r="K15642" s="28" t="s">
        <v>51</v>
      </c>
      <c r="L15642" s="22" t="s">
        <v>10</v>
      </c>
      <c r="M15642" s="25">
        <v>367710.84</v>
      </c>
      <c r="N15642" s="27">
        <v>0</v>
      </c>
    </row>
    <row r="15643" spans="1:14" x14ac:dyDescent="0.15">
      <c r="A15643" s="23" t="str">
        <f>HYPERLINK("https://www.spark-marketing.ru/Card/Person/53945", "ГБУЗ ВО ""ОДКБ""")</f>
        <v>ГБУЗ ВО "ОДКБ"</v>
      </c>
      <c r="B15643" s="24" t="s">
        <v>20608</v>
      </c>
      <c r="C15643" s="25">
        <v>480000</v>
      </c>
      <c r="D15643" s="22" t="s">
        <v>20609</v>
      </c>
      <c r="E15643" s="22" t="s">
        <v>1153</v>
      </c>
      <c r="F15643" s="23" t="str">
        <f>HYPERLINK("https://www.spark-marketing.ru/Card/Lot/71612728", "Оказание услуг по приемке, хранению и отпуску лекарственных препаратов, изделий медицинского назначения, специализированных продуктов лечебного питания в целях обеспечения отдельных категорий граждан, имеющих право на меры социальной поддержки по лек...")</f>
        <v>Оказание услуг по приемке, хранению и отпуску лекарственных препаратов, изделий медицинского назначения, специализированных продуктов лечебного питания в целях обеспечения отдельных категорий граждан, имеющих право на меры социальной поддержки по лек...</v>
      </c>
      <c r="G15643" s="22" t="s">
        <v>663</v>
      </c>
      <c r="H15643" s="22" t="s">
        <v>664</v>
      </c>
      <c r="I15643" s="26">
        <v>43640.486111111102</v>
      </c>
      <c r="J15643" s="23" t="str">
        <f>HYPERLINK("https://www.spark-marketing.ru/Card/Person/49894", "ООО ""МЕДИЛОН-ФАРМИМЭКС""")</f>
        <v>ООО "МЕДИЛОН-ФАРМИМЭКС"</v>
      </c>
      <c r="K15643" s="24" t="s">
        <v>13754</v>
      </c>
      <c r="L15643" s="22" t="s">
        <v>10</v>
      </c>
      <c r="M15643" s="28" t="s">
        <v>51</v>
      </c>
      <c r="N15643" s="28" t="s">
        <v>51</v>
      </c>
    </row>
    <row r="15644" spans="1:14" ht="12.75" x14ac:dyDescent="0.2">
      <c r="A15644" s="23" t="str">
        <f>HYPERLINK("https://www.spark-marketing.ru/Card/Person/1037238", "МБУ ""ОДМ""")</f>
        <v>МБУ "ОДМ"</v>
      </c>
      <c r="B15644" s="24" t="s">
        <v>7957</v>
      </c>
      <c r="C15644" s="25">
        <v>54520</v>
      </c>
      <c r="D15644" s="22" t="s">
        <v>20610</v>
      </c>
      <c r="E15644" s="22" t="s">
        <v>1492</v>
      </c>
      <c r="F15644" s="23" t="str">
        <f>HYPERLINK("https://www.spark-marketing.ru/Card/Lot/71598762", "Оказание услуг по организации проживания и питания участников профильной смены для молодых семей «Вместе - дружная семья»")</f>
        <v>Оказание услуг по организации проживания и питания участников профильной смены для молодых семей «Вместе - дружная семья»</v>
      </c>
      <c r="G15644" s="22" t="s">
        <v>195</v>
      </c>
      <c r="H15644" s="22" t="s">
        <v>6179</v>
      </c>
      <c r="I15644" s="26">
        <v>43640.456944444399</v>
      </c>
      <c r="J15644" s="23" t="str">
        <f>HYPERLINK("https://www.spark-marketing.ru/Card/Person/6236197", "ООО ""СПАРТАНЕЦ""")</f>
        <v>ООО "СПАРТАНЕЦ"</v>
      </c>
      <c r="K15644" s="24" t="s">
        <v>7959</v>
      </c>
      <c r="L15644" s="22" t="s">
        <v>10</v>
      </c>
      <c r="M15644" s="25">
        <v>54520</v>
      </c>
      <c r="N15644" s="27">
        <v>0</v>
      </c>
    </row>
    <row r="15645" spans="1:14" x14ac:dyDescent="0.15">
      <c r="A15645" s="23" t="str">
        <f>HYPERLINK("https://www.spark-marketing.ru/Card/Person/651472", "АО ""ЮТЭК-КОГАЛЫМ""")</f>
        <v>АО "ЮТЭК-КОГАЛЫМ"</v>
      </c>
      <c r="B15645" s="24" t="s">
        <v>20611</v>
      </c>
      <c r="C15645" s="25">
        <v>161315</v>
      </c>
      <c r="D15645" s="22" t="s">
        <v>20612</v>
      </c>
      <c r="E15645" s="22" t="s">
        <v>580</v>
      </c>
      <c r="F15645" s="23" t="str">
        <f>HYPERLINK("https://www.spark-marketing.ru/Card/Lot/71600432", "Оказания услуг по организации питания участников конкурса «Славим человека труда!»")</f>
        <v>Оказания услуг по организации питания участников конкурса «Славим человека труда!»</v>
      </c>
      <c r="G15645" s="22" t="s">
        <v>97</v>
      </c>
      <c r="H15645" s="22" t="s">
        <v>97</v>
      </c>
      <c r="I15645" s="26">
        <v>43640.450509259303</v>
      </c>
      <c r="J15645" s="28" t="s">
        <v>51</v>
      </c>
      <c r="K15645" s="28" t="s">
        <v>51</v>
      </c>
      <c r="L15645" s="28" t="s">
        <v>51</v>
      </c>
      <c r="M15645" s="28" t="s">
        <v>51</v>
      </c>
      <c r="N15645" s="28" t="s">
        <v>51</v>
      </c>
    </row>
    <row r="15646" spans="1:14" x14ac:dyDescent="0.15">
      <c r="A15646" s="23" t="str">
        <f>HYPERLINK("https://www.spark-marketing.ru/Card/Person/1039356", "КСП ГОРОДА КОТЕЛЬНИКИ")</f>
        <v>КСП ГОРОДА КОТЕЛЬНИКИ</v>
      </c>
      <c r="B15646" s="24" t="s">
        <v>20613</v>
      </c>
      <c r="C15646" s="25">
        <v>9750</v>
      </c>
      <c r="D15646" s="22" t="s">
        <v>20614</v>
      </c>
      <c r="E15646" s="22" t="s">
        <v>91</v>
      </c>
      <c r="F15646" s="23" t="str">
        <f>HYPERLINK("https://www.spark-marketing.ru/Card/Lot/71603709", "Оказание услуг по ремонту источников бесперебойного питания.")</f>
        <v>Оказание услуг по ремонту источников бесперебойного питания.</v>
      </c>
      <c r="G15646" s="22" t="s">
        <v>49</v>
      </c>
      <c r="H15646" s="22" t="s">
        <v>20615</v>
      </c>
      <c r="I15646" s="26">
        <v>43640.4300462963</v>
      </c>
      <c r="J15646" s="28" t="s">
        <v>51</v>
      </c>
      <c r="K15646" s="28" t="s">
        <v>51</v>
      </c>
      <c r="L15646" s="28" t="s">
        <v>51</v>
      </c>
      <c r="M15646" s="28" t="s">
        <v>51</v>
      </c>
      <c r="N15646" s="28" t="s">
        <v>51</v>
      </c>
    </row>
    <row r="15647" spans="1:14" x14ac:dyDescent="0.15">
      <c r="A15647" s="23" t="str">
        <f>HYPERLINK("https://www.spark-marketing.ru/Card/Person/1003382", "ОМВД РОССИИ ПО БЕЛОЯРСКОМУ РАЙОНУ")</f>
        <v>ОМВД РОССИИ ПО БЕЛОЯРСКОМУ РАЙОНУ</v>
      </c>
      <c r="B15647" s="24" t="s">
        <v>9113</v>
      </c>
      <c r="C15647" s="25">
        <v>2695460</v>
      </c>
      <c r="D15647" s="22" t="s">
        <v>20616</v>
      </c>
      <c r="E15647" s="22" t="s">
        <v>48</v>
      </c>
      <c r="F15647" s="23" t="str">
        <f>HYPERLINK("https://www.spark-marketing.ru/Card/Lot/71603112", "Оказание услуг по приготовлению и поставке питания для подозреваемых, обвиняемых и административно арестованных, содержащихся в ИВС ОМВД России по Белоярскому району, а также лиц находящихся в комнате административно задержанных в 2020 году")</f>
        <v>Оказание услуг по приготовлению и поставке питания для подозреваемых, обвиняемых и административно арестованных, содержащихся в ИВС ОМВД России по Белоярскому району, а также лиц находящихся в комнате административно задержанных в 2020 году</v>
      </c>
      <c r="G15647" s="22" t="s">
        <v>97</v>
      </c>
      <c r="H15647" s="22" t="s">
        <v>9115</v>
      </c>
      <c r="I15647" s="26">
        <v>43640.4555555556</v>
      </c>
      <c r="J15647" s="23" t="str">
        <f>HYPERLINK("https://www.spark-marketing.ru/Card/Person/1644259", "Скоробогатова Наталья Николаевна")</f>
        <v>Скоробогатова Наталья Николаевна</v>
      </c>
      <c r="K15647" s="24" t="s">
        <v>9116</v>
      </c>
      <c r="L15647" s="22" t="s">
        <v>10</v>
      </c>
      <c r="M15647" s="28" t="s">
        <v>51</v>
      </c>
      <c r="N15647" s="28" t="s">
        <v>51</v>
      </c>
    </row>
    <row r="15648" spans="1:14" x14ac:dyDescent="0.15">
      <c r="A15648" s="23" t="str">
        <f>HYPERLINK("https://www.spark-marketing.ru/Card/Person/1011461", "ГОУ ЯО ""РЫБИНСКАЯ ШКОЛА № 13""")</f>
        <v>ГОУ ЯО "РЫБИНСКАЯ ШКОЛА № 13"</v>
      </c>
      <c r="B15648" s="24" t="s">
        <v>15460</v>
      </c>
      <c r="C15648" s="25">
        <v>3194400</v>
      </c>
      <c r="D15648" s="22" t="s">
        <v>20617</v>
      </c>
      <c r="E15648" s="22" t="s">
        <v>48</v>
      </c>
      <c r="F15648" s="23" t="str">
        <f>HYPERLINK("https://www.spark-marketing.ru/Card/Lot/71621083", "Обеспечение бесплатным питанием")</f>
        <v>Обеспечение бесплатным питанием</v>
      </c>
      <c r="G15648" s="22" t="s">
        <v>185</v>
      </c>
      <c r="H15648" s="22" t="s">
        <v>9142</v>
      </c>
      <c r="I15648" s="26">
        <v>43640.427777777797</v>
      </c>
      <c r="J15648" s="28" t="s">
        <v>51</v>
      </c>
      <c r="K15648" s="28" t="s">
        <v>51</v>
      </c>
      <c r="L15648" s="28" t="s">
        <v>51</v>
      </c>
      <c r="M15648" s="28" t="s">
        <v>51</v>
      </c>
      <c r="N15648" s="28" t="s">
        <v>51</v>
      </c>
    </row>
    <row r="15649" spans="1:14" x14ac:dyDescent="0.15">
      <c r="A15649" s="23" t="str">
        <f>HYPERLINK("https://www.spark-marketing.ru/Card/Person/53085", "АО ""ИООСАБ""")</f>
        <v>АО "ИООСАБ"</v>
      </c>
      <c r="B15649" s="24" t="s">
        <v>2445</v>
      </c>
      <c r="C15649" s="25">
        <v>440000</v>
      </c>
      <c r="D15649" s="22" t="s">
        <v>20618</v>
      </c>
      <c r="E15649" s="22" t="s">
        <v>3561</v>
      </c>
      <c r="F15649" s="23" t="str">
        <f>HYPERLINK("https://www.spark-marketing.ru/Card/Lot/71597018", "Оказание услуг по отпуску лекарственных препаратов, медицинских изделий, а также специализированных продуктов лечебного питания для организации обеспечения отдельных категорий граждан дополнительной бесплатной медицинской помощью в части обеспечения ...")</f>
        <v>Оказание услуг по отпуску лекарственных препаратов, медицинских изделий, а также специализированных продуктов лечебного питания для организации обеспечения отдельных категорий граждан дополнительной бесплатной медицинской помощью в части обеспечения ...</v>
      </c>
      <c r="G15649" s="22" t="s">
        <v>263</v>
      </c>
      <c r="H15649" s="22" t="s">
        <v>263</v>
      </c>
      <c r="I15649" s="26">
        <v>43640.452604166698</v>
      </c>
      <c r="J15649" s="28" t="s">
        <v>51</v>
      </c>
      <c r="K15649" s="28" t="s">
        <v>51</v>
      </c>
      <c r="L15649" s="28" t="s">
        <v>51</v>
      </c>
      <c r="M15649" s="28" t="s">
        <v>51</v>
      </c>
      <c r="N15649" s="28" t="s">
        <v>51</v>
      </c>
    </row>
    <row r="15650" spans="1:14" ht="12.75" x14ac:dyDescent="0.2">
      <c r="A15650" s="23" t="str">
        <f>HYPERLINK("https://www.spark-marketing.ru/Card/Person/88954", "МБОУ СОШ № 33")</f>
        <v>МБОУ СОШ № 33</v>
      </c>
      <c r="B15650" s="24" t="s">
        <v>20619</v>
      </c>
      <c r="C15650" s="25">
        <v>1635210</v>
      </c>
      <c r="D15650" s="22" t="s">
        <v>20620</v>
      </c>
      <c r="E15650" s="22" t="s">
        <v>48</v>
      </c>
      <c r="F15650" s="23" t="str">
        <f>HYPERLINK("https://www.spark-marketing.ru/Card/Lot/71618071", "Оказание услуг по организации горячего питания")</f>
        <v>Оказание услуг по организации горячего питания</v>
      </c>
      <c r="G15650" s="22" t="s">
        <v>137</v>
      </c>
      <c r="H15650" s="22" t="s">
        <v>138</v>
      </c>
      <c r="I15650" s="26">
        <v>43640.385416666701</v>
      </c>
      <c r="J15650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5650" s="24" t="s">
        <v>16891</v>
      </c>
      <c r="L15650" s="22" t="s">
        <v>10</v>
      </c>
      <c r="M15650" s="25">
        <v>1635210</v>
      </c>
      <c r="N15650" s="27">
        <v>0</v>
      </c>
    </row>
    <row r="15651" spans="1:14" x14ac:dyDescent="0.15">
      <c r="A15651" s="23" t="str">
        <f>HYPERLINK("https://www.spark-marketing.ru/Card/Person/1021787", "ОМВД РОССИИ ПО КОЛЬСКОМУ РАЙОНУ")</f>
        <v>ОМВД РОССИИ ПО КОЛЬСКОМУ РАЙОНУ</v>
      </c>
      <c r="B15651" s="24" t="s">
        <v>12912</v>
      </c>
      <c r="C15651" s="25">
        <v>795804.6</v>
      </c>
      <c r="D15651" s="22" t="s">
        <v>20621</v>
      </c>
      <c r="E15651" s="22" t="s">
        <v>48</v>
      </c>
      <c r="F15651" s="23" t="str">
        <f>HYPERLINK("https://www.spark-marketing.ru/Card/Lot/71615008", "оказание услуг по организации ежедневного горячего трехразового питания лицам, содержащимся в Центре временного содержания иностранных граждан ОМВД России по Кольскому району в 2019 году")</f>
        <v>оказание услуг по организации ежедневного горячего трехразового питания лицам, содержащимся в Центре временного содержания иностранных граждан ОМВД России по Кольскому району в 2019 году</v>
      </c>
      <c r="G15651" s="22" t="s">
        <v>340</v>
      </c>
      <c r="H15651" s="22" t="s">
        <v>340</v>
      </c>
      <c r="I15651" s="26">
        <v>43640.390972222202</v>
      </c>
      <c r="J15651" s="23" t="str">
        <f>HYPERLINK("https://www.spark-marketing.ru/Card/Person/718805", "ООО ""СМАК""")</f>
        <v>ООО "СМАК"</v>
      </c>
      <c r="K15651" s="24" t="s">
        <v>2393</v>
      </c>
      <c r="L15651" s="22" t="s">
        <v>10</v>
      </c>
      <c r="M15651" s="28" t="s">
        <v>51</v>
      </c>
      <c r="N15651" s="28" t="s">
        <v>51</v>
      </c>
    </row>
    <row r="15652" spans="1:14" x14ac:dyDescent="0.15">
      <c r="A15652" s="23" t="str">
        <f>HYPERLINK("https://www.spark-marketing.ru/Card/Person/80056", "ГБУЗ РМ ""МРСПК""")</f>
        <v>ГБУЗ РМ "МРСПК"</v>
      </c>
      <c r="B15652" s="24" t="s">
        <v>20622</v>
      </c>
      <c r="C15652" s="25">
        <v>179175</v>
      </c>
      <c r="D15652" s="22" t="s">
        <v>20623</v>
      </c>
      <c r="E15652" s="22" t="s">
        <v>20291</v>
      </c>
      <c r="F15652" s="23" t="str">
        <f>HYPERLINK("https://www.spark-marketing.ru/Card/Lot/71602324", "закупка бланочной продукции")</f>
        <v>закупка бланочной продукции</v>
      </c>
      <c r="G15652" s="22" t="s">
        <v>277</v>
      </c>
      <c r="H15652" s="22" t="s">
        <v>278</v>
      </c>
      <c r="I15652" s="26">
        <v>43640.377083333296</v>
      </c>
      <c r="J15652" s="28" t="s">
        <v>51</v>
      </c>
      <c r="K15652" s="28" t="s">
        <v>51</v>
      </c>
      <c r="L15652" s="28" t="s">
        <v>51</v>
      </c>
      <c r="M15652" s="28" t="s">
        <v>51</v>
      </c>
      <c r="N15652" s="28" t="s">
        <v>51</v>
      </c>
    </row>
    <row r="15653" spans="1:14" hidden="1" outlineLevel="1" x14ac:dyDescent="0.2">
      <c r="A15653" s="23" t="str">
        <f>HYPERLINK("https://www.spark-marketing.ru/Card/Person/80056", "ГБУЗ РМ ""МРСПК""")</f>
        <v>ГБУЗ РМ "МРСПК"</v>
      </c>
      <c r="B15653" s="24" t="s">
        <v>20622</v>
      </c>
      <c r="C15653" s="25">
        <v>179175</v>
      </c>
      <c r="D15653" s="22" t="s">
        <v>20623</v>
      </c>
      <c r="E15653" s="22" t="s">
        <v>20291</v>
      </c>
      <c r="F15653" s="23" t="str">
        <f>HYPERLINK("https://www.spark-marketing.ru/Card/Lot/71602324", "закупка бланочной продукции")</f>
        <v>закупка бланочной продукции</v>
      </c>
      <c r="G15653" s="22" t="s">
        <v>277</v>
      </c>
      <c r="H15653" s="22" t="s">
        <v>278</v>
      </c>
      <c r="I15653" s="26">
        <v>43640.377083333296</v>
      </c>
      <c r="J15653" s="23" t="str">
        <f>HYPERLINK("https://www.spark-marketing.ru/Card/Person/179375", "ООО ""ПРИНТ-ИЗДАТ""")</f>
        <v>ООО "ПРИНТ-ИЗДАТ"</v>
      </c>
      <c r="K15653" s="24" t="s">
        <v>12764</v>
      </c>
      <c r="L15653" s="28" t="s">
        <v>51</v>
      </c>
      <c r="M15653" s="25">
        <v>149104.12</v>
      </c>
      <c r="N15653" s="27">
        <v>0.16782966373657041</v>
      </c>
    </row>
    <row r="15654" spans="1:14" ht="12.75" hidden="1" outlineLevel="1" x14ac:dyDescent="0.2">
      <c r="A15654" s="23" t="str">
        <f>HYPERLINK("https://www.spark-marketing.ru/Card/Person/80056", "ГБУЗ РМ ""МРСПК""")</f>
        <v>ГБУЗ РМ "МРСПК"</v>
      </c>
      <c r="B15654" s="24" t="s">
        <v>20622</v>
      </c>
      <c r="C15654" s="25">
        <v>179175</v>
      </c>
      <c r="D15654" s="22" t="s">
        <v>20623</v>
      </c>
      <c r="E15654" s="22" t="s">
        <v>20291</v>
      </c>
      <c r="F15654" s="23" t="str">
        <f>HYPERLINK("https://www.spark-marketing.ru/Card/Lot/71602324", "закупка бланочной продукции")</f>
        <v>закупка бланочной продукции</v>
      </c>
      <c r="G15654" s="22" t="s">
        <v>277</v>
      </c>
      <c r="H15654" s="22" t="s">
        <v>278</v>
      </c>
      <c r="I15654" s="26">
        <v>43640.377083333296</v>
      </c>
      <c r="J15654" s="23" t="str">
        <f>HYPERLINK("https://www.spark-marketing.ru/Card/Person/183917", "ООО ""КАНЦТОВАРЫ""")</f>
        <v>ООО "КАНЦТОВАРЫ"</v>
      </c>
      <c r="K15654" s="24" t="s">
        <v>6208</v>
      </c>
      <c r="L15654" s="22" t="s">
        <v>10</v>
      </c>
      <c r="M15654" s="25">
        <v>148000</v>
      </c>
      <c r="N15654" s="27">
        <v>0.17399190735314637</v>
      </c>
    </row>
    <row r="15655" spans="1:14" hidden="1" outlineLevel="1" x14ac:dyDescent="0.2">
      <c r="A15655" s="23" t="str">
        <f>HYPERLINK("https://www.spark-marketing.ru/Card/Person/80056", "ГБУЗ РМ ""МРСПК""")</f>
        <v>ГБУЗ РМ "МРСПК"</v>
      </c>
      <c r="B15655" s="24" t="s">
        <v>20622</v>
      </c>
      <c r="C15655" s="25">
        <v>179175</v>
      </c>
      <c r="D15655" s="22" t="s">
        <v>20623</v>
      </c>
      <c r="E15655" s="22" t="s">
        <v>20291</v>
      </c>
      <c r="F15655" s="23" t="str">
        <f>HYPERLINK("https://www.spark-marketing.ru/Card/Lot/71602324", "закупка бланочной продукции")</f>
        <v>закупка бланочной продукции</v>
      </c>
      <c r="G15655" s="22" t="s">
        <v>277</v>
      </c>
      <c r="H15655" s="22" t="s">
        <v>278</v>
      </c>
      <c r="I15655" s="26">
        <v>43640.377083333296</v>
      </c>
      <c r="J15655" s="23" t="str">
        <f>HYPERLINK("https://www.spark-marketing.ru/Card/Person/317671", "ООО ""МАРС-ПРИНТ""")</f>
        <v>ООО "МАРС-ПРИНТ"</v>
      </c>
      <c r="K15655" s="24" t="s">
        <v>7306</v>
      </c>
      <c r="L15655" s="28" t="s">
        <v>51</v>
      </c>
      <c r="M15655" s="25">
        <v>177104.12</v>
      </c>
      <c r="N15655" s="27">
        <v>1.1557862425003488E-2</v>
      </c>
    </row>
    <row r="15656" spans="1:14" x14ac:dyDescent="0.15">
      <c r="A15656" s="23" t="str">
        <f>HYPERLINK("https://www.spark-marketing.ru/Card/Person/951254", "КГБПОУ ""ИГАРСКИЙ МНОГОПРОФИЛЬНЫЙ ТЕХНИКУМ""")</f>
        <v>КГБПОУ "ИГАРСКИЙ МНОГОПРОФИЛЬНЫЙ ТЕХНИКУМ"</v>
      </c>
      <c r="B15656" s="24" t="s">
        <v>20624</v>
      </c>
      <c r="C15656" s="25">
        <v>10525194.68</v>
      </c>
      <c r="D15656" s="22" t="s">
        <v>20625</v>
      </c>
      <c r="E15656" s="22" t="s">
        <v>48</v>
      </c>
      <c r="F15656" s="23" t="str">
        <f>HYPERLINK("https://www.spark-marketing.ru/Card/Lot/71598223", "№ ЭА 43663/19 Услуги по организации готового горячего питания для обучающихся краевого государственного бюджетного профессионального образовательного учреждения «Игарский многопрофильный техникум» на 2019-2020 учебный год")</f>
        <v>№ ЭА 43663/19 Услуги по организации готового горячего питания для обучающихся краевого государственного бюджетного профессионального образовательного учреждения «Игарский многопрофильный техникум» на 2019-2020 учебный год</v>
      </c>
      <c r="G15656" s="22" t="s">
        <v>281</v>
      </c>
      <c r="H15656" s="22" t="s">
        <v>20626</v>
      </c>
      <c r="I15656" s="26">
        <v>43640.413194444402</v>
      </c>
      <c r="J15656" s="28" t="s">
        <v>51</v>
      </c>
      <c r="K15656" s="28" t="s">
        <v>51</v>
      </c>
      <c r="L15656" s="28" t="s">
        <v>51</v>
      </c>
      <c r="M15656" s="28" t="s">
        <v>51</v>
      </c>
      <c r="N15656" s="28" t="s">
        <v>51</v>
      </c>
    </row>
    <row r="15657" spans="1:14" hidden="1" outlineLevel="1" x14ac:dyDescent="0.2">
      <c r="A15657" s="23" t="str">
        <f>HYPERLINK("https://www.spark-marketing.ru/Card/Person/951254", "КГБПОУ ""ИГАРСКИЙ МНОГОПРОФИЛЬНЫЙ ТЕХНИКУМ""")</f>
        <v>КГБПОУ "ИГАРСКИЙ МНОГОПРОФИЛЬНЫЙ ТЕХНИКУМ"</v>
      </c>
      <c r="B15657" s="24" t="s">
        <v>20624</v>
      </c>
      <c r="C15657" s="25">
        <v>10525194.68</v>
      </c>
      <c r="D15657" s="22" t="s">
        <v>20625</v>
      </c>
      <c r="E15657" s="22" t="s">
        <v>48</v>
      </c>
      <c r="F15657" s="23" t="str">
        <f>HYPERLINK("https://www.spark-marketing.ru/Card/Lot/71598223", "№ ЭА 43663/19 Услуги по организации готового горячего питания для обучающихся краевого государственного бюджетного профессионального образовательного учреждения «Игарский многопрофильный техникум» на 2019-2020 учебный год")</f>
        <v>№ ЭА 43663/19 Услуги по организации готового горячего питания для обучающихся краевого государственного бюджетного профессионального образовательного учреждения «Игарский многопрофильный техникум» на 2019-2020 учебный год</v>
      </c>
      <c r="G15657" s="22" t="s">
        <v>281</v>
      </c>
      <c r="H15657" s="22" t="s">
        <v>20626</v>
      </c>
      <c r="I15657" s="26">
        <v>43640.413194444402</v>
      </c>
      <c r="J15657" s="23" t="str">
        <f>HYPERLINK("https://www.spark-marketing.ru/Card/Person/6633295", "ООО ""КРИСТЕЛЬ""")</f>
        <v>ООО "КРИСТЕЛЬ"</v>
      </c>
      <c r="K15657" s="24" t="s">
        <v>2792</v>
      </c>
      <c r="L15657" s="28" t="s">
        <v>51</v>
      </c>
      <c r="M15657" s="25">
        <v>6736124.4500000002</v>
      </c>
      <c r="N15657" s="27">
        <v>0.36000001379546931</v>
      </c>
    </row>
    <row r="15658" spans="1:14" hidden="1" outlineLevel="1" x14ac:dyDescent="0.2">
      <c r="A15658" s="23" t="str">
        <f>HYPERLINK("https://www.spark-marketing.ru/Card/Person/951254", "КГБПОУ ""ИГАРСКИЙ МНОГОПРОФИЛЬНЫЙ ТЕХНИКУМ""")</f>
        <v>КГБПОУ "ИГАРСКИЙ МНОГОПРОФИЛЬНЫЙ ТЕХНИКУМ"</v>
      </c>
      <c r="B15658" s="24" t="s">
        <v>20624</v>
      </c>
      <c r="C15658" s="25">
        <v>10525194.68</v>
      </c>
      <c r="D15658" s="22" t="s">
        <v>20625</v>
      </c>
      <c r="E15658" s="22" t="s">
        <v>48</v>
      </c>
      <c r="F15658" s="23" t="str">
        <f>HYPERLINK("https://www.spark-marketing.ru/Card/Lot/71598223", "№ ЭА 43663/19 Услуги по организации готового горячего питания для обучающихся краевого государственного бюджетного профессионального образовательного учреждения «Игарский многопрофильный техникум» на 2019-2020 учебный год")</f>
        <v>№ ЭА 43663/19 Услуги по организации готового горячего питания для обучающихся краевого государственного бюджетного профессионального образовательного учреждения «Игарский многопрофильный техникум» на 2019-2020 учебный год</v>
      </c>
      <c r="G15658" s="22" t="s">
        <v>281</v>
      </c>
      <c r="H15658" s="22" t="s">
        <v>20626</v>
      </c>
      <c r="I15658" s="26">
        <v>43640.413194444402</v>
      </c>
      <c r="J15658" s="23" t="str">
        <f>HYPERLINK("https://www.spark-marketing.ru/Card/Person/4286975", "ООО ""АЛЕТОН""")</f>
        <v>ООО "АЛЕТОН"</v>
      </c>
      <c r="K15658" s="24" t="s">
        <v>18563</v>
      </c>
      <c r="L15658" s="28" t="s">
        <v>51</v>
      </c>
      <c r="M15658" s="25">
        <v>8367529.7000000002</v>
      </c>
      <c r="N15658" s="27">
        <v>0.2050000067077144</v>
      </c>
    </row>
    <row r="15659" spans="1:14" ht="12.75" hidden="1" outlineLevel="1" x14ac:dyDescent="0.2">
      <c r="A15659" s="23" t="str">
        <f>HYPERLINK("https://www.spark-marketing.ru/Card/Person/951254", "КГБПОУ ""ИГАРСКИЙ МНОГОПРОФИЛЬНЫЙ ТЕХНИКУМ""")</f>
        <v>КГБПОУ "ИГАРСКИЙ МНОГОПРОФИЛЬНЫЙ ТЕХНИКУМ"</v>
      </c>
      <c r="B15659" s="24" t="s">
        <v>20624</v>
      </c>
      <c r="C15659" s="25">
        <v>10525194.68</v>
      </c>
      <c r="D15659" s="22" t="s">
        <v>20625</v>
      </c>
      <c r="E15659" s="22" t="s">
        <v>48</v>
      </c>
      <c r="F15659" s="23" t="str">
        <f>HYPERLINK("https://www.spark-marketing.ru/Card/Lot/71598223", "№ ЭА 43663/19 Услуги по организации готового горячего питания для обучающихся краевого государственного бюджетного профессионального образовательного учреждения «Игарский многопрофильный техникум» на 2019-2020 учебный год")</f>
        <v>№ ЭА 43663/19 Услуги по организации готового горячего питания для обучающихся краевого государственного бюджетного профессионального образовательного учреждения «Игарский многопрофильный техникум» на 2019-2020 учебный год</v>
      </c>
      <c r="G15659" s="22" t="s">
        <v>281</v>
      </c>
      <c r="H15659" s="22" t="s">
        <v>20626</v>
      </c>
      <c r="I15659" s="26">
        <v>43640.413194444402</v>
      </c>
      <c r="J15659" s="23" t="str">
        <f>HYPERLINK("https://www.spark-marketing.ru/Card/Person/5910323", "Федорова Елена Владимировна")</f>
        <v>Федорова Елена Владимировна</v>
      </c>
      <c r="K15659" s="24" t="s">
        <v>2487</v>
      </c>
      <c r="L15659" s="22" t="s">
        <v>10</v>
      </c>
      <c r="M15659" s="25">
        <v>6683498.4699999997</v>
      </c>
      <c r="N15659" s="27">
        <v>0.3650000144225361</v>
      </c>
    </row>
    <row r="15660" spans="1:14" hidden="1" outlineLevel="1" x14ac:dyDescent="0.2">
      <c r="A15660" s="23" t="str">
        <f>HYPERLINK("https://www.spark-marketing.ru/Card/Person/951254", "КГБПОУ ""ИГАРСКИЙ МНОГОПРОФИЛЬНЫЙ ТЕХНИКУМ""")</f>
        <v>КГБПОУ "ИГАРСКИЙ МНОГОПРОФИЛЬНЫЙ ТЕХНИКУМ"</v>
      </c>
      <c r="B15660" s="24" t="s">
        <v>20624</v>
      </c>
      <c r="C15660" s="25">
        <v>10525194.68</v>
      </c>
      <c r="D15660" s="22" t="s">
        <v>20625</v>
      </c>
      <c r="E15660" s="22" t="s">
        <v>48</v>
      </c>
      <c r="F15660" s="23" t="str">
        <f>HYPERLINK("https://www.spark-marketing.ru/Card/Lot/71598223", "№ ЭА 43663/19 Услуги по организации готового горячего питания для обучающихся краевого государственного бюджетного профессионального образовательного учреждения «Игарский многопрофильный техникум» на 2019-2020 учебный год")</f>
        <v>№ ЭА 43663/19 Услуги по организации готового горячего питания для обучающихся краевого государственного бюджетного профессионального образовательного учреждения «Игарский многопрофильный техникум» на 2019-2020 учебный год</v>
      </c>
      <c r="G15660" s="22" t="s">
        <v>281</v>
      </c>
      <c r="H15660" s="22" t="s">
        <v>20626</v>
      </c>
      <c r="I15660" s="26">
        <v>43640.413194444402</v>
      </c>
      <c r="J15660" s="23" t="str">
        <f>HYPERLINK("https://www.spark-marketing.ru/Card/Person/203249", "ООО ""МЕРКУРИЙ""")</f>
        <v>ООО "МЕРКУРИЙ"</v>
      </c>
      <c r="K15660" s="24" t="s">
        <v>20627</v>
      </c>
      <c r="L15660" s="28" t="s">
        <v>51</v>
      </c>
      <c r="M15660" s="25">
        <v>9420049.2400000002</v>
      </c>
      <c r="N15660" s="27">
        <v>0.10499999986698583</v>
      </c>
    </row>
    <row r="15661" spans="1:14" x14ac:dyDescent="0.15">
      <c r="A15661" s="23" t="str">
        <f>HYPERLINK("https://www.spark-marketing.ru/Card/Person/34279", "АДМИНИСТРАЦИЯ ПРОНСКОГО МУНИЦИПАЛЬНОГО РАЙОНА")</f>
        <v>АДМИНИСТРАЦИЯ ПРОНСКОГО МУНИЦИПАЛЬНОГО РАЙОНА</v>
      </c>
      <c r="B15661" s="24" t="s">
        <v>20628</v>
      </c>
      <c r="C15661" s="25">
        <v>1275043.02</v>
      </c>
      <c r="D15661" s="22" t="s">
        <v>20629</v>
      </c>
      <c r="E15661" s="22" t="s">
        <v>336</v>
      </c>
      <c r="F15661" s="23" t="str">
        <f>HYPERLINK("https://www.spark-marketing.ru/Card/Lot/71603023", "Услуги по обеспечению бесплатным молочным питанием")</f>
        <v>Услуги по обеспечению бесплатным молочным питанием</v>
      </c>
      <c r="G15661" s="22" t="s">
        <v>1522</v>
      </c>
      <c r="H15661" s="22" t="s">
        <v>1522</v>
      </c>
      <c r="I15661" s="26">
        <v>43640.379166666702</v>
      </c>
      <c r="J15661" s="23" t="str">
        <f>HYPERLINK("https://www.spark-marketing.ru/Card/Person/544700", "ГБУ РО ""НОВОМИЧУРИНСКАЯ МРБ""")</f>
        <v>ГБУ РО "НОВОМИЧУРИНСКАЯ МРБ"</v>
      </c>
      <c r="K15661" s="24" t="s">
        <v>20630</v>
      </c>
      <c r="L15661" s="22" t="s">
        <v>10</v>
      </c>
      <c r="M15661" s="28" t="s">
        <v>51</v>
      </c>
      <c r="N15661" s="28" t="s">
        <v>51</v>
      </c>
    </row>
    <row r="15662" spans="1:14" x14ac:dyDescent="0.15">
      <c r="A15662" s="23" t="str">
        <f>HYPERLINK("https://www.spark-marketing.ru/Card/Person/235582", "ГСКУ ЛОДС ""МЕЧТА""")</f>
        <v>ГСКУ ЛОДС "МЕЧТА"</v>
      </c>
      <c r="B15662" s="24" t="s">
        <v>20631</v>
      </c>
      <c r="C15662" s="25">
        <v>28039.9</v>
      </c>
      <c r="D15662" s="22" t="s">
        <v>20632</v>
      </c>
      <c r="E15662" s="22" t="s">
        <v>62</v>
      </c>
      <c r="F15662" s="23" t="str">
        <f>HYPERLINK("https://www.spark-marketing.ru/Card/Lot/71606252", "Полиграфическая продукция")</f>
        <v>Полиграфическая продукция</v>
      </c>
      <c r="G15662" s="22" t="s">
        <v>101</v>
      </c>
      <c r="H15662" s="22" t="s">
        <v>20633</v>
      </c>
      <c r="I15662" s="26">
        <v>43640.413194444402</v>
      </c>
      <c r="J15662" s="28" t="s">
        <v>51</v>
      </c>
      <c r="K15662" s="28" t="s">
        <v>51</v>
      </c>
      <c r="L15662" s="28" t="s">
        <v>51</v>
      </c>
      <c r="M15662" s="28" t="s">
        <v>51</v>
      </c>
      <c r="N15662" s="28" t="s">
        <v>51</v>
      </c>
    </row>
    <row r="15663" spans="1:14" hidden="1" outlineLevel="1" x14ac:dyDescent="0.2">
      <c r="A15663" s="23" t="str">
        <f>HYPERLINK("https://www.spark-marketing.ru/Card/Person/235582", "ГСКУ ЛОДС ""МЕЧТА""")</f>
        <v>ГСКУ ЛОДС "МЕЧТА"</v>
      </c>
      <c r="B15663" s="24" t="s">
        <v>20631</v>
      </c>
      <c r="C15663" s="25">
        <v>28039.9</v>
      </c>
      <c r="D15663" s="22" t="s">
        <v>20632</v>
      </c>
      <c r="E15663" s="22" t="s">
        <v>62</v>
      </c>
      <c r="F15663" s="23" t="str">
        <f>HYPERLINK("https://www.spark-marketing.ru/Card/Lot/71606252", "Полиграфическая продукция")</f>
        <v>Полиграфическая продукция</v>
      </c>
      <c r="G15663" s="22" t="s">
        <v>101</v>
      </c>
      <c r="H15663" s="22" t="s">
        <v>20633</v>
      </c>
      <c r="I15663" s="26">
        <v>43640.413194444402</v>
      </c>
      <c r="J15663" s="23" t="str">
        <f>HYPERLINK("https://www.spark-marketing.ru/Card/Person/485517", "ООО ""ЛЕГИОН""")</f>
        <v>ООО "ЛЕГИОН"</v>
      </c>
      <c r="K15663" s="24" t="s">
        <v>19153</v>
      </c>
      <c r="L15663" s="28" t="s">
        <v>51</v>
      </c>
      <c r="M15663" s="25">
        <v>20850</v>
      </c>
      <c r="N15663" s="27">
        <v>0.25641674898983235</v>
      </c>
    </row>
    <row r="15664" spans="1:14" ht="12.75" hidden="1" outlineLevel="1" x14ac:dyDescent="0.2">
      <c r="A15664" s="23" t="str">
        <f>HYPERLINK("https://www.spark-marketing.ru/Card/Person/235582", "ГСКУ ЛОДС ""МЕЧТА""")</f>
        <v>ГСКУ ЛОДС "МЕЧТА"</v>
      </c>
      <c r="B15664" s="24" t="s">
        <v>20631</v>
      </c>
      <c r="C15664" s="25">
        <v>28039.9</v>
      </c>
      <c r="D15664" s="22" t="s">
        <v>20632</v>
      </c>
      <c r="E15664" s="22" t="s">
        <v>62</v>
      </c>
      <c r="F15664" s="23" t="str">
        <f>HYPERLINK("https://www.spark-marketing.ru/Card/Lot/71606252", "Полиграфическая продукция")</f>
        <v>Полиграфическая продукция</v>
      </c>
      <c r="G15664" s="22" t="s">
        <v>101</v>
      </c>
      <c r="H15664" s="22" t="s">
        <v>20633</v>
      </c>
      <c r="I15664" s="26">
        <v>43640.413194444402</v>
      </c>
      <c r="J15664" s="23" t="str">
        <f>HYPERLINK("https://www.spark-marketing.ru/Card/Person/183917", "ООО ""КАНЦТОВАРЫ""")</f>
        <v>ООО "КАНЦТОВАРЫ"</v>
      </c>
      <c r="K15664" s="24" t="s">
        <v>6208</v>
      </c>
      <c r="L15664" s="22" t="s">
        <v>10</v>
      </c>
      <c r="M15664" s="25">
        <v>20000</v>
      </c>
      <c r="N15664" s="27">
        <v>0.28673069447465932</v>
      </c>
    </row>
    <row r="15665" spans="1:14" x14ac:dyDescent="0.15">
      <c r="A15665" s="23" t="str">
        <f>HYPERLINK("https://www.spark-marketing.ru/Card/Person/1021787", "ОМВД РОССИИ ПО КОЛЬСКОМУ РАЙОНУ")</f>
        <v>ОМВД РОССИИ ПО КОЛЬСКОМУ РАЙОНУ</v>
      </c>
      <c r="B15665" s="24" t="s">
        <v>12912</v>
      </c>
      <c r="C15665" s="25">
        <v>80910</v>
      </c>
      <c r="D15665" s="22" t="s">
        <v>20634</v>
      </c>
      <c r="E15665" s="22" t="s">
        <v>48</v>
      </c>
      <c r="F15665" s="23" t="str">
        <f>HYPERLINK("https://www.spark-marketing.ru/Card/Lot/71608519", "оказание услуг по организации и доставке ежедневного 3-х разового питания для лиц, содержащихся в изоляторе  временного содержания ОМВД России  по Кольскому району")</f>
        <v>оказание услуг по организации и доставке ежедневного 3-х разового питания для лиц, содержащихся в изоляторе  временного содержания ОМВД России  по Кольскому району</v>
      </c>
      <c r="G15665" s="22" t="s">
        <v>340</v>
      </c>
      <c r="H15665" s="22" t="s">
        <v>12914</v>
      </c>
      <c r="I15665" s="26">
        <v>43640.409027777801</v>
      </c>
      <c r="J15665" s="23" t="str">
        <f>HYPERLINK("https://www.spark-marketing.ru/Card/Person/718805", "ООО ""СМАК""")</f>
        <v>ООО "СМАК"</v>
      </c>
      <c r="K15665" s="24" t="s">
        <v>2393</v>
      </c>
      <c r="L15665" s="22" t="s">
        <v>10</v>
      </c>
      <c r="M15665" s="28" t="s">
        <v>51</v>
      </c>
      <c r="N15665" s="28" t="s">
        <v>51</v>
      </c>
    </row>
    <row r="15666" spans="1:14" ht="12.75" x14ac:dyDescent="0.2">
      <c r="A15666" s="23" t="str">
        <f>HYPERLINK("https://www.spark-marketing.ru/Card/Person/7291", "АДМИНИСТРАЦИЯ ЛЕНИНСКОГО РАЙОНА МОСКОВСКОЙ ОБЛАСТИ")</f>
        <v>АДМИНИСТРАЦИЯ ЛЕНИНСКОГО РАЙОНА МОСКОВСКОЙ ОБЛАСТИ</v>
      </c>
      <c r="B15666" s="24" t="s">
        <v>15282</v>
      </c>
      <c r="C15666" s="25">
        <v>150000</v>
      </c>
      <c r="D15666" s="22" t="s">
        <v>20635</v>
      </c>
      <c r="E15666" s="22" t="s">
        <v>48</v>
      </c>
      <c r="F15666" s="23" t="str">
        <f>HYPERLINK("https://www.spark-marketing.ru/Card/Lot/71609561", "Оказание услуг по организации питания участников мероприятия, посвященного Дню пожилого человека в сельском поселении Молоковское")</f>
        <v>Оказание услуг по организации питания участников мероприятия, посвященного Дню пожилого человека в сельском поселении Молоковское</v>
      </c>
      <c r="G15666" s="22" t="s">
        <v>49</v>
      </c>
      <c r="H15666" s="22" t="s">
        <v>654</v>
      </c>
      <c r="I15666" s="26">
        <v>43640.403472222199</v>
      </c>
      <c r="J15666" s="23" t="str">
        <f>HYPERLINK("https://www.spark-marketing.ru/Card/Person/5887989", "Логвинова Татьяна Сергеевна")</f>
        <v>Логвинова Татьяна Сергеевна</v>
      </c>
      <c r="K15666" s="24" t="s">
        <v>19545</v>
      </c>
      <c r="L15666" s="22" t="s">
        <v>10</v>
      </c>
      <c r="M15666" s="25">
        <v>149000</v>
      </c>
      <c r="N15666" s="27">
        <v>6.6666666666666671E-3</v>
      </c>
    </row>
    <row r="15667" spans="1:14" x14ac:dyDescent="0.15">
      <c r="A15667" s="23" t="s">
        <v>114</v>
      </c>
      <c r="B15667" s="28" t="s">
        <v>51</v>
      </c>
      <c r="C15667" s="25">
        <v>743064.46</v>
      </c>
      <c r="D15667" s="22" t="s">
        <v>20636</v>
      </c>
      <c r="E15667" s="22" t="s">
        <v>62</v>
      </c>
      <c r="F15667" s="23" t="str">
        <f>HYPERLINK("https://www.spark-marketing.ru/Card/Lot/71613136", "закупка бланочной продукции")</f>
        <v>закупка бланочной продукции</v>
      </c>
      <c r="G15667" s="22" t="s">
        <v>51</v>
      </c>
      <c r="H15667" s="22" t="s">
        <v>51</v>
      </c>
      <c r="I15667" s="26">
        <v>43640.400694444397</v>
      </c>
      <c r="J15667" s="28" t="s">
        <v>51</v>
      </c>
      <c r="K15667" s="28" t="s">
        <v>51</v>
      </c>
      <c r="L15667" s="28" t="s">
        <v>51</v>
      </c>
      <c r="M15667" s="28" t="s">
        <v>51</v>
      </c>
      <c r="N15667" s="28" t="s">
        <v>51</v>
      </c>
    </row>
    <row r="15668" spans="1:14" hidden="1" outlineLevel="1" x14ac:dyDescent="0.15">
      <c r="A15668" s="23" t="str">
        <f>HYPERLINK("https://www.spark-marketing.ru/Card/Person/114154", "ГБУЗ РЕСПУБЛИКИ МОРДОВИЯ ""АТЯШЕВСКАЯ РБ""")</f>
        <v>ГБУЗ РЕСПУБЛИКИ МОРДОВИЯ "АТЯШЕВСКАЯ РБ"</v>
      </c>
      <c r="B15668" s="24" t="s">
        <v>12759</v>
      </c>
      <c r="C15668" s="25">
        <v>375728.56</v>
      </c>
      <c r="D15668" s="22" t="s">
        <v>20636</v>
      </c>
      <c r="E15668" s="22" t="s">
        <v>62</v>
      </c>
      <c r="F15668" s="23" t="str">
        <f>HYPERLINK("https://www.spark-marketing.ru/Card/Lot/71613136", "закупка бланочной продукции")</f>
        <v>закупка бланочной продукции</v>
      </c>
      <c r="G15668" s="22" t="s">
        <v>277</v>
      </c>
      <c r="H15668" s="22" t="s">
        <v>12760</v>
      </c>
      <c r="I15668" s="26">
        <v>43640.400694444397</v>
      </c>
      <c r="J15668" s="28" t="s">
        <v>51</v>
      </c>
      <c r="K15668" s="28" t="s">
        <v>51</v>
      </c>
      <c r="L15668" s="28" t="s">
        <v>51</v>
      </c>
      <c r="M15668" s="28" t="s">
        <v>51</v>
      </c>
      <c r="N15668" s="28" t="s">
        <v>51</v>
      </c>
    </row>
    <row r="15669" spans="1:14" hidden="1" outlineLevel="1" x14ac:dyDescent="0.15">
      <c r="A15669" s="23" t="str">
        <f>HYPERLINK("https://www.spark-marketing.ru/Card/Person/314621", "ГБУЗ РЕСПУБЛИКИ МОРДОВИЯ ""АРДАТОВСКАЯ РБ""")</f>
        <v>ГБУЗ РЕСПУБЛИКИ МОРДОВИЯ "АРДАТОВСКАЯ РБ"</v>
      </c>
      <c r="B15669" s="24" t="s">
        <v>12761</v>
      </c>
      <c r="C15669" s="25">
        <v>367335.9</v>
      </c>
      <c r="D15669" s="22" t="s">
        <v>20636</v>
      </c>
      <c r="E15669" s="22" t="s">
        <v>62</v>
      </c>
      <c r="F15669" s="23" t="str">
        <f>HYPERLINK("https://www.spark-marketing.ru/Card/Lot/71613136", "закупка бланочной продукции")</f>
        <v>закупка бланочной продукции</v>
      </c>
      <c r="G15669" s="22" t="s">
        <v>277</v>
      </c>
      <c r="H15669" s="22" t="s">
        <v>9501</v>
      </c>
      <c r="I15669" s="26">
        <v>43640.400694444397</v>
      </c>
      <c r="J15669" s="28" t="s">
        <v>51</v>
      </c>
      <c r="K15669" s="28" t="s">
        <v>51</v>
      </c>
      <c r="L15669" s="28" t="s">
        <v>51</v>
      </c>
      <c r="M15669" s="28" t="s">
        <v>51</v>
      </c>
      <c r="N15669" s="28" t="s">
        <v>51</v>
      </c>
    </row>
    <row r="15670" spans="1:14" x14ac:dyDescent="0.15">
      <c r="A15670" s="23" t="str">
        <f>HYPERLINK("https://www.spark-marketing.ru/Card/Person/29704", "УПРАВЛЕНИЕ МВД РОССИИ ПО Г.САМАРЕ")</f>
        <v>УПРАВЛЕНИЕ МВД РОССИИ ПО Г.САМАРЕ</v>
      </c>
      <c r="B15670" s="24" t="s">
        <v>5685</v>
      </c>
      <c r="C15670" s="25">
        <v>503091.20000000001</v>
      </c>
      <c r="D15670" s="22" t="s">
        <v>20637</v>
      </c>
      <c r="E15670" s="22" t="s">
        <v>48</v>
      </c>
      <c r="F15670" s="23" t="str">
        <f>HYPERLINK("https://www.spark-marketing.ru/Card/Lot/71602891", "Оказание услуг по ежедневной организации трехразового питания для административно арестованных граждан,содержащихся в специальном приемнике,лиц содержащихся в ИВС,лиц задержанных в административном порядке сроком более 3-х часов в КАЗ")</f>
        <v>Оказание услуг по ежедневной организации трехразового питания для административно арестованных граждан,содержащихся в специальном приемнике,лиц содержащихся в ИВС,лиц задержанных в административном порядке сроком более 3-х часов в КАЗ</v>
      </c>
      <c r="G15670" s="22" t="s">
        <v>128</v>
      </c>
      <c r="H15670" s="22" t="s">
        <v>129</v>
      </c>
      <c r="I15670" s="26">
        <v>43640.375694444403</v>
      </c>
      <c r="J15670" s="28" t="s">
        <v>51</v>
      </c>
      <c r="K15670" s="28" t="s">
        <v>51</v>
      </c>
      <c r="L15670" s="28" t="s">
        <v>51</v>
      </c>
      <c r="M15670" s="28" t="s">
        <v>51</v>
      </c>
      <c r="N15670" s="28" t="s">
        <v>51</v>
      </c>
    </row>
    <row r="15671" spans="1:14" ht="12.75" hidden="1" outlineLevel="1" x14ac:dyDescent="0.2">
      <c r="A15671" s="23" t="str">
        <f>HYPERLINK("https://www.spark-marketing.ru/Card/Person/29704", "УПРАВЛЕНИЕ МВД РОССИИ ПО Г.САМАРЕ")</f>
        <v>УПРАВЛЕНИЕ МВД РОССИИ ПО Г.САМАРЕ</v>
      </c>
      <c r="B15671" s="24" t="s">
        <v>5685</v>
      </c>
      <c r="C15671" s="25">
        <v>503091.20000000001</v>
      </c>
      <c r="D15671" s="22" t="s">
        <v>20637</v>
      </c>
      <c r="E15671" s="22" t="s">
        <v>48</v>
      </c>
      <c r="F15671" s="23" t="str">
        <f>HYPERLINK("https://www.spark-marketing.ru/Card/Lot/71602891", "Оказание услуг по ежедневной организации трехразового питания для административно арестованных граждан,содержащихся в специальном приемнике,лиц содержащихся в ИВС,лиц задержанных в административном порядке сроком более 3-х часов в КАЗ")</f>
        <v>Оказание услуг по ежедневной организации трехразового питания для административно арестованных граждан,содержащихся в специальном приемнике,лиц содержащихся в ИВС,лиц задержанных в административном порядке сроком более 3-х часов в КАЗ</v>
      </c>
      <c r="G15671" s="22" t="s">
        <v>128</v>
      </c>
      <c r="H15671" s="22" t="s">
        <v>129</v>
      </c>
      <c r="I15671" s="26">
        <v>43640.375694444403</v>
      </c>
      <c r="J15671" s="23" t="str">
        <f>HYPERLINK("https://www.spark-marketing.ru/Card/Person/6085428", "ООО ""ДЕЛОВЫЕ УСЛУГИ""")</f>
        <v>ООО "ДЕЛОВЫЕ УСЛУГИ"</v>
      </c>
      <c r="K15671" s="24" t="s">
        <v>5687</v>
      </c>
      <c r="L15671" s="22" t="s">
        <v>10</v>
      </c>
      <c r="M15671" s="25">
        <v>344706.55</v>
      </c>
      <c r="N15671" s="27">
        <v>0.31482293866400368</v>
      </c>
    </row>
    <row r="15672" spans="1:14" hidden="1" outlineLevel="1" x14ac:dyDescent="0.2">
      <c r="A15672" s="23" t="str">
        <f>HYPERLINK("https://www.spark-marketing.ru/Card/Person/29704", "УПРАВЛЕНИЕ МВД РОССИИ ПО Г.САМАРЕ")</f>
        <v>УПРАВЛЕНИЕ МВД РОССИИ ПО Г.САМАРЕ</v>
      </c>
      <c r="B15672" s="24" t="s">
        <v>5685</v>
      </c>
      <c r="C15672" s="25">
        <v>503091.20000000001</v>
      </c>
      <c r="D15672" s="22" t="s">
        <v>20637</v>
      </c>
      <c r="E15672" s="22" t="s">
        <v>48</v>
      </c>
      <c r="F15672" s="23" t="str">
        <f>HYPERLINK("https://www.spark-marketing.ru/Card/Lot/71602891", "Оказание услуг по ежедневной организации трехразового питания для административно арестованных граждан,содержащихся в специальном приемнике,лиц содержащихся в ИВС,лиц задержанных в административном порядке сроком более 3-х часов в КАЗ")</f>
        <v>Оказание услуг по ежедневной организации трехразового питания для административно арестованных граждан,содержащихся в специальном приемнике,лиц содержащихся в ИВС,лиц задержанных в административном порядке сроком более 3-х часов в КАЗ</v>
      </c>
      <c r="G15672" s="22" t="s">
        <v>128</v>
      </c>
      <c r="H15672" s="22" t="s">
        <v>129</v>
      </c>
      <c r="I15672" s="26">
        <v>43640.375694444403</v>
      </c>
      <c r="J15672" s="23" t="str">
        <f>HYPERLINK("https://www.spark-marketing.ru/Card/Person/6437703", "ООО ""ФЛАГМАН""")</f>
        <v>ООО "ФЛАГМАН"</v>
      </c>
      <c r="K15672" s="24" t="s">
        <v>14165</v>
      </c>
      <c r="L15672" s="28" t="s">
        <v>51</v>
      </c>
      <c r="M15672" s="25">
        <v>347222.01</v>
      </c>
      <c r="N15672" s="27">
        <v>0.30982293071315897</v>
      </c>
    </row>
    <row r="15673" spans="1:14" x14ac:dyDescent="0.15">
      <c r="A15673" s="23" t="str">
        <f>HYPERLINK("https://www.spark-marketing.ru/Card/Person/6702", "ГАУЗ СО ""СООД""")</f>
        <v>ГАУЗ СО "СООД"</v>
      </c>
      <c r="B15673" s="24" t="s">
        <v>20638</v>
      </c>
      <c r="C15673" s="25">
        <v>999990</v>
      </c>
      <c r="D15673" s="22" t="s">
        <v>20639</v>
      </c>
      <c r="E15673" s="22" t="s">
        <v>48</v>
      </c>
      <c r="F15673" s="23" t="str">
        <f>HYPERLINK("https://www.spark-marketing.ru/Card/Lot/71597907", "Оказание услуг по организации питания пациентов")</f>
        <v>Оказание услуг по организации питания пациентов</v>
      </c>
      <c r="G15673" s="22" t="s">
        <v>174</v>
      </c>
      <c r="H15673" s="22" t="s">
        <v>530</v>
      </c>
      <c r="I15673" s="26">
        <v>43640.368055555598</v>
      </c>
      <c r="J15673" s="23" t="str">
        <f>HYPERLINK("https://www.spark-marketing.ru/Card/Person/4354018", "ООО «КОМБИНАТ ШКОЛЬНОГО ПИТАНИЯ №1»")</f>
        <v>ООО «КОМБИНАТ ШКОЛЬНОГО ПИТАНИЯ №1»</v>
      </c>
      <c r="K15673" s="24" t="s">
        <v>20640</v>
      </c>
      <c r="L15673" s="22" t="s">
        <v>10</v>
      </c>
      <c r="M15673" s="28" t="s">
        <v>51</v>
      </c>
      <c r="N15673" s="28" t="s">
        <v>51</v>
      </c>
    </row>
    <row r="15674" spans="1:14" x14ac:dyDescent="0.2">
      <c r="A15674" s="23" t="str">
        <f>HYPERLINK("https://www.spark-marketing.ru/Card/Person/109337", "ФГБУ ""АМП ЧЕРНОГО МОРЯ""")</f>
        <v>ФГБУ "АМП ЧЕРНОГО МОРЯ"</v>
      </c>
      <c r="B15674" s="24" t="s">
        <v>9543</v>
      </c>
      <c r="C15674" s="25">
        <v>160000</v>
      </c>
      <c r="D15674" s="22" t="s">
        <v>20641</v>
      </c>
      <c r="E15674" s="22" t="s">
        <v>2265</v>
      </c>
      <c r="F15674" s="23" t="str">
        <f>HYPERLINK("https://www.spark-marketing.ru/Card/Lot/71600308", "Оказаие услуг питания для участников заседания Совета руководителей уполномоченных органов в области транспорта")</f>
        <v>Оказаие услуг питания для участников заседания Совета руководителей уполномоченных органов в области транспорта</v>
      </c>
      <c r="G15674" s="22" t="s">
        <v>104</v>
      </c>
      <c r="H15674" s="22" t="s">
        <v>104</v>
      </c>
      <c r="I15674" s="26">
        <v>43640.365057870396</v>
      </c>
      <c r="J15674" s="28" t="s">
        <v>51</v>
      </c>
      <c r="K15674" s="28" t="s">
        <v>51</v>
      </c>
      <c r="L15674" s="22" t="s">
        <v>10</v>
      </c>
      <c r="M15674" s="25">
        <v>160000</v>
      </c>
      <c r="N15674" s="27">
        <v>0</v>
      </c>
    </row>
    <row r="15675" spans="1:14" x14ac:dyDescent="0.15">
      <c r="A15675" s="23" t="str">
        <f>HYPERLINK("https://www.spark-marketing.ru/Card/Person/136319", "МУ МВД РОССИИ ""БИЙСКОЕ""")</f>
        <v>МУ МВД РОССИИ "БИЙСКОЕ"</v>
      </c>
      <c r="B15675" s="24" t="s">
        <v>9435</v>
      </c>
      <c r="C15675" s="25">
        <v>199791</v>
      </c>
      <c r="D15675" s="22" t="s">
        <v>20642</v>
      </c>
      <c r="E15675" s="22" t="s">
        <v>48</v>
      </c>
      <c r="F15675" s="23" t="str">
        <f>HYPERLINK("https://www.spark-marketing.ru/Card/Lot/71595789", "Услуги по  обеспечению горячим питанием лиц, содержащихся в Изоляторе временного содержания МУ МВД России «Бийское» и лиц, в отношении которых в соответствии с КоАП РФ применено административное задержание на срок более трех часов и содержащихся в сп...")</f>
        <v>Услуги по  обеспечению горячим питанием лиц, содержащихся в Изоляторе временного содержания МУ МВД России «Бийское» и лиц, в отношении которых в соответствии с КоАП РФ применено административное задержание на срок более трех часов и содержащихся в сп...</v>
      </c>
      <c r="G15675" s="22" t="s">
        <v>63</v>
      </c>
      <c r="H15675" s="22" t="s">
        <v>1294</v>
      </c>
      <c r="I15675" s="26">
        <v>43640.345833333296</v>
      </c>
      <c r="J15675" s="23" t="str">
        <f>HYPERLINK("https://www.spark-marketing.ru/Card/Person/896596", "Александрова Людмила Арташесовна")</f>
        <v>Александрова Людмила Арташесовна</v>
      </c>
      <c r="K15675" s="24" t="s">
        <v>9437</v>
      </c>
      <c r="L15675" s="22" t="s">
        <v>10</v>
      </c>
      <c r="M15675" s="28" t="s">
        <v>51</v>
      </c>
      <c r="N15675" s="28" t="s">
        <v>51</v>
      </c>
    </row>
    <row r="15676" spans="1:14" x14ac:dyDescent="0.15">
      <c r="A15676" s="23" t="str">
        <f>HYPERLINK("https://www.spark-marketing.ru/Card/Person/1028036", "ГБПОУ РЖТ")</f>
        <v>ГБПОУ РЖТ</v>
      </c>
      <c r="B15676" s="24" t="s">
        <v>20643</v>
      </c>
      <c r="C15676" s="25">
        <v>2184384</v>
      </c>
      <c r="D15676" s="22" t="s">
        <v>20644</v>
      </c>
      <c r="E15676" s="22" t="s">
        <v>48</v>
      </c>
      <c r="F15676" s="23" t="str">
        <f>HYPERLINK("https://www.spark-marketing.ru/Card/Lot/71603131", "Услуги по организации питания студентов")</f>
        <v>Услуги по организации питания студентов</v>
      </c>
      <c r="G15676" s="22" t="s">
        <v>475</v>
      </c>
      <c r="H15676" s="22" t="s">
        <v>476</v>
      </c>
      <c r="I15676" s="26">
        <v>43640.371527777803</v>
      </c>
      <c r="J15676" s="28" t="s">
        <v>51</v>
      </c>
      <c r="K15676" s="28" t="s">
        <v>51</v>
      </c>
      <c r="L15676" s="28" t="s">
        <v>51</v>
      </c>
      <c r="M15676" s="28" t="s">
        <v>51</v>
      </c>
      <c r="N15676" s="28" t="s">
        <v>51</v>
      </c>
    </row>
    <row r="15677" spans="1:14" hidden="1" outlineLevel="1" x14ac:dyDescent="0.2">
      <c r="A15677" s="23" t="str">
        <f>HYPERLINK("https://www.spark-marketing.ru/Card/Person/1028036", "ГБПОУ РЖТ")</f>
        <v>ГБПОУ РЖТ</v>
      </c>
      <c r="B15677" s="24" t="s">
        <v>20643</v>
      </c>
      <c r="C15677" s="25">
        <v>2184384</v>
      </c>
      <c r="D15677" s="22" t="s">
        <v>20644</v>
      </c>
      <c r="E15677" s="22" t="s">
        <v>48</v>
      </c>
      <c r="F15677" s="23" t="str">
        <f>HYPERLINK("https://www.spark-marketing.ru/Card/Lot/71603131", "Услуги по организации питания студентов")</f>
        <v>Услуги по организации питания студентов</v>
      </c>
      <c r="G15677" s="22" t="s">
        <v>475</v>
      </c>
      <c r="H15677" s="22" t="s">
        <v>476</v>
      </c>
      <c r="I15677" s="26">
        <v>43640.371527777803</v>
      </c>
      <c r="J15677" s="23" t="str">
        <f>HYPERLINK("https://www.spark-marketing.ru/Card/Person/1257360", "ООО ""ГОСТИНЫЙ ДОМ БРЯНСК""")</f>
        <v>ООО "ГОСТИНЫЙ ДОМ БРЯНСК"</v>
      </c>
      <c r="K15677" s="24" t="s">
        <v>15316</v>
      </c>
      <c r="L15677" s="28" t="s">
        <v>51</v>
      </c>
      <c r="M15677" s="25">
        <v>1332474.24</v>
      </c>
      <c r="N15677" s="27">
        <v>0.39</v>
      </c>
    </row>
    <row r="15678" spans="1:14" ht="12.75" hidden="1" outlineLevel="1" x14ac:dyDescent="0.2">
      <c r="A15678" s="23" t="str">
        <f>HYPERLINK("https://www.spark-marketing.ru/Card/Person/1028036", "ГБПОУ РЖТ")</f>
        <v>ГБПОУ РЖТ</v>
      </c>
      <c r="B15678" s="24" t="s">
        <v>20643</v>
      </c>
      <c r="C15678" s="25">
        <v>2184384</v>
      </c>
      <c r="D15678" s="22" t="s">
        <v>20644</v>
      </c>
      <c r="E15678" s="22" t="s">
        <v>48</v>
      </c>
      <c r="F15678" s="23" t="str">
        <f>HYPERLINK("https://www.spark-marketing.ru/Card/Lot/71603131", "Услуги по организации питания студентов")</f>
        <v>Услуги по организации питания студентов</v>
      </c>
      <c r="G15678" s="22" t="s">
        <v>475</v>
      </c>
      <c r="H15678" s="22" t="s">
        <v>476</v>
      </c>
      <c r="I15678" s="26">
        <v>43640.371527777803</v>
      </c>
      <c r="J15678" s="23" t="str">
        <f>HYPERLINK("https://www.spark-marketing.ru/Card/Person/4395395", "АО ""ФАРМАЦИЯ""")</f>
        <v>АО "ФАРМАЦИЯ"</v>
      </c>
      <c r="K15678" s="24" t="s">
        <v>13461</v>
      </c>
      <c r="L15678" s="22" t="s">
        <v>10</v>
      </c>
      <c r="M15678" s="25">
        <v>1223255.04</v>
      </c>
      <c r="N15678" s="27">
        <v>0.44</v>
      </c>
    </row>
    <row r="15679" spans="1:14" x14ac:dyDescent="0.15">
      <c r="A15679" s="23" t="str">
        <f>HYPERLINK("https://www.spark-marketing.ru/Card/Person/1078864", "МБОУ ""ШКОЛА № 5")</f>
        <v>МБОУ "ШКОЛА № 5</v>
      </c>
      <c r="B15679" s="24" t="s">
        <v>20645</v>
      </c>
      <c r="C15679" s="25">
        <v>1672315</v>
      </c>
      <c r="D15679" s="22" t="s">
        <v>20646</v>
      </c>
      <c r="E15679" s="22" t="s">
        <v>48</v>
      </c>
      <c r="F15679" s="23" t="str">
        <f>HYPERLINK("https://www.spark-marketing.ru/Card/Lot/71597959", "оказание услуг по организации горячего питания учащихся во время образовательного процесса в 2019 году")</f>
        <v>оказание услуг по организации горячего питания учащихся во время образовательного процесса в 2019 году</v>
      </c>
      <c r="G15679" s="22" t="s">
        <v>174</v>
      </c>
      <c r="H15679" s="22" t="s">
        <v>20647</v>
      </c>
      <c r="I15679" s="26">
        <v>43640.322916666701</v>
      </c>
      <c r="J15679" s="23" t="str">
        <f>HYPERLINK("https://www.spark-marketing.ru/Card/Person/4420779", "МУП ""КШСП"" МО ГОРОД ИРБИТ")</f>
        <v>МУП "КШСП" МО ГОРОД ИРБИТ</v>
      </c>
      <c r="K15679" s="24" t="s">
        <v>20648</v>
      </c>
      <c r="L15679" s="22" t="s">
        <v>10</v>
      </c>
      <c r="M15679" s="28" t="s">
        <v>51</v>
      </c>
      <c r="N15679" s="28" t="s">
        <v>51</v>
      </c>
    </row>
    <row r="15680" spans="1:14" x14ac:dyDescent="0.15">
      <c r="A15680" s="23" t="str">
        <f>HYPERLINK("https://www.spark-marketing.ru/Card/Person/4365627", "ООО ""РН-БУРЕНИЕ""")</f>
        <v>ООО "РН-БУРЕНИЕ"</v>
      </c>
      <c r="B15680" s="24" t="s">
        <v>7087</v>
      </c>
      <c r="C15680" s="25">
        <v>9945600</v>
      </c>
      <c r="D15680" s="22" t="s">
        <v>20649</v>
      </c>
      <c r="E15680" s="22" t="s">
        <v>2473</v>
      </c>
      <c r="F15680" s="23" t="str">
        <f>HYPERLINK("https://www.spark-marketing.ru/Card/Lot/71596492", "Услуги по доставке продуктов питания автомобильным транспортом до объектов работ Иркутского филиала на ЮТМ для Иркутского филиала ООО ""РН-Бурение""")</f>
        <v>Услуги по доставке продуктов питания автомобильным транспортом до объектов работ Иркутского филиала на ЮТМ для Иркутского филиала ООО "РН-Бурение"</v>
      </c>
      <c r="G15680" s="22" t="s">
        <v>56</v>
      </c>
      <c r="H15680" s="22" t="s">
        <v>56</v>
      </c>
      <c r="I15680" s="26">
        <v>43640.233333333301</v>
      </c>
      <c r="J15680" s="28" t="s">
        <v>51</v>
      </c>
      <c r="K15680" s="28" t="s">
        <v>51</v>
      </c>
      <c r="L15680" s="28" t="s">
        <v>51</v>
      </c>
      <c r="M15680" s="28" t="s">
        <v>51</v>
      </c>
      <c r="N15680" s="28" t="s">
        <v>51</v>
      </c>
    </row>
    <row r="15681" spans="1:14" x14ac:dyDescent="0.15">
      <c r="A15681" s="23" t="str">
        <f>HYPERLINK("https://www.spark-marketing.ru/Card/Person/6450322", "ЗАКАЗЧИК РП БЕЛАРУСЬ")</f>
        <v>ЗАКАЗЧИК РП БЕЛАРУСЬ</v>
      </c>
      <c r="B15681" s="28" t="s">
        <v>51</v>
      </c>
      <c r="C15681" s="25">
        <v>475111.66499999998</v>
      </c>
      <c r="D15681" s="22" t="s">
        <v>20650</v>
      </c>
      <c r="E15681" s="22" t="s">
        <v>52</v>
      </c>
      <c r="F15681" s="23" t="str">
        <f>HYPERLINK("https://www.spark-marketing.ru/Card/Lot/71603990", "услуги по обеспечению питанием лиц, содержащихся под стражей в ИВС Слуцкого РОВД")</f>
        <v>услуги по обеспечению питанием лиц, содержащихся под стражей в ИВС Слуцкого РОВД</v>
      </c>
      <c r="G15681" s="22" t="s">
        <v>51</v>
      </c>
      <c r="H15681" s="22" t="s">
        <v>51</v>
      </c>
      <c r="I15681" s="26">
        <v>43640</v>
      </c>
      <c r="J15681" s="28" t="s">
        <v>51</v>
      </c>
      <c r="K15681" s="28" t="s">
        <v>51</v>
      </c>
      <c r="L15681" s="28" t="s">
        <v>51</v>
      </c>
      <c r="M15681" s="28" t="s">
        <v>51</v>
      </c>
      <c r="N15681" s="28" t="s">
        <v>51</v>
      </c>
    </row>
    <row r="15682" spans="1:14" x14ac:dyDescent="0.15">
      <c r="A15682" s="23" t="str">
        <f>HYPERLINK("https://www.spark-marketing.ru/Card/Person/6450322", "ЗАКАЗЧИК РП БЕЛАРУСЬ")</f>
        <v>ЗАКАЗЧИК РП БЕЛАРУСЬ</v>
      </c>
      <c r="B15682" s="28" t="s">
        <v>51</v>
      </c>
      <c r="C15682" s="25">
        <v>278567.09999999998</v>
      </c>
      <c r="D15682" s="22" t="s">
        <v>20650</v>
      </c>
      <c r="E15682" s="22" t="s">
        <v>52</v>
      </c>
      <c r="F15682" s="23" t="str">
        <f>HYPERLINK("https://www.spark-marketing.ru/Card/Lot/71603991", "услуги по обеспечению питанием лиц, содержащихся под стражей в ИВС Узденского РОВД")</f>
        <v>услуги по обеспечению питанием лиц, содержащихся под стражей в ИВС Узденского РОВД</v>
      </c>
      <c r="G15682" s="22" t="s">
        <v>51</v>
      </c>
      <c r="H15682" s="22" t="s">
        <v>51</v>
      </c>
      <c r="I15682" s="26">
        <v>43640</v>
      </c>
      <c r="J15682" s="28" t="s">
        <v>51</v>
      </c>
      <c r="K15682" s="28" t="s">
        <v>51</v>
      </c>
      <c r="L15682" s="28" t="s">
        <v>51</v>
      </c>
      <c r="M15682" s="28" t="s">
        <v>51</v>
      </c>
      <c r="N15682" s="28" t="s">
        <v>51</v>
      </c>
    </row>
    <row r="15683" spans="1:14" x14ac:dyDescent="0.15">
      <c r="A15683" s="23" t="str">
        <f>HYPERLINK("https://www.spark-marketing.ru/Card/Person/6450322", "ЗАКАЗЧИК РП БЕЛАРУСЬ")</f>
        <v>ЗАКАЗЧИК РП БЕЛАРУСЬ</v>
      </c>
      <c r="B15683" s="28" t="s">
        <v>51</v>
      </c>
      <c r="C15683" s="28" t="s">
        <v>51</v>
      </c>
      <c r="D15683" s="22" t="s">
        <v>20651</v>
      </c>
      <c r="E15683" s="22" t="s">
        <v>52</v>
      </c>
      <c r="F15683" s="23" t="str">
        <f>HYPERLINK("https://www.spark-marketing.ru/Card/Lot/71616790", "Услуга по ремонту промышленного источника бесперебойного питания Riello MDT 8000 с заменой комплектующих")</f>
        <v>Услуга по ремонту промышленного источника бесперебойного питания Riello MDT 8000 с заменой комплектующих</v>
      </c>
      <c r="G15683" s="22" t="s">
        <v>51</v>
      </c>
      <c r="H15683" s="22" t="s">
        <v>51</v>
      </c>
      <c r="I15683" s="26">
        <v>43640</v>
      </c>
      <c r="J15683" s="28" t="s">
        <v>51</v>
      </c>
      <c r="K15683" s="28" t="s">
        <v>51</v>
      </c>
      <c r="L15683" s="28" t="s">
        <v>51</v>
      </c>
      <c r="M15683" s="28" t="s">
        <v>51</v>
      </c>
      <c r="N15683" s="28" t="s">
        <v>51</v>
      </c>
    </row>
    <row r="15684" spans="1:14" x14ac:dyDescent="0.15">
      <c r="A15684" s="23" t="str">
        <f>HYPERLINK("https://www.spark-marketing.ru/Card/Person/6450322", "ЗАКАЗЧИК РП БЕЛАРУСЬ")</f>
        <v>ЗАКАЗЧИК РП БЕЛАРУСЬ</v>
      </c>
      <c r="B15684" s="28" t="s">
        <v>51</v>
      </c>
      <c r="C15684" s="28" t="s">
        <v>51</v>
      </c>
      <c r="D15684" s="22" t="s">
        <v>20652</v>
      </c>
      <c r="E15684" s="22" t="s">
        <v>52</v>
      </c>
      <c r="F15684" s="23" t="str">
        <f>HYPERLINK("https://www.spark-marketing.ru/Card/Lot/71619431", "услуги по аренде помещения в течение 3-х дней (20 человек ориентировочно), площадью не менее 30 кв.м с возможностью размещения 20 человек, наличие столов, стульев, экрана, мультимедийной установки, ноутбука, звукоусиливающего оборудования, флипчарта,...")</f>
        <v>услуги по аренде помещения в течение 3-х дней (20 человек ориентировочно), площадью не менее 30 кв.м с возможностью размещения 20 человек, наличие столов, стульев, экрана, мультимедийной установки, ноутбука, звукоусиливающего оборудования, флипчарта,...</v>
      </c>
      <c r="G15684" s="22" t="s">
        <v>51</v>
      </c>
      <c r="H15684" s="22" t="s">
        <v>51</v>
      </c>
      <c r="I15684" s="26">
        <v>43640</v>
      </c>
      <c r="J15684" s="28" t="s">
        <v>51</v>
      </c>
      <c r="K15684" s="28" t="s">
        <v>51</v>
      </c>
      <c r="L15684" s="28" t="s">
        <v>51</v>
      </c>
      <c r="M15684" s="28" t="s">
        <v>51</v>
      </c>
      <c r="N15684" s="28" t="s">
        <v>51</v>
      </c>
    </row>
    <row r="15685" spans="1:14" x14ac:dyDescent="0.15">
      <c r="A15685" s="23" t="str">
        <f>HYPERLINK("https://www.spark-marketing.ru/Card/Person/257920", "МБДОУ ""Д/С № 5 ""КОЛОКОЛЬЧИК""")</f>
        <v>МБДОУ "Д/С № 5 "КОЛОКОЛЬЧИК"</v>
      </c>
      <c r="B15685" s="24" t="s">
        <v>14133</v>
      </c>
      <c r="C15685" s="25">
        <v>29876.99</v>
      </c>
      <c r="D15685" s="22" t="s">
        <v>20653</v>
      </c>
      <c r="E15685" s="22" t="s">
        <v>52</v>
      </c>
      <c r="F15685" s="23" t="str">
        <f>HYPERLINK("https://www.spark-marketing.ru/Card/Lot/73759581", "Услуги по организации питания")</f>
        <v>Услуги по организации питания</v>
      </c>
      <c r="G15685" s="22" t="s">
        <v>217</v>
      </c>
      <c r="H15685" s="22" t="s">
        <v>9289</v>
      </c>
      <c r="I15685" s="26">
        <v>43640.409722222197</v>
      </c>
      <c r="J15685" s="28" t="s">
        <v>51</v>
      </c>
      <c r="K15685" s="28" t="s">
        <v>51</v>
      </c>
      <c r="L15685" s="28" t="s">
        <v>51</v>
      </c>
      <c r="M15685" s="28" t="s">
        <v>51</v>
      </c>
      <c r="N15685" s="28" t="s">
        <v>51</v>
      </c>
    </row>
    <row r="15686" spans="1:14" x14ac:dyDescent="0.2">
      <c r="A15686" s="23" t="str">
        <f>HYPERLINK("https://www.spark-marketing.ru/Card/Person/236431", "МАОУ ЛИЦЕЙ №1 Г. ЮЖНО-САХАЛИНСКА")</f>
        <v>МАОУ ЛИЦЕЙ №1 Г. ЮЖНО-САХАЛИНСКА</v>
      </c>
      <c r="B15686" s="24" t="s">
        <v>20654</v>
      </c>
      <c r="C15686" s="25">
        <v>379181.82</v>
      </c>
      <c r="D15686" s="22" t="s">
        <v>20655</v>
      </c>
      <c r="E15686" s="22" t="s">
        <v>580</v>
      </c>
      <c r="F15686" s="23" t="str">
        <f>HYPERLINK("https://www.spark-marketing.ru/Card/Lot/71593468", "Оказание услуг по организации питания обучающихся из малоимущих семей, обучающихся из семей, находящихся в социально опасном положении, обучающихся из семей коренных малочисленных народов Севера Сахалинской области, и обучающихся, имеющих единственно...")</f>
        <v>Оказание услуг по организации питания обучающихся из малоимущих семей, обучающихся из семей, находящихся в социально опасном положении, обучающихся из семей коренных малочисленных народов Севера Сахалинской области, и обучающихся, имеющих единственно...</v>
      </c>
      <c r="G15686" s="22" t="s">
        <v>260</v>
      </c>
      <c r="H15686" s="22" t="s">
        <v>260</v>
      </c>
      <c r="I15686" s="26">
        <v>43639.950972222199</v>
      </c>
      <c r="J15686" s="28" t="s">
        <v>51</v>
      </c>
      <c r="K15686" s="28" t="s">
        <v>51</v>
      </c>
      <c r="L15686" s="28" t="s">
        <v>51</v>
      </c>
      <c r="M15686" s="25">
        <v>379181.82</v>
      </c>
      <c r="N15686" s="27">
        <v>0</v>
      </c>
    </row>
    <row r="15687" spans="1:14" x14ac:dyDescent="0.2">
      <c r="A15687" s="23" t="str">
        <f>HYPERLINK("https://www.spark-marketing.ru/Card/Person/64896", "ФИЦ КНЦ РАН")</f>
        <v>ФИЦ КНЦ РАН</v>
      </c>
      <c r="B15687" s="24" t="s">
        <v>19873</v>
      </c>
      <c r="C15687" s="25">
        <v>300000</v>
      </c>
      <c r="D15687" s="22" t="s">
        <v>20656</v>
      </c>
      <c r="E15687" s="22" t="s">
        <v>562</v>
      </c>
      <c r="F15687" s="23" t="str">
        <f>HYPERLINK("https://www.spark-marketing.ru/Card/Lot/71593635", "Оказание услуг по общественному питанию для нужд ИППЭС КНЦ РАН")</f>
        <v>Оказание услуг по общественному питанию для нужд ИППЭС КНЦ РАН</v>
      </c>
      <c r="G15687" s="22" t="s">
        <v>340</v>
      </c>
      <c r="H15687" s="22" t="s">
        <v>340</v>
      </c>
      <c r="I15687" s="26">
        <v>43639.6573263889</v>
      </c>
      <c r="J15687" s="23" t="str">
        <f>HYPERLINK("https://www.spark-marketing.ru/Card/Person/1396811", "ООО ""ЯНТАРЬ""")</f>
        <v>ООО "ЯНТАРЬ"</v>
      </c>
      <c r="K15687" s="24" t="s">
        <v>20657</v>
      </c>
      <c r="L15687" s="28" t="s">
        <v>51</v>
      </c>
      <c r="M15687" s="25">
        <v>300000</v>
      </c>
      <c r="N15687" s="27">
        <v>0</v>
      </c>
    </row>
    <row r="15688" spans="1:14" x14ac:dyDescent="0.2">
      <c r="A15688" s="23" t="str">
        <f>HYPERLINK("https://www.spark-marketing.ru/Card/Person/4348376", "АО ""ЖТК""")</f>
        <v>АО "ЖТК"</v>
      </c>
      <c r="B15688" s="24" t="s">
        <v>2312</v>
      </c>
      <c r="C15688" s="25">
        <v>2986911</v>
      </c>
      <c r="D15688" s="22" t="s">
        <v>20658</v>
      </c>
      <c r="E15688" s="22" t="s">
        <v>2314</v>
      </c>
      <c r="F15688" s="23" t="str">
        <f>HYPERLINK("https://www.spark-marketing.ru/Card/Lot/71593631", "Поставка бакалейной продукции для предприятий общественного питания Читинского ТПО, оказывающих услуги питания работникам ОАО ""РЖД"" (Столовая ДОЛБ ст. Чита-2)")</f>
        <v>Поставка бакалейной продукции для предприятий общественного питания Читинского ТПО, оказывающих услуги питания работникам ОАО "РЖД" (Столовая ДОЛБ ст. Чита-2)</v>
      </c>
      <c r="G15688" s="22" t="s">
        <v>228</v>
      </c>
      <c r="H15688" s="22" t="s">
        <v>228</v>
      </c>
      <c r="I15688" s="26">
        <v>43639.642349537004</v>
      </c>
      <c r="J15688" s="23" t="str">
        <f>HYPERLINK("https://www.spark-marketing.ru/Card/Person/979989", "Скажепова Татьяна Николаевна")</f>
        <v>Скажепова Татьяна Николаевна</v>
      </c>
      <c r="K15688" s="24" t="s">
        <v>20659</v>
      </c>
      <c r="L15688" s="28" t="s">
        <v>51</v>
      </c>
      <c r="M15688" s="25">
        <v>2986911</v>
      </c>
      <c r="N15688" s="27">
        <v>0</v>
      </c>
    </row>
    <row r="15689" spans="1:14" x14ac:dyDescent="0.15">
      <c r="A15689" s="23" t="str">
        <f>HYPERLINK("https://www.spark-marketing.ru/Card/Person/1310783", "МОАУ ""СОШ № 32""")</f>
        <v>МОАУ "СОШ № 32"</v>
      </c>
      <c r="B15689" s="24" t="s">
        <v>20660</v>
      </c>
      <c r="C15689" s="25">
        <v>179281.2</v>
      </c>
      <c r="D15689" s="22" t="s">
        <v>20661</v>
      </c>
      <c r="E15689" s="22" t="s">
        <v>1412</v>
      </c>
      <c r="F15689" s="23" t="str">
        <f>HYPERLINK("https://www.spark-marketing.ru/Card/Lot/71592898", "Оказание услуг по организации питания детей в лагере дневного пребывания на базе организации МОАУ СОШ №32")</f>
        <v>Оказание услуг по организации питания детей в лагере дневного пребывания на базе организации МОАУ СОШ №32</v>
      </c>
      <c r="G15689" s="22" t="s">
        <v>132</v>
      </c>
      <c r="H15689" s="22" t="s">
        <v>132</v>
      </c>
      <c r="I15689" s="26">
        <v>43639.6245023148</v>
      </c>
      <c r="J15689" s="28" t="s">
        <v>51</v>
      </c>
      <c r="K15689" s="28" t="s">
        <v>51</v>
      </c>
      <c r="L15689" s="28" t="s">
        <v>51</v>
      </c>
      <c r="M15689" s="28" t="s">
        <v>51</v>
      </c>
      <c r="N15689" s="28" t="s">
        <v>51</v>
      </c>
    </row>
    <row r="15690" spans="1:14" x14ac:dyDescent="0.15">
      <c r="A15690" s="23" t="str">
        <f>HYPERLINK("https://www.spark-marketing.ru/Card/Person/1071838", "МОАУ ""СОШ № 64""")</f>
        <v>МОАУ "СОШ № 64"</v>
      </c>
      <c r="B15690" s="24" t="s">
        <v>20235</v>
      </c>
      <c r="C15690" s="25">
        <v>205502.6</v>
      </c>
      <c r="D15690" s="22" t="s">
        <v>20662</v>
      </c>
      <c r="E15690" s="22" t="s">
        <v>1412</v>
      </c>
      <c r="F15690" s="23" t="str">
        <f>HYPERLINK("https://www.spark-marketing.ru/Card/Lot/71592785", "Оказание услуг по организации питания детей в лагере дневного пребывания на базе организации МОАУ СОШ №64")</f>
        <v>Оказание услуг по организации питания детей в лагере дневного пребывания на базе организации МОАУ СОШ №64</v>
      </c>
      <c r="G15690" s="22" t="s">
        <v>132</v>
      </c>
      <c r="H15690" s="22" t="s">
        <v>132</v>
      </c>
      <c r="I15690" s="26">
        <v>43639.601215277798</v>
      </c>
      <c r="J15690" s="28" t="s">
        <v>51</v>
      </c>
      <c r="K15690" s="28" t="s">
        <v>51</v>
      </c>
      <c r="L15690" s="28" t="s">
        <v>51</v>
      </c>
      <c r="M15690" s="28" t="s">
        <v>51</v>
      </c>
      <c r="N15690" s="28" t="s">
        <v>51</v>
      </c>
    </row>
    <row r="15691" spans="1:14" x14ac:dyDescent="0.15">
      <c r="A15691" s="23" t="str">
        <f>HYPERLINK("https://www.spark-marketing.ru/Card/Person/2500978", "МОАУ ""ГИМНАЗИЯ № 6""")</f>
        <v>МОАУ "ГИМНАЗИЯ № 6"</v>
      </c>
      <c r="B15691" s="24" t="s">
        <v>20663</v>
      </c>
      <c r="C15691" s="25">
        <v>102446.39999999999</v>
      </c>
      <c r="D15691" s="22" t="s">
        <v>20664</v>
      </c>
      <c r="E15691" s="22" t="s">
        <v>1412</v>
      </c>
      <c r="F15691" s="23" t="str">
        <f>HYPERLINK("https://www.spark-marketing.ru/Card/Lot/71592636", "Оказание услуг по организации питания детей в лагере дневного пребывания на базе организации МОАУ Гимназия №6")</f>
        <v>Оказание услуг по организации питания детей в лагере дневного пребывания на базе организации МОАУ Гимназия №6</v>
      </c>
      <c r="G15691" s="22" t="s">
        <v>132</v>
      </c>
      <c r="H15691" s="22" t="s">
        <v>132</v>
      </c>
      <c r="I15691" s="26">
        <v>43639.526030092602</v>
      </c>
      <c r="J15691" s="28" t="s">
        <v>51</v>
      </c>
      <c r="K15691" s="28" t="s">
        <v>51</v>
      </c>
      <c r="L15691" s="28" t="s">
        <v>51</v>
      </c>
      <c r="M15691" s="28" t="s">
        <v>51</v>
      </c>
      <c r="N15691" s="28" t="s">
        <v>51</v>
      </c>
    </row>
    <row r="15692" spans="1:14" x14ac:dyDescent="0.15">
      <c r="A15692" s="23" t="str">
        <f>HYPERLINK("https://www.spark-marketing.ru/Card/Person/1313005", "МОАУ ""СОШ № 16""")</f>
        <v>МОАУ "СОШ № 16"</v>
      </c>
      <c r="B15692" s="24" t="s">
        <v>20665</v>
      </c>
      <c r="C15692" s="25">
        <v>166475.4</v>
      </c>
      <c r="D15692" s="22" t="s">
        <v>20666</v>
      </c>
      <c r="E15692" s="22" t="s">
        <v>1412</v>
      </c>
      <c r="F15692" s="23" t="str">
        <f>HYPERLINK("https://www.spark-marketing.ru/Card/Lot/71592555", "Оказание услуг по организации питания детей в лагере дневного пребывания на базе организации МОАУ СОШ №16")</f>
        <v>Оказание услуг по организации питания детей в лагере дневного пребывания на базе организации МОАУ СОШ №16</v>
      </c>
      <c r="G15692" s="22" t="s">
        <v>132</v>
      </c>
      <c r="H15692" s="22" t="s">
        <v>132</v>
      </c>
      <c r="I15692" s="26">
        <v>43639.472777777803</v>
      </c>
      <c r="J15692" s="28" t="s">
        <v>51</v>
      </c>
      <c r="K15692" s="28" t="s">
        <v>51</v>
      </c>
      <c r="L15692" s="28" t="s">
        <v>51</v>
      </c>
      <c r="M15692" s="28" t="s">
        <v>51</v>
      </c>
      <c r="N15692" s="28" t="s">
        <v>51</v>
      </c>
    </row>
    <row r="15693" spans="1:14" x14ac:dyDescent="0.15">
      <c r="A15693" s="23" t="str">
        <f>HYPERLINK("https://www.spark-marketing.ru/Card/Person/1659453", "ГАУК Г. МОСКВЫ ПКИО ""КРАСНАЯ ПРЕСНЯ""")</f>
        <v>ГАУК Г. МОСКВЫ ПКИО "КРАСНАЯ ПРЕСНЯ"</v>
      </c>
      <c r="B15693" s="24" t="s">
        <v>2678</v>
      </c>
      <c r="C15693" s="25">
        <v>138600</v>
      </c>
      <c r="D15693" s="22" t="s">
        <v>20667</v>
      </c>
      <c r="E15693" s="22" t="s">
        <v>52</v>
      </c>
      <c r="F15693" s="23" t="str">
        <f>HYPERLINK("https://www.spark-marketing.ru/Card/Lot/71591465", "Право заключения договора на осуществление торговой деятельности (оказание услуг) в нестационарном торговом объекте: «Киоск» по адресу: г. Москва, ул. Мантулинская, владение 5 (основная территория ГАУК г. Москвы ПКиО «Красная Пресня») (НТО 7), специа...")</f>
        <v>Право заключения договора на осуществление торговой деятельности (оказание услуг) в нестационарном торговом объекте: «Киоск» по адресу: г. Москва, ул. Мантулинская, владение 5 (основная территория ГАУК г. Москвы ПКиО «Красная Пресня») (НТО 7), специа...</v>
      </c>
      <c r="G15693" s="22" t="s">
        <v>56</v>
      </c>
      <c r="H15693" s="22" t="s">
        <v>56</v>
      </c>
      <c r="I15693" s="26">
        <v>43638</v>
      </c>
      <c r="J15693" s="28" t="s">
        <v>51</v>
      </c>
      <c r="K15693" s="28" t="s">
        <v>51</v>
      </c>
      <c r="L15693" s="28" t="s">
        <v>51</v>
      </c>
      <c r="M15693" s="28" t="s">
        <v>51</v>
      </c>
      <c r="N15693" s="28" t="s">
        <v>51</v>
      </c>
    </row>
    <row r="15694" spans="1:14" x14ac:dyDescent="0.2">
      <c r="A15694" s="23" t="str">
        <f>HYPERLINK("https://www.spark-marketing.ru/Card/Person/6248498", "МАУ ""СШ ""ЛИДЕР""")</f>
        <v>МАУ "СШ "ЛИДЕР"</v>
      </c>
      <c r="B15694" s="24" t="s">
        <v>19291</v>
      </c>
      <c r="C15694" s="25">
        <v>115000</v>
      </c>
      <c r="D15694" s="22" t="s">
        <v>20668</v>
      </c>
      <c r="E15694" s="22" t="s">
        <v>580</v>
      </c>
      <c r="F15694" s="23" t="str">
        <f>HYPERLINK("https://www.spark-marketing.ru/Card/Lot/71581800", "Оказание услуг по организации питания занимающихся в спортивной школе ""Лидер""")</f>
        <v>Оказание услуг по организации питания занимающихся в спортивной школе "Лидер"</v>
      </c>
      <c r="G15694" s="22" t="s">
        <v>174</v>
      </c>
      <c r="H15694" s="22" t="s">
        <v>174</v>
      </c>
      <c r="I15694" s="26">
        <v>43637.860196759299</v>
      </c>
      <c r="J15694" s="28" t="s">
        <v>51</v>
      </c>
      <c r="K15694" s="28" t="s">
        <v>51</v>
      </c>
      <c r="L15694" s="28" t="s">
        <v>51</v>
      </c>
      <c r="M15694" s="25">
        <v>122100</v>
      </c>
      <c r="N15694" s="27">
        <v>-6.1739130434782609E-2</v>
      </c>
    </row>
    <row r="15695" spans="1:14" x14ac:dyDescent="0.15">
      <c r="A15695" s="23" t="str">
        <f>HYPERLINK("https://www.spark-marketing.ru/Card/Person/4451138", "МАУ СШ""ФЕНИКС""")</f>
        <v>МАУ СШ"ФЕНИКС"</v>
      </c>
      <c r="B15695" s="24" t="s">
        <v>20669</v>
      </c>
      <c r="C15695" s="25">
        <v>388260</v>
      </c>
      <c r="D15695" s="22" t="s">
        <v>20670</v>
      </c>
      <c r="E15695" s="22" t="s">
        <v>362</v>
      </c>
      <c r="F15695" s="23" t="str">
        <f>HYPERLINK("https://www.spark-marketing.ru/Card/Lot/71568984", "Право на оказание услуги по организации питания детей в городском оздоровительном лагере с дневным пребыванием при МАУ ""Сш ""Феникс""")</f>
        <v>Право на оказание услуги по организации питания детей в городском оздоровительном лагере с дневным пребыванием при МАУ "Сш "Феникс"</v>
      </c>
      <c r="G15695" s="22" t="s">
        <v>1096</v>
      </c>
      <c r="H15695" s="22" t="s">
        <v>1096</v>
      </c>
      <c r="I15695" s="26">
        <v>43637.855416666702</v>
      </c>
      <c r="J15695" s="28" t="s">
        <v>51</v>
      </c>
      <c r="K15695" s="28" t="s">
        <v>51</v>
      </c>
      <c r="L15695" s="28" t="s">
        <v>51</v>
      </c>
      <c r="M15695" s="28" t="s">
        <v>51</v>
      </c>
      <c r="N15695" s="28" t="s">
        <v>51</v>
      </c>
    </row>
    <row r="15696" spans="1:14" x14ac:dyDescent="0.2">
      <c r="A15696" s="23" t="s">
        <v>114</v>
      </c>
      <c r="B15696" s="28" t="s">
        <v>51</v>
      </c>
      <c r="C15696" s="25">
        <v>267508070</v>
      </c>
      <c r="D15696" s="22" t="s">
        <v>20671</v>
      </c>
      <c r="E15696" s="22" t="s">
        <v>362</v>
      </c>
      <c r="F15696" s="23" t="str">
        <f t="shared" ref="F15696:F15704" si="535">HYPERLINK("https://www.spark-marketing.ru/Card/Lot/71578334", "Оказание услуги по обеспечению питанием обучающихся")</f>
        <v>Оказание услуги по обеспечению питанием обучающихся</v>
      </c>
      <c r="G15696" s="22" t="s">
        <v>51</v>
      </c>
      <c r="H15696" s="22" t="s">
        <v>51</v>
      </c>
      <c r="I15696" s="26">
        <v>43637.793530092596</v>
      </c>
      <c r="J15696" s="28" t="s">
        <v>51</v>
      </c>
      <c r="K15696" s="28" t="s">
        <v>51</v>
      </c>
      <c r="L15696" s="28" t="s">
        <v>51</v>
      </c>
      <c r="M15696" s="25">
        <v>261627850</v>
      </c>
      <c r="N15696" s="27">
        <v>2.1981467699273522E-2</v>
      </c>
    </row>
    <row r="15697" spans="1:14" hidden="1" outlineLevel="1" x14ac:dyDescent="0.2">
      <c r="A15697" s="23" t="str">
        <f>HYPERLINK("https://www.spark-marketing.ru/Card/Person/1763807", "МАОУ СОШ №32 ГОРОДА ТЮМЕНИ")</f>
        <v>МАОУ СОШ №32 ГОРОДА ТЮМЕНИ</v>
      </c>
      <c r="B15697" s="24" t="s">
        <v>20672</v>
      </c>
      <c r="C15697" s="25">
        <v>12542330</v>
      </c>
      <c r="D15697" s="22" t="s">
        <v>20671</v>
      </c>
      <c r="E15697" s="22" t="s">
        <v>362</v>
      </c>
      <c r="F15697" s="23" t="str">
        <f t="shared" si="535"/>
        <v>Оказание услуги по обеспечению питанием обучающихся</v>
      </c>
      <c r="G15697" s="22" t="s">
        <v>766</v>
      </c>
      <c r="H15697" s="22" t="s">
        <v>1028</v>
      </c>
      <c r="I15697" s="26">
        <v>43637.793530092596</v>
      </c>
      <c r="J15697" s="28" t="s">
        <v>51</v>
      </c>
      <c r="K15697" s="28" t="s">
        <v>51</v>
      </c>
      <c r="L15697" s="28" t="s">
        <v>51</v>
      </c>
      <c r="M15697" s="28" t="s">
        <v>51</v>
      </c>
      <c r="N15697" s="27">
        <v>2.1981467699273522E-2</v>
      </c>
    </row>
    <row r="15698" spans="1:14" hidden="1" outlineLevel="1" x14ac:dyDescent="0.2">
      <c r="A15698" s="23" t="str">
        <f>HYPERLINK("https://www.spark-marketing.ru/Card/Person/2206063", "МАОУ СОШ №51 ГОРОДА ТЮМЕНИ")</f>
        <v>МАОУ СОШ №51 ГОРОДА ТЮМЕНИ</v>
      </c>
      <c r="B15698" s="24" t="s">
        <v>20673</v>
      </c>
      <c r="C15698" s="25">
        <v>10054660</v>
      </c>
      <c r="D15698" s="22" t="s">
        <v>20671</v>
      </c>
      <c r="E15698" s="22" t="s">
        <v>362</v>
      </c>
      <c r="F15698" s="23" t="str">
        <f t="shared" si="535"/>
        <v>Оказание услуги по обеспечению питанием обучающихся</v>
      </c>
      <c r="G15698" s="22" t="s">
        <v>766</v>
      </c>
      <c r="H15698" s="22" t="s">
        <v>1028</v>
      </c>
      <c r="I15698" s="26">
        <v>43637.793530092596</v>
      </c>
      <c r="J15698" s="28" t="s">
        <v>51</v>
      </c>
      <c r="K15698" s="28" t="s">
        <v>51</v>
      </c>
      <c r="L15698" s="28" t="s">
        <v>51</v>
      </c>
      <c r="M15698" s="28" t="s">
        <v>51</v>
      </c>
      <c r="N15698" s="27">
        <v>2.1981467699273522E-2</v>
      </c>
    </row>
    <row r="15699" spans="1:14" hidden="1" outlineLevel="1" x14ac:dyDescent="0.2">
      <c r="A15699" s="23" t="str">
        <f>HYPERLINK("https://www.spark-marketing.ru/Card/Person/4367754", "МАОУ ГИМНАЗИЯ № 49 ГОРОДА ТЮМЕНИ")</f>
        <v>МАОУ ГИМНАЗИЯ № 49 ГОРОДА ТЮМЕНИ</v>
      </c>
      <c r="B15699" s="24" t="s">
        <v>20674</v>
      </c>
      <c r="C15699" s="25">
        <v>61667700</v>
      </c>
      <c r="D15699" s="22" t="s">
        <v>20671</v>
      </c>
      <c r="E15699" s="22" t="s">
        <v>362</v>
      </c>
      <c r="F15699" s="23" t="str">
        <f t="shared" si="535"/>
        <v>Оказание услуги по обеспечению питанием обучающихся</v>
      </c>
      <c r="G15699" s="22" t="s">
        <v>766</v>
      </c>
      <c r="H15699" s="22" t="s">
        <v>1028</v>
      </c>
      <c r="I15699" s="26">
        <v>43637.793530092596</v>
      </c>
      <c r="J15699" s="28" t="s">
        <v>51</v>
      </c>
      <c r="K15699" s="28" t="s">
        <v>51</v>
      </c>
      <c r="L15699" s="28" t="s">
        <v>51</v>
      </c>
      <c r="M15699" s="28" t="s">
        <v>51</v>
      </c>
      <c r="N15699" s="27">
        <v>2.1981467699273522E-2</v>
      </c>
    </row>
    <row r="15700" spans="1:14" hidden="1" outlineLevel="1" x14ac:dyDescent="0.2">
      <c r="A15700" s="23" t="str">
        <f>HYPERLINK("https://www.spark-marketing.ru/Card/Person/4390206", "МАОУ СОШ №15 ГОРОДА ТЮМЕНИ")</f>
        <v>МАОУ СОШ №15 ГОРОДА ТЮМЕНИ</v>
      </c>
      <c r="B15700" s="24" t="s">
        <v>20675</v>
      </c>
      <c r="C15700" s="25">
        <v>53052800</v>
      </c>
      <c r="D15700" s="22" t="s">
        <v>20671</v>
      </c>
      <c r="E15700" s="22" t="s">
        <v>362</v>
      </c>
      <c r="F15700" s="23" t="str">
        <f t="shared" si="535"/>
        <v>Оказание услуги по обеспечению питанием обучающихся</v>
      </c>
      <c r="G15700" s="22" t="s">
        <v>766</v>
      </c>
      <c r="H15700" s="22" t="s">
        <v>1028</v>
      </c>
      <c r="I15700" s="26">
        <v>43637.793530092596</v>
      </c>
      <c r="J15700" s="28" t="s">
        <v>51</v>
      </c>
      <c r="K15700" s="28" t="s">
        <v>51</v>
      </c>
      <c r="L15700" s="28" t="s">
        <v>51</v>
      </c>
      <c r="M15700" s="28" t="s">
        <v>51</v>
      </c>
      <c r="N15700" s="27">
        <v>2.1981467699273522E-2</v>
      </c>
    </row>
    <row r="15701" spans="1:14" hidden="1" outlineLevel="1" x14ac:dyDescent="0.2">
      <c r="A15701" s="23" t="str">
        <f>HYPERLINK("https://www.spark-marketing.ru/Card/Person/4434617", "МАОУ ЛИЦЕЙ №34 ГОРОДА ТЮМЕНИ")</f>
        <v>МАОУ ЛИЦЕЙ №34 ГОРОДА ТЮМЕНИ</v>
      </c>
      <c r="B15701" s="24" t="s">
        <v>20676</v>
      </c>
      <c r="C15701" s="25">
        <v>44115080</v>
      </c>
      <c r="D15701" s="22" t="s">
        <v>20671</v>
      </c>
      <c r="E15701" s="22" t="s">
        <v>362</v>
      </c>
      <c r="F15701" s="23" t="str">
        <f t="shared" si="535"/>
        <v>Оказание услуги по обеспечению питанием обучающихся</v>
      </c>
      <c r="G15701" s="22" t="s">
        <v>766</v>
      </c>
      <c r="H15701" s="22" t="s">
        <v>1028</v>
      </c>
      <c r="I15701" s="26">
        <v>43637.793530092596</v>
      </c>
      <c r="J15701" s="28" t="s">
        <v>51</v>
      </c>
      <c r="K15701" s="28" t="s">
        <v>51</v>
      </c>
      <c r="L15701" s="28" t="s">
        <v>51</v>
      </c>
      <c r="M15701" s="28" t="s">
        <v>51</v>
      </c>
      <c r="N15701" s="27">
        <v>2.1981467699273522E-2</v>
      </c>
    </row>
    <row r="15702" spans="1:14" hidden="1" outlineLevel="1" x14ac:dyDescent="0.2">
      <c r="A15702" s="23" t="str">
        <f>HYPERLINK("https://www.spark-marketing.ru/Card/Person/4434650", "МАОУ ГИМНАЗИЯ № 21 ГОРОДА ТЮМЕНИ")</f>
        <v>МАОУ ГИМНАЗИЯ № 21 ГОРОДА ТЮМЕНИ</v>
      </c>
      <c r="B15702" s="24" t="s">
        <v>20677</v>
      </c>
      <c r="C15702" s="25">
        <v>14652300</v>
      </c>
      <c r="D15702" s="22" t="s">
        <v>20671</v>
      </c>
      <c r="E15702" s="22" t="s">
        <v>362</v>
      </c>
      <c r="F15702" s="23" t="str">
        <f t="shared" si="535"/>
        <v>Оказание услуги по обеспечению питанием обучающихся</v>
      </c>
      <c r="G15702" s="22" t="s">
        <v>766</v>
      </c>
      <c r="H15702" s="22" t="s">
        <v>1028</v>
      </c>
      <c r="I15702" s="26">
        <v>43637.793530092596</v>
      </c>
      <c r="J15702" s="28" t="s">
        <v>51</v>
      </c>
      <c r="K15702" s="28" t="s">
        <v>51</v>
      </c>
      <c r="L15702" s="28" t="s">
        <v>51</v>
      </c>
      <c r="M15702" s="28" t="s">
        <v>51</v>
      </c>
      <c r="N15702" s="27">
        <v>2.1981467699273522E-2</v>
      </c>
    </row>
    <row r="15703" spans="1:14" hidden="1" outlineLevel="1" x14ac:dyDescent="0.2">
      <c r="A15703" s="23" t="str">
        <f>HYPERLINK("https://www.spark-marketing.ru/Card/Person/4434658", "МАОУ СОШ № 43 ГОРОДА ТЮМЕНИ")</f>
        <v>МАОУ СОШ № 43 ГОРОДА ТЮМЕНИ</v>
      </c>
      <c r="B15703" s="24" t="s">
        <v>20678</v>
      </c>
      <c r="C15703" s="25">
        <v>35624050</v>
      </c>
      <c r="D15703" s="22" t="s">
        <v>20671</v>
      </c>
      <c r="E15703" s="22" t="s">
        <v>362</v>
      </c>
      <c r="F15703" s="23" t="str">
        <f t="shared" si="535"/>
        <v>Оказание услуги по обеспечению питанием обучающихся</v>
      </c>
      <c r="G15703" s="22" t="s">
        <v>766</v>
      </c>
      <c r="H15703" s="22" t="s">
        <v>1028</v>
      </c>
      <c r="I15703" s="26">
        <v>43637.793530092596</v>
      </c>
      <c r="J15703" s="28" t="s">
        <v>51</v>
      </c>
      <c r="K15703" s="28" t="s">
        <v>51</v>
      </c>
      <c r="L15703" s="28" t="s">
        <v>51</v>
      </c>
      <c r="M15703" s="28" t="s">
        <v>51</v>
      </c>
      <c r="N15703" s="27">
        <v>2.1981467699273522E-2</v>
      </c>
    </row>
    <row r="15704" spans="1:14" hidden="1" outlineLevel="1" x14ac:dyDescent="0.2">
      <c r="A15704" s="23" t="str">
        <f>HYPERLINK("https://www.spark-marketing.ru/Card/Person/4434724", "МАОУ СОШ №42 ГОРОДА ТЮМЕНИ")</f>
        <v>МАОУ СОШ №42 ГОРОДА ТЮМЕНИ</v>
      </c>
      <c r="B15704" s="24" t="s">
        <v>20679</v>
      </c>
      <c r="C15704" s="25">
        <v>35799150</v>
      </c>
      <c r="D15704" s="22" t="s">
        <v>20671</v>
      </c>
      <c r="E15704" s="22" t="s">
        <v>362</v>
      </c>
      <c r="F15704" s="23" t="str">
        <f t="shared" si="535"/>
        <v>Оказание услуги по обеспечению питанием обучающихся</v>
      </c>
      <c r="G15704" s="22" t="s">
        <v>766</v>
      </c>
      <c r="H15704" s="22" t="s">
        <v>1028</v>
      </c>
      <c r="I15704" s="26">
        <v>43637.793530092596</v>
      </c>
      <c r="J15704" s="28" t="s">
        <v>51</v>
      </c>
      <c r="K15704" s="28" t="s">
        <v>51</v>
      </c>
      <c r="L15704" s="28" t="s">
        <v>51</v>
      </c>
      <c r="M15704" s="28" t="s">
        <v>51</v>
      </c>
      <c r="N15704" s="27">
        <v>2.1981467699273522E-2</v>
      </c>
    </row>
    <row r="15705" spans="1:14" x14ac:dyDescent="0.15">
      <c r="A15705" s="23" t="str">
        <f>HYPERLINK("https://www.spark-marketing.ru/Card/Person/17929", "УВД ПО ЗЕЛЕНОГРАДСКОМУ АО ГУ МВД РОССИИ ПО Г. МОСКВЕ")</f>
        <v>УВД ПО ЗЕЛЕНОГРАДСКОМУ АО ГУ МВД РОССИИ ПО Г. МОСКВЕ</v>
      </c>
      <c r="B15705" s="24" t="s">
        <v>7762</v>
      </c>
      <c r="C15705" s="25">
        <v>383180</v>
      </c>
      <c r="D15705" s="22" t="s">
        <v>20680</v>
      </c>
      <c r="E15705" s="22" t="s">
        <v>48</v>
      </c>
      <c r="F15705" s="23" t="str">
        <f>HYPERLINK("https://www.spark-marketing.ru/Card/Lot/71583478", "Услуги по организации горячего питания для подозреваемых и обвиняемых, содержащихся в изоляторе временного содержания подозреваемых и обвиняемых УВД")</f>
        <v>Услуги по организации горячего питания для подозреваемых и обвиняемых, содержащихся в изоляторе временного содержания подозреваемых и обвиняемых УВД</v>
      </c>
      <c r="G15705" s="22" t="s">
        <v>56</v>
      </c>
      <c r="H15705" s="22" t="s">
        <v>56</v>
      </c>
      <c r="I15705" s="26">
        <v>43637.715972222199</v>
      </c>
      <c r="J15705" s="23" t="str">
        <f>HYPERLINK("https://www.spark-marketing.ru/Card/Person/6623964", "Даскал Александр Степанович")</f>
        <v>Даскал Александр Степанович</v>
      </c>
      <c r="K15705" s="24" t="s">
        <v>15049</v>
      </c>
      <c r="L15705" s="22" t="s">
        <v>10</v>
      </c>
      <c r="M15705" s="28" t="s">
        <v>51</v>
      </c>
      <c r="N15705" s="28" t="s">
        <v>51</v>
      </c>
    </row>
    <row r="15706" spans="1:14" x14ac:dyDescent="0.2">
      <c r="A15706" s="23" t="str">
        <f>HYPERLINK("https://www.spark-marketing.ru/Card/Person/44377", "НАЦИОНАЛЬНЫЙ ИССЛЕДОВАТЕЛЬСКИЙ УНИВЕРСИТЕТ ""ВЫСШАЯ ШКОЛА ЭКОНОМИКИ"";ВЫСШАЯ ШКОЛА ЭКОНОМИКИ;НИУ ВШЭ;ВШЭ")</f>
        <v>НАЦИОНАЛЬНЫЙ ИССЛЕДОВАТЕЛЬСКИЙ УНИВЕРСИТЕТ "ВЫСШАЯ ШКОЛА ЭКОНОМИКИ";ВЫСШАЯ ШКОЛА ЭКОНОМИКИ;НИУ ВШЭ;ВШЭ</v>
      </c>
      <c r="B15706" s="24" t="s">
        <v>1925</v>
      </c>
      <c r="C15706" s="25">
        <v>2252200</v>
      </c>
      <c r="D15706" s="22" t="s">
        <v>20681</v>
      </c>
      <c r="E15706" s="22" t="s">
        <v>4023</v>
      </c>
      <c r="F15706" s="23" t="str">
        <f>HYPERLINK("https://www.spark-marketing.ru/Card/Lot/71579307", "Оказание услуг по организации питания и обслуживанию")</f>
        <v>Оказание услуг по организации питания и обслуживанию</v>
      </c>
      <c r="G15706" s="22" t="s">
        <v>56</v>
      </c>
      <c r="H15706" s="22" t="s">
        <v>56</v>
      </c>
      <c r="I15706" s="26">
        <v>43637.735219907401</v>
      </c>
      <c r="J15706" s="28" t="s">
        <v>51</v>
      </c>
      <c r="K15706" s="28" t="s">
        <v>51</v>
      </c>
      <c r="L15706" s="28" t="s">
        <v>51</v>
      </c>
      <c r="M15706" s="25">
        <v>2252200</v>
      </c>
      <c r="N15706" s="27">
        <v>0</v>
      </c>
    </row>
    <row r="15707" spans="1:14" x14ac:dyDescent="0.15">
      <c r="A15707" s="23" t="str">
        <f>HYPERLINK("https://www.spark-marketing.ru/Card/Person/648554", "ОТДЕЛ МВД РОССИИ ПО ХАЙБУЛЛИНСКОМУ РАЙОНУ")</f>
        <v>ОТДЕЛ МВД РОССИИ ПО ХАЙБУЛЛИНСКОМУ РАЙОНУ</v>
      </c>
      <c r="B15707" s="24" t="s">
        <v>20682</v>
      </c>
      <c r="C15707" s="25">
        <v>199000</v>
      </c>
      <c r="D15707" s="22" t="s">
        <v>20683</v>
      </c>
      <c r="E15707" s="22" t="s">
        <v>48</v>
      </c>
      <c r="F15707" s="23" t="str">
        <f>HYPERLINK("https://www.spark-marketing.ru/Card/Lot/71582104", "Организация горячим питанием лиц, содержащихся в ИВС и СПСЗЛ")</f>
        <v>Организация горячим питанием лиц, содержащихся в ИВС и СПСЗЛ</v>
      </c>
      <c r="G15707" s="22" t="s">
        <v>145</v>
      </c>
      <c r="H15707" s="22" t="s">
        <v>20684</v>
      </c>
      <c r="I15707" s="26">
        <v>43637.708333333299</v>
      </c>
      <c r="J15707" s="23" t="str">
        <f>HYPERLINK("https://www.spark-marketing.ru/Card/Person/6624418", "Ахметов Рамазан Айратович")</f>
        <v>Ахметов Рамазан Айратович</v>
      </c>
      <c r="K15707" s="24" t="s">
        <v>20685</v>
      </c>
      <c r="L15707" s="22" t="s">
        <v>10</v>
      </c>
      <c r="M15707" s="28" t="s">
        <v>51</v>
      </c>
      <c r="N15707" s="28" t="s">
        <v>51</v>
      </c>
    </row>
    <row r="15708" spans="1:14" x14ac:dyDescent="0.15">
      <c r="A15708" s="23" t="str">
        <f t="shared" ref="A15708:A15714" si="536">HYPERLINK("https://www.spark-marketing.ru/Card/Person/13314", "КГБУЗ ""АБАНСКАЯ РБ""")</f>
        <v>КГБУЗ "АБАНСКАЯ РБ"</v>
      </c>
      <c r="B15708" s="24" t="s">
        <v>20686</v>
      </c>
      <c r="C15708" s="25">
        <v>553437.81999999995</v>
      </c>
      <c r="D15708" s="22" t="s">
        <v>20687</v>
      </c>
      <c r="E15708" s="22" t="s">
        <v>1807</v>
      </c>
      <c r="F15708" s="23" t="str">
        <f t="shared" ref="F15708:F15714" si="537">HYPERLINK("https://www.spark-marketing.ru/Card/Lot/71584298", "№ ЭА 43767/19 Изготовление бланочной продукции для нужд КГБУЗ ""Абанская РБ""")</f>
        <v>№ ЭА 43767/19 Изготовление бланочной продукции для нужд КГБУЗ "Абанская РБ"</v>
      </c>
      <c r="G15708" s="22" t="s">
        <v>281</v>
      </c>
      <c r="H15708" s="22" t="s">
        <v>13243</v>
      </c>
      <c r="I15708" s="26">
        <v>43637.734027777798</v>
      </c>
      <c r="J15708" s="28" t="s">
        <v>51</v>
      </c>
      <c r="K15708" s="28" t="s">
        <v>51</v>
      </c>
      <c r="L15708" s="28" t="s">
        <v>51</v>
      </c>
      <c r="M15708" s="28" t="s">
        <v>51</v>
      </c>
      <c r="N15708" s="28" t="s">
        <v>51</v>
      </c>
    </row>
    <row r="15709" spans="1:14" ht="12.75" hidden="1" outlineLevel="1" x14ac:dyDescent="0.2">
      <c r="A15709" s="23" t="str">
        <f t="shared" si="536"/>
        <v>КГБУЗ "АБАНСКАЯ РБ"</v>
      </c>
      <c r="B15709" s="24" t="s">
        <v>20686</v>
      </c>
      <c r="C15709" s="25">
        <v>553437.81999999995</v>
      </c>
      <c r="D15709" s="22" t="s">
        <v>20687</v>
      </c>
      <c r="E15709" s="22" t="s">
        <v>1807</v>
      </c>
      <c r="F15709" s="23" t="str">
        <f t="shared" si="537"/>
        <v>№ ЭА 43767/19 Изготовление бланочной продукции для нужд КГБУЗ "Абанская РБ"</v>
      </c>
      <c r="G15709" s="22" t="s">
        <v>281</v>
      </c>
      <c r="H15709" s="22" t="s">
        <v>13243</v>
      </c>
      <c r="I15709" s="26">
        <v>43637.734027777798</v>
      </c>
      <c r="J15709" s="23" t="str">
        <f>HYPERLINK("https://www.spark-marketing.ru/Card/Person/169511", "ООО ""ИЗДАТЕЛЬСТВО ""ГРОТЕСК""")</f>
        <v>ООО "ИЗДАТЕЛЬСТВО "ГРОТЕСК"</v>
      </c>
      <c r="K15709" s="24" t="s">
        <v>3050</v>
      </c>
      <c r="L15709" s="22" t="s">
        <v>10</v>
      </c>
      <c r="M15709" s="25">
        <v>159402.31</v>
      </c>
      <c r="N15709" s="27">
        <v>0.7119779237349555</v>
      </c>
    </row>
    <row r="15710" spans="1:14" hidden="1" outlineLevel="1" x14ac:dyDescent="0.2">
      <c r="A15710" s="23" t="str">
        <f t="shared" si="536"/>
        <v>КГБУЗ "АБАНСКАЯ РБ"</v>
      </c>
      <c r="B15710" s="24" t="s">
        <v>20686</v>
      </c>
      <c r="C15710" s="25">
        <v>553437.81999999995</v>
      </c>
      <c r="D15710" s="22" t="s">
        <v>20687</v>
      </c>
      <c r="E15710" s="22" t="s">
        <v>1807</v>
      </c>
      <c r="F15710" s="23" t="str">
        <f t="shared" si="537"/>
        <v>№ ЭА 43767/19 Изготовление бланочной продукции для нужд КГБУЗ "Абанская РБ"</v>
      </c>
      <c r="G15710" s="22" t="s">
        <v>281</v>
      </c>
      <c r="H15710" s="22" t="s">
        <v>13243</v>
      </c>
      <c r="I15710" s="26">
        <v>43637.734027777798</v>
      </c>
      <c r="J15710" s="23" t="str">
        <f>HYPERLINK("https://www.spark-marketing.ru/Card/Person/170728", "ООО ""ПОЛИС""")</f>
        <v>ООО "ПОЛИС"</v>
      </c>
      <c r="K15710" s="24" t="s">
        <v>3051</v>
      </c>
      <c r="L15710" s="28" t="s">
        <v>51</v>
      </c>
      <c r="M15710" s="25">
        <v>250000</v>
      </c>
      <c r="N15710" s="27">
        <v>0.54827807033498366</v>
      </c>
    </row>
    <row r="15711" spans="1:14" hidden="1" outlineLevel="1" x14ac:dyDescent="0.2">
      <c r="A15711" s="23" t="str">
        <f t="shared" si="536"/>
        <v>КГБУЗ "АБАНСКАЯ РБ"</v>
      </c>
      <c r="B15711" s="24" t="s">
        <v>20686</v>
      </c>
      <c r="C15711" s="25">
        <v>553437.81999999995</v>
      </c>
      <c r="D15711" s="22" t="s">
        <v>20687</v>
      </c>
      <c r="E15711" s="22" t="s">
        <v>1807</v>
      </c>
      <c r="F15711" s="23" t="str">
        <f t="shared" si="537"/>
        <v>№ ЭА 43767/19 Изготовление бланочной продукции для нужд КГБУЗ "Абанская РБ"</v>
      </c>
      <c r="G15711" s="22" t="s">
        <v>281</v>
      </c>
      <c r="H15711" s="22" t="s">
        <v>13243</v>
      </c>
      <c r="I15711" s="26">
        <v>43637.734027777798</v>
      </c>
      <c r="J15711" s="23" t="str">
        <f>HYPERLINK("https://www.spark-marketing.ru/Card/Person/6626088", "Шмелева Лилия Анатольевна")</f>
        <v>Шмелева Лилия Анатольевна</v>
      </c>
      <c r="K15711" s="24" t="s">
        <v>5169</v>
      </c>
      <c r="L15711" s="28" t="s">
        <v>51</v>
      </c>
      <c r="M15711" s="25">
        <v>176005.45</v>
      </c>
      <c r="N15711" s="27">
        <v>0.68197791397776175</v>
      </c>
    </row>
    <row r="15712" spans="1:14" hidden="1" outlineLevel="1" x14ac:dyDescent="0.2">
      <c r="A15712" s="23" t="str">
        <f t="shared" si="536"/>
        <v>КГБУЗ "АБАНСКАЯ РБ"</v>
      </c>
      <c r="B15712" s="24" t="s">
        <v>20686</v>
      </c>
      <c r="C15712" s="25">
        <v>553437.81999999995</v>
      </c>
      <c r="D15712" s="22" t="s">
        <v>20687</v>
      </c>
      <c r="E15712" s="22" t="s">
        <v>1807</v>
      </c>
      <c r="F15712" s="23" t="str">
        <f t="shared" si="537"/>
        <v>№ ЭА 43767/19 Изготовление бланочной продукции для нужд КГБУЗ "Абанская РБ"</v>
      </c>
      <c r="G15712" s="22" t="s">
        <v>281</v>
      </c>
      <c r="H15712" s="22" t="s">
        <v>13243</v>
      </c>
      <c r="I15712" s="26">
        <v>43637.734027777798</v>
      </c>
      <c r="J15712" s="23" t="str">
        <f>HYPERLINK("https://www.spark-marketing.ru/Card/Person/18182", "ЗАО ""КОМПАНИЯ ГРАФ""")</f>
        <v>ЗАО "КОМПАНИЯ ГРАФ"</v>
      </c>
      <c r="K15712" s="24" t="s">
        <v>19618</v>
      </c>
      <c r="L15712" s="28" t="s">
        <v>51</v>
      </c>
      <c r="M15712" s="25">
        <v>162169.5</v>
      </c>
      <c r="N15712" s="27">
        <v>0.70697792210875654</v>
      </c>
    </row>
    <row r="15713" spans="1:14" hidden="1" outlineLevel="1" x14ac:dyDescent="0.2">
      <c r="A15713" s="23" t="str">
        <f t="shared" si="536"/>
        <v>КГБУЗ "АБАНСКАЯ РБ"</v>
      </c>
      <c r="B15713" s="24" t="s">
        <v>20686</v>
      </c>
      <c r="C15713" s="25">
        <v>553437.81999999995</v>
      </c>
      <c r="D15713" s="22" t="s">
        <v>20687</v>
      </c>
      <c r="E15713" s="22" t="s">
        <v>1807</v>
      </c>
      <c r="F15713" s="23" t="str">
        <f t="shared" si="537"/>
        <v>№ ЭА 43767/19 Изготовление бланочной продукции для нужд КГБУЗ "Абанская РБ"</v>
      </c>
      <c r="G15713" s="22" t="s">
        <v>281</v>
      </c>
      <c r="H15713" s="22" t="s">
        <v>13243</v>
      </c>
      <c r="I15713" s="26">
        <v>43637.734027777798</v>
      </c>
      <c r="J15713" s="23" t="str">
        <f>HYPERLINK("https://www.spark-marketing.ru/Card/Person/6473112", "ООО ""ТИПОГРАФИЯ КАСС""")</f>
        <v>ООО "ТИПОГРАФИЯ КАСС"</v>
      </c>
      <c r="K15713" s="24" t="s">
        <v>20688</v>
      </c>
      <c r="L15713" s="28" t="s">
        <v>51</v>
      </c>
      <c r="M15713" s="25">
        <v>452724.4</v>
      </c>
      <c r="N15713" s="27">
        <v>0.18197784170225301</v>
      </c>
    </row>
    <row r="15714" spans="1:14" hidden="1" outlineLevel="1" x14ac:dyDescent="0.2">
      <c r="A15714" s="23" t="str">
        <f t="shared" si="536"/>
        <v>КГБУЗ "АБАНСКАЯ РБ"</v>
      </c>
      <c r="B15714" s="24" t="s">
        <v>20686</v>
      </c>
      <c r="C15714" s="25">
        <v>553437.81999999995</v>
      </c>
      <c r="D15714" s="22" t="s">
        <v>20687</v>
      </c>
      <c r="E15714" s="22" t="s">
        <v>1807</v>
      </c>
      <c r="F15714" s="23" t="str">
        <f t="shared" si="537"/>
        <v>№ ЭА 43767/19 Изготовление бланочной продукции для нужд КГБУЗ "Абанская РБ"</v>
      </c>
      <c r="G15714" s="22" t="s">
        <v>281</v>
      </c>
      <c r="H15714" s="22" t="s">
        <v>13243</v>
      </c>
      <c r="I15714" s="26">
        <v>43637.734027777798</v>
      </c>
      <c r="J15714" s="23" t="str">
        <f>HYPERLINK("https://www.spark-marketing.ru/Card/Person/183355", "ЗАО "" ЛУНА-РЕКА """)</f>
        <v>ЗАО " ЛУНА-РЕКА "</v>
      </c>
      <c r="K15714" s="24" t="s">
        <v>20689</v>
      </c>
      <c r="L15714" s="28" t="s">
        <v>51</v>
      </c>
      <c r="M15714" s="25">
        <v>209211.73</v>
      </c>
      <c r="N15714" s="27">
        <v>0.62197789446337437</v>
      </c>
    </row>
    <row r="15715" spans="1:14" x14ac:dyDescent="0.15">
      <c r="A15715" s="23" t="str">
        <f>HYPERLINK("https://www.spark-marketing.ru/Card/Person/571422", "ООО ""СМОЛЕНСКАЯ АЭС-СЕРВИС""")</f>
        <v>ООО "СМОЛЕНСКАЯ АЭС-СЕРВИС"</v>
      </c>
      <c r="B15715" s="24" t="s">
        <v>1747</v>
      </c>
      <c r="C15715" s="25">
        <v>0</v>
      </c>
      <c r="D15715" s="22" t="s">
        <v>20690</v>
      </c>
      <c r="E15715" s="22" t="s">
        <v>52</v>
      </c>
      <c r="F15715" s="23" t="str">
        <f>HYPERLINK("https://www.spark-marketing.ru/Card/Lot/71591695", "мониторинг цен в электронной форме на Оказание услуг по аренде нежилых помещений для организации питания")</f>
        <v>мониторинг цен в электронной форме на Оказание услуг по аренде нежилых помещений для организации питания</v>
      </c>
      <c r="G15715" s="22" t="s">
        <v>460</v>
      </c>
      <c r="H15715" s="22" t="s">
        <v>1749</v>
      </c>
      <c r="I15715" s="26">
        <v>43637.6781597222</v>
      </c>
      <c r="J15715" s="28" t="s">
        <v>51</v>
      </c>
      <c r="K15715" s="28" t="s">
        <v>51</v>
      </c>
      <c r="L15715" s="28" t="s">
        <v>51</v>
      </c>
      <c r="M15715" s="28" t="s">
        <v>51</v>
      </c>
      <c r="N15715" s="28" t="s">
        <v>51</v>
      </c>
    </row>
    <row r="15716" spans="1:14" x14ac:dyDescent="0.15">
      <c r="A15716" s="23" t="str">
        <f>HYPERLINK("https://www.spark-marketing.ru/Card/Person/571422", "ООО ""СМОЛЕНСКАЯ АЭС-СЕРВИС""")</f>
        <v>ООО "СМОЛЕНСКАЯ АЭС-СЕРВИС"</v>
      </c>
      <c r="B15716" s="24" t="s">
        <v>1747</v>
      </c>
      <c r="C15716" s="28" t="s">
        <v>51</v>
      </c>
      <c r="D15716" s="22" t="s">
        <v>20691</v>
      </c>
      <c r="E15716" s="22" t="s">
        <v>6422</v>
      </c>
      <c r="F15716" s="23" t="str">
        <f>HYPERLINK("https://www.spark-marketing.ru/Card/Lot/71582824", "Оказание услуг по аренде нежилых помещений для организации питания")</f>
        <v>Оказание услуг по аренде нежилых помещений для организации питания</v>
      </c>
      <c r="G15716" s="22" t="s">
        <v>460</v>
      </c>
      <c r="H15716" s="22" t="s">
        <v>1749</v>
      </c>
      <c r="I15716" s="26">
        <v>43637.677430555603</v>
      </c>
      <c r="J15716" s="28" t="s">
        <v>51</v>
      </c>
      <c r="K15716" s="28" t="s">
        <v>51</v>
      </c>
      <c r="L15716" s="28" t="s">
        <v>51</v>
      </c>
      <c r="M15716" s="28" t="s">
        <v>51</v>
      </c>
      <c r="N15716" s="28" t="s">
        <v>51</v>
      </c>
    </row>
    <row r="15717" spans="1:14" ht="12.75" x14ac:dyDescent="0.2">
      <c r="A15717" s="23" t="str">
        <f>HYPERLINK("https://www.spark-marketing.ru/Card/Person/1070093", "МБОУ ""СОШ №1 ИМ. Л.М. ПОЗЕМСКОГО""")</f>
        <v>МБОУ "СОШ №1 ИМ. Л.М. ПОЗЕМСКОГО"</v>
      </c>
      <c r="B15717" s="24" t="s">
        <v>20692</v>
      </c>
      <c r="C15717" s="25">
        <v>2195094</v>
      </c>
      <c r="D15717" s="22" t="s">
        <v>20693</v>
      </c>
      <c r="E15717" s="22" t="s">
        <v>48</v>
      </c>
      <c r="F15717" s="23" t="str">
        <f>HYPERLINK("https://www.spark-marketing.ru/Card/Lot/71587736", "Услуги общественного питания")</f>
        <v>Услуги общественного питания</v>
      </c>
      <c r="G15717" s="22" t="s">
        <v>415</v>
      </c>
      <c r="H15717" s="22" t="s">
        <v>415</v>
      </c>
      <c r="I15717" s="26">
        <v>43637.678680555597</v>
      </c>
      <c r="J15717" s="23" t="str">
        <f>HYPERLINK("https://www.spark-marketing.ru/Card/Person/778330", "ООО ""КОМПЛЕКС-ПЛЮС""")</f>
        <v>ООО "КОМПЛЕКС-ПЛЮС"</v>
      </c>
      <c r="K15717" s="24" t="s">
        <v>20694</v>
      </c>
      <c r="L15717" s="22" t="s">
        <v>10</v>
      </c>
      <c r="M15717" s="25">
        <v>2085340</v>
      </c>
      <c r="N15717" s="27">
        <v>4.9999681107050539E-2</v>
      </c>
    </row>
    <row r="15718" spans="1:14" x14ac:dyDescent="0.2">
      <c r="A15718" s="23" t="str">
        <f>HYPERLINK("https://www.spark-marketing.ru/Card/Person/80615", "ЦЕНТР КУЛЬТУРЫ ""РЕКОРД"", ЦК ""РЕКОРД""")</f>
        <v>ЦЕНТР КУЛЬТУРЫ "РЕКОРД", ЦК "РЕКОРД"</v>
      </c>
      <c r="B15718" s="24" t="s">
        <v>19339</v>
      </c>
      <c r="C15718" s="25">
        <v>526700</v>
      </c>
      <c r="D15718" s="22" t="s">
        <v>20695</v>
      </c>
      <c r="E15718" s="22" t="s">
        <v>562</v>
      </c>
      <c r="F15718" s="23" t="str">
        <f>HYPERLINK("https://www.spark-marketing.ru/Card/Lot/71575879", "Услуги общественного питания в рамках организации и проведения мероприятия «Церемония награждения победителей Всероссийского конкурса в области современного визуального искусства «Инновация»")</f>
        <v>Услуги общественного питания в рамках организации и проведения мероприятия «Церемония награждения победителей Всероссийского конкурса в области современного визуального искусства «Инновация»</v>
      </c>
      <c r="G15718" s="22" t="s">
        <v>76</v>
      </c>
      <c r="H15718" s="22" t="s">
        <v>76</v>
      </c>
      <c r="I15718" s="26">
        <v>43637.682048611103</v>
      </c>
      <c r="J15718" s="28" t="s">
        <v>51</v>
      </c>
      <c r="K15718" s="28" t="s">
        <v>51</v>
      </c>
      <c r="L15718" s="28" t="s">
        <v>51</v>
      </c>
      <c r="M15718" s="25">
        <v>526700</v>
      </c>
      <c r="N15718" s="27">
        <v>0</v>
      </c>
    </row>
    <row r="15719" spans="1:14" x14ac:dyDescent="0.15">
      <c r="A15719" s="23" t="str">
        <f>HYPERLINK("https://www.spark-marketing.ru/Card/Person/10421", "СПБ ГБУ СШОР ""ШВСМ ПО ВВС""")</f>
        <v>СПБ ГБУ СШОР "ШВСМ ПО ВВС"</v>
      </c>
      <c r="B15719" s="24" t="s">
        <v>379</v>
      </c>
      <c r="C15719" s="25">
        <v>1302000</v>
      </c>
      <c r="D15719" s="22" t="s">
        <v>20696</v>
      </c>
      <c r="E15719" s="22" t="s">
        <v>1632</v>
      </c>
      <c r="F15719" s="23" t="str">
        <f>HYPERLINK("https://www.spark-marketing.ru/Card/Lot/71585232",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 и проживания для отделения гребного спорта в 2019 году.")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 и проживания для отделения гребного спорта в 2019 году.</v>
      </c>
      <c r="G15719" s="22" t="s">
        <v>162</v>
      </c>
      <c r="H15719" s="22" t="s">
        <v>162</v>
      </c>
      <c r="I15719" s="26">
        <v>43637.693055555603</v>
      </c>
      <c r="J15719" s="28" t="s">
        <v>51</v>
      </c>
      <c r="K15719" s="28" t="s">
        <v>51</v>
      </c>
      <c r="L15719" s="28" t="s">
        <v>51</v>
      </c>
      <c r="M15719" s="28" t="s">
        <v>51</v>
      </c>
      <c r="N15719" s="28" t="s">
        <v>51</v>
      </c>
    </row>
    <row r="15720" spans="1:14" hidden="1" outlineLevel="1" x14ac:dyDescent="0.2">
      <c r="A15720" s="23" t="str">
        <f>HYPERLINK("https://www.spark-marketing.ru/Card/Person/10421", "СПБ ГБУ СШОР ""ШВСМ ПО ВВС""")</f>
        <v>СПБ ГБУ СШОР "ШВСМ ПО ВВС"</v>
      </c>
      <c r="B15720" s="24" t="s">
        <v>379</v>
      </c>
      <c r="C15720" s="25">
        <v>1302000</v>
      </c>
      <c r="D15720" s="22" t="s">
        <v>20696</v>
      </c>
      <c r="E15720" s="22" t="s">
        <v>1632</v>
      </c>
      <c r="F15720" s="23" t="str">
        <f>HYPERLINK("https://www.spark-marketing.ru/Card/Lot/71585232",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 и проживания для отделения гребного спорта в 2019 году.")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 и проживания для отделения гребного спорта в 2019 году.</v>
      </c>
      <c r="G15720" s="22" t="s">
        <v>162</v>
      </c>
      <c r="H15720" s="22" t="s">
        <v>162</v>
      </c>
      <c r="I15720" s="26">
        <v>43637.693055555603</v>
      </c>
      <c r="J15720" s="23" t="str">
        <f>HYPERLINK("https://www.spark-marketing.ru/Card/Person/6574101", "ООО ""СПОРТИВНОЕ АГЕНТСТВО ""ЭРА""")</f>
        <v>ООО "СПОРТИВНОЕ АГЕНТСТВО "ЭРА"</v>
      </c>
      <c r="K15720" s="24" t="s">
        <v>4377</v>
      </c>
      <c r="L15720" s="28" t="s">
        <v>51</v>
      </c>
      <c r="M15720" s="25">
        <v>973490</v>
      </c>
      <c r="N15720" s="27">
        <v>0.25231182795698925</v>
      </c>
    </row>
    <row r="15721" spans="1:14" ht="12.75" hidden="1" outlineLevel="1" x14ac:dyDescent="0.2">
      <c r="A15721" s="23" t="str">
        <f>HYPERLINK("https://www.spark-marketing.ru/Card/Person/10421", "СПБ ГБУ СШОР ""ШВСМ ПО ВВС""")</f>
        <v>СПБ ГБУ СШОР "ШВСМ ПО ВВС"</v>
      </c>
      <c r="B15721" s="24" t="s">
        <v>379</v>
      </c>
      <c r="C15721" s="25">
        <v>1302000</v>
      </c>
      <c r="D15721" s="22" t="s">
        <v>20696</v>
      </c>
      <c r="E15721" s="22" t="s">
        <v>1632</v>
      </c>
      <c r="F15721" s="23" t="str">
        <f>HYPERLINK("https://www.spark-marketing.ru/Card/Lot/71585232",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 и проживания для отделения гребного спорта в 2019 году.")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 и проживания для отделения гребного спорта в 2019 году.</v>
      </c>
      <c r="G15721" s="22" t="s">
        <v>162</v>
      </c>
      <c r="H15721" s="22" t="s">
        <v>162</v>
      </c>
      <c r="I15721" s="26">
        <v>43637.693055555603</v>
      </c>
      <c r="J15721" s="23" t="str">
        <f>HYPERLINK("https://www.spark-marketing.ru/Card/Person/6578071", "Титаренко Мирослава Николаевна")</f>
        <v>Титаренко Мирослава Николаевна</v>
      </c>
      <c r="K15721" s="24" t="s">
        <v>20697</v>
      </c>
      <c r="L15721" s="22" t="s">
        <v>10</v>
      </c>
      <c r="M15721" s="25">
        <v>966980</v>
      </c>
      <c r="N15721" s="27">
        <v>0.25731182795698926</v>
      </c>
    </row>
    <row r="15722" spans="1:14" x14ac:dyDescent="0.15">
      <c r="A15722" s="23" t="str">
        <f>HYPERLINK("https://www.spark-marketing.ru/Card/Person/88727", "МБУ ДОЛ ИМ. Ю.А. ГАГАРИНА")</f>
        <v>МБУ ДОЛ ИМ. Ю.А. ГАГАРИНА</v>
      </c>
      <c r="B15722" s="24" t="s">
        <v>20698</v>
      </c>
      <c r="C15722" s="25">
        <v>505200</v>
      </c>
      <c r="D15722" s="22" t="s">
        <v>20699</v>
      </c>
      <c r="E15722" s="22" t="s">
        <v>51</v>
      </c>
      <c r="F15722" s="23" t="str">
        <f>HYPERLINK("https://www.spark-marketing.ru/Card/Lot/71584443", "Оказание услуг по организации питания слушателей Школы общественной активности")</f>
        <v>Оказание услуг по организации питания слушателей Школы общественной активности</v>
      </c>
      <c r="G15722" s="22" t="s">
        <v>696</v>
      </c>
      <c r="H15722" s="22" t="s">
        <v>1163</v>
      </c>
      <c r="I15722" s="26">
        <v>43637.6743055556</v>
      </c>
      <c r="J15722" s="28" t="s">
        <v>51</v>
      </c>
      <c r="K15722" s="28" t="s">
        <v>51</v>
      </c>
      <c r="L15722" s="28" t="s">
        <v>51</v>
      </c>
      <c r="M15722" s="28" t="s">
        <v>51</v>
      </c>
      <c r="N15722" s="28" t="s">
        <v>51</v>
      </c>
    </row>
    <row r="15723" spans="1:14" ht="12.75" hidden="1" outlineLevel="1" x14ac:dyDescent="0.2">
      <c r="A15723" s="23" t="str">
        <f>HYPERLINK("https://www.spark-marketing.ru/Card/Person/88727", "МБУ ДОЛ ИМ. Ю.А. ГАГАРИНА")</f>
        <v>МБУ ДОЛ ИМ. Ю.А. ГАГАРИНА</v>
      </c>
      <c r="B15723" s="24" t="s">
        <v>20698</v>
      </c>
      <c r="C15723" s="25">
        <v>505200</v>
      </c>
      <c r="D15723" s="22" t="s">
        <v>20699</v>
      </c>
      <c r="E15723" s="22" t="s">
        <v>51</v>
      </c>
      <c r="F15723" s="23" t="str">
        <f>HYPERLINK("https://www.spark-marketing.ru/Card/Lot/71584443", "Оказание услуг по организации питания слушателей Школы общественной активности")</f>
        <v>Оказание услуг по организации питания слушателей Школы общественной активности</v>
      </c>
      <c r="G15723" s="22" t="s">
        <v>696</v>
      </c>
      <c r="H15723" s="22" t="s">
        <v>1163</v>
      </c>
      <c r="I15723" s="26">
        <v>43637.6743055556</v>
      </c>
      <c r="J15723" s="23" t="str">
        <f>HYPERLINK("https://www.spark-marketing.ru/Card/Person/261356", "МУП ""КШП""")</f>
        <v>МУП "КШП"</v>
      </c>
      <c r="K15723" s="24" t="s">
        <v>20700</v>
      </c>
      <c r="L15723" s="22" t="s">
        <v>10</v>
      </c>
      <c r="M15723" s="25">
        <v>505200</v>
      </c>
      <c r="N15723" s="27">
        <v>0</v>
      </c>
    </row>
    <row r="15724" spans="1:14" hidden="1" outlineLevel="1" x14ac:dyDescent="0.2">
      <c r="A15724" s="23" t="str">
        <f>HYPERLINK("https://www.spark-marketing.ru/Card/Person/88727", "МБУ ДОЛ ИМ. Ю.А. ГАГАРИНА")</f>
        <v>МБУ ДОЛ ИМ. Ю.А. ГАГАРИНА</v>
      </c>
      <c r="B15724" s="24" t="s">
        <v>20698</v>
      </c>
      <c r="C15724" s="25">
        <v>505200</v>
      </c>
      <c r="D15724" s="22" t="s">
        <v>20699</v>
      </c>
      <c r="E15724" s="22" t="s">
        <v>51</v>
      </c>
      <c r="F15724" s="23" t="str">
        <f>HYPERLINK("https://www.spark-marketing.ru/Card/Lot/71584443", "Оказание услуг по организации питания слушателей Школы общественной активности")</f>
        <v>Оказание услуг по организации питания слушателей Школы общественной активности</v>
      </c>
      <c r="G15724" s="22" t="s">
        <v>696</v>
      </c>
      <c r="H15724" s="22" t="s">
        <v>1163</v>
      </c>
      <c r="I15724" s="26">
        <v>43637.6743055556</v>
      </c>
      <c r="J15724" s="23" t="str">
        <f>HYPERLINK("https://www.spark-marketing.ru/Card/Person/300607", "Резанов Александр Григорьевич")</f>
        <v>Резанов Александр Григорьевич</v>
      </c>
      <c r="K15724" s="24" t="s">
        <v>20701</v>
      </c>
      <c r="L15724" s="28" t="s">
        <v>51</v>
      </c>
      <c r="M15724" s="25">
        <v>499200</v>
      </c>
      <c r="N15724" s="27">
        <v>1.1876484560570071E-2</v>
      </c>
    </row>
    <row r="15725" spans="1:14" x14ac:dyDescent="0.15">
      <c r="A15725" s="23" t="str">
        <f>HYPERLINK("https://www.spark-marketing.ru/Card/Person/53933", "СПБ ГБПОУ ""УОР № 2 (ТЕХНИКУМ)""")</f>
        <v>СПБ ГБПОУ "УОР № 2 (ТЕХНИКУМ)"</v>
      </c>
      <c r="B15725" s="24" t="s">
        <v>2322</v>
      </c>
      <c r="C15725" s="25">
        <v>482210</v>
      </c>
      <c r="D15725" s="22" t="s">
        <v>20702</v>
      </c>
      <c r="E15725" s="22" t="s">
        <v>16468</v>
      </c>
      <c r="F15725" s="23" t="str">
        <f>HYPERLINK("https://www.spark-marketing.ru/Card/Lot/71583795", "Оказание услуг по предоставлению проживания, питания и спортивных сооружений при проведении тренировочного мероприятия в каникулярный период и тренировочного мероприятия по специальной физической подготовке для занимающихся СПб ГБПОУ ""УОР № 2 (техни...")</f>
        <v>Оказание услуг по предоставлению проживания, питания и спортивных сооружений при проведении тренировочного мероприятия в каникулярный период и тренировочного мероприятия по специальной физической подготовке для занимающихся СПб ГБПОУ "УОР № 2 (техни...</v>
      </c>
      <c r="G15725" s="22" t="s">
        <v>117</v>
      </c>
      <c r="H15725" s="22" t="s">
        <v>117</v>
      </c>
      <c r="I15725" s="26">
        <v>43637.701388888898</v>
      </c>
      <c r="J15725" s="23" t="str">
        <f>HYPERLINK("https://www.spark-marketing.ru/Card/Person/4570741", "ООО ""ПЛАНЕТА""")</f>
        <v>ООО "ПЛАНЕТА"</v>
      </c>
      <c r="K15725" s="24" t="s">
        <v>2325</v>
      </c>
      <c r="L15725" s="22" t="s">
        <v>10</v>
      </c>
      <c r="M15725" s="28" t="s">
        <v>51</v>
      </c>
      <c r="N15725" s="28" t="s">
        <v>51</v>
      </c>
    </row>
    <row r="15726" spans="1:14" x14ac:dyDescent="0.2">
      <c r="A15726" s="23" t="str">
        <f>HYPERLINK("https://www.spark-marketing.ru/Card/Person/763", "ФГБОУ ВО РНИМУ ИМ. Н.И. ПИРОГОВА МИНЗДРАВА РОССИИ")</f>
        <v>ФГБОУ ВО РНИМУ ИМ. Н.И. ПИРОГОВА МИНЗДРАВА РОССИИ</v>
      </c>
      <c r="B15726" s="24" t="s">
        <v>1375</v>
      </c>
      <c r="C15726" s="25">
        <v>500000</v>
      </c>
      <c r="D15726" s="22" t="s">
        <v>20703</v>
      </c>
      <c r="E15726" s="22" t="s">
        <v>1213</v>
      </c>
      <c r="F15726" s="23" t="str">
        <f>HYPERLINK("https://www.spark-marketing.ru/Card/Lot/71575890", "Оказание услуг по обеспечению питанием в учебно-спортивно-оздоровительном комплексе (УСОК) Конаково")</f>
        <v>Оказание услуг по обеспечению питанием в учебно-спортивно-оздоровительном комплексе (УСОК) Конаково</v>
      </c>
      <c r="G15726" s="22" t="s">
        <v>56</v>
      </c>
      <c r="H15726" s="22" t="s">
        <v>56</v>
      </c>
      <c r="I15726" s="26">
        <v>43637.683796296304</v>
      </c>
      <c r="J15726" s="28" t="s">
        <v>51</v>
      </c>
      <c r="K15726" s="28" t="s">
        <v>51</v>
      </c>
      <c r="L15726" s="28" t="s">
        <v>51</v>
      </c>
      <c r="M15726" s="25">
        <v>500000</v>
      </c>
      <c r="N15726" s="27">
        <v>0</v>
      </c>
    </row>
    <row r="15727" spans="1:14" x14ac:dyDescent="0.15">
      <c r="A15727" s="23" t="str">
        <f>HYPERLINK("https://www.spark-marketing.ru/Card/Person/115467", "ГКУ СРЦН ""МАЯЧОК""")</f>
        <v>ГКУ СРЦН "МАЯЧОК"</v>
      </c>
      <c r="B15727" s="24" t="s">
        <v>20704</v>
      </c>
      <c r="C15727" s="25">
        <v>3000000</v>
      </c>
      <c r="D15727" s="22" t="s">
        <v>20705</v>
      </c>
      <c r="E15727" s="22" t="s">
        <v>51</v>
      </c>
      <c r="F15727" s="23" t="str">
        <f>HYPERLINK("https://www.spark-marketing.ru/Card/Lot/71557257", "Оказание услуг по поставке готового горячего питания для нужд ГКУ СРЦН ""Маячок""")</f>
        <v>Оказание услуг по поставке готового горячего питания для нужд ГКУ СРЦН "Маячок"</v>
      </c>
      <c r="G15727" s="22" t="s">
        <v>260</v>
      </c>
      <c r="H15727" s="22" t="s">
        <v>804</v>
      </c>
      <c r="I15727" s="26">
        <v>43637.668055555601</v>
      </c>
      <c r="J15727" s="23" t="str">
        <f>HYPERLINK("https://www.spark-marketing.ru/Card/Person/4364342", "ООО ""СЛАВЯНКА-ДВ""")</f>
        <v>ООО "СЛАВЯНКА-ДВ"</v>
      </c>
      <c r="K15727" s="24" t="s">
        <v>5233</v>
      </c>
      <c r="L15727" s="22" t="s">
        <v>10</v>
      </c>
      <c r="M15727" s="28" t="s">
        <v>51</v>
      </c>
      <c r="N15727" s="28" t="s">
        <v>51</v>
      </c>
    </row>
    <row r="15728" spans="1:14" ht="12.75" x14ac:dyDescent="0.2">
      <c r="A15728" s="23" t="str">
        <f>HYPERLINK("https://www.spark-marketing.ru/Card/Person/1057650", "МБОУ ""ПТЛ""")</f>
        <v>МБОУ "ПТЛ"</v>
      </c>
      <c r="B15728" s="24" t="s">
        <v>20706</v>
      </c>
      <c r="C15728" s="25">
        <v>1056467</v>
      </c>
      <c r="D15728" s="22" t="s">
        <v>20707</v>
      </c>
      <c r="E15728" s="22" t="s">
        <v>48</v>
      </c>
      <c r="F15728" s="23" t="str">
        <f>HYPERLINK("https://www.spark-marketing.ru/Card/Lot/71585644", "Услуга общественного питания")</f>
        <v>Услуга общественного питания</v>
      </c>
      <c r="G15728" s="22" t="s">
        <v>415</v>
      </c>
      <c r="H15728" s="22" t="s">
        <v>415</v>
      </c>
      <c r="I15728" s="26">
        <v>43637.668055555601</v>
      </c>
      <c r="J15728" s="23" t="str">
        <f>HYPERLINK("https://www.spark-marketing.ru/Card/Person/778330", "ООО ""КОМПЛЕКС-ПЛЮС""")</f>
        <v>ООО "КОМПЛЕКС-ПЛЮС"</v>
      </c>
      <c r="K15728" s="24" t="s">
        <v>20694</v>
      </c>
      <c r="L15728" s="22" t="s">
        <v>10</v>
      </c>
      <c r="M15728" s="25">
        <v>929690</v>
      </c>
      <c r="N15728" s="27">
        <v>0.12000090868905512</v>
      </c>
    </row>
    <row r="15729" spans="1:14" x14ac:dyDescent="0.15">
      <c r="A15729" s="23" t="str">
        <f>HYPERLINK("https://www.spark-marketing.ru/Card/Person/1360297", "ГАУЗ ТО ""ДПН ЛРЦ ""НАДЕЖДА""")</f>
        <v>ГАУЗ ТО "ДПН ЛРЦ "НАДЕЖДА"</v>
      </c>
      <c r="B15729" s="24" t="s">
        <v>5532</v>
      </c>
      <c r="C15729" s="25">
        <v>477500</v>
      </c>
      <c r="D15729" s="22" t="s">
        <v>20708</v>
      </c>
      <c r="E15729" s="22" t="s">
        <v>362</v>
      </c>
      <c r="F15729" s="23" t="str">
        <f>HYPERLINK("https://www.spark-marketing.ru/Card/Lot/71569917", "Оказание услуг по обеспечению горячим питанием пациентов Тобольского филиала ГАУЗ ТО «ДПН ЛРЦ «Надежда»")</f>
        <v>Оказание услуг по обеспечению горячим питанием пациентов Тобольского филиала ГАУЗ ТО «ДПН ЛРЦ «Надежда»</v>
      </c>
      <c r="G15729" s="22" t="s">
        <v>766</v>
      </c>
      <c r="H15729" s="22" t="s">
        <v>766</v>
      </c>
      <c r="I15729" s="26">
        <v>43637.653171296297</v>
      </c>
      <c r="J15729" s="28" t="s">
        <v>51</v>
      </c>
      <c r="K15729" s="28" t="s">
        <v>51</v>
      </c>
      <c r="L15729" s="28" t="s">
        <v>51</v>
      </c>
      <c r="M15729" s="28" t="s">
        <v>51</v>
      </c>
      <c r="N15729" s="28" t="s">
        <v>51</v>
      </c>
    </row>
    <row r="15730" spans="1:14" x14ac:dyDescent="0.15">
      <c r="A15730" s="23" t="str">
        <f>HYPERLINK("https://www.spark-marketing.ru/Card/Person/60403", "УМВД РОССИИ ПО ГОРОДСКОМУ ОКРУГУ ЭЛЕКТРОСТАЛЬ")</f>
        <v>УМВД РОССИИ ПО ГОРОДСКОМУ ОКРУГУ ЭЛЕКТРОСТАЛЬ</v>
      </c>
      <c r="B15730" s="24" t="s">
        <v>10442</v>
      </c>
      <c r="C15730" s="25">
        <v>2101249.31</v>
      </c>
      <c r="D15730" s="22" t="s">
        <v>20709</v>
      </c>
      <c r="E15730" s="22" t="s">
        <v>48</v>
      </c>
      <c r="F15730" s="23" t="str">
        <f>HYPERLINK("https://www.spark-marketing.ru/Card/Lot/71586421", "оказание услуг по обеспечению ежедневным трехразовым горячим питанием лиц, задержанных за административное правонарушение на срок более трех часов, содержащихся в специальных помещениях для содержания задержанных лиц и граждан, подвергнутых администр...")</f>
        <v>оказание услуг по обеспечению ежедневным трехразовым горячим питанием лиц, задержанных за административное правонарушение на срок более трех часов, содержащихся в специальных помещениях для содержания задержанных лиц и граждан, подвергнутых администр...</v>
      </c>
      <c r="G15730" s="22" t="s">
        <v>49</v>
      </c>
      <c r="H15730" s="22" t="s">
        <v>742</v>
      </c>
      <c r="I15730" s="26">
        <v>43637.666469907403</v>
      </c>
      <c r="J15730" s="28" t="s">
        <v>51</v>
      </c>
      <c r="K15730" s="28" t="s">
        <v>51</v>
      </c>
      <c r="L15730" s="28" t="s">
        <v>51</v>
      </c>
      <c r="M15730" s="28" t="s">
        <v>51</v>
      </c>
      <c r="N15730" s="28" t="s">
        <v>51</v>
      </c>
    </row>
    <row r="15731" spans="1:14" ht="12.75" x14ac:dyDescent="0.2">
      <c r="A15731" s="23" t="str">
        <f>HYPERLINK("https://www.spark-marketing.ru/Card/Person/64719", "БУ ""СУРГУТСКИЙ РЕАБИЛИТАЦИОННЫЙ ЦЕНТР""")</f>
        <v>БУ "СУРГУТСКИЙ РЕАБИЛИТАЦИОННЫЙ ЦЕНТР"</v>
      </c>
      <c r="B15731" s="24" t="s">
        <v>4183</v>
      </c>
      <c r="C15731" s="25">
        <v>909600</v>
      </c>
      <c r="D15731" s="22" t="s">
        <v>20710</v>
      </c>
      <c r="E15731" s="22" t="s">
        <v>96</v>
      </c>
      <c r="F15731" s="23" t="str">
        <f>HYPERLINK("https://www.spark-marketing.ru/Card/Lot/71584910", "Оказание услуг по организации и доставке горячего питания для получателей социальных услуг в бюджетном учреждении Ханты-Мансийского автономного округа - Югры «Сургутский реабилитационный центр для детей и подростков с ограниченными возможностями» в п...")</f>
        <v>Оказание услуг по организации и доставке горячего питания для получателей социальных услуг в бюджетном учреждении Ханты-Мансийского автономного округа - Югры «Сургутский реабилитационный центр для детей и подростков с ограниченными возможностями» в п...</v>
      </c>
      <c r="G15731" s="22" t="s">
        <v>97</v>
      </c>
      <c r="H15731" s="22" t="s">
        <v>3533</v>
      </c>
      <c r="I15731" s="26">
        <v>43637.636111111096</v>
      </c>
      <c r="J15731" s="23" t="str">
        <f>HYPERLINK("https://www.spark-marketing.ru/Card/Person/100997", "ООО ""ВКУСНОДЕЙ""")</f>
        <v>ООО "ВКУСНОДЕЙ"</v>
      </c>
      <c r="K15731" s="24" t="s">
        <v>4185</v>
      </c>
      <c r="L15731" s="22" t="s">
        <v>10</v>
      </c>
      <c r="M15731" s="25">
        <v>907200</v>
      </c>
      <c r="N15731" s="27">
        <v>2.6385224274406332E-3</v>
      </c>
    </row>
    <row r="15732" spans="1:14" x14ac:dyDescent="0.15">
      <c r="A15732" s="23" t="str">
        <f>HYPERLINK("https://www.spark-marketing.ru/Card/Person/1756753", "ГАУ МО ""ЦСП № 6""")</f>
        <v>ГАУ МО "ЦСП № 6"</v>
      </c>
      <c r="B15732" s="24" t="s">
        <v>6503</v>
      </c>
      <c r="C15732" s="25">
        <v>872000</v>
      </c>
      <c r="D15732" s="22" t="s">
        <v>20711</v>
      </c>
      <c r="E15732" s="22" t="s">
        <v>9286</v>
      </c>
      <c r="F15732" s="23" t="str">
        <f>HYPERLINK("https://www.spark-marketing.ru/Card/Lot/71574754", "Услуги по организации спортивных мероприятий (обеспечение транспортными билетами, питание и проживание, пляжный волейбол, Псков, Анапа, Сочи, Кемерово)")</f>
        <v>Услуги по организации спортивных мероприятий (обеспечение транспортными билетами, питание и проживание, пляжный волейбол, Псков, Анапа, Сочи, Кемерово)</v>
      </c>
      <c r="G15732" s="22" t="s">
        <v>49</v>
      </c>
      <c r="H15732" s="22" t="s">
        <v>49</v>
      </c>
      <c r="I15732" s="26">
        <v>43637.655277777798</v>
      </c>
      <c r="J15732" s="28" t="s">
        <v>51</v>
      </c>
      <c r="K15732" s="28" t="s">
        <v>51</v>
      </c>
      <c r="L15732" s="28" t="s">
        <v>51</v>
      </c>
      <c r="M15732" s="28" t="s">
        <v>51</v>
      </c>
      <c r="N15732" s="28" t="s">
        <v>51</v>
      </c>
    </row>
    <row r="15733" spans="1:14" ht="12.75" x14ac:dyDescent="0.2">
      <c r="A15733" s="23" t="str">
        <f>HYPERLINK("https://www.spark-marketing.ru/Card/Person/1050565", "МБОУ ЕМЛ №20")</f>
        <v>МБОУ ЕМЛ №20</v>
      </c>
      <c r="B15733" s="24" t="s">
        <v>20712</v>
      </c>
      <c r="C15733" s="25">
        <v>3464268.5</v>
      </c>
      <c r="D15733" s="22" t="s">
        <v>20713</v>
      </c>
      <c r="E15733" s="22" t="s">
        <v>48</v>
      </c>
      <c r="F15733" s="23" t="str">
        <f>HYPERLINK("https://www.spark-marketing.ru/Card/Lot/71587762", "Услуга общественного питания")</f>
        <v>Услуга общественного питания</v>
      </c>
      <c r="G15733" s="22" t="s">
        <v>415</v>
      </c>
      <c r="H15733" s="22" t="s">
        <v>415</v>
      </c>
      <c r="I15733" s="26">
        <v>43637.665960648097</v>
      </c>
      <c r="J15733" s="23" t="str">
        <f>HYPERLINK("https://www.spark-marketing.ru/Card/Person/778330", "ООО ""КОМПЛЕКС-ПЛЮС""")</f>
        <v>ООО "КОМПЛЕКС-ПЛЮС"</v>
      </c>
      <c r="K15733" s="24" t="s">
        <v>20694</v>
      </c>
      <c r="L15733" s="22" t="s">
        <v>10</v>
      </c>
      <c r="M15733" s="25">
        <v>3117842</v>
      </c>
      <c r="N15733" s="27">
        <v>9.9999898968570131E-2</v>
      </c>
    </row>
    <row r="15734" spans="1:14" x14ac:dyDescent="0.15">
      <c r="A15734" s="23" t="str">
        <f>HYPERLINK("https://www.spark-marketing.ru/Card/Person/267702", "МБУ ДОЛ ""ЮНОСТЬ""")</f>
        <v>МБУ ДОЛ "ЮНОСТЬ"</v>
      </c>
      <c r="B15734" s="24" t="s">
        <v>1594</v>
      </c>
      <c r="C15734" s="25">
        <v>753600</v>
      </c>
      <c r="D15734" s="22" t="s">
        <v>20714</v>
      </c>
      <c r="E15734" s="22" t="s">
        <v>51</v>
      </c>
      <c r="F15734" s="23" t="str">
        <f>HYPERLINK("https://www.spark-marketing.ru/Card/Lot/71584192", "Оказание услуг по организации питания слушателей Школы общественной активности")</f>
        <v>Оказание услуг по организации питания слушателей Школы общественной активности</v>
      </c>
      <c r="G15734" s="22" t="s">
        <v>696</v>
      </c>
      <c r="H15734" s="22" t="s">
        <v>1163</v>
      </c>
      <c r="I15734" s="26">
        <v>43637.6381944444</v>
      </c>
      <c r="J15734" s="28" t="s">
        <v>51</v>
      </c>
      <c r="K15734" s="28" t="s">
        <v>51</v>
      </c>
      <c r="L15734" s="28" t="s">
        <v>51</v>
      </c>
      <c r="M15734" s="28" t="s">
        <v>51</v>
      </c>
      <c r="N15734" s="28" t="s">
        <v>51</v>
      </c>
    </row>
    <row r="15735" spans="1:14" ht="12.75" hidden="1" outlineLevel="1" x14ac:dyDescent="0.2">
      <c r="A15735" s="23" t="str">
        <f>HYPERLINK("https://www.spark-marketing.ru/Card/Person/267702", "МБУ ДОЛ ""ЮНОСТЬ""")</f>
        <v>МБУ ДОЛ "ЮНОСТЬ"</v>
      </c>
      <c r="B15735" s="24" t="s">
        <v>1594</v>
      </c>
      <c r="C15735" s="25">
        <v>753600</v>
      </c>
      <c r="D15735" s="22" t="s">
        <v>20714</v>
      </c>
      <c r="E15735" s="22" t="s">
        <v>51</v>
      </c>
      <c r="F15735" s="23" t="str">
        <f>HYPERLINK("https://www.spark-marketing.ru/Card/Lot/71584192", "Оказание услуг по организации питания слушателей Школы общественной активности")</f>
        <v>Оказание услуг по организации питания слушателей Школы общественной активности</v>
      </c>
      <c r="G15735" s="22" t="s">
        <v>696</v>
      </c>
      <c r="H15735" s="22" t="s">
        <v>1163</v>
      </c>
      <c r="I15735" s="26">
        <v>43637.6381944444</v>
      </c>
      <c r="J15735" s="23" t="str">
        <f>HYPERLINK("https://www.spark-marketing.ru/Card/Person/261356", "МУП ""КШП""")</f>
        <v>МУП "КШП"</v>
      </c>
      <c r="K15735" s="24" t="s">
        <v>20700</v>
      </c>
      <c r="L15735" s="22" t="s">
        <v>10</v>
      </c>
      <c r="M15735" s="25">
        <v>753600</v>
      </c>
      <c r="N15735" s="27">
        <v>0</v>
      </c>
    </row>
    <row r="15736" spans="1:14" hidden="1" outlineLevel="1" x14ac:dyDescent="0.2">
      <c r="A15736" s="23" t="str">
        <f>HYPERLINK("https://www.spark-marketing.ru/Card/Person/267702", "МБУ ДОЛ ""ЮНОСТЬ""")</f>
        <v>МБУ ДОЛ "ЮНОСТЬ"</v>
      </c>
      <c r="B15736" s="24" t="s">
        <v>1594</v>
      </c>
      <c r="C15736" s="25">
        <v>753600</v>
      </c>
      <c r="D15736" s="22" t="s">
        <v>20714</v>
      </c>
      <c r="E15736" s="22" t="s">
        <v>51</v>
      </c>
      <c r="F15736" s="23" t="str">
        <f>HYPERLINK("https://www.spark-marketing.ru/Card/Lot/71584192", "Оказание услуг по организации питания слушателей Школы общественной активности")</f>
        <v>Оказание услуг по организации питания слушателей Школы общественной активности</v>
      </c>
      <c r="G15736" s="22" t="s">
        <v>696</v>
      </c>
      <c r="H15736" s="22" t="s">
        <v>1163</v>
      </c>
      <c r="I15736" s="26">
        <v>43637.6381944444</v>
      </c>
      <c r="J15736" s="23" t="str">
        <f>HYPERLINK("https://www.spark-marketing.ru/Card/Person/300607", "Резанов Александр Григорьевич")</f>
        <v>Резанов Александр Григорьевич</v>
      </c>
      <c r="K15736" s="24" t="s">
        <v>20701</v>
      </c>
      <c r="L15736" s="28" t="s">
        <v>51</v>
      </c>
      <c r="M15736" s="25">
        <v>748600</v>
      </c>
      <c r="N15736" s="27">
        <v>6.6348195329087051E-3</v>
      </c>
    </row>
    <row r="15737" spans="1:14" x14ac:dyDescent="0.15">
      <c r="A15737" s="23" t="str">
        <f>HYPERLINK("https://www.spark-marketing.ru/Card/Person/88455", "ГКУ ""УПРАВЛЕНИЕ ЗДАНИЯМИ ПСК""")</f>
        <v>ГКУ "УПРАВЛЕНИЕ ЗДАНИЯМИ ПСК"</v>
      </c>
      <c r="B15737" s="24" t="s">
        <v>684</v>
      </c>
      <c r="C15737" s="25">
        <v>1000000</v>
      </c>
      <c r="D15737" s="22" t="s">
        <v>20715</v>
      </c>
      <c r="E15737" s="22" t="s">
        <v>96</v>
      </c>
      <c r="F15737" s="23" t="str">
        <f>HYPERLINK("https://www.spark-marketing.ru/Card/Lot/71585086", "Оказание услуг по организации питания и обслуживания участников мероприятий, проводимых по инициативе Губернатора Ставропольского края или Правительства Ставропольского края, для обеспечения государственных нужд Ставропольского края")</f>
        <v>Оказание услуг по организации питания и обслуживания участников мероприятий, проводимых по инициативе Губернатора Ставропольского края или Правительства Ставропольского края, для обеспечения государственных нужд Ставропольского края</v>
      </c>
      <c r="G15737" s="22" t="s">
        <v>87</v>
      </c>
      <c r="H15737" s="22" t="s">
        <v>686</v>
      </c>
      <c r="I15737" s="26">
        <v>43637.665972222203</v>
      </c>
      <c r="J15737" s="23" t="str">
        <f>HYPERLINK("https://www.spark-marketing.ru/Card/Person/4394028", "ООО ""САСК""")</f>
        <v>ООО "САСК"</v>
      </c>
      <c r="K15737" s="24" t="s">
        <v>12457</v>
      </c>
      <c r="L15737" s="22" t="s">
        <v>10</v>
      </c>
      <c r="M15737" s="28" t="s">
        <v>51</v>
      </c>
      <c r="N15737" s="28" t="s">
        <v>51</v>
      </c>
    </row>
    <row r="15738" spans="1:14" ht="12.75" x14ac:dyDescent="0.2">
      <c r="A15738" s="23" t="str">
        <f>HYPERLINK("https://www.spark-marketing.ru/Card/Person/1038852", "МБОУ ""СОШ № 13""")</f>
        <v>МБОУ "СОШ № 13"</v>
      </c>
      <c r="B15738" s="24" t="s">
        <v>20716</v>
      </c>
      <c r="C15738" s="25">
        <v>2069523.5</v>
      </c>
      <c r="D15738" s="22" t="s">
        <v>20717</v>
      </c>
      <c r="E15738" s="22" t="s">
        <v>48</v>
      </c>
      <c r="F15738" s="23" t="str">
        <f>HYPERLINK("https://www.spark-marketing.ru/Card/Lot/71587754", "Услуга общественного питания")</f>
        <v>Услуга общественного питания</v>
      </c>
      <c r="G15738" s="22" t="s">
        <v>415</v>
      </c>
      <c r="H15738" s="22" t="s">
        <v>415</v>
      </c>
      <c r="I15738" s="26">
        <v>43637.660196759301</v>
      </c>
      <c r="J15738" s="23" t="str">
        <f>HYPERLINK("https://www.spark-marketing.ru/Card/Person/778330", "ООО ""КОМПЛЕКС-ПЛЮС""")</f>
        <v>ООО "КОМПЛЕКС-ПЛЮС"</v>
      </c>
      <c r="K15738" s="24" t="s">
        <v>20694</v>
      </c>
      <c r="L15738" s="22" t="s">
        <v>10</v>
      </c>
      <c r="M15738" s="25">
        <v>1759095</v>
      </c>
      <c r="N15738" s="27">
        <v>0.14999998791992455</v>
      </c>
    </row>
    <row r="15739" spans="1:14" x14ac:dyDescent="0.2">
      <c r="A15739" s="23" t="str">
        <f>HYPERLINK("https://www.spark-marketing.ru/Card/Person/10767", "ТУСУР, ФГБОУ ВО ""ТУСУР"", ФГБОУ ВО ""ТОМСКИЙ ГОСУДАРСТВЕННЫЙ УНИВЕРСИТЕТ СИСТЕМ УПРАВЛЕНИЯ И РАДИОЭЛЕКТРОНИКИ"", ТОМСКИЙ ГОСУДАРСТВЕННЫЙ УНИВЕРСИТЕТ СИСТЕМ УПРАВЛЕНИЯ И РАДИОЭЛЕКТРОНИКИ")</f>
        <v>ТУСУР, ФГБОУ ВО "ТУСУР", ФГБОУ ВО "ТОМСКИЙ ГОСУДАРСТВЕННЫЙ УНИВЕРСИТЕТ СИСТЕМ УПРАВЛЕНИЯ И РАДИОЭЛЕКТРОНИКИ", ТОМСКИЙ ГОСУДАРСТВЕННЫЙ УНИВЕРСИТЕТ СИСТЕМ УПРАВЛЕНИЯ И РАДИОЭЛЕКТРОНИКИ</v>
      </c>
      <c r="B15739" s="24" t="s">
        <v>2050</v>
      </c>
      <c r="C15739" s="25">
        <v>500000</v>
      </c>
      <c r="D15739" s="22" t="s">
        <v>20718</v>
      </c>
      <c r="E15739" s="22" t="s">
        <v>362</v>
      </c>
      <c r="F15739" s="23" t="str">
        <f>HYPERLINK("https://www.spark-marketing.ru/Card/Lot/71565885", "Оказание услуг по организации питания")</f>
        <v>Оказание услуг по организации питания</v>
      </c>
      <c r="G15739" s="22" t="s">
        <v>149</v>
      </c>
      <c r="H15739" s="22" t="s">
        <v>149</v>
      </c>
      <c r="I15739" s="26">
        <v>43637.6642013889</v>
      </c>
      <c r="J15739" s="28" t="s">
        <v>51</v>
      </c>
      <c r="K15739" s="28" t="s">
        <v>51</v>
      </c>
      <c r="L15739" s="22" t="s">
        <v>10</v>
      </c>
      <c r="M15739" s="25">
        <v>500000</v>
      </c>
      <c r="N15739" s="27">
        <v>0</v>
      </c>
    </row>
    <row r="15740" spans="1:14" x14ac:dyDescent="0.15">
      <c r="A15740" s="23" t="str">
        <f>HYPERLINK("https://www.spark-marketing.ru/Card/Person/101945", "МОУ ""СОШ №22 С УИОП""")</f>
        <v>МОУ "СОШ №22 С УИОП"</v>
      </c>
      <c r="B15740" s="24" t="s">
        <v>6439</v>
      </c>
      <c r="C15740" s="25">
        <v>53760</v>
      </c>
      <c r="D15740" s="22" t="s">
        <v>20719</v>
      </c>
      <c r="E15740" s="22" t="s">
        <v>48</v>
      </c>
      <c r="F15740" s="23" t="str">
        <f>HYPERLINK("https://www.spark-marketing.ru/Card/Lot/71571784", "Оказание услуг по организации питания в оздоровительных учреждениях с дневным пребыванием детей в период каникул")</f>
        <v>Оказание услуг по организации питания в оздоровительных учреждениях с дневным пребыванием детей в период каникул</v>
      </c>
      <c r="G15740" s="22" t="s">
        <v>49</v>
      </c>
      <c r="H15740" s="22" t="s">
        <v>742</v>
      </c>
      <c r="I15740" s="26">
        <v>43637.627916666701</v>
      </c>
      <c r="J15740" s="28" t="s">
        <v>51</v>
      </c>
      <c r="K15740" s="28" t="s">
        <v>51</v>
      </c>
      <c r="L15740" s="28" t="s">
        <v>51</v>
      </c>
      <c r="M15740" s="28" t="s">
        <v>51</v>
      </c>
      <c r="N15740" s="28" t="s">
        <v>51</v>
      </c>
    </row>
    <row r="15741" spans="1:14" x14ac:dyDescent="0.15">
      <c r="A15741" s="23" t="str">
        <f>HYPERLINK("https://www.spark-marketing.ru/Card/Person/176670", "ОМВД РОССИИ ПО ВАНИНСКОМУ РАЙОНУ")</f>
        <v>ОМВД РОССИИ ПО ВАНИНСКОМУ РАЙОНУ</v>
      </c>
      <c r="B15741" s="24" t="s">
        <v>20224</v>
      </c>
      <c r="C15741" s="25">
        <v>1476480</v>
      </c>
      <c r="D15741" s="22" t="s">
        <v>20720</v>
      </c>
      <c r="E15741" s="22" t="s">
        <v>96</v>
      </c>
      <c r="F15741" s="23" t="str">
        <f>HYPERLINK("https://www.spark-marketing.ru/Card/Lot/71557195", "Прочая закупка товаров, работ и услуг (услуги по организации питания арестованных в ИВС ОМВД РФ)")</f>
        <v>Прочая закупка товаров, работ и услуг (услуги по организации питания арестованных в ИВС ОМВД РФ)</v>
      </c>
      <c r="G15741" s="22" t="s">
        <v>1096</v>
      </c>
      <c r="H15741" s="22" t="s">
        <v>20226</v>
      </c>
      <c r="I15741" s="26">
        <v>43637.625</v>
      </c>
      <c r="J15741" s="23" t="str">
        <f>HYPERLINK("https://www.spark-marketing.ru/Card/Person/222268", "Маилова Ольга Владимировна")</f>
        <v>Маилова Ольга Владимировна</v>
      </c>
      <c r="K15741" s="24" t="s">
        <v>20227</v>
      </c>
      <c r="L15741" s="22" t="s">
        <v>10</v>
      </c>
      <c r="M15741" s="28" t="s">
        <v>51</v>
      </c>
      <c r="N15741" s="28" t="s">
        <v>51</v>
      </c>
    </row>
    <row r="15742" spans="1:14" x14ac:dyDescent="0.15">
      <c r="A15742" s="23" t="str">
        <f>HYPERLINK("https://www.spark-marketing.ru/Card/Person/33601", "ФГБОУ ВО ""ЮУРГГПУ""")</f>
        <v>ФГБОУ ВО "ЮУРГГПУ"</v>
      </c>
      <c r="B15742" s="24" t="s">
        <v>4222</v>
      </c>
      <c r="C15742" s="25">
        <v>40233.4</v>
      </c>
      <c r="D15742" s="22" t="s">
        <v>20721</v>
      </c>
      <c r="E15742" s="22" t="s">
        <v>3561</v>
      </c>
      <c r="F15742" s="23" t="str">
        <f>HYPERLINK("https://www.spark-marketing.ru/Card/Lot/71570184", "Оказание услуг по проведению периодического медицинского осмотра для сотрудников комбината питания ФГБОУ ВО ""ЮУрГГПУ""")</f>
        <v>Оказание услуг по проведению периодического медицинского осмотра для сотрудников комбината питания ФГБОУ ВО "ЮУрГГПУ"</v>
      </c>
      <c r="G15742" s="22" t="s">
        <v>469</v>
      </c>
      <c r="H15742" s="22" t="s">
        <v>469</v>
      </c>
      <c r="I15742" s="26">
        <v>43637.655312499999</v>
      </c>
      <c r="J15742" s="28" t="s">
        <v>51</v>
      </c>
      <c r="K15742" s="28" t="s">
        <v>51</v>
      </c>
      <c r="L15742" s="28" t="s">
        <v>51</v>
      </c>
      <c r="M15742" s="28" t="s">
        <v>51</v>
      </c>
      <c r="N15742" s="28" t="s">
        <v>51</v>
      </c>
    </row>
    <row r="15743" spans="1:14" x14ac:dyDescent="0.15">
      <c r="A15743" s="23" t="str">
        <f>HYPERLINK("https://www.spark-marketing.ru/Card/Person/1309620", "МОАУ ""СОШ № 57""")</f>
        <v>МОАУ "СОШ № 57"</v>
      </c>
      <c r="B15743" s="24" t="s">
        <v>20722</v>
      </c>
      <c r="C15743" s="25">
        <v>166475.4</v>
      </c>
      <c r="D15743" s="22" t="s">
        <v>20723</v>
      </c>
      <c r="E15743" s="22" t="s">
        <v>1412</v>
      </c>
      <c r="F15743" s="23" t="str">
        <f>HYPERLINK("https://www.spark-marketing.ru/Card/Lot/71570136", "Оказание услуг по организации питания детей в лагере дневного пребывания на базе организации МОАУ СОШ №57")</f>
        <v>Оказание услуг по организации питания детей в лагере дневного пребывания на базе организации МОАУ СОШ №57</v>
      </c>
      <c r="G15743" s="22" t="s">
        <v>132</v>
      </c>
      <c r="H15743" s="22" t="s">
        <v>132</v>
      </c>
      <c r="I15743" s="26">
        <v>43637.651747685202</v>
      </c>
      <c r="J15743" s="28" t="s">
        <v>51</v>
      </c>
      <c r="K15743" s="28" t="s">
        <v>51</v>
      </c>
      <c r="L15743" s="28" t="s">
        <v>51</v>
      </c>
      <c r="M15743" s="28" t="s">
        <v>51</v>
      </c>
      <c r="N15743" s="28" t="s">
        <v>51</v>
      </c>
    </row>
    <row r="15744" spans="1:14" x14ac:dyDescent="0.15">
      <c r="A15744" s="23" t="str">
        <f>HYPERLINK("https://www.spark-marketing.ru/Card/Person/493846", "ГАУ АО ""ЦДО ""СЕВЕРНЫЙ АРТЕК""")</f>
        <v>ГАУ АО "ЦДО "СЕВЕРНЫЙ АРТЕК"</v>
      </c>
      <c r="B15744" s="24" t="s">
        <v>18241</v>
      </c>
      <c r="C15744" s="25">
        <v>474000</v>
      </c>
      <c r="D15744" s="22" t="s">
        <v>20724</v>
      </c>
      <c r="E15744" s="22" t="s">
        <v>362</v>
      </c>
      <c r="F15744" s="23" t="str">
        <f>HYPERLINK("https://www.spark-marketing.ru/Card/Lot/71572815", "Оказание услуг по организации горячего питания по системе «Шведский стол» (далее - Услуги) (с предоставлением по требованию Заказчика «сухого пайка») и иного типа питания по заявкам Исполнителя")</f>
        <v>Оказание услуг по организации горячего питания по системе «Шведский стол» (далее - Услуги) (с предоставлением по требованию Заказчика «сухого пайка») и иного типа питания по заявкам Исполнителя</v>
      </c>
      <c r="G15744" s="22" t="s">
        <v>214</v>
      </c>
      <c r="H15744" s="22" t="s">
        <v>214</v>
      </c>
      <c r="I15744" s="26">
        <v>43637.628657407397</v>
      </c>
      <c r="J15744" s="28" t="s">
        <v>51</v>
      </c>
      <c r="K15744" s="28" t="s">
        <v>51</v>
      </c>
      <c r="L15744" s="28" t="s">
        <v>51</v>
      </c>
      <c r="M15744" s="28" t="s">
        <v>51</v>
      </c>
      <c r="N15744" s="28" t="s">
        <v>51</v>
      </c>
    </row>
    <row r="15745" spans="1:14" x14ac:dyDescent="0.15">
      <c r="A15745" s="23" t="str">
        <f>HYPERLINK("https://www.spark-marketing.ru/Card/Person/17591", "ОТДЕЛ МВД РОССИИ ПО ЗАТО Г. ЗЕЛЕНОГОРСК")</f>
        <v>ОТДЕЛ МВД РОССИИ ПО ЗАТО Г. ЗЕЛЕНОГОРСК</v>
      </c>
      <c r="B15745" s="24" t="s">
        <v>8347</v>
      </c>
      <c r="C15745" s="25">
        <v>1250000</v>
      </c>
      <c r="D15745" s="22" t="s">
        <v>20725</v>
      </c>
      <c r="E15745" s="22" t="s">
        <v>96</v>
      </c>
      <c r="F15745" s="23" t="str">
        <f>HYPERLINK("https://www.spark-marketing.ru/Card/Lot/71569180", "Услуги по обеспечению горячим питанием лиц, содержащихся в изоляторе временного содержания, комнате содержания задержанных лиц")</f>
        <v>Услуги по обеспечению горячим питанием лиц, содержащихся в изоляторе временного содержания, комнате содержания задержанных лиц</v>
      </c>
      <c r="G15745" s="22" t="s">
        <v>281</v>
      </c>
      <c r="H15745" s="22" t="s">
        <v>8349</v>
      </c>
      <c r="I15745" s="26">
        <v>43637.6381944444</v>
      </c>
      <c r="J15745" s="28" t="s">
        <v>51</v>
      </c>
      <c r="K15745" s="28" t="s">
        <v>51</v>
      </c>
      <c r="L15745" s="28" t="s">
        <v>51</v>
      </c>
      <c r="M15745" s="28" t="s">
        <v>51</v>
      </c>
      <c r="N15745" s="28" t="s">
        <v>51</v>
      </c>
    </row>
    <row r="15746" spans="1:14" x14ac:dyDescent="0.15">
      <c r="A15746" s="23" t="str">
        <f>HYPERLINK("https://www.spark-marketing.ru/Card/Person/4349151", "ГБУЗ РК ""СИМФЕРОПОЛЬСКИЙ КРД № 1""")</f>
        <v>ГБУЗ РК "СИМФЕРОПОЛЬСКИЙ КРД № 1"</v>
      </c>
      <c r="B15746" s="24" t="s">
        <v>20726</v>
      </c>
      <c r="C15746" s="25">
        <v>4511911.8</v>
      </c>
      <c r="D15746" s="22" t="s">
        <v>20727</v>
      </c>
      <c r="E15746" s="22" t="s">
        <v>48</v>
      </c>
      <c r="F15746" s="23" t="str">
        <f>HYPERLINK("https://www.spark-marketing.ru/Card/Lot/71586584", "Оказание услуги по питанию (горячего) больных для нужд  ГБУЗ РК «Симферопольский КРД № 1» на 2-е полугодие 2019 года")</f>
        <v>Оказание услуги по питанию (горячего) больных для нужд  ГБУЗ РК «Симферопольский КРД № 1» на 2-е полугодие 2019 года</v>
      </c>
      <c r="G15746" s="22" t="s">
        <v>108</v>
      </c>
      <c r="H15746" s="22" t="s">
        <v>1355</v>
      </c>
      <c r="I15746" s="26">
        <v>43637.625509259298</v>
      </c>
      <c r="J15746" s="23" t="str">
        <f>HYPERLINK("https://www.spark-marketing.ru/Card/Person/6367844", "Шевченко Тарас Николаевич")</f>
        <v>Шевченко Тарас Николаевич</v>
      </c>
      <c r="K15746" s="24" t="s">
        <v>8386</v>
      </c>
      <c r="L15746" s="22" t="s">
        <v>10</v>
      </c>
      <c r="M15746" s="28" t="s">
        <v>51</v>
      </c>
      <c r="N15746" s="28" t="s">
        <v>51</v>
      </c>
    </row>
    <row r="15747" spans="1:14" x14ac:dyDescent="0.15">
      <c r="A15747" s="23" t="str">
        <f>HYPERLINK("https://www.spark-marketing.ru/Card/Person/60403", "УМВД РОССИИ ПО ГОРОДСКОМУ ОКРУГУ ЭЛЕКТРОСТАЛЬ")</f>
        <v>УМВД РОССИИ ПО ГОРОДСКОМУ ОКРУГУ ЭЛЕКТРОСТАЛЬ</v>
      </c>
      <c r="B15747" s="24" t="s">
        <v>10442</v>
      </c>
      <c r="C15747" s="25">
        <v>2133045</v>
      </c>
      <c r="D15747" s="22" t="s">
        <v>20728</v>
      </c>
      <c r="E15747" s="22" t="s">
        <v>48</v>
      </c>
      <c r="F15747" s="23" t="str">
        <f>HYPERLINK("https://www.spark-marketing.ru/Card/Lot/71586415", "оказание услуг по обеспечению ежедневным трехразовым горячим питанием лиц, задержанных за административное правонарушение на срок более трех часов, содержащихся в специальных помещениях для содержания задержанных лиц и граждан, подвергнутых администр...")</f>
        <v>оказание услуг по обеспечению ежедневным трехразовым горячим питанием лиц, задержанных за административное правонарушение на срок более трех часов, содержащихся в специальных помещениях для содержания задержанных лиц и граждан, подвергнутых администр...</v>
      </c>
      <c r="G15747" s="22" t="s">
        <v>49</v>
      </c>
      <c r="H15747" s="22" t="s">
        <v>742</v>
      </c>
      <c r="I15747" s="26">
        <v>43637.655787037002</v>
      </c>
      <c r="J15747" s="28" t="s">
        <v>51</v>
      </c>
      <c r="K15747" s="28" t="s">
        <v>51</v>
      </c>
      <c r="L15747" s="28" t="s">
        <v>51</v>
      </c>
      <c r="M15747" s="28" t="s">
        <v>51</v>
      </c>
      <c r="N15747" s="28" t="s">
        <v>51</v>
      </c>
    </row>
    <row r="15748" spans="1:14" x14ac:dyDescent="0.15">
      <c r="A15748" s="23" t="str">
        <f>HYPERLINK("https://www.spark-marketing.ru/Card/Person/1760026", "ЗАО ""ПФК ""КРЫЛЬЯ СОВЕТОВ""")</f>
        <v>ЗАО "ПФК "КРЫЛЬЯ СОВЕТОВ"</v>
      </c>
      <c r="B15748" s="24" t="s">
        <v>2056</v>
      </c>
      <c r="C15748" s="25">
        <v>662235</v>
      </c>
      <c r="D15748" s="22" t="s">
        <v>20729</v>
      </c>
      <c r="E15748" s="22" t="s">
        <v>2661</v>
      </c>
      <c r="F15748" s="23" t="str">
        <f>HYPERLINK("https://www.spark-marketing.ru/Card/Lot/71569871", "Комплекс услуг, связанных с организацией питания, проживания команды 2002г.р. ЦПФ ЗАО «ПФК «Крылья Советов» (в рамках участия в финальном турнире Первенства России по футболу среди команд спортивных школ сезона 2018/2019 гг.)")</f>
        <v>Комплекс услуг, связанных с организацией питания, проживания команды 2002г.р. ЦПФ ЗАО «ПФК «Крылья Советов» (в рамках участия в финальном турнире Первенства России по футболу среди команд спортивных школ сезона 2018/2019 гг.)</v>
      </c>
      <c r="G15748" s="22" t="s">
        <v>56</v>
      </c>
      <c r="H15748" s="22" t="s">
        <v>56</v>
      </c>
      <c r="I15748" s="26">
        <v>43637.631712962997</v>
      </c>
      <c r="J15748" s="28" t="s">
        <v>51</v>
      </c>
      <c r="K15748" s="28" t="s">
        <v>51</v>
      </c>
      <c r="L15748" s="28" t="s">
        <v>51</v>
      </c>
      <c r="M15748" s="28" t="s">
        <v>51</v>
      </c>
      <c r="N15748" s="28" t="s">
        <v>51</v>
      </c>
    </row>
    <row r="15749" spans="1:14" x14ac:dyDescent="0.15">
      <c r="A15749" s="23" t="str">
        <f>HYPERLINK("https://www.spark-marketing.ru/Card/Person/1760855", "МОАУ ""ГИМНАЗИЯ №2""")</f>
        <v>МОАУ "ГИМНАЗИЯ №2"</v>
      </c>
      <c r="B15749" s="24" t="s">
        <v>20730</v>
      </c>
      <c r="C15749" s="25">
        <v>152262.6</v>
      </c>
      <c r="D15749" s="22" t="s">
        <v>20731</v>
      </c>
      <c r="E15749" s="22" t="s">
        <v>362</v>
      </c>
      <c r="F15749" s="23" t="str">
        <f>HYPERLINK("https://www.spark-marketing.ru/Card/Lot/71566681", "Оказание услуг по организации питания детей в лагере дневного пребывания.")</f>
        <v>Оказание услуг по организации питания детей в лагере дневного пребывания.</v>
      </c>
      <c r="G15749" s="22" t="s">
        <v>132</v>
      </c>
      <c r="H15749" s="22" t="s">
        <v>132</v>
      </c>
      <c r="I15749" s="26">
        <v>43637.632476851897</v>
      </c>
      <c r="J15749" s="28" t="s">
        <v>51</v>
      </c>
      <c r="K15749" s="28" t="s">
        <v>51</v>
      </c>
      <c r="L15749" s="28" t="s">
        <v>51</v>
      </c>
      <c r="M15749" s="28" t="s">
        <v>51</v>
      </c>
      <c r="N15749" s="28" t="s">
        <v>51</v>
      </c>
    </row>
    <row r="15750" spans="1:14" ht="12.75" x14ac:dyDescent="0.2">
      <c r="A15750" s="23" t="str">
        <f>HYPERLINK("https://www.spark-marketing.ru/Card/Person/1039307", "МБОУ ""ЛИЦЕЙ ""РАЗВИТИЕ""")</f>
        <v>МБОУ "ЛИЦЕЙ "РАЗВИТИЕ"</v>
      </c>
      <c r="B15750" s="24" t="s">
        <v>20732</v>
      </c>
      <c r="C15750" s="25">
        <v>4222550</v>
      </c>
      <c r="D15750" s="22" t="s">
        <v>20733</v>
      </c>
      <c r="E15750" s="22" t="s">
        <v>48</v>
      </c>
      <c r="F15750" s="23" t="str">
        <f>HYPERLINK("https://www.spark-marketing.ru/Card/Lot/71587757", "Услуги школьных столовых и кухонь")</f>
        <v>Услуги школьных столовых и кухонь</v>
      </c>
      <c r="G15750" s="22" t="s">
        <v>415</v>
      </c>
      <c r="H15750" s="22" t="s">
        <v>415</v>
      </c>
      <c r="I15750" s="26">
        <v>43637.661689814799</v>
      </c>
      <c r="J15750" s="23" t="str">
        <f>HYPERLINK("https://www.spark-marketing.ru/Card/Person/778330", "ООО ""КОМПЛЕКС-ПЛЮС""")</f>
        <v>ООО "КОМПЛЕКС-ПЛЮС"</v>
      </c>
      <c r="K15750" s="24" t="s">
        <v>20694</v>
      </c>
      <c r="L15750" s="22" t="s">
        <v>10</v>
      </c>
      <c r="M15750" s="25">
        <v>3800295</v>
      </c>
      <c r="N15750" s="27">
        <v>0.1</v>
      </c>
    </row>
    <row r="15751" spans="1:14" ht="12.75" x14ac:dyDescent="0.2">
      <c r="A15751" s="23" t="str">
        <f>HYPERLINK("https://www.spark-marketing.ru/Card/Person/1053635", "МБОУ ""ПТПЛ""")</f>
        <v>МБОУ "ПТПЛ"</v>
      </c>
      <c r="B15751" s="24" t="s">
        <v>20734</v>
      </c>
      <c r="C15751" s="25">
        <v>4722343.5</v>
      </c>
      <c r="D15751" s="22" t="s">
        <v>20735</v>
      </c>
      <c r="E15751" s="22" t="s">
        <v>48</v>
      </c>
      <c r="F15751" s="23" t="str">
        <f>HYPERLINK("https://www.spark-marketing.ru/Card/Lot/71587759", "Услуга общественного питания")</f>
        <v>Услуга общественного питания</v>
      </c>
      <c r="G15751" s="22" t="s">
        <v>415</v>
      </c>
      <c r="H15751" s="22" t="s">
        <v>415</v>
      </c>
      <c r="I15751" s="26">
        <v>43637.663425925901</v>
      </c>
      <c r="J15751" s="23" t="str">
        <f>HYPERLINK("https://www.spark-marketing.ru/Card/Person/778330", "ООО ""КОМПЛЕКС-ПЛЮС""")</f>
        <v>ООО "КОМПЛЕКС-ПЛЮС"</v>
      </c>
      <c r="K15751" s="24" t="s">
        <v>20694</v>
      </c>
      <c r="L15751" s="22" t="s">
        <v>10</v>
      </c>
      <c r="M15751" s="25">
        <v>4250110</v>
      </c>
      <c r="N15751" s="27">
        <v>9.9999820004622708E-2</v>
      </c>
    </row>
    <row r="15752" spans="1:14" x14ac:dyDescent="0.15">
      <c r="A15752" s="23" t="str">
        <f>HYPERLINK("https://www.spark-marketing.ru/Card/Person/29292", "ГУ-ЛЕНИНГРАДСКОЕ РО ФОНДА СОЦИАЛЬНОГО СТРАХОВАНИЯ РОССИЙСКОЙ ФЕДЕРАЦИИ")</f>
        <v>ГУ-ЛЕНИНГРАДСКОЕ РО ФОНДА СОЦИАЛЬНОГО СТРАХОВАНИЯ РОССИЙСКОЙ ФЕДЕРАЦИИ</v>
      </c>
      <c r="B15752" s="24" t="s">
        <v>1653</v>
      </c>
      <c r="C15752" s="25">
        <v>1122930</v>
      </c>
      <c r="D15752" s="22" t="s">
        <v>20736</v>
      </c>
      <c r="E15752" s="22" t="s">
        <v>86</v>
      </c>
      <c r="F15752" s="23" t="str">
        <f>HYPERLINK("https://www.spark-marketing.ru/Card/Lot/71585493", "Санаторно-курортное лечение граждан-получателей набора социальных услуг")</f>
        <v>Санаторно-курортное лечение граждан-получателей набора социальных услуг</v>
      </c>
      <c r="G15752" s="22" t="s">
        <v>117</v>
      </c>
      <c r="H15752" s="22" t="s">
        <v>117</v>
      </c>
      <c r="I15752" s="26">
        <v>43637.650694444397</v>
      </c>
      <c r="J15752" s="28" t="s">
        <v>51</v>
      </c>
      <c r="K15752" s="28" t="s">
        <v>51</v>
      </c>
      <c r="L15752" s="28" t="s">
        <v>51</v>
      </c>
      <c r="M15752" s="28" t="s">
        <v>51</v>
      </c>
      <c r="N15752" s="28" t="s">
        <v>51</v>
      </c>
    </row>
    <row r="15753" spans="1:14" x14ac:dyDescent="0.15">
      <c r="A15753" s="23" t="str">
        <f>HYPERLINK("https://www.spark-marketing.ru/Card/Person/135606", "ГБУ СШОР № 1 МОСКОВСКОГО РАЙОНА")</f>
        <v>ГБУ СШОР № 1 МОСКОВСКОГО РАЙОНА</v>
      </c>
      <c r="B15753" s="24" t="s">
        <v>1821</v>
      </c>
      <c r="C15753" s="25">
        <v>609612</v>
      </c>
      <c r="D15753" s="22" t="s">
        <v>20737</v>
      </c>
      <c r="E15753" s="22" t="s">
        <v>374</v>
      </c>
      <c r="F15753" s="23" t="str">
        <f>HYPERLINK("https://www.spark-marketing.ru/Card/Lot/71584417", "Оказание услуг по обеспечению участия занимающихся в ГБУ СШОР № 1 Московского района в тренировочных сборах (тренировочных мероприятиях) за пределами Санкт-Петербурга и Ленинградской области с учетом затрат на организацию питания, проживания, проезда...")</f>
        <v>Оказание услуг по обеспечению участия занимающихся в ГБУ СШОР № 1 Московского района в тренировочных сборах (тренировочных мероприятиях) за пределами Санкт-Петербурга и Ленинградской области с учетом затрат на организацию питания, проживания, проезда...</v>
      </c>
      <c r="G15753" s="22" t="s">
        <v>117</v>
      </c>
      <c r="H15753" s="22" t="s">
        <v>117</v>
      </c>
      <c r="I15753" s="26">
        <v>43637.626388888901</v>
      </c>
      <c r="J15753" s="23" t="str">
        <f>HYPERLINK("https://www.spark-marketing.ru/Card/Person/1567791", "ООО ""ТЕРРА""")</f>
        <v>ООО "ТЕРРА"</v>
      </c>
      <c r="K15753" s="24" t="s">
        <v>6244</v>
      </c>
      <c r="L15753" s="22" t="s">
        <v>10</v>
      </c>
      <c r="M15753" s="28" t="s">
        <v>51</v>
      </c>
      <c r="N15753" s="28" t="s">
        <v>51</v>
      </c>
    </row>
    <row r="15754" spans="1:14" x14ac:dyDescent="0.15">
      <c r="A15754" s="23" t="str">
        <f>HYPERLINK("https://www.spark-marketing.ru/Card/Person/1048222", "МБУК РДК ИМ.НАРИМАНОВА")</f>
        <v>МБУК РДК ИМ.НАРИМАНОВА</v>
      </c>
      <c r="B15754" s="24" t="s">
        <v>20738</v>
      </c>
      <c r="C15754" s="25">
        <v>20000</v>
      </c>
      <c r="D15754" s="22" t="s">
        <v>20739</v>
      </c>
      <c r="E15754" s="22" t="s">
        <v>48</v>
      </c>
      <c r="F15754" s="23" t="str">
        <f>HYPERLINK("https://www.spark-marketing.ru/Card/Lot/71571782", "Оказание услуги по обеспечению питанием, осуществляемые по договору, прочие")</f>
        <v>Оказание услуги по обеспечению питанием, осуществляемые по договору, прочие</v>
      </c>
      <c r="G15754" s="22" t="s">
        <v>49</v>
      </c>
      <c r="H15754" s="22" t="s">
        <v>1519</v>
      </c>
      <c r="I15754" s="26">
        <v>43637.627812500003</v>
      </c>
      <c r="J15754" s="28" t="s">
        <v>51</v>
      </c>
      <c r="K15754" s="28" t="s">
        <v>51</v>
      </c>
      <c r="L15754" s="28" t="s">
        <v>51</v>
      </c>
      <c r="M15754" s="28" t="s">
        <v>51</v>
      </c>
      <c r="N15754" s="28" t="s">
        <v>51</v>
      </c>
    </row>
    <row r="15755" spans="1:14" x14ac:dyDescent="0.15">
      <c r="A15755" s="23" t="str">
        <f>HYPERLINK("https://www.spark-marketing.ru/Card/Person/12031", "СПБ ГБУ СОН ""ЦСПСИД ПЕТРОГРАДСКОГО РАЙОНА СПБ""")</f>
        <v>СПБ ГБУ СОН "ЦСПСИД ПЕТРОГРАДСКОГО РАЙОНА СПБ"</v>
      </c>
      <c r="B15755" s="24" t="s">
        <v>20740</v>
      </c>
      <c r="C15755" s="25">
        <v>470766.15</v>
      </c>
      <c r="D15755" s="22" t="s">
        <v>20741</v>
      </c>
      <c r="E15755" s="22" t="s">
        <v>586</v>
      </c>
      <c r="F15755" s="23" t="str">
        <f>HYPERLINK("https://www.spark-marketing.ru/Card/Lot/71583643", "ПРИОБРЕТЕНИИ ПРОДУКТОВЫХ НАБОРОВ ДЛЯ СЕМЕЙ С ДЕТЬМИ, С ЦЕЛЬЮ ОКАЗАНИЯ СРОЧНЫХ СОЦИАЛЬНЫХ УСЛУГ")</f>
        <v>ПРИОБРЕТЕНИИ ПРОДУКТОВЫХ НАБОРОВ ДЛЯ СЕМЕЙ С ДЕТЬМИ, С ЦЕЛЬЮ ОКАЗАНИЯ СРОЧНЫХ СОЦИАЛЬНЫХ УСЛУГ</v>
      </c>
      <c r="G15755" s="22" t="s">
        <v>117</v>
      </c>
      <c r="H15755" s="22" t="s">
        <v>117</v>
      </c>
      <c r="I15755" s="26">
        <v>43637.657638888901</v>
      </c>
      <c r="J15755" s="28" t="s">
        <v>51</v>
      </c>
      <c r="K15755" s="28" t="s">
        <v>51</v>
      </c>
      <c r="L15755" s="28" t="s">
        <v>51</v>
      </c>
      <c r="M15755" s="28" t="s">
        <v>51</v>
      </c>
      <c r="N15755" s="28" t="s">
        <v>51</v>
      </c>
    </row>
    <row r="15756" spans="1:14" hidden="1" outlineLevel="1" x14ac:dyDescent="0.2">
      <c r="A15756" s="23" t="str">
        <f>HYPERLINK("https://www.spark-marketing.ru/Card/Person/12031", "СПБ ГБУ СОН ""ЦСПСИД ПЕТРОГРАДСКОГО РАЙОНА СПБ""")</f>
        <v>СПБ ГБУ СОН "ЦСПСИД ПЕТРОГРАДСКОГО РАЙОНА СПБ"</v>
      </c>
      <c r="B15756" s="24" t="s">
        <v>20740</v>
      </c>
      <c r="C15756" s="25">
        <v>470766.15</v>
      </c>
      <c r="D15756" s="22" t="s">
        <v>20741</v>
      </c>
      <c r="E15756" s="22" t="s">
        <v>586</v>
      </c>
      <c r="F15756" s="23" t="str">
        <f>HYPERLINK("https://www.spark-marketing.ru/Card/Lot/71583643", "ПРИОБРЕТЕНИИ ПРОДУКТОВЫХ НАБОРОВ ДЛЯ СЕМЕЙ С ДЕТЬМИ, С ЦЕЛЬЮ ОКАЗАНИЯ СРОЧНЫХ СОЦИАЛЬНЫХ УСЛУГ")</f>
        <v>ПРИОБРЕТЕНИИ ПРОДУКТОВЫХ НАБОРОВ ДЛЯ СЕМЕЙ С ДЕТЬМИ, С ЦЕЛЬЮ ОКАЗАНИЯ СРОЧНЫХ СОЦИАЛЬНЫХ УСЛУГ</v>
      </c>
      <c r="G15756" s="22" t="s">
        <v>117</v>
      </c>
      <c r="H15756" s="22" t="s">
        <v>117</v>
      </c>
      <c r="I15756" s="26">
        <v>43637.657638888901</v>
      </c>
      <c r="J15756" s="23" t="str">
        <f>HYPERLINK("https://www.spark-marketing.ru/Card/Person/6142512", "ООО ""ЛИДЕР ФУД""")</f>
        <v>ООО "ЛИДЕР ФУД"</v>
      </c>
      <c r="K15756" s="24" t="s">
        <v>3013</v>
      </c>
      <c r="L15756" s="28" t="s">
        <v>51</v>
      </c>
      <c r="M15756" s="25">
        <v>409566.57</v>
      </c>
      <c r="N15756" s="27">
        <v>0.1299999585781603</v>
      </c>
    </row>
    <row r="15757" spans="1:14" ht="12.75" hidden="1" outlineLevel="1" x14ac:dyDescent="0.2">
      <c r="A15757" s="23" t="str">
        <f>HYPERLINK("https://www.spark-marketing.ru/Card/Person/12031", "СПБ ГБУ СОН ""ЦСПСИД ПЕТРОГРАДСКОГО РАЙОНА СПБ""")</f>
        <v>СПБ ГБУ СОН "ЦСПСИД ПЕТРОГРАДСКОГО РАЙОНА СПБ"</v>
      </c>
      <c r="B15757" s="24" t="s">
        <v>20740</v>
      </c>
      <c r="C15757" s="25">
        <v>470766.15</v>
      </c>
      <c r="D15757" s="22" t="s">
        <v>20741</v>
      </c>
      <c r="E15757" s="22" t="s">
        <v>586</v>
      </c>
      <c r="F15757" s="23" t="str">
        <f>HYPERLINK("https://www.spark-marketing.ru/Card/Lot/71583643", "ПРИОБРЕТЕНИИ ПРОДУКТОВЫХ НАБОРОВ ДЛЯ СЕМЕЙ С ДЕТЬМИ, С ЦЕЛЬЮ ОКАЗАНИЯ СРОЧНЫХ СОЦИАЛЬНЫХ УСЛУГ")</f>
        <v>ПРИОБРЕТЕНИИ ПРОДУКТОВЫХ НАБОРОВ ДЛЯ СЕМЕЙ С ДЕТЬМИ, С ЦЕЛЬЮ ОКАЗАНИЯ СРОЧНЫХ СОЦИАЛЬНЫХ УСЛУГ</v>
      </c>
      <c r="G15757" s="22" t="s">
        <v>117</v>
      </c>
      <c r="H15757" s="22" t="s">
        <v>117</v>
      </c>
      <c r="I15757" s="26">
        <v>43637.657638888901</v>
      </c>
      <c r="J15757" s="23" t="str">
        <f>HYPERLINK("https://www.spark-marketing.ru/Card/Person/52902", "ООО ""ЭВЕНТУС""")</f>
        <v>ООО "ЭВЕНТУС"</v>
      </c>
      <c r="K15757" s="24" t="s">
        <v>20742</v>
      </c>
      <c r="L15757" s="22" t="s">
        <v>10</v>
      </c>
      <c r="M15757" s="25">
        <v>407212.74</v>
      </c>
      <c r="N15757" s="27">
        <v>0.13499995698501263</v>
      </c>
    </row>
    <row r="15758" spans="1:14" x14ac:dyDescent="0.15">
      <c r="A15758" s="23" t="str">
        <f>HYPERLINK("https://www.spark-marketing.ru/Card/Person/7846", "ГЛАВНОЕ УПРАВЛЕНИЕ МЧС РОССИИ ПО ТВЕРСКОЙ ОБЛАСТИ")</f>
        <v>ГЛАВНОЕ УПРАВЛЕНИЕ МЧС РОССИИ ПО ТВЕРСКОЙ ОБЛАСТИ</v>
      </c>
      <c r="B15758" s="24" t="s">
        <v>20743</v>
      </c>
      <c r="C15758" s="25">
        <v>660000</v>
      </c>
      <c r="D15758" s="22" t="s">
        <v>20744</v>
      </c>
      <c r="E15758" s="22" t="s">
        <v>1632</v>
      </c>
      <c r="F15758" s="23" t="str">
        <f>HYPERLINK("https://www.spark-marketing.ru/Card/Lot/71584215", "Проживание и питание участников фестиваля")</f>
        <v>Проживание и питание участников фестиваля</v>
      </c>
      <c r="G15758" s="22" t="s">
        <v>137</v>
      </c>
      <c r="H15758" s="22" t="s">
        <v>137</v>
      </c>
      <c r="I15758" s="26">
        <v>43637.588888888902</v>
      </c>
      <c r="J15758" s="23" t="str">
        <f>HYPERLINK("https://www.spark-marketing.ru/Card/Person/349920", "ООО ""ИСК КОРПУС""")</f>
        <v>ООО "ИСК КОРПУС"</v>
      </c>
      <c r="K15758" s="24" t="s">
        <v>20745</v>
      </c>
      <c r="L15758" s="22" t="s">
        <v>10</v>
      </c>
      <c r="M15758" s="28" t="s">
        <v>51</v>
      </c>
      <c r="N15758" s="28" t="s">
        <v>51</v>
      </c>
    </row>
    <row r="15759" spans="1:14" x14ac:dyDescent="0.15">
      <c r="A15759" s="23" t="str">
        <f>HYPERLINK("https://www.spark-marketing.ru/Card/Person/244638", "МАОУ СШ № 151")</f>
        <v>МАОУ СШ № 151</v>
      </c>
      <c r="B15759" s="24" t="s">
        <v>13074</v>
      </c>
      <c r="C15759" s="25">
        <v>632268</v>
      </c>
      <c r="D15759" s="22" t="s">
        <v>20746</v>
      </c>
      <c r="E15759" s="22" t="s">
        <v>362</v>
      </c>
      <c r="F15759" s="23" t="str">
        <f>HYPERLINK("https://www.spark-marketing.ru/Card/Lot/71563286", "Услуги по организации питания детей в пришкольных площадках МАОУ СШ № 151")</f>
        <v>Услуги по организации питания детей в пришкольных площадках МАОУ СШ № 151</v>
      </c>
      <c r="G15759" s="22" t="s">
        <v>281</v>
      </c>
      <c r="H15759" s="22" t="s">
        <v>281</v>
      </c>
      <c r="I15759" s="26">
        <v>43637.607916666697</v>
      </c>
      <c r="J15759" s="28" t="s">
        <v>51</v>
      </c>
      <c r="K15759" s="28" t="s">
        <v>51</v>
      </c>
      <c r="L15759" s="28" t="s">
        <v>51</v>
      </c>
      <c r="M15759" s="28" t="s">
        <v>51</v>
      </c>
      <c r="N15759" s="28" t="s">
        <v>51</v>
      </c>
    </row>
    <row r="15760" spans="1:14" x14ac:dyDescent="0.15">
      <c r="A15760" s="23" t="str">
        <f>HYPERLINK("https://www.spark-marketing.ru/Card/Person/135606", "ГБУ СШОР № 1 МОСКОВСКОГО РАЙОНА")</f>
        <v>ГБУ СШОР № 1 МОСКОВСКОГО РАЙОНА</v>
      </c>
      <c r="B15760" s="24" t="s">
        <v>1821</v>
      </c>
      <c r="C15760" s="25">
        <v>1240988</v>
      </c>
      <c r="D15760" s="22" t="s">
        <v>20747</v>
      </c>
      <c r="E15760" s="22" t="s">
        <v>374</v>
      </c>
      <c r="F15760" s="23" t="str">
        <f>HYPERLINK("https://www.spark-marketing.ru/Card/Lot/71585252", "Оказание услуг по обеспечению участия занимающихся в ГБУ СШОР № 1 Московского района в тренировочных сборах (тренировочных мероприятиях) за пределами Санкт-Петербурга и Ленинградской области с учетом затрат на организацию питания, проживания, проезда...")</f>
        <v>Оказание услуг по обеспечению участия занимающихся в ГБУ СШОР № 1 Московского района в тренировочных сборах (тренировочных мероприятиях) за пределами Санкт-Петербурга и Ленинградской области с учетом затрат на организацию питания, проживания, проезда...</v>
      </c>
      <c r="G15760" s="22" t="s">
        <v>117</v>
      </c>
      <c r="H15760" s="22" t="s">
        <v>117</v>
      </c>
      <c r="I15760" s="26">
        <v>43637.609027777798</v>
      </c>
      <c r="J15760" s="23" t="str">
        <f>HYPERLINK("https://www.spark-marketing.ru/Card/Person/1567791", "ООО ""ТЕРРА""")</f>
        <v>ООО "ТЕРРА"</v>
      </c>
      <c r="K15760" s="24" t="s">
        <v>6244</v>
      </c>
      <c r="L15760" s="22" t="s">
        <v>10</v>
      </c>
      <c r="M15760" s="28" t="s">
        <v>51</v>
      </c>
      <c r="N15760" s="28" t="s">
        <v>51</v>
      </c>
    </row>
    <row r="15761" spans="1:14" x14ac:dyDescent="0.15">
      <c r="A15761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15761" s="24" t="s">
        <v>6649</v>
      </c>
      <c r="C15761" s="25">
        <v>2993800</v>
      </c>
      <c r="D15761" s="22" t="s">
        <v>20748</v>
      </c>
      <c r="E15761" s="22" t="s">
        <v>952</v>
      </c>
      <c r="F15761" s="23" t="str">
        <f>HYPERLINK("https://www.spark-marketing.ru/Card/Lot/71572903", "Оказание услуг по организации общественного питания в ФГАУ «Санаторий ФССП России «Зеленая долина»")</f>
        <v>Оказание услуг по организации общественного питания в ФГАУ «Санаторий ФССП России «Зеленая долина»</v>
      </c>
      <c r="G15761" s="22" t="s">
        <v>104</v>
      </c>
      <c r="H15761" s="22" t="s">
        <v>104</v>
      </c>
      <c r="I15761" s="26">
        <v>43637.610243055598</v>
      </c>
      <c r="J15761" s="28" t="s">
        <v>51</v>
      </c>
      <c r="K15761" s="28" t="s">
        <v>51</v>
      </c>
      <c r="L15761" s="28" t="s">
        <v>51</v>
      </c>
      <c r="M15761" s="28" t="s">
        <v>51</v>
      </c>
      <c r="N15761" s="28" t="s">
        <v>51</v>
      </c>
    </row>
    <row r="15762" spans="1:14" x14ac:dyDescent="0.15">
      <c r="A15762" s="23" t="str">
        <f>HYPERLINK("https://www.spark-marketing.ru/Card/Person/4352055", "ГБПОУ МО ""КОЛОМЕНСКИЙ АГРАРНЫЙ КОЛЛЕДЖ""")</f>
        <v>ГБПОУ МО "КОЛОМЕНСКИЙ АГРАРНЫЙ КОЛЛЕДЖ"</v>
      </c>
      <c r="B15762" s="24" t="s">
        <v>1611</v>
      </c>
      <c r="C15762" s="25">
        <v>4367415.1399999997</v>
      </c>
      <c r="D15762" s="22" t="s">
        <v>20749</v>
      </c>
      <c r="E15762" s="22" t="s">
        <v>48</v>
      </c>
      <c r="F15762" s="23" t="str">
        <f>HYPERLINK("https://www.spark-marketing.ru/Card/Lot/71586716", "Услуги по организации питания для учащихся ЕОСП ГБПОУ МО ""Коломенский аграрный колледж""")</f>
        <v>Услуги по организации питания для учащихся ЕОСП ГБПОУ МО "Коломенский аграрный колледж"</v>
      </c>
      <c r="G15762" s="22" t="s">
        <v>49</v>
      </c>
      <c r="H15762" s="22" t="s">
        <v>180</v>
      </c>
      <c r="I15762" s="26">
        <v>43637.605381944399</v>
      </c>
      <c r="J15762" s="28" t="s">
        <v>51</v>
      </c>
      <c r="K15762" s="28" t="s">
        <v>51</v>
      </c>
      <c r="L15762" s="28" t="s">
        <v>51</v>
      </c>
      <c r="M15762" s="28" t="s">
        <v>51</v>
      </c>
      <c r="N15762" s="28" t="s">
        <v>51</v>
      </c>
    </row>
    <row r="15763" spans="1:14" hidden="1" outlineLevel="1" x14ac:dyDescent="0.2">
      <c r="A15763" s="23" t="str">
        <f>HYPERLINK("https://www.spark-marketing.ru/Card/Person/4352055", "ГБПОУ МО ""КОЛОМЕНСКИЙ АГРАРНЫЙ КОЛЛЕДЖ""")</f>
        <v>ГБПОУ МО "КОЛОМЕНСКИЙ АГРАРНЫЙ КОЛЛЕДЖ"</v>
      </c>
      <c r="B15763" s="24" t="s">
        <v>1611</v>
      </c>
      <c r="C15763" s="25">
        <v>4367415.1399999997</v>
      </c>
      <c r="D15763" s="22" t="s">
        <v>20749</v>
      </c>
      <c r="E15763" s="22" t="s">
        <v>48</v>
      </c>
      <c r="F15763" s="23" t="str">
        <f>HYPERLINK("https://www.spark-marketing.ru/Card/Lot/71586716", "Услуги по организации питания для учащихся ЕОСП ГБПОУ МО ""Коломенский аграрный колледж""")</f>
        <v>Услуги по организации питания для учащихся ЕОСП ГБПОУ МО "Коломенский аграрный колледж"</v>
      </c>
      <c r="G15763" s="22" t="s">
        <v>49</v>
      </c>
      <c r="H15763" s="22" t="s">
        <v>180</v>
      </c>
      <c r="I15763" s="26">
        <v>43637.605381944399</v>
      </c>
      <c r="J15763" s="23" t="str">
        <f>HYPERLINK("https://www.spark-marketing.ru/Card/Person/4688348", "ООО ""КОМБИНАТ ПИТАНИЯ ""МК""")</f>
        <v>ООО "КОМБИНАТ ПИТАНИЯ "МК"</v>
      </c>
      <c r="K15763" s="24" t="s">
        <v>11806</v>
      </c>
      <c r="L15763" s="28" t="s">
        <v>51</v>
      </c>
      <c r="M15763" s="25">
        <v>3297398.32</v>
      </c>
      <c r="N15763" s="27">
        <v>0.24500002534680043</v>
      </c>
    </row>
    <row r="15764" spans="1:14" ht="12.75" hidden="1" outlineLevel="1" x14ac:dyDescent="0.2">
      <c r="A15764" s="23" t="str">
        <f>HYPERLINK("https://www.spark-marketing.ru/Card/Person/4352055", "ГБПОУ МО ""КОЛОМЕНСКИЙ АГРАРНЫЙ КОЛЛЕДЖ""")</f>
        <v>ГБПОУ МО "КОЛОМЕНСКИЙ АГРАРНЫЙ КОЛЛЕДЖ"</v>
      </c>
      <c r="B15764" s="24" t="s">
        <v>1611</v>
      </c>
      <c r="C15764" s="25">
        <v>4367415.1399999997</v>
      </c>
      <c r="D15764" s="22" t="s">
        <v>20749</v>
      </c>
      <c r="E15764" s="22" t="s">
        <v>48</v>
      </c>
      <c r="F15764" s="23" t="str">
        <f>HYPERLINK("https://www.spark-marketing.ru/Card/Lot/71586716", "Услуги по организации питания для учащихся ЕОСП ГБПОУ МО ""Коломенский аграрный колледж""")</f>
        <v>Услуги по организации питания для учащихся ЕОСП ГБПОУ МО "Коломенский аграрный колледж"</v>
      </c>
      <c r="G15764" s="22" t="s">
        <v>49</v>
      </c>
      <c r="H15764" s="22" t="s">
        <v>180</v>
      </c>
      <c r="I15764" s="26">
        <v>43637.605381944399</v>
      </c>
      <c r="J15764" s="23" t="str">
        <f>HYPERLINK("https://www.spark-marketing.ru/Card/Person/4890181", "ООО ""БОЛЬШАЯ ПЕРЕМЕНА""")</f>
        <v>ООО "БОЛЬШАЯ ПЕРЕМЕНА"</v>
      </c>
      <c r="K15764" s="24" t="s">
        <v>5419</v>
      </c>
      <c r="L15764" s="22" t="s">
        <v>10</v>
      </c>
      <c r="M15764" s="25">
        <v>3275561.24</v>
      </c>
      <c r="N15764" s="27">
        <v>0.25000002633136453</v>
      </c>
    </row>
    <row r="15765" spans="1:14" hidden="1" outlineLevel="1" x14ac:dyDescent="0.2">
      <c r="A15765" s="23" t="str">
        <f>HYPERLINK("https://www.spark-marketing.ru/Card/Person/4352055", "ГБПОУ МО ""КОЛОМЕНСКИЙ АГРАРНЫЙ КОЛЛЕДЖ""")</f>
        <v>ГБПОУ МО "КОЛОМЕНСКИЙ АГРАРНЫЙ КОЛЛЕДЖ"</v>
      </c>
      <c r="B15765" s="24" t="s">
        <v>1611</v>
      </c>
      <c r="C15765" s="25">
        <v>4367415.1399999997</v>
      </c>
      <c r="D15765" s="22" t="s">
        <v>20749</v>
      </c>
      <c r="E15765" s="22" t="s">
        <v>48</v>
      </c>
      <c r="F15765" s="23" t="str">
        <f>HYPERLINK("https://www.spark-marketing.ru/Card/Lot/71586716", "Услуги по организации питания для учащихся ЕОСП ГБПОУ МО ""Коломенский аграрный колледж""")</f>
        <v>Услуги по организации питания для учащихся ЕОСП ГБПОУ МО "Коломенский аграрный колледж"</v>
      </c>
      <c r="G15765" s="22" t="s">
        <v>49</v>
      </c>
      <c r="H15765" s="22" t="s">
        <v>180</v>
      </c>
      <c r="I15765" s="26">
        <v>43637.605381944399</v>
      </c>
      <c r="J15765" s="23" t="str">
        <f>HYPERLINK("https://www.spark-marketing.ru/Card/Person/6632661", "Степанов Андрей Алексеевич")</f>
        <v>Степанов Андрей Алексеевич</v>
      </c>
      <c r="K15765" s="24" t="s">
        <v>20750</v>
      </c>
      <c r="L15765" s="28" t="s">
        <v>51</v>
      </c>
      <c r="M15765" s="25">
        <v>3362909.56</v>
      </c>
      <c r="N15765" s="27">
        <v>0.23000002239310824</v>
      </c>
    </row>
    <row r="15766" spans="1:14" x14ac:dyDescent="0.15">
      <c r="A15766" s="23" t="str">
        <f>HYPERLINK("https://www.spark-marketing.ru/Card/Person/1496504", "ГАУК ""САХАЛИНСКАЯ ФИЛАРМОНИЯ""")</f>
        <v>ГАУК "САХАЛИНСКАЯ ФИЛАРМОНИЯ"</v>
      </c>
      <c r="B15766" s="24" t="s">
        <v>4413</v>
      </c>
      <c r="C15766" s="25">
        <v>667350</v>
      </c>
      <c r="D15766" s="22" t="s">
        <v>20751</v>
      </c>
      <c r="E15766" s="22" t="s">
        <v>20752</v>
      </c>
      <c r="F15766" s="23" t="str">
        <f>HYPERLINK("https://www.spark-marketing.ru/Card/Lot/71557013", "услуги по обеспечению питанием участников, в рамках проведения значимого мероприятия для Сахалинской области с участием выдающихся представителей культуры Российской Федерации второго фестиваля телевизионных художественных фильмов «Утро Родины» в пер...")</f>
        <v>услуги по обеспечению питанием участников, в рамках проведения значимого мероприятия для Сахалинской области с участием выдающихся представителей культуры Российской Федерации второго фестиваля телевизионных художественных фильмов «Утро Родины» в пер...</v>
      </c>
      <c r="G15766" s="22" t="s">
        <v>260</v>
      </c>
      <c r="H15766" s="22" t="s">
        <v>260</v>
      </c>
      <c r="I15766" s="26">
        <v>43637.6179976852</v>
      </c>
      <c r="J15766" s="28" t="s">
        <v>51</v>
      </c>
      <c r="K15766" s="28" t="s">
        <v>51</v>
      </c>
      <c r="L15766" s="28" t="s">
        <v>51</v>
      </c>
      <c r="M15766" s="28" t="s">
        <v>51</v>
      </c>
      <c r="N15766" s="28" t="s">
        <v>51</v>
      </c>
    </row>
    <row r="15767" spans="1:14" x14ac:dyDescent="0.15">
      <c r="A15767" s="23" t="str">
        <f>HYPERLINK("https://www.spark-marketing.ru/Card/Person/24761", "УПРАВА РАЙОНА НОВОГИРЕЕВО ГОРОДА МОСКВЫ")</f>
        <v>УПРАВА РАЙОНА НОВОГИРЕЕВО ГОРОДА МОСКВЫ</v>
      </c>
      <c r="B15767" s="24" t="s">
        <v>15452</v>
      </c>
      <c r="C15767" s="25">
        <v>300000</v>
      </c>
      <c r="D15767" s="22" t="s">
        <v>20753</v>
      </c>
      <c r="E15767" s="22" t="s">
        <v>48</v>
      </c>
      <c r="F15767" s="23" t="str">
        <f>HYPERLINK("https://www.spark-marketing.ru/Card/Lot/71583252", "Оказание услуг по организации и проведению праздничных обедов для льготных категорий граждан, проживающих на территории района Новогиреево")</f>
        <v>Оказание услуг по организации и проведению праздничных обедов для льготных категорий граждан, проживающих на территории района Новогиреево</v>
      </c>
      <c r="G15767" s="22" t="s">
        <v>56</v>
      </c>
      <c r="H15767" s="22" t="s">
        <v>56</v>
      </c>
      <c r="I15767" s="26">
        <v>43637.588194444397</v>
      </c>
      <c r="J15767" s="23" t="str">
        <f>HYPERLINK("https://www.spark-marketing.ru/Card/Person/662865", "Чернышов Евгений Алексеевич")</f>
        <v>Чернышов Евгений Алексеевич</v>
      </c>
      <c r="K15767" s="24" t="s">
        <v>20754</v>
      </c>
      <c r="L15767" s="22" t="s">
        <v>10</v>
      </c>
      <c r="M15767" s="28" t="s">
        <v>51</v>
      </c>
      <c r="N15767" s="28" t="s">
        <v>51</v>
      </c>
    </row>
    <row r="15768" spans="1:14" x14ac:dyDescent="0.15">
      <c r="A15768" s="23" t="str">
        <f>HYPERLINK("https://www.spark-marketing.ru/Card/Person/58028", "СПБ ГБУ СШОР ""КОМЕТА""")</f>
        <v>СПБ ГБУ СШОР "КОМЕТА"</v>
      </c>
      <c r="B15768" s="24" t="s">
        <v>18100</v>
      </c>
      <c r="C15768" s="25">
        <v>441596</v>
      </c>
      <c r="D15768" s="22" t="s">
        <v>20755</v>
      </c>
      <c r="E15768" s="22" t="s">
        <v>374</v>
      </c>
      <c r="F15768" s="23" t="str">
        <f>HYPERLINK("https://www.spark-marketing.ru/Card/Lot/71583785",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</v>
      </c>
      <c r="G15768" s="22" t="s">
        <v>117</v>
      </c>
      <c r="H15768" s="22" t="s">
        <v>117</v>
      </c>
      <c r="I15768" s="26">
        <v>43637.591666666704</v>
      </c>
      <c r="J15768" s="28" t="s">
        <v>51</v>
      </c>
      <c r="K15768" s="28" t="s">
        <v>51</v>
      </c>
      <c r="L15768" s="28" t="s">
        <v>51</v>
      </c>
      <c r="M15768" s="28" t="s">
        <v>51</v>
      </c>
      <c r="N15768" s="28" t="s">
        <v>51</v>
      </c>
    </row>
    <row r="15769" spans="1:14" hidden="1" outlineLevel="1" x14ac:dyDescent="0.2">
      <c r="A15769" s="23" t="str">
        <f>HYPERLINK("https://www.spark-marketing.ru/Card/Person/58028", "СПБ ГБУ СШОР ""КОМЕТА""")</f>
        <v>СПБ ГБУ СШОР "КОМЕТА"</v>
      </c>
      <c r="B15769" s="24" t="s">
        <v>18100</v>
      </c>
      <c r="C15769" s="25">
        <v>441596</v>
      </c>
      <c r="D15769" s="22" t="s">
        <v>20755</v>
      </c>
      <c r="E15769" s="22" t="s">
        <v>374</v>
      </c>
      <c r="F15769" s="23" t="str">
        <f>HYPERLINK("https://www.spark-marketing.ru/Card/Lot/71583785",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</v>
      </c>
      <c r="G15769" s="22" t="s">
        <v>117</v>
      </c>
      <c r="H15769" s="22" t="s">
        <v>117</v>
      </c>
      <c r="I15769" s="26">
        <v>43637.591666666704</v>
      </c>
      <c r="J15769" s="23" t="str">
        <f>HYPERLINK("https://www.spark-marketing.ru/Card/Person/1567791", "ООО ""ТЕРРА""")</f>
        <v>ООО "ТЕРРА"</v>
      </c>
      <c r="K15769" s="24" t="s">
        <v>6244</v>
      </c>
      <c r="L15769" s="28" t="s">
        <v>51</v>
      </c>
      <c r="M15769" s="25">
        <v>437180.04</v>
      </c>
      <c r="N15769" s="27">
        <v>0.01</v>
      </c>
    </row>
    <row r="15770" spans="1:14" ht="12.75" hidden="1" outlineLevel="1" x14ac:dyDescent="0.2">
      <c r="A15770" s="23" t="str">
        <f>HYPERLINK("https://www.spark-marketing.ru/Card/Person/58028", "СПБ ГБУ СШОР ""КОМЕТА""")</f>
        <v>СПБ ГБУ СШОР "КОМЕТА"</v>
      </c>
      <c r="B15770" s="24" t="s">
        <v>18100</v>
      </c>
      <c r="C15770" s="25">
        <v>441596</v>
      </c>
      <c r="D15770" s="22" t="s">
        <v>20755</v>
      </c>
      <c r="E15770" s="22" t="s">
        <v>374</v>
      </c>
      <c r="F15770" s="23" t="str">
        <f>HYPERLINK("https://www.spark-marketing.ru/Card/Lot/71583785", "Оказание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спортивного...")</f>
        <v>Оказание услуг по обеспечению участия занимающихся государственных бюджетных учреждений в тренировочных мероприятиях за пределами Санкт-Петербурга и Ленинградской области с учетом затрат на организацию питания, проживание и предоставление спортивного...</v>
      </c>
      <c r="G15770" s="22" t="s">
        <v>117</v>
      </c>
      <c r="H15770" s="22" t="s">
        <v>117</v>
      </c>
      <c r="I15770" s="26">
        <v>43637.591666666704</v>
      </c>
      <c r="J15770" s="23" t="str">
        <f>HYPERLINK("https://www.spark-marketing.ru/Card/Person/4503332", "ООО ""АЛЬФА-ТРАНС""")</f>
        <v>ООО "АЛЬФА-ТРАНС"</v>
      </c>
      <c r="K15770" s="24" t="s">
        <v>18102</v>
      </c>
      <c r="L15770" s="22" t="s">
        <v>10</v>
      </c>
      <c r="M15770" s="25">
        <v>434972.06</v>
      </c>
      <c r="N15770" s="27">
        <v>1.4999999999999999E-2</v>
      </c>
    </row>
    <row r="15771" spans="1:14" x14ac:dyDescent="0.15">
      <c r="A15771" s="23" t="str">
        <f>HYPERLINK("https://www.spark-marketing.ru/Card/Person/1271", "ГБУЗ ""ООКПТД""")</f>
        <v>ГБУЗ "ООКПТД"</v>
      </c>
      <c r="B15771" s="24" t="s">
        <v>20756</v>
      </c>
      <c r="C15771" s="25">
        <v>717276.24</v>
      </c>
      <c r="D15771" s="22" t="s">
        <v>20757</v>
      </c>
      <c r="E15771" s="22" t="s">
        <v>536</v>
      </c>
      <c r="F15771" s="23" t="str">
        <f>HYPERLINK("https://www.spark-marketing.ru/Card/Lot/71584027", "На поставку компьютерной техники")</f>
        <v>На поставку компьютерной техники</v>
      </c>
      <c r="G15771" s="22" t="s">
        <v>132</v>
      </c>
      <c r="H15771" s="22" t="s">
        <v>587</v>
      </c>
      <c r="I15771" s="26">
        <v>43637.623611111099</v>
      </c>
      <c r="J15771" s="28" t="s">
        <v>51</v>
      </c>
      <c r="K15771" s="28" t="s">
        <v>51</v>
      </c>
      <c r="L15771" s="28" t="s">
        <v>51</v>
      </c>
      <c r="M15771" s="28" t="s">
        <v>51</v>
      </c>
      <c r="N15771" s="28" t="s">
        <v>51</v>
      </c>
    </row>
    <row r="15772" spans="1:14" hidden="1" outlineLevel="1" x14ac:dyDescent="0.2">
      <c r="A15772" s="23" t="str">
        <f>HYPERLINK("https://www.spark-marketing.ru/Card/Person/1271", "ГБУЗ ""ООКПТД""")</f>
        <v>ГБУЗ "ООКПТД"</v>
      </c>
      <c r="B15772" s="24" t="s">
        <v>20756</v>
      </c>
      <c r="C15772" s="25">
        <v>717276.24</v>
      </c>
      <c r="D15772" s="22" t="s">
        <v>20757</v>
      </c>
      <c r="E15772" s="22" t="s">
        <v>536</v>
      </c>
      <c r="F15772" s="23" t="str">
        <f>HYPERLINK("https://www.spark-marketing.ru/Card/Lot/71584027", "На поставку компьютерной техники")</f>
        <v>На поставку компьютерной техники</v>
      </c>
      <c r="G15772" s="22" t="s">
        <v>132</v>
      </c>
      <c r="H15772" s="22" t="s">
        <v>587</v>
      </c>
      <c r="I15772" s="26">
        <v>43637.623611111099</v>
      </c>
      <c r="J15772" s="23" t="str">
        <f>HYPERLINK("https://www.spark-marketing.ru/Card/Person/6503506", "ООО ""КОЗИН""")</f>
        <v>ООО "КОЗИН"</v>
      </c>
      <c r="K15772" s="24" t="s">
        <v>20758</v>
      </c>
      <c r="L15772" s="28" t="s">
        <v>51</v>
      </c>
      <c r="M15772" s="25">
        <v>530784.31999999995</v>
      </c>
      <c r="N15772" s="27">
        <v>0.26000013607030953</v>
      </c>
    </row>
    <row r="15773" spans="1:14" ht="12.75" hidden="1" outlineLevel="1" x14ac:dyDescent="0.2">
      <c r="A15773" s="23" t="str">
        <f>HYPERLINK("https://www.spark-marketing.ru/Card/Person/1271", "ГБУЗ ""ООКПТД""")</f>
        <v>ГБУЗ "ООКПТД"</v>
      </c>
      <c r="B15773" s="24" t="s">
        <v>20756</v>
      </c>
      <c r="C15773" s="25">
        <v>717276.24</v>
      </c>
      <c r="D15773" s="22" t="s">
        <v>20757</v>
      </c>
      <c r="E15773" s="22" t="s">
        <v>536</v>
      </c>
      <c r="F15773" s="23" t="str">
        <f>HYPERLINK("https://www.spark-marketing.ru/Card/Lot/71584027", "На поставку компьютерной техники")</f>
        <v>На поставку компьютерной техники</v>
      </c>
      <c r="G15773" s="22" t="s">
        <v>132</v>
      </c>
      <c r="H15773" s="22" t="s">
        <v>587</v>
      </c>
      <c r="I15773" s="26">
        <v>43637.623611111099</v>
      </c>
      <c r="J15773" s="23" t="str">
        <f>HYPERLINK("https://www.spark-marketing.ru/Card/Person/117844", "ООО ""БСГ""")</f>
        <v>ООО "БСГ"</v>
      </c>
      <c r="K15773" s="24" t="s">
        <v>4855</v>
      </c>
      <c r="L15773" s="22" t="s">
        <v>10</v>
      </c>
      <c r="M15773" s="25">
        <v>530784.31999999995</v>
      </c>
      <c r="N15773" s="27">
        <v>0.26000013607030953</v>
      </c>
    </row>
    <row r="15774" spans="1:14" hidden="1" outlineLevel="1" x14ac:dyDescent="0.2">
      <c r="A15774" s="23" t="str">
        <f>HYPERLINK("https://www.spark-marketing.ru/Card/Person/1271", "ГБУЗ ""ООКПТД""")</f>
        <v>ГБУЗ "ООКПТД"</v>
      </c>
      <c r="B15774" s="24" t="s">
        <v>20756</v>
      </c>
      <c r="C15774" s="25">
        <v>717276.24</v>
      </c>
      <c r="D15774" s="22" t="s">
        <v>20757</v>
      </c>
      <c r="E15774" s="22" t="s">
        <v>536</v>
      </c>
      <c r="F15774" s="23" t="str">
        <f>HYPERLINK("https://www.spark-marketing.ru/Card/Lot/71584027", "На поставку компьютерной техники")</f>
        <v>На поставку компьютерной техники</v>
      </c>
      <c r="G15774" s="22" t="s">
        <v>132</v>
      </c>
      <c r="H15774" s="22" t="s">
        <v>587</v>
      </c>
      <c r="I15774" s="26">
        <v>43637.623611111099</v>
      </c>
      <c r="J15774" s="23" t="str">
        <f>HYPERLINK("https://www.spark-marketing.ru/Card/Person/390597", "ООО ""КОМПЛЕКС-СНАСТ""")</f>
        <v>ООО "КОМПЛЕКС-СНАСТ"</v>
      </c>
      <c r="K15774" s="24" t="s">
        <v>10667</v>
      </c>
      <c r="L15774" s="28" t="s">
        <v>51</v>
      </c>
      <c r="M15774" s="25">
        <v>710103.46</v>
      </c>
      <c r="N15774" s="27">
        <v>1.0000024537268932E-2</v>
      </c>
    </row>
    <row r="15775" spans="1:14" x14ac:dyDescent="0.15">
      <c r="A15775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5775" s="24" t="s">
        <v>16017</v>
      </c>
      <c r="C15775" s="25">
        <v>178761.67</v>
      </c>
      <c r="D15775" s="22" t="s">
        <v>20759</v>
      </c>
      <c r="E15775" s="22" t="s">
        <v>1166</v>
      </c>
      <c r="F15775" s="23" t="str">
        <f>HYPERLINK("https://www.spark-marketing.ru/Card/Lot/71581922", "Оказание услуг по уничтожению и утилизации аппаратуры специальной связи для нужд УМВД России по Калининградской области")</f>
        <v>Оказание услуг по уничтожению и утилизации аппаратуры специальной связи для нужд УМВД России по Калининградской области</v>
      </c>
      <c r="G15775" s="22" t="s">
        <v>400</v>
      </c>
      <c r="H15775" s="22" t="s">
        <v>400</v>
      </c>
      <c r="I15775" s="26">
        <v>43637.600694444402</v>
      </c>
      <c r="J15775" s="28" t="s">
        <v>51</v>
      </c>
      <c r="K15775" s="28" t="s">
        <v>51</v>
      </c>
      <c r="L15775" s="28" t="s">
        <v>51</v>
      </c>
      <c r="M15775" s="28" t="s">
        <v>51</v>
      </c>
      <c r="N15775" s="28" t="s">
        <v>51</v>
      </c>
    </row>
    <row r="15776" spans="1:14" hidden="1" outlineLevel="1" x14ac:dyDescent="0.2">
      <c r="A15776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5776" s="24" t="s">
        <v>16017</v>
      </c>
      <c r="C15776" s="25">
        <v>178761.67</v>
      </c>
      <c r="D15776" s="22" t="s">
        <v>20759</v>
      </c>
      <c r="E15776" s="22" t="s">
        <v>1166</v>
      </c>
      <c r="F15776" s="23" t="str">
        <f>HYPERLINK("https://www.spark-marketing.ru/Card/Lot/71581922", "Оказание услуг по уничтожению и утилизации аппаратуры специальной связи для нужд УМВД России по Калининградской области")</f>
        <v>Оказание услуг по уничтожению и утилизации аппаратуры специальной связи для нужд УМВД России по Калининградской области</v>
      </c>
      <c r="G15776" s="22" t="s">
        <v>400</v>
      </c>
      <c r="H15776" s="22" t="s">
        <v>400</v>
      </c>
      <c r="I15776" s="26">
        <v>43637.600694444402</v>
      </c>
      <c r="J15776" s="23" t="str">
        <f>HYPERLINK("https://www.spark-marketing.ru/Card/Person/122258", "АО ""ЮУРСЦУ""")</f>
        <v>АО "ЮУРСЦУ"</v>
      </c>
      <c r="K15776" s="24" t="s">
        <v>20760</v>
      </c>
      <c r="L15776" s="28" t="s">
        <v>51</v>
      </c>
      <c r="M15776" s="25">
        <v>174292.62</v>
      </c>
      <c r="N15776" s="27">
        <v>2.5000046150833118E-2</v>
      </c>
    </row>
    <row r="15777" spans="1:14" ht="12.75" hidden="1" outlineLevel="1" x14ac:dyDescent="0.2">
      <c r="A15777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5777" s="24" t="s">
        <v>16017</v>
      </c>
      <c r="C15777" s="25">
        <v>178761.67</v>
      </c>
      <c r="D15777" s="22" t="s">
        <v>20759</v>
      </c>
      <c r="E15777" s="22" t="s">
        <v>1166</v>
      </c>
      <c r="F15777" s="23" t="str">
        <f>HYPERLINK("https://www.spark-marketing.ru/Card/Lot/71581922", "Оказание услуг по уничтожению и утилизации аппаратуры специальной связи для нужд УМВД России по Калининградской области")</f>
        <v>Оказание услуг по уничтожению и утилизации аппаратуры специальной связи для нужд УМВД России по Калининградской области</v>
      </c>
      <c r="G15777" s="22" t="s">
        <v>400</v>
      </c>
      <c r="H15777" s="22" t="s">
        <v>400</v>
      </c>
      <c r="I15777" s="26">
        <v>43637.600694444402</v>
      </c>
      <c r="J15777" s="23" t="str">
        <f>HYPERLINK("https://www.spark-marketing.ru/Card/Person/58327", "ООО ""ПОДОЛЬСКИЕ МЕТАЛЛЫ""")</f>
        <v>ООО "ПОДОЛЬСКИЕ МЕТАЛЛЫ"</v>
      </c>
      <c r="K15777" s="24" t="s">
        <v>20761</v>
      </c>
      <c r="L15777" s="22" t="s">
        <v>10</v>
      </c>
      <c r="M15777" s="25">
        <v>175186.43</v>
      </c>
      <c r="N15777" s="27">
        <v>2.0000036920666493E-2</v>
      </c>
    </row>
    <row r="15778" spans="1:14" x14ac:dyDescent="0.15">
      <c r="A15778" s="23" t="str">
        <f>HYPERLINK("https://www.spark-marketing.ru/Card/Person/44540", "БУЗОО ""КПТД""")</f>
        <v>БУЗОО "КПТД"</v>
      </c>
      <c r="B15778" s="24" t="s">
        <v>12061</v>
      </c>
      <c r="C15778" s="25">
        <v>490680</v>
      </c>
      <c r="D15778" s="22" t="s">
        <v>20762</v>
      </c>
      <c r="E15778" s="22" t="s">
        <v>48</v>
      </c>
      <c r="F15778" s="23" t="str">
        <f>HYPERLINK("https://www.spark-marketing.ru/Card/Lot/71583570", "Оказание услуг по организации горячего питания отделения для больных туберкулезом органов дыхания № 6 г.Калачинска")</f>
        <v>Оказание услуг по организации горячего питания отделения для больных туберкулезом органов дыхания № 6 г.Калачинска</v>
      </c>
      <c r="G15778" s="22" t="s">
        <v>487</v>
      </c>
      <c r="H15778" s="22" t="s">
        <v>8549</v>
      </c>
      <c r="I15778" s="26">
        <v>43637.574999999997</v>
      </c>
      <c r="J15778" s="23" t="str">
        <f>HYPERLINK("https://www.spark-marketing.ru/Card/Person/92763", "Адушкина Наталья Викторовна")</f>
        <v>Адушкина Наталья Викторовна</v>
      </c>
      <c r="K15778" s="24" t="s">
        <v>12063</v>
      </c>
      <c r="L15778" s="22" t="s">
        <v>10</v>
      </c>
      <c r="M15778" s="28" t="s">
        <v>51</v>
      </c>
      <c r="N15778" s="28" t="s">
        <v>51</v>
      </c>
    </row>
    <row r="15779" spans="1:14" x14ac:dyDescent="0.15">
      <c r="A15779" s="23" t="str">
        <f>HYPERLINK("https://www.spark-marketing.ru/Card/Person/25106", "НАЦИОНАЛЬНЫЙ ИССЛЕДОВАТЕЛЬСКИЙ ТОМСКИЙ ГОСУДАРСТВЕННЫЙ УНИВЕРСИТЕТ, ТОМСКИЙ ГОСУДАРСТВЕННЫЙ УНИВЕРСИТЕТ, НИ ТГУ, ТГУ")</f>
        <v>НАЦИОНАЛЬНЫЙ ИССЛЕДОВАТЕЛЬСКИЙ ТОМСКИЙ ГОСУДАРСТВЕННЫЙ УНИВЕРСИТЕТ, ТОМСКИЙ ГОСУДАРСТВЕННЫЙ УНИВЕРСИТЕТ, НИ ТГУ, ТГУ</v>
      </c>
      <c r="B15779" s="24" t="s">
        <v>4620</v>
      </c>
      <c r="C15779" s="25">
        <v>787000</v>
      </c>
      <c r="D15779" s="22" t="s">
        <v>20763</v>
      </c>
      <c r="E15779" s="22" t="s">
        <v>362</v>
      </c>
      <c r="F15779" s="23" t="str">
        <f>HYPERLINK("https://www.spark-marketing.ru/Card/Lot/71559588", "Оказание услуг по организации питания в ОУЦ ТГУ")</f>
        <v>Оказание услуг по организации питания в ОУЦ ТГУ</v>
      </c>
      <c r="G15779" s="22" t="s">
        <v>149</v>
      </c>
      <c r="H15779" s="22" t="s">
        <v>496</v>
      </c>
      <c r="I15779" s="26">
        <v>43637.577997685199</v>
      </c>
      <c r="J15779" s="28" t="s">
        <v>51</v>
      </c>
      <c r="K15779" s="28" t="s">
        <v>51</v>
      </c>
      <c r="L15779" s="28" t="s">
        <v>51</v>
      </c>
      <c r="M15779" s="28" t="s">
        <v>51</v>
      </c>
      <c r="N15779" s="28" t="s">
        <v>51</v>
      </c>
    </row>
    <row r="15780" spans="1:14" x14ac:dyDescent="0.15">
      <c r="A15780" s="23" t="str">
        <f>HYPERLINK("https://www.spark-marketing.ru/Card/Person/1759874", "МАОУ ""СОШ № 7""")</f>
        <v>МАОУ "СОШ № 7"</v>
      </c>
      <c r="B15780" s="24" t="s">
        <v>3285</v>
      </c>
      <c r="C15780" s="25">
        <v>552988.80000000005</v>
      </c>
      <c r="D15780" s="22" t="s">
        <v>20764</v>
      </c>
      <c r="E15780" s="22" t="s">
        <v>362</v>
      </c>
      <c r="F15780" s="23" t="str">
        <f>HYPERLINK("https://www.spark-marketing.ru/Card/Lot/71559587", "Услуги по организации питания школьников в лагере с дневным пребыванием")</f>
        <v>Услуги по организации питания школьников в лагере с дневным пребыванием</v>
      </c>
      <c r="G15780" s="22" t="s">
        <v>228</v>
      </c>
      <c r="H15780" s="22" t="s">
        <v>228</v>
      </c>
      <c r="I15780" s="26">
        <v>43637.577534722201</v>
      </c>
      <c r="J15780" s="28" t="s">
        <v>51</v>
      </c>
      <c r="K15780" s="28" t="s">
        <v>51</v>
      </c>
      <c r="L15780" s="28" t="s">
        <v>51</v>
      </c>
      <c r="M15780" s="28" t="s">
        <v>51</v>
      </c>
      <c r="N15780" s="28" t="s">
        <v>51</v>
      </c>
    </row>
    <row r="15781" spans="1:14" x14ac:dyDescent="0.15">
      <c r="A15781" s="23" t="str">
        <f>HYPERLINK("https://www.spark-marketing.ru/Card/Person/1017893", "БОУ Г. ОМСКА ""СРЕДНЯЯ ОБЩЕОБРАЗОВАТЕЛЬНАЯ ШКОЛА № 18 С УГЛУБЛЕННЫМ ИЗУЧЕНИЕМ ОТДЕЛЬНЫХ ПРЕДМЕТОВ""")</f>
        <v>БОУ Г. ОМСКА "СРЕДНЯЯ ОБЩЕОБРАЗОВАТЕЛЬНАЯ ШКОЛА № 18 С УГЛУБЛЕННЫМ ИЗУЧЕНИЕМ ОТДЕЛЬНЫХ ПРЕДМЕТОВ"</v>
      </c>
      <c r="B15781" s="24" t="s">
        <v>20765</v>
      </c>
      <c r="C15781" s="25">
        <v>37700</v>
      </c>
      <c r="D15781" s="22" t="s">
        <v>20766</v>
      </c>
      <c r="E15781" s="22" t="s">
        <v>48</v>
      </c>
      <c r="F15781" s="23" t="str">
        <f>HYPERLINK("https://www.spark-marketing.ru/Card/Lot/71567190", "Оказание услуг по организации питания обучающихся")</f>
        <v>Оказание услуг по организации питания обучающихся</v>
      </c>
      <c r="G15781" s="22" t="s">
        <v>487</v>
      </c>
      <c r="H15781" s="22" t="s">
        <v>488</v>
      </c>
      <c r="I15781" s="26">
        <v>43637.5444444444</v>
      </c>
      <c r="J15781" s="28" t="s">
        <v>51</v>
      </c>
      <c r="K15781" s="28" t="s">
        <v>51</v>
      </c>
      <c r="L15781" s="28" t="s">
        <v>51</v>
      </c>
      <c r="M15781" s="28" t="s">
        <v>51</v>
      </c>
      <c r="N15781" s="28" t="s">
        <v>51</v>
      </c>
    </row>
    <row r="15782" spans="1:14" x14ac:dyDescent="0.15">
      <c r="A15782" s="23" t="str">
        <f>HYPERLINK("https://www.spark-marketing.ru/Card/Person/153430", "ОМВД РОССИИ ПО ГОРОДУ КУЗНЕЦКУ")</f>
        <v>ОМВД РОССИИ ПО ГОРОДУ КУЗНЕЦКУ</v>
      </c>
      <c r="B15782" s="24" t="s">
        <v>6026</v>
      </c>
      <c r="C15782" s="25">
        <v>239229.66</v>
      </c>
      <c r="D15782" s="22" t="s">
        <v>20767</v>
      </c>
      <c r="E15782" s="22" t="s">
        <v>48</v>
      </c>
      <c r="F15782" s="23" t="str">
        <f>HYPERLINK("https://www.spark-marketing.ru/Card/Lot/71582179", "Питание ИВС и СП")</f>
        <v>Питание ИВС и СП</v>
      </c>
      <c r="G15782" s="22" t="s">
        <v>72</v>
      </c>
      <c r="H15782" s="22" t="s">
        <v>3356</v>
      </c>
      <c r="I15782" s="26">
        <v>43637.5131944444</v>
      </c>
      <c r="J15782" s="23" t="str">
        <f>HYPERLINK("https://www.spark-marketing.ru/Card/Person/5787283", "Манахов Александр Анатольевич")</f>
        <v>Манахов Александр Анатольевич</v>
      </c>
      <c r="K15782" s="24" t="s">
        <v>6028</v>
      </c>
      <c r="L15782" s="28" t="s">
        <v>51</v>
      </c>
      <c r="M15782" s="28" t="s">
        <v>51</v>
      </c>
      <c r="N15782" s="28" t="s">
        <v>51</v>
      </c>
    </row>
    <row r="15783" spans="1:14" ht="12.75" hidden="1" outlineLevel="1" x14ac:dyDescent="0.2">
      <c r="A15783" s="23" t="str">
        <f>HYPERLINK("https://www.spark-marketing.ru/Card/Person/153430", "ОМВД РОССИИ ПО ГОРОДУ КУЗНЕЦКУ")</f>
        <v>ОМВД РОССИИ ПО ГОРОДУ КУЗНЕЦКУ</v>
      </c>
      <c r="B15783" s="24" t="s">
        <v>6026</v>
      </c>
      <c r="C15783" s="25">
        <v>239229.66</v>
      </c>
      <c r="D15783" s="22" t="s">
        <v>20767</v>
      </c>
      <c r="E15783" s="22" t="s">
        <v>48</v>
      </c>
      <c r="F15783" s="23" t="str">
        <f>HYPERLINK("https://www.spark-marketing.ru/Card/Lot/71582179", "Питание ИВС и СП")</f>
        <v>Питание ИВС и СП</v>
      </c>
      <c r="G15783" s="22" t="s">
        <v>72</v>
      </c>
      <c r="H15783" s="22" t="s">
        <v>3356</v>
      </c>
      <c r="I15783" s="26">
        <v>43637.5131944444</v>
      </c>
      <c r="J15783" s="23" t="str">
        <f>HYPERLINK("https://www.spark-marketing.ru/Card/Person/5787283", "Манахов Александр Анатольевич")</f>
        <v>Манахов Александр Анатольевич</v>
      </c>
      <c r="K15783" s="24" t="s">
        <v>6028</v>
      </c>
      <c r="L15783" s="22" t="s">
        <v>10</v>
      </c>
      <c r="M15783" s="25">
        <v>238033.51</v>
      </c>
      <c r="N15783" s="27">
        <v>5.0000071061422737E-3</v>
      </c>
    </row>
    <row r="15784" spans="1:14" x14ac:dyDescent="0.15">
      <c r="A15784" s="23" t="str">
        <f t="shared" ref="A15784:A15789" si="538">HYPERLINK("https://www.spark-marketing.ru/Card/Person/63108", "СПБ ГБУСОН ""КЦСОН ПЕТРОГРАДСКОГО РАЙОНА""")</f>
        <v>СПБ ГБУСОН "КЦСОН ПЕТРОГРАДСКОГО РАЙОНА"</v>
      </c>
      <c r="B15784" s="24" t="s">
        <v>20768</v>
      </c>
      <c r="C15784" s="25">
        <v>1102080</v>
      </c>
      <c r="D15784" s="22" t="s">
        <v>20769</v>
      </c>
      <c r="E15784" s="22" t="s">
        <v>586</v>
      </c>
      <c r="F15784" s="23" t="str">
        <f t="shared" ref="F15784:F15789" si="539">HYPERLINK("https://www.spark-marketing.ru/Card/Lot/71585442", "Обеспечение наборами продуктов жителей Петроградского района с целью оказания срочных социальных услуг в 2019 году")</f>
        <v>Обеспечение наборами продуктов жителей Петроградского района с целью оказания срочных социальных услуг в 2019 году</v>
      </c>
      <c r="G15784" s="22" t="s">
        <v>117</v>
      </c>
      <c r="H15784" s="22" t="s">
        <v>117</v>
      </c>
      <c r="I15784" s="26">
        <v>43637.529861111099</v>
      </c>
      <c r="J15784" s="28" t="s">
        <v>51</v>
      </c>
      <c r="K15784" s="28" t="s">
        <v>51</v>
      </c>
      <c r="L15784" s="28" t="s">
        <v>51</v>
      </c>
      <c r="M15784" s="28" t="s">
        <v>51</v>
      </c>
      <c r="N15784" s="28" t="s">
        <v>51</v>
      </c>
    </row>
    <row r="15785" spans="1:14" hidden="1" outlineLevel="1" x14ac:dyDescent="0.2">
      <c r="A15785" s="23" t="str">
        <f t="shared" si="538"/>
        <v>СПБ ГБУСОН "КЦСОН ПЕТРОГРАДСКОГО РАЙОНА"</v>
      </c>
      <c r="B15785" s="24" t="s">
        <v>20768</v>
      </c>
      <c r="C15785" s="25">
        <v>1102080</v>
      </c>
      <c r="D15785" s="22" t="s">
        <v>20769</v>
      </c>
      <c r="E15785" s="22" t="s">
        <v>586</v>
      </c>
      <c r="F15785" s="23" t="str">
        <f t="shared" si="539"/>
        <v>Обеспечение наборами продуктов жителей Петроградского района с целью оказания срочных социальных услуг в 2019 году</v>
      </c>
      <c r="G15785" s="22" t="s">
        <v>117</v>
      </c>
      <c r="H15785" s="22" t="s">
        <v>117</v>
      </c>
      <c r="I15785" s="26">
        <v>43637.529861111099</v>
      </c>
      <c r="J15785" s="23" t="str">
        <f>HYPERLINK("https://www.spark-marketing.ru/Card/Person/6440908", "ООО ""БАКАЛЕЯОПТ""")</f>
        <v>ООО "БАКАЛЕЯОПТ"</v>
      </c>
      <c r="K15785" s="24" t="s">
        <v>14676</v>
      </c>
      <c r="L15785" s="28" t="s">
        <v>51</v>
      </c>
      <c r="M15785" s="25">
        <v>661248</v>
      </c>
      <c r="N15785" s="27">
        <v>0.4</v>
      </c>
    </row>
    <row r="15786" spans="1:14" hidden="1" outlineLevel="1" x14ac:dyDescent="0.2">
      <c r="A15786" s="23" t="str">
        <f t="shared" si="538"/>
        <v>СПБ ГБУСОН "КЦСОН ПЕТРОГРАДСКОГО РАЙОНА"</v>
      </c>
      <c r="B15786" s="24" t="s">
        <v>20768</v>
      </c>
      <c r="C15786" s="25">
        <v>1102080</v>
      </c>
      <c r="D15786" s="22" t="s">
        <v>20769</v>
      </c>
      <c r="E15786" s="22" t="s">
        <v>586</v>
      </c>
      <c r="F15786" s="23" t="str">
        <f t="shared" si="539"/>
        <v>Обеспечение наборами продуктов жителей Петроградского района с целью оказания срочных социальных услуг в 2019 году</v>
      </c>
      <c r="G15786" s="22" t="s">
        <v>117</v>
      </c>
      <c r="H15786" s="22" t="s">
        <v>117</v>
      </c>
      <c r="I15786" s="26">
        <v>43637.529861111099</v>
      </c>
      <c r="J15786" s="23" t="str">
        <f>HYPERLINK("https://www.spark-marketing.ru/Card/Person/2359657", "ООО ""ТЗК СПУТНИК""")</f>
        <v>ООО "ТЗК СПУТНИК"</v>
      </c>
      <c r="K15786" s="24" t="s">
        <v>20770</v>
      </c>
      <c r="L15786" s="28" t="s">
        <v>51</v>
      </c>
      <c r="M15786" s="25">
        <v>942278.4</v>
      </c>
      <c r="N15786" s="27">
        <v>0.14499999999999999</v>
      </c>
    </row>
    <row r="15787" spans="1:14" hidden="1" outlineLevel="1" x14ac:dyDescent="0.2">
      <c r="A15787" s="23" t="str">
        <f t="shared" si="538"/>
        <v>СПБ ГБУСОН "КЦСОН ПЕТРОГРАДСКОГО РАЙОНА"</v>
      </c>
      <c r="B15787" s="24" t="s">
        <v>20768</v>
      </c>
      <c r="C15787" s="25">
        <v>1102080</v>
      </c>
      <c r="D15787" s="22" t="s">
        <v>20769</v>
      </c>
      <c r="E15787" s="22" t="s">
        <v>586</v>
      </c>
      <c r="F15787" s="23" t="str">
        <f t="shared" si="539"/>
        <v>Обеспечение наборами продуктов жителей Петроградского района с целью оказания срочных социальных услуг в 2019 году</v>
      </c>
      <c r="G15787" s="22" t="s">
        <v>117</v>
      </c>
      <c r="H15787" s="22" t="s">
        <v>117</v>
      </c>
      <c r="I15787" s="26">
        <v>43637.529861111099</v>
      </c>
      <c r="J15787" s="23" t="str">
        <f>HYPERLINK("https://www.spark-marketing.ru/Card/Person/86974", "ООО ""ВОСКРЕСЕНЬЕ""")</f>
        <v>ООО "ВОСКРЕСЕНЬЕ"</v>
      </c>
      <c r="K15787" s="24" t="s">
        <v>20771</v>
      </c>
      <c r="L15787" s="28" t="s">
        <v>51</v>
      </c>
      <c r="M15787" s="25">
        <v>980851.19999999995</v>
      </c>
      <c r="N15787" s="27">
        <v>0.11</v>
      </c>
    </row>
    <row r="15788" spans="1:14" ht="12.75" hidden="1" outlineLevel="1" x14ac:dyDescent="0.2">
      <c r="A15788" s="23" t="str">
        <f t="shared" si="538"/>
        <v>СПБ ГБУСОН "КЦСОН ПЕТРОГРАДСКОГО РАЙОНА"</v>
      </c>
      <c r="B15788" s="24" t="s">
        <v>20768</v>
      </c>
      <c r="C15788" s="25">
        <v>1102080</v>
      </c>
      <c r="D15788" s="22" t="s">
        <v>20769</v>
      </c>
      <c r="E15788" s="22" t="s">
        <v>586</v>
      </c>
      <c r="F15788" s="23" t="str">
        <f t="shared" si="539"/>
        <v>Обеспечение наборами продуктов жителей Петроградского района с целью оказания срочных социальных услуг в 2019 году</v>
      </c>
      <c r="G15788" s="22" t="s">
        <v>117</v>
      </c>
      <c r="H15788" s="22" t="s">
        <v>117</v>
      </c>
      <c r="I15788" s="26">
        <v>43637.529861111099</v>
      </c>
      <c r="J15788" s="23" t="str">
        <f>HYPERLINK("https://www.spark-marketing.ru/Card/Person/5915223", "ООО ""ГАРАНТ""")</f>
        <v>ООО "ГАРАНТ"</v>
      </c>
      <c r="K15788" s="24" t="s">
        <v>14677</v>
      </c>
      <c r="L15788" s="22" t="s">
        <v>10</v>
      </c>
      <c r="M15788" s="25">
        <v>655737.59999999998</v>
      </c>
      <c r="N15788" s="27">
        <v>0.40500000000000003</v>
      </c>
    </row>
    <row r="15789" spans="1:14" hidden="1" outlineLevel="1" x14ac:dyDescent="0.2">
      <c r="A15789" s="23" t="str">
        <f t="shared" si="538"/>
        <v>СПБ ГБУСОН "КЦСОН ПЕТРОГРАДСКОГО РАЙОНА"</v>
      </c>
      <c r="B15789" s="24" t="s">
        <v>20768</v>
      </c>
      <c r="C15789" s="25">
        <v>1102080</v>
      </c>
      <c r="D15789" s="22" t="s">
        <v>20769</v>
      </c>
      <c r="E15789" s="22" t="s">
        <v>586</v>
      </c>
      <c r="F15789" s="23" t="str">
        <f t="shared" si="539"/>
        <v>Обеспечение наборами продуктов жителей Петроградского района с целью оказания срочных социальных услуг в 2019 году</v>
      </c>
      <c r="G15789" s="22" t="s">
        <v>117</v>
      </c>
      <c r="H15789" s="22" t="s">
        <v>117</v>
      </c>
      <c r="I15789" s="26">
        <v>43637.529861111099</v>
      </c>
      <c r="J15789" s="23" t="str">
        <f>HYPERLINK("https://www.spark-marketing.ru/Card/Person/4948277", "ООО ""ГОЛДЕН НУТ""")</f>
        <v>ООО "ГОЛДЕН НУТ"</v>
      </c>
      <c r="K15789" s="24" t="s">
        <v>20772</v>
      </c>
      <c r="L15789" s="28" t="s">
        <v>51</v>
      </c>
      <c r="M15789" s="25">
        <v>898195.2</v>
      </c>
      <c r="N15789" s="27">
        <v>0.185</v>
      </c>
    </row>
    <row r="15790" spans="1:14" x14ac:dyDescent="0.15">
      <c r="A15790" s="23" t="str">
        <f>HYPERLINK("https://www.spark-marketing.ru/Card/Person/1007298", "ОТДЕЛЕНИЕ МВД РОССИИ ПО УСТЬ-КАНСКОМУ РАЙОНУ")</f>
        <v>ОТДЕЛЕНИЕ МВД РОССИИ ПО УСТЬ-КАНСКОМУ РАЙОНУ</v>
      </c>
      <c r="B15790" s="24" t="s">
        <v>13327</v>
      </c>
      <c r="C15790" s="25">
        <v>1058000</v>
      </c>
      <c r="D15790" s="22" t="s">
        <v>20773</v>
      </c>
      <c r="E15790" s="22" t="s">
        <v>48</v>
      </c>
      <c r="F15790" s="23" t="str">
        <f>HYPERLINK("https://www.spark-marketing.ru/Card/Lot/71569071", "Оказание услуг по обеспечению горячим питанием лиц, содержащихся в ИВС")</f>
        <v>Оказание услуг по обеспечению горячим питанием лиц, содержащихся в ИВС</v>
      </c>
      <c r="G15790" s="22" t="s">
        <v>1141</v>
      </c>
      <c r="H15790" s="22" t="s">
        <v>13329</v>
      </c>
      <c r="I15790" s="26">
        <v>43637.5402777778</v>
      </c>
      <c r="J15790" s="28" t="s">
        <v>51</v>
      </c>
      <c r="K15790" s="28" t="s">
        <v>51</v>
      </c>
      <c r="L15790" s="28" t="s">
        <v>51</v>
      </c>
      <c r="M15790" s="28" t="s">
        <v>51</v>
      </c>
      <c r="N15790" s="28" t="s">
        <v>51</v>
      </c>
    </row>
    <row r="15791" spans="1:14" x14ac:dyDescent="0.15">
      <c r="A15791" s="23" t="str">
        <f>HYPERLINK("https://www.spark-marketing.ru/Card/Person/998913", "ОМВД РОССИИ ""КОТЛАССКИЙ""")</f>
        <v>ОМВД РОССИИ "КОТЛАССКИЙ"</v>
      </c>
      <c r="B15791" s="24" t="s">
        <v>9622</v>
      </c>
      <c r="C15791" s="25">
        <v>2602144.6</v>
      </c>
      <c r="D15791" s="22" t="s">
        <v>20774</v>
      </c>
      <c r="E15791" s="22" t="s">
        <v>48</v>
      </c>
      <c r="F15791" s="23" t="str">
        <f>HYPERLINK("https://www.spark-marketing.ru/Card/Lot/71570639", "Услуги по организации горячего питания")</f>
        <v>Услуги по организации горячего питания</v>
      </c>
      <c r="G15791" s="22" t="s">
        <v>214</v>
      </c>
      <c r="H15791" s="22" t="s">
        <v>214</v>
      </c>
      <c r="I15791" s="26">
        <v>43637.506249999999</v>
      </c>
      <c r="J15791" s="28" t="s">
        <v>51</v>
      </c>
      <c r="K15791" s="28" t="s">
        <v>51</v>
      </c>
      <c r="L15791" s="28" t="s">
        <v>51</v>
      </c>
      <c r="M15791" s="28" t="s">
        <v>51</v>
      </c>
      <c r="N15791" s="28" t="s">
        <v>51</v>
      </c>
    </row>
    <row r="15792" spans="1:14" hidden="1" outlineLevel="1" x14ac:dyDescent="0.2">
      <c r="A15792" s="23" t="str">
        <f>HYPERLINK("https://www.spark-marketing.ru/Card/Person/998913", "ОМВД РОССИИ ""КОТЛАССКИЙ""")</f>
        <v>ОМВД РОССИИ "КОТЛАССКИЙ"</v>
      </c>
      <c r="B15792" s="24" t="s">
        <v>9622</v>
      </c>
      <c r="C15792" s="25">
        <v>2602144.6</v>
      </c>
      <c r="D15792" s="22" t="s">
        <v>20774</v>
      </c>
      <c r="E15792" s="22" t="s">
        <v>48</v>
      </c>
      <c r="F15792" s="23" t="str">
        <f>HYPERLINK("https://www.spark-marketing.ru/Card/Lot/71570639", "Услуги по организации горячего питания")</f>
        <v>Услуги по организации горячего питания</v>
      </c>
      <c r="G15792" s="22" t="s">
        <v>214</v>
      </c>
      <c r="H15792" s="22" t="s">
        <v>214</v>
      </c>
      <c r="I15792" s="26">
        <v>43637.506249999999</v>
      </c>
      <c r="J15792" s="23" t="str">
        <f>HYPERLINK("https://www.spark-marketing.ru/Card/Person/6204506", "ООО ""ТРАНСАВТО""")</f>
        <v>ООО "ТРАНСАВТО"</v>
      </c>
      <c r="K15792" s="24" t="s">
        <v>5795</v>
      </c>
      <c r="L15792" s="28" t="s">
        <v>51</v>
      </c>
      <c r="M15792" s="25">
        <v>873.13</v>
      </c>
      <c r="N15792" s="27">
        <v>0.99966445754013822</v>
      </c>
    </row>
    <row r="15793" spans="1:14" ht="12.75" hidden="1" outlineLevel="1" x14ac:dyDescent="0.2">
      <c r="A15793" s="23" t="str">
        <f>HYPERLINK("https://www.spark-marketing.ru/Card/Person/998913", "ОМВД РОССИИ ""КОТЛАССКИЙ""")</f>
        <v>ОМВД РОССИИ "КОТЛАССКИЙ"</v>
      </c>
      <c r="B15793" s="24" t="s">
        <v>9622</v>
      </c>
      <c r="C15793" s="25">
        <v>2602144.6</v>
      </c>
      <c r="D15793" s="22" t="s">
        <v>20774</v>
      </c>
      <c r="E15793" s="22" t="s">
        <v>48</v>
      </c>
      <c r="F15793" s="23" t="str">
        <f>HYPERLINK("https://www.spark-marketing.ru/Card/Lot/71570639", "Услуги по организации горячего питания")</f>
        <v>Услуги по организации горячего питания</v>
      </c>
      <c r="G15793" s="22" t="s">
        <v>214</v>
      </c>
      <c r="H15793" s="22" t="s">
        <v>214</v>
      </c>
      <c r="I15793" s="26">
        <v>43637.506249999999</v>
      </c>
      <c r="J15793" s="23" t="str">
        <f>HYPERLINK("https://www.spark-marketing.ru/Card/Person/6412837", "Мильков Виталий Алексеевич")</f>
        <v>Мильков Виталий Алексеевич</v>
      </c>
      <c r="K15793" s="24" t="s">
        <v>9624</v>
      </c>
      <c r="L15793" s="22" t="s">
        <v>10</v>
      </c>
      <c r="M15793" s="25">
        <v>773.13</v>
      </c>
      <c r="N15793" s="27">
        <v>0.99970288737989421</v>
      </c>
    </row>
    <row r="15794" spans="1:14" x14ac:dyDescent="0.15">
      <c r="A15794" s="23" t="str">
        <f>HYPERLINK("https://www.spark-marketing.ru/Card/Person/51435", "ДЕПАРТАМЕНТ ЗДРАВООХРАНЕНИЯ ИВАНОВСКОЙ ОБЛАСТИ")</f>
        <v>ДЕПАРТАМЕНТ ЗДРАВООХРАНЕНИЯ ИВАНОВСКОЙ ОБЛАСТИ</v>
      </c>
      <c r="B15794" s="24" t="s">
        <v>3899</v>
      </c>
      <c r="C15794" s="25">
        <v>3099260</v>
      </c>
      <c r="D15794" s="22" t="s">
        <v>20775</v>
      </c>
      <c r="E15794" s="22" t="s">
        <v>86</v>
      </c>
      <c r="F15794" s="23" t="str">
        <f>HYPERLINK("https://www.spark-marketing.ru/Card/Lot/71570781", "Оказание услуг по доставке, получению, хранению, ведению учета движения товара, представлению отчетности, передаче в пункты отпуска и отпуску из пунктов отпуска лекарственных препаратов, изделий медицинского назначения для граждан, а также специализи...")</f>
        <v>Оказание услуг по доставке, получению, хранению, ведению учета движения товара, представлению отчетности, передаче в пункты отпуска и отпуску из пунктов отпуска лекарственных препаратов, изделий медицинского назначения для граждан, а также специализи...</v>
      </c>
      <c r="G15794" s="22" t="s">
        <v>1047</v>
      </c>
      <c r="H15794" s="22" t="s">
        <v>1953</v>
      </c>
      <c r="I15794" s="26">
        <v>43637.538888888899</v>
      </c>
      <c r="J15794" s="23" t="str">
        <f>HYPERLINK("https://www.spark-marketing.ru/Card/Person/324957", "ОГУП ""ФАРМАЦИЯ""")</f>
        <v>ОГУП "ФАРМАЦИЯ"</v>
      </c>
      <c r="K15794" s="24" t="s">
        <v>3901</v>
      </c>
      <c r="L15794" s="22" t="s">
        <v>10</v>
      </c>
      <c r="M15794" s="28" t="s">
        <v>51</v>
      </c>
      <c r="N15794" s="28" t="s">
        <v>51</v>
      </c>
    </row>
    <row r="15795" spans="1:14" x14ac:dyDescent="0.15">
      <c r="A15795" s="23" t="str">
        <f>HYPERLINK("https://www.spark-marketing.ru/Card/Person/244638", "МАОУ СШ № 151")</f>
        <v>МАОУ СШ № 151</v>
      </c>
      <c r="B15795" s="24" t="s">
        <v>13074</v>
      </c>
      <c r="C15795" s="25">
        <v>329515.61</v>
      </c>
      <c r="D15795" s="22" t="s">
        <v>20776</v>
      </c>
      <c r="E15795" s="22" t="s">
        <v>362</v>
      </c>
      <c r="F15795" s="23" t="str">
        <f>HYPERLINK("https://www.spark-marketing.ru/Card/Lot/71559569", "Услуги по организации горячего питания обучающихся МАОУ СШ № 151")</f>
        <v>Услуги по организации горячего питания обучающихся МАОУ СШ № 151</v>
      </c>
      <c r="G15795" s="22" t="s">
        <v>281</v>
      </c>
      <c r="H15795" s="22" t="s">
        <v>281</v>
      </c>
      <c r="I15795" s="26">
        <v>43637.531215277799</v>
      </c>
      <c r="J15795" s="28" t="s">
        <v>51</v>
      </c>
      <c r="K15795" s="28" t="s">
        <v>51</v>
      </c>
      <c r="L15795" s="28" t="s">
        <v>51</v>
      </c>
      <c r="M15795" s="28" t="s">
        <v>51</v>
      </c>
      <c r="N15795" s="28" t="s">
        <v>51</v>
      </c>
    </row>
    <row r="15796" spans="1:14" x14ac:dyDescent="0.15">
      <c r="A15796" s="23" t="str">
        <f>HYPERLINK("https://www.spark-marketing.ru/Card/Person/34191", "НГТУ, НОВОСИБИРСКИЙ ГОСУДАРСТВЕННЫЙ ТЕХНИЧЕСКИЙ УНИВЕРСИТЕТ, ФГБОУ ВО ""НОВОСИБИРСКИЙ ГОСУДАРСТВЕННЫЙ ТЕХНИЧЕСКИЙ УНИВЕРСИТЕТ"", ФГБОУ ВО ""НГТУ""")</f>
        <v>НГТУ, НОВОСИБИРСКИЙ ГОСУДАРСТВЕННЫЙ ТЕХНИЧЕСКИЙ УНИВЕРСИТЕТ, ФГБОУ ВО "НОВОСИБИРСКИЙ ГОСУДАРСТВЕННЫЙ ТЕХНИЧЕСКИЙ УНИВЕРСИТЕТ", ФГБОУ ВО "НГТУ"</v>
      </c>
      <c r="B15796" s="24" t="s">
        <v>1202</v>
      </c>
      <c r="C15796" s="25">
        <v>217750</v>
      </c>
      <c r="D15796" s="22" t="s">
        <v>20777</v>
      </c>
      <c r="E15796" s="22" t="s">
        <v>10985</v>
      </c>
      <c r="F15796" s="23" t="str">
        <f>HYPERLINK("https://www.spark-marketing.ru/Card/Lot/71558975", "оказание услуг по организации питания и проживания для участников Летней школы «GEM-2019»")</f>
        <v>оказание услуг по организации питания и проживания для участников Летней школы «GEM-2019»</v>
      </c>
      <c r="G15796" s="22" t="s">
        <v>1141</v>
      </c>
      <c r="H15796" s="22" t="s">
        <v>1141</v>
      </c>
      <c r="I15796" s="26">
        <v>43637.535474536999</v>
      </c>
      <c r="J15796" s="28" t="s">
        <v>51</v>
      </c>
      <c r="K15796" s="28" t="s">
        <v>51</v>
      </c>
      <c r="L15796" s="28" t="s">
        <v>51</v>
      </c>
      <c r="M15796" s="28" t="s">
        <v>51</v>
      </c>
      <c r="N15796" s="28" t="s">
        <v>51</v>
      </c>
    </row>
    <row r="15797" spans="1:14" x14ac:dyDescent="0.15">
      <c r="A15797" s="23" t="s">
        <v>114</v>
      </c>
      <c r="B15797" s="28" t="s">
        <v>51</v>
      </c>
      <c r="C15797" s="25">
        <v>9963432</v>
      </c>
      <c r="D15797" s="22" t="s">
        <v>20778</v>
      </c>
      <c r="E15797" s="22" t="s">
        <v>48</v>
      </c>
      <c r="F15797" s="23" t="str">
        <f t="shared" ref="F15797:F15808" si="540">HYPERLINK("https://www.spark-marketing.ru/Card/Lot/71571390", "Оказание услуг по организации питания воспитанников во 2 полугодии 2019 года")</f>
        <v>Оказание услуг по организации питания воспитанников во 2 полугодии 2019 года</v>
      </c>
      <c r="G15797" s="22" t="s">
        <v>51</v>
      </c>
      <c r="H15797" s="22" t="s">
        <v>51</v>
      </c>
      <c r="I15797" s="26">
        <v>43637.463194444397</v>
      </c>
      <c r="J15797" s="28" t="s">
        <v>51</v>
      </c>
      <c r="K15797" s="28" t="s">
        <v>51</v>
      </c>
      <c r="L15797" s="28" t="s">
        <v>51</v>
      </c>
      <c r="M15797" s="28" t="s">
        <v>51</v>
      </c>
      <c r="N15797" s="28" t="s">
        <v>51</v>
      </c>
    </row>
    <row r="15798" spans="1:14" hidden="1" outlineLevel="1" x14ac:dyDescent="0.15">
      <c r="A15798" s="23" t="str">
        <f>HYPERLINK("https://www.spark-marketing.ru/Card/Person/31279", "МДОУ №17 П. КОЛЫЧЕВО")</f>
        <v>МДОУ №17 П. КОЛЫЧЕВО</v>
      </c>
      <c r="B15798" s="24" t="s">
        <v>20779</v>
      </c>
      <c r="C15798" s="25">
        <v>1692576</v>
      </c>
      <c r="D15798" s="22" t="s">
        <v>20778</v>
      </c>
      <c r="E15798" s="22" t="s">
        <v>48</v>
      </c>
      <c r="F15798" s="23" t="str">
        <f t="shared" si="540"/>
        <v>Оказание услуг по организации питания воспитанников во 2 полугодии 2019 года</v>
      </c>
      <c r="G15798" s="22" t="s">
        <v>51</v>
      </c>
      <c r="H15798" s="22" t="s">
        <v>51</v>
      </c>
      <c r="I15798" s="26">
        <v>43637.463194444397</v>
      </c>
      <c r="J15798" s="28" t="s">
        <v>51</v>
      </c>
      <c r="K15798" s="28" t="s">
        <v>51</v>
      </c>
      <c r="L15798" s="28" t="s">
        <v>51</v>
      </c>
      <c r="M15798" s="28" t="s">
        <v>51</v>
      </c>
      <c r="N15798" s="28" t="s">
        <v>51</v>
      </c>
    </row>
    <row r="15799" spans="1:14" hidden="1" outlineLevel="1" x14ac:dyDescent="0.15">
      <c r="A15799" s="23" t="str">
        <f>HYPERLINK("https://www.spark-marketing.ru/Card/Person/143527", "МДОУ №7 П. ГИДРОУЗЕЛ")</f>
        <v>МДОУ №7 П. ГИДРОУЗЕЛ</v>
      </c>
      <c r="B15799" s="24" t="s">
        <v>20780</v>
      </c>
      <c r="C15799" s="25">
        <v>1017360</v>
      </c>
      <c r="D15799" s="22" t="s">
        <v>20778</v>
      </c>
      <c r="E15799" s="22" t="s">
        <v>48</v>
      </c>
      <c r="F15799" s="23" t="str">
        <f t="shared" si="540"/>
        <v>Оказание услуг по организации питания воспитанников во 2 полугодии 2019 года</v>
      </c>
      <c r="G15799" s="22" t="s">
        <v>49</v>
      </c>
      <c r="H15799" s="22" t="s">
        <v>3718</v>
      </c>
      <c r="I15799" s="26">
        <v>43637.463194444397</v>
      </c>
      <c r="J15799" s="28" t="s">
        <v>51</v>
      </c>
      <c r="K15799" s="28" t="s">
        <v>51</v>
      </c>
      <c r="L15799" s="28" t="s">
        <v>51</v>
      </c>
      <c r="M15799" s="28" t="s">
        <v>51</v>
      </c>
      <c r="N15799" s="28" t="s">
        <v>51</v>
      </c>
    </row>
    <row r="15800" spans="1:14" hidden="1" outlineLevel="1" x14ac:dyDescent="0.15">
      <c r="A15800" s="23" t="str">
        <f>HYPERLINK("https://www.spark-marketing.ru/Card/Person/1023103", "МДОУ № 26 П. БОРОДИНСКОЕ ПОЛЕ")</f>
        <v>МДОУ № 26 П. БОРОДИНСКОЕ ПОЛЕ</v>
      </c>
      <c r="B15800" s="24" t="s">
        <v>20781</v>
      </c>
      <c r="C15800" s="25">
        <v>1527120</v>
      </c>
      <c r="D15800" s="22" t="s">
        <v>20778</v>
      </c>
      <c r="E15800" s="22" t="s">
        <v>48</v>
      </c>
      <c r="F15800" s="23" t="str">
        <f t="shared" si="540"/>
        <v>Оказание услуг по организации питания воспитанников во 2 полугодии 2019 года</v>
      </c>
      <c r="G15800" s="22" t="s">
        <v>49</v>
      </c>
      <c r="H15800" s="22" t="s">
        <v>3718</v>
      </c>
      <c r="I15800" s="26">
        <v>43637.463194444397</v>
      </c>
      <c r="J15800" s="28" t="s">
        <v>51</v>
      </c>
      <c r="K15800" s="28" t="s">
        <v>51</v>
      </c>
      <c r="L15800" s="28" t="s">
        <v>51</v>
      </c>
      <c r="M15800" s="28" t="s">
        <v>51</v>
      </c>
      <c r="N15800" s="28" t="s">
        <v>51</v>
      </c>
    </row>
    <row r="15801" spans="1:14" hidden="1" outlineLevel="1" x14ac:dyDescent="0.15">
      <c r="A15801" s="23" t="str">
        <f>HYPERLINK("https://www.spark-marketing.ru/Card/Person/1024527", "МДОУ № 18 Д. КРАСНЫЙ БАЛТИЕЦ")</f>
        <v>МДОУ № 18 Д. КРАСНЫЙ БАЛТИЕЦ</v>
      </c>
      <c r="B15801" s="24" t="s">
        <v>20782</v>
      </c>
      <c r="C15801" s="25">
        <v>1918296</v>
      </c>
      <c r="D15801" s="22" t="s">
        <v>20778</v>
      </c>
      <c r="E15801" s="22" t="s">
        <v>48</v>
      </c>
      <c r="F15801" s="23" t="str">
        <f t="shared" si="540"/>
        <v>Оказание услуг по организации питания воспитанников во 2 полугодии 2019 года</v>
      </c>
      <c r="G15801" s="22" t="s">
        <v>49</v>
      </c>
      <c r="H15801" s="22" t="s">
        <v>3718</v>
      </c>
      <c r="I15801" s="26">
        <v>43637.463194444397</v>
      </c>
      <c r="J15801" s="28" t="s">
        <v>51</v>
      </c>
      <c r="K15801" s="28" t="s">
        <v>51</v>
      </c>
      <c r="L15801" s="28" t="s">
        <v>51</v>
      </c>
      <c r="M15801" s="28" t="s">
        <v>51</v>
      </c>
      <c r="N15801" s="28" t="s">
        <v>51</v>
      </c>
    </row>
    <row r="15802" spans="1:14" hidden="1" outlineLevel="1" x14ac:dyDescent="0.15">
      <c r="A15802" s="23" t="str">
        <f>HYPERLINK("https://www.spark-marketing.ru/Card/Person/1026602", "МДОУ №24 С.СЕМЕНОВСКОЕ")</f>
        <v>МДОУ №24 С.СЕМЕНОВСКОЕ</v>
      </c>
      <c r="B15802" s="24" t="s">
        <v>20783</v>
      </c>
      <c r="C15802" s="25">
        <v>541296</v>
      </c>
      <c r="D15802" s="22" t="s">
        <v>20778</v>
      </c>
      <c r="E15802" s="22" t="s">
        <v>48</v>
      </c>
      <c r="F15802" s="23" t="str">
        <f t="shared" si="540"/>
        <v>Оказание услуг по организации питания воспитанников во 2 полугодии 2019 года</v>
      </c>
      <c r="G15802" s="22" t="s">
        <v>49</v>
      </c>
      <c r="H15802" s="22" t="s">
        <v>3718</v>
      </c>
      <c r="I15802" s="26">
        <v>43637.463194444397</v>
      </c>
      <c r="J15802" s="28" t="s">
        <v>51</v>
      </c>
      <c r="K15802" s="28" t="s">
        <v>51</v>
      </c>
      <c r="L15802" s="28" t="s">
        <v>51</v>
      </c>
      <c r="M15802" s="28" t="s">
        <v>51</v>
      </c>
      <c r="N15802" s="28" t="s">
        <v>51</v>
      </c>
    </row>
    <row r="15803" spans="1:14" hidden="1" outlineLevel="1" x14ac:dyDescent="0.15">
      <c r="A15803" s="23" t="str">
        <f>HYPERLINK("https://www.spark-marketing.ru/Card/Person/1027049", "МДОУ №25 п. Александрово")</f>
        <v>МДОУ №25 п. Александрово</v>
      </c>
      <c r="B15803" s="24" t="s">
        <v>20784</v>
      </c>
      <c r="C15803" s="25">
        <v>152712</v>
      </c>
      <c r="D15803" s="22" t="s">
        <v>20778</v>
      </c>
      <c r="E15803" s="22" t="s">
        <v>48</v>
      </c>
      <c r="F15803" s="23" t="str">
        <f t="shared" si="540"/>
        <v>Оказание услуг по организации питания воспитанников во 2 полугодии 2019 года</v>
      </c>
      <c r="G15803" s="22" t="s">
        <v>49</v>
      </c>
      <c r="H15803" s="22" t="s">
        <v>3718</v>
      </c>
      <c r="I15803" s="26">
        <v>43637.463194444397</v>
      </c>
      <c r="J15803" s="28" t="s">
        <v>51</v>
      </c>
      <c r="K15803" s="28" t="s">
        <v>51</v>
      </c>
      <c r="L15803" s="28" t="s">
        <v>51</v>
      </c>
      <c r="M15803" s="28" t="s">
        <v>51</v>
      </c>
      <c r="N15803" s="28" t="s">
        <v>51</v>
      </c>
    </row>
    <row r="15804" spans="1:14" hidden="1" outlineLevel="1" x14ac:dyDescent="0.15">
      <c r="A15804" s="23" t="str">
        <f>HYPERLINK("https://www.spark-marketing.ru/Card/Person/1028403", "МДОУ № 21 С. СОКОЛЬНИКОВО")</f>
        <v>МДОУ № 21 С. СОКОЛЬНИКОВО</v>
      </c>
      <c r="B15804" s="24" t="s">
        <v>20785</v>
      </c>
      <c r="C15804" s="25">
        <v>1356480</v>
      </c>
      <c r="D15804" s="22" t="s">
        <v>20778</v>
      </c>
      <c r="E15804" s="22" t="s">
        <v>48</v>
      </c>
      <c r="F15804" s="23" t="str">
        <f t="shared" si="540"/>
        <v>Оказание услуг по организации питания воспитанников во 2 полугодии 2019 года</v>
      </c>
      <c r="G15804" s="22" t="s">
        <v>49</v>
      </c>
      <c r="H15804" s="22" t="s">
        <v>3718</v>
      </c>
      <c r="I15804" s="26">
        <v>43637.463194444397</v>
      </c>
      <c r="J15804" s="28" t="s">
        <v>51</v>
      </c>
      <c r="K15804" s="28" t="s">
        <v>51</v>
      </c>
      <c r="L15804" s="28" t="s">
        <v>51</v>
      </c>
      <c r="M15804" s="28" t="s">
        <v>51</v>
      </c>
      <c r="N15804" s="28" t="s">
        <v>51</v>
      </c>
    </row>
    <row r="15805" spans="1:14" hidden="1" outlineLevel="1" x14ac:dyDescent="0.15">
      <c r="A15805" s="23" t="str">
        <f>HYPERLINK("https://www.spark-marketing.ru/Card/Person/4348857", "МДОУ №3 Г. МОЖАЙСКА")</f>
        <v>МДОУ №3 Г. МОЖАЙСКА</v>
      </c>
      <c r="B15805" s="24" t="s">
        <v>20786</v>
      </c>
      <c r="C15805" s="25">
        <v>1757592</v>
      </c>
      <c r="D15805" s="22" t="s">
        <v>20778</v>
      </c>
      <c r="E15805" s="22" t="s">
        <v>48</v>
      </c>
      <c r="F15805" s="23" t="str">
        <f t="shared" si="540"/>
        <v>Оказание услуг по организации питания воспитанников во 2 полугодии 2019 года</v>
      </c>
      <c r="G15805" s="22" t="s">
        <v>49</v>
      </c>
      <c r="H15805" s="22" t="s">
        <v>3718</v>
      </c>
      <c r="I15805" s="26">
        <v>43637.463194444397</v>
      </c>
      <c r="J15805" s="28" t="s">
        <v>51</v>
      </c>
      <c r="K15805" s="28" t="s">
        <v>51</v>
      </c>
      <c r="L15805" s="28" t="s">
        <v>51</v>
      </c>
      <c r="M15805" s="28" t="s">
        <v>51</v>
      </c>
      <c r="N15805" s="28" t="s">
        <v>51</v>
      </c>
    </row>
    <row r="15806" spans="1:14" hidden="1" outlineLevel="1" x14ac:dyDescent="0.2">
      <c r="A15806" s="28" t="s">
        <v>51</v>
      </c>
      <c r="B15806" s="28" t="s">
        <v>51</v>
      </c>
      <c r="C15806" s="28" t="s">
        <v>51</v>
      </c>
      <c r="D15806" s="22" t="s">
        <v>20778</v>
      </c>
      <c r="E15806" s="22" t="s">
        <v>48</v>
      </c>
      <c r="F15806" s="23" t="str">
        <f t="shared" si="540"/>
        <v>Оказание услуг по организации питания воспитанников во 2 полугодии 2019 года</v>
      </c>
      <c r="G15806" s="22" t="s">
        <v>51</v>
      </c>
      <c r="H15806" s="22" t="s">
        <v>51</v>
      </c>
      <c r="I15806" s="26">
        <v>43637.463194444397</v>
      </c>
      <c r="J15806" s="23" t="str">
        <f>HYPERLINK("https://www.spark-marketing.ru/Card/Person/721759", "ООО ""КАРАВЕЛЛА""")</f>
        <v>ООО "КАРАВЕЛЛА"</v>
      </c>
      <c r="K15806" s="24" t="s">
        <v>15407</v>
      </c>
      <c r="L15806" s="28" t="s">
        <v>51</v>
      </c>
      <c r="M15806" s="25">
        <v>9963431</v>
      </c>
      <c r="N15806" s="27">
        <v>1.0036702212651223E-7</v>
      </c>
    </row>
    <row r="15807" spans="1:14" hidden="1" outlineLevel="1" x14ac:dyDescent="0.2">
      <c r="A15807" s="28" t="s">
        <v>51</v>
      </c>
      <c r="B15807" s="28" t="s">
        <v>51</v>
      </c>
      <c r="C15807" s="28" t="s">
        <v>51</v>
      </c>
      <c r="D15807" s="22" t="s">
        <v>20778</v>
      </c>
      <c r="E15807" s="22" t="s">
        <v>48</v>
      </c>
      <c r="F15807" s="23" t="str">
        <f t="shared" si="540"/>
        <v>Оказание услуг по организации питания воспитанников во 2 полугодии 2019 года</v>
      </c>
      <c r="G15807" s="22" t="s">
        <v>51</v>
      </c>
      <c r="H15807" s="22" t="s">
        <v>51</v>
      </c>
      <c r="I15807" s="26">
        <v>43637.463194444397</v>
      </c>
      <c r="J15807" s="23" t="str">
        <f>HYPERLINK("https://www.spark-marketing.ru/Card/Person/6290196", "ООО ""РАМКЕЙТ""")</f>
        <v>ООО "РАМКЕЙТ"</v>
      </c>
      <c r="K15807" s="24" t="s">
        <v>5037</v>
      </c>
      <c r="L15807" s="22" t="s">
        <v>10</v>
      </c>
      <c r="M15807" s="25">
        <v>9963432</v>
      </c>
      <c r="N15807" s="27">
        <v>0</v>
      </c>
    </row>
    <row r="15808" spans="1:14" hidden="1" outlineLevel="1" x14ac:dyDescent="0.15">
      <c r="A15808" s="28" t="s">
        <v>51</v>
      </c>
      <c r="B15808" s="28" t="s">
        <v>51</v>
      </c>
      <c r="C15808" s="28" t="s">
        <v>51</v>
      </c>
      <c r="D15808" s="22" t="s">
        <v>20778</v>
      </c>
      <c r="E15808" s="22" t="s">
        <v>48</v>
      </c>
      <c r="F15808" s="23" t="str">
        <f t="shared" si="540"/>
        <v>Оказание услуг по организации питания воспитанников во 2 полугодии 2019 года</v>
      </c>
      <c r="G15808" s="22" t="s">
        <v>51</v>
      </c>
      <c r="H15808" s="22" t="s">
        <v>51</v>
      </c>
      <c r="I15808" s="26">
        <v>43637.463194444397</v>
      </c>
      <c r="J15808" s="23" t="str">
        <f>HYPERLINK("https://www.spark-marketing.ru/Card/Person/101936", "ООО ""ИНВЕСТ ГАРАНТ""")</f>
        <v>ООО "ИНВЕСТ ГАРАНТ"</v>
      </c>
      <c r="K15808" s="24" t="s">
        <v>15408</v>
      </c>
      <c r="L15808" s="28" t="s">
        <v>51</v>
      </c>
      <c r="M15808" s="28" t="s">
        <v>51</v>
      </c>
      <c r="N15808" s="28" t="s">
        <v>51</v>
      </c>
    </row>
    <row r="15809" spans="1:14" x14ac:dyDescent="0.15">
      <c r="A15809" s="23" t="str">
        <f>HYPERLINK("https://www.spark-marketing.ru/Card/Person/1074451", "МЕЖМУНИЦИПАЛЬНОЕ ОТДЕЛЕНИЕ МВД РОССИИ ""БОЛЬШЕУЛУЙСКОЕ""")</f>
        <v>МЕЖМУНИЦИПАЛЬНОЕ ОТДЕЛЕНИЕ МВД РОССИИ "БОЛЬШЕУЛУЙСКОЕ"</v>
      </c>
      <c r="B15809" s="24" t="s">
        <v>3264</v>
      </c>
      <c r="C15809" s="25">
        <v>400000</v>
      </c>
      <c r="D15809" s="22" t="s">
        <v>20787</v>
      </c>
      <c r="E15809" s="22" t="s">
        <v>48</v>
      </c>
      <c r="F15809" s="23" t="str">
        <f>HYPERLINK("https://www.spark-marketing.ru/Card/Lot/71556729", "Питание в ИВС")</f>
        <v>Питание в ИВС</v>
      </c>
      <c r="G15809" s="22" t="s">
        <v>281</v>
      </c>
      <c r="H15809" s="22" t="s">
        <v>3266</v>
      </c>
      <c r="I15809" s="26">
        <v>43637.486111111102</v>
      </c>
      <c r="J15809" s="28" t="s">
        <v>51</v>
      </c>
      <c r="K15809" s="28" t="s">
        <v>51</v>
      </c>
      <c r="L15809" s="28" t="s">
        <v>51</v>
      </c>
      <c r="M15809" s="28" t="s">
        <v>51</v>
      </c>
      <c r="N15809" s="28" t="s">
        <v>51</v>
      </c>
    </row>
    <row r="15810" spans="1:14" x14ac:dyDescent="0.15">
      <c r="A15810" s="23" t="str">
        <f>HYPERLINK("https://www.spark-marketing.ru/Card/Person/1074451", "МЕЖМУНИЦИПАЛЬНОЕ ОТДЕЛЕНИЕ МВД РОССИИ ""БОЛЬШЕУЛУЙСКОЕ""")</f>
        <v>МЕЖМУНИЦИПАЛЬНОЕ ОТДЕЛЕНИЕ МВД РОССИИ "БОЛЬШЕУЛУЙСКОЕ"</v>
      </c>
      <c r="B15810" s="24" t="s">
        <v>3264</v>
      </c>
      <c r="C15810" s="25">
        <v>400000</v>
      </c>
      <c r="D15810" s="22" t="s">
        <v>20788</v>
      </c>
      <c r="E15810" s="22" t="s">
        <v>48</v>
      </c>
      <c r="F15810" s="23" t="str">
        <f>HYPERLINK("https://www.spark-marketing.ru/Card/Lot/71557105", "Питание в ИВС")</f>
        <v>Питание в ИВС</v>
      </c>
      <c r="G15810" s="22" t="s">
        <v>281</v>
      </c>
      <c r="H15810" s="22" t="s">
        <v>3266</v>
      </c>
      <c r="I15810" s="26">
        <v>43637.497222222199</v>
      </c>
      <c r="J15810" s="28" t="s">
        <v>51</v>
      </c>
      <c r="K15810" s="28" t="s">
        <v>51</v>
      </c>
      <c r="L15810" s="28" t="s">
        <v>51</v>
      </c>
      <c r="M15810" s="28" t="s">
        <v>51</v>
      </c>
      <c r="N15810" s="28" t="s">
        <v>51</v>
      </c>
    </row>
    <row r="15811" spans="1:14" x14ac:dyDescent="0.15">
      <c r="A15811" s="23" t="s">
        <v>114</v>
      </c>
      <c r="B15811" s="28" t="s">
        <v>51</v>
      </c>
      <c r="C15811" s="25">
        <v>6748056</v>
      </c>
      <c r="D15811" s="22" t="s">
        <v>20789</v>
      </c>
      <c r="E15811" s="22" t="s">
        <v>48</v>
      </c>
      <c r="F15811" s="23" t="str">
        <f t="shared" ref="F15811:F15820" si="541">HYPERLINK("https://www.spark-marketing.ru/Card/Lot/71571490", "Оказание услуг по организации питания воспитанников во 2 полугодии 2019 года")</f>
        <v>Оказание услуг по организации питания воспитанников во 2 полугодии 2019 года</v>
      </c>
      <c r="G15811" s="22" t="s">
        <v>51</v>
      </c>
      <c r="H15811" s="22" t="s">
        <v>51</v>
      </c>
      <c r="I15811" s="26">
        <v>43637.465277777803</v>
      </c>
      <c r="J15811" s="28" t="s">
        <v>51</v>
      </c>
      <c r="K15811" s="28" t="s">
        <v>51</v>
      </c>
      <c r="L15811" s="28" t="s">
        <v>51</v>
      </c>
      <c r="M15811" s="28" t="s">
        <v>51</v>
      </c>
      <c r="N15811" s="28" t="s">
        <v>51</v>
      </c>
    </row>
    <row r="15812" spans="1:14" hidden="1" outlineLevel="1" x14ac:dyDescent="0.15">
      <c r="A15812" s="23" t="str">
        <f>HYPERLINK("https://www.spark-marketing.ru/Card/Person/1000690", "МОУ ""НАЧАЛЬНАЯ ШКОЛА - ДЕТСКИЙ САД Г. МОЖАЙСКА""")</f>
        <v>МОУ "НАЧАЛЬНАЯ ШКОЛА - ДЕТСКИЙ САД Г. МОЖАЙСКА"</v>
      </c>
      <c r="B15812" s="24" t="s">
        <v>3716</v>
      </c>
      <c r="C15812" s="25">
        <v>853200</v>
      </c>
      <c r="D15812" s="22" t="s">
        <v>20789</v>
      </c>
      <c r="E15812" s="22" t="s">
        <v>48</v>
      </c>
      <c r="F15812" s="23" t="str">
        <f t="shared" si="541"/>
        <v>Оказание услуг по организации питания воспитанников во 2 полугодии 2019 года</v>
      </c>
      <c r="G15812" s="22" t="s">
        <v>49</v>
      </c>
      <c r="H15812" s="22" t="s">
        <v>3718</v>
      </c>
      <c r="I15812" s="26">
        <v>43637.465277777803</v>
      </c>
      <c r="J15812" s="28" t="s">
        <v>51</v>
      </c>
      <c r="K15812" s="28" t="s">
        <v>51</v>
      </c>
      <c r="L15812" s="28" t="s">
        <v>51</v>
      </c>
      <c r="M15812" s="28" t="s">
        <v>51</v>
      </c>
      <c r="N15812" s="28" t="s">
        <v>51</v>
      </c>
    </row>
    <row r="15813" spans="1:14" hidden="1" outlineLevel="1" x14ac:dyDescent="0.15">
      <c r="A15813" s="23" t="str">
        <f>HYPERLINK("https://www.spark-marketing.ru/Card/Person/1022420", "МДОУ №30 С. ПОРЕЧЬЕ")</f>
        <v>МДОУ №30 С. ПОРЕЧЬЕ</v>
      </c>
      <c r="B15813" s="24" t="s">
        <v>20790</v>
      </c>
      <c r="C15813" s="25">
        <v>1135512</v>
      </c>
      <c r="D15813" s="22" t="s">
        <v>20789</v>
      </c>
      <c r="E15813" s="22" t="s">
        <v>48</v>
      </c>
      <c r="F15813" s="23" t="str">
        <f t="shared" si="541"/>
        <v>Оказание услуг по организации питания воспитанников во 2 полугодии 2019 года</v>
      </c>
      <c r="G15813" s="22" t="s">
        <v>49</v>
      </c>
      <c r="H15813" s="22" t="s">
        <v>3718</v>
      </c>
      <c r="I15813" s="26">
        <v>43637.465277777803</v>
      </c>
      <c r="J15813" s="28" t="s">
        <v>51</v>
      </c>
      <c r="K15813" s="28" t="s">
        <v>51</v>
      </c>
      <c r="L15813" s="28" t="s">
        <v>51</v>
      </c>
      <c r="M15813" s="28" t="s">
        <v>51</v>
      </c>
      <c r="N15813" s="28" t="s">
        <v>51</v>
      </c>
    </row>
    <row r="15814" spans="1:14" hidden="1" outlineLevel="1" x14ac:dyDescent="0.15">
      <c r="A15814" s="23" t="str">
        <f>HYPERLINK("https://www.spark-marketing.ru/Card/Person/1027930", "МДОУ № 28 Д. КЛЕМЕНТЬЕВО")</f>
        <v>МДОУ № 28 Д. КЛЕМЕНТЬЕВО</v>
      </c>
      <c r="B15814" s="24" t="s">
        <v>20791</v>
      </c>
      <c r="C15814" s="25">
        <v>1101384</v>
      </c>
      <c r="D15814" s="22" t="s">
        <v>20789</v>
      </c>
      <c r="E15814" s="22" t="s">
        <v>48</v>
      </c>
      <c r="F15814" s="23" t="str">
        <f t="shared" si="541"/>
        <v>Оказание услуг по организации питания воспитанников во 2 полугодии 2019 года</v>
      </c>
      <c r="G15814" s="22" t="s">
        <v>49</v>
      </c>
      <c r="H15814" s="22" t="s">
        <v>3718</v>
      </c>
      <c r="I15814" s="26">
        <v>43637.465277777803</v>
      </c>
      <c r="J15814" s="28" t="s">
        <v>51</v>
      </c>
      <c r="K15814" s="28" t="s">
        <v>51</v>
      </c>
      <c r="L15814" s="28" t="s">
        <v>51</v>
      </c>
      <c r="M15814" s="28" t="s">
        <v>51</v>
      </c>
      <c r="N15814" s="28" t="s">
        <v>51</v>
      </c>
    </row>
    <row r="15815" spans="1:14" hidden="1" outlineLevel="1" x14ac:dyDescent="0.15">
      <c r="A15815" s="23" t="str">
        <f>HYPERLINK("https://www.spark-marketing.ru/Card/Person/1031248", "МДОУ № 1 Г. МОЖАЙСКА")</f>
        <v>МДОУ № 1 Г. МОЖАЙСКА</v>
      </c>
      <c r="B15815" s="24" t="s">
        <v>7148</v>
      </c>
      <c r="C15815" s="25">
        <v>1365120</v>
      </c>
      <c r="D15815" s="22" t="s">
        <v>20789</v>
      </c>
      <c r="E15815" s="22" t="s">
        <v>48</v>
      </c>
      <c r="F15815" s="23" t="str">
        <f t="shared" si="541"/>
        <v>Оказание услуг по организации питания воспитанников во 2 полугодии 2019 года</v>
      </c>
      <c r="G15815" s="22" t="s">
        <v>49</v>
      </c>
      <c r="H15815" s="22" t="s">
        <v>3718</v>
      </c>
      <c r="I15815" s="26">
        <v>43637.465277777803</v>
      </c>
      <c r="J15815" s="28" t="s">
        <v>51</v>
      </c>
      <c r="K15815" s="28" t="s">
        <v>51</v>
      </c>
      <c r="L15815" s="28" t="s">
        <v>51</v>
      </c>
      <c r="M15815" s="28" t="s">
        <v>51</v>
      </c>
      <c r="N15815" s="28" t="s">
        <v>51</v>
      </c>
    </row>
    <row r="15816" spans="1:14" hidden="1" outlineLevel="1" x14ac:dyDescent="0.15">
      <c r="A15816" s="23" t="str">
        <f>HYPERLINK("https://www.spark-marketing.ru/Card/Person/1031309", "МДОУ № 29 П. СПУТНИК")</f>
        <v>МДОУ № 29 П. СПУТНИК</v>
      </c>
      <c r="B15816" s="24" t="s">
        <v>20792</v>
      </c>
      <c r="C15816" s="25">
        <v>2292840</v>
      </c>
      <c r="D15816" s="22" t="s">
        <v>20789</v>
      </c>
      <c r="E15816" s="22" t="s">
        <v>48</v>
      </c>
      <c r="F15816" s="23" t="str">
        <f t="shared" si="541"/>
        <v>Оказание услуг по организации питания воспитанников во 2 полугодии 2019 года</v>
      </c>
      <c r="G15816" s="22" t="s">
        <v>49</v>
      </c>
      <c r="H15816" s="22" t="s">
        <v>3718</v>
      </c>
      <c r="I15816" s="26">
        <v>43637.465277777803</v>
      </c>
      <c r="J15816" s="28" t="s">
        <v>51</v>
      </c>
      <c r="K15816" s="28" t="s">
        <v>51</v>
      </c>
      <c r="L15816" s="28" t="s">
        <v>51</v>
      </c>
      <c r="M15816" s="28" t="s">
        <v>51</v>
      </c>
      <c r="N15816" s="28" t="s">
        <v>51</v>
      </c>
    </row>
    <row r="15817" spans="1:14" hidden="1" outlineLevel="1" x14ac:dyDescent="0.15">
      <c r="A15817" s="28" t="s">
        <v>51</v>
      </c>
      <c r="B15817" s="28" t="s">
        <v>51</v>
      </c>
      <c r="C15817" s="28" t="s">
        <v>51</v>
      </c>
      <c r="D15817" s="22" t="s">
        <v>20789</v>
      </c>
      <c r="E15817" s="22" t="s">
        <v>48</v>
      </c>
      <c r="F15817" s="23" t="str">
        <f t="shared" si="541"/>
        <v>Оказание услуг по организации питания воспитанников во 2 полугодии 2019 года</v>
      </c>
      <c r="G15817" s="22" t="s">
        <v>51</v>
      </c>
      <c r="H15817" s="22" t="s">
        <v>51</v>
      </c>
      <c r="I15817" s="26">
        <v>43637.465277777803</v>
      </c>
      <c r="J15817" s="23" t="str">
        <f>HYPERLINK("https://www.spark-marketing.ru/Card/Person/707404", "Пригонюк Сергей Иванович")</f>
        <v>Пригонюк Сергей Иванович</v>
      </c>
      <c r="K15817" s="24" t="s">
        <v>6037</v>
      </c>
      <c r="L15817" s="28" t="s">
        <v>51</v>
      </c>
      <c r="M15817" s="28" t="s">
        <v>51</v>
      </c>
      <c r="N15817" s="28" t="s">
        <v>51</v>
      </c>
    </row>
    <row r="15818" spans="1:14" hidden="1" outlineLevel="1" x14ac:dyDescent="0.2">
      <c r="A15818" s="28" t="s">
        <v>51</v>
      </c>
      <c r="B15818" s="28" t="s">
        <v>51</v>
      </c>
      <c r="C15818" s="28" t="s">
        <v>51</v>
      </c>
      <c r="D15818" s="22" t="s">
        <v>20789</v>
      </c>
      <c r="E15818" s="22" t="s">
        <v>48</v>
      </c>
      <c r="F15818" s="23" t="str">
        <f t="shared" si="541"/>
        <v>Оказание услуг по организации питания воспитанников во 2 полугодии 2019 года</v>
      </c>
      <c r="G15818" s="22" t="s">
        <v>51</v>
      </c>
      <c r="H15818" s="22" t="s">
        <v>51</v>
      </c>
      <c r="I15818" s="26">
        <v>43637.465277777803</v>
      </c>
      <c r="J15818" s="23" t="str">
        <f>HYPERLINK("https://www.spark-marketing.ru/Card/Person/721759", "ООО ""КАРАВЕЛЛА""")</f>
        <v>ООО "КАРАВЕЛЛА"</v>
      </c>
      <c r="K15818" s="24" t="s">
        <v>15407</v>
      </c>
      <c r="L15818" s="28" t="s">
        <v>51</v>
      </c>
      <c r="M15818" s="25">
        <v>6748055</v>
      </c>
      <c r="N15818" s="27">
        <v>1.4819082710635477E-7</v>
      </c>
    </row>
    <row r="15819" spans="1:14" hidden="1" outlineLevel="1" x14ac:dyDescent="0.2">
      <c r="A15819" s="28" t="s">
        <v>51</v>
      </c>
      <c r="B15819" s="28" t="s">
        <v>51</v>
      </c>
      <c r="C15819" s="28" t="s">
        <v>51</v>
      </c>
      <c r="D15819" s="22" t="s">
        <v>20789</v>
      </c>
      <c r="E15819" s="22" t="s">
        <v>48</v>
      </c>
      <c r="F15819" s="23" t="str">
        <f t="shared" si="541"/>
        <v>Оказание услуг по организации питания воспитанников во 2 полугодии 2019 года</v>
      </c>
      <c r="G15819" s="22" t="s">
        <v>51</v>
      </c>
      <c r="H15819" s="22" t="s">
        <v>51</v>
      </c>
      <c r="I15819" s="26">
        <v>43637.465277777803</v>
      </c>
      <c r="J15819" s="23" t="str">
        <f>HYPERLINK("https://www.spark-marketing.ru/Card/Person/6290196", "ООО ""РАМКЕЙТ""")</f>
        <v>ООО "РАМКЕЙТ"</v>
      </c>
      <c r="K15819" s="24" t="s">
        <v>5037</v>
      </c>
      <c r="L15819" s="22" t="s">
        <v>10</v>
      </c>
      <c r="M15819" s="25">
        <v>6748056</v>
      </c>
      <c r="N15819" s="27">
        <v>0</v>
      </c>
    </row>
    <row r="15820" spans="1:14" hidden="1" outlineLevel="1" x14ac:dyDescent="0.15">
      <c r="A15820" s="28" t="s">
        <v>51</v>
      </c>
      <c r="B15820" s="28" t="s">
        <v>51</v>
      </c>
      <c r="C15820" s="28" t="s">
        <v>51</v>
      </c>
      <c r="D15820" s="22" t="s">
        <v>20789</v>
      </c>
      <c r="E15820" s="22" t="s">
        <v>48</v>
      </c>
      <c r="F15820" s="23" t="str">
        <f t="shared" si="541"/>
        <v>Оказание услуг по организации питания воспитанников во 2 полугодии 2019 года</v>
      </c>
      <c r="G15820" s="22" t="s">
        <v>51</v>
      </c>
      <c r="H15820" s="22" t="s">
        <v>51</v>
      </c>
      <c r="I15820" s="26">
        <v>43637.465277777803</v>
      </c>
      <c r="J15820" s="23" t="str">
        <f>HYPERLINK("https://www.spark-marketing.ru/Card/Person/101936", "ООО ""ИНВЕСТ ГАРАНТ""")</f>
        <v>ООО "ИНВЕСТ ГАРАНТ"</v>
      </c>
      <c r="K15820" s="24" t="s">
        <v>15408</v>
      </c>
      <c r="L15820" s="28" t="s">
        <v>51</v>
      </c>
      <c r="M15820" s="28" t="s">
        <v>51</v>
      </c>
      <c r="N15820" s="28" t="s">
        <v>51</v>
      </c>
    </row>
    <row r="15821" spans="1:14" x14ac:dyDescent="0.15">
      <c r="A15821" s="23" t="str">
        <f>HYPERLINK("https://www.spark-marketing.ru/Card/Person/6229578", "МАУ Г.НИЖНЕВАРТОВСКА ""СШОР""")</f>
        <v>МАУ Г.НИЖНЕВАРТОВСКА "СШОР"</v>
      </c>
      <c r="B15821" s="24" t="s">
        <v>20793</v>
      </c>
      <c r="C15821" s="25">
        <v>236262.6</v>
      </c>
      <c r="D15821" s="22" t="s">
        <v>20794</v>
      </c>
      <c r="E15821" s="22" t="s">
        <v>362</v>
      </c>
      <c r="F15821" s="23" t="str">
        <f>HYPERLINK("https://www.spark-marketing.ru/Card/Lot/71560860", "Оказание услуг по организации питания детей в лагере дневного пребывания в летний период 2019 года")</f>
        <v>Оказание услуг по организации питания детей в лагере дневного пребывания в летний период 2019 года</v>
      </c>
      <c r="G15821" s="22" t="s">
        <v>97</v>
      </c>
      <c r="H15821" s="22" t="s">
        <v>97</v>
      </c>
      <c r="I15821" s="26">
        <v>43637.481736111098</v>
      </c>
      <c r="J15821" s="28" t="s">
        <v>51</v>
      </c>
      <c r="K15821" s="28" t="s">
        <v>51</v>
      </c>
      <c r="L15821" s="28" t="s">
        <v>51</v>
      </c>
      <c r="M15821" s="28" t="s">
        <v>51</v>
      </c>
      <c r="N15821" s="28" t="s">
        <v>51</v>
      </c>
    </row>
    <row r="15822" spans="1:14" x14ac:dyDescent="0.15">
      <c r="A15822" s="23" t="str">
        <f>HYPERLINK("https://www.spark-marketing.ru/Card/Person/94331", "ГБОУ КО ""СШОР Л.ЛАТЫНИНОЙ""")</f>
        <v>ГБОУ КО "СШОР Л.ЛАТЫНИНОЙ"</v>
      </c>
      <c r="B15822" s="24" t="s">
        <v>20795</v>
      </c>
      <c r="C15822" s="25">
        <v>7633935</v>
      </c>
      <c r="D15822" s="22" t="s">
        <v>20796</v>
      </c>
      <c r="E15822" s="22" t="s">
        <v>48</v>
      </c>
      <c r="F15822" s="23" t="str">
        <f>HYPERLINK("https://www.spark-marketing.ru/Card/Lot/71571458", "Оказание услуг по организации питания спортсменов")</f>
        <v>Оказание услуг по организации питания спортсменов</v>
      </c>
      <c r="G15822" s="22" t="s">
        <v>112</v>
      </c>
      <c r="H15822" s="22" t="s">
        <v>1663</v>
      </c>
      <c r="I15822" s="26">
        <v>43637.497222222199</v>
      </c>
      <c r="J15822" s="28" t="s">
        <v>51</v>
      </c>
      <c r="K15822" s="28" t="s">
        <v>51</v>
      </c>
      <c r="L15822" s="28" t="s">
        <v>51</v>
      </c>
      <c r="M15822" s="28" t="s">
        <v>51</v>
      </c>
      <c r="N15822" s="28" t="s">
        <v>51</v>
      </c>
    </row>
    <row r="15823" spans="1:14" hidden="1" outlineLevel="1" x14ac:dyDescent="0.2">
      <c r="A15823" s="23" t="str">
        <f>HYPERLINK("https://www.spark-marketing.ru/Card/Person/94331", "ГБОУ КО ""СШОР Л.ЛАТЫНИНОЙ""")</f>
        <v>ГБОУ КО "СШОР Л.ЛАТЫНИНОЙ"</v>
      </c>
      <c r="B15823" s="24" t="s">
        <v>20795</v>
      </c>
      <c r="C15823" s="25">
        <v>7633935</v>
      </c>
      <c r="D15823" s="22" t="s">
        <v>20796</v>
      </c>
      <c r="E15823" s="22" t="s">
        <v>48</v>
      </c>
      <c r="F15823" s="23" t="str">
        <f>HYPERLINK("https://www.spark-marketing.ru/Card/Lot/71571458", "Оказание услуг по организации питания спортсменов")</f>
        <v>Оказание услуг по организации питания спортсменов</v>
      </c>
      <c r="G15823" s="22" t="s">
        <v>112</v>
      </c>
      <c r="H15823" s="22" t="s">
        <v>1663</v>
      </c>
      <c r="I15823" s="26">
        <v>43637.497222222199</v>
      </c>
      <c r="J15823" s="23" t="str">
        <f>HYPERLINK("https://www.spark-marketing.ru/Card/Person/91324", "ООО ""КАЛУЖСКИЙ КОМБИНАТ ШКОЛЬНОГО ПИТАНИЯ""")</f>
        <v>ООО "КАЛУЖСКИЙ КОМБИНАТ ШКОЛЬНОГО ПИТАНИЯ"</v>
      </c>
      <c r="K15823" s="24" t="s">
        <v>14829</v>
      </c>
      <c r="L15823" s="28" t="s">
        <v>51</v>
      </c>
      <c r="M15823" s="25">
        <v>5988347.3200000003</v>
      </c>
      <c r="N15823" s="27">
        <v>0.21556218123418655</v>
      </c>
    </row>
    <row r="15824" spans="1:14" hidden="1" outlineLevel="1" x14ac:dyDescent="0.2">
      <c r="A15824" s="23" t="str">
        <f>HYPERLINK("https://www.spark-marketing.ru/Card/Person/94331", "ГБОУ КО ""СШОР Л.ЛАТЫНИНОЙ""")</f>
        <v>ГБОУ КО "СШОР Л.ЛАТЫНИНОЙ"</v>
      </c>
      <c r="B15824" s="24" t="s">
        <v>20795</v>
      </c>
      <c r="C15824" s="25">
        <v>7633935</v>
      </c>
      <c r="D15824" s="22" t="s">
        <v>20796</v>
      </c>
      <c r="E15824" s="22" t="s">
        <v>48</v>
      </c>
      <c r="F15824" s="23" t="str">
        <f>HYPERLINK("https://www.spark-marketing.ru/Card/Lot/71571458", "Оказание услуг по организации питания спортсменов")</f>
        <v>Оказание услуг по организации питания спортсменов</v>
      </c>
      <c r="G15824" s="22" t="s">
        <v>112</v>
      </c>
      <c r="H15824" s="22" t="s">
        <v>1663</v>
      </c>
      <c r="I15824" s="26">
        <v>43637.497222222199</v>
      </c>
      <c r="J15824" s="23" t="str">
        <f>HYPERLINK("https://www.spark-marketing.ru/Card/Person/6626469", "ПОТАПОВ РОМАН АНДРЕЕВИЧ")</f>
        <v>ПОТАПОВ РОМАН АНДРЕЕВИЧ</v>
      </c>
      <c r="K15824" s="24" t="s">
        <v>20797</v>
      </c>
      <c r="L15824" s="28" t="s">
        <v>51</v>
      </c>
      <c r="M15824" s="25">
        <v>6717862.6799999997</v>
      </c>
      <c r="N15824" s="27">
        <v>0.12000001571928501</v>
      </c>
    </row>
    <row r="15825" spans="1:14" ht="12.75" hidden="1" outlineLevel="1" x14ac:dyDescent="0.2">
      <c r="A15825" s="23" t="str">
        <f>HYPERLINK("https://www.spark-marketing.ru/Card/Person/94331", "ГБОУ КО ""СШОР Л.ЛАТЫНИНОЙ""")</f>
        <v>ГБОУ КО "СШОР Л.ЛАТЫНИНОЙ"</v>
      </c>
      <c r="B15825" s="24" t="s">
        <v>20795</v>
      </c>
      <c r="C15825" s="25">
        <v>7633935</v>
      </c>
      <c r="D15825" s="22" t="s">
        <v>20796</v>
      </c>
      <c r="E15825" s="22" t="s">
        <v>48</v>
      </c>
      <c r="F15825" s="23" t="str">
        <f>HYPERLINK("https://www.spark-marketing.ru/Card/Lot/71571458", "Оказание услуг по организации питания спортсменов")</f>
        <v>Оказание услуг по организации питания спортсменов</v>
      </c>
      <c r="G15825" s="22" t="s">
        <v>112</v>
      </c>
      <c r="H15825" s="22" t="s">
        <v>1663</v>
      </c>
      <c r="I15825" s="26">
        <v>43637.497222222199</v>
      </c>
      <c r="J15825" s="23" t="str">
        <f>HYPERLINK("https://www.spark-marketing.ru/Card/Person/71906", "ООО ""ПК ""ОБНИНСКИЙ""")</f>
        <v>ООО "ПК "ОБНИНСКИЙ"</v>
      </c>
      <c r="K15825" s="24" t="s">
        <v>17896</v>
      </c>
      <c r="L15825" s="22" t="s">
        <v>10</v>
      </c>
      <c r="M15825" s="25">
        <v>5949787.5</v>
      </c>
      <c r="N15825" s="27">
        <v>0.22061328790459966</v>
      </c>
    </row>
    <row r="15826" spans="1:14" x14ac:dyDescent="0.15">
      <c r="A15826" s="23" t="str">
        <f>HYPERLINK("https://www.spark-marketing.ru/Card/Person/4343663", "МИНЗДРАВ АЛТАЙСКОГО КРАЯ")</f>
        <v>МИНЗДРАВ АЛТАЙСКОГО КРАЯ</v>
      </c>
      <c r="B15826" s="24" t="s">
        <v>9429</v>
      </c>
      <c r="C15826" s="25">
        <v>99910.8</v>
      </c>
      <c r="D15826" s="22" t="s">
        <v>20798</v>
      </c>
      <c r="E15826" s="22" t="s">
        <v>336</v>
      </c>
      <c r="F15826" s="23" t="str">
        <f>HYPERLINK("https://www.spark-marketing.ru/Card/Lot/71562755",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5826" s="22" t="s">
        <v>63</v>
      </c>
      <c r="H15826" s="22" t="s">
        <v>177</v>
      </c>
      <c r="I15826" s="26">
        <v>43637.495138888902</v>
      </c>
      <c r="J15826" s="28" t="s">
        <v>51</v>
      </c>
      <c r="K15826" s="28" t="s">
        <v>51</v>
      </c>
      <c r="L15826" s="28" t="s">
        <v>51</v>
      </c>
      <c r="M15826" s="28" t="s">
        <v>51</v>
      </c>
      <c r="N15826" s="28" t="s">
        <v>51</v>
      </c>
    </row>
    <row r="15827" spans="1:14" x14ac:dyDescent="0.15">
      <c r="A15827" s="23" t="str">
        <f>HYPERLINK("https://www.spark-marketing.ru/Card/Person/4343663", "МИНЗДРАВ АЛТАЙСКОГО КРАЯ")</f>
        <v>МИНЗДРАВ АЛТАЙСКОГО КРАЯ</v>
      </c>
      <c r="B15827" s="24" t="s">
        <v>9429</v>
      </c>
      <c r="C15827" s="25">
        <v>95200</v>
      </c>
      <c r="D15827" s="22" t="s">
        <v>20799</v>
      </c>
      <c r="E15827" s="22" t="s">
        <v>336</v>
      </c>
      <c r="F15827" s="23" t="str">
        <f>HYPERLINK("https://www.spark-marketing.ru/Card/Lot/71563480",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5827" s="22" t="s">
        <v>63</v>
      </c>
      <c r="H15827" s="22" t="s">
        <v>177</v>
      </c>
      <c r="I15827" s="26">
        <v>43637.487500000003</v>
      </c>
      <c r="J15827" s="28" t="s">
        <v>51</v>
      </c>
      <c r="K15827" s="28" t="s">
        <v>51</v>
      </c>
      <c r="L15827" s="28" t="s">
        <v>51</v>
      </c>
      <c r="M15827" s="28" t="s">
        <v>51</v>
      </c>
      <c r="N15827" s="28" t="s">
        <v>51</v>
      </c>
    </row>
    <row r="15828" spans="1:14" x14ac:dyDescent="0.15">
      <c r="A15828" s="23" t="str">
        <f>HYPERLINK("https://www.spark-marketing.ru/Card/Person/4413821", "АО ""82 СРЗ""")</f>
        <v>АО "82 СРЗ"</v>
      </c>
      <c r="B15828" s="24" t="s">
        <v>20800</v>
      </c>
      <c r="C15828" s="25">
        <v>199802.7</v>
      </c>
      <c r="D15828" s="22" t="s">
        <v>20801</v>
      </c>
      <c r="E15828" s="22" t="s">
        <v>17252</v>
      </c>
      <c r="F15828" s="23" t="str">
        <f>HYPERLINK("https://www.spark-marketing.ru/Card/Lot/71565267", "Оказание услуг по поставке продуктов лечебно-профилактического питания.")</f>
        <v>Оказание услуг по поставке продуктов лечебно-профилактического питания.</v>
      </c>
      <c r="G15828" s="22" t="s">
        <v>340</v>
      </c>
      <c r="H15828" s="22" t="s">
        <v>341</v>
      </c>
      <c r="I15828" s="26">
        <v>43637.483333333301</v>
      </c>
      <c r="J15828" s="28" t="s">
        <v>51</v>
      </c>
      <c r="K15828" s="28" t="s">
        <v>51</v>
      </c>
      <c r="L15828" s="28" t="s">
        <v>51</v>
      </c>
      <c r="M15828" s="28" t="s">
        <v>51</v>
      </c>
      <c r="N15828" s="28" t="s">
        <v>51</v>
      </c>
    </row>
    <row r="15829" spans="1:14" x14ac:dyDescent="0.15">
      <c r="A15829" s="23" t="str">
        <f>HYPERLINK("https://www.spark-marketing.ru/Card/Person/75996", "ГБПОУ РО ""РЖТ""")</f>
        <v>ГБПОУ РО "РЖТ"</v>
      </c>
      <c r="B15829" s="24" t="s">
        <v>20802</v>
      </c>
      <c r="C15829" s="25">
        <v>4412452</v>
      </c>
      <c r="D15829" s="22" t="s">
        <v>20803</v>
      </c>
      <c r="E15829" s="22" t="s">
        <v>48</v>
      </c>
      <c r="F15829" s="23" t="str">
        <f>HYPERLINK("https://www.spark-marketing.ru/Card/Lot/71569726", "Услуги по организации горячего (привозного) питания студентов на 2019 год")</f>
        <v>Услуги по организации горячего (привозного) питания студентов на 2019 год</v>
      </c>
      <c r="G15829" s="22" t="s">
        <v>267</v>
      </c>
      <c r="H15829" s="22" t="s">
        <v>590</v>
      </c>
      <c r="I15829" s="26">
        <v>43637.492361111101</v>
      </c>
      <c r="J15829" s="23" t="str">
        <f>HYPERLINK("https://www.spark-marketing.ru/Card/Person/6500705", "Прокопенко Людмила Юрьевна")</f>
        <v>Прокопенко Людмила Юрьевна</v>
      </c>
      <c r="K15829" s="24" t="s">
        <v>20804</v>
      </c>
      <c r="L15829" s="22" t="s">
        <v>10</v>
      </c>
      <c r="M15829" s="28" t="s">
        <v>51</v>
      </c>
      <c r="N15829" s="28" t="s">
        <v>51</v>
      </c>
    </row>
    <row r="15830" spans="1:14" x14ac:dyDescent="0.15">
      <c r="A15830" s="23" t="str">
        <f>HYPERLINK("https://www.spark-marketing.ru/Card/Person/101353", "КГБУЗ ""АЛТАЙСКАЯ КРАЕВАЯ ПСИХИАТРИЧЕСКАЯ БОЛЬНИЦА №1""")</f>
        <v>КГБУЗ "АЛТАЙСКАЯ КРАЕВАЯ ПСИХИАТРИЧЕСКАЯ БОЛЬНИЦА №1"</v>
      </c>
      <c r="B15830" s="24" t="s">
        <v>20805</v>
      </c>
      <c r="C15830" s="25">
        <v>20362.55</v>
      </c>
      <c r="D15830" s="22" t="s">
        <v>20806</v>
      </c>
      <c r="E15830" s="22" t="s">
        <v>20807</v>
      </c>
      <c r="F15830" s="23" t="str">
        <f>HYPERLINK("https://www.spark-marketing.ru/Card/Lot/71559329", "Товары,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</v>
      </c>
      <c r="G15830" s="22" t="s">
        <v>63</v>
      </c>
      <c r="H15830" s="22" t="s">
        <v>18667</v>
      </c>
      <c r="I15830" s="26">
        <v>43637.434722222199</v>
      </c>
      <c r="J15830" s="28" t="s">
        <v>51</v>
      </c>
      <c r="K15830" s="28" t="s">
        <v>51</v>
      </c>
      <c r="L15830" s="28" t="s">
        <v>51</v>
      </c>
      <c r="M15830" s="28" t="s">
        <v>51</v>
      </c>
      <c r="N15830" s="28" t="s">
        <v>51</v>
      </c>
    </row>
    <row r="15831" spans="1:14" x14ac:dyDescent="0.15">
      <c r="A15831" s="23" t="str">
        <f>HYPERLINK("https://www.spark-marketing.ru/Card/Person/58825", "КГБУЗ ""ЦРБ Г. ЗМЕИНОГОРСКА""")</f>
        <v>КГБУЗ "ЦРБ Г. ЗМЕИНОГОРСКА"</v>
      </c>
      <c r="B15831" s="24" t="s">
        <v>60</v>
      </c>
      <c r="C15831" s="25">
        <v>720.72</v>
      </c>
      <c r="D15831" s="22" t="s">
        <v>20808</v>
      </c>
      <c r="E15831" s="22" t="s">
        <v>595</v>
      </c>
      <c r="F15831" s="23" t="str">
        <f>HYPERLINK("https://www.spark-marketing.ru/Card/Lot/71560509", "Товары, работы или услуги на сумму, не превышающую 100 тыс. руб. (п.4 ч.1 ст.93 44-ФЗ)")</f>
        <v>Товары, работы или услуги на сумму, не превышающую 100 тыс. руб. (п.4 ч.1 ст.93 44-ФЗ)</v>
      </c>
      <c r="G15831" s="22" t="s">
        <v>63</v>
      </c>
      <c r="H15831" s="22" t="s">
        <v>64</v>
      </c>
      <c r="I15831" s="26">
        <v>43637.440277777801</v>
      </c>
      <c r="J15831" s="28" t="s">
        <v>51</v>
      </c>
      <c r="K15831" s="28" t="s">
        <v>51</v>
      </c>
      <c r="L15831" s="28" t="s">
        <v>51</v>
      </c>
      <c r="M15831" s="28" t="s">
        <v>51</v>
      </c>
      <c r="N15831" s="28" t="s">
        <v>51</v>
      </c>
    </row>
    <row r="15832" spans="1:14" x14ac:dyDescent="0.15">
      <c r="A15832" s="23" t="str">
        <f>HYPERLINK("https://www.spark-marketing.ru/Card/Person/133633", "МБОУ ""ДСОШ № 3""")</f>
        <v>МБОУ "ДСОШ № 3"</v>
      </c>
      <c r="B15832" s="24" t="s">
        <v>20809</v>
      </c>
      <c r="C15832" s="25">
        <v>3662325.5</v>
      </c>
      <c r="D15832" s="22" t="s">
        <v>20810</v>
      </c>
      <c r="E15832" s="22" t="s">
        <v>96</v>
      </c>
      <c r="F15832" s="23" t="str">
        <f>HYPERLINK("https://www.spark-marketing.ru/Card/Lot/71570566", "Услуги по обеспечению питанием, осуществляемые по договору")</f>
        <v>Услуги по обеспечению питанием, осуществляемые по договору</v>
      </c>
      <c r="G15832" s="22" t="s">
        <v>153</v>
      </c>
      <c r="H15832" s="22" t="s">
        <v>153</v>
      </c>
      <c r="I15832" s="26">
        <v>43637.454166666699</v>
      </c>
      <c r="J15832" s="28" t="s">
        <v>51</v>
      </c>
      <c r="K15832" s="28" t="s">
        <v>51</v>
      </c>
      <c r="L15832" s="28" t="s">
        <v>51</v>
      </c>
      <c r="M15832" s="28" t="s">
        <v>51</v>
      </c>
      <c r="N15832" s="28" t="s">
        <v>51</v>
      </c>
    </row>
    <row r="15833" spans="1:14" ht="12.75" hidden="1" outlineLevel="1" x14ac:dyDescent="0.2">
      <c r="A15833" s="23" t="str">
        <f>HYPERLINK("https://www.spark-marketing.ru/Card/Person/133633", "МБОУ ""ДСОШ № 3""")</f>
        <v>МБОУ "ДСОШ № 3"</v>
      </c>
      <c r="B15833" s="24" t="s">
        <v>20809</v>
      </c>
      <c r="C15833" s="25">
        <v>3662325.5</v>
      </c>
      <c r="D15833" s="22" t="s">
        <v>20810</v>
      </c>
      <c r="E15833" s="22" t="s">
        <v>96</v>
      </c>
      <c r="F15833" s="23" t="str">
        <f>HYPERLINK("https://www.spark-marketing.ru/Card/Lot/71570566", "Услуги по обеспечению питанием, осуществляемые по договору")</f>
        <v>Услуги по обеспечению питанием, осуществляемые по договору</v>
      </c>
      <c r="G15833" s="22" t="s">
        <v>153</v>
      </c>
      <c r="H15833" s="22" t="s">
        <v>153</v>
      </c>
      <c r="I15833" s="26">
        <v>43637.454166666699</v>
      </c>
      <c r="J15833" s="23" t="str">
        <f>HYPERLINK("https://www.spark-marketing.ru/Card/Person/5907618", "Терентьева Светлана Геннадьевна")</f>
        <v>Терентьева Светлана Геннадьевна</v>
      </c>
      <c r="K15833" s="24" t="s">
        <v>20811</v>
      </c>
      <c r="L15833" s="22" t="s">
        <v>10</v>
      </c>
      <c r="M15833" s="25">
        <v>3570767.35</v>
      </c>
      <c r="N15833" s="27">
        <v>2.5000003413131903E-2</v>
      </c>
    </row>
    <row r="15834" spans="1:14" hidden="1" outlineLevel="1" x14ac:dyDescent="0.2">
      <c r="A15834" s="23" t="str">
        <f>HYPERLINK("https://www.spark-marketing.ru/Card/Person/133633", "МБОУ ""ДСОШ № 3""")</f>
        <v>МБОУ "ДСОШ № 3"</v>
      </c>
      <c r="B15834" s="24" t="s">
        <v>20809</v>
      </c>
      <c r="C15834" s="25">
        <v>3662325.5</v>
      </c>
      <c r="D15834" s="22" t="s">
        <v>20810</v>
      </c>
      <c r="E15834" s="22" t="s">
        <v>96</v>
      </c>
      <c r="F15834" s="23" t="str">
        <f>HYPERLINK("https://www.spark-marketing.ru/Card/Lot/71570566", "Услуги по обеспечению питанием, осуществляемые по договору")</f>
        <v>Услуги по обеспечению питанием, осуществляемые по договору</v>
      </c>
      <c r="G15834" s="22" t="s">
        <v>153</v>
      </c>
      <c r="H15834" s="22" t="s">
        <v>153</v>
      </c>
      <c r="I15834" s="26">
        <v>43637.454166666699</v>
      </c>
      <c r="J15834" s="23" t="str">
        <f>HYPERLINK("https://www.spark-marketing.ru/Card/Person/752895", "ООО ""ОЛИМП""")</f>
        <v>ООО "ОЛИМП"</v>
      </c>
      <c r="K15834" s="24" t="s">
        <v>10532</v>
      </c>
      <c r="L15834" s="28" t="s">
        <v>51</v>
      </c>
      <c r="M15834" s="25">
        <v>3589078.98</v>
      </c>
      <c r="N15834" s="27">
        <v>2.000000273050552E-2</v>
      </c>
    </row>
    <row r="15835" spans="1:14" x14ac:dyDescent="0.15">
      <c r="A15835" s="23" t="str">
        <f>HYPERLINK("https://www.spark-marketing.ru/Card/Person/1761716", "АО""ЧЕРНОГОРЭНЕРГО""")</f>
        <v>АО"ЧЕРНОГОРЭНЕРГО"</v>
      </c>
      <c r="B15835" s="24" t="s">
        <v>20812</v>
      </c>
      <c r="C15835" s="25">
        <v>3502800</v>
      </c>
      <c r="D15835" s="22" t="s">
        <v>20813</v>
      </c>
      <c r="E15835" s="22" t="s">
        <v>580</v>
      </c>
      <c r="F15835" s="23" t="str">
        <f>HYPERLINK("https://www.spark-marketing.ru/Card/Lot/71562989", "Оказание услуг по организации питания сотрудников АО ""Черногорэнерго""")</f>
        <v>Оказание услуг по организации питания сотрудников АО "Черногорэнерго"</v>
      </c>
      <c r="G15835" s="22" t="s">
        <v>97</v>
      </c>
      <c r="H15835" s="22" t="s">
        <v>97</v>
      </c>
      <c r="I15835" s="26">
        <v>43637.443217592598</v>
      </c>
      <c r="J15835" s="28" t="s">
        <v>51</v>
      </c>
      <c r="K15835" s="28" t="s">
        <v>51</v>
      </c>
      <c r="L15835" s="28" t="s">
        <v>51</v>
      </c>
      <c r="M15835" s="28" t="s">
        <v>51</v>
      </c>
      <c r="N15835" s="28" t="s">
        <v>51</v>
      </c>
    </row>
    <row r="15836" spans="1:14" x14ac:dyDescent="0.15">
      <c r="A15836" s="23" t="str">
        <f>HYPERLINK("https://www.spark-marketing.ru/Card/Person/1904059", "АО ПО ""КОСМОС""")</f>
        <v>АО ПО "КОСМОС"</v>
      </c>
      <c r="B15836" s="24" t="s">
        <v>7671</v>
      </c>
      <c r="C15836" s="25">
        <v>1700000</v>
      </c>
      <c r="D15836" s="22" t="s">
        <v>20814</v>
      </c>
      <c r="E15836" s="22" t="s">
        <v>580</v>
      </c>
      <c r="F15836" s="23" t="str">
        <f>HYPERLINK("https://www.spark-marketing.ru/Card/Lot/71564154", "Комплекс услуг на поставку бортового питания для пассажиров и экипажа ВС Ту-134 в аэропорту «Архангельск»")</f>
        <v>Комплекс услуг на поставку бортового питания для пассажиров и экипажа ВС Ту-134 в аэропорту «Архангельск»</v>
      </c>
      <c r="G15836" s="22" t="s">
        <v>56</v>
      </c>
      <c r="H15836" s="22" t="s">
        <v>56</v>
      </c>
      <c r="I15836" s="26">
        <v>43637.453136574099</v>
      </c>
      <c r="J15836" s="28" t="s">
        <v>51</v>
      </c>
      <c r="K15836" s="28" t="s">
        <v>51</v>
      </c>
      <c r="L15836" s="28" t="s">
        <v>51</v>
      </c>
      <c r="M15836" s="28" t="s">
        <v>51</v>
      </c>
      <c r="N15836" s="28" t="s">
        <v>51</v>
      </c>
    </row>
    <row r="15837" spans="1:14" x14ac:dyDescent="0.15">
      <c r="A15837" s="23" t="str">
        <f>HYPERLINK("https://www.spark-marketing.ru/Card/Person/1007586", "МОУ ""ГИМНАЗИЯ ""ЛОГОС""")</f>
        <v>МОУ "ГИМНАЗИЯ "ЛОГОС"</v>
      </c>
      <c r="B15837" s="24" t="s">
        <v>1651</v>
      </c>
      <c r="C15837" s="25">
        <v>109980</v>
      </c>
      <c r="D15837" s="22" t="s">
        <v>20815</v>
      </c>
      <c r="E15837" s="22" t="s">
        <v>48</v>
      </c>
      <c r="F15837" s="23" t="str">
        <f>HYPERLINK("https://www.spark-marketing.ru/Card/Lot/71580515", "Организация питания учащихся МОУ ""Гимназия ""Логос"" города Кимры Тверской области")</f>
        <v>Организация питания учащихся МОУ "Гимназия "Логос" города Кимры Тверской области</v>
      </c>
      <c r="G15837" s="22" t="s">
        <v>137</v>
      </c>
      <c r="H15837" s="22" t="s">
        <v>1431</v>
      </c>
      <c r="I15837" s="26">
        <v>43637.427083333299</v>
      </c>
      <c r="J15837" s="28" t="s">
        <v>51</v>
      </c>
      <c r="K15837" s="28" t="s">
        <v>51</v>
      </c>
      <c r="L15837" s="28" t="s">
        <v>51</v>
      </c>
      <c r="M15837" s="28" t="s">
        <v>51</v>
      </c>
      <c r="N15837" s="28" t="s">
        <v>51</v>
      </c>
    </row>
    <row r="15838" spans="1:14" ht="12.75" hidden="1" outlineLevel="1" x14ac:dyDescent="0.2">
      <c r="A15838" s="23" t="str">
        <f>HYPERLINK("https://www.spark-marketing.ru/Card/Person/1007586", "МОУ ""ГИМНАЗИЯ ""ЛОГОС""")</f>
        <v>МОУ "ГИМНАЗИЯ "ЛОГОС"</v>
      </c>
      <c r="B15838" s="24" t="s">
        <v>1651</v>
      </c>
      <c r="C15838" s="25">
        <v>109980</v>
      </c>
      <c r="D15838" s="22" t="s">
        <v>20815</v>
      </c>
      <c r="E15838" s="22" t="s">
        <v>48</v>
      </c>
      <c r="F15838" s="23" t="str">
        <f>HYPERLINK("https://www.spark-marketing.ru/Card/Lot/71580515", "Организация питания учащихся МОУ ""Гимназия ""Логос"" города Кимры Тверской области")</f>
        <v>Организация питания учащихся МОУ "Гимназия "Логос" города Кимры Тверской области</v>
      </c>
      <c r="G15838" s="22" t="s">
        <v>137</v>
      </c>
      <c r="H15838" s="22" t="s">
        <v>1431</v>
      </c>
      <c r="I15838" s="26">
        <v>43637.427083333299</v>
      </c>
      <c r="J15838" s="23" t="str">
        <f>HYPERLINK("https://www.spark-marketing.ru/Card/Person/622548", "Лукьянова Мария Анатольевна")</f>
        <v>Лукьянова Мария Анатольевна</v>
      </c>
      <c r="K15838" s="24" t="s">
        <v>1432</v>
      </c>
      <c r="L15838" s="22" t="s">
        <v>10</v>
      </c>
      <c r="M15838" s="25">
        <v>61172.33</v>
      </c>
      <c r="N15838" s="27">
        <v>0.443786779414439</v>
      </c>
    </row>
    <row r="15839" spans="1:14" hidden="1" outlineLevel="1" x14ac:dyDescent="0.2">
      <c r="A15839" s="23" t="str">
        <f>HYPERLINK("https://www.spark-marketing.ru/Card/Person/1007586", "МОУ ""ГИМНАЗИЯ ""ЛОГОС""")</f>
        <v>МОУ "ГИМНАЗИЯ "ЛОГОС"</v>
      </c>
      <c r="B15839" s="24" t="s">
        <v>1651</v>
      </c>
      <c r="C15839" s="25">
        <v>109980</v>
      </c>
      <c r="D15839" s="22" t="s">
        <v>20815</v>
      </c>
      <c r="E15839" s="22" t="s">
        <v>48</v>
      </c>
      <c r="F15839" s="23" t="str">
        <f>HYPERLINK("https://www.spark-marketing.ru/Card/Lot/71580515", "Организация питания учащихся МОУ ""Гимназия ""Логос"" города Кимры Тверской области")</f>
        <v>Организация питания учащихся МОУ "Гимназия "Логос" города Кимры Тверской области</v>
      </c>
      <c r="G15839" s="22" t="s">
        <v>137</v>
      </c>
      <c r="H15839" s="22" t="s">
        <v>1431</v>
      </c>
      <c r="I15839" s="26">
        <v>43637.427083333299</v>
      </c>
      <c r="J15839" s="23" t="str">
        <f>HYPERLINK("https://www.spark-marketing.ru/Card/Person/331373", "Платонова Елена Павловна")</f>
        <v>Платонова Елена Павловна</v>
      </c>
      <c r="K15839" s="24" t="s">
        <v>1433</v>
      </c>
      <c r="L15839" s="28" t="s">
        <v>51</v>
      </c>
      <c r="M15839" s="25">
        <v>61722.23</v>
      </c>
      <c r="N15839" s="27">
        <v>0.438786779414439</v>
      </c>
    </row>
    <row r="15840" spans="1:14" x14ac:dyDescent="0.15">
      <c r="A15840" s="23" t="str">
        <f>HYPERLINK("https://www.spark-marketing.ru/Card/Person/652030", "МОМВД РОССИИ ""ХАНТЫ-МАНСИЙСКИЙ""")</f>
        <v>МОМВД РОССИИ "ХАНТЫ-МАНСИЙСКИЙ"</v>
      </c>
      <c r="B15840" s="24" t="s">
        <v>94</v>
      </c>
      <c r="C15840" s="25">
        <v>1856310</v>
      </c>
      <c r="D15840" s="22" t="s">
        <v>20816</v>
      </c>
      <c r="E15840" s="22" t="s">
        <v>96</v>
      </c>
      <c r="F15840" s="23" t="str">
        <f>HYPERLINK("https://www.spark-marketing.ru/Card/Lot/71557143", "Оказание услуг по обеспечению ежедневным горячим питанием подозреваемых и обвиняемых в совершении преступлений, содержащихся в ИВС МОМВД России «Ханты-Мансийский», а также лиц, задержанных в административном порядке, содержащихся в комнате администра...")</f>
        <v>Оказание услуг по обеспечению ежедневным горячим питанием подозреваемых и обвиняемых в совершении преступлений, содержащихся в ИВС МОМВД России «Ханты-Мансийский», а также лиц, задержанных в административном порядке, содержащихся в комнате администра...</v>
      </c>
      <c r="G15840" s="22" t="s">
        <v>97</v>
      </c>
      <c r="H15840" s="22" t="s">
        <v>98</v>
      </c>
      <c r="I15840" s="26">
        <v>43637.418749999997</v>
      </c>
      <c r="J15840" s="23" t="str">
        <f>HYPERLINK("https://www.spark-marketing.ru/Card/Person/6231478", "ООО ""ВИНТАЖ""")</f>
        <v>ООО "ВИНТАЖ"</v>
      </c>
      <c r="K15840" s="24" t="s">
        <v>20817</v>
      </c>
      <c r="L15840" s="22" t="s">
        <v>10</v>
      </c>
      <c r="M15840" s="28" t="s">
        <v>51</v>
      </c>
      <c r="N15840" s="28" t="s">
        <v>51</v>
      </c>
    </row>
    <row r="15841" spans="1:14" x14ac:dyDescent="0.15">
      <c r="A15841" s="23" t="str">
        <f>HYPERLINK("https://www.spark-marketing.ru/Card/Person/32886", "ГБУЗ МО ""СЕРЕБРЯНО-ПРУДСКАЯ ЦРБ""")</f>
        <v>ГБУЗ МО "СЕРЕБРЯНО-ПРУДСКАЯ ЦРБ"</v>
      </c>
      <c r="B15841" s="24" t="s">
        <v>20818</v>
      </c>
      <c r="C15841" s="25">
        <v>503968.05</v>
      </c>
      <c r="D15841" s="22" t="s">
        <v>20819</v>
      </c>
      <c r="E15841" s="22" t="s">
        <v>86</v>
      </c>
      <c r="F15841" s="23" t="str">
        <f>HYPERLINK("https://www.spark-marketing.ru/Card/Lot/71566968", "Закупка услуг по проведению лабораторных исследований в рамках производственного контроля.")</f>
        <v>Закупка услуг по проведению лабораторных исследований в рамках производственного контроля.</v>
      </c>
      <c r="G15841" s="22" t="s">
        <v>49</v>
      </c>
      <c r="H15841" s="22" t="s">
        <v>20820</v>
      </c>
      <c r="I15841" s="26">
        <v>43637.422916666699</v>
      </c>
      <c r="J15841" s="23" t="str">
        <f>HYPERLINK("https://www.spark-marketing.ru/Card/Person/92736", "ФБУЗ ""ЦЕНТР ГИГИЕНЫ И ЭПИДЕМИОЛОГИИ В МОСКОВСКОЙ ОБЛАСТИ"" ФБУЗ ""ЦГИЭ В МОСКОВСКОЙ ОБЛАСТИ")</f>
        <v>ФБУЗ "ЦЕНТР ГИГИЕНЫ И ЭПИДЕМИОЛОГИИ В МОСКОВСКОЙ ОБЛАСТИ" ФБУЗ "ЦГИЭ В МОСКОВСКОЙ ОБЛАСТИ</v>
      </c>
      <c r="K15841" s="24" t="s">
        <v>5513</v>
      </c>
      <c r="L15841" s="22" t="s">
        <v>10</v>
      </c>
      <c r="M15841" s="28" t="s">
        <v>51</v>
      </c>
      <c r="N15841" s="28" t="s">
        <v>51</v>
      </c>
    </row>
    <row r="15842" spans="1:14" x14ac:dyDescent="0.15">
      <c r="A15842" s="23" t="str">
        <f>HYPERLINK("https://www.spark-marketing.ru/Card/Person/53322", "ГУ - ТАМБОВСКОЕ РО ФОНДА СОЦИАЛЬНОГО СТРАХОВАНИЯ РОССИЙСКОЙ ФЕДЕРАЦИИ")</f>
        <v>ГУ - ТАМБОВСКОЕ РО ФОНДА СОЦИАЛЬНОГО СТРАХОВАНИЯ РОССИЙСКОЙ ФЕДЕРАЦИИ</v>
      </c>
      <c r="B15842" s="24" t="s">
        <v>3458</v>
      </c>
      <c r="C15842" s="25">
        <v>1048068</v>
      </c>
      <c r="D15842" s="22" t="s">
        <v>20821</v>
      </c>
      <c r="E15842" s="22" t="s">
        <v>86</v>
      </c>
      <c r="F15842" s="23" t="str">
        <f>HYPERLINK("https://www.spark-marketing.ru/Card/Lot/71569066", "Оказание услуг по санаторно-курортному лечению детей-инвалидов - получателей государственной социальной помощи в виде набора социальных услуг, в том числе и сопровождающих лиц, по профилям заболеваний: «болезни мочеполовой системы», «болезни системы ...")</f>
        <v>Оказание услуг по санаторно-курортному лечению детей-инвалидов - получателей государственной социальной помощи в виде набора социальных услуг, в том числе и сопровождающих лиц, по профилям заболеваний: «болезни мочеполовой системы», «болезни системы ...</v>
      </c>
      <c r="G15842" s="22" t="s">
        <v>1370</v>
      </c>
      <c r="H15842" s="22" t="s">
        <v>2025</v>
      </c>
      <c r="I15842" s="26">
        <v>43637.387499999997</v>
      </c>
      <c r="J15842" s="28" t="s">
        <v>51</v>
      </c>
      <c r="K15842" s="28" t="s">
        <v>51</v>
      </c>
      <c r="L15842" s="28" t="s">
        <v>51</v>
      </c>
      <c r="M15842" s="28" t="s">
        <v>51</v>
      </c>
      <c r="N15842" s="28" t="s">
        <v>51</v>
      </c>
    </row>
    <row r="15843" spans="1:14" x14ac:dyDescent="0.15">
      <c r="A15843" s="23" t="str">
        <f>HYPERLINK("https://www.spark-marketing.ru/Card/Person/6625126", "НОВОСИБИРСКАЯ ДИРЕКЦИЯ МАТЕРИАЛЬНО–ТЕХНИЧЕСКОГО ОБЕСПЕЧЕНИЯ – СТРУКТУРНОЕ ПОДРАЗДЕЛЕНИЕ РОСЖЕЛДОРСНАБА – ФЛ ОАО РЖД")</f>
        <v>НОВОСИБИРСКАЯ ДИРЕКЦИЯ МАТЕРИАЛЬНО–ТЕХНИЧЕСКОГО ОБЕСПЕЧЕНИЯ – СТРУКТУРНОЕ ПОДРАЗДЕЛЕНИЕ РОСЖЕЛДОРСНАБА – ФЛ ОАО РЖД</v>
      </c>
      <c r="B15843" s="24" t="s">
        <v>330</v>
      </c>
      <c r="C15843" s="25">
        <v>60421.74</v>
      </c>
      <c r="D15843" s="28" t="s">
        <v>51</v>
      </c>
      <c r="E15843" s="22" t="s">
        <v>1862</v>
      </c>
      <c r="F15843" s="23" t="str">
        <f>HYPERLINK("https://www.spark-marketing.ru/Card/Lot/72429143", "№19446 Оказание услуг по сбору, транспортированию, обработке и утилизации отходов оргтехники")</f>
        <v>№19446 Оказание услуг по сбору, транспортированию, обработке и утилизации отходов оргтехники</v>
      </c>
      <c r="G15843" s="22" t="s">
        <v>51</v>
      </c>
      <c r="H15843" s="22" t="s">
        <v>51</v>
      </c>
      <c r="I15843" s="26">
        <v>43637.411493055602</v>
      </c>
      <c r="J15843" s="28" t="s">
        <v>51</v>
      </c>
      <c r="K15843" s="28" t="s">
        <v>51</v>
      </c>
      <c r="L15843" s="28" t="s">
        <v>51</v>
      </c>
      <c r="M15843" s="28" t="s">
        <v>51</v>
      </c>
      <c r="N15843" s="28" t="s">
        <v>51</v>
      </c>
    </row>
    <row r="15844" spans="1:14" x14ac:dyDescent="0.15">
      <c r="A15844" s="23" t="str">
        <f>HYPERLINK("https://www.spark-marketing.ru/Card/Person/109392", "МЕЖМУНИЦИПАЛЬНЫЙ ОТДЕЛ МВД РОССИИ ""МИНУСИНСКИЙ""")</f>
        <v>МЕЖМУНИЦИПАЛЬНЫЙ ОТДЕЛ МВД РОССИИ "МИНУСИНСКИЙ"</v>
      </c>
      <c r="B15844" s="24" t="s">
        <v>3096</v>
      </c>
      <c r="C15844" s="25">
        <v>300000</v>
      </c>
      <c r="D15844" s="22" t="s">
        <v>20822</v>
      </c>
      <c r="E15844" s="22" t="s">
        <v>96</v>
      </c>
      <c r="F15844" s="23" t="str">
        <f>HYPERLINK("https://www.spark-marketing.ru/Card/Lot/71555341", "Оказание услуг по организации горячего трехразового питания подозреваемых и обвиняемых в совершении преступлений, содержащихся в ИВС ПиО МО МВД России ""Минусинский"" на период 2020 года")</f>
        <v>Оказание услуг по организации горячего трехразового питания подозреваемых и обвиняемых в совершении преступлений, содержащихся в ИВС ПиО МО МВД России "Минусинский" на период 2020 года</v>
      </c>
      <c r="G15844" s="22" t="s">
        <v>281</v>
      </c>
      <c r="H15844" s="22" t="s">
        <v>3098</v>
      </c>
      <c r="I15844" s="26">
        <v>43637.398611111101</v>
      </c>
      <c r="J15844" s="23" t="str">
        <f>HYPERLINK("https://www.spark-marketing.ru/Card/Person/456230", "ООО ""ПЛАНЕТА""")</f>
        <v>ООО "ПЛАНЕТА"</v>
      </c>
      <c r="K15844" s="24" t="s">
        <v>20823</v>
      </c>
      <c r="L15844" s="22" t="s">
        <v>10</v>
      </c>
      <c r="M15844" s="28" t="s">
        <v>51</v>
      </c>
      <c r="N15844" s="28" t="s">
        <v>51</v>
      </c>
    </row>
    <row r="15845" spans="1:14" x14ac:dyDescent="0.15">
      <c r="A15845" s="23" t="str">
        <f t="shared" ref="A15845:A15852" si="542">HYPERLINK("https://www.spark-marketing.ru/Card/Person/2921", "ГБУЗ ""ГКБ ИМ. Е.О. МУХИНА ДЗМ""")</f>
        <v>ГБУЗ "ГКБ ИМ. Е.О. МУХИНА ДЗМ"</v>
      </c>
      <c r="B15845" s="24" t="s">
        <v>20824</v>
      </c>
      <c r="C15845" s="25">
        <v>1545870.75</v>
      </c>
      <c r="D15845" s="22" t="s">
        <v>20825</v>
      </c>
      <c r="E15845" s="22" t="s">
        <v>756</v>
      </c>
      <c r="F15845" s="23" t="str">
        <f t="shared" ref="F15845:F15852" si="543">HYPERLINK("https://www.spark-marketing.ru/Card/Lot/71569944", "Оказание услуг по техническому обслуживанию и текущему ремонту автоматической пожарной сигнализации, систем оповещения и управления эвакуацией, дымоудаления.")</f>
        <v>Оказание услуг по техническому обслуживанию и текущему ремонту автоматической пожарной сигнализации, систем оповещения и управления эвакуацией, дымоудаления.</v>
      </c>
      <c r="G15845" s="22" t="s">
        <v>56</v>
      </c>
      <c r="H15845" s="22" t="s">
        <v>56</v>
      </c>
      <c r="I15845" s="26">
        <v>43637.4</v>
      </c>
      <c r="J15845" s="28" t="s">
        <v>51</v>
      </c>
      <c r="K15845" s="28" t="s">
        <v>51</v>
      </c>
      <c r="L15845" s="28" t="s">
        <v>51</v>
      </c>
      <c r="M15845" s="28" t="s">
        <v>51</v>
      </c>
      <c r="N15845" s="28" t="s">
        <v>51</v>
      </c>
    </row>
    <row r="15846" spans="1:14" hidden="1" outlineLevel="1" x14ac:dyDescent="0.2">
      <c r="A15846" s="23" t="str">
        <f t="shared" si="542"/>
        <v>ГБУЗ "ГКБ ИМ. Е.О. МУХИНА ДЗМ"</v>
      </c>
      <c r="B15846" s="24" t="s">
        <v>20824</v>
      </c>
      <c r="C15846" s="25">
        <v>1545870.75</v>
      </c>
      <c r="D15846" s="22" t="s">
        <v>20825</v>
      </c>
      <c r="E15846" s="22" t="s">
        <v>756</v>
      </c>
      <c r="F15846" s="23" t="str">
        <f t="shared" si="543"/>
        <v>Оказание услуг по техническому обслуживанию и текущему ремонту автоматической пожарной сигнализации, систем оповещения и управления эвакуацией, дымоудаления.</v>
      </c>
      <c r="G15846" s="22" t="s">
        <v>56</v>
      </c>
      <c r="H15846" s="22" t="s">
        <v>56</v>
      </c>
      <c r="I15846" s="26">
        <v>43637.4</v>
      </c>
      <c r="J15846" s="23" t="str">
        <f>HYPERLINK("https://www.spark-marketing.ru/Card/Person/6262263", "ООО ""АЛЫЙ ПАРУС ТЕХНО ПРО""")</f>
        <v>ООО "АЛЫЙ ПАРУС ТЕХНО ПРО"</v>
      </c>
      <c r="K15846" s="24" t="s">
        <v>12490</v>
      </c>
      <c r="L15846" s="28" t="s">
        <v>51</v>
      </c>
      <c r="M15846" s="25">
        <v>285986.09999999998</v>
      </c>
      <c r="N15846" s="27">
        <v>0.81499999272254808</v>
      </c>
    </row>
    <row r="15847" spans="1:14" hidden="1" outlineLevel="1" x14ac:dyDescent="0.2">
      <c r="A15847" s="23" t="str">
        <f t="shared" si="542"/>
        <v>ГБУЗ "ГКБ ИМ. Е.О. МУХИНА ДЗМ"</v>
      </c>
      <c r="B15847" s="24" t="s">
        <v>20824</v>
      </c>
      <c r="C15847" s="25">
        <v>1545870.75</v>
      </c>
      <c r="D15847" s="22" t="s">
        <v>20825</v>
      </c>
      <c r="E15847" s="22" t="s">
        <v>756</v>
      </c>
      <c r="F15847" s="23" t="str">
        <f t="shared" si="543"/>
        <v>Оказание услуг по техническому обслуживанию и текущему ремонту автоматической пожарной сигнализации, систем оповещения и управления эвакуацией, дымоудаления.</v>
      </c>
      <c r="G15847" s="22" t="s">
        <v>56</v>
      </c>
      <c r="H15847" s="22" t="s">
        <v>56</v>
      </c>
      <c r="I15847" s="26">
        <v>43637.4</v>
      </c>
      <c r="J15847" s="23" t="str">
        <f>HYPERLINK("https://www.spark-marketing.ru/Card/Person/6471112", "Дурягин Алексей Анатольевич")</f>
        <v>Дурягин Алексей Анатольевич</v>
      </c>
      <c r="K15847" s="24" t="s">
        <v>20826</v>
      </c>
      <c r="L15847" s="28" t="s">
        <v>51</v>
      </c>
      <c r="M15847" s="25">
        <v>278256.75</v>
      </c>
      <c r="N15847" s="27">
        <v>0.81999999029673087</v>
      </c>
    </row>
    <row r="15848" spans="1:14" ht="12.75" hidden="1" outlineLevel="1" x14ac:dyDescent="0.2">
      <c r="A15848" s="23" t="str">
        <f t="shared" si="542"/>
        <v>ГБУЗ "ГКБ ИМ. Е.О. МУХИНА ДЗМ"</v>
      </c>
      <c r="B15848" s="24" t="s">
        <v>20824</v>
      </c>
      <c r="C15848" s="25">
        <v>1545870.75</v>
      </c>
      <c r="D15848" s="22" t="s">
        <v>20825</v>
      </c>
      <c r="E15848" s="22" t="s">
        <v>756</v>
      </c>
      <c r="F15848" s="23" t="str">
        <f t="shared" si="543"/>
        <v>Оказание услуг по техническому обслуживанию и текущему ремонту автоматической пожарной сигнализации, систем оповещения и управления эвакуацией, дымоудаления.</v>
      </c>
      <c r="G15848" s="22" t="s">
        <v>56</v>
      </c>
      <c r="H15848" s="22" t="s">
        <v>56</v>
      </c>
      <c r="I15848" s="26">
        <v>43637.4</v>
      </c>
      <c r="J15848" s="23" t="str">
        <f>HYPERLINK("https://www.spark-marketing.ru/Card/Person/2553652", "ООО ""ОПТИМАЛЬНАЯ ЗАЩИТА""")</f>
        <v>ООО "ОПТИМАЛЬНАЯ ЗАЩИТА"</v>
      </c>
      <c r="K15848" s="24" t="s">
        <v>10804</v>
      </c>
      <c r="L15848" s="22" t="s">
        <v>10</v>
      </c>
      <c r="M15848" s="25">
        <v>270527.40000000002</v>
      </c>
      <c r="N15848" s="27">
        <v>0.82499998787091355</v>
      </c>
    </row>
    <row r="15849" spans="1:14" hidden="1" outlineLevel="1" x14ac:dyDescent="0.2">
      <c r="A15849" s="23" t="str">
        <f t="shared" si="542"/>
        <v>ГБУЗ "ГКБ ИМ. Е.О. МУХИНА ДЗМ"</v>
      </c>
      <c r="B15849" s="24" t="s">
        <v>20824</v>
      </c>
      <c r="C15849" s="25">
        <v>1545870.75</v>
      </c>
      <c r="D15849" s="22" t="s">
        <v>20825</v>
      </c>
      <c r="E15849" s="22" t="s">
        <v>756</v>
      </c>
      <c r="F15849" s="23" t="str">
        <f t="shared" si="543"/>
        <v>Оказание услуг по техническому обслуживанию и текущему ремонту автоматической пожарной сигнализации, систем оповещения и управления эвакуацией, дымоудаления.</v>
      </c>
      <c r="G15849" s="22" t="s">
        <v>56</v>
      </c>
      <c r="H15849" s="22" t="s">
        <v>56</v>
      </c>
      <c r="I15849" s="26">
        <v>43637.4</v>
      </c>
      <c r="J15849" s="23" t="str">
        <f>HYPERLINK("https://www.spark-marketing.ru/Card/Person/2014985", "ООО ""ПОЖТЕХАВТОМАТИКА""")</f>
        <v>ООО "ПОЖТЕХАВТОМАТИКА"</v>
      </c>
      <c r="K15849" s="24" t="s">
        <v>12486</v>
      </c>
      <c r="L15849" s="28" t="s">
        <v>51</v>
      </c>
      <c r="M15849" s="25">
        <v>554000</v>
      </c>
      <c r="N15849" s="27">
        <v>0.64162592506520999</v>
      </c>
    </row>
    <row r="15850" spans="1:14" hidden="1" outlineLevel="1" x14ac:dyDescent="0.2">
      <c r="A15850" s="23" t="str">
        <f t="shared" si="542"/>
        <v>ГБУЗ "ГКБ ИМ. Е.О. МУХИНА ДЗМ"</v>
      </c>
      <c r="B15850" s="24" t="s">
        <v>20824</v>
      </c>
      <c r="C15850" s="25">
        <v>1545870.75</v>
      </c>
      <c r="D15850" s="22" t="s">
        <v>20825</v>
      </c>
      <c r="E15850" s="22" t="s">
        <v>756</v>
      </c>
      <c r="F15850" s="23" t="str">
        <f t="shared" si="543"/>
        <v>Оказание услуг по техническому обслуживанию и текущему ремонту автоматической пожарной сигнализации, систем оповещения и управления эвакуацией, дымоудаления.</v>
      </c>
      <c r="G15850" s="22" t="s">
        <v>56</v>
      </c>
      <c r="H15850" s="22" t="s">
        <v>56</v>
      </c>
      <c r="I15850" s="26">
        <v>43637.4</v>
      </c>
      <c r="J15850" s="23" t="str">
        <f>HYPERLINK("https://www.spark-marketing.ru/Card/Person/6625250", "Посидько Денис Сергеевич")</f>
        <v>Посидько Денис Сергеевич</v>
      </c>
      <c r="K15850" s="24" t="s">
        <v>20827</v>
      </c>
      <c r="L15850" s="28" t="s">
        <v>51</v>
      </c>
      <c r="M15850" s="25">
        <v>309174.15000000002</v>
      </c>
      <c r="N15850" s="27">
        <v>0.8</v>
      </c>
    </row>
    <row r="15851" spans="1:14" hidden="1" outlineLevel="1" x14ac:dyDescent="0.2">
      <c r="A15851" s="23" t="str">
        <f t="shared" si="542"/>
        <v>ГБУЗ "ГКБ ИМ. Е.О. МУХИНА ДЗМ"</v>
      </c>
      <c r="B15851" s="24" t="s">
        <v>20824</v>
      </c>
      <c r="C15851" s="25">
        <v>1545870.75</v>
      </c>
      <c r="D15851" s="22" t="s">
        <v>20825</v>
      </c>
      <c r="E15851" s="22" t="s">
        <v>756</v>
      </c>
      <c r="F15851" s="23" t="str">
        <f t="shared" si="543"/>
        <v>Оказание услуг по техническому обслуживанию и текущему ремонту автоматической пожарной сигнализации, систем оповещения и управления эвакуацией, дымоудаления.</v>
      </c>
      <c r="G15851" s="22" t="s">
        <v>56</v>
      </c>
      <c r="H15851" s="22" t="s">
        <v>56</v>
      </c>
      <c r="I15851" s="26">
        <v>43637.4</v>
      </c>
      <c r="J15851" s="23" t="str">
        <f>HYPERLINK("https://www.spark-marketing.ru/Card/Person/6364371", "ООО ""ЛТБ""")</f>
        <v>ООО "ЛТБ"</v>
      </c>
      <c r="K15851" s="24" t="s">
        <v>17380</v>
      </c>
      <c r="L15851" s="28" t="s">
        <v>51</v>
      </c>
      <c r="M15851" s="25">
        <v>417385.09</v>
      </c>
      <c r="N15851" s="27">
        <v>0.73000000808605769</v>
      </c>
    </row>
    <row r="15852" spans="1:14" hidden="1" outlineLevel="1" x14ac:dyDescent="0.2">
      <c r="A15852" s="23" t="str">
        <f t="shared" si="542"/>
        <v>ГБУЗ "ГКБ ИМ. Е.О. МУХИНА ДЗМ"</v>
      </c>
      <c r="B15852" s="24" t="s">
        <v>20824</v>
      </c>
      <c r="C15852" s="25">
        <v>1545870.75</v>
      </c>
      <c r="D15852" s="22" t="s">
        <v>20825</v>
      </c>
      <c r="E15852" s="22" t="s">
        <v>756</v>
      </c>
      <c r="F15852" s="23" t="str">
        <f t="shared" si="543"/>
        <v>Оказание услуг по техническому обслуживанию и текущему ремонту автоматической пожарной сигнализации, систем оповещения и управления эвакуацией, дымоудаления.</v>
      </c>
      <c r="G15852" s="22" t="s">
        <v>56</v>
      </c>
      <c r="H15852" s="22" t="s">
        <v>56</v>
      </c>
      <c r="I15852" s="26">
        <v>43637.4</v>
      </c>
      <c r="J15852" s="23" t="str">
        <f>HYPERLINK("https://www.spark-marketing.ru/Card/Person/2576628", "ООО ""АЛЬТЕРА""")</f>
        <v>ООО "АЛЬТЕРА"</v>
      </c>
      <c r="K15852" s="24" t="s">
        <v>12495</v>
      </c>
      <c r="L15852" s="28" t="s">
        <v>51</v>
      </c>
      <c r="M15852" s="25">
        <v>1545870.75</v>
      </c>
      <c r="N15852" s="27">
        <v>0</v>
      </c>
    </row>
    <row r="15853" spans="1:14" x14ac:dyDescent="0.15">
      <c r="A15853" s="23" t="str">
        <f>HYPERLINK("https://www.spark-marketing.ru/Card/Person/109392", "МЕЖМУНИЦИПАЛЬНЫЙ ОТДЕЛ МВД РОССИИ ""МИНУСИНСКИЙ""")</f>
        <v>МЕЖМУНИЦИПАЛЬНЫЙ ОТДЕЛ МВД РОССИИ "МИНУСИНСКИЙ"</v>
      </c>
      <c r="B15853" s="24" t="s">
        <v>3096</v>
      </c>
      <c r="C15853" s="25">
        <v>300000</v>
      </c>
      <c r="D15853" s="22" t="s">
        <v>20828</v>
      </c>
      <c r="E15853" s="22" t="s">
        <v>96</v>
      </c>
      <c r="F15853" s="23" t="str">
        <f>HYPERLINK("https://www.spark-marketing.ru/Card/Lot/71555340", "Оказание услуг по организации горячего трехразового питания подозреваемых и обвиняемых в совершении преступлений, содержащихся в ИВС ПиО МО МВД России ""Минусинский на период 2021 года")</f>
        <v>Оказание услуг по организации горячего трехразового питания подозреваемых и обвиняемых в совершении преступлений, содержащихся в ИВС ПиО МО МВД России "Минусинский на период 2021 года</v>
      </c>
      <c r="G15853" s="22" t="s">
        <v>281</v>
      </c>
      <c r="H15853" s="22" t="s">
        <v>3098</v>
      </c>
      <c r="I15853" s="26">
        <v>43637.399305555598</v>
      </c>
      <c r="J15853" s="23" t="str">
        <f>HYPERLINK("https://www.spark-marketing.ru/Card/Person/456230", "ООО ""ПЛАНЕТА""")</f>
        <v>ООО "ПЛАНЕТА"</v>
      </c>
      <c r="K15853" s="24" t="s">
        <v>20823</v>
      </c>
      <c r="L15853" s="22" t="s">
        <v>10</v>
      </c>
      <c r="M15853" s="28" t="s">
        <v>51</v>
      </c>
      <c r="N15853" s="28" t="s">
        <v>51</v>
      </c>
    </row>
    <row r="15854" spans="1:14" x14ac:dyDescent="0.15">
      <c r="A15854" s="23" t="str">
        <f>HYPERLINK("https://www.spark-marketing.ru/Card/Person/236030", "ОГАУСО ""КЦСОН""")</f>
        <v>ОГАУСО "КЦСОН"</v>
      </c>
      <c r="B15854" s="24" t="s">
        <v>549</v>
      </c>
      <c r="C15854" s="25">
        <v>571970</v>
      </c>
      <c r="D15854" s="22" t="s">
        <v>20829</v>
      </c>
      <c r="E15854" s="22" t="s">
        <v>2265</v>
      </c>
      <c r="F15854" s="23" t="str">
        <f>HYPERLINK("https://www.spark-marketing.ru/Card/Lot/71555028", "Оказание услуг на поставку продуктов питания")</f>
        <v>Оказание услуг на поставку продуктов питания</v>
      </c>
      <c r="G15854" s="22" t="s">
        <v>263</v>
      </c>
      <c r="H15854" s="22" t="s">
        <v>263</v>
      </c>
      <c r="I15854" s="26">
        <v>43637.412974537001</v>
      </c>
      <c r="J15854" s="28" t="s">
        <v>51</v>
      </c>
      <c r="K15854" s="28" t="s">
        <v>51</v>
      </c>
      <c r="L15854" s="28" t="s">
        <v>51</v>
      </c>
      <c r="M15854" s="28" t="s">
        <v>51</v>
      </c>
      <c r="N15854" s="28" t="s">
        <v>51</v>
      </c>
    </row>
    <row r="15855" spans="1:14" x14ac:dyDescent="0.15">
      <c r="A15855" s="23" t="str">
        <f>HYPERLINK("https://www.spark-marketing.ru/Card/Person/89123", "МОУ СОШ № 38")</f>
        <v>МОУ СОШ № 38</v>
      </c>
      <c r="B15855" s="24" t="s">
        <v>20830</v>
      </c>
      <c r="C15855" s="25">
        <v>1987540</v>
      </c>
      <c r="D15855" s="22" t="s">
        <v>20831</v>
      </c>
      <c r="E15855" s="22" t="s">
        <v>48</v>
      </c>
      <c r="F15855" s="23" t="str">
        <f>HYPERLINK("https://www.spark-marketing.ru/Card/Lot/71570604", "Оказание услуг по организации горячего питания")</f>
        <v>Оказание услуг по организации горячего питания</v>
      </c>
      <c r="G15855" s="22" t="s">
        <v>137</v>
      </c>
      <c r="H15855" s="22" t="s">
        <v>138</v>
      </c>
      <c r="I15855" s="26">
        <v>43637.390972222202</v>
      </c>
      <c r="J15855" s="28" t="s">
        <v>51</v>
      </c>
      <c r="K15855" s="28" t="s">
        <v>51</v>
      </c>
      <c r="L15855" s="28" t="s">
        <v>51</v>
      </c>
      <c r="M15855" s="28" t="s">
        <v>51</v>
      </c>
      <c r="N15855" s="28" t="s">
        <v>51</v>
      </c>
    </row>
    <row r="15856" spans="1:14" hidden="1" outlineLevel="1" x14ac:dyDescent="0.2">
      <c r="A15856" s="23" t="str">
        <f>HYPERLINK("https://www.spark-marketing.ru/Card/Person/89123", "МОУ СОШ № 38")</f>
        <v>МОУ СОШ № 38</v>
      </c>
      <c r="B15856" s="24" t="s">
        <v>20830</v>
      </c>
      <c r="C15856" s="25">
        <v>1987540</v>
      </c>
      <c r="D15856" s="22" t="s">
        <v>20831</v>
      </c>
      <c r="E15856" s="22" t="s">
        <v>48</v>
      </c>
      <c r="F15856" s="23" t="str">
        <f>HYPERLINK("https://www.spark-marketing.ru/Card/Lot/71570604", "Оказание услуг по организации горячего питания")</f>
        <v>Оказание услуг по организации горячего питания</v>
      </c>
      <c r="G15856" s="22" t="s">
        <v>137</v>
      </c>
      <c r="H15856" s="22" t="s">
        <v>138</v>
      </c>
      <c r="I15856" s="26">
        <v>43637.390972222202</v>
      </c>
      <c r="J15856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5856" s="24" t="s">
        <v>16891</v>
      </c>
      <c r="L15856" s="28" t="s">
        <v>51</v>
      </c>
      <c r="M15856" s="25">
        <v>1987540</v>
      </c>
      <c r="N15856" s="27">
        <v>0</v>
      </c>
    </row>
    <row r="15857" spans="1:14" ht="12.75" hidden="1" outlineLevel="1" x14ac:dyDescent="0.2">
      <c r="A15857" s="23" t="str">
        <f>HYPERLINK("https://www.spark-marketing.ru/Card/Person/89123", "МОУ СОШ № 38")</f>
        <v>МОУ СОШ № 38</v>
      </c>
      <c r="B15857" s="24" t="s">
        <v>20830</v>
      </c>
      <c r="C15857" s="25">
        <v>1987540</v>
      </c>
      <c r="D15857" s="22" t="s">
        <v>20831</v>
      </c>
      <c r="E15857" s="22" t="s">
        <v>48</v>
      </c>
      <c r="F15857" s="23" t="str">
        <f>HYPERLINK("https://www.spark-marketing.ru/Card/Lot/71570604", "Оказание услуг по организации горячего питания")</f>
        <v>Оказание услуг по организации горячего питания</v>
      </c>
      <c r="G15857" s="22" t="s">
        <v>137</v>
      </c>
      <c r="H15857" s="22" t="s">
        <v>138</v>
      </c>
      <c r="I15857" s="26">
        <v>43637.390972222202</v>
      </c>
      <c r="J15857" s="23" t="str">
        <f>HYPERLINK("https://www.spark-marketing.ru/Card/Person/610902", "ООО ""РАТИБОР""")</f>
        <v>ООО "РАТИБОР"</v>
      </c>
      <c r="K15857" s="24" t="s">
        <v>17751</v>
      </c>
      <c r="L15857" s="22" t="s">
        <v>10</v>
      </c>
      <c r="M15857" s="25">
        <v>1986500</v>
      </c>
      <c r="N15857" s="27">
        <v>5.2325990923453108E-4</v>
      </c>
    </row>
    <row r="15858" spans="1:14" hidden="1" outlineLevel="1" x14ac:dyDescent="0.2">
      <c r="A15858" s="23" t="str">
        <f>HYPERLINK("https://www.spark-marketing.ru/Card/Person/89123", "МОУ СОШ № 38")</f>
        <v>МОУ СОШ № 38</v>
      </c>
      <c r="B15858" s="24" t="s">
        <v>20830</v>
      </c>
      <c r="C15858" s="25">
        <v>1987540</v>
      </c>
      <c r="D15858" s="22" t="s">
        <v>20831</v>
      </c>
      <c r="E15858" s="22" t="s">
        <v>48</v>
      </c>
      <c r="F15858" s="23" t="str">
        <f>HYPERLINK("https://www.spark-marketing.ru/Card/Lot/71570604", "Оказание услуг по организации горячего питания")</f>
        <v>Оказание услуг по организации горячего питания</v>
      </c>
      <c r="G15858" s="22" t="s">
        <v>137</v>
      </c>
      <c r="H15858" s="22" t="s">
        <v>138</v>
      </c>
      <c r="I15858" s="26">
        <v>43637.390972222202</v>
      </c>
      <c r="J15858" s="23" t="str">
        <f>HYPERLINK("https://www.spark-marketing.ru/Card/Person/76228", "ООО ""ЛИМАН""")</f>
        <v>ООО "ЛИМАН"</v>
      </c>
      <c r="K15858" s="24" t="s">
        <v>16890</v>
      </c>
      <c r="L15858" s="28" t="s">
        <v>51</v>
      </c>
      <c r="M15858" s="25">
        <v>1987000</v>
      </c>
      <c r="N15858" s="27">
        <v>2.7169264517946809E-4</v>
      </c>
    </row>
    <row r="15859" spans="1:14" x14ac:dyDescent="0.15">
      <c r="A15859" s="23" t="str">
        <f>HYPERLINK("https://www.spark-marketing.ru/Card/Person/1074722", "БОУ Г. ОМСКА ""СРЕДНЯЯ ОБЩЕОБРАЗОВАТЕЛЬНАЯ ШКОЛА № 113""")</f>
        <v>БОУ Г. ОМСКА "СРЕДНЯЯ ОБЩЕОБРАЗОВАТЕЛЬНАЯ ШКОЛА № 113"</v>
      </c>
      <c r="B15859" s="24" t="s">
        <v>20832</v>
      </c>
      <c r="C15859" s="25">
        <v>3445</v>
      </c>
      <c r="D15859" s="22" t="s">
        <v>20833</v>
      </c>
      <c r="E15859" s="22" t="s">
        <v>48</v>
      </c>
      <c r="F15859" s="23" t="str">
        <f>HYPERLINK("https://www.spark-marketing.ru/Card/Lot/71558751", "Оказание дополнительных услуг по организации питания обучающихся с ОВЗ к основному договору")</f>
        <v>Оказание дополнительных услуг по организации питания обучающихся с ОВЗ к основному договору</v>
      </c>
      <c r="G15859" s="22" t="s">
        <v>487</v>
      </c>
      <c r="H15859" s="22" t="s">
        <v>488</v>
      </c>
      <c r="I15859" s="26">
        <v>43637.409027777801</v>
      </c>
      <c r="J15859" s="28" t="s">
        <v>51</v>
      </c>
      <c r="K15859" s="28" t="s">
        <v>51</v>
      </c>
      <c r="L15859" s="28" t="s">
        <v>51</v>
      </c>
      <c r="M15859" s="28" t="s">
        <v>51</v>
      </c>
      <c r="N15859" s="28" t="s">
        <v>51</v>
      </c>
    </row>
    <row r="15860" spans="1:14" x14ac:dyDescent="0.15">
      <c r="A15860" s="23" t="str">
        <f>HYPERLINK("https://www.spark-marketing.ru/Card/Person/109392", "МЕЖМУНИЦИПАЛЬНЫЙ ОТДЕЛ МВД РОССИИ ""МИНУСИНСКИЙ""")</f>
        <v>МЕЖМУНИЦИПАЛЬНЫЙ ОТДЕЛ МВД РОССИИ "МИНУСИНСКИЙ"</v>
      </c>
      <c r="B15860" s="24" t="s">
        <v>3096</v>
      </c>
      <c r="C15860" s="25">
        <v>1500000</v>
      </c>
      <c r="D15860" s="22" t="s">
        <v>20834</v>
      </c>
      <c r="E15860" s="22" t="s">
        <v>96</v>
      </c>
      <c r="F15860" s="23" t="str">
        <f>HYPERLINK("https://www.spark-marketing.ru/Card/Lot/71555131", "Оказание услуг по организации горячего трехразового питания административно задержанных и административно арестованных,содержащихся в ИВС ПиО МО МВД России ""Минусинский"" на период 2020 года")</f>
        <v>Оказание услуг по организации горячего трехразового питания административно задержанных и административно арестованных,содержащихся в ИВС ПиО МО МВД России "Минусинский" на период 2020 года</v>
      </c>
      <c r="G15860" s="22" t="s">
        <v>281</v>
      </c>
      <c r="H15860" s="22" t="s">
        <v>3098</v>
      </c>
      <c r="I15860" s="26">
        <v>43637.402083333298</v>
      </c>
      <c r="J15860" s="23" t="str">
        <f>HYPERLINK("https://www.spark-marketing.ru/Card/Person/456230", "ООО ""ПЛАНЕТА""")</f>
        <v>ООО "ПЛАНЕТА"</v>
      </c>
      <c r="K15860" s="24" t="s">
        <v>20823</v>
      </c>
      <c r="L15860" s="22" t="s">
        <v>10</v>
      </c>
      <c r="M15860" s="28" t="s">
        <v>51</v>
      </c>
      <c r="N15860" s="28" t="s">
        <v>51</v>
      </c>
    </row>
    <row r="15861" spans="1:14" x14ac:dyDescent="0.15">
      <c r="A15861" s="23" t="str">
        <f>HYPERLINK("https://www.spark-marketing.ru/Card/Person/53322", "ГУ - ТАМБОВСКОЕ РО ФОНДА СОЦИАЛЬНОГО СТРАХОВАНИЯ РОССИЙСКОЙ ФЕДЕРАЦИИ")</f>
        <v>ГУ - ТАМБОВСКОЕ РО ФОНДА СОЦИАЛЬНОГО СТРАХОВАНИЯ РОССИЙСКОЙ ФЕДЕРАЦИИ</v>
      </c>
      <c r="B15861" s="24" t="s">
        <v>3458</v>
      </c>
      <c r="C15861" s="25">
        <v>2096136</v>
      </c>
      <c r="D15861" s="22" t="s">
        <v>20835</v>
      </c>
      <c r="E15861" s="22" t="s">
        <v>86</v>
      </c>
      <c r="F15861" s="23" t="str">
        <f>HYPERLINK("https://www.spark-marketing.ru/Card/Lot/71570662", "Оказание услуг по санаторно-курортному лечению детей-инвалидов (в том числе с заболеванием детский церебральный паралич) - получателей государственной социальной помощи в виде набора социальных услуг, в том числе и сопровождающих лиц, по профилям заб...")</f>
        <v>Оказание услуг по санаторно-курортному лечению детей-инвалидов (в том числе с заболеванием детский церебральный паралич) - получателей государственной социальной помощи в виде набора социальных услуг, в том числе и сопровождающих лиц, по профилям заб...</v>
      </c>
      <c r="G15861" s="22" t="s">
        <v>1370</v>
      </c>
      <c r="H15861" s="22" t="s">
        <v>2025</v>
      </c>
      <c r="I15861" s="26">
        <v>43637.387499999997</v>
      </c>
      <c r="J15861" s="28" t="s">
        <v>51</v>
      </c>
      <c r="K15861" s="28" t="s">
        <v>51</v>
      </c>
      <c r="L15861" s="28" t="s">
        <v>51</v>
      </c>
      <c r="M15861" s="28" t="s">
        <v>51</v>
      </c>
      <c r="N15861" s="28" t="s">
        <v>51</v>
      </c>
    </row>
    <row r="15862" spans="1:14" x14ac:dyDescent="0.15">
      <c r="A15862" s="23" t="str">
        <f>HYPERLINK("https://www.spark-marketing.ru/Card/Person/109392", "МЕЖМУНИЦИПАЛЬНЫЙ ОТДЕЛ МВД РОССИИ ""МИНУСИНСКИЙ""")</f>
        <v>МЕЖМУНИЦИПАЛЬНЫЙ ОТДЕЛ МВД РОССИИ "МИНУСИНСКИЙ"</v>
      </c>
      <c r="B15862" s="24" t="s">
        <v>3096</v>
      </c>
      <c r="C15862" s="25">
        <v>1500000</v>
      </c>
      <c r="D15862" s="22" t="s">
        <v>20836</v>
      </c>
      <c r="E15862" s="22" t="s">
        <v>96</v>
      </c>
      <c r="F15862" s="23" t="str">
        <f>HYPERLINK("https://www.spark-marketing.ru/Card/Lot/71555130", "Оказание услуг по организации горячего трехразового питания административно задержанных и административно арестованных,содержащихся в ИВС ПиО МО МВД России ""Минусинский"" на период 2021 года.")</f>
        <v>Оказание услуг по организации горячего трехразового питания административно задержанных и административно арестованных,содержащихся в ИВС ПиО МО МВД России "Минусинский" на период 2021 года.</v>
      </c>
      <c r="G15862" s="22" t="s">
        <v>281</v>
      </c>
      <c r="H15862" s="22" t="s">
        <v>3098</v>
      </c>
      <c r="I15862" s="26">
        <v>43637.3972222222</v>
      </c>
      <c r="J15862" s="23" t="str">
        <f>HYPERLINK("https://www.spark-marketing.ru/Card/Person/456230", "ООО ""ПЛАНЕТА""")</f>
        <v>ООО "ПЛАНЕТА"</v>
      </c>
      <c r="K15862" s="24" t="s">
        <v>20823</v>
      </c>
      <c r="L15862" s="22" t="s">
        <v>10</v>
      </c>
      <c r="M15862" s="28" t="s">
        <v>51</v>
      </c>
      <c r="N15862" s="28" t="s">
        <v>51</v>
      </c>
    </row>
    <row r="15863" spans="1:14" ht="12.75" x14ac:dyDescent="0.2">
      <c r="A15863" s="23" t="str">
        <f>HYPERLINK("https://www.spark-marketing.ru/Card/Person/73652", "МОУ ""ЦЕНТР ОБРАЗОВАНИЯ""")</f>
        <v>МОУ "ЦЕНТР ОБРАЗОВАНИЯ"</v>
      </c>
      <c r="B15863" s="24" t="s">
        <v>20837</v>
      </c>
      <c r="C15863" s="25">
        <v>2725929</v>
      </c>
      <c r="D15863" s="22" t="s">
        <v>20838</v>
      </c>
      <c r="E15863" s="22" t="s">
        <v>48</v>
      </c>
      <c r="F15863" s="23" t="str">
        <f>HYPERLINK("https://www.spark-marketing.ru/Card/Lot/71557248", "Оказание услуг по организации обеспечения горячим питанием учащихся")</f>
        <v>Оказание услуг по организации обеспечения горячим питанием учащихся</v>
      </c>
      <c r="G15863" s="22" t="s">
        <v>1056</v>
      </c>
      <c r="H15863" s="22" t="s">
        <v>1056</v>
      </c>
      <c r="I15863" s="26">
        <v>43637.401388888902</v>
      </c>
      <c r="J15863" s="23" t="str">
        <f>HYPERLINK("https://www.spark-marketing.ru/Card/Person/75282", "ООО ""ВЕСТА""")</f>
        <v>ООО "ВЕСТА"</v>
      </c>
      <c r="K15863" s="24" t="s">
        <v>20839</v>
      </c>
      <c r="L15863" s="22" t="s">
        <v>10</v>
      </c>
      <c r="M15863" s="25">
        <v>2725929</v>
      </c>
      <c r="N15863" s="27">
        <v>0</v>
      </c>
    </row>
    <row r="15864" spans="1:14" x14ac:dyDescent="0.15">
      <c r="A15864" s="23" t="str">
        <f>HYPERLINK("https://www.spark-marketing.ru/Card/Person/1037343", "МКУ ""АГЕНТСТВО РАЗВИТИЯ СОЦИАЛЬНОЙ ПОЛИТИКИ""")</f>
        <v>МКУ "АГЕНТСТВО РАЗВИТИЯ СОЦИАЛЬНОЙ ПОЛИТИКИ"</v>
      </c>
      <c r="B15864" s="24" t="s">
        <v>13494</v>
      </c>
      <c r="C15864" s="25">
        <v>900000</v>
      </c>
      <c r="D15864" s="22" t="s">
        <v>20840</v>
      </c>
      <c r="E15864" s="22" t="s">
        <v>2481</v>
      </c>
      <c r="F15864" s="23" t="str">
        <f>HYPERLINK("https://www.spark-marketing.ru/Card/Lot/71555146", "Оказание услуг по перевозке участников форума «Новосибирск-город безграничных возможностей», организации их проживания и питания")</f>
        <v>Оказание услуг по перевозке участников форума «Новосибирск-город безграничных возможностей», организации их проживания и питания</v>
      </c>
      <c r="G15864" s="22" t="s">
        <v>195</v>
      </c>
      <c r="H15864" s="22" t="s">
        <v>196</v>
      </c>
      <c r="I15864" s="26">
        <v>43637.394444444399</v>
      </c>
      <c r="J15864" s="28" t="s">
        <v>51</v>
      </c>
      <c r="K15864" s="28" t="s">
        <v>51</v>
      </c>
      <c r="L15864" s="28" t="s">
        <v>51</v>
      </c>
      <c r="M15864" s="28" t="s">
        <v>51</v>
      </c>
      <c r="N15864" s="28" t="s">
        <v>51</v>
      </c>
    </row>
    <row r="15865" spans="1:14" ht="12.75" hidden="1" outlineLevel="1" x14ac:dyDescent="0.2">
      <c r="A15865" s="23" t="str">
        <f>HYPERLINK("https://www.spark-marketing.ru/Card/Person/1037343", "МКУ ""АГЕНТСТВО РАЗВИТИЯ СОЦИАЛЬНОЙ ПОЛИТИКИ""")</f>
        <v>МКУ "АГЕНТСТВО РАЗВИТИЯ СОЦИАЛЬНОЙ ПОЛИТИКИ"</v>
      </c>
      <c r="B15865" s="24" t="s">
        <v>13494</v>
      </c>
      <c r="C15865" s="25">
        <v>900000</v>
      </c>
      <c r="D15865" s="22" t="s">
        <v>20840</v>
      </c>
      <c r="E15865" s="22" t="s">
        <v>2481</v>
      </c>
      <c r="F15865" s="23" t="str">
        <f>HYPERLINK("https://www.spark-marketing.ru/Card/Lot/71555146", "Оказание услуг по перевозке участников форума «Новосибирск-город безграничных возможностей», организации их проживания и питания")</f>
        <v>Оказание услуг по перевозке участников форума «Новосибирск-город безграничных возможностей», организации их проживания и питания</v>
      </c>
      <c r="G15865" s="22" t="s">
        <v>195</v>
      </c>
      <c r="H15865" s="22" t="s">
        <v>196</v>
      </c>
      <c r="I15865" s="26">
        <v>43637.394444444399</v>
      </c>
      <c r="J15865" s="23" t="str">
        <f>HYPERLINK("https://www.spark-marketing.ru/Card/Person/1345399", "ООО ""ТУРБЮРО НОВОСИБИРСК""")</f>
        <v>ООО "ТУРБЮРО НОВОСИБИРСК"</v>
      </c>
      <c r="K15865" s="24" t="s">
        <v>20841</v>
      </c>
      <c r="L15865" s="22" t="s">
        <v>10</v>
      </c>
      <c r="M15865" s="25">
        <v>711900</v>
      </c>
      <c r="N15865" s="27">
        <v>0.20899999999999999</v>
      </c>
    </row>
    <row r="15866" spans="1:14" hidden="1" outlineLevel="1" x14ac:dyDescent="0.2">
      <c r="A15866" s="23" t="str">
        <f>HYPERLINK("https://www.spark-marketing.ru/Card/Person/1037343", "МКУ ""АГЕНТСТВО РАЗВИТИЯ СОЦИАЛЬНОЙ ПОЛИТИКИ""")</f>
        <v>МКУ "АГЕНТСТВО РАЗВИТИЯ СОЦИАЛЬНОЙ ПОЛИТИКИ"</v>
      </c>
      <c r="B15866" s="24" t="s">
        <v>13494</v>
      </c>
      <c r="C15866" s="25">
        <v>900000</v>
      </c>
      <c r="D15866" s="22" t="s">
        <v>20840</v>
      </c>
      <c r="E15866" s="22" t="s">
        <v>2481</v>
      </c>
      <c r="F15866" s="23" t="str">
        <f>HYPERLINK("https://www.spark-marketing.ru/Card/Lot/71555146", "Оказание услуг по перевозке участников форума «Новосибирск-город безграничных возможностей», организации их проживания и питания")</f>
        <v>Оказание услуг по перевозке участников форума «Новосибирск-город безграничных возможностей», организации их проживания и питания</v>
      </c>
      <c r="G15866" s="22" t="s">
        <v>195</v>
      </c>
      <c r="H15866" s="22" t="s">
        <v>196</v>
      </c>
      <c r="I15866" s="26">
        <v>43637.394444444399</v>
      </c>
      <c r="J15866" s="23" t="str">
        <f>HYPERLINK("https://www.spark-marketing.ru/Card/Person/4925897", "ООО ""КОМПАНИЯ ЮККА-ГРУПП""")</f>
        <v>ООО "КОМПАНИЯ ЮККА-ГРУПП"</v>
      </c>
      <c r="K15866" s="24" t="s">
        <v>20842</v>
      </c>
      <c r="L15866" s="28" t="s">
        <v>51</v>
      </c>
      <c r="M15866" s="25">
        <v>716400</v>
      </c>
      <c r="N15866" s="27">
        <v>0.20399999999999999</v>
      </c>
    </row>
    <row r="15867" spans="1:14" hidden="1" outlineLevel="1" x14ac:dyDescent="0.2">
      <c r="A15867" s="23" t="str">
        <f>HYPERLINK("https://www.spark-marketing.ru/Card/Person/1037343", "МКУ ""АГЕНТСТВО РАЗВИТИЯ СОЦИАЛЬНОЙ ПОЛИТИКИ""")</f>
        <v>МКУ "АГЕНТСТВО РАЗВИТИЯ СОЦИАЛЬНОЙ ПОЛИТИКИ"</v>
      </c>
      <c r="B15867" s="24" t="s">
        <v>13494</v>
      </c>
      <c r="C15867" s="25">
        <v>900000</v>
      </c>
      <c r="D15867" s="22" t="s">
        <v>20840</v>
      </c>
      <c r="E15867" s="22" t="s">
        <v>2481</v>
      </c>
      <c r="F15867" s="23" t="str">
        <f>HYPERLINK("https://www.spark-marketing.ru/Card/Lot/71555146", "Оказание услуг по перевозке участников форума «Новосибирск-город безграничных возможностей», организации их проживания и питания")</f>
        <v>Оказание услуг по перевозке участников форума «Новосибирск-город безграничных возможностей», организации их проживания и питания</v>
      </c>
      <c r="G15867" s="22" t="s">
        <v>195</v>
      </c>
      <c r="H15867" s="22" t="s">
        <v>196</v>
      </c>
      <c r="I15867" s="26">
        <v>43637.394444444399</v>
      </c>
      <c r="J15867" s="23" t="str">
        <f>HYPERLINK("https://www.spark-marketing.ru/Card/Person/6391975", "ООО ""АТЛАС-Т""")</f>
        <v>ООО "АТЛАС-Т"</v>
      </c>
      <c r="K15867" s="24" t="s">
        <v>20843</v>
      </c>
      <c r="L15867" s="28" t="s">
        <v>51</v>
      </c>
      <c r="M15867" s="25">
        <v>797400</v>
      </c>
      <c r="N15867" s="27">
        <v>0.114</v>
      </c>
    </row>
    <row r="15868" spans="1:14" x14ac:dyDescent="0.15">
      <c r="A15868" s="23" t="str">
        <f>HYPERLINK("https://www.spark-marketing.ru/Card/Person/53322", "ГУ - ТАМБОВСКОЕ РО ФОНДА СОЦИАЛЬНОГО СТРАХОВАНИЯ РОССИЙСКОЙ ФЕДЕРАЦИИ")</f>
        <v>ГУ - ТАМБОВСКОЕ РО ФОНДА СОЦИАЛЬНОГО СТРАХОВАНИЯ РОССИЙСКОЙ ФЕДЕРАЦИИ</v>
      </c>
      <c r="B15868" s="24" t="s">
        <v>3458</v>
      </c>
      <c r="C15868" s="25">
        <v>2470446</v>
      </c>
      <c r="D15868" s="22" t="s">
        <v>20844</v>
      </c>
      <c r="E15868" s="22" t="s">
        <v>86</v>
      </c>
      <c r="F15868" s="23" t="str">
        <f>HYPERLINK("https://www.spark-marketing.ru/Card/Lot/71570588", "Оказание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мочеполовой системы», «болезни системы пищеварения», «бол...")</f>
        <v>Оказание услуг по санаторно-курортному лечению получателей государственной социальной помощи в виде набора социальных услуг, в том числе и сопровождающих лиц, по профилям заболеваний: «болезни мочеполовой системы», «болезни системы пищеварения», «бол...</v>
      </c>
      <c r="G15868" s="22" t="s">
        <v>1370</v>
      </c>
      <c r="H15868" s="22" t="s">
        <v>2025</v>
      </c>
      <c r="I15868" s="26">
        <v>43637.386805555601</v>
      </c>
      <c r="J15868" s="28" t="s">
        <v>51</v>
      </c>
      <c r="K15868" s="28" t="s">
        <v>51</v>
      </c>
      <c r="L15868" s="28" t="s">
        <v>51</v>
      </c>
      <c r="M15868" s="28" t="s">
        <v>51</v>
      </c>
      <c r="N15868" s="28" t="s">
        <v>51</v>
      </c>
    </row>
    <row r="15869" spans="1:14" x14ac:dyDescent="0.15">
      <c r="A15869" s="23" t="str">
        <f>HYPERLINK("https://www.spark-marketing.ru/Card/Person/128049", "МО МВД РОССИИ ""ОРИЧЕВСКИЙ""")</f>
        <v>МО МВД РОССИИ "ОРИЧЕВСКИЙ"</v>
      </c>
      <c r="B15869" s="24" t="s">
        <v>12709</v>
      </c>
      <c r="C15869" s="25">
        <v>104220</v>
      </c>
      <c r="D15869" s="22" t="s">
        <v>20845</v>
      </c>
      <c r="E15869" s="22" t="s">
        <v>48</v>
      </c>
      <c r="F15869" s="23" t="str">
        <f>HYPERLINK("https://www.spark-marketing.ru/Card/Lot/71563272", "услуги по организации трехразового горячего питания для нужд ИВС МО МВД России Оричевский")</f>
        <v>услуги по организации трехразового горячего питания для нужд ИВС МО МВД России Оричевский</v>
      </c>
      <c r="G15869" s="22" t="s">
        <v>224</v>
      </c>
      <c r="H15869" s="22" t="s">
        <v>12711</v>
      </c>
      <c r="I15869" s="26">
        <v>43637.347222222197</v>
      </c>
      <c r="J15869" s="23" t="str">
        <f>HYPERLINK("https://www.spark-marketing.ru/Card/Person/315930", "ОРИЧЕВСКОЕ РАЙПО")</f>
        <v>ОРИЧЕВСКОЕ РАЙПО</v>
      </c>
      <c r="K15869" s="24" t="s">
        <v>20846</v>
      </c>
      <c r="L15869" s="22" t="s">
        <v>10</v>
      </c>
      <c r="M15869" s="28" t="s">
        <v>51</v>
      </c>
      <c r="N15869" s="28" t="s">
        <v>51</v>
      </c>
    </row>
    <row r="15870" spans="1:14" x14ac:dyDescent="0.15">
      <c r="A15870" s="23" t="str">
        <f>HYPERLINK("https://www.spark-marketing.ru/Card/Person/4428887", "МАОУ СОШ № 44")</f>
        <v>МАОУ СОШ № 44</v>
      </c>
      <c r="B15870" s="24" t="s">
        <v>9566</v>
      </c>
      <c r="C15870" s="25">
        <v>368437.5</v>
      </c>
      <c r="D15870" s="22" t="s">
        <v>20847</v>
      </c>
      <c r="E15870" s="22" t="s">
        <v>362</v>
      </c>
      <c r="F15870" s="23" t="str">
        <f>HYPERLINK("https://www.spark-marketing.ru/Card/Lot/71555841", "Оказание услуг по организации питания детей в оздоровительном лагере (с дневным пребыванием детей), организованном на базе МАОУ СОШ №44 Чкаловского района города Екатеринбурга в 2019 году")</f>
        <v>Оказание услуг по организации питания детей в оздоровительном лагере (с дневным пребыванием детей), организованном на базе МАОУ СОШ №44 Чкаловского района города Екатеринбурга в 2019 году</v>
      </c>
      <c r="G15870" s="22" t="s">
        <v>174</v>
      </c>
      <c r="H15870" s="22" t="s">
        <v>174</v>
      </c>
      <c r="I15870" s="26">
        <v>43637.357881944401</v>
      </c>
      <c r="J15870" s="28" t="s">
        <v>51</v>
      </c>
      <c r="K15870" s="28" t="s">
        <v>51</v>
      </c>
      <c r="L15870" s="28" t="s">
        <v>51</v>
      </c>
      <c r="M15870" s="28" t="s">
        <v>51</v>
      </c>
      <c r="N15870" s="28" t="s">
        <v>51</v>
      </c>
    </row>
    <row r="15871" spans="1:14" x14ac:dyDescent="0.15">
      <c r="A15871" s="23" t="str">
        <f>HYPERLINK("https://www.spark-marketing.ru/Card/Person/64907", "ГБУЗ КО ЮРБ")</f>
        <v>ГБУЗ КО ЮРБ</v>
      </c>
      <c r="B15871" s="24" t="s">
        <v>3898</v>
      </c>
      <c r="C15871" s="25">
        <v>200000</v>
      </c>
      <c r="D15871" s="22" t="s">
        <v>20848</v>
      </c>
      <c r="E15871" s="22" t="s">
        <v>62</v>
      </c>
      <c r="F15871" s="23" t="str">
        <f>HYPERLINK("https://www.spark-marketing.ru/Card/Lot/71554668", "Поставка периодических печатных изданий")</f>
        <v>Поставка периодических печатных изданий</v>
      </c>
      <c r="G15871" s="22" t="s">
        <v>304</v>
      </c>
      <c r="H15871" s="22" t="s">
        <v>20849</v>
      </c>
      <c r="I15871" s="26">
        <v>43637.336111111101</v>
      </c>
      <c r="J15871" s="28" t="s">
        <v>51</v>
      </c>
      <c r="K15871" s="28" t="s">
        <v>51</v>
      </c>
      <c r="L15871" s="28" t="s">
        <v>51</v>
      </c>
      <c r="M15871" s="28" t="s">
        <v>51</v>
      </c>
      <c r="N15871" s="28" t="s">
        <v>51</v>
      </c>
    </row>
    <row r="15872" spans="1:14" hidden="1" outlineLevel="1" x14ac:dyDescent="0.2">
      <c r="A15872" s="23" t="str">
        <f>HYPERLINK("https://www.spark-marketing.ru/Card/Person/64907", "ГБУЗ КО ЮРБ")</f>
        <v>ГБУЗ КО ЮРБ</v>
      </c>
      <c r="B15872" s="24" t="s">
        <v>3898</v>
      </c>
      <c r="C15872" s="25">
        <v>200000</v>
      </c>
      <c r="D15872" s="22" t="s">
        <v>20848</v>
      </c>
      <c r="E15872" s="22" t="s">
        <v>62</v>
      </c>
      <c r="F15872" s="23" t="str">
        <f>HYPERLINK("https://www.spark-marketing.ru/Card/Lot/71554668", "Поставка периодических печатных изданий")</f>
        <v>Поставка периодических печатных изданий</v>
      </c>
      <c r="G15872" s="22" t="s">
        <v>304</v>
      </c>
      <c r="H15872" s="22" t="s">
        <v>20849</v>
      </c>
      <c r="I15872" s="26">
        <v>43637.336111111101</v>
      </c>
      <c r="J15872" s="23" t="str">
        <f>HYPERLINK("https://www.spark-marketing.ru/Card/Person/6067621", "Конькова Марина Владимировна")</f>
        <v>Конькова Марина Владимировна</v>
      </c>
      <c r="K15872" s="24" t="s">
        <v>5167</v>
      </c>
      <c r="L15872" s="28" t="s">
        <v>51</v>
      </c>
      <c r="M15872" s="25">
        <v>177000</v>
      </c>
      <c r="N15872" s="27">
        <v>0.115</v>
      </c>
    </row>
    <row r="15873" spans="1:14" ht="12.75" hidden="1" outlineLevel="1" x14ac:dyDescent="0.2">
      <c r="A15873" s="23" t="str">
        <f>HYPERLINK("https://www.spark-marketing.ru/Card/Person/64907", "ГБУЗ КО ЮРБ")</f>
        <v>ГБУЗ КО ЮРБ</v>
      </c>
      <c r="B15873" s="24" t="s">
        <v>3898</v>
      </c>
      <c r="C15873" s="25">
        <v>200000</v>
      </c>
      <c r="D15873" s="22" t="s">
        <v>20848</v>
      </c>
      <c r="E15873" s="22" t="s">
        <v>62</v>
      </c>
      <c r="F15873" s="23" t="str">
        <f>HYPERLINK("https://www.spark-marketing.ru/Card/Lot/71554668", "Поставка периодических печатных изданий")</f>
        <v>Поставка периодических печатных изданий</v>
      </c>
      <c r="G15873" s="22" t="s">
        <v>304</v>
      </c>
      <c r="H15873" s="22" t="s">
        <v>20849</v>
      </c>
      <c r="I15873" s="26">
        <v>43637.336111111101</v>
      </c>
      <c r="J15873" s="23" t="str">
        <f>HYPERLINK("https://www.spark-marketing.ru/Card/Person/148599", "ООО ""БАРАБИНСКАЯ ТИПОГРАФИЯ""")</f>
        <v>ООО "БАРАБИНСКАЯ ТИПОГРАФИЯ"</v>
      </c>
      <c r="K15873" s="24" t="s">
        <v>4915</v>
      </c>
      <c r="L15873" s="22" t="s">
        <v>10</v>
      </c>
      <c r="M15873" s="25">
        <v>176000</v>
      </c>
      <c r="N15873" s="27">
        <v>0.12</v>
      </c>
    </row>
    <row r="15874" spans="1:14" x14ac:dyDescent="0.15">
      <c r="A15874" s="23" t="str">
        <f>HYPERLINK("https://www.spark-marketing.ru/Card/Person/1015790", "ФКУ ""ЦУКС ГУ МЧС РОССИИ ПО ТОМСКОЙ ОБЛАСТИ""")</f>
        <v>ФКУ "ЦУКС ГУ МЧС РОССИИ ПО ТОМСКОЙ ОБЛАСТИ"</v>
      </c>
      <c r="B15874" s="24" t="s">
        <v>10224</v>
      </c>
      <c r="C15874" s="25">
        <v>67520</v>
      </c>
      <c r="D15874" s="22" t="s">
        <v>20850</v>
      </c>
      <c r="E15874" s="22" t="s">
        <v>48</v>
      </c>
      <c r="F15874" s="23" t="str">
        <f>HYPERLINK("https://www.spark-marketing.ru/Card/Lot/71554601", "Услуги по организации трехразового питания в г.Томске, 211 усл. ед")</f>
        <v>Услуги по организации трехразового питания в г.Томске, 211 усл. ед</v>
      </c>
      <c r="G15874" s="22" t="s">
        <v>149</v>
      </c>
      <c r="H15874" s="22" t="s">
        <v>496</v>
      </c>
      <c r="I15874" s="26">
        <v>43637.231469907398</v>
      </c>
      <c r="J15874" s="28" t="s">
        <v>51</v>
      </c>
      <c r="K15874" s="28" t="s">
        <v>51</v>
      </c>
      <c r="L15874" s="28" t="s">
        <v>51</v>
      </c>
      <c r="M15874" s="28" t="s">
        <v>51</v>
      </c>
      <c r="N15874" s="28" t="s">
        <v>51</v>
      </c>
    </row>
    <row r="15875" spans="1:14" x14ac:dyDescent="0.15">
      <c r="A15875" s="23" t="s">
        <v>114</v>
      </c>
      <c r="B15875" s="28" t="s">
        <v>51</v>
      </c>
      <c r="C15875" s="25">
        <v>4379250</v>
      </c>
      <c r="D15875" s="22" t="s">
        <v>20851</v>
      </c>
      <c r="E15875" s="22" t="s">
        <v>48</v>
      </c>
      <c r="F15875" s="23" t="str">
        <f t="shared" ref="F15875:F15891" si="544">HYPERLINK("https://www.spark-marketing.ru/Card/Lot/68226597", "Предоставление бесплатного питания учащимся муниципальных бюджетных общеобразовательных учреждений города Новочеркасска")</f>
        <v>Предоставление бесплатного питания учащимся муниципальных бюджетных общеобразовательных учреждений города Новочеркасска</v>
      </c>
      <c r="G15875" s="22" t="s">
        <v>51</v>
      </c>
      <c r="H15875" s="22" t="s">
        <v>51</v>
      </c>
      <c r="I15875" s="26">
        <v>43521.574999999997</v>
      </c>
      <c r="J15875" s="28" t="s">
        <v>51</v>
      </c>
      <c r="K15875" s="28" t="s">
        <v>51</v>
      </c>
      <c r="L15875" s="28" t="s">
        <v>51</v>
      </c>
      <c r="M15875" s="28" t="s">
        <v>51</v>
      </c>
      <c r="N15875" s="28" t="s">
        <v>51</v>
      </c>
    </row>
    <row r="15876" spans="1:14" hidden="1" outlineLevel="1" x14ac:dyDescent="0.15">
      <c r="A15876" s="23" t="str">
        <f>HYPERLINK("https://www.spark-marketing.ru/Card/Person/150825", "МБОУ СОШ № 11 ИМ.А.М. ПОЗЫНИЧА")</f>
        <v>МБОУ СОШ № 11 ИМ.А.М. ПОЗЫНИЧА</v>
      </c>
      <c r="B15876" s="24" t="s">
        <v>20852</v>
      </c>
      <c r="C15876" s="25">
        <v>525000</v>
      </c>
      <c r="D15876" s="22" t="s">
        <v>20851</v>
      </c>
      <c r="E15876" s="22" t="s">
        <v>48</v>
      </c>
      <c r="F15876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76" s="22" t="s">
        <v>267</v>
      </c>
      <c r="H15876" s="22" t="s">
        <v>6353</v>
      </c>
      <c r="I15876" s="26">
        <v>43521.574999999997</v>
      </c>
      <c r="J15876" s="28" t="s">
        <v>51</v>
      </c>
      <c r="K15876" s="28" t="s">
        <v>51</v>
      </c>
      <c r="L15876" s="28" t="s">
        <v>51</v>
      </c>
      <c r="M15876" s="28" t="s">
        <v>51</v>
      </c>
      <c r="N15876" s="28" t="s">
        <v>51</v>
      </c>
    </row>
    <row r="15877" spans="1:14" hidden="1" outlineLevel="1" x14ac:dyDescent="0.15">
      <c r="A15877" s="23" t="str">
        <f>HYPERLINK("https://www.spark-marketing.ru/Card/Person/99770", "МБОУ СОШ № 31 ИМЕНИ Г.А. БЕРДИЧЕВСКОГО")</f>
        <v>МБОУ СОШ № 31 ИМЕНИ Г.А. БЕРДИЧЕВСКОГО</v>
      </c>
      <c r="B15877" s="24" t="s">
        <v>20853</v>
      </c>
      <c r="C15877" s="25">
        <v>308000</v>
      </c>
      <c r="D15877" s="22" t="s">
        <v>20851</v>
      </c>
      <c r="E15877" s="22" t="s">
        <v>48</v>
      </c>
      <c r="F15877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77" s="22" t="s">
        <v>267</v>
      </c>
      <c r="H15877" s="22" t="s">
        <v>6353</v>
      </c>
      <c r="I15877" s="26">
        <v>43521.574999999997</v>
      </c>
      <c r="J15877" s="28" t="s">
        <v>51</v>
      </c>
      <c r="K15877" s="28" t="s">
        <v>51</v>
      </c>
      <c r="L15877" s="28" t="s">
        <v>51</v>
      </c>
      <c r="M15877" s="28" t="s">
        <v>51</v>
      </c>
      <c r="N15877" s="28" t="s">
        <v>51</v>
      </c>
    </row>
    <row r="15878" spans="1:14" hidden="1" outlineLevel="1" x14ac:dyDescent="0.15">
      <c r="A15878" s="23" t="str">
        <f>HYPERLINK("https://www.spark-marketing.ru/Card/Person/100525", "МБОУ СОШ № 32")</f>
        <v>МБОУ СОШ № 32</v>
      </c>
      <c r="B15878" s="24" t="s">
        <v>10173</v>
      </c>
      <c r="C15878" s="25">
        <v>522500</v>
      </c>
      <c r="D15878" s="22" t="s">
        <v>20851</v>
      </c>
      <c r="E15878" s="22" t="s">
        <v>48</v>
      </c>
      <c r="F15878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78" s="22" t="s">
        <v>267</v>
      </c>
      <c r="H15878" s="22" t="s">
        <v>6353</v>
      </c>
      <c r="I15878" s="26">
        <v>43521.574999999997</v>
      </c>
      <c r="J15878" s="28" t="s">
        <v>51</v>
      </c>
      <c r="K15878" s="28" t="s">
        <v>51</v>
      </c>
      <c r="L15878" s="28" t="s">
        <v>51</v>
      </c>
      <c r="M15878" s="28" t="s">
        <v>51</v>
      </c>
      <c r="N15878" s="28" t="s">
        <v>51</v>
      </c>
    </row>
    <row r="15879" spans="1:14" hidden="1" outlineLevel="1" x14ac:dyDescent="0.15">
      <c r="A15879" s="23" t="str">
        <f>HYPERLINK("https://www.spark-marketing.ru/Card/Person/100558", "МБОУ СОШ № 25 ИМ. П.К.КАЛЕДИНА")</f>
        <v>МБОУ СОШ № 25 ИМ. П.К.КАЛЕДИНА</v>
      </c>
      <c r="B15879" s="24" t="s">
        <v>20854</v>
      </c>
      <c r="C15879" s="25">
        <v>567000</v>
      </c>
      <c r="D15879" s="22" t="s">
        <v>20851</v>
      </c>
      <c r="E15879" s="22" t="s">
        <v>48</v>
      </c>
      <c r="F15879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79" s="22" t="s">
        <v>267</v>
      </c>
      <c r="H15879" s="22" t="s">
        <v>6353</v>
      </c>
      <c r="I15879" s="26">
        <v>43521.574999999997</v>
      </c>
      <c r="J15879" s="28" t="s">
        <v>51</v>
      </c>
      <c r="K15879" s="28" t="s">
        <v>51</v>
      </c>
      <c r="L15879" s="28" t="s">
        <v>51</v>
      </c>
      <c r="M15879" s="28" t="s">
        <v>51</v>
      </c>
      <c r="N15879" s="28" t="s">
        <v>51</v>
      </c>
    </row>
    <row r="15880" spans="1:14" hidden="1" outlineLevel="1" x14ac:dyDescent="0.15">
      <c r="A15880" s="23" t="str">
        <f>HYPERLINK("https://www.spark-marketing.ru/Card/Person/109152", "МБОУ СОШ № 22")</f>
        <v>МБОУ СОШ № 22</v>
      </c>
      <c r="B15880" s="24" t="s">
        <v>20855</v>
      </c>
      <c r="C15880" s="25">
        <v>472500</v>
      </c>
      <c r="D15880" s="22" t="s">
        <v>20851</v>
      </c>
      <c r="E15880" s="22" t="s">
        <v>48</v>
      </c>
      <c r="F15880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80" s="22" t="s">
        <v>267</v>
      </c>
      <c r="H15880" s="22" t="s">
        <v>6353</v>
      </c>
      <c r="I15880" s="26">
        <v>43521.574999999997</v>
      </c>
      <c r="J15880" s="28" t="s">
        <v>51</v>
      </c>
      <c r="K15880" s="28" t="s">
        <v>51</v>
      </c>
      <c r="L15880" s="28" t="s">
        <v>51</v>
      </c>
      <c r="M15880" s="28" t="s">
        <v>51</v>
      </c>
      <c r="N15880" s="28" t="s">
        <v>51</v>
      </c>
    </row>
    <row r="15881" spans="1:14" hidden="1" outlineLevel="1" x14ac:dyDescent="0.15">
      <c r="A15881" s="23" t="str">
        <f>HYPERLINK("https://www.spark-marketing.ru/Card/Person/150826", "МБОУ СОШ № 15")</f>
        <v>МБОУ СОШ № 15</v>
      </c>
      <c r="B15881" s="24" t="s">
        <v>20856</v>
      </c>
      <c r="C15881" s="25">
        <v>629750</v>
      </c>
      <c r="D15881" s="22" t="s">
        <v>20851</v>
      </c>
      <c r="E15881" s="22" t="s">
        <v>48</v>
      </c>
      <c r="F15881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81" s="22" t="s">
        <v>267</v>
      </c>
      <c r="H15881" s="22" t="s">
        <v>6353</v>
      </c>
      <c r="I15881" s="26">
        <v>43521.574999999997</v>
      </c>
      <c r="J15881" s="28" t="s">
        <v>51</v>
      </c>
      <c r="K15881" s="28" t="s">
        <v>51</v>
      </c>
      <c r="L15881" s="28" t="s">
        <v>51</v>
      </c>
      <c r="M15881" s="28" t="s">
        <v>51</v>
      </c>
      <c r="N15881" s="28" t="s">
        <v>51</v>
      </c>
    </row>
    <row r="15882" spans="1:14" hidden="1" outlineLevel="1" x14ac:dyDescent="0.15">
      <c r="A15882" s="23" t="str">
        <f>HYPERLINK("https://www.spark-marketing.ru/Card/Person/150827", "МБОУ СОШ № 20")</f>
        <v>МБОУ СОШ № 20</v>
      </c>
      <c r="B15882" s="24" t="s">
        <v>20857</v>
      </c>
      <c r="C15882" s="25">
        <v>647500</v>
      </c>
      <c r="D15882" s="22" t="s">
        <v>20851</v>
      </c>
      <c r="E15882" s="22" t="s">
        <v>48</v>
      </c>
      <c r="F15882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82" s="22" t="s">
        <v>267</v>
      </c>
      <c r="H15882" s="22" t="s">
        <v>6353</v>
      </c>
      <c r="I15882" s="26">
        <v>43521.574999999997</v>
      </c>
      <c r="J15882" s="28" t="s">
        <v>51</v>
      </c>
      <c r="K15882" s="28" t="s">
        <v>51</v>
      </c>
      <c r="L15882" s="28" t="s">
        <v>51</v>
      </c>
      <c r="M15882" s="28" t="s">
        <v>51</v>
      </c>
      <c r="N15882" s="28" t="s">
        <v>51</v>
      </c>
    </row>
    <row r="15883" spans="1:14" hidden="1" outlineLevel="1" x14ac:dyDescent="0.15">
      <c r="A15883" s="23" t="str">
        <f>HYPERLINK("https://www.spark-marketing.ru/Card/Person/150906", "МБОУ СОШ №9")</f>
        <v>МБОУ СОШ №9</v>
      </c>
      <c r="B15883" s="24" t="s">
        <v>20858</v>
      </c>
      <c r="C15883" s="25">
        <v>420000</v>
      </c>
      <c r="D15883" s="22" t="s">
        <v>20851</v>
      </c>
      <c r="E15883" s="22" t="s">
        <v>48</v>
      </c>
      <c r="F15883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83" s="22" t="s">
        <v>267</v>
      </c>
      <c r="H15883" s="22" t="s">
        <v>6353</v>
      </c>
      <c r="I15883" s="26">
        <v>43521.574999999997</v>
      </c>
      <c r="J15883" s="28" t="s">
        <v>51</v>
      </c>
      <c r="K15883" s="28" t="s">
        <v>51</v>
      </c>
      <c r="L15883" s="28" t="s">
        <v>51</v>
      </c>
      <c r="M15883" s="28" t="s">
        <v>51</v>
      </c>
      <c r="N15883" s="28" t="s">
        <v>51</v>
      </c>
    </row>
    <row r="15884" spans="1:14" hidden="1" outlineLevel="1" x14ac:dyDescent="0.15">
      <c r="A15884" s="23" t="str">
        <f>HYPERLINK("https://www.spark-marketing.ru/Card/Person/100122", "МБОУ СОШ № 24")</f>
        <v>МБОУ СОШ № 24</v>
      </c>
      <c r="B15884" s="24" t="s">
        <v>20859</v>
      </c>
      <c r="C15884" s="25">
        <v>287000</v>
      </c>
      <c r="D15884" s="22" t="s">
        <v>20851</v>
      </c>
      <c r="E15884" s="22" t="s">
        <v>48</v>
      </c>
      <c r="F15884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84" s="22" t="s">
        <v>267</v>
      </c>
      <c r="H15884" s="22" t="s">
        <v>6353</v>
      </c>
      <c r="I15884" s="26">
        <v>43521.574999999997</v>
      </c>
      <c r="J15884" s="28" t="s">
        <v>51</v>
      </c>
      <c r="K15884" s="28" t="s">
        <v>51</v>
      </c>
      <c r="L15884" s="28" t="s">
        <v>51</v>
      </c>
      <c r="M15884" s="28" t="s">
        <v>51</v>
      </c>
      <c r="N15884" s="28" t="s">
        <v>51</v>
      </c>
    </row>
    <row r="15885" spans="1:14" hidden="1" outlineLevel="1" x14ac:dyDescent="0.2">
      <c r="A15885" s="28" t="s">
        <v>51</v>
      </c>
      <c r="B15885" s="28" t="s">
        <v>51</v>
      </c>
      <c r="C15885" s="28" t="s">
        <v>51</v>
      </c>
      <c r="D15885" s="22" t="s">
        <v>20851</v>
      </c>
      <c r="E15885" s="22" t="s">
        <v>48</v>
      </c>
      <c r="F15885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85" s="22" t="s">
        <v>51</v>
      </c>
      <c r="H15885" s="22" t="s">
        <v>51</v>
      </c>
      <c r="I15885" s="26">
        <v>43521.574999999997</v>
      </c>
      <c r="J15885" s="23" t="str">
        <f>HYPERLINK("https://www.spark-marketing.ru/Card/Person/108389", "ООО ""ДОНСКИЕ ОВОЩИ""")</f>
        <v>ООО "ДОНСКИЕ ОВОЩИ"</v>
      </c>
      <c r="K15885" s="24" t="s">
        <v>20860</v>
      </c>
      <c r="L15885" s="22" t="s">
        <v>10</v>
      </c>
      <c r="M15885" s="25">
        <v>3941325</v>
      </c>
      <c r="N15885" s="27">
        <v>0.1</v>
      </c>
    </row>
    <row r="15886" spans="1:14" hidden="1" outlineLevel="1" x14ac:dyDescent="0.2">
      <c r="A15886" s="28" t="s">
        <v>51</v>
      </c>
      <c r="B15886" s="28" t="s">
        <v>51</v>
      </c>
      <c r="C15886" s="28" t="s">
        <v>51</v>
      </c>
      <c r="D15886" s="22" t="s">
        <v>20851</v>
      </c>
      <c r="E15886" s="22" t="s">
        <v>48</v>
      </c>
      <c r="F15886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86" s="22" t="s">
        <v>51</v>
      </c>
      <c r="H15886" s="22" t="s">
        <v>51</v>
      </c>
      <c r="I15886" s="26">
        <v>43521.574999999997</v>
      </c>
      <c r="J15886" s="23" t="str">
        <f>HYPERLINK("https://www.spark-marketing.ru/Card/Person/4868072", "ООО ""БИЗНЕС КОНСАЛТИНГ""")</f>
        <v>ООО "БИЗНЕС КОНСАЛТИНГ"</v>
      </c>
      <c r="K15886" s="24" t="s">
        <v>20861</v>
      </c>
      <c r="L15886" s="28" t="s">
        <v>51</v>
      </c>
      <c r="M15886" s="25">
        <v>4379250</v>
      </c>
      <c r="N15886" s="27">
        <v>0</v>
      </c>
    </row>
    <row r="15887" spans="1:14" hidden="1" outlineLevel="1" x14ac:dyDescent="0.2">
      <c r="A15887" s="28" t="s">
        <v>51</v>
      </c>
      <c r="B15887" s="28" t="s">
        <v>51</v>
      </c>
      <c r="C15887" s="28" t="s">
        <v>51</v>
      </c>
      <c r="D15887" s="22" t="s">
        <v>20851</v>
      </c>
      <c r="E15887" s="22" t="s">
        <v>48</v>
      </c>
      <c r="F15887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87" s="22" t="s">
        <v>51</v>
      </c>
      <c r="H15887" s="22" t="s">
        <v>51</v>
      </c>
      <c r="I15887" s="26">
        <v>43521.574999999997</v>
      </c>
      <c r="J15887" s="23" t="str">
        <f>HYPERLINK("https://www.spark-marketing.ru/Card/Person/108389", "ООО ""ДОНСКИЕ ОВОЩИ""")</f>
        <v>ООО "ДОНСКИЕ ОВОЩИ"</v>
      </c>
      <c r="K15887" s="24" t="s">
        <v>20860</v>
      </c>
      <c r="L15887" s="22" t="s">
        <v>10</v>
      </c>
      <c r="M15887" s="25">
        <v>3941325</v>
      </c>
      <c r="N15887" s="27">
        <v>0.1</v>
      </c>
    </row>
    <row r="15888" spans="1:14" hidden="1" outlineLevel="1" x14ac:dyDescent="0.2">
      <c r="A15888" s="28" t="s">
        <v>51</v>
      </c>
      <c r="B15888" s="28" t="s">
        <v>51</v>
      </c>
      <c r="C15888" s="28" t="s">
        <v>51</v>
      </c>
      <c r="D15888" s="22" t="s">
        <v>20851</v>
      </c>
      <c r="E15888" s="22" t="s">
        <v>48</v>
      </c>
      <c r="F15888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88" s="22" t="s">
        <v>51</v>
      </c>
      <c r="H15888" s="22" t="s">
        <v>51</v>
      </c>
      <c r="I15888" s="26">
        <v>43521.574999999997</v>
      </c>
      <c r="J15888" s="23" t="str">
        <f>HYPERLINK("https://www.spark-marketing.ru/Card/Person/4868072", "ООО ""БИЗНЕС КОНСАЛТИНГ""")</f>
        <v>ООО "БИЗНЕС КОНСАЛТИНГ"</v>
      </c>
      <c r="K15888" s="24" t="s">
        <v>20861</v>
      </c>
      <c r="L15888" s="28" t="s">
        <v>51</v>
      </c>
      <c r="M15888" s="25">
        <v>4379250</v>
      </c>
      <c r="N15888" s="27">
        <v>0</v>
      </c>
    </row>
    <row r="15889" spans="1:14" hidden="1" outlineLevel="1" x14ac:dyDescent="0.2">
      <c r="A15889" s="28" t="s">
        <v>51</v>
      </c>
      <c r="B15889" s="28" t="s">
        <v>51</v>
      </c>
      <c r="C15889" s="28" t="s">
        <v>51</v>
      </c>
      <c r="D15889" s="22" t="s">
        <v>20851</v>
      </c>
      <c r="E15889" s="22" t="s">
        <v>48</v>
      </c>
      <c r="F15889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89" s="22" t="s">
        <v>51</v>
      </c>
      <c r="H15889" s="22" t="s">
        <v>51</v>
      </c>
      <c r="I15889" s="26">
        <v>43521.574999999997</v>
      </c>
      <c r="J15889" s="23" t="str">
        <f>HYPERLINK("https://www.spark-marketing.ru/Card/Person/4890114", "ООО ТПП ""СИРИУС-Н""")</f>
        <v>ООО ТПП "СИРИУС-Н"</v>
      </c>
      <c r="K15889" s="24" t="s">
        <v>20862</v>
      </c>
      <c r="L15889" s="28" t="s">
        <v>51</v>
      </c>
      <c r="M15889" s="25">
        <v>4379250</v>
      </c>
      <c r="N15889" s="27">
        <v>0</v>
      </c>
    </row>
    <row r="15890" spans="1:14" hidden="1" outlineLevel="1" x14ac:dyDescent="0.2">
      <c r="A15890" s="28" t="s">
        <v>51</v>
      </c>
      <c r="B15890" s="28" t="s">
        <v>51</v>
      </c>
      <c r="C15890" s="28" t="s">
        <v>51</v>
      </c>
      <c r="D15890" s="22" t="s">
        <v>20851</v>
      </c>
      <c r="E15890" s="22" t="s">
        <v>48</v>
      </c>
      <c r="F15890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90" s="22" t="s">
        <v>51</v>
      </c>
      <c r="H15890" s="22" t="s">
        <v>51</v>
      </c>
      <c r="I15890" s="26">
        <v>43521.574999999997</v>
      </c>
      <c r="J15890" s="23" t="str">
        <f>HYPERLINK("https://www.spark-marketing.ru/Card/Person/108389", "ООО ""ДОНСКИЕ ОВОЩИ""")</f>
        <v>ООО "ДОНСКИЕ ОВОЩИ"</v>
      </c>
      <c r="K15890" s="24" t="s">
        <v>20860</v>
      </c>
      <c r="L15890" s="22" t="s">
        <v>10</v>
      </c>
      <c r="M15890" s="25">
        <v>4291665</v>
      </c>
      <c r="N15890" s="27">
        <v>0.02</v>
      </c>
    </row>
    <row r="15891" spans="1:14" hidden="1" outlineLevel="1" x14ac:dyDescent="0.2">
      <c r="A15891" s="28" t="s">
        <v>51</v>
      </c>
      <c r="B15891" s="28" t="s">
        <v>51</v>
      </c>
      <c r="C15891" s="28" t="s">
        <v>51</v>
      </c>
      <c r="D15891" s="22" t="s">
        <v>20851</v>
      </c>
      <c r="E15891" s="22" t="s">
        <v>48</v>
      </c>
      <c r="F15891" s="23" t="str">
        <f t="shared" si="544"/>
        <v>Предоставление бесплатного питания учащимся муниципальных бюджетных общеобразовательных учреждений города Новочеркасска</v>
      </c>
      <c r="G15891" s="22" t="s">
        <v>51</v>
      </c>
      <c r="H15891" s="22" t="s">
        <v>51</v>
      </c>
      <c r="I15891" s="26">
        <v>43521.574999999997</v>
      </c>
      <c r="J15891" s="23" t="str">
        <f>HYPERLINK("https://www.spark-marketing.ru/Card/Person/4868072", "ООО ""БИЗНЕС КОНСАЛТИНГ""")</f>
        <v>ООО "БИЗНЕС КОНСАЛТИНГ"</v>
      </c>
      <c r="K15891" s="24" t="s">
        <v>20861</v>
      </c>
      <c r="L15891" s="28" t="s">
        <v>51</v>
      </c>
      <c r="M15891" s="25">
        <v>4379250</v>
      </c>
      <c r="N15891" s="27">
        <v>0</v>
      </c>
    </row>
    <row r="15892" spans="1:14" x14ac:dyDescent="0.15">
      <c r="A15892" s="23" t="str">
        <f>HYPERLINK("https://www.spark-marketing.ru/Card/Person/2253902", "МАОУ ""СРЕДНЯЯ ОБЩЕОБРАЗОВАТЕЛЬНАЯ ШКОЛА № 15""")</f>
        <v>МАОУ "СРЕДНЯЯ ОБЩЕОБРАЗОВАТЕЛЬНАЯ ШКОЛА № 15"</v>
      </c>
      <c r="B15892" s="24" t="s">
        <v>20863</v>
      </c>
      <c r="C15892" s="25">
        <v>135000</v>
      </c>
      <c r="D15892" s="22" t="s">
        <v>20864</v>
      </c>
      <c r="E15892" s="22" t="s">
        <v>362</v>
      </c>
      <c r="F15892" s="23" t="str">
        <f>HYPERLINK("https://www.spark-marketing.ru/Card/Lot/74243867", "Оказание услуги по организации питания в летнем оздоровительном лагере (2 смена) МАОУ «СОШ №15»")</f>
        <v>Оказание услуги по организации питания в летнем оздоровительном лагере (2 смена) МАОУ «СОШ №15»</v>
      </c>
      <c r="G15892" s="22" t="s">
        <v>153</v>
      </c>
      <c r="H15892" s="22" t="s">
        <v>153</v>
      </c>
      <c r="I15892" s="26">
        <v>43747</v>
      </c>
      <c r="J15892" s="28" t="s">
        <v>51</v>
      </c>
      <c r="K15892" s="28" t="s">
        <v>51</v>
      </c>
      <c r="L15892" s="28" t="s">
        <v>51</v>
      </c>
      <c r="M15892" s="28" t="s">
        <v>51</v>
      </c>
      <c r="N15892" s="28" t="s">
        <v>51</v>
      </c>
    </row>
    <row r="15893" spans="1:14" x14ac:dyDescent="0.2">
      <c r="A15893" s="23" t="str">
        <f>HYPERLINK("https://www.spark-marketing.ru/Card/Person/254092", "МБДОУ ""ДЕТСКИЙ САД ОБЩЕРАЗВИВАЮЩЕГО ВИДА № 5""АЙГУЛЬ"" П.Г.Т. КАМСКИЕ ПОЛЯНЫ НМР РТ")</f>
        <v>МБДОУ "ДЕТСКИЙ САД ОБЩЕРАЗВИВАЮЩЕГО ВИДА № 5"АЙГУЛЬ" П.Г.Т. КАМСКИЕ ПОЛЯНЫ НМР РТ</v>
      </c>
      <c r="B15893" s="24" t="s">
        <v>8112</v>
      </c>
      <c r="C15893" s="25">
        <v>279770.40000000002</v>
      </c>
      <c r="D15893" s="22" t="s">
        <v>20865</v>
      </c>
      <c r="E15893" s="22" t="s">
        <v>52</v>
      </c>
      <c r="F15893" s="23" t="str">
        <f>HYPERLINK("https://www.spark-marketing.ru/Card/Lot/73757755", "Услуги по организации питания")</f>
        <v>Услуги по организации питания</v>
      </c>
      <c r="G15893" s="22" t="s">
        <v>217</v>
      </c>
      <c r="H15893" s="22" t="s">
        <v>5604</v>
      </c>
      <c r="I15893" s="26">
        <v>43637.000694444403</v>
      </c>
      <c r="J15893" s="28" t="s">
        <v>51</v>
      </c>
      <c r="K15893" s="28" t="s">
        <v>51</v>
      </c>
      <c r="L15893" s="28" t="s">
        <v>51</v>
      </c>
      <c r="M15893" s="25">
        <v>279770.40000000002</v>
      </c>
      <c r="N15893" s="27">
        <v>0</v>
      </c>
    </row>
    <row r="15894" spans="1:14" x14ac:dyDescent="0.2">
      <c r="A15894" s="23" t="str">
        <f>HYPERLINK("https://www.spark-marketing.ru/Card/Person/1574956", "МДОУ ""ДЕТСКИЙ САД № 56""")</f>
        <v>МДОУ "ДЕТСКИЙ САД № 56"</v>
      </c>
      <c r="B15894" s="24" t="s">
        <v>20866</v>
      </c>
      <c r="C15894" s="25">
        <v>3845660</v>
      </c>
      <c r="D15894" s="22" t="s">
        <v>20867</v>
      </c>
      <c r="E15894" s="22" t="s">
        <v>362</v>
      </c>
      <c r="F15894" s="23" t="str">
        <f>HYPERLINK("https://www.spark-marketing.ru/Card/Lot/71587772", "Оказание услуг по организации питания (в том числе горячего) воспитанников во 2 полугодии 2018 года")</f>
        <v>Оказание услуг по организации питания (в том числе горячего) воспитанников во 2 полугодии 2018 года</v>
      </c>
      <c r="G15894" s="22" t="s">
        <v>185</v>
      </c>
      <c r="H15894" s="22" t="s">
        <v>185</v>
      </c>
      <c r="I15894" s="26">
        <v>43636.998969907399</v>
      </c>
      <c r="J15894" s="28" t="s">
        <v>51</v>
      </c>
      <c r="K15894" s="28" t="s">
        <v>51</v>
      </c>
      <c r="L15894" s="22" t="s">
        <v>10</v>
      </c>
      <c r="M15894" s="25">
        <v>3845660</v>
      </c>
      <c r="N15894" s="27">
        <v>0</v>
      </c>
    </row>
    <row r="15895" spans="1:14" ht="12.75" x14ac:dyDescent="0.2">
      <c r="A15895" s="23" t="str">
        <f>HYPERLINK("https://www.spark-marketing.ru/Card/Person/4377681", "МБОУ ""СОШ №23""")</f>
        <v>МБОУ "СОШ №23"</v>
      </c>
      <c r="B15895" s="24" t="s">
        <v>20868</v>
      </c>
      <c r="C15895" s="25">
        <v>2448526</v>
      </c>
      <c r="D15895" s="22" t="s">
        <v>20869</v>
      </c>
      <c r="E15895" s="22" t="s">
        <v>48</v>
      </c>
      <c r="F15895" s="23" t="str">
        <f>HYPERLINK("https://www.spark-marketing.ru/Card/Lot/71549388", "Услуга общественного питания")</f>
        <v>Услуга общественного питания</v>
      </c>
      <c r="G15895" s="22" t="s">
        <v>415</v>
      </c>
      <c r="H15895" s="22" t="s">
        <v>415</v>
      </c>
      <c r="I15895" s="26">
        <v>43636.75</v>
      </c>
      <c r="J15895" s="23" t="str">
        <f>HYPERLINK("https://www.spark-marketing.ru/Card/Person/778386", "ООО ""ЛЬСТО""")</f>
        <v>ООО "ЛЬСТО"</v>
      </c>
      <c r="K15895" s="24" t="s">
        <v>20870</v>
      </c>
      <c r="L15895" s="22" t="s">
        <v>10</v>
      </c>
      <c r="M15895" s="25">
        <v>2424050</v>
      </c>
      <c r="N15895" s="27">
        <v>9.996218132868509E-3</v>
      </c>
    </row>
    <row r="15896" spans="1:14" x14ac:dyDescent="0.15">
      <c r="A15896" s="23" t="str">
        <f>HYPERLINK("https://www.spark-marketing.ru/Card/Person/1047988", "ОТДМВД РОССИИ ПО СПАССКОМУ РАЙОНУ")</f>
        <v>ОТДМВД РОССИИ ПО СПАССКОМУ РАЙОНУ</v>
      </c>
      <c r="B15896" s="24" t="s">
        <v>4072</v>
      </c>
      <c r="C15896" s="25">
        <v>99844</v>
      </c>
      <c r="D15896" s="22" t="s">
        <v>20871</v>
      </c>
      <c r="E15896" s="22" t="s">
        <v>48</v>
      </c>
      <c r="F15896" s="23" t="str">
        <f>HYPERLINK("https://www.spark-marketing.ru/Card/Lot/71542934", "Услуги по обеспечению питания лиц содержащихся в спец. помещениях задержанных лиц, 436 усл. ед")</f>
        <v>Услуги по обеспечению питания лиц содержащихся в спец. помещениях задержанных лиц, 436 усл. ед</v>
      </c>
      <c r="G15896" s="22" t="s">
        <v>72</v>
      </c>
      <c r="H15896" s="22" t="s">
        <v>622</v>
      </c>
      <c r="I15896" s="26">
        <v>43636.761793981503</v>
      </c>
      <c r="J15896" s="28" t="s">
        <v>51</v>
      </c>
      <c r="K15896" s="28" t="s">
        <v>51</v>
      </c>
      <c r="L15896" s="28" t="s">
        <v>51</v>
      </c>
      <c r="M15896" s="28" t="s">
        <v>51</v>
      </c>
      <c r="N15896" s="28" t="s">
        <v>51</v>
      </c>
    </row>
    <row r="15897" spans="1:14" x14ac:dyDescent="0.15">
      <c r="A15897" s="23" t="str">
        <f>HYPERLINK("https://www.spark-marketing.ru/Card/Person/121861", "ГБУ ВО ""ОМЦ""")</f>
        <v>ГБУ ВО "ОМЦ"</v>
      </c>
      <c r="B15897" s="24" t="s">
        <v>79</v>
      </c>
      <c r="C15897" s="25">
        <v>310500</v>
      </c>
      <c r="D15897" s="22" t="s">
        <v>20872</v>
      </c>
      <c r="E15897" s="22" t="s">
        <v>81</v>
      </c>
      <c r="F15897" s="23" t="str">
        <f>HYPERLINK("https://www.spark-marketing.ru/Card/Lot/71547155", "2019-03769/Оказание услуг по организации проживания с питанием участников и организаторов Форума социальных инициатив")</f>
        <v>2019-03769/Оказание услуг по организации проживания с питанием участников и организаторов Форума социальных инициатив</v>
      </c>
      <c r="G15897" s="22" t="s">
        <v>82</v>
      </c>
      <c r="H15897" s="22" t="s">
        <v>83</v>
      </c>
      <c r="I15897" s="26">
        <v>43636.708333333299</v>
      </c>
      <c r="J15897" s="23" t="str">
        <f>HYPERLINK("https://www.spark-marketing.ru/Card/Person/336101", "ООО ""КОМФОРТ""")</f>
        <v>ООО "КОМФОРТ"</v>
      </c>
      <c r="K15897" s="24" t="s">
        <v>4486</v>
      </c>
      <c r="L15897" s="22" t="s">
        <v>10</v>
      </c>
      <c r="M15897" s="28" t="s">
        <v>51</v>
      </c>
      <c r="N15897" s="28" t="s">
        <v>51</v>
      </c>
    </row>
    <row r="15898" spans="1:14" x14ac:dyDescent="0.15">
      <c r="A15898" s="23" t="str">
        <f>HYPERLINK("https://www.spark-marketing.ru/Card/Person/90514", "МБУ ""УЭСАЗ ""ВИЛЮЙ""")</f>
        <v>МБУ "УЭСАЗ "ВИЛЮЙ"</v>
      </c>
      <c r="B15898" s="24" t="s">
        <v>20873</v>
      </c>
      <c r="C15898" s="25">
        <v>350000</v>
      </c>
      <c r="D15898" s="22" t="s">
        <v>20874</v>
      </c>
      <c r="E15898" s="22" t="s">
        <v>51</v>
      </c>
      <c r="F15898" s="23" t="str">
        <f>HYPERLINK("https://www.spark-marketing.ru/Card/Lot/71527675", "оказание услуг по организации питания при проведении официальных приемов в г.Мирный (представительские расходы)")</f>
        <v>оказание услуг по организации питания при проведении официальных приемов в г.Мирный (представительские расходы)</v>
      </c>
      <c r="G15898" s="22" t="s">
        <v>241</v>
      </c>
      <c r="H15898" s="22" t="s">
        <v>3697</v>
      </c>
      <c r="I15898" s="26">
        <v>43636.711805555598</v>
      </c>
      <c r="J15898" s="23" t="str">
        <f>HYPERLINK("https://www.spark-marketing.ru/Card/Person/6442221", "ООО ""ЗАРНИЦА""")</f>
        <v>ООО "ЗАРНИЦА"</v>
      </c>
      <c r="K15898" s="24" t="s">
        <v>20875</v>
      </c>
      <c r="L15898" s="22" t="s">
        <v>10</v>
      </c>
      <c r="M15898" s="28" t="s">
        <v>51</v>
      </c>
      <c r="N15898" s="28" t="s">
        <v>51</v>
      </c>
    </row>
    <row r="15899" spans="1:14" ht="12.75" x14ac:dyDescent="0.2">
      <c r="A15899" s="23" t="str">
        <f>HYPERLINK("https://www.spark-marketing.ru/Card/Person/1043491", "МБОУ ""ПИЛГ""")</f>
        <v>МБОУ "ПИЛГ"</v>
      </c>
      <c r="B15899" s="24" t="s">
        <v>20876</v>
      </c>
      <c r="C15899" s="25">
        <v>1896237</v>
      </c>
      <c r="D15899" s="22" t="s">
        <v>20877</v>
      </c>
      <c r="E15899" s="22" t="s">
        <v>48</v>
      </c>
      <c r="F15899" s="23" t="str">
        <f>HYPERLINK("https://www.spark-marketing.ru/Card/Lot/71549410", "Услуга общественного питания")</f>
        <v>Услуга общественного питания</v>
      </c>
      <c r="G15899" s="22" t="s">
        <v>415</v>
      </c>
      <c r="H15899" s="22" t="s">
        <v>415</v>
      </c>
      <c r="I15899" s="26">
        <v>43636.746527777803</v>
      </c>
      <c r="J15899" s="23" t="str">
        <f>HYPERLINK("https://www.spark-marketing.ru/Card/Person/111215", "ООО ""РЕСУРС""")</f>
        <v>ООО "РЕСУРС"</v>
      </c>
      <c r="K15899" s="24" t="s">
        <v>10695</v>
      </c>
      <c r="L15899" s="22" t="s">
        <v>10</v>
      </c>
      <c r="M15899" s="25">
        <v>1896237</v>
      </c>
      <c r="N15899" s="27">
        <v>0</v>
      </c>
    </row>
    <row r="15900" spans="1:14" x14ac:dyDescent="0.2">
      <c r="A15900" s="23" t="str">
        <f>HYPERLINK("https://www.spark-marketing.ru/Card/Person/55591", "АО ""ГАЗПРОМ ПРОМГАЗ""")</f>
        <v>АО "ГАЗПРОМ ПРОМГАЗ"</v>
      </c>
      <c r="B15900" s="24" t="s">
        <v>20878</v>
      </c>
      <c r="C15900" s="25">
        <v>445500</v>
      </c>
      <c r="D15900" s="22" t="s">
        <v>20879</v>
      </c>
      <c r="E15900" s="22" t="s">
        <v>20880</v>
      </c>
      <c r="F15900" s="23" t="str">
        <f>HYPERLINK("https://www.spark-marketing.ru/Card/Lot/71542564", "Услуги по организации общественного питания")</f>
        <v>Услуги по организации общественного питания</v>
      </c>
      <c r="G15900" s="22" t="s">
        <v>56</v>
      </c>
      <c r="H15900" s="22" t="s">
        <v>56</v>
      </c>
      <c r="I15900" s="26">
        <v>43636.737708333298</v>
      </c>
      <c r="J15900" s="23" t="str">
        <f>HYPERLINK("https://www.spark-marketing.ru/Card/Person/6619884", "Арапов Максим Олегович")</f>
        <v>Арапов Максим Олегович</v>
      </c>
      <c r="K15900" s="24" t="s">
        <v>20881</v>
      </c>
      <c r="L15900" s="28" t="s">
        <v>51</v>
      </c>
      <c r="M15900" s="25">
        <v>445500</v>
      </c>
      <c r="N15900" s="27">
        <v>0</v>
      </c>
    </row>
    <row r="15901" spans="1:14" x14ac:dyDescent="0.15">
      <c r="A15901" s="23" t="str">
        <f>HYPERLINK("https://www.spark-marketing.ru/Card/Person/50743", "МП ""ДЕТСКОЕ ПИТАНИЕ""")</f>
        <v>МП "ДЕТСКОЕ ПИТАНИЕ"</v>
      </c>
      <c r="B15901" s="24" t="s">
        <v>1562</v>
      </c>
      <c r="C15901" s="25">
        <v>980100</v>
      </c>
      <c r="D15901" s="22" t="s">
        <v>20882</v>
      </c>
      <c r="E15901" s="22" t="s">
        <v>3997</v>
      </c>
      <c r="F15901" s="23" t="str">
        <f>HYPERLINK("https://www.spark-marketing.ru/Card/Lot/71544079", "Поставка картофеля (для оказания услуг по организации питания в муниципальных бюджетных дошкольных учреждениях).")</f>
        <v>Поставка картофеля (для оказания услуг по организации питания в муниципальных бюджетных дошкольных учреждениях).</v>
      </c>
      <c r="G15901" s="22" t="s">
        <v>1522</v>
      </c>
      <c r="H15901" s="22" t="s">
        <v>1523</v>
      </c>
      <c r="I15901" s="26">
        <v>43636.743437500001</v>
      </c>
      <c r="J15901" s="28" t="s">
        <v>51</v>
      </c>
      <c r="K15901" s="28" t="s">
        <v>51</v>
      </c>
      <c r="L15901" s="28" t="s">
        <v>51</v>
      </c>
      <c r="M15901" s="28" t="s">
        <v>51</v>
      </c>
      <c r="N15901" s="28" t="s">
        <v>51</v>
      </c>
    </row>
    <row r="15902" spans="1:14" ht="12.75" x14ac:dyDescent="0.2">
      <c r="A15902" s="23" t="str">
        <f>HYPERLINK("https://www.spark-marketing.ru/Card/Person/240988", "МБОУ ""СОШ № 11""")</f>
        <v>МБОУ "СОШ № 11"</v>
      </c>
      <c r="B15902" s="24" t="s">
        <v>20883</v>
      </c>
      <c r="C15902" s="25">
        <v>1565977.5</v>
      </c>
      <c r="D15902" s="22" t="s">
        <v>20884</v>
      </c>
      <c r="E15902" s="22" t="s">
        <v>48</v>
      </c>
      <c r="F15902" s="23" t="str">
        <f>HYPERLINK("https://www.spark-marketing.ru/Card/Lot/71549053", "Услуга общественного питания")</f>
        <v>Услуга общественного питания</v>
      </c>
      <c r="G15902" s="22" t="s">
        <v>415</v>
      </c>
      <c r="H15902" s="22" t="s">
        <v>415</v>
      </c>
      <c r="I15902" s="26">
        <v>43636.737500000003</v>
      </c>
      <c r="J15902" s="23" t="str">
        <f>HYPERLINK("https://www.spark-marketing.ru/Card/Person/111215", "ООО ""РЕСУРС""")</f>
        <v>ООО "РЕСУРС"</v>
      </c>
      <c r="K15902" s="24" t="s">
        <v>10695</v>
      </c>
      <c r="L15902" s="22" t="s">
        <v>10</v>
      </c>
      <c r="M15902" s="25">
        <v>1565977</v>
      </c>
      <c r="N15902" s="27">
        <v>3.192893895346517E-7</v>
      </c>
    </row>
    <row r="15903" spans="1:14" ht="12.75" x14ac:dyDescent="0.2">
      <c r="A15903" s="23" t="str">
        <f>HYPERLINK("https://www.spark-marketing.ru/Card/Person/81114", "МБОУ ""СОШ №12 ИМЕНИ ГЕРОЯ РОССИИ А.Ю.ШИРЯЕВА""")</f>
        <v>МБОУ "СОШ №12 ИМЕНИ ГЕРОЯ РОССИИ А.Ю.ШИРЯЕВА"</v>
      </c>
      <c r="B15903" s="24" t="s">
        <v>20885</v>
      </c>
      <c r="C15903" s="25">
        <v>3163436.5</v>
      </c>
      <c r="D15903" s="22" t="s">
        <v>20886</v>
      </c>
      <c r="E15903" s="22" t="s">
        <v>48</v>
      </c>
      <c r="F15903" s="23" t="str">
        <f>HYPERLINK("https://www.spark-marketing.ru/Card/Lot/71549333", "Услуга общественного питания")</f>
        <v>Услуга общественного питания</v>
      </c>
      <c r="G15903" s="22" t="s">
        <v>415</v>
      </c>
      <c r="H15903" s="22" t="s">
        <v>415</v>
      </c>
      <c r="I15903" s="26">
        <v>43636.732638888898</v>
      </c>
      <c r="J15903" s="23" t="str">
        <f>HYPERLINK("https://www.spark-marketing.ru/Card/Person/133090", "ООО ""ЗДОРОВОЕ ПИТАНИЕ""")</f>
        <v>ООО "ЗДОРОВОЕ ПИТАНИЕ"</v>
      </c>
      <c r="K15903" s="24" t="s">
        <v>20887</v>
      </c>
      <c r="L15903" s="22" t="s">
        <v>10</v>
      </c>
      <c r="M15903" s="25">
        <v>2910360</v>
      </c>
      <c r="N15903" s="27">
        <v>8.0000499456840679E-2</v>
      </c>
    </row>
    <row r="15904" spans="1:14" ht="12.75" x14ac:dyDescent="0.2">
      <c r="A15904" s="23" t="str">
        <f>HYPERLINK("https://www.spark-marketing.ru/Card/Person/1013237", "ГКОУ СО ""ЕКАТЕРИНБУРГСКАЯ ШКОЛА № 1""")</f>
        <v>ГКОУ СО "ЕКАТЕРИНБУРГСКАЯ ШКОЛА № 1"</v>
      </c>
      <c r="B15904" s="24" t="s">
        <v>20491</v>
      </c>
      <c r="C15904" s="25">
        <v>499865.59999999998</v>
      </c>
      <c r="D15904" s="22" t="s">
        <v>20888</v>
      </c>
      <c r="E15904" s="22" t="s">
        <v>51</v>
      </c>
      <c r="F15904" s="23" t="str">
        <f>HYPERLINK("https://www.spark-marketing.ru/Card/Lot/71547985", "услуга по обеспечению питания")</f>
        <v>услуга по обеспечению питания</v>
      </c>
      <c r="G15904" s="22" t="s">
        <v>174</v>
      </c>
      <c r="H15904" s="22" t="s">
        <v>530</v>
      </c>
      <c r="I15904" s="26">
        <v>43636.708333333299</v>
      </c>
      <c r="J15904" s="23" t="str">
        <f>HYPERLINK("https://www.spark-marketing.ru/Card/Person/1490997", "Миронова Татьяна Владимировна")</f>
        <v>Миронова Татьяна Владимировна</v>
      </c>
      <c r="K15904" s="24" t="s">
        <v>20493</v>
      </c>
      <c r="L15904" s="22" t="s">
        <v>10</v>
      </c>
      <c r="M15904" s="25">
        <v>495800</v>
      </c>
      <c r="N15904" s="27">
        <v>8.1333862542251351E-3</v>
      </c>
    </row>
    <row r="15905" spans="1:14" ht="12.75" x14ac:dyDescent="0.2">
      <c r="A15905" s="23" t="str">
        <f>HYPERLINK("https://www.spark-marketing.ru/Card/Person/240989", "МБОУ ""СРЕДНЯЯ ОБЩЕОБРАЗОВАТЕЛЬНАЯ ШКОЛА №16 ИМ. ГЕРОЯ РОССИИ АЛЕКСЕЯ ВОРОБЬЁВА""")</f>
        <v>МБОУ "СРЕДНЯЯ ОБЩЕОБРАЗОВАТЕЛЬНАЯ ШКОЛА №16 ИМ. ГЕРОЯ РОССИИ АЛЕКСЕЯ ВОРОБЬЁВА"</v>
      </c>
      <c r="B15905" s="24" t="s">
        <v>20889</v>
      </c>
      <c r="C15905" s="25">
        <v>1083880</v>
      </c>
      <c r="D15905" s="22" t="s">
        <v>20890</v>
      </c>
      <c r="E15905" s="22" t="s">
        <v>48</v>
      </c>
      <c r="F15905" s="23" t="str">
        <f>HYPERLINK("https://www.spark-marketing.ru/Card/Lot/71549004", "Услуга общественного питания")</f>
        <v>Услуга общественного питания</v>
      </c>
      <c r="G15905" s="22" t="s">
        <v>415</v>
      </c>
      <c r="H15905" s="22" t="s">
        <v>415</v>
      </c>
      <c r="I15905" s="26">
        <v>43636.738888888904</v>
      </c>
      <c r="J15905" s="23" t="str">
        <f>HYPERLINK("https://www.spark-marketing.ru/Card/Person/111215", "ООО ""РЕСУРС""")</f>
        <v>ООО "РЕСУРС"</v>
      </c>
      <c r="K15905" s="24" t="s">
        <v>10695</v>
      </c>
      <c r="L15905" s="22" t="s">
        <v>10</v>
      </c>
      <c r="M15905" s="25">
        <v>1083880</v>
      </c>
      <c r="N15905" s="27">
        <v>0</v>
      </c>
    </row>
    <row r="15906" spans="1:14" x14ac:dyDescent="0.15">
      <c r="A15906" s="23" t="str">
        <f>HYPERLINK("https://www.spark-marketing.ru/Card/Person/4365627", "ООО ""РН-БУРЕНИЕ""")</f>
        <v>ООО "РН-БУРЕНИЕ"</v>
      </c>
      <c r="B15906" s="24" t="s">
        <v>7087</v>
      </c>
      <c r="C15906" s="28" t="s">
        <v>51</v>
      </c>
      <c r="D15906" s="22" t="s">
        <v>20891</v>
      </c>
      <c r="E15906" s="22" t="s">
        <v>362</v>
      </c>
      <c r="F15906" s="23" t="str">
        <f>HYPERLINK("https://www.spark-marketing.ru/Card/Lot/71542877", "Оказание услуг по организации питания в 2020-2023гг")</f>
        <v>Оказание услуг по организации питания в 2020-2023гг</v>
      </c>
      <c r="G15906" s="22" t="s">
        <v>3887</v>
      </c>
      <c r="H15906" s="22" t="s">
        <v>3887</v>
      </c>
      <c r="I15906" s="26">
        <v>43636.718055555597</v>
      </c>
      <c r="J15906" s="28" t="s">
        <v>51</v>
      </c>
      <c r="K15906" s="28" t="s">
        <v>51</v>
      </c>
      <c r="L15906" s="28" t="s">
        <v>51</v>
      </c>
      <c r="M15906" s="28" t="s">
        <v>51</v>
      </c>
      <c r="N15906" s="28" t="s">
        <v>51</v>
      </c>
    </row>
    <row r="15907" spans="1:14" x14ac:dyDescent="0.15">
      <c r="A15907" s="23" t="str">
        <f>HYPERLINK("https://www.spark-marketing.ru/Card/Person/638498", "ГП ЧАО ""ЧУКОТАВИА""")</f>
        <v>ГП ЧАО "ЧУКОТАВИА"</v>
      </c>
      <c r="B15907" s="24" t="s">
        <v>5698</v>
      </c>
      <c r="C15907" s="25">
        <v>500000</v>
      </c>
      <c r="D15907" s="22" t="s">
        <v>20892</v>
      </c>
      <c r="E15907" s="22" t="s">
        <v>20893</v>
      </c>
      <c r="F15907" s="23" t="str">
        <f>HYPERLINK("https://www.spark-marketing.ru/Card/Lot/71520283", "Услуги по обеспечению горячим питанием и прохладительными напитками пассажиров задержанных рейсов в Аэропорту ""Беринговский""")</f>
        <v>Услуги по обеспечению горячим питанием и прохладительными напитками пассажиров задержанных рейсов в Аэропорту "Беринговский"</v>
      </c>
      <c r="G15907" s="22" t="s">
        <v>2674</v>
      </c>
      <c r="H15907" s="22" t="s">
        <v>5700</v>
      </c>
      <c r="I15907" s="26">
        <v>43636.720138888901</v>
      </c>
      <c r="J15907" s="28" t="s">
        <v>51</v>
      </c>
      <c r="K15907" s="28" t="s">
        <v>51</v>
      </c>
      <c r="L15907" s="28" t="s">
        <v>51</v>
      </c>
      <c r="M15907" s="28" t="s">
        <v>51</v>
      </c>
      <c r="N15907" s="28" t="s">
        <v>51</v>
      </c>
    </row>
    <row r="15908" spans="1:14" ht="12.75" x14ac:dyDescent="0.2">
      <c r="A15908" s="23" t="str">
        <f>HYPERLINK("https://www.spark-marketing.ru/Card/Person/240985", "МБОУ Г. ПСКОВА ""СОШ №17""")</f>
        <v>МБОУ Г. ПСКОВА "СОШ №17"</v>
      </c>
      <c r="B15908" s="24" t="s">
        <v>20894</v>
      </c>
      <c r="C15908" s="25">
        <v>1737407.5</v>
      </c>
      <c r="D15908" s="22" t="s">
        <v>20895</v>
      </c>
      <c r="E15908" s="22" t="s">
        <v>48</v>
      </c>
      <c r="F15908" s="23" t="str">
        <f>HYPERLINK("https://www.spark-marketing.ru/Card/Lot/71549312", "Услуга общественного питания")</f>
        <v>Услуга общественного питания</v>
      </c>
      <c r="G15908" s="22" t="s">
        <v>415</v>
      </c>
      <c r="H15908" s="22" t="s">
        <v>415</v>
      </c>
      <c r="I15908" s="26">
        <v>43636.743750000001</v>
      </c>
      <c r="J15908" s="23" t="str">
        <f>HYPERLINK("https://www.spark-marketing.ru/Card/Person/111215", "ООО ""РЕСУРС""")</f>
        <v>ООО "РЕСУРС"</v>
      </c>
      <c r="K15908" s="24" t="s">
        <v>10695</v>
      </c>
      <c r="L15908" s="22" t="s">
        <v>10</v>
      </c>
      <c r="M15908" s="25">
        <v>1737407</v>
      </c>
      <c r="N15908" s="27">
        <v>2.8778510510631501E-7</v>
      </c>
    </row>
    <row r="15909" spans="1:14" x14ac:dyDescent="0.15">
      <c r="A15909" s="23" t="s">
        <v>114</v>
      </c>
      <c r="B15909" s="28" t="s">
        <v>51</v>
      </c>
      <c r="C15909" s="25">
        <v>6618366</v>
      </c>
      <c r="D15909" s="22" t="s">
        <v>20896</v>
      </c>
      <c r="E15909" s="22" t="s">
        <v>48</v>
      </c>
      <c r="F15909" s="23" t="str">
        <f t="shared" ref="F15909:F15914" si="545">HYPERLINK("https://www.spark-marketing.ru/Card/Lot/71549217", "Оказание услуг по организации горячего питания")</f>
        <v>Оказание услуг по организации горячего питания</v>
      </c>
      <c r="G15909" s="22" t="s">
        <v>51</v>
      </c>
      <c r="H15909" s="22" t="s">
        <v>51</v>
      </c>
      <c r="I15909" s="26">
        <v>43636.7277777778</v>
      </c>
      <c r="J15909" s="28" t="s">
        <v>51</v>
      </c>
      <c r="K15909" s="28" t="s">
        <v>51</v>
      </c>
      <c r="L15909" s="28" t="s">
        <v>51</v>
      </c>
      <c r="M15909" s="28" t="s">
        <v>51</v>
      </c>
      <c r="N15909" s="28" t="s">
        <v>51</v>
      </c>
    </row>
    <row r="15910" spans="1:14" hidden="1" outlineLevel="1" x14ac:dyDescent="0.15">
      <c r="A15910" s="23" t="str">
        <f>HYPERLINK("https://www.spark-marketing.ru/Card/Person/78813", "МБОУ СОШ №4")</f>
        <v>МБОУ СОШ №4</v>
      </c>
      <c r="B15910" s="24" t="s">
        <v>20897</v>
      </c>
      <c r="C15910" s="25">
        <v>3799080</v>
      </c>
      <c r="D15910" s="22" t="s">
        <v>20896</v>
      </c>
      <c r="E15910" s="22" t="s">
        <v>48</v>
      </c>
      <c r="F15910" s="23" t="str">
        <f t="shared" si="545"/>
        <v>Оказание услуг по организации горячего питания</v>
      </c>
      <c r="G15910" s="22" t="s">
        <v>137</v>
      </c>
      <c r="H15910" s="22" t="s">
        <v>138</v>
      </c>
      <c r="I15910" s="26">
        <v>43636.7277777778</v>
      </c>
      <c r="J15910" s="28" t="s">
        <v>51</v>
      </c>
      <c r="K15910" s="28" t="s">
        <v>51</v>
      </c>
      <c r="L15910" s="28" t="s">
        <v>51</v>
      </c>
      <c r="M15910" s="28" t="s">
        <v>51</v>
      </c>
      <c r="N15910" s="28" t="s">
        <v>51</v>
      </c>
    </row>
    <row r="15911" spans="1:14" hidden="1" outlineLevel="1" x14ac:dyDescent="0.15">
      <c r="A15911" s="23" t="str">
        <f>HYPERLINK("https://www.spark-marketing.ru/Card/Person/89122", "МБОУ СШ № 30")</f>
        <v>МБОУ СШ № 30</v>
      </c>
      <c r="B15911" s="24" t="s">
        <v>20898</v>
      </c>
      <c r="C15911" s="25">
        <v>2819286</v>
      </c>
      <c r="D15911" s="22" t="s">
        <v>20896</v>
      </c>
      <c r="E15911" s="22" t="s">
        <v>48</v>
      </c>
      <c r="F15911" s="23" t="str">
        <f t="shared" si="545"/>
        <v>Оказание услуг по организации горячего питания</v>
      </c>
      <c r="G15911" s="22" t="s">
        <v>137</v>
      </c>
      <c r="H15911" s="22" t="s">
        <v>138</v>
      </c>
      <c r="I15911" s="26">
        <v>43636.7277777778</v>
      </c>
      <c r="J15911" s="28" t="s">
        <v>51</v>
      </c>
      <c r="K15911" s="28" t="s">
        <v>51</v>
      </c>
      <c r="L15911" s="28" t="s">
        <v>51</v>
      </c>
      <c r="M15911" s="28" t="s">
        <v>51</v>
      </c>
      <c r="N15911" s="28" t="s">
        <v>51</v>
      </c>
    </row>
    <row r="15912" spans="1:14" hidden="1" outlineLevel="1" x14ac:dyDescent="0.2">
      <c r="A15912" s="28" t="s">
        <v>51</v>
      </c>
      <c r="B15912" s="28" t="s">
        <v>51</v>
      </c>
      <c r="C15912" s="28" t="s">
        <v>51</v>
      </c>
      <c r="D15912" s="22" t="s">
        <v>20896</v>
      </c>
      <c r="E15912" s="22" t="s">
        <v>48</v>
      </c>
      <c r="F15912" s="23" t="str">
        <f t="shared" si="545"/>
        <v>Оказание услуг по организации горячего питания</v>
      </c>
      <c r="G15912" s="22" t="s">
        <v>51</v>
      </c>
      <c r="H15912" s="22" t="s">
        <v>51</v>
      </c>
      <c r="I15912" s="26">
        <v>43636.7277777778</v>
      </c>
      <c r="J15912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5912" s="24" t="s">
        <v>16891</v>
      </c>
      <c r="L15912" s="28" t="s">
        <v>51</v>
      </c>
      <c r="M15912" s="25">
        <v>6618366</v>
      </c>
      <c r="N15912" s="27">
        <v>0</v>
      </c>
    </row>
    <row r="15913" spans="1:14" hidden="1" outlineLevel="1" x14ac:dyDescent="0.2">
      <c r="A15913" s="28" t="s">
        <v>51</v>
      </c>
      <c r="B15913" s="28" t="s">
        <v>51</v>
      </c>
      <c r="C15913" s="28" t="s">
        <v>51</v>
      </c>
      <c r="D15913" s="22" t="s">
        <v>20896</v>
      </c>
      <c r="E15913" s="22" t="s">
        <v>48</v>
      </c>
      <c r="F15913" s="23" t="str">
        <f t="shared" si="545"/>
        <v>Оказание услуг по организации горячего питания</v>
      </c>
      <c r="G15913" s="22" t="s">
        <v>51</v>
      </c>
      <c r="H15913" s="22" t="s">
        <v>51</v>
      </c>
      <c r="I15913" s="26">
        <v>43636.7277777778</v>
      </c>
      <c r="J15913" s="23" t="str">
        <f>HYPERLINK("https://www.spark-marketing.ru/Card/Person/610902", "ООО ""РАТИБОР""")</f>
        <v>ООО "РАТИБОР"</v>
      </c>
      <c r="K15913" s="24" t="s">
        <v>17751</v>
      </c>
      <c r="L15913" s="22" t="s">
        <v>10</v>
      </c>
      <c r="M15913" s="25">
        <v>6617000</v>
      </c>
      <c r="N15913" s="27">
        <v>2.0639535498641204E-4</v>
      </c>
    </row>
    <row r="15914" spans="1:14" hidden="1" outlineLevel="1" x14ac:dyDescent="0.2">
      <c r="A15914" s="28" t="s">
        <v>51</v>
      </c>
      <c r="B15914" s="28" t="s">
        <v>51</v>
      </c>
      <c r="C15914" s="28" t="s">
        <v>51</v>
      </c>
      <c r="D15914" s="22" t="s">
        <v>20896</v>
      </c>
      <c r="E15914" s="22" t="s">
        <v>48</v>
      </c>
      <c r="F15914" s="23" t="str">
        <f t="shared" si="545"/>
        <v>Оказание услуг по организации горячего питания</v>
      </c>
      <c r="G15914" s="22" t="s">
        <v>51</v>
      </c>
      <c r="H15914" s="22" t="s">
        <v>51</v>
      </c>
      <c r="I15914" s="26">
        <v>43636.7277777778</v>
      </c>
      <c r="J15914" s="23" t="str">
        <f>HYPERLINK("https://www.spark-marketing.ru/Card/Person/76228", "ООО ""ЛИМАН""")</f>
        <v>ООО "ЛИМАН"</v>
      </c>
      <c r="K15914" s="24" t="s">
        <v>16890</v>
      </c>
      <c r="L15914" s="28" t="s">
        <v>51</v>
      </c>
      <c r="M15914" s="25">
        <v>6618000</v>
      </c>
      <c r="N15914" s="27">
        <v>5.5300658803094301E-5</v>
      </c>
    </row>
    <row r="15915" spans="1:14" x14ac:dyDescent="0.15">
      <c r="A15915" s="23" t="str">
        <f>HYPERLINK("https://www.spark-marketing.ru/Card/Person/916089", "ГАОУ ДПО ЦПМ")</f>
        <v>ГАОУ ДПО ЦПМ</v>
      </c>
      <c r="B15915" s="24" t="s">
        <v>8145</v>
      </c>
      <c r="C15915" s="25">
        <v>41650</v>
      </c>
      <c r="D15915" s="22" t="s">
        <v>20899</v>
      </c>
      <c r="E15915" s="22" t="s">
        <v>1921</v>
      </c>
      <c r="F15915" s="23" t="str">
        <f>HYPERLINK("https://www.spark-marketing.ru/Card/Lot/71542924", "Оказание услуг по обеспечению проживанием и питанием команды обучающихся города Москвы в выездных образовательных мероприятиях")</f>
        <v>Оказание услуг по обеспечению проживанием и питанием команды обучающихся города Москвы в выездных образовательных мероприятиях</v>
      </c>
      <c r="G15915" s="22" t="s">
        <v>56</v>
      </c>
      <c r="H15915" s="22" t="s">
        <v>56</v>
      </c>
      <c r="I15915" s="26">
        <v>43636.7121064815</v>
      </c>
      <c r="J15915" s="28" t="s">
        <v>51</v>
      </c>
      <c r="K15915" s="28" t="s">
        <v>51</v>
      </c>
      <c r="L15915" s="28" t="s">
        <v>51</v>
      </c>
      <c r="M15915" s="28" t="s">
        <v>51</v>
      </c>
      <c r="N15915" s="28" t="s">
        <v>51</v>
      </c>
    </row>
    <row r="15916" spans="1:14" x14ac:dyDescent="0.15">
      <c r="A15916" s="23" t="str">
        <f>HYPERLINK("https://www.spark-marketing.ru/Card/Person/20259", "ГБУЗ ""ООД""")</f>
        <v>ГБУЗ "ООД"</v>
      </c>
      <c r="B15916" s="24" t="s">
        <v>20900</v>
      </c>
      <c r="C15916" s="25">
        <v>985643</v>
      </c>
      <c r="D15916" s="22" t="s">
        <v>20901</v>
      </c>
      <c r="E15916" s="22" t="s">
        <v>809</v>
      </c>
      <c r="F15916" s="23" t="str">
        <f>HYPERLINK("https://www.spark-marketing.ru/Card/Lot/71539977", "на поставку автоматизированного рабочего места")</f>
        <v>на поставку автоматизированного рабочего места</v>
      </c>
      <c r="G15916" s="22" t="s">
        <v>132</v>
      </c>
      <c r="H15916" s="22" t="s">
        <v>4057</v>
      </c>
      <c r="I15916" s="26">
        <v>43636.688194444403</v>
      </c>
      <c r="J15916" s="28" t="s">
        <v>51</v>
      </c>
      <c r="K15916" s="28" t="s">
        <v>51</v>
      </c>
      <c r="L15916" s="28" t="s">
        <v>51</v>
      </c>
      <c r="M15916" s="28" t="s">
        <v>51</v>
      </c>
      <c r="N15916" s="28" t="s">
        <v>51</v>
      </c>
    </row>
    <row r="15917" spans="1:14" ht="12.75" hidden="1" outlineLevel="1" x14ac:dyDescent="0.2">
      <c r="A15917" s="23" t="str">
        <f>HYPERLINK("https://www.spark-marketing.ru/Card/Person/20259", "ГБУЗ ""ООД""")</f>
        <v>ГБУЗ "ООД"</v>
      </c>
      <c r="B15917" s="24" t="s">
        <v>20900</v>
      </c>
      <c r="C15917" s="25">
        <v>985643</v>
      </c>
      <c r="D15917" s="22" t="s">
        <v>20901</v>
      </c>
      <c r="E15917" s="22" t="s">
        <v>809</v>
      </c>
      <c r="F15917" s="23" t="str">
        <f>HYPERLINK("https://www.spark-marketing.ru/Card/Lot/71539977", "на поставку автоматизированного рабочего места")</f>
        <v>на поставку автоматизированного рабочего места</v>
      </c>
      <c r="G15917" s="22" t="s">
        <v>132</v>
      </c>
      <c r="H15917" s="22" t="s">
        <v>4057</v>
      </c>
      <c r="I15917" s="26">
        <v>43636.688194444403</v>
      </c>
      <c r="J15917" s="23" t="str">
        <f>HYPERLINK("https://www.spark-marketing.ru/Card/Person/4879297", "ООО ""СТРУКТУРА МОМЕНТА""")</f>
        <v>ООО "СТРУКТУРА МОМЕНТА"</v>
      </c>
      <c r="K15917" s="24" t="s">
        <v>1783</v>
      </c>
      <c r="L15917" s="22" t="s">
        <v>10</v>
      </c>
      <c r="M15917" s="25">
        <v>734303.78</v>
      </c>
      <c r="N15917" s="27">
        <v>0.2550002587143621</v>
      </c>
    </row>
    <row r="15918" spans="1:14" hidden="1" outlineLevel="1" x14ac:dyDescent="0.2">
      <c r="A15918" s="23" t="str">
        <f>HYPERLINK("https://www.spark-marketing.ru/Card/Person/20259", "ГБУЗ ""ООД""")</f>
        <v>ГБУЗ "ООД"</v>
      </c>
      <c r="B15918" s="24" t="s">
        <v>20900</v>
      </c>
      <c r="C15918" s="25">
        <v>985643</v>
      </c>
      <c r="D15918" s="22" t="s">
        <v>20901</v>
      </c>
      <c r="E15918" s="22" t="s">
        <v>809</v>
      </c>
      <c r="F15918" s="23" t="str">
        <f>HYPERLINK("https://www.spark-marketing.ru/Card/Lot/71539977", "на поставку автоматизированного рабочего места")</f>
        <v>на поставку автоматизированного рабочего места</v>
      </c>
      <c r="G15918" s="22" t="s">
        <v>132</v>
      </c>
      <c r="H15918" s="22" t="s">
        <v>4057</v>
      </c>
      <c r="I15918" s="26">
        <v>43636.688194444403</v>
      </c>
      <c r="J15918" s="23" t="str">
        <f>HYPERLINK("https://www.spark-marketing.ru/Card/Person/6499259", "ООО ""АЙТИМ""")</f>
        <v>ООО "АЙТИМ"</v>
      </c>
      <c r="K15918" s="24" t="s">
        <v>12113</v>
      </c>
      <c r="L15918" s="28" t="s">
        <v>51</v>
      </c>
      <c r="M15918" s="25">
        <v>985642.99</v>
      </c>
      <c r="N15918" s="27">
        <v>1.0145661258691027E-8</v>
      </c>
    </row>
    <row r="15919" spans="1:14" hidden="1" outlineLevel="1" x14ac:dyDescent="0.2">
      <c r="A15919" s="23" t="str">
        <f>HYPERLINK("https://www.spark-marketing.ru/Card/Person/20259", "ГБУЗ ""ООД""")</f>
        <v>ГБУЗ "ООД"</v>
      </c>
      <c r="B15919" s="24" t="s">
        <v>20900</v>
      </c>
      <c r="C15919" s="25">
        <v>985643</v>
      </c>
      <c r="D15919" s="22" t="s">
        <v>20901</v>
      </c>
      <c r="E15919" s="22" t="s">
        <v>809</v>
      </c>
      <c r="F15919" s="23" t="str">
        <f>HYPERLINK("https://www.spark-marketing.ru/Card/Lot/71539977", "на поставку автоматизированного рабочего места")</f>
        <v>на поставку автоматизированного рабочего места</v>
      </c>
      <c r="G15919" s="22" t="s">
        <v>132</v>
      </c>
      <c r="H15919" s="22" t="s">
        <v>4057</v>
      </c>
      <c r="I15919" s="26">
        <v>43636.688194444403</v>
      </c>
      <c r="J15919" s="23" t="str">
        <f>HYPERLINK("https://www.spark-marketing.ru/Card/Person/6503506", "ООО ""КОЗИН""")</f>
        <v>ООО "КОЗИН"</v>
      </c>
      <c r="K15919" s="24" t="s">
        <v>20758</v>
      </c>
      <c r="L15919" s="28" t="s">
        <v>51</v>
      </c>
      <c r="M15919" s="25">
        <v>739000</v>
      </c>
      <c r="N15919" s="27">
        <v>0.2502356329827331</v>
      </c>
    </row>
    <row r="15920" spans="1:14" x14ac:dyDescent="0.15">
      <c r="A15920" s="23" t="str">
        <f>HYPERLINK("https://www.spark-marketing.ru/Card/Person/14889", "ГБУЗ""ГПТД""")</f>
        <v>ГБУЗ"ГПТД"</v>
      </c>
      <c r="B15920" s="24" t="s">
        <v>20902</v>
      </c>
      <c r="C15920" s="25">
        <v>57258.21</v>
      </c>
      <c r="D15920" s="22" t="s">
        <v>20903</v>
      </c>
      <c r="E15920" s="22" t="s">
        <v>809</v>
      </c>
      <c r="F15920" s="23" t="str">
        <f>HYPERLINK("https://www.spark-marketing.ru/Card/Lot/71544646", "на поставку источника бесперебойного питания")</f>
        <v>на поставку источника бесперебойного питания</v>
      </c>
      <c r="G15920" s="22" t="s">
        <v>132</v>
      </c>
      <c r="H15920" s="22" t="s">
        <v>2782</v>
      </c>
      <c r="I15920" s="26">
        <v>43636.688194444403</v>
      </c>
      <c r="J15920" s="23" t="str">
        <f>HYPERLINK("https://www.spark-marketing.ru/Card/Person/4879297", "ООО ""СТРУКТУРА МОМЕНТА""")</f>
        <v>ООО "СТРУКТУРА МОМЕНТА"</v>
      </c>
      <c r="K15920" s="24" t="s">
        <v>1783</v>
      </c>
      <c r="L15920" s="22" t="s">
        <v>10</v>
      </c>
      <c r="M15920" s="28" t="s">
        <v>51</v>
      </c>
      <c r="N15920" s="28" t="s">
        <v>51</v>
      </c>
    </row>
    <row r="15921" spans="1:14" x14ac:dyDescent="0.15">
      <c r="A15921" s="23" t="str">
        <f>HYPERLINK("https://www.spark-marketing.ru/Card/Person/4380513", "МОАУ ""ЛИЦЕЙ №9""")</f>
        <v>МОАУ "ЛИЦЕЙ №9"</v>
      </c>
      <c r="B15921" s="24" t="s">
        <v>20904</v>
      </c>
      <c r="C15921" s="25">
        <v>153669.6</v>
      </c>
      <c r="D15921" s="22" t="s">
        <v>20905</v>
      </c>
      <c r="E15921" s="22" t="s">
        <v>1412</v>
      </c>
      <c r="F15921" s="23" t="str">
        <f>HYPERLINK("https://www.spark-marketing.ru/Card/Lot/71537328", "Оказание услуг по организации питания детей в лагере дневного пребывания на базе организации МОАУ Лицей №9")</f>
        <v>Оказание услуг по организации питания детей в лагере дневного пребывания на базе организации МОАУ Лицей №9</v>
      </c>
      <c r="G15921" s="22" t="s">
        <v>132</v>
      </c>
      <c r="H15921" s="22" t="s">
        <v>132</v>
      </c>
      <c r="I15921" s="26">
        <v>43636.682129629597</v>
      </c>
      <c r="J15921" s="28" t="s">
        <v>51</v>
      </c>
      <c r="K15921" s="28" t="s">
        <v>51</v>
      </c>
      <c r="L15921" s="28" t="s">
        <v>51</v>
      </c>
      <c r="M15921" s="28" t="s">
        <v>51</v>
      </c>
      <c r="N15921" s="28" t="s">
        <v>51</v>
      </c>
    </row>
    <row r="15922" spans="1:14" x14ac:dyDescent="0.15">
      <c r="A15922" s="23" t="str">
        <f>HYPERLINK("https://www.spark-marketing.ru/Card/Person/1311068", "МОАУ ""СОШ № 56 ИМЕНИ ХАНА В.Д. С УГЛУБЛЕННЫМ ИЗУЧЕНИЕМ РУССКОГО ЯЗЫКА, ОБЩЕСТВОЗНАНИЯ И ПРАВА""")</f>
        <v>МОАУ "СОШ № 56 ИМЕНИ ХАНА В.Д. С УГЛУБЛЕННЫМ ИЗУЧЕНИЕМ РУССКОГО ЯЗЫКА, ОБЩЕСТВОЗНАНИЯ И ПРАВА"</v>
      </c>
      <c r="B15922" s="24" t="s">
        <v>20906</v>
      </c>
      <c r="C15922" s="25">
        <v>192087</v>
      </c>
      <c r="D15922" s="22" t="s">
        <v>20907</v>
      </c>
      <c r="E15922" s="22" t="s">
        <v>1412</v>
      </c>
      <c r="F15922" s="23" t="str">
        <f>HYPERLINK("https://www.spark-marketing.ru/Card/Lot/71536260", "Оказание услуг по организации питания детей в лагере дневного пребывания на базе организации МОАУ СОШ №56")</f>
        <v>Оказание услуг по организации питания детей в лагере дневного пребывания на базе организации МОАУ СОШ №56</v>
      </c>
      <c r="G15922" s="22" t="s">
        <v>132</v>
      </c>
      <c r="H15922" s="22" t="s">
        <v>132</v>
      </c>
      <c r="I15922" s="26">
        <v>43636.669247685197</v>
      </c>
      <c r="J15922" s="28" t="s">
        <v>51</v>
      </c>
      <c r="K15922" s="28" t="s">
        <v>51</v>
      </c>
      <c r="L15922" s="28" t="s">
        <v>51</v>
      </c>
      <c r="M15922" s="28" t="s">
        <v>51</v>
      </c>
      <c r="N15922" s="28" t="s">
        <v>51</v>
      </c>
    </row>
    <row r="15923" spans="1:14" x14ac:dyDescent="0.15">
      <c r="A15923" s="23" t="str">
        <f>HYPERLINK("https://www.spark-marketing.ru/Card/Person/103364", "МБОУ ГИМНАЗИЯ №3 Г.СТАВРОПОЛЯ")</f>
        <v>МБОУ ГИМНАЗИЯ №3 Г.СТАВРОПОЛЯ</v>
      </c>
      <c r="B15923" s="24" t="s">
        <v>20908</v>
      </c>
      <c r="C15923" s="25">
        <v>884000</v>
      </c>
      <c r="D15923" s="22" t="s">
        <v>20909</v>
      </c>
      <c r="E15923" s="22" t="s">
        <v>48</v>
      </c>
      <c r="F15923" s="23" t="str">
        <f>HYPERLINK("https://www.spark-marketing.ru/Card/Lot/71547786", "Услуги по организации питания учащихся МБОУ гимназии № 3 г. Ставрополя в сентябре-декабре 2019 года")</f>
        <v>Услуги по организации питания учащихся МБОУ гимназии № 3 г. Ставрополя в сентябре-декабре 2019 года</v>
      </c>
      <c r="G15923" s="22" t="s">
        <v>87</v>
      </c>
      <c r="H15923" s="22" t="s">
        <v>87</v>
      </c>
      <c r="I15923" s="26">
        <v>43636.675694444399</v>
      </c>
      <c r="J15923" s="23" t="str">
        <f>HYPERLINK("https://www.spark-marketing.ru/Card/Person/217327", "Карпачев Валерий Борисович")</f>
        <v>Карпачев Валерий Борисович</v>
      </c>
      <c r="K15923" s="24" t="s">
        <v>19656</v>
      </c>
      <c r="L15923" s="22" t="s">
        <v>10</v>
      </c>
      <c r="M15923" s="28" t="s">
        <v>51</v>
      </c>
      <c r="N15923" s="28" t="s">
        <v>51</v>
      </c>
    </row>
    <row r="15924" spans="1:14" x14ac:dyDescent="0.15">
      <c r="A15924" s="23" t="str">
        <f>HYPERLINK("https://www.spark-marketing.ru/Card/Person/238772", "КЦСОН ЛЕНИНСКОГО РАЙОНА Г. ИЖЕВСКА")</f>
        <v>КЦСОН ЛЕНИНСКОГО РАЙОНА Г. ИЖЕВСКА</v>
      </c>
      <c r="B15924" s="24" t="s">
        <v>20910</v>
      </c>
      <c r="C15924" s="25">
        <v>369144</v>
      </c>
      <c r="D15924" s="22" t="s">
        <v>20911</v>
      </c>
      <c r="E15924" s="22" t="s">
        <v>20912</v>
      </c>
      <c r="F15924" s="23" t="str">
        <f>HYPERLINK("https://www.spark-marketing.ru/Card/Lot/71539655", "Оказание услуг по организации питания (комплектование и доставка продуктовых наборов для обслуживаемых отделения Социальная гостиница) для нужд автономного учреждения социального обслуживания Удмуртской Республики «Комплексный центр социального обслу...")</f>
        <v>Оказание услуг по организации питания (комплектование и доставка продуктовых наборов для обслуживаемых отделения Социальная гостиница) для нужд автономного учреждения социального обслуживания Удмуртской Республики «Комплексный центр социального обслу...</v>
      </c>
      <c r="G15924" s="22" t="s">
        <v>852</v>
      </c>
      <c r="H15924" s="22" t="s">
        <v>852</v>
      </c>
      <c r="I15924" s="26">
        <v>43636.706041666701</v>
      </c>
      <c r="J15924" s="28" t="s">
        <v>51</v>
      </c>
      <c r="K15924" s="28" t="s">
        <v>51</v>
      </c>
      <c r="L15924" s="28" t="s">
        <v>51</v>
      </c>
      <c r="M15924" s="28" t="s">
        <v>51</v>
      </c>
      <c r="N15924" s="28" t="s">
        <v>51</v>
      </c>
    </row>
    <row r="15925" spans="1:14" x14ac:dyDescent="0.15">
      <c r="A15925" s="23" t="str">
        <f>HYPERLINK("https://www.spark-marketing.ru/Card/Person/1011632", "ОМВД РОССИИ ПО МЕЛЕНКОВСКОМУ РАЙОНУ")</f>
        <v>ОМВД РОССИИ ПО МЕЛЕНКОВСКОМУ РАЙОНУ</v>
      </c>
      <c r="B15925" s="24" t="s">
        <v>20913</v>
      </c>
      <c r="C15925" s="25">
        <v>1300095.3600000001</v>
      </c>
      <c r="D15925" s="22" t="s">
        <v>20914</v>
      </c>
      <c r="E15925" s="22" t="s">
        <v>48</v>
      </c>
      <c r="F15925" s="23" t="str">
        <f>HYPERLINK("https://www.spark-marketing.ru/Card/Lot/71549076", "Закупка услуг по обеспечению питанием осужденных к лишению свободы, а также подозреваемых и обвиняемых в совершении преступлений, находящихся в изоляторе временного содержания подозреваемых и обвиняемых органов внутренних дел Российской Федерации, ли...")</f>
        <v>Закупка услуг по обеспечению питанием осужденных к лишению свободы, а также подозреваемых и обвиняемых в совершении преступлений, находящихся в изоляторе временного содержания подозреваемых и обвиняемых органов внутренних дел Российской Федерации, ли...</v>
      </c>
      <c r="G15925" s="22" t="s">
        <v>663</v>
      </c>
      <c r="H15925" s="22" t="s">
        <v>20915</v>
      </c>
      <c r="I15925" s="26">
        <v>43636.691666666702</v>
      </c>
      <c r="J15925" s="23" t="str">
        <f>HYPERLINK("https://www.spark-marketing.ru/Card/Person/6229723", "Крайнова Елена Викторовна")</f>
        <v>Крайнова Елена Викторовна</v>
      </c>
      <c r="K15925" s="24" t="s">
        <v>20916</v>
      </c>
      <c r="L15925" s="22" t="s">
        <v>10</v>
      </c>
      <c r="M15925" s="28" t="s">
        <v>51</v>
      </c>
      <c r="N15925" s="28" t="s">
        <v>51</v>
      </c>
    </row>
    <row r="15926" spans="1:14" x14ac:dyDescent="0.15">
      <c r="A15926" s="23" t="str">
        <f>HYPERLINK("https://www.spark-marketing.ru/Card/Person/9655", "УМВД РОССИИ ПО Г.МАГНИТОГОРСКУ ЧЕЛЯБИНСКОЙ ОБЛАСТИ")</f>
        <v>УМВД РОССИИ ПО Г.МАГНИТОГОРСКУ ЧЕЛЯБИНСКОЙ ОБЛАСТИ</v>
      </c>
      <c r="B15926" s="24" t="s">
        <v>13700</v>
      </c>
      <c r="C15926" s="25">
        <v>805000</v>
      </c>
      <c r="D15926" s="22" t="s">
        <v>20917</v>
      </c>
      <c r="E15926" s="22" t="s">
        <v>48</v>
      </c>
      <c r="F15926" s="23" t="str">
        <f>HYPERLINK("https://www.spark-marketing.ru/Card/Lot/71547933", "Оказание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ч...")</f>
        <v>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</v>
      </c>
      <c r="G15926" s="22" t="s">
        <v>469</v>
      </c>
      <c r="H15926" s="22" t="s">
        <v>470</v>
      </c>
      <c r="I15926" s="26">
        <v>43636.707638888904</v>
      </c>
      <c r="J15926" s="28" t="s">
        <v>51</v>
      </c>
      <c r="K15926" s="28" t="s">
        <v>51</v>
      </c>
      <c r="L15926" s="28" t="s">
        <v>51</v>
      </c>
      <c r="M15926" s="28" t="s">
        <v>51</v>
      </c>
      <c r="N15926" s="28" t="s">
        <v>51</v>
      </c>
    </row>
    <row r="15927" spans="1:14" hidden="1" outlineLevel="1" x14ac:dyDescent="0.2">
      <c r="A15927" s="23" t="str">
        <f>HYPERLINK("https://www.spark-marketing.ru/Card/Person/9655", "УМВД РОССИИ ПО Г.МАГНИТОГОРСКУ ЧЕЛЯБИНСКОЙ ОБЛАСТИ")</f>
        <v>УМВД РОССИИ ПО Г.МАГНИТОГОРСКУ ЧЕЛЯБИНСКОЙ ОБЛАСТИ</v>
      </c>
      <c r="B15927" s="24" t="s">
        <v>13700</v>
      </c>
      <c r="C15927" s="25">
        <v>805000</v>
      </c>
      <c r="D15927" s="22" t="s">
        <v>20917</v>
      </c>
      <c r="E15927" s="22" t="s">
        <v>48</v>
      </c>
      <c r="F15927" s="23" t="str">
        <f>HYPERLINK("https://www.spark-marketing.ru/Card/Lot/71547933", "Оказание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ч...")</f>
        <v>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</v>
      </c>
      <c r="G15927" s="22" t="s">
        <v>469</v>
      </c>
      <c r="H15927" s="22" t="s">
        <v>470</v>
      </c>
      <c r="I15927" s="26">
        <v>43636.707638888904</v>
      </c>
      <c r="J15927" s="23" t="str">
        <f>HYPERLINK("https://www.spark-marketing.ru/Card/Person/4569980", "ООО ""ПАРИТЕТ ПЛЮС""")</f>
        <v>ООО "ПАРИТЕТ ПЛЮС"</v>
      </c>
      <c r="K15927" s="24" t="s">
        <v>13702</v>
      </c>
      <c r="L15927" s="28" t="s">
        <v>51</v>
      </c>
      <c r="M15927" s="25">
        <v>555.54999999999995</v>
      </c>
      <c r="N15927" s="27">
        <v>0.99930987577639752</v>
      </c>
    </row>
    <row r="15928" spans="1:14" hidden="1" outlineLevel="1" x14ac:dyDescent="0.2">
      <c r="A15928" s="23" t="str">
        <f>HYPERLINK("https://www.spark-marketing.ru/Card/Person/9655", "УМВД РОССИИ ПО Г.МАГНИТОГОРСКУ ЧЕЛЯБИНСКОЙ ОБЛАСТИ")</f>
        <v>УМВД РОССИИ ПО Г.МАГНИТОГОРСКУ ЧЕЛЯБИНСКОЙ ОБЛАСТИ</v>
      </c>
      <c r="B15928" s="24" t="s">
        <v>13700</v>
      </c>
      <c r="C15928" s="25">
        <v>805000</v>
      </c>
      <c r="D15928" s="22" t="s">
        <v>20917</v>
      </c>
      <c r="E15928" s="22" t="s">
        <v>48</v>
      </c>
      <c r="F15928" s="23" t="str">
        <f>HYPERLINK("https://www.spark-marketing.ru/Card/Lot/71547933", "Оказание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ч...")</f>
        <v>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</v>
      </c>
      <c r="G15928" s="22" t="s">
        <v>469</v>
      </c>
      <c r="H15928" s="22" t="s">
        <v>470</v>
      </c>
      <c r="I15928" s="26">
        <v>43636.707638888904</v>
      </c>
      <c r="J15928" s="23" t="str">
        <f>HYPERLINK("https://www.spark-marketing.ru/Card/Person/875866", "Середкин Денис Михайлович")</f>
        <v>Середкин Денис Михайлович</v>
      </c>
      <c r="K15928" s="24" t="s">
        <v>20918</v>
      </c>
      <c r="L15928" s="28" t="s">
        <v>51</v>
      </c>
      <c r="M15928" s="25">
        <v>1250.3900000000001</v>
      </c>
      <c r="N15928" s="27">
        <v>0.99844672049689442</v>
      </c>
    </row>
    <row r="15929" spans="1:14" ht="12.75" hidden="1" outlineLevel="1" x14ac:dyDescent="0.2">
      <c r="A15929" s="23" t="str">
        <f>HYPERLINK("https://www.spark-marketing.ru/Card/Person/9655", "УМВД РОССИИ ПО Г.МАГНИТОГОРСКУ ЧЕЛЯБИНСКОЙ ОБЛАСТИ")</f>
        <v>УМВД РОССИИ ПО Г.МАГНИТОГОРСКУ ЧЕЛЯБИНСКОЙ ОБЛАСТИ</v>
      </c>
      <c r="B15929" s="24" t="s">
        <v>13700</v>
      </c>
      <c r="C15929" s="25">
        <v>805000</v>
      </c>
      <c r="D15929" s="22" t="s">
        <v>20917</v>
      </c>
      <c r="E15929" s="22" t="s">
        <v>48</v>
      </c>
      <c r="F15929" s="23" t="str">
        <f>HYPERLINK("https://www.spark-marketing.ru/Card/Lot/71547933", "Оказание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ч...")</f>
        <v>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</v>
      </c>
      <c r="G15929" s="22" t="s">
        <v>469</v>
      </c>
      <c r="H15929" s="22" t="s">
        <v>470</v>
      </c>
      <c r="I15929" s="26">
        <v>43636.707638888904</v>
      </c>
      <c r="J15929" s="23" t="str">
        <f>HYPERLINK("https://www.spark-marketing.ru/Card/Person/890127", "Нагорных Альфия Айратовна")</f>
        <v>Нагорных Альфия Айратовна</v>
      </c>
      <c r="K15929" s="24" t="s">
        <v>20919</v>
      </c>
      <c r="L15929" s="22" t="s">
        <v>10</v>
      </c>
      <c r="M15929" s="25">
        <v>455.55</v>
      </c>
      <c r="N15929" s="27">
        <v>0.99943409937888195</v>
      </c>
    </row>
    <row r="15930" spans="1:14" x14ac:dyDescent="0.15">
      <c r="A15930" s="23" t="str">
        <f>HYPERLINK("https://www.spark-marketing.ru/Card/Person/534093", "МОМВД РОССИИ ""КАСИМОВСКИЙ""")</f>
        <v>МОМВД РОССИИ "КАСИМОВСКИЙ"</v>
      </c>
      <c r="B15930" s="24" t="s">
        <v>20920</v>
      </c>
      <c r="C15930" s="25">
        <v>480000</v>
      </c>
      <c r="D15930" s="22" t="s">
        <v>20921</v>
      </c>
      <c r="E15930" s="22" t="s">
        <v>48</v>
      </c>
      <c r="F15930" s="23" t="str">
        <f>HYPERLINK("https://www.spark-marketing.ru/Card/Lot/71547954", "услуги по организации ежедневного трехразового горячего питания")</f>
        <v>услуги по организации ежедневного трехразового горячего питания</v>
      </c>
      <c r="G15930" s="22" t="s">
        <v>1522</v>
      </c>
      <c r="H15930" s="22" t="s">
        <v>6059</v>
      </c>
      <c r="I15930" s="26">
        <v>43636.654861111099</v>
      </c>
      <c r="J15930" s="23" t="str">
        <f>HYPERLINK("https://www.spark-marketing.ru/Card/Person/6528347", "Шабалин Роман Сергеевич")</f>
        <v>Шабалин Роман Сергеевич</v>
      </c>
      <c r="K15930" s="24" t="s">
        <v>20922</v>
      </c>
      <c r="L15930" s="22" t="s">
        <v>10</v>
      </c>
      <c r="M15930" s="28" t="s">
        <v>51</v>
      </c>
      <c r="N15930" s="28" t="s">
        <v>51</v>
      </c>
    </row>
    <row r="15931" spans="1:14" x14ac:dyDescent="0.15">
      <c r="A15931" s="23" t="str">
        <f>HYPERLINK("https://www.spark-marketing.ru/Card/Person/27856", "ГУ - КАЛИНИНГРАДСКОЕ РО ФОНДА СОЦИАЛЬНОГО СТРАХОВАНИЯ РОССИЙСКОЙ ФЕДЕРАЦИИ")</f>
        <v>ГУ - КАЛИНИНГРАДСКОЕ РО ФОНДА СОЦИАЛЬНОГО СТРАХОВАНИЯ РОССИЙСКОЙ ФЕДЕРАЦИИ</v>
      </c>
      <c r="B15931" s="24" t="s">
        <v>10131</v>
      </c>
      <c r="C15931" s="25">
        <v>524034</v>
      </c>
      <c r="D15931" s="22" t="s">
        <v>20923</v>
      </c>
      <c r="E15931" s="22" t="s">
        <v>86</v>
      </c>
      <c r="F15931" s="23" t="str">
        <f>HYPERLINK("https://www.spark-marketing.ru/Card/Lot/71547817", "Оказание услуг по санаторно-курортному лечению отдельных категорий граждан (дети-инвалиды) по болезни эндокринной системы, расстройства питания и нарушения обмена веществ")</f>
        <v>Оказание услуг по санаторно-курортному лечению отдельных категорий граждан (дети-инвалиды) по болезни эндокринной системы, расстройства питания и нарушения обмена веществ</v>
      </c>
      <c r="G15931" s="22" t="s">
        <v>400</v>
      </c>
      <c r="H15931" s="22" t="s">
        <v>401</v>
      </c>
      <c r="I15931" s="26">
        <v>43636.640277777798</v>
      </c>
      <c r="J15931" s="28" t="s">
        <v>51</v>
      </c>
      <c r="K15931" s="28" t="s">
        <v>51</v>
      </c>
      <c r="L15931" s="28" t="s">
        <v>51</v>
      </c>
      <c r="M15931" s="28" t="s">
        <v>51</v>
      </c>
      <c r="N15931" s="28" t="s">
        <v>51</v>
      </c>
    </row>
    <row r="15932" spans="1:14" x14ac:dyDescent="0.15">
      <c r="A15932" s="23" t="str">
        <f>HYPERLINK("https://www.spark-marketing.ru/Card/Person/534093", "МОМВД РОССИИ ""КАСИМОВСКИЙ""")</f>
        <v>МОМВД РОССИИ "КАСИМОВСКИЙ"</v>
      </c>
      <c r="B15932" s="24" t="s">
        <v>20920</v>
      </c>
      <c r="C15932" s="25">
        <v>480000</v>
      </c>
      <c r="D15932" s="22" t="s">
        <v>20924</v>
      </c>
      <c r="E15932" s="22" t="s">
        <v>48</v>
      </c>
      <c r="F15932" s="23" t="str">
        <f>HYPERLINK("https://www.spark-marketing.ru/Card/Lot/71547955", "услуги по организации ежедневного трехразового горячего питания")</f>
        <v>услуги по организации ежедневного трехразового горячего питания</v>
      </c>
      <c r="G15932" s="22" t="s">
        <v>1522</v>
      </c>
      <c r="H15932" s="22" t="s">
        <v>6059</v>
      </c>
      <c r="I15932" s="26">
        <v>43636.650694444397</v>
      </c>
      <c r="J15932" s="23" t="str">
        <f>HYPERLINK("https://www.spark-marketing.ru/Card/Person/6528347", "Шабалин Роман Сергеевич")</f>
        <v>Шабалин Роман Сергеевич</v>
      </c>
      <c r="K15932" s="24" t="s">
        <v>20922</v>
      </c>
      <c r="L15932" s="22" t="s">
        <v>10</v>
      </c>
      <c r="M15932" s="28" t="s">
        <v>51</v>
      </c>
      <c r="N15932" s="28" t="s">
        <v>51</v>
      </c>
    </row>
    <row r="15933" spans="1:14" x14ac:dyDescent="0.15">
      <c r="A15933" s="23" t="str">
        <f>HYPERLINK("https://www.spark-marketing.ru/Card/Person/531416", "ОМВД РОССИИ ПО Г. ДОНСКОМУ")</f>
        <v>ОМВД РОССИИ ПО Г. ДОНСКОМУ</v>
      </c>
      <c r="B15933" s="24" t="s">
        <v>3331</v>
      </c>
      <c r="C15933" s="25">
        <v>53000</v>
      </c>
      <c r="D15933" s="22" t="s">
        <v>20925</v>
      </c>
      <c r="E15933" s="22" t="s">
        <v>96</v>
      </c>
      <c r="F15933" s="23" t="str">
        <f>HYPERLINK("https://www.spark-marketing.ru/Card/Lot/71536336", "Оказание услуг по организации питания (приготовлению и доставке), 212 шт")</f>
        <v>Оказание услуг по организации питания (приготовлению и доставке), 212 шт</v>
      </c>
      <c r="G15933" s="22" t="s">
        <v>68</v>
      </c>
      <c r="H15933" s="22" t="s">
        <v>682</v>
      </c>
      <c r="I15933" s="26">
        <v>43636.643506944398</v>
      </c>
      <c r="J15933" s="28" t="s">
        <v>51</v>
      </c>
      <c r="K15933" s="28" t="s">
        <v>51</v>
      </c>
      <c r="L15933" s="28" t="s">
        <v>51</v>
      </c>
      <c r="M15933" s="28" t="s">
        <v>51</v>
      </c>
      <c r="N15933" s="28" t="s">
        <v>51</v>
      </c>
    </row>
    <row r="15934" spans="1:14" x14ac:dyDescent="0.15">
      <c r="A15934" s="23" t="str">
        <f>HYPERLINK("https://www.spark-marketing.ru/Card/Person/9655", "УМВД РОССИИ ПО Г.МАГНИТОГОРСКУ ЧЕЛЯБИНСКОЙ ОБЛАСТИ")</f>
        <v>УМВД РОССИИ ПО Г.МАГНИТОГОРСКУ ЧЕЛЯБИНСКОЙ ОБЛАСТИ</v>
      </c>
      <c r="B15934" s="24" t="s">
        <v>13700</v>
      </c>
      <c r="C15934" s="25">
        <v>1300000</v>
      </c>
      <c r="D15934" s="22" t="s">
        <v>20926</v>
      </c>
      <c r="E15934" s="22" t="s">
        <v>48</v>
      </c>
      <c r="F15934" s="23" t="str">
        <f>HYPERLINK("https://www.spark-marketing.ru/Card/Lot/71540069", "Оказание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Челябин...")</f>
        <v>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</v>
      </c>
      <c r="G15934" s="22" t="s">
        <v>469</v>
      </c>
      <c r="H15934" s="22" t="s">
        <v>470</v>
      </c>
      <c r="I15934" s="26">
        <v>43636.664583333302</v>
      </c>
      <c r="J15934" s="28" t="s">
        <v>51</v>
      </c>
      <c r="K15934" s="28" t="s">
        <v>51</v>
      </c>
      <c r="L15934" s="28" t="s">
        <v>51</v>
      </c>
      <c r="M15934" s="28" t="s">
        <v>51</v>
      </c>
      <c r="N15934" s="28" t="s">
        <v>51</v>
      </c>
    </row>
    <row r="15935" spans="1:14" hidden="1" outlineLevel="1" x14ac:dyDescent="0.2">
      <c r="A15935" s="23" t="str">
        <f>HYPERLINK("https://www.spark-marketing.ru/Card/Person/9655", "УМВД РОССИИ ПО Г.МАГНИТОГОРСКУ ЧЕЛЯБИНСКОЙ ОБЛАСТИ")</f>
        <v>УМВД РОССИИ ПО Г.МАГНИТОГОРСКУ ЧЕЛЯБИНСКОЙ ОБЛАСТИ</v>
      </c>
      <c r="B15935" s="24" t="s">
        <v>13700</v>
      </c>
      <c r="C15935" s="25">
        <v>1300000</v>
      </c>
      <c r="D15935" s="22" t="s">
        <v>20926</v>
      </c>
      <c r="E15935" s="22" t="s">
        <v>48</v>
      </c>
      <c r="F15935" s="23" t="str">
        <f>HYPERLINK("https://www.spark-marketing.ru/Card/Lot/71540069", "Оказание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Челябин...")</f>
        <v>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</v>
      </c>
      <c r="G15935" s="22" t="s">
        <v>469</v>
      </c>
      <c r="H15935" s="22" t="s">
        <v>470</v>
      </c>
      <c r="I15935" s="26">
        <v>43636.664583333302</v>
      </c>
      <c r="J15935" s="23" t="str">
        <f>HYPERLINK("https://www.spark-marketing.ru/Card/Person/4569980", "ООО ""ПАРИТЕТ ПЛЮС""")</f>
        <v>ООО "ПАРИТЕТ ПЛЮС"</v>
      </c>
      <c r="K15935" s="24" t="s">
        <v>13702</v>
      </c>
      <c r="L15935" s="28" t="s">
        <v>51</v>
      </c>
      <c r="M15935" s="25">
        <v>287.22000000000003</v>
      </c>
      <c r="N15935" s="27">
        <v>0.99977906153846152</v>
      </c>
    </row>
    <row r="15936" spans="1:14" hidden="1" outlineLevel="1" x14ac:dyDescent="0.2">
      <c r="A15936" s="23" t="str">
        <f>HYPERLINK("https://www.spark-marketing.ru/Card/Person/9655", "УМВД РОССИИ ПО Г.МАГНИТОГОРСКУ ЧЕЛЯБИНСКОЙ ОБЛАСТИ")</f>
        <v>УМВД РОССИИ ПО Г.МАГНИТОГОРСКУ ЧЕЛЯБИНСКОЙ ОБЛАСТИ</v>
      </c>
      <c r="B15936" s="24" t="s">
        <v>13700</v>
      </c>
      <c r="C15936" s="25">
        <v>1300000</v>
      </c>
      <c r="D15936" s="22" t="s">
        <v>20926</v>
      </c>
      <c r="E15936" s="22" t="s">
        <v>48</v>
      </c>
      <c r="F15936" s="23" t="str">
        <f>HYPERLINK("https://www.spark-marketing.ru/Card/Lot/71540069", "Оказание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Челябин...")</f>
        <v>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</v>
      </c>
      <c r="G15936" s="22" t="s">
        <v>469</v>
      </c>
      <c r="H15936" s="22" t="s">
        <v>470</v>
      </c>
      <c r="I15936" s="26">
        <v>43636.664583333302</v>
      </c>
      <c r="J15936" s="23" t="str">
        <f>HYPERLINK("https://www.spark-marketing.ru/Card/Person/875866", "Середкин Денис Михайлович")</f>
        <v>Середкин Денис Михайлович</v>
      </c>
      <c r="K15936" s="24" t="s">
        <v>20918</v>
      </c>
      <c r="L15936" s="28" t="s">
        <v>51</v>
      </c>
      <c r="M15936" s="25">
        <v>487.22</v>
      </c>
      <c r="N15936" s="27">
        <v>0.99962521538461535</v>
      </c>
    </row>
    <row r="15937" spans="1:14" ht="12.75" hidden="1" outlineLevel="1" x14ac:dyDescent="0.2">
      <c r="A15937" s="23" t="str">
        <f>HYPERLINK("https://www.spark-marketing.ru/Card/Person/9655", "УМВД РОССИИ ПО Г.МАГНИТОГОРСКУ ЧЕЛЯБИНСКОЙ ОБЛАСТИ")</f>
        <v>УМВД РОССИИ ПО Г.МАГНИТОГОРСКУ ЧЕЛЯБИНСКОЙ ОБЛАСТИ</v>
      </c>
      <c r="B15937" s="24" t="s">
        <v>13700</v>
      </c>
      <c r="C15937" s="25">
        <v>1300000</v>
      </c>
      <c r="D15937" s="22" t="s">
        <v>20926</v>
      </c>
      <c r="E15937" s="22" t="s">
        <v>48</v>
      </c>
      <c r="F15937" s="23" t="str">
        <f>HYPERLINK("https://www.spark-marketing.ru/Card/Lot/71540069", "Оказание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Челябин...")</f>
        <v>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</v>
      </c>
      <c r="G15937" s="22" t="s">
        <v>469</v>
      </c>
      <c r="H15937" s="22" t="s">
        <v>470</v>
      </c>
      <c r="I15937" s="26">
        <v>43636.664583333302</v>
      </c>
      <c r="J15937" s="23" t="str">
        <f>HYPERLINK("https://www.spark-marketing.ru/Card/Person/890127", "Нагорных Альфия Айратовна")</f>
        <v>Нагорных Альфия Айратовна</v>
      </c>
      <c r="K15937" s="24" t="s">
        <v>20919</v>
      </c>
      <c r="L15937" s="22" t="s">
        <v>10</v>
      </c>
      <c r="M15937" s="25">
        <v>187.22</v>
      </c>
      <c r="N15937" s="27">
        <v>0.99985598461538461</v>
      </c>
    </row>
    <row r="15938" spans="1:14" x14ac:dyDescent="0.15">
      <c r="A15938" s="23" t="str">
        <f>HYPERLINK("https://www.spark-marketing.ru/Card/Person/3534", "ГУ-МАГАДАНСКОЕ РО ФОНДА СОЦИАЛЬНОГО СТРАХОВАНИЯ РОССИЙСКОЙ ФЕДЕРАЦИИ")</f>
        <v>ГУ-МАГАДАНСКОЕ РО ФОНДА СОЦИАЛЬНОГО СТРАХОВАНИЯ РОССИЙСКОЙ ФЕДЕРАЦИИ</v>
      </c>
      <c r="B15938" s="24" t="s">
        <v>17954</v>
      </c>
      <c r="C15938" s="25">
        <v>314420.40000000002</v>
      </c>
      <c r="D15938" s="22" t="s">
        <v>20927</v>
      </c>
      <c r="E15938" s="22" t="s">
        <v>86</v>
      </c>
      <c r="F15938" s="23" t="str">
        <f>HYPERLINK("https://www.spark-marketing.ru/Card/Lot/71519299", "Оказание услуг санаторно-курортного лечения гражданам, получающим набор социальных услуг в организациях, оказывающих санаторно-курортные услуги")</f>
        <v>Оказание услуг санаторно-курортного лечения гражданам, получающим набор социальных услуг в организациях, оказывающих санаторно-курортные услуги</v>
      </c>
      <c r="G15938" s="22" t="s">
        <v>548</v>
      </c>
      <c r="H15938" s="22" t="s">
        <v>748</v>
      </c>
      <c r="I15938" s="26">
        <v>43636.633333333302</v>
      </c>
      <c r="J15938" s="23" t="str">
        <f>HYPERLINK("https://www.spark-marketing.ru/Card/Person/19229", "ФГБУ СКФНКЦ ФМБА РОССИИ")</f>
        <v>ФГБУ СКФНКЦ ФМБА РОССИИ</v>
      </c>
      <c r="K15938" s="24" t="s">
        <v>20928</v>
      </c>
      <c r="L15938" s="22" t="s">
        <v>10</v>
      </c>
      <c r="M15938" s="28" t="s">
        <v>51</v>
      </c>
      <c r="N15938" s="28" t="s">
        <v>51</v>
      </c>
    </row>
    <row r="15939" spans="1:14" x14ac:dyDescent="0.15">
      <c r="A15939" s="23" t="str">
        <f>HYPERLINK("https://www.spark-marketing.ru/Card/Person/54087", "МБОУ ЛИЦЕЙ №38 Г.СТАВРОПОЛЯ")</f>
        <v>МБОУ ЛИЦЕЙ №38 Г.СТАВРОПОЛЯ</v>
      </c>
      <c r="B15939" s="24" t="s">
        <v>20929</v>
      </c>
      <c r="C15939" s="25">
        <v>827760</v>
      </c>
      <c r="D15939" s="22" t="s">
        <v>20930</v>
      </c>
      <c r="E15939" s="22" t="s">
        <v>48</v>
      </c>
      <c r="F15939" s="23" t="str">
        <f>HYPERLINK("https://www.spark-marketing.ru/Card/Lot/71547670", "Услуги по организации питания учащихся МБОУ лицея № 38 г. Ставрополя в сентябре-декабре 2019 года")</f>
        <v>Услуги по организации питания учащихся МБОУ лицея № 38 г. Ставрополя в сентябре-декабре 2019 года</v>
      </c>
      <c r="G15939" s="22" t="s">
        <v>87</v>
      </c>
      <c r="H15939" s="22" t="s">
        <v>87</v>
      </c>
      <c r="I15939" s="26">
        <v>43636.629166666702</v>
      </c>
      <c r="J15939" s="23" t="str">
        <f>HYPERLINK("https://www.spark-marketing.ru/Card/Person/213142", "Звягина Надежда Ильинична")</f>
        <v>Звягина Надежда Ильинична</v>
      </c>
      <c r="K15939" s="24" t="s">
        <v>12311</v>
      </c>
      <c r="L15939" s="22" t="s">
        <v>10</v>
      </c>
      <c r="M15939" s="28" t="s">
        <v>51</v>
      </c>
      <c r="N15939" s="28" t="s">
        <v>51</v>
      </c>
    </row>
    <row r="15940" spans="1:14" x14ac:dyDescent="0.15">
      <c r="A15940" s="23" t="str">
        <f>HYPERLINK("https://www.spark-marketing.ru/Card/Person/2116446", "ГАПОУ ""ПККИ""")</f>
        <v>ГАПОУ "ПККИ"</v>
      </c>
      <c r="B15940" s="24" t="s">
        <v>20931</v>
      </c>
      <c r="C15940" s="25">
        <v>248400</v>
      </c>
      <c r="D15940" s="22" t="s">
        <v>20932</v>
      </c>
      <c r="E15940" s="22" t="s">
        <v>580</v>
      </c>
      <c r="F15940" s="23" t="str">
        <f>HYPERLINK("https://www.spark-marketing.ru/Card/Lot/71520262", "Услуги по предоставлению питания для детей и преподавателей в период проведения Летней творческой школы для детей и преподавателей Приморского края «Вверх по ступеням мастерства» (ЛТШ)")</f>
        <v>Услуги по предоставлению питания для детей и преподавателей в период проведения Летней творческой школы для детей и преподавателей Приморского края «Вверх по ступеням мастерства» (ЛТШ)</v>
      </c>
      <c r="G15940" s="22" t="s">
        <v>543</v>
      </c>
      <c r="H15940" s="22" t="s">
        <v>543</v>
      </c>
      <c r="I15940" s="26">
        <v>43636.637106481503</v>
      </c>
      <c r="J15940" s="28" t="s">
        <v>51</v>
      </c>
      <c r="K15940" s="28" t="s">
        <v>51</v>
      </c>
      <c r="L15940" s="28" t="s">
        <v>51</v>
      </c>
      <c r="M15940" s="28" t="s">
        <v>51</v>
      </c>
      <c r="N15940" s="28" t="s">
        <v>51</v>
      </c>
    </row>
    <row r="15941" spans="1:14" x14ac:dyDescent="0.15">
      <c r="A15941" s="23" t="str">
        <f>HYPERLINK("https://www.spark-marketing.ru/Card/Person/22806", "МБОУ СОШ №19 Г. СТАВРОПОЛЯ")</f>
        <v>МБОУ СОШ №19 Г. СТАВРОПОЛЯ</v>
      </c>
      <c r="B15941" s="24" t="s">
        <v>20933</v>
      </c>
      <c r="C15941" s="25">
        <v>471120</v>
      </c>
      <c r="D15941" s="22" t="s">
        <v>20934</v>
      </c>
      <c r="E15941" s="22" t="s">
        <v>48</v>
      </c>
      <c r="F15941" s="23" t="str">
        <f>HYPERLINK("https://www.spark-marketing.ru/Card/Lot/71547628", "Услуги по организации питания учащихся МБОУ СОШ № 19 г. Ставрополя в сентябре-декабре 2019 года")</f>
        <v>Услуги по организации питания учащихся МБОУ СОШ № 19 г. Ставрополя в сентябре-декабре 2019 года</v>
      </c>
      <c r="G15941" s="22" t="s">
        <v>87</v>
      </c>
      <c r="H15941" s="22" t="s">
        <v>87</v>
      </c>
      <c r="I15941" s="26">
        <v>43636.651388888902</v>
      </c>
      <c r="J15941" s="23" t="str">
        <f>HYPERLINK("https://www.spark-marketing.ru/Card/Person/217327", "Карпачев Валерий Борисович")</f>
        <v>Карпачев Валерий Борисович</v>
      </c>
      <c r="K15941" s="24" t="s">
        <v>19656</v>
      </c>
      <c r="L15941" s="22" t="s">
        <v>10</v>
      </c>
      <c r="M15941" s="28" t="s">
        <v>51</v>
      </c>
      <c r="N15941" s="28" t="s">
        <v>51</v>
      </c>
    </row>
    <row r="15942" spans="1:14" ht="12.75" x14ac:dyDescent="0.2">
      <c r="A15942" s="23" t="str">
        <f>HYPERLINK("https://www.spark-marketing.ru/Card/Person/1045567", "ОБЛКОМТЕРПОЛИТИКИ")</f>
        <v>ОБЛКОМТЕРПОЛИТИКИ</v>
      </c>
      <c r="B15942" s="24" t="s">
        <v>20935</v>
      </c>
      <c r="C15942" s="25">
        <v>278500</v>
      </c>
      <c r="D15942" s="22" t="s">
        <v>20936</v>
      </c>
      <c r="E15942" s="22" t="s">
        <v>96</v>
      </c>
      <c r="F15942" s="23" t="str">
        <f>HYPERLINK("https://www.spark-marketing.ru/Card/Lot/71537477", "Оказание услуг по организации питания и обслуживания мероприятий")</f>
        <v>Оказание услуг по организации питания и обслуживания мероприятий</v>
      </c>
      <c r="G15942" s="22" t="s">
        <v>158</v>
      </c>
      <c r="H15942" s="22" t="s">
        <v>171</v>
      </c>
      <c r="I15942" s="26">
        <v>43636.635416666701</v>
      </c>
      <c r="J15942" s="23" t="str">
        <f>HYPERLINK("https://www.spark-marketing.ru/Card/Person/6472054", "ООО ""ЯСЕНЬ""")</f>
        <v>ООО "ЯСЕНЬ"</v>
      </c>
      <c r="K15942" s="24" t="s">
        <v>20937</v>
      </c>
      <c r="L15942" s="22" t="s">
        <v>10</v>
      </c>
      <c r="M15942" s="25">
        <v>278500</v>
      </c>
      <c r="N15942" s="27">
        <v>0</v>
      </c>
    </row>
    <row r="15943" spans="1:14" x14ac:dyDescent="0.15">
      <c r="A15943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5943" s="24" t="s">
        <v>3991</v>
      </c>
      <c r="C15943" s="25">
        <v>1450000</v>
      </c>
      <c r="D15943" s="22" t="s">
        <v>20938</v>
      </c>
      <c r="E15943" s="22" t="s">
        <v>48</v>
      </c>
      <c r="F15943" s="23" t="str">
        <f>HYPERLINK("https://www.spark-marketing.ru/Card/Lot/71528551", "Оказание услуг по организации готового трехразового горячего питания лиц, содержащихся в изоляторе временного содержания Межмуниципального отдела МВД России «Назаровский»")</f>
        <v>Оказание услуг по организации готового трехразового горячего питания лиц, содержащихся в изоляторе временного содержания Межмуниципального отдела МВД России «Назаровский»</v>
      </c>
      <c r="G15943" s="22" t="s">
        <v>281</v>
      </c>
      <c r="H15943" s="22" t="s">
        <v>1643</v>
      </c>
      <c r="I15943" s="26">
        <v>43636.647916666698</v>
      </c>
      <c r="J15943" s="28" t="s">
        <v>51</v>
      </c>
      <c r="K15943" s="28" t="s">
        <v>51</v>
      </c>
      <c r="L15943" s="28" t="s">
        <v>51</v>
      </c>
      <c r="M15943" s="28" t="s">
        <v>51</v>
      </c>
      <c r="N15943" s="28" t="s">
        <v>51</v>
      </c>
    </row>
    <row r="15944" spans="1:14" ht="12.75" hidden="1" outlineLevel="1" x14ac:dyDescent="0.2">
      <c r="A15944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5944" s="24" t="s">
        <v>3991</v>
      </c>
      <c r="C15944" s="25">
        <v>1450000</v>
      </c>
      <c r="D15944" s="22" t="s">
        <v>20938</v>
      </c>
      <c r="E15944" s="22" t="s">
        <v>48</v>
      </c>
      <c r="F15944" s="23" t="str">
        <f>HYPERLINK("https://www.spark-marketing.ru/Card/Lot/71528551", "Оказание услуг по организации готового трехразового горячего питания лиц, содержащихся в изоляторе временного содержания Межмуниципального отдела МВД России «Назаровский»")</f>
        <v>Оказание услуг по организации готового трехразового горячего питания лиц, содержащихся в изоляторе временного содержания Межмуниципального отдела МВД России «Назаровский»</v>
      </c>
      <c r="G15944" s="22" t="s">
        <v>281</v>
      </c>
      <c r="H15944" s="22" t="s">
        <v>1643</v>
      </c>
      <c r="I15944" s="26">
        <v>43636.647916666698</v>
      </c>
      <c r="J15944" s="23" t="str">
        <f>HYPERLINK("https://www.spark-marketing.ru/Card/Person/6624359", "Соболев Дмитрий Юрьевич")</f>
        <v>Соболев Дмитрий Юрьевич</v>
      </c>
      <c r="K15944" s="24" t="s">
        <v>15736</v>
      </c>
      <c r="L15944" s="22" t="s">
        <v>10</v>
      </c>
      <c r="M15944" s="25">
        <v>1156500</v>
      </c>
      <c r="N15944" s="27">
        <v>0.20241379310344829</v>
      </c>
    </row>
    <row r="15945" spans="1:14" hidden="1" outlineLevel="1" x14ac:dyDescent="0.2">
      <c r="A15945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5945" s="24" t="s">
        <v>3991</v>
      </c>
      <c r="C15945" s="25">
        <v>1450000</v>
      </c>
      <c r="D15945" s="22" t="s">
        <v>20938</v>
      </c>
      <c r="E15945" s="22" t="s">
        <v>48</v>
      </c>
      <c r="F15945" s="23" t="str">
        <f>HYPERLINK("https://www.spark-marketing.ru/Card/Lot/71528551", "Оказание услуг по организации готового трехразового горячего питания лиц, содержащихся в изоляторе временного содержания Межмуниципального отдела МВД России «Назаровский»")</f>
        <v>Оказание услуг по организации готового трехразового горячего питания лиц, содержащихся в изоляторе временного содержания Межмуниципального отдела МВД России «Назаровский»</v>
      </c>
      <c r="G15945" s="22" t="s">
        <v>281</v>
      </c>
      <c r="H15945" s="22" t="s">
        <v>1643</v>
      </c>
      <c r="I15945" s="26">
        <v>43636.647916666698</v>
      </c>
      <c r="J15945" s="23" t="str">
        <f>HYPERLINK("https://www.spark-marketing.ru/Card/Person/455087", "Шадрина Ирина Степановна")</f>
        <v>Шадрина Ирина Степановна</v>
      </c>
      <c r="K15945" s="24" t="s">
        <v>15735</v>
      </c>
      <c r="L15945" s="28" t="s">
        <v>51</v>
      </c>
      <c r="M15945" s="25">
        <v>1163750</v>
      </c>
      <c r="N15945" s="27">
        <v>0.19741379310344828</v>
      </c>
    </row>
    <row r="15946" spans="1:14" ht="12.75" x14ac:dyDescent="0.2">
      <c r="A15946" s="23" t="str">
        <f>HYPERLINK("https://www.spark-marketing.ru/Card/Person/26481", "ГБУЗ КО ТАШТАГОЛЬСКАЯ РБ")</f>
        <v>ГБУЗ КО ТАШТАГОЛЬСКАЯ РБ</v>
      </c>
      <c r="B15946" s="24" t="s">
        <v>5838</v>
      </c>
      <c r="C15946" s="25">
        <v>500000</v>
      </c>
      <c r="D15946" s="22" t="s">
        <v>20939</v>
      </c>
      <c r="E15946" s="22" t="s">
        <v>86</v>
      </c>
      <c r="F15946" s="23" t="str">
        <f>HYPERLINK("https://www.spark-marketing.ru/Card/Lot/71527199", "Услуги по обеспечению лекарственными препаратами, изделиями медицинского назначения и специализированными продуктами лечебного питания для детей-инвалидов отдельных категорий граждан (Бюджет)")</f>
        <v>Услуги по обеспечению лекарственными препаратами, изделиями медицинского назначения и специализированными продуктами лечебного питания для детей-инвалидов отдельных категорий граждан (Бюджет)</v>
      </c>
      <c r="G15946" s="22" t="s">
        <v>304</v>
      </c>
      <c r="H15946" s="22" t="s">
        <v>304</v>
      </c>
      <c r="I15946" s="26">
        <v>43636.631249999999</v>
      </c>
      <c r="J15946" s="23" t="str">
        <f>HYPERLINK("https://www.spark-marketing.ru/Card/Person/626991", "МП ""ФАРМАЦИЯ""")</f>
        <v>МП "ФАРМАЦИЯ"</v>
      </c>
      <c r="K15946" s="24" t="s">
        <v>5841</v>
      </c>
      <c r="L15946" s="22" t="s">
        <v>10</v>
      </c>
      <c r="M15946" s="25">
        <v>500000</v>
      </c>
      <c r="N15946" s="27">
        <v>0</v>
      </c>
    </row>
    <row r="15947" spans="1:14" x14ac:dyDescent="0.15">
      <c r="A15947" s="23" t="str">
        <f>HYPERLINK("https://www.spark-marketing.ru/Card/Person/43147", "АО ""УДМУРТАВТОДОР""")</f>
        <v>АО "УДМУРТАВТОДОР"</v>
      </c>
      <c r="B15947" s="24" t="s">
        <v>20940</v>
      </c>
      <c r="C15947" s="25">
        <v>500000</v>
      </c>
      <c r="D15947" s="22" t="s">
        <v>20941</v>
      </c>
      <c r="E15947" s="22" t="s">
        <v>20942</v>
      </c>
      <c r="F15947" s="23" t="str">
        <f>HYPERLINK("https://www.spark-marketing.ru/Card/Lot/71533860", "услуги по организации горячего питания на объектах строительства")</f>
        <v>услуги по организации горячего питания на объектах строительства</v>
      </c>
      <c r="G15947" s="22" t="s">
        <v>852</v>
      </c>
      <c r="H15947" s="22" t="s">
        <v>2477</v>
      </c>
      <c r="I15947" s="26">
        <v>43636.640555555598</v>
      </c>
      <c r="J15947" s="28" t="s">
        <v>51</v>
      </c>
      <c r="K15947" s="28" t="s">
        <v>51</v>
      </c>
      <c r="L15947" s="28" t="s">
        <v>51</v>
      </c>
      <c r="M15947" s="28" t="s">
        <v>51</v>
      </c>
      <c r="N15947" s="28" t="s">
        <v>51</v>
      </c>
    </row>
    <row r="15948" spans="1:14" x14ac:dyDescent="0.15">
      <c r="A15948" s="23" t="str">
        <f>HYPERLINK("https://www.spark-marketing.ru/Card/Person/143510", "МЕЖМУНИЦИПАЛЬНЫЙ ОТДЕЛ МВД РОССИИ ""ЛЕНИНСК-КУЗНЕЦКИЙ""")</f>
        <v>МЕЖМУНИЦИПАЛЬНЫЙ ОТДЕЛ МВД РОССИИ "ЛЕНИНСК-КУЗНЕЦКИЙ"</v>
      </c>
      <c r="B15948" s="24" t="s">
        <v>2751</v>
      </c>
      <c r="C15948" s="25">
        <v>1215000</v>
      </c>
      <c r="D15948" s="22" t="s">
        <v>20943</v>
      </c>
      <c r="E15948" s="22" t="s">
        <v>48</v>
      </c>
      <c r="F15948" s="23" t="str">
        <f>HYPERLINK("https://www.spark-marketing.ru/Card/Lot/71539948", "Оказание услуг по организации ежедневного горячего питания для подозреваемых и обвиняемых в совершении преступлений лиц, арестованных в административном порядке, содержащихся в изоляторе временного содержания и в специальном помещение для содержания ...")</f>
        <v>Оказание услуг по организации ежедневного горячего питания для подозреваемых и обвиняемых в совершении преступлений лиц, арестованных в административном порядке, содержащихся в изоляторе временного содержания и в специальном помещение для содержания ...</v>
      </c>
      <c r="G15948" s="22" t="s">
        <v>304</v>
      </c>
      <c r="H15948" s="22" t="s">
        <v>9375</v>
      </c>
      <c r="I15948" s="26">
        <v>43636.661805555603</v>
      </c>
      <c r="J15948" s="23" t="str">
        <f>HYPERLINK("https://www.spark-marketing.ru/Card/Person/153415", "Пригаров Денис Владимирович")</f>
        <v>Пригаров Денис Владимирович</v>
      </c>
      <c r="K15948" s="24" t="s">
        <v>2754</v>
      </c>
      <c r="L15948" s="22" t="s">
        <v>10</v>
      </c>
      <c r="M15948" s="28" t="s">
        <v>51</v>
      </c>
      <c r="N15948" s="28" t="s">
        <v>51</v>
      </c>
    </row>
    <row r="15949" spans="1:14" x14ac:dyDescent="0.2">
      <c r="A15949" s="23" t="str">
        <f>HYPERLINK("https://www.spark-marketing.ru/Card/Person/14306", "ИХБФМ СО РАН")</f>
        <v>ИХБФМ СО РАН</v>
      </c>
      <c r="B15949" s="24" t="s">
        <v>20944</v>
      </c>
      <c r="C15949" s="25">
        <v>612260</v>
      </c>
      <c r="D15949" s="22" t="s">
        <v>20945</v>
      </c>
      <c r="E15949" s="22" t="s">
        <v>580</v>
      </c>
      <c r="F15949" s="23" t="str">
        <f>HYPERLINK("https://www.spark-marketing.ru/Card/Lot/71529467", "Оказание услуг по организации питания в рамках конференции")</f>
        <v>Оказание услуг по организации питания в рамках конференции</v>
      </c>
      <c r="G15949" s="22" t="s">
        <v>195</v>
      </c>
      <c r="H15949" s="22" t="s">
        <v>195</v>
      </c>
      <c r="I15949" s="26">
        <v>43636.625300925902</v>
      </c>
      <c r="J15949" s="23" t="str">
        <f>HYPERLINK("https://www.spark-marketing.ru/Card/Person/71769", "ДУ СО РАН")</f>
        <v>ДУ СО РАН</v>
      </c>
      <c r="K15949" s="24" t="s">
        <v>20946</v>
      </c>
      <c r="L15949" s="28" t="s">
        <v>51</v>
      </c>
      <c r="M15949" s="25">
        <v>612260</v>
      </c>
      <c r="N15949" s="27">
        <v>0</v>
      </c>
    </row>
    <row r="15950" spans="1:14" x14ac:dyDescent="0.2">
      <c r="A15950" s="23" t="str">
        <f>HYPERLINK("https://www.spark-marketing.ru/Card/Person/811044", "ГАУ СО ""УРФА""")</f>
        <v>ГАУ СО "УРФА"</v>
      </c>
      <c r="B15950" s="24" t="s">
        <v>6460</v>
      </c>
      <c r="C15950" s="25">
        <v>273500</v>
      </c>
      <c r="D15950" s="22" t="s">
        <v>20947</v>
      </c>
      <c r="E15950" s="22" t="s">
        <v>6505</v>
      </c>
      <c r="F15950" s="23" t="str">
        <f>HYPERLINK("https://www.spark-marketing.ru/Card/Lot/71531104", "Оказание услуг по организации проживания и питания футбольной команды в период проведения соревнований по футболу")</f>
        <v>Оказание услуг по организации проживания и питания футбольной команды в период проведения соревнований по футболу</v>
      </c>
      <c r="G15950" s="22" t="s">
        <v>469</v>
      </c>
      <c r="H15950" s="22" t="s">
        <v>469</v>
      </c>
      <c r="I15950" s="26">
        <v>43636.637175925898</v>
      </c>
      <c r="J15950" s="23" t="str">
        <f>HYPERLINK("https://www.spark-marketing.ru/Card/Person/6619796", "ООО ""ГИК""")</f>
        <v>ООО "ГИК"</v>
      </c>
      <c r="K15950" s="24" t="s">
        <v>20948</v>
      </c>
      <c r="L15950" s="28" t="s">
        <v>51</v>
      </c>
      <c r="M15950" s="25">
        <v>273500</v>
      </c>
      <c r="N15950" s="27">
        <v>0</v>
      </c>
    </row>
    <row r="15951" spans="1:14" x14ac:dyDescent="0.15">
      <c r="A15951" s="23" t="str">
        <f t="shared" ref="A15951:A15958" si="546">HYPERLINK("https://www.spark-marketing.ru/Card/Person/9655", "УМВД РОССИИ ПО Г.МАГНИТОГОРСКУ ЧЕЛЯБИНСКОЙ ОБЛАСТИ")</f>
        <v>УМВД РОССИИ ПО Г.МАГНИТОГОРСКУ ЧЕЛЯБИНСКОЙ ОБЛАСТИ</v>
      </c>
      <c r="B15951" s="24" t="s">
        <v>13700</v>
      </c>
      <c r="C15951" s="25">
        <v>805000</v>
      </c>
      <c r="D15951" s="22" t="s">
        <v>20949</v>
      </c>
      <c r="E15951" s="22" t="s">
        <v>48</v>
      </c>
      <c r="F15951" s="23" t="str">
        <f>HYPERLINK("https://www.spark-marketing.ru/Card/Lot/71547565", "оказание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ч...")</f>
        <v>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</v>
      </c>
      <c r="G15951" s="22" t="s">
        <v>469</v>
      </c>
      <c r="H15951" s="22" t="s">
        <v>470</v>
      </c>
      <c r="I15951" s="26">
        <v>43636.662499999999</v>
      </c>
      <c r="J15951" s="28" t="s">
        <v>51</v>
      </c>
      <c r="K15951" s="28" t="s">
        <v>51</v>
      </c>
      <c r="L15951" s="28" t="s">
        <v>51</v>
      </c>
      <c r="M15951" s="28" t="s">
        <v>51</v>
      </c>
      <c r="N15951" s="28" t="s">
        <v>51</v>
      </c>
    </row>
    <row r="15952" spans="1:14" ht="12.75" hidden="1" outlineLevel="1" x14ac:dyDescent="0.2">
      <c r="A15952" s="23" t="str">
        <f t="shared" si="546"/>
        <v>УМВД РОССИИ ПО Г.МАГНИТОГОРСКУ ЧЕЛЯБИНСКОЙ ОБЛАСТИ</v>
      </c>
      <c r="B15952" s="24" t="s">
        <v>13700</v>
      </c>
      <c r="C15952" s="25">
        <v>805000</v>
      </c>
      <c r="D15952" s="22" t="s">
        <v>20949</v>
      </c>
      <c r="E15952" s="22" t="s">
        <v>48</v>
      </c>
      <c r="F15952" s="23" t="str">
        <f>HYPERLINK("https://www.spark-marketing.ru/Card/Lot/71547565", "оказание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ч...")</f>
        <v>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</v>
      </c>
      <c r="G15952" s="22" t="s">
        <v>469</v>
      </c>
      <c r="H15952" s="22" t="s">
        <v>470</v>
      </c>
      <c r="I15952" s="26">
        <v>43636.662499999999</v>
      </c>
      <c r="J15952" s="23" t="str">
        <f>HYPERLINK("https://www.spark-marketing.ru/Card/Person/890127", "Нагорных Альфия Айратовна")</f>
        <v>Нагорных Альфия Айратовна</v>
      </c>
      <c r="K15952" s="24" t="s">
        <v>20919</v>
      </c>
      <c r="L15952" s="22" t="s">
        <v>10</v>
      </c>
      <c r="M15952" s="25">
        <v>460</v>
      </c>
      <c r="N15952" s="27">
        <v>0.99942857142857144</v>
      </c>
    </row>
    <row r="15953" spans="1:14" hidden="1" outlineLevel="1" x14ac:dyDescent="0.2">
      <c r="A15953" s="23" t="str">
        <f t="shared" si="546"/>
        <v>УМВД РОССИИ ПО Г.МАГНИТОГОРСКУ ЧЕЛЯБИНСКОЙ ОБЛАСТИ</v>
      </c>
      <c r="B15953" s="24" t="s">
        <v>13700</v>
      </c>
      <c r="C15953" s="25">
        <v>805000</v>
      </c>
      <c r="D15953" s="22" t="s">
        <v>20949</v>
      </c>
      <c r="E15953" s="22" t="s">
        <v>48</v>
      </c>
      <c r="F15953" s="23" t="str">
        <f>HYPERLINK("https://www.spark-marketing.ru/Card/Lot/71547565", "оказание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ч...")</f>
        <v>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</v>
      </c>
      <c r="G15953" s="22" t="s">
        <v>469</v>
      </c>
      <c r="H15953" s="22" t="s">
        <v>470</v>
      </c>
      <c r="I15953" s="26">
        <v>43636.662499999999</v>
      </c>
      <c r="J15953" s="23" t="str">
        <f>HYPERLINK("https://www.spark-marketing.ru/Card/Person/4569980", "ООО ""ПАРИТЕТ ПЛЮС""")</f>
        <v>ООО "ПАРИТЕТ ПЛЮС"</v>
      </c>
      <c r="K15953" s="24" t="s">
        <v>13702</v>
      </c>
      <c r="L15953" s="28" t="s">
        <v>51</v>
      </c>
      <c r="M15953" s="25">
        <v>560</v>
      </c>
      <c r="N15953" s="27">
        <v>0.9993043478260869</v>
      </c>
    </row>
    <row r="15954" spans="1:14" hidden="1" outlineLevel="1" x14ac:dyDescent="0.2">
      <c r="A15954" s="23" t="str">
        <f t="shared" si="546"/>
        <v>УМВД РОССИИ ПО Г.МАГНИТОГОРСКУ ЧЕЛЯБИНСКОЙ ОБЛАСТИ</v>
      </c>
      <c r="B15954" s="24" t="s">
        <v>13700</v>
      </c>
      <c r="C15954" s="25">
        <v>805000</v>
      </c>
      <c r="D15954" s="22" t="s">
        <v>20949</v>
      </c>
      <c r="E15954" s="22" t="s">
        <v>48</v>
      </c>
      <c r="F15954" s="23" t="str">
        <f>HYPERLINK("https://www.spark-marketing.ru/Card/Lot/71547565", "оказание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ч...")</f>
        <v>оказание услуг по обеспечению трёхразовым горячим питанием лиц, содержащихся в Изоляторе временного содержания подозреваемых и обвиняемых Управления Министерства внутренних дел Российской Федерации по городу Магнитогорску Челябинской области; в том ч...</v>
      </c>
      <c r="G15954" s="22" t="s">
        <v>469</v>
      </c>
      <c r="H15954" s="22" t="s">
        <v>470</v>
      </c>
      <c r="I15954" s="26">
        <v>43636.662499999999</v>
      </c>
      <c r="J15954" s="23" t="str">
        <f>HYPERLINK("https://www.spark-marketing.ru/Card/Person/875866", "Середкин Денис Михайлович")</f>
        <v>Середкин Денис Михайлович</v>
      </c>
      <c r="K15954" s="24" t="s">
        <v>20918</v>
      </c>
      <c r="L15954" s="28" t="s">
        <v>51</v>
      </c>
      <c r="M15954" s="25">
        <v>1234.56</v>
      </c>
      <c r="N15954" s="27">
        <v>0.99846638509316765</v>
      </c>
    </row>
    <row r="15955" spans="1:14" x14ac:dyDescent="0.15">
      <c r="A15955" s="23" t="str">
        <f t="shared" si="546"/>
        <v>УМВД РОССИИ ПО Г.МАГНИТОГОРСКУ ЧЕЛЯБИНСКОЙ ОБЛАСТИ</v>
      </c>
      <c r="B15955" s="24" t="s">
        <v>13700</v>
      </c>
      <c r="C15955" s="25">
        <v>1300000</v>
      </c>
      <c r="D15955" s="22" t="s">
        <v>20950</v>
      </c>
      <c r="E15955" s="22" t="s">
        <v>48</v>
      </c>
      <c r="F15955" s="23" t="str">
        <f>HYPERLINK("https://www.spark-marketing.ru/Card/Lot/71540070", "оказание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Челябин...")</f>
        <v>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</v>
      </c>
      <c r="G15955" s="22" t="s">
        <v>469</v>
      </c>
      <c r="H15955" s="22" t="s">
        <v>470</v>
      </c>
      <c r="I15955" s="26">
        <v>43636.661805555603</v>
      </c>
      <c r="J15955" s="28" t="s">
        <v>51</v>
      </c>
      <c r="K15955" s="28" t="s">
        <v>51</v>
      </c>
      <c r="L15955" s="28" t="s">
        <v>51</v>
      </c>
      <c r="M15955" s="28" t="s">
        <v>51</v>
      </c>
      <c r="N15955" s="28" t="s">
        <v>51</v>
      </c>
    </row>
    <row r="15956" spans="1:14" ht="12.75" hidden="1" outlineLevel="1" x14ac:dyDescent="0.2">
      <c r="A15956" s="23" t="str">
        <f t="shared" si="546"/>
        <v>УМВД РОССИИ ПО Г.МАГНИТОГОРСКУ ЧЕЛЯБИНСКОЙ ОБЛАСТИ</v>
      </c>
      <c r="B15956" s="24" t="s">
        <v>13700</v>
      </c>
      <c r="C15956" s="25">
        <v>1300000</v>
      </c>
      <c r="D15956" s="22" t="s">
        <v>20950</v>
      </c>
      <c r="E15956" s="22" t="s">
        <v>48</v>
      </c>
      <c r="F15956" s="23" t="str">
        <f>HYPERLINK("https://www.spark-marketing.ru/Card/Lot/71540070", "оказание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Челябин...")</f>
        <v>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</v>
      </c>
      <c r="G15956" s="22" t="s">
        <v>469</v>
      </c>
      <c r="H15956" s="22" t="s">
        <v>470</v>
      </c>
      <c r="I15956" s="26">
        <v>43636.661805555603</v>
      </c>
      <c r="J15956" s="23" t="str">
        <f>HYPERLINK("https://www.spark-marketing.ru/Card/Person/4569980", "ООО ""ПАРИТЕТ ПЛЮС""")</f>
        <v>ООО "ПАРИТЕТ ПЛЮС"</v>
      </c>
      <c r="K15956" s="24" t="s">
        <v>13702</v>
      </c>
      <c r="L15956" s="22" t="s">
        <v>10</v>
      </c>
      <c r="M15956" s="25">
        <v>206.56</v>
      </c>
      <c r="N15956" s="27">
        <v>0.99984110769230772</v>
      </c>
    </row>
    <row r="15957" spans="1:14" hidden="1" outlineLevel="1" x14ac:dyDescent="0.2">
      <c r="A15957" s="23" t="str">
        <f t="shared" si="546"/>
        <v>УМВД РОССИИ ПО Г.МАГНИТОГОРСКУ ЧЕЛЯБИНСКОЙ ОБЛАСТИ</v>
      </c>
      <c r="B15957" s="24" t="s">
        <v>13700</v>
      </c>
      <c r="C15957" s="25">
        <v>1300000</v>
      </c>
      <c r="D15957" s="22" t="s">
        <v>20950</v>
      </c>
      <c r="E15957" s="22" t="s">
        <v>48</v>
      </c>
      <c r="F15957" s="23" t="str">
        <f>HYPERLINK("https://www.spark-marketing.ru/Card/Lot/71540070", "оказание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Челябин...")</f>
        <v>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</v>
      </c>
      <c r="G15957" s="22" t="s">
        <v>469</v>
      </c>
      <c r="H15957" s="22" t="s">
        <v>470</v>
      </c>
      <c r="I15957" s="26">
        <v>43636.661805555603</v>
      </c>
      <c r="J15957" s="23" t="str">
        <f>HYPERLINK("https://www.spark-marketing.ru/Card/Person/875866", "Середкин Денис Михайлович")</f>
        <v>Середкин Денис Михайлович</v>
      </c>
      <c r="K15957" s="24" t="s">
        <v>20918</v>
      </c>
      <c r="L15957" s="28" t="s">
        <v>51</v>
      </c>
      <c r="M15957" s="25">
        <v>506.56</v>
      </c>
      <c r="N15957" s="27">
        <v>0.99961033846153846</v>
      </c>
    </row>
    <row r="15958" spans="1:14" hidden="1" outlineLevel="1" x14ac:dyDescent="0.2">
      <c r="A15958" s="23" t="str">
        <f t="shared" si="546"/>
        <v>УМВД РОССИИ ПО Г.МАГНИТОГОРСКУ ЧЕЛЯБИНСКОЙ ОБЛАСТИ</v>
      </c>
      <c r="B15958" s="24" t="s">
        <v>13700</v>
      </c>
      <c r="C15958" s="25">
        <v>1300000</v>
      </c>
      <c r="D15958" s="22" t="s">
        <v>20950</v>
      </c>
      <c r="E15958" s="22" t="s">
        <v>48</v>
      </c>
      <c r="F15958" s="23" t="str">
        <f>HYPERLINK("https://www.spark-marketing.ru/Card/Lot/71540070", "оказание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Челябин...")</f>
        <v>оказание услуг по обеспечению трёхразовым горячим питанием лиц, содержащихся в специальном приемнике для содержания лиц, подвергнутых административному аресту Управления Министерства внутренних дел Российской Федерации по городу Магнитогорску Челябин...</v>
      </c>
      <c r="G15958" s="22" t="s">
        <v>469</v>
      </c>
      <c r="H15958" s="22" t="s">
        <v>470</v>
      </c>
      <c r="I15958" s="26">
        <v>43636.661805555603</v>
      </c>
      <c r="J15958" s="23" t="str">
        <f>HYPERLINK("https://www.spark-marketing.ru/Card/Person/890127", "Нагорных Альфия Айратовна")</f>
        <v>Нагорных Альфия Айратовна</v>
      </c>
      <c r="K15958" s="24" t="s">
        <v>20919</v>
      </c>
      <c r="L15958" s="28" t="s">
        <v>51</v>
      </c>
      <c r="M15958" s="25">
        <v>306.56</v>
      </c>
      <c r="N15958" s="27">
        <v>0.99976418461538463</v>
      </c>
    </row>
    <row r="15959" spans="1:14" x14ac:dyDescent="0.15">
      <c r="A15959" s="23" t="str">
        <f>HYPERLINK("https://www.spark-marketing.ru/Card/Person/1496504", "ГАУК ""САХАЛИНСКАЯ ФИЛАРМОНИЯ""")</f>
        <v>ГАУК "САХАЛИНСКАЯ ФИЛАРМОНИЯ"</v>
      </c>
      <c r="B15959" s="24" t="s">
        <v>4413</v>
      </c>
      <c r="C15959" s="25">
        <v>910000</v>
      </c>
      <c r="D15959" s="22" t="s">
        <v>20951</v>
      </c>
      <c r="E15959" s="22" t="s">
        <v>562</v>
      </c>
      <c r="F15959" s="23" t="str">
        <f>HYPERLINK("https://www.spark-marketing.ru/Card/Lot/71520269", "услуги по обеспечению питанием участников, в рамках проведения значимого мероприятия для Сахалинской области с участием выдающихся представителей культуры Российской Федерации второго фестиваля телевизионных художественных фильмов «Утро Родины» в пер...")</f>
        <v>услуги по обеспечению питанием участников, в рамках проведения значимого мероприятия для Сахалинской области с участием выдающихся представителей культуры Российской Федерации второго фестиваля телевизионных художественных фильмов «Утро Родины» в пер...</v>
      </c>
      <c r="G15959" s="22" t="s">
        <v>260</v>
      </c>
      <c r="H15959" s="22" t="s">
        <v>260</v>
      </c>
      <c r="I15959" s="26">
        <v>43636.646724537</v>
      </c>
      <c r="J15959" s="28" t="s">
        <v>51</v>
      </c>
      <c r="K15959" s="28" t="s">
        <v>51</v>
      </c>
      <c r="L15959" s="28" t="s">
        <v>51</v>
      </c>
      <c r="M15959" s="28" t="s">
        <v>51</v>
      </c>
      <c r="N15959" s="28" t="s">
        <v>51</v>
      </c>
    </row>
    <row r="15960" spans="1:14" x14ac:dyDescent="0.15">
      <c r="A15960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5960" s="24" t="s">
        <v>3991</v>
      </c>
      <c r="C15960" s="25">
        <v>1450000</v>
      </c>
      <c r="D15960" s="22" t="s">
        <v>20952</v>
      </c>
      <c r="E15960" s="22" t="s">
        <v>48</v>
      </c>
      <c r="F15960" s="23" t="str">
        <f>HYPERLINK("https://www.spark-marketing.ru/Card/Lot/71528550", "Оказание услуг по организации готового трехразового горячего питания лиц, содержащихся в изоляторе временного содержания Межмуниципального отдела МВД России «Назаровский»")</f>
        <v>Оказание услуг по организации готового трехразового горячего питания лиц, содержащихся в изоляторе временного содержания Межмуниципального отдела МВД России «Назаровский»</v>
      </c>
      <c r="G15960" s="22" t="s">
        <v>281</v>
      </c>
      <c r="H15960" s="22" t="s">
        <v>1643</v>
      </c>
      <c r="I15960" s="26">
        <v>43636.647916666698</v>
      </c>
      <c r="J15960" s="28" t="s">
        <v>51</v>
      </c>
      <c r="K15960" s="28" t="s">
        <v>51</v>
      </c>
      <c r="L15960" s="28" t="s">
        <v>51</v>
      </c>
      <c r="M15960" s="28" t="s">
        <v>51</v>
      </c>
      <c r="N15960" s="28" t="s">
        <v>51</v>
      </c>
    </row>
    <row r="15961" spans="1:14" hidden="1" outlineLevel="1" x14ac:dyDescent="0.2">
      <c r="A15961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5961" s="24" t="s">
        <v>3991</v>
      </c>
      <c r="C15961" s="25">
        <v>1450000</v>
      </c>
      <c r="D15961" s="22" t="s">
        <v>20952</v>
      </c>
      <c r="E15961" s="22" t="s">
        <v>48</v>
      </c>
      <c r="F15961" s="23" t="str">
        <f>HYPERLINK("https://www.spark-marketing.ru/Card/Lot/71528550", "Оказание услуг по организации готового трехразового горячего питания лиц, содержащихся в изоляторе временного содержания Межмуниципального отдела МВД России «Назаровский»")</f>
        <v>Оказание услуг по организации готового трехразового горячего питания лиц, содержащихся в изоляторе временного содержания Межмуниципального отдела МВД России «Назаровский»</v>
      </c>
      <c r="G15961" s="22" t="s">
        <v>281</v>
      </c>
      <c r="H15961" s="22" t="s">
        <v>1643</v>
      </c>
      <c r="I15961" s="26">
        <v>43636.647916666698</v>
      </c>
      <c r="J15961" s="23" t="str">
        <f>HYPERLINK("https://www.spark-marketing.ru/Card/Person/455087", "Шадрина Ирина Степановна")</f>
        <v>Шадрина Ирина Степановна</v>
      </c>
      <c r="K15961" s="24" t="s">
        <v>15735</v>
      </c>
      <c r="L15961" s="28" t="s">
        <v>51</v>
      </c>
      <c r="M15961" s="25">
        <v>1163750</v>
      </c>
      <c r="N15961" s="27">
        <v>0.19741379310344828</v>
      </c>
    </row>
    <row r="15962" spans="1:14" ht="12.75" hidden="1" outlineLevel="1" x14ac:dyDescent="0.2">
      <c r="A15962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5962" s="24" t="s">
        <v>3991</v>
      </c>
      <c r="C15962" s="25">
        <v>1450000</v>
      </c>
      <c r="D15962" s="22" t="s">
        <v>20952</v>
      </c>
      <c r="E15962" s="22" t="s">
        <v>48</v>
      </c>
      <c r="F15962" s="23" t="str">
        <f>HYPERLINK("https://www.spark-marketing.ru/Card/Lot/71528550", "Оказание услуг по организации готового трехразового горячего питания лиц, содержащихся в изоляторе временного содержания Межмуниципального отдела МВД России «Назаровский»")</f>
        <v>Оказание услуг по организации готового трехразового горячего питания лиц, содержащихся в изоляторе временного содержания Межмуниципального отдела МВД России «Назаровский»</v>
      </c>
      <c r="G15962" s="22" t="s">
        <v>281</v>
      </c>
      <c r="H15962" s="22" t="s">
        <v>1643</v>
      </c>
      <c r="I15962" s="26">
        <v>43636.647916666698</v>
      </c>
      <c r="J15962" s="23" t="str">
        <f>HYPERLINK("https://www.spark-marketing.ru/Card/Person/6624359", "Соболев Дмитрий Юрьевич")</f>
        <v>Соболев Дмитрий Юрьевич</v>
      </c>
      <c r="K15962" s="24" t="s">
        <v>15736</v>
      </c>
      <c r="L15962" s="22" t="s">
        <v>10</v>
      </c>
      <c r="M15962" s="25">
        <v>1156500</v>
      </c>
      <c r="N15962" s="27">
        <v>0.20241379310344829</v>
      </c>
    </row>
    <row r="15963" spans="1:14" x14ac:dyDescent="0.15">
      <c r="A15963" s="23" t="str">
        <f t="shared" ref="A15963:A15971" si="547">HYPERLINK("https://www.spark-marketing.ru/Card/Person/58048", "ДЕПАРТАМЕНТ ФИНАНСОВ ГОРОДА МОСКВЫ")</f>
        <v>ДЕПАРТАМЕНТ ФИНАНСОВ ГОРОДА МОСКВЫ</v>
      </c>
      <c r="B15963" s="24" t="s">
        <v>20953</v>
      </c>
      <c r="C15963" s="25">
        <v>1171300</v>
      </c>
      <c r="D15963" s="22" t="s">
        <v>20954</v>
      </c>
      <c r="E15963" s="22" t="s">
        <v>11300</v>
      </c>
      <c r="F15963" s="23" t="str">
        <f t="shared" ref="F15963:F15971" si="548">HYPERLINK("https://www.spark-marketing.ru/Card/Lot/71549037", "Оказание услуг по техническому обслуживанию систем и средств обеспечения пожарной безопасности в зданиях, занимаемых Департаментом финансов города Москвы")</f>
        <v>Оказание услуг по техническому обслуживанию систем и средств обеспечения пожарной безопасности в зданиях, занимаемых Департаментом финансов города Москвы</v>
      </c>
      <c r="G15963" s="22" t="s">
        <v>56</v>
      </c>
      <c r="H15963" s="22" t="s">
        <v>56</v>
      </c>
      <c r="I15963" s="26">
        <v>43636.654861111099</v>
      </c>
      <c r="J15963" s="28" t="s">
        <v>51</v>
      </c>
      <c r="K15963" s="28" t="s">
        <v>51</v>
      </c>
      <c r="L15963" s="28" t="s">
        <v>51</v>
      </c>
      <c r="M15963" s="28" t="s">
        <v>51</v>
      </c>
      <c r="N15963" s="28" t="s">
        <v>51</v>
      </c>
    </row>
    <row r="15964" spans="1:14" ht="12.75" hidden="1" outlineLevel="1" x14ac:dyDescent="0.2">
      <c r="A15964" s="23" t="str">
        <f t="shared" si="547"/>
        <v>ДЕПАРТАМЕНТ ФИНАНСОВ ГОРОДА МОСКВЫ</v>
      </c>
      <c r="B15964" s="24" t="s">
        <v>20953</v>
      </c>
      <c r="C15964" s="25">
        <v>1171300</v>
      </c>
      <c r="D15964" s="22" t="s">
        <v>20954</v>
      </c>
      <c r="E15964" s="22" t="s">
        <v>11300</v>
      </c>
      <c r="F15964" s="23" t="str">
        <f t="shared" si="548"/>
        <v>Оказание услуг по техническому обслуживанию систем и средств обеспечения пожарной безопасности в зданиях, занимаемых Департаментом финансов города Москвы</v>
      </c>
      <c r="G15964" s="22" t="s">
        <v>56</v>
      </c>
      <c r="H15964" s="22" t="s">
        <v>56</v>
      </c>
      <c r="I15964" s="26">
        <v>43636.654861111099</v>
      </c>
      <c r="J15964" s="23" t="str">
        <f>HYPERLINK("https://www.spark-marketing.ru/Card/Person/1358858", "ООО ""ЭНЕРГИЯ-100""")</f>
        <v>ООО "ЭНЕРГИЯ-100"</v>
      </c>
      <c r="K15964" s="24" t="s">
        <v>20955</v>
      </c>
      <c r="L15964" s="22" t="s">
        <v>10</v>
      </c>
      <c r="M15964" s="25">
        <v>245973</v>
      </c>
      <c r="N15964" s="27">
        <v>0.79</v>
      </c>
    </row>
    <row r="15965" spans="1:14" hidden="1" outlineLevel="1" x14ac:dyDescent="0.2">
      <c r="A15965" s="23" t="str">
        <f t="shared" si="547"/>
        <v>ДЕПАРТАМЕНТ ФИНАНСОВ ГОРОДА МОСКВЫ</v>
      </c>
      <c r="B15965" s="24" t="s">
        <v>20953</v>
      </c>
      <c r="C15965" s="25">
        <v>1171300</v>
      </c>
      <c r="D15965" s="22" t="s">
        <v>20954</v>
      </c>
      <c r="E15965" s="22" t="s">
        <v>11300</v>
      </c>
      <c r="F15965" s="23" t="str">
        <f t="shared" si="548"/>
        <v>Оказание услуг по техническому обслуживанию систем и средств обеспечения пожарной безопасности в зданиях, занимаемых Департаментом финансов города Москвы</v>
      </c>
      <c r="G15965" s="22" t="s">
        <v>56</v>
      </c>
      <c r="H15965" s="22" t="s">
        <v>56</v>
      </c>
      <c r="I15965" s="26">
        <v>43636.654861111099</v>
      </c>
      <c r="J15965" s="23" t="str">
        <f>HYPERLINK("https://www.spark-marketing.ru/Card/Person/6262263", "ООО ""АЛЫЙ ПАРУС ТЕХНО ПРО""")</f>
        <v>ООО "АЛЫЙ ПАРУС ТЕХНО ПРО"</v>
      </c>
      <c r="K15965" s="24" t="s">
        <v>12490</v>
      </c>
      <c r="L15965" s="28" t="s">
        <v>51</v>
      </c>
      <c r="M15965" s="25">
        <v>199121</v>
      </c>
      <c r="N15965" s="27">
        <v>0.83</v>
      </c>
    </row>
    <row r="15966" spans="1:14" hidden="1" outlineLevel="1" x14ac:dyDescent="0.2">
      <c r="A15966" s="23" t="str">
        <f t="shared" si="547"/>
        <v>ДЕПАРТАМЕНТ ФИНАНСОВ ГОРОДА МОСКВЫ</v>
      </c>
      <c r="B15966" s="24" t="s">
        <v>20953</v>
      </c>
      <c r="C15966" s="25">
        <v>1171300</v>
      </c>
      <c r="D15966" s="22" t="s">
        <v>20954</v>
      </c>
      <c r="E15966" s="22" t="s">
        <v>11300</v>
      </c>
      <c r="F15966" s="23" t="str">
        <f t="shared" si="548"/>
        <v>Оказание услуг по техническому обслуживанию систем и средств обеспечения пожарной безопасности в зданиях, занимаемых Департаментом финансов города Москвы</v>
      </c>
      <c r="G15966" s="22" t="s">
        <v>56</v>
      </c>
      <c r="H15966" s="22" t="s">
        <v>56</v>
      </c>
      <c r="I15966" s="26">
        <v>43636.654861111099</v>
      </c>
      <c r="J15966" s="23" t="str">
        <f>HYPERLINK("https://www.spark-marketing.ru/Card/Person/767988", "ООО ""МОНТАЖПРОЕКТБЕЗОПАСНОСТЬ""")</f>
        <v>ООО "МОНТАЖПРОЕКТБЕЗОПАСНОСТЬ"</v>
      </c>
      <c r="K15966" s="24" t="s">
        <v>20956</v>
      </c>
      <c r="L15966" s="28" t="s">
        <v>51</v>
      </c>
      <c r="M15966" s="25">
        <v>1112735</v>
      </c>
      <c r="N15966" s="27">
        <v>0.05</v>
      </c>
    </row>
    <row r="15967" spans="1:14" hidden="1" outlineLevel="1" x14ac:dyDescent="0.2">
      <c r="A15967" s="23" t="str">
        <f t="shared" si="547"/>
        <v>ДЕПАРТАМЕНТ ФИНАНСОВ ГОРОДА МОСКВЫ</v>
      </c>
      <c r="B15967" s="24" t="s">
        <v>20953</v>
      </c>
      <c r="C15967" s="25">
        <v>1171300</v>
      </c>
      <c r="D15967" s="22" t="s">
        <v>20954</v>
      </c>
      <c r="E15967" s="22" t="s">
        <v>11300</v>
      </c>
      <c r="F15967" s="23" t="str">
        <f t="shared" si="548"/>
        <v>Оказание услуг по техническому обслуживанию систем и средств обеспечения пожарной безопасности в зданиях, занимаемых Департаментом финансов города Москвы</v>
      </c>
      <c r="G15967" s="22" t="s">
        <v>56</v>
      </c>
      <c r="H15967" s="22" t="s">
        <v>56</v>
      </c>
      <c r="I15967" s="26">
        <v>43636.654861111099</v>
      </c>
      <c r="J15967" s="23" t="str">
        <f>HYPERLINK("https://www.spark-marketing.ru/Card/Person/6625250", "Посидько Денис Сергеевич")</f>
        <v>Посидько Денис Сергеевич</v>
      </c>
      <c r="K15967" s="24" t="s">
        <v>20827</v>
      </c>
      <c r="L15967" s="28" t="s">
        <v>51</v>
      </c>
      <c r="M15967" s="25">
        <v>409955</v>
      </c>
      <c r="N15967" s="27">
        <v>0.65</v>
      </c>
    </row>
    <row r="15968" spans="1:14" hidden="1" outlineLevel="1" x14ac:dyDescent="0.2">
      <c r="A15968" s="23" t="str">
        <f t="shared" si="547"/>
        <v>ДЕПАРТАМЕНТ ФИНАНСОВ ГОРОДА МОСКВЫ</v>
      </c>
      <c r="B15968" s="24" t="s">
        <v>20953</v>
      </c>
      <c r="C15968" s="25">
        <v>1171300</v>
      </c>
      <c r="D15968" s="22" t="s">
        <v>20954</v>
      </c>
      <c r="E15968" s="22" t="s">
        <v>11300</v>
      </c>
      <c r="F15968" s="23" t="str">
        <f t="shared" si="548"/>
        <v>Оказание услуг по техническому обслуживанию систем и средств обеспечения пожарной безопасности в зданиях, занимаемых Департаментом финансов города Москвы</v>
      </c>
      <c r="G15968" s="22" t="s">
        <v>56</v>
      </c>
      <c r="H15968" s="22" t="s">
        <v>56</v>
      </c>
      <c r="I15968" s="26">
        <v>43636.654861111099</v>
      </c>
      <c r="J15968" s="23" t="str">
        <f>HYPERLINK("https://www.spark-marketing.ru/Card/Person/1844754", "ООО ""ТСБ""")</f>
        <v>ООО "ТСБ"</v>
      </c>
      <c r="K15968" s="24" t="s">
        <v>7551</v>
      </c>
      <c r="L15968" s="28" t="s">
        <v>51</v>
      </c>
      <c r="M15968" s="25">
        <v>158125.5</v>
      </c>
      <c r="N15968" s="27">
        <v>0.86499999999999999</v>
      </c>
    </row>
    <row r="15969" spans="1:14" hidden="1" outlineLevel="1" x14ac:dyDescent="0.2">
      <c r="A15969" s="23" t="str">
        <f t="shared" si="547"/>
        <v>ДЕПАРТАМЕНТ ФИНАНСОВ ГОРОДА МОСКВЫ</v>
      </c>
      <c r="B15969" s="24" t="s">
        <v>20953</v>
      </c>
      <c r="C15969" s="25">
        <v>1171300</v>
      </c>
      <c r="D15969" s="22" t="s">
        <v>20954</v>
      </c>
      <c r="E15969" s="22" t="s">
        <v>11300</v>
      </c>
      <c r="F15969" s="23" t="str">
        <f t="shared" si="548"/>
        <v>Оказание услуг по техническому обслуживанию систем и средств обеспечения пожарной безопасности в зданиях, занимаемых Департаментом финансов города Москвы</v>
      </c>
      <c r="G15969" s="22" t="s">
        <v>56</v>
      </c>
      <c r="H15969" s="22" t="s">
        <v>56</v>
      </c>
      <c r="I15969" s="26">
        <v>43636.654861111099</v>
      </c>
      <c r="J15969" s="23" t="str">
        <f>HYPERLINK("https://www.spark-marketing.ru/Card/Person/2576628", "ООО ""АЛЬТЕРА""")</f>
        <v>ООО "АЛЬТЕРА"</v>
      </c>
      <c r="K15969" s="24" t="s">
        <v>12495</v>
      </c>
      <c r="L15969" s="28" t="s">
        <v>51</v>
      </c>
      <c r="M15969" s="25">
        <v>1171000</v>
      </c>
      <c r="N15969" s="27">
        <v>2.5612567232988985E-4</v>
      </c>
    </row>
    <row r="15970" spans="1:14" hidden="1" outlineLevel="1" x14ac:dyDescent="0.2">
      <c r="A15970" s="23" t="str">
        <f t="shared" si="547"/>
        <v>ДЕПАРТАМЕНТ ФИНАНСОВ ГОРОДА МОСКВЫ</v>
      </c>
      <c r="B15970" s="24" t="s">
        <v>20953</v>
      </c>
      <c r="C15970" s="25">
        <v>1171300</v>
      </c>
      <c r="D15970" s="22" t="s">
        <v>20954</v>
      </c>
      <c r="E15970" s="22" t="s">
        <v>11300</v>
      </c>
      <c r="F15970" s="23" t="str">
        <f t="shared" si="548"/>
        <v>Оказание услуг по техническому обслуживанию систем и средств обеспечения пожарной безопасности в зданиях, занимаемых Департаментом финансов города Москвы</v>
      </c>
      <c r="G15970" s="22" t="s">
        <v>56</v>
      </c>
      <c r="H15970" s="22" t="s">
        <v>56</v>
      </c>
      <c r="I15970" s="26">
        <v>43636.654861111099</v>
      </c>
      <c r="J15970" s="23" t="str">
        <f>HYPERLINK("https://www.spark-marketing.ru/Card/Person/2510337", "ООО ""КОМПАНИЯ ОБЕРЕГ""")</f>
        <v>ООО "КОМПАНИЯ ОБЕРЕГ"</v>
      </c>
      <c r="K15970" s="24" t="s">
        <v>20957</v>
      </c>
      <c r="L15970" s="28" t="s">
        <v>51</v>
      </c>
      <c r="M15970" s="25">
        <v>169838.5</v>
      </c>
      <c r="N15970" s="27">
        <v>0.85499999999999998</v>
      </c>
    </row>
    <row r="15971" spans="1:14" hidden="1" outlineLevel="1" x14ac:dyDescent="0.2">
      <c r="A15971" s="23" t="str">
        <f t="shared" si="547"/>
        <v>ДЕПАРТАМЕНТ ФИНАНСОВ ГОРОДА МОСКВЫ</v>
      </c>
      <c r="B15971" s="24" t="s">
        <v>20953</v>
      </c>
      <c r="C15971" s="25">
        <v>1171300</v>
      </c>
      <c r="D15971" s="22" t="s">
        <v>20954</v>
      </c>
      <c r="E15971" s="22" t="s">
        <v>11300</v>
      </c>
      <c r="F15971" s="23" t="str">
        <f t="shared" si="548"/>
        <v>Оказание услуг по техническому обслуживанию систем и средств обеспечения пожарной безопасности в зданиях, занимаемых Департаментом финансов города Москвы</v>
      </c>
      <c r="G15971" s="22" t="s">
        <v>56</v>
      </c>
      <c r="H15971" s="22" t="s">
        <v>56</v>
      </c>
      <c r="I15971" s="26">
        <v>43636.654861111099</v>
      </c>
      <c r="J15971" s="23" t="str">
        <f>HYPERLINK("https://www.spark-marketing.ru/Card/Person/57586", "ООО НПК ""СЕКЬЮРИТИ ЦЕНТР С&amp;Т""")</f>
        <v>ООО НПК "СЕКЬЮРИТИ ЦЕНТР С&amp;Т"</v>
      </c>
      <c r="K15971" s="24" t="s">
        <v>11278</v>
      </c>
      <c r="L15971" s="28" t="s">
        <v>51</v>
      </c>
      <c r="M15971" s="25">
        <v>152269</v>
      </c>
      <c r="N15971" s="27">
        <v>0.87</v>
      </c>
    </row>
    <row r="15972" spans="1:14" x14ac:dyDescent="0.2">
      <c r="A15972" s="23" t="str">
        <f>HYPERLINK("https://www.spark-marketing.ru/Card/Person/811044", "ГАУ СО ""УРФА""")</f>
        <v>ГАУ СО "УРФА"</v>
      </c>
      <c r="B15972" s="24" t="s">
        <v>6460</v>
      </c>
      <c r="C15972" s="25">
        <v>195500</v>
      </c>
      <c r="D15972" s="22" t="s">
        <v>20958</v>
      </c>
      <c r="E15972" s="22" t="s">
        <v>6505</v>
      </c>
      <c r="F15972" s="23" t="str">
        <f>HYPERLINK("https://www.spark-marketing.ru/Card/Lot/71531736", "Оказание услуг по организации проживания и питания футбольной команды в период проведения соревнований по футболу")</f>
        <v>Оказание услуг по организации проживания и питания футбольной команды в период проведения соревнований по футболу</v>
      </c>
      <c r="G15972" s="22" t="s">
        <v>145</v>
      </c>
      <c r="H15972" s="22" t="s">
        <v>145</v>
      </c>
      <c r="I15972" s="26">
        <v>43636.640648148103</v>
      </c>
      <c r="J15972" s="23" t="str">
        <f>HYPERLINK("https://www.spark-marketing.ru/Card/Person/301557", "ООО ""ТАН""")</f>
        <v>ООО "ТАН"</v>
      </c>
      <c r="K15972" s="24" t="s">
        <v>20959</v>
      </c>
      <c r="L15972" s="28" t="s">
        <v>51</v>
      </c>
      <c r="M15972" s="25">
        <v>195500</v>
      </c>
      <c r="N15972" s="27">
        <v>0</v>
      </c>
    </row>
    <row r="15973" spans="1:14" x14ac:dyDescent="0.15">
      <c r="A15973" s="23" t="str">
        <f>HYPERLINK("https://www.spark-marketing.ru/Card/Person/245232", "МЕЖМУНИЦИПАЛЬНОЕ УПРАВЛЕНИЕ МВД РОССИИ ""НОВОЧЕРКАССКОЕ""")</f>
        <v>МЕЖМУНИЦИПАЛЬНОЕ УПРАВЛЕНИЕ МВД РОССИИ "НОВОЧЕРКАССКОЕ"</v>
      </c>
      <c r="B15973" s="24" t="s">
        <v>20960</v>
      </c>
      <c r="C15973" s="25">
        <v>10510300.800000001</v>
      </c>
      <c r="D15973" s="22" t="s">
        <v>20961</v>
      </c>
      <c r="E15973" s="22" t="s">
        <v>48</v>
      </c>
      <c r="F15973" s="23" t="str">
        <f>HYPERLINK("https://www.spark-marketing.ru/Card/Lot/71542096", "Прочая закупка товаров, работ и услуг (Оказание услуг по предоставлению ежедневного трехразового горячего питания лиц, находящихся в Центре временного содержания иностранных граждан Межмуниципального управления МВД России «Новочеркасское»)")</f>
        <v>Прочая закупка товаров, работ и услуг (Оказание услуг по предоставлению ежедневного трехразового горячего питания лиц, находящихся в Центре временного содержания иностранных граждан Межмуниципального управления МВД России «Новочеркасское»)</v>
      </c>
      <c r="G15973" s="22" t="s">
        <v>267</v>
      </c>
      <c r="H15973" s="22" t="s">
        <v>6353</v>
      </c>
      <c r="I15973" s="26">
        <v>43636.620138888902</v>
      </c>
      <c r="J15973" s="28" t="s">
        <v>51</v>
      </c>
      <c r="K15973" s="28" t="s">
        <v>51</v>
      </c>
      <c r="L15973" s="28" t="s">
        <v>51</v>
      </c>
      <c r="M15973" s="28" t="s">
        <v>51</v>
      </c>
      <c r="N15973" s="28" t="s">
        <v>51</v>
      </c>
    </row>
    <row r="15974" spans="1:14" hidden="1" outlineLevel="1" x14ac:dyDescent="0.2">
      <c r="A15974" s="23" t="str">
        <f>HYPERLINK("https://www.spark-marketing.ru/Card/Person/245232", "МЕЖМУНИЦИПАЛЬНОЕ УПРАВЛЕНИЕ МВД РОССИИ ""НОВОЧЕРКАССКОЕ""")</f>
        <v>МЕЖМУНИЦИПАЛЬНОЕ УПРАВЛЕНИЕ МВД РОССИИ "НОВОЧЕРКАССКОЕ"</v>
      </c>
      <c r="B15974" s="24" t="s">
        <v>20960</v>
      </c>
      <c r="C15974" s="25">
        <v>10510300.800000001</v>
      </c>
      <c r="D15974" s="22" t="s">
        <v>20961</v>
      </c>
      <c r="E15974" s="22" t="s">
        <v>48</v>
      </c>
      <c r="F15974" s="23" t="str">
        <f>HYPERLINK("https://www.spark-marketing.ru/Card/Lot/71542096", "Прочая закупка товаров, работ и услуг (Оказание услуг по предоставлению ежедневного трехразового горячего питания лиц, находящихся в Центре временного содержания иностранных граждан Межмуниципального управления МВД России «Новочеркасское»)")</f>
        <v>Прочая закупка товаров, работ и услуг (Оказание услуг по предоставлению ежедневного трехразового горячего питания лиц, находящихся в Центре временного содержания иностранных граждан Межмуниципального управления МВД России «Новочеркасское»)</v>
      </c>
      <c r="G15974" s="22" t="s">
        <v>267</v>
      </c>
      <c r="H15974" s="22" t="s">
        <v>6353</v>
      </c>
      <c r="I15974" s="26">
        <v>43636.620138888902</v>
      </c>
      <c r="J15974" s="23" t="str">
        <f>HYPERLINK("https://www.spark-marketing.ru/Card/Person/6506477", "Олексяк Алексей Петрович")</f>
        <v>Олексяк Алексей Петрович</v>
      </c>
      <c r="K15974" s="24" t="s">
        <v>20962</v>
      </c>
      <c r="L15974" s="28" t="s">
        <v>51</v>
      </c>
      <c r="M15974" s="25">
        <v>5307697</v>
      </c>
      <c r="N15974" s="27">
        <v>0.49500046658988106</v>
      </c>
    </row>
    <row r="15975" spans="1:14" ht="12.75" hidden="1" outlineLevel="1" x14ac:dyDescent="0.2">
      <c r="A15975" s="23" t="str">
        <f>HYPERLINK("https://www.spark-marketing.ru/Card/Person/245232", "МЕЖМУНИЦИПАЛЬНОЕ УПРАВЛЕНИЕ МВД РОССИИ ""НОВОЧЕРКАССКОЕ""")</f>
        <v>МЕЖМУНИЦИПАЛЬНОЕ УПРАВЛЕНИЕ МВД РОССИИ "НОВОЧЕРКАССКОЕ"</v>
      </c>
      <c r="B15975" s="24" t="s">
        <v>20960</v>
      </c>
      <c r="C15975" s="25">
        <v>10510300.800000001</v>
      </c>
      <c r="D15975" s="22" t="s">
        <v>20961</v>
      </c>
      <c r="E15975" s="22" t="s">
        <v>48</v>
      </c>
      <c r="F15975" s="23" t="str">
        <f>HYPERLINK("https://www.spark-marketing.ru/Card/Lot/71542096", "Прочая закупка товаров, работ и услуг (Оказание услуг по предоставлению ежедневного трехразового горячего питания лиц, находящихся в Центре временного содержания иностранных граждан Межмуниципального управления МВД России «Новочеркасское»)")</f>
        <v>Прочая закупка товаров, работ и услуг (Оказание услуг по предоставлению ежедневного трехразового горячего питания лиц, находящихся в Центре временного содержания иностранных граждан Межмуниципального управления МВД России «Новочеркасское»)</v>
      </c>
      <c r="G15975" s="22" t="s">
        <v>267</v>
      </c>
      <c r="H15975" s="22" t="s">
        <v>6353</v>
      </c>
      <c r="I15975" s="26">
        <v>43636.620138888902</v>
      </c>
      <c r="J15975" s="23" t="str">
        <f>HYPERLINK("https://www.spark-marketing.ru/Card/Person/108389", "ООО ""ДОНСКИЕ ОВОЩИ""")</f>
        <v>ООО "ДОНСКИЕ ОВОЩИ"</v>
      </c>
      <c r="K15975" s="24" t="s">
        <v>20860</v>
      </c>
      <c r="L15975" s="22" t="s">
        <v>10</v>
      </c>
      <c r="M15975" s="25">
        <v>5255145.5</v>
      </c>
      <c r="N15975" s="27">
        <v>0.50000046620930205</v>
      </c>
    </row>
    <row r="15976" spans="1:14" hidden="1" outlineLevel="1" x14ac:dyDescent="0.2">
      <c r="A15976" s="23" t="str">
        <f>HYPERLINK("https://www.spark-marketing.ru/Card/Person/245232", "МЕЖМУНИЦИПАЛЬНОЕ УПРАВЛЕНИЕ МВД РОССИИ ""НОВОЧЕРКАССКОЕ""")</f>
        <v>МЕЖМУНИЦИПАЛЬНОЕ УПРАВЛЕНИЕ МВД РОССИИ "НОВОЧЕРКАССКОЕ"</v>
      </c>
      <c r="B15976" s="24" t="s">
        <v>20960</v>
      </c>
      <c r="C15976" s="25">
        <v>10510300.800000001</v>
      </c>
      <c r="D15976" s="22" t="s">
        <v>20961</v>
      </c>
      <c r="E15976" s="22" t="s">
        <v>48</v>
      </c>
      <c r="F15976" s="23" t="str">
        <f>HYPERLINK("https://www.spark-marketing.ru/Card/Lot/71542096", "Прочая закупка товаров, работ и услуг (Оказание услуг по предоставлению ежедневного трехразового горячего питания лиц, находящихся в Центре временного содержания иностранных граждан Межмуниципального управления МВД России «Новочеркасское»)")</f>
        <v>Прочая закупка товаров, работ и услуг (Оказание услуг по предоставлению ежедневного трехразового горячего питания лиц, находящихся в Центре временного содержания иностранных граждан Межмуниципального управления МВД России «Новочеркасское»)</v>
      </c>
      <c r="G15976" s="22" t="s">
        <v>267</v>
      </c>
      <c r="H15976" s="22" t="s">
        <v>6353</v>
      </c>
      <c r="I15976" s="26">
        <v>43636.620138888902</v>
      </c>
      <c r="J15976" s="23" t="str">
        <f>HYPERLINK("https://www.spark-marketing.ru/Card/Person/4890114", "ООО ТПП ""СИРИУС-Н""")</f>
        <v>ООО ТПП "СИРИУС-Н"</v>
      </c>
      <c r="K15976" s="24" t="s">
        <v>20862</v>
      </c>
      <c r="L15976" s="28" t="s">
        <v>51</v>
      </c>
      <c r="M15976" s="25">
        <v>10457749.300000001</v>
      </c>
      <c r="N15976" s="27">
        <v>4.9999996194209778E-3</v>
      </c>
    </row>
    <row r="15977" spans="1:14" x14ac:dyDescent="0.15">
      <c r="A15977" s="23" t="str">
        <f>HYPERLINK("https://www.spark-marketing.ru/Card/Person/1033926", "ГАУК ПО ""ТЕАТРАЛЬНО-КОНЦЕРТНАЯ ДИРЕКЦИЯ""")</f>
        <v>ГАУК ПО "ТЕАТРАЛЬНО-КОНЦЕРТНАЯ ДИРЕКЦИЯ"</v>
      </c>
      <c r="B15977" s="24" t="s">
        <v>18793</v>
      </c>
      <c r="C15977" s="25">
        <v>142000</v>
      </c>
      <c r="D15977" s="22" t="s">
        <v>20963</v>
      </c>
      <c r="E15977" s="22" t="s">
        <v>362</v>
      </c>
      <c r="F15977" s="23" t="str">
        <f>HYPERLINK("https://www.spark-marketing.ru/Card/Lot/71537203", "Оказание услуг по организации питания участников Международных Ганзейских дней Нового времени")</f>
        <v>Оказание услуг по организации питания участников Международных Ганзейских дней Нового времени</v>
      </c>
      <c r="G15977" s="22" t="s">
        <v>415</v>
      </c>
      <c r="H15977" s="22" t="s">
        <v>415</v>
      </c>
      <c r="I15977" s="26">
        <v>43636.6008912037</v>
      </c>
      <c r="J15977" s="28" t="s">
        <v>51</v>
      </c>
      <c r="K15977" s="28" t="s">
        <v>51</v>
      </c>
      <c r="L15977" s="28" t="s">
        <v>51</v>
      </c>
      <c r="M15977" s="28" t="s">
        <v>51</v>
      </c>
      <c r="N15977" s="28" t="s">
        <v>51</v>
      </c>
    </row>
    <row r="15978" spans="1:14" x14ac:dyDescent="0.15">
      <c r="A15978" s="23" t="str">
        <f>HYPERLINK("https://www.spark-marketing.ru/Card/Person/10941", "УМВД РОССИИ ПО ОРЛОВСКОЙ ОБЛАСТИ")</f>
        <v>УМВД РОССИИ ПО ОРЛОВСКОЙ ОБЛАСТИ</v>
      </c>
      <c r="B15978" s="24" t="s">
        <v>2361</v>
      </c>
      <c r="C15978" s="25">
        <v>54800.4</v>
      </c>
      <c r="D15978" s="22" t="s">
        <v>20964</v>
      </c>
      <c r="E15978" s="22" t="s">
        <v>48</v>
      </c>
      <c r="F15978" s="23" t="str">
        <f>HYPERLINK("https://www.spark-marketing.ru/Card/Lot/71533729", "Услуги по обеспечению питанием, 120 усл. ед")</f>
        <v>Услуги по обеспечению питанием, 120 усл. ед</v>
      </c>
      <c r="G15978" s="22" t="s">
        <v>1066</v>
      </c>
      <c r="H15978" s="22" t="s">
        <v>2864</v>
      </c>
      <c r="I15978" s="26">
        <v>43636.615555555603</v>
      </c>
      <c r="J15978" s="28" t="s">
        <v>51</v>
      </c>
      <c r="K15978" s="28" t="s">
        <v>51</v>
      </c>
      <c r="L15978" s="28" t="s">
        <v>51</v>
      </c>
      <c r="M15978" s="28" t="s">
        <v>51</v>
      </c>
      <c r="N15978" s="28" t="s">
        <v>51</v>
      </c>
    </row>
    <row r="15979" spans="1:14" x14ac:dyDescent="0.15">
      <c r="A15979" s="23" t="str">
        <f>HYPERLINK("https://www.spark-marketing.ru/Card/Person/194837", "ПАО ""КОМПАНИЯ ""СУХОЙ""")</f>
        <v>ПАО "КОМПАНИЯ "СУХОЙ"</v>
      </c>
      <c r="B15979" s="24" t="s">
        <v>20965</v>
      </c>
      <c r="C15979" s="25">
        <v>6300000</v>
      </c>
      <c r="D15979" s="22" t="s">
        <v>20966</v>
      </c>
      <c r="E15979" s="22" t="s">
        <v>562</v>
      </c>
      <c r="F15979" s="23" t="str">
        <f>HYPERLINK("https://www.spark-marketing.ru/Card/Lot/71533337", "0001-2019-1906494 Оказание услуг выездного ресторанного обслуживания посвященному 80-летию ОКБ Сухого")</f>
        <v>0001-2019-1906494 Оказание услуг выездного ресторанного обслуживания посвященному 80-летию ОКБ Сухого</v>
      </c>
      <c r="G15979" s="22" t="s">
        <v>56</v>
      </c>
      <c r="H15979" s="22" t="s">
        <v>56</v>
      </c>
      <c r="I15979" s="26">
        <v>43636.594120370399</v>
      </c>
      <c r="J15979" s="28" t="s">
        <v>51</v>
      </c>
      <c r="K15979" s="28" t="s">
        <v>51</v>
      </c>
      <c r="L15979" s="28" t="s">
        <v>51</v>
      </c>
      <c r="M15979" s="28" t="s">
        <v>51</v>
      </c>
      <c r="N15979" s="28" t="s">
        <v>51</v>
      </c>
    </row>
    <row r="15980" spans="1:14" ht="12.75" x14ac:dyDescent="0.2">
      <c r="A15980" s="23" t="str">
        <f>HYPERLINK("https://www.spark-marketing.ru/Card/Person/10184", "ГБУЗ СО ""ТГКБ № 2""")</f>
        <v>ГБУЗ СО "ТГКБ № 2"</v>
      </c>
      <c r="B15980" s="24" t="s">
        <v>20967</v>
      </c>
      <c r="C15980" s="25">
        <v>16938453</v>
      </c>
      <c r="D15980" s="22" t="s">
        <v>20968</v>
      </c>
      <c r="E15980" s="22" t="s">
        <v>48</v>
      </c>
      <c r="F15980" s="23" t="str">
        <f>HYPERLINK("https://www.spark-marketing.ru/Card/Lot/71542227", "Оказание услуг по организации диетического лечебного питания для государственного бюджетного учреждения здравоохранения Самарской области «Тольяттинская городская клиническая больница №2 имени В.В. Баныкина»")</f>
        <v>Оказание услуг по организации диетического лечебного питания для государственного бюджетного учреждения здравоохранения Самарской области «Тольяттинская городская клиническая больница №2 имени В.В. Баныкина»</v>
      </c>
      <c r="G15980" s="22" t="s">
        <v>128</v>
      </c>
      <c r="H15980" s="22" t="s">
        <v>2819</v>
      </c>
      <c r="I15980" s="26">
        <v>43636.6118055556</v>
      </c>
      <c r="J15980" s="23" t="str">
        <f>HYPERLINK("https://www.spark-marketing.ru/Card/Person/31748", "ЧУСТРИ ""АРАХНА"" ТГООИВ")</f>
        <v>ЧУСТРИ "АРАХНА" ТГООИВ</v>
      </c>
      <c r="K15980" s="24" t="s">
        <v>14531</v>
      </c>
      <c r="L15980" s="22" t="s">
        <v>10</v>
      </c>
      <c r="M15980" s="25">
        <v>16938453</v>
      </c>
      <c r="N15980" s="27">
        <v>0</v>
      </c>
    </row>
    <row r="15981" spans="1:14" x14ac:dyDescent="0.15">
      <c r="A15981" s="23" t="str">
        <f>HYPERLINK("https://www.spark-marketing.ru/Card/Person/1320368", "ГАУ ""КЦСОН ""ЗОЛОТАЯ ОСЕНЬ"" ГОРОДА НИЖНИЙ ТАГИЛ""")</f>
        <v>ГАУ "КЦСОН "ЗОЛОТАЯ ОСЕНЬ" ГОРОДА НИЖНИЙ ТАГИЛ"</v>
      </c>
      <c r="B15981" s="24" t="s">
        <v>2609</v>
      </c>
      <c r="C15981" s="25">
        <v>346275</v>
      </c>
      <c r="D15981" s="22" t="s">
        <v>20969</v>
      </c>
      <c r="E15981" s="22" t="s">
        <v>362</v>
      </c>
      <c r="F15981" s="23" t="str">
        <f>HYPERLINK("https://www.spark-marketing.ru/Card/Lot/71529455", "Оказание услуг по приготовлению и поставке горячего питания для получателей социальных услуг в отделении дневного пребывания ГАУ ""КЦСОН «Золотая осень» города Нижний Тагил""")</f>
        <v>Оказание услуг по приготовлению и поставке горячего питания для получателей социальных услуг в отделении дневного пребывания ГАУ "КЦСОН «Золотая осень» города Нижний Тагил"</v>
      </c>
      <c r="G15981" s="22" t="s">
        <v>174</v>
      </c>
      <c r="H15981" s="22" t="s">
        <v>174</v>
      </c>
      <c r="I15981" s="26">
        <v>43636.603773148097</v>
      </c>
      <c r="J15981" s="28" t="s">
        <v>51</v>
      </c>
      <c r="K15981" s="28" t="s">
        <v>51</v>
      </c>
      <c r="L15981" s="28" t="s">
        <v>51</v>
      </c>
      <c r="M15981" s="28" t="s">
        <v>51</v>
      </c>
      <c r="N15981" s="28" t="s">
        <v>51</v>
      </c>
    </row>
    <row r="15982" spans="1:14" x14ac:dyDescent="0.15">
      <c r="A15982" s="23" t="str">
        <f>HYPERLINK("https://www.spark-marketing.ru/Card/Person/245232", "МЕЖМУНИЦИПАЛЬНОЕ УПРАВЛЕНИЕ МВД РОССИИ ""НОВОЧЕРКАССКОЕ""")</f>
        <v>МЕЖМУНИЦИПАЛЬНОЕ УПРАВЛЕНИЕ МВД РОССИИ "НОВОЧЕРКАССКОЕ"</v>
      </c>
      <c r="B15982" s="24" t="s">
        <v>20960</v>
      </c>
      <c r="C15982" s="25">
        <v>2059548.32</v>
      </c>
      <c r="D15982" s="22" t="s">
        <v>20970</v>
      </c>
      <c r="E15982" s="22" t="s">
        <v>48</v>
      </c>
      <c r="F15982" s="23" t="str">
        <f>HYPERLINK("https://www.spark-marketing.ru/Card/Lot/71542032", "Прочая закупка товаров, работ и услуг (Услуги по осуществлению горячего питания лиц, содержащихся в специальном приемнике для содержания лиц, подвергнутых административному аресту и лиц, задержанных за административное правонарушение на срок более 3 ...")</f>
        <v>Прочая закупка товаров, работ и услуг (Услуги по осуществлению горячего питания лиц, содержащихся в специальном приемнике для содержания лиц, подвергнутых административному аресту и лиц, задержанных за административное правонарушение на срок более 3 ...</v>
      </c>
      <c r="G15982" s="22" t="s">
        <v>267</v>
      </c>
      <c r="H15982" s="22" t="s">
        <v>6353</v>
      </c>
      <c r="I15982" s="26">
        <v>43636.619444444397</v>
      </c>
      <c r="J15982" s="28" t="s">
        <v>51</v>
      </c>
      <c r="K15982" s="28" t="s">
        <v>51</v>
      </c>
      <c r="L15982" s="28" t="s">
        <v>51</v>
      </c>
      <c r="M15982" s="28" t="s">
        <v>51</v>
      </c>
      <c r="N15982" s="28" t="s">
        <v>51</v>
      </c>
    </row>
    <row r="15983" spans="1:14" ht="12.75" hidden="1" outlineLevel="1" x14ac:dyDescent="0.2">
      <c r="A15983" s="23" t="str">
        <f>HYPERLINK("https://www.spark-marketing.ru/Card/Person/245232", "МЕЖМУНИЦИПАЛЬНОЕ УПРАВЛЕНИЕ МВД РОССИИ ""НОВОЧЕРКАССКОЕ""")</f>
        <v>МЕЖМУНИЦИПАЛЬНОЕ УПРАВЛЕНИЕ МВД РОССИИ "НОВОЧЕРКАССКОЕ"</v>
      </c>
      <c r="B15983" s="24" t="s">
        <v>20960</v>
      </c>
      <c r="C15983" s="25">
        <v>2059548.32</v>
      </c>
      <c r="D15983" s="22" t="s">
        <v>20970</v>
      </c>
      <c r="E15983" s="22" t="s">
        <v>48</v>
      </c>
      <c r="F15983" s="23" t="str">
        <f>HYPERLINK("https://www.spark-marketing.ru/Card/Lot/71542032", "Прочая закупка товаров, работ и услуг (Услуги по осуществлению горячего питания лиц, содержащихся в специальном приемнике для содержания лиц, подвергнутых административному аресту и лиц, задержанных за административное правонарушение на срок более 3 ...")</f>
        <v>Прочая закупка товаров, работ и услуг (Услуги по осуществлению горячего питания лиц, содержащихся в специальном приемнике для содержания лиц, подвергнутых административному аресту и лиц, задержанных за административное правонарушение на срок более 3 ...</v>
      </c>
      <c r="G15983" s="22" t="s">
        <v>267</v>
      </c>
      <c r="H15983" s="22" t="s">
        <v>6353</v>
      </c>
      <c r="I15983" s="26">
        <v>43636.619444444397</v>
      </c>
      <c r="J15983" s="23" t="str">
        <f>HYPERLINK("https://www.spark-marketing.ru/Card/Person/122233", "ООО ""СПЕЦТОРГ""")</f>
        <v>ООО "СПЕЦТОРГ"</v>
      </c>
      <c r="K15983" s="24" t="s">
        <v>20971</v>
      </c>
      <c r="L15983" s="22" t="s">
        <v>10</v>
      </c>
      <c r="M15983" s="25">
        <v>1136468.6200000001</v>
      </c>
      <c r="N15983" s="27">
        <v>0.44819521398750189</v>
      </c>
    </row>
    <row r="15984" spans="1:14" hidden="1" outlineLevel="1" x14ac:dyDescent="0.2">
      <c r="A15984" s="23" t="str">
        <f>HYPERLINK("https://www.spark-marketing.ru/Card/Person/245232", "МЕЖМУНИЦИПАЛЬНОЕ УПРАВЛЕНИЕ МВД РОССИИ ""НОВОЧЕРКАССКОЕ""")</f>
        <v>МЕЖМУНИЦИПАЛЬНОЕ УПРАВЛЕНИЕ МВД РОССИИ "НОВОЧЕРКАССКОЕ"</v>
      </c>
      <c r="B15984" s="24" t="s">
        <v>20960</v>
      </c>
      <c r="C15984" s="25">
        <v>2059548.32</v>
      </c>
      <c r="D15984" s="22" t="s">
        <v>20970</v>
      </c>
      <c r="E15984" s="22" t="s">
        <v>48</v>
      </c>
      <c r="F15984" s="23" t="str">
        <f>HYPERLINK("https://www.spark-marketing.ru/Card/Lot/71542032", "Прочая закупка товаров, работ и услуг (Услуги по осуществлению горячего питания лиц, содержащихся в специальном приемнике для содержания лиц, подвергнутых административному аресту и лиц, задержанных за административное правонарушение на срок более 3 ...")</f>
        <v>Прочая закупка товаров, работ и услуг (Услуги по осуществлению горячего питания лиц, содержащихся в специальном приемнике для содержания лиц, подвергнутых административному аресту и лиц, задержанных за административное правонарушение на срок более 3 ...</v>
      </c>
      <c r="G15984" s="22" t="s">
        <v>267</v>
      </c>
      <c r="H15984" s="22" t="s">
        <v>6353</v>
      </c>
      <c r="I15984" s="26">
        <v>43636.619444444397</v>
      </c>
      <c r="J15984" s="23" t="str">
        <f>HYPERLINK("https://www.spark-marketing.ru/Card/Person/6506477", "Олексяк Алексей Петрович")</f>
        <v>Олексяк Алексей Петрович</v>
      </c>
      <c r="K15984" s="24" t="s">
        <v>20962</v>
      </c>
      <c r="L15984" s="28" t="s">
        <v>51</v>
      </c>
      <c r="M15984" s="25">
        <v>1146766.3600000001</v>
      </c>
      <c r="N15984" s="27">
        <v>0.44319521476437124</v>
      </c>
    </row>
    <row r="15985" spans="1:14" x14ac:dyDescent="0.15">
      <c r="A15985" s="23" t="str">
        <f>HYPERLINK("https://www.spark-marketing.ru/Card/Person/2116446", "ГАПОУ ""ПККИ""")</f>
        <v>ГАПОУ "ПККИ"</v>
      </c>
      <c r="B15985" s="24" t="s">
        <v>20931</v>
      </c>
      <c r="C15985" s="25">
        <v>151900</v>
      </c>
      <c r="D15985" s="22" t="s">
        <v>20972</v>
      </c>
      <c r="E15985" s="22" t="s">
        <v>580</v>
      </c>
      <c r="F15985" s="23" t="str">
        <f>HYPERLINK("https://www.spark-marketing.ru/Card/Lot/71519701", "Услуги по предоставлению питания для детей и преподавателей в период проведения Летней творческой школы для детей и преподавателей Филиал г. Находка")</f>
        <v>Услуги по предоставлению питания для детей и преподавателей в период проведения Летней творческой школы для детей и преподавателей Филиал г. Находка</v>
      </c>
      <c r="G15985" s="22" t="s">
        <v>543</v>
      </c>
      <c r="H15985" s="22" t="s">
        <v>543</v>
      </c>
      <c r="I15985" s="26">
        <v>43636.623888888898</v>
      </c>
      <c r="J15985" s="28" t="s">
        <v>51</v>
      </c>
      <c r="K15985" s="28" t="s">
        <v>51</v>
      </c>
      <c r="L15985" s="28" t="s">
        <v>51</v>
      </c>
      <c r="M15985" s="28" t="s">
        <v>51</v>
      </c>
      <c r="N15985" s="28" t="s">
        <v>51</v>
      </c>
    </row>
    <row r="15986" spans="1:14" x14ac:dyDescent="0.15">
      <c r="A15986" s="23" t="str">
        <f>HYPERLINK("https://www.spark-marketing.ru/Card/Person/8433", "ФГКУ КОМБИНАТ ""СТАНДАРТ"" РОСРЕЗЕРВА")</f>
        <v>ФГКУ КОМБИНАТ "СТАНДАРТ" РОСРЕЗЕРВА</v>
      </c>
      <c r="B15986" s="24" t="s">
        <v>20973</v>
      </c>
      <c r="C15986" s="25">
        <v>131884.32999999999</v>
      </c>
      <c r="D15986" s="22" t="s">
        <v>20974</v>
      </c>
      <c r="E15986" s="22" t="s">
        <v>809</v>
      </c>
      <c r="F15986" s="23" t="str">
        <f>HYPERLINK("https://www.spark-marketing.ru/Card/Lot/71546505", "Услуги в сфере информационно-коммуникационных технологий (Поставка компьютеров, офисной техники и расходных материалов)")</f>
        <v>Услуги в сфере информационно-коммуникационных технологий (Поставка компьютеров, офисной техники и расходных материалов)</v>
      </c>
      <c r="G15986" s="22" t="s">
        <v>663</v>
      </c>
      <c r="H15986" s="22" t="s">
        <v>663</v>
      </c>
      <c r="I15986" s="26">
        <v>43636.613888888904</v>
      </c>
      <c r="J15986" s="23" t="str">
        <f>HYPERLINK("https://www.spark-marketing.ru/Card/Person/501960", "ООО ""КОМПЬЮТЕР-ИМИДЖ ПЛЮС""")</f>
        <v>ООО "КОМПЬЮТЕР-ИМИДЖ ПЛЮС"</v>
      </c>
      <c r="K15986" s="24" t="s">
        <v>20975</v>
      </c>
      <c r="L15986" s="22" t="s">
        <v>10</v>
      </c>
      <c r="M15986" s="28" t="s">
        <v>51</v>
      </c>
      <c r="N15986" s="28" t="s">
        <v>51</v>
      </c>
    </row>
    <row r="15987" spans="1:14" x14ac:dyDescent="0.15">
      <c r="A15987" s="23" t="str">
        <f>HYPERLINK("https://www.spark-marketing.ru/Card/Person/17526", "ГБУЗ ""ВОККВД""")</f>
        <v>ГБУЗ "ВОККВД"</v>
      </c>
      <c r="B15987" s="24" t="s">
        <v>20233</v>
      </c>
      <c r="C15987" s="25">
        <v>470155</v>
      </c>
      <c r="D15987" s="22" t="s">
        <v>20976</v>
      </c>
      <c r="E15987" s="22" t="s">
        <v>48</v>
      </c>
      <c r="F15987" s="23" t="str">
        <f>HYPERLINK("https://www.spark-marketing.ru/Card/Lot/71537776", "Оказание услуг по приготовлению и доставке лечебно-диетического питания в Михайловском филиале ГБУЗ ""ВОККВД""")</f>
        <v>Оказание услуг по приготовлению и доставке лечебно-диетического питания в Михайловском филиале ГБУЗ "ВОККВД"</v>
      </c>
      <c r="G15987" s="22" t="s">
        <v>158</v>
      </c>
      <c r="H15987" s="22" t="s">
        <v>171</v>
      </c>
      <c r="I15987" s="26">
        <v>43636.557638888902</v>
      </c>
      <c r="J15987" s="23" t="str">
        <f>HYPERLINK("https://www.spark-marketing.ru/Card/Person/520670", "ООО ""СОЮЗ К""")</f>
        <v>ООО "СОЮЗ К"</v>
      </c>
      <c r="K15987" s="24" t="s">
        <v>10035</v>
      </c>
      <c r="L15987" s="22" t="s">
        <v>10</v>
      </c>
      <c r="M15987" s="28" t="s">
        <v>51</v>
      </c>
      <c r="N15987" s="28" t="s">
        <v>51</v>
      </c>
    </row>
    <row r="15988" spans="1:14" x14ac:dyDescent="0.15">
      <c r="A15988" s="23" t="str">
        <f>HYPERLINK("https://www.spark-marketing.ru/Card/Person/56088", "МВД ПО РЕСПУБЛИКЕ МОРДОВИЯ")</f>
        <v>МВД ПО РЕСПУБЛИКЕ МОРДОВИЯ</v>
      </c>
      <c r="B15988" s="24" t="s">
        <v>20977</v>
      </c>
      <c r="C15988" s="25">
        <v>2190000</v>
      </c>
      <c r="D15988" s="22" t="s">
        <v>20978</v>
      </c>
      <c r="E15988" s="22" t="s">
        <v>48</v>
      </c>
      <c r="F15988" s="23" t="str">
        <f>HYPERLINK("https://www.spark-marketing.ru/Card/Lot/71541646", "Оказание услуг по предоставлению ежедневного трехразового горячего питания лицам, находящимся в Центре временного содержания иностранных граждан МВД по Республике Мордовия")</f>
        <v>Оказание услуг по предоставлению ежедневного трехразового горячего питания лицам, находящимся в Центре временного содержания иностранных граждан МВД по Республике Мордовия</v>
      </c>
      <c r="G15988" s="22" t="s">
        <v>277</v>
      </c>
      <c r="H15988" s="22" t="s">
        <v>8916</v>
      </c>
      <c r="I15988" s="26">
        <v>43636.567361111098</v>
      </c>
      <c r="J15988" s="23" t="str">
        <f>HYPERLINK("https://www.spark-marketing.ru/Card/Person/316025", "ООО ""ПИТ-ОН""")</f>
        <v>ООО "ПИТ-ОН"</v>
      </c>
      <c r="K15988" s="24" t="s">
        <v>12624</v>
      </c>
      <c r="L15988" s="22" t="s">
        <v>10</v>
      </c>
      <c r="M15988" s="28" t="s">
        <v>51</v>
      </c>
      <c r="N15988" s="28" t="s">
        <v>51</v>
      </c>
    </row>
    <row r="15989" spans="1:14" x14ac:dyDescent="0.2">
      <c r="A15989" s="23" t="str">
        <f>HYPERLINK("https://www.spark-marketing.ru/Card/Person/14306", "ИХБФМ СО РАН")</f>
        <v>ИХБФМ СО РАН</v>
      </c>
      <c r="B15989" s="24" t="s">
        <v>20944</v>
      </c>
      <c r="C15989" s="25">
        <v>160920</v>
      </c>
      <c r="D15989" s="22" t="s">
        <v>20979</v>
      </c>
      <c r="E15989" s="22" t="s">
        <v>580</v>
      </c>
      <c r="F15989" s="23" t="str">
        <f>HYPERLINK("https://www.spark-marketing.ru/Card/Lot/71524458", "Оказание услуг по организации питания")</f>
        <v>Оказание услуг по организации питания</v>
      </c>
      <c r="G15989" s="22" t="s">
        <v>195</v>
      </c>
      <c r="H15989" s="22" t="s">
        <v>195</v>
      </c>
      <c r="I15989" s="26">
        <v>43636.558645833298</v>
      </c>
      <c r="J15989" s="23" t="str">
        <f>HYPERLINK("https://www.spark-marketing.ru/Card/Person/6619882", "ООО КВАРТИРА")</f>
        <v>ООО КВАРТИРА</v>
      </c>
      <c r="K15989" s="28" t="s">
        <v>51</v>
      </c>
      <c r="L15989" s="28" t="s">
        <v>51</v>
      </c>
      <c r="M15989" s="25">
        <v>160920</v>
      </c>
      <c r="N15989" s="27">
        <v>0</v>
      </c>
    </row>
    <row r="15990" spans="1:14" x14ac:dyDescent="0.15">
      <c r="A15990" s="23" t="str">
        <f>HYPERLINK("https://www.spark-marketing.ru/Card/Person/6168043", "ГБУ РЕСПУБЛИКИ МАРИЙ ЭЛ ""ЦСП""")</f>
        <v>ГБУ РЕСПУБЛИКИ МАРИЙ ЭЛ "ЦСП"</v>
      </c>
      <c r="B15990" s="24" t="s">
        <v>18465</v>
      </c>
      <c r="C15990" s="25">
        <v>1344000</v>
      </c>
      <c r="D15990" s="22" t="s">
        <v>20980</v>
      </c>
      <c r="E15990" s="22" t="s">
        <v>362</v>
      </c>
      <c r="F15990" s="23" t="str">
        <f>HYPERLINK("https://www.spark-marketing.ru/Card/Lot/71533309", "Услуги питания участников III Всероссийской летней Спартакиады инвалидов 2019 года")</f>
        <v>Услуги питания участников III Всероссийской летней Спартакиады инвалидов 2019 года</v>
      </c>
      <c r="G15990" s="22" t="s">
        <v>3249</v>
      </c>
      <c r="H15990" s="22" t="s">
        <v>3249</v>
      </c>
      <c r="I15990" s="26">
        <v>43636.577476851897</v>
      </c>
      <c r="J15990" s="28" t="s">
        <v>51</v>
      </c>
      <c r="K15990" s="28" t="s">
        <v>51</v>
      </c>
      <c r="L15990" s="28" t="s">
        <v>51</v>
      </c>
      <c r="M15990" s="28" t="s">
        <v>51</v>
      </c>
      <c r="N15990" s="28" t="s">
        <v>51</v>
      </c>
    </row>
    <row r="15991" spans="1:14" x14ac:dyDescent="0.2">
      <c r="A15991" s="23" t="str">
        <f>HYPERLINK("https://www.spark-marketing.ru/Card/Person/14306", "ИХБФМ СО РАН")</f>
        <v>ИХБФМ СО РАН</v>
      </c>
      <c r="B15991" s="24" t="s">
        <v>20944</v>
      </c>
      <c r="C15991" s="25">
        <v>684073</v>
      </c>
      <c r="D15991" s="22" t="s">
        <v>20981</v>
      </c>
      <c r="E15991" s="22" t="s">
        <v>580</v>
      </c>
      <c r="F15991" s="23" t="str">
        <f>HYPERLINK("https://www.spark-marketing.ru/Card/Lot/71526458", "Оказание услуг по организации питания в рамках мероприятия")</f>
        <v>Оказание услуг по организации питания в рамках мероприятия</v>
      </c>
      <c r="G15991" s="22" t="s">
        <v>195</v>
      </c>
      <c r="H15991" s="22" t="s">
        <v>195</v>
      </c>
      <c r="I15991" s="26">
        <v>43636.580451388902</v>
      </c>
      <c r="J15991" s="23" t="str">
        <f>HYPERLINK("https://www.spark-marketing.ru/Card/Person/6619889", "СИДЕВИЧ А Б")</f>
        <v>СИДЕВИЧ А Б</v>
      </c>
      <c r="K15991" s="28" t="s">
        <v>51</v>
      </c>
      <c r="L15991" s="28" t="s">
        <v>51</v>
      </c>
      <c r="M15991" s="25">
        <v>684073</v>
      </c>
      <c r="N15991" s="27">
        <v>0</v>
      </c>
    </row>
    <row r="15992" spans="1:14" x14ac:dyDescent="0.15">
      <c r="A15992" s="23" t="str">
        <f>HYPERLINK("https://www.spark-marketing.ru/Card/Person/151831", "УПРАВЛЕНИЕ ОБРАЗОВАНИЯ АДМИНИСТРАЦИИ ГОРОДСКОГО ОКРУГА ЛОБНЯ")</f>
        <v>УПРАВЛЕНИЕ ОБРАЗОВАНИЯ АДМИНИСТРАЦИИ ГОРОДСКОГО ОКРУГА ЛОБНЯ</v>
      </c>
      <c r="B15992" s="24" t="s">
        <v>20982</v>
      </c>
      <c r="C15992" s="25">
        <v>93744</v>
      </c>
      <c r="D15992" s="22" t="s">
        <v>20983</v>
      </c>
      <c r="E15992" s="22" t="s">
        <v>48</v>
      </c>
      <c r="F15992" s="23" t="str">
        <f>HYPERLINK("https://www.spark-marketing.ru/Card/Lot/71530061", "Услуги по обеспечению питанием, осуществляемые по договору, прочие")</f>
        <v>Услуги по обеспечению питанием, осуществляемые по договору, прочие</v>
      </c>
      <c r="G15992" s="22" t="s">
        <v>49</v>
      </c>
      <c r="H15992" s="22" t="s">
        <v>378</v>
      </c>
      <c r="I15992" s="26">
        <v>43636.544710648202</v>
      </c>
      <c r="J15992" s="28" t="s">
        <v>51</v>
      </c>
      <c r="K15992" s="28" t="s">
        <v>51</v>
      </c>
      <c r="L15992" s="28" t="s">
        <v>51</v>
      </c>
      <c r="M15992" s="28" t="s">
        <v>51</v>
      </c>
      <c r="N15992" s="28" t="s">
        <v>51</v>
      </c>
    </row>
    <row r="15993" spans="1:14" x14ac:dyDescent="0.15">
      <c r="A15993" s="23" t="str">
        <f>HYPERLINK("https://www.spark-marketing.ru/Card/Person/6168043", "ГБУ РЕСПУБЛИКИ МАРИЙ ЭЛ ""ЦСП""")</f>
        <v>ГБУ РЕСПУБЛИКИ МАРИЙ ЭЛ "ЦСП"</v>
      </c>
      <c r="B15993" s="24" t="s">
        <v>18465</v>
      </c>
      <c r="C15993" s="25">
        <v>1680000</v>
      </c>
      <c r="D15993" s="22" t="s">
        <v>20984</v>
      </c>
      <c r="E15993" s="22" t="s">
        <v>362</v>
      </c>
      <c r="F15993" s="23" t="str">
        <f>HYPERLINK("https://www.spark-marketing.ru/Card/Lot/71533239", "Услуги питания")</f>
        <v>Услуги питания</v>
      </c>
      <c r="G15993" s="22" t="s">
        <v>3249</v>
      </c>
      <c r="H15993" s="22" t="s">
        <v>3249</v>
      </c>
      <c r="I15993" s="26">
        <v>43636.581296296303</v>
      </c>
      <c r="J15993" s="28" t="s">
        <v>51</v>
      </c>
      <c r="K15993" s="28" t="s">
        <v>51</v>
      </c>
      <c r="L15993" s="28" t="s">
        <v>51</v>
      </c>
      <c r="M15993" s="28" t="s">
        <v>51</v>
      </c>
      <c r="N15993" s="28" t="s">
        <v>51</v>
      </c>
    </row>
    <row r="15994" spans="1:14" x14ac:dyDescent="0.15">
      <c r="A15994" s="23" t="str">
        <f>HYPERLINK("https://www.spark-marketing.ru/Card/Person/73440", "ГБПОУ ПТТТИС")</f>
        <v>ГБПОУ ПТТТИС</v>
      </c>
      <c r="B15994" s="24" t="s">
        <v>14441</v>
      </c>
      <c r="C15994" s="25">
        <v>11091000</v>
      </c>
      <c r="D15994" s="22" t="s">
        <v>20985</v>
      </c>
      <c r="E15994" s="22" t="s">
        <v>96</v>
      </c>
      <c r="F15994" s="23" t="str">
        <f>HYPERLINK("https://www.spark-marketing.ru/Card/Lot/71542110", "Оказание услуг по организации ежедневного четырехразового питания при проведении Северо-Кавказского молодежного форума «Машук» в 2019 году для обеспечения государственных нужд Ставропольского края")</f>
        <v>Оказание услуг по организации ежедневного четырехразового питания при проведении Северо-Кавказского молодежного форума «Машук» в 2019 году для обеспечения государственных нужд Ставропольского края</v>
      </c>
      <c r="G15994" s="22" t="s">
        <v>87</v>
      </c>
      <c r="H15994" s="22" t="s">
        <v>5826</v>
      </c>
      <c r="I15994" s="26">
        <v>43636.501388888901</v>
      </c>
      <c r="J15994" s="28" t="s">
        <v>51</v>
      </c>
      <c r="K15994" s="28" t="s">
        <v>51</v>
      </c>
      <c r="L15994" s="28" t="s">
        <v>51</v>
      </c>
      <c r="M15994" s="28" t="s">
        <v>51</v>
      </c>
      <c r="N15994" s="28" t="s">
        <v>51</v>
      </c>
    </row>
    <row r="15995" spans="1:14" ht="12.75" hidden="1" outlineLevel="1" x14ac:dyDescent="0.2">
      <c r="A15995" s="23" t="str">
        <f>HYPERLINK("https://www.spark-marketing.ru/Card/Person/73440", "ГБПОУ ПТТТИС")</f>
        <v>ГБПОУ ПТТТИС</v>
      </c>
      <c r="B15995" s="24" t="s">
        <v>14441</v>
      </c>
      <c r="C15995" s="25">
        <v>11091000</v>
      </c>
      <c r="D15995" s="22" t="s">
        <v>20985</v>
      </c>
      <c r="E15995" s="22" t="s">
        <v>96</v>
      </c>
      <c r="F15995" s="23" t="str">
        <f>HYPERLINK("https://www.spark-marketing.ru/Card/Lot/71542110", "Оказание услуг по организации ежедневного четырехразового питания при проведении Северо-Кавказского молодежного форума «Машук» в 2019 году для обеспечения государственных нужд Ставропольского края")</f>
        <v>Оказание услуг по организации ежедневного четырехразового питания при проведении Северо-Кавказского молодежного форума «Машук» в 2019 году для обеспечения государственных нужд Ставропольского края</v>
      </c>
      <c r="G15995" s="22" t="s">
        <v>87</v>
      </c>
      <c r="H15995" s="22" t="s">
        <v>5826</v>
      </c>
      <c r="I15995" s="26">
        <v>43636.501388888901</v>
      </c>
      <c r="J15995" s="23" t="str">
        <f>HYPERLINK("https://www.spark-marketing.ru/Card/Person/5900766", "ООО ""АЛЬЯНС""")</f>
        <v>ООО "АЛЬЯНС"</v>
      </c>
      <c r="K15995" s="24" t="s">
        <v>14444</v>
      </c>
      <c r="L15995" s="22" t="s">
        <v>10</v>
      </c>
      <c r="M15995" s="25">
        <v>10980090</v>
      </c>
      <c r="N15995" s="27">
        <v>0.01</v>
      </c>
    </row>
    <row r="15996" spans="1:14" hidden="1" outlineLevel="1" x14ac:dyDescent="0.2">
      <c r="A15996" s="23" t="str">
        <f>HYPERLINK("https://www.spark-marketing.ru/Card/Person/73440", "ГБПОУ ПТТТИС")</f>
        <v>ГБПОУ ПТТТИС</v>
      </c>
      <c r="B15996" s="24" t="s">
        <v>14441</v>
      </c>
      <c r="C15996" s="25">
        <v>11091000</v>
      </c>
      <c r="D15996" s="22" t="s">
        <v>20985</v>
      </c>
      <c r="E15996" s="22" t="s">
        <v>96</v>
      </c>
      <c r="F15996" s="23" t="str">
        <f>HYPERLINK("https://www.spark-marketing.ru/Card/Lot/71542110", "Оказание услуг по организации ежедневного четырехразового питания при проведении Северо-Кавказского молодежного форума «Машук» в 2019 году для обеспечения государственных нужд Ставропольского края")</f>
        <v>Оказание услуг по организации ежедневного четырехразового питания при проведении Северо-Кавказского молодежного форума «Машук» в 2019 году для обеспечения государственных нужд Ставропольского края</v>
      </c>
      <c r="G15996" s="22" t="s">
        <v>87</v>
      </c>
      <c r="H15996" s="22" t="s">
        <v>5826</v>
      </c>
      <c r="I15996" s="26">
        <v>43636.501388888901</v>
      </c>
      <c r="J15996" s="23" t="str">
        <f>HYPERLINK("https://www.spark-marketing.ru/Card/Person/468101", "Аргашокова Олеся Валерьевна")</f>
        <v>Аргашокова Олеся Валерьевна</v>
      </c>
      <c r="K15996" s="24" t="s">
        <v>20986</v>
      </c>
      <c r="L15996" s="28" t="s">
        <v>51</v>
      </c>
      <c r="M15996" s="25">
        <v>11035545</v>
      </c>
      <c r="N15996" s="27">
        <v>5.0000000000000001E-3</v>
      </c>
    </row>
    <row r="15997" spans="1:14" x14ac:dyDescent="0.15">
      <c r="A15997" s="23" t="str">
        <f>HYPERLINK("https://www.spark-marketing.ru/Card/Person/236030", "ОГАУСО ""КЦСОН""")</f>
        <v>ОГАУСО "КЦСОН"</v>
      </c>
      <c r="B15997" s="24" t="s">
        <v>549</v>
      </c>
      <c r="C15997" s="25">
        <v>1000000</v>
      </c>
      <c r="D15997" s="22" t="s">
        <v>20987</v>
      </c>
      <c r="E15997" s="22" t="s">
        <v>2265</v>
      </c>
      <c r="F15997" s="23" t="str">
        <f>HYPERLINK("https://www.spark-marketing.ru/Card/Lot/71520198", "Оказание услуг на поставку продуктов питания")</f>
        <v>Оказание услуг на поставку продуктов питания</v>
      </c>
      <c r="G15997" s="22" t="s">
        <v>263</v>
      </c>
      <c r="H15997" s="22" t="s">
        <v>263</v>
      </c>
      <c r="I15997" s="26">
        <v>43636.519513888903</v>
      </c>
      <c r="J15997" s="28" t="s">
        <v>51</v>
      </c>
      <c r="K15997" s="28" t="s">
        <v>51</v>
      </c>
      <c r="L15997" s="28" t="s">
        <v>51</v>
      </c>
      <c r="M15997" s="28" t="s">
        <v>51</v>
      </c>
      <c r="N15997" s="28" t="s">
        <v>51</v>
      </c>
    </row>
    <row r="15998" spans="1:14" x14ac:dyDescent="0.15">
      <c r="A15998" s="23" t="str">
        <f>HYPERLINK("https://www.spark-marketing.ru/Card/Person/1025332", "О МВД РОССИИ ПО Г. ОТРАДНОМУ")</f>
        <v>О МВД РОССИИ ПО Г. ОТРАДНОМУ</v>
      </c>
      <c r="B15998" s="24" t="s">
        <v>20988</v>
      </c>
      <c r="C15998" s="25">
        <v>1025800</v>
      </c>
      <c r="D15998" s="22" t="s">
        <v>20989</v>
      </c>
      <c r="E15998" s="22" t="s">
        <v>96</v>
      </c>
      <c r="F15998" s="23" t="str">
        <f>HYPERLINK("https://www.spark-marketing.ru/Card/Lot/71540354", "Питание арестованных")</f>
        <v>Питание арестованных</v>
      </c>
      <c r="G15998" s="22" t="s">
        <v>128</v>
      </c>
      <c r="H15998" s="22" t="s">
        <v>418</v>
      </c>
      <c r="I15998" s="26">
        <v>43636.534722222197</v>
      </c>
      <c r="J15998" s="23" t="str">
        <f>HYPERLINK("https://www.spark-marketing.ru/Card/Person/627412", "ООО ""ИГУАНА №3""")</f>
        <v>ООО "ИГУАНА №3"</v>
      </c>
      <c r="K15998" s="24" t="s">
        <v>20990</v>
      </c>
      <c r="L15998" s="22" t="s">
        <v>10</v>
      </c>
      <c r="M15998" s="28" t="s">
        <v>51</v>
      </c>
      <c r="N15998" s="28" t="s">
        <v>51</v>
      </c>
    </row>
    <row r="15999" spans="1:14" x14ac:dyDescent="0.15">
      <c r="A15999" s="23" t="str">
        <f>HYPERLINK("https://www.spark-marketing.ru/Card/Person/1025332", "О МВД РОССИИ ПО Г. ОТРАДНОМУ")</f>
        <v>О МВД РОССИИ ПО Г. ОТРАДНОМУ</v>
      </c>
      <c r="B15999" s="24" t="s">
        <v>20988</v>
      </c>
      <c r="C15999" s="25">
        <v>1025800</v>
      </c>
      <c r="D15999" s="22" t="s">
        <v>20991</v>
      </c>
      <c r="E15999" s="22" t="s">
        <v>96</v>
      </c>
      <c r="F15999" s="23" t="str">
        <f>HYPERLINK("https://www.spark-marketing.ru/Card/Lot/71540353", "Питание арестованных")</f>
        <v>Питание арестованных</v>
      </c>
      <c r="G15999" s="22" t="s">
        <v>128</v>
      </c>
      <c r="H15999" s="22" t="s">
        <v>418</v>
      </c>
      <c r="I15999" s="26">
        <v>43636.536111111098</v>
      </c>
      <c r="J15999" s="23" t="str">
        <f>HYPERLINK("https://www.spark-marketing.ru/Card/Person/627412", "ООО ""ИГУАНА №3""")</f>
        <v>ООО "ИГУАНА №3"</v>
      </c>
      <c r="K15999" s="24" t="s">
        <v>20990</v>
      </c>
      <c r="L15999" s="22" t="s">
        <v>10</v>
      </c>
      <c r="M15999" s="28" t="s">
        <v>51</v>
      </c>
      <c r="N15999" s="28" t="s">
        <v>51</v>
      </c>
    </row>
    <row r="16000" spans="1:14" x14ac:dyDescent="0.15">
      <c r="A16000" s="23" t="str">
        <f>HYPERLINK("https://www.spark-marketing.ru/Card/Person/56088", "МВД ПО РЕСПУБЛИКЕ МОРДОВИЯ")</f>
        <v>МВД ПО РЕСПУБЛИКЕ МОРДОВИЯ</v>
      </c>
      <c r="B16000" s="24" t="s">
        <v>20977</v>
      </c>
      <c r="C16000" s="25">
        <v>2190000</v>
      </c>
      <c r="D16000" s="22" t="s">
        <v>20992</v>
      </c>
      <c r="E16000" s="22" t="s">
        <v>48</v>
      </c>
      <c r="F16000" s="23" t="str">
        <f>HYPERLINK("https://www.spark-marketing.ru/Card/Lot/71541597", "Оказание услуг по предоставлению ежедневного трехразового горячего питания лицам, находящимся в Центре временного содержания иностранных граждан МВД по Республике Мордовия")</f>
        <v>Оказание услуг по предоставлению ежедневного трехразового горячего питания лицам, находящимся в Центре временного содержания иностранных граждан МВД по Республике Мордовия</v>
      </c>
      <c r="G16000" s="22" t="s">
        <v>277</v>
      </c>
      <c r="H16000" s="22" t="s">
        <v>8916</v>
      </c>
      <c r="I16000" s="26">
        <v>43636.534027777801</v>
      </c>
      <c r="J16000" s="23" t="str">
        <f>HYPERLINK("https://www.spark-marketing.ru/Card/Person/316025", "ООО ""ПИТ-ОН""")</f>
        <v>ООО "ПИТ-ОН"</v>
      </c>
      <c r="K16000" s="24" t="s">
        <v>12624</v>
      </c>
      <c r="L16000" s="22" t="s">
        <v>10</v>
      </c>
      <c r="M16000" s="28" t="s">
        <v>51</v>
      </c>
      <c r="N16000" s="28" t="s">
        <v>51</v>
      </c>
    </row>
    <row r="16001" spans="1:14" x14ac:dyDescent="0.15">
      <c r="A16001" s="23" t="str">
        <f>HYPERLINK("https://www.spark-marketing.ru/Card/Person/734538", "ОТДЕЛ МВД РФ ПО КАБАНСКОМУ РАЙОНУ")</f>
        <v>ОТДЕЛ МВД РФ ПО КАБАНСКОМУ РАЙОНУ</v>
      </c>
      <c r="B16001" s="24" t="s">
        <v>20993</v>
      </c>
      <c r="C16001" s="25">
        <v>99999</v>
      </c>
      <c r="D16001" s="22" t="s">
        <v>20994</v>
      </c>
      <c r="E16001" s="22" t="s">
        <v>96</v>
      </c>
      <c r="F16001" s="23" t="str">
        <f>HYPERLINK("https://www.spark-marketing.ru/Card/Lot/71526841", "Оказание услуг по организации питания (приготовлению и доставке), 285 шт")</f>
        <v>Оказание услуг по организации питания (приготовлению и доставке), 285 шт</v>
      </c>
      <c r="G16001" s="22" t="s">
        <v>433</v>
      </c>
      <c r="H16001" s="22" t="s">
        <v>20995</v>
      </c>
      <c r="I16001" s="26">
        <v>43636.504050925898</v>
      </c>
      <c r="J16001" s="28" t="s">
        <v>51</v>
      </c>
      <c r="K16001" s="28" t="s">
        <v>51</v>
      </c>
      <c r="L16001" s="28" t="s">
        <v>51</v>
      </c>
      <c r="M16001" s="28" t="s">
        <v>51</v>
      </c>
      <c r="N16001" s="28" t="s">
        <v>51</v>
      </c>
    </row>
    <row r="16002" spans="1:14" x14ac:dyDescent="0.15">
      <c r="A16002" s="23" t="str">
        <f>HYPERLINK("https://www.spark-marketing.ru/Card/Person/56444", "ФКУ ""ЦВСИГ МВД РОССИИ, Г. ПСКОВ""")</f>
        <v>ФКУ "ЦВСИГ МВД РОССИИ, Г. ПСКОВ"</v>
      </c>
      <c r="B16002" s="24" t="s">
        <v>9900</v>
      </c>
      <c r="C16002" s="25">
        <v>2629800</v>
      </c>
      <c r="D16002" s="22" t="s">
        <v>20996</v>
      </c>
      <c r="E16002" s="22" t="s">
        <v>96</v>
      </c>
      <c r="F16002" s="23" t="str">
        <f>HYPERLINK("https://www.spark-marketing.ru/Card/Lot/71542020", "оказание услуг по организации питания для иностранных граждан")</f>
        <v>оказание услуг по организации питания для иностранных граждан</v>
      </c>
      <c r="G16002" s="22" t="s">
        <v>415</v>
      </c>
      <c r="H16002" s="22" t="s">
        <v>4542</v>
      </c>
      <c r="I16002" s="26">
        <v>43636.533333333296</v>
      </c>
      <c r="J16002" s="28" t="s">
        <v>51</v>
      </c>
      <c r="K16002" s="28" t="s">
        <v>51</v>
      </c>
      <c r="L16002" s="28" t="s">
        <v>51</v>
      </c>
      <c r="M16002" s="28" t="s">
        <v>51</v>
      </c>
      <c r="N16002" s="28" t="s">
        <v>51</v>
      </c>
    </row>
    <row r="16003" spans="1:14" hidden="1" outlineLevel="1" x14ac:dyDescent="0.2">
      <c r="A16003" s="23" t="str">
        <f>HYPERLINK("https://www.spark-marketing.ru/Card/Person/56444", "ФКУ ""ЦВСИГ МВД РОССИИ, Г. ПСКОВ""")</f>
        <v>ФКУ "ЦВСИГ МВД РОССИИ, Г. ПСКОВ"</v>
      </c>
      <c r="B16003" s="24" t="s">
        <v>9900</v>
      </c>
      <c r="C16003" s="25">
        <v>2629800</v>
      </c>
      <c r="D16003" s="22" t="s">
        <v>20996</v>
      </c>
      <c r="E16003" s="22" t="s">
        <v>96</v>
      </c>
      <c r="F16003" s="23" t="str">
        <f>HYPERLINK("https://www.spark-marketing.ru/Card/Lot/71542020", "оказание услуг по организации питания для иностранных граждан")</f>
        <v>оказание услуг по организации питания для иностранных граждан</v>
      </c>
      <c r="G16003" s="22" t="s">
        <v>415</v>
      </c>
      <c r="H16003" s="22" t="s">
        <v>4542</v>
      </c>
      <c r="I16003" s="26">
        <v>43636.533333333296</v>
      </c>
      <c r="J16003" s="23" t="str">
        <f>HYPERLINK("https://www.spark-marketing.ru/Card/Person/1896760", "УЧЕБНЫЙ ЦЕНТР ""ПСКОВ"", УЦ ""ПСКОВ"", ЧОУ ДПО ""УЧЕБНЫЙ ЦЕНТР ""ПСКОВ""")</f>
        <v>УЧЕБНЫЙ ЦЕНТР "ПСКОВ", УЦ "ПСКОВ", ЧОУ ДПО "УЧЕБНЫЙ ЦЕНТР "ПСКОВ"</v>
      </c>
      <c r="K16003" s="24" t="s">
        <v>20997</v>
      </c>
      <c r="L16003" s="28" t="s">
        <v>51</v>
      </c>
      <c r="M16003" s="25">
        <v>2556750</v>
      </c>
      <c r="N16003" s="27">
        <v>2.7777777777777776E-2</v>
      </c>
    </row>
    <row r="16004" spans="1:14" ht="12.75" hidden="1" outlineLevel="1" x14ac:dyDescent="0.2">
      <c r="A16004" s="23" t="str">
        <f>HYPERLINK("https://www.spark-marketing.ru/Card/Person/56444", "ФКУ ""ЦВСИГ МВД РОССИИ, Г. ПСКОВ""")</f>
        <v>ФКУ "ЦВСИГ МВД РОССИИ, Г. ПСКОВ"</v>
      </c>
      <c r="B16004" s="24" t="s">
        <v>9900</v>
      </c>
      <c r="C16004" s="25">
        <v>2629800</v>
      </c>
      <c r="D16004" s="22" t="s">
        <v>20996</v>
      </c>
      <c r="E16004" s="22" t="s">
        <v>96</v>
      </c>
      <c r="F16004" s="23" t="str">
        <f>HYPERLINK("https://www.spark-marketing.ru/Card/Lot/71542020", "оказание услуг по организации питания для иностранных граждан")</f>
        <v>оказание услуг по организации питания для иностранных граждан</v>
      </c>
      <c r="G16004" s="22" t="s">
        <v>415</v>
      </c>
      <c r="H16004" s="22" t="s">
        <v>4542</v>
      </c>
      <c r="I16004" s="26">
        <v>43636.533333333296</v>
      </c>
      <c r="J16004" s="23" t="str">
        <f>HYPERLINK("https://www.spark-marketing.ru/Card/Person/2325686", "ООО ""АСТАР""")</f>
        <v>ООО "АСТАР"</v>
      </c>
      <c r="K16004" s="24" t="s">
        <v>9902</v>
      </c>
      <c r="L16004" s="22" t="s">
        <v>10</v>
      </c>
      <c r="M16004" s="25">
        <v>2543601</v>
      </c>
      <c r="N16004" s="27">
        <v>3.2777777777777781E-2</v>
      </c>
    </row>
    <row r="16005" spans="1:14" x14ac:dyDescent="0.15">
      <c r="A16005" s="23" t="str">
        <f>HYPERLINK("https://www.spark-marketing.ru/Card/Person/341865", "ГАУК ""БРЯНСКАЯ ОБЛАСТНАЯ ФИЛАРМОНИЯ""")</f>
        <v>ГАУК "БРЯНСКАЯ ОБЛАСТНАЯ ФИЛАРМОНИЯ"</v>
      </c>
      <c r="B16005" s="24" t="s">
        <v>20998</v>
      </c>
      <c r="C16005" s="25">
        <v>317000</v>
      </c>
      <c r="D16005" s="22" t="s">
        <v>20999</v>
      </c>
      <c r="E16005" s="22" t="s">
        <v>554</v>
      </c>
      <c r="F16005" s="23" t="str">
        <f>HYPERLINK("https://www.spark-marketing.ru/Card/Lot/71529396", "Услуга по погрузо-разгрузочным работам, прокладке сети, подключения освещения экспозиции, установка светодиодной ленты и блоков питания в стеклянных витринах, транспортировка мясо-молочных продуктов, монтаж и расстановка экспозиции, демонтаж и вывоз ...")</f>
        <v>Услуга по погрузо-разгрузочным работам, прокладке сети, подключения освещения экспозиции, установка светодиодной ленты и блоков питания в стеклянных витринах, транспортировка мясо-молочных продуктов, монтаж и расстановка экспозиции, демонтаж и вывоз ...</v>
      </c>
      <c r="G16005" s="22" t="s">
        <v>56</v>
      </c>
      <c r="H16005" s="22" t="s">
        <v>56</v>
      </c>
      <c r="I16005" s="26">
        <v>43636.540254629603</v>
      </c>
      <c r="J16005" s="28" t="s">
        <v>51</v>
      </c>
      <c r="K16005" s="28" t="s">
        <v>51</v>
      </c>
      <c r="L16005" s="28" t="s">
        <v>51</v>
      </c>
      <c r="M16005" s="28" t="s">
        <v>51</v>
      </c>
      <c r="N16005" s="28" t="s">
        <v>51</v>
      </c>
    </row>
    <row r="16006" spans="1:14" x14ac:dyDescent="0.15">
      <c r="A16006" s="23" t="str">
        <f>HYPERLINK("https://www.spark-marketing.ru/Card/Person/153670", "ОМВД РОССИИ ПО ТАЗОВСКОМУ РАЙОНУ")</f>
        <v>ОМВД РОССИИ ПО ТАЗОВСКОМУ РАЙОНУ</v>
      </c>
      <c r="B16006" s="24" t="s">
        <v>21000</v>
      </c>
      <c r="C16006" s="25">
        <v>55000</v>
      </c>
      <c r="D16006" s="22" t="s">
        <v>21001</v>
      </c>
      <c r="E16006" s="22" t="s">
        <v>96</v>
      </c>
      <c r="F16006" s="23" t="str">
        <f>HYPERLINK("https://www.spark-marketing.ru/Card/Lot/71522541", "Оказание услуг по организации горячего питания лиц находящихся в ИВС")</f>
        <v>Оказание услуг по организации горячего питания лиц находящихся в ИВС</v>
      </c>
      <c r="G16006" s="22" t="s">
        <v>1056</v>
      </c>
      <c r="H16006" s="22" t="s">
        <v>9349</v>
      </c>
      <c r="I16006" s="26">
        <v>43636.485416666699</v>
      </c>
      <c r="J16006" s="23" t="str">
        <f>HYPERLINK("https://www.spark-marketing.ru/Card/Person/55986", "ТАЗОВСКОЕ ПОТРЕБОБЩЕСТВО")</f>
        <v>ТАЗОВСКОЕ ПОТРЕБОБЩЕСТВО</v>
      </c>
      <c r="K16006" s="24" t="s">
        <v>12152</v>
      </c>
      <c r="L16006" s="22" t="s">
        <v>10</v>
      </c>
      <c r="M16006" s="28" t="s">
        <v>51</v>
      </c>
      <c r="N16006" s="28" t="s">
        <v>51</v>
      </c>
    </row>
    <row r="16007" spans="1:14" ht="12.75" x14ac:dyDescent="0.2">
      <c r="A16007" s="23" t="str">
        <f>HYPERLINK("https://www.spark-marketing.ru/Card/Person/66401", "УМВД РОССИИ ПО КОЛОМЕНСКОМУ ГОРОДСКОМУ ОКРУГУ")</f>
        <v>УМВД РОССИИ ПО КОЛОМЕНСКОМУ ГОРОДСКОМУ ОКРУГУ</v>
      </c>
      <c r="B16007" s="24" t="s">
        <v>2742</v>
      </c>
      <c r="C16007" s="25">
        <v>165570</v>
      </c>
      <c r="D16007" s="22" t="s">
        <v>21002</v>
      </c>
      <c r="E16007" s="22" t="s">
        <v>96</v>
      </c>
      <c r="F16007" s="23" t="str">
        <f>HYPERLINK("https://www.spark-marketing.ru/Card/Lot/71534140", "Услуги по предоставлению питания лицам, содержащимся в изоляторе временного содержания обвиняемых и подозреваемых УМВД России по Коломенскому городскому округу")</f>
        <v>Услуги по предоставлению питания лицам, содержащимся в изоляторе временного содержания обвиняемых и подозреваемых УМВД России по Коломенскому городскому округу</v>
      </c>
      <c r="G16007" s="22" t="s">
        <v>49</v>
      </c>
      <c r="H16007" s="22" t="s">
        <v>180</v>
      </c>
      <c r="I16007" s="26">
        <v>43636.496527777803</v>
      </c>
      <c r="J16007" s="23" t="str">
        <f>HYPERLINK("https://www.spark-marketing.ru/Card/Person/2520469", "ООО ""ГРАНРИДЖ-ГРУП""")</f>
        <v>ООО "ГРАНРИДЖ-ГРУП"</v>
      </c>
      <c r="K16007" s="24" t="s">
        <v>2744</v>
      </c>
      <c r="L16007" s="22" t="s">
        <v>10</v>
      </c>
      <c r="M16007" s="25">
        <v>165570</v>
      </c>
      <c r="N16007" s="27">
        <v>0</v>
      </c>
    </row>
    <row r="16008" spans="1:14" x14ac:dyDescent="0.15">
      <c r="A16008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6008" s="24" t="s">
        <v>6705</v>
      </c>
      <c r="C16008" s="25">
        <v>2575420</v>
      </c>
      <c r="D16008" s="22" t="s">
        <v>21003</v>
      </c>
      <c r="E16008" s="22" t="s">
        <v>48</v>
      </c>
      <c r="F16008" s="23" t="str">
        <f>HYPERLINK("https://www.spark-marketing.ru/Card/Lot/71542263", "питание ивс")</f>
        <v>питание ивс</v>
      </c>
      <c r="G16008" s="22" t="s">
        <v>104</v>
      </c>
      <c r="H16008" s="22" t="s">
        <v>1689</v>
      </c>
      <c r="I16008" s="26">
        <v>43636.499305555597</v>
      </c>
      <c r="J16008" s="28" t="s">
        <v>51</v>
      </c>
      <c r="K16008" s="28" t="s">
        <v>51</v>
      </c>
      <c r="L16008" s="28" t="s">
        <v>51</v>
      </c>
      <c r="M16008" s="28" t="s">
        <v>51</v>
      </c>
      <c r="N16008" s="28" t="s">
        <v>51</v>
      </c>
    </row>
    <row r="16009" spans="1:14" hidden="1" outlineLevel="1" x14ac:dyDescent="0.2">
      <c r="A16009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6009" s="24" t="s">
        <v>6705</v>
      </c>
      <c r="C16009" s="25">
        <v>2575420</v>
      </c>
      <c r="D16009" s="22" t="s">
        <v>21003</v>
      </c>
      <c r="E16009" s="22" t="s">
        <v>48</v>
      </c>
      <c r="F16009" s="23" t="str">
        <f>HYPERLINK("https://www.spark-marketing.ru/Card/Lot/71542263", "питание ивс")</f>
        <v>питание ивс</v>
      </c>
      <c r="G16009" s="22" t="s">
        <v>104</v>
      </c>
      <c r="H16009" s="22" t="s">
        <v>1689</v>
      </c>
      <c r="I16009" s="26">
        <v>43636.499305555597</v>
      </c>
      <c r="J16009" s="23" t="str">
        <f>HYPERLINK("https://www.spark-marketing.ru/Card/Person/6384277", "Сенченко Нина Владимировна")</f>
        <v>Сенченко Нина Владимировна</v>
      </c>
      <c r="K16009" s="24" t="s">
        <v>6723</v>
      </c>
      <c r="L16009" s="28" t="s">
        <v>51</v>
      </c>
      <c r="M16009" s="25">
        <v>2214861.2000000002</v>
      </c>
      <c r="N16009" s="27">
        <v>0.14000000000000001</v>
      </c>
    </row>
    <row r="16010" spans="1:14" ht="12.75" hidden="1" outlineLevel="1" x14ac:dyDescent="0.2">
      <c r="A16010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6010" s="24" t="s">
        <v>6705</v>
      </c>
      <c r="C16010" s="25">
        <v>2575420</v>
      </c>
      <c r="D16010" s="22" t="s">
        <v>21003</v>
      </c>
      <c r="E16010" s="22" t="s">
        <v>48</v>
      </c>
      <c r="F16010" s="23" t="str">
        <f>HYPERLINK("https://www.spark-marketing.ru/Card/Lot/71542263", "питание ивс")</f>
        <v>питание ивс</v>
      </c>
      <c r="G16010" s="22" t="s">
        <v>104</v>
      </c>
      <c r="H16010" s="22" t="s">
        <v>1689</v>
      </c>
      <c r="I16010" s="26">
        <v>43636.499305555597</v>
      </c>
      <c r="J16010" s="23" t="str">
        <f>HYPERLINK("https://www.spark-marketing.ru/Card/Person/6458315", "ООО ""СТАРТ""")</f>
        <v>ООО "СТАРТ"</v>
      </c>
      <c r="K16010" s="24" t="s">
        <v>6724</v>
      </c>
      <c r="L16010" s="22" t="s">
        <v>10</v>
      </c>
      <c r="M16010" s="25">
        <v>2214861.2000000002</v>
      </c>
      <c r="N16010" s="27">
        <v>0.14000000000000001</v>
      </c>
    </row>
    <row r="16011" spans="1:14" hidden="1" outlineLevel="1" x14ac:dyDescent="0.2">
      <c r="A16011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6011" s="24" t="s">
        <v>6705</v>
      </c>
      <c r="C16011" s="25">
        <v>2575420</v>
      </c>
      <c r="D16011" s="22" t="s">
        <v>21003</v>
      </c>
      <c r="E16011" s="22" t="s">
        <v>48</v>
      </c>
      <c r="F16011" s="23" t="str">
        <f>HYPERLINK("https://www.spark-marketing.ru/Card/Lot/71542263", "питание ивс")</f>
        <v>питание ивс</v>
      </c>
      <c r="G16011" s="22" t="s">
        <v>104</v>
      </c>
      <c r="H16011" s="22" t="s">
        <v>1689</v>
      </c>
      <c r="I16011" s="26">
        <v>43636.499305555597</v>
      </c>
      <c r="J16011" s="23" t="str">
        <f>HYPERLINK("https://www.spark-marketing.ru/Card/Person/6623914", "ООО ""ПРОФИСТАР""")</f>
        <v>ООО "ПРОФИСТАР"</v>
      </c>
      <c r="K16011" s="24" t="s">
        <v>6707</v>
      </c>
      <c r="L16011" s="28" t="s">
        <v>51</v>
      </c>
      <c r="M16011" s="25">
        <v>2549665.7999999998</v>
      </c>
      <c r="N16011" s="27">
        <v>0.01</v>
      </c>
    </row>
    <row r="16012" spans="1:14" x14ac:dyDescent="0.15">
      <c r="A16012" s="23" t="str">
        <f>HYPERLINK("https://www.spark-marketing.ru/Card/Person/1025478", "МБДОУ ЦРР - ДЕТСКИЙ САД № 2 ""ЗОЛОТОЙ КЛЮЧИК"".")</f>
        <v>МБДОУ ЦРР - ДЕТСКИЙ САД № 2 "ЗОЛОТОЙ КЛЮЧИК".</v>
      </c>
      <c r="B16012" s="24" t="s">
        <v>21004</v>
      </c>
      <c r="C16012" s="25">
        <v>398586.5</v>
      </c>
      <c r="D16012" s="22" t="s">
        <v>21005</v>
      </c>
      <c r="E16012" s="22" t="s">
        <v>48</v>
      </c>
      <c r="F16012" s="23" t="str">
        <f>HYPERLINK("https://www.spark-marketing.ru/Card/Lot/71527565",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16012" s="22" t="s">
        <v>49</v>
      </c>
      <c r="H16012" s="22" t="s">
        <v>50</v>
      </c>
      <c r="I16012" s="26">
        <v>43636.471574074101</v>
      </c>
      <c r="J16012" s="28" t="s">
        <v>51</v>
      </c>
      <c r="K16012" s="28" t="s">
        <v>51</v>
      </c>
      <c r="L16012" s="28" t="s">
        <v>51</v>
      </c>
      <c r="M16012" s="28" t="s">
        <v>51</v>
      </c>
      <c r="N16012" s="28" t="s">
        <v>51</v>
      </c>
    </row>
    <row r="16013" spans="1:14" x14ac:dyDescent="0.15">
      <c r="A16013" s="23" t="str">
        <f>HYPERLINK("https://www.spark-marketing.ru/Card/Person/18673", "ГУ МВД РОССИИ ПО САМАРСКОЙ ОБЛАСТИ")</f>
        <v>ГУ МВД РОССИИ ПО САМАРСКОЙ ОБЛАСТИ</v>
      </c>
      <c r="B16013" s="24" t="s">
        <v>21006</v>
      </c>
      <c r="C16013" s="25">
        <v>800000</v>
      </c>
      <c r="D16013" s="22" t="s">
        <v>21007</v>
      </c>
      <c r="E16013" s="22" t="s">
        <v>194</v>
      </c>
      <c r="F16013" s="23" t="str">
        <f>HYPERLINK("https://www.spark-marketing.ru/Card/Lot/71528016", "Оказание услуг по первичной обработке продуктов питания в кухонном блоке ЦВСНП ГУ МВД России по Самарской области")</f>
        <v>Оказание услуг по первичной обработке продуктов питания в кухонном блоке ЦВСНП ГУ МВД России по Самарской области</v>
      </c>
      <c r="G16013" s="22" t="s">
        <v>128</v>
      </c>
      <c r="H16013" s="22" t="s">
        <v>128</v>
      </c>
      <c r="I16013" s="26">
        <v>43636.469444444403</v>
      </c>
      <c r="J16013" s="23" t="str">
        <f>HYPERLINK("https://www.spark-marketing.ru/Card/Person/6260587", "ООО ""ИНДУСТРИЯ СЕРВИСА""")</f>
        <v>ООО "ИНДУСТРИЯ СЕРВИСА"</v>
      </c>
      <c r="K16013" s="24" t="s">
        <v>21008</v>
      </c>
      <c r="L16013" s="22" t="s">
        <v>10</v>
      </c>
      <c r="M16013" s="28" t="s">
        <v>51</v>
      </c>
      <c r="N16013" s="28" t="s">
        <v>51</v>
      </c>
    </row>
    <row r="16014" spans="1:14" x14ac:dyDescent="0.15">
      <c r="A16014" s="23" t="str">
        <f>HYPERLINK("https://www.spark-marketing.ru/Card/Person/4471", "САМАРСКАЯ ТАМОЖНЯ")</f>
        <v>САМАРСКАЯ ТАМОЖНЯ</v>
      </c>
      <c r="B16014" s="24" t="s">
        <v>21009</v>
      </c>
      <c r="C16014" s="25">
        <v>22000</v>
      </c>
      <c r="D16014" s="22" t="s">
        <v>21010</v>
      </c>
      <c r="E16014" s="22" t="s">
        <v>51</v>
      </c>
      <c r="F16014" s="23" t="str">
        <f>HYPERLINK("https://www.spark-marketing.ru/Card/Lot/71524262", "Оказание услуг по техническому обслуживанию источников бесперебойного питания, входящих в состав систем бесперебойного гарантированного электроснабжения установленных на объектах Самарской таможни")</f>
        <v>Оказание услуг по техническому обслуживанию источников бесперебойного питания, входящих в состав систем бесперебойного гарантированного электроснабжения установленных на объектах Самарской таможни</v>
      </c>
      <c r="G16014" s="22" t="s">
        <v>128</v>
      </c>
      <c r="H16014" s="22" t="s">
        <v>128</v>
      </c>
      <c r="I16014" s="26">
        <v>43636.473611111098</v>
      </c>
      <c r="J16014" s="28" t="s">
        <v>51</v>
      </c>
      <c r="K16014" s="28" t="s">
        <v>51</v>
      </c>
      <c r="L16014" s="28" t="s">
        <v>51</v>
      </c>
      <c r="M16014" s="28" t="s">
        <v>51</v>
      </c>
      <c r="N16014" s="28" t="s">
        <v>51</v>
      </c>
    </row>
    <row r="16015" spans="1:14" hidden="1" outlineLevel="1" x14ac:dyDescent="0.2">
      <c r="A16015" s="23" t="str">
        <f>HYPERLINK("https://www.spark-marketing.ru/Card/Person/4471", "САМАРСКАЯ ТАМОЖНЯ")</f>
        <v>САМАРСКАЯ ТАМОЖНЯ</v>
      </c>
      <c r="B16015" s="24" t="s">
        <v>21009</v>
      </c>
      <c r="C16015" s="25">
        <v>22000</v>
      </c>
      <c r="D16015" s="22" t="s">
        <v>21010</v>
      </c>
      <c r="E16015" s="22" t="s">
        <v>51</v>
      </c>
      <c r="F16015" s="23" t="str">
        <f>HYPERLINK("https://www.spark-marketing.ru/Card/Lot/71524262", "Оказание услуг по техническому обслуживанию источников бесперебойного питания, входящих в состав систем бесперебойного гарантированного электроснабжения установленных на объектах Самарской таможни")</f>
        <v>Оказание услуг по техническому обслуживанию источников бесперебойного питания, входящих в состав систем бесперебойного гарантированного электроснабжения установленных на объектах Самарской таможни</v>
      </c>
      <c r="G16015" s="22" t="s">
        <v>128</v>
      </c>
      <c r="H16015" s="22" t="s">
        <v>128</v>
      </c>
      <c r="I16015" s="26">
        <v>43636.473611111098</v>
      </c>
      <c r="J16015" s="23" t="str">
        <f>HYPERLINK("https://www.spark-marketing.ru/Card/Person/6268376", "ООО ""ИСВ-ИНЖИНИРИНГ""")</f>
        <v>ООО "ИСВ-ИНЖИНИРИНГ"</v>
      </c>
      <c r="K16015" s="24" t="s">
        <v>21011</v>
      </c>
      <c r="L16015" s="28" t="s">
        <v>51</v>
      </c>
      <c r="M16015" s="25">
        <v>10999.5</v>
      </c>
      <c r="N16015" s="27">
        <v>0.50002272727272723</v>
      </c>
    </row>
    <row r="16016" spans="1:14" ht="12.75" hidden="1" outlineLevel="1" x14ac:dyDescent="0.2">
      <c r="A16016" s="23" t="str">
        <f>HYPERLINK("https://www.spark-marketing.ru/Card/Person/4471", "САМАРСКАЯ ТАМОЖНЯ")</f>
        <v>САМАРСКАЯ ТАМОЖНЯ</v>
      </c>
      <c r="B16016" s="24" t="s">
        <v>21009</v>
      </c>
      <c r="C16016" s="25">
        <v>22000</v>
      </c>
      <c r="D16016" s="22" t="s">
        <v>21010</v>
      </c>
      <c r="E16016" s="22" t="s">
        <v>51</v>
      </c>
      <c r="F16016" s="23" t="str">
        <f>HYPERLINK("https://www.spark-marketing.ru/Card/Lot/71524262", "Оказание услуг по техническому обслуживанию источников бесперебойного питания, входящих в состав систем бесперебойного гарантированного электроснабжения установленных на объектах Самарской таможни")</f>
        <v>Оказание услуг по техническому обслуживанию источников бесперебойного питания, входящих в состав систем бесперебойного гарантированного электроснабжения установленных на объектах Самарской таможни</v>
      </c>
      <c r="G16016" s="22" t="s">
        <v>128</v>
      </c>
      <c r="H16016" s="22" t="s">
        <v>128</v>
      </c>
      <c r="I16016" s="26">
        <v>43636.473611111098</v>
      </c>
      <c r="J16016" s="23" t="str">
        <f>HYPERLINK("https://www.spark-marketing.ru/Card/Person/4865979", "Мостовщиков Иван Викторович")</f>
        <v>Мостовщиков Иван Викторович</v>
      </c>
      <c r="K16016" s="24" t="s">
        <v>21012</v>
      </c>
      <c r="L16016" s="22" t="s">
        <v>10</v>
      </c>
      <c r="M16016" s="25">
        <v>10000</v>
      </c>
      <c r="N16016" s="27">
        <v>0.54545454545454541</v>
      </c>
    </row>
    <row r="16017" spans="1:14" x14ac:dyDescent="0.15">
      <c r="A16017" s="23" t="str">
        <f>HYPERLINK("https://www.spark-marketing.ru/Card/Person/75711", "ДЕПАРТАМЕНТ СОЦИАЛЬНОГО РАЗВИТИЯ АДМИНИСТРАЦИИ ТАЗОВСКОГО РАЙОНА")</f>
        <v>ДЕПАРТАМЕНТ СОЦИАЛЬНОГО РАЗВИТИЯ АДМИНИСТРАЦИИ ТАЗОВСКОГО РАЙОНА</v>
      </c>
      <c r="B16017" s="24" t="s">
        <v>18206</v>
      </c>
      <c r="C16017" s="25">
        <v>135000</v>
      </c>
      <c r="D16017" s="22" t="s">
        <v>21013</v>
      </c>
      <c r="E16017" s="22" t="s">
        <v>96</v>
      </c>
      <c r="F16017" s="23" t="str">
        <f>HYPERLINK("https://www.spark-marketing.ru/Card/Lot/71521320", "Оказание услуг по организации горячего питания")</f>
        <v>Оказание услуг по организации горячего питания</v>
      </c>
      <c r="G16017" s="22" t="s">
        <v>1056</v>
      </c>
      <c r="H16017" s="22" t="s">
        <v>9349</v>
      </c>
      <c r="I16017" s="26">
        <v>43636.45</v>
      </c>
      <c r="J16017" s="28" t="s">
        <v>51</v>
      </c>
      <c r="K16017" s="28" t="s">
        <v>51</v>
      </c>
      <c r="L16017" s="28" t="s">
        <v>51</v>
      </c>
      <c r="M16017" s="28" t="s">
        <v>51</v>
      </c>
      <c r="N16017" s="28" t="s">
        <v>51</v>
      </c>
    </row>
    <row r="16018" spans="1:14" x14ac:dyDescent="0.15">
      <c r="A16018" s="23" t="str">
        <f>HYPERLINK("https://www.spark-marketing.ru/Card/Person/6229578", "МАУ Г.НИЖНЕВАРТОВСКА ""СШОР""")</f>
        <v>МАУ Г.НИЖНЕВАРТОВСКА "СШОР"</v>
      </c>
      <c r="B16018" s="24" t="s">
        <v>20793</v>
      </c>
      <c r="C16018" s="25">
        <v>275639.7</v>
      </c>
      <c r="D16018" s="22" t="s">
        <v>21014</v>
      </c>
      <c r="E16018" s="22" t="s">
        <v>362</v>
      </c>
      <c r="F16018" s="23" t="str">
        <f>HYPERLINK("https://www.spark-marketing.ru/Card/Lot/71520079", "Оказание услуг по организации питания детей в лагере дневного пребывания в летний период 2019г.")</f>
        <v>Оказание услуг по организации питания детей в лагере дневного пребывания в летний период 2019г.</v>
      </c>
      <c r="G16018" s="22" t="s">
        <v>97</v>
      </c>
      <c r="H16018" s="22" t="s">
        <v>97</v>
      </c>
      <c r="I16018" s="26">
        <v>43636.426874999997</v>
      </c>
      <c r="J16018" s="28" t="s">
        <v>51</v>
      </c>
      <c r="K16018" s="28" t="s">
        <v>51</v>
      </c>
      <c r="L16018" s="28" t="s">
        <v>51</v>
      </c>
      <c r="M16018" s="28" t="s">
        <v>51</v>
      </c>
      <c r="N16018" s="28" t="s">
        <v>51</v>
      </c>
    </row>
    <row r="16019" spans="1:14" x14ac:dyDescent="0.15">
      <c r="A16019" s="23" t="str">
        <f>HYPERLINK("https://www.spark-marketing.ru/Card/Person/75711", "ДЕПАРТАМЕНТ СОЦИАЛЬНОГО РАЗВИТИЯ АДМИНИСТРАЦИИ ТАЗОВСКОГО РАЙОНА")</f>
        <v>ДЕПАРТАМЕНТ СОЦИАЛЬНОГО РАЗВИТИЯ АДМИНИСТРАЦИИ ТАЗОВСКОГО РАЙОНА</v>
      </c>
      <c r="B16019" s="24" t="s">
        <v>18206</v>
      </c>
      <c r="C16019" s="25">
        <v>150000</v>
      </c>
      <c r="D16019" s="22" t="s">
        <v>21015</v>
      </c>
      <c r="E16019" s="22" t="s">
        <v>96</v>
      </c>
      <c r="F16019" s="23" t="str">
        <f>HYPERLINK("https://www.spark-marketing.ru/Card/Lot/71521327", "Оказание услуг по организации горячего питания")</f>
        <v>Оказание услуг по организации горячего питания</v>
      </c>
      <c r="G16019" s="22" t="s">
        <v>1056</v>
      </c>
      <c r="H16019" s="22" t="s">
        <v>9349</v>
      </c>
      <c r="I16019" s="26">
        <v>43636.443749999999</v>
      </c>
      <c r="J16019" s="28" t="s">
        <v>51</v>
      </c>
      <c r="K16019" s="28" t="s">
        <v>51</v>
      </c>
      <c r="L16019" s="28" t="s">
        <v>51</v>
      </c>
      <c r="M16019" s="28" t="s">
        <v>51</v>
      </c>
      <c r="N16019" s="28" t="s">
        <v>51</v>
      </c>
    </row>
    <row r="16020" spans="1:14" x14ac:dyDescent="0.15">
      <c r="A16020" s="23" t="str">
        <f>HYPERLINK("https://www.spark-marketing.ru/Card/Person/1057273", "ОТДЕЛ МВД РОССИИ ПО НОВОАННИНСКОМУ РАЙОНУ")</f>
        <v>ОТДЕЛ МВД РОССИИ ПО НОВОАННИНСКОМУ РАЙОНУ</v>
      </c>
      <c r="B16020" s="24" t="s">
        <v>21016</v>
      </c>
      <c r="C16020" s="25">
        <v>310000</v>
      </c>
      <c r="D16020" s="22" t="s">
        <v>21017</v>
      </c>
      <c r="E16020" s="22" t="s">
        <v>48</v>
      </c>
      <c r="F16020" s="23" t="str">
        <f>HYPERLINK("https://www.spark-marketing.ru/Card/Lot/71522873", "услуги по обеспечению ежедневным комплексным питанием лиц, содержащихся в изоляторе временного содержания подозреваемых и обвиняемых Отдела МВД России по Новоаннинскому району")</f>
        <v>услуги по обеспечению ежедневным комплексным питанием лиц, содержащихся в изоляторе временного содержания подозреваемых и обвиняемых Отдела МВД России по Новоаннинскому району</v>
      </c>
      <c r="G16020" s="22" t="s">
        <v>158</v>
      </c>
      <c r="H16020" s="22" t="s">
        <v>21018</v>
      </c>
      <c r="I16020" s="26">
        <v>43636.4284722222</v>
      </c>
      <c r="J16020" s="23" t="str">
        <f>HYPERLINK("https://www.spark-marketing.ru/Card/Person/1139795", "Назарова Валентина Николаевна")</f>
        <v>Назарова Валентина Николаевна</v>
      </c>
      <c r="K16020" s="24" t="s">
        <v>21019</v>
      </c>
      <c r="L16020" s="22" t="s">
        <v>10</v>
      </c>
      <c r="M16020" s="28" t="s">
        <v>51</v>
      </c>
      <c r="N16020" s="28" t="s">
        <v>51</v>
      </c>
    </row>
    <row r="16021" spans="1:14" x14ac:dyDescent="0.15">
      <c r="A16021" s="23" t="str">
        <f>HYPERLINK("https://www.spark-marketing.ru/Card/Person/75711", "ДЕПАРТАМЕНТ СОЦИАЛЬНОГО РАЗВИТИЯ АДМИНИСТРАЦИИ ТАЗОВСКОГО РАЙОНА")</f>
        <v>ДЕПАРТАМЕНТ СОЦИАЛЬНОГО РАЗВИТИЯ АДМИНИСТРАЦИИ ТАЗОВСКОГО РАЙОНА</v>
      </c>
      <c r="B16021" s="24" t="s">
        <v>18206</v>
      </c>
      <c r="C16021" s="25">
        <v>157500</v>
      </c>
      <c r="D16021" s="22" t="s">
        <v>21020</v>
      </c>
      <c r="E16021" s="22" t="s">
        <v>96</v>
      </c>
      <c r="F16021" s="23" t="str">
        <f>HYPERLINK("https://www.spark-marketing.ru/Card/Lot/71521343", "Оказание услуг по организации горячего питания")</f>
        <v>Оказание услуг по организации горячего питания</v>
      </c>
      <c r="G16021" s="22" t="s">
        <v>1056</v>
      </c>
      <c r="H16021" s="22" t="s">
        <v>9349</v>
      </c>
      <c r="I16021" s="26">
        <v>43636.445833333302</v>
      </c>
      <c r="J16021" s="28" t="s">
        <v>51</v>
      </c>
      <c r="K16021" s="28" t="s">
        <v>51</v>
      </c>
      <c r="L16021" s="28" t="s">
        <v>51</v>
      </c>
      <c r="M16021" s="28" t="s">
        <v>51</v>
      </c>
      <c r="N16021" s="28" t="s">
        <v>51</v>
      </c>
    </row>
    <row r="16022" spans="1:14" x14ac:dyDescent="0.2">
      <c r="A16022" s="23" t="str">
        <f>HYPERLINK("https://www.spark-marketing.ru/Card/Person/266239", "МАУ ДОЛ ИМ. ГУЛИ КОРОЛЕВОЙ")</f>
        <v>МАУ ДОЛ ИМ. ГУЛИ КОРОЛЕВОЙ</v>
      </c>
      <c r="B16022" s="24" t="s">
        <v>21021</v>
      </c>
      <c r="C16022" s="25">
        <v>1264000</v>
      </c>
      <c r="D16022" s="22" t="s">
        <v>21022</v>
      </c>
      <c r="E16022" s="22" t="s">
        <v>1213</v>
      </c>
      <c r="F16022" s="23" t="str">
        <f>HYPERLINK("https://www.spark-marketing.ru/Card/Lot/71521473", "Услуги по организации питания детей")</f>
        <v>Услуги по организации питания детей</v>
      </c>
      <c r="G16022" s="22" t="s">
        <v>158</v>
      </c>
      <c r="H16022" s="22" t="s">
        <v>158</v>
      </c>
      <c r="I16022" s="26">
        <v>43636.427175925899</v>
      </c>
      <c r="J16022" s="28" t="s">
        <v>51</v>
      </c>
      <c r="K16022" s="28" t="s">
        <v>51</v>
      </c>
      <c r="L16022" s="28" t="s">
        <v>51</v>
      </c>
      <c r="M16022" s="25">
        <v>1264000</v>
      </c>
      <c r="N16022" s="27">
        <v>0</v>
      </c>
    </row>
    <row r="16023" spans="1:14" x14ac:dyDescent="0.15">
      <c r="A16023" s="23" t="str">
        <f>HYPERLINK("https://www.spark-marketing.ru/Card/Person/1044384", "МАУДО ДЭЦ ""ЭКО-ДОМ""")</f>
        <v>МАУДО ДЭЦ "ЭКО-ДОМ"</v>
      </c>
      <c r="B16023" s="24" t="s">
        <v>21023</v>
      </c>
      <c r="C16023" s="25">
        <v>154875</v>
      </c>
      <c r="D16023" s="22" t="s">
        <v>21024</v>
      </c>
      <c r="E16023" s="22" t="s">
        <v>48</v>
      </c>
      <c r="F16023" s="23" t="str">
        <f>HYPERLINK("https://www.spark-marketing.ru/Card/Lot/71525221", "Услуги по организации питания для учащихся организации дополнительного образования")</f>
        <v>Услуги по организации питания для учащихся организации дополнительного образования</v>
      </c>
      <c r="G16023" s="22" t="s">
        <v>49</v>
      </c>
      <c r="H16023" s="22" t="s">
        <v>5231</v>
      </c>
      <c r="I16023" s="26">
        <v>43636.403472222199</v>
      </c>
      <c r="J16023" s="23" t="str">
        <f>HYPERLINK("https://www.spark-marketing.ru/Card/Person/62688", "МУП ""ДОМОДЕДОВСКИЙ КОМБИНАТ ПИТАНИЯ""")</f>
        <v>МУП "ДОМОДЕДОВСКИЙ КОМБИНАТ ПИТАНИЯ"</v>
      </c>
      <c r="K16023" s="24" t="s">
        <v>3955</v>
      </c>
      <c r="L16023" s="22" t="s">
        <v>10</v>
      </c>
      <c r="M16023" s="28" t="s">
        <v>51</v>
      </c>
      <c r="N16023" s="28" t="s">
        <v>51</v>
      </c>
    </row>
    <row r="16024" spans="1:14" x14ac:dyDescent="0.15">
      <c r="A16024" s="23" t="str">
        <f>HYPERLINK("https://www.spark-marketing.ru/Card/Person/139381", "МДОУ ""ДС № 12 ""СЕМИЦВЕТИК""")</f>
        <v>МДОУ "ДС № 12 "СЕМИЦВЕТИК"</v>
      </c>
      <c r="B16024" s="24" t="s">
        <v>21025</v>
      </c>
      <c r="C16024" s="25">
        <v>9505187.6600000001</v>
      </c>
      <c r="D16024" s="22" t="s">
        <v>21026</v>
      </c>
      <c r="E16024" s="22" t="s">
        <v>48</v>
      </c>
      <c r="F16024" s="23" t="str">
        <f>HYPERLINK("https://www.spark-marketing.ru/Card/Lot/71518075",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24" s="22" t="s">
        <v>149</v>
      </c>
      <c r="H16024" s="22" t="s">
        <v>1025</v>
      </c>
      <c r="I16024" s="26">
        <v>43636.410416666702</v>
      </c>
      <c r="J16024" s="28" t="s">
        <v>51</v>
      </c>
      <c r="K16024" s="28" t="s">
        <v>51</v>
      </c>
      <c r="L16024" s="28" t="s">
        <v>51</v>
      </c>
      <c r="M16024" s="28" t="s">
        <v>51</v>
      </c>
      <c r="N16024" s="28" t="s">
        <v>51</v>
      </c>
    </row>
    <row r="16025" spans="1:14" hidden="1" outlineLevel="1" x14ac:dyDescent="0.2">
      <c r="A16025" s="23" t="str">
        <f>HYPERLINK("https://www.spark-marketing.ru/Card/Person/139381", "МДОУ ""ДС № 12 ""СЕМИЦВЕТИК""")</f>
        <v>МДОУ "ДС № 12 "СЕМИЦВЕТИК"</v>
      </c>
      <c r="B16025" s="24" t="s">
        <v>21025</v>
      </c>
      <c r="C16025" s="25">
        <v>9505187.6600000001</v>
      </c>
      <c r="D16025" s="22" t="s">
        <v>21026</v>
      </c>
      <c r="E16025" s="22" t="s">
        <v>48</v>
      </c>
      <c r="F16025" s="23" t="str">
        <f>HYPERLINK("https://www.spark-marketing.ru/Card/Lot/71518075",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25" s="22" t="s">
        <v>149</v>
      </c>
      <c r="H16025" s="22" t="s">
        <v>1025</v>
      </c>
      <c r="I16025" s="26">
        <v>43636.410416666702</v>
      </c>
      <c r="J16025" s="23" t="str">
        <f>HYPERLINK("https://www.spark-marketing.ru/Card/Person/569088", "ООО ""ТПУ""")</f>
        <v>ООО "ТПУ"</v>
      </c>
      <c r="K16025" s="24" t="s">
        <v>21027</v>
      </c>
      <c r="L16025" s="28" t="s">
        <v>51</v>
      </c>
      <c r="M16025" s="25">
        <v>9505187.6600000001</v>
      </c>
      <c r="N16025" s="27">
        <v>0</v>
      </c>
    </row>
    <row r="16026" spans="1:14" ht="12.75" hidden="1" outlineLevel="1" x14ac:dyDescent="0.2">
      <c r="A16026" s="23" t="str">
        <f>HYPERLINK("https://www.spark-marketing.ru/Card/Person/139381", "МДОУ ""ДС № 12 ""СЕМИЦВЕТИК""")</f>
        <v>МДОУ "ДС № 12 "СЕМИЦВЕТИК"</v>
      </c>
      <c r="B16026" s="24" t="s">
        <v>21025</v>
      </c>
      <c r="C16026" s="25">
        <v>9505187.6600000001</v>
      </c>
      <c r="D16026" s="22" t="s">
        <v>21026</v>
      </c>
      <c r="E16026" s="22" t="s">
        <v>48</v>
      </c>
      <c r="F16026" s="23" t="str">
        <f>HYPERLINK("https://www.spark-marketing.ru/Card/Lot/71518075",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26" s="22" t="s">
        <v>149</v>
      </c>
      <c r="H16026" s="22" t="s">
        <v>1025</v>
      </c>
      <c r="I16026" s="26">
        <v>43636.410416666702</v>
      </c>
      <c r="J16026" s="23" t="str">
        <f>HYPERLINK("https://www.spark-marketing.ru/Card/Person/55369", "ООО ""КОМБИНАТ ОБЩЕСТВЕННОГО ПИТАНИЯ""")</f>
        <v>ООО "КОМБИНАТ ОБЩЕСТВЕННОГО ПИТАНИЯ"</v>
      </c>
      <c r="K16026" s="24" t="s">
        <v>1516</v>
      </c>
      <c r="L16026" s="22" t="s">
        <v>10</v>
      </c>
      <c r="M16026" s="25">
        <v>9137613.0999999996</v>
      </c>
      <c r="N16026" s="27">
        <v>3.8670941926463767E-2</v>
      </c>
    </row>
    <row r="16027" spans="1:14" x14ac:dyDescent="0.15">
      <c r="A16027" s="23" t="str">
        <f>HYPERLINK("https://www.spark-marketing.ru/Card/Person/66061", "ГБУЗ ТО ""ОБСМЭ""")</f>
        <v>ГБУЗ ТО "ОБСМЭ"</v>
      </c>
      <c r="B16027" s="24" t="s">
        <v>21028</v>
      </c>
      <c r="C16027" s="25">
        <v>100000</v>
      </c>
      <c r="D16027" s="22" t="s">
        <v>21029</v>
      </c>
      <c r="E16027" s="22" t="s">
        <v>355</v>
      </c>
      <c r="F16027" s="23" t="str">
        <f>HYPERLINK("https://www.spark-marketing.ru/Card/Lot/71519081", "оказание услуг по ремонту источников бесперебойного питания")</f>
        <v>оказание услуг по ремонту источников бесперебойного питания</v>
      </c>
      <c r="G16027" s="22" t="s">
        <v>766</v>
      </c>
      <c r="H16027" s="22" t="s">
        <v>1028</v>
      </c>
      <c r="I16027" s="26">
        <v>43636.379861111098</v>
      </c>
      <c r="J16027" s="28" t="s">
        <v>51</v>
      </c>
      <c r="K16027" s="28" t="s">
        <v>51</v>
      </c>
      <c r="L16027" s="28" t="s">
        <v>51</v>
      </c>
      <c r="M16027" s="28" t="s">
        <v>51</v>
      </c>
      <c r="N16027" s="28" t="s">
        <v>51</v>
      </c>
    </row>
    <row r="16028" spans="1:14" hidden="1" outlineLevel="1" x14ac:dyDescent="0.2">
      <c r="A16028" s="23" t="str">
        <f>HYPERLINK("https://www.spark-marketing.ru/Card/Person/66061", "ГБУЗ ТО ""ОБСМЭ""")</f>
        <v>ГБУЗ ТО "ОБСМЭ"</v>
      </c>
      <c r="B16028" s="24" t="s">
        <v>21028</v>
      </c>
      <c r="C16028" s="25">
        <v>100000</v>
      </c>
      <c r="D16028" s="22" t="s">
        <v>21029</v>
      </c>
      <c r="E16028" s="22" t="s">
        <v>355</v>
      </c>
      <c r="F16028" s="23" t="str">
        <f>HYPERLINK("https://www.spark-marketing.ru/Card/Lot/71519081", "оказание услуг по ремонту источников бесперебойного питания")</f>
        <v>оказание услуг по ремонту источников бесперебойного питания</v>
      </c>
      <c r="G16028" s="22" t="s">
        <v>766</v>
      </c>
      <c r="H16028" s="22" t="s">
        <v>1028</v>
      </c>
      <c r="I16028" s="26">
        <v>43636.379861111098</v>
      </c>
      <c r="J16028" s="23" t="str">
        <f>HYPERLINK("https://www.spark-marketing.ru/Card/Person/556256", "ООО ""ЭТТ""")</f>
        <v>ООО "ЭТТ"</v>
      </c>
      <c r="K16028" s="24" t="s">
        <v>21030</v>
      </c>
      <c r="L16028" s="28" t="s">
        <v>51</v>
      </c>
      <c r="M16028" s="25">
        <v>79000</v>
      </c>
      <c r="N16028" s="27">
        <v>0.21</v>
      </c>
    </row>
    <row r="16029" spans="1:14" ht="12.75" hidden="1" outlineLevel="1" x14ac:dyDescent="0.2">
      <c r="A16029" s="23" t="str">
        <f>HYPERLINK("https://www.spark-marketing.ru/Card/Person/66061", "ГБУЗ ТО ""ОБСМЭ""")</f>
        <v>ГБУЗ ТО "ОБСМЭ"</v>
      </c>
      <c r="B16029" s="24" t="s">
        <v>21028</v>
      </c>
      <c r="C16029" s="25">
        <v>100000</v>
      </c>
      <c r="D16029" s="22" t="s">
        <v>21029</v>
      </c>
      <c r="E16029" s="22" t="s">
        <v>355</v>
      </c>
      <c r="F16029" s="23" t="str">
        <f>HYPERLINK("https://www.spark-marketing.ru/Card/Lot/71519081", "оказание услуг по ремонту источников бесперебойного питания")</f>
        <v>оказание услуг по ремонту источников бесперебойного питания</v>
      </c>
      <c r="G16029" s="22" t="s">
        <v>766</v>
      </c>
      <c r="H16029" s="22" t="s">
        <v>1028</v>
      </c>
      <c r="I16029" s="26">
        <v>43636.379861111098</v>
      </c>
      <c r="J16029" s="23" t="str">
        <f>HYPERLINK("https://www.spark-marketing.ru/Card/Person/855959", "ООО ""ТСК +""")</f>
        <v>ООО "ТСК +"</v>
      </c>
      <c r="K16029" s="24" t="s">
        <v>21031</v>
      </c>
      <c r="L16029" s="22" t="s">
        <v>10</v>
      </c>
      <c r="M16029" s="25">
        <v>78500</v>
      </c>
      <c r="N16029" s="27">
        <v>0.215</v>
      </c>
    </row>
    <row r="16030" spans="1:14" x14ac:dyDescent="0.15">
      <c r="A16030" s="23" t="str">
        <f>HYPERLINK("https://www.spark-marketing.ru/Card/Person/1021020", "МБДОУ ДЕТСКИЙ САД ""РАДУГА""")</f>
        <v>МБДОУ ДЕТСКИЙ САД "РАДУГА"</v>
      </c>
      <c r="B16030" s="24" t="s">
        <v>21032</v>
      </c>
      <c r="C16030" s="25">
        <v>210000</v>
      </c>
      <c r="D16030" s="22" t="s">
        <v>21033</v>
      </c>
      <c r="E16030" s="22" t="s">
        <v>48</v>
      </c>
      <c r="F16030" s="23" t="str">
        <f>HYPERLINK("https://www.spark-marketing.ru/Card/Lot/71522737", "Услуга по организации горячего питания детей в дошкольном образовательном учреждении в помещении пищеблока МБДОУ д/с х.Владимиров ""Радуга""")</f>
        <v>Услуга по организации горячего питания детей в дошкольном образовательном учреждении в помещении пищеблока МБДОУ д/с х.Владимиров "Радуга"</v>
      </c>
      <c r="G16030" s="22" t="s">
        <v>267</v>
      </c>
      <c r="H16030" s="22" t="s">
        <v>17221</v>
      </c>
      <c r="I16030" s="26">
        <v>43636.390972222202</v>
      </c>
      <c r="J16030" s="28" t="s">
        <v>51</v>
      </c>
      <c r="K16030" s="28" t="s">
        <v>51</v>
      </c>
      <c r="L16030" s="28" t="s">
        <v>51</v>
      </c>
      <c r="M16030" s="28" t="s">
        <v>51</v>
      </c>
      <c r="N16030" s="28" t="s">
        <v>51</v>
      </c>
    </row>
    <row r="16031" spans="1:14" x14ac:dyDescent="0.15">
      <c r="A16031" s="23" t="str">
        <f>HYPERLINK("https://www.spark-marketing.ru/Card/Person/13328", "ФБУ ""АДМИНИСТРАЦИЯ ""ВОЛГО-БАЛТ""")</f>
        <v>ФБУ "АДМИНИСТРАЦИЯ "ВОЛГО-БАЛТ"</v>
      </c>
      <c r="B16031" s="24" t="s">
        <v>21034</v>
      </c>
      <c r="C16031" s="25">
        <v>32350</v>
      </c>
      <c r="D16031" s="22" t="s">
        <v>21035</v>
      </c>
      <c r="E16031" s="22" t="s">
        <v>362</v>
      </c>
      <c r="F16031" s="23" t="str">
        <f>HYPERLINK("https://www.spark-marketing.ru/Card/Lot/71523644", "Оказание услуг по организации и обеспечению питанием: работников, занятых на работах во вредных условиях труда, лечебно-профилактическим питанием по рациону")</f>
        <v>Оказание услуг по организации и обеспечению питанием: работников, занятых на работах во вредных условиях труда, лечебно-профилактическим питанием по рациону</v>
      </c>
      <c r="G16031" s="22" t="s">
        <v>503</v>
      </c>
      <c r="H16031" s="22" t="s">
        <v>503</v>
      </c>
      <c r="I16031" s="26">
        <v>43636.402766203697</v>
      </c>
      <c r="J16031" s="28" t="s">
        <v>51</v>
      </c>
      <c r="K16031" s="28" t="s">
        <v>51</v>
      </c>
      <c r="L16031" s="28" t="s">
        <v>51</v>
      </c>
      <c r="M16031" s="28" t="s">
        <v>51</v>
      </c>
      <c r="N16031" s="28" t="s">
        <v>51</v>
      </c>
    </row>
    <row r="16032" spans="1:14" x14ac:dyDescent="0.15">
      <c r="A16032" s="23" t="str">
        <f>HYPERLINK("https://www.spark-marketing.ru/Card/Person/138600", "МДОУ ""ДС № 1 ""СОЛНЫШКО""")</f>
        <v>МДОУ "ДС № 1 "СОЛНЫШКО"</v>
      </c>
      <c r="B16032" s="24" t="s">
        <v>21036</v>
      </c>
      <c r="C16032" s="25">
        <v>4707640.5</v>
      </c>
      <c r="D16032" s="22" t="s">
        <v>21037</v>
      </c>
      <c r="E16032" s="22" t="s">
        <v>48</v>
      </c>
      <c r="F16032" s="23" t="str">
        <f>HYPERLINK("https://www.spark-marketing.ru/Card/Lot/71518072",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32" s="22" t="s">
        <v>149</v>
      </c>
      <c r="H16032" s="22" t="s">
        <v>1025</v>
      </c>
      <c r="I16032" s="26">
        <v>43636.410416666702</v>
      </c>
      <c r="J16032" s="28" t="s">
        <v>51</v>
      </c>
      <c r="K16032" s="28" t="s">
        <v>51</v>
      </c>
      <c r="L16032" s="28" t="s">
        <v>51</v>
      </c>
      <c r="M16032" s="28" t="s">
        <v>51</v>
      </c>
      <c r="N16032" s="28" t="s">
        <v>51</v>
      </c>
    </row>
    <row r="16033" spans="1:14" hidden="1" outlineLevel="1" x14ac:dyDescent="0.2">
      <c r="A16033" s="23" t="str">
        <f>HYPERLINK("https://www.spark-marketing.ru/Card/Person/138600", "МДОУ ""ДС № 1 ""СОЛНЫШКО""")</f>
        <v>МДОУ "ДС № 1 "СОЛНЫШКО"</v>
      </c>
      <c r="B16033" s="24" t="s">
        <v>21036</v>
      </c>
      <c r="C16033" s="25">
        <v>4707640.5</v>
      </c>
      <c r="D16033" s="22" t="s">
        <v>21037</v>
      </c>
      <c r="E16033" s="22" t="s">
        <v>48</v>
      </c>
      <c r="F16033" s="23" t="str">
        <f>HYPERLINK("https://www.spark-marketing.ru/Card/Lot/71518072",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33" s="22" t="s">
        <v>149</v>
      </c>
      <c r="H16033" s="22" t="s">
        <v>1025</v>
      </c>
      <c r="I16033" s="26">
        <v>43636.410416666702</v>
      </c>
      <c r="J16033" s="23" t="str">
        <f>HYPERLINK("https://www.spark-marketing.ru/Card/Person/569088", "ООО ""ТПУ""")</f>
        <v>ООО "ТПУ"</v>
      </c>
      <c r="K16033" s="24" t="s">
        <v>21027</v>
      </c>
      <c r="L16033" s="28" t="s">
        <v>51</v>
      </c>
      <c r="M16033" s="25">
        <v>4707640.5</v>
      </c>
      <c r="N16033" s="27">
        <v>0</v>
      </c>
    </row>
    <row r="16034" spans="1:14" ht="12.75" hidden="1" outlineLevel="1" x14ac:dyDescent="0.2">
      <c r="A16034" s="23" t="str">
        <f>HYPERLINK("https://www.spark-marketing.ru/Card/Person/138600", "МДОУ ""ДС № 1 ""СОЛНЫШКО""")</f>
        <v>МДОУ "ДС № 1 "СОЛНЫШКО"</v>
      </c>
      <c r="B16034" s="24" t="s">
        <v>21036</v>
      </c>
      <c r="C16034" s="25">
        <v>4707640.5</v>
      </c>
      <c r="D16034" s="22" t="s">
        <v>21037</v>
      </c>
      <c r="E16034" s="22" t="s">
        <v>48</v>
      </c>
      <c r="F16034" s="23" t="str">
        <f>HYPERLINK("https://www.spark-marketing.ru/Card/Lot/71518072",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34" s="22" t="s">
        <v>149</v>
      </c>
      <c r="H16034" s="22" t="s">
        <v>1025</v>
      </c>
      <c r="I16034" s="26">
        <v>43636.410416666702</v>
      </c>
      <c r="J16034" s="23" t="str">
        <f>HYPERLINK("https://www.spark-marketing.ru/Card/Person/55369", "ООО ""КОМБИНАТ ОБЩЕСТВЕННОГО ПИТАНИЯ""")</f>
        <v>ООО "КОМБИНАТ ОБЩЕСТВЕННОГО ПИТАНИЯ"</v>
      </c>
      <c r="K16034" s="24" t="s">
        <v>1516</v>
      </c>
      <c r="L16034" s="22" t="s">
        <v>10</v>
      </c>
      <c r="M16034" s="25">
        <v>4481933.5</v>
      </c>
      <c r="N16034" s="27">
        <v>4.7944825013719716E-2</v>
      </c>
    </row>
    <row r="16035" spans="1:14" x14ac:dyDescent="0.15">
      <c r="A16035" s="23" t="str">
        <f>HYPERLINK("https://www.spark-marketing.ru/Card/Person/6531", "АРБИТРАЖНЫЙ СУД ЧЕЛЯБИНСКОЙ ОБЛАСТИ")</f>
        <v>АРБИТРАЖНЫЙ СУД ЧЕЛЯБИНСКОЙ ОБЛАСТИ</v>
      </c>
      <c r="B16035" s="24" t="s">
        <v>21038</v>
      </c>
      <c r="C16035" s="25">
        <v>431000</v>
      </c>
      <c r="D16035" s="22" t="s">
        <v>21039</v>
      </c>
      <c r="E16035" s="22" t="s">
        <v>91</v>
      </c>
      <c r="F16035" s="23" t="str">
        <f>HYPERLINK("https://www.spark-marketing.ru/Card/Lot/71519377", "Оказание услуг по ремонту и техническому обслуживанию оргтехники, компьютерного, периферийного оборудования и источников бесперебойного питания")</f>
        <v>Оказание услуг по ремонту и техническому обслуживанию оргтехники, компьютерного, периферийного оборудования и источников бесперебойного питания</v>
      </c>
      <c r="G16035" s="22" t="s">
        <v>469</v>
      </c>
      <c r="H16035" s="22" t="s">
        <v>469</v>
      </c>
      <c r="I16035" s="26">
        <v>43636.390972222202</v>
      </c>
      <c r="J16035" s="28" t="s">
        <v>51</v>
      </c>
      <c r="K16035" s="28" t="s">
        <v>51</v>
      </c>
      <c r="L16035" s="28" t="s">
        <v>51</v>
      </c>
      <c r="M16035" s="28" t="s">
        <v>51</v>
      </c>
      <c r="N16035" s="28" t="s">
        <v>51</v>
      </c>
    </row>
    <row r="16036" spans="1:14" ht="12.75" hidden="1" outlineLevel="1" x14ac:dyDescent="0.2">
      <c r="A16036" s="23" t="str">
        <f>HYPERLINK("https://www.spark-marketing.ru/Card/Person/6531", "АРБИТРАЖНЫЙ СУД ЧЕЛЯБИНСКОЙ ОБЛАСТИ")</f>
        <v>АРБИТРАЖНЫЙ СУД ЧЕЛЯБИНСКОЙ ОБЛАСТИ</v>
      </c>
      <c r="B16036" s="24" t="s">
        <v>21038</v>
      </c>
      <c r="C16036" s="25">
        <v>431000</v>
      </c>
      <c r="D16036" s="22" t="s">
        <v>21039</v>
      </c>
      <c r="E16036" s="22" t="s">
        <v>91</v>
      </c>
      <c r="F16036" s="23" t="str">
        <f>HYPERLINK("https://www.spark-marketing.ru/Card/Lot/71519377", "Оказание услуг по ремонту и техническому обслуживанию оргтехники, компьютерного, периферийного оборудования и источников бесперебойного питания")</f>
        <v>Оказание услуг по ремонту и техническому обслуживанию оргтехники, компьютерного, периферийного оборудования и источников бесперебойного питания</v>
      </c>
      <c r="G16036" s="22" t="s">
        <v>469</v>
      </c>
      <c r="H16036" s="22" t="s">
        <v>469</v>
      </c>
      <c r="I16036" s="26">
        <v>43636.390972222202</v>
      </c>
      <c r="J16036" s="23" t="str">
        <f>HYPERLINK("https://www.spark-marketing.ru/Card/Person/11889", "ООО""ИП ЦЕНТР СЕРВИС""")</f>
        <v>ООО"ИП ЦЕНТР СЕРВИС"</v>
      </c>
      <c r="K16036" s="24" t="s">
        <v>21040</v>
      </c>
      <c r="L16036" s="22" t="s">
        <v>10</v>
      </c>
      <c r="M16036" s="25">
        <v>894392.06</v>
      </c>
      <c r="N16036" s="27">
        <v>-1.0751555916473319</v>
      </c>
    </row>
    <row r="16037" spans="1:14" hidden="1" outlineLevel="1" x14ac:dyDescent="0.2">
      <c r="A16037" s="23" t="str">
        <f>HYPERLINK("https://www.spark-marketing.ru/Card/Person/6531", "АРБИТРАЖНЫЙ СУД ЧЕЛЯБИНСКОЙ ОБЛАСТИ")</f>
        <v>АРБИТРАЖНЫЙ СУД ЧЕЛЯБИНСКОЙ ОБЛАСТИ</v>
      </c>
      <c r="B16037" s="24" t="s">
        <v>21038</v>
      </c>
      <c r="C16037" s="25">
        <v>431000</v>
      </c>
      <c r="D16037" s="22" t="s">
        <v>21039</v>
      </c>
      <c r="E16037" s="22" t="s">
        <v>91</v>
      </c>
      <c r="F16037" s="23" t="str">
        <f>HYPERLINK("https://www.spark-marketing.ru/Card/Lot/71519377", "Оказание услуг по ремонту и техническому обслуживанию оргтехники, компьютерного, периферийного оборудования и источников бесперебойного питания")</f>
        <v>Оказание услуг по ремонту и техническому обслуживанию оргтехники, компьютерного, периферийного оборудования и источников бесперебойного питания</v>
      </c>
      <c r="G16037" s="22" t="s">
        <v>469</v>
      </c>
      <c r="H16037" s="22" t="s">
        <v>469</v>
      </c>
      <c r="I16037" s="26">
        <v>43636.390972222202</v>
      </c>
      <c r="J16037" s="23" t="str">
        <f>HYPERLINK("https://www.spark-marketing.ru/Card/Person/493671", "ООО ""ГК КРЫМ""")</f>
        <v>ООО "ГК КРЫМ"</v>
      </c>
      <c r="K16037" s="24" t="s">
        <v>21041</v>
      </c>
      <c r="L16037" s="28" t="s">
        <v>51</v>
      </c>
      <c r="M16037" s="25">
        <v>1037469.28</v>
      </c>
      <c r="N16037" s="27">
        <v>-1.4071212993039444</v>
      </c>
    </row>
    <row r="16038" spans="1:14" hidden="1" outlineLevel="1" x14ac:dyDescent="0.2">
      <c r="A16038" s="23" t="str">
        <f>HYPERLINK("https://www.spark-marketing.ru/Card/Person/6531", "АРБИТРАЖНЫЙ СУД ЧЕЛЯБИНСКОЙ ОБЛАСТИ")</f>
        <v>АРБИТРАЖНЫЙ СУД ЧЕЛЯБИНСКОЙ ОБЛАСТИ</v>
      </c>
      <c r="B16038" s="24" t="s">
        <v>21038</v>
      </c>
      <c r="C16038" s="25">
        <v>431000</v>
      </c>
      <c r="D16038" s="22" t="s">
        <v>21039</v>
      </c>
      <c r="E16038" s="22" t="s">
        <v>91</v>
      </c>
      <c r="F16038" s="23" t="str">
        <f>HYPERLINK("https://www.spark-marketing.ru/Card/Lot/71519377", "Оказание услуг по ремонту и техническому обслуживанию оргтехники, компьютерного, периферийного оборудования и источников бесперебойного питания")</f>
        <v>Оказание услуг по ремонту и техническому обслуживанию оргтехники, компьютерного, периферийного оборудования и источников бесперебойного питания</v>
      </c>
      <c r="G16038" s="22" t="s">
        <v>469</v>
      </c>
      <c r="H16038" s="22" t="s">
        <v>469</v>
      </c>
      <c r="I16038" s="26">
        <v>43636.390972222202</v>
      </c>
      <c r="J16038" s="23" t="str">
        <f>HYPERLINK("https://www.spark-marketing.ru/Card/Person/4176", "Бородин Василий Сергеевич")</f>
        <v>Бородин Василий Сергеевич</v>
      </c>
      <c r="K16038" s="24" t="s">
        <v>21042</v>
      </c>
      <c r="L16038" s="28" t="s">
        <v>51</v>
      </c>
      <c r="M16038" s="25">
        <v>900000</v>
      </c>
      <c r="N16038" s="27">
        <v>-1.0881670533642691</v>
      </c>
    </row>
    <row r="16039" spans="1:14" x14ac:dyDescent="0.15">
      <c r="A16039" s="23" t="str">
        <f>HYPERLINK("https://www.spark-marketing.ru/Card/Person/116244", "МДОУ ""ДС № 8 ""ЗОЛОТАЯ РЫБКА""")</f>
        <v>МДОУ "ДС № 8 "ЗОЛОТАЯ РЫБКА"</v>
      </c>
      <c r="B16039" s="24" t="s">
        <v>21043</v>
      </c>
      <c r="C16039" s="25">
        <v>10595126.970000001</v>
      </c>
      <c r="D16039" s="22" t="s">
        <v>21044</v>
      </c>
      <c r="E16039" s="22" t="s">
        <v>48</v>
      </c>
      <c r="F16039" s="23" t="str">
        <f>HYPERLINK("https://www.spark-marketing.ru/Card/Lot/71518077",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39" s="22" t="s">
        <v>149</v>
      </c>
      <c r="H16039" s="22" t="s">
        <v>1025</v>
      </c>
      <c r="I16039" s="26">
        <v>43636.409722222197</v>
      </c>
      <c r="J16039" s="28" t="s">
        <v>51</v>
      </c>
      <c r="K16039" s="28" t="s">
        <v>51</v>
      </c>
      <c r="L16039" s="28" t="s">
        <v>51</v>
      </c>
      <c r="M16039" s="28" t="s">
        <v>51</v>
      </c>
      <c r="N16039" s="28" t="s">
        <v>51</v>
      </c>
    </row>
    <row r="16040" spans="1:14" hidden="1" outlineLevel="1" x14ac:dyDescent="0.2">
      <c r="A16040" s="23" t="str">
        <f>HYPERLINK("https://www.spark-marketing.ru/Card/Person/116244", "МДОУ ""ДС № 8 ""ЗОЛОТАЯ РЫБКА""")</f>
        <v>МДОУ "ДС № 8 "ЗОЛОТАЯ РЫБКА"</v>
      </c>
      <c r="B16040" s="24" t="s">
        <v>21043</v>
      </c>
      <c r="C16040" s="25">
        <v>10595126.970000001</v>
      </c>
      <c r="D16040" s="22" t="s">
        <v>21044</v>
      </c>
      <c r="E16040" s="22" t="s">
        <v>48</v>
      </c>
      <c r="F16040" s="23" t="str">
        <f>HYPERLINK("https://www.spark-marketing.ru/Card/Lot/71518077",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40" s="22" t="s">
        <v>149</v>
      </c>
      <c r="H16040" s="22" t="s">
        <v>1025</v>
      </c>
      <c r="I16040" s="26">
        <v>43636.409722222197</v>
      </c>
      <c r="J16040" s="23" t="str">
        <f>HYPERLINK("https://www.spark-marketing.ru/Card/Person/569088", "ООО ""ТПУ""")</f>
        <v>ООО "ТПУ"</v>
      </c>
      <c r="K16040" s="24" t="s">
        <v>21027</v>
      </c>
      <c r="L16040" s="28" t="s">
        <v>51</v>
      </c>
      <c r="M16040" s="25">
        <v>10595126.970000001</v>
      </c>
      <c r="N16040" s="27">
        <v>0</v>
      </c>
    </row>
    <row r="16041" spans="1:14" ht="12.75" hidden="1" outlineLevel="1" x14ac:dyDescent="0.2">
      <c r="A16041" s="23" t="str">
        <f>HYPERLINK("https://www.spark-marketing.ru/Card/Person/116244", "МДОУ ""ДС № 8 ""ЗОЛОТАЯ РЫБКА""")</f>
        <v>МДОУ "ДС № 8 "ЗОЛОТАЯ РЫБКА"</v>
      </c>
      <c r="B16041" s="24" t="s">
        <v>21043</v>
      </c>
      <c r="C16041" s="25">
        <v>10595126.970000001</v>
      </c>
      <c r="D16041" s="22" t="s">
        <v>21044</v>
      </c>
      <c r="E16041" s="22" t="s">
        <v>48</v>
      </c>
      <c r="F16041" s="23" t="str">
        <f>HYPERLINK("https://www.spark-marketing.ru/Card/Lot/71518077",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41" s="22" t="s">
        <v>149</v>
      </c>
      <c r="H16041" s="22" t="s">
        <v>1025</v>
      </c>
      <c r="I16041" s="26">
        <v>43636.409722222197</v>
      </c>
      <c r="J16041" s="23" t="str">
        <f>HYPERLINK("https://www.spark-marketing.ru/Card/Person/55369", "ООО ""КОМБИНАТ ОБЩЕСТВЕННОГО ПИТАНИЯ""")</f>
        <v>ООО "КОМБИНАТ ОБЩЕСТВЕННОГО ПИТАНИЯ"</v>
      </c>
      <c r="K16041" s="24" t="s">
        <v>1516</v>
      </c>
      <c r="L16041" s="22" t="s">
        <v>10</v>
      </c>
      <c r="M16041" s="25">
        <v>10272867.4</v>
      </c>
      <c r="N16041" s="27">
        <v>3.0415828985577507E-2</v>
      </c>
    </row>
    <row r="16042" spans="1:14" x14ac:dyDescent="0.15">
      <c r="A16042" s="23" t="str">
        <f>HYPERLINK("https://www.spark-marketing.ru/Card/Person/115090", "МДОУ ""ДС № 11 ""РОМАШКА""")</f>
        <v>МДОУ "ДС № 11 "РОМАШКА"</v>
      </c>
      <c r="B16042" s="24" t="s">
        <v>21045</v>
      </c>
      <c r="C16042" s="25">
        <v>10778814.890000001</v>
      </c>
      <c r="D16042" s="22" t="s">
        <v>21046</v>
      </c>
      <c r="E16042" s="22" t="s">
        <v>48</v>
      </c>
      <c r="F16042" s="23" t="str">
        <f>HYPERLINK("https://www.spark-marketing.ru/Card/Lot/71518078",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42" s="22" t="s">
        <v>149</v>
      </c>
      <c r="H16042" s="22" t="s">
        <v>1025</v>
      </c>
      <c r="I16042" s="26">
        <v>43636.410416666702</v>
      </c>
      <c r="J16042" s="28" t="s">
        <v>51</v>
      </c>
      <c r="K16042" s="28" t="s">
        <v>51</v>
      </c>
      <c r="L16042" s="28" t="s">
        <v>51</v>
      </c>
      <c r="M16042" s="28" t="s">
        <v>51</v>
      </c>
      <c r="N16042" s="28" t="s">
        <v>51</v>
      </c>
    </row>
    <row r="16043" spans="1:14" ht="12.75" hidden="1" outlineLevel="1" x14ac:dyDescent="0.2">
      <c r="A16043" s="23" t="str">
        <f>HYPERLINK("https://www.spark-marketing.ru/Card/Person/115090", "МДОУ ""ДС № 11 ""РОМАШКА""")</f>
        <v>МДОУ "ДС № 11 "РОМАШКА"</v>
      </c>
      <c r="B16043" s="24" t="s">
        <v>21045</v>
      </c>
      <c r="C16043" s="25">
        <v>10778814.890000001</v>
      </c>
      <c r="D16043" s="22" t="s">
        <v>21046</v>
      </c>
      <c r="E16043" s="22" t="s">
        <v>48</v>
      </c>
      <c r="F16043" s="23" t="str">
        <f>HYPERLINK("https://www.spark-marketing.ru/Card/Lot/71518078",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43" s="22" t="s">
        <v>149</v>
      </c>
      <c r="H16043" s="22" t="s">
        <v>1025</v>
      </c>
      <c r="I16043" s="26">
        <v>43636.410416666702</v>
      </c>
      <c r="J16043" s="23" t="str">
        <f>HYPERLINK("https://www.spark-marketing.ru/Card/Person/55369", "ООО ""КОМБИНАТ ОБЩЕСТВЕННОГО ПИТАНИЯ""")</f>
        <v>ООО "КОМБИНАТ ОБЩЕСТВЕННОГО ПИТАНИЯ"</v>
      </c>
      <c r="K16043" s="24" t="s">
        <v>1516</v>
      </c>
      <c r="L16043" s="22" t="s">
        <v>10</v>
      </c>
      <c r="M16043" s="25">
        <v>10441097.800000001</v>
      </c>
      <c r="N16043" s="27">
        <v>3.1331560421667098E-2</v>
      </c>
    </row>
    <row r="16044" spans="1:14" hidden="1" outlineLevel="1" x14ac:dyDescent="0.2">
      <c r="A16044" s="23" t="str">
        <f>HYPERLINK("https://www.spark-marketing.ru/Card/Person/115090", "МДОУ ""ДС № 11 ""РОМАШКА""")</f>
        <v>МДОУ "ДС № 11 "РОМАШКА"</v>
      </c>
      <c r="B16044" s="24" t="s">
        <v>21045</v>
      </c>
      <c r="C16044" s="25">
        <v>10778814.890000001</v>
      </c>
      <c r="D16044" s="22" t="s">
        <v>21046</v>
      </c>
      <c r="E16044" s="22" t="s">
        <v>48</v>
      </c>
      <c r="F16044" s="23" t="str">
        <f>HYPERLINK("https://www.spark-marketing.ru/Card/Lot/71518078",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44" s="22" t="s">
        <v>149</v>
      </c>
      <c r="H16044" s="22" t="s">
        <v>1025</v>
      </c>
      <c r="I16044" s="26">
        <v>43636.410416666702</v>
      </c>
      <c r="J16044" s="23" t="str">
        <f>HYPERLINK("https://www.spark-marketing.ru/Card/Person/569088", "ООО ""ТПУ""")</f>
        <v>ООО "ТПУ"</v>
      </c>
      <c r="K16044" s="24" t="s">
        <v>21027</v>
      </c>
      <c r="L16044" s="28" t="s">
        <v>51</v>
      </c>
      <c r="M16044" s="25">
        <v>10778814.890000001</v>
      </c>
      <c r="N16044" s="27">
        <v>0</v>
      </c>
    </row>
    <row r="16045" spans="1:14" x14ac:dyDescent="0.15">
      <c r="A16045" s="23" t="str">
        <f>HYPERLINK("https://www.spark-marketing.ru/Card/Person/418059", "ГКАУ ""ЦСП ПЕРМСКОГО КРАЯ""")</f>
        <v>ГКАУ "ЦСП ПЕРМСКОГО КРАЯ"</v>
      </c>
      <c r="B16045" s="24" t="s">
        <v>10611</v>
      </c>
      <c r="C16045" s="25">
        <v>128800</v>
      </c>
      <c r="D16045" s="22" t="s">
        <v>21047</v>
      </c>
      <c r="E16045" s="22" t="s">
        <v>21048</v>
      </c>
      <c r="F16045" s="23" t="str">
        <f>HYPERLINK("https://www.spark-marketing.ru/Card/Lot/71518879", "Услуги по организации временного проживания и ежедневного горячего питания в период проведения Первенство Приволжского федерального округа, девушки 2005-2006 г.р., девушки 2003 - 2004 г.р. Пляжный волейбол.")</f>
        <v>Услуги по организации временного проживания и ежедневного горячего питания в период проведения Первенство Приволжского федерального округа, девушки 2005-2006 г.р., девушки 2003 - 2004 г.р. Пляжный волейбол.</v>
      </c>
      <c r="G16045" s="22" t="s">
        <v>153</v>
      </c>
      <c r="H16045" s="22" t="s">
        <v>153</v>
      </c>
      <c r="I16045" s="26">
        <v>43636.387962963003</v>
      </c>
      <c r="J16045" s="28" t="s">
        <v>51</v>
      </c>
      <c r="K16045" s="28" t="s">
        <v>51</v>
      </c>
      <c r="L16045" s="28" t="s">
        <v>51</v>
      </c>
      <c r="M16045" s="28" t="s">
        <v>51</v>
      </c>
      <c r="N16045" s="28" t="s">
        <v>51</v>
      </c>
    </row>
    <row r="16046" spans="1:14" x14ac:dyDescent="0.15">
      <c r="A16046" s="23" t="str">
        <f>HYPERLINK("https://www.spark-marketing.ru/Card/Person/1070856", "ОМВД РОССИИ ПО ОМСКОМУ РАЙОНУ")</f>
        <v>ОМВД РОССИИ ПО ОМСКОМУ РАЙОНУ</v>
      </c>
      <c r="B16046" s="24" t="s">
        <v>21049</v>
      </c>
      <c r="C16046" s="25">
        <v>2978</v>
      </c>
      <c r="D16046" s="22" t="s">
        <v>21050</v>
      </c>
      <c r="E16046" s="22" t="s">
        <v>96</v>
      </c>
      <c r="F16046" s="23" t="str">
        <f>HYPERLINK("https://www.spark-marketing.ru/Card/Lot/71520518", "Оказание услуг по организации питания (приготовлению и доставке), 14 шт")</f>
        <v>Оказание услуг по организации питания (приготовлению и доставке), 14 шт</v>
      </c>
      <c r="G16046" s="22" t="s">
        <v>487</v>
      </c>
      <c r="H16046" s="22" t="s">
        <v>488</v>
      </c>
      <c r="I16046" s="26">
        <v>43636.389965277798</v>
      </c>
      <c r="J16046" s="28" t="s">
        <v>51</v>
      </c>
      <c r="K16046" s="28" t="s">
        <v>51</v>
      </c>
      <c r="L16046" s="28" t="s">
        <v>51</v>
      </c>
      <c r="M16046" s="28" t="s">
        <v>51</v>
      </c>
      <c r="N16046" s="28" t="s">
        <v>51</v>
      </c>
    </row>
    <row r="16047" spans="1:14" x14ac:dyDescent="0.15">
      <c r="A16047" s="23" t="str">
        <f>HYPERLINK("https://www.spark-marketing.ru/Card/Person/88729", "МБДОУ ДЕТСКИЙ САД № 162")</f>
        <v>МБДОУ ДЕТСКИЙ САД № 162</v>
      </c>
      <c r="B16047" s="24" t="s">
        <v>21051</v>
      </c>
      <c r="C16047" s="25">
        <v>8042654</v>
      </c>
      <c r="D16047" s="22" t="s">
        <v>21052</v>
      </c>
      <c r="E16047" s="22" t="s">
        <v>48</v>
      </c>
      <c r="F16047" s="23" t="str">
        <f>HYPERLINK("https://www.spark-marketing.ru/Card/Lot/71523424", "Оказание услуг по организации питания в дошкольном образовательном учреждении г. Твери")</f>
        <v>Оказание услуг по организации питания в дошкольном образовательном учреждении г. Твери</v>
      </c>
      <c r="G16047" s="22" t="s">
        <v>137</v>
      </c>
      <c r="H16047" s="22" t="s">
        <v>138</v>
      </c>
      <c r="I16047" s="26">
        <v>43636.386805555601</v>
      </c>
      <c r="J16047" s="28" t="s">
        <v>51</v>
      </c>
      <c r="K16047" s="28" t="s">
        <v>51</v>
      </c>
      <c r="L16047" s="28" t="s">
        <v>51</v>
      </c>
      <c r="M16047" s="28" t="s">
        <v>51</v>
      </c>
      <c r="N16047" s="28" t="s">
        <v>51</v>
      </c>
    </row>
    <row r="16048" spans="1:14" ht="12.75" hidden="1" outlineLevel="1" x14ac:dyDescent="0.2">
      <c r="A16048" s="23" t="str">
        <f>HYPERLINK("https://www.spark-marketing.ru/Card/Person/88729", "МБДОУ ДЕТСКИЙ САД № 162")</f>
        <v>МБДОУ ДЕТСКИЙ САД № 162</v>
      </c>
      <c r="B16048" s="24" t="s">
        <v>21051</v>
      </c>
      <c r="C16048" s="25">
        <v>8042654</v>
      </c>
      <c r="D16048" s="22" t="s">
        <v>21052</v>
      </c>
      <c r="E16048" s="22" t="s">
        <v>48</v>
      </c>
      <c r="F16048" s="23" t="str">
        <f>HYPERLINK("https://www.spark-marketing.ru/Card/Lot/71523424", "Оказание услуг по организации питания в дошкольном образовательном учреждении г. Твери")</f>
        <v>Оказание услуг по организации питания в дошкольном образовательном учреждении г. Твери</v>
      </c>
      <c r="G16048" s="22" t="s">
        <v>137</v>
      </c>
      <c r="H16048" s="22" t="s">
        <v>138</v>
      </c>
      <c r="I16048" s="26">
        <v>43636.386805555601</v>
      </c>
      <c r="J16048" s="23" t="str">
        <f>HYPERLINK("https://www.spark-marketing.ru/Card/Person/610902", "ООО ""РАТИБОР""")</f>
        <v>ООО "РАТИБОР"</v>
      </c>
      <c r="K16048" s="24" t="s">
        <v>17751</v>
      </c>
      <c r="L16048" s="22" t="s">
        <v>10</v>
      </c>
      <c r="M16048" s="25">
        <v>8042000</v>
      </c>
      <c r="N16048" s="27">
        <v>8.1316441065349817E-5</v>
      </c>
    </row>
    <row r="16049" spans="1:14" hidden="1" outlineLevel="1" x14ac:dyDescent="0.2">
      <c r="A16049" s="23" t="str">
        <f>HYPERLINK("https://www.spark-marketing.ru/Card/Person/88729", "МБДОУ ДЕТСКИЙ САД № 162")</f>
        <v>МБДОУ ДЕТСКИЙ САД № 162</v>
      </c>
      <c r="B16049" s="24" t="s">
        <v>21051</v>
      </c>
      <c r="C16049" s="25">
        <v>8042654</v>
      </c>
      <c r="D16049" s="22" t="s">
        <v>21052</v>
      </c>
      <c r="E16049" s="22" t="s">
        <v>48</v>
      </c>
      <c r="F16049" s="23" t="str">
        <f>HYPERLINK("https://www.spark-marketing.ru/Card/Lot/71523424", "Оказание услуг по организации питания в дошкольном образовательном учреждении г. Твери")</f>
        <v>Оказание услуг по организации питания в дошкольном образовательном учреждении г. Твери</v>
      </c>
      <c r="G16049" s="22" t="s">
        <v>137</v>
      </c>
      <c r="H16049" s="22" t="s">
        <v>138</v>
      </c>
      <c r="I16049" s="26">
        <v>43636.386805555601</v>
      </c>
      <c r="J16049" s="23" t="str">
        <f>HYPERLINK("https://www.spark-marketing.ru/Card/Person/76228", "ООО ""ЛИМАН""")</f>
        <v>ООО "ЛИМАН"</v>
      </c>
      <c r="K16049" s="24" t="s">
        <v>16890</v>
      </c>
      <c r="L16049" s="28" t="s">
        <v>51</v>
      </c>
      <c r="M16049" s="25">
        <v>8042600</v>
      </c>
      <c r="N16049" s="27">
        <v>6.7142015558545722E-6</v>
      </c>
    </row>
    <row r="16050" spans="1:14" x14ac:dyDescent="0.15">
      <c r="A16050" s="23" t="str">
        <f>HYPERLINK("https://www.spark-marketing.ru/Card/Person/4347592", "Филиал ВИПК МВД России (г.Набережные Челны)")</f>
        <v>Филиал ВИПК МВД России (г.Набережные Челны)</v>
      </c>
      <c r="B16050" s="24" t="s">
        <v>4736</v>
      </c>
      <c r="C16050" s="25">
        <v>2226500</v>
      </c>
      <c r="D16050" s="22" t="s">
        <v>21053</v>
      </c>
      <c r="E16050" s="22" t="s">
        <v>48</v>
      </c>
      <c r="F16050" s="23" t="str">
        <f>HYPERLINK("https://www.spark-marketing.ru/Card/Lot/71523065", "Оказание услуг по организации ежедневного питания обучающихся (слушателей) в здании столовой БФ ВИПК МВД России")</f>
        <v>Оказание услуг по организации ежедневного питания обучающихся (слушателей) в здании столовой БФ ВИПК МВД России</v>
      </c>
      <c r="G16050" s="22" t="s">
        <v>475</v>
      </c>
      <c r="H16050" s="22" t="s">
        <v>475</v>
      </c>
      <c r="I16050" s="26">
        <v>43636.400694444397</v>
      </c>
      <c r="J16050" s="28" t="s">
        <v>51</v>
      </c>
      <c r="K16050" s="28" t="s">
        <v>51</v>
      </c>
      <c r="L16050" s="28" t="s">
        <v>51</v>
      </c>
      <c r="M16050" s="28" t="s">
        <v>51</v>
      </c>
      <c r="N16050" s="28" t="s">
        <v>51</v>
      </c>
    </row>
    <row r="16051" spans="1:14" hidden="1" outlineLevel="1" x14ac:dyDescent="0.2">
      <c r="A16051" s="23" t="str">
        <f>HYPERLINK("https://www.spark-marketing.ru/Card/Person/4347592", "Филиал ВИПК МВД России (г.Набережные Челны)")</f>
        <v>Филиал ВИПК МВД России (г.Набережные Челны)</v>
      </c>
      <c r="B16051" s="24" t="s">
        <v>4736</v>
      </c>
      <c r="C16051" s="25">
        <v>2226500</v>
      </c>
      <c r="D16051" s="22" t="s">
        <v>21053</v>
      </c>
      <c r="E16051" s="22" t="s">
        <v>48</v>
      </c>
      <c r="F16051" s="23" t="str">
        <f>HYPERLINK("https://www.spark-marketing.ru/Card/Lot/71523065", "Оказание услуг по организации ежедневного питания обучающихся (слушателей) в здании столовой БФ ВИПК МВД России")</f>
        <v>Оказание услуг по организации ежедневного питания обучающихся (слушателей) в здании столовой БФ ВИПК МВД России</v>
      </c>
      <c r="G16051" s="22" t="s">
        <v>475</v>
      </c>
      <c r="H16051" s="22" t="s">
        <v>475</v>
      </c>
      <c r="I16051" s="26">
        <v>43636.400694444397</v>
      </c>
      <c r="J16051" s="23" t="str">
        <f>HYPERLINK("https://www.spark-marketing.ru/Card/Person/1257360", "ООО ""ГОСТИНЫЙ ДОМ БРЯНСК""")</f>
        <v>ООО "ГОСТИНЫЙ ДОМ БРЯНСК"</v>
      </c>
      <c r="K16051" s="24" t="s">
        <v>15316</v>
      </c>
      <c r="L16051" s="28" t="s">
        <v>51</v>
      </c>
      <c r="M16051" s="25">
        <v>1967735</v>
      </c>
      <c r="N16051" s="27">
        <v>0.11622052548843477</v>
      </c>
    </row>
    <row r="16052" spans="1:14" hidden="1" outlineLevel="1" x14ac:dyDescent="0.2">
      <c r="A16052" s="23" t="str">
        <f>HYPERLINK("https://www.spark-marketing.ru/Card/Person/4347592", "Филиал ВИПК МВД России (г.Набережные Челны)")</f>
        <v>Филиал ВИПК МВД России (г.Набережные Челны)</v>
      </c>
      <c r="B16052" s="24" t="s">
        <v>4736</v>
      </c>
      <c r="C16052" s="25">
        <v>2226500</v>
      </c>
      <c r="D16052" s="22" t="s">
        <v>21053</v>
      </c>
      <c r="E16052" s="22" t="s">
        <v>48</v>
      </c>
      <c r="F16052" s="23" t="str">
        <f>HYPERLINK("https://www.spark-marketing.ru/Card/Lot/71523065", "Оказание услуг по организации ежедневного питания обучающихся (слушателей) в здании столовой БФ ВИПК МВД России")</f>
        <v>Оказание услуг по организации ежедневного питания обучающихся (слушателей) в здании столовой БФ ВИПК МВД России</v>
      </c>
      <c r="G16052" s="22" t="s">
        <v>475</v>
      </c>
      <c r="H16052" s="22" t="s">
        <v>475</v>
      </c>
      <c r="I16052" s="26">
        <v>43636.400694444397</v>
      </c>
      <c r="J16052" s="23" t="str">
        <f>HYPERLINK("https://www.spark-marketing.ru/Card/Person/6494179", "Квасов Андрей Васильевич")</f>
        <v>Квасов Андрей Васильевич</v>
      </c>
      <c r="K16052" s="24" t="s">
        <v>4083</v>
      </c>
      <c r="L16052" s="28" t="s">
        <v>51</v>
      </c>
      <c r="M16052" s="25">
        <v>1786867.5</v>
      </c>
      <c r="N16052" s="27">
        <v>0.19745452503929936</v>
      </c>
    </row>
    <row r="16053" spans="1:14" ht="12.75" hidden="1" outlineLevel="1" x14ac:dyDescent="0.2">
      <c r="A16053" s="23" t="str">
        <f>HYPERLINK("https://www.spark-marketing.ru/Card/Person/4347592", "Филиал ВИПК МВД России (г.Набережные Челны)")</f>
        <v>Филиал ВИПК МВД России (г.Набережные Челны)</v>
      </c>
      <c r="B16053" s="24" t="s">
        <v>4736</v>
      </c>
      <c r="C16053" s="25">
        <v>2226500</v>
      </c>
      <c r="D16053" s="22" t="s">
        <v>21053</v>
      </c>
      <c r="E16053" s="22" t="s">
        <v>48</v>
      </c>
      <c r="F16053" s="23" t="str">
        <f>HYPERLINK("https://www.spark-marketing.ru/Card/Lot/71523065", "Оказание услуг по организации ежедневного питания обучающихся (слушателей) в здании столовой БФ ВИПК МВД России")</f>
        <v>Оказание услуг по организации ежедневного питания обучающихся (слушателей) в здании столовой БФ ВИПК МВД России</v>
      </c>
      <c r="G16053" s="22" t="s">
        <v>475</v>
      </c>
      <c r="H16053" s="22" t="s">
        <v>475</v>
      </c>
      <c r="I16053" s="26">
        <v>43636.400694444397</v>
      </c>
      <c r="J16053" s="23" t="str">
        <f>HYPERLINK("https://www.spark-marketing.ru/Card/Person/4923070", "ООО ""КФ КАПИТАН""")</f>
        <v>ООО "КФ КАПИТАН"</v>
      </c>
      <c r="K16053" s="24" t="s">
        <v>12784</v>
      </c>
      <c r="L16053" s="22" t="s">
        <v>10</v>
      </c>
      <c r="M16053" s="25">
        <v>1775000</v>
      </c>
      <c r="N16053" s="27">
        <v>0.20278463956883</v>
      </c>
    </row>
    <row r="16054" spans="1:14" x14ac:dyDescent="0.15">
      <c r="A16054" s="23" t="str">
        <f>HYPERLINK("https://www.spark-marketing.ru/Card/Person/124632", "МДОУ ""ЦРР № 10 ""РОСИНКА""")</f>
        <v>МДОУ "ЦРР № 10 "РОСИНКА"</v>
      </c>
      <c r="B16054" s="24" t="s">
        <v>21054</v>
      </c>
      <c r="C16054" s="25">
        <v>10441638.1</v>
      </c>
      <c r="D16054" s="22" t="s">
        <v>21055</v>
      </c>
      <c r="E16054" s="22" t="s">
        <v>48</v>
      </c>
      <c r="F16054" s="23" t="str">
        <f>HYPERLINK("https://www.spark-marketing.ru/Card/Lot/71518076",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54" s="22" t="s">
        <v>149</v>
      </c>
      <c r="H16054" s="22" t="s">
        <v>1025</v>
      </c>
      <c r="I16054" s="26">
        <v>43636.410416666702</v>
      </c>
      <c r="J16054" s="28" t="s">
        <v>51</v>
      </c>
      <c r="K16054" s="28" t="s">
        <v>51</v>
      </c>
      <c r="L16054" s="28" t="s">
        <v>51</v>
      </c>
      <c r="M16054" s="28" t="s">
        <v>51</v>
      </c>
      <c r="N16054" s="28" t="s">
        <v>51</v>
      </c>
    </row>
    <row r="16055" spans="1:14" hidden="1" outlineLevel="1" x14ac:dyDescent="0.2">
      <c r="A16055" s="23" t="str">
        <f>HYPERLINK("https://www.spark-marketing.ru/Card/Person/124632", "МДОУ ""ЦРР № 10 ""РОСИНКА""")</f>
        <v>МДОУ "ЦРР № 10 "РОСИНКА"</v>
      </c>
      <c r="B16055" s="24" t="s">
        <v>21054</v>
      </c>
      <c r="C16055" s="25">
        <v>10441638.1</v>
      </c>
      <c r="D16055" s="22" t="s">
        <v>21055</v>
      </c>
      <c r="E16055" s="22" t="s">
        <v>48</v>
      </c>
      <c r="F16055" s="23" t="str">
        <f>HYPERLINK("https://www.spark-marketing.ru/Card/Lot/71518076",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55" s="22" t="s">
        <v>149</v>
      </c>
      <c r="H16055" s="22" t="s">
        <v>1025</v>
      </c>
      <c r="I16055" s="26">
        <v>43636.410416666702</v>
      </c>
      <c r="J16055" s="23" t="str">
        <f>HYPERLINK("https://www.spark-marketing.ru/Card/Person/569088", "ООО ""ТПУ""")</f>
        <v>ООО "ТПУ"</v>
      </c>
      <c r="K16055" s="24" t="s">
        <v>21027</v>
      </c>
      <c r="L16055" s="28" t="s">
        <v>51</v>
      </c>
      <c r="M16055" s="25">
        <v>10441638.1</v>
      </c>
      <c r="N16055" s="27">
        <v>0</v>
      </c>
    </row>
    <row r="16056" spans="1:14" ht="12.75" hidden="1" outlineLevel="1" x14ac:dyDescent="0.2">
      <c r="A16056" s="23" t="str">
        <f>HYPERLINK("https://www.spark-marketing.ru/Card/Person/124632", "МДОУ ""ЦРР № 10 ""РОСИНКА""")</f>
        <v>МДОУ "ЦРР № 10 "РОСИНКА"</v>
      </c>
      <c r="B16056" s="24" t="s">
        <v>21054</v>
      </c>
      <c r="C16056" s="25">
        <v>10441638.1</v>
      </c>
      <c r="D16056" s="22" t="s">
        <v>21055</v>
      </c>
      <c r="E16056" s="22" t="s">
        <v>48</v>
      </c>
      <c r="F16056" s="23" t="str">
        <f>HYPERLINK("https://www.spark-marketing.ru/Card/Lot/71518076",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56" s="22" t="s">
        <v>149</v>
      </c>
      <c r="H16056" s="22" t="s">
        <v>1025</v>
      </c>
      <c r="I16056" s="26">
        <v>43636.410416666702</v>
      </c>
      <c r="J16056" s="23" t="str">
        <f>HYPERLINK("https://www.spark-marketing.ru/Card/Person/55369", "ООО ""КОМБИНАТ ОБЩЕСТВЕННОГО ПИТАНИЯ""")</f>
        <v>ООО "КОМБИНАТ ОБЩЕСТВЕННОГО ПИТАНИЯ"</v>
      </c>
      <c r="K16056" s="24" t="s">
        <v>1516</v>
      </c>
      <c r="L16056" s="22" t="s">
        <v>10</v>
      </c>
      <c r="M16056" s="25">
        <v>10106617.800000001</v>
      </c>
      <c r="N16056" s="27">
        <v>3.208503271148614E-2</v>
      </c>
    </row>
    <row r="16057" spans="1:14" x14ac:dyDescent="0.15">
      <c r="A16057" s="23" t="str">
        <f>HYPERLINK("https://www.spark-marketing.ru/Card/Person/242307", "МДОУ ""ЦРР № 3 ""ПЕТУШОК""")</f>
        <v>МДОУ "ЦРР № 3 "ПЕТУШОК"</v>
      </c>
      <c r="B16057" s="24" t="s">
        <v>21056</v>
      </c>
      <c r="C16057" s="25">
        <v>16260232.91</v>
      </c>
      <c r="D16057" s="22" t="s">
        <v>21057</v>
      </c>
      <c r="E16057" s="22" t="s">
        <v>48</v>
      </c>
      <c r="F16057" s="23" t="str">
        <f>HYPERLINK("https://www.spark-marketing.ru/Card/Lot/71517588",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57" s="22" t="s">
        <v>149</v>
      </c>
      <c r="H16057" s="22" t="s">
        <v>1025</v>
      </c>
      <c r="I16057" s="26">
        <v>43636.351388888899</v>
      </c>
      <c r="J16057" s="28" t="s">
        <v>51</v>
      </c>
      <c r="K16057" s="28" t="s">
        <v>51</v>
      </c>
      <c r="L16057" s="28" t="s">
        <v>51</v>
      </c>
      <c r="M16057" s="28" t="s">
        <v>51</v>
      </c>
      <c r="N16057" s="28" t="s">
        <v>51</v>
      </c>
    </row>
    <row r="16058" spans="1:14" hidden="1" outlineLevel="1" x14ac:dyDescent="0.2">
      <c r="A16058" s="23" t="str">
        <f>HYPERLINK("https://www.spark-marketing.ru/Card/Person/242307", "МДОУ ""ЦРР № 3 ""ПЕТУШОК""")</f>
        <v>МДОУ "ЦРР № 3 "ПЕТУШОК"</v>
      </c>
      <c r="B16058" s="24" t="s">
        <v>21056</v>
      </c>
      <c r="C16058" s="25">
        <v>16260232.91</v>
      </c>
      <c r="D16058" s="22" t="s">
        <v>21057</v>
      </c>
      <c r="E16058" s="22" t="s">
        <v>48</v>
      </c>
      <c r="F16058" s="23" t="str">
        <f>HYPERLINK("https://www.spark-marketing.ru/Card/Lot/71517588",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58" s="22" t="s">
        <v>149</v>
      </c>
      <c r="H16058" s="22" t="s">
        <v>1025</v>
      </c>
      <c r="I16058" s="26">
        <v>43636.351388888899</v>
      </c>
      <c r="J16058" s="23" t="str">
        <f>HYPERLINK("https://www.spark-marketing.ru/Card/Person/569088", "ООО ""ТПУ""")</f>
        <v>ООО "ТПУ"</v>
      </c>
      <c r="K16058" s="24" t="s">
        <v>21027</v>
      </c>
      <c r="L16058" s="28" t="s">
        <v>51</v>
      </c>
      <c r="M16058" s="25">
        <v>16260232.91</v>
      </c>
      <c r="N16058" s="27">
        <v>0</v>
      </c>
    </row>
    <row r="16059" spans="1:14" ht="12.75" hidden="1" outlineLevel="1" x14ac:dyDescent="0.2">
      <c r="A16059" s="23" t="str">
        <f>HYPERLINK("https://www.spark-marketing.ru/Card/Person/242307", "МДОУ ""ЦРР № 3 ""ПЕТУШОК""")</f>
        <v>МДОУ "ЦРР № 3 "ПЕТУШОК"</v>
      </c>
      <c r="B16059" s="24" t="s">
        <v>21056</v>
      </c>
      <c r="C16059" s="25">
        <v>16260232.91</v>
      </c>
      <c r="D16059" s="22" t="s">
        <v>21057</v>
      </c>
      <c r="E16059" s="22" t="s">
        <v>48</v>
      </c>
      <c r="F16059" s="23" t="str">
        <f>HYPERLINK("https://www.spark-marketing.ru/Card/Lot/71517588",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59" s="22" t="s">
        <v>149</v>
      </c>
      <c r="H16059" s="22" t="s">
        <v>1025</v>
      </c>
      <c r="I16059" s="26">
        <v>43636.351388888899</v>
      </c>
      <c r="J16059" s="23" t="str">
        <f>HYPERLINK("https://www.spark-marketing.ru/Card/Person/55369", "ООО ""КОМБИНАТ ОБЩЕСТВЕННОГО ПИТАНИЯ""")</f>
        <v>ООО "КОМБИНАТ ОБЩЕСТВЕННОГО ПИТАНИЯ"</v>
      </c>
      <c r="K16059" s="24" t="s">
        <v>1516</v>
      </c>
      <c r="L16059" s="22" t="s">
        <v>10</v>
      </c>
      <c r="M16059" s="25">
        <v>15604026.699999999</v>
      </c>
      <c r="N16059" s="27">
        <v>4.0356507414874412E-2</v>
      </c>
    </row>
    <row r="16060" spans="1:14" x14ac:dyDescent="0.15">
      <c r="A16060" s="23" t="str">
        <f>HYPERLINK("https://www.spark-marketing.ru/Card/Person/139200", "МДОУ ""ДС № 7 ""РЯБИНУШКА""")</f>
        <v>МДОУ "ДС № 7 "РЯБИНУШКА"</v>
      </c>
      <c r="B16060" s="24" t="s">
        <v>21058</v>
      </c>
      <c r="C16060" s="25">
        <v>9777236.0999999996</v>
      </c>
      <c r="D16060" s="22" t="s">
        <v>21059</v>
      </c>
      <c r="E16060" s="22" t="s">
        <v>48</v>
      </c>
      <c r="F16060" s="23" t="str">
        <f>HYPERLINK("https://www.spark-marketing.ru/Card/Lot/71517584",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60" s="22" t="s">
        <v>149</v>
      </c>
      <c r="H16060" s="22" t="s">
        <v>1025</v>
      </c>
      <c r="I16060" s="26">
        <v>43636.351388888899</v>
      </c>
      <c r="J16060" s="28" t="s">
        <v>51</v>
      </c>
      <c r="K16060" s="28" t="s">
        <v>51</v>
      </c>
      <c r="L16060" s="28" t="s">
        <v>51</v>
      </c>
      <c r="M16060" s="28" t="s">
        <v>51</v>
      </c>
      <c r="N16060" s="28" t="s">
        <v>51</v>
      </c>
    </row>
    <row r="16061" spans="1:14" ht="12.75" hidden="1" outlineLevel="1" x14ac:dyDescent="0.2">
      <c r="A16061" s="23" t="str">
        <f>HYPERLINK("https://www.spark-marketing.ru/Card/Person/139200", "МДОУ ""ДС № 7 ""РЯБИНУШКА""")</f>
        <v>МДОУ "ДС № 7 "РЯБИНУШКА"</v>
      </c>
      <c r="B16061" s="24" t="s">
        <v>21058</v>
      </c>
      <c r="C16061" s="25">
        <v>9777236.0999999996</v>
      </c>
      <c r="D16061" s="22" t="s">
        <v>21059</v>
      </c>
      <c r="E16061" s="22" t="s">
        <v>48</v>
      </c>
      <c r="F16061" s="23" t="str">
        <f>HYPERLINK("https://www.spark-marketing.ru/Card/Lot/71517584",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61" s="22" t="s">
        <v>149</v>
      </c>
      <c r="H16061" s="22" t="s">
        <v>1025</v>
      </c>
      <c r="I16061" s="26">
        <v>43636.351388888899</v>
      </c>
      <c r="J16061" s="23" t="str">
        <f>HYPERLINK("https://www.spark-marketing.ru/Card/Person/55369", "ООО ""КОМБИНАТ ОБЩЕСТВЕННОГО ПИТАНИЯ""")</f>
        <v>ООО "КОМБИНАТ ОБЩЕСТВЕННОГО ПИТАНИЯ"</v>
      </c>
      <c r="K16061" s="24" t="s">
        <v>1516</v>
      </c>
      <c r="L16061" s="22" t="s">
        <v>10</v>
      </c>
      <c r="M16061" s="25">
        <v>9446869</v>
      </c>
      <c r="N16061" s="27">
        <v>3.3789416213442981E-2</v>
      </c>
    </row>
    <row r="16062" spans="1:14" hidden="1" outlineLevel="1" x14ac:dyDescent="0.2">
      <c r="A16062" s="23" t="str">
        <f>HYPERLINK("https://www.spark-marketing.ru/Card/Person/139200", "МДОУ ""ДС № 7 ""РЯБИНУШКА""")</f>
        <v>МДОУ "ДС № 7 "РЯБИНУШКА"</v>
      </c>
      <c r="B16062" s="24" t="s">
        <v>21058</v>
      </c>
      <c r="C16062" s="25">
        <v>9777236.0999999996</v>
      </c>
      <c r="D16062" s="22" t="s">
        <v>21059</v>
      </c>
      <c r="E16062" s="22" t="s">
        <v>48</v>
      </c>
      <c r="F16062" s="23" t="str">
        <f>HYPERLINK("https://www.spark-marketing.ru/Card/Lot/71517584",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62" s="22" t="s">
        <v>149</v>
      </c>
      <c r="H16062" s="22" t="s">
        <v>1025</v>
      </c>
      <c r="I16062" s="26">
        <v>43636.351388888899</v>
      </c>
      <c r="J16062" s="23" t="str">
        <f>HYPERLINK("https://www.spark-marketing.ru/Card/Person/569088", "ООО ""ТПУ""")</f>
        <v>ООО "ТПУ"</v>
      </c>
      <c r="K16062" s="24" t="s">
        <v>21027</v>
      </c>
      <c r="L16062" s="28" t="s">
        <v>51</v>
      </c>
      <c r="M16062" s="25">
        <v>9777236.0999999996</v>
      </c>
      <c r="N16062" s="27">
        <v>0</v>
      </c>
    </row>
    <row r="16063" spans="1:14" x14ac:dyDescent="0.15">
      <c r="A16063" s="23" t="str">
        <f>HYPERLINK("https://www.spark-marketing.ru/Card/Person/116245", "МДОУ ""ЦРР № 5 ""ЗОЛОТОЙ КЛЮЧИК""")</f>
        <v>МДОУ "ЦРР № 5 "ЗОЛОТОЙ КЛЮЧИК"</v>
      </c>
      <c r="B16063" s="24" t="s">
        <v>21060</v>
      </c>
      <c r="C16063" s="25">
        <v>14732958.390000001</v>
      </c>
      <c r="D16063" s="22" t="s">
        <v>21061</v>
      </c>
      <c r="E16063" s="22" t="s">
        <v>48</v>
      </c>
      <c r="F16063" s="23" t="str">
        <f>HYPERLINK("https://www.spark-marketing.ru/Card/Lot/71517587",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63" s="22" t="s">
        <v>149</v>
      </c>
      <c r="H16063" s="22" t="s">
        <v>1025</v>
      </c>
      <c r="I16063" s="26">
        <v>43636.351388888899</v>
      </c>
      <c r="J16063" s="28" t="s">
        <v>51</v>
      </c>
      <c r="K16063" s="28" t="s">
        <v>51</v>
      </c>
      <c r="L16063" s="28" t="s">
        <v>51</v>
      </c>
      <c r="M16063" s="28" t="s">
        <v>51</v>
      </c>
      <c r="N16063" s="28" t="s">
        <v>51</v>
      </c>
    </row>
    <row r="16064" spans="1:14" ht="12.75" hidden="1" outlineLevel="1" x14ac:dyDescent="0.2">
      <c r="A16064" s="23" t="str">
        <f>HYPERLINK("https://www.spark-marketing.ru/Card/Person/116245", "МДОУ ""ЦРР № 5 ""ЗОЛОТОЙ КЛЮЧИК""")</f>
        <v>МДОУ "ЦРР № 5 "ЗОЛОТОЙ КЛЮЧИК"</v>
      </c>
      <c r="B16064" s="24" t="s">
        <v>21060</v>
      </c>
      <c r="C16064" s="25">
        <v>14732958.390000001</v>
      </c>
      <c r="D16064" s="22" t="s">
        <v>21061</v>
      </c>
      <c r="E16064" s="22" t="s">
        <v>48</v>
      </c>
      <c r="F16064" s="23" t="str">
        <f>HYPERLINK("https://www.spark-marketing.ru/Card/Lot/71517587",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64" s="22" t="s">
        <v>149</v>
      </c>
      <c r="H16064" s="22" t="s">
        <v>1025</v>
      </c>
      <c r="I16064" s="26">
        <v>43636.351388888899</v>
      </c>
      <c r="J16064" s="23" t="str">
        <f>HYPERLINK("https://www.spark-marketing.ru/Card/Person/55369", "ООО ""КОМБИНАТ ОБЩЕСТВЕННОГО ПИТАНИЯ""")</f>
        <v>ООО "КОМБИНАТ ОБЩЕСТВЕННОГО ПИТАНИЯ"</v>
      </c>
      <c r="K16064" s="24" t="s">
        <v>1516</v>
      </c>
      <c r="L16064" s="22" t="s">
        <v>10</v>
      </c>
      <c r="M16064" s="25">
        <v>14145120.800000001</v>
      </c>
      <c r="N16064" s="27">
        <v>3.9899494347244949E-2</v>
      </c>
    </row>
    <row r="16065" spans="1:14" hidden="1" outlineLevel="1" x14ac:dyDescent="0.2">
      <c r="A16065" s="23" t="str">
        <f>HYPERLINK("https://www.spark-marketing.ru/Card/Person/116245", "МДОУ ""ЦРР № 5 ""ЗОЛОТОЙ КЛЮЧИК""")</f>
        <v>МДОУ "ЦРР № 5 "ЗОЛОТОЙ КЛЮЧИК"</v>
      </c>
      <c r="B16065" s="24" t="s">
        <v>21060</v>
      </c>
      <c r="C16065" s="25">
        <v>14732958.390000001</v>
      </c>
      <c r="D16065" s="22" t="s">
        <v>21061</v>
      </c>
      <c r="E16065" s="22" t="s">
        <v>48</v>
      </c>
      <c r="F16065" s="23" t="str">
        <f>HYPERLINK("https://www.spark-marketing.ru/Card/Lot/71517587",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65" s="22" t="s">
        <v>149</v>
      </c>
      <c r="H16065" s="22" t="s">
        <v>1025</v>
      </c>
      <c r="I16065" s="26">
        <v>43636.351388888899</v>
      </c>
      <c r="J16065" s="23" t="str">
        <f>HYPERLINK("https://www.spark-marketing.ru/Card/Person/569088", "ООО ""ТПУ""")</f>
        <v>ООО "ТПУ"</v>
      </c>
      <c r="K16065" s="24" t="s">
        <v>21027</v>
      </c>
      <c r="L16065" s="28" t="s">
        <v>51</v>
      </c>
      <c r="M16065" s="25">
        <v>14732958.390000001</v>
      </c>
      <c r="N16065" s="27">
        <v>0</v>
      </c>
    </row>
    <row r="16066" spans="1:14" x14ac:dyDescent="0.15">
      <c r="A16066" s="23" t="str">
        <f>HYPERLINK("https://www.spark-marketing.ru/Card/Person/1017990", "МБОУ ""ООШ № 11""")</f>
        <v>МБОУ "ООШ № 11"</v>
      </c>
      <c r="B16066" s="24" t="s">
        <v>21062</v>
      </c>
      <c r="C16066" s="25">
        <v>2464925.3199999998</v>
      </c>
      <c r="D16066" s="22" t="s">
        <v>21063</v>
      </c>
      <c r="E16066" s="22" t="s">
        <v>96</v>
      </c>
      <c r="F16066" s="23" t="str">
        <f>HYPERLINK("https://www.spark-marketing.ru/Card/Lot/71518803", "Оказание услуг по организации питания учащихся из многодетных малоимущих, малоимущих семей и обучающихся с ограниченными возможностями здоровья")</f>
        <v>Оказание услуг по организации питания учащихся из многодетных малоимущих, малоимущих семей и обучающихся с ограниченными возможностями здоровья</v>
      </c>
      <c r="G16066" s="22" t="s">
        <v>153</v>
      </c>
      <c r="H16066" s="22" t="s">
        <v>153</v>
      </c>
      <c r="I16066" s="26">
        <v>43636.370833333298</v>
      </c>
      <c r="J16066" s="23" t="str">
        <f>HYPERLINK("https://www.spark-marketing.ru/Card/Person/1426712", "Митрофанова Алла Сергеевна")</f>
        <v>Митрофанова Алла Сергеевна</v>
      </c>
      <c r="K16066" s="24" t="s">
        <v>21064</v>
      </c>
      <c r="L16066" s="28" t="s">
        <v>51</v>
      </c>
      <c r="M16066" s="28" t="s">
        <v>51</v>
      </c>
      <c r="N16066" s="28" t="s">
        <v>51</v>
      </c>
    </row>
    <row r="16067" spans="1:14" ht="12.75" hidden="1" outlineLevel="1" x14ac:dyDescent="0.2">
      <c r="A16067" s="23" t="str">
        <f>HYPERLINK("https://www.spark-marketing.ru/Card/Person/1017990", "МБОУ ""ООШ № 11""")</f>
        <v>МБОУ "ООШ № 11"</v>
      </c>
      <c r="B16067" s="24" t="s">
        <v>21062</v>
      </c>
      <c r="C16067" s="25">
        <v>2464925.3199999998</v>
      </c>
      <c r="D16067" s="22" t="s">
        <v>21063</v>
      </c>
      <c r="E16067" s="22" t="s">
        <v>96</v>
      </c>
      <c r="F16067" s="23" t="str">
        <f>HYPERLINK("https://www.spark-marketing.ru/Card/Lot/71518803", "Оказание услуг по организации питания учащихся из многодетных малоимущих, малоимущих семей и обучающихся с ограниченными возможностями здоровья")</f>
        <v>Оказание услуг по организации питания учащихся из многодетных малоимущих, малоимущих семей и обучающихся с ограниченными возможностями здоровья</v>
      </c>
      <c r="G16067" s="22" t="s">
        <v>153</v>
      </c>
      <c r="H16067" s="22" t="s">
        <v>153</v>
      </c>
      <c r="I16067" s="26">
        <v>43636.370833333298</v>
      </c>
      <c r="J16067" s="23" t="str">
        <f>HYPERLINK("https://www.spark-marketing.ru/Card/Person/1426712", "Митрофанова Алла Сергеевна")</f>
        <v>Митрофанова Алла Сергеевна</v>
      </c>
      <c r="K16067" s="24" t="s">
        <v>21064</v>
      </c>
      <c r="L16067" s="22" t="s">
        <v>10</v>
      </c>
      <c r="M16067" s="25">
        <v>2452600.69</v>
      </c>
      <c r="N16067" s="27">
        <v>5.0000013793521335E-3</v>
      </c>
    </row>
    <row r="16068" spans="1:14" x14ac:dyDescent="0.15">
      <c r="A16068" s="23" t="str">
        <f>HYPERLINK("https://www.spark-marketing.ru/Card/Person/116434", "МДОУ ""ДС № 9 ""ЖУРАВУШКА""")</f>
        <v>МДОУ "ДС № 9 "ЖУРАВУШКА"</v>
      </c>
      <c r="B16068" s="24" t="s">
        <v>21065</v>
      </c>
      <c r="C16068" s="25">
        <v>18101377.239999998</v>
      </c>
      <c r="D16068" s="22" t="s">
        <v>21066</v>
      </c>
      <c r="E16068" s="22" t="s">
        <v>48</v>
      </c>
      <c r="F16068" s="23" t="str">
        <f>HYPERLINK("https://www.spark-marketing.ru/Card/Lot/71517589",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68" s="22" t="s">
        <v>149</v>
      </c>
      <c r="H16068" s="22" t="s">
        <v>1025</v>
      </c>
      <c r="I16068" s="26">
        <v>43636.350694444402</v>
      </c>
      <c r="J16068" s="28" t="s">
        <v>51</v>
      </c>
      <c r="K16068" s="28" t="s">
        <v>51</v>
      </c>
      <c r="L16068" s="28" t="s">
        <v>51</v>
      </c>
      <c r="M16068" s="28" t="s">
        <v>51</v>
      </c>
      <c r="N16068" s="28" t="s">
        <v>51</v>
      </c>
    </row>
    <row r="16069" spans="1:14" hidden="1" outlineLevel="1" x14ac:dyDescent="0.2">
      <c r="A16069" s="23" t="str">
        <f>HYPERLINK("https://www.spark-marketing.ru/Card/Person/116434", "МДОУ ""ДС № 9 ""ЖУРАВУШКА""")</f>
        <v>МДОУ "ДС № 9 "ЖУРАВУШКА"</v>
      </c>
      <c r="B16069" s="24" t="s">
        <v>21065</v>
      </c>
      <c r="C16069" s="25">
        <v>18101377.239999998</v>
      </c>
      <c r="D16069" s="22" t="s">
        <v>21066</v>
      </c>
      <c r="E16069" s="22" t="s">
        <v>48</v>
      </c>
      <c r="F16069" s="23" t="str">
        <f>HYPERLINK("https://www.spark-marketing.ru/Card/Lot/71517589",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69" s="22" t="s">
        <v>149</v>
      </c>
      <c r="H16069" s="22" t="s">
        <v>1025</v>
      </c>
      <c r="I16069" s="26">
        <v>43636.350694444402</v>
      </c>
      <c r="J16069" s="23" t="str">
        <f>HYPERLINK("https://www.spark-marketing.ru/Card/Person/569088", "ООО ""ТПУ""")</f>
        <v>ООО "ТПУ"</v>
      </c>
      <c r="K16069" s="24" t="s">
        <v>21027</v>
      </c>
      <c r="L16069" s="28" t="s">
        <v>51</v>
      </c>
      <c r="M16069" s="25">
        <v>18101377.239999998</v>
      </c>
      <c r="N16069" s="27">
        <v>0</v>
      </c>
    </row>
    <row r="16070" spans="1:14" ht="12.75" hidden="1" outlineLevel="1" x14ac:dyDescent="0.2">
      <c r="A16070" s="23" t="str">
        <f>HYPERLINK("https://www.spark-marketing.ru/Card/Person/116434", "МДОУ ""ДС № 9 ""ЖУРАВУШКА""")</f>
        <v>МДОУ "ДС № 9 "ЖУРАВУШКА"</v>
      </c>
      <c r="B16070" s="24" t="s">
        <v>21065</v>
      </c>
      <c r="C16070" s="25">
        <v>18101377.239999998</v>
      </c>
      <c r="D16070" s="22" t="s">
        <v>21066</v>
      </c>
      <c r="E16070" s="22" t="s">
        <v>48</v>
      </c>
      <c r="F16070" s="23" t="str">
        <f>HYPERLINK("https://www.spark-marketing.ru/Card/Lot/71517589",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70" s="22" t="s">
        <v>149</v>
      </c>
      <c r="H16070" s="22" t="s">
        <v>1025</v>
      </c>
      <c r="I16070" s="26">
        <v>43636.350694444402</v>
      </c>
      <c r="J16070" s="23" t="str">
        <f>HYPERLINK("https://www.spark-marketing.ru/Card/Person/55369", "ООО ""КОМБИНАТ ОБЩЕСТВЕННОГО ПИТАНИЯ""")</f>
        <v>ООО "КОМБИНАТ ОБЩЕСТВЕННОГО ПИТАНИЯ"</v>
      </c>
      <c r="K16070" s="24" t="s">
        <v>1516</v>
      </c>
      <c r="L16070" s="22" t="s">
        <v>10</v>
      </c>
      <c r="M16070" s="25">
        <v>17326607.899999999</v>
      </c>
      <c r="N16070" s="27">
        <v>4.2801679105826974E-2</v>
      </c>
    </row>
    <row r="16071" spans="1:14" x14ac:dyDescent="0.15">
      <c r="A16071" s="23" t="str">
        <f>HYPERLINK("https://www.spark-marketing.ru/Card/Person/139115", "МДОУ ""ДС № 6 ""КОЛОБОК""")</f>
        <v>МДОУ "ДС № 6 "КОЛОБОК"</v>
      </c>
      <c r="B16071" s="24" t="s">
        <v>21067</v>
      </c>
      <c r="C16071" s="25">
        <v>5929639.9500000002</v>
      </c>
      <c r="D16071" s="22" t="s">
        <v>21068</v>
      </c>
      <c r="E16071" s="22" t="s">
        <v>48</v>
      </c>
      <c r="F16071" s="23" t="str">
        <f>HYPERLINK("https://www.spark-marketing.ru/Card/Lot/71517583",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71" s="22" t="s">
        <v>149</v>
      </c>
      <c r="H16071" s="22" t="s">
        <v>1025</v>
      </c>
      <c r="I16071" s="26">
        <v>43636.350694444402</v>
      </c>
      <c r="J16071" s="28" t="s">
        <v>51</v>
      </c>
      <c r="K16071" s="28" t="s">
        <v>51</v>
      </c>
      <c r="L16071" s="28" t="s">
        <v>51</v>
      </c>
      <c r="M16071" s="28" t="s">
        <v>51</v>
      </c>
      <c r="N16071" s="28" t="s">
        <v>51</v>
      </c>
    </row>
    <row r="16072" spans="1:14" hidden="1" outlineLevel="1" x14ac:dyDescent="0.2">
      <c r="A16072" s="23" t="str">
        <f>HYPERLINK("https://www.spark-marketing.ru/Card/Person/139115", "МДОУ ""ДС № 6 ""КОЛОБОК""")</f>
        <v>МДОУ "ДС № 6 "КОЛОБОК"</v>
      </c>
      <c r="B16072" s="24" t="s">
        <v>21067</v>
      </c>
      <c r="C16072" s="25">
        <v>5929639.9500000002</v>
      </c>
      <c r="D16072" s="22" t="s">
        <v>21068</v>
      </c>
      <c r="E16072" s="22" t="s">
        <v>48</v>
      </c>
      <c r="F16072" s="23" t="str">
        <f>HYPERLINK("https://www.spark-marketing.ru/Card/Lot/71517583",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72" s="22" t="s">
        <v>149</v>
      </c>
      <c r="H16072" s="22" t="s">
        <v>1025</v>
      </c>
      <c r="I16072" s="26">
        <v>43636.350694444402</v>
      </c>
      <c r="J16072" s="23" t="str">
        <f>HYPERLINK("https://www.spark-marketing.ru/Card/Person/569088", "ООО ""ТПУ""")</f>
        <v>ООО "ТПУ"</v>
      </c>
      <c r="K16072" s="24" t="s">
        <v>21027</v>
      </c>
      <c r="L16072" s="28" t="s">
        <v>51</v>
      </c>
      <c r="M16072" s="25">
        <v>5929639.9500000002</v>
      </c>
      <c r="N16072" s="27">
        <v>0</v>
      </c>
    </row>
    <row r="16073" spans="1:14" ht="12.75" hidden="1" outlineLevel="1" x14ac:dyDescent="0.2">
      <c r="A16073" s="23" t="str">
        <f>HYPERLINK("https://www.spark-marketing.ru/Card/Person/139115", "МДОУ ""ДС № 6 ""КОЛОБОК""")</f>
        <v>МДОУ "ДС № 6 "КОЛОБОК"</v>
      </c>
      <c r="B16073" s="24" t="s">
        <v>21067</v>
      </c>
      <c r="C16073" s="25">
        <v>5929639.9500000002</v>
      </c>
      <c r="D16073" s="22" t="s">
        <v>21068</v>
      </c>
      <c r="E16073" s="22" t="s">
        <v>48</v>
      </c>
      <c r="F16073" s="23" t="str">
        <f>HYPERLINK("https://www.spark-marketing.ru/Card/Lot/71517583", "Услуги по организации питания в соответствии с техническим заданием Заказчика")</f>
        <v>Услуги по организации питания в соответствии с техническим заданием Заказчика</v>
      </c>
      <c r="G16073" s="22" t="s">
        <v>149</v>
      </c>
      <c r="H16073" s="22" t="s">
        <v>1025</v>
      </c>
      <c r="I16073" s="26">
        <v>43636.350694444402</v>
      </c>
      <c r="J16073" s="23" t="str">
        <f>HYPERLINK("https://www.spark-marketing.ru/Card/Person/55369", "ООО ""КОМБИНАТ ОБЩЕСТВЕННОГО ПИТАНИЯ""")</f>
        <v>ООО "КОМБИНАТ ОБЩЕСТВЕННОГО ПИТАНИЯ"</v>
      </c>
      <c r="K16073" s="24" t="s">
        <v>1516</v>
      </c>
      <c r="L16073" s="22" t="s">
        <v>10</v>
      </c>
      <c r="M16073" s="25">
        <v>5703330.7999999998</v>
      </c>
      <c r="N16073" s="27">
        <v>3.8165749001336922E-2</v>
      </c>
    </row>
    <row r="16074" spans="1:14" x14ac:dyDescent="0.15">
      <c r="A16074" s="23" t="str">
        <f>HYPERLINK("https://www.spark-marketing.ru/Card/Person/4343663", "МИНЗДРАВ АЛТАЙСКОГО КРАЯ")</f>
        <v>МИНЗДРАВ АЛТАЙСКОГО КРАЯ</v>
      </c>
      <c r="B16074" s="24" t="s">
        <v>9429</v>
      </c>
      <c r="C16074" s="25">
        <v>97500</v>
      </c>
      <c r="D16074" s="22" t="s">
        <v>21069</v>
      </c>
      <c r="E16074" s="22" t="s">
        <v>336</v>
      </c>
      <c r="F16074" s="23" t="str">
        <f>HYPERLINK("https://www.spark-marketing.ru/Card/Lot/71517771",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074" s="22" t="s">
        <v>63</v>
      </c>
      <c r="H16074" s="22" t="s">
        <v>177</v>
      </c>
      <c r="I16074" s="26">
        <v>43636.262499999997</v>
      </c>
      <c r="J16074" s="28" t="s">
        <v>51</v>
      </c>
      <c r="K16074" s="28" t="s">
        <v>51</v>
      </c>
      <c r="L16074" s="28" t="s">
        <v>51</v>
      </c>
      <c r="M16074" s="28" t="s">
        <v>51</v>
      </c>
      <c r="N16074" s="28" t="s">
        <v>51</v>
      </c>
    </row>
    <row r="16075" spans="1:14" x14ac:dyDescent="0.15">
      <c r="A16075" s="23" t="str">
        <f>HYPERLINK("https://www.spark-marketing.ru/Card/Person/552251", "ООО ""РН-САХАЛИННИПИМОРНЕФТЬ""")</f>
        <v>ООО "РН-САХАЛИННИПИМОРНЕФТЬ"</v>
      </c>
      <c r="B16075" s="24" t="s">
        <v>21070</v>
      </c>
      <c r="C16075" s="28" t="s">
        <v>51</v>
      </c>
      <c r="D16075" s="22" t="s">
        <v>21071</v>
      </c>
      <c r="E16075" s="22" t="s">
        <v>21072</v>
      </c>
      <c r="F16075" s="23" t="str">
        <f>HYPERLINK("https://www.spark-marketing.ru/Card/Lot/71517714", "Услуги по предоставлению персонала для обеспечения охраны полевой партии и организации полевого питания")</f>
        <v>Услуги по предоставлению персонала для обеспечения охраны полевой партии и организации полевого питания</v>
      </c>
      <c r="G16075" s="22" t="s">
        <v>260</v>
      </c>
      <c r="H16075" s="22" t="s">
        <v>804</v>
      </c>
      <c r="I16075" s="26">
        <v>43636.2055555556</v>
      </c>
      <c r="J16075" s="28" t="s">
        <v>51</v>
      </c>
      <c r="K16075" s="28" t="s">
        <v>51</v>
      </c>
      <c r="L16075" s="28" t="s">
        <v>51</v>
      </c>
      <c r="M16075" s="28" t="s">
        <v>51</v>
      </c>
      <c r="N16075" s="28" t="s">
        <v>51</v>
      </c>
    </row>
    <row r="16076" spans="1:14" x14ac:dyDescent="0.15">
      <c r="A16076" s="23" t="str">
        <f>HYPERLINK("https://www.spark-marketing.ru/Card/Person/692212", "ООО ""ССРТ""")</f>
        <v>ООО "ССРТ"</v>
      </c>
      <c r="B16076" s="24" t="s">
        <v>13085</v>
      </c>
      <c r="C16076" s="28" t="s">
        <v>51</v>
      </c>
      <c r="D16076" s="22" t="s">
        <v>21073</v>
      </c>
      <c r="E16076" s="22" t="s">
        <v>48</v>
      </c>
      <c r="F16076" s="23" t="str">
        <f>HYPERLINK("https://www.spark-marketing.ru/Card/Lot/71515804", "Оказание услуги по организации лечебно-профилактического питания и выдаче молока")</f>
        <v>Оказание услуги по организации лечебно-профилактического питания и выдаче молока</v>
      </c>
      <c r="G16076" s="22" t="s">
        <v>228</v>
      </c>
      <c r="H16076" s="22" t="s">
        <v>13087</v>
      </c>
      <c r="I16076" s="26">
        <v>43636.1632523148</v>
      </c>
      <c r="J16076" s="28" t="s">
        <v>51</v>
      </c>
      <c r="K16076" s="28" t="s">
        <v>51</v>
      </c>
      <c r="L16076" s="28" t="s">
        <v>51</v>
      </c>
      <c r="M16076" s="28" t="s">
        <v>51</v>
      </c>
      <c r="N16076" s="28" t="s">
        <v>51</v>
      </c>
    </row>
    <row r="16077" spans="1:14" x14ac:dyDescent="0.15">
      <c r="A16077" s="23" t="str">
        <f>HYPERLINK("https://www.spark-marketing.ru/Card/Person/6450322", "ЗАКАЗЧИК РП БЕЛАРУСЬ")</f>
        <v>ЗАКАЗЧИК РП БЕЛАРУСЬ</v>
      </c>
      <c r="B16077" s="28" t="s">
        <v>51</v>
      </c>
      <c r="C16077" s="28" t="s">
        <v>51</v>
      </c>
      <c r="D16077" s="22" t="s">
        <v>21074</v>
      </c>
      <c r="E16077" s="22" t="s">
        <v>52</v>
      </c>
      <c r="F16077" s="23" t="str">
        <f>HYPERLINK("https://www.spark-marketing.ru/Card/Lot/71543171", "услуги по доставке лечебного питания для пациентов")</f>
        <v>услуги по доставке лечебного питания для пациентов</v>
      </c>
      <c r="G16077" s="22" t="s">
        <v>51</v>
      </c>
      <c r="H16077" s="22" t="s">
        <v>51</v>
      </c>
      <c r="I16077" s="26">
        <v>43636</v>
      </c>
      <c r="J16077" s="28" t="s">
        <v>51</v>
      </c>
      <c r="K16077" s="28" t="s">
        <v>51</v>
      </c>
      <c r="L16077" s="28" t="s">
        <v>51</v>
      </c>
      <c r="M16077" s="28" t="s">
        <v>51</v>
      </c>
      <c r="N16077" s="28" t="s">
        <v>51</v>
      </c>
    </row>
    <row r="16078" spans="1:14" x14ac:dyDescent="0.15">
      <c r="A16078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6078" s="24" t="s">
        <v>21075</v>
      </c>
      <c r="C16078" s="25">
        <v>5400000</v>
      </c>
      <c r="D16078" s="22" t="s">
        <v>21076</v>
      </c>
      <c r="E16078" s="22" t="s">
        <v>96</v>
      </c>
      <c r="F16078" s="23" t="str">
        <f>HYPERLINK("https://www.spark-marketing.ru/Card/Lot/71515255", "Оказание услуг по организации питания (2020г.-2021г.)")</f>
        <v>Оказание услуг по организации питания (2020г.-2021г.)</v>
      </c>
      <c r="G16078" s="22" t="s">
        <v>849</v>
      </c>
      <c r="H16078" s="22" t="s">
        <v>21077</v>
      </c>
      <c r="I16078" s="26">
        <v>43636.03125</v>
      </c>
      <c r="J16078" s="28" t="s">
        <v>51</v>
      </c>
      <c r="K16078" s="28" t="s">
        <v>51</v>
      </c>
      <c r="L16078" s="28" t="s">
        <v>51</v>
      </c>
      <c r="M16078" s="28" t="s">
        <v>51</v>
      </c>
      <c r="N16078" s="28" t="s">
        <v>51</v>
      </c>
    </row>
    <row r="16079" spans="1:14" ht="12.75" hidden="1" outlineLevel="1" x14ac:dyDescent="0.2">
      <c r="A16079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6079" s="24" t="s">
        <v>21075</v>
      </c>
      <c r="C16079" s="25">
        <v>5400000</v>
      </c>
      <c r="D16079" s="22" t="s">
        <v>21076</v>
      </c>
      <c r="E16079" s="22" t="s">
        <v>96</v>
      </c>
      <c r="F16079" s="23" t="str">
        <f>HYPERLINK("https://www.spark-marketing.ru/Card/Lot/71515255", "Оказание услуг по организации питания (2020г.-2021г.)")</f>
        <v>Оказание услуг по организации питания (2020г.-2021г.)</v>
      </c>
      <c r="G16079" s="22" t="s">
        <v>849</v>
      </c>
      <c r="H16079" s="22" t="s">
        <v>21077</v>
      </c>
      <c r="I16079" s="26">
        <v>43636.03125</v>
      </c>
      <c r="J16079" s="23" t="str">
        <f>HYPERLINK("https://www.spark-marketing.ru/Card/Person/6085761", "ООО ""КОМПЛЕКС СЕРВИС""")</f>
        <v>ООО "КОМПЛЕКС СЕРВИС"</v>
      </c>
      <c r="K16079" s="24" t="s">
        <v>21078</v>
      </c>
      <c r="L16079" s="22" t="s">
        <v>10</v>
      </c>
      <c r="M16079" s="25">
        <v>1825</v>
      </c>
      <c r="N16079" s="27">
        <v>0.99966203703703704</v>
      </c>
    </row>
    <row r="16080" spans="1:14" hidden="1" outlineLevel="1" x14ac:dyDescent="0.2">
      <c r="A16080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6080" s="24" t="s">
        <v>21075</v>
      </c>
      <c r="C16080" s="25">
        <v>5400000</v>
      </c>
      <c r="D16080" s="22" t="s">
        <v>21076</v>
      </c>
      <c r="E16080" s="22" t="s">
        <v>96</v>
      </c>
      <c r="F16080" s="23" t="str">
        <f>HYPERLINK("https://www.spark-marketing.ru/Card/Lot/71515255", "Оказание услуг по организации питания (2020г.-2021г.)")</f>
        <v>Оказание услуг по организации питания (2020г.-2021г.)</v>
      </c>
      <c r="G16080" s="22" t="s">
        <v>849</v>
      </c>
      <c r="H16080" s="22" t="s">
        <v>21077</v>
      </c>
      <c r="I16080" s="26">
        <v>43636.03125</v>
      </c>
      <c r="J16080" s="23" t="str">
        <f>HYPERLINK("https://www.spark-marketing.ru/Card/Person/725060", "ООО ""КОМПЛЕКС-СЕРВИС""")</f>
        <v>ООО "КОМПЛЕКС-СЕРВИС"</v>
      </c>
      <c r="K16080" s="24" t="s">
        <v>21079</v>
      </c>
      <c r="L16080" s="28" t="s">
        <v>51</v>
      </c>
      <c r="M16080" s="25">
        <v>1825</v>
      </c>
      <c r="N16080" s="27">
        <v>0.99966203703703704</v>
      </c>
    </row>
    <row r="16081" spans="1:14" x14ac:dyDescent="0.15">
      <c r="A16081" s="23" t="str">
        <f>HYPERLINK("https://www.spark-marketing.ru/Card/Person/1030190", "ФИНУПРАВЛЕНИЕ")</f>
        <v>ФИНУПРАВЛЕНИЕ</v>
      </c>
      <c r="B16081" s="24" t="s">
        <v>21080</v>
      </c>
      <c r="C16081" s="25">
        <v>77820</v>
      </c>
      <c r="D16081" s="22" t="s">
        <v>21081</v>
      </c>
      <c r="E16081" s="22" t="s">
        <v>91</v>
      </c>
      <c r="F16081" s="23" t="str">
        <f>HYPERLINK("https://www.spark-marketing.ru/Card/Lot/71513895", "Оказание услуг по техническому обслуживанию автоматизированных рабочих мест, серверного оборудования и источников бесперебойного питания (2-е полуг 2019г)")</f>
        <v>Оказание услуг по техническому обслуживанию автоматизированных рабочих мест, серверного оборудования и источников бесперебойного питания (2-е полуг 2019г)</v>
      </c>
      <c r="G16081" s="22" t="s">
        <v>49</v>
      </c>
      <c r="H16081" s="22" t="s">
        <v>1015</v>
      </c>
      <c r="I16081" s="26">
        <v>43635.877824074101</v>
      </c>
      <c r="J16081" s="28" t="s">
        <v>51</v>
      </c>
      <c r="K16081" s="28" t="s">
        <v>51</v>
      </c>
      <c r="L16081" s="28" t="s">
        <v>51</v>
      </c>
      <c r="M16081" s="28" t="s">
        <v>51</v>
      </c>
      <c r="N16081" s="28" t="s">
        <v>51</v>
      </c>
    </row>
    <row r="16082" spans="1:14" x14ac:dyDescent="0.2">
      <c r="A16082" s="23" t="str">
        <f>HYPERLINK("https://www.spark-marketing.ru/Card/Person/913615", "ГАУГН")</f>
        <v>ГАУГН</v>
      </c>
      <c r="B16082" s="24" t="s">
        <v>8726</v>
      </c>
      <c r="C16082" s="25">
        <v>50976</v>
      </c>
      <c r="D16082" s="22" t="s">
        <v>21082</v>
      </c>
      <c r="E16082" s="22" t="s">
        <v>21083</v>
      </c>
      <c r="F16082" s="23" t="str">
        <f>HYPERLINK("https://www.spark-marketing.ru/Card/Lot/71511528", "Оказание услуг по организации и обслуживанию питания преподавателей и обучающихся Социологического факультета ГАУГН")</f>
        <v>Оказание услуг по организации и обслуживанию питания преподавателей и обучающихся Социологического факультета ГАУГН</v>
      </c>
      <c r="G16082" s="22" t="s">
        <v>56</v>
      </c>
      <c r="H16082" s="22" t="s">
        <v>56</v>
      </c>
      <c r="I16082" s="26">
        <v>43635.848564814798</v>
      </c>
      <c r="J16082" s="23" t="str">
        <f>HYPERLINK("https://www.spark-marketing.ru/Card/Person/411836", "Эльмезова Жанета Ануаровна")</f>
        <v>Эльмезова Жанета Ануаровна</v>
      </c>
      <c r="K16082" s="24" t="s">
        <v>21084</v>
      </c>
      <c r="L16082" s="28" t="s">
        <v>51</v>
      </c>
      <c r="M16082" s="25">
        <v>50976</v>
      </c>
      <c r="N16082" s="27">
        <v>0</v>
      </c>
    </row>
    <row r="16083" spans="1:14" x14ac:dyDescent="0.15">
      <c r="A16083" s="23" t="str">
        <f>HYPERLINK("https://www.spark-marketing.ru/Card/Person/1012158", "МАОУ ДО ДТДМ")</f>
        <v>МАОУ ДО ДТДМ</v>
      </c>
      <c r="B16083" s="24" t="s">
        <v>4649</v>
      </c>
      <c r="C16083" s="25">
        <v>245280</v>
      </c>
      <c r="D16083" s="22" t="s">
        <v>21085</v>
      </c>
      <c r="E16083" s="22" t="s">
        <v>362</v>
      </c>
      <c r="F16083" s="23" t="str">
        <f>HYPERLINK("https://www.spark-marketing.ru/Card/Lot/71511426", "Заключение договора на оказание услуг по организации горячего питания")</f>
        <v>Заключение договора на оказание услуг по организации горячего питания</v>
      </c>
      <c r="G16083" s="22" t="s">
        <v>72</v>
      </c>
      <c r="H16083" s="22" t="s">
        <v>72</v>
      </c>
      <c r="I16083" s="26">
        <v>43635.796122685198</v>
      </c>
      <c r="J16083" s="28" t="s">
        <v>51</v>
      </c>
      <c r="K16083" s="28" t="s">
        <v>51</v>
      </c>
      <c r="L16083" s="28" t="s">
        <v>51</v>
      </c>
      <c r="M16083" s="28" t="s">
        <v>51</v>
      </c>
      <c r="N16083" s="28" t="s">
        <v>51</v>
      </c>
    </row>
    <row r="16084" spans="1:14" x14ac:dyDescent="0.2">
      <c r="A16084" s="23" t="str">
        <f>HYPERLINK("https://www.spark-marketing.ru/Card/Person/50743", "МП ""ДЕТСКОЕ ПИТАНИЕ""")</f>
        <v>МП "ДЕТСКОЕ ПИТАНИЕ"</v>
      </c>
      <c r="B16084" s="24" t="s">
        <v>1562</v>
      </c>
      <c r="C16084" s="25">
        <v>980100</v>
      </c>
      <c r="D16084" s="22" t="s">
        <v>21086</v>
      </c>
      <c r="E16084" s="22" t="s">
        <v>3997</v>
      </c>
      <c r="F16084" s="23" t="str">
        <f>HYPERLINK("https://www.spark-marketing.ru/Card/Lot/71510115", "Поставка картофеля (для оказания услуг по организации питания в муниципальных бюджетных дошкольных учреждениях).")</f>
        <v>Поставка картофеля (для оказания услуг по организации питания в муниципальных бюджетных дошкольных учреждениях).</v>
      </c>
      <c r="G16084" s="22" t="s">
        <v>1522</v>
      </c>
      <c r="H16084" s="22" t="s">
        <v>1523</v>
      </c>
      <c r="I16084" s="26">
        <v>43635.827870370398</v>
      </c>
      <c r="J16084" s="28" t="s">
        <v>51</v>
      </c>
      <c r="K16084" s="28" t="s">
        <v>51</v>
      </c>
      <c r="L16084" s="22" t="s">
        <v>10</v>
      </c>
      <c r="M16084" s="25">
        <v>600000</v>
      </c>
      <c r="N16084" s="27">
        <v>0.38781756963575148</v>
      </c>
    </row>
    <row r="16085" spans="1:14" x14ac:dyDescent="0.2">
      <c r="A16085" s="23" t="str">
        <f>HYPERLINK("https://www.spark-marketing.ru/Card/Person/16099", "СОГУ")</f>
        <v>СОГУ</v>
      </c>
      <c r="B16085" s="24" t="s">
        <v>21087</v>
      </c>
      <c r="C16085" s="25">
        <v>497000</v>
      </c>
      <c r="D16085" s="22" t="s">
        <v>21088</v>
      </c>
      <c r="E16085" s="22" t="s">
        <v>362</v>
      </c>
      <c r="F16085" s="23" t="str">
        <f>HYPERLINK("https://www.spark-marketing.ru/Card/Lot/71507486", "Оказание услуг по организации питания коллектива ансамбля народного танца СОГУ «Иристон» во время проезда на гастроли на итальянские фольклорные Фестивали на основании приглашения")</f>
        <v>Оказание услуг по организации питания коллектива ансамбля народного танца СОГУ «Иристон» во время проезда на гастроли на итальянские фольклорные Фестивали на основании приглашения</v>
      </c>
      <c r="G16085" s="22" t="s">
        <v>783</v>
      </c>
      <c r="H16085" s="22" t="s">
        <v>783</v>
      </c>
      <c r="I16085" s="26">
        <v>43635.758067129602</v>
      </c>
      <c r="J16085" s="28" t="s">
        <v>51</v>
      </c>
      <c r="K16085" s="28" t="s">
        <v>51</v>
      </c>
      <c r="L16085" s="28" t="s">
        <v>51</v>
      </c>
      <c r="M16085" s="25">
        <v>497000</v>
      </c>
      <c r="N16085" s="27">
        <v>0</v>
      </c>
    </row>
    <row r="16086" spans="1:14" ht="12.75" x14ac:dyDescent="0.2">
      <c r="A16086" s="23" t="str">
        <f>HYPERLINK("https://www.spark-marketing.ru/Card/Person/9279", "ГУ-КРАСНОЯРСКОЕ РО ФОНДА СОЦИАЛЬНОГО СТРАХОВАНИЯ РОССИЙСКОЙ ФЕДЕРАЦИИ")</f>
        <v>ГУ-КРАСНОЯРСКОЕ РО ФОНДА СОЦИАЛЬНОГО СТРАХОВАНИЯ РОССИЙСКОЙ ФЕДЕРАЦИИ</v>
      </c>
      <c r="B16086" s="24" t="s">
        <v>21089</v>
      </c>
      <c r="C16086" s="25">
        <v>1886522.4</v>
      </c>
      <c r="D16086" s="22" t="s">
        <v>21090</v>
      </c>
      <c r="E16086" s="22" t="s">
        <v>86</v>
      </c>
      <c r="F16086" s="23" t="str">
        <f>HYPERLINK("https://www.spark-marketing.ru/Card/Lot/71513376", "Оказание услуг по санаторно-курортному лечению граждан, имеющих право на получение государственной социальной помощи, на территории Красноярского края (Профиль лечения - болезни эндокринной системы)")</f>
        <v>Оказание услуг по санаторно-курортному лечению граждан, имеющих право на получение государственной социальной помощи, на территории Красноярского края (Профиль лечения - болезни эндокринной системы)</v>
      </c>
      <c r="G16086" s="22" t="s">
        <v>281</v>
      </c>
      <c r="H16086" s="22" t="s">
        <v>281</v>
      </c>
      <c r="I16086" s="26">
        <v>43635.767361111102</v>
      </c>
      <c r="J16086" s="23" t="str">
        <f>HYPERLINK("https://www.spark-marketing.ru/Card/Person/33919", "АО ""САНАТОРИЙ ""КРАСНОЯРСКОЕ ЗАГОРЬЕ""")</f>
        <v>АО "САНАТОРИЙ "КРАСНОЯРСКОЕ ЗАГОРЬЕ"</v>
      </c>
      <c r="K16086" s="24" t="s">
        <v>21091</v>
      </c>
      <c r="L16086" s="22" t="s">
        <v>10</v>
      </c>
      <c r="M16086" s="25">
        <v>1886522.4</v>
      </c>
      <c r="N16086" s="27">
        <v>0</v>
      </c>
    </row>
    <row r="16087" spans="1:14" ht="12.75" x14ac:dyDescent="0.2">
      <c r="A16087" s="23" t="str">
        <f>HYPERLINK("https://www.spark-marketing.ru/Card/Person/133143", "МБОУ ""СОШ №2""")</f>
        <v>МБОУ "СОШ №2"</v>
      </c>
      <c r="B16087" s="24" t="s">
        <v>21092</v>
      </c>
      <c r="C16087" s="25">
        <v>3638898</v>
      </c>
      <c r="D16087" s="22" t="s">
        <v>21093</v>
      </c>
      <c r="E16087" s="22" t="s">
        <v>48</v>
      </c>
      <c r="F16087" s="23" t="str">
        <f>HYPERLINK("https://www.spark-marketing.ru/Card/Lot/71513727", "Услуга общественного питания")</f>
        <v>Услуга общественного питания</v>
      </c>
      <c r="G16087" s="22" t="s">
        <v>415</v>
      </c>
      <c r="H16087" s="22" t="s">
        <v>415</v>
      </c>
      <c r="I16087" s="26">
        <v>43635.762499999997</v>
      </c>
      <c r="J16087" s="23" t="str">
        <f>HYPERLINK("https://www.spark-marketing.ru/Card/Person/133090", "ООО ""ЗДОРОВОЕ ПИТАНИЕ""")</f>
        <v>ООО "ЗДОРОВОЕ ПИТАНИЕ"</v>
      </c>
      <c r="K16087" s="24" t="s">
        <v>20887</v>
      </c>
      <c r="L16087" s="22" t="s">
        <v>10</v>
      </c>
      <c r="M16087" s="25">
        <v>3300000</v>
      </c>
      <c r="N16087" s="27">
        <v>9.3132041623590442E-2</v>
      </c>
    </row>
    <row r="16088" spans="1:14" x14ac:dyDescent="0.15">
      <c r="A16088" s="23" t="str">
        <f>HYPERLINK("https://www.spark-marketing.ru/Card/Person/337294", "ФГБОУ ВО ""НИУ ""МЭИ""")</f>
        <v>ФГБОУ ВО "НИУ "МЭИ"</v>
      </c>
      <c r="B16088" s="24" t="s">
        <v>15309</v>
      </c>
      <c r="C16088" s="25">
        <v>7600000</v>
      </c>
      <c r="D16088" s="22" t="s">
        <v>21094</v>
      </c>
      <c r="E16088" s="22" t="s">
        <v>362</v>
      </c>
      <c r="F16088" s="23" t="str">
        <f>HYPERLINK("https://www.spark-marketing.ru/Card/Lot/71508981", "Оказание услуг по организации питания")</f>
        <v>Оказание услуг по организации питания</v>
      </c>
      <c r="G16088" s="22" t="s">
        <v>108</v>
      </c>
      <c r="H16088" s="22" t="s">
        <v>108</v>
      </c>
      <c r="I16088" s="26">
        <v>43635.785706018498</v>
      </c>
      <c r="J16088" s="28" t="s">
        <v>51</v>
      </c>
      <c r="K16088" s="28" t="s">
        <v>51</v>
      </c>
      <c r="L16088" s="28" t="s">
        <v>51</v>
      </c>
      <c r="M16088" s="28" t="s">
        <v>51</v>
      </c>
      <c r="N16088" s="28" t="s">
        <v>51</v>
      </c>
    </row>
    <row r="16089" spans="1:14" x14ac:dyDescent="0.15">
      <c r="A16089" s="23" t="str">
        <f>HYPERLINK("https://www.spark-marketing.ru/Card/Person/89441", "МБОУ СОШ № 13")</f>
        <v>МБОУ СОШ № 13</v>
      </c>
      <c r="B16089" s="24" t="s">
        <v>2386</v>
      </c>
      <c r="C16089" s="25">
        <v>152000</v>
      </c>
      <c r="D16089" s="22" t="s">
        <v>21095</v>
      </c>
      <c r="E16089" s="22" t="s">
        <v>48</v>
      </c>
      <c r="F16089" s="23" t="str">
        <f>HYPERLINK("https://www.spark-marketing.ru/Card/Lot/71507928", "на оказание услуг по организации питания в оздоровительных учреждениях с дневным пребыванием детей в период каникул для 25 человек")</f>
        <v>на оказание услуг по организации питания в оздоровительных учреждениях с дневным пребыванием детей в период каникул для 25 человек</v>
      </c>
      <c r="G16089" s="22" t="s">
        <v>49</v>
      </c>
      <c r="H16089" s="22" t="s">
        <v>301</v>
      </c>
      <c r="I16089" s="26">
        <v>43635.753113425897</v>
      </c>
      <c r="J16089" s="28" t="s">
        <v>51</v>
      </c>
      <c r="K16089" s="28" t="s">
        <v>51</v>
      </c>
      <c r="L16089" s="28" t="s">
        <v>51</v>
      </c>
      <c r="M16089" s="28" t="s">
        <v>51</v>
      </c>
      <c r="N16089" s="28" t="s">
        <v>51</v>
      </c>
    </row>
    <row r="16090" spans="1:14" x14ac:dyDescent="0.15">
      <c r="A16090" s="23" t="str">
        <f>HYPERLINK("https://www.spark-marketing.ru/Card/Person/37108", "КГАУ ""СШОР ПО ХОККЕЮ С МЯЧОМ ""ЕНИСЕЙ""")</f>
        <v>КГАУ "СШОР ПО ХОККЕЮ С МЯЧОМ "ЕНИСЕЙ"</v>
      </c>
      <c r="B16090" s="24" t="s">
        <v>4625</v>
      </c>
      <c r="C16090" s="25">
        <v>563062.5</v>
      </c>
      <c r="D16090" s="22" t="s">
        <v>21096</v>
      </c>
      <c r="E16090" s="22" t="s">
        <v>769</v>
      </c>
      <c r="F16090" s="23" t="str">
        <f>HYPERLINK("https://www.spark-marketing.ru/Card/Lot/71497074", "Оказание услуг по проживанию и питанию спортсменов на период проведения тренировочных мероприятий")</f>
        <v>Оказание услуг по проживанию и питанию спортсменов на период проведения тренировочных мероприятий</v>
      </c>
      <c r="G16090" s="22" t="s">
        <v>281</v>
      </c>
      <c r="H16090" s="22" t="s">
        <v>281</v>
      </c>
      <c r="I16090" s="26">
        <v>43635.777627314797</v>
      </c>
      <c r="J16090" s="28" t="s">
        <v>51</v>
      </c>
      <c r="K16090" s="28" t="s">
        <v>51</v>
      </c>
      <c r="L16090" s="28" t="s">
        <v>51</v>
      </c>
      <c r="M16090" s="28" t="s">
        <v>51</v>
      </c>
      <c r="N16090" s="28" t="s">
        <v>51</v>
      </c>
    </row>
    <row r="16091" spans="1:14" ht="12.75" x14ac:dyDescent="0.2">
      <c r="A16091" s="23" t="str">
        <f>HYPERLINK("https://www.spark-marketing.ru/Card/Person/133123", "МБОУ ""ЛИЦЕЙ №4""")</f>
        <v>МБОУ "ЛИЦЕЙ №4"</v>
      </c>
      <c r="B16091" s="24" t="s">
        <v>21097</v>
      </c>
      <c r="C16091" s="25">
        <v>5257769.16</v>
      </c>
      <c r="D16091" s="22" t="s">
        <v>21098</v>
      </c>
      <c r="E16091" s="22" t="s">
        <v>48</v>
      </c>
      <c r="F16091" s="23" t="str">
        <f>HYPERLINK("https://www.spark-marketing.ru/Card/Lot/71513781", "Услуга общественного питания")</f>
        <v>Услуга общественного питания</v>
      </c>
      <c r="G16091" s="22" t="s">
        <v>415</v>
      </c>
      <c r="H16091" s="22" t="s">
        <v>415</v>
      </c>
      <c r="I16091" s="26">
        <v>43635.7631944444</v>
      </c>
      <c r="J16091" s="23" t="str">
        <f>HYPERLINK("https://www.spark-marketing.ru/Card/Person/133090", "ООО ""ЗДОРОВОЕ ПИТАНИЕ""")</f>
        <v>ООО "ЗДОРОВОЕ ПИТАНИЕ"</v>
      </c>
      <c r="K16091" s="24" t="s">
        <v>20887</v>
      </c>
      <c r="L16091" s="22" t="s">
        <v>10</v>
      </c>
      <c r="M16091" s="25">
        <v>4731900</v>
      </c>
      <c r="N16091" s="27">
        <v>0.10001754432292345</v>
      </c>
    </row>
    <row r="16092" spans="1:14" ht="12.75" x14ac:dyDescent="0.2">
      <c r="A16092" s="23" t="str">
        <f>HYPERLINK("https://www.spark-marketing.ru/Card/Person/133121", "МБОУ ""СОШ № 3""")</f>
        <v>МБОУ "СОШ № 3"</v>
      </c>
      <c r="B16092" s="24" t="s">
        <v>21099</v>
      </c>
      <c r="C16092" s="25">
        <v>2769503</v>
      </c>
      <c r="D16092" s="22" t="s">
        <v>21100</v>
      </c>
      <c r="E16092" s="22" t="s">
        <v>48</v>
      </c>
      <c r="F16092" s="23" t="str">
        <f>HYPERLINK("https://www.spark-marketing.ru/Card/Lot/71513501", "Услуга общественного питания")</f>
        <v>Услуга общественного питания</v>
      </c>
      <c r="G16092" s="22" t="s">
        <v>415</v>
      </c>
      <c r="H16092" s="22" t="s">
        <v>415</v>
      </c>
      <c r="I16092" s="26">
        <v>43635.762499999997</v>
      </c>
      <c r="J16092" s="23" t="str">
        <f>HYPERLINK("https://www.spark-marketing.ru/Card/Person/133090", "ООО ""ЗДОРОВОЕ ПИТАНИЕ""")</f>
        <v>ООО "ЗДОРОВОЕ ПИТАНИЕ"</v>
      </c>
      <c r="K16092" s="24" t="s">
        <v>20887</v>
      </c>
      <c r="L16092" s="22" t="s">
        <v>10</v>
      </c>
      <c r="M16092" s="25">
        <v>2547900</v>
      </c>
      <c r="N16092" s="27">
        <v>8.0015439593313309E-2</v>
      </c>
    </row>
    <row r="16093" spans="1:14" x14ac:dyDescent="0.15">
      <c r="A16093" s="23" t="str">
        <f>HYPERLINK("https://www.spark-marketing.ru/Card/Person/1757464", "КГАУ ""СШОР ПО РЕГБИ ""ЕНИСЕЙ - СТМ""")</f>
        <v>КГАУ "СШОР ПО РЕГБИ "ЕНИСЕЙ - СТМ"</v>
      </c>
      <c r="B16093" s="24" t="s">
        <v>3563</v>
      </c>
      <c r="C16093" s="25">
        <v>530000</v>
      </c>
      <c r="D16093" s="22" t="s">
        <v>21101</v>
      </c>
      <c r="E16093" s="22" t="s">
        <v>769</v>
      </c>
      <c r="F16093" s="23" t="str">
        <f>HYPERLINK("https://www.spark-marketing.ru/Card/Lot/71497072", "Договор на оказание услуг по проживанию с питанием спортсменов (для исполнения календарного плана)")</f>
        <v>Договор на оказание услуг по проживанию с питанием спортсменов (для исполнения календарного плана)</v>
      </c>
      <c r="G16093" s="22" t="s">
        <v>76</v>
      </c>
      <c r="H16093" s="22" t="s">
        <v>76</v>
      </c>
      <c r="I16093" s="26">
        <v>43635.773645833302</v>
      </c>
      <c r="J16093" s="28" t="s">
        <v>51</v>
      </c>
      <c r="K16093" s="28" t="s">
        <v>51</v>
      </c>
      <c r="L16093" s="28" t="s">
        <v>51</v>
      </c>
      <c r="M16093" s="28" t="s">
        <v>51</v>
      </c>
      <c r="N16093" s="28" t="s">
        <v>51</v>
      </c>
    </row>
    <row r="16094" spans="1:14" x14ac:dyDescent="0.15">
      <c r="A16094" s="23" t="str">
        <f>HYPERLINK("https://www.spark-marketing.ru/Card/Person/864283", "ГАУ ТО ""ЦСП""")</f>
        <v>ГАУ ТО "ЦСП"</v>
      </c>
      <c r="B16094" s="24" t="s">
        <v>14957</v>
      </c>
      <c r="C16094" s="25">
        <v>994032</v>
      </c>
      <c r="D16094" s="22" t="s">
        <v>21102</v>
      </c>
      <c r="E16094" s="22" t="s">
        <v>1921</v>
      </c>
      <c r="F16094" s="23" t="str">
        <f>HYPERLINK("https://www.spark-marketing.ru/Card/Lot/71501546", "Оказание услуг по временному размещению (проживанию и питанию) участников и представителей команд ОЛФ ВФСК ГТО среди обучающихся образовательных организаций")</f>
        <v>Оказание услуг по временному размещению (проживанию и питанию) участников и представителей команд ОЛФ ВФСК ГТО среди обучающихся образовательных организаций</v>
      </c>
      <c r="G16094" s="22" t="s">
        <v>766</v>
      </c>
      <c r="H16094" s="22" t="s">
        <v>766</v>
      </c>
      <c r="I16094" s="26">
        <v>43635.768391203703</v>
      </c>
      <c r="J16094" s="28" t="s">
        <v>51</v>
      </c>
      <c r="K16094" s="28" t="s">
        <v>51</v>
      </c>
      <c r="L16094" s="28" t="s">
        <v>51</v>
      </c>
      <c r="M16094" s="28" t="s">
        <v>51</v>
      </c>
      <c r="N16094" s="28" t="s">
        <v>51</v>
      </c>
    </row>
    <row r="16095" spans="1:14" x14ac:dyDescent="0.15">
      <c r="A16095" s="23" t="str">
        <f>HYPERLINK("https://www.spark-marketing.ru/Card/Person/1778529", "КГАУ ЦСПСКХК")</f>
        <v>КГАУ ЦСПСКХК</v>
      </c>
      <c r="B16095" s="24" t="s">
        <v>5909</v>
      </c>
      <c r="C16095" s="25">
        <v>324800</v>
      </c>
      <c r="D16095" s="22" t="s">
        <v>21103</v>
      </c>
      <c r="E16095" s="22" t="s">
        <v>2273</v>
      </c>
      <c r="F16095" s="23" t="str">
        <f>HYPERLINK("https://www.spark-marketing.ru/Card/Lot/71486854", "Оказание услуг по организации 3-х разового питания участников II этапа соревнований по баскетболу (девушки) IX летней Спартакиады учащихся (юношеская) России 2019 года")</f>
        <v>Оказание услуг по организации 3-х разового питания участников II этапа соревнований по баскетболу (девушки) IX летней Спартакиады учащихся (юношеская) России 2019 года</v>
      </c>
      <c r="G16095" s="22" t="s">
        <v>1096</v>
      </c>
      <c r="H16095" s="22" t="s">
        <v>1096</v>
      </c>
      <c r="I16095" s="26">
        <v>43635.713900463001</v>
      </c>
      <c r="J16095" s="28" t="s">
        <v>51</v>
      </c>
      <c r="K16095" s="28" t="s">
        <v>51</v>
      </c>
      <c r="L16095" s="28" t="s">
        <v>51</v>
      </c>
      <c r="M16095" s="28" t="s">
        <v>51</v>
      </c>
      <c r="N16095" s="28" t="s">
        <v>51</v>
      </c>
    </row>
    <row r="16096" spans="1:14" x14ac:dyDescent="0.15">
      <c r="A16096" s="23" t="str">
        <f>HYPERLINK("https://www.spark-marketing.ru/Card/Person/1562", "ГБУЗ ""МНПЦ БОРЬБЫ С ТУБЕРКУЛЕЗОМ ДЗМ""")</f>
        <v>ГБУЗ "МНПЦ БОРЬБЫ С ТУБЕРКУЛЕЗОМ ДЗМ"</v>
      </c>
      <c r="B16096" s="24" t="s">
        <v>9254</v>
      </c>
      <c r="C16096" s="25">
        <v>498000</v>
      </c>
      <c r="D16096" s="22" t="s">
        <v>21104</v>
      </c>
      <c r="E16096" s="22" t="s">
        <v>13640</v>
      </c>
      <c r="F16096" s="23" t="str">
        <f>HYPERLINK("https://www.spark-marketing.ru/Card/Lot/71511397", "Оказание услуг по методологической и консультационной поддержке сотрудников ГБУЗ «МНПЦ борьбы с туберкулезом ДЗМ» по вопросам учета продуктов питания и складского учета")</f>
        <v>Оказание услуг по методологической и консультационной поддержке сотрудников ГБУЗ «МНПЦ борьбы с туберкулезом ДЗМ» по вопросам учета продуктов питания и складского учета</v>
      </c>
      <c r="G16096" s="22" t="s">
        <v>56</v>
      </c>
      <c r="H16096" s="22" t="s">
        <v>56</v>
      </c>
      <c r="I16096" s="26">
        <v>43635.7097222222</v>
      </c>
      <c r="J16096" s="23" t="str">
        <f>HYPERLINK("https://www.spark-marketing.ru/Card/Person/639613", "ООО ""КОМПЬЮТАЙМ""")</f>
        <v>ООО "КОМПЬЮТАЙМ"</v>
      </c>
      <c r="K16096" s="24" t="s">
        <v>21105</v>
      </c>
      <c r="L16096" s="22" t="s">
        <v>10</v>
      </c>
      <c r="M16096" s="28" t="s">
        <v>51</v>
      </c>
      <c r="N16096" s="28" t="s">
        <v>51</v>
      </c>
    </row>
    <row r="16097" spans="1:14" x14ac:dyDescent="0.15">
      <c r="A16097" s="23" t="str">
        <f>HYPERLINK("https://www.spark-marketing.ru/Card/Person/1757464", "КГАУ ""СШОР ПО РЕГБИ ""ЕНИСЕЙ - СТМ""")</f>
        <v>КГАУ "СШОР ПО РЕГБИ "ЕНИСЕЙ - СТМ"</v>
      </c>
      <c r="B16097" s="24" t="s">
        <v>3563</v>
      </c>
      <c r="C16097" s="25">
        <v>250000</v>
      </c>
      <c r="D16097" s="22" t="s">
        <v>21106</v>
      </c>
      <c r="E16097" s="22" t="s">
        <v>362</v>
      </c>
      <c r="F16097" s="23" t="str">
        <f>HYPERLINK("https://www.spark-marketing.ru/Card/Lot/71496385", "Договор на оказание услуг по организации питания для спортсменов (для исполнения календарного плана)")</f>
        <v>Договор на оказание услуг по организации питания для спортсменов (для исполнения календарного плана)</v>
      </c>
      <c r="G16097" s="22" t="s">
        <v>3249</v>
      </c>
      <c r="H16097" s="22" t="s">
        <v>3249</v>
      </c>
      <c r="I16097" s="26">
        <v>43635.741099537001</v>
      </c>
      <c r="J16097" s="28" t="s">
        <v>51</v>
      </c>
      <c r="K16097" s="28" t="s">
        <v>51</v>
      </c>
      <c r="L16097" s="28" t="s">
        <v>51</v>
      </c>
      <c r="M16097" s="28" t="s">
        <v>51</v>
      </c>
      <c r="N16097" s="28" t="s">
        <v>51</v>
      </c>
    </row>
    <row r="16098" spans="1:14" x14ac:dyDescent="0.15">
      <c r="A16098" s="23" t="str">
        <f>HYPERLINK("https://www.spark-marketing.ru/Card/Person/144298", "МБОУ БАГАЕВСКАЯ СОШ № 1")</f>
        <v>МБОУ БАГАЕВСКАЯ СОШ № 1</v>
      </c>
      <c r="B16098" s="24" t="s">
        <v>21107</v>
      </c>
      <c r="C16098" s="25">
        <v>432000</v>
      </c>
      <c r="D16098" s="22" t="s">
        <v>21108</v>
      </c>
      <c r="E16098" s="22" t="s">
        <v>48</v>
      </c>
      <c r="F16098" s="23" t="str">
        <f>HYPERLINK("https://www.spark-marketing.ru/Card/Lot/71511960", "Организация горячего питания")</f>
        <v>Организация горячего питания</v>
      </c>
      <c r="G16098" s="22" t="s">
        <v>267</v>
      </c>
      <c r="H16098" s="22" t="s">
        <v>11331</v>
      </c>
      <c r="I16098" s="26">
        <v>43635.715972222199</v>
      </c>
      <c r="J16098" s="28" t="s">
        <v>51</v>
      </c>
      <c r="K16098" s="28" t="s">
        <v>51</v>
      </c>
      <c r="L16098" s="28" t="s">
        <v>51</v>
      </c>
      <c r="M16098" s="28" t="s">
        <v>51</v>
      </c>
      <c r="N16098" s="28" t="s">
        <v>51</v>
      </c>
    </row>
    <row r="16099" spans="1:14" hidden="1" outlineLevel="1" x14ac:dyDescent="0.2">
      <c r="A16099" s="23" t="str">
        <f>HYPERLINK("https://www.spark-marketing.ru/Card/Person/144298", "МБОУ БАГАЕВСКАЯ СОШ № 1")</f>
        <v>МБОУ БАГАЕВСКАЯ СОШ № 1</v>
      </c>
      <c r="B16099" s="24" t="s">
        <v>21107</v>
      </c>
      <c r="C16099" s="25">
        <v>432000</v>
      </c>
      <c r="D16099" s="22" t="s">
        <v>21108</v>
      </c>
      <c r="E16099" s="22" t="s">
        <v>48</v>
      </c>
      <c r="F16099" s="23" t="str">
        <f>HYPERLINK("https://www.spark-marketing.ru/Card/Lot/71511960", "Организация горячего питания")</f>
        <v>Организация горячего питания</v>
      </c>
      <c r="G16099" s="22" t="s">
        <v>267</v>
      </c>
      <c r="H16099" s="22" t="s">
        <v>11331</v>
      </c>
      <c r="I16099" s="26">
        <v>43635.715972222199</v>
      </c>
      <c r="J16099" s="23" t="str">
        <f>HYPERLINK("https://www.spark-marketing.ru/Card/Person/789208", "Агуреева Татьяна Романовна")</f>
        <v>Агуреева Татьяна Романовна</v>
      </c>
      <c r="K16099" s="24" t="s">
        <v>21109</v>
      </c>
      <c r="L16099" s="28" t="s">
        <v>51</v>
      </c>
      <c r="M16099" s="25">
        <v>252720</v>
      </c>
      <c r="N16099" s="27">
        <v>0.41499999999999998</v>
      </c>
    </row>
    <row r="16100" spans="1:14" ht="12.75" hidden="1" outlineLevel="1" x14ac:dyDescent="0.2">
      <c r="A16100" s="23" t="str">
        <f>HYPERLINK("https://www.spark-marketing.ru/Card/Person/144298", "МБОУ БАГАЕВСКАЯ СОШ № 1")</f>
        <v>МБОУ БАГАЕВСКАЯ СОШ № 1</v>
      </c>
      <c r="B16100" s="24" t="s">
        <v>21107</v>
      </c>
      <c r="C16100" s="25">
        <v>432000</v>
      </c>
      <c r="D16100" s="22" t="s">
        <v>21108</v>
      </c>
      <c r="E16100" s="22" t="s">
        <v>48</v>
      </c>
      <c r="F16100" s="23" t="str">
        <f>HYPERLINK("https://www.spark-marketing.ru/Card/Lot/71511960", "Организация горячего питания")</f>
        <v>Организация горячего питания</v>
      </c>
      <c r="G16100" s="22" t="s">
        <v>267</v>
      </c>
      <c r="H16100" s="22" t="s">
        <v>11331</v>
      </c>
      <c r="I16100" s="26">
        <v>43635.715972222199</v>
      </c>
      <c r="J16100" s="23" t="str">
        <f>HYPERLINK("https://www.spark-marketing.ru/Card/Person/4868072", "ООО ""БИЗНЕС КОНСАЛТИНГ""")</f>
        <v>ООО "БИЗНЕС КОНСАЛТИНГ"</v>
      </c>
      <c r="K16100" s="24" t="s">
        <v>20861</v>
      </c>
      <c r="L16100" s="22" t="s">
        <v>10</v>
      </c>
      <c r="M16100" s="25">
        <v>250560</v>
      </c>
      <c r="N16100" s="27">
        <v>0.42</v>
      </c>
    </row>
    <row r="16101" spans="1:14" x14ac:dyDescent="0.15">
      <c r="A16101" s="23" t="str">
        <f>HYPERLINK("https://www.spark-marketing.ru/Card/Person/38037", "ГБУ ТЦСО ""КОЛОМЕНСКОЕ""")</f>
        <v>ГБУ ТЦСО "КОЛОМЕНСКОЕ"</v>
      </c>
      <c r="B16101" s="24" t="s">
        <v>21110</v>
      </c>
      <c r="C16101" s="25">
        <v>1191358</v>
      </c>
      <c r="D16101" s="22" t="s">
        <v>21111</v>
      </c>
      <c r="E16101" s="22" t="s">
        <v>48</v>
      </c>
      <c r="F16101" s="23" t="str">
        <f>HYPERLINK("https://www.spark-marketing.ru/Card/Lot/71512847", "Оказание услуг по организации и обеспечению горячим питанием получателей социальных услуг в пунктах общественного питания районов Нагатинский затон и Нагатино-Садовники Южного административного округа г. Москвы")</f>
        <v>Оказание услуг по организации и обеспечению горячим питанием получателей социальных услуг в пунктах общественного питания районов Нагатинский затон и Нагатино-Садовники Южного административного округа г. Москвы</v>
      </c>
      <c r="G16101" s="22" t="s">
        <v>56</v>
      </c>
      <c r="H16101" s="22" t="s">
        <v>56</v>
      </c>
      <c r="I16101" s="26">
        <v>43635.722916666702</v>
      </c>
      <c r="J16101" s="23" t="str">
        <f>HYPERLINK("https://www.spark-marketing.ru/Card/Person/942462", "ООО ФИРМА ""КОЛОБОК""")</f>
        <v>ООО ФИРМА "КОЛОБОК"</v>
      </c>
      <c r="K16101" s="24" t="s">
        <v>21112</v>
      </c>
      <c r="L16101" s="28" t="s">
        <v>51</v>
      </c>
      <c r="M16101" s="28" t="s">
        <v>51</v>
      </c>
      <c r="N16101" s="28" t="s">
        <v>51</v>
      </c>
    </row>
    <row r="16102" spans="1:14" ht="12.75" hidden="1" outlineLevel="1" x14ac:dyDescent="0.2">
      <c r="A16102" s="23" t="str">
        <f>HYPERLINK("https://www.spark-marketing.ru/Card/Person/38037", "ГБУ ТЦСО ""КОЛОМЕНСКОЕ""")</f>
        <v>ГБУ ТЦСО "КОЛОМЕНСКОЕ"</v>
      </c>
      <c r="B16102" s="24" t="s">
        <v>21110</v>
      </c>
      <c r="C16102" s="25">
        <v>1191358</v>
      </c>
      <c r="D16102" s="22" t="s">
        <v>21111</v>
      </c>
      <c r="E16102" s="22" t="s">
        <v>48</v>
      </c>
      <c r="F16102" s="23" t="str">
        <f>HYPERLINK("https://www.spark-marketing.ru/Card/Lot/71512847", "Оказание услуг по организации и обеспечению горячим питанием получателей социальных услуг в пунктах общественного питания районов Нагатинский затон и Нагатино-Садовники Южного административного округа г. Москвы")</f>
        <v>Оказание услуг по организации и обеспечению горячим питанием получателей социальных услуг в пунктах общественного питания районов Нагатинский затон и Нагатино-Садовники Южного административного округа г. Москвы</v>
      </c>
      <c r="G16102" s="22" t="s">
        <v>56</v>
      </c>
      <c r="H16102" s="22" t="s">
        <v>56</v>
      </c>
      <c r="I16102" s="26">
        <v>43635.722916666702</v>
      </c>
      <c r="J16102" s="23" t="str">
        <f>HYPERLINK("https://www.spark-marketing.ru/Card/Person/942462", "ООО ФИРМА ""КОЛОБОК""")</f>
        <v>ООО ФИРМА "КОЛОБОК"</v>
      </c>
      <c r="K16102" s="24" t="s">
        <v>21112</v>
      </c>
      <c r="L16102" s="22" t="s">
        <v>10</v>
      </c>
      <c r="M16102" s="25">
        <v>1185401.21</v>
      </c>
      <c r="N16102" s="27">
        <v>5.0000000000000001E-3</v>
      </c>
    </row>
    <row r="16103" spans="1:14" x14ac:dyDescent="0.15">
      <c r="A16103" s="23" t="str">
        <f>HYPERLINK("https://www.spark-marketing.ru/Card/Person/1033418", "МДОУ ДЕТСКИЙ САД КОМПЕНСИРУЮЩЕГО ВИДА № 34 ""НАДЕЖДА""")</f>
        <v>МДОУ ДЕТСКИЙ САД КОМПЕНСИРУЮЩЕГО ВИДА № 34 "НАДЕЖДА"</v>
      </c>
      <c r="B16103" s="24" t="s">
        <v>21113</v>
      </c>
      <c r="C16103" s="25">
        <v>365378</v>
      </c>
      <c r="D16103" s="22" t="s">
        <v>21114</v>
      </c>
      <c r="E16103" s="22" t="s">
        <v>48</v>
      </c>
      <c r="F16103" s="23" t="str">
        <f>HYPERLINK("https://www.spark-marketing.ru/Card/Lot/71502864",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16103" s="22" t="s">
        <v>49</v>
      </c>
      <c r="H16103" s="22" t="s">
        <v>50</v>
      </c>
      <c r="I16103" s="26">
        <v>43635.711168981499</v>
      </c>
      <c r="J16103" s="28" t="s">
        <v>51</v>
      </c>
      <c r="K16103" s="28" t="s">
        <v>51</v>
      </c>
      <c r="L16103" s="28" t="s">
        <v>51</v>
      </c>
      <c r="M16103" s="28" t="s">
        <v>51</v>
      </c>
      <c r="N16103" s="28" t="s">
        <v>51</v>
      </c>
    </row>
    <row r="16104" spans="1:14" x14ac:dyDescent="0.15">
      <c r="A16104" s="23" t="str">
        <f>HYPERLINK("https://www.spark-marketing.ru/Card/Person/1067374", "МБОУ СОШ № 4 Г. АПАТИТЫ")</f>
        <v>МБОУ СОШ № 4 Г. АПАТИТЫ</v>
      </c>
      <c r="B16104" s="24" t="s">
        <v>21115</v>
      </c>
      <c r="C16104" s="25">
        <v>2854656</v>
      </c>
      <c r="D16104" s="22" t="s">
        <v>21116</v>
      </c>
      <c r="E16104" s="22" t="s">
        <v>48</v>
      </c>
      <c r="F16104" s="23" t="str">
        <f>HYPERLINK("https://www.spark-marketing.ru/Card/Lot/71513511", "Оказание услуг по организации горячего питания во втором полугодии 2019 года")</f>
        <v>Оказание услуг по организации горячего питания во втором полугодии 2019 года</v>
      </c>
      <c r="G16104" s="22" t="s">
        <v>340</v>
      </c>
      <c r="H16104" s="22" t="s">
        <v>7501</v>
      </c>
      <c r="I16104" s="26">
        <v>43635.741666666698</v>
      </c>
      <c r="J16104" s="23" t="str">
        <f>HYPERLINK("https://www.spark-marketing.ru/Card/Person/1338973", "Кругликова Наталья Васильевна")</f>
        <v>Кругликова Наталья Васильевна</v>
      </c>
      <c r="K16104" s="24" t="s">
        <v>18201</v>
      </c>
      <c r="L16104" s="22" t="s">
        <v>10</v>
      </c>
      <c r="M16104" s="28" t="s">
        <v>51</v>
      </c>
      <c r="N16104" s="28" t="s">
        <v>51</v>
      </c>
    </row>
    <row r="16105" spans="1:14" x14ac:dyDescent="0.15">
      <c r="A16105" s="23" t="str">
        <f>HYPERLINK("https://www.spark-marketing.ru/Card/Person/64173", "ГБУЗ ""КЦРКБ""")</f>
        <v>ГБУЗ "КЦРКБ"</v>
      </c>
      <c r="B16105" s="24" t="s">
        <v>21117</v>
      </c>
      <c r="C16105" s="25">
        <v>2758000</v>
      </c>
      <c r="D16105" s="22" t="s">
        <v>21118</v>
      </c>
      <c r="E16105" s="22" t="s">
        <v>51</v>
      </c>
      <c r="F16105" s="23" t="str">
        <f>HYPERLINK("https://www.spark-marketing.ru/Card/Lot/71513499", "Оказание услуг по организации питания для нужд ГБУЗ «КЦРКБ»")</f>
        <v>Оказание услуг по организации питания для нужд ГБУЗ «КЦРКБ»</v>
      </c>
      <c r="G16105" s="22" t="s">
        <v>137</v>
      </c>
      <c r="H16105" s="22" t="s">
        <v>138</v>
      </c>
      <c r="I16105" s="26">
        <v>43635.722916666702</v>
      </c>
      <c r="J16105" s="23" t="str">
        <f>HYPERLINK("https://www.spark-marketing.ru/Card/Person/613737", "Голубев Сергей Анатольевич")</f>
        <v>Голубев Сергей Анатольевич</v>
      </c>
      <c r="K16105" s="24" t="s">
        <v>21119</v>
      </c>
      <c r="L16105" s="22" t="s">
        <v>10</v>
      </c>
      <c r="M16105" s="28" t="s">
        <v>51</v>
      </c>
      <c r="N16105" s="28" t="s">
        <v>51</v>
      </c>
    </row>
    <row r="16106" spans="1:14" x14ac:dyDescent="0.15">
      <c r="A16106" s="23" t="str">
        <f>HYPERLINK("https://www.spark-marketing.ru/Card/Person/151998", "ИСП РАН")</f>
        <v>ИСП РАН</v>
      </c>
      <c r="B16106" s="24" t="s">
        <v>21120</v>
      </c>
      <c r="C16106" s="25">
        <v>497700</v>
      </c>
      <c r="D16106" s="22" t="s">
        <v>21121</v>
      </c>
      <c r="E16106" s="22" t="s">
        <v>362</v>
      </c>
      <c r="F16106" s="23" t="str">
        <f>HYPERLINK("https://www.spark-marketing.ru/Card/Lot/71507378", "Оказание услуг по организации питания для участников научно-практической Открытой конференции ИСП РАН им. В.П. Иванникова 05 декабря 2019 года по адресу: г. Москва, Ленинский проспект дом 32А, залы РАН")</f>
        <v>Оказание услуг по организации питания для участников научно-практической Открытой конференции ИСП РАН им. В.П. Иванникова 05 декабря 2019 года по адресу: г. Москва, Ленинский проспект дом 32А, залы РАН</v>
      </c>
      <c r="G16106" s="22" t="s">
        <v>56</v>
      </c>
      <c r="H16106" s="22" t="s">
        <v>56</v>
      </c>
      <c r="I16106" s="26">
        <v>43635.738553240699</v>
      </c>
      <c r="J16106" s="28" t="s">
        <v>51</v>
      </c>
      <c r="K16106" s="28" t="s">
        <v>51</v>
      </c>
      <c r="L16106" s="28" t="s">
        <v>51</v>
      </c>
      <c r="M16106" s="28" t="s">
        <v>51</v>
      </c>
      <c r="N16106" s="28" t="s">
        <v>51</v>
      </c>
    </row>
    <row r="16107" spans="1:14" x14ac:dyDescent="0.15">
      <c r="A16107" s="23" t="str">
        <f>HYPERLINK("https://www.spark-marketing.ru/Card/Person/4800", "ГУ-РО ФОНДА СОЦИАЛЬНОГО СТРАХОВАНИЯ РОССИЙСКОЙ ФЕДЕРАЦИИ ПО РЕСПУБЛИКЕ САХА (ЯКУТИЯ)")</f>
        <v>ГУ-РО ФОНДА СОЦИАЛЬНОГО СТРАХОВАНИЯ РОССИЙСКОЙ ФЕДЕРАЦИИ ПО РЕСПУБЛИКЕ САХА (ЯКУТИЯ)</v>
      </c>
      <c r="B16107" s="24" t="s">
        <v>9362</v>
      </c>
      <c r="C16107" s="25">
        <v>628745.04</v>
      </c>
      <c r="D16107" s="22" t="s">
        <v>21122</v>
      </c>
      <c r="E16107" s="22" t="s">
        <v>86</v>
      </c>
      <c r="F16107" s="23" t="str">
        <f>HYPERLINK("https://www.spark-marketing.ru/Card/Lot/71495702", "Оказание услуг по санаторно-курортному лечению граждан получателей набора социальных услуг в 2019 году с заболеваниями по Классу IV МКБ-10 «Болезни эндокринной системы, расстройства питания и нарушения обмена веществ» (дети)")</f>
        <v>Оказание услуг по санаторно-курортному лечению граждан получателей набора социальных услуг в 2019 году с заболеваниями по Классу IV МКБ-10 «Болезни эндокринной системы, расстройства питания и нарушения обмена веществ» (дети)</v>
      </c>
      <c r="G16107" s="22" t="s">
        <v>241</v>
      </c>
      <c r="H16107" s="22" t="s">
        <v>242</v>
      </c>
      <c r="I16107" s="26">
        <v>43635.701388888898</v>
      </c>
      <c r="J16107" s="28" t="s">
        <v>51</v>
      </c>
      <c r="K16107" s="28" t="s">
        <v>51</v>
      </c>
      <c r="L16107" s="28" t="s">
        <v>51</v>
      </c>
      <c r="M16107" s="28" t="s">
        <v>51</v>
      </c>
      <c r="N16107" s="28" t="s">
        <v>51</v>
      </c>
    </row>
    <row r="16108" spans="1:14" x14ac:dyDescent="0.2">
      <c r="A16108" s="23" t="str">
        <f>HYPERLINK("https://www.spark-marketing.ru/Card/Person/50743", "МП ""ДЕТСКОЕ ПИТАНИЕ""")</f>
        <v>МП "ДЕТСКОЕ ПИТАНИЕ"</v>
      </c>
      <c r="B16108" s="24" t="s">
        <v>1562</v>
      </c>
      <c r="C16108" s="25">
        <v>691750</v>
      </c>
      <c r="D16108" s="22" t="s">
        <v>21123</v>
      </c>
      <c r="E16108" s="22" t="s">
        <v>3997</v>
      </c>
      <c r="F16108" s="23" t="str">
        <f>HYPERLINK("https://www.spark-marketing.ru/Card/Lot/71504844", "Лот №1. Поставка капусты (для оказания услуг по организации питания в муниципальных бюджетных дошкольных учреждениях).")</f>
        <v>Лот №1. Поставка капусты (для оказания услуг по организации питания в муниципальных бюджетных дошкольных учреждениях).</v>
      </c>
      <c r="G16108" s="22" t="s">
        <v>1522</v>
      </c>
      <c r="H16108" s="22" t="s">
        <v>1523</v>
      </c>
      <c r="I16108" s="26">
        <v>43635.707719907397</v>
      </c>
      <c r="J16108" s="28" t="s">
        <v>51</v>
      </c>
      <c r="K16108" s="28" t="s">
        <v>51</v>
      </c>
      <c r="L16108" s="22" t="s">
        <v>10</v>
      </c>
      <c r="M16108" s="25">
        <v>400000</v>
      </c>
      <c r="N16108" s="27">
        <v>0.42175641488977234</v>
      </c>
    </row>
    <row r="16109" spans="1:14" x14ac:dyDescent="0.15">
      <c r="A16109" s="23" t="str">
        <f>HYPERLINK("https://www.spark-marketing.ru/Card/Person/1039853", "МБОУ СОШ № 7 Г. СТАВРОПОЛЯ")</f>
        <v>МБОУ СОШ № 7 Г. СТАВРОПОЛЯ</v>
      </c>
      <c r="B16109" s="24" t="s">
        <v>21124</v>
      </c>
      <c r="C16109" s="25">
        <v>779010</v>
      </c>
      <c r="D16109" s="22" t="s">
        <v>21125</v>
      </c>
      <c r="E16109" s="22" t="s">
        <v>48</v>
      </c>
      <c r="F16109" s="23" t="str">
        <f>HYPERLINK("https://www.spark-marketing.ru/Card/Lot/71513004", "Услуги по организации питания учащихся МБОУ СОШ № 7 г. Ставрополя в сентябре-декабре 2019 года")</f>
        <v>Услуги по организации питания учащихся МБОУ СОШ № 7 г. Ставрополя в сентябре-декабре 2019 года</v>
      </c>
      <c r="G16109" s="22" t="s">
        <v>87</v>
      </c>
      <c r="H16109" s="22" t="s">
        <v>87</v>
      </c>
      <c r="I16109" s="26">
        <v>43635.690972222197</v>
      </c>
      <c r="J16109" s="23" t="str">
        <f>HYPERLINK("https://www.spark-marketing.ru/Card/Person/217327", "Карпачев Валерий Борисович")</f>
        <v>Карпачев Валерий Борисович</v>
      </c>
      <c r="K16109" s="24" t="s">
        <v>19656</v>
      </c>
      <c r="L16109" s="22" t="s">
        <v>10</v>
      </c>
      <c r="M16109" s="28" t="s">
        <v>51</v>
      </c>
      <c r="N16109" s="28" t="s">
        <v>51</v>
      </c>
    </row>
    <row r="16110" spans="1:14" x14ac:dyDescent="0.15">
      <c r="A16110" s="23" t="str">
        <f>HYPERLINK("https://www.spark-marketing.ru/Card/Person/1063133", "МУ ""КУМ""")</f>
        <v>МУ "КУМ"</v>
      </c>
      <c r="B16110" s="24" t="s">
        <v>21126</v>
      </c>
      <c r="C16110" s="25">
        <v>328125</v>
      </c>
      <c r="D16110" s="22" t="s">
        <v>21127</v>
      </c>
      <c r="E16110" s="22" t="s">
        <v>48</v>
      </c>
      <c r="F16110" s="23" t="str">
        <f>HYPERLINK("https://www.spark-marketing.ru/Card/Lot/71510932", "Организация питания детей в лагерях труда и отдыха")</f>
        <v>Организация питания детей в лагерях труда и отдыха</v>
      </c>
      <c r="G16110" s="22" t="s">
        <v>76</v>
      </c>
      <c r="H16110" s="22" t="s">
        <v>9188</v>
      </c>
      <c r="I16110" s="26">
        <v>43635.707638888904</v>
      </c>
      <c r="J16110" s="23" t="str">
        <f>HYPERLINK("https://www.spark-marketing.ru/Card/Person/1182232", "ООО ""ЮНОСТЬ""")</f>
        <v>ООО "ЮНОСТЬ"</v>
      </c>
      <c r="K16110" s="24" t="s">
        <v>21128</v>
      </c>
      <c r="L16110" s="22" t="s">
        <v>10</v>
      </c>
      <c r="M16110" s="28" t="s">
        <v>51</v>
      </c>
      <c r="N16110" s="28" t="s">
        <v>51</v>
      </c>
    </row>
    <row r="16111" spans="1:14" x14ac:dyDescent="0.15">
      <c r="A16111" s="23" t="str">
        <f>HYPERLINK("https://www.spark-marketing.ru/Card/Person/50743", "МП ""ДЕТСКОЕ ПИТАНИЕ""")</f>
        <v>МП "ДЕТСКОЕ ПИТАНИЕ"</v>
      </c>
      <c r="B16111" s="24" t="s">
        <v>1562</v>
      </c>
      <c r="C16111" s="25">
        <v>511520</v>
      </c>
      <c r="D16111" s="22" t="s">
        <v>21123</v>
      </c>
      <c r="E16111" s="22" t="s">
        <v>3997</v>
      </c>
      <c r="F16111" s="23" t="str">
        <f>HYPERLINK("https://www.spark-marketing.ru/Card/Lot/71504846", "Лот №3. Поставка моркови (для оказания услуг по организации питания в муниципальных бюджетных дошкольных учреждениях).")</f>
        <v>Лот №3. Поставка моркови (для оказания услуг по организации питания в муниципальных бюджетных дошкольных учреждениях).</v>
      </c>
      <c r="G16111" s="22" t="s">
        <v>1522</v>
      </c>
      <c r="H16111" s="22" t="s">
        <v>1523</v>
      </c>
      <c r="I16111" s="26">
        <v>43635.707719907397</v>
      </c>
      <c r="J16111" s="28" t="s">
        <v>51</v>
      </c>
      <c r="K16111" s="28" t="s">
        <v>51</v>
      </c>
      <c r="L16111" s="28" t="s">
        <v>51</v>
      </c>
      <c r="M16111" s="28" t="s">
        <v>51</v>
      </c>
      <c r="N16111" s="28" t="s">
        <v>51</v>
      </c>
    </row>
    <row r="16112" spans="1:14" x14ac:dyDescent="0.2">
      <c r="A16112" s="23" t="str">
        <f>HYPERLINK("https://www.spark-marketing.ru/Card/Person/50743", "МП ""ДЕТСКОЕ ПИТАНИЕ""")</f>
        <v>МП "ДЕТСКОЕ ПИТАНИЕ"</v>
      </c>
      <c r="B16112" s="24" t="s">
        <v>1562</v>
      </c>
      <c r="C16112" s="25">
        <v>359640</v>
      </c>
      <c r="D16112" s="22" t="s">
        <v>21123</v>
      </c>
      <c r="E16112" s="22" t="s">
        <v>3997</v>
      </c>
      <c r="F16112" s="23" t="str">
        <f>HYPERLINK("https://www.spark-marketing.ru/Card/Lot/71504845", "Лот №2. Поставка лука репчатого (для оказания услуг по организации питания в муниципальных бюджетных дошкольных учреждениях).")</f>
        <v>Лот №2. Поставка лука репчатого (для оказания услуг по организации питания в муниципальных бюджетных дошкольных учреждениях).</v>
      </c>
      <c r="G16112" s="22" t="s">
        <v>1522</v>
      </c>
      <c r="H16112" s="22" t="s">
        <v>1523</v>
      </c>
      <c r="I16112" s="26">
        <v>43635.707719907397</v>
      </c>
      <c r="J16112" s="28" t="s">
        <v>51</v>
      </c>
      <c r="K16112" s="28" t="s">
        <v>51</v>
      </c>
      <c r="L16112" s="22" t="s">
        <v>10</v>
      </c>
      <c r="M16112" s="25">
        <v>288000</v>
      </c>
      <c r="N16112" s="27">
        <v>0.19919919919919921</v>
      </c>
    </row>
    <row r="16113" spans="1:14" x14ac:dyDescent="0.2">
      <c r="A16113" s="23" t="str">
        <f>HYPERLINK("https://www.spark-marketing.ru/Card/Person/50743", "МП ""ДЕТСКОЕ ПИТАНИЕ""")</f>
        <v>МП "ДЕТСКОЕ ПИТАНИЕ"</v>
      </c>
      <c r="B16113" s="24" t="s">
        <v>1562</v>
      </c>
      <c r="C16113" s="25">
        <v>284670</v>
      </c>
      <c r="D16113" s="22" t="s">
        <v>21123</v>
      </c>
      <c r="E16113" s="22" t="s">
        <v>3997</v>
      </c>
      <c r="F16113" s="23" t="str">
        <f>HYPERLINK("https://www.spark-marketing.ru/Card/Lot/71504847", "Лот №4. Поставка свеклы (для оказания услуг по организации питания в муниципальных бюджетных дошкольных учреждениях).")</f>
        <v>Лот №4. Поставка свеклы (для оказания услуг по организации питания в муниципальных бюджетных дошкольных учреждениях).</v>
      </c>
      <c r="G16113" s="22" t="s">
        <v>1522</v>
      </c>
      <c r="H16113" s="22" t="s">
        <v>1523</v>
      </c>
      <c r="I16113" s="26">
        <v>43635.707719907397</v>
      </c>
      <c r="J16113" s="28" t="s">
        <v>51</v>
      </c>
      <c r="K16113" s="28" t="s">
        <v>51</v>
      </c>
      <c r="L16113" s="22" t="s">
        <v>10</v>
      </c>
      <c r="M16113" s="25">
        <v>162000</v>
      </c>
      <c r="N16113" s="27">
        <v>0.43092001264622193</v>
      </c>
    </row>
    <row r="16114" spans="1:14" x14ac:dyDescent="0.15">
      <c r="A16114" s="23" t="str">
        <f>HYPERLINK("https://www.spark-marketing.ru/Card/Person/2049498", "РОССИЙСКАЯ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""РОССИЙСКАЯ АКАДЕМИЯ НАРОДНОГО ХОЗЯЙСТВА И ГОСУДАРСТВЕННОЙ ...")</f>
        <v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...</v>
      </c>
      <c r="B16114" s="24" t="s">
        <v>2235</v>
      </c>
      <c r="C16114" s="25">
        <v>213139.5</v>
      </c>
      <c r="D16114" s="22" t="s">
        <v>21129</v>
      </c>
      <c r="E16114" s="22" t="s">
        <v>362</v>
      </c>
      <c r="F16114" s="23" t="str">
        <f>HYPERLINK("https://www.spark-marketing.ru/Card/Lot/71501674", "Оказание услуг по организации питания участников IV Международного научного форума «Государственное управление: роль граждан в построении цифрового государства»")</f>
        <v>Оказание услуг по организации питания участников IV Международного научного форума «Государственное управление: роль граждан в построении цифрового государства»</v>
      </c>
      <c r="G16114" s="22" t="s">
        <v>117</v>
      </c>
      <c r="H16114" s="22" t="s">
        <v>117</v>
      </c>
      <c r="I16114" s="26">
        <v>43635.682881944398</v>
      </c>
      <c r="J16114" s="28" t="s">
        <v>51</v>
      </c>
      <c r="K16114" s="28" t="s">
        <v>51</v>
      </c>
      <c r="L16114" s="28" t="s">
        <v>51</v>
      </c>
      <c r="M16114" s="28" t="s">
        <v>51</v>
      </c>
      <c r="N16114" s="28" t="s">
        <v>51</v>
      </c>
    </row>
    <row r="16115" spans="1:14" x14ac:dyDescent="0.15">
      <c r="A16115" s="23" t="str">
        <f>HYPERLINK("https://www.spark-marketing.ru/Card/Person/28327", "ГБУЗ ""САРАКТАШСКАЯ РБ""")</f>
        <v>ГБУЗ "САРАКТАШСКАЯ РБ"</v>
      </c>
      <c r="B16115" s="24" t="s">
        <v>518</v>
      </c>
      <c r="C16115" s="25">
        <v>2140328.1</v>
      </c>
      <c r="D16115" s="22" t="s">
        <v>21130</v>
      </c>
      <c r="E16115" s="22" t="s">
        <v>809</v>
      </c>
      <c r="F16115" s="23" t="str">
        <f>HYPERLINK("https://www.spark-marketing.ru/Card/Lot/71500282", "на поставку автоматизированных рабочих мест (АРМ) и многофункциональных устройств (МФУ)")</f>
        <v>на поставку автоматизированных рабочих мест (АРМ) и многофункциональных устройств (МФУ)</v>
      </c>
      <c r="G16115" s="22" t="s">
        <v>132</v>
      </c>
      <c r="H16115" s="22" t="s">
        <v>520</v>
      </c>
      <c r="I16115" s="26">
        <v>43635.701388888898</v>
      </c>
      <c r="J16115" s="23" t="str">
        <f>HYPERLINK("https://www.spark-marketing.ru/Card/Person/117844", "ООО ""БСГ""")</f>
        <v>ООО "БСГ"</v>
      </c>
      <c r="K16115" s="24" t="s">
        <v>4855</v>
      </c>
      <c r="L16115" s="28" t="s">
        <v>51</v>
      </c>
      <c r="M16115" s="28" t="s">
        <v>51</v>
      </c>
      <c r="N16115" s="28" t="s">
        <v>51</v>
      </c>
    </row>
    <row r="16116" spans="1:14" ht="12.75" hidden="1" outlineLevel="1" x14ac:dyDescent="0.2">
      <c r="A16116" s="23" t="str">
        <f>HYPERLINK("https://www.spark-marketing.ru/Card/Person/28327", "ГБУЗ ""САРАКТАШСКАЯ РБ""")</f>
        <v>ГБУЗ "САРАКТАШСКАЯ РБ"</v>
      </c>
      <c r="B16116" s="24" t="s">
        <v>518</v>
      </c>
      <c r="C16116" s="25">
        <v>2140328.1</v>
      </c>
      <c r="D16116" s="22" t="s">
        <v>21130</v>
      </c>
      <c r="E16116" s="22" t="s">
        <v>809</v>
      </c>
      <c r="F16116" s="23" t="str">
        <f>HYPERLINK("https://www.spark-marketing.ru/Card/Lot/71500282", "на поставку автоматизированных рабочих мест (АРМ) и многофункциональных устройств (МФУ)")</f>
        <v>на поставку автоматизированных рабочих мест (АРМ) и многофункциональных устройств (МФУ)</v>
      </c>
      <c r="G16116" s="22" t="s">
        <v>132</v>
      </c>
      <c r="H16116" s="22" t="s">
        <v>520</v>
      </c>
      <c r="I16116" s="26">
        <v>43635.701388888898</v>
      </c>
      <c r="J16116" s="23" t="str">
        <f>HYPERLINK("https://www.spark-marketing.ru/Card/Person/117844", "ООО ""БСГ""")</f>
        <v>ООО "БСГ"</v>
      </c>
      <c r="K16116" s="24" t="s">
        <v>4855</v>
      </c>
      <c r="L16116" s="22" t="s">
        <v>10</v>
      </c>
      <c r="M16116" s="25">
        <v>2129626.4500000002</v>
      </c>
      <c r="N16116" s="27">
        <v>5.0000044385718244E-3</v>
      </c>
    </row>
    <row r="16117" spans="1:14" x14ac:dyDescent="0.2">
      <c r="A16117" s="23" t="str">
        <f>HYPERLINK("https://www.spark-marketing.ru/Card/Person/107537", "ТНЦ СО РАН")</f>
        <v>ТНЦ СО РАН</v>
      </c>
      <c r="B16117" s="24" t="s">
        <v>14373</v>
      </c>
      <c r="C16117" s="25">
        <v>615000</v>
      </c>
      <c r="D16117" s="22" t="s">
        <v>21131</v>
      </c>
      <c r="E16117" s="22" t="s">
        <v>2217</v>
      </c>
      <c r="F16117" s="23" t="str">
        <f>HYPERLINK("https://www.spark-marketing.ru/Card/Lot/71495277", "Оказание услуг общественного питания (поставка обедов и ужинов для проживающих в «Конгресс-Центре Рубин»).")</f>
        <v>Оказание услуг общественного питания (поставка обедов и ужинов для проживающих в «Конгресс-Центре Рубин»).</v>
      </c>
      <c r="G16117" s="22" t="s">
        <v>149</v>
      </c>
      <c r="H16117" s="22" t="s">
        <v>496</v>
      </c>
      <c r="I16117" s="26">
        <v>43635.680069444403</v>
      </c>
      <c r="J16117" s="28" t="s">
        <v>51</v>
      </c>
      <c r="K16117" s="28" t="s">
        <v>51</v>
      </c>
      <c r="L16117" s="22" t="s">
        <v>10</v>
      </c>
      <c r="M16117" s="25">
        <v>615000</v>
      </c>
      <c r="N16117" s="27">
        <v>0</v>
      </c>
    </row>
    <row r="16118" spans="1:14" x14ac:dyDescent="0.2">
      <c r="A16118" s="23" t="str">
        <f>HYPERLINK("https://www.spark-marketing.ru/Card/Person/10897", "КГБУЗ ККБ")</f>
        <v>КГБУЗ ККБ</v>
      </c>
      <c r="B16118" s="24" t="s">
        <v>1786</v>
      </c>
      <c r="C16118" s="25">
        <v>252000</v>
      </c>
      <c r="D16118" s="22" t="s">
        <v>21132</v>
      </c>
      <c r="E16118" s="22" t="s">
        <v>362</v>
      </c>
      <c r="F16118" s="23" t="str">
        <f>HYPERLINK("https://www.spark-marketing.ru/Card/Lot/71492181", "№ ЕК99-19 на оказание услуг по организации питания")</f>
        <v>№ ЕК99-19 на оказание услуг по организации питания</v>
      </c>
      <c r="G16118" s="22" t="s">
        <v>281</v>
      </c>
      <c r="H16118" s="22" t="s">
        <v>281</v>
      </c>
      <c r="I16118" s="26">
        <v>43635.677106481497</v>
      </c>
      <c r="J16118" s="23" t="str">
        <f>HYPERLINK("https://www.spark-marketing.ru/Card/Person/193885", "ООО ""ТАКМАК ОТЕЛЬ 2008""")</f>
        <v>ООО "ТАКМАК ОТЕЛЬ 2008"</v>
      </c>
      <c r="K16118" s="24" t="s">
        <v>21133</v>
      </c>
      <c r="L16118" s="28" t="s">
        <v>51</v>
      </c>
      <c r="M16118" s="25">
        <v>252000</v>
      </c>
      <c r="N16118" s="27">
        <v>0</v>
      </c>
    </row>
    <row r="16119" spans="1:14" x14ac:dyDescent="0.15">
      <c r="A16119" s="23" t="str">
        <f>HYPERLINK("https://www.spark-marketing.ru/Card/Person/46774", "МБОУ СОШ № 21 ГОРОДА СТАВРОПОЛЯ")</f>
        <v>МБОУ СОШ № 21 ГОРОДА СТАВРОПОЛЯ</v>
      </c>
      <c r="B16119" s="24" t="s">
        <v>21134</v>
      </c>
      <c r="C16119" s="25">
        <v>638400</v>
      </c>
      <c r="D16119" s="22" t="s">
        <v>21135</v>
      </c>
      <c r="E16119" s="22" t="s">
        <v>48</v>
      </c>
      <c r="F16119" s="23" t="str">
        <f>HYPERLINK("https://www.spark-marketing.ru/Card/Lot/71511774", "Услуги по организации питания учащихся МБОУ СОШ № 21 города Ставрополя в сентябре-декабре 2019 года")</f>
        <v>Услуги по организации питания учащихся МБОУ СОШ № 21 города Ставрополя в сентябре-декабре 2019 года</v>
      </c>
      <c r="G16119" s="22" t="s">
        <v>87</v>
      </c>
      <c r="H16119" s="22" t="s">
        <v>87</v>
      </c>
      <c r="I16119" s="26">
        <v>43635.691666666702</v>
      </c>
      <c r="J16119" s="23" t="str">
        <f>HYPERLINK("https://www.spark-marketing.ru/Card/Person/213142", "Звягина Надежда Ильинична")</f>
        <v>Звягина Надежда Ильинична</v>
      </c>
      <c r="K16119" s="24" t="s">
        <v>12311</v>
      </c>
      <c r="L16119" s="22" t="s">
        <v>10</v>
      </c>
      <c r="M16119" s="28" t="s">
        <v>51</v>
      </c>
      <c r="N16119" s="28" t="s">
        <v>51</v>
      </c>
    </row>
    <row r="16120" spans="1:14" x14ac:dyDescent="0.15">
      <c r="A16120" s="23" t="str">
        <f>HYPERLINK("https://www.spark-marketing.ru/Card/Person/1040687", "МБОУ СОШ №37 Г. СТАВРОПОЛЯ")</f>
        <v>МБОУ СОШ №37 Г. СТАВРОПОЛЯ</v>
      </c>
      <c r="B16120" s="24" t="s">
        <v>21136</v>
      </c>
      <c r="C16120" s="25">
        <v>550880</v>
      </c>
      <c r="D16120" s="22" t="s">
        <v>21137</v>
      </c>
      <c r="E16120" s="22" t="s">
        <v>48</v>
      </c>
      <c r="F16120" s="23" t="str">
        <f>HYPERLINK("https://www.spark-marketing.ru/Card/Lot/71511311", "Услуги по организации питания учащихся МБОУ СОШ №37 г. Ставрополя в сентябре-декабре 2019 года")</f>
        <v>Услуги по организации питания учащихся МБОУ СОШ №37 г. Ставрополя в сентябре-декабре 2019 года</v>
      </c>
      <c r="G16120" s="22" t="s">
        <v>87</v>
      </c>
      <c r="H16120" s="22" t="s">
        <v>87</v>
      </c>
      <c r="I16120" s="26">
        <v>43635.690972222197</v>
      </c>
      <c r="J16120" s="23" t="str">
        <f>HYPERLINK("https://www.spark-marketing.ru/Card/Person/217327", "Карпачев Валерий Борисович")</f>
        <v>Карпачев Валерий Борисович</v>
      </c>
      <c r="K16120" s="24" t="s">
        <v>19656</v>
      </c>
      <c r="L16120" s="22" t="s">
        <v>10</v>
      </c>
      <c r="M16120" s="28" t="s">
        <v>51</v>
      </c>
      <c r="N16120" s="28" t="s">
        <v>51</v>
      </c>
    </row>
    <row r="16121" spans="1:14" x14ac:dyDescent="0.15">
      <c r="A16121" s="23" t="str">
        <f>HYPERLINK("https://www.spark-marketing.ru/Card/Person/1778529", "КГАУ ЦСПСКХК")</f>
        <v>КГАУ ЦСПСКХК</v>
      </c>
      <c r="B16121" s="24" t="s">
        <v>5909</v>
      </c>
      <c r="C16121" s="25">
        <v>218400</v>
      </c>
      <c r="D16121" s="22" t="s">
        <v>21138</v>
      </c>
      <c r="E16121" s="22" t="s">
        <v>2273</v>
      </c>
      <c r="F16121" s="23" t="str">
        <f>HYPERLINK("https://www.spark-marketing.ru/Card/Lot/71486311", "Оказание услуг по организации 3-х разового питания участников II этапа соревнований по баскетболу (юноши) IX летней Спартакиады учащихся (юношеская) России 2019 года")</f>
        <v>Оказание услуг по организации 3-х разового питания участников II этапа соревнований по баскетболу (юноши) IX летней Спартакиады учащихся (юношеская) России 2019 года</v>
      </c>
      <c r="G16121" s="22" t="s">
        <v>1096</v>
      </c>
      <c r="H16121" s="22" t="s">
        <v>1096</v>
      </c>
      <c r="I16121" s="26">
        <v>43635.670358796298</v>
      </c>
      <c r="J16121" s="28" t="s">
        <v>51</v>
      </c>
      <c r="K16121" s="28" t="s">
        <v>51</v>
      </c>
      <c r="L16121" s="28" t="s">
        <v>51</v>
      </c>
      <c r="M16121" s="28" t="s">
        <v>51</v>
      </c>
      <c r="N16121" s="28" t="s">
        <v>51</v>
      </c>
    </row>
    <row r="16122" spans="1:14" x14ac:dyDescent="0.15">
      <c r="A16122" s="23" t="str">
        <f>HYPERLINK("https://www.spark-marketing.ru/Card/Person/4864894", "ГАПОУ ПО ПКАС")</f>
        <v>ГАПОУ ПО ПКАС</v>
      </c>
      <c r="B16122" s="24" t="s">
        <v>7743</v>
      </c>
      <c r="C16122" s="25">
        <v>1353894</v>
      </c>
      <c r="D16122" s="22" t="s">
        <v>21139</v>
      </c>
      <c r="E16122" s="22" t="s">
        <v>362</v>
      </c>
      <c r="F16122" s="23" t="str">
        <f>HYPERLINK("https://www.spark-marketing.ru/Card/Lot/71502409", "Оказание услуг по организации горячего питания обучающихся в ГАПОУ ПО ПКАС сентябрь - ноябрь 2019 года")</f>
        <v>Оказание услуг по организации горячего питания обучающихся в ГАПОУ ПО ПКАС сентябрь - ноябрь 2019 года</v>
      </c>
      <c r="G16122" s="22" t="s">
        <v>72</v>
      </c>
      <c r="H16122" s="22" t="s">
        <v>72</v>
      </c>
      <c r="I16122" s="26">
        <v>43635.673935185201</v>
      </c>
      <c r="J16122" s="28" t="s">
        <v>51</v>
      </c>
      <c r="K16122" s="28" t="s">
        <v>51</v>
      </c>
      <c r="L16122" s="28" t="s">
        <v>51</v>
      </c>
      <c r="M16122" s="28" t="s">
        <v>51</v>
      </c>
      <c r="N16122" s="28" t="s">
        <v>51</v>
      </c>
    </row>
    <row r="16123" spans="1:14" x14ac:dyDescent="0.15">
      <c r="A16123" s="23" t="str">
        <f>HYPERLINK("https://www.spark-marketing.ru/Card/Person/1044524", "МБОУ ГИМНАЗИЯ № 9 Г.СТАВРОПОЛЯ")</f>
        <v>МБОУ ГИМНАЗИЯ № 9 Г.СТАВРОПОЛЯ</v>
      </c>
      <c r="B16123" s="24" t="s">
        <v>21140</v>
      </c>
      <c r="C16123" s="25">
        <v>697767</v>
      </c>
      <c r="D16123" s="22" t="s">
        <v>21141</v>
      </c>
      <c r="E16123" s="22" t="s">
        <v>48</v>
      </c>
      <c r="F16123" s="23" t="str">
        <f>HYPERLINK("https://www.spark-marketing.ru/Card/Lot/71512364", "Услуги по организации питания учащихся МБОУ гимназии № 9 г.Ставрополя в сентябре-декабре 2019 года")</f>
        <v>Услуги по организации питания учащихся МБОУ гимназии № 9 г.Ставрополя в сентябре-декабре 2019 года</v>
      </c>
      <c r="G16123" s="22" t="s">
        <v>87</v>
      </c>
      <c r="H16123" s="22" t="s">
        <v>87</v>
      </c>
      <c r="I16123" s="26">
        <v>43635.6340277778</v>
      </c>
      <c r="J16123" s="23" t="str">
        <f>HYPERLINK("https://www.spark-marketing.ru/Card/Person/217327", "Карпачев Валерий Борисович")</f>
        <v>Карпачев Валерий Борисович</v>
      </c>
      <c r="K16123" s="24" t="s">
        <v>19656</v>
      </c>
      <c r="L16123" s="22" t="s">
        <v>10</v>
      </c>
      <c r="M16123" s="28" t="s">
        <v>51</v>
      </c>
      <c r="N16123" s="28" t="s">
        <v>51</v>
      </c>
    </row>
    <row r="16124" spans="1:14" x14ac:dyDescent="0.15">
      <c r="A16124" s="23" t="str">
        <f>HYPERLINK("https://www.spark-marketing.ru/Card/Person/56360", "УПРАВЛЕНИЕ МВД РОССИИ ПО ГОРОДУ ВОЛЖСКОМУ")</f>
        <v>УПРАВЛЕНИЕ МВД РОССИИ ПО ГОРОДУ ВОЛЖСКОМУ</v>
      </c>
      <c r="B16124" s="24" t="s">
        <v>8215</v>
      </c>
      <c r="C16124" s="25">
        <v>601165.94999999995</v>
      </c>
      <c r="D16124" s="22" t="s">
        <v>21142</v>
      </c>
      <c r="E16124" s="22" t="s">
        <v>48</v>
      </c>
      <c r="F16124" s="23" t="str">
        <f>HYPERLINK("https://www.spark-marketing.ru/Card/Lot/71511629", "Услуги по организации комплексного питания лиц, подвергнутых административному аресту, лиц содержащихся в изоляторе временного содержания подозреваемых и обвиняемых, а также лиц содержащихся в камерах для административного задержанных Управления МВД ...")</f>
        <v>Услуги по организации комплексного питания лиц, подвергнутых административному аресту, лиц содержащихся в изоляторе временного содержания подозреваемых и обвиняемых, а также лиц содержащихся в камерах для административного задержанных Управления МВД ...</v>
      </c>
      <c r="G16124" s="22" t="s">
        <v>158</v>
      </c>
      <c r="H16124" s="22" t="s">
        <v>1380</v>
      </c>
      <c r="I16124" s="26">
        <v>43635.663194444402</v>
      </c>
      <c r="J16124" s="28" t="s">
        <v>51</v>
      </c>
      <c r="K16124" s="28" t="s">
        <v>51</v>
      </c>
      <c r="L16124" s="28" t="s">
        <v>51</v>
      </c>
      <c r="M16124" s="28" t="s">
        <v>51</v>
      </c>
      <c r="N16124" s="28" t="s">
        <v>51</v>
      </c>
    </row>
    <row r="16125" spans="1:14" ht="12.75" hidden="1" outlineLevel="1" x14ac:dyDescent="0.2">
      <c r="A16125" s="23" t="str">
        <f>HYPERLINK("https://www.spark-marketing.ru/Card/Person/56360", "УПРАВЛЕНИЕ МВД РОССИИ ПО ГОРОДУ ВОЛЖСКОМУ")</f>
        <v>УПРАВЛЕНИЕ МВД РОССИИ ПО ГОРОДУ ВОЛЖСКОМУ</v>
      </c>
      <c r="B16125" s="24" t="s">
        <v>8215</v>
      </c>
      <c r="C16125" s="25">
        <v>601165.94999999995</v>
      </c>
      <c r="D16125" s="22" t="s">
        <v>21142</v>
      </c>
      <c r="E16125" s="22" t="s">
        <v>48</v>
      </c>
      <c r="F16125" s="23" t="str">
        <f>HYPERLINK("https://www.spark-marketing.ru/Card/Lot/71511629", "Услуги по организации комплексного питания лиц, подвергнутых административному аресту, лиц содержащихся в изоляторе временного содержания подозреваемых и обвиняемых, а также лиц содержащихся в камерах для административного задержанных Управления МВД ...")</f>
        <v>Услуги по организации комплексного питания лиц, подвергнутых административному аресту, лиц содержащихся в изоляторе временного содержания подозреваемых и обвиняемых, а также лиц содержащихся в камерах для административного задержанных Управления МВД ...</v>
      </c>
      <c r="G16125" s="22" t="s">
        <v>158</v>
      </c>
      <c r="H16125" s="22" t="s">
        <v>1380</v>
      </c>
      <c r="I16125" s="26">
        <v>43635.663194444402</v>
      </c>
      <c r="J16125" s="23" t="str">
        <f>HYPERLINK("https://www.spark-marketing.ru/Card/Person/56423", "ООО ""ВОЛГАСЕРВИСПРОДУКТ""")</f>
        <v>ООО "ВОЛГАСЕРВИСПРОДУКТ"</v>
      </c>
      <c r="K16125" s="24" t="s">
        <v>3035</v>
      </c>
      <c r="L16125" s="22" t="s">
        <v>10</v>
      </c>
      <c r="M16125" s="25">
        <v>562090.16</v>
      </c>
      <c r="N16125" s="27">
        <v>6.5000005406161146E-2</v>
      </c>
    </row>
    <row r="16126" spans="1:14" hidden="1" outlineLevel="1" x14ac:dyDescent="0.2">
      <c r="A16126" s="23" t="str">
        <f>HYPERLINK("https://www.spark-marketing.ru/Card/Person/56360", "УПРАВЛЕНИЕ МВД РОССИИ ПО ГОРОДУ ВОЛЖСКОМУ")</f>
        <v>УПРАВЛЕНИЕ МВД РОССИИ ПО ГОРОДУ ВОЛЖСКОМУ</v>
      </c>
      <c r="B16126" s="24" t="s">
        <v>8215</v>
      </c>
      <c r="C16126" s="25">
        <v>601165.94999999995</v>
      </c>
      <c r="D16126" s="22" t="s">
        <v>21142</v>
      </c>
      <c r="E16126" s="22" t="s">
        <v>48</v>
      </c>
      <c r="F16126" s="23" t="str">
        <f>HYPERLINK("https://www.spark-marketing.ru/Card/Lot/71511629", "Услуги по организации комплексного питания лиц, подвергнутых административному аресту, лиц содержащихся в изоляторе временного содержания подозреваемых и обвиняемых, а также лиц содержащихся в камерах для административного задержанных Управления МВД ...")</f>
        <v>Услуги по организации комплексного питания лиц, подвергнутых административному аресту, лиц содержащихся в изоляторе временного содержания подозреваемых и обвиняемых, а также лиц содержащихся в камерах для административного задержанных Управления МВД ...</v>
      </c>
      <c r="G16126" s="22" t="s">
        <v>158</v>
      </c>
      <c r="H16126" s="22" t="s">
        <v>1380</v>
      </c>
      <c r="I16126" s="26">
        <v>43635.663194444402</v>
      </c>
      <c r="J16126" s="23" t="str">
        <f>HYPERLINK("https://www.spark-marketing.ru/Card/Person/6004127", "ООО ""АГРОМАШСТРОЙ""")</f>
        <v>ООО "АГРОМАШСТРОЙ"</v>
      </c>
      <c r="K16126" s="24" t="s">
        <v>21143</v>
      </c>
      <c r="L16126" s="28" t="s">
        <v>51</v>
      </c>
      <c r="M16126" s="25">
        <v>562090.16</v>
      </c>
      <c r="N16126" s="27">
        <v>6.5000005406161146E-2</v>
      </c>
    </row>
    <row r="16127" spans="1:14" hidden="1" outlineLevel="1" x14ac:dyDescent="0.2">
      <c r="A16127" s="23" t="str">
        <f>HYPERLINK("https://www.spark-marketing.ru/Card/Person/56360", "УПРАВЛЕНИЕ МВД РОССИИ ПО ГОРОДУ ВОЛЖСКОМУ")</f>
        <v>УПРАВЛЕНИЕ МВД РОССИИ ПО ГОРОДУ ВОЛЖСКОМУ</v>
      </c>
      <c r="B16127" s="24" t="s">
        <v>8215</v>
      </c>
      <c r="C16127" s="25">
        <v>601165.94999999995</v>
      </c>
      <c r="D16127" s="22" t="s">
        <v>21142</v>
      </c>
      <c r="E16127" s="22" t="s">
        <v>48</v>
      </c>
      <c r="F16127" s="23" t="str">
        <f>HYPERLINK("https://www.spark-marketing.ru/Card/Lot/71511629", "Услуги по организации комплексного питания лиц, подвергнутых административному аресту, лиц содержащихся в изоляторе временного содержания подозреваемых и обвиняемых, а также лиц содержащихся в камерах для административного задержанных Управления МВД ...")</f>
        <v>Услуги по организации комплексного питания лиц, подвергнутых административному аресту, лиц содержащихся в изоляторе временного содержания подозреваемых и обвиняемых, а также лиц содержащихся в камерах для административного задержанных Управления МВД ...</v>
      </c>
      <c r="G16127" s="22" t="s">
        <v>158</v>
      </c>
      <c r="H16127" s="22" t="s">
        <v>1380</v>
      </c>
      <c r="I16127" s="26">
        <v>43635.663194444402</v>
      </c>
      <c r="J16127" s="23" t="str">
        <f>HYPERLINK("https://www.spark-marketing.ru/Card/Person/6623938", "ООО ""ВЕКТОР""")</f>
        <v>ООО "ВЕКТОР"</v>
      </c>
      <c r="K16127" s="24" t="s">
        <v>10247</v>
      </c>
      <c r="L16127" s="28" t="s">
        <v>51</v>
      </c>
      <c r="M16127" s="25">
        <v>562090.16</v>
      </c>
      <c r="N16127" s="27">
        <v>6.5000005406161146E-2</v>
      </c>
    </row>
    <row r="16128" spans="1:14" x14ac:dyDescent="0.15">
      <c r="A16128" s="23" t="str">
        <f>HYPERLINK("https://www.spark-marketing.ru/Card/Person/1359819", "МАОУ КШ № 3 Г. ИШИМА")</f>
        <v>МАОУ КШ № 3 Г. ИШИМА</v>
      </c>
      <c r="B16128" s="24" t="s">
        <v>21144</v>
      </c>
      <c r="C16128" s="25">
        <v>192150</v>
      </c>
      <c r="D16128" s="22" t="s">
        <v>21145</v>
      </c>
      <c r="E16128" s="22" t="s">
        <v>362</v>
      </c>
      <c r="F16128" s="23" t="str">
        <f>HYPERLINK("https://www.spark-marketing.ru/Card/Lot/71496226", "Оказание услуг по организации питания обучающихся на базе МАОУ КШ № 3 г. Ишима")</f>
        <v>Оказание услуг по организации питания обучающихся на базе МАОУ КШ № 3 г. Ишима</v>
      </c>
      <c r="G16128" s="22" t="s">
        <v>766</v>
      </c>
      <c r="H16128" s="22" t="s">
        <v>766</v>
      </c>
      <c r="I16128" s="26">
        <v>43635.647037037001</v>
      </c>
      <c r="J16128" s="28" t="s">
        <v>51</v>
      </c>
      <c r="K16128" s="28" t="s">
        <v>51</v>
      </c>
      <c r="L16128" s="28" t="s">
        <v>51</v>
      </c>
      <c r="M16128" s="28" t="s">
        <v>51</v>
      </c>
      <c r="N16128" s="28" t="s">
        <v>51</v>
      </c>
    </row>
    <row r="16129" spans="1:14" x14ac:dyDescent="0.15">
      <c r="A16129" s="23" t="str">
        <f>HYPERLINK("https://www.spark-marketing.ru/Card/Person/1752680", "КОМИТЕТ ПО КУЛЬТУРЕ И СПОРТУ ТАЛДОМСКОГО ГОРОДСКОГО ОКРУГА")</f>
        <v>КОМИТЕТ ПО КУЛЬТУРЕ И СПОРТУ ТАЛДОМСКОГО ГОРОДСКОГО ОКРУГА</v>
      </c>
      <c r="B16129" s="24" t="s">
        <v>15037</v>
      </c>
      <c r="C16129" s="25">
        <v>65240</v>
      </c>
      <c r="D16129" s="22" t="s">
        <v>21146</v>
      </c>
      <c r="E16129" s="22" t="s">
        <v>48</v>
      </c>
      <c r="F16129" s="23" t="str">
        <f>HYPERLINK("https://www.spark-marketing.ru/Card/Lot/71500792", "Услуги по организации питания участников юнармейского слета для нужд Комитета по культуре, физической культуре, спорту, туризму и работе с молодёжью")</f>
        <v>Услуги по организации питания участников юнармейского слета для нужд Комитета по культуре, физической культуре, спорту, туризму и работе с молодёжью</v>
      </c>
      <c r="G16129" s="22" t="s">
        <v>49</v>
      </c>
      <c r="H16129" s="22" t="s">
        <v>8877</v>
      </c>
      <c r="I16129" s="26">
        <v>43635.648657407401</v>
      </c>
      <c r="J16129" s="28" t="s">
        <v>51</v>
      </c>
      <c r="K16129" s="28" t="s">
        <v>51</v>
      </c>
      <c r="L16129" s="28" t="s">
        <v>51</v>
      </c>
      <c r="M16129" s="28" t="s">
        <v>51</v>
      </c>
      <c r="N16129" s="28" t="s">
        <v>51</v>
      </c>
    </row>
    <row r="16130" spans="1:14" x14ac:dyDescent="0.15">
      <c r="A16130" s="23" t="str">
        <f>HYPERLINK("https://www.spark-marketing.ru/Card/Person/1041217", "МБОУ ГИМНАЗИЯ № 30 Г. СТАВРОПОЛЯ")</f>
        <v>МБОУ ГИМНАЗИЯ № 30 Г. СТАВРОПОЛЯ</v>
      </c>
      <c r="B16130" s="24" t="s">
        <v>21147</v>
      </c>
      <c r="C16130" s="25">
        <v>959730</v>
      </c>
      <c r="D16130" s="22" t="s">
        <v>21148</v>
      </c>
      <c r="E16130" s="22" t="s">
        <v>48</v>
      </c>
      <c r="F16130" s="23" t="str">
        <f>HYPERLINK("https://www.spark-marketing.ru/Card/Lot/71513127", "Услуги по организации питания учащихся МБОУ гимназии № 30 г.Ставрополя в сентябре-декабре 2019 года")</f>
        <v>Услуги по организации питания учащихся МБОУ гимназии № 30 г.Ставрополя в сентябре-декабре 2019 года</v>
      </c>
      <c r="G16130" s="22" t="s">
        <v>87</v>
      </c>
      <c r="H16130" s="22" t="s">
        <v>87</v>
      </c>
      <c r="I16130" s="26">
        <v>43635.633333333302</v>
      </c>
      <c r="J16130" s="23" t="str">
        <f>HYPERLINK("https://www.spark-marketing.ru/Card/Person/217327", "Карпачев Валерий Борисович")</f>
        <v>Карпачев Валерий Борисович</v>
      </c>
      <c r="K16130" s="24" t="s">
        <v>19656</v>
      </c>
      <c r="L16130" s="22" t="s">
        <v>10</v>
      </c>
      <c r="M16130" s="28" t="s">
        <v>51</v>
      </c>
      <c r="N16130" s="28" t="s">
        <v>51</v>
      </c>
    </row>
    <row r="16131" spans="1:14" x14ac:dyDescent="0.15">
      <c r="A16131" s="23" t="str">
        <f t="shared" ref="A16131:A16139" si="549">HYPERLINK("https://www.spark-marketing.ru/Card/Person/49805", "УПРАВЛЕНИЕ ДЕЛАМИ АДМИНИСТРАЦИИ ЛИПЕЦКОЙ ОБЛАСТИ")</f>
        <v>УПРАВЛЕНИЕ ДЕЛАМИ АДМИНИСТРАЦИИ ЛИПЕЦКОЙ ОБЛАСТИ</v>
      </c>
      <c r="B16131" s="24" t="s">
        <v>21149</v>
      </c>
      <c r="C16131" s="25">
        <v>127820</v>
      </c>
      <c r="D16131" s="22" t="s">
        <v>21150</v>
      </c>
      <c r="E16131" s="22" t="s">
        <v>1807</v>
      </c>
      <c r="F16131" s="23" t="str">
        <f t="shared" ref="F16131:F16139" si="550">HYPERLINK("https://www.spark-marketing.ru/Card/Lot/71509275", "Работы по изготовлению и печати раздаточного материала (листовок) в целях популяризации электронных услуг на территории Липецкой области")</f>
        <v>Работы по изготовлению и печати раздаточного материала (листовок) в целях популяризации электронных услуг на территории Липецкой области</v>
      </c>
      <c r="G16131" s="22" t="s">
        <v>101</v>
      </c>
      <c r="H16131" s="22" t="s">
        <v>728</v>
      </c>
      <c r="I16131" s="26">
        <v>43635.629166666702</v>
      </c>
      <c r="J16131" s="28" t="s">
        <v>51</v>
      </c>
      <c r="K16131" s="28" t="s">
        <v>51</v>
      </c>
      <c r="L16131" s="28" t="s">
        <v>51</v>
      </c>
      <c r="M16131" s="28" t="s">
        <v>51</v>
      </c>
      <c r="N16131" s="28" t="s">
        <v>51</v>
      </c>
    </row>
    <row r="16132" spans="1:14" hidden="1" outlineLevel="1" x14ac:dyDescent="0.2">
      <c r="A16132" s="23" t="str">
        <f t="shared" si="549"/>
        <v>УПРАВЛЕНИЕ ДЕЛАМИ АДМИНИСТРАЦИИ ЛИПЕЦКОЙ ОБЛАСТИ</v>
      </c>
      <c r="B16132" s="24" t="s">
        <v>21149</v>
      </c>
      <c r="C16132" s="25">
        <v>127820</v>
      </c>
      <c r="D16132" s="22" t="s">
        <v>21150</v>
      </c>
      <c r="E16132" s="22" t="s">
        <v>1807</v>
      </c>
      <c r="F16132" s="23" t="str">
        <f t="shared" si="550"/>
        <v>Работы по изготовлению и печати раздаточного материала (листовок) в целях популяризации электронных услуг на территории Липецкой области</v>
      </c>
      <c r="G16132" s="22" t="s">
        <v>101</v>
      </c>
      <c r="H16132" s="22" t="s">
        <v>728</v>
      </c>
      <c r="I16132" s="26">
        <v>43635.629166666702</v>
      </c>
      <c r="J16132" s="23" t="str">
        <f>HYPERLINK("https://www.spark-marketing.ru/Card/Person/374683", "ООО ""ЛПЦ""")</f>
        <v>ООО "ЛПЦ"</v>
      </c>
      <c r="K16132" s="24" t="s">
        <v>21151</v>
      </c>
      <c r="L16132" s="28" t="s">
        <v>51</v>
      </c>
      <c r="M16132" s="25">
        <v>94582.7</v>
      </c>
      <c r="N16132" s="27">
        <v>0.26003207635737757</v>
      </c>
    </row>
    <row r="16133" spans="1:14" hidden="1" outlineLevel="1" x14ac:dyDescent="0.2">
      <c r="A16133" s="23" t="str">
        <f t="shared" si="549"/>
        <v>УПРАВЛЕНИЕ ДЕЛАМИ АДМИНИСТРАЦИИ ЛИПЕЦКОЙ ОБЛАСТИ</v>
      </c>
      <c r="B16133" s="24" t="s">
        <v>21149</v>
      </c>
      <c r="C16133" s="25">
        <v>127820</v>
      </c>
      <c r="D16133" s="22" t="s">
        <v>21150</v>
      </c>
      <c r="E16133" s="22" t="s">
        <v>1807</v>
      </c>
      <c r="F16133" s="23" t="str">
        <f t="shared" si="550"/>
        <v>Работы по изготовлению и печати раздаточного материала (листовок) в целях популяризации электронных услуг на территории Липецкой области</v>
      </c>
      <c r="G16133" s="22" t="s">
        <v>101</v>
      </c>
      <c r="H16133" s="22" t="s">
        <v>728</v>
      </c>
      <c r="I16133" s="26">
        <v>43635.629166666702</v>
      </c>
      <c r="J16133" s="23" t="str">
        <f>HYPERLINK("https://www.spark-marketing.ru/Card/Person/6510717", "ООО ""ПЕЧАТНЫЙ ДОМ СПЭ""")</f>
        <v>ООО "ПЕЧАТНЫЙ ДОМ СПЭ"</v>
      </c>
      <c r="K16133" s="24" t="s">
        <v>21152</v>
      </c>
      <c r="L16133" s="28" t="s">
        <v>51</v>
      </c>
      <c r="M16133" s="25">
        <v>59256.959999999999</v>
      </c>
      <c r="N16133" s="27">
        <v>0.53640306681270533</v>
      </c>
    </row>
    <row r="16134" spans="1:14" hidden="1" outlineLevel="1" x14ac:dyDescent="0.2">
      <c r="A16134" s="23" t="str">
        <f t="shared" si="549"/>
        <v>УПРАВЛЕНИЕ ДЕЛАМИ АДМИНИСТРАЦИИ ЛИПЕЦКОЙ ОБЛАСТИ</v>
      </c>
      <c r="B16134" s="24" t="s">
        <v>21149</v>
      </c>
      <c r="C16134" s="25">
        <v>127820</v>
      </c>
      <c r="D16134" s="22" t="s">
        <v>21150</v>
      </c>
      <c r="E16134" s="22" t="s">
        <v>1807</v>
      </c>
      <c r="F16134" s="23" t="str">
        <f t="shared" si="550"/>
        <v>Работы по изготовлению и печати раздаточного материала (листовок) в целях популяризации электронных услуг на территории Липецкой области</v>
      </c>
      <c r="G16134" s="22" t="s">
        <v>101</v>
      </c>
      <c r="H16134" s="22" t="s">
        <v>728</v>
      </c>
      <c r="I16134" s="26">
        <v>43635.629166666702</v>
      </c>
      <c r="J16134" s="23" t="str">
        <f>HYPERLINK("https://www.spark-marketing.ru/Card/Person/375382", "ООО ""ВЕДА СОЦИУМ""")</f>
        <v>ООО "ВЕДА СОЦИУМ"</v>
      </c>
      <c r="K16134" s="24" t="s">
        <v>21153</v>
      </c>
      <c r="L16134" s="28" t="s">
        <v>51</v>
      </c>
      <c r="M16134" s="25">
        <v>60000</v>
      </c>
      <c r="N16134" s="27">
        <v>0.53058989203567519</v>
      </c>
    </row>
    <row r="16135" spans="1:14" ht="12.75" hidden="1" outlineLevel="1" x14ac:dyDescent="0.2">
      <c r="A16135" s="23" t="str">
        <f t="shared" si="549"/>
        <v>УПРАВЛЕНИЕ ДЕЛАМИ АДМИНИСТРАЦИИ ЛИПЕЦКОЙ ОБЛАСТИ</v>
      </c>
      <c r="B16135" s="24" t="s">
        <v>21149</v>
      </c>
      <c r="C16135" s="25">
        <v>127820</v>
      </c>
      <c r="D16135" s="22" t="s">
        <v>21150</v>
      </c>
      <c r="E16135" s="22" t="s">
        <v>1807</v>
      </c>
      <c r="F16135" s="23" t="str">
        <f t="shared" si="550"/>
        <v>Работы по изготовлению и печати раздаточного материала (листовок) в целях популяризации электронных услуг на территории Липецкой области</v>
      </c>
      <c r="G16135" s="22" t="s">
        <v>101</v>
      </c>
      <c r="H16135" s="22" t="s">
        <v>728</v>
      </c>
      <c r="I16135" s="26">
        <v>43635.629166666702</v>
      </c>
      <c r="J16135" s="23" t="str">
        <f>HYPERLINK("https://www.spark-marketing.ru/Card/Person/148311", "ООО ""АЛЕКС ПРИНТ""")</f>
        <v>ООО "АЛЕКС ПРИНТ"</v>
      </c>
      <c r="K16135" s="24" t="s">
        <v>15555</v>
      </c>
      <c r="L16135" s="22" t="s">
        <v>10</v>
      </c>
      <c r="M16135" s="25">
        <v>41581.49</v>
      </c>
      <c r="N16135" s="27">
        <v>0.67468713816304182</v>
      </c>
    </row>
    <row r="16136" spans="1:14" hidden="1" outlineLevel="1" x14ac:dyDescent="0.2">
      <c r="A16136" s="23" t="str">
        <f t="shared" si="549"/>
        <v>УПРАВЛЕНИЕ ДЕЛАМИ АДМИНИСТРАЦИИ ЛИПЕЦКОЙ ОБЛАСТИ</v>
      </c>
      <c r="B16136" s="24" t="s">
        <v>21149</v>
      </c>
      <c r="C16136" s="25">
        <v>127820</v>
      </c>
      <c r="D16136" s="22" t="s">
        <v>21150</v>
      </c>
      <c r="E16136" s="22" t="s">
        <v>1807</v>
      </c>
      <c r="F16136" s="23" t="str">
        <f t="shared" si="550"/>
        <v>Работы по изготовлению и печати раздаточного материала (листовок) в целях популяризации электронных услуг на территории Липецкой области</v>
      </c>
      <c r="G16136" s="22" t="s">
        <v>101</v>
      </c>
      <c r="H16136" s="22" t="s">
        <v>728</v>
      </c>
      <c r="I16136" s="26">
        <v>43635.629166666702</v>
      </c>
      <c r="J16136" s="23" t="str">
        <f>HYPERLINK("https://www.spark-marketing.ru/Card/Person/6085898", "ООО ""КОПИРКА СПБ""")</f>
        <v>ООО "КОПИРКА СПБ"</v>
      </c>
      <c r="K16136" s="24" t="s">
        <v>21154</v>
      </c>
      <c r="L16136" s="28" t="s">
        <v>51</v>
      </c>
      <c r="M16136" s="25">
        <v>75000</v>
      </c>
      <c r="N16136" s="27">
        <v>0.41323736504459396</v>
      </c>
    </row>
    <row r="16137" spans="1:14" hidden="1" outlineLevel="1" x14ac:dyDescent="0.2">
      <c r="A16137" s="23" t="str">
        <f t="shared" si="549"/>
        <v>УПРАВЛЕНИЕ ДЕЛАМИ АДМИНИСТРАЦИИ ЛИПЕЦКОЙ ОБЛАСТИ</v>
      </c>
      <c r="B16137" s="24" t="s">
        <v>21149</v>
      </c>
      <c r="C16137" s="25">
        <v>127820</v>
      </c>
      <c r="D16137" s="22" t="s">
        <v>21150</v>
      </c>
      <c r="E16137" s="22" t="s">
        <v>1807</v>
      </c>
      <c r="F16137" s="23" t="str">
        <f t="shared" si="550"/>
        <v>Работы по изготовлению и печати раздаточного материала (листовок) в целях популяризации электронных услуг на территории Липецкой области</v>
      </c>
      <c r="G16137" s="22" t="s">
        <v>101</v>
      </c>
      <c r="H16137" s="22" t="s">
        <v>728</v>
      </c>
      <c r="I16137" s="26">
        <v>43635.629166666702</v>
      </c>
      <c r="J16137" s="23" t="str">
        <f>HYPERLINK("https://www.spark-marketing.ru/Card/Person/6501181", "ООО ""МИР""")</f>
        <v>ООО "МИР"</v>
      </c>
      <c r="K16137" s="24" t="s">
        <v>8275</v>
      </c>
      <c r="L16137" s="28" t="s">
        <v>51</v>
      </c>
      <c r="M16137" s="25">
        <v>42220.59</v>
      </c>
      <c r="N16137" s="27">
        <v>0.66968713816304182</v>
      </c>
    </row>
    <row r="16138" spans="1:14" hidden="1" outlineLevel="1" x14ac:dyDescent="0.2">
      <c r="A16138" s="23" t="str">
        <f t="shared" si="549"/>
        <v>УПРАВЛЕНИЕ ДЕЛАМИ АДМИНИСТРАЦИИ ЛИПЕЦКОЙ ОБЛАСТИ</v>
      </c>
      <c r="B16138" s="24" t="s">
        <v>21149</v>
      </c>
      <c r="C16138" s="25">
        <v>127820</v>
      </c>
      <c r="D16138" s="22" t="s">
        <v>21150</v>
      </c>
      <c r="E16138" s="22" t="s">
        <v>1807</v>
      </c>
      <c r="F16138" s="23" t="str">
        <f t="shared" si="550"/>
        <v>Работы по изготовлению и печати раздаточного материала (листовок) в целях популяризации электронных услуг на территории Липецкой области</v>
      </c>
      <c r="G16138" s="22" t="s">
        <v>101</v>
      </c>
      <c r="H16138" s="22" t="s">
        <v>728</v>
      </c>
      <c r="I16138" s="26">
        <v>43635.629166666702</v>
      </c>
      <c r="J16138" s="23" t="str">
        <f>HYPERLINK("https://www.spark-marketing.ru/Card/Person/6177757", "Глобенко Михаил Викторович")</f>
        <v>Глобенко Михаил Викторович</v>
      </c>
      <c r="K16138" s="24" t="s">
        <v>21155</v>
      </c>
      <c r="L16138" s="28" t="s">
        <v>51</v>
      </c>
      <c r="M16138" s="25">
        <v>63091.56</v>
      </c>
      <c r="N16138" s="27">
        <v>0.50640306681270542</v>
      </c>
    </row>
    <row r="16139" spans="1:14" hidden="1" outlineLevel="1" x14ac:dyDescent="0.2">
      <c r="A16139" s="23" t="str">
        <f t="shared" si="549"/>
        <v>УПРАВЛЕНИЕ ДЕЛАМИ АДМИНИСТРАЦИИ ЛИПЕЦКОЙ ОБЛАСТИ</v>
      </c>
      <c r="B16139" s="24" t="s">
        <v>21149</v>
      </c>
      <c r="C16139" s="25">
        <v>127820</v>
      </c>
      <c r="D16139" s="22" t="s">
        <v>21150</v>
      </c>
      <c r="E16139" s="22" t="s">
        <v>1807</v>
      </c>
      <c r="F16139" s="23" t="str">
        <f t="shared" si="550"/>
        <v>Работы по изготовлению и печати раздаточного материала (листовок) в целях популяризации электронных услуг на территории Липецкой области</v>
      </c>
      <c r="G16139" s="22" t="s">
        <v>101</v>
      </c>
      <c r="H16139" s="22" t="s">
        <v>728</v>
      </c>
      <c r="I16139" s="26">
        <v>43635.629166666702</v>
      </c>
      <c r="J16139" s="23" t="str">
        <f>HYPERLINK("https://www.spark-marketing.ru/Card/Person/6623860", "Метельский Константин Константинович")</f>
        <v>Метельский Константин Константинович</v>
      </c>
      <c r="K16139" s="24" t="s">
        <v>21156</v>
      </c>
      <c r="L16139" s="28" t="s">
        <v>51</v>
      </c>
      <c r="M16139" s="25">
        <v>94582.7</v>
      </c>
      <c r="N16139" s="27">
        <v>0.26003207635737757</v>
      </c>
    </row>
    <row r="16140" spans="1:14" x14ac:dyDescent="0.15">
      <c r="A16140" s="23" t="str">
        <f>HYPERLINK("https://www.spark-marketing.ru/Card/Person/53933", "СПБ ГБПОУ ""УОР № 2 (ТЕХНИКУМ)""")</f>
        <v>СПБ ГБПОУ "УОР № 2 (ТЕХНИКУМ)"</v>
      </c>
      <c r="B16140" s="24" t="s">
        <v>2322</v>
      </c>
      <c r="C16140" s="25">
        <v>214812</v>
      </c>
      <c r="D16140" s="22" t="s">
        <v>21157</v>
      </c>
      <c r="E16140" s="22" t="s">
        <v>374</v>
      </c>
      <c r="F16140" s="23" t="str">
        <f>HYPERLINK("https://www.spark-marketing.ru/Card/Lot/71510392", "Оказание услуг по предоставлению проживания, питания и спортивных сооружений при проведении тренировочного мероприятия по общей физической подготовке для занимающихся СПб ГБПОУ ""УОР № 2 (техникум) отделения ""Фристайл"" (ски-кросс) в 2019 году")</f>
        <v>Оказание услуг по предоставлению проживания, питания и спортивных сооружений при проведении тренировочного мероприятия по общей физической подготовке для занимающихся СПб ГБПОУ "УОР № 2 (техникум) отделения "Фристайл" (ски-кросс) в 2019 году</v>
      </c>
      <c r="G16140" s="22" t="s">
        <v>117</v>
      </c>
      <c r="H16140" s="22" t="s">
        <v>117</v>
      </c>
      <c r="I16140" s="26">
        <v>43635.651388888902</v>
      </c>
      <c r="J16140" s="28" t="s">
        <v>51</v>
      </c>
      <c r="K16140" s="28" t="s">
        <v>51</v>
      </c>
      <c r="L16140" s="28" t="s">
        <v>51</v>
      </c>
      <c r="M16140" s="28" t="s">
        <v>51</v>
      </c>
      <c r="N16140" s="28" t="s">
        <v>51</v>
      </c>
    </row>
    <row r="16141" spans="1:14" x14ac:dyDescent="0.15">
      <c r="A16141" s="23" t="str">
        <f>HYPERLINK("https://www.spark-marketing.ru/Card/Person/1022903", "ОМВД РОССИИ ПО КИРЕЕВСКОМУ РАЙОНУ")</f>
        <v>ОМВД РОССИИ ПО КИРЕЕВСКОМУ РАЙОНУ</v>
      </c>
      <c r="B16141" s="24" t="s">
        <v>21158</v>
      </c>
      <c r="C16141" s="25">
        <v>90000</v>
      </c>
      <c r="D16141" s="22" t="s">
        <v>21159</v>
      </c>
      <c r="E16141" s="22" t="s">
        <v>96</v>
      </c>
      <c r="F16141" s="23" t="str">
        <f>HYPERLINK("https://www.spark-marketing.ru/Card/Lot/71499931", "Оказание услуг по организации питания (приготовлению и доставке), 360 шт")</f>
        <v>Оказание услуг по организации питания (приготовлению и доставке), 360 шт</v>
      </c>
      <c r="G16141" s="22" t="s">
        <v>68</v>
      </c>
      <c r="H16141" s="22" t="s">
        <v>21160</v>
      </c>
      <c r="I16141" s="26">
        <v>43635.6637962963</v>
      </c>
      <c r="J16141" s="28" t="s">
        <v>51</v>
      </c>
      <c r="K16141" s="28" t="s">
        <v>51</v>
      </c>
      <c r="L16141" s="28" t="s">
        <v>51</v>
      </c>
      <c r="M16141" s="28" t="s">
        <v>51</v>
      </c>
      <c r="N16141" s="28" t="s">
        <v>51</v>
      </c>
    </row>
    <row r="16142" spans="1:14" x14ac:dyDescent="0.15">
      <c r="A16142" s="23" t="str">
        <f>HYPERLINK("https://www.spark-marketing.ru/Card/Person/2058637", "ЧПСО МЧС России филиал ФГКУ ""СКРПСО МЧС России""")</f>
        <v>ЧПСО МЧС России филиал ФГКУ "СКРПСО МЧС России"</v>
      </c>
      <c r="B16142" s="24" t="s">
        <v>8900</v>
      </c>
      <c r="C16142" s="25">
        <v>490560</v>
      </c>
      <c r="D16142" s="22" t="s">
        <v>21161</v>
      </c>
      <c r="E16142" s="22" t="s">
        <v>48</v>
      </c>
      <c r="F16142" s="23" t="str">
        <f>HYPERLINK("https://www.spark-marketing.ru/Card/Lot/71511957", "Услуги по организации питания работников")</f>
        <v>Услуги по организации питания работников</v>
      </c>
      <c r="G16142" s="22" t="s">
        <v>1983</v>
      </c>
      <c r="H16142" s="22" t="s">
        <v>5190</v>
      </c>
      <c r="I16142" s="26">
        <v>43635.628472222197</v>
      </c>
      <c r="J16142" s="23" t="str">
        <f>HYPERLINK("https://www.spark-marketing.ru/Card/Person/6459221", "Мусаитова Хеда Сайдмухмадовна")</f>
        <v>Мусаитова Хеда Сайдмухмадовна</v>
      </c>
      <c r="K16142" s="24" t="s">
        <v>10278</v>
      </c>
      <c r="L16142" s="22" t="s">
        <v>10</v>
      </c>
      <c r="M16142" s="28" t="s">
        <v>51</v>
      </c>
      <c r="N16142" s="28" t="s">
        <v>51</v>
      </c>
    </row>
    <row r="16143" spans="1:14" x14ac:dyDescent="0.15">
      <c r="A16143" s="23" t="str">
        <f>HYPERLINK("https://www.spark-marketing.ru/Card/Person/35488", "ОТДЕЛЕНИЕ МВД РОССИИ ПО КЕЖЕМСКОМУ РАЙОНУ")</f>
        <v>ОТДЕЛЕНИЕ МВД РОССИИ ПО КЕЖЕМСКОМУ РАЙОНУ</v>
      </c>
      <c r="B16143" s="24" t="s">
        <v>981</v>
      </c>
      <c r="C16143" s="25">
        <v>880000</v>
      </c>
      <c r="D16143" s="22" t="s">
        <v>21162</v>
      </c>
      <c r="E16143" s="22" t="s">
        <v>48</v>
      </c>
      <c r="F16143" s="23" t="str">
        <f>HYPERLINK("https://www.spark-marketing.ru/Card/Lot/71496064", "Оплата услуг по организиции горячего питания")</f>
        <v>Оплата услуг по организиции горячего питания</v>
      </c>
      <c r="G16143" s="22" t="s">
        <v>281</v>
      </c>
      <c r="H16143" s="22" t="s">
        <v>983</v>
      </c>
      <c r="I16143" s="26">
        <v>43635.629861111098</v>
      </c>
      <c r="J16143" s="23" t="str">
        <f>HYPERLINK("https://www.spark-marketing.ru/Card/Person/6580062", "Лебедев Алексей Геннадьевич")</f>
        <v>Лебедев Алексей Геннадьевич</v>
      </c>
      <c r="K16143" s="24" t="s">
        <v>21163</v>
      </c>
      <c r="L16143" s="22" t="s">
        <v>10</v>
      </c>
      <c r="M16143" s="28" t="s">
        <v>51</v>
      </c>
      <c r="N16143" s="28" t="s">
        <v>51</v>
      </c>
    </row>
    <row r="16144" spans="1:14" x14ac:dyDescent="0.15">
      <c r="A16144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16144" s="24" t="s">
        <v>1406</v>
      </c>
      <c r="C16144" s="25">
        <v>311550</v>
      </c>
      <c r="D16144" s="22" t="s">
        <v>21164</v>
      </c>
      <c r="E16144" s="22" t="s">
        <v>362</v>
      </c>
      <c r="F16144" s="23" t="str">
        <f>HYPERLINK("https://www.spark-marketing.ru/Card/Lot/71492802", "Услуги по организации и проведению учебной геологической практики в рамках учебного плана ГГФ: организация питания студентов при выездах (республика Алтай)")</f>
        <v>Услуги по организации и проведению учебной геологической практики в рамках учебного плана ГГФ: организация питания студентов при выездах (республика Алтай)</v>
      </c>
      <c r="G16144" s="22" t="s">
        <v>1141</v>
      </c>
      <c r="H16144" s="22" t="s">
        <v>1141</v>
      </c>
      <c r="I16144" s="26">
        <v>43635.655613425901</v>
      </c>
      <c r="J16144" s="28" t="s">
        <v>51</v>
      </c>
      <c r="K16144" s="28" t="s">
        <v>51</v>
      </c>
      <c r="L16144" s="28" t="s">
        <v>51</v>
      </c>
      <c r="M16144" s="28" t="s">
        <v>51</v>
      </c>
      <c r="N16144" s="28" t="s">
        <v>51</v>
      </c>
    </row>
    <row r="16145" spans="1:14" x14ac:dyDescent="0.15">
      <c r="A16145" s="23" t="str">
        <f>HYPERLINK("https://www.spark-marketing.ru/Card/Person/266098", "МП "" МЦМС""")</f>
        <v>МП " МЦМС"</v>
      </c>
      <c r="B16145" s="24" t="s">
        <v>21165</v>
      </c>
      <c r="C16145" s="25">
        <v>1200000</v>
      </c>
      <c r="D16145" s="22" t="s">
        <v>21166</v>
      </c>
      <c r="E16145" s="22" t="s">
        <v>580</v>
      </c>
      <c r="F16145" s="23" t="str">
        <f>HYPERLINK("https://www.spark-marketing.ru/Card/Lot/71486823", "Оказание услуг по организации питания проживающих гостиницы «Зея»")</f>
        <v>Оказание услуг по организации питания проживающих гостиницы «Зея»</v>
      </c>
      <c r="G16145" s="22" t="s">
        <v>210</v>
      </c>
      <c r="H16145" s="22" t="s">
        <v>210</v>
      </c>
      <c r="I16145" s="26">
        <v>43635.635590277801</v>
      </c>
      <c r="J16145" s="28" t="s">
        <v>51</v>
      </c>
      <c r="K16145" s="28" t="s">
        <v>51</v>
      </c>
      <c r="L16145" s="28" t="s">
        <v>51</v>
      </c>
      <c r="M16145" s="28" t="s">
        <v>51</v>
      </c>
      <c r="N16145" s="28" t="s">
        <v>51</v>
      </c>
    </row>
    <row r="16146" spans="1:14" x14ac:dyDescent="0.15">
      <c r="A16146" s="23" t="str">
        <f>HYPERLINK("https://www.spark-marketing.ru/Card/Person/1313054", "МОАУ ""ГИМНАЗИЯ № 7"" (ПОЛНОГО ДНЯ)")</f>
        <v>МОАУ "ГИМНАЗИЯ № 7" (ПОЛНОГО ДНЯ)</v>
      </c>
      <c r="B16146" s="24" t="s">
        <v>21167</v>
      </c>
      <c r="C16146" s="25">
        <v>115252.2</v>
      </c>
      <c r="D16146" s="22" t="s">
        <v>21168</v>
      </c>
      <c r="E16146" s="22" t="s">
        <v>362</v>
      </c>
      <c r="F16146" s="23" t="str">
        <f>HYPERLINK("https://www.spark-marketing.ru/Card/Lot/71492789", "Организация питания детей в лагере дневного пребывания")</f>
        <v>Организация питания детей в лагере дневного пребывания</v>
      </c>
      <c r="G16146" s="22" t="s">
        <v>132</v>
      </c>
      <c r="H16146" s="22" t="s">
        <v>132</v>
      </c>
      <c r="I16146" s="26">
        <v>43635.626516203702</v>
      </c>
      <c r="J16146" s="28" t="s">
        <v>51</v>
      </c>
      <c r="K16146" s="28" t="s">
        <v>51</v>
      </c>
      <c r="L16146" s="28" t="s">
        <v>51</v>
      </c>
      <c r="M16146" s="28" t="s">
        <v>51</v>
      </c>
      <c r="N16146" s="28" t="s">
        <v>51</v>
      </c>
    </row>
    <row r="16147" spans="1:14" x14ac:dyDescent="0.15">
      <c r="A16147" s="23" t="str">
        <f t="shared" ref="A16147:A16152" si="551">HYPERLINK("https://www.spark-marketing.ru/Card/Person/6854", "ГБУЗ ""ОКПЦ""")</f>
        <v>ГБУЗ "ОКПЦ"</v>
      </c>
      <c r="B16147" s="24" t="s">
        <v>21169</v>
      </c>
      <c r="C16147" s="25">
        <v>114017</v>
      </c>
      <c r="D16147" s="22" t="s">
        <v>21170</v>
      </c>
      <c r="E16147" s="22" t="s">
        <v>7386</v>
      </c>
      <c r="F16147" s="23" t="str">
        <f t="shared" ref="F16147:F16152" si="552">HYPERLINK("https://www.spark-marketing.ru/Card/Lot/71509231", "на поставку элементов питания")</f>
        <v>на поставку элементов питания</v>
      </c>
      <c r="G16147" s="22" t="s">
        <v>132</v>
      </c>
      <c r="H16147" s="22" t="s">
        <v>587</v>
      </c>
      <c r="I16147" s="26">
        <v>43635.647916666698</v>
      </c>
      <c r="J16147" s="28" t="s">
        <v>51</v>
      </c>
      <c r="K16147" s="28" t="s">
        <v>51</v>
      </c>
      <c r="L16147" s="28" t="s">
        <v>51</v>
      </c>
      <c r="M16147" s="28" t="s">
        <v>51</v>
      </c>
      <c r="N16147" s="28" t="s">
        <v>51</v>
      </c>
    </row>
    <row r="16148" spans="1:14" hidden="1" outlineLevel="1" x14ac:dyDescent="0.2">
      <c r="A16148" s="23" t="str">
        <f t="shared" si="551"/>
        <v>ГБУЗ "ОКПЦ"</v>
      </c>
      <c r="B16148" s="24" t="s">
        <v>21169</v>
      </c>
      <c r="C16148" s="25">
        <v>114017</v>
      </c>
      <c r="D16148" s="22" t="s">
        <v>21170</v>
      </c>
      <c r="E16148" s="22" t="s">
        <v>7386</v>
      </c>
      <c r="F16148" s="23" t="str">
        <f t="shared" si="552"/>
        <v>на поставку элементов питания</v>
      </c>
      <c r="G16148" s="22" t="s">
        <v>132</v>
      </c>
      <c r="H16148" s="22" t="s">
        <v>587</v>
      </c>
      <c r="I16148" s="26">
        <v>43635.647916666698</v>
      </c>
      <c r="J16148" s="23" t="str">
        <f>HYPERLINK("https://www.spark-marketing.ru/Card/Person/1974203", "ООО ""М-ГРУПП""")</f>
        <v>ООО "М-ГРУПП"</v>
      </c>
      <c r="K16148" s="24" t="s">
        <v>17765</v>
      </c>
      <c r="L16148" s="28" t="s">
        <v>51</v>
      </c>
      <c r="M16148" s="25">
        <v>60968.91</v>
      </c>
      <c r="N16148" s="27">
        <v>0.46526474122280009</v>
      </c>
    </row>
    <row r="16149" spans="1:14" hidden="1" outlineLevel="1" x14ac:dyDescent="0.2">
      <c r="A16149" s="23" t="str">
        <f t="shared" si="551"/>
        <v>ГБУЗ "ОКПЦ"</v>
      </c>
      <c r="B16149" s="24" t="s">
        <v>21169</v>
      </c>
      <c r="C16149" s="25">
        <v>114017</v>
      </c>
      <c r="D16149" s="22" t="s">
        <v>21170</v>
      </c>
      <c r="E16149" s="22" t="s">
        <v>7386</v>
      </c>
      <c r="F16149" s="23" t="str">
        <f t="shared" si="552"/>
        <v>на поставку элементов питания</v>
      </c>
      <c r="G16149" s="22" t="s">
        <v>132</v>
      </c>
      <c r="H16149" s="22" t="s">
        <v>587</v>
      </c>
      <c r="I16149" s="26">
        <v>43635.647916666698</v>
      </c>
      <c r="J16149" s="23" t="str">
        <f>HYPERLINK("https://www.spark-marketing.ru/Card/Person/390597", "ООО ""КОМПЛЕКС-СНАСТ""")</f>
        <v>ООО "КОМПЛЕКС-СНАСТ"</v>
      </c>
      <c r="K16149" s="24" t="s">
        <v>10667</v>
      </c>
      <c r="L16149" s="28" t="s">
        <v>51</v>
      </c>
      <c r="M16149" s="25">
        <v>64962</v>
      </c>
      <c r="N16149" s="27">
        <v>0.43024285852109773</v>
      </c>
    </row>
    <row r="16150" spans="1:14" hidden="1" outlineLevel="1" x14ac:dyDescent="0.2">
      <c r="A16150" s="23" t="str">
        <f t="shared" si="551"/>
        <v>ГБУЗ "ОКПЦ"</v>
      </c>
      <c r="B16150" s="24" t="s">
        <v>21169</v>
      </c>
      <c r="C16150" s="25">
        <v>114017</v>
      </c>
      <c r="D16150" s="22" t="s">
        <v>21170</v>
      </c>
      <c r="E16150" s="22" t="s">
        <v>7386</v>
      </c>
      <c r="F16150" s="23" t="str">
        <f t="shared" si="552"/>
        <v>на поставку элементов питания</v>
      </c>
      <c r="G16150" s="22" t="s">
        <v>132</v>
      </c>
      <c r="H16150" s="22" t="s">
        <v>587</v>
      </c>
      <c r="I16150" s="26">
        <v>43635.647916666698</v>
      </c>
      <c r="J16150" s="23" t="str">
        <f>HYPERLINK("https://www.spark-marketing.ru/Card/Person/4590499", "ООО ""ЛИСТ ИНЖИНИРИНГ""")</f>
        <v>ООО "ЛИСТ ИНЖИНИРИНГ"</v>
      </c>
      <c r="K16150" s="24" t="s">
        <v>21171</v>
      </c>
      <c r="L16150" s="28" t="s">
        <v>51</v>
      </c>
      <c r="M16150" s="25">
        <v>66673.14</v>
      </c>
      <c r="N16150" s="27">
        <v>0.41523509652069429</v>
      </c>
    </row>
    <row r="16151" spans="1:14" hidden="1" outlineLevel="1" x14ac:dyDescent="0.2">
      <c r="A16151" s="23" t="str">
        <f t="shared" si="551"/>
        <v>ГБУЗ "ОКПЦ"</v>
      </c>
      <c r="B16151" s="24" t="s">
        <v>21169</v>
      </c>
      <c r="C16151" s="25">
        <v>114017</v>
      </c>
      <c r="D16151" s="22" t="s">
        <v>21170</v>
      </c>
      <c r="E16151" s="22" t="s">
        <v>7386</v>
      </c>
      <c r="F16151" s="23" t="str">
        <f t="shared" si="552"/>
        <v>на поставку элементов питания</v>
      </c>
      <c r="G16151" s="22" t="s">
        <v>132</v>
      </c>
      <c r="H16151" s="22" t="s">
        <v>587</v>
      </c>
      <c r="I16151" s="26">
        <v>43635.647916666698</v>
      </c>
      <c r="J16151" s="23" t="str">
        <f>HYPERLINK("https://www.spark-marketing.ru/Card/Person/6625267", "ООО ""ДЕЛОВОЕ РЕШЕНИЕ""")</f>
        <v>ООО "ДЕЛОВОЕ РЕШЕНИЕ"</v>
      </c>
      <c r="K16151" s="24" t="s">
        <v>21172</v>
      </c>
      <c r="L16151" s="28" t="s">
        <v>51</v>
      </c>
      <c r="M16151" s="25">
        <v>58686.91</v>
      </c>
      <c r="N16151" s="27">
        <v>0.48527930045519529</v>
      </c>
    </row>
    <row r="16152" spans="1:14" ht="12.75" hidden="1" outlineLevel="1" x14ac:dyDescent="0.2">
      <c r="A16152" s="23" t="str">
        <f t="shared" si="551"/>
        <v>ГБУЗ "ОКПЦ"</v>
      </c>
      <c r="B16152" s="24" t="s">
        <v>21169</v>
      </c>
      <c r="C16152" s="25">
        <v>114017</v>
      </c>
      <c r="D16152" s="22" t="s">
        <v>21170</v>
      </c>
      <c r="E16152" s="22" t="s">
        <v>7386</v>
      </c>
      <c r="F16152" s="23" t="str">
        <f t="shared" si="552"/>
        <v>на поставку элементов питания</v>
      </c>
      <c r="G16152" s="22" t="s">
        <v>132</v>
      </c>
      <c r="H16152" s="22" t="s">
        <v>587</v>
      </c>
      <c r="I16152" s="26">
        <v>43635.647916666698</v>
      </c>
      <c r="J16152" s="23" t="str">
        <f>HYPERLINK("https://www.spark-marketing.ru/Card/Person/318119", "ООО ""РАБЛИКС""")</f>
        <v>ООО "РАБЛИКС"</v>
      </c>
      <c r="K16152" s="24" t="s">
        <v>21173</v>
      </c>
      <c r="L16152" s="22" t="s">
        <v>10</v>
      </c>
      <c r="M16152" s="25">
        <v>58116</v>
      </c>
      <c r="N16152" s="27">
        <v>0.49028653621828322</v>
      </c>
    </row>
    <row r="16153" spans="1:14" x14ac:dyDescent="0.15">
      <c r="A16153" s="23" t="str">
        <f>HYPERLINK("https://www.spark-marketing.ru/Card/Person/330022", "ФЛ Балаковская АЭС АО ""Концерн Росэнергоатом""")</f>
        <v>ФЛ Балаковская АЭС АО "Концерн Росэнергоатом"</v>
      </c>
      <c r="B16153" s="24" t="s">
        <v>908</v>
      </c>
      <c r="C16153" s="25">
        <v>0</v>
      </c>
      <c r="D16153" s="22" t="s">
        <v>21174</v>
      </c>
      <c r="E16153" s="22" t="s">
        <v>52</v>
      </c>
      <c r="F16153" s="23" t="str">
        <f>HYPERLINK("https://www.spark-marketing.ru/Card/Lot/71514951", "мониторинг цен в электронной форме на Оказание услуг по обеспечению наличия запаса продуктов питания для личного состава формирований при проведении спасательных и других неотложных работ в случае возникновения чрезвычайных ситуаций природного и техн...")</f>
        <v>мониторинг цен в электронной форме на Оказание услуг по обеспечению наличия запаса продуктов питания для личного состава формирований при проведении спасательных и других неотложных работ в случае возникновения чрезвычайных ситуаций природного и техн...</v>
      </c>
      <c r="G16153" s="22" t="s">
        <v>56</v>
      </c>
      <c r="H16153" s="22" t="s">
        <v>56</v>
      </c>
      <c r="I16153" s="26">
        <v>43635.633993055599</v>
      </c>
      <c r="J16153" s="28" t="s">
        <v>51</v>
      </c>
      <c r="K16153" s="28" t="s">
        <v>51</v>
      </c>
      <c r="L16153" s="28" t="s">
        <v>51</v>
      </c>
      <c r="M16153" s="28" t="s">
        <v>51</v>
      </c>
      <c r="N16153" s="28" t="s">
        <v>51</v>
      </c>
    </row>
    <row r="16154" spans="1:14" x14ac:dyDescent="0.15">
      <c r="A16154" s="23" t="str">
        <f>HYPERLINK("https://www.spark-marketing.ru/Card/Person/115066", "МБФСУ ""СШ № 1""")</f>
        <v>МБФСУ "СШ № 1"</v>
      </c>
      <c r="B16154" s="24" t="s">
        <v>21175</v>
      </c>
      <c r="C16154" s="25">
        <v>2989350</v>
      </c>
      <c r="D16154" s="22" t="s">
        <v>21176</v>
      </c>
      <c r="E16154" s="22" t="s">
        <v>48</v>
      </c>
      <c r="F16154" s="23" t="str">
        <f>HYPERLINK("https://www.spark-marketing.ru/Card/Lot/71500451", "Услуги по организации питания детей")</f>
        <v>Услуги по организации питания детей</v>
      </c>
      <c r="G16154" s="22" t="s">
        <v>304</v>
      </c>
      <c r="H16154" s="22" t="s">
        <v>21177</v>
      </c>
      <c r="I16154" s="26">
        <v>43635.65</v>
      </c>
      <c r="J16154" s="23" t="str">
        <f>HYPERLINK("https://www.spark-marketing.ru/Card/Person/116809", "ООО ""МИЛЛАНД-М""")</f>
        <v>ООО "МИЛЛАНД-М"</v>
      </c>
      <c r="K16154" s="24" t="s">
        <v>14348</v>
      </c>
      <c r="L16154" s="22" t="s">
        <v>10</v>
      </c>
      <c r="M16154" s="28" t="s">
        <v>51</v>
      </c>
      <c r="N16154" s="28" t="s">
        <v>51</v>
      </c>
    </row>
    <row r="16155" spans="1:14" x14ac:dyDescent="0.15">
      <c r="A16155" s="23" t="str">
        <f>HYPERLINK("https://www.spark-marketing.ru/Card/Person/5639", "ГБУЗ РХ ""ЧЕРНОГОРСКАЯ МБ""")</f>
        <v>ГБУЗ РХ "ЧЕРНОГОРСКАЯ МБ"</v>
      </c>
      <c r="B16155" s="24" t="s">
        <v>20314</v>
      </c>
      <c r="C16155" s="25">
        <v>844598.68</v>
      </c>
      <c r="D16155" s="22" t="s">
        <v>21178</v>
      </c>
      <c r="E16155" s="22" t="s">
        <v>603</v>
      </c>
      <c r="F16155" s="23" t="str">
        <f>HYPERLINK("https://www.spark-marketing.ru/Card/Lot/71495989", "Оказание метрологических услуг по поверке медицинского оборудования")</f>
        <v>Оказание метрологических услуг по поверке медицинского оборудования</v>
      </c>
      <c r="G16155" s="22" t="s">
        <v>92</v>
      </c>
      <c r="H16155" s="22" t="s">
        <v>13803</v>
      </c>
      <c r="I16155" s="26">
        <v>43635.643750000003</v>
      </c>
      <c r="J16155" s="23" t="str">
        <f>HYPERLINK("https://www.spark-marketing.ru/Card/Person/16220", "ФБУ ""КРАСНОЯРСКИЙ ЦСМ""")</f>
        <v>ФБУ "КРАСНОЯРСКИЙ ЦСМ"</v>
      </c>
      <c r="K16155" s="24" t="s">
        <v>20033</v>
      </c>
      <c r="L16155" s="22" t="s">
        <v>10</v>
      </c>
      <c r="M16155" s="28" t="s">
        <v>51</v>
      </c>
      <c r="N16155" s="28" t="s">
        <v>51</v>
      </c>
    </row>
    <row r="16156" spans="1:14" x14ac:dyDescent="0.15">
      <c r="A16156" s="23" t="str">
        <f>HYPERLINK("https://www.spark-marketing.ru/Card/Person/35488", "ОТДЕЛЕНИЕ МВД РОССИИ ПО КЕЖЕМСКОМУ РАЙОНУ")</f>
        <v>ОТДЕЛЕНИЕ МВД РОССИИ ПО КЕЖЕМСКОМУ РАЙОНУ</v>
      </c>
      <c r="B16156" s="24" t="s">
        <v>981</v>
      </c>
      <c r="C16156" s="25">
        <v>880000</v>
      </c>
      <c r="D16156" s="22" t="s">
        <v>21179</v>
      </c>
      <c r="E16156" s="22" t="s">
        <v>48</v>
      </c>
      <c r="F16156" s="23" t="str">
        <f>HYPERLINK("https://www.spark-marketing.ru/Card/Lot/71496065", "Оплата услуг по организиции горячего питания")</f>
        <v>Оплата услуг по организиции горячего питания</v>
      </c>
      <c r="G16156" s="22" t="s">
        <v>281</v>
      </c>
      <c r="H16156" s="22" t="s">
        <v>983</v>
      </c>
      <c r="I16156" s="26">
        <v>43635.628472222197</v>
      </c>
      <c r="J16156" s="23" t="str">
        <f>HYPERLINK("https://www.spark-marketing.ru/Card/Person/6580062", "Лебедев Алексей Геннадьевич")</f>
        <v>Лебедев Алексей Геннадьевич</v>
      </c>
      <c r="K16156" s="24" t="s">
        <v>21163</v>
      </c>
      <c r="L16156" s="22" t="s">
        <v>10</v>
      </c>
      <c r="M16156" s="28" t="s">
        <v>51</v>
      </c>
      <c r="N16156" s="28" t="s">
        <v>51</v>
      </c>
    </row>
    <row r="16157" spans="1:14" x14ac:dyDescent="0.2">
      <c r="A16157" s="23" t="str">
        <f>HYPERLINK("https://www.spark-marketing.ru/Card/Person/4348382", "ООО ""ГАЗПРОМ ПИТАНИЕ""")</f>
        <v>ООО "ГАЗПРОМ ПИТАНИЕ"</v>
      </c>
      <c r="B16157" s="24" t="s">
        <v>2869</v>
      </c>
      <c r="C16157" s="25">
        <v>290882.48</v>
      </c>
      <c r="D16157" s="22" t="s">
        <v>21180</v>
      </c>
      <c r="E16157" s="22" t="s">
        <v>3561</v>
      </c>
      <c r="F16157" s="23" t="str">
        <f>HYPERLINK("https://www.spark-marketing.ru/Card/Lot/71501178", "Оказание услуг по проведению обязательных периодических медицинских осмотров работников для нужд Филиала «Ставропольское управление по организации общественного питания» ООО «Газпром питание»")</f>
        <v>Оказание услуг по проведению обязательных периодических медицинских осмотров работников для нужд Филиала «Ставропольское управление по организации общественного питания» ООО «Газпром питание»</v>
      </c>
      <c r="G16157" s="22" t="s">
        <v>56</v>
      </c>
      <c r="H16157" s="22" t="s">
        <v>56</v>
      </c>
      <c r="I16157" s="26">
        <v>43635.661307870403</v>
      </c>
      <c r="J16157" s="28" t="s">
        <v>51</v>
      </c>
      <c r="K16157" s="28" t="s">
        <v>51</v>
      </c>
      <c r="L16157" s="22" t="s">
        <v>10</v>
      </c>
      <c r="M16157" s="25">
        <v>285052</v>
      </c>
      <c r="N16157" s="27">
        <v>2.0044108534828225E-2</v>
      </c>
    </row>
    <row r="16158" spans="1:14" x14ac:dyDescent="0.15">
      <c r="A16158" s="23" t="str">
        <f>HYPERLINK("https://www.spark-marketing.ru/Card/Person/81165", "МБОУ СОШ №1 Г.СТАВРОПОЛЯ")</f>
        <v>МБОУ СОШ №1 Г.СТАВРОПОЛЯ</v>
      </c>
      <c r="B16158" s="24" t="s">
        <v>21181</v>
      </c>
      <c r="C16158" s="25">
        <v>620646</v>
      </c>
      <c r="D16158" s="22" t="s">
        <v>21182</v>
      </c>
      <c r="E16158" s="22" t="s">
        <v>48</v>
      </c>
      <c r="F16158" s="23" t="str">
        <f>HYPERLINK("https://www.spark-marketing.ru/Card/Lot/71511690", "Услуги по организации питания учащихся МБОУ СОШ № 1 г. Ставрополя в сентябре-декабре 2019 года")</f>
        <v>Услуги по организации питания учащихся МБОУ СОШ № 1 г. Ставрополя в сентябре-декабре 2019 года</v>
      </c>
      <c r="G16158" s="22" t="s">
        <v>87</v>
      </c>
      <c r="H16158" s="22" t="s">
        <v>87</v>
      </c>
      <c r="I16158" s="26">
        <v>43635.656944444403</v>
      </c>
      <c r="J16158" s="23" t="str">
        <f>HYPERLINK("https://www.spark-marketing.ru/Card/Person/213142", "Звягина Надежда Ильинична")</f>
        <v>Звягина Надежда Ильинична</v>
      </c>
      <c r="K16158" s="24" t="s">
        <v>12311</v>
      </c>
      <c r="L16158" s="22" t="s">
        <v>10</v>
      </c>
      <c r="M16158" s="28" t="s">
        <v>51</v>
      </c>
      <c r="N16158" s="28" t="s">
        <v>51</v>
      </c>
    </row>
    <row r="16159" spans="1:14" x14ac:dyDescent="0.15">
      <c r="A16159" s="23" t="str">
        <f>HYPERLINK("https://www.spark-marketing.ru/Card/Person/154320", "МЕЖМУНИЦИПАЛЬНЫЙ ОТДЕЛ МВД РОССИИ ПО ЗАТО Г. ТРЕХГОРНЫЙ ЧЕЛЯБИНСКОЙ ОБЛАСТИ")</f>
        <v>МЕЖМУНИЦИПАЛЬНЫЙ ОТДЕЛ МВД РОССИИ ПО ЗАТО Г. ТРЕХГОРНЫЙ ЧЕЛЯБИНСКОЙ ОБЛАСТИ</v>
      </c>
      <c r="B16159" s="24" t="s">
        <v>14271</v>
      </c>
      <c r="C16159" s="25">
        <v>99400</v>
      </c>
      <c r="D16159" s="22" t="s">
        <v>21183</v>
      </c>
      <c r="E16159" s="22" t="s">
        <v>48</v>
      </c>
      <c r="F16159" s="23" t="str">
        <f>HYPERLINK("https://www.spark-marketing.ru/Card/Lot/71507878", "Организации трехразового питания лиц, содержащихся в ИВС и комнате содержания задержанных лиц дежурной части Межмуниципального отдела МВД России по ЗАТО г. Трехгорный Челябинской области")</f>
        <v>Организации трехразового питания лиц, содержащихся в ИВС и комнате содержания задержанных лиц дежурной части Межмуниципального отдела МВД России по ЗАТО г. Трехгорный Челябинской области</v>
      </c>
      <c r="G16159" s="22" t="s">
        <v>469</v>
      </c>
      <c r="H16159" s="22" t="s">
        <v>14273</v>
      </c>
      <c r="I16159" s="26">
        <v>43635.6472222222</v>
      </c>
      <c r="J16159" s="23" t="str">
        <f>HYPERLINK("https://www.spark-marketing.ru/Card/Person/886611", "ООО ""МЕТЕЛИЦА""")</f>
        <v>ООО "МЕТЕЛИЦА"</v>
      </c>
      <c r="K16159" s="24" t="s">
        <v>14274</v>
      </c>
      <c r="L16159" s="22" t="s">
        <v>10</v>
      </c>
      <c r="M16159" s="28" t="s">
        <v>51</v>
      </c>
      <c r="N16159" s="28" t="s">
        <v>51</v>
      </c>
    </row>
    <row r="16160" spans="1:14" x14ac:dyDescent="0.15">
      <c r="A16160" s="23" t="str">
        <f>HYPERLINK("https://www.spark-marketing.ru/Card/Person/2312", "ФКУ ""ЦХИСО УМВД РОССИИ ПО АСТРАХАНСКОЙ ОБЛАСТИ""")</f>
        <v>ФКУ "ЦХИСО УМВД РОССИИ ПО АСТРАХАНСКОЙ ОБЛАСТИ"</v>
      </c>
      <c r="B16160" s="24" t="s">
        <v>17842</v>
      </c>
      <c r="C16160" s="25">
        <v>600000</v>
      </c>
      <c r="D16160" s="22" t="s">
        <v>21184</v>
      </c>
      <c r="E16160" s="22" t="s">
        <v>48</v>
      </c>
      <c r="F16160" s="23" t="str">
        <f>HYPERLINK("https://www.spark-marketing.ru/Card/Lot/71511598", "Оказание услуг по организации ежедневного трёхразового питания иностранных граждан, содержащихся в ЦВСИГ УМВД России по Астраханской области (для субъектов малого предпринимательства и социально ориентированных некоммерческих организаций)")</f>
        <v>Оказание услуг по организации ежедневного трёхразового питания иностранных граждан, содержащихся в ЦВСИГ УМВД России по Астраханской области (для субъектов малого предпринимательства и социально ориентированных некоммерческих организаций)</v>
      </c>
      <c r="G16160" s="22" t="s">
        <v>141</v>
      </c>
      <c r="H16160" s="22" t="s">
        <v>17844</v>
      </c>
      <c r="I16160" s="26">
        <v>43635.640277777798</v>
      </c>
      <c r="J16160" s="28" t="s">
        <v>51</v>
      </c>
      <c r="K16160" s="28" t="s">
        <v>51</v>
      </c>
      <c r="L16160" s="28" t="s">
        <v>51</v>
      </c>
      <c r="M16160" s="28" t="s">
        <v>51</v>
      </c>
      <c r="N16160" s="28" t="s">
        <v>51</v>
      </c>
    </row>
    <row r="16161" spans="1:14" hidden="1" outlineLevel="1" x14ac:dyDescent="0.2">
      <c r="A16161" s="23" t="str">
        <f>HYPERLINK("https://www.spark-marketing.ru/Card/Person/2312", "ФКУ ""ЦХИСО УМВД РОССИИ ПО АСТРАХАНСКОЙ ОБЛАСТИ""")</f>
        <v>ФКУ "ЦХИСО УМВД РОССИИ ПО АСТРАХАНСКОЙ ОБЛАСТИ"</v>
      </c>
      <c r="B16161" s="24" t="s">
        <v>17842</v>
      </c>
      <c r="C16161" s="25">
        <v>600000</v>
      </c>
      <c r="D16161" s="22" t="s">
        <v>21184</v>
      </c>
      <c r="E16161" s="22" t="s">
        <v>48</v>
      </c>
      <c r="F16161" s="23" t="str">
        <f>HYPERLINK("https://www.spark-marketing.ru/Card/Lot/71511598", "Оказание услуг по организации ежедневного трёхразового питания иностранных граждан, содержащихся в ЦВСИГ УМВД России по Астраханской области (для субъектов малого предпринимательства и социально ориентированных некоммерческих организаций)")</f>
        <v>Оказание услуг по организации ежедневного трёхразового питания иностранных граждан, содержащихся в ЦВСИГ УМВД России по Астраханской области (для субъектов малого предпринимательства и социально ориентированных некоммерческих организаций)</v>
      </c>
      <c r="G16161" s="22" t="s">
        <v>141</v>
      </c>
      <c r="H16161" s="22" t="s">
        <v>17844</v>
      </c>
      <c r="I16161" s="26">
        <v>43635.640277777798</v>
      </c>
      <c r="J16161" s="23" t="str">
        <f>HYPERLINK("https://www.spark-marketing.ru/Card/Person/242503", "ООО ""ФЕНИКС""")</f>
        <v>ООО "ФЕНИКС"</v>
      </c>
      <c r="K16161" s="24" t="s">
        <v>2451</v>
      </c>
      <c r="L16161" s="28" t="s">
        <v>51</v>
      </c>
      <c r="M16161" s="25">
        <v>528.32000000000005</v>
      </c>
      <c r="N16161" s="27">
        <v>0.99911946666666662</v>
      </c>
    </row>
    <row r="16162" spans="1:14" ht="12.75" hidden="1" outlineLevel="1" x14ac:dyDescent="0.2">
      <c r="A16162" s="23" t="str">
        <f>HYPERLINK("https://www.spark-marketing.ru/Card/Person/2312", "ФКУ ""ЦХИСО УМВД РОССИИ ПО АСТРАХАНСКОЙ ОБЛАСТИ""")</f>
        <v>ФКУ "ЦХИСО УМВД РОССИИ ПО АСТРАХАНСКОЙ ОБЛАСТИ"</v>
      </c>
      <c r="B16162" s="24" t="s">
        <v>17842</v>
      </c>
      <c r="C16162" s="25">
        <v>600000</v>
      </c>
      <c r="D16162" s="22" t="s">
        <v>21184</v>
      </c>
      <c r="E16162" s="22" t="s">
        <v>48</v>
      </c>
      <c r="F16162" s="23" t="str">
        <f>HYPERLINK("https://www.spark-marketing.ru/Card/Lot/71511598", "Оказание услуг по организации ежедневного трёхразового питания иностранных граждан, содержащихся в ЦВСИГ УМВД России по Астраханской области (для субъектов малого предпринимательства и социально ориентированных некоммерческих организаций)")</f>
        <v>Оказание услуг по организации ежедневного трёхразового питания иностранных граждан, содержащихся в ЦВСИГ УМВД России по Астраханской области (для субъектов малого предпринимательства и социально ориентированных некоммерческих организаций)</v>
      </c>
      <c r="G16162" s="22" t="s">
        <v>141</v>
      </c>
      <c r="H16162" s="22" t="s">
        <v>17844</v>
      </c>
      <c r="I16162" s="26">
        <v>43635.640277777798</v>
      </c>
      <c r="J16162" s="23" t="str">
        <f>HYPERLINK("https://www.spark-marketing.ru/Card/Person/6618416", "Мамедов Заур Эльдар Оглы")</f>
        <v>Мамедов Заур Эльдар Оглы</v>
      </c>
      <c r="K16162" s="24" t="s">
        <v>2452</v>
      </c>
      <c r="L16162" s="22" t="s">
        <v>10</v>
      </c>
      <c r="M16162" s="25">
        <v>428.32</v>
      </c>
      <c r="N16162" s="27">
        <v>0.99928613333333338</v>
      </c>
    </row>
    <row r="16163" spans="1:14" x14ac:dyDescent="0.15">
      <c r="A16163" s="23" t="str">
        <f>HYPERLINK("https://www.spark-marketing.ru/Card/Person/1068359", "ОМВД РОССИИ ПО ПРИВОЛЖСКОМУ РАЙОНУ")</f>
        <v>ОМВД РОССИИ ПО ПРИВОЛЖСКОМУ РАЙОНУ</v>
      </c>
      <c r="B16163" s="24" t="s">
        <v>21185</v>
      </c>
      <c r="C16163" s="25">
        <v>99000</v>
      </c>
      <c r="D16163" s="22" t="s">
        <v>21186</v>
      </c>
      <c r="E16163" s="22" t="s">
        <v>48</v>
      </c>
      <c r="F16163" s="23" t="str">
        <f>HYPERLINK("https://www.spark-marketing.ru/Card/Lot/71498513", "Услуги по доставке горячего питания (завтрак, обед, ужин), 1 усл. ед")</f>
        <v>Услуги по доставке горячего питания (завтрак, обед, ужин), 1 усл. ед</v>
      </c>
      <c r="G16163" s="22" t="s">
        <v>141</v>
      </c>
      <c r="H16163" s="22" t="s">
        <v>17844</v>
      </c>
      <c r="I16163" s="26">
        <v>43635.638182870403</v>
      </c>
      <c r="J16163" s="28" t="s">
        <v>51</v>
      </c>
      <c r="K16163" s="28" t="s">
        <v>51</v>
      </c>
      <c r="L16163" s="28" t="s">
        <v>51</v>
      </c>
      <c r="M16163" s="28" t="s">
        <v>51</v>
      </c>
      <c r="N16163" s="28" t="s">
        <v>51</v>
      </c>
    </row>
    <row r="16164" spans="1:14" x14ac:dyDescent="0.15">
      <c r="A16164" s="23" t="str">
        <f>HYPERLINK("https://www.spark-marketing.ru/Card/Person/768767", "МБДОУ ДС ""КОЯШКАЙ"" С. ИСТЯК")</f>
        <v>МБДОУ ДС "КОЯШКАЙ" С. ИСТЯК</v>
      </c>
      <c r="B16164" s="24" t="s">
        <v>21187</v>
      </c>
      <c r="C16164" s="25">
        <v>364429</v>
      </c>
      <c r="D16164" s="22" t="s">
        <v>21188</v>
      </c>
      <c r="E16164" s="22" t="s">
        <v>48</v>
      </c>
      <c r="F16164" s="23" t="str">
        <f>HYPERLINK("https://www.spark-marketing.ru/Card/Lot/71511615", "Оказание услуг по организации горячего питания воспитанников Муниципального бюджетного дошкольного образовательного учреждения детский сад «Кояшкай» с. Истяк муниципального района Янаульский район Республики Башкортостан")</f>
        <v>Оказание услуг по организации горячего питания воспитанников Муниципального бюджетного дошкольного образовательного учреждения детский сад «Кояшкай» с. Истяк муниципального района Янаульский район Республики Башкортостан</v>
      </c>
      <c r="G16164" s="22" t="s">
        <v>145</v>
      </c>
      <c r="H16164" s="22" t="s">
        <v>10690</v>
      </c>
      <c r="I16164" s="26">
        <v>43635.588194444397</v>
      </c>
      <c r="J16164" s="23" t="str">
        <f>HYPERLINK("https://www.spark-marketing.ru/Card/Person/6275152", "ООО ""ЯНАУЛЬСКИЙ КДП""")</f>
        <v>ООО "ЯНАУЛЬСКИЙ КДП"</v>
      </c>
      <c r="K16164" s="24" t="s">
        <v>10674</v>
      </c>
      <c r="L16164" s="22" t="s">
        <v>10</v>
      </c>
      <c r="M16164" s="28" t="s">
        <v>51</v>
      </c>
      <c r="N16164" s="28" t="s">
        <v>51</v>
      </c>
    </row>
    <row r="16165" spans="1:14" x14ac:dyDescent="0.15">
      <c r="A16165" s="23" t="str">
        <f>HYPERLINK("https://www.spark-marketing.ru/Card/Person/131510", "МБО ДОВО ""ДРУГ ПРИРОДЫ""")</f>
        <v>МБО ДОВО "ДРУГ ПРИРОДЫ"</v>
      </c>
      <c r="B16165" s="24" t="s">
        <v>13590</v>
      </c>
      <c r="C16165" s="25">
        <v>986226.81</v>
      </c>
      <c r="D16165" s="22" t="s">
        <v>21189</v>
      </c>
      <c r="E16165" s="22" t="s">
        <v>362</v>
      </c>
      <c r="F16165" s="23" t="str">
        <f>HYPERLINK("https://www.spark-marketing.ru/Card/Lot/71492688", "Услуга по организации горячего питания")</f>
        <v>Услуга по организации горячего питания</v>
      </c>
      <c r="G16165" s="22" t="s">
        <v>145</v>
      </c>
      <c r="H16165" s="22" t="s">
        <v>145</v>
      </c>
      <c r="I16165" s="26">
        <v>43635.612094907403</v>
      </c>
      <c r="J16165" s="28" t="s">
        <v>51</v>
      </c>
      <c r="K16165" s="28" t="s">
        <v>51</v>
      </c>
      <c r="L16165" s="28" t="s">
        <v>51</v>
      </c>
      <c r="M16165" s="28" t="s">
        <v>51</v>
      </c>
      <c r="N16165" s="28" t="s">
        <v>51</v>
      </c>
    </row>
    <row r="16166" spans="1:14" x14ac:dyDescent="0.15">
      <c r="A16166" s="23" t="str">
        <f>HYPERLINK("https://www.spark-marketing.ru/Card/Person/13859", "УМВД РОССИИ ПО Г. МУРМАНСКУ")</f>
        <v>УМВД РОССИИ ПО Г. МУРМАНСКУ</v>
      </c>
      <c r="B16166" s="24" t="s">
        <v>345</v>
      </c>
      <c r="C16166" s="25">
        <v>20623.73</v>
      </c>
      <c r="D16166" s="22" t="s">
        <v>21190</v>
      </c>
      <c r="E16166" s="22" t="s">
        <v>48</v>
      </c>
      <c r="F16166" s="23" t="str">
        <f>HYPERLINK("https://www.spark-marketing.ru/Card/Lot/71495848", "Услуги общественного питания, 71 усл. ед")</f>
        <v>Услуги общественного питания, 71 усл. ед</v>
      </c>
      <c r="G16166" s="22" t="s">
        <v>340</v>
      </c>
      <c r="H16166" s="22" t="s">
        <v>341</v>
      </c>
      <c r="I16166" s="26">
        <v>43635.602650462999</v>
      </c>
      <c r="J16166" s="28" t="s">
        <v>51</v>
      </c>
      <c r="K16166" s="28" t="s">
        <v>51</v>
      </c>
      <c r="L16166" s="28" t="s">
        <v>51</v>
      </c>
      <c r="M16166" s="28" t="s">
        <v>51</v>
      </c>
      <c r="N16166" s="28" t="s">
        <v>51</v>
      </c>
    </row>
    <row r="16167" spans="1:14" x14ac:dyDescent="0.15">
      <c r="A16167" s="23" t="str">
        <f>HYPERLINK("https://www.spark-marketing.ru/Card/Person/74455", "ГБУ ""МДН""")</f>
        <v>ГБУ "МДН"</v>
      </c>
      <c r="B16167" s="24" t="s">
        <v>21191</v>
      </c>
      <c r="C16167" s="25">
        <v>2910105.75</v>
      </c>
      <c r="D16167" s="22" t="s">
        <v>21192</v>
      </c>
      <c r="E16167" s="22" t="s">
        <v>21193</v>
      </c>
      <c r="F16167" s="23" t="str">
        <f>HYPERLINK("https://www.spark-marketing.ru/Card/Lot/71500618", "Оказание услуг по организации приема делегаций из регионов Российской Федерации на празднование Дня города")</f>
        <v>Оказание услуг по организации приема делегаций из регионов Российской Федерации на празднование Дня города</v>
      </c>
      <c r="G16167" s="22" t="s">
        <v>56</v>
      </c>
      <c r="H16167" s="22" t="s">
        <v>56</v>
      </c>
      <c r="I16167" s="26">
        <v>43635.587500000001</v>
      </c>
      <c r="J16167" s="28" t="s">
        <v>51</v>
      </c>
      <c r="K16167" s="28" t="s">
        <v>51</v>
      </c>
      <c r="L16167" s="28" t="s">
        <v>51</v>
      </c>
      <c r="M16167" s="28" t="s">
        <v>51</v>
      </c>
      <c r="N16167" s="28" t="s">
        <v>51</v>
      </c>
    </row>
    <row r="16168" spans="1:14" x14ac:dyDescent="0.15">
      <c r="A16168" s="23" t="str">
        <f>HYPERLINK("https://www.spark-marketing.ru/Card/Person/13905", "ГБУЗ ""ДГКБ СВ.ВЛАДИМИРА ДЗМ""")</f>
        <v>ГБУЗ "ДГКБ СВ.ВЛАДИМИРА ДЗМ"</v>
      </c>
      <c r="B16168" s="24" t="s">
        <v>21194</v>
      </c>
      <c r="C16168" s="25">
        <v>498000</v>
      </c>
      <c r="D16168" s="22" t="s">
        <v>21195</v>
      </c>
      <c r="E16168" s="22" t="s">
        <v>13640</v>
      </c>
      <c r="F16168" s="23" t="str">
        <f>HYPERLINK("https://www.spark-marketing.ru/Card/Lot/71511398", "Аукцион в электронной форме на право заключения контракта по проведению работ (оказанию услуг) по методологической и консультационной поддержке сотрудников ГБУЗ ""ДГКБ св.Владимира ДЗМ"" по вопросам бухгалтерского учета, расчета заработной платы, кад...")</f>
        <v>Аукцион в электронной форме на право заключения контракта по проведению работ (оказанию услуг) по методологической и консультационной поддержке сотрудников ГБУЗ "ДГКБ св.Владимира ДЗМ" по вопросам бухгалтерского учета, расчета заработной платы, кад...</v>
      </c>
      <c r="G16168" s="22" t="s">
        <v>56</v>
      </c>
      <c r="H16168" s="22" t="s">
        <v>56</v>
      </c>
      <c r="I16168" s="26">
        <v>43635.608333333301</v>
      </c>
      <c r="J16168" s="28" t="s">
        <v>51</v>
      </c>
      <c r="K16168" s="28" t="s">
        <v>51</v>
      </c>
      <c r="L16168" s="28" t="s">
        <v>51</v>
      </c>
      <c r="M16168" s="28" t="s">
        <v>51</v>
      </c>
      <c r="N16168" s="28" t="s">
        <v>51</v>
      </c>
    </row>
    <row r="16169" spans="1:14" ht="12.75" hidden="1" outlineLevel="1" x14ac:dyDescent="0.2">
      <c r="A16169" s="23" t="str">
        <f>HYPERLINK("https://www.spark-marketing.ru/Card/Person/13905", "ГБУЗ ""ДГКБ СВ.ВЛАДИМИРА ДЗМ""")</f>
        <v>ГБУЗ "ДГКБ СВ.ВЛАДИМИРА ДЗМ"</v>
      </c>
      <c r="B16169" s="24" t="s">
        <v>21194</v>
      </c>
      <c r="C16169" s="25">
        <v>498000</v>
      </c>
      <c r="D16169" s="22" t="s">
        <v>21195</v>
      </c>
      <c r="E16169" s="22" t="s">
        <v>13640</v>
      </c>
      <c r="F16169" s="23" t="str">
        <f>HYPERLINK("https://www.spark-marketing.ru/Card/Lot/71511398", "Аукцион в электронной форме на право заключения контракта по проведению работ (оказанию услуг) по методологической и консультационной поддержке сотрудников ГБУЗ ""ДГКБ св.Владимира ДЗМ"" по вопросам бухгалтерского учета, расчета заработной платы, кад...")</f>
        <v>Аукцион в электронной форме на право заключения контракта по проведению работ (оказанию услуг) по методологической и консультационной поддержке сотрудников ГБУЗ "ДГКБ св.Владимира ДЗМ" по вопросам бухгалтерского учета, расчета заработной платы, кад...</v>
      </c>
      <c r="G16169" s="22" t="s">
        <v>56</v>
      </c>
      <c r="H16169" s="22" t="s">
        <v>56</v>
      </c>
      <c r="I16169" s="26">
        <v>43635.608333333301</v>
      </c>
      <c r="J16169" s="23" t="str">
        <f>HYPERLINK("https://www.spark-marketing.ru/Card/Person/94926", "ООО ""ДОРСОФТ""")</f>
        <v>ООО "ДОРСОФТ"</v>
      </c>
      <c r="K16169" s="24" t="s">
        <v>21196</v>
      </c>
      <c r="L16169" s="22" t="s">
        <v>10</v>
      </c>
      <c r="M16169" s="25">
        <v>493020</v>
      </c>
      <c r="N16169" s="27">
        <v>0.01</v>
      </c>
    </row>
    <row r="16170" spans="1:14" hidden="1" outlineLevel="1" x14ac:dyDescent="0.2">
      <c r="A16170" s="23" t="str">
        <f>HYPERLINK("https://www.spark-marketing.ru/Card/Person/13905", "ГБУЗ ""ДГКБ СВ.ВЛАДИМИРА ДЗМ""")</f>
        <v>ГБУЗ "ДГКБ СВ.ВЛАДИМИРА ДЗМ"</v>
      </c>
      <c r="B16170" s="24" t="s">
        <v>21194</v>
      </c>
      <c r="C16170" s="25">
        <v>498000</v>
      </c>
      <c r="D16170" s="22" t="s">
        <v>21195</v>
      </c>
      <c r="E16170" s="22" t="s">
        <v>13640</v>
      </c>
      <c r="F16170" s="23" t="str">
        <f>HYPERLINK("https://www.spark-marketing.ru/Card/Lot/71511398", "Аукцион в электронной форме на право заключения контракта по проведению работ (оказанию услуг) по методологической и консультационной поддержке сотрудников ГБУЗ ""ДГКБ св.Владимира ДЗМ"" по вопросам бухгалтерского учета, расчета заработной платы, кад...")</f>
        <v>Аукцион в электронной форме на право заключения контракта по проведению работ (оказанию услуг) по методологической и консультационной поддержке сотрудников ГБУЗ "ДГКБ св.Владимира ДЗМ" по вопросам бухгалтерского учета, расчета заработной платы, кад...</v>
      </c>
      <c r="G16170" s="22" t="s">
        <v>56</v>
      </c>
      <c r="H16170" s="22" t="s">
        <v>56</v>
      </c>
      <c r="I16170" s="26">
        <v>43635.608333333301</v>
      </c>
      <c r="J16170" s="23" t="str">
        <f>HYPERLINK("https://www.spark-marketing.ru/Card/Person/6528174", "ООО ""СЕРВИС ГОСУЧЕТА""")</f>
        <v>ООО "СЕРВИС ГОСУЧЕТА"</v>
      </c>
      <c r="K16170" s="24" t="s">
        <v>21197</v>
      </c>
      <c r="L16170" s="28" t="s">
        <v>51</v>
      </c>
      <c r="M16170" s="25">
        <v>495510</v>
      </c>
      <c r="N16170" s="27">
        <v>5.0000000000000001E-3</v>
      </c>
    </row>
    <row r="16171" spans="1:14" x14ac:dyDescent="0.15">
      <c r="A16171" s="23" t="str">
        <f>HYPERLINK("https://www.spark-marketing.ru/Card/Person/128119", "ОТДЕЛ МВД РОССИИ ПО Г. КИСЛОВОДСКУ")</f>
        <v>ОТДЕЛ МВД РОССИИ ПО Г. КИСЛОВОДСКУ</v>
      </c>
      <c r="B16171" s="24" t="s">
        <v>21198</v>
      </c>
      <c r="C16171" s="25">
        <v>440843.59</v>
      </c>
      <c r="D16171" s="22" t="s">
        <v>21199</v>
      </c>
      <c r="E16171" s="22" t="s">
        <v>48</v>
      </c>
      <c r="F16171" s="23" t="str">
        <f>HYPERLINK("https://www.spark-marketing.ru/Card/Lot/71512009", "Питание арестованных")</f>
        <v>Питание арестованных</v>
      </c>
      <c r="G16171" s="22" t="s">
        <v>87</v>
      </c>
      <c r="H16171" s="22" t="s">
        <v>221</v>
      </c>
      <c r="I16171" s="26">
        <v>43635.594444444403</v>
      </c>
      <c r="J16171" s="23" t="str">
        <f>HYPERLINK("https://www.spark-marketing.ru/Card/Person/6381202", "Алексанян Корюн Шамирович")</f>
        <v>Алексанян Корюн Шамирович</v>
      </c>
      <c r="K16171" s="24" t="s">
        <v>14870</v>
      </c>
      <c r="L16171" s="22" t="s">
        <v>10</v>
      </c>
      <c r="M16171" s="28" t="s">
        <v>51</v>
      </c>
      <c r="N16171" s="28" t="s">
        <v>51</v>
      </c>
    </row>
    <row r="16172" spans="1:14" x14ac:dyDescent="0.15">
      <c r="A16172" s="23" t="str">
        <f>HYPERLINK("https://www.spark-marketing.ru/Card/Person/129151", "МБОУ СОШ № 26 Г. СТАВРОПОЛЯ")</f>
        <v>МБОУ СОШ № 26 Г. СТАВРОПОЛЯ</v>
      </c>
      <c r="B16172" s="24" t="s">
        <v>21200</v>
      </c>
      <c r="C16172" s="25">
        <v>972190</v>
      </c>
      <c r="D16172" s="22" t="s">
        <v>21201</v>
      </c>
      <c r="E16172" s="22" t="s">
        <v>48</v>
      </c>
      <c r="F16172" s="23" t="str">
        <f>HYPERLINK("https://www.spark-marketing.ru/Card/Lot/71513088", "Услуги по организации питания учащихся МБОУ СОШ № 26 г. Ставрополя в сентябре-декабре 2019 года")</f>
        <v>Услуги по организации питания учащихся МБОУ СОШ № 26 г. Ставрополя в сентябре-декабре 2019 года</v>
      </c>
      <c r="G16172" s="22" t="s">
        <v>87</v>
      </c>
      <c r="H16172" s="22" t="s">
        <v>87</v>
      </c>
      <c r="I16172" s="26">
        <v>43635.598611111098</v>
      </c>
      <c r="J16172" s="23" t="str">
        <f>HYPERLINK("https://www.spark-marketing.ru/Card/Person/217327", "Карпачев Валерий Борисович")</f>
        <v>Карпачев Валерий Борисович</v>
      </c>
      <c r="K16172" s="24" t="s">
        <v>19656</v>
      </c>
      <c r="L16172" s="22" t="s">
        <v>10</v>
      </c>
      <c r="M16172" s="28" t="s">
        <v>51</v>
      </c>
      <c r="N16172" s="28" t="s">
        <v>51</v>
      </c>
    </row>
    <row r="16173" spans="1:14" x14ac:dyDescent="0.15">
      <c r="A16173" s="23" t="str">
        <f>HYPERLINK("https://www.spark-marketing.ru/Card/Person/45185", "МО МВД РОССИИ ""УЯРСКИЙ""")</f>
        <v>МО МВД РОССИИ "УЯРСКИЙ"</v>
      </c>
      <c r="B16173" s="24" t="s">
        <v>2374</v>
      </c>
      <c r="C16173" s="25">
        <v>1084200</v>
      </c>
      <c r="D16173" s="22" t="s">
        <v>21202</v>
      </c>
      <c r="E16173" s="22" t="s">
        <v>96</v>
      </c>
      <c r="F16173" s="23" t="str">
        <f>HYPERLINK("https://www.spark-marketing.ru/Card/Lot/71497348", "Оказание услугу по обеспечению горячим питанием лиц, содержащихся под стражей, и административно-арестованных лиц содержащихся в ИВС, а также лиц, задержанных на срок более трех часов, содержащихся в специальных помещениях дежурной части")</f>
        <v>Оказание услугу по обеспечению горячим питанием лиц, содержащихся под стражей, и административно-арестованных лиц содержащихся в ИВС, а также лиц, задержанных на срок более трех часов, содержащихся в специальных помещениях дежурной части</v>
      </c>
      <c r="G16173" s="22" t="s">
        <v>281</v>
      </c>
      <c r="H16173" s="22" t="s">
        <v>2376</v>
      </c>
      <c r="I16173" s="26">
        <v>43635.618750000001</v>
      </c>
      <c r="J16173" s="23" t="str">
        <f>HYPERLINK("https://www.spark-marketing.ru/Card/Person/81366", "КГБПОУ ""УЯРСКИЙ СЕЛЬСКОХОЗЯЙСТВЕННЫЙ ТЕХНИКУМ""")</f>
        <v>КГБПОУ "УЯРСКИЙ СЕЛЬСКОХОЗЯЙСТВЕННЫЙ ТЕХНИКУМ"</v>
      </c>
      <c r="K16173" s="24" t="s">
        <v>2377</v>
      </c>
      <c r="L16173" s="22" t="s">
        <v>10</v>
      </c>
      <c r="M16173" s="28" t="s">
        <v>51</v>
      </c>
      <c r="N16173" s="28" t="s">
        <v>51</v>
      </c>
    </row>
    <row r="16174" spans="1:14" x14ac:dyDescent="0.15">
      <c r="A16174" s="23" t="str">
        <f t="shared" ref="A16174:A16179" si="553">HYPERLINK("https://www.spark-marketing.ru/Card/Person/24095", "ОБУЗ ""ГОРШЕЧЕНСКАЯ ЦРБ""")</f>
        <v>ОБУЗ "ГОРШЕЧЕНСКАЯ ЦРБ"</v>
      </c>
      <c r="B16174" s="24" t="s">
        <v>21203</v>
      </c>
      <c r="C16174" s="25">
        <v>320073.59000000003</v>
      </c>
      <c r="D16174" s="22" t="s">
        <v>21204</v>
      </c>
      <c r="E16174" s="22" t="s">
        <v>62</v>
      </c>
      <c r="F16174" s="23" t="str">
        <f t="shared" ref="F16174:F16179" si="554">HYPERLINK("https://www.spark-marketing.ru/Card/Lot/71510244", "Поставка полиграфической продукции")</f>
        <v>Поставка полиграфической продукции</v>
      </c>
      <c r="G16174" s="22" t="s">
        <v>1111</v>
      </c>
      <c r="H16174" s="22" t="s">
        <v>12934</v>
      </c>
      <c r="I16174" s="26">
        <v>43635.595833333296</v>
      </c>
      <c r="J16174" s="28" t="s">
        <v>51</v>
      </c>
      <c r="K16174" s="28" t="s">
        <v>51</v>
      </c>
      <c r="L16174" s="28" t="s">
        <v>51</v>
      </c>
      <c r="M16174" s="28" t="s">
        <v>51</v>
      </c>
      <c r="N16174" s="28" t="s">
        <v>51</v>
      </c>
    </row>
    <row r="16175" spans="1:14" ht="12.75" hidden="1" outlineLevel="1" x14ac:dyDescent="0.2">
      <c r="A16175" s="23" t="str">
        <f t="shared" si="553"/>
        <v>ОБУЗ "ГОРШЕЧЕНСКАЯ ЦРБ"</v>
      </c>
      <c r="B16175" s="24" t="s">
        <v>21203</v>
      </c>
      <c r="C16175" s="25">
        <v>320073.59000000003</v>
      </c>
      <c r="D16175" s="22" t="s">
        <v>21204</v>
      </c>
      <c r="E16175" s="22" t="s">
        <v>62</v>
      </c>
      <c r="F16175" s="23" t="str">
        <f t="shared" si="554"/>
        <v>Поставка полиграфической продукции</v>
      </c>
      <c r="G16175" s="22" t="s">
        <v>1111</v>
      </c>
      <c r="H16175" s="22" t="s">
        <v>12934</v>
      </c>
      <c r="I16175" s="26">
        <v>43635.595833333296</v>
      </c>
      <c r="J16175" s="23" t="str">
        <f>HYPERLINK("https://www.spark-marketing.ru/Card/Person/339405", "ООО РИФ ""РУНА""")</f>
        <v>ООО РИФ "РУНА"</v>
      </c>
      <c r="K16175" s="24" t="s">
        <v>21205</v>
      </c>
      <c r="L16175" s="22" t="s">
        <v>10</v>
      </c>
      <c r="M16175" s="25">
        <v>148399.63</v>
      </c>
      <c r="N16175" s="27">
        <v>0.53635777947190211</v>
      </c>
    </row>
    <row r="16176" spans="1:14" hidden="1" outlineLevel="1" x14ac:dyDescent="0.2">
      <c r="A16176" s="23" t="str">
        <f t="shared" si="553"/>
        <v>ОБУЗ "ГОРШЕЧЕНСКАЯ ЦРБ"</v>
      </c>
      <c r="B16176" s="24" t="s">
        <v>21203</v>
      </c>
      <c r="C16176" s="25">
        <v>320073.59000000003</v>
      </c>
      <c r="D16176" s="22" t="s">
        <v>21204</v>
      </c>
      <c r="E16176" s="22" t="s">
        <v>62</v>
      </c>
      <c r="F16176" s="23" t="str">
        <f t="shared" si="554"/>
        <v>Поставка полиграфической продукции</v>
      </c>
      <c r="G16176" s="22" t="s">
        <v>1111</v>
      </c>
      <c r="H16176" s="22" t="s">
        <v>12934</v>
      </c>
      <c r="I16176" s="26">
        <v>43635.595833333296</v>
      </c>
      <c r="J16176" s="23" t="str">
        <f>HYPERLINK("https://www.spark-marketing.ru/Card/Person/70363", "ООО ""ВИННЕР - ПРИНТ""")</f>
        <v>ООО "ВИННЕР - ПРИНТ"</v>
      </c>
      <c r="K16176" s="24" t="s">
        <v>3048</v>
      </c>
      <c r="L16176" s="28" t="s">
        <v>51</v>
      </c>
      <c r="M16176" s="25">
        <v>150000</v>
      </c>
      <c r="N16176" s="27">
        <v>0.53135777306712495</v>
      </c>
    </row>
    <row r="16177" spans="1:14" hidden="1" outlineLevel="1" x14ac:dyDescent="0.2">
      <c r="A16177" s="23" t="str">
        <f t="shared" si="553"/>
        <v>ОБУЗ "ГОРШЕЧЕНСКАЯ ЦРБ"</v>
      </c>
      <c r="B16177" s="24" t="s">
        <v>21203</v>
      </c>
      <c r="C16177" s="25">
        <v>320073.59000000003</v>
      </c>
      <c r="D16177" s="22" t="s">
        <v>21204</v>
      </c>
      <c r="E16177" s="22" t="s">
        <v>62</v>
      </c>
      <c r="F16177" s="23" t="str">
        <f t="shared" si="554"/>
        <v>Поставка полиграфической продукции</v>
      </c>
      <c r="G16177" s="22" t="s">
        <v>1111</v>
      </c>
      <c r="H16177" s="22" t="s">
        <v>12934</v>
      </c>
      <c r="I16177" s="26">
        <v>43635.595833333296</v>
      </c>
      <c r="J16177" s="23" t="str">
        <f>HYPERLINK("https://www.spark-marketing.ru/Card/Person/6421268", "Головатый Александр Николаевич")</f>
        <v>Головатый Александр Николаевич</v>
      </c>
      <c r="K16177" s="24" t="s">
        <v>5206</v>
      </c>
      <c r="L16177" s="28" t="s">
        <v>51</v>
      </c>
      <c r="M16177" s="25">
        <v>233399</v>
      </c>
      <c r="N16177" s="27">
        <v>0.27079581917395934</v>
      </c>
    </row>
    <row r="16178" spans="1:14" hidden="1" outlineLevel="1" x14ac:dyDescent="0.2">
      <c r="A16178" s="23" t="str">
        <f t="shared" si="553"/>
        <v>ОБУЗ "ГОРШЕЧЕНСКАЯ ЦРБ"</v>
      </c>
      <c r="B16178" s="24" t="s">
        <v>21203</v>
      </c>
      <c r="C16178" s="25">
        <v>320073.59000000003</v>
      </c>
      <c r="D16178" s="22" t="s">
        <v>21204</v>
      </c>
      <c r="E16178" s="22" t="s">
        <v>62</v>
      </c>
      <c r="F16178" s="23" t="str">
        <f t="shared" si="554"/>
        <v>Поставка полиграфической продукции</v>
      </c>
      <c r="G16178" s="22" t="s">
        <v>1111</v>
      </c>
      <c r="H16178" s="22" t="s">
        <v>12934</v>
      </c>
      <c r="I16178" s="26">
        <v>43635.595833333296</v>
      </c>
      <c r="J16178" s="23" t="str">
        <f>HYPERLINK("https://www.spark-marketing.ru/Card/Person/681532", "Хомяков Николай Иванович")</f>
        <v>Хомяков Николай Иванович</v>
      </c>
      <c r="K16178" s="24" t="s">
        <v>21206</v>
      </c>
      <c r="L16178" s="28" t="s">
        <v>51</v>
      </c>
      <c r="M16178" s="25">
        <v>263399.63</v>
      </c>
      <c r="N16178" s="27">
        <v>0.17706540549003122</v>
      </c>
    </row>
    <row r="16179" spans="1:14" hidden="1" outlineLevel="1" x14ac:dyDescent="0.2">
      <c r="A16179" s="23" t="str">
        <f t="shared" si="553"/>
        <v>ОБУЗ "ГОРШЕЧЕНСКАЯ ЦРБ"</v>
      </c>
      <c r="B16179" s="24" t="s">
        <v>21203</v>
      </c>
      <c r="C16179" s="25">
        <v>320073.59000000003</v>
      </c>
      <c r="D16179" s="22" t="s">
        <v>21204</v>
      </c>
      <c r="E16179" s="22" t="s">
        <v>62</v>
      </c>
      <c r="F16179" s="23" t="str">
        <f t="shared" si="554"/>
        <v>Поставка полиграфической продукции</v>
      </c>
      <c r="G16179" s="22" t="s">
        <v>1111</v>
      </c>
      <c r="H16179" s="22" t="s">
        <v>12934</v>
      </c>
      <c r="I16179" s="26">
        <v>43635.595833333296</v>
      </c>
      <c r="J16179" s="23" t="str">
        <f>HYPERLINK("https://www.spark-marketing.ru/Card/Person/317671", "ООО ""МАРС-ПРИНТ""")</f>
        <v>ООО "МАРС-ПРИНТ"</v>
      </c>
      <c r="K16179" s="24" t="s">
        <v>7306</v>
      </c>
      <c r="L16179" s="28" t="s">
        <v>51</v>
      </c>
      <c r="M16179" s="25">
        <v>318473.21999999997</v>
      </c>
      <c r="N16179" s="27">
        <v>5.0000064047771011E-3</v>
      </c>
    </row>
    <row r="16180" spans="1:14" x14ac:dyDescent="0.15">
      <c r="A16180" s="23" t="str">
        <f>HYPERLINK("https://www.spark-marketing.ru/Card/Person/1001629", "СРЕДНЯЯ ШКОЛА № 7")</f>
        <v>СРЕДНЯЯ ШКОЛА № 7</v>
      </c>
      <c r="B16180" s="24" t="s">
        <v>21207</v>
      </c>
      <c r="C16180" s="25">
        <v>2040336</v>
      </c>
      <c r="D16180" s="22" t="s">
        <v>21208</v>
      </c>
      <c r="E16180" s="22" t="s">
        <v>51</v>
      </c>
      <c r="F16180" s="23" t="str">
        <f>HYPERLINK("https://www.spark-marketing.ru/Card/Lot/71500706", "Услуги по обеспечению питанием, осуществляемые по договору")</f>
        <v>Услуги по обеспечению питанием, осуществляемые по договору</v>
      </c>
      <c r="G16180" s="22" t="s">
        <v>174</v>
      </c>
      <c r="H16180" s="22" t="s">
        <v>7668</v>
      </c>
      <c r="I16180" s="26">
        <v>43635.591666666704</v>
      </c>
      <c r="J16180" s="28" t="s">
        <v>51</v>
      </c>
      <c r="K16180" s="28" t="s">
        <v>51</v>
      </c>
      <c r="L16180" s="28" t="s">
        <v>51</v>
      </c>
      <c r="M16180" s="28" t="s">
        <v>51</v>
      </c>
      <c r="N16180" s="28" t="s">
        <v>51</v>
      </c>
    </row>
    <row r="16181" spans="1:14" ht="12.75" hidden="1" outlineLevel="1" x14ac:dyDescent="0.2">
      <c r="A16181" s="23" t="str">
        <f>HYPERLINK("https://www.spark-marketing.ru/Card/Person/1001629", "СРЕДНЯЯ ШКОЛА № 7")</f>
        <v>СРЕДНЯЯ ШКОЛА № 7</v>
      </c>
      <c r="B16181" s="24" t="s">
        <v>21207</v>
      </c>
      <c r="C16181" s="25">
        <v>2040336</v>
      </c>
      <c r="D16181" s="22" t="s">
        <v>21208</v>
      </c>
      <c r="E16181" s="22" t="s">
        <v>51</v>
      </c>
      <c r="F16181" s="23" t="str">
        <f>HYPERLINK("https://www.spark-marketing.ru/Card/Lot/71500706", "Услуги по обеспечению питанием, осуществляемые по договору")</f>
        <v>Услуги по обеспечению питанием, осуществляемые по договору</v>
      </c>
      <c r="G16181" s="22" t="s">
        <v>174</v>
      </c>
      <c r="H16181" s="22" t="s">
        <v>7668</v>
      </c>
      <c r="I16181" s="26">
        <v>43635.591666666704</v>
      </c>
      <c r="J16181" s="23" t="str">
        <f>HYPERLINK("https://www.spark-marketing.ru/Card/Person/4425563", "ООО ""КРАСНОГОРСКОЕ""")</f>
        <v>ООО "КРАСНОГОРСКОЕ"</v>
      </c>
      <c r="K16181" s="24" t="s">
        <v>20580</v>
      </c>
      <c r="L16181" s="22" t="s">
        <v>10</v>
      </c>
      <c r="M16181" s="25">
        <v>1795495.68</v>
      </c>
      <c r="N16181" s="27">
        <v>0.12</v>
      </c>
    </row>
    <row r="16182" spans="1:14" hidden="1" outlineLevel="1" x14ac:dyDescent="0.2">
      <c r="A16182" s="23" t="str">
        <f>HYPERLINK("https://www.spark-marketing.ru/Card/Person/1001629", "СРЕДНЯЯ ШКОЛА № 7")</f>
        <v>СРЕДНЯЯ ШКОЛА № 7</v>
      </c>
      <c r="B16182" s="24" t="s">
        <v>21207</v>
      </c>
      <c r="C16182" s="25">
        <v>2040336</v>
      </c>
      <c r="D16182" s="22" t="s">
        <v>21208</v>
      </c>
      <c r="E16182" s="22" t="s">
        <v>51</v>
      </c>
      <c r="F16182" s="23" t="str">
        <f>HYPERLINK("https://www.spark-marketing.ru/Card/Lot/71500706", "Услуги по обеспечению питанием, осуществляемые по договору")</f>
        <v>Услуги по обеспечению питанием, осуществляемые по договору</v>
      </c>
      <c r="G16182" s="22" t="s">
        <v>174</v>
      </c>
      <c r="H16182" s="22" t="s">
        <v>7668</v>
      </c>
      <c r="I16182" s="26">
        <v>43635.591666666704</v>
      </c>
      <c r="J16182" s="23" t="str">
        <f>HYPERLINK("https://www.spark-marketing.ru/Card/Person/4952099", "ООО ""ТОП""")</f>
        <v>ООО "ТОП"</v>
      </c>
      <c r="K16182" s="24" t="s">
        <v>15133</v>
      </c>
      <c r="L16182" s="28" t="s">
        <v>51</v>
      </c>
      <c r="M16182" s="25">
        <v>1938319</v>
      </c>
      <c r="N16182" s="27">
        <v>5.0000098023070712E-2</v>
      </c>
    </row>
    <row r="16183" spans="1:14" x14ac:dyDescent="0.15">
      <c r="A16183" s="23" t="str">
        <f>HYPERLINK("https://www.spark-marketing.ru/Card/Person/128119", "ОТДЕЛ МВД РОССИИ ПО Г. КИСЛОВОДСКУ")</f>
        <v>ОТДЕЛ МВД РОССИИ ПО Г. КИСЛОВОДСКУ</v>
      </c>
      <c r="B16183" s="24" t="s">
        <v>21198</v>
      </c>
      <c r="C16183" s="25">
        <v>440843.59</v>
      </c>
      <c r="D16183" s="22" t="s">
        <v>21209</v>
      </c>
      <c r="E16183" s="22" t="s">
        <v>48</v>
      </c>
      <c r="F16183" s="23" t="str">
        <f>HYPERLINK("https://www.spark-marketing.ru/Card/Lot/71512008", "Питание арестованных")</f>
        <v>Питание арестованных</v>
      </c>
      <c r="G16183" s="22" t="s">
        <v>87</v>
      </c>
      <c r="H16183" s="22" t="s">
        <v>221</v>
      </c>
      <c r="I16183" s="26">
        <v>43635.596527777801</v>
      </c>
      <c r="J16183" s="23" t="str">
        <f>HYPERLINK("https://www.spark-marketing.ru/Card/Person/6381202", "Алексанян Корюн Шамирович")</f>
        <v>Алексанян Корюн Шамирович</v>
      </c>
      <c r="K16183" s="24" t="s">
        <v>14870</v>
      </c>
      <c r="L16183" s="22" t="s">
        <v>10</v>
      </c>
      <c r="M16183" s="28" t="s">
        <v>51</v>
      </c>
      <c r="N16183" s="28" t="s">
        <v>51</v>
      </c>
    </row>
    <row r="16184" spans="1:14" x14ac:dyDescent="0.15">
      <c r="A1618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184" s="24" t="s">
        <v>3255</v>
      </c>
      <c r="C16184" s="25">
        <v>1241085.4099999999</v>
      </c>
      <c r="D16184" s="22" t="s">
        <v>21210</v>
      </c>
      <c r="E16184" s="22" t="s">
        <v>52</v>
      </c>
      <c r="F16184" s="23" t="str">
        <f>HYPERLINK("https://www.spark-marketing.ru/Card/Lot/71485892", "Поставка лекарственного препарата для медицинского применения ""Метоксиполиэтиленгликоль-эпоэтин бета""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т...")</f>
        <v>Поставка лекарственного препарата для медицинского применения "Метоксиполиэтиленгликоль-эпоэтин бета"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т...</v>
      </c>
      <c r="G16184" s="22" t="s">
        <v>210</v>
      </c>
      <c r="H16184" s="22" t="s">
        <v>3257</v>
      </c>
      <c r="I16184" s="26">
        <v>43635.619444444397</v>
      </c>
      <c r="J16184" s="23" t="str">
        <f>HYPERLINK("https://www.spark-marketing.ru/Card/Person/4345864", "АО ""Р-ФАРМ""")</f>
        <v>АО "Р-ФАРМ"</v>
      </c>
      <c r="K16184" s="24" t="s">
        <v>11347</v>
      </c>
      <c r="L16184" s="22" t="s">
        <v>10</v>
      </c>
      <c r="M16184" s="28" t="s">
        <v>51</v>
      </c>
      <c r="N16184" s="28" t="s">
        <v>51</v>
      </c>
    </row>
    <row r="16185" spans="1:14" x14ac:dyDescent="0.15">
      <c r="A16185" s="23" t="str">
        <f>HYPERLINK("https://www.spark-marketing.ru/Card/Person/57579", "АДМИНИСТРАЦИЯ ТАРСКОГО МУНИЦИПАЛЬНОГО РАЙОНА")</f>
        <v>АДМИНИСТРАЦИЯ ТАРСКОГО МУНИЦИПАЛЬНОГО РАЙОНА</v>
      </c>
      <c r="B16185" s="24" t="s">
        <v>21211</v>
      </c>
      <c r="C16185" s="25">
        <v>50400</v>
      </c>
      <c r="D16185" s="22" t="s">
        <v>21212</v>
      </c>
      <c r="E16185" s="22" t="s">
        <v>96</v>
      </c>
      <c r="F16185" s="23" t="str">
        <f>HYPERLINK("https://www.spark-marketing.ru/Card/Lot/71506853", "Оказание услуг по организации питания для достижения целей и реализации мероприятий, предусмотренных муниципальными программами")</f>
        <v>Оказание услуг по организации питания для достижения целей и реализации мероприятий, предусмотренных муниципальными программами</v>
      </c>
      <c r="G16185" s="22" t="s">
        <v>487</v>
      </c>
      <c r="H16185" s="22" t="s">
        <v>21213</v>
      </c>
      <c r="I16185" s="26">
        <v>43635.607638888898</v>
      </c>
      <c r="J16185" s="23" t="str">
        <f>HYPERLINK("https://www.spark-marketing.ru/Card/Person/1423385", "Годяев Сергей Викторович")</f>
        <v>Годяев Сергей Викторович</v>
      </c>
      <c r="K16185" s="24" t="s">
        <v>21214</v>
      </c>
      <c r="L16185" s="22" t="s">
        <v>10</v>
      </c>
      <c r="M16185" s="28" t="s">
        <v>51</v>
      </c>
      <c r="N16185" s="28" t="s">
        <v>51</v>
      </c>
    </row>
    <row r="16186" spans="1:14" x14ac:dyDescent="0.2">
      <c r="A16186" s="23" t="str">
        <f>HYPERLINK("https://www.spark-marketing.ru/Card/Person/2477557", "МАУ ФК ""РУБИН""")</f>
        <v>МАУ ФК "РУБИН"</v>
      </c>
      <c r="B16186" s="24" t="s">
        <v>4821</v>
      </c>
      <c r="C16186" s="25">
        <v>763830</v>
      </c>
      <c r="D16186" s="22" t="s">
        <v>21215</v>
      </c>
      <c r="E16186" s="22" t="s">
        <v>4823</v>
      </c>
      <c r="F16186" s="23" t="str">
        <f>HYPERLINK("https://www.spark-marketing.ru/Card/Lot/71496899", "Услуги по организации проживания и питания команд Академии ФК «Рубин» 2002 г.р. для участия в Финале Первенства России (г.Москва)")</f>
        <v>Услуги по организации проживания и питания команд Академии ФК «Рубин» 2002 г.р. для участия в Финале Первенства России (г.Москва)</v>
      </c>
      <c r="G16186" s="22" t="s">
        <v>217</v>
      </c>
      <c r="H16186" s="22" t="s">
        <v>217</v>
      </c>
      <c r="I16186" s="26">
        <v>43635.610300925902</v>
      </c>
      <c r="J16186" s="23" t="str">
        <f>HYPERLINK("https://www.spark-marketing.ru/Card/Person/4367431", "АО ТГК ""ИЗМАЙЛОВО""")</f>
        <v>АО ТГК "ИЗМАЙЛОВО"</v>
      </c>
      <c r="K16186" s="24" t="s">
        <v>21216</v>
      </c>
      <c r="L16186" s="28" t="s">
        <v>51</v>
      </c>
      <c r="M16186" s="25">
        <v>763830</v>
      </c>
      <c r="N16186" s="27">
        <v>0</v>
      </c>
    </row>
    <row r="16187" spans="1:14" x14ac:dyDescent="0.15">
      <c r="A16187" s="23" t="str">
        <f>HYPERLINK("https://www.spark-marketing.ru/Card/Person/1013025", "ФКУ ""ЦУКС ГУ МЧС РОССИИ ПО РЯЗАНСКОЙ ОБЛАСТИ""")</f>
        <v>ФКУ "ЦУКС ГУ МЧС РОССИИ ПО РЯЗАНСКОЙ ОБЛАСТИ"</v>
      </c>
      <c r="B16187" s="24" t="s">
        <v>4839</v>
      </c>
      <c r="C16187" s="25">
        <v>98000</v>
      </c>
      <c r="D16187" s="22" t="s">
        <v>21217</v>
      </c>
      <c r="E16187" s="22" t="s">
        <v>48</v>
      </c>
      <c r="F16187" s="23" t="str">
        <f>HYPERLINK("https://www.spark-marketing.ru/Card/Lot/71496767", "Услуги по обеспечению питанием, осуществляемые по договору, 245 усл. ед")</f>
        <v>Услуги по обеспечению питанием, осуществляемые по договору, 245 усл. ед</v>
      </c>
      <c r="G16187" s="22" t="s">
        <v>1522</v>
      </c>
      <c r="H16187" s="22" t="s">
        <v>1523</v>
      </c>
      <c r="I16187" s="26">
        <v>43635.617870370399</v>
      </c>
      <c r="J16187" s="28" t="s">
        <v>51</v>
      </c>
      <c r="K16187" s="28" t="s">
        <v>51</v>
      </c>
      <c r="L16187" s="28" t="s">
        <v>51</v>
      </c>
      <c r="M16187" s="28" t="s">
        <v>51</v>
      </c>
      <c r="N16187" s="28" t="s">
        <v>51</v>
      </c>
    </row>
    <row r="16188" spans="1:14" x14ac:dyDescent="0.15">
      <c r="A16188" s="23" t="str">
        <f>HYPERLINK("https://www.spark-marketing.ru/Card/Person/4348382", "ООО ""ГАЗПРОМ ПИТАНИЕ""")</f>
        <v>ООО "ГАЗПРОМ ПИТАНИЕ"</v>
      </c>
      <c r="B16188" s="24" t="s">
        <v>2869</v>
      </c>
      <c r="C16188" s="25">
        <v>232825</v>
      </c>
      <c r="D16188" s="22" t="s">
        <v>21218</v>
      </c>
      <c r="E16188" s="22" t="s">
        <v>3561</v>
      </c>
      <c r="F16188" s="23" t="str">
        <f>HYPERLINK("https://www.spark-marketing.ru/Card/Lot/71499334", "Оказание медицинских услуг по проведению обязательных периодических медицинских осмотров для нужд ООО ""Газпром питание"" в г. Оренбурге в 2019 году")</f>
        <v>Оказание медицинских услуг по проведению обязательных периодических медицинских осмотров для нужд ООО "Газпром питание" в г. Оренбурге в 2019 году</v>
      </c>
      <c r="G16188" s="22" t="s">
        <v>56</v>
      </c>
      <c r="H16188" s="22" t="s">
        <v>56</v>
      </c>
      <c r="I16188" s="26">
        <v>43635.623645833301</v>
      </c>
      <c r="J16188" s="28" t="s">
        <v>51</v>
      </c>
      <c r="K16188" s="28" t="s">
        <v>51</v>
      </c>
      <c r="L16188" s="28" t="s">
        <v>51</v>
      </c>
      <c r="M16188" s="28" t="s">
        <v>51</v>
      </c>
      <c r="N16188" s="28" t="s">
        <v>51</v>
      </c>
    </row>
    <row r="16189" spans="1:14" x14ac:dyDescent="0.15">
      <c r="A16189" s="23" t="str">
        <f>HYPERLINK("https://www.spark-marketing.ru/Card/Person/2049498", "РОССИЙСКАЯ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""РОССИЙСКАЯ АКАДЕМИЯ НАРОДНОГО ХОЗЯЙСТВА И ГОСУДАРСТВЕННОЙ ...")</f>
        <v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...</v>
      </c>
      <c r="B16189" s="24" t="s">
        <v>2235</v>
      </c>
      <c r="C16189" s="25">
        <v>555392</v>
      </c>
      <c r="D16189" s="22" t="s">
        <v>21219</v>
      </c>
      <c r="E16189" s="22" t="s">
        <v>362</v>
      </c>
      <c r="F16189" s="23" t="str">
        <f>HYPERLINK("https://www.spark-marketing.ru/Card/Lot/71495189", "Оказание услуг по обеспечению питания участников IV Международного форума «Государственное управление: роль граждан в построении цифрового государства»")</f>
        <v>Оказание услуг по обеспечению питания участников IV Международного форума «Государственное управление: роль граждан в построении цифрового государства»</v>
      </c>
      <c r="G16189" s="22" t="s">
        <v>117</v>
      </c>
      <c r="H16189" s="22" t="s">
        <v>117</v>
      </c>
      <c r="I16189" s="26">
        <v>43635.5761458333</v>
      </c>
      <c r="J16189" s="28" t="s">
        <v>51</v>
      </c>
      <c r="K16189" s="28" t="s">
        <v>51</v>
      </c>
      <c r="L16189" s="28" t="s">
        <v>51</v>
      </c>
      <c r="M16189" s="28" t="s">
        <v>51</v>
      </c>
      <c r="N16189" s="28" t="s">
        <v>51</v>
      </c>
    </row>
    <row r="16190" spans="1:14" x14ac:dyDescent="0.2">
      <c r="A16190" s="23" t="str">
        <f>HYPERLINK("https://www.spark-marketing.ru/Card/Person/1762020", "АУК РБ ""БРТК ""УЛЬГЭР""")</f>
        <v>АУК РБ "БРТК "УЛЬГЭР"</v>
      </c>
      <c r="B16190" s="24" t="s">
        <v>21220</v>
      </c>
      <c r="C16190" s="25">
        <v>1720000</v>
      </c>
      <c r="D16190" s="22" t="s">
        <v>21221</v>
      </c>
      <c r="E16190" s="22" t="s">
        <v>5537</v>
      </c>
      <c r="F16190" s="23" t="str">
        <f>HYPERLINK("https://www.spark-marketing.ru/Card/Lot/71484321", "Оказание услуг по обеспечению проживания и питания участников творческого проекта «Театр и школа: «Байкальский эксперимент»")</f>
        <v>Оказание услуг по обеспечению проживания и питания участников творческого проекта «Театр и школа: «Байкальский эксперимент»</v>
      </c>
      <c r="G16190" s="22" t="s">
        <v>433</v>
      </c>
      <c r="H16190" s="22" t="s">
        <v>974</v>
      </c>
      <c r="I16190" s="26">
        <v>43635.576180555603</v>
      </c>
      <c r="J16190" s="28" t="s">
        <v>51</v>
      </c>
      <c r="K16190" s="28" t="s">
        <v>51</v>
      </c>
      <c r="L16190" s="28" t="s">
        <v>51</v>
      </c>
      <c r="M16190" s="25">
        <v>1720000</v>
      </c>
      <c r="N16190" s="27">
        <v>0</v>
      </c>
    </row>
    <row r="16191" spans="1:14" x14ac:dyDescent="0.15">
      <c r="A16191" s="23" t="str">
        <f>HYPERLINK("https://www.spark-marketing.ru/Card/Person/1983199", "ДИРЕКЦИЯ СОЦИАЛЬНОЙ СФЕРЫ ЮЖНО УРАЛЬСКОЙ ЖЕЛЕЗНОЙ ДОРОГИ ФЛ ОАО РЖД")</f>
        <v>ДИРЕКЦИЯ СОЦИАЛЬНОЙ СФЕРЫ ЮЖНО УРАЛЬСКОЙ ЖЕЛЕЗНОЙ ДОРОГИ ФЛ ОАО РЖД</v>
      </c>
      <c r="B16191" s="24" t="s">
        <v>330</v>
      </c>
      <c r="C16191" s="25">
        <v>182469.84</v>
      </c>
      <c r="D16191" s="28" t="s">
        <v>51</v>
      </c>
      <c r="E16191" s="22" t="s">
        <v>152</v>
      </c>
      <c r="F16191" s="23" t="str">
        <f>HYPERLINK("https://www.spark-marketing.ru/Card/Lot/71495227", "№19257 Оказание услуг по обслуживанию кухонного и холодильного оборудования для комбината общественного питания ДКЖ г. Челябинск")</f>
        <v>№19257 Оказание услуг по обслуживанию кухонного и холодильного оборудования для комбината общественного питания ДКЖ г. Челябинск</v>
      </c>
      <c r="G16191" s="22" t="s">
        <v>51</v>
      </c>
      <c r="H16191" s="22" t="s">
        <v>51</v>
      </c>
      <c r="I16191" s="26">
        <v>43635.572361111103</v>
      </c>
      <c r="J16191" s="28" t="s">
        <v>51</v>
      </c>
      <c r="K16191" s="28" t="s">
        <v>51</v>
      </c>
      <c r="L16191" s="28" t="s">
        <v>51</v>
      </c>
      <c r="M16191" s="28" t="s">
        <v>51</v>
      </c>
      <c r="N16191" s="28" t="s">
        <v>51</v>
      </c>
    </row>
    <row r="16192" spans="1:14" x14ac:dyDescent="0.15">
      <c r="A16192" s="23" t="str">
        <f>HYPERLINK("https://www.spark-marketing.ru/Card/Person/34132", "СПБ ГБПОУ ""УОР № 1""")</f>
        <v>СПБ ГБПОУ "УОР № 1"</v>
      </c>
      <c r="B16192" s="24" t="s">
        <v>632</v>
      </c>
      <c r="C16192" s="25">
        <v>1718855.2</v>
      </c>
      <c r="D16192" s="22" t="s">
        <v>21222</v>
      </c>
      <c r="E16192" s="22" t="s">
        <v>51</v>
      </c>
      <c r="F16192" s="23" t="str">
        <f>HYPERLINK("https://www.spark-marketing.ru/Card/Lot/71499198", "Оказание услуг по обеспечению участия занимающихся государственных бюджетных учреждений в тренировочных мероприятиях в Санкт-Петербурге с учетом питания и проживания для отделения триатлон для нужд СПБ ГБПОУ ""УОР №1""")</f>
        <v>Оказание услуг по обеспечению участия занимающихся государственных бюджетных учреждений в тренировочных мероприятиях в Санкт-Петербурге с учетом питания и проживания для отделения триатлон для нужд СПБ ГБПОУ "УОР №1"</v>
      </c>
      <c r="G16192" s="22" t="s">
        <v>117</v>
      </c>
      <c r="H16192" s="22" t="s">
        <v>117</v>
      </c>
      <c r="I16192" s="26">
        <v>43635.577083333301</v>
      </c>
      <c r="J16192" s="23" t="str">
        <f>HYPERLINK("https://www.spark-marketing.ru/Card/Person/536300", "ООО ""ЕВРОСПОРТ""")</f>
        <v>ООО "ЕВРОСПОРТ"</v>
      </c>
      <c r="K16192" s="24" t="s">
        <v>9987</v>
      </c>
      <c r="L16192" s="22" t="s">
        <v>10</v>
      </c>
      <c r="M16192" s="28" t="s">
        <v>51</v>
      </c>
      <c r="N16192" s="28" t="s">
        <v>51</v>
      </c>
    </row>
    <row r="16193" spans="1:14" x14ac:dyDescent="0.15">
      <c r="A16193" s="23" t="str">
        <f>HYPERLINK("https://www.spark-marketing.ru/Card/Person/19855", "ОГБУ ""СЛУЖБА ХОЗЯЙСТВЕННОГО ОБЕСПЕЧЕНИЯ""")</f>
        <v>ОГБУ "СЛУЖБА ХОЗЯЙСТВЕННОГО ОБЕСПЕЧЕНИЯ"</v>
      </c>
      <c r="B16193" s="24" t="s">
        <v>12707</v>
      </c>
      <c r="C16193" s="25">
        <v>400000</v>
      </c>
      <c r="D16193" s="22" t="s">
        <v>21223</v>
      </c>
      <c r="E16193" s="22" t="s">
        <v>48</v>
      </c>
      <c r="F16193" s="23" t="str">
        <f>HYPERLINK("https://www.spark-marketing.ru/Card/Lot/71494705", "Оказание услуг по питанию")</f>
        <v>Оказание услуг по питанию</v>
      </c>
      <c r="G16193" s="22" t="s">
        <v>149</v>
      </c>
      <c r="H16193" s="22" t="s">
        <v>496</v>
      </c>
      <c r="I16193" s="26">
        <v>43635.567361111098</v>
      </c>
      <c r="J16193" s="28" t="s">
        <v>51</v>
      </c>
      <c r="K16193" s="28" t="s">
        <v>51</v>
      </c>
      <c r="L16193" s="28" t="s">
        <v>51</v>
      </c>
      <c r="M16193" s="28" t="s">
        <v>51</v>
      </c>
      <c r="N16193" s="28" t="s">
        <v>51</v>
      </c>
    </row>
    <row r="16194" spans="1:14" x14ac:dyDescent="0.2">
      <c r="A16194" s="23" t="str">
        <f>HYPERLINK("https://www.spark-marketing.ru/Card/Person/46816", "МАУЗ ДГКБ № 8")</f>
        <v>МАУЗ ДГКБ № 8</v>
      </c>
      <c r="B16194" s="24" t="s">
        <v>19993</v>
      </c>
      <c r="C16194" s="25">
        <v>14266830</v>
      </c>
      <c r="D16194" s="22" t="s">
        <v>21224</v>
      </c>
      <c r="E16194" s="22" t="s">
        <v>362</v>
      </c>
      <c r="F16194" s="23" t="str">
        <f>HYPERLINK("https://www.spark-marketing.ru/Card/Lot/71490080", "Услуги по организации лечебного питания для пациентов круглосуточного стационара")</f>
        <v>Услуги по организации лечебного питания для пациентов круглосуточного стационара</v>
      </c>
      <c r="G16194" s="22" t="s">
        <v>469</v>
      </c>
      <c r="H16194" s="22" t="s">
        <v>469</v>
      </c>
      <c r="I16194" s="26">
        <v>43635.5441782407</v>
      </c>
      <c r="J16194" s="28" t="s">
        <v>51</v>
      </c>
      <c r="K16194" s="28" t="s">
        <v>51</v>
      </c>
      <c r="L16194" s="22" t="s">
        <v>10</v>
      </c>
      <c r="M16194" s="25">
        <v>14260747.25</v>
      </c>
      <c r="N16194" s="27">
        <v>4.2635610012876023E-4</v>
      </c>
    </row>
    <row r="16195" spans="1:14" x14ac:dyDescent="0.15">
      <c r="A16195" s="23" t="str">
        <f>HYPERLINK("https://www.spark-marketing.ru/Card/Person/217481", "ФКУ ИК-32 ОУХД ГУФСИН РОССИИ ПО ИРКУТСКОЙ ОБЛАСТИ")</f>
        <v>ФКУ ИК-32 ОУХД ГУФСИН РОССИИ ПО ИРКУТСКОЙ ОБЛАСТИ</v>
      </c>
      <c r="B16195" s="24" t="s">
        <v>10050</v>
      </c>
      <c r="C16195" s="25">
        <v>146750</v>
      </c>
      <c r="D16195" s="22" t="s">
        <v>21225</v>
      </c>
      <c r="E16195" s="22" t="s">
        <v>10052</v>
      </c>
      <c r="F16195" s="23" t="str">
        <f>HYPERLINK("https://www.spark-marketing.ru/Card/Lot/71484999", "Прочая закупка товаров, работ и услуг (Продукты питания для столовой)")</f>
        <v>Прочая закупка товаров, работ и услуг (Продукты питания для столовой)</v>
      </c>
      <c r="G16195" s="22" t="s">
        <v>263</v>
      </c>
      <c r="H16195" s="22" t="s">
        <v>10053</v>
      </c>
      <c r="I16195" s="26">
        <v>43635.582638888904</v>
      </c>
      <c r="J16195" s="28" t="s">
        <v>51</v>
      </c>
      <c r="K16195" s="28" t="s">
        <v>51</v>
      </c>
      <c r="L16195" s="28" t="s">
        <v>51</v>
      </c>
      <c r="M16195" s="28" t="s">
        <v>51</v>
      </c>
      <c r="N16195" s="28" t="s">
        <v>51</v>
      </c>
    </row>
    <row r="16196" spans="1:14" x14ac:dyDescent="0.15">
      <c r="A16196" s="23" t="str">
        <f>HYPERLINK("https://www.spark-marketing.ru/Card/Person/4348382", "ООО ""ГАЗПРОМ ПИТАНИЕ""")</f>
        <v>ООО "ГАЗПРОМ ПИТАНИЕ"</v>
      </c>
      <c r="B16196" s="24" t="s">
        <v>2869</v>
      </c>
      <c r="C16196" s="25">
        <v>158840</v>
      </c>
      <c r="D16196" s="22" t="s">
        <v>21226</v>
      </c>
      <c r="E16196" s="22" t="s">
        <v>52</v>
      </c>
      <c r="F16196" s="23" t="str">
        <f>HYPERLINK("https://www.spark-marketing.ru/Card/Lot/71495380", "Услуги по установке ремней безопасности на автобусы для нужд филиала ухтинское уооп ооо ""газпром питание""")</f>
        <v>Услуги по установке ремней безопасности на автобусы для нужд филиала ухтинское уооп ооо "газпром питание"</v>
      </c>
      <c r="G16196" s="22" t="s">
        <v>56</v>
      </c>
      <c r="H16196" s="22" t="s">
        <v>56</v>
      </c>
      <c r="I16196" s="26">
        <v>43635.579166666699</v>
      </c>
      <c r="J16196" s="28" t="s">
        <v>51</v>
      </c>
      <c r="K16196" s="28" t="s">
        <v>51</v>
      </c>
      <c r="L16196" s="28" t="s">
        <v>51</v>
      </c>
      <c r="M16196" s="28" t="s">
        <v>51</v>
      </c>
      <c r="N16196" s="28" t="s">
        <v>51</v>
      </c>
    </row>
    <row r="16197" spans="1:14" x14ac:dyDescent="0.15">
      <c r="A16197" s="23" t="str">
        <f>HYPERLINK("https://www.spark-marketing.ru/Card/Person/16753", "ГБУЗ ЯО ""КБ № 10""")</f>
        <v>ГБУЗ ЯО "КБ № 10"</v>
      </c>
      <c r="B16197" s="24" t="s">
        <v>21227</v>
      </c>
      <c r="C16197" s="25">
        <v>2754000</v>
      </c>
      <c r="D16197" s="22" t="s">
        <v>21228</v>
      </c>
      <c r="E16197" s="22" t="s">
        <v>48</v>
      </c>
      <c r="F16197" s="23" t="str">
        <f>HYPERLINK("https://www.spark-marketing.ru/Card/Lot/71500405", "Оказание услуг по организации и доставке горячего лечебного питания")</f>
        <v>Оказание услуг по организации и доставке горячего лечебного питания</v>
      </c>
      <c r="G16197" s="22" t="s">
        <v>185</v>
      </c>
      <c r="H16197" s="22" t="s">
        <v>3365</v>
      </c>
      <c r="I16197" s="26">
        <v>43635.565972222197</v>
      </c>
      <c r="J16197" s="23" t="str">
        <f>HYPERLINK("https://www.spark-marketing.ru/Card/Person/6625904", "ООО ""ЕДОФФ""")</f>
        <v>ООО "ЕДОФФ"</v>
      </c>
      <c r="K16197" s="24" t="s">
        <v>21229</v>
      </c>
      <c r="L16197" s="22" t="s">
        <v>10</v>
      </c>
      <c r="M16197" s="28" t="s">
        <v>51</v>
      </c>
      <c r="N16197" s="28" t="s">
        <v>51</v>
      </c>
    </row>
    <row r="16198" spans="1:14" x14ac:dyDescent="0.2">
      <c r="A16198" s="23" t="str">
        <f>HYPERLINK("https://www.spark-marketing.ru/Card/Person/107537", "ТНЦ СО РАН")</f>
        <v>ТНЦ СО РАН</v>
      </c>
      <c r="B16198" s="24" t="s">
        <v>14373</v>
      </c>
      <c r="C16198" s="25">
        <v>922500</v>
      </c>
      <c r="D16198" s="22" t="s">
        <v>21230</v>
      </c>
      <c r="E16198" s="22" t="s">
        <v>2217</v>
      </c>
      <c r="F16198" s="23" t="str">
        <f>HYPERLINK("https://www.spark-marketing.ru/Card/Lot/71486928", "Оказание услуг общественного питания ( поставка завтраков для проживающих в «Конгресс-Центре «Рубин»")</f>
        <v>Оказание услуг общественного питания ( поставка завтраков для проживающих в «Конгресс-Центре «Рубин»</v>
      </c>
      <c r="G16198" s="22" t="s">
        <v>149</v>
      </c>
      <c r="H16198" s="22" t="s">
        <v>496</v>
      </c>
      <c r="I16198" s="26">
        <v>43635.520451388897</v>
      </c>
      <c r="J16198" s="28" t="s">
        <v>51</v>
      </c>
      <c r="K16198" s="28" t="s">
        <v>51</v>
      </c>
      <c r="L16198" s="22" t="s">
        <v>10</v>
      </c>
      <c r="M16198" s="25">
        <v>922500</v>
      </c>
      <c r="N16198" s="27">
        <v>0</v>
      </c>
    </row>
    <row r="16199" spans="1:14" ht="12.75" x14ac:dyDescent="0.2">
      <c r="A16199" s="23" t="str">
        <f>HYPERLINK("https://www.spark-marketing.ru/Card/Person/1078096", "МОУ ""СОШ № 6""")</f>
        <v>МОУ "СОШ № 6"</v>
      </c>
      <c r="B16199" s="24" t="s">
        <v>21231</v>
      </c>
      <c r="C16199" s="25">
        <v>1397924.06</v>
      </c>
      <c r="D16199" s="22" t="s">
        <v>21232</v>
      </c>
      <c r="E16199" s="22" t="s">
        <v>48</v>
      </c>
      <c r="F16199" s="23" t="str">
        <f>HYPERLINK("https://www.spark-marketing.ru/Card/Lot/71485905", "Услуги по организации питания учащихся в соответствии с техническим заданием Заказчика")</f>
        <v>Услуги по организации питания учащихся в соответствии с техническим заданием Заказчика</v>
      </c>
      <c r="G16199" s="22" t="s">
        <v>149</v>
      </c>
      <c r="H16199" s="22" t="s">
        <v>1025</v>
      </c>
      <c r="I16199" s="26">
        <v>43635.504166666702</v>
      </c>
      <c r="J16199" s="23" t="str">
        <f>HYPERLINK("https://www.spark-marketing.ru/Card/Person/569088", "ООО ""ТПУ""")</f>
        <v>ООО "ТПУ"</v>
      </c>
      <c r="K16199" s="24" t="s">
        <v>21027</v>
      </c>
      <c r="L16199" s="22" t="s">
        <v>10</v>
      </c>
      <c r="M16199" s="25">
        <v>1397924.06</v>
      </c>
      <c r="N16199" s="27">
        <v>0</v>
      </c>
    </row>
    <row r="16200" spans="1:14" x14ac:dyDescent="0.15">
      <c r="A16200" s="23" t="str">
        <f>HYPERLINK("https://www.spark-marketing.ru/Card/Person/383088", "ОМВД РОССИИ ПО СОЛЕЦКОМУ РАЙОНУ")</f>
        <v>ОМВД РОССИИ ПО СОЛЕЦКОМУ РАЙОНУ</v>
      </c>
      <c r="B16200" s="24" t="s">
        <v>7282</v>
      </c>
      <c r="C16200" s="25">
        <v>51000</v>
      </c>
      <c r="D16200" s="22" t="s">
        <v>21233</v>
      </c>
      <c r="E16200" s="22" t="s">
        <v>96</v>
      </c>
      <c r="F16200" s="23" t="str">
        <f>HYPERLINK("https://www.spark-marketing.ru/Card/Lot/71491277", "Оказание услуг по организации питания (приготовлению и доставке), 170 шт")</f>
        <v>Оказание услуг по организации питания (приготовлению и доставке), 170 шт</v>
      </c>
      <c r="G16200" s="22" t="s">
        <v>849</v>
      </c>
      <c r="H16200" s="22" t="s">
        <v>7284</v>
      </c>
      <c r="I16200" s="26">
        <v>43635.513148148202</v>
      </c>
      <c r="J16200" s="28" t="s">
        <v>51</v>
      </c>
      <c r="K16200" s="28" t="s">
        <v>51</v>
      </c>
      <c r="L16200" s="28" t="s">
        <v>51</v>
      </c>
      <c r="M16200" s="28" t="s">
        <v>51</v>
      </c>
      <c r="N16200" s="28" t="s">
        <v>51</v>
      </c>
    </row>
    <row r="16201" spans="1:14" x14ac:dyDescent="0.15">
      <c r="A16201" s="23" t="str">
        <f>HYPERLINK("https://www.spark-marketing.ru/Card/Person/4366800", "ФГКУ ""ОВО ВНГ РОССИИ ПО КАМЧАТСКОМУ КРАЮ""")</f>
        <v>ФГКУ "ОВО ВНГ РОССИИ ПО КАМЧАТСКОМУ КРАЮ"</v>
      </c>
      <c r="B16201" s="24" t="s">
        <v>21234</v>
      </c>
      <c r="C16201" s="25">
        <v>53247.42</v>
      </c>
      <c r="D16201" s="22" t="s">
        <v>21235</v>
      </c>
      <c r="E16201" s="22" t="s">
        <v>603</v>
      </c>
      <c r="F16201" s="23" t="str">
        <f>HYPERLINK("https://www.spark-marketing.ru/Card/Lot/71478505", "Оказание услуг по поверке приборов измерения")</f>
        <v>Оказание услуг по поверке приборов измерения</v>
      </c>
      <c r="G16201" s="22" t="s">
        <v>246</v>
      </c>
      <c r="H16201" s="22" t="s">
        <v>246</v>
      </c>
      <c r="I16201" s="26">
        <v>43635.515277777798</v>
      </c>
      <c r="J16201" s="23" t="str">
        <f>HYPERLINK("https://www.spark-marketing.ru/Card/Person/231456", "ФБУ ""КАМЧАТСКИЙ ЦСМ""")</f>
        <v>ФБУ "КАМЧАТСКИЙ ЦСМ"</v>
      </c>
      <c r="K16201" s="24" t="s">
        <v>21236</v>
      </c>
      <c r="L16201" s="22" t="s">
        <v>10</v>
      </c>
      <c r="M16201" s="28" t="s">
        <v>51</v>
      </c>
      <c r="N16201" s="28" t="s">
        <v>51</v>
      </c>
    </row>
    <row r="16202" spans="1:14" ht="12.75" x14ac:dyDescent="0.2">
      <c r="A16202" s="23" t="str">
        <f>HYPERLINK("https://www.spark-marketing.ru/Card/Person/1014754", "МОУ ""СОШ № 4""")</f>
        <v>МОУ "СОШ № 4"</v>
      </c>
      <c r="B16202" s="24" t="s">
        <v>21237</v>
      </c>
      <c r="C16202" s="25">
        <v>2656564.7000000002</v>
      </c>
      <c r="D16202" s="22" t="s">
        <v>21238</v>
      </c>
      <c r="E16202" s="22" t="s">
        <v>48</v>
      </c>
      <c r="F16202" s="23" t="str">
        <f>HYPERLINK("https://www.spark-marketing.ru/Card/Lot/71485693", "Услуги по организации питания учащихся в соответствии с техническим заданием Заказчика")</f>
        <v>Услуги по организации питания учащихся в соответствии с техническим заданием Заказчика</v>
      </c>
      <c r="G16202" s="22" t="s">
        <v>149</v>
      </c>
      <c r="H16202" s="22" t="s">
        <v>1025</v>
      </c>
      <c r="I16202" s="26">
        <v>43635.504166666702</v>
      </c>
      <c r="J16202" s="23" t="str">
        <f>HYPERLINK("https://www.spark-marketing.ru/Card/Person/569088", "ООО ""ТПУ""")</f>
        <v>ООО "ТПУ"</v>
      </c>
      <c r="K16202" s="24" t="s">
        <v>21027</v>
      </c>
      <c r="L16202" s="22" t="s">
        <v>10</v>
      </c>
      <c r="M16202" s="25">
        <v>2656564.7000000002</v>
      </c>
      <c r="N16202" s="27">
        <v>0</v>
      </c>
    </row>
    <row r="16203" spans="1:14" x14ac:dyDescent="0.15">
      <c r="A16203" s="23" t="str">
        <f>HYPERLINK("https://www.spark-marketing.ru/Card/Person/1112944", "ГАУК ВО ""ВЛАДИМИРСКИЙ ОБЛАСТНОЙ ТЕАТР КУКОЛ""")</f>
        <v>ГАУК ВО "ВЛАДИМИРСКИЙ ОБЛАСТНОЙ ТЕАТР КУКОЛ"</v>
      </c>
      <c r="B16203" s="24" t="s">
        <v>7236</v>
      </c>
      <c r="C16203" s="25">
        <v>1856000</v>
      </c>
      <c r="D16203" s="22" t="s">
        <v>21239</v>
      </c>
      <c r="E16203" s="22" t="s">
        <v>769</v>
      </c>
      <c r="F16203" s="23" t="str">
        <f>HYPERLINK("https://www.spark-marketing.ru/Card/Lot/71491154", "Услуги по проживанию и питанию (завтрак и ужин) в гостинице для участников III Межрегионального фестиваля театров кукол «Золотое колечко»")</f>
        <v>Услуги по проживанию и питанию (завтрак и ужин) в гостинице для участников III Межрегионального фестиваля театров кукол «Золотое колечко»</v>
      </c>
      <c r="G16203" s="22" t="s">
        <v>663</v>
      </c>
      <c r="H16203" s="22" t="s">
        <v>663</v>
      </c>
      <c r="I16203" s="26">
        <v>43635.507916666698</v>
      </c>
      <c r="J16203" s="28" t="s">
        <v>51</v>
      </c>
      <c r="K16203" s="28" t="s">
        <v>51</v>
      </c>
      <c r="L16203" s="28" t="s">
        <v>51</v>
      </c>
      <c r="M16203" s="28" t="s">
        <v>51</v>
      </c>
      <c r="N16203" s="28" t="s">
        <v>51</v>
      </c>
    </row>
    <row r="16204" spans="1:14" x14ac:dyDescent="0.15">
      <c r="A16204" s="23" t="str">
        <f>HYPERLINK("https://www.spark-marketing.ru/Card/Person/125950", "МО МВД РОССИИ ""БРЯНСКИЙ""")</f>
        <v>МО МВД РОССИИ "БРЯНСКИЙ"</v>
      </c>
      <c r="B16204" s="24" t="s">
        <v>21240</v>
      </c>
      <c r="C16204" s="25">
        <v>77500</v>
      </c>
      <c r="D16204" s="22" t="s">
        <v>21241</v>
      </c>
      <c r="E16204" s="22" t="s">
        <v>96</v>
      </c>
      <c r="F16204" s="23" t="str">
        <f>HYPERLINK("https://www.spark-marketing.ru/Card/Lot/71488584", "оказание услуг по организации питания (приготовлению и доставке), 155 шт")</f>
        <v>оказание услуг по организации питания (приготовлению и доставке), 155 шт</v>
      </c>
      <c r="G16204" s="22" t="s">
        <v>475</v>
      </c>
      <c r="H16204" s="22" t="s">
        <v>21242</v>
      </c>
      <c r="I16204" s="26">
        <v>43635.475937499999</v>
      </c>
      <c r="J16204" s="28" t="s">
        <v>51</v>
      </c>
      <c r="K16204" s="28" t="s">
        <v>51</v>
      </c>
      <c r="L16204" s="28" t="s">
        <v>51</v>
      </c>
      <c r="M16204" s="28" t="s">
        <v>51</v>
      </c>
      <c r="N16204" s="28" t="s">
        <v>51</v>
      </c>
    </row>
    <row r="16205" spans="1:14" x14ac:dyDescent="0.15">
      <c r="A16205" s="23" t="str">
        <f>HYPERLINK("https://www.spark-marketing.ru/Card/Person/3860", "КГБУЗ ""ГОРОДСКАЯ БОЛЬНИЦА №2, Г. РУБЦОВСК""")</f>
        <v>КГБУЗ "ГОРОДСКАЯ БОЛЬНИЦА №2, Г. РУБЦОВСК"</v>
      </c>
      <c r="B16205" s="24" t="s">
        <v>10039</v>
      </c>
      <c r="C16205" s="25">
        <v>22000</v>
      </c>
      <c r="D16205" s="22" t="s">
        <v>21243</v>
      </c>
      <c r="E16205" s="22" t="s">
        <v>976</v>
      </c>
      <c r="F16205" s="23" t="str">
        <f>HYPERLINK("https://www.spark-marketing.ru/Card/Lot/71489190", "Закупки малого объема по п.4. ст.93 Федерального закона №44 -ФЗ от 05.04.2013г. ""О контрактной системе в сфере закупок товаров, работ, услуг для обеспечения государственных и муниципальных нужд""")</f>
        <v>Закупки малого объема по п.4. ст.93 Федерального закона №44 -ФЗ от 05.04.2013г. "О контрактной системе в сфере закупок товаров, работ, услуг для обеспечения государственных и муниципальных нужд"</v>
      </c>
      <c r="G16205" s="22" t="s">
        <v>63</v>
      </c>
      <c r="H16205" s="22" t="s">
        <v>1859</v>
      </c>
      <c r="I16205" s="26">
        <v>43635.471527777801</v>
      </c>
      <c r="J16205" s="28" t="s">
        <v>51</v>
      </c>
      <c r="K16205" s="28" t="s">
        <v>51</v>
      </c>
      <c r="L16205" s="28" t="s">
        <v>51</v>
      </c>
      <c r="M16205" s="28" t="s">
        <v>51</v>
      </c>
      <c r="N16205" s="28" t="s">
        <v>51</v>
      </c>
    </row>
    <row r="16206" spans="1:14" ht="12.75" x14ac:dyDescent="0.2">
      <c r="A16206" s="23" t="str">
        <f>HYPERLINK("https://www.spark-marketing.ru/Card/Person/1006631", "МОУ ""СОШ № 3""")</f>
        <v>МОУ "СОШ № 3"</v>
      </c>
      <c r="B16206" s="24" t="s">
        <v>21244</v>
      </c>
      <c r="C16206" s="25">
        <v>3878180.7</v>
      </c>
      <c r="D16206" s="22" t="s">
        <v>21245</v>
      </c>
      <c r="E16206" s="22" t="s">
        <v>48</v>
      </c>
      <c r="F16206" s="23" t="str">
        <f>HYPERLINK("https://www.spark-marketing.ru/Card/Lot/71484726", "Услуги по организации питания учащихся в соответствии с техническим заданием Заказчика")</f>
        <v>Услуги по организации питания учащихся в соответствии с техническим заданием Заказчика</v>
      </c>
      <c r="G16206" s="22" t="s">
        <v>149</v>
      </c>
      <c r="H16206" s="22" t="s">
        <v>1025</v>
      </c>
      <c r="I16206" s="26">
        <v>43635.488194444399</v>
      </c>
      <c r="J16206" s="23" t="str">
        <f>HYPERLINK("https://www.spark-marketing.ru/Card/Person/569088", "ООО ""ТПУ""")</f>
        <v>ООО "ТПУ"</v>
      </c>
      <c r="K16206" s="24" t="s">
        <v>21027</v>
      </c>
      <c r="L16206" s="22" t="s">
        <v>10</v>
      </c>
      <c r="M16206" s="25">
        <v>3878180.7</v>
      </c>
      <c r="N16206" s="27">
        <v>0</v>
      </c>
    </row>
    <row r="16207" spans="1:14" x14ac:dyDescent="0.15">
      <c r="A16207" s="23" t="str">
        <f>HYPERLINK("https://www.spark-marketing.ru/Card/Person/1956253", "ООО ""РН-СНАБЖЕНИЕ""")</f>
        <v>ООО "РН-СНАБЖЕНИЕ"</v>
      </c>
      <c r="B16207" s="24" t="s">
        <v>1072</v>
      </c>
      <c r="C16207" s="28" t="s">
        <v>51</v>
      </c>
      <c r="D16207" s="22" t="s">
        <v>21246</v>
      </c>
      <c r="E16207" s="22" t="s">
        <v>362</v>
      </c>
      <c r="F16207" s="23" t="str">
        <f>HYPERLINK("https://www.spark-marketing.ru/Card/Lot/71490669", "Оказание услуг по организации общественного питания в ОП Пурпе")</f>
        <v>Оказание услуг по организации общественного питания в ОП Пурпе</v>
      </c>
      <c r="G16207" s="22" t="s">
        <v>97</v>
      </c>
      <c r="H16207" s="22" t="s">
        <v>366</v>
      </c>
      <c r="I16207" s="26">
        <v>43635.487500000003</v>
      </c>
      <c r="J16207" s="28" t="s">
        <v>51</v>
      </c>
      <c r="K16207" s="28" t="s">
        <v>51</v>
      </c>
      <c r="L16207" s="28" t="s">
        <v>51</v>
      </c>
      <c r="M16207" s="28" t="s">
        <v>51</v>
      </c>
      <c r="N16207" s="28" t="s">
        <v>51</v>
      </c>
    </row>
    <row r="16208" spans="1:14" x14ac:dyDescent="0.15">
      <c r="A16208" s="23" t="str">
        <f>HYPERLINK("https://www.spark-marketing.ru/Card/Person/4343663", "МИНЗДРАВ АЛТАЙСКОГО КРАЯ")</f>
        <v>МИНЗДРАВ АЛТАЙСКОГО КРАЯ</v>
      </c>
      <c r="B16208" s="24" t="s">
        <v>9429</v>
      </c>
      <c r="C16208" s="25">
        <v>99799.7</v>
      </c>
      <c r="D16208" s="22" t="s">
        <v>21247</v>
      </c>
      <c r="E16208" s="22" t="s">
        <v>336</v>
      </c>
      <c r="F16208" s="23" t="str">
        <f>HYPERLINK("https://www.spark-marketing.ru/Card/Lot/71488237",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08" s="22" t="s">
        <v>63</v>
      </c>
      <c r="H16208" s="22" t="s">
        <v>177</v>
      </c>
      <c r="I16208" s="26">
        <v>43635.464583333298</v>
      </c>
      <c r="J16208" s="28" t="s">
        <v>51</v>
      </c>
      <c r="K16208" s="28" t="s">
        <v>51</v>
      </c>
      <c r="L16208" s="28" t="s">
        <v>51</v>
      </c>
      <c r="M16208" s="28" t="s">
        <v>51</v>
      </c>
      <c r="N16208" s="28" t="s">
        <v>51</v>
      </c>
    </row>
    <row r="16209" spans="1:14" x14ac:dyDescent="0.15">
      <c r="A16209" s="23" t="str">
        <f>HYPERLINK("https://www.spark-marketing.ru/Card/Person/4352839", "КГБПОУ ""ТАЙМЫРСКИЙ КОЛЛЕДЖ""")</f>
        <v>КГБПОУ "ТАЙМЫРСКИЙ КОЛЛЕДЖ"</v>
      </c>
      <c r="B16209" s="24" t="s">
        <v>279</v>
      </c>
      <c r="C16209" s="25">
        <v>10815939.6</v>
      </c>
      <c r="D16209" s="22" t="s">
        <v>21248</v>
      </c>
      <c r="E16209" s="22" t="s">
        <v>48</v>
      </c>
      <c r="F16209" s="23" t="str">
        <f>HYPERLINK("https://www.spark-marketing.ru/Card/Lot/71484802", "ЭА № 43366/19- 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«Таймырский колледж»")</f>
        <v>ЭА № 43366/19- 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«Таймырский колледж»</v>
      </c>
      <c r="G16209" s="22" t="s">
        <v>281</v>
      </c>
      <c r="H16209" s="22" t="s">
        <v>282</v>
      </c>
      <c r="I16209" s="26">
        <v>43635.473611111098</v>
      </c>
      <c r="J16209" s="28" t="s">
        <v>51</v>
      </c>
      <c r="K16209" s="28" t="s">
        <v>51</v>
      </c>
      <c r="L16209" s="28" t="s">
        <v>51</v>
      </c>
      <c r="M16209" s="28" t="s">
        <v>51</v>
      </c>
      <c r="N16209" s="28" t="s">
        <v>51</v>
      </c>
    </row>
    <row r="16210" spans="1:14" ht="12.75" hidden="1" outlineLevel="1" x14ac:dyDescent="0.2">
      <c r="A16210" s="23" t="str">
        <f>HYPERLINK("https://www.spark-marketing.ru/Card/Person/4352839", "КГБПОУ ""ТАЙМЫРСКИЙ КОЛЛЕДЖ""")</f>
        <v>КГБПОУ "ТАЙМЫРСКИЙ КОЛЛЕДЖ"</v>
      </c>
      <c r="B16210" s="24" t="s">
        <v>279</v>
      </c>
      <c r="C16210" s="25">
        <v>10815939.6</v>
      </c>
      <c r="D16210" s="22" t="s">
        <v>21248</v>
      </c>
      <c r="E16210" s="22" t="s">
        <v>48</v>
      </c>
      <c r="F16210" s="23" t="str">
        <f>HYPERLINK("https://www.spark-marketing.ru/Card/Lot/71484802", "ЭА № 43366/19- 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«Таймырский колледж»")</f>
        <v>ЭА № 43366/19- 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«Таймырский колледж»</v>
      </c>
      <c r="G16210" s="22" t="s">
        <v>281</v>
      </c>
      <c r="H16210" s="22" t="s">
        <v>282</v>
      </c>
      <c r="I16210" s="26">
        <v>43635.473611111098</v>
      </c>
      <c r="J16210" s="23" t="str">
        <f>HYPERLINK("https://www.spark-marketing.ru/Card/Person/5910323", "Федорова Елена Владимировна")</f>
        <v>Федорова Елена Владимировна</v>
      </c>
      <c r="K16210" s="24" t="s">
        <v>2487</v>
      </c>
      <c r="L16210" s="22" t="s">
        <v>10</v>
      </c>
      <c r="M16210" s="25">
        <v>5945920.2999999998</v>
      </c>
      <c r="N16210" s="27">
        <v>0.45026317454657383</v>
      </c>
    </row>
    <row r="16211" spans="1:14" hidden="1" outlineLevel="1" x14ac:dyDescent="0.2">
      <c r="A16211" s="23" t="str">
        <f>HYPERLINK("https://www.spark-marketing.ru/Card/Person/4352839", "КГБПОУ ""ТАЙМЫРСКИЙ КОЛЛЕДЖ""")</f>
        <v>КГБПОУ "ТАЙМЫРСКИЙ КОЛЛЕДЖ"</v>
      </c>
      <c r="B16211" s="24" t="s">
        <v>279</v>
      </c>
      <c r="C16211" s="25">
        <v>10815939.6</v>
      </c>
      <c r="D16211" s="22" t="s">
        <v>21248</v>
      </c>
      <c r="E16211" s="22" t="s">
        <v>48</v>
      </c>
      <c r="F16211" s="23" t="str">
        <f>HYPERLINK("https://www.spark-marketing.ru/Card/Lot/71484802", "ЭА № 43366/19- 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«Таймырский колледж»")</f>
        <v>ЭА № 43366/19- Оказание услуг по организации готового горячего питания обучающихся краевого государственного бюджетного профессионального образовательного учреждения «Таймырский колледж»</v>
      </c>
      <c r="G16211" s="22" t="s">
        <v>281</v>
      </c>
      <c r="H16211" s="22" t="s">
        <v>282</v>
      </c>
      <c r="I16211" s="26">
        <v>43635.473611111098</v>
      </c>
      <c r="J16211" s="23" t="str">
        <f>HYPERLINK("https://www.spark-marketing.ru/Card/Person/4964629", "ООО ""ВИТА""")</f>
        <v>ООО "ВИТА"</v>
      </c>
      <c r="K16211" s="24" t="s">
        <v>21249</v>
      </c>
      <c r="L16211" s="28" t="s">
        <v>51</v>
      </c>
      <c r="M16211" s="25">
        <v>6000000</v>
      </c>
      <c r="N16211" s="27">
        <v>0.44526317436166157</v>
      </c>
    </row>
    <row r="16212" spans="1:14" ht="12.75" x14ac:dyDescent="0.2">
      <c r="A16212" s="23" t="str">
        <f>HYPERLINK("https://www.spark-marketing.ru/Card/Person/1035547", "МОУ ""СКОШ""")</f>
        <v>МОУ "СКОШ"</v>
      </c>
      <c r="B16212" s="24" t="s">
        <v>21250</v>
      </c>
      <c r="C16212" s="25">
        <v>2998232.85</v>
      </c>
      <c r="D16212" s="22" t="s">
        <v>21251</v>
      </c>
      <c r="E16212" s="22" t="s">
        <v>48</v>
      </c>
      <c r="F16212" s="23" t="str">
        <f>HYPERLINK("https://www.spark-marketing.ru/Card/Lot/71484674", "Услуги по организации питания учащихся в соответствии с техническим заданием Заказчика")</f>
        <v>Услуги по организации питания учащихся в соответствии с техническим заданием Заказчика</v>
      </c>
      <c r="G16212" s="22" t="s">
        <v>149</v>
      </c>
      <c r="H16212" s="22" t="s">
        <v>1025</v>
      </c>
      <c r="I16212" s="26">
        <v>43635.4777777778</v>
      </c>
      <c r="J16212" s="23" t="str">
        <f>HYPERLINK("https://www.spark-marketing.ru/Card/Person/569088", "ООО ""ТПУ""")</f>
        <v>ООО "ТПУ"</v>
      </c>
      <c r="K16212" s="24" t="s">
        <v>21027</v>
      </c>
      <c r="L16212" s="22" t="s">
        <v>10</v>
      </c>
      <c r="M16212" s="25">
        <v>2998232.85</v>
      </c>
      <c r="N16212" s="27">
        <v>0</v>
      </c>
    </row>
    <row r="16213" spans="1:14" x14ac:dyDescent="0.15">
      <c r="A16213" s="23" t="str">
        <f>HYPERLINK("https://www.spark-marketing.ru/Card/Person/112888", "АДМИНИСТРАЦИЯ МР ""СУНТАРСКИЙ УЛУС (РАЙОН)""")</f>
        <v>АДМИНИСТРАЦИЯ МР "СУНТАРСКИЙ УЛУС (РАЙОН)"</v>
      </c>
      <c r="B16213" s="24" t="s">
        <v>13052</v>
      </c>
      <c r="C16213" s="25">
        <v>150000</v>
      </c>
      <c r="D16213" s="22" t="s">
        <v>21252</v>
      </c>
      <c r="E16213" s="22" t="s">
        <v>67</v>
      </c>
      <c r="F16213" s="23" t="str">
        <f>HYPERLINK("https://www.spark-marketing.ru/Card/Lot/71480723", "Услуги по обеспечению общественного питания в рамках представительских расходов")</f>
        <v>Услуги по обеспечению общественного питания в рамках представительских расходов</v>
      </c>
      <c r="G16213" s="22" t="s">
        <v>241</v>
      </c>
      <c r="H16213" s="22" t="s">
        <v>13054</v>
      </c>
      <c r="I16213" s="26">
        <v>43635.481249999997</v>
      </c>
      <c r="J16213" s="23" t="str">
        <f>HYPERLINK("https://www.spark-marketing.ru/Card/Person/4284153", "Зедгенидзев Сергей Владимирович")</f>
        <v>Зедгенидзев Сергей Владимирович</v>
      </c>
      <c r="K16213" s="24" t="s">
        <v>21253</v>
      </c>
      <c r="L16213" s="22" t="s">
        <v>10</v>
      </c>
      <c r="M16213" s="28" t="s">
        <v>51</v>
      </c>
      <c r="N16213" s="28" t="s">
        <v>51</v>
      </c>
    </row>
    <row r="16214" spans="1:14" x14ac:dyDescent="0.15">
      <c r="A16214" s="23" t="str">
        <f>HYPERLINK("https://www.spark-marketing.ru/Card/Person/17151", "ИВАНОВОСТАТ")</f>
        <v>ИВАНОВОСТАТ</v>
      </c>
      <c r="B16214" s="24" t="s">
        <v>21254</v>
      </c>
      <c r="C16214" s="25">
        <v>78500</v>
      </c>
      <c r="D16214" s="22" t="s">
        <v>21255</v>
      </c>
      <c r="E16214" s="22" t="s">
        <v>809</v>
      </c>
      <c r="F16214" s="23" t="str">
        <f>HYPERLINK("https://www.spark-marketing.ru/Card/Lot/71489798", "Поставка МФУ и ИБП (услуги в сфере ИКТ)")</f>
        <v>Поставка МФУ и ИБП (услуги в сфере ИКТ)</v>
      </c>
      <c r="G16214" s="22" t="s">
        <v>1047</v>
      </c>
      <c r="H16214" s="22" t="s">
        <v>1953</v>
      </c>
      <c r="I16214" s="26">
        <v>43635.425694444399</v>
      </c>
      <c r="J16214" s="28" t="s">
        <v>51</v>
      </c>
      <c r="K16214" s="28" t="s">
        <v>51</v>
      </c>
      <c r="L16214" s="28" t="s">
        <v>51</v>
      </c>
      <c r="M16214" s="28" t="s">
        <v>51</v>
      </c>
      <c r="N16214" s="28" t="s">
        <v>51</v>
      </c>
    </row>
    <row r="16215" spans="1:14" hidden="1" outlineLevel="1" x14ac:dyDescent="0.2">
      <c r="A16215" s="23" t="str">
        <f>HYPERLINK("https://www.spark-marketing.ru/Card/Person/17151", "ИВАНОВОСТАТ")</f>
        <v>ИВАНОВОСТАТ</v>
      </c>
      <c r="B16215" s="24" t="s">
        <v>21254</v>
      </c>
      <c r="C16215" s="25">
        <v>78500</v>
      </c>
      <c r="D16215" s="22" t="s">
        <v>21255</v>
      </c>
      <c r="E16215" s="22" t="s">
        <v>809</v>
      </c>
      <c r="F16215" s="23" t="str">
        <f>HYPERLINK("https://www.spark-marketing.ru/Card/Lot/71489798", "Поставка МФУ и ИБП (услуги в сфере ИКТ)")</f>
        <v>Поставка МФУ и ИБП (услуги в сфере ИКТ)</v>
      </c>
      <c r="G16215" s="22" t="s">
        <v>1047</v>
      </c>
      <c r="H16215" s="22" t="s">
        <v>1953</v>
      </c>
      <c r="I16215" s="26">
        <v>43635.425694444399</v>
      </c>
      <c r="J16215" s="23" t="str">
        <f>HYPERLINK("https://www.spark-marketing.ru/Card/Person/355620", "ООО ""ВЕКТОР""")</f>
        <v>ООО "ВЕКТОР"</v>
      </c>
      <c r="K16215" s="24" t="s">
        <v>21256</v>
      </c>
      <c r="L16215" s="28" t="s">
        <v>51</v>
      </c>
      <c r="M16215" s="25">
        <v>64370</v>
      </c>
      <c r="N16215" s="27">
        <v>0.18</v>
      </c>
    </row>
    <row r="16216" spans="1:14" hidden="1" outlineLevel="1" x14ac:dyDescent="0.2">
      <c r="A16216" s="23" t="str">
        <f>HYPERLINK("https://www.spark-marketing.ru/Card/Person/17151", "ИВАНОВОСТАТ")</f>
        <v>ИВАНОВОСТАТ</v>
      </c>
      <c r="B16216" s="24" t="s">
        <v>21254</v>
      </c>
      <c r="C16216" s="25">
        <v>78500</v>
      </c>
      <c r="D16216" s="22" t="s">
        <v>21255</v>
      </c>
      <c r="E16216" s="22" t="s">
        <v>809</v>
      </c>
      <c r="F16216" s="23" t="str">
        <f>HYPERLINK("https://www.spark-marketing.ru/Card/Lot/71489798", "Поставка МФУ и ИБП (услуги в сфере ИКТ)")</f>
        <v>Поставка МФУ и ИБП (услуги в сфере ИКТ)</v>
      </c>
      <c r="G16216" s="22" t="s">
        <v>1047</v>
      </c>
      <c r="H16216" s="22" t="s">
        <v>1953</v>
      </c>
      <c r="I16216" s="26">
        <v>43635.425694444399</v>
      </c>
      <c r="J16216" s="23" t="str">
        <f>HYPERLINK("https://www.spark-marketing.ru/Card/Person/4935143", "ООО ""МИР КОПИЙ""")</f>
        <v>ООО "МИР КОПИЙ"</v>
      </c>
      <c r="K16216" s="24" t="s">
        <v>21257</v>
      </c>
      <c r="L16216" s="28" t="s">
        <v>51</v>
      </c>
      <c r="M16216" s="25">
        <v>70257.5</v>
      </c>
      <c r="N16216" s="27">
        <v>0.105</v>
      </c>
    </row>
    <row r="16217" spans="1:14" ht="12.75" hidden="1" outlineLevel="1" x14ac:dyDescent="0.2">
      <c r="A16217" s="23" t="str">
        <f>HYPERLINK("https://www.spark-marketing.ru/Card/Person/17151", "ИВАНОВОСТАТ")</f>
        <v>ИВАНОВОСТАТ</v>
      </c>
      <c r="B16217" s="24" t="s">
        <v>21254</v>
      </c>
      <c r="C16217" s="25">
        <v>78500</v>
      </c>
      <c r="D16217" s="22" t="s">
        <v>21255</v>
      </c>
      <c r="E16217" s="22" t="s">
        <v>809</v>
      </c>
      <c r="F16217" s="23" t="str">
        <f>HYPERLINK("https://www.spark-marketing.ru/Card/Lot/71489798", "Поставка МФУ и ИБП (услуги в сфере ИКТ)")</f>
        <v>Поставка МФУ и ИБП (услуги в сфере ИКТ)</v>
      </c>
      <c r="G16217" s="22" t="s">
        <v>1047</v>
      </c>
      <c r="H16217" s="22" t="s">
        <v>1953</v>
      </c>
      <c r="I16217" s="26">
        <v>43635.425694444399</v>
      </c>
      <c r="J16217" s="23" t="str">
        <f>HYPERLINK("https://www.spark-marketing.ru/Card/Person/632206", "Цветков Николай Леонидович")</f>
        <v>Цветков Николай Леонидович</v>
      </c>
      <c r="K16217" s="24" t="s">
        <v>21258</v>
      </c>
      <c r="L16217" s="22" t="s">
        <v>10</v>
      </c>
      <c r="M16217" s="25">
        <v>63977.5</v>
      </c>
      <c r="N16217" s="27">
        <v>0.185</v>
      </c>
    </row>
    <row r="16218" spans="1:14" x14ac:dyDescent="0.15">
      <c r="A16218" s="23" t="str">
        <f>HYPERLINK("https://www.spark-marketing.ru/Card/Person/3860", "КГБУЗ ""ГОРОДСКАЯ БОЛЬНИЦА №2, Г. РУБЦОВСК""")</f>
        <v>КГБУЗ "ГОРОДСКАЯ БОЛЬНИЦА №2, Г. РУБЦОВСК"</v>
      </c>
      <c r="B16218" s="24" t="s">
        <v>10039</v>
      </c>
      <c r="C16218" s="25">
        <v>4414.5</v>
      </c>
      <c r="D16218" s="22" t="s">
        <v>21259</v>
      </c>
      <c r="E16218" s="22" t="s">
        <v>21260</v>
      </c>
      <c r="F16218" s="23" t="str">
        <f>HYPERLINK("https://www.spark-marketing.ru/Card/Lot/71485481", "Закупки малого объема по п.4. ст.93 Федерального закона №44 -ФЗ от 05.04.2013г. ""О контрактной системе в сфере закупок товаров, работ, услуг для обеспечения государственных и муниципальных нужд""")</f>
        <v>Закупки малого объема по п.4. ст.93 Федерального закона №44 -ФЗ от 05.04.2013г. "О контрактной системе в сфере закупок товаров, работ, услуг для обеспечения государственных и муниципальных нужд"</v>
      </c>
      <c r="G16218" s="22" t="s">
        <v>63</v>
      </c>
      <c r="H16218" s="22" t="s">
        <v>1859</v>
      </c>
      <c r="I16218" s="26">
        <v>43635.432638888902</v>
      </c>
      <c r="J16218" s="28" t="s">
        <v>51</v>
      </c>
      <c r="K16218" s="28" t="s">
        <v>51</v>
      </c>
      <c r="L16218" s="28" t="s">
        <v>51</v>
      </c>
      <c r="M16218" s="28" t="s">
        <v>51</v>
      </c>
      <c r="N16218" s="28" t="s">
        <v>51</v>
      </c>
    </row>
    <row r="16219" spans="1:14" x14ac:dyDescent="0.15">
      <c r="A16219" s="23" t="str">
        <f>HYPERLINK("https://www.spark-marketing.ru/Card/Person/4343663", "МИНЗДРАВ АЛТАЙСКОГО КРАЯ")</f>
        <v>МИНЗДРАВ АЛТАЙСКОГО КРАЯ</v>
      </c>
      <c r="B16219" s="24" t="s">
        <v>9429</v>
      </c>
      <c r="C16219" s="25">
        <v>99929.83</v>
      </c>
      <c r="D16219" s="22" t="s">
        <v>21261</v>
      </c>
      <c r="E16219" s="22" t="s">
        <v>336</v>
      </c>
      <c r="F16219" s="23" t="str">
        <f>HYPERLINK("https://www.spark-marketing.ru/Card/Lot/71487258",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19" s="22" t="s">
        <v>63</v>
      </c>
      <c r="H16219" s="22" t="s">
        <v>177</v>
      </c>
      <c r="I16219" s="26">
        <v>43635.456250000003</v>
      </c>
      <c r="J16219" s="28" t="s">
        <v>51</v>
      </c>
      <c r="K16219" s="28" t="s">
        <v>51</v>
      </c>
      <c r="L16219" s="28" t="s">
        <v>51</v>
      </c>
      <c r="M16219" s="28" t="s">
        <v>51</v>
      </c>
      <c r="N16219" s="28" t="s">
        <v>51</v>
      </c>
    </row>
    <row r="16220" spans="1:14" x14ac:dyDescent="0.15">
      <c r="A16220" s="23" t="str">
        <f>HYPERLINK("https://www.spark-marketing.ru/Card/Person/388127", "МО МВД РОССИИ ""ЩИГРОВСКИЙ""")</f>
        <v>МО МВД РОССИИ "ЩИГРОВСКИЙ"</v>
      </c>
      <c r="B16220" s="24" t="s">
        <v>14291</v>
      </c>
      <c r="C16220" s="25">
        <v>97500</v>
      </c>
      <c r="D16220" s="22" t="s">
        <v>21262</v>
      </c>
      <c r="E16220" s="22" t="s">
        <v>48</v>
      </c>
      <c r="F16220" s="23" t="str">
        <f>HYPERLINK("https://www.spark-marketing.ru/Card/Lot/71487045",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6220" s="22" t="s">
        <v>1111</v>
      </c>
      <c r="H16220" s="22" t="s">
        <v>14293</v>
      </c>
      <c r="I16220" s="26">
        <v>43635.441886574103</v>
      </c>
      <c r="J16220" s="28" t="s">
        <v>51</v>
      </c>
      <c r="K16220" s="28" t="s">
        <v>51</v>
      </c>
      <c r="L16220" s="28" t="s">
        <v>51</v>
      </c>
      <c r="M16220" s="28" t="s">
        <v>51</v>
      </c>
      <c r="N16220" s="28" t="s">
        <v>51</v>
      </c>
    </row>
    <row r="16221" spans="1:14" x14ac:dyDescent="0.15">
      <c r="A16221" s="23" t="str">
        <f>HYPERLINK("https://www.spark-marketing.ru/Card/Person/5811", "ФГБУ ""НМИЦ ИМ. АК. Е.Н. МЕШАЛКИНА"" МИНЗДРАВА РОССИИ")</f>
        <v>ФГБУ "НМИЦ ИМ. АК. Е.Н. МЕШАЛКИНА" МИНЗДРАВА РОССИИ</v>
      </c>
      <c r="B16221" s="24" t="s">
        <v>21263</v>
      </c>
      <c r="C16221" s="25">
        <v>81241.7</v>
      </c>
      <c r="D16221" s="22" t="s">
        <v>21264</v>
      </c>
      <c r="E16221" s="22" t="s">
        <v>152</v>
      </c>
      <c r="F16221" s="23" t="str">
        <f>HYPERLINK("https://www.spark-marketing.ru/Card/Lot/71481694", "Выполнение  работ по обеспечению работоспособности технического оборудования (источник бесперебойного питания)")</f>
        <v>Выполнение  работ по обеспечению работоспособности технического оборудования (источник бесперебойного питания)</v>
      </c>
      <c r="G16221" s="22" t="s">
        <v>195</v>
      </c>
      <c r="H16221" s="22" t="s">
        <v>196</v>
      </c>
      <c r="I16221" s="26">
        <v>43635.435416666704</v>
      </c>
      <c r="J16221" s="28" t="s">
        <v>51</v>
      </c>
      <c r="K16221" s="28" t="s">
        <v>51</v>
      </c>
      <c r="L16221" s="28" t="s">
        <v>51</v>
      </c>
      <c r="M16221" s="28" t="s">
        <v>51</v>
      </c>
      <c r="N16221" s="28" t="s">
        <v>51</v>
      </c>
    </row>
    <row r="16222" spans="1:14" ht="12.75" hidden="1" outlineLevel="1" x14ac:dyDescent="0.2">
      <c r="A16222" s="23" t="str">
        <f>HYPERLINK("https://www.spark-marketing.ru/Card/Person/5811", "ФГБУ ""НМИЦ ИМ. АК. Е.Н. МЕШАЛКИНА"" МИНЗДРАВА РОССИИ")</f>
        <v>ФГБУ "НМИЦ ИМ. АК. Е.Н. МЕШАЛКИНА" МИНЗДРАВА РОССИИ</v>
      </c>
      <c r="B16222" s="24" t="s">
        <v>21263</v>
      </c>
      <c r="C16222" s="25">
        <v>81241.7</v>
      </c>
      <c r="D16222" s="22" t="s">
        <v>21264</v>
      </c>
      <c r="E16222" s="22" t="s">
        <v>152</v>
      </c>
      <c r="F16222" s="23" t="str">
        <f>HYPERLINK("https://www.spark-marketing.ru/Card/Lot/71481694", "Выполнение  работ по обеспечению работоспособности технического оборудования (источник бесперебойного питания)")</f>
        <v>Выполнение  работ по обеспечению работоспособности технического оборудования (источник бесперебойного питания)</v>
      </c>
      <c r="G16222" s="22" t="s">
        <v>195</v>
      </c>
      <c r="H16222" s="22" t="s">
        <v>196</v>
      </c>
      <c r="I16222" s="26">
        <v>43635.435416666704</v>
      </c>
      <c r="J16222" s="23" t="str">
        <f>HYPERLINK("https://www.spark-marketing.ru/Card/Person/635040", "ООО ""СИСТЕМЫ ГЭП""")</f>
        <v>ООО "СИСТЕМЫ ГЭП"</v>
      </c>
      <c r="K16222" s="24" t="s">
        <v>21265</v>
      </c>
      <c r="L16222" s="22" t="s">
        <v>10</v>
      </c>
      <c r="M16222" s="25">
        <v>73087.179999999993</v>
      </c>
      <c r="N16222" s="27">
        <v>0.10037357662382741</v>
      </c>
    </row>
    <row r="16223" spans="1:14" hidden="1" outlineLevel="1" x14ac:dyDescent="0.2">
      <c r="A16223" s="23" t="str">
        <f>HYPERLINK("https://www.spark-marketing.ru/Card/Person/5811", "ФГБУ ""НМИЦ ИМ. АК. Е.Н. МЕШАЛКИНА"" МИНЗДРАВА РОССИИ")</f>
        <v>ФГБУ "НМИЦ ИМ. АК. Е.Н. МЕШАЛКИНА" МИНЗДРАВА РОССИИ</v>
      </c>
      <c r="B16223" s="24" t="s">
        <v>21263</v>
      </c>
      <c r="C16223" s="25">
        <v>81241.7</v>
      </c>
      <c r="D16223" s="22" t="s">
        <v>21264</v>
      </c>
      <c r="E16223" s="22" t="s">
        <v>152</v>
      </c>
      <c r="F16223" s="23" t="str">
        <f>HYPERLINK("https://www.spark-marketing.ru/Card/Lot/71481694", "Выполнение  работ по обеспечению работоспособности технического оборудования (источник бесперебойного питания)")</f>
        <v>Выполнение  работ по обеспечению работоспособности технического оборудования (источник бесперебойного питания)</v>
      </c>
      <c r="G16223" s="22" t="s">
        <v>195</v>
      </c>
      <c r="H16223" s="22" t="s">
        <v>196</v>
      </c>
      <c r="I16223" s="26">
        <v>43635.435416666704</v>
      </c>
      <c r="J16223" s="23" t="str">
        <f>HYPERLINK("https://www.spark-marketing.ru/Card/Person/80243", "ООО ""МЕДХИМПРОМ""")</f>
        <v>ООО "МЕДХИМПРОМ"</v>
      </c>
      <c r="K16223" s="24" t="s">
        <v>21266</v>
      </c>
      <c r="L16223" s="28" t="s">
        <v>51</v>
      </c>
      <c r="M16223" s="25">
        <v>73493.39</v>
      </c>
      <c r="N16223" s="27">
        <v>9.5373558160402841E-2</v>
      </c>
    </row>
    <row r="16224" spans="1:14" hidden="1" outlineLevel="1" x14ac:dyDescent="0.2">
      <c r="A16224" s="23" t="str">
        <f>HYPERLINK("https://www.spark-marketing.ru/Card/Person/5811", "ФГБУ ""НМИЦ ИМ. АК. Е.Н. МЕШАЛКИНА"" МИНЗДРАВА РОССИИ")</f>
        <v>ФГБУ "НМИЦ ИМ. АК. Е.Н. МЕШАЛКИНА" МИНЗДРАВА РОССИИ</v>
      </c>
      <c r="B16224" s="24" t="s">
        <v>21263</v>
      </c>
      <c r="C16224" s="25">
        <v>81241.7</v>
      </c>
      <c r="D16224" s="22" t="s">
        <v>21264</v>
      </c>
      <c r="E16224" s="22" t="s">
        <v>152</v>
      </c>
      <c r="F16224" s="23" t="str">
        <f>HYPERLINK("https://www.spark-marketing.ru/Card/Lot/71481694", "Выполнение  работ по обеспечению работоспособности технического оборудования (источник бесперебойного питания)")</f>
        <v>Выполнение  работ по обеспечению работоспособности технического оборудования (источник бесперебойного питания)</v>
      </c>
      <c r="G16224" s="22" t="s">
        <v>195</v>
      </c>
      <c r="H16224" s="22" t="s">
        <v>196</v>
      </c>
      <c r="I16224" s="26">
        <v>43635.435416666704</v>
      </c>
      <c r="J16224" s="23" t="str">
        <f>HYPERLINK("https://www.spark-marketing.ru/Card/Person/4352904", "ООО ""ЭНЕРГОРЕСУРС""")</f>
        <v>ООО "ЭНЕРГОРЕСУРС"</v>
      </c>
      <c r="K16224" s="24" t="s">
        <v>21267</v>
      </c>
      <c r="L16224" s="28" t="s">
        <v>51</v>
      </c>
      <c r="M16224" s="25">
        <v>74305.81</v>
      </c>
      <c r="N16224" s="27">
        <v>8.5373521233553698E-2</v>
      </c>
    </row>
    <row r="16225" spans="1:14" ht="12.75" x14ac:dyDescent="0.2">
      <c r="A16225" s="23" t="str">
        <f>HYPERLINK("https://www.spark-marketing.ru/Card/Person/74406", "КОГБУЗ ""ПИЖАНСКАЯ ЦРБ""")</f>
        <v>КОГБУЗ "ПИЖАНСКАЯ ЦРБ"</v>
      </c>
      <c r="B16225" s="24" t="s">
        <v>21268</v>
      </c>
      <c r="C16225" s="25">
        <v>8157105</v>
      </c>
      <c r="D16225" s="22" t="s">
        <v>21269</v>
      </c>
      <c r="E16225" s="22" t="s">
        <v>48</v>
      </c>
      <c r="F16225" s="23" t="str">
        <f>HYPERLINK("https://www.spark-marketing.ru/Card/Lot/71501277", "Оказание услуг по приготовлению и передаче ежедневного лечебного горячего питания")</f>
        <v>Оказание услуг по приготовлению и передаче ежедневного лечебного горячего питания</v>
      </c>
      <c r="G16225" s="22" t="s">
        <v>224</v>
      </c>
      <c r="H16225" s="22" t="s">
        <v>8566</v>
      </c>
      <c r="I16225" s="26">
        <v>43635.430555555598</v>
      </c>
      <c r="J16225" s="23" t="str">
        <f>HYPERLINK("https://www.spark-marketing.ru/Card/Person/51950", "ООО ""ЗДОРОВОЕ ПИТАНИЕ""")</f>
        <v>ООО "ЗДОРОВОЕ ПИТАНИЕ"</v>
      </c>
      <c r="K16225" s="24" t="s">
        <v>2336</v>
      </c>
      <c r="L16225" s="22" t="s">
        <v>10</v>
      </c>
      <c r="M16225" s="25">
        <v>8157105</v>
      </c>
      <c r="N16225" s="27">
        <v>0</v>
      </c>
    </row>
    <row r="16226" spans="1:14" ht="12.75" x14ac:dyDescent="0.2">
      <c r="A16226" s="23" t="str">
        <f>HYPERLINK("https://www.spark-marketing.ru/Card/Person/77171", "АДМИНИСТРАЦИЯ ВЕРХНЕУРАЛЬСКОГО МУНИЦИПАЛЬНОГО РАЙОНА")</f>
        <v>АДМИНИСТРАЦИЯ ВЕРХНЕУРАЛЬСКОГО МУНИЦИПАЛЬНОГО РАЙОНА</v>
      </c>
      <c r="B16226" s="24" t="s">
        <v>21270</v>
      </c>
      <c r="C16226" s="25">
        <v>60000</v>
      </c>
      <c r="D16226" s="22" t="s">
        <v>21271</v>
      </c>
      <c r="E16226" s="22" t="s">
        <v>67</v>
      </c>
      <c r="F16226" s="23" t="str">
        <f>HYPERLINK("https://www.spark-marketing.ru/Card/Lot/71488997", "Оказание услуг по организации питания, официальных обедов и буфетного обслуживания при приеме представителей других организаций, участвующих в переговорах")</f>
        <v>Оказание услуг по организации питания, официальных обедов и буфетного обслуживания при приеме представителей других организаций, участвующих в переговорах</v>
      </c>
      <c r="G16226" s="22" t="s">
        <v>469</v>
      </c>
      <c r="H16226" s="22" t="s">
        <v>21272</v>
      </c>
      <c r="I16226" s="26">
        <v>43635.4465277778</v>
      </c>
      <c r="J16226" s="23" t="str">
        <f>HYPERLINK("https://www.spark-marketing.ru/Card/Person/6081464", "Савина Людмила Александровна")</f>
        <v>Савина Людмила Александровна</v>
      </c>
      <c r="K16226" s="24" t="s">
        <v>21273</v>
      </c>
      <c r="L16226" s="22" t="s">
        <v>10</v>
      </c>
      <c r="M16226" s="25">
        <v>45000</v>
      </c>
      <c r="N16226" s="27">
        <v>0.25</v>
      </c>
    </row>
    <row r="16227" spans="1:14" x14ac:dyDescent="0.15">
      <c r="A16227" s="23" t="str">
        <f>HYPERLINK("https://www.spark-marketing.ru/Card/Person/1031248", "МДОУ № 1 Г. МОЖАЙСКА")</f>
        <v>МДОУ № 1 Г. МОЖАЙСКА</v>
      </c>
      <c r="B16227" s="24" t="s">
        <v>7148</v>
      </c>
      <c r="C16227" s="25">
        <v>290720</v>
      </c>
      <c r="D16227" s="22" t="s">
        <v>21274</v>
      </c>
      <c r="E16227" s="22" t="s">
        <v>48</v>
      </c>
      <c r="F16227" s="23" t="str">
        <f>HYPERLINK("https://www.spark-marketing.ru/Card/Lot/71485324", "Оказание услуг по организации питания воспитанников")</f>
        <v>Оказание услуг по организации питания воспитанников</v>
      </c>
      <c r="G16227" s="22" t="s">
        <v>49</v>
      </c>
      <c r="H16227" s="22" t="s">
        <v>3718</v>
      </c>
      <c r="I16227" s="26">
        <v>43635.42</v>
      </c>
      <c r="J16227" s="28" t="s">
        <v>51</v>
      </c>
      <c r="K16227" s="28" t="s">
        <v>51</v>
      </c>
      <c r="L16227" s="28" t="s">
        <v>51</v>
      </c>
      <c r="M16227" s="28" t="s">
        <v>51</v>
      </c>
      <c r="N16227" s="28" t="s">
        <v>51</v>
      </c>
    </row>
    <row r="16228" spans="1:14" x14ac:dyDescent="0.15">
      <c r="A16228" s="23" t="str">
        <f>HYPERLINK("https://www.spark-marketing.ru/Card/Person/334634", "ФКУ СИЗО-3 ГУФСИН РОССИИ ПО ИРКУТСКОЙ ОБЛАСТИ")</f>
        <v>ФКУ СИЗО-3 ГУФСИН РОССИИ ПО ИРКУТСКОЙ ОБЛАСТИ</v>
      </c>
      <c r="B16228" s="24" t="s">
        <v>19677</v>
      </c>
      <c r="C16228" s="25">
        <v>21230</v>
      </c>
      <c r="D16228" s="22" t="s">
        <v>21275</v>
      </c>
      <c r="E16228" s="22" t="s">
        <v>21276</v>
      </c>
      <c r="F16228" s="23" t="str">
        <f>HYPERLINK("https://www.spark-marketing.ru/Card/Lot/71478758", "Прочая закупка товаров, работ услуг  (поставка продуктов питания (изделия макаронные, мука пшеничная, повидло плодовое)")</f>
        <v>Прочая закупка товаров, работ услуг  (поставка продуктов питания (изделия макаронные, мука пшеничная, повидло плодовое)</v>
      </c>
      <c r="G16228" s="22" t="s">
        <v>263</v>
      </c>
      <c r="H16228" s="22" t="s">
        <v>19450</v>
      </c>
      <c r="I16228" s="26">
        <v>43635.391666666699</v>
      </c>
      <c r="J16228" s="28" t="s">
        <v>51</v>
      </c>
      <c r="K16228" s="28" t="s">
        <v>51</v>
      </c>
      <c r="L16228" s="28" t="s">
        <v>51</v>
      </c>
      <c r="M16228" s="28" t="s">
        <v>51</v>
      </c>
      <c r="N16228" s="28" t="s">
        <v>51</v>
      </c>
    </row>
    <row r="16229" spans="1:14" x14ac:dyDescent="0.15">
      <c r="A16229" s="23" t="str">
        <f>HYPERLINK("https://www.spark-marketing.ru/Card/Person/11733", "РТУ МИРЭА")</f>
        <v>РТУ МИРЭА</v>
      </c>
      <c r="B16229" s="24" t="s">
        <v>1305</v>
      </c>
      <c r="C16229" s="25">
        <v>500000</v>
      </c>
      <c r="D16229" s="22" t="s">
        <v>21277</v>
      </c>
      <c r="E16229" s="22" t="s">
        <v>362</v>
      </c>
      <c r="F16229" s="23" t="str">
        <f>HYPERLINK("https://www.spark-marketing.ru/Card/Lot/71486652", "Оказание услуг по организации питания")</f>
        <v>Оказание услуг по организации питания</v>
      </c>
      <c r="G16229" s="22" t="s">
        <v>56</v>
      </c>
      <c r="H16229" s="22" t="s">
        <v>56</v>
      </c>
      <c r="I16229" s="26">
        <v>43635.416053240697</v>
      </c>
      <c r="J16229" s="28" t="s">
        <v>51</v>
      </c>
      <c r="K16229" s="28" t="s">
        <v>51</v>
      </c>
      <c r="L16229" s="28" t="s">
        <v>51</v>
      </c>
      <c r="M16229" s="28" t="s">
        <v>51</v>
      </c>
      <c r="N16229" s="28" t="s">
        <v>51</v>
      </c>
    </row>
    <row r="16230" spans="1:14" x14ac:dyDescent="0.15">
      <c r="A16230" s="23" t="str">
        <f>HYPERLINK("https://www.spark-marketing.ru/Card/Person/4597", "ГУ-АЛТАЙСКОЕ РО ФОНДА СОЦИАЛЬНОГО СТРАХОВАНИЯ РОССИЙСКОЙ ФЕДЕРАЦИИ")</f>
        <v>ГУ-АЛТАЙСКОЕ РО ФОНДА СОЦИАЛЬНОГО СТРАХОВАНИЯ РОССИЙСКОЙ ФЕДЕРАЦИИ</v>
      </c>
      <c r="B16230" s="24" t="s">
        <v>1854</v>
      </c>
      <c r="C16230" s="25">
        <v>516549.6</v>
      </c>
      <c r="D16230" s="22" t="s">
        <v>21278</v>
      </c>
      <c r="E16230" s="22" t="s">
        <v>86</v>
      </c>
      <c r="F16230" s="23" t="str">
        <f>HYPERLINK("https://www.spark-marketing.ru/Card/Lot/71480455", "Оказание услуг по санаторно-курортному лечению граждан - получателей набора социальных услуг (кроме детей-инвалидов) с заболеваниями по Классу IV МКБ-10 ""Болезни эндокринной системы, расстройства питания и нарушения обмена веществ""")</f>
        <v>Оказание услуг по санаторно-курортному лечению граждан - получателей набора социальных услуг (кроме детей-инвалидов) с заболеваниями по Классу IV МКБ-10 "Болезни эндокринной системы, расстройства питания и нарушения обмена веществ"</v>
      </c>
      <c r="G16230" s="22" t="s">
        <v>63</v>
      </c>
      <c r="H16230" s="22" t="s">
        <v>63</v>
      </c>
      <c r="I16230" s="26">
        <v>43635.388888888898</v>
      </c>
      <c r="J16230" s="23" t="str">
        <f>HYPERLINK("https://www.spark-marketing.ru/Card/Person/95245", "ОАО ""РЖД""")</f>
        <v>ОАО "РЖД"</v>
      </c>
      <c r="K16230" s="24" t="s">
        <v>330</v>
      </c>
      <c r="L16230" s="22" t="s">
        <v>10</v>
      </c>
      <c r="M16230" s="28" t="s">
        <v>51</v>
      </c>
      <c r="N16230" s="28" t="s">
        <v>51</v>
      </c>
    </row>
    <row r="16231" spans="1:14" x14ac:dyDescent="0.15">
      <c r="A16231" s="23" t="str">
        <f>HYPERLINK("https://www.spark-marketing.ru/Card/Person/151211", "МБДОУ ДЕТСКИЙ САД ""ВИШЕНКА"" Х. ВИШНЕВКА")</f>
        <v>МБДОУ ДЕТСКИЙ САД "ВИШЕНКА" Х. ВИШНЕВКА</v>
      </c>
      <c r="B16231" s="24" t="s">
        <v>21279</v>
      </c>
      <c r="C16231" s="25">
        <v>308700</v>
      </c>
      <c r="D16231" s="22" t="s">
        <v>21280</v>
      </c>
      <c r="E16231" s="22" t="s">
        <v>48</v>
      </c>
      <c r="F16231" s="23" t="str">
        <f>HYPERLINK("https://www.spark-marketing.ru/Card/Lot/71492918", "Услуга по организации горячего питания детей в дошкольном образовательном учреждении в помещении пищеблока МБДОУ д/с х. Вишневка ""Вишенка""")</f>
        <v>Услуга по организации горячего питания детей в дошкольном образовательном учреждении в помещении пищеблока МБДОУ д/с х. Вишневка "Вишенка"</v>
      </c>
      <c r="G16231" s="22" t="s">
        <v>267</v>
      </c>
      <c r="H16231" s="22" t="s">
        <v>17221</v>
      </c>
      <c r="I16231" s="26">
        <v>43635.383333333302</v>
      </c>
      <c r="J16231" s="28" t="s">
        <v>51</v>
      </c>
      <c r="K16231" s="28" t="s">
        <v>51</v>
      </c>
      <c r="L16231" s="28" t="s">
        <v>51</v>
      </c>
      <c r="M16231" s="28" t="s">
        <v>51</v>
      </c>
      <c r="N16231" s="28" t="s">
        <v>51</v>
      </c>
    </row>
    <row r="16232" spans="1:14" x14ac:dyDescent="0.15">
      <c r="A16232" s="23" t="str">
        <f>HYPERLINK("https://www.spark-marketing.ru/Card/Person/6702", "ГАУЗ СО ""СООД""")</f>
        <v>ГАУЗ СО "СООД"</v>
      </c>
      <c r="B16232" s="24" t="s">
        <v>20638</v>
      </c>
      <c r="C16232" s="25">
        <v>998200</v>
      </c>
      <c r="D16232" s="22" t="s">
        <v>21281</v>
      </c>
      <c r="E16232" s="22" t="s">
        <v>48</v>
      </c>
      <c r="F16232" s="23" t="str">
        <f>HYPERLINK("https://www.spark-marketing.ru/Card/Lot/71484464", "Оказание услуг по организации питания пациентов")</f>
        <v>Оказание услуг по организации питания пациентов</v>
      </c>
      <c r="G16232" s="22" t="s">
        <v>174</v>
      </c>
      <c r="H16232" s="22" t="s">
        <v>530</v>
      </c>
      <c r="I16232" s="26">
        <v>43635.405555555597</v>
      </c>
      <c r="J16232" s="23" t="str">
        <f>HYPERLINK("https://www.spark-marketing.ru/Card/Person/6481940", "Минеева Евгения Дмитриевна")</f>
        <v>Минеева Евгения Дмитриевна</v>
      </c>
      <c r="K16232" s="24" t="s">
        <v>7999</v>
      </c>
      <c r="L16232" s="22" t="s">
        <v>10</v>
      </c>
      <c r="M16232" s="28" t="s">
        <v>51</v>
      </c>
      <c r="N16232" s="28" t="s">
        <v>51</v>
      </c>
    </row>
    <row r="16233" spans="1:14" x14ac:dyDescent="0.15">
      <c r="A16233" s="23" t="str">
        <f>HYPERLINK("https://www.spark-marketing.ru/Card/Person/88927", "МОУ НОШ № 1")</f>
        <v>МОУ НОШ № 1</v>
      </c>
      <c r="B16233" s="24" t="s">
        <v>21282</v>
      </c>
      <c r="C16233" s="25">
        <v>665802</v>
      </c>
      <c r="D16233" s="22" t="s">
        <v>21283</v>
      </c>
      <c r="E16233" s="22" t="s">
        <v>48</v>
      </c>
      <c r="F16233" s="23" t="str">
        <f>HYPERLINK("https://www.spark-marketing.ru/Card/Lot/71496023", "Оказание услуг по организации горячего питания")</f>
        <v>Оказание услуг по организации горячего питания</v>
      </c>
      <c r="G16233" s="22" t="s">
        <v>137</v>
      </c>
      <c r="H16233" s="22" t="s">
        <v>138</v>
      </c>
      <c r="I16233" s="26">
        <v>43635.389583333301</v>
      </c>
      <c r="J16233" s="28" t="s">
        <v>51</v>
      </c>
      <c r="K16233" s="28" t="s">
        <v>51</v>
      </c>
      <c r="L16233" s="28" t="s">
        <v>51</v>
      </c>
      <c r="M16233" s="28" t="s">
        <v>51</v>
      </c>
      <c r="N16233" s="28" t="s">
        <v>51</v>
      </c>
    </row>
    <row r="16234" spans="1:14" hidden="1" outlineLevel="1" x14ac:dyDescent="0.2">
      <c r="A16234" s="23" t="str">
        <f>HYPERLINK("https://www.spark-marketing.ru/Card/Person/88927", "МОУ НОШ № 1")</f>
        <v>МОУ НОШ № 1</v>
      </c>
      <c r="B16234" s="24" t="s">
        <v>21282</v>
      </c>
      <c r="C16234" s="25">
        <v>665802</v>
      </c>
      <c r="D16234" s="22" t="s">
        <v>21283</v>
      </c>
      <c r="E16234" s="22" t="s">
        <v>48</v>
      </c>
      <c r="F16234" s="23" t="str">
        <f>HYPERLINK("https://www.spark-marketing.ru/Card/Lot/71496023", "Оказание услуг по организации горячего питания")</f>
        <v>Оказание услуг по организации горячего питания</v>
      </c>
      <c r="G16234" s="22" t="s">
        <v>137</v>
      </c>
      <c r="H16234" s="22" t="s">
        <v>138</v>
      </c>
      <c r="I16234" s="26">
        <v>43635.389583333301</v>
      </c>
      <c r="J16234" s="23" t="str">
        <f>HYPERLINK("https://www.spark-marketing.ru/Card/Person/76228", "ООО ""ЛИМАН""")</f>
        <v>ООО "ЛИМАН"</v>
      </c>
      <c r="K16234" s="24" t="s">
        <v>16890</v>
      </c>
      <c r="L16234" s="28" t="s">
        <v>51</v>
      </c>
      <c r="M16234" s="25">
        <v>664800</v>
      </c>
      <c r="N16234" s="27">
        <v>1.5049519226436687E-3</v>
      </c>
    </row>
    <row r="16235" spans="1:14" hidden="1" outlineLevel="1" x14ac:dyDescent="0.2">
      <c r="A16235" s="23" t="str">
        <f>HYPERLINK("https://www.spark-marketing.ru/Card/Person/88927", "МОУ НОШ № 1")</f>
        <v>МОУ НОШ № 1</v>
      </c>
      <c r="B16235" s="24" t="s">
        <v>21282</v>
      </c>
      <c r="C16235" s="25">
        <v>665802</v>
      </c>
      <c r="D16235" s="22" t="s">
        <v>21283</v>
      </c>
      <c r="E16235" s="22" t="s">
        <v>48</v>
      </c>
      <c r="F16235" s="23" t="str">
        <f>HYPERLINK("https://www.spark-marketing.ru/Card/Lot/71496023", "Оказание услуг по организации горячего питания")</f>
        <v>Оказание услуг по организации горячего питания</v>
      </c>
      <c r="G16235" s="22" t="s">
        <v>137</v>
      </c>
      <c r="H16235" s="22" t="s">
        <v>138</v>
      </c>
      <c r="I16235" s="26">
        <v>43635.389583333301</v>
      </c>
      <c r="J16235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6235" s="24" t="s">
        <v>16891</v>
      </c>
      <c r="L16235" s="28" t="s">
        <v>51</v>
      </c>
      <c r="M16235" s="25">
        <v>665802</v>
      </c>
      <c r="N16235" s="27">
        <v>0</v>
      </c>
    </row>
    <row r="16236" spans="1:14" ht="12.75" hidden="1" outlineLevel="1" x14ac:dyDescent="0.2">
      <c r="A16236" s="23" t="str">
        <f>HYPERLINK("https://www.spark-marketing.ru/Card/Person/88927", "МОУ НОШ № 1")</f>
        <v>МОУ НОШ № 1</v>
      </c>
      <c r="B16236" s="24" t="s">
        <v>21282</v>
      </c>
      <c r="C16236" s="25">
        <v>665802</v>
      </c>
      <c r="D16236" s="22" t="s">
        <v>21283</v>
      </c>
      <c r="E16236" s="22" t="s">
        <v>48</v>
      </c>
      <c r="F16236" s="23" t="str">
        <f>HYPERLINK("https://www.spark-marketing.ru/Card/Lot/71496023", "Оказание услуг по организации горячего питания")</f>
        <v>Оказание услуг по организации горячего питания</v>
      </c>
      <c r="G16236" s="22" t="s">
        <v>137</v>
      </c>
      <c r="H16236" s="22" t="s">
        <v>138</v>
      </c>
      <c r="I16236" s="26">
        <v>43635.389583333301</v>
      </c>
      <c r="J16236" s="23" t="str">
        <f>HYPERLINK("https://www.spark-marketing.ru/Card/Person/610902", "ООО ""РАТИБОР""")</f>
        <v>ООО "РАТИБОР"</v>
      </c>
      <c r="K16236" s="24" t="s">
        <v>17751</v>
      </c>
      <c r="L16236" s="22" t="s">
        <v>10</v>
      </c>
      <c r="M16236" s="25">
        <v>663800</v>
      </c>
      <c r="N16236" s="27">
        <v>3.0068999492341565E-3</v>
      </c>
    </row>
    <row r="16237" spans="1:14" x14ac:dyDescent="0.15">
      <c r="A16237" s="23" t="str">
        <f>HYPERLINK("https://www.spark-marketing.ru/Card/Person/1019942", "ГБУСО КО ""ЦЕНТР ""ДЕТСТВО""")</f>
        <v>ГБУСО КО "ЦЕНТР "ДЕТСТВО"</v>
      </c>
      <c r="B16237" s="24" t="s">
        <v>1454</v>
      </c>
      <c r="C16237" s="25">
        <v>30380</v>
      </c>
      <c r="D16237" s="22" t="s">
        <v>21284</v>
      </c>
      <c r="E16237" s="22" t="s">
        <v>48</v>
      </c>
      <c r="F16237" s="23" t="str">
        <f>HYPERLINK("https://www.spark-marketing.ru/Card/Lot/71484661", "Оказание услуг по организации ежедневного горячего питания Центр Детство")</f>
        <v>Оказание услуг по организации ежедневного горячего питания Центр Детство</v>
      </c>
      <c r="G16237" s="22" t="s">
        <v>400</v>
      </c>
      <c r="H16237" s="22" t="s">
        <v>401</v>
      </c>
      <c r="I16237" s="26">
        <v>43635.40625</v>
      </c>
      <c r="J16237" s="28" t="s">
        <v>51</v>
      </c>
      <c r="K16237" s="28" t="s">
        <v>51</v>
      </c>
      <c r="L16237" s="28" t="s">
        <v>51</v>
      </c>
      <c r="M16237" s="28" t="s">
        <v>51</v>
      </c>
      <c r="N16237" s="28" t="s">
        <v>51</v>
      </c>
    </row>
    <row r="16238" spans="1:14" x14ac:dyDescent="0.15">
      <c r="A16238" s="23" t="str">
        <f>HYPERLINK("https://www.spark-marketing.ru/Card/Person/83852", "ГОБУЗ СТАРОРУССКАЯ ЦРБ")</f>
        <v>ГОБУЗ СТАРОРУССКАЯ ЦРБ</v>
      </c>
      <c r="B16238" s="24" t="s">
        <v>21285</v>
      </c>
      <c r="C16238" s="25">
        <v>158550</v>
      </c>
      <c r="D16238" s="22" t="s">
        <v>21286</v>
      </c>
      <c r="E16238" s="22" t="s">
        <v>62</v>
      </c>
      <c r="F16238" s="23" t="str">
        <f>HYPERLINK("https://www.spark-marketing.ru/Card/Lot/71491166", "Поставка типографской продукции")</f>
        <v>Поставка типографской продукции</v>
      </c>
      <c r="G16238" s="22" t="s">
        <v>849</v>
      </c>
      <c r="H16238" s="22" t="s">
        <v>21287</v>
      </c>
      <c r="I16238" s="26">
        <v>43635.389583333301</v>
      </c>
      <c r="J16238" s="28" t="s">
        <v>51</v>
      </c>
      <c r="K16238" s="28" t="s">
        <v>51</v>
      </c>
      <c r="L16238" s="28" t="s">
        <v>51</v>
      </c>
      <c r="M16238" s="28" t="s">
        <v>51</v>
      </c>
      <c r="N16238" s="28" t="s">
        <v>51</v>
      </c>
    </row>
    <row r="16239" spans="1:14" hidden="1" outlineLevel="1" x14ac:dyDescent="0.2">
      <c r="A16239" s="23" t="str">
        <f>HYPERLINK("https://www.spark-marketing.ru/Card/Person/83852", "ГОБУЗ СТАРОРУССКАЯ ЦРБ")</f>
        <v>ГОБУЗ СТАРОРУССКАЯ ЦРБ</v>
      </c>
      <c r="B16239" s="24" t="s">
        <v>21285</v>
      </c>
      <c r="C16239" s="25">
        <v>158550</v>
      </c>
      <c r="D16239" s="22" t="s">
        <v>21286</v>
      </c>
      <c r="E16239" s="22" t="s">
        <v>62</v>
      </c>
      <c r="F16239" s="23" t="str">
        <f>HYPERLINK("https://www.spark-marketing.ru/Card/Lot/71491166", "Поставка типографской продукции")</f>
        <v>Поставка типографской продукции</v>
      </c>
      <c r="G16239" s="22" t="s">
        <v>849</v>
      </c>
      <c r="H16239" s="22" t="s">
        <v>21287</v>
      </c>
      <c r="I16239" s="26">
        <v>43635.389583333301</v>
      </c>
      <c r="J16239" s="23" t="str">
        <f>HYPERLINK("https://www.spark-marketing.ru/Card/Person/317671", "ООО ""МАРС-ПРИНТ""")</f>
        <v>ООО "МАРС-ПРИНТ"</v>
      </c>
      <c r="K16239" s="24" t="s">
        <v>7306</v>
      </c>
      <c r="L16239" s="28" t="s">
        <v>51</v>
      </c>
      <c r="M16239" s="25">
        <v>71345.25</v>
      </c>
      <c r="N16239" s="27">
        <v>0.5500141911069063</v>
      </c>
    </row>
    <row r="16240" spans="1:14" ht="12.75" hidden="1" outlineLevel="1" x14ac:dyDescent="0.2">
      <c r="A16240" s="23" t="str">
        <f>HYPERLINK("https://www.spark-marketing.ru/Card/Person/83852", "ГОБУЗ СТАРОРУССКАЯ ЦРБ")</f>
        <v>ГОБУЗ СТАРОРУССКАЯ ЦРБ</v>
      </c>
      <c r="B16240" s="24" t="s">
        <v>21285</v>
      </c>
      <c r="C16240" s="25">
        <v>158550</v>
      </c>
      <c r="D16240" s="22" t="s">
        <v>21286</v>
      </c>
      <c r="E16240" s="22" t="s">
        <v>62</v>
      </c>
      <c r="F16240" s="23" t="str">
        <f>HYPERLINK("https://www.spark-marketing.ru/Card/Lot/71491166", "Поставка типографской продукции")</f>
        <v>Поставка типографской продукции</v>
      </c>
      <c r="G16240" s="22" t="s">
        <v>849</v>
      </c>
      <c r="H16240" s="22" t="s">
        <v>21287</v>
      </c>
      <c r="I16240" s="26">
        <v>43635.389583333301</v>
      </c>
      <c r="J16240" s="23" t="str">
        <f>HYPERLINK("https://www.spark-marketing.ru/Card/Person/44810", "Шевченко Валерий Иванович")</f>
        <v>Шевченко Валерий Иванович</v>
      </c>
      <c r="K16240" s="24" t="s">
        <v>17320</v>
      </c>
      <c r="L16240" s="22" t="s">
        <v>10</v>
      </c>
      <c r="M16240" s="25">
        <v>70552.5</v>
      </c>
      <c r="N16240" s="27">
        <v>0.55501419110690631</v>
      </c>
    </row>
    <row r="16241" spans="1:14" hidden="1" outlineLevel="1" x14ac:dyDescent="0.2">
      <c r="A16241" s="23" t="str">
        <f>HYPERLINK("https://www.spark-marketing.ru/Card/Person/83852", "ГОБУЗ СТАРОРУССКАЯ ЦРБ")</f>
        <v>ГОБУЗ СТАРОРУССКАЯ ЦРБ</v>
      </c>
      <c r="B16241" s="24" t="s">
        <v>21285</v>
      </c>
      <c r="C16241" s="25">
        <v>158550</v>
      </c>
      <c r="D16241" s="22" t="s">
        <v>21286</v>
      </c>
      <c r="E16241" s="22" t="s">
        <v>62</v>
      </c>
      <c r="F16241" s="23" t="str">
        <f>HYPERLINK("https://www.spark-marketing.ru/Card/Lot/71491166", "Поставка типографской продукции")</f>
        <v>Поставка типографской продукции</v>
      </c>
      <c r="G16241" s="22" t="s">
        <v>849</v>
      </c>
      <c r="H16241" s="22" t="s">
        <v>21287</v>
      </c>
      <c r="I16241" s="26">
        <v>43635.389583333301</v>
      </c>
      <c r="J16241" s="23" t="str">
        <f>HYPERLINK("https://www.spark-marketing.ru/Card/Person/140365", "ООО ""ФИРМА ""ЛЕДА""")</f>
        <v>ООО "ФИРМА "ЛЕДА"</v>
      </c>
      <c r="K16241" s="24" t="s">
        <v>15957</v>
      </c>
      <c r="L16241" s="28" t="s">
        <v>51</v>
      </c>
      <c r="M16241" s="25">
        <v>76894.5</v>
      </c>
      <c r="N16241" s="27">
        <v>0.51501419110690638</v>
      </c>
    </row>
    <row r="16242" spans="1:14" hidden="1" outlineLevel="1" x14ac:dyDescent="0.2">
      <c r="A16242" s="23" t="str">
        <f>HYPERLINK("https://www.spark-marketing.ru/Card/Person/83852", "ГОБУЗ СТАРОРУССКАЯ ЦРБ")</f>
        <v>ГОБУЗ СТАРОРУССКАЯ ЦРБ</v>
      </c>
      <c r="B16242" s="24" t="s">
        <v>21285</v>
      </c>
      <c r="C16242" s="25">
        <v>158550</v>
      </c>
      <c r="D16242" s="22" t="s">
        <v>21286</v>
      </c>
      <c r="E16242" s="22" t="s">
        <v>62</v>
      </c>
      <c r="F16242" s="23" t="str">
        <f>HYPERLINK("https://www.spark-marketing.ru/Card/Lot/71491166", "Поставка типографской продукции")</f>
        <v>Поставка типографской продукции</v>
      </c>
      <c r="G16242" s="22" t="s">
        <v>849</v>
      </c>
      <c r="H16242" s="22" t="s">
        <v>21287</v>
      </c>
      <c r="I16242" s="26">
        <v>43635.389583333301</v>
      </c>
      <c r="J16242" s="23" t="str">
        <f>HYPERLINK("https://www.spark-marketing.ru/Card/Person/370054", "ООО ""ГИМЕНЕЙ""")</f>
        <v>ООО "ГИМЕНЕЙ"</v>
      </c>
      <c r="K16242" s="24" t="s">
        <v>21288</v>
      </c>
      <c r="L16242" s="28" t="s">
        <v>51</v>
      </c>
      <c r="M16242" s="25">
        <v>107019</v>
      </c>
      <c r="N16242" s="27">
        <v>0.32501419110690632</v>
      </c>
    </row>
    <row r="16243" spans="1:14" x14ac:dyDescent="0.15">
      <c r="A16243" s="23" t="str">
        <f>HYPERLINK("https://www.spark-marketing.ru/Card/Person/4375826", "МБОУ ""ЯСШ № 12""")</f>
        <v>МБОУ "ЯСШ № 12"</v>
      </c>
      <c r="B16243" s="24" t="s">
        <v>21289</v>
      </c>
      <c r="C16243" s="25">
        <v>1581960</v>
      </c>
      <c r="D16243" s="22" t="s">
        <v>21290</v>
      </c>
      <c r="E16243" s="22" t="s">
        <v>48</v>
      </c>
      <c r="F16243" s="23" t="str">
        <f>HYPERLINK("https://www.spark-marketing.ru/Card/Lot/71498320", "Оказание услуг по организации горячего питания (завтраки, обеды) обучающихся")</f>
        <v>Оказание услуг по организации горячего питания (завтраки, обеды) обучающихся</v>
      </c>
      <c r="G16243" s="22" t="s">
        <v>108</v>
      </c>
      <c r="H16243" s="22" t="s">
        <v>1321</v>
      </c>
      <c r="I16243" s="26">
        <v>43635.411805555603</v>
      </c>
      <c r="J16243" s="23" t="str">
        <f>HYPERLINK("https://www.spark-marketing.ru/Card/Person/6059895", "ООО ""ОРГАНИЗАЦИЯ ПО ОКАЗАНИЮ УСЛУГ ШКОЛЬНОГО ПИТАНИЯ""")</f>
        <v>ООО "ОРГАНИЗАЦИЯ ПО ОКАЗАНИЮ УСЛУГ ШКОЛЬНОГО ПИТАНИЯ"</v>
      </c>
      <c r="K16243" s="24" t="s">
        <v>21291</v>
      </c>
      <c r="L16243" s="22" t="s">
        <v>10</v>
      </c>
      <c r="M16243" s="28" t="s">
        <v>51</v>
      </c>
      <c r="N16243" s="28" t="s">
        <v>51</v>
      </c>
    </row>
    <row r="16244" spans="1:14" ht="12.75" x14ac:dyDescent="0.2">
      <c r="A16244" s="23" t="str">
        <f>HYPERLINK("https://www.spark-marketing.ru/Card/Person/1012658", "МОУ ""СОШ № 2""")</f>
        <v>МОУ "СОШ № 2"</v>
      </c>
      <c r="B16244" s="24" t="s">
        <v>21292</v>
      </c>
      <c r="C16244" s="25">
        <v>2665266.9700000002</v>
      </c>
      <c r="D16244" s="22" t="s">
        <v>21293</v>
      </c>
      <c r="E16244" s="22" t="s">
        <v>48</v>
      </c>
      <c r="F16244" s="23" t="str">
        <f>HYPERLINK("https://www.spark-marketing.ru/Card/Lot/71479814", "Услуги по организации питания учащихся в соответствии с техническим заданием Заказчика")</f>
        <v>Услуги по организации питания учащихся в соответствии с техническим заданием Заказчика</v>
      </c>
      <c r="G16244" s="22" t="s">
        <v>149</v>
      </c>
      <c r="H16244" s="22" t="s">
        <v>1025</v>
      </c>
      <c r="I16244" s="26">
        <v>43635.350694444402</v>
      </c>
      <c r="J16244" s="23" t="str">
        <f>HYPERLINK("https://www.spark-marketing.ru/Card/Person/569088", "ООО ""ТПУ""")</f>
        <v>ООО "ТПУ"</v>
      </c>
      <c r="K16244" s="24" t="s">
        <v>21027</v>
      </c>
      <c r="L16244" s="22" t="s">
        <v>10</v>
      </c>
      <c r="M16244" s="25">
        <v>2665266.9700000002</v>
      </c>
      <c r="N16244" s="27">
        <v>0</v>
      </c>
    </row>
    <row r="16245" spans="1:14" x14ac:dyDescent="0.15">
      <c r="A16245" s="23" t="str">
        <f>HYPERLINK("https://www.spark-marketing.ru/Card/Person/73416", "МБОУ СОШ № 4")</f>
        <v>МБОУ СОШ № 4</v>
      </c>
      <c r="B16245" s="24" t="s">
        <v>21294</v>
      </c>
      <c r="C16245" s="25">
        <v>497960</v>
      </c>
      <c r="D16245" s="22" t="s">
        <v>21295</v>
      </c>
      <c r="E16245" s="22" t="s">
        <v>48</v>
      </c>
      <c r="F16245" s="23" t="str">
        <f>HYPERLINK("https://www.spark-marketing.ru/Card/Lot/71485086", "Оказание услуг по организации питания детей из многодетных семей ,обучающихся в МБОУ СОШ №4")</f>
        <v>Оказание услуг по организации питания детей из многодетных семей ,обучающихся в МБОУ СОШ №4</v>
      </c>
      <c r="G16245" s="22" t="s">
        <v>1370</v>
      </c>
      <c r="H16245" s="22" t="s">
        <v>13154</v>
      </c>
      <c r="I16245" s="26">
        <v>43635.343055555597</v>
      </c>
      <c r="J16245" s="23" t="str">
        <f>HYPERLINK("https://www.spark-marketing.ru/Card/Person/837113", "МУП ""ШКОЛЬНИК""")</f>
        <v>МУП "ШКОЛЬНИК"</v>
      </c>
      <c r="K16245" s="24" t="s">
        <v>19645</v>
      </c>
      <c r="L16245" s="22" t="s">
        <v>10</v>
      </c>
      <c r="M16245" s="28" t="s">
        <v>51</v>
      </c>
      <c r="N16245" s="28" t="s">
        <v>51</v>
      </c>
    </row>
    <row r="16246" spans="1:14" x14ac:dyDescent="0.15">
      <c r="A16246" s="23" t="str">
        <f>HYPERLINK("https://www.spark-marketing.ru/Card/Person/4343663", "МИНЗДРАВ АЛТАЙСКОГО КРАЯ")</f>
        <v>МИНЗДРАВ АЛТАЙСКОГО КРАЯ</v>
      </c>
      <c r="B16246" s="24" t="s">
        <v>9429</v>
      </c>
      <c r="C16246" s="25">
        <v>99000</v>
      </c>
      <c r="D16246" s="22" t="s">
        <v>21296</v>
      </c>
      <c r="E16246" s="22" t="s">
        <v>336</v>
      </c>
      <c r="F16246" s="23" t="str">
        <f>HYPERLINK("https://www.spark-marketing.ru/Card/Lot/71482654",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46" s="22" t="s">
        <v>63</v>
      </c>
      <c r="H16246" s="22" t="s">
        <v>177</v>
      </c>
      <c r="I16246" s="26">
        <v>43635.3527777778</v>
      </c>
      <c r="J16246" s="28" t="s">
        <v>51</v>
      </c>
      <c r="K16246" s="28" t="s">
        <v>51</v>
      </c>
      <c r="L16246" s="28" t="s">
        <v>51</v>
      </c>
      <c r="M16246" s="28" t="s">
        <v>51</v>
      </c>
      <c r="N16246" s="28" t="s">
        <v>51</v>
      </c>
    </row>
    <row r="16247" spans="1:14" x14ac:dyDescent="0.15">
      <c r="A16247" s="23" t="str">
        <f>HYPERLINK("https://www.spark-marketing.ru/Card/Person/4343663", "МИНЗДРАВ АЛТАЙСКОГО КРАЯ")</f>
        <v>МИНЗДРАВ АЛТАЙСКОГО КРАЯ</v>
      </c>
      <c r="B16247" s="24" t="s">
        <v>9429</v>
      </c>
      <c r="C16247" s="25">
        <v>96000</v>
      </c>
      <c r="D16247" s="22" t="s">
        <v>21297</v>
      </c>
      <c r="E16247" s="22" t="s">
        <v>336</v>
      </c>
      <c r="F16247" s="23" t="str">
        <f>HYPERLINK("https://www.spark-marketing.ru/Card/Lot/71482145",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47" s="22" t="s">
        <v>63</v>
      </c>
      <c r="H16247" s="22" t="s">
        <v>177</v>
      </c>
      <c r="I16247" s="26">
        <v>43635.345138888901</v>
      </c>
      <c r="J16247" s="28" t="s">
        <v>51</v>
      </c>
      <c r="K16247" s="28" t="s">
        <v>51</v>
      </c>
      <c r="L16247" s="28" t="s">
        <v>51</v>
      </c>
      <c r="M16247" s="28" t="s">
        <v>51</v>
      </c>
      <c r="N16247" s="28" t="s">
        <v>51</v>
      </c>
    </row>
    <row r="16248" spans="1:14" x14ac:dyDescent="0.15">
      <c r="A16248" s="23" t="str">
        <f>HYPERLINK("https://www.spark-marketing.ru/Card/Person/137940", "МБДОУ ДЕТСКИЙ САД ""КОЛОКОЛЬЧИК"" Х.ТРОФИМЕНКОВ")</f>
        <v>МБДОУ ДЕТСКИЙ САД "КОЛОКОЛЬЧИК" Х.ТРОФИМЕНКОВ</v>
      </c>
      <c r="B16248" s="24" t="s">
        <v>21298</v>
      </c>
      <c r="C16248" s="25">
        <v>155540</v>
      </c>
      <c r="D16248" s="22" t="s">
        <v>21299</v>
      </c>
      <c r="E16248" s="22" t="s">
        <v>48</v>
      </c>
      <c r="F16248" s="23" t="str">
        <f>HYPERLINK("https://www.spark-marketing.ru/Card/Lot/71485003", "Услуга по организации горячего питания детей в дошкольном образовательном учреждении в помещении пищеблока МБДОУ д/с х. ""Колокольчик"" х. Трофименков")</f>
        <v>Услуга по организации горячего питания детей в дошкольном образовательном учреждении в помещении пищеблока МБДОУ д/с х. "Колокольчик" х. Трофименков</v>
      </c>
      <c r="G16248" s="22" t="s">
        <v>267</v>
      </c>
      <c r="H16248" s="22" t="s">
        <v>17221</v>
      </c>
      <c r="I16248" s="26">
        <v>43635.371527777803</v>
      </c>
      <c r="J16248" s="28" t="s">
        <v>51</v>
      </c>
      <c r="K16248" s="28" t="s">
        <v>51</v>
      </c>
      <c r="L16248" s="28" t="s">
        <v>51</v>
      </c>
      <c r="M16248" s="28" t="s">
        <v>51</v>
      </c>
      <c r="N16248" s="28" t="s">
        <v>51</v>
      </c>
    </row>
    <row r="16249" spans="1:14" x14ac:dyDescent="0.15">
      <c r="A16249" s="23" t="str">
        <f>HYPERLINK("https://www.spark-marketing.ru/Card/Person/73416", "МБОУ СОШ № 4")</f>
        <v>МБОУ СОШ № 4</v>
      </c>
      <c r="B16249" s="24" t="s">
        <v>21294</v>
      </c>
      <c r="C16249" s="25">
        <v>477900</v>
      </c>
      <c r="D16249" s="22" t="s">
        <v>21300</v>
      </c>
      <c r="E16249" s="22" t="s">
        <v>48</v>
      </c>
      <c r="F16249" s="23" t="str">
        <f>HYPERLINK("https://www.spark-marketing.ru/Card/Lot/71485080", "Оказание услуг по организации питания детей льготных категорий, обучающихся в МБОУ СОШ №4")</f>
        <v>Оказание услуг по организации питания детей льготных категорий, обучающихся в МБОУ СОШ №4</v>
      </c>
      <c r="G16249" s="22" t="s">
        <v>1370</v>
      </c>
      <c r="H16249" s="22" t="s">
        <v>13154</v>
      </c>
      <c r="I16249" s="26">
        <v>43635.343055555597</v>
      </c>
      <c r="J16249" s="23" t="str">
        <f>HYPERLINK("https://www.spark-marketing.ru/Card/Person/837113", "МУП ""ШКОЛЬНИК""")</f>
        <v>МУП "ШКОЛЬНИК"</v>
      </c>
      <c r="K16249" s="24" t="s">
        <v>19645</v>
      </c>
      <c r="L16249" s="22" t="s">
        <v>10</v>
      </c>
      <c r="M16249" s="28" t="s">
        <v>51</v>
      </c>
      <c r="N16249" s="28" t="s">
        <v>51</v>
      </c>
    </row>
    <row r="16250" spans="1:14" x14ac:dyDescent="0.15">
      <c r="A16250" s="23" t="str">
        <f>HYPERLINK("https://www.spark-marketing.ru/Card/Person/4343663", "МИНЗДРАВ АЛТАЙСКОГО КРАЯ")</f>
        <v>МИНЗДРАВ АЛТАЙСКОГО КРАЯ</v>
      </c>
      <c r="B16250" s="24" t="s">
        <v>9429</v>
      </c>
      <c r="C16250" s="25">
        <v>96000</v>
      </c>
      <c r="D16250" s="22" t="s">
        <v>21301</v>
      </c>
      <c r="E16250" s="22" t="s">
        <v>336</v>
      </c>
      <c r="F16250" s="23" t="str">
        <f>HYPERLINK("https://www.spark-marketing.ru/Card/Lot/71481740",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50" s="22" t="s">
        <v>63</v>
      </c>
      <c r="H16250" s="22" t="s">
        <v>177</v>
      </c>
      <c r="I16250" s="26">
        <v>43635.313888888901</v>
      </c>
      <c r="J16250" s="28" t="s">
        <v>51</v>
      </c>
      <c r="K16250" s="28" t="s">
        <v>51</v>
      </c>
      <c r="L16250" s="28" t="s">
        <v>51</v>
      </c>
      <c r="M16250" s="28" t="s">
        <v>51</v>
      </c>
      <c r="N16250" s="28" t="s">
        <v>51</v>
      </c>
    </row>
    <row r="16251" spans="1:14" x14ac:dyDescent="0.15">
      <c r="A16251" s="23" t="str">
        <f>HYPERLINK("https://www.spark-marketing.ru/Card/Person/4343663", "МИНЗДРАВ АЛТАЙСКОГО КРАЯ")</f>
        <v>МИНЗДРАВ АЛТАЙСКОГО КРАЯ</v>
      </c>
      <c r="B16251" s="24" t="s">
        <v>9429</v>
      </c>
      <c r="C16251" s="25">
        <v>95178.6</v>
      </c>
      <c r="D16251" s="22" t="s">
        <v>21302</v>
      </c>
      <c r="E16251" s="22" t="s">
        <v>336</v>
      </c>
      <c r="F16251" s="23" t="str">
        <f>HYPERLINK("https://www.spark-marketing.ru/Card/Lot/71481045",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51" s="22" t="s">
        <v>63</v>
      </c>
      <c r="H16251" s="22" t="s">
        <v>177</v>
      </c>
      <c r="I16251" s="26">
        <v>43635.298611111102</v>
      </c>
      <c r="J16251" s="28" t="s">
        <v>51</v>
      </c>
      <c r="K16251" s="28" t="s">
        <v>51</v>
      </c>
      <c r="L16251" s="28" t="s">
        <v>51</v>
      </c>
      <c r="M16251" s="28" t="s">
        <v>51</v>
      </c>
      <c r="N16251" s="28" t="s">
        <v>51</v>
      </c>
    </row>
    <row r="16252" spans="1:14" x14ac:dyDescent="0.15">
      <c r="A16252" s="23" t="str">
        <f>HYPERLINK("https://www.spark-marketing.ru/Card/Person/4343663", "МИНЗДРАВ АЛТАЙСКОГО КРАЯ")</f>
        <v>МИНЗДРАВ АЛТАЙСКОГО КРАЯ</v>
      </c>
      <c r="B16252" s="24" t="s">
        <v>9429</v>
      </c>
      <c r="C16252" s="25">
        <v>99900</v>
      </c>
      <c r="D16252" s="22" t="s">
        <v>21303</v>
      </c>
      <c r="E16252" s="22" t="s">
        <v>336</v>
      </c>
      <c r="F16252" s="23" t="str">
        <f>HYPERLINK("https://www.spark-marketing.ru/Card/Lot/71481680",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52" s="22" t="s">
        <v>63</v>
      </c>
      <c r="H16252" s="22" t="s">
        <v>177</v>
      </c>
      <c r="I16252" s="26">
        <v>43635.324999999997</v>
      </c>
      <c r="J16252" s="28" t="s">
        <v>51</v>
      </c>
      <c r="K16252" s="28" t="s">
        <v>51</v>
      </c>
      <c r="L16252" s="28" t="s">
        <v>51</v>
      </c>
      <c r="M16252" s="28" t="s">
        <v>51</v>
      </c>
      <c r="N16252" s="28" t="s">
        <v>51</v>
      </c>
    </row>
    <row r="16253" spans="1:14" x14ac:dyDescent="0.15">
      <c r="A16253" s="23" t="str">
        <f>HYPERLINK("https://www.spark-marketing.ru/Card/Person/1048679", "ОТДМВД РОССИИ ПО НЕВЕРКИНСКОМУ РАЙОНУ")</f>
        <v>ОТДМВД РОССИИ ПО НЕВЕРКИНСКОМУ РАЙОНУ</v>
      </c>
      <c r="B16253" s="24" t="s">
        <v>21304</v>
      </c>
      <c r="C16253" s="25">
        <v>9850</v>
      </c>
      <c r="D16253" s="22" t="s">
        <v>21305</v>
      </c>
      <c r="E16253" s="22" t="s">
        <v>48</v>
      </c>
      <c r="F16253" s="23" t="str">
        <f>HYPERLINK("https://www.spark-marketing.ru/Card/Lot/71480936", "Услуги по обеспечению питанием, осуществляемые по договору, 39 усл. ед")</f>
        <v>Услуги по обеспечению питанием, осуществляемые по договору, 39 усл. ед</v>
      </c>
      <c r="G16253" s="22" t="s">
        <v>72</v>
      </c>
      <c r="H16253" s="22" t="s">
        <v>21306</v>
      </c>
      <c r="I16253" s="26">
        <v>43635.2963773148</v>
      </c>
      <c r="J16253" s="28" t="s">
        <v>51</v>
      </c>
      <c r="K16253" s="28" t="s">
        <v>51</v>
      </c>
      <c r="L16253" s="28" t="s">
        <v>51</v>
      </c>
      <c r="M16253" s="28" t="s">
        <v>51</v>
      </c>
      <c r="N16253" s="28" t="s">
        <v>51</v>
      </c>
    </row>
    <row r="16254" spans="1:14" x14ac:dyDescent="0.15">
      <c r="A16254" s="23" t="str">
        <f>HYPERLINK("https://www.spark-marketing.ru/Card/Person/1048679", "ОТДМВД РОССИИ ПО НЕВЕРКИНСКОМУ РАЙОНУ")</f>
        <v>ОТДМВД РОССИИ ПО НЕВЕРКИНСКОМУ РАЙОНУ</v>
      </c>
      <c r="B16254" s="24" t="s">
        <v>21304</v>
      </c>
      <c r="C16254" s="25">
        <v>69140</v>
      </c>
      <c r="D16254" s="22" t="s">
        <v>21307</v>
      </c>
      <c r="E16254" s="22" t="s">
        <v>48</v>
      </c>
      <c r="F16254" s="23" t="str">
        <f>HYPERLINK("https://www.spark-marketing.ru/Card/Lot/71480941", "Услуги по обеспечению питанием, осуществляемые по договору, 276 усл. ед")</f>
        <v>Услуги по обеспечению питанием, осуществляемые по договору, 276 усл. ед</v>
      </c>
      <c r="G16254" s="22" t="s">
        <v>72</v>
      </c>
      <c r="H16254" s="22" t="s">
        <v>21306</v>
      </c>
      <c r="I16254" s="26">
        <v>43635.298576388901</v>
      </c>
      <c r="J16254" s="28" t="s">
        <v>51</v>
      </c>
      <c r="K16254" s="28" t="s">
        <v>51</v>
      </c>
      <c r="L16254" s="28" t="s">
        <v>51</v>
      </c>
      <c r="M16254" s="28" t="s">
        <v>51</v>
      </c>
      <c r="N16254" s="28" t="s">
        <v>51</v>
      </c>
    </row>
    <row r="16255" spans="1:14" x14ac:dyDescent="0.15">
      <c r="A16255" s="23" t="str">
        <f>HYPERLINK("https://www.spark-marketing.ru/Card/Person/4343663", "МИНЗДРАВ АЛТАЙСКОГО КРАЯ")</f>
        <v>МИНЗДРАВ АЛТАЙСКОГО КРАЯ</v>
      </c>
      <c r="B16255" s="24" t="s">
        <v>9429</v>
      </c>
      <c r="C16255" s="25">
        <v>93985.36</v>
      </c>
      <c r="D16255" s="22" t="s">
        <v>21308</v>
      </c>
      <c r="E16255" s="22" t="s">
        <v>336</v>
      </c>
      <c r="F16255" s="23" t="str">
        <f>HYPERLINK("https://www.spark-marketing.ru/Card/Lot/71480330",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55" s="22" t="s">
        <v>63</v>
      </c>
      <c r="H16255" s="22" t="s">
        <v>177</v>
      </c>
      <c r="I16255" s="26">
        <v>43635.261805555601</v>
      </c>
      <c r="J16255" s="28" t="s">
        <v>51</v>
      </c>
      <c r="K16255" s="28" t="s">
        <v>51</v>
      </c>
      <c r="L16255" s="28" t="s">
        <v>51</v>
      </c>
      <c r="M16255" s="28" t="s">
        <v>51</v>
      </c>
      <c r="N16255" s="28" t="s">
        <v>51</v>
      </c>
    </row>
    <row r="16256" spans="1:14" x14ac:dyDescent="0.15">
      <c r="A16256" s="23" t="str">
        <f>HYPERLINK("https://www.spark-marketing.ru/Card/Person/4343663", "МИНЗДРАВ АЛТАЙСКОГО КРАЯ")</f>
        <v>МИНЗДРАВ АЛТАЙСКОГО КРАЯ</v>
      </c>
      <c r="B16256" s="24" t="s">
        <v>9429</v>
      </c>
      <c r="C16256" s="25">
        <v>93508.800000000003</v>
      </c>
      <c r="D16256" s="22" t="s">
        <v>21309</v>
      </c>
      <c r="E16256" s="22" t="s">
        <v>336</v>
      </c>
      <c r="F16256" s="23" t="str">
        <f>HYPERLINK("https://www.spark-marketing.ru/Card/Lot/71480679",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56" s="22" t="s">
        <v>63</v>
      </c>
      <c r="H16256" s="22" t="s">
        <v>177</v>
      </c>
      <c r="I16256" s="26">
        <v>43635.284027777801</v>
      </c>
      <c r="J16256" s="28" t="s">
        <v>51</v>
      </c>
      <c r="K16256" s="28" t="s">
        <v>51</v>
      </c>
      <c r="L16256" s="28" t="s">
        <v>51</v>
      </c>
      <c r="M16256" s="28" t="s">
        <v>51</v>
      </c>
      <c r="N16256" s="28" t="s">
        <v>51</v>
      </c>
    </row>
    <row r="16257" spans="1:14" x14ac:dyDescent="0.15">
      <c r="A16257" s="23" t="str">
        <f>HYPERLINK("https://www.spark-marketing.ru/Card/Person/997908", "ГКУЗ ""КСПК""")</f>
        <v>ГКУЗ "КСПК"</v>
      </c>
      <c r="B16257" s="24" t="s">
        <v>21310</v>
      </c>
      <c r="C16257" s="25">
        <v>10076.91</v>
      </c>
      <c r="D16257" s="22" t="s">
        <v>21311</v>
      </c>
      <c r="E16257" s="22" t="s">
        <v>21312</v>
      </c>
      <c r="F16257" s="23" t="str">
        <f>HYPERLINK("https://www.spark-marketing.ru/Card/Lot/71480323", "Товары, работы или услуги на сумму, не превышающие 100 тыс. руб (п.4 ч.1 ст.93 44-ФЗ)")</f>
        <v>Товары, работы или услуги на сумму, не превышающие 100 тыс. руб (п.4 ч.1 ст.93 44-ФЗ)</v>
      </c>
      <c r="G16257" s="22" t="s">
        <v>228</v>
      </c>
      <c r="H16257" s="22" t="s">
        <v>394</v>
      </c>
      <c r="I16257" s="26">
        <v>43635.260416666701</v>
      </c>
      <c r="J16257" s="28" t="s">
        <v>51</v>
      </c>
      <c r="K16257" s="28" t="s">
        <v>51</v>
      </c>
      <c r="L16257" s="28" t="s">
        <v>51</v>
      </c>
      <c r="M16257" s="28" t="s">
        <v>51</v>
      </c>
      <c r="N16257" s="28" t="s">
        <v>51</v>
      </c>
    </row>
    <row r="16258" spans="1:14" x14ac:dyDescent="0.15">
      <c r="A16258" s="23" t="str">
        <f>HYPERLINK("https://www.spark-marketing.ru/Card/Person/4343663", "МИНЗДРАВ АЛТАЙСКОГО КРАЯ")</f>
        <v>МИНЗДРАВ АЛТАЙСКОГО КРАЯ</v>
      </c>
      <c r="B16258" s="24" t="s">
        <v>9429</v>
      </c>
      <c r="C16258" s="25">
        <v>98798.8</v>
      </c>
      <c r="D16258" s="22" t="s">
        <v>21313</v>
      </c>
      <c r="E16258" s="22" t="s">
        <v>336</v>
      </c>
      <c r="F16258" s="23" t="str">
        <f>HYPERLINK("https://www.spark-marketing.ru/Card/Lot/71480306",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58" s="22" t="s">
        <v>63</v>
      </c>
      <c r="H16258" s="22" t="s">
        <v>177</v>
      </c>
      <c r="I16258" s="26">
        <v>43635.252083333296</v>
      </c>
      <c r="J16258" s="28" t="s">
        <v>51</v>
      </c>
      <c r="K16258" s="28" t="s">
        <v>51</v>
      </c>
      <c r="L16258" s="28" t="s">
        <v>51</v>
      </c>
      <c r="M16258" s="28" t="s">
        <v>51</v>
      </c>
      <c r="N16258" s="28" t="s">
        <v>51</v>
      </c>
    </row>
    <row r="16259" spans="1:14" x14ac:dyDescent="0.15">
      <c r="A16259" s="23" t="str">
        <f>HYPERLINK("https://www.spark-marketing.ru/Card/Person/46649", "КГКУ ГААК")</f>
        <v>КГКУ ГААК</v>
      </c>
      <c r="B16259" s="24" t="s">
        <v>19860</v>
      </c>
      <c r="C16259" s="25">
        <v>14820</v>
      </c>
      <c r="D16259" s="22" t="s">
        <v>21314</v>
      </c>
      <c r="E16259" s="22" t="s">
        <v>21315</v>
      </c>
      <c r="F16259" s="23" t="str">
        <f>HYPERLINK("https://www.spark-marketing.ru/Card/Lot/71480755", "Товары, работы или услуги на сумму, не превышающую 400 тыс. рублей (п.5 ч.1 ст.93 Федерального закона № 44-ФЗ)")</f>
        <v>Товары, работы или услуги на сумму, не превышающую 400 тыс. рублей (п.5 ч.1 ст.93 Федерального закона № 44-ФЗ)</v>
      </c>
      <c r="G16259" s="22" t="s">
        <v>63</v>
      </c>
      <c r="H16259" s="22" t="s">
        <v>177</v>
      </c>
      <c r="I16259" s="26">
        <v>43635.275694444397</v>
      </c>
      <c r="J16259" s="28" t="s">
        <v>51</v>
      </c>
      <c r="K16259" s="28" t="s">
        <v>51</v>
      </c>
      <c r="L16259" s="28" t="s">
        <v>51</v>
      </c>
      <c r="M16259" s="28" t="s">
        <v>51</v>
      </c>
      <c r="N16259" s="28" t="s">
        <v>51</v>
      </c>
    </row>
    <row r="16260" spans="1:14" x14ac:dyDescent="0.15">
      <c r="A16260" s="23" t="str">
        <f>HYPERLINK("https://www.spark-marketing.ru/Card/Person/4343663", "МИНЗДРАВ АЛТАЙСКОГО КРАЯ")</f>
        <v>МИНЗДРАВ АЛТАЙСКОГО КРАЯ</v>
      </c>
      <c r="B16260" s="24" t="s">
        <v>9429</v>
      </c>
      <c r="C16260" s="25">
        <v>99410.4</v>
      </c>
      <c r="D16260" s="22" t="s">
        <v>21316</v>
      </c>
      <c r="E16260" s="22" t="s">
        <v>336</v>
      </c>
      <c r="F16260" s="23" t="str">
        <f>HYPERLINK("https://www.spark-marketing.ru/Card/Lot/71480750",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60" s="22" t="s">
        <v>63</v>
      </c>
      <c r="H16260" s="22" t="s">
        <v>177</v>
      </c>
      <c r="I16260" s="26">
        <v>43635.273611111101</v>
      </c>
      <c r="J16260" s="28" t="s">
        <v>51</v>
      </c>
      <c r="K16260" s="28" t="s">
        <v>51</v>
      </c>
      <c r="L16260" s="28" t="s">
        <v>51</v>
      </c>
      <c r="M16260" s="28" t="s">
        <v>51</v>
      </c>
      <c r="N16260" s="28" t="s">
        <v>51</v>
      </c>
    </row>
    <row r="16261" spans="1:14" x14ac:dyDescent="0.15">
      <c r="A16261" s="23" t="str">
        <f>HYPERLINK("https://www.spark-marketing.ru/Card/Person/4343663", "МИНЗДРАВ АЛТАЙСКОГО КРАЯ")</f>
        <v>МИНЗДРАВ АЛТАЙСКОГО КРАЯ</v>
      </c>
      <c r="B16261" s="24" t="s">
        <v>9429</v>
      </c>
      <c r="C16261" s="25">
        <v>76800</v>
      </c>
      <c r="D16261" s="22" t="s">
        <v>21317</v>
      </c>
      <c r="E16261" s="22" t="s">
        <v>336</v>
      </c>
      <c r="F16261" s="23" t="str">
        <f>HYPERLINK("https://www.spark-marketing.ru/Card/Lot/71480231",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61" s="22" t="s">
        <v>63</v>
      </c>
      <c r="H16261" s="22" t="s">
        <v>177</v>
      </c>
      <c r="I16261" s="26">
        <v>43635.215277777803</v>
      </c>
      <c r="J16261" s="28" t="s">
        <v>51</v>
      </c>
      <c r="K16261" s="28" t="s">
        <v>51</v>
      </c>
      <c r="L16261" s="28" t="s">
        <v>51</v>
      </c>
      <c r="M16261" s="28" t="s">
        <v>51</v>
      </c>
      <c r="N16261" s="28" t="s">
        <v>51</v>
      </c>
    </row>
    <row r="16262" spans="1:14" x14ac:dyDescent="0.15">
      <c r="A16262" s="23" t="str">
        <f>HYPERLINK("https://www.spark-marketing.ru/Card/Person/4343663", "МИНЗДРАВ АЛТАЙСКОГО КРАЯ")</f>
        <v>МИНЗДРАВ АЛТАЙСКОГО КРАЯ</v>
      </c>
      <c r="B16262" s="24" t="s">
        <v>9429</v>
      </c>
      <c r="C16262" s="25">
        <v>98600</v>
      </c>
      <c r="D16262" s="22" t="s">
        <v>21318</v>
      </c>
      <c r="E16262" s="22" t="s">
        <v>336</v>
      </c>
      <c r="F16262" s="23" t="str">
        <f>HYPERLINK("https://www.spark-marketing.ru/Card/Lot/71480273",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262" s="22" t="s">
        <v>63</v>
      </c>
      <c r="H16262" s="22" t="s">
        <v>177</v>
      </c>
      <c r="I16262" s="26">
        <v>43635.238194444399</v>
      </c>
      <c r="J16262" s="28" t="s">
        <v>51</v>
      </c>
      <c r="K16262" s="28" t="s">
        <v>51</v>
      </c>
      <c r="L16262" s="28" t="s">
        <v>51</v>
      </c>
      <c r="M16262" s="28" t="s">
        <v>51</v>
      </c>
      <c r="N16262" s="28" t="s">
        <v>51</v>
      </c>
    </row>
    <row r="16263" spans="1:14" x14ac:dyDescent="0.15">
      <c r="A16263" s="23" t="str">
        <f>HYPERLINK("https://www.spark-marketing.ru/Card/Person/638498", "ГП ЧАО ""ЧУКОТАВИА""")</f>
        <v>ГП ЧАО "ЧУКОТАВИА"</v>
      </c>
      <c r="B16263" s="24" t="s">
        <v>5698</v>
      </c>
      <c r="C16263" s="25">
        <v>500000</v>
      </c>
      <c r="D16263" s="22" t="s">
        <v>21319</v>
      </c>
      <c r="E16263" s="22" t="s">
        <v>2273</v>
      </c>
      <c r="F16263" s="23" t="str">
        <f>HYPERLINK("https://www.spark-marketing.ru/Card/Lot/71474483", "Услуги по обеспечению горячим питанием и прохладительными напитками пассажиров задержанных рейсов в Аэропорту ""Залив Креста""")</f>
        <v>Услуги по обеспечению горячим питанием и прохладительными напитками пассажиров задержанных рейсов в Аэропорту "Залив Креста"</v>
      </c>
      <c r="G16263" s="22" t="s">
        <v>2674</v>
      </c>
      <c r="H16263" s="22" t="s">
        <v>5700</v>
      </c>
      <c r="I16263" s="26">
        <v>43635.092499999999</v>
      </c>
      <c r="J16263" s="28" t="s">
        <v>51</v>
      </c>
      <c r="K16263" s="28" t="s">
        <v>51</v>
      </c>
      <c r="L16263" s="28" t="s">
        <v>51</v>
      </c>
      <c r="M16263" s="28" t="s">
        <v>51</v>
      </c>
      <c r="N16263" s="28" t="s">
        <v>51</v>
      </c>
    </row>
    <row r="16264" spans="1:14" x14ac:dyDescent="0.15">
      <c r="A16264" s="23" t="str">
        <f>HYPERLINK("https://www.spark-marketing.ru/Card/Person/6450322", "ЗАКАЗЧИК РП БЕЛАРУСЬ")</f>
        <v>ЗАКАЗЧИК РП БЕЛАРУСЬ</v>
      </c>
      <c r="B16264" s="28" t="s">
        <v>51</v>
      </c>
      <c r="C16264" s="28" t="s">
        <v>51</v>
      </c>
      <c r="D16264" s="22" t="s">
        <v>21320</v>
      </c>
      <c r="E16264" s="22" t="s">
        <v>52</v>
      </c>
      <c r="F16264" s="23" t="str">
        <f>HYPERLINK("https://www.spark-marketing.ru/Card/Lot/71505235", "Услуги по обеспечению питанием участников спортивно - оздоровительного лагеря круглосуточного пребывания (12 чел. Могилёвская область, Быховский район, посёлок Грудичино)")</f>
        <v>Услуги по обеспечению питанием участников спортивно - оздоровительного лагеря круглосуточного пребывания (12 чел. Могилёвская область, Быховский район, посёлок Грудичино)</v>
      </c>
      <c r="G16264" s="22" t="s">
        <v>51</v>
      </c>
      <c r="H16264" s="22" t="s">
        <v>51</v>
      </c>
      <c r="I16264" s="26">
        <v>43635</v>
      </c>
      <c r="J16264" s="28" t="s">
        <v>51</v>
      </c>
      <c r="K16264" s="28" t="s">
        <v>51</v>
      </c>
      <c r="L16264" s="28" t="s">
        <v>51</v>
      </c>
      <c r="M16264" s="28" t="s">
        <v>51</v>
      </c>
      <c r="N16264" s="28" t="s">
        <v>51</v>
      </c>
    </row>
    <row r="16265" spans="1:14" x14ac:dyDescent="0.15">
      <c r="A16265" s="23" t="str">
        <f>HYPERLINK("https://www.spark-marketing.ru/Card/Person/6450322", "ЗАКАЗЧИК РП БЕЛАРУСЬ")</f>
        <v>ЗАКАЗЧИК РП БЕЛАРУСЬ</v>
      </c>
      <c r="B16265" s="28" t="s">
        <v>51</v>
      </c>
      <c r="C16265" s="25">
        <v>333287.81640000001</v>
      </c>
      <c r="D16265" s="22" t="s">
        <v>21321</v>
      </c>
      <c r="E16265" s="22" t="s">
        <v>52</v>
      </c>
      <c r="F16265" s="23" t="str">
        <f>HYPERLINK("https://www.spark-marketing.ru/Card/Lot/71497171", "Услуги по организации питания участников спортивно-оздоровительного лагеря дневного пребывания")</f>
        <v>Услуги по организации питания участников спортивно-оздоровительного лагеря дневного пребывания</v>
      </c>
      <c r="G16265" s="22" t="s">
        <v>51</v>
      </c>
      <c r="H16265" s="22" t="s">
        <v>51</v>
      </c>
      <c r="I16265" s="26">
        <v>43635</v>
      </c>
      <c r="J16265" s="28" t="s">
        <v>51</v>
      </c>
      <c r="K16265" s="28" t="s">
        <v>51</v>
      </c>
      <c r="L16265" s="28" t="s">
        <v>51</v>
      </c>
      <c r="M16265" s="28" t="s">
        <v>51</v>
      </c>
      <c r="N16265" s="28" t="s">
        <v>51</v>
      </c>
    </row>
    <row r="16266" spans="1:14" x14ac:dyDescent="0.15">
      <c r="A16266" s="23" t="str">
        <f>HYPERLINK("https://www.spark-marketing.ru/Card/Person/6450322", "ЗАКАЗЧИК РП БЕЛАРУСЬ")</f>
        <v>ЗАКАЗЧИК РП БЕЛАРУСЬ</v>
      </c>
      <c r="B16266" s="28" t="s">
        <v>51</v>
      </c>
      <c r="C16266" s="25">
        <v>51059.244599999998</v>
      </c>
      <c r="D16266" s="22" t="s">
        <v>21320</v>
      </c>
      <c r="E16266" s="22" t="s">
        <v>52</v>
      </c>
      <c r="F16266" s="23" t="str">
        <f>HYPERLINK("https://www.spark-marketing.ru/Card/Lot/71505234", "Услуги по обеспечению питанием участников спортивно - оздоровительного лагеря круглосуточного пребывания (13 чел. Могилевская область, Чаусский район, Горбовичский с/с)")</f>
        <v>Услуги по обеспечению питанием участников спортивно - оздоровительного лагеря круглосуточного пребывания (13 чел. Могилевская область, Чаусский район, Горбовичский с/с)</v>
      </c>
      <c r="G16266" s="22" t="s">
        <v>51</v>
      </c>
      <c r="H16266" s="22" t="s">
        <v>51</v>
      </c>
      <c r="I16266" s="26">
        <v>43635</v>
      </c>
      <c r="J16266" s="28" t="s">
        <v>51</v>
      </c>
      <c r="K16266" s="28" t="s">
        <v>51</v>
      </c>
      <c r="L16266" s="28" t="s">
        <v>51</v>
      </c>
      <c r="M16266" s="28" t="s">
        <v>51</v>
      </c>
      <c r="N16266" s="28" t="s">
        <v>51</v>
      </c>
    </row>
    <row r="16267" spans="1:14" x14ac:dyDescent="0.15">
      <c r="A16267" s="23" t="str">
        <f>HYPERLINK("https://www.spark-marketing.ru/Card/Person/6450322", "ЗАКАЗЧИК РП БЕЛАРУСЬ")</f>
        <v>ЗАКАЗЧИК РП БЕЛАРУСЬ</v>
      </c>
      <c r="B16267" s="28" t="s">
        <v>51</v>
      </c>
      <c r="C16267" s="25">
        <v>50498.154000000002</v>
      </c>
      <c r="D16267" s="22" t="s">
        <v>21320</v>
      </c>
      <c r="E16267" s="22" t="s">
        <v>52</v>
      </c>
      <c r="F16267" s="23" t="str">
        <f>HYPERLINK("https://www.spark-marketing.ru/Card/Lot/71505233", "Услуги по обеспечению питанием участников спортивно - оздоровительного лагеря круглосуточного пребывания (16 чел. Могилевская область, Чаусский район, Горбовичский с/с)")</f>
        <v>Услуги по обеспечению питанием участников спортивно - оздоровительного лагеря круглосуточного пребывания (16 чел. Могилевская область, Чаусский район, Горбовичский с/с)</v>
      </c>
      <c r="G16267" s="22" t="s">
        <v>51</v>
      </c>
      <c r="H16267" s="22" t="s">
        <v>51</v>
      </c>
      <c r="I16267" s="26">
        <v>43635</v>
      </c>
      <c r="J16267" s="28" t="s">
        <v>51</v>
      </c>
      <c r="K16267" s="28" t="s">
        <v>51</v>
      </c>
      <c r="L16267" s="28" t="s">
        <v>51</v>
      </c>
      <c r="M16267" s="28" t="s">
        <v>51</v>
      </c>
      <c r="N16267" s="28" t="s">
        <v>51</v>
      </c>
    </row>
    <row r="16268" spans="1:14" x14ac:dyDescent="0.15">
      <c r="A16268" s="23" t="str">
        <f>HYPERLINK("https://www.spark-marketing.ru/Card/Person/6450322", "ЗАКАЗЧИК РП БЕЛАРУСЬ")</f>
        <v>ЗАКАЗЧИК РП БЕЛАРУСЬ</v>
      </c>
      <c r="B16268" s="28" t="s">
        <v>51</v>
      </c>
      <c r="C16268" s="25">
        <v>120696.8224</v>
      </c>
      <c r="D16268" s="22" t="s">
        <v>21321</v>
      </c>
      <c r="E16268" s="22" t="s">
        <v>52</v>
      </c>
      <c r="F16268" s="23" t="str">
        <f>HYPERLINK("https://www.spark-marketing.ru/Card/Lot/71497170", "Услуги по организации проживания участников спортивно-оздоровительного лагеря круглосуточного пребывания")</f>
        <v>Услуги по организации проживания участников спортивно-оздоровительного лагеря круглосуточного пребывания</v>
      </c>
      <c r="G16268" s="22" t="s">
        <v>51</v>
      </c>
      <c r="H16268" s="22" t="s">
        <v>51</v>
      </c>
      <c r="I16268" s="26">
        <v>43635</v>
      </c>
      <c r="J16268" s="28" t="s">
        <v>51</v>
      </c>
      <c r="K16268" s="28" t="s">
        <v>51</v>
      </c>
      <c r="L16268" s="28" t="s">
        <v>51</v>
      </c>
      <c r="M16268" s="28" t="s">
        <v>51</v>
      </c>
      <c r="N16268" s="28" t="s">
        <v>51</v>
      </c>
    </row>
    <row r="16269" spans="1:14" x14ac:dyDescent="0.2">
      <c r="A16269" s="23" t="str">
        <f>HYPERLINK("https://www.spark-marketing.ru/Card/Person/255195", "МБДОУ ""ДЕТСКИЙ САД № 4 ""СОЛНЫШКО"" ПГТ КАМСКИЕ ПОЛЯНЫ НМР РТ")</f>
        <v>МБДОУ "ДЕТСКИЙ САД № 4 "СОЛНЫШКО" ПГТ КАМСКИЕ ПОЛЯНЫ НМР РТ</v>
      </c>
      <c r="B16269" s="24" t="s">
        <v>8118</v>
      </c>
      <c r="C16269" s="25">
        <v>128910.08</v>
      </c>
      <c r="D16269" s="22" t="s">
        <v>21322</v>
      </c>
      <c r="E16269" s="22" t="s">
        <v>52</v>
      </c>
      <c r="F16269" s="23" t="str">
        <f>HYPERLINK("https://www.spark-marketing.ru/Card/Lot/73754290", "Услуги по организации питания")</f>
        <v>Услуги по организации питания</v>
      </c>
      <c r="G16269" s="22" t="s">
        <v>217</v>
      </c>
      <c r="H16269" s="22" t="s">
        <v>5604</v>
      </c>
      <c r="I16269" s="26">
        <v>43635.577083333301</v>
      </c>
      <c r="J16269" s="28" t="s">
        <v>51</v>
      </c>
      <c r="K16269" s="28" t="s">
        <v>51</v>
      </c>
      <c r="L16269" s="28" t="s">
        <v>51</v>
      </c>
      <c r="M16269" s="25">
        <v>128910.08</v>
      </c>
      <c r="N16269" s="27">
        <v>0</v>
      </c>
    </row>
    <row r="16270" spans="1:14" x14ac:dyDescent="0.15">
      <c r="A16270" s="23" t="str">
        <f>HYPERLINK("https://www.spark-marketing.ru/Card/Person/4348382", "ООО ""ГАЗПРОМ ПИТАНИЕ""")</f>
        <v>ООО "ГАЗПРОМ ПИТАНИЕ"</v>
      </c>
      <c r="B16270" s="24" t="s">
        <v>2869</v>
      </c>
      <c r="C16270" s="25">
        <v>428183.29</v>
      </c>
      <c r="D16270" s="22" t="s">
        <v>21323</v>
      </c>
      <c r="E16270" s="22" t="s">
        <v>21324</v>
      </c>
      <c r="F16270" s="23" t="str">
        <f>HYPERLINK("https://www.spark-marketing.ru/Card/Lot/71493063", "Оказание услуг по проведению дератизации, дезинсекции для нужд ООО «Газпром питание» (Филиал «Санкт-Петербургское УООП») в г. Санкт-Петербург и Ленинградской области")</f>
        <v>Оказание услуг по проведению дератизации, дезинсекции для нужд ООО «Газпром питание» (Филиал «Санкт-Петербургское УООП») в г. Санкт-Петербург и Ленинградской области</v>
      </c>
      <c r="G16270" s="22" t="s">
        <v>56</v>
      </c>
      <c r="H16270" s="22" t="s">
        <v>56</v>
      </c>
      <c r="I16270" s="26">
        <v>43635.483807870398</v>
      </c>
      <c r="J16270" s="28" t="s">
        <v>51</v>
      </c>
      <c r="K16270" s="28" t="s">
        <v>51</v>
      </c>
      <c r="L16270" s="28" t="s">
        <v>51</v>
      </c>
      <c r="M16270" s="28" t="s">
        <v>51</v>
      </c>
      <c r="N16270" s="28" t="s">
        <v>51</v>
      </c>
    </row>
    <row r="16271" spans="1:14" x14ac:dyDescent="0.15">
      <c r="A16271" s="23" t="str">
        <f>HYPERLINK("https://www.spark-marketing.ru/Card/Person/638498", "ГП ЧАО ""ЧУКОТАВИА""")</f>
        <v>ГП ЧАО "ЧУКОТАВИА"</v>
      </c>
      <c r="B16271" s="24" t="s">
        <v>5698</v>
      </c>
      <c r="C16271" s="25">
        <v>500000</v>
      </c>
      <c r="D16271" s="22" t="s">
        <v>21325</v>
      </c>
      <c r="E16271" s="22" t="s">
        <v>2273</v>
      </c>
      <c r="F16271" s="23" t="str">
        <f>HYPERLINK("https://www.spark-marketing.ru/Card/Lot/71474474", "Услуги по обеспечению горячим питанием и прохладительными напитками пассажиров задержанных рейсов в Аэропорту ""Проведения""")</f>
        <v>Услуги по обеспечению горячим питанием и прохладительными напитками пассажиров задержанных рейсов в Аэропорту "Проведения"</v>
      </c>
      <c r="G16271" s="22" t="s">
        <v>2674</v>
      </c>
      <c r="H16271" s="22" t="s">
        <v>5700</v>
      </c>
      <c r="I16271" s="26">
        <v>43635.018275463</v>
      </c>
      <c r="J16271" s="28" t="s">
        <v>51</v>
      </c>
      <c r="K16271" s="28" t="s">
        <v>51</v>
      </c>
      <c r="L16271" s="28" t="s">
        <v>51</v>
      </c>
      <c r="M16271" s="28" t="s">
        <v>51</v>
      </c>
      <c r="N16271" s="28" t="s">
        <v>51</v>
      </c>
    </row>
    <row r="16272" spans="1:14" x14ac:dyDescent="0.2">
      <c r="A16272" s="23" t="str">
        <f>HYPERLINK("https://www.spark-marketing.ru/Card/Person/254259", "МАУ ДОЛ ""ЮНОСТЬ""")</f>
        <v>МАУ ДОЛ "ЮНОСТЬ"</v>
      </c>
      <c r="B16272" s="24" t="s">
        <v>19159</v>
      </c>
      <c r="C16272" s="25">
        <v>1142400</v>
      </c>
      <c r="D16272" s="22" t="s">
        <v>21326</v>
      </c>
      <c r="E16272" s="22" t="s">
        <v>362</v>
      </c>
      <c r="F16272" s="23" t="str">
        <f>HYPERLINK("https://www.spark-marketing.ru/Card/Lot/71472910", "Услуга по организации 5-ти разового горячего питания детей")</f>
        <v>Услуга по организации 5-ти разового горячего питания детей</v>
      </c>
      <c r="G16272" s="22" t="s">
        <v>852</v>
      </c>
      <c r="H16272" s="22" t="s">
        <v>852</v>
      </c>
      <c r="I16272" s="26">
        <v>43634.961064814801</v>
      </c>
      <c r="J16272" s="23" t="str">
        <f>HYPERLINK("https://www.spark-marketing.ru/Card/Person/162514", "МУП ТОП ""ПОИСК""")</f>
        <v>МУП ТОП "ПОИСК"</v>
      </c>
      <c r="K16272" s="24" t="s">
        <v>21327</v>
      </c>
      <c r="L16272" s="28" t="s">
        <v>51</v>
      </c>
      <c r="M16272" s="25">
        <v>1142400</v>
      </c>
      <c r="N16272" s="27">
        <v>0</v>
      </c>
    </row>
    <row r="16273" spans="1:14" x14ac:dyDescent="0.15">
      <c r="A16273" s="23" t="str">
        <f>HYPERLINK("https://www.spark-marketing.ru/Card/Person/638498", "ГП ЧАО ""ЧУКОТАВИА""")</f>
        <v>ГП ЧАО "ЧУКОТАВИА"</v>
      </c>
      <c r="B16273" s="24" t="s">
        <v>5698</v>
      </c>
      <c r="C16273" s="25">
        <v>500000</v>
      </c>
      <c r="D16273" s="22" t="s">
        <v>21328</v>
      </c>
      <c r="E16273" s="22" t="s">
        <v>2273</v>
      </c>
      <c r="F16273" s="23" t="str">
        <f>HYPERLINK("https://www.spark-marketing.ru/Card/Lot/71451263", "Услуги по обеспечению горячим питанием и прохладительными напитками пассажиров задержанных рейсов в Аэропорту ""Омолон""")</f>
        <v>Услуги по обеспечению горячим питанием и прохладительными напитками пассажиров задержанных рейсов в Аэропорту "Омолон"</v>
      </c>
      <c r="G16273" s="22" t="s">
        <v>2674</v>
      </c>
      <c r="H16273" s="22" t="s">
        <v>5700</v>
      </c>
      <c r="I16273" s="26">
        <v>43634.922928240703</v>
      </c>
      <c r="J16273" s="28" t="s">
        <v>51</v>
      </c>
      <c r="K16273" s="28" t="s">
        <v>51</v>
      </c>
      <c r="L16273" s="28" t="s">
        <v>51</v>
      </c>
      <c r="M16273" s="28" t="s">
        <v>51</v>
      </c>
      <c r="N16273" s="28" t="s">
        <v>51</v>
      </c>
    </row>
    <row r="16274" spans="1:14" x14ac:dyDescent="0.15">
      <c r="A16274" s="23" t="str">
        <f>HYPERLINK("https://www.spark-marketing.ru/Card/Person/638498", "ГП ЧАО ""ЧУКОТАВИА""")</f>
        <v>ГП ЧАО "ЧУКОТАВИА"</v>
      </c>
      <c r="B16274" s="24" t="s">
        <v>5698</v>
      </c>
      <c r="C16274" s="25">
        <v>500000</v>
      </c>
      <c r="D16274" s="22" t="s">
        <v>21329</v>
      </c>
      <c r="E16274" s="22" t="s">
        <v>2273</v>
      </c>
      <c r="F16274" s="23" t="str">
        <f>HYPERLINK("https://www.spark-marketing.ru/Card/Lot/71452977", "Услуги по обеспечению горячим питанием и прохладительными напитками пассажиров задержанных рейсов в Аэропорту ""Марково""")</f>
        <v>Услуги по обеспечению горячим питанием и прохладительными напитками пассажиров задержанных рейсов в Аэропорту "Марково"</v>
      </c>
      <c r="G16274" s="22" t="s">
        <v>2674</v>
      </c>
      <c r="H16274" s="22" t="s">
        <v>5700</v>
      </c>
      <c r="I16274" s="26">
        <v>43634.935057870403</v>
      </c>
      <c r="J16274" s="28" t="s">
        <v>51</v>
      </c>
      <c r="K16274" s="28" t="s">
        <v>51</v>
      </c>
      <c r="L16274" s="28" t="s">
        <v>51</v>
      </c>
      <c r="M16274" s="28" t="s">
        <v>51</v>
      </c>
      <c r="N16274" s="28" t="s">
        <v>51</v>
      </c>
    </row>
    <row r="16275" spans="1:14" x14ac:dyDescent="0.15">
      <c r="A16275" s="23" t="str">
        <f>HYPERLINK("https://www.spark-marketing.ru/Card/Person/638498", "ГП ЧАО ""ЧУКОТАВИА""")</f>
        <v>ГП ЧАО "ЧУКОТАВИА"</v>
      </c>
      <c r="B16275" s="24" t="s">
        <v>5698</v>
      </c>
      <c r="C16275" s="25">
        <v>500000</v>
      </c>
      <c r="D16275" s="22" t="s">
        <v>21330</v>
      </c>
      <c r="E16275" s="22" t="s">
        <v>2273</v>
      </c>
      <c r="F16275" s="23" t="str">
        <f>HYPERLINK("https://www.spark-marketing.ru/Card/Lot/71452979", "Услуги по обеспечению горячим питанием и прохладительными напитками пассажиров задержанных рейсов в Аэропорту ""Певек""")</f>
        <v>Услуги по обеспечению горячим питанием и прохладительными напитками пассажиров задержанных рейсов в Аэропорту "Певек"</v>
      </c>
      <c r="G16275" s="22" t="s">
        <v>2674</v>
      </c>
      <c r="H16275" s="22" t="s">
        <v>5700</v>
      </c>
      <c r="I16275" s="26">
        <v>43634.937731481499</v>
      </c>
      <c r="J16275" s="28" t="s">
        <v>51</v>
      </c>
      <c r="K16275" s="28" t="s">
        <v>51</v>
      </c>
      <c r="L16275" s="28" t="s">
        <v>51</v>
      </c>
      <c r="M16275" s="28" t="s">
        <v>51</v>
      </c>
      <c r="N16275" s="28" t="s">
        <v>51</v>
      </c>
    </row>
    <row r="16276" spans="1:14" x14ac:dyDescent="0.15">
      <c r="A16276" s="23" t="str">
        <f>HYPERLINK("https://www.spark-marketing.ru/Card/Person/638498", "ГП ЧАО ""ЧУКОТАВИА""")</f>
        <v>ГП ЧАО "ЧУКОТАВИА"</v>
      </c>
      <c r="B16276" s="24" t="s">
        <v>5698</v>
      </c>
      <c r="C16276" s="25">
        <v>500000</v>
      </c>
      <c r="D16276" s="22" t="s">
        <v>21331</v>
      </c>
      <c r="E16276" s="22" t="s">
        <v>2273</v>
      </c>
      <c r="F16276" s="23" t="str">
        <f>HYPERLINK("https://www.spark-marketing.ru/Card/Lot/71451262", "Услуги по обеспечению горячим питанием и прохладительными напитками пассажиров задержанных рейсов в Аэропорту ""Лаврентия""")</f>
        <v>Услуги по обеспечению горячим питанием и прохладительными напитками пассажиров задержанных рейсов в Аэропорту "Лаврентия"</v>
      </c>
      <c r="G16276" s="22" t="s">
        <v>2674</v>
      </c>
      <c r="H16276" s="22" t="s">
        <v>5700</v>
      </c>
      <c r="I16276" s="26">
        <v>43634.912962962997</v>
      </c>
      <c r="J16276" s="28" t="s">
        <v>51</v>
      </c>
      <c r="K16276" s="28" t="s">
        <v>51</v>
      </c>
      <c r="L16276" s="28" t="s">
        <v>51</v>
      </c>
      <c r="M16276" s="28" t="s">
        <v>51</v>
      </c>
      <c r="N16276" s="28" t="s">
        <v>51</v>
      </c>
    </row>
    <row r="16277" spans="1:14" x14ac:dyDescent="0.15">
      <c r="A16277" s="23" t="str">
        <f>HYPERLINK("https://www.spark-marketing.ru/Card/Person/638498", "ГП ЧАО ""ЧУКОТАВИА""")</f>
        <v>ГП ЧАО "ЧУКОТАВИА"</v>
      </c>
      <c r="B16277" s="24" t="s">
        <v>5698</v>
      </c>
      <c r="C16277" s="25">
        <v>500000</v>
      </c>
      <c r="D16277" s="22" t="s">
        <v>21332</v>
      </c>
      <c r="E16277" s="22" t="s">
        <v>2273</v>
      </c>
      <c r="F16277" s="23" t="str">
        <f>HYPERLINK("https://www.spark-marketing.ru/Card/Lot/71450486", "Услуги по обеспечению горячим питанием и прохладительными напитками пассажиров задержанных рейсов в Аэропорту ""Кепервеем""")</f>
        <v>Услуги по обеспечению горячим питанием и прохладительными напитками пассажиров задержанных рейсов в Аэропорту "Кепервеем"</v>
      </c>
      <c r="G16277" s="22" t="s">
        <v>2674</v>
      </c>
      <c r="H16277" s="22" t="s">
        <v>5700</v>
      </c>
      <c r="I16277" s="26">
        <v>43634.906377314801</v>
      </c>
      <c r="J16277" s="28" t="s">
        <v>51</v>
      </c>
      <c r="K16277" s="28" t="s">
        <v>51</v>
      </c>
      <c r="L16277" s="28" t="s">
        <v>51</v>
      </c>
      <c r="M16277" s="28" t="s">
        <v>51</v>
      </c>
      <c r="N16277" s="28" t="s">
        <v>51</v>
      </c>
    </row>
    <row r="16278" spans="1:14" x14ac:dyDescent="0.15">
      <c r="A16278" s="23" t="str">
        <f>HYPERLINK("https://www.spark-marketing.ru/Card/Person/77706", "АО ""ПОЧТА РОССИИ""")</f>
        <v>АО "ПОЧТА РОССИИ"</v>
      </c>
      <c r="B16278" s="24" t="s">
        <v>2613</v>
      </c>
      <c r="C16278" s="25">
        <v>4999918.6399999997</v>
      </c>
      <c r="D16278" s="22" t="s">
        <v>21333</v>
      </c>
      <c r="E16278" s="22" t="s">
        <v>362</v>
      </c>
      <c r="F16278" s="23" t="str">
        <f>HYPERLINK("https://www.spark-marketing.ru/Card/Lot/71469997", "Оказание услуг по организации питания работников ОСП МРАСЦ им. В.Н. Бугаенко УФПС Московской области - филиала ФГУП ""Почта России""")</f>
        <v>Оказание услуг по организации питания работников ОСП МРАСЦ им. В.Н. Бугаенко УФПС Московской области - филиала ФГУП "Почта России"</v>
      </c>
      <c r="G16278" s="22" t="s">
        <v>56</v>
      </c>
      <c r="H16278" s="22" t="s">
        <v>56</v>
      </c>
      <c r="I16278" s="26">
        <v>43634.849050925899</v>
      </c>
      <c r="J16278" s="28" t="s">
        <v>51</v>
      </c>
      <c r="K16278" s="28" t="s">
        <v>51</v>
      </c>
      <c r="L16278" s="28" t="s">
        <v>51</v>
      </c>
      <c r="M16278" s="28" t="s">
        <v>51</v>
      </c>
      <c r="N16278" s="28" t="s">
        <v>51</v>
      </c>
    </row>
    <row r="16279" spans="1:14" x14ac:dyDescent="0.2">
      <c r="A16279" s="23" t="str">
        <f>HYPERLINK("https://www.spark-marketing.ru/Card/Person/1037529", "ГАУ ""АХМАТ АРЕНА""")</f>
        <v>ГАУ "АХМАТ АРЕНА"</v>
      </c>
      <c r="B16279" s="24" t="s">
        <v>21334</v>
      </c>
      <c r="C16279" s="25">
        <v>3500000</v>
      </c>
      <c r="D16279" s="22" t="s">
        <v>21335</v>
      </c>
      <c r="E16279" s="22" t="s">
        <v>562</v>
      </c>
      <c r="F16279" s="23" t="str">
        <f>HYPERLINK("https://www.spark-marketing.ru/Card/Lot/71468244", "Оказание услуг по организации питания в ВИП-ложах стадиона при проведении официальных мероприятий")</f>
        <v>Оказание услуг по организации питания в ВИП-ложах стадиона при проведении официальных мероприятий</v>
      </c>
      <c r="G16279" s="22" t="s">
        <v>1983</v>
      </c>
      <c r="H16279" s="22" t="s">
        <v>1983</v>
      </c>
      <c r="I16279" s="26">
        <v>43634.821678240703</v>
      </c>
      <c r="J16279" s="28" t="s">
        <v>51</v>
      </c>
      <c r="K16279" s="28" t="s">
        <v>51</v>
      </c>
      <c r="L16279" s="22" t="s">
        <v>10</v>
      </c>
      <c r="M16279" s="25">
        <v>3500000</v>
      </c>
      <c r="N16279" s="27">
        <v>0</v>
      </c>
    </row>
    <row r="16280" spans="1:14" x14ac:dyDescent="0.15">
      <c r="A16280" s="23" t="str">
        <f>HYPERLINK("https://www.spark-marketing.ru/Card/Person/1390375", "ФГАУ ""УПРАВЛЕНИЕ СПОРТМЕРОПРИЯТИЙ""")</f>
        <v>ФГАУ "УПРАВЛЕНИЕ СПОРТМЕРОПРИЯТИЙ"</v>
      </c>
      <c r="B16280" s="24" t="s">
        <v>2632</v>
      </c>
      <c r="C16280" s="25">
        <v>10259500</v>
      </c>
      <c r="D16280" s="22" t="s">
        <v>21336</v>
      </c>
      <c r="E16280" s="22" t="s">
        <v>769</v>
      </c>
      <c r="F16280" s="23" t="str">
        <f>HYPERLINK("https://www.spark-marketing.ru/Card/Lot/71469951", "Оказание услуг по организации проживания и питания участников 53-х Международных детских игр 2019 года")</f>
        <v>Оказание услуг по организации проживания и питания участников 53-х Международных детских игр 2019 года</v>
      </c>
      <c r="G16280" s="22" t="s">
        <v>145</v>
      </c>
      <c r="H16280" s="22" t="s">
        <v>145</v>
      </c>
      <c r="I16280" s="26">
        <v>43634.814502314803</v>
      </c>
      <c r="J16280" s="28" t="s">
        <v>51</v>
      </c>
      <c r="K16280" s="28" t="s">
        <v>51</v>
      </c>
      <c r="L16280" s="28" t="s">
        <v>51</v>
      </c>
      <c r="M16280" s="28" t="s">
        <v>51</v>
      </c>
      <c r="N16280" s="28" t="s">
        <v>51</v>
      </c>
    </row>
    <row r="16281" spans="1:14" x14ac:dyDescent="0.2">
      <c r="A16281" s="23" t="str">
        <f>HYPERLINK("https://www.spark-marketing.ru/Card/Person/1299987", "МАОУ ""ГИМНАЗИЯ ИМ. Н.В. ПУШКОВА""")</f>
        <v>МАОУ "ГИМНАЗИЯ ИМ. Н.В. ПУШКОВА"</v>
      </c>
      <c r="B16281" s="24" t="s">
        <v>21337</v>
      </c>
      <c r="C16281" s="25">
        <v>35332971.399999999</v>
      </c>
      <c r="D16281" s="22" t="s">
        <v>21338</v>
      </c>
      <c r="E16281" s="22" t="s">
        <v>362</v>
      </c>
      <c r="F16281" s="23" t="str">
        <f>HYPERLINK("https://www.spark-marketing.ru/Card/Lot/71468947", "Оказание услуг по организации питания и обеспечению питьевого режима обучающихся МАОУ «Гимназия им. Н.В. Пушкова»")</f>
        <v>Оказание услуг по организации питания и обеспечению питьевого режима обучающихся МАОУ «Гимназия им. Н.В. Пушкова»</v>
      </c>
      <c r="G16281" s="22" t="s">
        <v>56</v>
      </c>
      <c r="H16281" s="22" t="s">
        <v>56</v>
      </c>
      <c r="I16281" s="26">
        <v>43634.823564814797</v>
      </c>
      <c r="J16281" s="28" t="s">
        <v>51</v>
      </c>
      <c r="K16281" s="28" t="s">
        <v>51</v>
      </c>
      <c r="L16281" s="22" t="s">
        <v>10</v>
      </c>
      <c r="M16281" s="25">
        <v>30533332.5</v>
      </c>
      <c r="N16281" s="27">
        <v>0.13584022825773437</v>
      </c>
    </row>
    <row r="16282" spans="1:14" x14ac:dyDescent="0.15">
      <c r="A16282" s="23" t="str">
        <f>HYPERLINK("https://www.spark-marketing.ru/Card/Person/151666", "МБОУ ""СОШ С УИОП № 2""")</f>
        <v>МБОУ "СОШ С УИОП № 2"</v>
      </c>
      <c r="B16282" s="24" t="s">
        <v>21339</v>
      </c>
      <c r="C16282" s="25">
        <v>83016</v>
      </c>
      <c r="D16282" s="22" t="s">
        <v>21340</v>
      </c>
      <c r="E16282" s="22" t="s">
        <v>48</v>
      </c>
      <c r="F16282" s="23" t="str">
        <f>HYPERLINK("https://www.spark-marketing.ru/Card/Lot/71465315", "Услуги по обеспечению горячим питанием в лагере муниципальных бюджетных общеобразовательных учреждений городского округа Кашира Московской области")</f>
        <v>Услуги по обеспечению горячим питанием в лагере муниципальных бюджетных общеобразовательных учреждений городского округа Кашира Московской области</v>
      </c>
      <c r="G16282" s="22" t="s">
        <v>49</v>
      </c>
      <c r="H16282" s="22" t="s">
        <v>404</v>
      </c>
      <c r="I16282" s="26">
        <v>43634.752939814804</v>
      </c>
      <c r="J16282" s="28" t="s">
        <v>51</v>
      </c>
      <c r="K16282" s="28" t="s">
        <v>51</v>
      </c>
      <c r="L16282" s="28" t="s">
        <v>51</v>
      </c>
      <c r="M16282" s="28" t="s">
        <v>51</v>
      </c>
      <c r="N16282" s="28" t="s">
        <v>51</v>
      </c>
    </row>
    <row r="16283" spans="1:14" x14ac:dyDescent="0.15">
      <c r="A16283" s="23" t="str">
        <f>HYPERLINK("https://www.spark-marketing.ru/Card/Person/49008", "АО ""ДЕПАРТАМЕНТ ПРОДОВОЛЬСТВИЯ""")</f>
        <v>АО "ДЕПАРТАМЕНТ ПРОДОВОЛЬСТВИЯ"</v>
      </c>
      <c r="B16283" s="24" t="s">
        <v>2101</v>
      </c>
      <c r="C16283" s="25">
        <v>2491000</v>
      </c>
      <c r="D16283" s="22" t="s">
        <v>21341</v>
      </c>
      <c r="E16283" s="22" t="s">
        <v>2615</v>
      </c>
      <c r="F16283" s="23" t="str">
        <f>HYPERLINK("https://www.spark-marketing.ru/Card/Lot/71467525", "Оказание услуг по проведению предварительного медицинского осмотра сотрудников, участвующих в организации питания на Мировом Чемпионате «WorldSkills» 2019г. АО «Департамент продовольствия и социального питания г. Казани»")</f>
        <v>Оказание услуг по проведению предварительного медицинского осмотра сотрудников, участвующих в организации питания на Мировом Чемпионате «WorldSkills» 2019г. АО «Департамент продовольствия и социального питания г. Казани»</v>
      </c>
      <c r="G16283" s="22" t="s">
        <v>217</v>
      </c>
      <c r="H16283" s="22" t="s">
        <v>937</v>
      </c>
      <c r="I16283" s="26">
        <v>43634.788900462998</v>
      </c>
      <c r="J16283" s="28" t="s">
        <v>51</v>
      </c>
      <c r="K16283" s="28" t="s">
        <v>51</v>
      </c>
      <c r="L16283" s="28" t="s">
        <v>51</v>
      </c>
      <c r="M16283" s="28" t="s">
        <v>51</v>
      </c>
      <c r="N16283" s="28" t="s">
        <v>51</v>
      </c>
    </row>
    <row r="16284" spans="1:14" x14ac:dyDescent="0.15">
      <c r="A16284" s="23" t="str">
        <f>HYPERLINK("https://www.spark-marketing.ru/Card/Person/6168043", "ГБУ РЕСПУБЛИКИ МАРИЙ ЭЛ ""ЦСП""")</f>
        <v>ГБУ РЕСПУБЛИКИ МАРИЙ ЭЛ "ЦСП"</v>
      </c>
      <c r="B16284" s="24" t="s">
        <v>18465</v>
      </c>
      <c r="C16284" s="25">
        <v>7056000</v>
      </c>
      <c r="D16284" s="22" t="s">
        <v>21342</v>
      </c>
      <c r="E16284" s="22" t="s">
        <v>362</v>
      </c>
      <c r="F16284" s="23" t="str">
        <f>HYPERLINK("https://www.spark-marketing.ru/Card/Lot/71464996", "Услуги питания участников III Всероссийской летней Спартакиады инвалидов 2019 года")</f>
        <v>Услуги питания участников III Всероссийской летней Спартакиады инвалидов 2019 года</v>
      </c>
      <c r="G16284" s="22" t="s">
        <v>3249</v>
      </c>
      <c r="H16284" s="22" t="s">
        <v>3249</v>
      </c>
      <c r="I16284" s="26">
        <v>43634.760983796303</v>
      </c>
      <c r="J16284" s="28" t="s">
        <v>51</v>
      </c>
      <c r="K16284" s="28" t="s">
        <v>51</v>
      </c>
      <c r="L16284" s="28" t="s">
        <v>51</v>
      </c>
      <c r="M16284" s="28" t="s">
        <v>51</v>
      </c>
      <c r="N16284" s="28" t="s">
        <v>51</v>
      </c>
    </row>
    <row r="16285" spans="1:14" x14ac:dyDescent="0.15">
      <c r="A16285" s="23" t="str">
        <f>HYPERLINK("https://www.spark-marketing.ru/Card/Person/79013", "ФБЛПУ ""САНАТОРИЙ ""РАДУГА"" ФНС РОССИИ""")</f>
        <v>ФБЛПУ "САНАТОРИЙ "РАДУГА" ФНС РОССИИ"</v>
      </c>
      <c r="B16285" s="24" t="s">
        <v>9028</v>
      </c>
      <c r="C16285" s="25">
        <v>5463150</v>
      </c>
      <c r="D16285" s="22" t="s">
        <v>21343</v>
      </c>
      <c r="E16285" s="22" t="s">
        <v>48</v>
      </c>
      <c r="F16285" s="23" t="str">
        <f>HYPERLINK("https://www.spark-marketing.ru/Card/Lot/71476907", "Оказание услуг по организации общественного питания в филиале Пансионат «Парус» в с. Агой, Туапсинского района")</f>
        <v>Оказание услуг по организации общественного питания в филиале Пансионат «Парус» в с. Агой, Туапсинского района</v>
      </c>
      <c r="G16285" s="22" t="s">
        <v>104</v>
      </c>
      <c r="H16285" s="22" t="s">
        <v>4457</v>
      </c>
      <c r="I16285" s="26">
        <v>43634.736539351798</v>
      </c>
      <c r="J16285" s="28" t="s">
        <v>51</v>
      </c>
      <c r="K16285" s="28" t="s">
        <v>51</v>
      </c>
      <c r="L16285" s="28" t="s">
        <v>51</v>
      </c>
      <c r="M16285" s="28" t="s">
        <v>51</v>
      </c>
      <c r="N16285" s="28" t="s">
        <v>51</v>
      </c>
    </row>
    <row r="16286" spans="1:14" ht="12.75" hidden="1" outlineLevel="1" x14ac:dyDescent="0.2">
      <c r="A16286" s="23" t="str">
        <f>HYPERLINK("https://www.spark-marketing.ru/Card/Person/79013", "ФБЛПУ ""САНАТОРИЙ ""РАДУГА"" ФНС РОССИИ""")</f>
        <v>ФБЛПУ "САНАТОРИЙ "РАДУГА" ФНС РОССИИ"</v>
      </c>
      <c r="B16286" s="24" t="s">
        <v>9028</v>
      </c>
      <c r="C16286" s="25">
        <v>5463150</v>
      </c>
      <c r="D16286" s="22" t="s">
        <v>21343</v>
      </c>
      <c r="E16286" s="22" t="s">
        <v>48</v>
      </c>
      <c r="F16286" s="23" t="str">
        <f>HYPERLINK("https://www.spark-marketing.ru/Card/Lot/71476907", "Оказание услуг по организации общественного питания в филиале Пансионат «Парус» в с. Агой, Туапсинского района")</f>
        <v>Оказание услуг по организации общественного питания в филиале Пансионат «Парус» в с. Агой, Туапсинского района</v>
      </c>
      <c r="G16286" s="22" t="s">
        <v>104</v>
      </c>
      <c r="H16286" s="22" t="s">
        <v>4457</v>
      </c>
      <c r="I16286" s="26">
        <v>43634.736539351798</v>
      </c>
      <c r="J16286" s="23" t="str">
        <f>HYPERLINK("https://www.spark-marketing.ru/Card/Person/883505", "ООО ""БЛИК""")</f>
        <v>ООО "БЛИК"</v>
      </c>
      <c r="K16286" s="24" t="s">
        <v>21344</v>
      </c>
      <c r="L16286" s="22" t="s">
        <v>10</v>
      </c>
      <c r="M16286" s="25">
        <v>4425151.5</v>
      </c>
      <c r="N16286" s="27">
        <v>0.19</v>
      </c>
    </row>
    <row r="16287" spans="1:14" hidden="1" outlineLevel="1" x14ac:dyDescent="0.2">
      <c r="A16287" s="23" t="str">
        <f>HYPERLINK("https://www.spark-marketing.ru/Card/Person/79013", "ФБЛПУ ""САНАТОРИЙ ""РАДУГА"" ФНС РОССИИ""")</f>
        <v>ФБЛПУ "САНАТОРИЙ "РАДУГА" ФНС РОССИИ"</v>
      </c>
      <c r="B16287" s="24" t="s">
        <v>9028</v>
      </c>
      <c r="C16287" s="25">
        <v>5463150</v>
      </c>
      <c r="D16287" s="22" t="s">
        <v>21343</v>
      </c>
      <c r="E16287" s="22" t="s">
        <v>48</v>
      </c>
      <c r="F16287" s="23" t="str">
        <f>HYPERLINK("https://www.spark-marketing.ru/Card/Lot/71476907", "Оказание услуг по организации общественного питания в филиале Пансионат «Парус» в с. Агой, Туапсинского района")</f>
        <v>Оказание услуг по организации общественного питания в филиале Пансионат «Парус» в с. Агой, Туапсинского района</v>
      </c>
      <c r="G16287" s="22" t="s">
        <v>104</v>
      </c>
      <c r="H16287" s="22" t="s">
        <v>4457</v>
      </c>
      <c r="I16287" s="26">
        <v>43634.736539351798</v>
      </c>
      <c r="J16287" s="23" t="str">
        <f>HYPERLINK("https://www.spark-marketing.ru/Card/Person/56423", "ООО ""ВОЛГАСЕРВИСПРОДУКТ""")</f>
        <v>ООО "ВОЛГАСЕРВИСПРОДУКТ"</v>
      </c>
      <c r="K16287" s="24" t="s">
        <v>3035</v>
      </c>
      <c r="L16287" s="28" t="s">
        <v>51</v>
      </c>
      <c r="M16287" s="25">
        <v>4452467.25</v>
      </c>
      <c r="N16287" s="27">
        <v>0.185</v>
      </c>
    </row>
    <row r="16288" spans="1:14" x14ac:dyDescent="0.15">
      <c r="A16288" s="23" t="str">
        <f>HYPERLINK("https://www.spark-marketing.ru/Card/Person/1021787", "ОМВД РОССИИ ПО КОЛЬСКОМУ РАЙОНУ")</f>
        <v>ОМВД РОССИИ ПО КОЛЬСКОМУ РАЙОНУ</v>
      </c>
      <c r="B16288" s="24" t="s">
        <v>12912</v>
      </c>
      <c r="C16288" s="25">
        <v>47753</v>
      </c>
      <c r="D16288" s="22" t="s">
        <v>21345</v>
      </c>
      <c r="E16288" s="22" t="s">
        <v>48</v>
      </c>
      <c r="F16288" s="23" t="str">
        <f>HYPERLINK("https://www.spark-marketing.ru/Card/Lot/71460107", "Услуги по обеспечению питания лиц содержащихся в спец. помещениях задержанных лиц, 3 усл. ед")</f>
        <v>Услуги по обеспечению питания лиц содержащихся в спец. помещениях задержанных лиц, 3 усл. ед</v>
      </c>
      <c r="G16288" s="22" t="s">
        <v>340</v>
      </c>
      <c r="H16288" s="22" t="s">
        <v>12914</v>
      </c>
      <c r="I16288" s="26">
        <v>43634.7092708333</v>
      </c>
      <c r="J16288" s="28" t="s">
        <v>51</v>
      </c>
      <c r="K16288" s="28" t="s">
        <v>51</v>
      </c>
      <c r="L16288" s="28" t="s">
        <v>51</v>
      </c>
      <c r="M16288" s="28" t="s">
        <v>51</v>
      </c>
      <c r="N16288" s="28" t="s">
        <v>51</v>
      </c>
    </row>
    <row r="16289" spans="1:14" x14ac:dyDescent="0.2">
      <c r="A16289" s="23" t="str">
        <f>HYPERLINK("https://www.spark-marketing.ru/Card/Person/6516062", "МАУ ""МЦ ""АЛЬФА""")</f>
        <v>МАУ "МЦ "АЛЬФА"</v>
      </c>
      <c r="B16289" s="24" t="s">
        <v>3548</v>
      </c>
      <c r="C16289" s="25">
        <v>432120</v>
      </c>
      <c r="D16289" s="22" t="s">
        <v>21346</v>
      </c>
      <c r="E16289" s="22" t="s">
        <v>21347</v>
      </c>
      <c r="F16289" s="23" t="str">
        <f>HYPERLINK("https://www.spark-marketing.ru/Card/Lot/71463641", "Услуги по организации питания, организации проживания в 4-х местных домиках, организации мероприятий педагогами")</f>
        <v>Услуги по организации питания, организации проживания в 4-х местных домиках, организации мероприятий педагогами</v>
      </c>
      <c r="G16289" s="22" t="s">
        <v>162</v>
      </c>
      <c r="H16289" s="22" t="s">
        <v>162</v>
      </c>
      <c r="I16289" s="26">
        <v>43634.711527777799</v>
      </c>
      <c r="J16289" s="28" t="s">
        <v>51</v>
      </c>
      <c r="K16289" s="28" t="s">
        <v>51</v>
      </c>
      <c r="L16289" s="28" t="s">
        <v>51</v>
      </c>
      <c r="M16289" s="25">
        <v>432120</v>
      </c>
      <c r="N16289" s="27">
        <v>0</v>
      </c>
    </row>
    <row r="16290" spans="1:14" x14ac:dyDescent="0.2">
      <c r="A16290" s="23" t="str">
        <f>HYPERLINK("https://www.spark-marketing.ru/Card/Person/1359836", "ОГАУЗ ""ТОМСКИЙ ОБЛАСТНОЙ ОНКОЛОГИЧЕСКИЙ ДИСПАНСЕР"" И ОГАУЗ ""ТООД""")</f>
        <v>ОГАУЗ "ТОМСКИЙ ОБЛАСТНОЙ ОНКОЛОГИЧЕСКИЙ ДИСПАНСЕР" И ОГАУЗ "ТООД"</v>
      </c>
      <c r="B16290" s="24" t="s">
        <v>13537</v>
      </c>
      <c r="C16290" s="25">
        <v>10558600</v>
      </c>
      <c r="D16290" s="22" t="s">
        <v>21348</v>
      </c>
      <c r="E16290" s="22" t="s">
        <v>362</v>
      </c>
      <c r="F16290" s="23" t="str">
        <f>HYPERLINK("https://www.spark-marketing.ru/Card/Lot/71453640", "Оказание услуг по организации питания пациентов, находящихся на стационарном лечении в ОГАУЗ ""Томский областной онкологический диспансер""")</f>
        <v>Оказание услуг по организации питания пациентов, находящихся на стационарном лечении в ОГАУЗ "Томский областной онкологический диспансер"</v>
      </c>
      <c r="G16290" s="22" t="s">
        <v>149</v>
      </c>
      <c r="H16290" s="22" t="s">
        <v>149</v>
      </c>
      <c r="I16290" s="26">
        <v>43634.728611111103</v>
      </c>
      <c r="J16290" s="28" t="s">
        <v>51</v>
      </c>
      <c r="K16290" s="28" t="s">
        <v>51</v>
      </c>
      <c r="L16290" s="22" t="s">
        <v>10</v>
      </c>
      <c r="M16290" s="25">
        <v>10558600</v>
      </c>
      <c r="N16290" s="27">
        <v>0</v>
      </c>
    </row>
    <row r="16291" spans="1:14" x14ac:dyDescent="0.15">
      <c r="A16291" s="23" t="str">
        <f>HYPERLINK("https://www.spark-marketing.ru/Card/Person/121861", "ГБУ ВО ""ОМЦ""")</f>
        <v>ГБУ ВО "ОМЦ"</v>
      </c>
      <c r="B16291" s="24" t="s">
        <v>79</v>
      </c>
      <c r="C16291" s="25">
        <v>252000</v>
      </c>
      <c r="D16291" s="22" t="s">
        <v>21349</v>
      </c>
      <c r="E16291" s="22" t="s">
        <v>81</v>
      </c>
      <c r="F16291" s="23" t="str">
        <f>HYPERLINK("https://www.spark-marketing.ru/Card/Lot/71470889", "2019-03491/Оказание услуг по организации проживания с питанием участников и организаторов регионального сбора вожатых, руководителей детских организаций и координаторов Российского движения школьников «Звездный»")</f>
        <v>2019-03491/Оказание услуг по организации проживания с питанием участников и организаторов регионального сбора вожатых, руководителей детских организаций и координаторов Российского движения школьников «Звездный»</v>
      </c>
      <c r="G16291" s="22" t="s">
        <v>82</v>
      </c>
      <c r="H16291" s="22" t="s">
        <v>83</v>
      </c>
      <c r="I16291" s="26">
        <v>43634.728472222203</v>
      </c>
      <c r="J16291" s="23" t="str">
        <f>HYPERLINK("https://www.spark-marketing.ru/Card/Person/336101", "ООО ""КОМФОРТ""")</f>
        <v>ООО "КОМФОРТ"</v>
      </c>
      <c r="K16291" s="24" t="s">
        <v>4486</v>
      </c>
      <c r="L16291" s="28" t="s">
        <v>51</v>
      </c>
      <c r="M16291" s="28" t="s">
        <v>51</v>
      </c>
      <c r="N16291" s="28" t="s">
        <v>51</v>
      </c>
    </row>
    <row r="16292" spans="1:14" ht="12.75" hidden="1" outlineLevel="1" x14ac:dyDescent="0.2">
      <c r="A16292" s="23" t="str">
        <f>HYPERLINK("https://www.spark-marketing.ru/Card/Person/121861", "ГБУ ВО ""ОМЦ""")</f>
        <v>ГБУ ВО "ОМЦ"</v>
      </c>
      <c r="B16292" s="24" t="s">
        <v>79</v>
      </c>
      <c r="C16292" s="25">
        <v>252000</v>
      </c>
      <c r="D16292" s="22" t="s">
        <v>21349</v>
      </c>
      <c r="E16292" s="22" t="s">
        <v>81</v>
      </c>
      <c r="F16292" s="23" t="str">
        <f>HYPERLINK("https://www.spark-marketing.ru/Card/Lot/71470889", "2019-03491/Оказание услуг по организации проживания с питанием участников и организаторов регионального сбора вожатых, руководителей детских организаций и координаторов Российского движения школьников «Звездный»")</f>
        <v>2019-03491/Оказание услуг по организации проживания с питанием участников и организаторов регионального сбора вожатых, руководителей детских организаций и координаторов Российского движения школьников «Звездный»</v>
      </c>
      <c r="G16292" s="22" t="s">
        <v>82</v>
      </c>
      <c r="H16292" s="22" t="s">
        <v>83</v>
      </c>
      <c r="I16292" s="26">
        <v>43634.728472222203</v>
      </c>
      <c r="J16292" s="23" t="str">
        <f>HYPERLINK("https://www.spark-marketing.ru/Card/Person/336101", "ООО ""КОМФОРТ""")</f>
        <v>ООО "КОМФОРТ"</v>
      </c>
      <c r="K16292" s="24" t="s">
        <v>4486</v>
      </c>
      <c r="L16292" s="22" t="s">
        <v>10</v>
      </c>
      <c r="M16292" s="25">
        <v>250740</v>
      </c>
      <c r="N16292" s="27">
        <v>5.0000000000000001E-3</v>
      </c>
    </row>
    <row r="16293" spans="1:14" x14ac:dyDescent="0.15">
      <c r="A16293" s="23" t="str">
        <f>HYPERLINK("https://www.spark-marketing.ru/Card/Person/1060342", "ОМВД РОССИИ ПО ЛЕНИНСКОМУ РАЙОНУ")</f>
        <v>ОМВД РОССИИ ПО ЛЕНИНСКОМУ РАЙОНУ</v>
      </c>
      <c r="B16293" s="24" t="s">
        <v>5850</v>
      </c>
      <c r="C16293" s="25">
        <v>51600</v>
      </c>
      <c r="D16293" s="22" t="s">
        <v>21350</v>
      </c>
      <c r="E16293" s="22" t="s">
        <v>96</v>
      </c>
      <c r="F16293" s="23" t="str">
        <f>HYPERLINK("https://www.spark-marketing.ru/Card/Lot/71463400",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6293" s="22" t="s">
        <v>108</v>
      </c>
      <c r="H16293" s="22" t="s">
        <v>5852</v>
      </c>
      <c r="I16293" s="26">
        <v>43634.747685185197</v>
      </c>
      <c r="J16293" s="28" t="s">
        <v>51</v>
      </c>
      <c r="K16293" s="28" t="s">
        <v>51</v>
      </c>
      <c r="L16293" s="28" t="s">
        <v>51</v>
      </c>
      <c r="M16293" s="28" t="s">
        <v>51</v>
      </c>
      <c r="N16293" s="28" t="s">
        <v>51</v>
      </c>
    </row>
    <row r="16294" spans="1:14" x14ac:dyDescent="0.15">
      <c r="A16294" s="23" t="str">
        <f>HYPERLINK("https://www.spark-marketing.ru/Card/Person/1804440", "ФКУ ""НАЛОГ-СЕРВИС"" ФНС РОССИИ")</f>
        <v>ФКУ "НАЛОГ-СЕРВИС" ФНС РОССИИ</v>
      </c>
      <c r="B16294" s="24" t="s">
        <v>21351</v>
      </c>
      <c r="C16294" s="25">
        <v>7065165.9299999997</v>
      </c>
      <c r="D16294" s="22" t="s">
        <v>21352</v>
      </c>
      <c r="E16294" s="22" t="s">
        <v>21353</v>
      </c>
      <c r="F16294" s="23" t="str">
        <f>HYPERLINK("https://www.spark-marketing.ru/Card/Lot/71476558", "Оказание услуг по замене аккумуляторных батарей в источниках бесперебойного питания и  системно-техническому обслуживанию источников бесперебойного питания для нужд Филиала ФКУ «Налог-Сервис» ФНС России по ЦОД в г. Москве")</f>
        <v>Оказание услуг по замене аккумуляторных батарей в источниках бесперебойного питания и  системно-техническому обслуживанию источников бесперебойного питания для нужд Филиала ФКУ «Налог-Сервис» ФНС России по ЦОД в г. Москве</v>
      </c>
      <c r="G16294" s="22" t="s">
        <v>56</v>
      </c>
      <c r="H16294" s="22" t="s">
        <v>56</v>
      </c>
      <c r="I16294" s="26">
        <v>43634.744606481501</v>
      </c>
      <c r="J16294" s="28" t="s">
        <v>51</v>
      </c>
      <c r="K16294" s="28" t="s">
        <v>51</v>
      </c>
      <c r="L16294" s="28" t="s">
        <v>51</v>
      </c>
      <c r="M16294" s="28" t="s">
        <v>51</v>
      </c>
      <c r="N16294" s="28" t="s">
        <v>51</v>
      </c>
    </row>
    <row r="16295" spans="1:14" ht="12.75" hidden="1" outlineLevel="1" x14ac:dyDescent="0.2">
      <c r="A16295" s="23" t="str">
        <f>HYPERLINK("https://www.spark-marketing.ru/Card/Person/1804440", "ФКУ ""НАЛОГ-СЕРВИС"" ФНС РОССИИ")</f>
        <v>ФКУ "НАЛОГ-СЕРВИС" ФНС РОССИИ</v>
      </c>
      <c r="B16295" s="24" t="s">
        <v>21351</v>
      </c>
      <c r="C16295" s="25">
        <v>7065165.9299999997</v>
      </c>
      <c r="D16295" s="22" t="s">
        <v>21352</v>
      </c>
      <c r="E16295" s="22" t="s">
        <v>21353</v>
      </c>
      <c r="F16295" s="23" t="str">
        <f>HYPERLINK("https://www.spark-marketing.ru/Card/Lot/71476558", "Оказание услуг по замене аккумуляторных батарей в источниках бесперебойного питания и  системно-техническому обслуживанию источников бесперебойного питания для нужд Филиала ФКУ «Налог-Сервис» ФНС России по ЦОД в г. Москве")</f>
        <v>Оказание услуг по замене аккумуляторных батарей в источниках бесперебойного питания и  системно-техническому обслуживанию источников бесперебойного питания для нужд Филиала ФКУ «Налог-Сервис» ФНС России по ЦОД в г. Москве</v>
      </c>
      <c r="G16295" s="22" t="s">
        <v>56</v>
      </c>
      <c r="H16295" s="22" t="s">
        <v>56</v>
      </c>
      <c r="I16295" s="26">
        <v>43634.744606481501</v>
      </c>
      <c r="J16295" s="23" t="str">
        <f>HYPERLINK("https://www.spark-marketing.ru/Card/Person/6360387", "ООО ""ОРИОН""")</f>
        <v>ООО "ОРИОН"</v>
      </c>
      <c r="K16295" s="24" t="s">
        <v>21354</v>
      </c>
      <c r="L16295" s="22" t="s">
        <v>10</v>
      </c>
      <c r="M16295" s="25">
        <v>4265019.07</v>
      </c>
      <c r="N16295" s="27">
        <v>0.39633136542626113</v>
      </c>
    </row>
    <row r="16296" spans="1:14" hidden="1" outlineLevel="1" x14ac:dyDescent="0.2">
      <c r="A16296" s="23" t="str">
        <f>HYPERLINK("https://www.spark-marketing.ru/Card/Person/1804440", "ФКУ ""НАЛОГ-СЕРВИС"" ФНС РОССИИ")</f>
        <v>ФКУ "НАЛОГ-СЕРВИС" ФНС РОССИИ</v>
      </c>
      <c r="B16296" s="24" t="s">
        <v>21351</v>
      </c>
      <c r="C16296" s="25">
        <v>7065165.9299999997</v>
      </c>
      <c r="D16296" s="22" t="s">
        <v>21352</v>
      </c>
      <c r="E16296" s="22" t="s">
        <v>21353</v>
      </c>
      <c r="F16296" s="23" t="str">
        <f>HYPERLINK("https://www.spark-marketing.ru/Card/Lot/71476558", "Оказание услуг по замене аккумуляторных батарей в источниках бесперебойного питания и  системно-техническому обслуживанию источников бесперебойного питания для нужд Филиала ФКУ «Налог-Сервис» ФНС России по ЦОД в г. Москве")</f>
        <v>Оказание услуг по замене аккумуляторных батарей в источниках бесперебойного питания и  системно-техническому обслуживанию источников бесперебойного питания для нужд Филиала ФКУ «Налог-Сервис» ФНС России по ЦОД в г. Москве</v>
      </c>
      <c r="G16296" s="22" t="s">
        <v>56</v>
      </c>
      <c r="H16296" s="22" t="s">
        <v>56</v>
      </c>
      <c r="I16296" s="26">
        <v>43634.744606481501</v>
      </c>
      <c r="J16296" s="23" t="str">
        <f>HYPERLINK("https://www.spark-marketing.ru/Card/Person/985482", "ООО ""АЙТИБРИЗ""")</f>
        <v>ООО "АЙТИБРИЗ"</v>
      </c>
      <c r="K16296" s="24" t="s">
        <v>21355</v>
      </c>
      <c r="L16296" s="28" t="s">
        <v>51</v>
      </c>
      <c r="M16296" s="25">
        <v>4300344.9000000004</v>
      </c>
      <c r="N16296" s="27">
        <v>0.39133136537672231</v>
      </c>
    </row>
    <row r="16297" spans="1:14" x14ac:dyDescent="0.15">
      <c r="A16297" s="23" t="str">
        <f>HYPERLINK("https://www.spark-marketing.ru/Card/Person/121861", "ГБУ ВО ""ОМЦ""")</f>
        <v>ГБУ ВО "ОМЦ"</v>
      </c>
      <c r="B16297" s="24" t="s">
        <v>79</v>
      </c>
      <c r="C16297" s="25">
        <v>299700</v>
      </c>
      <c r="D16297" s="22" t="s">
        <v>21356</v>
      </c>
      <c r="E16297" s="22" t="s">
        <v>81</v>
      </c>
      <c r="F16297" s="23" t="str">
        <f>HYPERLINK("https://www.spark-marketing.ru/Card/Lot/71471393", "2019-03488/Оказание услуг по организации проживания с питанием участников и организаторов сбора актива творческой молодежи")</f>
        <v>2019-03488/Оказание услуг по организации проживания с питанием участников и организаторов сбора актива творческой молодежи</v>
      </c>
      <c r="G16297" s="22" t="s">
        <v>82</v>
      </c>
      <c r="H16297" s="22" t="s">
        <v>83</v>
      </c>
      <c r="I16297" s="26">
        <v>43634.729166666701</v>
      </c>
      <c r="J16297" s="23" t="str">
        <f>HYPERLINK("https://www.spark-marketing.ru/Card/Person/336101", "ООО ""КОМФОРТ""")</f>
        <v>ООО "КОМФОРТ"</v>
      </c>
      <c r="K16297" s="24" t="s">
        <v>4486</v>
      </c>
      <c r="L16297" s="22" t="s">
        <v>10</v>
      </c>
      <c r="M16297" s="28" t="s">
        <v>51</v>
      </c>
      <c r="N16297" s="28" t="s">
        <v>51</v>
      </c>
    </row>
    <row r="16298" spans="1:14" x14ac:dyDescent="0.15">
      <c r="A16298" s="23" t="str">
        <f>HYPERLINK("https://www.spark-marketing.ru/Card/Person/121861", "ГБУ ВО ""ОМЦ""")</f>
        <v>ГБУ ВО "ОМЦ"</v>
      </c>
      <c r="B16298" s="24" t="s">
        <v>79</v>
      </c>
      <c r="C16298" s="25">
        <v>324000</v>
      </c>
      <c r="D16298" s="22" t="s">
        <v>21357</v>
      </c>
      <c r="E16298" s="22" t="s">
        <v>81</v>
      </c>
      <c r="F16298" s="23" t="str">
        <f>HYPERLINK("https://www.spark-marketing.ru/Card/Lot/71471846", "2019-03489/Оказание услуг по организации проживания с питанием участников и организаторов слета студенческих отрядов Воронежской области")</f>
        <v>2019-03489/Оказание услуг по организации проживания с питанием участников и организаторов слета студенческих отрядов Воронежской области</v>
      </c>
      <c r="G16298" s="22" t="s">
        <v>82</v>
      </c>
      <c r="H16298" s="22" t="s">
        <v>83</v>
      </c>
      <c r="I16298" s="26">
        <v>43634.729166666701</v>
      </c>
      <c r="J16298" s="23" t="str">
        <f>HYPERLINK("https://www.spark-marketing.ru/Card/Person/336101", "ООО ""КОМФОРТ""")</f>
        <v>ООО "КОМФОРТ"</v>
      </c>
      <c r="K16298" s="24" t="s">
        <v>4486</v>
      </c>
      <c r="L16298" s="22" t="s">
        <v>10</v>
      </c>
      <c r="M16298" s="28" t="s">
        <v>51</v>
      </c>
      <c r="N16298" s="28" t="s">
        <v>51</v>
      </c>
    </row>
    <row r="16299" spans="1:14" x14ac:dyDescent="0.15">
      <c r="A16299" s="23" t="str">
        <f>HYPERLINK("https://www.spark-marketing.ru/Card/Person/1234", "ВОЙСКОВАЯ ЧАСТЬ 66631")</f>
        <v>ВОЙСКОВАЯ ЧАСТЬ 66631</v>
      </c>
      <c r="B16299" s="24" t="s">
        <v>14258</v>
      </c>
      <c r="C16299" s="25">
        <v>11246304</v>
      </c>
      <c r="D16299" s="22" t="s">
        <v>21358</v>
      </c>
      <c r="E16299" s="22" t="s">
        <v>3325</v>
      </c>
      <c r="F16299" s="23" t="str">
        <f>HYPERLINK("https://www.spark-marketing.ru/Card/Lot/71476587", "Оказание услуг по вывозу пищевых отходов с объектов общественного питания")</f>
        <v>Оказание услуг по вывозу пищевых отходов с объектов общественного питания</v>
      </c>
      <c r="G16299" s="22" t="s">
        <v>56</v>
      </c>
      <c r="H16299" s="22" t="s">
        <v>56</v>
      </c>
      <c r="I16299" s="26">
        <v>43634.736909722204</v>
      </c>
      <c r="J16299" s="28" t="s">
        <v>51</v>
      </c>
      <c r="K16299" s="28" t="s">
        <v>51</v>
      </c>
      <c r="L16299" s="28" t="s">
        <v>51</v>
      </c>
      <c r="M16299" s="28" t="s">
        <v>51</v>
      </c>
      <c r="N16299" s="28" t="s">
        <v>51</v>
      </c>
    </row>
    <row r="16300" spans="1:14" ht="12.75" hidden="1" outlineLevel="1" x14ac:dyDescent="0.2">
      <c r="A16300" s="23" t="str">
        <f>HYPERLINK("https://www.spark-marketing.ru/Card/Person/1234", "ВОЙСКОВАЯ ЧАСТЬ 66631")</f>
        <v>ВОЙСКОВАЯ ЧАСТЬ 66631</v>
      </c>
      <c r="B16300" s="24" t="s">
        <v>14258</v>
      </c>
      <c r="C16300" s="25">
        <v>11246304</v>
      </c>
      <c r="D16300" s="22" t="s">
        <v>21358</v>
      </c>
      <c r="E16300" s="22" t="s">
        <v>3325</v>
      </c>
      <c r="F16300" s="23" t="str">
        <f>HYPERLINK("https://www.spark-marketing.ru/Card/Lot/71476587", "Оказание услуг по вывозу пищевых отходов с объектов общественного питания")</f>
        <v>Оказание услуг по вывозу пищевых отходов с объектов общественного питания</v>
      </c>
      <c r="G16300" s="22" t="s">
        <v>56</v>
      </c>
      <c r="H16300" s="22" t="s">
        <v>56</v>
      </c>
      <c r="I16300" s="26">
        <v>43634.736909722204</v>
      </c>
      <c r="J16300" s="23" t="str">
        <f>HYPERLINK("https://www.spark-marketing.ru/Card/Person/77218", "ООО ""ИМИДЖ ГОРОДА""")</f>
        <v>ООО "ИМИДЖ ГОРОДА"</v>
      </c>
      <c r="K16300" s="24" t="s">
        <v>21359</v>
      </c>
      <c r="L16300" s="22" t="s">
        <v>10</v>
      </c>
      <c r="M16300" s="25">
        <v>4704408</v>
      </c>
      <c r="N16300" s="27">
        <v>0.58169297219779936</v>
      </c>
    </row>
    <row r="16301" spans="1:14" hidden="1" outlineLevel="1" x14ac:dyDescent="0.2">
      <c r="A16301" s="23" t="str">
        <f>HYPERLINK("https://www.spark-marketing.ru/Card/Person/1234", "ВОЙСКОВАЯ ЧАСТЬ 66631")</f>
        <v>ВОЙСКОВАЯ ЧАСТЬ 66631</v>
      </c>
      <c r="B16301" s="24" t="s">
        <v>14258</v>
      </c>
      <c r="C16301" s="25">
        <v>11246304</v>
      </c>
      <c r="D16301" s="22" t="s">
        <v>21358</v>
      </c>
      <c r="E16301" s="22" t="s">
        <v>3325</v>
      </c>
      <c r="F16301" s="23" t="str">
        <f>HYPERLINK("https://www.spark-marketing.ru/Card/Lot/71476587", "Оказание услуг по вывозу пищевых отходов с объектов общественного питания")</f>
        <v>Оказание услуг по вывозу пищевых отходов с объектов общественного питания</v>
      </c>
      <c r="G16301" s="22" t="s">
        <v>56</v>
      </c>
      <c r="H16301" s="22" t="s">
        <v>56</v>
      </c>
      <c r="I16301" s="26">
        <v>43634.736909722204</v>
      </c>
      <c r="J16301" s="23" t="str">
        <f>HYPERLINK("https://www.spark-marketing.ru/Card/Person/439212", "ООО ""ИНЖЕНЕРНЫЙ СЕРВИС""")</f>
        <v>ООО "ИНЖЕНЕРНЫЙ СЕРВИС"</v>
      </c>
      <c r="K16301" s="24" t="s">
        <v>21360</v>
      </c>
      <c r="L16301" s="28" t="s">
        <v>51</v>
      </c>
      <c r="M16301" s="25">
        <v>9015408.4800000004</v>
      </c>
      <c r="N16301" s="27">
        <v>0.19836699416981793</v>
      </c>
    </row>
    <row r="16302" spans="1:14" hidden="1" outlineLevel="1" x14ac:dyDescent="0.2">
      <c r="A16302" s="23" t="str">
        <f>HYPERLINK("https://www.spark-marketing.ru/Card/Person/1234", "ВОЙСКОВАЯ ЧАСТЬ 66631")</f>
        <v>ВОЙСКОВАЯ ЧАСТЬ 66631</v>
      </c>
      <c r="B16302" s="24" t="s">
        <v>14258</v>
      </c>
      <c r="C16302" s="25">
        <v>11246304</v>
      </c>
      <c r="D16302" s="22" t="s">
        <v>21358</v>
      </c>
      <c r="E16302" s="22" t="s">
        <v>3325</v>
      </c>
      <c r="F16302" s="23" t="str">
        <f>HYPERLINK("https://www.spark-marketing.ru/Card/Lot/71476587", "Оказание услуг по вывозу пищевых отходов с объектов общественного питания")</f>
        <v>Оказание услуг по вывозу пищевых отходов с объектов общественного питания</v>
      </c>
      <c r="G16302" s="22" t="s">
        <v>56</v>
      </c>
      <c r="H16302" s="22" t="s">
        <v>56</v>
      </c>
      <c r="I16302" s="26">
        <v>43634.736909722204</v>
      </c>
      <c r="J16302" s="23" t="str">
        <f>HYPERLINK("https://www.spark-marketing.ru/Card/Person/82641", "ООО ""ЧИСТАЯ ЖИЗНЬ""")</f>
        <v>ООО "ЧИСТАЯ ЖИЗНЬ"</v>
      </c>
      <c r="K16302" s="24" t="s">
        <v>14261</v>
      </c>
      <c r="L16302" s="28" t="s">
        <v>51</v>
      </c>
      <c r="M16302" s="25">
        <v>9000000</v>
      </c>
      <c r="N16302" s="27">
        <v>0.19973708695763515</v>
      </c>
    </row>
    <row r="16303" spans="1:14" hidden="1" outlineLevel="1" x14ac:dyDescent="0.2">
      <c r="A16303" s="23" t="str">
        <f>HYPERLINK("https://www.spark-marketing.ru/Card/Person/1234", "ВОЙСКОВАЯ ЧАСТЬ 66631")</f>
        <v>ВОЙСКОВАЯ ЧАСТЬ 66631</v>
      </c>
      <c r="B16303" s="24" t="s">
        <v>14258</v>
      </c>
      <c r="C16303" s="25">
        <v>11246304</v>
      </c>
      <c r="D16303" s="22" t="s">
        <v>21358</v>
      </c>
      <c r="E16303" s="22" t="s">
        <v>3325</v>
      </c>
      <c r="F16303" s="23" t="str">
        <f>HYPERLINK("https://www.spark-marketing.ru/Card/Lot/71476587", "Оказание услуг по вывозу пищевых отходов с объектов общественного питания")</f>
        <v>Оказание услуг по вывозу пищевых отходов с объектов общественного питания</v>
      </c>
      <c r="G16303" s="22" t="s">
        <v>56</v>
      </c>
      <c r="H16303" s="22" t="s">
        <v>56</v>
      </c>
      <c r="I16303" s="26">
        <v>43634.736909722204</v>
      </c>
      <c r="J16303" s="23" t="str">
        <f>HYPERLINK("https://www.spark-marketing.ru/Card/Person/6365233", "ООО ""ГОРОД99""")</f>
        <v>ООО "ГОРОД99"</v>
      </c>
      <c r="K16303" s="24" t="s">
        <v>21361</v>
      </c>
      <c r="L16303" s="28" t="s">
        <v>51</v>
      </c>
      <c r="M16303" s="25">
        <v>4776624.4800000004</v>
      </c>
      <c r="N16303" s="27">
        <v>0.5752716199028588</v>
      </c>
    </row>
    <row r="16304" spans="1:14" x14ac:dyDescent="0.15">
      <c r="A16304" s="23" t="str">
        <f>HYPERLINK("https://www.spark-marketing.ru/Card/Person/51869", "УМВД РОССИИ ПО ТУЛЬСКОЙ ОБЛАСТИ")</f>
        <v>УМВД РОССИИ ПО ТУЛЬСКОЙ ОБЛАСТИ</v>
      </c>
      <c r="B16304" s="24" t="s">
        <v>9733</v>
      </c>
      <c r="C16304" s="25">
        <v>100000</v>
      </c>
      <c r="D16304" s="22" t="s">
        <v>21362</v>
      </c>
      <c r="E16304" s="22" t="s">
        <v>48</v>
      </c>
      <c r="F16304" s="23" t="str">
        <f>HYPERLINK("https://www.spark-marketing.ru/Card/Lot/71461291",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6304" s="22" t="s">
        <v>68</v>
      </c>
      <c r="H16304" s="22" t="s">
        <v>69</v>
      </c>
      <c r="I16304" s="26">
        <v>43634.723541666703</v>
      </c>
      <c r="J16304" s="28" t="s">
        <v>51</v>
      </c>
      <c r="K16304" s="28" t="s">
        <v>51</v>
      </c>
      <c r="L16304" s="28" t="s">
        <v>51</v>
      </c>
      <c r="M16304" s="28" t="s">
        <v>51</v>
      </c>
      <c r="N16304" s="28" t="s">
        <v>51</v>
      </c>
    </row>
    <row r="16305" spans="1:14" ht="12.75" x14ac:dyDescent="0.2">
      <c r="A16305" s="23" t="str">
        <f>HYPERLINK("https://www.spark-marketing.ru/Card/Person/6965", "ГБУЗ ""ПКБ № 4 ДЗМ""")</f>
        <v>ГБУЗ "ПКБ № 4 ДЗМ"</v>
      </c>
      <c r="B16305" s="24" t="s">
        <v>21363</v>
      </c>
      <c r="C16305" s="25">
        <v>36123321.579999998</v>
      </c>
      <c r="D16305" s="22" t="s">
        <v>21364</v>
      </c>
      <c r="E16305" s="22" t="s">
        <v>96</v>
      </c>
      <c r="F16305" s="23" t="str">
        <f>HYPERLINK("https://www.spark-marketing.ru/Card/Lot/71476946", "Оказание услуг по организации питания в ГБУЗ ""ПКБ №4 ДЗМ"" в 2019-2020 годах")</f>
        <v>Оказание услуг по организации питания в ГБУЗ "ПКБ №4 ДЗМ" в 2019-2020 годах</v>
      </c>
      <c r="G16305" s="22" t="s">
        <v>56</v>
      </c>
      <c r="H16305" s="22" t="s">
        <v>56</v>
      </c>
      <c r="I16305" s="26">
        <v>43634.745671296303</v>
      </c>
      <c r="J16305" s="23" t="str">
        <f>HYPERLINK("https://www.spark-marketing.ru/Card/Person/12674", "ООО ""САТУРН-ШБС-3""")</f>
        <v>ООО "САТУРН-ШБС-3"</v>
      </c>
      <c r="K16305" s="24" t="s">
        <v>21365</v>
      </c>
      <c r="L16305" s="22" t="s">
        <v>10</v>
      </c>
      <c r="M16305" s="25">
        <v>36123000</v>
      </c>
      <c r="N16305" s="27">
        <v>8.9022821250758295E-6</v>
      </c>
    </row>
    <row r="16306" spans="1:14" x14ac:dyDescent="0.15">
      <c r="A16306" s="23" t="str">
        <f>HYPERLINK("https://www.spark-marketing.ru/Card/Person/125221", "ФГБОУ ВО ""ВГСПУ""")</f>
        <v>ФГБОУ ВО "ВГСПУ"</v>
      </c>
      <c r="B16306" s="24" t="s">
        <v>10102</v>
      </c>
      <c r="C16306" s="25">
        <v>1074150</v>
      </c>
      <c r="D16306" s="22" t="s">
        <v>21366</v>
      </c>
      <c r="E16306" s="22" t="s">
        <v>362</v>
      </c>
      <c r="F16306" s="23" t="str">
        <f>HYPERLINK("https://www.spark-marketing.ru/Card/Lot/71459489", "Оказание услуг по организации питания детей и сотрудников Детского профильного лагеря ""Учебно-оздоровительный комплекс (база отдыха «Марафон»)")</f>
        <v>Оказание услуг по организации питания детей и сотрудников Детского профильного лагеря "Учебно-оздоровительный комплекс (база отдыха «Марафон»)</v>
      </c>
      <c r="G16306" s="22" t="s">
        <v>158</v>
      </c>
      <c r="H16306" s="22" t="s">
        <v>158</v>
      </c>
      <c r="I16306" s="26">
        <v>43634.718761574099</v>
      </c>
      <c r="J16306" s="28" t="s">
        <v>51</v>
      </c>
      <c r="K16306" s="28" t="s">
        <v>51</v>
      </c>
      <c r="L16306" s="28" t="s">
        <v>51</v>
      </c>
      <c r="M16306" s="28" t="s">
        <v>51</v>
      </c>
      <c r="N16306" s="28" t="s">
        <v>51</v>
      </c>
    </row>
    <row r="16307" spans="1:14" x14ac:dyDescent="0.15">
      <c r="A16307" s="23" t="str">
        <f>HYPERLINK("https://www.spark-marketing.ru/Card/Person/1043069", "ГКУЗ ПО ""УПРАВЛЕНИЕ ФАРМАЦИИ""")</f>
        <v>ГКУЗ ПО "УПРАВЛЕНИЕ ФАРМАЦИИ"</v>
      </c>
      <c r="B16307" s="24" t="s">
        <v>6119</v>
      </c>
      <c r="C16307" s="25">
        <v>9917600</v>
      </c>
      <c r="D16307" s="22" t="s">
        <v>21367</v>
      </c>
      <c r="E16307" s="22" t="s">
        <v>86</v>
      </c>
      <c r="F16307" s="23" t="str">
        <f>HYPERLINK("https://www.spark-marketing.ru/Card/Lot/71477304", "Оказание услуги по приемке, хранению, комплектованию, доставке в пункты отпуска, отпуску лекарственных препаратов, медицинских изделий, специализированных продуктов лечебного питания (идентификационный номер: 576-А-ГЗ)")</f>
        <v>Оказание услуги по приемке, хранению, комплектованию, доставке в пункты отпуска, отпуску лекарственных препаратов, медицинских изделий, специализированных продуктов лечебного питания (идентификационный номер: 576-А-ГЗ)</v>
      </c>
      <c r="G16307" s="22" t="s">
        <v>415</v>
      </c>
      <c r="H16307" s="22" t="s">
        <v>4542</v>
      </c>
      <c r="I16307" s="26">
        <v>43634.692361111098</v>
      </c>
      <c r="J16307" s="23" t="str">
        <f>HYPERLINK("https://www.spark-marketing.ru/Card/Person/63178", "ГП ПСКОВСКОЙ ОБЛАСТИ ""ФАРМАЦИЯ""")</f>
        <v>ГП ПСКОВСКОЙ ОБЛАСТИ "ФАРМАЦИЯ"</v>
      </c>
      <c r="K16307" s="24" t="s">
        <v>6121</v>
      </c>
      <c r="L16307" s="22" t="s">
        <v>10</v>
      </c>
      <c r="M16307" s="28" t="s">
        <v>51</v>
      </c>
      <c r="N16307" s="28" t="s">
        <v>51</v>
      </c>
    </row>
    <row r="16308" spans="1:14" x14ac:dyDescent="0.15">
      <c r="A16308" s="23" t="str">
        <f t="shared" ref="A16308:A16316" si="555">HYPERLINK("https://www.spark-marketing.ru/Card/Person/32225", "ФГБУН ""ФИЦ ПИТАНИЯ И БИОТЕХНОЛОГИИ""")</f>
        <v>ФГБУН "ФИЦ ПИТАНИЯ И БИОТЕХНОЛОГИИ"</v>
      </c>
      <c r="B16308" s="24" t="s">
        <v>15622</v>
      </c>
      <c r="C16308" s="25">
        <v>7833333.3600000003</v>
      </c>
      <c r="D16308" s="22" t="s">
        <v>21368</v>
      </c>
      <c r="E16308" s="22" t="s">
        <v>14178</v>
      </c>
      <c r="F16308" s="23" t="str">
        <f t="shared" ref="F16308:F16316" si="556">HYPERLINK("https://www.spark-marketing.ru/Card/Lot/71476494", "Оказание клининговых услуг по ежедневной уборке помещений в Клинике лечебного питания по адресу г. Москва, Каширское шоссе, д.21")</f>
        <v>Оказание клининговых услуг по ежедневной уборке помещений в Клинике лечебного питания по адресу г. Москва, Каширское шоссе, д.21</v>
      </c>
      <c r="G16308" s="22" t="s">
        <v>56</v>
      </c>
      <c r="H16308" s="22" t="s">
        <v>56</v>
      </c>
      <c r="I16308" s="26">
        <v>43634.700115740699</v>
      </c>
      <c r="J16308" s="28" t="s">
        <v>51</v>
      </c>
      <c r="K16308" s="28" t="s">
        <v>51</v>
      </c>
      <c r="L16308" s="28" t="s">
        <v>51</v>
      </c>
      <c r="M16308" s="28" t="s">
        <v>51</v>
      </c>
      <c r="N16308" s="28" t="s">
        <v>51</v>
      </c>
    </row>
    <row r="16309" spans="1:14" ht="12.75" hidden="1" outlineLevel="1" x14ac:dyDescent="0.2">
      <c r="A16309" s="23" t="str">
        <f t="shared" si="555"/>
        <v>ФГБУН "ФИЦ ПИТАНИЯ И БИОТЕХНОЛОГИИ"</v>
      </c>
      <c r="B16309" s="24" t="s">
        <v>15622</v>
      </c>
      <c r="C16309" s="25">
        <v>7833333.3600000003</v>
      </c>
      <c r="D16309" s="22" t="s">
        <v>21368</v>
      </c>
      <c r="E16309" s="22" t="s">
        <v>14178</v>
      </c>
      <c r="F16309" s="23" t="str">
        <f t="shared" si="556"/>
        <v>Оказание клининговых услуг по ежедневной уборке помещений в Клинике лечебного питания по адресу г. Москва, Каширское шоссе, д.21</v>
      </c>
      <c r="G16309" s="22" t="s">
        <v>56</v>
      </c>
      <c r="H16309" s="22" t="s">
        <v>56</v>
      </c>
      <c r="I16309" s="26">
        <v>43634.700115740699</v>
      </c>
      <c r="J16309" s="23" t="str">
        <f>HYPERLINK("https://www.spark-marketing.ru/Card/Person/1630144", "ООО ""ПЕРВАЯ КЛИНИНГОВАЯСЛУЖБА""")</f>
        <v>ООО "ПЕРВАЯ КЛИНИНГОВАЯСЛУЖБА"</v>
      </c>
      <c r="K16309" s="24" t="s">
        <v>21369</v>
      </c>
      <c r="L16309" s="22" t="s">
        <v>10</v>
      </c>
      <c r="M16309" s="25">
        <v>3665443.75</v>
      </c>
      <c r="N16309" s="27">
        <v>0.53207101223124764</v>
      </c>
    </row>
    <row r="16310" spans="1:14" hidden="1" outlineLevel="1" x14ac:dyDescent="0.2">
      <c r="A16310" s="23" t="str">
        <f t="shared" si="555"/>
        <v>ФГБУН "ФИЦ ПИТАНИЯ И БИОТЕХНОЛОГИИ"</v>
      </c>
      <c r="B16310" s="24" t="s">
        <v>15622</v>
      </c>
      <c r="C16310" s="25">
        <v>7833333.3600000003</v>
      </c>
      <c r="D16310" s="22" t="s">
        <v>21368</v>
      </c>
      <c r="E16310" s="22" t="s">
        <v>14178</v>
      </c>
      <c r="F16310" s="23" t="str">
        <f t="shared" si="556"/>
        <v>Оказание клининговых услуг по ежедневной уборке помещений в Клинике лечебного питания по адресу г. Москва, Каширское шоссе, д.21</v>
      </c>
      <c r="G16310" s="22" t="s">
        <v>56</v>
      </c>
      <c r="H16310" s="22" t="s">
        <v>56</v>
      </c>
      <c r="I16310" s="26">
        <v>43634.700115740699</v>
      </c>
      <c r="J16310" s="23" t="str">
        <f>HYPERLINK("https://www.spark-marketing.ru/Card/Person/5904780", "ООО ""ГАРАНТ-СЕРВИС""")</f>
        <v>ООО "ГАРАНТ-СЕРВИС"</v>
      </c>
      <c r="K16310" s="24" t="s">
        <v>21370</v>
      </c>
      <c r="L16310" s="28" t="s">
        <v>51</v>
      </c>
      <c r="M16310" s="25">
        <v>3704610.42</v>
      </c>
      <c r="N16310" s="27">
        <v>0.52707101182273697</v>
      </c>
    </row>
    <row r="16311" spans="1:14" hidden="1" outlineLevel="1" x14ac:dyDescent="0.2">
      <c r="A16311" s="23" t="str">
        <f t="shared" si="555"/>
        <v>ФГБУН "ФИЦ ПИТАНИЯ И БИОТЕХНОЛОГИИ"</v>
      </c>
      <c r="B16311" s="24" t="s">
        <v>15622</v>
      </c>
      <c r="C16311" s="25">
        <v>7833333.3600000003</v>
      </c>
      <c r="D16311" s="22" t="s">
        <v>21368</v>
      </c>
      <c r="E16311" s="22" t="s">
        <v>14178</v>
      </c>
      <c r="F16311" s="23" t="str">
        <f t="shared" si="556"/>
        <v>Оказание клининговых услуг по ежедневной уборке помещений в Клинике лечебного питания по адресу г. Москва, Каширское шоссе, д.21</v>
      </c>
      <c r="G16311" s="22" t="s">
        <v>56</v>
      </c>
      <c r="H16311" s="22" t="s">
        <v>56</v>
      </c>
      <c r="I16311" s="26">
        <v>43634.700115740699</v>
      </c>
      <c r="J16311" s="23" t="str">
        <f>HYPERLINK("https://www.spark-marketing.ru/Card/Person/5877335", "ООО ""КЛИНКЕА""")</f>
        <v>ООО "КЛИНКЕА"</v>
      </c>
      <c r="K16311" s="24" t="s">
        <v>21371</v>
      </c>
      <c r="L16311" s="28" t="s">
        <v>51</v>
      </c>
      <c r="M16311" s="25">
        <v>4281217.9400000004</v>
      </c>
      <c r="N16311" s="27">
        <v>0.45346154143502454</v>
      </c>
    </row>
    <row r="16312" spans="1:14" hidden="1" outlineLevel="1" x14ac:dyDescent="0.2">
      <c r="A16312" s="23" t="str">
        <f t="shared" si="555"/>
        <v>ФГБУН "ФИЦ ПИТАНИЯ И БИОТЕХНОЛОГИИ"</v>
      </c>
      <c r="B16312" s="24" t="s">
        <v>15622</v>
      </c>
      <c r="C16312" s="25">
        <v>7833333.3600000003</v>
      </c>
      <c r="D16312" s="22" t="s">
        <v>21368</v>
      </c>
      <c r="E16312" s="22" t="s">
        <v>14178</v>
      </c>
      <c r="F16312" s="23" t="str">
        <f t="shared" si="556"/>
        <v>Оказание клининговых услуг по ежедневной уборке помещений в Клинике лечебного питания по адресу г. Москва, Каширское шоссе, д.21</v>
      </c>
      <c r="G16312" s="22" t="s">
        <v>56</v>
      </c>
      <c r="H16312" s="22" t="s">
        <v>56</v>
      </c>
      <c r="I16312" s="26">
        <v>43634.700115740699</v>
      </c>
      <c r="J16312" s="23" t="str">
        <f>HYPERLINK("https://www.spark-marketing.ru/Card/Person/34522", "ООО ""ПГ И БО 3""")</f>
        <v>ООО "ПГ И БО 3"</v>
      </c>
      <c r="K16312" s="24" t="s">
        <v>21372</v>
      </c>
      <c r="L16312" s="28" t="s">
        <v>51</v>
      </c>
      <c r="M16312" s="25">
        <v>7184186.4400000004</v>
      </c>
      <c r="N16312" s="27">
        <v>8.2869819292358066E-2</v>
      </c>
    </row>
    <row r="16313" spans="1:14" hidden="1" outlineLevel="1" x14ac:dyDescent="0.2">
      <c r="A16313" s="23" t="str">
        <f t="shared" si="555"/>
        <v>ФГБУН "ФИЦ ПИТАНИЯ И БИОТЕХНОЛОГИИ"</v>
      </c>
      <c r="B16313" s="24" t="s">
        <v>15622</v>
      </c>
      <c r="C16313" s="25">
        <v>7833333.3600000003</v>
      </c>
      <c r="D16313" s="22" t="s">
        <v>21368</v>
      </c>
      <c r="E16313" s="22" t="s">
        <v>14178</v>
      </c>
      <c r="F16313" s="23" t="str">
        <f t="shared" si="556"/>
        <v>Оказание клининговых услуг по ежедневной уборке помещений в Клинике лечебного питания по адресу г. Москва, Каширское шоссе, д.21</v>
      </c>
      <c r="G16313" s="22" t="s">
        <v>56</v>
      </c>
      <c r="H16313" s="22" t="s">
        <v>56</v>
      </c>
      <c r="I16313" s="26">
        <v>43634.700115740699</v>
      </c>
      <c r="J16313" s="23" t="str">
        <f>HYPERLINK("https://www.spark-marketing.ru/Card/Person/6059153", "ООО ""БЛОККОМ""")</f>
        <v>ООО "БЛОККОМ"</v>
      </c>
      <c r="K16313" s="24" t="s">
        <v>21373</v>
      </c>
      <c r="L16313" s="28" t="s">
        <v>51</v>
      </c>
      <c r="M16313" s="25">
        <v>3861277.1</v>
      </c>
      <c r="N16313" s="27">
        <v>0.50707101018869438</v>
      </c>
    </row>
    <row r="16314" spans="1:14" hidden="1" outlineLevel="1" x14ac:dyDescent="0.2">
      <c r="A16314" s="23" t="str">
        <f t="shared" si="555"/>
        <v>ФГБУН "ФИЦ ПИТАНИЯ И БИОТЕХНОЛОГИИ"</v>
      </c>
      <c r="B16314" s="24" t="s">
        <v>15622</v>
      </c>
      <c r="C16314" s="25">
        <v>7833333.3600000003</v>
      </c>
      <c r="D16314" s="22" t="s">
        <v>21368</v>
      </c>
      <c r="E16314" s="22" t="s">
        <v>14178</v>
      </c>
      <c r="F16314" s="23" t="str">
        <f t="shared" si="556"/>
        <v>Оказание клининговых услуг по ежедневной уборке помещений в Клинике лечебного питания по адресу г. Москва, Каширское шоссе, д.21</v>
      </c>
      <c r="G16314" s="22" t="s">
        <v>56</v>
      </c>
      <c r="H16314" s="22" t="s">
        <v>56</v>
      </c>
      <c r="I16314" s="26">
        <v>43634.700115740699</v>
      </c>
      <c r="J16314" s="23" t="str">
        <f>HYPERLINK("https://www.spark-marketing.ru/Card/Person/4736177", "ООО ""КРЕАТИВНОЕ РЕШЕНИЕ""")</f>
        <v>ООО "КРЕАТИВНОЕ РЕШЕНИЕ"</v>
      </c>
      <c r="K16314" s="24" t="s">
        <v>21374</v>
      </c>
      <c r="L16314" s="28" t="s">
        <v>51</v>
      </c>
      <c r="M16314" s="25">
        <v>7050000</v>
      </c>
      <c r="N16314" s="27">
        <v>0.10000000306382978</v>
      </c>
    </row>
    <row r="16315" spans="1:14" hidden="1" outlineLevel="1" x14ac:dyDescent="0.2">
      <c r="A16315" s="23" t="str">
        <f t="shared" si="555"/>
        <v>ФГБУН "ФИЦ ПИТАНИЯ И БИОТЕХНОЛОГИИ"</v>
      </c>
      <c r="B16315" s="24" t="s">
        <v>15622</v>
      </c>
      <c r="C16315" s="25">
        <v>7833333.3600000003</v>
      </c>
      <c r="D16315" s="22" t="s">
        <v>21368</v>
      </c>
      <c r="E16315" s="22" t="s">
        <v>14178</v>
      </c>
      <c r="F16315" s="23" t="str">
        <f t="shared" si="556"/>
        <v>Оказание клининговых услуг по ежедневной уборке помещений в Клинике лечебного питания по адресу г. Москва, Каширское шоссе, д.21</v>
      </c>
      <c r="G16315" s="22" t="s">
        <v>56</v>
      </c>
      <c r="H16315" s="22" t="s">
        <v>56</v>
      </c>
      <c r="I16315" s="26">
        <v>43634.700115740699</v>
      </c>
      <c r="J16315" s="23" t="str">
        <f>HYPERLINK("https://www.spark-marketing.ru/Card/Person/4923", "ООО ""А.С.АЛЬЯНС""")</f>
        <v>ООО "А.С.АЛЬЯНС"</v>
      </c>
      <c r="K16315" s="24" t="s">
        <v>21375</v>
      </c>
      <c r="L16315" s="28" t="s">
        <v>51</v>
      </c>
      <c r="M16315" s="25">
        <v>5446252.4900000002</v>
      </c>
      <c r="N16315" s="27">
        <v>0.30473372704771495</v>
      </c>
    </row>
    <row r="16316" spans="1:14" hidden="1" outlineLevel="1" x14ac:dyDescent="0.2">
      <c r="A16316" s="23" t="str">
        <f t="shared" si="555"/>
        <v>ФГБУН "ФИЦ ПИТАНИЯ И БИОТЕХНОЛОГИИ"</v>
      </c>
      <c r="B16316" s="24" t="s">
        <v>15622</v>
      </c>
      <c r="C16316" s="25">
        <v>7833333.3600000003</v>
      </c>
      <c r="D16316" s="22" t="s">
        <v>21368</v>
      </c>
      <c r="E16316" s="22" t="s">
        <v>14178</v>
      </c>
      <c r="F16316" s="23" t="str">
        <f t="shared" si="556"/>
        <v>Оказание клининговых услуг по ежедневной уборке помещений в Клинике лечебного питания по адресу г. Москва, Каширское шоссе, д.21</v>
      </c>
      <c r="G16316" s="22" t="s">
        <v>56</v>
      </c>
      <c r="H16316" s="22" t="s">
        <v>56</v>
      </c>
      <c r="I16316" s="26">
        <v>43634.700115740699</v>
      </c>
      <c r="J16316" s="23" t="str">
        <f>HYPERLINK("https://www.spark-marketing.ru/Card/Person/5954357", "ООО ""СТЕЛЛА-СЕРВИС""")</f>
        <v>ООО "СТЕЛЛА-СЕРВИС"</v>
      </c>
      <c r="K16316" s="24" t="s">
        <v>21376</v>
      </c>
      <c r="L16316" s="28" t="s">
        <v>51</v>
      </c>
      <c r="M16316" s="25">
        <v>3704610.42</v>
      </c>
      <c r="N16316" s="27">
        <v>0.52707101182273697</v>
      </c>
    </row>
    <row r="16317" spans="1:14" x14ac:dyDescent="0.15">
      <c r="A16317" s="23" t="str">
        <f>HYPERLINK("https://www.spark-marketing.ru/Card/Person/19117", "БУ ""НЕФТЕЮГАНСКАЯ ОКРУЖНАЯ КЛИНИЧЕСКАЯ БОЛЬНИЦА ИМЕНИ В.И.ЯЦКИВ""")</f>
        <v>БУ "НЕФТЕЮГАНСКАЯ ОКРУЖНАЯ КЛИНИЧЕСКАЯ БОЛЬНИЦА ИМЕНИ В.И.ЯЦКИВ"</v>
      </c>
      <c r="B16317" s="24" t="s">
        <v>15188</v>
      </c>
      <c r="C16317" s="25">
        <v>1095332.75</v>
      </c>
      <c r="D16317" s="22" t="s">
        <v>21377</v>
      </c>
      <c r="E16317" s="22" t="s">
        <v>898</v>
      </c>
      <c r="F16317" s="23" t="str">
        <f>HYPERLINK("https://www.spark-marketing.ru/Card/Lot/71474025", "Оказание услуг по установке системы видеонаблюдения")</f>
        <v>Оказание услуг по установке системы видеонаблюдения</v>
      </c>
      <c r="G16317" s="22" t="s">
        <v>97</v>
      </c>
      <c r="H16317" s="22" t="s">
        <v>363</v>
      </c>
      <c r="I16317" s="26">
        <v>43634.666666666701</v>
      </c>
      <c r="J16317" s="28" t="s">
        <v>51</v>
      </c>
      <c r="K16317" s="28" t="s">
        <v>51</v>
      </c>
      <c r="L16317" s="28" t="s">
        <v>51</v>
      </c>
      <c r="M16317" s="28" t="s">
        <v>51</v>
      </c>
      <c r="N16317" s="28" t="s">
        <v>51</v>
      </c>
    </row>
    <row r="16318" spans="1:14" hidden="1" outlineLevel="1" x14ac:dyDescent="0.2">
      <c r="A16318" s="23" t="str">
        <f>HYPERLINK("https://www.spark-marketing.ru/Card/Person/19117", "БУ ""НЕФТЕЮГАНСКАЯ ОКРУЖНАЯ КЛИНИЧЕСКАЯ БОЛЬНИЦА ИМЕНИ В.И.ЯЦКИВ""")</f>
        <v>БУ "НЕФТЕЮГАНСКАЯ ОКРУЖНАЯ КЛИНИЧЕСКАЯ БОЛЬНИЦА ИМЕНИ В.И.ЯЦКИВ"</v>
      </c>
      <c r="B16318" s="24" t="s">
        <v>15188</v>
      </c>
      <c r="C16318" s="25">
        <v>1095332.75</v>
      </c>
      <c r="D16318" s="22" t="s">
        <v>21377</v>
      </c>
      <c r="E16318" s="22" t="s">
        <v>898</v>
      </c>
      <c r="F16318" s="23" t="str">
        <f>HYPERLINK("https://www.spark-marketing.ru/Card/Lot/71474025", "Оказание услуг по установке системы видеонаблюдения")</f>
        <v>Оказание услуг по установке системы видеонаблюдения</v>
      </c>
      <c r="G16318" s="22" t="s">
        <v>97</v>
      </c>
      <c r="H16318" s="22" t="s">
        <v>363</v>
      </c>
      <c r="I16318" s="26">
        <v>43634.666666666701</v>
      </c>
      <c r="J16318" s="23" t="str">
        <f>HYPERLINK("https://www.spark-marketing.ru/Card/Person/117624", "ООО ""ОСТМАСТЕР""")</f>
        <v>ООО "ОСТМАСТЕР"</v>
      </c>
      <c r="K16318" s="24" t="s">
        <v>21378</v>
      </c>
      <c r="L16318" s="28" t="s">
        <v>51</v>
      </c>
      <c r="M16318" s="25">
        <v>635293.23</v>
      </c>
      <c r="N16318" s="27">
        <v>0.41999978545332456</v>
      </c>
    </row>
    <row r="16319" spans="1:14" ht="12.75" hidden="1" outlineLevel="1" x14ac:dyDescent="0.2">
      <c r="A16319" s="23" t="str">
        <f>HYPERLINK("https://www.spark-marketing.ru/Card/Person/19117", "БУ ""НЕФТЕЮГАНСКАЯ ОКРУЖНАЯ КЛИНИЧЕСКАЯ БОЛЬНИЦА ИМЕНИ В.И.ЯЦКИВ""")</f>
        <v>БУ "НЕФТЕЮГАНСКАЯ ОКРУЖНАЯ КЛИНИЧЕСКАЯ БОЛЬНИЦА ИМЕНИ В.И.ЯЦКИВ"</v>
      </c>
      <c r="B16319" s="24" t="s">
        <v>15188</v>
      </c>
      <c r="C16319" s="25">
        <v>1095332.75</v>
      </c>
      <c r="D16319" s="22" t="s">
        <v>21377</v>
      </c>
      <c r="E16319" s="22" t="s">
        <v>898</v>
      </c>
      <c r="F16319" s="23" t="str">
        <f>HYPERLINK("https://www.spark-marketing.ru/Card/Lot/71474025", "Оказание услуг по установке системы видеонаблюдения")</f>
        <v>Оказание услуг по установке системы видеонаблюдения</v>
      </c>
      <c r="G16319" s="22" t="s">
        <v>97</v>
      </c>
      <c r="H16319" s="22" t="s">
        <v>363</v>
      </c>
      <c r="I16319" s="26">
        <v>43634.666666666701</v>
      </c>
      <c r="J16319" s="23" t="str">
        <f>HYPERLINK("https://www.spark-marketing.ru/Card/Person/5853123", "Ершов Андрей Алексеевич")</f>
        <v>Ершов Андрей Алексеевич</v>
      </c>
      <c r="K16319" s="24" t="s">
        <v>21379</v>
      </c>
      <c r="L16319" s="22" t="s">
        <v>10</v>
      </c>
      <c r="M16319" s="25">
        <v>629816.56999999995</v>
      </c>
      <c r="N16319" s="27">
        <v>0.4249997820297074</v>
      </c>
    </row>
    <row r="16320" spans="1:14" x14ac:dyDescent="0.15">
      <c r="A16320" s="23" t="str">
        <f>HYPERLINK("https://www.spark-marketing.ru/Card/Person/28341", "ГБУЗ ПК ""ОРДИНСКАЯ ЦРБ""")</f>
        <v>ГБУЗ ПК "ОРДИНСКАЯ ЦРБ"</v>
      </c>
      <c r="B16320" s="24" t="s">
        <v>21380</v>
      </c>
      <c r="C16320" s="25">
        <v>944232.88</v>
      </c>
      <c r="D16320" s="22" t="s">
        <v>21381</v>
      </c>
      <c r="E16320" s="22" t="s">
        <v>96</v>
      </c>
      <c r="F16320" s="23" t="str">
        <f>HYPERLINK("https://www.spark-marketing.ru/Card/Lot/71473941", "Оказание услуг по организации диетического лечебного питания пациентов ГБУЗ ПК Ординская ЦРБ")</f>
        <v>Оказание услуг по организации диетического лечебного питания пациентов ГБУЗ ПК Ординская ЦРБ</v>
      </c>
      <c r="G16320" s="22" t="s">
        <v>153</v>
      </c>
      <c r="H16320" s="22" t="s">
        <v>153</v>
      </c>
      <c r="I16320" s="26">
        <v>43634.706250000003</v>
      </c>
      <c r="J16320" s="23" t="str">
        <f>HYPERLINK("https://www.spark-marketing.ru/Card/Person/2246530", "ОПО ОРДИНСКОГО РАЙОНА")</f>
        <v>ОПО ОРДИНСКОГО РАЙОНА</v>
      </c>
      <c r="K16320" s="24" t="s">
        <v>21382</v>
      </c>
      <c r="L16320" s="22" t="s">
        <v>10</v>
      </c>
      <c r="M16320" s="28" t="s">
        <v>51</v>
      </c>
      <c r="N16320" s="28" t="s">
        <v>51</v>
      </c>
    </row>
    <row r="16321" spans="1:14" x14ac:dyDescent="0.15">
      <c r="A16321" s="23" t="str">
        <f>HYPERLINK("https://www.spark-marketing.ru/Card/Person/6645", "КГБУЗ ""ОНКОЛОГИЧЕСКИЙ ДИСПАНСЕР, Г. БИЙСК""")</f>
        <v>КГБУЗ "ОНКОЛОГИЧЕСКИЙ ДИСПАНСЕР, Г. БИЙСК"</v>
      </c>
      <c r="B16321" s="24" t="s">
        <v>21383</v>
      </c>
      <c r="C16321" s="25">
        <v>5599000</v>
      </c>
      <c r="D16321" s="22" t="s">
        <v>21384</v>
      </c>
      <c r="E16321" s="22" t="s">
        <v>21385</v>
      </c>
      <c r="F16321" s="23" t="str">
        <f>HYPERLINK("https://www.spark-marketing.ru/Card/Lot/71454665", "Оказание услуг по техническому обслуживанию медицинских изделий")</f>
        <v>Оказание услуг по техническому обслуживанию медицинских изделий</v>
      </c>
      <c r="G16321" s="22" t="s">
        <v>63</v>
      </c>
      <c r="H16321" s="22" t="s">
        <v>1294</v>
      </c>
      <c r="I16321" s="26">
        <v>43634.690972222197</v>
      </c>
      <c r="J16321" s="28" t="s">
        <v>51</v>
      </c>
      <c r="K16321" s="28" t="s">
        <v>51</v>
      </c>
      <c r="L16321" s="28" t="s">
        <v>51</v>
      </c>
      <c r="M16321" s="28" t="s">
        <v>51</v>
      </c>
      <c r="N16321" s="28" t="s">
        <v>51</v>
      </c>
    </row>
    <row r="16322" spans="1:14" hidden="1" outlineLevel="1" x14ac:dyDescent="0.2">
      <c r="A16322" s="23" t="str">
        <f>HYPERLINK("https://www.spark-marketing.ru/Card/Person/6645", "КГБУЗ ""ОНКОЛОГИЧЕСКИЙ ДИСПАНСЕР, Г. БИЙСК""")</f>
        <v>КГБУЗ "ОНКОЛОГИЧЕСКИЙ ДИСПАНСЕР, Г. БИЙСК"</v>
      </c>
      <c r="B16322" s="24" t="s">
        <v>21383</v>
      </c>
      <c r="C16322" s="25">
        <v>5599000</v>
      </c>
      <c r="D16322" s="22" t="s">
        <v>21384</v>
      </c>
      <c r="E16322" s="22" t="s">
        <v>21385</v>
      </c>
      <c r="F16322" s="23" t="str">
        <f>HYPERLINK("https://www.spark-marketing.ru/Card/Lot/71454665", "Оказание услуг по техническому обслуживанию медицинских изделий")</f>
        <v>Оказание услуг по техническому обслуживанию медицинских изделий</v>
      </c>
      <c r="G16322" s="22" t="s">
        <v>63</v>
      </c>
      <c r="H16322" s="22" t="s">
        <v>1294</v>
      </c>
      <c r="I16322" s="26">
        <v>43634.690972222197</v>
      </c>
      <c r="J16322" s="23" t="str">
        <f>HYPERLINK("https://www.spark-marketing.ru/Card/Person/65875", "ООО ""СИБМЕР""")</f>
        <v>ООО "СИБМЕР"</v>
      </c>
      <c r="K16322" s="24" t="s">
        <v>21386</v>
      </c>
      <c r="L16322" s="28" t="s">
        <v>51</v>
      </c>
      <c r="M16322" s="25">
        <v>5571004</v>
      </c>
      <c r="N16322" s="27">
        <v>5.0001786033220218E-3</v>
      </c>
    </row>
    <row r="16323" spans="1:14" hidden="1" outlineLevel="1" x14ac:dyDescent="0.2">
      <c r="A16323" s="23" t="str">
        <f>HYPERLINK("https://www.spark-marketing.ru/Card/Person/6645", "КГБУЗ ""ОНКОЛОГИЧЕСКИЙ ДИСПАНСЕР, Г. БИЙСК""")</f>
        <v>КГБУЗ "ОНКОЛОГИЧЕСКИЙ ДИСПАНСЕР, Г. БИЙСК"</v>
      </c>
      <c r="B16323" s="24" t="s">
        <v>21383</v>
      </c>
      <c r="C16323" s="25">
        <v>5599000</v>
      </c>
      <c r="D16323" s="22" t="s">
        <v>21384</v>
      </c>
      <c r="E16323" s="22" t="s">
        <v>21385</v>
      </c>
      <c r="F16323" s="23" t="str">
        <f>HYPERLINK("https://www.spark-marketing.ru/Card/Lot/71454665", "Оказание услуг по техническому обслуживанию медицинских изделий")</f>
        <v>Оказание услуг по техническому обслуживанию медицинских изделий</v>
      </c>
      <c r="G16323" s="22" t="s">
        <v>63</v>
      </c>
      <c r="H16323" s="22" t="s">
        <v>1294</v>
      </c>
      <c r="I16323" s="26">
        <v>43634.690972222197</v>
      </c>
      <c r="J16323" s="23" t="str">
        <f>HYPERLINK("https://www.spark-marketing.ru/Card/Person/308339", "ООО ""АТОМСЕРВИС""")</f>
        <v>ООО "АТОМСЕРВИС"</v>
      </c>
      <c r="K16323" s="24" t="s">
        <v>21387</v>
      </c>
      <c r="L16323" s="28" t="s">
        <v>51</v>
      </c>
      <c r="M16323" s="25">
        <v>5571005</v>
      </c>
      <c r="N16323" s="27">
        <v>5.0000000000000001E-3</v>
      </c>
    </row>
    <row r="16324" spans="1:14" ht="12.75" hidden="1" outlineLevel="1" x14ac:dyDescent="0.2">
      <c r="A16324" s="23" t="str">
        <f>HYPERLINK("https://www.spark-marketing.ru/Card/Person/6645", "КГБУЗ ""ОНКОЛОГИЧЕСКИЙ ДИСПАНСЕР, Г. БИЙСК""")</f>
        <v>КГБУЗ "ОНКОЛОГИЧЕСКИЙ ДИСПАНСЕР, Г. БИЙСК"</v>
      </c>
      <c r="B16324" s="24" t="s">
        <v>21383</v>
      </c>
      <c r="C16324" s="25">
        <v>5599000</v>
      </c>
      <c r="D16324" s="22" t="s">
        <v>21384</v>
      </c>
      <c r="E16324" s="22" t="s">
        <v>21385</v>
      </c>
      <c r="F16324" s="23" t="str">
        <f>HYPERLINK("https://www.spark-marketing.ru/Card/Lot/71454665", "Оказание услуг по техническому обслуживанию медицинских изделий")</f>
        <v>Оказание услуг по техническому обслуживанию медицинских изделий</v>
      </c>
      <c r="G16324" s="22" t="s">
        <v>63</v>
      </c>
      <c r="H16324" s="22" t="s">
        <v>1294</v>
      </c>
      <c r="I16324" s="26">
        <v>43634.690972222197</v>
      </c>
      <c r="J16324" s="23" t="str">
        <f>HYPERLINK("https://www.spark-marketing.ru/Card/Person/770715", "ООО ""РАДИАЦИОННАЯ ТЕХНИКА""")</f>
        <v>ООО "РАДИАЦИОННАЯ ТЕХНИКА"</v>
      </c>
      <c r="K16324" s="24" t="s">
        <v>21388</v>
      </c>
      <c r="L16324" s="22" t="s">
        <v>10</v>
      </c>
      <c r="M16324" s="25">
        <v>5543010</v>
      </c>
      <c r="N16324" s="27">
        <v>0.01</v>
      </c>
    </row>
    <row r="16325" spans="1:14" x14ac:dyDescent="0.15">
      <c r="A16325" s="23" t="str">
        <f>HYPERLINK("https://www.spark-marketing.ru/Card/Person/744", "МИНЗДРАВ ОРЕНБУРГСКОЙ ОБЛАСТИ")</f>
        <v>МИНЗДРАВ ОРЕНБУРГСКОЙ ОБЛАСТИ</v>
      </c>
      <c r="B16325" s="24" t="s">
        <v>15851</v>
      </c>
      <c r="C16325" s="25">
        <v>750000</v>
      </c>
      <c r="D16325" s="22" t="s">
        <v>21389</v>
      </c>
      <c r="E16325" s="22" t="s">
        <v>336</v>
      </c>
      <c r="F16325" s="23" t="str">
        <f>HYPERLINK("https://www.spark-marketing.ru/Card/Lot/71473331", "На поставку специализированного лечебного питания без фенилаланина для обеспечения льготных категорий граждан больных фенилкетонурией")</f>
        <v>На поставку специализированного лечебного питания без фенилаланина для обеспечения льготных категорий граждан больных фенилкетонурией</v>
      </c>
      <c r="G16325" s="22" t="s">
        <v>132</v>
      </c>
      <c r="H16325" s="22" t="s">
        <v>587</v>
      </c>
      <c r="I16325" s="26">
        <v>43634.6875</v>
      </c>
      <c r="J16325" s="23" t="str">
        <f>HYPERLINK("https://www.spark-marketing.ru/Card/Person/50139", "ООО ""САЙЛЕНТ 2000""")</f>
        <v>ООО "САЙЛЕНТ 2000"</v>
      </c>
      <c r="K16325" s="24" t="s">
        <v>21390</v>
      </c>
      <c r="L16325" s="22" t="s">
        <v>10</v>
      </c>
      <c r="M16325" s="28" t="s">
        <v>51</v>
      </c>
      <c r="N16325" s="28" t="s">
        <v>51</v>
      </c>
    </row>
    <row r="16326" spans="1:14" x14ac:dyDescent="0.15">
      <c r="A16326" s="23" t="str">
        <f>HYPERLINK("https://www.spark-marketing.ru/Card/Person/1052508", "ОГБПОУ ""КОЛЛЕДЖ ИНДУСТРИИ ПИТАНИЯ, ТОРГОВЛИ И СФЕРЫ УСЛУГ"", ОГБПОУ ""КИПТСУ""")</f>
        <v>ОГБПОУ "КОЛЛЕДЖ ИНДУСТРИИ ПИТАНИЯ, ТОРГОВЛИ И СФЕРЫ УСЛУГ", ОГБПОУ "КИПТСУ"</v>
      </c>
      <c r="B16326" s="24" t="s">
        <v>19387</v>
      </c>
      <c r="C16326" s="25">
        <v>567583.32999999996</v>
      </c>
      <c r="D16326" s="22" t="s">
        <v>21391</v>
      </c>
      <c r="E16326" s="22" t="s">
        <v>51</v>
      </c>
      <c r="F16326" s="23" t="str">
        <f>HYPERLINK("https://www.spark-marketing.ru/Card/Lot/71473084", "Поставка оборудования для лаборатории технологии моды ОГБПОУ «Колледж индустрии питания, торговли и сферы услуг»")</f>
        <v>Поставка оборудования для лаборатории технологии моды ОГБПОУ «Колледж индустрии питания, торговли и сферы услуг»</v>
      </c>
      <c r="G16326" s="22" t="s">
        <v>149</v>
      </c>
      <c r="H16326" s="22" t="s">
        <v>496</v>
      </c>
      <c r="I16326" s="26">
        <v>43634.704166666699</v>
      </c>
      <c r="J16326" s="28" t="s">
        <v>51</v>
      </c>
      <c r="K16326" s="28" t="s">
        <v>51</v>
      </c>
      <c r="L16326" s="28" t="s">
        <v>51</v>
      </c>
      <c r="M16326" s="28" t="s">
        <v>51</v>
      </c>
      <c r="N16326" s="28" t="s">
        <v>51</v>
      </c>
    </row>
    <row r="16327" spans="1:14" hidden="1" outlineLevel="1" x14ac:dyDescent="0.2">
      <c r="A16327" s="23" t="str">
        <f>HYPERLINK("https://www.spark-marketing.ru/Card/Person/1052508", "ОГБПОУ ""КОЛЛЕДЖ ИНДУСТРИИ ПИТАНИЯ, ТОРГОВЛИ И СФЕРЫ УСЛУГ"", ОГБПОУ ""КИПТСУ""")</f>
        <v>ОГБПОУ "КОЛЛЕДЖ ИНДУСТРИИ ПИТАНИЯ, ТОРГОВЛИ И СФЕРЫ УСЛУГ", ОГБПОУ "КИПТСУ"</v>
      </c>
      <c r="B16327" s="24" t="s">
        <v>19387</v>
      </c>
      <c r="C16327" s="25">
        <v>567583.32999999996</v>
      </c>
      <c r="D16327" s="22" t="s">
        <v>21391</v>
      </c>
      <c r="E16327" s="22" t="s">
        <v>51</v>
      </c>
      <c r="F16327" s="23" t="str">
        <f>HYPERLINK("https://www.spark-marketing.ru/Card/Lot/71473084", "Поставка оборудования для лаборатории технологии моды ОГБПОУ «Колледж индустрии питания, торговли и сферы услуг»")</f>
        <v>Поставка оборудования для лаборатории технологии моды ОГБПОУ «Колледж индустрии питания, торговли и сферы услуг»</v>
      </c>
      <c r="G16327" s="22" t="s">
        <v>149</v>
      </c>
      <c r="H16327" s="22" t="s">
        <v>496</v>
      </c>
      <c r="I16327" s="26">
        <v>43634.704166666699</v>
      </c>
      <c r="J16327" s="23" t="str">
        <f>HYPERLINK("https://www.spark-marketing.ru/Card/Person/228932", "ООО ""ТРАНСМЕТАЛЛ""")</f>
        <v>ООО "ТРАНСМЕТАЛЛ"</v>
      </c>
      <c r="K16327" s="24" t="s">
        <v>21392</v>
      </c>
      <c r="L16327" s="28" t="s">
        <v>51</v>
      </c>
      <c r="M16327" s="25">
        <v>400000</v>
      </c>
      <c r="N16327" s="27">
        <v>0.29525766727504138</v>
      </c>
    </row>
    <row r="16328" spans="1:14" ht="12.75" hidden="1" outlineLevel="1" x14ac:dyDescent="0.2">
      <c r="A16328" s="23" t="str">
        <f>HYPERLINK("https://www.spark-marketing.ru/Card/Person/1052508", "ОГБПОУ ""КОЛЛЕДЖ ИНДУСТРИИ ПИТАНИЯ, ТОРГОВЛИ И СФЕРЫ УСЛУГ"", ОГБПОУ ""КИПТСУ""")</f>
        <v>ОГБПОУ "КОЛЛЕДЖ ИНДУСТРИИ ПИТАНИЯ, ТОРГОВЛИ И СФЕРЫ УСЛУГ", ОГБПОУ "КИПТСУ"</v>
      </c>
      <c r="B16328" s="24" t="s">
        <v>19387</v>
      </c>
      <c r="C16328" s="25">
        <v>567583.32999999996</v>
      </c>
      <c r="D16328" s="22" t="s">
        <v>21391</v>
      </c>
      <c r="E16328" s="22" t="s">
        <v>51</v>
      </c>
      <c r="F16328" s="23" t="str">
        <f>HYPERLINK("https://www.spark-marketing.ru/Card/Lot/71473084", "Поставка оборудования для лаборатории технологии моды ОГБПОУ «Колледж индустрии питания, торговли и сферы услуг»")</f>
        <v>Поставка оборудования для лаборатории технологии моды ОГБПОУ «Колледж индустрии питания, торговли и сферы услуг»</v>
      </c>
      <c r="G16328" s="22" t="s">
        <v>149</v>
      </c>
      <c r="H16328" s="22" t="s">
        <v>496</v>
      </c>
      <c r="I16328" s="26">
        <v>43634.704166666699</v>
      </c>
      <c r="J16328" s="23" t="str">
        <f>HYPERLINK("https://www.spark-marketing.ru/Card/Person/289058", "ООО ""СФЕРА""")</f>
        <v>ООО "СФЕРА"</v>
      </c>
      <c r="K16328" s="24" t="s">
        <v>21393</v>
      </c>
      <c r="L16328" s="22" t="s">
        <v>10</v>
      </c>
      <c r="M16328" s="25">
        <v>371620.8</v>
      </c>
      <c r="N16328" s="27">
        <v>0.34525772629721174</v>
      </c>
    </row>
    <row r="16329" spans="1:14" hidden="1" outlineLevel="1" x14ac:dyDescent="0.2">
      <c r="A16329" s="23" t="str">
        <f>HYPERLINK("https://www.spark-marketing.ru/Card/Person/1052508", "ОГБПОУ ""КОЛЛЕДЖ ИНДУСТРИИ ПИТАНИЯ, ТОРГОВЛИ И СФЕРЫ УСЛУГ"", ОГБПОУ ""КИПТСУ""")</f>
        <v>ОГБПОУ "КОЛЛЕДЖ ИНДУСТРИИ ПИТАНИЯ, ТОРГОВЛИ И СФЕРЫ УСЛУГ", ОГБПОУ "КИПТСУ"</v>
      </c>
      <c r="B16329" s="24" t="s">
        <v>19387</v>
      </c>
      <c r="C16329" s="25">
        <v>567583.32999999996</v>
      </c>
      <c r="D16329" s="22" t="s">
        <v>21391</v>
      </c>
      <c r="E16329" s="22" t="s">
        <v>51</v>
      </c>
      <c r="F16329" s="23" t="str">
        <f>HYPERLINK("https://www.spark-marketing.ru/Card/Lot/71473084", "Поставка оборудования для лаборатории технологии моды ОГБПОУ «Колледж индустрии питания, торговли и сферы услуг»")</f>
        <v>Поставка оборудования для лаборатории технологии моды ОГБПОУ «Колледж индустрии питания, торговли и сферы услуг»</v>
      </c>
      <c r="G16329" s="22" t="s">
        <v>149</v>
      </c>
      <c r="H16329" s="22" t="s">
        <v>496</v>
      </c>
      <c r="I16329" s="26">
        <v>43634.704166666699</v>
      </c>
      <c r="J16329" s="23" t="str">
        <f>HYPERLINK("https://www.spark-marketing.ru/Card/Person/328681", "ООО ""КВАРТА""")</f>
        <v>ООО "КВАРТА"</v>
      </c>
      <c r="K16329" s="24" t="s">
        <v>21394</v>
      </c>
      <c r="L16329" s="28" t="s">
        <v>51</v>
      </c>
      <c r="M16329" s="25">
        <v>374458.72</v>
      </c>
      <c r="N16329" s="27">
        <v>0.34025772039499469</v>
      </c>
    </row>
    <row r="16330" spans="1:14" x14ac:dyDescent="0.15">
      <c r="A16330" s="23" t="str">
        <f>HYPERLINK("https://www.spark-marketing.ru/Card/Person/1084088", "МАОУ СОШ №18 ИМЕНИ 30-ЛЕТИЯ ПОБЕДЫ")</f>
        <v>МАОУ СОШ №18 ИМЕНИ 30-ЛЕТИЯ ПОБЕДЫ</v>
      </c>
      <c r="B16330" s="24" t="s">
        <v>1220</v>
      </c>
      <c r="C16330" s="25">
        <v>364022.4</v>
      </c>
      <c r="D16330" s="22" t="s">
        <v>21395</v>
      </c>
      <c r="E16330" s="22" t="s">
        <v>362</v>
      </c>
      <c r="F16330" s="23" t="str">
        <f>HYPERLINK("https://www.spark-marketing.ru/Card/Lot/71459463", "Оказание услуг по обеспечению питанием в профильном лагере с дневным пребыванием")</f>
        <v>Оказание услуг по обеспечению питанием в профильном лагере с дневным пребыванием</v>
      </c>
      <c r="G16330" s="22" t="s">
        <v>104</v>
      </c>
      <c r="H16330" s="22" t="s">
        <v>104</v>
      </c>
      <c r="I16330" s="26">
        <v>43634.6883101852</v>
      </c>
      <c r="J16330" s="28" t="s">
        <v>51</v>
      </c>
      <c r="K16330" s="28" t="s">
        <v>51</v>
      </c>
      <c r="L16330" s="28" t="s">
        <v>51</v>
      </c>
      <c r="M16330" s="28" t="s">
        <v>51</v>
      </c>
      <c r="N16330" s="28" t="s">
        <v>51</v>
      </c>
    </row>
    <row r="16331" spans="1:14" x14ac:dyDescent="0.15">
      <c r="A16331" s="23" t="str">
        <f>HYPERLINK("https://www.spark-marketing.ru/Card/Person/68393", "ГУ-РО ФОНДА СОЦИАЛЬНОГО СТРАХОВАНИЯ РОССИЙСКОЙ ФЕДЕРАЦИИ ПО ЕВРЕЙСКОЙ АО")</f>
        <v>ГУ-РО ФОНДА СОЦИАЛЬНОГО СТРАХОВАНИЯ РОССИЙСКОЙ ФЕДЕРАЦИИ ПО ЕВРЕЙСКОЙ АО</v>
      </c>
      <c r="B16331" s="24" t="s">
        <v>15943</v>
      </c>
      <c r="C16331" s="25">
        <v>188652.24</v>
      </c>
      <c r="D16331" s="22" t="s">
        <v>21396</v>
      </c>
      <c r="E16331" s="22" t="s">
        <v>86</v>
      </c>
      <c r="F16331" s="23" t="str">
        <f>HYPERLINK("https://www.spark-marketing.ru/Card/Lot/71469677", "Оказание услуг в 2019 году по организации санаторно-курортного лечения граждан-получателей государственной социальной помощи (кроме детей-инвалидов) по Классу IV МКБ-10 ""Болезни эндокринной системы,расстройства питания и нарушения обмена веществ"" в...")</f>
        <v>Оказание услуг в 2019 году по организации санаторно-курортного лечения граждан-получателей государственной социальной помощи (кроме детей-инвалидов) по Классу IV МКБ-10 "Болезни эндокринной системы,расстройства питания и нарушения обмена веществ" в...</v>
      </c>
      <c r="G16331" s="22" t="s">
        <v>4451</v>
      </c>
      <c r="H16331" s="22" t="s">
        <v>4452</v>
      </c>
      <c r="I16331" s="26">
        <v>43634.668749999997</v>
      </c>
      <c r="J16331" s="23" t="str">
        <f>HYPERLINK("https://www.spark-marketing.ru/Card/Person/162675", "ООО ""САНАТОРИЙ ""ИЗУМРУДНЫЙ""")</f>
        <v>ООО "САНАТОРИЙ "ИЗУМРУДНЫЙ"</v>
      </c>
      <c r="K16331" s="24" t="s">
        <v>15945</v>
      </c>
      <c r="L16331" s="22" t="s">
        <v>10</v>
      </c>
      <c r="M16331" s="28" t="s">
        <v>51</v>
      </c>
      <c r="N16331" s="28" t="s">
        <v>51</v>
      </c>
    </row>
    <row r="16332" spans="1:14" x14ac:dyDescent="0.15">
      <c r="A16332" s="23" t="str">
        <f>HYPERLINK("https://www.spark-marketing.ru/Card/Person/10421", "СПБ ГБУ СШОР ""ШВСМ ПО ВВС""")</f>
        <v>СПБ ГБУ СШОР "ШВСМ ПО ВВС"</v>
      </c>
      <c r="B16332" s="24" t="s">
        <v>379</v>
      </c>
      <c r="C16332" s="25">
        <v>857400</v>
      </c>
      <c r="D16332" s="22" t="s">
        <v>21397</v>
      </c>
      <c r="E16332" s="22" t="s">
        <v>381</v>
      </c>
      <c r="F16332" s="23" t="str">
        <f>HYPERLINK("https://www.spark-marketing.ru/Card/Lot/71474442", "Оказание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предоставле...")</f>
        <v>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</v>
      </c>
      <c r="G16332" s="22" t="s">
        <v>117</v>
      </c>
      <c r="H16332" s="22" t="s">
        <v>117</v>
      </c>
      <c r="I16332" s="26">
        <v>43634.7006944444</v>
      </c>
      <c r="J16332" s="28" t="s">
        <v>51</v>
      </c>
      <c r="K16332" s="28" t="s">
        <v>51</v>
      </c>
      <c r="L16332" s="28" t="s">
        <v>51</v>
      </c>
      <c r="M16332" s="28" t="s">
        <v>51</v>
      </c>
      <c r="N16332" s="28" t="s">
        <v>51</v>
      </c>
    </row>
    <row r="16333" spans="1:14" hidden="1" outlineLevel="1" x14ac:dyDescent="0.2">
      <c r="A16333" s="23" t="str">
        <f>HYPERLINK("https://www.spark-marketing.ru/Card/Person/10421", "СПБ ГБУ СШОР ""ШВСМ ПО ВВС""")</f>
        <v>СПБ ГБУ СШОР "ШВСМ ПО ВВС"</v>
      </c>
      <c r="B16333" s="24" t="s">
        <v>379</v>
      </c>
      <c r="C16333" s="25">
        <v>857400</v>
      </c>
      <c r="D16333" s="22" t="s">
        <v>21397</v>
      </c>
      <c r="E16333" s="22" t="s">
        <v>381</v>
      </c>
      <c r="F16333" s="23" t="str">
        <f>HYPERLINK("https://www.spark-marketing.ru/Card/Lot/71474442", "Оказание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предоставле...")</f>
        <v>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</v>
      </c>
      <c r="G16333" s="22" t="s">
        <v>117</v>
      </c>
      <c r="H16333" s="22" t="s">
        <v>117</v>
      </c>
      <c r="I16333" s="26">
        <v>43634.7006944444</v>
      </c>
      <c r="J16333" s="23" t="str">
        <f>HYPERLINK("https://www.spark-marketing.ru/Card/Person/6574101", "ООО ""СПОРТИВНОЕ АГЕНТСТВО ""ЭРА""")</f>
        <v>ООО "СПОРТИВНОЕ АГЕНТСТВО "ЭРА"</v>
      </c>
      <c r="K16333" s="24" t="s">
        <v>4377</v>
      </c>
      <c r="L16333" s="28" t="s">
        <v>51</v>
      </c>
      <c r="M16333" s="25">
        <v>763086</v>
      </c>
      <c r="N16333" s="27">
        <v>0.11</v>
      </c>
    </row>
    <row r="16334" spans="1:14" ht="12.75" hidden="1" outlineLevel="1" x14ac:dyDescent="0.2">
      <c r="A16334" s="23" t="str">
        <f>HYPERLINK("https://www.spark-marketing.ru/Card/Person/10421", "СПБ ГБУ СШОР ""ШВСМ ПО ВВС""")</f>
        <v>СПБ ГБУ СШОР "ШВСМ ПО ВВС"</v>
      </c>
      <c r="B16334" s="24" t="s">
        <v>379</v>
      </c>
      <c r="C16334" s="25">
        <v>857400</v>
      </c>
      <c r="D16334" s="22" t="s">
        <v>21397</v>
      </c>
      <c r="E16334" s="22" t="s">
        <v>381</v>
      </c>
      <c r="F16334" s="23" t="str">
        <f>HYPERLINK("https://www.spark-marketing.ru/Card/Lot/71474442", "Оказание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предоставле...")</f>
        <v>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</v>
      </c>
      <c r="G16334" s="22" t="s">
        <v>117</v>
      </c>
      <c r="H16334" s="22" t="s">
        <v>117</v>
      </c>
      <c r="I16334" s="26">
        <v>43634.7006944444</v>
      </c>
      <c r="J16334" s="23" t="str">
        <f>HYPERLINK("https://www.spark-marketing.ru/Card/Person/5900058", "ООО ""СПОРТ-ЛОГИСТИКА""")</f>
        <v>ООО "СПОРТ-ЛОГИСТИКА"</v>
      </c>
      <c r="K16334" s="24" t="s">
        <v>21398</v>
      </c>
      <c r="L16334" s="22" t="s">
        <v>10</v>
      </c>
      <c r="M16334" s="25">
        <v>758799</v>
      </c>
      <c r="N16334" s="27">
        <v>0.115</v>
      </c>
    </row>
    <row r="16335" spans="1:14" x14ac:dyDescent="0.15">
      <c r="A16335" s="23" t="str">
        <f>HYPERLINK("https://www.spark-marketing.ru/Card/Person/151359", "МБОУ СОШ № 11 ИМ. И.А. БУРМИСТРОВА Г. СТАВРОПОЛЯ")</f>
        <v>МБОУ СОШ № 11 ИМ. И.А. БУРМИСТРОВА Г. СТАВРОПОЛЯ</v>
      </c>
      <c r="B16335" s="24" t="s">
        <v>21399</v>
      </c>
      <c r="C16335" s="25">
        <v>623454</v>
      </c>
      <c r="D16335" s="22" t="s">
        <v>21400</v>
      </c>
      <c r="E16335" s="22" t="s">
        <v>48</v>
      </c>
      <c r="F16335" s="23" t="str">
        <f>HYPERLINK("https://www.spark-marketing.ru/Card/Lot/71473172", "Услуги по организации питания учащихся МБОУ СОШ №11 им. И.А. Бурмистрова г.Ставрополя в сентябре-декабре 2019 года")</f>
        <v>Услуги по организации питания учащихся МБОУ СОШ №11 им. И.А. Бурмистрова г.Ставрополя в сентябре-декабре 2019 года</v>
      </c>
      <c r="G16335" s="22" t="s">
        <v>87</v>
      </c>
      <c r="H16335" s="22" t="s">
        <v>87</v>
      </c>
      <c r="I16335" s="26">
        <v>43634.670138888898</v>
      </c>
      <c r="J16335" s="23" t="str">
        <f>HYPERLINK("https://www.spark-marketing.ru/Card/Person/217327", "Карпачев Валерий Борисович")</f>
        <v>Карпачев Валерий Борисович</v>
      </c>
      <c r="K16335" s="24" t="s">
        <v>19656</v>
      </c>
      <c r="L16335" s="22" t="s">
        <v>10</v>
      </c>
      <c r="M16335" s="28" t="s">
        <v>51</v>
      </c>
      <c r="N16335" s="28" t="s">
        <v>51</v>
      </c>
    </row>
    <row r="16336" spans="1:14" x14ac:dyDescent="0.15">
      <c r="A16336" s="23" t="str">
        <f>HYPERLINK("https://www.spark-marketing.ru/Card/Person/48061", "ГБУЗ НО ""ДЕТСКАЯ ГОРОДСКАЯ БОЛЬНИЦА № 25""")</f>
        <v>ГБУЗ НО "ДЕТСКАЯ ГОРОДСКАЯ БОЛЬНИЦА № 25"</v>
      </c>
      <c r="B16336" s="24" t="s">
        <v>21401</v>
      </c>
      <c r="C16336" s="25">
        <v>356379</v>
      </c>
      <c r="D16336" s="22" t="s">
        <v>21402</v>
      </c>
      <c r="E16336" s="22" t="s">
        <v>1807</v>
      </c>
      <c r="F16336" s="23" t="str">
        <f>HYPERLINK("https://www.spark-marketing.ru/Card/Lot/71472191", "Оказание услуг по изготовлению печатной продукции (бланки разные) для нужд ГБУЗ НО ""Детская городская больница № 25""")</f>
        <v>Оказание услуг по изготовлению печатной продукции (бланки разные) для нужд ГБУЗ НО "Детская городская больница № 25"</v>
      </c>
      <c r="G16336" s="22" t="s">
        <v>76</v>
      </c>
      <c r="H16336" s="22" t="s">
        <v>940</v>
      </c>
      <c r="I16336" s="26">
        <v>43634.671527777798</v>
      </c>
      <c r="J16336" s="28" t="s">
        <v>51</v>
      </c>
      <c r="K16336" s="28" t="s">
        <v>51</v>
      </c>
      <c r="L16336" s="28" t="s">
        <v>51</v>
      </c>
      <c r="M16336" s="28" t="s">
        <v>51</v>
      </c>
      <c r="N16336" s="28" t="s">
        <v>51</v>
      </c>
    </row>
    <row r="16337" spans="1:14" ht="12.75" hidden="1" outlineLevel="1" x14ac:dyDescent="0.2">
      <c r="A16337" s="23" t="str">
        <f>HYPERLINK("https://www.spark-marketing.ru/Card/Person/48061", "ГБУЗ НО ""ДЕТСКАЯ ГОРОДСКАЯ БОЛЬНИЦА № 25""")</f>
        <v>ГБУЗ НО "ДЕТСКАЯ ГОРОДСКАЯ БОЛЬНИЦА № 25"</v>
      </c>
      <c r="B16337" s="24" t="s">
        <v>21401</v>
      </c>
      <c r="C16337" s="25">
        <v>356379</v>
      </c>
      <c r="D16337" s="22" t="s">
        <v>21402</v>
      </c>
      <c r="E16337" s="22" t="s">
        <v>1807</v>
      </c>
      <c r="F16337" s="23" t="str">
        <f>HYPERLINK("https://www.spark-marketing.ru/Card/Lot/71472191", "Оказание услуг по изготовлению печатной продукции (бланки разные) для нужд ГБУЗ НО ""Детская городская больница № 25""")</f>
        <v>Оказание услуг по изготовлению печатной продукции (бланки разные) для нужд ГБУЗ НО "Детская городская больница № 25"</v>
      </c>
      <c r="G16337" s="22" t="s">
        <v>76</v>
      </c>
      <c r="H16337" s="22" t="s">
        <v>940</v>
      </c>
      <c r="I16337" s="26">
        <v>43634.671527777798</v>
      </c>
      <c r="J16337" s="23" t="str">
        <f>HYPERLINK("https://www.spark-marketing.ru/Card/Person/515452", "ООО ""ПОЛИГРАФПРОМ""")</f>
        <v>ООО "ПОЛИГРАФПРОМ"</v>
      </c>
      <c r="K16337" s="24" t="s">
        <v>21403</v>
      </c>
      <c r="L16337" s="22" t="s">
        <v>10</v>
      </c>
      <c r="M16337" s="25">
        <v>269488</v>
      </c>
      <c r="N16337" s="27">
        <v>0.24381627424736024</v>
      </c>
    </row>
    <row r="16338" spans="1:14" hidden="1" outlineLevel="1" x14ac:dyDescent="0.2">
      <c r="A16338" s="23" t="str">
        <f>HYPERLINK("https://www.spark-marketing.ru/Card/Person/48061", "ГБУЗ НО ""ДЕТСКАЯ ГОРОДСКАЯ БОЛЬНИЦА № 25""")</f>
        <v>ГБУЗ НО "ДЕТСКАЯ ГОРОДСКАЯ БОЛЬНИЦА № 25"</v>
      </c>
      <c r="B16338" s="24" t="s">
        <v>21401</v>
      </c>
      <c r="C16338" s="25">
        <v>356379</v>
      </c>
      <c r="D16338" s="22" t="s">
        <v>21402</v>
      </c>
      <c r="E16338" s="22" t="s">
        <v>1807</v>
      </c>
      <c r="F16338" s="23" t="str">
        <f>HYPERLINK("https://www.spark-marketing.ru/Card/Lot/71472191", "Оказание услуг по изготовлению печатной продукции (бланки разные) для нужд ГБУЗ НО ""Детская городская больница № 25""")</f>
        <v>Оказание услуг по изготовлению печатной продукции (бланки разные) для нужд ГБУЗ НО "Детская городская больница № 25"</v>
      </c>
      <c r="G16338" s="22" t="s">
        <v>76</v>
      </c>
      <c r="H16338" s="22" t="s">
        <v>940</v>
      </c>
      <c r="I16338" s="26">
        <v>43634.671527777798</v>
      </c>
      <c r="J16338" s="23" t="str">
        <f>HYPERLINK("https://www.spark-marketing.ru/Card/Person/183917", "ООО ""КАНЦТОВАРЫ""")</f>
        <v>ООО "КАНЦТОВАРЫ"</v>
      </c>
      <c r="K16338" s="24" t="s">
        <v>6208</v>
      </c>
      <c r="L16338" s="28" t="s">
        <v>51</v>
      </c>
      <c r="M16338" s="25">
        <v>300000</v>
      </c>
      <c r="N16338" s="27">
        <v>0.15819955721296711</v>
      </c>
    </row>
    <row r="16339" spans="1:14" hidden="1" outlineLevel="1" x14ac:dyDescent="0.2">
      <c r="A16339" s="23" t="str">
        <f>HYPERLINK("https://www.spark-marketing.ru/Card/Person/48061", "ГБУЗ НО ""ДЕТСКАЯ ГОРОДСКАЯ БОЛЬНИЦА № 25""")</f>
        <v>ГБУЗ НО "ДЕТСКАЯ ГОРОДСКАЯ БОЛЬНИЦА № 25"</v>
      </c>
      <c r="B16339" s="24" t="s">
        <v>21401</v>
      </c>
      <c r="C16339" s="25">
        <v>356379</v>
      </c>
      <c r="D16339" s="22" t="s">
        <v>21402</v>
      </c>
      <c r="E16339" s="22" t="s">
        <v>1807</v>
      </c>
      <c r="F16339" s="23" t="str">
        <f>HYPERLINK("https://www.spark-marketing.ru/Card/Lot/71472191", "Оказание услуг по изготовлению печатной продукции (бланки разные) для нужд ГБУЗ НО ""Детская городская больница № 25""")</f>
        <v>Оказание услуг по изготовлению печатной продукции (бланки разные) для нужд ГБУЗ НО "Детская городская больница № 25"</v>
      </c>
      <c r="G16339" s="22" t="s">
        <v>76</v>
      </c>
      <c r="H16339" s="22" t="s">
        <v>940</v>
      </c>
      <c r="I16339" s="26">
        <v>43634.671527777798</v>
      </c>
      <c r="J16339" s="23" t="str">
        <f>HYPERLINK("https://www.spark-marketing.ru/Card/Person/6421268", "Головатый Александр Николаевич")</f>
        <v>Головатый Александр Николаевич</v>
      </c>
      <c r="K16339" s="24" t="s">
        <v>5206</v>
      </c>
      <c r="L16339" s="28" t="s">
        <v>51</v>
      </c>
      <c r="M16339" s="25">
        <v>356378.99</v>
      </c>
      <c r="N16339" s="27">
        <v>2.8060014759567765E-8</v>
      </c>
    </row>
    <row r="16340" spans="1:14" hidden="1" outlineLevel="1" x14ac:dyDescent="0.2">
      <c r="A16340" s="23" t="str">
        <f>HYPERLINK("https://www.spark-marketing.ru/Card/Person/48061", "ГБУЗ НО ""ДЕТСКАЯ ГОРОДСКАЯ БОЛЬНИЦА № 25""")</f>
        <v>ГБУЗ НО "ДЕТСКАЯ ГОРОДСКАЯ БОЛЬНИЦА № 25"</v>
      </c>
      <c r="B16340" s="24" t="s">
        <v>21401</v>
      </c>
      <c r="C16340" s="25">
        <v>356379</v>
      </c>
      <c r="D16340" s="22" t="s">
        <v>21402</v>
      </c>
      <c r="E16340" s="22" t="s">
        <v>1807</v>
      </c>
      <c r="F16340" s="23" t="str">
        <f>HYPERLINK("https://www.spark-marketing.ru/Card/Lot/71472191", "Оказание услуг по изготовлению печатной продукции (бланки разные) для нужд ГБУЗ НО ""Детская городская больница № 25""")</f>
        <v>Оказание услуг по изготовлению печатной продукции (бланки разные) для нужд ГБУЗ НО "Детская городская больница № 25"</v>
      </c>
      <c r="G16340" s="22" t="s">
        <v>76</v>
      </c>
      <c r="H16340" s="22" t="s">
        <v>940</v>
      </c>
      <c r="I16340" s="26">
        <v>43634.671527777798</v>
      </c>
      <c r="J16340" s="23" t="str">
        <f>HYPERLINK("https://www.spark-marketing.ru/Card/Person/6499135", "Погодин Олег Юрьевич")</f>
        <v>Погодин Олег Юрьевич</v>
      </c>
      <c r="K16340" s="24" t="s">
        <v>21404</v>
      </c>
      <c r="L16340" s="28" t="s">
        <v>51</v>
      </c>
      <c r="M16340" s="25">
        <v>270000</v>
      </c>
      <c r="N16340" s="27">
        <v>0.24237960149167037</v>
      </c>
    </row>
    <row r="16341" spans="1:14" x14ac:dyDescent="0.15">
      <c r="A16341" s="23" t="str">
        <f>HYPERLINK("https://www.spark-marketing.ru/Card/Person/50467", "ГБУЗ МО ""ПДГБ""")</f>
        <v>ГБУЗ МО "ПДГБ"</v>
      </c>
      <c r="B16341" s="24" t="s">
        <v>1001</v>
      </c>
      <c r="C16341" s="25">
        <v>5212697.58</v>
      </c>
      <c r="D16341" s="22" t="s">
        <v>21405</v>
      </c>
      <c r="E16341" s="22" t="s">
        <v>48</v>
      </c>
      <c r="F16341" s="23" t="str">
        <f>HYPERLINK("https://www.spark-marketing.ru/Card/Lot/71476800", "Оказание услуг по организации и доставке лечебного питания для пациентов, находящихся на лечении в стационаре")</f>
        <v>Оказание услуг по организации и доставке лечебного питания для пациентов, находящихся на лечении в стационаре</v>
      </c>
      <c r="G16341" s="22" t="s">
        <v>49</v>
      </c>
      <c r="H16341" s="22" t="s">
        <v>50</v>
      </c>
      <c r="I16341" s="26">
        <v>43634.688946759299</v>
      </c>
      <c r="J16341" s="23" t="str">
        <f>HYPERLINK("https://www.spark-marketing.ru/Card/Person/47262", "МУП ""ПКП И ОРТ""")</f>
        <v>МУП "ПКП И ОРТ"</v>
      </c>
      <c r="K16341" s="24" t="s">
        <v>4140</v>
      </c>
      <c r="L16341" s="22" t="s">
        <v>10</v>
      </c>
      <c r="M16341" s="28" t="s">
        <v>51</v>
      </c>
      <c r="N16341" s="28" t="s">
        <v>51</v>
      </c>
    </row>
    <row r="16342" spans="1:14" x14ac:dyDescent="0.15">
      <c r="A16342" s="23" t="str">
        <f>HYPERLINK("https://www.spark-marketing.ru/Card/Person/19852", "МБОУ СОШ № 34 Г. СТАВРОПОЛЯ")</f>
        <v>МБОУ СОШ № 34 Г. СТАВРОПОЛЯ</v>
      </c>
      <c r="B16342" s="24" t="s">
        <v>21406</v>
      </c>
      <c r="C16342" s="25">
        <v>986010</v>
      </c>
      <c r="D16342" s="22" t="s">
        <v>21407</v>
      </c>
      <c r="E16342" s="22" t="s">
        <v>48</v>
      </c>
      <c r="F16342" s="23" t="str">
        <f>HYPERLINK("https://www.spark-marketing.ru/Card/Lot/71474057", "Услуги по организации питания учащихся МБОУ СОШ № 34 г. Ставрополя в сентябре-декабре 2019 года")</f>
        <v>Услуги по организации питания учащихся МБОУ СОШ № 34 г. Ставрополя в сентябре-декабре 2019 года</v>
      </c>
      <c r="G16342" s="22" t="s">
        <v>87</v>
      </c>
      <c r="H16342" s="22" t="s">
        <v>87</v>
      </c>
      <c r="I16342" s="26">
        <v>43634.6694444444</v>
      </c>
      <c r="J16342" s="23" t="str">
        <f>HYPERLINK("https://www.spark-marketing.ru/Card/Person/217327", "Карпачев Валерий Борисович")</f>
        <v>Карпачев Валерий Борисович</v>
      </c>
      <c r="K16342" s="24" t="s">
        <v>19656</v>
      </c>
      <c r="L16342" s="22" t="s">
        <v>10</v>
      </c>
      <c r="M16342" s="28" t="s">
        <v>51</v>
      </c>
      <c r="N16342" s="28" t="s">
        <v>51</v>
      </c>
    </row>
    <row r="16343" spans="1:14" x14ac:dyDescent="0.15">
      <c r="A16343" s="23" t="str">
        <f>HYPERLINK("https://www.spark-marketing.ru/Card/Person/15553", "УВД ПО ЮЗАО ГУ МВД РОССИИ ПО Г. МОСКВЕ")</f>
        <v>УВД ПО ЮЗАО ГУ МВД РОССИИ ПО Г. МОСКВЕ</v>
      </c>
      <c r="B16343" s="24" t="s">
        <v>21408</v>
      </c>
      <c r="C16343" s="25">
        <v>5921100</v>
      </c>
      <c r="D16343" s="22" t="s">
        <v>21409</v>
      </c>
      <c r="E16343" s="22" t="s">
        <v>96</v>
      </c>
      <c r="F16343" s="23" t="str">
        <f>HYPERLINK("https://www.spark-marketing.ru/Card/Lot/71476476", "Оказание услуг по обеспечению трехразовым питанием лиц, подозреваемых и обвиняемых в совершении преступлений, содержащихся в ИВС УВД по ЮЗАО ГУ МВД России по г. Москве")</f>
        <v>Оказание услуг по обеспечению трехразовым питанием лиц, подозреваемых и обвиняемых в совершении преступлений, содержащихся в ИВС УВД по ЮЗАО ГУ МВД России по г. Москве</v>
      </c>
      <c r="G16343" s="22" t="s">
        <v>56</v>
      </c>
      <c r="H16343" s="22" t="s">
        <v>56</v>
      </c>
      <c r="I16343" s="26">
        <v>43634.693217592598</v>
      </c>
      <c r="J16343" s="28" t="s">
        <v>51</v>
      </c>
      <c r="K16343" s="28" t="s">
        <v>51</v>
      </c>
      <c r="L16343" s="28" t="s">
        <v>51</v>
      </c>
      <c r="M16343" s="28" t="s">
        <v>51</v>
      </c>
      <c r="N16343" s="28" t="s">
        <v>51</v>
      </c>
    </row>
    <row r="16344" spans="1:14" ht="12.75" hidden="1" outlineLevel="1" x14ac:dyDescent="0.2">
      <c r="A16344" s="23" t="str">
        <f>HYPERLINK("https://www.spark-marketing.ru/Card/Person/15553", "УВД ПО ЮЗАО ГУ МВД РОССИИ ПО Г. МОСКВЕ")</f>
        <v>УВД ПО ЮЗАО ГУ МВД РОССИИ ПО Г. МОСКВЕ</v>
      </c>
      <c r="B16344" s="24" t="s">
        <v>21408</v>
      </c>
      <c r="C16344" s="25">
        <v>5921100</v>
      </c>
      <c r="D16344" s="22" t="s">
        <v>21409</v>
      </c>
      <c r="E16344" s="22" t="s">
        <v>96</v>
      </c>
      <c r="F16344" s="23" t="str">
        <f>HYPERLINK("https://www.spark-marketing.ru/Card/Lot/71476476", "Оказание услуг по обеспечению трехразовым питанием лиц, подозреваемых и обвиняемых в совершении преступлений, содержащихся в ИВС УВД по ЮЗАО ГУ МВД России по г. Москве")</f>
        <v>Оказание услуг по обеспечению трехразовым питанием лиц, подозреваемых и обвиняемых в совершении преступлений, содержащихся в ИВС УВД по ЮЗАО ГУ МВД России по г. Москве</v>
      </c>
      <c r="G16344" s="22" t="s">
        <v>56</v>
      </c>
      <c r="H16344" s="22" t="s">
        <v>56</v>
      </c>
      <c r="I16344" s="26">
        <v>43634.693217592598</v>
      </c>
      <c r="J16344" s="23" t="str">
        <f>HYPERLINK("https://www.spark-marketing.ru/Card/Person/6578901", "ООО ""ДОРОГА""")</f>
        <v>ООО "ДОРОГА"</v>
      </c>
      <c r="K16344" s="24" t="s">
        <v>3102</v>
      </c>
      <c r="L16344" s="22" t="s">
        <v>10</v>
      </c>
      <c r="M16344" s="25">
        <v>4123981</v>
      </c>
      <c r="N16344" s="27">
        <v>0.30351100302308692</v>
      </c>
    </row>
    <row r="16345" spans="1:14" hidden="1" outlineLevel="1" x14ac:dyDescent="0.2">
      <c r="A16345" s="23" t="str">
        <f>HYPERLINK("https://www.spark-marketing.ru/Card/Person/15553", "УВД ПО ЮЗАО ГУ МВД РОССИИ ПО Г. МОСКВЕ")</f>
        <v>УВД ПО ЮЗАО ГУ МВД РОССИИ ПО Г. МОСКВЕ</v>
      </c>
      <c r="B16345" s="24" t="s">
        <v>21408</v>
      </c>
      <c r="C16345" s="25">
        <v>5921100</v>
      </c>
      <c r="D16345" s="22" t="s">
        <v>21409</v>
      </c>
      <c r="E16345" s="22" t="s">
        <v>96</v>
      </c>
      <c r="F16345" s="23" t="str">
        <f>HYPERLINK("https://www.spark-marketing.ru/Card/Lot/71476476", "Оказание услуг по обеспечению трехразовым питанием лиц, подозреваемых и обвиняемых в совершении преступлений, содержащихся в ИВС УВД по ЮЗАО ГУ МВД России по г. Москве")</f>
        <v>Оказание услуг по обеспечению трехразовым питанием лиц, подозреваемых и обвиняемых в совершении преступлений, содержащихся в ИВС УВД по ЮЗАО ГУ МВД России по г. Москве</v>
      </c>
      <c r="G16345" s="22" t="s">
        <v>56</v>
      </c>
      <c r="H16345" s="22" t="s">
        <v>56</v>
      </c>
      <c r="I16345" s="26">
        <v>43634.693217592598</v>
      </c>
      <c r="J16345" s="23" t="str">
        <f>HYPERLINK("https://www.spark-marketing.ru/Card/Person/2523959", "ООО ""КРУИЗ-ТУР""")</f>
        <v>ООО "КРУИЗ-ТУР"</v>
      </c>
      <c r="K16345" s="24" t="s">
        <v>13149</v>
      </c>
      <c r="L16345" s="28" t="s">
        <v>51</v>
      </c>
      <c r="M16345" s="25">
        <v>4153586.5</v>
      </c>
      <c r="N16345" s="27">
        <v>0.29851100302308692</v>
      </c>
    </row>
    <row r="16346" spans="1:14" x14ac:dyDescent="0.15">
      <c r="A16346" s="23" t="str">
        <f>HYPERLINK("https://www.spark-marketing.ru/Card/Person/10533", "УПРАВЛЕНИЕ МВД РОССИИ ПО Г. ПЕРМИ")</f>
        <v>УПРАВЛЕНИЕ МВД РОССИИ ПО Г. ПЕРМИ</v>
      </c>
      <c r="B16346" s="24" t="s">
        <v>7358</v>
      </c>
      <c r="C16346" s="25">
        <v>2000000</v>
      </c>
      <c r="D16346" s="22" t="s">
        <v>21410</v>
      </c>
      <c r="E16346" s="22" t="s">
        <v>48</v>
      </c>
      <c r="F16346" s="23" t="str">
        <f>HYPERLINK("https://www.spark-marketing.ru/Card/Lot/71475481", "Оказание услуг по обеспечению горячим питанием иностранных граждан и лиц без гражданства, содержащихся в ЦВСИГ Управления МВД России по г. Перми.")</f>
        <v>Оказание услуг по обеспечению горячим питанием иностранных граждан и лиц без гражданства, содержащихся в ЦВСИГ Управления МВД России по г. Перми.</v>
      </c>
      <c r="G16346" s="22" t="s">
        <v>153</v>
      </c>
      <c r="H16346" s="22" t="s">
        <v>3981</v>
      </c>
      <c r="I16346" s="26">
        <v>43634.658333333296</v>
      </c>
      <c r="J16346" s="23" t="str">
        <f>HYPERLINK("https://www.spark-marketing.ru/Card/Person/64274", "Минрахманова Ирина Вячеславовна")</f>
        <v>Минрахманова Ирина Вячеславовна</v>
      </c>
      <c r="K16346" s="24" t="s">
        <v>16388</v>
      </c>
      <c r="L16346" s="28" t="s">
        <v>51</v>
      </c>
      <c r="M16346" s="28" t="s">
        <v>51</v>
      </c>
      <c r="N16346" s="28" t="s">
        <v>51</v>
      </c>
    </row>
    <row r="16347" spans="1:14" ht="12.75" hidden="1" outlineLevel="1" x14ac:dyDescent="0.2">
      <c r="A16347" s="23" t="str">
        <f>HYPERLINK("https://www.spark-marketing.ru/Card/Person/10533", "УПРАВЛЕНИЕ МВД РОССИИ ПО Г. ПЕРМИ")</f>
        <v>УПРАВЛЕНИЕ МВД РОССИИ ПО Г. ПЕРМИ</v>
      </c>
      <c r="B16347" s="24" t="s">
        <v>7358</v>
      </c>
      <c r="C16347" s="25">
        <v>2000000</v>
      </c>
      <c r="D16347" s="22" t="s">
        <v>21410</v>
      </c>
      <c r="E16347" s="22" t="s">
        <v>48</v>
      </c>
      <c r="F16347" s="23" t="str">
        <f>HYPERLINK("https://www.spark-marketing.ru/Card/Lot/71475481", "Оказание услуг по обеспечению горячим питанием иностранных граждан и лиц без гражданства, содержащихся в ЦВСИГ Управления МВД России по г. Перми.")</f>
        <v>Оказание услуг по обеспечению горячим питанием иностранных граждан и лиц без гражданства, содержащихся в ЦВСИГ Управления МВД России по г. Перми.</v>
      </c>
      <c r="G16347" s="22" t="s">
        <v>153</v>
      </c>
      <c r="H16347" s="22" t="s">
        <v>3981</v>
      </c>
      <c r="I16347" s="26">
        <v>43634.658333333296</v>
      </c>
      <c r="J16347" s="23" t="str">
        <f>HYPERLINK("https://www.spark-marketing.ru/Card/Person/64274", "Минрахманова Ирина Вячеславовна")</f>
        <v>Минрахманова Ирина Вячеславовна</v>
      </c>
      <c r="K16347" s="24" t="s">
        <v>16388</v>
      </c>
      <c r="L16347" s="22" t="s">
        <v>10</v>
      </c>
      <c r="M16347" s="25">
        <v>1658.35</v>
      </c>
      <c r="N16347" s="27">
        <v>0.99917082499999998</v>
      </c>
    </row>
    <row r="16348" spans="1:14" x14ac:dyDescent="0.15">
      <c r="A16348" s="23" t="str">
        <f>HYPERLINK("https://www.spark-marketing.ru/Card/Person/265244", "МО МВД РОССИИ ""ТЫНДИНСКИЙ""")</f>
        <v>МО МВД РОССИИ "ТЫНДИНСКИЙ"</v>
      </c>
      <c r="B16348" s="24" t="s">
        <v>208</v>
      </c>
      <c r="C16348" s="25">
        <v>750000</v>
      </c>
      <c r="D16348" s="22" t="s">
        <v>21411</v>
      </c>
      <c r="E16348" s="22" t="s">
        <v>48</v>
      </c>
      <c r="F16348" s="23" t="str">
        <f>HYPERLINK("https://www.spark-marketing.ru/Card/Lot/71449111", "оказание услуг по организации ежедневного трехразового горячего питания с услугой раздачи пищи лицам, содержащимся в ИВС МО МВД России «Тындинский» и оказание услуг по организации ежедневного трехразового горячего питания в индивидуальной одноразовой...")</f>
        <v>оказание услуг по организации ежедневного трехразового горячего питания с услугой раздачи пищи лицам, содержащимся в ИВС МО МВД России «Тындинский» и оказание услуг по организации ежедневного трехразового горячего питания в индивидуальной одноразовой...</v>
      </c>
      <c r="G16348" s="22" t="s">
        <v>210</v>
      </c>
      <c r="H16348" s="22" t="s">
        <v>211</v>
      </c>
      <c r="I16348" s="26">
        <v>43634.657638888901</v>
      </c>
      <c r="J16348" s="23" t="str">
        <f>HYPERLINK("https://www.spark-marketing.ru/Card/Person/498226", "Виногородская Ольга Петровна")</f>
        <v>Виногородская Ольга Петровна</v>
      </c>
      <c r="K16348" s="24" t="s">
        <v>21412</v>
      </c>
      <c r="L16348" s="22" t="s">
        <v>10</v>
      </c>
      <c r="M16348" s="28" t="s">
        <v>51</v>
      </c>
      <c r="N16348" s="28" t="s">
        <v>51</v>
      </c>
    </row>
    <row r="16349" spans="1:14" x14ac:dyDescent="0.15">
      <c r="A16349" s="23" t="str">
        <f>HYPERLINK("https://www.spark-marketing.ru/Card/Person/147188", "МЕЖМУНИЦИПАЛЬНЫЙ ОТДЕЛ МВД РОССИИ ""БЕЛОВСКИЙ""")</f>
        <v>МЕЖМУНИЦИПАЛЬНЫЙ ОТДЕЛ МВД РОССИИ "БЕЛОВСКИЙ"</v>
      </c>
      <c r="B16349" s="24" t="s">
        <v>9247</v>
      </c>
      <c r="C16349" s="25">
        <v>950000</v>
      </c>
      <c r="D16349" s="22" t="s">
        <v>21413</v>
      </c>
      <c r="E16349" s="22" t="s">
        <v>48</v>
      </c>
      <c r="F16349" s="23" t="str">
        <f>HYPERLINK("https://www.spark-marketing.ru/Card/Lot/71473922", "Питание ИВС и КАЗ")</f>
        <v>Питание ИВС и КАЗ</v>
      </c>
      <c r="G16349" s="22" t="s">
        <v>304</v>
      </c>
      <c r="H16349" s="22" t="s">
        <v>9249</v>
      </c>
      <c r="I16349" s="26">
        <v>43634.639583333301</v>
      </c>
      <c r="J16349" s="23" t="str">
        <f>HYPERLINK("https://www.spark-marketing.ru/Card/Person/153415", "Пригаров Денис Владимирович")</f>
        <v>Пригаров Денис Владимирович</v>
      </c>
      <c r="K16349" s="24" t="s">
        <v>2754</v>
      </c>
      <c r="L16349" s="22" t="s">
        <v>10</v>
      </c>
      <c r="M16349" s="28" t="s">
        <v>51</v>
      </c>
      <c r="N16349" s="28" t="s">
        <v>51</v>
      </c>
    </row>
    <row r="16350" spans="1:14" x14ac:dyDescent="0.15">
      <c r="A16350" s="23" t="str">
        <f>HYPERLINK("https://www.spark-marketing.ru/Card/Person/8204", "ГАУЗ ""МКДЦ""")</f>
        <v>ГАУЗ "МКДЦ"</v>
      </c>
      <c r="B16350" s="24" t="s">
        <v>21414</v>
      </c>
      <c r="C16350" s="25">
        <v>789969</v>
      </c>
      <c r="D16350" s="22" t="s">
        <v>21415</v>
      </c>
      <c r="E16350" s="22" t="s">
        <v>21416</v>
      </c>
      <c r="F16350" s="23" t="str">
        <f>HYPERLINK("https://www.spark-marketing.ru/Card/Lot/71473395", "Поставка рекламной и печатной продукции")</f>
        <v>Поставка рекламной и печатной продукции</v>
      </c>
      <c r="G16350" s="22" t="s">
        <v>217</v>
      </c>
      <c r="H16350" s="22" t="s">
        <v>937</v>
      </c>
      <c r="I16350" s="26">
        <v>43634.641666666699</v>
      </c>
      <c r="J16350" s="28" t="s">
        <v>51</v>
      </c>
      <c r="K16350" s="28" t="s">
        <v>51</v>
      </c>
      <c r="L16350" s="28" t="s">
        <v>51</v>
      </c>
      <c r="M16350" s="28" t="s">
        <v>51</v>
      </c>
      <c r="N16350" s="28" t="s">
        <v>51</v>
      </c>
    </row>
    <row r="16351" spans="1:14" hidden="1" outlineLevel="1" x14ac:dyDescent="0.2">
      <c r="A16351" s="23" t="str">
        <f>HYPERLINK("https://www.spark-marketing.ru/Card/Person/8204", "ГАУЗ ""МКДЦ""")</f>
        <v>ГАУЗ "МКДЦ"</v>
      </c>
      <c r="B16351" s="24" t="s">
        <v>21414</v>
      </c>
      <c r="C16351" s="25">
        <v>789969</v>
      </c>
      <c r="D16351" s="22" t="s">
        <v>21415</v>
      </c>
      <c r="E16351" s="22" t="s">
        <v>21416</v>
      </c>
      <c r="F16351" s="23" t="str">
        <f>HYPERLINK("https://www.spark-marketing.ru/Card/Lot/71473395", "Поставка рекламной и печатной продукции")</f>
        <v>Поставка рекламной и печатной продукции</v>
      </c>
      <c r="G16351" s="22" t="s">
        <v>217</v>
      </c>
      <c r="H16351" s="22" t="s">
        <v>937</v>
      </c>
      <c r="I16351" s="26">
        <v>43634.641666666699</v>
      </c>
      <c r="J16351" s="23" t="str">
        <f>HYPERLINK("https://www.spark-marketing.ru/Card/Person/6501181", "ООО ""МИР""")</f>
        <v>ООО "МИР"</v>
      </c>
      <c r="K16351" s="24" t="s">
        <v>8275</v>
      </c>
      <c r="L16351" s="28" t="s">
        <v>51</v>
      </c>
      <c r="M16351" s="25">
        <v>731671.1</v>
      </c>
      <c r="N16351" s="27">
        <v>7.3797705985931092E-2</v>
      </c>
    </row>
    <row r="16352" spans="1:14" hidden="1" outlineLevel="1" x14ac:dyDescent="0.2">
      <c r="A16352" s="23" t="str">
        <f>HYPERLINK("https://www.spark-marketing.ru/Card/Person/8204", "ГАУЗ ""МКДЦ""")</f>
        <v>ГАУЗ "МКДЦ"</v>
      </c>
      <c r="B16352" s="24" t="s">
        <v>21414</v>
      </c>
      <c r="C16352" s="25">
        <v>789969</v>
      </c>
      <c r="D16352" s="22" t="s">
        <v>21415</v>
      </c>
      <c r="E16352" s="22" t="s">
        <v>21416</v>
      </c>
      <c r="F16352" s="23" t="str">
        <f>HYPERLINK("https://www.spark-marketing.ru/Card/Lot/71473395", "Поставка рекламной и печатной продукции")</f>
        <v>Поставка рекламной и печатной продукции</v>
      </c>
      <c r="G16352" s="22" t="s">
        <v>217</v>
      </c>
      <c r="H16352" s="22" t="s">
        <v>937</v>
      </c>
      <c r="I16352" s="26">
        <v>43634.641666666699</v>
      </c>
      <c r="J16352" s="23" t="str">
        <f>HYPERLINK("https://www.spark-marketing.ru/Card/Person/487707", "ООО ""КОНСТАНТА""")</f>
        <v>ООО "КОНСТАНТА"</v>
      </c>
      <c r="K16352" s="24" t="s">
        <v>21417</v>
      </c>
      <c r="L16352" s="28" t="s">
        <v>51</v>
      </c>
      <c r="M16352" s="25">
        <v>569727.25</v>
      </c>
      <c r="N16352" s="27">
        <v>0.27879796548978503</v>
      </c>
    </row>
    <row r="16353" spans="1:14" hidden="1" outlineLevel="1" x14ac:dyDescent="0.2">
      <c r="A16353" s="23" t="str">
        <f>HYPERLINK("https://www.spark-marketing.ru/Card/Person/8204", "ГАУЗ ""МКДЦ""")</f>
        <v>ГАУЗ "МКДЦ"</v>
      </c>
      <c r="B16353" s="24" t="s">
        <v>21414</v>
      </c>
      <c r="C16353" s="25">
        <v>789969</v>
      </c>
      <c r="D16353" s="22" t="s">
        <v>21415</v>
      </c>
      <c r="E16353" s="22" t="s">
        <v>21416</v>
      </c>
      <c r="F16353" s="23" t="str">
        <f>HYPERLINK("https://www.spark-marketing.ru/Card/Lot/71473395", "Поставка рекламной и печатной продукции")</f>
        <v>Поставка рекламной и печатной продукции</v>
      </c>
      <c r="G16353" s="22" t="s">
        <v>217</v>
      </c>
      <c r="H16353" s="22" t="s">
        <v>937</v>
      </c>
      <c r="I16353" s="26">
        <v>43634.641666666699</v>
      </c>
      <c r="J16353" s="23" t="str">
        <f>HYPERLINK("https://www.spark-marketing.ru/Card/Person/163688", "ООО ""ФОЛИАНТ""")</f>
        <v>ООО "ФОЛИАНТ"</v>
      </c>
      <c r="K16353" s="24" t="s">
        <v>1815</v>
      </c>
      <c r="L16353" s="28" t="s">
        <v>51</v>
      </c>
      <c r="M16353" s="25">
        <v>597376.19999999995</v>
      </c>
      <c r="N16353" s="27">
        <v>0.24379792118424901</v>
      </c>
    </row>
    <row r="16354" spans="1:14" ht="12.75" hidden="1" outlineLevel="1" x14ac:dyDescent="0.2">
      <c r="A16354" s="23" t="str">
        <f>HYPERLINK("https://www.spark-marketing.ru/Card/Person/8204", "ГАУЗ ""МКДЦ""")</f>
        <v>ГАУЗ "МКДЦ"</v>
      </c>
      <c r="B16354" s="24" t="s">
        <v>21414</v>
      </c>
      <c r="C16354" s="25">
        <v>789969</v>
      </c>
      <c r="D16354" s="22" t="s">
        <v>21415</v>
      </c>
      <c r="E16354" s="22" t="s">
        <v>21416</v>
      </c>
      <c r="F16354" s="23" t="str">
        <f>HYPERLINK("https://www.spark-marketing.ru/Card/Lot/71473395", "Поставка рекламной и печатной продукции")</f>
        <v>Поставка рекламной и печатной продукции</v>
      </c>
      <c r="G16354" s="22" t="s">
        <v>217</v>
      </c>
      <c r="H16354" s="22" t="s">
        <v>937</v>
      </c>
      <c r="I16354" s="26">
        <v>43634.641666666699</v>
      </c>
      <c r="J16354" s="23" t="str">
        <f>HYPERLINK("https://www.spark-marketing.ru/Card/Person/2024440", "ООО ""ЮПРОМО""")</f>
        <v>ООО "ЮПРОМО"</v>
      </c>
      <c r="K16354" s="24" t="s">
        <v>21418</v>
      </c>
      <c r="L16354" s="22" t="s">
        <v>10</v>
      </c>
      <c r="M16354" s="25">
        <v>565777.4</v>
      </c>
      <c r="N16354" s="27">
        <v>0.28379797181914734</v>
      </c>
    </row>
    <row r="16355" spans="1:14" x14ac:dyDescent="0.15">
      <c r="A16355" s="23" t="str">
        <f>HYPERLINK("https://www.spark-marketing.ru/Card/Person/997620", "МОУ ""СРЕДНЯЯ ШКОЛА № 5""")</f>
        <v>МОУ "СРЕДНЯЯ ШКОЛА № 5"</v>
      </c>
      <c r="B16355" s="24" t="s">
        <v>1429</v>
      </c>
      <c r="C16355" s="25">
        <v>151335</v>
      </c>
      <c r="D16355" s="22" t="s">
        <v>21419</v>
      </c>
      <c r="E16355" s="22" t="s">
        <v>48</v>
      </c>
      <c r="F16355" s="23" t="str">
        <f>HYPERLINK("https://www.spark-marketing.ru/Card/Lot/71469457", "Организация питания учащихся в Филиале МОУ ""Средняя школа №5"" города Кимры Тверской области")</f>
        <v>Организация питания учащихся в Филиале МОУ "Средняя школа №5" города Кимры Тверской области</v>
      </c>
      <c r="G16355" s="22" t="s">
        <v>137</v>
      </c>
      <c r="H16355" s="22" t="s">
        <v>1431</v>
      </c>
      <c r="I16355" s="26">
        <v>43634.657638888901</v>
      </c>
      <c r="J16355" s="28" t="s">
        <v>51</v>
      </c>
      <c r="K16355" s="28" t="s">
        <v>51</v>
      </c>
      <c r="L16355" s="28" t="s">
        <v>51</v>
      </c>
      <c r="M16355" s="28" t="s">
        <v>51</v>
      </c>
      <c r="N16355" s="28" t="s">
        <v>51</v>
      </c>
    </row>
    <row r="16356" spans="1:14" hidden="1" outlineLevel="1" x14ac:dyDescent="0.2">
      <c r="A16356" s="23" t="str">
        <f>HYPERLINK("https://www.spark-marketing.ru/Card/Person/997620", "МОУ ""СРЕДНЯЯ ШКОЛА № 5""")</f>
        <v>МОУ "СРЕДНЯЯ ШКОЛА № 5"</v>
      </c>
      <c r="B16356" s="24" t="s">
        <v>1429</v>
      </c>
      <c r="C16356" s="25">
        <v>151335</v>
      </c>
      <c r="D16356" s="22" t="s">
        <v>21419</v>
      </c>
      <c r="E16356" s="22" t="s">
        <v>48</v>
      </c>
      <c r="F16356" s="23" t="str">
        <f>HYPERLINK("https://www.spark-marketing.ru/Card/Lot/71469457", "Организация питания учащихся в Филиале МОУ ""Средняя школа №5"" города Кимры Тверской области")</f>
        <v>Организация питания учащихся в Филиале МОУ "Средняя школа №5" города Кимры Тверской области</v>
      </c>
      <c r="G16356" s="22" t="s">
        <v>137</v>
      </c>
      <c r="H16356" s="22" t="s">
        <v>1431</v>
      </c>
      <c r="I16356" s="26">
        <v>43634.657638888901</v>
      </c>
      <c r="J16356" s="23" t="str">
        <f>HYPERLINK("https://www.spark-marketing.ru/Card/Person/611607", "Коршунова Оксана Ивановна")</f>
        <v>Коршунова Оксана Ивановна</v>
      </c>
      <c r="K16356" s="24" t="s">
        <v>1453</v>
      </c>
      <c r="L16356" s="28" t="s">
        <v>51</v>
      </c>
      <c r="M16356" s="25">
        <v>135444.72</v>
      </c>
      <c r="N16356" s="27">
        <v>0.10500069382495787</v>
      </c>
    </row>
    <row r="16357" spans="1:14" ht="12.75" hidden="1" outlineLevel="1" x14ac:dyDescent="0.2">
      <c r="A16357" s="23" t="str">
        <f>HYPERLINK("https://www.spark-marketing.ru/Card/Person/997620", "МОУ ""СРЕДНЯЯ ШКОЛА № 5""")</f>
        <v>МОУ "СРЕДНЯЯ ШКОЛА № 5"</v>
      </c>
      <c r="B16357" s="24" t="s">
        <v>1429</v>
      </c>
      <c r="C16357" s="25">
        <v>151335</v>
      </c>
      <c r="D16357" s="22" t="s">
        <v>21419</v>
      </c>
      <c r="E16357" s="22" t="s">
        <v>48</v>
      </c>
      <c r="F16357" s="23" t="str">
        <f>HYPERLINK("https://www.spark-marketing.ru/Card/Lot/71469457", "Организация питания учащихся в Филиале МОУ ""Средняя школа №5"" города Кимры Тверской области")</f>
        <v>Организация питания учащихся в Филиале МОУ "Средняя школа №5" города Кимры Тверской области</v>
      </c>
      <c r="G16357" s="22" t="s">
        <v>137</v>
      </c>
      <c r="H16357" s="22" t="s">
        <v>1431</v>
      </c>
      <c r="I16357" s="26">
        <v>43634.657638888901</v>
      </c>
      <c r="J16357" s="23" t="str">
        <f>HYPERLINK("https://www.spark-marketing.ru/Card/Person/331373", "Платонова Елена Павловна")</f>
        <v>Платонова Елена Павловна</v>
      </c>
      <c r="K16357" s="24" t="s">
        <v>1433</v>
      </c>
      <c r="L16357" s="22" t="s">
        <v>10</v>
      </c>
      <c r="M16357" s="25">
        <v>134688.04</v>
      </c>
      <c r="N16357" s="27">
        <v>0.11000072686424159</v>
      </c>
    </row>
    <row r="16358" spans="1:14" x14ac:dyDescent="0.15">
      <c r="A16358" s="23" t="str">
        <f>HYPERLINK("https://www.spark-marketing.ru/Card/Person/118752", "МО МВД РОССИИ ""КАРГАТСКИЙ""")</f>
        <v>МО МВД РОССИИ "КАРГАТСКИЙ"</v>
      </c>
      <c r="B16358" s="24" t="s">
        <v>5680</v>
      </c>
      <c r="C16358" s="25">
        <v>263784</v>
      </c>
      <c r="D16358" s="22" t="s">
        <v>21420</v>
      </c>
      <c r="E16358" s="22" t="s">
        <v>48</v>
      </c>
      <c r="F16358" s="23" t="str">
        <f>HYPERLINK("https://www.spark-marketing.ru/Card/Lot/71471310", "услуги по обеспечению горячим питанием")</f>
        <v>услуги по обеспечению горячим питанием</v>
      </c>
      <c r="G16358" s="22" t="s">
        <v>195</v>
      </c>
      <c r="H16358" s="22" t="s">
        <v>19318</v>
      </c>
      <c r="I16358" s="26">
        <v>43634.642361111102</v>
      </c>
      <c r="J16358" s="28" t="s">
        <v>51</v>
      </c>
      <c r="K16358" s="28" t="s">
        <v>51</v>
      </c>
      <c r="L16358" s="28" t="s">
        <v>51</v>
      </c>
      <c r="M16358" s="28" t="s">
        <v>51</v>
      </c>
      <c r="N16358" s="28" t="s">
        <v>51</v>
      </c>
    </row>
    <row r="16359" spans="1:14" x14ac:dyDescent="0.15">
      <c r="A16359" s="23" t="str">
        <f>HYPERLINK("https://www.spark-marketing.ru/Card/Person/107411", "ОТДЕЛ МВД РОССИИ ПО ТРУНОВСКОМУ РАЙОНУ")</f>
        <v>ОТДЕЛ МВД РОССИИ ПО ТРУНОВСКОМУ РАЙОНУ</v>
      </c>
      <c r="B16359" s="24" t="s">
        <v>21421</v>
      </c>
      <c r="C16359" s="25">
        <v>600000</v>
      </c>
      <c r="D16359" s="22" t="s">
        <v>21422</v>
      </c>
      <c r="E16359" s="22" t="s">
        <v>48</v>
      </c>
      <c r="F16359" s="23" t="str">
        <f>HYPERLINK("https://www.spark-marketing.ru/Card/Lot/71473523", "Питание для лиц содержащихся в ИВС (Оказание услуг по приготовлению трехразового питания, для обеспечения государственных нужд)")</f>
        <v>Питание для лиц содержащихся в ИВС (Оказание услуг по приготовлению трехразового питания, для обеспечения государственных нужд)</v>
      </c>
      <c r="G16359" s="22" t="s">
        <v>87</v>
      </c>
      <c r="H16359" s="22" t="s">
        <v>21423</v>
      </c>
      <c r="I16359" s="26">
        <v>43634.636805555601</v>
      </c>
      <c r="J16359" s="23" t="str">
        <f>HYPERLINK("https://www.spark-marketing.ru/Card/Person/950178", "Левин Евгений Николаевич")</f>
        <v>Левин Евгений Николаевич</v>
      </c>
      <c r="K16359" s="24" t="s">
        <v>6994</v>
      </c>
      <c r="L16359" s="22" t="s">
        <v>10</v>
      </c>
      <c r="M16359" s="28" t="s">
        <v>51</v>
      </c>
      <c r="N16359" s="28" t="s">
        <v>51</v>
      </c>
    </row>
    <row r="16360" spans="1:14" x14ac:dyDescent="0.15">
      <c r="A16360" s="23" t="str">
        <f>HYPERLINK("https://www.spark-marketing.ru/Card/Person/745255", "МБДОУ ДС ""ЗАНГАРИ"" С. КАЙМАШАБАШ")</f>
        <v>МБДОУ ДС "ЗАНГАРИ" С. КАЙМАШАБАШ</v>
      </c>
      <c r="B16360" s="24" t="s">
        <v>21424</v>
      </c>
      <c r="C16360" s="25">
        <v>60112</v>
      </c>
      <c r="D16360" s="22" t="s">
        <v>21425</v>
      </c>
      <c r="E16360" s="22" t="s">
        <v>48</v>
      </c>
      <c r="F16360" s="23" t="str">
        <f>HYPERLINK("https://www.spark-marketing.ru/Card/Lot/71464743", "Оказание услуг по организации горячего питания воспитанников Муниципального бюджетного дошкольного образовательного учреждения детский сад ""Зангари"" с. Каймашабаш муниципального района Янаульский район Республики Башкортостан")</f>
        <v>Оказание услуг по организации горячего питания воспитанников Муниципального бюджетного дошкольного образовательного учреждения детский сад "Зангари" с. Каймашабаш муниципального района Янаульский район Республики Башкортостан</v>
      </c>
      <c r="G16360" s="22" t="s">
        <v>145</v>
      </c>
      <c r="H16360" s="22" t="s">
        <v>145</v>
      </c>
      <c r="I16360" s="26">
        <v>43634.645833333299</v>
      </c>
      <c r="J16360" s="23" t="str">
        <f>HYPERLINK("https://www.spark-marketing.ru/Card/Person/6275152", "ООО ""ЯНАУЛЬСКИЙ КДП""")</f>
        <v>ООО "ЯНАУЛЬСКИЙ КДП"</v>
      </c>
      <c r="K16360" s="24" t="s">
        <v>10674</v>
      </c>
      <c r="L16360" s="22" t="s">
        <v>10</v>
      </c>
      <c r="M16360" s="28" t="s">
        <v>51</v>
      </c>
      <c r="N16360" s="28" t="s">
        <v>51</v>
      </c>
    </row>
    <row r="16361" spans="1:14" x14ac:dyDescent="0.15">
      <c r="A16361" s="23" t="str">
        <f>HYPERLINK("https://www.spark-marketing.ru/Card/Person/265244", "МО МВД РОССИИ ""ТЫНДИНСКИЙ""")</f>
        <v>МО МВД РОССИИ "ТЫНДИНСКИЙ"</v>
      </c>
      <c r="B16361" s="24" t="s">
        <v>208</v>
      </c>
      <c r="C16361" s="25">
        <v>700000</v>
      </c>
      <c r="D16361" s="22" t="s">
        <v>21426</v>
      </c>
      <c r="E16361" s="22" t="s">
        <v>48</v>
      </c>
      <c r="F16361" s="23" t="str">
        <f>HYPERLINK("https://www.spark-marketing.ru/Card/Lot/71449585", "оказание услуг по организации ежедневного трехразового горячего питания с услугой раздачи пищи лицам, содержащимся в ИВС МО МВД России «Тындинский» и оказание услуг по организации ежедневного трехразового горячего питания в индивидуальной одноразовой...")</f>
        <v>оказание услуг по организации ежедневного трехразового горячего питания с услугой раздачи пищи лицам, содержащимся в ИВС МО МВД России «Тындинский» и оказание услуг по организации ежедневного трехразового горячего питания в индивидуальной одноразовой...</v>
      </c>
      <c r="G16361" s="22" t="s">
        <v>210</v>
      </c>
      <c r="H16361" s="22" t="s">
        <v>211</v>
      </c>
      <c r="I16361" s="26">
        <v>43634.662499999999</v>
      </c>
      <c r="J16361" s="28" t="s">
        <v>51</v>
      </c>
      <c r="K16361" s="28" t="s">
        <v>51</v>
      </c>
      <c r="L16361" s="28" t="s">
        <v>51</v>
      </c>
      <c r="M16361" s="28" t="s">
        <v>51</v>
      </c>
      <c r="N16361" s="28" t="s">
        <v>51</v>
      </c>
    </row>
    <row r="16362" spans="1:14" ht="12.75" x14ac:dyDescent="0.2">
      <c r="A16362" s="23" t="str">
        <f>HYPERLINK("https://www.spark-marketing.ru/Card/Person/1036222", "ОКОУ ""КУРСКАЯ ШКОЛА-ИНТЕРНАТ""")</f>
        <v>ОКОУ "КУРСКАЯ ШКОЛА-ИНТЕРНАТ"</v>
      </c>
      <c r="B16362" s="24" t="s">
        <v>21427</v>
      </c>
      <c r="C16362" s="25">
        <v>916673.64</v>
      </c>
      <c r="D16362" s="22" t="s">
        <v>21428</v>
      </c>
      <c r="E16362" s="22" t="s">
        <v>48</v>
      </c>
      <c r="F16362" s="23" t="str">
        <f>HYPERLINK("https://www.spark-marketing.ru/Card/Lot/71473877", "оказание услуг по организации ежедневного питания обучающихся и воспитанников")</f>
        <v>оказание услуг по организации ежедневного питания обучающихся и воспитанников</v>
      </c>
      <c r="G16362" s="22" t="s">
        <v>1111</v>
      </c>
      <c r="H16362" s="22" t="s">
        <v>1111</v>
      </c>
      <c r="I16362" s="26">
        <v>43634.630555555603</v>
      </c>
      <c r="J16362" s="23" t="str">
        <f>HYPERLINK("https://www.spark-marketing.ru/Card/Person/440432", "ООО ""ПЕРЕМЕНА""")</f>
        <v>ООО "ПЕРЕМЕНА"</v>
      </c>
      <c r="K16362" s="24" t="s">
        <v>13675</v>
      </c>
      <c r="L16362" s="22" t="s">
        <v>10</v>
      </c>
      <c r="M16362" s="25">
        <v>915000</v>
      </c>
      <c r="N16362" s="27">
        <v>1.8257752017391926E-3</v>
      </c>
    </row>
    <row r="16363" spans="1:14" x14ac:dyDescent="0.15">
      <c r="A16363" s="23" t="str">
        <f>HYPERLINK("https://www.spark-marketing.ru/Card/Person/77706", "АО ""ПОЧТА РОССИИ""")</f>
        <v>АО "ПОЧТА РОССИИ"</v>
      </c>
      <c r="B16363" s="24" t="s">
        <v>2613</v>
      </c>
      <c r="C16363" s="25">
        <v>4999942.74</v>
      </c>
      <c r="D16363" s="22" t="s">
        <v>21429</v>
      </c>
      <c r="E16363" s="22" t="s">
        <v>362</v>
      </c>
      <c r="F16363" s="23" t="str">
        <f>HYPERLINK("https://www.spark-marketing.ru/Card/Lot/71458001", "Оказание услуг по организации питания работников ОСП МРАСЦ им. В.Н. Бугаенко УФПС Московской области - филиала ФГУП ""Почта России""")</f>
        <v>Оказание услуг по организации питания работников ОСП МРАСЦ им. В.Н. Бугаенко УФПС Московской области - филиала ФГУП "Почта России"</v>
      </c>
      <c r="G16363" s="22" t="s">
        <v>56</v>
      </c>
      <c r="H16363" s="22" t="s">
        <v>56</v>
      </c>
      <c r="I16363" s="26">
        <v>43634.640462962998</v>
      </c>
      <c r="J16363" s="28" t="s">
        <v>51</v>
      </c>
      <c r="K16363" s="28" t="s">
        <v>51</v>
      </c>
      <c r="L16363" s="28" t="s">
        <v>51</v>
      </c>
      <c r="M16363" s="28" t="s">
        <v>51</v>
      </c>
      <c r="N16363" s="28" t="s">
        <v>51</v>
      </c>
    </row>
    <row r="16364" spans="1:14" x14ac:dyDescent="0.15">
      <c r="A16364" s="23" t="str">
        <f>HYPERLINK("https://www.spark-marketing.ru/Card/Person/136309", "ГБУ АРХАНГЕЛЬСКОЙ ОБЛАСТИ ""ЦЕНТР ПРИРОДОПОЛЬЗОВАНИЯ И ОХРАНЫ ОКРУЖАЮЩЕЙ СРЕДЫ""")</f>
        <v>ГБУ АРХАНГЕЛЬСКОЙ ОБЛАСТИ "ЦЕНТР ПРИРОДОПОЛЬЗОВАНИЯ И ОХРАНЫ ОКРУЖАЮЩЕЙ СРЕДЫ"</v>
      </c>
      <c r="B16364" s="24" t="s">
        <v>21430</v>
      </c>
      <c r="C16364" s="25">
        <v>700000</v>
      </c>
      <c r="D16364" s="22" t="s">
        <v>21431</v>
      </c>
      <c r="E16364" s="22" t="s">
        <v>51</v>
      </c>
      <c r="F16364" s="23" t="str">
        <f>HYPERLINK("https://www.spark-marketing.ru/Card/Lot/71473639", "Оказание услуг по проживанию, трехразовому питанию и экскурсионно-образовательной программе участников мероприятия «Слет школьных лесничеств Северо-Западного федерального округа»")</f>
        <v>Оказание услуг по проживанию, трехразовому питанию и экскурсионно-образовательной программе участников мероприятия «Слет школьных лесничеств Северо-Западного федерального округа»</v>
      </c>
      <c r="G16364" s="22" t="s">
        <v>214</v>
      </c>
      <c r="H16364" s="22" t="s">
        <v>523</v>
      </c>
      <c r="I16364" s="26">
        <v>43634.636111111096</v>
      </c>
      <c r="J16364" s="23" t="str">
        <f>HYPERLINK("https://www.spark-marketing.ru/Card/Person/1781194", "ООО ""ГОЛУБИНО""")</f>
        <v>ООО "ГОЛУБИНО"</v>
      </c>
      <c r="K16364" s="24" t="s">
        <v>21432</v>
      </c>
      <c r="L16364" s="22" t="s">
        <v>10</v>
      </c>
      <c r="M16364" s="28" t="s">
        <v>51</v>
      </c>
      <c r="N16364" s="28" t="s">
        <v>51</v>
      </c>
    </row>
    <row r="16365" spans="1:14" x14ac:dyDescent="0.15">
      <c r="A16365" s="23" t="str">
        <f>HYPERLINK("https://www.spark-marketing.ru/Card/Person/1015216", "МБОУ СОШ №13 Г.СТАВРОПОЛЯ")</f>
        <v>МБОУ СОШ №13 Г.СТАВРОПОЛЯ</v>
      </c>
      <c r="B16365" s="24" t="s">
        <v>21433</v>
      </c>
      <c r="C16365" s="25">
        <v>503520</v>
      </c>
      <c r="D16365" s="22" t="s">
        <v>21434</v>
      </c>
      <c r="E16365" s="22" t="s">
        <v>48</v>
      </c>
      <c r="F16365" s="23" t="str">
        <f>HYPERLINK("https://www.spark-marketing.ru/Card/Lot/71472555", "Услуги по организации питания учащихся МБОУ СОШ №13 г.Ставрополя в сентябре-декабре 2019 года")</f>
        <v>Услуги по организации питания учащихся МБОУ СОШ №13 г.Ставрополя в сентябре-декабре 2019 года</v>
      </c>
      <c r="G16365" s="22" t="s">
        <v>87</v>
      </c>
      <c r="H16365" s="22" t="s">
        <v>87</v>
      </c>
      <c r="I16365" s="26">
        <v>43634.656944444403</v>
      </c>
      <c r="J16365" s="23" t="str">
        <f>HYPERLINK("https://www.spark-marketing.ru/Card/Person/213142", "Звягина Надежда Ильинична")</f>
        <v>Звягина Надежда Ильинична</v>
      </c>
      <c r="K16365" s="24" t="s">
        <v>12311</v>
      </c>
      <c r="L16365" s="22" t="s">
        <v>10</v>
      </c>
      <c r="M16365" s="28" t="s">
        <v>51</v>
      </c>
      <c r="N16365" s="28" t="s">
        <v>51</v>
      </c>
    </row>
    <row r="16366" spans="1:14" x14ac:dyDescent="0.15">
      <c r="A16366" s="23" t="str">
        <f>HYPERLINK("https://www.spark-marketing.ru/Card/Person/1035870", "МБОУ СОШ №2 Г. СТАВРОПОЛЯ")</f>
        <v>МБОУ СОШ №2 Г. СТАВРОПОЛЯ</v>
      </c>
      <c r="B16366" s="24" t="s">
        <v>21435</v>
      </c>
      <c r="C16366" s="25">
        <v>453200</v>
      </c>
      <c r="D16366" s="22" t="s">
        <v>21436</v>
      </c>
      <c r="E16366" s="22" t="s">
        <v>48</v>
      </c>
      <c r="F16366" s="23" t="str">
        <f>HYPERLINK("https://www.spark-marketing.ru/Card/Lot/71472573", "Услуги по организации питания учащихся МБОУ СОШ №2 г. Ставрополя в сентябре-декабре 2019 года")</f>
        <v>Услуги по организации питания учащихся МБОУ СОШ №2 г. Ставрополя в сентябре-декабре 2019 года</v>
      </c>
      <c r="G16366" s="22" t="s">
        <v>87</v>
      </c>
      <c r="H16366" s="22" t="s">
        <v>87</v>
      </c>
      <c r="I16366" s="26">
        <v>43634.656944444403</v>
      </c>
      <c r="J16366" s="23" t="str">
        <f>HYPERLINK("https://www.spark-marketing.ru/Card/Person/217327", "Карпачев Валерий Борисович")</f>
        <v>Карпачев Валерий Борисович</v>
      </c>
      <c r="K16366" s="24" t="s">
        <v>19656</v>
      </c>
      <c r="L16366" s="22" t="s">
        <v>10</v>
      </c>
      <c r="M16366" s="28" t="s">
        <v>51</v>
      </c>
      <c r="N16366" s="28" t="s">
        <v>51</v>
      </c>
    </row>
    <row r="16367" spans="1:14" x14ac:dyDescent="0.15">
      <c r="A16367" s="23" t="str">
        <f>HYPERLINK("https://www.spark-marketing.ru/Card/Person/34720", "ФКУ ""ЦХИСО УМВД РОССИИ ПО ТВЕРСКОЙ ОБЛАСТИ""")</f>
        <v>ФКУ "ЦХИСО УМВД РОССИИ ПО ТВЕРСКОЙ ОБЛАСТИ"</v>
      </c>
      <c r="B16367" s="24" t="s">
        <v>16128</v>
      </c>
      <c r="C16367" s="25">
        <v>180000</v>
      </c>
      <c r="D16367" s="22" t="s">
        <v>21437</v>
      </c>
      <c r="E16367" s="22" t="s">
        <v>91</v>
      </c>
      <c r="F16367" s="23" t="str">
        <f>HYPERLINK("https://www.spark-marketing.ru/Card/Lot/71469770", "Оказание услуг по восстановлению работоспособности источников бесперебойного питания")</f>
        <v>Оказание услуг по восстановлению работоспособности источников бесперебойного питания</v>
      </c>
      <c r="G16367" s="22" t="s">
        <v>137</v>
      </c>
      <c r="H16367" s="22" t="s">
        <v>137</v>
      </c>
      <c r="I16367" s="26">
        <v>43634.626388888901</v>
      </c>
      <c r="J16367" s="28" t="s">
        <v>51</v>
      </c>
      <c r="K16367" s="28" t="s">
        <v>51</v>
      </c>
      <c r="L16367" s="28" t="s">
        <v>51</v>
      </c>
      <c r="M16367" s="28" t="s">
        <v>51</v>
      </c>
      <c r="N16367" s="28" t="s">
        <v>51</v>
      </c>
    </row>
    <row r="16368" spans="1:14" x14ac:dyDescent="0.2">
      <c r="A16368" s="23" t="str">
        <f>HYPERLINK("https://www.spark-marketing.ru/Card/Person/1756753", "ГАУ МО ""ЦСП № 6""")</f>
        <v>ГАУ МО "ЦСП № 6"</v>
      </c>
      <c r="B16368" s="24" t="s">
        <v>6503</v>
      </c>
      <c r="C16368" s="25">
        <v>152800</v>
      </c>
      <c r="D16368" s="22" t="s">
        <v>21438</v>
      </c>
      <c r="E16368" s="22" t="s">
        <v>9286</v>
      </c>
      <c r="F16368" s="23" t="str">
        <f>HYPERLINK("https://www.spark-marketing.ru/Card/Lot/71459707", "Услуги по организации спортивных мероприятий (обеспечение транспортными билетами, проживания и питания, пляжный волейбол, Казань)")</f>
        <v>Услуги по организации спортивных мероприятий (обеспечение транспортными билетами, проживания и питания, пляжный волейбол, Казань)</v>
      </c>
      <c r="G16368" s="22" t="s">
        <v>49</v>
      </c>
      <c r="H16368" s="22" t="s">
        <v>577</v>
      </c>
      <c r="I16368" s="26">
        <v>43634.666099536997</v>
      </c>
      <c r="J16368" s="28" t="s">
        <v>51</v>
      </c>
      <c r="K16368" s="28" t="s">
        <v>51</v>
      </c>
      <c r="L16368" s="28" t="s">
        <v>51</v>
      </c>
      <c r="M16368" s="25">
        <v>152800</v>
      </c>
      <c r="N16368" s="27">
        <v>0</v>
      </c>
    </row>
    <row r="16369" spans="1:14" x14ac:dyDescent="0.2">
      <c r="A16369" s="23" t="str">
        <f>HYPERLINK("https://www.spark-marketing.ru/Card/Person/1025151", "МОУ СШ № 17")</f>
        <v>МОУ СШ № 17</v>
      </c>
      <c r="B16369" s="24" t="s">
        <v>9270</v>
      </c>
      <c r="C16369" s="25">
        <v>287258.40000000002</v>
      </c>
      <c r="D16369" s="22" t="s">
        <v>21439</v>
      </c>
      <c r="E16369" s="22" t="s">
        <v>362</v>
      </c>
      <c r="F16369" s="23" t="str">
        <f>HYPERLINK("https://www.spark-marketing.ru/Card/Lot/71453691", "оказание услуг по организации питания учащихся в пришкольном лагере дневного пребывания на базе МОУ СШ № 17 (трехразовое питание)")</f>
        <v>оказание услуг по организации питания учащихся в пришкольном лагере дневного пребывания на базе МОУ СШ № 17 (трехразовое питание)</v>
      </c>
      <c r="G16369" s="22" t="s">
        <v>158</v>
      </c>
      <c r="H16369" s="22" t="s">
        <v>158</v>
      </c>
      <c r="I16369" s="26">
        <v>43634.631874999999</v>
      </c>
      <c r="J16369" s="28" t="s">
        <v>51</v>
      </c>
      <c r="K16369" s="28" t="s">
        <v>51</v>
      </c>
      <c r="L16369" s="28" t="s">
        <v>51</v>
      </c>
      <c r="M16369" s="25">
        <v>287258.40000000002</v>
      </c>
      <c r="N16369" s="27">
        <v>0</v>
      </c>
    </row>
    <row r="16370" spans="1:14" x14ac:dyDescent="0.15">
      <c r="A16370" s="23" t="str">
        <f>HYPERLINK("https://www.spark-marketing.ru/Card/Person/4790", "ГБУ АО ""АКОД""")</f>
        <v>ГБУ АО "АКОД"</v>
      </c>
      <c r="B16370" s="24" t="s">
        <v>21440</v>
      </c>
      <c r="C16370" s="25">
        <v>503561.76</v>
      </c>
      <c r="D16370" s="22" t="s">
        <v>21441</v>
      </c>
      <c r="E16370" s="22" t="s">
        <v>580</v>
      </c>
      <c r="F16370" s="23" t="str">
        <f>HYPERLINK("https://www.spark-marketing.ru/Card/Lot/71457986", "оказание услуг по организации лечебного питания пациентов в стационаре круглосуточного пребывания")</f>
        <v>оказание услуг по организации лечебного питания пациентов в стационаре круглосуточного пребывания</v>
      </c>
      <c r="G16370" s="22" t="s">
        <v>214</v>
      </c>
      <c r="H16370" s="22" t="s">
        <v>523</v>
      </c>
      <c r="I16370" s="26">
        <v>43634.633680555598</v>
      </c>
      <c r="J16370" s="28" t="s">
        <v>51</v>
      </c>
      <c r="K16370" s="28" t="s">
        <v>51</v>
      </c>
      <c r="L16370" s="28" t="s">
        <v>51</v>
      </c>
      <c r="M16370" s="28" t="s">
        <v>51</v>
      </c>
      <c r="N16370" s="28" t="s">
        <v>51</v>
      </c>
    </row>
    <row r="16371" spans="1:14" x14ac:dyDescent="0.15">
      <c r="A16371" s="23" t="str">
        <f>HYPERLINK("https://www.spark-marketing.ru/Card/Person/6842", "МЕЖМУНИЦИПАЛЬНОЕ УПРАВЛЕНИЕ МВД РОССИИ ПО ЗАТО Г. ЖЕЛЕЗНОГОРСК")</f>
        <v>МЕЖМУНИЦИПАЛЬНОЕ УПРАВЛЕНИЕ МВД РОССИИ ПО ЗАТО Г. ЖЕЛЕЗНОГОРСК</v>
      </c>
      <c r="B16371" s="24" t="s">
        <v>16397</v>
      </c>
      <c r="C16371" s="25">
        <v>1550000</v>
      </c>
      <c r="D16371" s="22" t="s">
        <v>21442</v>
      </c>
      <c r="E16371" s="22" t="s">
        <v>48</v>
      </c>
      <c r="F16371" s="23" t="str">
        <f>HYPERLINK("https://www.spark-marketing.ru/Card/Lot/71453166", "Оказание услуг по организации горячего питания для лиц, содержащихся под стражей, и административно-арестованных лиц содержащихся в ИВС Межмуниципального управления МВД России по ЗАТО г. Железногорск (с 01.01.2020 года по 31.12.2021 года)")</f>
        <v>Оказание услуг по организации горячего питания для лиц, содержащихся под стражей, и административно-арестованных лиц содержащихся в ИВС Межмуниципального управления МВД России по ЗАТО г. Железногорск (с 01.01.2020 года по 31.12.2021 года)</v>
      </c>
      <c r="G16371" s="22" t="s">
        <v>281</v>
      </c>
      <c r="H16371" s="22" t="s">
        <v>281</v>
      </c>
      <c r="I16371" s="26">
        <v>43634.6118055556</v>
      </c>
      <c r="J16371" s="23" t="str">
        <f>HYPERLINK("https://www.spark-marketing.ru/Card/Person/450859", "Лаптев Алексей Александрович")</f>
        <v>Лаптев Алексей Александрович</v>
      </c>
      <c r="K16371" s="24" t="s">
        <v>17927</v>
      </c>
      <c r="L16371" s="22" t="s">
        <v>10</v>
      </c>
      <c r="M16371" s="28" t="s">
        <v>51</v>
      </c>
      <c r="N16371" s="28" t="s">
        <v>51</v>
      </c>
    </row>
    <row r="16372" spans="1:14" x14ac:dyDescent="0.15">
      <c r="A16372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6372" s="24" t="s">
        <v>1790</v>
      </c>
      <c r="C16372" s="25">
        <v>31701.919999999998</v>
      </c>
      <c r="D16372" s="22" t="s">
        <v>21443</v>
      </c>
      <c r="E16372" s="22" t="s">
        <v>464</v>
      </c>
      <c r="F16372" s="23" t="str">
        <f>HYPERLINK("https://www.spark-marketing.ru/Card/Lot/71462575", "Прочая закупка товаров, работ и услуг. Поставка продуктов питания: молока работникам , занятым на работах с вредными условиями труда")</f>
        <v>Прочая закупка товаров, работ и услуг. Поставка продуктов питания: молока работникам , занятым на работах с вредными условиями труда</v>
      </c>
      <c r="G16372" s="22" t="s">
        <v>217</v>
      </c>
      <c r="H16372" s="22" t="s">
        <v>937</v>
      </c>
      <c r="I16372" s="26">
        <v>43634.600694444402</v>
      </c>
      <c r="J16372" s="23" t="str">
        <f>HYPERLINK("https://www.spark-marketing.ru/Card/Person/5771746", "ООО ""МОЛЭКСПРЕСС""")</f>
        <v>ООО "МОЛЭКСПРЕСС"</v>
      </c>
      <c r="K16372" s="24" t="s">
        <v>4259</v>
      </c>
      <c r="L16372" s="22" t="s">
        <v>10</v>
      </c>
      <c r="M16372" s="28" t="s">
        <v>51</v>
      </c>
      <c r="N16372" s="28" t="s">
        <v>51</v>
      </c>
    </row>
    <row r="16373" spans="1:14" x14ac:dyDescent="0.15">
      <c r="A16373" s="23" t="str">
        <f>HYPERLINK("https://www.spark-marketing.ru/Card/Person/4343663", "МИНЗДРАВ АЛТАЙСКОГО КРАЯ")</f>
        <v>МИНЗДРАВ АЛТАЙСКОГО КРАЯ</v>
      </c>
      <c r="B16373" s="24" t="s">
        <v>9429</v>
      </c>
      <c r="C16373" s="25">
        <v>99000</v>
      </c>
      <c r="D16373" s="22" t="s">
        <v>21444</v>
      </c>
      <c r="E16373" s="22" t="s">
        <v>336</v>
      </c>
      <c r="F16373" s="23" t="str">
        <f>HYPERLINK("https://www.spark-marketing.ru/Card/Lot/71453668",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373" s="22" t="s">
        <v>63</v>
      </c>
      <c r="H16373" s="22" t="s">
        <v>177</v>
      </c>
      <c r="I16373" s="26">
        <v>43634.584027777797</v>
      </c>
      <c r="J16373" s="28" t="s">
        <v>51</v>
      </c>
      <c r="K16373" s="28" t="s">
        <v>51</v>
      </c>
      <c r="L16373" s="28" t="s">
        <v>51</v>
      </c>
      <c r="M16373" s="28" t="s">
        <v>51</v>
      </c>
      <c r="N16373" s="28" t="s">
        <v>51</v>
      </c>
    </row>
    <row r="16374" spans="1:14" x14ac:dyDescent="0.15">
      <c r="A16374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6374" s="24" t="s">
        <v>1790</v>
      </c>
      <c r="C16374" s="25">
        <v>5120</v>
      </c>
      <c r="D16374" s="22" t="s">
        <v>21445</v>
      </c>
      <c r="E16374" s="22" t="s">
        <v>51</v>
      </c>
      <c r="F16374" s="23" t="str">
        <f>HYPERLINK("https://www.spark-marketing.ru/Card/Lot/71457577", "Прочая закупка товаров, работ и услуг. Поставка продуктов питания: сока фруктового работникам, занятым на работах с вредными условиями труда (дислокация г. Набережные Челны)")</f>
        <v>Прочая закупка товаров, работ и услуг. Поставка продуктов питания: сока фруктового работникам, занятым на работах с вредными условиями труда (дислокация г. Набережные Челны)</v>
      </c>
      <c r="G16374" s="22" t="s">
        <v>217</v>
      </c>
      <c r="H16374" s="22" t="s">
        <v>1998</v>
      </c>
      <c r="I16374" s="26">
        <v>43634.600694444402</v>
      </c>
      <c r="J16374" s="28" t="s">
        <v>51</v>
      </c>
      <c r="K16374" s="28" t="s">
        <v>51</v>
      </c>
      <c r="L16374" s="28" t="s">
        <v>51</v>
      </c>
      <c r="M16374" s="28" t="s">
        <v>51</v>
      </c>
      <c r="N16374" s="28" t="s">
        <v>51</v>
      </c>
    </row>
    <row r="16375" spans="1:14" ht="12.75" hidden="1" outlineLevel="1" x14ac:dyDescent="0.2">
      <c r="A16375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6375" s="24" t="s">
        <v>1790</v>
      </c>
      <c r="C16375" s="25">
        <v>5120</v>
      </c>
      <c r="D16375" s="22" t="s">
        <v>21445</v>
      </c>
      <c r="E16375" s="22" t="s">
        <v>51</v>
      </c>
      <c r="F16375" s="23" t="str">
        <f>HYPERLINK("https://www.spark-marketing.ru/Card/Lot/71457577", "Прочая закупка товаров, работ и услуг. Поставка продуктов питания: сока фруктового работникам, занятым на работах с вредными условиями труда (дислокация г. Набережные Челны)")</f>
        <v>Прочая закупка товаров, работ и услуг. Поставка продуктов питания: сока фруктового работникам, занятым на работах с вредными условиями труда (дислокация г. Набережные Челны)</v>
      </c>
      <c r="G16375" s="22" t="s">
        <v>217</v>
      </c>
      <c r="H16375" s="22" t="s">
        <v>1998</v>
      </c>
      <c r="I16375" s="26">
        <v>43634.600694444402</v>
      </c>
      <c r="J16375" s="23" t="str">
        <f>HYPERLINK("https://www.spark-marketing.ru/Card/Person/6438279", "ООО ""ПЕРСОНАЛ-СЕРВИС""")</f>
        <v>ООО "ПЕРСОНАЛ-СЕРВИС"</v>
      </c>
      <c r="K16375" s="24" t="s">
        <v>4363</v>
      </c>
      <c r="L16375" s="22" t="s">
        <v>10</v>
      </c>
      <c r="M16375" s="25">
        <v>3908</v>
      </c>
      <c r="N16375" s="27">
        <v>0.23671875000000001</v>
      </c>
    </row>
    <row r="16376" spans="1:14" hidden="1" outlineLevel="1" x14ac:dyDescent="0.2">
      <c r="A16376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6376" s="24" t="s">
        <v>1790</v>
      </c>
      <c r="C16376" s="25">
        <v>5120</v>
      </c>
      <c r="D16376" s="22" t="s">
        <v>21445</v>
      </c>
      <c r="E16376" s="22" t="s">
        <v>51</v>
      </c>
      <c r="F16376" s="23" t="str">
        <f>HYPERLINK("https://www.spark-marketing.ru/Card/Lot/71457577", "Прочая закупка товаров, работ и услуг. Поставка продуктов питания: сока фруктового работникам, занятым на работах с вредными условиями труда (дислокация г. Набережные Челны)")</f>
        <v>Прочая закупка товаров, работ и услуг. Поставка продуктов питания: сока фруктового работникам, занятым на работах с вредными условиями труда (дислокация г. Набережные Челны)</v>
      </c>
      <c r="G16376" s="22" t="s">
        <v>217</v>
      </c>
      <c r="H16376" s="22" t="s">
        <v>1998</v>
      </c>
      <c r="I16376" s="26">
        <v>43634.600694444402</v>
      </c>
      <c r="J16376" s="23" t="str">
        <f>HYPERLINK("https://www.spark-marketing.ru/Card/Person/1692784", "ООО ""АВРОРА""")</f>
        <v>ООО "АВРОРА"</v>
      </c>
      <c r="K16376" s="24" t="s">
        <v>21446</v>
      </c>
      <c r="L16376" s="28" t="s">
        <v>51</v>
      </c>
      <c r="M16376" s="25">
        <v>4820</v>
      </c>
      <c r="N16376" s="27">
        <v>5.859375E-2</v>
      </c>
    </row>
    <row r="16377" spans="1:14" hidden="1" outlineLevel="1" x14ac:dyDescent="0.2">
      <c r="A16377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6377" s="24" t="s">
        <v>1790</v>
      </c>
      <c r="C16377" s="25">
        <v>5120</v>
      </c>
      <c r="D16377" s="22" t="s">
        <v>21445</v>
      </c>
      <c r="E16377" s="22" t="s">
        <v>51</v>
      </c>
      <c r="F16377" s="23" t="str">
        <f>HYPERLINK("https://www.spark-marketing.ru/Card/Lot/71457577", "Прочая закупка товаров, работ и услуг. Поставка продуктов питания: сока фруктового работникам, занятым на работах с вредными условиями труда (дислокация г. Набережные Челны)")</f>
        <v>Прочая закупка товаров, работ и услуг. Поставка продуктов питания: сока фруктового работникам, занятым на работах с вредными условиями труда (дислокация г. Набережные Челны)</v>
      </c>
      <c r="G16377" s="22" t="s">
        <v>217</v>
      </c>
      <c r="H16377" s="22" t="s">
        <v>1998</v>
      </c>
      <c r="I16377" s="26">
        <v>43634.600694444402</v>
      </c>
      <c r="J16377" s="23" t="str">
        <f>HYPERLINK("https://www.spark-marketing.ru/Card/Person/5785272", "ООО ""МСК ГРУПП""")</f>
        <v>ООО "МСК ГРУПП"</v>
      </c>
      <c r="K16377" s="24" t="s">
        <v>4260</v>
      </c>
      <c r="L16377" s="28" t="s">
        <v>51</v>
      </c>
      <c r="M16377" s="25">
        <v>4008</v>
      </c>
      <c r="N16377" s="27">
        <v>0.21718750000000001</v>
      </c>
    </row>
    <row r="16378" spans="1:14" x14ac:dyDescent="0.15">
      <c r="A16378" s="23" t="str">
        <f>HYPERLINK("https://www.spark-marketing.ru/Card/Person/6842", "МЕЖМУНИЦИПАЛЬНОЕ УПРАВЛЕНИЕ МВД РОССИИ ПО ЗАТО Г. ЖЕЛЕЗНОГОРСК")</f>
        <v>МЕЖМУНИЦИПАЛЬНОЕ УПРАВЛЕНИЕ МВД РОССИИ ПО ЗАТО Г. ЖЕЛЕЗНОГОРСК</v>
      </c>
      <c r="B16378" s="24" t="s">
        <v>16397</v>
      </c>
      <c r="C16378" s="25">
        <v>50000</v>
      </c>
      <c r="D16378" s="22" t="s">
        <v>21447</v>
      </c>
      <c r="E16378" s="22" t="s">
        <v>48</v>
      </c>
      <c r="F16378" s="23" t="str">
        <f>HYPERLINK("https://www.spark-marketing.ru/Card/Lot/71463429", "Оказание услуг по организации горячего питания для лиц, задержанных на срок более трех часов, содержащихся в специальных помещениях дежурной части Межмуниципального управления МВД России по ЗАТО г. Железногорск (с 01.01.2020 года по 31.12.2021 года)")</f>
        <v>Оказание услуг по организации горячего питания для лиц, задержанных на срок более трех часов, содержащихся в специальных помещениях дежурной части Межмуниципального управления МВД России по ЗАТО г. Железногорск (с 01.01.2020 года по 31.12.2021 года)</v>
      </c>
      <c r="G16378" s="22" t="s">
        <v>281</v>
      </c>
      <c r="H16378" s="22" t="s">
        <v>281</v>
      </c>
      <c r="I16378" s="26">
        <v>43634.609722222202</v>
      </c>
      <c r="J16378" s="23" t="str">
        <f>HYPERLINK("https://www.spark-marketing.ru/Card/Person/450859", "Лаптев Алексей Александрович")</f>
        <v>Лаптев Алексей Александрович</v>
      </c>
      <c r="K16378" s="24" t="s">
        <v>17927</v>
      </c>
      <c r="L16378" s="22" t="s">
        <v>10</v>
      </c>
      <c r="M16378" s="28" t="s">
        <v>51</v>
      </c>
      <c r="N16378" s="28" t="s">
        <v>51</v>
      </c>
    </row>
    <row r="16379" spans="1:14" ht="12.75" x14ac:dyDescent="0.2">
      <c r="A16379" s="23" t="str">
        <f>HYPERLINK("https://www.spark-marketing.ru/Card/Person/31442", "ФКПОУ ""КМКИС"" МИНТРУДА РОССИИ")</f>
        <v>ФКПОУ "КМКИС" МИНТРУДА РОССИИ</v>
      </c>
      <c r="B16379" s="24" t="s">
        <v>3211</v>
      </c>
      <c r="C16379" s="25">
        <v>2753600</v>
      </c>
      <c r="D16379" s="22" t="s">
        <v>21448</v>
      </c>
      <c r="E16379" s="22" t="s">
        <v>48</v>
      </c>
      <c r="F16379" s="23" t="str">
        <f>HYPERLINK("https://www.spark-marketing.ru/Card/Lot/71475819", "Услуги по организации ежедневного трехразового питания студентов-инвалидов")</f>
        <v>Услуги по организации ежедневного трехразового питания студентов-инвалидов</v>
      </c>
      <c r="G16379" s="22" t="s">
        <v>1111</v>
      </c>
      <c r="H16379" s="22" t="s">
        <v>1112</v>
      </c>
      <c r="I16379" s="26">
        <v>43634.6159722222</v>
      </c>
      <c r="J16379" s="23" t="str">
        <f>HYPERLINK("https://www.spark-marketing.ru/Card/Person/83981", "Дюкарева Людмила Николаевна")</f>
        <v>Дюкарева Людмила Николаевна</v>
      </c>
      <c r="K16379" s="24" t="s">
        <v>14769</v>
      </c>
      <c r="L16379" s="22" t="s">
        <v>10</v>
      </c>
      <c r="M16379" s="25">
        <v>2684760</v>
      </c>
      <c r="N16379" s="27">
        <v>2.5000000000000001E-2</v>
      </c>
    </row>
    <row r="16380" spans="1:14" x14ac:dyDescent="0.15">
      <c r="A16380" s="23" t="str">
        <f>HYPERLINK("https://www.spark-marketing.ru/Card/Person/1072686", "МО МВД РОССИИ ""ДЖАНКОЙСКИЙ""")</f>
        <v>МО МВД РОССИИ "ДЖАНКОЙСКИЙ"</v>
      </c>
      <c r="B16380" s="24" t="s">
        <v>21449</v>
      </c>
      <c r="C16380" s="25">
        <v>1530938</v>
      </c>
      <c r="D16380" s="22" t="s">
        <v>21450</v>
      </c>
      <c r="E16380" s="22" t="s">
        <v>48</v>
      </c>
      <c r="F16380" s="23" t="str">
        <f>HYPERLINK("https://www.spark-marketing.ru/Card/Lot/71474567", "Оказание услуг по обеспечению питанием лиц, содержащихся в изоляторе временного содержания подозреваемых и обвиняемых, комнате для содержания задержанных лиц")</f>
        <v>Оказание услуг по обеспечению питанием лиц, содержащихся в изоляторе временного содержания подозреваемых и обвиняемых, комнате для содержания задержанных лиц</v>
      </c>
      <c r="G16380" s="22" t="s">
        <v>108</v>
      </c>
      <c r="H16380" s="22" t="s">
        <v>9762</v>
      </c>
      <c r="I16380" s="26">
        <v>43634.612500000003</v>
      </c>
      <c r="J16380" s="23" t="str">
        <f>HYPERLINK("https://www.spark-marketing.ru/Card/Person/6409118", "Рябоконь Александр Олегович")</f>
        <v>Рябоконь Александр Олегович</v>
      </c>
      <c r="K16380" s="24" t="s">
        <v>21451</v>
      </c>
      <c r="L16380" s="22" t="s">
        <v>10</v>
      </c>
      <c r="M16380" s="28" t="s">
        <v>51</v>
      </c>
      <c r="N16380" s="28" t="s">
        <v>51</v>
      </c>
    </row>
    <row r="16381" spans="1:14" x14ac:dyDescent="0.15">
      <c r="A16381" s="23" t="str">
        <f>HYPERLINK("https://www.spark-marketing.ru/Card/Person/4192", "ГУ - АМУРСКОЕ РО ФОНДА СОЦИАЛЬНОГО СТРАХОВАНИЯ РОССИЙСКОЙ ФЕДЕРАЦИИ")</f>
        <v>ГУ - АМУРСКОЕ РО ФОНДА СОЦИАЛЬНОГО СТРАХОВАНИЯ РОССИЙСКОЙ ФЕДЕРАЦИИ</v>
      </c>
      <c r="B16381" s="24" t="s">
        <v>11350</v>
      </c>
      <c r="C16381" s="25">
        <v>565956.72</v>
      </c>
      <c r="D16381" s="22" t="s">
        <v>21452</v>
      </c>
      <c r="E16381" s="22" t="s">
        <v>86</v>
      </c>
      <c r="F16381" s="23" t="str">
        <f>HYPERLINK("https://www.spark-marketing.ru/Card/Lot/71449400", "Оказание услуг по санаторно-курортному лечению детей-инвалидов, имеющих право на получение государственной социальной помощи в виде набора социальных услуг и сопровождающих их лиц по классу МКБ - 10: IV ""Болезни эндокринной системы, расстройства пит...")</f>
        <v>Оказание услуг по санаторно-курортному лечению детей-инвалидов, имеющих право на получение государственной социальной помощи в виде набора социальных услуг и сопровождающих их лиц по классу МКБ - 10: IV "Болезни эндокринной системы, расстройства пит...</v>
      </c>
      <c r="G16381" s="22" t="s">
        <v>543</v>
      </c>
      <c r="H16381" s="22" t="s">
        <v>543</v>
      </c>
      <c r="I16381" s="26">
        <v>43634.603472222203</v>
      </c>
      <c r="J16381" s="23" t="str">
        <f>HYPERLINK("https://www.spark-marketing.ru/Card/Person/162675", "ООО ""САНАТОРИЙ ""ИЗУМРУДНЫЙ""")</f>
        <v>ООО "САНАТОРИЙ "ИЗУМРУДНЫЙ"</v>
      </c>
      <c r="K16381" s="24" t="s">
        <v>15945</v>
      </c>
      <c r="L16381" s="22" t="s">
        <v>10</v>
      </c>
      <c r="M16381" s="28" t="s">
        <v>51</v>
      </c>
      <c r="N16381" s="28" t="s">
        <v>51</v>
      </c>
    </row>
    <row r="16382" spans="1:14" x14ac:dyDescent="0.15">
      <c r="A16382" s="23" t="str">
        <f>HYPERLINK("https://www.spark-marketing.ru/Card/Person/50155", "МО МВД РОССИИ ""БОРОДИНСКИЙ""")</f>
        <v>МО МВД РОССИИ "БОРОДИНСКИЙ"</v>
      </c>
      <c r="B16382" s="24" t="s">
        <v>21453</v>
      </c>
      <c r="C16382" s="25">
        <v>1650000</v>
      </c>
      <c r="D16382" s="22" t="s">
        <v>21454</v>
      </c>
      <c r="E16382" s="22" t="s">
        <v>96</v>
      </c>
      <c r="F16382" s="23" t="str">
        <f>HYPERLINK("https://www.spark-marketing.ru/Card/Lot/71453182", "Услуги по трехразовому суточному горячему питанию")</f>
        <v>Услуги по трехразовому суточному горячему питанию</v>
      </c>
      <c r="G16382" s="22" t="s">
        <v>281</v>
      </c>
      <c r="H16382" s="22" t="s">
        <v>21455</v>
      </c>
      <c r="I16382" s="26">
        <v>43634.584027777797</v>
      </c>
      <c r="J16382" s="28" t="s">
        <v>51</v>
      </c>
      <c r="K16382" s="28" t="s">
        <v>51</v>
      </c>
      <c r="L16382" s="28" t="s">
        <v>51</v>
      </c>
      <c r="M16382" s="28" t="s">
        <v>51</v>
      </c>
      <c r="N16382" s="28" t="s">
        <v>51</v>
      </c>
    </row>
    <row r="16383" spans="1:14" hidden="1" outlineLevel="1" x14ac:dyDescent="0.2">
      <c r="A16383" s="23" t="str">
        <f>HYPERLINK("https://www.spark-marketing.ru/Card/Person/50155", "МО МВД РОССИИ ""БОРОДИНСКИЙ""")</f>
        <v>МО МВД РОССИИ "БОРОДИНСКИЙ"</v>
      </c>
      <c r="B16383" s="24" t="s">
        <v>21453</v>
      </c>
      <c r="C16383" s="25">
        <v>1650000</v>
      </c>
      <c r="D16383" s="22" t="s">
        <v>21454</v>
      </c>
      <c r="E16383" s="22" t="s">
        <v>96</v>
      </c>
      <c r="F16383" s="23" t="str">
        <f>HYPERLINK("https://www.spark-marketing.ru/Card/Lot/71453182", "Услуги по трехразовому суточному горячему питанию")</f>
        <v>Услуги по трехразовому суточному горячему питанию</v>
      </c>
      <c r="G16383" s="22" t="s">
        <v>281</v>
      </c>
      <c r="H16383" s="22" t="s">
        <v>21455</v>
      </c>
      <c r="I16383" s="26">
        <v>43634.584027777797</v>
      </c>
      <c r="J16383" s="23" t="str">
        <f>HYPERLINK("https://www.spark-marketing.ru/Card/Person/948571", "Донец Наталья Николаевна")</f>
        <v>Донец Наталья Николаевна</v>
      </c>
      <c r="K16383" s="24" t="s">
        <v>21456</v>
      </c>
      <c r="L16383" s="28" t="s">
        <v>51</v>
      </c>
      <c r="M16383" s="25">
        <v>1253250</v>
      </c>
      <c r="N16383" s="27">
        <v>0.24045454545454545</v>
      </c>
    </row>
    <row r="16384" spans="1:14" ht="12.75" hidden="1" outlineLevel="1" x14ac:dyDescent="0.2">
      <c r="A16384" s="23" t="str">
        <f>HYPERLINK("https://www.spark-marketing.ru/Card/Person/50155", "МО МВД РОССИИ ""БОРОДИНСКИЙ""")</f>
        <v>МО МВД РОССИИ "БОРОДИНСКИЙ"</v>
      </c>
      <c r="B16384" s="24" t="s">
        <v>21453</v>
      </c>
      <c r="C16384" s="25">
        <v>1650000</v>
      </c>
      <c r="D16384" s="22" t="s">
        <v>21454</v>
      </c>
      <c r="E16384" s="22" t="s">
        <v>96</v>
      </c>
      <c r="F16384" s="23" t="str">
        <f>HYPERLINK("https://www.spark-marketing.ru/Card/Lot/71453182", "Услуги по трехразовому суточному горячему питанию")</f>
        <v>Услуги по трехразовому суточному горячему питанию</v>
      </c>
      <c r="G16384" s="22" t="s">
        <v>281</v>
      </c>
      <c r="H16384" s="22" t="s">
        <v>21455</v>
      </c>
      <c r="I16384" s="26">
        <v>43634.584027777797</v>
      </c>
      <c r="J16384" s="23" t="str">
        <f>HYPERLINK("https://www.spark-marketing.ru/Card/Person/192292", "ООО ""ПАРТНЕРЫ КРАСНОЯРСК""")</f>
        <v>ООО "ПАРТНЕРЫ КРАСНОЯРСК"</v>
      </c>
      <c r="K16384" s="24" t="s">
        <v>21457</v>
      </c>
      <c r="L16384" s="22" t="s">
        <v>10</v>
      </c>
      <c r="M16384" s="25">
        <v>1245000</v>
      </c>
      <c r="N16384" s="27">
        <v>0.24545454545454545</v>
      </c>
    </row>
    <row r="16385" spans="1:14" x14ac:dyDescent="0.15">
      <c r="A16385" s="23" t="str">
        <f>HYPERLINK("https://www.spark-marketing.ru/Card/Person/493985", "МАОУДО ТАМБОВСКИЙ ЦДТ")</f>
        <v>МАОУДО ТАМБОВСКИЙ ЦДТ</v>
      </c>
      <c r="B16385" s="24" t="s">
        <v>15887</v>
      </c>
      <c r="C16385" s="25">
        <v>324000</v>
      </c>
      <c r="D16385" s="22" t="s">
        <v>21458</v>
      </c>
      <c r="E16385" s="22" t="s">
        <v>362</v>
      </c>
      <c r="F16385" s="23" t="str">
        <f>HYPERLINK("https://www.spark-marketing.ru/Card/Lot/71444419", "Оказание услуг питания")</f>
        <v>Оказание услуг питания</v>
      </c>
      <c r="G16385" s="22" t="s">
        <v>210</v>
      </c>
      <c r="H16385" s="22" t="s">
        <v>210</v>
      </c>
      <c r="I16385" s="26">
        <v>43634.621643518498</v>
      </c>
      <c r="J16385" s="28" t="s">
        <v>51</v>
      </c>
      <c r="K16385" s="28" t="s">
        <v>51</v>
      </c>
      <c r="L16385" s="28" t="s">
        <v>51</v>
      </c>
      <c r="M16385" s="28" t="s">
        <v>51</v>
      </c>
      <c r="N16385" s="28" t="s">
        <v>51</v>
      </c>
    </row>
    <row r="16386" spans="1:14" x14ac:dyDescent="0.15">
      <c r="A16386" s="23" t="str">
        <f>HYPERLINK("https://www.spark-marketing.ru/Card/Person/14868", "МУ МВД РОССИИ ""ЭНГЕЛЬССКОЕ"" САРАТОВСКОЙ ОБЛАСТИ")</f>
        <v>МУ МВД РОССИИ "ЭНГЕЛЬССКОЕ" САРАТОВСКОЙ ОБЛАСТИ</v>
      </c>
      <c r="B16386" s="24" t="s">
        <v>1283</v>
      </c>
      <c r="C16386" s="25">
        <v>611468.80000000005</v>
      </c>
      <c r="D16386" s="22" t="s">
        <v>21459</v>
      </c>
      <c r="E16386" s="22" t="s">
        <v>48</v>
      </c>
      <c r="F16386" s="23" t="str">
        <f>HYPERLINK("https://www.spark-marketing.ru/Card/Lot/71473224", "Оказание услуг по организации питания лиц, содержащихся в ИВС, Спец.приемнике и КСЗ территориальных отделов МУ МВД России ""Энгельсское"" Саратовской области.")</f>
        <v>Оказание услуг по организации питания лиц, содержащихся в ИВС, Спец.приемнике и КСЗ территориальных отделов МУ МВД России "Энгельсское" Саратовской области.</v>
      </c>
      <c r="G16386" s="22" t="s">
        <v>351</v>
      </c>
      <c r="H16386" s="22" t="s">
        <v>1285</v>
      </c>
      <c r="I16386" s="26">
        <v>43634.6</v>
      </c>
      <c r="J16386" s="28" t="s">
        <v>51</v>
      </c>
      <c r="K16386" s="28" t="s">
        <v>51</v>
      </c>
      <c r="L16386" s="28" t="s">
        <v>51</v>
      </c>
      <c r="M16386" s="28" t="s">
        <v>51</v>
      </c>
      <c r="N16386" s="28" t="s">
        <v>51</v>
      </c>
    </row>
    <row r="16387" spans="1:14" ht="12.75" hidden="1" outlineLevel="1" x14ac:dyDescent="0.2">
      <c r="A16387" s="23" t="str">
        <f>HYPERLINK("https://www.spark-marketing.ru/Card/Person/14868", "МУ МВД РОССИИ ""ЭНГЕЛЬССКОЕ"" САРАТОВСКОЙ ОБЛАСТИ")</f>
        <v>МУ МВД РОССИИ "ЭНГЕЛЬССКОЕ" САРАТОВСКОЙ ОБЛАСТИ</v>
      </c>
      <c r="B16387" s="24" t="s">
        <v>1283</v>
      </c>
      <c r="C16387" s="25">
        <v>611468.80000000005</v>
      </c>
      <c r="D16387" s="22" t="s">
        <v>21459</v>
      </c>
      <c r="E16387" s="22" t="s">
        <v>48</v>
      </c>
      <c r="F16387" s="23" t="str">
        <f>HYPERLINK("https://www.spark-marketing.ru/Card/Lot/71473224", "Оказание услуг по организации питания лиц, содержащихся в ИВС, Спец.приемнике и КСЗ территориальных отделов МУ МВД России ""Энгельсское"" Саратовской области.")</f>
        <v>Оказание услуг по организации питания лиц, содержащихся в ИВС, Спец.приемнике и КСЗ территориальных отделов МУ МВД России "Энгельсское" Саратовской области.</v>
      </c>
      <c r="G16387" s="22" t="s">
        <v>351</v>
      </c>
      <c r="H16387" s="22" t="s">
        <v>1285</v>
      </c>
      <c r="I16387" s="26">
        <v>43634.6</v>
      </c>
      <c r="J16387" s="23" t="str">
        <f>HYPERLINK("https://www.spark-marketing.ru/Card/Person/1169263", "Анненкова Виктория Геннадьевна")</f>
        <v>Анненкова Виктория Геннадьевна</v>
      </c>
      <c r="K16387" s="24" t="s">
        <v>3376</v>
      </c>
      <c r="L16387" s="22" t="s">
        <v>10</v>
      </c>
      <c r="M16387" s="25">
        <v>241530.5</v>
      </c>
      <c r="N16387" s="27">
        <v>0.60499947012832056</v>
      </c>
    </row>
    <row r="16388" spans="1:14" hidden="1" outlineLevel="1" x14ac:dyDescent="0.2">
      <c r="A16388" s="23" t="str">
        <f>HYPERLINK("https://www.spark-marketing.ru/Card/Person/14868", "МУ МВД РОССИИ ""ЭНГЕЛЬССКОЕ"" САРАТОВСКОЙ ОБЛАСТИ")</f>
        <v>МУ МВД РОССИИ "ЭНГЕЛЬССКОЕ" САРАТОВСКОЙ ОБЛАСТИ</v>
      </c>
      <c r="B16388" s="24" t="s">
        <v>1283</v>
      </c>
      <c r="C16388" s="25">
        <v>611468.80000000005</v>
      </c>
      <c r="D16388" s="22" t="s">
        <v>21459</v>
      </c>
      <c r="E16388" s="22" t="s">
        <v>48</v>
      </c>
      <c r="F16388" s="23" t="str">
        <f>HYPERLINK("https://www.spark-marketing.ru/Card/Lot/71473224", "Оказание услуг по организации питания лиц, содержащихся в ИВС, Спец.приемнике и КСЗ территориальных отделов МУ МВД России ""Энгельсское"" Саратовской области.")</f>
        <v>Оказание услуг по организации питания лиц, содержащихся в ИВС, Спец.приемнике и КСЗ территориальных отделов МУ МВД России "Энгельсское" Саратовской области.</v>
      </c>
      <c r="G16388" s="22" t="s">
        <v>351</v>
      </c>
      <c r="H16388" s="22" t="s">
        <v>1285</v>
      </c>
      <c r="I16388" s="26">
        <v>43634.6</v>
      </c>
      <c r="J16388" s="23" t="str">
        <f>HYPERLINK("https://www.spark-marketing.ru/Card/Person/4749311", "Барабонин Вадим Алексеевич")</f>
        <v>Барабонин Вадим Алексеевич</v>
      </c>
      <c r="K16388" s="24" t="s">
        <v>9155</v>
      </c>
      <c r="L16388" s="28" t="s">
        <v>51</v>
      </c>
      <c r="M16388" s="25">
        <v>599239.43999999994</v>
      </c>
      <c r="N16388" s="27">
        <v>1.999997383349731E-2</v>
      </c>
    </row>
    <row r="16389" spans="1:14" hidden="1" outlineLevel="1" x14ac:dyDescent="0.2">
      <c r="A16389" s="23" t="str">
        <f>HYPERLINK("https://www.spark-marketing.ru/Card/Person/14868", "МУ МВД РОССИИ ""ЭНГЕЛЬССКОЕ"" САРАТОВСКОЙ ОБЛАСТИ")</f>
        <v>МУ МВД РОССИИ "ЭНГЕЛЬССКОЕ" САРАТОВСКОЙ ОБЛАСТИ</v>
      </c>
      <c r="B16389" s="24" t="s">
        <v>1283</v>
      </c>
      <c r="C16389" s="25">
        <v>611468.80000000005</v>
      </c>
      <c r="D16389" s="22" t="s">
        <v>21459</v>
      </c>
      <c r="E16389" s="22" t="s">
        <v>48</v>
      </c>
      <c r="F16389" s="23" t="str">
        <f>HYPERLINK("https://www.spark-marketing.ru/Card/Lot/71473224", "Оказание услуг по организации питания лиц, содержащихся в ИВС, Спец.приемнике и КСЗ территориальных отделов МУ МВД России ""Энгельсское"" Саратовской области.")</f>
        <v>Оказание услуг по организации питания лиц, содержащихся в ИВС, Спец.приемнике и КСЗ территориальных отделов МУ МВД России "Энгельсское" Саратовской области.</v>
      </c>
      <c r="G16389" s="22" t="s">
        <v>351</v>
      </c>
      <c r="H16389" s="22" t="s">
        <v>1285</v>
      </c>
      <c r="I16389" s="26">
        <v>43634.6</v>
      </c>
      <c r="J16389" s="23" t="str">
        <f>HYPERLINK("https://www.spark-marketing.ru/Card/Person/4956823", "Букина Елена Петровна")</f>
        <v>Букина Елена Петровна</v>
      </c>
      <c r="K16389" s="24" t="s">
        <v>21460</v>
      </c>
      <c r="L16389" s="28" t="s">
        <v>51</v>
      </c>
      <c r="M16389" s="25">
        <v>244587.84</v>
      </c>
      <c r="N16389" s="27">
        <v>0.59999947666994624</v>
      </c>
    </row>
    <row r="16390" spans="1:14" x14ac:dyDescent="0.15">
      <c r="A16390" s="23" t="str">
        <f>HYPERLINK("https://www.spark-marketing.ru/Card/Person/103705", "ЦЕНТР СПЕЦИАЛЬНОЙ СВЯЗИ И ИНФОРМАЦИИ ФЕДЕРАЛЬНОЙ СЛУЖБЫ ОХРАНЫ РОССИЙСКОЙ ФЕДЕРАЦИИ В САМАРСКОЙ ОБЛАСТИ")</f>
        <v>ЦЕНТР СПЕЦИАЛЬНОЙ СВЯЗИ И ИНФОРМАЦИИ ФЕДЕРАЛЬНОЙ СЛУЖБЫ ОХРАНЫ РОССИЙСКОЙ ФЕДЕРАЦИИ В САМАРСКОЙ ОБЛАСТИ</v>
      </c>
      <c r="B16390" s="24" t="s">
        <v>21461</v>
      </c>
      <c r="C16390" s="25">
        <v>209000</v>
      </c>
      <c r="D16390" s="22" t="s">
        <v>21462</v>
      </c>
      <c r="E16390" s="22" t="s">
        <v>1018</v>
      </c>
      <c r="F16390" s="23" t="str">
        <f>HYPERLINK("https://www.spark-marketing.ru/Card/Lot/71470193", "Услуги по специальной проверке и специальным исследованиям технических средств")</f>
        <v>Услуги по специальной проверке и специальным исследованиям технических средств</v>
      </c>
      <c r="G16390" s="22" t="s">
        <v>128</v>
      </c>
      <c r="H16390" s="22" t="s">
        <v>128</v>
      </c>
      <c r="I16390" s="26">
        <v>43634.588194444397</v>
      </c>
      <c r="J16390" s="28" t="s">
        <v>51</v>
      </c>
      <c r="K16390" s="28" t="s">
        <v>51</v>
      </c>
      <c r="L16390" s="28" t="s">
        <v>51</v>
      </c>
      <c r="M16390" s="28" t="s">
        <v>51</v>
      </c>
      <c r="N16390" s="28" t="s">
        <v>51</v>
      </c>
    </row>
    <row r="16391" spans="1:14" ht="12.75" hidden="1" outlineLevel="1" x14ac:dyDescent="0.2">
      <c r="A16391" s="23" t="str">
        <f>HYPERLINK("https://www.spark-marketing.ru/Card/Person/103705", "ЦЕНТР СПЕЦИАЛЬНОЙ СВЯЗИ И ИНФОРМАЦИИ ФЕДЕРАЛЬНОЙ СЛУЖБЫ ОХРАНЫ РОССИЙСКОЙ ФЕДЕРАЦИИ В САМАРСКОЙ ОБЛАСТИ")</f>
        <v>ЦЕНТР СПЕЦИАЛЬНОЙ СВЯЗИ И ИНФОРМАЦИИ ФЕДЕРАЛЬНОЙ СЛУЖБЫ ОХРАНЫ РОССИЙСКОЙ ФЕДЕРАЦИИ В САМАРСКОЙ ОБЛАСТИ</v>
      </c>
      <c r="B16391" s="24" t="s">
        <v>21461</v>
      </c>
      <c r="C16391" s="25">
        <v>209000</v>
      </c>
      <c r="D16391" s="22" t="s">
        <v>21462</v>
      </c>
      <c r="E16391" s="22" t="s">
        <v>1018</v>
      </c>
      <c r="F16391" s="23" t="str">
        <f>HYPERLINK("https://www.spark-marketing.ru/Card/Lot/71470193", "Услуги по специальной проверке и специальным исследованиям технических средств")</f>
        <v>Услуги по специальной проверке и специальным исследованиям технических средств</v>
      </c>
      <c r="G16391" s="22" t="s">
        <v>128</v>
      </c>
      <c r="H16391" s="22" t="s">
        <v>128</v>
      </c>
      <c r="I16391" s="26">
        <v>43634.588194444397</v>
      </c>
      <c r="J16391" s="23" t="str">
        <f>HYPERLINK("https://www.spark-marketing.ru/Card/Person/10640", "ООО СПЕЦНТЦ ""ПРЕГРАДА""")</f>
        <v>ООО СПЕЦНТЦ "ПРЕГРАДА"</v>
      </c>
      <c r="K16391" s="24" t="s">
        <v>21463</v>
      </c>
      <c r="L16391" s="22" t="s">
        <v>10</v>
      </c>
      <c r="M16391" s="25">
        <v>120000</v>
      </c>
      <c r="N16391" s="27">
        <v>0.42583732057416268</v>
      </c>
    </row>
    <row r="16392" spans="1:14" hidden="1" outlineLevel="1" x14ac:dyDescent="0.2">
      <c r="A16392" s="23" t="str">
        <f>HYPERLINK("https://www.spark-marketing.ru/Card/Person/103705", "ЦЕНТР СПЕЦИАЛЬНОЙ СВЯЗИ И ИНФОРМАЦИИ ФЕДЕРАЛЬНОЙ СЛУЖБЫ ОХРАНЫ РОССИЙСКОЙ ФЕДЕРАЦИИ В САМАРСКОЙ ОБЛАСТИ")</f>
        <v>ЦЕНТР СПЕЦИАЛЬНОЙ СВЯЗИ И ИНФОРМАЦИИ ФЕДЕРАЛЬНОЙ СЛУЖБЫ ОХРАНЫ РОССИЙСКОЙ ФЕДЕРАЦИИ В САМАРСКОЙ ОБЛАСТИ</v>
      </c>
      <c r="B16392" s="24" t="s">
        <v>21461</v>
      </c>
      <c r="C16392" s="25">
        <v>209000</v>
      </c>
      <c r="D16392" s="22" t="s">
        <v>21462</v>
      </c>
      <c r="E16392" s="22" t="s">
        <v>1018</v>
      </c>
      <c r="F16392" s="23" t="str">
        <f>HYPERLINK("https://www.spark-marketing.ru/Card/Lot/71470193", "Услуги по специальной проверке и специальным исследованиям технических средств")</f>
        <v>Услуги по специальной проверке и специальным исследованиям технических средств</v>
      </c>
      <c r="G16392" s="22" t="s">
        <v>128</v>
      </c>
      <c r="H16392" s="22" t="s">
        <v>128</v>
      </c>
      <c r="I16392" s="26">
        <v>43634.588194444397</v>
      </c>
      <c r="J16392" s="23" t="str">
        <f>HYPERLINK("https://www.spark-marketing.ru/Card/Person/134206", "ООО ""ИДЕНТИФИКАЦИЯ""")</f>
        <v>ООО "ИДЕНТИФИКАЦИЯ"</v>
      </c>
      <c r="K16392" s="24" t="s">
        <v>21464</v>
      </c>
      <c r="L16392" s="28" t="s">
        <v>51</v>
      </c>
      <c r="M16392" s="25">
        <v>123480</v>
      </c>
      <c r="N16392" s="27">
        <v>0.40918660287081338</v>
      </c>
    </row>
    <row r="16393" spans="1:14" hidden="1" outlineLevel="1" x14ac:dyDescent="0.2">
      <c r="A16393" s="23" t="str">
        <f>HYPERLINK("https://www.spark-marketing.ru/Card/Person/103705", "ЦЕНТР СПЕЦИАЛЬНОЙ СВЯЗИ И ИНФОРМАЦИИ ФЕДЕРАЛЬНОЙ СЛУЖБЫ ОХРАНЫ РОССИЙСКОЙ ФЕДЕРАЦИИ В САМАРСКОЙ ОБЛАСТИ")</f>
        <v>ЦЕНТР СПЕЦИАЛЬНОЙ СВЯЗИ И ИНФОРМАЦИИ ФЕДЕРАЛЬНОЙ СЛУЖБЫ ОХРАНЫ РОССИЙСКОЙ ФЕДЕРАЦИИ В САМАРСКОЙ ОБЛАСТИ</v>
      </c>
      <c r="B16393" s="24" t="s">
        <v>21461</v>
      </c>
      <c r="C16393" s="25">
        <v>209000</v>
      </c>
      <c r="D16393" s="22" t="s">
        <v>21462</v>
      </c>
      <c r="E16393" s="22" t="s">
        <v>1018</v>
      </c>
      <c r="F16393" s="23" t="str">
        <f>HYPERLINK("https://www.spark-marketing.ru/Card/Lot/71470193", "Услуги по специальной проверке и специальным исследованиям технических средств")</f>
        <v>Услуги по специальной проверке и специальным исследованиям технических средств</v>
      </c>
      <c r="G16393" s="22" t="s">
        <v>128</v>
      </c>
      <c r="H16393" s="22" t="s">
        <v>128</v>
      </c>
      <c r="I16393" s="26">
        <v>43634.588194444397</v>
      </c>
      <c r="J16393" s="23" t="str">
        <f>HYPERLINK("https://www.spark-marketing.ru/Card/Person/17459", "ООО АКБ ""БАРЬЕР""")</f>
        <v>ООО АКБ "БАРЬЕР"</v>
      </c>
      <c r="K16393" s="24" t="s">
        <v>21465</v>
      </c>
      <c r="L16393" s="28" t="s">
        <v>51</v>
      </c>
      <c r="M16393" s="25">
        <v>208500</v>
      </c>
      <c r="N16393" s="27">
        <v>2.3923444976076554E-3</v>
      </c>
    </row>
    <row r="16394" spans="1:14" x14ac:dyDescent="0.15">
      <c r="A16394" s="23" t="s">
        <v>114</v>
      </c>
      <c r="B16394" s="28" t="s">
        <v>51</v>
      </c>
      <c r="C16394" s="25">
        <v>1154259.24</v>
      </c>
      <c r="D16394" s="22" t="s">
        <v>21466</v>
      </c>
      <c r="E16394" s="22" t="s">
        <v>48</v>
      </c>
      <c r="F16394" s="23" t="str">
        <f>HYPERLINK("https://www.spark-marketing.ru/Card/Lot/71474832", "Оказание услуг по организации питания")</f>
        <v>Оказание услуг по организации питания</v>
      </c>
      <c r="G16394" s="22" t="s">
        <v>51</v>
      </c>
      <c r="H16394" s="22" t="s">
        <v>51</v>
      </c>
      <c r="I16394" s="26">
        <v>43634.597222222197</v>
      </c>
      <c r="J16394" s="23" t="str">
        <f>HYPERLINK("https://www.spark-marketing.ru/Card/Person/763106", "ООО ""РАЗДОЛЬЕ-ОБЩЕПИТ""")</f>
        <v>ООО "РАЗДОЛЬЕ-ОБЩЕПИТ"</v>
      </c>
      <c r="K16394" s="24" t="s">
        <v>21467</v>
      </c>
      <c r="L16394" s="22" t="s">
        <v>10</v>
      </c>
      <c r="M16394" s="28" t="s">
        <v>51</v>
      </c>
      <c r="N16394" s="28" t="s">
        <v>51</v>
      </c>
    </row>
    <row r="16395" spans="1:14" hidden="1" outlineLevel="1" x14ac:dyDescent="0.15">
      <c r="A16395" s="23" t="str">
        <f>HYPERLINK("https://www.spark-marketing.ru/Card/Person/379797", "МБДОУ ""ДЕТСКИЙ САД ""ТЕРЕМОК"" П. ПОНОМАРЕВО")</f>
        <v>МБДОУ "ДЕТСКИЙ САД "ТЕРЕМОК" П. ПОНОМАРЕВО</v>
      </c>
      <c r="B16395" s="24" t="s">
        <v>21468</v>
      </c>
      <c r="C16395" s="25">
        <v>520849.62</v>
      </c>
      <c r="D16395" s="22" t="s">
        <v>21466</v>
      </c>
      <c r="E16395" s="22" t="s">
        <v>48</v>
      </c>
      <c r="F16395" s="23" t="str">
        <f>HYPERLINK("https://www.spark-marketing.ru/Card/Lot/71474832", "Оказание услуг по организации питания")</f>
        <v>Оказание услуг по организации питания</v>
      </c>
      <c r="G16395" s="22" t="s">
        <v>132</v>
      </c>
      <c r="H16395" s="22" t="s">
        <v>132</v>
      </c>
      <c r="I16395" s="26">
        <v>43634.597222222197</v>
      </c>
      <c r="J16395" s="23" t="str">
        <f>HYPERLINK("https://www.spark-marketing.ru/Card/Person/763106", "ООО ""РАЗДОЛЬЕ-ОБЩЕПИТ""")</f>
        <v>ООО "РАЗДОЛЬЕ-ОБЩЕПИТ"</v>
      </c>
      <c r="K16395" s="24" t="s">
        <v>21467</v>
      </c>
      <c r="L16395" s="22" t="s">
        <v>10</v>
      </c>
      <c r="M16395" s="28" t="s">
        <v>51</v>
      </c>
      <c r="N16395" s="28" t="s">
        <v>51</v>
      </c>
    </row>
    <row r="16396" spans="1:14" hidden="1" outlineLevel="1" x14ac:dyDescent="0.15">
      <c r="A16396" s="23" t="str">
        <f>HYPERLINK("https://www.spark-marketing.ru/Card/Person/1072943", "МБДОУ ""ДЕТСКИЙ САД ""РОМАШКА"" С. КРАСНОЕ")</f>
        <v>МБДОУ "ДЕТСКИЙ САД "РОМАШКА" С. КРАСНОЕ</v>
      </c>
      <c r="B16396" s="24" t="s">
        <v>21469</v>
      </c>
      <c r="C16396" s="25">
        <v>633409.62</v>
      </c>
      <c r="D16396" s="22" t="s">
        <v>21466</v>
      </c>
      <c r="E16396" s="22" t="s">
        <v>48</v>
      </c>
      <c r="F16396" s="23" t="str">
        <f>HYPERLINK("https://www.spark-marketing.ru/Card/Lot/71474832", "Оказание услуг по организации питания")</f>
        <v>Оказание услуг по организации питания</v>
      </c>
      <c r="G16396" s="22" t="s">
        <v>132</v>
      </c>
      <c r="H16396" s="22" t="s">
        <v>132</v>
      </c>
      <c r="I16396" s="26">
        <v>43634.597222222197</v>
      </c>
      <c r="J16396" s="23" t="str">
        <f>HYPERLINK("https://www.spark-marketing.ru/Card/Person/763106", "ООО ""РАЗДОЛЬЕ-ОБЩЕПИТ""")</f>
        <v>ООО "РАЗДОЛЬЕ-ОБЩЕПИТ"</v>
      </c>
      <c r="K16396" s="24" t="s">
        <v>21467</v>
      </c>
      <c r="L16396" s="22" t="s">
        <v>10</v>
      </c>
      <c r="M16396" s="28" t="s">
        <v>51</v>
      </c>
      <c r="N16396" s="28" t="s">
        <v>51</v>
      </c>
    </row>
    <row r="16397" spans="1:14" x14ac:dyDescent="0.15">
      <c r="A16397" s="23" t="str">
        <f>HYPERLINK("https://www.spark-marketing.ru/Card/Person/14868", "МУ МВД РОССИИ ""ЭНГЕЛЬССКОЕ"" САРАТОВСКОЙ ОБЛАСТИ")</f>
        <v>МУ МВД РОССИИ "ЭНГЕЛЬССКОЕ" САРАТОВСКОЙ ОБЛАСТИ</v>
      </c>
      <c r="B16397" s="24" t="s">
        <v>1283</v>
      </c>
      <c r="C16397" s="25">
        <v>729929.84</v>
      </c>
      <c r="D16397" s="22" t="s">
        <v>21470</v>
      </c>
      <c r="E16397" s="22" t="s">
        <v>48</v>
      </c>
      <c r="F16397" s="23" t="str">
        <f>HYPERLINK("https://www.spark-marketing.ru/Card/Lot/71473239", "Оказание услуг по организации питания иностранных граждан и лиц без гражданства, содержащихся в ЦВСИГ МУ МВД России ""Энгельсское"" Саратовской области по адресу: г.Энгельс, ул.Красноярская, д.5.")</f>
        <v>Оказание услуг по организации питания иностранных граждан и лиц без гражданства, содержащихся в ЦВСИГ МУ МВД России "Энгельсское" Саратовской области по адресу: г.Энгельс, ул.Красноярская, д.5.</v>
      </c>
      <c r="G16397" s="22" t="s">
        <v>351</v>
      </c>
      <c r="H16397" s="22" t="s">
        <v>1285</v>
      </c>
      <c r="I16397" s="26">
        <v>43634.605555555601</v>
      </c>
      <c r="J16397" s="28" t="s">
        <v>51</v>
      </c>
      <c r="K16397" s="28" t="s">
        <v>51</v>
      </c>
      <c r="L16397" s="28" t="s">
        <v>51</v>
      </c>
      <c r="M16397" s="28" t="s">
        <v>51</v>
      </c>
      <c r="N16397" s="28" t="s">
        <v>51</v>
      </c>
    </row>
    <row r="16398" spans="1:14" ht="12.75" hidden="1" outlineLevel="1" x14ac:dyDescent="0.2">
      <c r="A16398" s="23" t="str">
        <f>HYPERLINK("https://www.spark-marketing.ru/Card/Person/14868", "МУ МВД РОССИИ ""ЭНГЕЛЬССКОЕ"" САРАТОВСКОЙ ОБЛАСТИ")</f>
        <v>МУ МВД РОССИИ "ЭНГЕЛЬССКОЕ" САРАТОВСКОЙ ОБЛАСТИ</v>
      </c>
      <c r="B16398" s="24" t="s">
        <v>1283</v>
      </c>
      <c r="C16398" s="25">
        <v>729929.84</v>
      </c>
      <c r="D16398" s="22" t="s">
        <v>21470</v>
      </c>
      <c r="E16398" s="22" t="s">
        <v>48</v>
      </c>
      <c r="F16398" s="23" t="str">
        <f>HYPERLINK("https://www.spark-marketing.ru/Card/Lot/71473239", "Оказание услуг по организации питания иностранных граждан и лиц без гражданства, содержащихся в ЦВСИГ МУ МВД России ""Энгельсское"" Саратовской области по адресу: г.Энгельс, ул.Красноярская, д.5.")</f>
        <v>Оказание услуг по организации питания иностранных граждан и лиц без гражданства, содержащихся в ЦВСИГ МУ МВД России "Энгельсское" Саратовской области по адресу: г.Энгельс, ул.Красноярская, д.5.</v>
      </c>
      <c r="G16398" s="22" t="s">
        <v>351</v>
      </c>
      <c r="H16398" s="22" t="s">
        <v>1285</v>
      </c>
      <c r="I16398" s="26">
        <v>43634.605555555601</v>
      </c>
      <c r="J16398" s="23" t="str">
        <f>HYPERLINK("https://www.spark-marketing.ru/Card/Person/1169263", "Анненкова Виктория Геннадьевна")</f>
        <v>Анненкова Виктория Геннадьевна</v>
      </c>
      <c r="K16398" s="24" t="s">
        <v>3376</v>
      </c>
      <c r="L16398" s="22" t="s">
        <v>10</v>
      </c>
      <c r="M16398" s="25">
        <v>291388.83</v>
      </c>
      <c r="N16398" s="27">
        <v>0.60079885211981465</v>
      </c>
    </row>
    <row r="16399" spans="1:14" hidden="1" outlineLevel="1" x14ac:dyDescent="0.2">
      <c r="A16399" s="23" t="str">
        <f>HYPERLINK("https://www.spark-marketing.ru/Card/Person/14868", "МУ МВД РОССИИ ""ЭНГЕЛЬССКОЕ"" САРАТОВСКОЙ ОБЛАСТИ")</f>
        <v>МУ МВД РОССИИ "ЭНГЕЛЬССКОЕ" САРАТОВСКОЙ ОБЛАСТИ</v>
      </c>
      <c r="B16399" s="24" t="s">
        <v>1283</v>
      </c>
      <c r="C16399" s="25">
        <v>729929.84</v>
      </c>
      <c r="D16399" s="22" t="s">
        <v>21470</v>
      </c>
      <c r="E16399" s="22" t="s">
        <v>48</v>
      </c>
      <c r="F16399" s="23" t="str">
        <f>HYPERLINK("https://www.spark-marketing.ru/Card/Lot/71473239", "Оказание услуг по организации питания иностранных граждан и лиц без гражданства, содержащихся в ЦВСИГ МУ МВД России ""Энгельсское"" Саратовской области по адресу: г.Энгельс, ул.Красноярская, д.5.")</f>
        <v>Оказание услуг по организации питания иностранных граждан и лиц без гражданства, содержащихся в ЦВСИГ МУ МВД России "Энгельсское" Саратовской области по адресу: г.Энгельс, ул.Красноярская, д.5.</v>
      </c>
      <c r="G16399" s="22" t="s">
        <v>351</v>
      </c>
      <c r="H16399" s="22" t="s">
        <v>1285</v>
      </c>
      <c r="I16399" s="26">
        <v>43634.605555555601</v>
      </c>
      <c r="J16399" s="23" t="str">
        <f>HYPERLINK("https://www.spark-marketing.ru/Card/Person/4749311", "Барабонин Вадим Алексеевич")</f>
        <v>Барабонин Вадим Алексеевич</v>
      </c>
      <c r="K16399" s="24" t="s">
        <v>9155</v>
      </c>
      <c r="L16399" s="28" t="s">
        <v>51</v>
      </c>
      <c r="M16399" s="25">
        <v>718980.89</v>
      </c>
      <c r="N16399" s="27">
        <v>1.500000328798724E-2</v>
      </c>
    </row>
    <row r="16400" spans="1:14" hidden="1" outlineLevel="1" x14ac:dyDescent="0.2">
      <c r="A16400" s="23" t="str">
        <f>HYPERLINK("https://www.spark-marketing.ru/Card/Person/14868", "МУ МВД РОССИИ ""ЭНГЕЛЬССКОЕ"" САРАТОВСКОЙ ОБЛАСТИ")</f>
        <v>МУ МВД РОССИИ "ЭНГЕЛЬССКОЕ" САРАТОВСКОЙ ОБЛАСТИ</v>
      </c>
      <c r="B16400" s="24" t="s">
        <v>1283</v>
      </c>
      <c r="C16400" s="25">
        <v>729929.84</v>
      </c>
      <c r="D16400" s="22" t="s">
        <v>21470</v>
      </c>
      <c r="E16400" s="22" t="s">
        <v>48</v>
      </c>
      <c r="F16400" s="23" t="str">
        <f>HYPERLINK("https://www.spark-marketing.ru/Card/Lot/71473239", "Оказание услуг по организации питания иностранных граждан и лиц без гражданства, содержащихся в ЦВСИГ МУ МВД России ""Энгельсское"" Саратовской области по адресу: г.Энгельс, ул.Красноярская, д.5.")</f>
        <v>Оказание услуг по организации питания иностранных граждан и лиц без гражданства, содержащихся в ЦВСИГ МУ МВД России "Энгельсское" Саратовской области по адресу: г.Энгельс, ул.Красноярская, д.5.</v>
      </c>
      <c r="G16400" s="22" t="s">
        <v>351</v>
      </c>
      <c r="H16400" s="22" t="s">
        <v>1285</v>
      </c>
      <c r="I16400" s="26">
        <v>43634.605555555601</v>
      </c>
      <c r="J16400" s="23" t="str">
        <f>HYPERLINK("https://www.spark-marketing.ru/Card/Person/4956823", "Букина Елена Петровна")</f>
        <v>Букина Елена Петровна</v>
      </c>
      <c r="K16400" s="24" t="s">
        <v>21460</v>
      </c>
      <c r="L16400" s="28" t="s">
        <v>51</v>
      </c>
      <c r="M16400" s="25">
        <v>295038.48</v>
      </c>
      <c r="N16400" s="27">
        <v>0.59579885102381891</v>
      </c>
    </row>
    <row r="16401" spans="1:14" x14ac:dyDescent="0.15">
      <c r="A1640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401" s="24" t="s">
        <v>3255</v>
      </c>
      <c r="C16401" s="25">
        <v>1676582.6</v>
      </c>
      <c r="D16401" s="22" t="s">
        <v>21471</v>
      </c>
      <c r="E16401" s="22" t="s">
        <v>52</v>
      </c>
      <c r="F16401" s="23" t="str">
        <f>HYPERLINK("https://www.spark-marketing.ru/Card/Lot/71453144", "Поставка лекарственного препарата для медицинского применения ""Дарбэпоэтин альфа""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специализирова...")</f>
        <v>Поставка лекарственного препарата для медицинского применения "Дарбэпоэтин альфа"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специализирова...</v>
      </c>
      <c r="G16401" s="22" t="s">
        <v>210</v>
      </c>
      <c r="H16401" s="22" t="s">
        <v>3257</v>
      </c>
      <c r="I16401" s="26">
        <v>43634.588194444397</v>
      </c>
      <c r="J16401" s="23" t="str">
        <f>HYPERLINK("https://www.spark-marketing.ru/Card/Person/5970659", "ООО ""ФАРМЛОГИСТИКА""")</f>
        <v>ООО "ФАРМЛОГИСТИКА"</v>
      </c>
      <c r="K16401" s="24" t="s">
        <v>18386</v>
      </c>
      <c r="L16401" s="22" t="s">
        <v>10</v>
      </c>
      <c r="M16401" s="28" t="s">
        <v>51</v>
      </c>
      <c r="N16401" s="28" t="s">
        <v>51</v>
      </c>
    </row>
    <row r="16402" spans="1:14" x14ac:dyDescent="0.15">
      <c r="A16402" s="23" t="s">
        <v>114</v>
      </c>
      <c r="B16402" s="28" t="s">
        <v>51</v>
      </c>
      <c r="C16402" s="25">
        <v>1862770.86</v>
      </c>
      <c r="D16402" s="22" t="s">
        <v>21472</v>
      </c>
      <c r="E16402" s="22" t="s">
        <v>48</v>
      </c>
      <c r="F16402" s="23" t="str">
        <f>HYPERLINK("https://www.spark-marketing.ru/Card/Lot/71475164", "Оказание услуг по организации питания")</f>
        <v>Оказание услуг по организации питания</v>
      </c>
      <c r="G16402" s="22" t="s">
        <v>51</v>
      </c>
      <c r="H16402" s="22" t="s">
        <v>51</v>
      </c>
      <c r="I16402" s="26">
        <v>43634.596527777801</v>
      </c>
      <c r="J16402" s="23" t="str">
        <f>HYPERLINK("https://www.spark-marketing.ru/Card/Person/763106", "ООО ""РАЗДОЛЬЕ-ОБЩЕПИТ""")</f>
        <v>ООО "РАЗДОЛЬЕ-ОБЩЕПИТ"</v>
      </c>
      <c r="K16402" s="24" t="s">
        <v>21467</v>
      </c>
      <c r="L16402" s="22" t="s">
        <v>10</v>
      </c>
      <c r="M16402" s="28" t="s">
        <v>51</v>
      </c>
      <c r="N16402" s="28" t="s">
        <v>51</v>
      </c>
    </row>
    <row r="16403" spans="1:14" hidden="1" outlineLevel="1" x14ac:dyDescent="0.15">
      <c r="A16403" s="23" t="str">
        <f>HYPERLINK("https://www.spark-marketing.ru/Card/Person/1072634", "МБДОУ ""ДЕТСКИЙ САД ""КОЛОСОК"" П.ФУРМАНОВ")</f>
        <v>МБДОУ "ДЕТСКИЙ САД "КОЛОСОК" П.ФУРМАНОВ</v>
      </c>
      <c r="B16403" s="24" t="s">
        <v>21473</v>
      </c>
      <c r="C16403" s="25">
        <v>1021041.24</v>
      </c>
      <c r="D16403" s="22" t="s">
        <v>21472</v>
      </c>
      <c r="E16403" s="22" t="s">
        <v>48</v>
      </c>
      <c r="F16403" s="23" t="str">
        <f>HYPERLINK("https://www.spark-marketing.ru/Card/Lot/71475164", "Оказание услуг по организации питания")</f>
        <v>Оказание услуг по организации питания</v>
      </c>
      <c r="G16403" s="22" t="s">
        <v>132</v>
      </c>
      <c r="H16403" s="22" t="s">
        <v>132</v>
      </c>
      <c r="I16403" s="26">
        <v>43634.596527777801</v>
      </c>
      <c r="J16403" s="23" t="str">
        <f>HYPERLINK("https://www.spark-marketing.ru/Card/Person/763106", "ООО ""РАЗДОЛЬЕ-ОБЩЕПИТ""")</f>
        <v>ООО "РАЗДОЛЬЕ-ОБЩЕПИТ"</v>
      </c>
      <c r="K16403" s="24" t="s">
        <v>21467</v>
      </c>
      <c r="L16403" s="22" t="s">
        <v>10</v>
      </c>
      <c r="M16403" s="28" t="s">
        <v>51</v>
      </c>
      <c r="N16403" s="28" t="s">
        <v>51</v>
      </c>
    </row>
    <row r="16404" spans="1:14" hidden="1" outlineLevel="1" x14ac:dyDescent="0.15">
      <c r="A16404" s="23" t="str">
        <f>HYPERLINK("https://www.spark-marketing.ru/Card/Person/1073109", "МБДОУ ""ДЕТСКИЙ САД ""КОЛОСОК"" С. СОБОЛЕВО")</f>
        <v>МБДОУ "ДЕТСКИЙ САД "КОЛОСОК" С. СОБОЛЕВО</v>
      </c>
      <c r="B16404" s="24" t="s">
        <v>21474</v>
      </c>
      <c r="C16404" s="25">
        <v>841729.62</v>
      </c>
      <c r="D16404" s="22" t="s">
        <v>21472</v>
      </c>
      <c r="E16404" s="22" t="s">
        <v>48</v>
      </c>
      <c r="F16404" s="23" t="str">
        <f>HYPERLINK("https://www.spark-marketing.ru/Card/Lot/71475164", "Оказание услуг по организации питания")</f>
        <v>Оказание услуг по организации питания</v>
      </c>
      <c r="G16404" s="22" t="s">
        <v>132</v>
      </c>
      <c r="H16404" s="22" t="s">
        <v>132</v>
      </c>
      <c r="I16404" s="26">
        <v>43634.596527777801</v>
      </c>
      <c r="J16404" s="23" t="str">
        <f>HYPERLINK("https://www.spark-marketing.ru/Card/Person/763106", "ООО ""РАЗДОЛЬЕ-ОБЩЕПИТ""")</f>
        <v>ООО "РАЗДОЛЬЕ-ОБЩЕПИТ"</v>
      </c>
      <c r="K16404" s="24" t="s">
        <v>21467</v>
      </c>
      <c r="L16404" s="22" t="s">
        <v>10</v>
      </c>
      <c r="M16404" s="28" t="s">
        <v>51</v>
      </c>
      <c r="N16404" s="28" t="s">
        <v>51</v>
      </c>
    </row>
    <row r="16405" spans="1:14" x14ac:dyDescent="0.2">
      <c r="A16405" s="23" t="str">
        <f>HYPERLINK("https://www.spark-marketing.ru/Card/Person/14801", "ГАУКАО ""АМУРСКАЯ ОБЛАСТНАЯ ФИЛАРМОНИЯ""")</f>
        <v>ГАУКАО "АМУРСКАЯ ОБЛАСТНАЯ ФИЛАРМОНИЯ"</v>
      </c>
      <c r="B16405" s="24" t="s">
        <v>5724</v>
      </c>
      <c r="C16405" s="25">
        <v>300000</v>
      </c>
      <c r="D16405" s="22" t="s">
        <v>21475</v>
      </c>
      <c r="E16405" s="22" t="s">
        <v>362</v>
      </c>
      <c r="F16405" s="23" t="str">
        <f>HYPERLINK("https://www.spark-marketing.ru/Card/Lot/71443009", "Оказание услуг по организации питания участников X международного фестиваля «Российско-китайская ярмарка культуры и искусства")</f>
        <v>Оказание услуг по организации питания участников X международного фестиваля «Российско-китайская ярмарка культуры и искусства</v>
      </c>
      <c r="G16405" s="22" t="s">
        <v>210</v>
      </c>
      <c r="H16405" s="22" t="s">
        <v>3257</v>
      </c>
      <c r="I16405" s="26">
        <v>43634.5756944444</v>
      </c>
      <c r="J16405" s="28" t="s">
        <v>51</v>
      </c>
      <c r="K16405" s="28" t="s">
        <v>51</v>
      </c>
      <c r="L16405" s="28" t="s">
        <v>51</v>
      </c>
      <c r="M16405" s="25">
        <v>300000</v>
      </c>
      <c r="N16405" s="27">
        <v>0</v>
      </c>
    </row>
    <row r="16406" spans="1:14" x14ac:dyDescent="0.15">
      <c r="A16406" s="23" t="str">
        <f>HYPERLINK("https://www.spark-marketing.ru/Card/Person/4343663", "МИНЗДРАВ АЛТАЙСКОГО КРАЯ")</f>
        <v>МИНЗДРАВ АЛТАЙСКОГО КРАЯ</v>
      </c>
      <c r="B16406" s="24" t="s">
        <v>9429</v>
      </c>
      <c r="C16406" s="25">
        <v>96000</v>
      </c>
      <c r="D16406" s="22" t="s">
        <v>21476</v>
      </c>
      <c r="E16406" s="22" t="s">
        <v>336</v>
      </c>
      <c r="F16406" s="23" t="str">
        <f>HYPERLINK("https://www.spark-marketing.ru/Card/Lot/71452310",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406" s="22" t="s">
        <v>63</v>
      </c>
      <c r="H16406" s="22" t="s">
        <v>177</v>
      </c>
      <c r="I16406" s="26">
        <v>43634.5756944444</v>
      </c>
      <c r="J16406" s="28" t="s">
        <v>51</v>
      </c>
      <c r="K16406" s="28" t="s">
        <v>51</v>
      </c>
      <c r="L16406" s="28" t="s">
        <v>51</v>
      </c>
      <c r="M16406" s="28" t="s">
        <v>51</v>
      </c>
      <c r="N16406" s="28" t="s">
        <v>51</v>
      </c>
    </row>
    <row r="16407" spans="1:14" x14ac:dyDescent="0.15">
      <c r="A16407" s="23" t="str">
        <f>HYPERLINK("https://www.spark-marketing.ru/Card/Person/236395", "МБОУДО ""ДЭЦ""")</f>
        <v>МБОУДО "ДЭЦ"</v>
      </c>
      <c r="B16407" s="24" t="s">
        <v>21477</v>
      </c>
      <c r="C16407" s="25">
        <v>76320</v>
      </c>
      <c r="D16407" s="22" t="s">
        <v>21478</v>
      </c>
      <c r="E16407" s="22" t="s">
        <v>48</v>
      </c>
      <c r="F16407" s="23" t="str">
        <f>HYPERLINK("https://www.spark-marketing.ru/Card/Lot/71453302", "Услуги по организации питания в оздоровительных учреждениях с дневным пребыванием детей в период каникул")</f>
        <v>Услуги по организации питания в оздоровительных учреждениях с дневным пребыванием детей в период каникул</v>
      </c>
      <c r="G16407" s="22" t="s">
        <v>49</v>
      </c>
      <c r="H16407" s="22" t="s">
        <v>404</v>
      </c>
      <c r="I16407" s="26">
        <v>43634.575914351903</v>
      </c>
      <c r="J16407" s="28" t="s">
        <v>51</v>
      </c>
      <c r="K16407" s="28" t="s">
        <v>51</v>
      </c>
      <c r="L16407" s="28" t="s">
        <v>51</v>
      </c>
      <c r="M16407" s="28" t="s">
        <v>51</v>
      </c>
      <c r="N16407" s="28" t="s">
        <v>51</v>
      </c>
    </row>
    <row r="16408" spans="1:14" x14ac:dyDescent="0.15">
      <c r="A16408" s="23" t="str">
        <f>HYPERLINK("https://www.spark-marketing.ru/Card/Person/4343663", "МИНЗДРАВ АЛТАЙСКОГО КРАЯ")</f>
        <v>МИНЗДРАВ АЛТАЙСКОГО КРАЯ</v>
      </c>
      <c r="B16408" s="24" t="s">
        <v>9429</v>
      </c>
      <c r="C16408" s="25">
        <v>76500</v>
      </c>
      <c r="D16408" s="22" t="s">
        <v>21479</v>
      </c>
      <c r="E16408" s="22" t="s">
        <v>336</v>
      </c>
      <c r="F16408" s="23" t="str">
        <f>HYPERLINK("https://www.spark-marketing.ru/Card/Lot/71452264",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408" s="22" t="s">
        <v>63</v>
      </c>
      <c r="H16408" s="22" t="s">
        <v>177</v>
      </c>
      <c r="I16408" s="26">
        <v>43634.565277777801</v>
      </c>
      <c r="J16408" s="28" t="s">
        <v>51</v>
      </c>
      <c r="K16408" s="28" t="s">
        <v>51</v>
      </c>
      <c r="L16408" s="28" t="s">
        <v>51</v>
      </c>
      <c r="M16408" s="28" t="s">
        <v>51</v>
      </c>
      <c r="N16408" s="28" t="s">
        <v>51</v>
      </c>
    </row>
    <row r="16409" spans="1:14" x14ac:dyDescent="0.15">
      <c r="A16409" s="23" t="str">
        <f>HYPERLINK("https://www.spark-marketing.ru/Card/Person/50155", "МО МВД РОССИИ ""БОРОДИНСКИЙ""")</f>
        <v>МО МВД РОССИИ "БОРОДИНСКИЙ"</v>
      </c>
      <c r="B16409" s="24" t="s">
        <v>21453</v>
      </c>
      <c r="C16409" s="25">
        <v>1650000</v>
      </c>
      <c r="D16409" s="22" t="s">
        <v>21480</v>
      </c>
      <c r="E16409" s="22" t="s">
        <v>96</v>
      </c>
      <c r="F16409" s="23" t="str">
        <f>HYPERLINK("https://www.spark-marketing.ru/Card/Lot/71453181", "Услуги по трехразовому суточному горячему питанию")</f>
        <v>Услуги по трехразовому суточному горячему питанию</v>
      </c>
      <c r="G16409" s="22" t="s">
        <v>281</v>
      </c>
      <c r="H16409" s="22" t="s">
        <v>21455</v>
      </c>
      <c r="I16409" s="26">
        <v>43634.579166666699</v>
      </c>
      <c r="J16409" s="23" t="str">
        <f>HYPERLINK("https://www.spark-marketing.ru/Card/Person/192292", "ООО ""ПАРТНЕРЫ КРАСНОЯРСК""")</f>
        <v>ООО "ПАРТНЕРЫ КРАСНОЯРСК"</v>
      </c>
      <c r="K16409" s="24" t="s">
        <v>21457</v>
      </c>
      <c r="L16409" s="22" t="s">
        <v>10</v>
      </c>
      <c r="M16409" s="28" t="s">
        <v>51</v>
      </c>
      <c r="N16409" s="28" t="s">
        <v>51</v>
      </c>
    </row>
    <row r="16410" spans="1:14" x14ac:dyDescent="0.15">
      <c r="A16410" s="23" t="str">
        <f>HYPERLINK("https://www.spark-marketing.ru/Card/Person/6626046", "ЗАПАДНО СИБИРСКАЯ ДИРЕКЦИЯ ПО РЕМОНТУ ПУТИ – СТРУКТУРНОЕ ПОДРАЗДЕЛЕНИЕ ЦЕНТРАЛЬНОЙ ДИРЕКЦИИ ПО РЕМОНТУ ПУТИ – ФЛ ОАО РЖД")</f>
        <v>ЗАПАДНО СИБИРСКАЯ ДИРЕКЦИЯ ПО РЕМОНТУ ПУТИ – СТРУКТУРНОЕ ПОДРАЗДЕЛЕНИЕ ЦЕНТРАЛЬНОЙ ДИРЕКЦИИ ПО РЕМОНТУ ПУТИ – ФЛ ОАО РЖД</v>
      </c>
      <c r="B16410" s="24" t="s">
        <v>330</v>
      </c>
      <c r="C16410" s="25">
        <v>98516</v>
      </c>
      <c r="D16410" s="28" t="s">
        <v>51</v>
      </c>
      <c r="E16410" s="22" t="s">
        <v>21481</v>
      </c>
      <c r="F16410" s="23" t="str">
        <f>HYPERLINK("https://www.spark-marketing.ru/Card/Lot/72425954", "№19115 Оказание услуг по сбору, транспортированию, обезвреживанию, утилизации и захоронению отходов IV-V класса опасности.")</f>
        <v>№19115 Оказание услуг по сбору, транспортированию, обезвреживанию, утилизации и захоронению отходов IV-V класса опасности.</v>
      </c>
      <c r="G16410" s="22" t="s">
        <v>51</v>
      </c>
      <c r="H16410" s="22" t="s">
        <v>51</v>
      </c>
      <c r="I16410" s="26">
        <v>43634.556250000001</v>
      </c>
      <c r="J16410" s="28" t="s">
        <v>51</v>
      </c>
      <c r="K16410" s="28" t="s">
        <v>51</v>
      </c>
      <c r="L16410" s="28" t="s">
        <v>51</v>
      </c>
      <c r="M16410" s="28" t="s">
        <v>51</v>
      </c>
      <c r="N16410" s="28" t="s">
        <v>51</v>
      </c>
    </row>
    <row r="16411" spans="1:14" x14ac:dyDescent="0.2">
      <c r="A16411" s="23" t="str">
        <f>HYPERLINK("https://www.spark-marketing.ru/Card/Person/1755016", "ГАУКОДО КОДЮЦЭКТ")</f>
        <v>ГАУКОДО КОДЮЦЭКТ</v>
      </c>
      <c r="B16411" s="24" t="s">
        <v>21482</v>
      </c>
      <c r="C16411" s="25">
        <v>133200</v>
      </c>
      <c r="D16411" s="22" t="s">
        <v>21483</v>
      </c>
      <c r="E16411" s="22" t="s">
        <v>362</v>
      </c>
      <c r="F16411" s="23" t="str">
        <f>HYPERLINK("https://www.spark-marketing.ru/Card/Lot/71455270", "Оказание услуг по организации питания детей в летней дополнительной образовательной программе «Исследователи Балтики»")</f>
        <v>Оказание услуг по организации питания детей в летней дополнительной образовательной программе «Исследователи Балтики»</v>
      </c>
      <c r="G16411" s="22" t="s">
        <v>400</v>
      </c>
      <c r="H16411" s="22" t="s">
        <v>400</v>
      </c>
      <c r="I16411" s="26">
        <v>43634.576631944401</v>
      </c>
      <c r="J16411" s="23" t="str">
        <f>HYPERLINK("https://www.spark-marketing.ru/Card/Person/6078134", "ООО ""ФУНКЦИЯ""")</f>
        <v>ООО "ФУНКЦИЯ"</v>
      </c>
      <c r="K16411" s="24" t="s">
        <v>21484</v>
      </c>
      <c r="L16411" s="28" t="s">
        <v>51</v>
      </c>
      <c r="M16411" s="25">
        <v>133200</v>
      </c>
      <c r="N16411" s="27">
        <v>0</v>
      </c>
    </row>
    <row r="16412" spans="1:14" x14ac:dyDescent="0.15">
      <c r="A16412" s="23" t="str">
        <f>HYPERLINK("https://www.spark-marketing.ru/Card/Person/1029730", "МДОУ №5 Г. МОЖАЙСКА")</f>
        <v>МДОУ №5 Г. МОЖАЙСКА</v>
      </c>
      <c r="B16412" s="24" t="s">
        <v>16833</v>
      </c>
      <c r="C16412" s="25">
        <v>351376</v>
      </c>
      <c r="D16412" s="22" t="s">
        <v>21485</v>
      </c>
      <c r="E16412" s="22" t="s">
        <v>48</v>
      </c>
      <c r="F16412" s="23" t="str">
        <f>HYPERLINK("https://www.spark-marketing.ru/Card/Lot/71450658", "Оказание услуг по организации питания воспитанников")</f>
        <v>Оказание услуг по организации питания воспитанников</v>
      </c>
      <c r="G16412" s="22" t="s">
        <v>49</v>
      </c>
      <c r="H16412" s="22" t="s">
        <v>3718</v>
      </c>
      <c r="I16412" s="26">
        <v>43634.534236111103</v>
      </c>
      <c r="J16412" s="28" t="s">
        <v>51</v>
      </c>
      <c r="K16412" s="28" t="s">
        <v>51</v>
      </c>
      <c r="L16412" s="28" t="s">
        <v>51</v>
      </c>
      <c r="M16412" s="28" t="s">
        <v>51</v>
      </c>
      <c r="N16412" s="28" t="s">
        <v>51</v>
      </c>
    </row>
    <row r="16413" spans="1:14" x14ac:dyDescent="0.15">
      <c r="A16413" s="23" t="str">
        <f>HYPERLINK("https://www.spark-marketing.ru/Card/Person/6220059", "ГКУ НСО ""ЦЕНТР ПАТРИОТИЧЕСКОГО ВОСПИТАНИЯ""")</f>
        <v>ГКУ НСО "ЦЕНТР ПАТРИОТИЧЕСКОГО ВОСПИТАНИЯ"</v>
      </c>
      <c r="B16413" s="24" t="s">
        <v>1887</v>
      </c>
      <c r="C16413" s="25">
        <v>30000</v>
      </c>
      <c r="D16413" s="22" t="s">
        <v>21486</v>
      </c>
      <c r="E16413" s="22" t="s">
        <v>48</v>
      </c>
      <c r="F16413" s="23" t="str">
        <f>HYPERLINK("https://www.spark-marketing.ru/Card/Lot/71448404", "Оказание услуг по организации питания (кофе-брейк) для участников расширенного Пленарного заседания Общественной палаты Новосибирской области")</f>
        <v>Оказание услуг по организации питания (кофе-брейк) для участников расширенного Пленарного заседания Общественной палаты Новосибирской области</v>
      </c>
      <c r="G16413" s="22" t="s">
        <v>195</v>
      </c>
      <c r="H16413" s="22" t="s">
        <v>196</v>
      </c>
      <c r="I16413" s="26">
        <v>43634.510416666701</v>
      </c>
      <c r="J16413" s="28" t="s">
        <v>51</v>
      </c>
      <c r="K16413" s="28" t="s">
        <v>51</v>
      </c>
      <c r="L16413" s="28" t="s">
        <v>51</v>
      </c>
      <c r="M16413" s="28" t="s">
        <v>51</v>
      </c>
      <c r="N16413" s="28" t="s">
        <v>51</v>
      </c>
    </row>
    <row r="16414" spans="1:14" x14ac:dyDescent="0.15">
      <c r="A1641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414" s="24" t="s">
        <v>3255</v>
      </c>
      <c r="C16414" s="25">
        <v>139378.5</v>
      </c>
      <c r="D16414" s="22" t="s">
        <v>21487</v>
      </c>
      <c r="E16414" s="22" t="s">
        <v>52</v>
      </c>
      <c r="F16414" s="23" t="str">
        <f>HYPERLINK("https://www.spark-marketing.ru/Card/Lot/71443968", "Поставка лекарственного препарата для медицинского применения ""Эмпаглифлозин""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специализированным...")</f>
        <v>Поставка лекарственного препарата для медицинского применения "Эмпаглифлозин"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</v>
      </c>
      <c r="G16414" s="22" t="s">
        <v>210</v>
      </c>
      <c r="H16414" s="22" t="s">
        <v>3257</v>
      </c>
      <c r="I16414" s="26">
        <v>43634.529861111099</v>
      </c>
      <c r="J16414" s="28" t="s">
        <v>51</v>
      </c>
      <c r="K16414" s="28" t="s">
        <v>51</v>
      </c>
      <c r="L16414" s="28" t="s">
        <v>51</v>
      </c>
      <c r="M16414" s="28" t="s">
        <v>51</v>
      </c>
      <c r="N16414" s="28" t="s">
        <v>51</v>
      </c>
    </row>
    <row r="16415" spans="1:14" hidden="1" outlineLevel="1" x14ac:dyDescent="0.2">
      <c r="A16415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415" s="24" t="s">
        <v>3255</v>
      </c>
      <c r="C16415" s="25">
        <v>139378.5</v>
      </c>
      <c r="D16415" s="22" t="s">
        <v>21487</v>
      </c>
      <c r="E16415" s="22" t="s">
        <v>52</v>
      </c>
      <c r="F16415" s="23" t="str">
        <f>HYPERLINK("https://www.spark-marketing.ru/Card/Lot/71443968", "Поставка лекарственного препарата для медицинского применения ""Эмпаглифлозин""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специализированным...")</f>
        <v>Поставка лекарственного препарата для медицинского применения "Эмпаглифлозин"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</v>
      </c>
      <c r="G16415" s="22" t="s">
        <v>210</v>
      </c>
      <c r="H16415" s="22" t="s">
        <v>3257</v>
      </c>
      <c r="I16415" s="26">
        <v>43634.529861111099</v>
      </c>
      <c r="J16415" s="23" t="str">
        <f>HYPERLINK("https://www.spark-marketing.ru/Card/Person/6219611", "ООО ""ДОКТОР АЙБОЛИТ""")</f>
        <v>ООО "ДОКТОР АЙБОЛИТ"</v>
      </c>
      <c r="K16415" s="24" t="s">
        <v>20238</v>
      </c>
      <c r="L16415" s="28" t="s">
        <v>51</v>
      </c>
      <c r="M16415" s="25">
        <v>133106.4</v>
      </c>
      <c r="N16415" s="27">
        <v>4.500048429277112E-2</v>
      </c>
    </row>
    <row r="16416" spans="1:14" ht="12.75" hidden="1" outlineLevel="1" x14ac:dyDescent="0.2">
      <c r="A16416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416" s="24" t="s">
        <v>3255</v>
      </c>
      <c r="C16416" s="25">
        <v>139378.5</v>
      </c>
      <c r="D16416" s="22" t="s">
        <v>21487</v>
      </c>
      <c r="E16416" s="22" t="s">
        <v>52</v>
      </c>
      <c r="F16416" s="23" t="str">
        <f>HYPERLINK("https://www.spark-marketing.ru/Card/Lot/71443968", "Поставка лекарственного препарата для медицинского применения ""Эмпаглифлозин""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специализированным...")</f>
        <v>Поставка лекарственного препарата для медицинского применения "Эмпаглифлозин"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</v>
      </c>
      <c r="G16416" s="22" t="s">
        <v>210</v>
      </c>
      <c r="H16416" s="22" t="s">
        <v>3257</v>
      </c>
      <c r="I16416" s="26">
        <v>43634.529861111099</v>
      </c>
      <c r="J16416" s="23" t="str">
        <f>HYPERLINK("https://www.spark-marketing.ru/Card/Person/6231467", "ООО ""ОБЛФАРМ АЛЬЯНС""")</f>
        <v>ООО "ОБЛФАРМ АЛЬЯНС"</v>
      </c>
      <c r="K16416" s="24" t="s">
        <v>2175</v>
      </c>
      <c r="L16416" s="22" t="s">
        <v>10</v>
      </c>
      <c r="M16416" s="25">
        <v>132409.5</v>
      </c>
      <c r="N16416" s="27">
        <v>5.0000538103079029E-2</v>
      </c>
    </row>
    <row r="16417" spans="1:14" x14ac:dyDescent="0.2">
      <c r="A16417" s="23" t="str">
        <f>HYPERLINK("https://www.spark-marketing.ru/Card/Person/4348382", "ООО ""ГАЗПРОМ ПИТАНИЕ""")</f>
        <v>ООО "ГАЗПРОМ ПИТАНИЕ"</v>
      </c>
      <c r="B16417" s="24" t="s">
        <v>2869</v>
      </c>
      <c r="C16417" s="25">
        <v>232440</v>
      </c>
      <c r="D16417" s="22" t="s">
        <v>21488</v>
      </c>
      <c r="E16417" s="22" t="s">
        <v>21489</v>
      </c>
      <c r="F16417" s="23" t="str">
        <f>HYPERLINK("https://www.spark-marketing.ru/Card/Lot/71451143", "Оказание услуг по проведению обязательных психиатрических освидетельствований для нужд филиала ""Нижегородское управление по организации общественного питания"" ООО ""Газпром питание""")</f>
        <v>Оказание услуг по проведению обязательных психиатрических освидетельствований для нужд филиала "Нижегородское управление по организации общественного питания" ООО "Газпром питание"</v>
      </c>
      <c r="G16417" s="22" t="s">
        <v>56</v>
      </c>
      <c r="H16417" s="22" t="s">
        <v>56</v>
      </c>
      <c r="I16417" s="26">
        <v>43634.512256944399</v>
      </c>
      <c r="J16417" s="28" t="s">
        <v>51</v>
      </c>
      <c r="K16417" s="28" t="s">
        <v>51</v>
      </c>
      <c r="L16417" s="22" t="s">
        <v>10</v>
      </c>
      <c r="M16417" s="25">
        <v>180290</v>
      </c>
      <c r="N16417" s="27">
        <v>0.22435897435897437</v>
      </c>
    </row>
    <row r="16418" spans="1:14" x14ac:dyDescent="0.15">
      <c r="A16418" s="23" t="str">
        <f>HYPERLINK("https://www.spark-marketing.ru/Card/Person/4343552", "АДМИНИСТРАЦИЯ ПСКОВСКОЙ ОБЛАСТИ")</f>
        <v>АДМИНИСТРАЦИЯ ПСКОВСКОЙ ОБЛАСТИ</v>
      </c>
      <c r="B16418" s="24" t="s">
        <v>4540</v>
      </c>
      <c r="C16418" s="25">
        <v>500000</v>
      </c>
      <c r="D16418" s="22" t="s">
        <v>21490</v>
      </c>
      <c r="E16418" s="22" t="s">
        <v>48</v>
      </c>
      <c r="F16418" s="23" t="str">
        <f>HYPERLINK("https://www.spark-marketing.ru/Card/Lot/71472452", "Оказание услуг по предоставлению питания для делегаций и официальных лиц.")</f>
        <v>Оказание услуг по предоставлению питания для делегаций и официальных лиц.</v>
      </c>
      <c r="G16418" s="22" t="s">
        <v>415</v>
      </c>
      <c r="H16418" s="22" t="s">
        <v>4542</v>
      </c>
      <c r="I16418" s="26">
        <v>43634.503472222197</v>
      </c>
      <c r="J16418" s="23" t="str">
        <f>HYPERLINK("https://www.spark-marketing.ru/Card/Person/375769", "ООО "" СЕВЗАПИНВЕСТ """)</f>
        <v>ООО " СЕВЗАПИНВЕСТ "</v>
      </c>
      <c r="K16418" s="24" t="s">
        <v>4548</v>
      </c>
      <c r="L16418" s="22" t="s">
        <v>10</v>
      </c>
      <c r="M16418" s="28" t="s">
        <v>51</v>
      </c>
      <c r="N16418" s="28" t="s">
        <v>51</v>
      </c>
    </row>
    <row r="16419" spans="1:14" x14ac:dyDescent="0.15">
      <c r="A16419" s="23" t="str">
        <f>HYPERLINK("https://www.spark-marketing.ru/Card/Person/1029730", "МДОУ №5 Г. МОЖАЙСКА")</f>
        <v>МДОУ №5 Г. МОЖАЙСКА</v>
      </c>
      <c r="B16419" s="24" t="s">
        <v>16833</v>
      </c>
      <c r="C16419" s="25">
        <v>307454</v>
      </c>
      <c r="D16419" s="22" t="s">
        <v>21491</v>
      </c>
      <c r="E16419" s="22" t="s">
        <v>48</v>
      </c>
      <c r="F16419" s="23" t="str">
        <f>HYPERLINK("https://www.spark-marketing.ru/Card/Lot/71450664", "Оказание услуг по организации питания воспитанников")</f>
        <v>Оказание услуг по организации питания воспитанников</v>
      </c>
      <c r="G16419" s="22" t="s">
        <v>49</v>
      </c>
      <c r="H16419" s="22" t="s">
        <v>3718</v>
      </c>
      <c r="I16419" s="26">
        <v>43634.534340277802</v>
      </c>
      <c r="J16419" s="28" t="s">
        <v>51</v>
      </c>
      <c r="K16419" s="28" t="s">
        <v>51</v>
      </c>
      <c r="L16419" s="28" t="s">
        <v>51</v>
      </c>
      <c r="M16419" s="28" t="s">
        <v>51</v>
      </c>
      <c r="N16419" s="28" t="s">
        <v>51</v>
      </c>
    </row>
    <row r="16420" spans="1:14" x14ac:dyDescent="0.15">
      <c r="A16420" s="23" t="str">
        <f>HYPERLINK("https://www.spark-marketing.ru/Card/Person/5962521", "УПРАВЛЕНИЕ РОСГВАРДИИ ПО РЕСПУБЛИКЕ БАШКОРТОСТАН")</f>
        <v>УПРАВЛЕНИЕ РОСГВАРДИИ ПО РЕСПУБЛИКЕ БАШКОРТОСТАН</v>
      </c>
      <c r="B16420" s="24" t="s">
        <v>21492</v>
      </c>
      <c r="C16420" s="25">
        <v>492000</v>
      </c>
      <c r="D16420" s="22" t="s">
        <v>21493</v>
      </c>
      <c r="E16420" s="22" t="s">
        <v>48</v>
      </c>
      <c r="F16420" s="23" t="str">
        <f>HYPERLINK("https://www.spark-marketing.ru/Card/Lot/71447956", "Оказание услуг по организации питания лётного состава АОСН Управления Росгвардии по Республике Башкортостан")</f>
        <v>Оказание услуг по организации питания лётного состава АОСН Управления Росгвардии по Республике Башкортостан</v>
      </c>
      <c r="G16420" s="22" t="s">
        <v>145</v>
      </c>
      <c r="H16420" s="22" t="s">
        <v>436</v>
      </c>
      <c r="I16420" s="26">
        <v>43634.53125</v>
      </c>
      <c r="J16420" s="28" t="s">
        <v>51</v>
      </c>
      <c r="K16420" s="28" t="s">
        <v>51</v>
      </c>
      <c r="L16420" s="28" t="s">
        <v>51</v>
      </c>
      <c r="M16420" s="28" t="s">
        <v>51</v>
      </c>
      <c r="N16420" s="28" t="s">
        <v>51</v>
      </c>
    </row>
    <row r="16421" spans="1:14" ht="12.75" hidden="1" outlineLevel="1" x14ac:dyDescent="0.2">
      <c r="A16421" s="23" t="str">
        <f>HYPERLINK("https://www.spark-marketing.ru/Card/Person/5962521", "УПРАВЛЕНИЕ РОСГВАРДИИ ПО РЕСПУБЛИКЕ БАШКОРТОСТАН")</f>
        <v>УПРАВЛЕНИЕ РОСГВАРДИИ ПО РЕСПУБЛИКЕ БАШКОРТОСТАН</v>
      </c>
      <c r="B16421" s="24" t="s">
        <v>21492</v>
      </c>
      <c r="C16421" s="25">
        <v>492000</v>
      </c>
      <c r="D16421" s="22" t="s">
        <v>21493</v>
      </c>
      <c r="E16421" s="22" t="s">
        <v>48</v>
      </c>
      <c r="F16421" s="23" t="str">
        <f>HYPERLINK("https://www.spark-marketing.ru/Card/Lot/71447956", "Оказание услуг по организации питания лётного состава АОСН Управления Росгвардии по Республике Башкортостан")</f>
        <v>Оказание услуг по организации питания лётного состава АОСН Управления Росгвардии по Республике Башкортостан</v>
      </c>
      <c r="G16421" s="22" t="s">
        <v>145</v>
      </c>
      <c r="H16421" s="22" t="s">
        <v>436</v>
      </c>
      <c r="I16421" s="26">
        <v>43634.53125</v>
      </c>
      <c r="J16421" s="23" t="str">
        <f>HYPERLINK("https://www.spark-marketing.ru/Card/Person/6621269", "Филиппова Марина Владимировна")</f>
        <v>Филиппова Марина Владимировна</v>
      </c>
      <c r="K16421" s="24" t="s">
        <v>21494</v>
      </c>
      <c r="L16421" s="22" t="s">
        <v>10</v>
      </c>
      <c r="M16421" s="25">
        <v>492000</v>
      </c>
      <c r="N16421" s="27">
        <v>0</v>
      </c>
    </row>
    <row r="16422" spans="1:14" hidden="1" outlineLevel="1" x14ac:dyDescent="0.2">
      <c r="A16422" s="23" t="str">
        <f>HYPERLINK("https://www.spark-marketing.ru/Card/Person/5962521", "УПРАВЛЕНИЕ РОСГВАРДИИ ПО РЕСПУБЛИКЕ БАШКОРТОСТАН")</f>
        <v>УПРАВЛЕНИЕ РОСГВАРДИИ ПО РЕСПУБЛИКЕ БАШКОРТОСТАН</v>
      </c>
      <c r="B16422" s="24" t="s">
        <v>21492</v>
      </c>
      <c r="C16422" s="25">
        <v>492000</v>
      </c>
      <c r="D16422" s="22" t="s">
        <v>21493</v>
      </c>
      <c r="E16422" s="22" t="s">
        <v>48</v>
      </c>
      <c r="F16422" s="23" t="str">
        <f>HYPERLINK("https://www.spark-marketing.ru/Card/Lot/71447956", "Оказание услуг по организации питания лётного состава АОСН Управления Росгвардии по Республике Башкортостан")</f>
        <v>Оказание услуг по организации питания лётного состава АОСН Управления Росгвардии по Республике Башкортостан</v>
      </c>
      <c r="G16422" s="22" t="s">
        <v>145</v>
      </c>
      <c r="H16422" s="22" t="s">
        <v>436</v>
      </c>
      <c r="I16422" s="26">
        <v>43634.53125</v>
      </c>
      <c r="J16422" s="23" t="str">
        <f>HYPERLINK("https://www.spark-marketing.ru/Card/Person/214121", "ООО ""КВАНТ""")</f>
        <v>ООО "КВАНТ"</v>
      </c>
      <c r="K16422" s="24" t="s">
        <v>21495</v>
      </c>
      <c r="L16422" s="28" t="s">
        <v>51</v>
      </c>
      <c r="M16422" s="25">
        <v>492000</v>
      </c>
      <c r="N16422" s="27">
        <v>0</v>
      </c>
    </row>
    <row r="16423" spans="1:14" x14ac:dyDescent="0.15">
      <c r="A16423" s="23" t="str">
        <f>HYPERLINK("https://www.spark-marketing.ru/Card/Person/1029730", "МДОУ №5 Г. МОЖАЙСКА")</f>
        <v>МДОУ №5 Г. МОЖАЙСКА</v>
      </c>
      <c r="B16423" s="24" t="s">
        <v>16833</v>
      </c>
      <c r="C16423" s="25">
        <v>351376</v>
      </c>
      <c r="D16423" s="22" t="s">
        <v>21496</v>
      </c>
      <c r="E16423" s="22" t="s">
        <v>48</v>
      </c>
      <c r="F16423" s="23" t="str">
        <f>HYPERLINK("https://www.spark-marketing.ru/Card/Lot/71450663", "Оказание услуг по организации питания воспитанников")</f>
        <v>Оказание услуг по организации питания воспитанников</v>
      </c>
      <c r="G16423" s="22" t="s">
        <v>49</v>
      </c>
      <c r="H16423" s="22" t="s">
        <v>3718</v>
      </c>
      <c r="I16423" s="26">
        <v>43634.534340277802</v>
      </c>
      <c r="J16423" s="28" t="s">
        <v>51</v>
      </c>
      <c r="K16423" s="28" t="s">
        <v>51</v>
      </c>
      <c r="L16423" s="28" t="s">
        <v>51</v>
      </c>
      <c r="M16423" s="28" t="s">
        <v>51</v>
      </c>
      <c r="N16423" s="28" t="s">
        <v>51</v>
      </c>
    </row>
    <row r="16424" spans="1:14" x14ac:dyDescent="0.15">
      <c r="A16424" s="23" t="str">
        <f>HYPERLINK("https://www.spark-marketing.ru/Card/Person/72890", "ГУП РК ""КАРЕЛФАРМ""")</f>
        <v>ГУП РК "КАРЕЛФАРМ"</v>
      </c>
      <c r="B16424" s="24" t="s">
        <v>1668</v>
      </c>
      <c r="C16424" s="25">
        <v>146227.20000000001</v>
      </c>
      <c r="D16424" s="22" t="s">
        <v>21497</v>
      </c>
      <c r="E16424" s="22" t="s">
        <v>3561</v>
      </c>
      <c r="F16424" s="23" t="str">
        <f>HYPERLINK("https://www.spark-marketing.ru/Card/Lot/71450080", "оказание услуг по приемке, хранению, комплектованию, доставке, отпуску и учёту лекарственных препаратов, изделий медицинского назначения и специализированных продуктов лечебного питания, приобретаемых за счет средств бюджета Республики Карелия для об...")</f>
        <v>оказание услуг по приемке, хранению, комплектованию, доставке, отпуску и учёту лекарственных препаратов, изделий медицинского назначения и специализированных продуктов лечебного питания, приобретаемых за счет средств бюджета Республики Карелия для об...</v>
      </c>
      <c r="G16424" s="22" t="s">
        <v>59</v>
      </c>
      <c r="H16424" s="22" t="s">
        <v>59</v>
      </c>
      <c r="I16424" s="26">
        <v>43634.502280092602</v>
      </c>
      <c r="J16424" s="28" t="s">
        <v>51</v>
      </c>
      <c r="K16424" s="28" t="s">
        <v>51</v>
      </c>
      <c r="L16424" s="28" t="s">
        <v>51</v>
      </c>
      <c r="M16424" s="28" t="s">
        <v>51</v>
      </c>
      <c r="N16424" s="28" t="s">
        <v>51</v>
      </c>
    </row>
    <row r="16425" spans="1:14" x14ac:dyDescent="0.15">
      <c r="A16425" s="23" t="str">
        <f>HYPERLINK("https://www.spark-marketing.ru/Card/Person/1562", "ГБУЗ ""МНПЦ БОРЬБЫ С ТУБЕРКУЛЕЗОМ ДЗМ""")</f>
        <v>ГБУЗ "МНПЦ БОРЬБЫ С ТУБЕРКУЛЕЗОМ ДЗМ"</v>
      </c>
      <c r="B16425" s="24" t="s">
        <v>9254</v>
      </c>
      <c r="C16425" s="25">
        <v>3614720.78</v>
      </c>
      <c r="D16425" s="22" t="s">
        <v>21498</v>
      </c>
      <c r="E16425" s="22" t="s">
        <v>355</v>
      </c>
      <c r="F16425" s="23" t="str">
        <f>HYPERLINK("https://www.spark-marketing.ru/Card/Lot/71454188", "Оказание услуг по ремонту систем аварийного электроснабжения с заменой аккумуляторных батарей в источниках бесперебойного питания в ГБУЗ ""МНПЦ борьбы с туберкулезом ДЗМ"".")</f>
        <v>Оказание услуг по ремонту систем аварийного электроснабжения с заменой аккумуляторных батарей в источниках бесперебойного питания в ГБУЗ "МНПЦ борьбы с туберкулезом ДЗМ".</v>
      </c>
      <c r="G16425" s="22" t="s">
        <v>56</v>
      </c>
      <c r="H16425" s="22" t="s">
        <v>56</v>
      </c>
      <c r="I16425" s="26">
        <v>43634.476388888899</v>
      </c>
      <c r="J16425" s="28" t="s">
        <v>51</v>
      </c>
      <c r="K16425" s="28" t="s">
        <v>51</v>
      </c>
      <c r="L16425" s="28" t="s">
        <v>51</v>
      </c>
      <c r="M16425" s="28" t="s">
        <v>51</v>
      </c>
      <c r="N16425" s="28" t="s">
        <v>51</v>
      </c>
    </row>
    <row r="16426" spans="1:14" hidden="1" outlineLevel="1" x14ac:dyDescent="0.2">
      <c r="A16426" s="23" t="str">
        <f>HYPERLINK("https://www.spark-marketing.ru/Card/Person/1562", "ГБУЗ ""МНПЦ БОРЬБЫ С ТУБЕРКУЛЕЗОМ ДЗМ""")</f>
        <v>ГБУЗ "МНПЦ БОРЬБЫ С ТУБЕРКУЛЕЗОМ ДЗМ"</v>
      </c>
      <c r="B16426" s="24" t="s">
        <v>9254</v>
      </c>
      <c r="C16426" s="25">
        <v>3614720.78</v>
      </c>
      <c r="D16426" s="22" t="s">
        <v>21498</v>
      </c>
      <c r="E16426" s="22" t="s">
        <v>355</v>
      </c>
      <c r="F16426" s="23" t="str">
        <f>HYPERLINK("https://www.spark-marketing.ru/Card/Lot/71454188", "Оказание услуг по ремонту систем аварийного электроснабжения с заменой аккумуляторных батарей в источниках бесперебойного питания в ГБУЗ ""МНПЦ борьбы с туберкулезом ДЗМ"".")</f>
        <v>Оказание услуг по ремонту систем аварийного электроснабжения с заменой аккумуляторных батарей в источниках бесперебойного питания в ГБУЗ "МНПЦ борьбы с туберкулезом ДЗМ".</v>
      </c>
      <c r="G16426" s="22" t="s">
        <v>56</v>
      </c>
      <c r="H16426" s="22" t="s">
        <v>56</v>
      </c>
      <c r="I16426" s="26">
        <v>43634.476388888899</v>
      </c>
      <c r="J16426" s="23" t="str">
        <f>HYPERLINK("https://www.spark-marketing.ru/Card/Person/140775", "ООО ""АЛЬФА-ЭНЕРГО""")</f>
        <v>ООО "АЛЬФА-ЭНЕРГО"</v>
      </c>
      <c r="K16426" s="24" t="s">
        <v>3030</v>
      </c>
      <c r="L16426" s="28" t="s">
        <v>51</v>
      </c>
      <c r="M16426" s="25">
        <v>3126733.57</v>
      </c>
      <c r="N16426" s="27">
        <v>0.13499997363558466</v>
      </c>
    </row>
    <row r="16427" spans="1:14" hidden="1" outlineLevel="1" x14ac:dyDescent="0.2">
      <c r="A16427" s="23" t="str">
        <f>HYPERLINK("https://www.spark-marketing.ru/Card/Person/1562", "ГБУЗ ""МНПЦ БОРЬБЫ С ТУБЕРКУЛЕЗОМ ДЗМ""")</f>
        <v>ГБУЗ "МНПЦ БОРЬБЫ С ТУБЕРКУЛЕЗОМ ДЗМ"</v>
      </c>
      <c r="B16427" s="24" t="s">
        <v>9254</v>
      </c>
      <c r="C16427" s="25">
        <v>3614720.78</v>
      </c>
      <c r="D16427" s="22" t="s">
        <v>21498</v>
      </c>
      <c r="E16427" s="22" t="s">
        <v>355</v>
      </c>
      <c r="F16427" s="23" t="str">
        <f>HYPERLINK("https://www.spark-marketing.ru/Card/Lot/71454188", "Оказание услуг по ремонту систем аварийного электроснабжения с заменой аккумуляторных батарей в источниках бесперебойного питания в ГБУЗ ""МНПЦ борьбы с туберкулезом ДЗМ"".")</f>
        <v>Оказание услуг по ремонту систем аварийного электроснабжения с заменой аккумуляторных батарей в источниках бесперебойного питания в ГБУЗ "МНПЦ борьбы с туберкулезом ДЗМ".</v>
      </c>
      <c r="G16427" s="22" t="s">
        <v>56</v>
      </c>
      <c r="H16427" s="22" t="s">
        <v>56</v>
      </c>
      <c r="I16427" s="26">
        <v>43634.476388888899</v>
      </c>
      <c r="J16427" s="23" t="str">
        <f>HYPERLINK("https://www.spark-marketing.ru/Card/Person/1170146", "ООО ""ЭНЕРГОН-ЭЛЕКТРО""")</f>
        <v>ООО "ЭНЕРГОН-ЭЛЕКТРО"</v>
      </c>
      <c r="K16427" s="24" t="s">
        <v>21499</v>
      </c>
      <c r="L16427" s="28" t="s">
        <v>51</v>
      </c>
      <c r="M16427" s="25">
        <v>3108659.98</v>
      </c>
      <c r="N16427" s="27">
        <v>0.13999996979019774</v>
      </c>
    </row>
    <row r="16428" spans="1:14" ht="12.75" hidden="1" outlineLevel="1" x14ac:dyDescent="0.2">
      <c r="A16428" s="23" t="str">
        <f>HYPERLINK("https://www.spark-marketing.ru/Card/Person/1562", "ГБУЗ ""МНПЦ БОРЬБЫ С ТУБЕРКУЛЕЗОМ ДЗМ""")</f>
        <v>ГБУЗ "МНПЦ БОРЬБЫ С ТУБЕРКУЛЕЗОМ ДЗМ"</v>
      </c>
      <c r="B16428" s="24" t="s">
        <v>9254</v>
      </c>
      <c r="C16428" s="25">
        <v>3614720.78</v>
      </c>
      <c r="D16428" s="22" t="s">
        <v>21498</v>
      </c>
      <c r="E16428" s="22" t="s">
        <v>355</v>
      </c>
      <c r="F16428" s="23" t="str">
        <f>HYPERLINK("https://www.spark-marketing.ru/Card/Lot/71454188", "Оказание услуг по ремонту систем аварийного электроснабжения с заменой аккумуляторных батарей в источниках бесперебойного питания в ГБУЗ ""МНПЦ борьбы с туберкулезом ДЗМ"".")</f>
        <v>Оказание услуг по ремонту систем аварийного электроснабжения с заменой аккумуляторных батарей в источниках бесперебойного питания в ГБУЗ "МНПЦ борьбы с туберкулезом ДЗМ".</v>
      </c>
      <c r="G16428" s="22" t="s">
        <v>56</v>
      </c>
      <c r="H16428" s="22" t="s">
        <v>56</v>
      </c>
      <c r="I16428" s="26">
        <v>43634.476388888899</v>
      </c>
      <c r="J16428" s="23" t="str">
        <f>HYPERLINK("https://www.spark-marketing.ru/Card/Person/31887", "ООО ""ТЦ ЭНЕРГОСПЕКТР""")</f>
        <v>ООО "ТЦ ЭНЕРГОСПЕКТР"</v>
      </c>
      <c r="K16428" s="24" t="s">
        <v>9896</v>
      </c>
      <c r="L16428" s="22" t="s">
        <v>10</v>
      </c>
      <c r="M16428" s="25">
        <v>3108659.98</v>
      </c>
      <c r="N16428" s="27">
        <v>0.13999996979019774</v>
      </c>
    </row>
    <row r="16429" spans="1:14" x14ac:dyDescent="0.15">
      <c r="A16429" s="23" t="str">
        <f>HYPERLINK("https://www.spark-marketing.ru/Card/Person/4348382", "ООО ""ГАЗПРОМ ПИТАНИЕ""")</f>
        <v>ООО "ГАЗПРОМ ПИТАНИЕ"</v>
      </c>
      <c r="B16429" s="24" t="s">
        <v>2869</v>
      </c>
      <c r="C16429" s="25">
        <v>491715</v>
      </c>
      <c r="D16429" s="22" t="s">
        <v>21500</v>
      </c>
      <c r="E16429" s="22" t="s">
        <v>21489</v>
      </c>
      <c r="F16429" s="23" t="str">
        <f>HYPERLINK("https://www.spark-marketing.ru/Card/Lot/71449667", "Оказание услуг по проведению обязательного психиатрического освидетельствования для нужд филиала «Надымское УООП» ООО «Газпром питание»")</f>
        <v>Оказание услуг по проведению обязательного психиатрического освидетельствования для нужд филиала «Надымское УООП» ООО «Газпром питание»</v>
      </c>
      <c r="G16429" s="22" t="s">
        <v>56</v>
      </c>
      <c r="H16429" s="22" t="s">
        <v>56</v>
      </c>
      <c r="I16429" s="26">
        <v>43634.4823032407</v>
      </c>
      <c r="J16429" s="28" t="s">
        <v>51</v>
      </c>
      <c r="K16429" s="28" t="s">
        <v>51</v>
      </c>
      <c r="L16429" s="28" t="s">
        <v>51</v>
      </c>
      <c r="M16429" s="28" t="s">
        <v>51</v>
      </c>
      <c r="N16429" s="28" t="s">
        <v>51</v>
      </c>
    </row>
    <row r="16430" spans="1:14" ht="12.75" x14ac:dyDescent="0.2">
      <c r="A16430" s="23" t="str">
        <f>HYPERLINK("https://www.spark-marketing.ru/Card/Person/66373", "КОГБУЗ ""КУМЕНСКАЯ ЦРБ""")</f>
        <v>КОГБУЗ "КУМЕНСКАЯ ЦРБ"</v>
      </c>
      <c r="B16430" s="24" t="s">
        <v>21501</v>
      </c>
      <c r="C16430" s="25">
        <v>9242205</v>
      </c>
      <c r="D16430" s="22" t="s">
        <v>21502</v>
      </c>
      <c r="E16430" s="22" t="s">
        <v>96</v>
      </c>
      <c r="F16430" s="23" t="str">
        <f>HYPERLINK("https://www.spark-marketing.ru/Card/Lot/71454636", "Оказание услуг по приготовлению и передаче ежедневного лечебного питания пациентам стационара КОГБУЗ «Куменская ЦРБ»")</f>
        <v>Оказание услуг по приготовлению и передаче ежедневного лечебного питания пациентам стационара КОГБУЗ «Куменская ЦРБ»</v>
      </c>
      <c r="G16430" s="22" t="s">
        <v>224</v>
      </c>
      <c r="H16430" s="22" t="s">
        <v>7014</v>
      </c>
      <c r="I16430" s="26">
        <v>43634.4868055556</v>
      </c>
      <c r="J16430" s="23" t="str">
        <f>HYPERLINK("https://www.spark-marketing.ru/Card/Person/91376", "ООО ""СТОЛОВАЯ № 1""")</f>
        <v>ООО "СТОЛОВАЯ № 1"</v>
      </c>
      <c r="K16430" s="24" t="s">
        <v>15288</v>
      </c>
      <c r="L16430" s="22" t="s">
        <v>10</v>
      </c>
      <c r="M16430" s="25">
        <v>9242205</v>
      </c>
      <c r="N16430" s="27">
        <v>0</v>
      </c>
    </row>
    <row r="16431" spans="1:14" x14ac:dyDescent="0.15">
      <c r="A16431" s="23" t="str">
        <f>HYPERLINK("https://www.spark-marketing.ru/Card/Person/8111", "КГБУЗ ""ДОМ РЕБЕНКА СПЕЦИАЛИЗИРОВАННЫЙ, Г. БИЙСК"" И КГБУЗ ""ДРС, Г. БИЙСК""")</f>
        <v>КГБУЗ "ДОМ РЕБЕНКА СПЕЦИАЛИЗИРОВАННЫЙ, Г. БИЙСК" И КГБУЗ "ДРС, Г. БИЙСК"</v>
      </c>
      <c r="B16431" s="24" t="s">
        <v>11413</v>
      </c>
      <c r="C16431" s="25">
        <v>6051.12</v>
      </c>
      <c r="D16431" s="22" t="s">
        <v>21503</v>
      </c>
      <c r="E16431" s="22" t="s">
        <v>10075</v>
      </c>
      <c r="F16431" s="23" t="str">
        <f>HYPERLINK("https://www.spark-marketing.ru/Card/Lot/71447332", "Товары,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</v>
      </c>
      <c r="G16431" s="22" t="s">
        <v>63</v>
      </c>
      <c r="H16431" s="22" t="s">
        <v>1294</v>
      </c>
      <c r="I16431" s="26">
        <v>43634.497916666704</v>
      </c>
      <c r="J16431" s="28" t="s">
        <v>51</v>
      </c>
      <c r="K16431" s="28" t="s">
        <v>51</v>
      </c>
      <c r="L16431" s="28" t="s">
        <v>51</v>
      </c>
      <c r="M16431" s="28" t="s">
        <v>51</v>
      </c>
      <c r="N16431" s="28" t="s">
        <v>51</v>
      </c>
    </row>
    <row r="16432" spans="1:14" ht="12.75" x14ac:dyDescent="0.2">
      <c r="A16432" s="23" t="str">
        <f>HYPERLINK("https://www.spark-marketing.ru/Card/Person/1040605", "МОУ ""ГИМНАЗИЯ № 1""")</f>
        <v>МОУ "ГИМНАЗИЯ № 1"</v>
      </c>
      <c r="B16432" s="24" t="s">
        <v>21504</v>
      </c>
      <c r="C16432" s="25">
        <v>1483016.45</v>
      </c>
      <c r="D16432" s="22" t="s">
        <v>21505</v>
      </c>
      <c r="E16432" s="22" t="s">
        <v>48</v>
      </c>
      <c r="F16432" s="23" t="str">
        <f>HYPERLINK("https://www.spark-marketing.ru/Card/Lot/71452286", "услуги по организации питания учащихся в соответствии с техническим заданием Заказчика")</f>
        <v>услуги по организации питания учащихся в соответствии с техническим заданием Заказчика</v>
      </c>
      <c r="G16432" s="22" t="s">
        <v>149</v>
      </c>
      <c r="H16432" s="22" t="s">
        <v>1025</v>
      </c>
      <c r="I16432" s="26">
        <v>43634.486111111102</v>
      </c>
      <c r="J16432" s="23" t="str">
        <f>HYPERLINK("https://www.spark-marketing.ru/Card/Person/569088", "ООО ""ТПУ""")</f>
        <v>ООО "ТПУ"</v>
      </c>
      <c r="K16432" s="24" t="s">
        <v>21027</v>
      </c>
      <c r="L16432" s="22" t="s">
        <v>10</v>
      </c>
      <c r="M16432" s="25">
        <v>1483016.45</v>
      </c>
      <c r="N16432" s="27">
        <v>0</v>
      </c>
    </row>
    <row r="16433" spans="1:14" x14ac:dyDescent="0.15">
      <c r="A16433" s="23" t="str">
        <f>HYPERLINK("https://www.spark-marketing.ru/Card/Person/1064079", "ОТДЕЛ МВД РОССИИ ПО КУНАШАКСКОМУ РАЙОНУ ЧЕЛЯБИНСКОЙ ОБЛАСТИ")</f>
        <v>ОТДЕЛ МВД РОССИИ ПО КУНАШАКСКОМУ РАЙОНУ ЧЕЛЯБИНСКОЙ ОБЛАСТИ</v>
      </c>
      <c r="B16433" s="24" t="s">
        <v>14924</v>
      </c>
      <c r="C16433" s="25">
        <v>375000</v>
      </c>
      <c r="D16433" s="22" t="s">
        <v>21506</v>
      </c>
      <c r="E16433" s="22" t="s">
        <v>48</v>
      </c>
      <c r="F16433" s="23" t="str">
        <f>HYPERLINK("https://www.spark-marketing.ru/Card/Lot/71447372", "Питание лиц содержащихся в ИВС")</f>
        <v>Питание лиц содержащихся в ИВС</v>
      </c>
      <c r="G16433" s="22" t="s">
        <v>469</v>
      </c>
      <c r="H16433" s="22" t="s">
        <v>14926</v>
      </c>
      <c r="I16433" s="26">
        <v>43634.498611111099</v>
      </c>
      <c r="J16433" s="23" t="str">
        <f>HYPERLINK("https://www.spark-marketing.ru/Card/Person/870412", "ТАХТАЛЫМСКОЕ ПО")</f>
        <v>ТАХТАЛЫМСКОЕ ПО</v>
      </c>
      <c r="K16433" s="24" t="s">
        <v>14927</v>
      </c>
      <c r="L16433" s="22" t="s">
        <v>10</v>
      </c>
      <c r="M16433" s="28" t="s">
        <v>51</v>
      </c>
      <c r="N16433" s="28" t="s">
        <v>51</v>
      </c>
    </row>
    <row r="16434" spans="1:14" x14ac:dyDescent="0.15">
      <c r="A16434" s="23" t="str">
        <f>HYPERLINK("https://www.spark-marketing.ru/Card/Person/6625119", "ЕКАТЕРИНБУРГСКАЯ ДИРЕКЦИЯ МАТЕРИАЛЬНО–ТЕХНИЧЕСКОГО ОБЕСПЕЧЕНИЯ – СТРУКТУРНОЕ ПОДРАЗДЕЛЕНИЕ РОСЖЕЛДОРСНАБА – ФЛ ОАО РЖД")</f>
        <v>ЕКАТЕРИНБУРГСКАЯ ДИРЕКЦИЯ МАТЕРИАЛЬНО–ТЕХНИЧЕСКОГО ОБЕСПЕЧЕНИЯ – СТРУКТУРНОЕ ПОДРАЗДЕЛЕНИЕ РОСЖЕЛДОРСНАБА – ФЛ ОАО РЖД</v>
      </c>
      <c r="B16434" s="24" t="s">
        <v>330</v>
      </c>
      <c r="C16434" s="25">
        <v>150830.48000000001</v>
      </c>
      <c r="D16434" s="28" t="s">
        <v>51</v>
      </c>
      <c r="E16434" s="22" t="s">
        <v>21507</v>
      </c>
      <c r="F16434" s="23" t="str">
        <f>HYPERLINK("https://www.spark-marketing.ru/Card/Lot/72428929", "№19091 Поставка аккумуляторов")</f>
        <v>№19091 Поставка аккумуляторов</v>
      </c>
      <c r="G16434" s="22" t="s">
        <v>51</v>
      </c>
      <c r="H16434" s="22" t="s">
        <v>51</v>
      </c>
      <c r="I16434" s="26">
        <v>43634.471701388902</v>
      </c>
      <c r="J16434" s="28" t="s">
        <v>51</v>
      </c>
      <c r="K16434" s="28" t="s">
        <v>51</v>
      </c>
      <c r="L16434" s="28" t="s">
        <v>51</v>
      </c>
      <c r="M16434" s="28" t="s">
        <v>51</v>
      </c>
      <c r="N16434" s="28" t="s">
        <v>51</v>
      </c>
    </row>
    <row r="16435" spans="1:14" x14ac:dyDescent="0.15">
      <c r="A16435" s="23" t="str">
        <f>HYPERLINK("https://www.spark-marketing.ru/Card/Person/1061340", "МАДОУ ДЕТСКИЙ САД ""АЛСУ"" ОБЩЕРАЗВИВАЮЩЕГО ВИДА С. НОВОМУРАПТАЛОВО МУНИЦИПАЛЬНОГО РАЙОНА КУЮРГАЗИНСКИЙ РАЙОН РБ")</f>
        <v>МАДОУ ДЕТСКИЙ САД "АЛСУ" ОБЩЕРАЗВИВАЮЩЕГО ВИДА С. НОВОМУРАПТАЛОВО МУНИЦИПАЛЬНОГО РАЙОНА КУЮРГАЗИНСКИЙ РАЙОН РБ</v>
      </c>
      <c r="B16435" s="24" t="s">
        <v>21508</v>
      </c>
      <c r="C16435" s="25">
        <v>910103</v>
      </c>
      <c r="D16435" s="22" t="s">
        <v>21509</v>
      </c>
      <c r="E16435" s="22" t="s">
        <v>48</v>
      </c>
      <c r="F16435" s="23" t="str">
        <f>HYPERLINK("https://www.spark-marketing.ru/Card/Lot/71449813", "Оказание услуг по организации горячего питания для воспитанников дошкольных образовательных учреждений")</f>
        <v>Оказание услуг по организации горячего питания для воспитанников дошкольных образовательных учреждений</v>
      </c>
      <c r="G16435" s="22" t="s">
        <v>145</v>
      </c>
      <c r="H16435" s="22" t="s">
        <v>1600</v>
      </c>
      <c r="I16435" s="26">
        <v>43634.462500000001</v>
      </c>
      <c r="J16435" s="28" t="s">
        <v>51</v>
      </c>
      <c r="K16435" s="28" t="s">
        <v>51</v>
      </c>
      <c r="L16435" s="28" t="s">
        <v>51</v>
      </c>
      <c r="M16435" s="28" t="s">
        <v>51</v>
      </c>
      <c r="N16435" s="28" t="s">
        <v>51</v>
      </c>
    </row>
    <row r="16436" spans="1:14" ht="12.75" hidden="1" outlineLevel="1" x14ac:dyDescent="0.2">
      <c r="A16436" s="23" t="str">
        <f>HYPERLINK("https://www.spark-marketing.ru/Card/Person/1061340", "МАДОУ ДЕТСКИЙ САД ""АЛСУ"" ОБЩЕРАЗВИВАЮЩЕГО ВИДА С. НОВОМУРАПТАЛОВО МУНИЦИПАЛЬНОГО РАЙОНА КУЮРГАЗИНСКИЙ РАЙОН РБ")</f>
        <v>МАДОУ ДЕТСКИЙ САД "АЛСУ" ОБЩЕРАЗВИВАЮЩЕГО ВИДА С. НОВОМУРАПТАЛОВО МУНИЦИПАЛЬНОГО РАЙОНА КУЮРГАЗИНСКИЙ РАЙОН РБ</v>
      </c>
      <c r="B16436" s="24" t="s">
        <v>21508</v>
      </c>
      <c r="C16436" s="25">
        <v>910103</v>
      </c>
      <c r="D16436" s="22" t="s">
        <v>21509</v>
      </c>
      <c r="E16436" s="22" t="s">
        <v>48</v>
      </c>
      <c r="F16436" s="23" t="str">
        <f>HYPERLINK("https://www.spark-marketing.ru/Card/Lot/71449813", "Оказание услуг по организации горячего питания для воспитанников дошкольных образовательных учреждений")</f>
        <v>Оказание услуг по организации горячего питания для воспитанников дошкольных образовательных учреждений</v>
      </c>
      <c r="G16436" s="22" t="s">
        <v>145</v>
      </c>
      <c r="H16436" s="22" t="s">
        <v>1600</v>
      </c>
      <c r="I16436" s="26">
        <v>43634.462500000001</v>
      </c>
      <c r="J16436" s="23" t="str">
        <f>HYPERLINK("https://www.spark-marketing.ru/Card/Person/304638", "ПО ""КУЮРГАЗА""")</f>
        <v>ПО "КУЮРГАЗА"</v>
      </c>
      <c r="K16436" s="24" t="s">
        <v>21510</v>
      </c>
      <c r="L16436" s="22" t="s">
        <v>10</v>
      </c>
      <c r="M16436" s="25">
        <v>910103</v>
      </c>
      <c r="N16436" s="27">
        <v>0</v>
      </c>
    </row>
    <row r="16437" spans="1:14" hidden="1" outlineLevel="1" x14ac:dyDescent="0.2">
      <c r="A16437" s="23" t="str">
        <f>HYPERLINK("https://www.spark-marketing.ru/Card/Person/1061340", "МАДОУ ДЕТСКИЙ САД ""АЛСУ"" ОБЩЕРАЗВИВАЮЩЕГО ВИДА С. НОВОМУРАПТАЛОВО МУНИЦИПАЛЬНОГО РАЙОНА КУЮРГАЗИНСКИЙ РАЙОН РБ")</f>
        <v>МАДОУ ДЕТСКИЙ САД "АЛСУ" ОБЩЕРАЗВИВАЮЩЕГО ВИДА С. НОВОМУРАПТАЛОВО МУНИЦИПАЛЬНОГО РАЙОНА КУЮРГАЗИНСКИЙ РАЙОН РБ</v>
      </c>
      <c r="B16437" s="24" t="s">
        <v>21508</v>
      </c>
      <c r="C16437" s="25">
        <v>910103</v>
      </c>
      <c r="D16437" s="22" t="s">
        <v>21509</v>
      </c>
      <c r="E16437" s="22" t="s">
        <v>48</v>
      </c>
      <c r="F16437" s="23" t="str">
        <f>HYPERLINK("https://www.spark-marketing.ru/Card/Lot/71449813", "Оказание услуг по организации горячего питания для воспитанников дошкольных образовательных учреждений")</f>
        <v>Оказание услуг по организации горячего питания для воспитанников дошкольных образовательных учреждений</v>
      </c>
      <c r="G16437" s="22" t="s">
        <v>145</v>
      </c>
      <c r="H16437" s="22" t="s">
        <v>1600</v>
      </c>
      <c r="I16437" s="26">
        <v>43634.462500000001</v>
      </c>
      <c r="J16437" s="23" t="str">
        <f>HYPERLINK("https://www.spark-marketing.ru/Card/Person/6153609", "ООО ""ЦЕНТР ИНХО""")</f>
        <v>ООО "ЦЕНТР ИНХО"</v>
      </c>
      <c r="K16437" s="24" t="s">
        <v>21511</v>
      </c>
      <c r="L16437" s="28" t="s">
        <v>51</v>
      </c>
      <c r="M16437" s="25">
        <v>910103</v>
      </c>
      <c r="N16437" s="27">
        <v>0</v>
      </c>
    </row>
    <row r="16438" spans="1:14" x14ac:dyDescent="0.15">
      <c r="A16438" s="23" t="str">
        <f>HYPERLINK("https://www.spark-marketing.ru/Card/Person/741576", "МБДОУ ДС ""РЯБИНКА"" С. ОРЛОВКА")</f>
        <v>МБДОУ ДС "РЯБИНКА" С. ОРЛОВКА</v>
      </c>
      <c r="B16438" s="24" t="s">
        <v>21512</v>
      </c>
      <c r="C16438" s="25">
        <v>45084</v>
      </c>
      <c r="D16438" s="22" t="s">
        <v>21513</v>
      </c>
      <c r="E16438" s="22" t="s">
        <v>48</v>
      </c>
      <c r="F16438" s="23" t="str">
        <f>HYPERLINK("https://www.spark-marketing.ru/Card/Lot/71463616", "Оказание услуг по организации горячего питания воспитанников Муниципального бюджетного дошкольного образовательного учреждения детский сад ""Рябинка"" с. Орловка муниципального района Янаульский район Республики Башкортостан")</f>
        <v>Оказание услуг по организации горячего питания воспитанников Муниципального бюджетного дошкольного образовательного учреждения детский сад "Рябинка" с. Орловка муниципального района Янаульский район Республики Башкортостан</v>
      </c>
      <c r="G16438" s="22" t="s">
        <v>145</v>
      </c>
      <c r="H16438" s="22" t="s">
        <v>10690</v>
      </c>
      <c r="I16438" s="26">
        <v>43634.460416666698</v>
      </c>
      <c r="J16438" s="23" t="str">
        <f>HYPERLINK("https://www.spark-marketing.ru/Card/Person/6275152", "ООО ""ЯНАУЛЬСКИЙ КДП""")</f>
        <v>ООО "ЯНАУЛЬСКИЙ КДП"</v>
      </c>
      <c r="K16438" s="24" t="s">
        <v>10674</v>
      </c>
      <c r="L16438" s="22" t="s">
        <v>10</v>
      </c>
      <c r="M16438" s="28" t="s">
        <v>51</v>
      </c>
      <c r="N16438" s="28" t="s">
        <v>51</v>
      </c>
    </row>
    <row r="16439" spans="1:14" x14ac:dyDescent="0.15">
      <c r="A16439" s="23" t="str">
        <f>HYPERLINK("https://www.spark-marketing.ru/Card/Person/737048", "МБДОУ ДС ""ВАСИЛЕК"" С. НОВЫЙ АРТАУЛ")</f>
        <v>МБДОУ ДС "ВАСИЛЕК" С. НОВЫЙ АРТАУЛ</v>
      </c>
      <c r="B16439" s="24" t="s">
        <v>21514</v>
      </c>
      <c r="C16439" s="25">
        <v>116467</v>
      </c>
      <c r="D16439" s="22" t="s">
        <v>21515</v>
      </c>
      <c r="E16439" s="22" t="s">
        <v>48</v>
      </c>
      <c r="F16439" s="23" t="str">
        <f>HYPERLINK("https://www.spark-marketing.ru/Card/Lot/71468374", "Оказание услуг по организации горячего питания воспитанников Муниципального бюджетного дошкольного образовательного учреждения детский сад ""Василек"" с. Новый Артаул муниципального района Янаульский район Республики Башкортостан")</f>
        <v>Оказание услуг по организации горячего питания воспитанников Муниципального бюджетного дошкольного образовательного учреждения детский сад "Василек" с. Новый Артаул муниципального района Янаульский район Республики Башкортостан</v>
      </c>
      <c r="G16439" s="22" t="s">
        <v>145</v>
      </c>
      <c r="H16439" s="22" t="s">
        <v>145</v>
      </c>
      <c r="I16439" s="26">
        <v>43634.4597222222</v>
      </c>
      <c r="J16439" s="23" t="str">
        <f>HYPERLINK("https://www.spark-marketing.ru/Card/Person/6275152", "ООО ""ЯНАУЛЬСКИЙ КДП""")</f>
        <v>ООО "ЯНАУЛЬСКИЙ КДП"</v>
      </c>
      <c r="K16439" s="24" t="s">
        <v>10674</v>
      </c>
      <c r="L16439" s="22" t="s">
        <v>10</v>
      </c>
      <c r="M16439" s="28" t="s">
        <v>51</v>
      </c>
      <c r="N16439" s="28" t="s">
        <v>51</v>
      </c>
    </row>
    <row r="16440" spans="1:14" x14ac:dyDescent="0.15">
      <c r="A16440" s="23" t="str">
        <f>HYPERLINK("https://www.spark-marketing.ru/Card/Person/950674", "МБУ ДО ДЮСШ")</f>
        <v>МБУ ДО ДЮСШ</v>
      </c>
      <c r="B16440" s="24" t="s">
        <v>21516</v>
      </c>
      <c r="C16440" s="25">
        <v>632899.80000000005</v>
      </c>
      <c r="D16440" s="22" t="s">
        <v>21517</v>
      </c>
      <c r="E16440" s="22" t="s">
        <v>48</v>
      </c>
      <c r="F16440" s="23" t="str">
        <f>HYPERLINK("https://www.spark-marketing.ru/Card/Lot/71449341", "Услуги по организации двухразового питания детей, находящихся в профильном лагере ""Мастер"" с дневным пребыванием в 2019 году на территории ЗАТО г.Зеленогорска Красноярского края")</f>
        <v>Услуги по организации двухразового питания детей, находящихся в профильном лагере "Мастер" с дневным пребыванием в 2019 году на территории ЗАТО г.Зеленогорска Красноярского края</v>
      </c>
      <c r="G16440" s="22" t="s">
        <v>281</v>
      </c>
      <c r="H16440" s="22" t="s">
        <v>8349</v>
      </c>
      <c r="I16440" s="26">
        <v>43634.498611111099</v>
      </c>
      <c r="J16440" s="23" t="str">
        <f>HYPERLINK("https://www.spark-marketing.ru/Card/Person/471436", "ООО КАФЕ ""ПАРУС""")</f>
        <v>ООО КАФЕ "ПАРУС"</v>
      </c>
      <c r="K16440" s="24" t="s">
        <v>16036</v>
      </c>
      <c r="L16440" s="22" t="s">
        <v>10</v>
      </c>
      <c r="M16440" s="28" t="s">
        <v>51</v>
      </c>
      <c r="N16440" s="28" t="s">
        <v>51</v>
      </c>
    </row>
    <row r="16441" spans="1:14" x14ac:dyDescent="0.15">
      <c r="A16441" s="23" t="str">
        <f>HYPERLINK("https://www.spark-marketing.ru/Card/Person/91614", "ГКУСО МО ""ПРОТВИНСКИЙ РЦ""")</f>
        <v>ГКУСО МО "ПРОТВИНСКИЙ РЦ"</v>
      </c>
      <c r="B16441" s="24" t="s">
        <v>21518</v>
      </c>
      <c r="C16441" s="25">
        <v>13000</v>
      </c>
      <c r="D16441" s="22" t="s">
        <v>21519</v>
      </c>
      <c r="E16441" s="22" t="s">
        <v>3024</v>
      </c>
      <c r="F16441" s="23" t="str">
        <f>HYPERLINK("https://www.spark-marketing.ru/Card/Lot/71448677", "Услуги по закупке программы 1С: Дошкольное питание 8")</f>
        <v>Услуги по закупке программы 1С: Дошкольное питание 8</v>
      </c>
      <c r="G16441" s="22" t="s">
        <v>49</v>
      </c>
      <c r="H16441" s="22" t="s">
        <v>11929</v>
      </c>
      <c r="I16441" s="26">
        <v>43634.482523148101</v>
      </c>
      <c r="J16441" s="28" t="s">
        <v>51</v>
      </c>
      <c r="K16441" s="28" t="s">
        <v>51</v>
      </c>
      <c r="L16441" s="28" t="s">
        <v>51</v>
      </c>
      <c r="M16441" s="28" t="s">
        <v>51</v>
      </c>
      <c r="N16441" s="28" t="s">
        <v>51</v>
      </c>
    </row>
    <row r="16442" spans="1:14" x14ac:dyDescent="0.2">
      <c r="A16442" s="23" t="str">
        <f>HYPERLINK("https://www.spark-marketing.ru/Card/Person/32436", "КГАПОУ ""ДКИОР""")</f>
        <v>КГАПОУ "ДКИОР"</v>
      </c>
      <c r="B16442" s="24" t="s">
        <v>9558</v>
      </c>
      <c r="C16442" s="25">
        <v>213650</v>
      </c>
      <c r="D16442" s="22" t="s">
        <v>21520</v>
      </c>
      <c r="E16442" s="22" t="s">
        <v>794</v>
      </c>
      <c r="F16442" s="23" t="str">
        <f>HYPERLINK("https://www.spark-marketing.ru/Card/Lot/71441821", "Оказание услуг по предоставлению мест для временного проживания, организации питания и услуги лыжных трасс")</f>
        <v>Оказание услуг по предоставлению мест для временного проживания, организации питания и услуги лыжных трасс</v>
      </c>
      <c r="G16442" s="22" t="s">
        <v>281</v>
      </c>
      <c r="H16442" s="22" t="s">
        <v>281</v>
      </c>
      <c r="I16442" s="26">
        <v>43634.457465277803</v>
      </c>
      <c r="J16442" s="28" t="s">
        <v>51</v>
      </c>
      <c r="K16442" s="28" t="s">
        <v>51</v>
      </c>
      <c r="L16442" s="28" t="s">
        <v>51</v>
      </c>
      <c r="M16442" s="25">
        <v>213650</v>
      </c>
      <c r="N16442" s="27">
        <v>0</v>
      </c>
    </row>
    <row r="16443" spans="1:14" x14ac:dyDescent="0.2">
      <c r="A16443" s="23" t="str">
        <f>HYPERLINK("https://www.spark-marketing.ru/Card/Person/1449467", "МАУ ""СШОР №14 ""ВОЛГА""")</f>
        <v>МАУ "СШОР №14 "ВОЛГА"</v>
      </c>
      <c r="B16443" s="24" t="s">
        <v>21521</v>
      </c>
      <c r="C16443" s="25">
        <v>196000</v>
      </c>
      <c r="D16443" s="22" t="s">
        <v>21522</v>
      </c>
      <c r="E16443" s="22" t="s">
        <v>769</v>
      </c>
      <c r="F16443" s="23" t="str">
        <f>HYPERLINK("https://www.spark-marketing.ru/Card/Lot/71446922", "Услуги по временному размещению в номерах гостиницы ""Апарт отель"" и питанию команды по футболу.")</f>
        <v>Услуги по временному размещению в номерах гостиницы "Апарт отель" и питанию команды по футболу.</v>
      </c>
      <c r="G16443" s="22" t="s">
        <v>351</v>
      </c>
      <c r="H16443" s="22" t="s">
        <v>351</v>
      </c>
      <c r="I16443" s="26">
        <v>43634.438703703701</v>
      </c>
      <c r="J16443" s="23" t="str">
        <f>HYPERLINK("https://www.spark-marketing.ru/Card/Person/6618878", "Никишанов Виктор Вячеславович")</f>
        <v>Никишанов Виктор Вячеславович</v>
      </c>
      <c r="K16443" s="24" t="s">
        <v>21523</v>
      </c>
      <c r="L16443" s="28" t="s">
        <v>51</v>
      </c>
      <c r="M16443" s="25">
        <v>196000</v>
      </c>
      <c r="N16443" s="27">
        <v>0</v>
      </c>
    </row>
    <row r="16444" spans="1:14" ht="12.75" x14ac:dyDescent="0.2">
      <c r="A16444" s="23" t="str">
        <f>HYPERLINK("https://www.spark-marketing.ru/Card/Person/93317", "МОУ СОШ № 3")</f>
        <v>МОУ СОШ № 3</v>
      </c>
      <c r="B16444" s="24" t="s">
        <v>21524</v>
      </c>
      <c r="C16444" s="25">
        <v>1653938</v>
      </c>
      <c r="D16444" s="22" t="s">
        <v>21525</v>
      </c>
      <c r="E16444" s="22" t="s">
        <v>48</v>
      </c>
      <c r="F16444" s="23" t="str">
        <f>HYPERLINK("https://www.spark-marketing.ru/Card/Lot/71453184", "Оказание услуг по организации горячего питания")</f>
        <v>Оказание услуг по организации горячего питания</v>
      </c>
      <c r="G16444" s="22" t="s">
        <v>137</v>
      </c>
      <c r="H16444" s="22" t="s">
        <v>138</v>
      </c>
      <c r="I16444" s="26">
        <v>43634.420138888898</v>
      </c>
      <c r="J16444" s="23" t="str">
        <f>HYPERLINK("https://www.spark-marketing.ru/Card/Person/33643", "ООО ""ТВЕРСКОЙ КОМБИНАТ ШКОЛЬНОГО ПИТАНИЯ""")</f>
        <v>ООО "ТВЕРСКОЙ КОМБИНАТ ШКОЛЬНОГО ПИТАНИЯ"</v>
      </c>
      <c r="K16444" s="24" t="s">
        <v>16891</v>
      </c>
      <c r="L16444" s="22" t="s">
        <v>10</v>
      </c>
      <c r="M16444" s="25">
        <v>1653938</v>
      </c>
      <c r="N16444" s="27">
        <v>0</v>
      </c>
    </row>
    <row r="16445" spans="1:14" x14ac:dyDescent="0.15">
      <c r="A16445" s="23" t="str">
        <f>HYPERLINK("https://www.spark-marketing.ru/Card/Person/1310569", "МОАУ ""ЛИЦЕЙ № 6""")</f>
        <v>МОАУ "ЛИЦЕЙ № 6"</v>
      </c>
      <c r="B16445" s="24" t="s">
        <v>21526</v>
      </c>
      <c r="C16445" s="25">
        <v>179281.2</v>
      </c>
      <c r="D16445" s="22" t="s">
        <v>21527</v>
      </c>
      <c r="E16445" s="22" t="s">
        <v>1412</v>
      </c>
      <c r="F16445" s="23" t="str">
        <f>HYPERLINK("https://www.spark-marketing.ru/Card/Lot/71444333", "Услуги по организации питания детей в лагере дневного пребывания, включая приобретение наборов продуктов питания")</f>
        <v>Услуги по организации питания детей в лагере дневного пребывания, включая приобретение наборов продуктов питания</v>
      </c>
      <c r="G16445" s="22" t="s">
        <v>132</v>
      </c>
      <c r="H16445" s="22" t="s">
        <v>132</v>
      </c>
      <c r="I16445" s="26">
        <v>43634.454004629602</v>
      </c>
      <c r="J16445" s="28" t="s">
        <v>51</v>
      </c>
      <c r="K16445" s="28" t="s">
        <v>51</v>
      </c>
      <c r="L16445" s="28" t="s">
        <v>51</v>
      </c>
      <c r="M16445" s="28" t="s">
        <v>51</v>
      </c>
      <c r="N16445" s="28" t="s">
        <v>51</v>
      </c>
    </row>
    <row r="16446" spans="1:14" x14ac:dyDescent="0.15">
      <c r="A16446" s="23" t="str">
        <f>HYPERLINK("https://www.spark-marketing.ru/Card/Person/537184", "МО МВД РОССИИ ""БАРЫШСКИЙ""")</f>
        <v>МО МВД РОССИИ "БАРЫШСКИЙ"</v>
      </c>
      <c r="B16446" s="24" t="s">
        <v>4608</v>
      </c>
      <c r="C16446" s="25">
        <v>50000</v>
      </c>
      <c r="D16446" s="22" t="s">
        <v>21528</v>
      </c>
      <c r="E16446" s="22" t="s">
        <v>48</v>
      </c>
      <c r="F16446" s="23" t="str">
        <f>HYPERLINK("https://www.spark-marketing.ru/Card/Lot/71442942", "Услуги по обеспечению питанием, осуществляемые по договору, 1 усл. ед")</f>
        <v>Услуги по обеспечению питанием, осуществляемые по договору, 1 усл. ед</v>
      </c>
      <c r="G16446" s="22" t="s">
        <v>1918</v>
      </c>
      <c r="H16446" s="22" t="s">
        <v>4610</v>
      </c>
      <c r="I16446" s="26">
        <v>43634.393773148098</v>
      </c>
      <c r="J16446" s="28" t="s">
        <v>51</v>
      </c>
      <c r="K16446" s="28" t="s">
        <v>51</v>
      </c>
      <c r="L16446" s="28" t="s">
        <v>51</v>
      </c>
      <c r="M16446" s="28" t="s">
        <v>51</v>
      </c>
      <c r="N16446" s="28" t="s">
        <v>51</v>
      </c>
    </row>
    <row r="16447" spans="1:14" x14ac:dyDescent="0.15">
      <c r="A16447" s="23" t="str">
        <f>HYPERLINK("https://www.spark-marketing.ru/Card/Person/11601", "АДМИНИСТРАЦИЯ ГОРОДСКОГО ОКРУГА ИСТРА")</f>
        <v>АДМИНИСТРАЦИЯ ГОРОДСКОГО ОКРУГА ИСТРА</v>
      </c>
      <c r="B16447" s="24" t="s">
        <v>19343</v>
      </c>
      <c r="C16447" s="25">
        <v>741249.9</v>
      </c>
      <c r="D16447" s="22" t="s">
        <v>21529</v>
      </c>
      <c r="E16447" s="22" t="s">
        <v>1632</v>
      </c>
      <c r="F16447" s="23" t="str">
        <f>HYPERLINK("https://www.spark-marketing.ru/Card/Lot/71449107", "Оказание услуг по организации проживания и питания для членов официальных иностранных делегаций, прибывающих из городов-побратимов на празднование Дней города Истра и городского округа Истра")</f>
        <v>Оказание услуг по организации проживания и питания для членов официальных иностранных делегаций, прибывающих из городов-побратимов на празднование Дней города Истра и городского округа Истра</v>
      </c>
      <c r="G16447" s="22" t="s">
        <v>49</v>
      </c>
      <c r="H16447" s="22" t="s">
        <v>4820</v>
      </c>
      <c r="I16447" s="26">
        <v>43634.3881944444</v>
      </c>
      <c r="J16447" s="28" t="s">
        <v>51</v>
      </c>
      <c r="K16447" s="28" t="s">
        <v>51</v>
      </c>
      <c r="L16447" s="28" t="s">
        <v>51</v>
      </c>
      <c r="M16447" s="28" t="s">
        <v>51</v>
      </c>
      <c r="N16447" s="28" t="s">
        <v>51</v>
      </c>
    </row>
    <row r="16448" spans="1:14" x14ac:dyDescent="0.15">
      <c r="A16448" s="23" t="str">
        <f>HYPERLINK("https://www.spark-marketing.ru/Card/Person/15216", "УПРАВА РАЙОНА ОТРАДНОЕ ГОРОДА МОСКВЫ")</f>
        <v>УПРАВА РАЙОНА ОТРАДНОЕ ГОРОДА МОСКВЫ</v>
      </c>
      <c r="B16448" s="24" t="s">
        <v>21530</v>
      </c>
      <c r="C16448" s="25">
        <v>693700</v>
      </c>
      <c r="D16448" s="22" t="s">
        <v>21531</v>
      </c>
      <c r="E16448" s="22" t="s">
        <v>96</v>
      </c>
      <c r="F16448" s="23" t="str">
        <f>HYPERLINK("https://www.spark-marketing.ru/Card/Lot/71449542", "Оказание услуг по организации питания членов избирательный комиссий для проведения выборов депутатов в Московскую городскую Думу 7 созыва.")</f>
        <v>Оказание услуг по организации питания членов избирательный комиссий для проведения выборов депутатов в Московскую городскую Думу 7 созыва.</v>
      </c>
      <c r="G16448" s="22" t="s">
        <v>56</v>
      </c>
      <c r="H16448" s="22" t="s">
        <v>56</v>
      </c>
      <c r="I16448" s="26">
        <v>43634.381249999999</v>
      </c>
      <c r="J16448" s="28" t="s">
        <v>51</v>
      </c>
      <c r="K16448" s="28" t="s">
        <v>51</v>
      </c>
      <c r="L16448" s="28" t="s">
        <v>51</v>
      </c>
      <c r="M16448" s="28" t="s">
        <v>51</v>
      </c>
      <c r="N16448" s="28" t="s">
        <v>51</v>
      </c>
    </row>
    <row r="16449" spans="1:14" hidden="1" outlineLevel="1" x14ac:dyDescent="0.2">
      <c r="A16449" s="23" t="str">
        <f>HYPERLINK("https://www.spark-marketing.ru/Card/Person/15216", "УПРАВА РАЙОНА ОТРАДНОЕ ГОРОДА МОСКВЫ")</f>
        <v>УПРАВА РАЙОНА ОТРАДНОЕ ГОРОДА МОСКВЫ</v>
      </c>
      <c r="B16449" s="24" t="s">
        <v>21530</v>
      </c>
      <c r="C16449" s="25">
        <v>693700</v>
      </c>
      <c r="D16449" s="22" t="s">
        <v>21531</v>
      </c>
      <c r="E16449" s="22" t="s">
        <v>96</v>
      </c>
      <c r="F16449" s="23" t="str">
        <f>HYPERLINK("https://www.spark-marketing.ru/Card/Lot/71449542", "Оказание услуг по организации питания членов избирательный комиссий для проведения выборов депутатов в Московскую городскую Думу 7 созыва.")</f>
        <v>Оказание услуг по организации питания членов избирательный комиссий для проведения выборов депутатов в Московскую городскую Думу 7 созыва.</v>
      </c>
      <c r="G16449" s="22" t="s">
        <v>56</v>
      </c>
      <c r="H16449" s="22" t="s">
        <v>56</v>
      </c>
      <c r="I16449" s="26">
        <v>43634.381249999999</v>
      </c>
      <c r="J16449" s="23" t="str">
        <f>HYPERLINK("https://www.spark-marketing.ru/Card/Person/6249615", "ООО ""АЛЬЯНС ПИТАНИЯ""")</f>
        <v>ООО "АЛЬЯНС ПИТАНИЯ"</v>
      </c>
      <c r="K16449" s="24" t="s">
        <v>9696</v>
      </c>
      <c r="L16449" s="28" t="s">
        <v>51</v>
      </c>
      <c r="M16449" s="25">
        <v>554960</v>
      </c>
      <c r="N16449" s="27">
        <v>0.2</v>
      </c>
    </row>
    <row r="16450" spans="1:14" hidden="1" outlineLevel="1" x14ac:dyDescent="0.2">
      <c r="A16450" s="23" t="str">
        <f>HYPERLINK("https://www.spark-marketing.ru/Card/Person/15216", "УПРАВА РАЙОНА ОТРАДНОЕ ГОРОДА МОСКВЫ")</f>
        <v>УПРАВА РАЙОНА ОТРАДНОЕ ГОРОДА МОСКВЫ</v>
      </c>
      <c r="B16450" s="24" t="s">
        <v>21530</v>
      </c>
      <c r="C16450" s="25">
        <v>693700</v>
      </c>
      <c r="D16450" s="22" t="s">
        <v>21531</v>
      </c>
      <c r="E16450" s="22" t="s">
        <v>96</v>
      </c>
      <c r="F16450" s="23" t="str">
        <f>HYPERLINK("https://www.spark-marketing.ru/Card/Lot/71449542", "Оказание услуг по организации питания членов избирательный комиссий для проведения выборов депутатов в Московскую городскую Думу 7 созыва.")</f>
        <v>Оказание услуг по организации питания членов избирательный комиссий для проведения выборов депутатов в Московскую городскую Думу 7 созыва.</v>
      </c>
      <c r="G16450" s="22" t="s">
        <v>56</v>
      </c>
      <c r="H16450" s="22" t="s">
        <v>56</v>
      </c>
      <c r="I16450" s="26">
        <v>43634.381249999999</v>
      </c>
      <c r="J16450" s="23" t="str">
        <f>HYPERLINK("https://www.spark-marketing.ru/Card/Person/4052353", "ООО ""ЕВРОКОР""")</f>
        <v>ООО "ЕВРОКОР"</v>
      </c>
      <c r="K16450" s="24" t="s">
        <v>9698</v>
      </c>
      <c r="L16450" s="28" t="s">
        <v>51</v>
      </c>
      <c r="M16450" s="25">
        <v>409283</v>
      </c>
      <c r="N16450" s="27">
        <v>0.41</v>
      </c>
    </row>
    <row r="16451" spans="1:14" ht="12.75" hidden="1" outlineLevel="1" x14ac:dyDescent="0.2">
      <c r="A16451" s="23" t="str">
        <f>HYPERLINK("https://www.spark-marketing.ru/Card/Person/15216", "УПРАВА РАЙОНА ОТРАДНОЕ ГОРОДА МОСКВЫ")</f>
        <v>УПРАВА РАЙОНА ОТРАДНОЕ ГОРОДА МОСКВЫ</v>
      </c>
      <c r="B16451" s="24" t="s">
        <v>21530</v>
      </c>
      <c r="C16451" s="25">
        <v>693700</v>
      </c>
      <c r="D16451" s="22" t="s">
        <v>21531</v>
      </c>
      <c r="E16451" s="22" t="s">
        <v>96</v>
      </c>
      <c r="F16451" s="23" t="str">
        <f>HYPERLINK("https://www.spark-marketing.ru/Card/Lot/71449542", "Оказание услуг по организации питания членов избирательный комиссий для проведения выборов депутатов в Московскую городскую Думу 7 созыва.")</f>
        <v>Оказание услуг по организации питания членов избирательный комиссий для проведения выборов депутатов в Московскую городскую Думу 7 созыва.</v>
      </c>
      <c r="G16451" s="22" t="s">
        <v>56</v>
      </c>
      <c r="H16451" s="22" t="s">
        <v>56</v>
      </c>
      <c r="I16451" s="26">
        <v>43634.381249999999</v>
      </c>
      <c r="J16451" s="23" t="str">
        <f>HYPERLINK("https://www.spark-marketing.ru/Card/Person/6617658", "ООО ""АЛЬБА""")</f>
        <v>ООО "АЛЬБА"</v>
      </c>
      <c r="K16451" s="24" t="s">
        <v>13028</v>
      </c>
      <c r="L16451" s="22" t="s">
        <v>10</v>
      </c>
      <c r="M16451" s="25">
        <v>405814.5</v>
      </c>
      <c r="N16451" s="27">
        <v>0.41499999999999998</v>
      </c>
    </row>
    <row r="16452" spans="1:14" x14ac:dyDescent="0.15">
      <c r="A16452" s="23" t="str">
        <f>HYPERLINK("https://www.spark-marketing.ru/Card/Person/107523", "ИСПОЛНИТЕЛЬНЫЙ КОМИТЕТ ЗАИНСКОГО МУНИЦИПАЛЬНОГО РАЙОНА РЕСПУБЛИКИ ТАТАРСТАН")</f>
        <v>ИСПОЛНИТЕЛЬНЫЙ КОМИТЕТ ЗАИНСКОГО МУНИЦИПАЛЬНОГО РАЙОНА РЕСПУБЛИКИ ТАТАРСТАН</v>
      </c>
      <c r="B16452" s="24" t="s">
        <v>21532</v>
      </c>
      <c r="C16452" s="25">
        <v>67450</v>
      </c>
      <c r="D16452" s="22" t="s">
        <v>21533</v>
      </c>
      <c r="E16452" s="22" t="s">
        <v>51</v>
      </c>
      <c r="F16452" s="23" t="str">
        <f>HYPERLINK("https://www.spark-marketing.ru/Card/Lot/71464606", "Проведение чаепития и организация горячего питания приуроченного к Декаде инвалидов для нужд Исполнительного комитета Заинского муниципального района Республики Татарстан")</f>
        <v>Проведение чаепития и организация горячего питания приуроченного к Декаде инвалидов для нужд Исполнительного комитета Заинского муниципального района Республики Татарстан</v>
      </c>
      <c r="G16452" s="22" t="s">
        <v>217</v>
      </c>
      <c r="H16452" s="22" t="s">
        <v>21534</v>
      </c>
      <c r="I16452" s="26">
        <v>43634.403472222199</v>
      </c>
      <c r="J16452" s="23" t="str">
        <f>HYPERLINK("https://www.spark-marketing.ru/Card/Person/214122", "ООО ""КАРАВАЙ""")</f>
        <v>ООО "КАРАВАЙ"</v>
      </c>
      <c r="K16452" s="24" t="s">
        <v>21535</v>
      </c>
      <c r="L16452" s="22" t="s">
        <v>10</v>
      </c>
      <c r="M16452" s="28" t="s">
        <v>51</v>
      </c>
      <c r="N16452" s="28" t="s">
        <v>51</v>
      </c>
    </row>
    <row r="16453" spans="1:14" x14ac:dyDescent="0.15">
      <c r="A16453" s="23" t="str">
        <f>HYPERLINK("https://www.spark-marketing.ru/Card/Person/225644", "ФЛ СТАВРОПОЛЬСКИЙ ПСО ФГКУ ""СК РПСО МЧС РОССИИ""")</f>
        <v>ФЛ СТАВРОПОЛЬСКИЙ ПСО ФГКУ "СК РПСО МЧС РОССИИ"</v>
      </c>
      <c r="B16453" s="24" t="s">
        <v>8900</v>
      </c>
      <c r="C16453" s="25">
        <v>200000</v>
      </c>
      <c r="D16453" s="22" t="s">
        <v>21536</v>
      </c>
      <c r="E16453" s="22" t="s">
        <v>96</v>
      </c>
      <c r="F16453" s="23" t="str">
        <f>HYPERLINK("https://www.spark-marketing.ru/Card/Lot/71470172", "Талоны на услугу по обеспечению горячим питанием")</f>
        <v>Талоны на услугу по обеспечению горячим питанием</v>
      </c>
      <c r="G16453" s="22" t="s">
        <v>87</v>
      </c>
      <c r="H16453" s="22" t="s">
        <v>686</v>
      </c>
      <c r="I16453" s="26">
        <v>43634.406944444403</v>
      </c>
      <c r="J16453" s="23" t="str">
        <f>HYPERLINK("https://www.spark-marketing.ru/Card/Person/961484", "Казанков Александр Иванович")</f>
        <v>Казанков Александр Иванович</v>
      </c>
      <c r="K16453" s="24" t="s">
        <v>21537</v>
      </c>
      <c r="L16453" s="22" t="s">
        <v>10</v>
      </c>
      <c r="M16453" s="28" t="s">
        <v>51</v>
      </c>
      <c r="N16453" s="28" t="s">
        <v>51</v>
      </c>
    </row>
    <row r="16454" spans="1:14" x14ac:dyDescent="0.15">
      <c r="A16454" s="23" t="str">
        <f>HYPERLINK("https://www.spark-marketing.ru/Card/Person/1045721", "МДОУ ДЕТСКИЙ САД ОБЩЕРАЗВИВАЮЩЕГО ВИДА № 16 ""КОЛОКОЛЬЧИК""")</f>
        <v>МДОУ ДЕТСКИЙ САД ОБЩЕРАЗВИВАЮЩЕГО ВИДА № 16 "КОЛОКОЛЬЧИК"</v>
      </c>
      <c r="B16454" s="24" t="s">
        <v>3329</v>
      </c>
      <c r="C16454" s="25">
        <v>386463</v>
      </c>
      <c r="D16454" s="22" t="s">
        <v>21538</v>
      </c>
      <c r="E16454" s="22" t="s">
        <v>48</v>
      </c>
      <c r="F16454" s="23" t="str">
        <f>HYPERLINK("https://www.spark-marketing.ru/Card/Lot/71444054", "Оказание услуг по организации питания для воспитанников льготной категории дошкольной образовательной организации")</f>
        <v>Оказание услуг по организации питания для воспитанников льготной категории дошкольной образовательной организации</v>
      </c>
      <c r="G16454" s="22" t="s">
        <v>49</v>
      </c>
      <c r="H16454" s="22" t="s">
        <v>50</v>
      </c>
      <c r="I16454" s="26">
        <v>43634.399409722202</v>
      </c>
      <c r="J16454" s="28" t="s">
        <v>51</v>
      </c>
      <c r="K16454" s="28" t="s">
        <v>51</v>
      </c>
      <c r="L16454" s="28" t="s">
        <v>51</v>
      </c>
      <c r="M16454" s="28" t="s">
        <v>51</v>
      </c>
      <c r="N16454" s="28" t="s">
        <v>51</v>
      </c>
    </row>
    <row r="16455" spans="1:14" x14ac:dyDescent="0.15">
      <c r="A16455" s="23" t="str">
        <f>HYPERLINK("https://www.spark-marketing.ru/Card/Person/4686", "ГУ - ХАБАРОВСКОЕ РО ФОНДА СОЦИАЛЬНОГО СТРАХОВАНИЯ РОССИЙСКОЙ ФЕДЕРАЦИИ")</f>
        <v>ГУ - ХАБАРОВСКОЕ РО ФОНДА СОЦИАЛЬНОГО СТРАХОВАНИЯ РОССИЙСКОЙ ФЕДЕРАЦИИ</v>
      </c>
      <c r="B16455" s="24" t="s">
        <v>7089</v>
      </c>
      <c r="C16455" s="25">
        <v>294582.63</v>
      </c>
      <c r="D16455" s="22" t="s">
        <v>21539</v>
      </c>
      <c r="E16455" s="22" t="s">
        <v>91</v>
      </c>
      <c r="F16455" s="23" t="str">
        <f>HYPERLINK("https://www.spark-marketing.ru/Card/Lot/71441097", "Оказание услуг по техническому обслуживанию и регламентно-профилактическому ремонту источников бесперебойного питания (ИБП) для нужд ГУ-ХРО ФСС РФ в 2019 году")</f>
        <v>Оказание услуг по техническому обслуживанию и регламентно-профилактическому ремонту источников бесперебойного питания (ИБП) для нужд ГУ-ХРО ФСС РФ в 2019 году</v>
      </c>
      <c r="G16455" s="22" t="s">
        <v>1096</v>
      </c>
      <c r="H16455" s="22" t="s">
        <v>1097</v>
      </c>
      <c r="I16455" s="26">
        <v>43634.393750000003</v>
      </c>
      <c r="J16455" s="23" t="str">
        <f>HYPERLINK("https://www.spark-marketing.ru/Card/Person/6620609", "ООО ""КОМЛАЙН""")</f>
        <v>ООО "КОМЛАЙН"</v>
      </c>
      <c r="K16455" s="24" t="s">
        <v>21540</v>
      </c>
      <c r="L16455" s="28" t="s">
        <v>51</v>
      </c>
      <c r="M16455" s="28" t="s">
        <v>51</v>
      </c>
      <c r="N16455" s="28" t="s">
        <v>51</v>
      </c>
    </row>
    <row r="16456" spans="1:14" hidden="1" outlineLevel="1" x14ac:dyDescent="0.15">
      <c r="A16456" s="23" t="str">
        <f>HYPERLINK("https://www.spark-marketing.ru/Card/Person/4686", "ГУ - ХАБАРОВСКОЕ РО ФОНДА СОЦИАЛЬНОГО СТРАХОВАНИЯ РОССИЙСКОЙ ФЕДЕРАЦИИ")</f>
        <v>ГУ - ХАБАРОВСКОЕ РО ФОНДА СОЦИАЛЬНОГО СТРАХОВАНИЯ РОССИЙСКОЙ ФЕДЕРАЦИИ</v>
      </c>
      <c r="B16456" s="24" t="s">
        <v>7089</v>
      </c>
      <c r="C16456" s="25">
        <v>294582.63</v>
      </c>
      <c r="D16456" s="22" t="s">
        <v>21539</v>
      </c>
      <c r="E16456" s="22" t="s">
        <v>91</v>
      </c>
      <c r="F16456" s="23" t="str">
        <f>HYPERLINK("https://www.spark-marketing.ru/Card/Lot/71441097", "Оказание услуг по техническому обслуживанию и регламентно-профилактическому ремонту источников бесперебойного питания (ИБП) для нужд ГУ-ХРО ФСС РФ в 2019 году")</f>
        <v>Оказание услуг по техническому обслуживанию и регламентно-профилактическому ремонту источников бесперебойного питания (ИБП) для нужд ГУ-ХРО ФСС РФ в 2019 году</v>
      </c>
      <c r="G16456" s="22" t="s">
        <v>1096</v>
      </c>
      <c r="H16456" s="22" t="s">
        <v>1097</v>
      </c>
      <c r="I16456" s="26">
        <v>43634.393750000003</v>
      </c>
      <c r="J16456" s="23" t="str">
        <f>HYPERLINK("https://www.spark-marketing.ru/Card/Person/6620609", "ООО ""КОМЛАЙН""")</f>
        <v>ООО "КОМЛАЙН"</v>
      </c>
      <c r="K16456" s="24" t="s">
        <v>21540</v>
      </c>
      <c r="L16456" s="22" t="s">
        <v>10</v>
      </c>
      <c r="M16456" s="28" t="s">
        <v>51</v>
      </c>
      <c r="N16456" s="28" t="s">
        <v>51</v>
      </c>
    </row>
    <row r="16457" spans="1:14" x14ac:dyDescent="0.2">
      <c r="A16457" s="23" t="str">
        <f>HYPERLINK("https://www.spark-marketing.ru/Card/Person/6217576", "МДОУ ""ДЕТСКИЙ САД № 96""")</f>
        <v>МДОУ "ДЕТСКИЙ САД № 96"</v>
      </c>
      <c r="B16457" s="24" t="s">
        <v>21541</v>
      </c>
      <c r="C16457" s="25">
        <v>2748500</v>
      </c>
      <c r="D16457" s="22" t="s">
        <v>21542</v>
      </c>
      <c r="E16457" s="22" t="s">
        <v>362</v>
      </c>
      <c r="F16457" s="23" t="str">
        <f>HYPERLINK("https://www.spark-marketing.ru/Card/Lot/71443137", "Оказание услуг по организации питания")</f>
        <v>Оказание услуг по организации питания</v>
      </c>
      <c r="G16457" s="22" t="s">
        <v>185</v>
      </c>
      <c r="H16457" s="22" t="s">
        <v>185</v>
      </c>
      <c r="I16457" s="26">
        <v>43634.3674537037</v>
      </c>
      <c r="J16457" s="28" t="s">
        <v>51</v>
      </c>
      <c r="K16457" s="28" t="s">
        <v>51</v>
      </c>
      <c r="L16457" s="22" t="s">
        <v>10</v>
      </c>
      <c r="M16457" s="25">
        <v>2748500</v>
      </c>
      <c r="N16457" s="27">
        <v>0</v>
      </c>
    </row>
    <row r="16458" spans="1:14" x14ac:dyDescent="0.15">
      <c r="A16458" s="23" t="str">
        <f>HYPERLINK("https://www.spark-marketing.ru/Card/Person/108628", "МБОУ ""СОШ №4""")</f>
        <v>МБОУ "СОШ №4"</v>
      </c>
      <c r="B16458" s="24" t="s">
        <v>21543</v>
      </c>
      <c r="C16458" s="25">
        <v>73080</v>
      </c>
      <c r="D16458" s="22" t="s">
        <v>21544</v>
      </c>
      <c r="E16458" s="22" t="s">
        <v>48</v>
      </c>
      <c r="F16458" s="23" t="str">
        <f>HYPERLINK("https://www.spark-marketing.ru/Card/Lot/71442369", "оказание услуг по организации питания в оздоровительных учреждениях с дневным пребыванием детей в период каникул (2 смена)")</f>
        <v>оказание услуг по организации питания в оздоровительных учреждениях с дневным пребыванием детей в период каникул (2 смена)</v>
      </c>
      <c r="G16458" s="22" t="s">
        <v>49</v>
      </c>
      <c r="H16458" s="22" t="s">
        <v>404</v>
      </c>
      <c r="I16458" s="26">
        <v>43634.357025463003</v>
      </c>
      <c r="J16458" s="28" t="s">
        <v>51</v>
      </c>
      <c r="K16458" s="28" t="s">
        <v>51</v>
      </c>
      <c r="L16458" s="28" t="s">
        <v>51</v>
      </c>
      <c r="M16458" s="28" t="s">
        <v>51</v>
      </c>
      <c r="N16458" s="28" t="s">
        <v>51</v>
      </c>
    </row>
    <row r="16459" spans="1:14" x14ac:dyDescent="0.15">
      <c r="A16459" s="23" t="str">
        <f>HYPERLINK("https://www.spark-marketing.ru/Card/Person/127856", "МБОУ ""ШКОЛА №30""")</f>
        <v>МБОУ "ШКОЛА №30"</v>
      </c>
      <c r="B16459" s="24" t="s">
        <v>21545</v>
      </c>
      <c r="C16459" s="25">
        <v>252000</v>
      </c>
      <c r="D16459" s="22" t="s">
        <v>21546</v>
      </c>
      <c r="E16459" s="22" t="s">
        <v>48</v>
      </c>
      <c r="F16459" s="23" t="str">
        <f>HYPERLINK("https://www.spark-marketing.ru/Card/Lot/71442372", "Оказание услуг по организации питания детей и подростков в период их пребывания в летнем оздоровительном лагере с дневным пребыванием при общеобразовательном учреждении в период с 03.07.2019 по 30.07.2019")</f>
        <v>Оказание услуг по организации питания детей и подростков в период их пребывания в летнем оздоровительном лагере с дневным пребыванием при общеобразовательном учреждении в период с 03.07.2019 по 30.07.2019</v>
      </c>
      <c r="G16459" s="22" t="s">
        <v>49</v>
      </c>
      <c r="H16459" s="22" t="s">
        <v>7442</v>
      </c>
      <c r="I16459" s="26">
        <v>43634.367395833302</v>
      </c>
      <c r="J16459" s="28" t="s">
        <v>51</v>
      </c>
      <c r="K16459" s="28" t="s">
        <v>51</v>
      </c>
      <c r="L16459" s="28" t="s">
        <v>51</v>
      </c>
      <c r="M16459" s="28" t="s">
        <v>51</v>
      </c>
      <c r="N16459" s="28" t="s">
        <v>51</v>
      </c>
    </row>
    <row r="16460" spans="1:14" x14ac:dyDescent="0.15">
      <c r="A16460" s="23" t="str">
        <f>HYPERLINK("https://www.spark-marketing.ru/Card/Person/101569", "КГБПОУ ""РЕБРИХИНСКИЙ ЛИЦЕЙ ПРОФЕССИОНАЛЬНОГО ОБРАЗОВАНИЯ""")</f>
        <v>КГБПОУ "РЕБРИХИНСКИЙ ЛИЦЕЙ ПРОФЕССИОНАЛЬНОГО ОБРАЗОВАНИЯ"</v>
      </c>
      <c r="B16460" s="24" t="s">
        <v>21547</v>
      </c>
      <c r="C16460" s="25">
        <v>7427</v>
      </c>
      <c r="D16460" s="22" t="s">
        <v>21548</v>
      </c>
      <c r="E16460" s="22" t="s">
        <v>48</v>
      </c>
      <c r="F16460" s="23" t="str">
        <f>HYPERLINK("https://www.spark-marketing.ru/Card/Lot/71438316", "Закупка товара, работы или услуги на сумму, не превышающую 400 тысяч рублей (по п. 5 части 1 ст. 93 закона No44-ФЗ)")</f>
        <v>Закупка товара, работы или услуги на сумму, не превышающую 400 тысяч рублей (по п. 5 части 1 ст. 93 закона No44-ФЗ)</v>
      </c>
      <c r="G16460" s="22" t="s">
        <v>63</v>
      </c>
      <c r="H16460" s="22" t="s">
        <v>20345</v>
      </c>
      <c r="I16460" s="26">
        <v>43634.204861111102</v>
      </c>
      <c r="J16460" s="28" t="s">
        <v>51</v>
      </c>
      <c r="K16460" s="28" t="s">
        <v>51</v>
      </c>
      <c r="L16460" s="28" t="s">
        <v>51</v>
      </c>
      <c r="M16460" s="28" t="s">
        <v>51</v>
      </c>
      <c r="N16460" s="28" t="s">
        <v>51</v>
      </c>
    </row>
    <row r="16461" spans="1:14" x14ac:dyDescent="0.15">
      <c r="A1646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461" s="24" t="s">
        <v>3255</v>
      </c>
      <c r="C16461" s="25">
        <v>32670.48</v>
      </c>
      <c r="D16461" s="22" t="s">
        <v>21549</v>
      </c>
      <c r="E16461" s="22" t="s">
        <v>9540</v>
      </c>
      <c r="F16461" s="23" t="str">
        <f>HYPERLINK("https://www.spark-marketing.ru/Card/Lot/71438312", "Поставка лекарственных препаратов для медицинского применения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лечеб...")</f>
        <v>Поставка лекарственных препаратов для медицинского применения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лечеб...</v>
      </c>
      <c r="G16461" s="22" t="s">
        <v>210</v>
      </c>
      <c r="H16461" s="22" t="s">
        <v>3257</v>
      </c>
      <c r="I16461" s="26">
        <v>43634.2006944444</v>
      </c>
      <c r="J16461" s="28" t="s">
        <v>51</v>
      </c>
      <c r="K16461" s="28" t="s">
        <v>51</v>
      </c>
      <c r="L16461" s="28" t="s">
        <v>51</v>
      </c>
      <c r="M16461" s="28" t="s">
        <v>51</v>
      </c>
      <c r="N16461" s="28" t="s">
        <v>51</v>
      </c>
    </row>
    <row r="16462" spans="1:14" x14ac:dyDescent="0.15">
      <c r="A16462" s="23" t="str">
        <f>HYPERLINK("https://www.spark-marketing.ru/Card/Person/6450322", "ЗАКАЗЧИК РП БЕЛАРУСЬ")</f>
        <v>ЗАКАЗЧИК РП БЕЛАРУСЬ</v>
      </c>
      <c r="B16462" s="28" t="s">
        <v>51</v>
      </c>
      <c r="C16462" s="25">
        <v>252670.59</v>
      </c>
      <c r="D16462" s="22" t="s">
        <v>21550</v>
      </c>
      <c r="E16462" s="22" t="s">
        <v>52</v>
      </c>
      <c r="F16462" s="23" t="str">
        <f>HYPERLINK("https://www.spark-marketing.ru/Card/Lot/71459239", "Услуги по обеспечению питания представителей иностранной организации.")</f>
        <v>Услуги по обеспечению питания представителей иностранной организации.</v>
      </c>
      <c r="G16462" s="22" t="s">
        <v>51</v>
      </c>
      <c r="H16462" s="22" t="s">
        <v>51</v>
      </c>
      <c r="I16462" s="26">
        <v>43634</v>
      </c>
      <c r="J16462" s="28" t="s">
        <v>51</v>
      </c>
      <c r="K16462" s="28" t="s">
        <v>51</v>
      </c>
      <c r="L16462" s="28" t="s">
        <v>51</v>
      </c>
      <c r="M16462" s="28" t="s">
        <v>51</v>
      </c>
      <c r="N16462" s="28" t="s">
        <v>51</v>
      </c>
    </row>
    <row r="16463" spans="1:14" x14ac:dyDescent="0.15">
      <c r="A16463" s="23" t="str">
        <f>HYPERLINK("https://www.spark-marketing.ru/Card/Person/4348382", "ООО ""ГАЗПРОМ ПИТАНИЕ""")</f>
        <v>ООО "ГАЗПРОМ ПИТАНИЕ"</v>
      </c>
      <c r="B16463" s="24" t="s">
        <v>2869</v>
      </c>
      <c r="C16463" s="25">
        <v>403692.31</v>
      </c>
      <c r="D16463" s="22" t="s">
        <v>21551</v>
      </c>
      <c r="E16463" s="22" t="s">
        <v>3561</v>
      </c>
      <c r="F16463" s="23" t="str">
        <f>HYPERLINK("https://www.spark-marketing.ru/Card/Lot/71451109", "Оказание услуг по проведению периодического медицинского осмотра работников в г. Саратове для нужд филиала ""Саратовское управление по организации общественного питания» ООО «Газпром питание»")</f>
        <v>Оказание услуг по проведению периодического медицинского осмотра работников в г. Саратове для нужд филиала "Саратовское управление по организации общественного питания» ООО «Газпром питание»</v>
      </c>
      <c r="G16463" s="22" t="s">
        <v>56</v>
      </c>
      <c r="H16463" s="22" t="s">
        <v>56</v>
      </c>
      <c r="I16463" s="26">
        <v>43634.541053240697</v>
      </c>
      <c r="J16463" s="28" t="s">
        <v>51</v>
      </c>
      <c r="K16463" s="28" t="s">
        <v>51</v>
      </c>
      <c r="L16463" s="28" t="s">
        <v>51</v>
      </c>
      <c r="M16463" s="28" t="s">
        <v>51</v>
      </c>
      <c r="N16463" s="28" t="s">
        <v>51</v>
      </c>
    </row>
    <row r="16464" spans="1:14" x14ac:dyDescent="0.15">
      <c r="A16464" s="23" t="str">
        <f>HYPERLINK("https://www.spark-marketing.ru/Card/Person/5858167", "ОМВД РОССИИ ПО ЗАВОЛЖСКОМУ ГОРОДСКОМУ РАЙОНУ")</f>
        <v>ОМВД РОССИИ ПО ЗАВОЛЖСКОМУ ГОРОДСКОМУ РАЙОНУ</v>
      </c>
      <c r="B16464" s="24" t="s">
        <v>15027</v>
      </c>
      <c r="C16464" s="25">
        <v>50000</v>
      </c>
      <c r="D16464" s="22" t="s">
        <v>21552</v>
      </c>
      <c r="E16464" s="22" t="s">
        <v>48</v>
      </c>
      <c r="F16464" s="23" t="str">
        <f>HYPERLINK("https://www.spark-marketing.ru/Card/Lot/71432463", "Услуги по доставке горячего питания (завтрак, обед, ужин), 1 усл. ед")</f>
        <v>Услуги по доставке горячего питания (завтрак, обед, ужин), 1 усл. ед</v>
      </c>
      <c r="G16464" s="22" t="s">
        <v>185</v>
      </c>
      <c r="H16464" s="22" t="s">
        <v>185</v>
      </c>
      <c r="I16464" s="26">
        <v>43634.028935185197</v>
      </c>
      <c r="J16464" s="28" t="s">
        <v>51</v>
      </c>
      <c r="K16464" s="28" t="s">
        <v>51</v>
      </c>
      <c r="L16464" s="28" t="s">
        <v>51</v>
      </c>
      <c r="M16464" s="28" t="s">
        <v>51</v>
      </c>
      <c r="N16464" s="28" t="s">
        <v>51</v>
      </c>
    </row>
    <row r="16465" spans="1:14" x14ac:dyDescent="0.15">
      <c r="A16465" s="23" t="str">
        <f>HYPERLINK("https://www.spark-marketing.ru/Card/Person/4348382", "ООО ""ГАЗПРОМ ПИТАНИЕ""")</f>
        <v>ООО "ГАЗПРОМ ПИТАНИЕ"</v>
      </c>
      <c r="B16465" s="24" t="s">
        <v>2869</v>
      </c>
      <c r="C16465" s="25">
        <v>71820</v>
      </c>
      <c r="D16465" s="22" t="s">
        <v>21553</v>
      </c>
      <c r="E16465" s="22" t="s">
        <v>2615</v>
      </c>
      <c r="F16465" s="23" t="str">
        <f>HYPERLINK("https://www.spark-marketing.ru/Card/Lot/71463872", "Оказание услуг по проведению обязательных периодических медицинских осмотров (в Астраханской области) для нужд филиала ""Ставропольское управление по организации общественного питания ООО ""Газпром питание""")</f>
        <v>Оказание услуг по проведению обязательных периодических медицинских осмотров (в Астраханской области) для нужд филиала "Ставропольское управление по организации общественного питания ООО "Газпром питание"</v>
      </c>
      <c r="G16465" s="22" t="s">
        <v>56</v>
      </c>
      <c r="H16465" s="22" t="s">
        <v>56</v>
      </c>
      <c r="I16465" s="26">
        <v>43634.730590277803</v>
      </c>
      <c r="J16465" s="28" t="s">
        <v>51</v>
      </c>
      <c r="K16465" s="28" t="s">
        <v>51</v>
      </c>
      <c r="L16465" s="28" t="s">
        <v>51</v>
      </c>
      <c r="M16465" s="28" t="s">
        <v>51</v>
      </c>
      <c r="N16465" s="28" t="s">
        <v>51</v>
      </c>
    </row>
    <row r="16466" spans="1:14" x14ac:dyDescent="0.15">
      <c r="A16466" s="23" t="str">
        <f>HYPERLINK("https://www.spark-marketing.ru/Card/Person/656617", "ОГБУ ДО ""МОСТ""")</f>
        <v>ОГБУ ДО "МОСТ"</v>
      </c>
      <c r="B16466" s="24" t="s">
        <v>13605</v>
      </c>
      <c r="C16466" s="25">
        <v>388800</v>
      </c>
      <c r="D16466" s="22" t="s">
        <v>21554</v>
      </c>
      <c r="E16466" s="22" t="s">
        <v>13935</v>
      </c>
      <c r="F16466" s="23" t="str">
        <f>HYPERLINK("https://www.spark-marketing.ru/Card/Lot/71413631", "Оказание услуг по организации питания лагеря сдневным пребыванием детей «Добрые соседи» 2 смена")</f>
        <v>Оказание услуг по организации питания лагеря сдневным пребыванием детей «Добрые соседи» 2 смена</v>
      </c>
      <c r="G16466" s="22" t="s">
        <v>4451</v>
      </c>
      <c r="H16466" s="22" t="s">
        <v>4451</v>
      </c>
      <c r="I16466" s="26">
        <v>43633.9507407407</v>
      </c>
      <c r="J16466" s="28" t="s">
        <v>51</v>
      </c>
      <c r="K16466" s="28" t="s">
        <v>51</v>
      </c>
      <c r="L16466" s="28" t="s">
        <v>51</v>
      </c>
      <c r="M16466" s="28" t="s">
        <v>51</v>
      </c>
      <c r="N16466" s="28" t="s">
        <v>51</v>
      </c>
    </row>
    <row r="16467" spans="1:14" x14ac:dyDescent="0.15">
      <c r="A16467" s="23" t="str">
        <f>HYPERLINK("https://www.spark-marketing.ru/Card/Person/15517", "УТ МВД РОССИИ ПО УРФО")</f>
        <v>УТ МВД РОССИИ ПО УРФО</v>
      </c>
      <c r="B16467" s="24" t="s">
        <v>21555</v>
      </c>
      <c r="C16467" s="25">
        <v>99900</v>
      </c>
      <c r="D16467" s="22" t="s">
        <v>21556</v>
      </c>
      <c r="E16467" s="22" t="s">
        <v>96</v>
      </c>
      <c r="F16467" s="23" t="str">
        <f>HYPERLINK("https://www.spark-marketing.ru/Card/Lot/71424844", "оказание услуг по организации питания (приготовлению и доставке), 334 шт")</f>
        <v>оказание услуг по организации питания (приготовлению и доставке), 334 шт</v>
      </c>
      <c r="G16467" s="22" t="s">
        <v>174</v>
      </c>
      <c r="H16467" s="22" t="s">
        <v>530</v>
      </c>
      <c r="I16467" s="26">
        <v>43633.865266203698</v>
      </c>
      <c r="J16467" s="28" t="s">
        <v>51</v>
      </c>
      <c r="K16467" s="28" t="s">
        <v>51</v>
      </c>
      <c r="L16467" s="28" t="s">
        <v>51</v>
      </c>
      <c r="M16467" s="28" t="s">
        <v>51</v>
      </c>
      <c r="N16467" s="28" t="s">
        <v>51</v>
      </c>
    </row>
    <row r="16468" spans="1:14" x14ac:dyDescent="0.15">
      <c r="A16468" s="23" t="str">
        <f>HYPERLINK("https://www.spark-marketing.ru/Card/Person/84291", "УМВД РОССИИ ПО КРАСНОГВАРДЕЙСКОМУ РАЙОНУ Г. СПБ")</f>
        <v>УМВД РОССИИ ПО КРАСНОГВАРДЕЙСКОМУ РАЙОНУ Г. СПБ</v>
      </c>
      <c r="B16468" s="24" t="s">
        <v>19940</v>
      </c>
      <c r="C16468" s="25">
        <v>195000</v>
      </c>
      <c r="D16468" s="22" t="s">
        <v>21557</v>
      </c>
      <c r="E16468" s="22" t="s">
        <v>48</v>
      </c>
      <c r="F16468" s="23" t="str">
        <f>HYPERLINK("https://www.spark-marketing.ru/Card/Lot/71437450", "Питание административно-задержанных лиц")</f>
        <v>Питание административно-задержанных лиц</v>
      </c>
      <c r="G16468" s="22" t="s">
        <v>117</v>
      </c>
      <c r="H16468" s="22" t="s">
        <v>117</v>
      </c>
      <c r="I16468" s="26">
        <v>43633.800868055601</v>
      </c>
      <c r="J16468" s="28" t="s">
        <v>51</v>
      </c>
      <c r="K16468" s="28" t="s">
        <v>51</v>
      </c>
      <c r="L16468" s="28" t="s">
        <v>51</v>
      </c>
      <c r="M16468" s="28" t="s">
        <v>51</v>
      </c>
      <c r="N16468" s="28" t="s">
        <v>51</v>
      </c>
    </row>
    <row r="16469" spans="1:14" x14ac:dyDescent="0.15">
      <c r="A16469" s="23" t="str">
        <f>HYPERLINK("https://www.spark-marketing.ru/Card/Person/4969", "УПРАВА РАЙОНА СЕВЕРНОЕ ИЗМАЙЛОВО ГОРОДА МОСКВЫ")</f>
        <v>УПРАВА РАЙОНА СЕВЕРНОЕ ИЗМАЙЛОВО ГОРОДА МОСКВЫ</v>
      </c>
      <c r="B16469" s="24" t="s">
        <v>21558</v>
      </c>
      <c r="C16469" s="25">
        <v>407400</v>
      </c>
      <c r="D16469" s="22" t="s">
        <v>21559</v>
      </c>
      <c r="E16469" s="22" t="s">
        <v>48</v>
      </c>
      <c r="F16469" s="23" t="str">
        <f>HYPERLINK("https://www.spark-marketing.ru/Card/Lot/71436018", "Оказание услуг по организации питания членов избирательных комиссий в рамках материально-технического обеспечения выборов")</f>
        <v>Оказание услуг по организации питания членов избирательных комиссий в рамках материально-технического обеспечения выборов</v>
      </c>
      <c r="G16469" s="22" t="s">
        <v>56</v>
      </c>
      <c r="H16469" s="22" t="s">
        <v>56</v>
      </c>
      <c r="I16469" s="26">
        <v>43633.791736111103</v>
      </c>
      <c r="J16469" s="28" t="s">
        <v>51</v>
      </c>
      <c r="K16469" s="28" t="s">
        <v>51</v>
      </c>
      <c r="L16469" s="28" t="s">
        <v>51</v>
      </c>
      <c r="M16469" s="28" t="s">
        <v>51</v>
      </c>
      <c r="N16469" s="28" t="s">
        <v>51</v>
      </c>
    </row>
    <row r="16470" spans="1:14" hidden="1" outlineLevel="1" x14ac:dyDescent="0.2">
      <c r="A16470" s="23" t="str">
        <f>HYPERLINK("https://www.spark-marketing.ru/Card/Person/4969", "УПРАВА РАЙОНА СЕВЕРНОЕ ИЗМАЙЛОВО ГОРОДА МОСКВЫ")</f>
        <v>УПРАВА РАЙОНА СЕВЕРНОЕ ИЗМАЙЛОВО ГОРОДА МОСКВЫ</v>
      </c>
      <c r="B16470" s="24" t="s">
        <v>21558</v>
      </c>
      <c r="C16470" s="25">
        <v>407400</v>
      </c>
      <c r="D16470" s="22" t="s">
        <v>21559</v>
      </c>
      <c r="E16470" s="22" t="s">
        <v>48</v>
      </c>
      <c r="F16470" s="23" t="str">
        <f>HYPERLINK("https://www.spark-marketing.ru/Card/Lot/71436018", "Оказание услуг по организации питания членов избирательных комиссий в рамках материально-технического обеспечения выборов")</f>
        <v>Оказание услуг по организации питания членов избирательных комиссий в рамках материально-технического обеспечения выборов</v>
      </c>
      <c r="G16470" s="22" t="s">
        <v>56</v>
      </c>
      <c r="H16470" s="22" t="s">
        <v>56</v>
      </c>
      <c r="I16470" s="26">
        <v>43633.791736111103</v>
      </c>
      <c r="J16470" s="23" t="str">
        <f>HYPERLINK("https://www.spark-marketing.ru/Card/Person/6624373", "Деткина Мария Владимировна")</f>
        <v>Деткина Мария Владимировна</v>
      </c>
      <c r="K16470" s="24" t="s">
        <v>17351</v>
      </c>
      <c r="L16470" s="28" t="s">
        <v>51</v>
      </c>
      <c r="M16470" s="25">
        <v>266847</v>
      </c>
      <c r="N16470" s="27">
        <v>0.34499999999999997</v>
      </c>
    </row>
    <row r="16471" spans="1:14" hidden="1" outlineLevel="1" x14ac:dyDescent="0.2">
      <c r="A16471" s="23" t="str">
        <f>HYPERLINK("https://www.spark-marketing.ru/Card/Person/4969", "УПРАВА РАЙОНА СЕВЕРНОЕ ИЗМАЙЛОВО ГОРОДА МОСКВЫ")</f>
        <v>УПРАВА РАЙОНА СЕВЕРНОЕ ИЗМАЙЛОВО ГОРОДА МОСКВЫ</v>
      </c>
      <c r="B16471" s="24" t="s">
        <v>21558</v>
      </c>
      <c r="C16471" s="25">
        <v>407400</v>
      </c>
      <c r="D16471" s="22" t="s">
        <v>21559</v>
      </c>
      <c r="E16471" s="22" t="s">
        <v>48</v>
      </c>
      <c r="F16471" s="23" t="str">
        <f>HYPERLINK("https://www.spark-marketing.ru/Card/Lot/71436018", "Оказание услуг по организации питания членов избирательных комиссий в рамках материально-технического обеспечения выборов")</f>
        <v>Оказание услуг по организации питания членов избирательных комиссий в рамках материально-технического обеспечения выборов</v>
      </c>
      <c r="G16471" s="22" t="s">
        <v>56</v>
      </c>
      <c r="H16471" s="22" t="s">
        <v>56</v>
      </c>
      <c r="I16471" s="26">
        <v>43633.791736111103</v>
      </c>
      <c r="J16471" s="23" t="str">
        <f>HYPERLINK("https://www.spark-marketing.ru/Card/Person/6307957", "ООО ""КУЛИНАРНОЕ ПРОИЗВОДСТВО""")</f>
        <v>ООО "КУЛИНАРНОЕ ПРОИЗВОДСТВО"</v>
      </c>
      <c r="K16471" s="24" t="s">
        <v>21560</v>
      </c>
      <c r="L16471" s="28" t="s">
        <v>51</v>
      </c>
      <c r="M16471" s="25">
        <v>346290</v>
      </c>
      <c r="N16471" s="27">
        <v>0.15</v>
      </c>
    </row>
    <row r="16472" spans="1:14" hidden="1" outlineLevel="1" x14ac:dyDescent="0.2">
      <c r="A16472" s="23" t="str">
        <f>HYPERLINK("https://www.spark-marketing.ru/Card/Person/4969", "УПРАВА РАЙОНА СЕВЕРНОЕ ИЗМАЙЛОВО ГОРОДА МОСКВЫ")</f>
        <v>УПРАВА РАЙОНА СЕВЕРНОЕ ИЗМАЙЛОВО ГОРОДА МОСКВЫ</v>
      </c>
      <c r="B16472" s="24" t="s">
        <v>21558</v>
      </c>
      <c r="C16472" s="25">
        <v>407400</v>
      </c>
      <c r="D16472" s="22" t="s">
        <v>21559</v>
      </c>
      <c r="E16472" s="22" t="s">
        <v>48</v>
      </c>
      <c r="F16472" s="23" t="str">
        <f>HYPERLINK("https://www.spark-marketing.ru/Card/Lot/71436018", "Оказание услуг по организации питания членов избирательных комиссий в рамках материально-технического обеспечения выборов")</f>
        <v>Оказание услуг по организации питания членов избирательных комиссий в рамках материально-технического обеспечения выборов</v>
      </c>
      <c r="G16472" s="22" t="s">
        <v>56</v>
      </c>
      <c r="H16472" s="22" t="s">
        <v>56</v>
      </c>
      <c r="I16472" s="26">
        <v>43633.791736111103</v>
      </c>
      <c r="J16472" s="23" t="str">
        <f>HYPERLINK("https://www.spark-marketing.ru/Card/Person/4052353", "ООО ""ЕВРОКОР""")</f>
        <v>ООО "ЕВРОКОР"</v>
      </c>
      <c r="K16472" s="24" t="s">
        <v>9698</v>
      </c>
      <c r="L16472" s="28" t="s">
        <v>51</v>
      </c>
      <c r="M16472" s="25">
        <v>305550</v>
      </c>
      <c r="N16472" s="27">
        <v>0.25</v>
      </c>
    </row>
    <row r="16473" spans="1:14" ht="12.75" hidden="1" outlineLevel="1" x14ac:dyDescent="0.2">
      <c r="A16473" s="23" t="str">
        <f>HYPERLINK("https://www.spark-marketing.ru/Card/Person/4969", "УПРАВА РАЙОНА СЕВЕРНОЕ ИЗМАЙЛОВО ГОРОДА МОСКВЫ")</f>
        <v>УПРАВА РАЙОНА СЕВЕРНОЕ ИЗМАЙЛОВО ГОРОДА МОСКВЫ</v>
      </c>
      <c r="B16473" s="24" t="s">
        <v>21558</v>
      </c>
      <c r="C16473" s="25">
        <v>407400</v>
      </c>
      <c r="D16473" s="22" t="s">
        <v>21559</v>
      </c>
      <c r="E16473" s="22" t="s">
        <v>48</v>
      </c>
      <c r="F16473" s="23" t="str">
        <f>HYPERLINK("https://www.spark-marketing.ru/Card/Lot/71436018", "Оказание услуг по организации питания членов избирательных комиссий в рамках материально-технического обеспечения выборов")</f>
        <v>Оказание услуг по организации питания членов избирательных комиссий в рамках материально-технического обеспечения выборов</v>
      </c>
      <c r="G16473" s="22" t="s">
        <v>56</v>
      </c>
      <c r="H16473" s="22" t="s">
        <v>56</v>
      </c>
      <c r="I16473" s="26">
        <v>43633.791736111103</v>
      </c>
      <c r="J16473" s="23" t="str">
        <f>HYPERLINK("https://www.spark-marketing.ru/Card/Person/6617658", "ООО ""АЛЬБА""")</f>
        <v>ООО "АЛЬБА"</v>
      </c>
      <c r="K16473" s="24" t="s">
        <v>13028</v>
      </c>
      <c r="L16473" s="22" t="s">
        <v>10</v>
      </c>
      <c r="M16473" s="25">
        <v>264810</v>
      </c>
      <c r="N16473" s="27">
        <v>0.35</v>
      </c>
    </row>
    <row r="16474" spans="1:14" x14ac:dyDescent="0.15">
      <c r="A16474" s="23" t="str">
        <f>HYPERLINK("https://www.spark-marketing.ru/Card/Person/20025", "УПРАВА РАЙОНА ПЕРОВО ГОРОДА МОСКВЫ")</f>
        <v>УПРАВА РАЙОНА ПЕРОВО ГОРОДА МОСКВЫ</v>
      </c>
      <c r="B16474" s="24" t="s">
        <v>21561</v>
      </c>
      <c r="C16474" s="25">
        <v>478191.87</v>
      </c>
      <c r="D16474" s="22" t="s">
        <v>21562</v>
      </c>
      <c r="E16474" s="22" t="s">
        <v>586</v>
      </c>
      <c r="F16474" s="23" t="str">
        <f>HYPERLINK("https://www.spark-marketing.ru/Card/Lot/71436021", "Оказание услуг по комплектованию и доставке обедов для питания членов участковых избирательных комиссий района Перово")</f>
        <v>Оказание услуг по комплектованию и доставке обедов для питания членов участковых избирательных комиссий района Перово</v>
      </c>
      <c r="G16474" s="22" t="s">
        <v>56</v>
      </c>
      <c r="H16474" s="22" t="s">
        <v>56</v>
      </c>
      <c r="I16474" s="26">
        <v>43633.792905092603</v>
      </c>
      <c r="J16474" s="28" t="s">
        <v>51</v>
      </c>
      <c r="K16474" s="28" t="s">
        <v>51</v>
      </c>
      <c r="L16474" s="28" t="s">
        <v>51</v>
      </c>
      <c r="M16474" s="28" t="s">
        <v>51</v>
      </c>
      <c r="N16474" s="28" t="s">
        <v>51</v>
      </c>
    </row>
    <row r="16475" spans="1:14" hidden="1" outlineLevel="1" x14ac:dyDescent="0.2">
      <c r="A16475" s="23" t="str">
        <f>HYPERLINK("https://www.spark-marketing.ru/Card/Person/20025", "УПРАВА РАЙОНА ПЕРОВО ГОРОДА МОСКВЫ")</f>
        <v>УПРАВА РАЙОНА ПЕРОВО ГОРОДА МОСКВЫ</v>
      </c>
      <c r="B16475" s="24" t="s">
        <v>21561</v>
      </c>
      <c r="C16475" s="25">
        <v>478191.87</v>
      </c>
      <c r="D16475" s="22" t="s">
        <v>21562</v>
      </c>
      <c r="E16475" s="22" t="s">
        <v>586</v>
      </c>
      <c r="F16475" s="23" t="str">
        <f>HYPERLINK("https://www.spark-marketing.ru/Card/Lot/71436021", "Оказание услуг по комплектованию и доставке обедов для питания членов участковых избирательных комиссий района Перово")</f>
        <v>Оказание услуг по комплектованию и доставке обедов для питания членов участковых избирательных комиссий района Перово</v>
      </c>
      <c r="G16475" s="22" t="s">
        <v>56</v>
      </c>
      <c r="H16475" s="22" t="s">
        <v>56</v>
      </c>
      <c r="I16475" s="26">
        <v>43633.792905092603</v>
      </c>
      <c r="J16475" s="23" t="str">
        <f>HYPERLINK("https://www.spark-marketing.ru/Card/Person/6494443", "ООО ""ФУД СЕРВИС""")</f>
        <v>ООО "ФУД СЕРВИС"</v>
      </c>
      <c r="K16475" s="24" t="s">
        <v>9697</v>
      </c>
      <c r="L16475" s="28" t="s">
        <v>51</v>
      </c>
      <c r="M16475" s="25">
        <v>380162.51</v>
      </c>
      <c r="N16475" s="27">
        <v>0.20500005573076766</v>
      </c>
    </row>
    <row r="16476" spans="1:14" hidden="1" outlineLevel="1" x14ac:dyDescent="0.2">
      <c r="A16476" s="23" t="str">
        <f>HYPERLINK("https://www.spark-marketing.ru/Card/Person/20025", "УПРАВА РАЙОНА ПЕРОВО ГОРОДА МОСКВЫ")</f>
        <v>УПРАВА РАЙОНА ПЕРОВО ГОРОДА МОСКВЫ</v>
      </c>
      <c r="B16476" s="24" t="s">
        <v>21561</v>
      </c>
      <c r="C16476" s="25">
        <v>478191.87</v>
      </c>
      <c r="D16476" s="22" t="s">
        <v>21562</v>
      </c>
      <c r="E16476" s="22" t="s">
        <v>586</v>
      </c>
      <c r="F16476" s="23" t="str">
        <f>HYPERLINK("https://www.spark-marketing.ru/Card/Lot/71436021", "Оказание услуг по комплектованию и доставке обедов для питания членов участковых избирательных комиссий района Перово")</f>
        <v>Оказание услуг по комплектованию и доставке обедов для питания членов участковых избирательных комиссий района Перово</v>
      </c>
      <c r="G16476" s="22" t="s">
        <v>56</v>
      </c>
      <c r="H16476" s="22" t="s">
        <v>56</v>
      </c>
      <c r="I16476" s="26">
        <v>43633.792905092603</v>
      </c>
      <c r="J16476" s="23" t="str">
        <f>HYPERLINK("https://www.spark-marketing.ru/Card/Person/5906775", "Калмыкова Ольга Валерьевна")</f>
        <v>Калмыкова Ольга Валерьевна</v>
      </c>
      <c r="K16476" s="24" t="s">
        <v>21563</v>
      </c>
      <c r="L16476" s="28" t="s">
        <v>51</v>
      </c>
      <c r="M16476" s="25">
        <v>356252.91</v>
      </c>
      <c r="N16476" s="27">
        <v>0.25500006932363783</v>
      </c>
    </row>
    <row r="16477" spans="1:14" ht="12.75" hidden="1" outlineLevel="1" x14ac:dyDescent="0.2">
      <c r="A16477" s="23" t="str">
        <f>HYPERLINK("https://www.spark-marketing.ru/Card/Person/20025", "УПРАВА РАЙОНА ПЕРОВО ГОРОДА МОСКВЫ")</f>
        <v>УПРАВА РАЙОНА ПЕРОВО ГОРОДА МОСКВЫ</v>
      </c>
      <c r="B16477" s="24" t="s">
        <v>21561</v>
      </c>
      <c r="C16477" s="25">
        <v>478191.87</v>
      </c>
      <c r="D16477" s="22" t="s">
        <v>21562</v>
      </c>
      <c r="E16477" s="22" t="s">
        <v>586</v>
      </c>
      <c r="F16477" s="23" t="str">
        <f>HYPERLINK("https://www.spark-marketing.ru/Card/Lot/71436021", "Оказание услуг по комплектованию и доставке обедов для питания членов участковых избирательных комиссий района Перово")</f>
        <v>Оказание услуг по комплектованию и доставке обедов для питания членов участковых избирательных комиссий района Перово</v>
      </c>
      <c r="G16477" s="22" t="s">
        <v>56</v>
      </c>
      <c r="H16477" s="22" t="s">
        <v>56</v>
      </c>
      <c r="I16477" s="26">
        <v>43633.792905092603</v>
      </c>
      <c r="J16477" s="23" t="str">
        <f>HYPERLINK("https://www.spark-marketing.ru/Card/Person/6617658", "ООО ""АЛЬБА""")</f>
        <v>ООО "АЛЬБА"</v>
      </c>
      <c r="K16477" s="24" t="s">
        <v>13028</v>
      </c>
      <c r="L16477" s="22" t="s">
        <v>10</v>
      </c>
      <c r="M16477" s="25">
        <v>353861.95</v>
      </c>
      <c r="N16477" s="27">
        <v>0.2600000706829248</v>
      </c>
    </row>
    <row r="16478" spans="1:14" x14ac:dyDescent="0.15">
      <c r="A16478" s="23" t="str">
        <f>HYPERLINK("https://www.spark-marketing.ru/Card/Person/9368", "ГБУЗ ""ООКОД""")</f>
        <v>ГБУЗ "ООКОД"</v>
      </c>
      <c r="B16478" s="24" t="s">
        <v>810</v>
      </c>
      <c r="C16478" s="25">
        <v>24372</v>
      </c>
      <c r="D16478" s="22" t="s">
        <v>21564</v>
      </c>
      <c r="E16478" s="22" t="s">
        <v>21260</v>
      </c>
      <c r="F16478" s="23" t="str">
        <f>HYPERLINK("https://www.spark-marketing.ru/Card/Lot/71435368", "на поставку продуктов питания (крупы)")</f>
        <v>на поставку продуктов питания (крупы)</v>
      </c>
      <c r="G16478" s="22" t="s">
        <v>132</v>
      </c>
      <c r="H16478" s="22" t="s">
        <v>587</v>
      </c>
      <c r="I16478" s="26">
        <v>43633.730555555601</v>
      </c>
      <c r="J16478" s="28" t="s">
        <v>51</v>
      </c>
      <c r="K16478" s="28" t="s">
        <v>51</v>
      </c>
      <c r="L16478" s="28" t="s">
        <v>51</v>
      </c>
      <c r="M16478" s="28" t="s">
        <v>51</v>
      </c>
      <c r="N16478" s="28" t="s">
        <v>51</v>
      </c>
    </row>
    <row r="16479" spans="1:14" hidden="1" outlineLevel="1" x14ac:dyDescent="0.2">
      <c r="A16479" s="23" t="str">
        <f>HYPERLINK("https://www.spark-marketing.ru/Card/Person/9368", "ГБУЗ ""ООКОД""")</f>
        <v>ГБУЗ "ООКОД"</v>
      </c>
      <c r="B16479" s="24" t="s">
        <v>810</v>
      </c>
      <c r="C16479" s="25">
        <v>24372</v>
      </c>
      <c r="D16479" s="22" t="s">
        <v>21564</v>
      </c>
      <c r="E16479" s="22" t="s">
        <v>21260</v>
      </c>
      <c r="F16479" s="23" t="str">
        <f>HYPERLINK("https://www.spark-marketing.ru/Card/Lot/71435368", "на поставку продуктов питания (крупы)")</f>
        <v>на поставку продуктов питания (крупы)</v>
      </c>
      <c r="G16479" s="22" t="s">
        <v>132</v>
      </c>
      <c r="H16479" s="22" t="s">
        <v>587</v>
      </c>
      <c r="I16479" s="26">
        <v>43633.730555555601</v>
      </c>
      <c r="J16479" s="23" t="str">
        <f>HYPERLINK("https://www.spark-marketing.ru/Card/Person/748049", "ООО ""МПТОРГ""")</f>
        <v>ООО "МПТОРГ"</v>
      </c>
      <c r="K16479" s="24" t="s">
        <v>19647</v>
      </c>
      <c r="L16479" s="28" t="s">
        <v>51</v>
      </c>
      <c r="M16479" s="25">
        <v>23031.54</v>
      </c>
      <c r="N16479" s="27">
        <v>5.5E-2</v>
      </c>
    </row>
    <row r="16480" spans="1:14" hidden="1" outlineLevel="1" x14ac:dyDescent="0.2">
      <c r="A16480" s="23" t="str">
        <f>HYPERLINK("https://www.spark-marketing.ru/Card/Person/9368", "ГБУЗ ""ООКОД""")</f>
        <v>ГБУЗ "ООКОД"</v>
      </c>
      <c r="B16480" s="24" t="s">
        <v>810</v>
      </c>
      <c r="C16480" s="25">
        <v>24372</v>
      </c>
      <c r="D16480" s="22" t="s">
        <v>21564</v>
      </c>
      <c r="E16480" s="22" t="s">
        <v>21260</v>
      </c>
      <c r="F16480" s="23" t="str">
        <f>HYPERLINK("https://www.spark-marketing.ru/Card/Lot/71435368", "на поставку продуктов питания (крупы)")</f>
        <v>на поставку продуктов питания (крупы)</v>
      </c>
      <c r="G16480" s="22" t="s">
        <v>132</v>
      </c>
      <c r="H16480" s="22" t="s">
        <v>587</v>
      </c>
      <c r="I16480" s="26">
        <v>43633.730555555601</v>
      </c>
      <c r="J16480" s="23" t="str">
        <f>HYPERLINK("https://www.spark-marketing.ru/Card/Person/365580", "ООО МАГАЗИН ""НЕФТЯНИК""")</f>
        <v>ООО МАГАЗИН "НЕФТЯНИК"</v>
      </c>
      <c r="K16480" s="24" t="s">
        <v>19648</v>
      </c>
      <c r="L16480" s="28" t="s">
        <v>51</v>
      </c>
      <c r="M16480" s="25">
        <v>22665.96</v>
      </c>
      <c r="N16480" s="27">
        <v>7.0000000000000007E-2</v>
      </c>
    </row>
    <row r="16481" spans="1:14" hidden="1" outlineLevel="1" x14ac:dyDescent="0.2">
      <c r="A16481" s="23" t="str">
        <f>HYPERLINK("https://www.spark-marketing.ru/Card/Person/9368", "ГБУЗ ""ООКОД""")</f>
        <v>ГБУЗ "ООКОД"</v>
      </c>
      <c r="B16481" s="24" t="s">
        <v>810</v>
      </c>
      <c r="C16481" s="25">
        <v>24372</v>
      </c>
      <c r="D16481" s="22" t="s">
        <v>21564</v>
      </c>
      <c r="E16481" s="22" t="s">
        <v>21260</v>
      </c>
      <c r="F16481" s="23" t="str">
        <f>HYPERLINK("https://www.spark-marketing.ru/Card/Lot/71435368", "на поставку продуктов питания (крупы)")</f>
        <v>на поставку продуктов питания (крупы)</v>
      </c>
      <c r="G16481" s="22" t="s">
        <v>132</v>
      </c>
      <c r="H16481" s="22" t="s">
        <v>587</v>
      </c>
      <c r="I16481" s="26">
        <v>43633.730555555601</v>
      </c>
      <c r="J16481" s="23" t="str">
        <f>HYPERLINK("https://www.spark-marketing.ru/Card/Person/383412", "ООО ""ВАЮР""")</f>
        <v>ООО "ВАЮР"</v>
      </c>
      <c r="K16481" s="24" t="s">
        <v>19650</v>
      </c>
      <c r="L16481" s="28" t="s">
        <v>51</v>
      </c>
      <c r="M16481" s="25">
        <v>22300.38</v>
      </c>
      <c r="N16481" s="27">
        <v>8.5000000000000006E-2</v>
      </c>
    </row>
    <row r="16482" spans="1:14" ht="12.75" hidden="1" outlineLevel="1" x14ac:dyDescent="0.2">
      <c r="A16482" s="23" t="str">
        <f>HYPERLINK("https://www.spark-marketing.ru/Card/Person/9368", "ГБУЗ ""ООКОД""")</f>
        <v>ГБУЗ "ООКОД"</v>
      </c>
      <c r="B16482" s="24" t="s">
        <v>810</v>
      </c>
      <c r="C16482" s="25">
        <v>24372</v>
      </c>
      <c r="D16482" s="22" t="s">
        <v>21564</v>
      </c>
      <c r="E16482" s="22" t="s">
        <v>21260</v>
      </c>
      <c r="F16482" s="23" t="str">
        <f>HYPERLINK("https://www.spark-marketing.ru/Card/Lot/71435368", "на поставку продуктов питания (крупы)")</f>
        <v>на поставку продуктов питания (крупы)</v>
      </c>
      <c r="G16482" s="22" t="s">
        <v>132</v>
      </c>
      <c r="H16482" s="22" t="s">
        <v>587</v>
      </c>
      <c r="I16482" s="26">
        <v>43633.730555555601</v>
      </c>
      <c r="J16482" s="23" t="str">
        <f>HYPERLINK("https://www.spark-marketing.ru/Card/Person/6575894", "ООО ""ВИЛЕН""")</f>
        <v>ООО "ВИЛЕН"</v>
      </c>
      <c r="K16482" s="24" t="s">
        <v>21565</v>
      </c>
      <c r="L16482" s="22" t="s">
        <v>10</v>
      </c>
      <c r="M16482" s="25">
        <v>22178.52</v>
      </c>
      <c r="N16482" s="27">
        <v>0.09</v>
      </c>
    </row>
    <row r="16483" spans="1:14" x14ac:dyDescent="0.15">
      <c r="A16483" s="23" t="str">
        <f>HYPERLINK("https://www.spark-marketing.ru/Card/Person/129406", "МОМВД РОССИИ ""КИРСАНОВСКИЙ""")</f>
        <v>МОМВД РОССИИ "КИРСАНОВСКИЙ"</v>
      </c>
      <c r="B16483" s="24" t="s">
        <v>6612</v>
      </c>
      <c r="C16483" s="25">
        <v>528024.04</v>
      </c>
      <c r="D16483" s="22" t="s">
        <v>21566</v>
      </c>
      <c r="E16483" s="22" t="s">
        <v>96</v>
      </c>
      <c r="F16483" s="23" t="str">
        <f>HYPERLINK("https://www.spark-marketing.ru/Card/Lot/71423451", "оказание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специал...")</f>
        <v>оказание услуг по приготовлению и поставке трёхразового горячего питания лицам, содержащимся в специальном приемнике для содержания лиц, арестованных в административном порядке, в изоляторе временного содержания подозреваемых и обвиняемых и в специал...</v>
      </c>
      <c r="G16483" s="22" t="s">
        <v>1370</v>
      </c>
      <c r="H16483" s="22" t="s">
        <v>6614</v>
      </c>
      <c r="I16483" s="26">
        <v>43633.716666666704</v>
      </c>
      <c r="J16483" s="23" t="str">
        <f>HYPERLINK("https://www.spark-marketing.ru/Card/Person/536401", "ООО ""КОНТИНЕНТ-М""")</f>
        <v>ООО "КОНТИНЕНТ-М"</v>
      </c>
      <c r="K16483" s="24" t="s">
        <v>6615</v>
      </c>
      <c r="L16483" s="22" t="s">
        <v>10</v>
      </c>
      <c r="M16483" s="28" t="s">
        <v>51</v>
      </c>
      <c r="N16483" s="28" t="s">
        <v>51</v>
      </c>
    </row>
    <row r="16484" spans="1:14" x14ac:dyDescent="0.15">
      <c r="A16484" s="23" t="str">
        <f>HYPERLINK("https://www.spark-marketing.ru/Card/Person/131602", "ООО ""ГАЗПРОМ ТРАНСГАЗ ТОМСК""")</f>
        <v>ООО "ГАЗПРОМ ТРАНСГАЗ ТОМСК"</v>
      </c>
      <c r="B16484" s="24" t="s">
        <v>21567</v>
      </c>
      <c r="C16484" s="25">
        <v>50797158.729999997</v>
      </c>
      <c r="D16484" s="22" t="s">
        <v>21568</v>
      </c>
      <c r="E16484" s="22" t="s">
        <v>21569</v>
      </c>
      <c r="F16484" s="23" t="str">
        <f>HYPERLINK("https://www.spark-marketing.ru/Card/Lot/71408195", "Поставка серверного оборудования для нужд ООО ""Газпром трансгаз Томск"" в 2019 году")</f>
        <v>Поставка серверного оборудования для нужд ООО "Газпром трансгаз Томск" в 2019 году</v>
      </c>
      <c r="G16484" s="22" t="s">
        <v>149</v>
      </c>
      <c r="H16484" s="22" t="s">
        <v>496</v>
      </c>
      <c r="I16484" s="26">
        <v>43633.7124189815</v>
      </c>
      <c r="J16484" s="28" t="s">
        <v>51</v>
      </c>
      <c r="K16484" s="28" t="s">
        <v>51</v>
      </c>
      <c r="L16484" s="28" t="s">
        <v>51</v>
      </c>
      <c r="M16484" s="28" t="s">
        <v>51</v>
      </c>
      <c r="N16484" s="28" t="s">
        <v>51</v>
      </c>
    </row>
    <row r="16485" spans="1:14" x14ac:dyDescent="0.15">
      <c r="A16485" s="23" t="str">
        <f>HYPERLINK("https://www.spark-marketing.ru/Card/Person/55899", "ГБУЗ ""УСТЬ-ЛАБИНСКАЯ ЦРБ"" МЗ КК")</f>
        <v>ГБУЗ "УСТЬ-ЛАБИНСКАЯ ЦРБ" МЗ КК</v>
      </c>
      <c r="B16485" s="24" t="s">
        <v>1602</v>
      </c>
      <c r="C16485" s="25">
        <v>497300</v>
      </c>
      <c r="D16485" s="22" t="s">
        <v>21570</v>
      </c>
      <c r="E16485" s="22" t="s">
        <v>48</v>
      </c>
      <c r="F16485" s="23" t="str">
        <f>HYPERLINK("https://www.spark-marketing.ru/Card/Lot/71422299", "Оказание услуг по обеспечению лечебным питанием пациентов ГБУЗ ""Усть-Лабинская ЦРБ"" МЗ КК")</f>
        <v>Оказание услуг по обеспечению лечебным питанием пациентов ГБУЗ "Усть-Лабинская ЦРБ" МЗ КК</v>
      </c>
      <c r="G16485" s="22" t="s">
        <v>104</v>
      </c>
      <c r="H16485" s="22" t="s">
        <v>1424</v>
      </c>
      <c r="I16485" s="26">
        <v>43633.724305555603</v>
      </c>
      <c r="J16485" s="23" t="str">
        <f>HYPERLINK("https://www.spark-marketing.ru/Card/Person/878131", "ООО "" АГРОПРОМСЕРВИС """)</f>
        <v>ООО " АГРОПРОМСЕРВИС "</v>
      </c>
      <c r="K16485" s="24" t="s">
        <v>1425</v>
      </c>
      <c r="L16485" s="22" t="s">
        <v>10</v>
      </c>
      <c r="M16485" s="28" t="s">
        <v>51</v>
      </c>
      <c r="N16485" s="28" t="s">
        <v>51</v>
      </c>
    </row>
    <row r="16486" spans="1:14" x14ac:dyDescent="0.15">
      <c r="A16486" s="23" t="str">
        <f>HYPERLINK("https://www.spark-marketing.ru/Card/Person/1834396", "ООО ""УСИНСК-СНАБСЕРВИС""")</f>
        <v>ООО "УСИНСК-СНАБСЕРВИС"</v>
      </c>
      <c r="B16486" s="24" t="s">
        <v>1591</v>
      </c>
      <c r="C16486" s="28" t="s">
        <v>51</v>
      </c>
      <c r="D16486" s="22" t="s">
        <v>21571</v>
      </c>
      <c r="E16486" s="22" t="s">
        <v>362</v>
      </c>
      <c r="F16486" s="23" t="str">
        <f>HYPERLINK("https://www.spark-marketing.ru/Card/Lot/71418624", "Оказание услуг по обеспечению питанием работников ООО «Усинск-Снабсервис» с января по декабрь 2020 г.")</f>
        <v>Оказание услуг по обеспечению питанием работников ООО «Усинск-Снабсервис» с января по декабрь 2020 г.</v>
      </c>
      <c r="G16486" s="22" t="s">
        <v>271</v>
      </c>
      <c r="H16486" s="22" t="s">
        <v>479</v>
      </c>
      <c r="I16486" s="26">
        <v>43633.720833333296</v>
      </c>
      <c r="J16486" s="28" t="s">
        <v>51</v>
      </c>
      <c r="K16486" s="28" t="s">
        <v>51</v>
      </c>
      <c r="L16486" s="28" t="s">
        <v>51</v>
      </c>
      <c r="M16486" s="28" t="s">
        <v>51</v>
      </c>
      <c r="N16486" s="28" t="s">
        <v>51</v>
      </c>
    </row>
    <row r="16487" spans="1:14" x14ac:dyDescent="0.15">
      <c r="A16487" s="23" t="str">
        <f>HYPERLINK("https://www.spark-marketing.ru/Card/Person/24080", "ГБУЗ ""ГБ"" Г.СОЛЬ-ИЛЕЦКА""")</f>
        <v>ГБУЗ "ГБ" Г.СОЛЬ-ИЛЕЦКА"</v>
      </c>
      <c r="B16487" s="24" t="s">
        <v>1099</v>
      </c>
      <c r="C16487" s="25">
        <v>1111034.3</v>
      </c>
      <c r="D16487" s="22" t="s">
        <v>21572</v>
      </c>
      <c r="E16487" s="22" t="s">
        <v>809</v>
      </c>
      <c r="F16487" s="23" t="str">
        <f>HYPERLINK("https://www.spark-marketing.ru/Card/Lot/71429291", "на поставку запасных частей для компьютера")</f>
        <v>на поставку запасных частей для компьютера</v>
      </c>
      <c r="G16487" s="22" t="s">
        <v>132</v>
      </c>
      <c r="H16487" s="22" t="s">
        <v>1101</v>
      </c>
      <c r="I16487" s="26">
        <v>43633.713888888902</v>
      </c>
      <c r="J16487" s="28" t="s">
        <v>51</v>
      </c>
      <c r="K16487" s="28" t="s">
        <v>51</v>
      </c>
      <c r="L16487" s="28" t="s">
        <v>51</v>
      </c>
      <c r="M16487" s="28" t="s">
        <v>51</v>
      </c>
      <c r="N16487" s="28" t="s">
        <v>51</v>
      </c>
    </row>
    <row r="16488" spans="1:14" x14ac:dyDescent="0.15">
      <c r="A16488" s="23" t="str">
        <f>HYPERLINK("https://www.spark-marketing.ru/Card/Person/368932", "МУП""ТЕПЛОСЕТЬ""")</f>
        <v>МУП"ТЕПЛОСЕТЬ"</v>
      </c>
      <c r="B16488" s="24" t="s">
        <v>21573</v>
      </c>
      <c r="C16488" s="25">
        <v>143733.26999999999</v>
      </c>
      <c r="D16488" s="22" t="s">
        <v>21574</v>
      </c>
      <c r="E16488" s="22" t="s">
        <v>21575</v>
      </c>
      <c r="F16488" s="23" t="str">
        <f>HYPERLINK("https://www.spark-marketing.ru/Card/Lot/71436623", "Оказание услуг по поверке газовых корректоров, газовых счетчиков, газовых комплексов и замене элементов питания корректора")</f>
        <v>Оказание услуг по поверке газовых корректоров, газовых счетчиков, газовых комплексов и замене элементов питания корректора</v>
      </c>
      <c r="G16488" s="22" t="s">
        <v>128</v>
      </c>
      <c r="H16488" s="22" t="s">
        <v>21576</v>
      </c>
      <c r="I16488" s="26">
        <v>43633.745729166701</v>
      </c>
      <c r="J16488" s="28" t="s">
        <v>51</v>
      </c>
      <c r="K16488" s="28" t="s">
        <v>51</v>
      </c>
      <c r="L16488" s="28" t="s">
        <v>51</v>
      </c>
      <c r="M16488" s="28" t="s">
        <v>51</v>
      </c>
      <c r="N16488" s="28" t="s">
        <v>51</v>
      </c>
    </row>
    <row r="16489" spans="1:14" ht="12.75" hidden="1" outlineLevel="1" x14ac:dyDescent="0.2">
      <c r="A16489" s="23" t="str">
        <f>HYPERLINK("https://www.spark-marketing.ru/Card/Person/368932", "МУП""ТЕПЛОСЕТЬ""")</f>
        <v>МУП"ТЕПЛОСЕТЬ"</v>
      </c>
      <c r="B16489" s="24" t="s">
        <v>21573</v>
      </c>
      <c r="C16489" s="25">
        <v>143733.26999999999</v>
      </c>
      <c r="D16489" s="22" t="s">
        <v>21574</v>
      </c>
      <c r="E16489" s="22" t="s">
        <v>21575</v>
      </c>
      <c r="F16489" s="23" t="str">
        <f>HYPERLINK("https://www.spark-marketing.ru/Card/Lot/71436623", "Оказание услуг по поверке газовых корректоров, газовых счетчиков, газовых комплексов и замене элементов питания корректора")</f>
        <v>Оказание услуг по поверке газовых корректоров, газовых счетчиков, газовых комплексов и замене элементов питания корректора</v>
      </c>
      <c r="G16489" s="22" t="s">
        <v>128</v>
      </c>
      <c r="H16489" s="22" t="s">
        <v>21576</v>
      </c>
      <c r="I16489" s="26">
        <v>43633.745729166701</v>
      </c>
      <c r="J16489" s="23" t="str">
        <f>HYPERLINK("https://www.spark-marketing.ru/Card/Person/1316924", "ООО ""СКС""")</f>
        <v>ООО "СКС"</v>
      </c>
      <c r="K16489" s="24" t="s">
        <v>21577</v>
      </c>
      <c r="L16489" s="22" t="s">
        <v>10</v>
      </c>
      <c r="M16489" s="25">
        <v>104000</v>
      </c>
      <c r="N16489" s="27">
        <v>0.27643752904251045</v>
      </c>
    </row>
    <row r="16490" spans="1:14" hidden="1" outlineLevel="1" x14ac:dyDescent="0.2">
      <c r="A16490" s="23" t="str">
        <f>HYPERLINK("https://www.spark-marketing.ru/Card/Person/368932", "МУП""ТЕПЛОСЕТЬ""")</f>
        <v>МУП"ТЕПЛОСЕТЬ"</v>
      </c>
      <c r="B16490" s="24" t="s">
        <v>21573</v>
      </c>
      <c r="C16490" s="25">
        <v>143733.26999999999</v>
      </c>
      <c r="D16490" s="22" t="s">
        <v>21574</v>
      </c>
      <c r="E16490" s="22" t="s">
        <v>21575</v>
      </c>
      <c r="F16490" s="23" t="str">
        <f>HYPERLINK("https://www.spark-marketing.ru/Card/Lot/71436623", "Оказание услуг по поверке газовых корректоров, газовых счетчиков, газовых комплексов и замене элементов питания корректора")</f>
        <v>Оказание услуг по поверке газовых корректоров, газовых счетчиков, газовых комплексов и замене элементов питания корректора</v>
      </c>
      <c r="G16490" s="22" t="s">
        <v>128</v>
      </c>
      <c r="H16490" s="22" t="s">
        <v>21576</v>
      </c>
      <c r="I16490" s="26">
        <v>43633.745729166701</v>
      </c>
      <c r="J16490" s="23" t="str">
        <f>HYPERLINK("https://www.spark-marketing.ru/Card/Person/4358539", "ООО ""ЭНЕРГОМЕТРИКА""")</f>
        <v>ООО "ЭНЕРГОМЕТРИКА"</v>
      </c>
      <c r="K16490" s="24" t="s">
        <v>21578</v>
      </c>
      <c r="L16490" s="28" t="s">
        <v>51</v>
      </c>
      <c r="M16490" s="25">
        <v>105000</v>
      </c>
      <c r="N16490" s="27">
        <v>0.26948019759099617</v>
      </c>
    </row>
    <row r="16491" spans="1:14" x14ac:dyDescent="0.15">
      <c r="A1649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491" s="24" t="s">
        <v>3255</v>
      </c>
      <c r="C16491" s="25">
        <v>249600</v>
      </c>
      <c r="D16491" s="22" t="s">
        <v>21579</v>
      </c>
      <c r="E16491" s="22" t="s">
        <v>52</v>
      </c>
      <c r="F16491" s="23" t="str">
        <f>HYPERLINK("https://www.spark-marketing.ru/Card/Lot/71417309", "Поставка лекарственного препарата для медицинского применения ""Вальпроевая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специализиро...")</f>
        <v>Поставка лекарственного препарата для медицинского применения "Вальпроевая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</v>
      </c>
      <c r="G16491" s="22" t="s">
        <v>210</v>
      </c>
      <c r="H16491" s="22" t="s">
        <v>3257</v>
      </c>
      <c r="I16491" s="26">
        <v>43633.720833333296</v>
      </c>
      <c r="J16491" s="28" t="s">
        <v>51</v>
      </c>
      <c r="K16491" s="28" t="s">
        <v>51</v>
      </c>
      <c r="L16491" s="28" t="s">
        <v>51</v>
      </c>
      <c r="M16491" s="28" t="s">
        <v>51</v>
      </c>
      <c r="N16491" s="28" t="s">
        <v>51</v>
      </c>
    </row>
    <row r="16492" spans="1:14" ht="12.75" hidden="1" outlineLevel="1" x14ac:dyDescent="0.2">
      <c r="A16492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492" s="24" t="s">
        <v>3255</v>
      </c>
      <c r="C16492" s="25">
        <v>249600</v>
      </c>
      <c r="D16492" s="22" t="s">
        <v>21579</v>
      </c>
      <c r="E16492" s="22" t="s">
        <v>52</v>
      </c>
      <c r="F16492" s="23" t="str">
        <f>HYPERLINK("https://www.spark-marketing.ru/Card/Lot/71417309", "Поставка лекарственного препарата для медицинского применения ""Вальпроевая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специализиро...")</f>
        <v>Поставка лекарственного препарата для медицинского применения "Вальпроевая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</v>
      </c>
      <c r="G16492" s="22" t="s">
        <v>210</v>
      </c>
      <c r="H16492" s="22" t="s">
        <v>3257</v>
      </c>
      <c r="I16492" s="26">
        <v>43633.720833333296</v>
      </c>
      <c r="J16492" s="23" t="str">
        <f>HYPERLINK("https://www.spark-marketing.ru/Card/Person/4354560", "ООО ""НАДЕЖДА-ФАРМ""")</f>
        <v>ООО "НАДЕЖДА-ФАРМ"</v>
      </c>
      <c r="K16492" s="24" t="s">
        <v>15644</v>
      </c>
      <c r="L16492" s="22" t="s">
        <v>10</v>
      </c>
      <c r="M16492" s="25">
        <v>249600</v>
      </c>
      <c r="N16492" s="27">
        <v>0</v>
      </c>
    </row>
    <row r="16493" spans="1:14" hidden="1" outlineLevel="1" x14ac:dyDescent="0.2">
      <c r="A16493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493" s="24" t="s">
        <v>3255</v>
      </c>
      <c r="C16493" s="25">
        <v>249600</v>
      </c>
      <c r="D16493" s="22" t="s">
        <v>21579</v>
      </c>
      <c r="E16493" s="22" t="s">
        <v>52</v>
      </c>
      <c r="F16493" s="23" t="str">
        <f>HYPERLINK("https://www.spark-marketing.ru/Card/Lot/71417309", "Поставка лекарственного препарата для медицинского применения ""Вальпроевая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специализиро...")</f>
        <v>Поставка лекарственного препарата для медицинского применения "Вальпроевая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</v>
      </c>
      <c r="G16493" s="22" t="s">
        <v>210</v>
      </c>
      <c r="H16493" s="22" t="s">
        <v>3257</v>
      </c>
      <c r="I16493" s="26">
        <v>43633.720833333296</v>
      </c>
      <c r="J16493" s="23" t="str">
        <f>HYPERLINK("https://www.spark-marketing.ru/Card/Person/6231467", "ООО ""ОБЛФАРМ АЛЬЯНС""")</f>
        <v>ООО "ОБЛФАРМ АЛЬЯНС"</v>
      </c>
      <c r="K16493" s="24" t="s">
        <v>2175</v>
      </c>
      <c r="L16493" s="28" t="s">
        <v>51</v>
      </c>
      <c r="M16493" s="25">
        <v>249600</v>
      </c>
      <c r="N16493" s="27">
        <v>0</v>
      </c>
    </row>
    <row r="16494" spans="1:14" x14ac:dyDescent="0.2">
      <c r="A16494" s="23" t="str">
        <f>HYPERLINK("https://www.spark-marketing.ru/Card/Person/4348382", "ООО ""ГАЗПРОМ ПИТАНИЕ""")</f>
        <v>ООО "ГАЗПРОМ ПИТАНИЕ"</v>
      </c>
      <c r="B16494" s="24" t="s">
        <v>2869</v>
      </c>
      <c r="C16494" s="25">
        <v>421037.47</v>
      </c>
      <c r="D16494" s="22" t="s">
        <v>21580</v>
      </c>
      <c r="E16494" s="22" t="s">
        <v>3561</v>
      </c>
      <c r="F16494" s="23" t="str">
        <f>HYPERLINK("https://www.spark-marketing.ru/Card/Lot/71419666", "Оказание услуг по проведению обязательных предварительных и периодических медицинских осмотров, психиатрического освидетельствования, гигиенического обучения и аттестации для нужд Филиала «Казанское УООП» ООО «Газпром питание»")</f>
        <v>Оказание услуг по проведению обязательных предварительных и периодических медицинских осмотров, психиатрического освидетельствования, гигиенического обучения и аттестации для нужд Филиала «Казанское УООП» ООО «Газпром питание»</v>
      </c>
      <c r="G16494" s="22" t="s">
        <v>56</v>
      </c>
      <c r="H16494" s="22" t="s">
        <v>56</v>
      </c>
      <c r="I16494" s="26">
        <v>43633.7492824074</v>
      </c>
      <c r="J16494" s="28" t="s">
        <v>51</v>
      </c>
      <c r="K16494" s="28" t="s">
        <v>51</v>
      </c>
      <c r="L16494" s="22" t="s">
        <v>10</v>
      </c>
      <c r="M16494" s="25">
        <v>419398.82</v>
      </c>
      <c r="N16494" s="27">
        <v>3.8919338936745937E-3</v>
      </c>
    </row>
    <row r="16495" spans="1:14" x14ac:dyDescent="0.15">
      <c r="A16495" s="23" t="str">
        <f>HYPERLINK("https://www.spark-marketing.ru/Card/Person/9368", "ГБУЗ ""ООКОД""")</f>
        <v>ГБУЗ "ООКОД"</v>
      </c>
      <c r="B16495" s="24" t="s">
        <v>810</v>
      </c>
      <c r="C16495" s="25">
        <v>128145</v>
      </c>
      <c r="D16495" s="22" t="s">
        <v>21581</v>
      </c>
      <c r="E16495" s="22" t="s">
        <v>10075</v>
      </c>
      <c r="F16495" s="23" t="str">
        <f>HYPERLINK("https://www.spark-marketing.ru/Card/Lot/71436541", "на поставку продуктов питания (овощи (томаты, огурцы))")</f>
        <v>на поставку продуктов питания (овощи (томаты, огурцы))</v>
      </c>
      <c r="G16495" s="22" t="s">
        <v>132</v>
      </c>
      <c r="H16495" s="22" t="s">
        <v>587</v>
      </c>
      <c r="I16495" s="26">
        <v>43633.730648148201</v>
      </c>
      <c r="J16495" s="28" t="s">
        <v>51</v>
      </c>
      <c r="K16495" s="28" t="s">
        <v>51</v>
      </c>
      <c r="L16495" s="28" t="s">
        <v>51</v>
      </c>
      <c r="M16495" s="28" t="s">
        <v>51</v>
      </c>
      <c r="N16495" s="28" t="s">
        <v>51</v>
      </c>
    </row>
    <row r="16496" spans="1:14" hidden="1" outlineLevel="1" x14ac:dyDescent="0.2">
      <c r="A16496" s="23" t="str">
        <f>HYPERLINK("https://www.spark-marketing.ru/Card/Person/9368", "ГБУЗ ""ООКОД""")</f>
        <v>ГБУЗ "ООКОД"</v>
      </c>
      <c r="B16496" s="24" t="s">
        <v>810</v>
      </c>
      <c r="C16496" s="25">
        <v>128145</v>
      </c>
      <c r="D16496" s="22" t="s">
        <v>21581</v>
      </c>
      <c r="E16496" s="22" t="s">
        <v>10075</v>
      </c>
      <c r="F16496" s="23" t="str">
        <f>HYPERLINK("https://www.spark-marketing.ru/Card/Lot/71436541", "на поставку продуктов питания (овощи (томаты, огурцы))")</f>
        <v>на поставку продуктов питания (овощи (томаты, огурцы))</v>
      </c>
      <c r="G16496" s="22" t="s">
        <v>132</v>
      </c>
      <c r="H16496" s="22" t="s">
        <v>587</v>
      </c>
      <c r="I16496" s="26">
        <v>43633.730648148201</v>
      </c>
      <c r="J16496" s="23" t="str">
        <f>HYPERLINK("https://www.spark-marketing.ru/Card/Person/365580", "ООО МАГАЗИН ""НЕФТЯНИК""")</f>
        <v>ООО МАГАЗИН "НЕФТЯНИК"</v>
      </c>
      <c r="K16496" s="24" t="s">
        <v>19648</v>
      </c>
      <c r="L16496" s="28" t="s">
        <v>51</v>
      </c>
      <c r="M16496" s="25">
        <v>98671.42</v>
      </c>
      <c r="N16496" s="27">
        <v>0.23000179484178079</v>
      </c>
    </row>
    <row r="16497" spans="1:14" ht="12.75" hidden="1" outlineLevel="1" x14ac:dyDescent="0.2">
      <c r="A16497" s="23" t="str">
        <f>HYPERLINK("https://www.spark-marketing.ru/Card/Person/9368", "ГБУЗ ""ООКОД""")</f>
        <v>ГБУЗ "ООКОД"</v>
      </c>
      <c r="B16497" s="24" t="s">
        <v>810</v>
      </c>
      <c r="C16497" s="25">
        <v>128145</v>
      </c>
      <c r="D16497" s="22" t="s">
        <v>21581</v>
      </c>
      <c r="E16497" s="22" t="s">
        <v>10075</v>
      </c>
      <c r="F16497" s="23" t="str">
        <f>HYPERLINK("https://www.spark-marketing.ru/Card/Lot/71436541", "на поставку продуктов питания (овощи (томаты, огурцы))")</f>
        <v>на поставку продуктов питания (овощи (томаты, огурцы))</v>
      </c>
      <c r="G16497" s="22" t="s">
        <v>132</v>
      </c>
      <c r="H16497" s="22" t="s">
        <v>587</v>
      </c>
      <c r="I16497" s="26">
        <v>43633.730648148201</v>
      </c>
      <c r="J16497" s="23" t="str">
        <f>HYPERLINK("https://www.spark-marketing.ru/Card/Person/4851821", "ООО ""ВЕЛИС""")</f>
        <v>ООО "ВЕЛИС"</v>
      </c>
      <c r="K16497" s="24" t="s">
        <v>21582</v>
      </c>
      <c r="L16497" s="22" t="s">
        <v>10</v>
      </c>
      <c r="M16497" s="25">
        <v>98030.69</v>
      </c>
      <c r="N16497" s="27">
        <v>0.23500183386008039</v>
      </c>
    </row>
    <row r="16498" spans="1:14" ht="12.75" x14ac:dyDescent="0.2">
      <c r="A16498" s="23" t="str">
        <f>HYPERLINK("https://www.spark-marketing.ru/Card/Person/120259", "МБУ ""ОМК ""ИСТОК"" ЗМР РТ")</f>
        <v>МБУ "ОМК "ИСТОК" ЗМР РТ</v>
      </c>
      <c r="B16498" s="24" t="s">
        <v>21583</v>
      </c>
      <c r="C16498" s="25">
        <v>707200</v>
      </c>
      <c r="D16498" s="22" t="s">
        <v>21584</v>
      </c>
      <c r="E16498" s="22" t="s">
        <v>48</v>
      </c>
      <c r="F16498" s="23" t="str">
        <f>HYPERLINK("https://www.spark-marketing.ru/Card/Lot/71423924", "Оказание услуг по организации горячего питания детей и сотрудников, проживающих в ДОЛ им. М.Джалиля Зеленодольского муниципального района (4 смена)")</f>
        <v>Оказание услуг по организации горячего питания детей и сотрудников, проживающих в ДОЛ им. М.Джалиля Зеленодольского муниципального района (4 смена)</v>
      </c>
      <c r="G16498" s="22" t="s">
        <v>217</v>
      </c>
      <c r="H16498" s="22" t="s">
        <v>298</v>
      </c>
      <c r="I16498" s="26">
        <v>43633.713888888902</v>
      </c>
      <c r="J16498" s="23" t="str">
        <f>HYPERLINK("https://www.spark-marketing.ru/Card/Person/376499", "ООО ""ШКОЛЬНОЕ ПИТАНИЕ""")</f>
        <v>ООО "ШКОЛЬНОЕ ПИТАНИЕ"</v>
      </c>
      <c r="K16498" s="24" t="s">
        <v>21585</v>
      </c>
      <c r="L16498" s="22" t="s">
        <v>10</v>
      </c>
      <c r="M16498" s="25">
        <v>707200</v>
      </c>
      <c r="N16498" s="27">
        <v>0</v>
      </c>
    </row>
    <row r="16499" spans="1:14" x14ac:dyDescent="0.15">
      <c r="A16499" s="23" t="str">
        <f>HYPERLINK("https://www.spark-marketing.ru/Card/Person/9368", "ГБУЗ ""ООКОД""")</f>
        <v>ГБУЗ "ООКОД"</v>
      </c>
      <c r="B16499" s="24" t="s">
        <v>810</v>
      </c>
      <c r="C16499" s="25">
        <v>149831</v>
      </c>
      <c r="D16499" s="22" t="s">
        <v>21586</v>
      </c>
      <c r="E16499" s="22" t="s">
        <v>21587</v>
      </c>
      <c r="F16499" s="23" t="str">
        <f>HYPERLINK("https://www.spark-marketing.ru/Card/Lot/71436532", "на поставку продуктов питания (плоды шиповника)")</f>
        <v>на поставку продуктов питания (плоды шиповника)</v>
      </c>
      <c r="G16499" s="22" t="s">
        <v>132</v>
      </c>
      <c r="H16499" s="22" t="s">
        <v>587</v>
      </c>
      <c r="I16499" s="26">
        <v>43633.730601851901</v>
      </c>
      <c r="J16499" s="23" t="str">
        <f>HYPERLINK("https://www.spark-marketing.ru/Card/Person/6446254", "Одилова Садаф Рустамовна")</f>
        <v>Одилова Садаф Рустамовна</v>
      </c>
      <c r="K16499" s="24" t="s">
        <v>21588</v>
      </c>
      <c r="L16499" s="28" t="s">
        <v>51</v>
      </c>
      <c r="M16499" s="28" t="s">
        <v>51</v>
      </c>
      <c r="N16499" s="28" t="s">
        <v>51</v>
      </c>
    </row>
    <row r="16500" spans="1:14" ht="12.75" hidden="1" outlineLevel="1" x14ac:dyDescent="0.2">
      <c r="A16500" s="23" t="str">
        <f>HYPERLINK("https://www.spark-marketing.ru/Card/Person/9368", "ГБУЗ ""ООКОД""")</f>
        <v>ГБУЗ "ООКОД"</v>
      </c>
      <c r="B16500" s="24" t="s">
        <v>810</v>
      </c>
      <c r="C16500" s="25">
        <v>149831</v>
      </c>
      <c r="D16500" s="22" t="s">
        <v>21586</v>
      </c>
      <c r="E16500" s="22" t="s">
        <v>21587</v>
      </c>
      <c r="F16500" s="23" t="str">
        <f>HYPERLINK("https://www.spark-marketing.ru/Card/Lot/71436532", "на поставку продуктов питания (плоды шиповника)")</f>
        <v>на поставку продуктов питания (плоды шиповника)</v>
      </c>
      <c r="G16500" s="22" t="s">
        <v>132</v>
      </c>
      <c r="H16500" s="22" t="s">
        <v>587</v>
      </c>
      <c r="I16500" s="26">
        <v>43633.730601851901</v>
      </c>
      <c r="J16500" s="23" t="str">
        <f>HYPERLINK("https://www.spark-marketing.ru/Card/Person/6446254", "Одилова Садаф Рустамовна")</f>
        <v>Одилова Садаф Рустамовна</v>
      </c>
      <c r="K16500" s="24" t="s">
        <v>21588</v>
      </c>
      <c r="L16500" s="22" t="s">
        <v>10</v>
      </c>
      <c r="M16500" s="25">
        <v>149081.84</v>
      </c>
      <c r="N16500" s="27">
        <v>5.0000333709312493E-3</v>
      </c>
    </row>
    <row r="16501" spans="1:14" x14ac:dyDescent="0.15">
      <c r="A16501" s="23" t="str">
        <f>HYPERLINK("https://www.spark-marketing.ru/Card/Person/4800", "ГУ-РО ФОНДА СОЦИАЛЬНОГО СТРАХОВАНИЯ РОССИЙСКОЙ ФЕДЕРАЦИИ ПО РЕСПУБЛИКЕ САХА (ЯКУТИЯ)")</f>
        <v>ГУ-РО ФОНДА СОЦИАЛЬНОГО СТРАХОВАНИЯ РОССИЙСКОЙ ФЕДЕРАЦИИ ПО РЕСПУБЛИКЕ САХА (ЯКУТИЯ)</v>
      </c>
      <c r="B16501" s="24" t="s">
        <v>9362</v>
      </c>
      <c r="C16501" s="25">
        <v>209884.32</v>
      </c>
      <c r="D16501" s="22" t="s">
        <v>21589</v>
      </c>
      <c r="E16501" s="22" t="s">
        <v>86</v>
      </c>
      <c r="F16501" s="23" t="str">
        <f>HYPERLINK("https://www.spark-marketing.ru/Card/Lot/71436591", "Оказание услуг по санаторно-курортному лечению граждан получателей набора социальных услуг в 2019 году с заболеваниями по Классу IV МКБ-10 «Болезни эндокринной системы, расстройства питания и нарушения обмена веществ» (взрослые)")</f>
        <v>Оказание услуг по санаторно-курортному лечению граждан получателей набора социальных услуг в 2019 году с заболеваниями по Классу IV МКБ-10 «Болезни эндокринной системы, расстройства питания и нарушения обмена веществ» (взрослые)</v>
      </c>
      <c r="G16501" s="22" t="s">
        <v>241</v>
      </c>
      <c r="H16501" s="22" t="s">
        <v>242</v>
      </c>
      <c r="I16501" s="26">
        <v>43633.727800925903</v>
      </c>
      <c r="J16501" s="23" t="str">
        <f>HYPERLINK("https://www.spark-marketing.ru/Card/Person/95245", "ОАО ""РЖД""")</f>
        <v>ОАО "РЖД"</v>
      </c>
      <c r="K16501" s="24" t="s">
        <v>330</v>
      </c>
      <c r="L16501" s="28" t="s">
        <v>51</v>
      </c>
      <c r="M16501" s="28" t="s">
        <v>51</v>
      </c>
      <c r="N16501" s="28" t="s">
        <v>51</v>
      </c>
    </row>
    <row r="16502" spans="1:14" ht="12.75" hidden="1" outlineLevel="1" x14ac:dyDescent="0.2">
      <c r="A16502" s="23" t="str">
        <f>HYPERLINK("https://www.spark-marketing.ru/Card/Person/4800", "ГУ-РО ФОНДА СОЦИАЛЬНОГО СТРАХОВАНИЯ РОССИЙСКОЙ ФЕДЕРАЦИИ ПО РЕСПУБЛИКЕ САХА (ЯКУТИЯ)")</f>
        <v>ГУ-РО ФОНДА СОЦИАЛЬНОГО СТРАХОВАНИЯ РОССИЙСКОЙ ФЕДЕРАЦИИ ПО РЕСПУБЛИКЕ САХА (ЯКУТИЯ)</v>
      </c>
      <c r="B16502" s="24" t="s">
        <v>9362</v>
      </c>
      <c r="C16502" s="25">
        <v>209884.32</v>
      </c>
      <c r="D16502" s="22" t="s">
        <v>21589</v>
      </c>
      <c r="E16502" s="22" t="s">
        <v>86</v>
      </c>
      <c r="F16502" s="23" t="str">
        <f>HYPERLINK("https://www.spark-marketing.ru/Card/Lot/71436591", "Оказание услуг по санаторно-курортному лечению граждан получателей набора социальных услуг в 2019 году с заболеваниями по Классу IV МКБ-10 «Болезни эндокринной системы, расстройства питания и нарушения обмена веществ» (взрослые)")</f>
        <v>Оказание услуг по санаторно-курортному лечению граждан получателей набора социальных услуг в 2019 году с заболеваниями по Классу IV МКБ-10 «Болезни эндокринной системы, расстройства питания и нарушения обмена веществ» (взрослые)</v>
      </c>
      <c r="G16502" s="22" t="s">
        <v>241</v>
      </c>
      <c r="H16502" s="22" t="s">
        <v>242</v>
      </c>
      <c r="I16502" s="26">
        <v>43633.727800925903</v>
      </c>
      <c r="J16502" s="23" t="str">
        <f>HYPERLINK("https://www.spark-marketing.ru/Card/Person/95245", "ОАО ""РЖД""")</f>
        <v>ОАО "РЖД"</v>
      </c>
      <c r="K16502" s="24" t="s">
        <v>330</v>
      </c>
      <c r="L16502" s="22" t="s">
        <v>10</v>
      </c>
      <c r="M16502" s="25">
        <v>208834.89</v>
      </c>
      <c r="N16502" s="27">
        <v>5.0000400220464305E-3</v>
      </c>
    </row>
    <row r="16503" spans="1:14" x14ac:dyDescent="0.15">
      <c r="A16503" s="23" t="str">
        <f>HYPERLINK("https://www.spark-marketing.ru/Card/Person/55899", "ГБУЗ ""УСТЬ-ЛАБИНСКАЯ ЦРБ"" МЗ КК")</f>
        <v>ГБУЗ "УСТЬ-ЛАБИНСКАЯ ЦРБ" МЗ КК</v>
      </c>
      <c r="B16503" s="24" t="s">
        <v>1602</v>
      </c>
      <c r="C16503" s="25">
        <v>497300</v>
      </c>
      <c r="D16503" s="22" t="s">
        <v>21590</v>
      </c>
      <c r="E16503" s="22" t="s">
        <v>48</v>
      </c>
      <c r="F16503" s="23" t="str">
        <f>HYPERLINK("https://www.spark-marketing.ru/Card/Lot/71422300", "Оказание услуг по обеспечению лечебным питанием пациентов ГБУЗ ""Усть-Лабинская ЦРБ"" МЗ КК")</f>
        <v>Оказание услуг по обеспечению лечебным питанием пациентов ГБУЗ "Усть-Лабинская ЦРБ" МЗ КК</v>
      </c>
      <c r="G16503" s="22" t="s">
        <v>104</v>
      </c>
      <c r="H16503" s="22" t="s">
        <v>1424</v>
      </c>
      <c r="I16503" s="26">
        <v>43633.724305555603</v>
      </c>
      <c r="J16503" s="23" t="str">
        <f>HYPERLINK("https://www.spark-marketing.ru/Card/Person/878131", "ООО "" АГРОПРОМСЕРВИС """)</f>
        <v>ООО " АГРОПРОМСЕРВИС "</v>
      </c>
      <c r="K16503" s="24" t="s">
        <v>1425</v>
      </c>
      <c r="L16503" s="22" t="s">
        <v>10</v>
      </c>
      <c r="M16503" s="28" t="s">
        <v>51</v>
      </c>
      <c r="N16503" s="28" t="s">
        <v>51</v>
      </c>
    </row>
    <row r="16504" spans="1:14" x14ac:dyDescent="0.15">
      <c r="A16504" s="23" t="str">
        <f>HYPERLINK("https://www.spark-marketing.ru/Card/Person/101199", "МОУ ""СОШ №11""")</f>
        <v>МОУ "СОШ №11"</v>
      </c>
      <c r="B16504" s="24" t="s">
        <v>6411</v>
      </c>
      <c r="C16504" s="25">
        <v>134400</v>
      </c>
      <c r="D16504" s="22" t="s">
        <v>21591</v>
      </c>
      <c r="E16504" s="22" t="s">
        <v>48</v>
      </c>
      <c r="F16504" s="23" t="str">
        <f>HYPERLINK("https://www.spark-marketing.ru/Card/Lot/71415292", "Оказание услуг по организации питания в летнем лагере для обучающихся в МОУ «СОШ №11»")</f>
        <v>Оказание услуг по организации питания в летнем лагере для обучающихся в МОУ «СОШ №11»</v>
      </c>
      <c r="G16504" s="22" t="s">
        <v>49</v>
      </c>
      <c r="H16504" s="22" t="s">
        <v>742</v>
      </c>
      <c r="I16504" s="26">
        <v>43633.711377314801</v>
      </c>
      <c r="J16504" s="28" t="s">
        <v>51</v>
      </c>
      <c r="K16504" s="28" t="s">
        <v>51</v>
      </c>
      <c r="L16504" s="28" t="s">
        <v>51</v>
      </c>
      <c r="M16504" s="28" t="s">
        <v>51</v>
      </c>
      <c r="N16504" s="28" t="s">
        <v>51</v>
      </c>
    </row>
    <row r="16505" spans="1:14" x14ac:dyDescent="0.15">
      <c r="A16505" s="23" t="str">
        <f>HYPERLINK("https://www.spark-marketing.ru/Card/Person/1763954", "МАДОУ ДЕТСКИЙ САД ""БЕРЕЗКА"" Д. КАБАКОВО")</f>
        <v>МАДОУ ДЕТСКИЙ САД "БЕРЕЗКА" Д. КАБАКОВО</v>
      </c>
      <c r="B16505" s="24" t="s">
        <v>21592</v>
      </c>
      <c r="C16505" s="25">
        <v>2650000</v>
      </c>
      <c r="D16505" s="22" t="s">
        <v>21593</v>
      </c>
      <c r="E16505" s="22" t="s">
        <v>362</v>
      </c>
      <c r="F16505" s="23" t="str">
        <f>HYPERLINK("https://www.spark-marketing.ru/Card/Lot/71411651", "Услуги по организации горячего питания дошкольных организаций во втором полугодии 2019 года")</f>
        <v>Услуги по организации горячего питания дошкольных организаций во втором полугодии 2019 года</v>
      </c>
      <c r="G16505" s="22" t="s">
        <v>145</v>
      </c>
      <c r="H16505" s="22" t="s">
        <v>145</v>
      </c>
      <c r="I16505" s="26">
        <v>43633.693032407398</v>
      </c>
      <c r="J16505" s="28" t="s">
        <v>51</v>
      </c>
      <c r="K16505" s="28" t="s">
        <v>51</v>
      </c>
      <c r="L16505" s="28" t="s">
        <v>51</v>
      </c>
      <c r="M16505" s="28" t="s">
        <v>51</v>
      </c>
      <c r="N16505" s="28" t="s">
        <v>51</v>
      </c>
    </row>
    <row r="16506" spans="1:14" x14ac:dyDescent="0.15">
      <c r="A16506" s="23" t="str">
        <f>HYPERLINK("https://www.spark-marketing.ru/Card/Person/1060342", "ОМВД РОССИИ ПО ЛЕНИНСКОМУ РАЙОНУ")</f>
        <v>ОМВД РОССИИ ПО ЛЕНИНСКОМУ РАЙОНУ</v>
      </c>
      <c r="B16506" s="24" t="s">
        <v>5850</v>
      </c>
      <c r="C16506" s="25">
        <v>50400</v>
      </c>
      <c r="D16506" s="22" t="s">
        <v>21594</v>
      </c>
      <c r="E16506" s="22" t="s">
        <v>96</v>
      </c>
      <c r="F16506" s="23" t="str">
        <f>HYPERLINK("https://www.spark-marketing.ru/Card/Lot/71414027",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6506" s="22" t="s">
        <v>108</v>
      </c>
      <c r="H16506" s="22" t="s">
        <v>5852</v>
      </c>
      <c r="I16506" s="26">
        <v>43633.684270833299</v>
      </c>
      <c r="J16506" s="28" t="s">
        <v>51</v>
      </c>
      <c r="K16506" s="28" t="s">
        <v>51</v>
      </c>
      <c r="L16506" s="28" t="s">
        <v>51</v>
      </c>
      <c r="M16506" s="28" t="s">
        <v>51</v>
      </c>
      <c r="N16506" s="28" t="s">
        <v>51</v>
      </c>
    </row>
    <row r="16507" spans="1:14" x14ac:dyDescent="0.15">
      <c r="A16507" s="23" t="str">
        <f>HYPERLINK("https://www.spark-marketing.ru/Card/Person/86115", "МЕЖМУНИЦИПАЛЬНЫЙ ОТДЕЛ МВД РОССИИ ""БЕРЕЗОВСКИЙ""")</f>
        <v>МЕЖМУНИЦИПАЛЬНЫЙ ОТДЕЛ МВД РОССИИ "БЕРЕЗОВСКИЙ"</v>
      </c>
      <c r="B16507" s="24" t="s">
        <v>18160</v>
      </c>
      <c r="C16507" s="25">
        <v>1400000</v>
      </c>
      <c r="D16507" s="22" t="s">
        <v>21595</v>
      </c>
      <c r="E16507" s="22" t="s">
        <v>48</v>
      </c>
      <c r="F16507" s="23" t="str">
        <f>HYPERLINK("https://www.spark-marketing.ru/Card/Lot/71428794", "Оказание услуг по организации горячего питания для лиц содержащихся в изоляторе временного содержания")</f>
        <v>Оказание услуг по организации горячего питания для лиц содержащихся в изоляторе временного содержания</v>
      </c>
      <c r="G16507" s="22" t="s">
        <v>281</v>
      </c>
      <c r="H16507" s="22" t="s">
        <v>482</v>
      </c>
      <c r="I16507" s="26">
        <v>43633.697916666701</v>
      </c>
      <c r="J16507" s="23" t="str">
        <f>HYPERLINK("https://www.spark-marketing.ru/Card/Person/4887880", "ООО ""СИБИРЬ""")</f>
        <v>ООО "СИБИРЬ"</v>
      </c>
      <c r="K16507" s="24" t="s">
        <v>13666</v>
      </c>
      <c r="L16507" s="28" t="s">
        <v>51</v>
      </c>
      <c r="M16507" s="28" t="s">
        <v>51</v>
      </c>
      <c r="N16507" s="28" t="s">
        <v>51</v>
      </c>
    </row>
    <row r="16508" spans="1:14" ht="12.75" hidden="1" outlineLevel="1" x14ac:dyDescent="0.2">
      <c r="A16508" s="23" t="str">
        <f>HYPERLINK("https://www.spark-marketing.ru/Card/Person/86115", "МЕЖМУНИЦИПАЛЬНЫЙ ОТДЕЛ МВД РОССИИ ""БЕРЕЗОВСКИЙ""")</f>
        <v>МЕЖМУНИЦИПАЛЬНЫЙ ОТДЕЛ МВД РОССИИ "БЕРЕЗОВСКИЙ"</v>
      </c>
      <c r="B16508" s="24" t="s">
        <v>18160</v>
      </c>
      <c r="C16508" s="25">
        <v>1400000</v>
      </c>
      <c r="D16508" s="22" t="s">
        <v>21595</v>
      </c>
      <c r="E16508" s="22" t="s">
        <v>48</v>
      </c>
      <c r="F16508" s="23" t="str">
        <f>HYPERLINK("https://www.spark-marketing.ru/Card/Lot/71428794", "Оказание услуг по организации горячего питания для лиц содержащихся в изоляторе временного содержания")</f>
        <v>Оказание услуг по организации горячего питания для лиц содержащихся в изоляторе временного содержания</v>
      </c>
      <c r="G16508" s="22" t="s">
        <v>281</v>
      </c>
      <c r="H16508" s="22" t="s">
        <v>482</v>
      </c>
      <c r="I16508" s="26">
        <v>43633.697916666701</v>
      </c>
      <c r="J16508" s="23" t="str">
        <f>HYPERLINK("https://www.spark-marketing.ru/Card/Person/4887880", "ООО ""СИБИРЬ""")</f>
        <v>ООО "СИБИРЬ"</v>
      </c>
      <c r="K16508" s="24" t="s">
        <v>13666</v>
      </c>
      <c r="L16508" s="22" t="s">
        <v>10</v>
      </c>
      <c r="M16508" s="25">
        <v>296.17</v>
      </c>
      <c r="N16508" s="27">
        <v>0.99978845000000005</v>
      </c>
    </row>
    <row r="16509" spans="1:14" x14ac:dyDescent="0.15">
      <c r="A16509" s="23" t="str">
        <f>HYPERLINK("https://www.spark-marketing.ru/Card/Person/20074", "ФГБУ ""НМИЦ ТИО ИМ. АК. В.И. ШУМАКОВА"" МИНЗДРАВА РОССИИ")</f>
        <v>ФГБУ "НМИЦ ТИО ИМ. АК. В.И. ШУМАКОВА" МИНЗДРАВА РОССИИ</v>
      </c>
      <c r="B16509" s="24" t="s">
        <v>21596</v>
      </c>
      <c r="C16509" s="25">
        <v>49946190</v>
      </c>
      <c r="D16509" s="22" t="s">
        <v>21597</v>
      </c>
      <c r="E16509" s="22" t="s">
        <v>48</v>
      </c>
      <c r="F16509" s="23" t="str">
        <f>HYPERLINK("https://www.spark-marketing.ru/Card/Lot/71431952", "Оказание услуг по организации лечебного питания пациентам")</f>
        <v>Оказание услуг по организации лечебного питания пациентам</v>
      </c>
      <c r="G16509" s="22" t="s">
        <v>56</v>
      </c>
      <c r="H16509" s="22" t="s">
        <v>56</v>
      </c>
      <c r="I16509" s="26">
        <v>43633.671527777798</v>
      </c>
      <c r="J16509" s="28" t="s">
        <v>51</v>
      </c>
      <c r="K16509" s="28" t="s">
        <v>51</v>
      </c>
      <c r="L16509" s="28" t="s">
        <v>51</v>
      </c>
      <c r="M16509" s="28" t="s">
        <v>51</v>
      </c>
      <c r="N16509" s="28" t="s">
        <v>51</v>
      </c>
    </row>
    <row r="16510" spans="1:14" hidden="1" outlineLevel="1" x14ac:dyDescent="0.2">
      <c r="A16510" s="23" t="str">
        <f>HYPERLINK("https://www.spark-marketing.ru/Card/Person/20074", "ФГБУ ""НМИЦ ТИО ИМ. АК. В.И. ШУМАКОВА"" МИНЗДРАВА РОССИИ")</f>
        <v>ФГБУ "НМИЦ ТИО ИМ. АК. В.И. ШУМАКОВА" МИНЗДРАВА РОССИИ</v>
      </c>
      <c r="B16510" s="24" t="s">
        <v>21596</v>
      </c>
      <c r="C16510" s="25">
        <v>49946190</v>
      </c>
      <c r="D16510" s="22" t="s">
        <v>21597</v>
      </c>
      <c r="E16510" s="22" t="s">
        <v>48</v>
      </c>
      <c r="F16510" s="23" t="str">
        <f>HYPERLINK("https://www.spark-marketing.ru/Card/Lot/71431952", "Оказание услуг по организации лечебного питания пациентам")</f>
        <v>Оказание услуг по организации лечебного питания пациентам</v>
      </c>
      <c r="G16510" s="22" t="s">
        <v>56</v>
      </c>
      <c r="H16510" s="22" t="s">
        <v>56</v>
      </c>
      <c r="I16510" s="26">
        <v>43633.671527777798</v>
      </c>
      <c r="J16510" s="23" t="str">
        <f>HYPERLINK("https://www.spark-marketing.ru/Card/Person/90084", "ООО ""ВКУСНЫЙ ВЫБОР""")</f>
        <v>ООО "ВКУСНЫЙ ВЫБОР"</v>
      </c>
      <c r="K16510" s="24" t="s">
        <v>3103</v>
      </c>
      <c r="L16510" s="28" t="s">
        <v>51</v>
      </c>
      <c r="M16510" s="25">
        <v>37709373.450000003</v>
      </c>
      <c r="N16510" s="27">
        <v>0.245</v>
      </c>
    </row>
    <row r="16511" spans="1:14" ht="12.75" hidden="1" outlineLevel="1" x14ac:dyDescent="0.2">
      <c r="A16511" s="23" t="str">
        <f>HYPERLINK("https://www.spark-marketing.ru/Card/Person/20074", "ФГБУ ""НМИЦ ТИО ИМ. АК. В.И. ШУМАКОВА"" МИНЗДРАВА РОССИИ")</f>
        <v>ФГБУ "НМИЦ ТИО ИМ. АК. В.И. ШУМАКОВА" МИНЗДРАВА РОССИИ</v>
      </c>
      <c r="B16511" s="24" t="s">
        <v>21596</v>
      </c>
      <c r="C16511" s="25">
        <v>49946190</v>
      </c>
      <c r="D16511" s="22" t="s">
        <v>21597</v>
      </c>
      <c r="E16511" s="22" t="s">
        <v>48</v>
      </c>
      <c r="F16511" s="23" t="str">
        <f>HYPERLINK("https://www.spark-marketing.ru/Card/Lot/71431952", "Оказание услуг по организации лечебного питания пациентам")</f>
        <v>Оказание услуг по организации лечебного питания пациентам</v>
      </c>
      <c r="G16511" s="22" t="s">
        <v>56</v>
      </c>
      <c r="H16511" s="22" t="s">
        <v>56</v>
      </c>
      <c r="I16511" s="26">
        <v>43633.671527777798</v>
      </c>
      <c r="J16511" s="23" t="str">
        <f>HYPERLINK("https://www.spark-marketing.ru/Card/Person/16210", "ООО ""ГК ФЬЮЖЕН МЕНЕДЖМЕНТ""")</f>
        <v>ООО "ГК ФЬЮЖЕН МЕНЕДЖМЕНТ"</v>
      </c>
      <c r="K16511" s="24" t="s">
        <v>1675</v>
      </c>
      <c r="L16511" s="22" t="s">
        <v>10</v>
      </c>
      <c r="M16511" s="25">
        <v>45059175</v>
      </c>
      <c r="N16511" s="27">
        <v>9.7845601436265708E-2</v>
      </c>
    </row>
    <row r="16512" spans="1:14" hidden="1" outlineLevel="1" x14ac:dyDescent="0.15">
      <c r="A16512" s="23" t="str">
        <f>HYPERLINK("https://www.spark-marketing.ru/Card/Person/20074", "ФГБУ ""НМИЦ ТИО ИМ. АК. В.И. ШУМАКОВА"" МИНЗДРАВА РОССИИ")</f>
        <v>ФГБУ "НМИЦ ТИО ИМ. АК. В.И. ШУМАКОВА" МИНЗДРАВА РОССИИ</v>
      </c>
      <c r="B16512" s="24" t="s">
        <v>21596</v>
      </c>
      <c r="C16512" s="25">
        <v>49946190</v>
      </c>
      <c r="D16512" s="22" t="s">
        <v>21597</v>
      </c>
      <c r="E16512" s="22" t="s">
        <v>48</v>
      </c>
      <c r="F16512" s="23" t="str">
        <f>HYPERLINK("https://www.spark-marketing.ru/Card/Lot/71431952", "Оказание услуг по организации лечебного питания пациентам")</f>
        <v>Оказание услуг по организации лечебного питания пациентам</v>
      </c>
      <c r="G16512" s="22" t="s">
        <v>56</v>
      </c>
      <c r="H16512" s="22" t="s">
        <v>56</v>
      </c>
      <c r="I16512" s="26">
        <v>43633.671527777798</v>
      </c>
      <c r="J16512" s="23" t="str">
        <f>HYPERLINK("https://www.spark-marketing.ru/Card/Person/2523959", "ООО ""КРУИЗ-ТУР""")</f>
        <v>ООО "КРУИЗ-ТУР"</v>
      </c>
      <c r="K16512" s="24" t="s">
        <v>13149</v>
      </c>
      <c r="L16512" s="28" t="s">
        <v>51</v>
      </c>
      <c r="M16512" s="28" t="s">
        <v>51</v>
      </c>
      <c r="N16512" s="28" t="s">
        <v>51</v>
      </c>
    </row>
    <row r="16513" spans="1:14" x14ac:dyDescent="0.15">
      <c r="A16513" s="23" t="str">
        <f>HYPERLINK("https://www.spark-marketing.ru/Card/Person/17125", "ФКУ ""ЦХИСО УМВД РОССИИ ПО ТУЛЬСКОЙ ОБЛАСТИ""")</f>
        <v>ФКУ "ЦХИСО УМВД РОССИИ ПО ТУЛЬСКОЙ ОБЛАСТИ"</v>
      </c>
      <c r="B16513" s="24" t="s">
        <v>6404</v>
      </c>
      <c r="C16513" s="25">
        <v>5694856.4100000001</v>
      </c>
      <c r="D16513" s="22" t="s">
        <v>21598</v>
      </c>
      <c r="E16513" s="22" t="s">
        <v>48</v>
      </c>
      <c r="F16513" s="23" t="str">
        <f>HYPERLINK("https://www.spark-marketing.ru/Card/Lot/71431685", "Оказание услуг по организации питания лиц, направленных на специальное профессиональное обучение в Центр профессиональной подготовки УМВД России по Тульской области")</f>
        <v>Оказание услуг по организации питания лиц, направленных на специальное профессиональное обучение в Центр профессиональной подготовки УМВД России по Тульской области</v>
      </c>
      <c r="G16513" s="22" t="s">
        <v>68</v>
      </c>
      <c r="H16513" s="22" t="s">
        <v>68</v>
      </c>
      <c r="I16513" s="26">
        <v>43633.690972222197</v>
      </c>
      <c r="J16513" s="23" t="str">
        <f>HYPERLINK("https://www.spark-marketing.ru/Card/Person/4890695", "ООО ""ТАИСС""")</f>
        <v>ООО "ТАИСС"</v>
      </c>
      <c r="K16513" s="24" t="s">
        <v>21599</v>
      </c>
      <c r="L16513" s="22" t="s">
        <v>10</v>
      </c>
      <c r="M16513" s="28" t="s">
        <v>51</v>
      </c>
      <c r="N16513" s="28" t="s">
        <v>51</v>
      </c>
    </row>
    <row r="16514" spans="1:14" x14ac:dyDescent="0.15">
      <c r="A16514" s="23" t="str">
        <f>HYPERLINK("https://www.spark-marketing.ru/Card/Person/1060342", "ОМВД РОССИИ ПО ЛЕНИНСКОМУ РАЙОНУ")</f>
        <v>ОМВД РОССИИ ПО ЛЕНИНСКОМУ РАЙОНУ</v>
      </c>
      <c r="B16514" s="24" t="s">
        <v>5850</v>
      </c>
      <c r="C16514" s="25">
        <v>51600</v>
      </c>
      <c r="D16514" s="22" t="s">
        <v>21600</v>
      </c>
      <c r="E16514" s="22" t="s">
        <v>96</v>
      </c>
      <c r="F16514" s="23" t="str">
        <f>HYPERLINK("https://www.spark-marketing.ru/Card/Lot/71413995",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6514" s="22" t="s">
        <v>108</v>
      </c>
      <c r="H16514" s="22" t="s">
        <v>5852</v>
      </c>
      <c r="I16514" s="26">
        <v>43633.677384259303</v>
      </c>
      <c r="J16514" s="28" t="s">
        <v>51</v>
      </c>
      <c r="K16514" s="28" t="s">
        <v>51</v>
      </c>
      <c r="L16514" s="28" t="s">
        <v>51</v>
      </c>
      <c r="M16514" s="28" t="s">
        <v>51</v>
      </c>
      <c r="N16514" s="28" t="s">
        <v>51</v>
      </c>
    </row>
    <row r="16515" spans="1:14" x14ac:dyDescent="0.15">
      <c r="A16515" s="23" t="str">
        <f>HYPERLINK("https://www.spark-marketing.ru/Card/Person/1019942", "ГБУСО КО ""ЦЕНТР ""ДЕТСТВО""")</f>
        <v>ГБУСО КО "ЦЕНТР "ДЕТСТВО"</v>
      </c>
      <c r="B16515" s="24" t="s">
        <v>1454</v>
      </c>
      <c r="C16515" s="25">
        <v>30380</v>
      </c>
      <c r="D16515" s="22" t="s">
        <v>21601</v>
      </c>
      <c r="E16515" s="22" t="s">
        <v>48</v>
      </c>
      <c r="F16515" s="23" t="str">
        <f>HYPERLINK("https://www.spark-marketing.ru/Card/Lot/71414456", "Оказание услуг по организации ежедневного горячего питания Центр Детство")</f>
        <v>Оказание услуг по организации ежедневного горячего питания Центр Детство</v>
      </c>
      <c r="G16515" s="22" t="s">
        <v>400</v>
      </c>
      <c r="H16515" s="22" t="s">
        <v>401</v>
      </c>
      <c r="I16515" s="26">
        <v>43633.7</v>
      </c>
      <c r="J16515" s="28" t="s">
        <v>51</v>
      </c>
      <c r="K16515" s="28" t="s">
        <v>51</v>
      </c>
      <c r="L16515" s="28" t="s">
        <v>51</v>
      </c>
      <c r="M16515" s="28" t="s">
        <v>51</v>
      </c>
      <c r="N16515" s="28" t="s">
        <v>51</v>
      </c>
    </row>
    <row r="16516" spans="1:14" ht="12.75" x14ac:dyDescent="0.2">
      <c r="A16516" s="23" t="str">
        <f>HYPERLINK("https://www.spark-marketing.ru/Card/Person/64755", "ГБУЗ КО НРБ")</f>
        <v>ГБУЗ КО НРБ</v>
      </c>
      <c r="B16516" s="24" t="s">
        <v>21602</v>
      </c>
      <c r="C16516" s="25">
        <v>3784980</v>
      </c>
      <c r="D16516" s="22" t="s">
        <v>21603</v>
      </c>
      <c r="E16516" s="22" t="s">
        <v>96</v>
      </c>
      <c r="F16516" s="23" t="str">
        <f>HYPERLINK("https://www.spark-marketing.ru/Card/Lot/71430586", "Оказание услуг общественного питания для медицинской организации")</f>
        <v>Оказание услуг общественного питания для медицинской организации</v>
      </c>
      <c r="G16516" s="22" t="s">
        <v>304</v>
      </c>
      <c r="H16516" s="22" t="s">
        <v>21604</v>
      </c>
      <c r="I16516" s="26">
        <v>43633.684722222199</v>
      </c>
      <c r="J16516" s="23" t="str">
        <f>HYPERLINK("https://www.spark-marketing.ru/Card/Person/37535", "ООО ""ОМС-ЛЕЧЕБНОЕ ПИТАНИЕ""")</f>
        <v>ООО "ОМС-ЛЕЧЕБНОЕ ПИТАНИЕ"</v>
      </c>
      <c r="K16516" s="24" t="s">
        <v>17435</v>
      </c>
      <c r="L16516" s="22" t="s">
        <v>10</v>
      </c>
      <c r="M16516" s="25">
        <v>3746940</v>
      </c>
      <c r="N16516" s="27">
        <v>1.0050251256281407E-2</v>
      </c>
    </row>
    <row r="16517" spans="1:14" x14ac:dyDescent="0.15">
      <c r="A16517" s="23" t="str">
        <f>HYPERLINK("https://www.spark-marketing.ru/Card/Person/4348382", "ООО ""ГАЗПРОМ ПИТАНИЕ""")</f>
        <v>ООО "ГАЗПРОМ ПИТАНИЕ"</v>
      </c>
      <c r="B16517" s="24" t="s">
        <v>2869</v>
      </c>
      <c r="C16517" s="25">
        <v>412500</v>
      </c>
      <c r="D16517" s="22" t="s">
        <v>21605</v>
      </c>
      <c r="E16517" s="22" t="s">
        <v>52</v>
      </c>
      <c r="F16517" s="23" t="str">
        <f>HYPERLINK("https://www.spark-marketing.ru/Card/Lot/71415230", "Оказание услуг по доставке грузов ж/д транспортом до станции инта сев.ж/д для нужд филиала ""хтинское управление по организации общественного питания"" ооо ""газпром питание""")</f>
        <v>Оказание услуг по доставке грузов ж/д транспортом до станции инта сев.ж/д для нужд филиала "хтинское управление по организации общественного питания" ооо "газпром питание"</v>
      </c>
      <c r="G16517" s="22" t="s">
        <v>56</v>
      </c>
      <c r="H16517" s="22" t="s">
        <v>56</v>
      </c>
      <c r="I16517" s="26">
        <v>43633.679166666698</v>
      </c>
      <c r="J16517" s="28" t="s">
        <v>51</v>
      </c>
      <c r="K16517" s="28" t="s">
        <v>51</v>
      </c>
      <c r="L16517" s="28" t="s">
        <v>51</v>
      </c>
      <c r="M16517" s="28" t="s">
        <v>51</v>
      </c>
      <c r="N16517" s="28" t="s">
        <v>51</v>
      </c>
    </row>
    <row r="16518" spans="1:14" x14ac:dyDescent="0.15">
      <c r="A16518" s="23" t="str">
        <f>HYPERLINK("https://www.spark-marketing.ru/Card/Person/1060342", "ОМВД РОССИИ ПО ЛЕНИНСКОМУ РАЙОНУ")</f>
        <v>ОМВД РОССИИ ПО ЛЕНИНСКОМУ РАЙОНУ</v>
      </c>
      <c r="B16518" s="24" t="s">
        <v>5850</v>
      </c>
      <c r="C16518" s="25">
        <v>99975</v>
      </c>
      <c r="D16518" s="22" t="s">
        <v>21606</v>
      </c>
      <c r="E16518" s="22" t="s">
        <v>96</v>
      </c>
      <c r="F16518" s="23" t="str">
        <f>HYPERLINK("https://www.spark-marketing.ru/Card/Lot/71412417",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6518" s="22" t="s">
        <v>108</v>
      </c>
      <c r="H16518" s="22" t="s">
        <v>5852</v>
      </c>
      <c r="I16518" s="26">
        <v>43633.671284722201</v>
      </c>
      <c r="J16518" s="28" t="s">
        <v>51</v>
      </c>
      <c r="K16518" s="28" t="s">
        <v>51</v>
      </c>
      <c r="L16518" s="28" t="s">
        <v>51</v>
      </c>
      <c r="M16518" s="28" t="s">
        <v>51</v>
      </c>
      <c r="N16518" s="28" t="s">
        <v>51</v>
      </c>
    </row>
    <row r="16519" spans="1:14" x14ac:dyDescent="0.15">
      <c r="A16519" s="23" t="str">
        <f t="shared" ref="A16519:A16525" si="557">HYPERLINK("https://www.spark-marketing.ru/Card/Person/104489", "ГУСО ""ЭКСПЛУАТАЦИЯ И ОБСЛУЖИВАНИЕ ЗДАНИЙ""")</f>
        <v>ГУСО "ЭКСПЛУАТАЦИЯ И ОБСЛУЖИВАНИЕ ЗДАНИЙ"</v>
      </c>
      <c r="B16519" s="24" t="s">
        <v>21607</v>
      </c>
      <c r="C16519" s="25">
        <v>391866.67</v>
      </c>
      <c r="D16519" s="22" t="s">
        <v>21608</v>
      </c>
      <c r="E16519" s="22" t="s">
        <v>355</v>
      </c>
      <c r="F16519" s="23" t="str">
        <f t="shared" ref="F16519:F16525" si="558">HYPERLINK("https://www.spark-marketing.ru/Card/Lot/71420323", "Оказание услуг по замене аккумуляторных батарей в батарейном блоке источника бесперебойного питания")</f>
        <v>Оказание услуг по замене аккумуляторных батарей в батарейном блоке источника бесперебойного питания</v>
      </c>
      <c r="G16519" s="22" t="s">
        <v>351</v>
      </c>
      <c r="H16519" s="22" t="s">
        <v>2983</v>
      </c>
      <c r="I16519" s="26">
        <v>43633.704166666699</v>
      </c>
      <c r="J16519" s="28" t="s">
        <v>51</v>
      </c>
      <c r="K16519" s="28" t="s">
        <v>51</v>
      </c>
      <c r="L16519" s="28" t="s">
        <v>51</v>
      </c>
      <c r="M16519" s="28" t="s">
        <v>51</v>
      </c>
      <c r="N16519" s="28" t="s">
        <v>51</v>
      </c>
    </row>
    <row r="16520" spans="1:14" ht="12.75" hidden="1" outlineLevel="1" x14ac:dyDescent="0.2">
      <c r="A16520" s="23" t="str">
        <f t="shared" si="557"/>
        <v>ГУСО "ЭКСПЛУАТАЦИЯ И ОБСЛУЖИВАНИЕ ЗДАНИЙ"</v>
      </c>
      <c r="B16520" s="24" t="s">
        <v>21607</v>
      </c>
      <c r="C16520" s="25">
        <v>391866.67</v>
      </c>
      <c r="D16520" s="22" t="s">
        <v>21608</v>
      </c>
      <c r="E16520" s="22" t="s">
        <v>355</v>
      </c>
      <c r="F16520" s="23" t="str">
        <f t="shared" si="558"/>
        <v>Оказание услуг по замене аккумуляторных батарей в батарейном блоке источника бесперебойного питания</v>
      </c>
      <c r="G16520" s="22" t="s">
        <v>351</v>
      </c>
      <c r="H16520" s="22" t="s">
        <v>2983</v>
      </c>
      <c r="I16520" s="26">
        <v>43633.704166666699</v>
      </c>
      <c r="J16520" s="23" t="str">
        <f>HYPERLINK("https://www.spark-marketing.ru/Card/Person/179436", "ООО ""АСЭС""")</f>
        <v>ООО "АСЭС"</v>
      </c>
      <c r="K16520" s="24" t="s">
        <v>11701</v>
      </c>
      <c r="L16520" s="22" t="s">
        <v>10</v>
      </c>
      <c r="M16520" s="25">
        <v>224569.7</v>
      </c>
      <c r="N16520" s="27">
        <v>0.42692319303399801</v>
      </c>
    </row>
    <row r="16521" spans="1:14" hidden="1" outlineLevel="1" x14ac:dyDescent="0.2">
      <c r="A16521" s="23" t="str">
        <f t="shared" si="557"/>
        <v>ГУСО "ЭКСПЛУАТАЦИЯ И ОБСЛУЖИВАНИЕ ЗДАНИЙ"</v>
      </c>
      <c r="B16521" s="24" t="s">
        <v>21607</v>
      </c>
      <c r="C16521" s="25">
        <v>391866.67</v>
      </c>
      <c r="D16521" s="22" t="s">
        <v>21608</v>
      </c>
      <c r="E16521" s="22" t="s">
        <v>355</v>
      </c>
      <c r="F16521" s="23" t="str">
        <f t="shared" si="558"/>
        <v>Оказание услуг по замене аккумуляторных батарей в батарейном блоке источника бесперебойного питания</v>
      </c>
      <c r="G16521" s="22" t="s">
        <v>351</v>
      </c>
      <c r="H16521" s="22" t="s">
        <v>2983</v>
      </c>
      <c r="I16521" s="26">
        <v>43633.704166666699</v>
      </c>
      <c r="J16521" s="23" t="str">
        <f>HYPERLINK("https://www.spark-marketing.ru/Card/Person/3291243", "ООО ""ПРОМЕТЕЙ""")</f>
        <v>ООО "ПРОМЕТЕЙ"</v>
      </c>
      <c r="K16521" s="24" t="s">
        <v>7389</v>
      </c>
      <c r="L16521" s="28" t="s">
        <v>51</v>
      </c>
      <c r="M16521" s="25">
        <v>226529.03</v>
      </c>
      <c r="N16521" s="27">
        <v>0.42192320158282409</v>
      </c>
    </row>
    <row r="16522" spans="1:14" hidden="1" outlineLevel="1" x14ac:dyDescent="0.2">
      <c r="A16522" s="23" t="str">
        <f t="shared" si="557"/>
        <v>ГУСО "ЭКСПЛУАТАЦИЯ И ОБСЛУЖИВАНИЕ ЗДАНИЙ"</v>
      </c>
      <c r="B16522" s="24" t="s">
        <v>21607</v>
      </c>
      <c r="C16522" s="25">
        <v>391866.67</v>
      </c>
      <c r="D16522" s="22" t="s">
        <v>21608</v>
      </c>
      <c r="E16522" s="22" t="s">
        <v>355</v>
      </c>
      <c r="F16522" s="23" t="str">
        <f t="shared" si="558"/>
        <v>Оказание услуг по замене аккумуляторных батарей в батарейном блоке источника бесперебойного питания</v>
      </c>
      <c r="G16522" s="22" t="s">
        <v>351</v>
      </c>
      <c r="H16522" s="22" t="s">
        <v>2983</v>
      </c>
      <c r="I16522" s="26">
        <v>43633.704166666699</v>
      </c>
      <c r="J16522" s="23" t="str">
        <f>HYPERLINK("https://www.spark-marketing.ru/Card/Person/547761", "ООО ""КРИСТА+""")</f>
        <v>ООО "КРИСТА+"</v>
      </c>
      <c r="K16522" s="24" t="s">
        <v>21609</v>
      </c>
      <c r="L16522" s="28" t="s">
        <v>51</v>
      </c>
      <c r="M16522" s="25">
        <v>230447.69</v>
      </c>
      <c r="N16522" s="27">
        <v>0.41192321868047621</v>
      </c>
    </row>
    <row r="16523" spans="1:14" hidden="1" outlineLevel="1" x14ac:dyDescent="0.2">
      <c r="A16523" s="23" t="str">
        <f t="shared" si="557"/>
        <v>ГУСО "ЭКСПЛУАТАЦИЯ И ОБСЛУЖИВАНИЕ ЗДАНИЙ"</v>
      </c>
      <c r="B16523" s="24" t="s">
        <v>21607</v>
      </c>
      <c r="C16523" s="25">
        <v>391866.67</v>
      </c>
      <c r="D16523" s="22" t="s">
        <v>21608</v>
      </c>
      <c r="E16523" s="22" t="s">
        <v>355</v>
      </c>
      <c r="F16523" s="23" t="str">
        <f t="shared" si="558"/>
        <v>Оказание услуг по замене аккумуляторных батарей в батарейном блоке источника бесперебойного питания</v>
      </c>
      <c r="G16523" s="22" t="s">
        <v>351</v>
      </c>
      <c r="H16523" s="22" t="s">
        <v>2983</v>
      </c>
      <c r="I16523" s="26">
        <v>43633.704166666699</v>
      </c>
      <c r="J16523" s="23" t="str">
        <f>HYPERLINK("https://www.spark-marketing.ru/Card/Person/140775", "ООО ""АЛЬФА-ЭНЕРГО""")</f>
        <v>ООО "АЛЬФА-ЭНЕРГО"</v>
      </c>
      <c r="K16523" s="24" t="s">
        <v>3030</v>
      </c>
      <c r="L16523" s="28" t="s">
        <v>51</v>
      </c>
      <c r="M16523" s="25">
        <v>296400</v>
      </c>
      <c r="N16523" s="27">
        <v>0.2436202854404535</v>
      </c>
    </row>
    <row r="16524" spans="1:14" hidden="1" outlineLevel="1" x14ac:dyDescent="0.2">
      <c r="A16524" s="23" t="str">
        <f t="shared" si="557"/>
        <v>ГУСО "ЭКСПЛУАТАЦИЯ И ОБСЛУЖИВАНИЕ ЗДАНИЙ"</v>
      </c>
      <c r="B16524" s="24" t="s">
        <v>21607</v>
      </c>
      <c r="C16524" s="25">
        <v>391866.67</v>
      </c>
      <c r="D16524" s="22" t="s">
        <v>21608</v>
      </c>
      <c r="E16524" s="22" t="s">
        <v>355</v>
      </c>
      <c r="F16524" s="23" t="str">
        <f t="shared" si="558"/>
        <v>Оказание услуг по замене аккумуляторных батарей в батарейном блоке источника бесперебойного питания</v>
      </c>
      <c r="G16524" s="22" t="s">
        <v>351</v>
      </c>
      <c r="H16524" s="22" t="s">
        <v>2983</v>
      </c>
      <c r="I16524" s="26">
        <v>43633.704166666699</v>
      </c>
      <c r="J16524" s="23" t="str">
        <f>HYPERLINK("https://www.spark-marketing.ru/Card/Person/80116", "ООО ""КОМПЬЮТЕРНЫЙ СУПЕРМАРКЕТ""")</f>
        <v>ООО "КОМПЬЮТЕРНЫЙ СУПЕРМАРКЕТ"</v>
      </c>
      <c r="K16524" s="24" t="s">
        <v>21610</v>
      </c>
      <c r="L16524" s="28" t="s">
        <v>51</v>
      </c>
      <c r="M16524" s="25">
        <v>320727.83</v>
      </c>
      <c r="N16524" s="27">
        <v>0.18153837885727817</v>
      </c>
    </row>
    <row r="16525" spans="1:14" hidden="1" outlineLevel="1" x14ac:dyDescent="0.2">
      <c r="A16525" s="23" t="str">
        <f t="shared" si="557"/>
        <v>ГУСО "ЭКСПЛУАТАЦИЯ И ОБСЛУЖИВАНИЕ ЗДАНИЙ"</v>
      </c>
      <c r="B16525" s="24" t="s">
        <v>21607</v>
      </c>
      <c r="C16525" s="25">
        <v>391866.67</v>
      </c>
      <c r="D16525" s="22" t="s">
        <v>21608</v>
      </c>
      <c r="E16525" s="22" t="s">
        <v>355</v>
      </c>
      <c r="F16525" s="23" t="str">
        <f t="shared" si="558"/>
        <v>Оказание услуг по замене аккумуляторных батарей в батарейном блоке источника бесперебойного питания</v>
      </c>
      <c r="G16525" s="22" t="s">
        <v>351</v>
      </c>
      <c r="H16525" s="22" t="s">
        <v>2983</v>
      </c>
      <c r="I16525" s="26">
        <v>43633.704166666699</v>
      </c>
      <c r="J16525" s="23" t="str">
        <f>HYPERLINK("https://www.spark-marketing.ru/Card/Person/140575", "ООО ""КОМ.БРИДЖ""")</f>
        <v>ООО "КОМ.БРИДЖ"</v>
      </c>
      <c r="K16525" s="24" t="s">
        <v>21611</v>
      </c>
      <c r="L16525" s="28" t="s">
        <v>51</v>
      </c>
      <c r="M16525" s="25">
        <v>290000</v>
      </c>
      <c r="N16525" s="27">
        <v>0.25995237104497815</v>
      </c>
    </row>
    <row r="16526" spans="1:14" x14ac:dyDescent="0.15">
      <c r="A16526" s="23" t="str">
        <f>HYPERLINK("https://www.spark-marketing.ru/Card/Person/538833", "МО МВД РОССИИ ""ЗАРЕЧНЫЙ""")</f>
        <v>МО МВД РОССИИ "ЗАРЕЧНЫЙ"</v>
      </c>
      <c r="B16526" s="24" t="s">
        <v>21612</v>
      </c>
      <c r="C16526" s="25">
        <v>274667.64</v>
      </c>
      <c r="D16526" s="22" t="s">
        <v>21613</v>
      </c>
      <c r="E16526" s="22" t="s">
        <v>48</v>
      </c>
      <c r="F16526" s="23" t="str">
        <f>HYPERLINK("https://www.spark-marketing.ru/Card/Lot/71418024", "Оказание услуг. Обеспечение бесперебойным ежедневным, 3-х разовым горячим питанием лиц, содержащихся в ИВС ОП № 29 МО МВД России «Заречный».")</f>
        <v>Оказание услуг. Обеспечение бесперебойным ежедневным, 3-х разовым горячим питанием лиц, содержащихся в ИВС ОП № 29 МО МВД России «Заречный».</v>
      </c>
      <c r="G16526" s="22" t="s">
        <v>174</v>
      </c>
      <c r="H16526" s="22" t="s">
        <v>21614</v>
      </c>
      <c r="I16526" s="26">
        <v>43633.7055555556</v>
      </c>
      <c r="J16526" s="23" t="str">
        <f>HYPERLINK("https://www.spark-marketing.ru/Card/Person/6362316", "Миронова Алёна Алексеевна")</f>
        <v>Миронова Алёна Алексеевна</v>
      </c>
      <c r="K16526" s="24" t="s">
        <v>21615</v>
      </c>
      <c r="L16526" s="22" t="s">
        <v>10</v>
      </c>
      <c r="M16526" s="28" t="s">
        <v>51</v>
      </c>
      <c r="N16526" s="28" t="s">
        <v>51</v>
      </c>
    </row>
    <row r="16527" spans="1:14" x14ac:dyDescent="0.15">
      <c r="A16527" s="23" t="str">
        <f>HYPERLINK("https://www.spark-marketing.ru/Card/Person/17125", "ФКУ ""ЦХИСО УМВД РОССИИ ПО ТУЛЬСКОЙ ОБЛАСТИ""")</f>
        <v>ФКУ "ЦХИСО УМВД РОССИИ ПО ТУЛЬСКОЙ ОБЛАСТИ"</v>
      </c>
      <c r="B16527" s="24" t="s">
        <v>6404</v>
      </c>
      <c r="C16527" s="25">
        <v>5694949.6100000003</v>
      </c>
      <c r="D16527" s="22" t="s">
        <v>21616</v>
      </c>
      <c r="E16527" s="22" t="s">
        <v>48</v>
      </c>
      <c r="F16527" s="23" t="str">
        <f>HYPERLINK("https://www.spark-marketing.ru/Card/Lot/71431686", "Оказание услуг по организации питания лиц, направленных на специальное профессиональное обучение в Центр профессиональной подготовки УМВД России по Тульской области")</f>
        <v>Оказание услуг по организации питания лиц, направленных на специальное профессиональное обучение в Центр профессиональной подготовки УМВД России по Тульской области</v>
      </c>
      <c r="G16527" s="22" t="s">
        <v>68</v>
      </c>
      <c r="H16527" s="22" t="s">
        <v>68</v>
      </c>
      <c r="I16527" s="26">
        <v>43633.699305555601</v>
      </c>
      <c r="J16527" s="23" t="str">
        <f>HYPERLINK("https://www.spark-marketing.ru/Card/Person/4890695", "ООО ""ТАИСС""")</f>
        <v>ООО "ТАИСС"</v>
      </c>
      <c r="K16527" s="24" t="s">
        <v>21599</v>
      </c>
      <c r="L16527" s="22" t="s">
        <v>10</v>
      </c>
      <c r="M16527" s="28" t="s">
        <v>51</v>
      </c>
      <c r="N16527" s="28" t="s">
        <v>51</v>
      </c>
    </row>
    <row r="16528" spans="1:14" x14ac:dyDescent="0.15">
      <c r="A16528" s="23" t="str">
        <f>HYPERLINK("https://www.spark-marketing.ru/Card/Person/1013163", "ТОГБУ СОН ""ЦЕНТР СОЦИАЛЬНЫХ УСЛУГ ДЛЯ НАСЕЛЕНИЯ ГОРОДА МИЧУРИНСКА И МИЧУРИНСКОГО РАЙОНА""")</f>
        <v>ТОГБУ СОН "ЦЕНТР СОЦИАЛЬНЫХ УСЛУГ ДЛЯ НАСЕЛЕНИЯ ГОРОДА МИЧУРИНСКА И МИЧУРИНСКОГО РАЙОНА"</v>
      </c>
      <c r="B16528" s="24" t="s">
        <v>21617</v>
      </c>
      <c r="C16528" s="25">
        <v>428000</v>
      </c>
      <c r="D16528" s="22" t="s">
        <v>21618</v>
      </c>
      <c r="E16528" s="22" t="s">
        <v>48</v>
      </c>
      <c r="F16528" s="23" t="str">
        <f>HYPERLINK("https://www.spark-marketing.ru/Card/Lot/71419811", "Оказание услуг по производству и доставке готового питания")</f>
        <v>Оказание услуг по производству и доставке готового питания</v>
      </c>
      <c r="G16528" s="22" t="s">
        <v>1370</v>
      </c>
      <c r="H16528" s="22" t="s">
        <v>9079</v>
      </c>
      <c r="I16528" s="26">
        <v>43633.675694444399</v>
      </c>
      <c r="J16528" s="23" t="str">
        <f>HYPERLINK("https://www.spark-marketing.ru/Card/Person/847488", "ООО ""НОВАЯ СИСТЕМА УСЛУГ""")</f>
        <v>ООО "НОВАЯ СИСТЕМА УСЛУГ"</v>
      </c>
      <c r="K16528" s="24" t="s">
        <v>15549</v>
      </c>
      <c r="L16528" s="22" t="s">
        <v>10</v>
      </c>
      <c r="M16528" s="28" t="s">
        <v>51</v>
      </c>
      <c r="N16528" s="28" t="s">
        <v>51</v>
      </c>
    </row>
    <row r="16529" spans="1:14" x14ac:dyDescent="0.15">
      <c r="A16529" s="23" t="str">
        <f>HYPERLINK("https://www.spark-marketing.ru/Card/Person/4341", "ГУ-КИРОВСКОЕ РО ФОНДА СОЦИАЛЬНОГО СТРАХОВАНИЯ РОССИЙСКОЙ ФЕДЕРАЦИИ")</f>
        <v>ГУ-КИРОВСКОЕ РО ФОНДА СОЦИАЛЬНОГО СТРАХОВАНИЯ РОССИЙСКОЙ ФЕДЕРАЦИИ</v>
      </c>
      <c r="B16529" s="24" t="s">
        <v>4330</v>
      </c>
      <c r="C16529" s="25">
        <v>2979507.6</v>
      </c>
      <c r="D16529" s="22" t="s">
        <v>21619</v>
      </c>
      <c r="E16529" s="22" t="s">
        <v>86</v>
      </c>
      <c r="F16529" s="23" t="str">
        <f>HYPERLINK("https://www.spark-marketing.ru/Card/Lot/71430168", "Оказание услуг по санаторно-курортному лечению граждан - получателей государственной социальной помощи в виде набора социальных услуг, и сопровождающих лиц, по профилям заболеваний: болезни системы кровообращения, болезни нервной системы, болезни орг...")</f>
        <v>Оказание услуг по санаторно-курортному лечению граждан - получателей государственной социальной помощи в виде набора социальных услуг, и сопровождающих лиц, по профилям заболеваний: болезни системы кровообращения, болезни нервной системы, болезни орг...</v>
      </c>
      <c r="G16529" s="22" t="s">
        <v>224</v>
      </c>
      <c r="H16529" s="22" t="s">
        <v>225</v>
      </c>
      <c r="I16529" s="26">
        <v>43633.670833333301</v>
      </c>
      <c r="J16529" s="23" t="str">
        <f>HYPERLINK("https://www.spark-marketing.ru/Card/Person/177813", "ООО ""КСКК ""АКВАЛОО""")</f>
        <v>ООО "КСКК "АКВАЛОО"</v>
      </c>
      <c r="K16529" s="24" t="s">
        <v>4517</v>
      </c>
      <c r="L16529" s="22" t="s">
        <v>10</v>
      </c>
      <c r="M16529" s="28" t="s">
        <v>51</v>
      </c>
      <c r="N16529" s="28" t="s">
        <v>51</v>
      </c>
    </row>
    <row r="16530" spans="1:14" x14ac:dyDescent="0.15">
      <c r="A16530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6530" s="24" t="s">
        <v>4297</v>
      </c>
      <c r="C16530" s="25">
        <v>233100</v>
      </c>
      <c r="D16530" s="22" t="s">
        <v>21620</v>
      </c>
      <c r="E16530" s="22" t="s">
        <v>48</v>
      </c>
      <c r="F16530" s="23" t="str">
        <f>HYPERLINK("https://www.spark-marketing.ru/Card/Lot/71417168",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6530" s="22" t="s">
        <v>1096</v>
      </c>
      <c r="H16530" s="22" t="s">
        <v>4299</v>
      </c>
      <c r="I16530" s="26">
        <v>43633.631944444402</v>
      </c>
      <c r="J16530" s="23" t="str">
        <f>HYPERLINK("https://www.spark-marketing.ru/Card/Person/1034838", "МБОУ ЛИЦЕЙ № 1")</f>
        <v>МБОУ ЛИЦЕЙ № 1</v>
      </c>
      <c r="K16530" s="24" t="s">
        <v>21621</v>
      </c>
      <c r="L16530" s="22" t="s">
        <v>10</v>
      </c>
      <c r="M16530" s="28" t="s">
        <v>51</v>
      </c>
      <c r="N16530" s="28" t="s">
        <v>51</v>
      </c>
    </row>
    <row r="16531" spans="1:14" x14ac:dyDescent="0.15">
      <c r="A16531" s="23" t="str">
        <f>HYPERLINK("https://www.spark-marketing.ru/Card/Person/1763949", "МАДОУ ДЕТСКИЙ САД ""СОЛНЫШКО"" Д. КОНСТАНТИНОВКА")</f>
        <v>МАДОУ ДЕТСКИЙ САД "СОЛНЫШКО" Д. КОНСТАНТИНОВКА</v>
      </c>
      <c r="B16531" s="24" t="s">
        <v>21622</v>
      </c>
      <c r="C16531" s="25">
        <v>3000000</v>
      </c>
      <c r="D16531" s="22" t="s">
        <v>21623</v>
      </c>
      <c r="E16531" s="22" t="s">
        <v>362</v>
      </c>
      <c r="F16531" s="23" t="str">
        <f>HYPERLINK("https://www.spark-marketing.ru/Card/Lot/71411550", "Услуги по организации горячего питания детей дошкольных организаций во втором полугодии 2019 года")</f>
        <v>Услуги по организации горячего питания детей дошкольных организаций во втором полугодии 2019 года</v>
      </c>
      <c r="G16531" s="22" t="s">
        <v>145</v>
      </c>
      <c r="H16531" s="22" t="s">
        <v>145</v>
      </c>
      <c r="I16531" s="26">
        <v>43633.664340277799</v>
      </c>
      <c r="J16531" s="28" t="s">
        <v>51</v>
      </c>
      <c r="K16531" s="28" t="s">
        <v>51</v>
      </c>
      <c r="L16531" s="28" t="s">
        <v>51</v>
      </c>
      <c r="M16531" s="28" t="s">
        <v>51</v>
      </c>
      <c r="N16531" s="28" t="s">
        <v>51</v>
      </c>
    </row>
    <row r="16532" spans="1:14" x14ac:dyDescent="0.2">
      <c r="A16532" s="23" t="str">
        <f>HYPERLINK("https://www.spark-marketing.ru/Card/Person/24963", "УРГЮУ, ФГБОУ ВО ""УРАЛЬСКИЙ ГОСУДАРСТВЕННЫЙ ЮРИДИЧЕСКИЙ УНИВЕРСИТЕТ"", УРАЛЬСКИЙ ГОСУДАРСТВЕННЫЙ ЮРИДИЧЕСКИЙ УНИВЕРСИТЕТ, ФГБОУ ВО ""УРГЮУ""")</f>
        <v>УРГЮУ, ФГБОУ ВО "УРАЛЬСКИЙ ГОСУДАРСТВЕННЫЙ ЮРИДИЧЕСКИЙ УНИВЕРСИТЕТ", УРАЛЬСКИЙ ГОСУДАРСТВЕННЫЙ ЮРИДИЧЕСКИЙ УНИВЕРСИТЕТ, ФГБОУ ВО "УРГЮУ"</v>
      </c>
      <c r="B16532" s="24" t="s">
        <v>13954</v>
      </c>
      <c r="C16532" s="25">
        <v>144750</v>
      </c>
      <c r="D16532" s="22" t="s">
        <v>21624</v>
      </c>
      <c r="E16532" s="22" t="s">
        <v>21625</v>
      </c>
      <c r="F16532" s="23" t="str">
        <f>HYPERLINK("https://www.spark-marketing.ru/Card/Lot/71408009", "Оказание услуг по чистке вентиляционных систем в помещениях комбинатов питания на ул. Комсомольская, 23, ул. Колмогорова, 54 в соответствии с прикрепленным извещением и документацией")</f>
        <v>Оказание услуг по чистке вентиляционных систем в помещениях комбинатов питания на ул. Комсомольская, 23, ул. Колмогорова, 54 в соответствии с прикрепленным извещением и документацией</v>
      </c>
      <c r="G16532" s="22" t="s">
        <v>174</v>
      </c>
      <c r="H16532" s="22" t="s">
        <v>530</v>
      </c>
      <c r="I16532" s="26">
        <v>43633.637916666703</v>
      </c>
      <c r="J16532" s="28" t="s">
        <v>51</v>
      </c>
      <c r="K16532" s="28" t="s">
        <v>51</v>
      </c>
      <c r="L16532" s="22" t="s">
        <v>10</v>
      </c>
      <c r="M16532" s="25">
        <v>144750</v>
      </c>
      <c r="N16532" s="27">
        <v>0</v>
      </c>
    </row>
    <row r="16533" spans="1:14" x14ac:dyDescent="0.15">
      <c r="A16533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6533" s="24" t="s">
        <v>4297</v>
      </c>
      <c r="C16533" s="25">
        <v>283500</v>
      </c>
      <c r="D16533" s="22" t="s">
        <v>21626</v>
      </c>
      <c r="E16533" s="22" t="s">
        <v>48</v>
      </c>
      <c r="F16533" s="23" t="str">
        <f>HYPERLINK("https://www.spark-marketing.ru/Card/Lot/71399054",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6533" s="22" t="s">
        <v>1096</v>
      </c>
      <c r="H16533" s="22" t="s">
        <v>4299</v>
      </c>
      <c r="I16533" s="26">
        <v>43633.630555555603</v>
      </c>
      <c r="J16533" s="23" t="str">
        <f>HYPERLINK("https://www.spark-marketing.ru/Card/Person/172041", "МУП КШП № 2")</f>
        <v>МУП КШП № 2</v>
      </c>
      <c r="K16533" s="24" t="s">
        <v>16678</v>
      </c>
      <c r="L16533" s="22" t="s">
        <v>10</v>
      </c>
      <c r="M16533" s="28" t="s">
        <v>51</v>
      </c>
      <c r="N16533" s="28" t="s">
        <v>51</v>
      </c>
    </row>
    <row r="16534" spans="1:14" x14ac:dyDescent="0.15">
      <c r="A16534" s="23" t="str">
        <f>HYPERLINK("https://www.spark-marketing.ru/Card/Person/24598", "ГБУЗ СО ""ТГКБ №1""")</f>
        <v>ГБУЗ СО "ТГКБ №1"</v>
      </c>
      <c r="B16534" s="24" t="s">
        <v>21627</v>
      </c>
      <c r="C16534" s="25">
        <v>183422.4</v>
      </c>
      <c r="D16534" s="22" t="s">
        <v>21628</v>
      </c>
      <c r="E16534" s="22" t="s">
        <v>48</v>
      </c>
      <c r="F16534" s="23" t="str">
        <f>HYPERLINK("https://www.spark-marketing.ru/Card/Lot/71412976",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""Тольяттинская городская клиническая больница №1""")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"Тольяттинская городская клиническая больница №1"</v>
      </c>
      <c r="G16534" s="22" t="s">
        <v>128</v>
      </c>
      <c r="H16534" s="22" t="s">
        <v>2819</v>
      </c>
      <c r="I16534" s="26">
        <v>43633.630555555603</v>
      </c>
      <c r="J16534" s="28" t="s">
        <v>51</v>
      </c>
      <c r="K16534" s="28" t="s">
        <v>51</v>
      </c>
      <c r="L16534" s="28" t="s">
        <v>51</v>
      </c>
      <c r="M16534" s="28" t="s">
        <v>51</v>
      </c>
      <c r="N16534" s="28" t="s">
        <v>51</v>
      </c>
    </row>
    <row r="16535" spans="1:14" ht="12.75" hidden="1" outlineLevel="1" x14ac:dyDescent="0.2">
      <c r="A16535" s="23" t="str">
        <f>HYPERLINK("https://www.spark-marketing.ru/Card/Person/24598", "ГБУЗ СО ""ТГКБ №1""")</f>
        <v>ГБУЗ СО "ТГКБ №1"</v>
      </c>
      <c r="B16535" s="24" t="s">
        <v>21627</v>
      </c>
      <c r="C16535" s="25">
        <v>183422.4</v>
      </c>
      <c r="D16535" s="22" t="s">
        <v>21628</v>
      </c>
      <c r="E16535" s="22" t="s">
        <v>48</v>
      </c>
      <c r="F16535" s="23" t="str">
        <f>HYPERLINK("https://www.spark-marketing.ru/Card/Lot/71412976",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""Тольяттинская городская клиническая больница №1""")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"Тольяттинская городская клиническая больница №1"</v>
      </c>
      <c r="G16535" s="22" t="s">
        <v>128</v>
      </c>
      <c r="H16535" s="22" t="s">
        <v>2819</v>
      </c>
      <c r="I16535" s="26">
        <v>43633.630555555603</v>
      </c>
      <c r="J16535" s="23" t="str">
        <f>HYPERLINK("https://www.spark-marketing.ru/Card/Person/52363", "ООО ""АК БАРС""")</f>
        <v>ООО "АК БАРС"</v>
      </c>
      <c r="K16535" s="24" t="s">
        <v>4191</v>
      </c>
      <c r="L16535" s="22" t="s">
        <v>10</v>
      </c>
      <c r="M16535" s="25">
        <v>179140</v>
      </c>
      <c r="N16535" s="27">
        <v>2.3347202958853445E-2</v>
      </c>
    </row>
    <row r="16536" spans="1:14" hidden="1" outlineLevel="1" x14ac:dyDescent="0.2">
      <c r="A16536" s="23" t="str">
        <f>HYPERLINK("https://www.spark-marketing.ru/Card/Person/24598", "ГБУЗ СО ""ТГКБ №1""")</f>
        <v>ГБУЗ СО "ТГКБ №1"</v>
      </c>
      <c r="B16536" s="24" t="s">
        <v>21627</v>
      </c>
      <c r="C16536" s="25">
        <v>183422.4</v>
      </c>
      <c r="D16536" s="22" t="s">
        <v>21628</v>
      </c>
      <c r="E16536" s="22" t="s">
        <v>48</v>
      </c>
      <c r="F16536" s="23" t="str">
        <f>HYPERLINK("https://www.spark-marketing.ru/Card/Lot/71412976",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""Тольяттинская городская клиническая больница №1""")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"Тольяттинская городская клиническая больница №1"</v>
      </c>
      <c r="G16536" s="22" t="s">
        <v>128</v>
      </c>
      <c r="H16536" s="22" t="s">
        <v>2819</v>
      </c>
      <c r="I16536" s="26">
        <v>43633.630555555603</v>
      </c>
      <c r="J16536" s="23" t="str">
        <f>HYPERLINK("https://www.spark-marketing.ru/Card/Person/31748", "ЧУСТРИ ""АРАХНА"" ТГООИВ")</f>
        <v>ЧУСТРИ "АРАХНА" ТГООИВ</v>
      </c>
      <c r="K16536" s="24" t="s">
        <v>14531</v>
      </c>
      <c r="L16536" s="28" t="s">
        <v>51</v>
      </c>
      <c r="M16536" s="25">
        <v>183422.4</v>
      </c>
      <c r="N16536" s="27">
        <v>0</v>
      </c>
    </row>
    <row r="16537" spans="1:14" x14ac:dyDescent="0.15">
      <c r="A16537" s="23" t="str">
        <f>HYPERLINK("https://www.spark-marketing.ru/Card/Person/103664", "МО МВД РОССИИ ""КОЗЬМОДЕМЬЯНСКИЙ""")</f>
        <v>МО МВД РОССИИ "КОЗЬМОДЕМЬЯНСКИЙ"</v>
      </c>
      <c r="B16537" s="24" t="s">
        <v>11761</v>
      </c>
      <c r="C16537" s="25">
        <v>400000</v>
      </c>
      <c r="D16537" s="22" t="s">
        <v>21629</v>
      </c>
      <c r="E16537" s="22" t="s">
        <v>96</v>
      </c>
      <c r="F16537" s="23" t="str">
        <f>HYPERLINK("https://www.spark-marketing.ru/Card/Lot/71419333", "Услуги по обеспечению трехразовым питанием подозреваемых и обвиняемых в совершении преступлений, лиц подвергнутых административному аресту, находящихся в ИВС МО МВД России «Козьмодемьянский», и лиц, задержанных за административные правонарушения и со...")</f>
        <v>Услуги по обеспечению трехразовым питанием подозреваемых и обвиняемых в совершении преступлений, лиц подвергнутых административному аресту, находящихся в ИВС МО МВД России «Козьмодемьянский», и лиц, задержанных за административные правонарушения и со...</v>
      </c>
      <c r="G16537" s="22" t="s">
        <v>3249</v>
      </c>
      <c r="H16537" s="22" t="s">
        <v>11763</v>
      </c>
      <c r="I16537" s="26">
        <v>43633.637499999997</v>
      </c>
      <c r="J16537" s="28" t="s">
        <v>51</v>
      </c>
      <c r="K16537" s="28" t="s">
        <v>51</v>
      </c>
      <c r="L16537" s="28" t="s">
        <v>51</v>
      </c>
      <c r="M16537" s="28" t="s">
        <v>51</v>
      </c>
      <c r="N16537" s="28" t="s">
        <v>51</v>
      </c>
    </row>
    <row r="16538" spans="1:14" x14ac:dyDescent="0.15">
      <c r="A16538" s="23" t="str">
        <f>HYPERLINK("https://www.spark-marketing.ru/Card/Person/1778207", "МАУДО «ЦТДТ»")</f>
        <v>МАУДО «ЦТДТ»</v>
      </c>
      <c r="B16538" s="24" t="s">
        <v>15606</v>
      </c>
      <c r="C16538" s="25">
        <v>220500</v>
      </c>
      <c r="D16538" s="22" t="s">
        <v>21630</v>
      </c>
      <c r="E16538" s="22" t="s">
        <v>362</v>
      </c>
      <c r="F16538" s="23" t="str">
        <f>HYPERLINK("https://www.spark-marketing.ru/Card/Lot/71410451", "Организация питания детей в загородном палаточном лагере 2 смена ""Ратники""")</f>
        <v>Организация питания детей в загородном палаточном лагере 2 смена "Ратники"</v>
      </c>
      <c r="G16538" s="22" t="s">
        <v>766</v>
      </c>
      <c r="H16538" s="22" t="s">
        <v>766</v>
      </c>
      <c r="I16538" s="26">
        <v>43633.660324074102</v>
      </c>
      <c r="J16538" s="28" t="s">
        <v>51</v>
      </c>
      <c r="K16538" s="28" t="s">
        <v>51</v>
      </c>
      <c r="L16538" s="28" t="s">
        <v>51</v>
      </c>
      <c r="M16538" s="28" t="s">
        <v>51</v>
      </c>
      <c r="N16538" s="28" t="s">
        <v>51</v>
      </c>
    </row>
    <row r="16539" spans="1:14" x14ac:dyDescent="0.15">
      <c r="A16539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6539" s="24" t="s">
        <v>4297</v>
      </c>
      <c r="C16539" s="25">
        <v>315000</v>
      </c>
      <c r="D16539" s="22" t="s">
        <v>21631</v>
      </c>
      <c r="E16539" s="22" t="s">
        <v>48</v>
      </c>
      <c r="F16539" s="23" t="str">
        <f>HYPERLINK("https://www.spark-marketing.ru/Card/Lot/71399061",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</v>
      </c>
      <c r="G16539" s="22" t="s">
        <v>1096</v>
      </c>
      <c r="H16539" s="22" t="s">
        <v>4299</v>
      </c>
      <c r="I16539" s="26">
        <v>43633.628472222197</v>
      </c>
      <c r="J16539" s="23" t="str">
        <f>HYPERLINK("https://www.spark-marketing.ru/Card/Person/172041", "МУП КШП № 2")</f>
        <v>МУП КШП № 2</v>
      </c>
      <c r="K16539" s="24" t="s">
        <v>16678</v>
      </c>
      <c r="L16539" s="22" t="s">
        <v>10</v>
      </c>
      <c r="M16539" s="28" t="s">
        <v>51</v>
      </c>
      <c r="N16539" s="28" t="s">
        <v>51</v>
      </c>
    </row>
    <row r="16540" spans="1:14" x14ac:dyDescent="0.15">
      <c r="A16540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6540" s="24" t="s">
        <v>4297</v>
      </c>
      <c r="C16540" s="25">
        <v>116550</v>
      </c>
      <c r="D16540" s="22" t="s">
        <v>21632</v>
      </c>
      <c r="E16540" s="22" t="s">
        <v>48</v>
      </c>
      <c r="F16540" s="23" t="str">
        <f>HYPERLINK("https://www.spark-marketing.ru/Card/Lot/71409467",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</v>
      </c>
      <c r="G16540" s="22" t="s">
        <v>1096</v>
      </c>
      <c r="H16540" s="22" t="s">
        <v>4299</v>
      </c>
      <c r="I16540" s="26">
        <v>43633.629861111098</v>
      </c>
      <c r="J16540" s="23" t="str">
        <f>HYPERLINK("https://www.spark-marketing.ru/Card/Person/114397", "МОУ СОШ С УИОП № 16")</f>
        <v>МОУ СОШ С УИОП № 16</v>
      </c>
      <c r="K16540" s="24" t="s">
        <v>17223</v>
      </c>
      <c r="L16540" s="22" t="s">
        <v>10</v>
      </c>
      <c r="M16540" s="28" t="s">
        <v>51</v>
      </c>
      <c r="N16540" s="28" t="s">
        <v>51</v>
      </c>
    </row>
    <row r="16541" spans="1:14" x14ac:dyDescent="0.15">
      <c r="A16541" s="23" t="str">
        <f>HYPERLINK("https://www.spark-marketing.ru/Card/Person/127159", "ГБУЗ ЕКВД")</f>
        <v>ГБУЗ ЕКВД</v>
      </c>
      <c r="B16541" s="24" t="s">
        <v>21633</v>
      </c>
      <c r="C16541" s="25">
        <v>289872</v>
      </c>
      <c r="D16541" s="22" t="s">
        <v>21634</v>
      </c>
      <c r="E16541" s="22" t="s">
        <v>48</v>
      </c>
      <c r="F16541" s="23" t="str">
        <f>HYPERLINK("https://www.spark-marketing.ru/Card/Lot/71418173", "услуга по организации лечебного питания")</f>
        <v>услуга по организации лечебного питания</v>
      </c>
      <c r="G16541" s="22" t="s">
        <v>104</v>
      </c>
      <c r="H16541" s="22" t="s">
        <v>7133</v>
      </c>
      <c r="I16541" s="26">
        <v>43633.633333333302</v>
      </c>
      <c r="J16541" s="23" t="str">
        <f>HYPERLINK("https://www.spark-marketing.ru/Card/Person/4922904", "ООО ""КЕЙТЕРИНГ-ЮГ""")</f>
        <v>ООО "КЕЙТЕРИНГ-ЮГ"</v>
      </c>
      <c r="K16541" s="24" t="s">
        <v>7134</v>
      </c>
      <c r="L16541" s="22" t="s">
        <v>10</v>
      </c>
      <c r="M16541" s="28" t="s">
        <v>51</v>
      </c>
      <c r="N16541" s="28" t="s">
        <v>51</v>
      </c>
    </row>
    <row r="16542" spans="1:14" x14ac:dyDescent="0.15">
      <c r="A16542" s="23" t="str">
        <f>HYPERLINK("https://www.spark-marketing.ru/Card/Person/1018422", "МАУ ""СШ № 4""")</f>
        <v>МАУ "СШ № 4"</v>
      </c>
      <c r="B16542" s="24" t="s">
        <v>17799</v>
      </c>
      <c r="C16542" s="25">
        <v>171875</v>
      </c>
      <c r="D16542" s="22" t="s">
        <v>21635</v>
      </c>
      <c r="E16542" s="22" t="s">
        <v>1921</v>
      </c>
      <c r="F16542" s="23" t="str">
        <f>HYPERLINK("https://www.spark-marketing.ru/Card/Lot/71412182", "Услуги по организации проживания и питания во время тренировочного мероприятия по лыжным гонкам")</f>
        <v>Услуги по организации проживания и питания во время тренировочного мероприятия по лыжным гонкам</v>
      </c>
      <c r="G16542" s="22" t="s">
        <v>503</v>
      </c>
      <c r="H16542" s="22" t="s">
        <v>503</v>
      </c>
      <c r="I16542" s="26">
        <v>43633.6571064815</v>
      </c>
      <c r="J16542" s="28" t="s">
        <v>51</v>
      </c>
      <c r="K16542" s="28" t="s">
        <v>51</v>
      </c>
      <c r="L16542" s="28" t="s">
        <v>51</v>
      </c>
      <c r="M16542" s="28" t="s">
        <v>51</v>
      </c>
      <c r="N16542" s="28" t="s">
        <v>51</v>
      </c>
    </row>
    <row r="16543" spans="1:14" x14ac:dyDescent="0.2">
      <c r="A16543" s="23" t="str">
        <f>HYPERLINK("https://www.spark-marketing.ru/Card/Person/1605394", "МАОУ ""СОШ № 4""")</f>
        <v>МАОУ "СОШ № 4"</v>
      </c>
      <c r="B16543" s="24" t="s">
        <v>21636</v>
      </c>
      <c r="C16543" s="25">
        <v>7583210</v>
      </c>
      <c r="D16543" s="22" t="s">
        <v>21637</v>
      </c>
      <c r="E16543" s="22" t="s">
        <v>362</v>
      </c>
      <c r="F16543" s="23" t="str">
        <f>HYPERLINK("https://www.spark-marketing.ru/Card/Lot/71408848", "Оказание услуг по организации питания для учащихся МАОУ «СОШ №4» с 01.09.2019 г.")</f>
        <v>Оказание услуг по организации питания для учащихся МАОУ «СОШ №4» с 01.09.2019 г.</v>
      </c>
      <c r="G16543" s="22" t="s">
        <v>174</v>
      </c>
      <c r="H16543" s="22" t="s">
        <v>174</v>
      </c>
      <c r="I16543" s="26">
        <v>43633.666342592602</v>
      </c>
      <c r="J16543" s="23" t="str">
        <f>HYPERLINK("https://www.spark-marketing.ru/Card/Person/1036009", "МБУ ""КДП""")</f>
        <v>МБУ "КДП"</v>
      </c>
      <c r="K16543" s="24" t="s">
        <v>21638</v>
      </c>
      <c r="L16543" s="28" t="s">
        <v>51</v>
      </c>
      <c r="M16543" s="25">
        <v>7583210</v>
      </c>
      <c r="N16543" s="27">
        <v>0</v>
      </c>
    </row>
    <row r="16544" spans="1:14" x14ac:dyDescent="0.2">
      <c r="A16544" s="23" t="str">
        <f>HYPERLINK("https://www.spark-marketing.ru/Card/Person/4348382", "ООО ""ГАЗПРОМ ПИТАНИЕ""")</f>
        <v>ООО "ГАЗПРОМ ПИТАНИЕ"</v>
      </c>
      <c r="B16544" s="24" t="s">
        <v>2869</v>
      </c>
      <c r="C16544" s="25">
        <v>319384</v>
      </c>
      <c r="D16544" s="22" t="s">
        <v>21639</v>
      </c>
      <c r="E16544" s="22" t="s">
        <v>21640</v>
      </c>
      <c r="F16544" s="23" t="str">
        <f>HYPERLINK("https://www.spark-marketing.ru/Card/Lot/71413451", "Услуги по проведению периодических медицинских осмотров для нужд филиала Астраханское УООП ООО ""Газпром питание""")</f>
        <v>Услуги по проведению периодических медицинских осмотров для нужд филиала Астраханское УООП ООО "Газпром питание"</v>
      </c>
      <c r="G16544" s="22" t="s">
        <v>56</v>
      </c>
      <c r="H16544" s="22" t="s">
        <v>56</v>
      </c>
      <c r="I16544" s="26">
        <v>43633.646064814799</v>
      </c>
      <c r="J16544" s="28" t="s">
        <v>51</v>
      </c>
      <c r="K16544" s="28" t="s">
        <v>51</v>
      </c>
      <c r="L16544" s="22" t="s">
        <v>10</v>
      </c>
      <c r="M16544" s="25">
        <v>319384</v>
      </c>
      <c r="N16544" s="27">
        <v>0</v>
      </c>
    </row>
    <row r="16545" spans="1:14" x14ac:dyDescent="0.15">
      <c r="A16545" s="23" t="str">
        <f>HYPERLINK("https://www.spark-marketing.ru/Card/Person/5836", "БУЗ УР ""ГКБ № 6 МЗ УР""")</f>
        <v>БУЗ УР "ГКБ № 6 МЗ УР"</v>
      </c>
      <c r="B16545" s="24" t="s">
        <v>7308</v>
      </c>
      <c r="C16545" s="25">
        <v>6104700</v>
      </c>
      <c r="D16545" s="22" t="s">
        <v>21641</v>
      </c>
      <c r="E16545" s="22" t="s">
        <v>51</v>
      </c>
      <c r="F16545" s="23" t="str">
        <f>HYPERLINK("https://www.spark-marketing.ru/Card/Lot/71431755", "№ зз-20268-19 Услуги по организации лечебного питания пациентов стационара больничного комплекса №2 и детского стационара больничного комплекса №2 БУЗ УР «ГКБ №6 МЗ УР»")</f>
        <v>№ зз-20268-19 Услуги по организации лечебного питания пациентов стационара больничного комплекса №2 и детского стационара больничного комплекса №2 БУЗ УР «ГКБ №6 МЗ УР»</v>
      </c>
      <c r="G16545" s="22" t="s">
        <v>852</v>
      </c>
      <c r="H16545" s="22" t="s">
        <v>2477</v>
      </c>
      <c r="I16545" s="26">
        <v>43633.629861111098</v>
      </c>
      <c r="J16545" s="23" t="str">
        <f>HYPERLINK("https://www.spark-marketing.ru/Card/Person/2039993", "ООО ""ЛИГУРИЯ""")</f>
        <v>ООО "ЛИГУРИЯ"</v>
      </c>
      <c r="K16545" s="24" t="s">
        <v>7311</v>
      </c>
      <c r="L16545" s="22" t="s">
        <v>10</v>
      </c>
      <c r="M16545" s="28" t="s">
        <v>51</v>
      </c>
      <c r="N16545" s="28" t="s">
        <v>51</v>
      </c>
    </row>
    <row r="16546" spans="1:14" x14ac:dyDescent="0.15">
      <c r="A16546" s="23" t="str">
        <f>HYPERLINK("https://www.spark-marketing.ru/Card/Person/4192", "ГУ - АМУРСКОЕ РО ФОНДА СОЦИАЛЬНОГО СТРАХОВАНИЯ РОССИЙСКОЙ ФЕДЕРАЦИИ")</f>
        <v>ГУ - АМУРСКОЕ РО ФОНДА СОЦИАЛЬНОГО СТРАХОВАНИЯ РОССИЙСКОЙ ФЕДЕРАЦИИ</v>
      </c>
      <c r="B16546" s="24" t="s">
        <v>11350</v>
      </c>
      <c r="C16546" s="25">
        <v>943261.2</v>
      </c>
      <c r="D16546" s="22" t="s">
        <v>21642</v>
      </c>
      <c r="E16546" s="22" t="s">
        <v>86</v>
      </c>
      <c r="F16546" s="23" t="str">
        <f>HYPERLINK("https://www.spark-marketing.ru/Card/Lot/71424600", "Оказание услуг по санаторно-курортному лечению граждан, имеющих право на получение государственной социальной помощи в виде набора социальных услуг (кроме детей-инвалидов) по классу МКБ - 10 :IV «Болезни эндокринной системы, расстройства питания и на...")</f>
        <v>Оказание услуг по санаторно-курортному лечению граждан, имеющих право на получение государственной социальной помощи в виде набора социальных услуг (кроме детей-инвалидов) по классу МКБ - 10 :IV «Болезни эндокринной системы, расстройства питания и на...</v>
      </c>
      <c r="G16546" s="22" t="s">
        <v>543</v>
      </c>
      <c r="H16546" s="22" t="s">
        <v>543</v>
      </c>
      <c r="I16546" s="26">
        <v>43633.640277777798</v>
      </c>
      <c r="J16546" s="23" t="str">
        <f>HYPERLINK("https://www.spark-marketing.ru/Card/Person/162675", "ООО ""САНАТОРИЙ ""ИЗУМРУДНЫЙ""")</f>
        <v>ООО "САНАТОРИЙ "ИЗУМРУДНЫЙ"</v>
      </c>
      <c r="K16546" s="24" t="s">
        <v>15945</v>
      </c>
      <c r="L16546" s="22" t="s">
        <v>10</v>
      </c>
      <c r="M16546" s="28" t="s">
        <v>51</v>
      </c>
      <c r="N16546" s="28" t="s">
        <v>51</v>
      </c>
    </row>
    <row r="16547" spans="1:14" x14ac:dyDescent="0.15">
      <c r="A16547" s="23" t="str">
        <f>HYPERLINK("https://www.spark-marketing.ru/Card/Person/4343727", "УПРАВЛЕНИЕ ДЕЛАМИ ПРАВИТЕЛЬСТВА И РАЗВИТИЯ КАДРОВОГО ПОТЕНЦИАЛА НИЖЕГОРОДСКОЙ ОБЛАСТИ")</f>
        <v>УПРАВЛЕНИЕ ДЕЛАМИ ПРАВИТЕЛЬСТВА И РАЗВИТИЯ КАДРОВОГО ПОТЕНЦИАЛА НИЖЕГОРОДСКОЙ ОБЛАСТИ</v>
      </c>
      <c r="B16547" s="24" t="s">
        <v>21643</v>
      </c>
      <c r="C16547" s="25">
        <v>1350000</v>
      </c>
      <c r="D16547" s="22" t="s">
        <v>21644</v>
      </c>
      <c r="E16547" s="22" t="s">
        <v>48</v>
      </c>
      <c r="F16547" s="23" t="str">
        <f>HYPERLINK("https://www.spark-marketing.ru/Card/Lot/71428763", "Оказание услуг по обеспечению горячим питанием паломников в связи с проведением праздничных мероприятий, посвященных Дню памяти Преподобного Серафима Саровского в 2019 году")</f>
        <v>Оказание услуг по обеспечению горячим питанием паломников в связи с проведением праздничных мероприятий, посвященных Дню памяти Преподобного Серафима Саровского в 2019 году</v>
      </c>
      <c r="G16547" s="22" t="s">
        <v>76</v>
      </c>
      <c r="H16547" s="22" t="s">
        <v>940</v>
      </c>
      <c r="I16547" s="26">
        <v>43633.660416666702</v>
      </c>
      <c r="J16547" s="23" t="str">
        <f>HYPERLINK("https://www.spark-marketing.ru/Card/Person/1268766", "П/О ""УЮТ""")</f>
        <v>П/О "УЮТ"</v>
      </c>
      <c r="K16547" s="24" t="s">
        <v>21645</v>
      </c>
      <c r="L16547" s="22" t="s">
        <v>10</v>
      </c>
      <c r="M16547" s="28" t="s">
        <v>51</v>
      </c>
      <c r="N16547" s="28" t="s">
        <v>51</v>
      </c>
    </row>
    <row r="16548" spans="1:14" x14ac:dyDescent="0.15">
      <c r="A16548" s="23" t="str">
        <f>HYPERLINK("https://www.spark-marketing.ru/Card/Person/1778207", "МАУДО «ЦТДТ»")</f>
        <v>МАУДО «ЦТДТ»</v>
      </c>
      <c r="B16548" s="24" t="s">
        <v>15606</v>
      </c>
      <c r="C16548" s="25">
        <v>220500</v>
      </c>
      <c r="D16548" s="22" t="s">
        <v>21646</v>
      </c>
      <c r="E16548" s="22" t="s">
        <v>362</v>
      </c>
      <c r="F16548" s="23" t="str">
        <f>HYPERLINK("https://www.spark-marketing.ru/Card/Lot/71407600", "Организация питания детей в загородном палаточном лагере 1 смена ""Ратники""")</f>
        <v>Организация питания детей в загородном палаточном лагере 1 смена "Ратники"</v>
      </c>
      <c r="G16548" s="22" t="s">
        <v>766</v>
      </c>
      <c r="H16548" s="22" t="s">
        <v>21647</v>
      </c>
      <c r="I16548" s="26">
        <v>43633.650474536997</v>
      </c>
      <c r="J16548" s="28" t="s">
        <v>51</v>
      </c>
      <c r="K16548" s="28" t="s">
        <v>51</v>
      </c>
      <c r="L16548" s="28" t="s">
        <v>51</v>
      </c>
      <c r="M16548" s="28" t="s">
        <v>51</v>
      </c>
      <c r="N16548" s="28" t="s">
        <v>51</v>
      </c>
    </row>
    <row r="16549" spans="1:14" x14ac:dyDescent="0.15">
      <c r="A16549" s="23" t="str">
        <f>HYPERLINK("https://www.spark-marketing.ru/Card/Person/1037343", "МКУ ""АГЕНТСТВО РАЗВИТИЯ СОЦИАЛЬНОЙ ПОЛИТИКИ""")</f>
        <v>МКУ "АГЕНТСТВО РАЗВИТИЯ СОЦИАЛЬНОЙ ПОЛИТИКИ"</v>
      </c>
      <c r="B16549" s="24" t="s">
        <v>13494</v>
      </c>
      <c r="C16549" s="25">
        <v>300000</v>
      </c>
      <c r="D16549" s="22" t="s">
        <v>21648</v>
      </c>
      <c r="E16549" s="22" t="s">
        <v>48</v>
      </c>
      <c r="F16549" s="23" t="str">
        <f>HYPERLINK("https://www.spark-marketing.ru/Card/Lot/71418669", "Оказание услуг по организации, проведению и обслуживанию питания (кофе-брейки) участников форума «Новосибирск-город безграничных возможностей»")</f>
        <v>Оказание услуг по организации, проведению и обслуживанию питания (кофе-брейки) участников форума «Новосибирск-город безграничных возможностей»</v>
      </c>
      <c r="G16549" s="22" t="s">
        <v>195</v>
      </c>
      <c r="H16549" s="22" t="s">
        <v>196</v>
      </c>
      <c r="I16549" s="26">
        <v>43633.637499999997</v>
      </c>
      <c r="J16549" s="28" t="s">
        <v>51</v>
      </c>
      <c r="K16549" s="28" t="s">
        <v>51</v>
      </c>
      <c r="L16549" s="28" t="s">
        <v>51</v>
      </c>
      <c r="M16549" s="28" t="s">
        <v>51</v>
      </c>
      <c r="N16549" s="28" t="s">
        <v>51</v>
      </c>
    </row>
    <row r="16550" spans="1:14" ht="12.75" hidden="1" outlineLevel="1" x14ac:dyDescent="0.2">
      <c r="A16550" s="23" t="str">
        <f>HYPERLINK("https://www.spark-marketing.ru/Card/Person/1037343", "МКУ ""АГЕНТСТВО РАЗВИТИЯ СОЦИАЛЬНОЙ ПОЛИТИКИ""")</f>
        <v>МКУ "АГЕНТСТВО РАЗВИТИЯ СОЦИАЛЬНОЙ ПОЛИТИКИ"</v>
      </c>
      <c r="B16550" s="24" t="s">
        <v>13494</v>
      </c>
      <c r="C16550" s="25">
        <v>300000</v>
      </c>
      <c r="D16550" s="22" t="s">
        <v>21648</v>
      </c>
      <c r="E16550" s="22" t="s">
        <v>48</v>
      </c>
      <c r="F16550" s="23" t="str">
        <f>HYPERLINK("https://www.spark-marketing.ru/Card/Lot/71418669", "Оказание услуг по организации, проведению и обслуживанию питания (кофе-брейки) участников форума «Новосибирск-город безграничных возможностей»")</f>
        <v>Оказание услуг по организации, проведению и обслуживанию питания (кофе-брейки) участников форума «Новосибирск-город безграничных возможностей»</v>
      </c>
      <c r="G16550" s="22" t="s">
        <v>195</v>
      </c>
      <c r="H16550" s="22" t="s">
        <v>196</v>
      </c>
      <c r="I16550" s="26">
        <v>43633.637499999997</v>
      </c>
      <c r="J16550" s="23" t="str">
        <f>HYPERLINK("https://www.spark-marketing.ru/Card/Person/6448779", "Гресь Александр Станиславович")</f>
        <v>Гресь Александр Станиславович</v>
      </c>
      <c r="K16550" s="24" t="s">
        <v>21649</v>
      </c>
      <c r="L16550" s="22" t="s">
        <v>10</v>
      </c>
      <c r="M16550" s="25">
        <v>265500</v>
      </c>
      <c r="N16550" s="27">
        <v>0.115</v>
      </c>
    </row>
    <row r="16551" spans="1:14" hidden="1" outlineLevel="1" x14ac:dyDescent="0.2">
      <c r="A16551" s="23" t="str">
        <f>HYPERLINK("https://www.spark-marketing.ru/Card/Person/1037343", "МКУ ""АГЕНТСТВО РАЗВИТИЯ СОЦИАЛЬНОЙ ПОЛИТИКИ""")</f>
        <v>МКУ "АГЕНТСТВО РАЗВИТИЯ СОЦИАЛЬНОЙ ПОЛИТИКИ"</v>
      </c>
      <c r="B16551" s="24" t="s">
        <v>13494</v>
      </c>
      <c r="C16551" s="25">
        <v>300000</v>
      </c>
      <c r="D16551" s="22" t="s">
        <v>21648</v>
      </c>
      <c r="E16551" s="22" t="s">
        <v>48</v>
      </c>
      <c r="F16551" s="23" t="str">
        <f>HYPERLINK("https://www.spark-marketing.ru/Card/Lot/71418669", "Оказание услуг по организации, проведению и обслуживанию питания (кофе-брейки) участников форума «Новосибирск-город безграничных возможностей»")</f>
        <v>Оказание услуг по организации, проведению и обслуживанию питания (кофе-брейки) участников форума «Новосибирск-город безграничных возможностей»</v>
      </c>
      <c r="G16551" s="22" t="s">
        <v>195</v>
      </c>
      <c r="H16551" s="22" t="s">
        <v>196</v>
      </c>
      <c r="I16551" s="26">
        <v>43633.637499999997</v>
      </c>
      <c r="J16551" s="23" t="str">
        <f>HYPERLINK("https://www.spark-marketing.ru/Card/Person/153415", "Пригаров Денис Владимирович")</f>
        <v>Пригаров Денис Владимирович</v>
      </c>
      <c r="K16551" s="24" t="s">
        <v>2754</v>
      </c>
      <c r="L16551" s="28" t="s">
        <v>51</v>
      </c>
      <c r="M16551" s="25">
        <v>267000</v>
      </c>
      <c r="N16551" s="27">
        <v>0.11</v>
      </c>
    </row>
    <row r="16552" spans="1:14" x14ac:dyDescent="0.15">
      <c r="A16552" s="23" t="s">
        <v>114</v>
      </c>
      <c r="B16552" s="28" t="s">
        <v>51</v>
      </c>
      <c r="C16552" s="25">
        <v>497713.37</v>
      </c>
      <c r="D16552" s="22" t="s">
        <v>21650</v>
      </c>
      <c r="E16552" s="22" t="s">
        <v>9738</v>
      </c>
      <c r="F16552" s="23" t="str">
        <f t="shared" ref="F16552:F16558" si="559">HYPERLINK("https://www.spark-marketing.ru/Card/Lot/71422306", "Оказание услуг по лицензионному обслуживанию программного продукта «Парус- Бюджет»")</f>
        <v>Оказание услуг по лицензионному обслуживанию программного продукта «Парус- Бюджет»</v>
      </c>
      <c r="G16552" s="22" t="s">
        <v>51</v>
      </c>
      <c r="H16552" s="22" t="s">
        <v>51</v>
      </c>
      <c r="I16552" s="26">
        <v>43633.5847222222</v>
      </c>
      <c r="J16552" s="23" t="str">
        <f t="shared" ref="J16552:J16558" si="560">HYPERLINK("https://www.spark-marketing.ru/Card/Person/4396539", "ООО ""ПАРУС-ОНЛАЙН""")</f>
        <v>ООО "ПАРУС-ОНЛАЙН"</v>
      </c>
      <c r="K16552" s="24" t="s">
        <v>21651</v>
      </c>
      <c r="L16552" s="22" t="s">
        <v>10</v>
      </c>
      <c r="M16552" s="28" t="s">
        <v>51</v>
      </c>
      <c r="N16552" s="28" t="s">
        <v>51</v>
      </c>
    </row>
    <row r="16553" spans="1:14" hidden="1" outlineLevel="1" x14ac:dyDescent="0.15">
      <c r="A16553" s="23" t="str">
        <f>HYPERLINK("https://www.spark-marketing.ru/Card/Person/70582", "ГБССУ СО ГПВИ ""БУДАРИНСКИЙ ПНИ""")</f>
        <v>ГБССУ СО ГПВИ "БУДАРИНСКИЙ ПНИ"</v>
      </c>
      <c r="B16553" s="24" t="s">
        <v>21652</v>
      </c>
      <c r="C16553" s="25">
        <v>59500</v>
      </c>
      <c r="D16553" s="22" t="s">
        <v>21650</v>
      </c>
      <c r="E16553" s="22" t="s">
        <v>9738</v>
      </c>
      <c r="F16553" s="23" t="str">
        <f t="shared" si="559"/>
        <v>Оказание услуг по лицензионному обслуживанию программного продукта «Парус- Бюджет»</v>
      </c>
      <c r="G16553" s="22" t="s">
        <v>158</v>
      </c>
      <c r="H16553" s="22" t="s">
        <v>21018</v>
      </c>
      <c r="I16553" s="26">
        <v>43633.5847222222</v>
      </c>
      <c r="J16553" s="23" t="str">
        <f t="shared" si="560"/>
        <v>ООО "ПАРУС-ОНЛАЙН"</v>
      </c>
      <c r="K16553" s="24" t="s">
        <v>21651</v>
      </c>
      <c r="L16553" s="22" t="s">
        <v>10</v>
      </c>
      <c r="M16553" s="28" t="s">
        <v>51</v>
      </c>
      <c r="N16553" s="28" t="s">
        <v>51</v>
      </c>
    </row>
    <row r="16554" spans="1:14" hidden="1" outlineLevel="1" x14ac:dyDescent="0.15">
      <c r="A16554" s="23" t="str">
        <f>HYPERLINK("https://www.spark-marketing.ru/Card/Person/107667", "ГБССУ СО ГПВИ ""АБГАНЕРОВСКИЙ ДПИ""")</f>
        <v>ГБССУ СО ГПВИ "АБГАНЕРОВСКИЙ ДПИ"</v>
      </c>
      <c r="B16554" s="24" t="s">
        <v>21653</v>
      </c>
      <c r="C16554" s="25">
        <v>94189.99</v>
      </c>
      <c r="D16554" s="22" t="s">
        <v>21650</v>
      </c>
      <c r="E16554" s="22" t="s">
        <v>9738</v>
      </c>
      <c r="F16554" s="23" t="str">
        <f t="shared" si="559"/>
        <v>Оказание услуг по лицензионному обслуживанию программного продукта «Парус- Бюджет»</v>
      </c>
      <c r="G16554" s="22" t="s">
        <v>158</v>
      </c>
      <c r="H16554" s="22" t="s">
        <v>465</v>
      </c>
      <c r="I16554" s="26">
        <v>43633.5847222222</v>
      </c>
      <c r="J16554" s="23" t="str">
        <f t="shared" si="560"/>
        <v>ООО "ПАРУС-ОНЛАЙН"</v>
      </c>
      <c r="K16554" s="24" t="s">
        <v>21651</v>
      </c>
      <c r="L16554" s="22" t="s">
        <v>10</v>
      </c>
      <c r="M16554" s="28" t="s">
        <v>51</v>
      </c>
      <c r="N16554" s="28" t="s">
        <v>51</v>
      </c>
    </row>
    <row r="16555" spans="1:14" hidden="1" outlineLevel="1" x14ac:dyDescent="0.15">
      <c r="A16555" s="23" t="str">
        <f>HYPERLINK("https://www.spark-marketing.ru/Card/Person/129154", "ГБССУ СО ГПВИ ""ЗАПЛАВИНСКИЙ ПНИ""")</f>
        <v>ГБССУ СО ГПВИ "ЗАПЛАВИНСКИЙ ПНИ"</v>
      </c>
      <c r="B16555" s="24" t="s">
        <v>21654</v>
      </c>
      <c r="C16555" s="25">
        <v>90823.360000000001</v>
      </c>
      <c r="D16555" s="22" t="s">
        <v>21650</v>
      </c>
      <c r="E16555" s="22" t="s">
        <v>9738</v>
      </c>
      <c r="F16555" s="23" t="str">
        <f t="shared" si="559"/>
        <v>Оказание услуг по лицензионному обслуживанию программного продукта «Парус- Бюджет»</v>
      </c>
      <c r="G16555" s="22" t="s">
        <v>158</v>
      </c>
      <c r="H16555" s="22" t="s">
        <v>654</v>
      </c>
      <c r="I16555" s="26">
        <v>43633.5847222222</v>
      </c>
      <c r="J16555" s="23" t="str">
        <f t="shared" si="560"/>
        <v>ООО "ПАРУС-ОНЛАЙН"</v>
      </c>
      <c r="K16555" s="24" t="s">
        <v>21651</v>
      </c>
      <c r="L16555" s="22" t="s">
        <v>10</v>
      </c>
      <c r="M16555" s="28" t="s">
        <v>51</v>
      </c>
      <c r="N16555" s="28" t="s">
        <v>51</v>
      </c>
    </row>
    <row r="16556" spans="1:14" hidden="1" outlineLevel="1" x14ac:dyDescent="0.15">
      <c r="A16556" s="23" t="str">
        <f>HYPERLINK("https://www.spark-marketing.ru/Card/Person/134685", "ГКСУ СО ВОРЦДИ ""ДОВЕРИЕ""")</f>
        <v>ГКСУ СО ВОРЦДИ "ДОВЕРИЕ"</v>
      </c>
      <c r="B16556" s="24" t="s">
        <v>21655</v>
      </c>
      <c r="C16556" s="25">
        <v>58033.33</v>
      </c>
      <c r="D16556" s="22" t="s">
        <v>21650</v>
      </c>
      <c r="E16556" s="22" t="s">
        <v>9738</v>
      </c>
      <c r="F16556" s="23" t="str">
        <f t="shared" si="559"/>
        <v>Оказание услуг по лицензионному обслуживанию программного продукта «Парус- Бюджет»</v>
      </c>
      <c r="G16556" s="22" t="s">
        <v>158</v>
      </c>
      <c r="H16556" s="22" t="s">
        <v>171</v>
      </c>
      <c r="I16556" s="26">
        <v>43633.5847222222</v>
      </c>
      <c r="J16556" s="23" t="str">
        <f t="shared" si="560"/>
        <v>ООО "ПАРУС-ОНЛАЙН"</v>
      </c>
      <c r="K16556" s="24" t="s">
        <v>21651</v>
      </c>
      <c r="L16556" s="22" t="s">
        <v>10</v>
      </c>
      <c r="M16556" s="28" t="s">
        <v>51</v>
      </c>
      <c r="N16556" s="28" t="s">
        <v>51</v>
      </c>
    </row>
    <row r="16557" spans="1:14" hidden="1" outlineLevel="1" x14ac:dyDescent="0.15">
      <c r="A16557" s="23" t="str">
        <f>HYPERLINK("https://www.spark-marketing.ru/Card/Person/235686", "ГБССУ СО ГПВИ ""ДАНИЛОВСКИЙ ДПИ""")</f>
        <v>ГБССУ СО ГПВИ "ДАНИЛОВСКИЙ ДПИ"</v>
      </c>
      <c r="B16557" s="24" t="s">
        <v>21656</v>
      </c>
      <c r="C16557" s="25">
        <v>110296.69</v>
      </c>
      <c r="D16557" s="22" t="s">
        <v>21650</v>
      </c>
      <c r="E16557" s="22" t="s">
        <v>9738</v>
      </c>
      <c r="F16557" s="23" t="str">
        <f t="shared" si="559"/>
        <v>Оказание услуг по лицензионному обслуживанию программного продукта «Парус- Бюджет»</v>
      </c>
      <c r="G16557" s="22" t="s">
        <v>51</v>
      </c>
      <c r="H16557" s="22" t="s">
        <v>51</v>
      </c>
      <c r="I16557" s="26">
        <v>43633.5847222222</v>
      </c>
      <c r="J16557" s="23" t="str">
        <f t="shared" si="560"/>
        <v>ООО "ПАРУС-ОНЛАЙН"</v>
      </c>
      <c r="K16557" s="24" t="s">
        <v>21651</v>
      </c>
      <c r="L16557" s="22" t="s">
        <v>10</v>
      </c>
      <c r="M16557" s="28" t="s">
        <v>51</v>
      </c>
      <c r="N16557" s="28" t="s">
        <v>51</v>
      </c>
    </row>
    <row r="16558" spans="1:14" hidden="1" outlineLevel="1" x14ac:dyDescent="0.15">
      <c r="A16558" s="23" t="str">
        <f>HYPERLINK("https://www.spark-marketing.ru/Card/Person/1070636", "ГБССУ СО ГПВИ ""МАЧЕШАНСКИЙ ДПИ""")</f>
        <v>ГБССУ СО ГПВИ "МАЧЕШАНСКИЙ ДПИ"</v>
      </c>
      <c r="B16558" s="24" t="s">
        <v>21657</v>
      </c>
      <c r="C16558" s="25">
        <v>84870</v>
      </c>
      <c r="D16558" s="22" t="s">
        <v>21650</v>
      </c>
      <c r="E16558" s="22" t="s">
        <v>9738</v>
      </c>
      <c r="F16558" s="23" t="str">
        <f t="shared" si="559"/>
        <v>Оказание услуг по лицензионному обслуживанию программного продукта «Парус- Бюджет»</v>
      </c>
      <c r="G16558" s="22" t="s">
        <v>158</v>
      </c>
      <c r="H16558" s="22" t="s">
        <v>21658</v>
      </c>
      <c r="I16558" s="26">
        <v>43633.5847222222</v>
      </c>
      <c r="J16558" s="23" t="str">
        <f t="shared" si="560"/>
        <v>ООО "ПАРУС-ОНЛАЙН"</v>
      </c>
      <c r="K16558" s="24" t="s">
        <v>21651</v>
      </c>
      <c r="L16558" s="22" t="s">
        <v>10</v>
      </c>
      <c r="M16558" s="28" t="s">
        <v>51</v>
      </c>
      <c r="N16558" s="28" t="s">
        <v>51</v>
      </c>
    </row>
    <row r="16559" spans="1:14" x14ac:dyDescent="0.2">
      <c r="A16559" s="23" t="str">
        <f>HYPERLINK("https://www.spark-marketing.ru/Card/Person/635364", "МБУ ДОЛ ""СОЛНЕЧНЫЙ БЕРЕГ""")</f>
        <v>МБУ ДОЛ "СОЛНЕЧНЫЙ БЕРЕГ"</v>
      </c>
      <c r="B16559" s="24" t="s">
        <v>21659</v>
      </c>
      <c r="C16559" s="25">
        <v>1633800</v>
      </c>
      <c r="D16559" s="22" t="s">
        <v>21660</v>
      </c>
      <c r="E16559" s="22" t="s">
        <v>2273</v>
      </c>
      <c r="F16559" s="23" t="str">
        <f>HYPERLINK("https://www.spark-marketing.ru/Card/Lot/71408706", "услуги по организации качественного питания детей и сотрудников на период летних смен 2019 года для нужд муниципального бюджетного учреждения муниципального района Безенчукский Самарской области «Детский оздоровительный лагерь«Солнечный берег»")</f>
        <v>услуги по организации качественного питания детей и сотрудников на период летних смен 2019 года для нужд муниципального бюджетного учреждения муниципального района Безенчукский Самарской области «Детский оздоровительный лагерь«Солнечный берег»</v>
      </c>
      <c r="G16559" s="22" t="s">
        <v>128</v>
      </c>
      <c r="H16559" s="22" t="s">
        <v>128</v>
      </c>
      <c r="I16559" s="26">
        <v>43633.603298611102</v>
      </c>
      <c r="J16559" s="28" t="s">
        <v>51</v>
      </c>
      <c r="K16559" s="28" t="s">
        <v>51</v>
      </c>
      <c r="L16559" s="22" t="s">
        <v>10</v>
      </c>
      <c r="M16559" s="25">
        <v>1633800</v>
      </c>
      <c r="N16559" s="27">
        <v>0</v>
      </c>
    </row>
    <row r="16560" spans="1:14" x14ac:dyDescent="0.15">
      <c r="A16560" s="23" t="str">
        <f>HYPERLINK("https://www.spark-marketing.ru/Card/Person/655", "ОТДЕЛ МВД РОССИИ ПО Г. МАЙКОПУ")</f>
        <v>ОТДЕЛ МВД РОССИИ ПО Г. МАЙКОПУ</v>
      </c>
      <c r="B16560" s="24" t="s">
        <v>21661</v>
      </c>
      <c r="C16560" s="25">
        <v>9830783</v>
      </c>
      <c r="D16560" s="22" t="s">
        <v>21662</v>
      </c>
      <c r="E16560" s="22" t="s">
        <v>48</v>
      </c>
      <c r="F16560" s="23" t="str">
        <f>HYPERLINK("https://www.spark-marketing.ru/Card/Lot/71431563", "Оказание услуг по приготовлению пищи из продуктов «Исполнителя» для организации питания спецконтингента, содержащегося в ИВС, КСЗЛ и спецприемнике отдела МВД России по г. Майкопу в 2019, 2020 и 2021гг.")</f>
        <v>Оказание услуг по приготовлению пищи из продуктов «Исполнителя» для организации питания спецконтингента, содержащегося в ИВС, КСЗЛ и спецприемнике отдела МВД России по г. Майкопу в 2019, 2020 и 2021гг.</v>
      </c>
      <c r="G16560" s="22" t="s">
        <v>925</v>
      </c>
      <c r="H16560" s="22" t="s">
        <v>926</v>
      </c>
      <c r="I16560" s="26">
        <v>43633.593055555597</v>
      </c>
      <c r="J16560" s="23" t="str">
        <f>HYPERLINK("https://www.spark-marketing.ru/Card/Person/943735", "Сиюхова Бэла Каплановна")</f>
        <v>Сиюхова Бэла Каплановна</v>
      </c>
      <c r="K16560" s="24" t="s">
        <v>11121</v>
      </c>
      <c r="L16560" s="28" t="s">
        <v>51</v>
      </c>
      <c r="M16560" s="28" t="s">
        <v>51</v>
      </c>
      <c r="N16560" s="28" t="s">
        <v>51</v>
      </c>
    </row>
    <row r="16561" spans="1:14" hidden="1" outlineLevel="1" x14ac:dyDescent="0.15">
      <c r="A16561" s="23" t="str">
        <f>HYPERLINK("https://www.spark-marketing.ru/Card/Person/655", "ОТДЕЛ МВД РОССИИ ПО Г. МАЙКОПУ")</f>
        <v>ОТДЕЛ МВД РОССИИ ПО Г. МАЙКОПУ</v>
      </c>
      <c r="B16561" s="24" t="s">
        <v>21661</v>
      </c>
      <c r="C16561" s="25">
        <v>9830783</v>
      </c>
      <c r="D16561" s="22" t="s">
        <v>21662</v>
      </c>
      <c r="E16561" s="22" t="s">
        <v>48</v>
      </c>
      <c r="F16561" s="23" t="str">
        <f>HYPERLINK("https://www.spark-marketing.ru/Card/Lot/71431563", "Оказание услуг по приготовлению пищи из продуктов «Исполнителя» для организации питания спецконтингента, содержащегося в ИВС, КСЗЛ и спецприемнике отдела МВД России по г. Майкопу в 2019, 2020 и 2021гг.")</f>
        <v>Оказание услуг по приготовлению пищи из продуктов «Исполнителя» для организации питания спецконтингента, содержащегося в ИВС, КСЗЛ и спецприемнике отдела МВД России по г. Майкопу в 2019, 2020 и 2021гг.</v>
      </c>
      <c r="G16561" s="22" t="s">
        <v>925</v>
      </c>
      <c r="H16561" s="22" t="s">
        <v>926</v>
      </c>
      <c r="I16561" s="26">
        <v>43633.593055555597</v>
      </c>
      <c r="J16561" s="23" t="str">
        <f>HYPERLINK("https://www.spark-marketing.ru/Card/Person/943735", "Сиюхова Бэла Каплановна")</f>
        <v>Сиюхова Бэла Каплановна</v>
      </c>
      <c r="K16561" s="24" t="s">
        <v>11121</v>
      </c>
      <c r="L16561" s="22" t="s">
        <v>10</v>
      </c>
      <c r="M16561" s="28" t="s">
        <v>51</v>
      </c>
      <c r="N16561" s="28" t="s">
        <v>51</v>
      </c>
    </row>
    <row r="16562" spans="1:14" x14ac:dyDescent="0.15">
      <c r="A16562" s="23" t="str">
        <f>HYPERLINK("https://www.spark-marketing.ru/Card/Person/1024902", "МБОУ СОШ № 5")</f>
        <v>МБОУ СОШ № 5</v>
      </c>
      <c r="B16562" s="24" t="s">
        <v>6871</v>
      </c>
      <c r="C16562" s="25">
        <v>2595686.3999999999</v>
      </c>
      <c r="D16562" s="22" t="s">
        <v>21663</v>
      </c>
      <c r="E16562" s="22" t="s">
        <v>48</v>
      </c>
      <c r="F16562" s="23" t="str">
        <f>HYPERLINK("https://www.spark-marketing.ru/Card/Lot/71430393", "Оказание услуг по организации питания учащихся льготной категории")</f>
        <v>Оказание услуг по организации питания учащихся льготной категории</v>
      </c>
      <c r="G16562" s="22" t="s">
        <v>97</v>
      </c>
      <c r="H16562" s="22" t="s">
        <v>97</v>
      </c>
      <c r="I16562" s="26">
        <v>43633.5847222222</v>
      </c>
      <c r="J16562" s="23" t="str">
        <f>HYPERLINK("https://www.spark-marketing.ru/Card/Person/930688", "УП ""КОМБИНАТ ОБЩЕСТВЕННОГО ПИТАНИЯ"" ГОРОДА РАДУЖНЫЙ")</f>
        <v>УП "КОМБИНАТ ОБЩЕСТВЕННОГО ПИТАНИЯ" ГОРОДА РАДУЖНЫЙ</v>
      </c>
      <c r="K16562" s="24" t="s">
        <v>1428</v>
      </c>
      <c r="L16562" s="22" t="s">
        <v>10</v>
      </c>
      <c r="M16562" s="28" t="s">
        <v>51</v>
      </c>
      <c r="N16562" s="28" t="s">
        <v>51</v>
      </c>
    </row>
    <row r="16563" spans="1:14" x14ac:dyDescent="0.15">
      <c r="A16563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6563" s="24" t="s">
        <v>4297</v>
      </c>
      <c r="C16563" s="25">
        <v>327600</v>
      </c>
      <c r="D16563" s="22" t="s">
        <v>21664</v>
      </c>
      <c r="E16563" s="22" t="s">
        <v>48</v>
      </c>
      <c r="F16563" s="23" t="str">
        <f>HYPERLINK("https://www.spark-marketing.ru/Card/Lot/71398981",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6563" s="22" t="s">
        <v>1096</v>
      </c>
      <c r="H16563" s="22" t="s">
        <v>4299</v>
      </c>
      <c r="I16563" s="26">
        <v>43633.614583333299</v>
      </c>
      <c r="J16563" s="23" t="str">
        <f>HYPERLINK("https://www.spark-marketing.ru/Card/Person/1038864", "МОУ ГИМНАЗИЯ № 9")</f>
        <v>МОУ ГИМНАЗИЯ № 9</v>
      </c>
      <c r="K16563" s="24" t="s">
        <v>15646</v>
      </c>
      <c r="L16563" s="28" t="s">
        <v>51</v>
      </c>
      <c r="M16563" s="28" t="s">
        <v>51</v>
      </c>
      <c r="N16563" s="28" t="s">
        <v>51</v>
      </c>
    </row>
    <row r="16564" spans="1:14" x14ac:dyDescent="0.15">
      <c r="A16564" s="23" t="str">
        <f>HYPERLINK("https://www.spark-marketing.ru/Card/Person/243939", "МАУК ""ДК ""РОССИЯ""")</f>
        <v>МАУК "ДК "РОССИЯ"</v>
      </c>
      <c r="B16564" s="24" t="s">
        <v>21665</v>
      </c>
      <c r="C16564" s="25">
        <v>14700</v>
      </c>
      <c r="D16564" s="22" t="s">
        <v>21666</v>
      </c>
      <c r="E16564" s="22" t="s">
        <v>48</v>
      </c>
      <c r="F16564" s="23" t="str">
        <f>HYPERLINK("https://www.spark-marketing.ru/Card/Lot/71410337", "Организация питания при проведении музыкально-литературной композиции")</f>
        <v>Организация питания при проведении музыкально-литературной композиции</v>
      </c>
      <c r="G16564" s="22" t="s">
        <v>49</v>
      </c>
      <c r="H16564" s="22" t="s">
        <v>8231</v>
      </c>
      <c r="I16564" s="26">
        <v>43633.617893518502</v>
      </c>
      <c r="J16564" s="28" t="s">
        <v>51</v>
      </c>
      <c r="K16564" s="28" t="s">
        <v>51</v>
      </c>
      <c r="L16564" s="28" t="s">
        <v>51</v>
      </c>
      <c r="M16564" s="28" t="s">
        <v>51</v>
      </c>
      <c r="N16564" s="28" t="s">
        <v>51</v>
      </c>
    </row>
    <row r="16565" spans="1:14" x14ac:dyDescent="0.15">
      <c r="A16565" s="23" t="str">
        <f>HYPERLINK("https://www.spark-marketing.ru/Card/Person/24598", "ГБУЗ СО ""ТГКБ №1""")</f>
        <v>ГБУЗ СО "ТГКБ №1"</v>
      </c>
      <c r="B16565" s="24" t="s">
        <v>21627</v>
      </c>
      <c r="C16565" s="25">
        <v>415044</v>
      </c>
      <c r="D16565" s="22" t="s">
        <v>21667</v>
      </c>
      <c r="E16565" s="22" t="s">
        <v>48</v>
      </c>
      <c r="F16565" s="23" t="str">
        <f>HYPERLINK("https://www.spark-marketing.ru/Card/Lot/71420013",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""Тольяттинская городская клиническая больница №1""")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"Тольяттинская городская клиническая больница №1"</v>
      </c>
      <c r="G16565" s="22" t="s">
        <v>128</v>
      </c>
      <c r="H16565" s="22" t="s">
        <v>2819</v>
      </c>
      <c r="I16565" s="26">
        <v>43633.624305555597</v>
      </c>
      <c r="J16565" s="28" t="s">
        <v>51</v>
      </c>
      <c r="K16565" s="28" t="s">
        <v>51</v>
      </c>
      <c r="L16565" s="28" t="s">
        <v>51</v>
      </c>
      <c r="M16565" s="28" t="s">
        <v>51</v>
      </c>
      <c r="N16565" s="28" t="s">
        <v>51</v>
      </c>
    </row>
    <row r="16566" spans="1:14" ht="12.75" hidden="1" outlineLevel="1" x14ac:dyDescent="0.2">
      <c r="A16566" s="23" t="str">
        <f>HYPERLINK("https://www.spark-marketing.ru/Card/Person/24598", "ГБУЗ СО ""ТГКБ №1""")</f>
        <v>ГБУЗ СО "ТГКБ №1"</v>
      </c>
      <c r="B16566" s="24" t="s">
        <v>21627</v>
      </c>
      <c r="C16566" s="25">
        <v>415044</v>
      </c>
      <c r="D16566" s="22" t="s">
        <v>21667</v>
      </c>
      <c r="E16566" s="22" t="s">
        <v>48</v>
      </c>
      <c r="F16566" s="23" t="str">
        <f>HYPERLINK("https://www.spark-marketing.ru/Card/Lot/71420013",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""Тольяттинская городская клиническая больница №1""")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"Тольяттинская городская клиническая больница №1"</v>
      </c>
      <c r="G16566" s="22" t="s">
        <v>128</v>
      </c>
      <c r="H16566" s="22" t="s">
        <v>2819</v>
      </c>
      <c r="I16566" s="26">
        <v>43633.624305555597</v>
      </c>
      <c r="J16566" s="23" t="str">
        <f>HYPERLINK("https://www.spark-marketing.ru/Card/Person/52363", "ООО ""АК БАРС""")</f>
        <v>ООО "АК БАРС"</v>
      </c>
      <c r="K16566" s="24" t="s">
        <v>4191</v>
      </c>
      <c r="L16566" s="22" t="s">
        <v>10</v>
      </c>
      <c r="M16566" s="25">
        <v>395280</v>
      </c>
      <c r="N16566" s="27">
        <v>4.7619047619047616E-2</v>
      </c>
    </row>
    <row r="16567" spans="1:14" hidden="1" outlineLevel="1" x14ac:dyDescent="0.2">
      <c r="A16567" s="23" t="str">
        <f>HYPERLINK("https://www.spark-marketing.ru/Card/Person/24598", "ГБУЗ СО ""ТГКБ №1""")</f>
        <v>ГБУЗ СО "ТГКБ №1"</v>
      </c>
      <c r="B16567" s="24" t="s">
        <v>21627</v>
      </c>
      <c r="C16567" s="25">
        <v>415044</v>
      </c>
      <c r="D16567" s="22" t="s">
        <v>21667</v>
      </c>
      <c r="E16567" s="22" t="s">
        <v>48</v>
      </c>
      <c r="F16567" s="23" t="str">
        <f>HYPERLINK("https://www.spark-marketing.ru/Card/Lot/71420013",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""Тольяттинская городская клиническая больница №1""")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"Тольяттинская городская клиническая больница №1"</v>
      </c>
      <c r="G16567" s="22" t="s">
        <v>128</v>
      </c>
      <c r="H16567" s="22" t="s">
        <v>2819</v>
      </c>
      <c r="I16567" s="26">
        <v>43633.624305555597</v>
      </c>
      <c r="J16567" s="23" t="str">
        <f>HYPERLINK("https://www.spark-marketing.ru/Card/Person/31748", "ЧУСТРИ ""АРАХНА"" ТГООИВ")</f>
        <v>ЧУСТРИ "АРАХНА" ТГООИВ</v>
      </c>
      <c r="K16567" s="24" t="s">
        <v>14531</v>
      </c>
      <c r="L16567" s="28" t="s">
        <v>51</v>
      </c>
      <c r="M16567" s="25">
        <v>415044</v>
      </c>
      <c r="N16567" s="27">
        <v>0</v>
      </c>
    </row>
    <row r="16568" spans="1:14" x14ac:dyDescent="0.15">
      <c r="A16568" s="23" t="str">
        <f>HYPERLINK("https://www.spark-marketing.ru/Card/Person/73015", "ГУ-САРАТОВСКОЕ РО ФОНДА СОЦИАЛЬНОГО СТРАХОВАНИЯ РОССИЙСКОЙ ФЕДЕРАЦИИ")</f>
        <v>ГУ-САРАТОВСКОЕ РО ФОНДА СОЦИАЛЬНОГО СТРАХОВАНИЯ РОССИЙСКОЙ ФЕДЕРАЦИИ</v>
      </c>
      <c r="B16568" s="24" t="s">
        <v>7054</v>
      </c>
      <c r="C16568" s="25">
        <v>1122930</v>
      </c>
      <c r="D16568" s="22" t="s">
        <v>21668</v>
      </c>
      <c r="E16568" s="22" t="s">
        <v>86</v>
      </c>
      <c r="F16568" s="23" t="str">
        <f>HYPERLINK("https://www.spark-marketing.ru/Card/Lot/71429199", "Оказание услуг по санаторно-курортному лечению граждан-получателей государственной социальной помощи в виде набора социальных услуг, а также лиц, сопровождающих граждан, имеющих инвалидность 1 группы, с болезнями эндокринной системы, расстройствами п...")</f>
        <v>Оказание услуг по санаторно-курортному лечению граждан-получателей государственной социальной помощи в виде набора социальных услуг, а также лиц, сопровождающих граждан, имеющих инвалидность 1 группы, с болезнями эндокринной системы, расстройствами п...</v>
      </c>
      <c r="G16568" s="22" t="s">
        <v>351</v>
      </c>
      <c r="H16568" s="22" t="s">
        <v>351</v>
      </c>
      <c r="I16568" s="26">
        <v>43633.605555555601</v>
      </c>
      <c r="J16568" s="23" t="str">
        <f>HYPERLINK("https://www.spark-marketing.ru/Card/Person/537515", "АО САНАТОРИЙ ""СИНЯЯ ПТИЦА""")</f>
        <v>АО САНАТОРИЙ "СИНЯЯ ПТИЦА"</v>
      </c>
      <c r="K16568" s="24" t="s">
        <v>7056</v>
      </c>
      <c r="L16568" s="22" t="s">
        <v>10</v>
      </c>
      <c r="M16568" s="28" t="s">
        <v>51</v>
      </c>
      <c r="N16568" s="28" t="s">
        <v>51</v>
      </c>
    </row>
    <row r="16569" spans="1:14" x14ac:dyDescent="0.15">
      <c r="A16569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569" s="24" t="s">
        <v>3255</v>
      </c>
      <c r="C16569" s="25">
        <v>436538.7</v>
      </c>
      <c r="D16569" s="22" t="s">
        <v>21669</v>
      </c>
      <c r="E16569" s="22" t="s">
        <v>336</v>
      </c>
      <c r="F16569" s="23" t="str">
        <f>HYPERLINK("https://www.spark-marketing.ru/Card/Lot/71398956", "Поставка лечебного продукта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лечебного питания для детей-инвалидов")</f>
        <v>Поставка лечебного продукта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продуктами лечебного питания для детей-инвалидов</v>
      </c>
      <c r="G16569" s="22" t="s">
        <v>210</v>
      </c>
      <c r="H16569" s="22" t="s">
        <v>3257</v>
      </c>
      <c r="I16569" s="26">
        <v>43633.583333333299</v>
      </c>
      <c r="J16569" s="23" t="str">
        <f>HYPERLINK("https://www.spark-marketing.ru/Card/Person/83955", "ООО ""АЛЬФАМЕД""")</f>
        <v>ООО "АЛЬФАМЕД"</v>
      </c>
      <c r="K16569" s="24" t="s">
        <v>21670</v>
      </c>
      <c r="L16569" s="22" t="s">
        <v>10</v>
      </c>
      <c r="M16569" s="28" t="s">
        <v>51</v>
      </c>
      <c r="N16569" s="28" t="s">
        <v>51</v>
      </c>
    </row>
    <row r="16570" spans="1:14" x14ac:dyDescent="0.15">
      <c r="A16570" s="23" t="str">
        <f>HYPERLINK("https://www.spark-marketing.ru/Card/Person/140553", "МЕЖМУНИЦИПАЛЬНЫЙ ОТДЕЛ МВД РОССИИ ""КОЧЕВСКИЙ""")</f>
        <v>МЕЖМУНИЦИПАЛЬНЫЙ ОТДЕЛ МВД РОССИИ "КОЧЕВСКИЙ"</v>
      </c>
      <c r="B16570" s="24" t="s">
        <v>8406</v>
      </c>
      <c r="C16570" s="25">
        <v>496400</v>
      </c>
      <c r="D16570" s="22" t="s">
        <v>21671</v>
      </c>
      <c r="E16570" s="22" t="s">
        <v>48</v>
      </c>
      <c r="F16570" s="23" t="str">
        <f>HYPERLINK("https://www.spark-marketing.ru/Card/Lot/71422028", "Оказание услуг по обеспечению питанием лиц содержащихся в ИВС")</f>
        <v>Оказание услуг по обеспечению питанием лиц содержащихся в ИВС</v>
      </c>
      <c r="G16570" s="22" t="s">
        <v>8408</v>
      </c>
      <c r="H16570" s="22" t="s">
        <v>8409</v>
      </c>
      <c r="I16570" s="26">
        <v>43633.606249999997</v>
      </c>
      <c r="J16570" s="28" t="s">
        <v>51</v>
      </c>
      <c r="K16570" s="28" t="s">
        <v>51</v>
      </c>
      <c r="L16570" s="28" t="s">
        <v>51</v>
      </c>
      <c r="M16570" s="28" t="s">
        <v>51</v>
      </c>
      <c r="N16570" s="28" t="s">
        <v>51</v>
      </c>
    </row>
    <row r="16571" spans="1:14" x14ac:dyDescent="0.15">
      <c r="A1657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571" s="24" t="s">
        <v>3255</v>
      </c>
      <c r="C16571" s="25">
        <v>93690</v>
      </c>
      <c r="D16571" s="22" t="s">
        <v>21672</v>
      </c>
      <c r="E16571" s="22" t="s">
        <v>52</v>
      </c>
      <c r="F16571" s="23" t="str">
        <f>HYPERLINK("https://www.spark-marketing.ru/Card/Lot/71398809", "Поставка лекарственного препарата для медицинского применения ""Железа [III] гидроксид полимальтозат"" для оказания отдельным категориям граждан социальной услуги по обеспечению лекарственными препаратами для медицинского применения по рецептам, а та...")</f>
        <v>Поставка лекарственного препарата для медицинского применения "Железа [III] гидроксид полимальтозат" для оказания отдельным категориям граждан социальной услуги по обеспечению лекарственными препаратами для медицинского применения по рецептам, а та...</v>
      </c>
      <c r="G16571" s="22" t="s">
        <v>210</v>
      </c>
      <c r="H16571" s="22" t="s">
        <v>3257</v>
      </c>
      <c r="I16571" s="26">
        <v>43633.583333333299</v>
      </c>
      <c r="J16571" s="28" t="s">
        <v>51</v>
      </c>
      <c r="K16571" s="28" t="s">
        <v>51</v>
      </c>
      <c r="L16571" s="28" t="s">
        <v>51</v>
      </c>
      <c r="M16571" s="28" t="s">
        <v>51</v>
      </c>
      <c r="N16571" s="28" t="s">
        <v>51</v>
      </c>
    </row>
    <row r="16572" spans="1:14" hidden="1" outlineLevel="1" x14ac:dyDescent="0.2">
      <c r="A16572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572" s="24" t="s">
        <v>3255</v>
      </c>
      <c r="C16572" s="25">
        <v>93690</v>
      </c>
      <c r="D16572" s="22" t="s">
        <v>21672</v>
      </c>
      <c r="E16572" s="22" t="s">
        <v>52</v>
      </c>
      <c r="F16572" s="23" t="str">
        <f>HYPERLINK("https://www.spark-marketing.ru/Card/Lot/71398809", "Поставка лекарственного препарата для медицинского применения ""Железа [III] гидроксид полимальтозат"" для оказания отдельным категориям граждан социальной услуги по обеспечению лекарственными препаратами для медицинского применения по рецептам, а та...")</f>
        <v>Поставка лекарственного препарата для медицинского применения "Железа [III] гидроксид полимальтозат" для оказания отдельным категориям граждан социальной услуги по обеспечению лекарственными препаратами для медицинского применения по рецептам, а та...</v>
      </c>
      <c r="G16572" s="22" t="s">
        <v>210</v>
      </c>
      <c r="H16572" s="22" t="s">
        <v>3257</v>
      </c>
      <c r="I16572" s="26">
        <v>43633.583333333299</v>
      </c>
      <c r="J16572" s="23" t="str">
        <f>HYPERLINK("https://www.spark-marketing.ru/Card/Person/1399616", "ООО ""ВИТАЛЕНД""")</f>
        <v>ООО "ВИТАЛЕНД"</v>
      </c>
      <c r="K16572" s="24" t="s">
        <v>5965</v>
      </c>
      <c r="L16572" s="28" t="s">
        <v>51</v>
      </c>
      <c r="M16572" s="25">
        <v>86808</v>
      </c>
      <c r="N16572" s="27">
        <v>7.3455011207172585E-2</v>
      </c>
    </row>
    <row r="16573" spans="1:14" ht="12.75" hidden="1" outlineLevel="1" x14ac:dyDescent="0.2">
      <c r="A16573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573" s="24" t="s">
        <v>3255</v>
      </c>
      <c r="C16573" s="25">
        <v>93690</v>
      </c>
      <c r="D16573" s="22" t="s">
        <v>21672</v>
      </c>
      <c r="E16573" s="22" t="s">
        <v>52</v>
      </c>
      <c r="F16573" s="23" t="str">
        <f>HYPERLINK("https://www.spark-marketing.ru/Card/Lot/71398809", "Поставка лекарственного препарата для медицинского применения ""Железа [III] гидроксид полимальтозат"" для оказания отдельным категориям граждан социальной услуги по обеспечению лекарственными препаратами для медицинского применения по рецептам, а та...")</f>
        <v>Поставка лекарственного препарата для медицинского применения "Железа [III] гидроксид полимальтозат" для оказания отдельным категориям граждан социальной услуги по обеспечению лекарственными препаратами для медицинского применения по рецептам, а та...</v>
      </c>
      <c r="G16573" s="22" t="s">
        <v>210</v>
      </c>
      <c r="H16573" s="22" t="s">
        <v>3257</v>
      </c>
      <c r="I16573" s="26">
        <v>43633.583333333299</v>
      </c>
      <c r="J16573" s="23" t="str">
        <f>HYPERLINK("https://www.spark-marketing.ru/Card/Person/57167", "ООО ""АЛЬБАТРОС""")</f>
        <v>ООО "АЛЬБАТРОС"</v>
      </c>
      <c r="K16573" s="24" t="s">
        <v>18704</v>
      </c>
      <c r="L16573" s="22" t="s">
        <v>10</v>
      </c>
      <c r="M16573" s="25">
        <v>85246.05</v>
      </c>
      <c r="N16573" s="27">
        <v>9.0126480947806592E-2</v>
      </c>
    </row>
    <row r="16574" spans="1:14" hidden="1" outlineLevel="1" x14ac:dyDescent="0.2">
      <c r="A1657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574" s="24" t="s">
        <v>3255</v>
      </c>
      <c r="C16574" s="25">
        <v>93690</v>
      </c>
      <c r="D16574" s="22" t="s">
        <v>21672</v>
      </c>
      <c r="E16574" s="22" t="s">
        <v>52</v>
      </c>
      <c r="F16574" s="23" t="str">
        <f>HYPERLINK("https://www.spark-marketing.ru/Card/Lot/71398809", "Поставка лекарственного препарата для медицинского применения ""Железа [III] гидроксид полимальтозат"" для оказания отдельным категориям граждан социальной услуги по обеспечению лекарственными препаратами для медицинского применения по рецептам, а та...")</f>
        <v>Поставка лекарственного препарата для медицинского применения "Железа [III] гидроксид полимальтозат" для оказания отдельным категориям граждан социальной услуги по обеспечению лекарственными препаратами для медицинского применения по рецептам, а та...</v>
      </c>
      <c r="G16574" s="22" t="s">
        <v>210</v>
      </c>
      <c r="H16574" s="22" t="s">
        <v>3257</v>
      </c>
      <c r="I16574" s="26">
        <v>43633.583333333299</v>
      </c>
      <c r="J16574" s="23" t="str">
        <f>HYPERLINK("https://www.spark-marketing.ru/Card/Person/4354560", "ООО ""НАДЕЖДА-ФАРМ""")</f>
        <v>ООО "НАДЕЖДА-ФАРМ"</v>
      </c>
      <c r="K16574" s="24" t="s">
        <v>15644</v>
      </c>
      <c r="L16574" s="28" t="s">
        <v>51</v>
      </c>
      <c r="M16574" s="25">
        <v>85246.05</v>
      </c>
      <c r="N16574" s="27">
        <v>9.0126480947806592E-2</v>
      </c>
    </row>
    <row r="16575" spans="1:14" x14ac:dyDescent="0.15">
      <c r="A16575" s="23" t="str">
        <f>HYPERLINK("https://www.spark-marketing.ru/Card/Person/31222", "ФКУ ""ЦВР МВД РОССИИ, Г. КРАСНОАРМЕЙСК""")</f>
        <v>ФКУ "ЦВР МВД РОССИИ, Г. КРАСНОАРМЕЙСК"</v>
      </c>
      <c r="B16575" s="24" t="s">
        <v>4544</v>
      </c>
      <c r="C16575" s="25">
        <v>880373.76000000001</v>
      </c>
      <c r="D16575" s="22" t="s">
        <v>21673</v>
      </c>
      <c r="E16575" s="22" t="s">
        <v>48</v>
      </c>
      <c r="F16575" s="23" t="str">
        <f>HYPERLINK("https://www.spark-marketing.ru/Card/Lot/71424828", "Оказание услуг по приготовлению горячего питания для беженцев, размещенных в ФКУ «ЦВР МВД России, г. Красноармейск», в 3 квартале")</f>
        <v>Оказание услуг по приготовлению горячего питания для беженцев, размещенных в ФКУ «ЦВР МВД России, г. Красноармейск», в 3 квартале</v>
      </c>
      <c r="G16575" s="22" t="s">
        <v>351</v>
      </c>
      <c r="H16575" s="22" t="s">
        <v>3618</v>
      </c>
      <c r="I16575" s="26">
        <v>43633.586805555598</v>
      </c>
      <c r="J16575" s="23" t="str">
        <f>HYPERLINK("https://www.spark-marketing.ru/Card/Person/535831", "ООО ""РУССКИЙ ТРАКТИР""")</f>
        <v>ООО "РУССКИЙ ТРАКТИР"</v>
      </c>
      <c r="K16575" s="24" t="s">
        <v>3619</v>
      </c>
      <c r="L16575" s="22" t="s">
        <v>10</v>
      </c>
      <c r="M16575" s="28" t="s">
        <v>51</v>
      </c>
      <c r="N16575" s="28" t="s">
        <v>51</v>
      </c>
    </row>
    <row r="16576" spans="1:14" ht="12.75" x14ac:dyDescent="0.2">
      <c r="A16576" s="23" t="str">
        <f>HYPERLINK("https://www.spark-marketing.ru/Card/Person/137794", "ГБУ АО ""ЦВКП""")</f>
        <v>ГБУ АО "ЦВКП"</v>
      </c>
      <c r="B16576" s="24" t="s">
        <v>2199</v>
      </c>
      <c r="C16576" s="25">
        <v>300000</v>
      </c>
      <c r="D16576" s="22" t="s">
        <v>21674</v>
      </c>
      <c r="E16576" s="22" t="s">
        <v>1632</v>
      </c>
      <c r="F16576" s="23" t="str">
        <f>HYPERLINK("https://www.spark-marketing.ru/Card/Lot/71418663", "Оказание услуг по обеспечению питанием и проживанием участников профильных детских казачьих смен (1 смена)")</f>
        <v>Оказание услуг по обеспечению питанием и проживанием участников профильных детских казачьих смен (1 смена)</v>
      </c>
      <c r="G16576" s="22" t="s">
        <v>141</v>
      </c>
      <c r="H16576" s="22" t="s">
        <v>2201</v>
      </c>
      <c r="I16576" s="26">
        <v>43633.601388888899</v>
      </c>
      <c r="J16576" s="23" t="str">
        <f>HYPERLINK("https://www.spark-marketing.ru/Card/Person/276402", "ООО СОЛКД ""АСТРАХАНСКИЕ ЗОРИ""")</f>
        <v>ООО СОЛКД "АСТРАХАНСКИЕ ЗОРИ"</v>
      </c>
      <c r="K16576" s="24" t="s">
        <v>19786</v>
      </c>
      <c r="L16576" s="22" t="s">
        <v>10</v>
      </c>
      <c r="M16576" s="25">
        <v>300000</v>
      </c>
      <c r="N16576" s="27">
        <v>0</v>
      </c>
    </row>
    <row r="16577" spans="1:14" x14ac:dyDescent="0.15">
      <c r="A16577" s="23" t="str">
        <f>HYPERLINK("https://www.spark-marketing.ru/Card/Person/2491", "ФКУ ИК-15 ГУФСИН РОССИИ ПО ИРКУТСКОЙ ОБЛАСТИ")</f>
        <v>ФКУ ИК-15 ГУФСИН РОССИИ ПО ИРКУТСКОЙ ОБЛАСТИ</v>
      </c>
      <c r="B16577" s="24" t="s">
        <v>21675</v>
      </c>
      <c r="C16577" s="25">
        <v>243037</v>
      </c>
      <c r="D16577" s="22" t="s">
        <v>21676</v>
      </c>
      <c r="E16577" s="22" t="s">
        <v>809</v>
      </c>
      <c r="F16577" s="23" t="str">
        <f>HYPERLINK("https://www.spark-marketing.ru/Card/Lot/71417192", "Компьютеры и периферийное оборудование")</f>
        <v>Компьютеры и периферийное оборудование</v>
      </c>
      <c r="G16577" s="22" t="s">
        <v>263</v>
      </c>
      <c r="H16577" s="22" t="s">
        <v>263</v>
      </c>
      <c r="I16577" s="26">
        <v>43633.589583333298</v>
      </c>
      <c r="J16577" s="28" t="s">
        <v>51</v>
      </c>
      <c r="K16577" s="28" t="s">
        <v>51</v>
      </c>
      <c r="L16577" s="28" t="s">
        <v>51</v>
      </c>
      <c r="M16577" s="28" t="s">
        <v>51</v>
      </c>
      <c r="N16577" s="28" t="s">
        <v>51</v>
      </c>
    </row>
    <row r="16578" spans="1:14" hidden="1" outlineLevel="1" x14ac:dyDescent="0.2">
      <c r="A16578" s="23" t="str">
        <f>HYPERLINK("https://www.spark-marketing.ru/Card/Person/2491", "ФКУ ИК-15 ГУФСИН РОССИИ ПО ИРКУТСКОЙ ОБЛАСТИ")</f>
        <v>ФКУ ИК-15 ГУФСИН РОССИИ ПО ИРКУТСКОЙ ОБЛАСТИ</v>
      </c>
      <c r="B16578" s="24" t="s">
        <v>21675</v>
      </c>
      <c r="C16578" s="25">
        <v>243037</v>
      </c>
      <c r="D16578" s="22" t="s">
        <v>21676</v>
      </c>
      <c r="E16578" s="22" t="s">
        <v>809</v>
      </c>
      <c r="F16578" s="23" t="str">
        <f>HYPERLINK("https://www.spark-marketing.ru/Card/Lot/71417192", "Компьютеры и периферийное оборудование")</f>
        <v>Компьютеры и периферийное оборудование</v>
      </c>
      <c r="G16578" s="22" t="s">
        <v>263</v>
      </c>
      <c r="H16578" s="22" t="s">
        <v>263</v>
      </c>
      <c r="I16578" s="26">
        <v>43633.589583333298</v>
      </c>
      <c r="J16578" s="23" t="str">
        <f>HYPERLINK("https://www.spark-marketing.ru/Card/Person/294049", "ООО ""ИНЖЕНЕРНЫЕ СИСТЕМЫ""")</f>
        <v>ООО "ИНЖЕНЕРНЫЕ СИСТЕМЫ"</v>
      </c>
      <c r="K16578" s="24" t="s">
        <v>9137</v>
      </c>
      <c r="L16578" s="28" t="s">
        <v>51</v>
      </c>
      <c r="M16578" s="25">
        <v>218924.05</v>
      </c>
      <c r="N16578" s="27">
        <v>9.921514008155137E-2</v>
      </c>
    </row>
    <row r="16579" spans="1:14" ht="12.75" hidden="1" outlineLevel="1" x14ac:dyDescent="0.2">
      <c r="A16579" s="23" t="str">
        <f>HYPERLINK("https://www.spark-marketing.ru/Card/Person/2491", "ФКУ ИК-15 ГУФСИН РОССИИ ПО ИРКУТСКОЙ ОБЛАСТИ")</f>
        <v>ФКУ ИК-15 ГУФСИН РОССИИ ПО ИРКУТСКОЙ ОБЛАСТИ</v>
      </c>
      <c r="B16579" s="24" t="s">
        <v>21675</v>
      </c>
      <c r="C16579" s="25">
        <v>243037</v>
      </c>
      <c r="D16579" s="22" t="s">
        <v>21676</v>
      </c>
      <c r="E16579" s="22" t="s">
        <v>809</v>
      </c>
      <c r="F16579" s="23" t="str">
        <f>HYPERLINK("https://www.spark-marketing.ru/Card/Lot/71417192", "Компьютеры и периферийное оборудование")</f>
        <v>Компьютеры и периферийное оборудование</v>
      </c>
      <c r="G16579" s="22" t="s">
        <v>263</v>
      </c>
      <c r="H16579" s="22" t="s">
        <v>263</v>
      </c>
      <c r="I16579" s="26">
        <v>43633.589583333298</v>
      </c>
      <c r="J16579" s="23" t="str">
        <f>HYPERLINK("https://www.spark-marketing.ru/Card/Person/4395841", "ООО ""СИСТЕМНЫЕ РЕШЕНИЯ""")</f>
        <v>ООО "СИСТЕМНЫЕ РЕШЕНИЯ"</v>
      </c>
      <c r="K16579" s="24" t="s">
        <v>6235</v>
      </c>
      <c r="L16579" s="22" t="s">
        <v>10</v>
      </c>
      <c r="M16579" s="25">
        <v>216493.67</v>
      </c>
      <c r="N16579" s="27">
        <v>0.10921518122754971</v>
      </c>
    </row>
    <row r="16580" spans="1:14" hidden="1" outlineLevel="1" x14ac:dyDescent="0.2">
      <c r="A16580" s="23" t="str">
        <f>HYPERLINK("https://www.spark-marketing.ru/Card/Person/2491", "ФКУ ИК-15 ГУФСИН РОССИИ ПО ИРКУТСКОЙ ОБЛАСТИ")</f>
        <v>ФКУ ИК-15 ГУФСИН РОССИИ ПО ИРКУТСКОЙ ОБЛАСТИ</v>
      </c>
      <c r="B16580" s="24" t="s">
        <v>21675</v>
      </c>
      <c r="C16580" s="25">
        <v>243037</v>
      </c>
      <c r="D16580" s="22" t="s">
        <v>21676</v>
      </c>
      <c r="E16580" s="22" t="s">
        <v>809</v>
      </c>
      <c r="F16580" s="23" t="str">
        <f>HYPERLINK("https://www.spark-marketing.ru/Card/Lot/71417192", "Компьютеры и периферийное оборудование")</f>
        <v>Компьютеры и периферийное оборудование</v>
      </c>
      <c r="G16580" s="22" t="s">
        <v>263</v>
      </c>
      <c r="H16580" s="22" t="s">
        <v>263</v>
      </c>
      <c r="I16580" s="26">
        <v>43633.589583333298</v>
      </c>
      <c r="J16580" s="23" t="str">
        <f>HYPERLINK("https://www.spark-marketing.ru/Card/Person/263893", "ООО ""ХРОНОС-СЕРВИС""")</f>
        <v>ООО "ХРОНОС-СЕРВИС"</v>
      </c>
      <c r="K16580" s="24" t="s">
        <v>21677</v>
      </c>
      <c r="L16580" s="28" t="s">
        <v>51</v>
      </c>
      <c r="M16580" s="25">
        <v>233315.48</v>
      </c>
      <c r="N16580" s="27">
        <v>4.0000164583993386E-2</v>
      </c>
    </row>
    <row r="16581" spans="1:14" hidden="1" outlineLevel="1" x14ac:dyDescent="0.2">
      <c r="A16581" s="23" t="str">
        <f>HYPERLINK("https://www.spark-marketing.ru/Card/Person/2491", "ФКУ ИК-15 ГУФСИН РОССИИ ПО ИРКУТСКОЙ ОБЛАСТИ")</f>
        <v>ФКУ ИК-15 ГУФСИН РОССИИ ПО ИРКУТСКОЙ ОБЛАСТИ</v>
      </c>
      <c r="B16581" s="24" t="s">
        <v>21675</v>
      </c>
      <c r="C16581" s="25">
        <v>243037</v>
      </c>
      <c r="D16581" s="22" t="s">
        <v>21676</v>
      </c>
      <c r="E16581" s="22" t="s">
        <v>809</v>
      </c>
      <c r="F16581" s="23" t="str">
        <f>HYPERLINK("https://www.spark-marketing.ru/Card/Lot/71417192", "Компьютеры и периферийное оборудование")</f>
        <v>Компьютеры и периферийное оборудование</v>
      </c>
      <c r="G16581" s="22" t="s">
        <v>263</v>
      </c>
      <c r="H16581" s="22" t="s">
        <v>263</v>
      </c>
      <c r="I16581" s="26">
        <v>43633.589583333298</v>
      </c>
      <c r="J16581" s="23" t="str">
        <f>HYPERLINK("https://www.spark-marketing.ru/Card/Person/6444337", "ООО ""ФЛЕКС""")</f>
        <v>ООО "ФЛЕКС"</v>
      </c>
      <c r="K16581" s="24" t="s">
        <v>21678</v>
      </c>
      <c r="L16581" s="28" t="s">
        <v>51</v>
      </c>
      <c r="M16581" s="25">
        <v>217708.86</v>
      </c>
      <c r="N16581" s="27">
        <v>0.10421516065455054</v>
      </c>
    </row>
    <row r="16582" spans="1:14" x14ac:dyDescent="0.15">
      <c r="A16582" s="23" t="str">
        <f>HYPERLINK("https://www.spark-marketing.ru/Card/Person/16488", "АДМИНИСТРАЦИЯ ГОРОДА КЕМЕРОВО")</f>
        <v>АДМИНИСТРАЦИЯ ГОРОДА КЕМЕРОВО</v>
      </c>
      <c r="B16582" s="24" t="s">
        <v>3633</v>
      </c>
      <c r="C16582" s="25">
        <v>220000</v>
      </c>
      <c r="D16582" s="22" t="s">
        <v>21679</v>
      </c>
      <c r="E16582" s="22" t="s">
        <v>67</v>
      </c>
      <c r="F16582" s="23" t="str">
        <f>HYPERLINK("https://www.spark-marketing.ru/Card/Lot/71415066", "Оказание услуг по организации общественного питания при проведении общегородских мероприятий")</f>
        <v>Оказание услуг по организации общественного питания при проведении общегородских мероприятий</v>
      </c>
      <c r="G16582" s="22" t="s">
        <v>304</v>
      </c>
      <c r="H16582" s="22" t="s">
        <v>1154</v>
      </c>
      <c r="I16582" s="26">
        <v>43633.616666666698</v>
      </c>
      <c r="J16582" s="23" t="str">
        <f>HYPERLINK("https://www.spark-marketing.ru/Card/Person/625332", "МАУ ""ШКОЛЬНОЕ ПИТАНИЕ""")</f>
        <v>МАУ "ШКОЛЬНОЕ ПИТАНИЕ"</v>
      </c>
      <c r="K16582" s="24" t="s">
        <v>3635</v>
      </c>
      <c r="L16582" s="22" t="s">
        <v>10</v>
      </c>
      <c r="M16582" s="28" t="s">
        <v>51</v>
      </c>
      <c r="N16582" s="28" t="s">
        <v>51</v>
      </c>
    </row>
    <row r="16583" spans="1:14" x14ac:dyDescent="0.15">
      <c r="A16583" s="23" t="str">
        <f>HYPERLINK("https://www.spark-marketing.ru/Card/Person/119925", "ГУЗ ""ЧИТИНСКАЯ ЦРБ""")</f>
        <v>ГУЗ "ЧИТИНСКАЯ ЦРБ"</v>
      </c>
      <c r="B16583" s="24" t="s">
        <v>392</v>
      </c>
      <c r="C16583" s="25">
        <v>480000</v>
      </c>
      <c r="D16583" s="22" t="s">
        <v>21680</v>
      </c>
      <c r="E16583" s="22" t="s">
        <v>48</v>
      </c>
      <c r="F16583" s="23" t="str">
        <f>HYPERLINK("https://www.spark-marketing.ru/Card/Lot/71398901", "Оказание услуг по организации лечебно-профилактического питания для пациентов в стационаре Верх Читинской участковой больницы (6659-ЗКвЭФ)")</f>
        <v>Оказание услуг по организации лечебно-профилактического питания для пациентов в стационаре Верх Читинской участковой больницы (6659-ЗКвЭФ)</v>
      </c>
      <c r="G16583" s="22" t="s">
        <v>228</v>
      </c>
      <c r="H16583" s="22" t="s">
        <v>394</v>
      </c>
      <c r="I16583" s="26">
        <v>43633.589583333298</v>
      </c>
      <c r="J16583" s="28" t="s">
        <v>51</v>
      </c>
      <c r="K16583" s="28" t="s">
        <v>51</v>
      </c>
      <c r="L16583" s="28" t="s">
        <v>51</v>
      </c>
      <c r="M16583" s="28" t="s">
        <v>51</v>
      </c>
      <c r="N16583" s="28" t="s">
        <v>51</v>
      </c>
    </row>
    <row r="16584" spans="1:14" x14ac:dyDescent="0.15">
      <c r="A16584" s="23" t="str">
        <f>HYPERLINK("https://www.spark-marketing.ru/Card/Person/1048410", "МО МВД РОССИИ ""АБДУЛИНСКИЙ""")</f>
        <v>МО МВД РОССИИ "АБДУЛИНСКИЙ"</v>
      </c>
      <c r="B16584" s="24" t="s">
        <v>9396</v>
      </c>
      <c r="C16584" s="25">
        <v>99000</v>
      </c>
      <c r="D16584" s="22" t="s">
        <v>21681</v>
      </c>
      <c r="E16584" s="22" t="s">
        <v>48</v>
      </c>
      <c r="F16584" s="23" t="str">
        <f>HYPERLINK("https://www.spark-marketing.ru/Card/Lot/71409364",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6584" s="22" t="s">
        <v>132</v>
      </c>
      <c r="H16584" s="22" t="s">
        <v>16331</v>
      </c>
      <c r="I16584" s="26">
        <v>43633.6090625</v>
      </c>
      <c r="J16584" s="28" t="s">
        <v>51</v>
      </c>
      <c r="K16584" s="28" t="s">
        <v>51</v>
      </c>
      <c r="L16584" s="28" t="s">
        <v>51</v>
      </c>
      <c r="M16584" s="28" t="s">
        <v>51</v>
      </c>
      <c r="N16584" s="28" t="s">
        <v>51</v>
      </c>
    </row>
    <row r="16585" spans="1:14" x14ac:dyDescent="0.15">
      <c r="A16585" s="23" t="str">
        <f>HYPERLINK("https://www.spark-marketing.ru/Card/Person/12121", "АДМИНИСТРАЦИЯ ГОРОДА РЯЗАНИ")</f>
        <v>АДМИНИСТРАЦИЯ ГОРОДА РЯЗАНИ</v>
      </c>
      <c r="B16585" s="24" t="s">
        <v>21682</v>
      </c>
      <c r="C16585" s="25">
        <v>2147224.7999999998</v>
      </c>
      <c r="D16585" s="22" t="s">
        <v>21683</v>
      </c>
      <c r="E16585" s="22" t="s">
        <v>96</v>
      </c>
      <c r="F16585" s="23" t="str">
        <f>HYPERLINK("https://www.spark-marketing.ru/Card/Lot/71429982", "Оказание услуг по предоставлению благотворительного питания гражданам, находящимся в тяжелой жизненной ситуации")</f>
        <v>Оказание услуг по предоставлению благотворительного питания гражданам, находящимся в тяжелой жизненной ситуации</v>
      </c>
      <c r="G16585" s="22" t="s">
        <v>1522</v>
      </c>
      <c r="H16585" s="22" t="s">
        <v>1523</v>
      </c>
      <c r="I16585" s="26">
        <v>43633.612500000003</v>
      </c>
      <c r="J16585" s="23" t="str">
        <f>HYPERLINK("https://www.spark-marketing.ru/Card/Person/50743", "МП ""ДЕТСКОЕ ПИТАНИЕ""")</f>
        <v>МП "ДЕТСКОЕ ПИТАНИЕ"</v>
      </c>
      <c r="K16585" s="24" t="s">
        <v>1562</v>
      </c>
      <c r="L16585" s="22" t="s">
        <v>10</v>
      </c>
      <c r="M16585" s="28" t="s">
        <v>51</v>
      </c>
      <c r="N16585" s="28" t="s">
        <v>51</v>
      </c>
    </row>
    <row r="16586" spans="1:14" x14ac:dyDescent="0.15">
      <c r="A16586" s="23" t="str">
        <f>HYPERLINK("https://www.spark-marketing.ru/Card/Person/12121", "АДМИНИСТРАЦИЯ ГОРОДА РЯЗАНИ")</f>
        <v>АДМИНИСТРАЦИЯ ГОРОДА РЯЗАНИ</v>
      </c>
      <c r="B16586" s="24" t="s">
        <v>21682</v>
      </c>
      <c r="C16586" s="25">
        <v>466788</v>
      </c>
      <c r="D16586" s="22" t="s">
        <v>21684</v>
      </c>
      <c r="E16586" s="22" t="s">
        <v>96</v>
      </c>
      <c r="F16586" s="23" t="str">
        <f>HYPERLINK("https://www.spark-marketing.ru/Card/Lot/71423359", "Оказание услуг по предоставлению благотворительного питания гражданам, находящимся в тяжелой жизненной ситуации")</f>
        <v>Оказание услуг по предоставлению благотворительного питания гражданам, находящимся в тяжелой жизненной ситуации</v>
      </c>
      <c r="G16586" s="22" t="s">
        <v>1522</v>
      </c>
      <c r="H16586" s="22" t="s">
        <v>1523</v>
      </c>
      <c r="I16586" s="26">
        <v>43633.6118055556</v>
      </c>
      <c r="J16586" s="28" t="s">
        <v>51</v>
      </c>
      <c r="K16586" s="28" t="s">
        <v>51</v>
      </c>
      <c r="L16586" s="28" t="s">
        <v>51</v>
      </c>
      <c r="M16586" s="28" t="s">
        <v>51</v>
      </c>
      <c r="N16586" s="28" t="s">
        <v>51</v>
      </c>
    </row>
    <row r="16587" spans="1:14" ht="12.75" hidden="1" outlineLevel="1" x14ac:dyDescent="0.2">
      <c r="A16587" s="23" t="str">
        <f>HYPERLINK("https://www.spark-marketing.ru/Card/Person/12121", "АДМИНИСТРАЦИЯ ГОРОДА РЯЗАНИ")</f>
        <v>АДМИНИСТРАЦИЯ ГОРОДА РЯЗАНИ</v>
      </c>
      <c r="B16587" s="24" t="s">
        <v>21682</v>
      </c>
      <c r="C16587" s="25">
        <v>466788</v>
      </c>
      <c r="D16587" s="22" t="s">
        <v>21684</v>
      </c>
      <c r="E16587" s="22" t="s">
        <v>96</v>
      </c>
      <c r="F16587" s="23" t="str">
        <f>HYPERLINK("https://www.spark-marketing.ru/Card/Lot/71423359", "Оказание услуг по предоставлению благотворительного питания гражданам, находящимся в тяжелой жизненной ситуации")</f>
        <v>Оказание услуг по предоставлению благотворительного питания гражданам, находящимся в тяжелой жизненной ситуации</v>
      </c>
      <c r="G16587" s="22" t="s">
        <v>1522</v>
      </c>
      <c r="H16587" s="22" t="s">
        <v>1523</v>
      </c>
      <c r="I16587" s="26">
        <v>43633.6118055556</v>
      </c>
      <c r="J16587" s="23" t="str">
        <f>HYPERLINK("https://www.spark-marketing.ru/Card/Person/50743", "МП ""ДЕТСКОЕ ПИТАНИЕ""")</f>
        <v>МП "ДЕТСКОЕ ПИТАНИЕ"</v>
      </c>
      <c r="K16587" s="24" t="s">
        <v>1562</v>
      </c>
      <c r="L16587" s="22" t="s">
        <v>10</v>
      </c>
      <c r="M16587" s="25">
        <v>466788</v>
      </c>
      <c r="N16587" s="27">
        <v>0</v>
      </c>
    </row>
    <row r="16588" spans="1:14" hidden="1" outlineLevel="1" x14ac:dyDescent="0.2">
      <c r="A16588" s="23" t="str">
        <f>HYPERLINK("https://www.spark-marketing.ru/Card/Person/12121", "АДМИНИСТРАЦИЯ ГОРОДА РЯЗАНИ")</f>
        <v>АДМИНИСТРАЦИЯ ГОРОДА РЯЗАНИ</v>
      </c>
      <c r="B16588" s="24" t="s">
        <v>21682</v>
      </c>
      <c r="C16588" s="25">
        <v>466788</v>
      </c>
      <c r="D16588" s="22" t="s">
        <v>21684</v>
      </c>
      <c r="E16588" s="22" t="s">
        <v>96</v>
      </c>
      <c r="F16588" s="23" t="str">
        <f>HYPERLINK("https://www.spark-marketing.ru/Card/Lot/71423359", "Оказание услуг по предоставлению благотворительного питания гражданам, находящимся в тяжелой жизненной ситуации")</f>
        <v>Оказание услуг по предоставлению благотворительного питания гражданам, находящимся в тяжелой жизненной ситуации</v>
      </c>
      <c r="G16588" s="22" t="s">
        <v>1522</v>
      </c>
      <c r="H16588" s="22" t="s">
        <v>1523</v>
      </c>
      <c r="I16588" s="26">
        <v>43633.6118055556</v>
      </c>
      <c r="J16588" s="23" t="str">
        <f>HYPERLINK("https://www.spark-marketing.ru/Card/Person/4715450", "Старикова Оксана Васильевна")</f>
        <v>Старикова Оксана Васильевна</v>
      </c>
      <c r="K16588" s="24" t="s">
        <v>21685</v>
      </c>
      <c r="L16588" s="28" t="s">
        <v>51</v>
      </c>
      <c r="M16588" s="25">
        <v>466788</v>
      </c>
      <c r="N16588" s="27">
        <v>0</v>
      </c>
    </row>
    <row r="16589" spans="1:14" x14ac:dyDescent="0.15">
      <c r="A16589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6589" s="24" t="s">
        <v>4297</v>
      </c>
      <c r="C16589" s="25">
        <v>236250</v>
      </c>
      <c r="D16589" s="22" t="s">
        <v>21686</v>
      </c>
      <c r="E16589" s="22" t="s">
        <v>48</v>
      </c>
      <c r="F16589" s="23" t="str">
        <f>HYPERLINK("https://www.spark-marketing.ru/Card/Lot/71396966",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6589" s="22" t="s">
        <v>1096</v>
      </c>
      <c r="H16589" s="22" t="s">
        <v>4299</v>
      </c>
      <c r="I16589" s="26">
        <v>43633.601388888899</v>
      </c>
      <c r="J16589" s="23" t="str">
        <f>HYPERLINK("https://www.spark-marketing.ru/Card/Person/126132", "МОУ СОШ № 27")</f>
        <v>МОУ СОШ № 27</v>
      </c>
      <c r="K16589" s="24" t="s">
        <v>17074</v>
      </c>
      <c r="L16589" s="28" t="s">
        <v>51</v>
      </c>
      <c r="M16589" s="28" t="s">
        <v>51</v>
      </c>
      <c r="N16589" s="28" t="s">
        <v>51</v>
      </c>
    </row>
    <row r="16590" spans="1:14" x14ac:dyDescent="0.15">
      <c r="A16590" s="23" t="str">
        <f>HYPERLINK("https://www.spark-marketing.ru/Card/Person/49365", "ГБУ СШ КРАСНОГВАРДЕЙСКОГО РАЙОНА")</f>
        <v>ГБУ СШ КРАСНОГВАРДЕЙСКОГО РАЙОНА</v>
      </c>
      <c r="B16590" s="24" t="s">
        <v>15579</v>
      </c>
      <c r="C16590" s="25">
        <v>862549.38</v>
      </c>
      <c r="D16590" s="22" t="s">
        <v>21687</v>
      </c>
      <c r="E16590" s="22" t="s">
        <v>374</v>
      </c>
      <c r="F16590" s="23" t="str">
        <f>HYPERLINK("https://www.spark-marketing.ru/Card/Lot/71424701", "Оказание услуг по организации тренировочных мероприятий за пределами Санкт - Петербурга и Ленинградской области с учетом затрат на питание, проживание и предоставление спортивного сооружения для государственного бюджетного учреждения спортивная школа...")</f>
        <v>Оказание услуг по организации тренировочных мероприятий за пределами Санкт - Петербурга и Ленинградской области с учетом затрат на питание, проживание и предоставление спортивного сооружения для государственного бюджетного учреждения спортивная школа...</v>
      </c>
      <c r="G16590" s="22" t="s">
        <v>117</v>
      </c>
      <c r="H16590" s="22" t="s">
        <v>117</v>
      </c>
      <c r="I16590" s="26">
        <v>43633.588888888902</v>
      </c>
      <c r="J16590" s="23" t="str">
        <f>HYPERLINK("https://www.spark-marketing.ru/Card/Person/1567791", "ООО ""ТЕРРА""")</f>
        <v>ООО "ТЕРРА"</v>
      </c>
      <c r="K16590" s="24" t="s">
        <v>6244</v>
      </c>
      <c r="L16590" s="22" t="s">
        <v>10</v>
      </c>
      <c r="M16590" s="28" t="s">
        <v>51</v>
      </c>
      <c r="N16590" s="28" t="s">
        <v>51</v>
      </c>
    </row>
    <row r="16591" spans="1:14" x14ac:dyDescent="0.15">
      <c r="A16591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6591" s="24" t="s">
        <v>4297</v>
      </c>
      <c r="C16591" s="25">
        <v>236250</v>
      </c>
      <c r="D16591" s="22" t="s">
        <v>21688</v>
      </c>
      <c r="E16591" s="22" t="s">
        <v>48</v>
      </c>
      <c r="F16591" s="23" t="str">
        <f>HYPERLINK("https://www.spark-marketing.ru/Card/Lot/71399007",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6591" s="22" t="s">
        <v>1096</v>
      </c>
      <c r="H16591" s="22" t="s">
        <v>4299</v>
      </c>
      <c r="I16591" s="26">
        <v>43633.616666666698</v>
      </c>
      <c r="J16591" s="23" t="str">
        <f>HYPERLINK("https://www.spark-marketing.ru/Card/Person/1041199", "МОУ СШ № 22")</f>
        <v>МОУ СШ № 22</v>
      </c>
      <c r="K16591" s="24" t="s">
        <v>16518</v>
      </c>
      <c r="L16591" s="22" t="s">
        <v>10</v>
      </c>
      <c r="M16591" s="28" t="s">
        <v>51</v>
      </c>
      <c r="N16591" s="28" t="s">
        <v>51</v>
      </c>
    </row>
    <row r="16592" spans="1:14" x14ac:dyDescent="0.15">
      <c r="A16592" s="23" t="str">
        <f>HYPERLINK("https://www.spark-marketing.ru/Card/Person/4451439", "МАОУ СОШ № 200")</f>
        <v>МАОУ СОШ № 200</v>
      </c>
      <c r="B16592" s="24" t="s">
        <v>21689</v>
      </c>
      <c r="C16592" s="25">
        <v>267750</v>
      </c>
      <c r="D16592" s="22" t="s">
        <v>21690</v>
      </c>
      <c r="E16592" s="22" t="s">
        <v>362</v>
      </c>
      <c r="F16592" s="23" t="str">
        <f>HYPERLINK("https://www.spark-marketing.ru/Card/Lot/71407171", "Оказание услуг по организации питания детей в городском летнем оздоровительном лагере при МАОУ СОШ № 200 в период с 25.06.2019 по 15.07.2019г.")</f>
        <v>Оказание услуг по организации питания детей в городском летнем оздоровительном лагере при МАОУ СОШ № 200 в период с 25.06.2019 по 15.07.2019г.</v>
      </c>
      <c r="G16592" s="22" t="s">
        <v>174</v>
      </c>
      <c r="H16592" s="22" t="s">
        <v>174</v>
      </c>
      <c r="I16592" s="26">
        <v>43633.6160648148</v>
      </c>
      <c r="J16592" s="28" t="s">
        <v>51</v>
      </c>
      <c r="K16592" s="28" t="s">
        <v>51</v>
      </c>
      <c r="L16592" s="28" t="s">
        <v>51</v>
      </c>
      <c r="M16592" s="28" t="s">
        <v>51</v>
      </c>
      <c r="N16592" s="28" t="s">
        <v>51</v>
      </c>
    </row>
    <row r="16593" spans="1:14" x14ac:dyDescent="0.15">
      <c r="A16593" s="23" t="str">
        <f>HYPERLINK("https://www.spark-marketing.ru/Card/Person/873652", "МАДОУ - Д/С №10 СТ. СТАРОВЕЛИЧКОВСКОЙ")</f>
        <v>МАДОУ - Д/С №10 СТ. СТАРОВЕЛИЧКОВСКОЙ</v>
      </c>
      <c r="B16593" s="24" t="s">
        <v>21691</v>
      </c>
      <c r="C16593" s="25">
        <v>1775000</v>
      </c>
      <c r="D16593" s="22" t="s">
        <v>21692</v>
      </c>
      <c r="E16593" s="22" t="s">
        <v>362</v>
      </c>
      <c r="F16593" s="23" t="str">
        <f>HYPERLINK("https://www.spark-marketing.ru/Card/Lot/71411246", "услуги по организации питания детей")</f>
        <v>услуги по организации питания детей</v>
      </c>
      <c r="G16593" s="22" t="s">
        <v>104</v>
      </c>
      <c r="H16593" s="22" t="s">
        <v>104</v>
      </c>
      <c r="I16593" s="26">
        <v>43633.618692129603</v>
      </c>
      <c r="J16593" s="28" t="s">
        <v>51</v>
      </c>
      <c r="K16593" s="28" t="s">
        <v>51</v>
      </c>
      <c r="L16593" s="28" t="s">
        <v>51</v>
      </c>
      <c r="M16593" s="28" t="s">
        <v>51</v>
      </c>
      <c r="N16593" s="28" t="s">
        <v>51</v>
      </c>
    </row>
    <row r="16594" spans="1:14" hidden="1" outlineLevel="1" x14ac:dyDescent="0.2">
      <c r="A16594" s="23" t="str">
        <f>HYPERLINK("https://www.spark-marketing.ru/Card/Person/873652", "МАДОУ - Д/С №10 СТ. СТАРОВЕЛИЧКОВСКОЙ")</f>
        <v>МАДОУ - Д/С №10 СТ. СТАРОВЕЛИЧКОВСКОЙ</v>
      </c>
      <c r="B16594" s="24" t="s">
        <v>21691</v>
      </c>
      <c r="C16594" s="28" t="s">
        <v>51</v>
      </c>
      <c r="D16594" s="22" t="s">
        <v>21692</v>
      </c>
      <c r="E16594" s="22" t="s">
        <v>362</v>
      </c>
      <c r="F16594" s="23" t="str">
        <f>HYPERLINK("https://www.spark-marketing.ru/Card/Lot/71411246", "услуги по организации питания детей")</f>
        <v>услуги по организации питания детей</v>
      </c>
      <c r="G16594" s="22" t="s">
        <v>104</v>
      </c>
      <c r="H16594" s="22" t="s">
        <v>104</v>
      </c>
      <c r="I16594" s="26">
        <v>43633.618692129603</v>
      </c>
      <c r="J16594" s="23" t="str">
        <f>HYPERLINK("https://www.spark-marketing.ru/Card/Person/-1", "неизвестно")</f>
        <v>неизвестно</v>
      </c>
      <c r="K16594" s="28" t="s">
        <v>51</v>
      </c>
      <c r="L16594" s="22" t="s">
        <v>10</v>
      </c>
      <c r="M16594" s="25">
        <v>1677375</v>
      </c>
      <c r="N16594" s="27">
        <v>5.5E-2</v>
      </c>
    </row>
    <row r="16595" spans="1:14" hidden="1" outlineLevel="1" x14ac:dyDescent="0.2">
      <c r="A16595" s="23" t="str">
        <f>HYPERLINK("https://www.spark-marketing.ru/Card/Person/873652", "МАДОУ - Д/С №10 СТ. СТАРОВЕЛИЧКОВСКОЙ")</f>
        <v>МАДОУ - Д/С №10 СТ. СТАРОВЕЛИЧКОВСКОЙ</v>
      </c>
      <c r="B16595" s="24" t="s">
        <v>21691</v>
      </c>
      <c r="C16595" s="28" t="s">
        <v>51</v>
      </c>
      <c r="D16595" s="22" t="s">
        <v>21692</v>
      </c>
      <c r="E16595" s="22" t="s">
        <v>362</v>
      </c>
      <c r="F16595" s="23" t="str">
        <f>HYPERLINK("https://www.spark-marketing.ru/Card/Lot/71411246", "услуги по организации питания детей")</f>
        <v>услуги по организации питания детей</v>
      </c>
      <c r="G16595" s="22" t="s">
        <v>104</v>
      </c>
      <c r="H16595" s="22" t="s">
        <v>104</v>
      </c>
      <c r="I16595" s="26">
        <v>43633.618692129603</v>
      </c>
      <c r="J16595" s="23" t="str">
        <f>HYPERLINK("https://www.spark-marketing.ru/Card/Person/-1", "неизвестно")</f>
        <v>неизвестно</v>
      </c>
      <c r="K16595" s="28" t="s">
        <v>51</v>
      </c>
      <c r="L16595" s="28" t="s">
        <v>51</v>
      </c>
      <c r="M16595" s="25">
        <v>1686250</v>
      </c>
      <c r="N16595" s="27">
        <v>0.05</v>
      </c>
    </row>
    <row r="16596" spans="1:14" x14ac:dyDescent="0.15">
      <c r="A16596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6596" s="24" t="s">
        <v>4297</v>
      </c>
      <c r="C16596" s="25">
        <v>456750</v>
      </c>
      <c r="D16596" s="22" t="s">
        <v>21693</v>
      </c>
      <c r="E16596" s="22" t="s">
        <v>48</v>
      </c>
      <c r="F16596" s="23" t="str">
        <f>HYPERLINK("https://www.spark-marketing.ru/Card/Lot/71398960",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Ленинс...</v>
      </c>
      <c r="G16596" s="22" t="s">
        <v>1096</v>
      </c>
      <c r="H16596" s="22" t="s">
        <v>4299</v>
      </c>
      <c r="I16596" s="26">
        <v>43633.617361111101</v>
      </c>
      <c r="J16596" s="23" t="str">
        <f>HYPERLINK("https://www.spark-marketing.ru/Card/Person/7745", "МОУ ЛИЦЕЙ № 33")</f>
        <v>МОУ ЛИЦЕЙ № 33</v>
      </c>
      <c r="K16596" s="24" t="s">
        <v>16837</v>
      </c>
      <c r="L16596" s="22" t="s">
        <v>10</v>
      </c>
      <c r="M16596" s="28" t="s">
        <v>51</v>
      </c>
      <c r="N16596" s="28" t="s">
        <v>51</v>
      </c>
    </row>
    <row r="16597" spans="1:14" ht="12.75" x14ac:dyDescent="0.2">
      <c r="A16597" s="23" t="str">
        <f>HYPERLINK("https://www.spark-marketing.ru/Card/Person/137794", "ГБУ АО ""ЦВКП""")</f>
        <v>ГБУ АО "ЦВКП"</v>
      </c>
      <c r="B16597" s="24" t="s">
        <v>2199</v>
      </c>
      <c r="C16597" s="25">
        <v>280000</v>
      </c>
      <c r="D16597" s="22" t="s">
        <v>21694</v>
      </c>
      <c r="E16597" s="22" t="s">
        <v>1632</v>
      </c>
      <c r="F16597" s="23" t="str">
        <f>HYPERLINK("https://www.spark-marketing.ru/Card/Lot/71417696", "Оказание услуг по обеспечению питанием и проживанием участников профильных детских казачьих смен (2 смена)")</f>
        <v>Оказание услуг по обеспечению питанием и проживанием участников профильных детских казачьих смен (2 смена)</v>
      </c>
      <c r="G16597" s="22" t="s">
        <v>141</v>
      </c>
      <c r="H16597" s="22" t="s">
        <v>2201</v>
      </c>
      <c r="I16597" s="26">
        <v>43633.601388888899</v>
      </c>
      <c r="J16597" s="23" t="str">
        <f>HYPERLINK("https://www.spark-marketing.ru/Card/Person/276402", "ООО СОЛКД ""АСТРАХАНСКИЕ ЗОРИ""")</f>
        <v>ООО СОЛКД "АСТРАХАНСКИЕ ЗОРИ"</v>
      </c>
      <c r="K16597" s="24" t="s">
        <v>19786</v>
      </c>
      <c r="L16597" s="22" t="s">
        <v>10</v>
      </c>
      <c r="M16597" s="25">
        <v>280000</v>
      </c>
      <c r="N16597" s="27">
        <v>0</v>
      </c>
    </row>
    <row r="16598" spans="1:14" x14ac:dyDescent="0.15">
      <c r="A16598" s="23" t="str">
        <f>HYPERLINK("https://www.spark-marketing.ru/Card/Person/4348382", "ООО ""ГАЗПРОМ ПИТАНИЕ""")</f>
        <v>ООО "ГАЗПРОМ ПИТАНИЕ"</v>
      </c>
      <c r="B16598" s="24" t="s">
        <v>2869</v>
      </c>
      <c r="C16598" s="25">
        <v>9810.4699999999993</v>
      </c>
      <c r="D16598" s="22" t="s">
        <v>21695</v>
      </c>
      <c r="E16598" s="22" t="s">
        <v>52</v>
      </c>
      <c r="F16598" s="23" t="str">
        <f>HYPERLINK("https://www.spark-marketing.ru/Card/Lot/71410421", "Оказание услуг по сопровождению (обновлению ранее установленной) информационной справочной системы консультантплюс для нужд филиала «ставропольское управление по организации общественного питания» ооо «газпром питание» (на июль 2019 года).")</f>
        <v>Оказание услуг по сопровождению (обновлению ранее установленной) информационной справочной системы консультантплюс для нужд филиала «ставропольское управление по организации общественного питания» ооо «газпром питание» (на июль 2019 года).</v>
      </c>
      <c r="G16598" s="22" t="s">
        <v>56</v>
      </c>
      <c r="H16598" s="22" t="s">
        <v>56</v>
      </c>
      <c r="I16598" s="26">
        <v>43633.623611111099</v>
      </c>
      <c r="J16598" s="28" t="s">
        <v>51</v>
      </c>
      <c r="K16598" s="28" t="s">
        <v>51</v>
      </c>
      <c r="L16598" s="28" t="s">
        <v>51</v>
      </c>
      <c r="M16598" s="28" t="s">
        <v>51</v>
      </c>
      <c r="N16598" s="28" t="s">
        <v>51</v>
      </c>
    </row>
    <row r="16599" spans="1:14" x14ac:dyDescent="0.15">
      <c r="A16599" s="23" t="str">
        <f>HYPERLINK("https://www.spark-marketing.ru/Card/Person/24598", "ГБУЗ СО ""ТГКБ №1""")</f>
        <v>ГБУЗ СО "ТГКБ №1"</v>
      </c>
      <c r="B16599" s="24" t="s">
        <v>21627</v>
      </c>
      <c r="C16599" s="25">
        <v>397992</v>
      </c>
      <c r="D16599" s="22" t="s">
        <v>21696</v>
      </c>
      <c r="E16599" s="22" t="s">
        <v>48</v>
      </c>
      <c r="F16599" s="23" t="str">
        <f>HYPERLINK("https://www.spark-marketing.ru/Card/Lot/71419713",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""Тольяттинская городская клиническая больница №1""")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"Тольяттинская городская клиническая больница №1"</v>
      </c>
      <c r="G16599" s="22" t="s">
        <v>128</v>
      </c>
      <c r="H16599" s="22" t="s">
        <v>2819</v>
      </c>
      <c r="I16599" s="26">
        <v>43633.623611111099</v>
      </c>
      <c r="J16599" s="28" t="s">
        <v>51</v>
      </c>
      <c r="K16599" s="28" t="s">
        <v>51</v>
      </c>
      <c r="L16599" s="28" t="s">
        <v>51</v>
      </c>
      <c r="M16599" s="28" t="s">
        <v>51</v>
      </c>
      <c r="N16599" s="28" t="s">
        <v>51</v>
      </c>
    </row>
    <row r="16600" spans="1:14" ht="12.75" hidden="1" outlineLevel="1" x14ac:dyDescent="0.2">
      <c r="A16600" s="23" t="str">
        <f>HYPERLINK("https://www.spark-marketing.ru/Card/Person/24598", "ГБУЗ СО ""ТГКБ №1""")</f>
        <v>ГБУЗ СО "ТГКБ №1"</v>
      </c>
      <c r="B16600" s="24" t="s">
        <v>21627</v>
      </c>
      <c r="C16600" s="25">
        <v>397992</v>
      </c>
      <c r="D16600" s="22" t="s">
        <v>21696</v>
      </c>
      <c r="E16600" s="22" t="s">
        <v>48</v>
      </c>
      <c r="F16600" s="23" t="str">
        <f>HYPERLINK("https://www.spark-marketing.ru/Card/Lot/71419713",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""Тольяттинская городская клиническая больница №1""")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"Тольяттинская городская клиническая больница №1"</v>
      </c>
      <c r="G16600" s="22" t="s">
        <v>128</v>
      </c>
      <c r="H16600" s="22" t="s">
        <v>2819</v>
      </c>
      <c r="I16600" s="26">
        <v>43633.623611111099</v>
      </c>
      <c r="J16600" s="23" t="str">
        <f>HYPERLINK("https://www.spark-marketing.ru/Card/Person/52363", "ООО ""АК БАРС""")</f>
        <v>ООО "АК БАРС"</v>
      </c>
      <c r="K16600" s="24" t="s">
        <v>4191</v>
      </c>
      <c r="L16600" s="22" t="s">
        <v>10</v>
      </c>
      <c r="M16600" s="25">
        <v>388700</v>
      </c>
      <c r="N16600" s="27">
        <v>2.3347202958853445E-2</v>
      </c>
    </row>
    <row r="16601" spans="1:14" hidden="1" outlineLevel="1" x14ac:dyDescent="0.2">
      <c r="A16601" s="23" t="str">
        <f>HYPERLINK("https://www.spark-marketing.ru/Card/Person/24598", "ГБУЗ СО ""ТГКБ №1""")</f>
        <v>ГБУЗ СО "ТГКБ №1"</v>
      </c>
      <c r="B16601" s="24" t="s">
        <v>21627</v>
      </c>
      <c r="C16601" s="25">
        <v>397992</v>
      </c>
      <c r="D16601" s="22" t="s">
        <v>21696</v>
      </c>
      <c r="E16601" s="22" t="s">
        <v>48</v>
      </c>
      <c r="F16601" s="23" t="str">
        <f>HYPERLINK("https://www.spark-marketing.ru/Card/Lot/71419713", "Оказание услуг по приготовлению диетического лечебного питания для нужд Государственного бюджетного учреждения здравоохранения Самарской области ""Тольяттинская городская клиническая больница №1""")</f>
        <v>Оказание услуг по приготовлению диетического лечебного питания для нужд Государственного бюджетного учреждения здравоохранения Самарской области "Тольяттинская городская клиническая больница №1"</v>
      </c>
      <c r="G16601" s="22" t="s">
        <v>128</v>
      </c>
      <c r="H16601" s="22" t="s">
        <v>2819</v>
      </c>
      <c r="I16601" s="26">
        <v>43633.623611111099</v>
      </c>
      <c r="J16601" s="23" t="str">
        <f>HYPERLINK("https://www.spark-marketing.ru/Card/Person/31748", "ЧУСТРИ ""АРАХНА"" ТГООИВ")</f>
        <v>ЧУСТРИ "АРАХНА" ТГООИВ</v>
      </c>
      <c r="K16601" s="24" t="s">
        <v>14531</v>
      </c>
      <c r="L16601" s="28" t="s">
        <v>51</v>
      </c>
      <c r="M16601" s="25">
        <v>397992</v>
      </c>
      <c r="N16601" s="27">
        <v>0</v>
      </c>
    </row>
    <row r="16602" spans="1:14" x14ac:dyDescent="0.15">
      <c r="A16602" s="23" t="str">
        <f>HYPERLINK("https://www.spark-marketing.ru/Card/Person/12977", "ФГБОУ ВО СПБГПМУ МИНЗДРАВА РОССИИ")</f>
        <v>ФГБОУ ВО СПБГПМУ МИНЗДРАВА РОССИИ</v>
      </c>
      <c r="B16602" s="24" t="s">
        <v>704</v>
      </c>
      <c r="C16602" s="25">
        <v>222666.66</v>
      </c>
      <c r="D16602" s="22" t="s">
        <v>21697</v>
      </c>
      <c r="E16602" s="22" t="s">
        <v>355</v>
      </c>
      <c r="F16602" s="23" t="str">
        <f>HYPERLINK("https://www.spark-marketing.ru/Card/Lot/71414926", "Выполнение работ по техническому обслуживанию, планово-предупредительному ремонту,  диагностике и профилактике источников бесперебойного питания (ИБП),  используемых для обеспечения надежности работы медицинского оборудования в 2019 году")</f>
        <v>Выполнение работ по техническому обслуживанию, планово-предупредительному ремонту,  диагностике и профилактике источников бесперебойного питания (ИБП),  используемых для обеспечения надежности работы медицинского оборудования в 2019 году</v>
      </c>
      <c r="G16602" s="22" t="s">
        <v>117</v>
      </c>
      <c r="H16602" s="22" t="s">
        <v>117</v>
      </c>
      <c r="I16602" s="26">
        <v>43633.590972222199</v>
      </c>
      <c r="J16602" s="28" t="s">
        <v>51</v>
      </c>
      <c r="K16602" s="28" t="s">
        <v>51</v>
      </c>
      <c r="L16602" s="28" t="s">
        <v>51</v>
      </c>
      <c r="M16602" s="28" t="s">
        <v>51</v>
      </c>
      <c r="N16602" s="28" t="s">
        <v>51</v>
      </c>
    </row>
    <row r="16603" spans="1:14" ht="12.75" hidden="1" outlineLevel="1" x14ac:dyDescent="0.2">
      <c r="A16603" s="23" t="str">
        <f>HYPERLINK("https://www.spark-marketing.ru/Card/Person/12977", "ФГБОУ ВО СПБГПМУ МИНЗДРАВА РОССИИ")</f>
        <v>ФГБОУ ВО СПБГПМУ МИНЗДРАВА РОССИИ</v>
      </c>
      <c r="B16603" s="24" t="s">
        <v>704</v>
      </c>
      <c r="C16603" s="25">
        <v>222666.66</v>
      </c>
      <c r="D16603" s="22" t="s">
        <v>21697</v>
      </c>
      <c r="E16603" s="22" t="s">
        <v>355</v>
      </c>
      <c r="F16603" s="23" t="str">
        <f>HYPERLINK("https://www.spark-marketing.ru/Card/Lot/71414926", "Выполнение работ по техническому обслуживанию, планово-предупредительному ремонту,  диагностике и профилактике источников бесперебойного питания (ИБП),  используемых для обеспечения надежности работы медицинского оборудования в 2019 году")</f>
        <v>Выполнение работ по техническому обслуживанию, планово-предупредительному ремонту,  диагностике и профилактике источников бесперебойного питания (ИБП),  используемых для обеспечения надежности работы медицинского оборудования в 2019 году</v>
      </c>
      <c r="G16603" s="22" t="s">
        <v>117</v>
      </c>
      <c r="H16603" s="22" t="s">
        <v>117</v>
      </c>
      <c r="I16603" s="26">
        <v>43633.590972222199</v>
      </c>
      <c r="J16603" s="23" t="str">
        <f>HYPERLINK("https://www.spark-marketing.ru/Card/Person/6465471", "ООО ""ТЕХНОЛОГИИ И СЕРВИС""")</f>
        <v>ООО "ТЕХНОЛОГИИ И СЕРВИС"</v>
      </c>
      <c r="K16603" s="24" t="s">
        <v>21698</v>
      </c>
      <c r="L16603" s="22" t="s">
        <v>10</v>
      </c>
      <c r="M16603" s="25">
        <v>42453.49</v>
      </c>
      <c r="N16603" s="27">
        <v>0.80934060806409003</v>
      </c>
    </row>
    <row r="16604" spans="1:14" hidden="1" outlineLevel="1" x14ac:dyDescent="0.2">
      <c r="A16604" s="23" t="str">
        <f>HYPERLINK("https://www.spark-marketing.ru/Card/Person/12977", "ФГБОУ ВО СПБГПМУ МИНЗДРАВА РОССИИ")</f>
        <v>ФГБОУ ВО СПБГПМУ МИНЗДРАВА РОССИИ</v>
      </c>
      <c r="B16604" s="24" t="s">
        <v>704</v>
      </c>
      <c r="C16604" s="25">
        <v>222666.66</v>
      </c>
      <c r="D16604" s="22" t="s">
        <v>21697</v>
      </c>
      <c r="E16604" s="22" t="s">
        <v>355</v>
      </c>
      <c r="F16604" s="23" t="str">
        <f>HYPERLINK("https://www.spark-marketing.ru/Card/Lot/71414926", "Выполнение работ по техническому обслуживанию, планово-предупредительному ремонту,  диагностике и профилактике источников бесперебойного питания (ИБП),  используемых для обеспечения надежности работы медицинского оборудования в 2019 году")</f>
        <v>Выполнение работ по техническому обслуживанию, планово-предупредительному ремонту,  диагностике и профилактике источников бесперебойного питания (ИБП),  используемых для обеспечения надежности работы медицинского оборудования в 2019 году</v>
      </c>
      <c r="G16604" s="22" t="s">
        <v>117</v>
      </c>
      <c r="H16604" s="22" t="s">
        <v>117</v>
      </c>
      <c r="I16604" s="26">
        <v>43633.590972222199</v>
      </c>
      <c r="J16604" s="23" t="str">
        <f>HYPERLINK("https://www.spark-marketing.ru/Card/Person/6057539", "ООО ""БАЗИС""")</f>
        <v>ООО "БАЗИС"</v>
      </c>
      <c r="K16604" s="24" t="s">
        <v>2578</v>
      </c>
      <c r="L16604" s="28" t="s">
        <v>51</v>
      </c>
      <c r="M16604" s="25">
        <v>205000</v>
      </c>
      <c r="N16604" s="27">
        <v>7.9341289800637413E-2</v>
      </c>
    </row>
    <row r="16605" spans="1:14" hidden="1" outlineLevel="1" x14ac:dyDescent="0.2">
      <c r="A16605" s="23" t="str">
        <f>HYPERLINK("https://www.spark-marketing.ru/Card/Person/12977", "ФГБОУ ВО СПБГПМУ МИНЗДРАВА РОССИИ")</f>
        <v>ФГБОУ ВО СПБГПМУ МИНЗДРАВА РОССИИ</v>
      </c>
      <c r="B16605" s="24" t="s">
        <v>704</v>
      </c>
      <c r="C16605" s="25">
        <v>222666.66</v>
      </c>
      <c r="D16605" s="22" t="s">
        <v>21697</v>
      </c>
      <c r="E16605" s="22" t="s">
        <v>355</v>
      </c>
      <c r="F16605" s="23" t="str">
        <f>HYPERLINK("https://www.spark-marketing.ru/Card/Lot/71414926", "Выполнение работ по техническому обслуживанию, планово-предупредительному ремонту,  диагностике и профилактике источников бесперебойного питания (ИБП),  используемых для обеспечения надежности работы медицинского оборудования в 2019 году")</f>
        <v>Выполнение работ по техническому обслуживанию, планово-предупредительному ремонту,  диагностике и профилактике источников бесперебойного питания (ИБП),  используемых для обеспечения надежности работы медицинского оборудования в 2019 году</v>
      </c>
      <c r="G16605" s="22" t="s">
        <v>117</v>
      </c>
      <c r="H16605" s="22" t="s">
        <v>117</v>
      </c>
      <c r="I16605" s="26">
        <v>43633.590972222199</v>
      </c>
      <c r="J16605" s="23" t="str">
        <f>HYPERLINK("https://www.spark-marketing.ru/Card/Person/6483905", "ООО ""ИТП""")</f>
        <v>ООО "ИТП"</v>
      </c>
      <c r="K16605" s="24" t="s">
        <v>21699</v>
      </c>
      <c r="L16605" s="28" t="s">
        <v>51</v>
      </c>
      <c r="M16605" s="25">
        <v>43566.82</v>
      </c>
      <c r="N16605" s="27">
        <v>0.80434062288444974</v>
      </c>
    </row>
    <row r="16606" spans="1:14" x14ac:dyDescent="0.15">
      <c r="A16606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6606" s="24" t="s">
        <v>4297</v>
      </c>
      <c r="C16606" s="25">
        <v>315000</v>
      </c>
      <c r="D16606" s="22" t="s">
        <v>21700</v>
      </c>
      <c r="E16606" s="22" t="s">
        <v>48</v>
      </c>
      <c r="F16606" s="23" t="str">
        <f>HYPERLINK("https://www.spark-marketing.ru/Card/Lot/71396896",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6606" s="22" t="s">
        <v>1096</v>
      </c>
      <c r="H16606" s="22" t="s">
        <v>4299</v>
      </c>
      <c r="I16606" s="26">
        <v>43633.599305555603</v>
      </c>
      <c r="J16606" s="23" t="str">
        <f>HYPERLINK("https://www.spark-marketing.ru/Card/Person/118921", "МОУ СОШ № 34")</f>
        <v>МОУ СОШ № 34</v>
      </c>
      <c r="K16606" s="24" t="s">
        <v>17114</v>
      </c>
      <c r="L16606" s="28" t="s">
        <v>51</v>
      </c>
      <c r="M16606" s="28" t="s">
        <v>51</v>
      </c>
      <c r="N16606" s="28" t="s">
        <v>51</v>
      </c>
    </row>
    <row r="16607" spans="1:14" x14ac:dyDescent="0.15">
      <c r="A16607" s="23" t="str">
        <f>HYPERLINK("https://www.spark-marketing.ru/Card/Person/170402", "АО ""ОЛ СИЗОНС ОТЕЛЬ МЕНЕДЖМЕНТ""")</f>
        <v>АО "ОЛ СИЗОНС ОТЕЛЬ МЕНЕДЖМЕНТ"</v>
      </c>
      <c r="B16607" s="24" t="s">
        <v>21701</v>
      </c>
      <c r="C16607" s="25">
        <v>0</v>
      </c>
      <c r="D16607" s="22" t="s">
        <v>21702</v>
      </c>
      <c r="E16607" s="22" t="s">
        <v>4218</v>
      </c>
      <c r="F16607" s="23" t="str">
        <f>HYPERLINK("https://www.spark-marketing.ru/Card/Lot/71409841", "Оказание услуг совершать за вознаграждение следующие действия: привлекать третьих лиц (далее Клиенты), которым Принципал будет оказывать услуги по проживанию в гостинице по Специальным тарифам, действующим в момент такого размещения за выбранную Клие...")</f>
        <v>Оказание услуг совершать за вознаграждение следующие действия: привлекать третьих лиц (далее Клиенты), которым Принципал будет оказывать услуги по проживанию в гостинице по Специальным тарифам, действующим в момент такого размещения за выбранную Клие...</v>
      </c>
      <c r="G16607" s="22" t="s">
        <v>217</v>
      </c>
      <c r="H16607" s="22" t="s">
        <v>217</v>
      </c>
      <c r="I16607" s="26">
        <v>43633.618067129602</v>
      </c>
      <c r="J16607" s="28" t="s">
        <v>51</v>
      </c>
      <c r="K16607" s="28" t="s">
        <v>51</v>
      </c>
      <c r="L16607" s="28" t="s">
        <v>51</v>
      </c>
      <c r="M16607" s="28" t="s">
        <v>51</v>
      </c>
      <c r="N16607" s="28" t="s">
        <v>51</v>
      </c>
    </row>
    <row r="16608" spans="1:14" x14ac:dyDescent="0.15">
      <c r="A16608" s="23" t="str">
        <f>HYPERLINK("https://www.spark-marketing.ru/Card/Person/879810", "ОМВД РОССИИ ПО АЛТАЙСКОМУ РАЙОНУ")</f>
        <v>ОМВД РОССИИ ПО АЛТАЙСКОМУ РАЙОНУ</v>
      </c>
      <c r="B16608" s="24" t="s">
        <v>8602</v>
      </c>
      <c r="C16608" s="25">
        <v>100000</v>
      </c>
      <c r="D16608" s="22" t="s">
        <v>21703</v>
      </c>
      <c r="E16608" s="22" t="s">
        <v>48</v>
      </c>
      <c r="F16608" s="23" t="str">
        <f>HYPERLINK("https://www.spark-marketing.ru/Card/Lot/71404942", "Услуги общественного питания, 400 усл. ед")</f>
        <v>Услуги общественного питания, 400 усл. ед</v>
      </c>
      <c r="G16608" s="22" t="s">
        <v>63</v>
      </c>
      <c r="H16608" s="22" t="s">
        <v>8604</v>
      </c>
      <c r="I16608" s="26">
        <v>43633.542129629597</v>
      </c>
      <c r="J16608" s="28" t="s">
        <v>51</v>
      </c>
      <c r="K16608" s="28" t="s">
        <v>51</v>
      </c>
      <c r="L16608" s="28" t="s">
        <v>51</v>
      </c>
      <c r="M16608" s="28" t="s">
        <v>51</v>
      </c>
      <c r="N16608" s="28" t="s">
        <v>51</v>
      </c>
    </row>
    <row r="16609" spans="1:14" x14ac:dyDescent="0.15">
      <c r="A16609" s="23" t="str">
        <f>HYPERLINK("https://www.spark-marketing.ru/Card/Person/17900", "ГКУ КК ЦЗН ГОРОДА КРАСНОДАРА")</f>
        <v>ГКУ КК ЦЗН ГОРОДА КРАСНОДАРА</v>
      </c>
      <c r="B16609" s="24" t="s">
        <v>7798</v>
      </c>
      <c r="C16609" s="25">
        <v>176666.7</v>
      </c>
      <c r="D16609" s="22" t="s">
        <v>21704</v>
      </c>
      <c r="E16609" s="22" t="s">
        <v>2599</v>
      </c>
      <c r="F16609" s="23" t="str">
        <f>HYPERLINK("https://www.spark-marketing.ru/Card/Lot/71412767", "Оказание услуг по профессиональному обучению и дополнительному профессиональному образованию лиц предпенсионного возраста в сфере общественного питания")</f>
        <v>Оказание услуг по профессиональному обучению и дополнительному профессиональному образованию лиц предпенсионного возраста в сфере общественного питания</v>
      </c>
      <c r="G16609" s="22" t="s">
        <v>104</v>
      </c>
      <c r="H16609" s="22" t="s">
        <v>120</v>
      </c>
      <c r="I16609" s="26">
        <v>43633.569444444402</v>
      </c>
      <c r="J16609" s="23" t="str">
        <f>HYPERLINK("https://www.spark-marketing.ru/Card/Person/5827368", "ООО ""ВАШ ДОМ""")</f>
        <v>ООО "ВАШ ДОМ"</v>
      </c>
      <c r="K16609" s="24" t="s">
        <v>21705</v>
      </c>
      <c r="L16609" s="28" t="s">
        <v>51</v>
      </c>
      <c r="M16609" s="28" t="s">
        <v>51</v>
      </c>
      <c r="N16609" s="28" t="s">
        <v>51</v>
      </c>
    </row>
    <row r="16610" spans="1:14" hidden="1" outlineLevel="1" x14ac:dyDescent="0.2">
      <c r="A16610" s="23" t="str">
        <f>HYPERLINK("https://www.spark-marketing.ru/Card/Person/17900", "ГКУ КК ЦЗН ГОРОДА КРАСНОДАРА")</f>
        <v>ГКУ КК ЦЗН ГОРОДА КРАСНОДАРА</v>
      </c>
      <c r="B16610" s="24" t="s">
        <v>7798</v>
      </c>
      <c r="C16610" s="25">
        <v>176666.7</v>
      </c>
      <c r="D16610" s="22" t="s">
        <v>21704</v>
      </c>
      <c r="E16610" s="22" t="s">
        <v>2599</v>
      </c>
      <c r="F16610" s="23" t="str">
        <f>HYPERLINK("https://www.spark-marketing.ru/Card/Lot/71412767", "Оказание услуг по профессиональному обучению и дополнительному профессиональному образованию лиц предпенсионного возраста в сфере общественного питания")</f>
        <v>Оказание услуг по профессиональному обучению и дополнительному профессиональному образованию лиц предпенсионного возраста в сфере общественного питания</v>
      </c>
      <c r="G16610" s="22" t="s">
        <v>104</v>
      </c>
      <c r="H16610" s="22" t="s">
        <v>120</v>
      </c>
      <c r="I16610" s="26">
        <v>43633.569444444402</v>
      </c>
      <c r="J16610" s="23" t="str">
        <f>HYPERLINK("https://www.spark-marketing.ru/Card/Person/5827368", "ООО ""ВАШ ДОМ""")</f>
        <v>ООО "ВАШ ДОМ"</v>
      </c>
      <c r="K16610" s="24" t="s">
        <v>21705</v>
      </c>
      <c r="L16610" s="28" t="s">
        <v>51</v>
      </c>
      <c r="M16610" s="25">
        <v>175783.37</v>
      </c>
      <c r="N16610" s="27">
        <v>4.9999801886829835E-3</v>
      </c>
    </row>
    <row r="16611" spans="1:14" x14ac:dyDescent="0.15">
      <c r="A16611" s="23" t="str">
        <f>HYPERLINK("https://www.spark-marketing.ru/Card/Person/362516", "ОТДЕЛ МВД РОССИИ ПО КОЧЕНЕВСКОМУ РАЙОНУ")</f>
        <v>ОТДЕЛ МВД РОССИИ ПО КОЧЕНЕВСКОМУ РАЙОНУ</v>
      </c>
      <c r="B16611" s="24" t="s">
        <v>9818</v>
      </c>
      <c r="C16611" s="25">
        <v>92000</v>
      </c>
      <c r="D16611" s="22" t="s">
        <v>21706</v>
      </c>
      <c r="E16611" s="22" t="s">
        <v>48</v>
      </c>
      <c r="F16611" s="23" t="str">
        <f>HYPERLINK("https://www.spark-marketing.ru/Card/Lot/71404944", "Услуги по доставке горячего питания (завтрак, обед, ужин), 1 усл. ед")</f>
        <v>Услуги по доставке горячего питания (завтрак, обед, ужин), 1 усл. ед</v>
      </c>
      <c r="G16611" s="22" t="s">
        <v>195</v>
      </c>
      <c r="H16611" s="22" t="s">
        <v>9820</v>
      </c>
      <c r="I16611" s="26">
        <v>43633.542546296303</v>
      </c>
      <c r="J16611" s="28" t="s">
        <v>51</v>
      </c>
      <c r="K16611" s="28" t="s">
        <v>51</v>
      </c>
      <c r="L16611" s="28" t="s">
        <v>51</v>
      </c>
      <c r="M16611" s="28" t="s">
        <v>51</v>
      </c>
      <c r="N16611" s="28" t="s">
        <v>51</v>
      </c>
    </row>
    <row r="16612" spans="1:14" x14ac:dyDescent="0.15">
      <c r="A16612" s="23" t="str">
        <f>HYPERLINK("https://www.spark-marketing.ru/Card/Person/1359589", "ОГАУЗ ""ТОКБ""")</f>
        <v>ОГАУЗ "ТОКБ"</v>
      </c>
      <c r="B16612" s="24" t="s">
        <v>21707</v>
      </c>
      <c r="C16612" s="25">
        <v>60990</v>
      </c>
      <c r="D16612" s="22" t="s">
        <v>21708</v>
      </c>
      <c r="E16612" s="22" t="s">
        <v>21709</v>
      </c>
      <c r="F16612" s="23" t="str">
        <f>HYPERLINK("https://www.spark-marketing.ru/Card/Lot/71403922", "Поставка средств системы контроля доступа в стационар и оказание услуг по вводу в эксплуатацию (монтажу, инструктажу персонала, гарантийному ремонту)")</f>
        <v>Поставка средств системы контроля доступа в стационар и оказание услуг по вводу в эксплуатацию (монтажу, инструктажу персонала, гарантийному ремонту)</v>
      </c>
      <c r="G16612" s="22" t="s">
        <v>149</v>
      </c>
      <c r="H16612" s="22" t="s">
        <v>496</v>
      </c>
      <c r="I16612" s="26">
        <v>43633.5090277778</v>
      </c>
      <c r="J16612" s="28" t="s">
        <v>51</v>
      </c>
      <c r="K16612" s="28" t="s">
        <v>51</v>
      </c>
      <c r="L16612" s="28" t="s">
        <v>51</v>
      </c>
      <c r="M16612" s="28" t="s">
        <v>51</v>
      </c>
      <c r="N16612" s="28" t="s">
        <v>51</v>
      </c>
    </row>
    <row r="16613" spans="1:14" x14ac:dyDescent="0.2">
      <c r="A16613" s="23" t="str">
        <f>HYPERLINK("https://www.spark-marketing.ru/Card/Person/6218030", "МДОУ ""ДЕТСКИЙ САД № 98""")</f>
        <v>МДОУ "ДЕТСКИЙ САД № 98"</v>
      </c>
      <c r="B16613" s="24" t="s">
        <v>21710</v>
      </c>
      <c r="C16613" s="25">
        <v>2415000</v>
      </c>
      <c r="D16613" s="22" t="s">
        <v>21711</v>
      </c>
      <c r="E16613" s="22" t="s">
        <v>362</v>
      </c>
      <c r="F16613" s="23" t="str">
        <f>HYPERLINK("https://www.spark-marketing.ru/Card/Lot/71407216", "Оказание услуг по организации питания")</f>
        <v>Оказание услуг по организации питания</v>
      </c>
      <c r="G16613" s="22" t="s">
        <v>185</v>
      </c>
      <c r="H16613" s="22" t="s">
        <v>185</v>
      </c>
      <c r="I16613" s="26">
        <v>43633.510879629597</v>
      </c>
      <c r="J16613" s="28" t="s">
        <v>51</v>
      </c>
      <c r="K16613" s="28" t="s">
        <v>51</v>
      </c>
      <c r="L16613" s="22" t="s">
        <v>10</v>
      </c>
      <c r="M16613" s="25">
        <v>2415000</v>
      </c>
      <c r="N16613" s="27">
        <v>0</v>
      </c>
    </row>
    <row r="16614" spans="1:14" x14ac:dyDescent="0.15">
      <c r="A16614" s="23" t="str">
        <f>HYPERLINK("https://www.spark-marketing.ru/Card/Person/4375300", "МДОУ №19 С.ТРОПАРЕВО")</f>
        <v>МДОУ №19 С.ТРОПАРЕВО</v>
      </c>
      <c r="B16614" s="24" t="s">
        <v>16835</v>
      </c>
      <c r="C16614" s="25">
        <v>58052</v>
      </c>
      <c r="D16614" s="22" t="s">
        <v>21712</v>
      </c>
      <c r="E16614" s="22" t="s">
        <v>48</v>
      </c>
      <c r="F16614" s="23" t="str">
        <f>HYPERLINK("https://www.spark-marketing.ru/Card/Lot/71404828", "Оказание услуг по организации питания воспитанников во 2 полугодии 2019 года")</f>
        <v>Оказание услуг по организации питания воспитанников во 2 полугодии 2019 года</v>
      </c>
      <c r="G16614" s="22" t="s">
        <v>49</v>
      </c>
      <c r="H16614" s="22" t="s">
        <v>3718</v>
      </c>
      <c r="I16614" s="26">
        <v>43633.513599537</v>
      </c>
      <c r="J16614" s="28" t="s">
        <v>51</v>
      </c>
      <c r="K16614" s="28" t="s">
        <v>51</v>
      </c>
      <c r="L16614" s="28" t="s">
        <v>51</v>
      </c>
      <c r="M16614" s="28" t="s">
        <v>51</v>
      </c>
      <c r="N16614" s="28" t="s">
        <v>51</v>
      </c>
    </row>
    <row r="16615" spans="1:14" x14ac:dyDescent="0.15">
      <c r="A16615" s="23" t="str">
        <f t="shared" ref="A16615:A16622" si="561">HYPERLINK("https://www.spark-marketing.ru/Card/Person/17484", "МОСКОВСКАЯ ГОСУДАРСТВЕННАЯ КОНСЕРВАТОРИЯ ИМЕНИ П.И.ЧАЙКОВСКОГО")</f>
        <v>МОСКОВСКАЯ ГОСУДАРСТВЕННАЯ КОНСЕРВАТОРИЯ ИМЕНИ П.И.ЧАЙКОВСКОГО</v>
      </c>
      <c r="B16615" s="24" t="s">
        <v>4216</v>
      </c>
      <c r="C16615" s="25">
        <v>1310772.67</v>
      </c>
      <c r="D16615" s="22" t="s">
        <v>21713</v>
      </c>
      <c r="E16615" s="22" t="s">
        <v>152</v>
      </c>
      <c r="F16615" s="23" t="str">
        <f t="shared" ref="F16615:F16622" si="562">HYPERLINK("https://www.spark-marketing.ru/Card/Lot/71429055", "Выполнение работ по замене аккумуляторных батарей в источниках бесперебойного питания (ИБП) МГК имени П.И.Чайковского по адресу: г. Москва, ул. Б. Никитская, д.13/6, стр. 1.")</f>
        <v>Выполнение работ по замене аккумуляторных батарей в источниках бесперебойного питания (ИБП) МГК имени П.И.Чайковского по адресу: г. Москва, ул. Б. Никитская, д.13/6, стр. 1.</v>
      </c>
      <c r="G16615" s="22" t="s">
        <v>56</v>
      </c>
      <c r="H16615" s="22" t="s">
        <v>56</v>
      </c>
      <c r="I16615" s="26">
        <v>43633.527777777803</v>
      </c>
      <c r="J16615" s="28" t="s">
        <v>51</v>
      </c>
      <c r="K16615" s="28" t="s">
        <v>51</v>
      </c>
      <c r="L16615" s="28" t="s">
        <v>51</v>
      </c>
      <c r="M16615" s="28" t="s">
        <v>51</v>
      </c>
      <c r="N16615" s="28" t="s">
        <v>51</v>
      </c>
    </row>
    <row r="16616" spans="1:14" hidden="1" outlineLevel="1" x14ac:dyDescent="0.2">
      <c r="A16616" s="23" t="str">
        <f t="shared" si="561"/>
        <v>МОСКОВСКАЯ ГОСУДАРСТВЕННАЯ КОНСЕРВАТОРИЯ ИМЕНИ П.И.ЧАЙКОВСКОГО</v>
      </c>
      <c r="B16616" s="24" t="s">
        <v>4216</v>
      </c>
      <c r="C16616" s="25">
        <v>1310772.67</v>
      </c>
      <c r="D16616" s="22" t="s">
        <v>21713</v>
      </c>
      <c r="E16616" s="22" t="s">
        <v>152</v>
      </c>
      <c r="F16616" s="23" t="str">
        <f t="shared" si="562"/>
        <v>Выполнение работ по замене аккумуляторных батарей в источниках бесперебойного питания (ИБП) МГК имени П.И.Чайковского по адресу: г. Москва, ул. Б. Никитская, д.13/6, стр. 1.</v>
      </c>
      <c r="G16616" s="22" t="s">
        <v>56</v>
      </c>
      <c r="H16616" s="22" t="s">
        <v>56</v>
      </c>
      <c r="I16616" s="26">
        <v>43633.527777777803</v>
      </c>
      <c r="J16616" s="23" t="str">
        <f>HYPERLINK("https://www.spark-marketing.ru/Card/Person/6347917", "ООО ""МОНТЕКРИСТО""")</f>
        <v>ООО "МОНТЕКРИСТО"</v>
      </c>
      <c r="K16616" s="24" t="s">
        <v>21714</v>
      </c>
      <c r="L16616" s="28" t="s">
        <v>51</v>
      </c>
      <c r="M16616" s="25">
        <v>1304218.79</v>
      </c>
      <c r="N16616" s="27">
        <v>5.0000127024314601E-3</v>
      </c>
    </row>
    <row r="16617" spans="1:14" hidden="1" outlineLevel="1" x14ac:dyDescent="0.2">
      <c r="A16617" s="23" t="str">
        <f t="shared" si="561"/>
        <v>МОСКОВСКАЯ ГОСУДАРСТВЕННАЯ КОНСЕРВАТОРИЯ ИМЕНИ П.И.ЧАЙКОВСКОГО</v>
      </c>
      <c r="B16617" s="24" t="s">
        <v>4216</v>
      </c>
      <c r="C16617" s="25">
        <v>1310772.67</v>
      </c>
      <c r="D16617" s="22" t="s">
        <v>21713</v>
      </c>
      <c r="E16617" s="22" t="s">
        <v>152</v>
      </c>
      <c r="F16617" s="23" t="str">
        <f t="shared" si="562"/>
        <v>Выполнение работ по замене аккумуляторных батарей в источниках бесперебойного питания (ИБП) МГК имени П.И.Чайковского по адресу: г. Москва, ул. Б. Никитская, д.13/6, стр. 1.</v>
      </c>
      <c r="G16617" s="22" t="s">
        <v>56</v>
      </c>
      <c r="H16617" s="22" t="s">
        <v>56</v>
      </c>
      <c r="I16617" s="26">
        <v>43633.527777777803</v>
      </c>
      <c r="J16617" s="23" t="str">
        <f>HYPERLINK("https://www.spark-marketing.ru/Card/Person/140775", "ООО ""АЛЬФА-ЭНЕРГО""")</f>
        <v>ООО "АЛЬФА-ЭНЕРГО"</v>
      </c>
      <c r="K16617" s="24" t="s">
        <v>3030</v>
      </c>
      <c r="L16617" s="28" t="s">
        <v>51</v>
      </c>
      <c r="M16617" s="25">
        <v>781353.68</v>
      </c>
      <c r="N16617" s="27">
        <v>0.40389840444262542</v>
      </c>
    </row>
    <row r="16618" spans="1:14" hidden="1" outlineLevel="1" x14ac:dyDescent="0.2">
      <c r="A16618" s="23" t="str">
        <f t="shared" si="561"/>
        <v>МОСКОВСКАЯ ГОСУДАРСТВЕННАЯ КОНСЕРВАТОРИЯ ИМЕНИ П.И.ЧАЙКОВСКОГО</v>
      </c>
      <c r="B16618" s="24" t="s">
        <v>4216</v>
      </c>
      <c r="C16618" s="25">
        <v>1310772.67</v>
      </c>
      <c r="D16618" s="22" t="s">
        <v>21713</v>
      </c>
      <c r="E16618" s="22" t="s">
        <v>152</v>
      </c>
      <c r="F16618" s="23" t="str">
        <f t="shared" si="562"/>
        <v>Выполнение работ по замене аккумуляторных батарей в источниках бесперебойного питания (ИБП) МГК имени П.И.Чайковского по адресу: г. Москва, ул. Б. Никитская, д.13/6, стр. 1.</v>
      </c>
      <c r="G16618" s="22" t="s">
        <v>56</v>
      </c>
      <c r="H16618" s="22" t="s">
        <v>56</v>
      </c>
      <c r="I16618" s="26">
        <v>43633.527777777803</v>
      </c>
      <c r="J16618" s="23" t="str">
        <f>HYPERLINK("https://www.spark-marketing.ru/Card/Person/6087868", "ООО ""ЛОТУС-ЭЛЕКТРОНИКС""")</f>
        <v>ООО "ЛОТУС-ЭЛЕКТРОНИКС"</v>
      </c>
      <c r="K16618" s="24" t="s">
        <v>14214</v>
      </c>
      <c r="L16618" s="28" t="s">
        <v>51</v>
      </c>
      <c r="M16618" s="25">
        <v>937202.65</v>
      </c>
      <c r="N16618" s="27">
        <v>0.2849998543225653</v>
      </c>
    </row>
    <row r="16619" spans="1:14" hidden="1" outlineLevel="1" x14ac:dyDescent="0.2">
      <c r="A16619" s="23" t="str">
        <f t="shared" si="561"/>
        <v>МОСКОВСКАЯ ГОСУДАРСТВЕННАЯ КОНСЕРВАТОРИЯ ИМЕНИ П.И.ЧАЙКОВСКОГО</v>
      </c>
      <c r="B16619" s="24" t="s">
        <v>4216</v>
      </c>
      <c r="C16619" s="25">
        <v>1310772.67</v>
      </c>
      <c r="D16619" s="22" t="s">
        <v>21713</v>
      </c>
      <c r="E16619" s="22" t="s">
        <v>152</v>
      </c>
      <c r="F16619" s="23" t="str">
        <f t="shared" si="562"/>
        <v>Выполнение работ по замене аккумуляторных батарей в источниках бесперебойного питания (ИБП) МГК имени П.И.Чайковского по адресу: г. Москва, ул. Б. Никитская, д.13/6, стр. 1.</v>
      </c>
      <c r="G16619" s="22" t="s">
        <v>56</v>
      </c>
      <c r="H16619" s="22" t="s">
        <v>56</v>
      </c>
      <c r="I16619" s="26">
        <v>43633.527777777803</v>
      </c>
      <c r="J16619" s="23" t="str">
        <f>HYPERLINK("https://www.spark-marketing.ru/Card/Person/6480443", "ООО ""МИРАКС""")</f>
        <v>ООО "МИРАКС"</v>
      </c>
      <c r="K16619" s="24" t="s">
        <v>21715</v>
      </c>
      <c r="L16619" s="28" t="s">
        <v>51</v>
      </c>
      <c r="M16619" s="25">
        <v>1022402.83</v>
      </c>
      <c r="N16619" s="27">
        <v>0.21999988754724342</v>
      </c>
    </row>
    <row r="16620" spans="1:14" hidden="1" outlineLevel="1" x14ac:dyDescent="0.2">
      <c r="A16620" s="23" t="str">
        <f t="shared" si="561"/>
        <v>МОСКОВСКАЯ ГОСУДАРСТВЕННАЯ КОНСЕРВАТОРИЯ ИМЕНИ П.И.ЧАЙКОВСКОГО</v>
      </c>
      <c r="B16620" s="24" t="s">
        <v>4216</v>
      </c>
      <c r="C16620" s="25">
        <v>1310772.67</v>
      </c>
      <c r="D16620" s="22" t="s">
        <v>21713</v>
      </c>
      <c r="E16620" s="22" t="s">
        <v>152</v>
      </c>
      <c r="F16620" s="23" t="str">
        <f t="shared" si="562"/>
        <v>Выполнение работ по замене аккумуляторных батарей в источниках бесперебойного питания (ИБП) МГК имени П.И.Чайковского по адресу: г. Москва, ул. Б. Никитская, д.13/6, стр. 1.</v>
      </c>
      <c r="G16620" s="22" t="s">
        <v>56</v>
      </c>
      <c r="H16620" s="22" t="s">
        <v>56</v>
      </c>
      <c r="I16620" s="26">
        <v>43633.527777777803</v>
      </c>
      <c r="J16620" s="23" t="str">
        <f>HYPERLINK("https://www.spark-marketing.ru/Card/Person/6489162", "ООО ""АЛАС ЭНЕРГИЯ""")</f>
        <v>ООО "АЛАС ЭНЕРГИЯ"</v>
      </c>
      <c r="K16620" s="24" t="s">
        <v>6025</v>
      </c>
      <c r="L16620" s="28" t="s">
        <v>51</v>
      </c>
      <c r="M16620" s="25">
        <v>702707.36</v>
      </c>
      <c r="N16620" s="27">
        <v>0.46389837377369181</v>
      </c>
    </row>
    <row r="16621" spans="1:14" ht="12.75" hidden="1" outlineLevel="1" x14ac:dyDescent="0.2">
      <c r="A16621" s="23" t="str">
        <f t="shared" si="561"/>
        <v>МОСКОВСКАЯ ГОСУДАРСТВЕННАЯ КОНСЕРВАТОРИЯ ИМЕНИ П.И.ЧАЙКОВСКОГО</v>
      </c>
      <c r="B16621" s="24" t="s">
        <v>4216</v>
      </c>
      <c r="C16621" s="25">
        <v>1310772.67</v>
      </c>
      <c r="D16621" s="22" t="s">
        <v>21713</v>
      </c>
      <c r="E16621" s="22" t="s">
        <v>152</v>
      </c>
      <c r="F16621" s="23" t="str">
        <f t="shared" si="562"/>
        <v>Выполнение работ по замене аккумуляторных батарей в источниках бесперебойного питания (ИБП) МГК имени П.И.Чайковского по адресу: г. Москва, ул. Б. Никитская, д.13/6, стр. 1.</v>
      </c>
      <c r="G16621" s="22" t="s">
        <v>56</v>
      </c>
      <c r="H16621" s="22" t="s">
        <v>56</v>
      </c>
      <c r="I16621" s="26">
        <v>43633.527777777803</v>
      </c>
      <c r="J16621" s="23" t="str">
        <f>HYPERLINK("https://www.spark-marketing.ru/Card/Person/3291243", "ООО ""ПРОМЕТЕЙ""")</f>
        <v>ООО "ПРОМЕТЕЙ"</v>
      </c>
      <c r="K16621" s="24" t="s">
        <v>7389</v>
      </c>
      <c r="L16621" s="22" t="s">
        <v>10</v>
      </c>
      <c r="M16621" s="25">
        <v>696153.5</v>
      </c>
      <c r="N16621" s="27">
        <v>0.46889837121794736</v>
      </c>
    </row>
    <row r="16622" spans="1:14" hidden="1" outlineLevel="1" x14ac:dyDescent="0.2">
      <c r="A16622" s="23" t="str">
        <f t="shared" si="561"/>
        <v>МОСКОВСКАЯ ГОСУДАРСТВЕННАЯ КОНСЕРВАТОРИЯ ИМЕНИ П.И.ЧАЙКОВСКОГО</v>
      </c>
      <c r="B16622" s="24" t="s">
        <v>4216</v>
      </c>
      <c r="C16622" s="25">
        <v>1310772.67</v>
      </c>
      <c r="D16622" s="22" t="s">
        <v>21713</v>
      </c>
      <c r="E16622" s="22" t="s">
        <v>152</v>
      </c>
      <c r="F16622" s="23" t="str">
        <f t="shared" si="562"/>
        <v>Выполнение работ по замене аккумуляторных батарей в источниках бесперебойного питания (ИБП) МГК имени П.И.Чайковского по адресу: г. Москва, ул. Б. Никитская, д.13/6, стр. 1.</v>
      </c>
      <c r="G16622" s="22" t="s">
        <v>56</v>
      </c>
      <c r="H16622" s="22" t="s">
        <v>56</v>
      </c>
      <c r="I16622" s="26">
        <v>43633.527777777803</v>
      </c>
      <c r="J16622" s="23" t="str">
        <f>HYPERLINK("https://www.spark-marketing.ru/Card/Person/6226170", "ООО ""РЕАМЕД""")</f>
        <v>ООО "РЕАМЕД"</v>
      </c>
      <c r="K16622" s="24" t="s">
        <v>9256</v>
      </c>
      <c r="L16622" s="28" t="s">
        <v>51</v>
      </c>
      <c r="M16622" s="25">
        <v>833784.56</v>
      </c>
      <c r="N16622" s="27">
        <v>0.36389842488858115</v>
      </c>
    </row>
    <row r="16623" spans="1:14" x14ac:dyDescent="0.15">
      <c r="A16623" s="23" t="str">
        <f t="shared" ref="A16623:A16629" si="563">HYPERLINK("https://www.spark-marketing.ru/Card/Person/93717", "ОБУЗ ""ГОСПИТАЛЬ ДЛЯ ВЕТЕРАНОВ ВОЙН""")</f>
        <v>ОБУЗ "ГОСПИТАЛЬ ДЛЯ ВЕТЕРАНОВ ВОЙН"</v>
      </c>
      <c r="B16623" s="24" t="s">
        <v>5755</v>
      </c>
      <c r="C16623" s="25">
        <v>4791755.6900000004</v>
      </c>
      <c r="D16623" s="22" t="s">
        <v>21716</v>
      </c>
      <c r="E16623" s="22" t="s">
        <v>48</v>
      </c>
      <c r="F16623" s="23" t="str">
        <f t="shared" ref="F16623:F16629" si="564">HYPERLINK("https://www.spark-marketing.ru/Card/Lot/71431405", "Оказание услуг по организации питания")</f>
        <v>Оказание услуг по организации питания</v>
      </c>
      <c r="G16623" s="22" t="s">
        <v>1111</v>
      </c>
      <c r="H16623" s="22" t="s">
        <v>1111</v>
      </c>
      <c r="I16623" s="26">
        <v>43633.515277777798</v>
      </c>
      <c r="J16623" s="28" t="s">
        <v>51</v>
      </c>
      <c r="K16623" s="28" t="s">
        <v>51</v>
      </c>
      <c r="L16623" s="28" t="s">
        <v>51</v>
      </c>
      <c r="M16623" s="28" t="s">
        <v>51</v>
      </c>
      <c r="N16623" s="28" t="s">
        <v>51</v>
      </c>
    </row>
    <row r="16624" spans="1:14" hidden="1" outlineLevel="1" x14ac:dyDescent="0.2">
      <c r="A16624" s="23" t="str">
        <f t="shared" si="563"/>
        <v>ОБУЗ "ГОСПИТАЛЬ ДЛЯ ВЕТЕРАНОВ ВОЙН"</v>
      </c>
      <c r="B16624" s="24" t="s">
        <v>5755</v>
      </c>
      <c r="C16624" s="25">
        <v>4791755.6900000004</v>
      </c>
      <c r="D16624" s="22" t="s">
        <v>21716</v>
      </c>
      <c r="E16624" s="22" t="s">
        <v>48</v>
      </c>
      <c r="F16624" s="23" t="str">
        <f t="shared" si="564"/>
        <v>Оказание услуг по организации питания</v>
      </c>
      <c r="G16624" s="22" t="s">
        <v>1111</v>
      </c>
      <c r="H16624" s="22" t="s">
        <v>1111</v>
      </c>
      <c r="I16624" s="26">
        <v>43633.515277777798</v>
      </c>
      <c r="J16624" s="23" t="str">
        <f>HYPERLINK("https://www.spark-marketing.ru/Card/Person/667973", "Евдокимов Олег Александрович")</f>
        <v>Евдокимов Олег Александрович</v>
      </c>
      <c r="K16624" s="24" t="s">
        <v>8930</v>
      </c>
      <c r="L16624" s="28" t="s">
        <v>51</v>
      </c>
      <c r="M16624" s="25">
        <v>4572607</v>
      </c>
      <c r="N16624" s="27">
        <v>4.5734529090735006E-2</v>
      </c>
    </row>
    <row r="16625" spans="1:14" hidden="1" outlineLevel="1" x14ac:dyDescent="0.2">
      <c r="A16625" s="23" t="str">
        <f t="shared" si="563"/>
        <v>ОБУЗ "ГОСПИТАЛЬ ДЛЯ ВЕТЕРАНОВ ВОЙН"</v>
      </c>
      <c r="B16625" s="24" t="s">
        <v>5755</v>
      </c>
      <c r="C16625" s="25">
        <v>4791755.6900000004</v>
      </c>
      <c r="D16625" s="22" t="s">
        <v>21716</v>
      </c>
      <c r="E16625" s="22" t="s">
        <v>48</v>
      </c>
      <c r="F16625" s="23" t="str">
        <f t="shared" si="564"/>
        <v>Оказание услуг по организации питания</v>
      </c>
      <c r="G16625" s="22" t="s">
        <v>1111</v>
      </c>
      <c r="H16625" s="22" t="s">
        <v>1111</v>
      </c>
      <c r="I16625" s="26">
        <v>43633.515277777798</v>
      </c>
      <c r="J16625" s="23" t="str">
        <f>HYPERLINK("https://www.spark-marketing.ru/Card/Person/669739", "Иванова Елена Валерьевна")</f>
        <v>Иванова Елена Валерьевна</v>
      </c>
      <c r="K16625" s="24" t="s">
        <v>5757</v>
      </c>
      <c r="L16625" s="28" t="s">
        <v>51</v>
      </c>
      <c r="M16625" s="25">
        <v>3287995</v>
      </c>
      <c r="N16625" s="27">
        <v>0.31382248747327102</v>
      </c>
    </row>
    <row r="16626" spans="1:14" hidden="1" outlineLevel="1" x14ac:dyDescent="0.2">
      <c r="A16626" s="23" t="str">
        <f t="shared" si="563"/>
        <v>ОБУЗ "ГОСПИТАЛЬ ДЛЯ ВЕТЕРАНОВ ВОЙН"</v>
      </c>
      <c r="B16626" s="24" t="s">
        <v>5755</v>
      </c>
      <c r="C16626" s="25">
        <v>4791755.6900000004</v>
      </c>
      <c r="D16626" s="22" t="s">
        <v>21716</v>
      </c>
      <c r="E16626" s="22" t="s">
        <v>48</v>
      </c>
      <c r="F16626" s="23" t="str">
        <f t="shared" si="564"/>
        <v>Оказание услуг по организации питания</v>
      </c>
      <c r="G16626" s="22" t="s">
        <v>1111</v>
      </c>
      <c r="H16626" s="22" t="s">
        <v>1111</v>
      </c>
      <c r="I16626" s="26">
        <v>43633.515277777798</v>
      </c>
      <c r="J16626" s="23" t="str">
        <f>HYPERLINK("https://www.spark-marketing.ru/Card/Person/440432", "ООО ""ПЕРЕМЕНА""")</f>
        <v>ООО "ПЕРЕМЕНА"</v>
      </c>
      <c r="K16626" s="24" t="s">
        <v>13675</v>
      </c>
      <c r="L16626" s="28" t="s">
        <v>51</v>
      </c>
      <c r="M16626" s="25">
        <v>4184164.8</v>
      </c>
      <c r="N16626" s="27">
        <v>0.12679922126831136</v>
      </c>
    </row>
    <row r="16627" spans="1:14" ht="12.75" hidden="1" outlineLevel="1" x14ac:dyDescent="0.2">
      <c r="A16627" s="23" t="str">
        <f t="shared" si="563"/>
        <v>ОБУЗ "ГОСПИТАЛЬ ДЛЯ ВЕТЕРАНОВ ВОЙН"</v>
      </c>
      <c r="B16627" s="24" t="s">
        <v>5755</v>
      </c>
      <c r="C16627" s="25">
        <v>4791755.6900000004</v>
      </c>
      <c r="D16627" s="22" t="s">
        <v>21716</v>
      </c>
      <c r="E16627" s="22" t="s">
        <v>48</v>
      </c>
      <c r="F16627" s="23" t="str">
        <f t="shared" si="564"/>
        <v>Оказание услуг по организации питания</v>
      </c>
      <c r="G16627" s="22" t="s">
        <v>1111</v>
      </c>
      <c r="H16627" s="22" t="s">
        <v>1111</v>
      </c>
      <c r="I16627" s="26">
        <v>43633.515277777798</v>
      </c>
      <c r="J16627" s="23" t="str">
        <f>HYPERLINK("https://www.spark-marketing.ru/Card/Person/83981", "Дюкарева Людмила Николаевна")</f>
        <v>Дюкарева Людмила Николаевна</v>
      </c>
      <c r="K16627" s="24" t="s">
        <v>14769</v>
      </c>
      <c r="L16627" s="22" t="s">
        <v>10</v>
      </c>
      <c r="M16627" s="25">
        <v>4791755.6900000004</v>
      </c>
      <c r="N16627" s="27">
        <v>0</v>
      </c>
    </row>
    <row r="16628" spans="1:14" hidden="1" outlineLevel="1" x14ac:dyDescent="0.2">
      <c r="A16628" s="23" t="str">
        <f t="shared" si="563"/>
        <v>ОБУЗ "ГОСПИТАЛЬ ДЛЯ ВЕТЕРАНОВ ВОЙН"</v>
      </c>
      <c r="B16628" s="24" t="s">
        <v>5755</v>
      </c>
      <c r="C16628" s="25">
        <v>4791755.6900000004</v>
      </c>
      <c r="D16628" s="22" t="s">
        <v>21716</v>
      </c>
      <c r="E16628" s="22" t="s">
        <v>48</v>
      </c>
      <c r="F16628" s="23" t="str">
        <f t="shared" si="564"/>
        <v>Оказание услуг по организации питания</v>
      </c>
      <c r="G16628" s="22" t="s">
        <v>1111</v>
      </c>
      <c r="H16628" s="22" t="s">
        <v>1111</v>
      </c>
      <c r="I16628" s="26">
        <v>43633.515277777798</v>
      </c>
      <c r="J16628" s="23" t="str">
        <f>HYPERLINK("https://www.spark-marketing.ru/Card/Person/63499", "ООО ""СОЦИАЛЬНОЕ ПИТАНИЕ""")</f>
        <v>ООО "СОЦИАЛЬНОЕ ПИТАНИЕ"</v>
      </c>
      <c r="K16628" s="24" t="s">
        <v>13783</v>
      </c>
      <c r="L16628" s="28" t="s">
        <v>51</v>
      </c>
      <c r="M16628" s="25">
        <v>4142567.84</v>
      </c>
      <c r="N16628" s="27">
        <v>0.13548016468260302</v>
      </c>
    </row>
    <row r="16629" spans="1:14" hidden="1" outlineLevel="1" x14ac:dyDescent="0.2">
      <c r="A16629" s="23" t="str">
        <f t="shared" si="563"/>
        <v>ОБУЗ "ГОСПИТАЛЬ ДЛЯ ВЕТЕРАНОВ ВОЙН"</v>
      </c>
      <c r="B16629" s="24" t="s">
        <v>5755</v>
      </c>
      <c r="C16629" s="25">
        <v>4791755.6900000004</v>
      </c>
      <c r="D16629" s="22" t="s">
        <v>21716</v>
      </c>
      <c r="E16629" s="22" t="s">
        <v>48</v>
      </c>
      <c r="F16629" s="23" t="str">
        <f t="shared" si="564"/>
        <v>Оказание услуг по организации питания</v>
      </c>
      <c r="G16629" s="22" t="s">
        <v>1111</v>
      </c>
      <c r="H16629" s="22" t="s">
        <v>1111</v>
      </c>
      <c r="I16629" s="26">
        <v>43633.515277777798</v>
      </c>
      <c r="J16629" s="23" t="str">
        <f>HYPERLINK("https://www.spark-marketing.ru/Card/Person/671861", "ООО ""КОНГРЕСС""")</f>
        <v>ООО "КОНГРЕСС"</v>
      </c>
      <c r="K16629" s="24" t="s">
        <v>4512</v>
      </c>
      <c r="L16629" s="28" t="s">
        <v>51</v>
      </c>
      <c r="M16629" s="25">
        <v>4199916.59</v>
      </c>
      <c r="N16629" s="27">
        <v>0.12351195225481122</v>
      </c>
    </row>
    <row r="16630" spans="1:14" x14ac:dyDescent="0.2">
      <c r="A16630" s="23" t="str">
        <f>HYPERLINK("https://www.spark-marketing.ru/Card/Person/4348382", "ООО ""ГАЗПРОМ ПИТАНИЕ""")</f>
        <v>ООО "ГАЗПРОМ ПИТАНИЕ"</v>
      </c>
      <c r="B16630" s="24" t="s">
        <v>2869</v>
      </c>
      <c r="C16630" s="25">
        <v>298500</v>
      </c>
      <c r="D16630" s="22" t="s">
        <v>21717</v>
      </c>
      <c r="E16630" s="22" t="s">
        <v>3561</v>
      </c>
      <c r="F16630" s="23" t="str">
        <f>HYPERLINK("https://www.spark-marketing.ru/Card/Lot/71407254", "Проведение предварительных и периодических медицинских осмотров сотрудников филиала ""Самарское управление по организации общественного питания"" ООО ""Газпром питание""")</f>
        <v>Проведение предварительных и периодических медицинских осмотров сотрудников филиала "Самарское управление по организации общественного питания" ООО "Газпром питание"</v>
      </c>
      <c r="G16630" s="22" t="s">
        <v>56</v>
      </c>
      <c r="H16630" s="22" t="s">
        <v>56</v>
      </c>
      <c r="I16630" s="26">
        <v>43633.526273148098</v>
      </c>
      <c r="J16630" s="28" t="s">
        <v>51</v>
      </c>
      <c r="K16630" s="28" t="s">
        <v>51</v>
      </c>
      <c r="L16630" s="22" t="s">
        <v>10</v>
      </c>
      <c r="M16630" s="25">
        <v>292600</v>
      </c>
      <c r="N16630" s="27">
        <v>1.9765494137353432E-2</v>
      </c>
    </row>
    <row r="16631" spans="1:14" x14ac:dyDescent="0.15">
      <c r="A16631" s="23" t="str">
        <f>HYPERLINK("https://www.spark-marketing.ru/Card/Person/2338", "ФГБУ ""НМИЦ ОНКОЛОГИИ ИМ. Н.Н. БЛОХИНА"" МИНЗДРАВА РОССИИ")</f>
        <v>ФГБУ "НМИЦ ОНКОЛОГИИ ИМ. Н.Н. БЛОХИНА" МИНЗДРАВА РОССИИ</v>
      </c>
      <c r="B16631" s="24" t="s">
        <v>21718</v>
      </c>
      <c r="C16631" s="25">
        <v>170000</v>
      </c>
      <c r="D16631" s="22" t="s">
        <v>21719</v>
      </c>
      <c r="E16631" s="22" t="s">
        <v>603</v>
      </c>
      <c r="F16631" s="23" t="str">
        <f>HYPERLINK("https://www.spark-marketing.ru/Card/Lot/71412714", "Оказание услуг по поверке датчиков газоанализаторов ДАК-ЕСН-100, блока питания и сигнализации БПС-21М-8ВБ")</f>
        <v>Оказание услуг по поверке датчиков газоанализаторов ДАК-ЕСН-100, блока питания и сигнализации БПС-21М-8ВБ</v>
      </c>
      <c r="G16631" s="22" t="s">
        <v>56</v>
      </c>
      <c r="H16631" s="22" t="s">
        <v>56</v>
      </c>
      <c r="I16631" s="26">
        <v>43633.523611111101</v>
      </c>
      <c r="J16631" s="28" t="s">
        <v>51</v>
      </c>
      <c r="K16631" s="28" t="s">
        <v>51</v>
      </c>
      <c r="L16631" s="28" t="s">
        <v>51</v>
      </c>
      <c r="M16631" s="28" t="s">
        <v>51</v>
      </c>
      <c r="N16631" s="28" t="s">
        <v>51</v>
      </c>
    </row>
    <row r="16632" spans="1:14" x14ac:dyDescent="0.15">
      <c r="A16632" s="23" t="str">
        <f>HYPERLINK("https://www.spark-marketing.ru/Card/Person/41842", "КГБУЗ ""ГОРОДСКАЯ БОЛЬНИЦА №1, Г. РУБЦОВСК"", КГБУЗ ""ГБ №1, Г. РУБЦОВСК""")</f>
        <v>КГБУЗ "ГОРОДСКАЯ БОЛЬНИЦА №1, Г. РУБЦОВСК", КГБУЗ "ГБ №1, Г. РУБЦОВСК"</v>
      </c>
      <c r="B16632" s="24" t="s">
        <v>21720</v>
      </c>
      <c r="C16632" s="25">
        <v>82500</v>
      </c>
      <c r="D16632" s="22" t="s">
        <v>21721</v>
      </c>
      <c r="E16632" s="22" t="s">
        <v>2894</v>
      </c>
      <c r="F16632" s="23" t="str">
        <f>HYPERLINK("https://www.spark-marketing.ru/Card/Lot/71404001", "Товары, работы или услуги на сумму, не превышающую 100 тыс. рублей")</f>
        <v>Товары, работы или услуги на сумму, не превышающую 100 тыс. рублей</v>
      </c>
      <c r="G16632" s="22" t="s">
        <v>63</v>
      </c>
      <c r="H16632" s="22" t="s">
        <v>1859</v>
      </c>
      <c r="I16632" s="26">
        <v>43633.515972222202</v>
      </c>
      <c r="J16632" s="28" t="s">
        <v>51</v>
      </c>
      <c r="K16632" s="28" t="s">
        <v>51</v>
      </c>
      <c r="L16632" s="28" t="s">
        <v>51</v>
      </c>
      <c r="M16632" s="28" t="s">
        <v>51</v>
      </c>
      <c r="N16632" s="28" t="s">
        <v>51</v>
      </c>
    </row>
    <row r="16633" spans="1:14" x14ac:dyDescent="0.2">
      <c r="A16633" s="23" t="str">
        <f>HYPERLINK("https://www.spark-marketing.ru/Card/Person/268823", "ГАУ АО ""РЦСП ""ВОЛГАРЬ""")</f>
        <v>ГАУ АО "РЦСП "ВОЛГАРЬ"</v>
      </c>
      <c r="B16633" s="24" t="s">
        <v>767</v>
      </c>
      <c r="C16633" s="25">
        <v>234000</v>
      </c>
      <c r="D16633" s="22" t="s">
        <v>21722</v>
      </c>
      <c r="E16633" s="22" t="s">
        <v>362</v>
      </c>
      <c r="F16633" s="23" t="str">
        <f>HYPERLINK("https://www.spark-marketing.ru/Card/Lot/71401003", "Услуги питания во время учебно-тренировочных мероприятий")</f>
        <v>Услуги питания во время учебно-тренировочных мероприятий</v>
      </c>
      <c r="G16633" s="22" t="s">
        <v>141</v>
      </c>
      <c r="H16633" s="22" t="s">
        <v>141</v>
      </c>
      <c r="I16633" s="26">
        <v>43633.4752546296</v>
      </c>
      <c r="J16633" s="23" t="str">
        <f>HYPERLINK("https://www.spark-marketing.ru/Card/Person/6489376", "Долгунов Алексей Денисович")</f>
        <v>Долгунов Алексей Денисович</v>
      </c>
      <c r="K16633" s="24" t="s">
        <v>21723</v>
      </c>
      <c r="L16633" s="28" t="s">
        <v>51</v>
      </c>
      <c r="M16633" s="25">
        <v>234000</v>
      </c>
      <c r="N16633" s="27">
        <v>0</v>
      </c>
    </row>
    <row r="16634" spans="1:14" x14ac:dyDescent="0.15">
      <c r="A16634" s="23" t="str">
        <f>HYPERLINK("https://www.spark-marketing.ru/Card/Person/1311600", "МАОУ ""СОШ № 12 ИМ. В.Ф.МАРГЕЛОВА""")</f>
        <v>МАОУ "СОШ № 12 ИМ. В.Ф.МАРГЕЛОВА"</v>
      </c>
      <c r="B16634" s="24" t="s">
        <v>1237</v>
      </c>
      <c r="C16634" s="25">
        <v>253440</v>
      </c>
      <c r="D16634" s="22" t="s">
        <v>21724</v>
      </c>
      <c r="E16634" s="22" t="s">
        <v>362</v>
      </c>
      <c r="F16634" s="23" t="str">
        <f>HYPERLINK("https://www.spark-marketing.ru/Card/Lot/71401875", "Услуги по организации и обеспечении горячего питания учащихся")</f>
        <v>Услуги по организации и обеспечении горячего питания учащихся</v>
      </c>
      <c r="G16634" s="22" t="s">
        <v>153</v>
      </c>
      <c r="H16634" s="22" t="s">
        <v>153</v>
      </c>
      <c r="I16634" s="26">
        <v>43633.481817129599</v>
      </c>
      <c r="J16634" s="28" t="s">
        <v>51</v>
      </c>
      <c r="K16634" s="28" t="s">
        <v>51</v>
      </c>
      <c r="L16634" s="28" t="s">
        <v>51</v>
      </c>
      <c r="M16634" s="28" t="s">
        <v>51</v>
      </c>
      <c r="N16634" s="28" t="s">
        <v>51</v>
      </c>
    </row>
    <row r="16635" spans="1:14" x14ac:dyDescent="0.15">
      <c r="A16635" s="23" t="str">
        <f>HYPERLINK("https://www.spark-marketing.ru/Card/Person/1086215", "ОТД МВД РОССИИ ПО МЫШКИНСКОМУ РАЙОНУ")</f>
        <v>ОТД МВД РОССИИ ПО МЫШКИНСКОМУ РАЙОНУ</v>
      </c>
      <c r="B16635" s="24" t="s">
        <v>21725</v>
      </c>
      <c r="C16635" s="25">
        <v>80100</v>
      </c>
      <c r="D16635" s="22" t="s">
        <v>21726</v>
      </c>
      <c r="E16635" s="22" t="s">
        <v>96</v>
      </c>
      <c r="F16635" s="23" t="str">
        <f>HYPERLINK("https://www.spark-marketing.ru/Card/Lot/71401911", "Оказание услуг по организации питания (приготовлению и доставке), 267 шт")</f>
        <v>Оказание услуг по организации питания (приготовлению и доставке), 267 шт</v>
      </c>
      <c r="G16635" s="22" t="s">
        <v>185</v>
      </c>
      <c r="H16635" s="22" t="s">
        <v>21727</v>
      </c>
      <c r="I16635" s="26">
        <v>43633.486944444398</v>
      </c>
      <c r="J16635" s="28" t="s">
        <v>51</v>
      </c>
      <c r="K16635" s="28" t="s">
        <v>51</v>
      </c>
      <c r="L16635" s="28" t="s">
        <v>51</v>
      </c>
      <c r="M16635" s="28" t="s">
        <v>51</v>
      </c>
      <c r="N16635" s="28" t="s">
        <v>51</v>
      </c>
    </row>
    <row r="16636" spans="1:14" x14ac:dyDescent="0.15">
      <c r="A16636" s="23" t="str">
        <f>HYPERLINK("https://www.spark-marketing.ru/Card/Person/1001105", "МО МВД РОССИИ ""ПЕРЕВОЗСКИЙ""")</f>
        <v>МО МВД РОССИИ "ПЕРЕВОЗСКИЙ"</v>
      </c>
      <c r="B16636" s="24" t="s">
        <v>21728</v>
      </c>
      <c r="C16636" s="25">
        <v>95000</v>
      </c>
      <c r="D16636" s="22" t="s">
        <v>21729</v>
      </c>
      <c r="E16636" s="22" t="s">
        <v>48</v>
      </c>
      <c r="F16636" s="23" t="str">
        <f>HYPERLINK("https://www.spark-marketing.ru/Card/Lot/71401779", "Услуги по обеспечению питанием, осуществляемые по договору, 950 усл. ед")</f>
        <v>Услуги по обеспечению питанием, осуществляемые по договору, 950 усл. ед</v>
      </c>
      <c r="G16636" s="22" t="s">
        <v>76</v>
      </c>
      <c r="H16636" s="22" t="s">
        <v>21730</v>
      </c>
      <c r="I16636" s="26">
        <v>43633.477175925902</v>
      </c>
      <c r="J16636" s="28" t="s">
        <v>51</v>
      </c>
      <c r="K16636" s="28" t="s">
        <v>51</v>
      </c>
      <c r="L16636" s="28" t="s">
        <v>51</v>
      </c>
      <c r="M16636" s="28" t="s">
        <v>51</v>
      </c>
      <c r="N16636" s="28" t="s">
        <v>51</v>
      </c>
    </row>
    <row r="16637" spans="1:14" x14ac:dyDescent="0.15">
      <c r="A16637" s="23" t="str">
        <f>HYPERLINK("https://www.spark-marketing.ru/Card/Person/905066", "КГБУ ДО ""АЛТАЙСКИЙ КРАЕВОЙ ДЕТСКИЙ ЭКОЛОГИЧЕСКИЙ ЦЕНТР""")</f>
        <v>КГБУ ДО "АЛТАЙСКИЙ КРАЕВОЙ ДЕТСКИЙ ЭКОЛОГИЧЕСКИЙ ЦЕНТР"</v>
      </c>
      <c r="B16637" s="24" t="s">
        <v>10003</v>
      </c>
      <c r="C16637" s="25">
        <v>12887.5</v>
      </c>
      <c r="D16637" s="22" t="s">
        <v>21731</v>
      </c>
      <c r="E16637" s="22" t="s">
        <v>21732</v>
      </c>
      <c r="F16637" s="23" t="str">
        <f>HYPERLINK("https://www.spark-marketing.ru/Card/Lot/71401791",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6637" s="22" t="s">
        <v>63</v>
      </c>
      <c r="H16637" s="22" t="s">
        <v>177</v>
      </c>
      <c r="I16637" s="26">
        <v>43633.4819444444</v>
      </c>
      <c r="J16637" s="28" t="s">
        <v>51</v>
      </c>
      <c r="K16637" s="28" t="s">
        <v>51</v>
      </c>
      <c r="L16637" s="28" t="s">
        <v>51</v>
      </c>
      <c r="M16637" s="28" t="s">
        <v>51</v>
      </c>
      <c r="N16637" s="28" t="s">
        <v>51</v>
      </c>
    </row>
    <row r="16638" spans="1:14" x14ac:dyDescent="0.15">
      <c r="A16638" s="23" t="str">
        <f>HYPERLINK("https://www.spark-marketing.ru/Card/Person/57501", "МОМВД РОССИИ ""ЛЮДИНОВСКИЙ""")</f>
        <v>МОМВД РОССИИ "ЛЮДИНОВСКИЙ"</v>
      </c>
      <c r="B16638" s="24" t="s">
        <v>3975</v>
      </c>
      <c r="C16638" s="25">
        <v>30000</v>
      </c>
      <c r="D16638" s="22" t="s">
        <v>21733</v>
      </c>
      <c r="E16638" s="22" t="s">
        <v>96</v>
      </c>
      <c r="F16638" s="23" t="str">
        <f>HYPERLINK("https://www.spark-marketing.ru/Card/Lot/71401836", "Оказание услуг по организации питания (приготовлению и доставке), 150 шт")</f>
        <v>Оказание услуг по организации питания (приготовлению и доставке), 150 шт</v>
      </c>
      <c r="G16638" s="22" t="s">
        <v>112</v>
      </c>
      <c r="H16638" s="22" t="s">
        <v>3977</v>
      </c>
      <c r="I16638" s="26">
        <v>43633.480023148099</v>
      </c>
      <c r="J16638" s="28" t="s">
        <v>51</v>
      </c>
      <c r="K16638" s="28" t="s">
        <v>51</v>
      </c>
      <c r="L16638" s="28" t="s">
        <v>51</v>
      </c>
      <c r="M16638" s="28" t="s">
        <v>51</v>
      </c>
      <c r="N16638" s="28" t="s">
        <v>51</v>
      </c>
    </row>
    <row r="16639" spans="1:14" x14ac:dyDescent="0.15">
      <c r="A16639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639" s="24" t="s">
        <v>3255</v>
      </c>
      <c r="C16639" s="25">
        <v>94578</v>
      </c>
      <c r="D16639" s="22" t="s">
        <v>21734</v>
      </c>
      <c r="E16639" s="22" t="s">
        <v>9540</v>
      </c>
      <c r="F16639" s="23" t="str">
        <f>HYPERLINK("https://www.spark-marketing.ru/Card/Lot/71401345", "Поставка лекарственного препарата для медицинского применения ""Инсулин лизпро""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специализированны...")</f>
        <v>Поставка лекарственного препарата для медицинского применения "Инсулин лизпро"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специализированны...</v>
      </c>
      <c r="G16639" s="22" t="s">
        <v>210</v>
      </c>
      <c r="H16639" s="22" t="s">
        <v>3257</v>
      </c>
      <c r="I16639" s="26">
        <v>43633.476388888899</v>
      </c>
      <c r="J16639" s="28" t="s">
        <v>51</v>
      </c>
      <c r="K16639" s="28" t="s">
        <v>51</v>
      </c>
      <c r="L16639" s="28" t="s">
        <v>51</v>
      </c>
      <c r="M16639" s="28" t="s">
        <v>51</v>
      </c>
      <c r="N16639" s="28" t="s">
        <v>51</v>
      </c>
    </row>
    <row r="16640" spans="1:14" x14ac:dyDescent="0.15">
      <c r="A16640" s="23" t="str">
        <f>HYPERLINK("https://www.spark-marketing.ru/Card/Person/38914", "ГБУЗ ПО ""ПСКОВСКАЯ ГОРОДСКАЯ БОЛЬНИЦА""")</f>
        <v>ГБУЗ ПО "ПСКОВСКАЯ ГОРОДСКАЯ БОЛЬНИЦА"</v>
      </c>
      <c r="B16640" s="24" t="s">
        <v>21735</v>
      </c>
      <c r="C16640" s="25">
        <v>26116.5</v>
      </c>
      <c r="D16640" s="22" t="s">
        <v>21736</v>
      </c>
      <c r="E16640" s="22" t="s">
        <v>355</v>
      </c>
      <c r="F16640" s="23" t="str">
        <f>HYPERLINK("https://www.spark-marketing.ru/Card/Lot/71404030", "Оказание услуг по техническому обслуживанию источника бесперебойного питания (идентификационный номер: 3553-А-ГЗ-Л)")</f>
        <v>Оказание услуг по техническому обслуживанию источника бесперебойного питания (идентификационный номер: 3553-А-ГЗ-Л)</v>
      </c>
      <c r="G16640" s="22" t="s">
        <v>415</v>
      </c>
      <c r="H16640" s="22" t="s">
        <v>4542</v>
      </c>
      <c r="I16640" s="26">
        <v>43633.439583333296</v>
      </c>
      <c r="J16640" s="23" t="str">
        <f>HYPERLINK("https://www.spark-marketing.ru/Card/Person/133791", "ООО ""ПМК-37""")</f>
        <v>ООО "ПМК-37"</v>
      </c>
      <c r="K16640" s="24" t="s">
        <v>21737</v>
      </c>
      <c r="L16640" s="28" t="s">
        <v>51</v>
      </c>
      <c r="M16640" s="28" t="s">
        <v>51</v>
      </c>
      <c r="N16640" s="28" t="s">
        <v>51</v>
      </c>
    </row>
    <row r="16641" spans="1:14" ht="12.75" hidden="1" outlineLevel="1" x14ac:dyDescent="0.2">
      <c r="A16641" s="23" t="str">
        <f>HYPERLINK("https://www.spark-marketing.ru/Card/Person/38914", "ГБУЗ ПО ""ПСКОВСКАЯ ГОРОДСКАЯ БОЛЬНИЦА""")</f>
        <v>ГБУЗ ПО "ПСКОВСКАЯ ГОРОДСКАЯ БОЛЬНИЦА"</v>
      </c>
      <c r="B16641" s="24" t="s">
        <v>21735</v>
      </c>
      <c r="C16641" s="25">
        <v>26116.5</v>
      </c>
      <c r="D16641" s="22" t="s">
        <v>21736</v>
      </c>
      <c r="E16641" s="22" t="s">
        <v>355</v>
      </c>
      <c r="F16641" s="23" t="str">
        <f>HYPERLINK("https://www.spark-marketing.ru/Card/Lot/71404030", "Оказание услуг по техническому обслуживанию источника бесперебойного питания (идентификационный номер: 3553-А-ГЗ-Л)")</f>
        <v>Оказание услуг по техническому обслуживанию источника бесперебойного питания (идентификационный номер: 3553-А-ГЗ-Л)</v>
      </c>
      <c r="G16641" s="22" t="s">
        <v>415</v>
      </c>
      <c r="H16641" s="22" t="s">
        <v>4542</v>
      </c>
      <c r="I16641" s="26">
        <v>43633.439583333296</v>
      </c>
      <c r="J16641" s="23" t="str">
        <f>HYPERLINK("https://www.spark-marketing.ru/Card/Person/133791", "ООО ""ПМК-37""")</f>
        <v>ООО "ПМК-37"</v>
      </c>
      <c r="K16641" s="24" t="s">
        <v>21737</v>
      </c>
      <c r="L16641" s="22" t="s">
        <v>10</v>
      </c>
      <c r="M16641" s="25">
        <v>25985.919999999998</v>
      </c>
      <c r="N16641" s="27">
        <v>4.9999042750751444E-3</v>
      </c>
    </row>
    <row r="16642" spans="1:14" x14ac:dyDescent="0.15">
      <c r="A16642" s="23" t="str">
        <f>HYPERLINK("https://www.spark-marketing.ru/Card/Person/242013", "ГКОУКО ""КАЛУЖСКАЯ ШКОЛА ""ГАРМОНИЯ""")</f>
        <v>ГКОУКО "КАЛУЖСКАЯ ШКОЛА "ГАРМОНИЯ"</v>
      </c>
      <c r="B16642" s="24" t="s">
        <v>21738</v>
      </c>
      <c r="C16642" s="25">
        <v>1562112</v>
      </c>
      <c r="D16642" s="22" t="s">
        <v>21739</v>
      </c>
      <c r="E16642" s="22" t="s">
        <v>96</v>
      </c>
      <c r="F16642" s="23" t="str">
        <f>HYPERLINK("https://www.spark-marketing.ru/Card/Lot/71429665", "Оказание услуг по организации горячего питания учащихся")</f>
        <v>Оказание услуг по организации горячего питания учащихся</v>
      </c>
      <c r="G16642" s="22" t="s">
        <v>112</v>
      </c>
      <c r="H16642" s="22" t="s">
        <v>389</v>
      </c>
      <c r="I16642" s="26">
        <v>43633.420138888898</v>
      </c>
      <c r="J16642" s="28" t="s">
        <v>51</v>
      </c>
      <c r="K16642" s="28" t="s">
        <v>51</v>
      </c>
      <c r="L16642" s="28" t="s">
        <v>51</v>
      </c>
      <c r="M16642" s="28" t="s">
        <v>51</v>
      </c>
      <c r="N16642" s="28" t="s">
        <v>51</v>
      </c>
    </row>
    <row r="16643" spans="1:14" hidden="1" outlineLevel="1" x14ac:dyDescent="0.2">
      <c r="A16643" s="23" t="str">
        <f>HYPERLINK("https://www.spark-marketing.ru/Card/Person/242013", "ГКОУКО ""КАЛУЖСКАЯ ШКОЛА ""ГАРМОНИЯ""")</f>
        <v>ГКОУКО "КАЛУЖСКАЯ ШКОЛА "ГАРМОНИЯ"</v>
      </c>
      <c r="B16643" s="24" t="s">
        <v>21738</v>
      </c>
      <c r="C16643" s="25">
        <v>1562112</v>
      </c>
      <c r="D16643" s="22" t="s">
        <v>21739</v>
      </c>
      <c r="E16643" s="22" t="s">
        <v>96</v>
      </c>
      <c r="F16643" s="23" t="str">
        <f>HYPERLINK("https://www.spark-marketing.ru/Card/Lot/71429665", "Оказание услуг по организации горячего питания учащихся")</f>
        <v>Оказание услуг по организации горячего питания учащихся</v>
      </c>
      <c r="G16643" s="22" t="s">
        <v>112</v>
      </c>
      <c r="H16643" s="22" t="s">
        <v>389</v>
      </c>
      <c r="I16643" s="26">
        <v>43633.420138888898</v>
      </c>
      <c r="J16643" s="23" t="str">
        <f>HYPERLINK("https://www.spark-marketing.ru/Card/Person/103834", "Койда Рима Геннадьевна")</f>
        <v>Койда Рима Геннадьевна</v>
      </c>
      <c r="K16643" s="24" t="s">
        <v>17822</v>
      </c>
      <c r="L16643" s="28" t="s">
        <v>51</v>
      </c>
      <c r="M16643" s="25">
        <v>1400000</v>
      </c>
      <c r="N16643" s="27">
        <v>0.10377745001638806</v>
      </c>
    </row>
    <row r="16644" spans="1:14" ht="12.75" hidden="1" outlineLevel="1" x14ac:dyDescent="0.2">
      <c r="A16644" s="23" t="str">
        <f>HYPERLINK("https://www.spark-marketing.ru/Card/Person/242013", "ГКОУКО ""КАЛУЖСКАЯ ШКОЛА ""ГАРМОНИЯ""")</f>
        <v>ГКОУКО "КАЛУЖСКАЯ ШКОЛА "ГАРМОНИЯ"</v>
      </c>
      <c r="B16644" s="24" t="s">
        <v>21738</v>
      </c>
      <c r="C16644" s="25">
        <v>1562112</v>
      </c>
      <c r="D16644" s="22" t="s">
        <v>21739</v>
      </c>
      <c r="E16644" s="22" t="s">
        <v>96</v>
      </c>
      <c r="F16644" s="23" t="str">
        <f>HYPERLINK("https://www.spark-marketing.ru/Card/Lot/71429665", "Оказание услуг по организации горячего питания учащихся")</f>
        <v>Оказание услуг по организации горячего питания учащихся</v>
      </c>
      <c r="G16644" s="22" t="s">
        <v>112</v>
      </c>
      <c r="H16644" s="22" t="s">
        <v>389</v>
      </c>
      <c r="I16644" s="26">
        <v>43633.420138888898</v>
      </c>
      <c r="J16644" s="23" t="str">
        <f>HYPERLINK("https://www.spark-marketing.ru/Card/Person/91324", "ООО ""КАЛУЖСКИЙ КОМБИНАТ ШКОЛЬНОГО ПИТАНИЯ""")</f>
        <v>ООО "КАЛУЖСКИЙ КОМБИНАТ ШКОЛЬНОГО ПИТАНИЯ"</v>
      </c>
      <c r="K16644" s="24" t="s">
        <v>14829</v>
      </c>
      <c r="L16644" s="22" t="s">
        <v>10</v>
      </c>
      <c r="M16644" s="25">
        <v>1233792</v>
      </c>
      <c r="N16644" s="27">
        <v>0.21017699115044247</v>
      </c>
    </row>
    <row r="16645" spans="1:14" x14ac:dyDescent="0.15">
      <c r="A16645" s="23" t="str">
        <f>HYPERLINK("https://www.spark-marketing.ru/Card/Person/54226", "ОМВД РОССИИ ПО ГОРОДУ МОНЧЕГОРСКУ")</f>
        <v>ОМВД РОССИИ ПО ГОРОДУ МОНЧЕГОРСКУ</v>
      </c>
      <c r="B16645" s="24" t="s">
        <v>8248</v>
      </c>
      <c r="C16645" s="25">
        <v>22238</v>
      </c>
      <c r="D16645" s="22" t="s">
        <v>21740</v>
      </c>
      <c r="E16645" s="22" t="s">
        <v>48</v>
      </c>
      <c r="F16645" s="23" t="str">
        <f>HYPERLINK("https://www.spark-marketing.ru/Card/Lot/71400062", "Услуги по обеспечению питанием, осуществляемые по договору, 63 усл. ед")</f>
        <v>Услуги по обеспечению питанием, осуществляемые по договору, 63 усл. ед</v>
      </c>
      <c r="G16645" s="22" t="s">
        <v>340</v>
      </c>
      <c r="H16645" s="22" t="s">
        <v>8250</v>
      </c>
      <c r="I16645" s="26">
        <v>43633.448194444398</v>
      </c>
      <c r="J16645" s="28" t="s">
        <v>51</v>
      </c>
      <c r="K16645" s="28" t="s">
        <v>51</v>
      </c>
      <c r="L16645" s="28" t="s">
        <v>51</v>
      </c>
      <c r="M16645" s="28" t="s">
        <v>51</v>
      </c>
      <c r="N16645" s="28" t="s">
        <v>51</v>
      </c>
    </row>
    <row r="16646" spans="1:14" x14ac:dyDescent="0.15">
      <c r="A16646" s="23" t="str">
        <f>HYPERLINK("https://www.spark-marketing.ru/Card/Person/32556", "КГКУ ""ЦЕНТР СОЦИАЛЬНОЙ ПОДДЕРЖКИ НАСЕЛЕНИЯ ПО Г. КОМСОМОЛЬСКУ-НА-АМУРЕ""")</f>
        <v>КГКУ "ЦЕНТР СОЦИАЛЬНОЙ ПОДДЕРЖКИ НАСЕЛЕНИЯ ПО Г. КОМСОМОЛЬСКУ-НА-АМУРЕ"</v>
      </c>
      <c r="B16646" s="24" t="s">
        <v>4297</v>
      </c>
      <c r="C16646" s="25">
        <v>31500</v>
      </c>
      <c r="D16646" s="22" t="s">
        <v>21741</v>
      </c>
      <c r="E16646" s="22" t="s">
        <v>48</v>
      </c>
      <c r="F16646" s="23" t="str">
        <f>HYPERLINK("https://www.spark-marketing.ru/Card/Lot/71394417", "Оказание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Центра...")</f>
        <v>Оказание услуг по организации питания детей из малоимущих семей, детей-инвалидов, детей военнослужащих, сотрудников правоохранительных органов, погибших при исполнении обязанностей военной службы, в оздоровительном лагере с дневным пребыванием Центра...</v>
      </c>
      <c r="G16646" s="22" t="s">
        <v>1096</v>
      </c>
      <c r="H16646" s="22" t="s">
        <v>4299</v>
      </c>
      <c r="I16646" s="26">
        <v>43633.440277777801</v>
      </c>
      <c r="J16646" s="23" t="str">
        <f>HYPERLINK("https://www.spark-marketing.ru/Card/Person/172134", "МУП КШП ""МОЛОДЕЖНЫЙ""")</f>
        <v>МУП КШП "МОЛОДЕЖНЫЙ"</v>
      </c>
      <c r="K16646" s="24" t="s">
        <v>17064</v>
      </c>
      <c r="L16646" s="22" t="s">
        <v>10</v>
      </c>
      <c r="M16646" s="28" t="s">
        <v>51</v>
      </c>
      <c r="N16646" s="28" t="s">
        <v>51</v>
      </c>
    </row>
    <row r="16647" spans="1:14" x14ac:dyDescent="0.15">
      <c r="A16647" s="23" t="str">
        <f>HYPERLINK("https://www.spark-marketing.ru/Card/Person/1753272", "АО ""РН-ШЕЛЬФ-ДАЛЬНИЙ ВОСТОК""")</f>
        <v>АО "РН-ШЕЛЬФ-ДАЛЬНИЙ ВОСТОК"</v>
      </c>
      <c r="B16647" s="24" t="s">
        <v>21742</v>
      </c>
      <c r="C16647" s="28" t="s">
        <v>51</v>
      </c>
      <c r="D16647" s="22" t="s">
        <v>21743</v>
      </c>
      <c r="E16647" s="22" t="s">
        <v>1268</v>
      </c>
      <c r="F16647" s="23" t="str">
        <f>HYPERLINK("https://www.spark-marketing.ru/Card/Lot/74012233", "Сервисное обслуживание электроустановки источника бесперебойного питания"".")</f>
        <v>Сервисное обслуживание электроустановки источника бесперебойного питания".</v>
      </c>
      <c r="G16647" s="22" t="s">
        <v>260</v>
      </c>
      <c r="H16647" s="22" t="s">
        <v>804</v>
      </c>
      <c r="I16647" s="26">
        <v>43633.4194444444</v>
      </c>
      <c r="J16647" s="28" t="s">
        <v>51</v>
      </c>
      <c r="K16647" s="28" t="s">
        <v>51</v>
      </c>
      <c r="L16647" s="28" t="s">
        <v>51</v>
      </c>
      <c r="M16647" s="28" t="s">
        <v>51</v>
      </c>
      <c r="N16647" s="28" t="s">
        <v>51</v>
      </c>
    </row>
    <row r="16648" spans="1:14" x14ac:dyDescent="0.15">
      <c r="A16648" s="23" t="str">
        <f>HYPERLINK("https://www.spark-marketing.ru/Card/Person/1007127", "ФКУ ""ЦУКС ГУ МЧС РОССИИ ПО ВОРОНЕЖСКОЙ ОБЛАСТИ""")</f>
        <v>ФКУ "ЦУКС ГУ МЧС РОССИИ ПО ВОРОНЕЖСКОЙ ОБЛАСТИ"</v>
      </c>
      <c r="B16648" s="24" t="s">
        <v>18571</v>
      </c>
      <c r="C16648" s="25">
        <v>612000</v>
      </c>
      <c r="D16648" s="22" t="s">
        <v>21744</v>
      </c>
      <c r="E16648" s="22" t="s">
        <v>51</v>
      </c>
      <c r="F16648" s="23" t="str">
        <f>HYPERLINK("https://www.spark-marketing.ru/Card/Lot/71399820", "Услуги по организации питания")</f>
        <v>Услуги по организации питания</v>
      </c>
      <c r="G16648" s="22" t="s">
        <v>82</v>
      </c>
      <c r="H16648" s="22" t="s">
        <v>82</v>
      </c>
      <c r="I16648" s="26">
        <v>43633.408333333296</v>
      </c>
      <c r="J16648" s="28" t="s">
        <v>51</v>
      </c>
      <c r="K16648" s="28" t="s">
        <v>51</v>
      </c>
      <c r="L16648" s="28" t="s">
        <v>51</v>
      </c>
      <c r="M16648" s="28" t="s">
        <v>51</v>
      </c>
      <c r="N16648" s="28" t="s">
        <v>51</v>
      </c>
    </row>
    <row r="16649" spans="1:14" hidden="1" outlineLevel="1" x14ac:dyDescent="0.2">
      <c r="A16649" s="23" t="str">
        <f>HYPERLINK("https://www.spark-marketing.ru/Card/Person/1007127", "ФКУ ""ЦУКС ГУ МЧС РОССИИ ПО ВОРОНЕЖСКОЙ ОБЛАСТИ""")</f>
        <v>ФКУ "ЦУКС ГУ МЧС РОССИИ ПО ВОРОНЕЖСКОЙ ОБЛАСТИ"</v>
      </c>
      <c r="B16649" s="24" t="s">
        <v>18571</v>
      </c>
      <c r="C16649" s="25">
        <v>612000</v>
      </c>
      <c r="D16649" s="22" t="s">
        <v>21744</v>
      </c>
      <c r="E16649" s="22" t="s">
        <v>51</v>
      </c>
      <c r="F16649" s="23" t="str">
        <f>HYPERLINK("https://www.spark-marketing.ru/Card/Lot/71399820", "Услуги по организации питания")</f>
        <v>Услуги по организации питания</v>
      </c>
      <c r="G16649" s="22" t="s">
        <v>82</v>
      </c>
      <c r="H16649" s="22" t="s">
        <v>82</v>
      </c>
      <c r="I16649" s="26">
        <v>43633.408333333296</v>
      </c>
      <c r="J16649" s="23" t="str">
        <f>HYPERLINK("https://www.spark-marketing.ru/Card/Person/515260", "ООО ""ЛВД""")</f>
        <v>ООО "ЛВД"</v>
      </c>
      <c r="K16649" s="24" t="s">
        <v>5468</v>
      </c>
      <c r="L16649" s="28" t="s">
        <v>51</v>
      </c>
      <c r="M16649" s="25">
        <v>345777.6</v>
      </c>
      <c r="N16649" s="27">
        <v>0.43500392156862744</v>
      </c>
    </row>
    <row r="16650" spans="1:14" ht="12.75" hidden="1" outlineLevel="1" x14ac:dyDescent="0.2">
      <c r="A16650" s="23" t="str">
        <f>HYPERLINK("https://www.spark-marketing.ru/Card/Person/1007127", "ФКУ ""ЦУКС ГУ МЧС РОССИИ ПО ВОРОНЕЖСКОЙ ОБЛАСТИ""")</f>
        <v>ФКУ "ЦУКС ГУ МЧС РОССИИ ПО ВОРОНЕЖСКОЙ ОБЛАСТИ"</v>
      </c>
      <c r="B16650" s="24" t="s">
        <v>18571</v>
      </c>
      <c r="C16650" s="25">
        <v>612000</v>
      </c>
      <c r="D16650" s="22" t="s">
        <v>21744</v>
      </c>
      <c r="E16650" s="22" t="s">
        <v>51</v>
      </c>
      <c r="F16650" s="23" t="str">
        <f>HYPERLINK("https://www.spark-marketing.ru/Card/Lot/71399820", "Услуги по организации питания")</f>
        <v>Услуги по организации питания</v>
      </c>
      <c r="G16650" s="22" t="s">
        <v>82</v>
      </c>
      <c r="H16650" s="22" t="s">
        <v>82</v>
      </c>
      <c r="I16650" s="26">
        <v>43633.408333333296</v>
      </c>
      <c r="J16650" s="23" t="str">
        <f>HYPERLINK("https://www.spark-marketing.ru/Card/Person/6233111", "ООО ""РСУ-17""")</f>
        <v>ООО "РСУ-17"</v>
      </c>
      <c r="K16650" s="24" t="s">
        <v>21745</v>
      </c>
      <c r="L16650" s="22" t="s">
        <v>10</v>
      </c>
      <c r="M16650" s="25">
        <v>342717.6</v>
      </c>
      <c r="N16650" s="27">
        <v>0.44000392156862744</v>
      </c>
    </row>
    <row r="16651" spans="1:14" x14ac:dyDescent="0.15">
      <c r="A16651" s="23" t="str">
        <f>HYPERLINK("https://www.spark-marketing.ru/Card/Person/31181", "БУ ""НЕФТЕЮГАНСКИЙ КОМПЛЕКСНЫЙ ЦЕНТР СОЦИАЛЬНОГО ОБСЛУЖИВАНИЯ НАСЕЛЕНИЯ""")</f>
        <v>БУ "НЕФТЕЮГАНСКИЙ КОМПЛЕКСНЫЙ ЦЕНТР СОЦИАЛЬНОГО ОБСЛУЖИВАНИЯ НАСЕЛЕНИЯ"</v>
      </c>
      <c r="B16651" s="24" t="s">
        <v>384</v>
      </c>
      <c r="C16651" s="25">
        <v>1335041.25</v>
      </c>
      <c r="D16651" s="22" t="s">
        <v>21746</v>
      </c>
      <c r="E16651" s="22" t="s">
        <v>48</v>
      </c>
      <c r="F16651" s="23" t="str">
        <f>HYPERLINK("https://www.spark-marketing.ru/Card/Lot/71400760", "Услуги по организации общественного питания")</f>
        <v>Услуги по организации общественного питания</v>
      </c>
      <c r="G16651" s="22" t="s">
        <v>97</v>
      </c>
      <c r="H16651" s="22" t="s">
        <v>363</v>
      </c>
      <c r="I16651" s="26">
        <v>43633.405555555597</v>
      </c>
      <c r="J16651" s="23" t="str">
        <f>HYPERLINK("https://www.spark-marketing.ru/Card/Person/137371", "ООО ""ГАРМОНИЯ""")</f>
        <v>ООО "ГАРМОНИЯ"</v>
      </c>
      <c r="K16651" s="24" t="s">
        <v>21747</v>
      </c>
      <c r="L16651" s="22" t="s">
        <v>10</v>
      </c>
      <c r="M16651" s="28" t="s">
        <v>51</v>
      </c>
      <c r="N16651" s="28" t="s">
        <v>51</v>
      </c>
    </row>
    <row r="16652" spans="1:14" x14ac:dyDescent="0.15">
      <c r="A16652" s="23" t="str">
        <f>HYPERLINK("https://www.spark-marketing.ru/Card/Person/425599", "МО МВД РОССИИ ""ТЮКАЛИНСКИЙ""")</f>
        <v>МО МВД РОССИИ "ТЮКАЛИНСКИЙ"</v>
      </c>
      <c r="B16652" s="24" t="s">
        <v>11494</v>
      </c>
      <c r="C16652" s="25">
        <v>93090</v>
      </c>
      <c r="D16652" s="22" t="s">
        <v>21748</v>
      </c>
      <c r="E16652" s="22" t="s">
        <v>48</v>
      </c>
      <c r="F16652" s="23" t="str">
        <f>HYPERLINK("https://www.spark-marketing.ru/Card/Lot/71398040", "Услуги по доставке горячего питания (завтрак, обед, ужин), 321 усл. ед")</f>
        <v>Услуги по доставке горячего питания (завтрак, обед, ужин), 321 усл. ед</v>
      </c>
      <c r="G16652" s="22" t="s">
        <v>487</v>
      </c>
      <c r="H16652" s="22" t="s">
        <v>11496</v>
      </c>
      <c r="I16652" s="26">
        <v>43633.397430555597</v>
      </c>
      <c r="J16652" s="28" t="s">
        <v>51</v>
      </c>
      <c r="K16652" s="28" t="s">
        <v>51</v>
      </c>
      <c r="L16652" s="28" t="s">
        <v>51</v>
      </c>
      <c r="M16652" s="28" t="s">
        <v>51</v>
      </c>
      <c r="N16652" s="28" t="s">
        <v>51</v>
      </c>
    </row>
    <row r="16653" spans="1:14" x14ac:dyDescent="0.15">
      <c r="A16653" s="23" t="str">
        <f>HYPERLINK("https://www.spark-marketing.ru/Card/Person/1045007", "ГБУ СШОР № 2 МОСКОВСКОГО РАЙОНА")</f>
        <v>ГБУ СШОР № 2 МОСКОВСКОГО РАЙОНА</v>
      </c>
      <c r="B16653" s="24" t="s">
        <v>21749</v>
      </c>
      <c r="C16653" s="25">
        <v>479358</v>
      </c>
      <c r="D16653" s="22" t="s">
        <v>21750</v>
      </c>
      <c r="E16653" s="22" t="s">
        <v>374</v>
      </c>
      <c r="F16653" s="23" t="str">
        <f>HYPERLINK("https://www.spark-marketing.ru/Card/Lot/71423180", "Оказание услуг по организации тренировочных мероприятий с учётом затрат на проживание, питание спортсменов и предоставление спортивного сооружения за пределами Санкт-Петербурга и Ленинградской области (октябрь)")</f>
        <v>Оказание услуг по организации тренировочных мероприятий с учётом затрат на проживание, питание спортсменов и предоставление спортивного сооружения за пределами Санкт-Петербурга и Ленинградской области (октябрь)</v>
      </c>
      <c r="G16653" s="22" t="s">
        <v>117</v>
      </c>
      <c r="H16653" s="22" t="s">
        <v>117</v>
      </c>
      <c r="I16653" s="26">
        <v>43633.386111111096</v>
      </c>
      <c r="J16653" s="23" t="str">
        <f>HYPERLINK("https://www.spark-marketing.ru/Card/Person/1567791", "ООО ""ТЕРРА""")</f>
        <v>ООО "ТЕРРА"</v>
      </c>
      <c r="K16653" s="24" t="s">
        <v>6244</v>
      </c>
      <c r="L16653" s="28" t="s">
        <v>51</v>
      </c>
      <c r="M16653" s="28" t="s">
        <v>51</v>
      </c>
      <c r="N16653" s="28" t="s">
        <v>51</v>
      </c>
    </row>
    <row r="16654" spans="1:14" ht="12.75" hidden="1" outlineLevel="1" x14ac:dyDescent="0.2">
      <c r="A16654" s="23" t="str">
        <f>HYPERLINK("https://www.spark-marketing.ru/Card/Person/1045007", "ГБУ СШОР № 2 МОСКОВСКОГО РАЙОНА")</f>
        <v>ГБУ СШОР № 2 МОСКОВСКОГО РАЙОНА</v>
      </c>
      <c r="B16654" s="24" t="s">
        <v>21749</v>
      </c>
      <c r="C16654" s="25">
        <v>479358</v>
      </c>
      <c r="D16654" s="22" t="s">
        <v>21750</v>
      </c>
      <c r="E16654" s="22" t="s">
        <v>374</v>
      </c>
      <c r="F16654" s="23" t="str">
        <f>HYPERLINK("https://www.spark-marketing.ru/Card/Lot/71423180", "Оказание услуг по организации тренировочных мероприятий с учётом затрат на проживание, питание спортсменов и предоставление спортивного сооружения за пределами Санкт-Петербурга и Ленинградской области (октябрь)")</f>
        <v>Оказание услуг по организации тренировочных мероприятий с учётом затрат на проживание, питание спортсменов и предоставление спортивного сооружения за пределами Санкт-Петербурга и Ленинградской области (октябрь)</v>
      </c>
      <c r="G16654" s="22" t="s">
        <v>117</v>
      </c>
      <c r="H16654" s="22" t="s">
        <v>117</v>
      </c>
      <c r="I16654" s="26">
        <v>43633.386111111096</v>
      </c>
      <c r="J16654" s="23" t="str">
        <f>HYPERLINK("https://www.spark-marketing.ru/Card/Person/1567791", "ООО ""ТЕРРА""")</f>
        <v>ООО "ТЕРРА"</v>
      </c>
      <c r="K16654" s="24" t="s">
        <v>6244</v>
      </c>
      <c r="L16654" s="22" t="s">
        <v>10</v>
      </c>
      <c r="M16654" s="25">
        <v>476961.21</v>
      </c>
      <c r="N16654" s="27">
        <v>5.0000000000000001E-3</v>
      </c>
    </row>
    <row r="16655" spans="1:14" x14ac:dyDescent="0.15">
      <c r="A16655" s="23" t="str">
        <f t="shared" ref="A16655:A16660" si="565">HYPERLINK("https://www.spark-marketing.ru/Card/Person/61807", "ГБУ РМЭ ""ОРШАНСКАЯ ЦРБ""")</f>
        <v>ГБУ РМЭ "ОРШАНСКАЯ ЦРБ"</v>
      </c>
      <c r="B16655" s="24" t="s">
        <v>21751</v>
      </c>
      <c r="C16655" s="25">
        <v>224646.39999999999</v>
      </c>
      <c r="D16655" s="22" t="s">
        <v>21752</v>
      </c>
      <c r="E16655" s="22" t="s">
        <v>62</v>
      </c>
      <c r="F16655" s="23" t="str">
        <f t="shared" ref="F16655:F16660" si="566">HYPERLINK("https://www.spark-marketing.ru/Card/Lot/71415012", "Поставка бланочной продукции (для субъектов малого предпринимательства, социально ориентированных некоммерческих организаций)")</f>
        <v>Поставка бланочной продукции (для субъектов малого предпринимательства, социально ориентированных некоммерческих организаций)</v>
      </c>
      <c r="G16655" s="22" t="s">
        <v>3249</v>
      </c>
      <c r="H16655" s="22" t="s">
        <v>3249</v>
      </c>
      <c r="I16655" s="26">
        <v>43633.3840277778</v>
      </c>
      <c r="J16655" s="28" t="s">
        <v>51</v>
      </c>
      <c r="K16655" s="28" t="s">
        <v>51</v>
      </c>
      <c r="L16655" s="28" t="s">
        <v>51</v>
      </c>
      <c r="M16655" s="28" t="s">
        <v>51</v>
      </c>
      <c r="N16655" s="28" t="s">
        <v>51</v>
      </c>
    </row>
    <row r="16656" spans="1:14" hidden="1" outlineLevel="1" x14ac:dyDescent="0.2">
      <c r="A16656" s="23" t="str">
        <f t="shared" si="565"/>
        <v>ГБУ РМЭ "ОРШАНСКАЯ ЦРБ"</v>
      </c>
      <c r="B16656" s="24" t="s">
        <v>21751</v>
      </c>
      <c r="C16656" s="25">
        <v>224646.39999999999</v>
      </c>
      <c r="D16656" s="22" t="s">
        <v>21752</v>
      </c>
      <c r="E16656" s="22" t="s">
        <v>62</v>
      </c>
      <c r="F16656" s="23" t="str">
        <f t="shared" si="566"/>
        <v>Поставка бланочной продукции (для субъектов малого предпринимательства, социально ориентированных некоммерческих организаций)</v>
      </c>
      <c r="G16656" s="22" t="s">
        <v>3249</v>
      </c>
      <c r="H16656" s="22" t="s">
        <v>3249</v>
      </c>
      <c r="I16656" s="26">
        <v>43633.3840277778</v>
      </c>
      <c r="J16656" s="23" t="str">
        <f>HYPERLINK("https://www.spark-marketing.ru/Card/Person/6218443", "ООО ""ТАВАНГАРД""")</f>
        <v>ООО "ТАВАНГАРД"</v>
      </c>
      <c r="K16656" s="24" t="s">
        <v>21753</v>
      </c>
      <c r="L16656" s="28" t="s">
        <v>51</v>
      </c>
      <c r="M16656" s="25">
        <v>196956.89</v>
      </c>
      <c r="N16656" s="27">
        <v>0.12325819599156719</v>
      </c>
    </row>
    <row r="16657" spans="1:14" hidden="1" outlineLevel="1" x14ac:dyDescent="0.2">
      <c r="A16657" s="23" t="str">
        <f t="shared" si="565"/>
        <v>ГБУ РМЭ "ОРШАНСКАЯ ЦРБ"</v>
      </c>
      <c r="B16657" s="24" t="s">
        <v>21751</v>
      </c>
      <c r="C16657" s="25">
        <v>224646.39999999999</v>
      </c>
      <c r="D16657" s="22" t="s">
        <v>21752</v>
      </c>
      <c r="E16657" s="22" t="s">
        <v>62</v>
      </c>
      <c r="F16657" s="23" t="str">
        <f t="shared" si="566"/>
        <v>Поставка бланочной продукции (для субъектов малого предпринимательства, социально ориентированных некоммерческих организаций)</v>
      </c>
      <c r="G16657" s="22" t="s">
        <v>3249</v>
      </c>
      <c r="H16657" s="22" t="s">
        <v>3249</v>
      </c>
      <c r="I16657" s="26">
        <v>43633.3840277778</v>
      </c>
      <c r="J16657" s="23" t="str">
        <f>HYPERLINK("https://www.spark-marketing.ru/Card/Person/6421268", "Головатый Александр Николаевич")</f>
        <v>Головатый Александр Николаевич</v>
      </c>
      <c r="K16657" s="24" t="s">
        <v>5206</v>
      </c>
      <c r="L16657" s="28" t="s">
        <v>51</v>
      </c>
      <c r="M16657" s="25">
        <v>148753</v>
      </c>
      <c r="N16657" s="27">
        <v>0.33783492635537449</v>
      </c>
    </row>
    <row r="16658" spans="1:14" ht="12.75" hidden="1" outlineLevel="1" x14ac:dyDescent="0.2">
      <c r="A16658" s="23" t="str">
        <f t="shared" si="565"/>
        <v>ГБУ РМЭ "ОРШАНСКАЯ ЦРБ"</v>
      </c>
      <c r="B16658" s="24" t="s">
        <v>21751</v>
      </c>
      <c r="C16658" s="25">
        <v>224646.39999999999</v>
      </c>
      <c r="D16658" s="22" t="s">
        <v>21752</v>
      </c>
      <c r="E16658" s="22" t="s">
        <v>62</v>
      </c>
      <c r="F16658" s="23" t="str">
        <f t="shared" si="566"/>
        <v>Поставка бланочной продукции (для субъектов малого предпринимательства, социально ориентированных некоммерческих организаций)</v>
      </c>
      <c r="G16658" s="22" t="s">
        <v>3249</v>
      </c>
      <c r="H16658" s="22" t="s">
        <v>3249</v>
      </c>
      <c r="I16658" s="26">
        <v>43633.3840277778</v>
      </c>
      <c r="J16658" s="23" t="str">
        <f>HYPERLINK("https://www.spark-marketing.ru/Card/Person/368050", "ООО ""ФИРМА СОХО""")</f>
        <v>ООО "ФИРМА СОХО"</v>
      </c>
      <c r="K16658" s="24" t="s">
        <v>21754</v>
      </c>
      <c r="L16658" s="22" t="s">
        <v>10</v>
      </c>
      <c r="M16658" s="25">
        <v>84680</v>
      </c>
      <c r="N16658" s="27">
        <v>0.62305204979915108</v>
      </c>
    </row>
    <row r="16659" spans="1:14" hidden="1" outlineLevel="1" x14ac:dyDescent="0.2">
      <c r="A16659" s="23" t="str">
        <f t="shared" si="565"/>
        <v>ГБУ РМЭ "ОРШАНСКАЯ ЦРБ"</v>
      </c>
      <c r="B16659" s="24" t="s">
        <v>21751</v>
      </c>
      <c r="C16659" s="25">
        <v>224646.39999999999</v>
      </c>
      <c r="D16659" s="22" t="s">
        <v>21752</v>
      </c>
      <c r="E16659" s="22" t="s">
        <v>62</v>
      </c>
      <c r="F16659" s="23" t="str">
        <f t="shared" si="566"/>
        <v>Поставка бланочной продукции (для субъектов малого предпринимательства, социально ориентированных некоммерческих организаций)</v>
      </c>
      <c r="G16659" s="22" t="s">
        <v>3249</v>
      </c>
      <c r="H16659" s="22" t="s">
        <v>3249</v>
      </c>
      <c r="I16659" s="26">
        <v>43633.3840277778</v>
      </c>
      <c r="J16659" s="23" t="str">
        <f>HYPERLINK("https://www.spark-marketing.ru/Card/Person/6619124", "Ефремов Дмитрий Андреевич")</f>
        <v>Ефремов Дмитрий Андреевич</v>
      </c>
      <c r="K16659" s="24" t="s">
        <v>16052</v>
      </c>
      <c r="L16659" s="28" t="s">
        <v>51</v>
      </c>
      <c r="M16659" s="25">
        <v>100426.77</v>
      </c>
      <c r="N16659" s="27">
        <v>0.55295624590467507</v>
      </c>
    </row>
    <row r="16660" spans="1:14" hidden="1" outlineLevel="1" x14ac:dyDescent="0.2">
      <c r="A16660" s="23" t="str">
        <f t="shared" si="565"/>
        <v>ГБУ РМЭ "ОРШАНСКАЯ ЦРБ"</v>
      </c>
      <c r="B16660" s="24" t="s">
        <v>21751</v>
      </c>
      <c r="C16660" s="25">
        <v>224646.39999999999</v>
      </c>
      <c r="D16660" s="22" t="s">
        <v>21752</v>
      </c>
      <c r="E16660" s="22" t="s">
        <v>62</v>
      </c>
      <c r="F16660" s="23" t="str">
        <f t="shared" si="566"/>
        <v>Поставка бланочной продукции (для субъектов малого предпринимательства, социально ориентированных некоммерческих организаций)</v>
      </c>
      <c r="G16660" s="22" t="s">
        <v>3249</v>
      </c>
      <c r="H16660" s="22" t="s">
        <v>3249</v>
      </c>
      <c r="I16660" s="26">
        <v>43633.3840277778</v>
      </c>
      <c r="J16660" s="23" t="str">
        <f>HYPERLINK("https://www.spark-marketing.ru/Card/Person/4359072", "ООО ""ПЕРФЕКТУМ""")</f>
        <v>ООО "ПЕРФЕКТУМ"</v>
      </c>
      <c r="K16660" s="24" t="s">
        <v>21755</v>
      </c>
      <c r="L16660" s="28" t="s">
        <v>51</v>
      </c>
      <c r="M16660" s="25">
        <v>85810.27</v>
      </c>
      <c r="N16660" s="27">
        <v>0.61802072056351676</v>
      </c>
    </row>
    <row r="16661" spans="1:14" x14ac:dyDescent="0.15">
      <c r="A16661" s="23" t="str">
        <f>HYPERLINK("https://www.spark-marketing.ru/Card/Person/948242", "ОТДЕЛ МВД РОССИИ ПО ШПАКОВСКОМУ РАЙОНУ")</f>
        <v>ОТДЕЛ МВД РОССИИ ПО ШПАКОВСКОМУ РАЙОНУ</v>
      </c>
      <c r="B16661" s="24" t="s">
        <v>21756</v>
      </c>
      <c r="C16661" s="25">
        <v>1324950</v>
      </c>
      <c r="D16661" s="22" t="s">
        <v>21757</v>
      </c>
      <c r="E16661" s="22" t="s">
        <v>96</v>
      </c>
      <c r="F16661" s="23" t="str">
        <f>HYPERLINK("https://www.spark-marketing.ru/Card/Lot/71400900", "на оказание услуг по приготовлению продуктов общественного питания, 3 раза в сутки в виде завтрака, обеда и ужина (для лиц, задержанных на срок более трех часов, содержащихся в СПСЗЛ Дежурной части, подозреваемых и обвиняемых в совершении преступлени...")</f>
        <v>на оказание услуг по приготовлению продуктов общественного питания, 3 раза в сутки в виде завтрака, обеда и ужина (для лиц, задержанных на срок более трех часов, содержащихся в СПСЗЛ Дежурной части, подозреваемых и обвиняемых в совершении преступлени...</v>
      </c>
      <c r="G16661" s="22" t="s">
        <v>87</v>
      </c>
      <c r="H16661" s="22" t="s">
        <v>7826</v>
      </c>
      <c r="I16661" s="26">
        <v>43633.355555555601</v>
      </c>
      <c r="J16661" s="23" t="str">
        <f>HYPERLINK("https://www.spark-marketing.ru/Card/Person/963577", "ООО ""ТРОПИКАНА""")</f>
        <v>ООО "ТРОПИКАНА"</v>
      </c>
      <c r="K16661" s="24" t="s">
        <v>21758</v>
      </c>
      <c r="L16661" s="22" t="s">
        <v>10</v>
      </c>
      <c r="M16661" s="28" t="s">
        <v>51</v>
      </c>
      <c r="N16661" s="28" t="s">
        <v>51</v>
      </c>
    </row>
    <row r="16662" spans="1:14" x14ac:dyDescent="0.15">
      <c r="A16662" s="23" t="str">
        <f>HYPERLINK("https://www.spark-marketing.ru/Card/Person/1764149", "СО ПСО ФЛ ФГКУ ""СКРПСО МЧС России""")</f>
        <v>СО ПСО ФЛ ФГКУ "СКРПСО МЧС России"</v>
      </c>
      <c r="B16662" s="24" t="s">
        <v>8900</v>
      </c>
      <c r="C16662" s="25">
        <v>400050</v>
      </c>
      <c r="D16662" s="22" t="s">
        <v>21759</v>
      </c>
      <c r="E16662" s="22" t="s">
        <v>48</v>
      </c>
      <c r="F16662" s="23" t="str">
        <f>HYPERLINK("https://www.spark-marketing.ru/Card/Lot/71419364", "Услуги по организации питания работников в период несения дежурства")</f>
        <v>Услуги по организации питания работников в период несения дежурства</v>
      </c>
      <c r="G16662" s="22" t="s">
        <v>783</v>
      </c>
      <c r="H16662" s="22" t="s">
        <v>21760</v>
      </c>
      <c r="I16662" s="26">
        <v>43633.370833333298</v>
      </c>
      <c r="J16662" s="23" t="str">
        <f>HYPERLINK("https://www.spark-marketing.ru/Card/Person/814282", "Мамиева Фатима Ахурбековна")</f>
        <v>Мамиева Фатима Ахурбековна</v>
      </c>
      <c r="K16662" s="24" t="s">
        <v>21761</v>
      </c>
      <c r="L16662" s="22" t="s">
        <v>10</v>
      </c>
      <c r="M16662" s="28" t="s">
        <v>51</v>
      </c>
      <c r="N16662" s="28" t="s">
        <v>51</v>
      </c>
    </row>
    <row r="16663" spans="1:14" x14ac:dyDescent="0.15">
      <c r="A16663" s="23" t="str">
        <f>HYPERLINK("https://www.spark-marketing.ru/Card/Person/1011215", "МДОУ Д/С № 83")</f>
        <v>МДОУ Д/С № 83</v>
      </c>
      <c r="B16663" s="24" t="s">
        <v>4651</v>
      </c>
      <c r="C16663" s="25">
        <v>142887.04000000001</v>
      </c>
      <c r="D16663" s="22" t="s">
        <v>21762</v>
      </c>
      <c r="E16663" s="22" t="s">
        <v>362</v>
      </c>
      <c r="F16663" s="23" t="str">
        <f>HYPERLINK("https://www.spark-marketing.ru/Card/Lot/71396032", "оказание услуг по организации питания детей")</f>
        <v>оказание услуг по организации питания детей</v>
      </c>
      <c r="G16663" s="22" t="s">
        <v>158</v>
      </c>
      <c r="H16663" s="22" t="s">
        <v>158</v>
      </c>
      <c r="I16663" s="26">
        <v>43633.356157407397</v>
      </c>
      <c r="J16663" s="28" t="s">
        <v>51</v>
      </c>
      <c r="K16663" s="28" t="s">
        <v>51</v>
      </c>
      <c r="L16663" s="28" t="s">
        <v>51</v>
      </c>
      <c r="M16663" s="28" t="s">
        <v>51</v>
      </c>
      <c r="N16663" s="28" t="s">
        <v>51</v>
      </c>
    </row>
    <row r="16664" spans="1:14" x14ac:dyDescent="0.15">
      <c r="A16664" s="23" t="str">
        <f>HYPERLINK("https://www.spark-marketing.ru/Card/Person/948242", "ОТДЕЛ МВД РОССИИ ПО ШПАКОВСКОМУ РАЙОНУ")</f>
        <v>ОТДЕЛ МВД РОССИИ ПО ШПАКОВСКОМУ РАЙОНУ</v>
      </c>
      <c r="B16664" s="24" t="s">
        <v>21756</v>
      </c>
      <c r="C16664" s="25">
        <v>1361520</v>
      </c>
      <c r="D16664" s="22" t="s">
        <v>21763</v>
      </c>
      <c r="E16664" s="22" t="s">
        <v>96</v>
      </c>
      <c r="F16664" s="23" t="str">
        <f>HYPERLINK("https://www.spark-marketing.ru/Card/Lot/71400901", "на оказание услуг по приготовлению продуктов общественного питания, 3 раза в сутки в виде завтрака, обеда и ужина (для лиц, задержанных на срок более трех часов, содержащихся в СПСЗЛ Дежурной части, подозреваемых и обвиняемых в совершении преступлени...")</f>
        <v>на оказание услуг по приготовлению продуктов общественного питания, 3 раза в сутки в виде завтрака, обеда и ужина (для лиц, задержанных на срок более трех часов, содержащихся в СПСЗЛ Дежурной части, подозреваемых и обвиняемых в совершении преступлени...</v>
      </c>
      <c r="G16664" s="22" t="s">
        <v>87</v>
      </c>
      <c r="H16664" s="22" t="s">
        <v>7826</v>
      </c>
      <c r="I16664" s="26">
        <v>43633.354861111096</v>
      </c>
      <c r="J16664" s="23" t="str">
        <f>HYPERLINK("https://www.spark-marketing.ru/Card/Person/963577", "ООО ""ТРОПИКАНА""")</f>
        <v>ООО "ТРОПИКАНА"</v>
      </c>
      <c r="K16664" s="24" t="s">
        <v>21758</v>
      </c>
      <c r="L16664" s="22" t="s">
        <v>10</v>
      </c>
      <c r="M16664" s="28" t="s">
        <v>51</v>
      </c>
      <c r="N16664" s="28" t="s">
        <v>51</v>
      </c>
    </row>
    <row r="16665" spans="1:14" x14ac:dyDescent="0.15">
      <c r="A16665" s="23" t="str">
        <f>HYPERLINK("https://www.spark-marketing.ru/Card/Person/15384", "МУ МВД РОССИИ ""НИЖНЕТАГИЛЬСКОЕ""")</f>
        <v>МУ МВД РОССИИ "НИЖНЕТАГИЛЬСКОЕ"</v>
      </c>
      <c r="B16665" s="24" t="s">
        <v>839</v>
      </c>
      <c r="C16665" s="25">
        <v>678316.19</v>
      </c>
      <c r="D16665" s="22" t="s">
        <v>21764</v>
      </c>
      <c r="E16665" s="22" t="s">
        <v>48</v>
      </c>
      <c r="F16665" s="23" t="str">
        <f>HYPERLINK("https://www.spark-marketing.ru/Card/Lot/71399782", "Оказание услуг по организации ежедневного трехразового горячего питания лиц, содержащихся в Спецприемнике  МУ МВД России ""Нижнетагильское""")</f>
        <v>Оказание услуг по организации ежедневного трехразового горячего питания лиц, содержащихся в Спецприемнике  МУ МВД России "Нижнетагильское"</v>
      </c>
      <c r="G16665" s="22" t="s">
        <v>174</v>
      </c>
      <c r="H16665" s="22" t="s">
        <v>841</v>
      </c>
      <c r="I16665" s="26">
        <v>43633.3659722222</v>
      </c>
      <c r="J16665" s="28" t="s">
        <v>51</v>
      </c>
      <c r="K16665" s="28" t="s">
        <v>51</v>
      </c>
      <c r="L16665" s="28" t="s">
        <v>51</v>
      </c>
      <c r="M16665" s="28" t="s">
        <v>51</v>
      </c>
      <c r="N16665" s="28" t="s">
        <v>51</v>
      </c>
    </row>
    <row r="16666" spans="1:14" ht="12.75" hidden="1" outlineLevel="1" x14ac:dyDescent="0.2">
      <c r="A16666" s="23" t="str">
        <f>HYPERLINK("https://www.spark-marketing.ru/Card/Person/15384", "МУ МВД РОССИИ ""НИЖНЕТАГИЛЬСКОЕ""")</f>
        <v>МУ МВД РОССИИ "НИЖНЕТАГИЛЬСКОЕ"</v>
      </c>
      <c r="B16666" s="24" t="s">
        <v>839</v>
      </c>
      <c r="C16666" s="25">
        <v>678316.19</v>
      </c>
      <c r="D16666" s="22" t="s">
        <v>21764</v>
      </c>
      <c r="E16666" s="22" t="s">
        <v>48</v>
      </c>
      <c r="F16666" s="23" t="str">
        <f>HYPERLINK("https://www.spark-marketing.ru/Card/Lot/71399782", "Оказание услуг по организации ежедневного трехразового горячего питания лиц, содержащихся в Спецприемнике  МУ МВД России ""Нижнетагильское""")</f>
        <v>Оказание услуг по организации ежедневного трехразового горячего питания лиц, содержащихся в Спецприемнике  МУ МВД России "Нижнетагильское"</v>
      </c>
      <c r="G16666" s="22" t="s">
        <v>174</v>
      </c>
      <c r="H16666" s="22" t="s">
        <v>841</v>
      </c>
      <c r="I16666" s="26">
        <v>43633.3659722222</v>
      </c>
      <c r="J16666" s="23" t="str">
        <f>HYPERLINK("https://www.spark-marketing.ru/Card/Person/147099", "Манденко Ольга Анатольевна")</f>
        <v>Манденко Ольга Анатольевна</v>
      </c>
      <c r="K16666" s="24" t="s">
        <v>21765</v>
      </c>
      <c r="L16666" s="22" t="s">
        <v>10</v>
      </c>
      <c r="M16666" s="25">
        <v>759.66</v>
      </c>
      <c r="N16666" s="27">
        <v>0.99888007980467042</v>
      </c>
    </row>
    <row r="16667" spans="1:14" hidden="1" outlineLevel="1" x14ac:dyDescent="0.2">
      <c r="A16667" s="23" t="str">
        <f>HYPERLINK("https://www.spark-marketing.ru/Card/Person/15384", "МУ МВД РОССИИ ""НИЖНЕТАГИЛЬСКОЕ""")</f>
        <v>МУ МВД РОССИИ "НИЖНЕТАГИЛЬСКОЕ"</v>
      </c>
      <c r="B16667" s="24" t="s">
        <v>839</v>
      </c>
      <c r="C16667" s="25">
        <v>678316.19</v>
      </c>
      <c r="D16667" s="22" t="s">
        <v>21764</v>
      </c>
      <c r="E16667" s="22" t="s">
        <v>48</v>
      </c>
      <c r="F16667" s="23" t="str">
        <f>HYPERLINK("https://www.spark-marketing.ru/Card/Lot/71399782", "Оказание услуг по организации ежедневного трехразового горячего питания лиц, содержащихся в Спецприемнике  МУ МВД России ""Нижнетагильское""")</f>
        <v>Оказание услуг по организации ежедневного трехразового горячего питания лиц, содержащихся в Спецприемнике  МУ МВД России "Нижнетагильское"</v>
      </c>
      <c r="G16667" s="22" t="s">
        <v>174</v>
      </c>
      <c r="H16667" s="22" t="s">
        <v>841</v>
      </c>
      <c r="I16667" s="26">
        <v>43633.3659722222</v>
      </c>
      <c r="J16667" s="23" t="str">
        <f>HYPERLINK("https://www.spark-marketing.ru/Card/Person/30650", "АО ""НАУЧНО-ПРОИЗВОДСТВЕННАЯ КОРПОРАЦИЯ ""УРАЛВАГОНЗАВОД""")</f>
        <v>АО "НАУЧНО-ПРОИЗВОДСТВЕННАЯ КОРПОРАЦИЯ "УРАЛВАГОНЗАВОД"</v>
      </c>
      <c r="K16667" s="24" t="s">
        <v>21766</v>
      </c>
      <c r="L16667" s="28" t="s">
        <v>51</v>
      </c>
      <c r="M16667" s="25">
        <v>1059.6600000000001</v>
      </c>
      <c r="N16667" s="27">
        <v>0.99843780818499994</v>
      </c>
    </row>
    <row r="16668" spans="1:14" hidden="1" outlineLevel="1" x14ac:dyDescent="0.2">
      <c r="A16668" s="23" t="str">
        <f>HYPERLINK("https://www.spark-marketing.ru/Card/Person/15384", "МУ МВД РОССИИ ""НИЖНЕТАГИЛЬСКОЕ""")</f>
        <v>МУ МВД РОССИИ "НИЖНЕТАГИЛЬСКОЕ"</v>
      </c>
      <c r="B16668" s="24" t="s">
        <v>839</v>
      </c>
      <c r="C16668" s="25">
        <v>678316.19</v>
      </c>
      <c r="D16668" s="22" t="s">
        <v>21764</v>
      </c>
      <c r="E16668" s="22" t="s">
        <v>48</v>
      </c>
      <c r="F16668" s="23" t="str">
        <f>HYPERLINK("https://www.spark-marketing.ru/Card/Lot/71399782", "Оказание услуг по организации ежедневного трехразового горячего питания лиц, содержащихся в Спецприемнике  МУ МВД России ""Нижнетагильское""")</f>
        <v>Оказание услуг по организации ежедневного трехразового горячего питания лиц, содержащихся в Спецприемнике  МУ МВД России "Нижнетагильское"</v>
      </c>
      <c r="G16668" s="22" t="s">
        <v>174</v>
      </c>
      <c r="H16668" s="22" t="s">
        <v>841</v>
      </c>
      <c r="I16668" s="26">
        <v>43633.3659722222</v>
      </c>
      <c r="J16668" s="23" t="str">
        <f>HYPERLINK("https://www.spark-marketing.ru/Card/Person/537699", "Юрк Наталья Васильевна")</f>
        <v>Юрк Наталья Васильевна</v>
      </c>
      <c r="K16668" s="24" t="s">
        <v>21767</v>
      </c>
      <c r="L16668" s="28" t="s">
        <v>51</v>
      </c>
      <c r="M16668" s="25">
        <v>859.66</v>
      </c>
      <c r="N16668" s="27">
        <v>0.998732655931447</v>
      </c>
    </row>
    <row r="16669" spans="1:14" x14ac:dyDescent="0.15">
      <c r="A16669" s="23" t="str">
        <f>HYPERLINK("https://www.spark-marketing.ru/Card/Person/141434", "ГАУ ""КЦСОН ""ИЗУМРУД"" ГОРОДА КИРОВГРАДА""")</f>
        <v>ГАУ "КЦСОН "ИЗУМРУД" ГОРОДА КИРОВГРАДА"</v>
      </c>
      <c r="B16669" s="24" t="s">
        <v>21768</v>
      </c>
      <c r="C16669" s="25">
        <v>987846</v>
      </c>
      <c r="D16669" s="22" t="s">
        <v>21769</v>
      </c>
      <c r="E16669" s="22" t="s">
        <v>48</v>
      </c>
      <c r="F16669" s="23" t="str">
        <f>HYPERLINK("https://www.spark-marketing.ru/Card/Lot/71397231", "Оказание услуг по организации питания клиентов ГАУ ""КЦСОН ""Изумруд"" города Кировграда""")</f>
        <v>Оказание услуг по организации питания клиентов ГАУ "КЦСОН "Изумруд" города Кировграда"</v>
      </c>
      <c r="G16669" s="22" t="s">
        <v>174</v>
      </c>
      <c r="H16669" s="22" t="s">
        <v>8591</v>
      </c>
      <c r="I16669" s="26">
        <v>43633.3659722222</v>
      </c>
      <c r="J16669" s="23" t="str">
        <f>HYPERLINK("https://www.spark-marketing.ru/Card/Person/5639201", "Юсубов Мамед Хизриевич")</f>
        <v>Юсубов Мамед Хизриевич</v>
      </c>
      <c r="K16669" s="24" t="s">
        <v>21770</v>
      </c>
      <c r="L16669" s="28" t="s">
        <v>51</v>
      </c>
      <c r="M16669" s="28" t="s">
        <v>51</v>
      </c>
      <c r="N16669" s="28" t="s">
        <v>51</v>
      </c>
    </row>
    <row r="16670" spans="1:14" ht="12.75" hidden="1" outlineLevel="1" x14ac:dyDescent="0.2">
      <c r="A16670" s="23" t="str">
        <f>HYPERLINK("https://www.spark-marketing.ru/Card/Person/141434", "ГАУ ""КЦСОН ""ИЗУМРУД"" ГОРОДА КИРОВГРАДА""")</f>
        <v>ГАУ "КЦСОН "ИЗУМРУД" ГОРОДА КИРОВГРАДА"</v>
      </c>
      <c r="B16670" s="24" t="s">
        <v>21768</v>
      </c>
      <c r="C16670" s="25">
        <v>987846</v>
      </c>
      <c r="D16670" s="22" t="s">
        <v>21769</v>
      </c>
      <c r="E16670" s="22" t="s">
        <v>48</v>
      </c>
      <c r="F16670" s="23" t="str">
        <f>HYPERLINK("https://www.spark-marketing.ru/Card/Lot/71397231", "Оказание услуг по организации питания клиентов ГАУ ""КЦСОН ""Изумруд"" города Кировграда""")</f>
        <v>Оказание услуг по организации питания клиентов ГАУ "КЦСОН "Изумруд" города Кировграда"</v>
      </c>
      <c r="G16670" s="22" t="s">
        <v>174</v>
      </c>
      <c r="H16670" s="22" t="s">
        <v>8591</v>
      </c>
      <c r="I16670" s="26">
        <v>43633.3659722222</v>
      </c>
      <c r="J16670" s="23" t="str">
        <f>HYPERLINK("https://www.spark-marketing.ru/Card/Person/5639201", "Юсубов Мамед Хизриевич")</f>
        <v>Юсубов Мамед Хизриевич</v>
      </c>
      <c r="K16670" s="24" t="s">
        <v>21770</v>
      </c>
      <c r="L16670" s="22" t="s">
        <v>10</v>
      </c>
      <c r="M16670" s="25">
        <v>982906.77</v>
      </c>
      <c r="N16670" s="27">
        <v>5.0000000000000001E-3</v>
      </c>
    </row>
    <row r="16671" spans="1:14" x14ac:dyDescent="0.15">
      <c r="A16671" s="23" t="str">
        <f>HYPERLINK("https://www.spark-marketing.ru/Card/Person/107267", "УМВД РОССИИ ПО Г. СУРГУТУ")</f>
        <v>УМВД РОССИИ ПО Г. СУРГУТУ</v>
      </c>
      <c r="B16671" s="24" t="s">
        <v>5245</v>
      </c>
      <c r="C16671" s="25">
        <v>9960</v>
      </c>
      <c r="D16671" s="22" t="s">
        <v>21771</v>
      </c>
      <c r="E16671" s="22" t="s">
        <v>48</v>
      </c>
      <c r="F16671" s="23" t="str">
        <f>HYPERLINK("https://www.spark-marketing.ru/Card/Lot/71396987", "Услуги по обеспечению питанием, осуществляемые по договору, 83 усл. ед")</f>
        <v>Услуги по обеспечению питанием, осуществляемые по договору, 83 усл. ед</v>
      </c>
      <c r="G16671" s="22" t="s">
        <v>97</v>
      </c>
      <c r="H16671" s="22" t="s">
        <v>3533</v>
      </c>
      <c r="I16671" s="26">
        <v>43633.358344907399</v>
      </c>
      <c r="J16671" s="28" t="s">
        <v>51</v>
      </c>
      <c r="K16671" s="28" t="s">
        <v>51</v>
      </c>
      <c r="L16671" s="28" t="s">
        <v>51</v>
      </c>
      <c r="M16671" s="28" t="s">
        <v>51</v>
      </c>
      <c r="N16671" s="28" t="s">
        <v>51</v>
      </c>
    </row>
    <row r="16672" spans="1:14" x14ac:dyDescent="0.15">
      <c r="A16672" s="23" t="str">
        <f>HYPERLINK("https://www.spark-marketing.ru/Card/Person/102503", "ОТД МВД РОССИИ ПО ГАЙСКОМУ ГОРОДСКОМУ ОКРУГУ")</f>
        <v>ОТД МВД РОССИИ ПО ГАЙСКОМУ ГОРОДСКОМУ ОКРУГУ</v>
      </c>
      <c r="B16672" s="24" t="s">
        <v>2780</v>
      </c>
      <c r="C16672" s="25">
        <v>99999</v>
      </c>
      <c r="D16672" s="22" t="s">
        <v>21772</v>
      </c>
      <c r="E16672" s="22" t="s">
        <v>96</v>
      </c>
      <c r="F16672" s="23" t="str">
        <f>HYPERLINK("https://www.spark-marketing.ru/Card/Lot/71395245",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6672" s="22" t="s">
        <v>132</v>
      </c>
      <c r="H16672" s="22" t="s">
        <v>2782</v>
      </c>
      <c r="I16672" s="26">
        <v>43633.301574074103</v>
      </c>
      <c r="J16672" s="28" t="s">
        <v>51</v>
      </c>
      <c r="K16672" s="28" t="s">
        <v>51</v>
      </c>
      <c r="L16672" s="28" t="s">
        <v>51</v>
      </c>
      <c r="M16672" s="28" t="s">
        <v>51</v>
      </c>
      <c r="N16672" s="28" t="s">
        <v>51</v>
      </c>
    </row>
    <row r="16673" spans="1:14" x14ac:dyDescent="0.15">
      <c r="A16673" s="23" t="str">
        <f>HYPERLINK("https://www.spark-marketing.ru/Card/Person/1080725", "БОУ Г. ОМСКА ""ЛИЦЕЙ № 25""")</f>
        <v>БОУ Г. ОМСКА "ЛИЦЕЙ № 25"</v>
      </c>
      <c r="B16673" s="24" t="s">
        <v>21773</v>
      </c>
      <c r="C16673" s="25">
        <v>20390.86</v>
      </c>
      <c r="D16673" s="22" t="s">
        <v>21774</v>
      </c>
      <c r="E16673" s="22" t="s">
        <v>48</v>
      </c>
      <c r="F16673" s="23" t="str">
        <f>HYPERLINK("https://www.spark-marketing.ru/Card/Lot/71395996", "Услуги по организации питания обучающихся с ОВЗ")</f>
        <v>Услуги по организации питания обучающихся с ОВЗ</v>
      </c>
      <c r="G16673" s="22" t="s">
        <v>487</v>
      </c>
      <c r="H16673" s="22" t="s">
        <v>488</v>
      </c>
      <c r="I16673" s="26">
        <v>43633.3125</v>
      </c>
      <c r="J16673" s="28" t="s">
        <v>51</v>
      </c>
      <c r="K16673" s="28" t="s">
        <v>51</v>
      </c>
      <c r="L16673" s="28" t="s">
        <v>51</v>
      </c>
      <c r="M16673" s="28" t="s">
        <v>51</v>
      </c>
      <c r="N16673" s="28" t="s">
        <v>51</v>
      </c>
    </row>
    <row r="16674" spans="1:14" x14ac:dyDescent="0.15">
      <c r="A16674" s="23" t="str">
        <f>HYPERLINK("https://www.spark-marketing.ru/Card/Person/151701", "ГБПОУ НСО ""НКТТ ИМ. Н.А. ЛУНИНА""")</f>
        <v>ГБПОУ НСО "НКТТ ИМ. Н.А. ЛУНИНА"</v>
      </c>
      <c r="B16674" s="24" t="s">
        <v>21775</v>
      </c>
      <c r="C16674" s="25">
        <v>99556.66</v>
      </c>
      <c r="D16674" s="22" t="s">
        <v>21776</v>
      </c>
      <c r="E16674" s="22" t="s">
        <v>96</v>
      </c>
      <c r="F16674" s="23" t="str">
        <f>HYPERLINK("https://www.spark-marketing.ru/Card/Lot/71395415", "оказание услуг по обеспечению горячим питанием и выдаче сухих пайков обучающихся детей-сирот, сирот оставшихся без попечения родителей, лиц из числа детей-сирот и детей, оставшихся без попечения родителей Барабинского филиала")</f>
        <v>оказание услуг по обеспечению горячим питанием и выдаче сухих пайков обучающихся детей-сирот, сирот оставшихся без попечения родителей, лиц из числа детей-сирот и детей, оставшихся без попечения родителей Барабинского филиала</v>
      </c>
      <c r="G16674" s="22" t="s">
        <v>195</v>
      </c>
      <c r="H16674" s="22" t="s">
        <v>196</v>
      </c>
      <c r="I16674" s="26">
        <v>43633.3034722222</v>
      </c>
      <c r="J16674" s="28" t="s">
        <v>51</v>
      </c>
      <c r="K16674" s="28" t="s">
        <v>51</v>
      </c>
      <c r="L16674" s="28" t="s">
        <v>51</v>
      </c>
      <c r="M16674" s="28" t="s">
        <v>51</v>
      </c>
      <c r="N16674" s="28" t="s">
        <v>51</v>
      </c>
    </row>
    <row r="16675" spans="1:14" x14ac:dyDescent="0.15">
      <c r="A16675" s="23" t="str">
        <f>HYPERLINK("https://www.spark-marketing.ru/Card/Person/6450322", "ЗАКАЗЧИК РП БЕЛАРУСЬ")</f>
        <v>ЗАКАЗЧИК РП БЕЛАРУСЬ</v>
      </c>
      <c r="B16675" s="28" t="s">
        <v>51</v>
      </c>
      <c r="C16675" s="25">
        <v>2186912</v>
      </c>
      <c r="D16675" s="22" t="s">
        <v>21777</v>
      </c>
      <c r="E16675" s="22" t="s">
        <v>52</v>
      </c>
      <c r="F16675" s="23" t="str">
        <f>HYPERLINK("https://www.spark-marketing.ru/Card/Lot/71400541", "Услуги по обеспечению питанием военнослужащих по норме общевойскового пайка, с учетом обеспечения дополнительным питанием военнослужащих, несущих боевое дежурство (2-й радиотехнический центр войсковой части 48685, Гродненская обл., Волковысский р-н, ...")</f>
        <v>Услуги по обеспечению питанием военнослужащих по норме общевойскового пайка, с учетом обеспечения дополнительным питанием военнослужащих, несущих боевое дежурство (2-й радиотехнический центр войсковой части 48685, Гродненская обл., Волковысский р-н, ...</v>
      </c>
      <c r="G16675" s="22" t="s">
        <v>51</v>
      </c>
      <c r="H16675" s="22" t="s">
        <v>51</v>
      </c>
      <c r="I16675" s="26">
        <v>43633</v>
      </c>
      <c r="J16675" s="28" t="s">
        <v>51</v>
      </c>
      <c r="K16675" s="28" t="s">
        <v>51</v>
      </c>
      <c r="L16675" s="28" t="s">
        <v>51</v>
      </c>
      <c r="M16675" s="28" t="s">
        <v>51</v>
      </c>
      <c r="N16675" s="28" t="s">
        <v>51</v>
      </c>
    </row>
    <row r="16676" spans="1:14" x14ac:dyDescent="0.15">
      <c r="A16676" s="23" t="str">
        <f>HYPERLINK("https://www.spark-marketing.ru/Card/Person/4348592", "ООО ""ГАЗПРОМ БУРЕНИЕ""")</f>
        <v>ООО "ГАЗПРОМ БУРЕНИЕ"</v>
      </c>
      <c r="B16676" s="24" t="s">
        <v>21778</v>
      </c>
      <c r="C16676" s="28" t="s">
        <v>51</v>
      </c>
      <c r="D16676" s="22" t="s">
        <v>21779</v>
      </c>
      <c r="E16676" s="22" t="s">
        <v>52</v>
      </c>
      <c r="F16676" s="23" t="str">
        <f>HYPERLINK("https://www.spark-marketing.ru/Card/Lot/73978407", "Оказание услуг по организации питания отдыхающих на базе отдыха ""Бухта Инал"" филиала ""Краснодар бурение"" в период с 01.08.2019 по 21.09.2019")</f>
        <v>Оказание услуг по организации питания отдыхающих на базе отдыха "Бухта Инал" филиала "Краснодар бурение" в период с 01.08.2019 по 21.09.2019</v>
      </c>
      <c r="G16676" s="22" t="s">
        <v>56</v>
      </c>
      <c r="H16676" s="22" t="s">
        <v>56</v>
      </c>
      <c r="I16676" s="26">
        <v>43633</v>
      </c>
      <c r="J16676" s="28" t="s">
        <v>51</v>
      </c>
      <c r="K16676" s="28" t="s">
        <v>51</v>
      </c>
      <c r="L16676" s="28" t="s">
        <v>51</v>
      </c>
      <c r="M16676" s="28" t="s">
        <v>51</v>
      </c>
      <c r="N16676" s="28" t="s">
        <v>51</v>
      </c>
    </row>
    <row r="16677" spans="1:14" x14ac:dyDescent="0.2">
      <c r="A16677" s="23" t="str">
        <f>HYPERLINK("https://www.spark-marketing.ru/Card/Person/1009416", "МБОУ Г. АСТРАХАНИ ""СОШ № 27""")</f>
        <v>МБОУ Г. АСТРАХАНИ "СОШ № 27"</v>
      </c>
      <c r="B16677" s="24" t="s">
        <v>9597</v>
      </c>
      <c r="C16677" s="25">
        <v>333504</v>
      </c>
      <c r="D16677" s="22" t="s">
        <v>21780</v>
      </c>
      <c r="E16677" s="22" t="s">
        <v>52</v>
      </c>
      <c r="F16677" s="23" t="str">
        <f>HYPERLINK("https://www.spark-marketing.ru/Card/Lot/73751436", "Услуги по организации питания")</f>
        <v>Услуги по организации питания</v>
      </c>
      <c r="G16677" s="22" t="s">
        <v>141</v>
      </c>
      <c r="H16677" s="22" t="s">
        <v>2201</v>
      </c>
      <c r="I16677" s="26">
        <v>43633.413888888899</v>
      </c>
      <c r="J16677" s="28" t="s">
        <v>51</v>
      </c>
      <c r="K16677" s="28" t="s">
        <v>51</v>
      </c>
      <c r="L16677" s="28" t="s">
        <v>51</v>
      </c>
      <c r="M16677" s="25">
        <v>333504</v>
      </c>
      <c r="N16677" s="27">
        <v>0</v>
      </c>
    </row>
    <row r="16678" spans="1:14" x14ac:dyDescent="0.2">
      <c r="A16678" s="23" t="str">
        <f>HYPERLINK("https://www.spark-marketing.ru/Card/Person/4348376", "АО ""ЖТК""")</f>
        <v>АО "ЖТК"</v>
      </c>
      <c r="B16678" s="24" t="s">
        <v>2312</v>
      </c>
      <c r="C16678" s="25">
        <v>1623450</v>
      </c>
      <c r="D16678" s="22" t="s">
        <v>21781</v>
      </c>
      <c r="E16678" s="22" t="s">
        <v>2420</v>
      </c>
      <c r="F16678" s="23" t="str">
        <f>HYPERLINK("https://www.spark-marketing.ru/Card/Lot/71390757", "Поставка замороженного мяса животных и птицы, рыбы свежемороженной и полуфабрикатов из них для предприятий общественного питания Свободненского ТПО, оказывающих услуги питания работникам ОАО ""РЖД""")</f>
        <v>Поставка замороженного мяса животных и птицы, рыбы свежемороженной и полуфабрикатов из них для предприятий общественного питания Свободненского ТПО, оказывающих услуги питания работникам ОАО "РЖД"</v>
      </c>
      <c r="G16678" s="22" t="s">
        <v>210</v>
      </c>
      <c r="H16678" s="22" t="s">
        <v>210</v>
      </c>
      <c r="I16678" s="26">
        <v>43632.4451736111</v>
      </c>
      <c r="J16678" s="23" t="str">
        <f>HYPERLINK("https://www.spark-marketing.ru/Card/Person/1816998", "Мартынов Петр Леонидович")</f>
        <v>Мартынов Петр Леонидович</v>
      </c>
      <c r="K16678" s="24" t="s">
        <v>21782</v>
      </c>
      <c r="L16678" s="28" t="s">
        <v>51</v>
      </c>
      <c r="M16678" s="25">
        <v>1623450</v>
      </c>
      <c r="N16678" s="27">
        <v>0</v>
      </c>
    </row>
    <row r="16679" spans="1:14" x14ac:dyDescent="0.2">
      <c r="A16679" s="23" t="str">
        <f>HYPERLINK("https://www.spark-marketing.ru/Card/Person/4348376", "АО ""ЖТК""")</f>
        <v>АО "ЖТК"</v>
      </c>
      <c r="B16679" s="24" t="s">
        <v>2312</v>
      </c>
      <c r="C16679" s="25">
        <v>494000</v>
      </c>
      <c r="D16679" s="22" t="s">
        <v>21783</v>
      </c>
      <c r="E16679" s="22" t="s">
        <v>1564</v>
      </c>
      <c r="F16679" s="23" t="str">
        <f>HYPERLINK("https://www.spark-marketing.ru/Card/Lot/71390756", "Поставка сыров для предприятий общественного питания Свободненеского ТПО, оказывающих услуги питания работникам ОАО ""РЖД""")</f>
        <v>Поставка сыров для предприятий общественного питания Свободненеского ТПО, оказывающих услуги питания работникам ОАО "РЖД"</v>
      </c>
      <c r="G16679" s="22" t="s">
        <v>210</v>
      </c>
      <c r="H16679" s="22" t="s">
        <v>210</v>
      </c>
      <c r="I16679" s="26">
        <v>43632.422106481499</v>
      </c>
      <c r="J16679" s="23" t="str">
        <f>HYPERLINK("https://www.spark-marketing.ru/Card/Person/6064640", "Петров Александр Юрьевич")</f>
        <v>Петров Александр Юрьевич</v>
      </c>
      <c r="K16679" s="24" t="s">
        <v>21784</v>
      </c>
      <c r="L16679" s="28" t="s">
        <v>51</v>
      </c>
      <c r="M16679" s="25">
        <v>494000</v>
      </c>
      <c r="N16679" s="27">
        <v>0</v>
      </c>
    </row>
    <row r="16680" spans="1:14" x14ac:dyDescent="0.15">
      <c r="A16680" s="23" t="str">
        <f>HYPERLINK("https://www.spark-marketing.ru/Card/Person/1759725", "МАУ ДО ""ДЮСШ №2""")</f>
        <v>МАУ ДО "ДЮСШ №2"</v>
      </c>
      <c r="B16680" s="24" t="s">
        <v>17704</v>
      </c>
      <c r="C16680" s="25">
        <v>240000</v>
      </c>
      <c r="D16680" s="22" t="s">
        <v>21785</v>
      </c>
      <c r="E16680" s="22" t="s">
        <v>769</v>
      </c>
      <c r="F16680" s="23" t="str">
        <f>HYPERLINK("https://www.spark-marketing.ru/Card/Lot/71390057", "услуги по временному размещению и питанию членов сборной команды города Тобольска по боксу")</f>
        <v>услуги по временному размещению и питанию членов сборной команды города Тобольска по боксу</v>
      </c>
      <c r="G16680" s="22" t="s">
        <v>97</v>
      </c>
      <c r="H16680" s="22" t="s">
        <v>97</v>
      </c>
      <c r="I16680" s="26">
        <v>43632.437800925902</v>
      </c>
      <c r="J16680" s="28" t="s">
        <v>51</v>
      </c>
      <c r="K16680" s="28" t="s">
        <v>51</v>
      </c>
      <c r="L16680" s="28" t="s">
        <v>51</v>
      </c>
      <c r="M16680" s="28" t="s">
        <v>51</v>
      </c>
      <c r="N16680" s="28" t="s">
        <v>51</v>
      </c>
    </row>
    <row r="16681" spans="1:14" x14ac:dyDescent="0.15">
      <c r="A16681" s="23" t="str">
        <f>HYPERLINK("https://www.spark-marketing.ru/Card/Person/880981", "МАУ ДОЛ ""СОЛНЕЧНАЯ ПОЛЯНА""")</f>
        <v>МАУ ДОЛ "СОЛНЕЧНАЯ ПОЛЯНА"</v>
      </c>
      <c r="B16681" s="24" t="s">
        <v>21786</v>
      </c>
      <c r="C16681" s="25">
        <v>13251930</v>
      </c>
      <c r="D16681" s="22" t="s">
        <v>21787</v>
      </c>
      <c r="E16681" s="22" t="s">
        <v>4023</v>
      </c>
      <c r="F16681" s="23" t="str">
        <f>HYPERLINK("https://www.spark-marketing.ru/Card/Lot/71390695", "Услуга по организации горячего питания отдыхающих детей и подростков в МАУ ДОЛ «Солнечная поляна»")</f>
        <v>Услуга по организации горячего питания отдыхающих детей и подростков в МАУ ДОЛ «Солнечная поляна»</v>
      </c>
      <c r="G16681" s="22" t="s">
        <v>469</v>
      </c>
      <c r="H16681" s="22" t="s">
        <v>469</v>
      </c>
      <c r="I16681" s="26">
        <v>43632.445381944402</v>
      </c>
      <c r="J16681" s="28" t="s">
        <v>51</v>
      </c>
      <c r="K16681" s="28" t="s">
        <v>51</v>
      </c>
      <c r="L16681" s="28" t="s">
        <v>51</v>
      </c>
      <c r="M16681" s="28" t="s">
        <v>51</v>
      </c>
      <c r="N16681" s="28" t="s">
        <v>51</v>
      </c>
    </row>
    <row r="16682" spans="1:14" x14ac:dyDescent="0.15">
      <c r="A16682" s="23" t="str">
        <f>HYPERLINK("https://www.spark-marketing.ru/Card/Person/8972", "УПРАВЛЕНИЕ ДЕЛАМИ ПРАВИТЕЛЬСТВА ЛЕНИНГРАДСКОЙ ОБЛАСТИ")</f>
        <v>УПРАВЛЕНИЕ ДЕЛАМИ ПРАВИТЕЛЬСТВА ЛЕНИНГРАДСКОЙ ОБЛАСТИ</v>
      </c>
      <c r="B16682" s="24" t="s">
        <v>16190</v>
      </c>
      <c r="C16682" s="25">
        <v>5400500</v>
      </c>
      <c r="D16682" s="22" t="s">
        <v>21788</v>
      </c>
      <c r="E16682" s="22" t="s">
        <v>67</v>
      </c>
      <c r="F16682" s="23" t="str">
        <f>HYPERLINK("https://www.spark-marketing.ru/Card/Lot/71385511", "Оказание услуг по организации выездного обслуживания и питания (кофе-брейки, фуршеты)")</f>
        <v>Оказание услуг по организации выездного обслуживания и питания (кофе-брейки, фуршеты)</v>
      </c>
      <c r="G16682" s="22" t="s">
        <v>117</v>
      </c>
      <c r="H16682" s="22" t="s">
        <v>117</v>
      </c>
      <c r="I16682" s="26">
        <v>43631.208333333299</v>
      </c>
      <c r="J16682" s="28" t="s">
        <v>51</v>
      </c>
      <c r="K16682" s="28" t="s">
        <v>51</v>
      </c>
      <c r="L16682" s="28" t="s">
        <v>51</v>
      </c>
      <c r="M16682" s="28" t="s">
        <v>51</v>
      </c>
      <c r="N16682" s="28" t="s">
        <v>51</v>
      </c>
    </row>
    <row r="16683" spans="1:14" hidden="1" outlineLevel="1" x14ac:dyDescent="0.2">
      <c r="A16683" s="23" t="str">
        <f>HYPERLINK("https://www.spark-marketing.ru/Card/Person/8972", "УПРАВЛЕНИЕ ДЕЛАМИ ПРАВИТЕЛЬСТВА ЛЕНИНГРАДСКОЙ ОБЛАСТИ")</f>
        <v>УПРАВЛЕНИЕ ДЕЛАМИ ПРАВИТЕЛЬСТВА ЛЕНИНГРАДСКОЙ ОБЛАСТИ</v>
      </c>
      <c r="B16683" s="24" t="s">
        <v>16190</v>
      </c>
      <c r="C16683" s="25">
        <v>5400500</v>
      </c>
      <c r="D16683" s="22" t="s">
        <v>21788</v>
      </c>
      <c r="E16683" s="22" t="s">
        <v>67</v>
      </c>
      <c r="F16683" s="23" t="str">
        <f>HYPERLINK("https://www.spark-marketing.ru/Card/Lot/71385511", "Оказание услуг по организации выездного обслуживания и питания (кофе-брейки, фуршеты)")</f>
        <v>Оказание услуг по организации выездного обслуживания и питания (кофе-брейки, фуршеты)</v>
      </c>
      <c r="G16683" s="22" t="s">
        <v>117</v>
      </c>
      <c r="H16683" s="22" t="s">
        <v>117</v>
      </c>
      <c r="I16683" s="26">
        <v>43631.208333333299</v>
      </c>
      <c r="J16683" s="23" t="str">
        <f>HYPERLINK("https://www.spark-marketing.ru/Card/Person/2232828", "ООО ""АРПИНА""")</f>
        <v>ООО "АРПИНА"</v>
      </c>
      <c r="K16683" s="24" t="s">
        <v>3380</v>
      </c>
      <c r="L16683" s="28" t="s">
        <v>51</v>
      </c>
      <c r="M16683" s="25">
        <v>5000000</v>
      </c>
      <c r="N16683" s="27">
        <v>7.4159800018516797E-2</v>
      </c>
    </row>
    <row r="16684" spans="1:14" ht="12.75" hidden="1" outlineLevel="1" x14ac:dyDescent="0.2">
      <c r="A16684" s="23" t="str">
        <f>HYPERLINK("https://www.spark-marketing.ru/Card/Person/8972", "УПРАВЛЕНИЕ ДЕЛАМИ ПРАВИТЕЛЬСТВА ЛЕНИНГРАДСКОЙ ОБЛАСТИ")</f>
        <v>УПРАВЛЕНИЕ ДЕЛАМИ ПРАВИТЕЛЬСТВА ЛЕНИНГРАДСКОЙ ОБЛАСТИ</v>
      </c>
      <c r="B16684" s="24" t="s">
        <v>16190</v>
      </c>
      <c r="C16684" s="25">
        <v>5400500</v>
      </c>
      <c r="D16684" s="22" t="s">
        <v>21788</v>
      </c>
      <c r="E16684" s="22" t="s">
        <v>67</v>
      </c>
      <c r="F16684" s="23" t="str">
        <f>HYPERLINK("https://www.spark-marketing.ru/Card/Lot/71385511", "Оказание услуг по организации выездного обслуживания и питания (кофе-брейки, фуршеты)")</f>
        <v>Оказание услуг по организации выездного обслуживания и питания (кофе-брейки, фуршеты)</v>
      </c>
      <c r="G16684" s="22" t="s">
        <v>117</v>
      </c>
      <c r="H16684" s="22" t="s">
        <v>117</v>
      </c>
      <c r="I16684" s="26">
        <v>43631.208333333299</v>
      </c>
      <c r="J16684" s="23" t="str">
        <f>HYPERLINK("https://www.spark-marketing.ru/Card/Person/871306", "ООО ""СТ-КЕЙТЕРИНГ""")</f>
        <v>ООО "СТ-КЕЙТЕРИНГ"</v>
      </c>
      <c r="K16684" s="24" t="s">
        <v>21789</v>
      </c>
      <c r="L16684" s="22" t="s">
        <v>10</v>
      </c>
      <c r="M16684" s="25">
        <v>4938000</v>
      </c>
      <c r="N16684" s="27">
        <v>8.5640218498287193E-2</v>
      </c>
    </row>
    <row r="16685" spans="1:14" x14ac:dyDescent="0.2">
      <c r="A16685" s="23" t="str">
        <f>HYPERLINK("https://www.spark-marketing.ru/Card/Person/56547", "ГАУ РБ ""ДСС""")</f>
        <v>ГАУ РБ "ДСС"</v>
      </c>
      <c r="B16685" s="24" t="s">
        <v>21790</v>
      </c>
      <c r="C16685" s="25">
        <v>3000000</v>
      </c>
      <c r="D16685" s="22" t="s">
        <v>21791</v>
      </c>
      <c r="E16685" s="22" t="s">
        <v>21792</v>
      </c>
      <c r="F16685" s="23" t="str">
        <f>HYPERLINK("https://www.spark-marketing.ru/Card/Lot/71380898", "Оказание услуг по организации ипитанию и предоставления мест проживания участникам II Республиканских детских спортивных игр")</f>
        <v>Оказание услуг по организации ипитанию и предоставления мест проживания участникам II Республиканских детских спортивных игр</v>
      </c>
      <c r="G16685" s="22" t="s">
        <v>433</v>
      </c>
      <c r="H16685" s="22" t="s">
        <v>433</v>
      </c>
      <c r="I16685" s="26">
        <v>43630.938148148103</v>
      </c>
      <c r="J16685" s="28" t="s">
        <v>51</v>
      </c>
      <c r="K16685" s="28" t="s">
        <v>51</v>
      </c>
      <c r="L16685" s="22" t="s">
        <v>10</v>
      </c>
      <c r="M16685" s="25">
        <v>3000000</v>
      </c>
      <c r="N16685" s="27">
        <v>0</v>
      </c>
    </row>
    <row r="16686" spans="1:14" x14ac:dyDescent="0.15">
      <c r="A16686" s="23" t="str">
        <f>HYPERLINK("https://www.spark-marketing.ru/Card/Person/37506", "ГУ-РО ФОНДА СОЦИАЛЬНОГО СТРАХОВАНИЯ РОССИЙСКОЙ ФЕДЕРАЦИИ ПО ЧЕЧЕНСКОЙ РЕСПУБЛИКЕ")</f>
        <v>ГУ-РО ФОНДА СОЦИАЛЬНОГО СТРАХОВАНИЯ РОССИЙСКОЙ ФЕДЕРАЦИИ ПО ЧЕЧЕНСКОЙ РЕСПУБЛИКЕ</v>
      </c>
      <c r="B16686" s="24" t="s">
        <v>5188</v>
      </c>
      <c r="C16686" s="25">
        <v>1796688</v>
      </c>
      <c r="D16686" s="22" t="s">
        <v>21793</v>
      </c>
      <c r="E16686" s="22" t="s">
        <v>86</v>
      </c>
      <c r="F16686" s="23" t="str">
        <f>HYPERLINK("https://www.spark-marketing.ru/Card/Lot/71379700", "Оказание услуг по санаторно-курортному лечению граждан - получателей государственной социальной помощи с заболеваниями по Классу IV МКБ-10 «Болезни эндокринной системы, расстройства питания и нарушения обмена веществ»")</f>
        <v>Оказание услуг по санаторно-курортному лечению граждан - получателей государственной социальной помощи с заболеваниями по Классу IV МКБ-10 «Болезни эндокринной системы, расстройства питания и нарушения обмена веществ»</v>
      </c>
      <c r="G16686" s="22" t="s">
        <v>1983</v>
      </c>
      <c r="H16686" s="22" t="s">
        <v>5190</v>
      </c>
      <c r="I16686" s="26">
        <v>43630.8</v>
      </c>
      <c r="J16686" s="23" t="str">
        <f>HYPERLINK("https://www.spark-marketing.ru/Card/Person/155574", "МАНО ""САНАТОРИЙ ЦЕНТР-СОЮЗ В Г.ЕССЕНТУКИ""")</f>
        <v>МАНО "САНАТОРИЙ ЦЕНТР-СОЮЗ В Г.ЕССЕНТУКИ"</v>
      </c>
      <c r="K16686" s="24" t="s">
        <v>5191</v>
      </c>
      <c r="L16686" s="22" t="s">
        <v>10</v>
      </c>
      <c r="M16686" s="28" t="s">
        <v>51</v>
      </c>
      <c r="N16686" s="28" t="s">
        <v>51</v>
      </c>
    </row>
    <row r="16687" spans="1:14" x14ac:dyDescent="0.15">
      <c r="A16687" s="23" t="str">
        <f>HYPERLINK("https://www.spark-marketing.ru/Card/Person/37506", "ГУ-РО ФОНДА СОЦИАЛЬНОГО СТРАХОВАНИЯ РОССИЙСКОЙ ФЕДЕРАЦИИ ПО ЧЕЧЕНСКОЙ РЕСПУБЛИКЕ")</f>
        <v>ГУ-РО ФОНДА СОЦИАЛЬНОГО СТРАХОВАНИЯ РОССИЙСКОЙ ФЕДЕРАЦИИ ПО ЧЕЧЕНСКОЙ РЕСПУБЛИКЕ</v>
      </c>
      <c r="B16687" s="24" t="s">
        <v>5188</v>
      </c>
      <c r="C16687" s="25">
        <v>2021274</v>
      </c>
      <c r="D16687" s="22" t="s">
        <v>21794</v>
      </c>
      <c r="E16687" s="22" t="s">
        <v>86</v>
      </c>
      <c r="F16687" s="23" t="str">
        <f>HYPERLINK("https://www.spark-marketing.ru/Card/Lot/71379816", "Оказание услуг по санаторно-курортному лечению граждан - получателей государственной социальной помощи с заболеваниями по Классу IV МКБ-10 «Болезни эндокринной системы, расстройства питания и нарушения обмена веществ»")</f>
        <v>Оказание услуг по санаторно-курортному лечению граждан - получателей государственной социальной помощи с заболеваниями по Классу IV МКБ-10 «Болезни эндокринной системы, расстройства питания и нарушения обмена веществ»</v>
      </c>
      <c r="G16687" s="22" t="s">
        <v>1983</v>
      </c>
      <c r="H16687" s="22" t="s">
        <v>5190</v>
      </c>
      <c r="I16687" s="26">
        <v>43630.800694444399</v>
      </c>
      <c r="J16687" s="23" t="str">
        <f>HYPERLINK("https://www.spark-marketing.ru/Card/Person/203500", "ООО САНАТОРИЙ ""ГОЛУБЫЕ ЕЛИ""")</f>
        <v>ООО САНАТОРИЙ "ГОЛУБЫЕ ЕЛИ"</v>
      </c>
      <c r="K16687" s="24" t="s">
        <v>18503</v>
      </c>
      <c r="L16687" s="22" t="s">
        <v>10</v>
      </c>
      <c r="M16687" s="28" t="s">
        <v>51</v>
      </c>
      <c r="N16687" s="28" t="s">
        <v>51</v>
      </c>
    </row>
    <row r="16688" spans="1:14" x14ac:dyDescent="0.15">
      <c r="A16688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16688" s="24" t="s">
        <v>6649</v>
      </c>
      <c r="C16688" s="25">
        <v>2999730</v>
      </c>
      <c r="D16688" s="22" t="s">
        <v>21795</v>
      </c>
      <c r="E16688" s="22" t="s">
        <v>6287</v>
      </c>
      <c r="F16688" s="23" t="str">
        <f>HYPERLINK("https://www.spark-marketing.ru/Card/Lot/71380894", "Оказание услуг по организации общественного питания в ФГАУ «Санаторий ФССП России «Зеленая долина»")</f>
        <v>Оказание услуг по организации общественного питания в ФГАУ «Санаторий ФССП России «Зеленая долина»</v>
      </c>
      <c r="G16688" s="22" t="s">
        <v>104</v>
      </c>
      <c r="H16688" s="22" t="s">
        <v>104</v>
      </c>
      <c r="I16688" s="26">
        <v>43630.8113773148</v>
      </c>
      <c r="J16688" s="28" t="s">
        <v>51</v>
      </c>
      <c r="K16688" s="28" t="s">
        <v>51</v>
      </c>
      <c r="L16688" s="28" t="s">
        <v>51</v>
      </c>
      <c r="M16688" s="28" t="s">
        <v>51</v>
      </c>
      <c r="N16688" s="28" t="s">
        <v>51</v>
      </c>
    </row>
    <row r="16689" spans="1:14" x14ac:dyDescent="0.2">
      <c r="A16689" s="23" t="str">
        <f>HYPERLINK("https://www.spark-marketing.ru/Card/Person/268823", "ГАУ АО ""РЦСП ""ВОЛГАРЬ""")</f>
        <v>ГАУ АО "РЦСП "ВОЛГАРЬ"</v>
      </c>
      <c r="B16689" s="24" t="s">
        <v>767</v>
      </c>
      <c r="C16689" s="25">
        <v>221424</v>
      </c>
      <c r="D16689" s="22" t="s">
        <v>21796</v>
      </c>
      <c r="E16689" s="22" t="s">
        <v>769</v>
      </c>
      <c r="F16689" s="23" t="str">
        <f>HYPERLINK("https://www.spark-marketing.ru/Card/Lot/71375147", "Услуги гостиниц с различными типами предприятий общественного питания")</f>
        <v>Услуги гостиниц с различными типами предприятий общественного питания</v>
      </c>
      <c r="G16689" s="22" t="s">
        <v>141</v>
      </c>
      <c r="H16689" s="22" t="s">
        <v>141</v>
      </c>
      <c r="I16689" s="26">
        <v>43630.751539351899</v>
      </c>
      <c r="J16689" s="23" t="str">
        <f>HYPERLINK("https://www.spark-marketing.ru/Card/Person/27548", "ГКУ БРДСРЦ ""РАДУГА"" МТИСЗ КБР")</f>
        <v>ГКУ БРДСРЦ "РАДУГА" МТИСЗ КБР</v>
      </c>
      <c r="K16689" s="24" t="s">
        <v>21797</v>
      </c>
      <c r="L16689" s="28" t="s">
        <v>51</v>
      </c>
      <c r="M16689" s="25">
        <v>221424</v>
      </c>
      <c r="N16689" s="27">
        <v>0</v>
      </c>
    </row>
    <row r="16690" spans="1:14" x14ac:dyDescent="0.15">
      <c r="A16690" s="23" t="str">
        <f>HYPERLINK("https://www.spark-marketing.ru/Card/Person/1763681", "МАДОУ ДЕТСКИЙ САД ""РОДНИЧОК"" Д. УЛУКУЛЕВО")</f>
        <v>МАДОУ ДЕТСКИЙ САД "РОДНИЧОК" Д. УЛУКУЛЕВО</v>
      </c>
      <c r="B16690" s="24" t="s">
        <v>21798</v>
      </c>
      <c r="C16690" s="25">
        <v>1600000</v>
      </c>
      <c r="D16690" s="22" t="s">
        <v>21799</v>
      </c>
      <c r="E16690" s="22" t="s">
        <v>362</v>
      </c>
      <c r="F16690" s="23" t="str">
        <f>HYPERLINK("https://www.spark-marketing.ru/Card/Lot/71372984", "Услуги по организации горячего питания дошкольных организаций во втором полугодии 2019 года")</f>
        <v>Услуги по организации горячего питания дошкольных организаций во втором полугодии 2019 года</v>
      </c>
      <c r="G16690" s="22" t="s">
        <v>145</v>
      </c>
      <c r="H16690" s="22" t="s">
        <v>145</v>
      </c>
      <c r="I16690" s="26">
        <v>43630.754872685196</v>
      </c>
      <c r="J16690" s="28" t="s">
        <v>51</v>
      </c>
      <c r="K16690" s="28" t="s">
        <v>51</v>
      </c>
      <c r="L16690" s="28" t="s">
        <v>51</v>
      </c>
      <c r="M16690" s="28" t="s">
        <v>51</v>
      </c>
      <c r="N16690" s="28" t="s">
        <v>51</v>
      </c>
    </row>
    <row r="16691" spans="1:14" x14ac:dyDescent="0.15">
      <c r="A16691" s="23" t="str">
        <f>HYPERLINK("https://www.spark-marketing.ru/Card/Person/64935", "УМВД РОССИИ ПО Г. КУРСКУ")</f>
        <v>УМВД РОССИИ ПО Г. КУРСКУ</v>
      </c>
      <c r="B16691" s="24" t="s">
        <v>1109</v>
      </c>
      <c r="C16691" s="25">
        <v>1232000</v>
      </c>
      <c r="D16691" s="22" t="s">
        <v>21800</v>
      </c>
      <c r="E16691" s="22" t="s">
        <v>96</v>
      </c>
      <c r="F16691" s="23" t="str">
        <f>HYPERLINK("https://www.spark-marketing.ru/Card/Lot/71380061", "Оказание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Курску")</f>
        <v>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</v>
      </c>
      <c r="G16691" s="22" t="s">
        <v>1111</v>
      </c>
      <c r="H16691" s="22" t="s">
        <v>1112</v>
      </c>
      <c r="I16691" s="26">
        <v>43630.75</v>
      </c>
      <c r="J16691" s="23" t="str">
        <f>HYPERLINK("https://www.spark-marketing.ru/Card/Person/148940", "Давыдова Ирина Львовна")</f>
        <v>Давыдова Ирина Львовна</v>
      </c>
      <c r="K16691" s="24" t="s">
        <v>7524</v>
      </c>
      <c r="L16691" s="22" t="s">
        <v>10</v>
      </c>
      <c r="M16691" s="28" t="s">
        <v>51</v>
      </c>
      <c r="N16691" s="28" t="s">
        <v>51</v>
      </c>
    </row>
    <row r="16692" spans="1:14" x14ac:dyDescent="0.15">
      <c r="A16692" s="23" t="str">
        <f>HYPERLINK("https://www.spark-marketing.ru/Card/Person/9029", "ДЕПАРТАМЕНТ ИНФОРМАЦИОННЫХ ТЕХНОЛОГИЙ ГОРОДА МОСКВЫ")</f>
        <v>ДЕПАРТАМЕНТ ИНФОРМАЦИОННЫХ ТЕХНОЛОГИЙ ГОРОДА МОСКВЫ</v>
      </c>
      <c r="B16692" s="24" t="s">
        <v>3110</v>
      </c>
      <c r="C16692" s="25">
        <v>1551041584</v>
      </c>
      <c r="D16692" s="22" t="s">
        <v>21801</v>
      </c>
      <c r="E16692" s="22" t="s">
        <v>358</v>
      </c>
      <c r="F16692" s="23" t="str">
        <f>HYPERLINK("https://www.spark-marketing.ru/Card/Lot/71378749", "Оказание услуг по обеспечению бесперебойной работы системы в ходе оказания государственных услуг: «Проход в образовательное учреждение», «Предоставление бесплатного питания льготным категориям детей», «Предоставление платного питания» (8-я очередь)")</f>
        <v>Оказание услуг по обеспечению бесперебойной работы системы в ходе оказания государственных услуг: «Проход в образовательное учреждение», «Предоставление бесплатного питания льготным категориям детей», «Предоставление платного питания» (8-я очередь)</v>
      </c>
      <c r="G16692" s="22" t="s">
        <v>56</v>
      </c>
      <c r="H16692" s="22" t="s">
        <v>56</v>
      </c>
      <c r="I16692" s="26">
        <v>43630.777777777803</v>
      </c>
      <c r="J16692" s="28" t="s">
        <v>51</v>
      </c>
      <c r="K16692" s="28" t="s">
        <v>51</v>
      </c>
      <c r="L16692" s="28" t="s">
        <v>51</v>
      </c>
      <c r="M16692" s="28" t="s">
        <v>51</v>
      </c>
      <c r="N16692" s="28" t="s">
        <v>51</v>
      </c>
    </row>
    <row r="16693" spans="1:14" hidden="1" outlineLevel="1" x14ac:dyDescent="0.2">
      <c r="A16693" s="23" t="str">
        <f>HYPERLINK("https://www.spark-marketing.ru/Card/Person/9029", "ДЕПАРТАМЕНТ ИНФОРМАЦИОННЫХ ТЕХНОЛОГИЙ ГОРОДА МОСКВЫ")</f>
        <v>ДЕПАРТАМЕНТ ИНФОРМАЦИОННЫХ ТЕХНОЛОГИЙ ГОРОДА МОСКВЫ</v>
      </c>
      <c r="B16693" s="24" t="s">
        <v>3110</v>
      </c>
      <c r="C16693" s="25">
        <v>1551041584</v>
      </c>
      <c r="D16693" s="22" t="s">
        <v>21801</v>
      </c>
      <c r="E16693" s="22" t="s">
        <v>358</v>
      </c>
      <c r="F16693" s="23" t="str">
        <f>HYPERLINK("https://www.spark-marketing.ru/Card/Lot/71378749", "Оказание услуг по обеспечению бесперебойной работы системы в ходе оказания государственных услуг: «Проход в образовательное учреждение», «Предоставление бесплатного питания льготным категориям детей», «Предоставление платного питания» (8-я очередь)")</f>
        <v>Оказание услуг по обеспечению бесперебойной работы системы в ходе оказания государственных услуг: «Проход в образовательное учреждение», «Предоставление бесплатного питания льготным категориям детей», «Предоставление платного питания» (8-я очередь)</v>
      </c>
      <c r="G16693" s="22" t="s">
        <v>56</v>
      </c>
      <c r="H16693" s="22" t="s">
        <v>56</v>
      </c>
      <c r="I16693" s="26">
        <v>43630.777777777803</v>
      </c>
      <c r="J16693" s="23" t="str">
        <f>HYPERLINK("https://www.spark-marketing.ru/Card/Person/75680", "ООО ""ПРОДЖЕКТ САППОРТ""")</f>
        <v>ООО "ПРОДЖЕКТ САППОРТ"</v>
      </c>
      <c r="K16693" s="24" t="s">
        <v>21802</v>
      </c>
      <c r="L16693" s="28" t="s">
        <v>51</v>
      </c>
      <c r="M16693" s="25">
        <v>1543286376.0799999</v>
      </c>
      <c r="N16693" s="27">
        <v>5.0000000000000001E-3</v>
      </c>
    </row>
    <row r="16694" spans="1:14" ht="12.75" hidden="1" outlineLevel="1" x14ac:dyDescent="0.2">
      <c r="A16694" s="23" t="str">
        <f>HYPERLINK("https://www.spark-marketing.ru/Card/Person/9029", "ДЕПАРТАМЕНТ ИНФОРМАЦИОННЫХ ТЕХНОЛОГИЙ ГОРОДА МОСКВЫ")</f>
        <v>ДЕПАРТАМЕНТ ИНФОРМАЦИОННЫХ ТЕХНОЛОГИЙ ГОРОДА МОСКВЫ</v>
      </c>
      <c r="B16694" s="24" t="s">
        <v>3110</v>
      </c>
      <c r="C16694" s="25">
        <v>1551041584</v>
      </c>
      <c r="D16694" s="22" t="s">
        <v>21801</v>
      </c>
      <c r="E16694" s="22" t="s">
        <v>358</v>
      </c>
      <c r="F16694" s="23" t="str">
        <f>HYPERLINK("https://www.spark-marketing.ru/Card/Lot/71378749", "Оказание услуг по обеспечению бесперебойной работы системы в ходе оказания государственных услуг: «Проход в образовательное учреждение», «Предоставление бесплатного питания льготным категориям детей», «Предоставление платного питания» (8-я очередь)")</f>
        <v>Оказание услуг по обеспечению бесперебойной работы системы в ходе оказания государственных услуг: «Проход в образовательное учреждение», «Предоставление бесплатного питания льготным категориям детей», «Предоставление платного питания» (8-я очередь)</v>
      </c>
      <c r="G16694" s="22" t="s">
        <v>56</v>
      </c>
      <c r="H16694" s="22" t="s">
        <v>56</v>
      </c>
      <c r="I16694" s="26">
        <v>43630.777777777803</v>
      </c>
      <c r="J16694" s="23" t="str">
        <f>HYPERLINK("https://www.spark-marketing.ru/Card/Person/21381", "АО ""АЙ-ТЕКО""")</f>
        <v>АО "АЙ-ТЕКО"</v>
      </c>
      <c r="K16694" s="24" t="s">
        <v>21803</v>
      </c>
      <c r="L16694" s="22" t="s">
        <v>10</v>
      </c>
      <c r="M16694" s="25">
        <v>1535531168.1600001</v>
      </c>
      <c r="N16694" s="27">
        <v>0.01</v>
      </c>
    </row>
    <row r="16695" spans="1:14" x14ac:dyDescent="0.2">
      <c r="A16695" s="23" t="str">
        <f>HYPERLINK("https://www.spark-marketing.ru/Card/Person/268823", "ГАУ АО ""РЦСП ""ВОЛГАРЬ""")</f>
        <v>ГАУ АО "РЦСП "ВОЛГАРЬ"</v>
      </c>
      <c r="B16695" s="24" t="s">
        <v>767</v>
      </c>
      <c r="C16695" s="25">
        <v>262000</v>
      </c>
      <c r="D16695" s="22" t="s">
        <v>21804</v>
      </c>
      <c r="E16695" s="22" t="s">
        <v>769</v>
      </c>
      <c r="F16695" s="23" t="str">
        <f>HYPERLINK("https://www.spark-marketing.ru/Card/Lot/71375149", "Услуги гостиниц с различными типами предприятий общественного питания")</f>
        <v>Услуги гостиниц с различными типами предприятий общественного питания</v>
      </c>
      <c r="G16695" s="22" t="s">
        <v>141</v>
      </c>
      <c r="H16695" s="22" t="s">
        <v>141</v>
      </c>
      <c r="I16695" s="26">
        <v>43630.758148148103</v>
      </c>
      <c r="J16695" s="23" t="str">
        <f>HYPERLINK("https://www.spark-marketing.ru/Card/Person/5935428", "ООО ""КОМФОРТ ПЛЮС""")</f>
        <v>ООО "КОМФОРТ ПЛЮС"</v>
      </c>
      <c r="K16695" s="24" t="s">
        <v>21805</v>
      </c>
      <c r="L16695" s="28" t="s">
        <v>51</v>
      </c>
      <c r="M16695" s="25">
        <v>262000</v>
      </c>
      <c r="N16695" s="27">
        <v>0</v>
      </c>
    </row>
    <row r="16696" spans="1:14" x14ac:dyDescent="0.2">
      <c r="A16696" s="23" t="str">
        <f>HYPERLINK("https://www.spark-marketing.ru/Card/Person/268823", "ГАУ АО ""РЦСП ""ВОЛГАРЬ""")</f>
        <v>ГАУ АО "РЦСП "ВОЛГАРЬ"</v>
      </c>
      <c r="B16696" s="24" t="s">
        <v>767</v>
      </c>
      <c r="C16696" s="25">
        <v>351900</v>
      </c>
      <c r="D16696" s="22" t="s">
        <v>21806</v>
      </c>
      <c r="E16696" s="22" t="s">
        <v>769</v>
      </c>
      <c r="F16696" s="23" t="str">
        <f>HYPERLINK("https://www.spark-marketing.ru/Card/Lot/71375776", "Услуги гостиниц с различными типами предприятий общественного питания")</f>
        <v>Услуги гостиниц с различными типами предприятий общественного питания</v>
      </c>
      <c r="G16696" s="22" t="s">
        <v>141</v>
      </c>
      <c r="H16696" s="22" t="s">
        <v>141</v>
      </c>
      <c r="I16696" s="26">
        <v>43630.745648148099</v>
      </c>
      <c r="J16696" s="23" t="str">
        <f>HYPERLINK("https://www.spark-marketing.ru/Card/Person/1960599", "ООО ""ФМА""")</f>
        <v>ООО "ФМА"</v>
      </c>
      <c r="K16696" s="24" t="s">
        <v>21807</v>
      </c>
      <c r="L16696" s="28" t="s">
        <v>51</v>
      </c>
      <c r="M16696" s="25">
        <v>351900</v>
      </c>
      <c r="N16696" s="27">
        <v>0</v>
      </c>
    </row>
    <row r="16697" spans="1:14" x14ac:dyDescent="0.15">
      <c r="A16697" s="23" t="str">
        <f>HYPERLINK("https://www.spark-marketing.ru/Card/Person/19439", "ГУ-ВОЛОГОДСКОЕ РО ФОНДА СОЦИАЛЬНОГО СТРАХОВАНИЯ РОССИЙСКОЙ ФЕДЕРАЦИИ")</f>
        <v>ГУ-ВОЛОГОДСКОЕ РО ФОНДА СОЦИАЛЬНОГО СТРАХОВАНИЯ РОССИЙСКОЙ ФЕДЕРАЦИИ</v>
      </c>
      <c r="B16697" s="24" t="s">
        <v>7252</v>
      </c>
      <c r="C16697" s="25">
        <v>9677402.6699999999</v>
      </c>
      <c r="D16697" s="22" t="s">
        <v>21808</v>
      </c>
      <c r="E16697" s="22" t="s">
        <v>317</v>
      </c>
      <c r="F16697" s="23" t="str">
        <f>HYPERLINK("https://www.spark-marketing.ru/Card/Lot/71380595", "Оказание услуг по обеспечению в 2019 году инвалидов с нарушением слуха слуховыми аппаратами")</f>
        <v>Оказание услуг по обеспечению в 2019 году инвалидов с нарушением слуха слуховыми аппаратами</v>
      </c>
      <c r="G16697" s="22" t="s">
        <v>503</v>
      </c>
      <c r="H16697" s="22" t="s">
        <v>962</v>
      </c>
      <c r="I16697" s="26">
        <v>43630.726388888899</v>
      </c>
      <c r="J16697" s="28" t="s">
        <v>51</v>
      </c>
      <c r="K16697" s="28" t="s">
        <v>51</v>
      </c>
      <c r="L16697" s="28" t="s">
        <v>51</v>
      </c>
      <c r="M16697" s="28" t="s">
        <v>51</v>
      </c>
      <c r="N16697" s="28" t="s">
        <v>51</v>
      </c>
    </row>
    <row r="16698" spans="1:14" hidden="1" outlineLevel="1" x14ac:dyDescent="0.2">
      <c r="A16698" s="23" t="str">
        <f>HYPERLINK("https://www.spark-marketing.ru/Card/Person/19439", "ГУ-ВОЛОГОДСКОЕ РО ФОНДА СОЦИАЛЬНОГО СТРАХОВАНИЯ РОССИЙСКОЙ ФЕДЕРАЦИИ")</f>
        <v>ГУ-ВОЛОГОДСКОЕ РО ФОНДА СОЦИАЛЬНОГО СТРАХОВАНИЯ РОССИЙСКОЙ ФЕДЕРАЦИИ</v>
      </c>
      <c r="B16698" s="24" t="s">
        <v>7252</v>
      </c>
      <c r="C16698" s="25">
        <v>9677402.6699999999</v>
      </c>
      <c r="D16698" s="22" t="s">
        <v>21808</v>
      </c>
      <c r="E16698" s="22" t="s">
        <v>317</v>
      </c>
      <c r="F16698" s="23" t="str">
        <f>HYPERLINK("https://www.spark-marketing.ru/Card/Lot/71380595", "Оказание услуг по обеспечению в 2019 году инвалидов с нарушением слуха слуховыми аппаратами")</f>
        <v>Оказание услуг по обеспечению в 2019 году инвалидов с нарушением слуха слуховыми аппаратами</v>
      </c>
      <c r="G16698" s="22" t="s">
        <v>503</v>
      </c>
      <c r="H16698" s="22" t="s">
        <v>962</v>
      </c>
      <c r="I16698" s="26">
        <v>43630.726388888899</v>
      </c>
      <c r="J16698" s="23" t="str">
        <f>HYPERLINK("https://www.spark-marketing.ru/Card/Person/21431", "ООО ""МЕДИКЭЛ""")</f>
        <v>ООО "МЕДИКЭЛ"</v>
      </c>
      <c r="K16698" s="24" t="s">
        <v>21809</v>
      </c>
      <c r="L16698" s="28" t="s">
        <v>51</v>
      </c>
      <c r="M16698" s="25">
        <v>3290316.03</v>
      </c>
      <c r="N16698" s="27">
        <v>0.66000009070615639</v>
      </c>
    </row>
    <row r="16699" spans="1:14" ht="12.75" hidden="1" outlineLevel="1" x14ac:dyDescent="0.2">
      <c r="A16699" s="23" t="str">
        <f>HYPERLINK("https://www.spark-marketing.ru/Card/Person/19439", "ГУ-ВОЛОГОДСКОЕ РО ФОНДА СОЦИАЛЬНОГО СТРАХОВАНИЯ РОССИЙСКОЙ ФЕДЕРАЦИИ")</f>
        <v>ГУ-ВОЛОГОДСКОЕ РО ФОНДА СОЦИАЛЬНОГО СТРАХОВАНИЯ РОССИЙСКОЙ ФЕДЕРАЦИИ</v>
      </c>
      <c r="B16699" s="24" t="s">
        <v>7252</v>
      </c>
      <c r="C16699" s="25">
        <v>9677402.6699999999</v>
      </c>
      <c r="D16699" s="22" t="s">
        <v>21808</v>
      </c>
      <c r="E16699" s="22" t="s">
        <v>317</v>
      </c>
      <c r="F16699" s="23" t="str">
        <f>HYPERLINK("https://www.spark-marketing.ru/Card/Lot/71380595", "Оказание услуг по обеспечению в 2019 году инвалидов с нарушением слуха слуховыми аппаратами")</f>
        <v>Оказание услуг по обеспечению в 2019 году инвалидов с нарушением слуха слуховыми аппаратами</v>
      </c>
      <c r="G16699" s="22" t="s">
        <v>503</v>
      </c>
      <c r="H16699" s="22" t="s">
        <v>962</v>
      </c>
      <c r="I16699" s="26">
        <v>43630.726388888899</v>
      </c>
      <c r="J16699" s="23" t="str">
        <f>HYPERLINK("https://www.spark-marketing.ru/Card/Person/233380", "ООО ТПК ""РИТМ""")</f>
        <v>ООО ТПК "РИТМ"</v>
      </c>
      <c r="K16699" s="24" t="s">
        <v>7254</v>
      </c>
      <c r="L16699" s="22" t="s">
        <v>10</v>
      </c>
      <c r="M16699" s="25">
        <v>9677000</v>
      </c>
      <c r="N16699" s="27">
        <v>4.1609305071936206E-5</v>
      </c>
    </row>
    <row r="16700" spans="1:14" hidden="1" outlineLevel="1" x14ac:dyDescent="0.2">
      <c r="A16700" s="23" t="str">
        <f>HYPERLINK("https://www.spark-marketing.ru/Card/Person/19439", "ГУ-ВОЛОГОДСКОЕ РО ФОНДА СОЦИАЛЬНОГО СТРАХОВАНИЯ РОССИЙСКОЙ ФЕДЕРАЦИИ")</f>
        <v>ГУ-ВОЛОГОДСКОЕ РО ФОНДА СОЦИАЛЬНОГО СТРАХОВАНИЯ РОССИЙСКОЙ ФЕДЕРАЦИИ</v>
      </c>
      <c r="B16700" s="24" t="s">
        <v>7252</v>
      </c>
      <c r="C16700" s="25">
        <v>9677402.6699999999</v>
      </c>
      <c r="D16700" s="22" t="s">
        <v>21808</v>
      </c>
      <c r="E16700" s="22" t="s">
        <v>317</v>
      </c>
      <c r="F16700" s="23" t="str">
        <f>HYPERLINK("https://www.spark-marketing.ru/Card/Lot/71380595", "Оказание услуг по обеспечению в 2019 году инвалидов с нарушением слуха слуховыми аппаратами")</f>
        <v>Оказание услуг по обеспечению в 2019 году инвалидов с нарушением слуха слуховыми аппаратами</v>
      </c>
      <c r="G16700" s="22" t="s">
        <v>503</v>
      </c>
      <c r="H16700" s="22" t="s">
        <v>962</v>
      </c>
      <c r="I16700" s="26">
        <v>43630.726388888899</v>
      </c>
      <c r="J16700" s="23" t="str">
        <f>HYPERLINK("https://www.spark-marketing.ru/Card/Person/6506889", "ООО ""СЕРВИС РЕАБИЛИТАЦИЯ""")</f>
        <v>ООО "СЕРВИС РЕАБИЛИТАЦИЯ"</v>
      </c>
      <c r="K16700" s="24" t="s">
        <v>21810</v>
      </c>
      <c r="L16700" s="28" t="s">
        <v>51</v>
      </c>
      <c r="M16700" s="25">
        <v>3241929.01</v>
      </c>
      <c r="N16700" s="27">
        <v>0.66500009139332428</v>
      </c>
    </row>
    <row r="16701" spans="1:14" x14ac:dyDescent="0.15">
      <c r="A16701" s="23" t="str">
        <f>HYPERLINK("https://www.spark-marketing.ru/Card/Person/1764093", "МАДОУ ДЕТСКИЙ САД ""МАЛЫШОК"" Д. УЛУКУЛЕВО.")</f>
        <v>МАДОУ ДЕТСКИЙ САД "МАЛЫШОК" Д. УЛУКУЛЕВО.</v>
      </c>
      <c r="B16701" s="24" t="s">
        <v>21811</v>
      </c>
      <c r="C16701" s="25">
        <v>3500000</v>
      </c>
      <c r="D16701" s="22" t="s">
        <v>21812</v>
      </c>
      <c r="E16701" s="22" t="s">
        <v>362</v>
      </c>
      <c r="F16701" s="23" t="str">
        <f>HYPERLINK("https://www.spark-marketing.ru/Card/Lot/71372939", "Услуги по организации горячего питания детей дошкольных организаций во втором полугодии 2019 г.")</f>
        <v>Услуги по организации горячего питания детей дошкольных организаций во втором полугодии 2019 г.</v>
      </c>
      <c r="G16701" s="22" t="s">
        <v>145</v>
      </c>
      <c r="H16701" s="22" t="s">
        <v>145</v>
      </c>
      <c r="I16701" s="26">
        <v>43630.743125000001</v>
      </c>
      <c r="J16701" s="28" t="s">
        <v>51</v>
      </c>
      <c r="K16701" s="28" t="s">
        <v>51</v>
      </c>
      <c r="L16701" s="28" t="s">
        <v>51</v>
      </c>
      <c r="M16701" s="28" t="s">
        <v>51</v>
      </c>
      <c r="N16701" s="28" t="s">
        <v>51</v>
      </c>
    </row>
    <row r="16702" spans="1:14" x14ac:dyDescent="0.2">
      <c r="A16702" s="23" t="str">
        <f>HYPERLINK("https://www.spark-marketing.ru/Card/Person/151026", "МУЗЕЙ-ЗАПОВЕДНИК П.И.ЧАЙКОВСКОГО")</f>
        <v>МУЗЕЙ-ЗАПОВЕДНИК П.И.ЧАЙКОВСКОГО</v>
      </c>
      <c r="B16702" s="24" t="s">
        <v>13964</v>
      </c>
      <c r="C16702" s="25">
        <v>80800</v>
      </c>
      <c r="D16702" s="22" t="s">
        <v>21813</v>
      </c>
      <c r="E16702" s="22" t="s">
        <v>1079</v>
      </c>
      <c r="F16702" s="23" t="str">
        <f>HYPERLINK("https://www.spark-marketing.ru/Card/Lot/71378767", "Оказание услуг по обеспечению питанием участников делегаций Международного фестиваля П.И. Чайковского")</f>
        <v>Оказание услуг по обеспечению питанием участников делегаций Международного фестиваля П.И. Чайковского</v>
      </c>
      <c r="G16702" s="22" t="s">
        <v>49</v>
      </c>
      <c r="H16702" s="22" t="s">
        <v>13966</v>
      </c>
      <c r="I16702" s="26">
        <v>43630.725208333301</v>
      </c>
      <c r="J16702" s="28" t="s">
        <v>51</v>
      </c>
      <c r="K16702" s="28" t="s">
        <v>51</v>
      </c>
      <c r="L16702" s="28" t="s">
        <v>51</v>
      </c>
      <c r="M16702" s="25">
        <v>80800</v>
      </c>
      <c r="N16702" s="27">
        <v>0</v>
      </c>
    </row>
    <row r="16703" spans="1:14" x14ac:dyDescent="0.15">
      <c r="A16703" s="23" t="str">
        <f>HYPERLINK("https://www.spark-marketing.ru/Card/Person/16791", "ГУ-РО ФОНДА СОЦИАЛЬНОГО СТРАХОВАНИЯ РОССИЙСКОЙ ФЕДЕРАЦИИ ПО РЕСПУБЛИКЕ ДАГЕСТАН")</f>
        <v>ГУ-РО ФОНДА СОЦИАЛЬНОГО СТРАХОВАНИЯ РОССИЙСКОЙ ФЕДЕРАЦИИ ПО РЕСПУБЛИКЕ ДАГЕСТАН</v>
      </c>
      <c r="B16703" s="24" t="s">
        <v>6115</v>
      </c>
      <c r="C16703" s="25">
        <v>6037974</v>
      </c>
      <c r="D16703" s="22" t="s">
        <v>21814</v>
      </c>
      <c r="E16703" s="22" t="s">
        <v>86</v>
      </c>
      <c r="F16703" s="23" t="str">
        <f>HYPERLINK("https://www.spark-marketing.ru/Card/Lot/71380550", "Оказание услуг по санаторно-курортному лечению граждан получателей набора социальных услуг в 2019г. Профиль лечения: заболевания эндокринной системы. Место оказания услуг: Республика Дагестан.")</f>
        <v>Оказание услуг по санаторно-курортному лечению граждан получателей набора социальных услуг в 2019г. Профиль лечения: заболевания эндокринной системы. Место оказания услуг: Республика Дагестан.</v>
      </c>
      <c r="G16703" s="22" t="s">
        <v>1607</v>
      </c>
      <c r="H16703" s="22" t="s">
        <v>1607</v>
      </c>
      <c r="I16703" s="26">
        <v>43630.719444444403</v>
      </c>
      <c r="J16703" s="23" t="str">
        <f>HYPERLINK("https://www.spark-marketing.ru/Card/Person/4416460", "ООО ""КАСПИЙ""")</f>
        <v>ООО "КАСПИЙ"</v>
      </c>
      <c r="K16703" s="24" t="s">
        <v>6117</v>
      </c>
      <c r="L16703" s="22" t="s">
        <v>10</v>
      </c>
      <c r="M16703" s="28" t="s">
        <v>51</v>
      </c>
      <c r="N16703" s="28" t="s">
        <v>51</v>
      </c>
    </row>
    <row r="16704" spans="1:14" x14ac:dyDescent="0.15">
      <c r="A16704" s="23" t="str">
        <f>HYPERLINK("https://www.spark-marketing.ru/Card/Person/49008", "АО ""ДЕПАРТАМЕНТ ПРОДОВОЛЬСТВИЯ""")</f>
        <v>АО "ДЕПАРТАМЕНТ ПРОДОВОЛЬСТВИЯ"</v>
      </c>
      <c r="B16704" s="24" t="s">
        <v>2101</v>
      </c>
      <c r="C16704" s="25">
        <v>2491000</v>
      </c>
      <c r="D16704" s="22" t="s">
        <v>21815</v>
      </c>
      <c r="E16704" s="22" t="s">
        <v>2615</v>
      </c>
      <c r="F16704" s="23" t="str">
        <f>HYPERLINK("https://www.spark-marketing.ru/Card/Lot/71381363", "Оказание услуг по проведению периодического медицинского осмотра работников АО «Департамент продовольствия и социального питания г. Казани»")</f>
        <v>Оказание услуг по проведению периодического медицинского осмотра работников АО «Департамент продовольствия и социального питания г. Казани»</v>
      </c>
      <c r="G16704" s="22" t="s">
        <v>217</v>
      </c>
      <c r="H16704" s="22" t="s">
        <v>937</v>
      </c>
      <c r="I16704" s="26">
        <v>43630.740555555603</v>
      </c>
      <c r="J16704" s="28" t="s">
        <v>51</v>
      </c>
      <c r="K16704" s="28" t="s">
        <v>51</v>
      </c>
      <c r="L16704" s="28" t="s">
        <v>51</v>
      </c>
      <c r="M16704" s="28" t="s">
        <v>51</v>
      </c>
      <c r="N16704" s="28" t="s">
        <v>51</v>
      </c>
    </row>
    <row r="16705" spans="1:14" x14ac:dyDescent="0.2">
      <c r="A16705" s="23" t="str">
        <f>HYPERLINK("https://www.spark-marketing.ru/Card/Person/151026", "МУЗЕЙ-ЗАПОВЕДНИК П.И.ЧАЙКОВСКОГО")</f>
        <v>МУЗЕЙ-ЗАПОВЕДНИК П.И.ЧАЙКОВСКОГО</v>
      </c>
      <c r="B16705" s="24" t="s">
        <v>13964</v>
      </c>
      <c r="C16705" s="25">
        <v>1292000</v>
      </c>
      <c r="D16705" s="22" t="s">
        <v>21816</v>
      </c>
      <c r="E16705" s="22" t="s">
        <v>1079</v>
      </c>
      <c r="F16705" s="23" t="str">
        <f>HYPERLINK("https://www.spark-marketing.ru/Card/Lot/71381240", "Оказание услуг по обеспечению питанием участников творческой академии Ю.А. Башмета (фан-зона музыкального фестиваля П.И. Чайковского)")</f>
        <v>Оказание услуг по обеспечению питанием участников творческой академии Ю.А. Башмета (фан-зона музыкального фестиваля П.И. Чайковского)</v>
      </c>
      <c r="G16705" s="22" t="s">
        <v>49</v>
      </c>
      <c r="H16705" s="22" t="s">
        <v>13966</v>
      </c>
      <c r="I16705" s="26">
        <v>43630.725497685198</v>
      </c>
      <c r="J16705" s="28" t="s">
        <v>51</v>
      </c>
      <c r="K16705" s="28" t="s">
        <v>51</v>
      </c>
      <c r="L16705" s="28" t="s">
        <v>51</v>
      </c>
      <c r="M16705" s="25">
        <v>1292000</v>
      </c>
      <c r="N16705" s="27">
        <v>0</v>
      </c>
    </row>
    <row r="16706" spans="1:14" x14ac:dyDescent="0.15">
      <c r="A16706" s="23" t="str">
        <f>HYPERLINK("https://www.spark-marketing.ru/Card/Person/1763850", "МАДОУ ДЕТСКИЙ САД №1 С. КАРМАСКАЛЫ")</f>
        <v>МАДОУ ДЕТСКИЙ САД №1 С. КАРМАСКАЛЫ</v>
      </c>
      <c r="B16706" s="24" t="s">
        <v>21817</v>
      </c>
      <c r="C16706" s="25">
        <v>5000000</v>
      </c>
      <c r="D16706" s="22" t="s">
        <v>21818</v>
      </c>
      <c r="E16706" s="22" t="s">
        <v>362</v>
      </c>
      <c r="F16706" s="23" t="str">
        <f>HYPERLINK("https://www.spark-marketing.ru/Card/Lot/71370808", "Услуги по организации горячего питания детей дошкольных организаций во втором полугодии 2019 года")</f>
        <v>Услуги по организации горячего питания детей дошкольных организаций во втором полугодии 2019 года</v>
      </c>
      <c r="G16706" s="22" t="s">
        <v>145</v>
      </c>
      <c r="H16706" s="22" t="s">
        <v>145</v>
      </c>
      <c r="I16706" s="26">
        <v>43630.728391203702</v>
      </c>
      <c r="J16706" s="28" t="s">
        <v>51</v>
      </c>
      <c r="K16706" s="28" t="s">
        <v>51</v>
      </c>
      <c r="L16706" s="28" t="s">
        <v>51</v>
      </c>
      <c r="M16706" s="28" t="s">
        <v>51</v>
      </c>
      <c r="N16706" s="28" t="s">
        <v>51</v>
      </c>
    </row>
    <row r="16707" spans="1:14" x14ac:dyDescent="0.15">
      <c r="A16707" s="23" t="str">
        <f>HYPERLINK("https://www.spark-marketing.ru/Card/Person/1764042", "МАДОУ ДЕТСКИЙ САД ""СКАЗКА"" С. ПРИБЕЛЬСКИЙ")</f>
        <v>МАДОУ ДЕТСКИЙ САД "СКАЗКА" С. ПРИБЕЛЬСКИЙ</v>
      </c>
      <c r="B16707" s="24" t="s">
        <v>21819</v>
      </c>
      <c r="C16707" s="25">
        <v>3300000</v>
      </c>
      <c r="D16707" s="22" t="s">
        <v>21820</v>
      </c>
      <c r="E16707" s="22" t="s">
        <v>362</v>
      </c>
      <c r="F16707" s="23" t="str">
        <f>HYPERLINK("https://www.spark-marketing.ru/Card/Lot/71370193", "Услуги по организации горячего питания детей дошкольных организаций во втором полугодии 2019 года")</f>
        <v>Услуги по организации горячего питания детей дошкольных организаций во втором полугодии 2019 года</v>
      </c>
      <c r="G16707" s="22" t="s">
        <v>145</v>
      </c>
      <c r="H16707" s="22" t="s">
        <v>145</v>
      </c>
      <c r="I16707" s="26">
        <v>43630.715821759302</v>
      </c>
      <c r="J16707" s="28" t="s">
        <v>51</v>
      </c>
      <c r="K16707" s="28" t="s">
        <v>51</v>
      </c>
      <c r="L16707" s="28" t="s">
        <v>51</v>
      </c>
      <c r="M16707" s="28" t="s">
        <v>51</v>
      </c>
      <c r="N16707" s="28" t="s">
        <v>51</v>
      </c>
    </row>
    <row r="16708" spans="1:14" ht="12.75" x14ac:dyDescent="0.2">
      <c r="A16708" s="23" t="str">
        <f>HYPERLINK("https://www.spark-marketing.ru/Card/Person/120585", "ОМВД РОССИИ ПО ГОРОДСКОМУ ОКРУГУ ОЗЁРЫ")</f>
        <v>ОМВД РОССИИ ПО ГОРОДСКОМУ ОКРУГУ ОЗЁРЫ</v>
      </c>
      <c r="B16708" s="24" t="s">
        <v>18605</v>
      </c>
      <c r="C16708" s="25">
        <v>363540</v>
      </c>
      <c r="D16708" s="22" t="s">
        <v>21821</v>
      </c>
      <c r="E16708" s="22" t="s">
        <v>96</v>
      </c>
      <c r="F16708" s="23" t="str">
        <f>HYPERLINK("https://www.spark-marketing.ru/Card/Lot/71379950", "Оказание услуг по питанию граждан содержащихся в ИВС на 2020 год")</f>
        <v>Оказание услуг по питанию граждан содержащихся в ИВС на 2020 год</v>
      </c>
      <c r="G16708" s="22" t="s">
        <v>49</v>
      </c>
      <c r="H16708" s="22" t="s">
        <v>49</v>
      </c>
      <c r="I16708" s="26">
        <v>43630.703472222202</v>
      </c>
      <c r="J16708" s="23" t="str">
        <f>HYPERLINK("https://www.spark-marketing.ru/Card/Person/407938", "Мошкина Лариса Петровна")</f>
        <v>Мошкина Лариса Петровна</v>
      </c>
      <c r="K16708" s="24" t="s">
        <v>12770</v>
      </c>
      <c r="L16708" s="22" t="s">
        <v>10</v>
      </c>
      <c r="M16708" s="25">
        <v>348940</v>
      </c>
      <c r="N16708" s="27">
        <v>4.0160642570281124E-2</v>
      </c>
    </row>
    <row r="16709" spans="1:14" x14ac:dyDescent="0.15">
      <c r="A16709" s="23" t="str">
        <f>HYPERLINK("https://www.spark-marketing.ru/Card/Person/1765533", "МАДОУ ДЕТСКИЙ САД ""ПЧЕЛКА"" С. КАРМАСКАЛЫ")</f>
        <v>МАДОУ ДЕТСКИЙ САД "ПЧЕЛКА" С. КАРМАСКАЛЫ</v>
      </c>
      <c r="B16709" s="24" t="s">
        <v>21822</v>
      </c>
      <c r="C16709" s="25">
        <v>3000000</v>
      </c>
      <c r="D16709" s="22" t="s">
        <v>21823</v>
      </c>
      <c r="E16709" s="22" t="s">
        <v>362</v>
      </c>
      <c r="F16709" s="23" t="str">
        <f>HYPERLINK("https://www.spark-marketing.ru/Card/Lot/71367328", "Услуги по организации горячего питания детей дошкольных организаций во втором полугодии 2019 года")</f>
        <v>Услуги по организации горячего питания детей дошкольных организаций во втором полугодии 2019 года</v>
      </c>
      <c r="G16709" s="22" t="s">
        <v>145</v>
      </c>
      <c r="H16709" s="22" t="s">
        <v>145</v>
      </c>
      <c r="I16709" s="26">
        <v>43630.668946759302</v>
      </c>
      <c r="J16709" s="28" t="s">
        <v>51</v>
      </c>
      <c r="K16709" s="28" t="s">
        <v>51</v>
      </c>
      <c r="L16709" s="28" t="s">
        <v>51</v>
      </c>
      <c r="M16709" s="28" t="s">
        <v>51</v>
      </c>
      <c r="N16709" s="28" t="s">
        <v>51</v>
      </c>
    </row>
    <row r="16710" spans="1:14" x14ac:dyDescent="0.15">
      <c r="A16710" s="23" t="str">
        <f>HYPERLINK("https://www.spark-marketing.ru/Card/Person/171890", "АО ""ГОСТИНИЧНЫЙ КОМПЛЕКС ""СЛАВЯНКА""")</f>
        <v>АО "ГОСТИНИЧНЫЙ КОМПЛЕКС "СЛАВЯНКА"</v>
      </c>
      <c r="B16710" s="24" t="s">
        <v>2064</v>
      </c>
      <c r="C16710" s="25">
        <v>689070</v>
      </c>
      <c r="D16710" s="22" t="s">
        <v>21824</v>
      </c>
      <c r="E16710" s="22" t="s">
        <v>1412</v>
      </c>
      <c r="F16710" s="23" t="str">
        <f>HYPERLINK("https://www.spark-marketing.ru/Card/Lot/71373711", "Оказание комплекса услуг по организации питания для «Гостиница «Чита» - филиал ОАО «Гостиничный комплекс «Славянка»")</f>
        <v>Оказание комплекса услуг по организации питания для «Гостиница «Чита» - филиал ОАО «Гостиничный комплекс «Славянка»</v>
      </c>
      <c r="G16710" s="22" t="s">
        <v>228</v>
      </c>
      <c r="H16710" s="22" t="s">
        <v>228</v>
      </c>
      <c r="I16710" s="26">
        <v>43630.6817592593</v>
      </c>
      <c r="J16710" s="28" t="s">
        <v>51</v>
      </c>
      <c r="K16710" s="28" t="s">
        <v>51</v>
      </c>
      <c r="L16710" s="28" t="s">
        <v>51</v>
      </c>
      <c r="M16710" s="28" t="s">
        <v>51</v>
      </c>
      <c r="N16710" s="28" t="s">
        <v>51</v>
      </c>
    </row>
    <row r="16711" spans="1:14" x14ac:dyDescent="0.2">
      <c r="A16711" s="23" t="s">
        <v>114</v>
      </c>
      <c r="B16711" s="28" t="s">
        <v>51</v>
      </c>
      <c r="C16711" s="25">
        <v>20657900</v>
      </c>
      <c r="D16711" s="22" t="s">
        <v>21825</v>
      </c>
      <c r="E16711" s="22" t="s">
        <v>48</v>
      </c>
      <c r="F16711" s="23" t="str">
        <f t="shared" ref="F16711:F16719" si="567">HYPERLINK("https://www.spark-marketing.ru/Card/Lot/71377447", "Оказание услуги по организации горячего питания в дошкольных образовательных учреждениях МР Калтасинский район РБ на 2019 г.")</f>
        <v>Оказание услуги по организации горячего питания в дошкольных образовательных учреждениях МР Калтасинский район РБ на 2019 г.</v>
      </c>
      <c r="G16711" s="22" t="s">
        <v>51</v>
      </c>
      <c r="H16711" s="22" t="s">
        <v>51</v>
      </c>
      <c r="I16711" s="26">
        <v>43630.706944444399</v>
      </c>
      <c r="J16711" s="23" t="str">
        <f t="shared" ref="J16711:J16719" si="568">HYPERLINK("https://www.spark-marketing.ru/Card/Person/734084", "ООО ПТФ ""МЕРКУРИЙ""")</f>
        <v>ООО ПТФ "МЕРКУРИЙ"</v>
      </c>
      <c r="K16711" s="24" t="s">
        <v>21826</v>
      </c>
      <c r="L16711" s="22" t="s">
        <v>10</v>
      </c>
      <c r="M16711" s="25">
        <v>20657900</v>
      </c>
      <c r="N16711" s="27">
        <v>0</v>
      </c>
    </row>
    <row r="16712" spans="1:14" hidden="1" outlineLevel="1" x14ac:dyDescent="0.2">
      <c r="A16712" s="23" t="str">
        <f>HYPERLINK("https://www.spark-marketing.ru/Card/Person/732715", "МБДОУ КУТЕРЕМСКИЙ ДЕТСКИЙ САД ""ВАСИЛЁК"" МР КАЛТАСИНСКИЙ РАЙОН РБ")</f>
        <v>МБДОУ КУТЕРЕМСКИЙ ДЕТСКИЙ САД "ВАСИЛЁК" МР КАЛТАСИНСКИЙ РАЙОН РБ</v>
      </c>
      <c r="B16712" s="24" t="s">
        <v>21827</v>
      </c>
      <c r="C16712" s="25">
        <v>2761600</v>
      </c>
      <c r="D16712" s="22" t="s">
        <v>21825</v>
      </c>
      <c r="E16712" s="22" t="s">
        <v>48</v>
      </c>
      <c r="F16712" s="23" t="str">
        <f t="shared" si="567"/>
        <v>Оказание услуги по организации горячего питания в дошкольных образовательных учреждениях МР Калтасинский район РБ на 2019 г.</v>
      </c>
      <c r="G16712" s="22" t="s">
        <v>15117</v>
      </c>
      <c r="H16712" s="22" t="s">
        <v>21828</v>
      </c>
      <c r="I16712" s="26">
        <v>43630.706944444399</v>
      </c>
      <c r="J16712" s="23" t="str">
        <f t="shared" si="568"/>
        <v>ООО ПТФ "МЕРКУРИЙ"</v>
      </c>
      <c r="K16712" s="24" t="s">
        <v>21826</v>
      </c>
      <c r="L16712" s="22" t="s">
        <v>10</v>
      </c>
      <c r="M16712" s="28" t="s">
        <v>51</v>
      </c>
      <c r="N16712" s="27">
        <v>0</v>
      </c>
    </row>
    <row r="16713" spans="1:14" hidden="1" outlineLevel="1" x14ac:dyDescent="0.2">
      <c r="A16713" s="23" t="str">
        <f>HYPERLINK("https://www.spark-marketing.ru/Card/Person/732928", "МБДОУ КАЛТАСИНСКИЙ ДЕТСКИЙ САД №1 ""СОЛНЫШКО"" МР КАЛТАСИНСКИЙ РАЙОН РБ")</f>
        <v>МБДОУ КАЛТАСИНСКИЙ ДЕТСКИЙ САД №1 "СОЛНЫШКО" МР КАЛТАСИНСКИЙ РАЙОН РБ</v>
      </c>
      <c r="B16713" s="24" t="s">
        <v>21829</v>
      </c>
      <c r="C16713" s="25">
        <v>3185100</v>
      </c>
      <c r="D16713" s="22" t="s">
        <v>21825</v>
      </c>
      <c r="E16713" s="22" t="s">
        <v>48</v>
      </c>
      <c r="F16713" s="23" t="str">
        <f t="shared" si="567"/>
        <v>Оказание услуги по организации горячего питания в дошкольных образовательных учреждениях МР Калтасинский район РБ на 2019 г.</v>
      </c>
      <c r="G16713" s="22" t="s">
        <v>15117</v>
      </c>
      <c r="H16713" s="22" t="s">
        <v>21828</v>
      </c>
      <c r="I16713" s="26">
        <v>43630.706944444399</v>
      </c>
      <c r="J16713" s="23" t="str">
        <f t="shared" si="568"/>
        <v>ООО ПТФ "МЕРКУРИЙ"</v>
      </c>
      <c r="K16713" s="24" t="s">
        <v>21826</v>
      </c>
      <c r="L16713" s="22" t="s">
        <v>10</v>
      </c>
      <c r="M16713" s="28" t="s">
        <v>51</v>
      </c>
      <c r="N16713" s="27">
        <v>0</v>
      </c>
    </row>
    <row r="16714" spans="1:14" hidden="1" outlineLevel="1" x14ac:dyDescent="0.2">
      <c r="A16714" s="23" t="str">
        <f>HYPERLINK("https://www.spark-marketing.ru/Card/Person/734192", "МБДОУ КАЛТАСИНСКИЙ ДЕТСКИЙ САД №2 ""РЯБИНУШКА"" МР КАЛТАСИНСКИЙ РАЙОН РБ")</f>
        <v>МБДОУ КАЛТАСИНСКИЙ ДЕТСКИЙ САД №2 "РЯБИНУШКА" МР КАЛТАСИНСКИЙ РАЙОН РБ</v>
      </c>
      <c r="B16714" s="24" t="s">
        <v>21830</v>
      </c>
      <c r="C16714" s="25">
        <v>931000</v>
      </c>
      <c r="D16714" s="22" t="s">
        <v>21825</v>
      </c>
      <c r="E16714" s="22" t="s">
        <v>48</v>
      </c>
      <c r="F16714" s="23" t="str">
        <f t="shared" si="567"/>
        <v>Оказание услуги по организации горячего питания в дошкольных образовательных учреждениях МР Калтасинский район РБ на 2019 г.</v>
      </c>
      <c r="G16714" s="22" t="s">
        <v>145</v>
      </c>
      <c r="H16714" s="22" t="s">
        <v>21831</v>
      </c>
      <c r="I16714" s="26">
        <v>43630.706944444399</v>
      </c>
      <c r="J16714" s="23" t="str">
        <f t="shared" si="568"/>
        <v>ООО ПТФ "МЕРКУРИЙ"</v>
      </c>
      <c r="K16714" s="24" t="s">
        <v>21826</v>
      </c>
      <c r="L16714" s="22" t="s">
        <v>10</v>
      </c>
      <c r="M16714" s="28" t="s">
        <v>51</v>
      </c>
      <c r="N16714" s="27">
        <v>0</v>
      </c>
    </row>
    <row r="16715" spans="1:14" hidden="1" outlineLevel="1" x14ac:dyDescent="0.2">
      <c r="A16715" s="23" t="str">
        <f>HYPERLINK("https://www.spark-marketing.ru/Card/Person/736591", "МБДОУ КРАСНОХОЛМСКИЙ ДЕТСКИЙ САД № 1 ""ТЕРЕМОК"" МР КАЛТАСИНСКИЙ РАЙОН РБ")</f>
        <v>МБДОУ КРАСНОХОЛМСКИЙ ДЕТСКИЙ САД № 1 "ТЕРЕМОК" МР КАЛТАСИНСКИЙ РАЙОН РБ</v>
      </c>
      <c r="B16715" s="24" t="s">
        <v>21832</v>
      </c>
      <c r="C16715" s="25">
        <v>2754500</v>
      </c>
      <c r="D16715" s="22" t="s">
        <v>21825</v>
      </c>
      <c r="E16715" s="22" t="s">
        <v>48</v>
      </c>
      <c r="F16715" s="23" t="str">
        <f t="shared" si="567"/>
        <v>Оказание услуги по организации горячего питания в дошкольных образовательных учреждениях МР Калтасинский район РБ на 2019 г.</v>
      </c>
      <c r="G16715" s="22" t="s">
        <v>15104</v>
      </c>
      <c r="H16715" s="22" t="s">
        <v>21833</v>
      </c>
      <c r="I16715" s="26">
        <v>43630.706944444399</v>
      </c>
      <c r="J16715" s="23" t="str">
        <f t="shared" si="568"/>
        <v>ООО ПТФ "МЕРКУРИЙ"</v>
      </c>
      <c r="K16715" s="24" t="s">
        <v>21826</v>
      </c>
      <c r="L16715" s="22" t="s">
        <v>10</v>
      </c>
      <c r="M16715" s="28" t="s">
        <v>51</v>
      </c>
      <c r="N16715" s="27">
        <v>0</v>
      </c>
    </row>
    <row r="16716" spans="1:14" hidden="1" outlineLevel="1" x14ac:dyDescent="0.2">
      <c r="A16716" s="23" t="str">
        <f>HYPERLINK("https://www.spark-marketing.ru/Card/Person/747140", "МБДОУ КРАСНОХОЛМСКИЙ ДЕТСКИЙ САД №3 ""ПЕТУШОК"" МР КАЛТАСИНСКИЙ РАЙОН РБ")</f>
        <v>МБДОУ КРАСНОХОЛМСКИЙ ДЕТСКИЙ САД №3 "ПЕТУШОК" МР КАЛТАСИНСКИЙ РАЙОН РБ</v>
      </c>
      <c r="B16716" s="24" t="s">
        <v>21834</v>
      </c>
      <c r="C16716" s="25">
        <v>2550900</v>
      </c>
      <c r="D16716" s="22" t="s">
        <v>21825</v>
      </c>
      <c r="E16716" s="22" t="s">
        <v>48</v>
      </c>
      <c r="F16716" s="23" t="str">
        <f t="shared" si="567"/>
        <v>Оказание услуги по организации горячего питания в дошкольных образовательных учреждениях МР Калтасинский район РБ на 2019 г.</v>
      </c>
      <c r="G16716" s="22" t="s">
        <v>15104</v>
      </c>
      <c r="H16716" s="22" t="s">
        <v>21833</v>
      </c>
      <c r="I16716" s="26">
        <v>43630.706944444399</v>
      </c>
      <c r="J16716" s="23" t="str">
        <f t="shared" si="568"/>
        <v>ООО ПТФ "МЕРКУРИЙ"</v>
      </c>
      <c r="K16716" s="24" t="s">
        <v>21826</v>
      </c>
      <c r="L16716" s="22" t="s">
        <v>10</v>
      </c>
      <c r="M16716" s="28" t="s">
        <v>51</v>
      </c>
      <c r="N16716" s="27">
        <v>0</v>
      </c>
    </row>
    <row r="16717" spans="1:14" hidden="1" outlineLevel="1" x14ac:dyDescent="0.2">
      <c r="A16717" s="23" t="str">
        <f>HYPERLINK("https://www.spark-marketing.ru/Card/Person/750702", "МБДОУ КРАСНОХОЛМСКИЙ ДЕТСКИЙ САД № 2 ""ЗОЛОТОЙ КЛЮЧИК"" МР КАЛТАСИНСКИЙ РАЙОН РБ")</f>
        <v>МБДОУ КРАСНОХОЛМСКИЙ ДЕТСКИЙ САД № 2 "ЗОЛОТОЙ КЛЮЧИК" МР КАЛТАСИНСКИЙ РАЙОН РБ</v>
      </c>
      <c r="B16717" s="24" t="s">
        <v>21835</v>
      </c>
      <c r="C16717" s="25">
        <v>3269500</v>
      </c>
      <c r="D16717" s="22" t="s">
        <v>21825</v>
      </c>
      <c r="E16717" s="22" t="s">
        <v>48</v>
      </c>
      <c r="F16717" s="23" t="str">
        <f t="shared" si="567"/>
        <v>Оказание услуги по организации горячего питания в дошкольных образовательных учреждениях МР Калтасинский район РБ на 2019 г.</v>
      </c>
      <c r="G16717" s="22" t="s">
        <v>15117</v>
      </c>
      <c r="H16717" s="22" t="s">
        <v>21828</v>
      </c>
      <c r="I16717" s="26">
        <v>43630.706944444399</v>
      </c>
      <c r="J16717" s="23" t="str">
        <f t="shared" si="568"/>
        <v>ООО ПТФ "МЕРКУРИЙ"</v>
      </c>
      <c r="K16717" s="24" t="s">
        <v>21826</v>
      </c>
      <c r="L16717" s="22" t="s">
        <v>10</v>
      </c>
      <c r="M16717" s="28" t="s">
        <v>51</v>
      </c>
      <c r="N16717" s="27">
        <v>0</v>
      </c>
    </row>
    <row r="16718" spans="1:14" hidden="1" outlineLevel="1" x14ac:dyDescent="0.2">
      <c r="A16718" s="23" t="str">
        <f>HYPERLINK("https://www.spark-marketing.ru/Card/Person/1054246", "МБДОУ КАЛТАСИНСКИЙ ДЕТСКИЙ САД №3 ""СКАЗКА"" МР КАЛТАСИНСКИЙ РАЙОН РБ")</f>
        <v>МБДОУ КАЛТАСИНСКИЙ ДЕТСКИЙ САД №3 "СКАЗКА" МР КАЛТАСИНСКИЙ РАЙОН РБ</v>
      </c>
      <c r="B16718" s="24" t="s">
        <v>21836</v>
      </c>
      <c r="C16718" s="25">
        <v>3014900</v>
      </c>
      <c r="D16718" s="22" t="s">
        <v>21825</v>
      </c>
      <c r="E16718" s="22" t="s">
        <v>48</v>
      </c>
      <c r="F16718" s="23" t="str">
        <f t="shared" si="567"/>
        <v>Оказание услуги по организации горячего питания в дошкольных образовательных учреждениях МР Калтасинский район РБ на 2019 г.</v>
      </c>
      <c r="G16718" s="22" t="s">
        <v>15104</v>
      </c>
      <c r="H16718" s="22" t="s">
        <v>21833</v>
      </c>
      <c r="I16718" s="26">
        <v>43630.706944444399</v>
      </c>
      <c r="J16718" s="23" t="str">
        <f t="shared" si="568"/>
        <v>ООО ПТФ "МЕРКУРИЙ"</v>
      </c>
      <c r="K16718" s="24" t="s">
        <v>21826</v>
      </c>
      <c r="L16718" s="22" t="s">
        <v>10</v>
      </c>
      <c r="M16718" s="28" t="s">
        <v>51</v>
      </c>
      <c r="N16718" s="27">
        <v>0</v>
      </c>
    </row>
    <row r="16719" spans="1:14" hidden="1" outlineLevel="1" x14ac:dyDescent="0.2">
      <c r="A16719" s="23" t="str">
        <f>HYPERLINK("https://www.spark-marketing.ru/Card/Person/6472730", "МБДОУ КРАСНОХОЛМСКИЙ ДЕТСКИЙ САД №4 ""УЛЫБКА"" МР КАЛТАСИНСКИЙ РАЙОН РБ")</f>
        <v>МБДОУ КРАСНОХОЛМСКИЙ ДЕТСКИЙ САД №4 "УЛЫБКА" МР КАЛТАСИНСКИЙ РАЙОН РБ</v>
      </c>
      <c r="B16719" s="24" t="s">
        <v>21837</v>
      </c>
      <c r="C16719" s="25">
        <v>2190400</v>
      </c>
      <c r="D16719" s="22" t="s">
        <v>21825</v>
      </c>
      <c r="E16719" s="22" t="s">
        <v>48</v>
      </c>
      <c r="F16719" s="23" t="str">
        <f t="shared" si="567"/>
        <v>Оказание услуги по организации горячего питания в дошкольных образовательных учреждениях МР Калтасинский район РБ на 2019 г.</v>
      </c>
      <c r="G16719" s="22" t="s">
        <v>145</v>
      </c>
      <c r="H16719" s="22" t="s">
        <v>21831</v>
      </c>
      <c r="I16719" s="26">
        <v>43630.706944444399</v>
      </c>
      <c r="J16719" s="23" t="str">
        <f t="shared" si="568"/>
        <v>ООО ПТФ "МЕРКУРИЙ"</v>
      </c>
      <c r="K16719" s="24" t="s">
        <v>21826</v>
      </c>
      <c r="L16719" s="22" t="s">
        <v>10</v>
      </c>
      <c r="M16719" s="28" t="s">
        <v>51</v>
      </c>
      <c r="N16719" s="27">
        <v>0</v>
      </c>
    </row>
    <row r="16720" spans="1:14" x14ac:dyDescent="0.15">
      <c r="A16720" s="23" t="str">
        <f>HYPERLINK("https://www.spark-marketing.ru/Card/Person/1030331", "ГКУСО МО ""ЭЛЕКТРОСТАЛЬСКИЙ СРЦН ""ДОВЕРИЕ""")</f>
        <v>ГКУСО МО "ЭЛЕКТРОСТАЛЬСКИЙ СРЦН "ДОВЕРИЕ"</v>
      </c>
      <c r="B16720" s="24" t="s">
        <v>8217</v>
      </c>
      <c r="C16720" s="25">
        <v>97213.87</v>
      </c>
      <c r="D16720" s="22" t="s">
        <v>21838</v>
      </c>
      <c r="E16720" s="22" t="s">
        <v>48</v>
      </c>
      <c r="F16720" s="23" t="str">
        <f>HYPERLINK("https://www.spark-marketing.ru/Card/Lot/71373039", "Услуги по организации питания для организаций социального обслуживания")</f>
        <v>Услуги по организации питания для организаций социального обслуживания</v>
      </c>
      <c r="G16720" s="22" t="s">
        <v>49</v>
      </c>
      <c r="H16720" s="22" t="s">
        <v>742</v>
      </c>
      <c r="I16720" s="26">
        <v>43630.7019560185</v>
      </c>
      <c r="J16720" s="28" t="s">
        <v>51</v>
      </c>
      <c r="K16720" s="28" t="s">
        <v>51</v>
      </c>
      <c r="L16720" s="28" t="s">
        <v>51</v>
      </c>
      <c r="M16720" s="28" t="s">
        <v>51</v>
      </c>
      <c r="N16720" s="28" t="s">
        <v>51</v>
      </c>
    </row>
    <row r="16721" spans="1:14" x14ac:dyDescent="0.15">
      <c r="A16721" s="23" t="str">
        <f>HYPERLINK("https://www.spark-marketing.ru/Card/Person/4859854", "МАОУ ДОМОДЕДОВСКАЯ СОШ №10")</f>
        <v>МАОУ ДОМОДЕДОВСКАЯ СОШ №10</v>
      </c>
      <c r="B16721" s="24" t="s">
        <v>21839</v>
      </c>
      <c r="C16721" s="25">
        <v>32400</v>
      </c>
      <c r="D16721" s="22" t="s">
        <v>21840</v>
      </c>
      <c r="E16721" s="22" t="s">
        <v>48</v>
      </c>
      <c r="F16721" s="23" t="str">
        <f>HYPERLINK("https://www.spark-marketing.ru/Card/Lot/71373823", "Оказание услуг по организации питания детей на массовом мероприятии «Бал выпускников 2019»")</f>
        <v>Оказание услуг по организации питания детей на массовом мероприятии «Бал выпускников 2019»</v>
      </c>
      <c r="G16721" s="22" t="s">
        <v>49</v>
      </c>
      <c r="H16721" s="22" t="s">
        <v>5231</v>
      </c>
      <c r="I16721" s="26">
        <v>43630.701365740701</v>
      </c>
      <c r="J16721" s="28" t="s">
        <v>51</v>
      </c>
      <c r="K16721" s="28" t="s">
        <v>51</v>
      </c>
      <c r="L16721" s="28" t="s">
        <v>51</v>
      </c>
      <c r="M16721" s="28" t="s">
        <v>51</v>
      </c>
      <c r="N16721" s="28" t="s">
        <v>51</v>
      </c>
    </row>
    <row r="16722" spans="1:14" x14ac:dyDescent="0.15">
      <c r="A16722" s="23" t="str">
        <f>HYPERLINK("https://www.spark-marketing.ru/Card/Person/190734", "КГАУ ДОМ МОЛОДЕЖИ")</f>
        <v>КГАУ ДОМ МОЛОДЕЖИ</v>
      </c>
      <c r="B16722" s="24" t="s">
        <v>13079</v>
      </c>
      <c r="C16722" s="25">
        <v>698400</v>
      </c>
      <c r="D16722" s="22" t="s">
        <v>21841</v>
      </c>
      <c r="E16722" s="22" t="s">
        <v>362</v>
      </c>
      <c r="F16722" s="23" t="str">
        <f>HYPERLINK("https://www.spark-marketing.ru/Card/Lot/71355478", "Оказание услуг по организации питания детей лагеря дневного пребывания (1, 2 смена) Навигатор молодежного движения.")</f>
        <v>Оказание услуг по организации питания детей лагеря дневного пребывания (1, 2 смена) Навигатор молодежного движения.</v>
      </c>
      <c r="G16722" s="22" t="s">
        <v>1096</v>
      </c>
      <c r="H16722" s="22" t="s">
        <v>1096</v>
      </c>
      <c r="I16722" s="26">
        <v>43630.695509259298</v>
      </c>
      <c r="J16722" s="28" t="s">
        <v>51</v>
      </c>
      <c r="K16722" s="28" t="s">
        <v>51</v>
      </c>
      <c r="L16722" s="28" t="s">
        <v>51</v>
      </c>
      <c r="M16722" s="28" t="s">
        <v>51</v>
      </c>
      <c r="N16722" s="28" t="s">
        <v>51</v>
      </c>
    </row>
    <row r="16723" spans="1:14" x14ac:dyDescent="0.15">
      <c r="A16723" s="23" t="str">
        <f>HYPERLINK("https://www.spark-marketing.ru/Card/Person/4348397", "КГБПОУ ""НАЗАРОВСКИЙ ЭНЕРГОСТРОИТЕЛЬНЫЙ ТЕХНИКУМ""")</f>
        <v>КГБПОУ "НАЗАРОВСКИЙ ЭНЕРГОСТРОИТЕЛЬНЫЙ ТЕХНИКУМ"</v>
      </c>
      <c r="B16723" s="24" t="s">
        <v>1641</v>
      </c>
      <c r="C16723" s="25">
        <v>820528.96</v>
      </c>
      <c r="D16723" s="22" t="s">
        <v>21842</v>
      </c>
      <c r="E16723" s="22" t="s">
        <v>48</v>
      </c>
      <c r="F16723" s="23" t="str">
        <f>HYPERLINK("https://www.spark-marketing.ru/Card/Lot/71372495", "ЭА № 43138/19 - Оказание услуг по организации готового горячего питания")</f>
        <v>ЭА № 43138/19 - Оказание услуг по организации готового горячего питания</v>
      </c>
      <c r="G16723" s="22" t="s">
        <v>281</v>
      </c>
      <c r="H16723" s="22" t="s">
        <v>1643</v>
      </c>
      <c r="I16723" s="26">
        <v>43630.707638888904</v>
      </c>
      <c r="J16723" s="28" t="s">
        <v>51</v>
      </c>
      <c r="K16723" s="28" t="s">
        <v>51</v>
      </c>
      <c r="L16723" s="28" t="s">
        <v>51</v>
      </c>
      <c r="M16723" s="28" t="s">
        <v>51</v>
      </c>
      <c r="N16723" s="28" t="s">
        <v>51</v>
      </c>
    </row>
    <row r="16724" spans="1:14" x14ac:dyDescent="0.2">
      <c r="A16724" s="23" t="str">
        <f>HYPERLINK("https://www.spark-marketing.ru/Card/Person/1361181", "МАОУ ""СОШ №4""")</f>
        <v>МАОУ "СОШ №4"</v>
      </c>
      <c r="B16724" s="24" t="s">
        <v>8994</v>
      </c>
      <c r="C16724" s="25">
        <v>549000</v>
      </c>
      <c r="D16724" s="22" t="s">
        <v>21843</v>
      </c>
      <c r="E16724" s="22" t="s">
        <v>362</v>
      </c>
      <c r="F16724" s="23" t="str">
        <f>HYPERLINK("https://www.spark-marketing.ru/Card/Lot/71370181", "Услуги общественного питания в период детского оздоровительного отдыха")</f>
        <v>Услуги общественного питания в период детского оздоровительного отдыха</v>
      </c>
      <c r="G16724" s="22" t="s">
        <v>766</v>
      </c>
      <c r="H16724" s="22" t="s">
        <v>766</v>
      </c>
      <c r="I16724" s="26">
        <v>43630.708090277803</v>
      </c>
      <c r="J16724" s="23" t="str">
        <f>HYPERLINK("https://www.spark-marketing.ru/Card/Person/1532552", "МП ""ТСЦ""")</f>
        <v>МП "ТСЦ"</v>
      </c>
      <c r="K16724" s="24" t="s">
        <v>3309</v>
      </c>
      <c r="L16724" s="28" t="s">
        <v>51</v>
      </c>
      <c r="M16724" s="25">
        <v>549000</v>
      </c>
      <c r="N16724" s="27">
        <v>0</v>
      </c>
    </row>
    <row r="16725" spans="1:14" x14ac:dyDescent="0.2">
      <c r="A16725" s="23" t="s">
        <v>114</v>
      </c>
      <c r="B16725" s="28" t="s">
        <v>51</v>
      </c>
      <c r="C16725" s="25">
        <v>22739024</v>
      </c>
      <c r="D16725" s="22" t="s">
        <v>21844</v>
      </c>
      <c r="E16725" s="22" t="s">
        <v>48</v>
      </c>
      <c r="F16725" s="23" t="str">
        <f t="shared" ref="F16725:F16738" si="569">HYPERLINK("https://www.spark-marketing.ru/Card/Lot/71377453", "Оказание услуги по организации горячего питания в образовательных учреждениях МР Калтасинский район РБ на 2019 г.")</f>
        <v>Оказание услуги по организации горячего питания в образовательных учреждениях МР Калтасинский район РБ на 2019 г.</v>
      </c>
      <c r="G16725" s="22" t="s">
        <v>51</v>
      </c>
      <c r="H16725" s="22" t="s">
        <v>51</v>
      </c>
      <c r="I16725" s="26">
        <v>43630.707638888904</v>
      </c>
      <c r="J16725" s="23" t="str">
        <f t="shared" ref="J16725:J16738" si="570">HYPERLINK("https://www.spark-marketing.ru/Card/Person/734084", "ООО ПТФ ""МЕРКУРИЙ""")</f>
        <v>ООО ПТФ "МЕРКУРИЙ"</v>
      </c>
      <c r="K16725" s="24" t="s">
        <v>21826</v>
      </c>
      <c r="L16725" s="22" t="s">
        <v>10</v>
      </c>
      <c r="M16725" s="25">
        <v>22739024</v>
      </c>
      <c r="N16725" s="27">
        <v>0</v>
      </c>
    </row>
    <row r="16726" spans="1:14" hidden="1" outlineLevel="1" x14ac:dyDescent="0.2">
      <c r="A16726" s="23" t="str">
        <f>HYPERLINK("https://www.spark-marketing.ru/Card/Person/732623", "МОБУ КАЛТАСИНСКАЯ СОШ № 2 МР КАЛТАСИНСКИЙ РАЙОН РБ")</f>
        <v>МОБУ КАЛТАСИНСКАЯ СОШ № 2 МР КАЛТАСИНСКИЙ РАЙОН РБ</v>
      </c>
      <c r="B16726" s="24" t="s">
        <v>21845</v>
      </c>
      <c r="C16726" s="25">
        <v>2628410</v>
      </c>
      <c r="D16726" s="22" t="s">
        <v>21844</v>
      </c>
      <c r="E16726" s="22" t="s">
        <v>48</v>
      </c>
      <c r="F16726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26" s="22" t="s">
        <v>145</v>
      </c>
      <c r="H16726" s="22" t="s">
        <v>21831</v>
      </c>
      <c r="I16726" s="26">
        <v>43630.707638888904</v>
      </c>
      <c r="J16726" s="23" t="str">
        <f t="shared" si="570"/>
        <v>ООО ПТФ "МЕРКУРИЙ"</v>
      </c>
      <c r="K16726" s="24" t="s">
        <v>21826</v>
      </c>
      <c r="L16726" s="22" t="s">
        <v>10</v>
      </c>
      <c r="M16726" s="28" t="s">
        <v>51</v>
      </c>
      <c r="N16726" s="27">
        <v>0</v>
      </c>
    </row>
    <row r="16727" spans="1:14" hidden="1" outlineLevel="1" x14ac:dyDescent="0.2">
      <c r="A16727" s="23" t="str">
        <f>HYPERLINK("https://www.spark-marketing.ru/Card/Person/732691", "МОБУ БАБАЕВСКАЯ СОШ МР КАЛТАСИНСКИЙ РАЙОН РБ")</f>
        <v>МОБУ БАБАЕВСКАЯ СОШ МР КАЛТАСИНСКИЙ РАЙОН РБ</v>
      </c>
      <c r="B16727" s="24" t="s">
        <v>21846</v>
      </c>
      <c r="C16727" s="25">
        <v>1223720</v>
      </c>
      <c r="D16727" s="22" t="s">
        <v>21844</v>
      </c>
      <c r="E16727" s="22" t="s">
        <v>48</v>
      </c>
      <c r="F16727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27" s="22" t="s">
        <v>145</v>
      </c>
      <c r="H16727" s="22" t="s">
        <v>21831</v>
      </c>
      <c r="I16727" s="26">
        <v>43630.707638888904</v>
      </c>
      <c r="J16727" s="23" t="str">
        <f t="shared" si="570"/>
        <v>ООО ПТФ "МЕРКУРИЙ"</v>
      </c>
      <c r="K16727" s="24" t="s">
        <v>21826</v>
      </c>
      <c r="L16727" s="22" t="s">
        <v>10</v>
      </c>
      <c r="M16727" s="28" t="s">
        <v>51</v>
      </c>
      <c r="N16727" s="27">
        <v>0</v>
      </c>
    </row>
    <row r="16728" spans="1:14" hidden="1" outlineLevel="1" x14ac:dyDescent="0.2">
      <c r="A16728" s="23" t="str">
        <f>HYPERLINK("https://www.spark-marketing.ru/Card/Person/732750", "МОБУ КАЛТАСИНСКАЯ СОШ №1 МР КАЛТАСИНСКИЙ РАЙОН РБ")</f>
        <v>МОБУ КАЛТАСИНСКАЯ СОШ №1 МР КАЛТАСИНСКИЙ РАЙОН РБ</v>
      </c>
      <c r="B16728" s="24" t="s">
        <v>21847</v>
      </c>
      <c r="C16728" s="25">
        <v>4102780</v>
      </c>
      <c r="D16728" s="22" t="s">
        <v>21844</v>
      </c>
      <c r="E16728" s="22" t="s">
        <v>48</v>
      </c>
      <c r="F16728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28" s="22" t="s">
        <v>145</v>
      </c>
      <c r="H16728" s="22" t="s">
        <v>21831</v>
      </c>
      <c r="I16728" s="26">
        <v>43630.707638888904</v>
      </c>
      <c r="J16728" s="23" t="str">
        <f t="shared" si="570"/>
        <v>ООО ПТФ "МЕРКУРИЙ"</v>
      </c>
      <c r="K16728" s="24" t="s">
        <v>21826</v>
      </c>
      <c r="L16728" s="22" t="s">
        <v>10</v>
      </c>
      <c r="M16728" s="28" t="s">
        <v>51</v>
      </c>
      <c r="N16728" s="27">
        <v>0</v>
      </c>
    </row>
    <row r="16729" spans="1:14" hidden="1" outlineLevel="1" x14ac:dyDescent="0.2">
      <c r="A16729" s="23" t="str">
        <f>HYPERLINK("https://www.spark-marketing.ru/Card/Person/732751", "МОБУ НИЖНЕКАЧМАШЕВСКАЯ СОШ МР КАЛТАСИНСКИЙ РАЙОН РБ")</f>
        <v>МОБУ НИЖНЕКАЧМАШЕВСКАЯ СОШ МР КАЛТАСИНСКИЙ РАЙОН РБ</v>
      </c>
      <c r="B16729" s="24" t="s">
        <v>21848</v>
      </c>
      <c r="C16729" s="25">
        <v>1309220</v>
      </c>
      <c r="D16729" s="22" t="s">
        <v>21844</v>
      </c>
      <c r="E16729" s="22" t="s">
        <v>48</v>
      </c>
      <c r="F16729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29" s="22" t="s">
        <v>145</v>
      </c>
      <c r="H16729" s="22" t="s">
        <v>21831</v>
      </c>
      <c r="I16729" s="26">
        <v>43630.707638888904</v>
      </c>
      <c r="J16729" s="23" t="str">
        <f t="shared" si="570"/>
        <v>ООО ПТФ "МЕРКУРИЙ"</v>
      </c>
      <c r="K16729" s="24" t="s">
        <v>21826</v>
      </c>
      <c r="L16729" s="22" t="s">
        <v>10</v>
      </c>
      <c r="M16729" s="28" t="s">
        <v>51</v>
      </c>
      <c r="N16729" s="27">
        <v>0</v>
      </c>
    </row>
    <row r="16730" spans="1:14" hidden="1" outlineLevel="1" x14ac:dyDescent="0.2">
      <c r="A16730" s="23" t="str">
        <f>HYPERLINK("https://www.spark-marketing.ru/Card/Person/732893", "МОБУ АКТУГАНОВСКАЯ ООШ МР КАЛТАСИНСКИЙ Р-Н РБ")</f>
        <v>МОБУ АКТУГАНОВСКАЯ ООШ МР КАЛТАСИНСКИЙ Р-Н РБ</v>
      </c>
      <c r="B16730" s="24" t="s">
        <v>21849</v>
      </c>
      <c r="C16730" s="25">
        <v>819880</v>
      </c>
      <c r="D16730" s="22" t="s">
        <v>21844</v>
      </c>
      <c r="E16730" s="22" t="s">
        <v>48</v>
      </c>
      <c r="F16730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30" s="22" t="s">
        <v>145</v>
      </c>
      <c r="H16730" s="22" t="s">
        <v>21831</v>
      </c>
      <c r="I16730" s="26">
        <v>43630.707638888904</v>
      </c>
      <c r="J16730" s="23" t="str">
        <f t="shared" si="570"/>
        <v>ООО ПТФ "МЕРКУРИЙ"</v>
      </c>
      <c r="K16730" s="24" t="s">
        <v>21826</v>
      </c>
      <c r="L16730" s="22" t="s">
        <v>10</v>
      </c>
      <c r="M16730" s="28" t="s">
        <v>51</v>
      </c>
      <c r="N16730" s="27">
        <v>0</v>
      </c>
    </row>
    <row r="16731" spans="1:14" hidden="1" outlineLevel="1" x14ac:dyDescent="0.2">
      <c r="A16731" s="23" t="str">
        <f>HYPERLINK("https://www.spark-marketing.ru/Card/Person/734544", "МОБУ КЕЛЬТЕЕВСКАЯ СОШ МР КАЛТАСИНСКИЙ РАЙОН РБ")</f>
        <v>МОБУ КЕЛЬТЕЕВСКАЯ СОШ МР КАЛТАСИНСКИЙ РАЙОН РБ</v>
      </c>
      <c r="B16731" s="24" t="s">
        <v>21850</v>
      </c>
      <c r="C16731" s="25">
        <v>1008120</v>
      </c>
      <c r="D16731" s="22" t="s">
        <v>21844</v>
      </c>
      <c r="E16731" s="22" t="s">
        <v>48</v>
      </c>
      <c r="F16731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31" s="22" t="s">
        <v>145</v>
      </c>
      <c r="H16731" s="22" t="s">
        <v>21831</v>
      </c>
      <c r="I16731" s="26">
        <v>43630.707638888904</v>
      </c>
      <c r="J16731" s="23" t="str">
        <f t="shared" si="570"/>
        <v>ООО ПТФ "МЕРКУРИЙ"</v>
      </c>
      <c r="K16731" s="24" t="s">
        <v>21826</v>
      </c>
      <c r="L16731" s="22" t="s">
        <v>10</v>
      </c>
      <c r="M16731" s="28" t="s">
        <v>51</v>
      </c>
      <c r="N16731" s="27">
        <v>0</v>
      </c>
    </row>
    <row r="16732" spans="1:14" hidden="1" outlineLevel="1" x14ac:dyDescent="0.2">
      <c r="A16732" s="23" t="str">
        <f>HYPERLINK("https://www.spark-marketing.ru/Card/Person/734596", "МОБУ КРАСНОХОЛМСКАЯ СОШ №3 МР КАЛТАСИНСКИЙ РАЙОН РБ")</f>
        <v>МОБУ КРАСНОХОЛМСКАЯ СОШ №3 МР КАЛТАСИНСКИЙ РАЙОН РБ</v>
      </c>
      <c r="B16732" s="24" t="s">
        <v>21851</v>
      </c>
      <c r="C16732" s="25">
        <v>2646880</v>
      </c>
      <c r="D16732" s="22" t="s">
        <v>21844</v>
      </c>
      <c r="E16732" s="22" t="s">
        <v>48</v>
      </c>
      <c r="F16732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32" s="22" t="s">
        <v>145</v>
      </c>
      <c r="H16732" s="22" t="s">
        <v>21831</v>
      </c>
      <c r="I16732" s="26">
        <v>43630.707638888904</v>
      </c>
      <c r="J16732" s="23" t="str">
        <f t="shared" si="570"/>
        <v>ООО ПТФ "МЕРКУРИЙ"</v>
      </c>
      <c r="K16732" s="24" t="s">
        <v>21826</v>
      </c>
      <c r="L16732" s="22" t="s">
        <v>10</v>
      </c>
      <c r="M16732" s="28" t="s">
        <v>51</v>
      </c>
      <c r="N16732" s="27">
        <v>0</v>
      </c>
    </row>
    <row r="16733" spans="1:14" hidden="1" outlineLevel="1" x14ac:dyDescent="0.2">
      <c r="A16733" s="23" t="str">
        <f>HYPERLINK("https://www.spark-marketing.ru/Card/Person/734628", "МОБУ КРАСНОХОЛМСКАЯ СОШ № 1 МР КАЛТАСИНСКИЙ РАЙОН РБ")</f>
        <v>МОБУ КРАСНОХОЛМСКАЯ СОШ № 1 МР КАЛТАСИНСКИЙ РАЙОН РБ</v>
      </c>
      <c r="B16733" s="24" t="s">
        <v>21852</v>
      </c>
      <c r="C16733" s="25">
        <v>2680760</v>
      </c>
      <c r="D16733" s="22" t="s">
        <v>21844</v>
      </c>
      <c r="E16733" s="22" t="s">
        <v>48</v>
      </c>
      <c r="F16733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33" s="22" t="s">
        <v>145</v>
      </c>
      <c r="H16733" s="22" t="s">
        <v>21831</v>
      </c>
      <c r="I16733" s="26">
        <v>43630.707638888904</v>
      </c>
      <c r="J16733" s="23" t="str">
        <f t="shared" si="570"/>
        <v>ООО ПТФ "МЕРКУРИЙ"</v>
      </c>
      <c r="K16733" s="24" t="s">
        <v>21826</v>
      </c>
      <c r="L16733" s="22" t="s">
        <v>10</v>
      </c>
      <c r="M16733" s="28" t="s">
        <v>51</v>
      </c>
      <c r="N16733" s="27">
        <v>0</v>
      </c>
    </row>
    <row r="16734" spans="1:14" hidden="1" outlineLevel="1" x14ac:dyDescent="0.2">
      <c r="A16734" s="23" t="str">
        <f>HYPERLINK("https://www.spark-marketing.ru/Card/Person/735415", "МОБУ БОЛЬШЕКАЧАКОВСКАЯ СОШ МР КАЛТАСИНСКИЙ РАЙОН РБ")</f>
        <v>МОБУ БОЛЬШЕКАЧАКОВСКАЯ СОШ МР КАЛТАСИНСКИЙ РАЙОН РБ</v>
      </c>
      <c r="B16734" s="24" t="s">
        <v>21853</v>
      </c>
      <c r="C16734" s="25">
        <v>1052604</v>
      </c>
      <c r="D16734" s="22" t="s">
        <v>21844</v>
      </c>
      <c r="E16734" s="22" t="s">
        <v>48</v>
      </c>
      <c r="F16734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34" s="22" t="s">
        <v>145</v>
      </c>
      <c r="H16734" s="22" t="s">
        <v>21831</v>
      </c>
      <c r="I16734" s="26">
        <v>43630.707638888904</v>
      </c>
      <c r="J16734" s="23" t="str">
        <f t="shared" si="570"/>
        <v>ООО ПТФ "МЕРКУРИЙ"</v>
      </c>
      <c r="K16734" s="24" t="s">
        <v>21826</v>
      </c>
      <c r="L16734" s="22" t="s">
        <v>10</v>
      </c>
      <c r="M16734" s="28" t="s">
        <v>51</v>
      </c>
      <c r="N16734" s="27">
        <v>0</v>
      </c>
    </row>
    <row r="16735" spans="1:14" hidden="1" outlineLevel="1" x14ac:dyDescent="0.2">
      <c r="A16735" s="23" t="str">
        <f>HYPERLINK("https://www.spark-marketing.ru/Card/Person/735517", "МОБУ АМЗИБАШЕВСКАЯ СОШ МР КАЛТАСИНСКИЙ РАЙОН РБ")</f>
        <v>МОБУ АМЗИБАШЕВСКАЯ СОШ МР КАЛТАСИНСКИЙ РАЙОН РБ</v>
      </c>
      <c r="B16735" s="24" t="s">
        <v>21854</v>
      </c>
      <c r="C16735" s="25">
        <v>1601060</v>
      </c>
      <c r="D16735" s="22" t="s">
        <v>21844</v>
      </c>
      <c r="E16735" s="22" t="s">
        <v>48</v>
      </c>
      <c r="F16735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35" s="22" t="s">
        <v>15104</v>
      </c>
      <c r="H16735" s="22" t="s">
        <v>21833</v>
      </c>
      <c r="I16735" s="26">
        <v>43630.707638888904</v>
      </c>
      <c r="J16735" s="23" t="str">
        <f t="shared" si="570"/>
        <v>ООО ПТФ "МЕРКУРИЙ"</v>
      </c>
      <c r="K16735" s="24" t="s">
        <v>21826</v>
      </c>
      <c r="L16735" s="22" t="s">
        <v>10</v>
      </c>
      <c r="M16735" s="28" t="s">
        <v>51</v>
      </c>
      <c r="N16735" s="27">
        <v>0</v>
      </c>
    </row>
    <row r="16736" spans="1:14" hidden="1" outlineLevel="1" x14ac:dyDescent="0.2">
      <c r="A16736" s="23" t="str">
        <f>HYPERLINK("https://www.spark-marketing.ru/Card/Person/735650", "МОБУ КРАСНОХОЛМСКАЯ СОШ №2 МР КАЛТАСИНСКИЙ РАЙОН РБ")</f>
        <v>МОБУ КРАСНОХОЛМСКАЯ СОШ №2 МР КАЛТАСИНСКИЙ РАЙОН РБ</v>
      </c>
      <c r="B16736" s="24" t="s">
        <v>21855</v>
      </c>
      <c r="C16736" s="25">
        <v>1330500</v>
      </c>
      <c r="D16736" s="22" t="s">
        <v>21844</v>
      </c>
      <c r="E16736" s="22" t="s">
        <v>48</v>
      </c>
      <c r="F16736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36" s="22" t="s">
        <v>145</v>
      </c>
      <c r="H16736" s="22" t="s">
        <v>21831</v>
      </c>
      <c r="I16736" s="26">
        <v>43630.707638888904</v>
      </c>
      <c r="J16736" s="23" t="str">
        <f t="shared" si="570"/>
        <v>ООО ПТФ "МЕРКУРИЙ"</v>
      </c>
      <c r="K16736" s="24" t="s">
        <v>21826</v>
      </c>
      <c r="L16736" s="22" t="s">
        <v>10</v>
      </c>
      <c r="M16736" s="28" t="s">
        <v>51</v>
      </c>
      <c r="N16736" s="27">
        <v>0</v>
      </c>
    </row>
    <row r="16737" spans="1:14" hidden="1" outlineLevel="1" x14ac:dyDescent="0.2">
      <c r="A16737" s="23" t="str">
        <f>HYPERLINK("https://www.spark-marketing.ru/Card/Person/736863", "МОБУ КИЕБАКОВСКАЯ ООШ МР КАЛТАСИНСКИЙ РАЙОН РБ")</f>
        <v>МОБУ КИЕБАКОВСКАЯ ООШ МР КАЛТАСИНСКИЙ РАЙОН РБ</v>
      </c>
      <c r="B16737" s="24" t="s">
        <v>21856</v>
      </c>
      <c r="C16737" s="25">
        <v>1279120</v>
      </c>
      <c r="D16737" s="22" t="s">
        <v>21844</v>
      </c>
      <c r="E16737" s="22" t="s">
        <v>48</v>
      </c>
      <c r="F16737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37" s="22" t="s">
        <v>145</v>
      </c>
      <c r="H16737" s="22" t="s">
        <v>21831</v>
      </c>
      <c r="I16737" s="26">
        <v>43630.707638888904</v>
      </c>
      <c r="J16737" s="23" t="str">
        <f t="shared" si="570"/>
        <v>ООО ПТФ "МЕРКУРИЙ"</v>
      </c>
      <c r="K16737" s="24" t="s">
        <v>21826</v>
      </c>
      <c r="L16737" s="22" t="s">
        <v>10</v>
      </c>
      <c r="M16737" s="28" t="s">
        <v>51</v>
      </c>
      <c r="N16737" s="27">
        <v>0</v>
      </c>
    </row>
    <row r="16738" spans="1:14" hidden="1" outlineLevel="1" x14ac:dyDescent="0.2">
      <c r="A16738" s="23" t="str">
        <f>HYPERLINK("https://www.spark-marketing.ru/Card/Person/737067", "МОБУ КУТЕРЕМСКАЯ СОШ МР КАЛТАСИНСКИЙ РАЙОН РБ")</f>
        <v>МОБУ КУТЕРЕМСКАЯ СОШ МР КАЛТАСИНСКИЙ РАЙОН РБ</v>
      </c>
      <c r="B16738" s="24" t="s">
        <v>21857</v>
      </c>
      <c r="C16738" s="25">
        <v>1055970</v>
      </c>
      <c r="D16738" s="22" t="s">
        <v>21844</v>
      </c>
      <c r="E16738" s="22" t="s">
        <v>48</v>
      </c>
      <c r="F16738" s="23" t="str">
        <f t="shared" si="569"/>
        <v>Оказание услуги по организации горячего питания в образовательных учреждениях МР Калтасинский район РБ на 2019 г.</v>
      </c>
      <c r="G16738" s="22" t="s">
        <v>145</v>
      </c>
      <c r="H16738" s="22" t="s">
        <v>21831</v>
      </c>
      <c r="I16738" s="26">
        <v>43630.707638888904</v>
      </c>
      <c r="J16738" s="23" t="str">
        <f t="shared" si="570"/>
        <v>ООО ПТФ "МЕРКУРИЙ"</v>
      </c>
      <c r="K16738" s="24" t="s">
        <v>21826</v>
      </c>
      <c r="L16738" s="22" t="s">
        <v>10</v>
      </c>
      <c r="M16738" s="28" t="s">
        <v>51</v>
      </c>
      <c r="N16738" s="27">
        <v>0</v>
      </c>
    </row>
    <row r="16739" spans="1:14" x14ac:dyDescent="0.15">
      <c r="A16739" s="23" t="str">
        <f>HYPERLINK("https://www.spark-marketing.ru/Card/Person/63182", "МО МВД РОССИИ ""ШУШЕНСКИЙ""")</f>
        <v>МО МВД РОССИИ "ШУШЕНСКИЙ"</v>
      </c>
      <c r="B16739" s="24" t="s">
        <v>18647</v>
      </c>
      <c r="C16739" s="25">
        <v>450000</v>
      </c>
      <c r="D16739" s="22" t="s">
        <v>21858</v>
      </c>
      <c r="E16739" s="22" t="s">
        <v>96</v>
      </c>
      <c r="F16739" s="23" t="str">
        <f>HYPERLINK("https://www.spark-marketing.ru/Card/Lot/71364092", "Оказание услуг по обеспечению горячим питанием лиц, содержащихся под стражей, и административно-арестованных лиц содержащихся в ИВС, а также лиц, задержанных на срок более трех часов, содержащихся в специальных помещениях дежурной части Межмуниципаль...")</f>
        <v>Оказание услуг по обеспечению горячим питанием лиц, содержащихся под стражей, и административно-арестованных лиц содержащихся в ИВС, а также лиц, задержанных на срок более трех часов, содержащихся в специальных помещениях дежурной части Межмуниципаль...</v>
      </c>
      <c r="G16739" s="22" t="s">
        <v>281</v>
      </c>
      <c r="H16739" s="22" t="s">
        <v>18649</v>
      </c>
      <c r="I16739" s="26">
        <v>43630.658333333296</v>
      </c>
      <c r="J16739" s="23" t="str">
        <f>HYPERLINK("https://www.spark-marketing.ru/Card/Person/63365", "Лысов Илья Евгеньевич")</f>
        <v>Лысов Илья Евгеньевич</v>
      </c>
      <c r="K16739" s="24" t="s">
        <v>18650</v>
      </c>
      <c r="L16739" s="22" t="s">
        <v>10</v>
      </c>
      <c r="M16739" s="28" t="s">
        <v>51</v>
      </c>
      <c r="N16739" s="28" t="s">
        <v>51</v>
      </c>
    </row>
    <row r="16740" spans="1:14" x14ac:dyDescent="0.15">
      <c r="A16740" s="23" t="str">
        <f>HYPERLINK("https://www.spark-marketing.ru/Card/Person/1399483", "АО ""ТЮМЕННЕФТЕГАЗ""")</f>
        <v>АО "ТЮМЕННЕФТЕГАЗ"</v>
      </c>
      <c r="B16740" s="24" t="s">
        <v>21859</v>
      </c>
      <c r="C16740" s="28" t="s">
        <v>51</v>
      </c>
      <c r="D16740" s="22" t="s">
        <v>21860</v>
      </c>
      <c r="E16740" s="22" t="s">
        <v>362</v>
      </c>
      <c r="F16740" s="23" t="str">
        <f>HYPERLINK("https://www.spark-marketing.ru/Card/Lot/71373026", "ТНГ-19-АХО-4 Оказание услуг по организации общественного питания работников АО ""Тюменнефтегаз"" на месторождении ""Русское"" и ПСП ""Заполярное""")</f>
        <v>ТНГ-19-АХО-4 Оказание услуг по организации общественного питания работников АО "Тюменнефтегаз" на месторождении "Русское" и ПСП "Заполярное"</v>
      </c>
      <c r="G16740" s="22" t="s">
        <v>766</v>
      </c>
      <c r="H16740" s="22" t="s">
        <v>1028</v>
      </c>
      <c r="I16740" s="26">
        <v>43630.658333333296</v>
      </c>
      <c r="J16740" s="28" t="s">
        <v>51</v>
      </c>
      <c r="K16740" s="28" t="s">
        <v>51</v>
      </c>
      <c r="L16740" s="28" t="s">
        <v>51</v>
      </c>
      <c r="M16740" s="28" t="s">
        <v>51</v>
      </c>
      <c r="N16740" s="28" t="s">
        <v>51</v>
      </c>
    </row>
    <row r="16741" spans="1:14" x14ac:dyDescent="0.15">
      <c r="A16741" s="23" t="str">
        <f>HYPERLINK("https://www.spark-marketing.ru/Card/Person/58377", "ГБУЗ СО ""СОБ № 2""")</f>
        <v>ГБУЗ СО "СОБ № 2"</v>
      </c>
      <c r="B16741" s="24" t="s">
        <v>21861</v>
      </c>
      <c r="C16741" s="25">
        <v>4509249.41</v>
      </c>
      <c r="D16741" s="22" t="s">
        <v>21862</v>
      </c>
      <c r="E16741" s="22" t="s">
        <v>48</v>
      </c>
      <c r="F16741" s="23" t="str">
        <f>HYPERLINK("https://www.spark-marketing.ru/Card/Lot/71373111", "Оказание услуг по организации лечебного 3-х разового питания для пациентов, находящихся на стационарном лечении в ГБУЗ СО ""СОБ №2""")</f>
        <v>Оказание услуг по организации лечебного 3-х разового питания для пациентов, находящихся на стационарном лечении в ГБУЗ СО "СОБ №2"</v>
      </c>
      <c r="G16741" s="22" t="s">
        <v>174</v>
      </c>
      <c r="H16741" s="22" t="s">
        <v>530</v>
      </c>
      <c r="I16741" s="26">
        <v>43630.629861111098</v>
      </c>
      <c r="J16741" s="28" t="s">
        <v>51</v>
      </c>
      <c r="K16741" s="28" t="s">
        <v>51</v>
      </c>
      <c r="L16741" s="28" t="s">
        <v>51</v>
      </c>
      <c r="M16741" s="28" t="s">
        <v>51</v>
      </c>
      <c r="N16741" s="28" t="s">
        <v>51</v>
      </c>
    </row>
    <row r="16742" spans="1:14" hidden="1" outlineLevel="1" x14ac:dyDescent="0.2">
      <c r="A16742" s="23" t="str">
        <f>HYPERLINK("https://www.spark-marketing.ru/Card/Person/58377", "ГБУЗ СО ""СОБ № 2""")</f>
        <v>ГБУЗ СО "СОБ № 2"</v>
      </c>
      <c r="B16742" s="24" t="s">
        <v>21861</v>
      </c>
      <c r="C16742" s="25">
        <v>4509249.41</v>
      </c>
      <c r="D16742" s="22" t="s">
        <v>21862</v>
      </c>
      <c r="E16742" s="22" t="s">
        <v>48</v>
      </c>
      <c r="F16742" s="23" t="str">
        <f>HYPERLINK("https://www.spark-marketing.ru/Card/Lot/71373111", "Оказание услуг по организации лечебного 3-х разового питания для пациентов, находящихся на стационарном лечении в ГБУЗ СО ""СОБ №2""")</f>
        <v>Оказание услуг по организации лечебного 3-х разового питания для пациентов, находящихся на стационарном лечении в ГБУЗ СО "СОБ №2"</v>
      </c>
      <c r="G16742" s="22" t="s">
        <v>174</v>
      </c>
      <c r="H16742" s="22" t="s">
        <v>530</v>
      </c>
      <c r="I16742" s="26">
        <v>43630.629861111098</v>
      </c>
      <c r="J16742" s="23" t="str">
        <f>HYPERLINK("https://www.spark-marketing.ru/Card/Person/4439378", "ООО ""АНТОНОВКА""")</f>
        <v>ООО "АНТОНОВКА"</v>
      </c>
      <c r="K16742" s="24" t="s">
        <v>20368</v>
      </c>
      <c r="L16742" s="28" t="s">
        <v>51</v>
      </c>
      <c r="M16742" s="25">
        <v>4328285.09</v>
      </c>
      <c r="N16742" s="27">
        <v>4.0131805439433434E-2</v>
      </c>
    </row>
    <row r="16743" spans="1:14" ht="12.75" hidden="1" outlineLevel="1" x14ac:dyDescent="0.2">
      <c r="A16743" s="23" t="str">
        <f>HYPERLINK("https://www.spark-marketing.ru/Card/Person/58377", "ГБУЗ СО ""СОБ № 2""")</f>
        <v>ГБУЗ СО "СОБ № 2"</v>
      </c>
      <c r="B16743" s="24" t="s">
        <v>21861</v>
      </c>
      <c r="C16743" s="25">
        <v>4509249.41</v>
      </c>
      <c r="D16743" s="22" t="s">
        <v>21862</v>
      </c>
      <c r="E16743" s="22" t="s">
        <v>48</v>
      </c>
      <c r="F16743" s="23" t="str">
        <f>HYPERLINK("https://www.spark-marketing.ru/Card/Lot/71373111", "Оказание услуг по организации лечебного 3-х разового питания для пациентов, находящихся на стационарном лечении в ГБУЗ СО ""СОБ №2""")</f>
        <v>Оказание услуг по организации лечебного 3-х разового питания для пациентов, находящихся на стационарном лечении в ГБУЗ СО "СОБ №2"</v>
      </c>
      <c r="G16743" s="22" t="s">
        <v>174</v>
      </c>
      <c r="H16743" s="22" t="s">
        <v>530</v>
      </c>
      <c r="I16743" s="26">
        <v>43630.629861111098</v>
      </c>
      <c r="J16743" s="23" t="str">
        <f>HYPERLINK("https://www.spark-marketing.ru/Card/Person/142277", "ООО ""ОКЕЙТЕРИНГ""")</f>
        <v>ООО "ОКЕЙТЕРИНГ"</v>
      </c>
      <c r="K16743" s="24" t="s">
        <v>2533</v>
      </c>
      <c r="L16743" s="22" t="s">
        <v>10</v>
      </c>
      <c r="M16743" s="25">
        <v>3812965.9</v>
      </c>
      <c r="N16743" s="27">
        <v>0.15441228610151328</v>
      </c>
    </row>
    <row r="16744" spans="1:14" hidden="1" outlineLevel="1" x14ac:dyDescent="0.2">
      <c r="A16744" s="23" t="str">
        <f>HYPERLINK("https://www.spark-marketing.ru/Card/Person/58377", "ГБУЗ СО ""СОБ № 2""")</f>
        <v>ГБУЗ СО "СОБ № 2"</v>
      </c>
      <c r="B16744" s="24" t="s">
        <v>21861</v>
      </c>
      <c r="C16744" s="25">
        <v>4509249.41</v>
      </c>
      <c r="D16744" s="22" t="s">
        <v>21862</v>
      </c>
      <c r="E16744" s="22" t="s">
        <v>48</v>
      </c>
      <c r="F16744" s="23" t="str">
        <f>HYPERLINK("https://www.spark-marketing.ru/Card/Lot/71373111", "Оказание услуг по организации лечебного 3-х разового питания для пациентов, находящихся на стационарном лечении в ГБУЗ СО ""СОБ №2""")</f>
        <v>Оказание услуг по организации лечебного 3-х разового питания для пациентов, находящихся на стационарном лечении в ГБУЗ СО "СОБ №2"</v>
      </c>
      <c r="G16744" s="22" t="s">
        <v>174</v>
      </c>
      <c r="H16744" s="22" t="s">
        <v>530</v>
      </c>
      <c r="I16744" s="26">
        <v>43630.629861111098</v>
      </c>
      <c r="J16744" s="23" t="str">
        <f>HYPERLINK("https://www.spark-marketing.ru/Card/Person/45677", "ФГАОУ ВО ""УРФУ ИМЕНИ ПЕРВОГО ПРЕЗИДЕНТА РОССИИ Б.Н. ЕЛЬЦИНА"", УРАЛЬСКИЙ ФЕДЕРАЛЬНЫЙ УНИВЕРСИТЕТ, УРФУ, УРАЛЬСКИЙ ФЕДЕРАЛЬНЫЙ УНИВЕРСИТЕТ ИМЕНИ ПЕРВОГО ПРЕЗИДЕНТА РОССИИ Б.Н. ЕЛЬЦИНА")</f>
        <v>ФГАОУ ВО "УРФУ ИМЕНИ ПЕРВОГО ПРЕЗИДЕНТА РОССИИ Б.Н. ЕЛЬЦИНА", УРАЛЬСКИЙ ФЕДЕРАЛЬНЫЙ УНИВЕРСИТЕТ, УРФУ, УРАЛЬСКИЙ ФЕДЕРАЛЬНЫЙ УНИВЕРСИТЕТ ИМЕНИ ПЕРВОГО ПРЕЗИДЕНТА РОССИИ Б.Н. ЕЛЬЦИНА</v>
      </c>
      <c r="K16744" s="24" t="s">
        <v>11783</v>
      </c>
      <c r="L16744" s="28" t="s">
        <v>51</v>
      </c>
      <c r="M16744" s="25">
        <v>3835512.15</v>
      </c>
      <c r="N16744" s="27">
        <v>0.14941228544730242</v>
      </c>
    </row>
    <row r="16745" spans="1:14" x14ac:dyDescent="0.15">
      <c r="A16745" s="23" t="str">
        <f>HYPERLINK("https://www.spark-marketing.ru/Card/Person/1036567", "ОМВД РОССИИ ПО Г. УРАЮ")</f>
        <v>ОМВД РОССИИ ПО Г. УРАЮ</v>
      </c>
      <c r="B16745" s="24" t="s">
        <v>8940</v>
      </c>
      <c r="C16745" s="25">
        <v>86400</v>
      </c>
      <c r="D16745" s="22" t="s">
        <v>21863</v>
      </c>
      <c r="E16745" s="22" t="s">
        <v>96</v>
      </c>
      <c r="F16745" s="23" t="str">
        <f>HYPERLINK("https://www.spark-marketing.ru/Card/Lot/71370080", "оказание услуг по организации питания (приготовлению и доставке), 192 шт")</f>
        <v>оказание услуг по организации питания (приготовлению и доставке), 192 шт</v>
      </c>
      <c r="G16745" s="22" t="s">
        <v>97</v>
      </c>
      <c r="H16745" s="22" t="s">
        <v>8942</v>
      </c>
      <c r="I16745" s="26">
        <v>43630.663194444402</v>
      </c>
      <c r="J16745" s="28" t="s">
        <v>51</v>
      </c>
      <c r="K16745" s="28" t="s">
        <v>51</v>
      </c>
      <c r="L16745" s="28" t="s">
        <v>51</v>
      </c>
      <c r="M16745" s="28" t="s">
        <v>51</v>
      </c>
      <c r="N16745" s="28" t="s">
        <v>51</v>
      </c>
    </row>
    <row r="16746" spans="1:14" x14ac:dyDescent="0.15">
      <c r="A16746" s="23" t="str">
        <f>HYPERLINK("https://www.spark-marketing.ru/Card/Person/4347220", "АДМИНИСТРАЦИЯ ГОРОДА КРАСНОЯРСКА")</f>
        <v>АДМИНИСТРАЦИЯ ГОРОДА КРАСНОЯРСКА</v>
      </c>
      <c r="B16746" s="24" t="s">
        <v>6231</v>
      </c>
      <c r="C16746" s="25">
        <v>820000</v>
      </c>
      <c r="D16746" s="22" t="s">
        <v>21864</v>
      </c>
      <c r="E16746" s="22" t="s">
        <v>96</v>
      </c>
      <c r="F16746" s="23" t="str">
        <f>HYPERLINK("https://www.spark-marketing.ru/Card/Lot/71364917", "Оказание услуг по организации питания при проведении мероприятия с участием Главы города в 2019 году")</f>
        <v>Оказание услуг по организации питания при проведении мероприятия с участием Главы города в 2019 году</v>
      </c>
      <c r="G16746" s="22" t="s">
        <v>281</v>
      </c>
      <c r="H16746" s="22" t="s">
        <v>281</v>
      </c>
      <c r="I16746" s="26">
        <v>43630.645138888904</v>
      </c>
      <c r="J16746" s="28" t="s">
        <v>51</v>
      </c>
      <c r="K16746" s="28" t="s">
        <v>51</v>
      </c>
      <c r="L16746" s="28" t="s">
        <v>51</v>
      </c>
      <c r="M16746" s="28" t="s">
        <v>51</v>
      </c>
      <c r="N16746" s="28" t="s">
        <v>51</v>
      </c>
    </row>
    <row r="16747" spans="1:14" ht="12.75" hidden="1" outlineLevel="1" x14ac:dyDescent="0.2">
      <c r="A16747" s="23" t="str">
        <f>HYPERLINK("https://www.spark-marketing.ru/Card/Person/4347220", "АДМИНИСТРАЦИЯ ГОРОДА КРАСНОЯРСКА")</f>
        <v>АДМИНИСТРАЦИЯ ГОРОДА КРАСНОЯРСКА</v>
      </c>
      <c r="B16747" s="24" t="s">
        <v>6231</v>
      </c>
      <c r="C16747" s="25">
        <v>820000</v>
      </c>
      <c r="D16747" s="22" t="s">
        <v>21864</v>
      </c>
      <c r="E16747" s="22" t="s">
        <v>96</v>
      </c>
      <c r="F16747" s="23" t="str">
        <f>HYPERLINK("https://www.spark-marketing.ru/Card/Lot/71364917", "Оказание услуг по организации питания при проведении мероприятия с участием Главы города в 2019 году")</f>
        <v>Оказание услуг по организации питания при проведении мероприятия с участием Главы города в 2019 году</v>
      </c>
      <c r="G16747" s="22" t="s">
        <v>281</v>
      </c>
      <c r="H16747" s="22" t="s">
        <v>281</v>
      </c>
      <c r="I16747" s="26">
        <v>43630.645138888904</v>
      </c>
      <c r="J16747" s="23" t="str">
        <f>HYPERLINK("https://www.spark-marketing.ru/Card/Person/2221919", "ООО ""КОМФОРТ ХАУС""")</f>
        <v>ООО "КОМФОРТ ХАУС"</v>
      </c>
      <c r="K16747" s="24" t="s">
        <v>21865</v>
      </c>
      <c r="L16747" s="22" t="s">
        <v>10</v>
      </c>
      <c r="M16747" s="25">
        <v>807700</v>
      </c>
      <c r="N16747" s="27">
        <v>1.4999999999999999E-2</v>
      </c>
    </row>
    <row r="16748" spans="1:14" hidden="1" outlineLevel="1" x14ac:dyDescent="0.2">
      <c r="A16748" s="23" t="str">
        <f>HYPERLINK("https://www.spark-marketing.ru/Card/Person/4347220", "АДМИНИСТРАЦИЯ ГОРОДА КРАСНОЯРСКА")</f>
        <v>АДМИНИСТРАЦИЯ ГОРОДА КРАСНОЯРСКА</v>
      </c>
      <c r="B16748" s="24" t="s">
        <v>6231</v>
      </c>
      <c r="C16748" s="25">
        <v>820000</v>
      </c>
      <c r="D16748" s="22" t="s">
        <v>21864</v>
      </c>
      <c r="E16748" s="22" t="s">
        <v>96</v>
      </c>
      <c r="F16748" s="23" t="str">
        <f>HYPERLINK("https://www.spark-marketing.ru/Card/Lot/71364917", "Оказание услуг по организации питания при проведении мероприятия с участием Главы города в 2019 году")</f>
        <v>Оказание услуг по организации питания при проведении мероприятия с участием Главы города в 2019 году</v>
      </c>
      <c r="G16748" s="22" t="s">
        <v>281</v>
      </c>
      <c r="H16748" s="22" t="s">
        <v>281</v>
      </c>
      <c r="I16748" s="26">
        <v>43630.645138888904</v>
      </c>
      <c r="J16748" s="23" t="str">
        <f>HYPERLINK("https://www.spark-marketing.ru/Card/Person/4395841", "ООО ""СИСТЕМНЫЕ РЕШЕНИЯ""")</f>
        <v>ООО "СИСТЕМНЫЕ РЕШЕНИЯ"</v>
      </c>
      <c r="K16748" s="24" t="s">
        <v>6235</v>
      </c>
      <c r="L16748" s="28" t="s">
        <v>51</v>
      </c>
      <c r="M16748" s="25">
        <v>811800</v>
      </c>
      <c r="N16748" s="27">
        <v>0.01</v>
      </c>
    </row>
    <row r="16749" spans="1:14" x14ac:dyDescent="0.15">
      <c r="A16749" s="23" t="str">
        <f>HYPERLINK("https://www.spark-marketing.ru/Card/Person/1036567", "ОМВД РОССИИ ПО Г. УРАЮ")</f>
        <v>ОМВД РОССИИ ПО Г. УРАЮ</v>
      </c>
      <c r="B16749" s="24" t="s">
        <v>8940</v>
      </c>
      <c r="C16749" s="25">
        <v>97200</v>
      </c>
      <c r="D16749" s="22" t="s">
        <v>21866</v>
      </c>
      <c r="E16749" s="22" t="s">
        <v>96</v>
      </c>
      <c r="F16749" s="23" t="str">
        <f>HYPERLINK("https://www.spark-marketing.ru/Card/Lot/71370016", "оказание услуг по организации питания (приготовлению и доставке), 216 шт")</f>
        <v>оказание услуг по организации питания (приготовлению и доставке), 216 шт</v>
      </c>
      <c r="G16749" s="22" t="s">
        <v>97</v>
      </c>
      <c r="H16749" s="22" t="s">
        <v>8942</v>
      </c>
      <c r="I16749" s="26">
        <v>43630.6589467593</v>
      </c>
      <c r="J16749" s="28" t="s">
        <v>51</v>
      </c>
      <c r="K16749" s="28" t="s">
        <v>51</v>
      </c>
      <c r="L16749" s="28" t="s">
        <v>51</v>
      </c>
      <c r="M16749" s="28" t="s">
        <v>51</v>
      </c>
      <c r="N16749" s="28" t="s">
        <v>51</v>
      </c>
    </row>
    <row r="16750" spans="1:14" x14ac:dyDescent="0.15">
      <c r="A16750" s="23" t="str">
        <f>HYPERLINK("https://www.spark-marketing.ru/Card/Person/5836", "БУЗ УР ""ГКБ № 6 МЗ УР""")</f>
        <v>БУЗ УР "ГКБ № 6 МЗ УР"</v>
      </c>
      <c r="B16750" s="24" t="s">
        <v>7308</v>
      </c>
      <c r="C16750" s="25">
        <v>1368000</v>
      </c>
      <c r="D16750" s="22" t="s">
        <v>21867</v>
      </c>
      <c r="E16750" s="22" t="s">
        <v>51</v>
      </c>
      <c r="F16750" s="23" t="str">
        <f>HYPERLINK("https://www.spark-marketing.ru/Card/Lot/71377054", "№ зз-20274-19 Услуги по организации лечебного питания пациентов стационара больничного комплекса №1 БУЗ УР «ГКБ №6 МЗ УР»")</f>
        <v>№ зз-20274-19 Услуги по организации лечебного питания пациентов стационара больничного комплекса №1 БУЗ УР «ГКБ №6 МЗ УР»</v>
      </c>
      <c r="G16750" s="22" t="s">
        <v>852</v>
      </c>
      <c r="H16750" s="22" t="s">
        <v>2477</v>
      </c>
      <c r="I16750" s="26">
        <v>43630.625694444403</v>
      </c>
      <c r="J16750" s="28" t="s">
        <v>51</v>
      </c>
      <c r="K16750" s="28" t="s">
        <v>51</v>
      </c>
      <c r="L16750" s="28" t="s">
        <v>51</v>
      </c>
      <c r="M16750" s="28" t="s">
        <v>51</v>
      </c>
      <c r="N16750" s="28" t="s">
        <v>51</v>
      </c>
    </row>
    <row r="16751" spans="1:14" hidden="1" outlineLevel="1" x14ac:dyDescent="0.2">
      <c r="A16751" s="23" t="str">
        <f>HYPERLINK("https://www.spark-marketing.ru/Card/Person/5836", "БУЗ УР ""ГКБ № 6 МЗ УР""")</f>
        <v>БУЗ УР "ГКБ № 6 МЗ УР"</v>
      </c>
      <c r="B16751" s="24" t="s">
        <v>7308</v>
      </c>
      <c r="C16751" s="25">
        <v>1368000</v>
      </c>
      <c r="D16751" s="22" t="s">
        <v>21867</v>
      </c>
      <c r="E16751" s="22" t="s">
        <v>51</v>
      </c>
      <c r="F16751" s="23" t="str">
        <f>HYPERLINK("https://www.spark-marketing.ru/Card/Lot/71377054", "№ зз-20274-19 Услуги по организации лечебного питания пациентов стационара больничного комплекса №1 БУЗ УР «ГКБ №6 МЗ УР»")</f>
        <v>№ зз-20274-19 Услуги по организации лечебного питания пациентов стационара больничного комплекса №1 БУЗ УР «ГКБ №6 МЗ УР»</v>
      </c>
      <c r="G16751" s="22" t="s">
        <v>852</v>
      </c>
      <c r="H16751" s="22" t="s">
        <v>2477</v>
      </c>
      <c r="I16751" s="26">
        <v>43630.625694444403</v>
      </c>
      <c r="J16751" s="23" t="str">
        <f>HYPERLINK("https://www.spark-marketing.ru/Card/Person/2039993", "ООО ""ЛИГУРИЯ""")</f>
        <v>ООО "ЛИГУРИЯ"</v>
      </c>
      <c r="K16751" s="24" t="s">
        <v>7311</v>
      </c>
      <c r="L16751" s="28" t="s">
        <v>51</v>
      </c>
      <c r="M16751" s="25">
        <v>1110960</v>
      </c>
      <c r="N16751" s="27">
        <v>0.18789473684210525</v>
      </c>
    </row>
    <row r="16752" spans="1:14" ht="12.75" hidden="1" outlineLevel="1" x14ac:dyDescent="0.2">
      <c r="A16752" s="23" t="str">
        <f>HYPERLINK("https://www.spark-marketing.ru/Card/Person/5836", "БУЗ УР ""ГКБ № 6 МЗ УР""")</f>
        <v>БУЗ УР "ГКБ № 6 МЗ УР"</v>
      </c>
      <c r="B16752" s="24" t="s">
        <v>7308</v>
      </c>
      <c r="C16752" s="25">
        <v>1368000</v>
      </c>
      <c r="D16752" s="22" t="s">
        <v>21867</v>
      </c>
      <c r="E16752" s="22" t="s">
        <v>51</v>
      </c>
      <c r="F16752" s="23" t="str">
        <f>HYPERLINK("https://www.spark-marketing.ru/Card/Lot/71377054", "№ зз-20274-19 Услуги по организации лечебного питания пациентов стационара больничного комплекса №1 БУЗ УР «ГКБ №6 МЗ УР»")</f>
        <v>№ зз-20274-19 Услуги по организации лечебного питания пациентов стационара больничного комплекса №1 БУЗ УР «ГКБ №6 МЗ УР»</v>
      </c>
      <c r="G16752" s="22" t="s">
        <v>852</v>
      </c>
      <c r="H16752" s="22" t="s">
        <v>2477</v>
      </c>
      <c r="I16752" s="26">
        <v>43630.625694444403</v>
      </c>
      <c r="J16752" s="23" t="str">
        <f>HYPERLINK("https://www.spark-marketing.ru/Card/Person/138888", "ООО ""РАИДА""")</f>
        <v>ООО "РАИДА"</v>
      </c>
      <c r="K16752" s="24" t="s">
        <v>7310</v>
      </c>
      <c r="L16752" s="22" t="s">
        <v>10</v>
      </c>
      <c r="M16752" s="25">
        <v>1104120</v>
      </c>
      <c r="N16752" s="27">
        <v>0.19289473684210526</v>
      </c>
    </row>
    <row r="16753" spans="1:14" x14ac:dyDescent="0.15">
      <c r="A16753" s="23" t="str">
        <f>HYPERLINK("https://www.spark-marketing.ru/Card/Person/4751089", "АУ ""КЦСОН УВАТСКОГО МУНИЦИПАЛЬНОГО РАЙОНА""")</f>
        <v>АУ "КЦСОН УВАТСКОГО МУНИЦИПАЛЬНОГО РАЙОНА"</v>
      </c>
      <c r="B16753" s="24" t="s">
        <v>21868</v>
      </c>
      <c r="C16753" s="25">
        <v>345600</v>
      </c>
      <c r="D16753" s="22" t="s">
        <v>21869</v>
      </c>
      <c r="E16753" s="22" t="s">
        <v>21870</v>
      </c>
      <c r="F16753" s="23" t="str">
        <f>HYPERLINK("https://www.spark-marketing.ru/Card/Lot/71365462", "Организация питания летнего оздоровительного лагеря с дневным пребыванием ""Алые паруса""")</f>
        <v>Организация питания летнего оздоровительного лагеря с дневным пребыванием "Алые паруса"</v>
      </c>
      <c r="G16753" s="22" t="s">
        <v>766</v>
      </c>
      <c r="H16753" s="22" t="s">
        <v>766</v>
      </c>
      <c r="I16753" s="26">
        <v>43630.635219907403</v>
      </c>
      <c r="J16753" s="28" t="s">
        <v>51</v>
      </c>
      <c r="K16753" s="28" t="s">
        <v>51</v>
      </c>
      <c r="L16753" s="28" t="s">
        <v>51</v>
      </c>
      <c r="M16753" s="28" t="s">
        <v>51</v>
      </c>
      <c r="N16753" s="28" t="s">
        <v>51</v>
      </c>
    </row>
    <row r="16754" spans="1:14" x14ac:dyDescent="0.2">
      <c r="A16754" s="23" t="s">
        <v>114</v>
      </c>
      <c r="B16754" s="28" t="s">
        <v>51</v>
      </c>
      <c r="C16754" s="25">
        <v>6867180</v>
      </c>
      <c r="D16754" s="22" t="s">
        <v>21871</v>
      </c>
      <c r="E16754" s="22" t="s">
        <v>48</v>
      </c>
      <c r="F16754" s="23" t="str">
        <f t="shared" ref="F16754:F16759" si="571">HYPERLINK("https://www.spark-marketing.ru/Card/Lot/71373577", "Оказание услуги по организации горячего питания")</f>
        <v>Оказание услуги по организации горячего питания</v>
      </c>
      <c r="G16754" s="22" t="s">
        <v>51</v>
      </c>
      <c r="H16754" s="22" t="s">
        <v>51</v>
      </c>
      <c r="I16754" s="26">
        <v>43630.605555555601</v>
      </c>
      <c r="J16754" s="23" t="str">
        <f t="shared" ref="J16754:J16759" si="572">HYPERLINK("https://www.spark-marketing.ru/Card/Person/296102", "МУП ""ОБЩЕПИТ"" Г.САЛАВАТА")</f>
        <v>МУП "ОБЩЕПИТ" Г.САЛАВАТА</v>
      </c>
      <c r="K16754" s="24" t="s">
        <v>17686</v>
      </c>
      <c r="L16754" s="22" t="s">
        <v>10</v>
      </c>
      <c r="M16754" s="25">
        <v>6867180</v>
      </c>
      <c r="N16754" s="27">
        <v>0</v>
      </c>
    </row>
    <row r="16755" spans="1:14" hidden="1" outlineLevel="1" x14ac:dyDescent="0.2">
      <c r="A16755" s="23" t="str">
        <f>HYPERLINK("https://www.spark-marketing.ru/Card/Person/143109", "МБДОУ № 19 Г. САЛАВАТА")</f>
        <v>МБДОУ № 19 Г. САЛАВАТА</v>
      </c>
      <c r="B16755" s="24" t="s">
        <v>21872</v>
      </c>
      <c r="C16755" s="25">
        <v>1482300</v>
      </c>
      <c r="D16755" s="22" t="s">
        <v>21871</v>
      </c>
      <c r="E16755" s="22" t="s">
        <v>48</v>
      </c>
      <c r="F16755" s="23" t="str">
        <f t="shared" si="571"/>
        <v>Оказание услуги по организации горячего питания</v>
      </c>
      <c r="G16755" s="22" t="s">
        <v>145</v>
      </c>
      <c r="H16755" s="22" t="s">
        <v>17090</v>
      </c>
      <c r="I16755" s="26">
        <v>43630.605555555601</v>
      </c>
      <c r="J16755" s="23" t="str">
        <f t="shared" si="572"/>
        <v>МУП "ОБЩЕПИТ" Г.САЛАВАТА</v>
      </c>
      <c r="K16755" s="24" t="s">
        <v>17686</v>
      </c>
      <c r="L16755" s="22" t="s">
        <v>10</v>
      </c>
      <c r="M16755" s="28" t="s">
        <v>51</v>
      </c>
      <c r="N16755" s="27">
        <v>0</v>
      </c>
    </row>
    <row r="16756" spans="1:14" hidden="1" outlineLevel="1" x14ac:dyDescent="0.2">
      <c r="A16756" s="23" t="str">
        <f>HYPERLINK("https://www.spark-marketing.ru/Card/Person/254989", "МБДОУ № 23 Г. САЛАВАТА")</f>
        <v>МБДОУ № 23 Г. САЛАВАТА</v>
      </c>
      <c r="B16756" s="24" t="s">
        <v>21873</v>
      </c>
      <c r="C16756" s="25">
        <v>1035180</v>
      </c>
      <c r="D16756" s="22" t="s">
        <v>21871</v>
      </c>
      <c r="E16756" s="22" t="s">
        <v>48</v>
      </c>
      <c r="F16756" s="23" t="str">
        <f t="shared" si="571"/>
        <v>Оказание услуги по организации горячего питания</v>
      </c>
      <c r="G16756" s="22" t="s">
        <v>145</v>
      </c>
      <c r="H16756" s="22" t="s">
        <v>17090</v>
      </c>
      <c r="I16756" s="26">
        <v>43630.605555555601</v>
      </c>
      <c r="J16756" s="23" t="str">
        <f t="shared" si="572"/>
        <v>МУП "ОБЩЕПИТ" Г.САЛАВАТА</v>
      </c>
      <c r="K16756" s="24" t="s">
        <v>17686</v>
      </c>
      <c r="L16756" s="22" t="s">
        <v>10</v>
      </c>
      <c r="M16756" s="28" t="s">
        <v>51</v>
      </c>
      <c r="N16756" s="27">
        <v>0</v>
      </c>
    </row>
    <row r="16757" spans="1:14" hidden="1" outlineLevel="1" x14ac:dyDescent="0.2">
      <c r="A16757" s="23" t="str">
        <f>HYPERLINK("https://www.spark-marketing.ru/Card/Person/256797", "МБДОУ № 53 Г. САЛАВАТА")</f>
        <v>МБДОУ № 53 Г. САЛАВАТА</v>
      </c>
      <c r="B16757" s="24" t="s">
        <v>21874</v>
      </c>
      <c r="C16757" s="25">
        <v>1652400</v>
      </c>
      <c r="D16757" s="22" t="s">
        <v>21871</v>
      </c>
      <c r="E16757" s="22" t="s">
        <v>48</v>
      </c>
      <c r="F16757" s="23" t="str">
        <f t="shared" si="571"/>
        <v>Оказание услуги по организации горячего питания</v>
      </c>
      <c r="G16757" s="22" t="s">
        <v>145</v>
      </c>
      <c r="H16757" s="22" t="s">
        <v>17090</v>
      </c>
      <c r="I16757" s="26">
        <v>43630.605555555601</v>
      </c>
      <c r="J16757" s="23" t="str">
        <f t="shared" si="572"/>
        <v>МУП "ОБЩЕПИТ" Г.САЛАВАТА</v>
      </c>
      <c r="K16757" s="24" t="s">
        <v>17686</v>
      </c>
      <c r="L16757" s="22" t="s">
        <v>10</v>
      </c>
      <c r="M16757" s="28" t="s">
        <v>51</v>
      </c>
      <c r="N16757" s="27">
        <v>0</v>
      </c>
    </row>
    <row r="16758" spans="1:14" hidden="1" outlineLevel="1" x14ac:dyDescent="0.2">
      <c r="A16758" s="23" t="str">
        <f>HYPERLINK("https://www.spark-marketing.ru/Card/Person/1041840", "МБДОУ № 25 Г.САЛАВАТА")</f>
        <v>МБДОУ № 25 Г.САЛАВАТА</v>
      </c>
      <c r="B16758" s="24" t="s">
        <v>21875</v>
      </c>
      <c r="C16758" s="25">
        <v>1331640</v>
      </c>
      <c r="D16758" s="22" t="s">
        <v>21871</v>
      </c>
      <c r="E16758" s="22" t="s">
        <v>48</v>
      </c>
      <c r="F16758" s="23" t="str">
        <f t="shared" si="571"/>
        <v>Оказание услуги по организации горячего питания</v>
      </c>
      <c r="G16758" s="22" t="s">
        <v>145</v>
      </c>
      <c r="H16758" s="22" t="s">
        <v>17090</v>
      </c>
      <c r="I16758" s="26">
        <v>43630.605555555601</v>
      </c>
      <c r="J16758" s="23" t="str">
        <f t="shared" si="572"/>
        <v>МУП "ОБЩЕПИТ" Г.САЛАВАТА</v>
      </c>
      <c r="K16758" s="24" t="s">
        <v>17686</v>
      </c>
      <c r="L16758" s="22" t="s">
        <v>10</v>
      </c>
      <c r="M16758" s="28" t="s">
        <v>51</v>
      </c>
      <c r="N16758" s="27">
        <v>0</v>
      </c>
    </row>
    <row r="16759" spans="1:14" hidden="1" outlineLevel="1" x14ac:dyDescent="0.2">
      <c r="A16759" s="23" t="str">
        <f>HYPERLINK("https://www.spark-marketing.ru/Card/Person/1053959", "МБДОУ № 22 Г. САЛАВАТА")</f>
        <v>МБДОУ № 22 Г. САЛАВАТА</v>
      </c>
      <c r="B16759" s="24" t="s">
        <v>21876</v>
      </c>
      <c r="C16759" s="25">
        <v>1365660</v>
      </c>
      <c r="D16759" s="22" t="s">
        <v>21871</v>
      </c>
      <c r="E16759" s="22" t="s">
        <v>48</v>
      </c>
      <c r="F16759" s="23" t="str">
        <f t="shared" si="571"/>
        <v>Оказание услуги по организации горячего питания</v>
      </c>
      <c r="G16759" s="22" t="s">
        <v>145</v>
      </c>
      <c r="H16759" s="22" t="s">
        <v>17090</v>
      </c>
      <c r="I16759" s="26">
        <v>43630.605555555601</v>
      </c>
      <c r="J16759" s="23" t="str">
        <f t="shared" si="572"/>
        <v>МУП "ОБЩЕПИТ" Г.САЛАВАТА</v>
      </c>
      <c r="K16759" s="24" t="s">
        <v>17686</v>
      </c>
      <c r="L16759" s="22" t="s">
        <v>10</v>
      </c>
      <c r="M16759" s="28" t="s">
        <v>51</v>
      </c>
      <c r="N16759" s="27">
        <v>0</v>
      </c>
    </row>
    <row r="16760" spans="1:14" x14ac:dyDescent="0.15">
      <c r="A16760" s="23" t="str">
        <f>HYPERLINK("https://www.spark-marketing.ru/Card/Person/55537", "МКОУ ""С(К)ОШ""")</f>
        <v>МКОУ "С(К)ОШ"</v>
      </c>
      <c r="B16760" s="24" t="s">
        <v>21877</v>
      </c>
      <c r="C16760" s="25">
        <v>2065328</v>
      </c>
      <c r="D16760" s="22" t="s">
        <v>21878</v>
      </c>
      <c r="E16760" s="22" t="s">
        <v>48</v>
      </c>
      <c r="F16760" s="23" t="str">
        <f>HYPERLINK("https://www.spark-marketing.ru/Card/Lot/71369401", "Оказание услуг по организации горячего питания")</f>
        <v>Оказание услуг по организации горячего питания</v>
      </c>
      <c r="G16760" s="22" t="s">
        <v>1056</v>
      </c>
      <c r="H16760" s="22" t="s">
        <v>1258</v>
      </c>
      <c r="I16760" s="26">
        <v>43630.599305555603</v>
      </c>
      <c r="J16760" s="23" t="str">
        <f>HYPERLINK("https://www.spark-marketing.ru/Card/Person/51265", "АО ""КОП""")</f>
        <v>АО "КОП"</v>
      </c>
      <c r="K16760" s="24" t="s">
        <v>21879</v>
      </c>
      <c r="L16760" s="22" t="s">
        <v>10</v>
      </c>
      <c r="M16760" s="28" t="s">
        <v>51</v>
      </c>
      <c r="N16760" s="28" t="s">
        <v>51</v>
      </c>
    </row>
    <row r="16761" spans="1:14" x14ac:dyDescent="0.15">
      <c r="A16761" s="23" t="str">
        <f>HYPERLINK("https://www.spark-marketing.ru/Card/Person/4347030", "ФКУ ""ЦХИСО МВД ПО РД""")</f>
        <v>ФКУ "ЦХИСО МВД ПО РД"</v>
      </c>
      <c r="B16761" s="24" t="s">
        <v>4765</v>
      </c>
      <c r="C16761" s="25">
        <v>1519580.89</v>
      </c>
      <c r="D16761" s="22" t="s">
        <v>21880</v>
      </c>
      <c r="E16761" s="22" t="s">
        <v>48</v>
      </c>
      <c r="F16761" s="23" t="str">
        <f>HYPERLINK("https://www.spark-marketing.ru/Card/Lot/71376761", "Услуги по организации питания в ЦВСИГ МВД по РД (Лот 3)")</f>
        <v>Услуги по организации питания в ЦВСИГ МВД по РД (Лот 3)</v>
      </c>
      <c r="G16761" s="22" t="s">
        <v>1607</v>
      </c>
      <c r="H16761" s="22" t="s">
        <v>1607</v>
      </c>
      <c r="I16761" s="26">
        <v>43630.620833333298</v>
      </c>
      <c r="J16761" s="23" t="str">
        <f>HYPERLINK("https://www.spark-marketing.ru/Card/Person/154972", "Астахов Эдуард Юрьевич")</f>
        <v>Астахов Эдуард Юрьевич</v>
      </c>
      <c r="K16761" s="24" t="s">
        <v>4767</v>
      </c>
      <c r="L16761" s="22" t="s">
        <v>10</v>
      </c>
      <c r="M16761" s="28" t="s">
        <v>51</v>
      </c>
      <c r="N16761" s="28" t="s">
        <v>51</v>
      </c>
    </row>
    <row r="16762" spans="1:14" x14ac:dyDescent="0.15">
      <c r="A16762" s="23" t="str">
        <f>HYPERLINK("https://www.spark-marketing.ru/Card/Person/18872", "ФГБУЗ КБ № 8 ФМБА РОССИИ")</f>
        <v>ФГБУЗ КБ № 8 ФМБА РОССИИ</v>
      </c>
      <c r="B16762" s="24" t="s">
        <v>6049</v>
      </c>
      <c r="C16762" s="25">
        <v>1016750</v>
      </c>
      <c r="D16762" s="22" t="s">
        <v>21881</v>
      </c>
      <c r="E16762" s="22" t="s">
        <v>48</v>
      </c>
      <c r="F16762" s="23" t="str">
        <f>HYPERLINK("https://www.spark-marketing.ru/Card/Lot/71372586", "оказание услуг по обеспечению работников ФГБУЗ КБ №8 ФМБА России спецпитанием")</f>
        <v>оказание услуг по обеспечению работников ФГБУЗ КБ №8 ФМБА России спецпитанием</v>
      </c>
      <c r="G16762" s="22" t="s">
        <v>112</v>
      </c>
      <c r="H16762" s="22" t="s">
        <v>1663</v>
      </c>
      <c r="I16762" s="26">
        <v>43630.6</v>
      </c>
      <c r="J16762" s="28" t="s">
        <v>51</v>
      </c>
      <c r="K16762" s="28" t="s">
        <v>51</v>
      </c>
      <c r="L16762" s="28" t="s">
        <v>51</v>
      </c>
      <c r="M16762" s="28" t="s">
        <v>51</v>
      </c>
      <c r="N16762" s="28" t="s">
        <v>51</v>
      </c>
    </row>
    <row r="16763" spans="1:14" x14ac:dyDescent="0.15">
      <c r="A16763" s="23" t="str">
        <f>HYPERLINK("https://www.spark-marketing.ru/Card/Person/1028671", "МБОУ ЧАШНИКОВСКАЯ СОШ")</f>
        <v>МБОУ ЧАШНИКОВСКАЯ СОШ</v>
      </c>
      <c r="B16763" s="24" t="s">
        <v>1351</v>
      </c>
      <c r="C16763" s="25">
        <v>176400</v>
      </c>
      <c r="D16763" s="22" t="s">
        <v>21882</v>
      </c>
      <c r="E16763" s="22" t="s">
        <v>48</v>
      </c>
      <c r="F16763" s="23" t="str">
        <f>HYPERLINK("https://www.spark-marketing.ru/Card/Lot/71366940", "питание в летнем лагере")</f>
        <v>питание в летнем лагере</v>
      </c>
      <c r="G16763" s="22" t="s">
        <v>49</v>
      </c>
      <c r="H16763" s="22" t="s">
        <v>204</v>
      </c>
      <c r="I16763" s="26">
        <v>43630.607199074097</v>
      </c>
      <c r="J16763" s="28" t="s">
        <v>51</v>
      </c>
      <c r="K16763" s="28" t="s">
        <v>51</v>
      </c>
      <c r="L16763" s="28" t="s">
        <v>51</v>
      </c>
      <c r="M16763" s="28" t="s">
        <v>51</v>
      </c>
      <c r="N16763" s="28" t="s">
        <v>51</v>
      </c>
    </row>
    <row r="16764" spans="1:14" ht="12.75" x14ac:dyDescent="0.2">
      <c r="A16764" s="23" t="str">
        <f>HYPERLINK("https://www.spark-marketing.ru/Card/Person/151875", "ГБУ КО ""ШКОЛА-ИНТЕРНАТ №8""")</f>
        <v>ГБУ КО "ШКОЛА-ИНТЕРНАТ №8"</v>
      </c>
      <c r="B16764" s="24" t="s">
        <v>21883</v>
      </c>
      <c r="C16764" s="25">
        <v>1453245.6</v>
      </c>
      <c r="D16764" s="22" t="s">
        <v>21884</v>
      </c>
      <c r="E16764" s="22" t="s">
        <v>48</v>
      </c>
      <c r="F16764" s="23" t="str">
        <f>HYPERLINK("https://www.spark-marketing.ru/Card/Lot/71377179", "оказание услуг по организации питания обучающихся, воспитанников государственного бюджетного учреждения Калининградской области общеобразовательной организация для обучающихся, воспитанников с ограниченными возможностями здоровья «Нестеровская школа-...")</f>
        <v>оказание услуг по организации питания обучающихся, воспитанников государственного бюджетного учреждения Калининградской области общеобразовательной организация для обучающихся, воспитанников с ограниченными возможностями здоровья «Нестеровская школа-...</v>
      </c>
      <c r="G16764" s="22" t="s">
        <v>400</v>
      </c>
      <c r="H16764" s="22" t="s">
        <v>21885</v>
      </c>
      <c r="I16764" s="26">
        <v>43630.613888888904</v>
      </c>
      <c r="J16764" s="23" t="str">
        <f>HYPERLINK("https://www.spark-marketing.ru/Card/Person/91371", "ООО ""КК""РУССКИЙ ПИР""")</f>
        <v>ООО "КК"РУССКИЙ ПИР"</v>
      </c>
      <c r="K16764" s="24" t="s">
        <v>7476</v>
      </c>
      <c r="L16764" s="22" t="s">
        <v>10</v>
      </c>
      <c r="M16764" s="25">
        <v>1453245.6</v>
      </c>
      <c r="N16764" s="27">
        <v>0</v>
      </c>
    </row>
    <row r="16765" spans="1:14" ht="12.75" x14ac:dyDescent="0.2">
      <c r="A16765" s="23" t="str">
        <f>HYPERLINK("https://www.spark-marketing.ru/Card/Person/110922", "МАОУ ""ЛЯНТОРСКАЯ СОШ №7""")</f>
        <v>МАОУ "ЛЯНТОРСКАЯ СОШ №7"</v>
      </c>
      <c r="B16765" s="24" t="s">
        <v>21886</v>
      </c>
      <c r="C16765" s="25">
        <v>12798410.800000001</v>
      </c>
      <c r="D16765" s="22" t="s">
        <v>21887</v>
      </c>
      <c r="E16765" s="22" t="s">
        <v>48</v>
      </c>
      <c r="F16765" s="23" t="str">
        <f>HYPERLINK("https://www.spark-marketing.ru/Card/Lot/71373480", "Оказание услуг по обеспечению питанием обучающихся")</f>
        <v>Оказание услуг по обеспечению питанием обучающихся</v>
      </c>
      <c r="G16765" s="22" t="s">
        <v>97</v>
      </c>
      <c r="H16765" s="22" t="s">
        <v>199</v>
      </c>
      <c r="I16765" s="26">
        <v>43630.602083333302</v>
      </c>
      <c r="J16765" s="23" t="str">
        <f>HYPERLINK("https://www.spark-marketing.ru/Card/Person/110621", "СТПО")</f>
        <v>СТПО</v>
      </c>
      <c r="K16765" s="24" t="s">
        <v>21888</v>
      </c>
      <c r="L16765" s="22" t="s">
        <v>10</v>
      </c>
      <c r="M16765" s="25">
        <v>12798410.800000001</v>
      </c>
      <c r="N16765" s="27">
        <v>0</v>
      </c>
    </row>
    <row r="16766" spans="1:14" x14ac:dyDescent="0.2">
      <c r="A16766" s="23" t="str">
        <f>HYPERLINK("https://www.spark-marketing.ru/Card/Person/57057", "ФГУП ""ЦИАМ ИМ. П.И. БАРАНОВА""")</f>
        <v>ФГУП "ЦИАМ ИМ. П.И. БАРАНОВА"</v>
      </c>
      <c r="B16766" s="24" t="s">
        <v>21889</v>
      </c>
      <c r="C16766" s="25">
        <v>3257000</v>
      </c>
      <c r="D16766" s="22" t="s">
        <v>21890</v>
      </c>
      <c r="E16766" s="22" t="s">
        <v>362</v>
      </c>
      <c r="F16766" s="23" t="str">
        <f>HYPERLINK("https://www.spark-marketing.ru/Card/Lot/71367261", "Оказание услуг по организации питания и подаче напитков в обеспечение мероприятий ФГУП «ЦИАМ им. П.И. Баранова»")</f>
        <v>Оказание услуг по организации питания и подаче напитков в обеспечение мероприятий ФГУП «ЦИАМ им. П.И. Баранова»</v>
      </c>
      <c r="G16766" s="22" t="s">
        <v>56</v>
      </c>
      <c r="H16766" s="22" t="s">
        <v>56</v>
      </c>
      <c r="I16766" s="26">
        <v>43630.597314814797</v>
      </c>
      <c r="J16766" s="28" t="s">
        <v>51</v>
      </c>
      <c r="K16766" s="28" t="s">
        <v>51</v>
      </c>
      <c r="L16766" s="28" t="s">
        <v>51</v>
      </c>
      <c r="M16766" s="25">
        <v>3257000</v>
      </c>
      <c r="N16766" s="27">
        <v>0</v>
      </c>
    </row>
    <row r="16767" spans="1:14" x14ac:dyDescent="0.15">
      <c r="A16767" s="23" t="str">
        <f>HYPERLINK("https://www.spark-marketing.ru/Card/Person/557571", "МАУ ДО ДЮСШ УСЦ ВВС ИМЕНИ В.А.ШЕВЕЛЕВА")</f>
        <v>МАУ ДО ДЮСШ УСЦ ВВС ИМЕНИ В.А.ШЕВЕЛЕВА</v>
      </c>
      <c r="B16767" s="24" t="s">
        <v>21891</v>
      </c>
      <c r="C16767" s="25">
        <v>364000</v>
      </c>
      <c r="D16767" s="22" t="s">
        <v>21892</v>
      </c>
      <c r="E16767" s="22" t="s">
        <v>362</v>
      </c>
      <c r="F16767" s="23" t="str">
        <f>HYPERLINK("https://www.spark-marketing.ru/Card/Lot/71356974", "Оказание услуг по обеспечению питанием работников в стационарном детском оздоровительном лагере")</f>
        <v>Оказание услуг по обеспечению питанием работников в стационарном детском оздоровительном лагере</v>
      </c>
      <c r="G16767" s="22" t="s">
        <v>149</v>
      </c>
      <c r="H16767" s="22" t="s">
        <v>149</v>
      </c>
      <c r="I16767" s="26">
        <v>43630.589120370401</v>
      </c>
      <c r="J16767" s="28" t="s">
        <v>51</v>
      </c>
      <c r="K16767" s="28" t="s">
        <v>51</v>
      </c>
      <c r="L16767" s="28" t="s">
        <v>51</v>
      </c>
      <c r="M16767" s="28" t="s">
        <v>51</v>
      </c>
      <c r="N16767" s="28" t="s">
        <v>51</v>
      </c>
    </row>
    <row r="16768" spans="1:14" x14ac:dyDescent="0.15">
      <c r="A16768" s="23" t="str">
        <f>HYPERLINK("https://www.spark-marketing.ru/Card/Person/6530404", "ГАЗПРОМ ПИТАНИЕ")</f>
        <v>ГАЗПРОМ ПИТАНИЕ</v>
      </c>
      <c r="B16768" s="28" t="s">
        <v>51</v>
      </c>
      <c r="C16768" s="25">
        <v>12500</v>
      </c>
      <c r="D16768" s="22" t="s">
        <v>21893</v>
      </c>
      <c r="E16768" s="22" t="s">
        <v>52</v>
      </c>
      <c r="F16768" s="23" t="str">
        <f>HYPERLINK("https://www.spark-marketing.ru/Card/Lot/71367391", "оказание информационных услуг (предоставление возможности публикации вакансий и доступа к базе данных) для нужд ооо ""газпром питание""")</f>
        <v>оказание информационных услуг (предоставление возможности публикации вакансий и доступа к базе данных) для нужд ооо "газпром питание"</v>
      </c>
      <c r="G16768" s="22" t="s">
        <v>56</v>
      </c>
      <c r="H16768" s="22" t="s">
        <v>56</v>
      </c>
      <c r="I16768" s="26">
        <v>43630.616666666698</v>
      </c>
      <c r="J16768" s="28" t="s">
        <v>51</v>
      </c>
      <c r="K16768" s="28" t="s">
        <v>51</v>
      </c>
      <c r="L16768" s="28" t="s">
        <v>51</v>
      </c>
      <c r="M16768" s="28" t="s">
        <v>51</v>
      </c>
      <c r="N16768" s="28" t="s">
        <v>51</v>
      </c>
    </row>
    <row r="16769" spans="1:14" x14ac:dyDescent="0.15">
      <c r="A16769" s="23" t="str">
        <f>HYPERLINK("https://www.spark-marketing.ru/Card/Person/121861", "ГБУ ВО ""ОМЦ""")</f>
        <v>ГБУ ВО "ОМЦ"</v>
      </c>
      <c r="B16769" s="24" t="s">
        <v>79</v>
      </c>
      <c r="C16769" s="25">
        <v>189000</v>
      </c>
      <c r="D16769" s="22" t="s">
        <v>21894</v>
      </c>
      <c r="E16769" s="22" t="s">
        <v>81</v>
      </c>
      <c r="F16769" s="23" t="str">
        <f>HYPERLINK("https://www.spark-marketing.ru/Card/Lot/71375195", "2019-03515 - Оказание услуг по организации проживания с питанием участников и организаторов Областного сбора для членов органов молодежного самоуправления")</f>
        <v>2019-03515 - Оказание услуг по организации проживания с питанием участников и организаторов Областного сбора для членов органов молодежного самоуправления</v>
      </c>
      <c r="G16769" s="22" t="s">
        <v>82</v>
      </c>
      <c r="H16769" s="22" t="s">
        <v>83</v>
      </c>
      <c r="I16769" s="26">
        <v>43630.583333333299</v>
      </c>
      <c r="J16769" s="23" t="str">
        <f>HYPERLINK("https://www.spark-marketing.ru/Card/Person/336101", "ООО ""КОМФОРТ""")</f>
        <v>ООО "КОМФОРТ"</v>
      </c>
      <c r="K16769" s="24" t="s">
        <v>4486</v>
      </c>
      <c r="L16769" s="28" t="s">
        <v>51</v>
      </c>
      <c r="M16769" s="28" t="s">
        <v>51</v>
      </c>
      <c r="N16769" s="28" t="s">
        <v>51</v>
      </c>
    </row>
    <row r="16770" spans="1:14" ht="12.75" hidden="1" outlineLevel="1" x14ac:dyDescent="0.2">
      <c r="A16770" s="23" t="str">
        <f>HYPERLINK("https://www.spark-marketing.ru/Card/Person/121861", "ГБУ ВО ""ОМЦ""")</f>
        <v>ГБУ ВО "ОМЦ"</v>
      </c>
      <c r="B16770" s="24" t="s">
        <v>79</v>
      </c>
      <c r="C16770" s="25">
        <v>189000</v>
      </c>
      <c r="D16770" s="22" t="s">
        <v>21894</v>
      </c>
      <c r="E16770" s="22" t="s">
        <v>81</v>
      </c>
      <c r="F16770" s="23" t="str">
        <f>HYPERLINK("https://www.spark-marketing.ru/Card/Lot/71375195", "2019-03515 - Оказание услуг по организации проживания с питанием участников и организаторов Областного сбора для членов органов молодежного самоуправления")</f>
        <v>2019-03515 - Оказание услуг по организации проживания с питанием участников и организаторов Областного сбора для членов органов молодежного самоуправления</v>
      </c>
      <c r="G16770" s="22" t="s">
        <v>82</v>
      </c>
      <c r="H16770" s="22" t="s">
        <v>83</v>
      </c>
      <c r="I16770" s="26">
        <v>43630.583333333299</v>
      </c>
      <c r="J16770" s="23" t="str">
        <f>HYPERLINK("https://www.spark-marketing.ru/Card/Person/336101", "ООО ""КОМФОРТ""")</f>
        <v>ООО "КОМФОРТ"</v>
      </c>
      <c r="K16770" s="24" t="s">
        <v>4486</v>
      </c>
      <c r="L16770" s="22" t="s">
        <v>10</v>
      </c>
      <c r="M16770" s="25">
        <v>188055</v>
      </c>
      <c r="N16770" s="27">
        <v>5.0000000000000001E-3</v>
      </c>
    </row>
    <row r="16771" spans="1:14" x14ac:dyDescent="0.15">
      <c r="A16771" s="23" t="str">
        <f>HYPERLINK("https://www.spark-marketing.ru/Card/Person/93727", "КОМИТЕТ ПО ОБЕСПЕЧЕНИЮ ДЕЯТЕЛЬНОСТИ МИРОВЫХ СУДЕЙ ТОМСКОЙ ОБЛАСТИ")</f>
        <v>КОМИТЕТ ПО ОБЕСПЕЧЕНИЮ ДЕЯТЕЛЬНОСТИ МИРОВЫХ СУДЕЙ ТОМСКОЙ ОБЛАСТИ</v>
      </c>
      <c r="B16771" s="24" t="s">
        <v>21895</v>
      </c>
      <c r="C16771" s="25">
        <v>50000</v>
      </c>
      <c r="D16771" s="22" t="s">
        <v>21896</v>
      </c>
      <c r="E16771" s="22" t="s">
        <v>91</v>
      </c>
      <c r="F16771" s="23" t="str">
        <f>HYPERLINK("https://www.spark-marketing.ru/Card/Lot/71361823", "Оказание услуг по ремонту источников бесперебойного питания Комитета по обеспечению деятельности мировых судей Томской области в 2019 году")</f>
        <v>Оказание услуг по ремонту источников бесперебойного питания Комитета по обеспечению деятельности мировых судей Томской области в 2019 году</v>
      </c>
      <c r="G16771" s="22" t="s">
        <v>149</v>
      </c>
      <c r="H16771" s="22" t="s">
        <v>496</v>
      </c>
      <c r="I16771" s="26">
        <v>43630.609027777798</v>
      </c>
      <c r="J16771" s="28" t="s">
        <v>51</v>
      </c>
      <c r="K16771" s="28" t="s">
        <v>51</v>
      </c>
      <c r="L16771" s="28" t="s">
        <v>51</v>
      </c>
      <c r="M16771" s="28" t="s">
        <v>51</v>
      </c>
      <c r="N16771" s="28" t="s">
        <v>51</v>
      </c>
    </row>
    <row r="16772" spans="1:14" hidden="1" outlineLevel="1" x14ac:dyDescent="0.15">
      <c r="A16772" s="23" t="str">
        <f>HYPERLINK("https://www.spark-marketing.ru/Card/Person/93727", "КОМИТЕТ ПО ОБЕСПЕЧЕНИЮ ДЕЯТЕЛЬНОСТИ МИРОВЫХ СУДЕЙ ТОМСКОЙ ОБЛАСТИ")</f>
        <v>КОМИТЕТ ПО ОБЕСПЕЧЕНИЮ ДЕЯТЕЛЬНОСТИ МИРОВЫХ СУДЕЙ ТОМСКОЙ ОБЛАСТИ</v>
      </c>
      <c r="B16772" s="24" t="s">
        <v>21895</v>
      </c>
      <c r="C16772" s="25">
        <v>50000</v>
      </c>
      <c r="D16772" s="22" t="s">
        <v>21896</v>
      </c>
      <c r="E16772" s="22" t="s">
        <v>91</v>
      </c>
      <c r="F16772" s="23" t="str">
        <f>HYPERLINK("https://www.spark-marketing.ru/Card/Lot/71361823", "Оказание услуг по ремонту источников бесперебойного питания Комитета по обеспечению деятельности мировых судей Томской области в 2019 году")</f>
        <v>Оказание услуг по ремонту источников бесперебойного питания Комитета по обеспечению деятельности мировых судей Томской области в 2019 году</v>
      </c>
      <c r="G16772" s="22" t="s">
        <v>149</v>
      </c>
      <c r="H16772" s="22" t="s">
        <v>496</v>
      </c>
      <c r="I16772" s="26">
        <v>43630.609027777798</v>
      </c>
      <c r="J16772" s="23" t="str">
        <f>HYPERLINK("https://www.spark-marketing.ru/Card/Person/459135", "ООО ""ПЛАНЕТА БИЗНЕСА""")</f>
        <v>ООО "ПЛАНЕТА БИЗНЕСА"</v>
      </c>
      <c r="K16772" s="24" t="s">
        <v>2773</v>
      </c>
      <c r="L16772" s="28" t="s">
        <v>51</v>
      </c>
      <c r="M16772" s="28" t="s">
        <v>51</v>
      </c>
      <c r="N16772" s="28" t="s">
        <v>51</v>
      </c>
    </row>
    <row r="16773" spans="1:14" ht="12.75" hidden="1" outlineLevel="1" x14ac:dyDescent="0.2">
      <c r="A16773" s="23" t="str">
        <f>HYPERLINK("https://www.spark-marketing.ru/Card/Person/93727", "КОМИТЕТ ПО ОБЕСПЕЧЕНИЮ ДЕЯТЕЛЬНОСТИ МИРОВЫХ СУДЕЙ ТОМСКОЙ ОБЛАСТИ")</f>
        <v>КОМИТЕТ ПО ОБЕСПЕЧЕНИЮ ДЕЯТЕЛЬНОСТИ МИРОВЫХ СУДЕЙ ТОМСКОЙ ОБЛАСТИ</v>
      </c>
      <c r="B16773" s="24" t="s">
        <v>21895</v>
      </c>
      <c r="C16773" s="25">
        <v>50000</v>
      </c>
      <c r="D16773" s="22" t="s">
        <v>21896</v>
      </c>
      <c r="E16773" s="22" t="s">
        <v>91</v>
      </c>
      <c r="F16773" s="23" t="str">
        <f>HYPERLINK("https://www.spark-marketing.ru/Card/Lot/71361823", "Оказание услуг по ремонту источников бесперебойного питания Комитета по обеспечению деятельности мировых судей Томской области в 2019 году")</f>
        <v>Оказание услуг по ремонту источников бесперебойного питания Комитета по обеспечению деятельности мировых судей Томской области в 2019 году</v>
      </c>
      <c r="G16773" s="22" t="s">
        <v>149</v>
      </c>
      <c r="H16773" s="22" t="s">
        <v>496</v>
      </c>
      <c r="I16773" s="26">
        <v>43630.609027777798</v>
      </c>
      <c r="J16773" s="23" t="str">
        <f>HYPERLINK("https://www.spark-marketing.ru/Card/Person/837447", "ООО ""РЕМКОМПЛЕКС""")</f>
        <v>ООО "РЕМКОМПЛЕКС"</v>
      </c>
      <c r="K16773" s="24" t="s">
        <v>21897</v>
      </c>
      <c r="L16773" s="22" t="s">
        <v>10</v>
      </c>
      <c r="M16773" s="25">
        <v>880</v>
      </c>
      <c r="N16773" s="27">
        <v>0.98240000000000005</v>
      </c>
    </row>
    <row r="16774" spans="1:14" x14ac:dyDescent="0.15">
      <c r="A16774" s="23" t="str">
        <f>HYPERLINK("https://www.spark-marketing.ru/Card/Person/9738", "АДМИНИСТРАЦИЯ ГАТЧИНСКОГО МУНИЦИПАЛЬНОГО РАЙОНА")</f>
        <v>АДМИНИСТРАЦИЯ ГАТЧИНСКОГО МУНИЦИПАЛЬНОГО РАЙОНА</v>
      </c>
      <c r="B16774" s="24" t="s">
        <v>21898</v>
      </c>
      <c r="C16774" s="25">
        <v>499812</v>
      </c>
      <c r="D16774" s="22" t="s">
        <v>21899</v>
      </c>
      <c r="E16774" s="22" t="s">
        <v>67</v>
      </c>
      <c r="F16774" s="23" t="str">
        <f>HYPERLINK("https://www.spark-marketing.ru/Card/Lot/71376035", "Осуществление представительских расходов (организация питания) по обеспечению проведения официальных встреч, мероприятий и визитов на территории Гатчинского муниципального района")</f>
        <v>Осуществление представительских расходов (организация питания) по обеспечению проведения официальных встреч, мероприятий и визитов на территории Гатчинского муниципального района</v>
      </c>
      <c r="G16774" s="22" t="s">
        <v>162</v>
      </c>
      <c r="H16774" s="22" t="s">
        <v>2343</v>
      </c>
      <c r="I16774" s="26">
        <v>43630.591666666704</v>
      </c>
      <c r="J16774" s="23" t="str">
        <f>HYPERLINK("https://www.spark-marketing.ru/Card/Person/127078", "Васильева Ирина Эдуардовна")</f>
        <v>Васильева Ирина Эдуардовна</v>
      </c>
      <c r="K16774" s="24" t="s">
        <v>2344</v>
      </c>
      <c r="L16774" s="22" t="s">
        <v>10</v>
      </c>
      <c r="M16774" s="28" t="s">
        <v>51</v>
      </c>
      <c r="N16774" s="28" t="s">
        <v>51</v>
      </c>
    </row>
    <row r="16775" spans="1:14" x14ac:dyDescent="0.15">
      <c r="A16775" s="23" t="str">
        <f>HYPERLINK("https://www.spark-marketing.ru/Card/Person/10607", "ГБУ ДСЗМ")</f>
        <v>ГБУ ДСЗМ</v>
      </c>
      <c r="B16775" s="24" t="s">
        <v>3052</v>
      </c>
      <c r="C16775" s="25">
        <v>1785000</v>
      </c>
      <c r="D16775" s="22" t="s">
        <v>21900</v>
      </c>
      <c r="E16775" s="22" t="s">
        <v>96</v>
      </c>
      <c r="F16775" s="23" t="str">
        <f>HYPERLINK("https://www.spark-marketing.ru/Card/Lot/71377075", "Услуги по организации питания и ресторанного обслуживания в месте проведения мероприятия для официальных лиц, гостей и судей для подготовки и проведения Чемпионата мира по художественной гимнастике среди юниорок")</f>
        <v>Услуги по организации питания и ресторанного обслуживания в месте проведения мероприятия для официальных лиц, гостей и судей для подготовки и проведения Чемпионата мира по художественной гимнастике среди юниорок</v>
      </c>
      <c r="G16775" s="22" t="s">
        <v>56</v>
      </c>
      <c r="H16775" s="22" t="s">
        <v>56</v>
      </c>
      <c r="I16775" s="26">
        <v>43630.597916666702</v>
      </c>
      <c r="J16775" s="28" t="s">
        <v>51</v>
      </c>
      <c r="K16775" s="28" t="s">
        <v>51</v>
      </c>
      <c r="L16775" s="28" t="s">
        <v>51</v>
      </c>
      <c r="M16775" s="28" t="s">
        <v>51</v>
      </c>
      <c r="N16775" s="28" t="s">
        <v>51</v>
      </c>
    </row>
    <row r="16776" spans="1:14" ht="12.75" hidden="1" outlineLevel="1" x14ac:dyDescent="0.2">
      <c r="A16776" s="23" t="str">
        <f>HYPERLINK("https://www.spark-marketing.ru/Card/Person/10607", "ГБУ ДСЗМ")</f>
        <v>ГБУ ДСЗМ</v>
      </c>
      <c r="B16776" s="24" t="s">
        <v>3052</v>
      </c>
      <c r="C16776" s="25">
        <v>1785000</v>
      </c>
      <c r="D16776" s="22" t="s">
        <v>21900</v>
      </c>
      <c r="E16776" s="22" t="s">
        <v>96</v>
      </c>
      <c r="F16776" s="23" t="str">
        <f>HYPERLINK("https://www.spark-marketing.ru/Card/Lot/71377075", "Услуги по организации питания и ресторанного обслуживания в месте проведения мероприятия для официальных лиц, гостей и судей для подготовки и проведения Чемпионата мира по художественной гимнастике среди юниорок")</f>
        <v>Услуги по организации питания и ресторанного обслуживания в месте проведения мероприятия для официальных лиц, гостей и судей для подготовки и проведения Чемпионата мира по художественной гимнастике среди юниорок</v>
      </c>
      <c r="G16776" s="22" t="s">
        <v>56</v>
      </c>
      <c r="H16776" s="22" t="s">
        <v>56</v>
      </c>
      <c r="I16776" s="26">
        <v>43630.597916666702</v>
      </c>
      <c r="J16776" s="23" t="str">
        <f>HYPERLINK("https://www.spark-marketing.ru/Card/Person/5903989", "ООО ""ВОСТОК""")</f>
        <v>ООО "ВОСТОК"</v>
      </c>
      <c r="K16776" s="24" t="s">
        <v>5855</v>
      </c>
      <c r="L16776" s="22" t="s">
        <v>10</v>
      </c>
      <c r="M16776" s="25">
        <v>1428000</v>
      </c>
      <c r="N16776" s="27">
        <v>0.2</v>
      </c>
    </row>
    <row r="16777" spans="1:14" hidden="1" outlineLevel="1" x14ac:dyDescent="0.2">
      <c r="A16777" s="23" t="str">
        <f>HYPERLINK("https://www.spark-marketing.ru/Card/Person/10607", "ГБУ ДСЗМ")</f>
        <v>ГБУ ДСЗМ</v>
      </c>
      <c r="B16777" s="24" t="s">
        <v>3052</v>
      </c>
      <c r="C16777" s="25">
        <v>1785000</v>
      </c>
      <c r="D16777" s="22" t="s">
        <v>21900</v>
      </c>
      <c r="E16777" s="22" t="s">
        <v>96</v>
      </c>
      <c r="F16777" s="23" t="str">
        <f>HYPERLINK("https://www.spark-marketing.ru/Card/Lot/71377075", "Услуги по организации питания и ресторанного обслуживания в месте проведения мероприятия для официальных лиц, гостей и судей для подготовки и проведения Чемпионата мира по художественной гимнастике среди юниорок")</f>
        <v>Услуги по организации питания и ресторанного обслуживания в месте проведения мероприятия для официальных лиц, гостей и судей для подготовки и проведения Чемпионата мира по художественной гимнастике среди юниорок</v>
      </c>
      <c r="G16777" s="22" t="s">
        <v>56</v>
      </c>
      <c r="H16777" s="22" t="s">
        <v>56</v>
      </c>
      <c r="I16777" s="26">
        <v>43630.597916666702</v>
      </c>
      <c r="J16777" s="23" t="str">
        <f>HYPERLINK("https://www.spark-marketing.ru/Card/Person/6391853", "ООО ""АЛЬДЖЕНСА""")</f>
        <v>ООО "АЛЬДЖЕНСА"</v>
      </c>
      <c r="K16777" s="24" t="s">
        <v>2499</v>
      </c>
      <c r="L16777" s="28" t="s">
        <v>51</v>
      </c>
      <c r="M16777" s="25">
        <v>1300000</v>
      </c>
      <c r="N16777" s="27">
        <v>0.27170868347338933</v>
      </c>
    </row>
    <row r="16778" spans="1:14" x14ac:dyDescent="0.15">
      <c r="A16778" s="23" t="str">
        <f>HYPERLINK("https://www.spark-marketing.ru/Card/Person/3347", "КГБУЗ ""ККБ № 2""")</f>
        <v>КГБУЗ "ККБ № 2"</v>
      </c>
      <c r="B16778" s="24" t="s">
        <v>21901</v>
      </c>
      <c r="C16778" s="25">
        <v>270694.67</v>
      </c>
      <c r="D16778" s="22" t="s">
        <v>21902</v>
      </c>
      <c r="E16778" s="22" t="s">
        <v>355</v>
      </c>
      <c r="F16778" s="23" t="str">
        <f>HYPERLINK("https://www.spark-marketing.ru/Card/Lot/71351384", "Оказание услуг по демонтажу, переносу и последующему монтажу источника бесперебойного питания")</f>
        <v>Оказание услуг по демонтажу, переносу и последующему монтажу источника бесперебойного питания</v>
      </c>
      <c r="G16778" s="22" t="s">
        <v>1096</v>
      </c>
      <c r="H16778" s="22" t="s">
        <v>1097</v>
      </c>
      <c r="I16778" s="26">
        <v>43630.590277777803</v>
      </c>
      <c r="J16778" s="28" t="s">
        <v>51</v>
      </c>
      <c r="K16778" s="28" t="s">
        <v>51</v>
      </c>
      <c r="L16778" s="28" t="s">
        <v>51</v>
      </c>
      <c r="M16778" s="28" t="s">
        <v>51</v>
      </c>
      <c r="N16778" s="28" t="s">
        <v>51</v>
      </c>
    </row>
    <row r="16779" spans="1:14" hidden="1" outlineLevel="1" x14ac:dyDescent="0.2">
      <c r="A16779" s="23" t="str">
        <f>HYPERLINK("https://www.spark-marketing.ru/Card/Person/3347", "КГБУЗ ""ККБ № 2""")</f>
        <v>КГБУЗ "ККБ № 2"</v>
      </c>
      <c r="B16779" s="24" t="s">
        <v>21901</v>
      </c>
      <c r="C16779" s="25">
        <v>270694.67</v>
      </c>
      <c r="D16779" s="22" t="s">
        <v>21902</v>
      </c>
      <c r="E16779" s="22" t="s">
        <v>355</v>
      </c>
      <c r="F16779" s="23" t="str">
        <f>HYPERLINK("https://www.spark-marketing.ru/Card/Lot/71351384", "Оказание услуг по демонтажу, переносу и последующему монтажу источника бесперебойного питания")</f>
        <v>Оказание услуг по демонтажу, переносу и последующему монтажу источника бесперебойного питания</v>
      </c>
      <c r="G16779" s="22" t="s">
        <v>1096</v>
      </c>
      <c r="H16779" s="22" t="s">
        <v>1097</v>
      </c>
      <c r="I16779" s="26">
        <v>43630.590277777803</v>
      </c>
      <c r="J16779" s="23" t="str">
        <f>HYPERLINK("https://www.spark-marketing.ru/Card/Person/6579043", "ООО ""ХАБЭНЕРГОСТРОЙ""")</f>
        <v>ООО "ХАБЭНЕРГОСТРОЙ"</v>
      </c>
      <c r="K16779" s="24" t="s">
        <v>21903</v>
      </c>
      <c r="L16779" s="28" t="s">
        <v>51</v>
      </c>
      <c r="M16779" s="25">
        <v>240694.67</v>
      </c>
      <c r="N16779" s="27">
        <v>0.11082597230303796</v>
      </c>
    </row>
    <row r="16780" spans="1:14" hidden="1" outlineLevel="1" x14ac:dyDescent="0.2">
      <c r="A16780" s="23" t="str">
        <f>HYPERLINK("https://www.spark-marketing.ru/Card/Person/3347", "КГБУЗ ""ККБ № 2""")</f>
        <v>КГБУЗ "ККБ № 2"</v>
      </c>
      <c r="B16780" s="24" t="s">
        <v>21901</v>
      </c>
      <c r="C16780" s="25">
        <v>270694.67</v>
      </c>
      <c r="D16780" s="22" t="s">
        <v>21902</v>
      </c>
      <c r="E16780" s="22" t="s">
        <v>355</v>
      </c>
      <c r="F16780" s="23" t="str">
        <f>HYPERLINK("https://www.spark-marketing.ru/Card/Lot/71351384", "Оказание услуг по демонтажу, переносу и последующему монтажу источника бесперебойного питания")</f>
        <v>Оказание услуг по демонтажу, переносу и последующему монтажу источника бесперебойного питания</v>
      </c>
      <c r="G16780" s="22" t="s">
        <v>1096</v>
      </c>
      <c r="H16780" s="22" t="s">
        <v>1097</v>
      </c>
      <c r="I16780" s="26">
        <v>43630.590277777803</v>
      </c>
      <c r="J16780" s="23" t="str">
        <f>HYPERLINK("https://www.spark-marketing.ru/Card/Person/5899799", "ООО ""ЮСА""")</f>
        <v>ООО "ЮСА"</v>
      </c>
      <c r="K16780" s="24" t="s">
        <v>21904</v>
      </c>
      <c r="L16780" s="28" t="s">
        <v>51</v>
      </c>
      <c r="M16780" s="25">
        <v>270694.67</v>
      </c>
      <c r="N16780" s="27">
        <v>0</v>
      </c>
    </row>
    <row r="16781" spans="1:14" ht="12.75" hidden="1" outlineLevel="1" x14ac:dyDescent="0.2">
      <c r="A16781" s="23" t="str">
        <f>HYPERLINK("https://www.spark-marketing.ru/Card/Person/3347", "КГБУЗ ""ККБ № 2""")</f>
        <v>КГБУЗ "ККБ № 2"</v>
      </c>
      <c r="B16781" s="24" t="s">
        <v>21901</v>
      </c>
      <c r="C16781" s="25">
        <v>270694.67</v>
      </c>
      <c r="D16781" s="22" t="s">
        <v>21902</v>
      </c>
      <c r="E16781" s="22" t="s">
        <v>355</v>
      </c>
      <c r="F16781" s="23" t="str">
        <f>HYPERLINK("https://www.spark-marketing.ru/Card/Lot/71351384", "Оказание услуг по демонтажу, переносу и последующему монтажу источника бесперебойного питания")</f>
        <v>Оказание услуг по демонтажу, переносу и последующему монтажу источника бесперебойного питания</v>
      </c>
      <c r="G16781" s="22" t="s">
        <v>1096</v>
      </c>
      <c r="H16781" s="22" t="s">
        <v>1097</v>
      </c>
      <c r="I16781" s="26">
        <v>43630.590277777803</v>
      </c>
      <c r="J16781" s="23" t="str">
        <f>HYPERLINK("https://www.spark-marketing.ru/Card/Person/241957", "ООО ""МЕДЭЛЕКТРОНИКА""")</f>
        <v>ООО "МЕДЭЛЕКТРОНИКА"</v>
      </c>
      <c r="K16781" s="24" t="s">
        <v>21905</v>
      </c>
      <c r="L16781" s="22" t="s">
        <v>10</v>
      </c>
      <c r="M16781" s="25">
        <v>168000</v>
      </c>
      <c r="N16781" s="27">
        <v>0.37937455510298745</v>
      </c>
    </row>
    <row r="16782" spans="1:14" x14ac:dyDescent="0.15">
      <c r="A16782" s="23" t="str">
        <f>HYPERLINK("https://www.spark-marketing.ru/Card/Person/114783", "МБОУ ВИДНОВСКАЯ СОШ № 1")</f>
        <v>МБОУ ВИДНОВСКАЯ СОШ № 1</v>
      </c>
      <c r="B16782" s="24" t="s">
        <v>21906</v>
      </c>
      <c r="C16782" s="25">
        <v>350000</v>
      </c>
      <c r="D16782" s="22" t="s">
        <v>21907</v>
      </c>
      <c r="E16782" s="22" t="s">
        <v>48</v>
      </c>
      <c r="F16782" s="23" t="str">
        <f>HYPERLINK("https://www.spark-marketing.ru/Card/Lot/71364376", "Оказание услуг по организации питания участников Районного выпускного бала 2019 года")</f>
        <v>Оказание услуг по организации питания участников Районного выпускного бала 2019 года</v>
      </c>
      <c r="G16782" s="22" t="s">
        <v>49</v>
      </c>
      <c r="H16782" s="22" t="s">
        <v>654</v>
      </c>
      <c r="I16782" s="26">
        <v>43630.575960648202</v>
      </c>
      <c r="J16782" s="28" t="s">
        <v>51</v>
      </c>
      <c r="K16782" s="28" t="s">
        <v>51</v>
      </c>
      <c r="L16782" s="28" t="s">
        <v>51</v>
      </c>
      <c r="M16782" s="28" t="s">
        <v>51</v>
      </c>
      <c r="N16782" s="28" t="s">
        <v>51</v>
      </c>
    </row>
    <row r="16783" spans="1:14" x14ac:dyDescent="0.15">
      <c r="A16783" s="23" t="str">
        <f>HYPERLINK("https://www.spark-marketing.ru/Card/Person/105428", "МО МВД РОССИИ ""МАРИ-ТУРЕКСКИЙ""")</f>
        <v>МО МВД РОССИИ "МАРИ-ТУРЕКСКИЙ"</v>
      </c>
      <c r="B16783" s="24" t="s">
        <v>21908</v>
      </c>
      <c r="C16783" s="25">
        <v>78350</v>
      </c>
      <c r="D16783" s="22" t="s">
        <v>21909</v>
      </c>
      <c r="E16783" s="22" t="s">
        <v>48</v>
      </c>
      <c r="F16783" s="23" t="str">
        <f>HYPERLINK("https://www.spark-marketing.ru/Card/Lot/71361959", "Услуги по обеспечению питания лиц содержащихся в спец. помещениях задержанных лиц, 1 усл. ед")</f>
        <v>Услуги по обеспечению питания лиц содержащихся в спец. помещениях задержанных лиц, 1 усл. ед</v>
      </c>
      <c r="G16783" s="22" t="s">
        <v>3249</v>
      </c>
      <c r="H16783" s="22" t="s">
        <v>21910</v>
      </c>
      <c r="I16783" s="26">
        <v>43630.548819444397</v>
      </c>
      <c r="J16783" s="28" t="s">
        <v>51</v>
      </c>
      <c r="K16783" s="28" t="s">
        <v>51</v>
      </c>
      <c r="L16783" s="28" t="s">
        <v>51</v>
      </c>
      <c r="M16783" s="28" t="s">
        <v>51</v>
      </c>
      <c r="N16783" s="28" t="s">
        <v>51</v>
      </c>
    </row>
    <row r="16784" spans="1:14" x14ac:dyDescent="0.15">
      <c r="A16784" s="23" t="str">
        <f>HYPERLINK("https://www.spark-marketing.ru/Card/Person/1017225", "БОУ Г. ОМСКА ""ЛИЦЕЙ № 143""")</f>
        <v>БОУ Г. ОМСКА "ЛИЦЕЙ № 143"</v>
      </c>
      <c r="B16784" s="24" t="s">
        <v>21911</v>
      </c>
      <c r="C16784" s="25">
        <v>2515</v>
      </c>
      <c r="D16784" s="22" t="s">
        <v>21912</v>
      </c>
      <c r="E16784" s="22" t="s">
        <v>48</v>
      </c>
      <c r="F16784" s="23" t="str">
        <f>HYPERLINK("https://www.spark-marketing.ru/Card/Lot/71365106", "Услуги по организации питания обучающихся с ОВЗ")</f>
        <v>Услуги по организации питания обучающихся с ОВЗ</v>
      </c>
      <c r="G16784" s="22" t="s">
        <v>487</v>
      </c>
      <c r="H16784" s="22" t="s">
        <v>488</v>
      </c>
      <c r="I16784" s="26">
        <v>43630.576388888898</v>
      </c>
      <c r="J16784" s="28" t="s">
        <v>51</v>
      </c>
      <c r="K16784" s="28" t="s">
        <v>51</v>
      </c>
      <c r="L16784" s="28" t="s">
        <v>51</v>
      </c>
      <c r="M16784" s="28" t="s">
        <v>51</v>
      </c>
      <c r="N16784" s="28" t="s">
        <v>51</v>
      </c>
    </row>
    <row r="16785" spans="1:14" x14ac:dyDescent="0.15">
      <c r="A16785" s="23" t="str">
        <f>HYPERLINK("https://www.spark-marketing.ru/Card/Person/86948", "АДМИНИСТРАЦИЯ ЗАТО Г.ЖЕЛЕЗНОГОРСК")</f>
        <v>АДМИНИСТРАЦИЯ ЗАТО Г.ЖЕЛЕЗНОГОРСК</v>
      </c>
      <c r="B16785" s="24" t="s">
        <v>21913</v>
      </c>
      <c r="C16785" s="25">
        <v>300000</v>
      </c>
      <c r="D16785" s="22" t="s">
        <v>21914</v>
      </c>
      <c r="E16785" s="22" t="s">
        <v>67</v>
      </c>
      <c r="F16785" s="23" t="str">
        <f>HYPERLINK("https://www.spark-marketing.ru/Card/Lot/71360552", "Оказание услуг по организации питания и обслуживанию мероприятий")</f>
        <v>Оказание услуг по организации питания и обслуживанию мероприятий</v>
      </c>
      <c r="G16785" s="22" t="s">
        <v>281</v>
      </c>
      <c r="H16785" s="22" t="s">
        <v>281</v>
      </c>
      <c r="I16785" s="26">
        <v>43630.572222222203</v>
      </c>
      <c r="J16785" s="23" t="str">
        <f>HYPERLINK("https://www.spark-marketing.ru/Card/Person/6307265", "Семенчук Ольга Александровна")</f>
        <v>Семенчук Ольга Александровна</v>
      </c>
      <c r="K16785" s="24" t="s">
        <v>21915</v>
      </c>
      <c r="L16785" s="22" t="s">
        <v>10</v>
      </c>
      <c r="M16785" s="28" t="s">
        <v>51</v>
      </c>
      <c r="N16785" s="28" t="s">
        <v>51</v>
      </c>
    </row>
    <row r="16786" spans="1:14" x14ac:dyDescent="0.15">
      <c r="A16786" s="23" t="str">
        <f>HYPERLINK("https://www.spark-marketing.ru/Card/Person/107299", "МБУ ""ЦКСРМ ""МЕЧТА""")</f>
        <v>МБУ "ЦКСРМ "МЕЧТА"</v>
      </c>
      <c r="B16786" s="24" t="s">
        <v>21916</v>
      </c>
      <c r="C16786" s="25">
        <v>257400</v>
      </c>
      <c r="D16786" s="22" t="s">
        <v>21917</v>
      </c>
      <c r="E16786" s="22" t="s">
        <v>11661</v>
      </c>
      <c r="F16786" s="23" t="str">
        <f>HYPERLINK("https://www.spark-marketing.ru/Card/Lot/71364480", "Участие в выездном спортивном лагере ""Березка""")</f>
        <v>Участие в выездном спортивном лагере "Березка"</v>
      </c>
      <c r="G16786" s="22" t="s">
        <v>663</v>
      </c>
      <c r="H16786" s="22" t="s">
        <v>2518</v>
      </c>
      <c r="I16786" s="26">
        <v>43630.554768518501</v>
      </c>
      <c r="J16786" s="28" t="s">
        <v>51</v>
      </c>
      <c r="K16786" s="28" t="s">
        <v>51</v>
      </c>
      <c r="L16786" s="28" t="s">
        <v>51</v>
      </c>
      <c r="M16786" s="28" t="s">
        <v>51</v>
      </c>
      <c r="N16786" s="28" t="s">
        <v>51</v>
      </c>
    </row>
    <row r="16787" spans="1:14" x14ac:dyDescent="0.15">
      <c r="A16787" s="23" t="str">
        <f>HYPERLINK("https://www.spark-marketing.ru/Card/Person/1051893", "МБОУ ЧАНОВСКАЯ СШ №2")</f>
        <v>МБОУ ЧАНОВСКАЯ СШ №2</v>
      </c>
      <c r="B16787" s="24" t="s">
        <v>21918</v>
      </c>
      <c r="C16787" s="25">
        <v>21000</v>
      </c>
      <c r="D16787" s="22" t="s">
        <v>21919</v>
      </c>
      <c r="E16787" s="22" t="s">
        <v>48</v>
      </c>
      <c r="F16787" s="23" t="str">
        <f>HYPERLINK("https://www.spark-marketing.ru/Card/Lot/71362811", "услуги по организации проживания и питания детей (учащиеся 10 кл.) в соответствии с п. 4 ч. 1 ст. 93 Федерального закона от 05.04.2013 г. № 44-ФЗ);")</f>
        <v>услуги по организации проживания и питания детей (учащиеся 10 кл.) в соответствии с п. 4 ч. 1 ст. 93 Федерального закона от 05.04.2013 г. № 44-ФЗ);</v>
      </c>
      <c r="G16787" s="22" t="s">
        <v>195</v>
      </c>
      <c r="H16787" s="22" t="s">
        <v>6329</v>
      </c>
      <c r="I16787" s="26">
        <v>43630.554861111101</v>
      </c>
      <c r="J16787" s="28" t="s">
        <v>51</v>
      </c>
      <c r="K16787" s="28" t="s">
        <v>51</v>
      </c>
      <c r="L16787" s="28" t="s">
        <v>51</v>
      </c>
      <c r="M16787" s="28" t="s">
        <v>51</v>
      </c>
      <c r="N16787" s="28" t="s">
        <v>51</v>
      </c>
    </row>
    <row r="16788" spans="1:14" x14ac:dyDescent="0.15">
      <c r="A16788" s="23" t="str">
        <f>HYPERLINK("https://www.spark-marketing.ru/Card/Person/20286", "ФГБОУ ВО ""ОМСКИЙ ГОСУДАРСТВЕННЫЙ ТЕХНИЧЕСКИЙ УНИВЕРСИТЕТ"", ОМГТУ, ОМСКИЙ ГОСУДАРСТВЕННЫЙ ТЕХНИЧЕСКИЙ УНИВЕРСИТЕТ")</f>
        <v>ФГБОУ ВО "ОМСКИЙ ГОСУДАРСТВЕННЫЙ ТЕХНИЧЕСКИЙ УНИВЕРСИТЕТ", ОМГТУ, ОМСКИЙ ГОСУДАРСТВЕННЫЙ ТЕХНИЧЕСКИЙ УНИВЕРСИТЕТ</v>
      </c>
      <c r="B16788" s="24" t="s">
        <v>2059</v>
      </c>
      <c r="C16788" s="25">
        <v>5312000</v>
      </c>
      <c r="D16788" s="22" t="s">
        <v>21920</v>
      </c>
      <c r="E16788" s="22" t="s">
        <v>374</v>
      </c>
      <c r="F16788" s="23" t="str">
        <f>HYPERLINK("https://www.spark-marketing.ru/Card/Lot/71358877", "Оказание услуг по организации питания, проживания и использования инфраструктуры базы отдыха для проведения культурно-массовых и спортивно-оздоровительных мероприятий со студентами очной бюджетной формы обучения ОмГТУ на базах отдыха Омской области в...")</f>
        <v>Оказание услуг по организации питания, проживания и использования инфраструктуры базы отдыха для проведения культурно-массовых и спортивно-оздоровительных мероприятий со студентами очной бюджетной формы обучения ОмГТУ на базах отдыха Омской области в...</v>
      </c>
      <c r="G16788" s="22" t="s">
        <v>487</v>
      </c>
      <c r="H16788" s="22" t="s">
        <v>488</v>
      </c>
      <c r="I16788" s="26">
        <v>43630.5180555556</v>
      </c>
      <c r="J16788" s="23" t="str">
        <f>HYPERLINK("https://www.spark-marketing.ru/Card/Person/1407926", "ООО ""БАЗА ОТДЫХА ""ПОЛИТОТДЕЛ""")</f>
        <v>ООО "БАЗА ОТДЫХА "ПОЛИТОТДЕЛ"</v>
      </c>
      <c r="K16788" s="24" t="s">
        <v>21921</v>
      </c>
      <c r="L16788" s="22" t="s">
        <v>10</v>
      </c>
      <c r="M16788" s="28" t="s">
        <v>51</v>
      </c>
      <c r="N16788" s="28" t="s">
        <v>51</v>
      </c>
    </row>
    <row r="16789" spans="1:14" x14ac:dyDescent="0.15">
      <c r="A16789" s="23" t="str">
        <f>HYPERLINK("https://www.spark-marketing.ru/Card/Person/1029334", "ГОУ ""ЦЕНТР СПЕЦИАЛЬНОГО ОБРАЗОВАНИЯ""")</f>
        <v>ГОУ "ЦЕНТР СПЕЦИАЛЬНОГО ОБРАЗОВАНИЯ"</v>
      </c>
      <c r="B16789" s="24" t="s">
        <v>21922</v>
      </c>
      <c r="C16789" s="25">
        <v>2712904.34</v>
      </c>
      <c r="D16789" s="22" t="s">
        <v>21923</v>
      </c>
      <c r="E16789" s="22" t="s">
        <v>48</v>
      </c>
      <c r="F16789" s="23" t="str">
        <f>HYPERLINK("https://www.spark-marketing.ru/Card/Lot/71351695", "Оказание услуг по организации питания детей сирот и детей оставшихся без попечения родителей, детей-инвалидов для нужд ГОУ ""Центр специального образования"" (6644-ЭА)")</f>
        <v>Оказание услуг по организации питания детей сирот и детей оставшихся без попечения родителей, детей-инвалидов для нужд ГОУ "Центр специального образования" (6644-ЭА)</v>
      </c>
      <c r="G16789" s="22" t="s">
        <v>228</v>
      </c>
      <c r="H16789" s="22" t="s">
        <v>394</v>
      </c>
      <c r="I16789" s="26">
        <v>43630.526388888902</v>
      </c>
      <c r="J16789" s="28" t="s">
        <v>51</v>
      </c>
      <c r="K16789" s="28" t="s">
        <v>51</v>
      </c>
      <c r="L16789" s="28" t="s">
        <v>51</v>
      </c>
      <c r="M16789" s="28" t="s">
        <v>51</v>
      </c>
      <c r="N16789" s="28" t="s">
        <v>51</v>
      </c>
    </row>
    <row r="16790" spans="1:14" hidden="1" outlineLevel="1" x14ac:dyDescent="0.2">
      <c r="A16790" s="23" t="str">
        <f>HYPERLINK("https://www.spark-marketing.ru/Card/Person/1029334", "ГОУ ""ЦЕНТР СПЕЦИАЛЬНОГО ОБРАЗОВАНИЯ""")</f>
        <v>ГОУ "ЦЕНТР СПЕЦИАЛЬНОГО ОБРАЗОВАНИЯ"</v>
      </c>
      <c r="B16790" s="24" t="s">
        <v>21922</v>
      </c>
      <c r="C16790" s="25">
        <v>2712904.34</v>
      </c>
      <c r="D16790" s="22" t="s">
        <v>21923</v>
      </c>
      <c r="E16790" s="22" t="s">
        <v>48</v>
      </c>
      <c r="F16790" s="23" t="str">
        <f>HYPERLINK("https://www.spark-marketing.ru/Card/Lot/71351695", "Оказание услуг по организации питания детей сирот и детей оставшихся без попечения родителей, детей-инвалидов для нужд ГОУ ""Центр специального образования"" (6644-ЭА)")</f>
        <v>Оказание услуг по организации питания детей сирот и детей оставшихся без попечения родителей, детей-инвалидов для нужд ГОУ "Центр специального образования" (6644-ЭА)</v>
      </c>
      <c r="G16790" s="22" t="s">
        <v>228</v>
      </c>
      <c r="H16790" s="22" t="s">
        <v>394</v>
      </c>
      <c r="I16790" s="26">
        <v>43630.526388888902</v>
      </c>
      <c r="J16790" s="23" t="str">
        <f>HYPERLINK("https://www.spark-marketing.ru/Card/Person/6541580", "Кожевникова Ольга Борисовна")</f>
        <v>Кожевникова Ольга Борисовна</v>
      </c>
      <c r="K16790" s="24" t="s">
        <v>13762</v>
      </c>
      <c r="L16790" s="28" t="s">
        <v>51</v>
      </c>
      <c r="M16790" s="25">
        <v>2414484.77</v>
      </c>
      <c r="N16790" s="27">
        <v>0.11000003413316077</v>
      </c>
    </row>
    <row r="16791" spans="1:14" ht="12.75" hidden="1" outlineLevel="1" x14ac:dyDescent="0.2">
      <c r="A16791" s="23" t="str">
        <f>HYPERLINK("https://www.spark-marketing.ru/Card/Person/1029334", "ГОУ ""ЦЕНТР СПЕЦИАЛЬНОГО ОБРАЗОВАНИЯ""")</f>
        <v>ГОУ "ЦЕНТР СПЕЦИАЛЬНОГО ОБРАЗОВАНИЯ"</v>
      </c>
      <c r="B16791" s="24" t="s">
        <v>21922</v>
      </c>
      <c r="C16791" s="25">
        <v>2712904.34</v>
      </c>
      <c r="D16791" s="22" t="s">
        <v>21923</v>
      </c>
      <c r="E16791" s="22" t="s">
        <v>48</v>
      </c>
      <c r="F16791" s="23" t="str">
        <f>HYPERLINK("https://www.spark-marketing.ru/Card/Lot/71351695", "Оказание услуг по организации питания детей сирот и детей оставшихся без попечения родителей, детей-инвалидов для нужд ГОУ ""Центр специального образования"" (6644-ЭА)")</f>
        <v>Оказание услуг по организации питания детей сирот и детей оставшихся без попечения родителей, детей-инвалидов для нужд ГОУ "Центр специального образования" (6644-ЭА)</v>
      </c>
      <c r="G16791" s="22" t="s">
        <v>228</v>
      </c>
      <c r="H16791" s="22" t="s">
        <v>394</v>
      </c>
      <c r="I16791" s="26">
        <v>43630.526388888902</v>
      </c>
      <c r="J16791" s="23" t="str">
        <f>HYPERLINK("https://www.spark-marketing.ru/Card/Person/1681410", "Степанова Юлия Юрьевна")</f>
        <v>Степанова Юлия Юрьевна</v>
      </c>
      <c r="K16791" s="24" t="s">
        <v>21924</v>
      </c>
      <c r="L16791" s="22" t="s">
        <v>10</v>
      </c>
      <c r="M16791" s="25">
        <v>2400920.2400000002</v>
      </c>
      <c r="N16791" s="27">
        <v>0.11500003719261255</v>
      </c>
    </row>
    <row r="16792" spans="1:14" x14ac:dyDescent="0.15">
      <c r="A16792" s="23" t="str">
        <f>HYPERLINK("https://www.spark-marketing.ru/Card/Person/1009739", "ОТДЕЛ ЗДРАВООХРАНЕНИЯ")</f>
        <v>ОТДЕЛ ЗДРАВООХРАНЕНИЯ</v>
      </c>
      <c r="B16792" s="24" t="s">
        <v>3572</v>
      </c>
      <c r="C16792" s="25">
        <v>229615.58</v>
      </c>
      <c r="D16792" s="22" t="s">
        <v>21925</v>
      </c>
      <c r="E16792" s="22" t="s">
        <v>2282</v>
      </c>
      <c r="F16792" s="23" t="str">
        <f>HYPERLINK("https://www.spark-marketing.ru/Card/Lot/71360119", "Приобретение изделий медицинского назначения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н...")</f>
        <v>Приобретение изделий медицинского назначения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н...</v>
      </c>
      <c r="G16792" s="22" t="s">
        <v>3574</v>
      </c>
      <c r="H16792" s="22" t="s">
        <v>3574</v>
      </c>
      <c r="I16792" s="26">
        <v>43630.536111111098</v>
      </c>
      <c r="J16792" s="28" t="s">
        <v>51</v>
      </c>
      <c r="K16792" s="28" t="s">
        <v>51</v>
      </c>
      <c r="L16792" s="28" t="s">
        <v>51</v>
      </c>
      <c r="M16792" s="28" t="s">
        <v>51</v>
      </c>
      <c r="N16792" s="28" t="s">
        <v>51</v>
      </c>
    </row>
    <row r="16793" spans="1:14" hidden="1" outlineLevel="1" x14ac:dyDescent="0.2">
      <c r="A16793" s="23" t="str">
        <f>HYPERLINK("https://www.spark-marketing.ru/Card/Person/1009739", "ОТДЕЛ ЗДРАВООХРАНЕНИЯ")</f>
        <v>ОТДЕЛ ЗДРАВООХРАНЕНИЯ</v>
      </c>
      <c r="B16793" s="24" t="s">
        <v>3572</v>
      </c>
      <c r="C16793" s="25">
        <v>229615.58</v>
      </c>
      <c r="D16793" s="22" t="s">
        <v>21925</v>
      </c>
      <c r="E16793" s="22" t="s">
        <v>2282</v>
      </c>
      <c r="F16793" s="23" t="str">
        <f>HYPERLINK("https://www.spark-marketing.ru/Card/Lot/71360119", "Приобретение изделий медицинского назначения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н...")</f>
        <v>Приобретение изделий медицинского назначения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н...</v>
      </c>
      <c r="G16793" s="22" t="s">
        <v>3574</v>
      </c>
      <c r="H16793" s="22" t="s">
        <v>3574</v>
      </c>
      <c r="I16793" s="26">
        <v>43630.536111111098</v>
      </c>
      <c r="J16793" s="23" t="str">
        <f>HYPERLINK("https://www.spark-marketing.ru/Card/Person/20955", "Качкин Роман Вячеславович")</f>
        <v>Качкин Роман Вячеславович</v>
      </c>
      <c r="K16793" s="24" t="s">
        <v>3002</v>
      </c>
      <c r="L16793" s="28" t="s">
        <v>51</v>
      </c>
      <c r="M16793" s="25">
        <v>110000</v>
      </c>
      <c r="N16793" s="27">
        <v>0.5209384310942663</v>
      </c>
    </row>
    <row r="16794" spans="1:14" hidden="1" outlineLevel="1" x14ac:dyDescent="0.2">
      <c r="A16794" s="23" t="str">
        <f>HYPERLINK("https://www.spark-marketing.ru/Card/Person/1009739", "ОТДЕЛ ЗДРАВООХРАНЕНИЯ")</f>
        <v>ОТДЕЛ ЗДРАВООХРАНЕНИЯ</v>
      </c>
      <c r="B16794" s="24" t="s">
        <v>3572</v>
      </c>
      <c r="C16794" s="25">
        <v>229615.58</v>
      </c>
      <c r="D16794" s="22" t="s">
        <v>21925</v>
      </c>
      <c r="E16794" s="22" t="s">
        <v>2282</v>
      </c>
      <c r="F16794" s="23" t="str">
        <f>HYPERLINK("https://www.spark-marketing.ru/Card/Lot/71360119", "Приобретение изделий медицинского назначения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н...")</f>
        <v>Приобретение изделий медицинского назначения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н...</v>
      </c>
      <c r="G16794" s="22" t="s">
        <v>3574</v>
      </c>
      <c r="H16794" s="22" t="s">
        <v>3574</v>
      </c>
      <c r="I16794" s="26">
        <v>43630.536111111098</v>
      </c>
      <c r="J16794" s="23" t="str">
        <f>HYPERLINK("https://www.spark-marketing.ru/Card/Person/277793", "Орлов Роман Александрович")</f>
        <v>Орлов Роман Александрович</v>
      </c>
      <c r="K16794" s="24" t="s">
        <v>21926</v>
      </c>
      <c r="L16794" s="28" t="s">
        <v>51</v>
      </c>
      <c r="M16794" s="25">
        <v>168851.92</v>
      </c>
      <c r="N16794" s="27">
        <v>0.26463212992776886</v>
      </c>
    </row>
    <row r="16795" spans="1:14" ht="12.75" hidden="1" outlineLevel="1" x14ac:dyDescent="0.2">
      <c r="A16795" s="23" t="str">
        <f>HYPERLINK("https://www.spark-marketing.ru/Card/Person/1009739", "ОТДЕЛ ЗДРАВООХРАНЕНИЯ")</f>
        <v>ОТДЕЛ ЗДРАВООХРАНЕНИЯ</v>
      </c>
      <c r="B16795" s="24" t="s">
        <v>3572</v>
      </c>
      <c r="C16795" s="25">
        <v>229615.58</v>
      </c>
      <c r="D16795" s="22" t="s">
        <v>21925</v>
      </c>
      <c r="E16795" s="22" t="s">
        <v>2282</v>
      </c>
      <c r="F16795" s="23" t="str">
        <f>HYPERLINK("https://www.spark-marketing.ru/Card/Lot/71360119", "Приобретение изделий медицинского назначения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н...")</f>
        <v>Приобретение изделий медицинского назначения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препараты, медицинскими изделиями по рецептам н...</v>
      </c>
      <c r="G16795" s="22" t="s">
        <v>3574</v>
      </c>
      <c r="H16795" s="22" t="s">
        <v>3574</v>
      </c>
      <c r="I16795" s="26">
        <v>43630.536111111098</v>
      </c>
      <c r="J16795" s="23" t="str">
        <f>HYPERLINK("https://www.spark-marketing.ru/Card/Person/712973", "Коробков Олег Иванович")</f>
        <v>Коробков Олег Иванович</v>
      </c>
      <c r="K16795" s="24" t="s">
        <v>21927</v>
      </c>
      <c r="L16795" s="22" t="s">
        <v>10</v>
      </c>
      <c r="M16795" s="25">
        <v>105000</v>
      </c>
      <c r="N16795" s="27">
        <v>0.5427139569536179</v>
      </c>
    </row>
    <row r="16796" spans="1:14" x14ac:dyDescent="0.15">
      <c r="A16796" s="23" t="str">
        <f>HYPERLINK("https://www.spark-marketing.ru/Card/Person/651310", "ОТДЕЛЕНИЕ МВД РОССИИ ПО УЛАГАНСКОМУ РАЙОНУ")</f>
        <v>ОТДЕЛЕНИЕ МВД РОССИИ ПО УЛАГАНСКОМУ РАЙОНУ</v>
      </c>
      <c r="B16796" s="24" t="s">
        <v>21928</v>
      </c>
      <c r="C16796" s="25">
        <v>820000</v>
      </c>
      <c r="D16796" s="22" t="s">
        <v>21929</v>
      </c>
      <c r="E16796" s="22" t="s">
        <v>48</v>
      </c>
      <c r="F16796" s="23" t="str">
        <f>HYPERLINK("https://www.spark-marketing.ru/Card/Lot/71356488", "обеспечение горячим питанием лиц, содержащихся в ИВС и КАЗ")</f>
        <v>обеспечение горячим питанием лиц, содержащихся в ИВС и КАЗ</v>
      </c>
      <c r="G16796" s="22" t="s">
        <v>1141</v>
      </c>
      <c r="H16796" s="22" t="s">
        <v>21930</v>
      </c>
      <c r="I16796" s="26">
        <v>43630.532638888901</v>
      </c>
      <c r="J16796" s="23" t="str">
        <f>HYPERLINK("https://www.spark-marketing.ru/Card/Person/6498847", "Ядомыков Андрей Петрович")</f>
        <v>Ядомыков Андрей Петрович</v>
      </c>
      <c r="K16796" s="24" t="s">
        <v>21931</v>
      </c>
      <c r="L16796" s="22" t="s">
        <v>10</v>
      </c>
      <c r="M16796" s="28" t="s">
        <v>51</v>
      </c>
      <c r="N16796" s="28" t="s">
        <v>51</v>
      </c>
    </row>
    <row r="16797" spans="1:14" x14ac:dyDescent="0.2">
      <c r="A16797" s="23" t="str">
        <f>HYPERLINK("https://www.spark-marketing.ru/Card/Person/1752222", "СПБ ГАУ ""ЦЕНТР ПОДГОТОВКИ""")</f>
        <v>СПБ ГАУ "ЦЕНТР ПОДГОТОВКИ"</v>
      </c>
      <c r="B16797" s="24" t="s">
        <v>9583</v>
      </c>
      <c r="C16797" s="25">
        <v>647500</v>
      </c>
      <c r="D16797" s="22" t="s">
        <v>21932</v>
      </c>
      <c r="E16797" s="22" t="s">
        <v>21933</v>
      </c>
      <c r="F16797" s="23" t="str">
        <f>HYPERLINK("https://www.spark-marketing.ru/Card/Lot/71364632", "Оказание услуг по организации проживания и питания для членов спортивной сборной команды Санкт-Петербурга по футболу на тренировочном мероприятии по подготовке к финальным соревнованиям IX летней Спартакиады учащихся России 2019 года (юниоры)")</f>
        <v>Оказание услуг по организации проживания и питания для членов спортивной сборной команды Санкт-Петербурга по футболу на тренировочном мероприятии по подготовке к финальным соревнованиям IX летней Спартакиады учащихся России 2019 года (юниоры)</v>
      </c>
      <c r="G16797" s="22" t="s">
        <v>117</v>
      </c>
      <c r="H16797" s="22" t="s">
        <v>117</v>
      </c>
      <c r="I16797" s="26">
        <v>43630.5297685185</v>
      </c>
      <c r="J16797" s="28" t="s">
        <v>51</v>
      </c>
      <c r="K16797" s="28" t="s">
        <v>51</v>
      </c>
      <c r="L16797" s="22" t="s">
        <v>10</v>
      </c>
      <c r="M16797" s="25">
        <v>465500</v>
      </c>
      <c r="N16797" s="27">
        <v>0.2810810810810811</v>
      </c>
    </row>
    <row r="16798" spans="1:14" x14ac:dyDescent="0.15">
      <c r="A16798" s="23" t="str">
        <f>HYPERLINK("https://www.spark-marketing.ru/Card/Person/91929", "МУ МВД РОССИИ ""СЕРПУХОВСКОЕ""")</f>
        <v>МУ МВД РОССИИ "СЕРПУХОВСКОЕ"</v>
      </c>
      <c r="B16798" s="24" t="s">
        <v>8229</v>
      </c>
      <c r="C16798" s="25">
        <v>151280</v>
      </c>
      <c r="D16798" s="22" t="s">
        <v>21934</v>
      </c>
      <c r="E16798" s="22" t="s">
        <v>48</v>
      </c>
      <c r="F16798" s="23" t="str">
        <f>HYPERLINK("https://www.spark-marketing.ru/Card/Lot/71367295", "Оказание услуг по питанию граждан, находящихся в ИВС МУ МВД России «Серпуховское».")</f>
        <v>Оказание услуг по питанию граждан, находящихся в ИВС МУ МВД России «Серпуховское».</v>
      </c>
      <c r="G16798" s="22" t="s">
        <v>49</v>
      </c>
      <c r="H16798" s="22" t="s">
        <v>8231</v>
      </c>
      <c r="I16798" s="26">
        <v>43630.507638888899</v>
      </c>
      <c r="J16798" s="28" t="s">
        <v>51</v>
      </c>
      <c r="K16798" s="28" t="s">
        <v>51</v>
      </c>
      <c r="L16798" s="28" t="s">
        <v>51</v>
      </c>
      <c r="M16798" s="28" t="s">
        <v>51</v>
      </c>
      <c r="N16798" s="28" t="s">
        <v>51</v>
      </c>
    </row>
    <row r="16799" spans="1:14" x14ac:dyDescent="0.15">
      <c r="A16799" s="23" t="str">
        <f>HYPERLINK("https://www.spark-marketing.ru/Card/Person/91929", "МУ МВД РОССИИ ""СЕРПУХОВСКОЕ""")</f>
        <v>МУ МВД РОССИИ "СЕРПУХОВСКОЕ"</v>
      </c>
      <c r="B16799" s="24" t="s">
        <v>8229</v>
      </c>
      <c r="C16799" s="25">
        <v>30490</v>
      </c>
      <c r="D16799" s="22" t="s">
        <v>21935</v>
      </c>
      <c r="E16799" s="22" t="s">
        <v>48</v>
      </c>
      <c r="F16799" s="23" t="str">
        <f>HYPERLINK("https://www.spark-marketing.ru/Card/Lot/71366216", "Оказание услуг по питанию граждан, находящихся в ИВС МУ МВД России «Серпуховское».")</f>
        <v>Оказание услуг по питанию граждан, находящихся в ИВС МУ МВД России «Серпуховское».</v>
      </c>
      <c r="G16799" s="22" t="s">
        <v>49</v>
      </c>
      <c r="H16799" s="22" t="s">
        <v>8231</v>
      </c>
      <c r="I16799" s="26">
        <v>43630.5090277778</v>
      </c>
      <c r="J16799" s="28" t="s">
        <v>51</v>
      </c>
      <c r="K16799" s="28" t="s">
        <v>51</v>
      </c>
      <c r="L16799" s="28" t="s">
        <v>51</v>
      </c>
      <c r="M16799" s="28" t="s">
        <v>51</v>
      </c>
      <c r="N16799" s="28" t="s">
        <v>51</v>
      </c>
    </row>
    <row r="16800" spans="1:14" x14ac:dyDescent="0.15">
      <c r="A16800" s="23" t="str">
        <f>HYPERLINK("https://www.spark-marketing.ru/Card/Person/883633", "МБУ ""АХС""")</f>
        <v>МБУ "АХС"</v>
      </c>
      <c r="B16800" s="24" t="s">
        <v>21936</v>
      </c>
      <c r="C16800" s="25">
        <v>497510</v>
      </c>
      <c r="D16800" s="22" t="s">
        <v>21937</v>
      </c>
      <c r="E16800" s="22" t="s">
        <v>48</v>
      </c>
      <c r="F16800" s="23" t="str">
        <f>HYPERLINK("https://www.spark-marketing.ru/Card/Lot/71350525", "Услуги по организации горячим питанием")</f>
        <v>Услуги по организации горячим питанием</v>
      </c>
      <c r="G16800" s="22" t="s">
        <v>241</v>
      </c>
      <c r="H16800" s="22" t="s">
        <v>21938</v>
      </c>
      <c r="I16800" s="26">
        <v>43630.5222222222</v>
      </c>
      <c r="J16800" s="28" t="s">
        <v>51</v>
      </c>
      <c r="K16800" s="28" t="s">
        <v>51</v>
      </c>
      <c r="L16800" s="28" t="s">
        <v>51</v>
      </c>
      <c r="M16800" s="28" t="s">
        <v>51</v>
      </c>
      <c r="N16800" s="28" t="s">
        <v>51</v>
      </c>
    </row>
    <row r="16801" spans="1:14" hidden="1" outlineLevel="1" x14ac:dyDescent="0.2">
      <c r="A16801" s="23" t="str">
        <f>HYPERLINK("https://www.spark-marketing.ru/Card/Person/883633", "МБУ ""АХС""")</f>
        <v>МБУ "АХС"</v>
      </c>
      <c r="B16801" s="24" t="s">
        <v>21936</v>
      </c>
      <c r="C16801" s="25">
        <v>497510</v>
      </c>
      <c r="D16801" s="22" t="s">
        <v>21937</v>
      </c>
      <c r="E16801" s="22" t="s">
        <v>48</v>
      </c>
      <c r="F16801" s="23" t="str">
        <f>HYPERLINK("https://www.spark-marketing.ru/Card/Lot/71350525", "Услуги по организации горячим питанием")</f>
        <v>Услуги по организации горячим питанием</v>
      </c>
      <c r="G16801" s="22" t="s">
        <v>241</v>
      </c>
      <c r="H16801" s="22" t="s">
        <v>21938</v>
      </c>
      <c r="I16801" s="26">
        <v>43630.5222222222</v>
      </c>
      <c r="J16801" s="23" t="str">
        <f>HYPERLINK("https://www.spark-marketing.ru/Card/Person/6356748", "Кузнецова Ирина Васильевна")</f>
        <v>Кузнецова Ирина Васильевна</v>
      </c>
      <c r="K16801" s="24" t="s">
        <v>21939</v>
      </c>
      <c r="L16801" s="28" t="s">
        <v>51</v>
      </c>
      <c r="M16801" s="25">
        <v>497510</v>
      </c>
      <c r="N16801" s="27">
        <v>0</v>
      </c>
    </row>
    <row r="16802" spans="1:14" ht="12.75" hidden="1" outlineLevel="1" x14ac:dyDescent="0.2">
      <c r="A16802" s="23" t="str">
        <f>HYPERLINK("https://www.spark-marketing.ru/Card/Person/883633", "МБУ ""АХС""")</f>
        <v>МБУ "АХС"</v>
      </c>
      <c r="B16802" s="24" t="s">
        <v>21936</v>
      </c>
      <c r="C16802" s="25">
        <v>497510</v>
      </c>
      <c r="D16802" s="22" t="s">
        <v>21937</v>
      </c>
      <c r="E16802" s="22" t="s">
        <v>48</v>
      </c>
      <c r="F16802" s="23" t="str">
        <f>HYPERLINK("https://www.spark-marketing.ru/Card/Lot/71350525", "Услуги по организации горячим питанием")</f>
        <v>Услуги по организации горячим питанием</v>
      </c>
      <c r="G16802" s="22" t="s">
        <v>241</v>
      </c>
      <c r="H16802" s="22" t="s">
        <v>21938</v>
      </c>
      <c r="I16802" s="26">
        <v>43630.5222222222</v>
      </c>
      <c r="J16802" s="23" t="str">
        <f>HYPERLINK("https://www.spark-marketing.ru/Card/Person/4849771", "Федоров Егор Маркелович")</f>
        <v>Федоров Егор Маркелович</v>
      </c>
      <c r="K16802" s="24" t="s">
        <v>21940</v>
      </c>
      <c r="L16802" s="22" t="s">
        <v>10</v>
      </c>
      <c r="M16802" s="25">
        <v>495000</v>
      </c>
      <c r="N16802" s="27">
        <v>5.0451247211111333E-3</v>
      </c>
    </row>
    <row r="16803" spans="1:14" x14ac:dyDescent="0.15">
      <c r="A16803" s="23" t="str">
        <f>HYPERLINK("https://www.spark-marketing.ru/Card/Person/651310", "ОТДЕЛЕНИЕ МВД РОССИИ ПО УЛАГАНСКОМУ РАЙОНУ")</f>
        <v>ОТДЕЛЕНИЕ МВД РОССИИ ПО УЛАГАНСКОМУ РАЙОНУ</v>
      </c>
      <c r="B16803" s="24" t="s">
        <v>21928</v>
      </c>
      <c r="C16803" s="25">
        <v>820000</v>
      </c>
      <c r="D16803" s="22" t="s">
        <v>21941</v>
      </c>
      <c r="E16803" s="22" t="s">
        <v>48</v>
      </c>
      <c r="F16803" s="23" t="str">
        <f>HYPERLINK("https://www.spark-marketing.ru/Card/Lot/71356487", "услуги по обеспечению горячим питанием лиц, содержащихся в ИВС")</f>
        <v>услуги по обеспечению горячим питанием лиц, содержащихся в ИВС</v>
      </c>
      <c r="G16803" s="22" t="s">
        <v>1141</v>
      </c>
      <c r="H16803" s="22" t="s">
        <v>21930</v>
      </c>
      <c r="I16803" s="26">
        <v>43630.516666666699</v>
      </c>
      <c r="J16803" s="23" t="str">
        <f>HYPERLINK("https://www.spark-marketing.ru/Card/Person/6498847", "Ядомыков Андрей Петрович")</f>
        <v>Ядомыков Андрей Петрович</v>
      </c>
      <c r="K16803" s="24" t="s">
        <v>21931</v>
      </c>
      <c r="L16803" s="22" t="s">
        <v>10</v>
      </c>
      <c r="M16803" s="28" t="s">
        <v>51</v>
      </c>
      <c r="N16803" s="28" t="s">
        <v>51</v>
      </c>
    </row>
    <row r="16804" spans="1:14" x14ac:dyDescent="0.15">
      <c r="A16804" s="23" t="str">
        <f>HYPERLINK("https://www.spark-marketing.ru/Card/Person/91929", "МУ МВД РОССИИ ""СЕРПУХОВСКОЕ""")</f>
        <v>МУ МВД РОССИИ "СЕРПУХОВСКОЕ"</v>
      </c>
      <c r="B16804" s="24" t="s">
        <v>8229</v>
      </c>
      <c r="C16804" s="25">
        <v>151280</v>
      </c>
      <c r="D16804" s="22" t="s">
        <v>21942</v>
      </c>
      <c r="E16804" s="22" t="s">
        <v>48</v>
      </c>
      <c r="F16804" s="23" t="str">
        <f>HYPERLINK("https://www.spark-marketing.ru/Card/Lot/71367294", "Оказание услуг по питанию граждан, находящихся в ИВС МУ МВД России «Серпуховское».")</f>
        <v>Оказание услуг по питанию граждан, находящихся в ИВС МУ МВД России «Серпуховское».</v>
      </c>
      <c r="G16804" s="22" t="s">
        <v>49</v>
      </c>
      <c r="H16804" s="22" t="s">
        <v>8231</v>
      </c>
      <c r="I16804" s="26">
        <v>43630.507638888899</v>
      </c>
      <c r="J16804" s="28" t="s">
        <v>51</v>
      </c>
      <c r="K16804" s="28" t="s">
        <v>51</v>
      </c>
      <c r="L16804" s="28" t="s">
        <v>51</v>
      </c>
      <c r="M16804" s="28" t="s">
        <v>51</v>
      </c>
      <c r="N16804" s="28" t="s">
        <v>51</v>
      </c>
    </row>
    <row r="16805" spans="1:14" x14ac:dyDescent="0.2">
      <c r="A16805" s="23" t="str">
        <f>HYPERLINK("https://www.spark-marketing.ru/Card/Person/1450425", "МАДОУ ""ДЕТСКИЙ САД № 6 ""СОЛНЫШКО""")</f>
        <v>МАДОУ "ДЕТСКИЙ САД № 6 "СОЛНЫШКО"</v>
      </c>
      <c r="B16805" s="24" t="s">
        <v>21943</v>
      </c>
      <c r="C16805" s="25">
        <v>11447280</v>
      </c>
      <c r="D16805" s="22" t="s">
        <v>21944</v>
      </c>
      <c r="E16805" s="22" t="s">
        <v>362</v>
      </c>
      <c r="F16805" s="23" t="str">
        <f>HYPERLINK("https://www.spark-marketing.ru/Card/Lot/71361367", "Оказание услуги по организации питания")</f>
        <v>Оказание услуги по организации питания</v>
      </c>
      <c r="G16805" s="22" t="s">
        <v>153</v>
      </c>
      <c r="H16805" s="22" t="s">
        <v>153</v>
      </c>
      <c r="I16805" s="26">
        <v>43630.530787037002</v>
      </c>
      <c r="J16805" s="28" t="s">
        <v>51</v>
      </c>
      <c r="K16805" s="28" t="s">
        <v>51</v>
      </c>
      <c r="L16805" s="22" t="s">
        <v>10</v>
      </c>
      <c r="M16805" s="25">
        <v>11447280</v>
      </c>
      <c r="N16805" s="27">
        <v>0</v>
      </c>
    </row>
    <row r="16806" spans="1:14" x14ac:dyDescent="0.2">
      <c r="A16806" s="23" t="str">
        <f>HYPERLINK("https://www.spark-marketing.ru/Card/Person/1759897", "МАОУ СОШ № 36")</f>
        <v>МАОУ СОШ № 36</v>
      </c>
      <c r="B16806" s="24" t="s">
        <v>21945</v>
      </c>
      <c r="C16806" s="25">
        <v>1800060</v>
      </c>
      <c r="D16806" s="22" t="s">
        <v>21946</v>
      </c>
      <c r="E16806" s="22" t="s">
        <v>362</v>
      </c>
      <c r="F16806" s="23" t="str">
        <f>HYPERLINK("https://www.spark-marketing.ru/Card/Lot/71361452", "Оказание услуг по организации питания обучающихся в МАОУ СОШ №36")</f>
        <v>Оказание услуг по организации питания обучающихся в МАОУ СОШ №36</v>
      </c>
      <c r="G16806" s="22" t="s">
        <v>1370</v>
      </c>
      <c r="H16806" s="22" t="s">
        <v>1370</v>
      </c>
      <c r="I16806" s="26">
        <v>43630.5253703704</v>
      </c>
      <c r="J16806" s="28" t="s">
        <v>51</v>
      </c>
      <c r="K16806" s="28" t="s">
        <v>51</v>
      </c>
      <c r="L16806" s="22" t="s">
        <v>10</v>
      </c>
      <c r="M16806" s="25">
        <v>1800060</v>
      </c>
      <c r="N16806" s="27">
        <v>0</v>
      </c>
    </row>
    <row r="16807" spans="1:14" x14ac:dyDescent="0.15">
      <c r="A16807" s="23" t="str">
        <f>HYPERLINK("https://www.spark-marketing.ru/Card/Person/379605", "ОТД МВД РОССИИ ПО КАСТОРЕНСКОМУ РАЙОНУ")</f>
        <v>ОТД МВД РОССИИ ПО КАСТОРЕНСКОМУ РАЙОНУ</v>
      </c>
      <c r="B16807" s="24" t="s">
        <v>15916</v>
      </c>
      <c r="C16807" s="25">
        <v>100000</v>
      </c>
      <c r="D16807" s="22" t="s">
        <v>21947</v>
      </c>
      <c r="E16807" s="22" t="s">
        <v>48</v>
      </c>
      <c r="F16807" s="23" t="str">
        <f>HYPERLINK("https://www.spark-marketing.ru/Card/Lot/71361663", "Услуги по доставке горячего питания (завтрак, обед, ужин), 770 усл. ед")</f>
        <v>Услуги по доставке горячего питания (завтрак, обед, ужин), 770 усл. ед</v>
      </c>
      <c r="G16807" s="22" t="s">
        <v>1111</v>
      </c>
      <c r="H16807" s="22" t="s">
        <v>15918</v>
      </c>
      <c r="I16807" s="26">
        <v>43630.531724537002</v>
      </c>
      <c r="J16807" s="28" t="s">
        <v>51</v>
      </c>
      <c r="K16807" s="28" t="s">
        <v>51</v>
      </c>
      <c r="L16807" s="28" t="s">
        <v>51</v>
      </c>
      <c r="M16807" s="28" t="s">
        <v>51</v>
      </c>
      <c r="N16807" s="28" t="s">
        <v>51</v>
      </c>
    </row>
    <row r="16808" spans="1:14" x14ac:dyDescent="0.15">
      <c r="A16808" s="23" t="str">
        <f>HYPERLINK("https://www.spark-marketing.ru/Card/Person/115477", "ОМВД РОССИИ ПО НЕРЮНГРИНСКОМУ РАЙОНУ")</f>
        <v>ОМВД РОССИИ ПО НЕРЮНГРИНСКОМУ РАЙОНУ</v>
      </c>
      <c r="B16808" s="24" t="s">
        <v>743</v>
      </c>
      <c r="C16808" s="25">
        <v>280000</v>
      </c>
      <c r="D16808" s="22" t="s">
        <v>21948</v>
      </c>
      <c r="E16808" s="22" t="s">
        <v>48</v>
      </c>
      <c r="F16808" s="23" t="str">
        <f>HYPERLINK("https://www.spark-marketing.ru/Card/Lot/71351392", "Питание ИВС")</f>
        <v>Питание ИВС</v>
      </c>
      <c r="G16808" s="22" t="s">
        <v>241</v>
      </c>
      <c r="H16808" s="22" t="s">
        <v>745</v>
      </c>
      <c r="I16808" s="26">
        <v>43630.534027777801</v>
      </c>
      <c r="J16808" s="23" t="str">
        <f>HYPERLINK("https://www.spark-marketing.ru/Card/Person/461343", "ООО ""АЗИЯ""")</f>
        <v>ООО "АЗИЯ"</v>
      </c>
      <c r="K16808" s="24" t="s">
        <v>21949</v>
      </c>
      <c r="L16808" s="22" t="s">
        <v>10</v>
      </c>
      <c r="M16808" s="28" t="s">
        <v>51</v>
      </c>
      <c r="N16808" s="28" t="s">
        <v>51</v>
      </c>
    </row>
    <row r="16809" spans="1:14" x14ac:dyDescent="0.15">
      <c r="A16809" s="23" t="str">
        <f>HYPERLINK("https://www.spark-marketing.ru/Card/Person/89221", "ОТДЕЛ МВД РОССИИ ПО ТЕМРЮКСКОМУ РАЙОНУ")</f>
        <v>ОТДЕЛ МВД РОССИИ ПО ТЕМРЮКСКОМУ РАЙОНУ</v>
      </c>
      <c r="B16809" s="24" t="s">
        <v>9450</v>
      </c>
      <c r="C16809" s="25">
        <v>546362.5</v>
      </c>
      <c r="D16809" s="22" t="s">
        <v>21950</v>
      </c>
      <c r="E16809" s="22" t="s">
        <v>48</v>
      </c>
      <c r="F16809" s="23" t="str">
        <f>HYPERLINK("https://www.spark-marketing.ru/Card/Lot/71367656", "питание ивс")</f>
        <v>питание ивс</v>
      </c>
      <c r="G16809" s="22" t="s">
        <v>104</v>
      </c>
      <c r="H16809" s="22" t="s">
        <v>1269</v>
      </c>
      <c r="I16809" s="26">
        <v>43630.500694444403</v>
      </c>
      <c r="J16809" s="28" t="s">
        <v>51</v>
      </c>
      <c r="K16809" s="28" t="s">
        <v>51</v>
      </c>
      <c r="L16809" s="28" t="s">
        <v>51</v>
      </c>
      <c r="M16809" s="28" t="s">
        <v>51</v>
      </c>
      <c r="N16809" s="28" t="s">
        <v>51</v>
      </c>
    </row>
    <row r="16810" spans="1:14" hidden="1" outlineLevel="1" x14ac:dyDescent="0.2">
      <c r="A16810" s="23" t="str">
        <f>HYPERLINK("https://www.spark-marketing.ru/Card/Person/89221", "ОТДЕЛ МВД РОССИИ ПО ТЕМРЮКСКОМУ РАЙОНУ")</f>
        <v>ОТДЕЛ МВД РОССИИ ПО ТЕМРЮКСКОМУ РАЙОНУ</v>
      </c>
      <c r="B16810" s="24" t="s">
        <v>9450</v>
      </c>
      <c r="C16810" s="25">
        <v>546362.5</v>
      </c>
      <c r="D16810" s="22" t="s">
        <v>21950</v>
      </c>
      <c r="E16810" s="22" t="s">
        <v>48</v>
      </c>
      <c r="F16810" s="23" t="str">
        <f>HYPERLINK("https://www.spark-marketing.ru/Card/Lot/71367656", "питание ивс")</f>
        <v>питание ивс</v>
      </c>
      <c r="G16810" s="22" t="s">
        <v>104</v>
      </c>
      <c r="H16810" s="22" t="s">
        <v>1269</v>
      </c>
      <c r="I16810" s="26">
        <v>43630.500694444403</v>
      </c>
      <c r="J16810" s="23" t="str">
        <f>HYPERLINK("https://www.spark-marketing.ru/Card/Person/6384277", "Сенченко Нина Владимировна")</f>
        <v>Сенченко Нина Владимировна</v>
      </c>
      <c r="K16810" s="24" t="s">
        <v>6723</v>
      </c>
      <c r="L16810" s="28" t="s">
        <v>51</v>
      </c>
      <c r="M16810" s="25">
        <v>483062.11</v>
      </c>
      <c r="N16810" s="27">
        <v>0.11585785993731268</v>
      </c>
    </row>
    <row r="16811" spans="1:14" ht="12.75" hidden="1" outlineLevel="1" x14ac:dyDescent="0.2">
      <c r="A16811" s="23" t="str">
        <f>HYPERLINK("https://www.spark-marketing.ru/Card/Person/89221", "ОТДЕЛ МВД РОССИИ ПО ТЕМРЮКСКОМУ РАЙОНУ")</f>
        <v>ОТДЕЛ МВД РОССИИ ПО ТЕМРЮКСКОМУ РАЙОНУ</v>
      </c>
      <c r="B16811" s="24" t="s">
        <v>9450</v>
      </c>
      <c r="C16811" s="25">
        <v>546362.5</v>
      </c>
      <c r="D16811" s="22" t="s">
        <v>21950</v>
      </c>
      <c r="E16811" s="22" t="s">
        <v>48</v>
      </c>
      <c r="F16811" s="23" t="str">
        <f>HYPERLINK("https://www.spark-marketing.ru/Card/Lot/71367656", "питание ивс")</f>
        <v>питание ивс</v>
      </c>
      <c r="G16811" s="22" t="s">
        <v>104</v>
      </c>
      <c r="H16811" s="22" t="s">
        <v>1269</v>
      </c>
      <c r="I16811" s="26">
        <v>43630.500694444403</v>
      </c>
      <c r="J16811" s="23" t="str">
        <f>HYPERLINK("https://www.spark-marketing.ru/Card/Person/1173571", "Бондарчук Анна Валериевна")</f>
        <v>Бондарчук Анна Валериевна</v>
      </c>
      <c r="K16811" s="24" t="s">
        <v>9452</v>
      </c>
      <c r="L16811" s="22" t="s">
        <v>10</v>
      </c>
      <c r="M16811" s="25">
        <v>480330.3</v>
      </c>
      <c r="N16811" s="27">
        <v>0.120857855361596</v>
      </c>
    </row>
    <row r="16812" spans="1:14" x14ac:dyDescent="0.15">
      <c r="A16812" s="23" t="str">
        <f>HYPERLINK("https://www.spark-marketing.ru/Card/Person/91929", "МУ МВД РОССИИ ""СЕРПУХОВСКОЕ""")</f>
        <v>МУ МВД РОССИИ "СЕРПУХОВСКОЕ"</v>
      </c>
      <c r="B16812" s="24" t="s">
        <v>8229</v>
      </c>
      <c r="C16812" s="25">
        <v>30490</v>
      </c>
      <c r="D16812" s="22" t="s">
        <v>21951</v>
      </c>
      <c r="E16812" s="22" t="s">
        <v>48</v>
      </c>
      <c r="F16812" s="23" t="str">
        <f>HYPERLINK("https://www.spark-marketing.ru/Card/Lot/71366236", "Оказание услуг по питанию граждан, находящихся в ИВС МУ МВД России «Серпуховское».")</f>
        <v>Оказание услуг по питанию граждан, находящихся в ИВС МУ МВД России «Серпуховское».</v>
      </c>
      <c r="G16812" s="22" t="s">
        <v>49</v>
      </c>
      <c r="H16812" s="22" t="s">
        <v>8231</v>
      </c>
      <c r="I16812" s="26">
        <v>43630.508333333302</v>
      </c>
      <c r="J16812" s="28" t="s">
        <v>51</v>
      </c>
      <c r="K16812" s="28" t="s">
        <v>51</v>
      </c>
      <c r="L16812" s="28" t="s">
        <v>51</v>
      </c>
      <c r="M16812" s="28" t="s">
        <v>51</v>
      </c>
      <c r="N16812" s="28" t="s">
        <v>51</v>
      </c>
    </row>
    <row r="16813" spans="1:14" x14ac:dyDescent="0.2">
      <c r="A16813" s="23" t="str">
        <f>HYPERLINK("https://www.spark-marketing.ru/Card/Person/1291982", "МАУ Г.О. САМАРА ""ОЛИМП""")</f>
        <v>МАУ Г.О. САМАРА "ОЛИМП"</v>
      </c>
      <c r="B16813" s="24" t="s">
        <v>9554</v>
      </c>
      <c r="C16813" s="25">
        <v>2651292</v>
      </c>
      <c r="D16813" s="22" t="s">
        <v>21952</v>
      </c>
      <c r="E16813" s="22" t="s">
        <v>580</v>
      </c>
      <c r="F16813" s="23" t="str">
        <f>HYPERLINK("https://www.spark-marketing.ru/Card/Lot/71358653", "Услуги по организации питания во время проведения летней оздоровительной кампании (4, 5 и 6 смены)")</f>
        <v>Услуги по организации питания во время проведения летней оздоровительной кампании (4, 5 и 6 смены)</v>
      </c>
      <c r="G16813" s="22" t="s">
        <v>128</v>
      </c>
      <c r="H16813" s="22" t="s">
        <v>128</v>
      </c>
      <c r="I16813" s="26">
        <v>43630.484560185199</v>
      </c>
      <c r="J16813" s="28" t="s">
        <v>51</v>
      </c>
      <c r="K16813" s="28" t="s">
        <v>51</v>
      </c>
      <c r="L16813" s="22" t="s">
        <v>10</v>
      </c>
      <c r="M16813" s="25">
        <v>2647668</v>
      </c>
      <c r="N16813" s="27">
        <v>1.3668807509697159E-3</v>
      </c>
    </row>
    <row r="16814" spans="1:14" x14ac:dyDescent="0.15">
      <c r="A16814" s="23" t="str">
        <f>HYPERLINK("https://www.spark-marketing.ru/Card/Person/651472", "АО ""ЮТЭК-КОГАЛЫМ""")</f>
        <v>АО "ЮТЭК-КОГАЛЫМ"</v>
      </c>
      <c r="B16814" s="24" t="s">
        <v>20611</v>
      </c>
      <c r="C16814" s="25">
        <v>678120</v>
      </c>
      <c r="D16814" s="22" t="s">
        <v>21953</v>
      </c>
      <c r="E16814" s="22" t="s">
        <v>580</v>
      </c>
      <c r="F16814" s="23" t="str">
        <f>HYPERLINK("https://www.spark-marketing.ru/Card/Lot/71355423", "Оказание услуг по организации питания.")</f>
        <v>Оказание услуг по организации питания.</v>
      </c>
      <c r="G16814" s="22" t="s">
        <v>97</v>
      </c>
      <c r="H16814" s="22" t="s">
        <v>97</v>
      </c>
      <c r="I16814" s="26">
        <v>43630.467835648102</v>
      </c>
      <c r="J16814" s="28" t="s">
        <v>51</v>
      </c>
      <c r="K16814" s="28" t="s">
        <v>51</v>
      </c>
      <c r="L16814" s="28" t="s">
        <v>51</v>
      </c>
      <c r="M16814" s="28" t="s">
        <v>51</v>
      </c>
      <c r="N16814" s="28" t="s">
        <v>51</v>
      </c>
    </row>
    <row r="16815" spans="1:14" x14ac:dyDescent="0.15">
      <c r="A16815" s="23" t="str">
        <f>HYPERLINK("https://www.spark-marketing.ru/Card/Person/4343663", "МИНЗДРАВ АЛТАЙСКОГО КРАЯ")</f>
        <v>МИНЗДРАВ АЛТАЙСКОГО КРАЯ</v>
      </c>
      <c r="B16815" s="24" t="s">
        <v>9429</v>
      </c>
      <c r="C16815" s="25">
        <v>100000</v>
      </c>
      <c r="D16815" s="22" t="s">
        <v>21954</v>
      </c>
      <c r="E16815" s="22" t="s">
        <v>336</v>
      </c>
      <c r="F16815" s="23" t="str">
        <f>HYPERLINK("https://www.spark-marketing.ru/Card/Lot/71357316",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815" s="22" t="s">
        <v>63</v>
      </c>
      <c r="H16815" s="22" t="s">
        <v>177</v>
      </c>
      <c r="I16815" s="26">
        <v>43630.460416666698</v>
      </c>
      <c r="J16815" s="28" t="s">
        <v>51</v>
      </c>
      <c r="K16815" s="28" t="s">
        <v>51</v>
      </c>
      <c r="L16815" s="28" t="s">
        <v>51</v>
      </c>
      <c r="M16815" s="28" t="s">
        <v>51</v>
      </c>
      <c r="N16815" s="28" t="s">
        <v>51</v>
      </c>
    </row>
    <row r="16816" spans="1:14" x14ac:dyDescent="0.15">
      <c r="A16816" s="23" t="str">
        <f>HYPERLINK("https://www.spark-marketing.ru/Card/Person/3641", "ГБУЗ НСО ""БАРАБИНСКАЯ ЦРБ""")</f>
        <v>ГБУЗ НСО "БАРАБИНСКАЯ ЦРБ"</v>
      </c>
      <c r="B16816" s="24" t="s">
        <v>21955</v>
      </c>
      <c r="C16816" s="25">
        <v>121963.99</v>
      </c>
      <c r="D16816" s="22" t="s">
        <v>21956</v>
      </c>
      <c r="E16816" s="22" t="s">
        <v>898</v>
      </c>
      <c r="F16816" s="23" t="str">
        <f>HYPERLINK("https://www.spark-marketing.ru/Card/Lot/71352158", "Выполнение работ по установке шлагбаума, прокладке кабеля питания, устройства основания для шлагбаума и поста охраны.")</f>
        <v>Выполнение работ по установке шлагбаума, прокладке кабеля питания, устройства основания для шлагбаума и поста охраны.</v>
      </c>
      <c r="G16816" s="22" t="s">
        <v>195</v>
      </c>
      <c r="H16816" s="22" t="s">
        <v>5648</v>
      </c>
      <c r="I16816" s="26">
        <v>43630.465277777803</v>
      </c>
      <c r="J16816" s="23" t="str">
        <f>HYPERLINK("https://www.spark-marketing.ru/Card/Person/6342482", "ООО НПП ""ИНФОРМСЕРВИС""")</f>
        <v>ООО НПП "ИНФОРМСЕРВИС"</v>
      </c>
      <c r="K16816" s="24" t="s">
        <v>21957</v>
      </c>
      <c r="L16816" s="22" t="s">
        <v>10</v>
      </c>
      <c r="M16816" s="28" t="s">
        <v>51</v>
      </c>
      <c r="N16816" s="28" t="s">
        <v>51</v>
      </c>
    </row>
    <row r="16817" spans="1:14" x14ac:dyDescent="0.15">
      <c r="A16817" s="23" t="str">
        <f>HYPERLINK("https://www.spark-marketing.ru/Card/Person/135606", "ГБУ СШОР № 1 МОСКОВСКОГО РАЙОНА")</f>
        <v>ГБУ СШОР № 1 МОСКОВСКОГО РАЙОНА</v>
      </c>
      <c r="B16817" s="24" t="s">
        <v>1821</v>
      </c>
      <c r="C16817" s="25">
        <v>2116800</v>
      </c>
      <c r="D16817" s="22" t="s">
        <v>21958</v>
      </c>
      <c r="E16817" s="22" t="s">
        <v>374</v>
      </c>
      <c r="F16817" s="23" t="str">
        <f>HYPERLINK("https://www.spark-marketing.ru/Card/Lot/71365599", "Оказание услуг по обеспечению участия занимающихся ГБУ СШОР № 1 Московского района в тренировочных сборах за пределами Санкт-Петербурга с учетом затрат на организацию питания, проживания и предоставления спортивного сооружения для отделения ""Гандбол...")</f>
        <v>Оказание услуг по обеспечению участия занимающихся ГБУ СШОР № 1 Московского района в тренировочных сборах за пределами Санкт-Петербурга с учетом затрат на организацию питания, проживания и предоставления спортивного сооружения для отделения "Гандбол...</v>
      </c>
      <c r="G16817" s="22" t="s">
        <v>117</v>
      </c>
      <c r="H16817" s="22" t="s">
        <v>117</v>
      </c>
      <c r="I16817" s="26">
        <v>43630.463194444397</v>
      </c>
      <c r="J16817" s="23" t="str">
        <f>HYPERLINK("https://www.spark-marketing.ru/Card/Person/1576848", "ООО ""ТФ 1""")</f>
        <v>ООО "ТФ 1"</v>
      </c>
      <c r="K16817" s="24" t="s">
        <v>21959</v>
      </c>
      <c r="L16817" s="22" t="s">
        <v>10</v>
      </c>
      <c r="M16817" s="28" t="s">
        <v>51</v>
      </c>
      <c r="N16817" s="28" t="s">
        <v>51</v>
      </c>
    </row>
    <row r="16818" spans="1:14" ht="12.75" x14ac:dyDescent="0.2">
      <c r="A16818" s="23" t="str">
        <f>HYPERLINK("https://www.spark-marketing.ru/Card/Person/216912", "КГА ПОУ ""СПК""")</f>
        <v>КГА ПОУ "СПК"</v>
      </c>
      <c r="B16818" s="24" t="s">
        <v>2653</v>
      </c>
      <c r="C16818" s="25">
        <v>321400</v>
      </c>
      <c r="D16818" s="22" t="s">
        <v>21960</v>
      </c>
      <c r="E16818" s="22" t="s">
        <v>362</v>
      </c>
      <c r="F16818" s="23" t="str">
        <f>HYPERLINK("https://www.spark-marketing.ru/Card/Lot/71349033", "Оказание услуг по организации питания")</f>
        <v>Оказание услуг по организации питания</v>
      </c>
      <c r="G16818" s="22" t="s">
        <v>543</v>
      </c>
      <c r="H16818" s="22" t="s">
        <v>543</v>
      </c>
      <c r="I16818" s="26">
        <v>43630.471863425897</v>
      </c>
      <c r="J16818" s="23" t="str">
        <f>HYPERLINK("https://www.spark-marketing.ru/Card/Person/6398576", "ООО ""ВЕТЕР ВОСТОКА""")</f>
        <v>ООО "ВЕТЕР ВОСТОКА"</v>
      </c>
      <c r="K16818" s="24" t="s">
        <v>2655</v>
      </c>
      <c r="L16818" s="22" t="s">
        <v>10</v>
      </c>
      <c r="M16818" s="25">
        <v>321400</v>
      </c>
      <c r="N16818" s="27">
        <v>0</v>
      </c>
    </row>
    <row r="16819" spans="1:14" x14ac:dyDescent="0.15">
      <c r="A16819" s="23" t="str">
        <f>HYPERLINK("https://www.spark-marketing.ru/Card/Person/947373", "ОТДЕЛ МВД РОССИИ ПО ПЕТРОВСКОМУ ГОРОДСКОМУ ОКРУГУ")</f>
        <v>ОТДЕЛ МВД РОССИИ ПО ПЕТРОВСКОМУ ГОРОДСКОМУ ОКРУГУ</v>
      </c>
      <c r="B16819" s="24" t="s">
        <v>21961</v>
      </c>
      <c r="C16819" s="25">
        <v>582400</v>
      </c>
      <c r="D16819" s="22" t="s">
        <v>21962</v>
      </c>
      <c r="E16819" s="22" t="s">
        <v>48</v>
      </c>
      <c r="F16819" s="23" t="str">
        <f>HYPERLINK("https://www.spark-marketing.ru/Card/Lot/71365033", "Обеспечение бесперебойным ежедневным трехразовым горячим питанием лиц, содержащихся в изоляторе временного содержания подозреваемых, обвиняемых и административно-задержанных  отдела МВД России по Петровскому городскому округу")</f>
        <v>Обеспечение бесперебойным ежедневным трехразовым горячим питанием лиц, содержащихся в изоляторе временного содержания подозреваемых, обвиняемых и административно-задержанных  отдела МВД России по Петровскому городскому округу</v>
      </c>
      <c r="G16819" s="22" t="s">
        <v>87</v>
      </c>
      <c r="H16819" s="22" t="s">
        <v>87</v>
      </c>
      <c r="I16819" s="26">
        <v>43630.433333333298</v>
      </c>
      <c r="J16819" s="23" t="str">
        <f>HYPERLINK("https://www.spark-marketing.ru/Card/Person/248328", "ПЕТРОВСКИЙ РПС")</f>
        <v>ПЕТРОВСКИЙ РПС</v>
      </c>
      <c r="K16819" s="24" t="s">
        <v>21963</v>
      </c>
      <c r="L16819" s="22" t="s">
        <v>10</v>
      </c>
      <c r="M16819" s="28" t="s">
        <v>51</v>
      </c>
      <c r="N16819" s="28" t="s">
        <v>51</v>
      </c>
    </row>
    <row r="16820" spans="1:14" x14ac:dyDescent="0.15">
      <c r="A16820" s="23" t="str">
        <f>HYPERLINK("https://www.spark-marketing.ru/Card/Person/1478267", "ГАУ ""ЛЕГКОАТЛЕТИЧЕСКИЙ КОМПЛЕКС""")</f>
        <v>ГАУ "ЛЕГКОАТЛЕТИЧЕСКИЙ КОМПЛЕКС"</v>
      </c>
      <c r="B16820" s="24" t="s">
        <v>5160</v>
      </c>
      <c r="C16820" s="25">
        <v>420000</v>
      </c>
      <c r="D16820" s="22" t="s">
        <v>21964</v>
      </c>
      <c r="E16820" s="22" t="s">
        <v>362</v>
      </c>
      <c r="F16820" s="23" t="str">
        <f>HYPERLINK("https://www.spark-marketing.ru/Card/Lot/71356890", "услуги по организации и обслуживанию питанием спортсменов и тренеров в период проведения тренировочных мероприятий в каникулярный период")</f>
        <v>услуги по организации и обслуживанию питанием спортсменов и тренеров в период проведения тренировочных мероприятий в каникулярный период</v>
      </c>
      <c r="G16820" s="22" t="s">
        <v>475</v>
      </c>
      <c r="H16820" s="22" t="s">
        <v>475</v>
      </c>
      <c r="I16820" s="26">
        <v>43630.425428240698</v>
      </c>
      <c r="J16820" s="28" t="s">
        <v>51</v>
      </c>
      <c r="K16820" s="28" t="s">
        <v>51</v>
      </c>
      <c r="L16820" s="28" t="s">
        <v>51</v>
      </c>
      <c r="M16820" s="28" t="s">
        <v>51</v>
      </c>
      <c r="N16820" s="28" t="s">
        <v>51</v>
      </c>
    </row>
    <row r="16821" spans="1:14" x14ac:dyDescent="0.15">
      <c r="A16821" s="23" t="str">
        <f>HYPERLINK("https://www.spark-marketing.ru/Card/Person/64935", "УМВД РОССИИ ПО Г. КУРСКУ")</f>
        <v>УМВД РОССИИ ПО Г. КУРСКУ</v>
      </c>
      <c r="B16821" s="24" t="s">
        <v>1109</v>
      </c>
      <c r="C16821" s="25">
        <v>1920500</v>
      </c>
      <c r="D16821" s="22" t="s">
        <v>21965</v>
      </c>
      <c r="E16821" s="22" t="s">
        <v>96</v>
      </c>
      <c r="F16821" s="23" t="str">
        <f>HYPERLINK("https://www.spark-marketing.ru/Card/Lot/71361271", "Оказание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Курску")</f>
        <v>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</v>
      </c>
      <c r="G16821" s="22" t="s">
        <v>1111</v>
      </c>
      <c r="H16821" s="22" t="s">
        <v>1112</v>
      </c>
      <c r="I16821" s="26">
        <v>43630.452777777798</v>
      </c>
      <c r="J16821" s="23" t="str">
        <f>HYPERLINK("https://www.spark-marketing.ru/Card/Person/148940", "Давыдова Ирина Львовна")</f>
        <v>Давыдова Ирина Львовна</v>
      </c>
      <c r="K16821" s="24" t="s">
        <v>7524</v>
      </c>
      <c r="L16821" s="22" t="s">
        <v>10</v>
      </c>
      <c r="M16821" s="28" t="s">
        <v>51</v>
      </c>
      <c r="N16821" s="28" t="s">
        <v>51</v>
      </c>
    </row>
    <row r="16822" spans="1:14" x14ac:dyDescent="0.15">
      <c r="A16822" s="23" t="str">
        <f>HYPERLINK("https://www.spark-marketing.ru/Card/Person/905066", "КГБУ ДО ""АЛТАЙСКИЙ КРАЕВОЙ ДЕТСКИЙ ЭКОЛОГИЧЕСКИЙ ЦЕНТР""")</f>
        <v>КГБУ ДО "АЛТАЙСКИЙ КРАЕВОЙ ДЕТСКИЙ ЭКОЛОГИЧЕСКИЙ ЦЕНТР"</v>
      </c>
      <c r="B16822" s="24" t="s">
        <v>10003</v>
      </c>
      <c r="C16822" s="25">
        <v>4108.37</v>
      </c>
      <c r="D16822" s="22" t="s">
        <v>21966</v>
      </c>
      <c r="E16822" s="22" t="s">
        <v>21967</v>
      </c>
      <c r="F16822" s="23" t="str">
        <f>HYPERLINK("https://www.spark-marketing.ru/Card/Lot/71355976",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6822" s="22" t="s">
        <v>63</v>
      </c>
      <c r="H16822" s="22" t="s">
        <v>177</v>
      </c>
      <c r="I16822" s="26">
        <v>43630.443055555603</v>
      </c>
      <c r="J16822" s="28" t="s">
        <v>51</v>
      </c>
      <c r="K16822" s="28" t="s">
        <v>51</v>
      </c>
      <c r="L16822" s="28" t="s">
        <v>51</v>
      </c>
      <c r="M16822" s="28" t="s">
        <v>51</v>
      </c>
      <c r="N16822" s="28" t="s">
        <v>51</v>
      </c>
    </row>
    <row r="16823" spans="1:14" x14ac:dyDescent="0.15">
      <c r="A16823" s="23" t="str">
        <f>HYPERLINK("https://www.spark-marketing.ru/Card/Person/4343663", "МИНЗДРАВ АЛТАЙСКОГО КРАЯ")</f>
        <v>МИНЗДРАВ АЛТАЙСКОГО КРАЯ</v>
      </c>
      <c r="B16823" s="24" t="s">
        <v>9429</v>
      </c>
      <c r="C16823" s="25">
        <v>96000</v>
      </c>
      <c r="D16823" s="22" t="s">
        <v>21968</v>
      </c>
      <c r="E16823" s="22" t="s">
        <v>336</v>
      </c>
      <c r="F16823" s="23" t="str">
        <f>HYPERLINK("https://www.spark-marketing.ru/Card/Lot/71355981", "Товары, работы или услуги на сумму, не превышающую 100 тыс. руб. (п.4 ч.1 ст.93 Федерального закона №44-ФЗ)")</f>
        <v>Товары, работы или услуги на сумму, не превышающую 100 тыс. руб. (п.4 ч.1 ст.93 Федерального закона №44-ФЗ)</v>
      </c>
      <c r="G16823" s="22" t="s">
        <v>63</v>
      </c>
      <c r="H16823" s="22" t="s">
        <v>177</v>
      </c>
      <c r="I16823" s="26">
        <v>43630.444444444402</v>
      </c>
      <c r="J16823" s="28" t="s">
        <v>51</v>
      </c>
      <c r="K16823" s="28" t="s">
        <v>51</v>
      </c>
      <c r="L16823" s="28" t="s">
        <v>51</v>
      </c>
      <c r="M16823" s="28" t="s">
        <v>51</v>
      </c>
      <c r="N16823" s="28" t="s">
        <v>51</v>
      </c>
    </row>
    <row r="16824" spans="1:14" x14ac:dyDescent="0.15">
      <c r="A16824" s="23" t="str">
        <f>HYPERLINK("https://www.spark-marketing.ru/Card/Person/91858", "МБОУ РАЗВИЛКОВСКАЯ СРЕДНЯЯ ОБЩЕОБРАЗОВАТЕЛЬНАЯ ШКОЛА С УГЛУБЛЕННЫМ ИЗУЧЕНИЕМ ОТДЕЛЬНЫХ ПРЕДМЕТОВ")</f>
        <v>МБОУ РАЗВИЛКОВСКАЯ СРЕДНЯЯ ОБЩЕОБРАЗОВАТЕЛЬНАЯ ШКОЛА С УГЛУБЛЕННЫМ ИЗУЧЕНИЕМ ОТДЕЛЬНЫХ ПРЕДМЕТОВ</v>
      </c>
      <c r="B16824" s="24" t="s">
        <v>21969</v>
      </c>
      <c r="C16824" s="25">
        <v>378000</v>
      </c>
      <c r="D16824" s="22" t="s">
        <v>21970</v>
      </c>
      <c r="E16824" s="22" t="s">
        <v>48</v>
      </c>
      <c r="F16824" s="23" t="str">
        <f>HYPERLINK("https://www.spark-marketing.ru/Card/Lot/71357057", "Услуги по организации питания участников районного бала выпускников")</f>
        <v>Услуги по организации питания участников районного бала выпускников</v>
      </c>
      <c r="G16824" s="22" t="s">
        <v>49</v>
      </c>
      <c r="H16824" s="22" t="s">
        <v>654</v>
      </c>
      <c r="I16824" s="26">
        <v>43630.440578703703</v>
      </c>
      <c r="J16824" s="28" t="s">
        <v>51</v>
      </c>
      <c r="K16824" s="28" t="s">
        <v>51</v>
      </c>
      <c r="L16824" s="28" t="s">
        <v>51</v>
      </c>
      <c r="M16824" s="28" t="s">
        <v>51</v>
      </c>
      <c r="N16824" s="28" t="s">
        <v>51</v>
      </c>
    </row>
    <row r="16825" spans="1:14" x14ac:dyDescent="0.15">
      <c r="A16825" s="23" t="str">
        <f>HYPERLINK("https://www.spark-marketing.ru/Card/Person/947373", "ОТДЕЛ МВД РОССИИ ПО ПЕТРОВСКОМУ ГОРОДСКОМУ ОКРУГУ")</f>
        <v>ОТДЕЛ МВД РОССИИ ПО ПЕТРОВСКОМУ ГОРОДСКОМУ ОКРУГУ</v>
      </c>
      <c r="B16825" s="24" t="s">
        <v>21961</v>
      </c>
      <c r="C16825" s="25">
        <v>1456000</v>
      </c>
      <c r="D16825" s="22" t="s">
        <v>21971</v>
      </c>
      <c r="E16825" s="22" t="s">
        <v>48</v>
      </c>
      <c r="F16825" s="23" t="str">
        <f>HYPERLINK("https://www.spark-marketing.ru/Card/Lot/71361152", "Обеспечение бесперебойным ежедневным трехразовым горячим питанием лиц, арестованных в административном порядке, содержащихся в Специальном приемнике  отдела МВД России по Петровскому городскому округу")</f>
        <v>Обеспечение бесперебойным ежедневным трехразовым горячим питанием лиц, арестованных в административном порядке, содержащихся в Специальном приемнике  отдела МВД России по Петровскому городскому округу</v>
      </c>
      <c r="G16825" s="22" t="s">
        <v>87</v>
      </c>
      <c r="H16825" s="22" t="s">
        <v>87</v>
      </c>
      <c r="I16825" s="26">
        <v>43630.4506944444</v>
      </c>
      <c r="J16825" s="23" t="str">
        <f>HYPERLINK("https://www.spark-marketing.ru/Card/Person/248328", "ПЕТРОВСКИЙ РПС")</f>
        <v>ПЕТРОВСКИЙ РПС</v>
      </c>
      <c r="K16825" s="24" t="s">
        <v>21963</v>
      </c>
      <c r="L16825" s="22" t="s">
        <v>10</v>
      </c>
      <c r="M16825" s="28" t="s">
        <v>51</v>
      </c>
      <c r="N16825" s="28" t="s">
        <v>51</v>
      </c>
    </row>
    <row r="16826" spans="1:14" x14ac:dyDescent="0.15">
      <c r="A16826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826" s="24" t="s">
        <v>3255</v>
      </c>
      <c r="C16826" s="25">
        <v>151354</v>
      </c>
      <c r="D16826" s="22" t="s">
        <v>21972</v>
      </c>
      <c r="E16826" s="22" t="s">
        <v>52</v>
      </c>
      <c r="F16826" s="23" t="str">
        <f>HYPERLINK("https://www.spark-marketing.ru/Card/Lot/71349136", "Поставка лекарственного препарата для медицинского применения ""Моксонидин""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п...")</f>
        <v>Поставка лекарственного препарата для медицинского применения "Моксонидин"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</v>
      </c>
      <c r="G16826" s="22" t="s">
        <v>210</v>
      </c>
      <c r="H16826" s="22" t="s">
        <v>3257</v>
      </c>
      <c r="I16826" s="26">
        <v>43630.431944444397</v>
      </c>
      <c r="J16826" s="28" t="s">
        <v>51</v>
      </c>
      <c r="K16826" s="28" t="s">
        <v>51</v>
      </c>
      <c r="L16826" s="28" t="s">
        <v>51</v>
      </c>
      <c r="M16826" s="28" t="s">
        <v>51</v>
      </c>
      <c r="N16826" s="28" t="s">
        <v>51</v>
      </c>
    </row>
    <row r="16827" spans="1:14" ht="12.75" hidden="1" outlineLevel="1" x14ac:dyDescent="0.2">
      <c r="A16827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827" s="24" t="s">
        <v>3255</v>
      </c>
      <c r="C16827" s="25">
        <v>151354</v>
      </c>
      <c r="D16827" s="22" t="s">
        <v>21972</v>
      </c>
      <c r="E16827" s="22" t="s">
        <v>52</v>
      </c>
      <c r="F16827" s="23" t="str">
        <f>HYPERLINK("https://www.spark-marketing.ru/Card/Lot/71349136", "Поставка лекарственного препарата для медицинского применения ""Моксонидин""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п...")</f>
        <v>Поставка лекарственного препарата для медицинского применения "Моксонидин"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</v>
      </c>
      <c r="G16827" s="22" t="s">
        <v>210</v>
      </c>
      <c r="H16827" s="22" t="s">
        <v>3257</v>
      </c>
      <c r="I16827" s="26">
        <v>43630.431944444397</v>
      </c>
      <c r="J16827" s="23" t="str">
        <f>HYPERLINK("https://www.spark-marketing.ru/Card/Person/42360", "ООО ""КОСМОФАРМ""")</f>
        <v>ООО "КОСМОФАРМ"</v>
      </c>
      <c r="K16827" s="24" t="s">
        <v>21973</v>
      </c>
      <c r="L16827" s="22" t="s">
        <v>10</v>
      </c>
      <c r="M16827" s="25">
        <v>119569.66</v>
      </c>
      <c r="N16827" s="27">
        <v>0.21</v>
      </c>
    </row>
    <row r="16828" spans="1:14" hidden="1" outlineLevel="1" x14ac:dyDescent="0.2">
      <c r="A16828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828" s="24" t="s">
        <v>3255</v>
      </c>
      <c r="C16828" s="25">
        <v>151354</v>
      </c>
      <c r="D16828" s="22" t="s">
        <v>21972</v>
      </c>
      <c r="E16828" s="22" t="s">
        <v>52</v>
      </c>
      <c r="F16828" s="23" t="str">
        <f>HYPERLINK("https://www.spark-marketing.ru/Card/Lot/71349136", "Поставка лекарственного препарата для медицинского применения ""Моксонидин""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п...")</f>
        <v>Поставка лекарственного препарата для медицинского применения "Моксонидин"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</v>
      </c>
      <c r="G16828" s="22" t="s">
        <v>210</v>
      </c>
      <c r="H16828" s="22" t="s">
        <v>3257</v>
      </c>
      <c r="I16828" s="26">
        <v>43630.431944444397</v>
      </c>
      <c r="J16828" s="23" t="str">
        <f>HYPERLINK("https://www.spark-marketing.ru/Card/Person/4354560", "ООО ""НАДЕЖДА-ФАРМ""")</f>
        <v>ООО "НАДЕЖДА-ФАРМ"</v>
      </c>
      <c r="K16828" s="24" t="s">
        <v>15644</v>
      </c>
      <c r="L16828" s="28" t="s">
        <v>51</v>
      </c>
      <c r="M16828" s="25">
        <v>120326</v>
      </c>
      <c r="N16828" s="27">
        <v>0.20500284102171068</v>
      </c>
    </row>
    <row r="16829" spans="1:14" x14ac:dyDescent="0.15">
      <c r="A16829" s="23" t="str">
        <f>HYPERLINK("https://www.spark-marketing.ru/Card/Person/25266", "ГБУЗ ПК ""ОЧЕРСКАЯ ЦРБ""")</f>
        <v>ГБУЗ ПК "ОЧЕРСКАЯ ЦРБ"</v>
      </c>
      <c r="B16829" s="24" t="s">
        <v>678</v>
      </c>
      <c r="C16829" s="25">
        <v>499928</v>
      </c>
      <c r="D16829" s="22" t="s">
        <v>21974</v>
      </c>
      <c r="E16829" s="22" t="s">
        <v>96</v>
      </c>
      <c r="F16829" s="23" t="str">
        <f>HYPERLINK("https://www.spark-marketing.ru/Card/Lot/71355630", "услуги по организации питания")</f>
        <v>услуги по организации питания</v>
      </c>
      <c r="G16829" s="22" t="s">
        <v>153</v>
      </c>
      <c r="H16829" s="22" t="s">
        <v>153</v>
      </c>
      <c r="I16829" s="26">
        <v>43630.451388888898</v>
      </c>
      <c r="J16829" s="23" t="str">
        <f>HYPERLINK("https://www.spark-marketing.ru/Card/Person/38488", "Бурдина Елена Дмитриевна")</f>
        <v>Бурдина Елена Дмитриевна</v>
      </c>
      <c r="K16829" s="24" t="s">
        <v>11680</v>
      </c>
      <c r="L16829" s="22" t="s">
        <v>10</v>
      </c>
      <c r="M16829" s="28" t="s">
        <v>51</v>
      </c>
      <c r="N16829" s="28" t="s">
        <v>51</v>
      </c>
    </row>
    <row r="16830" spans="1:14" x14ac:dyDescent="0.15">
      <c r="A16830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830" s="24" t="s">
        <v>3255</v>
      </c>
      <c r="C16830" s="25">
        <v>19728</v>
      </c>
      <c r="D16830" s="22" t="s">
        <v>21975</v>
      </c>
      <c r="E16830" s="22" t="s">
        <v>9540</v>
      </c>
      <c r="F16830" s="23" t="str">
        <f>HYPERLINK("https://www.spark-marketing.ru/Card/Lot/71355241", "Поставка лекарственного препарата для медицинского применения «Тестостерон (смесь эфиров)»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специал...")</f>
        <v>Поставка лекарственного препарата для медицинского применения «Тестостерон (смесь эфиров)»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специал...</v>
      </c>
      <c r="G16830" s="22" t="s">
        <v>210</v>
      </c>
      <c r="H16830" s="22" t="s">
        <v>3257</v>
      </c>
      <c r="I16830" s="26">
        <v>43630.409722222197</v>
      </c>
      <c r="J16830" s="28" t="s">
        <v>51</v>
      </c>
      <c r="K16830" s="28" t="s">
        <v>51</v>
      </c>
      <c r="L16830" s="28" t="s">
        <v>51</v>
      </c>
      <c r="M16830" s="28" t="s">
        <v>51</v>
      </c>
      <c r="N16830" s="28" t="s">
        <v>51</v>
      </c>
    </row>
    <row r="16831" spans="1:14" x14ac:dyDescent="0.15">
      <c r="A16831" s="23" t="str">
        <f>HYPERLINK("https://www.spark-marketing.ru/Card/Person/83319", "ФКУ ДПО МУЦ ГУФСИН РОССИИ ПО ИРКУТСКОЙ ОБЛАСТИ")</f>
        <v>ФКУ ДПО МУЦ ГУФСИН РОССИИ ПО ИРКУТСКОЙ ОБЛАСТИ</v>
      </c>
      <c r="B16831" s="24" t="s">
        <v>13694</v>
      </c>
      <c r="C16831" s="25">
        <v>2549209.67</v>
      </c>
      <c r="D16831" s="22" t="s">
        <v>21976</v>
      </c>
      <c r="E16831" s="22" t="s">
        <v>48</v>
      </c>
      <c r="F16831" s="23" t="str">
        <f>HYPERLINK("https://www.spark-marketing.ru/Card/Lot/71349953", "Услуги по обеспечению питанием")</f>
        <v>Услуги по обеспечению питанием</v>
      </c>
      <c r="G16831" s="22" t="s">
        <v>263</v>
      </c>
      <c r="H16831" s="22" t="s">
        <v>263</v>
      </c>
      <c r="I16831" s="26">
        <v>43630.40625</v>
      </c>
      <c r="J16831" s="28" t="s">
        <v>51</v>
      </c>
      <c r="K16831" s="28" t="s">
        <v>51</v>
      </c>
      <c r="L16831" s="28" t="s">
        <v>51</v>
      </c>
      <c r="M16831" s="28" t="s">
        <v>51</v>
      </c>
      <c r="N16831" s="28" t="s">
        <v>51</v>
      </c>
    </row>
    <row r="16832" spans="1:14" x14ac:dyDescent="0.15">
      <c r="A16832" s="23" t="str">
        <f>HYPERLINK("https://www.spark-marketing.ru/Card/Person/996661", "ФКУ УК ГУФСИН РОССИИ ПО ИРКУТСКОЙ ОБЛАСТИ")</f>
        <v>ФКУ УК ГУФСИН РОССИИ ПО ИРКУТСКОЙ ОБЛАСТИ</v>
      </c>
      <c r="B16832" s="24" t="s">
        <v>2892</v>
      </c>
      <c r="C16832" s="25">
        <v>357753.26</v>
      </c>
      <c r="D16832" s="22" t="s">
        <v>21977</v>
      </c>
      <c r="E16832" s="22" t="s">
        <v>18315</v>
      </c>
      <c r="F16832" s="23" t="str">
        <f>HYPERLINK("https://www.spark-marketing.ru/Card/Lot/71349898", "Прочая закупка товаров, работ и услуг (МЯСО+РЫБА ДБФ)")</f>
        <v>Прочая закупка товаров, работ и услуг (МЯСО+РЫБА ДБФ)</v>
      </c>
      <c r="G16832" s="22" t="s">
        <v>263</v>
      </c>
      <c r="H16832" s="22" t="s">
        <v>2768</v>
      </c>
      <c r="I16832" s="26">
        <v>43630.409027777801</v>
      </c>
      <c r="J16832" s="28" t="s">
        <v>51</v>
      </c>
      <c r="K16832" s="28" t="s">
        <v>51</v>
      </c>
      <c r="L16832" s="28" t="s">
        <v>51</v>
      </c>
      <c r="M16832" s="28" t="s">
        <v>51</v>
      </c>
      <c r="N16832" s="28" t="s">
        <v>51</v>
      </c>
    </row>
    <row r="16833" spans="1:14" x14ac:dyDescent="0.15">
      <c r="A16833" s="23" t="str">
        <f>HYPERLINK("https://www.spark-marketing.ru/Card/Person/31158", "МБОУ КУТУЗОВСКАЯ ШКОЛА-ИНТЕРНАТ")</f>
        <v>МБОУ КУТУЗОВСКАЯ ШКОЛА-ИНТЕРНАТ</v>
      </c>
      <c r="B16833" s="24" t="s">
        <v>21978</v>
      </c>
      <c r="C16833" s="25">
        <v>2866048.64</v>
      </c>
      <c r="D16833" s="22" t="s">
        <v>21979</v>
      </c>
      <c r="E16833" s="22" t="s">
        <v>48</v>
      </c>
      <c r="F16833" s="23" t="str">
        <f>HYPERLINK("https://www.spark-marketing.ru/Card/Lot/71365695", "Оказание услуг по обеспечению питанием обучающихся, предоставляемые операторами предприятий общественного питания")</f>
        <v>Оказание услуг по обеспечению питанием обучающихся, предоставляемые операторами предприятий общественного питания</v>
      </c>
      <c r="G16833" s="22" t="s">
        <v>49</v>
      </c>
      <c r="H16833" s="22" t="s">
        <v>5231</v>
      </c>
      <c r="I16833" s="26">
        <v>43630.407638888901</v>
      </c>
      <c r="J16833" s="23" t="str">
        <f>HYPERLINK("https://www.spark-marketing.ru/Card/Person/62688", "МУП ""ДОМОДЕДОВСКИЙ КОМБИНАТ ПИТАНИЯ""")</f>
        <v>МУП "ДОМОДЕДОВСКИЙ КОМБИНАТ ПИТАНИЯ"</v>
      </c>
      <c r="K16833" s="24" t="s">
        <v>3955</v>
      </c>
      <c r="L16833" s="22" t="s">
        <v>10</v>
      </c>
      <c r="M16833" s="28" t="s">
        <v>51</v>
      </c>
      <c r="N16833" s="28" t="s">
        <v>51</v>
      </c>
    </row>
    <row r="16834" spans="1:14" ht="12.75" x14ac:dyDescent="0.2">
      <c r="A16834" s="23" t="str">
        <f>HYPERLINK("https://www.spark-marketing.ru/Card/Person/37295", "КОГБУЗ ""ДАРОВСКАЯ ЦРБ""")</f>
        <v>КОГБУЗ "ДАРОВСКАЯ ЦРБ"</v>
      </c>
      <c r="B16834" s="24" t="s">
        <v>21980</v>
      </c>
      <c r="C16834" s="25">
        <v>4522140</v>
      </c>
      <c r="D16834" s="22" t="s">
        <v>21981</v>
      </c>
      <c r="E16834" s="22" t="s">
        <v>96</v>
      </c>
      <c r="F16834" s="23" t="str">
        <f>HYPERLINK("https://www.spark-marketing.ru/Card/Lot/71358679", "Оказание услуг по приготовлению и передаче ежедневного лечебного горячего питания для снабжения больных стационара")</f>
        <v>Оказание услуг по приготовлению и передаче ежедневного лечебного горячего питания для снабжения больных стационара</v>
      </c>
      <c r="G16834" s="22" t="s">
        <v>224</v>
      </c>
      <c r="H16834" s="22" t="s">
        <v>21982</v>
      </c>
      <c r="I16834" s="26">
        <v>43630.384722222203</v>
      </c>
      <c r="J16834" s="23" t="str">
        <f>HYPERLINK("https://www.spark-marketing.ru/Card/Person/51950", "ООО ""ЗДОРОВОЕ ПИТАНИЕ""")</f>
        <v>ООО "ЗДОРОВОЕ ПИТАНИЕ"</v>
      </c>
      <c r="K16834" s="24" t="s">
        <v>2336</v>
      </c>
      <c r="L16834" s="22" t="s">
        <v>10</v>
      </c>
      <c r="M16834" s="25">
        <v>4522140</v>
      </c>
      <c r="N16834" s="27">
        <v>0</v>
      </c>
    </row>
    <row r="16835" spans="1:14" x14ac:dyDescent="0.15">
      <c r="A16835" s="23" t="str">
        <f>HYPERLINK("https://www.spark-marketing.ru/Card/Person/176670", "ОМВД РОССИИ ПО ВАНИНСКОМУ РАЙОНУ")</f>
        <v>ОМВД РОССИИ ПО ВАНИНСКОМУ РАЙОНУ</v>
      </c>
      <c r="B16835" s="24" t="s">
        <v>20224</v>
      </c>
      <c r="C16835" s="25">
        <v>745393.65</v>
      </c>
      <c r="D16835" s="22" t="s">
        <v>21983</v>
      </c>
      <c r="E16835" s="22" t="s">
        <v>96</v>
      </c>
      <c r="F16835" s="23" t="str">
        <f>HYPERLINK("https://www.spark-marketing.ru/Card/Lot/71347505", "Прочая закупка товаров, работ и услуг (услуги по организации питания арестованных в ИВС ОМВД РФ)")</f>
        <v>Прочая закупка товаров, работ и услуг (услуги по организации питания арестованных в ИВС ОМВД РФ)</v>
      </c>
      <c r="G16835" s="22" t="s">
        <v>1096</v>
      </c>
      <c r="H16835" s="22" t="s">
        <v>20226</v>
      </c>
      <c r="I16835" s="26">
        <v>43630.386805555601</v>
      </c>
      <c r="J16835" s="23" t="str">
        <f>HYPERLINK("https://www.spark-marketing.ru/Card/Person/222268", "Маилова Ольга Владимировна")</f>
        <v>Маилова Ольга Владимировна</v>
      </c>
      <c r="K16835" s="24" t="s">
        <v>20227</v>
      </c>
      <c r="L16835" s="22" t="s">
        <v>10</v>
      </c>
      <c r="M16835" s="28" t="s">
        <v>51</v>
      </c>
      <c r="N16835" s="28" t="s">
        <v>51</v>
      </c>
    </row>
    <row r="16836" spans="1:14" x14ac:dyDescent="0.15">
      <c r="A16836" s="23" t="str">
        <f t="shared" ref="A16836:A16841" si="573">HYPERLINK("https://www.spark-marketing.ru/Card/Person/70492", "ГБУ РМЭ ""ПОЛИКЛИНИКА № 2 Г. ЙОШКАР-ОЛЫ""")</f>
        <v>ГБУ РМЭ "ПОЛИКЛИНИКА № 2 Г. ЙОШКАР-ОЛЫ"</v>
      </c>
      <c r="B16836" s="24" t="s">
        <v>21984</v>
      </c>
      <c r="C16836" s="25">
        <v>450000</v>
      </c>
      <c r="D16836" s="22" t="s">
        <v>21985</v>
      </c>
      <c r="E16836" s="22" t="s">
        <v>91</v>
      </c>
      <c r="F16836" s="23" t="str">
        <f t="shared" ref="F16836:F16841" si="574">HYPERLINK("https://www.spark-marketing.ru/Card/Lot/71356438", "Оказание услуг по заправке и восстановлению картриджей и техническому обслуживанию офисной техники в течение 2019 года")</f>
        <v>Оказание услуг по заправке и восстановлению картриджей и техническому обслуживанию офисной техники в течение 2019 года</v>
      </c>
      <c r="G16836" s="22" t="s">
        <v>3249</v>
      </c>
      <c r="H16836" s="22" t="s">
        <v>3249</v>
      </c>
      <c r="I16836" s="26">
        <v>43630.392361111102</v>
      </c>
      <c r="J16836" s="28" t="s">
        <v>51</v>
      </c>
      <c r="K16836" s="28" t="s">
        <v>51</v>
      </c>
      <c r="L16836" s="28" t="s">
        <v>51</v>
      </c>
      <c r="M16836" s="28" t="s">
        <v>51</v>
      </c>
      <c r="N16836" s="28" t="s">
        <v>51</v>
      </c>
    </row>
    <row r="16837" spans="1:14" ht="12.75" hidden="1" outlineLevel="1" x14ac:dyDescent="0.2">
      <c r="A16837" s="23" t="str">
        <f t="shared" si="573"/>
        <v>ГБУ РМЭ "ПОЛИКЛИНИКА № 2 Г. ЙОШКАР-ОЛЫ"</v>
      </c>
      <c r="B16837" s="24" t="s">
        <v>21984</v>
      </c>
      <c r="C16837" s="25">
        <v>450000</v>
      </c>
      <c r="D16837" s="22" t="s">
        <v>21985</v>
      </c>
      <c r="E16837" s="22" t="s">
        <v>91</v>
      </c>
      <c r="F16837" s="23" t="str">
        <f t="shared" si="574"/>
        <v>Оказание услуг по заправке и восстановлению картриджей и техническому обслуживанию офисной техники в течение 2019 года</v>
      </c>
      <c r="G16837" s="22" t="s">
        <v>3249</v>
      </c>
      <c r="H16837" s="22" t="s">
        <v>3249</v>
      </c>
      <c r="I16837" s="26">
        <v>43630.392361111102</v>
      </c>
      <c r="J16837" s="23" t="str">
        <f>HYPERLINK("https://www.spark-marketing.ru/Card/Person/160406", "ООО ""АШ""")</f>
        <v>ООО "АШ"</v>
      </c>
      <c r="K16837" s="24" t="s">
        <v>14699</v>
      </c>
      <c r="L16837" s="22" t="s">
        <v>10</v>
      </c>
      <c r="M16837" s="25">
        <v>14074.16</v>
      </c>
      <c r="N16837" s="27">
        <v>0.96872408888888883</v>
      </c>
    </row>
    <row r="16838" spans="1:14" hidden="1" outlineLevel="1" x14ac:dyDescent="0.2">
      <c r="A16838" s="23" t="str">
        <f t="shared" si="573"/>
        <v>ГБУ РМЭ "ПОЛИКЛИНИКА № 2 Г. ЙОШКАР-ОЛЫ"</v>
      </c>
      <c r="B16838" s="24" t="s">
        <v>21984</v>
      </c>
      <c r="C16838" s="25">
        <v>450000</v>
      </c>
      <c r="D16838" s="22" t="s">
        <v>21985</v>
      </c>
      <c r="E16838" s="22" t="s">
        <v>91</v>
      </c>
      <c r="F16838" s="23" t="str">
        <f t="shared" si="574"/>
        <v>Оказание услуг по заправке и восстановлению картриджей и техническому обслуживанию офисной техники в течение 2019 года</v>
      </c>
      <c r="G16838" s="22" t="s">
        <v>3249</v>
      </c>
      <c r="H16838" s="22" t="s">
        <v>3249</v>
      </c>
      <c r="I16838" s="26">
        <v>43630.392361111102</v>
      </c>
      <c r="J16838" s="23" t="str">
        <f>HYPERLINK("https://www.spark-marketing.ru/Card/Person/193341", "ООО ""ЦЕНТР СОПРОВОЖДЕНИЯ 1С-РАРУС ЙОШКАР-ОЛА""")</f>
        <v>ООО "ЦЕНТР СОПРОВОЖДЕНИЯ 1С-РАРУС ЙОШКАР-ОЛА"</v>
      </c>
      <c r="K16838" s="24" t="s">
        <v>21986</v>
      </c>
      <c r="L16838" s="28" t="s">
        <v>51</v>
      </c>
      <c r="M16838" s="25">
        <v>26000</v>
      </c>
      <c r="N16838" s="27">
        <v>0.94222222222222218</v>
      </c>
    </row>
    <row r="16839" spans="1:14" hidden="1" outlineLevel="1" x14ac:dyDescent="0.2">
      <c r="A16839" s="23" t="str">
        <f t="shared" si="573"/>
        <v>ГБУ РМЭ "ПОЛИКЛИНИКА № 2 Г. ЙОШКАР-ОЛЫ"</v>
      </c>
      <c r="B16839" s="24" t="s">
        <v>21984</v>
      </c>
      <c r="C16839" s="25">
        <v>450000</v>
      </c>
      <c r="D16839" s="22" t="s">
        <v>21985</v>
      </c>
      <c r="E16839" s="22" t="s">
        <v>91</v>
      </c>
      <c r="F16839" s="23" t="str">
        <f t="shared" si="574"/>
        <v>Оказание услуг по заправке и восстановлению картриджей и техническому обслуживанию офисной техники в течение 2019 года</v>
      </c>
      <c r="G16839" s="22" t="s">
        <v>3249</v>
      </c>
      <c r="H16839" s="22" t="s">
        <v>3249</v>
      </c>
      <c r="I16839" s="26">
        <v>43630.392361111102</v>
      </c>
      <c r="J16839" s="23" t="str">
        <f>HYPERLINK("https://www.spark-marketing.ru/Card/Person/6501784", "Котов Владимир Алевтинович")</f>
        <v>Котов Владимир Алевтинович</v>
      </c>
      <c r="K16839" s="24" t="s">
        <v>21987</v>
      </c>
      <c r="L16839" s="28" t="s">
        <v>51</v>
      </c>
      <c r="M16839" s="25">
        <v>14217.78</v>
      </c>
      <c r="N16839" s="27">
        <v>0.96840493333333333</v>
      </c>
    </row>
    <row r="16840" spans="1:14" hidden="1" outlineLevel="1" x14ac:dyDescent="0.2">
      <c r="A16840" s="23" t="str">
        <f t="shared" si="573"/>
        <v>ГБУ РМЭ "ПОЛИКЛИНИКА № 2 Г. ЙОШКАР-ОЛЫ"</v>
      </c>
      <c r="B16840" s="24" t="s">
        <v>21984</v>
      </c>
      <c r="C16840" s="25">
        <v>450000</v>
      </c>
      <c r="D16840" s="22" t="s">
        <v>21985</v>
      </c>
      <c r="E16840" s="22" t="s">
        <v>91</v>
      </c>
      <c r="F16840" s="23" t="str">
        <f t="shared" si="574"/>
        <v>Оказание услуг по заправке и восстановлению картриджей и техническому обслуживанию офисной техники в течение 2019 года</v>
      </c>
      <c r="G16840" s="22" t="s">
        <v>3249</v>
      </c>
      <c r="H16840" s="22" t="s">
        <v>3249</v>
      </c>
      <c r="I16840" s="26">
        <v>43630.392361111102</v>
      </c>
      <c r="J16840" s="23" t="str">
        <f>HYPERLINK("https://www.spark-marketing.ru/Card/Person/192913", "Столяров Андрей Игоревич")</f>
        <v>Столяров Андрей Игоревич</v>
      </c>
      <c r="K16840" s="24" t="s">
        <v>21988</v>
      </c>
      <c r="L16840" s="28" t="s">
        <v>51</v>
      </c>
      <c r="M16840" s="25">
        <v>14074.16</v>
      </c>
      <c r="N16840" s="27">
        <v>0.96872408888888883</v>
      </c>
    </row>
    <row r="16841" spans="1:14" hidden="1" outlineLevel="1" x14ac:dyDescent="0.2">
      <c r="A16841" s="23" t="str">
        <f t="shared" si="573"/>
        <v>ГБУ РМЭ "ПОЛИКЛИНИКА № 2 Г. ЙОШКАР-ОЛЫ"</v>
      </c>
      <c r="B16841" s="24" t="s">
        <v>21984</v>
      </c>
      <c r="C16841" s="25">
        <v>450000</v>
      </c>
      <c r="D16841" s="22" t="s">
        <v>21985</v>
      </c>
      <c r="E16841" s="22" t="s">
        <v>91</v>
      </c>
      <c r="F16841" s="23" t="str">
        <f t="shared" si="574"/>
        <v>Оказание услуг по заправке и восстановлению картриджей и техническому обслуживанию офисной техники в течение 2019 года</v>
      </c>
      <c r="G16841" s="22" t="s">
        <v>3249</v>
      </c>
      <c r="H16841" s="22" t="s">
        <v>3249</v>
      </c>
      <c r="I16841" s="26">
        <v>43630.392361111102</v>
      </c>
      <c r="J16841" s="23" t="str">
        <f>HYPERLINK("https://www.spark-marketing.ru/Card/Person/632840", "Ураков Алексей Сергеевич")</f>
        <v>Ураков Алексей Сергеевич</v>
      </c>
      <c r="K16841" s="24" t="s">
        <v>21989</v>
      </c>
      <c r="L16841" s="28" t="s">
        <v>51</v>
      </c>
      <c r="M16841" s="25">
        <v>24127.53</v>
      </c>
      <c r="N16841" s="27">
        <v>0.94638326666666661</v>
      </c>
    </row>
    <row r="16842" spans="1:14" x14ac:dyDescent="0.15">
      <c r="A16842" s="23" t="str">
        <f>HYPERLINK("https://www.spark-marketing.ru/Card/Person/123933", "МО МВД РОССИИ ""МОГОЧИНСКИЙ""")</f>
        <v>МО МВД РОССИИ "МОГОЧИНСКИЙ"</v>
      </c>
      <c r="B16842" s="24" t="s">
        <v>21990</v>
      </c>
      <c r="C16842" s="25">
        <v>2976020</v>
      </c>
      <c r="D16842" s="22" t="s">
        <v>21991</v>
      </c>
      <c r="E16842" s="22" t="s">
        <v>96</v>
      </c>
      <c r="F16842" s="23" t="str">
        <f>HYPERLINK("https://www.spark-marketing.ru/Card/Lot/71347760", "оказание услуг по приготовлению и поставке горячего трехразового питания для лиц содержащихся в ИВС МО МВД России ""Могочинский""")</f>
        <v>оказание услуг по приготовлению и поставке горячего трехразового питания для лиц содержащихся в ИВС МО МВД России "Могочинский"</v>
      </c>
      <c r="G16842" s="22" t="s">
        <v>228</v>
      </c>
      <c r="H16842" s="22" t="s">
        <v>228</v>
      </c>
      <c r="I16842" s="26">
        <v>43630.360416666699</v>
      </c>
      <c r="J16842" s="23" t="str">
        <f>HYPERLINK("https://www.spark-marketing.ru/Card/Person/977833", "Орлова Галина Юрьевна")</f>
        <v>Орлова Галина Юрьевна</v>
      </c>
      <c r="K16842" s="24" t="s">
        <v>21992</v>
      </c>
      <c r="L16842" s="22" t="s">
        <v>10</v>
      </c>
      <c r="M16842" s="28" t="s">
        <v>51</v>
      </c>
      <c r="N16842" s="28" t="s">
        <v>51</v>
      </c>
    </row>
    <row r="16843" spans="1:14" x14ac:dyDescent="0.15">
      <c r="A16843" s="23" t="str">
        <f>HYPERLINK("https://www.spark-marketing.ru/Card/Person/5848391", "ОТДЕЛЕНИЕ МВД РОССИИ ПО ШЕБАЛИНСКОМУ РАЙОНУ")</f>
        <v>ОТДЕЛЕНИЕ МВД РОССИИ ПО ШЕБАЛИНСКОМУ РАЙОНУ</v>
      </c>
      <c r="B16843" s="24" t="s">
        <v>21993</v>
      </c>
      <c r="C16843" s="25">
        <v>330000</v>
      </c>
      <c r="D16843" s="22" t="s">
        <v>21994</v>
      </c>
      <c r="E16843" s="22" t="s">
        <v>51</v>
      </c>
      <c r="F16843" s="23" t="str">
        <f>HYPERLINK("https://www.spark-marketing.ru/Card/Lot/71349156", "Оказание услуг по обеспечению комплексным горячим питанием, лиц содержащихся в Отделении Министерства внутренних дел Российской Федерации по Шебалинскому району")</f>
        <v>Оказание услуг по обеспечению комплексным горячим питанием, лиц содержащихся в Отделении Министерства внутренних дел Российской Федерации по Шебалинскому району</v>
      </c>
      <c r="G16843" s="22" t="s">
        <v>1141</v>
      </c>
      <c r="H16843" s="22" t="s">
        <v>4563</v>
      </c>
      <c r="I16843" s="26">
        <v>43630.354861111096</v>
      </c>
      <c r="J16843" s="23" t="str">
        <f>HYPERLINK("https://www.spark-marketing.ru/Card/Person/6498851", "Казанцева Екатерина Маюровна")</f>
        <v>Казанцева Екатерина Маюровна</v>
      </c>
      <c r="K16843" s="24" t="s">
        <v>21995</v>
      </c>
      <c r="L16843" s="22" t="s">
        <v>10</v>
      </c>
      <c r="M16843" s="28" t="s">
        <v>51</v>
      </c>
      <c r="N16843" s="28" t="s">
        <v>51</v>
      </c>
    </row>
    <row r="16844" spans="1:14" x14ac:dyDescent="0.15">
      <c r="A16844" s="23" t="str">
        <f>HYPERLINK("https://www.spark-marketing.ru/Card/Person/641402", "МО МВД РОССИИ ""АКШИНСКИЙ""")</f>
        <v>МО МВД РОССИИ "АКШИНСКИЙ"</v>
      </c>
      <c r="B16844" s="24" t="s">
        <v>21996</v>
      </c>
      <c r="C16844" s="25">
        <v>1013656</v>
      </c>
      <c r="D16844" s="22" t="s">
        <v>21997</v>
      </c>
      <c r="E16844" s="22" t="s">
        <v>48</v>
      </c>
      <c r="F16844" s="23" t="str">
        <f>HYPERLINK("https://www.spark-marketing.ru/Card/Lot/71347750", "Услуги по приготовлению и доставке завтраков, обедов, ужинов для лиц содержащихся в ИВС и КСЗЛ ОП по Кыринскому району МО МВД России ""Акшинский""")</f>
        <v>Услуги по приготовлению и доставке завтраков, обедов, ужинов для лиц содержащихся в ИВС и КСЗЛ ОП по Кыринскому району МО МВД России "Акшинский"</v>
      </c>
      <c r="G16844" s="22" t="s">
        <v>228</v>
      </c>
      <c r="H16844" s="22" t="s">
        <v>21998</v>
      </c>
      <c r="I16844" s="26">
        <v>43630.3618055556</v>
      </c>
      <c r="J16844" s="23" t="str">
        <f>HYPERLINK("https://www.spark-marketing.ru/Card/Person/6029352", "Лисина Марина Валерьевна")</f>
        <v>Лисина Марина Валерьевна</v>
      </c>
      <c r="K16844" s="24" t="s">
        <v>21999</v>
      </c>
      <c r="L16844" s="22" t="s">
        <v>10</v>
      </c>
      <c r="M16844" s="28" t="s">
        <v>51</v>
      </c>
      <c r="N16844" s="28" t="s">
        <v>51</v>
      </c>
    </row>
    <row r="16845" spans="1:14" x14ac:dyDescent="0.15">
      <c r="A16845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845" s="24" t="s">
        <v>3255</v>
      </c>
      <c r="C16845" s="25">
        <v>37500</v>
      </c>
      <c r="D16845" s="22" t="s">
        <v>22000</v>
      </c>
      <c r="E16845" s="22" t="s">
        <v>9540</v>
      </c>
      <c r="F16845" s="23" t="str">
        <f>HYPERLINK("https://www.spark-marketing.ru/Card/Lot/71353176", "Поставка лекарственного препарата для медицинского применения «Лозартан»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проду...")</f>
        <v>Поставка лекарственного препарата для медицинского применения «Лозартан»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проду...</v>
      </c>
      <c r="G16845" s="22" t="s">
        <v>210</v>
      </c>
      <c r="H16845" s="22" t="s">
        <v>3257</v>
      </c>
      <c r="I16845" s="26">
        <v>43630.359027777798</v>
      </c>
      <c r="J16845" s="28" t="s">
        <v>51</v>
      </c>
      <c r="K16845" s="28" t="s">
        <v>51</v>
      </c>
      <c r="L16845" s="28" t="s">
        <v>51</v>
      </c>
      <c r="M16845" s="28" t="s">
        <v>51</v>
      </c>
      <c r="N16845" s="28" t="s">
        <v>51</v>
      </c>
    </row>
    <row r="16846" spans="1:14" x14ac:dyDescent="0.15">
      <c r="A16846" s="23" t="str">
        <f>HYPERLINK("https://www.spark-marketing.ru/Card/Person/641402", "МО МВД РОССИИ ""АКШИНСКИЙ""")</f>
        <v>МО МВД РОССИИ "АКШИНСКИЙ"</v>
      </c>
      <c r="B16846" s="24" t="s">
        <v>21996</v>
      </c>
      <c r="C16846" s="25">
        <v>1267070</v>
      </c>
      <c r="D16846" s="22" t="s">
        <v>22001</v>
      </c>
      <c r="E16846" s="22" t="s">
        <v>48</v>
      </c>
      <c r="F16846" s="23" t="str">
        <f>HYPERLINK("https://www.spark-marketing.ru/Card/Lot/71347751", "Услуги по приготовлению и доставке завтраков, обедов, ужинов для лиц содержащихся в ИВС и КСЗЛ МО МВД России ""Акшинский""")</f>
        <v>Услуги по приготовлению и доставке завтраков, обедов, ужинов для лиц содержащихся в ИВС и КСЗЛ МО МВД России "Акшинский"</v>
      </c>
      <c r="G16846" s="22" t="s">
        <v>228</v>
      </c>
      <c r="H16846" s="22" t="s">
        <v>22002</v>
      </c>
      <c r="I16846" s="26">
        <v>43630.364583333299</v>
      </c>
      <c r="J16846" s="23" t="str">
        <f>HYPERLINK("https://www.spark-marketing.ru/Card/Person/5805820", "Стремецкая Татьяна Гавриловна")</f>
        <v>Стремецкая Татьяна Гавриловна</v>
      </c>
      <c r="K16846" s="24" t="s">
        <v>22003</v>
      </c>
      <c r="L16846" s="22" t="s">
        <v>10</v>
      </c>
      <c r="M16846" s="28" t="s">
        <v>51</v>
      </c>
      <c r="N16846" s="28" t="s">
        <v>51</v>
      </c>
    </row>
    <row r="16847" spans="1:14" x14ac:dyDescent="0.15">
      <c r="A16847" s="23" t="str">
        <f>HYPERLINK("https://www.spark-marketing.ru/Card/Person/6019", "ГБУСО МО ""КОМПЛЕКСНЫЙ ЦЕНТР СОЦИАЛЬНОГО ОБСЛУЖИВАНИЯ И РЕАБИЛИТАЦИИ ""ОПТИМИСТ""")</f>
        <v>ГБУСО МО "КОМПЛЕКСНЫЙ ЦЕНТР СОЦИАЛЬНОГО ОБСЛУЖИВАНИЯ И РЕАБИЛИТАЦИИ "ОПТИМИСТ"</v>
      </c>
      <c r="B16847" s="24" t="s">
        <v>22004</v>
      </c>
      <c r="C16847" s="25">
        <v>1117593.75</v>
      </c>
      <c r="D16847" s="22" t="s">
        <v>22005</v>
      </c>
      <c r="E16847" s="22" t="s">
        <v>48</v>
      </c>
      <c r="F16847" s="23" t="str">
        <f>HYPERLINK("https://www.spark-marketing.ru/Card/Lot/71356379", "Услуги по организации горячего питания")</f>
        <v>Услуги по организации горячего питания</v>
      </c>
      <c r="G16847" s="22" t="s">
        <v>49</v>
      </c>
      <c r="H16847" s="22" t="s">
        <v>1185</v>
      </c>
      <c r="I16847" s="26">
        <v>43630.363194444399</v>
      </c>
      <c r="J16847" s="28" t="s">
        <v>51</v>
      </c>
      <c r="K16847" s="28" t="s">
        <v>51</v>
      </c>
      <c r="L16847" s="28" t="s">
        <v>51</v>
      </c>
      <c r="M16847" s="28" t="s">
        <v>51</v>
      </c>
      <c r="N16847" s="28" t="s">
        <v>51</v>
      </c>
    </row>
    <row r="16848" spans="1:14" hidden="1" outlineLevel="1" x14ac:dyDescent="0.2">
      <c r="A16848" s="23" t="str">
        <f>HYPERLINK("https://www.spark-marketing.ru/Card/Person/6019", "ГБУСО МО ""КОМПЛЕКСНЫЙ ЦЕНТР СОЦИАЛЬНОГО ОБСЛУЖИВАНИЯ И РЕАБИЛИТАЦИИ ""ОПТИМИСТ""")</f>
        <v>ГБУСО МО "КОМПЛЕКСНЫЙ ЦЕНТР СОЦИАЛЬНОГО ОБСЛУЖИВАНИЯ И РЕАБИЛИТАЦИИ "ОПТИМИСТ"</v>
      </c>
      <c r="B16848" s="24" t="s">
        <v>22004</v>
      </c>
      <c r="C16848" s="25">
        <v>1117593.75</v>
      </c>
      <c r="D16848" s="22" t="s">
        <v>22005</v>
      </c>
      <c r="E16848" s="22" t="s">
        <v>48</v>
      </c>
      <c r="F16848" s="23" t="str">
        <f>HYPERLINK("https://www.spark-marketing.ru/Card/Lot/71356379", "Услуги по организации горячего питания")</f>
        <v>Услуги по организации горячего питания</v>
      </c>
      <c r="G16848" s="22" t="s">
        <v>49</v>
      </c>
      <c r="H16848" s="22" t="s">
        <v>1185</v>
      </c>
      <c r="I16848" s="26">
        <v>43630.363194444399</v>
      </c>
      <c r="J16848" s="23" t="str">
        <f>HYPERLINK("https://www.spark-marketing.ru/Card/Person/6621660", "ООО ""ХОРОШО""")</f>
        <v>ООО "ХОРОШО"</v>
      </c>
      <c r="K16848" s="24" t="s">
        <v>22006</v>
      </c>
      <c r="L16848" s="28" t="s">
        <v>51</v>
      </c>
      <c r="M16848" s="25">
        <v>877311.06</v>
      </c>
      <c r="N16848" s="27">
        <v>0.21500003019880881</v>
      </c>
    </row>
    <row r="16849" spans="1:14" ht="12.75" hidden="1" outlineLevel="1" x14ac:dyDescent="0.2">
      <c r="A16849" s="23" t="str">
        <f>HYPERLINK("https://www.spark-marketing.ru/Card/Person/6019", "ГБУСО МО ""КОМПЛЕКСНЫЙ ЦЕНТР СОЦИАЛЬНОГО ОБСЛУЖИВАНИЯ И РЕАБИЛИТАЦИИ ""ОПТИМИСТ""")</f>
        <v>ГБУСО МО "КОМПЛЕКСНЫЙ ЦЕНТР СОЦИАЛЬНОГО ОБСЛУЖИВАНИЯ И РЕАБИЛИТАЦИИ "ОПТИМИСТ"</v>
      </c>
      <c r="B16849" s="24" t="s">
        <v>22004</v>
      </c>
      <c r="C16849" s="25">
        <v>1117593.75</v>
      </c>
      <c r="D16849" s="22" t="s">
        <v>22005</v>
      </c>
      <c r="E16849" s="22" t="s">
        <v>48</v>
      </c>
      <c r="F16849" s="23" t="str">
        <f>HYPERLINK("https://www.spark-marketing.ru/Card/Lot/71356379", "Услуги по организации горячего питания")</f>
        <v>Услуги по организации горячего питания</v>
      </c>
      <c r="G16849" s="22" t="s">
        <v>49</v>
      </c>
      <c r="H16849" s="22" t="s">
        <v>1185</v>
      </c>
      <c r="I16849" s="26">
        <v>43630.363194444399</v>
      </c>
      <c r="J16849" s="23" t="str">
        <f>HYPERLINK("https://www.spark-marketing.ru/Card/Person/84484", "ООО ""ДЕЛЬФИН-СЕРВИС СБ""")</f>
        <v>ООО "ДЕЛЬФИН-СЕРВИС СБ"</v>
      </c>
      <c r="K16849" s="24" t="s">
        <v>15264</v>
      </c>
      <c r="L16849" s="22" t="s">
        <v>10</v>
      </c>
      <c r="M16849" s="25">
        <v>871723.09</v>
      </c>
      <c r="N16849" s="27">
        <v>0.22000003131728321</v>
      </c>
    </row>
    <row r="16850" spans="1:14" hidden="1" outlineLevel="1" x14ac:dyDescent="0.2">
      <c r="A16850" s="23" t="str">
        <f>HYPERLINK("https://www.spark-marketing.ru/Card/Person/6019", "ГБУСО МО ""КОМПЛЕКСНЫЙ ЦЕНТР СОЦИАЛЬНОГО ОБСЛУЖИВАНИЯ И РЕАБИЛИТАЦИИ ""ОПТИМИСТ""")</f>
        <v>ГБУСО МО "КОМПЛЕКСНЫЙ ЦЕНТР СОЦИАЛЬНОГО ОБСЛУЖИВАНИЯ И РЕАБИЛИТАЦИИ "ОПТИМИСТ"</v>
      </c>
      <c r="B16850" s="24" t="s">
        <v>22004</v>
      </c>
      <c r="C16850" s="25">
        <v>1117593.75</v>
      </c>
      <c r="D16850" s="22" t="s">
        <v>22005</v>
      </c>
      <c r="E16850" s="22" t="s">
        <v>48</v>
      </c>
      <c r="F16850" s="23" t="str">
        <f>HYPERLINK("https://www.spark-marketing.ru/Card/Lot/71356379", "Услуги по организации горячего питания")</f>
        <v>Услуги по организации горячего питания</v>
      </c>
      <c r="G16850" s="22" t="s">
        <v>49</v>
      </c>
      <c r="H16850" s="22" t="s">
        <v>1185</v>
      </c>
      <c r="I16850" s="26">
        <v>43630.363194444399</v>
      </c>
      <c r="J16850" s="23" t="str">
        <f>HYPERLINK("https://www.spark-marketing.ru/Card/Person/4052353", "ООО ""ЕВРОКОР""")</f>
        <v>ООО "ЕВРОКОР"</v>
      </c>
      <c r="K16850" s="24" t="s">
        <v>9698</v>
      </c>
      <c r="L16850" s="28" t="s">
        <v>51</v>
      </c>
      <c r="M16850" s="25">
        <v>916426.85</v>
      </c>
      <c r="N16850" s="27">
        <v>0.18000002236948801</v>
      </c>
    </row>
    <row r="16851" spans="1:14" x14ac:dyDescent="0.15">
      <c r="A16851" s="23" t="str">
        <f>HYPERLINK("https://www.spark-marketing.ru/Card/Person/5049", "КГБСУСО ""ТЮМЕНЦЕВСКИЙ ДЕТСКИЙ ПСИХОНЕВРОЛОГИЧЕСКИЙ ИНТЕРНАТ""")</f>
        <v>КГБСУСО "ТЮМЕНЦЕВСКИЙ ДЕТСКИЙ ПСИХОНЕВРОЛОГИЧЕСКИЙ ИНТЕРНАТ"</v>
      </c>
      <c r="B16851" s="24" t="s">
        <v>22007</v>
      </c>
      <c r="C16851" s="25">
        <v>30900</v>
      </c>
      <c r="D16851" s="22" t="s">
        <v>22008</v>
      </c>
      <c r="E16851" s="22" t="s">
        <v>10075</v>
      </c>
      <c r="F16851" s="23" t="str">
        <f>HYPERLINK("https://www.spark-marketing.ru/Card/Lot/71351788", "Товары, работы или услуги на сумму, не превышающие 100 тыс. руб. (п.4 ч.1 ст.93 44-ФЗ)")</f>
        <v>Товары, работы или услуги на сумму, не превышающие 100 тыс. руб. (п.4 ч.1 ст.93 44-ФЗ)</v>
      </c>
      <c r="G16851" s="22" t="s">
        <v>63</v>
      </c>
      <c r="H16851" s="22" t="s">
        <v>22009</v>
      </c>
      <c r="I16851" s="26">
        <v>43630.311805555597</v>
      </c>
      <c r="J16851" s="28" t="s">
        <v>51</v>
      </c>
      <c r="K16851" s="28" t="s">
        <v>51</v>
      </c>
      <c r="L16851" s="28" t="s">
        <v>51</v>
      </c>
      <c r="M16851" s="28" t="s">
        <v>51</v>
      </c>
      <c r="N16851" s="28" t="s">
        <v>51</v>
      </c>
    </row>
    <row r="16852" spans="1:14" x14ac:dyDescent="0.15">
      <c r="A16852" s="23" t="str">
        <f>HYPERLINK("https://www.spark-marketing.ru/Card/Person/905066", "КГБУ ДО ""АЛТАЙСКИЙ КРАЕВОЙ ДЕТСКИЙ ЭКОЛОГИЧЕСКИЙ ЦЕНТР""")</f>
        <v>КГБУ ДО "АЛТАЙСКИЙ КРАЕВОЙ ДЕТСКИЙ ЭКОЛОГИЧЕСКИЙ ЦЕНТР"</v>
      </c>
      <c r="B16852" s="24" t="s">
        <v>10003</v>
      </c>
      <c r="C16852" s="25">
        <v>3438</v>
      </c>
      <c r="D16852" s="22" t="s">
        <v>22010</v>
      </c>
      <c r="E16852" s="22" t="s">
        <v>7386</v>
      </c>
      <c r="F16852" s="23" t="str">
        <f>HYPERLINK("https://www.spark-marketing.ru/Card/Lot/71351782", "(000)Товары, работы или услуги на сумму, не превышающую 400 тыс. рублей (п.5 ч.1 ст.93 Федерального закона №44-ФЗ)")</f>
        <v>(000)Товары, работы или услуги на сумму, не превышающую 400 тыс. рублей (п.5 ч.1 ст.93 Федерального закона №44-ФЗ)</v>
      </c>
      <c r="G16852" s="22" t="s">
        <v>63</v>
      </c>
      <c r="H16852" s="22" t="s">
        <v>177</v>
      </c>
      <c r="I16852" s="26">
        <v>43630.309027777803</v>
      </c>
      <c r="J16852" s="28" t="s">
        <v>51</v>
      </c>
      <c r="K16852" s="28" t="s">
        <v>51</v>
      </c>
      <c r="L16852" s="28" t="s">
        <v>51</v>
      </c>
      <c r="M16852" s="28" t="s">
        <v>51</v>
      </c>
      <c r="N16852" s="28" t="s">
        <v>51</v>
      </c>
    </row>
    <row r="16853" spans="1:14" x14ac:dyDescent="0.15">
      <c r="A16853" s="23" t="str">
        <f>HYPERLINK("https://www.spark-marketing.ru/Card/Person/101947", "КГБПОУ ""БИЙСКИЙ ПЕДАГОГИЧЕСКИЙ КОЛЛЕДЖ""")</f>
        <v>КГБПОУ "БИЙСКИЙ ПЕДАГОГИЧЕСКИЙ КОЛЛЕДЖ"</v>
      </c>
      <c r="B16853" s="24" t="s">
        <v>22011</v>
      </c>
      <c r="C16853" s="25">
        <v>6000</v>
      </c>
      <c r="D16853" s="22" t="s">
        <v>22012</v>
      </c>
      <c r="E16853" s="22" t="s">
        <v>48</v>
      </c>
      <c r="F16853" s="23" t="str">
        <f>HYPERLINK("https://www.spark-marketing.ru/Card/Lot/71351807", "оказание услуг питания в рамках проведения демонстрационного экзамена")</f>
        <v>оказание услуг питания в рамках проведения демонстрационного экзамена</v>
      </c>
      <c r="G16853" s="22" t="s">
        <v>63</v>
      </c>
      <c r="H16853" s="22" t="s">
        <v>1294</v>
      </c>
      <c r="I16853" s="26">
        <v>43630.320138888899</v>
      </c>
      <c r="J16853" s="28" t="s">
        <v>51</v>
      </c>
      <c r="K16853" s="28" t="s">
        <v>51</v>
      </c>
      <c r="L16853" s="28" t="s">
        <v>51</v>
      </c>
      <c r="M16853" s="28" t="s">
        <v>51</v>
      </c>
      <c r="N16853" s="28" t="s">
        <v>51</v>
      </c>
    </row>
    <row r="16854" spans="1:14" x14ac:dyDescent="0.15">
      <c r="A16854" s="23" t="str">
        <f>HYPERLINK("https://www.spark-marketing.ru/Card/Person/4348382", "ООО ""ГАЗПРОМ ПИТАНИЕ""")</f>
        <v>ООО "ГАЗПРОМ ПИТАНИЕ"</v>
      </c>
      <c r="B16854" s="24" t="s">
        <v>2869</v>
      </c>
      <c r="C16854" s="25">
        <v>29500</v>
      </c>
      <c r="D16854" s="22" t="s">
        <v>22013</v>
      </c>
      <c r="E16854" s="22" t="s">
        <v>52</v>
      </c>
      <c r="F16854" s="23" t="str">
        <f>HYPERLINK("https://www.spark-marketing.ru/Card/Lot/71350771", "Проведение медицинского осмотра для нужд филиала ""томское уооп ооо ""газпром питание"" г. омск")</f>
        <v>Проведение медицинского осмотра для нужд филиала "томское уооп ооо "газпром питание" г. омск</v>
      </c>
      <c r="G16854" s="22" t="s">
        <v>487</v>
      </c>
      <c r="H16854" s="22" t="s">
        <v>488</v>
      </c>
      <c r="I16854" s="26">
        <v>43630.255555555603</v>
      </c>
      <c r="J16854" s="28" t="s">
        <v>51</v>
      </c>
      <c r="K16854" s="28" t="s">
        <v>51</v>
      </c>
      <c r="L16854" s="28" t="s">
        <v>51</v>
      </c>
      <c r="M16854" s="28" t="s">
        <v>51</v>
      </c>
      <c r="N16854" s="28" t="s">
        <v>51</v>
      </c>
    </row>
    <row r="16855" spans="1:14" x14ac:dyDescent="0.15">
      <c r="A16855" s="23" t="str">
        <f>HYPERLINK("https://www.spark-marketing.ru/Card/Person/4376562", "МКУ СКЦ")</f>
        <v>МКУ СКЦ</v>
      </c>
      <c r="B16855" s="24" t="s">
        <v>19769</v>
      </c>
      <c r="C16855" s="25">
        <v>100004</v>
      </c>
      <c r="D16855" s="22" t="s">
        <v>22014</v>
      </c>
      <c r="E16855" s="22" t="s">
        <v>48</v>
      </c>
      <c r="F16855" s="23" t="str">
        <f>HYPERLINK("https://www.spark-marketing.ru/Card/Lot/71350720", "Услуги по организации питания и обслуживанию участников мероприятий")</f>
        <v>Услуги по организации питания и обслуживанию участников мероприятий</v>
      </c>
      <c r="G16855" s="22" t="s">
        <v>195</v>
      </c>
      <c r="H16855" s="22" t="s">
        <v>19771</v>
      </c>
      <c r="I16855" s="26">
        <v>43630.288888888899</v>
      </c>
      <c r="J16855" s="28" t="s">
        <v>51</v>
      </c>
      <c r="K16855" s="28" t="s">
        <v>51</v>
      </c>
      <c r="L16855" s="28" t="s">
        <v>51</v>
      </c>
      <c r="M16855" s="28" t="s">
        <v>51</v>
      </c>
      <c r="N16855" s="28" t="s">
        <v>51</v>
      </c>
    </row>
    <row r="16856" spans="1:14" x14ac:dyDescent="0.15">
      <c r="A16856" s="23" t="str">
        <f>HYPERLINK("https://www.spark-marketing.ru/Card/Person/4348382", "ООО ""ГАЗПРОМ ПИТАНИЕ""")</f>
        <v>ООО "ГАЗПРОМ ПИТАНИЕ"</v>
      </c>
      <c r="B16856" s="24" t="s">
        <v>2869</v>
      </c>
      <c r="C16856" s="25">
        <v>14910</v>
      </c>
      <c r="D16856" s="22" t="s">
        <v>22015</v>
      </c>
      <c r="E16856" s="22" t="s">
        <v>52</v>
      </c>
      <c r="F16856" s="23" t="str">
        <f>HYPERLINK("https://www.spark-marketing.ru/Card/Lot/71350039", "Проведение медицинского осмотра для нужд филиала ""томское уооп ооо ""газпром питание"" алтайский край г. бийск")</f>
        <v>Проведение медицинского осмотра для нужд филиала "томское уооп ооо "газпром питание" алтайский край г. бийск</v>
      </c>
      <c r="G16856" s="22" t="s">
        <v>56</v>
      </c>
      <c r="H16856" s="22" t="s">
        <v>56</v>
      </c>
      <c r="I16856" s="26">
        <v>43630.247916666704</v>
      </c>
      <c r="J16856" s="28" t="s">
        <v>51</v>
      </c>
      <c r="K16856" s="28" t="s">
        <v>51</v>
      </c>
      <c r="L16856" s="28" t="s">
        <v>51</v>
      </c>
      <c r="M16856" s="28" t="s">
        <v>51</v>
      </c>
      <c r="N16856" s="28" t="s">
        <v>51</v>
      </c>
    </row>
    <row r="16857" spans="1:14" x14ac:dyDescent="0.2">
      <c r="A16857" s="23" t="str">
        <f>HYPERLINK("https://www.spark-marketing.ru/Card/Person/255430", "МАОУ ""СОШ №7"" Г.АЛЬМЕТЬЕВСКА")</f>
        <v>МАОУ "СОШ №7" Г.АЛЬМЕТЬЕВСКА</v>
      </c>
      <c r="B16857" s="24" t="s">
        <v>14045</v>
      </c>
      <c r="C16857" s="25">
        <v>66138</v>
      </c>
      <c r="D16857" s="22" t="s">
        <v>22016</v>
      </c>
      <c r="E16857" s="22" t="s">
        <v>52</v>
      </c>
      <c r="F16857" s="23" t="str">
        <f>HYPERLINK("https://www.spark-marketing.ru/Card/Lot/73751813", "Услуги по организации питания")</f>
        <v>Услуги по организации питания</v>
      </c>
      <c r="G16857" s="22" t="s">
        <v>217</v>
      </c>
      <c r="H16857" s="22" t="s">
        <v>9289</v>
      </c>
      <c r="I16857" s="26">
        <v>43630.5444444444</v>
      </c>
      <c r="J16857" s="28" t="s">
        <v>51</v>
      </c>
      <c r="K16857" s="28" t="s">
        <v>51</v>
      </c>
      <c r="L16857" s="28" t="s">
        <v>51</v>
      </c>
      <c r="M16857" s="25">
        <v>66137.899999999994</v>
      </c>
      <c r="N16857" s="27">
        <v>1.5119900813450664E-6</v>
      </c>
    </row>
    <row r="16858" spans="1:14" x14ac:dyDescent="0.15">
      <c r="A16858" s="23" t="str">
        <f>HYPERLINK("https://www.spark-marketing.ru/Card/Person/1662274", "ГАУК Г. МОСКВЫ ПКИО ""ЛИАНОЗОВСКИЙ""")</f>
        <v>ГАУК Г. МОСКВЫ ПКИО "ЛИАНОЗОВСКИЙ"</v>
      </c>
      <c r="B16858" s="24" t="s">
        <v>5715</v>
      </c>
      <c r="C16858" s="25">
        <v>23520</v>
      </c>
      <c r="D16858" s="22" t="s">
        <v>22017</v>
      </c>
      <c r="E16858" s="22" t="s">
        <v>52</v>
      </c>
      <c r="F16858" s="23" t="str">
        <f>HYPERLINK("https://www.spark-marketing.ru/Card/Lot/71381636", "Право заключения договора на осуществление торговой деятельности (оказание услуг) в нестационарном торговом объекте: «Киоск» по адресу: г. Москва, ул. Угличская 13, основная территория ГАУК г. Москвы ПКиО «Лианозовский» (парк «Лианозовский»), западна...")</f>
        <v>Право заключения договора на осуществление торговой деятельности (оказание услуг) в нестационарном торговом объекте: «Киоск» по адресу: г. Москва, ул. Угличская 13, основная территория ГАУК г. Москвы ПКиО «Лианозовский» (парк «Лианозовский»), западна...</v>
      </c>
      <c r="G16858" s="22" t="s">
        <v>56</v>
      </c>
      <c r="H16858" s="22" t="s">
        <v>56</v>
      </c>
      <c r="I16858" s="26">
        <v>43630</v>
      </c>
      <c r="J16858" s="28" t="s">
        <v>51</v>
      </c>
      <c r="K16858" s="28" t="s">
        <v>51</v>
      </c>
      <c r="L16858" s="28" t="s">
        <v>51</v>
      </c>
      <c r="M16858" s="28" t="s">
        <v>51</v>
      </c>
      <c r="N16858" s="28" t="s">
        <v>51</v>
      </c>
    </row>
    <row r="16859" spans="1:14" x14ac:dyDescent="0.15">
      <c r="A16859" s="23" t="str">
        <f>HYPERLINK("https://www.spark-marketing.ru/Card/Person/4358361", "ООО ""БАЛАКОВСКАЯ АЭС - АВТО""")</f>
        <v>ООО "БАЛАКОВСКАЯ АЭС - АВТО"</v>
      </c>
      <c r="B16859" s="24" t="s">
        <v>22018</v>
      </c>
      <c r="C16859" s="25">
        <v>914928</v>
      </c>
      <c r="D16859" s="22" t="s">
        <v>22019</v>
      </c>
      <c r="E16859" s="22" t="s">
        <v>52</v>
      </c>
      <c r="F16859" s="23" t="str">
        <f>HYPERLINK("https://www.spark-marketing.ru/Card/Lot/71354355", "Право заключения договора на Оказание услуг по Аренде оборудования, предназначенного для организации питания в санатории-профилактории Балаковской АЭС")</f>
        <v>Право заключения договора на Оказание услуг по Аренде оборудования, предназначенного для организации питания в санатории-профилактории Балаковской АЭС</v>
      </c>
      <c r="G16859" s="22" t="s">
        <v>351</v>
      </c>
      <c r="H16859" s="22" t="s">
        <v>4221</v>
      </c>
      <c r="I16859" s="26">
        <v>43630</v>
      </c>
      <c r="J16859" s="28" t="s">
        <v>51</v>
      </c>
      <c r="K16859" s="28" t="s">
        <v>51</v>
      </c>
      <c r="L16859" s="28" t="s">
        <v>51</v>
      </c>
      <c r="M16859" s="28" t="s">
        <v>51</v>
      </c>
      <c r="N16859" s="28" t="s">
        <v>51</v>
      </c>
    </row>
    <row r="16860" spans="1:14" x14ac:dyDescent="0.15">
      <c r="A16860" s="23" t="str">
        <f>HYPERLINK("https://www.spark-marketing.ru/Card/Person/1662274", "ГАУК Г. МОСКВЫ ПКИО ""ЛИАНОЗОВСКИЙ""")</f>
        <v>ГАУК Г. МОСКВЫ ПКИО "ЛИАНОЗОВСКИЙ"</v>
      </c>
      <c r="B16860" s="24" t="s">
        <v>5715</v>
      </c>
      <c r="C16860" s="25">
        <v>23520</v>
      </c>
      <c r="D16860" s="22" t="s">
        <v>22020</v>
      </c>
      <c r="E16860" s="22" t="s">
        <v>52</v>
      </c>
      <c r="F16860" s="23" t="str">
        <f>HYPERLINK("https://www.spark-marketing.ru/Card/Lot/71381633", "Право заключения договора на осуществление торговой деятельности (оказание услуг) в нестационарном торговом объекте: «Киоск» по адресу: г. Москва, ул. Угличская 13, основная территория ГАУК г. Москвы ПКиО «Лианозовский» (парк «Лианозовский»), набереж...")</f>
        <v>Право заключения договора на осуществление торговой деятельности (оказание услуг) в нестационарном торговом объекте: «Киоск» по адресу: г. Москва, ул. Угличская 13, основная территория ГАУК г. Москвы ПКиО «Лианозовский» (парк «Лианозовский»), набереж...</v>
      </c>
      <c r="G16860" s="22" t="s">
        <v>56</v>
      </c>
      <c r="H16860" s="22" t="s">
        <v>56</v>
      </c>
      <c r="I16860" s="26">
        <v>43630</v>
      </c>
      <c r="J16860" s="28" t="s">
        <v>51</v>
      </c>
      <c r="K16860" s="28" t="s">
        <v>51</v>
      </c>
      <c r="L16860" s="28" t="s">
        <v>51</v>
      </c>
      <c r="M16860" s="28" t="s">
        <v>51</v>
      </c>
      <c r="N16860" s="28" t="s">
        <v>51</v>
      </c>
    </row>
    <row r="16861" spans="1:14" x14ac:dyDescent="0.2">
      <c r="A16861" s="23" t="str">
        <f>HYPERLINK("https://www.spark-marketing.ru/Card/Person/1763151", "МАОУ ДОМОДЕДОВСКАЯ ГИМНАЗИЯ №5")</f>
        <v>МАОУ ДОМОДЕДОВСКАЯ ГИМНАЗИЯ №5</v>
      </c>
      <c r="B16861" s="24" t="s">
        <v>22021</v>
      </c>
      <c r="C16861" s="25">
        <v>84000</v>
      </c>
      <c r="D16861" s="22" t="s">
        <v>22022</v>
      </c>
      <c r="E16861" s="22" t="s">
        <v>362</v>
      </c>
      <c r="F16861" s="23" t="str">
        <f>HYPERLINK("https://www.spark-marketing.ru/Card/Lot/71345515", "Оказание услуг по организации питания «Бал выпускников 2019»")</f>
        <v>Оказание услуг по организации питания «Бал выпускников 2019»</v>
      </c>
      <c r="G16861" s="22" t="s">
        <v>49</v>
      </c>
      <c r="H16861" s="22" t="s">
        <v>5231</v>
      </c>
      <c r="I16861" s="26">
        <v>43629.9436458333</v>
      </c>
      <c r="J16861" s="28" t="s">
        <v>51</v>
      </c>
      <c r="K16861" s="28" t="s">
        <v>51</v>
      </c>
      <c r="L16861" s="28" t="s">
        <v>51</v>
      </c>
      <c r="M16861" s="25">
        <v>84000</v>
      </c>
      <c r="N16861" s="27">
        <v>0</v>
      </c>
    </row>
    <row r="16862" spans="1:14" x14ac:dyDescent="0.15">
      <c r="A16862" s="23" t="str">
        <f>HYPERLINK("https://www.spark-marketing.ru/Card/Person/4352587", "МДОУ ""Д/С № 106 О.В."" Г. МАГНИТОГОРСКА")</f>
        <v>МДОУ "Д/С № 106 О.В." Г. МАГНИТОГОРСКА</v>
      </c>
      <c r="B16862" s="24" t="s">
        <v>22023</v>
      </c>
      <c r="C16862" s="28" t="s">
        <v>51</v>
      </c>
      <c r="D16862" s="22" t="s">
        <v>22024</v>
      </c>
      <c r="E16862" s="22" t="s">
        <v>22025</v>
      </c>
      <c r="F16862" s="23" t="str">
        <f>HYPERLINK("https://www.spark-marketing.ru/Card/Lot/71345450", "Оказание услуг по поверке средств измерений узла учета тепловой энергии, в соответствии с техническим заданием")</f>
        <v>Оказание услуг по поверке средств измерений узла учета тепловой энергии, в соответствии с техническим заданием</v>
      </c>
      <c r="G16862" s="22" t="s">
        <v>469</v>
      </c>
      <c r="H16862" s="22" t="s">
        <v>470</v>
      </c>
      <c r="I16862" s="26">
        <v>43629.902083333298</v>
      </c>
      <c r="J16862" s="28" t="s">
        <v>51</v>
      </c>
      <c r="K16862" s="28" t="s">
        <v>51</v>
      </c>
      <c r="L16862" s="28" t="s">
        <v>51</v>
      </c>
      <c r="M16862" s="28" t="s">
        <v>51</v>
      </c>
      <c r="N16862" s="28" t="s">
        <v>51</v>
      </c>
    </row>
    <row r="16863" spans="1:14" x14ac:dyDescent="0.2">
      <c r="A16863" s="23" t="str">
        <f>HYPERLINK("https://www.spark-marketing.ru/Card/Person/30851", "ДОНСКОЙ ГОСУДАРСТВЕННЫЙ ТЕХНИЧЕСКИЙ УНИВЕРСИТЕТ; ДГТУ")</f>
        <v>ДОНСКОЙ ГОСУДАРСТВЕННЫЙ ТЕХНИЧЕСКИЙ УНИВЕРСИТЕТ; ДГТУ</v>
      </c>
      <c r="B16863" s="24" t="s">
        <v>2266</v>
      </c>
      <c r="C16863" s="25">
        <v>2000000</v>
      </c>
      <c r="D16863" s="22" t="s">
        <v>22026</v>
      </c>
      <c r="E16863" s="22" t="s">
        <v>362</v>
      </c>
      <c r="F16863" s="23" t="str">
        <f>HYPERLINK("https://www.spark-marketing.ru/Card/Lot/71343512", "закупка услуг по организации горячего питания участников конференций, семинаров, совещаний, тренингов и деловых переговоров на 2 полугодие 2019 г.")</f>
        <v>закупка услуг по организации горячего питания участников конференций, семинаров, совещаний, тренингов и деловых переговоров на 2 полугодие 2019 г.</v>
      </c>
      <c r="G16863" s="22" t="s">
        <v>267</v>
      </c>
      <c r="H16863" s="22" t="s">
        <v>590</v>
      </c>
      <c r="I16863" s="26">
        <v>43629.812430555598</v>
      </c>
      <c r="J16863" s="28" t="s">
        <v>51</v>
      </c>
      <c r="K16863" s="28" t="s">
        <v>51</v>
      </c>
      <c r="L16863" s="22" t="s">
        <v>10</v>
      </c>
      <c r="M16863" s="25">
        <v>2000000</v>
      </c>
      <c r="N16863" s="27">
        <v>0</v>
      </c>
    </row>
    <row r="16864" spans="1:14" x14ac:dyDescent="0.15">
      <c r="A16864" s="23" t="str">
        <f>HYPERLINK("https://www.spark-marketing.ru/Card/Person/875133", "МАОУ СОШ № 18 С УИОП")</f>
        <v>МАОУ СОШ № 18 С УИОП</v>
      </c>
      <c r="B16864" s="24" t="s">
        <v>8470</v>
      </c>
      <c r="C16864" s="25">
        <v>495775</v>
      </c>
      <c r="D16864" s="22" t="s">
        <v>22027</v>
      </c>
      <c r="E16864" s="22" t="s">
        <v>362</v>
      </c>
      <c r="F16864" s="23" t="str">
        <f>HYPERLINK("https://www.spark-marketing.ru/Card/Lot/71344630", "Оказание услуг по питанию учащихся в летнем оздоровительном лагере")</f>
        <v>Оказание услуг по питанию учащихся в летнем оздоровительном лагере</v>
      </c>
      <c r="G16864" s="22" t="s">
        <v>104</v>
      </c>
      <c r="H16864" s="22" t="s">
        <v>104</v>
      </c>
      <c r="I16864" s="26">
        <v>43629.817083333299</v>
      </c>
      <c r="J16864" s="28" t="s">
        <v>51</v>
      </c>
      <c r="K16864" s="28" t="s">
        <v>51</v>
      </c>
      <c r="L16864" s="28" t="s">
        <v>51</v>
      </c>
      <c r="M16864" s="28" t="s">
        <v>51</v>
      </c>
      <c r="N16864" s="28" t="s">
        <v>51</v>
      </c>
    </row>
    <row r="16865" spans="1:14" x14ac:dyDescent="0.15">
      <c r="A16865" s="23" t="str">
        <f>HYPERLINK("https://www.spark-marketing.ru/Card/Person/73015", "ГУ-САРАТОВСКОЕ РО ФОНДА СОЦИАЛЬНОГО СТРАХОВАНИЯ РОССИЙСКОЙ ФЕДЕРАЦИИ")</f>
        <v>ГУ-САРАТОВСКОЕ РО ФОНДА СОЦИАЛЬНОГО СТРАХОВАНИЯ РОССИЙСКОЙ ФЕДЕРАЦИИ</v>
      </c>
      <c r="B16865" s="24" t="s">
        <v>7054</v>
      </c>
      <c r="C16865" s="25">
        <v>673758</v>
      </c>
      <c r="D16865" s="22" t="s">
        <v>22028</v>
      </c>
      <c r="E16865" s="22" t="s">
        <v>86</v>
      </c>
      <c r="F16865" s="23" t="str">
        <f>HYPERLINK("https://www.spark-marketing.ru/Card/Lot/71343031", "Оказание услуг по санаторно-курортному лечению граждан-получателей государственной социальной помощи в виде набора социальных услуг, а также лиц, сопровождающих граждан, имеющих инвалидность 1 группы, с болезнями эндокринной системы, расстройствами п...")</f>
        <v>Оказание услуг по санаторно-курортному лечению граждан-получателей государственной социальной помощи в виде набора социальных услуг, а также лиц, сопровождающих граждан, имеющих инвалидность 1 группы, с болезнями эндокринной системы, расстройствами п...</v>
      </c>
      <c r="G16865" s="22" t="s">
        <v>104</v>
      </c>
      <c r="H16865" s="22" t="s">
        <v>3042</v>
      </c>
      <c r="I16865" s="26">
        <v>43629.795138888898</v>
      </c>
      <c r="J16865" s="23" t="str">
        <f>HYPERLINK("https://www.spark-marketing.ru/Card/Person/508429", "АО ""БАЗОВЫЙ САНАТОРИЙ ИМ.М.В.ЛОМОНОСОВА""")</f>
        <v>АО "БАЗОВЫЙ САНАТОРИЙ ИМ.М.В.ЛОМОНОСОВА"</v>
      </c>
      <c r="K16865" s="24" t="s">
        <v>18369</v>
      </c>
      <c r="L16865" s="22" t="s">
        <v>10</v>
      </c>
      <c r="M16865" s="28" t="s">
        <v>51</v>
      </c>
      <c r="N16865" s="28" t="s">
        <v>51</v>
      </c>
    </row>
    <row r="16866" spans="1:14" x14ac:dyDescent="0.15">
      <c r="A16866" s="23" t="str">
        <f>HYPERLINK("https://www.spark-marketing.ru/Card/Person/18079", "АДМИНИСТРАЦИЯ ГОРОДСКОГО ОКРУГА ""ГОРОД ДЕРБЕНТ""")</f>
        <v>АДМИНИСТРАЦИЯ ГОРОДСКОГО ОКРУГА "ГОРОД ДЕРБЕНТ"</v>
      </c>
      <c r="B16866" s="24" t="s">
        <v>22029</v>
      </c>
      <c r="C16866" s="25">
        <v>1500000</v>
      </c>
      <c r="D16866" s="22" t="s">
        <v>22030</v>
      </c>
      <c r="E16866" s="22" t="s">
        <v>96</v>
      </c>
      <c r="F16866" s="23" t="str">
        <f>HYPERLINK("https://www.spark-marketing.ru/Card/Lot/71343066", "Услуги по обеспечению питанием с полным ресторанным обслуживанием")</f>
        <v>Услуги по обеспечению питанием с полным ресторанным обслуживанием</v>
      </c>
      <c r="G16866" s="22" t="s">
        <v>1607</v>
      </c>
      <c r="H16866" s="22" t="s">
        <v>22031</v>
      </c>
      <c r="I16866" s="26">
        <v>43629.780555555597</v>
      </c>
      <c r="J16866" s="23" t="str">
        <f>HYPERLINK("https://www.spark-marketing.ru/Card/Person/1117327", "ООО ""ХАЯЛ""")</f>
        <v>ООО "ХАЯЛ"</v>
      </c>
      <c r="K16866" s="24" t="s">
        <v>22032</v>
      </c>
      <c r="L16866" s="22" t="s">
        <v>10</v>
      </c>
      <c r="M16866" s="28" t="s">
        <v>51</v>
      </c>
      <c r="N16866" s="28" t="s">
        <v>51</v>
      </c>
    </row>
    <row r="16867" spans="1:14" x14ac:dyDescent="0.15">
      <c r="A16867" s="23" t="str">
        <f>HYPERLINK("https://www.spark-marketing.ru/Card/Person/231901", "АО ""ИПК МАШПРИБОР""")</f>
        <v>АО "ИПК МАШПРИБОР"</v>
      </c>
      <c r="B16867" s="24" t="s">
        <v>22033</v>
      </c>
      <c r="C16867" s="25">
        <v>492752</v>
      </c>
      <c r="D16867" s="22" t="s">
        <v>22034</v>
      </c>
      <c r="E16867" s="22" t="s">
        <v>580</v>
      </c>
      <c r="F16867" s="23" t="str">
        <f>HYPERLINK("https://www.spark-marketing.ru/Card/Lot/71340195", "Услуги по организации питания на Официальном приеме, посвященном 95-летию академика М.Ф.Решетнева")</f>
        <v>Услуги по организации питания на Официальном приеме, посвященном 95-летию академика М.Ф.Решетнева</v>
      </c>
      <c r="G16867" s="22" t="s">
        <v>49</v>
      </c>
      <c r="H16867" s="22" t="s">
        <v>49</v>
      </c>
      <c r="I16867" s="26">
        <v>43629.770972222199</v>
      </c>
      <c r="J16867" s="28" t="s">
        <v>51</v>
      </c>
      <c r="K16867" s="28" t="s">
        <v>51</v>
      </c>
      <c r="L16867" s="28" t="s">
        <v>51</v>
      </c>
      <c r="M16867" s="28" t="s">
        <v>51</v>
      </c>
      <c r="N16867" s="28" t="s">
        <v>51</v>
      </c>
    </row>
    <row r="16868" spans="1:14" x14ac:dyDescent="0.15">
      <c r="A16868" s="23" t="str">
        <f>HYPERLINK("https://www.spark-marketing.ru/Card/Person/4233", "АО ""514 АРЗ""")</f>
        <v>АО "514 АРЗ"</v>
      </c>
      <c r="B16868" s="24" t="s">
        <v>22035</v>
      </c>
      <c r="C16868" s="25">
        <v>2000000</v>
      </c>
      <c r="D16868" s="22" t="s">
        <v>22036</v>
      </c>
      <c r="E16868" s="22" t="s">
        <v>362</v>
      </c>
      <c r="F16868" s="23" t="str">
        <f>HYPERLINK("https://www.spark-marketing.ru/Card/Lot/71337175", "Организация питания представителей находящихся в командировке на АО ""514 АРЗ""")</f>
        <v>Организация питания представителей находящихся в командировке на АО "514 АРЗ"</v>
      </c>
      <c r="G16868" s="22" t="s">
        <v>137</v>
      </c>
      <c r="H16868" s="22" t="s">
        <v>137</v>
      </c>
      <c r="I16868" s="26">
        <v>43629.713125000002</v>
      </c>
      <c r="J16868" s="28" t="s">
        <v>51</v>
      </c>
      <c r="K16868" s="28" t="s">
        <v>51</v>
      </c>
      <c r="L16868" s="28" t="s">
        <v>51</v>
      </c>
      <c r="M16868" s="28" t="s">
        <v>51</v>
      </c>
      <c r="N16868" s="28" t="s">
        <v>51</v>
      </c>
    </row>
    <row r="16869" spans="1:14" x14ac:dyDescent="0.15">
      <c r="A16869" s="23" t="str">
        <f>HYPERLINK("https://www.spark-marketing.ru/Card/Person/9471", "ФГБОУ ВО ПСПБГМУ ИМ. И.П. ПАВЛОВА МИНЗДРАВА РОССИИ")</f>
        <v>ФГБОУ ВО ПСПБГМУ ИМ. И.П. ПАВЛОВА МИНЗДРАВА РОССИИ</v>
      </c>
      <c r="B16869" s="24" t="s">
        <v>15179</v>
      </c>
      <c r="C16869" s="25">
        <v>856800</v>
      </c>
      <c r="D16869" s="22" t="s">
        <v>22037</v>
      </c>
      <c r="E16869" s="22" t="s">
        <v>355</v>
      </c>
      <c r="F16869" s="23" t="str">
        <f>HYPERLINK("https://www.spark-marketing.ru/Card/Lot/71343095", "Выполнение работ по техническому обслуживанию дизель-генераторных установок (ДГУ) и источников бесперебойного питания (ИБП)")</f>
        <v>Выполнение работ по техническому обслуживанию дизель-генераторных установок (ДГУ) и источников бесперебойного питания (ИБП)</v>
      </c>
      <c r="G16869" s="22" t="s">
        <v>117</v>
      </c>
      <c r="H16869" s="22" t="s">
        <v>117</v>
      </c>
      <c r="I16869" s="26">
        <v>43629.746527777803</v>
      </c>
      <c r="J16869" s="23" t="str">
        <f>HYPERLINK("https://www.spark-marketing.ru/Card/Person/6273725", "ООО ""МЕГАПОЛИС""")</f>
        <v>ООО "МЕГАПОЛИС"</v>
      </c>
      <c r="K16869" s="24" t="s">
        <v>22038</v>
      </c>
      <c r="L16869" s="28" t="s">
        <v>51</v>
      </c>
      <c r="M16869" s="28" t="s">
        <v>51</v>
      </c>
      <c r="N16869" s="28" t="s">
        <v>51</v>
      </c>
    </row>
    <row r="16870" spans="1:14" ht="12.75" hidden="1" outlineLevel="1" x14ac:dyDescent="0.2">
      <c r="A16870" s="23" t="str">
        <f>HYPERLINK("https://www.spark-marketing.ru/Card/Person/9471", "ФГБОУ ВО ПСПБГМУ ИМ. И.П. ПАВЛОВА МИНЗДРАВА РОССИИ")</f>
        <v>ФГБОУ ВО ПСПБГМУ ИМ. И.П. ПАВЛОВА МИНЗДРАВА РОССИИ</v>
      </c>
      <c r="B16870" s="24" t="s">
        <v>15179</v>
      </c>
      <c r="C16870" s="25">
        <v>856800</v>
      </c>
      <c r="D16870" s="22" t="s">
        <v>22037</v>
      </c>
      <c r="E16870" s="22" t="s">
        <v>355</v>
      </c>
      <c r="F16870" s="23" t="str">
        <f>HYPERLINK("https://www.spark-marketing.ru/Card/Lot/71343095", "Выполнение работ по техническому обслуживанию дизель-генераторных установок (ДГУ) и источников бесперебойного питания (ИБП)")</f>
        <v>Выполнение работ по техническому обслуживанию дизель-генераторных установок (ДГУ) и источников бесперебойного питания (ИБП)</v>
      </c>
      <c r="G16870" s="22" t="s">
        <v>117</v>
      </c>
      <c r="H16870" s="22" t="s">
        <v>117</v>
      </c>
      <c r="I16870" s="26">
        <v>43629.746527777803</v>
      </c>
      <c r="J16870" s="23" t="str">
        <f>HYPERLINK("https://www.spark-marketing.ru/Card/Person/6273725", "ООО ""МЕГАПОЛИС""")</f>
        <v>ООО "МЕГАПОЛИС"</v>
      </c>
      <c r="K16870" s="24" t="s">
        <v>22038</v>
      </c>
      <c r="L16870" s="22" t="s">
        <v>10</v>
      </c>
      <c r="M16870" s="25">
        <v>852516</v>
      </c>
      <c r="N16870" s="27">
        <v>5.0000000000000001E-3</v>
      </c>
    </row>
    <row r="16871" spans="1:14" x14ac:dyDescent="0.15">
      <c r="A16871" s="23" t="str">
        <f>HYPERLINK("https://www.spark-marketing.ru/Card/Person/71552", "КГБУЗ КККВД № 1")</f>
        <v>КГБУЗ КККВД № 1</v>
      </c>
      <c r="B16871" s="24" t="s">
        <v>22039</v>
      </c>
      <c r="C16871" s="25">
        <v>3990005.77</v>
      </c>
      <c r="D16871" s="22" t="s">
        <v>22040</v>
      </c>
      <c r="E16871" s="22" t="s">
        <v>48</v>
      </c>
      <c r="F16871" s="23" t="str">
        <f>HYPERLINK("https://www.spark-marketing.ru/Card/Lot/71333218", "№ ЭА 42924/19 ""Оказание услуг по обеспечению питанием пациентов для нужд КГБУЗ КККВД № 1 в 2020 году"".")</f>
        <v>№ ЭА 42924/19 "Оказание услуг по обеспечению питанием пациентов для нужд КГБУЗ КККВД № 1 в 2020 году".</v>
      </c>
      <c r="G16871" s="22" t="s">
        <v>281</v>
      </c>
      <c r="H16871" s="22" t="s">
        <v>1036</v>
      </c>
      <c r="I16871" s="26">
        <v>43629.7277777778</v>
      </c>
      <c r="J16871" s="23" t="str">
        <f>HYPERLINK("https://www.spark-marketing.ru/Card/Person/111950", "ООО ""КУЛИНАР""")</f>
        <v>ООО "КУЛИНАР"</v>
      </c>
      <c r="K16871" s="24" t="s">
        <v>10827</v>
      </c>
      <c r="L16871" s="28" t="s">
        <v>51</v>
      </c>
      <c r="M16871" s="28" t="s">
        <v>51</v>
      </c>
      <c r="N16871" s="28" t="s">
        <v>51</v>
      </c>
    </row>
    <row r="16872" spans="1:14" ht="12.75" hidden="1" outlineLevel="1" x14ac:dyDescent="0.2">
      <c r="A16872" s="23" t="str">
        <f>HYPERLINK("https://www.spark-marketing.ru/Card/Person/71552", "КГБУЗ КККВД № 1")</f>
        <v>КГБУЗ КККВД № 1</v>
      </c>
      <c r="B16872" s="24" t="s">
        <v>22039</v>
      </c>
      <c r="C16872" s="25">
        <v>3990005.77</v>
      </c>
      <c r="D16872" s="22" t="s">
        <v>22040</v>
      </c>
      <c r="E16872" s="22" t="s">
        <v>48</v>
      </c>
      <c r="F16872" s="23" t="str">
        <f>HYPERLINK("https://www.spark-marketing.ru/Card/Lot/71333218", "№ ЭА 42924/19 ""Оказание услуг по обеспечению питанием пациентов для нужд КГБУЗ КККВД № 1 в 2020 году"".")</f>
        <v>№ ЭА 42924/19 "Оказание услуг по обеспечению питанием пациентов для нужд КГБУЗ КККВД № 1 в 2020 году".</v>
      </c>
      <c r="G16872" s="22" t="s">
        <v>281</v>
      </c>
      <c r="H16872" s="22" t="s">
        <v>1036</v>
      </c>
      <c r="I16872" s="26">
        <v>43629.7277777778</v>
      </c>
      <c r="J16872" s="23" t="str">
        <f>HYPERLINK("https://www.spark-marketing.ru/Card/Person/111950", "ООО ""КУЛИНАР""")</f>
        <v>ООО "КУЛИНАР"</v>
      </c>
      <c r="K16872" s="24" t="s">
        <v>10827</v>
      </c>
      <c r="L16872" s="22" t="s">
        <v>10</v>
      </c>
      <c r="M16872" s="25">
        <v>3970055.74</v>
      </c>
      <c r="N16872" s="27">
        <v>5.0000002882201345E-3</v>
      </c>
    </row>
    <row r="16873" spans="1:14" x14ac:dyDescent="0.15">
      <c r="A16873" s="23" t="str">
        <f>HYPERLINK("https://www.spark-marketing.ru/Card/Person/1778529", "КГАУ ЦСПСКХК")</f>
        <v>КГАУ ЦСПСКХК</v>
      </c>
      <c r="B16873" s="24" t="s">
        <v>5909</v>
      </c>
      <c r="C16873" s="25">
        <v>505866</v>
      </c>
      <c r="D16873" s="22" t="s">
        <v>22041</v>
      </c>
      <c r="E16873" s="22" t="s">
        <v>580</v>
      </c>
      <c r="F16873" s="23" t="str">
        <f>HYPERLINK("https://www.spark-marketing.ru/Card/Lot/71319822", "Оказание услуг по организации питания участников международного соревнования по боксу памяти Героя Советского Союза Константина Короткова")</f>
        <v>Оказание услуг по организации питания участников международного соревнования по боксу памяти Героя Советского Союза Константина Короткова</v>
      </c>
      <c r="G16873" s="22" t="s">
        <v>1096</v>
      </c>
      <c r="H16873" s="22" t="s">
        <v>1096</v>
      </c>
      <c r="I16873" s="26">
        <v>43629.730381944399</v>
      </c>
      <c r="J16873" s="28" t="s">
        <v>51</v>
      </c>
      <c r="K16873" s="28" t="s">
        <v>51</v>
      </c>
      <c r="L16873" s="28" t="s">
        <v>51</v>
      </c>
      <c r="M16873" s="28" t="s">
        <v>51</v>
      </c>
      <c r="N16873" s="28" t="s">
        <v>51</v>
      </c>
    </row>
    <row r="16874" spans="1:14" x14ac:dyDescent="0.15">
      <c r="A16874" s="23" t="str">
        <f>HYPERLINK("https://www.spark-marketing.ru/Card/Person/118619", "ОТДМВД РОССИИ ПО ШЕМЫШЕЙСКОМУ РАЙОНУ")</f>
        <v>ОТДМВД РОССИИ ПО ШЕМЫШЕЙСКОМУ РАЙОНУ</v>
      </c>
      <c r="B16874" s="24" t="s">
        <v>22042</v>
      </c>
      <c r="C16874" s="25">
        <v>99900</v>
      </c>
      <c r="D16874" s="22" t="s">
        <v>22043</v>
      </c>
      <c r="E16874" s="22" t="s">
        <v>48</v>
      </c>
      <c r="F16874" s="23" t="str">
        <f>HYPERLINK("https://www.spark-marketing.ru/Card/Lot/71337923", "Услуги по доставке горячего питания (завтрак, обед, ужин), 999 усл. ед")</f>
        <v>Услуги по доставке горячего питания (завтрак, обед, ужин), 999 усл. ед</v>
      </c>
      <c r="G16874" s="22" t="s">
        <v>72</v>
      </c>
      <c r="H16874" s="22" t="s">
        <v>22044</v>
      </c>
      <c r="I16874" s="26">
        <v>43629.7410648148</v>
      </c>
      <c r="J16874" s="28" t="s">
        <v>51</v>
      </c>
      <c r="K16874" s="28" t="s">
        <v>51</v>
      </c>
      <c r="L16874" s="28" t="s">
        <v>51</v>
      </c>
      <c r="M16874" s="28" t="s">
        <v>51</v>
      </c>
      <c r="N16874" s="28" t="s">
        <v>51</v>
      </c>
    </row>
    <row r="16875" spans="1:14" x14ac:dyDescent="0.15">
      <c r="A16875" s="23" t="str">
        <f>HYPERLINK("https://www.spark-marketing.ru/Card/Person/6158145", "МИНТРУДА И СОЦРАЗВИТИЯ НСО")</f>
        <v>МИНТРУДА И СОЦРАЗВИТИЯ НСО</v>
      </c>
      <c r="B16875" s="24" t="s">
        <v>977</v>
      </c>
      <c r="C16875" s="25">
        <v>1410500</v>
      </c>
      <c r="D16875" s="22" t="s">
        <v>22045</v>
      </c>
      <c r="E16875" s="22" t="s">
        <v>51</v>
      </c>
      <c r="F16875" s="23" t="str">
        <f>HYPERLINK("https://www.spark-marketing.ru/Card/Lot/71330138", "Оказание услуг по санаторно-курортному лечению работников бюджетной сферы, количество путевок - 100 шт., с заболеваниями опорно-двигательного аппарата, расстройством питания и нарушением обмена веществ, гинекологическими заболеваниями")</f>
        <v>Оказание услуг по санаторно-курортному лечению работников бюджетной сферы, количество путевок - 100 шт., с заболеваниями опорно-двигательного аппарата, расстройством питания и нарушением обмена веществ, гинекологическими заболеваниями</v>
      </c>
      <c r="G16875" s="22" t="s">
        <v>195</v>
      </c>
      <c r="H16875" s="22" t="s">
        <v>196</v>
      </c>
      <c r="I16875" s="26">
        <v>43629.718055555597</v>
      </c>
      <c r="J16875" s="23" t="str">
        <f>HYPERLINK("https://www.spark-marketing.ru/Card/Person/385400", "ООО ПАНСИОНАТ ""ЛЕСНАЯ СКАЗКА""")</f>
        <v>ООО ПАНСИОНАТ "ЛЕСНАЯ СКАЗКА"</v>
      </c>
      <c r="K16875" s="24" t="s">
        <v>7094</v>
      </c>
      <c r="L16875" s="22" t="s">
        <v>10</v>
      </c>
      <c r="M16875" s="28" t="s">
        <v>51</v>
      </c>
      <c r="N16875" s="28" t="s">
        <v>51</v>
      </c>
    </row>
    <row r="16876" spans="1:14" x14ac:dyDescent="0.15">
      <c r="A16876" s="23" t="str">
        <f>HYPERLINK("https://www.spark-marketing.ru/Card/Person/118619", "ОТДМВД РОССИИ ПО ШЕМЫШЕЙСКОМУ РАЙОНУ")</f>
        <v>ОТДМВД РОССИИ ПО ШЕМЫШЕЙСКОМУ РАЙОНУ</v>
      </c>
      <c r="B16876" s="24" t="s">
        <v>22042</v>
      </c>
      <c r="C16876" s="25">
        <v>28400</v>
      </c>
      <c r="D16876" s="22" t="s">
        <v>22046</v>
      </c>
      <c r="E16876" s="22" t="s">
        <v>48</v>
      </c>
      <c r="F16876" s="23" t="str">
        <f>HYPERLINK("https://www.spark-marketing.ru/Card/Lot/71335596", "Услуги по доставке горячего питания (завтрак, обед, ужин), 284 усл. ед")</f>
        <v>Услуги по доставке горячего питания (завтрак, обед, ужин), 284 усл. ед</v>
      </c>
      <c r="G16876" s="22" t="s">
        <v>72</v>
      </c>
      <c r="H16876" s="22" t="s">
        <v>22044</v>
      </c>
      <c r="I16876" s="26">
        <v>43629.714814814797</v>
      </c>
      <c r="J16876" s="28" t="s">
        <v>51</v>
      </c>
      <c r="K16876" s="28" t="s">
        <v>51</v>
      </c>
      <c r="L16876" s="28" t="s">
        <v>51</v>
      </c>
      <c r="M16876" s="28" t="s">
        <v>51</v>
      </c>
      <c r="N16876" s="28" t="s">
        <v>51</v>
      </c>
    </row>
    <row r="16877" spans="1:14" x14ac:dyDescent="0.15">
      <c r="A16877" s="23" t="str">
        <f>HYPERLINK("https://www.spark-marketing.ru/Card/Person/977079", "КГАУ ""СШОР ПО ВОЛЕЙБОЛУ ""ЕНИСЕЙ"" ИМЕНИ Э.А. НОСКОВА""")</f>
        <v>КГАУ "СШОР ПО ВОЛЕЙБОЛУ "ЕНИСЕЙ" ИМЕНИ Э.А. НОСКОВА"</v>
      </c>
      <c r="B16877" s="24" t="s">
        <v>14587</v>
      </c>
      <c r="C16877" s="25">
        <v>394800</v>
      </c>
      <c r="D16877" s="22" t="s">
        <v>22047</v>
      </c>
      <c r="E16877" s="22" t="s">
        <v>362</v>
      </c>
      <c r="F16877" s="23" t="str">
        <f>HYPERLINK("https://www.spark-marketing.ru/Card/Lot/71331276", "оказание услуг по организации питания в рамках тренировочного сбора (в т.ч. в каникулярный период)")</f>
        <v>оказание услуг по организации питания в рамках тренировочного сбора (в т.ч. в каникулярный период)</v>
      </c>
      <c r="G16877" s="22" t="s">
        <v>104</v>
      </c>
      <c r="H16877" s="22" t="s">
        <v>104</v>
      </c>
      <c r="I16877" s="26">
        <v>43629.714768518497</v>
      </c>
      <c r="J16877" s="28" t="s">
        <v>51</v>
      </c>
      <c r="K16877" s="28" t="s">
        <v>51</v>
      </c>
      <c r="L16877" s="28" t="s">
        <v>51</v>
      </c>
      <c r="M16877" s="28" t="s">
        <v>51</v>
      </c>
      <c r="N16877" s="28" t="s">
        <v>51</v>
      </c>
    </row>
    <row r="16878" spans="1:14" x14ac:dyDescent="0.15">
      <c r="A16878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6878" s="24" t="s">
        <v>3255</v>
      </c>
      <c r="C16878" s="25">
        <v>1980412.92</v>
      </c>
      <c r="D16878" s="22" t="s">
        <v>22048</v>
      </c>
      <c r="E16878" s="22" t="s">
        <v>52</v>
      </c>
      <c r="F16878" s="23" t="str">
        <f>HYPERLINK("https://www.spark-marketing.ru/Card/Lot/71330165", "Поставка лекарственного препарата для медицинского применения ""Рисперидон""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п...")</f>
        <v>Поставка лекарственного препарата для медицинского применения "Рисперидон"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п...</v>
      </c>
      <c r="G16878" s="22" t="s">
        <v>210</v>
      </c>
      <c r="H16878" s="22" t="s">
        <v>3257</v>
      </c>
      <c r="I16878" s="26">
        <v>43629.720138888901</v>
      </c>
      <c r="J16878" s="23" t="str">
        <f>HYPERLINK("https://www.spark-marketing.ru/Card/Person/6231467", "ООО ""ОБЛФАРМ АЛЬЯНС""")</f>
        <v>ООО "ОБЛФАРМ АЛЬЯНС"</v>
      </c>
      <c r="K16878" s="24" t="s">
        <v>2175</v>
      </c>
      <c r="L16878" s="22" t="s">
        <v>10</v>
      </c>
      <c r="M16878" s="28" t="s">
        <v>51</v>
      </c>
      <c r="N16878" s="28" t="s">
        <v>51</v>
      </c>
    </row>
    <row r="16879" spans="1:14" x14ac:dyDescent="0.15">
      <c r="A16879" s="23" t="str">
        <f>HYPERLINK("https://www.spark-marketing.ru/Card/Person/1760026", "ЗАО ""ПФК ""КРЫЛЬЯ СОВЕТОВ""")</f>
        <v>ЗАО "ПФК "КРЫЛЬЯ СОВЕТОВ"</v>
      </c>
      <c r="B16879" s="24" t="s">
        <v>2056</v>
      </c>
      <c r="C16879" s="25">
        <v>350000</v>
      </c>
      <c r="D16879" s="22" t="s">
        <v>22049</v>
      </c>
      <c r="E16879" s="22" t="s">
        <v>22050</v>
      </c>
      <c r="F16879" s="23" t="str">
        <f>HYPERLINK("https://www.spark-marketing.ru/Card/Lot/71337704", "Комплекс услуг, связанных с организацией питания, проживания команде 2007г.р. ЦПФ ЗАО «ПФК «Крылья Советов» (в рамках участия в соревнованиях ""Первенство России по футболу среди команд спортивных школ Зона ""Приволжье"" в сезоне 2019/2020 гг"")")</f>
        <v>Комплекс услуг, связанных с организацией питания, проживания команде 2007г.р. ЦПФ ЗАО «ПФК «Крылья Советов» (в рамках участия в соревнованиях "Первенство России по футболу среди команд спортивных школ Зона "Приволжье" в сезоне 2019/2020 гг")</v>
      </c>
      <c r="G16879" s="22" t="s">
        <v>351</v>
      </c>
      <c r="H16879" s="22" t="s">
        <v>351</v>
      </c>
      <c r="I16879" s="26">
        <v>43629.727048611101</v>
      </c>
      <c r="J16879" s="28" t="s">
        <v>51</v>
      </c>
      <c r="K16879" s="28" t="s">
        <v>51</v>
      </c>
      <c r="L16879" s="28" t="s">
        <v>51</v>
      </c>
      <c r="M16879" s="28" t="s">
        <v>51</v>
      </c>
      <c r="N16879" s="28" t="s">
        <v>51</v>
      </c>
    </row>
    <row r="16880" spans="1:14" x14ac:dyDescent="0.15">
      <c r="A16880" s="23" t="str">
        <f>HYPERLINK("https://www.spark-marketing.ru/Card/Person/1031326", "МУ ""ПМЦ""")</f>
        <v>МУ "ПМЦ"</v>
      </c>
      <c r="B16880" s="24" t="s">
        <v>22051</v>
      </c>
      <c r="C16880" s="25">
        <v>604362</v>
      </c>
      <c r="D16880" s="22" t="s">
        <v>22052</v>
      </c>
      <c r="E16880" s="22" t="s">
        <v>48</v>
      </c>
      <c r="F16880" s="23" t="str">
        <f>HYPERLINK("https://www.spark-marketing.ru/Card/Lot/71343044", "Оказание услуг по организации питания для молодежных отрядов труда и отдыха")</f>
        <v>Оказание услуг по организации питания для молодежных отрядов труда и отдыха</v>
      </c>
      <c r="G16880" s="22" t="s">
        <v>49</v>
      </c>
      <c r="H16880" s="22" t="s">
        <v>1131</v>
      </c>
      <c r="I16880" s="26">
        <v>43629.743055555598</v>
      </c>
      <c r="J16880" s="28" t="s">
        <v>51</v>
      </c>
      <c r="K16880" s="28" t="s">
        <v>51</v>
      </c>
      <c r="L16880" s="28" t="s">
        <v>51</v>
      </c>
      <c r="M16880" s="28" t="s">
        <v>51</v>
      </c>
      <c r="N16880" s="28" t="s">
        <v>51</v>
      </c>
    </row>
    <row r="16881" spans="1:14" ht="12.75" hidden="1" outlineLevel="1" x14ac:dyDescent="0.2">
      <c r="A16881" s="23" t="str">
        <f>HYPERLINK("https://www.spark-marketing.ru/Card/Person/1031326", "МУ ""ПМЦ""")</f>
        <v>МУ "ПМЦ"</v>
      </c>
      <c r="B16881" s="24" t="s">
        <v>22051</v>
      </c>
      <c r="C16881" s="25">
        <v>604362</v>
      </c>
      <c r="D16881" s="22" t="s">
        <v>22052</v>
      </c>
      <c r="E16881" s="22" t="s">
        <v>48</v>
      </c>
      <c r="F16881" s="23" t="str">
        <f>HYPERLINK("https://www.spark-marketing.ru/Card/Lot/71343044", "Оказание услуг по организации питания для молодежных отрядов труда и отдыха")</f>
        <v>Оказание услуг по организации питания для молодежных отрядов труда и отдыха</v>
      </c>
      <c r="G16881" s="22" t="s">
        <v>49</v>
      </c>
      <c r="H16881" s="22" t="s">
        <v>1131</v>
      </c>
      <c r="I16881" s="26">
        <v>43629.743055555598</v>
      </c>
      <c r="J16881" s="23" t="str">
        <f>HYPERLINK("https://www.spark-marketing.ru/Card/Person/2042423", "ООО ""ТФ ПРОДЖЕКТ""")</f>
        <v>ООО "ТФ ПРОДЖЕКТ"</v>
      </c>
      <c r="K16881" s="24" t="s">
        <v>9610</v>
      </c>
      <c r="L16881" s="22" t="s">
        <v>10</v>
      </c>
      <c r="M16881" s="25">
        <v>601340.18999999994</v>
      </c>
      <c r="N16881" s="27">
        <v>5.0000000000000001E-3</v>
      </c>
    </row>
    <row r="16882" spans="1:14" hidden="1" outlineLevel="1" x14ac:dyDescent="0.2">
      <c r="A16882" s="23" t="str">
        <f>HYPERLINK("https://www.spark-marketing.ru/Card/Person/1031326", "МУ ""ПМЦ""")</f>
        <v>МУ "ПМЦ"</v>
      </c>
      <c r="B16882" s="24" t="s">
        <v>22051</v>
      </c>
      <c r="C16882" s="25">
        <v>604362</v>
      </c>
      <c r="D16882" s="22" t="s">
        <v>22052</v>
      </c>
      <c r="E16882" s="22" t="s">
        <v>48</v>
      </c>
      <c r="F16882" s="23" t="str">
        <f>HYPERLINK("https://www.spark-marketing.ru/Card/Lot/71343044", "Оказание услуг по организации питания для молодежных отрядов труда и отдыха")</f>
        <v>Оказание услуг по организации питания для молодежных отрядов труда и отдыха</v>
      </c>
      <c r="G16882" s="22" t="s">
        <v>49</v>
      </c>
      <c r="H16882" s="22" t="s">
        <v>1131</v>
      </c>
      <c r="I16882" s="26">
        <v>43629.743055555598</v>
      </c>
      <c r="J16882" s="23" t="str">
        <f>HYPERLINK("https://www.spark-marketing.ru/Card/Person/2039350", "ЗАО ""Е:Т.С.""")</f>
        <v>ЗАО "Е:Т.С."</v>
      </c>
      <c r="K16882" s="24" t="s">
        <v>22053</v>
      </c>
      <c r="L16882" s="28" t="s">
        <v>51</v>
      </c>
      <c r="M16882" s="25">
        <v>601340.18999999994</v>
      </c>
      <c r="N16882" s="27">
        <v>5.0000000000000001E-3</v>
      </c>
    </row>
    <row r="16883" spans="1:14" x14ac:dyDescent="0.15">
      <c r="A16883" s="23" t="str">
        <f>HYPERLINK("https://www.spark-marketing.ru/Card/Person/71552", "КГБУЗ КККВД № 1")</f>
        <v>КГБУЗ КККВД № 1</v>
      </c>
      <c r="B16883" s="24" t="s">
        <v>22039</v>
      </c>
      <c r="C16883" s="25">
        <v>2160507.83</v>
      </c>
      <c r="D16883" s="22" t="s">
        <v>22054</v>
      </c>
      <c r="E16883" s="22" t="s">
        <v>48</v>
      </c>
      <c r="F16883" s="23" t="str">
        <f>HYPERLINK("https://www.spark-marketing.ru/Card/Lot/71332631", "№ ЭА 42922/ 19 ""Оказание услуг по обеспечению питанием пациентов для нужд КГБУЗ КККВД № 1 в 2019 году"".")</f>
        <v>№ ЭА 42922/ 19 "Оказание услуг по обеспечению питанием пациентов для нужд КГБУЗ КККВД № 1 в 2019 году".</v>
      </c>
      <c r="G16883" s="22" t="s">
        <v>281</v>
      </c>
      <c r="H16883" s="22" t="s">
        <v>1036</v>
      </c>
      <c r="I16883" s="26">
        <v>43629.7277777778</v>
      </c>
      <c r="J16883" s="28" t="s">
        <v>51</v>
      </c>
      <c r="K16883" s="28" t="s">
        <v>51</v>
      </c>
      <c r="L16883" s="28" t="s">
        <v>51</v>
      </c>
      <c r="M16883" s="28" t="s">
        <v>51</v>
      </c>
      <c r="N16883" s="28" t="s">
        <v>51</v>
      </c>
    </row>
    <row r="16884" spans="1:14" ht="12.75" hidden="1" outlineLevel="1" x14ac:dyDescent="0.2">
      <c r="A16884" s="23" t="str">
        <f>HYPERLINK("https://www.spark-marketing.ru/Card/Person/71552", "КГБУЗ КККВД № 1")</f>
        <v>КГБУЗ КККВД № 1</v>
      </c>
      <c r="B16884" s="24" t="s">
        <v>22039</v>
      </c>
      <c r="C16884" s="25">
        <v>2160507.83</v>
      </c>
      <c r="D16884" s="22" t="s">
        <v>22054</v>
      </c>
      <c r="E16884" s="22" t="s">
        <v>48</v>
      </c>
      <c r="F16884" s="23" t="str">
        <f>HYPERLINK("https://www.spark-marketing.ru/Card/Lot/71332631", "№ ЭА 42922/ 19 ""Оказание услуг по обеспечению питанием пациентов для нужд КГБУЗ КККВД № 1 в 2019 году"".")</f>
        <v>№ ЭА 42922/ 19 "Оказание услуг по обеспечению питанием пациентов для нужд КГБУЗ КККВД № 1 в 2019 году".</v>
      </c>
      <c r="G16884" s="22" t="s">
        <v>281</v>
      </c>
      <c r="H16884" s="22" t="s">
        <v>1036</v>
      </c>
      <c r="I16884" s="26">
        <v>43629.7277777778</v>
      </c>
      <c r="J16884" s="23" t="str">
        <f>HYPERLINK("https://www.spark-marketing.ru/Card/Person/10897", "КГБУЗ ККБ")</f>
        <v>КГБУЗ ККБ</v>
      </c>
      <c r="K16884" s="24" t="s">
        <v>1786</v>
      </c>
      <c r="L16884" s="22" t="s">
        <v>10</v>
      </c>
      <c r="M16884" s="25">
        <v>2052482.43</v>
      </c>
      <c r="N16884" s="27">
        <v>5.0000003934260212E-2</v>
      </c>
    </row>
    <row r="16885" spans="1:14" hidden="1" outlineLevel="1" x14ac:dyDescent="0.2">
      <c r="A16885" s="23" t="str">
        <f>HYPERLINK("https://www.spark-marketing.ru/Card/Person/71552", "КГБУЗ КККВД № 1")</f>
        <v>КГБУЗ КККВД № 1</v>
      </c>
      <c r="B16885" s="24" t="s">
        <v>22039</v>
      </c>
      <c r="C16885" s="25">
        <v>2160507.83</v>
      </c>
      <c r="D16885" s="22" t="s">
        <v>22054</v>
      </c>
      <c r="E16885" s="22" t="s">
        <v>48</v>
      </c>
      <c r="F16885" s="23" t="str">
        <f>HYPERLINK("https://www.spark-marketing.ru/Card/Lot/71332631", "№ ЭА 42922/ 19 ""Оказание услуг по обеспечению питанием пациентов для нужд КГБУЗ КККВД № 1 в 2019 году"".")</f>
        <v>№ ЭА 42922/ 19 "Оказание услуг по обеспечению питанием пациентов для нужд КГБУЗ КККВД № 1 в 2019 году".</v>
      </c>
      <c r="G16885" s="22" t="s">
        <v>281</v>
      </c>
      <c r="H16885" s="22" t="s">
        <v>1036</v>
      </c>
      <c r="I16885" s="26">
        <v>43629.7277777778</v>
      </c>
      <c r="J16885" s="23" t="str">
        <f>HYPERLINK("https://www.spark-marketing.ru/Card/Person/111950", "ООО ""КУЛИНАР""")</f>
        <v>ООО "КУЛИНАР"</v>
      </c>
      <c r="K16885" s="24" t="s">
        <v>10827</v>
      </c>
      <c r="L16885" s="28" t="s">
        <v>51</v>
      </c>
      <c r="M16885" s="25">
        <v>2063284.97</v>
      </c>
      <c r="N16885" s="27">
        <v>4.5000003540834194E-2</v>
      </c>
    </row>
    <row r="16886" spans="1:14" ht="12.75" x14ac:dyDescent="0.2">
      <c r="A16886" s="23" t="str">
        <f>HYPERLINK("https://www.spark-marketing.ru/Card/Person/811044", "ГАУ СО ""УРФА""")</f>
        <v>ГАУ СО "УРФА"</v>
      </c>
      <c r="B16886" s="24" t="s">
        <v>6460</v>
      </c>
      <c r="C16886" s="25">
        <v>103500</v>
      </c>
      <c r="D16886" s="22" t="s">
        <v>22055</v>
      </c>
      <c r="E16886" s="22" t="s">
        <v>6505</v>
      </c>
      <c r="F16886" s="23" t="str">
        <f>HYPERLINK("https://www.spark-marketing.ru/Card/Lot/71331889", "Оказание услуг по организации проживания и питания футбольной команды в период проведения соревнований по футболу")</f>
        <v>Оказание услуг по организации проживания и питания футбольной команды в период проведения соревнований по футболу</v>
      </c>
      <c r="G16886" s="22" t="s">
        <v>469</v>
      </c>
      <c r="H16886" s="22" t="s">
        <v>469</v>
      </c>
      <c r="I16886" s="26">
        <v>43629.711990740703</v>
      </c>
      <c r="J16886" s="23" t="str">
        <f>HYPERLINK("https://www.spark-marketing.ru/Card/Person/4931008", "Саматова Алла Сергеевна")</f>
        <v>Саматова Алла Сергеевна</v>
      </c>
      <c r="K16886" s="24" t="s">
        <v>22056</v>
      </c>
      <c r="L16886" s="22" t="s">
        <v>10</v>
      </c>
      <c r="M16886" s="25">
        <v>103500</v>
      </c>
      <c r="N16886" s="27">
        <v>0</v>
      </c>
    </row>
    <row r="16887" spans="1:14" ht="12.75" x14ac:dyDescent="0.2">
      <c r="A16887" s="23" t="str">
        <f>HYPERLINK("https://www.spark-marketing.ru/Card/Person/542593", "МО МВД РОССИИ ""ИРБИТСКИЙ""")</f>
        <v>МО МВД РОССИИ "ИРБИТСКИЙ"</v>
      </c>
      <c r="B16887" s="24" t="s">
        <v>22057</v>
      </c>
      <c r="C16887" s="25">
        <v>253000</v>
      </c>
      <c r="D16887" s="22" t="s">
        <v>22058</v>
      </c>
      <c r="E16887" s="22" t="s">
        <v>48</v>
      </c>
      <c r="F16887" s="23" t="str">
        <f>HYPERLINK("https://www.spark-marketing.ru/Card/Lot/71337233", "Услуги по изготовлению готовых блюд и их доставке для лиц, подозреваемых и обвиняемых в совершении преступлений, лиц, подвергнутых административному аресту, находящихся в изоляторе временного содержания подозреваемых и обвиняемых межмуниципального от...")</f>
        <v>Услуги по изготовлению готовых блюд и их доставке для лиц, подозреваемых и обвиняемых в совершении преступлений, лиц, подвергнутых административному аресту, находящихся в изоляторе временного содержания подозреваемых и обвиняемых межмуниципального от...</v>
      </c>
      <c r="G16887" s="22" t="s">
        <v>174</v>
      </c>
      <c r="H16887" s="22" t="s">
        <v>20647</v>
      </c>
      <c r="I16887" s="26">
        <v>43629.721527777801</v>
      </c>
      <c r="J16887" s="23" t="str">
        <f>HYPERLINK("https://www.spark-marketing.ru/Card/Person/4420779", "МУП ""КШСП"" МО ГОРОД ИРБИТ")</f>
        <v>МУП "КШСП" МО ГОРОД ИРБИТ</v>
      </c>
      <c r="K16887" s="24" t="s">
        <v>20648</v>
      </c>
      <c r="L16887" s="22" t="s">
        <v>10</v>
      </c>
      <c r="M16887" s="25">
        <v>253000</v>
      </c>
      <c r="N16887" s="27">
        <v>0</v>
      </c>
    </row>
    <row r="16888" spans="1:14" ht="12.75" x14ac:dyDescent="0.2">
      <c r="A16888" s="23" t="str">
        <f>HYPERLINK("https://www.spark-marketing.ru/Card/Person/811044", "ГАУ СО ""УРФА""")</f>
        <v>ГАУ СО "УРФА"</v>
      </c>
      <c r="B16888" s="24" t="s">
        <v>6460</v>
      </c>
      <c r="C16888" s="25">
        <v>114150</v>
      </c>
      <c r="D16888" s="22" t="s">
        <v>22059</v>
      </c>
      <c r="E16888" s="22" t="s">
        <v>6505</v>
      </c>
      <c r="F16888" s="23" t="str">
        <f>HYPERLINK("https://www.spark-marketing.ru/Card/Lot/71332339", "Оказание услуг по организации проживания и питания футбольной команды в период проведения соревнований по футболу")</f>
        <v>Оказание услуг по организации проживания и питания футбольной команды в период проведения соревнований по футболу</v>
      </c>
      <c r="G16888" s="22" t="s">
        <v>469</v>
      </c>
      <c r="H16888" s="22" t="s">
        <v>469</v>
      </c>
      <c r="I16888" s="26">
        <v>43629.708437499998</v>
      </c>
      <c r="J16888" s="23" t="str">
        <f>HYPERLINK("https://www.spark-marketing.ru/Card/Person/1103879", "ООО ""СИНТЕЗ""")</f>
        <v>ООО "СИНТЕЗ"</v>
      </c>
      <c r="K16888" s="24" t="s">
        <v>22060</v>
      </c>
      <c r="L16888" s="22" t="s">
        <v>10</v>
      </c>
      <c r="M16888" s="25">
        <v>114150</v>
      </c>
      <c r="N16888" s="27">
        <v>0</v>
      </c>
    </row>
    <row r="16889" spans="1:14" x14ac:dyDescent="0.15">
      <c r="A16889" s="23" t="str">
        <f>HYPERLINK("https://www.spark-marketing.ru/Card/Person/109157", "МБОУ СОШ №29 Г. СТАВРОПОЛЯ")</f>
        <v>МБОУ СОШ №29 Г. СТАВРОПОЛЯ</v>
      </c>
      <c r="B16889" s="24" t="s">
        <v>22061</v>
      </c>
      <c r="C16889" s="25">
        <v>773030</v>
      </c>
      <c r="D16889" s="22" t="s">
        <v>22062</v>
      </c>
      <c r="E16889" s="22" t="s">
        <v>48</v>
      </c>
      <c r="F16889" s="23" t="str">
        <f>HYPERLINK("https://www.spark-marketing.ru/Card/Lot/71340852", "Услуги по организации питания учащихся МБОУ СОШ №29 г. Ставрополя в сентябре-декабре 2019 года")</f>
        <v>Услуги по организации питания учащихся МБОУ СОШ №29 г. Ставрополя в сентябре-декабре 2019 года</v>
      </c>
      <c r="G16889" s="22" t="s">
        <v>87</v>
      </c>
      <c r="H16889" s="22" t="s">
        <v>87</v>
      </c>
      <c r="I16889" s="26">
        <v>43629.689583333296</v>
      </c>
      <c r="J16889" s="23" t="str">
        <f>HYPERLINK("https://www.spark-marketing.ru/Card/Person/213142", "Звягина Надежда Ильинична")</f>
        <v>Звягина Надежда Ильинична</v>
      </c>
      <c r="K16889" s="24" t="s">
        <v>12311</v>
      </c>
      <c r="L16889" s="22" t="s">
        <v>10</v>
      </c>
      <c r="M16889" s="28" t="s">
        <v>51</v>
      </c>
      <c r="N16889" s="28" t="s">
        <v>51</v>
      </c>
    </row>
    <row r="16890" spans="1:14" x14ac:dyDescent="0.15">
      <c r="A16890" s="23" t="str">
        <f>HYPERLINK("https://www.spark-marketing.ru/Card/Person/1029662", "ФГБУ ""АГЕНТСТВО ""ЭМЕРКОМ""")</f>
        <v>ФГБУ "АГЕНТСТВО "ЭМЕРКОМ"</v>
      </c>
      <c r="B16890" s="24" t="s">
        <v>22063</v>
      </c>
      <c r="C16890" s="25">
        <v>808515.84</v>
      </c>
      <c r="D16890" s="22" t="s">
        <v>22064</v>
      </c>
      <c r="E16890" s="22" t="s">
        <v>19907</v>
      </c>
      <c r="F16890" s="23" t="str">
        <f>HYPERLINK("https://www.spark-marketing.ru/Card/Lot/71341204", "оказание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стр.2")</f>
        <v>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</v>
      </c>
      <c r="G16890" s="22" t="s">
        <v>56</v>
      </c>
      <c r="H16890" s="22" t="s">
        <v>56</v>
      </c>
      <c r="I16890" s="26">
        <v>43629.7006944444</v>
      </c>
      <c r="J16890" s="28" t="s">
        <v>51</v>
      </c>
      <c r="K16890" s="28" t="s">
        <v>51</v>
      </c>
      <c r="L16890" s="28" t="s">
        <v>51</v>
      </c>
      <c r="M16890" s="28" t="s">
        <v>51</v>
      </c>
      <c r="N16890" s="28" t="s">
        <v>51</v>
      </c>
    </row>
    <row r="16891" spans="1:14" hidden="1" outlineLevel="1" x14ac:dyDescent="0.2">
      <c r="A16891" s="23" t="str">
        <f>HYPERLINK("https://www.spark-marketing.ru/Card/Person/1029662", "ФГБУ ""АГЕНТСТВО ""ЭМЕРКОМ""")</f>
        <v>ФГБУ "АГЕНТСТВО "ЭМЕРКОМ"</v>
      </c>
      <c r="B16891" s="24" t="s">
        <v>22063</v>
      </c>
      <c r="C16891" s="25">
        <v>808515.84</v>
      </c>
      <c r="D16891" s="22" t="s">
        <v>22064</v>
      </c>
      <c r="E16891" s="22" t="s">
        <v>19907</v>
      </c>
      <c r="F16891" s="23" t="str">
        <f>HYPERLINK("https://www.spark-marketing.ru/Card/Lot/71341204", "оказание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стр.2")</f>
        <v>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</v>
      </c>
      <c r="G16891" s="22" t="s">
        <v>56</v>
      </c>
      <c r="H16891" s="22" t="s">
        <v>56</v>
      </c>
      <c r="I16891" s="26">
        <v>43629.7006944444</v>
      </c>
      <c r="J16891" s="23" t="str">
        <f>HYPERLINK("https://www.spark-marketing.ru/Card/Person/693569", "ООО ""АФИНА ИНЖИНИРИНГ""")</f>
        <v>ООО "АФИНА ИНЖИНИРИНГ"</v>
      </c>
      <c r="K16891" s="24" t="s">
        <v>22065</v>
      </c>
      <c r="L16891" s="28" t="s">
        <v>51</v>
      </c>
      <c r="M16891" s="25">
        <v>751919.73</v>
      </c>
      <c r="N16891" s="27">
        <v>7.0000001484200977E-2</v>
      </c>
    </row>
    <row r="16892" spans="1:14" hidden="1" outlineLevel="1" x14ac:dyDescent="0.2">
      <c r="A16892" s="23" t="str">
        <f>HYPERLINK("https://www.spark-marketing.ru/Card/Person/1029662", "ФГБУ ""АГЕНТСТВО ""ЭМЕРКОМ""")</f>
        <v>ФГБУ "АГЕНТСТВО "ЭМЕРКОМ"</v>
      </c>
      <c r="B16892" s="24" t="s">
        <v>22063</v>
      </c>
      <c r="C16892" s="25">
        <v>808515.84</v>
      </c>
      <c r="D16892" s="22" t="s">
        <v>22064</v>
      </c>
      <c r="E16892" s="22" t="s">
        <v>19907</v>
      </c>
      <c r="F16892" s="23" t="str">
        <f>HYPERLINK("https://www.spark-marketing.ru/Card/Lot/71341204", "оказание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стр.2")</f>
        <v>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</v>
      </c>
      <c r="G16892" s="22" t="s">
        <v>56</v>
      </c>
      <c r="H16892" s="22" t="s">
        <v>56</v>
      </c>
      <c r="I16892" s="26">
        <v>43629.7006944444</v>
      </c>
      <c r="J16892" s="23" t="str">
        <f>HYPERLINK("https://www.spark-marketing.ru/Card/Person/84923", "ООО ""ОВЕНТАЛ ФМ""")</f>
        <v>ООО "ОВЕНТАЛ ФМ"</v>
      </c>
      <c r="K16892" s="24" t="s">
        <v>22066</v>
      </c>
      <c r="L16892" s="28" t="s">
        <v>51</v>
      </c>
      <c r="M16892" s="25">
        <v>551512.97</v>
      </c>
      <c r="N16892" s="27">
        <v>0.31786992571475159</v>
      </c>
    </row>
    <row r="16893" spans="1:14" ht="12.75" hidden="1" outlineLevel="1" x14ac:dyDescent="0.2">
      <c r="A16893" s="23" t="str">
        <f>HYPERLINK("https://www.spark-marketing.ru/Card/Person/1029662", "ФГБУ ""АГЕНТСТВО ""ЭМЕРКОМ""")</f>
        <v>ФГБУ "АГЕНТСТВО "ЭМЕРКОМ"</v>
      </c>
      <c r="B16893" s="24" t="s">
        <v>22063</v>
      </c>
      <c r="C16893" s="25">
        <v>808515.84</v>
      </c>
      <c r="D16893" s="22" t="s">
        <v>22064</v>
      </c>
      <c r="E16893" s="22" t="s">
        <v>19907</v>
      </c>
      <c r="F16893" s="23" t="str">
        <f>HYPERLINK("https://www.spark-marketing.ru/Card/Lot/71341204", "оказание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стр.2")</f>
        <v>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</v>
      </c>
      <c r="G16893" s="22" t="s">
        <v>56</v>
      </c>
      <c r="H16893" s="22" t="s">
        <v>56</v>
      </c>
      <c r="I16893" s="26">
        <v>43629.7006944444</v>
      </c>
      <c r="J16893" s="23" t="str">
        <f>HYPERLINK("https://www.spark-marketing.ru/Card/Person/4569988", "ООО ""ЭНЕРГО ЭКСПЕРТ МОНТАЖ""")</f>
        <v>ООО "ЭНЕРГО ЭКСПЕРТ МОНТАЖ"</v>
      </c>
      <c r="K16893" s="24" t="s">
        <v>22067</v>
      </c>
      <c r="L16893" s="22" t="s">
        <v>10</v>
      </c>
      <c r="M16893" s="25">
        <v>547470.39</v>
      </c>
      <c r="N16893" s="27">
        <v>0.32286992670421893</v>
      </c>
    </row>
    <row r="16894" spans="1:14" x14ac:dyDescent="0.15">
      <c r="A16894" s="23" t="str">
        <f>HYPERLINK("https://www.spark-marketing.ru/Card/Person/146262", "ФКУ ""ЦХИСО УМВД РОССИИ ПО ЧУКОТСКОМУ АВТОНОМНОМУ ОКРУГУ""")</f>
        <v>ФКУ "ЦХИСО УМВД РОССИИ ПО ЧУКОТСКОМУ АВТОНОМНОМУ ОКРУГУ"</v>
      </c>
      <c r="B16894" s="24" t="s">
        <v>17658</v>
      </c>
      <c r="C16894" s="25">
        <v>1029547</v>
      </c>
      <c r="D16894" s="22" t="s">
        <v>22068</v>
      </c>
      <c r="E16894" s="22" t="s">
        <v>96</v>
      </c>
      <c r="F16894" s="23" t="str">
        <f>HYPERLINK("https://www.spark-marketing.ru/Card/Lot/71314463", "Питание ИВС для нужд МОтд МВД России ""Провиденское"" на 2020 год")</f>
        <v>Питание ИВС для нужд МОтд МВД России "Провиденское" на 2020 год</v>
      </c>
      <c r="G16894" s="22" t="s">
        <v>2674</v>
      </c>
      <c r="H16894" s="22" t="s">
        <v>22069</v>
      </c>
      <c r="I16894" s="26">
        <v>43629.6743055556</v>
      </c>
      <c r="J16894" s="23" t="str">
        <f>HYPERLINK("https://www.spark-marketing.ru/Card/Person/640634", "ЧУКОТСКИЙ СЕВЕРО-ВОСТОЧНЫЙ ТЕХНИКУМ ПОСЁЛКА ПРОВИДЕНИЯ")</f>
        <v>ЧУКОТСКИЙ СЕВЕРО-ВОСТОЧНЫЙ ТЕХНИКУМ ПОСЁЛКА ПРОВИДЕНИЯ</v>
      </c>
      <c r="K16894" s="24" t="s">
        <v>22070</v>
      </c>
      <c r="L16894" s="22" t="s">
        <v>10</v>
      </c>
      <c r="M16894" s="28" t="s">
        <v>51</v>
      </c>
      <c r="N16894" s="28" t="s">
        <v>51</v>
      </c>
    </row>
    <row r="16895" spans="1:14" x14ac:dyDescent="0.15">
      <c r="A16895" s="23" t="str">
        <f>HYPERLINK("https://www.spark-marketing.ru/Card/Person/146262", "ФКУ ""ЦХИСО УМВД РОССИИ ПО ЧУКОТСКОМУ АВТОНОМНОМУ ОКРУГУ""")</f>
        <v>ФКУ "ЦХИСО УМВД РОССИИ ПО ЧУКОТСКОМУ АВТОНОМНОМУ ОКРУГУ"</v>
      </c>
      <c r="B16895" s="24" t="s">
        <v>17658</v>
      </c>
      <c r="C16895" s="25">
        <v>2000000</v>
      </c>
      <c r="D16895" s="22" t="s">
        <v>22071</v>
      </c>
      <c r="E16895" s="22" t="s">
        <v>96</v>
      </c>
      <c r="F16895" s="23" t="str">
        <f>HYPERLINK("https://www.spark-marketing.ru/Card/Lot/71314573", "Питание ИВС для нужд МОМВД России ""Билибинский"" (г.Певек) на 2021 год")</f>
        <v>Питание ИВС для нужд МОМВД России "Билибинский" (г.Певек) на 2021 год</v>
      </c>
      <c r="G16895" s="22" t="s">
        <v>2674</v>
      </c>
      <c r="H16895" s="22" t="s">
        <v>22069</v>
      </c>
      <c r="I16895" s="26">
        <v>43629.6743055556</v>
      </c>
      <c r="J16895" s="23" t="str">
        <f>HYPERLINK("https://www.spark-marketing.ru/Card/Person/677717", "ООО ""НОВЫЙ""")</f>
        <v>ООО "НОВЫЙ"</v>
      </c>
      <c r="K16895" s="24" t="s">
        <v>17721</v>
      </c>
      <c r="L16895" s="22" t="s">
        <v>10</v>
      </c>
      <c r="M16895" s="28" t="s">
        <v>51</v>
      </c>
      <c r="N16895" s="28" t="s">
        <v>51</v>
      </c>
    </row>
    <row r="16896" spans="1:14" x14ac:dyDescent="0.15">
      <c r="A16896" s="23" t="str">
        <f>HYPERLINK("https://www.spark-marketing.ru/Card/Person/23030", "ФКУ ""ЦУКС ГУ МЧС РОССИИ ПО СВЕРДЛОВСКОЙ ОБЛАСТИ""")</f>
        <v>ФКУ "ЦУКС ГУ МЧС РОССИИ ПО СВЕРДЛОВСКОЙ ОБЛАСТИ"</v>
      </c>
      <c r="B16896" s="24" t="s">
        <v>22072</v>
      </c>
      <c r="C16896" s="25">
        <v>796250</v>
      </c>
      <c r="D16896" s="22" t="s">
        <v>22073</v>
      </c>
      <c r="E16896" s="22" t="s">
        <v>48</v>
      </c>
      <c r="F16896" s="23" t="str">
        <f>HYPERLINK("https://www.spark-marketing.ru/Card/Lot/71339053", "Оказание услуг по организации горячего питания")</f>
        <v>Оказание услуг по организации горячего питания</v>
      </c>
      <c r="G16896" s="22" t="s">
        <v>174</v>
      </c>
      <c r="H16896" s="22" t="s">
        <v>530</v>
      </c>
      <c r="I16896" s="26">
        <v>43629.694444444402</v>
      </c>
      <c r="J16896" s="23" t="str">
        <f>HYPERLINK("https://www.spark-marketing.ru/Card/Person/801193", "ООО ""АГАТ""")</f>
        <v>ООО "АГАТ"</v>
      </c>
      <c r="K16896" s="24" t="s">
        <v>22074</v>
      </c>
      <c r="L16896" s="22" t="s">
        <v>10</v>
      </c>
      <c r="M16896" s="28" t="s">
        <v>51</v>
      </c>
      <c r="N16896" s="28" t="s">
        <v>51</v>
      </c>
    </row>
    <row r="16897" spans="1:14" x14ac:dyDescent="0.15">
      <c r="A16897" s="23" t="str">
        <f>HYPERLINK("https://www.spark-marketing.ru/Card/Person/107411", "ОТДЕЛ МВД РОССИИ ПО ТРУНОВСКОМУ РАЙОНУ")</f>
        <v>ОТДЕЛ МВД РОССИИ ПО ТРУНОВСКОМУ РАЙОНУ</v>
      </c>
      <c r="B16897" s="24" t="s">
        <v>21421</v>
      </c>
      <c r="C16897" s="25">
        <v>600000</v>
      </c>
      <c r="D16897" s="22" t="s">
        <v>22075</v>
      </c>
      <c r="E16897" s="22" t="s">
        <v>48</v>
      </c>
      <c r="F16897" s="23" t="str">
        <f>HYPERLINK("https://www.spark-marketing.ru/Card/Lot/71339211", "Питание для лиц содержащихся в ИВС (Оказание услуг по приготовлению трехразового питания, для обеспечения государственных нужд)")</f>
        <v>Питание для лиц содержащихся в ИВС (Оказание услуг по приготовлению трехразового питания, для обеспечения государственных нужд)</v>
      </c>
      <c r="G16897" s="22" t="s">
        <v>87</v>
      </c>
      <c r="H16897" s="22" t="s">
        <v>21423</v>
      </c>
      <c r="I16897" s="26">
        <v>43629.698611111096</v>
      </c>
      <c r="J16897" s="23" t="str">
        <f>HYPERLINK("https://www.spark-marketing.ru/Card/Person/950178", "Левин Евгений Николаевич")</f>
        <v>Левин Евгений Николаевич</v>
      </c>
      <c r="K16897" s="24" t="s">
        <v>6994</v>
      </c>
      <c r="L16897" s="22" t="s">
        <v>10</v>
      </c>
      <c r="M16897" s="28" t="s">
        <v>51</v>
      </c>
      <c r="N16897" s="28" t="s">
        <v>51</v>
      </c>
    </row>
    <row r="16898" spans="1:14" x14ac:dyDescent="0.15">
      <c r="A16898" s="23" t="str">
        <f>HYPERLINK("https://www.spark-marketing.ru/Card/Person/146262", "ФКУ ""ЦХИСО УМВД РОССИИ ПО ЧУКОТСКОМУ АВТОНОМНОМУ ОКРУГУ""")</f>
        <v>ФКУ "ЦХИСО УМВД РОССИИ ПО ЧУКОТСКОМУ АВТОНОМНОМУ ОКРУГУ"</v>
      </c>
      <c r="B16898" s="24" t="s">
        <v>17658</v>
      </c>
      <c r="C16898" s="25">
        <v>4200000</v>
      </c>
      <c r="D16898" s="22" t="s">
        <v>22076</v>
      </c>
      <c r="E16898" s="22" t="s">
        <v>96</v>
      </c>
      <c r="F16898" s="23" t="str">
        <f>HYPERLINK("https://www.spark-marketing.ru/Card/Lot/71316857", "Питание ИВС для нужд МОМВД России ""Анадырский"" на 2020 год")</f>
        <v>Питание ИВС для нужд МОМВД России "Анадырский" на 2020 год</v>
      </c>
      <c r="G16898" s="22" t="s">
        <v>2674</v>
      </c>
      <c r="H16898" s="22" t="s">
        <v>22069</v>
      </c>
      <c r="I16898" s="26">
        <v>43629.692361111098</v>
      </c>
      <c r="J16898" s="23" t="str">
        <f>HYPERLINK("https://www.spark-marketing.ru/Card/Person/4362282", "ООО ТЦ ""НОВОМАРИИНСКИЙ """)</f>
        <v>ООО ТЦ "НОВОМАРИИНСКИЙ "</v>
      </c>
      <c r="K16898" s="24" t="s">
        <v>22077</v>
      </c>
      <c r="L16898" s="22" t="s">
        <v>10</v>
      </c>
      <c r="M16898" s="28" t="s">
        <v>51</v>
      </c>
      <c r="N16898" s="28" t="s">
        <v>51</v>
      </c>
    </row>
    <row r="16899" spans="1:14" x14ac:dyDescent="0.15">
      <c r="A16899" s="23" t="str">
        <f>HYPERLINK("https://www.spark-marketing.ru/Card/Person/30912", "ГЛАВНОЕ УПРАВЛЕНИЕ МЧС РОССИИ ПО Г. МОСКВЕ")</f>
        <v>ГЛАВНОЕ УПРАВЛЕНИЕ МЧС РОССИИ ПО Г. МОСКВЕ</v>
      </c>
      <c r="B16899" s="24" t="s">
        <v>17951</v>
      </c>
      <c r="C16899" s="25">
        <v>4040365</v>
      </c>
      <c r="D16899" s="22" t="s">
        <v>22078</v>
      </c>
      <c r="E16899" s="22" t="s">
        <v>48</v>
      </c>
      <c r="F16899" s="23" t="str">
        <f>HYPERLINK("https://www.spark-marketing.ru/Card/Lot/71340784", "Оказание услуг по организации питания сотрудников Главного управления МЧС России по г. Москве")</f>
        <v>Оказание услуг по организации питания сотрудников Главного управления МЧС России по г. Москве</v>
      </c>
      <c r="G16899" s="22" t="s">
        <v>56</v>
      </c>
      <c r="H16899" s="22" t="s">
        <v>56</v>
      </c>
      <c r="I16899" s="26">
        <v>43629.702777777798</v>
      </c>
      <c r="J16899" s="28" t="s">
        <v>51</v>
      </c>
      <c r="K16899" s="28" t="s">
        <v>51</v>
      </c>
      <c r="L16899" s="28" t="s">
        <v>51</v>
      </c>
      <c r="M16899" s="28" t="s">
        <v>51</v>
      </c>
      <c r="N16899" s="28" t="s">
        <v>51</v>
      </c>
    </row>
    <row r="16900" spans="1:14" hidden="1" outlineLevel="1" x14ac:dyDescent="0.2">
      <c r="A16900" s="23" t="str">
        <f>HYPERLINK("https://www.spark-marketing.ru/Card/Person/30912", "ГЛАВНОЕ УПРАВЛЕНИЕ МЧС РОССИИ ПО Г. МОСКВЕ")</f>
        <v>ГЛАВНОЕ УПРАВЛЕНИЕ МЧС РОССИИ ПО Г. МОСКВЕ</v>
      </c>
      <c r="B16900" s="24" t="s">
        <v>17951</v>
      </c>
      <c r="C16900" s="25">
        <v>4040365</v>
      </c>
      <c r="D16900" s="22" t="s">
        <v>22078</v>
      </c>
      <c r="E16900" s="22" t="s">
        <v>48</v>
      </c>
      <c r="F16900" s="23" t="str">
        <f>HYPERLINK("https://www.spark-marketing.ru/Card/Lot/71340784", "Оказание услуг по организации питания сотрудников Главного управления МЧС России по г. Москве")</f>
        <v>Оказание услуг по организации питания сотрудников Главного управления МЧС России по г. Москве</v>
      </c>
      <c r="G16900" s="22" t="s">
        <v>56</v>
      </c>
      <c r="H16900" s="22" t="s">
        <v>56</v>
      </c>
      <c r="I16900" s="26">
        <v>43629.702777777798</v>
      </c>
      <c r="J16900" s="23" t="str">
        <f>HYPERLINK("https://www.spark-marketing.ru/Card/Person/1607786", "ООО ""МАРМЕЛАД""")</f>
        <v>ООО "МАРМЕЛАД"</v>
      </c>
      <c r="K16900" s="24" t="s">
        <v>17953</v>
      </c>
      <c r="L16900" s="28" t="s">
        <v>51</v>
      </c>
      <c r="M16900" s="25">
        <v>3272695.46</v>
      </c>
      <c r="N16900" s="27">
        <v>0.19000004702545439</v>
      </c>
    </row>
    <row r="16901" spans="1:14" ht="12.75" hidden="1" outlineLevel="1" x14ac:dyDescent="0.2">
      <c r="A16901" s="23" t="str">
        <f>HYPERLINK("https://www.spark-marketing.ru/Card/Person/30912", "ГЛАВНОЕ УПРАВЛЕНИЕ МЧС РОССИИ ПО Г. МОСКВЕ")</f>
        <v>ГЛАВНОЕ УПРАВЛЕНИЕ МЧС РОССИИ ПО Г. МОСКВЕ</v>
      </c>
      <c r="B16901" s="24" t="s">
        <v>17951</v>
      </c>
      <c r="C16901" s="25">
        <v>4040365</v>
      </c>
      <c r="D16901" s="22" t="s">
        <v>22078</v>
      </c>
      <c r="E16901" s="22" t="s">
        <v>48</v>
      </c>
      <c r="F16901" s="23" t="str">
        <f>HYPERLINK("https://www.spark-marketing.ru/Card/Lot/71340784", "Оказание услуг по организации питания сотрудников Главного управления МЧС России по г. Москве")</f>
        <v>Оказание услуг по организации питания сотрудников Главного управления МЧС России по г. Москве</v>
      </c>
      <c r="G16901" s="22" t="s">
        <v>56</v>
      </c>
      <c r="H16901" s="22" t="s">
        <v>56</v>
      </c>
      <c r="I16901" s="26">
        <v>43629.702777777798</v>
      </c>
      <c r="J16901" s="23" t="str">
        <f>HYPERLINK("https://www.spark-marketing.ru/Card/Person/6578901", "ООО ""ДОРОГА""")</f>
        <v>ООО "ДОРОГА"</v>
      </c>
      <c r="K16901" s="24" t="s">
        <v>3102</v>
      </c>
      <c r="L16901" s="22" t="s">
        <v>10</v>
      </c>
      <c r="M16901" s="25">
        <v>3252493.63</v>
      </c>
      <c r="N16901" s="27">
        <v>0.19500004826296635</v>
      </c>
    </row>
    <row r="16902" spans="1:14" x14ac:dyDescent="0.15">
      <c r="A16902" s="23" t="str">
        <f>HYPERLINK("https://www.spark-marketing.ru/Card/Person/146262", "ФКУ ""ЦХИСО УМВД РОССИИ ПО ЧУКОТСКОМУ АВТОНОМНОМУ ОКРУГУ""")</f>
        <v>ФКУ "ЦХИСО УМВД РОССИИ ПО ЧУКОТСКОМУ АВТОНОМНОМУ ОКРУГУ"</v>
      </c>
      <c r="B16902" s="24" t="s">
        <v>17658</v>
      </c>
      <c r="C16902" s="25">
        <v>4200000</v>
      </c>
      <c r="D16902" s="22" t="s">
        <v>22079</v>
      </c>
      <c r="E16902" s="22" t="s">
        <v>96</v>
      </c>
      <c r="F16902" s="23" t="str">
        <f>HYPERLINK("https://www.spark-marketing.ru/Card/Lot/71314582", "Питание ИВС для нужд МОМВД России ""Анадырский"" на 2021 год")</f>
        <v>Питание ИВС для нужд МОМВД России "Анадырский" на 2021 год</v>
      </c>
      <c r="G16902" s="22" t="s">
        <v>2674</v>
      </c>
      <c r="H16902" s="22" t="s">
        <v>22069</v>
      </c>
      <c r="I16902" s="26">
        <v>43629.6743055556</v>
      </c>
      <c r="J16902" s="28" t="s">
        <v>51</v>
      </c>
      <c r="K16902" s="28" t="s">
        <v>51</v>
      </c>
      <c r="L16902" s="28" t="s">
        <v>51</v>
      </c>
      <c r="M16902" s="28" t="s">
        <v>51</v>
      </c>
      <c r="N16902" s="28" t="s">
        <v>51</v>
      </c>
    </row>
    <row r="16903" spans="1:14" x14ac:dyDescent="0.15">
      <c r="A16903" s="23" t="str">
        <f>HYPERLINK("https://www.spark-marketing.ru/Card/Person/131439", "УМВД РОССИИ ПО Г.ВОЛОГДЕ")</f>
        <v>УМВД РОССИИ ПО Г.ВОЛОГДЕ</v>
      </c>
      <c r="B16903" s="24" t="s">
        <v>3194</v>
      </c>
      <c r="C16903" s="25">
        <v>110100</v>
      </c>
      <c r="D16903" s="22" t="s">
        <v>22080</v>
      </c>
      <c r="E16903" s="22" t="s">
        <v>96</v>
      </c>
      <c r="F16903" s="23" t="str">
        <f>HYPERLINK("https://www.spark-marketing.ru/Card/Lot/71340015", "Оказание услуг по обеспечению ежедневным питанием задержанных лиц")</f>
        <v>Оказание услуг по обеспечению ежедневным питанием задержанных лиц</v>
      </c>
      <c r="G16903" s="22" t="s">
        <v>503</v>
      </c>
      <c r="H16903" s="22" t="s">
        <v>962</v>
      </c>
      <c r="I16903" s="26">
        <v>43629.701388888898</v>
      </c>
      <c r="J16903" s="23" t="str">
        <f>HYPERLINK("https://www.spark-marketing.ru/Card/Person/105572", "ООО ""ЦЕНТРОПИТ""")</f>
        <v>ООО "ЦЕНТРОПИТ"</v>
      </c>
      <c r="K16903" s="24" t="s">
        <v>3196</v>
      </c>
      <c r="L16903" s="22" t="s">
        <v>10</v>
      </c>
      <c r="M16903" s="28" t="s">
        <v>51</v>
      </c>
      <c r="N16903" s="28" t="s">
        <v>51</v>
      </c>
    </row>
    <row r="16904" spans="1:14" x14ac:dyDescent="0.15">
      <c r="A16904" s="23" t="str">
        <f>HYPERLINK("https://www.spark-marketing.ru/Card/Person/20324", "МЕЖМУНИЦИПАЛЬНЫЙ ОТДЕЛ МВД РОССИИ ""КУРАГИНСКИЙ""")</f>
        <v>МЕЖМУНИЦИПАЛЬНЫЙ ОТДЕЛ МВД РОССИИ "КУРАГИНСКИЙ"</v>
      </c>
      <c r="B16904" s="24" t="s">
        <v>18307</v>
      </c>
      <c r="C16904" s="25">
        <v>1050000</v>
      </c>
      <c r="D16904" s="22" t="s">
        <v>22081</v>
      </c>
      <c r="E16904" s="22" t="s">
        <v>48</v>
      </c>
      <c r="F16904" s="23" t="str">
        <f>HYPERLINK("https://www.spark-marketing.ru/Card/Lot/71330121", "организация 3-х разового горячего питания")</f>
        <v>организация 3-х разового горячего питания</v>
      </c>
      <c r="G16904" s="22" t="s">
        <v>281</v>
      </c>
      <c r="H16904" s="22" t="s">
        <v>18309</v>
      </c>
      <c r="I16904" s="26">
        <v>43629.697916666701</v>
      </c>
      <c r="J16904" s="28" t="s">
        <v>51</v>
      </c>
      <c r="K16904" s="28" t="s">
        <v>51</v>
      </c>
      <c r="L16904" s="28" t="s">
        <v>51</v>
      </c>
      <c r="M16904" s="28" t="s">
        <v>51</v>
      </c>
      <c r="N16904" s="28" t="s">
        <v>51</v>
      </c>
    </row>
    <row r="16905" spans="1:14" x14ac:dyDescent="0.15">
      <c r="A16905" s="23" t="str">
        <f>HYPERLINK("https://www.spark-marketing.ru/Card/Person/4365569", "ФГУП ""РОСМОРПОРТ""")</f>
        <v>ФГУП "РОСМОРПОРТ"</v>
      </c>
      <c r="B16905" s="24" t="s">
        <v>1266</v>
      </c>
      <c r="C16905" s="28" t="s">
        <v>51</v>
      </c>
      <c r="D16905" s="22" t="s">
        <v>22082</v>
      </c>
      <c r="E16905" s="22" t="s">
        <v>362</v>
      </c>
      <c r="F16905" s="23" t="str">
        <f>HYPERLINK("https://www.spark-marketing.ru/Card/Lot/74016403", "Предоставление услуг по трехразовому горячему питанию для экипажей судов внутрипортового флота порта Туапсе")</f>
        <v>Предоставление услуг по трехразовому горячему питанию для экипажей судов внутрипортового флота порта Туапсе</v>
      </c>
      <c r="G16905" s="22" t="s">
        <v>104</v>
      </c>
      <c r="H16905" s="22" t="s">
        <v>1721</v>
      </c>
      <c r="I16905" s="26">
        <v>43629.689583333296</v>
      </c>
      <c r="J16905" s="28" t="s">
        <v>51</v>
      </c>
      <c r="K16905" s="28" t="s">
        <v>51</v>
      </c>
      <c r="L16905" s="28" t="s">
        <v>51</v>
      </c>
      <c r="M16905" s="28" t="s">
        <v>51</v>
      </c>
      <c r="N16905" s="28" t="s">
        <v>51</v>
      </c>
    </row>
    <row r="16906" spans="1:14" x14ac:dyDescent="0.15">
      <c r="A16906" s="23" t="str">
        <f>HYPERLINK("https://www.spark-marketing.ru/Card/Person/60982", "МЕЖМУНИЦИПАЛЬНЫЙ ОТДЕЛ МВД РОССИИ ""БАЛАХТИНСКИЙ""")</f>
        <v>МЕЖМУНИЦИПАЛЬНЫЙ ОТДЕЛ МВД РОССИИ "БАЛАХТИНСКИЙ"</v>
      </c>
      <c r="B16906" s="24" t="s">
        <v>22083</v>
      </c>
      <c r="C16906" s="25">
        <v>1090000</v>
      </c>
      <c r="D16906" s="22" t="s">
        <v>22084</v>
      </c>
      <c r="E16906" s="22" t="s">
        <v>48</v>
      </c>
      <c r="F16906" s="23" t="str">
        <f>HYPERLINK("https://www.spark-marketing.ru/Card/Lot/71330200", "Оказание услуг по обеспечению горячим питанием лиц, содержащихся под стражей, и административно- арестованных лиц содержащихся в ИВС, а также лиц, задержанных на срок более трех часов, содержащихся в Межмуниципальном отделе МВД России ""Балахтинский...")</f>
        <v>Оказание услуг по обеспечению горячим питанием лиц, содержащихся под стражей, и административно- арестованных лиц содержащихся в ИВС, а также лиц, задержанных на срок более трех часов, содержащихся в Межмуниципальном отделе МВД России "Балахтинский...</v>
      </c>
      <c r="G16906" s="22" t="s">
        <v>281</v>
      </c>
      <c r="H16906" s="22" t="s">
        <v>22085</v>
      </c>
      <c r="I16906" s="26">
        <v>43629.683333333298</v>
      </c>
      <c r="J16906" s="23" t="str">
        <f>HYPERLINK("https://www.spark-marketing.ru/Card/Person/182043", "АО ""БАЛАХТИНСКОЕ ДРСУ""")</f>
        <v>АО "БАЛАХТИНСКОЕ ДРСУ"</v>
      </c>
      <c r="K16906" s="24" t="s">
        <v>22086</v>
      </c>
      <c r="L16906" s="22" t="s">
        <v>10</v>
      </c>
      <c r="M16906" s="28" t="s">
        <v>51</v>
      </c>
      <c r="N16906" s="28" t="s">
        <v>51</v>
      </c>
    </row>
    <row r="16907" spans="1:14" x14ac:dyDescent="0.15">
      <c r="A16907" s="23" t="str">
        <f>HYPERLINK("https://www.spark-marketing.ru/Card/Person/20207", "МБОУ ЛИЦЕЙ № 23 Г.СТАВРОПОЛЯ")</f>
        <v>МБОУ ЛИЦЕЙ № 23 Г.СТАВРОПОЛЯ</v>
      </c>
      <c r="B16907" s="24" t="s">
        <v>22087</v>
      </c>
      <c r="C16907" s="25">
        <v>849840</v>
      </c>
      <c r="D16907" s="22" t="s">
        <v>22088</v>
      </c>
      <c r="E16907" s="22" t="s">
        <v>48</v>
      </c>
      <c r="F16907" s="23" t="str">
        <f>HYPERLINK("https://www.spark-marketing.ru/Card/Lot/71340842", "Услуги по организации питания учащихся МБОУ лицея № 23 г.Ставрополя в сентябре-декабре 2019 года")</f>
        <v>Услуги по организации питания учащихся МБОУ лицея № 23 г.Ставрополя в сентябре-декабре 2019 года</v>
      </c>
      <c r="G16907" s="22" t="s">
        <v>87</v>
      </c>
      <c r="H16907" s="22" t="s">
        <v>87</v>
      </c>
      <c r="I16907" s="26">
        <v>43629.684722222199</v>
      </c>
      <c r="J16907" s="23" t="str">
        <f>HYPERLINK("https://www.spark-marketing.ru/Card/Person/213142", "Звягина Надежда Ильинична")</f>
        <v>Звягина Надежда Ильинична</v>
      </c>
      <c r="K16907" s="24" t="s">
        <v>12311</v>
      </c>
      <c r="L16907" s="22" t="s">
        <v>10</v>
      </c>
      <c r="M16907" s="28" t="s">
        <v>51</v>
      </c>
      <c r="N16907" s="28" t="s">
        <v>51</v>
      </c>
    </row>
    <row r="16908" spans="1:14" x14ac:dyDescent="0.15">
      <c r="A16908" s="23" t="str">
        <f>HYPERLINK("https://www.spark-marketing.ru/Card/Person/20324", "МЕЖМУНИЦИПАЛЬНЫЙ ОТДЕЛ МВД РОССИИ ""КУРАГИНСКИЙ""")</f>
        <v>МЕЖМУНИЦИПАЛЬНЫЙ ОТДЕЛ МВД РОССИИ "КУРАГИНСКИЙ"</v>
      </c>
      <c r="B16908" s="24" t="s">
        <v>18307</v>
      </c>
      <c r="C16908" s="25">
        <v>1050000</v>
      </c>
      <c r="D16908" s="22" t="s">
        <v>22089</v>
      </c>
      <c r="E16908" s="22" t="s">
        <v>48</v>
      </c>
      <c r="F16908" s="23" t="str">
        <f>HYPERLINK("https://www.spark-marketing.ru/Card/Lot/71330122", "организация 3-х разового горячего питания")</f>
        <v>организация 3-х разового горячего питания</v>
      </c>
      <c r="G16908" s="22" t="s">
        <v>281</v>
      </c>
      <c r="H16908" s="22" t="s">
        <v>18309</v>
      </c>
      <c r="I16908" s="26">
        <v>43629.6965277778</v>
      </c>
      <c r="J16908" s="28" t="s">
        <v>51</v>
      </c>
      <c r="K16908" s="28" t="s">
        <v>51</v>
      </c>
      <c r="L16908" s="28" t="s">
        <v>51</v>
      </c>
      <c r="M16908" s="28" t="s">
        <v>51</v>
      </c>
      <c r="N16908" s="28" t="s">
        <v>51</v>
      </c>
    </row>
    <row r="16909" spans="1:14" x14ac:dyDescent="0.15">
      <c r="A16909" s="23" t="str">
        <f>HYPERLINK("https://www.spark-marketing.ru/Card/Person/146262", "ФКУ ""ЦХИСО УМВД РОССИИ ПО ЧУКОТСКОМУ АВТОНОМНОМУ ОКРУГУ""")</f>
        <v>ФКУ "ЦХИСО УМВД РОССИИ ПО ЧУКОТСКОМУ АВТОНОМНОМУ ОКРУГУ"</v>
      </c>
      <c r="B16909" s="24" t="s">
        <v>17658</v>
      </c>
      <c r="C16909" s="25">
        <v>1029547</v>
      </c>
      <c r="D16909" s="22" t="s">
        <v>22090</v>
      </c>
      <c r="E16909" s="22" t="s">
        <v>96</v>
      </c>
      <c r="F16909" s="23" t="str">
        <f>HYPERLINK("https://www.spark-marketing.ru/Card/Lot/71314464", "Питание ИВС для нужд МОтд МВД России ""Провидение"" на 2021 год")</f>
        <v>Питание ИВС для нужд МОтд МВД России "Провидение" на 2021 год</v>
      </c>
      <c r="G16909" s="22" t="s">
        <v>2674</v>
      </c>
      <c r="H16909" s="22" t="s">
        <v>22069</v>
      </c>
      <c r="I16909" s="26">
        <v>43629.6743055556</v>
      </c>
      <c r="J16909" s="23" t="str">
        <f>HYPERLINK("https://www.spark-marketing.ru/Card/Person/640634", "ЧУКОТСКИЙ СЕВЕРО-ВОСТОЧНЫЙ ТЕХНИКУМ ПОСЁЛКА ПРОВИДЕНИЯ")</f>
        <v>ЧУКОТСКИЙ СЕВЕРО-ВОСТОЧНЫЙ ТЕХНИКУМ ПОСЁЛКА ПРОВИДЕНИЯ</v>
      </c>
      <c r="K16909" s="24" t="s">
        <v>22070</v>
      </c>
      <c r="L16909" s="22" t="s">
        <v>10</v>
      </c>
      <c r="M16909" s="28" t="s">
        <v>51</v>
      </c>
      <c r="N16909" s="28" t="s">
        <v>51</v>
      </c>
    </row>
    <row r="16910" spans="1:14" x14ac:dyDescent="0.15">
      <c r="A16910" s="23" t="str">
        <f>HYPERLINK("https://www.spark-marketing.ru/Card/Person/4429130", "МАОУ СОШ № 197")</f>
        <v>МАОУ СОШ № 197</v>
      </c>
      <c r="B16910" s="24" t="s">
        <v>22091</v>
      </c>
      <c r="C16910" s="25">
        <v>267750</v>
      </c>
      <c r="D16910" s="22" t="s">
        <v>22092</v>
      </c>
      <c r="E16910" s="22" t="s">
        <v>362</v>
      </c>
      <c r="F16910" s="23" t="str">
        <f>HYPERLINK("https://www.spark-marketing.ru/Card/Lot/71331860", "Оказание услуг по организации питания детей в городском летнем оздоровительном лагере при МАОУ СОШ № 197 в период с 25.06.2019 по 15.07.2019 г.")</f>
        <v>Оказание услуг по организации питания детей в городском летнем оздоровительном лагере при МАОУ СОШ № 197 в период с 25.06.2019 по 15.07.2019 г.</v>
      </c>
      <c r="G16910" s="22" t="s">
        <v>174</v>
      </c>
      <c r="H16910" s="22" t="s">
        <v>174</v>
      </c>
      <c r="I16910" s="26">
        <v>43629.684872685197</v>
      </c>
      <c r="J16910" s="28" t="s">
        <v>51</v>
      </c>
      <c r="K16910" s="28" t="s">
        <v>51</v>
      </c>
      <c r="L16910" s="28" t="s">
        <v>51</v>
      </c>
      <c r="M16910" s="28" t="s">
        <v>51</v>
      </c>
      <c r="N16910" s="28" t="s">
        <v>51</v>
      </c>
    </row>
    <row r="16911" spans="1:14" x14ac:dyDescent="0.15">
      <c r="A16911" s="23" t="str">
        <f>HYPERLINK("https://www.spark-marketing.ru/Card/Person/146262", "ФКУ ""ЦХИСО УМВД РОССИИ ПО ЧУКОТСКОМУ АВТОНОМНОМУ ОКРУГУ""")</f>
        <v>ФКУ "ЦХИСО УМВД РОССИИ ПО ЧУКОТСКОМУ АВТОНОМНОМУ ОКРУГУ"</v>
      </c>
      <c r="B16911" s="24" t="s">
        <v>17658</v>
      </c>
      <c r="C16911" s="25">
        <v>2000000</v>
      </c>
      <c r="D16911" s="22" t="s">
        <v>22093</v>
      </c>
      <c r="E16911" s="22" t="s">
        <v>96</v>
      </c>
      <c r="F16911" s="23" t="str">
        <f>HYPERLINK("https://www.spark-marketing.ru/Card/Lot/71314627", "Питание ИВС г.Певек")</f>
        <v>Питание ИВС г.Певек</v>
      </c>
      <c r="G16911" s="22" t="s">
        <v>2674</v>
      </c>
      <c r="H16911" s="22" t="s">
        <v>22069</v>
      </c>
      <c r="I16911" s="26">
        <v>43629.6743055556</v>
      </c>
      <c r="J16911" s="28" t="s">
        <v>51</v>
      </c>
      <c r="K16911" s="28" t="s">
        <v>51</v>
      </c>
      <c r="L16911" s="28" t="s">
        <v>51</v>
      </c>
      <c r="M16911" s="28" t="s">
        <v>51</v>
      </c>
      <c r="N16911" s="28" t="s">
        <v>51</v>
      </c>
    </row>
    <row r="16912" spans="1:14" x14ac:dyDescent="0.15">
      <c r="A16912" s="23" t="str">
        <f>HYPERLINK("https://www.spark-marketing.ru/Card/Person/54226", "ОМВД РОССИИ ПО ГОРОДУ МОНЧЕГОРСКУ")</f>
        <v>ОМВД РОССИИ ПО ГОРОДУ МОНЧЕГОРСКУ</v>
      </c>
      <c r="B16912" s="24" t="s">
        <v>8248</v>
      </c>
      <c r="C16912" s="25">
        <v>98000</v>
      </c>
      <c r="D16912" s="22" t="s">
        <v>22094</v>
      </c>
      <c r="E16912" s="22" t="s">
        <v>48</v>
      </c>
      <c r="F16912" s="23" t="str">
        <f>HYPERLINK("https://www.spark-marketing.ru/Card/Lot/71333900", "Услуги по обеспечению питанием, осуществляемые по договору, 280 усл. ед")</f>
        <v>Услуги по обеспечению питанием, осуществляемые по договору, 280 усл. ед</v>
      </c>
      <c r="G16912" s="22" t="s">
        <v>340</v>
      </c>
      <c r="H16912" s="22" t="s">
        <v>8250</v>
      </c>
      <c r="I16912" s="26">
        <v>43629.682187500002</v>
      </c>
      <c r="J16912" s="28" t="s">
        <v>51</v>
      </c>
      <c r="K16912" s="28" t="s">
        <v>51</v>
      </c>
      <c r="L16912" s="28" t="s">
        <v>51</v>
      </c>
      <c r="M16912" s="28" t="s">
        <v>51</v>
      </c>
      <c r="N16912" s="28" t="s">
        <v>51</v>
      </c>
    </row>
    <row r="16913" spans="1:14" x14ac:dyDescent="0.15">
      <c r="A16913" s="23" t="str">
        <f>HYPERLINK("https://www.spark-marketing.ru/Card/Person/101190", "МБОУ ""СОЛНЕЧНАЯ СОШ №1""")</f>
        <v>МБОУ "СОЛНЕЧНАЯ СОШ №1"</v>
      </c>
      <c r="B16913" s="24" t="s">
        <v>22095</v>
      </c>
      <c r="C16913" s="25">
        <v>39187.269999999997</v>
      </c>
      <c r="D16913" s="22" t="s">
        <v>22096</v>
      </c>
      <c r="E16913" s="22" t="s">
        <v>1166</v>
      </c>
      <c r="F16913" s="23" t="str">
        <f>HYPERLINK("https://www.spark-marketing.ru/Card/Lot/71333305", "Оказание услуг по утилизации")</f>
        <v>Оказание услуг по утилизации</v>
      </c>
      <c r="G16913" s="22" t="s">
        <v>97</v>
      </c>
      <c r="H16913" s="22" t="s">
        <v>199</v>
      </c>
      <c r="I16913" s="26">
        <v>43629.680555555598</v>
      </c>
      <c r="J16913" s="28" t="s">
        <v>51</v>
      </c>
      <c r="K16913" s="28" t="s">
        <v>51</v>
      </c>
      <c r="L16913" s="28" t="s">
        <v>51</v>
      </c>
      <c r="M16913" s="28" t="s">
        <v>51</v>
      </c>
      <c r="N16913" s="28" t="s">
        <v>51</v>
      </c>
    </row>
    <row r="16914" spans="1:14" x14ac:dyDescent="0.15">
      <c r="A16914" s="23" t="str">
        <f>HYPERLINK("https://www.spark-marketing.ru/Card/Person/111610", "МБОУ ""ШЕМЕТОВСКАЯ СРЕДНЯЯ ОБЩЕОБРАЗОВАТЕЛЬНАЯ ШКОЛА""")</f>
        <v>МБОУ "ШЕМЕТОВСКАЯ СРЕДНЯЯ ОБЩЕОБРАЗОВАТЕЛЬНАЯ ШКОЛА"</v>
      </c>
      <c r="B16914" s="24" t="s">
        <v>22097</v>
      </c>
      <c r="C16914" s="25">
        <v>36480</v>
      </c>
      <c r="D16914" s="22" t="s">
        <v>22098</v>
      </c>
      <c r="E16914" s="22" t="s">
        <v>48</v>
      </c>
      <c r="F16914" s="23" t="str">
        <f>HYPERLINK("https://www.spark-marketing.ru/Card/Lot/71329969", "Организация питания в летнем лагере")</f>
        <v>Организация питания в летнем лагере</v>
      </c>
      <c r="G16914" s="22" t="s">
        <v>49</v>
      </c>
      <c r="H16914" s="22" t="s">
        <v>1185</v>
      </c>
      <c r="I16914" s="26">
        <v>43629.628576388903</v>
      </c>
      <c r="J16914" s="28" t="s">
        <v>51</v>
      </c>
      <c r="K16914" s="28" t="s">
        <v>51</v>
      </c>
      <c r="L16914" s="28" t="s">
        <v>51</v>
      </c>
      <c r="M16914" s="28" t="s">
        <v>51</v>
      </c>
      <c r="N16914" s="28" t="s">
        <v>51</v>
      </c>
    </row>
    <row r="16915" spans="1:14" x14ac:dyDescent="0.15">
      <c r="A16915" s="23" t="str">
        <f>HYPERLINK("https://www.spark-marketing.ru/Card/Person/4856439", "ГУ-ВОРОНЕЖСКОЕ РО ФОНДА СОЦИАЛЬНОГО СТРАХОВАНИЯ РОССИЙСКОЙ ФЕДЕРАЦИИ")</f>
        <v>ГУ-ВОРОНЕЖСКОЕ РО ФОНДА СОЦИАЛЬНОГО СТРАХОВАНИЯ РОССИЙСКОЙ ФЕДЕРАЦИИ</v>
      </c>
      <c r="B16915" s="24" t="s">
        <v>3625</v>
      </c>
      <c r="C16915" s="25">
        <v>224586</v>
      </c>
      <c r="D16915" s="22" t="s">
        <v>22099</v>
      </c>
      <c r="E16915" s="22" t="s">
        <v>86</v>
      </c>
      <c r="F16915" s="23" t="str">
        <f>HYPERLINK("https://www.spark-marketing.ru/Card/Lot/71340413", "Оказание услуг санаторно-курортного лечения граждан-получателей государственной социальной помощи в виде набора социальных услуг по профилям лечения болезней органов зрения, нервной системы, опорно-двигательного аппарата, органов пищеварения, эндокри...")</f>
        <v>Оказание услуг санаторно-курортного лечения граждан-получателей государственной социальной помощи в виде набора социальных услуг по профилям лечения болезней органов зрения, нервной системы, опорно-двигательного аппарата, органов пищеварения, эндокри...</v>
      </c>
      <c r="G16915" s="22" t="s">
        <v>87</v>
      </c>
      <c r="H16915" s="22" t="s">
        <v>5826</v>
      </c>
      <c r="I16915" s="26">
        <v>43629.65625</v>
      </c>
      <c r="J16915" s="23" t="str">
        <f>HYPERLINK("https://www.spark-marketing.ru/Card/Person/174093", "САНАТОРИЙ ""МАШУК"" ВОС")</f>
        <v>САНАТОРИЙ "МАШУК" ВОС</v>
      </c>
      <c r="K16915" s="24" t="s">
        <v>4461</v>
      </c>
      <c r="L16915" s="22" t="s">
        <v>10</v>
      </c>
      <c r="M16915" s="28" t="s">
        <v>51</v>
      </c>
      <c r="N16915" s="28" t="s">
        <v>51</v>
      </c>
    </row>
    <row r="16916" spans="1:14" x14ac:dyDescent="0.15">
      <c r="A16916" s="23" t="str">
        <f>HYPERLINK("https://www.spark-marketing.ru/Card/Person/209890", "ГАУ ДО РС (Я) ""ЦОИОД ""СОСНОВЫЙ БОР""")</f>
        <v>ГАУ ДО РС (Я) "ЦОИОД "СОСНОВЫЙ БОР"</v>
      </c>
      <c r="B16916" s="24" t="s">
        <v>5718</v>
      </c>
      <c r="C16916" s="25">
        <v>3386880</v>
      </c>
      <c r="D16916" s="22" t="s">
        <v>22100</v>
      </c>
      <c r="E16916" s="22" t="s">
        <v>362</v>
      </c>
      <c r="F16916" s="23" t="str">
        <f>HYPERLINK("https://www.spark-marketing.ru/Card/Lot/71317824", "Оказание услуг по организации горячего питания в Государственного автономного учреждения дополнительного образования Республики Саха (Якутия) «Центр отдыха и оздоровления детей «Сосновый бор» - ДОЛ ""Энергетик"" (аутсорсинг)")</f>
        <v>Оказание услуг по организации горячего питания в Государственного автономного учреждения дополнительного образования Республики Саха (Якутия) «Центр отдыха и оздоровления детей «Сосновый бор» - ДОЛ "Энергетик" (аутсорсинг)</v>
      </c>
      <c r="G16916" s="22" t="s">
        <v>241</v>
      </c>
      <c r="H16916" s="22" t="s">
        <v>241</v>
      </c>
      <c r="I16916" s="26">
        <v>43629.640451388899</v>
      </c>
      <c r="J16916" s="28" t="s">
        <v>51</v>
      </c>
      <c r="K16916" s="28" t="s">
        <v>51</v>
      </c>
      <c r="L16916" s="28" t="s">
        <v>51</v>
      </c>
      <c r="M16916" s="28" t="s">
        <v>51</v>
      </c>
      <c r="N16916" s="28" t="s">
        <v>51</v>
      </c>
    </row>
    <row r="16917" spans="1:14" x14ac:dyDescent="0.15">
      <c r="A16917" s="23" t="str">
        <f>HYPERLINK("https://www.spark-marketing.ru/Card/Person/540172", "ОГАУ ""ФК ""САХАЛИН""")</f>
        <v>ОГАУ "ФК "САХАЛИН"</v>
      </c>
      <c r="B16917" s="24" t="s">
        <v>1416</v>
      </c>
      <c r="C16917" s="25">
        <v>430500</v>
      </c>
      <c r="D16917" s="22" t="s">
        <v>22101</v>
      </c>
      <c r="E16917" s="22" t="s">
        <v>362</v>
      </c>
      <c r="F16917" s="23" t="str">
        <f>HYPERLINK("https://www.spark-marketing.ru/Card/Lot/71314555", "Оказание услуг по организации питания")</f>
        <v>Оказание услуг по организации питания</v>
      </c>
      <c r="G16917" s="22" t="s">
        <v>260</v>
      </c>
      <c r="H16917" s="22" t="s">
        <v>260</v>
      </c>
      <c r="I16917" s="26">
        <v>43629.664594907401</v>
      </c>
      <c r="J16917" s="28" t="s">
        <v>51</v>
      </c>
      <c r="K16917" s="28" t="s">
        <v>51</v>
      </c>
      <c r="L16917" s="28" t="s">
        <v>51</v>
      </c>
      <c r="M16917" s="28" t="s">
        <v>51</v>
      </c>
      <c r="N16917" s="28" t="s">
        <v>51</v>
      </c>
    </row>
    <row r="16918" spans="1:14" x14ac:dyDescent="0.15">
      <c r="A16918" s="23" t="str">
        <f>HYPERLINK("https://www.spark-marketing.ru/Card/Person/4424850", "МБОУ СОШ №43 Г. СТАВРОПОЛЯ ИМЕНИ ГЕРОЯ РФ В.Д. НУЖНОГО")</f>
        <v>МБОУ СОШ №43 Г. СТАВРОПОЛЯ ИМЕНИ ГЕРОЯ РФ В.Д. НУЖНОГО</v>
      </c>
      <c r="B16918" s="24" t="s">
        <v>22102</v>
      </c>
      <c r="C16918" s="25">
        <v>1400480</v>
      </c>
      <c r="D16918" s="22" t="s">
        <v>22103</v>
      </c>
      <c r="E16918" s="22" t="s">
        <v>48</v>
      </c>
      <c r="F16918" s="23" t="str">
        <f>HYPERLINK("https://www.spark-marketing.ru/Card/Lot/71340672", "Услуги по организации питания учащихся МБОУ СОШ №43 г. Ставрополя имени Героя РФ В.Д. Нужного в сентябре-декабре 2019 года")</f>
        <v>Услуги по организации питания учащихся МБОУ СОШ №43 г. Ставрополя имени Героя РФ В.Д. Нужного в сентябре-декабре 2019 года</v>
      </c>
      <c r="G16918" s="22" t="s">
        <v>87</v>
      </c>
      <c r="H16918" s="22" t="s">
        <v>87</v>
      </c>
      <c r="I16918" s="26">
        <v>43629.661111111098</v>
      </c>
      <c r="J16918" s="23" t="str">
        <f>HYPERLINK("https://www.spark-marketing.ru/Card/Person/213142", "Звягина Надежда Ильинична")</f>
        <v>Звягина Надежда Ильинична</v>
      </c>
      <c r="K16918" s="24" t="s">
        <v>12311</v>
      </c>
      <c r="L16918" s="22" t="s">
        <v>10</v>
      </c>
      <c r="M16918" s="28" t="s">
        <v>51</v>
      </c>
      <c r="N16918" s="28" t="s">
        <v>51</v>
      </c>
    </row>
    <row r="16919" spans="1:14" x14ac:dyDescent="0.15">
      <c r="A16919" s="23" t="str">
        <f>HYPERLINK("https://www.spark-marketing.ru/Card/Person/816210", "МБУ ДО ""ДДТ""")</f>
        <v>МБУ ДО "ДДТ"</v>
      </c>
      <c r="B16919" s="24" t="s">
        <v>22104</v>
      </c>
      <c r="C16919" s="25">
        <v>292320</v>
      </c>
      <c r="D16919" s="22" t="s">
        <v>22105</v>
      </c>
      <c r="E16919" s="22" t="s">
        <v>48</v>
      </c>
      <c r="F16919" s="23" t="str">
        <f>HYPERLINK("https://www.spark-marketing.ru/Card/Lot/71337318", "№ зз-20552-19 Услуги по организации питания обучающихся в лагере с дневным пребыванием")</f>
        <v>№ зз-20552-19 Услуги по организации питания обучающихся в лагере с дневным пребыванием</v>
      </c>
      <c r="G16919" s="22" t="s">
        <v>852</v>
      </c>
      <c r="H16919" s="22" t="s">
        <v>6348</v>
      </c>
      <c r="I16919" s="26">
        <v>43629.652777777803</v>
      </c>
      <c r="J16919" s="23" t="str">
        <f>HYPERLINK("https://www.spark-marketing.ru/Card/Person/4409135", "МУП ""ШКОЛЬНОЕ ПИТАНИЕ""")</f>
        <v>МУП "ШКОЛЬНОЕ ПИТАНИЕ"</v>
      </c>
      <c r="K16919" s="24" t="s">
        <v>6349</v>
      </c>
      <c r="L16919" s="22" t="s">
        <v>10</v>
      </c>
      <c r="M16919" s="28" t="s">
        <v>51</v>
      </c>
      <c r="N16919" s="28" t="s">
        <v>51</v>
      </c>
    </row>
    <row r="16920" spans="1:14" x14ac:dyDescent="0.15">
      <c r="A16920" s="23" t="str">
        <f>HYPERLINK("https://www.spark-marketing.ru/Card/Person/4348528", "АО ИК ""АСЭ""")</f>
        <v>АО ИК "АСЭ"</v>
      </c>
      <c r="B16920" s="24" t="s">
        <v>22106</v>
      </c>
      <c r="C16920" s="25">
        <v>350761</v>
      </c>
      <c r="D16920" s="22" t="s">
        <v>22107</v>
      </c>
      <c r="E16920" s="22" t="s">
        <v>11788</v>
      </c>
      <c r="F16920" s="23" t="str">
        <f>HYPERLINK("https://www.spark-marketing.ru/Card/Lot/71333531", "Услуги по обеспечению питания при проведении представительских мероприятий")</f>
        <v>Услуги по обеспечению питания при проведении представительских мероприятий</v>
      </c>
      <c r="G16920" s="22" t="s">
        <v>76</v>
      </c>
      <c r="H16920" s="22" t="s">
        <v>940</v>
      </c>
      <c r="I16920" s="26">
        <v>43629.652187500003</v>
      </c>
      <c r="J16920" s="28" t="s">
        <v>51</v>
      </c>
      <c r="K16920" s="28" t="s">
        <v>51</v>
      </c>
      <c r="L16920" s="28" t="s">
        <v>51</v>
      </c>
      <c r="M16920" s="28" t="s">
        <v>51</v>
      </c>
      <c r="N16920" s="28" t="s">
        <v>51</v>
      </c>
    </row>
    <row r="16921" spans="1:14" x14ac:dyDescent="0.15">
      <c r="A16921" s="23" t="str">
        <f>HYPERLINK("https://www.spark-marketing.ru/Card/Person/1056612", "МБУК ""ТМДК"" НГО")</f>
        <v>МБУК "ТМДК" НГО</v>
      </c>
      <c r="B16921" s="24" t="s">
        <v>22108</v>
      </c>
      <c r="C16921" s="25">
        <v>239140</v>
      </c>
      <c r="D16921" s="22" t="s">
        <v>22109</v>
      </c>
      <c r="E16921" s="22" t="s">
        <v>580</v>
      </c>
      <c r="F16921" s="23" t="str">
        <f>HYPERLINK("https://www.spark-marketing.ru/Card/Lot/71328810", "услуги по организации питания (завтрак, обед, ужин) участников фестиваля «Новоуральские фанфары - 2019» в кол-ве 132 человек")</f>
        <v>услуги по организации питания (завтрак, обед, ужин) участников фестиваля «Новоуральские фанфары - 2019» в кол-ве 132 человек</v>
      </c>
      <c r="G16921" s="22" t="s">
        <v>174</v>
      </c>
      <c r="H16921" s="22" t="s">
        <v>174</v>
      </c>
      <c r="I16921" s="26">
        <v>43629.6485763889</v>
      </c>
      <c r="J16921" s="28" t="s">
        <v>51</v>
      </c>
      <c r="K16921" s="28" t="s">
        <v>51</v>
      </c>
      <c r="L16921" s="28" t="s">
        <v>51</v>
      </c>
      <c r="M16921" s="28" t="s">
        <v>51</v>
      </c>
      <c r="N16921" s="28" t="s">
        <v>51</v>
      </c>
    </row>
    <row r="16922" spans="1:14" x14ac:dyDescent="0.15">
      <c r="A16922" s="23" t="str">
        <f>HYPERLINK("https://www.spark-marketing.ru/Card/Person/1056612", "МБУК ""ТМДК"" НГО")</f>
        <v>МБУК "ТМДК" НГО</v>
      </c>
      <c r="B16922" s="24" t="s">
        <v>22108</v>
      </c>
      <c r="C16922" s="25">
        <v>157380</v>
      </c>
      <c r="D16922" s="22" t="s">
        <v>22110</v>
      </c>
      <c r="E16922" s="22" t="s">
        <v>580</v>
      </c>
      <c r="F16922" s="23" t="str">
        <f>HYPERLINK("https://www.spark-marketing.ru/Card/Lot/71331815", "услуги по организации питания (завтрак, обед, ужин) участников фестиваля «Новоуральские фанфары - 2019»")</f>
        <v>услуги по организации питания (завтрак, обед, ужин) участников фестиваля «Новоуральские фанфары - 2019»</v>
      </c>
      <c r="G16922" s="22" t="s">
        <v>174</v>
      </c>
      <c r="H16922" s="22" t="s">
        <v>7998</v>
      </c>
      <c r="I16922" s="26">
        <v>43629.653796296298</v>
      </c>
      <c r="J16922" s="28" t="s">
        <v>51</v>
      </c>
      <c r="K16922" s="28" t="s">
        <v>51</v>
      </c>
      <c r="L16922" s="28" t="s">
        <v>51</v>
      </c>
      <c r="M16922" s="28" t="s">
        <v>51</v>
      </c>
      <c r="N16922" s="28" t="s">
        <v>51</v>
      </c>
    </row>
    <row r="16923" spans="1:14" x14ac:dyDescent="0.2">
      <c r="A16923" s="23" t="str">
        <f>HYPERLINK("https://www.spark-marketing.ru/Card/Person/1752222", "СПБ ГАУ ""ЦЕНТР ПОДГОТОВКИ""")</f>
        <v>СПБ ГАУ "ЦЕНТР ПОДГОТОВКИ"</v>
      </c>
      <c r="B16923" s="24" t="s">
        <v>9583</v>
      </c>
      <c r="C16923" s="25">
        <v>403200</v>
      </c>
      <c r="D16923" s="22" t="s">
        <v>22111</v>
      </c>
      <c r="E16923" s="22" t="s">
        <v>22112</v>
      </c>
      <c r="F16923" s="23" t="str">
        <f>HYPERLINK("https://www.spark-marketing.ru/Card/Lot/71331513", "Оказание услуг по организации проживания и питания на тренировочном мероприятии по подготовке к финальным соревнованиям IХ летней Спартакиады учащихся России 2019 года для членов спортивной сборной команды Санкт-Петербурга по велосипедному спорту (тр...")</f>
        <v>Оказание услуг по организации проживания и питания на тренировочном мероприятии по подготовке к финальным соревнованиям IХ летней Спартакиады учащихся России 2019 года для членов спортивной сборной команды Санкт-Петербурга по велосипедному спорту (тр...</v>
      </c>
      <c r="G16923" s="22" t="s">
        <v>117</v>
      </c>
      <c r="H16923" s="22" t="s">
        <v>117</v>
      </c>
      <c r="I16923" s="26">
        <v>43629.633599537003</v>
      </c>
      <c r="J16923" s="28" t="s">
        <v>51</v>
      </c>
      <c r="K16923" s="28" t="s">
        <v>51</v>
      </c>
      <c r="L16923" s="22" t="s">
        <v>10</v>
      </c>
      <c r="M16923" s="25">
        <v>403200</v>
      </c>
      <c r="N16923" s="27">
        <v>0</v>
      </c>
    </row>
    <row r="16924" spans="1:14" x14ac:dyDescent="0.15">
      <c r="A16924" s="23" t="str">
        <f>HYPERLINK("https://www.spark-marketing.ru/Card/Person/5848391", "ОТДЕЛЕНИЕ МВД РОССИИ ПО ШЕБАЛИНСКОМУ РАЙОНУ")</f>
        <v>ОТДЕЛЕНИЕ МВД РОССИИ ПО ШЕБАЛИНСКОМУ РАЙОНУ</v>
      </c>
      <c r="B16924" s="24" t="s">
        <v>21993</v>
      </c>
      <c r="C16924" s="25">
        <v>330000</v>
      </c>
      <c r="D16924" s="22" t="s">
        <v>22113</v>
      </c>
      <c r="E16924" s="22" t="s">
        <v>51</v>
      </c>
      <c r="F16924" s="23" t="str">
        <f>HYPERLINK("https://www.spark-marketing.ru/Card/Lot/71328914", "Оказание услуг по обеспечению комплексным горячим питанием, лиц содержащихся в Отделении Министерства внутренних дел Российской Федерации по Шебалинскому району")</f>
        <v>Оказание услуг по обеспечению комплексным горячим питанием, лиц содержащихся в Отделении Министерства внутренних дел Российской Федерации по Шебалинскому району</v>
      </c>
      <c r="G16924" s="22" t="s">
        <v>1141</v>
      </c>
      <c r="H16924" s="22" t="s">
        <v>4563</v>
      </c>
      <c r="I16924" s="26">
        <v>43629.649305555598</v>
      </c>
      <c r="J16924" s="23" t="str">
        <f>HYPERLINK("https://www.spark-marketing.ru/Card/Person/6498851", "Казанцева Екатерина Маюровна")</f>
        <v>Казанцева Екатерина Маюровна</v>
      </c>
      <c r="K16924" s="24" t="s">
        <v>21995</v>
      </c>
      <c r="L16924" s="22" t="s">
        <v>10</v>
      </c>
      <c r="M16924" s="28" t="s">
        <v>51</v>
      </c>
      <c r="N16924" s="28" t="s">
        <v>51</v>
      </c>
    </row>
    <row r="16925" spans="1:14" x14ac:dyDescent="0.15">
      <c r="A16925" s="23" t="str">
        <f>HYPERLINK("https://www.spark-marketing.ru/Card/Person/17864", "УПРАВА РАЙОНА КОСИНО-УХТОМСКИЙ ГОРОДА МОСКВЫ")</f>
        <v>УПРАВА РАЙОНА КОСИНО-УХТОМСКИЙ ГОРОДА МОСКВЫ</v>
      </c>
      <c r="B16925" s="24" t="s">
        <v>22114</v>
      </c>
      <c r="C16925" s="25">
        <v>309400</v>
      </c>
      <c r="D16925" s="22" t="s">
        <v>22115</v>
      </c>
      <c r="E16925" s="22" t="s">
        <v>96</v>
      </c>
      <c r="F16925" s="23" t="str">
        <f>HYPERLINK("https://www.spark-marketing.ru/Card/Lot/71338129", "Оказание услуг по организации питания членов избирательных комиссий района Косино-Ухтомский для проведения выборов депутатов Московской городской Думы в 2019 году")</f>
        <v>Оказание услуг по организации питания членов избирательных комиссий района Косино-Ухтомский для проведения выборов депутатов Московской городской Думы в 2019 году</v>
      </c>
      <c r="G16925" s="22" t="s">
        <v>56</v>
      </c>
      <c r="H16925" s="22" t="s">
        <v>56</v>
      </c>
      <c r="I16925" s="26">
        <v>43629.645833333299</v>
      </c>
      <c r="J16925" s="28" t="s">
        <v>51</v>
      </c>
      <c r="K16925" s="28" t="s">
        <v>51</v>
      </c>
      <c r="L16925" s="28" t="s">
        <v>51</v>
      </c>
      <c r="M16925" s="28" t="s">
        <v>51</v>
      </c>
      <c r="N16925" s="28" t="s">
        <v>51</v>
      </c>
    </row>
    <row r="16926" spans="1:14" hidden="1" outlineLevel="1" x14ac:dyDescent="0.2">
      <c r="A16926" s="23" t="str">
        <f>HYPERLINK("https://www.spark-marketing.ru/Card/Person/17864", "УПРАВА РАЙОНА КОСИНО-УХТОМСКИЙ ГОРОДА МОСКВЫ")</f>
        <v>УПРАВА РАЙОНА КОСИНО-УХТОМСКИЙ ГОРОДА МОСКВЫ</v>
      </c>
      <c r="B16926" s="24" t="s">
        <v>22114</v>
      </c>
      <c r="C16926" s="25">
        <v>309400</v>
      </c>
      <c r="D16926" s="22" t="s">
        <v>22115</v>
      </c>
      <c r="E16926" s="22" t="s">
        <v>96</v>
      </c>
      <c r="F16926" s="23" t="str">
        <f>HYPERLINK("https://www.spark-marketing.ru/Card/Lot/71338129", "Оказание услуг по организации питания членов избирательных комиссий района Косино-Ухтомский для проведения выборов депутатов Московской городской Думы в 2019 году")</f>
        <v>Оказание услуг по организации питания членов избирательных комиссий района Косино-Ухтомский для проведения выборов депутатов Московской городской Думы в 2019 году</v>
      </c>
      <c r="G16926" s="22" t="s">
        <v>56</v>
      </c>
      <c r="H16926" s="22" t="s">
        <v>56</v>
      </c>
      <c r="I16926" s="26">
        <v>43629.645833333299</v>
      </c>
      <c r="J16926" s="23" t="str">
        <f>HYPERLINK("https://www.spark-marketing.ru/Card/Person/4052353", "ООО ""ЕВРОКОР""")</f>
        <v>ООО "ЕВРОКОР"</v>
      </c>
      <c r="K16926" s="24" t="s">
        <v>9698</v>
      </c>
      <c r="L16926" s="28" t="s">
        <v>51</v>
      </c>
      <c r="M16926" s="25">
        <v>232050</v>
      </c>
      <c r="N16926" s="27">
        <v>0.25</v>
      </c>
    </row>
    <row r="16927" spans="1:14" hidden="1" outlineLevel="1" x14ac:dyDescent="0.2">
      <c r="A16927" s="23" t="str">
        <f>HYPERLINK("https://www.spark-marketing.ru/Card/Person/17864", "УПРАВА РАЙОНА КОСИНО-УХТОМСКИЙ ГОРОДА МОСКВЫ")</f>
        <v>УПРАВА РАЙОНА КОСИНО-УХТОМСКИЙ ГОРОДА МОСКВЫ</v>
      </c>
      <c r="B16927" s="24" t="s">
        <v>22114</v>
      </c>
      <c r="C16927" s="25">
        <v>309400</v>
      </c>
      <c r="D16927" s="22" t="s">
        <v>22115</v>
      </c>
      <c r="E16927" s="22" t="s">
        <v>96</v>
      </c>
      <c r="F16927" s="23" t="str">
        <f>HYPERLINK("https://www.spark-marketing.ru/Card/Lot/71338129", "Оказание услуг по организации питания членов избирательных комиссий района Косино-Ухтомский для проведения выборов депутатов Московской городской Думы в 2019 году")</f>
        <v>Оказание услуг по организации питания членов избирательных комиссий района Косино-Ухтомский для проведения выборов депутатов Московской городской Думы в 2019 году</v>
      </c>
      <c r="G16927" s="22" t="s">
        <v>56</v>
      </c>
      <c r="H16927" s="22" t="s">
        <v>56</v>
      </c>
      <c r="I16927" s="26">
        <v>43629.645833333299</v>
      </c>
      <c r="J16927" s="23" t="str">
        <f>HYPERLINK("https://www.spark-marketing.ru/Card/Person/6307957", "ООО ""КУЛИНАРНОЕ ПРОИЗВОДСТВО""")</f>
        <v>ООО "КУЛИНАРНОЕ ПРОИЗВОДСТВО"</v>
      </c>
      <c r="K16927" s="24" t="s">
        <v>21560</v>
      </c>
      <c r="L16927" s="28" t="s">
        <v>51</v>
      </c>
      <c r="M16927" s="25">
        <v>216580</v>
      </c>
      <c r="N16927" s="27">
        <v>0.3</v>
      </c>
    </row>
    <row r="16928" spans="1:14" ht="12.75" hidden="1" outlineLevel="1" x14ac:dyDescent="0.2">
      <c r="A16928" s="23" t="str">
        <f>HYPERLINK("https://www.spark-marketing.ru/Card/Person/17864", "УПРАВА РАЙОНА КОСИНО-УХТОМСКИЙ ГОРОДА МОСКВЫ")</f>
        <v>УПРАВА РАЙОНА КОСИНО-УХТОМСКИЙ ГОРОДА МОСКВЫ</v>
      </c>
      <c r="B16928" s="24" t="s">
        <v>22114</v>
      </c>
      <c r="C16928" s="25">
        <v>309400</v>
      </c>
      <c r="D16928" s="22" t="s">
        <v>22115</v>
      </c>
      <c r="E16928" s="22" t="s">
        <v>96</v>
      </c>
      <c r="F16928" s="23" t="str">
        <f>HYPERLINK("https://www.spark-marketing.ru/Card/Lot/71338129", "Оказание услуг по организации питания членов избирательных комиссий района Косино-Ухтомский для проведения выборов депутатов Московской городской Думы в 2019 году")</f>
        <v>Оказание услуг по организации питания членов избирательных комиссий района Косино-Ухтомский для проведения выборов депутатов Московской городской Думы в 2019 году</v>
      </c>
      <c r="G16928" s="22" t="s">
        <v>56</v>
      </c>
      <c r="H16928" s="22" t="s">
        <v>56</v>
      </c>
      <c r="I16928" s="26">
        <v>43629.645833333299</v>
      </c>
      <c r="J16928" s="23" t="str">
        <f>HYPERLINK("https://www.spark-marketing.ru/Card/Person/6617658", "ООО ""АЛЬБА""")</f>
        <v>ООО "АЛЬБА"</v>
      </c>
      <c r="K16928" s="24" t="s">
        <v>13028</v>
      </c>
      <c r="L16928" s="22" t="s">
        <v>10</v>
      </c>
      <c r="M16928" s="25">
        <v>199563</v>
      </c>
      <c r="N16928" s="27">
        <v>0.35499999999999998</v>
      </c>
    </row>
    <row r="16929" spans="1:14" hidden="1" outlineLevel="1" x14ac:dyDescent="0.2">
      <c r="A16929" s="23" t="str">
        <f>HYPERLINK("https://www.spark-marketing.ru/Card/Person/17864", "УПРАВА РАЙОНА КОСИНО-УХТОМСКИЙ ГОРОДА МОСКВЫ")</f>
        <v>УПРАВА РАЙОНА КОСИНО-УХТОМСКИЙ ГОРОДА МОСКВЫ</v>
      </c>
      <c r="B16929" s="24" t="s">
        <v>22114</v>
      </c>
      <c r="C16929" s="25">
        <v>309400</v>
      </c>
      <c r="D16929" s="22" t="s">
        <v>22115</v>
      </c>
      <c r="E16929" s="22" t="s">
        <v>96</v>
      </c>
      <c r="F16929" s="23" t="str">
        <f>HYPERLINK("https://www.spark-marketing.ru/Card/Lot/71338129", "Оказание услуг по организации питания членов избирательных комиссий района Косино-Ухтомский для проведения выборов депутатов Московской городской Думы в 2019 году")</f>
        <v>Оказание услуг по организации питания членов избирательных комиссий района Косино-Ухтомский для проведения выборов депутатов Московской городской Думы в 2019 году</v>
      </c>
      <c r="G16929" s="22" t="s">
        <v>56</v>
      </c>
      <c r="H16929" s="22" t="s">
        <v>56</v>
      </c>
      <c r="I16929" s="26">
        <v>43629.645833333299</v>
      </c>
      <c r="J16929" s="23" t="str">
        <f>HYPERLINK("https://www.spark-marketing.ru/Card/Person/6624373", "Деткина Мария Владимировна")</f>
        <v>Деткина Мария Владимировна</v>
      </c>
      <c r="K16929" s="24" t="s">
        <v>17351</v>
      </c>
      <c r="L16929" s="28" t="s">
        <v>51</v>
      </c>
      <c r="M16929" s="25">
        <v>201110</v>
      </c>
      <c r="N16929" s="27">
        <v>0.35</v>
      </c>
    </row>
    <row r="16930" spans="1:14" x14ac:dyDescent="0.15">
      <c r="A16930" s="23" t="str">
        <f>HYPERLINK("https://www.spark-marketing.ru/Card/Person/211975", "АО ""АВИАКОМПАНИЯ ""ЯКУТИЯ""")</f>
        <v>АО "АВИАКОМПАНИЯ "ЯКУТИЯ"</v>
      </c>
      <c r="B16930" s="24" t="s">
        <v>22116</v>
      </c>
      <c r="C16930" s="25">
        <v>2000000</v>
      </c>
      <c r="D16930" s="22" t="s">
        <v>22117</v>
      </c>
      <c r="E16930" s="22" t="s">
        <v>769</v>
      </c>
      <c r="F16930" s="23" t="str">
        <f>HYPERLINK("https://www.spark-marketing.ru/Card/Lot/71319717", "Предоставление гостиничных услуг по размещению, проживанию, питанию и трансферу пассажиров задержанных (отмененных) рейсов АО «Авиакомпания Якутия» в г. Иркутск")</f>
        <v>Предоставление гостиничных услуг по размещению, проживанию, питанию и трансферу пассажиров задержанных (отмененных) рейсов АО «Авиакомпания Якутия» в г. Иркутск</v>
      </c>
      <c r="G16930" s="22" t="s">
        <v>241</v>
      </c>
      <c r="H16930" s="22" t="s">
        <v>242</v>
      </c>
      <c r="I16930" s="26">
        <v>43629.654872685198</v>
      </c>
      <c r="J16930" s="28" t="s">
        <v>51</v>
      </c>
      <c r="K16930" s="28" t="s">
        <v>51</v>
      </c>
      <c r="L16930" s="28" t="s">
        <v>51</v>
      </c>
      <c r="M16930" s="28" t="s">
        <v>51</v>
      </c>
      <c r="N16930" s="28" t="s">
        <v>51</v>
      </c>
    </row>
    <row r="16931" spans="1:14" x14ac:dyDescent="0.15">
      <c r="A16931" s="23" t="str">
        <f>HYPERLINK("https://www.spark-marketing.ru/Card/Person/4358844", "ОАО ""УДМУРТНЕФТЬ""")</f>
        <v>ОАО "УДМУРТНЕФТЬ"</v>
      </c>
      <c r="B16931" s="24" t="s">
        <v>5286</v>
      </c>
      <c r="C16931" s="28" t="s">
        <v>51</v>
      </c>
      <c r="D16931" s="22" t="s">
        <v>22118</v>
      </c>
      <c r="E16931" s="22" t="s">
        <v>362</v>
      </c>
      <c r="F16931" s="23" t="str">
        <f>HYPERLINK("https://www.spark-marketing.ru/Card/Lot/71335683", "Услуги по организации общественного питания, выдача спецпитания, банкетное обслуживание, обеспечение питания участников конкурса ""Лучший по профессии"", организация питания участников")</f>
        <v>Услуги по организации общественного питания, выдача спецпитания, банкетное обслуживание, обеспечение питания участников конкурса "Лучший по профессии", организация питания участников</v>
      </c>
      <c r="G16931" s="22" t="s">
        <v>852</v>
      </c>
      <c r="H16931" s="22" t="s">
        <v>2477</v>
      </c>
      <c r="I16931" s="26">
        <v>43629.660416666702</v>
      </c>
      <c r="J16931" s="28" t="s">
        <v>51</v>
      </c>
      <c r="K16931" s="28" t="s">
        <v>51</v>
      </c>
      <c r="L16931" s="28" t="s">
        <v>51</v>
      </c>
      <c r="M16931" s="28" t="s">
        <v>51</v>
      </c>
      <c r="N16931" s="28" t="s">
        <v>51</v>
      </c>
    </row>
    <row r="16932" spans="1:14" x14ac:dyDescent="0.15">
      <c r="A16932" s="23" t="str">
        <f>HYPERLINK("https://www.spark-marketing.ru/Card/Person/817399", "ОТДЕЛ МВД РОССИИ ПО НУРЛАТСКОМУ РАЙОНУ")</f>
        <v>ОТДЕЛ МВД РОССИИ ПО НУРЛАТСКОМУ РАЙОНУ</v>
      </c>
      <c r="B16932" s="24" t="s">
        <v>22119</v>
      </c>
      <c r="C16932" s="25">
        <v>948000</v>
      </c>
      <c r="D16932" s="22" t="s">
        <v>22120</v>
      </c>
      <c r="E16932" s="22" t="s">
        <v>48</v>
      </c>
      <c r="F16932" s="23" t="str">
        <f>HYPERLINK("https://www.spark-marketing.ru/Card/Lot/71337952", "Услуги по обеспечению питанием")</f>
        <v>Услуги по обеспечению питанием</v>
      </c>
      <c r="G16932" s="22" t="s">
        <v>217</v>
      </c>
      <c r="H16932" s="22" t="s">
        <v>217</v>
      </c>
      <c r="I16932" s="26">
        <v>43629.601388888899</v>
      </c>
      <c r="J16932" s="28" t="s">
        <v>51</v>
      </c>
      <c r="K16932" s="28" t="s">
        <v>51</v>
      </c>
      <c r="L16932" s="28" t="s">
        <v>51</v>
      </c>
      <c r="M16932" s="28" t="s">
        <v>51</v>
      </c>
      <c r="N16932" s="28" t="s">
        <v>51</v>
      </c>
    </row>
    <row r="16933" spans="1:14" hidden="1" outlineLevel="1" x14ac:dyDescent="0.2">
      <c r="A16933" s="23" t="str">
        <f>HYPERLINK("https://www.spark-marketing.ru/Card/Person/817399", "ОТДЕЛ МВД РОССИИ ПО НУРЛАТСКОМУ РАЙОНУ")</f>
        <v>ОТДЕЛ МВД РОССИИ ПО НУРЛАТСКОМУ РАЙОНУ</v>
      </c>
      <c r="B16933" s="24" t="s">
        <v>22119</v>
      </c>
      <c r="C16933" s="25">
        <v>948000</v>
      </c>
      <c r="D16933" s="22" t="s">
        <v>22120</v>
      </c>
      <c r="E16933" s="22" t="s">
        <v>48</v>
      </c>
      <c r="F16933" s="23" t="str">
        <f>HYPERLINK("https://www.spark-marketing.ru/Card/Lot/71337952", "Услуги по обеспечению питанием")</f>
        <v>Услуги по обеспечению питанием</v>
      </c>
      <c r="G16933" s="22" t="s">
        <v>217</v>
      </c>
      <c r="H16933" s="22" t="s">
        <v>217</v>
      </c>
      <c r="I16933" s="26">
        <v>43629.601388888899</v>
      </c>
      <c r="J16933" s="23" t="str">
        <f>HYPERLINK("https://www.spark-marketing.ru/Card/Person/365175", "ООО ""ЗДОРОВЬЕ""")</f>
        <v>ООО "ЗДОРОВЬЕ"</v>
      </c>
      <c r="K16933" s="24" t="s">
        <v>22121</v>
      </c>
      <c r="L16933" s="28" t="s">
        <v>51</v>
      </c>
      <c r="M16933" s="25">
        <v>943260</v>
      </c>
      <c r="N16933" s="27">
        <v>5.0000000000000001E-3</v>
      </c>
    </row>
    <row r="16934" spans="1:14" ht="12.75" hidden="1" outlineLevel="1" x14ac:dyDescent="0.2">
      <c r="A16934" s="23" t="str">
        <f>HYPERLINK("https://www.spark-marketing.ru/Card/Person/817399", "ОТДЕЛ МВД РОССИИ ПО НУРЛАТСКОМУ РАЙОНУ")</f>
        <v>ОТДЕЛ МВД РОССИИ ПО НУРЛАТСКОМУ РАЙОНУ</v>
      </c>
      <c r="B16934" s="24" t="s">
        <v>22119</v>
      </c>
      <c r="C16934" s="25">
        <v>948000</v>
      </c>
      <c r="D16934" s="22" t="s">
        <v>22120</v>
      </c>
      <c r="E16934" s="22" t="s">
        <v>48</v>
      </c>
      <c r="F16934" s="23" t="str">
        <f>HYPERLINK("https://www.spark-marketing.ru/Card/Lot/71337952", "Услуги по обеспечению питанием")</f>
        <v>Услуги по обеспечению питанием</v>
      </c>
      <c r="G16934" s="22" t="s">
        <v>217</v>
      </c>
      <c r="H16934" s="22" t="s">
        <v>217</v>
      </c>
      <c r="I16934" s="26">
        <v>43629.601388888899</v>
      </c>
      <c r="J16934" s="23" t="str">
        <f>HYPERLINK("https://www.spark-marketing.ru/Card/Person/165354", "ООО ""СТС""")</f>
        <v>ООО "СТС"</v>
      </c>
      <c r="K16934" s="24" t="s">
        <v>22122</v>
      </c>
      <c r="L16934" s="22" t="s">
        <v>10</v>
      </c>
      <c r="M16934" s="25">
        <v>938520</v>
      </c>
      <c r="N16934" s="27">
        <v>0.01</v>
      </c>
    </row>
    <row r="16935" spans="1:14" x14ac:dyDescent="0.15">
      <c r="A16935" s="23" t="str">
        <f>HYPERLINK("https://www.spark-marketing.ru/Card/Person/25916", "УПРАВЛЕНИЕ МВД РОССИИ ПО Г. НОВОКУЗНЕЦКУ")</f>
        <v>УПРАВЛЕНИЕ МВД РОССИИ ПО Г. НОВОКУЗНЕЦКУ</v>
      </c>
      <c r="B16935" s="24" t="s">
        <v>22123</v>
      </c>
      <c r="C16935" s="25">
        <v>4635000</v>
      </c>
      <c r="D16935" s="22" t="s">
        <v>22124</v>
      </c>
      <c r="E16935" s="22" t="s">
        <v>96</v>
      </c>
      <c r="F16935" s="23" t="str">
        <f>HYPERLINK("https://www.spark-marketing.ru/Card/Lot/71327272", "Оказание услуг по обеспечению горячим питанием лиц, содержащихся в специальном приемнике Управления МВД России по г. Новокузнецку по адресу: пер. Буркацкого, 5, ИВС Управления МВД России по г. Новокузнецку по адресу: ул. Орджоникидзе, 22 и администра...")</f>
        <v>Оказание услуг по обеспечению горячим питанием лиц, содержащихся в специальном приемнике Управления МВД России по г. Новокузнецку по адресу: пер. Буркацкого, 5, ИВС Управления МВД России по г. Новокузнецку по адресу: ул. Орджоникидзе, 22 и администра...</v>
      </c>
      <c r="G16935" s="22" t="s">
        <v>304</v>
      </c>
      <c r="H16935" s="22" t="s">
        <v>304</v>
      </c>
      <c r="I16935" s="26">
        <v>43629.583333333299</v>
      </c>
      <c r="J16935" s="23" t="str">
        <f>HYPERLINK("https://www.spark-marketing.ru/Card/Person/1306820", "Сидоров Александр Анатольевич")</f>
        <v>Сидоров Александр Анатольевич</v>
      </c>
      <c r="K16935" s="24" t="s">
        <v>22125</v>
      </c>
      <c r="L16935" s="28" t="s">
        <v>51</v>
      </c>
      <c r="M16935" s="28" t="s">
        <v>51</v>
      </c>
      <c r="N16935" s="28" t="s">
        <v>51</v>
      </c>
    </row>
    <row r="16936" spans="1:14" ht="12.75" hidden="1" outlineLevel="1" x14ac:dyDescent="0.2">
      <c r="A16936" s="23" t="str">
        <f>HYPERLINK("https://www.spark-marketing.ru/Card/Person/25916", "УПРАВЛЕНИЕ МВД РОССИИ ПО Г. НОВОКУЗНЕЦКУ")</f>
        <v>УПРАВЛЕНИЕ МВД РОССИИ ПО Г. НОВОКУЗНЕЦКУ</v>
      </c>
      <c r="B16936" s="24" t="s">
        <v>22123</v>
      </c>
      <c r="C16936" s="25">
        <v>4635000</v>
      </c>
      <c r="D16936" s="22" t="s">
        <v>22124</v>
      </c>
      <c r="E16936" s="22" t="s">
        <v>96</v>
      </c>
      <c r="F16936" s="23" t="str">
        <f>HYPERLINK("https://www.spark-marketing.ru/Card/Lot/71327272", "Оказание услуг по обеспечению горячим питанием лиц, содержащихся в специальном приемнике Управления МВД России по г. Новокузнецку по адресу: пер. Буркацкого, 5, ИВС Управления МВД России по г. Новокузнецку по адресу: ул. Орджоникидзе, 22 и администра...")</f>
        <v>Оказание услуг по обеспечению горячим питанием лиц, содержащихся в специальном приемнике Управления МВД России по г. Новокузнецку по адресу: пер. Буркацкого, 5, ИВС Управления МВД России по г. Новокузнецку по адресу: ул. Орджоникидзе, 22 и администра...</v>
      </c>
      <c r="G16936" s="22" t="s">
        <v>304</v>
      </c>
      <c r="H16936" s="22" t="s">
        <v>304</v>
      </c>
      <c r="I16936" s="26">
        <v>43629.583333333299</v>
      </c>
      <c r="J16936" s="23" t="str">
        <f>HYPERLINK("https://www.spark-marketing.ru/Card/Person/1306820", "Сидоров Александр Анатольевич")</f>
        <v>Сидоров Александр Анатольевич</v>
      </c>
      <c r="K16936" s="24" t="s">
        <v>22125</v>
      </c>
      <c r="L16936" s="22" t="s">
        <v>10</v>
      </c>
      <c r="M16936" s="25">
        <v>4611825</v>
      </c>
      <c r="N16936" s="27">
        <v>5.0000000000000001E-3</v>
      </c>
    </row>
    <row r="16937" spans="1:14" x14ac:dyDescent="0.15">
      <c r="A16937" s="23" t="str">
        <f>HYPERLINK("https://www.spark-marketing.ru/Card/Person/6158145", "МИНТРУДА И СОЦРАЗВИТИЯ НСО")</f>
        <v>МИНТРУДА И СОЦРАЗВИТИЯ НСО</v>
      </c>
      <c r="B16937" s="24" t="s">
        <v>977</v>
      </c>
      <c r="C16937" s="25">
        <v>2256800</v>
      </c>
      <c r="D16937" s="22" t="s">
        <v>22126</v>
      </c>
      <c r="E16937" s="22" t="s">
        <v>51</v>
      </c>
      <c r="F16937" s="23" t="str">
        <f>HYPERLINK("https://www.spark-marketing.ru/Card/Lot/71325191", "Оказание услуг по санаторно-курортному лечению работников бюджетной сферы, количество путевок - 160 шт., с заболеваниями сердечно-сосудистой системы, расстройством питания и нарушением обмена веществ")</f>
        <v>Оказание услуг по санаторно-курортному лечению работников бюджетной сферы, количество путевок - 160 шт., с заболеваниями сердечно-сосудистой системы, расстройством питания и нарушением обмена веществ</v>
      </c>
      <c r="G16937" s="22" t="s">
        <v>195</v>
      </c>
      <c r="H16937" s="22" t="s">
        <v>196</v>
      </c>
      <c r="I16937" s="26">
        <v>43629.590277777803</v>
      </c>
      <c r="J16937" s="23" t="str">
        <f>HYPERLINK("https://www.spark-marketing.ru/Card/Person/6225005", "ООО ""ПАРУС-РЕЗОРТ""")</f>
        <v>ООО "ПАРУС-РЕЗОРТ"</v>
      </c>
      <c r="K16937" s="24" t="s">
        <v>12558</v>
      </c>
      <c r="L16937" s="22" t="s">
        <v>10</v>
      </c>
      <c r="M16937" s="28" t="s">
        <v>51</v>
      </c>
      <c r="N16937" s="28" t="s">
        <v>51</v>
      </c>
    </row>
    <row r="16938" spans="1:14" x14ac:dyDescent="0.15">
      <c r="A16938" s="23" t="str">
        <f>HYPERLINK("https://www.spark-marketing.ru/Card/Person/66530", "УФСИН РОССИИ ПО ЧУВАШСКОЙ РЕСПУБЛИКЕ - ЧУВАШИИ")</f>
        <v>УФСИН РОССИИ ПО ЧУВАШСКОЙ РЕСПУБЛИКЕ - ЧУВАШИИ</v>
      </c>
      <c r="B16938" s="24" t="s">
        <v>22127</v>
      </c>
      <c r="C16938" s="25">
        <v>319800</v>
      </c>
      <c r="D16938" s="22" t="s">
        <v>22128</v>
      </c>
      <c r="E16938" s="22" t="s">
        <v>809</v>
      </c>
      <c r="F16938" s="23" t="str">
        <f>HYPERLINK("https://www.spark-marketing.ru/Card/Lot/71334567", "Закупка товаров, работ, услуг в сфере информационно-коммуникационных технологий (поставка запасных частей для компьютерной техники)")</f>
        <v>Закупка товаров, работ, услуг в сфере информационно-коммуникационных технологий (поставка запасных частей для компьютерной техники)</v>
      </c>
      <c r="G16938" s="22" t="s">
        <v>618</v>
      </c>
      <c r="H16938" s="22" t="s">
        <v>618</v>
      </c>
      <c r="I16938" s="26">
        <v>43629.604861111096</v>
      </c>
      <c r="J16938" s="28" t="s">
        <v>51</v>
      </c>
      <c r="K16938" s="28" t="s">
        <v>51</v>
      </c>
      <c r="L16938" s="28" t="s">
        <v>51</v>
      </c>
      <c r="M16938" s="28" t="s">
        <v>51</v>
      </c>
      <c r="N16938" s="28" t="s">
        <v>51</v>
      </c>
    </row>
    <row r="16939" spans="1:14" ht="12.75" hidden="1" outlineLevel="1" x14ac:dyDescent="0.2">
      <c r="A16939" s="23" t="str">
        <f>HYPERLINK("https://www.spark-marketing.ru/Card/Person/66530", "УФСИН РОССИИ ПО ЧУВАШСКОЙ РЕСПУБЛИКЕ - ЧУВАШИИ")</f>
        <v>УФСИН РОССИИ ПО ЧУВАШСКОЙ РЕСПУБЛИКЕ - ЧУВАШИИ</v>
      </c>
      <c r="B16939" s="24" t="s">
        <v>22127</v>
      </c>
      <c r="C16939" s="25">
        <v>319800</v>
      </c>
      <c r="D16939" s="22" t="s">
        <v>22128</v>
      </c>
      <c r="E16939" s="22" t="s">
        <v>809</v>
      </c>
      <c r="F16939" s="23" t="str">
        <f>HYPERLINK("https://www.spark-marketing.ru/Card/Lot/71334567", "Закупка товаров, работ, услуг в сфере информационно-коммуникационных технологий (поставка запасных частей для компьютерной техники)")</f>
        <v>Закупка товаров, работ, услуг в сфере информационно-коммуникационных технологий (поставка запасных частей для компьютерной техники)</v>
      </c>
      <c r="G16939" s="22" t="s">
        <v>618</v>
      </c>
      <c r="H16939" s="22" t="s">
        <v>618</v>
      </c>
      <c r="I16939" s="26">
        <v>43629.604861111096</v>
      </c>
      <c r="J16939" s="23" t="str">
        <f>HYPERLINK("https://www.spark-marketing.ru/Card/Person/215009", "ООО ""МАТРИЦА-ТЕХНОЛОДЖИ""")</f>
        <v>ООО "МАТРИЦА-ТЕХНОЛОДЖИ"</v>
      </c>
      <c r="K16939" s="24" t="s">
        <v>22129</v>
      </c>
      <c r="L16939" s="22" t="s">
        <v>10</v>
      </c>
      <c r="M16939" s="25">
        <v>294216</v>
      </c>
      <c r="N16939" s="27">
        <v>0.08</v>
      </c>
    </row>
    <row r="16940" spans="1:14" hidden="1" outlineLevel="1" x14ac:dyDescent="0.2">
      <c r="A16940" s="23" t="str">
        <f>HYPERLINK("https://www.spark-marketing.ru/Card/Person/66530", "УФСИН РОССИИ ПО ЧУВАШСКОЙ РЕСПУБЛИКЕ - ЧУВАШИИ")</f>
        <v>УФСИН РОССИИ ПО ЧУВАШСКОЙ РЕСПУБЛИКЕ - ЧУВАШИИ</v>
      </c>
      <c r="B16940" s="24" t="s">
        <v>22127</v>
      </c>
      <c r="C16940" s="25">
        <v>319800</v>
      </c>
      <c r="D16940" s="22" t="s">
        <v>22128</v>
      </c>
      <c r="E16940" s="22" t="s">
        <v>809</v>
      </c>
      <c r="F16940" s="23" t="str">
        <f>HYPERLINK("https://www.spark-marketing.ru/Card/Lot/71334567", "Закупка товаров, работ, услуг в сфере информационно-коммуникационных технологий (поставка запасных частей для компьютерной техники)")</f>
        <v>Закупка товаров, работ, услуг в сфере информационно-коммуникационных технологий (поставка запасных частей для компьютерной техники)</v>
      </c>
      <c r="G16940" s="22" t="s">
        <v>618</v>
      </c>
      <c r="H16940" s="22" t="s">
        <v>618</v>
      </c>
      <c r="I16940" s="26">
        <v>43629.604861111096</v>
      </c>
      <c r="J16940" s="23" t="str">
        <f>HYPERLINK("https://www.spark-marketing.ru/Card/Person/6513319", "Мурзин Дмитрий Сергеевич")</f>
        <v>Мурзин Дмитрий Сергеевич</v>
      </c>
      <c r="K16940" s="24" t="s">
        <v>22130</v>
      </c>
      <c r="L16940" s="28" t="s">
        <v>51</v>
      </c>
      <c r="M16940" s="25">
        <v>295815</v>
      </c>
      <c r="N16940" s="27">
        <v>7.4999999999999997E-2</v>
      </c>
    </row>
    <row r="16941" spans="1:14" x14ac:dyDescent="0.15">
      <c r="A16941" s="23" t="str">
        <f>HYPERLINK("https://www.spark-marketing.ru/Card/Person/4413821", "АО ""82 СРЗ""")</f>
        <v>АО "82 СРЗ"</v>
      </c>
      <c r="B16941" s="24" t="s">
        <v>20800</v>
      </c>
      <c r="C16941" s="25">
        <v>199802.7</v>
      </c>
      <c r="D16941" s="22" t="s">
        <v>22131</v>
      </c>
      <c r="E16941" s="22" t="s">
        <v>17252</v>
      </c>
      <c r="F16941" s="23" t="str">
        <f>HYPERLINK("https://www.spark-marketing.ru/Card/Lot/71329917", "Оказание услуг по поставке продуктов лечебно-профилактического питания для работников АО «82 СРЗ».")</f>
        <v>Оказание услуг по поставке продуктов лечебно-профилактического питания для работников АО «82 СРЗ».</v>
      </c>
      <c r="G16941" s="22" t="s">
        <v>340</v>
      </c>
      <c r="H16941" s="22" t="s">
        <v>341</v>
      </c>
      <c r="I16941" s="26">
        <v>43629.588194444397</v>
      </c>
      <c r="J16941" s="28" t="s">
        <v>51</v>
      </c>
      <c r="K16941" s="28" t="s">
        <v>51</v>
      </c>
      <c r="L16941" s="28" t="s">
        <v>51</v>
      </c>
      <c r="M16941" s="28" t="s">
        <v>51</v>
      </c>
      <c r="N16941" s="28" t="s">
        <v>51</v>
      </c>
    </row>
    <row r="16942" spans="1:14" x14ac:dyDescent="0.15">
      <c r="A16942" s="23" t="str">
        <f>HYPERLINK("https://www.spark-marketing.ru/Card/Person/92219", "ГПОУ ТО ""НТПБ""")</f>
        <v>ГПОУ ТО "НТПБ"</v>
      </c>
      <c r="B16942" s="24" t="s">
        <v>22132</v>
      </c>
      <c r="C16942" s="25">
        <v>559959.44999999995</v>
      </c>
      <c r="D16942" s="22" t="s">
        <v>22133</v>
      </c>
      <c r="E16942" s="22" t="s">
        <v>716</v>
      </c>
      <c r="F16942" s="23" t="str">
        <f>HYPERLINK("https://www.spark-marketing.ru/Card/Lot/71337307", "Поставка учебной литературы для библиотечного фонда")</f>
        <v>Поставка учебной литературы для библиотечного фонда</v>
      </c>
      <c r="G16942" s="22" t="s">
        <v>68</v>
      </c>
      <c r="H16942" s="22" t="s">
        <v>2012</v>
      </c>
      <c r="I16942" s="26">
        <v>43629.610416666699</v>
      </c>
      <c r="J16942" s="28" t="s">
        <v>51</v>
      </c>
      <c r="K16942" s="28" t="s">
        <v>51</v>
      </c>
      <c r="L16942" s="28" t="s">
        <v>51</v>
      </c>
      <c r="M16942" s="28" t="s">
        <v>51</v>
      </c>
      <c r="N16942" s="28" t="s">
        <v>51</v>
      </c>
    </row>
    <row r="16943" spans="1:14" x14ac:dyDescent="0.15">
      <c r="A16943" s="23" t="str">
        <f>HYPERLINK("https://www.spark-marketing.ru/Card/Person/380490", "ГАПОУ ЛО ""ПРИОЗЕРСКИЙ ПОЛИТЕХНИЧЕСКИЙ КОЛЛЕДЖ""")</f>
        <v>ГАПОУ ЛО "ПРИОЗЕРСКИЙ ПОЛИТЕХНИЧЕСКИЙ КОЛЛЕДЖ"</v>
      </c>
      <c r="B16943" s="24" t="s">
        <v>22134</v>
      </c>
      <c r="C16943" s="25">
        <v>492800</v>
      </c>
      <c r="D16943" s="22" t="s">
        <v>22135</v>
      </c>
      <c r="E16943" s="22" t="s">
        <v>362</v>
      </c>
      <c r="F16943" s="23" t="str">
        <f>HYPERLINK("https://www.spark-marketing.ru/Card/Lot/71347179", "Договор на оказание услуг по организации горячего питания обучающимся по программам профессиональной подготовки по профессиям рабочих и служащих, проживающих в общежитии и обучающимся относящихся к категории малообеспеченных в государственном автоном...")</f>
        <v>Договор на оказание услуг по организации горячего питания обучающимся по программам профессиональной подготовки по профессиям рабочих и служащих, проживающих в общежитии и обучающимся относящихся к категории малообеспеченных в государственном автоном...</v>
      </c>
      <c r="G16943" s="22" t="s">
        <v>162</v>
      </c>
      <c r="H16943" s="22" t="s">
        <v>162</v>
      </c>
      <c r="I16943" s="26">
        <v>43629.593981481499</v>
      </c>
      <c r="J16943" s="28" t="s">
        <v>51</v>
      </c>
      <c r="K16943" s="28" t="s">
        <v>51</v>
      </c>
      <c r="L16943" s="28" t="s">
        <v>51</v>
      </c>
      <c r="M16943" s="28" t="s">
        <v>51</v>
      </c>
      <c r="N16943" s="28" t="s">
        <v>51</v>
      </c>
    </row>
    <row r="16944" spans="1:14" x14ac:dyDescent="0.15">
      <c r="A16944" s="23" t="str">
        <f>HYPERLINK("https://www.spark-marketing.ru/Card/Person/330025", "ФЛ БЕЛОЯРСКАЯ АЭС АО ""КОНЦЕРН РОСЭНЕРГОАТОМ""")</f>
        <v>ФЛ БЕЛОЯРСКАЯ АЭС АО "КОНЦЕРН РОСЭНЕРГОАТОМ"</v>
      </c>
      <c r="B16944" s="24" t="s">
        <v>908</v>
      </c>
      <c r="C16944" s="28" t="s">
        <v>51</v>
      </c>
      <c r="D16944" s="22" t="s">
        <v>22136</v>
      </c>
      <c r="E16944" s="22" t="s">
        <v>48</v>
      </c>
      <c r="F16944" s="23" t="str">
        <f>HYPERLINK("https://www.spark-marketing.ru/Card/Lot/71333514", "Оказание услуг по организации лечебно-профилактическое питания для работников, занятых во вредных условиях труда, филиала АО ""Концерн Росэнергоатом"" ""Белоярская атомная станция"" на территории ""Белоярской АЭС"" в соответствии с техническим задани...")</f>
        <v>Оказание услуг по организации лечебно-профилактическое питания для работников, занятых во вредных условиях труда, филиала АО "Концерн Росэнергоатом" "Белоярская атомная станция" на территории "Белоярской АЭС" в соответствии с техническим задани...</v>
      </c>
      <c r="G16944" s="22" t="s">
        <v>56</v>
      </c>
      <c r="H16944" s="22" t="s">
        <v>56</v>
      </c>
      <c r="I16944" s="26">
        <v>43629.598425925898</v>
      </c>
      <c r="J16944" s="28" t="s">
        <v>51</v>
      </c>
      <c r="K16944" s="28" t="s">
        <v>51</v>
      </c>
      <c r="L16944" s="28" t="s">
        <v>51</v>
      </c>
      <c r="M16944" s="28" t="s">
        <v>51</v>
      </c>
      <c r="N16944" s="28" t="s">
        <v>51</v>
      </c>
    </row>
    <row r="16945" spans="1:14" x14ac:dyDescent="0.15">
      <c r="A16945" s="23" t="str">
        <f>HYPERLINK("https://www.spark-marketing.ru/Card/Person/538247", "МОМВД РОССИИ ""ЗНАМЕНСКИЙ""")</f>
        <v>МОМВД РОССИИ "ЗНАМЕНСКИЙ"</v>
      </c>
      <c r="B16945" s="24" t="s">
        <v>6252</v>
      </c>
      <c r="C16945" s="25">
        <v>52657.34</v>
      </c>
      <c r="D16945" s="22" t="s">
        <v>22137</v>
      </c>
      <c r="E16945" s="22" t="s">
        <v>96</v>
      </c>
      <c r="F16945" s="23" t="str">
        <f>HYPERLINK("https://www.spark-marketing.ru/Card/Lot/71329117", "Оказание услуг по организации питания (приготовлению и доставке), 1 шт")</f>
        <v>Оказание услуг по организации питания (приготовлению и доставке), 1 шт</v>
      </c>
      <c r="G16945" s="22" t="s">
        <v>1370</v>
      </c>
      <c r="H16945" s="22" t="s">
        <v>6254</v>
      </c>
      <c r="I16945" s="26">
        <v>43629.623599537001</v>
      </c>
      <c r="J16945" s="28" t="s">
        <v>51</v>
      </c>
      <c r="K16945" s="28" t="s">
        <v>51</v>
      </c>
      <c r="L16945" s="28" t="s">
        <v>51</v>
      </c>
      <c r="M16945" s="28" t="s">
        <v>51</v>
      </c>
      <c r="N16945" s="28" t="s">
        <v>51</v>
      </c>
    </row>
    <row r="16946" spans="1:14" x14ac:dyDescent="0.15">
      <c r="A16946" s="23" t="str">
        <f>HYPERLINK("https://www.spark-marketing.ru/Card/Person/817399", "ОТДЕЛ МВД РОССИИ ПО НУРЛАТСКОМУ РАЙОНУ")</f>
        <v>ОТДЕЛ МВД РОССИИ ПО НУРЛАТСКОМУ РАЙОНУ</v>
      </c>
      <c r="B16946" s="24" t="s">
        <v>22119</v>
      </c>
      <c r="C16946" s="25">
        <v>948000</v>
      </c>
      <c r="D16946" s="22" t="s">
        <v>22138</v>
      </c>
      <c r="E16946" s="22" t="s">
        <v>48</v>
      </c>
      <c r="F16946" s="23" t="str">
        <f>HYPERLINK("https://www.spark-marketing.ru/Card/Lot/71337951", "Услуги по обеспечению питанием")</f>
        <v>Услуги по обеспечению питанием</v>
      </c>
      <c r="G16946" s="22" t="s">
        <v>217</v>
      </c>
      <c r="H16946" s="22" t="s">
        <v>217</v>
      </c>
      <c r="I16946" s="26">
        <v>43629.600694444402</v>
      </c>
      <c r="J16946" s="28" t="s">
        <v>51</v>
      </c>
      <c r="K16946" s="28" t="s">
        <v>51</v>
      </c>
      <c r="L16946" s="28" t="s">
        <v>51</v>
      </c>
      <c r="M16946" s="28" t="s">
        <v>51</v>
      </c>
      <c r="N16946" s="28" t="s">
        <v>51</v>
      </c>
    </row>
    <row r="16947" spans="1:14" hidden="1" outlineLevel="1" x14ac:dyDescent="0.2">
      <c r="A16947" s="23" t="str">
        <f>HYPERLINK("https://www.spark-marketing.ru/Card/Person/817399", "ОТДЕЛ МВД РОССИИ ПО НУРЛАТСКОМУ РАЙОНУ")</f>
        <v>ОТДЕЛ МВД РОССИИ ПО НУРЛАТСКОМУ РАЙОНУ</v>
      </c>
      <c r="B16947" s="24" t="s">
        <v>22119</v>
      </c>
      <c r="C16947" s="25">
        <v>948000</v>
      </c>
      <c r="D16947" s="22" t="s">
        <v>22138</v>
      </c>
      <c r="E16947" s="22" t="s">
        <v>48</v>
      </c>
      <c r="F16947" s="23" t="str">
        <f>HYPERLINK("https://www.spark-marketing.ru/Card/Lot/71337951", "Услуги по обеспечению питанием")</f>
        <v>Услуги по обеспечению питанием</v>
      </c>
      <c r="G16947" s="22" t="s">
        <v>217</v>
      </c>
      <c r="H16947" s="22" t="s">
        <v>217</v>
      </c>
      <c r="I16947" s="26">
        <v>43629.600694444402</v>
      </c>
      <c r="J16947" s="23" t="str">
        <f>HYPERLINK("https://www.spark-marketing.ru/Card/Person/365175", "ООО ""ЗДОРОВЬЕ""")</f>
        <v>ООО "ЗДОРОВЬЕ"</v>
      </c>
      <c r="K16947" s="24" t="s">
        <v>22121</v>
      </c>
      <c r="L16947" s="28" t="s">
        <v>51</v>
      </c>
      <c r="M16947" s="25">
        <v>943260</v>
      </c>
      <c r="N16947" s="27">
        <v>5.0000000000000001E-3</v>
      </c>
    </row>
    <row r="16948" spans="1:14" ht="12.75" hidden="1" outlineLevel="1" x14ac:dyDescent="0.2">
      <c r="A16948" s="23" t="str">
        <f>HYPERLINK("https://www.spark-marketing.ru/Card/Person/817399", "ОТДЕЛ МВД РОССИИ ПО НУРЛАТСКОМУ РАЙОНУ")</f>
        <v>ОТДЕЛ МВД РОССИИ ПО НУРЛАТСКОМУ РАЙОНУ</v>
      </c>
      <c r="B16948" s="24" t="s">
        <v>22119</v>
      </c>
      <c r="C16948" s="25">
        <v>948000</v>
      </c>
      <c r="D16948" s="22" t="s">
        <v>22138</v>
      </c>
      <c r="E16948" s="22" t="s">
        <v>48</v>
      </c>
      <c r="F16948" s="23" t="str">
        <f>HYPERLINK("https://www.spark-marketing.ru/Card/Lot/71337951", "Услуги по обеспечению питанием")</f>
        <v>Услуги по обеспечению питанием</v>
      </c>
      <c r="G16948" s="22" t="s">
        <v>217</v>
      </c>
      <c r="H16948" s="22" t="s">
        <v>217</v>
      </c>
      <c r="I16948" s="26">
        <v>43629.600694444402</v>
      </c>
      <c r="J16948" s="23" t="str">
        <f>HYPERLINK("https://www.spark-marketing.ru/Card/Person/165354", "ООО ""СТС""")</f>
        <v>ООО "СТС"</v>
      </c>
      <c r="K16948" s="24" t="s">
        <v>22122</v>
      </c>
      <c r="L16948" s="22" t="s">
        <v>10</v>
      </c>
      <c r="M16948" s="25">
        <v>938520</v>
      </c>
      <c r="N16948" s="27">
        <v>0.01</v>
      </c>
    </row>
    <row r="16949" spans="1:14" x14ac:dyDescent="0.15">
      <c r="A16949" s="23" t="str">
        <f>HYPERLINK("https://www.spark-marketing.ru/Card/Person/6158145", "МИНТРУДА И СОЦРАЗВИТИЯ НСО")</f>
        <v>МИНТРУДА И СОЦРАЗВИТИЯ НСО</v>
      </c>
      <c r="B16949" s="24" t="s">
        <v>977</v>
      </c>
      <c r="C16949" s="25">
        <v>987350</v>
      </c>
      <c r="D16949" s="22" t="s">
        <v>22139</v>
      </c>
      <c r="E16949" s="22" t="s">
        <v>51</v>
      </c>
      <c r="F16949" s="23" t="str">
        <f>HYPERLINK("https://www.spark-marketing.ru/Card/Lot/71326120", "Оказание услуг по санаторно-курортному лечению работников бюджетной сферы, количество путевок - 70 шт., с заболеваниями опорно-двигательного аппарата, расстройством питания и нарушением обмена веществ, гинекологическими заболеваниями")</f>
        <v>Оказание услуг по санаторно-курортному лечению работников бюджетной сферы, количество путевок - 70 шт., с заболеваниями опорно-двигательного аппарата, расстройством питания и нарушением обмена веществ, гинекологическими заболеваниями</v>
      </c>
      <c r="G16949" s="22" t="s">
        <v>195</v>
      </c>
      <c r="H16949" s="22" t="s">
        <v>196</v>
      </c>
      <c r="I16949" s="26">
        <v>43629.608333333301</v>
      </c>
      <c r="J16949" s="23" t="str">
        <f>HYPERLINK("https://www.spark-marketing.ru/Card/Person/4945941", "ООО ""ЗОЛОТОЙ БЕРЕГ""")</f>
        <v>ООО "ЗОЛОТОЙ БЕРЕГ"</v>
      </c>
      <c r="K16949" s="24" t="s">
        <v>13058</v>
      </c>
      <c r="L16949" s="22" t="s">
        <v>10</v>
      </c>
      <c r="M16949" s="28" t="s">
        <v>51</v>
      </c>
      <c r="N16949" s="28" t="s">
        <v>51</v>
      </c>
    </row>
    <row r="16950" spans="1:14" x14ac:dyDescent="0.15">
      <c r="A16950" s="23" t="str">
        <f>HYPERLINK("https://www.spark-marketing.ru/Card/Person/6158145", "МИНТРУДА И СОЦРАЗВИТИЯ НСО")</f>
        <v>МИНТРУДА И СОЦРАЗВИТИЯ НСО</v>
      </c>
      <c r="B16950" s="24" t="s">
        <v>977</v>
      </c>
      <c r="C16950" s="25">
        <v>2538900</v>
      </c>
      <c r="D16950" s="22" t="s">
        <v>22140</v>
      </c>
      <c r="E16950" s="22" t="s">
        <v>51</v>
      </c>
      <c r="F16950" s="23" t="str">
        <f>HYPERLINK("https://www.spark-marketing.ru/Card/Lot/71325239", "Оказание услуг по санаторно-курортному лечению работников бюджетной сферы, количество путевок - 180 шт., с заболеваниями сердечно-сосудистой системы, расстройством питания и нарушением обмена веществ")</f>
        <v>Оказание услуг по санаторно-курортному лечению работников бюджетной сферы, количество путевок - 180 шт., с заболеваниями сердечно-сосудистой системы, расстройством питания и нарушением обмена веществ</v>
      </c>
      <c r="G16950" s="22" t="s">
        <v>195</v>
      </c>
      <c r="H16950" s="22" t="s">
        <v>196</v>
      </c>
      <c r="I16950" s="26">
        <v>43629.590277777803</v>
      </c>
      <c r="J16950" s="23" t="str">
        <f>HYPERLINK("https://www.spark-marketing.ru/Card/Person/4417838", "ООО ""САНАТОРИЙ ""ПАРУС""")</f>
        <v>ООО "САНАТОРИЙ "ПАРУС"</v>
      </c>
      <c r="K16950" s="24" t="s">
        <v>5609</v>
      </c>
      <c r="L16950" s="22" t="s">
        <v>10</v>
      </c>
      <c r="M16950" s="28" t="s">
        <v>51</v>
      </c>
      <c r="N16950" s="28" t="s">
        <v>51</v>
      </c>
    </row>
    <row r="16951" spans="1:14" x14ac:dyDescent="0.15">
      <c r="A16951" s="23" t="str">
        <f>HYPERLINK("https://www.spark-marketing.ru/Card/Person/6158145", "МИНТРУДА И СОЦРАЗВИТИЯ НСО")</f>
        <v>МИНТРУДА И СОЦРАЗВИТИЯ НСО</v>
      </c>
      <c r="B16951" s="24" t="s">
        <v>977</v>
      </c>
      <c r="C16951" s="25">
        <v>1833650</v>
      </c>
      <c r="D16951" s="22" t="s">
        <v>22141</v>
      </c>
      <c r="E16951" s="22" t="s">
        <v>51</v>
      </c>
      <c r="F16951" s="23" t="str">
        <f>HYPERLINK("https://www.spark-marketing.ru/Card/Lot/71324979", "Оказание услуг по санаторно-курортному лечению работников бюджетной сферы, количество путевок - 130 шт., с заболеваниями сердечно-сосудистой системы, расстройством питания и нарушением обмена веществ")</f>
        <v>Оказание услуг по санаторно-курортному лечению работников бюджетной сферы, количество путевок - 130 шт., с заболеваниями сердечно-сосудистой системы, расстройством питания и нарушением обмена веществ</v>
      </c>
      <c r="G16951" s="22" t="s">
        <v>195</v>
      </c>
      <c r="H16951" s="22" t="s">
        <v>196</v>
      </c>
      <c r="I16951" s="26">
        <v>43629.590277777803</v>
      </c>
      <c r="J16951" s="23" t="str">
        <f>HYPERLINK("https://www.spark-marketing.ru/Card/Person/104049", "ЗАО ""ЛАЗУРНЫЙ""; ЗАО ""САНАТОРИЙ ""ЛАЗУРНЫЙ""")</f>
        <v>ЗАО "ЛАЗУРНЫЙ"; ЗАО "САНАТОРИЙ "ЛАЗУРНЫЙ"</v>
      </c>
      <c r="K16951" s="24" t="s">
        <v>5616</v>
      </c>
      <c r="L16951" s="22" t="s">
        <v>10</v>
      </c>
      <c r="M16951" s="28" t="s">
        <v>51</v>
      </c>
      <c r="N16951" s="28" t="s">
        <v>51</v>
      </c>
    </row>
    <row r="16952" spans="1:14" x14ac:dyDescent="0.15">
      <c r="A16952" s="23" t="str">
        <f>HYPERLINK("https://www.spark-marketing.ru/Card/Person/37108", "КГАУ ""СШОР ПО ХОККЕЮ С МЯЧОМ ""ЕНИСЕЙ""")</f>
        <v>КГАУ "СШОР ПО ХОККЕЮ С МЯЧОМ "ЕНИСЕЙ"</v>
      </c>
      <c r="B16952" s="24" t="s">
        <v>4625</v>
      </c>
      <c r="C16952" s="25">
        <v>427927.5</v>
      </c>
      <c r="D16952" s="22" t="s">
        <v>22142</v>
      </c>
      <c r="E16952" s="22" t="s">
        <v>769</v>
      </c>
      <c r="F16952" s="23" t="str">
        <f>HYPERLINK("https://www.spark-marketing.ru/Card/Lot/71319849", "Оказание услуг по проживанию и питанию спортсменов на период проведения тренировочных мероприятий")</f>
        <v>Оказание услуг по проживанию и питанию спортсменов на период проведения тренировочных мероприятий</v>
      </c>
      <c r="G16952" s="22" t="s">
        <v>281</v>
      </c>
      <c r="H16952" s="22" t="s">
        <v>281</v>
      </c>
      <c r="I16952" s="26">
        <v>43629.581793981502</v>
      </c>
      <c r="J16952" s="28" t="s">
        <v>51</v>
      </c>
      <c r="K16952" s="28" t="s">
        <v>51</v>
      </c>
      <c r="L16952" s="28" t="s">
        <v>51</v>
      </c>
      <c r="M16952" s="28" t="s">
        <v>51</v>
      </c>
      <c r="N16952" s="28" t="s">
        <v>51</v>
      </c>
    </row>
    <row r="16953" spans="1:14" x14ac:dyDescent="0.15">
      <c r="A16953" s="23" t="str">
        <f>HYPERLINK("https://www.spark-marketing.ru/Card/Person/80216", "МБУК КТ ""РУСЬ""")</f>
        <v>МБУК КТ "РУСЬ"</v>
      </c>
      <c r="B16953" s="24" t="s">
        <v>6344</v>
      </c>
      <c r="C16953" s="25">
        <v>3000</v>
      </c>
      <c r="D16953" s="22" t="s">
        <v>22143</v>
      </c>
      <c r="E16953" s="22" t="s">
        <v>48</v>
      </c>
      <c r="F16953" s="23" t="str">
        <f>HYPERLINK("https://www.spark-marketing.ru/Card/Lot/71327950", "Организация чаепития на народном празднике ""Яблочный спас"" (IIIкв. ДК Луч)")</f>
        <v>Организация чаепития на народном празднике "Яблочный спас" (IIIкв. ДК Луч)</v>
      </c>
      <c r="G16953" s="22" t="s">
        <v>49</v>
      </c>
      <c r="H16953" s="22" t="s">
        <v>5949</v>
      </c>
      <c r="I16953" s="26">
        <v>43629.554976851898</v>
      </c>
      <c r="J16953" s="28" t="s">
        <v>51</v>
      </c>
      <c r="K16953" s="28" t="s">
        <v>51</v>
      </c>
      <c r="L16953" s="28" t="s">
        <v>51</v>
      </c>
      <c r="M16953" s="28" t="s">
        <v>51</v>
      </c>
      <c r="N16953" s="28" t="s">
        <v>51</v>
      </c>
    </row>
    <row r="16954" spans="1:14" x14ac:dyDescent="0.15">
      <c r="A16954" s="23" t="str">
        <f>HYPERLINK("https://www.spark-marketing.ru/Card/Person/56553", "ГБУЗ ИБ № 3")</f>
        <v>ГБУЗ ИБ № 3</v>
      </c>
      <c r="B16954" s="24" t="s">
        <v>254</v>
      </c>
      <c r="C16954" s="25">
        <v>499330</v>
      </c>
      <c r="D16954" s="22" t="s">
        <v>22144</v>
      </c>
      <c r="E16954" s="22" t="s">
        <v>96</v>
      </c>
      <c r="F16954" s="23" t="str">
        <f>HYPERLINK("https://www.spark-marketing.ru/Card/Lot/71334774", "Оказание услуг по обеспечению лечебным питанием")</f>
        <v>Оказание услуг по обеспечению лечебным питанием</v>
      </c>
      <c r="G16954" s="22" t="s">
        <v>104</v>
      </c>
      <c r="H16954" s="22" t="s">
        <v>1689</v>
      </c>
      <c r="I16954" s="26">
        <v>43629.531944444403</v>
      </c>
      <c r="J16954" s="28" t="s">
        <v>51</v>
      </c>
      <c r="K16954" s="28" t="s">
        <v>51</v>
      </c>
      <c r="L16954" s="28" t="s">
        <v>51</v>
      </c>
      <c r="M16954" s="28" t="s">
        <v>51</v>
      </c>
      <c r="N16954" s="28" t="s">
        <v>51</v>
      </c>
    </row>
    <row r="16955" spans="1:14" hidden="1" outlineLevel="1" x14ac:dyDescent="0.2">
      <c r="A16955" s="23" t="str">
        <f>HYPERLINK("https://www.spark-marketing.ru/Card/Person/56553", "ГБУЗ ИБ № 3")</f>
        <v>ГБУЗ ИБ № 3</v>
      </c>
      <c r="B16955" s="24" t="s">
        <v>254</v>
      </c>
      <c r="C16955" s="25">
        <v>499330</v>
      </c>
      <c r="D16955" s="22" t="s">
        <v>22144</v>
      </c>
      <c r="E16955" s="22" t="s">
        <v>96</v>
      </c>
      <c r="F16955" s="23" t="str">
        <f>HYPERLINK("https://www.spark-marketing.ru/Card/Lot/71334774", "Оказание услуг по обеспечению лечебным питанием")</f>
        <v>Оказание услуг по обеспечению лечебным питанием</v>
      </c>
      <c r="G16955" s="22" t="s">
        <v>104</v>
      </c>
      <c r="H16955" s="22" t="s">
        <v>1689</v>
      </c>
      <c r="I16955" s="26">
        <v>43629.531944444403</v>
      </c>
      <c r="J16955" s="23" t="str">
        <f>HYPERLINK("https://www.spark-marketing.ru/Card/Person/54395", "Третьяков Вячеслав Викторович")</f>
        <v>Третьяков Вячеслав Викторович</v>
      </c>
      <c r="K16955" s="24" t="s">
        <v>1690</v>
      </c>
      <c r="L16955" s="28" t="s">
        <v>51</v>
      </c>
      <c r="M16955" s="25">
        <v>323028.09999999998</v>
      </c>
      <c r="N16955" s="27">
        <v>0.35307692307692307</v>
      </c>
    </row>
    <row r="16956" spans="1:14" ht="12.75" hidden="1" outlineLevel="1" x14ac:dyDescent="0.2">
      <c r="A16956" s="23" t="str">
        <f>HYPERLINK("https://www.spark-marketing.ru/Card/Person/56553", "ГБУЗ ИБ № 3")</f>
        <v>ГБУЗ ИБ № 3</v>
      </c>
      <c r="B16956" s="24" t="s">
        <v>254</v>
      </c>
      <c r="C16956" s="25">
        <v>499330</v>
      </c>
      <c r="D16956" s="22" t="s">
        <v>22144</v>
      </c>
      <c r="E16956" s="22" t="s">
        <v>96</v>
      </c>
      <c r="F16956" s="23" t="str">
        <f>HYPERLINK("https://www.spark-marketing.ru/Card/Lot/71334774", "Оказание услуг по обеспечению лечебным питанием")</f>
        <v>Оказание услуг по обеспечению лечебным питанием</v>
      </c>
      <c r="G16956" s="22" t="s">
        <v>104</v>
      </c>
      <c r="H16956" s="22" t="s">
        <v>1689</v>
      </c>
      <c r="I16956" s="26">
        <v>43629.531944444403</v>
      </c>
      <c r="J16956" s="23" t="str">
        <f>HYPERLINK("https://www.spark-marketing.ru/Card/Person/2461569", "ООО ""КОНСТАНТИНОВ""")</f>
        <v>ООО "КОНСТАНТИНОВ"</v>
      </c>
      <c r="K16956" s="24" t="s">
        <v>1691</v>
      </c>
      <c r="L16956" s="22" t="s">
        <v>10</v>
      </c>
      <c r="M16956" s="25">
        <v>320531.45</v>
      </c>
      <c r="N16956" s="27">
        <v>0.35807692307692307</v>
      </c>
    </row>
    <row r="16957" spans="1:14" x14ac:dyDescent="0.2">
      <c r="A16957" s="23" t="str">
        <f>HYPERLINK("https://www.spark-marketing.ru/Card/Person/3442", "ФГБУ ""НМИЦ ПН ИМ. В.П. СЕРБСКОГО"" МИНЗДРАВА РОССИИ")</f>
        <v>ФГБУ "НМИЦ ПН ИМ. В.П. СЕРБСКОГО" МИНЗДРАВА РОССИИ</v>
      </c>
      <c r="B16957" s="24" t="s">
        <v>22145</v>
      </c>
      <c r="C16957" s="25">
        <v>155560</v>
      </c>
      <c r="D16957" s="22" t="s">
        <v>22146</v>
      </c>
      <c r="E16957" s="22" t="s">
        <v>580</v>
      </c>
      <c r="F16957" s="23" t="str">
        <f>HYPERLINK("https://www.spark-marketing.ru/Card/Lot/71323145", "Оказание услуг по организации питания участников конференции")</f>
        <v>Оказание услуг по организации питания участников конференции</v>
      </c>
      <c r="G16957" s="22" t="s">
        <v>56</v>
      </c>
      <c r="H16957" s="22" t="s">
        <v>56</v>
      </c>
      <c r="I16957" s="26">
        <v>43629.5078587963</v>
      </c>
      <c r="J16957" s="23" t="str">
        <f>HYPERLINK("https://www.spark-marketing.ru/Card/Person/1041604", "ЦДУ РАН")</f>
        <v>ЦДУ РАН</v>
      </c>
      <c r="K16957" s="24" t="s">
        <v>22147</v>
      </c>
      <c r="L16957" s="28" t="s">
        <v>51</v>
      </c>
      <c r="M16957" s="25">
        <v>155560</v>
      </c>
      <c r="N16957" s="27">
        <v>0</v>
      </c>
    </row>
    <row r="16958" spans="1:14" x14ac:dyDescent="0.15">
      <c r="A16958" s="23" t="str">
        <f>HYPERLINK("https://www.spark-marketing.ru/Card/Person/71948", "МАУ ЦДДП")</f>
        <v>МАУ ЦДДП</v>
      </c>
      <c r="B16958" s="24" t="s">
        <v>22148</v>
      </c>
      <c r="C16958" s="25">
        <v>947720</v>
      </c>
      <c r="D16958" s="22" t="s">
        <v>22149</v>
      </c>
      <c r="E16958" s="22" t="s">
        <v>362</v>
      </c>
      <c r="F16958" s="23" t="str">
        <f>HYPERLINK("https://www.spark-marketing.ru/Card/Lot/71319573", "Оказание услуг по организации питания детей в МБУ СОЛ «Росинка» г. Уфа")</f>
        <v>Оказание услуг по организации питания детей в МБУ СОЛ «Росинка» г. Уфа</v>
      </c>
      <c r="G16958" s="22" t="s">
        <v>145</v>
      </c>
      <c r="H16958" s="22" t="s">
        <v>145</v>
      </c>
      <c r="I16958" s="26">
        <v>43629.525949074101</v>
      </c>
      <c r="J16958" s="28" t="s">
        <v>51</v>
      </c>
      <c r="K16958" s="28" t="s">
        <v>51</v>
      </c>
      <c r="L16958" s="28" t="s">
        <v>51</v>
      </c>
      <c r="M16958" s="28" t="s">
        <v>51</v>
      </c>
      <c r="N16958" s="28" t="s">
        <v>51</v>
      </c>
    </row>
    <row r="16959" spans="1:14" x14ac:dyDescent="0.15">
      <c r="A16959" s="23" t="str">
        <f>HYPERLINK("https://www.spark-marketing.ru/Card/Person/71948", "МАУ ЦДДП")</f>
        <v>МАУ ЦДДП</v>
      </c>
      <c r="B16959" s="24" t="s">
        <v>22148</v>
      </c>
      <c r="C16959" s="25">
        <v>1924744.5</v>
      </c>
      <c r="D16959" s="22" t="s">
        <v>22150</v>
      </c>
      <c r="E16959" s="22" t="s">
        <v>22151</v>
      </c>
      <c r="F16959" s="23" t="str">
        <f>HYPERLINK("https://www.spark-marketing.ru/Card/Lot/71319547", "Оказание услуг по организации питания детей в лагерях ( МБУ ДОЛ «Дружный», МБУ ДОЛ «Луч» , МБУ ДОЛ «Чайка»)")</f>
        <v>Оказание услуг по организации питания детей в лагерях ( МБУ ДОЛ «Дружный», МБУ ДОЛ «Луч» , МБУ ДОЛ «Чайка»)</v>
      </c>
      <c r="G16959" s="22" t="s">
        <v>145</v>
      </c>
      <c r="H16959" s="22" t="s">
        <v>145</v>
      </c>
      <c r="I16959" s="26">
        <v>43629.5021180556</v>
      </c>
      <c r="J16959" s="28" t="s">
        <v>51</v>
      </c>
      <c r="K16959" s="28" t="s">
        <v>51</v>
      </c>
      <c r="L16959" s="28" t="s">
        <v>51</v>
      </c>
      <c r="M16959" s="28" t="s">
        <v>51</v>
      </c>
      <c r="N16959" s="28" t="s">
        <v>51</v>
      </c>
    </row>
    <row r="16960" spans="1:14" x14ac:dyDescent="0.15">
      <c r="A16960" s="23" t="str">
        <f>HYPERLINK("https://www.spark-marketing.ru/Card/Person/14201", "ГБУЗ РК ""УСТЬ-ЦИЛЕМСКАЯ ЦРБ""")</f>
        <v>ГБУЗ РК "УСТЬ-ЦИЛЕМСКАЯ ЦРБ"</v>
      </c>
      <c r="B16960" s="24" t="s">
        <v>729</v>
      </c>
      <c r="C16960" s="25">
        <v>999922.5</v>
      </c>
      <c r="D16960" s="22" t="s">
        <v>22152</v>
      </c>
      <c r="E16960" s="22" t="s">
        <v>48</v>
      </c>
      <c r="F16960" s="23" t="str">
        <f>HYPERLINK("https://www.spark-marketing.ru/Card/Lot/71335296", "Оказание услуг по приготовлению диетического питания в стационарных отделениях ГБУЗ РК «Усть-Цилемская ЦРБ»")</f>
        <v>Оказание услуг по приготовлению диетического питания в стационарных отделениях ГБУЗ РК «Усть-Цилемская ЦРБ»</v>
      </c>
      <c r="G16960" s="22" t="s">
        <v>271</v>
      </c>
      <c r="H16960" s="22" t="s">
        <v>731</v>
      </c>
      <c r="I16960" s="26">
        <v>43629.538194444402</v>
      </c>
      <c r="J16960" s="23" t="str">
        <f>HYPERLINK("https://www.spark-marketing.ru/Card/Person/4688351", "Семяшкина Елена Николаевна")</f>
        <v>Семяшкина Елена Николаевна</v>
      </c>
      <c r="K16960" s="24" t="s">
        <v>11985</v>
      </c>
      <c r="L16960" s="22" t="s">
        <v>10</v>
      </c>
      <c r="M16960" s="28" t="s">
        <v>51</v>
      </c>
      <c r="N16960" s="28" t="s">
        <v>51</v>
      </c>
    </row>
    <row r="16961" spans="1:14" x14ac:dyDescent="0.15">
      <c r="A16961" s="23" t="str">
        <f>HYPERLINK("https://www.spark-marketing.ru/Card/Person/997384", "МУДО ДЭБЦ")</f>
        <v>МУДО ДЭБЦ</v>
      </c>
      <c r="B16961" s="24" t="s">
        <v>22153</v>
      </c>
      <c r="C16961" s="25">
        <v>294840</v>
      </c>
      <c r="D16961" s="22" t="s">
        <v>22154</v>
      </c>
      <c r="E16961" s="22" t="s">
        <v>48</v>
      </c>
      <c r="F16961" s="23" t="str">
        <f>HYPERLINK("https://www.spark-marketing.ru/Card/Lot/71322506", "Организация горячего питания для детей и подростков, находящихся в оздоровительном лагере с дневным пребыванием в муниципальном учреждении дополнительного образования детский эколого-биологический центр городского округа Павловский Посад Московской о...")</f>
        <v>Организация горячего питания для детей и подростков, находящихся в оздоровительном лагере с дневным пребыванием в муниципальном учреждении дополнительного образования детский эколого-биологический центр городского округа Павловский Посад Московской о...</v>
      </c>
      <c r="G16961" s="22" t="s">
        <v>49</v>
      </c>
      <c r="H16961" s="22" t="s">
        <v>1833</v>
      </c>
      <c r="I16961" s="26">
        <v>43629.472175925897</v>
      </c>
      <c r="J16961" s="28" t="s">
        <v>51</v>
      </c>
      <c r="K16961" s="28" t="s">
        <v>51</v>
      </c>
      <c r="L16961" s="28" t="s">
        <v>51</v>
      </c>
      <c r="M16961" s="28" t="s">
        <v>51</v>
      </c>
      <c r="N16961" s="28" t="s">
        <v>51</v>
      </c>
    </row>
    <row r="16962" spans="1:14" x14ac:dyDescent="0.15">
      <c r="A16962" s="23" t="str">
        <f>HYPERLINK("https://www.spark-marketing.ru/Card/Person/4863065", "ООО ""ОКБ КИПИА ГХК""")</f>
        <v>ООО "ОКБ КИПИА ГХК"</v>
      </c>
      <c r="B16962" s="24" t="s">
        <v>22155</v>
      </c>
      <c r="C16962" s="25">
        <v>242945.39</v>
      </c>
      <c r="D16962" s="22" t="s">
        <v>22156</v>
      </c>
      <c r="E16962" s="22" t="s">
        <v>362</v>
      </c>
      <c r="F16962" s="23" t="str">
        <f>HYPERLINK("https://www.spark-marketing.ru/Card/Lot/71313506", "Оказание услуг по организации и предоставлению лечебно-профилактического питания работникам ООО «ОКБ КИПиА ГХК» на промтерритории ФГУП «НО РАО»")</f>
        <v>Оказание услуг по организации и предоставлению лечебно-профилактического питания работникам ООО «ОКБ КИПиА ГХК» на промтерритории ФГУП «НО РАО»</v>
      </c>
      <c r="G16962" s="22" t="s">
        <v>281</v>
      </c>
      <c r="H16962" s="22" t="s">
        <v>5821</v>
      </c>
      <c r="I16962" s="26">
        <v>43629.483425925901</v>
      </c>
      <c r="J16962" s="28" t="s">
        <v>51</v>
      </c>
      <c r="K16962" s="28" t="s">
        <v>51</v>
      </c>
      <c r="L16962" s="28" t="s">
        <v>51</v>
      </c>
      <c r="M16962" s="28" t="s">
        <v>51</v>
      </c>
      <c r="N16962" s="28" t="s">
        <v>51</v>
      </c>
    </row>
    <row r="16963" spans="1:14" x14ac:dyDescent="0.15">
      <c r="A16963" s="23" t="str">
        <f>HYPERLINK("https://www.spark-marketing.ru/Card/Person/68985", "УМВД РОССИИ ПО Г. ОРЛУ")</f>
        <v>УМВД РОССИИ ПО Г. ОРЛУ</v>
      </c>
      <c r="B16963" s="24" t="s">
        <v>22157</v>
      </c>
      <c r="C16963" s="25">
        <v>331080</v>
      </c>
      <c r="D16963" s="22" t="s">
        <v>22158</v>
      </c>
      <c r="E16963" s="22" t="s">
        <v>48</v>
      </c>
      <c r="F16963" s="23" t="str">
        <f>HYPERLINK("https://www.spark-marketing.ru/Card/Lot/71328913", "услуги по обеспечению ежедневным трехразовым горячим питанием лиц, содержащихся более 3-х часов в специальном помещении для содержания задержанных лиц УМВД России по г. Орлу, ОП №1 (по Железнодорожному району) УМВД России по г. Орлу, ОП №2 (по Заводс...")</f>
        <v>услуги по обеспечению ежедневным трехразовым горячим питанием лиц, содержащихся более 3-х часов в специальном помещении для содержания задержанных лиц УМВД России по г. Орлу, ОП №1 (по Железнодорожному району) УМВД России по г. Орлу, ОП №2 (по Заводс...</v>
      </c>
      <c r="G16963" s="22" t="s">
        <v>1066</v>
      </c>
      <c r="H16963" s="22" t="s">
        <v>2864</v>
      </c>
      <c r="I16963" s="26">
        <v>43629.465972222199</v>
      </c>
      <c r="J16963" s="28" t="s">
        <v>51</v>
      </c>
      <c r="K16963" s="28" t="s">
        <v>51</v>
      </c>
      <c r="L16963" s="28" t="s">
        <v>51</v>
      </c>
      <c r="M16963" s="28" t="s">
        <v>51</v>
      </c>
      <c r="N16963" s="28" t="s">
        <v>51</v>
      </c>
    </row>
    <row r="16964" spans="1:14" x14ac:dyDescent="0.2">
      <c r="A16964" s="23" t="str">
        <f>HYPERLINK("https://www.spark-marketing.ru/Card/Person/1759153", "МАОУ ""ПЛАНИРОВАНИЕ КАРЬЕРЫ""")</f>
        <v>МАОУ "ПЛАНИРОВАНИЕ КАРЬЕРЫ"</v>
      </c>
      <c r="B16964" s="24" t="s">
        <v>16773</v>
      </c>
      <c r="C16964" s="25">
        <v>270000</v>
      </c>
      <c r="D16964" s="22" t="s">
        <v>22159</v>
      </c>
      <c r="E16964" s="22" t="s">
        <v>362</v>
      </c>
      <c r="F16964" s="23" t="str">
        <f>HYPERLINK("https://www.spark-marketing.ru/Card/Lot/71315348", "услуги по обеспечению готовым питанием детей в каникулярное время, отдыхающих в детском оздоровительном лагере с дневным пребыванием, организованном при муниципальном автономном образовательном учреждении дополнительного образования Центр дополнитель...")</f>
        <v>услуги по обеспечению готовым питанием детей в каникулярное время, отдыхающих в детском оздоровительном лагере с дневным пребыванием, организованном при муниципальном автономном образовательном учреждении дополнительного образования Центр дополнитель...</v>
      </c>
      <c r="G16964" s="22" t="s">
        <v>149</v>
      </c>
      <c r="H16964" s="22" t="s">
        <v>149</v>
      </c>
      <c r="I16964" s="26">
        <v>43629.478784722203</v>
      </c>
      <c r="J16964" s="28" t="s">
        <v>51</v>
      </c>
      <c r="K16964" s="28" t="s">
        <v>51</v>
      </c>
      <c r="L16964" s="22" t="s">
        <v>10</v>
      </c>
      <c r="M16964" s="25">
        <v>270000</v>
      </c>
      <c r="N16964" s="27">
        <v>0</v>
      </c>
    </row>
    <row r="16965" spans="1:14" x14ac:dyDescent="0.15">
      <c r="A16965" s="23" t="str">
        <f>HYPERLINK("https://www.spark-marketing.ru/Card/Person/1022333", "МБУ ДО ДДТ ""ЛИРА""")</f>
        <v>МБУ ДО ДДТ "ЛИРА"</v>
      </c>
      <c r="B16965" s="24" t="s">
        <v>22160</v>
      </c>
      <c r="C16965" s="25">
        <v>219000</v>
      </c>
      <c r="D16965" s="22" t="s">
        <v>22161</v>
      </c>
      <c r="E16965" s="22" t="s">
        <v>48</v>
      </c>
      <c r="F16965" s="23" t="str">
        <f>HYPERLINK("https://www.spark-marketing.ru/Card/Lot/71322677", "Оказание услуг по организации питания в оздоровительных учреждениях с круглосуточным пребыванием детей в период каникул")</f>
        <v>Оказание услуг по организации питания в оздоровительных учреждениях с круглосуточным пребыванием детей в период каникул</v>
      </c>
      <c r="G16965" s="22" t="s">
        <v>49</v>
      </c>
      <c r="H16965" s="22" t="s">
        <v>5231</v>
      </c>
      <c r="I16965" s="26">
        <v>43629.471620370401</v>
      </c>
      <c r="J16965" s="28" t="s">
        <v>51</v>
      </c>
      <c r="K16965" s="28" t="s">
        <v>51</v>
      </c>
      <c r="L16965" s="28" t="s">
        <v>51</v>
      </c>
      <c r="M16965" s="28" t="s">
        <v>51</v>
      </c>
      <c r="N16965" s="28" t="s">
        <v>51</v>
      </c>
    </row>
    <row r="16966" spans="1:14" x14ac:dyDescent="0.15">
      <c r="A16966" s="23" t="str">
        <f>HYPERLINK("https://www.spark-marketing.ru/Card/Person/59439", "КУ РА ""УПРАВЛЕНИЕ ПО ОБЕСПЕЧЕНИЮ ДЕЯТЕЛЬНОСТИ ПАРЛАМЕНТА РА""")</f>
        <v>КУ РА "УПРАВЛЕНИЕ ПО ОБЕСПЕЧЕНИЮ ДЕЯТЕЛЬНОСТИ ПАРЛАМЕНТА РА"</v>
      </c>
      <c r="B16966" s="24" t="s">
        <v>22162</v>
      </c>
      <c r="C16966" s="25">
        <v>390000</v>
      </c>
      <c r="D16966" s="22" t="s">
        <v>22163</v>
      </c>
      <c r="E16966" s="22" t="s">
        <v>96</v>
      </c>
      <c r="F16966" s="23" t="str">
        <f>HYPERLINK("https://www.spark-marketing.ru/Card/Lot/71313700", "Оказание услуг по организации питания официальных делегаций и лиц, прибывших в Республику Алтай с официальным визитом, обслуживание официальных мероприятий")</f>
        <v>Оказание услуг по организации питания официальных делегаций и лиц, прибывших в Республику Алтай с официальным визитом, обслуживание официальных мероприятий</v>
      </c>
      <c r="G16966" s="22" t="s">
        <v>1141</v>
      </c>
      <c r="H16966" s="22" t="s">
        <v>1142</v>
      </c>
      <c r="I16966" s="26">
        <v>43629.434027777803</v>
      </c>
      <c r="J16966" s="23" t="str">
        <f>HYPERLINK("https://www.spark-marketing.ru/Card/Person/930943", "ООО ""ШКОЛЬНИК""")</f>
        <v>ООО "ШКОЛЬНИК"</v>
      </c>
      <c r="K16966" s="24" t="s">
        <v>10567</v>
      </c>
      <c r="L16966" s="22" t="s">
        <v>10</v>
      </c>
      <c r="M16966" s="28" t="s">
        <v>51</v>
      </c>
      <c r="N16966" s="28" t="s">
        <v>51</v>
      </c>
    </row>
    <row r="16967" spans="1:14" x14ac:dyDescent="0.15">
      <c r="A16967" s="23" t="str">
        <f>HYPERLINK("https://www.spark-marketing.ru/Card/Person/4478", "ГБУ ""ЦЕНТР МОЛОДЕЖИ""")</f>
        <v>ГБУ "ЦЕНТР МОЛОДЕЖИ"</v>
      </c>
      <c r="B16967" s="24" t="s">
        <v>16872</v>
      </c>
      <c r="C16967" s="25">
        <v>1064430</v>
      </c>
      <c r="D16967" s="22" t="s">
        <v>22164</v>
      </c>
      <c r="E16967" s="22" t="s">
        <v>580</v>
      </c>
      <c r="F16967" s="23" t="str">
        <f>HYPERLINK("https://www.spark-marketing.ru/Card/Lot/71323050", "Оказание услуг по организации питания в пути следования поездами для детей и молодежи Калининградской области")</f>
        <v>Оказание услуг по организации питания в пути следования поездами для детей и молодежи Калининградской области</v>
      </c>
      <c r="G16967" s="22" t="s">
        <v>400</v>
      </c>
      <c r="H16967" s="22" t="s">
        <v>400</v>
      </c>
      <c r="I16967" s="26">
        <v>43629.456041666701</v>
      </c>
      <c r="J16967" s="28" t="s">
        <v>51</v>
      </c>
      <c r="K16967" s="28" t="s">
        <v>51</v>
      </c>
      <c r="L16967" s="28" t="s">
        <v>51</v>
      </c>
      <c r="M16967" s="28" t="s">
        <v>51</v>
      </c>
      <c r="N16967" s="28" t="s">
        <v>51</v>
      </c>
    </row>
    <row r="16968" spans="1:14" ht="12.75" x14ac:dyDescent="0.2">
      <c r="A16968" s="23" t="str">
        <f>HYPERLINK("https://www.spark-marketing.ru/Card/Person/1037238", "МБУ ""ОДМ""")</f>
        <v>МБУ "ОДМ"</v>
      </c>
      <c r="B16968" s="24" t="s">
        <v>7957</v>
      </c>
      <c r="C16968" s="25">
        <v>39100</v>
      </c>
      <c r="D16968" s="22" t="s">
        <v>22165</v>
      </c>
      <c r="E16968" s="22" t="s">
        <v>1492</v>
      </c>
      <c r="F16968" s="23" t="str">
        <f>HYPERLINK("https://www.spark-marketing.ru/Card/Lot/71313934", "Оказание услуг по организации проживания, питания участников профильной смены ""Школа выживания"" для подростков ""группы риска""")</f>
        <v>Оказание услуг по организации проживания, питания участников профильной смены "Школа выживания" для подростков "группы риска"</v>
      </c>
      <c r="G16968" s="22" t="s">
        <v>195</v>
      </c>
      <c r="H16968" s="22" t="s">
        <v>6179</v>
      </c>
      <c r="I16968" s="26">
        <v>43629.441666666702</v>
      </c>
      <c r="J16968" s="23" t="str">
        <f>HYPERLINK("https://www.spark-marketing.ru/Card/Person/386051", "МАОУ ДО ДООЦТ ""ЮНОСТЬ""")</f>
        <v>МАОУ ДО ДООЦТ "ЮНОСТЬ"</v>
      </c>
      <c r="K16968" s="24" t="s">
        <v>22166</v>
      </c>
      <c r="L16968" s="22" t="s">
        <v>10</v>
      </c>
      <c r="M16968" s="25">
        <v>39100</v>
      </c>
      <c r="N16968" s="27">
        <v>0</v>
      </c>
    </row>
    <row r="16969" spans="1:14" x14ac:dyDescent="0.15">
      <c r="A16969" s="23" t="str">
        <f>HYPERLINK("https://www.spark-marketing.ru/Card/Person/103585", "ВОЙСКОВАЯ ЧАСТЬ 3553")</f>
        <v>ВОЙСКОВАЯ ЧАСТЬ 3553</v>
      </c>
      <c r="B16969" s="24" t="s">
        <v>22167</v>
      </c>
      <c r="C16969" s="25">
        <v>792799.26</v>
      </c>
      <c r="D16969" s="22" t="s">
        <v>22168</v>
      </c>
      <c r="E16969" s="22" t="s">
        <v>48</v>
      </c>
      <c r="F16969" s="23" t="str">
        <f>HYPERLINK("https://www.spark-marketing.ru/Card/Lot/71321141", "Закупка бортового питания")</f>
        <v>Закупка бортового питания</v>
      </c>
      <c r="G16969" s="22" t="s">
        <v>49</v>
      </c>
      <c r="H16969" s="22" t="s">
        <v>49</v>
      </c>
      <c r="I16969" s="26">
        <v>43629.409027777801</v>
      </c>
      <c r="J16969" s="23" t="str">
        <f>HYPERLINK("https://www.spark-marketing.ru/Card/Person/4875475", "Колесов Михаил Анатольевич")</f>
        <v>Колесов Михаил Анатольевич</v>
      </c>
      <c r="K16969" s="24" t="s">
        <v>22169</v>
      </c>
      <c r="L16969" s="22" t="s">
        <v>10</v>
      </c>
      <c r="M16969" s="28" t="s">
        <v>51</v>
      </c>
      <c r="N16969" s="28" t="s">
        <v>51</v>
      </c>
    </row>
    <row r="16970" spans="1:14" x14ac:dyDescent="0.15">
      <c r="A16970" s="23" t="str">
        <f>HYPERLINK("https://www.spark-marketing.ru/Card/Person/1762628", "Фл Эльбрусский ВПСО МЧС России")</f>
        <v>Фл Эльбрусский ВПСО МЧС России</v>
      </c>
      <c r="B16970" s="24" t="s">
        <v>8900</v>
      </c>
      <c r="C16970" s="25">
        <v>300150</v>
      </c>
      <c r="D16970" s="22" t="s">
        <v>22170</v>
      </c>
      <c r="E16970" s="22" t="s">
        <v>48</v>
      </c>
      <c r="F16970" s="23" t="str">
        <f>HYPERLINK("https://www.spark-marketing.ru/Card/Lot/71317548", "Услуги по обеспечению питанием")</f>
        <v>Услуги по обеспечению питанием</v>
      </c>
      <c r="G16970" s="22" t="s">
        <v>986</v>
      </c>
      <c r="H16970" s="22" t="s">
        <v>986</v>
      </c>
      <c r="I16970" s="26">
        <v>43629.383333333302</v>
      </c>
      <c r="J16970" s="23" t="str">
        <f>HYPERLINK("https://www.spark-marketing.ru/Card/Person/745394", "ООО ""А.Р.С.""")</f>
        <v>ООО "А.Р.С."</v>
      </c>
      <c r="K16970" s="24" t="s">
        <v>22171</v>
      </c>
      <c r="L16970" s="22" t="s">
        <v>10</v>
      </c>
      <c r="M16970" s="28" t="s">
        <v>51</v>
      </c>
      <c r="N16970" s="28" t="s">
        <v>51</v>
      </c>
    </row>
    <row r="16971" spans="1:14" x14ac:dyDescent="0.15">
      <c r="A16971" s="23" t="str">
        <f>HYPERLINK("https://www.spark-marketing.ru/Card/Person/1743959", "УМВД РОССИИ ПО ЛИПЕЦКОЙ ОБЛАСТИ")</f>
        <v>УМВД РОССИИ ПО ЛИПЕЦКОЙ ОБЛАСТИ</v>
      </c>
      <c r="B16971" s="24" t="s">
        <v>4402</v>
      </c>
      <c r="C16971" s="25">
        <v>300000</v>
      </c>
      <c r="D16971" s="22" t="s">
        <v>22172</v>
      </c>
      <c r="E16971" s="22" t="s">
        <v>96</v>
      </c>
      <c r="F16971" s="23" t="str">
        <f>HYPERLINK("https://www.spark-marketing.ru/Card/Lot/71317549", "Услуги по обеспечению ежедневным пятиразовым горячим питанием несовершеннолетних, содержащихся в центре временного содержания для несовершеннолетних правонарушителей УМВД России по Липецкой области")</f>
        <v>Услуги по обеспечению ежедневным пятиразовым горячим питанием несовершеннолетних, содержащихся в центре временного содержания для несовершеннолетних правонарушителей УМВД России по Липецкой области</v>
      </c>
      <c r="G16971" s="22" t="s">
        <v>101</v>
      </c>
      <c r="H16971" s="22" t="s">
        <v>728</v>
      </c>
      <c r="I16971" s="26">
        <v>43629.377777777801</v>
      </c>
      <c r="J16971" s="28" t="s">
        <v>51</v>
      </c>
      <c r="K16971" s="28" t="s">
        <v>51</v>
      </c>
      <c r="L16971" s="28" t="s">
        <v>51</v>
      </c>
      <c r="M16971" s="28" t="s">
        <v>51</v>
      </c>
      <c r="N16971" s="28" t="s">
        <v>51</v>
      </c>
    </row>
    <row r="16972" spans="1:14" x14ac:dyDescent="0.15">
      <c r="A16972" s="23" t="str">
        <f>HYPERLINK("https://www.spark-marketing.ru/Card/Person/72068", "ОГБУСО ""СЕРГИНСКИЙ ПСИХОНЕВРОЛОГИЧЕСКИЙ ИНТЕРНАТ""")</f>
        <v>ОГБУСО "СЕРГИНСКИЙ ПСИХОНЕВРОЛОГИЧЕСКИЙ ИНТЕРНАТ"</v>
      </c>
      <c r="B16972" s="24" t="s">
        <v>3241</v>
      </c>
      <c r="C16972" s="25">
        <v>1001548</v>
      </c>
      <c r="D16972" s="22" t="s">
        <v>22173</v>
      </c>
      <c r="E16972" s="22" t="s">
        <v>48</v>
      </c>
      <c r="F16972" s="23" t="str">
        <f>HYPERLINK("https://www.spark-marketing.ru/Card/Lot/71311632", "Оказание услуг по обеспечению горячим питанием")</f>
        <v>Оказание услуг по обеспечению горячим питанием</v>
      </c>
      <c r="G16972" s="22" t="s">
        <v>263</v>
      </c>
      <c r="H16972" s="22" t="s">
        <v>3243</v>
      </c>
      <c r="I16972" s="26">
        <v>43629.381249999999</v>
      </c>
      <c r="J16972" s="23" t="str">
        <f>HYPERLINK("https://www.spark-marketing.ru/Card/Person/335980", "ООО ""ТАЕЖНЫЙ""")</f>
        <v>ООО "ТАЕЖНЫЙ"</v>
      </c>
      <c r="K16972" s="24" t="s">
        <v>3244</v>
      </c>
      <c r="L16972" s="22" t="s">
        <v>10</v>
      </c>
      <c r="M16972" s="28" t="s">
        <v>51</v>
      </c>
      <c r="N16972" s="28" t="s">
        <v>51</v>
      </c>
    </row>
    <row r="16973" spans="1:14" x14ac:dyDescent="0.15">
      <c r="A16973" s="23" t="str">
        <f>HYPERLINK("https://www.spark-marketing.ru/Card/Person/1956253", "ООО ""РН-СНАБЖЕНИЕ""")</f>
        <v>ООО "РН-СНАБЖЕНИЕ"</v>
      </c>
      <c r="B16973" s="24" t="s">
        <v>1072</v>
      </c>
      <c r="C16973" s="28" t="s">
        <v>51</v>
      </c>
      <c r="D16973" s="22" t="s">
        <v>22174</v>
      </c>
      <c r="E16973" s="22" t="s">
        <v>362</v>
      </c>
      <c r="F16973" s="23" t="str">
        <f>HYPERLINK("https://www.spark-marketing.ru/Card/Lot/71317174", "Оказание услуг по организации общественного питания на объектах ООО ""РН-Снабжение")</f>
        <v>Оказание услуг по организации общественного питания на объектах ООО "РН-Снабжение</v>
      </c>
      <c r="G16973" s="22" t="s">
        <v>97</v>
      </c>
      <c r="H16973" s="22" t="s">
        <v>366</v>
      </c>
      <c r="I16973" s="26">
        <v>43629.4</v>
      </c>
      <c r="J16973" s="28" t="s">
        <v>51</v>
      </c>
      <c r="K16973" s="28" t="s">
        <v>51</v>
      </c>
      <c r="L16973" s="28" t="s">
        <v>51</v>
      </c>
      <c r="M16973" s="28" t="s">
        <v>51</v>
      </c>
      <c r="N16973" s="28" t="s">
        <v>51</v>
      </c>
    </row>
    <row r="16974" spans="1:14" x14ac:dyDescent="0.15">
      <c r="A16974" s="23" t="str">
        <f>HYPERLINK("https://www.spark-marketing.ru/Card/Person/4384648", "ЗАО ""УДМУРТНЕФТЬ-БУРЕНИЕ""")</f>
        <v>ЗАО "УДМУРТНЕФТЬ-БУРЕНИЕ"</v>
      </c>
      <c r="B16974" s="24" t="s">
        <v>22175</v>
      </c>
      <c r="C16974" s="25">
        <v>18601597.149999999</v>
      </c>
      <c r="D16974" s="22" t="s">
        <v>22176</v>
      </c>
      <c r="E16974" s="22" t="s">
        <v>362</v>
      </c>
      <c r="F16974" s="23" t="str">
        <f>HYPERLINK("https://www.spark-marketing.ru/Card/Lot/71315079", "УСЛУГИ ПО ОБЕСПЕЧЕНИЮ ПИТАНИЕМ БУРОВЫХ БРИГАД И ВМЦ ЗАНЯТЫХ НА МЕСТОРОЖДЕНИЯХ ОАО ""УДМУРТНЕФТЬ""")</f>
        <v>УСЛУГИ ПО ОБЕСПЕЧЕНИЮ ПИТАНИЕМ БУРОВЫХ БРИГАД И ВМЦ ЗАНЯТЫХ НА МЕСТОРОЖДЕНИЯХ ОАО "УДМУРТНЕФТЬ"</v>
      </c>
      <c r="G16974" s="22" t="s">
        <v>852</v>
      </c>
      <c r="H16974" s="22" t="s">
        <v>2477</v>
      </c>
      <c r="I16974" s="26">
        <v>43629.360416666699</v>
      </c>
      <c r="J16974" s="28" t="s">
        <v>51</v>
      </c>
      <c r="K16974" s="28" t="s">
        <v>51</v>
      </c>
      <c r="L16974" s="28" t="s">
        <v>51</v>
      </c>
      <c r="M16974" s="28" t="s">
        <v>51</v>
      </c>
      <c r="N16974" s="28" t="s">
        <v>51</v>
      </c>
    </row>
    <row r="16975" spans="1:14" x14ac:dyDescent="0.15">
      <c r="A16975" s="23" t="str">
        <f>HYPERLINK("https://www.spark-marketing.ru/Card/Person/52594", "ОТДЕЛ МВД РОССИИ ПО ГОРОДУ АРМАВИРУ")</f>
        <v>ОТДЕЛ МВД РОССИИ ПО ГОРОДУ АРМАВИРУ</v>
      </c>
      <c r="B16975" s="24" t="s">
        <v>6796</v>
      </c>
      <c r="C16975" s="25">
        <v>482270</v>
      </c>
      <c r="D16975" s="22" t="s">
        <v>22177</v>
      </c>
      <c r="E16975" s="22" t="s">
        <v>48</v>
      </c>
      <c r="F16975" s="23" t="str">
        <f>HYPERLINK("https://www.spark-marketing.ru/Card/Lot/71318184", "питание ивс и сп")</f>
        <v>питание ивс и сп</v>
      </c>
      <c r="G16975" s="22" t="s">
        <v>104</v>
      </c>
      <c r="H16975" s="22" t="s">
        <v>3800</v>
      </c>
      <c r="I16975" s="26">
        <v>43629.373611111099</v>
      </c>
      <c r="J16975" s="23" t="str">
        <f>HYPERLINK("https://www.spark-marketing.ru/Card/Person/1944208", "ООО ""НГБ-РЕМОНТ""")</f>
        <v>ООО "НГБ-РЕМОНТ"</v>
      </c>
      <c r="K16975" s="24" t="s">
        <v>22178</v>
      </c>
      <c r="L16975" s="22" t="s">
        <v>10</v>
      </c>
      <c r="M16975" s="28" t="s">
        <v>51</v>
      </c>
      <c r="N16975" s="28" t="s">
        <v>51</v>
      </c>
    </row>
    <row r="16976" spans="1:14" ht="12.75" x14ac:dyDescent="0.2">
      <c r="A16976" s="23" t="str">
        <f>HYPERLINK("https://www.spark-marketing.ru/Card/Person/34311", "ГБУЗ НО ""ГОРОДСКАЯ БОЛЬНИЦА №2 Г. ДЗЕРЖИНСКА""")</f>
        <v>ГБУЗ НО "ГОРОДСКАЯ БОЛЬНИЦА №2 Г. ДЗЕРЖИНСКА"</v>
      </c>
      <c r="B16976" s="24" t="s">
        <v>22179</v>
      </c>
      <c r="C16976" s="25">
        <v>24099264</v>
      </c>
      <c r="D16976" s="22" t="s">
        <v>22180</v>
      </c>
      <c r="E16976" s="22" t="s">
        <v>48</v>
      </c>
      <c r="F16976" s="23" t="str">
        <f>HYPERLINK("https://www.spark-marketing.ru/Card/Lot/71318310", "Оказание услуг по организации и ежедневному приготовлению горячего лечебного питания для пациентов стационара для нужд ГБУЗ НО ""Городская больница №2 г.Дзержинска""")</f>
        <v>Оказание услуг по организации и ежедневному приготовлению горячего лечебного питания для пациентов стационара для нужд ГБУЗ НО "Городская больница №2 г.Дзержинска"</v>
      </c>
      <c r="G16976" s="22" t="s">
        <v>76</v>
      </c>
      <c r="H16976" s="22" t="s">
        <v>3057</v>
      </c>
      <c r="I16976" s="26">
        <v>43629.374305555597</v>
      </c>
      <c r="J16976" s="23" t="str">
        <f>HYPERLINK("https://www.spark-marketing.ru/Card/Person/520742", "Левина Екатерина Андреевна")</f>
        <v>Левина Екатерина Андреевна</v>
      </c>
      <c r="K16976" s="24" t="s">
        <v>22181</v>
      </c>
      <c r="L16976" s="22" t="s">
        <v>10</v>
      </c>
      <c r="M16976" s="25">
        <v>218</v>
      </c>
      <c r="N16976" s="27">
        <v>0.99999095408058936</v>
      </c>
    </row>
    <row r="16977" spans="1:14" x14ac:dyDescent="0.15">
      <c r="A16977" s="23" t="str">
        <f>HYPERLINK("https://www.spark-marketing.ru/Card/Person/24080", "ГБУЗ ""ГБ"" Г.СОЛЬ-ИЛЕЦКА""")</f>
        <v>ГБУЗ "ГБ" Г.СОЛЬ-ИЛЕЦКА"</v>
      </c>
      <c r="B16977" s="24" t="s">
        <v>1099</v>
      </c>
      <c r="C16977" s="25">
        <v>45920.7</v>
      </c>
      <c r="D16977" s="22" t="s">
        <v>22182</v>
      </c>
      <c r="E16977" s="22" t="s">
        <v>336</v>
      </c>
      <c r="F16977" s="23" t="str">
        <f>HYPERLINK("https://www.spark-marketing.ru/Card/Lot/71313950", "на поставку Специализированного продукта для энтерального питания")</f>
        <v>на поставку Специализированного продукта для энтерального питания</v>
      </c>
      <c r="G16977" s="22" t="s">
        <v>132</v>
      </c>
      <c r="H16977" s="22" t="s">
        <v>1101</v>
      </c>
      <c r="I16977" s="26">
        <v>43629.368055555598</v>
      </c>
      <c r="J16977" s="23" t="str">
        <f>HYPERLINK("https://www.spark-marketing.ru/Card/Person/4862855", "ООО ""ФАРМ56""")</f>
        <v>ООО "ФАРМ56"</v>
      </c>
      <c r="K16977" s="24" t="s">
        <v>22183</v>
      </c>
      <c r="L16977" s="22" t="s">
        <v>10</v>
      </c>
      <c r="M16977" s="28" t="s">
        <v>51</v>
      </c>
      <c r="N16977" s="28" t="s">
        <v>51</v>
      </c>
    </row>
    <row r="16978" spans="1:14" x14ac:dyDescent="0.15">
      <c r="A16978" s="23" t="str">
        <f>HYPERLINK("https://www.spark-marketing.ru/Card/Person/4375664", "ММО МВД РОССИИ ""КРАСНОСЛОБОДСКИЙ""")</f>
        <v>ММО МВД РОССИИ "КРАСНОСЛОБОДСКИЙ"</v>
      </c>
      <c r="B16978" s="24" t="s">
        <v>6126</v>
      </c>
      <c r="C16978" s="25">
        <v>160135.92000000001</v>
      </c>
      <c r="D16978" s="22" t="s">
        <v>22184</v>
      </c>
      <c r="E16978" s="22" t="s">
        <v>48</v>
      </c>
      <c r="F16978" s="23" t="str">
        <f>HYPERLINK("https://www.spark-marketing.ru/Card/Lot/71314329", "Услуги по организации ежедневного трехразового (включая выходные и праздничные дни) питания подозреваемых и обвиняемых, содержащихся в изоляторе временного содержания подозреваемых и обвиняемых отделения полиции №11 (по обслуживанию Ельниковского рай...")</f>
        <v>Услуги по организации ежедневного трехразового (включая выходные и праздничные дни) питания подозреваемых и обвиняемых, содержащихся в изоляторе временного содержания подозреваемых и обвиняемых отделения полиции №11 (по обслуживанию Ельниковского рай...</v>
      </c>
      <c r="G16978" s="22" t="s">
        <v>277</v>
      </c>
      <c r="H16978" s="22" t="s">
        <v>6145</v>
      </c>
      <c r="I16978" s="26">
        <v>43629.320138888899</v>
      </c>
      <c r="J16978" s="23" t="str">
        <f>HYPERLINK("https://www.spark-marketing.ru/Card/Person/252092", "ООО ""ЕЛЬНИКОВСКОЕ РАЙПО""")</f>
        <v>ООО "ЕЛЬНИКОВСКОЕ РАЙПО"</v>
      </c>
      <c r="K16978" s="24" t="s">
        <v>6129</v>
      </c>
      <c r="L16978" s="22" t="s">
        <v>10</v>
      </c>
      <c r="M16978" s="28" t="s">
        <v>51</v>
      </c>
      <c r="N16978" s="28" t="s">
        <v>51</v>
      </c>
    </row>
    <row r="16979" spans="1:14" x14ac:dyDescent="0.15">
      <c r="A16979" s="23" t="str">
        <f>HYPERLINK("https://www.spark-marketing.ru/Card/Person/1017214", "БОУ Г.ОМСКА ""СРЕДНЯЯ ОБЩЕОБРАЗОВАТЕЛЬНАЯ ШКОЛА № 46""")</f>
        <v>БОУ Г.ОМСКА "СРЕДНЯЯ ОБЩЕОБРАЗОВАТЕЛЬНАЯ ШКОЛА № 46"</v>
      </c>
      <c r="B16979" s="24" t="s">
        <v>22185</v>
      </c>
      <c r="C16979" s="25">
        <v>580</v>
      </c>
      <c r="D16979" s="22" t="s">
        <v>22186</v>
      </c>
      <c r="E16979" s="22" t="s">
        <v>48</v>
      </c>
      <c r="F16979" s="23" t="str">
        <f>HYPERLINK("https://www.spark-marketing.ru/Card/Lot/71312933", "Оказание услуг по организации питания обучающихся")</f>
        <v>Оказание услуг по организации питания обучающихся</v>
      </c>
      <c r="G16979" s="22" t="s">
        <v>487</v>
      </c>
      <c r="H16979" s="22" t="s">
        <v>488</v>
      </c>
      <c r="I16979" s="26">
        <v>43629.304861111101</v>
      </c>
      <c r="J16979" s="28" t="s">
        <v>51</v>
      </c>
      <c r="K16979" s="28" t="s">
        <v>51</v>
      </c>
      <c r="L16979" s="28" t="s">
        <v>51</v>
      </c>
      <c r="M16979" s="28" t="s">
        <v>51</v>
      </c>
      <c r="N16979" s="28" t="s">
        <v>51</v>
      </c>
    </row>
    <row r="16980" spans="1:14" x14ac:dyDescent="0.15">
      <c r="A16980" s="23" t="str">
        <f>HYPERLINK("https://www.spark-marketing.ru/Card/Person/102056", "КГБУСО ""ЦЕНТР СОЦИАЛЬНОЙ АДАПТАЦИИ ДЛЯ ЛИЦ БЕЗ ОПРЕДЕЛЕННОГО МЕСТА ЖИТЕЛЬСТВА""")</f>
        <v>КГБУСО "ЦЕНТР СОЦИАЛЬНОЙ АДАПТАЦИИ ДЛЯ ЛИЦ БЕЗ ОПРЕДЕЛЕННОГО МЕСТА ЖИТЕЛЬСТВА"</v>
      </c>
      <c r="B16980" s="24" t="s">
        <v>22187</v>
      </c>
      <c r="C16980" s="25">
        <v>4500</v>
      </c>
      <c r="D16980" s="22" t="s">
        <v>22188</v>
      </c>
      <c r="E16980" s="22" t="s">
        <v>22189</v>
      </c>
      <c r="F16980" s="23" t="str">
        <f>HYPERLINK("https://www.spark-marketing.ru/Card/Lot/71312845", "товары, работы или услуги на сумму, не превышающую 100 т. рублей ( 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100 т. рублей ( в случае заключения заказчиком контракта в соответствии с пунктом 4 части 1 статьи 93 Федерального закона)</v>
      </c>
      <c r="G16980" s="22" t="s">
        <v>63</v>
      </c>
      <c r="H16980" s="22" t="s">
        <v>177</v>
      </c>
      <c r="I16980" s="26">
        <v>43629.2680555556</v>
      </c>
      <c r="J16980" s="28" t="s">
        <v>51</v>
      </c>
      <c r="K16980" s="28" t="s">
        <v>51</v>
      </c>
      <c r="L16980" s="28" t="s">
        <v>51</v>
      </c>
      <c r="M16980" s="28" t="s">
        <v>51</v>
      </c>
      <c r="N16980" s="28" t="s">
        <v>51</v>
      </c>
    </row>
    <row r="16981" spans="1:14" x14ac:dyDescent="0.15">
      <c r="A16981" s="23" t="str">
        <f>HYPERLINK("https://www.spark-marketing.ru/Card/Person/1084978", "АГЕНТСТВО ПО ПРЕДПРИНИМАТЕЛЬСТВУ И ИНВЕСТИЦИЯМ РЕСПУБЛИКИ ДАГЕСТАН")</f>
        <v>АГЕНТСТВО ПО ПРЕДПРИНИМАТЕЛЬСТВУ И ИНВЕСТИЦИЯМ РЕСПУБЛИКИ ДАГЕСТАН</v>
      </c>
      <c r="B16981" s="24" t="s">
        <v>22190</v>
      </c>
      <c r="C16981" s="25">
        <v>99500</v>
      </c>
      <c r="D16981" s="22" t="s">
        <v>22191</v>
      </c>
      <c r="E16981" s="22" t="s">
        <v>52</v>
      </c>
      <c r="F16981" s="23" t="str">
        <f>HYPERLINK("https://www.spark-marketing.ru/Card/Lot/73750409", "Услуги по организации питания")</f>
        <v>Услуги по организации питания</v>
      </c>
      <c r="G16981" s="22" t="s">
        <v>1607</v>
      </c>
      <c r="H16981" s="22" t="s">
        <v>1608</v>
      </c>
      <c r="I16981" s="26">
        <v>43629</v>
      </c>
      <c r="J16981" s="28" t="s">
        <v>51</v>
      </c>
      <c r="K16981" s="28" t="s">
        <v>51</v>
      </c>
      <c r="L16981" s="28" t="s">
        <v>51</v>
      </c>
      <c r="M16981" s="28" t="s">
        <v>51</v>
      </c>
      <c r="N16981" s="28" t="s">
        <v>51</v>
      </c>
    </row>
    <row r="16982" spans="1:14" x14ac:dyDescent="0.15">
      <c r="A16982" s="23" t="str">
        <f>HYPERLINK("https://www.spark-marketing.ru/Card/Person/171038", "ООО ""КАПИТАЛ ЛАЙФ СТРАХОВАНИЕ ЖИЗНИ""")</f>
        <v>ООО "КАПИТАЛ ЛАЙФ СТРАХОВАНИЕ ЖИЗНИ"</v>
      </c>
      <c r="B16982" s="24" t="s">
        <v>22192</v>
      </c>
      <c r="C16982" s="25">
        <v>850000</v>
      </c>
      <c r="D16982" s="22" t="s">
        <v>22193</v>
      </c>
      <c r="E16982" s="22" t="s">
        <v>52</v>
      </c>
      <c r="F16982" s="23" t="str">
        <f>HYPERLINK("https://www.spark-marketing.ru/Card/Lot/71346278", "Услуги по поставке продуктов питания (доставка по Москве и Московской области)")</f>
        <v>Услуги по поставке продуктов питания (доставка по Москве и Московской области)</v>
      </c>
      <c r="G16982" s="22" t="s">
        <v>56</v>
      </c>
      <c r="H16982" s="22" t="s">
        <v>56</v>
      </c>
      <c r="I16982" s="26">
        <v>43629</v>
      </c>
      <c r="J16982" s="28" t="s">
        <v>51</v>
      </c>
      <c r="K16982" s="28" t="s">
        <v>51</v>
      </c>
      <c r="L16982" s="28" t="s">
        <v>51</v>
      </c>
      <c r="M16982" s="28" t="s">
        <v>51</v>
      </c>
      <c r="N16982" s="28" t="s">
        <v>51</v>
      </c>
    </row>
    <row r="16983" spans="1:14" x14ac:dyDescent="0.15">
      <c r="A16983" s="23" t="str">
        <f>HYPERLINK("https://www.spark-marketing.ru/Card/Person/53925", "МБУЗ ""ГОРОДСКАЯ БОЛЬНИЦА № 2""")</f>
        <v>МБУЗ "ГОРОДСКАЯ БОЛЬНИЦА № 2"</v>
      </c>
      <c r="B16983" s="24" t="s">
        <v>22194</v>
      </c>
      <c r="C16983" s="25">
        <v>553840</v>
      </c>
      <c r="D16983" s="22" t="s">
        <v>22195</v>
      </c>
      <c r="E16983" s="22" t="s">
        <v>48</v>
      </c>
      <c r="F16983" s="23" t="str">
        <f>HYPERLINK("https://www.spark-marketing.ru/Card/Lot/71309158", "Закупка услуг по снабжению готовыми блюдами горячего трехразового питания больных стационарного отделения на второе полугодие 2019 года.")</f>
        <v>Закупка услуг по снабжению готовыми блюдами горячего трехразового питания больных стационарного отделения на второе полугодие 2019 года.</v>
      </c>
      <c r="G16983" s="22" t="s">
        <v>267</v>
      </c>
      <c r="H16983" s="22" t="s">
        <v>6353</v>
      </c>
      <c r="I16983" s="26">
        <v>43628.884722222203</v>
      </c>
      <c r="J16983" s="28" t="s">
        <v>51</v>
      </c>
      <c r="K16983" s="28" t="s">
        <v>51</v>
      </c>
      <c r="L16983" s="28" t="s">
        <v>51</v>
      </c>
      <c r="M16983" s="28" t="s">
        <v>51</v>
      </c>
      <c r="N16983" s="28" t="s">
        <v>51</v>
      </c>
    </row>
    <row r="16984" spans="1:14" hidden="1" outlineLevel="1" x14ac:dyDescent="0.2">
      <c r="A16984" s="23" t="str">
        <f>HYPERLINK("https://www.spark-marketing.ru/Card/Person/53925", "МБУЗ ""ГОРОДСКАЯ БОЛЬНИЦА № 2""")</f>
        <v>МБУЗ "ГОРОДСКАЯ БОЛЬНИЦА № 2"</v>
      </c>
      <c r="B16984" s="24" t="s">
        <v>22194</v>
      </c>
      <c r="C16984" s="25">
        <v>553840</v>
      </c>
      <c r="D16984" s="22" t="s">
        <v>22195</v>
      </c>
      <c r="E16984" s="22" t="s">
        <v>48</v>
      </c>
      <c r="F16984" s="23" t="str">
        <f>HYPERLINK("https://www.spark-marketing.ru/Card/Lot/71309158", "Закупка услуг по снабжению готовыми блюдами горячего трехразового питания больных стационарного отделения на второе полугодие 2019 года.")</f>
        <v>Закупка услуг по снабжению готовыми блюдами горячего трехразового питания больных стационарного отделения на второе полугодие 2019 года.</v>
      </c>
      <c r="G16984" s="22" t="s">
        <v>267</v>
      </c>
      <c r="H16984" s="22" t="s">
        <v>6353</v>
      </c>
      <c r="I16984" s="26">
        <v>43628.884722222203</v>
      </c>
      <c r="J16984" s="23" t="str">
        <f>HYPERLINK("https://www.spark-marketing.ru/Card/Person/122233", "ООО ""СПЕЦТОРГ""")</f>
        <v>ООО "СПЕЦТОРГ"</v>
      </c>
      <c r="K16984" s="24" t="s">
        <v>20971</v>
      </c>
      <c r="L16984" s="28" t="s">
        <v>51</v>
      </c>
      <c r="M16984" s="25">
        <v>548301.6</v>
      </c>
      <c r="N16984" s="27">
        <v>0.01</v>
      </c>
    </row>
    <row r="16985" spans="1:14" ht="12.75" hidden="1" outlineLevel="1" x14ac:dyDescent="0.2">
      <c r="A16985" s="23" t="str">
        <f>HYPERLINK("https://www.spark-marketing.ru/Card/Person/53925", "МБУЗ ""ГОРОДСКАЯ БОЛЬНИЦА № 2""")</f>
        <v>МБУЗ "ГОРОДСКАЯ БОЛЬНИЦА № 2"</v>
      </c>
      <c r="B16985" s="24" t="s">
        <v>22194</v>
      </c>
      <c r="C16985" s="25">
        <v>553840</v>
      </c>
      <c r="D16985" s="22" t="s">
        <v>22195</v>
      </c>
      <c r="E16985" s="22" t="s">
        <v>48</v>
      </c>
      <c r="F16985" s="23" t="str">
        <f>HYPERLINK("https://www.spark-marketing.ru/Card/Lot/71309158", "Закупка услуг по снабжению готовыми блюдами горячего трехразового питания больных стационарного отделения на второе полугодие 2019 года.")</f>
        <v>Закупка услуг по снабжению готовыми блюдами горячего трехразового питания больных стационарного отделения на второе полугодие 2019 года.</v>
      </c>
      <c r="G16985" s="22" t="s">
        <v>267</v>
      </c>
      <c r="H16985" s="22" t="s">
        <v>6353</v>
      </c>
      <c r="I16985" s="26">
        <v>43628.884722222203</v>
      </c>
      <c r="J16985" s="23" t="str">
        <f>HYPERLINK("https://www.spark-marketing.ru/Card/Person/108389", "ООО ""ДОНСКИЕ ОВОЩИ""")</f>
        <v>ООО "ДОНСКИЕ ОВОЩИ"</v>
      </c>
      <c r="K16985" s="24" t="s">
        <v>20860</v>
      </c>
      <c r="L16985" s="22" t="s">
        <v>10</v>
      </c>
      <c r="M16985" s="25">
        <v>426456.8</v>
      </c>
      <c r="N16985" s="27">
        <v>0.23</v>
      </c>
    </row>
    <row r="16986" spans="1:14" hidden="1" outlineLevel="1" x14ac:dyDescent="0.2">
      <c r="A16986" s="23" t="str">
        <f>HYPERLINK("https://www.spark-marketing.ru/Card/Person/53925", "МБУЗ ""ГОРОДСКАЯ БОЛЬНИЦА № 2""")</f>
        <v>МБУЗ "ГОРОДСКАЯ БОЛЬНИЦА № 2"</v>
      </c>
      <c r="B16986" s="24" t="s">
        <v>22194</v>
      </c>
      <c r="C16986" s="25">
        <v>553840</v>
      </c>
      <c r="D16986" s="22" t="s">
        <v>22195</v>
      </c>
      <c r="E16986" s="22" t="s">
        <v>48</v>
      </c>
      <c r="F16986" s="23" t="str">
        <f>HYPERLINK("https://www.spark-marketing.ru/Card/Lot/71309158", "Закупка услуг по снабжению готовыми блюдами горячего трехразового питания больных стационарного отделения на второе полугодие 2019 года.")</f>
        <v>Закупка услуг по снабжению готовыми блюдами горячего трехразового питания больных стационарного отделения на второе полугодие 2019 года.</v>
      </c>
      <c r="G16986" s="22" t="s">
        <v>267</v>
      </c>
      <c r="H16986" s="22" t="s">
        <v>6353</v>
      </c>
      <c r="I16986" s="26">
        <v>43628.884722222203</v>
      </c>
      <c r="J16986" s="23" t="str">
        <f>HYPERLINK("https://www.spark-marketing.ru/Card/Person/6506477", "Олексяк Алексей Петрович")</f>
        <v>Олексяк Алексей Петрович</v>
      </c>
      <c r="K16986" s="24" t="s">
        <v>20962</v>
      </c>
      <c r="L16986" s="28" t="s">
        <v>51</v>
      </c>
      <c r="M16986" s="25">
        <v>429226</v>
      </c>
      <c r="N16986" s="27">
        <v>0.22500000000000001</v>
      </c>
    </row>
    <row r="16987" spans="1:14" x14ac:dyDescent="0.15">
      <c r="A16987" s="23" t="str">
        <f>HYPERLINK("https://www.spark-marketing.ru/Card/Person/4350804", "МО МВД РОССИИ ""НИКОЛЬСКИЙ""")</f>
        <v>МО МВД РОССИИ "НИКОЛЬСКИЙ"</v>
      </c>
      <c r="B16987" s="24" t="s">
        <v>22196</v>
      </c>
      <c r="C16987" s="25">
        <v>56259</v>
      </c>
      <c r="D16987" s="22" t="s">
        <v>22197</v>
      </c>
      <c r="E16987" s="22" t="s">
        <v>48</v>
      </c>
      <c r="F16987" s="23" t="str">
        <f>HYPERLINK("https://www.spark-marketing.ru/Card/Lot/71309188", "оказание услуг по обеспечению ежедневным трехразовым питанием лиц, содержащихся в изоляторе временного содержания МО МВД России «Никольский")</f>
        <v>оказание услуг по обеспечению ежедневным трехразовым питанием лиц, содержащихся в изоляторе временного содержания МО МВД России «Никольский</v>
      </c>
      <c r="G16987" s="22" t="s">
        <v>72</v>
      </c>
      <c r="H16987" s="22" t="s">
        <v>72</v>
      </c>
      <c r="I16987" s="26">
        <v>43628.884722222203</v>
      </c>
      <c r="J16987" s="23" t="str">
        <f>HYPERLINK("https://www.spark-marketing.ru/Card/Person/426485", "Коннова Лидия Константиновна")</f>
        <v>Коннова Лидия Константиновна</v>
      </c>
      <c r="K16987" s="24" t="s">
        <v>20488</v>
      </c>
      <c r="L16987" s="22" t="s">
        <v>10</v>
      </c>
      <c r="M16987" s="28" t="s">
        <v>51</v>
      </c>
      <c r="N16987" s="28" t="s">
        <v>51</v>
      </c>
    </row>
    <row r="16988" spans="1:14" x14ac:dyDescent="0.15">
      <c r="A16988" s="23" t="str">
        <f>HYPERLINK("https://www.spark-marketing.ru/Card/Person/67083", "МАОУ НОШ № 43")</f>
        <v>МАОУ НОШ № 43</v>
      </c>
      <c r="B16988" s="24" t="s">
        <v>22198</v>
      </c>
      <c r="C16988" s="25">
        <v>1274263.2</v>
      </c>
      <c r="D16988" s="22" t="s">
        <v>22199</v>
      </c>
      <c r="E16988" s="22" t="s">
        <v>362</v>
      </c>
      <c r="F16988" s="23" t="str">
        <f>HYPERLINK("https://www.spark-marketing.ru/Card/Lot/71308030", "Оказание услуги по организации питания учащихся МАОУ НОШ № 43")</f>
        <v>Оказание услуги по организации питания учащихся МАОУ НОШ № 43</v>
      </c>
      <c r="G16988" s="22" t="s">
        <v>174</v>
      </c>
      <c r="H16988" s="22" t="s">
        <v>174</v>
      </c>
      <c r="I16988" s="26">
        <v>43628.8221990741</v>
      </c>
      <c r="J16988" s="28" t="s">
        <v>51</v>
      </c>
      <c r="K16988" s="28" t="s">
        <v>51</v>
      </c>
      <c r="L16988" s="28" t="s">
        <v>51</v>
      </c>
      <c r="M16988" s="28" t="s">
        <v>51</v>
      </c>
      <c r="N16988" s="28" t="s">
        <v>51</v>
      </c>
    </row>
    <row r="16989" spans="1:14" x14ac:dyDescent="0.15">
      <c r="A16989" s="23" t="str">
        <f>HYPERLINK("https://www.spark-marketing.ru/Card/Person/4348384", "ООО ""АВИАКОМПАНИЯ ""ПОБЕДА""")</f>
        <v>ООО "АВИАКОМПАНИЯ "ПОБЕДА"</v>
      </c>
      <c r="B16989" s="24" t="s">
        <v>4653</v>
      </c>
      <c r="C16989" s="25">
        <v>30000000</v>
      </c>
      <c r="D16989" s="22" t="s">
        <v>22200</v>
      </c>
      <c r="E16989" s="22" t="s">
        <v>1726</v>
      </c>
      <c r="F16989" s="23" t="str">
        <f>HYPERLINK("https://www.spark-marketing.ru/Card/Lot/71306686", "Оказание услуг по поставке экипажного питания для летных экипажей воздушных судов ООО «Авиакомпании «Победа» в а/п Сочи.")</f>
        <v>Оказание услуг по поставке экипажного питания для летных экипажей воздушных судов ООО «Авиакомпании «Победа» в а/п Сочи.</v>
      </c>
      <c r="G16989" s="22" t="s">
        <v>104</v>
      </c>
      <c r="H16989" s="22" t="s">
        <v>104</v>
      </c>
      <c r="I16989" s="26">
        <v>43628.597638888903</v>
      </c>
      <c r="J16989" s="23" t="str">
        <f>HYPERLINK("https://www.spark-marketing.ru/Card/Person/4358714", "АО ""АЭРОМАР""")</f>
        <v>АО "АЭРОМАР"</v>
      </c>
      <c r="K16989" s="24" t="s">
        <v>22201</v>
      </c>
      <c r="L16989" s="28" t="s">
        <v>51</v>
      </c>
      <c r="M16989" s="28" t="s">
        <v>51</v>
      </c>
      <c r="N16989" s="28" t="s">
        <v>51</v>
      </c>
    </row>
    <row r="16990" spans="1:14" x14ac:dyDescent="0.15">
      <c r="A16990" s="23" t="str">
        <f>HYPERLINK("https://www.spark-marketing.ru/Card/Person/6450322", "ЗАКАЗЧИК РП БЕЛАРУСЬ")</f>
        <v>ЗАКАЗЧИК РП БЕЛАРУСЬ</v>
      </c>
      <c r="B16990" s="28" t="s">
        <v>51</v>
      </c>
      <c r="C16990" s="25">
        <v>1705874.112</v>
      </c>
      <c r="D16990" s="22" t="s">
        <v>22202</v>
      </c>
      <c r="E16990" s="22" t="s">
        <v>52</v>
      </c>
      <c r="F16990" s="23" t="str">
        <f>HYPERLINK("https://www.spark-marketing.ru/Card/Lot/71307326", "Услуги питания г.Пинск")</f>
        <v>Услуги питания г.Пинск</v>
      </c>
      <c r="G16990" s="22" t="s">
        <v>51</v>
      </c>
      <c r="H16990" s="22" t="s">
        <v>51</v>
      </c>
      <c r="I16990" s="26">
        <v>43628</v>
      </c>
      <c r="J16990" s="28" t="s">
        <v>51</v>
      </c>
      <c r="K16990" s="28" t="s">
        <v>51</v>
      </c>
      <c r="L16990" s="28" t="s">
        <v>51</v>
      </c>
      <c r="M16990" s="28" t="s">
        <v>51</v>
      </c>
      <c r="N16990" s="28" t="s">
        <v>51</v>
      </c>
    </row>
    <row r="16991" spans="1:14" x14ac:dyDescent="0.15">
      <c r="A16991" s="23" t="str">
        <f>HYPERLINK("https://www.spark-marketing.ru/Card/Person/1659541", "ЦПКИО ИМ.М.ГОРЬКОГО")</f>
        <v>ЦПКИО ИМ.М.ГОРЬКОГО</v>
      </c>
      <c r="B16991" s="24" t="s">
        <v>19256</v>
      </c>
      <c r="C16991" s="25">
        <v>124877</v>
      </c>
      <c r="D16991" s="22" t="s">
        <v>22203</v>
      </c>
      <c r="E16991" s="22" t="s">
        <v>52</v>
      </c>
      <c r="F16991" s="23" t="str">
        <f>HYPERLINK("https://www.spark-marketing.ru/Card/Lot/71309724", "Право заключения договора на осуществление торговой деятельности (оказание услуг) в нестационарном торговом объекте: «Павильон» по адресу: г. Москва, ул. Крымский вал, д. 9 (НТО № 452 на Пушкинской набережной),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объекте: «Павильон» по адресу: г. Москва, ул. Крымский вал, д. 9 (НТО № 452 на Пушкинской набережной), специализация «Общественное питание»</v>
      </c>
      <c r="G16991" s="22" t="s">
        <v>56</v>
      </c>
      <c r="H16991" s="22" t="s">
        <v>56</v>
      </c>
      <c r="I16991" s="26">
        <v>43628</v>
      </c>
      <c r="J16991" s="28" t="s">
        <v>51</v>
      </c>
      <c r="K16991" s="28" t="s">
        <v>51</v>
      </c>
      <c r="L16991" s="28" t="s">
        <v>51</v>
      </c>
      <c r="M16991" s="28" t="s">
        <v>51</v>
      </c>
      <c r="N16991" s="28" t="s">
        <v>51</v>
      </c>
    </row>
    <row r="16992" spans="1:14" x14ac:dyDescent="0.15">
      <c r="A16992" s="23" t="str">
        <f>HYPERLINK("https://www.spark-marketing.ru/Card/Person/1659541", "ЦПКИО ИМ.М.ГОРЬКОГО")</f>
        <v>ЦПКИО ИМ.М.ГОРЬКОГО</v>
      </c>
      <c r="B16992" s="24" t="s">
        <v>19256</v>
      </c>
      <c r="C16992" s="25">
        <v>242788</v>
      </c>
      <c r="D16992" s="22" t="s">
        <v>22204</v>
      </c>
      <c r="E16992" s="22" t="s">
        <v>52</v>
      </c>
      <c r="F16992" s="23" t="str">
        <f>HYPERLINK("https://www.spark-marketing.ru/Card/Lot/71309723", "Право заключения договора на осуществление торговой деятельности (оказание услуг) в нестационарном торговом объекте: «Киоск» по адресу: г. Москва, ул. Крымский вал, д. 9 (НТО № 347 на Пушкинской набережной), специализация «Общественное питание»")</f>
        <v>Право заключения договора на осуществление торговой деятельности (оказание услуг) в нестационарном торговом объекте: «Киоск» по адресу: г. Москва, ул. Крымский вал, д. 9 (НТО № 347 на Пушкинской набережной), специализация «Общественное питание»</v>
      </c>
      <c r="G16992" s="22" t="s">
        <v>56</v>
      </c>
      <c r="H16992" s="22" t="s">
        <v>56</v>
      </c>
      <c r="I16992" s="26">
        <v>43628</v>
      </c>
      <c r="J16992" s="28" t="s">
        <v>51</v>
      </c>
      <c r="K16992" s="28" t="s">
        <v>51</v>
      </c>
      <c r="L16992" s="28" t="s">
        <v>51</v>
      </c>
      <c r="M16992" s="28" t="s">
        <v>51</v>
      </c>
      <c r="N16992" s="28" t="s">
        <v>51</v>
      </c>
    </row>
    <row r="16993" spans="1:14" x14ac:dyDescent="0.2">
      <c r="A16993" s="23" t="str">
        <f>HYPERLINK("https://www.spark-marketing.ru/Card/Person/1752331", "ГАУКО ""ОКЦПЖ""")</f>
        <v>ГАУКО "ОКЦПЖ"</v>
      </c>
      <c r="B16993" s="24" t="s">
        <v>19868</v>
      </c>
      <c r="C16993" s="25">
        <v>496800</v>
      </c>
      <c r="D16993" s="22" t="s">
        <v>22205</v>
      </c>
      <c r="E16993" s="22" t="s">
        <v>362</v>
      </c>
      <c r="F16993" s="23" t="str">
        <f>HYPERLINK("https://www.spark-marketing.ru/Card/Lot/71300357", "оказание услуг по организации горячего питания")</f>
        <v>оказание услуг по организации горячего питания</v>
      </c>
      <c r="G16993" s="22" t="s">
        <v>400</v>
      </c>
      <c r="H16993" s="22" t="s">
        <v>400</v>
      </c>
      <c r="I16993" s="26">
        <v>43627.907800925903</v>
      </c>
      <c r="J16993" s="28" t="s">
        <v>51</v>
      </c>
      <c r="K16993" s="28" t="s">
        <v>51</v>
      </c>
      <c r="L16993" s="28" t="s">
        <v>51</v>
      </c>
      <c r="M16993" s="25">
        <v>496800</v>
      </c>
      <c r="N16993" s="27">
        <v>0</v>
      </c>
    </row>
    <row r="16994" spans="1:14" x14ac:dyDescent="0.15">
      <c r="A16994" s="23" t="str">
        <f>HYPERLINK("https://www.spark-marketing.ru/Card/Person/4348827", "ФГБОУ ВО ""ИГУ"", ИГУ, ИРКУТСКИЙ ГОСУДАРСТВЕННЫЙ УНИВЕРСИТЕТ")</f>
        <v>ФГБОУ ВО "ИГУ", ИГУ, ИРКУТСКИЙ ГОСУДАРСТВЕННЫЙ УНИВЕРСИТЕТ</v>
      </c>
      <c r="B16994" s="24" t="s">
        <v>22206</v>
      </c>
      <c r="C16994" s="25">
        <v>204000</v>
      </c>
      <c r="D16994" s="22" t="s">
        <v>22207</v>
      </c>
      <c r="E16994" s="22" t="s">
        <v>22208</v>
      </c>
      <c r="F16994" s="23" t="str">
        <f>HYPERLINK("https://www.spark-marketing.ru/Card/Lot/71286924", "услуги по подготовке и организации питания для участников международной летней правовой школы ""Уникальные природные объекты как социокультурный феномен""")</f>
        <v>услуги по подготовке и организации питания для участников международной летней правовой школы "Уникальные природные объекты как социокультурный феномен"</v>
      </c>
      <c r="G16994" s="22" t="s">
        <v>263</v>
      </c>
      <c r="H16994" s="22" t="s">
        <v>263</v>
      </c>
      <c r="I16994" s="26">
        <v>43627.823506944398</v>
      </c>
      <c r="J16994" s="28" t="s">
        <v>51</v>
      </c>
      <c r="K16994" s="28" t="s">
        <v>51</v>
      </c>
      <c r="L16994" s="28" t="s">
        <v>51</v>
      </c>
      <c r="M16994" s="28" t="s">
        <v>51</v>
      </c>
      <c r="N16994" s="28" t="s">
        <v>51</v>
      </c>
    </row>
    <row r="16995" spans="1:14" x14ac:dyDescent="0.15">
      <c r="A16995" s="23" t="str">
        <f>HYPERLINK("https://www.spark-marketing.ru/Card/Person/1104031", "ГАУК АО ""АСТРАХАНСКИЙ ДРАМАТИЧЕСКИЙ ТЕАТР""")</f>
        <v>ГАУК АО "АСТРАХАНСКИЙ ДРАМАТИЧЕСКИЙ ТЕАТР"</v>
      </c>
      <c r="B16995" s="24" t="s">
        <v>22209</v>
      </c>
      <c r="C16995" s="25">
        <v>194500</v>
      </c>
      <c r="D16995" s="22" t="s">
        <v>22210</v>
      </c>
      <c r="E16995" s="22" t="s">
        <v>769</v>
      </c>
      <c r="F16995" s="23" t="str">
        <f>HYPERLINK("https://www.spark-marketing.ru/Card/Lot/71296536", "Услуги по организации проживания и питания")</f>
        <v>Услуги по организации проживания и питания</v>
      </c>
      <c r="G16995" s="22" t="s">
        <v>141</v>
      </c>
      <c r="H16995" s="22" t="s">
        <v>141</v>
      </c>
      <c r="I16995" s="26">
        <v>43627.761608796303</v>
      </c>
      <c r="J16995" s="28" t="s">
        <v>51</v>
      </c>
      <c r="K16995" s="28" t="s">
        <v>51</v>
      </c>
      <c r="L16995" s="28" t="s">
        <v>51</v>
      </c>
      <c r="M16995" s="28" t="s">
        <v>51</v>
      </c>
      <c r="N16995" s="28" t="s">
        <v>51</v>
      </c>
    </row>
    <row r="16996" spans="1:14" x14ac:dyDescent="0.2">
      <c r="A16996" s="23" t="str">
        <f>HYPERLINK("https://www.spark-marketing.ru/Card/Person/4353241", "АО ""ЦНИИТОЧМАШ""")</f>
        <v>АО "ЦНИИТОЧМАШ"</v>
      </c>
      <c r="B16996" s="24" t="s">
        <v>22211</v>
      </c>
      <c r="C16996" s="25">
        <v>567000</v>
      </c>
      <c r="D16996" s="22" t="s">
        <v>22212</v>
      </c>
      <c r="E16996" s="22" t="s">
        <v>22213</v>
      </c>
      <c r="F16996" s="23" t="str">
        <f>HYPERLINK("https://www.spark-marketing.ru/Card/Lot/71296535", "Оказание услуг по организации питания, проживания, организации отдыха и оздоровления, проведению спортивно-оздоровительных и развлекательных мероприятий")</f>
        <v>Оказание услуг по организации питания, проживания, организации отдыха и оздоровления, проведению спортивно-оздоровительных и развлекательных мероприятий</v>
      </c>
      <c r="G16996" s="22" t="s">
        <v>49</v>
      </c>
      <c r="H16996" s="22" t="s">
        <v>50</v>
      </c>
      <c r="I16996" s="26">
        <v>43627.755891203698</v>
      </c>
      <c r="J16996" s="28" t="s">
        <v>51</v>
      </c>
      <c r="K16996" s="28" t="s">
        <v>51</v>
      </c>
      <c r="L16996" s="28" t="s">
        <v>51</v>
      </c>
      <c r="M16996" s="25">
        <v>567000</v>
      </c>
      <c r="N16996" s="27">
        <v>0</v>
      </c>
    </row>
    <row r="16997" spans="1:14" x14ac:dyDescent="0.15">
      <c r="A16997" s="23" t="str">
        <f>HYPERLINK("https://www.spark-marketing.ru/Card/Person/1024899", "МБУК ""КОМПАС"" ГОРОДСКОГО ОКРУГА ВЛАСИХА")</f>
        <v>МБУК "КОМПАС" ГОРОДСКОГО ОКРУГА ВЛАСИХА</v>
      </c>
      <c r="B16997" s="24" t="s">
        <v>10873</v>
      </c>
      <c r="C16997" s="25">
        <v>22620</v>
      </c>
      <c r="D16997" s="22" t="s">
        <v>22214</v>
      </c>
      <c r="E16997" s="22" t="s">
        <v>48</v>
      </c>
      <c r="F16997" s="23" t="str">
        <f>HYPERLINK("https://www.spark-marketing.ru/Card/Lot/71293396", "Оказание услуг по организации горячего питания")</f>
        <v>Оказание услуг по организации горячего питания</v>
      </c>
      <c r="G16997" s="22" t="s">
        <v>49</v>
      </c>
      <c r="H16997" s="22" t="s">
        <v>10875</v>
      </c>
      <c r="I16997" s="26">
        <v>43627.753229166701</v>
      </c>
      <c r="J16997" s="28" t="s">
        <v>51</v>
      </c>
      <c r="K16997" s="28" t="s">
        <v>51</v>
      </c>
      <c r="L16997" s="28" t="s">
        <v>51</v>
      </c>
      <c r="M16997" s="28" t="s">
        <v>51</v>
      </c>
      <c r="N16997" s="28" t="s">
        <v>51</v>
      </c>
    </row>
    <row r="16998" spans="1:14" x14ac:dyDescent="0.2">
      <c r="A16998" s="23" t="str">
        <f>HYPERLINK("https://www.spark-marketing.ru/Card/Person/4377427", "БМАОУ СОШ №33")</f>
        <v>БМАОУ СОШ №33</v>
      </c>
      <c r="B16998" s="24" t="s">
        <v>943</v>
      </c>
      <c r="C16998" s="25">
        <v>757940</v>
      </c>
      <c r="D16998" s="22" t="s">
        <v>22215</v>
      </c>
      <c r="E16998" s="22" t="s">
        <v>362</v>
      </c>
      <c r="F16998" s="23" t="str">
        <f>HYPERLINK("https://www.spark-marketing.ru/Card/Lot/71288798", "Оказание услуг по организации питания обучающихся в сентябре 2019 г.")</f>
        <v>Оказание услуг по организации питания обучающихся в сентябре 2019 г.</v>
      </c>
      <c r="G16998" s="22" t="s">
        <v>174</v>
      </c>
      <c r="H16998" s="22" t="s">
        <v>1545</v>
      </c>
      <c r="I16998" s="26">
        <v>43627.731666666703</v>
      </c>
      <c r="J16998" s="28" t="s">
        <v>51</v>
      </c>
      <c r="K16998" s="28" t="s">
        <v>51</v>
      </c>
      <c r="L16998" s="28" t="s">
        <v>51</v>
      </c>
      <c r="M16998" s="25">
        <v>750000</v>
      </c>
      <c r="N16998" s="27">
        <v>1.0475763253027945E-2</v>
      </c>
    </row>
    <row r="16999" spans="1:14" x14ac:dyDescent="0.15">
      <c r="A16999" s="23" t="str">
        <f>HYPERLINK("https://www.spark-marketing.ru/Card/Person/87162", "ФГБОУ ВО ""ИГХТУ"", ИГХТУ")</f>
        <v>ФГБОУ ВО "ИГХТУ", ИГХТУ</v>
      </c>
      <c r="B16999" s="24" t="s">
        <v>15002</v>
      </c>
      <c r="C16999" s="25">
        <v>1029600</v>
      </c>
      <c r="D16999" s="22" t="s">
        <v>22216</v>
      </c>
      <c r="E16999" s="22" t="s">
        <v>362</v>
      </c>
      <c r="F16999" s="23" t="str">
        <f>HYPERLINK("https://www.spark-marketing.ru/Card/Lot/71297782", "Организация питания отдыхающих в спортивно- оздоровительном лагере «Никульское» ФГБОУ ВО «ИГХТУ», расположенного по адресу: Ивановская обл. Ивановский р-н, д. Никульское")</f>
        <v>Организация питания отдыхающих в спортивно- оздоровительном лагере «Никульское» ФГБОУ ВО «ИГХТУ», расположенного по адресу: Ивановская обл. Ивановский р-н, д. Никульское</v>
      </c>
      <c r="G16999" s="22" t="s">
        <v>1047</v>
      </c>
      <c r="H16999" s="22" t="s">
        <v>22217</v>
      </c>
      <c r="I16999" s="26">
        <v>43627.724606481497</v>
      </c>
      <c r="J16999" s="28" t="s">
        <v>51</v>
      </c>
      <c r="K16999" s="28" t="s">
        <v>51</v>
      </c>
      <c r="L16999" s="28" t="s">
        <v>51</v>
      </c>
      <c r="M16999" s="28" t="s">
        <v>51</v>
      </c>
      <c r="N16999" s="28" t="s">
        <v>51</v>
      </c>
    </row>
    <row r="17000" spans="1:14" x14ac:dyDescent="0.15">
      <c r="A17000" s="23" t="str">
        <f t="shared" ref="A17000:A17008" si="575">HYPERLINK("https://www.spark-marketing.ru/Card/Person/6086", "ГКУ ""ДИРЕКЦИЯ ОДОТСЗН Г. МОСКВЫ""")</f>
        <v>ГКУ "ДИРЕКЦИЯ ОДОТСЗН Г. МОСКВЫ"</v>
      </c>
      <c r="B17000" s="24" t="s">
        <v>164</v>
      </c>
      <c r="C17000" s="25">
        <v>171638.92</v>
      </c>
      <c r="D17000" s="22" t="s">
        <v>22218</v>
      </c>
      <c r="E17000" s="22" t="s">
        <v>756</v>
      </c>
      <c r="F17000" s="23" t="str">
        <f t="shared" ref="F17000:F17008" si="576">HYPERLINK("https://www.spark-marketing.ru/Card/Lot/71299536", "Оказание услуг по техническому обслуживанию и ремонту установок пожарной автоматики в ГБУ ТЦСО ""Щукино""")</f>
        <v>Оказание услуг по техническому обслуживанию и ремонту установок пожарной автоматики в ГБУ ТЦСО "Щукино"</v>
      </c>
      <c r="G17000" s="22" t="s">
        <v>56</v>
      </c>
      <c r="H17000" s="22" t="s">
        <v>56</v>
      </c>
      <c r="I17000" s="26">
        <v>43627.736111111102</v>
      </c>
      <c r="J17000" s="28" t="s">
        <v>51</v>
      </c>
      <c r="K17000" s="28" t="s">
        <v>51</v>
      </c>
      <c r="L17000" s="28" t="s">
        <v>51</v>
      </c>
      <c r="M17000" s="28" t="s">
        <v>51</v>
      </c>
      <c r="N17000" s="28" t="s">
        <v>51</v>
      </c>
    </row>
    <row r="17001" spans="1:14" ht="12.75" hidden="1" outlineLevel="1" x14ac:dyDescent="0.2">
      <c r="A17001" s="23" t="str">
        <f t="shared" si="575"/>
        <v>ГКУ "ДИРЕКЦИЯ ОДОТСЗН Г. МОСКВЫ"</v>
      </c>
      <c r="B17001" s="24" t="s">
        <v>164</v>
      </c>
      <c r="C17001" s="25">
        <v>171638.92</v>
      </c>
      <c r="D17001" s="22" t="s">
        <v>22218</v>
      </c>
      <c r="E17001" s="22" t="s">
        <v>756</v>
      </c>
      <c r="F17001" s="23" t="str">
        <f t="shared" si="576"/>
        <v>Оказание услуг по техническому обслуживанию и ремонту установок пожарной автоматики в ГБУ ТЦСО "Щукино"</v>
      </c>
      <c r="G17001" s="22" t="s">
        <v>56</v>
      </c>
      <c r="H17001" s="22" t="s">
        <v>56</v>
      </c>
      <c r="I17001" s="26">
        <v>43627.736111111102</v>
      </c>
      <c r="J17001" s="23" t="str">
        <f>HYPERLINK("https://www.spark-marketing.ru/Card/Person/14846", "ООО ""ФЭЗЕРА""")</f>
        <v>ООО "ФЭЗЕРА"</v>
      </c>
      <c r="K17001" s="24" t="s">
        <v>18632</v>
      </c>
      <c r="L17001" s="22" t="s">
        <v>10</v>
      </c>
      <c r="M17001" s="25">
        <v>67000</v>
      </c>
      <c r="N17001" s="27">
        <v>0.60964564447271052</v>
      </c>
    </row>
    <row r="17002" spans="1:14" hidden="1" outlineLevel="1" x14ac:dyDescent="0.2">
      <c r="A17002" s="23" t="str">
        <f t="shared" si="575"/>
        <v>ГКУ "ДИРЕКЦИЯ ОДОТСЗН Г. МОСКВЫ"</v>
      </c>
      <c r="B17002" s="24" t="s">
        <v>164</v>
      </c>
      <c r="C17002" s="25">
        <v>171638.92</v>
      </c>
      <c r="D17002" s="22" t="s">
        <v>22218</v>
      </c>
      <c r="E17002" s="22" t="s">
        <v>756</v>
      </c>
      <c r="F17002" s="23" t="str">
        <f t="shared" si="576"/>
        <v>Оказание услуг по техническому обслуживанию и ремонту установок пожарной автоматики в ГБУ ТЦСО "Щукино"</v>
      </c>
      <c r="G17002" s="22" t="s">
        <v>56</v>
      </c>
      <c r="H17002" s="22" t="s">
        <v>56</v>
      </c>
      <c r="I17002" s="26">
        <v>43627.736111111102</v>
      </c>
      <c r="J17002" s="23" t="str">
        <f>HYPERLINK("https://www.spark-marketing.ru/Card/Person/2510337", "ООО ""КОМПАНИЯ ОБЕРЕГ""")</f>
        <v>ООО "КОМПАНИЯ ОБЕРЕГ"</v>
      </c>
      <c r="K17002" s="24" t="s">
        <v>20957</v>
      </c>
      <c r="L17002" s="28" t="s">
        <v>51</v>
      </c>
      <c r="M17002" s="25">
        <v>70000</v>
      </c>
      <c r="N17002" s="27">
        <v>0.59216709124014533</v>
      </c>
    </row>
    <row r="17003" spans="1:14" hidden="1" outlineLevel="1" x14ac:dyDescent="0.2">
      <c r="A17003" s="23" t="str">
        <f t="shared" si="575"/>
        <v>ГКУ "ДИРЕКЦИЯ ОДОТСЗН Г. МОСКВЫ"</v>
      </c>
      <c r="B17003" s="24" t="s">
        <v>164</v>
      </c>
      <c r="C17003" s="25">
        <v>171638.92</v>
      </c>
      <c r="D17003" s="22" t="s">
        <v>22218</v>
      </c>
      <c r="E17003" s="22" t="s">
        <v>756</v>
      </c>
      <c r="F17003" s="23" t="str">
        <f t="shared" si="576"/>
        <v>Оказание услуг по техническому обслуживанию и ремонту установок пожарной автоматики в ГБУ ТЦСО "Щукино"</v>
      </c>
      <c r="G17003" s="22" t="s">
        <v>56</v>
      </c>
      <c r="H17003" s="22" t="s">
        <v>56</v>
      </c>
      <c r="I17003" s="26">
        <v>43627.736111111102</v>
      </c>
      <c r="J17003" s="23" t="str">
        <f>HYPERLINK("https://www.spark-marketing.ru/Card/Person/35591", "ООО ""ПРОФРЕГЛАМЕНТ""")</f>
        <v>ООО "ПРОФРЕГЛАМЕНТ"</v>
      </c>
      <c r="K17003" s="24" t="s">
        <v>22219</v>
      </c>
      <c r="L17003" s="28" t="s">
        <v>51</v>
      </c>
      <c r="M17003" s="25">
        <v>72000</v>
      </c>
      <c r="N17003" s="27">
        <v>0.58051472241843516</v>
      </c>
    </row>
    <row r="17004" spans="1:14" hidden="1" outlineLevel="1" x14ac:dyDescent="0.2">
      <c r="A17004" s="23" t="str">
        <f t="shared" si="575"/>
        <v>ГКУ "ДИРЕКЦИЯ ОДОТСЗН Г. МОСКВЫ"</v>
      </c>
      <c r="B17004" s="24" t="s">
        <v>164</v>
      </c>
      <c r="C17004" s="25">
        <v>171638.92</v>
      </c>
      <c r="D17004" s="22" t="s">
        <v>22218</v>
      </c>
      <c r="E17004" s="22" t="s">
        <v>756</v>
      </c>
      <c r="F17004" s="23" t="str">
        <f t="shared" si="576"/>
        <v>Оказание услуг по техническому обслуживанию и ремонту установок пожарной автоматики в ГБУ ТЦСО "Щукино"</v>
      </c>
      <c r="G17004" s="22" t="s">
        <v>56</v>
      </c>
      <c r="H17004" s="22" t="s">
        <v>56</v>
      </c>
      <c r="I17004" s="26">
        <v>43627.736111111102</v>
      </c>
      <c r="J17004" s="23" t="str">
        <f>HYPERLINK("https://www.spark-marketing.ru/Card/Person/6295", "ООО ""ГЛОБАЛ ИНЖИНИРИНГ""")</f>
        <v>ООО "ГЛОБАЛ ИНЖИНИРИНГ"</v>
      </c>
      <c r="K17004" s="24" t="s">
        <v>22220</v>
      </c>
      <c r="L17004" s="28" t="s">
        <v>51</v>
      </c>
      <c r="M17004" s="25">
        <v>79266</v>
      </c>
      <c r="N17004" s="27">
        <v>0.53818166648916221</v>
      </c>
    </row>
    <row r="17005" spans="1:14" hidden="1" outlineLevel="1" x14ac:dyDescent="0.2">
      <c r="A17005" s="23" t="str">
        <f t="shared" si="575"/>
        <v>ГКУ "ДИРЕКЦИЯ ОДОТСЗН Г. МОСКВЫ"</v>
      </c>
      <c r="B17005" s="24" t="s">
        <v>164</v>
      </c>
      <c r="C17005" s="25">
        <v>171638.92</v>
      </c>
      <c r="D17005" s="22" t="s">
        <v>22218</v>
      </c>
      <c r="E17005" s="22" t="s">
        <v>756</v>
      </c>
      <c r="F17005" s="23" t="str">
        <f t="shared" si="576"/>
        <v>Оказание услуг по техническому обслуживанию и ремонту установок пожарной автоматики в ГБУ ТЦСО "Щукино"</v>
      </c>
      <c r="G17005" s="22" t="s">
        <v>56</v>
      </c>
      <c r="H17005" s="22" t="s">
        <v>56</v>
      </c>
      <c r="I17005" s="26">
        <v>43627.736111111102</v>
      </c>
      <c r="J17005" s="23" t="str">
        <f>HYPERLINK("https://www.spark-marketing.ru/Card/Person/1844754", "ООО ""ТСБ""")</f>
        <v>ООО "ТСБ"</v>
      </c>
      <c r="K17005" s="24" t="s">
        <v>7551</v>
      </c>
      <c r="L17005" s="28" t="s">
        <v>51</v>
      </c>
      <c r="M17005" s="25">
        <v>104700</v>
      </c>
      <c r="N17005" s="27">
        <v>0.38999849218347449</v>
      </c>
    </row>
    <row r="17006" spans="1:14" hidden="1" outlineLevel="1" x14ac:dyDescent="0.2">
      <c r="A17006" s="23" t="str">
        <f t="shared" si="575"/>
        <v>ГКУ "ДИРЕКЦИЯ ОДОТСЗН Г. МОСКВЫ"</v>
      </c>
      <c r="B17006" s="24" t="s">
        <v>164</v>
      </c>
      <c r="C17006" s="25">
        <v>171638.92</v>
      </c>
      <c r="D17006" s="22" t="s">
        <v>22218</v>
      </c>
      <c r="E17006" s="22" t="s">
        <v>756</v>
      </c>
      <c r="F17006" s="23" t="str">
        <f t="shared" si="576"/>
        <v>Оказание услуг по техническому обслуживанию и ремонту установок пожарной автоматики в ГБУ ТЦСО "Щукино"</v>
      </c>
      <c r="G17006" s="22" t="s">
        <v>56</v>
      </c>
      <c r="H17006" s="22" t="s">
        <v>56</v>
      </c>
      <c r="I17006" s="26">
        <v>43627.736111111102</v>
      </c>
      <c r="J17006" s="23" t="str">
        <f>HYPERLINK("https://www.spark-marketing.ru/Card/Person/1358782", "ООО ""СТРОЙМАКСМОНТАЖ""")</f>
        <v>ООО "СТРОЙМАКСМОНТАЖ"</v>
      </c>
      <c r="K17006" s="24" t="s">
        <v>22221</v>
      </c>
      <c r="L17006" s="28" t="s">
        <v>51</v>
      </c>
      <c r="M17006" s="25">
        <v>123276</v>
      </c>
      <c r="N17006" s="27">
        <v>0.28177129056743072</v>
      </c>
    </row>
    <row r="17007" spans="1:14" hidden="1" outlineLevel="1" x14ac:dyDescent="0.2">
      <c r="A17007" s="23" t="str">
        <f t="shared" si="575"/>
        <v>ГКУ "ДИРЕКЦИЯ ОДОТСЗН Г. МОСКВЫ"</v>
      </c>
      <c r="B17007" s="24" t="s">
        <v>164</v>
      </c>
      <c r="C17007" s="25">
        <v>171638.92</v>
      </c>
      <c r="D17007" s="22" t="s">
        <v>22218</v>
      </c>
      <c r="E17007" s="22" t="s">
        <v>756</v>
      </c>
      <c r="F17007" s="23" t="str">
        <f t="shared" si="576"/>
        <v>Оказание услуг по техническому обслуживанию и ремонту установок пожарной автоматики в ГБУ ТЦСО "Щукино"</v>
      </c>
      <c r="G17007" s="22" t="s">
        <v>56</v>
      </c>
      <c r="H17007" s="22" t="s">
        <v>56</v>
      </c>
      <c r="I17007" s="26">
        <v>43627.736111111102</v>
      </c>
      <c r="J17007" s="23" t="str">
        <f>HYPERLINK("https://www.spark-marketing.ru/Card/Person/918083", "ООО ""АСИС""")</f>
        <v>ООО "АСИС"</v>
      </c>
      <c r="K17007" s="24" t="s">
        <v>19054</v>
      </c>
      <c r="L17007" s="28" t="s">
        <v>51</v>
      </c>
      <c r="M17007" s="25">
        <v>154450.5</v>
      </c>
      <c r="N17007" s="27">
        <v>0.10014290465122945</v>
      </c>
    </row>
    <row r="17008" spans="1:14" hidden="1" outlineLevel="1" x14ac:dyDescent="0.2">
      <c r="A17008" s="23" t="str">
        <f t="shared" si="575"/>
        <v>ГКУ "ДИРЕКЦИЯ ОДОТСЗН Г. МОСКВЫ"</v>
      </c>
      <c r="B17008" s="24" t="s">
        <v>164</v>
      </c>
      <c r="C17008" s="25">
        <v>171638.92</v>
      </c>
      <c r="D17008" s="22" t="s">
        <v>22218</v>
      </c>
      <c r="E17008" s="22" t="s">
        <v>756</v>
      </c>
      <c r="F17008" s="23" t="str">
        <f t="shared" si="576"/>
        <v>Оказание услуг по техническому обслуживанию и ремонту установок пожарной автоматики в ГБУ ТЦСО "Щукино"</v>
      </c>
      <c r="G17008" s="22" t="s">
        <v>56</v>
      </c>
      <c r="H17008" s="22" t="s">
        <v>56</v>
      </c>
      <c r="I17008" s="26">
        <v>43627.736111111102</v>
      </c>
      <c r="J17008" s="23" t="str">
        <f>HYPERLINK("https://www.spark-marketing.ru/Card/Person/6453970", "ООО ""АСБ""")</f>
        <v>ООО "АСБ"</v>
      </c>
      <c r="K17008" s="24" t="s">
        <v>22222</v>
      </c>
      <c r="L17008" s="28" t="s">
        <v>51</v>
      </c>
      <c r="M17008" s="25">
        <v>171638</v>
      </c>
      <c r="N17008" s="27">
        <v>5.3600896579866619E-6</v>
      </c>
    </row>
    <row r="17009" spans="1:14" x14ac:dyDescent="0.15">
      <c r="A17009" s="23" t="str">
        <f>HYPERLINK("https://www.spark-marketing.ru/Card/Person/744", "МИНЗДРАВ ОРЕНБУРГСКОЙ ОБЛАСТИ")</f>
        <v>МИНЗДРАВ ОРЕНБУРГСКОЙ ОБЛАСТИ</v>
      </c>
      <c r="B17009" s="24" t="s">
        <v>15851</v>
      </c>
      <c r="C17009" s="25">
        <v>75054</v>
      </c>
      <c r="D17009" s="22" t="s">
        <v>22223</v>
      </c>
      <c r="E17009" s="22" t="s">
        <v>336</v>
      </c>
      <c r="F17009" s="23" t="str">
        <f>HYPERLINK("https://www.spark-marketing.ru/Card/Lot/71296293", "На поставку специализированного пищевого продукта диетического лечебного питания детей старше одного года, больных муковисцидозом")</f>
        <v>На поставку специализированного пищевого продукта диетического лечебного питания детей старше одного года, больных муковисцидозом</v>
      </c>
      <c r="G17009" s="22" t="s">
        <v>132</v>
      </c>
      <c r="H17009" s="22" t="s">
        <v>587</v>
      </c>
      <c r="I17009" s="26">
        <v>43627.730555555601</v>
      </c>
      <c r="J17009" s="28" t="s">
        <v>51</v>
      </c>
      <c r="K17009" s="28" t="s">
        <v>51</v>
      </c>
      <c r="L17009" s="28" t="s">
        <v>51</v>
      </c>
      <c r="M17009" s="28" t="s">
        <v>51</v>
      </c>
      <c r="N17009" s="28" t="s">
        <v>51</v>
      </c>
    </row>
    <row r="17010" spans="1:14" x14ac:dyDescent="0.2">
      <c r="A17010" s="23" t="str">
        <f>HYPERLINK("https://www.spark-marketing.ru/Card/Person/1300016", "ГОАУСОН ""МУРМАНСКИЙ КЦСОН""")</f>
        <v>ГОАУСОН "МУРМАНСКИЙ КЦСОН"</v>
      </c>
      <c r="B17010" s="24" t="s">
        <v>13579</v>
      </c>
      <c r="C17010" s="25">
        <v>340200</v>
      </c>
      <c r="D17010" s="22" t="s">
        <v>22224</v>
      </c>
      <c r="E17010" s="22" t="s">
        <v>580</v>
      </c>
      <c r="F17010" s="23" t="str">
        <f>HYPERLINK("https://www.spark-marketing.ru/Card/Lot/71292874", "Оказание услуг по организации питания получателей услуг")</f>
        <v>Оказание услуг по организации питания получателей услуг</v>
      </c>
      <c r="G17010" s="22" t="s">
        <v>340</v>
      </c>
      <c r="H17010" s="22" t="s">
        <v>340</v>
      </c>
      <c r="I17010" s="26">
        <v>43627.7347337963</v>
      </c>
      <c r="J17010" s="28" t="s">
        <v>51</v>
      </c>
      <c r="K17010" s="28" t="s">
        <v>51</v>
      </c>
      <c r="L17010" s="28" t="s">
        <v>51</v>
      </c>
      <c r="M17010" s="25">
        <v>340200</v>
      </c>
      <c r="N17010" s="27">
        <v>0</v>
      </c>
    </row>
    <row r="17011" spans="1:14" x14ac:dyDescent="0.15">
      <c r="A17011" s="23" t="s">
        <v>114</v>
      </c>
      <c r="B17011" s="28" t="s">
        <v>51</v>
      </c>
      <c r="C17011" s="25">
        <v>11535524</v>
      </c>
      <c r="D17011" s="22" t="s">
        <v>22225</v>
      </c>
      <c r="E17011" s="22" t="s">
        <v>48</v>
      </c>
      <c r="F17011" s="23" t="str">
        <f t="shared" ref="F17011:F17017" si="577">HYPERLINK("https://www.spark-marketing.ru/Card/Lot/71293837", "Оказание услуг по организации питания")</f>
        <v>Оказание услуг по организации питания</v>
      </c>
      <c r="G17011" s="22" t="s">
        <v>51</v>
      </c>
      <c r="H17011" s="22" t="s">
        <v>51</v>
      </c>
      <c r="I17011" s="26">
        <v>43627.740277777797</v>
      </c>
      <c r="J17011" s="28" t="s">
        <v>51</v>
      </c>
      <c r="K17011" s="28" t="s">
        <v>51</v>
      </c>
      <c r="L17011" s="28" t="s">
        <v>51</v>
      </c>
      <c r="M17011" s="28" t="s">
        <v>51</v>
      </c>
      <c r="N17011" s="28" t="s">
        <v>51</v>
      </c>
    </row>
    <row r="17012" spans="1:14" hidden="1" outlineLevel="1" x14ac:dyDescent="0.15">
      <c r="A17012" s="23" t="str">
        <f>HYPERLINK("https://www.spark-marketing.ru/Card/Person/28909", "ГБОУ СШ № 4 ИМ. В.П. ГЛУШКО")</f>
        <v>ГБОУ СШ № 4 ИМ. В.П. ГЛУШКО</v>
      </c>
      <c r="B17012" s="24" t="s">
        <v>18640</v>
      </c>
      <c r="C17012" s="25">
        <v>1887932</v>
      </c>
      <c r="D17012" s="22" t="s">
        <v>22225</v>
      </c>
      <c r="E17012" s="22" t="s">
        <v>48</v>
      </c>
      <c r="F17012" s="23" t="str">
        <f t="shared" si="577"/>
        <v>Оказание услуг по организации питания</v>
      </c>
      <c r="G17012" s="22" t="s">
        <v>3574</v>
      </c>
      <c r="H17012" s="22" t="s">
        <v>3574</v>
      </c>
      <c r="I17012" s="26">
        <v>43627.740277777797</v>
      </c>
      <c r="J17012" s="28" t="s">
        <v>51</v>
      </c>
      <c r="K17012" s="28" t="s">
        <v>51</v>
      </c>
      <c r="L17012" s="28" t="s">
        <v>51</v>
      </c>
      <c r="M17012" s="28" t="s">
        <v>51</v>
      </c>
      <c r="N17012" s="28" t="s">
        <v>51</v>
      </c>
    </row>
    <row r="17013" spans="1:14" hidden="1" outlineLevel="1" x14ac:dyDescent="0.15">
      <c r="A17013" s="23" t="str">
        <f>HYPERLINK("https://www.spark-marketing.ru/Card/Person/1012194", "ГБОУ СШ № 3 ИМ. С.П. КОРОЛЕВА")</f>
        <v>ГБОУ СШ № 3 ИМ. С.П. КОРОЛЕВА</v>
      </c>
      <c r="B17013" s="24" t="s">
        <v>22226</v>
      </c>
      <c r="C17013" s="25">
        <v>2388565</v>
      </c>
      <c r="D17013" s="22" t="s">
        <v>22225</v>
      </c>
      <c r="E17013" s="22" t="s">
        <v>48</v>
      </c>
      <c r="F17013" s="23" t="str">
        <f t="shared" si="577"/>
        <v>Оказание услуг по организации питания</v>
      </c>
      <c r="G17013" s="22" t="s">
        <v>3574</v>
      </c>
      <c r="H17013" s="22" t="s">
        <v>3574</v>
      </c>
      <c r="I17013" s="26">
        <v>43627.740277777797</v>
      </c>
      <c r="J17013" s="28" t="s">
        <v>51</v>
      </c>
      <c r="K17013" s="28" t="s">
        <v>51</v>
      </c>
      <c r="L17013" s="28" t="s">
        <v>51</v>
      </c>
      <c r="M17013" s="28" t="s">
        <v>51</v>
      </c>
      <c r="N17013" s="28" t="s">
        <v>51</v>
      </c>
    </row>
    <row r="17014" spans="1:14" hidden="1" outlineLevel="1" x14ac:dyDescent="0.15">
      <c r="A17014" s="23" t="str">
        <f>HYPERLINK("https://www.spark-marketing.ru/Card/Person/1018343", "ГБОУ СШ № 7 ИМ. М.К. ЯНГЕЛЯ")</f>
        <v>ГБОУ СШ № 7 ИМ. М.К. ЯНГЕЛЯ</v>
      </c>
      <c r="B17014" s="24" t="s">
        <v>22227</v>
      </c>
      <c r="C17014" s="25">
        <v>569696</v>
      </c>
      <c r="D17014" s="22" t="s">
        <v>22225</v>
      </c>
      <c r="E17014" s="22" t="s">
        <v>48</v>
      </c>
      <c r="F17014" s="23" t="str">
        <f t="shared" si="577"/>
        <v>Оказание услуг по организации питания</v>
      </c>
      <c r="G17014" s="22" t="s">
        <v>3574</v>
      </c>
      <c r="H17014" s="22" t="s">
        <v>3574</v>
      </c>
      <c r="I17014" s="26">
        <v>43627.740277777797</v>
      </c>
      <c r="J17014" s="28" t="s">
        <v>51</v>
      </c>
      <c r="K17014" s="28" t="s">
        <v>51</v>
      </c>
      <c r="L17014" s="28" t="s">
        <v>51</v>
      </c>
      <c r="M17014" s="28" t="s">
        <v>51</v>
      </c>
      <c r="N17014" s="28" t="s">
        <v>51</v>
      </c>
    </row>
    <row r="17015" spans="1:14" hidden="1" outlineLevel="1" x14ac:dyDescent="0.15">
      <c r="A17015" s="23" t="str">
        <f>HYPERLINK("https://www.spark-marketing.ru/Card/Person/1037551", "ГБОУ СШ № 1 ИМ. Г.М. ШУБНИКОВА")</f>
        <v>ГБОУ СШ № 1 ИМ. Г.М. ШУБНИКОВА</v>
      </c>
      <c r="B17015" s="24" t="s">
        <v>8815</v>
      </c>
      <c r="C17015" s="25">
        <v>2092691</v>
      </c>
      <c r="D17015" s="22" t="s">
        <v>22225</v>
      </c>
      <c r="E17015" s="22" t="s">
        <v>48</v>
      </c>
      <c r="F17015" s="23" t="str">
        <f t="shared" si="577"/>
        <v>Оказание услуг по организации питания</v>
      </c>
      <c r="G17015" s="22" t="s">
        <v>3574</v>
      </c>
      <c r="H17015" s="22" t="s">
        <v>3574</v>
      </c>
      <c r="I17015" s="26">
        <v>43627.740277777797</v>
      </c>
      <c r="J17015" s="28" t="s">
        <v>51</v>
      </c>
      <c r="K17015" s="28" t="s">
        <v>51</v>
      </c>
      <c r="L17015" s="28" t="s">
        <v>51</v>
      </c>
      <c r="M17015" s="28" t="s">
        <v>51</v>
      </c>
      <c r="N17015" s="28" t="s">
        <v>51</v>
      </c>
    </row>
    <row r="17016" spans="1:14" hidden="1" outlineLevel="1" x14ac:dyDescent="0.15">
      <c r="A17016" s="23" t="str">
        <f>HYPERLINK("https://www.spark-marketing.ru/Card/Person/1040087", "ГКОУ НШ № 15")</f>
        <v>ГКОУ НШ № 15</v>
      </c>
      <c r="B17016" s="24" t="s">
        <v>8806</v>
      </c>
      <c r="C17016" s="25">
        <v>1838960</v>
      </c>
      <c r="D17016" s="22" t="s">
        <v>22225</v>
      </c>
      <c r="E17016" s="22" t="s">
        <v>48</v>
      </c>
      <c r="F17016" s="23" t="str">
        <f t="shared" si="577"/>
        <v>Оказание услуг по организации питания</v>
      </c>
      <c r="G17016" s="22" t="s">
        <v>3574</v>
      </c>
      <c r="H17016" s="22" t="s">
        <v>3574</v>
      </c>
      <c r="I17016" s="26">
        <v>43627.740277777797</v>
      </c>
      <c r="J17016" s="28" t="s">
        <v>51</v>
      </c>
      <c r="K17016" s="28" t="s">
        <v>51</v>
      </c>
      <c r="L17016" s="28" t="s">
        <v>51</v>
      </c>
      <c r="M17016" s="28" t="s">
        <v>51</v>
      </c>
      <c r="N17016" s="28" t="s">
        <v>51</v>
      </c>
    </row>
    <row r="17017" spans="1:14" hidden="1" outlineLevel="1" x14ac:dyDescent="0.15">
      <c r="A17017" s="23" t="str">
        <f>HYPERLINK("https://www.spark-marketing.ru/Card/Person/1069798", "ГБОУ СШ № 10 ИМ. В.П. БАРМИНА")</f>
        <v>ГБОУ СШ № 10 ИМ. В.П. БАРМИНА</v>
      </c>
      <c r="B17017" s="24" t="s">
        <v>18277</v>
      </c>
      <c r="C17017" s="25">
        <v>2757680</v>
      </c>
      <c r="D17017" s="22" t="s">
        <v>22225</v>
      </c>
      <c r="E17017" s="22" t="s">
        <v>48</v>
      </c>
      <c r="F17017" s="23" t="str">
        <f t="shared" si="577"/>
        <v>Оказание услуг по организации питания</v>
      </c>
      <c r="G17017" s="22" t="s">
        <v>3574</v>
      </c>
      <c r="H17017" s="22" t="s">
        <v>3574</v>
      </c>
      <c r="I17017" s="26">
        <v>43627.740277777797</v>
      </c>
      <c r="J17017" s="28" t="s">
        <v>51</v>
      </c>
      <c r="K17017" s="28" t="s">
        <v>51</v>
      </c>
      <c r="L17017" s="28" t="s">
        <v>51</v>
      </c>
      <c r="M17017" s="28" t="s">
        <v>51</v>
      </c>
      <c r="N17017" s="28" t="s">
        <v>51</v>
      </c>
    </row>
    <row r="17018" spans="1:14" x14ac:dyDescent="0.15">
      <c r="A17018" s="23" t="str">
        <f>HYPERLINK("https://www.spark-marketing.ru/Card/Person/29384", "ГУ-КАЛУЖСКОЕ РО ФОНДА СОЦИАЛЬНОГО СТРАХОВАНИЯ РОССИЙСКОЙ ФЕДЕРАЦИИ")</f>
        <v>ГУ-КАЛУЖСКОЕ РО ФОНДА СОЦИАЛЬНОГО СТРАХОВАНИЯ РОССИЙСКОЙ ФЕДЕРАЦИИ</v>
      </c>
      <c r="B17018" s="24" t="s">
        <v>4067</v>
      </c>
      <c r="C17018" s="25">
        <v>471630.6</v>
      </c>
      <c r="D17018" s="22" t="s">
        <v>22228</v>
      </c>
      <c r="E17018" s="22" t="s">
        <v>86</v>
      </c>
      <c r="F17018" s="23" t="str">
        <f>HYPERLINK("https://www.spark-marketing.ru/Card/Lot/71298861", "Оказание услуг по санаторно-курортному лечению граждан Российской Федерации, проживающих на территории Калужской области, с заболеваниями по классу IV МКБ-10 «Болезни эндокринной системы, расстройства питания и нарушения обмена веществ», имеющих прав...")</f>
        <v>Оказание услуг по санаторно-курортному лечению граждан Российской Федерации, проживающих на территории Калужской области, с заболеваниями по классу IV МКБ-10 «Болезни эндокринной системы, расстройства питания и нарушения обмена веществ», имеющих прав...</v>
      </c>
      <c r="G17018" s="22" t="s">
        <v>112</v>
      </c>
      <c r="H17018" s="22" t="s">
        <v>389</v>
      </c>
      <c r="I17018" s="26">
        <v>43627.724999999999</v>
      </c>
      <c r="J17018" s="23" t="str">
        <f>HYPERLINK("https://www.spark-marketing.ru/Card/Person/238539", "ГБУСОН ""КАВКАЗ""")</f>
        <v>ГБУСОН "КАВКАЗ"</v>
      </c>
      <c r="K17018" s="24" t="s">
        <v>22229</v>
      </c>
      <c r="L17018" s="22" t="s">
        <v>10</v>
      </c>
      <c r="M17018" s="28" t="s">
        <v>51</v>
      </c>
      <c r="N17018" s="28" t="s">
        <v>51</v>
      </c>
    </row>
    <row r="17019" spans="1:14" x14ac:dyDescent="0.15">
      <c r="A17019" s="23" t="str">
        <f>HYPERLINK("https://www.spark-marketing.ru/Card/Person/1760026", "ЗАО ""ПФК ""КРЫЛЬЯ СОВЕТОВ""")</f>
        <v>ЗАО "ПФК "КРЫЛЬЯ СОВЕТОВ"</v>
      </c>
      <c r="B17019" s="24" t="s">
        <v>2056</v>
      </c>
      <c r="C17019" s="25">
        <v>566360</v>
      </c>
      <c r="D17019" s="22" t="s">
        <v>22230</v>
      </c>
      <c r="E17019" s="22" t="s">
        <v>5138</v>
      </c>
      <c r="F17019" s="23" t="str">
        <f>HYPERLINK("https://www.spark-marketing.ru/Card/Lot/71287273", "Комплекс услуг по временному проживанию и питанию команды основного состава ЗАО «ПФК «Крылья Советов»")</f>
        <v>Комплекс услуг по временному проживанию и питанию команды основного состава ЗАО «ПФК «Крылья Советов»</v>
      </c>
      <c r="G17019" s="22" t="s">
        <v>56</v>
      </c>
      <c r="H17019" s="22" t="s">
        <v>56</v>
      </c>
      <c r="I17019" s="26">
        <v>43627.672465277799</v>
      </c>
      <c r="J17019" s="28" t="s">
        <v>51</v>
      </c>
      <c r="K17019" s="28" t="s">
        <v>51</v>
      </c>
      <c r="L17019" s="28" t="s">
        <v>51</v>
      </c>
      <c r="M17019" s="28" t="s">
        <v>51</v>
      </c>
      <c r="N17019" s="28" t="s">
        <v>51</v>
      </c>
    </row>
    <row r="17020" spans="1:14" x14ac:dyDescent="0.15">
      <c r="A17020" s="23" t="str">
        <f t="shared" ref="A17020:A17026" si="578">HYPERLINK("https://www.spark-marketing.ru/Card/Person/1029662", "ФГБУ ""АГЕНТСТВО ""ЭМЕРКОМ""")</f>
        <v>ФГБУ "АГЕНТСТВО "ЭМЕРКОМ"</v>
      </c>
      <c r="B17020" s="24" t="s">
        <v>22063</v>
      </c>
      <c r="C17020" s="25">
        <v>202128.96</v>
      </c>
      <c r="D17020" s="22" t="s">
        <v>22231</v>
      </c>
      <c r="E17020" s="22" t="s">
        <v>19907</v>
      </c>
      <c r="F17020" s="23" t="str">
        <f t="shared" ref="F17020:F17026" si="579">HYPERLINK("https://www.spark-marketing.ru/Card/Lot/71297955", "оказание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стр.2")</f>
        <v>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</v>
      </c>
      <c r="G17020" s="22" t="s">
        <v>56</v>
      </c>
      <c r="H17020" s="22" t="s">
        <v>56</v>
      </c>
      <c r="I17020" s="26">
        <v>43627.707638888904</v>
      </c>
      <c r="J17020" s="28" t="s">
        <v>51</v>
      </c>
      <c r="K17020" s="28" t="s">
        <v>51</v>
      </c>
      <c r="L17020" s="28" t="s">
        <v>51</v>
      </c>
      <c r="M17020" s="28" t="s">
        <v>51</v>
      </c>
      <c r="N17020" s="28" t="s">
        <v>51</v>
      </c>
    </row>
    <row r="17021" spans="1:14" ht="12.75" hidden="1" outlineLevel="1" x14ac:dyDescent="0.2">
      <c r="A17021" s="23" t="str">
        <f t="shared" si="578"/>
        <v>ФГБУ "АГЕНТСТВО "ЭМЕРКОМ"</v>
      </c>
      <c r="B17021" s="24" t="s">
        <v>22063</v>
      </c>
      <c r="C17021" s="25">
        <v>202128.96</v>
      </c>
      <c r="D17021" s="22" t="s">
        <v>22231</v>
      </c>
      <c r="E17021" s="22" t="s">
        <v>19907</v>
      </c>
      <c r="F17021" s="23" t="str">
        <f t="shared" si="579"/>
        <v>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</v>
      </c>
      <c r="G17021" s="22" t="s">
        <v>56</v>
      </c>
      <c r="H17021" s="22" t="s">
        <v>56</v>
      </c>
      <c r="I17021" s="26">
        <v>43627.707638888904</v>
      </c>
      <c r="J17021" s="23" t="str">
        <f>HYPERLINK("https://www.spark-marketing.ru/Card/Person/84923", "ООО ""ОВЕНТАЛ ФМ""")</f>
        <v>ООО "ОВЕНТАЛ ФМ"</v>
      </c>
      <c r="K17021" s="24" t="s">
        <v>22066</v>
      </c>
      <c r="L17021" s="22" t="s">
        <v>10</v>
      </c>
      <c r="M17021" s="25">
        <v>140000</v>
      </c>
      <c r="N17021" s="27">
        <v>0.30737287719681533</v>
      </c>
    </row>
    <row r="17022" spans="1:14" hidden="1" outlineLevel="1" x14ac:dyDescent="0.2">
      <c r="A17022" s="23" t="str">
        <f t="shared" si="578"/>
        <v>ФГБУ "АГЕНТСТВО "ЭМЕРКОМ"</v>
      </c>
      <c r="B17022" s="24" t="s">
        <v>22063</v>
      </c>
      <c r="C17022" s="25">
        <v>202128.96</v>
      </c>
      <c r="D17022" s="22" t="s">
        <v>22231</v>
      </c>
      <c r="E17022" s="22" t="s">
        <v>19907</v>
      </c>
      <c r="F17022" s="23" t="str">
        <f t="shared" si="579"/>
        <v>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</v>
      </c>
      <c r="G17022" s="22" t="s">
        <v>56</v>
      </c>
      <c r="H17022" s="22" t="s">
        <v>56</v>
      </c>
      <c r="I17022" s="26">
        <v>43627.707638888904</v>
      </c>
      <c r="J17022" s="23" t="str">
        <f>HYPERLINK("https://www.spark-marketing.ru/Card/Person/507108", "ООО ""ПРОМЭНЕРГОНАЛАДКА""")</f>
        <v>ООО "ПРОМЭНЕРГОНАЛАДКА"</v>
      </c>
      <c r="K17022" s="24" t="s">
        <v>22232</v>
      </c>
      <c r="L17022" s="28" t="s">
        <v>51</v>
      </c>
      <c r="M17022" s="25">
        <v>144000</v>
      </c>
      <c r="N17022" s="27">
        <v>0.28758353083101007</v>
      </c>
    </row>
    <row r="17023" spans="1:14" hidden="1" outlineLevel="1" x14ac:dyDescent="0.2">
      <c r="A17023" s="23" t="str">
        <f t="shared" si="578"/>
        <v>ФГБУ "АГЕНТСТВО "ЭМЕРКОМ"</v>
      </c>
      <c r="B17023" s="24" t="s">
        <v>22063</v>
      </c>
      <c r="C17023" s="25">
        <v>202128.96</v>
      </c>
      <c r="D17023" s="22" t="s">
        <v>22231</v>
      </c>
      <c r="E17023" s="22" t="s">
        <v>19907</v>
      </c>
      <c r="F17023" s="23" t="str">
        <f t="shared" si="579"/>
        <v>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</v>
      </c>
      <c r="G17023" s="22" t="s">
        <v>56</v>
      </c>
      <c r="H17023" s="22" t="s">
        <v>56</v>
      </c>
      <c r="I17023" s="26">
        <v>43627.707638888904</v>
      </c>
      <c r="J17023" s="23" t="str">
        <f>HYPERLINK("https://www.spark-marketing.ru/Card/Person/4569988", "ООО ""ЭНЕРГО ЭКСПЕРТ МОНТАЖ""")</f>
        <v>ООО "ЭНЕРГО ЭКСПЕРТ МОНТАЖ"</v>
      </c>
      <c r="K17023" s="24" t="s">
        <v>22067</v>
      </c>
      <c r="L17023" s="28" t="s">
        <v>51</v>
      </c>
      <c r="M17023" s="25">
        <v>155000</v>
      </c>
      <c r="N17023" s="27">
        <v>0.23316282832504556</v>
      </c>
    </row>
    <row r="17024" spans="1:14" hidden="1" outlineLevel="1" x14ac:dyDescent="0.2">
      <c r="A17024" s="23" t="str">
        <f t="shared" si="578"/>
        <v>ФГБУ "АГЕНТСТВО "ЭМЕРКОМ"</v>
      </c>
      <c r="B17024" s="24" t="s">
        <v>22063</v>
      </c>
      <c r="C17024" s="25">
        <v>202128.96</v>
      </c>
      <c r="D17024" s="22" t="s">
        <v>22231</v>
      </c>
      <c r="E17024" s="22" t="s">
        <v>19907</v>
      </c>
      <c r="F17024" s="23" t="str">
        <f t="shared" si="579"/>
        <v>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</v>
      </c>
      <c r="G17024" s="22" t="s">
        <v>56</v>
      </c>
      <c r="H17024" s="22" t="s">
        <v>56</v>
      </c>
      <c r="I17024" s="26">
        <v>43627.707638888904</v>
      </c>
      <c r="J17024" s="23" t="str">
        <f>HYPERLINK("https://www.spark-marketing.ru/Card/Person/693569", "ООО ""АФИНА ИНЖИНИРИНГ""")</f>
        <v>ООО "АФИНА ИНЖИНИРИНГ"</v>
      </c>
      <c r="K17024" s="24" t="s">
        <v>22065</v>
      </c>
      <c r="L17024" s="28" t="s">
        <v>51</v>
      </c>
      <c r="M17024" s="25">
        <v>199000</v>
      </c>
      <c r="N17024" s="27">
        <v>1.5480018301187519E-2</v>
      </c>
    </row>
    <row r="17025" spans="1:14" hidden="1" outlineLevel="1" x14ac:dyDescent="0.2">
      <c r="A17025" s="23" t="str">
        <f t="shared" si="578"/>
        <v>ФГБУ "АГЕНТСТВО "ЭМЕРКОМ"</v>
      </c>
      <c r="B17025" s="24" t="s">
        <v>22063</v>
      </c>
      <c r="C17025" s="25">
        <v>202128.96</v>
      </c>
      <c r="D17025" s="22" t="s">
        <v>22231</v>
      </c>
      <c r="E17025" s="22" t="s">
        <v>19907</v>
      </c>
      <c r="F17025" s="23" t="str">
        <f t="shared" si="579"/>
        <v>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</v>
      </c>
      <c r="G17025" s="22" t="s">
        <v>56</v>
      </c>
      <c r="H17025" s="22" t="s">
        <v>56</v>
      </c>
      <c r="I17025" s="26">
        <v>43627.707638888904</v>
      </c>
      <c r="J17025" s="23" t="str">
        <f>HYPERLINK("https://www.spark-marketing.ru/Card/Person/6480189", "ООО ""АБСОЛЮТ ИСК""")</f>
        <v>ООО "АБСОЛЮТ ИСК"</v>
      </c>
      <c r="K17025" s="24" t="s">
        <v>22233</v>
      </c>
      <c r="L17025" s="28" t="s">
        <v>51</v>
      </c>
      <c r="M17025" s="25">
        <v>200127</v>
      </c>
      <c r="N17025" s="27">
        <v>9.9043699626218829E-3</v>
      </c>
    </row>
    <row r="17026" spans="1:14" hidden="1" outlineLevel="1" x14ac:dyDescent="0.2">
      <c r="A17026" s="23" t="str">
        <f t="shared" si="578"/>
        <v>ФГБУ "АГЕНТСТВО "ЭМЕРКОМ"</v>
      </c>
      <c r="B17026" s="24" t="s">
        <v>22063</v>
      </c>
      <c r="C17026" s="25">
        <v>202128.96</v>
      </c>
      <c r="D17026" s="22" t="s">
        <v>22231</v>
      </c>
      <c r="E17026" s="22" t="s">
        <v>19907</v>
      </c>
      <c r="F17026" s="23" t="str">
        <f t="shared" si="579"/>
        <v>оказание услуг (работ) по техническому обслуживанию, эксплуатации и ремонту электрооборудования, электрических сетей и резервных источников питания  в административном здании МЧС России по адресу г. Москва, Театральный проезд д.3, стр.2</v>
      </c>
      <c r="G17026" s="22" t="s">
        <v>56</v>
      </c>
      <c r="H17026" s="22" t="s">
        <v>56</v>
      </c>
      <c r="I17026" s="26">
        <v>43627.707638888904</v>
      </c>
      <c r="J17026" s="23" t="str">
        <f>HYPERLINK("https://www.spark-marketing.ru/Card/Person/6418152", "ООО ""УК НД""")</f>
        <v>ООО "УК НД"</v>
      </c>
      <c r="K17026" s="24" t="s">
        <v>22234</v>
      </c>
      <c r="L17026" s="28" t="s">
        <v>51</v>
      </c>
      <c r="M17026" s="25">
        <v>202125</v>
      </c>
      <c r="N17026" s="27">
        <v>1.9591452902147222E-5</v>
      </c>
    </row>
    <row r="17027" spans="1:14" x14ac:dyDescent="0.15">
      <c r="A17027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7027" s="24" t="s">
        <v>3255</v>
      </c>
      <c r="C17027" s="25">
        <v>249719.1</v>
      </c>
      <c r="D17027" s="22" t="s">
        <v>22235</v>
      </c>
      <c r="E17027" s="22" t="s">
        <v>52</v>
      </c>
      <c r="F17027" s="23" t="str">
        <f>HYPERLINK("https://www.spark-marketing.ru/Card/Lot/71279326", "Поставка лекарственного препарата для медицинского применения ""Прамипексол""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"Прамипексол"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7027" s="22" t="s">
        <v>210</v>
      </c>
      <c r="H17027" s="22" t="s">
        <v>3257</v>
      </c>
      <c r="I17027" s="26">
        <v>43627.688194444403</v>
      </c>
      <c r="J17027" s="23" t="str">
        <f>HYPERLINK("https://www.spark-marketing.ru/Card/Person/4354560", "ООО ""НАДЕЖДА-ФАРМ""")</f>
        <v>ООО "НАДЕЖДА-ФАРМ"</v>
      </c>
      <c r="K17027" s="24" t="s">
        <v>15644</v>
      </c>
      <c r="L17027" s="22" t="s">
        <v>10</v>
      </c>
      <c r="M17027" s="28" t="s">
        <v>51</v>
      </c>
      <c r="N17027" s="28" t="s">
        <v>51</v>
      </c>
    </row>
    <row r="17028" spans="1:14" x14ac:dyDescent="0.15">
      <c r="A17028" s="23" t="str">
        <f>HYPERLINK("https://www.spark-marketing.ru/Card/Person/130406", "БУЗ УР ""ГЛАЗОВСКИЙ МПТД МЗ УР""")</f>
        <v>БУЗ УР "ГЛАЗОВСКИЙ МПТД МЗ УР"</v>
      </c>
      <c r="B17028" s="24" t="s">
        <v>22236</v>
      </c>
      <c r="C17028" s="25">
        <v>899000</v>
      </c>
      <c r="D17028" s="22" t="s">
        <v>22237</v>
      </c>
      <c r="E17028" s="22" t="s">
        <v>48</v>
      </c>
      <c r="F17028" s="23" t="str">
        <f>HYPERLINK("https://www.spark-marketing.ru/Card/Lot/71291914", "№ зз-20402-19 Оказание услуг по организации питания больных, находящихся на стационарном лечении во втором полугодии 2019 года")</f>
        <v>№ зз-20402-19 Оказание услуг по организации питания больных, находящихся на стационарном лечении во втором полугодии 2019 года</v>
      </c>
      <c r="G17028" s="22" t="s">
        <v>852</v>
      </c>
      <c r="H17028" s="22" t="s">
        <v>992</v>
      </c>
      <c r="I17028" s="26">
        <v>43627.675694444399</v>
      </c>
      <c r="J17028" s="23" t="str">
        <f>HYPERLINK("https://www.spark-marketing.ru/Card/Person/6468263", "ООО ""ОБЩЕПИТ СЕРВИС""")</f>
        <v>ООО "ОБЩЕПИТ СЕРВИС"</v>
      </c>
      <c r="K17028" s="24" t="s">
        <v>11858</v>
      </c>
      <c r="L17028" s="22" t="s">
        <v>10</v>
      </c>
      <c r="M17028" s="28" t="s">
        <v>51</v>
      </c>
      <c r="N17028" s="28" t="s">
        <v>51</v>
      </c>
    </row>
    <row r="17029" spans="1:14" x14ac:dyDescent="0.15">
      <c r="A17029" s="23" t="str">
        <f>HYPERLINK("https://www.spark-marketing.ru/Card/Person/1338315", "ГАУ МО ""ЦСП №8""")</f>
        <v>ГАУ МО "ЦСП №8"</v>
      </c>
      <c r="B17029" s="24" t="s">
        <v>1567</v>
      </c>
      <c r="C17029" s="25">
        <v>2087400</v>
      </c>
      <c r="D17029" s="22" t="s">
        <v>22238</v>
      </c>
      <c r="E17029" s="22" t="s">
        <v>362</v>
      </c>
      <c r="F17029" s="23" t="str">
        <f>HYPERLINK("https://www.spark-marketing.ru/Card/Lot/71292832", "Оказание услуг по организации питания команды «Атланты» (сезон 2019-2020)")</f>
        <v>Оказание услуг по организации питания команды «Атланты» (сезон 2019-2020)</v>
      </c>
      <c r="G17029" s="22" t="s">
        <v>49</v>
      </c>
      <c r="H17029" s="22" t="s">
        <v>49</v>
      </c>
      <c r="I17029" s="26">
        <v>43627.703750000001</v>
      </c>
      <c r="J17029" s="28" t="s">
        <v>51</v>
      </c>
      <c r="K17029" s="28" t="s">
        <v>51</v>
      </c>
      <c r="L17029" s="28" t="s">
        <v>51</v>
      </c>
      <c r="M17029" s="28" t="s">
        <v>51</v>
      </c>
      <c r="N17029" s="28" t="s">
        <v>51</v>
      </c>
    </row>
    <row r="17030" spans="1:14" x14ac:dyDescent="0.15">
      <c r="A17030" s="23" t="str">
        <f>HYPERLINK("https://www.spark-marketing.ru/Card/Person/1079697", "ГАУ КО ""СШ ПО ФУТБОЛУ ""КАЛУГА""")</f>
        <v>ГАУ КО "СШ ПО ФУТБОЛУ "КАЛУГА"</v>
      </c>
      <c r="B17030" s="24" t="s">
        <v>22239</v>
      </c>
      <c r="C17030" s="25">
        <v>203000</v>
      </c>
      <c r="D17030" s="22" t="s">
        <v>22240</v>
      </c>
      <c r="E17030" s="22" t="s">
        <v>2227</v>
      </c>
      <c r="F17030" s="23" t="str">
        <f>HYPERLINK("https://www.spark-marketing.ru/Card/Lot/71288732", "Оказание услуг по организации питания, проживания и аренды спортивного зала")</f>
        <v>Оказание услуг по организации питания, проживания и аренды спортивного зала</v>
      </c>
      <c r="G17030" s="22" t="s">
        <v>112</v>
      </c>
      <c r="H17030" s="22" t="s">
        <v>112</v>
      </c>
      <c r="I17030" s="26">
        <v>43627.669953703698</v>
      </c>
      <c r="J17030" s="28" t="s">
        <v>51</v>
      </c>
      <c r="K17030" s="28" t="s">
        <v>51</v>
      </c>
      <c r="L17030" s="28" t="s">
        <v>51</v>
      </c>
      <c r="M17030" s="28" t="s">
        <v>51</v>
      </c>
      <c r="N17030" s="28" t="s">
        <v>51</v>
      </c>
    </row>
    <row r="17031" spans="1:14" x14ac:dyDescent="0.15">
      <c r="A17031" s="23" t="str">
        <f>HYPERLINK("https://www.spark-marketing.ru/Card/Person/1291982", "МАУ Г.О. САМАРА ""ОЛИМП""")</f>
        <v>МАУ Г.О. САМАРА "ОЛИМП"</v>
      </c>
      <c r="B17031" s="24" t="s">
        <v>9554</v>
      </c>
      <c r="C17031" s="25">
        <v>3669624</v>
      </c>
      <c r="D17031" s="22" t="s">
        <v>22241</v>
      </c>
      <c r="E17031" s="22" t="s">
        <v>580</v>
      </c>
      <c r="F17031" s="23" t="str">
        <f>HYPERLINK("https://www.spark-marketing.ru/Card/Lot/71287275", "Услуги по организации питания во время проведения летней оздоровительной кампании (4, 5 и 6 смены)")</f>
        <v>Услуги по организации питания во время проведения летней оздоровительной кампании (4, 5 и 6 смены)</v>
      </c>
      <c r="G17031" s="22" t="s">
        <v>128</v>
      </c>
      <c r="H17031" s="22" t="s">
        <v>128</v>
      </c>
      <c r="I17031" s="26">
        <v>43627.674097222203</v>
      </c>
      <c r="J17031" s="28" t="s">
        <v>51</v>
      </c>
      <c r="K17031" s="28" t="s">
        <v>51</v>
      </c>
      <c r="L17031" s="28" t="s">
        <v>51</v>
      </c>
      <c r="M17031" s="28" t="s">
        <v>51</v>
      </c>
      <c r="N17031" s="28" t="s">
        <v>51</v>
      </c>
    </row>
    <row r="17032" spans="1:14" x14ac:dyDescent="0.15">
      <c r="A17032" s="23" t="str">
        <f t="shared" ref="A17032:A17038" si="580"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7032" s="24" t="s">
        <v>3255</v>
      </c>
      <c r="C17032" s="25">
        <v>554590.34</v>
      </c>
      <c r="D17032" s="22" t="s">
        <v>22242</v>
      </c>
      <c r="E17032" s="22" t="s">
        <v>52</v>
      </c>
      <c r="F17032" s="23" t="str">
        <f>HYPERLINK("https://www.spark-marketing.ru/Card/Lot/71279422", "Поставка лекарственного препарата для медицинского применения ""Эноксапарин натрия""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специализиров...")</f>
        <v>Поставка лекарственного препарата для медицинского применения "Эноксапарин натрия"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</v>
      </c>
      <c r="G17032" s="22" t="s">
        <v>210</v>
      </c>
      <c r="H17032" s="22" t="s">
        <v>3257</v>
      </c>
      <c r="I17032" s="26">
        <v>43627.679861111101</v>
      </c>
      <c r="J17032" s="28" t="s">
        <v>51</v>
      </c>
      <c r="K17032" s="28" t="s">
        <v>51</v>
      </c>
      <c r="L17032" s="28" t="s">
        <v>51</v>
      </c>
      <c r="M17032" s="28" t="s">
        <v>51</v>
      </c>
      <c r="N17032" s="28" t="s">
        <v>51</v>
      </c>
    </row>
    <row r="17033" spans="1:14" ht="12.75" hidden="1" outlineLevel="1" x14ac:dyDescent="0.2">
      <c r="A17033" s="23" t="str">
        <f t="shared" si="580"/>
        <v>МИНИСТЕРСТВО ЗДРАВООХРАНЕНИЯ АМУРСКОЙ ОБЛАСТИ</v>
      </c>
      <c r="B17033" s="24" t="s">
        <v>3255</v>
      </c>
      <c r="C17033" s="25">
        <v>554590.34</v>
      </c>
      <c r="D17033" s="22" t="s">
        <v>22242</v>
      </c>
      <c r="E17033" s="22" t="s">
        <v>52</v>
      </c>
      <c r="F17033" s="23" t="str">
        <f>HYPERLINK("https://www.spark-marketing.ru/Card/Lot/71279422", "Поставка лекарственного препарата для медицинского применения ""Эноксапарин натрия""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специализиров...")</f>
        <v>Поставка лекарственного препарата для медицинского применения "Эноксапарин натрия"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</v>
      </c>
      <c r="G17033" s="22" t="s">
        <v>210</v>
      </c>
      <c r="H17033" s="22" t="s">
        <v>3257</v>
      </c>
      <c r="I17033" s="26">
        <v>43627.679861111101</v>
      </c>
      <c r="J17033" s="23" t="str">
        <f>HYPERLINK("https://www.spark-marketing.ru/Card/Person/4901952", "ООО ""ОРБИС ФАРМ""")</f>
        <v>ООО "ОРБИС ФАРМ"</v>
      </c>
      <c r="K17033" s="24" t="s">
        <v>4852</v>
      </c>
      <c r="L17033" s="22" t="s">
        <v>10</v>
      </c>
      <c r="M17033" s="25">
        <v>549044.42000000004</v>
      </c>
      <c r="N17033" s="27">
        <v>1.0000029932003504E-2</v>
      </c>
    </row>
    <row r="17034" spans="1:14" hidden="1" outlineLevel="1" x14ac:dyDescent="0.2">
      <c r="A17034" s="23" t="str">
        <f t="shared" si="580"/>
        <v>МИНИСТЕРСТВО ЗДРАВООХРАНЕНИЯ АМУРСКОЙ ОБЛАСТИ</v>
      </c>
      <c r="B17034" s="24" t="s">
        <v>3255</v>
      </c>
      <c r="C17034" s="25">
        <v>554590.34</v>
      </c>
      <c r="D17034" s="22" t="s">
        <v>22242</v>
      </c>
      <c r="E17034" s="22" t="s">
        <v>52</v>
      </c>
      <c r="F17034" s="23" t="str">
        <f>HYPERLINK("https://www.spark-marketing.ru/Card/Lot/71279422", "Поставка лекарственного препарата для медицинского применения ""Эноксапарин натрия""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специализиров...")</f>
        <v>Поставка лекарственного препарата для медицинского применения "Эноксапарин натрия"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</v>
      </c>
      <c r="G17034" s="22" t="s">
        <v>210</v>
      </c>
      <c r="H17034" s="22" t="s">
        <v>3257</v>
      </c>
      <c r="I17034" s="26">
        <v>43627.679861111101</v>
      </c>
      <c r="J17034" s="23" t="str">
        <f>HYPERLINK("https://www.spark-marketing.ru/Card/Person/6153738", "ООО""КРОС-ФАРМ""")</f>
        <v>ООО"КРОС-ФАРМ"</v>
      </c>
      <c r="K17034" s="24" t="s">
        <v>22243</v>
      </c>
      <c r="L17034" s="28" t="s">
        <v>51</v>
      </c>
      <c r="M17034" s="25">
        <v>551817.38</v>
      </c>
      <c r="N17034" s="27">
        <v>5.0000149660017522E-3</v>
      </c>
    </row>
    <row r="17035" spans="1:14" hidden="1" outlineLevel="1" x14ac:dyDescent="0.2">
      <c r="A17035" s="23" t="str">
        <f t="shared" si="580"/>
        <v>МИНИСТЕРСТВО ЗДРАВООХРАНЕНИЯ АМУРСКОЙ ОБЛАСТИ</v>
      </c>
      <c r="B17035" s="24" t="s">
        <v>3255</v>
      </c>
      <c r="C17035" s="25">
        <v>554590.34</v>
      </c>
      <c r="D17035" s="22" t="s">
        <v>22242</v>
      </c>
      <c r="E17035" s="22" t="s">
        <v>52</v>
      </c>
      <c r="F17035" s="23" t="str">
        <f>HYPERLINK("https://www.spark-marketing.ru/Card/Lot/71279422", "Поставка лекарственного препарата для медицинского применения ""Эноксапарин натрия""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специализиров...")</f>
        <v>Поставка лекарственного препарата для медицинского применения "Эноксапарин натрия"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специализиров...</v>
      </c>
      <c r="G17035" s="22" t="s">
        <v>210</v>
      </c>
      <c r="H17035" s="22" t="s">
        <v>3257</v>
      </c>
      <c r="I17035" s="26">
        <v>43627.679861111101</v>
      </c>
      <c r="J17035" s="23" t="str">
        <f>HYPERLINK("https://www.spark-marketing.ru/Card/Person/6528891", "ООО ""ФАРМИКО""")</f>
        <v>ООО "ФАРМИКО"</v>
      </c>
      <c r="K17035" s="24" t="s">
        <v>22244</v>
      </c>
      <c r="L17035" s="28" t="s">
        <v>51</v>
      </c>
      <c r="M17035" s="25">
        <v>551817.38</v>
      </c>
      <c r="N17035" s="27">
        <v>5.0000149660017522E-3</v>
      </c>
    </row>
    <row r="17036" spans="1:14" x14ac:dyDescent="0.15">
      <c r="A17036" s="23" t="str">
        <f t="shared" si="580"/>
        <v>МИНИСТЕРСТВО ЗДРАВООХРАНЕНИЯ АМУРСКОЙ ОБЛАСТИ</v>
      </c>
      <c r="B17036" s="24" t="s">
        <v>3255</v>
      </c>
      <c r="C17036" s="25">
        <v>602800</v>
      </c>
      <c r="D17036" s="22" t="s">
        <v>22245</v>
      </c>
      <c r="E17036" s="22" t="s">
        <v>52</v>
      </c>
      <c r="F17036" s="23" t="str">
        <f>HYPERLINK("https://www.spark-marketing.ru/Card/Lot/71280325", "Поставка лекарственного препарата для медицинского применения ""Эпоэтин Бета""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специализированными...")</f>
        <v>Поставка лекарственного препарата для медицинского применения "Эпоэтин Бета"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специализированными...</v>
      </c>
      <c r="G17036" s="22" t="s">
        <v>210</v>
      </c>
      <c r="H17036" s="22" t="s">
        <v>3257</v>
      </c>
      <c r="I17036" s="26">
        <v>43627.679861111101</v>
      </c>
      <c r="J17036" s="23" t="str">
        <f>HYPERLINK("https://www.spark-marketing.ru/Card/Person/4345828", "ООО ""АДВАНТА""")</f>
        <v>ООО "АДВАНТА"</v>
      </c>
      <c r="K17036" s="24" t="s">
        <v>22246</v>
      </c>
      <c r="L17036" s="22" t="s">
        <v>10</v>
      </c>
      <c r="M17036" s="28" t="s">
        <v>51</v>
      </c>
      <c r="N17036" s="28" t="s">
        <v>51</v>
      </c>
    </row>
    <row r="17037" spans="1:14" x14ac:dyDescent="0.15">
      <c r="A17037" s="23" t="str">
        <f t="shared" si="580"/>
        <v>МИНИСТЕРСТВО ЗДРАВООХРАНЕНИЯ АМУРСКОЙ ОБЛАСТИ</v>
      </c>
      <c r="B17037" s="24" t="s">
        <v>3255</v>
      </c>
      <c r="C17037" s="25">
        <v>2999409.46</v>
      </c>
      <c r="D17037" s="22" t="s">
        <v>22247</v>
      </c>
      <c r="E17037" s="22" t="s">
        <v>52</v>
      </c>
      <c r="F17037" s="23" t="str">
        <f>HYPERLINK("https://www.spark-marketing.ru/Card/Lot/71285792", "Поставка лекарственного препарата для медицинского применения ""Эпоэтин альфа""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специализированным...")</f>
        <v>Поставка лекарственного препарата для медицинского применения "Эпоэтин альфа"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</v>
      </c>
      <c r="G17037" s="22" t="s">
        <v>210</v>
      </c>
      <c r="H17037" s="22" t="s">
        <v>3257</v>
      </c>
      <c r="I17037" s="26">
        <v>43627.671527777798</v>
      </c>
      <c r="J17037" s="23" t="str">
        <f>HYPERLINK("https://www.spark-marketing.ru/Card/Person/42334", "ООО ""ФАРМКОМПЛЕКС""")</f>
        <v>ООО "ФАРМКОМПЛЕКС"</v>
      </c>
      <c r="K17037" s="24" t="s">
        <v>22248</v>
      </c>
      <c r="L17037" s="28" t="s">
        <v>51</v>
      </c>
      <c r="M17037" s="28" t="s">
        <v>51</v>
      </c>
      <c r="N17037" s="28" t="s">
        <v>51</v>
      </c>
    </row>
    <row r="17038" spans="1:14" ht="12.75" hidden="1" outlineLevel="1" x14ac:dyDescent="0.2">
      <c r="A17038" s="23" t="str">
        <f t="shared" si="580"/>
        <v>МИНИСТЕРСТВО ЗДРАВООХРАНЕНИЯ АМУРСКОЙ ОБЛАСТИ</v>
      </c>
      <c r="B17038" s="24" t="s">
        <v>3255</v>
      </c>
      <c r="C17038" s="25">
        <v>2999409.46</v>
      </c>
      <c r="D17038" s="22" t="s">
        <v>22247</v>
      </c>
      <c r="E17038" s="22" t="s">
        <v>52</v>
      </c>
      <c r="F17038" s="23" t="str">
        <f>HYPERLINK("https://www.spark-marketing.ru/Card/Lot/71285792", "Поставка лекарственного препарата для медицинского применения ""Эпоэтин альфа""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специализированным...")</f>
        <v>Поставка лекарственного препарата для медицинского применения "Эпоэтин альфа"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специализированным...</v>
      </c>
      <c r="G17038" s="22" t="s">
        <v>210</v>
      </c>
      <c r="H17038" s="22" t="s">
        <v>3257</v>
      </c>
      <c r="I17038" s="26">
        <v>43627.671527777798</v>
      </c>
      <c r="J17038" s="23" t="str">
        <f>HYPERLINK("https://www.spark-marketing.ru/Card/Person/42334", "ООО ""ФАРМКОМПЛЕКС""")</f>
        <v>ООО "ФАРМКОМПЛЕКС"</v>
      </c>
      <c r="K17038" s="24" t="s">
        <v>22248</v>
      </c>
      <c r="L17038" s="22" t="s">
        <v>10</v>
      </c>
      <c r="M17038" s="25">
        <v>2984412.41</v>
      </c>
      <c r="N17038" s="27">
        <v>5.0000009001771968E-3</v>
      </c>
    </row>
    <row r="17039" spans="1:14" x14ac:dyDescent="0.15">
      <c r="A17039" s="23" t="str">
        <f>HYPERLINK("https://www.spark-marketing.ru/Card/Person/34726", "УПРАВЛЕНИЕ МВД РОССИИ ПО Г. РОСТОВУ-НА-ДОНУ")</f>
        <v>УПРАВЛЕНИЕ МВД РОССИИ ПО Г. РОСТОВУ-НА-ДОНУ</v>
      </c>
      <c r="B17039" s="24" t="s">
        <v>7139</v>
      </c>
      <c r="C17039" s="25">
        <v>800002.14</v>
      </c>
      <c r="D17039" s="22" t="s">
        <v>22249</v>
      </c>
      <c r="E17039" s="22" t="s">
        <v>48</v>
      </c>
      <c r="F17039" s="23" t="str">
        <f>HYPERLINK("https://www.spark-marketing.ru/Card/Lot/71298723", "Оказание услуг по обеспечению бесперебойным ежедневным трехразовым горячим питанием (порционно в одноразовой посуде с пластиковыми приборами для принятия пищи) лиц, задержанных за административные правонарушения на срок более трех часов и содержащихс...")</f>
        <v>Оказание услуг по обеспечению бесперебойным ежедневным трехразовым горячим питанием (порционно в одноразовой посуде с пластиковыми приборами для принятия пищи) лиц, задержанных за административные правонарушения на срок более трех часов и содержащихс...</v>
      </c>
      <c r="G17039" s="22" t="s">
        <v>267</v>
      </c>
      <c r="H17039" s="22" t="s">
        <v>590</v>
      </c>
      <c r="I17039" s="26">
        <v>43627.706944444399</v>
      </c>
      <c r="J17039" s="28" t="s">
        <v>51</v>
      </c>
      <c r="K17039" s="28" t="s">
        <v>51</v>
      </c>
      <c r="L17039" s="28" t="s">
        <v>51</v>
      </c>
      <c r="M17039" s="28" t="s">
        <v>51</v>
      </c>
      <c r="N17039" s="28" t="s">
        <v>51</v>
      </c>
    </row>
    <row r="17040" spans="1:14" x14ac:dyDescent="0.15">
      <c r="A17040" s="23" t="str">
        <f>HYPERLINK("https://www.spark-marketing.ru/Card/Person/4350885", "ЗАКОНОДАТЕЛЬНОЕ СОБРАНИЕ ЛЕНИНГРАДСКОЙ ОБЛАСТИ")</f>
        <v>ЗАКОНОДАТЕЛЬНОЕ СОБРАНИЕ ЛЕНИНГРАДСКОЙ ОБЛАСТИ</v>
      </c>
      <c r="B17040" s="24" t="s">
        <v>4075</v>
      </c>
      <c r="C17040" s="25">
        <v>203600</v>
      </c>
      <c r="D17040" s="22" t="s">
        <v>22250</v>
      </c>
      <c r="E17040" s="22" t="s">
        <v>22251</v>
      </c>
      <c r="F17040" s="23" t="str">
        <f>HYPERLINK("https://www.spark-marketing.ru/Card/Lot/71298520", "Оказание услуг по организации семинара-встречи депутатов Законодательного собрания Ленинградской области с руководителями районных средств массовой информации Ленинградской области.")</f>
        <v>Оказание услуг по организации семинара-встречи депутатов Законодательного собрания Ленинградской области с руководителями районных средств массовой информации Ленинградской области.</v>
      </c>
      <c r="G17040" s="22" t="s">
        <v>117</v>
      </c>
      <c r="H17040" s="22" t="s">
        <v>117</v>
      </c>
      <c r="I17040" s="26">
        <v>43627.679861111101</v>
      </c>
      <c r="J17040" s="23" t="str">
        <f>HYPERLINK("https://www.spark-marketing.ru/Card/Person/400033", "ООО ""КУРОРТНОЕ АГЕНТСТВО ПЛЮС""")</f>
        <v>ООО "КУРОРТНОЕ АГЕНТСТВО ПЛЮС"</v>
      </c>
      <c r="K17040" s="24" t="s">
        <v>4078</v>
      </c>
      <c r="L17040" s="28" t="s">
        <v>51</v>
      </c>
      <c r="M17040" s="28" t="s">
        <v>51</v>
      </c>
      <c r="N17040" s="28" t="s">
        <v>51</v>
      </c>
    </row>
    <row r="17041" spans="1:14" x14ac:dyDescent="0.15">
      <c r="A17041" s="23" t="str">
        <f>HYPERLINK("https://www.spark-marketing.ru/Card/Person/33276", "УМВД РОССИИ ПО ЛЕНИНСКОМУ РАЙОНУ")</f>
        <v>УМВД РОССИИ ПО ЛЕНИНСКОМУ РАЙОНУ</v>
      </c>
      <c r="B17041" s="24" t="s">
        <v>22252</v>
      </c>
      <c r="C17041" s="25">
        <v>1743000</v>
      </c>
      <c r="D17041" s="22" t="s">
        <v>22253</v>
      </c>
      <c r="E17041" s="22" t="s">
        <v>48</v>
      </c>
      <c r="F17041" s="23" t="str">
        <f>HYPERLINK("https://www.spark-marketing.ru/Card/Lot/71293168", "питание граждан содержащихся в ИВС")</f>
        <v>питание граждан содержащихся в ИВС</v>
      </c>
      <c r="G17041" s="22" t="s">
        <v>49</v>
      </c>
      <c r="H17041" s="22" t="s">
        <v>49</v>
      </c>
      <c r="I17041" s="26">
        <v>43627.680555555598</v>
      </c>
      <c r="J17041" s="23" t="str">
        <f>HYPERLINK("https://www.spark-marketing.ru/Card/Person/6578901", "ООО ""ДОРОГА""")</f>
        <v>ООО "ДОРОГА"</v>
      </c>
      <c r="K17041" s="24" t="s">
        <v>3102</v>
      </c>
      <c r="L17041" s="28" t="s">
        <v>51</v>
      </c>
      <c r="M17041" s="28" t="s">
        <v>51</v>
      </c>
      <c r="N17041" s="28" t="s">
        <v>51</v>
      </c>
    </row>
    <row r="17042" spans="1:14" ht="12.75" hidden="1" outlineLevel="1" x14ac:dyDescent="0.2">
      <c r="A17042" s="23" t="str">
        <f>HYPERLINK("https://www.spark-marketing.ru/Card/Person/33276", "УМВД РОССИИ ПО ЛЕНИНСКОМУ РАЙОНУ")</f>
        <v>УМВД РОССИИ ПО ЛЕНИНСКОМУ РАЙОНУ</v>
      </c>
      <c r="B17042" s="24" t="s">
        <v>22252</v>
      </c>
      <c r="C17042" s="25">
        <v>1743000</v>
      </c>
      <c r="D17042" s="22" t="s">
        <v>22253</v>
      </c>
      <c r="E17042" s="22" t="s">
        <v>48</v>
      </c>
      <c r="F17042" s="23" t="str">
        <f>HYPERLINK("https://www.spark-marketing.ru/Card/Lot/71293168", "питание граждан содержащихся в ИВС")</f>
        <v>питание граждан содержащихся в ИВС</v>
      </c>
      <c r="G17042" s="22" t="s">
        <v>49</v>
      </c>
      <c r="H17042" s="22" t="s">
        <v>49</v>
      </c>
      <c r="I17042" s="26">
        <v>43627.680555555598</v>
      </c>
      <c r="J17042" s="23" t="str">
        <f>HYPERLINK("https://www.spark-marketing.ru/Card/Person/6578901", "ООО ""ДОРОГА""")</f>
        <v>ООО "ДОРОГА"</v>
      </c>
      <c r="K17042" s="24" t="s">
        <v>3102</v>
      </c>
      <c r="L17042" s="22" t="s">
        <v>10</v>
      </c>
      <c r="M17042" s="25">
        <v>1294</v>
      </c>
      <c r="N17042" s="27">
        <v>0.99925760183591505</v>
      </c>
    </row>
    <row r="17043" spans="1:14" x14ac:dyDescent="0.2">
      <c r="A17043" s="23" t="s">
        <v>114</v>
      </c>
      <c r="B17043" s="28" t="s">
        <v>51</v>
      </c>
      <c r="C17043" s="25">
        <v>15381900</v>
      </c>
      <c r="D17043" s="22" t="s">
        <v>22254</v>
      </c>
      <c r="E17043" s="22" t="s">
        <v>48</v>
      </c>
      <c r="F17043" s="23" t="str">
        <f t="shared" ref="F17043:F17055" si="581">HYPERLINK("https://www.spark-marketing.ru/Card/Lot/71294089", "Оказание услуги по организации горячего питания")</f>
        <v>Оказание услуги по организации горячего питания</v>
      </c>
      <c r="G17043" s="22" t="s">
        <v>51</v>
      </c>
      <c r="H17043" s="22" t="s">
        <v>51</v>
      </c>
      <c r="I17043" s="26">
        <v>43627.675000000003</v>
      </c>
      <c r="J17043" s="23" t="str">
        <f t="shared" ref="J17043:J17055" si="582">HYPERLINK("https://www.spark-marketing.ru/Card/Person/296102", "МУП ""ОБЩЕПИТ"" Г.САЛАВАТА")</f>
        <v>МУП "ОБЩЕПИТ" Г.САЛАВАТА</v>
      </c>
      <c r="K17043" s="24" t="s">
        <v>17686</v>
      </c>
      <c r="L17043" s="22" t="s">
        <v>10</v>
      </c>
      <c r="M17043" s="25">
        <v>15381900</v>
      </c>
      <c r="N17043" s="27">
        <v>0</v>
      </c>
    </row>
    <row r="17044" spans="1:14" hidden="1" outlineLevel="1" x14ac:dyDescent="0.2">
      <c r="A17044" s="23" t="str">
        <f>HYPERLINK("https://www.spark-marketing.ru/Card/Person/125332", "МАДОУ № 18 Г. САЛАВАТА")</f>
        <v>МАДОУ № 18 Г. САЛАВАТА</v>
      </c>
      <c r="B17044" s="24" t="s">
        <v>22255</v>
      </c>
      <c r="C17044" s="25">
        <v>1846800</v>
      </c>
      <c r="D17044" s="22" t="s">
        <v>22254</v>
      </c>
      <c r="E17044" s="22" t="s">
        <v>48</v>
      </c>
      <c r="F17044" s="23" t="str">
        <f t="shared" si="581"/>
        <v>Оказание услуги по организации горячего питания</v>
      </c>
      <c r="G17044" s="22" t="s">
        <v>145</v>
      </c>
      <c r="H17044" s="22" t="s">
        <v>17090</v>
      </c>
      <c r="I17044" s="26">
        <v>43627.675000000003</v>
      </c>
      <c r="J17044" s="23" t="str">
        <f t="shared" si="582"/>
        <v>МУП "ОБЩЕПИТ" Г.САЛАВАТА</v>
      </c>
      <c r="K17044" s="24" t="s">
        <v>17686</v>
      </c>
      <c r="L17044" s="22" t="s">
        <v>10</v>
      </c>
      <c r="M17044" s="28" t="s">
        <v>51</v>
      </c>
      <c r="N17044" s="27">
        <v>0</v>
      </c>
    </row>
    <row r="17045" spans="1:14" hidden="1" outlineLevel="1" x14ac:dyDescent="0.2">
      <c r="A17045" s="23" t="str">
        <f>HYPERLINK("https://www.spark-marketing.ru/Card/Person/142446", "МАДОУ № 10 Г. САЛАВАТА")</f>
        <v>МАДОУ № 10 Г. САЛАВАТА</v>
      </c>
      <c r="B17045" s="24" t="s">
        <v>22256</v>
      </c>
      <c r="C17045" s="25">
        <v>1681560</v>
      </c>
      <c r="D17045" s="22" t="s">
        <v>22254</v>
      </c>
      <c r="E17045" s="22" t="s">
        <v>48</v>
      </c>
      <c r="F17045" s="23" t="str">
        <f t="shared" si="581"/>
        <v>Оказание услуги по организации горячего питания</v>
      </c>
      <c r="G17045" s="22" t="s">
        <v>145</v>
      </c>
      <c r="H17045" s="22" t="s">
        <v>17090</v>
      </c>
      <c r="I17045" s="26">
        <v>43627.675000000003</v>
      </c>
      <c r="J17045" s="23" t="str">
        <f t="shared" si="582"/>
        <v>МУП "ОБЩЕПИТ" Г.САЛАВАТА</v>
      </c>
      <c r="K17045" s="24" t="s">
        <v>17686</v>
      </c>
      <c r="L17045" s="22" t="s">
        <v>10</v>
      </c>
      <c r="M17045" s="28" t="s">
        <v>51</v>
      </c>
      <c r="N17045" s="27">
        <v>0</v>
      </c>
    </row>
    <row r="17046" spans="1:14" hidden="1" outlineLevel="1" x14ac:dyDescent="0.2">
      <c r="A17046" s="23" t="str">
        <f>HYPERLINK("https://www.spark-marketing.ru/Card/Person/244473", "МАДОУ № 58 Г.САЛАВАТА")</f>
        <v>МАДОУ № 58 Г.САЛАВАТА</v>
      </c>
      <c r="B17046" s="24" t="s">
        <v>22257</v>
      </c>
      <c r="C17046" s="25">
        <v>1307340</v>
      </c>
      <c r="D17046" s="22" t="s">
        <v>22254</v>
      </c>
      <c r="E17046" s="22" t="s">
        <v>48</v>
      </c>
      <c r="F17046" s="23" t="str">
        <f t="shared" si="581"/>
        <v>Оказание услуги по организации горячего питания</v>
      </c>
      <c r="G17046" s="22" t="s">
        <v>145</v>
      </c>
      <c r="H17046" s="22" t="s">
        <v>17090</v>
      </c>
      <c r="I17046" s="26">
        <v>43627.675000000003</v>
      </c>
      <c r="J17046" s="23" t="str">
        <f t="shared" si="582"/>
        <v>МУП "ОБЩЕПИТ" Г.САЛАВАТА</v>
      </c>
      <c r="K17046" s="24" t="s">
        <v>17686</v>
      </c>
      <c r="L17046" s="22" t="s">
        <v>10</v>
      </c>
      <c r="M17046" s="28" t="s">
        <v>51</v>
      </c>
      <c r="N17046" s="27">
        <v>0</v>
      </c>
    </row>
    <row r="17047" spans="1:14" hidden="1" outlineLevel="1" x14ac:dyDescent="0.2">
      <c r="A17047" s="23" t="str">
        <f>HYPERLINK("https://www.spark-marketing.ru/Card/Person/258036", "МАДОУ № 40 Г. САЛАВАТА")</f>
        <v>МАДОУ № 40 Г. САЛАВАТА</v>
      </c>
      <c r="B17047" s="24" t="s">
        <v>22258</v>
      </c>
      <c r="C17047" s="25">
        <v>1992600</v>
      </c>
      <c r="D17047" s="22" t="s">
        <v>22254</v>
      </c>
      <c r="E17047" s="22" t="s">
        <v>48</v>
      </c>
      <c r="F17047" s="23" t="str">
        <f t="shared" si="581"/>
        <v>Оказание услуги по организации горячего питания</v>
      </c>
      <c r="G17047" s="22" t="s">
        <v>145</v>
      </c>
      <c r="H17047" s="22" t="s">
        <v>17090</v>
      </c>
      <c r="I17047" s="26">
        <v>43627.675000000003</v>
      </c>
      <c r="J17047" s="23" t="str">
        <f t="shared" si="582"/>
        <v>МУП "ОБЩЕПИТ" Г.САЛАВАТА</v>
      </c>
      <c r="K17047" s="24" t="s">
        <v>17686</v>
      </c>
      <c r="L17047" s="22" t="s">
        <v>10</v>
      </c>
      <c r="M17047" s="28" t="s">
        <v>51</v>
      </c>
      <c r="N17047" s="27">
        <v>0</v>
      </c>
    </row>
    <row r="17048" spans="1:14" hidden="1" outlineLevel="1" x14ac:dyDescent="0.2">
      <c r="A17048" s="23" t="str">
        <f>HYPERLINK("https://www.spark-marketing.ru/Card/Person/258049", "МАДОУ № 54 Г.САЛАВАТА")</f>
        <v>МАДОУ № 54 Г.САЛАВАТА</v>
      </c>
      <c r="B17048" s="24" t="s">
        <v>22259</v>
      </c>
      <c r="C17048" s="25">
        <v>1409400</v>
      </c>
      <c r="D17048" s="22" t="s">
        <v>22254</v>
      </c>
      <c r="E17048" s="22" t="s">
        <v>48</v>
      </c>
      <c r="F17048" s="23" t="str">
        <f t="shared" si="581"/>
        <v>Оказание услуги по организации горячего питания</v>
      </c>
      <c r="G17048" s="22" t="s">
        <v>145</v>
      </c>
      <c r="H17048" s="22" t="s">
        <v>17090</v>
      </c>
      <c r="I17048" s="26">
        <v>43627.675000000003</v>
      </c>
      <c r="J17048" s="23" t="str">
        <f t="shared" si="582"/>
        <v>МУП "ОБЩЕПИТ" Г.САЛАВАТА</v>
      </c>
      <c r="K17048" s="24" t="s">
        <v>17686</v>
      </c>
      <c r="L17048" s="22" t="s">
        <v>10</v>
      </c>
      <c r="M17048" s="28" t="s">
        <v>51</v>
      </c>
      <c r="N17048" s="27">
        <v>0</v>
      </c>
    </row>
    <row r="17049" spans="1:14" hidden="1" outlineLevel="1" x14ac:dyDescent="0.2">
      <c r="A17049" s="23" t="str">
        <f>HYPERLINK("https://www.spark-marketing.ru/Card/Person/258059", "МАДОУ № 29 Г. САЛАВАТА")</f>
        <v>МАДОУ № 29 Г. САЛАВАТА</v>
      </c>
      <c r="B17049" s="24" t="s">
        <v>22260</v>
      </c>
      <c r="C17049" s="25">
        <v>1078920</v>
      </c>
      <c r="D17049" s="22" t="s">
        <v>22254</v>
      </c>
      <c r="E17049" s="22" t="s">
        <v>48</v>
      </c>
      <c r="F17049" s="23" t="str">
        <f t="shared" si="581"/>
        <v>Оказание услуги по организации горячего питания</v>
      </c>
      <c r="G17049" s="22" t="s">
        <v>145</v>
      </c>
      <c r="H17049" s="22" t="s">
        <v>17090</v>
      </c>
      <c r="I17049" s="26">
        <v>43627.675000000003</v>
      </c>
      <c r="J17049" s="23" t="str">
        <f t="shared" si="582"/>
        <v>МУП "ОБЩЕПИТ" Г.САЛАВАТА</v>
      </c>
      <c r="K17049" s="24" t="s">
        <v>17686</v>
      </c>
      <c r="L17049" s="22" t="s">
        <v>10</v>
      </c>
      <c r="M17049" s="28" t="s">
        <v>51</v>
      </c>
      <c r="N17049" s="27">
        <v>0</v>
      </c>
    </row>
    <row r="17050" spans="1:14" hidden="1" outlineLevel="1" x14ac:dyDescent="0.2">
      <c r="A17050" s="23" t="str">
        <f>HYPERLINK("https://www.spark-marketing.ru/Card/Person/258060", "МАДОУ № 33 Г. САЛАВАТА")</f>
        <v>МАДОУ № 33 Г. САЛАВАТА</v>
      </c>
      <c r="B17050" s="24" t="s">
        <v>22261</v>
      </c>
      <c r="C17050" s="25">
        <v>889380</v>
      </c>
      <c r="D17050" s="22" t="s">
        <v>22254</v>
      </c>
      <c r="E17050" s="22" t="s">
        <v>48</v>
      </c>
      <c r="F17050" s="23" t="str">
        <f t="shared" si="581"/>
        <v>Оказание услуги по организации горячего питания</v>
      </c>
      <c r="G17050" s="22" t="s">
        <v>145</v>
      </c>
      <c r="H17050" s="22" t="s">
        <v>17090</v>
      </c>
      <c r="I17050" s="26">
        <v>43627.675000000003</v>
      </c>
      <c r="J17050" s="23" t="str">
        <f t="shared" si="582"/>
        <v>МУП "ОБЩЕПИТ" Г.САЛАВАТА</v>
      </c>
      <c r="K17050" s="24" t="s">
        <v>17686</v>
      </c>
      <c r="L17050" s="22" t="s">
        <v>10</v>
      </c>
      <c r="M17050" s="28" t="s">
        <v>51</v>
      </c>
      <c r="N17050" s="27">
        <v>0</v>
      </c>
    </row>
    <row r="17051" spans="1:14" hidden="1" outlineLevel="1" x14ac:dyDescent="0.2">
      <c r="A17051" s="23" t="str">
        <f>HYPERLINK("https://www.spark-marketing.ru/Card/Person/258063", "МАДОУ № 7 Г. САЛАВАТА")</f>
        <v>МАДОУ № 7 Г. САЛАВАТА</v>
      </c>
      <c r="B17051" s="24" t="s">
        <v>22262</v>
      </c>
      <c r="C17051" s="25">
        <v>942840</v>
      </c>
      <c r="D17051" s="22" t="s">
        <v>22254</v>
      </c>
      <c r="E17051" s="22" t="s">
        <v>48</v>
      </c>
      <c r="F17051" s="23" t="str">
        <f t="shared" si="581"/>
        <v>Оказание услуги по организации горячего питания</v>
      </c>
      <c r="G17051" s="22" t="s">
        <v>145</v>
      </c>
      <c r="H17051" s="22" t="s">
        <v>17090</v>
      </c>
      <c r="I17051" s="26">
        <v>43627.675000000003</v>
      </c>
      <c r="J17051" s="23" t="str">
        <f t="shared" si="582"/>
        <v>МУП "ОБЩЕПИТ" Г.САЛАВАТА</v>
      </c>
      <c r="K17051" s="24" t="s">
        <v>17686</v>
      </c>
      <c r="L17051" s="22" t="s">
        <v>10</v>
      </c>
      <c r="M17051" s="28" t="s">
        <v>51</v>
      </c>
      <c r="N17051" s="27">
        <v>0</v>
      </c>
    </row>
    <row r="17052" spans="1:14" hidden="1" outlineLevel="1" x14ac:dyDescent="0.2">
      <c r="A17052" s="23" t="str">
        <f>HYPERLINK("https://www.spark-marketing.ru/Card/Person/258065", "МАДОУ № 49 Г. САЛАВАТА")</f>
        <v>МАДОУ № 49 Г. САЛАВАТА</v>
      </c>
      <c r="B17052" s="24" t="s">
        <v>22263</v>
      </c>
      <c r="C17052" s="25">
        <v>1224720</v>
      </c>
      <c r="D17052" s="22" t="s">
        <v>22254</v>
      </c>
      <c r="E17052" s="22" t="s">
        <v>48</v>
      </c>
      <c r="F17052" s="23" t="str">
        <f t="shared" si="581"/>
        <v>Оказание услуги по организации горячего питания</v>
      </c>
      <c r="G17052" s="22" t="s">
        <v>145</v>
      </c>
      <c r="H17052" s="22" t="s">
        <v>17090</v>
      </c>
      <c r="I17052" s="26">
        <v>43627.675000000003</v>
      </c>
      <c r="J17052" s="23" t="str">
        <f t="shared" si="582"/>
        <v>МУП "ОБЩЕПИТ" Г.САЛАВАТА</v>
      </c>
      <c r="K17052" s="24" t="s">
        <v>17686</v>
      </c>
      <c r="L17052" s="22" t="s">
        <v>10</v>
      </c>
      <c r="M17052" s="28" t="s">
        <v>51</v>
      </c>
      <c r="N17052" s="27">
        <v>0</v>
      </c>
    </row>
    <row r="17053" spans="1:14" hidden="1" outlineLevel="1" x14ac:dyDescent="0.2">
      <c r="A17053" s="23" t="str">
        <f>HYPERLINK("https://www.spark-marketing.ru/Card/Person/258068", "МАДОУ №51 Г. САЛАВАТА")</f>
        <v>МАДОУ №51 Г. САЛАВАТА</v>
      </c>
      <c r="B17053" s="24" t="s">
        <v>22264</v>
      </c>
      <c r="C17053" s="25">
        <v>942840</v>
      </c>
      <c r="D17053" s="22" t="s">
        <v>22254</v>
      </c>
      <c r="E17053" s="22" t="s">
        <v>48</v>
      </c>
      <c r="F17053" s="23" t="str">
        <f t="shared" si="581"/>
        <v>Оказание услуги по организации горячего питания</v>
      </c>
      <c r="G17053" s="22" t="s">
        <v>145</v>
      </c>
      <c r="H17053" s="22" t="s">
        <v>17090</v>
      </c>
      <c r="I17053" s="26">
        <v>43627.675000000003</v>
      </c>
      <c r="J17053" s="23" t="str">
        <f t="shared" si="582"/>
        <v>МУП "ОБЩЕПИТ" Г.САЛАВАТА</v>
      </c>
      <c r="K17053" s="24" t="s">
        <v>17686</v>
      </c>
      <c r="L17053" s="22" t="s">
        <v>10</v>
      </c>
      <c r="M17053" s="28" t="s">
        <v>51</v>
      </c>
      <c r="N17053" s="27">
        <v>0</v>
      </c>
    </row>
    <row r="17054" spans="1:14" hidden="1" outlineLevel="1" x14ac:dyDescent="0.2">
      <c r="A17054" s="23" t="str">
        <f>HYPERLINK("https://www.spark-marketing.ru/Card/Person/258071", "МАДОУ № 44 Г.САЛАВАТА")</f>
        <v>МАДОУ № 44 Г.САЛАВАТА</v>
      </c>
      <c r="B17054" s="24" t="s">
        <v>22265</v>
      </c>
      <c r="C17054" s="25">
        <v>972000</v>
      </c>
      <c r="D17054" s="22" t="s">
        <v>22254</v>
      </c>
      <c r="E17054" s="22" t="s">
        <v>48</v>
      </c>
      <c r="F17054" s="23" t="str">
        <f t="shared" si="581"/>
        <v>Оказание услуги по организации горячего питания</v>
      </c>
      <c r="G17054" s="22" t="s">
        <v>145</v>
      </c>
      <c r="H17054" s="22" t="s">
        <v>17090</v>
      </c>
      <c r="I17054" s="26">
        <v>43627.675000000003</v>
      </c>
      <c r="J17054" s="23" t="str">
        <f t="shared" si="582"/>
        <v>МУП "ОБЩЕПИТ" Г.САЛАВАТА</v>
      </c>
      <c r="K17054" s="24" t="s">
        <v>17686</v>
      </c>
      <c r="L17054" s="22" t="s">
        <v>10</v>
      </c>
      <c r="M17054" s="28" t="s">
        <v>51</v>
      </c>
      <c r="N17054" s="27">
        <v>0</v>
      </c>
    </row>
    <row r="17055" spans="1:14" hidden="1" outlineLevel="1" x14ac:dyDescent="0.2">
      <c r="A17055" s="23" t="str">
        <f>HYPERLINK("https://www.spark-marketing.ru/Card/Person/258074", "МАДОУ № 35 Г. САЛАВАТА")</f>
        <v>МАДОУ № 35 Г. САЛАВАТА</v>
      </c>
      <c r="B17055" s="24" t="s">
        <v>22266</v>
      </c>
      <c r="C17055" s="25">
        <v>1093500</v>
      </c>
      <c r="D17055" s="22" t="s">
        <v>22254</v>
      </c>
      <c r="E17055" s="22" t="s">
        <v>48</v>
      </c>
      <c r="F17055" s="23" t="str">
        <f t="shared" si="581"/>
        <v>Оказание услуги по организации горячего питания</v>
      </c>
      <c r="G17055" s="22" t="s">
        <v>145</v>
      </c>
      <c r="H17055" s="22" t="s">
        <v>17090</v>
      </c>
      <c r="I17055" s="26">
        <v>43627.675000000003</v>
      </c>
      <c r="J17055" s="23" t="str">
        <f t="shared" si="582"/>
        <v>МУП "ОБЩЕПИТ" Г.САЛАВАТА</v>
      </c>
      <c r="K17055" s="24" t="s">
        <v>17686</v>
      </c>
      <c r="L17055" s="22" t="s">
        <v>10</v>
      </c>
      <c r="M17055" s="28" t="s">
        <v>51</v>
      </c>
      <c r="N17055" s="27">
        <v>0</v>
      </c>
    </row>
    <row r="17056" spans="1:14" x14ac:dyDescent="0.15">
      <c r="A17056" s="23" t="str">
        <f>HYPERLINK("https://www.spark-marketing.ru/Card/Person/33276", "УМВД РОССИИ ПО ЛЕНИНСКОМУ РАЙОНУ")</f>
        <v>УМВД РОССИИ ПО ЛЕНИНСКОМУ РАЙОНУ</v>
      </c>
      <c r="B17056" s="24" t="s">
        <v>22252</v>
      </c>
      <c r="C17056" s="25">
        <v>1743000</v>
      </c>
      <c r="D17056" s="22" t="s">
        <v>22267</v>
      </c>
      <c r="E17056" s="22" t="s">
        <v>48</v>
      </c>
      <c r="F17056" s="23" t="str">
        <f>HYPERLINK("https://www.spark-marketing.ru/Card/Lot/71293167", "питание граждан содержащихся в в ИВС")</f>
        <v>питание граждан содержащихся в в ИВС</v>
      </c>
      <c r="G17056" s="22" t="s">
        <v>49</v>
      </c>
      <c r="H17056" s="22" t="s">
        <v>49</v>
      </c>
      <c r="I17056" s="26">
        <v>43627.680555555598</v>
      </c>
      <c r="J17056" s="28" t="s">
        <v>51</v>
      </c>
      <c r="K17056" s="28" t="s">
        <v>51</v>
      </c>
      <c r="L17056" s="28" t="s">
        <v>51</v>
      </c>
      <c r="M17056" s="28" t="s">
        <v>51</v>
      </c>
      <c r="N17056" s="28" t="s">
        <v>51</v>
      </c>
    </row>
    <row r="17057" spans="1:14" hidden="1" outlineLevel="1" x14ac:dyDescent="0.2">
      <c r="A17057" s="23" t="str">
        <f>HYPERLINK("https://www.spark-marketing.ru/Card/Person/33276", "УМВД РОССИИ ПО ЛЕНИНСКОМУ РАЙОНУ")</f>
        <v>УМВД РОССИИ ПО ЛЕНИНСКОМУ РАЙОНУ</v>
      </c>
      <c r="B17057" s="24" t="s">
        <v>22252</v>
      </c>
      <c r="C17057" s="25">
        <v>1743000</v>
      </c>
      <c r="D17057" s="22" t="s">
        <v>22267</v>
      </c>
      <c r="E17057" s="22" t="s">
        <v>48</v>
      </c>
      <c r="F17057" s="23" t="str">
        <f>HYPERLINK("https://www.spark-marketing.ru/Card/Lot/71293167", "питание граждан содержащихся в в ИВС")</f>
        <v>питание граждан содержащихся в в ИВС</v>
      </c>
      <c r="G17057" s="22" t="s">
        <v>49</v>
      </c>
      <c r="H17057" s="22" t="s">
        <v>49</v>
      </c>
      <c r="I17057" s="26">
        <v>43627.680555555598</v>
      </c>
      <c r="J17057" s="23" t="str">
        <f>HYPERLINK("https://www.spark-marketing.ru/Card/Person/115242", "Башмаков Николай Николаевич")</f>
        <v>Башмаков Николай Николаевич</v>
      </c>
      <c r="K17057" s="24" t="s">
        <v>5812</v>
      </c>
      <c r="L17057" s="28" t="s">
        <v>51</v>
      </c>
      <c r="M17057" s="25">
        <v>1280</v>
      </c>
      <c r="N17057" s="27">
        <v>0.99926563396442913</v>
      </c>
    </row>
    <row r="17058" spans="1:14" ht="12.75" hidden="1" outlineLevel="1" x14ac:dyDescent="0.2">
      <c r="A17058" s="23" t="str">
        <f>HYPERLINK("https://www.spark-marketing.ru/Card/Person/33276", "УМВД РОССИИ ПО ЛЕНИНСКОМУ РАЙОНУ")</f>
        <v>УМВД РОССИИ ПО ЛЕНИНСКОМУ РАЙОНУ</v>
      </c>
      <c r="B17058" s="24" t="s">
        <v>22252</v>
      </c>
      <c r="C17058" s="25">
        <v>1743000</v>
      </c>
      <c r="D17058" s="22" t="s">
        <v>22267</v>
      </c>
      <c r="E17058" s="22" t="s">
        <v>48</v>
      </c>
      <c r="F17058" s="23" t="str">
        <f>HYPERLINK("https://www.spark-marketing.ru/Card/Lot/71293167", "питание граждан содержащихся в в ИВС")</f>
        <v>питание граждан содержащихся в в ИВС</v>
      </c>
      <c r="G17058" s="22" t="s">
        <v>49</v>
      </c>
      <c r="H17058" s="22" t="s">
        <v>49</v>
      </c>
      <c r="I17058" s="26">
        <v>43627.680555555598</v>
      </c>
      <c r="J17058" s="23" t="str">
        <f>HYPERLINK("https://www.spark-marketing.ru/Card/Person/6578901", "ООО ""ДОРОГА""")</f>
        <v>ООО "ДОРОГА"</v>
      </c>
      <c r="K17058" s="24" t="s">
        <v>3102</v>
      </c>
      <c r="L17058" s="22" t="s">
        <v>10</v>
      </c>
      <c r="M17058" s="25">
        <v>1180</v>
      </c>
      <c r="N17058" s="27">
        <v>0.99932300631095816</v>
      </c>
    </row>
    <row r="17059" spans="1:14" x14ac:dyDescent="0.15">
      <c r="A17059" s="23" t="str">
        <f>HYPERLINK("https://www.spark-marketing.ru/Card/Person/34726", "УПРАВЛЕНИЕ МВД РОССИИ ПО Г. РОСТОВУ-НА-ДОНУ")</f>
        <v>УПРАВЛЕНИЕ МВД РОССИИ ПО Г. РОСТОВУ-НА-ДОНУ</v>
      </c>
      <c r="B17059" s="24" t="s">
        <v>7139</v>
      </c>
      <c r="C17059" s="25">
        <v>394137.52</v>
      </c>
      <c r="D17059" s="22" t="s">
        <v>22268</v>
      </c>
      <c r="E17059" s="22" t="s">
        <v>48</v>
      </c>
      <c r="F17059" s="23" t="str">
        <f>HYPERLINK("https://www.spark-marketing.ru/Card/Lot/71298940", "оказание услуг по обеспечению бесперебойным ежедневным трехразовым горячим питанием (порционно в одноразовой посуде с пластиковыми приборами для принятия пищи) лицам, подвергнутым административному аресту, содержащихся в специальном приемнике Управле...")</f>
        <v>оказание услуг по обеспечению бесперебойным ежедневным трехразовым горячим питанием (порционно в одноразовой посуде с пластиковыми приборами для принятия пищи) лицам, подвергнутым административному аресту, содержащихся в специальном приемнике Управле...</v>
      </c>
      <c r="G17059" s="22" t="s">
        <v>267</v>
      </c>
      <c r="H17059" s="22" t="s">
        <v>590</v>
      </c>
      <c r="I17059" s="26">
        <v>43627.691666666702</v>
      </c>
      <c r="J17059" s="23" t="str">
        <f>HYPERLINK("https://www.spark-marketing.ru/Card/Person/365298", "ООО ""ЛЕЛЬ""")</f>
        <v>ООО "ЛЕЛЬ"</v>
      </c>
      <c r="K17059" s="24" t="s">
        <v>7141</v>
      </c>
      <c r="L17059" s="28" t="s">
        <v>51</v>
      </c>
      <c r="M17059" s="28" t="s">
        <v>51</v>
      </c>
      <c r="N17059" s="28" t="s">
        <v>51</v>
      </c>
    </row>
    <row r="17060" spans="1:14" x14ac:dyDescent="0.15">
      <c r="A17060" s="23" t="str">
        <f>HYPERLINK("https://www.spark-marketing.ru/Card/Person/8930", "ФКУЗ ""МСЧ МВД РОССИИ ПО ВЛАДИМИРСКОЙ ОБЛАСТИ""")</f>
        <v>ФКУЗ "МСЧ МВД РОССИИ ПО ВЛАДИМИРСКОЙ ОБЛАСТИ"</v>
      </c>
      <c r="B17060" s="24" t="s">
        <v>661</v>
      </c>
      <c r="C17060" s="25">
        <v>100037</v>
      </c>
      <c r="D17060" s="22" t="s">
        <v>22269</v>
      </c>
      <c r="E17060" s="22" t="s">
        <v>10298</v>
      </c>
      <c r="F17060" s="23" t="str">
        <f>HYPERLINK("https://www.spark-marketing.ru/Card/Lot/71296825", "Прочая закупка товаров, работ и услуг (поставка продуктов питания-сок фруктовый-спец.жиры) для нужд ФКУЗ ""МСЧ МВД России по Владимирской области""")</f>
        <v>Прочая закупка товаров, работ и услуг (поставка продуктов питания-сок фруктовый-спец.жиры) для нужд ФКУЗ "МСЧ МВД России по Владимирской области"</v>
      </c>
      <c r="G17060" s="22" t="s">
        <v>663</v>
      </c>
      <c r="H17060" s="22" t="s">
        <v>664</v>
      </c>
      <c r="I17060" s="26">
        <v>43627.658333333296</v>
      </c>
      <c r="J17060" s="28" t="s">
        <v>51</v>
      </c>
      <c r="K17060" s="28" t="s">
        <v>51</v>
      </c>
      <c r="L17060" s="28" t="s">
        <v>51</v>
      </c>
      <c r="M17060" s="28" t="s">
        <v>51</v>
      </c>
      <c r="N17060" s="28" t="s">
        <v>51</v>
      </c>
    </row>
    <row r="17061" spans="1:14" hidden="1" outlineLevel="1" x14ac:dyDescent="0.2">
      <c r="A17061" s="23" t="str">
        <f>HYPERLINK("https://www.spark-marketing.ru/Card/Person/8930", "ФКУЗ ""МСЧ МВД РОССИИ ПО ВЛАДИМИРСКОЙ ОБЛАСТИ""")</f>
        <v>ФКУЗ "МСЧ МВД РОССИИ ПО ВЛАДИМИРСКОЙ ОБЛАСТИ"</v>
      </c>
      <c r="B17061" s="24" t="s">
        <v>661</v>
      </c>
      <c r="C17061" s="25">
        <v>100037</v>
      </c>
      <c r="D17061" s="22" t="s">
        <v>22269</v>
      </c>
      <c r="E17061" s="22" t="s">
        <v>10298</v>
      </c>
      <c r="F17061" s="23" t="str">
        <f>HYPERLINK("https://www.spark-marketing.ru/Card/Lot/71296825", "Прочая закупка товаров, работ и услуг (поставка продуктов питания-сок фруктовый-спец.жиры) для нужд ФКУЗ ""МСЧ МВД России по Владимирской области""")</f>
        <v>Прочая закупка товаров, работ и услуг (поставка продуктов питания-сок фруктовый-спец.жиры) для нужд ФКУЗ "МСЧ МВД России по Владимирской области"</v>
      </c>
      <c r="G17061" s="22" t="s">
        <v>663</v>
      </c>
      <c r="H17061" s="22" t="s">
        <v>664</v>
      </c>
      <c r="I17061" s="26">
        <v>43627.658333333296</v>
      </c>
      <c r="J17061" s="23" t="str">
        <f>HYPERLINK("https://www.spark-marketing.ru/Card/Person/6268418", "ООО ""МАСЛЕНИЦА""")</f>
        <v>ООО "МАСЛЕНИЦА"</v>
      </c>
      <c r="K17061" s="24" t="s">
        <v>13618</v>
      </c>
      <c r="L17061" s="28" t="s">
        <v>51</v>
      </c>
      <c r="M17061" s="25">
        <v>52633.35</v>
      </c>
      <c r="N17061" s="27">
        <v>0.47386117136659434</v>
      </c>
    </row>
    <row r="17062" spans="1:14" ht="12.75" hidden="1" outlineLevel="1" x14ac:dyDescent="0.2">
      <c r="A17062" s="23" t="str">
        <f>HYPERLINK("https://www.spark-marketing.ru/Card/Person/8930", "ФКУЗ ""МСЧ МВД РОССИИ ПО ВЛАДИМИРСКОЙ ОБЛАСТИ""")</f>
        <v>ФКУЗ "МСЧ МВД РОССИИ ПО ВЛАДИМИРСКОЙ ОБЛАСТИ"</v>
      </c>
      <c r="B17062" s="24" t="s">
        <v>661</v>
      </c>
      <c r="C17062" s="25">
        <v>100037</v>
      </c>
      <c r="D17062" s="22" t="s">
        <v>22269</v>
      </c>
      <c r="E17062" s="22" t="s">
        <v>10298</v>
      </c>
      <c r="F17062" s="23" t="str">
        <f>HYPERLINK("https://www.spark-marketing.ru/Card/Lot/71296825", "Прочая закупка товаров, работ и услуг (поставка продуктов питания-сок фруктовый-спец.жиры) для нужд ФКУЗ ""МСЧ МВД России по Владимирской области""")</f>
        <v>Прочая закупка товаров, работ и услуг (поставка продуктов питания-сок фруктовый-спец.жиры) для нужд ФКУЗ "МСЧ МВД России по Владимирской области"</v>
      </c>
      <c r="G17062" s="22" t="s">
        <v>663</v>
      </c>
      <c r="H17062" s="22" t="s">
        <v>664</v>
      </c>
      <c r="I17062" s="26">
        <v>43627.658333333296</v>
      </c>
      <c r="J17062" s="23" t="str">
        <f>HYPERLINK("https://www.spark-marketing.ru/Card/Person/2182", "ООО ""АЛЬФА-Н""")</f>
        <v>ООО "АЛЬФА-Н"</v>
      </c>
      <c r="K17062" s="24" t="s">
        <v>22270</v>
      </c>
      <c r="L17062" s="22" t="s">
        <v>10</v>
      </c>
      <c r="M17062" s="25">
        <v>52133.16</v>
      </c>
      <c r="N17062" s="27">
        <v>0.47886122134810122</v>
      </c>
    </row>
    <row r="17063" spans="1:14" x14ac:dyDescent="0.15">
      <c r="A17063" s="23" t="str">
        <f>HYPERLINK("https://www.spark-marketing.ru/Card/Person/4345628", "УПРАВЛЕНИЕ ДЕЛАМИ ГУБЕРНАТОРА И ПРАВИТЕЛЬСТВА АЛТАЙСКОГО КРАЯ")</f>
        <v>УПРАВЛЕНИЕ ДЕЛАМИ ГУБЕРНАТОРА И ПРАВИТЕЛЬСТВА АЛТАЙСКОГО КРАЯ</v>
      </c>
      <c r="B17063" s="24" t="s">
        <v>22271</v>
      </c>
      <c r="C17063" s="25">
        <v>138544.5</v>
      </c>
      <c r="D17063" s="22" t="s">
        <v>22272</v>
      </c>
      <c r="E17063" s="22" t="s">
        <v>96</v>
      </c>
      <c r="F17063" s="23" t="str">
        <f>HYPERLINK("https://www.spark-marketing.ru/Card/Lot/71282734", "Оказание услуг по организации питания в рамках проведения Всероссийского шукшинского кинофестиваля")</f>
        <v>Оказание услуг по организации питания в рамках проведения Всероссийского шукшинского кинофестиваля</v>
      </c>
      <c r="G17063" s="22" t="s">
        <v>63</v>
      </c>
      <c r="H17063" s="22" t="s">
        <v>177</v>
      </c>
      <c r="I17063" s="26">
        <v>43627.642361111102</v>
      </c>
      <c r="J17063" s="23" t="str">
        <f>HYPERLINK("https://www.spark-marketing.ru/Card/Person/162257", "АГКУП "" СТОЛОВАЯ АДМИНИСТРАЦИИ КРАЯ """)</f>
        <v>АГКУП " СТОЛОВАЯ АДМИНИСТРАЦИИ КРАЯ "</v>
      </c>
      <c r="K17063" s="24" t="s">
        <v>20508</v>
      </c>
      <c r="L17063" s="22" t="s">
        <v>10</v>
      </c>
      <c r="M17063" s="28" t="s">
        <v>51</v>
      </c>
      <c r="N17063" s="28" t="s">
        <v>51</v>
      </c>
    </row>
    <row r="17064" spans="1:14" x14ac:dyDescent="0.15">
      <c r="A1706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7064" s="24" t="s">
        <v>3255</v>
      </c>
      <c r="C17064" s="25">
        <v>78406.2</v>
      </c>
      <c r="D17064" s="22" t="s">
        <v>22273</v>
      </c>
      <c r="E17064" s="22" t="s">
        <v>52</v>
      </c>
      <c r="F17064" s="23" t="str">
        <f>HYPERLINK("https://www.spark-marketing.ru/Card/Lot/71275788", "Поставка лекарственного препарата для медицинского применения ""Прамипексол""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...")</f>
        <v>Поставка лекарственного препарата для медицинского применения "Прамипексол"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...</v>
      </c>
      <c r="G17064" s="22" t="s">
        <v>210</v>
      </c>
      <c r="H17064" s="22" t="s">
        <v>3257</v>
      </c>
      <c r="I17064" s="26">
        <v>43627.636111111096</v>
      </c>
      <c r="J17064" s="23" t="str">
        <f>HYPERLINK("https://www.spark-marketing.ru/Card/Person/16367", "ЗАО ""МЭНЧ-М""")</f>
        <v>ЗАО "МЭНЧ-М"</v>
      </c>
      <c r="K17064" s="24" t="s">
        <v>22274</v>
      </c>
      <c r="L17064" s="22" t="s">
        <v>10</v>
      </c>
      <c r="M17064" s="28" t="s">
        <v>51</v>
      </c>
      <c r="N17064" s="28" t="s">
        <v>51</v>
      </c>
    </row>
    <row r="17065" spans="1:14" x14ac:dyDescent="0.15">
      <c r="A17065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7065" s="24" t="s">
        <v>3255</v>
      </c>
      <c r="C17065" s="25">
        <v>238267.66</v>
      </c>
      <c r="D17065" s="22" t="s">
        <v>22275</v>
      </c>
      <c r="E17065" s="22" t="s">
        <v>52</v>
      </c>
      <c r="F17065" s="23" t="str">
        <f>HYPERLINK("https://www.spark-marketing.ru/Card/Lot/71276030", "Поставка лекарственного препарата для медицинского применения ""Интерферон альфа-2а""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специализиро...")</f>
        <v>Поставка лекарственного препарата для медицинского применения "Интерферон альфа-2а"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специализиро...</v>
      </c>
      <c r="G17065" s="22" t="s">
        <v>210</v>
      </c>
      <c r="H17065" s="22" t="s">
        <v>3257</v>
      </c>
      <c r="I17065" s="26">
        <v>43627.636111111096</v>
      </c>
      <c r="J17065" s="28" t="s">
        <v>51</v>
      </c>
      <c r="K17065" s="28" t="s">
        <v>51</v>
      </c>
      <c r="L17065" s="28" t="s">
        <v>51</v>
      </c>
      <c r="M17065" s="28" t="s">
        <v>51</v>
      </c>
      <c r="N17065" s="28" t="s">
        <v>51</v>
      </c>
    </row>
    <row r="17066" spans="1:14" x14ac:dyDescent="0.15">
      <c r="A17066" s="23" t="str">
        <f>HYPERLINK("https://www.spark-marketing.ru/Card/Person/1760894", "ГУ-НОВОСИБИРСКОЕ РО ФОНДА СОЦИАЛЬНОГО СТРАХОВАНИЯ РОССИЙСКОЙ ФЕДЕРАЦИИ")</f>
        <v>ГУ-НОВОСИБИРСКОЕ РО ФОНДА СОЦИАЛЬНОГО СТРАХОВАНИЯ РОССИЙСКОЙ ФЕДЕРАЦИИ</v>
      </c>
      <c r="B17066" s="24" t="s">
        <v>22276</v>
      </c>
      <c r="C17066" s="25">
        <v>1446333.84</v>
      </c>
      <c r="D17066" s="22" t="s">
        <v>22277</v>
      </c>
      <c r="E17066" s="22" t="s">
        <v>86</v>
      </c>
      <c r="F17066" s="23" t="str">
        <f>HYPERLINK("https://www.spark-marketing.ru/Card/Lot/71285655", "Оказание услуг по санаторно-курортному лечению граждан-получателей государственной социальной помощи в виде набора социальных услуг, в том числе дети-инвалиды, в организациях, оказывающих санаторно-курортную помощь: ""Болезни органов пищеварения"", ...")</f>
        <v>Оказание услуг по санаторно-курортному лечению граждан-получателей государственной социальной помощи в виде набора социальных услуг, в том числе дети-инвалиды, в организациях, оказывающих санаторно-курортную помощь: "Болезни органов пищеварения", ...</v>
      </c>
      <c r="G17066" s="22" t="s">
        <v>195</v>
      </c>
      <c r="H17066" s="22" t="s">
        <v>196</v>
      </c>
      <c r="I17066" s="26">
        <v>43627.640972222202</v>
      </c>
      <c r="J17066" s="23" t="str">
        <f>HYPERLINK("https://www.spark-marketing.ru/Card/Person/4417838", "ООО ""САНАТОРИЙ ""ПАРУС""")</f>
        <v>ООО "САНАТОРИЙ "ПАРУС"</v>
      </c>
      <c r="K17066" s="24" t="s">
        <v>5609</v>
      </c>
      <c r="L17066" s="22" t="s">
        <v>10</v>
      </c>
      <c r="M17066" s="28" t="s">
        <v>51</v>
      </c>
      <c r="N17066" s="28" t="s">
        <v>51</v>
      </c>
    </row>
    <row r="17067" spans="1:14" x14ac:dyDescent="0.15">
      <c r="A17067" s="23" t="str">
        <f>HYPERLINK("https://www.spark-marketing.ru/Card/Person/1760894", "ГУ-НОВОСИБИРСКОЕ РО ФОНДА СОЦИАЛЬНОГО СТРАХОВАНИЯ РОССИЙСКОЙ ФЕДЕРАЦИИ")</f>
        <v>ГУ-НОВОСИБИРСКОЕ РО ФОНДА СОЦИАЛЬНОГО СТРАХОВАНИЯ РОССИЙСКОЙ ФЕДЕРАЦИИ</v>
      </c>
      <c r="B17067" s="24" t="s">
        <v>22276</v>
      </c>
      <c r="C17067" s="25">
        <v>628840.80000000005</v>
      </c>
      <c r="D17067" s="22" t="s">
        <v>22278</v>
      </c>
      <c r="E17067" s="22" t="s">
        <v>86</v>
      </c>
      <c r="F17067" s="23" t="str">
        <f>HYPERLINK("https://www.spark-marketing.ru/Card/Lot/71285002", "Оказание услуг по санаторно-курортному лечению граждан-получателей государственной социальной помощи в виде набора социальных услуг, в том числе дети-инвалиды, в организациях, оказывающих санаторно-курортную помощь: ""Болезни органов пищеварения"", ...")</f>
        <v>Оказание услуг по санаторно-курортному лечению граждан-получателей государственной социальной помощи в виде набора социальных услуг, в том числе дети-инвалиды, в организациях, оказывающих санаторно-курортную помощь: "Болезни органов пищеварения", ...</v>
      </c>
      <c r="G17067" s="22" t="s">
        <v>195</v>
      </c>
      <c r="H17067" s="22" t="s">
        <v>196</v>
      </c>
      <c r="I17067" s="26">
        <v>43627.629166666702</v>
      </c>
      <c r="J17067" s="23" t="str">
        <f>HYPERLINK("https://www.spark-marketing.ru/Card/Person/62666", "ОАО ""САНАТОРИЙ ""ДОВОЛЕНСКИЙ""")</f>
        <v>ОАО "САНАТОРИЙ "ДОВОЛЕНСКИЙ"</v>
      </c>
      <c r="K17067" s="24" t="s">
        <v>22279</v>
      </c>
      <c r="L17067" s="22" t="s">
        <v>10</v>
      </c>
      <c r="M17067" s="28" t="s">
        <v>51</v>
      </c>
      <c r="N17067" s="28" t="s">
        <v>51</v>
      </c>
    </row>
    <row r="17068" spans="1:14" x14ac:dyDescent="0.15">
      <c r="A17068" s="23" t="str">
        <f>HYPERLINK("https://www.spark-marketing.ru/Card/Person/4350804", "МО МВД РОССИИ ""НИКОЛЬСКИЙ""")</f>
        <v>МО МВД РОССИИ "НИКОЛЬСКИЙ"</v>
      </c>
      <c r="B17068" s="24" t="s">
        <v>22196</v>
      </c>
      <c r="C17068" s="25">
        <v>258030</v>
      </c>
      <c r="D17068" s="22" t="s">
        <v>22280</v>
      </c>
      <c r="E17068" s="22" t="s">
        <v>48</v>
      </c>
      <c r="F17068" s="23" t="str">
        <f>HYPERLINK("https://www.spark-marketing.ru/Card/Lot/71298187", "оказание  услуг по обеспечению ежедневным трехразовым горячим питанием лиц ,содержащихся под стражей административно-арестованных лиц, содержащихся в спецприемнике МО МВД России «Никольский», а также лиц задержанных на срок более трех часов, содержащ...")</f>
        <v>оказание  услуг по обеспечению ежедневным трехразовым горячим питанием лиц ,содержащихся под стражей административно-арестованных лиц, содержащихся в спецприемнике МО МВД России «Никольский», а также лиц задержанных на срок более трех часов, содержащ...</v>
      </c>
      <c r="G17068" s="22" t="s">
        <v>72</v>
      </c>
      <c r="H17068" s="22" t="s">
        <v>72</v>
      </c>
      <c r="I17068" s="26">
        <v>43627.652777777803</v>
      </c>
      <c r="J17068" s="23" t="str">
        <f>HYPERLINK("https://www.spark-marketing.ru/Card/Person/426485", "Коннова Лидия Константиновна")</f>
        <v>Коннова Лидия Константиновна</v>
      </c>
      <c r="K17068" s="24" t="s">
        <v>20488</v>
      </c>
      <c r="L17068" s="22" t="s">
        <v>10</v>
      </c>
      <c r="M17068" s="28" t="s">
        <v>51</v>
      </c>
      <c r="N17068" s="28" t="s">
        <v>51</v>
      </c>
    </row>
    <row r="17069" spans="1:14" x14ac:dyDescent="0.15">
      <c r="A17069" s="23" t="str">
        <f>HYPERLINK("https://www.spark-marketing.ru/Card/Person/35975", "ГБУСО ""ССРЦН""")</f>
        <v>ГБУСО "ССРЦН"</v>
      </c>
      <c r="B17069" s="24" t="s">
        <v>22281</v>
      </c>
      <c r="C17069" s="25">
        <v>200000</v>
      </c>
      <c r="D17069" s="22" t="s">
        <v>22282</v>
      </c>
      <c r="E17069" s="22" t="s">
        <v>170</v>
      </c>
      <c r="F17069" s="23" t="str">
        <f>HYPERLINK("https://www.spark-marketing.ru/Card/Lot/71282695", "Поставка продуктов питания (кисломолочные продукты)")</f>
        <v>Поставка продуктов питания (кисломолочные продукты)</v>
      </c>
      <c r="G17069" s="22" t="s">
        <v>433</v>
      </c>
      <c r="H17069" s="22" t="s">
        <v>22283</v>
      </c>
      <c r="I17069" s="26">
        <v>43627.661111111098</v>
      </c>
      <c r="J17069" s="23" t="str">
        <f>HYPERLINK("https://www.spark-marketing.ru/Card/Person/2505786", "ООО ""БАЙКАЛ СИТИ ТРЕЙДИНГ""")</f>
        <v>ООО "БАЙКАЛ СИТИ ТРЕЙДИНГ"</v>
      </c>
      <c r="K17069" s="24" t="s">
        <v>22284</v>
      </c>
      <c r="L17069" s="22" t="s">
        <v>10</v>
      </c>
      <c r="M17069" s="28" t="s">
        <v>51</v>
      </c>
      <c r="N17069" s="28" t="s">
        <v>51</v>
      </c>
    </row>
    <row r="17070" spans="1:14" x14ac:dyDescent="0.15">
      <c r="A17070" s="23" t="str">
        <f>HYPERLINK("https://www.spark-marketing.ru/Card/Person/20351", "НРА")</f>
        <v>НРА</v>
      </c>
      <c r="B17070" s="24" t="s">
        <v>22285</v>
      </c>
      <c r="C17070" s="25">
        <v>497400</v>
      </c>
      <c r="D17070" s="22" t="s">
        <v>22286</v>
      </c>
      <c r="E17070" s="22" t="s">
        <v>48</v>
      </c>
      <c r="F17070" s="23" t="str">
        <f>HYPERLINK("https://www.spark-marketing.ru/Card/Lot/71283597", "Оказание услуг по организации питания спортивной делегации VII Спортивных игр народов РС(Я)")</f>
        <v>Оказание услуг по организации питания спортивной делегации VII Спортивных игр народов РС(Я)</v>
      </c>
      <c r="G17070" s="22" t="s">
        <v>241</v>
      </c>
      <c r="H17070" s="22" t="s">
        <v>241</v>
      </c>
      <c r="I17070" s="26">
        <v>43627.651388888902</v>
      </c>
      <c r="J17070" s="28" t="s">
        <v>51</v>
      </c>
      <c r="K17070" s="28" t="s">
        <v>51</v>
      </c>
      <c r="L17070" s="28" t="s">
        <v>51</v>
      </c>
      <c r="M17070" s="28" t="s">
        <v>51</v>
      </c>
      <c r="N17070" s="28" t="s">
        <v>51</v>
      </c>
    </row>
    <row r="17071" spans="1:14" ht="12.75" hidden="1" outlineLevel="1" x14ac:dyDescent="0.2">
      <c r="A17071" s="23" t="str">
        <f>HYPERLINK("https://www.spark-marketing.ru/Card/Person/20351", "НРА")</f>
        <v>НРА</v>
      </c>
      <c r="B17071" s="24" t="s">
        <v>22285</v>
      </c>
      <c r="C17071" s="25">
        <v>497400</v>
      </c>
      <c r="D17071" s="22" t="s">
        <v>22286</v>
      </c>
      <c r="E17071" s="22" t="s">
        <v>48</v>
      </c>
      <c r="F17071" s="23" t="str">
        <f>HYPERLINK("https://www.spark-marketing.ru/Card/Lot/71283597", "Оказание услуг по организации питания спортивной делегации VII Спортивных игр народов РС(Я)")</f>
        <v>Оказание услуг по организации питания спортивной делегации VII Спортивных игр народов РС(Я)</v>
      </c>
      <c r="G17071" s="22" t="s">
        <v>241</v>
      </c>
      <c r="H17071" s="22" t="s">
        <v>241</v>
      </c>
      <c r="I17071" s="26">
        <v>43627.651388888902</v>
      </c>
      <c r="J17071" s="23" t="str">
        <f>HYPERLINK("https://www.spark-marketing.ru/Card/Person/462578", "ООО ""ВАЛЕМ""")</f>
        <v>ООО "ВАЛЕМ"</v>
      </c>
      <c r="K17071" s="24" t="s">
        <v>22287</v>
      </c>
      <c r="L17071" s="22" t="s">
        <v>10</v>
      </c>
      <c r="M17071" s="25">
        <v>465000</v>
      </c>
      <c r="N17071" s="27">
        <v>6.513872135102533E-2</v>
      </c>
    </row>
    <row r="17072" spans="1:14" hidden="1" outlineLevel="1" x14ac:dyDescent="0.2">
      <c r="A17072" s="23" t="str">
        <f>HYPERLINK("https://www.spark-marketing.ru/Card/Person/20351", "НРА")</f>
        <v>НРА</v>
      </c>
      <c r="B17072" s="24" t="s">
        <v>22285</v>
      </c>
      <c r="C17072" s="25">
        <v>497400</v>
      </c>
      <c r="D17072" s="22" t="s">
        <v>22286</v>
      </c>
      <c r="E17072" s="22" t="s">
        <v>48</v>
      </c>
      <c r="F17072" s="23" t="str">
        <f>HYPERLINK("https://www.spark-marketing.ru/Card/Lot/71283597", "Оказание услуг по организации питания спортивной делегации VII Спортивных игр народов РС(Я)")</f>
        <v>Оказание услуг по организации питания спортивной делегации VII Спортивных игр народов РС(Я)</v>
      </c>
      <c r="G17072" s="22" t="s">
        <v>241</v>
      </c>
      <c r="H17072" s="22" t="s">
        <v>241</v>
      </c>
      <c r="I17072" s="26">
        <v>43627.651388888902</v>
      </c>
      <c r="J17072" s="23" t="str">
        <f>HYPERLINK("https://www.spark-marketing.ru/Card/Person/5887912", "ООО ""КИВИ""")</f>
        <v>ООО "КИВИ"</v>
      </c>
      <c r="K17072" s="24" t="s">
        <v>22288</v>
      </c>
      <c r="L17072" s="28" t="s">
        <v>51</v>
      </c>
      <c r="M17072" s="25">
        <v>472500</v>
      </c>
      <c r="N17072" s="27">
        <v>5.0060313630880579E-2</v>
      </c>
    </row>
    <row r="17073" spans="1:14" hidden="1" outlineLevel="1" x14ac:dyDescent="0.2">
      <c r="A17073" s="23" t="str">
        <f>HYPERLINK("https://www.spark-marketing.ru/Card/Person/20351", "НРА")</f>
        <v>НРА</v>
      </c>
      <c r="B17073" s="24" t="s">
        <v>22285</v>
      </c>
      <c r="C17073" s="25">
        <v>497400</v>
      </c>
      <c r="D17073" s="22" t="s">
        <v>22286</v>
      </c>
      <c r="E17073" s="22" t="s">
        <v>48</v>
      </c>
      <c r="F17073" s="23" t="str">
        <f>HYPERLINK("https://www.spark-marketing.ru/Card/Lot/71283597", "Оказание услуг по организации питания спортивной делегации VII Спортивных игр народов РС(Я)")</f>
        <v>Оказание услуг по организации питания спортивной делегации VII Спортивных игр народов РС(Я)</v>
      </c>
      <c r="G17073" s="22" t="s">
        <v>241</v>
      </c>
      <c r="H17073" s="22" t="s">
        <v>241</v>
      </c>
      <c r="I17073" s="26">
        <v>43627.651388888902</v>
      </c>
      <c r="J17073" s="23" t="str">
        <f>HYPERLINK("https://www.spark-marketing.ru/Card/Person/6619630", "Третьякова Инна Юрьевна")</f>
        <v>Третьякова Инна Юрьевна</v>
      </c>
      <c r="K17073" s="24" t="s">
        <v>22289</v>
      </c>
      <c r="L17073" s="28" t="s">
        <v>51</v>
      </c>
      <c r="M17073" s="25">
        <v>497400</v>
      </c>
      <c r="N17073" s="27">
        <v>0</v>
      </c>
    </row>
    <row r="17074" spans="1:14" x14ac:dyDescent="0.15">
      <c r="A17074" s="23" t="str">
        <f>HYPERLINK("https://www.spark-marketing.ru/Card/Person/1081812", "ГАУ КО ""СШОР ПО ИГРОВЫМ ВИДАМ СПОРТА""")</f>
        <v>ГАУ КО "СШОР ПО ИГРОВЫМ ВИДАМ СПОРТА"</v>
      </c>
      <c r="B17074" s="24" t="s">
        <v>22290</v>
      </c>
      <c r="C17074" s="25">
        <v>157000</v>
      </c>
      <c r="D17074" s="22" t="s">
        <v>22291</v>
      </c>
      <c r="E17074" s="22" t="s">
        <v>12584</v>
      </c>
      <c r="F17074" s="23" t="str">
        <f>HYPERLINK("https://www.spark-marketing.ru/Card/Lot/71288633", "Услуги по организации проживания и питания 20-ти человек участвующих в тренировочных сборах")</f>
        <v>Услуги по организации проживания и питания 20-ти человек участвующих в тренировочных сборах</v>
      </c>
      <c r="G17074" s="22" t="s">
        <v>400</v>
      </c>
      <c r="H17074" s="22" t="s">
        <v>400</v>
      </c>
      <c r="I17074" s="26">
        <v>43627.649421296301</v>
      </c>
      <c r="J17074" s="28" t="s">
        <v>51</v>
      </c>
      <c r="K17074" s="28" t="s">
        <v>51</v>
      </c>
      <c r="L17074" s="28" t="s">
        <v>51</v>
      </c>
      <c r="M17074" s="28" t="s">
        <v>51</v>
      </c>
      <c r="N17074" s="28" t="s">
        <v>51</v>
      </c>
    </row>
    <row r="17075" spans="1:14" x14ac:dyDescent="0.15">
      <c r="A17075" s="23" t="str">
        <f>HYPERLINK("https://www.spark-marketing.ru/Card/Person/4350804", "МО МВД РОССИИ ""НИКОЛЬСКИЙ""")</f>
        <v>МО МВД РОССИИ "НИКОЛЬСКИЙ"</v>
      </c>
      <c r="B17075" s="24" t="s">
        <v>22196</v>
      </c>
      <c r="C17075" s="25">
        <v>258020</v>
      </c>
      <c r="D17075" s="22" t="s">
        <v>22292</v>
      </c>
      <c r="E17075" s="22" t="s">
        <v>48</v>
      </c>
      <c r="F17075" s="23" t="str">
        <f>HYPERLINK("https://www.spark-marketing.ru/Card/Lot/71298188", "оказание  услуг по обеспечению ежедневным трехразовым горячим питанием лиц ,содержащихся под стражей административно-арестованных лиц, содержащихся в спецприемнике МО МВД России «Никольский», а также лиц задержанных на срок более трех часов, содержащ...")</f>
        <v>оказание  услуг по обеспечению ежедневным трехразовым горячим питанием лиц ,содержащихся под стражей административно-арестованных лиц, содержащихся в спецприемнике МО МВД России «Никольский», а также лиц задержанных на срок более трех часов, содержащ...</v>
      </c>
      <c r="G17075" s="22" t="s">
        <v>72</v>
      </c>
      <c r="H17075" s="22" t="s">
        <v>72</v>
      </c>
      <c r="I17075" s="26">
        <v>43627.629166666702</v>
      </c>
      <c r="J17075" s="23" t="str">
        <f>HYPERLINK("https://www.spark-marketing.ru/Card/Person/426485", "Коннова Лидия Константиновна")</f>
        <v>Коннова Лидия Константиновна</v>
      </c>
      <c r="K17075" s="24" t="s">
        <v>20488</v>
      </c>
      <c r="L17075" s="22" t="s">
        <v>10</v>
      </c>
      <c r="M17075" s="28" t="s">
        <v>51</v>
      </c>
      <c r="N17075" s="28" t="s">
        <v>51</v>
      </c>
    </row>
    <row r="17076" spans="1:14" x14ac:dyDescent="0.15">
      <c r="A17076" s="23" t="str">
        <f>HYPERLINK("https://www.spark-marketing.ru/Card/Person/1065638", "МО МВД РОССИИ ""ЗУЕВСКИЙ""")</f>
        <v>МО МВД РОССИИ "ЗУЕВСКИЙ"</v>
      </c>
      <c r="B17076" s="24" t="s">
        <v>7609</v>
      </c>
      <c r="C17076" s="25">
        <v>36144</v>
      </c>
      <c r="D17076" s="22" t="s">
        <v>22293</v>
      </c>
      <c r="E17076" s="22" t="s">
        <v>48</v>
      </c>
      <c r="F17076" s="23" t="str">
        <f>HYPERLINK("https://www.spark-marketing.ru/Card/Lot/71295097", "Продукты питания для ИВС")</f>
        <v>Продукты питания для ИВС</v>
      </c>
      <c r="G17076" s="22" t="s">
        <v>224</v>
      </c>
      <c r="H17076" s="22" t="s">
        <v>224</v>
      </c>
      <c r="I17076" s="26">
        <v>43627.645833333299</v>
      </c>
      <c r="J17076" s="28" t="s">
        <v>51</v>
      </c>
      <c r="K17076" s="28" t="s">
        <v>51</v>
      </c>
      <c r="L17076" s="28" t="s">
        <v>51</v>
      </c>
      <c r="M17076" s="28" t="s">
        <v>51</v>
      </c>
      <c r="N17076" s="28" t="s">
        <v>51</v>
      </c>
    </row>
    <row r="17077" spans="1:14" x14ac:dyDescent="0.15">
      <c r="A17077" s="23" t="str">
        <f>HYPERLINK("https://www.spark-marketing.ru/Card/Person/4350804", "МО МВД РОССИИ ""НИКОЛЬСКИЙ""")</f>
        <v>МО МВД РОССИИ "НИКОЛЬСКИЙ"</v>
      </c>
      <c r="B17077" s="24" t="s">
        <v>22196</v>
      </c>
      <c r="C17077" s="25">
        <v>56240</v>
      </c>
      <c r="D17077" s="22" t="s">
        <v>22294</v>
      </c>
      <c r="E17077" s="22" t="s">
        <v>48</v>
      </c>
      <c r="F17077" s="23" t="str">
        <f>HYPERLINK("https://www.spark-marketing.ru/Card/Lot/71296275", "оказание услуг по обеспечению ежедневным трехразовым питанием лиц, содержащихся в изоляторе временного содержания МО МВД России «Никольский")</f>
        <v>оказание услуг по обеспечению ежедневным трехразовым питанием лиц, содержащихся в изоляторе временного содержания МО МВД России «Никольский</v>
      </c>
      <c r="G17077" s="22" t="s">
        <v>72</v>
      </c>
      <c r="H17077" s="22" t="s">
        <v>72</v>
      </c>
      <c r="I17077" s="26">
        <v>43627.645138888904</v>
      </c>
      <c r="J17077" s="23" t="str">
        <f>HYPERLINK("https://www.spark-marketing.ru/Card/Person/426485", "Коннова Лидия Константиновна")</f>
        <v>Коннова Лидия Константиновна</v>
      </c>
      <c r="K17077" s="24" t="s">
        <v>20488</v>
      </c>
      <c r="L17077" s="22" t="s">
        <v>10</v>
      </c>
      <c r="M17077" s="28" t="s">
        <v>51</v>
      </c>
      <c r="N17077" s="28" t="s">
        <v>51</v>
      </c>
    </row>
    <row r="17078" spans="1:14" x14ac:dyDescent="0.15">
      <c r="A17078" s="23" t="str">
        <f>HYPERLINK("https://www.spark-marketing.ru/Card/Person/29602", "УПРАВЛЕНИЕ ОБРАЗОВАНИЯ АДМИНИСТРАЦИИ ГОРОДСКОГО ОКРУГА КЛИН")</f>
        <v>УПРАВЛЕНИЕ ОБРАЗОВАНИЯ АДМИНИСТРАЦИИ ГОРОДСКОГО ОКРУГА КЛИН</v>
      </c>
      <c r="B17078" s="24" t="s">
        <v>22295</v>
      </c>
      <c r="C17078" s="25">
        <v>25500</v>
      </c>
      <c r="D17078" s="22" t="s">
        <v>22296</v>
      </c>
      <c r="E17078" s="22" t="s">
        <v>48</v>
      </c>
      <c r="F17078" s="23" t="str">
        <f>HYPERLINK("https://www.spark-marketing.ru/Card/Lot/71288027", "Оказание услуг по организации питания участников районного «Бала медалистов - 2019»")</f>
        <v>Оказание услуг по организации питания участников районного «Бала медалистов - 2019»</v>
      </c>
      <c r="G17078" s="22" t="s">
        <v>49</v>
      </c>
      <c r="H17078" s="22" t="s">
        <v>18747</v>
      </c>
      <c r="I17078" s="26">
        <v>43627.638749999998</v>
      </c>
      <c r="J17078" s="28" t="s">
        <v>51</v>
      </c>
      <c r="K17078" s="28" t="s">
        <v>51</v>
      </c>
      <c r="L17078" s="28" t="s">
        <v>51</v>
      </c>
      <c r="M17078" s="28" t="s">
        <v>51</v>
      </c>
      <c r="N17078" s="28" t="s">
        <v>51</v>
      </c>
    </row>
    <row r="17079" spans="1:14" x14ac:dyDescent="0.15">
      <c r="A17079" s="23" t="str">
        <f>HYPERLINK("https://www.spark-marketing.ru/Card/Person/127390", "ГБУЗ ""НАРКОЛОГИЧЕСКИЙ ДИСПАНСЕР ПСКОВСКОЙ ОБЛАСТИ""")</f>
        <v>ГБУЗ "НАРКОЛОГИЧЕСКИЙ ДИСПАНСЕР ПСКОВСКОЙ ОБЛАСТИ"</v>
      </c>
      <c r="B17079" s="24" t="s">
        <v>22297</v>
      </c>
      <c r="C17079" s="25">
        <v>2354000</v>
      </c>
      <c r="D17079" s="22" t="s">
        <v>22298</v>
      </c>
      <c r="E17079" s="22" t="s">
        <v>48</v>
      </c>
      <c r="F17079" s="23" t="str">
        <f>HYPERLINK("https://www.spark-marketing.ru/Card/Lot/71293006", "Оказание услуги по приготовлению и поставке готового питания для пациентов круглосуточного стационара ГБУЗ ""Наркологический диспансер Псковской области"" во 2 полугодии 2019 года (идентификационный номер: 553-А-ГЗ)")</f>
        <v>Оказание услуги по приготовлению и поставке готового питания для пациентов круглосуточного стационара ГБУЗ "Наркологический диспансер Псковской области" во 2 полугодии 2019 года (идентификационный номер: 553-А-ГЗ)</v>
      </c>
      <c r="G17079" s="22" t="s">
        <v>415</v>
      </c>
      <c r="H17079" s="22" t="s">
        <v>4542</v>
      </c>
      <c r="I17079" s="26">
        <v>43627.636111111096</v>
      </c>
      <c r="J17079" s="23" t="str">
        <f>HYPERLINK("https://www.spark-marketing.ru/Card/Person/393246", "ООО ""ЛАРНАКА""")</f>
        <v>ООО "ЛАРНАКА"</v>
      </c>
      <c r="K17079" s="24" t="s">
        <v>6339</v>
      </c>
      <c r="L17079" s="22" t="s">
        <v>10</v>
      </c>
      <c r="M17079" s="28" t="s">
        <v>51</v>
      </c>
      <c r="N17079" s="28" t="s">
        <v>51</v>
      </c>
    </row>
    <row r="17080" spans="1:14" x14ac:dyDescent="0.15">
      <c r="A17080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7080" s="24" t="s">
        <v>3255</v>
      </c>
      <c r="C17080" s="25">
        <v>1748068</v>
      </c>
      <c r="D17080" s="22" t="s">
        <v>22299</v>
      </c>
      <c r="E17080" s="22" t="s">
        <v>52</v>
      </c>
      <c r="F17080" s="23" t="str">
        <f>HYPERLINK("https://www.spark-marketing.ru/Card/Lot/71277139", "Поставка лекарственного препарата для медицинского применения ""Урсодезоксихолевая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специ...")</f>
        <v>Поставка лекарственного препарата для медицинского применения "Урсодезоксихолевая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</v>
      </c>
      <c r="G17080" s="22" t="s">
        <v>210</v>
      </c>
      <c r="H17080" s="22" t="s">
        <v>3257</v>
      </c>
      <c r="I17080" s="26">
        <v>43627.658333333296</v>
      </c>
      <c r="J17080" s="28" t="s">
        <v>51</v>
      </c>
      <c r="K17080" s="28" t="s">
        <v>51</v>
      </c>
      <c r="L17080" s="28" t="s">
        <v>51</v>
      </c>
      <c r="M17080" s="28" t="s">
        <v>51</v>
      </c>
      <c r="N17080" s="28" t="s">
        <v>51</v>
      </c>
    </row>
    <row r="17081" spans="1:14" hidden="1" outlineLevel="1" x14ac:dyDescent="0.2">
      <c r="A17081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7081" s="24" t="s">
        <v>3255</v>
      </c>
      <c r="C17081" s="25">
        <v>1748068</v>
      </c>
      <c r="D17081" s="22" t="s">
        <v>22299</v>
      </c>
      <c r="E17081" s="22" t="s">
        <v>52</v>
      </c>
      <c r="F17081" s="23" t="str">
        <f>HYPERLINK("https://www.spark-marketing.ru/Card/Lot/71277139", "Поставка лекарственного препарата для медицинского применения ""Урсодезоксихолевая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специ...")</f>
        <v>Поставка лекарственного препарата для медицинского применения "Урсодезоксихолевая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</v>
      </c>
      <c r="G17081" s="22" t="s">
        <v>210</v>
      </c>
      <c r="H17081" s="22" t="s">
        <v>3257</v>
      </c>
      <c r="I17081" s="26">
        <v>43627.658333333296</v>
      </c>
      <c r="J17081" s="23" t="str">
        <f>HYPERLINK("https://www.spark-marketing.ru/Card/Person/5769819", "ООО ""НОРДФАРМ""")</f>
        <v>ООО "НОРДФАРМ"</v>
      </c>
      <c r="K17081" s="24" t="s">
        <v>22300</v>
      </c>
      <c r="L17081" s="28" t="s">
        <v>51</v>
      </c>
      <c r="M17081" s="25">
        <v>1721846.98</v>
      </c>
      <c r="N17081" s="27">
        <v>1.4999999999999999E-2</v>
      </c>
    </row>
    <row r="17082" spans="1:14" hidden="1" outlineLevel="1" x14ac:dyDescent="0.2">
      <c r="A17082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7082" s="24" t="s">
        <v>3255</v>
      </c>
      <c r="C17082" s="25">
        <v>1748068</v>
      </c>
      <c r="D17082" s="22" t="s">
        <v>22299</v>
      </c>
      <c r="E17082" s="22" t="s">
        <v>52</v>
      </c>
      <c r="F17082" s="23" t="str">
        <f>HYPERLINK("https://www.spark-marketing.ru/Card/Lot/71277139", "Поставка лекарственного препарата для медицинского применения ""Урсодезоксихолевая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специ...")</f>
        <v>Поставка лекарственного препарата для медицинского применения "Урсодезоксихолевая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</v>
      </c>
      <c r="G17082" s="22" t="s">
        <v>210</v>
      </c>
      <c r="H17082" s="22" t="s">
        <v>3257</v>
      </c>
      <c r="I17082" s="26">
        <v>43627.658333333296</v>
      </c>
      <c r="J17082" s="23" t="str">
        <f>HYPERLINK("https://www.spark-marketing.ru/Card/Person/42360", "ООО ""КОСМОФАРМ""")</f>
        <v>ООО "КОСМОФАРМ"</v>
      </c>
      <c r="K17082" s="24" t="s">
        <v>21973</v>
      </c>
      <c r="L17082" s="28" t="s">
        <v>51</v>
      </c>
      <c r="M17082" s="25">
        <v>1173200</v>
      </c>
      <c r="N17082" s="27">
        <v>0.32885906040268459</v>
      </c>
    </row>
    <row r="17083" spans="1:14" ht="12.75" hidden="1" outlineLevel="1" x14ac:dyDescent="0.2">
      <c r="A17083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7083" s="24" t="s">
        <v>3255</v>
      </c>
      <c r="C17083" s="25">
        <v>1748068</v>
      </c>
      <c r="D17083" s="22" t="s">
        <v>22299</v>
      </c>
      <c r="E17083" s="22" t="s">
        <v>52</v>
      </c>
      <c r="F17083" s="23" t="str">
        <f>HYPERLINK("https://www.spark-marketing.ru/Card/Lot/71277139", "Поставка лекарственного препарата для медицинского применения ""Урсодезоксихолевая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специ...")</f>
        <v>Поставка лекарственного препарата для медицинского применения "Урсодезоксихолевая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</v>
      </c>
      <c r="G17083" s="22" t="s">
        <v>210</v>
      </c>
      <c r="H17083" s="22" t="s">
        <v>3257</v>
      </c>
      <c r="I17083" s="26">
        <v>43627.658333333296</v>
      </c>
      <c r="J17083" s="23" t="str">
        <f>HYPERLINK("https://www.spark-marketing.ru/Card/Person/34034", "ООО ""М-ТЕХФАРМ""")</f>
        <v>ООО "М-ТЕХФАРМ"</v>
      </c>
      <c r="K17083" s="24" t="s">
        <v>3861</v>
      </c>
      <c r="L17083" s="22" t="s">
        <v>10</v>
      </c>
      <c r="M17083" s="25">
        <v>1092539</v>
      </c>
      <c r="N17083" s="27">
        <v>0.37500200221044033</v>
      </c>
    </row>
    <row r="17084" spans="1:14" hidden="1" outlineLevel="1" x14ac:dyDescent="0.2">
      <c r="A1708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7084" s="24" t="s">
        <v>3255</v>
      </c>
      <c r="C17084" s="25">
        <v>1748068</v>
      </c>
      <c r="D17084" s="22" t="s">
        <v>22299</v>
      </c>
      <c r="E17084" s="22" t="s">
        <v>52</v>
      </c>
      <c r="F17084" s="23" t="str">
        <f>HYPERLINK("https://www.spark-marketing.ru/Card/Lot/71277139", "Поставка лекарственного препарата для медицинского применения ""Урсодезоксихолевая кислота""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специ...")</f>
        <v>Поставка лекарственного препарата для медицинского применения "Урсодезоксихолевая кислота"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специ...</v>
      </c>
      <c r="G17084" s="22" t="s">
        <v>210</v>
      </c>
      <c r="H17084" s="22" t="s">
        <v>3257</v>
      </c>
      <c r="I17084" s="26">
        <v>43627.658333333296</v>
      </c>
      <c r="J17084" s="23" t="str">
        <f>HYPERLINK("https://www.spark-marketing.ru/Card/Person/2592121", "ООО ""Ф-ФАРМ""")</f>
        <v>ООО "Ф-ФАРМ"</v>
      </c>
      <c r="K17084" s="24" t="s">
        <v>3711</v>
      </c>
      <c r="L17084" s="28" t="s">
        <v>51</v>
      </c>
      <c r="M17084" s="25">
        <v>1101279.6599999999</v>
      </c>
      <c r="N17084" s="27">
        <v>0.37000181915120006</v>
      </c>
    </row>
    <row r="17085" spans="1:14" x14ac:dyDescent="0.15">
      <c r="A17085" s="23" t="str">
        <f>HYPERLINK("https://www.spark-marketing.ru/Card/Person/64935", "УМВД РОССИИ ПО Г. КУРСКУ")</f>
        <v>УМВД РОССИИ ПО Г. КУРСКУ</v>
      </c>
      <c r="B17085" s="24" t="s">
        <v>1109</v>
      </c>
      <c r="C17085" s="25">
        <v>2178000</v>
      </c>
      <c r="D17085" s="22" t="s">
        <v>22301</v>
      </c>
      <c r="E17085" s="22" t="s">
        <v>96</v>
      </c>
      <c r="F17085" s="23" t="str">
        <f>HYPERLINK("https://www.spark-marketing.ru/Card/Lot/71293079", "Оказание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Курску")</f>
        <v>Оказание услуг по организации питания лицам, содержащимся в специальном приемнике для содержания лиц, подвергнутых административному аресту УМВД России по г. Курску</v>
      </c>
      <c r="G17085" s="22" t="s">
        <v>1111</v>
      </c>
      <c r="H17085" s="22" t="s">
        <v>1112</v>
      </c>
      <c r="I17085" s="26">
        <v>43627.629861111098</v>
      </c>
      <c r="J17085" s="23" t="str">
        <f>HYPERLINK("https://www.spark-marketing.ru/Card/Person/148940", "Давыдова Ирина Львовна")</f>
        <v>Давыдова Ирина Львовна</v>
      </c>
      <c r="K17085" s="24" t="s">
        <v>7524</v>
      </c>
      <c r="L17085" s="22" t="s">
        <v>10</v>
      </c>
      <c r="M17085" s="28" t="s">
        <v>51</v>
      </c>
      <c r="N17085" s="28" t="s">
        <v>51</v>
      </c>
    </row>
    <row r="17086" spans="1:14" x14ac:dyDescent="0.15">
      <c r="A17086" s="23" t="str">
        <f>HYPERLINK("https://www.spark-marketing.ru/Card/Person/29292", "ГУ-ЛЕНИНГРАДСКОЕ РО ФОНДА СОЦИАЛЬНОГО СТРАХОВАНИЯ РОССИЙСКОЙ ФЕДЕРАЦИИ")</f>
        <v>ГУ-ЛЕНИНГРАДСКОЕ РО ФОНДА СОЦИАЛЬНОГО СТРАХОВАНИЯ РОССИЙСКОЙ ФЕДЕРАЦИИ</v>
      </c>
      <c r="B17086" s="24" t="s">
        <v>1653</v>
      </c>
      <c r="C17086" s="25">
        <v>1572102</v>
      </c>
      <c r="D17086" s="22" t="s">
        <v>22302</v>
      </c>
      <c r="E17086" s="22" t="s">
        <v>86</v>
      </c>
      <c r="F17086" s="23" t="str">
        <f>HYPERLINK("https://www.spark-marketing.ru/Card/Lot/71293162", "Санаторно-курортное лечение граждан-получателей набора социальных услуг")</f>
        <v>Санаторно-курортное лечение граждан-получателей набора социальных услуг</v>
      </c>
      <c r="G17086" s="22" t="s">
        <v>117</v>
      </c>
      <c r="H17086" s="22" t="s">
        <v>117</v>
      </c>
      <c r="I17086" s="26">
        <v>43627.647916666698</v>
      </c>
      <c r="J17086" s="28" t="s">
        <v>51</v>
      </c>
      <c r="K17086" s="28" t="s">
        <v>51</v>
      </c>
      <c r="L17086" s="28" t="s">
        <v>51</v>
      </c>
      <c r="M17086" s="28" t="s">
        <v>51</v>
      </c>
      <c r="N17086" s="28" t="s">
        <v>51</v>
      </c>
    </row>
    <row r="17087" spans="1:14" x14ac:dyDescent="0.15">
      <c r="A17087" s="23" t="str">
        <f>HYPERLINK("https://www.spark-marketing.ru/Card/Person/4347023", "ПРАВИТЕЛЬСТВО ЯРОСЛАВСКОЙ ОБЛАСТИ")</f>
        <v>ПРАВИТЕЛЬСТВО ЯРОСЛАВСКОЙ ОБЛАСТИ</v>
      </c>
      <c r="B17087" s="24" t="s">
        <v>22303</v>
      </c>
      <c r="C17087" s="25">
        <v>2500000</v>
      </c>
      <c r="D17087" s="22" t="s">
        <v>22304</v>
      </c>
      <c r="E17087" s="22" t="s">
        <v>96</v>
      </c>
      <c r="F17087" s="23" t="str">
        <f>HYPERLINK("https://www.spark-marketing.ru/Card/Lot/71292946", "Оказание услуг по организации питания в рамках проведения мероприятий, организуемых Правительством Ярославской области в 2019 году")</f>
        <v>Оказание услуг по организации питания в рамках проведения мероприятий, организуемых Правительством Ярославской области в 2019 году</v>
      </c>
      <c r="G17087" s="22" t="s">
        <v>185</v>
      </c>
      <c r="H17087" s="22" t="s">
        <v>3365</v>
      </c>
      <c r="I17087" s="26">
        <v>43627.632638888899</v>
      </c>
      <c r="J17087" s="23" t="str">
        <f>HYPERLINK("https://www.spark-marketing.ru/Card/Person/880806", "ООО ""ВЕРШИНА""")</f>
        <v>ООО "ВЕРШИНА"</v>
      </c>
      <c r="K17087" s="24" t="s">
        <v>22305</v>
      </c>
      <c r="L17087" s="28" t="s">
        <v>51</v>
      </c>
      <c r="M17087" s="28" t="s">
        <v>51</v>
      </c>
      <c r="N17087" s="28" t="s">
        <v>51</v>
      </c>
    </row>
    <row r="17088" spans="1:14" ht="12.75" hidden="1" outlineLevel="1" x14ac:dyDescent="0.2">
      <c r="A17088" s="23" t="str">
        <f>HYPERLINK("https://www.spark-marketing.ru/Card/Person/4347023", "ПРАВИТЕЛЬСТВО ЯРОСЛАВСКОЙ ОБЛАСТИ")</f>
        <v>ПРАВИТЕЛЬСТВО ЯРОСЛАВСКОЙ ОБЛАСТИ</v>
      </c>
      <c r="B17088" s="24" t="s">
        <v>22303</v>
      </c>
      <c r="C17088" s="25">
        <v>2500000</v>
      </c>
      <c r="D17088" s="22" t="s">
        <v>22304</v>
      </c>
      <c r="E17088" s="22" t="s">
        <v>96</v>
      </c>
      <c r="F17088" s="23" t="str">
        <f>HYPERLINK("https://www.spark-marketing.ru/Card/Lot/71292946", "Оказание услуг по организации питания в рамках проведения мероприятий, организуемых Правительством Ярославской области в 2019 году")</f>
        <v>Оказание услуг по организации питания в рамках проведения мероприятий, организуемых Правительством Ярославской области в 2019 году</v>
      </c>
      <c r="G17088" s="22" t="s">
        <v>185</v>
      </c>
      <c r="H17088" s="22" t="s">
        <v>3365</v>
      </c>
      <c r="I17088" s="26">
        <v>43627.632638888899</v>
      </c>
      <c r="J17088" s="23" t="str">
        <f>HYPERLINK("https://www.spark-marketing.ru/Card/Person/880806", "ООО ""ВЕРШИНА""")</f>
        <v>ООО "ВЕРШИНА"</v>
      </c>
      <c r="K17088" s="24" t="s">
        <v>22305</v>
      </c>
      <c r="L17088" s="22" t="s">
        <v>10</v>
      </c>
      <c r="M17088" s="25">
        <v>2487500</v>
      </c>
      <c r="N17088" s="27">
        <v>5.0000000000000001E-3</v>
      </c>
    </row>
    <row r="17089" spans="1:14" x14ac:dyDescent="0.2">
      <c r="A17089" s="23" t="str">
        <f>HYPERLINK("https://www.spark-marketing.ru/Card/Person/18714", "МАОУ СШ № 152")</f>
        <v>МАОУ СШ № 152</v>
      </c>
      <c r="B17089" s="24" t="s">
        <v>18766</v>
      </c>
      <c r="C17089" s="25">
        <v>387392.72</v>
      </c>
      <c r="D17089" s="22" t="s">
        <v>22306</v>
      </c>
      <c r="E17089" s="22" t="s">
        <v>362</v>
      </c>
      <c r="F17089" s="23" t="str">
        <f>HYPERLINK("https://www.spark-marketing.ru/Card/Lot/71280917", "Оказание услуг по организации горячего питания обучающихся в МАОУ СШ № 152")</f>
        <v>Оказание услуг по организации горячего питания обучающихся в МАОУ СШ № 152</v>
      </c>
      <c r="G17089" s="22" t="s">
        <v>281</v>
      </c>
      <c r="H17089" s="22" t="s">
        <v>281</v>
      </c>
      <c r="I17089" s="26">
        <v>43627.662164351903</v>
      </c>
      <c r="J17089" s="28" t="s">
        <v>51</v>
      </c>
      <c r="K17089" s="28" t="s">
        <v>51</v>
      </c>
      <c r="L17089" s="22" t="s">
        <v>10</v>
      </c>
      <c r="M17089" s="25">
        <v>387392.72</v>
      </c>
      <c r="N17089" s="27">
        <v>0</v>
      </c>
    </row>
    <row r="17090" spans="1:14" x14ac:dyDescent="0.15">
      <c r="A17090" s="23" t="str">
        <f t="shared" ref="A17090:A17095" si="583">HYPERLINK("https://www.spark-marketing.ru/Card/Person/8775", "ФБЛПУ ""САНАТОРИЙ ""ЭЛЛАДА"" ФНС РОССИИ""")</f>
        <v>ФБЛПУ "САНАТОРИЙ "ЭЛЛАДА" ФНС РОССИИ"</v>
      </c>
      <c r="B17090" s="24" t="s">
        <v>22307</v>
      </c>
      <c r="C17090" s="25">
        <v>114575.53</v>
      </c>
      <c r="D17090" s="22" t="s">
        <v>22308</v>
      </c>
      <c r="E17090" s="22" t="s">
        <v>62</v>
      </c>
      <c r="F17090" s="23" t="str">
        <f t="shared" ref="F17090:F17095" si="584">HYPERLINK("https://www.spark-marketing.ru/Card/Lot/71296472", "Поставка бланочной продукции")</f>
        <v>Поставка бланочной продукции</v>
      </c>
      <c r="G17090" s="22" t="s">
        <v>104</v>
      </c>
      <c r="H17090" s="22" t="s">
        <v>104</v>
      </c>
      <c r="I17090" s="26">
        <v>43627.590277777803</v>
      </c>
      <c r="J17090" s="28" t="s">
        <v>51</v>
      </c>
      <c r="K17090" s="28" t="s">
        <v>51</v>
      </c>
      <c r="L17090" s="28" t="s">
        <v>51</v>
      </c>
      <c r="M17090" s="28" t="s">
        <v>51</v>
      </c>
      <c r="N17090" s="28" t="s">
        <v>51</v>
      </c>
    </row>
    <row r="17091" spans="1:14" hidden="1" outlineLevel="1" x14ac:dyDescent="0.2">
      <c r="A17091" s="23" t="str">
        <f t="shared" si="583"/>
        <v>ФБЛПУ "САНАТОРИЙ "ЭЛЛАДА" ФНС РОССИИ"</v>
      </c>
      <c r="B17091" s="24" t="s">
        <v>22307</v>
      </c>
      <c r="C17091" s="25">
        <v>114575.53</v>
      </c>
      <c r="D17091" s="22" t="s">
        <v>22308</v>
      </c>
      <c r="E17091" s="22" t="s">
        <v>62</v>
      </c>
      <c r="F17091" s="23" t="str">
        <f t="shared" si="584"/>
        <v>Поставка бланочной продукции</v>
      </c>
      <c r="G17091" s="22" t="s">
        <v>104</v>
      </c>
      <c r="H17091" s="22" t="s">
        <v>104</v>
      </c>
      <c r="I17091" s="26">
        <v>43627.590277777803</v>
      </c>
      <c r="J17091" s="23" t="str">
        <f>HYPERLINK("https://www.spark-marketing.ru/Card/Person/4862704", "ООО ""ВЕНКО-ПРИНТ""")</f>
        <v>ООО "ВЕНКО-ПРИНТ"</v>
      </c>
      <c r="K17091" s="24" t="s">
        <v>22309</v>
      </c>
      <c r="L17091" s="28" t="s">
        <v>51</v>
      </c>
      <c r="M17091" s="25">
        <v>70000</v>
      </c>
      <c r="N17091" s="27">
        <v>0.389049302237572</v>
      </c>
    </row>
    <row r="17092" spans="1:14" hidden="1" outlineLevel="1" x14ac:dyDescent="0.2">
      <c r="A17092" s="23" t="str">
        <f t="shared" si="583"/>
        <v>ФБЛПУ "САНАТОРИЙ "ЭЛЛАДА" ФНС РОССИИ"</v>
      </c>
      <c r="B17092" s="24" t="s">
        <v>22307</v>
      </c>
      <c r="C17092" s="25">
        <v>114575.53</v>
      </c>
      <c r="D17092" s="22" t="s">
        <v>22308</v>
      </c>
      <c r="E17092" s="22" t="s">
        <v>62</v>
      </c>
      <c r="F17092" s="23" t="str">
        <f t="shared" si="584"/>
        <v>Поставка бланочной продукции</v>
      </c>
      <c r="G17092" s="22" t="s">
        <v>104</v>
      </c>
      <c r="H17092" s="22" t="s">
        <v>104</v>
      </c>
      <c r="I17092" s="26">
        <v>43627.590277777803</v>
      </c>
      <c r="J17092" s="23" t="str">
        <f>HYPERLINK("https://www.spark-marketing.ru/Card/Person/183917", "ООО ""КАНЦТОВАРЫ""")</f>
        <v>ООО "КАНЦТОВАРЫ"</v>
      </c>
      <c r="K17092" s="24" t="s">
        <v>6208</v>
      </c>
      <c r="L17092" s="28" t="s">
        <v>51</v>
      </c>
      <c r="M17092" s="25">
        <v>88000</v>
      </c>
      <c r="N17092" s="27">
        <v>0.23194769424151912</v>
      </c>
    </row>
    <row r="17093" spans="1:14" hidden="1" outlineLevel="1" x14ac:dyDescent="0.2">
      <c r="A17093" s="23" t="str">
        <f t="shared" si="583"/>
        <v>ФБЛПУ "САНАТОРИЙ "ЭЛЛАДА" ФНС РОССИИ"</v>
      </c>
      <c r="B17093" s="24" t="s">
        <v>22307</v>
      </c>
      <c r="C17093" s="25">
        <v>114575.53</v>
      </c>
      <c r="D17093" s="22" t="s">
        <v>22308</v>
      </c>
      <c r="E17093" s="22" t="s">
        <v>62</v>
      </c>
      <c r="F17093" s="23" t="str">
        <f t="shared" si="584"/>
        <v>Поставка бланочной продукции</v>
      </c>
      <c r="G17093" s="22" t="s">
        <v>104</v>
      </c>
      <c r="H17093" s="22" t="s">
        <v>104</v>
      </c>
      <c r="I17093" s="26">
        <v>43627.590277777803</v>
      </c>
      <c r="J17093" s="23" t="str">
        <f>HYPERLINK("https://www.spark-marketing.ru/Card/Person/497064", "ООО ИПК ""АВАНТА-ПРИНТ""")</f>
        <v>ООО ИПК "АВАНТА-ПРИНТ"</v>
      </c>
      <c r="K17093" s="24" t="s">
        <v>6192</v>
      </c>
      <c r="L17093" s="28" t="s">
        <v>51</v>
      </c>
      <c r="M17093" s="25">
        <v>80094.95</v>
      </c>
      <c r="N17093" s="27">
        <v>0.30094192014647458</v>
      </c>
    </row>
    <row r="17094" spans="1:14" ht="12.75" hidden="1" outlineLevel="1" x14ac:dyDescent="0.2">
      <c r="A17094" s="23" t="str">
        <f t="shared" si="583"/>
        <v>ФБЛПУ "САНАТОРИЙ "ЭЛЛАДА" ФНС РОССИИ"</v>
      </c>
      <c r="B17094" s="24" t="s">
        <v>22307</v>
      </c>
      <c r="C17094" s="25">
        <v>114575.53</v>
      </c>
      <c r="D17094" s="22" t="s">
        <v>22308</v>
      </c>
      <c r="E17094" s="22" t="s">
        <v>62</v>
      </c>
      <c r="F17094" s="23" t="str">
        <f t="shared" si="584"/>
        <v>Поставка бланочной продукции</v>
      </c>
      <c r="G17094" s="22" t="s">
        <v>104</v>
      </c>
      <c r="H17094" s="22" t="s">
        <v>104</v>
      </c>
      <c r="I17094" s="26">
        <v>43627.590277777803</v>
      </c>
      <c r="J17094" s="23" t="str">
        <f>HYPERLINK("https://www.spark-marketing.ru/Card/Person/17889", "Будник Михаил Кириллович")</f>
        <v>Будник Михаил Кириллович</v>
      </c>
      <c r="K17094" s="24" t="s">
        <v>18625</v>
      </c>
      <c r="L17094" s="22" t="s">
        <v>10</v>
      </c>
      <c r="M17094" s="25">
        <v>55461.11</v>
      </c>
      <c r="N17094" s="27">
        <v>0.51594280209744614</v>
      </c>
    </row>
    <row r="17095" spans="1:14" hidden="1" outlineLevel="1" x14ac:dyDescent="0.2">
      <c r="A17095" s="23" t="str">
        <f t="shared" si="583"/>
        <v>ФБЛПУ "САНАТОРИЙ "ЭЛЛАДА" ФНС РОССИИ"</v>
      </c>
      <c r="B17095" s="24" t="s">
        <v>22307</v>
      </c>
      <c r="C17095" s="25">
        <v>114575.53</v>
      </c>
      <c r="D17095" s="22" t="s">
        <v>22308</v>
      </c>
      <c r="E17095" s="22" t="s">
        <v>62</v>
      </c>
      <c r="F17095" s="23" t="str">
        <f t="shared" si="584"/>
        <v>Поставка бланочной продукции</v>
      </c>
      <c r="G17095" s="22" t="s">
        <v>104</v>
      </c>
      <c r="H17095" s="22" t="s">
        <v>104</v>
      </c>
      <c r="I17095" s="26">
        <v>43627.590277777803</v>
      </c>
      <c r="J17095" s="23" t="str">
        <f>HYPERLINK("https://www.spark-marketing.ru/Card/Person/239703", "ООО "" ИНФОРМ-СВЯЗЬ """)</f>
        <v>ООО " ИНФОРМ-СВЯЗЬ "</v>
      </c>
      <c r="K17095" s="24" t="s">
        <v>22310</v>
      </c>
      <c r="L17095" s="28" t="s">
        <v>51</v>
      </c>
      <c r="M17095" s="25">
        <v>56033.99</v>
      </c>
      <c r="N17095" s="27">
        <v>0.51094278158695838</v>
      </c>
    </row>
    <row r="17096" spans="1:14" x14ac:dyDescent="0.2">
      <c r="A17096" s="23" t="str">
        <f>HYPERLINK("https://www.spark-marketing.ru/Card/Person/1778793", "МАУ ДО ДЮЦ ""ПЛАМЯ"" ГОРОДА ТЮМЕНИ")</f>
        <v>МАУ ДО ДЮЦ "ПЛАМЯ" ГОРОДА ТЮМЕНИ</v>
      </c>
      <c r="B17096" s="24" t="s">
        <v>22311</v>
      </c>
      <c r="C17096" s="25">
        <v>537300</v>
      </c>
      <c r="D17096" s="22" t="s">
        <v>22312</v>
      </c>
      <c r="E17096" s="22" t="s">
        <v>362</v>
      </c>
      <c r="F17096" s="23" t="str">
        <f>HYPERLINK("https://www.spark-marketing.ru/Card/Lot/71279284", "Оказание услуг по обеспечению питанием детей летнего оздоровительного лагеря с дневным пребыванием")</f>
        <v>Оказание услуг по обеспечению питанием детей летнего оздоровительного лагеря с дневным пребыванием</v>
      </c>
      <c r="G17096" s="22" t="s">
        <v>766</v>
      </c>
      <c r="H17096" s="22" t="s">
        <v>766</v>
      </c>
      <c r="I17096" s="26">
        <v>43627.586886574099</v>
      </c>
      <c r="J17096" s="28" t="s">
        <v>51</v>
      </c>
      <c r="K17096" s="28" t="s">
        <v>51</v>
      </c>
      <c r="L17096" s="28" t="s">
        <v>51</v>
      </c>
      <c r="M17096" s="25">
        <v>537300</v>
      </c>
      <c r="N17096" s="27">
        <v>0</v>
      </c>
    </row>
    <row r="17097" spans="1:14" x14ac:dyDescent="0.15">
      <c r="A17097" s="23" t="str">
        <f>HYPERLINK("https://www.spark-marketing.ru/Card/Person/13490", "ОМВД РОССИИ ПО ЛОДЕЙНОПОЛЬСКОМУ РАЙОНУ ЛО")</f>
        <v>ОМВД РОССИИ ПО ЛОДЕЙНОПОЛЬСКОМУ РАЙОНУ ЛО</v>
      </c>
      <c r="B17097" s="24" t="s">
        <v>19181</v>
      </c>
      <c r="C17097" s="25">
        <v>167505.79999999999</v>
      </c>
      <c r="D17097" s="22" t="s">
        <v>22313</v>
      </c>
      <c r="E17097" s="22" t="s">
        <v>96</v>
      </c>
      <c r="F17097" s="23" t="str">
        <f>HYPERLINK("https://www.spark-marketing.ru/Card/Lot/71298464", "Питание арестованных")</f>
        <v>Питание арестованных</v>
      </c>
      <c r="G17097" s="22" t="s">
        <v>162</v>
      </c>
      <c r="H17097" s="22" t="s">
        <v>8636</v>
      </c>
      <c r="I17097" s="26">
        <v>43627.618750000001</v>
      </c>
      <c r="J17097" s="28" t="s">
        <v>51</v>
      </c>
      <c r="K17097" s="28" t="s">
        <v>51</v>
      </c>
      <c r="L17097" s="28" t="s">
        <v>51</v>
      </c>
      <c r="M17097" s="28" t="s">
        <v>51</v>
      </c>
      <c r="N17097" s="28" t="s">
        <v>51</v>
      </c>
    </row>
    <row r="17098" spans="1:14" x14ac:dyDescent="0.15">
      <c r="A17098" s="23" t="str">
        <f>HYPERLINK("https://www.spark-marketing.ru/Card/Person/4343623", "ФГБОУ ВО ОМСКИЙ ГАУ")</f>
        <v>ФГБОУ ВО ОМСКИЙ ГАУ</v>
      </c>
      <c r="B17098" s="24" t="s">
        <v>22314</v>
      </c>
      <c r="C17098" s="25">
        <v>1148385.72</v>
      </c>
      <c r="D17098" s="22" t="s">
        <v>22315</v>
      </c>
      <c r="E17098" s="22" t="s">
        <v>15268</v>
      </c>
      <c r="F17098" s="23" t="str">
        <f>HYPERLINK("https://www.spark-marketing.ru/Card/Lot/71284941", "Оказание услуг по подписке на периодические издания для ФГБОУ ВО Омский ГАУ на 2-е полугодие 2019 для нужд ФГБОУ ВО  Омский ГАУ")</f>
        <v>Оказание услуг по подписке на периодические издания для ФГБОУ ВО Омский ГАУ на 2-е полугодие 2019 для нужд ФГБОУ ВО  Омский ГАУ</v>
      </c>
      <c r="G17098" s="22" t="s">
        <v>487</v>
      </c>
      <c r="H17098" s="22" t="s">
        <v>488</v>
      </c>
      <c r="I17098" s="26">
        <v>43627.595138888901</v>
      </c>
      <c r="J17098" s="23" t="str">
        <f>HYPERLINK("https://www.spark-marketing.ru/Card/Person/14483", "ООО ""УП ВОСТОК""")</f>
        <v>ООО "УП ВОСТОК"</v>
      </c>
      <c r="K17098" s="24" t="s">
        <v>22316</v>
      </c>
      <c r="L17098" s="22" t="s">
        <v>10</v>
      </c>
      <c r="M17098" s="28" t="s">
        <v>51</v>
      </c>
      <c r="N17098" s="28" t="s">
        <v>51</v>
      </c>
    </row>
    <row r="17099" spans="1:14" x14ac:dyDescent="0.15">
      <c r="A17099" s="23" t="str">
        <f>HYPERLINK("https://www.spark-marketing.ru/Card/Person/29748", "ГБУК ""САХОУНБ""")</f>
        <v>ГБУК "САХОУНБ"</v>
      </c>
      <c r="B17099" s="24" t="s">
        <v>22317</v>
      </c>
      <c r="C17099" s="25">
        <v>1997255.06</v>
      </c>
      <c r="D17099" s="22" t="s">
        <v>22318</v>
      </c>
      <c r="E17099" s="22" t="s">
        <v>1014</v>
      </c>
      <c r="F17099" s="23" t="str">
        <f>HYPERLINK("https://www.spark-marketing.ru/Card/Lot/71269161", "Услуги по подписке периодических печатных изданий на 2 полугодие 2019 года")</f>
        <v>Услуги по подписке периодических печатных изданий на 2 полугодие 2019 года</v>
      </c>
      <c r="G17099" s="22" t="s">
        <v>260</v>
      </c>
      <c r="H17099" s="22" t="s">
        <v>804</v>
      </c>
      <c r="I17099" s="26">
        <v>43627.595138888901</v>
      </c>
      <c r="J17099" s="28" t="s">
        <v>51</v>
      </c>
      <c r="K17099" s="28" t="s">
        <v>51</v>
      </c>
      <c r="L17099" s="28" t="s">
        <v>51</v>
      </c>
      <c r="M17099" s="28" t="s">
        <v>51</v>
      </c>
      <c r="N17099" s="28" t="s">
        <v>51</v>
      </c>
    </row>
    <row r="17100" spans="1:14" ht="12.75" hidden="1" outlineLevel="1" x14ac:dyDescent="0.2">
      <c r="A17100" s="23" t="str">
        <f>HYPERLINK("https://www.spark-marketing.ru/Card/Person/29748", "ГБУК ""САХОУНБ""")</f>
        <v>ГБУК "САХОУНБ"</v>
      </c>
      <c r="B17100" s="24" t="s">
        <v>22317</v>
      </c>
      <c r="C17100" s="25">
        <v>1997255.06</v>
      </c>
      <c r="D17100" s="22" t="s">
        <v>22318</v>
      </c>
      <c r="E17100" s="22" t="s">
        <v>1014</v>
      </c>
      <c r="F17100" s="23" t="str">
        <f>HYPERLINK("https://www.spark-marketing.ru/Card/Lot/71269161", "Услуги по подписке периодических печатных изданий на 2 полугодие 2019 года")</f>
        <v>Услуги по подписке периодических печатных изданий на 2 полугодие 2019 года</v>
      </c>
      <c r="G17100" s="22" t="s">
        <v>260</v>
      </c>
      <c r="H17100" s="22" t="s">
        <v>804</v>
      </c>
      <c r="I17100" s="26">
        <v>43627.595138888901</v>
      </c>
      <c r="J17100" s="23" t="str">
        <f>HYPERLINK("https://www.spark-marketing.ru/Card/Person/14483", "ООО ""УП ВОСТОК""")</f>
        <v>ООО "УП ВОСТОК"</v>
      </c>
      <c r="K17100" s="24" t="s">
        <v>22316</v>
      </c>
      <c r="L17100" s="22" t="s">
        <v>10</v>
      </c>
      <c r="M17100" s="25">
        <v>1977282.5</v>
      </c>
      <c r="N17100" s="27">
        <v>1.0000004706459474E-2</v>
      </c>
    </row>
    <row r="17101" spans="1:14" hidden="1" outlineLevel="1" x14ac:dyDescent="0.2">
      <c r="A17101" s="23" t="str">
        <f>HYPERLINK("https://www.spark-marketing.ru/Card/Person/29748", "ГБУК ""САХОУНБ""")</f>
        <v>ГБУК "САХОУНБ"</v>
      </c>
      <c r="B17101" s="24" t="s">
        <v>22317</v>
      </c>
      <c r="C17101" s="25">
        <v>1997255.06</v>
      </c>
      <c r="D17101" s="22" t="s">
        <v>22318</v>
      </c>
      <c r="E17101" s="22" t="s">
        <v>1014</v>
      </c>
      <c r="F17101" s="23" t="str">
        <f>HYPERLINK("https://www.spark-marketing.ru/Card/Lot/71269161", "Услуги по подписке периодических печатных изданий на 2 полугодие 2019 года")</f>
        <v>Услуги по подписке периодических печатных изданий на 2 полугодие 2019 года</v>
      </c>
      <c r="G17101" s="22" t="s">
        <v>260</v>
      </c>
      <c r="H17101" s="22" t="s">
        <v>804</v>
      </c>
      <c r="I17101" s="26">
        <v>43627.595138888901</v>
      </c>
      <c r="J17101" s="23" t="str">
        <f>HYPERLINK("https://www.spark-marketing.ru/Card/Person/168486", "ООО ""УРАЛ-ПРЕСС ДАЛЬНИЙ ВОСТОК""")</f>
        <v>ООО "УРАЛ-ПРЕСС ДАЛЬНИЙ ВОСТОК"</v>
      </c>
      <c r="K17101" s="24" t="s">
        <v>22319</v>
      </c>
      <c r="L17101" s="28" t="s">
        <v>51</v>
      </c>
      <c r="M17101" s="25">
        <v>1987268.78</v>
      </c>
      <c r="N17101" s="27">
        <v>5.000002353229737E-3</v>
      </c>
    </row>
    <row r="17102" spans="1:14" x14ac:dyDescent="0.15">
      <c r="A17102" s="23" t="str">
        <f>HYPERLINK("https://www.spark-marketing.ru/Card/Person/1764231", "Ингушский ПСО МЧС России (филиал ФГКУ ""СКРПСО МЧС Росии"")")</f>
        <v>Ингушский ПСО МЧС России (филиал ФГКУ "СКРПСО МЧС Росии")</v>
      </c>
      <c r="B17102" s="24" t="s">
        <v>8900</v>
      </c>
      <c r="C17102" s="25">
        <v>268800</v>
      </c>
      <c r="D17102" s="22" t="s">
        <v>22320</v>
      </c>
      <c r="E17102" s="22" t="s">
        <v>48</v>
      </c>
      <c r="F17102" s="23" t="str">
        <f>HYPERLINK("https://www.spark-marketing.ru/Card/Lot/71298491", "услуги по обеспечению горячим питанием дежурных смен Ингушского ПСО МЧС России")</f>
        <v>услуги по обеспечению горячим питанием дежурных смен Ингушского ПСО МЧС России</v>
      </c>
      <c r="G17102" s="22" t="s">
        <v>87</v>
      </c>
      <c r="H17102" s="22" t="s">
        <v>8902</v>
      </c>
      <c r="I17102" s="26">
        <v>43627.601388888899</v>
      </c>
      <c r="J17102" s="23" t="str">
        <f>HYPERLINK("https://www.spark-marketing.ru/Card/Person/1128514", "Мержоева Малика Исмаиловна")</f>
        <v>Мержоева Малика Исмаиловна</v>
      </c>
      <c r="K17102" s="24" t="s">
        <v>22321</v>
      </c>
      <c r="L17102" s="22" t="s">
        <v>10</v>
      </c>
      <c r="M17102" s="28" t="s">
        <v>51</v>
      </c>
      <c r="N17102" s="28" t="s">
        <v>51</v>
      </c>
    </row>
    <row r="17103" spans="1:14" x14ac:dyDescent="0.15">
      <c r="A17103" s="23" t="str">
        <f>HYPERLINK("https://www.spark-marketing.ru/Card/Person/3257", "АДМИНИСТРАЦИЯ ГОРОДА ЮЖНО-САХАЛИНСКА")</f>
        <v>АДМИНИСТРАЦИЯ ГОРОДА ЮЖНО-САХАЛИНСКА</v>
      </c>
      <c r="B17103" s="24" t="s">
        <v>22322</v>
      </c>
      <c r="C17103" s="25">
        <v>135000</v>
      </c>
      <c r="D17103" s="22" t="s">
        <v>22323</v>
      </c>
      <c r="E17103" s="22" t="s">
        <v>67</v>
      </c>
      <c r="F17103" s="23" t="str">
        <f>HYPERLINK("https://www.spark-marketing.ru/Card/Lot/71268703", "Оказание услуг по поставке продукции общественного питания и обслуживанию мероприятия «День семьи, любви и верности» подпрограммы №2 «Социальная поддержка граждан - «Забота» на 2015-2021 годы муниципальной программы «Социальная поддержка граждан насе...")</f>
        <v>Оказание услуг по поставке продукции общественного питания и обслуживанию мероприятия «День семьи, любви и верности» подпрограммы №2 «Социальная поддержка граждан - «Забота» на 2015-2021 годы муниципальной программы «Социальная поддержка граждан насе...</v>
      </c>
      <c r="G17103" s="22" t="s">
        <v>260</v>
      </c>
      <c r="H17103" s="22" t="s">
        <v>804</v>
      </c>
      <c r="I17103" s="26">
        <v>43627.586805555598</v>
      </c>
      <c r="J17103" s="28" t="s">
        <v>51</v>
      </c>
      <c r="K17103" s="28" t="s">
        <v>51</v>
      </c>
      <c r="L17103" s="28" t="s">
        <v>51</v>
      </c>
      <c r="M17103" s="28" t="s">
        <v>51</v>
      </c>
      <c r="N17103" s="28" t="s">
        <v>51</v>
      </c>
    </row>
    <row r="17104" spans="1:14" ht="12.75" hidden="1" outlineLevel="1" x14ac:dyDescent="0.2">
      <c r="A17104" s="23" t="str">
        <f>HYPERLINK("https://www.spark-marketing.ru/Card/Person/3257", "АДМИНИСТРАЦИЯ ГОРОДА ЮЖНО-САХАЛИНСКА")</f>
        <v>АДМИНИСТРАЦИЯ ГОРОДА ЮЖНО-САХАЛИНСКА</v>
      </c>
      <c r="B17104" s="24" t="s">
        <v>22322</v>
      </c>
      <c r="C17104" s="25">
        <v>135000</v>
      </c>
      <c r="D17104" s="22" t="s">
        <v>22323</v>
      </c>
      <c r="E17104" s="22" t="s">
        <v>67</v>
      </c>
      <c r="F17104" s="23" t="str">
        <f>HYPERLINK("https://www.spark-marketing.ru/Card/Lot/71268703", "Оказание услуг по поставке продукции общественного питания и обслуживанию мероприятия «День семьи, любви и верности» подпрограммы №2 «Социальная поддержка граждан - «Забота» на 2015-2021 годы муниципальной программы «Социальная поддержка граждан насе...")</f>
        <v>Оказание услуг по поставке продукции общественного питания и обслуживанию мероприятия «День семьи, любви и верности» подпрограммы №2 «Социальная поддержка граждан - «Забота» на 2015-2021 годы муниципальной программы «Социальная поддержка граждан насе...</v>
      </c>
      <c r="G17104" s="22" t="s">
        <v>260</v>
      </c>
      <c r="H17104" s="22" t="s">
        <v>804</v>
      </c>
      <c r="I17104" s="26">
        <v>43627.586805555598</v>
      </c>
      <c r="J17104" s="23" t="str">
        <f>HYPERLINK("https://www.spark-marketing.ru/Card/Person/6619588", "Ким Алексей")</f>
        <v>Ким Алексей</v>
      </c>
      <c r="K17104" s="24" t="s">
        <v>22324</v>
      </c>
      <c r="L17104" s="22" t="s">
        <v>10</v>
      </c>
      <c r="M17104" s="25">
        <v>134175</v>
      </c>
      <c r="N17104" s="27">
        <v>6.1111111111111114E-3</v>
      </c>
    </row>
    <row r="17105" spans="1:14" hidden="1" outlineLevel="1" x14ac:dyDescent="0.2">
      <c r="A17105" s="23" t="str">
        <f>HYPERLINK("https://www.spark-marketing.ru/Card/Person/3257", "АДМИНИСТРАЦИЯ ГОРОДА ЮЖНО-САХАЛИНСКА")</f>
        <v>АДМИНИСТРАЦИЯ ГОРОДА ЮЖНО-САХАЛИНСКА</v>
      </c>
      <c r="B17105" s="24" t="s">
        <v>22322</v>
      </c>
      <c r="C17105" s="25">
        <v>135000</v>
      </c>
      <c r="D17105" s="22" t="s">
        <v>22323</v>
      </c>
      <c r="E17105" s="22" t="s">
        <v>67</v>
      </c>
      <c r="F17105" s="23" t="str">
        <f>HYPERLINK("https://www.spark-marketing.ru/Card/Lot/71268703", "Оказание услуг по поставке продукции общественного питания и обслуживанию мероприятия «День семьи, любви и верности» подпрограммы №2 «Социальная поддержка граждан - «Забота» на 2015-2021 годы муниципальной программы «Социальная поддержка граждан насе...")</f>
        <v>Оказание услуг по поставке продукции общественного питания и обслуживанию мероприятия «День семьи, любви и верности» подпрограммы №2 «Социальная поддержка граждан - «Забота» на 2015-2021 годы муниципальной программы «Социальная поддержка граждан насе...</v>
      </c>
      <c r="G17105" s="22" t="s">
        <v>260</v>
      </c>
      <c r="H17105" s="22" t="s">
        <v>804</v>
      </c>
      <c r="I17105" s="26">
        <v>43627.586805555598</v>
      </c>
      <c r="J17105" s="23" t="str">
        <f>HYPERLINK("https://www.spark-marketing.ru/Card/Person/797550", "Герасимов Виктор Юрьевич")</f>
        <v>Герасимов Виктор Юрьевич</v>
      </c>
      <c r="K17105" s="24" t="s">
        <v>3539</v>
      </c>
      <c r="L17105" s="28" t="s">
        <v>51</v>
      </c>
      <c r="M17105" s="25">
        <v>134200</v>
      </c>
      <c r="N17105" s="27">
        <v>5.9259259259259256E-3</v>
      </c>
    </row>
    <row r="17106" spans="1:14" x14ac:dyDescent="0.15">
      <c r="A17106" s="23" t="str">
        <f>HYPERLINK("https://www.spark-marketing.ru/Card/Person/146822", "МБУ -ДОЛ ""ЧАЙКА""")</f>
        <v>МБУ -ДОЛ "ЧАЙКА"</v>
      </c>
      <c r="B17106" s="24" t="s">
        <v>22325</v>
      </c>
      <c r="C17106" s="25">
        <v>589009.75</v>
      </c>
      <c r="D17106" s="22" t="s">
        <v>22326</v>
      </c>
      <c r="E17106" s="22" t="s">
        <v>362</v>
      </c>
      <c r="F17106" s="23" t="str">
        <f>HYPERLINK("https://www.spark-marketing.ru/Card/Lot/71280832", "Оказание услуги питания для нужд МБУ-ДОЛ «Чайка»")</f>
        <v>Оказание услуги питания для нужд МБУ-ДОЛ «Чайка»</v>
      </c>
      <c r="G17106" s="22" t="s">
        <v>174</v>
      </c>
      <c r="H17106" s="22" t="s">
        <v>174</v>
      </c>
      <c r="I17106" s="26">
        <v>43627.596655092602</v>
      </c>
      <c r="J17106" s="28" t="s">
        <v>51</v>
      </c>
      <c r="K17106" s="28" t="s">
        <v>51</v>
      </c>
      <c r="L17106" s="28" t="s">
        <v>51</v>
      </c>
      <c r="M17106" s="28" t="s">
        <v>51</v>
      </c>
      <c r="N17106" s="28" t="s">
        <v>51</v>
      </c>
    </row>
    <row r="17107" spans="1:14" x14ac:dyDescent="0.15">
      <c r="A17107" s="23" t="str">
        <f>HYPERLINK("https://www.spark-marketing.ru/Card/Person/69145", "ГБУ РО ""САСОВСКИЙ ММЦ""")</f>
        <v>ГБУ РО "САСОВСКИЙ ММЦ"</v>
      </c>
      <c r="B17107" s="24" t="s">
        <v>15516</v>
      </c>
      <c r="C17107" s="25">
        <v>5239840</v>
      </c>
      <c r="D17107" s="22" t="s">
        <v>22327</v>
      </c>
      <c r="E17107" s="22" t="s">
        <v>48</v>
      </c>
      <c r="F17107" s="23" t="str">
        <f>HYPERLINK("https://www.spark-marketing.ru/Card/Lot/71293813", "Оказание услуг по приготовлению и поставке лечебно-диетического питания пациентам, находящимся на круглосуточном стационарном лечении в Государственном бюджетном учреждении Рязанской области «Сасовский межрайонный медицинский центр»")</f>
        <v>Оказание услуг по приготовлению и поставке лечебно-диетического питания пациентам, находящимся на круглосуточном стационарном лечении в Государственном бюджетном учреждении Рязанской области «Сасовский межрайонный медицинский центр»</v>
      </c>
      <c r="G17107" s="22" t="s">
        <v>1522</v>
      </c>
      <c r="H17107" s="22" t="s">
        <v>10716</v>
      </c>
      <c r="I17107" s="26">
        <v>43627.591666666704</v>
      </c>
      <c r="J17107" s="28" t="s">
        <v>51</v>
      </c>
      <c r="K17107" s="28" t="s">
        <v>51</v>
      </c>
      <c r="L17107" s="28" t="s">
        <v>51</v>
      </c>
      <c r="M17107" s="28" t="s">
        <v>51</v>
      </c>
      <c r="N17107" s="28" t="s">
        <v>51</v>
      </c>
    </row>
    <row r="17108" spans="1:14" x14ac:dyDescent="0.2">
      <c r="A17108" s="23" t="str">
        <f>HYPERLINK("https://www.spark-marketing.ru/Card/Person/10203", "ГОСУДАРСТВЕННЫЙ УНИВЕРСИТЕТ ""ДУБНА""")</f>
        <v>ГОСУДАРСТВЕННЫЙ УНИВЕРСИТЕТ "ДУБНА"</v>
      </c>
      <c r="B17108" s="24" t="s">
        <v>22328</v>
      </c>
      <c r="C17108" s="25">
        <v>76500</v>
      </c>
      <c r="D17108" s="22" t="s">
        <v>22329</v>
      </c>
      <c r="E17108" s="22" t="s">
        <v>362</v>
      </c>
      <c r="F17108" s="23" t="str">
        <f>HYPERLINK("https://www.spark-marketing.ru/Card/Lot/71287090", "Оказание услуг по организации питания учащихся Летней школы информационной безопасности (студентов 2 и 3 курсов Национального исследовательского университета «МЭИ» и университета «Дубна»)")</f>
        <v>Оказание услуг по организации питания учащихся Летней школы информационной безопасности (студентов 2 и 3 курсов Национального исследовательского университета «МЭИ» и университета «Дубна»)</v>
      </c>
      <c r="G17108" s="22" t="s">
        <v>49</v>
      </c>
      <c r="H17108" s="22" t="s">
        <v>16961</v>
      </c>
      <c r="I17108" s="26">
        <v>43627.622592592597</v>
      </c>
      <c r="J17108" s="28" t="s">
        <v>51</v>
      </c>
      <c r="K17108" s="28" t="s">
        <v>51</v>
      </c>
      <c r="L17108" s="28" t="s">
        <v>51</v>
      </c>
      <c r="M17108" s="25">
        <v>76500</v>
      </c>
      <c r="N17108" s="27">
        <v>0</v>
      </c>
    </row>
    <row r="17109" spans="1:14" x14ac:dyDescent="0.2">
      <c r="A17109" s="23" t="str">
        <f>HYPERLINK("https://www.spark-marketing.ru/Card/Person/4348382", "ООО ""ГАЗПРОМ ПИТАНИЕ""")</f>
        <v>ООО "ГАЗПРОМ ПИТАНИЕ"</v>
      </c>
      <c r="B17109" s="24" t="s">
        <v>2869</v>
      </c>
      <c r="C17109" s="25">
        <v>296074.55</v>
      </c>
      <c r="D17109" s="22" t="s">
        <v>22330</v>
      </c>
      <c r="E17109" s="22" t="s">
        <v>3561</v>
      </c>
      <c r="F17109" s="23" t="str">
        <f>HYPERLINK("https://www.spark-marketing.ru/Card/Lot/71286953", "Оказание услуг по проведению обязательных периодических медицинских осмотров работников для нужд филиала ""Волгоградское управление по организации общественного питания"" ООО ""Газпром питание""")</f>
        <v>Оказание услуг по проведению обязательных периодических медицинских осмотров работников для нужд филиала "Волгоградское управление по организации общественного питания" ООО "Газпром питание"</v>
      </c>
      <c r="G17109" s="22" t="s">
        <v>56</v>
      </c>
      <c r="H17109" s="22" t="s">
        <v>56</v>
      </c>
      <c r="I17109" s="26">
        <v>43627.6161111111</v>
      </c>
      <c r="J17109" s="28" t="s">
        <v>51</v>
      </c>
      <c r="K17109" s="28" t="s">
        <v>51</v>
      </c>
      <c r="L17109" s="22" t="s">
        <v>10</v>
      </c>
      <c r="M17109" s="25">
        <v>233455</v>
      </c>
      <c r="N17109" s="27">
        <v>0.21149926597878813</v>
      </c>
    </row>
    <row r="17110" spans="1:14" x14ac:dyDescent="0.15">
      <c r="A17110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7110" s="24" t="s">
        <v>16017</v>
      </c>
      <c r="C17110" s="25">
        <v>830284.42</v>
      </c>
      <c r="D17110" s="22" t="s">
        <v>22331</v>
      </c>
      <c r="E17110" s="22" t="s">
        <v>48</v>
      </c>
      <c r="F17110" s="23" t="str">
        <f>HYPERLINK("https://www.spark-marketing.ru/Card/Lot/71292007", "Оказание услуг по организации ежедневного горячего питания для лиц, содержащихся в СПАА УМВД России по Калининградской области")</f>
        <v>Оказание услуг по организации ежедневного горячего питания для лиц, содержащихся в СПАА УМВД России по Калининградской области</v>
      </c>
      <c r="G17110" s="22" t="s">
        <v>400</v>
      </c>
      <c r="H17110" s="22" t="s">
        <v>400</v>
      </c>
      <c r="I17110" s="26">
        <v>43627.618055555598</v>
      </c>
      <c r="J17110" s="28" t="s">
        <v>51</v>
      </c>
      <c r="K17110" s="28" t="s">
        <v>51</v>
      </c>
      <c r="L17110" s="28" t="s">
        <v>51</v>
      </c>
      <c r="M17110" s="28" t="s">
        <v>51</v>
      </c>
      <c r="N17110" s="28" t="s">
        <v>51</v>
      </c>
    </row>
    <row r="17111" spans="1:14" ht="12.75" hidden="1" outlineLevel="1" x14ac:dyDescent="0.2">
      <c r="A17111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7111" s="24" t="s">
        <v>16017</v>
      </c>
      <c r="C17111" s="25">
        <v>830284.42</v>
      </c>
      <c r="D17111" s="22" t="s">
        <v>22331</v>
      </c>
      <c r="E17111" s="22" t="s">
        <v>48</v>
      </c>
      <c r="F17111" s="23" t="str">
        <f>HYPERLINK("https://www.spark-marketing.ru/Card/Lot/71292007", "Оказание услуг по организации ежедневного горячего питания для лиц, содержащихся в СПАА УМВД России по Калининградской области")</f>
        <v>Оказание услуг по организации ежедневного горячего питания для лиц, содержащихся в СПАА УМВД России по Калининградской области</v>
      </c>
      <c r="G17111" s="22" t="s">
        <v>400</v>
      </c>
      <c r="H17111" s="22" t="s">
        <v>400</v>
      </c>
      <c r="I17111" s="26">
        <v>43627.618055555598</v>
      </c>
      <c r="J17111" s="23" t="str">
        <f>HYPERLINK("https://www.spark-marketing.ru/Card/Person/1296104", "ООО ""АППЕТИТ""")</f>
        <v>ООО "АППЕТИТ"</v>
      </c>
      <c r="K17111" s="24" t="s">
        <v>20039</v>
      </c>
      <c r="L17111" s="22" t="s">
        <v>10</v>
      </c>
      <c r="M17111" s="25">
        <v>830284.42</v>
      </c>
      <c r="N17111" s="27">
        <v>0</v>
      </c>
    </row>
    <row r="17112" spans="1:14" hidden="1" outlineLevel="1" x14ac:dyDescent="0.2">
      <c r="A17112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7112" s="24" t="s">
        <v>16017</v>
      </c>
      <c r="C17112" s="25">
        <v>830284.42</v>
      </c>
      <c r="D17112" s="22" t="s">
        <v>22331</v>
      </c>
      <c r="E17112" s="22" t="s">
        <v>48</v>
      </c>
      <c r="F17112" s="23" t="str">
        <f>HYPERLINK("https://www.spark-marketing.ru/Card/Lot/71292007", "Оказание услуг по организации ежедневного горячего питания для лиц, содержащихся в СПАА УМВД России по Калининградской области")</f>
        <v>Оказание услуг по организации ежедневного горячего питания для лиц, содержащихся в СПАА УМВД России по Калининградской области</v>
      </c>
      <c r="G17112" s="22" t="s">
        <v>400</v>
      </c>
      <c r="H17112" s="22" t="s">
        <v>400</v>
      </c>
      <c r="I17112" s="26">
        <v>43627.618055555598</v>
      </c>
      <c r="J17112" s="23" t="str">
        <f>HYPERLINK("https://www.spark-marketing.ru/Card/Person/579207", "ООО ""ВИЛКАЛОЖКА""")</f>
        <v>ООО "ВИЛКАЛОЖКА"</v>
      </c>
      <c r="K17112" s="24" t="s">
        <v>16175</v>
      </c>
      <c r="L17112" s="28" t="s">
        <v>51</v>
      </c>
      <c r="M17112" s="25">
        <v>830284.42</v>
      </c>
      <c r="N17112" s="27">
        <v>0</v>
      </c>
    </row>
    <row r="17113" spans="1:14" x14ac:dyDescent="0.15">
      <c r="A17113" s="23" t="s">
        <v>114</v>
      </c>
      <c r="B17113" s="28" t="s">
        <v>51</v>
      </c>
      <c r="C17113" s="25">
        <v>8514462</v>
      </c>
      <c r="D17113" s="22" t="s">
        <v>22332</v>
      </c>
      <c r="E17113" s="22" t="s">
        <v>48</v>
      </c>
      <c r="F17113" s="23" t="str">
        <f>HYPERLINK("https://www.spark-marketing.ru/Card/Lot/71294392", "Оказание услуг по организации школьного горячего питания льготной категории обучающихся на 2 полугодие 2019г.")</f>
        <v>Оказание услуг по организации школьного горячего питания льготной категории обучающихся на 2 полугодие 2019г.</v>
      </c>
      <c r="G17113" s="22" t="s">
        <v>51</v>
      </c>
      <c r="H17113" s="22" t="s">
        <v>51</v>
      </c>
      <c r="I17113" s="26">
        <v>43627.614583333299</v>
      </c>
      <c r="J17113" s="28" t="s">
        <v>51</v>
      </c>
      <c r="K17113" s="28" t="s">
        <v>51</v>
      </c>
      <c r="L17113" s="28" t="s">
        <v>51</v>
      </c>
      <c r="M17113" s="28" t="s">
        <v>51</v>
      </c>
      <c r="N17113" s="28" t="s">
        <v>51</v>
      </c>
    </row>
    <row r="17114" spans="1:14" hidden="1" outlineLevel="1" x14ac:dyDescent="0.15">
      <c r="A17114" s="23" t="str">
        <f>HYPERLINK("https://www.spark-marketing.ru/Card/Person/31264", "МБОУ ""ЛИЦЕЙ № 6 ""ПАРУС""")</f>
        <v>МБОУ "ЛИЦЕЙ № 6 "ПАРУС"</v>
      </c>
      <c r="B17114" s="24" t="s">
        <v>6930</v>
      </c>
      <c r="C17114" s="25">
        <v>2574768</v>
      </c>
      <c r="D17114" s="22" t="s">
        <v>22332</v>
      </c>
      <c r="E17114" s="22" t="s">
        <v>48</v>
      </c>
      <c r="F17114" s="23" t="str">
        <f>HYPERLINK("https://www.spark-marketing.ru/Card/Lot/71294392", "Оказание услуг по организации школьного горячего питания льготной категории обучающихся на 2 полугодие 2019г.")</f>
        <v>Оказание услуг по организации школьного горячего питания льготной категории обучающихся на 2 полугодие 2019г.</v>
      </c>
      <c r="G17114" s="22" t="s">
        <v>49</v>
      </c>
      <c r="H17114" s="22" t="s">
        <v>6883</v>
      </c>
      <c r="I17114" s="26">
        <v>43627.614583333299</v>
      </c>
      <c r="J17114" s="28" t="s">
        <v>51</v>
      </c>
      <c r="K17114" s="28" t="s">
        <v>51</v>
      </c>
      <c r="L17114" s="28" t="s">
        <v>51</v>
      </c>
      <c r="M17114" s="28" t="s">
        <v>51</v>
      </c>
      <c r="N17114" s="28" t="s">
        <v>51</v>
      </c>
    </row>
    <row r="17115" spans="1:14" hidden="1" outlineLevel="1" x14ac:dyDescent="0.15">
      <c r="A17115" s="23" t="str">
        <f>HYPERLINK("https://www.spark-marketing.ru/Card/Person/88409", "МБОУ ""ГИМНАЗИЯ № 5""")</f>
        <v>МБОУ "ГИМНАЗИЯ № 5"</v>
      </c>
      <c r="B17115" s="24" t="s">
        <v>7059</v>
      </c>
      <c r="C17115" s="25">
        <v>5939694</v>
      </c>
      <c r="D17115" s="22" t="s">
        <v>22332</v>
      </c>
      <c r="E17115" s="22" t="s">
        <v>48</v>
      </c>
      <c r="F17115" s="23" t="str">
        <f>HYPERLINK("https://www.spark-marketing.ru/Card/Lot/71294392", "Оказание услуг по организации школьного горячего питания льготной категории обучающихся на 2 полугодие 2019г.")</f>
        <v>Оказание услуг по организации школьного горячего питания льготной категории обучающихся на 2 полугодие 2019г.</v>
      </c>
      <c r="G17115" s="22" t="s">
        <v>49</v>
      </c>
      <c r="H17115" s="22" t="s">
        <v>6883</v>
      </c>
      <c r="I17115" s="26">
        <v>43627.614583333299</v>
      </c>
      <c r="J17115" s="28" t="s">
        <v>51</v>
      </c>
      <c r="K17115" s="28" t="s">
        <v>51</v>
      </c>
      <c r="L17115" s="28" t="s">
        <v>51</v>
      </c>
      <c r="M17115" s="28" t="s">
        <v>51</v>
      </c>
      <c r="N17115" s="28" t="s">
        <v>51</v>
      </c>
    </row>
    <row r="17116" spans="1:14" ht="12.75" x14ac:dyDescent="0.2">
      <c r="A17116" s="23" t="str">
        <f>HYPERLINK("https://www.spark-marketing.ru/Card/Person/81644", "ГБПОУ РБ ССМК")</f>
        <v>ГБПОУ РБ ССМК</v>
      </c>
      <c r="B17116" s="24" t="s">
        <v>22333</v>
      </c>
      <c r="C17116" s="25">
        <v>1487700</v>
      </c>
      <c r="D17116" s="22" t="s">
        <v>22334</v>
      </c>
      <c r="E17116" s="22" t="s">
        <v>48</v>
      </c>
      <c r="F17116" s="23" t="str">
        <f>HYPERLINK("https://www.spark-marketing.ru/Card/Lot/71285509", "Оказание услуг по организации питания учащихся, проживающих в интернате колледжа")</f>
        <v>Оказание услуг по организации питания учащихся, проживающих в интернате колледжа</v>
      </c>
      <c r="G17116" s="22" t="s">
        <v>145</v>
      </c>
      <c r="H17116" s="22" t="s">
        <v>145</v>
      </c>
      <c r="I17116" s="26">
        <v>43627.545138888898</v>
      </c>
      <c r="J17116" s="23" t="str">
        <f>HYPERLINK("https://www.spark-marketing.ru/Card/Person/278511", "ООО ""МОСТ ТРЕЙД""")</f>
        <v>ООО "МОСТ ТРЕЙД"</v>
      </c>
      <c r="K17116" s="24" t="s">
        <v>22335</v>
      </c>
      <c r="L17116" s="22" t="s">
        <v>10</v>
      </c>
      <c r="M17116" s="25">
        <v>1398960</v>
      </c>
      <c r="N17116" s="27">
        <v>5.9649122807017542E-2</v>
      </c>
    </row>
    <row r="17117" spans="1:14" x14ac:dyDescent="0.15">
      <c r="A17117" s="23" t="str">
        <f>HYPERLINK("https://www.spark-marketing.ru/Card/Person/30541", "ГБУЗ СО ""ТГКБ № 5""")</f>
        <v>ГБУЗ СО "ТГКБ № 5"</v>
      </c>
      <c r="B17117" s="24" t="s">
        <v>8775</v>
      </c>
      <c r="C17117" s="25">
        <v>24088428</v>
      </c>
      <c r="D17117" s="22" t="s">
        <v>22336</v>
      </c>
      <c r="E17117" s="22" t="s">
        <v>48</v>
      </c>
      <c r="F17117" s="23" t="str">
        <f>HYPERLINK("https://www.spark-marketing.ru/Card/Lot/71293786", "Оказание услуг по организации диетического лечебного питания для Государственного бюджетного учреждения здравоохранения Самарской области ""Тольяттинская городская клиническая больница № 5""")</f>
        <v>Оказание услуг по организации диетического лечебного питания для Государственного бюджетного учреждения здравоохранения Самарской области "Тольяттинская городская клиническая больница № 5"</v>
      </c>
      <c r="G17117" s="22" t="s">
        <v>128</v>
      </c>
      <c r="H17117" s="22" t="s">
        <v>2819</v>
      </c>
      <c r="I17117" s="26">
        <v>43627.581944444399</v>
      </c>
      <c r="J17117" s="23" t="str">
        <f>HYPERLINK("https://www.spark-marketing.ru/Card/Person/56750", "ООО ""ЛИНИЯ В""")</f>
        <v>ООО "ЛИНИЯ В"</v>
      </c>
      <c r="K17117" s="24" t="s">
        <v>8777</v>
      </c>
      <c r="L17117" s="22" t="s">
        <v>10</v>
      </c>
      <c r="M17117" s="28" t="s">
        <v>51</v>
      </c>
      <c r="N17117" s="28" t="s">
        <v>51</v>
      </c>
    </row>
    <row r="17118" spans="1:14" x14ac:dyDescent="0.15">
      <c r="A17118" s="23" t="str">
        <f>HYPERLINK("https://www.spark-marketing.ru/Card/Person/1760894", "ГУ-НОВОСИБИРСКОЕ РО ФОНДА СОЦИАЛЬНОГО СТРАХОВАНИЯ РОССИЙСКОЙ ФЕДЕРАЦИИ")</f>
        <v>ГУ-НОВОСИБИРСКОЕ РО ФОНДА СОЦИАЛЬНОГО СТРАХОВАНИЯ РОССИЙСКОЙ ФЕДЕРАЦИИ</v>
      </c>
      <c r="B17118" s="24" t="s">
        <v>22276</v>
      </c>
      <c r="C17118" s="25">
        <v>449172</v>
      </c>
      <c r="D17118" s="22" t="s">
        <v>22337</v>
      </c>
      <c r="E17118" s="22" t="s">
        <v>86</v>
      </c>
      <c r="F17118" s="23" t="str">
        <f>HYPERLINK("https://www.spark-marketing.ru/Card/Lot/71284683", "Оказание услуг по санаторно-курортному лечению граждан-получателей государственной социальной помощи в виде набора социальных услуг, в организациях, оказывающих санаторно-курортную помощь: ""Болезни эндокринной системы, расстройство питания и нарушен...")</f>
        <v>Оказание услуг по санаторно-курортному лечению граждан-получателей государственной социальной помощи в виде набора социальных услуг, в организациях, оказывающих санаторно-курортную помощь: "Болезни эндокринной системы, расстройство питания и нарушен...</v>
      </c>
      <c r="G17118" s="22" t="s">
        <v>87</v>
      </c>
      <c r="H17118" s="22" t="s">
        <v>87</v>
      </c>
      <c r="I17118" s="26">
        <v>43627.563194444403</v>
      </c>
      <c r="J17118" s="28" t="s">
        <v>51</v>
      </c>
      <c r="K17118" s="28" t="s">
        <v>51</v>
      </c>
      <c r="L17118" s="28" t="s">
        <v>51</v>
      </c>
      <c r="M17118" s="28" t="s">
        <v>51</v>
      </c>
      <c r="N17118" s="28" t="s">
        <v>51</v>
      </c>
    </row>
    <row r="17119" spans="1:14" ht="12.75" hidden="1" outlineLevel="1" x14ac:dyDescent="0.2">
      <c r="A17119" s="23" t="str">
        <f>HYPERLINK("https://www.spark-marketing.ru/Card/Person/1760894", "ГУ-НОВОСИБИРСКОЕ РО ФОНДА СОЦИАЛЬНОГО СТРАХОВАНИЯ РОССИЙСКОЙ ФЕДЕРАЦИИ")</f>
        <v>ГУ-НОВОСИБИРСКОЕ РО ФОНДА СОЦИАЛЬНОГО СТРАХОВАНИЯ РОССИЙСКОЙ ФЕДЕРАЦИИ</v>
      </c>
      <c r="B17119" s="24" t="s">
        <v>22276</v>
      </c>
      <c r="C17119" s="25">
        <v>449172</v>
      </c>
      <c r="D17119" s="22" t="s">
        <v>22337</v>
      </c>
      <c r="E17119" s="22" t="s">
        <v>86</v>
      </c>
      <c r="F17119" s="23" t="str">
        <f>HYPERLINK("https://www.spark-marketing.ru/Card/Lot/71284683", "Оказание услуг по санаторно-курортному лечению граждан-получателей государственной социальной помощи в виде набора социальных услуг, в организациях, оказывающих санаторно-курортную помощь: ""Болезни эндокринной системы, расстройство питания и нарушен...")</f>
        <v>Оказание услуг по санаторно-курортному лечению граждан-получателей государственной социальной помощи в виде набора социальных услуг, в организациях, оказывающих санаторно-курортную помощь: "Болезни эндокринной системы, расстройство питания и нарушен...</v>
      </c>
      <c r="G17119" s="22" t="s">
        <v>87</v>
      </c>
      <c r="H17119" s="22" t="s">
        <v>87</v>
      </c>
      <c r="I17119" s="26">
        <v>43627.563194444403</v>
      </c>
      <c r="J17119" s="23" t="str">
        <f>HYPERLINK("https://www.spark-marketing.ru/Card/Person/238539", "ГБУСОН ""КАВКАЗ""")</f>
        <v>ГБУСОН "КАВКАЗ"</v>
      </c>
      <c r="K17119" s="24" t="s">
        <v>22229</v>
      </c>
      <c r="L17119" s="22" t="s">
        <v>10</v>
      </c>
      <c r="M17119" s="25">
        <v>449172</v>
      </c>
      <c r="N17119" s="27">
        <v>0</v>
      </c>
    </row>
    <row r="17120" spans="1:14" hidden="1" outlineLevel="1" x14ac:dyDescent="0.2">
      <c r="A17120" s="23" t="str">
        <f>HYPERLINK("https://www.spark-marketing.ru/Card/Person/1760894", "ГУ-НОВОСИБИРСКОЕ РО ФОНДА СОЦИАЛЬНОГО СТРАХОВАНИЯ РОССИЙСКОЙ ФЕДЕРАЦИИ")</f>
        <v>ГУ-НОВОСИБИРСКОЕ РО ФОНДА СОЦИАЛЬНОГО СТРАХОВАНИЯ РОССИЙСКОЙ ФЕДЕРАЦИИ</v>
      </c>
      <c r="B17120" s="24" t="s">
        <v>22276</v>
      </c>
      <c r="C17120" s="25">
        <v>449172</v>
      </c>
      <c r="D17120" s="22" t="s">
        <v>22337</v>
      </c>
      <c r="E17120" s="22" t="s">
        <v>86</v>
      </c>
      <c r="F17120" s="23" t="str">
        <f>HYPERLINK("https://www.spark-marketing.ru/Card/Lot/71284683", "Оказание услуг по санаторно-курортному лечению граждан-получателей государственной социальной помощи в виде набора социальных услуг, в организациях, оказывающих санаторно-курортную помощь: ""Болезни эндокринной системы, расстройство питания и нарушен...")</f>
        <v>Оказание услуг по санаторно-курортному лечению граждан-получателей государственной социальной помощи в виде набора социальных услуг, в организациях, оказывающих санаторно-курортную помощь: "Болезни эндокринной системы, расстройство питания и нарушен...</v>
      </c>
      <c r="G17120" s="22" t="s">
        <v>87</v>
      </c>
      <c r="H17120" s="22" t="s">
        <v>87</v>
      </c>
      <c r="I17120" s="26">
        <v>43627.563194444403</v>
      </c>
      <c r="J17120" s="23" t="str">
        <f>HYPERLINK("https://www.spark-marketing.ru/Card/Person/216538", "СКУ ""САНАТОРИЙ ""НАРЗАН""")</f>
        <v>СКУ "САНАТОРИЙ "НАРЗАН"</v>
      </c>
      <c r="K17120" s="24" t="s">
        <v>22338</v>
      </c>
      <c r="L17120" s="28" t="s">
        <v>51</v>
      </c>
      <c r="M17120" s="25">
        <v>449172</v>
      </c>
      <c r="N17120" s="27">
        <v>0</v>
      </c>
    </row>
    <row r="17121" spans="1:14" x14ac:dyDescent="0.15">
      <c r="A17121" s="23" t="str">
        <f>HYPERLINK("https://www.spark-marketing.ru/Card/Person/13486", "ГБУЗ НСО НОККД")</f>
        <v>ГБУЗ НСО НОККД</v>
      </c>
      <c r="B17121" s="24" t="s">
        <v>15584</v>
      </c>
      <c r="C17121" s="25">
        <v>499867.5</v>
      </c>
      <c r="D17121" s="22" t="s">
        <v>22339</v>
      </c>
      <c r="E17121" s="22" t="s">
        <v>48</v>
      </c>
      <c r="F17121" s="23" t="str">
        <f>HYPERLINK("https://www.spark-marketing.ru/Card/Lot/71284808", "оказание услуг по организации лечебного диетического питания")</f>
        <v>оказание услуг по организации лечебного диетического питания</v>
      </c>
      <c r="G17121" s="22" t="s">
        <v>195</v>
      </c>
      <c r="H17121" s="22" t="s">
        <v>196</v>
      </c>
      <c r="I17121" s="26">
        <v>43627.558333333298</v>
      </c>
      <c r="J17121" s="23" t="str">
        <f>HYPERLINK("https://www.spark-marketing.ru/Card/Person/1393521", "ООО ""ЛОГИСТИК ГРУПП""")</f>
        <v>ООО "ЛОГИСТИК ГРУПП"</v>
      </c>
      <c r="K17121" s="24" t="s">
        <v>7373</v>
      </c>
      <c r="L17121" s="28" t="s">
        <v>51</v>
      </c>
      <c r="M17121" s="28" t="s">
        <v>51</v>
      </c>
      <c r="N17121" s="28" t="s">
        <v>51</v>
      </c>
    </row>
    <row r="17122" spans="1:14" ht="12.75" hidden="1" outlineLevel="1" x14ac:dyDescent="0.2">
      <c r="A17122" s="23" t="str">
        <f>HYPERLINK("https://www.spark-marketing.ru/Card/Person/13486", "ГБУЗ НСО НОККД")</f>
        <v>ГБУЗ НСО НОККД</v>
      </c>
      <c r="B17122" s="24" t="s">
        <v>15584</v>
      </c>
      <c r="C17122" s="25">
        <v>499867.5</v>
      </c>
      <c r="D17122" s="22" t="s">
        <v>22339</v>
      </c>
      <c r="E17122" s="22" t="s">
        <v>48</v>
      </c>
      <c r="F17122" s="23" t="str">
        <f>HYPERLINK("https://www.spark-marketing.ru/Card/Lot/71284808", "оказание услуг по организации лечебного диетического питания")</f>
        <v>оказание услуг по организации лечебного диетического питания</v>
      </c>
      <c r="G17122" s="22" t="s">
        <v>195</v>
      </c>
      <c r="H17122" s="22" t="s">
        <v>196</v>
      </c>
      <c r="I17122" s="26">
        <v>43627.558333333298</v>
      </c>
      <c r="J17122" s="23" t="str">
        <f>HYPERLINK("https://www.spark-marketing.ru/Card/Person/1393521", "ООО ""ЛОГИСТИК ГРУПП""")</f>
        <v>ООО "ЛОГИСТИК ГРУПП"</v>
      </c>
      <c r="K17122" s="24" t="s">
        <v>7373</v>
      </c>
      <c r="L17122" s="22" t="s">
        <v>10</v>
      </c>
      <c r="M17122" s="25">
        <v>497368.16</v>
      </c>
      <c r="N17122" s="27">
        <v>5.0000050013253514E-3</v>
      </c>
    </row>
    <row r="17123" spans="1:14" x14ac:dyDescent="0.15">
      <c r="A17123" s="23" t="str">
        <f>HYPERLINK("https://www.spark-marketing.ru/Card/Person/28991", "ГУ-КУРСКОЕ РО ФОНДА СОЦИАЛЬНОГО СТРАХОВАНИЯ РОССИЙСКОЙ ФЕДЕРАЦИИ")</f>
        <v>ГУ-КУРСКОЕ РО ФОНДА СОЦИАЛЬНОГО СТРАХОВАНИЯ РОССИЙСКОЙ ФЕДЕРАЦИИ</v>
      </c>
      <c r="B17123" s="24" t="s">
        <v>22340</v>
      </c>
      <c r="C17123" s="25">
        <v>104806.8</v>
      </c>
      <c r="D17123" s="22" t="s">
        <v>22341</v>
      </c>
      <c r="E17123" s="22" t="s">
        <v>86</v>
      </c>
      <c r="F17123" s="23" t="str">
        <f>HYPERLINK("https://www.spark-marketing.ru/Card/Lot/71297247", "Оказание услуг по санаторно-курортному лечению детей - инвалидов - получателей набора социальных услуг с наличием профиля лечения: «Болезни эндокринной системы» в организациях, оказывающих санаторно-курортные услуги")</f>
        <v>Оказание услуг по санаторно-курортному лечению детей - инвалидов - получателей набора социальных услуг с наличием профиля лечения: «Болезни эндокринной системы» в организациях, оказывающих санаторно-курортные услуги</v>
      </c>
      <c r="G17123" s="22" t="s">
        <v>1111</v>
      </c>
      <c r="H17123" s="22" t="s">
        <v>1112</v>
      </c>
      <c r="I17123" s="26">
        <v>43627.564583333296</v>
      </c>
      <c r="J17123" s="23" t="str">
        <f>HYPERLINK("https://www.spark-marketing.ru/Card/Person/95181", "АО ""ННПО ИМЕНИ М. В. ФРУНЗЕ""")</f>
        <v>АО "ННПО ИМЕНИ М. В. ФРУНЗЕ"</v>
      </c>
      <c r="K17123" s="24" t="s">
        <v>22342</v>
      </c>
      <c r="L17123" s="22" t="s">
        <v>10</v>
      </c>
      <c r="M17123" s="28" t="s">
        <v>51</v>
      </c>
      <c r="N17123" s="28" t="s">
        <v>51</v>
      </c>
    </row>
    <row r="17124" spans="1:14" x14ac:dyDescent="0.15">
      <c r="A17124" s="23" t="str">
        <f>HYPERLINK("https://www.spark-marketing.ru/Card/Person/67402", "ОТДЕЛ МВД РОССИИ ПО ИЗОБИЛЬНЕНСКОМУ ГОРОДСКОМУ ОКРУГУ")</f>
        <v>ОТДЕЛ МВД РОССИИ ПО ИЗОБИЛЬНЕНСКОМУ ГОРОДСКОМУ ОКРУГУ</v>
      </c>
      <c r="B17124" s="24" t="s">
        <v>16237</v>
      </c>
      <c r="C17124" s="25">
        <v>810000</v>
      </c>
      <c r="D17124" s="22" t="s">
        <v>22343</v>
      </c>
      <c r="E17124" s="22" t="s">
        <v>48</v>
      </c>
      <c r="F17124" s="23" t="str">
        <f>HYPERLINK("https://www.spark-marketing.ru/Card/Lot/71292416", "оказание услуг по организации горячего питания (завтраков, обедов и ужинов) для лиц находящихся в специальном приемнике, ИВС, а также административно задержанных Отдела МВД России по Изобильненскому городскому округу")</f>
        <v>оказание услуг по организации горячего питания (завтраков, обедов и ужинов) для лиц находящихся в специальном приемнике, ИВС, а также административно задержанных Отдела МВД России по Изобильненскому городскому округу</v>
      </c>
      <c r="G17124" s="22" t="s">
        <v>87</v>
      </c>
      <c r="H17124" s="22" t="s">
        <v>6967</v>
      </c>
      <c r="I17124" s="26">
        <v>43627.539583333302</v>
      </c>
      <c r="J17124" s="23" t="str">
        <f>HYPERLINK("https://www.spark-marketing.ru/Card/Person/475194", "ООО ""КОМБИНАТ ПИТАНИЯ""")</f>
        <v>ООО "КОМБИНАТ ПИТАНИЯ"</v>
      </c>
      <c r="K17124" s="24" t="s">
        <v>22344</v>
      </c>
      <c r="L17124" s="22" t="s">
        <v>10</v>
      </c>
      <c r="M17124" s="28" t="s">
        <v>51</v>
      </c>
      <c r="N17124" s="28" t="s">
        <v>51</v>
      </c>
    </row>
    <row r="17125" spans="1:14" ht="12.75" x14ac:dyDescent="0.2">
      <c r="A17125" s="23" t="str">
        <f>HYPERLINK("https://www.spark-marketing.ru/Card/Person/33476", "КОГБУЗ ""УРЖУМСКАЯ ЦРБ""")</f>
        <v>КОГБУЗ "УРЖУМСКАЯ ЦРБ"</v>
      </c>
      <c r="B17125" s="24" t="s">
        <v>22345</v>
      </c>
      <c r="C17125" s="25">
        <v>13470788.4</v>
      </c>
      <c r="D17125" s="22" t="s">
        <v>22346</v>
      </c>
      <c r="E17125" s="22" t="s">
        <v>48</v>
      </c>
      <c r="F17125" s="23" t="str">
        <f>HYPERLINK("https://www.spark-marketing.ru/Card/Lot/71293802", "Оказание услуг по приготовлению и передаче ежедневного лечебного горячего питания для снабжения больных стационара КОГБУЗ «Уржумская центральная больница»")</f>
        <v>Оказание услуг по приготовлению и передаче ежедневного лечебного горячего питания для снабжения больных стационара КОГБУЗ «Уржумская центральная больница»</v>
      </c>
      <c r="G17125" s="22" t="s">
        <v>224</v>
      </c>
      <c r="H17125" s="22" t="s">
        <v>7788</v>
      </c>
      <c r="I17125" s="26">
        <v>43627.515972222202</v>
      </c>
      <c r="J17125" s="23" t="str">
        <f>HYPERLINK("https://www.spark-marketing.ru/Card/Person/91376", "ООО ""СТОЛОВАЯ № 1""")</f>
        <v>ООО "СТОЛОВАЯ № 1"</v>
      </c>
      <c r="K17125" s="24" t="s">
        <v>15288</v>
      </c>
      <c r="L17125" s="22" t="s">
        <v>10</v>
      </c>
      <c r="M17125" s="25">
        <v>13470788.4</v>
      </c>
      <c r="N17125" s="27">
        <v>0</v>
      </c>
    </row>
    <row r="17126" spans="1:14" x14ac:dyDescent="0.15">
      <c r="A17126" s="23" t="str">
        <f>HYPERLINK("https://www.spark-marketing.ru/Card/Person/34720", "ФКУ ""ЦХИСО УМВД РОССИИ ПО ТВЕРСКОЙ ОБЛАСТИ""")</f>
        <v>ФКУ "ЦХИСО УМВД РОССИИ ПО ТВЕРСКОЙ ОБЛАСТИ"</v>
      </c>
      <c r="B17126" s="24" t="s">
        <v>16128</v>
      </c>
      <c r="C17126" s="25">
        <v>1627200</v>
      </c>
      <c r="D17126" s="22" t="s">
        <v>22347</v>
      </c>
      <c r="E17126" s="22" t="s">
        <v>19907</v>
      </c>
      <c r="F17126" s="23" t="str">
        <f>HYPERLINK("https://www.spark-marketing.ru/Card/Lot/71293281", "Оказание услуг по техническому обслуживанию и ремонту (в том числе аварийному) оборудования инженерных систем электроснабжения зданий, помещений, сооружений, автономных источников питания и ремонту систем контроля доступа для нужд УМВД России по Твер...")</f>
        <v>Оказание услуг по техническому обслуживанию и ремонту (в том числе аварийному) оборудования инженерных систем электроснабжения зданий, помещений, сооружений, автономных источников питания и ремонту систем контроля доступа для нужд УМВД России по Твер...</v>
      </c>
      <c r="G17126" s="22" t="s">
        <v>137</v>
      </c>
      <c r="H17126" s="22" t="s">
        <v>137</v>
      </c>
      <c r="I17126" s="26">
        <v>43627.504166666702</v>
      </c>
      <c r="J17126" s="28" t="s">
        <v>51</v>
      </c>
      <c r="K17126" s="28" t="s">
        <v>51</v>
      </c>
      <c r="L17126" s="28" t="s">
        <v>51</v>
      </c>
      <c r="M17126" s="28" t="s">
        <v>51</v>
      </c>
      <c r="N17126" s="28" t="s">
        <v>51</v>
      </c>
    </row>
    <row r="17127" spans="1:14" hidden="1" outlineLevel="1" x14ac:dyDescent="0.2">
      <c r="A17127" s="23" t="str">
        <f>HYPERLINK("https://www.spark-marketing.ru/Card/Person/34720", "ФКУ ""ЦХИСО УМВД РОССИИ ПО ТВЕРСКОЙ ОБЛАСТИ""")</f>
        <v>ФКУ "ЦХИСО УМВД РОССИИ ПО ТВЕРСКОЙ ОБЛАСТИ"</v>
      </c>
      <c r="B17127" s="24" t="s">
        <v>16128</v>
      </c>
      <c r="C17127" s="25">
        <v>1627200</v>
      </c>
      <c r="D17127" s="22" t="s">
        <v>22347</v>
      </c>
      <c r="E17127" s="22" t="s">
        <v>19907</v>
      </c>
      <c r="F17127" s="23" t="str">
        <f>HYPERLINK("https://www.spark-marketing.ru/Card/Lot/71293281", "Оказание услуг по техническому обслуживанию и ремонту (в том числе аварийному) оборудования инженерных систем электроснабжения зданий, помещений, сооружений, автономных источников питания и ремонту систем контроля доступа для нужд УМВД России по Твер...")</f>
        <v>Оказание услуг по техническому обслуживанию и ремонту (в том числе аварийному) оборудования инженерных систем электроснабжения зданий, помещений, сооружений, автономных источников питания и ремонту систем контроля доступа для нужд УМВД России по Твер...</v>
      </c>
      <c r="G17127" s="22" t="s">
        <v>137</v>
      </c>
      <c r="H17127" s="22" t="s">
        <v>137</v>
      </c>
      <c r="I17127" s="26">
        <v>43627.504166666702</v>
      </c>
      <c r="J17127" s="23" t="str">
        <f>HYPERLINK("https://www.spark-marketing.ru/Card/Person/6583099", "ООО ""РОСТОВСКИЕ СЕРВИСНЫЕ СИСТЕМЫ""")</f>
        <v>ООО "РОСТОВСКИЕ СЕРВИСНЫЕ СИСТЕМЫ"</v>
      </c>
      <c r="K17127" s="24" t="s">
        <v>22348</v>
      </c>
      <c r="L17127" s="28" t="s">
        <v>51</v>
      </c>
      <c r="M17127" s="25">
        <v>1220400</v>
      </c>
      <c r="N17127" s="27">
        <v>0.25</v>
      </c>
    </row>
    <row r="17128" spans="1:14" ht="12.75" hidden="1" outlineLevel="1" x14ac:dyDescent="0.2">
      <c r="A17128" s="23" t="str">
        <f>HYPERLINK("https://www.spark-marketing.ru/Card/Person/34720", "ФКУ ""ЦХИСО УМВД РОССИИ ПО ТВЕРСКОЙ ОБЛАСТИ""")</f>
        <v>ФКУ "ЦХИСО УМВД РОССИИ ПО ТВЕРСКОЙ ОБЛАСТИ"</v>
      </c>
      <c r="B17128" s="24" t="s">
        <v>16128</v>
      </c>
      <c r="C17128" s="25">
        <v>1627200</v>
      </c>
      <c r="D17128" s="22" t="s">
        <v>22347</v>
      </c>
      <c r="E17128" s="22" t="s">
        <v>19907</v>
      </c>
      <c r="F17128" s="23" t="str">
        <f>HYPERLINK("https://www.spark-marketing.ru/Card/Lot/71293281", "Оказание услуг по техническому обслуживанию и ремонту (в том числе аварийному) оборудования инженерных систем электроснабжения зданий, помещений, сооружений, автономных источников питания и ремонту систем контроля доступа для нужд УМВД России по Твер...")</f>
        <v>Оказание услуг по техническому обслуживанию и ремонту (в том числе аварийному) оборудования инженерных систем электроснабжения зданий, помещений, сооружений, автономных источников питания и ремонту систем контроля доступа для нужд УМВД России по Твер...</v>
      </c>
      <c r="G17128" s="22" t="s">
        <v>137</v>
      </c>
      <c r="H17128" s="22" t="s">
        <v>137</v>
      </c>
      <c r="I17128" s="26">
        <v>43627.504166666702</v>
      </c>
      <c r="J17128" s="23" t="str">
        <f>HYPERLINK("https://www.spark-marketing.ru/Card/Person/4369336", "ООО ""СФЕРА""")</f>
        <v>ООО "СФЕРА"</v>
      </c>
      <c r="K17128" s="24" t="s">
        <v>22349</v>
      </c>
      <c r="L17128" s="22" t="s">
        <v>10</v>
      </c>
      <c r="M17128" s="25">
        <v>1212264</v>
      </c>
      <c r="N17128" s="27">
        <v>0.255</v>
      </c>
    </row>
    <row r="17129" spans="1:14" x14ac:dyDescent="0.15">
      <c r="A17129" s="23" t="str">
        <f>HYPERLINK("https://www.spark-marketing.ru/Card/Person/72890", "ГУП РК ""КАРЕЛФАРМ""")</f>
        <v>ГУП РК "КАРЕЛФАРМ"</v>
      </c>
      <c r="B17129" s="24" t="s">
        <v>1668</v>
      </c>
      <c r="C17129" s="25">
        <v>201237.12</v>
      </c>
      <c r="D17129" s="22" t="s">
        <v>22350</v>
      </c>
      <c r="E17129" s="22" t="s">
        <v>3561</v>
      </c>
      <c r="F17129" s="23" t="str">
        <f>HYPERLINK("https://www.spark-marketing.ru/Card/Lot/71294721", "Оказание услуг по приемке, хранению, комплектованию, доставке, отпуску и учёту лекарственных препаратов, изделий медицинского назначения и специализированных продуктов лечебного питания, приобретаемых за счет средств бюджета Республики Карелия для об...")</f>
        <v>Оказание услуг по приемке, хранению, комплектованию, доставке, отпуску и учёту лекарственных препаратов, изделий медицинского назначения и специализированных продуктов лечебного питания, приобретаемых за счет средств бюджета Республики Карелия для об...</v>
      </c>
      <c r="G17129" s="22" t="s">
        <v>59</v>
      </c>
      <c r="H17129" s="22" t="s">
        <v>59</v>
      </c>
      <c r="I17129" s="26">
        <v>43627.5339930556</v>
      </c>
      <c r="J17129" s="28" t="s">
        <v>51</v>
      </c>
      <c r="K17129" s="28" t="s">
        <v>51</v>
      </c>
      <c r="L17129" s="28" t="s">
        <v>51</v>
      </c>
      <c r="M17129" s="28" t="s">
        <v>51</v>
      </c>
      <c r="N17129" s="28" t="s">
        <v>51</v>
      </c>
    </row>
    <row r="17130" spans="1:14" x14ac:dyDescent="0.15">
      <c r="A17130" s="23" t="str">
        <f>HYPERLINK("https://www.spark-marketing.ru/Card/Person/138872", "МБОУ СОШ № 10 Г. АПАТИТЫ")</f>
        <v>МБОУ СОШ № 10 Г. АПАТИТЫ</v>
      </c>
      <c r="B17130" s="24" t="s">
        <v>22351</v>
      </c>
      <c r="C17130" s="25">
        <v>1098226</v>
      </c>
      <c r="D17130" s="22" t="s">
        <v>22352</v>
      </c>
      <c r="E17130" s="22" t="s">
        <v>48</v>
      </c>
      <c r="F17130" s="23" t="str">
        <f>HYPERLINK("https://www.spark-marketing.ru/Card/Lot/71292298", "Оказание услуг по обеспечению питанием обучающихся льготной категории  во втором полугодии 2019 года")</f>
        <v>Оказание услуг по обеспечению питанием обучающихся льготной категории  во втором полугодии 2019 года</v>
      </c>
      <c r="G17130" s="22" t="s">
        <v>340</v>
      </c>
      <c r="H17130" s="22" t="s">
        <v>7501</v>
      </c>
      <c r="I17130" s="26">
        <v>43627.511805555601</v>
      </c>
      <c r="J17130" s="23" t="str">
        <f>HYPERLINK("https://www.spark-marketing.ru/Card/Person/60286", "Зернов Валерий Николаевич")</f>
        <v>Зернов Валерий Николаевич</v>
      </c>
      <c r="K17130" s="24" t="s">
        <v>19852</v>
      </c>
      <c r="L17130" s="22" t="s">
        <v>10</v>
      </c>
      <c r="M17130" s="28" t="s">
        <v>51</v>
      </c>
      <c r="N17130" s="28" t="s">
        <v>51</v>
      </c>
    </row>
    <row r="17131" spans="1:14" x14ac:dyDescent="0.15">
      <c r="A17131" s="23" t="str">
        <f>HYPERLINK("https://www.spark-marketing.ru/Card/Person/87013", "ГОБПОУ ""ЛИПЕЦКИЙ ТЕХНИКУМ ОБЩЕСТВЕННОГО ПИТАНИЯ""")</f>
        <v>ГОБПОУ "ЛИПЕЦКИЙ ТЕХНИКУМ ОБЩЕСТВЕННОГО ПИТАНИЯ"</v>
      </c>
      <c r="B17131" s="24" t="s">
        <v>22353</v>
      </c>
      <c r="C17131" s="25">
        <v>1161400</v>
      </c>
      <c r="D17131" s="22" t="s">
        <v>22354</v>
      </c>
      <c r="E17131" s="22" t="s">
        <v>51</v>
      </c>
      <c r="F17131" s="23" t="str">
        <f>HYPERLINK("https://www.spark-marketing.ru/Card/Lot/71292577", "Услуги по обеспечению студентов горячим питанием")</f>
        <v>Услуги по обеспечению студентов горячим питанием</v>
      </c>
      <c r="G17131" s="22" t="s">
        <v>101</v>
      </c>
      <c r="H17131" s="22" t="s">
        <v>101</v>
      </c>
      <c r="I17131" s="26">
        <v>43627.510416666701</v>
      </c>
      <c r="J17131" s="28" t="s">
        <v>51</v>
      </c>
      <c r="K17131" s="28" t="s">
        <v>51</v>
      </c>
      <c r="L17131" s="28" t="s">
        <v>51</v>
      </c>
      <c r="M17131" s="28" t="s">
        <v>51</v>
      </c>
      <c r="N17131" s="28" t="s">
        <v>51</v>
      </c>
    </row>
    <row r="17132" spans="1:14" ht="12.75" hidden="1" outlineLevel="1" x14ac:dyDescent="0.2">
      <c r="A17132" s="23" t="str">
        <f>HYPERLINK("https://www.spark-marketing.ru/Card/Person/87013", "ГОБПОУ ""ЛИПЕЦКИЙ ТЕХНИКУМ ОБЩЕСТВЕННОГО ПИТАНИЯ""")</f>
        <v>ГОБПОУ "ЛИПЕЦКИЙ ТЕХНИКУМ ОБЩЕСТВЕННОГО ПИТАНИЯ"</v>
      </c>
      <c r="B17132" s="24" t="s">
        <v>22353</v>
      </c>
      <c r="C17132" s="25">
        <v>1161400</v>
      </c>
      <c r="D17132" s="22" t="s">
        <v>22354</v>
      </c>
      <c r="E17132" s="22" t="s">
        <v>51</v>
      </c>
      <c r="F17132" s="23" t="str">
        <f>HYPERLINK("https://www.spark-marketing.ru/Card/Lot/71292577", "Услуги по обеспечению студентов горячим питанием")</f>
        <v>Услуги по обеспечению студентов горячим питанием</v>
      </c>
      <c r="G17132" s="22" t="s">
        <v>101</v>
      </c>
      <c r="H17132" s="22" t="s">
        <v>101</v>
      </c>
      <c r="I17132" s="26">
        <v>43627.510416666701</v>
      </c>
      <c r="J17132" s="23" t="str">
        <f>HYPERLINK("https://www.spark-marketing.ru/Card/Person/4573122", "ООО ""КАРТ-БЛАНШ""")</f>
        <v>ООО "КАРТ-БЛАНШ"</v>
      </c>
      <c r="K17132" s="24" t="s">
        <v>20297</v>
      </c>
      <c r="L17132" s="22" t="s">
        <v>10</v>
      </c>
      <c r="M17132" s="25">
        <v>1149786</v>
      </c>
      <c r="N17132" s="27">
        <v>0.01</v>
      </c>
    </row>
    <row r="17133" spans="1:14" hidden="1" outlineLevel="1" x14ac:dyDescent="0.2">
      <c r="A17133" s="23" t="str">
        <f>HYPERLINK("https://www.spark-marketing.ru/Card/Person/87013", "ГОБПОУ ""ЛИПЕЦКИЙ ТЕХНИКУМ ОБЩЕСТВЕННОГО ПИТАНИЯ""")</f>
        <v>ГОБПОУ "ЛИПЕЦКИЙ ТЕХНИКУМ ОБЩЕСТВЕННОГО ПИТАНИЯ"</v>
      </c>
      <c r="B17133" s="24" t="s">
        <v>22353</v>
      </c>
      <c r="C17133" s="25">
        <v>1161400</v>
      </c>
      <c r="D17133" s="22" t="s">
        <v>22354</v>
      </c>
      <c r="E17133" s="22" t="s">
        <v>51</v>
      </c>
      <c r="F17133" s="23" t="str">
        <f>HYPERLINK("https://www.spark-marketing.ru/Card/Lot/71292577", "Услуги по обеспечению студентов горячим питанием")</f>
        <v>Услуги по обеспечению студентов горячим питанием</v>
      </c>
      <c r="G17133" s="22" t="s">
        <v>101</v>
      </c>
      <c r="H17133" s="22" t="s">
        <v>101</v>
      </c>
      <c r="I17133" s="26">
        <v>43627.510416666701</v>
      </c>
      <c r="J17133" s="23" t="str">
        <f>HYPERLINK("https://www.spark-marketing.ru/Card/Person/6455374", "Алиев Исмаил Фазил Оглы")</f>
        <v>Алиев Исмаил Фазил Оглы</v>
      </c>
      <c r="K17133" s="24" t="s">
        <v>20296</v>
      </c>
      <c r="L17133" s="28" t="s">
        <v>51</v>
      </c>
      <c r="M17133" s="25">
        <v>1155593</v>
      </c>
      <c r="N17133" s="27">
        <v>5.0000000000000001E-3</v>
      </c>
    </row>
    <row r="17134" spans="1:14" x14ac:dyDescent="0.2">
      <c r="A17134" s="23" t="str">
        <f>HYPERLINK("https://www.spark-marketing.ru/Card/Person/6239", "ЮРГПУ(НПИ) ФГБОУ ВО ""ЮРГПУ(НПИ) ИМЕНИ М.И.ПЛАТОВА"" ЮЖНО-РОССИЙСКИЙ ГОСУДАРСТВЕННЫЙ ПОЛИТЕХНИЧЕСКИЙ УНИВЕРСИТЕТ (НПИ) ИМЕНИ М.И. ПЛАТОВА ФГБОУ ВО ""ЮЖНО-РОССИЙСКИЙ ГОСУДАРСТВЕННЫЙ ПОЛИТЕХНИЧЕСКИЙ УНИВЕРСИТЕТ (НПИ) ИМЕНИ М.И. ПЛАТОВА""")</f>
        <v>ЮРГПУ(НПИ) ФГБОУ ВО "ЮРГПУ(НПИ) ИМЕНИ М.И.ПЛАТОВА" ЮЖНО-РОССИЙСКИЙ ГОСУДАРСТВЕННЫЙ ПОЛИТЕХНИЧЕСКИЙ УНИВЕРСИТЕТ (НПИ) ИМЕНИ М.И. ПЛАТОВА ФГБОУ ВО "ЮЖНО-РОССИЙСКИЙ ГОСУДАРСТВЕННЫЙ ПОЛИТЕХНИЧЕСКИЙ УНИВЕРСИТЕТ (НПИ) ИМЕНИ М.И. ПЛАТОВА"</v>
      </c>
      <c r="B17134" s="24" t="s">
        <v>6487</v>
      </c>
      <c r="C17134" s="25">
        <v>700000</v>
      </c>
      <c r="D17134" s="22" t="s">
        <v>22355</v>
      </c>
      <c r="E17134" s="22" t="s">
        <v>362</v>
      </c>
      <c r="F17134" s="23" t="str">
        <f>HYPERLINK("https://www.spark-marketing.ru/Card/Lot/71282144", "Оказание услуг по организации 3-х разового (завтрак, обед и ужин) горячего питания в спортивно-оздоровительном лагере «Кишкет» ЮРГПУ(НПИ) (сотрудники)")</f>
        <v>Оказание услуг по организации 3-х разового (завтрак, обед и ужин) горячего питания в спортивно-оздоровительном лагере «Кишкет» ЮРГПУ(НПИ) (сотрудники)</v>
      </c>
      <c r="G17134" s="22" t="s">
        <v>267</v>
      </c>
      <c r="H17134" s="22" t="s">
        <v>6353</v>
      </c>
      <c r="I17134" s="26">
        <v>43627.527037036998</v>
      </c>
      <c r="J17134" s="28" t="s">
        <v>51</v>
      </c>
      <c r="K17134" s="28" t="s">
        <v>51</v>
      </c>
      <c r="L17134" s="22" t="s">
        <v>10</v>
      </c>
      <c r="M17134" s="25">
        <v>700000</v>
      </c>
      <c r="N17134" s="27">
        <v>0</v>
      </c>
    </row>
    <row r="17135" spans="1:14" x14ac:dyDescent="0.15">
      <c r="A17135" s="23" t="str">
        <f>HYPERLINK("https://www.spark-marketing.ru/Card/Person/67402", "ОТДЕЛ МВД РОССИИ ПО ИЗОБИЛЬНЕНСКОМУ ГОРОДСКОМУ ОКРУГУ")</f>
        <v>ОТДЕЛ МВД РОССИИ ПО ИЗОБИЛЬНЕНСКОМУ ГОРОДСКОМУ ОКРУГУ</v>
      </c>
      <c r="B17135" s="24" t="s">
        <v>16237</v>
      </c>
      <c r="C17135" s="25">
        <v>810000</v>
      </c>
      <c r="D17135" s="22" t="s">
        <v>22356</v>
      </c>
      <c r="E17135" s="22" t="s">
        <v>48</v>
      </c>
      <c r="F17135" s="23" t="str">
        <f>HYPERLINK("https://www.spark-marketing.ru/Card/Lot/71292415", "оказание услуг по организации горячего питания (завтраков, обедов и ужинов) для лиц находящихся в специальном приемнике, ИВС, а также административно задержанных Отдела МВД России по Изобильненскому городскому округу")</f>
        <v>оказание услуг по организации горячего питания (завтраков, обедов и ужинов) для лиц находящихся в специальном приемнике, ИВС, а также административно задержанных Отдела МВД России по Изобильненскому городскому округу</v>
      </c>
      <c r="G17135" s="22" t="s">
        <v>87</v>
      </c>
      <c r="H17135" s="22" t="s">
        <v>6967</v>
      </c>
      <c r="I17135" s="26">
        <v>43627.538888888899</v>
      </c>
      <c r="J17135" s="28" t="s">
        <v>51</v>
      </c>
      <c r="K17135" s="28" t="s">
        <v>51</v>
      </c>
      <c r="L17135" s="28" t="s">
        <v>51</v>
      </c>
      <c r="M17135" s="28" t="s">
        <v>51</v>
      </c>
      <c r="N17135" s="28" t="s">
        <v>51</v>
      </c>
    </row>
    <row r="17136" spans="1:14" x14ac:dyDescent="0.15">
      <c r="A17136" s="23" t="str">
        <f>HYPERLINK("https://www.spark-marketing.ru/Card/Person/1778529", "КГАУ ЦСПСКХК")</f>
        <v>КГАУ ЦСПСКХК</v>
      </c>
      <c r="B17136" s="24" t="s">
        <v>5909</v>
      </c>
      <c r="C17136" s="25">
        <v>212100</v>
      </c>
      <c r="D17136" s="22" t="s">
        <v>22357</v>
      </c>
      <c r="E17136" s="22" t="s">
        <v>2273</v>
      </c>
      <c r="F17136" s="23" t="str">
        <f>HYPERLINK("https://www.spark-marketing.ru/Card/Lot/71267936", "Оказание услуг по организации 3-х разового питания участников II этапа соревнований по дзюдо IX летней Спартакиады учащихся (юношеская) России 2019 года")</f>
        <v>Оказание услуг по организации 3-х разового питания участников II этапа соревнований по дзюдо IX летней Спартакиады учащихся (юношеская) России 2019 года</v>
      </c>
      <c r="G17136" s="22" t="s">
        <v>1096</v>
      </c>
      <c r="H17136" s="22" t="s">
        <v>1096</v>
      </c>
      <c r="I17136" s="26">
        <v>43627.509606481501</v>
      </c>
      <c r="J17136" s="28" t="s">
        <v>51</v>
      </c>
      <c r="K17136" s="28" t="s">
        <v>51</v>
      </c>
      <c r="L17136" s="28" t="s">
        <v>51</v>
      </c>
      <c r="M17136" s="28" t="s">
        <v>51</v>
      </c>
      <c r="N17136" s="28" t="s">
        <v>51</v>
      </c>
    </row>
    <row r="17137" spans="1:14" x14ac:dyDescent="0.2">
      <c r="A17137" s="23" t="str">
        <f>HYPERLINK("https://www.spark-marketing.ru/Card/Person/132409", "МАОУ ""ВИДНОВСКАЯ ГИМНАЗИЯ""")</f>
        <v>МАОУ "ВИДНОВСКАЯ ГИМНАЗИЯ"</v>
      </c>
      <c r="B17137" s="24" t="s">
        <v>22358</v>
      </c>
      <c r="C17137" s="25">
        <v>120000</v>
      </c>
      <c r="D17137" s="22" t="s">
        <v>22359</v>
      </c>
      <c r="E17137" s="22" t="s">
        <v>362</v>
      </c>
      <c r="F17137" s="23" t="str">
        <f>HYPERLINK("https://www.spark-marketing.ru/Card/Lot/71293953", "Оказание услуг по организации горячего питания в летнем оздоровительном лагере дневного пребывания при МАОУ ""Видновская гимназия"" в период с 25 июня 2019 года по 29 июня 2019 года включительно")</f>
        <v>Оказание услуг по организации горячего питания в летнем оздоровительном лагере дневного пребывания при МАОУ "Видновская гимназия" в период с 25 июня 2019 года по 29 июня 2019 года включительно</v>
      </c>
      <c r="G17137" s="22" t="s">
        <v>49</v>
      </c>
      <c r="H17137" s="22" t="s">
        <v>654</v>
      </c>
      <c r="I17137" s="26">
        <v>43627.511655092603</v>
      </c>
      <c r="J17137" s="28" t="s">
        <v>51</v>
      </c>
      <c r="K17137" s="28" t="s">
        <v>51</v>
      </c>
      <c r="L17137" s="28" t="s">
        <v>51</v>
      </c>
      <c r="M17137" s="25">
        <v>120000</v>
      </c>
      <c r="N17137" s="27">
        <v>0</v>
      </c>
    </row>
    <row r="17138" spans="1:14" x14ac:dyDescent="0.15">
      <c r="A17138" s="23" t="str">
        <f>HYPERLINK("https://www.spark-marketing.ru/Card/Person/1074227", "ОМВД РОССИИ ПО АСКИЗСКОМУ РАЙОНУ")</f>
        <v>ОМВД РОССИИ ПО АСКИЗСКОМУ РАЙОНУ</v>
      </c>
      <c r="B17138" s="24" t="s">
        <v>15185</v>
      </c>
      <c r="C17138" s="25">
        <v>594000</v>
      </c>
      <c r="D17138" s="22" t="s">
        <v>22360</v>
      </c>
      <c r="E17138" s="22" t="s">
        <v>48</v>
      </c>
      <c r="F17138" s="23" t="str">
        <f>HYPERLINK("https://www.spark-marketing.ru/Card/Lot/71271673", "Услуги по обеспечению питанием лиц, содержащихся в ИВС подозреваемых и обвиняемых")</f>
        <v>Услуги по обеспечению питанием лиц, содержащихся в ИВС подозреваемых и обвиняемых</v>
      </c>
      <c r="G17138" s="22" t="s">
        <v>92</v>
      </c>
      <c r="H17138" s="22" t="s">
        <v>15187</v>
      </c>
      <c r="I17138" s="26">
        <v>43627.501388888901</v>
      </c>
      <c r="J17138" s="28" t="s">
        <v>51</v>
      </c>
      <c r="K17138" s="28" t="s">
        <v>51</v>
      </c>
      <c r="L17138" s="28" t="s">
        <v>51</v>
      </c>
      <c r="M17138" s="28" t="s">
        <v>51</v>
      </c>
      <c r="N17138" s="28" t="s">
        <v>51</v>
      </c>
    </row>
    <row r="17139" spans="1:14" x14ac:dyDescent="0.15">
      <c r="A17139" s="23" t="str">
        <f>HYPERLINK("https://www.spark-marketing.ru/Card/Person/48529", "УПРАВЛЕНИЕ ДЕЛАМИ АДМИНИСТРАЦИИ ГОРОДА ОМСКА")</f>
        <v>УПРАВЛЕНИЕ ДЕЛАМИ АДМИНИСТРАЦИИ ГОРОДА ОМСКА</v>
      </c>
      <c r="B17139" s="24" t="s">
        <v>22361</v>
      </c>
      <c r="C17139" s="25">
        <v>105860</v>
      </c>
      <c r="D17139" s="22" t="s">
        <v>22362</v>
      </c>
      <c r="E17139" s="22" t="s">
        <v>1018</v>
      </c>
      <c r="F17139" s="23" t="str">
        <f>HYPERLINK("https://www.spark-marketing.ru/Card/Lot/71279262", "Оказание услуг по проведению специальной проверки, лабораторных специальных исследований накладных светодиодных светильников Gauss и элементов питания Duracell (Реестровый номер ""32.0597.19"")")</f>
        <v>Оказание услуг по проведению специальной проверки, лабораторных специальных исследований накладных светодиодных светильников Gauss и элементов питания Duracell (Реестровый номер "32.0597.19")</v>
      </c>
      <c r="G17139" s="22" t="s">
        <v>487</v>
      </c>
      <c r="H17139" s="22" t="s">
        <v>488</v>
      </c>
      <c r="I17139" s="26">
        <v>43627.521527777797</v>
      </c>
      <c r="J17139" s="28" t="s">
        <v>51</v>
      </c>
      <c r="K17139" s="28" t="s">
        <v>51</v>
      </c>
      <c r="L17139" s="28" t="s">
        <v>51</v>
      </c>
      <c r="M17139" s="28" t="s">
        <v>51</v>
      </c>
      <c r="N17139" s="28" t="s">
        <v>51</v>
      </c>
    </row>
    <row r="17140" spans="1:14" hidden="1" outlineLevel="1" x14ac:dyDescent="0.2">
      <c r="A17140" s="23" t="str">
        <f>HYPERLINK("https://www.spark-marketing.ru/Card/Person/48529", "УПРАВЛЕНИЕ ДЕЛАМИ АДМИНИСТРАЦИИ ГОРОДА ОМСКА")</f>
        <v>УПРАВЛЕНИЕ ДЕЛАМИ АДМИНИСТРАЦИИ ГОРОДА ОМСКА</v>
      </c>
      <c r="B17140" s="24" t="s">
        <v>22361</v>
      </c>
      <c r="C17140" s="25">
        <v>105860</v>
      </c>
      <c r="D17140" s="22" t="s">
        <v>22362</v>
      </c>
      <c r="E17140" s="22" t="s">
        <v>1018</v>
      </c>
      <c r="F17140" s="23" t="str">
        <f>HYPERLINK("https://www.spark-marketing.ru/Card/Lot/71279262", "Оказание услуг по проведению специальной проверки, лабораторных специальных исследований накладных светодиодных светильников Gauss и элементов питания Duracell (Реестровый номер ""32.0597.19"")")</f>
        <v>Оказание услуг по проведению специальной проверки, лабораторных специальных исследований накладных светодиодных светильников Gauss и элементов питания Duracell (Реестровый номер "32.0597.19")</v>
      </c>
      <c r="G17140" s="22" t="s">
        <v>487</v>
      </c>
      <c r="H17140" s="22" t="s">
        <v>488</v>
      </c>
      <c r="I17140" s="26">
        <v>43627.521527777797</v>
      </c>
      <c r="J17140" s="23" t="str">
        <f>HYPERLINK("https://www.spark-marketing.ru/Card/Person/4360350", "Новосибирский научно-технический центр ФГУП ""НПП ""Гамма""")</f>
        <v>Новосибирский научно-технический центр ФГУП "НПП "Гамма"</v>
      </c>
      <c r="K17140" s="24" t="s">
        <v>2431</v>
      </c>
      <c r="L17140" s="28" t="s">
        <v>51</v>
      </c>
      <c r="M17140" s="25">
        <v>92089.1</v>
      </c>
      <c r="N17140" s="27">
        <v>0.13008596259210278</v>
      </c>
    </row>
    <row r="17141" spans="1:14" ht="12.75" hidden="1" outlineLevel="1" x14ac:dyDescent="0.2">
      <c r="A17141" s="23" t="str">
        <f>HYPERLINK("https://www.spark-marketing.ru/Card/Person/48529", "УПРАВЛЕНИЕ ДЕЛАМИ АДМИНИСТРАЦИИ ГОРОДА ОМСКА")</f>
        <v>УПРАВЛЕНИЕ ДЕЛАМИ АДМИНИСТРАЦИИ ГОРОДА ОМСКА</v>
      </c>
      <c r="B17141" s="24" t="s">
        <v>22361</v>
      </c>
      <c r="C17141" s="25">
        <v>105860</v>
      </c>
      <c r="D17141" s="22" t="s">
        <v>22362</v>
      </c>
      <c r="E17141" s="22" t="s">
        <v>1018</v>
      </c>
      <c r="F17141" s="23" t="str">
        <f>HYPERLINK("https://www.spark-marketing.ru/Card/Lot/71279262", "Оказание услуг по проведению специальной проверки, лабораторных специальных исследований накладных светодиодных светильников Gauss и элементов питания Duracell (Реестровый номер ""32.0597.19"")")</f>
        <v>Оказание услуг по проведению специальной проверки, лабораторных специальных исследований накладных светодиодных светильников Gauss и элементов питания Duracell (Реестровый номер "32.0597.19")</v>
      </c>
      <c r="G17141" s="22" t="s">
        <v>487</v>
      </c>
      <c r="H17141" s="22" t="s">
        <v>488</v>
      </c>
      <c r="I17141" s="26">
        <v>43627.521527777797</v>
      </c>
      <c r="J17141" s="23" t="str">
        <f>HYPERLINK("https://www.spark-marketing.ru/Card/Person/58301", "ООО ЧОО ""АРГУМЕНТ""")</f>
        <v>ООО ЧОО "АРГУМЕНТ"</v>
      </c>
      <c r="K17141" s="24" t="s">
        <v>2430</v>
      </c>
      <c r="L17141" s="22" t="s">
        <v>10</v>
      </c>
      <c r="M17141" s="25">
        <v>91559.1</v>
      </c>
      <c r="N17141" s="27">
        <v>0.1350925750991876</v>
      </c>
    </row>
    <row r="17142" spans="1:14" x14ac:dyDescent="0.15">
      <c r="A17142" s="23" t="str">
        <f>HYPERLINK("https://www.spark-marketing.ru/Card/Person/10194", "ФГБУ ""ФЦССХ"" МИНЗДРАВА РОССИИ (Г. ХАБАРОВСК)")</f>
        <v>ФГБУ "ФЦССХ" МИНЗДРАВА РОССИИ (Г. ХАБАРОВСК)</v>
      </c>
      <c r="B17142" s="24" t="s">
        <v>1094</v>
      </c>
      <c r="C17142" s="25">
        <v>47176354.600000001</v>
      </c>
      <c r="D17142" s="22" t="s">
        <v>22363</v>
      </c>
      <c r="E17142" s="22" t="s">
        <v>583</v>
      </c>
      <c r="F17142" s="23" t="str">
        <f>HYPERLINK("https://www.spark-marketing.ru/Card/Lot/71267965", "Оказание услуг по техническому обслуживанию и ремонту медицинского оборудования в 2019 году")</f>
        <v>Оказание услуг по техническому обслуживанию и ремонту медицинского оборудования в 2019 году</v>
      </c>
      <c r="G17142" s="22" t="s">
        <v>1096</v>
      </c>
      <c r="H17142" s="22" t="s">
        <v>1097</v>
      </c>
      <c r="I17142" s="26">
        <v>43627.503472222197</v>
      </c>
      <c r="J17142" s="23" t="str">
        <f>HYPERLINK("https://www.spark-marketing.ru/Card/Person/4348061", "ООО ""ДИОМЕД""")</f>
        <v>ООО "ДИОМЕД"</v>
      </c>
      <c r="K17142" s="24" t="s">
        <v>22364</v>
      </c>
      <c r="L17142" s="22" t="s">
        <v>10</v>
      </c>
      <c r="M17142" s="28" t="s">
        <v>51</v>
      </c>
      <c r="N17142" s="28" t="s">
        <v>51</v>
      </c>
    </row>
    <row r="17143" spans="1:14" x14ac:dyDescent="0.15">
      <c r="A17143" s="23" t="str">
        <f>HYPERLINK("https://www.spark-marketing.ru/Card/Person/4365569", "ФГУП ""РОСМОРПОРТ""")</f>
        <v>ФГУП "РОСМОРПОРТ"</v>
      </c>
      <c r="B17143" s="24" t="s">
        <v>1266</v>
      </c>
      <c r="C17143" s="28" t="s">
        <v>51</v>
      </c>
      <c r="D17143" s="22" t="s">
        <v>22365</v>
      </c>
      <c r="E17143" s="22" t="s">
        <v>22366</v>
      </c>
      <c r="F17143" s="23" t="str">
        <f>HYPERLINK("https://www.spark-marketing.ru/Card/Lot/74016462", "Выполнение работ по обслуживанию источников бесперебойного питания (ИБП) на объектах СУДС Северо-Западного бассейнового филиала ФГУП «Росморпорт» по адресам: Санкт-Петербург, берег Невской губы В.О., дом 1; Ленинградская область, Кингисеппский р-н, В...")</f>
        <v>Выполнение работ по обслуживанию источников бесперебойного питания (ИБП) на объектах СУДС Северо-Западного бассейнового филиала ФГУП «Росморпорт» по адресам: Санкт-Петербург, берег Невской губы В.О., дом 1; Ленинградская область, Кингисеппский р-н, В...</v>
      </c>
      <c r="G17143" s="22" t="s">
        <v>56</v>
      </c>
      <c r="H17143" s="22" t="s">
        <v>56</v>
      </c>
      <c r="I17143" s="26">
        <v>43627.504166666702</v>
      </c>
      <c r="J17143" s="28" t="s">
        <v>51</v>
      </c>
      <c r="K17143" s="28" t="s">
        <v>51</v>
      </c>
      <c r="L17143" s="28" t="s">
        <v>51</v>
      </c>
      <c r="M17143" s="28" t="s">
        <v>51</v>
      </c>
      <c r="N17143" s="28" t="s">
        <v>51</v>
      </c>
    </row>
    <row r="17144" spans="1:14" x14ac:dyDescent="0.15">
      <c r="A17144" s="23" t="str">
        <f>HYPERLINK("https://www.spark-marketing.ru/Card/Person/1778529", "КГАУ ЦСПСКХК")</f>
        <v>КГАУ ЦСПСКХК</v>
      </c>
      <c r="B17144" s="24" t="s">
        <v>5909</v>
      </c>
      <c r="C17144" s="25">
        <v>218400</v>
      </c>
      <c r="D17144" s="22" t="s">
        <v>22367</v>
      </c>
      <c r="E17144" s="22" t="s">
        <v>2273</v>
      </c>
      <c r="F17144" s="23" t="str">
        <f>HYPERLINK("https://www.spark-marketing.ru/Card/Lot/71265920", "Оказание услуг по организации 3-х разового питания участников II этапа соревнований по легкой атлетике IX летней Спартакиады учащихся (юношеская) России 2019 года")</f>
        <v>Оказание услуг по организации 3-х разового питания участников II этапа соревнований по легкой атлетике IX летней Спартакиады учащихся (юношеская) России 2019 года</v>
      </c>
      <c r="G17144" s="22" t="s">
        <v>1096</v>
      </c>
      <c r="H17144" s="22" t="s">
        <v>1096</v>
      </c>
      <c r="I17144" s="26">
        <v>43627.491724537002</v>
      </c>
      <c r="J17144" s="28" t="s">
        <v>51</v>
      </c>
      <c r="K17144" s="28" t="s">
        <v>51</v>
      </c>
      <c r="L17144" s="28" t="s">
        <v>51</v>
      </c>
      <c r="M17144" s="28" t="s">
        <v>51</v>
      </c>
      <c r="N17144" s="28" t="s">
        <v>51</v>
      </c>
    </row>
    <row r="17145" spans="1:14" x14ac:dyDescent="0.15">
      <c r="A17145" s="23" t="str">
        <f>HYPERLINK("https://www.spark-marketing.ru/Card/Person/1075223", "МБДОУ ""ДЕТСКИЙ САД ""РОМАШКА"" П. РЕВОЛЮЦИОННЫЙ""")</f>
        <v>МБДОУ "ДЕТСКИЙ САД "РОМАШКА" П. РЕВОЛЮЦИОННЫЙ"</v>
      </c>
      <c r="B17145" s="24" t="s">
        <v>22368</v>
      </c>
      <c r="C17145" s="25">
        <v>434671.56</v>
      </c>
      <c r="D17145" s="22" t="s">
        <v>22369</v>
      </c>
      <c r="E17145" s="22" t="s">
        <v>48</v>
      </c>
      <c r="F17145" s="23" t="str">
        <f>HYPERLINK("https://www.spark-marketing.ru/Card/Lot/71275313", "Оказание услуг по организации питания")</f>
        <v>Оказание услуг по организации питания</v>
      </c>
      <c r="G17145" s="22" t="s">
        <v>132</v>
      </c>
      <c r="H17145" s="22" t="s">
        <v>18667</v>
      </c>
      <c r="I17145" s="26">
        <v>43627.46875</v>
      </c>
      <c r="J17145" s="23" t="str">
        <f>HYPERLINK("https://www.spark-marketing.ru/Card/Person/763106", "ООО ""РАЗДОЛЬЕ-ОБЩЕПИТ""")</f>
        <v>ООО "РАЗДОЛЬЕ-ОБЩЕПИТ"</v>
      </c>
      <c r="K17145" s="24" t="s">
        <v>21467</v>
      </c>
      <c r="L17145" s="22" t="s">
        <v>10</v>
      </c>
      <c r="M17145" s="28" t="s">
        <v>51</v>
      </c>
      <c r="N17145" s="28" t="s">
        <v>51</v>
      </c>
    </row>
    <row r="17146" spans="1:14" x14ac:dyDescent="0.15">
      <c r="A17146" s="23" t="str">
        <f>HYPERLINK("https://www.spark-marketing.ru/Card/Person/4352228", "ГАУ СО ""ЦСМ""")</f>
        <v>ГАУ СО "ЦСМ"</v>
      </c>
      <c r="B17146" s="24" t="s">
        <v>22370</v>
      </c>
      <c r="C17146" s="25">
        <v>1200000</v>
      </c>
      <c r="D17146" s="22" t="s">
        <v>22371</v>
      </c>
      <c r="E17146" s="22" t="s">
        <v>580</v>
      </c>
      <c r="F17146" s="23" t="str">
        <f>HYPERLINK("https://www.spark-marketing.ru/Card/Lot/71277313", "Оказание услуг по организации горячего питания участников мероприятия «Международный боксерский форум»")</f>
        <v>Оказание услуг по организации горячего питания участников мероприятия «Международный боксерский форум»</v>
      </c>
      <c r="G17146" s="22" t="s">
        <v>174</v>
      </c>
      <c r="H17146" s="22" t="s">
        <v>174</v>
      </c>
      <c r="I17146" s="26">
        <v>43627.492696759298</v>
      </c>
      <c r="J17146" s="28" t="s">
        <v>51</v>
      </c>
      <c r="K17146" s="28" t="s">
        <v>51</v>
      </c>
      <c r="L17146" s="28" t="s">
        <v>51</v>
      </c>
      <c r="M17146" s="28" t="s">
        <v>51</v>
      </c>
      <c r="N17146" s="28" t="s">
        <v>51</v>
      </c>
    </row>
    <row r="17147" spans="1:14" x14ac:dyDescent="0.15">
      <c r="A17147" s="23" t="str">
        <f>HYPERLINK("https://www.spark-marketing.ru/Card/Person/1074227", "ОМВД РОССИИ ПО АСКИЗСКОМУ РАЙОНУ")</f>
        <v>ОМВД РОССИИ ПО АСКИЗСКОМУ РАЙОНУ</v>
      </c>
      <c r="B17147" s="24" t="s">
        <v>15185</v>
      </c>
      <c r="C17147" s="25">
        <v>594000</v>
      </c>
      <c r="D17147" s="22" t="s">
        <v>22372</v>
      </c>
      <c r="E17147" s="22" t="s">
        <v>48</v>
      </c>
      <c r="F17147" s="23" t="str">
        <f>HYPERLINK("https://www.spark-marketing.ru/Card/Lot/71271674", "оказание услуг по приготовлению питания")</f>
        <v>оказание услуг по приготовлению питания</v>
      </c>
      <c r="G17147" s="22" t="s">
        <v>92</v>
      </c>
      <c r="H17147" s="22" t="s">
        <v>15187</v>
      </c>
      <c r="I17147" s="26">
        <v>43627.497916666704</v>
      </c>
      <c r="J17147" s="28" t="s">
        <v>51</v>
      </c>
      <c r="K17147" s="28" t="s">
        <v>51</v>
      </c>
      <c r="L17147" s="28" t="s">
        <v>51</v>
      </c>
      <c r="M17147" s="28" t="s">
        <v>51</v>
      </c>
      <c r="N17147" s="28" t="s">
        <v>51</v>
      </c>
    </row>
    <row r="17148" spans="1:14" x14ac:dyDescent="0.15">
      <c r="A17148" s="23" t="str">
        <f>HYPERLINK("https://www.spark-marketing.ru/Card/Person/76456", "ОМВД РОССИИ ПО ЯМАЛЬСКОМУ РАЙОНУ")</f>
        <v>ОМВД РОССИИ ПО ЯМАЛЬСКОМУ РАЙОНУ</v>
      </c>
      <c r="B17148" s="24" t="s">
        <v>13838</v>
      </c>
      <c r="C17148" s="25">
        <v>382786</v>
      </c>
      <c r="D17148" s="22" t="s">
        <v>22373</v>
      </c>
      <c r="E17148" s="22" t="s">
        <v>96</v>
      </c>
      <c r="F17148" s="23" t="str">
        <f>HYPERLINK("https://www.spark-marketing.ru/Card/Lot/71275304", "Оказание услуг по обеспечению горячим трехразовым питанием лиц, содержащихся в ИВС и специальном помещении ДЧ ОМВД России по Ямальскому району")</f>
        <v>Оказание услуг по обеспечению горячим трехразовым питанием лиц, содержащихся в ИВС и специальном помещении ДЧ ОМВД России по Ямальскому району</v>
      </c>
      <c r="G17148" s="22" t="s">
        <v>1056</v>
      </c>
      <c r="H17148" s="22" t="s">
        <v>13840</v>
      </c>
      <c r="I17148" s="26">
        <v>43627.465277777803</v>
      </c>
      <c r="J17148" s="23" t="str">
        <f>HYPERLINK("https://www.spark-marketing.ru/Card/Person/974683", "Журин Александр Михайлович")</f>
        <v>Журин Александр Михайлович</v>
      </c>
      <c r="K17148" s="24" t="s">
        <v>13841</v>
      </c>
      <c r="L17148" s="22" t="s">
        <v>10</v>
      </c>
      <c r="M17148" s="28" t="s">
        <v>51</v>
      </c>
      <c r="N17148" s="28" t="s">
        <v>51</v>
      </c>
    </row>
    <row r="17149" spans="1:14" x14ac:dyDescent="0.2">
      <c r="A17149" s="23" t="str">
        <f>HYPERLINK("https://www.spark-marketing.ru/Card/Person/1763411", "МАОУ СОШ № 5")</f>
        <v>МАОУ СОШ № 5</v>
      </c>
      <c r="B17149" s="24" t="s">
        <v>22374</v>
      </c>
      <c r="C17149" s="25">
        <v>124950</v>
      </c>
      <c r="D17149" s="22" t="s">
        <v>22375</v>
      </c>
      <c r="E17149" s="22" t="s">
        <v>362</v>
      </c>
      <c r="F17149" s="23" t="str">
        <f>HYPERLINK("https://www.spark-marketing.ru/Card/Lot/71278130", "Оказание услуг по организации питания детей в школьном лагере в муниципальном автономном общеобразовательном учреждении Городского округа Балашиха ""Средняя общеобразовательная школа № 5"" в период с 01.07.2019г. по 29.07.2019 г.")</f>
        <v>Оказание услуг по организации питания детей в школьном лагере в муниципальном автономном общеобразовательном учреждении Городского округа Балашиха "Средняя общеобразовательная школа № 5" в период с 01.07.2019г. по 29.07.2019 г.</v>
      </c>
      <c r="G17149" s="22" t="s">
        <v>49</v>
      </c>
      <c r="H17149" s="22" t="s">
        <v>7442</v>
      </c>
      <c r="I17149" s="26">
        <v>43627.486562500002</v>
      </c>
      <c r="J17149" s="28" t="s">
        <v>51</v>
      </c>
      <c r="K17149" s="28" t="s">
        <v>51</v>
      </c>
      <c r="L17149" s="28" t="s">
        <v>51</v>
      </c>
      <c r="M17149" s="25">
        <v>124950</v>
      </c>
      <c r="N17149" s="27">
        <v>0</v>
      </c>
    </row>
    <row r="17150" spans="1:14" x14ac:dyDescent="0.15">
      <c r="A17150" s="23" t="str">
        <f>HYPERLINK("https://www.spark-marketing.ru/Card/Person/1007935", "МУ СШОР АЛЬБЕРТА ДЕМЧЕНКО")</f>
        <v>МУ СШОР АЛЬБЕРТА ДЕМЧЕНКО</v>
      </c>
      <c r="B17150" s="24" t="s">
        <v>15590</v>
      </c>
      <c r="C17150" s="25">
        <v>887040</v>
      </c>
      <c r="D17150" s="22" t="s">
        <v>22376</v>
      </c>
      <c r="E17150" s="22" t="s">
        <v>48</v>
      </c>
      <c r="F17150" s="23" t="str">
        <f>HYPERLINK("https://www.spark-marketing.ru/Card/Lot/71292647", "оказание услуг по организации питания в лагере с дневным пребыванием детей с двухразовым питанием при МУ СШОР Альберта Демченко")</f>
        <v>оказание услуг по организации питания в лагере с дневным пребыванием детей с двухразовым питанием при МУ СШОР Альберта Демченко</v>
      </c>
      <c r="G17150" s="22" t="s">
        <v>49</v>
      </c>
      <c r="H17150" s="22" t="s">
        <v>721</v>
      </c>
      <c r="I17150" s="26">
        <v>43627.490277777797</v>
      </c>
      <c r="J17150" s="28" t="s">
        <v>51</v>
      </c>
      <c r="K17150" s="28" t="s">
        <v>51</v>
      </c>
      <c r="L17150" s="28" t="s">
        <v>51</v>
      </c>
      <c r="M17150" s="28" t="s">
        <v>51</v>
      </c>
      <c r="N17150" s="28" t="s">
        <v>51</v>
      </c>
    </row>
    <row r="17151" spans="1:14" ht="12.75" hidden="1" outlineLevel="1" x14ac:dyDescent="0.2">
      <c r="A17151" s="23" t="str">
        <f>HYPERLINK("https://www.spark-marketing.ru/Card/Person/1007935", "МУ СШОР АЛЬБЕРТА ДЕМЧЕНКО")</f>
        <v>МУ СШОР АЛЬБЕРТА ДЕМЧЕНКО</v>
      </c>
      <c r="B17151" s="24" t="s">
        <v>15590</v>
      </c>
      <c r="C17151" s="25">
        <v>887040</v>
      </c>
      <c r="D17151" s="22" t="s">
        <v>22376</v>
      </c>
      <c r="E17151" s="22" t="s">
        <v>48</v>
      </c>
      <c r="F17151" s="23" t="str">
        <f>HYPERLINK("https://www.spark-marketing.ru/Card/Lot/71292647", "оказание услуг по организации питания в лагере с дневным пребыванием детей с двухразовым питанием при МУ СШОР Альберта Демченко")</f>
        <v>оказание услуг по организации питания в лагере с дневным пребыванием детей с двухразовым питанием при МУ СШОР Альберта Демченко</v>
      </c>
      <c r="G17151" s="22" t="s">
        <v>49</v>
      </c>
      <c r="H17151" s="22" t="s">
        <v>721</v>
      </c>
      <c r="I17151" s="26">
        <v>43627.490277777797</v>
      </c>
      <c r="J17151" s="23" t="str">
        <f>HYPERLINK("https://www.spark-marketing.ru/Card/Person/6578901", "ООО ""ДОРОГА""")</f>
        <v>ООО "ДОРОГА"</v>
      </c>
      <c r="K17151" s="24" t="s">
        <v>3102</v>
      </c>
      <c r="L17151" s="22" t="s">
        <v>10</v>
      </c>
      <c r="M17151" s="25">
        <v>699632</v>
      </c>
      <c r="N17151" s="27">
        <v>0.21127344877344878</v>
      </c>
    </row>
    <row r="17152" spans="1:14" hidden="1" outlineLevel="1" x14ac:dyDescent="0.2">
      <c r="A17152" s="23" t="str">
        <f>HYPERLINK("https://www.spark-marketing.ru/Card/Person/1007935", "МУ СШОР АЛЬБЕРТА ДЕМЧЕНКО")</f>
        <v>МУ СШОР АЛЬБЕРТА ДЕМЧЕНКО</v>
      </c>
      <c r="B17152" s="24" t="s">
        <v>15590</v>
      </c>
      <c r="C17152" s="25">
        <v>887040</v>
      </c>
      <c r="D17152" s="22" t="s">
        <v>22376</v>
      </c>
      <c r="E17152" s="22" t="s">
        <v>48</v>
      </c>
      <c r="F17152" s="23" t="str">
        <f>HYPERLINK("https://www.spark-marketing.ru/Card/Lot/71292647", "оказание услуг по организации питания в лагере с дневным пребыванием детей с двухразовым питанием при МУ СШОР Альберта Демченко")</f>
        <v>оказание услуг по организации питания в лагере с дневным пребыванием детей с двухразовым питанием при МУ СШОР Альберта Демченко</v>
      </c>
      <c r="G17152" s="22" t="s">
        <v>49</v>
      </c>
      <c r="H17152" s="22" t="s">
        <v>721</v>
      </c>
      <c r="I17152" s="26">
        <v>43627.490277777797</v>
      </c>
      <c r="J17152" s="23" t="str">
        <f>HYPERLINK("https://www.spark-marketing.ru/Card/Person/414758", "МКП ""КОМБИНАТ ПИТАНИЯ ЗДОРОВОЕ ДЕТСТВО""")</f>
        <v>МКП "КОМБИНАТ ПИТАНИЯ ЗДОРОВОЕ ДЕТСТВО"</v>
      </c>
      <c r="K17152" s="24" t="s">
        <v>22377</v>
      </c>
      <c r="L17152" s="28" t="s">
        <v>51</v>
      </c>
      <c r="M17152" s="25">
        <v>735113.6</v>
      </c>
      <c r="N17152" s="27">
        <v>0.17127344877344877</v>
      </c>
    </row>
    <row r="17153" spans="1:14" hidden="1" outlineLevel="1" x14ac:dyDescent="0.2">
      <c r="A17153" s="23" t="str">
        <f>HYPERLINK("https://www.spark-marketing.ru/Card/Person/1007935", "МУ СШОР АЛЬБЕРТА ДЕМЧЕНКО")</f>
        <v>МУ СШОР АЛЬБЕРТА ДЕМЧЕНКО</v>
      </c>
      <c r="B17153" s="24" t="s">
        <v>15590</v>
      </c>
      <c r="C17153" s="25">
        <v>887040</v>
      </c>
      <c r="D17153" s="22" t="s">
        <v>22376</v>
      </c>
      <c r="E17153" s="22" t="s">
        <v>48</v>
      </c>
      <c r="F17153" s="23" t="str">
        <f>HYPERLINK("https://www.spark-marketing.ru/Card/Lot/71292647", "оказание услуг по организации питания в лагере с дневным пребыванием детей с двухразовым питанием при МУ СШОР Альберта Демченко")</f>
        <v>оказание услуг по организации питания в лагере с дневным пребыванием детей с двухразовым питанием при МУ СШОР Альберта Демченко</v>
      </c>
      <c r="G17153" s="22" t="s">
        <v>49</v>
      </c>
      <c r="H17153" s="22" t="s">
        <v>721</v>
      </c>
      <c r="I17153" s="26">
        <v>43627.490277777797</v>
      </c>
      <c r="J17153" s="23" t="str">
        <f>HYPERLINK("https://www.spark-marketing.ru/Card/Person/1354170", "Анищенко Дмитрий Анатольевич")</f>
        <v>Анищенко Дмитрий Анатольевич</v>
      </c>
      <c r="K17153" s="24" t="s">
        <v>22378</v>
      </c>
      <c r="L17153" s="28" t="s">
        <v>51</v>
      </c>
      <c r="M17153" s="25">
        <v>704067.2</v>
      </c>
      <c r="N17153" s="27">
        <v>0.20627344877344878</v>
      </c>
    </row>
    <row r="17154" spans="1:14" x14ac:dyDescent="0.2">
      <c r="A17154" s="23" t="str">
        <f>HYPERLINK("https://www.spark-marketing.ru/Card/Person/627755", "МОАУ ДО ДДТ ""ВДОХНОВЕНИЕ""")</f>
        <v>МОАУ ДО ДДТ "ВДОХНОВЕНИЕ"</v>
      </c>
      <c r="B17154" s="24" t="s">
        <v>22379</v>
      </c>
      <c r="C17154" s="25">
        <v>233280</v>
      </c>
      <c r="D17154" s="22" t="s">
        <v>22380</v>
      </c>
      <c r="E17154" s="22" t="s">
        <v>580</v>
      </c>
      <c r="F17154" s="23" t="str">
        <f>HYPERLINK("https://www.spark-marketing.ru/Card/Lot/71294790", "организация горячего питания в городском лагере с дневным пребыванием детей")</f>
        <v>организация горячего питания в городском лагере с дневным пребыванием детей</v>
      </c>
      <c r="G17154" s="22" t="s">
        <v>224</v>
      </c>
      <c r="H17154" s="22" t="s">
        <v>224</v>
      </c>
      <c r="I17154" s="26">
        <v>43627.477800925903</v>
      </c>
      <c r="J17154" s="23" t="str">
        <f>HYPERLINK("https://www.spark-marketing.ru/Card/Person/1246266", "ООО ""ТОП""")</f>
        <v>ООО "ТОП"</v>
      </c>
      <c r="K17154" s="24" t="s">
        <v>22381</v>
      </c>
      <c r="L17154" s="28" t="s">
        <v>51</v>
      </c>
      <c r="M17154" s="25">
        <v>233280</v>
      </c>
      <c r="N17154" s="27">
        <v>0</v>
      </c>
    </row>
    <row r="17155" spans="1:14" x14ac:dyDescent="0.15">
      <c r="A17155" s="23" t="str">
        <f>HYPERLINK("https://www.spark-marketing.ru/Card/Person/1073104", "МБДОУ ""ДЕТСКИЙ САД ""ТОПОЛЕК"" П. ЛЕНИНСКИЙ")</f>
        <v>МБДОУ "ДЕТСКИЙ САД "ТОПОЛЕК" П. ЛЕНИНСКИЙ</v>
      </c>
      <c r="B17155" s="24" t="s">
        <v>22382</v>
      </c>
      <c r="C17155" s="25">
        <v>545193.12</v>
      </c>
      <c r="D17155" s="22" t="s">
        <v>22383</v>
      </c>
      <c r="E17155" s="22" t="s">
        <v>48</v>
      </c>
      <c r="F17155" s="23" t="str">
        <f>HYPERLINK("https://www.spark-marketing.ru/Card/Lot/71276866", "Оказание услуг по организации питания")</f>
        <v>Оказание услуг по организации питания</v>
      </c>
      <c r="G17155" s="22" t="s">
        <v>132</v>
      </c>
      <c r="H17155" s="22" t="s">
        <v>18667</v>
      </c>
      <c r="I17155" s="26">
        <v>43627.469444444403</v>
      </c>
      <c r="J17155" s="23" t="str">
        <f>HYPERLINK("https://www.spark-marketing.ru/Card/Person/763106", "ООО ""РАЗДОЛЬЕ-ОБЩЕПИТ""")</f>
        <v>ООО "РАЗДОЛЬЕ-ОБЩЕПИТ"</v>
      </c>
      <c r="K17155" s="24" t="s">
        <v>21467</v>
      </c>
      <c r="L17155" s="22" t="s">
        <v>10</v>
      </c>
      <c r="M17155" s="28" t="s">
        <v>51</v>
      </c>
      <c r="N17155" s="28" t="s">
        <v>51</v>
      </c>
    </row>
    <row r="17156" spans="1:14" x14ac:dyDescent="0.15">
      <c r="A17156" s="23" t="str">
        <f>HYPERLINK("https://www.spark-marketing.ru/Card/Person/1074058", "МБДОУ ""ДЕТСКИЙ САД ""УЛЫБКА"" С. ОЗЕРНОЕ")</f>
        <v>МБДОУ "ДЕТСКИЙ САД "УЛЫБКА" С. ОЗЕРНОЕ</v>
      </c>
      <c r="B17156" s="24" t="s">
        <v>22384</v>
      </c>
      <c r="C17156" s="25">
        <v>546307.56000000006</v>
      </c>
      <c r="D17156" s="22" t="s">
        <v>22385</v>
      </c>
      <c r="E17156" s="22" t="s">
        <v>48</v>
      </c>
      <c r="F17156" s="23" t="str">
        <f>HYPERLINK("https://www.spark-marketing.ru/Card/Lot/71276893", "Оказание услуг по организации питания")</f>
        <v>Оказание услуг по организации питания</v>
      </c>
      <c r="G17156" s="22" t="s">
        <v>132</v>
      </c>
      <c r="H17156" s="22" t="s">
        <v>18667</v>
      </c>
      <c r="I17156" s="26">
        <v>43627.480555555601</v>
      </c>
      <c r="J17156" s="23" t="str">
        <f>HYPERLINK("https://www.spark-marketing.ru/Card/Person/763106", "ООО ""РАЗДОЛЬЕ-ОБЩЕПИТ""")</f>
        <v>ООО "РАЗДОЛЬЕ-ОБЩЕПИТ"</v>
      </c>
      <c r="K17156" s="24" t="s">
        <v>21467</v>
      </c>
      <c r="L17156" s="22" t="s">
        <v>10</v>
      </c>
      <c r="M17156" s="28" t="s">
        <v>51</v>
      </c>
      <c r="N17156" s="28" t="s">
        <v>51</v>
      </c>
    </row>
    <row r="17157" spans="1:14" x14ac:dyDescent="0.15">
      <c r="A17157" s="23" t="str">
        <f>HYPERLINK("https://www.spark-marketing.ru/Card/Person/1071963", "МБДОУ ""ДЕТСКИЙ САД ""ТЕРЕМОК"" П.ПЕРВОМАЙСКИЙ")</f>
        <v>МБДОУ "ДЕТСКИЙ САД "ТЕРЕМОК" П.ПЕРВОМАЙСКИЙ</v>
      </c>
      <c r="B17157" s="24" t="s">
        <v>22386</v>
      </c>
      <c r="C17157" s="25">
        <v>2030155.68</v>
      </c>
      <c r="D17157" s="22" t="s">
        <v>22387</v>
      </c>
      <c r="E17157" s="22" t="s">
        <v>48</v>
      </c>
      <c r="F17157" s="23" t="str">
        <f>HYPERLINK("https://www.spark-marketing.ru/Card/Lot/71276947", "Оказание услуг по организации питания")</f>
        <v>Оказание услуг по организации питания</v>
      </c>
      <c r="G17157" s="22" t="s">
        <v>132</v>
      </c>
      <c r="H17157" s="22" t="s">
        <v>18667</v>
      </c>
      <c r="I17157" s="26">
        <v>43627.464583333298</v>
      </c>
      <c r="J17157" s="23" t="str">
        <f>HYPERLINK("https://www.spark-marketing.ru/Card/Person/763106", "ООО ""РАЗДОЛЬЕ-ОБЩЕПИТ""")</f>
        <v>ООО "РАЗДОЛЬЕ-ОБЩЕПИТ"</v>
      </c>
      <c r="K17157" s="24" t="s">
        <v>21467</v>
      </c>
      <c r="L17157" s="22" t="s">
        <v>10</v>
      </c>
      <c r="M17157" s="28" t="s">
        <v>51</v>
      </c>
      <c r="N17157" s="28" t="s">
        <v>51</v>
      </c>
    </row>
    <row r="17158" spans="1:14" x14ac:dyDescent="0.15">
      <c r="A17158" s="23" t="str">
        <f>HYPERLINK("https://www.spark-marketing.ru/Card/Person/1029852", "МБДОУ ""ДЕТСКИЙ САД ""СОЛНЫШКО"" П.ПЕРВОМАЙСКИЙ")</f>
        <v>МБДОУ "ДЕТСКИЙ САД "СОЛНЫШКО" П.ПЕРВОМАЙСКИЙ</v>
      </c>
      <c r="B17158" s="24" t="s">
        <v>22388</v>
      </c>
      <c r="C17158" s="25">
        <v>1279476.1200000001</v>
      </c>
      <c r="D17158" s="22" t="s">
        <v>22389</v>
      </c>
      <c r="E17158" s="22" t="s">
        <v>48</v>
      </c>
      <c r="F17158" s="23" t="str">
        <f>HYPERLINK("https://www.spark-marketing.ru/Card/Lot/71276858", "Оказание услуг по организации питания")</f>
        <v>Оказание услуг по организации питания</v>
      </c>
      <c r="G17158" s="22" t="s">
        <v>132</v>
      </c>
      <c r="H17158" s="22" t="s">
        <v>18667</v>
      </c>
      <c r="I17158" s="26">
        <v>43627.465277777803</v>
      </c>
      <c r="J17158" s="23" t="str">
        <f>HYPERLINK("https://www.spark-marketing.ru/Card/Person/763106", "ООО ""РАЗДОЛЬЕ-ОБЩЕПИТ""")</f>
        <v>ООО "РАЗДОЛЬЕ-ОБЩЕПИТ"</v>
      </c>
      <c r="K17158" s="24" t="s">
        <v>21467</v>
      </c>
      <c r="L17158" s="22" t="s">
        <v>10</v>
      </c>
      <c r="M17158" s="28" t="s">
        <v>51</v>
      </c>
      <c r="N17158" s="28" t="s">
        <v>51</v>
      </c>
    </row>
    <row r="17159" spans="1:14" x14ac:dyDescent="0.15">
      <c r="A17159" s="23" t="str">
        <f>HYPERLINK("https://www.spark-marketing.ru/Card/Person/951344", "КГАУ ""ЦСП ПК""")</f>
        <v>КГАУ "ЦСП ПК"</v>
      </c>
      <c r="B17159" s="24" t="s">
        <v>1559</v>
      </c>
      <c r="C17159" s="25">
        <v>115600</v>
      </c>
      <c r="D17159" s="22" t="s">
        <v>22390</v>
      </c>
      <c r="E17159" s="22" t="s">
        <v>7208</v>
      </c>
      <c r="F17159" s="23" t="str">
        <f>HYPERLINK("https://www.spark-marketing.ru/Card/Lot/71265915", "Оказание услуг по организации проживания, питания, трансфера в рамках официальных спортивных мероприятий для членов сборной команды г. Владивосток для нужд КГАУ ""ЦСП-ШВСМ""")</f>
        <v>Оказание услуг по организации проживания, питания, трансфера в рамках официальных спортивных мероприятий для членов сборной команды г. Владивосток для нужд КГАУ "ЦСП-ШВСМ"</v>
      </c>
      <c r="G17159" s="22" t="s">
        <v>543</v>
      </c>
      <c r="H17159" s="22" t="s">
        <v>543</v>
      </c>
      <c r="I17159" s="26">
        <v>43627.480405092603</v>
      </c>
      <c r="J17159" s="28" t="s">
        <v>51</v>
      </c>
      <c r="K17159" s="28" t="s">
        <v>51</v>
      </c>
      <c r="L17159" s="28" t="s">
        <v>51</v>
      </c>
      <c r="M17159" s="28" t="s">
        <v>51</v>
      </c>
      <c r="N17159" s="28" t="s">
        <v>51</v>
      </c>
    </row>
    <row r="17160" spans="1:14" x14ac:dyDescent="0.15">
      <c r="A17160" s="23" t="str">
        <f>HYPERLINK("https://www.spark-marketing.ru/Card/Person/1046416", "МБОУ ""СЕРГИЕВСКАЯ СОШ""")</f>
        <v>МБОУ "СЕРГИЕВСКАЯ СОШ"</v>
      </c>
      <c r="B17160" s="24" t="s">
        <v>22391</v>
      </c>
      <c r="C17160" s="25">
        <v>376627.56</v>
      </c>
      <c r="D17160" s="22" t="s">
        <v>22392</v>
      </c>
      <c r="E17160" s="22" t="s">
        <v>48</v>
      </c>
      <c r="F17160" s="23" t="str">
        <f>HYPERLINK("https://www.spark-marketing.ru/Card/Lot/71276955", "Оказание услуг по организации питания")</f>
        <v>Оказание услуг по организации питания</v>
      </c>
      <c r="G17160" s="22" t="s">
        <v>132</v>
      </c>
      <c r="H17160" s="22" t="s">
        <v>18667</v>
      </c>
      <c r="I17160" s="26">
        <v>43627.471527777801</v>
      </c>
      <c r="J17160" s="23" t="str">
        <f>HYPERLINK("https://www.spark-marketing.ru/Card/Person/763106", "ООО ""РАЗДОЛЬЕ-ОБЩЕПИТ""")</f>
        <v>ООО "РАЗДОЛЬЕ-ОБЩЕПИТ"</v>
      </c>
      <c r="K17160" s="24" t="s">
        <v>21467</v>
      </c>
      <c r="L17160" s="22" t="s">
        <v>10</v>
      </c>
      <c r="M17160" s="28" t="s">
        <v>51</v>
      </c>
      <c r="N17160" s="28" t="s">
        <v>51</v>
      </c>
    </row>
    <row r="17161" spans="1:14" x14ac:dyDescent="0.15">
      <c r="A17161" s="23" t="str">
        <f>HYPERLINK("https://www.spark-marketing.ru/Card/Person/63674", "ГОКУ ""УД ПРАВИТЕЛЬСТВА НОВГОРОДСКОЙ ОБЛАСТИ""")</f>
        <v>ГОКУ "УД ПРАВИТЕЛЬСТВА НОВГОРОДСКОЙ ОБЛАСТИ"</v>
      </c>
      <c r="B17161" s="24" t="s">
        <v>8241</v>
      </c>
      <c r="C17161" s="25">
        <v>400000</v>
      </c>
      <c r="D17161" s="22" t="s">
        <v>22393</v>
      </c>
      <c r="E17161" s="22" t="s">
        <v>67</v>
      </c>
      <c r="F17161" s="23" t="str">
        <f>HYPERLINK("https://www.spark-marketing.ru/Card/Lot/71290632", "Оказание услуг общественного питания во время проведения официальных мероприятий Правительства Новгородской области")</f>
        <v>Оказание услуг общественного питания во время проведения официальных мероприятий Правительства Новгородской области</v>
      </c>
      <c r="G17161" s="22" t="s">
        <v>849</v>
      </c>
      <c r="H17161" s="22" t="s">
        <v>7002</v>
      </c>
      <c r="I17161" s="26">
        <v>43627.484722222202</v>
      </c>
      <c r="J17161" s="28" t="s">
        <v>51</v>
      </c>
      <c r="K17161" s="28" t="s">
        <v>51</v>
      </c>
      <c r="L17161" s="28" t="s">
        <v>51</v>
      </c>
      <c r="M17161" s="28" t="s">
        <v>51</v>
      </c>
      <c r="N17161" s="28" t="s">
        <v>51</v>
      </c>
    </row>
    <row r="17162" spans="1:14" ht="12.75" hidden="1" outlineLevel="1" x14ac:dyDescent="0.2">
      <c r="A17162" s="23" t="str">
        <f>HYPERLINK("https://www.spark-marketing.ru/Card/Person/63674", "ГОКУ ""УД ПРАВИТЕЛЬСТВА НОВГОРОДСКОЙ ОБЛАСТИ""")</f>
        <v>ГОКУ "УД ПРАВИТЕЛЬСТВА НОВГОРОДСКОЙ ОБЛАСТИ"</v>
      </c>
      <c r="B17162" s="24" t="s">
        <v>8241</v>
      </c>
      <c r="C17162" s="25">
        <v>400000</v>
      </c>
      <c r="D17162" s="22" t="s">
        <v>22393</v>
      </c>
      <c r="E17162" s="22" t="s">
        <v>67</v>
      </c>
      <c r="F17162" s="23" t="str">
        <f>HYPERLINK("https://www.spark-marketing.ru/Card/Lot/71290632", "Оказание услуг общественного питания во время проведения официальных мероприятий Правительства Новгородской области")</f>
        <v>Оказание услуг общественного питания во время проведения официальных мероприятий Правительства Новгородской области</v>
      </c>
      <c r="G17162" s="22" t="s">
        <v>849</v>
      </c>
      <c r="H17162" s="22" t="s">
        <v>7002</v>
      </c>
      <c r="I17162" s="26">
        <v>43627.484722222202</v>
      </c>
      <c r="J17162" s="23" t="str">
        <f>HYPERLINK("https://www.spark-marketing.ru/Card/Person/726977", "Ламбринова Лариса Ивановна")</f>
        <v>Ламбринова Лариса Ивановна</v>
      </c>
      <c r="K17162" s="24" t="s">
        <v>22394</v>
      </c>
      <c r="L17162" s="22" t="s">
        <v>10</v>
      </c>
      <c r="M17162" s="25">
        <v>10230.709999999999</v>
      </c>
      <c r="N17162" s="27">
        <v>0.974423225</v>
      </c>
    </row>
    <row r="17163" spans="1:14" hidden="1" outlineLevel="1" x14ac:dyDescent="0.2">
      <c r="A17163" s="23" t="str">
        <f>HYPERLINK("https://www.spark-marketing.ru/Card/Person/63674", "ГОКУ ""УД ПРАВИТЕЛЬСТВА НОВГОРОДСКОЙ ОБЛАСТИ""")</f>
        <v>ГОКУ "УД ПРАВИТЕЛЬСТВА НОВГОРОДСКОЙ ОБЛАСТИ"</v>
      </c>
      <c r="B17163" s="24" t="s">
        <v>8241</v>
      </c>
      <c r="C17163" s="25">
        <v>400000</v>
      </c>
      <c r="D17163" s="22" t="s">
        <v>22393</v>
      </c>
      <c r="E17163" s="22" t="s">
        <v>67</v>
      </c>
      <c r="F17163" s="23" t="str">
        <f>HYPERLINK("https://www.spark-marketing.ru/Card/Lot/71290632", "Оказание услуг общественного питания во время проведения официальных мероприятий Правительства Новгородской области")</f>
        <v>Оказание услуг общественного питания во время проведения официальных мероприятий Правительства Новгородской области</v>
      </c>
      <c r="G17163" s="22" t="s">
        <v>849</v>
      </c>
      <c r="H17163" s="22" t="s">
        <v>7002</v>
      </c>
      <c r="I17163" s="26">
        <v>43627.484722222202</v>
      </c>
      <c r="J17163" s="23" t="str">
        <f>HYPERLINK("https://www.spark-marketing.ru/Card/Person/6620184", "ООО ""ЯРОСЛАВА""")</f>
        <v>ООО "ЯРОСЛАВА"</v>
      </c>
      <c r="K17163" s="24" t="s">
        <v>8244</v>
      </c>
      <c r="L17163" s="28" t="s">
        <v>51</v>
      </c>
      <c r="M17163" s="25">
        <v>10330.709999999999</v>
      </c>
      <c r="N17163" s="27">
        <v>0.97417322500000003</v>
      </c>
    </row>
    <row r="17164" spans="1:14" x14ac:dyDescent="0.15">
      <c r="A17164" s="23" t="str">
        <f>HYPERLINK("https://www.spark-marketing.ru/Card/Person/25916", "УПРАВЛЕНИЕ МВД РОССИИ ПО Г. НОВОКУЗНЕЦКУ")</f>
        <v>УПРАВЛЕНИЕ МВД РОССИИ ПО Г. НОВОКУЗНЕЦКУ</v>
      </c>
      <c r="B17164" s="24" t="s">
        <v>22123</v>
      </c>
      <c r="C17164" s="25">
        <v>1504400</v>
      </c>
      <c r="D17164" s="22" t="s">
        <v>22395</v>
      </c>
      <c r="E17164" s="22" t="s">
        <v>96</v>
      </c>
      <c r="F17164" s="23" t="str">
        <f>HYPERLINK("https://www.spark-marketing.ru/Card/Lot/71269896", "Оказание услуг по обеспечению горячим питанием лиц, содержащихся в специальном приемнике Управления МВД России по г. Новокузнецку по адресу: пер. Буркацкого, 5, ИВС Управления МВД России по г. Новокузнецку по адресу: ул. Орджоникидзе, 22 и администра...")</f>
        <v>Оказание услуг по обеспечению горячим питанием лиц, содержащихся в специальном приемнике Управления МВД России по г. Новокузнецку по адресу: пер. Буркацкого, 5, ИВС Управления МВД России по г. Новокузнецку по адресу: ул. Орджоникидзе, 22 и администра...</v>
      </c>
      <c r="G17164" s="22" t="s">
        <v>304</v>
      </c>
      <c r="H17164" s="22" t="s">
        <v>304</v>
      </c>
      <c r="I17164" s="26">
        <v>43627.471527777801</v>
      </c>
      <c r="J17164" s="23" t="str">
        <f>HYPERLINK("https://www.spark-marketing.ru/Card/Person/1306820", "Сидоров Александр Анатольевич")</f>
        <v>Сидоров Александр Анатольевич</v>
      </c>
      <c r="K17164" s="24" t="s">
        <v>22125</v>
      </c>
      <c r="L17164" s="22" t="s">
        <v>10</v>
      </c>
      <c r="M17164" s="28" t="s">
        <v>51</v>
      </c>
      <c r="N17164" s="28" t="s">
        <v>51</v>
      </c>
    </row>
    <row r="17165" spans="1:14" x14ac:dyDescent="0.15">
      <c r="A17165" s="23" t="str">
        <f>HYPERLINK("https://www.spark-marketing.ru/Card/Person/79653", "КГБПОУ ""БОГОТОЛЬСКИЙ ТЕХНИКУМ ТРАНСПОРТА""")</f>
        <v>КГБПОУ "БОГОТОЛЬСКИЙ ТЕХНИКУМ ТРАНСПОРТА"</v>
      </c>
      <c r="B17165" s="24" t="s">
        <v>11692</v>
      </c>
      <c r="C17165" s="25">
        <v>2251859.4</v>
      </c>
      <c r="D17165" s="22" t="s">
        <v>22396</v>
      </c>
      <c r="E17165" s="22" t="s">
        <v>48</v>
      </c>
      <c r="F17165" s="23" t="str">
        <f>HYPERLINK("https://www.spark-marketing.ru/Card/Lot/71269850", "ЭА № 40777/19 - Услуги по обеспечению питанием, осуществляемые по договору, прочие; Услуги по обеспечению питанием, осуществляемые по договору, прочие")</f>
        <v>ЭА № 40777/19 - Услуги по обеспечению питанием, осуществляемые по договору, прочие; Услуги по обеспечению питанием, осуществляемые по договору, прочие</v>
      </c>
      <c r="G17165" s="22" t="s">
        <v>281</v>
      </c>
      <c r="H17165" s="22" t="s">
        <v>22397</v>
      </c>
      <c r="I17165" s="26">
        <v>43627.470138888901</v>
      </c>
      <c r="J17165" s="28" t="s">
        <v>51</v>
      </c>
      <c r="K17165" s="28" t="s">
        <v>51</v>
      </c>
      <c r="L17165" s="28" t="s">
        <v>51</v>
      </c>
      <c r="M17165" s="28" t="s">
        <v>51</v>
      </c>
      <c r="N17165" s="28" t="s">
        <v>51</v>
      </c>
    </row>
    <row r="17166" spans="1:14" x14ac:dyDescent="0.15">
      <c r="A17166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7166" s="24" t="s">
        <v>3255</v>
      </c>
      <c r="C17166" s="25">
        <v>4729.74</v>
      </c>
      <c r="D17166" s="22" t="s">
        <v>22398</v>
      </c>
      <c r="E17166" s="22" t="s">
        <v>9540</v>
      </c>
      <c r="F17166" s="23" t="str">
        <f>HYPERLINK("https://www.spark-marketing.ru/Card/Lot/71273782", "Поставка лекарственного препарата для медицинского применения «Амброксол»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прод...")</f>
        <v>Поставка лекарственного препарата для медицинского применения «Амброксол»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прод...</v>
      </c>
      <c r="G17166" s="22" t="s">
        <v>210</v>
      </c>
      <c r="H17166" s="22" t="s">
        <v>3257</v>
      </c>
      <c r="I17166" s="26">
        <v>43627.418055555601</v>
      </c>
      <c r="J17166" s="28" t="s">
        <v>51</v>
      </c>
      <c r="K17166" s="28" t="s">
        <v>51</v>
      </c>
      <c r="L17166" s="28" t="s">
        <v>51</v>
      </c>
      <c r="M17166" s="28" t="s">
        <v>51</v>
      </c>
      <c r="N17166" s="28" t="s">
        <v>51</v>
      </c>
    </row>
    <row r="17167" spans="1:14" x14ac:dyDescent="0.15">
      <c r="A17167" s="23" t="str">
        <f>HYPERLINK("https://www.spark-marketing.ru/Card/Person/3257", "АДМИНИСТРАЦИЯ ГОРОДА ЮЖНО-САХАЛИНСКА")</f>
        <v>АДМИНИСТРАЦИЯ ГОРОДА ЮЖНО-САХАЛИНСКА</v>
      </c>
      <c r="B17167" s="24" t="s">
        <v>22322</v>
      </c>
      <c r="C17167" s="25">
        <v>36255.25</v>
      </c>
      <c r="D17167" s="22" t="s">
        <v>22399</v>
      </c>
      <c r="E17167" s="22" t="s">
        <v>48</v>
      </c>
      <c r="F17167" s="23" t="str">
        <f>HYPERLINK("https://www.spark-marketing.ru/Card/Lot/71265704", "Оказание услуг по обеспечению питанием для реализации мероприятия «Городская спартакиада инвалидов» подпрограммы №1 «Город без границ на 2015-2021 годы» муниципальной программы «Социальная поддержка населения городского округа «Город Южно-Сахалинск» ...")</f>
        <v>Оказание услуг по обеспечению питанием для реализации мероприятия «Городская спартакиада инвалидов» подпрограммы №1 «Город без границ на 2015-2021 годы» муниципальной программы «Социальная поддержка населения городского округа «Город Южно-Сахалинск» ...</v>
      </c>
      <c r="G17167" s="22" t="s">
        <v>260</v>
      </c>
      <c r="H17167" s="22" t="s">
        <v>804</v>
      </c>
      <c r="I17167" s="26">
        <v>43627.435416666704</v>
      </c>
      <c r="J17167" s="23" t="str">
        <f>HYPERLINK("https://www.spark-marketing.ru/Card/Person/797550", "Герасимов Виктор Юрьевич")</f>
        <v>Герасимов Виктор Юрьевич</v>
      </c>
      <c r="K17167" s="24" t="s">
        <v>3539</v>
      </c>
      <c r="L17167" s="28" t="s">
        <v>51</v>
      </c>
      <c r="M17167" s="28" t="s">
        <v>51</v>
      </c>
      <c r="N17167" s="28" t="s">
        <v>51</v>
      </c>
    </row>
    <row r="17168" spans="1:14" x14ac:dyDescent="0.15">
      <c r="A17168" s="23" t="str">
        <f>HYPERLINK("https://www.spark-marketing.ru/Card/Person/92001", "ГКУ ""ЦЕНТР МТО"" ЗАБАЙКАЛЬСКОГО КРАЯ")</f>
        <v>ГКУ "ЦЕНТР МТО" ЗАБАЙКАЛЬСКОГО КРАЯ</v>
      </c>
      <c r="B17168" s="24" t="s">
        <v>15712</v>
      </c>
      <c r="C17168" s="25">
        <v>33950</v>
      </c>
      <c r="D17168" s="22" t="s">
        <v>22400</v>
      </c>
      <c r="E17168" s="22" t="s">
        <v>96</v>
      </c>
      <c r="F17168" s="23" t="str">
        <f>HYPERLINK("https://www.spark-marketing.ru/Card/Lot/71274739", "Товары, работы или услуги на сумму, не превышающие 100 тыс. руб. (п.4 ч.1 ст.93 44-ФЗ)")</f>
        <v>Товары, работы или услуги на сумму, не превышающие 100 тыс. руб. (п.4 ч.1 ст.93 44-ФЗ)</v>
      </c>
      <c r="G17168" s="22" t="s">
        <v>228</v>
      </c>
      <c r="H17168" s="22" t="s">
        <v>394</v>
      </c>
      <c r="I17168" s="26">
        <v>43627.453472222202</v>
      </c>
      <c r="J17168" s="28" t="s">
        <v>51</v>
      </c>
      <c r="K17168" s="28" t="s">
        <v>51</v>
      </c>
      <c r="L17168" s="28" t="s">
        <v>51</v>
      </c>
      <c r="M17168" s="28" t="s">
        <v>51</v>
      </c>
      <c r="N17168" s="28" t="s">
        <v>51</v>
      </c>
    </row>
    <row r="17169" spans="1:14" x14ac:dyDescent="0.15">
      <c r="A17169" s="23" t="str">
        <f>HYPERLINK("https://www.spark-marketing.ru/Card/Person/92001", "ГКУ ""ЦЕНТР МТО"" ЗАБАЙКАЛЬСКОГО КРАЯ")</f>
        <v>ГКУ "ЦЕНТР МТО" ЗАБАЙКАЛЬСКОГО КРАЯ</v>
      </c>
      <c r="B17169" s="24" t="s">
        <v>15712</v>
      </c>
      <c r="C17169" s="25">
        <v>25500</v>
      </c>
      <c r="D17169" s="22" t="s">
        <v>22401</v>
      </c>
      <c r="E17169" s="22" t="s">
        <v>96</v>
      </c>
      <c r="F17169" s="23" t="str">
        <f>HYPERLINK("https://www.spark-marketing.ru/Card/Lot/71274748", "Товары, работы или услуги на сумму, не превышающие 100 тыс. руб. (п.4 ч.1 ст.93 44-ФЗ)")</f>
        <v>Товары, работы или услуги на сумму, не превышающие 100 тыс. руб. (п.4 ч.1 ст.93 44-ФЗ)</v>
      </c>
      <c r="G17169" s="22" t="s">
        <v>228</v>
      </c>
      <c r="H17169" s="22" t="s">
        <v>394</v>
      </c>
      <c r="I17169" s="26">
        <v>43627.454861111102</v>
      </c>
      <c r="J17169" s="28" t="s">
        <v>51</v>
      </c>
      <c r="K17169" s="28" t="s">
        <v>51</v>
      </c>
      <c r="L17169" s="28" t="s">
        <v>51</v>
      </c>
      <c r="M17169" s="28" t="s">
        <v>51</v>
      </c>
      <c r="N17169" s="28" t="s">
        <v>51</v>
      </c>
    </row>
    <row r="17170" spans="1:14" x14ac:dyDescent="0.15">
      <c r="A17170" s="23" t="str">
        <f>HYPERLINK("https://www.spark-marketing.ru/Card/Person/133569", "МО МВД РОССИИ ""УСТЬ-КУТСКИЙ""")</f>
        <v>МО МВД РОССИИ "УСТЬ-КУТСКИЙ"</v>
      </c>
      <c r="B17170" s="24" t="s">
        <v>3540</v>
      </c>
      <c r="C17170" s="25">
        <v>1000000</v>
      </c>
      <c r="D17170" s="22" t="s">
        <v>22402</v>
      </c>
      <c r="E17170" s="22" t="s">
        <v>48</v>
      </c>
      <c r="F17170" s="23" t="str">
        <f>HYPERLINK("https://www.spark-marketing.ru/Card/Lot/71269090", "Прочая закупка товаров, работ и услуг (Оказание услуг по доставке и организации ежедневного трехразового питания лиц подозреваемых и обвиняемых, административно-арестованных лиц, содержащихся в ИВС Межмуниципального отдела Министерства внутренних дел...")</f>
        <v>Прочая закупка товаров, работ и услуг (Оказание услуг по доставке и организации ежедневного трехразового питания лиц подозреваемых и обвиняемых, административно-арестованных лиц, содержащихся в ИВС Межмуниципального отдела Министерства внутренних дел...</v>
      </c>
      <c r="G17170" s="22" t="s">
        <v>263</v>
      </c>
      <c r="H17170" s="22" t="s">
        <v>3542</v>
      </c>
      <c r="I17170" s="26">
        <v>43627.4555555556</v>
      </c>
      <c r="J17170" s="28" t="s">
        <v>51</v>
      </c>
      <c r="K17170" s="28" t="s">
        <v>51</v>
      </c>
      <c r="L17170" s="28" t="s">
        <v>51</v>
      </c>
      <c r="M17170" s="28" t="s">
        <v>51</v>
      </c>
      <c r="N17170" s="28" t="s">
        <v>51</v>
      </c>
    </row>
    <row r="17171" spans="1:14" x14ac:dyDescent="0.15">
      <c r="A17171" s="23" t="str">
        <f>HYPERLINK("https://www.spark-marketing.ru/Card/Person/133569", "МО МВД РОССИИ ""УСТЬ-КУТСКИЙ""")</f>
        <v>МО МВД РОССИИ "УСТЬ-КУТСКИЙ"</v>
      </c>
      <c r="B17171" s="24" t="s">
        <v>3540</v>
      </c>
      <c r="C17171" s="25">
        <v>1000000</v>
      </c>
      <c r="D17171" s="22" t="s">
        <v>22403</v>
      </c>
      <c r="E17171" s="22" t="s">
        <v>48</v>
      </c>
      <c r="F17171" s="23" t="str">
        <f>HYPERLINK("https://www.spark-marketing.ru/Card/Lot/71269091", "Прочая закупка товаров, работ и услуг (Оказание услуг по доставке и организации ежедневного трехразового питания лиц подозреваемых и обвиняемых, административно-арестованных лиц, содержащихся в ИВС Межмуниципального отдела Министерства внутренних дел...")</f>
        <v>Прочая закупка товаров, работ и услуг (Оказание услуг по доставке и организации ежедневного трехразового питания лиц подозреваемых и обвиняемых, административно-арестованных лиц, содержащихся в ИВС Межмуниципального отдела Министерства внутренних дел...</v>
      </c>
      <c r="G17171" s="22" t="s">
        <v>263</v>
      </c>
      <c r="H17171" s="22" t="s">
        <v>3542</v>
      </c>
      <c r="I17171" s="26">
        <v>43627.454861111102</v>
      </c>
      <c r="J17171" s="28" t="s">
        <v>51</v>
      </c>
      <c r="K17171" s="28" t="s">
        <v>51</v>
      </c>
      <c r="L17171" s="28" t="s">
        <v>51</v>
      </c>
      <c r="M17171" s="28" t="s">
        <v>51</v>
      </c>
      <c r="N17171" s="28" t="s">
        <v>51</v>
      </c>
    </row>
    <row r="17172" spans="1:14" x14ac:dyDescent="0.15">
      <c r="A17172" s="23" t="str">
        <f>HYPERLINK("https://www.spark-marketing.ru/Card/Person/114626", "ГБУ КО ПОО ""ТЕХНОЛОГИЧЕСКИЙ КОЛЛЕДЖ""")</f>
        <v>ГБУ КО ПОО "ТЕХНОЛОГИЧЕСКИЙ КОЛЛЕДЖ"</v>
      </c>
      <c r="B17172" s="24" t="s">
        <v>9878</v>
      </c>
      <c r="C17172" s="25">
        <v>65480</v>
      </c>
      <c r="D17172" s="22" t="s">
        <v>22404</v>
      </c>
      <c r="E17172" s="22" t="s">
        <v>48</v>
      </c>
      <c r="F17172" s="23" t="str">
        <f>HYPERLINK("https://www.spark-marketing.ru/Card/Lot/71273775", "Оказание услуг по организации питания при организации занятости, отдыха и оздоровления обучающихся в профильных сменах на базе образовательных организаций Калининградской области")</f>
        <v>Оказание услуг по организации питания при организации занятости, отдыха и оздоровления обучающихся в профильных сменах на базе образовательных организаций Калининградской области</v>
      </c>
      <c r="G17172" s="22" t="s">
        <v>400</v>
      </c>
      <c r="H17172" s="22" t="s">
        <v>2279</v>
      </c>
      <c r="I17172" s="26">
        <v>43627.417361111096</v>
      </c>
      <c r="J17172" s="28" t="s">
        <v>51</v>
      </c>
      <c r="K17172" s="28" t="s">
        <v>51</v>
      </c>
      <c r="L17172" s="28" t="s">
        <v>51</v>
      </c>
      <c r="M17172" s="28" t="s">
        <v>51</v>
      </c>
      <c r="N17172" s="28" t="s">
        <v>51</v>
      </c>
    </row>
    <row r="17173" spans="1:14" x14ac:dyDescent="0.15">
      <c r="A17173" s="23" t="str">
        <f>HYPERLINK("https://www.spark-marketing.ru/Card/Person/8111", "КГБУЗ ""ДОМ РЕБЕНКА СПЕЦИАЛИЗИРОВАННЫЙ, Г. БИЙСК"" И КГБУЗ ""ДРС, Г. БИЙСК""")</f>
        <v>КГБУЗ "ДОМ РЕБЕНКА СПЕЦИАЛИЗИРОВАННЫЙ, Г. БИЙСК" И КГБУЗ "ДРС, Г. БИЙСК"</v>
      </c>
      <c r="B17173" s="24" t="s">
        <v>11413</v>
      </c>
      <c r="C17173" s="25">
        <v>12452.44</v>
      </c>
      <c r="D17173" s="22" t="s">
        <v>22405</v>
      </c>
      <c r="E17173" s="22" t="s">
        <v>336</v>
      </c>
      <c r="F17173" s="23" t="str">
        <f>HYPERLINK("https://www.spark-marketing.ru/Card/Lot/71273940", "Товары,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закона)")</f>
        <v>Товары, работы или услуги на сумму, не превышающую 100 тыс. рублей (в случае заключения заказчиком контракта в соответствии с пунктом 4 части 1 статьи 93 Федерального закона)</v>
      </c>
      <c r="G17173" s="22" t="s">
        <v>63</v>
      </c>
      <c r="H17173" s="22" t="s">
        <v>1294</v>
      </c>
      <c r="I17173" s="26">
        <v>43627.427777777797</v>
      </c>
      <c r="J17173" s="28" t="s">
        <v>51</v>
      </c>
      <c r="K17173" s="28" t="s">
        <v>51</v>
      </c>
      <c r="L17173" s="28" t="s">
        <v>51</v>
      </c>
      <c r="M17173" s="28" t="s">
        <v>51</v>
      </c>
      <c r="N17173" s="28" t="s">
        <v>51</v>
      </c>
    </row>
    <row r="17174" spans="1:14" x14ac:dyDescent="0.15">
      <c r="A17174" s="23" t="str">
        <f>HYPERLINK("https://www.spark-marketing.ru/Card/Person/64935", "УМВД РОССИИ ПО Г. КУРСКУ")</f>
        <v>УМВД РОССИИ ПО Г. КУРСКУ</v>
      </c>
      <c r="B17174" s="24" t="s">
        <v>1109</v>
      </c>
      <c r="C17174" s="25">
        <v>329400</v>
      </c>
      <c r="D17174" s="22" t="s">
        <v>22406</v>
      </c>
      <c r="E17174" s="22" t="s">
        <v>96</v>
      </c>
      <c r="F17174" s="23" t="str">
        <f>HYPERLINK("https://www.spark-marketing.ru/Card/Lot/71283188", "Оказание услуг по организации питания лицам, содержащимся в изоляторе временного содержания подозреваемых и обвиняемых УМВД России по г. Курску")</f>
        <v>Оказание услуг по организации питания лицам, содержащимся в изоляторе временного содержания подозреваемых и обвиняемых УМВД России по г. Курску</v>
      </c>
      <c r="G17174" s="22" t="s">
        <v>1111</v>
      </c>
      <c r="H17174" s="22" t="s">
        <v>1112</v>
      </c>
      <c r="I17174" s="26">
        <v>43627.425694444399</v>
      </c>
      <c r="J17174" s="23" t="str">
        <f>HYPERLINK("https://www.spark-marketing.ru/Card/Person/671861", "ООО ""КОНГРЕСС""")</f>
        <v>ООО "КОНГРЕСС"</v>
      </c>
      <c r="K17174" s="24" t="s">
        <v>4512</v>
      </c>
      <c r="L17174" s="22" t="s">
        <v>10</v>
      </c>
      <c r="M17174" s="28" t="s">
        <v>51</v>
      </c>
      <c r="N17174" s="28" t="s">
        <v>51</v>
      </c>
    </row>
    <row r="17175" spans="1:14" x14ac:dyDescent="0.15">
      <c r="A17175" s="23" t="str">
        <f>HYPERLINK("https://www.spark-marketing.ru/Card/Person/4352228", "ГАУ СО ""ЦСМ""")</f>
        <v>ГАУ СО "ЦСМ"</v>
      </c>
      <c r="B17175" s="24" t="s">
        <v>22370</v>
      </c>
      <c r="C17175" s="25">
        <v>300000</v>
      </c>
      <c r="D17175" s="22" t="s">
        <v>22407</v>
      </c>
      <c r="E17175" s="22" t="s">
        <v>580</v>
      </c>
      <c r="F17175" s="23" t="str">
        <f>HYPERLINK("https://www.spark-marketing.ru/Card/Lot/71273382", "Оказание услуг по организации горячего питания участников мероприятия «Международный боксерский форум»")</f>
        <v>Оказание услуг по организации горячего питания участников мероприятия «Международный боксерский форум»</v>
      </c>
      <c r="G17175" s="22" t="s">
        <v>174</v>
      </c>
      <c r="H17175" s="22" t="s">
        <v>174</v>
      </c>
      <c r="I17175" s="26">
        <v>43627.4558680556</v>
      </c>
      <c r="J17175" s="28" t="s">
        <v>51</v>
      </c>
      <c r="K17175" s="28" t="s">
        <v>51</v>
      </c>
      <c r="L17175" s="28" t="s">
        <v>51</v>
      </c>
      <c r="M17175" s="28" t="s">
        <v>51</v>
      </c>
      <c r="N17175" s="28" t="s">
        <v>51</v>
      </c>
    </row>
    <row r="17176" spans="1:14" x14ac:dyDescent="0.15">
      <c r="A17176" s="23" t="str">
        <f>HYPERLINK("https://www.spark-marketing.ru/Card/Person/977079", "КГАУ ""СШОР ПО ВОЛЕЙБОЛУ ""ЕНИСЕЙ"" ИМЕНИ Э.А. НОСКОВА""")</f>
        <v>КГАУ "СШОР ПО ВОЛЕЙБОЛУ "ЕНИСЕЙ" ИМЕНИ Э.А. НОСКОВА"</v>
      </c>
      <c r="B17176" s="24" t="s">
        <v>14587</v>
      </c>
      <c r="C17176" s="25">
        <v>369600</v>
      </c>
      <c r="D17176" s="22" t="s">
        <v>22408</v>
      </c>
      <c r="E17176" s="22" t="s">
        <v>362</v>
      </c>
      <c r="F17176" s="23" t="str">
        <f>HYPERLINK("https://www.spark-marketing.ru/Card/Lot/71269257", "оказание услуг по организации питания в рамках тренировочного сбора (в т.ч. в каникулярный период)")</f>
        <v>оказание услуг по организации питания в рамках тренировочного сбора (в т.ч. в каникулярный период)</v>
      </c>
      <c r="G17176" s="22" t="s">
        <v>281</v>
      </c>
      <c r="H17176" s="22" t="s">
        <v>281</v>
      </c>
      <c r="I17176" s="26">
        <v>43627.449583333299</v>
      </c>
      <c r="J17176" s="28" t="s">
        <v>51</v>
      </c>
      <c r="K17176" s="28" t="s">
        <v>51</v>
      </c>
      <c r="L17176" s="28" t="s">
        <v>51</v>
      </c>
      <c r="M17176" s="28" t="s">
        <v>51</v>
      </c>
      <c r="N17176" s="28" t="s">
        <v>51</v>
      </c>
    </row>
    <row r="17177" spans="1:14" x14ac:dyDescent="0.15">
      <c r="A17177" s="23" t="str">
        <f>HYPERLINK("https://www.spark-marketing.ru/Card/Person/4416161", "АО ""РОСТОВАЭРОИНВЕСТ""")</f>
        <v>АО "РОСТОВАЭРОИНВЕСТ"</v>
      </c>
      <c r="B17177" s="24" t="s">
        <v>22409</v>
      </c>
      <c r="C17177" s="25">
        <v>3684000</v>
      </c>
      <c r="D17177" s="22" t="s">
        <v>22410</v>
      </c>
      <c r="E17177" s="22" t="s">
        <v>22411</v>
      </c>
      <c r="F17177" s="23" t="str">
        <f>HYPERLINK("https://www.spark-marketing.ru/Card/Lot/71271544", "Услуги по организации питания в ВИП терминале")</f>
        <v>Услуги по организации питания в ВИП терминале</v>
      </c>
      <c r="G17177" s="22" t="s">
        <v>267</v>
      </c>
      <c r="H17177" s="22" t="s">
        <v>590</v>
      </c>
      <c r="I17177" s="26">
        <v>43627.3913888889</v>
      </c>
      <c r="J17177" s="28" t="s">
        <v>51</v>
      </c>
      <c r="K17177" s="28" t="s">
        <v>51</v>
      </c>
      <c r="L17177" s="28" t="s">
        <v>51</v>
      </c>
      <c r="M17177" s="28" t="s">
        <v>51</v>
      </c>
      <c r="N17177" s="28" t="s">
        <v>51</v>
      </c>
    </row>
    <row r="17178" spans="1:14" x14ac:dyDescent="0.15">
      <c r="A17178" s="23" t="str">
        <f>HYPERLINK("https://www.spark-marketing.ru/Card/Person/286743", "ООО ""КАЛИНИНСКАЯ АЭС-СЕРВИС""")</f>
        <v>ООО "КАЛИНИНСКАЯ АЭС-СЕРВИС"</v>
      </c>
      <c r="B17178" s="24" t="s">
        <v>9440</v>
      </c>
      <c r="C17178" s="28" t="s">
        <v>51</v>
      </c>
      <c r="D17178" s="22" t="s">
        <v>22412</v>
      </c>
      <c r="E17178" s="22" t="s">
        <v>96</v>
      </c>
      <c r="F17178" s="23" t="str">
        <f>HYPERLINK("https://www.spark-marketing.ru/Card/Lot/71279630", "Услуга по обучению персонала ""Особенности учета на предприятиях общественного питания и их отражение в программном продукте ""1С:Общепит 8"".")</f>
        <v>Услуга по обучению персонала "Особенности учета на предприятиях общественного питания и их отражение в программном продукте "1С:Общепит 8".</v>
      </c>
      <c r="G17178" s="22" t="s">
        <v>137</v>
      </c>
      <c r="H17178" s="22" t="s">
        <v>8392</v>
      </c>
      <c r="I17178" s="26">
        <v>43627.375740740703</v>
      </c>
      <c r="J17178" s="28" t="s">
        <v>51</v>
      </c>
      <c r="K17178" s="28" t="s">
        <v>51</v>
      </c>
      <c r="L17178" s="28" t="s">
        <v>51</v>
      </c>
      <c r="M17178" s="28" t="s">
        <v>51</v>
      </c>
      <c r="N17178" s="28" t="s">
        <v>51</v>
      </c>
    </row>
    <row r="17179" spans="1:14" x14ac:dyDescent="0.15">
      <c r="A17179" s="23" t="str">
        <f>HYPERLINK("https://www.spark-marketing.ru/Card/Person/103985", "МОУ ТСОШ № 14")</f>
        <v>МОУ ТСОШ № 14</v>
      </c>
      <c r="B17179" s="24" t="s">
        <v>22413</v>
      </c>
      <c r="C17179" s="25">
        <v>291948</v>
      </c>
      <c r="D17179" s="22" t="s">
        <v>22414</v>
      </c>
      <c r="E17179" s="22" t="s">
        <v>22415</v>
      </c>
      <c r="F17179" s="23" t="str">
        <f>HYPERLINK("https://www.spark-marketing.ru/Card/Lot/71273397", "Поставка и монтаж автоматического комплекса безопасности и предоставление телематических услуг")</f>
        <v>Поставка и монтаж автоматического комплекса безопасности и предоставление телематических услуг</v>
      </c>
      <c r="G17179" s="22" t="s">
        <v>49</v>
      </c>
      <c r="H17179" s="22" t="s">
        <v>2995</v>
      </c>
      <c r="I17179" s="26">
        <v>43627.3996064815</v>
      </c>
      <c r="J17179" s="28" t="s">
        <v>51</v>
      </c>
      <c r="K17179" s="28" t="s">
        <v>51</v>
      </c>
      <c r="L17179" s="28" t="s">
        <v>51</v>
      </c>
      <c r="M17179" s="28" t="s">
        <v>51</v>
      </c>
      <c r="N17179" s="28" t="s">
        <v>51</v>
      </c>
    </row>
    <row r="17180" spans="1:14" x14ac:dyDescent="0.15">
      <c r="A17180" s="23" t="str">
        <f>HYPERLINK("https://www.spark-marketing.ru/Card/Person/6626046", "ЗАПАДНО СИБИРСКАЯ ДИРЕКЦИЯ ПО РЕМОНТУ ПУТИ – СТРУКТУРНОЕ ПОДРАЗДЕЛЕНИЕ ЦЕНТРАЛЬНОЙ ДИРЕКЦИИ ПО РЕМОНТУ ПУТИ – ФЛ ОАО РЖД")</f>
        <v>ЗАПАДНО СИБИРСКАЯ ДИРЕКЦИЯ ПО РЕМОНТУ ПУТИ – СТРУКТУРНОЕ ПОДРАЗДЕЛЕНИЕ ЦЕНТРАЛЬНОЙ ДИРЕКЦИИ ПО РЕМОНТУ ПУТИ – ФЛ ОАО РЖД</v>
      </c>
      <c r="B17180" s="24" t="s">
        <v>330</v>
      </c>
      <c r="C17180" s="25">
        <v>98516</v>
      </c>
      <c r="D17180" s="28" t="s">
        <v>51</v>
      </c>
      <c r="E17180" s="22" t="s">
        <v>21481</v>
      </c>
      <c r="F17180" s="23" t="str">
        <f>HYPERLINK("https://www.spark-marketing.ru/Card/Lot/72425575", "№18580 Оказание услуг по сбору, транспортированию, обезвреживанию, утилизации и захоронению отходов IV-V класса опасности.")</f>
        <v>№18580 Оказание услуг по сбору, транспортированию, обезвреживанию, утилизации и захоронению отходов IV-V класса опасности.</v>
      </c>
      <c r="G17180" s="22" t="s">
        <v>51</v>
      </c>
      <c r="H17180" s="22" t="s">
        <v>51</v>
      </c>
      <c r="I17180" s="26">
        <v>43627.4089467593</v>
      </c>
      <c r="J17180" s="28" t="s">
        <v>51</v>
      </c>
      <c r="K17180" s="28" t="s">
        <v>51</v>
      </c>
      <c r="L17180" s="28" t="s">
        <v>51</v>
      </c>
      <c r="M17180" s="28" t="s">
        <v>51</v>
      </c>
      <c r="N17180" s="28" t="s">
        <v>51</v>
      </c>
    </row>
    <row r="17181" spans="1:14" x14ac:dyDescent="0.15">
      <c r="A17181" s="23" t="str">
        <f>HYPERLINK("https://www.spark-marketing.ru/Card/Person/947535", "ОТДЕЛ МВД РОССИИ ПО НОВОАЛЕКСАНДРОВСКОМУ ГОРОДСКОМУ ОКРУГУ")</f>
        <v>ОТДЕЛ МВД РОССИИ ПО НОВОАЛЕКСАНДРОВСКОМУ ГОРОДСКОМУ ОКРУГУ</v>
      </c>
      <c r="B17181" s="24" t="s">
        <v>14844</v>
      </c>
      <c r="C17181" s="25">
        <v>722700</v>
      </c>
      <c r="D17181" s="22" t="s">
        <v>22416</v>
      </c>
      <c r="E17181" s="22" t="s">
        <v>48</v>
      </c>
      <c r="F17181" s="23" t="str">
        <f>HYPERLINK("https://www.spark-marketing.ru/Card/Lot/71276782", "Питание ИВС 2021 г.")</f>
        <v>Питание ИВС 2021 г.</v>
      </c>
      <c r="G17181" s="22" t="s">
        <v>87</v>
      </c>
      <c r="H17181" s="22" t="s">
        <v>14846</v>
      </c>
      <c r="I17181" s="26">
        <v>43627.390972222202</v>
      </c>
      <c r="J17181" s="23" t="str">
        <f>HYPERLINK("https://www.spark-marketing.ru/Card/Person/6436035", "ООО ""СТАВЮГОПТ""")</f>
        <v>ООО "СТАВЮГОПТ"</v>
      </c>
      <c r="K17181" s="24" t="s">
        <v>14847</v>
      </c>
      <c r="L17181" s="22" t="s">
        <v>10</v>
      </c>
      <c r="M17181" s="28" t="s">
        <v>51</v>
      </c>
      <c r="N17181" s="28" t="s">
        <v>51</v>
      </c>
    </row>
    <row r="17182" spans="1:14" x14ac:dyDescent="0.15">
      <c r="A17182" s="23" t="str">
        <f>HYPERLINK("https://www.spark-marketing.ru/Card/Person/4348382", "ООО ""ГАЗПРОМ ПИТАНИЕ""")</f>
        <v>ООО "ГАЗПРОМ ПИТАНИЕ"</v>
      </c>
      <c r="B17182" s="24" t="s">
        <v>2869</v>
      </c>
      <c r="C17182" s="25">
        <v>76860</v>
      </c>
      <c r="D17182" s="22" t="s">
        <v>22417</v>
      </c>
      <c r="E17182" s="22" t="s">
        <v>52</v>
      </c>
      <c r="F17182" s="23" t="str">
        <f>HYPERLINK("https://www.spark-marketing.ru/Card/Lot/71273765", "Проведение медицинского осмотра для нужд филиала ""томское уооп"" ооо «газпром питание» с. александровское")</f>
        <v>Проведение медицинского осмотра для нужд филиала "томское уооп" ооо «газпром питание» с. александровское</v>
      </c>
      <c r="G17182" s="22" t="s">
        <v>56</v>
      </c>
      <c r="H17182" s="22" t="s">
        <v>56</v>
      </c>
      <c r="I17182" s="26">
        <v>43627.385416666701</v>
      </c>
      <c r="J17182" s="28" t="s">
        <v>51</v>
      </c>
      <c r="K17182" s="28" t="s">
        <v>51</v>
      </c>
      <c r="L17182" s="28" t="s">
        <v>51</v>
      </c>
      <c r="M17182" s="28" t="s">
        <v>51</v>
      </c>
      <c r="N17182" s="28" t="s">
        <v>51</v>
      </c>
    </row>
    <row r="17183" spans="1:14" x14ac:dyDescent="0.15">
      <c r="A17183" s="23" t="str">
        <f>HYPERLINK("https://www.spark-marketing.ru/Card/Person/38694", "ФГУП ""МОСКОВСКОЕ ПРОП"" МИНТРУДА РОССИИ")</f>
        <v>ФГУП "МОСКОВСКОЕ ПРОП" МИНТРУДА РОССИИ</v>
      </c>
      <c r="B17183" s="24" t="s">
        <v>521</v>
      </c>
      <c r="C17183" s="25">
        <v>364875</v>
      </c>
      <c r="D17183" s="22" t="s">
        <v>22418</v>
      </c>
      <c r="E17183" s="22" t="s">
        <v>48</v>
      </c>
      <c r="F17183" s="23" t="str">
        <f>HYPERLINK("https://www.spark-marketing.ru/Card/Lot/71276963", "Оказание услуг по приготовлению и поставке готовых блюд лечебного питания пациентам стационара сложного протезирования «Йошкар-Олинского» филиала ФГУП «Московское ПрОП» Минтруда России")</f>
        <v>Оказание услуг по приготовлению и поставке готовых блюд лечебного питания пациентам стационара сложного протезирования «Йошкар-Олинского» филиала ФГУП «Московское ПрОП» Минтруда России</v>
      </c>
      <c r="G17183" s="22" t="s">
        <v>3249</v>
      </c>
      <c r="H17183" s="22" t="s">
        <v>3249</v>
      </c>
      <c r="I17183" s="26">
        <v>43627.390972222202</v>
      </c>
      <c r="J17183" s="23" t="str">
        <f>HYPERLINK("https://www.spark-marketing.ru/Card/Person/10871", "ГБУ РМЭ РКБ")</f>
        <v>ГБУ РМЭ РКБ</v>
      </c>
      <c r="K17183" s="24" t="s">
        <v>22419</v>
      </c>
      <c r="L17183" s="22" t="s">
        <v>10</v>
      </c>
      <c r="M17183" s="28" t="s">
        <v>51</v>
      </c>
      <c r="N17183" s="28" t="s">
        <v>51</v>
      </c>
    </row>
    <row r="17184" spans="1:14" x14ac:dyDescent="0.15">
      <c r="A17184" s="23" t="str">
        <f>HYPERLINK("https://www.spark-marketing.ru/Card/Person/11947", "ГБУ КО ""МФЦ КАЛУЖСКОЙ ОБЛАСТИ""")</f>
        <v>ГБУ КО "МФЦ КАЛУЖСКОЙ ОБЛАСТИ"</v>
      </c>
      <c r="B17184" s="24" t="s">
        <v>5883</v>
      </c>
      <c r="C17184" s="25">
        <v>85000</v>
      </c>
      <c r="D17184" s="22" t="s">
        <v>22420</v>
      </c>
      <c r="E17184" s="22" t="s">
        <v>91</v>
      </c>
      <c r="F17184" s="23" t="str">
        <f>HYPERLINK("https://www.spark-marketing.ru/Card/Lot/71274546", "Оказание услуг по ремонту источников бесперебойного питания")</f>
        <v>Оказание услуг по ремонту источников бесперебойного питания</v>
      </c>
      <c r="G17184" s="22" t="s">
        <v>112</v>
      </c>
      <c r="H17184" s="22" t="s">
        <v>389</v>
      </c>
      <c r="I17184" s="26">
        <v>43627.386111111096</v>
      </c>
      <c r="J17184" s="23" t="str">
        <f>HYPERLINK("https://www.spark-marketing.ru/Card/Person/5873778", "Асмолов Владимир Владимирович")</f>
        <v>Асмолов Владимир Владимирович</v>
      </c>
      <c r="K17184" s="24" t="s">
        <v>7886</v>
      </c>
      <c r="L17184" s="22" t="s">
        <v>10</v>
      </c>
      <c r="M17184" s="28" t="s">
        <v>51</v>
      </c>
      <c r="N17184" s="28" t="s">
        <v>51</v>
      </c>
    </row>
    <row r="17185" spans="1:14" x14ac:dyDescent="0.15">
      <c r="A17185" s="23" t="str">
        <f>HYPERLINK("https://www.spark-marketing.ru/Card/Person/1006004", "МБОУ ""СРЕДНЯЯ ОБЩЕОБРАЗОВАТЕЛЬНАЯ ШКОЛА №17""")</f>
        <v>МБОУ "СРЕДНЯЯ ОБЩЕОБРАЗОВАТЕЛЬНАЯ ШКОЛА №17"</v>
      </c>
      <c r="B17185" s="24" t="s">
        <v>16941</v>
      </c>
      <c r="C17185" s="25">
        <v>315785.40000000002</v>
      </c>
      <c r="D17185" s="22" t="s">
        <v>22421</v>
      </c>
      <c r="E17185" s="22" t="s">
        <v>48</v>
      </c>
      <c r="F17185" s="23" t="str">
        <f>HYPERLINK("https://www.spark-marketing.ru/Card/Lot/71272387", "Услуга по организации питания в пришкольных лагерях")</f>
        <v>Услуга по организации питания в пришкольных лагерях</v>
      </c>
      <c r="G17185" s="22" t="s">
        <v>696</v>
      </c>
      <c r="H17185" s="22" t="s">
        <v>4697</v>
      </c>
      <c r="I17185" s="26">
        <v>43627.404166666704</v>
      </c>
      <c r="J17185" s="28" t="s">
        <v>51</v>
      </c>
      <c r="K17185" s="28" t="s">
        <v>51</v>
      </c>
      <c r="L17185" s="28" t="s">
        <v>51</v>
      </c>
      <c r="M17185" s="28" t="s">
        <v>51</v>
      </c>
      <c r="N17185" s="28" t="s">
        <v>51</v>
      </c>
    </row>
    <row r="17186" spans="1:14" x14ac:dyDescent="0.15">
      <c r="A17186" s="23" t="str">
        <f>HYPERLINK("https://www.spark-marketing.ru/Card/Person/6487012", "МБОУ ""ЦО ""ПЕРСПЕКТИВА""")</f>
        <v>МБОУ "ЦО "ПЕРСПЕКТИВА"</v>
      </c>
      <c r="B17186" s="24" t="s">
        <v>16916</v>
      </c>
      <c r="C17186" s="25">
        <v>321669.59999999998</v>
      </c>
      <c r="D17186" s="22" t="s">
        <v>22422</v>
      </c>
      <c r="E17186" s="22" t="s">
        <v>48</v>
      </c>
      <c r="F17186" s="23" t="str">
        <f>HYPERLINK("https://www.spark-marketing.ru/Card/Lot/71272498", "Услуга по организации питания в пришкольных лагерях")</f>
        <v>Услуга по организации питания в пришкольных лагерях</v>
      </c>
      <c r="G17186" s="22" t="s">
        <v>696</v>
      </c>
      <c r="H17186" s="22" t="s">
        <v>4697</v>
      </c>
      <c r="I17186" s="26">
        <v>43627.401388888902</v>
      </c>
      <c r="J17186" s="28" t="s">
        <v>51</v>
      </c>
      <c r="K17186" s="28" t="s">
        <v>51</v>
      </c>
      <c r="L17186" s="28" t="s">
        <v>51</v>
      </c>
      <c r="M17186" s="28" t="s">
        <v>51</v>
      </c>
      <c r="N17186" s="28" t="s">
        <v>51</v>
      </c>
    </row>
    <row r="17187" spans="1:14" x14ac:dyDescent="0.15">
      <c r="A17187" s="23" t="str">
        <f>HYPERLINK("https://www.spark-marketing.ru/Card/Person/999759", "МБОУ ""СОШ № 28 С УГЛУБЛЕННЫМ ИЗУЧЕНИЕМ ОТДЕЛЬНЫХ ПРЕДМЕТОВ ИМЕНИ А. А. УГАРОВА""")</f>
        <v>МБОУ "СОШ № 28 С УГЛУБЛЕННЫМ ИЗУЧЕНИЕМ ОТДЕЛЬНЫХ ПРЕДМЕТОВ ИМЕНИ А. А. УГАРОВА"</v>
      </c>
      <c r="B17187" s="24" t="s">
        <v>16925</v>
      </c>
      <c r="C17187" s="25">
        <v>264789</v>
      </c>
      <c r="D17187" s="22" t="s">
        <v>22423</v>
      </c>
      <c r="E17187" s="22" t="s">
        <v>48</v>
      </c>
      <c r="F17187" s="23" t="str">
        <f>HYPERLINK("https://www.spark-marketing.ru/Card/Lot/71272395", "Услуга по организации питания в пришкольных лагерях")</f>
        <v>Услуга по организации питания в пришкольных лагерях</v>
      </c>
      <c r="G17187" s="22" t="s">
        <v>696</v>
      </c>
      <c r="H17187" s="22" t="s">
        <v>4697</v>
      </c>
      <c r="I17187" s="26">
        <v>43627.405555555597</v>
      </c>
      <c r="J17187" s="28" t="s">
        <v>51</v>
      </c>
      <c r="K17187" s="28" t="s">
        <v>51</v>
      </c>
      <c r="L17187" s="28" t="s">
        <v>51</v>
      </c>
      <c r="M17187" s="28" t="s">
        <v>51</v>
      </c>
      <c r="N17187" s="28" t="s">
        <v>51</v>
      </c>
    </row>
    <row r="17188" spans="1:14" x14ac:dyDescent="0.15">
      <c r="A17188" s="23" t="str">
        <f>HYPERLINK("https://www.spark-marketing.ru/Card/Person/947535", "ОТДЕЛ МВД РОССИИ ПО НОВОАЛЕКСАНДРОВСКОМУ ГОРОДСКОМУ ОКРУГУ")</f>
        <v>ОТДЕЛ МВД РОССИИ ПО НОВОАЛЕКСАНДРОВСКОМУ ГОРОДСКОМУ ОКРУГУ</v>
      </c>
      <c r="B17188" s="24" t="s">
        <v>14844</v>
      </c>
      <c r="C17188" s="25">
        <v>722700</v>
      </c>
      <c r="D17188" s="22" t="s">
        <v>22424</v>
      </c>
      <c r="E17188" s="22" t="s">
        <v>48</v>
      </c>
      <c r="F17188" s="23" t="str">
        <f>HYPERLINK("https://www.spark-marketing.ru/Card/Lot/71276781", "Питание ИВС 2020")</f>
        <v>Питание ИВС 2020</v>
      </c>
      <c r="G17188" s="22" t="s">
        <v>87</v>
      </c>
      <c r="H17188" s="22" t="s">
        <v>14846</v>
      </c>
      <c r="I17188" s="26">
        <v>43627.390972222202</v>
      </c>
      <c r="J17188" s="23" t="str">
        <f>HYPERLINK("https://www.spark-marketing.ru/Card/Person/6436035", "ООО ""СТАВЮГОПТ""")</f>
        <v>ООО "СТАВЮГОПТ"</v>
      </c>
      <c r="K17188" s="24" t="s">
        <v>14847</v>
      </c>
      <c r="L17188" s="22" t="s">
        <v>10</v>
      </c>
      <c r="M17188" s="28" t="s">
        <v>51</v>
      </c>
      <c r="N17188" s="28" t="s">
        <v>51</v>
      </c>
    </row>
    <row r="17189" spans="1:14" x14ac:dyDescent="0.15">
      <c r="A17189" s="23" t="str">
        <f>HYPERLINK("https://www.spark-marketing.ru/Card/Person/1006692", "МБОУ ""ООШ №15""")</f>
        <v>МБОУ "ООШ №15"</v>
      </c>
      <c r="B17189" s="24" t="s">
        <v>16943</v>
      </c>
      <c r="C17189" s="25">
        <v>294210</v>
      </c>
      <c r="D17189" s="22" t="s">
        <v>22425</v>
      </c>
      <c r="E17189" s="22" t="s">
        <v>48</v>
      </c>
      <c r="F17189" s="23" t="str">
        <f>HYPERLINK("https://www.spark-marketing.ru/Card/Lot/71272376", "Услуга по организации питания в пришкольных лагерях")</f>
        <v>Услуга по организации питания в пришкольных лагерях</v>
      </c>
      <c r="G17189" s="22" t="s">
        <v>696</v>
      </c>
      <c r="H17189" s="22" t="s">
        <v>4697</v>
      </c>
      <c r="I17189" s="26">
        <v>43627.402777777803</v>
      </c>
      <c r="J17189" s="28" t="s">
        <v>51</v>
      </c>
      <c r="K17189" s="28" t="s">
        <v>51</v>
      </c>
      <c r="L17189" s="28" t="s">
        <v>51</v>
      </c>
      <c r="M17189" s="28" t="s">
        <v>51</v>
      </c>
      <c r="N17189" s="28" t="s">
        <v>51</v>
      </c>
    </row>
    <row r="17190" spans="1:14" x14ac:dyDescent="0.15">
      <c r="A17190" s="23" t="str">
        <f>HYPERLINK("https://www.spark-marketing.ru/Card/Person/998861", "МБОУ ""ГИМНАЗИЯ №18""")</f>
        <v>МБОУ "ГИМНАЗИЯ №18"</v>
      </c>
      <c r="B17190" s="24" t="s">
        <v>16921</v>
      </c>
      <c r="C17190" s="25">
        <v>217715.4</v>
      </c>
      <c r="D17190" s="22" t="s">
        <v>22426</v>
      </c>
      <c r="E17190" s="22" t="s">
        <v>48</v>
      </c>
      <c r="F17190" s="23" t="str">
        <f>HYPERLINK("https://www.spark-marketing.ru/Card/Lot/71272392", "Услуга по организации питания в пришкольных лагерях")</f>
        <v>Услуга по организации питания в пришкольных лагерях</v>
      </c>
      <c r="G17190" s="22" t="s">
        <v>696</v>
      </c>
      <c r="H17190" s="22" t="s">
        <v>4697</v>
      </c>
      <c r="I17190" s="26">
        <v>43627.405555555597</v>
      </c>
      <c r="J17190" s="28" t="s">
        <v>51</v>
      </c>
      <c r="K17190" s="28" t="s">
        <v>51</v>
      </c>
      <c r="L17190" s="28" t="s">
        <v>51</v>
      </c>
      <c r="M17190" s="28" t="s">
        <v>51</v>
      </c>
      <c r="N17190" s="28" t="s">
        <v>51</v>
      </c>
    </row>
    <row r="17191" spans="1:14" x14ac:dyDescent="0.15">
      <c r="A17191" s="23" t="str">
        <f>HYPERLINK("https://www.spark-marketing.ru/Card/Person/286743", "ООО ""КАЛИНИНСКАЯ АЭС-СЕРВИС""")</f>
        <v>ООО "КАЛИНИНСКАЯ АЭС-СЕРВИС"</v>
      </c>
      <c r="B17191" s="24" t="s">
        <v>9440</v>
      </c>
      <c r="C17191" s="25">
        <v>0</v>
      </c>
      <c r="D17191" s="22" t="s">
        <v>22427</v>
      </c>
      <c r="E17191" s="22" t="s">
        <v>52</v>
      </c>
      <c r="F17191" s="23" t="str">
        <f>HYPERLINK("https://www.spark-marketing.ru/Card/Lot/71300791", "мониторинг цен в электронной форме на Услуга по обучению персонала ""Особенности учета на предприятиях общественного питания и их отражение в программном продукте ""1С:Общепит 8"".")</f>
        <v>мониторинг цен в электронной форме на Услуга по обучению персонала "Особенности учета на предприятиях общественного питания и их отражение в программном продукте "1С:Общепит 8".</v>
      </c>
      <c r="G17191" s="22" t="s">
        <v>137</v>
      </c>
      <c r="H17191" s="22" t="s">
        <v>8392</v>
      </c>
      <c r="I17191" s="26">
        <v>43627.375335648103</v>
      </c>
      <c r="J17191" s="28" t="s">
        <v>51</v>
      </c>
      <c r="K17191" s="28" t="s">
        <v>51</v>
      </c>
      <c r="L17191" s="28" t="s">
        <v>51</v>
      </c>
      <c r="M17191" s="28" t="s">
        <v>51</v>
      </c>
      <c r="N17191" s="28" t="s">
        <v>51</v>
      </c>
    </row>
    <row r="17192" spans="1:14" x14ac:dyDescent="0.15">
      <c r="A17192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17192" s="24" t="s">
        <v>4930</v>
      </c>
      <c r="C17192" s="25">
        <v>1064700</v>
      </c>
      <c r="D17192" s="22" t="s">
        <v>22428</v>
      </c>
      <c r="E17192" s="22" t="s">
        <v>48</v>
      </c>
      <c r="F17192" s="23" t="str">
        <f>HYPERLINK("https://www.spark-marketing.ru/Card/Lot/71277104", "Оказание услуг по обеспечению питанием лиц, содержащихся в ИВС, СП, СПСЗЛ")</f>
        <v>Оказание услуг по обеспечению питанием лиц, содержащихся в ИВС, СП, СПСЗЛ</v>
      </c>
      <c r="G17192" s="22" t="s">
        <v>104</v>
      </c>
      <c r="H17192" s="22" t="s">
        <v>104</v>
      </c>
      <c r="I17192" s="26">
        <v>43627.406944444403</v>
      </c>
      <c r="J17192" s="23" t="str">
        <f>HYPERLINK("https://www.spark-marketing.ru/Card/Person/1169845", "Матяско Ирина Михайловна")</f>
        <v>Матяско Ирина Михайловна</v>
      </c>
      <c r="K17192" s="24" t="s">
        <v>4932</v>
      </c>
      <c r="L17192" s="22" t="s">
        <v>10</v>
      </c>
      <c r="M17192" s="28" t="s">
        <v>51</v>
      </c>
      <c r="N17192" s="28" t="s">
        <v>51</v>
      </c>
    </row>
    <row r="17193" spans="1:14" x14ac:dyDescent="0.15">
      <c r="A17193" s="23" t="str">
        <f>HYPERLINK("https://www.spark-marketing.ru/Card/Person/16510", "ФГБОУ ВО СЗГМУ ИМ. И.И. МЕЧНИКОВА МИНЗДРАВА РОССИИ")</f>
        <v>ФГБОУ ВО СЗГМУ ИМ. И.И. МЕЧНИКОВА МИНЗДРАВА РОССИИ</v>
      </c>
      <c r="B17193" s="24" t="s">
        <v>9564</v>
      </c>
      <c r="C17193" s="25">
        <v>310732.64</v>
      </c>
      <c r="D17193" s="22" t="s">
        <v>22429</v>
      </c>
      <c r="E17193" s="22" t="s">
        <v>15268</v>
      </c>
      <c r="F17193" s="23" t="str">
        <f>HYPERLINK("https://www.spark-marketing.ru/Card/Lot/71275275", "На оказание услуг по подписке и доставке периодических изданий на 2-е полугодие 2019 года  для нужд ФГБОУ ВО СЗГМУ им. И.И. Мечникова Минздрава России.")</f>
        <v>На оказание услуг по подписке и доставке периодических изданий на 2-е полугодие 2019 года  для нужд ФГБОУ ВО СЗГМУ им. И.И. Мечникова Минздрава России.</v>
      </c>
      <c r="G17193" s="22" t="s">
        <v>117</v>
      </c>
      <c r="H17193" s="22" t="s">
        <v>117</v>
      </c>
      <c r="I17193" s="26">
        <v>43627.374305555597</v>
      </c>
      <c r="J17193" s="28" t="s">
        <v>51</v>
      </c>
      <c r="K17193" s="28" t="s">
        <v>51</v>
      </c>
      <c r="L17193" s="28" t="s">
        <v>51</v>
      </c>
      <c r="M17193" s="28" t="s">
        <v>51</v>
      </c>
      <c r="N17193" s="28" t="s">
        <v>51</v>
      </c>
    </row>
    <row r="17194" spans="1:14" x14ac:dyDescent="0.15">
      <c r="A17194" s="23" t="str">
        <f>HYPERLINK("https://www.spark-marketing.ru/Card/Person/1074111", "МБДОУ ""ДЕТСКИЙ САД ""ОДУВАНЧИК"" С.МИРОШКИНО")</f>
        <v>МБДОУ "ДЕТСКИЙ САД "ОДУВАНЧИК" С.МИРОШКИНО</v>
      </c>
      <c r="B17194" s="24" t="s">
        <v>22430</v>
      </c>
      <c r="C17194" s="25">
        <v>526147.56000000006</v>
      </c>
      <c r="D17194" s="22" t="s">
        <v>22431</v>
      </c>
      <c r="E17194" s="22" t="s">
        <v>48</v>
      </c>
      <c r="F17194" s="23" t="str">
        <f>HYPERLINK("https://www.spark-marketing.ru/Card/Lot/71269492", "Оказание услуг по организации питания")</f>
        <v>Оказание услуг по организации питания</v>
      </c>
      <c r="G17194" s="22" t="s">
        <v>132</v>
      </c>
      <c r="H17194" s="22" t="s">
        <v>18667</v>
      </c>
      <c r="I17194" s="26">
        <v>43627.373611111099</v>
      </c>
      <c r="J17194" s="23" t="str">
        <f>HYPERLINK("https://www.spark-marketing.ru/Card/Person/763106", "ООО ""РАЗДОЛЬЕ-ОБЩЕПИТ""")</f>
        <v>ООО "РАЗДОЛЬЕ-ОБЩЕПИТ"</v>
      </c>
      <c r="K17194" s="24" t="s">
        <v>21467</v>
      </c>
      <c r="L17194" s="22" t="s">
        <v>10</v>
      </c>
      <c r="M17194" s="28" t="s">
        <v>51</v>
      </c>
      <c r="N17194" s="28" t="s">
        <v>51</v>
      </c>
    </row>
    <row r="17195" spans="1:14" x14ac:dyDescent="0.15">
      <c r="A17195" s="23" t="str">
        <f>HYPERLINK("https://www.spark-marketing.ru/Card/Person/1073066", "МБДОУ ""ДЕТСКИЙ САД ""МАЛЫШ"" П. РУБЕЖИНСКИЙ")</f>
        <v>МБДОУ "ДЕТСКИЙ САД "МАЛЫШ" П. РУБЕЖИНСКИЙ</v>
      </c>
      <c r="B17195" s="24" t="s">
        <v>22432</v>
      </c>
      <c r="C17195" s="25">
        <v>616593.12</v>
      </c>
      <c r="D17195" s="22" t="s">
        <v>22433</v>
      </c>
      <c r="E17195" s="22" t="s">
        <v>48</v>
      </c>
      <c r="F17195" s="23" t="str">
        <f>HYPERLINK("https://www.spark-marketing.ru/Card/Lot/71269474", "Оказание услуг по организации питания")</f>
        <v>Оказание услуг по организации питания</v>
      </c>
      <c r="G17195" s="22" t="s">
        <v>132</v>
      </c>
      <c r="H17195" s="22" t="s">
        <v>18667</v>
      </c>
      <c r="I17195" s="26">
        <v>43627.373611111099</v>
      </c>
      <c r="J17195" s="23" t="str">
        <f>HYPERLINK("https://www.spark-marketing.ru/Card/Person/763106", "ООО ""РАЗДОЛЬЕ-ОБЩЕПИТ""")</f>
        <v>ООО "РАЗДОЛЬЕ-ОБЩЕПИТ"</v>
      </c>
      <c r="K17195" s="24" t="s">
        <v>21467</v>
      </c>
      <c r="L17195" s="22" t="s">
        <v>10</v>
      </c>
      <c r="M17195" s="28" t="s">
        <v>51</v>
      </c>
      <c r="N17195" s="28" t="s">
        <v>51</v>
      </c>
    </row>
    <row r="17196" spans="1:14" x14ac:dyDescent="0.15">
      <c r="A17196" s="23" t="str">
        <f>HYPERLINK("https://www.spark-marketing.ru/Card/Person/1060929", "БОУ Г. ОМСКА ""СРЕДНЯЯ ОБЩЕОБРАЗОВАТЕЛЬНАЯ ШКОЛА № 97 ИМЕНИ Л.Г.ПОЛИЩУК""")</f>
        <v>БОУ Г. ОМСКА "СРЕДНЯЯ ОБЩЕОБРАЗОВАТЕЛЬНАЯ ШКОЛА № 97 ИМЕНИ Л.Г.ПОЛИЩУК"</v>
      </c>
      <c r="B17196" s="24" t="s">
        <v>22434</v>
      </c>
      <c r="C17196" s="25">
        <v>2080</v>
      </c>
      <c r="D17196" s="22" t="s">
        <v>22435</v>
      </c>
      <c r="E17196" s="22" t="s">
        <v>48</v>
      </c>
      <c r="F17196" s="23" t="str">
        <f>HYPERLINK("https://www.spark-marketing.ru/Card/Lot/71270134", "Оказать услуги по организации питания обучающихся с ограниченными возможностями здоровья")</f>
        <v>Оказать услуги по организации питания обучающихся с ограниченными возможностями здоровья</v>
      </c>
      <c r="G17196" s="22" t="s">
        <v>487</v>
      </c>
      <c r="H17196" s="22" t="s">
        <v>488</v>
      </c>
      <c r="I17196" s="26">
        <v>43627.335416666698</v>
      </c>
      <c r="J17196" s="28" t="s">
        <v>51</v>
      </c>
      <c r="K17196" s="28" t="s">
        <v>51</v>
      </c>
      <c r="L17196" s="28" t="s">
        <v>51</v>
      </c>
      <c r="M17196" s="28" t="s">
        <v>51</v>
      </c>
      <c r="N17196" s="28" t="s">
        <v>51</v>
      </c>
    </row>
    <row r="17197" spans="1:14" x14ac:dyDescent="0.15">
      <c r="A17197" s="23" t="str">
        <f>HYPERLINK("https://www.spark-marketing.ru/Card/Person/33457", "БУЗ УР ""ГКБ № 4 МЗ УР""")</f>
        <v>БУЗ УР "ГКБ № 4 МЗ УР"</v>
      </c>
      <c r="B17197" s="24" t="s">
        <v>22436</v>
      </c>
      <c r="C17197" s="25">
        <v>4865880</v>
      </c>
      <c r="D17197" s="22" t="s">
        <v>22437</v>
      </c>
      <c r="E17197" s="22" t="s">
        <v>51</v>
      </c>
      <c r="F17197" s="23" t="str">
        <f>HYPERLINK("https://www.spark-marketing.ru/Card/Lot/71270727", "№ зз-19825-19 Оказание услуг по обеспечению лечебным питанием пациентов, находящихся на стационарном лечении, а также законных представителей детей при совместном нахождении с ребенком при оказании ему медицинской помощи в бюджетном учреждении ''Горо...")</f>
        <v>№ зз-19825-19 Оказание услуг по обеспечению лечебным питанием пациентов, находящихся на стационарном лечении, а также законных представителей детей при совместном нахождении с ребенком при оказании ему медицинской помощи в бюджетном учреждении ''Горо...</v>
      </c>
      <c r="G17197" s="22" t="s">
        <v>852</v>
      </c>
      <c r="H17197" s="22" t="s">
        <v>2477</v>
      </c>
      <c r="I17197" s="26">
        <v>43627.368055555598</v>
      </c>
      <c r="J17197" s="28" t="s">
        <v>51</v>
      </c>
      <c r="K17197" s="28" t="s">
        <v>51</v>
      </c>
      <c r="L17197" s="28" t="s">
        <v>51</v>
      </c>
      <c r="M17197" s="28" t="s">
        <v>51</v>
      </c>
      <c r="N17197" s="28" t="s">
        <v>51</v>
      </c>
    </row>
    <row r="17198" spans="1:14" hidden="1" outlineLevel="1" x14ac:dyDescent="0.2">
      <c r="A17198" s="23" t="str">
        <f>HYPERLINK("https://www.spark-marketing.ru/Card/Person/33457", "БУЗ УР ""ГКБ № 4 МЗ УР""")</f>
        <v>БУЗ УР "ГКБ № 4 МЗ УР"</v>
      </c>
      <c r="B17198" s="24" t="s">
        <v>22436</v>
      </c>
      <c r="C17198" s="25">
        <v>4865880</v>
      </c>
      <c r="D17198" s="22" t="s">
        <v>22437</v>
      </c>
      <c r="E17198" s="22" t="s">
        <v>51</v>
      </c>
      <c r="F17198" s="23" t="str">
        <f>HYPERLINK("https://www.spark-marketing.ru/Card/Lot/71270727", "№ зз-19825-19 Оказание услуг по обеспечению лечебным питанием пациентов, находящихся на стационарном лечении, а также законных представителей детей при совместном нахождении с ребенком при оказании ему медицинской помощи в бюджетном учреждении ''Горо...")</f>
        <v>№ зз-19825-19 Оказание услуг по обеспечению лечебным питанием пациентов, находящихся на стационарном лечении, а также законных представителей детей при совместном нахождении с ребенком при оказании ему медицинской помощи в бюджетном учреждении ''Горо...</v>
      </c>
      <c r="G17198" s="22" t="s">
        <v>852</v>
      </c>
      <c r="H17198" s="22" t="s">
        <v>2477</v>
      </c>
      <c r="I17198" s="26">
        <v>43627.368055555598</v>
      </c>
      <c r="J17198" s="23" t="str">
        <f>HYPERLINK("https://www.spark-marketing.ru/Card/Person/138888", "ООО ""РАИДА""")</f>
        <v>ООО "РАИДА"</v>
      </c>
      <c r="K17198" s="24" t="s">
        <v>7310</v>
      </c>
      <c r="L17198" s="28" t="s">
        <v>51</v>
      </c>
      <c r="M17198" s="25">
        <v>4075670.6</v>
      </c>
      <c r="N17198" s="27">
        <v>0.16239804516346479</v>
      </c>
    </row>
    <row r="17199" spans="1:14" ht="12.75" hidden="1" outlineLevel="1" x14ac:dyDescent="0.2">
      <c r="A17199" s="23" t="str">
        <f>HYPERLINK("https://www.spark-marketing.ru/Card/Person/33457", "БУЗ УР ""ГКБ № 4 МЗ УР""")</f>
        <v>БУЗ УР "ГКБ № 4 МЗ УР"</v>
      </c>
      <c r="B17199" s="24" t="s">
        <v>22436</v>
      </c>
      <c r="C17199" s="25">
        <v>4865880</v>
      </c>
      <c r="D17199" s="22" t="s">
        <v>22437</v>
      </c>
      <c r="E17199" s="22" t="s">
        <v>51</v>
      </c>
      <c r="F17199" s="23" t="str">
        <f>HYPERLINK("https://www.spark-marketing.ru/Card/Lot/71270727", "№ зз-19825-19 Оказание услуг по обеспечению лечебным питанием пациентов, находящихся на стационарном лечении, а также законных представителей детей при совместном нахождении с ребенком при оказании ему медицинской помощи в бюджетном учреждении ''Горо...")</f>
        <v>№ зз-19825-19 Оказание услуг по обеспечению лечебным питанием пациентов, находящихся на стационарном лечении, а также законных представителей детей при совместном нахождении с ребенком при оказании ему медицинской помощи в бюджетном учреждении ''Горо...</v>
      </c>
      <c r="G17199" s="22" t="s">
        <v>852</v>
      </c>
      <c r="H17199" s="22" t="s">
        <v>2477</v>
      </c>
      <c r="I17199" s="26">
        <v>43627.368055555598</v>
      </c>
      <c r="J17199" s="23" t="str">
        <f>HYPERLINK("https://www.spark-marketing.ru/Card/Person/87602", "Фефилов Андрей Геннадьевич")</f>
        <v>Фефилов Андрей Геннадьевич</v>
      </c>
      <c r="K17199" s="24" t="s">
        <v>7328</v>
      </c>
      <c r="L17199" s="22" t="s">
        <v>10</v>
      </c>
      <c r="M17199" s="25">
        <v>3832376.6</v>
      </c>
      <c r="N17199" s="27">
        <v>0.21239804516346478</v>
      </c>
    </row>
    <row r="17200" spans="1:14" x14ac:dyDescent="0.15">
      <c r="A17200" s="23" t="str">
        <f>HYPERLINK("https://www.spark-marketing.ru/Card/Person/112809", "БПОУ ВО ""ВОЛОГОДСКИЙ СТРОИТЕЛЬНЫЙ КОЛЛЕДЖ""")</f>
        <v>БПОУ ВО "ВОЛОГОДСКИЙ СТРОИТЕЛЬНЫЙ КОЛЛЕДЖ"</v>
      </c>
      <c r="B17200" s="24" t="s">
        <v>22438</v>
      </c>
      <c r="C17200" s="25">
        <v>1652000</v>
      </c>
      <c r="D17200" s="22" t="s">
        <v>22439</v>
      </c>
      <c r="E17200" s="22" t="s">
        <v>51</v>
      </c>
      <c r="F17200" s="23" t="str">
        <f>HYPERLINK("https://www.spark-marketing.ru/Card/Lot/71274114", "Оказание услуг по организации питания обучающихся")</f>
        <v>Оказание услуг по организации питания обучающихся</v>
      </c>
      <c r="G17200" s="22" t="s">
        <v>503</v>
      </c>
      <c r="H17200" s="22" t="s">
        <v>962</v>
      </c>
      <c r="I17200" s="26">
        <v>43627.344444444403</v>
      </c>
      <c r="J17200" s="23" t="str">
        <f>HYPERLINK("https://www.spark-marketing.ru/Card/Person/105572", "ООО ""ЦЕНТРОПИТ""")</f>
        <v>ООО "ЦЕНТРОПИТ"</v>
      </c>
      <c r="K17200" s="24" t="s">
        <v>3196</v>
      </c>
      <c r="L17200" s="22" t="s">
        <v>10</v>
      </c>
      <c r="M17200" s="28" t="s">
        <v>51</v>
      </c>
      <c r="N17200" s="28" t="s">
        <v>51</v>
      </c>
    </row>
    <row r="17201" spans="1:14" x14ac:dyDescent="0.15">
      <c r="A17201" s="23" t="str">
        <f>HYPERLINK("https://www.spark-marketing.ru/Card/Person/6275713", "ОО АИГО СК")</f>
        <v>ОО АИГО СК</v>
      </c>
      <c r="B17201" s="24" t="s">
        <v>22440</v>
      </c>
      <c r="C17201" s="25">
        <v>15000</v>
      </c>
      <c r="D17201" s="22" t="s">
        <v>22441</v>
      </c>
      <c r="E17201" s="22" t="s">
        <v>22442</v>
      </c>
      <c r="F17201" s="23" t="str">
        <f>HYPERLINK("https://www.spark-marketing.ru/Card/Lot/71272091", "оказание услуг по организации питания")</f>
        <v>оказание услуг по организации питания</v>
      </c>
      <c r="G17201" s="22" t="s">
        <v>87</v>
      </c>
      <c r="H17201" s="22" t="s">
        <v>2367</v>
      </c>
      <c r="I17201" s="26">
        <v>43627.349305555603</v>
      </c>
      <c r="J17201" s="28" t="s">
        <v>51</v>
      </c>
      <c r="K17201" s="28" t="s">
        <v>51</v>
      </c>
      <c r="L17201" s="28" t="s">
        <v>51</v>
      </c>
      <c r="M17201" s="28" t="s">
        <v>51</v>
      </c>
      <c r="N17201" s="28" t="s">
        <v>51</v>
      </c>
    </row>
    <row r="17202" spans="1:14" x14ac:dyDescent="0.15">
      <c r="A17202" s="23" t="str">
        <f>HYPERLINK("https://www.spark-marketing.ru/Card/Person/1043489", "МБДОУ ""ДЕТСКИЙ САД ""КРАСНАЯ ШАПОЧКА"" С. ШАПОШНИКОВО")</f>
        <v>МБДОУ "ДЕТСКИЙ САД "КРАСНАЯ ШАПОЧКА" С. ШАПОШНИКОВО</v>
      </c>
      <c r="B17202" s="24" t="s">
        <v>22443</v>
      </c>
      <c r="C17202" s="25">
        <v>351427.56</v>
      </c>
      <c r="D17202" s="22" t="s">
        <v>22444</v>
      </c>
      <c r="E17202" s="22" t="s">
        <v>48</v>
      </c>
      <c r="F17202" s="23" t="str">
        <f>HYPERLINK("https://www.spark-marketing.ru/Card/Lot/71270336", "Оказание услуг по организации питания")</f>
        <v>Оказание услуг по организации питания</v>
      </c>
      <c r="G17202" s="22" t="s">
        <v>132</v>
      </c>
      <c r="H17202" s="22" t="s">
        <v>18667</v>
      </c>
      <c r="I17202" s="26">
        <v>43627.372916666704</v>
      </c>
      <c r="J17202" s="23" t="str">
        <f>HYPERLINK("https://www.spark-marketing.ru/Card/Person/763106", "ООО ""РАЗДОЛЬЕ-ОБЩЕПИТ""")</f>
        <v>ООО "РАЗДОЛЬЕ-ОБЩЕПИТ"</v>
      </c>
      <c r="K17202" s="24" t="s">
        <v>21467</v>
      </c>
      <c r="L17202" s="22" t="s">
        <v>10</v>
      </c>
      <c r="M17202" s="28" t="s">
        <v>51</v>
      </c>
      <c r="N17202" s="28" t="s">
        <v>51</v>
      </c>
    </row>
    <row r="17203" spans="1:14" x14ac:dyDescent="0.15">
      <c r="A17203" s="23" t="str">
        <f>HYPERLINK("https://www.spark-marketing.ru/Card/Person/5898180", "ООО РН СЕРВИС")</f>
        <v>ООО РН СЕРВИС</v>
      </c>
      <c r="B17203" s="28" t="s">
        <v>51</v>
      </c>
      <c r="C17203" s="28" t="s">
        <v>51</v>
      </c>
      <c r="D17203" s="22" t="s">
        <v>22445</v>
      </c>
      <c r="E17203" s="22" t="s">
        <v>362</v>
      </c>
      <c r="F17203" s="23" t="str">
        <f>HYPERLINK("https://www.spark-marketing.ru/Card/Lot/71268275", "Оказание услуг по обеспечению и организации горячего термосного питания для филиала ООО «РН-Сервис» в г. Нижневартовск в 2020 г.")</f>
        <v>Оказание услуг по обеспечению и организации горячего термосного питания для филиала ООО «РН-Сервис» в г. Нижневартовск в 2020 г.</v>
      </c>
      <c r="G17203" s="22" t="s">
        <v>51</v>
      </c>
      <c r="H17203" s="22" t="s">
        <v>51</v>
      </c>
      <c r="I17203" s="26">
        <v>43627.278472222199</v>
      </c>
      <c r="J17203" s="28" t="s">
        <v>51</v>
      </c>
      <c r="K17203" s="28" t="s">
        <v>51</v>
      </c>
      <c r="L17203" s="28" t="s">
        <v>51</v>
      </c>
      <c r="M17203" s="28" t="s">
        <v>51</v>
      </c>
      <c r="N17203" s="28" t="s">
        <v>51</v>
      </c>
    </row>
    <row r="17204" spans="1:14" x14ac:dyDescent="0.15">
      <c r="A17204" s="23" t="str">
        <f>HYPERLINK("https://www.spark-marketing.ru/Card/Person/4345887", "МИНИСТЕРСТВО ЗДРАВООХРАНЕНИЯ АМУРСКОЙ ОБЛАСТИ")</f>
        <v>МИНИСТЕРСТВО ЗДРАВООХРАНЕНИЯ АМУРСКОЙ ОБЛАСТИ</v>
      </c>
      <c r="B17204" s="24" t="s">
        <v>3255</v>
      </c>
      <c r="C17204" s="25">
        <v>35683.4</v>
      </c>
      <c r="D17204" s="22" t="s">
        <v>22446</v>
      </c>
      <c r="E17204" s="22" t="s">
        <v>9540</v>
      </c>
      <c r="F17204" s="23" t="str">
        <f>HYPERLINK("https://www.spark-marketing.ru/Card/Lot/71267660", "Поставка лекарственного препарата для медицинского применения «Амброксол»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прод...")</f>
        <v>Поставка лекарственного препарата для медицинского применения «Амброксол» для оказания отдельным категориям граждан социальной услуги по обеспечению лекарственными препаратами для медицинского применения по рецептам, а так же специализированными прод...</v>
      </c>
      <c r="G17204" s="22" t="s">
        <v>210</v>
      </c>
      <c r="H17204" s="22" t="s">
        <v>3257</v>
      </c>
      <c r="I17204" s="26">
        <v>43627.238194444399</v>
      </c>
      <c r="J17204" s="28" t="s">
        <v>51</v>
      </c>
      <c r="K17204" s="28" t="s">
        <v>51</v>
      </c>
      <c r="L17204" s="28" t="s">
        <v>51</v>
      </c>
      <c r="M17204" s="28" t="s">
        <v>51</v>
      </c>
      <c r="N17204" s="28" t="s">
        <v>51</v>
      </c>
    </row>
    <row r="17205" spans="1:14" x14ac:dyDescent="0.15">
      <c r="A17205" s="23" t="str">
        <f>HYPERLINK("https://www.spark-marketing.ru/Card/Person/6450322", "ЗАКАЗЧИК РП БЕЛАРУСЬ")</f>
        <v>ЗАКАЗЧИК РП БЕЛАРУСЬ</v>
      </c>
      <c r="B17205" s="28" t="s">
        <v>51</v>
      </c>
      <c r="C17205" s="25">
        <v>652297.80000000005</v>
      </c>
      <c r="D17205" s="22" t="s">
        <v>22447</v>
      </c>
      <c r="E17205" s="22" t="s">
        <v>52</v>
      </c>
      <c r="F17205" s="23" t="str">
        <f>HYPERLINK("https://www.spark-marketing.ru/Card/Lot/71276396", "Услуги по организации питания лиц, содержащихся под стражей в ИВС ОВД Осиповичского райисполкома")</f>
        <v>Услуги по организации питания лиц, содержащихся под стражей в ИВС ОВД Осиповичского райисполкома</v>
      </c>
      <c r="G17205" s="22" t="s">
        <v>51</v>
      </c>
      <c r="H17205" s="22" t="s">
        <v>51</v>
      </c>
      <c r="I17205" s="26">
        <v>43627</v>
      </c>
      <c r="J17205" s="28" t="s">
        <v>51</v>
      </c>
      <c r="K17205" s="28" t="s">
        <v>51</v>
      </c>
      <c r="L17205" s="28" t="s">
        <v>51</v>
      </c>
      <c r="M17205" s="28" t="s">
        <v>51</v>
      </c>
      <c r="N17205" s="28" t="s">
        <v>51</v>
      </c>
    </row>
    <row r="17206" spans="1:14" x14ac:dyDescent="0.15">
      <c r="A17206" s="23" t="str">
        <f>HYPERLINK("https://www.spark-marketing.ru/Card/Person/78337", "АО ""НПП ""ПОЛЕТ""")</f>
        <v>АО "НПП "ПОЛЕТ"</v>
      </c>
      <c r="B17206" s="24" t="s">
        <v>22448</v>
      </c>
      <c r="C17206" s="25">
        <v>2153160</v>
      </c>
      <c r="D17206" s="22" t="s">
        <v>22449</v>
      </c>
      <c r="E17206" s="22" t="s">
        <v>580</v>
      </c>
      <c r="F17206" s="23" t="str">
        <f>HYPERLINK("https://www.spark-marketing.ru/Card/Lot/71287430", "Оказание услуг по организации комплексного питания отдыхающих и сотрудников БО ""Кристалл""")</f>
        <v>Оказание услуг по организации комплексного питания отдыхающих и сотрудников БО "Кристалл"</v>
      </c>
      <c r="G17206" s="22" t="s">
        <v>76</v>
      </c>
      <c r="H17206" s="22" t="s">
        <v>940</v>
      </c>
      <c r="I17206" s="26">
        <v>43627</v>
      </c>
      <c r="J17206" s="28" t="s">
        <v>51</v>
      </c>
      <c r="K17206" s="28" t="s">
        <v>51</v>
      </c>
      <c r="L17206" s="28" t="s">
        <v>51</v>
      </c>
      <c r="M17206" s="28" t="s">
        <v>51</v>
      </c>
      <c r="N17206" s="28" t="s">
        <v>51</v>
      </c>
    </row>
    <row r="17207" spans="1:14" x14ac:dyDescent="0.15">
      <c r="A17207" s="23" t="str">
        <f>HYPERLINK("https://www.spark-marketing.ru/Card/Person/1133378", "АУ ФКИС ВО ""ЦСП""")</f>
        <v>АУ ФКИС ВО "ЦСП"</v>
      </c>
      <c r="B17207" s="24" t="s">
        <v>15353</v>
      </c>
      <c r="C17207" s="25">
        <v>386400</v>
      </c>
      <c r="D17207" s="22" t="s">
        <v>22450</v>
      </c>
      <c r="E17207" s="22" t="s">
        <v>2682</v>
      </c>
      <c r="F17207" s="23" t="str">
        <f>HYPERLINK("https://www.spark-marketing.ru/Card/Lot/71262796", "Услуги по проживанию и питанию членов сборной команды Вологодской области - участников тренировочных мероприятий по хоккею с шайбой")</f>
        <v>Услуги по проживанию и питанию членов сборной команды Вологодской области - участников тренировочных мероприятий по хоккею с шайбой</v>
      </c>
      <c r="G17207" s="22" t="s">
        <v>503</v>
      </c>
      <c r="H17207" s="22" t="s">
        <v>503</v>
      </c>
      <c r="I17207" s="26">
        <v>43626.8523263889</v>
      </c>
      <c r="J17207" s="28" t="s">
        <v>51</v>
      </c>
      <c r="K17207" s="28" t="s">
        <v>51</v>
      </c>
      <c r="L17207" s="28" t="s">
        <v>51</v>
      </c>
      <c r="M17207" s="28" t="s">
        <v>51</v>
      </c>
      <c r="N17207" s="28" t="s">
        <v>51</v>
      </c>
    </row>
    <row r="17208" spans="1:14" x14ac:dyDescent="0.15">
      <c r="A17208" s="23" t="str">
        <f>HYPERLINK("https://www.spark-marketing.ru/Card/Person/6834", "МКУ ""УПРАВДЕЛАМИ""")</f>
        <v>МКУ "УПРАВДЕЛАМИ"</v>
      </c>
      <c r="B17208" s="24" t="s">
        <v>22451</v>
      </c>
      <c r="C17208" s="25">
        <v>300000</v>
      </c>
      <c r="D17208" s="22" t="s">
        <v>22452</v>
      </c>
      <c r="E17208" s="22" t="s">
        <v>96</v>
      </c>
      <c r="F17208" s="23" t="str">
        <f>HYPERLINK("https://www.spark-marketing.ru/Card/Lot/71252418", "Оказание услуг по обслуживанию мероприятия")</f>
        <v>Оказание услуг по обслуживанию мероприятия</v>
      </c>
      <c r="G17208" s="22" t="s">
        <v>241</v>
      </c>
      <c r="H17208" s="22" t="s">
        <v>242</v>
      </c>
      <c r="I17208" s="26">
        <v>43626.829861111102</v>
      </c>
      <c r="J17208" s="28" t="s">
        <v>51</v>
      </c>
      <c r="K17208" s="28" t="s">
        <v>51</v>
      </c>
      <c r="L17208" s="28" t="s">
        <v>51</v>
      </c>
      <c r="M17208" s="28" t="s">
        <v>51</v>
      </c>
      <c r="N17208" s="28" t="s">
        <v>51</v>
      </c>
    </row>
    <row r="17209" spans="1:14" x14ac:dyDescent="0.15">
      <c r="A17209" s="23" t="str">
        <f>HYPERLINK("https://www.spark-marketing.ru/Card/Person/73015", "ГУ-САРАТОВСКОЕ РО ФОНДА СОЦИАЛЬНОГО СТРАХОВАНИЯ РОССИЙСКОЙ ФЕДЕРАЦИИ")</f>
        <v>ГУ-САРАТОВСКОЕ РО ФОНДА СОЦИАЛЬНОГО СТРАХОВАНИЯ РОССИЙСКОЙ ФЕДЕРАЦИИ</v>
      </c>
      <c r="B17209" s="24" t="s">
        <v>7054</v>
      </c>
      <c r="C17209" s="25">
        <v>786051</v>
      </c>
      <c r="D17209" s="22" t="s">
        <v>22453</v>
      </c>
      <c r="E17209" s="22" t="s">
        <v>86</v>
      </c>
      <c r="F17209" s="23" t="str">
        <f>HYPERLINK("https://www.spark-marketing.ru/Card/Lot/71259024", "Оказание услуг по санаторно-курортному лечению граждан-получателей государственной социальной помощи в виде набора социальных услуг (детей-инвалидов) и сопровождающих их лиц с болезнями эндокринной системы, расстройствами питания и нарушениями обмена...")</f>
        <v>Оказание услуг по санаторно-курортному лечению граждан-получателей государственной социальной помощи в виде набора социальных услуг (детей-инвалидов) и сопровождающих их лиц с болезнями эндокринной системы, расстройствами питания и нарушениями обмена...</v>
      </c>
      <c r="G17209" s="22" t="s">
        <v>351</v>
      </c>
      <c r="H17209" s="22" t="s">
        <v>351</v>
      </c>
      <c r="I17209" s="26">
        <v>43626.781944444403</v>
      </c>
      <c r="J17209" s="23" t="str">
        <f>HYPERLINK("https://www.spark-marketing.ru/Card/Person/537515", "АО САНАТОРИЙ ""СИНЯЯ ПТИЦА""")</f>
        <v>АО САНАТОРИЙ "СИНЯЯ ПТИЦА"</v>
      </c>
      <c r="K17209" s="24" t="s">
        <v>7056</v>
      </c>
      <c r="L17209" s="22" t="s">
        <v>10</v>
      </c>
      <c r="M17209" s="28" t="s">
        <v>51</v>
      </c>
      <c r="N17209" s="28" t="s">
        <v>51</v>
      </c>
    </row>
    <row r="17210" spans="1:14" x14ac:dyDescent="0.15">
      <c r="A17210" s="23" t="str">
        <f>HYPERLINK("https://www.spark-marketing.ru/Card/Person/61398", "МБДОУ -Д/С №7 С. РАЕВСКИЙ")</f>
        <v>МБДОУ -Д/С №7 С. РАЕВСКИЙ</v>
      </c>
      <c r="B17210" s="24" t="s">
        <v>22454</v>
      </c>
      <c r="C17210" s="25">
        <v>1646470.38</v>
      </c>
      <c r="D17210" s="22" t="s">
        <v>22455</v>
      </c>
      <c r="E17210" s="22" t="s">
        <v>48</v>
      </c>
      <c r="F17210" s="23" t="str">
        <f>HYPERLINK("https://www.spark-marketing.ru/Card/Lot/71257556", "Аукцион в электронной форме на право заключения контракта на оказание услуг по организации горячего питания для воспитанников")</f>
        <v>Аукцион в электронной форме на право заключения контракта на оказание услуг по организации горячего питания для воспитанников</v>
      </c>
      <c r="G17210" s="22" t="s">
        <v>145</v>
      </c>
      <c r="H17210" s="22" t="s">
        <v>10698</v>
      </c>
      <c r="I17210" s="26">
        <v>43626.751388888901</v>
      </c>
      <c r="J17210" s="23" t="str">
        <f>HYPERLINK("https://www.spark-marketing.ru/Card/Person/776224", "Резяпова Гузель Римовна")</f>
        <v>Резяпова Гузель Римовна</v>
      </c>
      <c r="K17210" s="24" t="s">
        <v>10699</v>
      </c>
      <c r="L17210" s="22" t="s">
        <v>10</v>
      </c>
      <c r="M17210" s="28" t="s">
        <v>51</v>
      </c>
      <c r="N17210" s="28" t="s">
        <v>51</v>
      </c>
    </row>
    <row r="17211" spans="1:14" x14ac:dyDescent="0.15">
      <c r="A17211" s="23" t="str">
        <f>HYPERLINK("https://www.spark-marketing.ru/Card/Person/73015", "ГУ-САРАТОВСКОЕ РО ФОНДА СОЦИАЛЬНОГО СТРАХОВАНИЯ РОССИЙСКОЙ ФЕДЕРАЦИИ")</f>
        <v>ГУ-САРАТОВСКОЕ РО ФОНДА СОЦИАЛЬНОГО СТРАХОВАНИЯ РОССИЙСКОЙ ФЕДЕРАЦИИ</v>
      </c>
      <c r="B17211" s="24" t="s">
        <v>7054</v>
      </c>
      <c r="C17211" s="25">
        <v>1347516</v>
      </c>
      <c r="D17211" s="22" t="s">
        <v>22456</v>
      </c>
      <c r="E17211" s="22" t="s">
        <v>86</v>
      </c>
      <c r="F17211" s="23" t="str">
        <f>HYPERLINK("https://www.spark-marketing.ru/Card/Lot/71259330", "Оказание услуг по санаторно-курортному лечению граждан-получателей государственной социальной помощи в виде набора социальных услуг, а также лиц, сопровождающих граждан, имеющих инвалидность 1 группы, с болезнями эндокринной системы, расстройствами п...")</f>
        <v>Оказание услуг по санаторно-курортному лечению граждан-получателей государственной социальной помощи в виде набора социальных услуг, а также лиц, сопровождающих граждан, имеющих инвалидность 1 группы, с болезнями эндокринной системы, расстройствами п...</v>
      </c>
      <c r="G17211" s="22" t="s">
        <v>351</v>
      </c>
      <c r="H17211" s="22" t="s">
        <v>351</v>
      </c>
      <c r="I17211" s="26">
        <v>43626.767361111102</v>
      </c>
      <c r="J17211" s="23" t="str">
        <f>HYPERLINK("https://www.spark-marketing.ru/Card/Person/178844", "АО ""РЖД-ЗДОРОВЬЕ""")</f>
        <v>АО "РЖД-ЗДОРОВЬЕ"</v>
      </c>
      <c r="K17211" s="24" t="s">
        <v>3553</v>
      </c>
      <c r="L17211" s="22" t="s">
        <v>10</v>
      </c>
      <c r="M17211" s="28" t="s">
        <v>51</v>
      </c>
      <c r="N17211" s="28" t="s">
        <v>51</v>
      </c>
    </row>
    <row r="17212" spans="1:14" x14ac:dyDescent="0.15">
      <c r="A17212" s="23" t="str">
        <f>HYPERLINK("https://www.spark-marketing.ru/Card/Person/1760894", "ГУ-НОВОСИБИРСКОЕ РО ФОНДА СОЦИАЛЬНОГО СТРАХОВАНИЯ РОССИЙСКОЙ ФЕДЕРАЦИИ")</f>
        <v>ГУ-НОВОСИБИРСКОЕ РО ФОНДА СОЦИАЛЬНОГО СТРАХОВАНИЯ РОССИЙСКОЙ ФЕДЕРАЦИИ</v>
      </c>
      <c r="B17212" s="24" t="s">
        <v>22276</v>
      </c>
      <c r="C17212" s="25">
        <v>16547496.48</v>
      </c>
      <c r="D17212" s="22" t="s">
        <v>22457</v>
      </c>
      <c r="E17212" s="22" t="s">
        <v>86</v>
      </c>
      <c r="F17212" s="23" t="str">
        <f>HYPERLINK("https://www.spark-marketing.ru/Card/Lot/71254948", "Оказание услуг по санаторно-курортному лечению граждан-получателей государственной социальной помощи в виде набора социальных услуг, в организациях, оказывающих санаторно-курортную помощь: ""Болезни эндокринной системы, расстройство питания и нарушен...")</f>
        <v>Оказание услуг по санаторно-курортному лечению граждан-получателей государственной социальной помощи в виде набора социальных услуг, в организациях, оказывающих санаторно-курортную помощь: "Болезни эндокринной системы, расстройство питания и нарушен...</v>
      </c>
      <c r="G17212" s="22" t="s">
        <v>195</v>
      </c>
      <c r="H17212" s="22" t="s">
        <v>196</v>
      </c>
      <c r="I17212" s="26">
        <v>43626.717361111099</v>
      </c>
      <c r="J17212" s="23" t="str">
        <f>HYPERLINK("https://www.spark-marketing.ru/Card/Person/4417838", "ООО ""САНАТОРИЙ ""ПАРУС""")</f>
        <v>ООО "САНАТОРИЙ "ПАРУС"</v>
      </c>
      <c r="K17212" s="24" t="s">
        <v>5609</v>
      </c>
      <c r="L17212" s="22" t="s">
        <v>10</v>
      </c>
      <c r="M17212" s="28" t="s">
        <v>51</v>
      </c>
      <c r="N17212" s="28" t="s">
        <v>51</v>
      </c>
    </row>
    <row r="17213" spans="1:14" x14ac:dyDescent="0.15">
      <c r="A17213" s="23" t="str">
        <f>HYPERLINK("https://www.spark-marketing.ru/Card/Person/4348382", "ООО ""ГАЗПРОМ ПИТАНИЕ""")</f>
        <v>ООО "ГАЗПРОМ ПИТАНИЕ"</v>
      </c>
      <c r="B17213" s="24" t="s">
        <v>2869</v>
      </c>
      <c r="C17213" s="25">
        <v>116200</v>
      </c>
      <c r="D17213" s="22" t="s">
        <v>22458</v>
      </c>
      <c r="E17213" s="22" t="s">
        <v>52</v>
      </c>
      <c r="F17213" s="23" t="str">
        <f>HYPERLINK("https://www.spark-marketing.ru/Card/Lot/71256073", "Услуги по заправке картриджей для нужд филиала "" краснодарское уооп"" ооо ""газпром питание""")</f>
        <v>Услуги по заправке картриджей для нужд филиала " краснодарское уооп" ооо "газпром питание"</v>
      </c>
      <c r="G17213" s="22" t="s">
        <v>56</v>
      </c>
      <c r="H17213" s="22" t="s">
        <v>56</v>
      </c>
      <c r="I17213" s="26">
        <v>43626.738888888904</v>
      </c>
      <c r="J17213" s="28" t="s">
        <v>51</v>
      </c>
      <c r="K17213" s="28" t="s">
        <v>51</v>
      </c>
      <c r="L17213" s="28" t="s">
        <v>51</v>
      </c>
      <c r="M17213" s="28" t="s">
        <v>51</v>
      </c>
      <c r="N17213" s="28" t="s">
        <v>51</v>
      </c>
    </row>
    <row r="17214" spans="1:14" x14ac:dyDescent="0.15">
      <c r="A17214" s="23" t="str">
        <f>HYPERLINK("https://www.spark-marketing.ru/Card/Person/1760894", "ГУ-НОВОСИБИРСКОЕ РО ФОНДА СОЦИАЛЬНОГО СТРАХОВАНИЯ РОССИЙСКОЙ ФЕДЕРАЦИИ")</f>
        <v>ГУ-НОВОСИБИРСКОЕ РО ФОНДА СОЦИАЛЬНОГО СТРАХОВАНИЯ РОССИЙСКОЙ ФЕДЕРАЦИИ</v>
      </c>
      <c r="B17214" s="24" t="s">
        <v>22276</v>
      </c>
      <c r="C17214" s="25">
        <v>6036871.6799999997</v>
      </c>
      <c r="D17214" s="22" t="s">
        <v>22459</v>
      </c>
      <c r="E17214" s="22" t="s">
        <v>86</v>
      </c>
      <c r="F17214" s="23" t="str">
        <f>HYPERLINK("https://www.spark-marketing.ru/Card/Lot/71254871", "Оказание услуг по санаторно-курортному лечению граждан-получателей государственной социальной помощи в виде набора социальных услуг, в организациях, оказывающих санаторно-курортную помощь: ""Болезни эндокринной системы, расстройство питания и нарушен...")</f>
        <v>Оказание услуг по санаторно-курортному лечению граждан-получателей государственной социальной помощи в виде набора социальных услуг, в организациях, оказывающих санаторно-курортную помощь: "Болезни эндокринной системы, расстройство питания и нарушен...</v>
      </c>
      <c r="G17214" s="22" t="s">
        <v>195</v>
      </c>
      <c r="H17214" s="22" t="s">
        <v>196</v>
      </c>
      <c r="I17214" s="26">
        <v>43626.718055555597</v>
      </c>
      <c r="J17214" s="23" t="str">
        <f>HYPERLINK("https://www.spark-marketing.ru/Card/Person/62666", "ОАО ""САНАТОРИЙ ""ДОВОЛЕНСКИЙ""")</f>
        <v>ОАО "САНАТОРИЙ "ДОВОЛЕНСКИЙ"</v>
      </c>
      <c r="K17214" s="24" t="s">
        <v>22279</v>
      </c>
      <c r="L17214" s="22" t="s">
        <v>10</v>
      </c>
      <c r="M17214" s="28" t="s">
        <v>51</v>
      </c>
      <c r="N17214" s="28" t="s">
        <v>51</v>
      </c>
    </row>
    <row r="17215" spans="1:14" x14ac:dyDescent="0.2">
      <c r="A17215" s="23" t="str">
        <f>HYPERLINK("https://www.spark-marketing.ru/Card/Person/1756040", "МАОУ СОШ №15 Г. БЕЛЕБЕЯ")</f>
        <v>МАОУ СОШ №15 Г. БЕЛЕБЕЯ</v>
      </c>
      <c r="B17215" s="24" t="s">
        <v>22460</v>
      </c>
      <c r="C17215" s="25">
        <v>493920</v>
      </c>
      <c r="D17215" s="22" t="s">
        <v>22461</v>
      </c>
      <c r="E17215" s="22" t="s">
        <v>362</v>
      </c>
      <c r="F17215" s="23" t="str">
        <f>HYPERLINK("https://www.spark-marketing.ru/Card/Lot/71252135", "Оказание услуг по организации горячего питания в оздоровительном лагере с дневным пребыванием детей на базе муниципального автономного общеобразовательного учреждения средняя общеобразовательная школа № 15 г. Белебея муниципального района Белебеевски...")</f>
        <v>Оказание услуг по организации горячего питания в оздоровительном лагере с дневным пребыванием детей на базе муниципального автономного общеобразовательного учреждения средняя общеобразовательная школа № 15 г. Белебея муниципального района Белебеевски...</v>
      </c>
      <c r="G17215" s="22" t="s">
        <v>145</v>
      </c>
      <c r="H17215" s="22" t="s">
        <v>145</v>
      </c>
      <c r="I17215" s="26">
        <v>43626.727453703701</v>
      </c>
      <c r="J17215" s="28" t="s">
        <v>51</v>
      </c>
      <c r="K17215" s="28" t="s">
        <v>51</v>
      </c>
      <c r="L17215" s="22" t="s">
        <v>10</v>
      </c>
      <c r="M17215" s="25">
        <v>493920</v>
      </c>
      <c r="N17215" s="27">
        <v>0</v>
      </c>
    </row>
    <row r="17216" spans="1:14" x14ac:dyDescent="0.15">
      <c r="A17216" s="23" t="str">
        <f>HYPERLINK("https://www.spark-marketing.ru/Card/Person/796945", "ГАУЗ ""ЭГКБ № 1""")</f>
        <v>ГАУЗ "ЭГКБ № 1"</v>
      </c>
      <c r="B17216" s="24" t="s">
        <v>2044</v>
      </c>
      <c r="C17216" s="25">
        <v>2467227.52</v>
      </c>
      <c r="D17216" s="22" t="s">
        <v>22462</v>
      </c>
      <c r="E17216" s="22" t="s">
        <v>362</v>
      </c>
      <c r="F17216" s="23" t="str">
        <f>HYPERLINK("https://www.spark-marketing.ru/Card/Lot/71252250", "Услуги по приготовлению и доставке питания для пациентов")</f>
        <v>Услуги по приготовлению и доставке питания для пациентов</v>
      </c>
      <c r="G17216" s="22" t="s">
        <v>351</v>
      </c>
      <c r="H17216" s="22" t="s">
        <v>2046</v>
      </c>
      <c r="I17216" s="26">
        <v>43626.712627314802</v>
      </c>
      <c r="J17216" s="28" t="s">
        <v>51</v>
      </c>
      <c r="K17216" s="28" t="s">
        <v>51</v>
      </c>
      <c r="L17216" s="28" t="s">
        <v>51</v>
      </c>
      <c r="M17216" s="28" t="s">
        <v>51</v>
      </c>
      <c r="N17216" s="28" t="s">
        <v>51</v>
      </c>
    </row>
  </sheetData>
  <autoFilter ref="A2:N2"/>
  <sortState ref="A2:AB4">
    <sortCondition ref="V2"/>
  </sortState>
  <mergeCells count="6">
    <mergeCell ref="I1:I2"/>
    <mergeCell ref="G1:G2"/>
    <mergeCell ref="D1:F1"/>
    <mergeCell ref="A1:C1"/>
    <mergeCell ref="J1:N1"/>
    <mergeCell ref="H1:H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Параметры поиска</vt:lpstr>
      <vt:lpstr>Результаты поиска</vt:lpstr>
    </vt:vector>
  </TitlesOfParts>
  <Company>Интерфакс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Татьяна Крапчатова</dc:creator>
  <cp:lastModifiedBy>Татьяна Крапчатова</cp:lastModifiedBy>
  <dcterms:created xsi:type="dcterms:W3CDTF">2019-10-18T14:34:05Z</dcterms:created>
  <dcterms:modified xsi:type="dcterms:W3CDTF">2019-10-18T14:34:16Z</dcterms:modified>
</cp:coreProperties>
</file>